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e6b5b0125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966ce623464961"/>
    <x:sheet xmlns:r="http://schemas.openxmlformats.org/officeDocument/2006/relationships" name="Inputs" sheetId="2" r:id="R1601b3e973164741"/>
    <x:sheet xmlns:r="http://schemas.openxmlformats.org/officeDocument/2006/relationships" name="Scenario Summary" sheetId="3" r:id="R89abf4104ad1406e"/>
    <x:sheet xmlns:r="http://schemas.openxmlformats.org/officeDocument/2006/relationships" name="Scenario Model" sheetId="4" r:id="R75f7e7b37fda4ef0"/>
    <x:sheet xmlns:r="http://schemas.openxmlformats.org/officeDocument/2006/relationships" name="Sensitivities" sheetId="5" r:id="Rd18e83b7970844c1"/>
    <x:sheet xmlns:r="http://schemas.openxmlformats.org/officeDocument/2006/relationships" name="Monte Carlo" sheetId="6" r:id="R2c27ffd398ca45b6"/>
    <x:sheet xmlns:r="http://schemas.openxmlformats.org/officeDocument/2006/relationships" name="MC Runs" sheetId="7" r:id="R76231827a7af4cdb"/>
    <x:sheet xmlns:r="http://schemas.openxmlformats.org/officeDocument/2006/relationships" name="Checks" sheetId="8" r:id="R2e601b3a955148ef"/>
    <x:sheet xmlns:r="http://schemas.openxmlformats.org/officeDocument/2006/relationships" name="Sources" sheetId="9" r:id="R79abf76f64c9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%"/>
    <x:numFmt numFmtId="201" formatCode="0.0%"/>
    <x:numFmt numFmtId="202" formatCode="0.0000%"/>
    <x:numFmt numFmtId="203" formatCode="$#,##0"/>
    <x:numFmt numFmtId="204" formatCode="#,##0"/>
    <x:numFmt numFmtId="205" formatCode="$0.000000"/>
    <x:numFmt numFmtId="206" formatCode="0.00x"/>
    <x:numFmt numFmtId="207" formatCode="0%"/>
    <x:numFmt numFmtId="208" formatCode="0.000%"/>
  </x:numFmts>
  <x:fonts count="1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64748B"/>
      <x:name val="Aptos"/>
    </x:font>
    <x:font>
      <x:sz val="10"/>
      <x:color rgb="FF0000FF"/>
      <x:name val="Aptos"/>
    </x:font>
    <x:font>
      <x:sz val="10"/>
      <x:color rgb="FF000000"/>
      <x:name val="Aptos"/>
    </x:font>
    <x:font>
      <x:b/>
      <x:sz val="11"/>
      <x:color rgb="FF102A43"/>
      <x:name val="Carlito"/>
    </x:font>
    <x:font>
      <x:b/>
      <x:sz val="15"/>
      <x:color rgb="FF102A43"/>
      <x:name val="Carlito"/>
    </x:font>
    <x:font>
      <x:b/>
      <x:sz val="11"/>
      <x:color rgb="FF2563EB"/>
      <x:name val="Carlito"/>
    </x:font>
    <x:font>
      <x:b/>
      <x:sz val="10"/>
      <x:color rgb="FF102A43"/>
      <x:name val="Aptos"/>
    </x:font>
    <x:font>
      <x:b/>
      <x:sz val="10"/>
      <x:color rgb="FF2563EB"/>
      <x:name val="Aptos"/>
    </x:font>
    <x:font>
      <x:b/>
      <x:sz val="15"/>
      <x:color rgb="FF102A43"/>
      <x:name val="Aptos Display"/>
    </x:font>
    <x:font>
      <x:sz val="10"/>
      <x:color rgb="FF166534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8FAFC"/>
      </x:patternFill>
    </x:fill>
    <x:fill>
      <x:patternFill patternType="solid">
        <x:fgColor rgb="FFFFFBEA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DBEAFE"/>
      </x:patternFill>
    </x:fill>
  </x:fills>
  <x:borders count="16">
    <x:border/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E2E8F0"/>
      </x:left>
      <x:top style="thin">
        <x:color rgb="FFE2E8F0"/>
      </x:top>
      <x:bottom style="thin">
        <x:color rgb="FF0F766E"/>
      </x:bottom>
    </x:border>
    <x:border>
      <x:top style="thin">
        <x:color rgb="FFE2E8F0"/>
      </x:top>
      <x:bottom style="thin">
        <x:color rgb="FF0F766E"/>
      </x:bottom>
    </x:border>
    <x:border>
      <x:right style="thin">
        <x:color rgb="FFE2E8F0"/>
      </x:right>
      <x:top style="thin">
        <x:color rgb="FFE2E8F0"/>
      </x:top>
      <x:bottom style="thin">
        <x:color rgb="FF0F766E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202" fontId="5" fillId="0" borderId="0" xfId="0" applyNumberFormat="1" applyFont="1" applyFill="1" applyBorder="1"/>
    <x:xf numFmtId="203" fontId="4" fillId="4" borderId="0" xfId="0" applyNumberFormat="1" applyFont="1" applyFill="1" applyBorder="1"/>
    <x:xf numFmtId="204" fontId="4" fillId="4" borderId="0" xfId="0" applyNumberFormat="1" applyFont="1" applyFill="1" applyBorder="1"/>
    <x:xf numFmtId="0" fontId="0" fillId="0" borderId="1" xfId="0" applyNumberFormat="1" applyFont="1" applyFill="1" applyBorder="1"/>
    <x:xf numFmtId="204" fontId="4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4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6" fontId="0" fillId="0" borderId="0" xfId="0" applyNumberFormat="1" applyFont="1" applyFill="1" applyBorder="1"/>
    <x:xf numFmtId="204" fontId="0" fillId="0" borderId="2" xfId="0" applyNumberFormat="1" applyFont="1" applyFill="1" applyBorder="1"/>
    <x:xf numFmtId="200" fontId="0" fillId="0" borderId="7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3" fillId="5" borderId="11" xfId="0" applyNumberFormat="1" applyFont="1" applyFill="1" applyBorder="1" applyAlignment="1">
      <x:alignment vertical="center" wrapText="1"/>
    </x:xf>
    <x:xf numFmtId="207" fontId="4" fillId="4" borderId="0" xfId="0" applyNumberFormat="1" applyFont="1" applyFill="1" applyBorder="1"/>
    <x:xf numFmtId="206" fontId="4" fillId="4" borderId="0" xfId="0" applyNumberFormat="1" applyFont="1" applyFill="1" applyBorder="1"/>
    <x:xf numFmtId="0" fontId="3" fillId="5" borderId="12" xfId="0" applyNumberFormat="1" applyFont="1" applyFill="1" applyBorder="1" applyAlignment="1">
      <x:alignment vertical="center" wrapText="1"/>
    </x:xf>
    <x:xf numFmtId="0" fontId="3" fillId="5" borderId="13" xfId="0" applyNumberFormat="1" applyFont="1" applyFill="1" applyBorder="1" applyAlignment="1">
      <x:alignment vertical="center" wrapText="1"/>
    </x:xf>
    <x:xf numFmtId="0" fontId="3" fillId="5" borderId="14" xfId="0" applyNumberFormat="1" applyFont="1" applyFill="1" applyBorder="1" applyAlignment="1">
      <x:alignment vertical="center" wrapText="1"/>
    </x:xf>
    <x:xf numFmtId="201" fontId="4" fillId="4" borderId="5" xfId="0" applyNumberFormat="1" applyFont="1" applyFill="1" applyBorder="1"/>
    <x:xf numFmtId="207" fontId="4" fillId="4" borderId="7" xfId="0" applyNumberFormat="1" applyFont="1" applyFill="1" applyBorder="1"/>
    <x:xf numFmtId="206" fontId="4" fillId="4" borderId="7" xfId="0" applyNumberFormat="1" applyFont="1" applyFill="1" applyBorder="1"/>
    <x:xf numFmtId="201" fontId="4" fillId="4" borderId="7" xfId="0" applyNumberFormat="1" applyFont="1" applyFill="1" applyBorder="1"/>
    <x:xf numFmtId="201" fontId="4" fillId="4" borderId="8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204" fontId="9" fillId="4" borderId="2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200" fontId="9" fillId="4" borderId="0" xfId="0" applyNumberFormat="1" applyFont="1" applyFill="1" applyBorder="1"/>
    <x:xf numFmtId="0" fontId="7" fillId="0" borderId="5" xfId="0" applyNumberFormat="1" applyFont="1" applyFill="1" applyBorder="1"/>
    <x:xf numFmtId="203" fontId="9" fillId="4" borderId="0" xfId="0" applyNumberFormat="1" applyFont="1" applyFill="1" applyBorder="1"/>
    <x:xf numFmtId="0" fontId="9" fillId="4" borderId="0" xfId="0" applyNumberFormat="1" applyFont="1" applyFill="1" applyBorder="1"/>
    <x:xf numFmtId="201" fontId="9" fillId="4" borderId="0" xfId="0" applyNumberFormat="1" applyFont="1" applyFill="1" applyBorder="1"/>
    <x:xf numFmtId="202" fontId="9" fillId="4" borderId="0" xfId="0" applyNumberFormat="1" applyFont="1" applyFill="1" applyBorder="1"/>
    <x:xf numFmtId="202" fontId="10" fillId="0" borderId="0" xfId="0" applyNumberFormat="1" applyFont="1" applyFill="1" applyBorder="1"/>
    <x:xf numFmtId="0" fontId="7" fillId="0" borderId="6" xfId="0" applyNumberFormat="1" applyFont="1" applyFill="1" applyBorder="1"/>
    <x:xf numFmtId="0" fontId="9" fillId="4" borderId="7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204" fontId="7" fillId="0" borderId="2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200" fontId="7" fillId="0" borderId="7" xfId="0" applyNumberFormat="1" applyFont="1" applyFill="1" applyBorder="1"/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207" fontId="9" fillId="4" borderId="0" xfId="0" applyNumberFormat="1" applyFont="1" applyFill="1" applyBorder="1"/>
    <x:xf numFmtId="206" fontId="9" fillId="4" borderId="0" xfId="0" applyNumberFormat="1" applyFont="1" applyFill="1" applyBorder="1"/>
    <x:xf numFmtId="201" fontId="9" fillId="4" borderId="5" xfId="0" applyNumberFormat="1" applyFont="1" applyFill="1" applyBorder="1"/>
    <x:xf numFmtId="207" fontId="9" fillId="4" borderId="7" xfId="0" applyNumberFormat="1" applyFont="1" applyFill="1" applyBorder="1"/>
    <x:xf numFmtId="206" fontId="9" fillId="4" borderId="7" xfId="0" applyNumberFormat="1" applyFont="1" applyFill="1" applyBorder="1"/>
    <x:xf numFmtId="201" fontId="9" fillId="4" borderId="7" xfId="0" applyNumberFormat="1" applyFont="1" applyFill="1" applyBorder="1"/>
    <x:xf numFmtId="201" fontId="9" fillId="4" borderId="8" xfId="0" applyNumberFormat="1" applyFont="1" applyFill="1" applyBorder="1"/>
    <x:xf numFmtId="208" fontId="0" fillId="0" borderId="0" xfId="0" applyNumberFormat="1" applyFont="1" applyFill="1" applyBorder="1"/>
    <x:xf numFmtId="207" fontId="0" fillId="0" borderId="0" xfId="0" applyNumberFormat="1" applyFont="1" applyFill="1" applyBorder="1"/>
    <x:xf numFmtId="205" fontId="0" fillId="0" borderId="7" xfId="0" applyNumberFormat="1" applyFont="1" applyFill="1" applyBorder="1"/>
    <x:xf numFmtId="201" fontId="0" fillId="0" borderId="7" xfId="0" applyNumberFormat="1" applyFont="1" applyFill="1" applyBorder="1"/>
    <x:xf numFmtId="203" fontId="0" fillId="0" borderId="7" xfId="0" applyNumberFormat="1" applyFont="1" applyFill="1" applyBorder="1"/>
    <x:xf numFmtId="208" fontId="0" fillId="0" borderId="7" xfId="0" applyNumberFormat="1" applyFont="1" applyFill="1" applyBorder="1"/>
    <x:xf numFmtId="207" fontId="0" fillId="0" borderId="7" xfId="0" applyNumberFormat="1" applyFont="1" applyFill="1" applyBorder="1"/>
    <x:xf numFmtId="201" fontId="3" fillId="5" borderId="10" xfId="0" applyNumberFormat="1" applyFont="1" applyFill="1" applyBorder="1" applyAlignment="1">
      <x:alignment vertical="center" wrapText="1"/>
    </x:xf>
    <x:xf numFmtId="201" fontId="3" fillId="5" borderId="11" xfId="0" applyNumberFormat="1" applyFont="1" applyFill="1" applyBorder="1" applyAlignment="1">
      <x:alignment vertical="center" wrapText="1"/>
    </x:xf>
    <x:xf numFmtId="0" fontId="3" fillId="5" borderId="15" xfId="0" applyNumberFormat="1" applyFont="1" applyFill="1" applyBorder="1" applyAlignment="1">
      <x:alignment vertical="center" wrapText="1"/>
    </x:xf>
    <x:xf numFmtId="201" fontId="3" fillId="5" borderId="15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/>
    <x:xf numFmtId="203" fontId="3" fillId="5" borderId="10" xfId="0" applyNumberFormat="1" applyFont="1" applyFill="1" applyBorder="1" applyAlignment="1">
      <x:alignment vertical="center" wrapText="1"/>
    </x:xf>
    <x:xf numFmtId="203" fontId="3" fillId="5" borderId="11" xfId="0" applyNumberFormat="1" applyFont="1" applyFill="1" applyBorder="1" applyAlignment="1">
      <x:alignment vertical="center" wrapText="1"/>
    </x:xf>
    <x:xf numFmtId="203" fontId="3" fillId="5" borderId="15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/>
    <x:xf numFmtId="0" fontId="0" fillId="0" borderId="15" xfId="0" applyNumberFormat="1" applyFont="1" applyFill="1" applyBorder="1"/>
    <x:xf numFmtId="206" fontId="0" fillId="0" borderId="15" xfId="0" applyNumberFormat="1" applyFont="1" applyFill="1" applyBorder="1"/>
    <x:xf numFmtId="201" fontId="0" fillId="0" borderId="5" xfId="0" applyNumberFormat="1" applyFont="1" applyFill="1" applyBorder="1"/>
    <x:xf numFmtId="203" fontId="0" fillId="0" borderId="5" xfId="0" applyNumberFormat="1" applyFont="1" applyFill="1" applyBorder="1"/>
    <x:xf numFmtId="207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12" fillId="3" borderId="2" xfId="0" applyNumberFormat="1" applyFont="1" applyFill="1" applyBorder="1"/>
    <x:xf numFmtId="0" fontId="12" fillId="3" borderId="3" xfId="0" applyNumberFormat="1" applyFont="1" applyFill="1" applyBorder="1"/>
    <x:xf numFmtId="0" fontId="12" fillId="3" borderId="6" xfId="0" applyNumberFormat="1" applyFont="1" applyFill="1" applyBorder="1"/>
    <x:xf numFmtId="0" fontId="12" fillId="3" borderId="7" xfId="0" applyNumberFormat="1" applyFont="1" applyFill="1" applyBorder="1"/>
    <x:xf numFmtId="0" fontId="12" fillId="3" borderId="8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0" fontId="12" fillId="3" borderId="2" xfId="0" applyNumberFormat="1" applyFont="1" applyFill="1" applyBorder="1" applyAlignment="1">
      <x:alignment horizontal="center"/>
    </x:xf>
    <x:xf numFmtId="0" fontId="12" fillId="3" borderId="3" xfId="0" applyNumberFormat="1" applyFont="1" applyFill="1" applyBorder="1" applyAlignment="1">
      <x:alignment horizontal="center"/>
    </x:xf>
    <x:xf numFmtId="0" fontId="12" fillId="3" borderId="6" xfId="0" applyNumberFormat="1" applyFont="1" applyFill="1" applyBorder="1" applyAlignment="1">
      <x:alignment horizontal="center"/>
    </x:xf>
    <x:xf numFmtId="0" fontId="12" fillId="3" borderId="7" xfId="0" applyNumberFormat="1" applyFont="1" applyFill="1" applyBorder="1" applyAlignment="1">
      <x:alignment horizontal="center"/>
    </x:xf>
    <x:xf numFmtId="0" fontId="12" fillId="3" borderId="8" xfId="0" applyNumberFormat="1" applyFont="1" applyFill="1" applyBorder="1" applyAlignment="1">
      <x:alignment horizontal="center"/>
    </x:xf>
    <x:xf numFmtId="0" fontId="12" fillId="3" borderId="1" xfId="0" applyNumberFormat="1" applyFont="1" applyFill="1" applyBorder="1" applyAlignment="1">
      <x:alignment horizontal="center" vertical="center"/>
    </x:xf>
    <x:xf numFmtId="0" fontId="12" fillId="3" borderId="2" xfId="0" applyNumberFormat="1" applyFont="1" applyFill="1" applyBorder="1" applyAlignment="1">
      <x:alignment horizontal="center" vertical="center"/>
    </x:xf>
    <x:xf numFmtId="0" fontId="12" fillId="3" borderId="3" xfId="0" applyNumberFormat="1" applyFont="1" applyFill="1" applyBorder="1" applyAlignment="1">
      <x:alignment horizontal="center" vertical="center"/>
    </x:xf>
    <x:xf numFmtId="0" fontId="12" fillId="3" borderId="6" xfId="0" applyNumberFormat="1" applyFont="1" applyFill="1" applyBorder="1" applyAlignment="1">
      <x:alignment horizontal="center" vertical="center"/>
    </x:xf>
    <x:xf numFmtId="0" fontId="12" fillId="3" borderId="7" xfId="0" applyNumberFormat="1" applyFont="1" applyFill="1" applyBorder="1" applyAlignment="1">
      <x:alignment horizontal="center" vertical="center"/>
    </x:xf>
    <x:xf numFmtId="0" fontId="12" fillId="3" borderId="8" xfId="0" applyNumberFormat="1" applyFont="1" applyFill="1" applyBorder="1" applyAlignment="1">
      <x:alignment horizontal="center" vertical="center"/>
    </x:xf>
    <x:xf numFmtId="203" fontId="12" fillId="3" borderId="1" xfId="0" applyNumberFormat="1" applyFont="1" applyFill="1" applyBorder="1" applyAlignment="1">
      <x:alignment horizontal="center" vertical="center"/>
    </x:xf>
    <x:xf numFmtId="203" fontId="12" fillId="3" borderId="2" xfId="0" applyNumberFormat="1" applyFont="1" applyFill="1" applyBorder="1" applyAlignment="1">
      <x:alignment horizontal="center" vertical="center"/>
    </x:xf>
    <x:xf numFmtId="203" fontId="12" fillId="3" borderId="6" xfId="0" applyNumberFormat="1" applyFont="1" applyFill="1" applyBorder="1" applyAlignment="1">
      <x:alignment horizontal="center" vertical="center"/>
    </x:xf>
    <x:xf numFmtId="203" fontId="12" fillId="3" borderId="7" xfId="0" applyNumberFormat="1" applyFont="1" applyFill="1" applyBorder="1" applyAlignment="1">
      <x:alignment horizontal="center" vertical="center"/>
    </x:xf>
    <x:xf numFmtId="200" fontId="12" fillId="3" borderId="2" xfId="0" applyNumberFormat="1" applyFont="1" applyFill="1" applyBorder="1" applyAlignment="1">
      <x:alignment horizontal="center" vertical="center"/>
    </x:xf>
    <x:xf numFmtId="200" fontId="12" fillId="3" borderId="7" xfId="0" applyNumberFormat="1" applyFont="1" applyFill="1" applyBorder="1" applyAlignment="1">
      <x:alignment horizontal="center" vertical="center"/>
    </x:xf>
    <x:xf numFmtId="206" fontId="12" fillId="3" borderId="2" xfId="0" applyNumberFormat="1" applyFont="1" applyFill="1" applyBorder="1" applyAlignment="1">
      <x:alignment horizontal="center" vertical="center"/>
    </x:xf>
    <x:xf numFmtId="206" fontId="12" fillId="3" borderId="7" xfId="0" applyNumberFormat="1" applyFont="1" applyFill="1" applyBorder="1" applyAlignment="1">
      <x:alignment horizontal="center" vertical="center"/>
    </x:xf>
    <x:xf numFmtId="201" fontId="12" fillId="3" borderId="2" xfId="0" applyNumberFormat="1" applyFont="1" applyFill="1" applyBorder="1" applyAlignment="1">
      <x:alignment horizontal="center" vertical="center"/>
    </x:xf>
    <x:xf numFmtId="201" fontId="12" fillId="3" borderId="3" xfId="0" applyNumberFormat="1" applyFont="1" applyFill="1" applyBorder="1" applyAlignment="1">
      <x:alignment horizontal="center" vertical="center"/>
    </x:xf>
    <x:xf numFmtId="201" fontId="12" fillId="3" borderId="7" xfId="0" applyNumberFormat="1" applyFont="1" applyFill="1" applyBorder="1" applyAlignment="1">
      <x:alignment horizontal="center" vertical="center"/>
    </x:xf>
    <x:xf numFmtId="201" fontId="12" fillId="3" borderId="8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4" xfId="0" applyNumberFormat="1" applyFont="1" applyFill="1" applyBorder="1"/>
    <x:xf numFmtId="0" fontId="0" fillId="7" borderId="6" xfId="0" applyNumberFormat="1" applyFont="1" applyFill="1" applyBorder="1"/>
    <x:xf numFmtId="0" fontId="13" fillId="7" borderId="1" xfId="0" applyNumberFormat="1" applyFont="1" applyFill="1" applyBorder="1"/>
    <x:xf numFmtId="0" fontId="13" fillId="7" borderId="4" xfId="0" applyNumberFormat="1" applyFont="1" applyFill="1" applyBorder="1"/>
    <x:xf numFmtId="0" fontId="13" fillId="7" borderId="6" xfId="0" applyNumberFormat="1" applyFont="1" applyFill="1" applyBorder="1"/>
    <x:xf numFmtId="0" fontId="13" fillId="7" borderId="1" xfId="0" applyNumberFormat="1" applyFont="1" applyFill="1" applyBorder="1" applyAlignment="1">
      <x:alignment horizontal="center"/>
    </x:xf>
    <x:xf numFmtId="0" fontId="13" fillId="7" borderId="4" xfId="0" applyNumberFormat="1" applyFont="1" applyFill="1" applyBorder="1" applyAlignment="1">
      <x:alignment horizontal="center"/>
    </x:xf>
    <x:xf numFmtId="0" fontId="13" fillId="7" borderId="6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/>
    </x:xf>
    <x:xf numFmtId="203" fontId="14" fillId="3" borderId="1" xfId="0" applyNumberFormat="1" applyFont="1" applyFill="1" applyBorder="1" applyAlignment="1">
      <x:alignment horizontal="center" vertical="center"/>
    </x:xf>
    <x:xf numFmtId="203" fontId="14" fillId="3" borderId="2" xfId="0" applyNumberFormat="1" applyFont="1" applyFill="1" applyBorder="1" applyAlignment="1">
      <x:alignment horizontal="center" vertical="center"/>
    </x:xf>
    <x:xf numFmtId="200" fontId="14" fillId="3" borderId="2" xfId="0" applyNumberFormat="1" applyFont="1" applyFill="1" applyBorder="1" applyAlignment="1">
      <x:alignment horizontal="center" vertical="center"/>
    </x:xf>
    <x:xf numFmtId="206" fontId="14" fillId="3" borderId="2" xfId="0" applyNumberFormat="1" applyFont="1" applyFill="1" applyBorder="1" applyAlignment="1">
      <x:alignment horizontal="center" vertical="center"/>
    </x:xf>
    <x:xf numFmtId="201" fontId="14" fillId="3" borderId="2" xfId="0" applyNumberFormat="1" applyFont="1" applyFill="1" applyBorder="1" applyAlignment="1">
      <x:alignment horizontal="center" vertical="center"/>
    </x:xf>
    <x:xf numFmtId="201" fontId="14" fillId="3" borderId="3" xfId="0" applyNumberFormat="1" applyFont="1" applyFill="1" applyBorder="1" applyAlignment="1">
      <x:alignment horizontal="center" vertical="center"/>
    </x:xf>
    <x:xf numFmtId="203" fontId="14" fillId="3" borderId="6" xfId="0" applyNumberFormat="1" applyFont="1" applyFill="1" applyBorder="1" applyAlignment="1">
      <x:alignment horizontal="center" vertical="center"/>
    </x:xf>
    <x:xf numFmtId="203" fontId="14" fillId="3" borderId="7" xfId="0" applyNumberFormat="1" applyFont="1" applyFill="1" applyBorder="1" applyAlignment="1">
      <x:alignment horizontal="center" vertical="center"/>
    </x:xf>
    <x:xf numFmtId="200" fontId="14" fillId="3" borderId="7" xfId="0" applyNumberFormat="1" applyFont="1" applyFill="1" applyBorder="1" applyAlignment="1">
      <x:alignment horizontal="center" vertical="center"/>
    </x:xf>
    <x:xf numFmtId="206" fontId="14" fillId="3" borderId="7" xfId="0" applyNumberFormat="1" applyFont="1" applyFill="1" applyBorder="1" applyAlignment="1">
      <x:alignment horizontal="center" vertical="center"/>
    </x:xf>
    <x:xf numFmtId="201" fontId="14" fillId="3" borderId="7" xfId="0" applyNumberFormat="1" applyFont="1" applyFill="1" applyBorder="1" applyAlignment="1">
      <x:alignment horizontal="center" vertical="center"/>
    </x:xf>
    <x:xf numFmtId="201" fontId="14" fillId="3" borderId="8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15" fillId="7" borderId="1" xfId="0" applyNumberFormat="1" applyFont="1" applyFill="1" applyBorder="1" applyAlignment="1">
      <x:alignment horizontal="center"/>
    </x:xf>
    <x:xf numFmtId="0" fontId="7" fillId="0" borderId="3" xfId="0" applyNumberFormat="1" applyFont="1" applyFill="1" applyBorder="1" applyAlignment="1">
      <x:alignment wrapText="1"/>
    </x:xf>
    <x:xf numFmtId="0" fontId="15" fillId="7" borderId="4" xfId="0" applyNumberFormat="1" applyFont="1" applyFill="1" applyBorder="1" applyAlignment="1">
      <x:alignment horizontal="center"/>
    </x:xf>
    <x:xf numFmtId="0" fontId="7" fillId="0" borderId="5" xfId="0" applyNumberFormat="1" applyFont="1" applyFill="1" applyBorder="1" applyAlignment="1">
      <x:alignment wrapText="1"/>
    </x:xf>
    <x:xf numFmtId="0" fontId="15" fillId="7" borderId="6" xfId="0" applyNumberFormat="1" applyFont="1" applyFill="1" applyBorder="1" applyAlignment="1">
      <x:alignment horizontal="center"/>
    </x:xf>
    <x:xf numFmtId="0" fontId="7" fillId="0" borderId="8" xfId="0" applyNumberFormat="1" applyFont="1" applyFill="1" applyBorder="1" applyAlignment="1">
      <x:alignment wrapText="1"/>
    </x:xf>
    <x:xf numFmtId="207" fontId="7" fillId="0" borderId="0" xfId="0" applyNumberFormat="1" applyFont="1" applyFill="1" applyBorder="1"/>
    <x:xf numFmtId="201" fontId="7" fillId="0" borderId="7" xfId="0" applyNumberFormat="1" applyFont="1" applyFill="1" applyBorder="1"/>
    <x:xf numFmtId="203" fontId="7" fillId="0" borderId="7" xfId="0" applyNumberFormat="1" applyFont="1" applyFill="1" applyBorder="1"/>
    <x:xf numFmtId="207" fontId="7" fillId="0" borderId="7" xfId="0" applyNumberFormat="1" applyFont="1" applyFill="1" applyBorder="1"/>
    <x:xf numFmtId="208" fontId="7" fillId="0" borderId="0" xfId="0" applyNumberFormat="1" applyFont="1" applyFill="1" applyBorder="1"/>
    <x:xf numFmtId="205" fontId="7" fillId="0" borderId="7" xfId="0" applyNumberFormat="1" applyFont="1" applyFill="1" applyBorder="1"/>
    <x:xf numFmtId="208" fontId="7" fillId="0" borderId="7" xfId="0" applyNumberFormat="1" applyFont="1" applyFill="1" applyBorder="1"/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201" fontId="6" fillId="5" borderId="15" xfId="0" applyNumberFormat="1" applyFont="1" applyFill="1" applyBorder="1" applyAlignment="1">
      <x:alignment vertical="center" wrapText="1"/>
    </x:xf>
    <x:xf numFmtId="203" fontId="7" fillId="0" borderId="15" xfId="0" applyNumberFormat="1" applyFont="1" applyFill="1" applyBorder="1"/>
    <x:xf numFmtId="203" fontId="6" fillId="5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/>
    <x:xf numFmtId="0" fontId="7" fillId="0" borderId="15" xfId="0" applyNumberFormat="1" applyFont="1" applyFill="1" applyBorder="1"/>
    <x:xf numFmtId="206" fontId="7" fillId="0" borderId="15" xfId="0" applyNumberFormat="1" applyFont="1" applyFill="1" applyBorder="1"/>
    <x:xf numFmtId="201" fontId="7" fillId="0" borderId="5" xfId="0" applyNumberFormat="1" applyFont="1" applyFill="1" applyBorder="1"/>
    <x:xf numFmtId="203" fontId="7" fillId="0" borderId="5" xfId="0" applyNumberFormat="1" applyFont="1" applyFill="1" applyBorder="1"/>
    <x:xf numFmtId="207" fontId="7" fillId="0" borderId="5" xfId="0" applyNumberFormat="1" applyFont="1" applyFill="1" applyBorder="1"/>
    <x:xf numFmtId="200" fontId="7" fillId="0" borderId="8" xfId="0" applyNumberFormat="1" applyFont="1" applyFill="1" applyBorder="1"/>
    <x:xf numFmtId="201" fontId="7" fillId="0" borderId="2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203" fontId="16" fillId="3" borderId="1" xfId="0" applyNumberFormat="1" applyFont="1" applyFill="1" applyBorder="1" applyAlignment="1">
      <x:alignment horizontal="center" vertical="center"/>
    </x:xf>
    <x:xf numFmtId="203" fontId="16" fillId="3" borderId="2" xfId="0" applyNumberFormat="1" applyFont="1" applyFill="1" applyBorder="1" applyAlignment="1">
      <x:alignment horizontal="center" vertical="center"/>
    </x:xf>
    <x:xf numFmtId="200" fontId="16" fillId="3" borderId="2" xfId="0" applyNumberFormat="1" applyFont="1" applyFill="1" applyBorder="1" applyAlignment="1">
      <x:alignment horizontal="center" vertical="center"/>
    </x:xf>
    <x:xf numFmtId="206" fontId="16" fillId="3" borderId="2" xfId="0" applyNumberFormat="1" applyFont="1" applyFill="1" applyBorder="1" applyAlignment="1">
      <x:alignment horizontal="center" vertical="center"/>
    </x:xf>
    <x:xf numFmtId="201" fontId="16" fillId="3" borderId="2" xfId="0" applyNumberFormat="1" applyFont="1" applyFill="1" applyBorder="1" applyAlignment="1">
      <x:alignment horizontal="center" vertical="center"/>
    </x:xf>
    <x:xf numFmtId="201" fontId="16" fillId="3" borderId="3" xfId="0" applyNumberFormat="1" applyFont="1" applyFill="1" applyBorder="1" applyAlignment="1">
      <x:alignment horizontal="center" vertical="center"/>
    </x:xf>
    <x:xf numFmtId="203" fontId="16" fillId="3" borderId="6" xfId="0" applyNumberFormat="1" applyFont="1" applyFill="1" applyBorder="1" applyAlignment="1">
      <x:alignment horizontal="center" vertical="center"/>
    </x:xf>
    <x:xf numFmtId="203" fontId="16" fillId="3" borderId="7" xfId="0" applyNumberFormat="1" applyFont="1" applyFill="1" applyBorder="1" applyAlignment="1">
      <x:alignment horizontal="center" vertical="center"/>
    </x:xf>
    <x:xf numFmtId="200" fontId="16" fillId="3" borderId="7" xfId="0" applyNumberFormat="1" applyFont="1" applyFill="1" applyBorder="1" applyAlignment="1">
      <x:alignment horizontal="center" vertical="center"/>
    </x:xf>
    <x:xf numFmtId="206" fontId="16" fillId="3" borderId="7" xfId="0" applyNumberFormat="1" applyFont="1" applyFill="1" applyBorder="1" applyAlignment="1">
      <x:alignment horizontal="center" vertical="center"/>
    </x:xf>
    <x:xf numFmtId="201" fontId="16" fillId="3" borderId="7" xfId="0" applyNumberFormat="1" applyFont="1" applyFill="1" applyBorder="1" applyAlignment="1">
      <x:alignment horizontal="center" vertical="center"/>
    </x:xf>
    <x:xf numFmtId="201" fontId="16" fillId="3" borderId="8" xfId="0" applyNumberFormat="1" applyFont="1" applyFill="1" applyBorder="1" applyAlignment="1">
      <x:alignment horizontal="center" vertical="center"/>
    </x:xf>
    <x:xf numFmtId="0" fontId="17" fillId="0" borderId="4" xfId="0" applyNumberFormat="1" applyFont="1" applyFill="1" applyBorder="1"/>
    <x:xf numFmtId="201" fontId="17" fillId="0" borderId="0" xfId="0" applyNumberFormat="1" applyFont="1" applyFill="1" applyBorder="1"/>
    <x:xf numFmtId="203" fontId="17" fillId="0" borderId="0" xfId="0" applyNumberFormat="1" applyFont="1" applyFill="1" applyBorder="1"/>
    <x:xf numFmtId="207" fontId="17" fillId="0" borderId="0" xfId="0" applyNumberFormat="1" applyFont="1" applyFill="1" applyBorder="1"/>
    <x:xf numFmtId="0" fontId="17" fillId="0" borderId="6" xfId="0" applyNumberFormat="1" applyFont="1" applyFill="1" applyBorder="1"/>
    <x:xf numFmtId="201" fontId="17" fillId="0" borderId="7" xfId="0" applyNumberFormat="1" applyFont="1" applyFill="1" applyBorder="1"/>
    <x:xf numFmtId="203" fontId="17" fillId="0" borderId="7" xfId="0" applyNumberFormat="1" applyFont="1" applyFill="1" applyBorder="1"/>
    <x:xf numFmtId="207" fontId="17" fillId="0" borderId="7" xfId="0" applyNumberFormat="1" applyFont="1" applyFill="1" applyBorder="1"/>
  </x:cellXfs>
  <x:cellStyles count="1">
    <x:cellStyle name="Normal" xfId="0"/>
  </x:cellStyles>
  <x:dxfs count="11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8ea46f7f64bdd" /><Relationship Type="http://schemas.openxmlformats.org/officeDocument/2006/relationships/theme" Target="/xl/theme/theme1.xml" Id="R240465fd8a554efe" /><Relationship Type="http://schemas.openxmlformats.org/officeDocument/2006/relationships/sharedStrings" Target="/xl/sharedStrings.xml" Id="Ra195ce9d0bc44496" /><Relationship Type="http://schemas.openxmlformats.org/officeDocument/2006/relationships/worksheet" Target="/xl/worksheets/sheet1.xml" Id="R7f966ce623464961" /><Relationship Type="http://schemas.openxmlformats.org/officeDocument/2006/relationships/worksheet" Target="/xl/worksheets/sheet2.xml" Id="R1601b3e973164741" /><Relationship Type="http://schemas.openxmlformats.org/officeDocument/2006/relationships/worksheet" Target="/xl/worksheets/sheet3.xml" Id="R89abf4104ad1406e" /><Relationship Type="http://schemas.openxmlformats.org/officeDocument/2006/relationships/worksheet" Target="/xl/worksheets/sheet4.xml" Id="R75f7e7b37fda4ef0" /><Relationship Type="http://schemas.openxmlformats.org/officeDocument/2006/relationships/worksheet" Target="/xl/worksheets/sheet5.xml" Id="Rd18e83b7970844c1" /><Relationship Type="http://schemas.openxmlformats.org/officeDocument/2006/relationships/worksheet" Target="/xl/worksheets/sheet6.xml" Id="R2c27ffd398ca45b6" /><Relationship Type="http://schemas.openxmlformats.org/officeDocument/2006/relationships/worksheet" Target="/xl/worksheets/sheet7.xml" Id="R76231827a7af4cdb" /><Relationship Type="http://schemas.openxmlformats.org/officeDocument/2006/relationships/worksheet" Target="/xl/worksheets/sheet8.xml" Id="R2e601b3a955148ef" /><Relationship Type="http://schemas.openxmlformats.org/officeDocument/2006/relationships/worksheet" Target="/xl/worksheets/sheet9.xml" Id="R79abf76f64c9400f" /><Relationship Type="http://schemas.microsoft.com/office/2017/10/relationships/person" Target="/xl/persons/person.xml" Id="R9dc8890b33ab42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2a5c70e8842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6a41285b11c4f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Price paths: simultaneous emissions amplify downside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No demand</c:v>
          </c:tx>
          <c:marker>
            <c:symbol val="none"/>
          </c:marker>
          <c:cat>
            <c:strRef>
              <c:f>'Scenario Model'!$B$4:$B$368</c:f>
              <c:strCache>
                <c:ptCount val="0"/>
              </c:strCache>
            </c:strRef>
          </c:cat>
          <c:val>
            <c:numRef>
              <c:f>'Scenario Model'!$W$4:$W$368</c:f>
              <c:numCache>
                <c:formatCode>$0.0000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</c:v>
          </c:tx>
          <c:marker>
            <c:symbol val="none"/>
          </c:marker>
          <c:cat>
            <c:strRef>
              <c:f>'Scenario Model'!$B$734:$B$1098</c:f>
              <c:strCache>
                <c:ptCount val="0"/>
              </c:strCache>
            </c:strRef>
          </c:cat>
          <c:val>
            <c:numRef>
              <c:f>'Scenario Model'!$W$734:$W$1098</c:f>
              <c:numCache>
                <c:formatCode>$0.0000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Growth</c:v>
          </c:tx>
          <c:marker>
            <c:symbol val="none"/>
          </c:marker>
          <c:cat>
            <c:strRef>
              <c:f>'Scenario Model'!$B$1099:$B$1463</c:f>
              <c:strCache>
                <c:ptCount val="0"/>
              </c:strCache>
            </c:strRef>
          </c:cat>
          <c:val>
            <c:numRef>
              <c:f>'Scenario Model'!$W$1099:$W$1463</c:f>
              <c:numCache>
                <c:formatCode>$0.0000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Whale exit</c:v>
          </c:tx>
          <c:marker>
            <c:symbol val="none"/>
          </c:marker>
          <c:cat>
            <c:strRef>
              <c:f>'Scenario Model'!$B$2194:$B$2558</c:f>
              <c:strCache>
                <c:ptCount val="0"/>
              </c:strCache>
            </c:strRef>
          </c:cat>
          <c:val>
            <c:numRef>
              <c:f>'Scenario Model'!$W$2194:$W$2558</c:f>
              <c:numCache>
                <c:formatCode>$0.0000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USDC per token</a:t>
                </a:r>
              </a:p>
            </c:rich>
          </c:tx>
          <c:overlay val="0"/>
        </c:title>
        <c:numFmt formatCode="$0.0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Distribution of 365-day price returns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Runs</c:v>
          </c:tx>
          <c:cat>
            <c:strRef>
              <c:f>'Monte Carlo'!$J$6:$J$15</c:f>
              <c:strCache>
                <c:ptCount val="0"/>
              </c:strCache>
            </c:strRef>
          </c:cat>
          <c:val>
            <c:numRef>
              <c:f>'Monte Carlo'!$K$6:$K$15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2a5c70e8842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a41285b11c4f3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8190445-095D-42BA-836E-464105B3250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2ac8305e62c46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c48fe1ecc52749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58" t="str">
        <x:v>TickerGarden: 2,500 USDC + 1% LaunchAllocation Simulation</x:v>
      </x:c>
      <x:c r="B1" s="58" t="str">
        <x:v>TickerGarden: 2,500 USDC + 1% LaunchAllocation Simulation</x:v>
      </x:c>
      <x:c r="C1" s="58" t="str">
        <x:v>TickerGarden: 2,500 USDC + 1% LaunchAllocation Simulation</x:v>
      </x:c>
      <x:c r="D1" s="58" t="str">
        <x:v>TickerGarden: 2,500 USDC + 1% LaunchAllocation Simulation</x:v>
      </x:c>
      <x:c r="E1" s="58" t="str">
        <x:v>TickerGarden: 2,500 USDC + 1% LaunchAllocation Simulation</x:v>
      </x:c>
      <x:c r="F1" s="58" t="str">
        <x:v>TickerGarden: 2,500 USDC + 1% LaunchAllocation Simulation</x:v>
      </x:c>
      <x:c r="G1" s="58" t="str">
        <x:v>TickerGarden: 2,500 USDC + 1% LaunchAllocation Simulation</x:v>
      </x:c>
      <x:c r="H1" s="58" t="str">
        <x:v>TickerGarden: 2,500 USDC + 1% LaunchAllocation Simulation</x:v>
      </x:c>
      <x:c r="I1" s="58" t="str">
        <x:v>TickerGarden: 2,500 USDC + 1% LaunchAllocation Simulation</x:v>
      </x:c>
      <x:c r="J1" s="58" t="str">
        <x:v>TickerGarden: 2,500 USDC + 1% LaunchAllocation Simulation</x:v>
      </x:c>
      <x:c r="K1" s="58" t="str">
        <x:v>TickerGarden: 2,500 USDC + 1% LaunchAllocation Simulation</x:v>
      </x:c>
      <x:c r="L1" s="58" t="str">
        <x:v>TickerGarden: 2,500 USDC + 1% LaunchAllocation Simulation</x:v>
      </x:c>
    </x:row>
    <x:row r="2" ht="30" customHeight="1">
      <x:c r="A2" s="58" t="str">
        <x:v>TickerGarden: 2,500 USDC + 1% LaunchAllocation Simulation</x:v>
      </x:c>
      <x:c r="B2" s="58" t="str">
        <x:v>TickerGarden: 2,500 USDC + 1% LaunchAllocation Simulation</x:v>
      </x:c>
      <x:c r="C2" s="58" t="str">
        <x:v>TickerGarden: 2,500 USDC + 1% LaunchAllocation Simulation</x:v>
      </x:c>
      <x:c r="D2" s="58" t="str">
        <x:v>TickerGarden: 2,500 USDC + 1% LaunchAllocation Simulation</x:v>
      </x:c>
      <x:c r="E2" s="58" t="str">
        <x:v>TickerGarden: 2,500 USDC + 1% LaunchAllocation Simulation</x:v>
      </x:c>
      <x:c r="F2" s="58" t="str">
        <x:v>TickerGarden: 2,500 USDC + 1% LaunchAllocation Simulation</x:v>
      </x:c>
      <x:c r="G2" s="58" t="str">
        <x:v>TickerGarden: 2,500 USDC + 1% LaunchAllocation Simulation</x:v>
      </x:c>
      <x:c r="H2" s="58" t="str">
        <x:v>TickerGarden: 2,500 USDC + 1% LaunchAllocation Simulation</x:v>
      </x:c>
      <x:c r="I2" s="58" t="str">
        <x:v>TickerGarden: 2,500 USDC + 1% LaunchAllocation Simulation</x:v>
      </x:c>
      <x:c r="J2" s="58" t="str">
        <x:v>TickerGarden: 2,500 USDC + 1% LaunchAllocation Simulation</x:v>
      </x:c>
      <x:c r="K2" s="58" t="str">
        <x:v>TickerGarden: 2,500 USDC + 1% LaunchAllocation Simulation</x:v>
      </x:c>
      <x:c r="L2" s="58" t="str">
        <x:v>TickerGarden: 2,500 USDC + 1% LaunchAllocation Simulation</x:v>
      </x:c>
    </x:row>
    <x:row r="3">
      <x:c r="A3" s="170" t="str">
        <x:v>Decision question: Is simultaneous Stock staking + LP staking/emissions economically stable after graduation?</x:v>
      </x:c>
      <x:c r="B3" s="170" t="str">
        <x:v>Decision question: Is simultaneous Stock staking + LP staking/emissions economically stable after graduation?</x:v>
      </x:c>
      <x:c r="C3" s="170" t="str">
        <x:v>Decision question: Is simultaneous Stock staking + LP staking/emissions economically stable after graduation?</x:v>
      </x:c>
      <x:c r="D3" s="170" t="str">
        <x:v>Decision question: Is simultaneous Stock staking + LP staking/emissions economically stable after graduation?</x:v>
      </x:c>
      <x:c r="E3" s="170" t="str">
        <x:v>Decision question: Is simultaneous Stock staking + LP staking/emissions economically stable after graduation?</x:v>
      </x:c>
      <x:c r="F3" s="170" t="str">
        <x:v>Decision question: Is simultaneous Stock staking + LP staking/emissions economically stable after graduation?</x:v>
      </x:c>
      <x:c r="G3" s="170" t="str">
        <x:v>Decision question: Is simultaneous Stock staking + LP staking/emissions economically stable after graduation?</x:v>
      </x:c>
      <x:c r="H3" s="170" t="str">
        <x:v>Decision question: Is simultaneous Stock staking + LP staking/emissions economically stable after graduation?</x:v>
      </x:c>
      <x:c r="I3" s="170" t="str">
        <x:v>Decision question: Is simultaneous Stock staking + LP staking/emissions economically stable after graduation?</x:v>
      </x:c>
      <x:c r="J3" s="170" t="str">
        <x:v>Decision question: Is simultaneous Stock staking + LP staking/emissions economically stable after graduation?</x:v>
      </x:c>
      <x:c r="K3" s="170" t="str">
        <x:v>Decision question: Is simultaneous Stock staking + LP staking/emissions economically stable after graduation?</x:v>
      </x:c>
      <x:c r="L3" s="170" t="str">
        <x:v>Decision question: Is simultaneous Stock staking + LP staking/emissions economically stable after graduation?</x:v>
      </x:c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  <x:c r="K4" s="59"/>
      <x:c r="L4" s="59"/>
    </x:row>
    <x:row r="5">
      <x:c r="A5" s="171" t="str">
        <x:v>Graduation FDV</x:v>
      </x:c>
      <x:c r="B5" s="171"/>
      <x:c r="C5" s="171" t="str">
        <x:v>Curve float</x:v>
      </x:c>
      <x:c r="D5" s="171"/>
      <x:c r="E5" s="171" t="str">
        <x:v>7-day emissions</x:v>
      </x:c>
      <x:c r="F5" s="171"/>
      <x:c r="G5" s="171" t="str">
        <x:v>7d / curve float</x:v>
      </x:c>
      <x:c r="H5" s="171"/>
      <x:c r="I5" s="171" t="str">
        <x:v>Initial TVL</x:v>
      </x:c>
      <x:c r="J5" s="171"/>
      <x:c r="K5" s="171" t="str">
        <x:v>$100 impact</x:v>
      </x:c>
      <x:c r="L5" s="171"/>
    </x:row>
    <x:row r="6">
      <x:c r="A6" s="217" t="n">
        <x:f>'Inputs'!B32</x:f>
        <x:v>874999.9999999999</x:v>
      </x:c>
      <x:c r="B6" s="218"/>
      <x:c r="C6" s="219" t="n">
        <x:f>'Inputs'!B27/'Inputs'!B6</x:f>
        <x:v>0.007142857142857143</x:v>
      </x:c>
      <x:c r="D6" s="219"/>
      <x:c r="E6" s="219" t="n">
        <x:f>'Inputs'!B37</x:f>
        <x:v>0.0071084842371927194</x:v>
      </x:c>
      <x:c r="F6" s="219"/>
      <x:c r="G6" s="220" t="n">
        <x:f>'Inputs'!B38</x:f>
        <x:v>0.9951877932069807</x:v>
      </x:c>
      <x:c r="H6" s="220"/>
      <x:c r="I6" s="218" t="n">
        <x:f>'Inputs'!B33</x:f>
        <x:v>5000</x:v>
      </x:c>
      <x:c r="J6" s="218"/>
      <x:c r="K6" s="221" t="n">
        <x:f>'Inputs'!B34</x:f>
        <x:v>0.038461538461538464</x:v>
      </x:c>
      <x:c r="L6" s="222"/>
    </x:row>
    <x:row r="7">
      <x:c r="A7" s="223"/>
      <x:c r="B7" s="224"/>
      <x:c r="C7" s="225"/>
      <x:c r="D7" s="225"/>
      <x:c r="E7" s="225"/>
      <x:c r="F7" s="225"/>
      <x:c r="G7" s="226"/>
      <x:c r="H7" s="226"/>
      <x:c r="I7" s="224"/>
      <x:c r="J7" s="224"/>
      <x:c r="K7" s="227"/>
      <x:c r="L7" s="228"/>
    </x:row>
    <x:row r="8">
      <x:c r="A8" s="59"/>
      <x:c r="B8" s="59"/>
      <x:c r="C8" s="59"/>
      <x:c r="D8" s="59"/>
      <x:c r="E8" s="59"/>
      <x:c r="F8" s="59"/>
      <x:c r="G8" s="59"/>
      <x:c r="H8" s="59"/>
      <x:c r="I8" s="59"/>
      <x:c r="J8" s="59"/>
      <x:c r="K8" s="59"/>
      <x:c r="L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</x:row>
    <x:row r="10">
      <x:c r="A10" s="58" t="str">
        <x:v>Core findings</x:v>
      </x:c>
      <x:c r="B10" s="58" t="str">
        <x:v>Core findings</x:v>
      </x:c>
      <x:c r="C10" s="58" t="str">
        <x:v>Core findings</x:v>
      </x:c>
      <x:c r="D10" s="58" t="str">
        <x:v>Core findings</x:v>
      </x:c>
      <x:c r="E10" s="58" t="str">
        <x:v>Core findings</x:v>
      </x:c>
      <x:c r="F10" s="58" t="str">
        <x:v>Core findings</x:v>
      </x:c>
      <x:c r="G10" s="58" t="str">
        <x:v>Core findings</x:v>
      </x:c>
      <x:c r="H10" s="58" t="str">
        <x:v>Core findings</x:v>
      </x:c>
      <x:c r="I10" s="58" t="str">
        <x:v>Core findings</x:v>
      </x:c>
      <x:c r="J10" s="58" t="str">
        <x:v>Core findings</x:v>
      </x:c>
      <x:c r="K10" s="58" t="str">
        <x:v>Core findings</x:v>
      </x:c>
      <x:c r="L10" s="58" t="str">
        <x:v>Core findings</x:v>
      </x:c>
    </x:row>
    <x:row r="11" ht="38" customHeight="1">
      <x:c r="A11" s="61" t="str">
        <x:v>1</x:v>
      </x:c>
      <x:c r="B11" s="184" t="str">
        <x:v>Early dilution</x:v>
      </x:c>
      <x:c r="C11" s="184" t="str">
        <x:v>At full participation, simultaneous Stock + LP emissions in the first 7 days are approximately equal to the entire curve-sold float.</x:v>
      </x:c>
      <x:c r="D11" s="64" t="str">
        <x:v>HIGH</x:v>
      </x:c>
      <x:c r="E11" s="59"/>
      <x:c r="F11" s="59"/>
      <x:c r="G11" s="59"/>
      <x:c r="H11" s="59"/>
      <x:c r="I11" s="59"/>
      <x:c r="J11" s="59"/>
      <x:c r="K11" s="59"/>
      <x:c r="L11" s="59"/>
    </x:row>
    <x:row r="12" ht="38" customHeight="1">
      <x:c r="A12" s="65" t="str">
        <x:v>2</x:v>
      </x:c>
      <x:c r="B12" s="185" t="str">
        <x:v>LP reward concentration</x:v>
      </x:c>
      <x:c r="C12" s="185" t="str">
        <x:v>With external LP equal to locked LP, day-1 LP emissions are valued against only about 5,000 USDC of external capital, producing four-digit headline APR.</x:v>
      </x:c>
      <x:c r="D12" s="67" t="str">
        <x:v>HIGH</x:v>
      </x:c>
      <x:c r="E12" s="59"/>
      <x:c r="F12" s="59"/>
      <x:c r="G12" s="59"/>
      <x:c r="H12" s="59"/>
      <x:c r="I12" s="59"/>
      <x:c r="J12" s="59"/>
      <x:c r="K12" s="59"/>
      <x:c r="L12" s="59"/>
    </x:row>
    <x:row r="13" ht="38" customHeight="1">
      <x:c r="A13" s="65" t="str">
        <x:v>3</x:v>
      </x:c>
      <x:c r="B13" s="185" t="str">
        <x:v>Stock reward valuation</x:v>
      </x:c>
      <x:c r="C13" s="185" t="str">
        <x:v>At the 10,000 USD soft threshold, day-1 Stock reward value also produces four-digit annualized APR at graduation price.</x:v>
      </x:c>
      <x:c r="D13" s="67" t="str">
        <x:v>HIGH</x:v>
      </x:c>
      <x:c r="E13" s="59"/>
      <x:c r="F13" s="59"/>
      <x:c r="G13" s="59"/>
      <x:c r="H13" s="59"/>
      <x:c r="I13" s="59"/>
      <x:c r="J13" s="59"/>
      <x:c r="K13" s="59"/>
      <x:c r="L13" s="59"/>
    </x:row>
    <x:row r="14" ht="38" customHeight="1">
      <x:c r="A14" s="65" t="str">
        <x:v>4</x:v>
      </x:c>
      <x:c r="B14" s="185" t="str">
        <x:v>Fee support</x:v>
      </x:c>
      <x:c r="C14" s="185" t="str">
        <x:v>0.60% LP fees help only when sustained trading volume exists; they do not offset reward-sale pressure in weak-demand cases.</x:v>
      </x:c>
      <x:c r="D14" s="67" t="str">
        <x:v>MEDIUM</x:v>
      </x:c>
      <x:c r="E14" s="59"/>
      <x:c r="F14" s="59"/>
      <x:c r="G14" s="59"/>
      <x:c r="H14" s="59"/>
      <x:c r="I14" s="59"/>
      <x:c r="J14" s="59"/>
      <x:c r="K14" s="59"/>
      <x:c r="L14" s="59"/>
    </x:row>
    <x:row r="15" ht="38" customHeight="1">
      <x:c r="A15" s="65" t="str">
        <x:v>5</x:v>
      </x:c>
      <x:c r="B15" s="185" t="str">
        <x:v>Locked LP dilution</x:v>
      </x:c>
      <x:c r="C15" s="185" t="str">
        <x:v>Permanent launch liquidity improves exit continuity but captures a fixed share of native LP fees, reducing external LP fee yield.</x:v>
      </x:c>
      <x:c r="D15" s="67" t="str">
        <x:v>MEDIUM</x:v>
      </x:c>
      <x:c r="E15" s="59"/>
      <x:c r="F15" s="59"/>
      <x:c r="G15" s="59"/>
      <x:c r="H15" s="59"/>
      <x:c r="I15" s="59"/>
      <x:c r="J15" s="59"/>
      <x:c r="K15" s="59"/>
      <x:c r="L15" s="59"/>
    </x:row>
    <x:row r="16" ht="38" customHeight="1">
      <x:c r="A16" s="73" t="str">
        <x:v>6</x:v>
      </x:c>
      <x:c r="B16" s="186" t="str">
        <x:v>Model verdict</x:v>
      </x:c>
      <x:c r="C16" s="186" t="str">
        <x:v>The 2,500 + 1% launch is mechanically workable, but simultaneous full-rate emissions are not robust without an early emission throttle or larger launch float.</x:v>
      </x:c>
      <x:c r="D16" s="76" t="str">
        <x:v>CHANGE</x:v>
      </x:c>
      <x:c r="E16" s="59"/>
      <x:c r="F16" s="59"/>
      <x:c r="G16" s="59"/>
      <x:c r="H16" s="59"/>
      <x:c r="I16" s="59"/>
      <x:c r="J16" s="59"/>
      <x:c r="K16" s="59"/>
      <x:c r="L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</x:row>
    <x:row r="19">
      <x:c r="A19" s="58" t="str">
        <x:v>Recommended safeguards if both staking programs must open at graduation</x:v>
      </x:c>
      <x:c r="B19" s="58" t="str">
        <x:v>Recommended safeguards if both staking programs must open at graduation</x:v>
      </x:c>
      <x:c r="C19" s="58" t="str">
        <x:v>Recommended safeguards if both staking programs must open at graduation</x:v>
      </x:c>
      <x:c r="D19" s="58" t="str">
        <x:v>Recommended safeguards if both staking programs must open at graduation</x:v>
      </x:c>
      <x:c r="E19" s="58" t="str">
        <x:v>Recommended safeguards if both staking programs must open at graduation</x:v>
      </x:c>
      <x:c r="F19" s="58" t="str">
        <x:v>Recommended safeguards if both staking programs must open at graduation</x:v>
      </x:c>
      <x:c r="G19" s="58" t="str">
        <x:v>Recommended safeguards if both staking programs must open at graduation</x:v>
      </x:c>
      <x:c r="H19" s="58" t="str">
        <x:v>Recommended safeguards if both staking programs must open at graduation</x:v>
      </x:c>
      <x:c r="I19" s="58" t="str">
        <x:v>Recommended safeguards if both staking programs must open at graduation</x:v>
      </x:c>
      <x:c r="J19" s="58" t="str">
        <x:v>Recommended safeguards if both staking programs must open at graduation</x:v>
      </x:c>
      <x:c r="K19" s="58" t="str">
        <x:v>Recommended safeguards if both staking programs must open at graduation</x:v>
      </x:c>
      <x:c r="L19" s="58" t="str">
        <x:v>Recommended safeguards if both staking programs must open at graduation</x:v>
      </x:c>
    </x:row>
    <x:row r="20" ht="40" customHeight="1">
      <x:c r="A20" s="187" t="str">
        <x:v>A</x:v>
      </x:c>
      <x:c r="B20" s="184" t="str">
        <x:v>Introduce a 30-day emission ramp</x:v>
      </x:c>
      <x:c r="C20" s="188" t="str">
        <x:v>Both gauges open immediately, but emission multiplier rises linearly from 0% to 100%; missed budget is permanently skipped, not caught up.</x:v>
      </x:c>
      <x:c r="D20" s="59"/>
      <x:c r="E20" s="59"/>
      <x:c r="F20" s="59"/>
      <x:c r="G20" s="59"/>
      <x:c r="H20" s="59"/>
      <x:c r="I20" s="59"/>
      <x:c r="J20" s="59"/>
      <x:c r="K20" s="59"/>
      <x:c r="L20" s="59"/>
    </x:row>
    <x:row r="21" ht="40" customHeight="1">
      <x:c r="A21" s="189" t="str">
        <x:v>B</x:v>
      </x:c>
      <x:c r="B21" s="185" t="str">
        <x:v>Add an LP participation coefficient</x:v>
      </x:c>
      <x:c r="C21" s="190" t="str">
        <x:v>LP release multiplier = min(external subscribed full-range liquidity / locked launch liquidity, 1). This prevents a tiny LP from capturing the entire 29.7% pool.</x:v>
      </x:c>
      <x:c r="D21" s="59"/>
      <x:c r="E21" s="59"/>
      <x:c r="F21" s="59"/>
      <x:c r="G21" s="59"/>
      <x:c r="H21" s="59"/>
      <x:c r="I21" s="59"/>
      <x:c r="J21" s="59"/>
      <x:c r="K21" s="59"/>
      <x:c r="L21" s="59"/>
    </x:row>
    <x:row r="22" ht="40" customHeight="1">
      <x:c r="A22" s="189" t="str">
        <x:v>C</x:v>
      </x:c>
      <x:c r="B22" s="185" t="str">
        <x:v>Keep 1% only with a demand gate</x:v>
      </x:c>
      <x:c r="C22" s="190" t="str">
        <x:v>Require at least 2,500 USDC real curve reserve and a minimum holder/distribution condition; graduation alone is not proof of durable demand.</x:v>
      </x:c>
      <x:c r="D22" s="59"/>
      <x:c r="E22" s="59"/>
      <x:c r="F22" s="59"/>
      <x:c r="G22" s="59"/>
      <x:c r="H22" s="59"/>
      <x:c r="I22" s="59"/>
      <x:c r="J22" s="59"/>
      <x:c r="K22" s="59"/>
      <x:c r="L22" s="59"/>
    </x:row>
    <x:row r="23" ht="40" customHeight="1">
      <x:c r="A23" s="189" t="str">
        <x:v>D</x:v>
      </x:c>
      <x:c r="B23" s="185" t="str">
        <x:v>Run 2% allocation as the fallback config</x:v>
      </x:c>
      <x:c r="C23" s="190" t="str">
        <x:v>At 2%, first-7-day emissions fall to roughly half of curve-sold float; this is materially more robust while preserving 98% for mining.</x:v>
      </x:c>
      <x:c r="D23" s="59"/>
      <x:c r="E23" s="59"/>
      <x:c r="F23" s="59"/>
      <x:c r="G23" s="59"/>
      <x:c r="H23" s="59"/>
      <x:c r="I23" s="59"/>
      <x:c r="J23" s="59"/>
      <x:c r="K23" s="59"/>
      <x:c r="L23" s="59"/>
    </x:row>
    <x:row r="24" ht="40" customHeight="1">
      <x:c r="A24" s="191" t="str">
        <x:v>E</x:v>
      </x:c>
      <x:c r="B24" s="186" t="str">
        <x:v>Lock parameters per launch</x:v>
      </x:c>
      <x:c r="C24" s="192" t="str">
        <x:v>Threshold, allocation, phantom ratio, ramp and LP coefficient target must be immutable snapshots; future configs cannot alter live markets.</x:v>
      </x:c>
      <x:c r="D24" s="59"/>
      <x:c r="E24" s="59"/>
      <x:c r="F24" s="59"/>
      <x:c r="G24" s="59"/>
      <x:c r="H24" s="59"/>
      <x:c r="I24" s="59"/>
      <x:c r="J24" s="59"/>
      <x:c r="K24" s="59"/>
      <x:c r="L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</x:row>
    <x:row r="27">
      <x:c r="A27" s="58" t="str">
        <x:v>Scenario snapshot (linked)</x:v>
      </x:c>
      <x:c r="B27" s="58" t="str">
        <x:v>Scenario snapshot (linked)</x:v>
      </x:c>
      <x:c r="C27" s="58" t="str">
        <x:v>Scenario snapshot (linked)</x:v>
      </x:c>
      <x:c r="D27" s="58" t="str">
        <x:v>Scenario snapshot (linked)</x:v>
      </x:c>
      <x:c r="E27" s="58" t="str">
        <x:v>Scenario snapshot (linked)</x:v>
      </x:c>
      <x:c r="F27" s="58" t="str">
        <x:v>Scenario snapshot (linked)</x:v>
      </x:c>
      <x:c r="G27" s="58" t="str">
        <x:v>Scenario snapshot (linked)</x:v>
      </x:c>
      <x:c r="H27" s="58" t="str">
        <x:v>Scenario snapshot (linked)</x:v>
      </x:c>
      <x:c r="I27" s="58" t="str">
        <x:v>Scenario snapshot (linked)</x:v>
      </x:c>
      <x:c r="J27" s="58" t="str">
        <x:v>Scenario snapshot (linked)</x:v>
      </x:c>
      <x:c r="K27" s="58" t="str">
        <x:v>Scenario snapshot (linked)</x:v>
      </x:c>
      <x:c r="L27" s="58" t="str">
        <x:v>Scenario snapshot (linked)</x:v>
      </x:c>
    </x:row>
    <x:row r="28">
      <x:c r="A28" s="85" t="str">
        <x:v>Scenario</x:v>
      </x:c>
      <x:c r="B28" s="86" t="str">
        <x:v>365-day return</x:v>
      </x:c>
      <x:c r="C28" s="86" t="str">
        <x:v>Max drawdown</x:v>
      </x:c>
      <x:c r="D28" s="86" t="str">
        <x:v>End TVL</x:v>
      </x:c>
      <x:c r="E28" s="86" t="str">
        <x:v>First-30d LP APR</x:v>
      </x:c>
      <x:c r="F28" s="87" t="str">
        <x:v>Assessment</x:v>
      </x:c>
      <x:c r="G28" s="59"/>
      <x:c r="H28" s="59"/>
      <x:c r="I28" s="59"/>
      <x:c r="J28" s="59"/>
      <x:c r="K28" s="59"/>
      <x:c r="L28" s="59"/>
    </x:row>
    <x:row r="29">
      <x:c r="A29" s="229" t="str">
        <x:f>'Scenario Summary'!A4</x:f>
        <x:v>No demand</x:v>
      </x:c>
      <x:c r="B29" s="230" t="n">
        <x:f>'Scenario Summary'!C4</x:f>
        <x:v>-0.9999999990033039</x:v>
      </x:c>
      <x:c r="C29" s="230" t="n">
        <x:f>'Scenario Summary'!E4</x:f>
        <x:v>-0.9999999987183694</x:v>
      </x:c>
      <x:c r="D29" s="231" t="n">
        <x:f>'Scenario Summary'!F4</x:f>
        <x:v>0.20330541588159742</x:v>
      </x:c>
      <x:c r="E29" s="232" t="n">
        <x:f>'Scenario Summary'!K4</x:f>
        <x:v>10.05261702177105</x:v>
      </x:c>
      <x:c r="F29" s="67" t="str">
        <x:f>'Scenario Summary'!N4</x:f>
        <x:v>HIGH RISK</x:v>
      </x:c>
      <x:c r="G29" s="59"/>
      <x:c r="H29" s="59"/>
      <x:c r="I29" s="59"/>
      <x:c r="J29" s="59"/>
      <x:c r="K29" s="59"/>
      <x:c r="L29" s="59"/>
    </x:row>
    <x:row r="30">
      <x:c r="A30" s="229" t="str">
        <x:f>'Scenario Summary'!A5</x:f>
        <x:v>Weak demand</x:v>
      </x:c>
      <x:c r="B30" s="230" t="n">
        <x:f>'Scenario Summary'!C5</x:f>
        <x:v>-0.9999999989380316</x:v>
      </x:c>
      <x:c r="C30" s="230" t="n">
        <x:f>'Scenario Summary'!E5</x:f>
        <x:v>-0.999999998764057</x:v>
      </x:c>
      <x:c r="D30" s="231" t="n">
        <x:f>'Scenario Summary'!F5</x:f>
        <x:v>0.2519200659660569</x:v>
      </x:c>
      <x:c r="E30" s="232" t="n">
        <x:f>'Scenario Summary'!K5</x:f>
        <x:v>8.631900493506473</x:v>
      </x:c>
      <x:c r="F30" s="67" t="str">
        <x:f>'Scenario Summary'!N5</x:f>
        <x:v>HIGH RISK</x:v>
      </x:c>
      <x:c r="G30" s="59"/>
      <x:c r="H30" s="59"/>
      <x:c r="I30" s="59"/>
      <x:c r="J30" s="59"/>
      <x:c r="K30" s="59"/>
      <x:c r="L30" s="59"/>
    </x:row>
    <x:row r="31">
      <x:c r="A31" s="229" t="str">
        <x:f>'Scenario Summary'!A6</x:f>
        <x:v>Base</x:v>
      </x:c>
      <x:c r="B31" s="230" t="n">
        <x:f>'Scenario Summary'!C6</x:f>
        <x:v>-0.9987881921180302</x:v>
      </x:c>
      <x:c r="C31" s="230" t="n">
        <x:f>'Scenario Summary'!E6</x:f>
        <x:v>-0.998741871396234</x:v>
      </x:c>
      <x:c r="D31" s="231" t="n">
        <x:f>'Scenario Summary'!F6</x:f>
        <x:v>351.6178449608969</x:v>
      </x:c>
      <x:c r="E31" s="232" t="n">
        <x:f>'Scenario Summary'!K6</x:f>
        <x:v>11.826454790817584</x:v>
      </x:c>
      <x:c r="F31" s="67" t="str">
        <x:f>'Scenario Summary'!N6</x:f>
        <x:v>HIGH RISK</x:v>
      </x:c>
      <x:c r="G31" s="59"/>
      <x:c r="H31" s="59"/>
      <x:c r="I31" s="59"/>
      <x:c r="J31" s="59"/>
      <x:c r="K31" s="59"/>
      <x:c r="L31" s="59"/>
    </x:row>
    <x:row r="32">
      <x:c r="A32" s="229" t="str">
        <x:f>'Scenario Summary'!A7</x:f>
        <x:v>Growth</x:v>
      </x:c>
      <x:c r="B32" s="230" t="n">
        <x:f>'Scenario Summary'!C7</x:f>
        <x:v>32.44864900880333</x:v>
      </x:c>
      <x:c r="C32" s="230" t="n">
        <x:f>'Scenario Summary'!E7</x:f>
        <x:v>-0.6465617868493287</x:v>
      </x:c>
      <x:c r="D32" s="231" t="n">
        <x:f>'Scenario Summary'!F7</x:f>
        <x:v>100438.18104029988</x:v>
      </x:c>
      <x:c r="E32" s="232" t="n">
        <x:f>'Scenario Summary'!K7</x:f>
        <x:v>214.07265549171498</x:v>
      </x:c>
      <x:c r="F32" s="67" t="str">
        <x:f>'Scenario Summary'!N7</x:f>
        <x:v>VIABLE</x:v>
      </x:c>
      <x:c r="G32" s="59"/>
      <x:c r="H32" s="59"/>
      <x:c r="I32" s="59"/>
      <x:c r="J32" s="59"/>
      <x:c r="K32" s="59"/>
      <x:c r="L32" s="59"/>
    </x:row>
    <x:row r="33">
      <x:c r="A33" s="229" t="str">
        <x:f>'Scenario Summary'!A8</x:f>
        <x:v>Low participation</x:v>
      </x:c>
      <x:c r="B33" s="230" t="n">
        <x:f>'Scenario Summary'!C8</x:f>
        <x:v>-0.9979501069339309</x:v>
      </x:c>
      <x:c r="C33" s="230" t="n">
        <x:f>'Scenario Summary'!E8</x:f>
        <x:v>-0.9978906903329215</x:v>
      </x:c>
      <x:c r="D33" s="231" t="n">
        <x:f>'Scenario Summary'!F8</x:f>
        <x:v>285.60313610755503</x:v>
      </x:c>
      <x:c r="E33" s="232" t="n">
        <x:f>'Scenario Summary'!K8</x:f>
        <x:v>46.37111811944444</x:v>
      </x:c>
      <x:c r="F33" s="67" t="str">
        <x:f>'Scenario Summary'!N8</x:f>
        <x:v>HIGH RISK</x:v>
      </x:c>
      <x:c r="G33" s="59"/>
      <x:c r="H33" s="59"/>
      <x:c r="I33" s="59"/>
      <x:c r="J33" s="59"/>
      <x:c r="K33" s="59"/>
      <x:c r="L33" s="59"/>
    </x:row>
    <x:row r="34">
      <x:c r="A34" s="229" t="str">
        <x:f>'Scenario Summary'!A9</x:f>
        <x:v>Mercenary LP</x:v>
      </x:c>
      <x:c r="B34" s="230" t="n">
        <x:f>'Scenario Summary'!C9</x:f>
        <x:v>-0.9999999988580146</x:v>
      </x:c>
      <x:c r="C34" s="230" t="n">
        <x:f>'Scenario Summary'!E9</x:f>
        <x:v>-0.9999999987126876</x:v>
      </x:c>
      <x:c r="D34" s="231" t="n">
        <x:f>'Scenario Summary'!F9</x:f>
        <x:v>0.6966307725360563</x:v>
      </x:c>
      <x:c r="E34" s="232" t="n">
        <x:f>'Scenario Summary'!K9</x:f>
        <x:v>2.4770212487370333</x:v>
      </x:c>
      <x:c r="F34" s="67" t="str">
        <x:f>'Scenario Summary'!N9</x:f>
        <x:v>HIGH RISK</x:v>
      </x:c>
      <x:c r="G34" s="59"/>
      <x:c r="H34" s="59"/>
      <x:c r="I34" s="59"/>
      <x:c r="J34" s="59"/>
      <x:c r="K34" s="59"/>
      <x:c r="L34" s="59"/>
    </x:row>
    <x:row r="35">
      <x:c r="A35" s="229" t="str">
        <x:f>'Scenario Summary'!A10</x:f>
        <x:v>Whale exit</x:v>
      </x:c>
      <x:c r="B35" s="230" t="n">
        <x:f>'Scenario Summary'!C10</x:f>
        <x:v>-0.9988287789780114</x:v>
      </x:c>
      <x:c r="C35" s="230" t="n">
        <x:f>'Scenario Summary'!E10</x:f>
        <x:v>-0.9987840096676871</x:v>
      </x:c>
      <x:c r="D35" s="231" t="n">
        <x:f>'Scenario Summary'!F10</x:f>
        <x:v>345.67371201839</x:v>
      </x:c>
      <x:c r="E35" s="232" t="n">
        <x:f>'Scenario Summary'!K10</x:f>
        <x:v>11.78120780690959</x:v>
      </x:c>
      <x:c r="F35" s="67" t="str">
        <x:f>'Scenario Summary'!N10</x:f>
        <x:v>HIGH RISK</x:v>
      </x:c>
      <x:c r="G35" s="59"/>
      <x:c r="H35" s="59"/>
      <x:c r="I35" s="59"/>
      <x:c r="J35" s="59"/>
      <x:c r="K35" s="59"/>
      <x:c r="L35" s="59"/>
    </x:row>
    <x:row r="36">
      <x:c r="A36" s="233" t="str">
        <x:f>'Scenario Summary'!A11</x:f>
        <x:v>High demand</x:v>
      </x:c>
      <x:c r="B36" s="234" t="n">
        <x:f>'Scenario Summary'!C11</x:f>
        <x:v>2999.311984101349</x:v>
      </x:c>
      <x:c r="C36" s="234" t="n">
        <x:f>'Scenario Summary'!E11</x:f>
        <x:v>-0.7858634897446076</x:v>
      </x:c>
      <x:c r="D36" s="235" t="n">
        <x:f>'Scenario Summary'!F11</x:f>
        <x:v>2167535.957632053</x:v>
      </x:c>
      <x:c r="E36" s="236" t="n">
        <x:f>'Scenario Summary'!K11</x:f>
        <x:v>6380.173820182243</x:v>
      </x:c>
      <x:c r="F36" s="76" t="str">
        <x:f>'Scenario Summary'!N11</x:f>
        <x:v>FRAGILE</x:v>
      </x:c>
      <x:c r="G36" s="59"/>
      <x:c r="H36" s="59"/>
      <x:c r="I36" s="59"/>
      <x:c r="J36" s="59"/>
      <x:c r="K36" s="59"/>
      <x:c r="L36" s="59"/>
    </x:row>
  </x:sheetData>
  <x:mergeCells>
    <x:mergeCell ref="A1:L2"/>
    <x:mergeCell ref="A3:L3"/>
    <x:mergeCell ref="A6:L6"/>
    <x:mergeCell ref="A7:L7"/>
    <x:mergeCell ref="A10:L10"/>
    <x:mergeCell ref="A19:L19"/>
    <x:mergeCell ref="A27:L27"/>
  </x:mergeCells>
  <x:conditionalFormatting sqref="D11:D16">
    <x:cfRule type="containsText" dxfId="5" priority="1" operator="containsText" text="HIGH"/>
    <x:cfRule type="containsText" dxfId="6" priority="2" operator="containsText" text="MEDIUM"/>
    <x:cfRule type="containsText" dxfId="7" priority="3" operator="containsText" text="CHANGE"/>
  </x:conditionalFormatting>
  <x:conditionalFormatting sqref="F29:F36">
    <x:cfRule type="containsText" dxfId="8" priority="4" operator="containsText" text="HIGH RISK"/>
    <x:cfRule type="containsText" dxfId="9" priority="5" operator="containsText" text="FRAGILE"/>
    <x:cfRule type="containsText" dxfId="10" priority="6" operator="containsText" text="VI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2" hidden="0" customWidth="1"/>
    <x:col min="5" max="5" width="28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58" t="str">
        <x:v>TickerGarden Graduation Model — Inputs</x:v>
      </x:c>
      <x:c r="B1" s="58" t="str">
        <x:v>TickerGarden Graduation Model — Inputs</x:v>
      </x:c>
      <x:c r="C1" s="58" t="str">
        <x:v>TickerGarden Graduation Model — Inputs</x:v>
      </x:c>
      <x:c r="D1" s="58" t="str">
        <x:v>TickerGarden Graduation Model — Inputs</x:v>
      </x:c>
      <x:c r="E1" s="58" t="str">
        <x:v>TickerGarden Graduation Model — Inputs</x:v>
      </x:c>
      <x:c r="F1" s="58" t="str">
        <x:v>TickerGarden Graduation Model — Inputs</x:v>
      </x:c>
      <x:c r="G1" s="59"/>
      <x:c r="H1" s="59"/>
      <x:c r="I1" s="59"/>
    </x:row>
    <x:row r="2" ht="30" customHeight="1">
      <x:c r="A2" s="58" t="str">
        <x:v>TickerGarden Graduation Model — Inputs</x:v>
      </x:c>
      <x:c r="B2" s="58" t="str">
        <x:v>TickerGarden Graduation Model — Inputs</x:v>
      </x:c>
      <x:c r="C2" s="58" t="str">
        <x:v>TickerGarden Graduation Model — Inputs</x:v>
      </x:c>
      <x:c r="D2" s="58" t="str">
        <x:v>TickerGarden Graduation Model — Inputs</x:v>
      </x:c>
      <x:c r="E2" s="58" t="str">
        <x:v>TickerGarden Graduation Model — Inputs</x:v>
      </x:c>
      <x:c r="F2" s="58" t="str">
        <x:v>TickerGarden Graduation Model — Inputs</x:v>
      </x:c>
      <x:c r="G2" s="59"/>
      <x:c r="H2" s="59"/>
      <x:c r="I2" s="59"/>
    </x:row>
    <x:row r="3">
      <x:c r="A3" s="60" t="str">
        <x:v>Blue font = editable assumption</x:v>
      </x:c>
      <x:c r="B3" s="60" t="str">
        <x:v>Black = formula</x:v>
      </x:c>
      <x:c r="C3" s="60" t="str">
        <x:v>Green = cross-sheet link</x:v>
      </x:c>
      <x:c r="D3" s="60" t="str">
        <x:v>Currency: USDC</x:v>
      </x:c>
      <x:c r="E3" s="60" t="str">
        <x:v>Token units: whole tokens</x:v>
      </x:c>
      <x:c r="F3" s="60" t="str">
        <x:v>Version: 2026-09-02</x:v>
      </x:c>
      <x:c r="G3" s="59"/>
      <x:c r="H3" s="59"/>
      <x:c r="I3" s="59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</x:row>
    <x:row r="5">
      <x:c r="A5" s="58" t="str">
        <x:v>Core launch and emission assumptions</x:v>
      </x:c>
      <x:c r="B5" s="58" t="str">
        <x:v>Core launch and emission assumptions</x:v>
      </x:c>
      <x:c r="C5" s="58" t="str">
        <x:v>Core launch and emission assumptions</x:v>
      </x:c>
      <x:c r="D5" s="58" t="str">
        <x:v>Core launch and emission assumptions</x:v>
      </x:c>
      <x:c r="E5" s="58" t="str">
        <x:v>Core launch and emission assumptions</x:v>
      </x:c>
      <x:c r="F5" s="58" t="str">
        <x:v>Core launch and emission assumptions</x:v>
      </x:c>
      <x:c r="G5" s="59"/>
      <x:c r="H5" s="59"/>
      <x:c r="I5" s="59"/>
    </x:row>
    <x:row r="6">
      <x:c r="A6" s="61" t="str">
        <x:v>Total supply</x:v>
      </x:c>
      <x:c r="B6" s="62" t="n">
        <x:v>1000000000</x:v>
      </x:c>
      <x:c r="C6" s="63" t="str">
        <x:v>tokens</x:v>
      </x:c>
      <x:c r="D6" s="63" t="str">
        <x:v>Current supported tier example</x:v>
      </x:c>
      <x:c r="E6" s="63" t="str">
        <x:v>TickerGarden protocol parameters</x:v>
      </x:c>
      <x:c r="F6" s="64" t="str">
        <x:v>Editable</x:v>
      </x:c>
      <x:c r="G6" s="59"/>
      <x:c r="H6" s="59"/>
      <x:c r="I6" s="59"/>
    </x:row>
    <x:row r="7">
      <x:c r="A7" s="65" t="str">
        <x:v>LaunchAllocation</x:v>
      </x:c>
      <x:c r="B7" s="66" t="n">
        <x:v>0.01</x:v>
      </x:c>
      <x:c r="C7" s="59" t="str">
        <x:v>% total supply</x:v>
      </x:c>
      <x:c r="D7" s="59" t="str">
        <x:v>Entire curve + graduation LP allocation</x:v>
      </x:c>
      <x:c r="E7" s="59" t="str">
        <x:v>Design assumption</x:v>
      </x:c>
      <x:c r="F7" s="67" t="str">
        <x:v>Editable</x:v>
      </x:c>
      <x:c r="G7" s="59"/>
      <x:c r="H7" s="59"/>
      <x:c r="I7" s="59"/>
    </x:row>
    <x:row r="8">
      <x:c r="A8" s="65" t="str">
        <x:v>Graduation threshold</x:v>
      </x:c>
      <x:c r="B8" s="68" t="n">
        <x:v>2500</x:v>
      </x:c>
      <x:c r="C8" s="59" t="str">
        <x:v>USDC</x:v>
      </x:c>
      <x:c r="D8" s="59" t="str">
        <x:v>Real quote reserve at graduation</x:v>
      </x:c>
      <x:c r="E8" s="59" t="str">
        <x:v>User-selected test case</x:v>
      </x:c>
      <x:c r="F8" s="67" t="str">
        <x:v>Editable</x:v>
      </x:c>
      <x:c r="G8" s="59"/>
      <x:c r="H8" s="59"/>
      <x:c r="I8" s="59"/>
    </x:row>
    <x:row r="9">
      <x:c r="A9" s="65" t="str">
        <x:v>Phantom / threshold ratio</x:v>
      </x:c>
      <x:c r="B9" s="69" t="n">
        <x:v>0.4</x:v>
      </x:c>
      <x:c r="C9" s="59" t="str">
        <x:v>x</x:v>
      </x:c>
      <x:c r="D9" s="59" t="str">
        <x:v>Controls sold vs LP-reserved launch tokens</x:v>
      </x:c>
      <x:c r="E9" s="59" t="str">
        <x:v>Pons-style curve parameter</x:v>
      </x:c>
      <x:c r="F9" s="67" t="str">
        <x:v>Editable</x:v>
      </x:c>
      <x:c r="G9" s="59"/>
      <x:c r="H9" s="59"/>
      <x:c r="I9" s="59"/>
    </x:row>
    <x:row r="10">
      <x:c r="A10" s="65" t="str">
        <x:v>Stock share of mining budget</x:v>
      </x:c>
      <x:c r="B10" s="70" t="n">
        <x:v>0.7</x:v>
      </x:c>
      <x:c r="C10" s="59" t="str">
        <x:v>%</x:v>
      </x:c>
      <x:c r="D10" s="59" t="str">
        <x:v>Applied to remaining 99%</x:v>
      </x:c>
      <x:c r="E10" s="59" t="str">
        <x:v>TickerGarden 70/30 policy</x:v>
      </x:c>
      <x:c r="F10" s="67" t="str">
        <x:v>Editable</x:v>
      </x:c>
      <x:c r="G10" s="59"/>
      <x:c r="H10" s="59"/>
      <x:c r="I10" s="59"/>
    </x:row>
    <x:row r="11">
      <x:c r="A11" s="65" t="str">
        <x:v>LP share of mining budget</x:v>
      </x:c>
      <x:c r="B11" s="70" t="n">
        <x:v>0.3</x:v>
      </x:c>
      <x:c r="C11" s="59" t="str">
        <x:v>%</x:v>
      </x:c>
      <x:c r="D11" s="59" t="str">
        <x:v>Applied to remaining 99%</x:v>
      </x:c>
      <x:c r="E11" s="59" t="str">
        <x:v>TickerGarden 70/30 policy</x:v>
      </x:c>
      <x:c r="F11" s="67" t="str">
        <x:v>Editable</x:v>
      </x:c>
      <x:c r="G11" s="59"/>
      <x:c r="H11" s="59"/>
      <x:c r="I11" s="59"/>
    </x:row>
    <x:row r="12">
      <x:c r="A12" s="65" t="str">
        <x:v>Emission duration</x:v>
      </x:c>
      <x:c r="B12" s="69" t="n">
        <x:v>1460</x:v>
      </x:c>
      <x:c r="C12" s="59" t="str">
        <x:v>days</x:v>
      </x:c>
      <x:c r="D12" s="59" t="str">
        <x:v>Both pools start at graduation in this model</x:v>
      </x:c>
      <x:c r="E12" s="59" t="str">
        <x:v>User override of current +7-day LP delay</x:v>
      </x:c>
      <x:c r="F12" s="67" t="str">
        <x:v>Editable</x:v>
      </x:c>
      <x:c r="G12" s="59"/>
      <x:c r="H12" s="59"/>
      <x:c r="I12" s="59"/>
    </x:row>
    <x:row r="13">
      <x:c r="A13" s="65" t="str">
        <x:v>Immediate claim portion</x:v>
      </x:c>
      <x:c r="B13" s="70" t="n">
        <x:v>0.2</x:v>
      </x:c>
      <x:c r="C13" s="59" t="str">
        <x:v>%</x:v>
      </x:c>
      <x:c r="D13" s="59" t="str">
        <x:v>Daily-smoothed claim approximation</x:v>
      </x:c>
      <x:c r="E13" s="59" t="str">
        <x:v>TickerGarden vesting design</x:v>
      </x:c>
      <x:c r="F13" s="67" t="str">
        <x:v>Editable</x:v>
      </x:c>
      <x:c r="G13" s="59"/>
      <x:c r="H13" s="59"/>
      <x:c r="I13" s="59"/>
    </x:row>
    <x:row r="14">
      <x:c r="A14" s="65" t="str">
        <x:v>Vesting duration</x:v>
      </x:c>
      <x:c r="B14" s="69" t="n">
        <x:v>56</x:v>
      </x:c>
      <x:c r="C14" s="59" t="str">
        <x:v>days</x:v>
      </x:c>
      <x:c r="D14" s="59" t="str">
        <x:v>80% linear vest</x:v>
      </x:c>
      <x:c r="E14" s="59" t="str">
        <x:v>TickerGarden vesting design</x:v>
      </x:c>
      <x:c r="F14" s="67" t="str">
        <x:v>Editable</x:v>
      </x:c>
      <x:c r="G14" s="59"/>
      <x:c r="H14" s="59"/>
      <x:c r="I14" s="59"/>
    </x:row>
    <x:row r="15">
      <x:c r="A15" s="65" t="str">
        <x:v>Target total swap fee</x:v>
      </x:c>
      <x:c r="B15" s="71" t="n">
        <x:v>0.01</x:v>
      </x:c>
      <x:c r="C15" s="59" t="str">
        <x:v>% gross input</x:v>
      </x:c>
      <x:c r="D15" s="59" t="str">
        <x:v>Exact total fee target</x:v>
      </x:c>
      <x:c r="E15" s="59" t="str">
        <x:v>TickerGarden P-003</x:v>
      </x:c>
      <x:c r="F15" s="67" t="str">
        <x:v>Editable</x:v>
      </x:c>
      <x:c r="G15" s="59"/>
      <x:c r="H15" s="59"/>
      <x:c r="I15" s="59"/>
    </x:row>
    <x:row r="16">
      <x:c r="A16" s="65" t="str">
        <x:v>Native LP fee</x:v>
      </x:c>
      <x:c r="B16" s="71" t="n">
        <x:v>0.006</x:v>
      </x:c>
      <x:c r="C16" s="59" t="str">
        <x:v>%</x:v>
      </x:c>
      <x:c r="D16" s="59" t="str">
        <x:v>Accrues pro rata to locked + external LP</x:v>
      </x:c>
      <x:c r="E16" s="59" t="str">
        <x:v>TickerGarden P-003</x:v>
      </x:c>
      <x:c r="F16" s="67" t="str">
        <x:v>Editable</x:v>
      </x:c>
      <x:c r="G16" s="59"/>
      <x:c r="H16" s="59"/>
      <x:c r="I16" s="59"/>
    </x:row>
    <x:row r="17">
      <x:c r="A17" s="65" t="str">
        <x:v>Protocol fee remainder</x:v>
      </x:c>
      <x:c r="B17" s="72" t="n">
        <x:f>('Inputs'!B15-'Inputs'!B16)/(1-'Inputs'!B16)</x:f>
        <x:v>0.004024144869215292</x:v>
      </x:c>
      <x:c r="C17" s="59" t="str">
        <x:v>%</x:v>
      </x:c>
      <x:c r="D17" s="59" t="str">
        <x:v>Formula ensures exact 1% total with native fee</x:v>
      </x:c>
      <x:c r="E17" s="59" t="str">
        <x:v>TickerGarden P-003</x:v>
      </x:c>
      <x:c r="F17" s="67" t="str">
        <x:v>Formula</x:v>
      </x:c>
      <x:c r="G17" s="59"/>
      <x:c r="H17" s="59"/>
      <x:c r="I17" s="59"/>
    </x:row>
    <x:row r="18">
      <x:c r="A18" s="65" t="str">
        <x:v>Standard trade size</x:v>
      </x:c>
      <x:c r="B18" s="68" t="n">
        <x:v>100</x:v>
      </x:c>
      <x:c r="C18" s="59" t="str">
        <x:v>USDC</x:v>
      </x:c>
      <x:c r="D18" s="59" t="str">
        <x:v>Used for initial price-impact KPI</x:v>
      </x:c>
      <x:c r="E18" s="59" t="str">
        <x:v>Model assumption</x:v>
      </x:c>
      <x:c r="F18" s="67" t="str">
        <x:v>Editable</x:v>
      </x:c>
      <x:c r="G18" s="59"/>
      <x:c r="H18" s="59"/>
      <x:c r="I18" s="59"/>
    </x:row>
    <x:row r="19">
      <x:c r="A19" s="65" t="str">
        <x:v>Stock stake target</x:v>
      </x:c>
      <x:c r="B19" s="68" t="n">
        <x:v>10000</x:v>
      </x:c>
      <x:c r="C19" s="59" t="str">
        <x:v>USD</x:v>
      </x:c>
      <x:c r="D19" s="59" t="str">
        <x:v>Soft threshold denominator</x:v>
      </x:c>
      <x:c r="E19" s="59" t="str">
        <x:v>TickerGarden protocol parameters</x:v>
      </x:c>
      <x:c r="F19" s="67" t="str">
        <x:v>Editable</x:v>
      </x:c>
      <x:c r="G19" s="59"/>
      <x:c r="H19" s="59"/>
      <x:c r="I19" s="59"/>
    </x:row>
    <x:row r="20">
      <x:c r="A20" s="65" t="str">
        <x:v>Simulation horizon</x:v>
      </x:c>
      <x:c r="B20" s="69" t="n">
        <x:v>365</x:v>
      </x:c>
      <x:c r="C20" s="59" t="str">
        <x:v>days</x:v>
      </x:c>
      <x:c r="D20" s="59" t="str">
        <x:v>Deterministic scenarios</x:v>
      </x:c>
      <x:c r="E20" s="59" t="str">
        <x:v>Model assumption</x:v>
      </x:c>
      <x:c r="F20" s="67" t="str">
        <x:v>Editable</x:v>
      </x:c>
      <x:c r="G20" s="59"/>
      <x:c r="H20" s="59"/>
      <x:c r="I20" s="59"/>
    </x:row>
    <x:row r="21">
      <x:c r="A21" s="65" t="str">
        <x:v>Monte Carlo runs</x:v>
      </x:c>
      <x:c r="B21" s="69" t="n">
        <x:v>3000</x:v>
      </x:c>
      <x:c r="C21" s="59" t="str">
        <x:v>runs</x:v>
      </x:c>
      <x:c r="D21" s="59" t="str">
        <x:v>Static seeded simulation output</x:v>
      </x:c>
      <x:c r="E21" s="59" t="str">
        <x:v>Model assumption</x:v>
      </x:c>
      <x:c r="F21" s="67" t="str">
        <x:v>Editable in builder only</x:v>
      </x:c>
      <x:c r="G21" s="59"/>
      <x:c r="H21" s="59"/>
      <x:c r="I21" s="59"/>
    </x:row>
    <x:row r="22">
      <x:c r="A22" s="73" t="str">
        <x:v>Monte Carlo seed</x:v>
      </x:c>
      <x:c r="B22" s="74" t="n">
        <x:v>20260902</x:v>
      </x:c>
      <x:c r="C22" s="75" t="str">
        <x:v>integer</x:v>
      </x:c>
      <x:c r="D22" s="75" t="str">
        <x:v>Reproducibility</x:v>
      </x:c>
      <x:c r="E22" s="75" t="str">
        <x:v>Model assumption</x:v>
      </x:c>
      <x:c r="F22" s="76" t="str">
        <x:v>Editable in builder only</x:v>
      </x:c>
      <x:c r="G22" s="59"/>
      <x:c r="H22" s="59"/>
      <x:c r="I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</x:row>
    <x:row r="24">
      <x:c r="A24" s="58" t="str">
        <x:v>Derived launch economics</x:v>
      </x:c>
      <x:c r="B24" s="58" t="str">
        <x:v>Derived launch economics</x:v>
      </x:c>
      <x:c r="C24" s="58" t="str">
        <x:v>Derived launch economics</x:v>
      </x:c>
      <x:c r="D24" s="58" t="str">
        <x:v>Derived launch economics</x:v>
      </x:c>
      <x:c r="E24" s="58" t="str">
        <x:v>Derived launch economics</x:v>
      </x:c>
      <x:c r="F24" s="58" t="str">
        <x:v>Derived launch economics</x:v>
      </x:c>
      <x:c r="G24" s="59"/>
      <x:c r="H24" s="59"/>
      <x:c r="I24" s="59"/>
    </x:row>
    <x:row r="25">
      <x:c r="A25" s="61" t="str">
        <x:v>Launch tokens</x:v>
      </x:c>
      <x:c r="B25" s="77" t="n">
        <x:f>'Inputs'!B6*'Inputs'!B7</x:f>
        <x:v>10000000</x:v>
      </x:c>
      <x:c r="C25" s="63" t="str">
        <x:v>tokens</x:v>
      </x:c>
      <x:c r="D25" s="64" t="str">
        <x:v>LaunchAllocation × total supply</x:v>
      </x:c>
      <x:c r="E25" s="59"/>
      <x:c r="F25" s="59"/>
      <x:c r="G25" s="59"/>
      <x:c r="H25" s="59"/>
      <x:c r="I25" s="59"/>
    </x:row>
    <x:row r="26">
      <x:c r="A26" s="65" t="str">
        <x:v>LP-reserved launch tokens</x:v>
      </x:c>
      <x:c r="B26" s="78" t="n">
        <x:f>'Inputs'!B25*'Inputs'!B9/(1+'Inputs'!B9)</x:f>
        <x:v>2857142.8571428573</x:v>
      </x:c>
      <x:c r="C26" s="59" t="str">
        <x:v>tokens</x:v>
      </x:c>
      <x:c r="D26" s="67" t="str">
        <x:v>Launch × phantom / (1 + phantom)</x:v>
      </x:c>
      <x:c r="E26" s="59"/>
      <x:c r="F26" s="59"/>
      <x:c r="G26" s="59"/>
      <x:c r="H26" s="59"/>
      <x:c r="I26" s="59"/>
    </x:row>
    <x:row r="27">
      <x:c r="A27" s="65" t="str">
        <x:v>Curve-sold launch tokens</x:v>
      </x:c>
      <x:c r="B27" s="78" t="n">
        <x:f>'Inputs'!B25-'Inputs'!B26</x:f>
        <x:v>7142857.142857143</x:v>
      </x:c>
      <x:c r="C27" s="59" t="str">
        <x:v>tokens</x:v>
      </x:c>
      <x:c r="D27" s="67" t="str">
        <x:v>Launch minus LP reserve</x:v>
      </x:c>
      <x:c r="E27" s="59"/>
      <x:c r="F27" s="59"/>
      <x:c r="G27" s="59"/>
      <x:c r="H27" s="59"/>
      <x:c r="I27" s="59"/>
    </x:row>
    <x:row r="28">
      <x:c r="A28" s="65" t="str">
        <x:v>Remaining mining budget</x:v>
      </x:c>
      <x:c r="B28" s="78" t="n">
        <x:f>'Inputs'!B6-'Inputs'!B25</x:f>
        <x:v>990000000</x:v>
      </x:c>
      <x:c r="C28" s="59" t="str">
        <x:v>tokens</x:v>
      </x:c>
      <x:c r="D28" s="67" t="str">
        <x:v>Supply minus launch</x:v>
      </x:c>
      <x:c r="E28" s="59"/>
      <x:c r="F28" s="59"/>
      <x:c r="G28" s="59"/>
      <x:c r="H28" s="59"/>
      <x:c r="I28" s="59"/>
    </x:row>
    <x:row r="29">
      <x:c r="A29" s="65" t="str">
        <x:v>Stock budget</x:v>
      </x:c>
      <x:c r="B29" s="78" t="n">
        <x:f>'Inputs'!B28*'Inputs'!B10</x:f>
        <x:v>693000000</x:v>
      </x:c>
      <x:c r="C29" s="59" t="str">
        <x:v>tokens</x:v>
      </x:c>
      <x:c r="D29" s="67" t="str">
        <x:v>Mining budget × 70%</x:v>
      </x:c>
      <x:c r="E29" s="59"/>
      <x:c r="F29" s="59"/>
      <x:c r="G29" s="59"/>
      <x:c r="H29" s="59"/>
      <x:c r="I29" s="59"/>
    </x:row>
    <x:row r="30">
      <x:c r="A30" s="65" t="str">
        <x:v>LP budget</x:v>
      </x:c>
      <x:c r="B30" s="78" t="n">
        <x:f>'Inputs'!B28*'Inputs'!B11</x:f>
        <x:v>297000000</x:v>
      </x:c>
      <x:c r="C30" s="59" t="str">
        <x:v>tokens</x:v>
      </x:c>
      <x:c r="D30" s="67" t="str">
        <x:v>Mining budget × 30%</x:v>
      </x:c>
      <x:c r="E30" s="59"/>
      <x:c r="F30" s="59"/>
      <x:c r="G30" s="59"/>
      <x:c r="H30" s="59"/>
      <x:c r="I30" s="59"/>
    </x:row>
    <x:row r="31">
      <x:c r="A31" s="65" t="str">
        <x:v>Graduation pool price</x:v>
      </x:c>
      <x:c r="B31" s="79" t="n">
        <x:f>'Inputs'!B8/'Inputs'!B26</x:f>
        <x:v>0.0008749999999999999</x:v>
      </x:c>
      <x:c r="C31" s="59" t="str">
        <x:v>USDC/token</x:v>
      </x:c>
      <x:c r="D31" s="67" t="str">
        <x:v>Threshold ÷ LP reserve</x:v>
      </x:c>
      <x:c r="E31" s="59"/>
      <x:c r="F31" s="59"/>
      <x:c r="G31" s="59"/>
      <x:c r="H31" s="59"/>
      <x:c r="I31" s="59"/>
    </x:row>
    <x:row r="32">
      <x:c r="A32" s="65" t="str">
        <x:v>Graduation FDV</x:v>
      </x:c>
      <x:c r="B32" s="80" t="n">
        <x:f>'Inputs'!B31*'Inputs'!B6</x:f>
        <x:v>874999.9999999999</x:v>
      </x:c>
      <x:c r="C32" s="59" t="str">
        <x:v>USDC</x:v>
      </x:c>
      <x:c r="D32" s="67" t="str">
        <x:v>Pool price × total supply</x:v>
      </x:c>
      <x:c r="E32" s="59"/>
      <x:c r="F32" s="59"/>
      <x:c r="G32" s="59"/>
      <x:c r="H32" s="59"/>
      <x:c r="I32" s="59"/>
    </x:row>
    <x:row r="33">
      <x:c r="A33" s="65" t="str">
        <x:v>Locked pool nominal TVL</x:v>
      </x:c>
      <x:c r="B33" s="80" t="n">
        <x:f>2*'Inputs'!B8</x:f>
        <x:v>5000</x:v>
      </x:c>
      <x:c r="C33" s="59" t="str">
        <x:v>USDC</x:v>
      </x:c>
      <x:c r="D33" s="67" t="str">
        <x:v>2 × threshold</x:v>
      </x:c>
      <x:c r="E33" s="59"/>
      <x:c r="F33" s="59"/>
      <x:c r="G33" s="59"/>
      <x:c r="H33" s="59"/>
      <x:c r="I33" s="59"/>
    </x:row>
    <x:row r="34">
      <x:c r="A34" s="65" t="str">
        <x:v>$100 initial price impact</x:v>
      </x:c>
      <x:c r="B34" s="81" t="n">
        <x:f>'Inputs'!B18/('Inputs'!B8+'Inputs'!B18)</x:f>
        <x:v>0.038461538461538464</x:v>
      </x:c>
      <x:c r="C34" s="59" t="str">
        <x:v>%</x:v>
      </x:c>
      <x:c r="D34" s="67" t="str">
        <x:v>Trade ÷ (threshold + trade)</x:v>
      </x:c>
      <x:c r="E34" s="59"/>
      <x:c r="F34" s="59"/>
      <x:c r="G34" s="59"/>
      <x:c r="H34" s="59"/>
      <x:c r="I34" s="59"/>
    </x:row>
    <x:row r="35">
      <x:c r="A35" s="65" t="str">
        <x:v>Day-1 stock emission</x:v>
      </x:c>
      <x:c r="B35" s="78" t="n">
        <x:f>'Inputs'!B29*(3*1*'Inputs'!B12-1^2)/(2*'Inputs'!B12^2)</x:f>
        <x:v>711823.7474197786</x:v>
      </x:c>
      <x:c r="C35" s="59" t="str">
        <x:v>tokens</x:v>
      </x:c>
      <x:c r="D35" s="67" t="str">
        <x:v>Scheduled release × stake coefficient 100%</x:v>
      </x:c>
      <x:c r="E35" s="59"/>
      <x:c r="F35" s="59"/>
      <x:c r="G35" s="59"/>
      <x:c r="H35" s="59"/>
      <x:c r="I35" s="59"/>
    </x:row>
    <x:row r="36">
      <x:c r="A36" s="65" t="str">
        <x:v>Day-1 LP emission</x:v>
      </x:c>
      <x:c r="B36" s="78" t="n">
        <x:f>'Inputs'!B30*(3*1*'Inputs'!B12-1^2)/(2*'Inputs'!B12^2)</x:f>
        <x:v>305067.32032276224</x:v>
      </x:c>
      <x:c r="C36" s="59" t="str">
        <x:v>tokens</x:v>
      </x:c>
      <x:c r="D36" s="67" t="str">
        <x:v>Both pools start simultaneously</x:v>
      </x:c>
      <x:c r="E36" s="59"/>
      <x:c r="F36" s="59"/>
      <x:c r="G36" s="59"/>
      <x:c r="H36" s="59"/>
      <x:c r="I36" s="59"/>
    </x:row>
    <x:row r="37">
      <x:c r="A37" s="65" t="str">
        <x:v>First 7-day total emission</x:v>
      </x:c>
      <x:c r="B37" s="82" t="n">
        <x:f>('Inputs'!B28*(3*7*'Inputs'!B12-7^2)/(2*'Inputs'!B12^2))/'Inputs'!B6</x:f>
        <x:v>0.0071084842371927194</x:v>
      </x:c>
      <x:c r="C37" s="59" t="str">
        <x:v>% supply</x:v>
      </x:c>
      <x:c r="D37" s="67" t="str">
        <x:v>Both budgets at full participation</x:v>
      </x:c>
      <x:c r="E37" s="59"/>
      <x:c r="F37" s="59"/>
      <x:c r="G37" s="59"/>
      <x:c r="H37" s="59"/>
      <x:c r="I37" s="59"/>
    </x:row>
    <x:row r="38">
      <x:c r="A38" s="65" t="str">
        <x:v>7-day emission / curve float</x:v>
      </x:c>
      <x:c r="B38" s="83" t="n">
        <x:f>('Inputs'!B37*'Inputs'!B6)/'Inputs'!B27</x:f>
        <x:v>0.9951877932069807</x:v>
      </x:c>
      <x:c r="C38" s="59" t="str">
        <x:v>x</x:v>
      </x:c>
      <x:c r="D38" s="67" t="str">
        <x:v>Early dilution pressure</x:v>
      </x:c>
      <x:c r="E38" s="59"/>
      <x:c r="F38" s="59"/>
      <x:c r="G38" s="59"/>
      <x:c r="H38" s="59"/>
      <x:c r="I38" s="59"/>
    </x:row>
    <x:row r="39">
      <x:c r="A39" s="73" t="str">
        <x:v>First 30-day total emission</x:v>
      </x:c>
      <x:c r="B39" s="84" t="n">
        <x:f>('Inputs'!B28*(3*30*'Inputs'!B12-30^2)/(2*'Inputs'!B12^2))/'Inputs'!B6</x:f>
        <x:v>0.03030470069431413</x:v>
      </x:c>
      <x:c r="C39" s="75" t="str">
        <x:v>% supply</x:v>
      </x:c>
      <x:c r="D39" s="76" t="str">
        <x:v>Both budgets at full participation</x:v>
      </x:c>
      <x:c r="E39" s="59"/>
      <x:c r="F39" s="59"/>
      <x:c r="G39" s="59"/>
      <x:c r="H39" s="59"/>
      <x:c r="I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</x:row>
    <x:row r="42">
      <x:c r="A42" s="58" t="str">
        <x:v>Deterministic scenario assumptions</x:v>
      </x:c>
      <x:c r="B42" s="58" t="str">
        <x:v>Deterministic scenario assumptions</x:v>
      </x:c>
      <x:c r="C42" s="58" t="str">
        <x:v>Deterministic scenario assumptions</x:v>
      </x:c>
      <x:c r="D42" s="58" t="str">
        <x:v>Deterministic scenario assumptions</x:v>
      </x:c>
      <x:c r="E42" s="58" t="str">
        <x:v>Deterministic scenario assumptions</x:v>
      </x:c>
      <x:c r="F42" s="58" t="str">
        <x:v>Deterministic scenario assumptions</x:v>
      </x:c>
      <x:c r="G42" s="58" t="str">
        <x:v>Deterministic scenario assumptions</x:v>
      </x:c>
      <x:c r="H42" s="58" t="str">
        <x:v>Deterministic scenario assumptions</x:v>
      </x:c>
      <x:c r="I42" s="58" t="str">
        <x:v>Deterministic scenario assumptions</x:v>
      </x:c>
    </x:row>
    <x:row r="43">
      <x:c r="A43" s="85" t="str">
        <x:v>Scenario</x:v>
      </x:c>
      <x:c r="B43" s="86" t="str">
        <x:v>Stock stake coefficient</x:v>
      </x:c>
      <x:c r="C43" s="86" t="str">
        <x:v>External LP / locked LP</x:v>
      </x:c>
      <x:c r="D43" s="86" t="str">
        <x:v>Daily turnover / TVL</x:v>
      </x:c>
      <x:c r="E43" s="86" t="str">
        <x:v>Organic buy bias</x:v>
      </x:c>
      <x:c r="F43" s="86" t="str">
        <x:v>Reward sell rate</x:v>
      </x:c>
      <x:c r="G43" s="86" t="str">
        <x:v>Monthly demand growth</x:v>
      </x:c>
      <x:c r="H43" s="86" t="str">
        <x:v>Shock day</x:v>
      </x:c>
      <x:c r="I43" s="87" t="str">
        <x:v>Shock sale / curve float</x:v>
      </x:c>
    </x:row>
    <x:row r="44">
      <x:c r="A44" s="65" t="str">
        <x:v>No demand</x:v>
      </x:c>
      <x:c r="B44" s="88" t="n">
        <x:v>1</x:v>
      </x:c>
      <x:c r="C44" s="89" t="n">
        <x:v>0.25</x:v>
      </x:c>
      <x:c r="D44" s="89" t="n">
        <x:v>0.2</x:v>
      </x:c>
      <x:c r="E44" s="70" t="n">
        <x:v>-0.2</x:v>
      </x:c>
      <x:c r="F44" s="70" t="n">
        <x:v>0.9</x:v>
      </x:c>
      <x:c r="G44" s="70" t="n">
        <x:v>0</x:v>
      </x:c>
      <x:c r="H44" s="69" t="n">
        <x:v>0</x:v>
      </x:c>
      <x:c r="I44" s="90" t="n">
        <x:v>0</x:v>
      </x:c>
    </x:row>
    <x:row r="45">
      <x:c r="A45" s="65" t="str">
        <x:v>Weak demand</x:v>
      </x:c>
      <x:c r="B45" s="88" t="n">
        <x:v>0.75</x:v>
      </x:c>
      <x:c r="C45" s="89" t="n">
        <x:v>0.5</x:v>
      </x:c>
      <x:c r="D45" s="89" t="n">
        <x:v>0.5</x:v>
      </x:c>
      <x:c r="E45" s="70" t="n">
        <x:v>-0.05</x:v>
      </x:c>
      <x:c r="F45" s="70" t="n">
        <x:v>0.7</x:v>
      </x:c>
      <x:c r="G45" s="70" t="n">
        <x:v>0</x:v>
      </x:c>
      <x:c r="H45" s="69" t="n">
        <x:v>0</x:v>
      </x:c>
      <x:c r="I45" s="90" t="n">
        <x:v>0</x:v>
      </x:c>
    </x:row>
    <x:row r="46">
      <x:c r="A46" s="65" t="str">
        <x:v>Base</x:v>
      </x:c>
      <x:c r="B46" s="88" t="n">
        <x:v>1</x:v>
      </x:c>
      <x:c r="C46" s="89" t="n">
        <x:v>1</x:v>
      </x:c>
      <x:c r="D46" s="89" t="n">
        <x:v>1</x:v>
      </x:c>
      <x:c r="E46" s="70" t="n">
        <x:v>0</x:v>
      </x:c>
      <x:c r="F46" s="70" t="n">
        <x:v>0.5</x:v>
      </x:c>
      <x:c r="G46" s="70" t="n">
        <x:v>0</x:v>
      </x:c>
      <x:c r="H46" s="69" t="n">
        <x:v>0</x:v>
      </x:c>
      <x:c r="I46" s="90" t="n">
        <x:v>0</x:v>
      </x:c>
    </x:row>
    <x:row r="47">
      <x:c r="A47" s="65" t="str">
        <x:v>Growth</x:v>
      </x:c>
      <x:c r="B47" s="88" t="n">
        <x:v>1</x:v>
      </x:c>
      <x:c r="C47" s="89" t="n">
        <x:v>1.5</x:v>
      </x:c>
      <x:c r="D47" s="89" t="n">
        <x:v>1.5</x:v>
      </x:c>
      <x:c r="E47" s="70" t="n">
        <x:v>0.05</x:v>
      </x:c>
      <x:c r="F47" s="70" t="n">
        <x:v>0.35</x:v>
      </x:c>
      <x:c r="G47" s="70" t="n">
        <x:v>0.03</x:v>
      </x:c>
      <x:c r="H47" s="69" t="n">
        <x:v>0</x:v>
      </x:c>
      <x:c r="I47" s="90" t="n">
        <x:v>0</x:v>
      </x:c>
    </x:row>
    <x:row r="48">
      <x:c r="A48" s="65" t="str">
        <x:v>Low participation</x:v>
      </x:c>
      <x:c r="B48" s="88" t="n">
        <x:v>0.25</x:v>
      </x:c>
      <x:c r="C48" s="89" t="n">
        <x:v>0.25</x:v>
      </x:c>
      <x:c r="D48" s="89" t="n">
        <x:v>0.3</x:v>
      </x:c>
      <x:c r="E48" s="70" t="n">
        <x:v>0</x:v>
      </x:c>
      <x:c r="F48" s="70" t="n">
        <x:v>0.5</x:v>
      </x:c>
      <x:c r="G48" s="70" t="n">
        <x:v>0</x:v>
      </x:c>
      <x:c r="H48" s="69" t="n">
        <x:v>0</x:v>
      </x:c>
      <x:c r="I48" s="90" t="n">
        <x:v>0</x:v>
      </x:c>
    </x:row>
    <x:row r="49">
      <x:c r="A49" s="65" t="str">
        <x:v>Mercenary LP</x:v>
      </x:c>
      <x:c r="B49" s="88" t="n">
        <x:v>1</x:v>
      </x:c>
      <x:c r="C49" s="89" t="n">
        <x:v>3</x:v>
      </x:c>
      <x:c r="D49" s="89" t="n">
        <x:v>0.75</x:v>
      </x:c>
      <x:c r="E49" s="70" t="n">
        <x:v>-0.03</x:v>
      </x:c>
      <x:c r="F49" s="70" t="n">
        <x:v>0.9</x:v>
      </x:c>
      <x:c r="G49" s="70" t="n">
        <x:v>0</x:v>
      </x:c>
      <x:c r="H49" s="69" t="n">
        <x:v>0</x:v>
      </x:c>
      <x:c r="I49" s="90" t="n">
        <x:v>0</x:v>
      </x:c>
    </x:row>
    <x:row r="50">
      <x:c r="A50" s="65" t="str">
        <x:v>Whale exit</x:v>
      </x:c>
      <x:c r="B50" s="88" t="n">
        <x:v>1</x:v>
      </x:c>
      <x:c r="C50" s="89" t="n">
        <x:v>1</x:v>
      </x:c>
      <x:c r="D50" s="89" t="n">
        <x:v>1</x:v>
      </x:c>
      <x:c r="E50" s="70" t="n">
        <x:v>0</x:v>
      </x:c>
      <x:c r="F50" s="70" t="n">
        <x:v>0.5</x:v>
      </x:c>
      <x:c r="G50" s="70" t="n">
        <x:v>0</x:v>
      </x:c>
      <x:c r="H50" s="69" t="n">
        <x:v>30</x:v>
      </x:c>
      <x:c r="I50" s="90" t="n">
        <x:v>0.4</x:v>
      </x:c>
    </x:row>
    <x:row r="51">
      <x:c r="A51" s="73" t="str">
        <x:v>High demand</x:v>
      </x:c>
      <x:c r="B51" s="91" t="n">
        <x:v>1</x:v>
      </x:c>
      <x:c r="C51" s="92" t="n">
        <x:v>2</x:v>
      </x:c>
      <x:c r="D51" s="92" t="n">
        <x:v>3</x:v>
      </x:c>
      <x:c r="E51" s="93" t="n">
        <x:v>0.1</x:v>
      </x:c>
      <x:c r="F51" s="93" t="n">
        <x:v>0.25</x:v>
      </x:c>
      <x:c r="G51" s="93" t="n">
        <x:v>0.05</x:v>
      </x:c>
      <x:c r="H51" s="74" t="n">
        <x:v>0</x:v>
      </x:c>
      <x:c r="I51" s="94" t="n">
        <x:v>0</x:v>
      </x:c>
    </x:row>
  </x:sheetData>
  <x:mergeCells>
    <x:mergeCell ref="A1:F2"/>
    <x:mergeCell ref="A5:F5"/>
    <x:mergeCell ref="A24:F24"/>
    <x:mergeCell ref="A42:I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58" t="str">
        <x:v>Scenario Outcomes — 365 Days</x:v>
      </x:c>
      <x:c r="B1" s="58" t="str">
        <x:v>Scenario Outcomes — 365 Days</x:v>
      </x:c>
      <x:c r="C1" s="58" t="str">
        <x:v>Scenario Outcomes — 365 Days</x:v>
      </x:c>
      <x:c r="D1" s="58" t="str">
        <x:v>Scenario Outcomes — 365 Days</x:v>
      </x:c>
      <x:c r="E1" s="58" t="str">
        <x:v>Scenario Outcomes — 365 Days</x:v>
      </x:c>
      <x:c r="F1" s="58" t="str">
        <x:v>Scenario Outcomes — 365 Days</x:v>
      </x:c>
      <x:c r="G1" s="58" t="str">
        <x:v>Scenario Outcomes — 365 Days</x:v>
      </x:c>
      <x:c r="H1" s="58" t="str">
        <x:v>Scenario Outcomes — 365 Days</x:v>
      </x:c>
      <x:c r="I1" s="58" t="str">
        <x:v>Scenario Outcomes — 365 Days</x:v>
      </x:c>
      <x:c r="J1" s="58" t="str">
        <x:v>Scenario Outcomes — 365 Days</x:v>
      </x:c>
      <x:c r="K1" s="58" t="str">
        <x:v>Scenario Outcomes — 365 Days</x:v>
      </x:c>
      <x:c r="L1" s="58" t="str">
        <x:v>Scenario Outcomes — 365 Days</x:v>
      </x:c>
      <x:c r="M1" s="58" t="str">
        <x:v>Scenario Outcomes — 365 Days</x:v>
      </x:c>
      <x:c r="N1" s="58" t="str">
        <x:v>Scenario Outcomes — 365 Days</x:v>
      </x:c>
    </x:row>
    <x:row r="2" ht="30" customHeight="1">
      <x:c r="A2" s="58" t="str">
        <x:v>Scenario Outcomes — 365 Days</x:v>
      </x:c>
      <x:c r="B2" s="58" t="str">
        <x:v>Scenario Outcomes — 365 Days</x:v>
      </x:c>
      <x:c r="C2" s="58" t="str">
        <x:v>Scenario Outcomes — 365 Days</x:v>
      </x:c>
      <x:c r="D2" s="58" t="str">
        <x:v>Scenario Outcomes — 365 Days</x:v>
      </x:c>
      <x:c r="E2" s="58" t="str">
        <x:v>Scenario Outcomes — 365 Days</x:v>
      </x:c>
      <x:c r="F2" s="58" t="str">
        <x:v>Scenario Outcomes — 365 Days</x:v>
      </x:c>
      <x:c r="G2" s="58" t="str">
        <x:v>Scenario Outcomes — 365 Days</x:v>
      </x:c>
      <x:c r="H2" s="58" t="str">
        <x:v>Scenario Outcomes — 365 Days</x:v>
      </x:c>
      <x:c r="I2" s="58" t="str">
        <x:v>Scenario Outcomes — 365 Days</x:v>
      </x:c>
      <x:c r="J2" s="58" t="str">
        <x:v>Scenario Outcomes — 365 Days</x:v>
      </x:c>
      <x:c r="K2" s="58" t="str">
        <x:v>Scenario Outcomes — 365 Days</x:v>
      </x:c>
      <x:c r="L2" s="58" t="str">
        <x:v>Scenario Outcomes — 365 Days</x:v>
      </x:c>
      <x:c r="M2" s="58" t="str">
        <x:v>Scenario Outcomes — 365 Days</x:v>
      </x:c>
      <x:c r="N2" s="58" t="str">
        <x:v>Scenario Outcomes — 365 Days</x:v>
      </x:c>
    </x:row>
    <x:row r="3">
      <x:c r="A3" s="85" t="str">
        <x:v>Scenario</x:v>
      </x:c>
      <x:c r="B3" s="86" t="str">
        <x:v>End price</x:v>
      </x:c>
      <x:c r="C3" s="86" t="str">
        <x:v>Price return</x:v>
      </x:c>
      <x:c r="D3" s="86" t="str">
        <x:v>Min price</x:v>
      </x:c>
      <x:c r="E3" s="86" t="str">
        <x:v>Max drawdown</x:v>
      </x:c>
      <x:c r="F3" s="86" t="str">
        <x:v>End TVL</x:v>
      </x:c>
      <x:c r="G3" s="86" t="str">
        <x:v>Emissions / supply</x:v>
      </x:c>
      <x:c r="H3" s="86" t="str">
        <x:v>Rewards sold / supply</x:v>
      </x:c>
      <x:c r="I3" s="86" t="str">
        <x:v>LP fees</x:v>
      </x:c>
      <x:c r="J3" s="86" t="str">
        <x:v>Burned / supply</x:v>
      </x:c>
      <x:c r="K3" s="86" t="str">
        <x:v>Avg first-30d LP APR</x:v>
      </x:c>
      <x:c r="L3" s="86" t="str">
        <x:v>Day-365 LP APR</x:v>
      </x:c>
      <x:c r="M3" s="86" t="str">
        <x:v>Day-365 stock APR</x:v>
      </x:c>
      <x:c r="N3" s="87" t="str">
        <x:v>Assessment</x:v>
      </x:c>
    </x:row>
    <x:row r="4">
      <x:c r="A4" s="65" t="str">
        <x:v>No demand</x:v>
      </x:c>
      <x:c r="B4" s="79" t="n">
        <x:f>'Scenario Model'!W368</x:f>
        <x:v>8.721090863406177e-13</x:v>
      </x:c>
      <x:c r="C4" s="81" t="n">
        <x:f>B4/'Inputs'!$B$31-1</x:f>
        <x:v>-0.9999999990033039</x:v>
      </x:c>
      <x:c r="D4" s="79" t="n">
        <x:f>MIN('Scenario Model'!W4:W368)</x:f>
        <x:v>8.721090863406177e-13</x:v>
      </x:c>
      <x:c r="E4" s="81" t="n">
        <x:f>MIN('Scenario Model'!AK4:AK368)</x:f>
        <x:v>-0.9999999987183694</x:v>
      </x:c>
      <x:c r="F4" s="80" t="n">
        <x:f>'Scenario Model'!Y368</x:f>
        <x:v>0.20330541588159742</x:v>
      </x:c>
      <x:c r="G4" s="82" t="n">
        <x:f>SUM('Scenario Model'!E4:E368)/'Inputs'!$B$6</x:f>
        <x:v>0.34031250000000013</x:v>
      </x:c>
      <x:c r="H4" s="82" t="n">
        <x:f>SUM('Scenario Model'!G4:G368)/'Inputs'!$B$6</x:f>
        <x:v>0.2893285914336648</x:v>
      </x:c>
      <x:c r="I4" s="80" t="n">
        <x:f>SUM('Scenario Model'!Z4:Z368)</x:f>
        <x:v>80.23130106760084</x:v>
      </x:c>
      <x:c r="J4" s="197" t="n">
        <x:f>'Scenario Model'!AC368/'Inputs'!$B$6</x:f>
        <x:v>1.4104720473193613</x:v>
      </x:c>
      <x:c r="K4" s="193" t="n">
        <x:f>AVERAGE('Scenario Model'!AI4:AI33)</x:f>
        <x:v>10.05261702177105</x:v>
      </x:c>
      <x:c r="L4" s="193" t="n">
        <x:f>'Scenario Model'!AI368</x:f>
        <x:v>0.000014312744829545928</x:v>
      </x:c>
      <x:c r="M4" s="193" t="n">
        <x:f>'Scenario Model'!AJ368</x:f>
        <x:v>1.8891786815420535e-8</x:v>
      </x:c>
      <x:c r="N4" s="67" t="str">
        <x:f>IF(OR(C4&lt;-80%,F4&lt;'Inputs'!$B$8),"HIGH RISK",IF(OR(C4&lt;-50%,E4&lt;-70%),"FRAGILE","VIABLE"))</x:f>
        <x:v>HIGH RISK</x:v>
      </x:c>
    </x:row>
    <x:row r="5">
      <x:c r="A5" s="65" t="str">
        <x:v>Weak demand</x:v>
      </x:c>
      <x:c r="B5" s="79" t="n">
        <x:f>'Scenario Model'!W733</x:f>
        <x:v>9.292223107435117e-13</x:v>
      </x:c>
      <x:c r="C5" s="81" t="n">
        <x:f>B5/'Inputs'!$B$31-1</x:f>
        <x:v>-0.9999999989380316</x:v>
      </x:c>
      <x:c r="D5" s="79" t="n">
        <x:f>MIN('Scenario Model'!W369:W733)</x:f>
        <x:v>9.292223107435117e-13</x:v>
      </x:c>
      <x:c r="E5" s="81" t="n">
        <x:f>MIN('Scenario Model'!AK369:AK733)</x:f>
        <x:v>-0.999999998764057</x:v>
      </x:c>
      <x:c r="F5" s="80" t="n">
        <x:f>'Scenario Model'!Y733</x:f>
        <x:v>0.2519200659660569</x:v>
      </x:c>
      <x:c r="G5" s="82" t="n">
        <x:f>SUM('Scenario Model'!E369:E733)/'Inputs'!$B$6</x:f>
        <x:v>0.2807578125</x:v>
      </x:c>
      <x:c r="H5" s="82" t="n">
        <x:f>SUM('Scenario Model'!G369:G733)/'Inputs'!$B$6</x:f>
        <x:v>0.1856525128366016</x:v>
      </x:c>
      <x:c r="I5" s="80" t="n">
        <x:f>SUM('Scenario Model'!Z369:Z733)</x:f>
        <x:v>351.188549928238</x:v>
      </x:c>
      <x:c r="J5" s="197" t="n">
        <x:f>'Scenario Model'!AC733/'Inputs'!$B$6</x:f>
        <x:v>5.743507145915832</x:v>
      </x:c>
      <x:c r="K5" s="193" t="n">
        <x:f>AVERAGE('Scenario Model'!AI369:AI398)</x:f>
        <x:v>8.631900493506473</x:v>
      </x:c>
      <x:c r="L5" s="193" t="n">
        <x:f>'Scenario Model'!AI733</x:f>
        <x:v>0.00003681510402230533</x:v>
      </x:c>
      <x:c r="M5" s="193" t="n">
        <x:f>'Scenario Model'!AJ733</x:f>
        <x:v>2.0128983946674064e-8</x:v>
      </x:c>
      <x:c r="N5" s="67" t="str">
        <x:f>IF(OR(C5&lt;-80%,F5&lt;'Inputs'!$B$8),"HIGH RISK",IF(OR(C5&lt;-50%,E5&lt;-70%),"FRAGILE","VIABLE"))</x:f>
        <x:v>HIGH RISK</x:v>
      </x:c>
    </x:row>
    <x:row r="6">
      <x:c r="A6" s="65" t="str">
        <x:v>Base</x:v>
      </x:c>
      <x:c r="B6" s="79" t="n">
        <x:f>'Scenario Model'!W1098</x:f>
        <x:v>0.0000010603318967236104</x:v>
      </x:c>
      <x:c r="C6" s="81" t="n">
        <x:f>B6/'Inputs'!$B$31-1</x:f>
        <x:v>-0.9987881921180302</x:v>
      </x:c>
      <x:c r="D6" s="79" t="n">
        <x:f>MIN('Scenario Model'!W734:W1098)</x:f>
        <x:v>0.0000010603318967236104</x:v>
      </x:c>
      <x:c r="E6" s="81" t="n">
        <x:f>MIN('Scenario Model'!AK734:AK1098)</x:f>
        <x:v>-0.998741871396234</x:v>
      </x:c>
      <x:c r="F6" s="80" t="n">
        <x:f>'Scenario Model'!Y1098</x:f>
        <x:v>351.6178449608969</x:v>
      </x:c>
      <x:c r="G6" s="82" t="n">
        <x:f>SUM('Scenario Model'!E734:E1098)/'Inputs'!$B$6</x:f>
        <x:v>0.34031250000000013</x:v>
      </x:c>
      <x:c r="H6" s="82" t="n">
        <x:f>SUM('Scenario Model'!G734:G1098)/'Inputs'!$B$6</x:f>
        <x:v>0.160738106352036</x:v>
      </x:c>
      <x:c r="I6" s="80" t="n">
        <x:f>SUM('Scenario Model'!Z734:Z1098)</x:f>
        <x:v>3354.009842552169</x:v>
      </x:c>
      <x:c r="J6" s="197" t="n">
        <x:f>'Scenario Model'!AC1098/'Inputs'!$B$6</x:f>
        <x:v>0.12264348666700615</x:v>
      </x:c>
      <x:c r="K6" s="193" t="n">
        <x:f>AVERAGE('Scenario Model'!AI734:AI763)</x:f>
        <x:v>11.826454790817584</x:v>
      </x:c>
      <x:c r="L6" s="193" t="n">
        <x:f>'Scenario Model'!AI1098</x:f>
        <x:v>0.09699001847959779</x:v>
      </x:c>
      <x:c r="M6" s="193" t="n">
        <x:f>'Scenario Model'!AJ1098</x:f>
        <x:v>0.02296910381996556</x:v>
      </x:c>
      <x:c r="N6" s="67" t="str">
        <x:f>IF(OR(C6&lt;-80%,F6&lt;'Inputs'!$B$8),"HIGH RISK",IF(OR(C6&lt;-50%,E6&lt;-70%),"FRAGILE","VIABLE"))</x:f>
        <x:v>HIGH RISK</x:v>
      </x:c>
    </x:row>
    <x:row r="7">
      <x:c r="A7" s="65" t="str">
        <x:v>Growth</x:v>
      </x:c>
      <x:c r="B7" s="79" t="n">
        <x:f>'Scenario Model'!W1463</x:f>
        <x:v>0.029267567882702912</x:v>
      </x:c>
      <x:c r="C7" s="81" t="n">
        <x:f>B7/'Inputs'!$B$31-1</x:f>
        <x:v>32.44864900880333</x:v>
      </x:c>
      <x:c r="D7" s="79" t="n">
        <x:f>MIN('Scenario Model'!W1099:W1463)</x:f>
        <x:v>0.0011277313392686404</x:v>
      </x:c>
      <x:c r="E7" s="81" t="n">
        <x:f>MIN('Scenario Model'!AK1099:AK1463)</x:f>
        <x:v>-0.6465617868493287</x:v>
      </x:c>
      <x:c r="F7" s="80" t="n">
        <x:f>'Scenario Model'!Y1463</x:f>
        <x:v>100438.18104029988</x:v>
      </x:c>
      <x:c r="G7" s="82" t="n">
        <x:f>SUM('Scenario Model'!E1099:E1463)/'Inputs'!$B$6</x:f>
        <x:v>0.34031250000000013</x:v>
      </x:c>
      <x:c r="H7" s="82" t="n">
        <x:f>SUM('Scenario Model'!G1099:G1463)/'Inputs'!$B$6</x:f>
        <x:v>0.1125166744464252</x:v>
      </x:c>
      <x:c r="I7" s="80" t="n">
        <x:f>SUM('Scenario Model'!Z1099:Z1463)</x:f>
        <x:v>256770.47118217524</x:v>
      </x:c>
      <x:c r="J7" s="197" t="n">
        <x:f>'Scenario Model'!AC1463/'Inputs'!$B$6</x:f>
        <x:v>0.00579952761391881</x:v>
      </x:c>
      <x:c r="K7" s="193" t="n">
        <x:f>AVERAGE('Scenario Model'!AI1099:AI1128)</x:f>
        <x:v>214.07265549171498</x:v>
      </x:c>
      <x:c r="L7" s="193" t="n">
        <x:f>'Scenario Model'!AI1463</x:f>
        <x:v>401.50615623586145</x:v>
      </x:c>
      <x:c r="M7" s="193" t="n">
        <x:f>'Scenario Model'!AJ1463</x:f>
        <x:v>633.999417854845</x:v>
      </x:c>
      <x:c r="N7" s="67" t="str">
        <x:f>IF(OR(C7&lt;-80%,F7&lt;'Inputs'!$B$8),"HIGH RISK",IF(OR(C7&lt;-50%,E7&lt;-70%),"FRAGILE","VIABLE"))</x:f>
        <x:v>VIABLE</x:v>
      </x:c>
    </x:row>
    <x:row r="8">
      <x:c r="A8" s="65" t="str">
        <x:v>Low participation</x:v>
      </x:c>
      <x:c r="B8" s="79" t="n">
        <x:f>'Scenario Model'!W1828</x:f>
        <x:v>0.0000017936564328104106</x:v>
      </x:c>
      <x:c r="C8" s="81" t="n">
        <x:f>B8/'Inputs'!$B$31-1</x:f>
        <x:v>-0.9979501069339309</x:v>
      </x:c>
      <x:c r="D8" s="79" t="n">
        <x:f>MIN('Scenario Model'!W1464:W1828)</x:f>
        <x:v>0.0000017936564328104106</x:v>
      </x:c>
      <x:c r="E8" s="81" t="n">
        <x:f>MIN('Scenario Model'!AK1464:AK1828)</x:f>
        <x:v>-0.9978906903329215</x:v>
      </x:c>
      <x:c r="F8" s="80" t="n">
        <x:f>'Scenario Model'!Y1828</x:f>
        <x:v>285.60313610755503</x:v>
      </x:c>
      <x:c r="G8" s="82" t="n">
        <x:f>SUM('Scenario Model'!E1464:E1828)/'Inputs'!$B$6</x:f>
        <x:v>0.16164843750000019</x:v>
      </x:c>
      <x:c r="H8" s="82" t="n">
        <x:f>SUM('Scenario Model'!G1464:G1828)/'Inputs'!$B$6</x:f>
        <x:v>0.07635060051721708</x:v>
      </x:c>
      <x:c r="I8" s="80" t="n">
        <x:f>SUM('Scenario Model'!Z1464:Z1828)</x:f>
        <x:v>750.0263676593343</x:v>
      </x:c>
      <x:c r="J8" s="197" t="n">
        <x:f>'Scenario Model'!AC1828/'Inputs'!$B$6</x:f>
        <x:v>0.01806946370404915</x:v>
      </x:c>
      <x:c r="K8" s="193" t="n">
        <x:f>AVERAGE('Scenario Model'!AI1464:AI1493)</x:f>
        <x:v>46.37111811944444</x:v>
      </x:c>
      <x:c r="L8" s="193" t="n">
        <x:f>'Scenario Model'!AI1828</x:f>
        <x:v>0.16344308655444217</x:v>
      </x:c>
      <x:c r="M8" s="193" t="n">
        <x:f>'Scenario Model'!AJ1828</x:f>
        <x:v>0.03885451427979666</x:v>
      </x:c>
      <x:c r="N8" s="67" t="str">
        <x:f>IF(OR(C8&lt;-80%,F8&lt;'Inputs'!$B$8),"HIGH RISK",IF(OR(C8&lt;-50%,E8&lt;-70%),"FRAGILE","VIABLE"))</x:f>
        <x:v>HIGH RISK</x:v>
      </x:c>
    </x:row>
    <x:row r="9">
      <x:c r="A9" s="65" t="str">
        <x:v>Mercenary LP</x:v>
      </x:c>
      <x:c r="B9" s="79" t="n">
        <x:f>'Scenario Model'!W2193</x:f>
        <x:v>9.99237181650107e-13</x:v>
      </x:c>
      <x:c r="C9" s="81" t="n">
        <x:f>B9/'Inputs'!$B$31-1</x:f>
        <x:v>-0.9999999988580146</x:v>
      </x:c>
      <x:c r="D9" s="79" t="n">
        <x:f>MIN('Scenario Model'!W1829:W2193)</x:f>
        <x:v>9.99237181650107e-13</x:v>
      </x:c>
      <x:c r="E9" s="81" t="n">
        <x:f>MIN('Scenario Model'!AK1829:AK2193)</x:f>
        <x:v>-0.9999999987126876</x:v>
      </x:c>
      <x:c r="F9" s="80" t="n">
        <x:f>'Scenario Model'!Y2193</x:f>
        <x:v>0.6966307725360563</x:v>
      </x:c>
      <x:c r="G9" s="82" t="n">
        <x:f>SUM('Scenario Model'!E1829:E2193)/'Inputs'!$B$6</x:f>
        <x:v>0.34031250000000013</x:v>
      </x:c>
      <x:c r="H9" s="82" t="n">
        <x:f>SUM('Scenario Model'!G1829:G2193)/'Inputs'!$B$6</x:f>
        <x:v>0.2893285914336648</x:v>
      </x:c>
      <x:c r="I9" s="80" t="n">
        <x:f>SUM('Scenario Model'!Z1829:Z2193)</x:f>
        <x:v>1669.5360254137302</x:v>
      </x:c>
      <x:c r="J9" s="197" t="n">
        <x:f>'Scenario Model'!AC2193/'Inputs'!$B$6</x:f>
        <x:v>24.158076659657564</x:v>
      </x:c>
      <x:c r="K9" s="193" t="n">
        <x:f>AVERAGE('Scenario Model'!AI1829:AI1858)</x:f>
        <x:v>2.4770212487370333</x:v>
      </x:c>
      <x:c r="L9" s="193" t="n">
        <x:f>'Scenario Model'!AI2193</x:f>
        <x:v>0.000057217196643153764</x:v>
      </x:c>
      <x:c r="M9" s="193" t="n">
        <x:f>'Scenario Model'!AJ2193</x:f>
        <x:v>2.1645658908319842e-8</x:v>
      </x:c>
      <x:c r="N9" s="67" t="str">
        <x:f>IF(OR(C9&lt;-80%,F9&lt;'Inputs'!$B$8),"HIGH RISK",IF(OR(C9&lt;-50%,E9&lt;-70%),"FRAGILE","VIABLE"))</x:f>
        <x:v>HIGH RISK</x:v>
      </x:c>
    </x:row>
    <x:row r="10">
      <x:c r="A10" s="65" t="str">
        <x:v>Whale exit</x:v>
      </x:c>
      <x:c r="B10" s="79" t="n">
        <x:f>'Scenario Model'!W2558</x:f>
        <x:v>0.0000010248183942400698</x:v>
      </x:c>
      <x:c r="C10" s="81" t="n">
        <x:f>B10/'Inputs'!$B$31-1</x:f>
        <x:v>-0.9988287789780114</x:v>
      </x:c>
      <x:c r="D10" s="79" t="n">
        <x:f>MIN('Scenario Model'!W2194:W2558)</x:f>
        <x:v>0.0000010248183942400698</x:v>
      </x:c>
      <x:c r="E10" s="81" t="n">
        <x:f>MIN('Scenario Model'!AK2194:AK2558)</x:f>
        <x:v>-0.9987840096676871</x:v>
      </x:c>
      <x:c r="F10" s="80" t="n">
        <x:f>'Scenario Model'!Y2558</x:f>
        <x:v>345.67371201839</x:v>
      </x:c>
      <x:c r="G10" s="82" t="n">
        <x:f>SUM('Scenario Model'!E2194:E2558)/'Inputs'!$B$6</x:f>
        <x:v>0.34031250000000013</x:v>
      </x:c>
      <x:c r="H10" s="82" t="n">
        <x:f>SUM('Scenario Model'!G2194:G2558)/'Inputs'!$B$6</x:f>
        <x:v>0.160738106352036</x:v>
      </x:c>
      <x:c r="I10" s="80" t="n">
        <x:f>SUM('Scenario Model'!Z2194:Z2558)</x:f>
        <x:v>3198.1154863650054</x:v>
      </x:c>
      <x:c r="J10" s="197" t="n">
        <x:f>'Scenario Model'!AC2558/'Inputs'!$B$6</x:f>
        <x:v>0.12649116601703558</x:v>
      </x:c>
      <x:c r="K10" s="193" t="n">
        <x:f>AVERAGE('Scenario Model'!AI2194:AI2223)</x:f>
        <x:v>11.78120780690959</x:v>
      </x:c>
      <x:c r="L10" s="193" t="n">
        <x:f>'Scenario Model'!AI2558</x:f>
        <x:v>0.09501885887142233</x:v>
      </x:c>
      <x:c r="M10" s="193" t="n">
        <x:f>'Scenario Model'!AJ2558</x:f>
        <x:v>0.02219980382241236</x:v>
      </x:c>
      <x:c r="N10" s="67" t="str">
        <x:f>IF(OR(C10&lt;-80%,F10&lt;'Inputs'!$B$8),"HIGH RISK",IF(OR(C10&lt;-50%,E10&lt;-70%),"FRAGILE","VIABLE"))</x:f>
        <x:v>HIGH RISK</x:v>
      </x:c>
    </x:row>
    <x:row r="11">
      <x:c r="A11" s="73" t="str">
        <x:v>High demand</x:v>
      </x:c>
      <x:c r="B11" s="198" t="n">
        <x:f>'Scenario Model'!W2923</x:f>
        <x:v>2.6252729860886803</x:v>
      </x:c>
      <x:c r="C11" s="194" t="n">
        <x:f>B11/'Inputs'!$B$31-1</x:f>
        <x:v>2999.311984101349</x:v>
      </x:c>
      <x:c r="D11" s="198" t="n">
        <x:f>MIN('Scenario Model'!W2559:W2923)</x:f>
        <x:v>0.0021866979015878808</x:v>
      </x:c>
      <x:c r="E11" s="194" t="n">
        <x:f>MIN('Scenario Model'!AK2559:AK2923)</x:f>
        <x:v>-0.7858634897446076</x:v>
      </x:c>
      <x:c r="F11" s="195" t="n">
        <x:f>'Scenario Model'!Y2923</x:f>
        <x:v>2167535.957632053</x:v>
      </x:c>
      <x:c r="G11" s="84" t="n">
        <x:f>SUM('Scenario Model'!E2559:E2923)/'Inputs'!$B$6</x:f>
        <x:v>0.34031250000000013</x:v>
      </x:c>
      <x:c r="H11" s="84" t="n">
        <x:f>SUM('Scenario Model'!G2559:G2923)/'Inputs'!$B$6</x:f>
        <x:v>0.080369053176018</x:v>
      </x:c>
      <x:c r="I11" s="195" t="n">
        <x:f>SUM('Scenario Model'!Z2559:Z2923)</x:f>
        <x:v>8204607.931256359</x:v>
      </x:c>
      <x:c r="J11" s="199" t="n">
        <x:f>'Scenario Model'!AC2923/'Inputs'!$B$6</x:f>
        <x:v>0.003224201074359234</x:v>
      </x:c>
      <x:c r="K11" s="196" t="n">
        <x:f>AVERAGE('Scenario Model'!AI2559:AI2588)</x:f>
        <x:v>6380.173820182243</x:v>
      </x:c>
      <x:c r="L11" s="196" t="n">
        <x:f>'Scenario Model'!AI2923</x:f>
        <x:v>26159.90935891029</x:v>
      </x:c>
      <x:c r="M11" s="196" t="n">
        <x:f>'Scenario Model'!AJ2923</x:f>
        <x:v>56869.144425011975</x:v>
      </x:c>
      <x:c r="N11" s="76" t="str">
        <x:f>IF(OR(C11&lt;-80%,F11&lt;'Inputs'!$B$8),"HIGH RISK",IF(OR(C11&lt;-50%,E11&lt;-70%),"FRAGILE","VIABLE"))</x:f>
        <x:v>FRAGILE</x:v>
      </x:c>
    </x:row>
  </x:sheetData>
  <x:mergeCells>
    <x:mergeCell ref="A1:N2"/>
  </x:mergeCells>
  <x:conditionalFormatting sqref="N4:N11">
    <x:cfRule type="containsText" dxfId="0" priority="1" operator="containsText" text="HIGH RISK"/>
    <x:cfRule type="containsText" dxfId="1" priority="2" operator="containsText" text="FRAGILE"/>
    <x:cfRule type="containsText" dxfId="2" priority="3" operator="containsText" text="VIABLE"/>
  </x:conditionalFormatting>
  <x:pageMargins left="0.7" right="0.7" top="0.75" bottom="0.75" header="0.3" footer="0.3"/>
  <x:drawing xmlns:r="http://schemas.openxmlformats.org/officeDocument/2006/relationships" r:id="Rf2ac8305e62c46c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30" customHeight="1">
      <x:c r="A1" s="58" t="str">
        <x:v>365-Day Deterministic Scenario Engine</x:v>
      </x:c>
      <x:c r="B1" s="58" t="str">
        <x:v>365-Day Deterministic Scenario Engine</x:v>
      </x:c>
      <x:c r="C1" s="58" t="str">
        <x:v>365-Day Deterministic Scenario Engine</x:v>
      </x:c>
      <x:c r="D1" s="58" t="str">
        <x:v>365-Day Deterministic Scenario Engine</x:v>
      </x:c>
      <x:c r="E1" s="58" t="str">
        <x:v>365-Day Deterministic Scenario Engine</x:v>
      </x:c>
      <x:c r="F1" s="58" t="str">
        <x:v>365-Day Deterministic Scenario Engine</x:v>
      </x:c>
      <x:c r="G1" s="58" t="str">
        <x:v>365-Day Deterministic Scenario Engine</x:v>
      </x:c>
      <x:c r="H1" s="58" t="str">
        <x:v>365-Day Deterministic Scenario Engine</x:v>
      </x:c>
      <x:c r="I1" s="58" t="str">
        <x:v>365-Day Deterministic Scenario Engine</x:v>
      </x:c>
      <x:c r="J1" s="58" t="str">
        <x:v>365-Day Deterministic Scenario Engine</x:v>
      </x:c>
      <x:c r="K1" s="58" t="str">
        <x:v>365-Day Deterministic Scenario Engine</x:v>
      </x:c>
      <x:c r="L1" s="58" t="str">
        <x:v>365-Day Deterministic Scenario Engine</x:v>
      </x:c>
      <x:c r="M1" s="58" t="str">
        <x:v>365-Day Deterministic Scenario Engine</x:v>
      </x:c>
      <x:c r="N1" s="58" t="str">
        <x:v>365-Day Deterministic Scenario Engine</x:v>
      </x:c>
      <x:c r="O1" s="58" t="str">
        <x:v>365-Day Deterministic Scenario Engine</x:v>
      </x:c>
      <x:c r="P1" s="58" t="str">
        <x:v>365-Day Deterministic Scenario Engine</x:v>
      </x:c>
      <x:c r="Q1" s="58" t="str">
        <x:v>365-Day Deterministic Scenario Engine</x:v>
      </x:c>
      <x:c r="R1" s="58" t="str">
        <x:v>365-Day Deterministic Scenario Engine</x:v>
      </x:c>
      <x:c r="S1" s="58" t="str">
        <x:v>365-Day Deterministic Scenario Engine</x:v>
      </x:c>
      <x:c r="T1" s="58" t="str">
        <x:v>365-Day Deterministic Scenario Engine</x:v>
      </x:c>
      <x:c r="U1" s="58" t="str">
        <x:v>365-Day Deterministic Scenario Engine</x:v>
      </x:c>
      <x:c r="V1" s="58" t="str">
        <x:v>365-Day Deterministic Scenario Engine</x:v>
      </x:c>
      <x:c r="W1" s="58" t="str">
        <x:v>365-Day Deterministic Scenario Engine</x:v>
      </x:c>
      <x:c r="X1" s="58" t="str">
        <x:v>365-Day Deterministic Scenario Engine</x:v>
      </x:c>
      <x:c r="Y1" s="58" t="str">
        <x:v>365-Day Deterministic Scenario Engine</x:v>
      </x:c>
      <x:c r="Z1" s="58" t="str">
        <x:v>365-Day Deterministic Scenario Engine</x:v>
      </x:c>
      <x:c r="AA1" s="58" t="str">
        <x:v>365-Day Deterministic Scenario Engine</x:v>
      </x:c>
      <x:c r="AB1" s="58" t="str">
        <x:v>365-Day Deterministic Scenario Engine</x:v>
      </x:c>
      <x:c r="AC1" s="58" t="str">
        <x:v>365-Day Deterministic Scenario Engine</x:v>
      </x:c>
      <x:c r="AD1" s="58" t="str">
        <x:v>365-Day Deterministic Scenario Engine</x:v>
      </x:c>
      <x:c r="AE1" s="58" t="str">
        <x:v>365-Day Deterministic Scenario Engine</x:v>
      </x:c>
      <x:c r="AF1" s="58" t="str">
        <x:v>365-Day Deterministic Scenario Engine</x:v>
      </x:c>
      <x:c r="AG1" s="58" t="str">
        <x:v>365-Day Deterministic Scenario Engine</x:v>
      </x:c>
      <x:c r="AH1" s="58" t="str">
        <x:v>365-Day Deterministic Scenario Engine</x:v>
      </x:c>
      <x:c r="AI1" s="58" t="str">
        <x:v>365-Day Deterministic Scenario Engine</x:v>
      </x:c>
      <x:c r="AJ1" s="58" t="str">
        <x:v>365-Day Deterministic Scenario Engine</x:v>
      </x:c>
      <x:c r="AK1" s="58" t="str">
        <x:v>365-Day Deterministic Scenario Engine</x:v>
      </x:c>
      <x:c r="AL1" s="58" t="str">
        <x:v>365-Day Deterministic Scenario Engine</x:v>
      </x:c>
      <x:c r="AM1" s="58" t="str">
        <x:v>365-Day Deterministic Scenario Engine</x:v>
      </x:c>
      <x:c r="AN1" s="58" t="str">
        <x:v>365-Day Deterministic Scenario Engine</x:v>
      </x:c>
      <x:c r="AO1" s="58" t="str">
        <x:v>365-Day Deterministic Scenario Engine</x:v>
      </x:c>
    </x:row>
    <x:row r="2" ht="30" customHeight="1">
      <x:c r="A2" s="58" t="str">
        <x:v>365-Day Deterministic Scenario Engine</x:v>
      </x:c>
      <x:c r="B2" s="58" t="str">
        <x:v>365-Day Deterministic Scenario Engine</x:v>
      </x:c>
      <x:c r="C2" s="58" t="str">
        <x:v>365-Day Deterministic Scenario Engine</x:v>
      </x:c>
      <x:c r="D2" s="58" t="str">
        <x:v>365-Day Deterministic Scenario Engine</x:v>
      </x:c>
      <x:c r="E2" s="58" t="str">
        <x:v>365-Day Deterministic Scenario Engine</x:v>
      </x:c>
      <x:c r="F2" s="58" t="str">
        <x:v>365-Day Deterministic Scenario Engine</x:v>
      </x:c>
      <x:c r="G2" s="58" t="str">
        <x:v>365-Day Deterministic Scenario Engine</x:v>
      </x:c>
      <x:c r="H2" s="58" t="str">
        <x:v>365-Day Deterministic Scenario Engine</x:v>
      </x:c>
      <x:c r="I2" s="58" t="str">
        <x:v>365-Day Deterministic Scenario Engine</x:v>
      </x:c>
      <x:c r="J2" s="58" t="str">
        <x:v>365-Day Deterministic Scenario Engine</x:v>
      </x:c>
      <x:c r="K2" s="58" t="str">
        <x:v>365-Day Deterministic Scenario Engine</x:v>
      </x:c>
      <x:c r="L2" s="58" t="str">
        <x:v>365-Day Deterministic Scenario Engine</x:v>
      </x:c>
      <x:c r="M2" s="58" t="str">
        <x:v>365-Day Deterministic Scenario Engine</x:v>
      </x:c>
      <x:c r="N2" s="58" t="str">
        <x:v>365-Day Deterministic Scenario Engine</x:v>
      </x:c>
      <x:c r="O2" s="58" t="str">
        <x:v>365-Day Deterministic Scenario Engine</x:v>
      </x:c>
      <x:c r="P2" s="58" t="str">
        <x:v>365-Day Deterministic Scenario Engine</x:v>
      </x:c>
      <x:c r="Q2" s="58" t="str">
        <x:v>365-Day Deterministic Scenario Engine</x:v>
      </x:c>
      <x:c r="R2" s="58" t="str">
        <x:v>365-Day Deterministic Scenario Engine</x:v>
      </x:c>
      <x:c r="S2" s="58" t="str">
        <x:v>365-Day Deterministic Scenario Engine</x:v>
      </x:c>
      <x:c r="T2" s="58" t="str">
        <x:v>365-Day Deterministic Scenario Engine</x:v>
      </x:c>
      <x:c r="U2" s="58" t="str">
        <x:v>365-Day Deterministic Scenario Engine</x:v>
      </x:c>
      <x:c r="V2" s="58" t="str">
        <x:v>365-Day Deterministic Scenario Engine</x:v>
      </x:c>
      <x:c r="W2" s="58" t="str">
        <x:v>365-Day Deterministic Scenario Engine</x:v>
      </x:c>
      <x:c r="X2" s="58" t="str">
        <x:v>365-Day Deterministic Scenario Engine</x:v>
      </x:c>
      <x:c r="Y2" s="58" t="str">
        <x:v>365-Day Deterministic Scenario Engine</x:v>
      </x:c>
      <x:c r="Z2" s="58" t="str">
        <x:v>365-Day Deterministic Scenario Engine</x:v>
      </x:c>
      <x:c r="AA2" s="58" t="str">
        <x:v>365-Day Deterministic Scenario Engine</x:v>
      </x:c>
      <x:c r="AB2" s="58" t="str">
        <x:v>365-Day Deterministic Scenario Engine</x:v>
      </x:c>
      <x:c r="AC2" s="58" t="str">
        <x:v>365-Day Deterministic Scenario Engine</x:v>
      </x:c>
      <x:c r="AD2" s="58" t="str">
        <x:v>365-Day Deterministic Scenario Engine</x:v>
      </x:c>
      <x:c r="AE2" s="58" t="str">
        <x:v>365-Day Deterministic Scenario Engine</x:v>
      </x:c>
      <x:c r="AF2" s="58" t="str">
        <x:v>365-Day Deterministic Scenario Engine</x:v>
      </x:c>
      <x:c r="AG2" s="58" t="str">
        <x:v>365-Day Deterministic Scenario Engine</x:v>
      </x:c>
      <x:c r="AH2" s="58" t="str">
        <x:v>365-Day Deterministic Scenario Engine</x:v>
      </x:c>
      <x:c r="AI2" s="58" t="str">
        <x:v>365-Day Deterministic Scenario Engine</x:v>
      </x:c>
      <x:c r="AJ2" s="58" t="str">
        <x:v>365-Day Deterministic Scenario Engine</x:v>
      </x:c>
      <x:c r="AK2" s="58" t="str">
        <x:v>365-Day Deterministic Scenario Engine</x:v>
      </x:c>
      <x:c r="AL2" s="58" t="str">
        <x:v>365-Day Deterministic Scenario Engine</x:v>
      </x:c>
      <x:c r="AM2" s="58" t="str">
        <x:v>365-Day Deterministic Scenario Engine</x:v>
      </x:c>
      <x:c r="AN2" s="58" t="str">
        <x:v>365-Day Deterministic Scenario Engine</x:v>
      </x:c>
      <x:c r="AO2" s="58" t="str">
        <x:v>365-Day Deterministic Scenario Engine</x:v>
      </x:c>
    </x:row>
    <x:row r="3">
      <x:c r="A3" s="200" t="str">
        <x:v>Scenario</x:v>
      </x:c>
      <x:c r="B3" s="201" t="str">
        <x:v>Day</x:v>
      </x:c>
      <x:c r="C3" s="201" t="str">
        <x:v>Stock emission</x:v>
      </x:c>
      <x:c r="D3" s="201" t="str">
        <x:v>LP emission</x:v>
      </x:c>
      <x:c r="E3" s="201" t="str">
        <x:v>Total emission</x:v>
      </x:c>
      <x:c r="F3" s="201" t="str">
        <x:v>Liquid rewards</x:v>
      </x:c>
      <x:c r="G3" s="201" t="str">
        <x:v>Reward sold</x:v>
      </x:c>
      <x:c r="H3" s="201" t="str">
        <x:v>Start token reserve</x:v>
      </x:c>
      <x:c r="I3" s="201" t="str">
        <x:v>Start USDC reserve</x:v>
      </x:c>
      <x:c r="J3" s="201" t="str">
        <x:v>Start price</x:v>
      </x:c>
      <x:c r="K3" s="201" t="str">
        <x:v>Organic volume</x:v>
      </x:c>
      <x:c r="L3" s="201" t="str">
        <x:v>Buy USDC</x:v>
      </x:c>
      <x:c r="M3" s="201" t="str">
        <x:v>Sell USDC</x:v>
      </x:c>
      <x:c r="N3" s="201" t="str">
        <x:v>Buy token out</x:v>
      </x:c>
      <x:c r="O3" s="201" t="str">
        <x:v>After-buy token</x:v>
      </x:c>
      <x:c r="P3" s="201" t="str">
        <x:v>After-buy USDC</x:v>
      </x:c>
      <x:c r="Q3" s="201" t="str">
        <x:v>Organic sell tokens</x:v>
      </x:c>
      <x:c r="R3" s="201" t="str">
        <x:v>Shock tokens</x:v>
      </x:c>
      <x:c r="S3" s="201" t="str">
        <x:v>Total sell tokens</x:v>
      </x:c>
      <x:c r="T3" s="201" t="str">
        <x:v>Sell USDC out</x:v>
      </x:c>
      <x:c r="U3" s="201" t="str">
        <x:v>End token reserve</x:v>
      </x:c>
      <x:c r="V3" s="201" t="str">
        <x:v>End USDC reserve</x:v>
      </x:c>
      <x:c r="W3" s="201" t="str">
        <x:v>End price</x:v>
      </x:c>
      <x:c r="X3" s="201" t="str">
        <x:v>FDV</x:v>
      </x:c>
      <x:c r="Y3" s="201" t="str">
        <x:v>End TVL</x:v>
      </x:c>
      <x:c r="Z3" s="201" t="str">
        <x:v>LP fees USDC</x:v>
      </x:c>
      <x:c r="AA3" s="201" t="str">
        <x:v>Protocol buy fee</x:v>
      </x:c>
      <x:c r="AB3" s="201" t="str">
        <x:v>Protocol burn tokens</x:v>
      </x:c>
      <x:c r="AC3" s="201" t="str">
        <x:v>Cumulative burn</x:v>
      </x:c>
      <x:c r="AD3" s="201" t="str">
        <x:v>Locked LP fee</x:v>
      </x:c>
      <x:c r="AE3" s="201" t="str">
        <x:v>External LP fee</x:v>
      </x:c>
      <x:c r="AF3" s="201" t="str">
        <x:v>LP reward value</x:v>
      </x:c>
      <x:c r="AG3" s="201" t="str">
        <x:v>Stock reward value</x:v>
      </x:c>
      <x:c r="AH3" s="201" t="str">
        <x:v>External LP capital</x:v>
      </x:c>
      <x:c r="AI3" s="201" t="str">
        <x:v>LP APR</x:v>
      </x:c>
      <x:c r="AJ3" s="201" t="str">
        <x:v>Stock APR</x:v>
      </x:c>
      <x:c r="AK3" s="201" t="str">
        <x:v>Drawdown</x:v>
      </x:c>
      <x:c r="AL3" s="201" t="str">
        <x:v>Stake coef</x:v>
      </x:c>
      <x:c r="AM3" s="201" t="str">
        <x:v>External LP factor</x:v>
      </x:c>
      <x:c r="AN3" s="202" t="str">
        <x:v>Turnover</x:v>
      </x:c>
      <x:c r="AO3" s="59" t="str">
        <x:v>Buy bias</x:v>
      </x:c>
    </x:row>
    <x:row r="4">
      <x:c r="A4" s="59" t="str">
        <x:v>No demand</x:v>
      </x:c>
      <x:c r="B4" s="59" t="n">
        <x:v>1</x:v>
      </x:c>
      <x:c r="C4" s="78" t="n">
        <x:f>(('Inputs'!$B$29*(3*1*'Inputs'!$B$12-1^2)/(2*'Inputs'!$B$12^2))-('Inputs'!$B$29*(3*0*'Inputs'!$B$12-0^2)/(2*'Inputs'!$B$12^2)))*'Inputs'!$B$44</x:f>
        <x:v>711823.7474197786</x:v>
      </x:c>
      <x:c r="D4" s="78" t="n">
        <x:f>IF('Inputs'!$C$44&gt;0,('Inputs'!$B$30*(3*1*'Inputs'!$B$12-1^2)/(2*'Inputs'!$B$12^2))-('Inputs'!$B$30*(3*0*'Inputs'!$B$12-0^2)/(2*'Inputs'!$B$12^2)),0)</x:f>
        <x:v>305067.32032276224</x:v>
      </x:c>
      <x:c r="E4" s="78" t="n">
        <x:f>C4+D4</x:f>
        <x:v>1016891.0677425409</x:v>
      </x:c>
      <x:c r="F4" s="78" t="n">
        <x:f>'Inputs'!$B$13*E4+(1-'Inputs'!$B$13)/'Inputs'!$B$14*SUM(E4:E4)</x:f>
        <x:v>217905.22880197305</x:v>
      </x:c>
      <x:c r="G4" s="78" t="n">
        <x:f>F4*'Inputs'!$F$44</x:f>
        <x:v>196114.70592177575</x:v>
      </x:c>
      <x:c r="H4" s="78" t="n">
        <x:f>'Inputs'!$B$26*(1+'Inputs'!$C$44)</x:f>
        <x:v>3571428.571428572</x:v>
      </x:c>
      <x:c r="I4" s="78" t="n">
        <x:f>'Inputs'!$B$8*(1+'Inputs'!$C$44)</x:f>
        <x:v>3125</x:v>
      </x:c>
      <x:c r="J4" s="79" t="n">
        <x:f>IF(H4&gt;0,I4/H4,0)</x:f>
        <x:v>0.0008749999999999999</x:v>
      </x:c>
      <x:c r="K4" s="80" t="n">
        <x:f>(H4*J4+I4)*'Inputs'!$D$44*(1+'Inputs'!$G$44)^(B4/30)</x:f>
        <x:v>1250</x:v>
      </x:c>
      <x:c r="L4" s="80" t="n">
        <x:f>MAX(0,K4*'Inputs'!$E$44)</x:f>
        <x:v>0</x:v>
      </x:c>
      <x:c r="M4" s="80" t="n">
        <x:f>MAX(0,-K4*'Inputs'!$E$44)</x:f>
        <x:v>250</x:v>
      </x:c>
      <x:c r="N4" s="78" t="n">
        <x:f>H4*(L4*(1-'Inputs'!$B$15))/(I4+L4*(1-'Inputs'!$B$15))</x:f>
        <x:v>0</x:v>
      </x:c>
      <x:c r="O4" s="78" t="n">
        <x:f>H4-N4</x:f>
        <x:v>3571428.571428572</x:v>
      </x:c>
      <x:c r="P4" s="78" t="n">
        <x:f>I4+L4*(1-'Inputs'!$B$17)</x:f>
        <x:v>3125</x:v>
      </x:c>
      <x:c r="Q4" s="78" t="n">
        <x:f>IF(J4&gt;0,M4/J4,0)</x:f>
        <x:v>285714.28571428574</x:v>
      </x:c>
      <x:c r="R4" s="78" t="n">
        <x:f>IF(B4='Inputs'!$H$44,'Inputs'!$B$27*'Inputs'!$I$44,0)</x:f>
        <x:v>0</x:v>
      </x:c>
      <x:c r="S4" s="78" t="n">
        <x:f>Q4+G4+R4</x:f>
        <x:v>481828.99163606146</x:v>
      </x:c>
      <x:c r="T4" s="78" t="n">
        <x:f>P4*(S4*(1-'Inputs'!$B$15))/(O4+S4*(1-'Inputs'!$B$15))</x:f>
        <x:v>368.205706520294</x:v>
      </x:c>
      <x:c r="U4" s="78" t="n">
        <x:f>O4+S4*(1-'Inputs'!$B$17)</x:f>
        <x:v>4051318.6134001017</x:v>
      </x:c>
      <x:c r="V4" s="78" t="n">
        <x:f>P4-T4</x:f>
        <x:v>2756.794293479706</x:v>
      </x:c>
      <x:c r="W4" s="79" t="n">
        <x:f>IF(U4&gt;0,V4/U4,0)</x:f>
        <x:v>0.0006804683996863047</x:v>
      </x:c>
      <x:c r="X4" s="80" t="n">
        <x:f>W4*('Inputs'!$B$6-AC4)</x:f>
        <x:v>680465.5155475184</x:v>
      </x:c>
      <x:c r="Y4" s="80" t="n">
        <x:f>2*V4</x:f>
        <x:v>5513.588586959412</x:v>
      </x:c>
      <x:c r="Z4" s="80" t="n">
        <x:f>K4*'Inputs'!$B$16+(G4+R4)*J4*'Inputs'!$B$16</x:f>
        <x:v>8.529602206089322</x:v>
      </x:c>
      <x:c r="AA4" s="80" t="n">
        <x:f>K4*(1+'Inputs'!$E$44)/2*'Inputs'!$B$17</x:f>
        <x:v>2.012072434607646</x:v>
      </x:c>
      <x:c r="AB4" s="78" t="n">
        <x:f>(IF(J4&gt;0,K4*(1-'Inputs'!$E$44)/2/J4,0)+G4+R4)*'Inputs'!$B$17</x:f>
        <x:v>4238.461018368745</x:v>
      </x:c>
      <x:c r="AC4" s="78" t="n">
        <x:f>AB4</x:f>
        <x:v>4238.461018368745</x:v>
      </x:c>
      <x:c r="AD4" s="80" t="n">
        <x:f>Z4/(1+'Inputs'!$C$44)</x:f>
        <x:v>6.823681764871457</x:v>
      </x:c>
      <x:c r="AE4" s="80" t="n">
        <x:f>Z4-AD4</x:f>
        <x:v>1.7059204412178648</x:v>
      </x:c>
      <x:c r="AF4" s="80" t="n">
        <x:f>D4*W4</x:f>
        <x:v>207.58867125661934</x:v>
      </x:c>
      <x:c r="AG4" s="80" t="n">
        <x:f>C4*W4</x:f>
        <x:v>484.3735662654451</x:v>
      </x:c>
      <x:c r="AH4" s="80" t="n">
        <x:f>2*'Inputs'!$B$8*'Inputs'!$C$44</x:f>
        <x:v>1250</x:v>
      </x:c>
      <x:c r="AI4" s="81" t="n">
        <x:f>IF(AH4&gt;0,(AE4+AF4)/AH4*365,0)</x:f>
        <x:v>61.11402077576846</x:v>
      </x:c>
      <x:c r="AJ4" s="81" t="n">
        <x:f>IF('Inputs'!$B$44&gt;0,AG4/('Inputs'!$B$19*'Inputs'!$B$44)*365,0)</x:f>
        <x:v>17.679635168688748</x:v>
      </x:c>
      <x:c r="AK4" s="81" t="n">
        <x:f>W4/MAX($W$4:W4)-1</x:f>
        <x:v>0</x:v>
      </x:c>
      <x:c r="AL4" s="83" t="n">
        <x:f>'Inputs'!$B$44</x:f>
        <x:v>1</x:v>
      </x:c>
      <x:c r="AM4" s="83" t="n">
        <x:f>'Inputs'!$C$44</x:f>
        <x:v>0.25</x:v>
      </x:c>
      <x:c r="AN4" s="83" t="n">
        <x:f>'Inputs'!$D$44</x:f>
        <x:v>0.2</x:v>
      </x:c>
      <x:c r="AO4" s="81" t="n">
        <x:f>'Inputs'!$E$44</x:f>
        <x:v>-0.2</x:v>
      </x:c>
    </x:row>
    <x:row r="5">
      <x:c r="A5" s="59" t="str">
        <x:v>No demand</x:v>
      </x:c>
      <x:c r="B5" s="59" t="n">
        <x:v>2</x:v>
      </x:c>
      <x:c r="C5" s="78" t="n">
        <x:f>(('Inputs'!$B$29*(3*2*'Inputs'!$B$12-2^2)/(2*'Inputs'!$B$12^2))-('Inputs'!$B$29*(3*1*'Inputs'!$B$12-1^2)/(2*'Inputs'!$B$12^2)))*'Inputs'!$B$44</x:f>
        <x:v>711498.6395196096</x:v>
      </x:c>
      <x:c r="D5" s="78" t="n">
        <x:f>IF('Inputs'!$C$44&gt;0,('Inputs'!$B$30*(3*2*'Inputs'!$B$12-2^2)/(2*'Inputs'!$B$12^2))-('Inputs'!$B$30*(3*1*'Inputs'!$B$12-1^2)/(2*'Inputs'!$B$12^2)),0)</x:f>
        <x:v>304927.98836554703</x:v>
      </x:c>
      <x:c r="E5" s="78" t="n">
        <x:f>C5+D5</x:f>
        <x:v>1016426.6278851567</x:v>
      </x:c>
      <x:c r="F5" s="78" t="n">
        <x:f>'Inputs'!$B$13*E5+(1-'Inputs'!$B$13)/'Inputs'!$B$14*SUM(E4:E5)</x:f>
        <x:v>232332.7212288556</x:v>
      </x:c>
      <x:c r="G5" s="78" t="n">
        <x:f>F5*'Inputs'!$F$44</x:f>
        <x:v>209099.44910597004</x:v>
      </x:c>
      <x:c r="H5" s="78" t="n">
        <x:f>U4</x:f>
        <x:v>4051318.6134001017</x:v>
      </x:c>
      <x:c r="I5" s="78" t="n">
        <x:f>V4</x:f>
        <x:v>2756.794293479706</x:v>
      </x:c>
      <x:c r="J5" s="79" t="n">
        <x:f>IF(H5&gt;0,I5/H5,0)</x:f>
        <x:v>0.0006804683996863047</x:v>
      </x:c>
      <x:c r="K5" s="80" t="n">
        <x:f>(H5*J5+I5)*'Inputs'!$D$44*(1+'Inputs'!$G$44)^(B5/30)</x:f>
        <x:v>1102.7177173918824</x:v>
      </x:c>
      <x:c r="L5" s="80" t="n">
        <x:f>MAX(0,K5*'Inputs'!$E$44)</x:f>
        <x:v>0</x:v>
      </x:c>
      <x:c r="M5" s="80" t="n">
        <x:f>MAX(0,-K5*'Inputs'!$E$44)</x:f>
        <x:v>220.54354347837648</x:v>
      </x:c>
      <x:c r="N5" s="78" t="n">
        <x:f>H5*(L5*(1-'Inputs'!$B$15))/(I5+L5*(1-'Inputs'!$B$15))</x:f>
        <x:v>0</x:v>
      </x:c>
      <x:c r="O5" s="78" t="n">
        <x:f>H5-N5</x:f>
        <x:v>4051318.6134001017</x:v>
      </x:c>
      <x:c r="P5" s="78" t="n">
        <x:f>I5+L5*(1-'Inputs'!$B$17)</x:f>
        <x:v>2756.794293479706</x:v>
      </x:c>
      <x:c r="Q5" s="78" t="n">
        <x:f>IF(J5&gt;0,M5/J5,0)</x:f>
        <x:v>324105.4890720081</x:v>
      </x:c>
      <x:c r="R5" s="78" t="n">
        <x:f>IF(B5='Inputs'!$H$44,'Inputs'!$B$27*'Inputs'!$I$44,0)</x:f>
        <x:v>0</x:v>
      </x:c>
      <x:c r="S5" s="78" t="n">
        <x:f>Q5+G5+R5</x:f>
        <x:v>533204.9381779782</x:v>
      </x:c>
      <x:c r="T5" s="78" t="n">
        <x:f>P5*(S5*(1-'Inputs'!$B$15))/(O5+S5*(1-'Inputs'!$B$15))</x:f>
        <x:v>317.79342856004985</x:v>
      </x:c>
      <x:c r="U5" s="78" t="n">
        <x:f>O5+S5*(1-'Inputs'!$B$17)</x:f>
        <x:v>4582377.85766187</x:v>
      </x:c>
      <x:c r="V5" s="78" t="n">
        <x:f>P5-T5</x:f>
        <x:v>2439.000864919656</x:v>
      </x:c>
      <x:c r="W5" s="79" t="n">
        <x:f>IF(U5&gt;0,V5/U5,0)</x:f>
        <x:v>0.0005322566014152619</x:v>
      </x:c>
      <x:c r="X5" s="80" t="n">
        <x:f>W5*('Inputs'!$B$6-AC5)</x:f>
        <x:v>532251.8150180329</x:v>
      </x:c>
      <x:c r="Y5" s="80" t="n">
        <x:f>2*V5</x:f>
        <x:v>4878.001729839312</x:v>
      </x:c>
      <x:c r="Z5" s="80" t="n">
        <x:f>K5*'Inputs'!$B$16+(G5+R5)*J5*'Inputs'!$B$16</x:f>
        <x:v>7.470019709401859</x:v>
      </x:c>
      <x:c r="AA5" s="80" t="n">
        <x:f>K5*(1+'Inputs'!$E$44)/2*'Inputs'!$B$17</x:f>
        <x:v>1.7749983378541367</x:v>
      </x:c>
      <x:c r="AB5" s="78" t="n">
        <x:f>(IF(J5&gt;0,K5*(1-'Inputs'!$E$44)/2/J5,0)+G5+R5)*'Inputs'!$B$17</x:f>
        <x:v>4754.188798076436</x:v>
      </x:c>
      <x:c r="AC5" s="78" t="n">
        <x:f>AC4+AB5</x:f>
        <x:v>8992.64981644518</x:v>
      </x:c>
      <x:c r="AD5" s="80" t="n">
        <x:f>Z5/(1+'Inputs'!$C$44)</x:f>
        <x:v>5.976015767521487</x:v>
      </x:c>
      <x:c r="AE5" s="80" t="n">
        <x:f>Z5-AD5</x:f>
        <x:v>1.494003941880372</x:v>
      </x:c>
      <x:c r="AF5" s="80" t="n">
        <x:f>D5*W5</x:f>
        <x:v>162.2999347638386</x:v>
      </x:c>
      <x:c r="AG5" s="80" t="n">
        <x:f>C5*W5</x:f>
        <x:v>378.69984778229</x:v>
      </x:c>
      <x:c r="AH5" s="80" t="n">
        <x:f>2*'Inputs'!$B$8*'Inputs'!$C$44</x:f>
        <x:v>1250</x:v>
      </x:c>
      <x:c r="AI5" s="81" t="n">
        <x:f>IF(AH5&gt;0,(AE5+AF5)/AH5*365,0)</x:f>
        <x:v>47.827830102069946</x:v>
      </x:c>
      <x:c r="AJ5" s="81" t="n">
        <x:f>IF('Inputs'!$B$44&gt;0,AG5/('Inputs'!$B$19*'Inputs'!$B$44)*365,0)</x:f>
        <x:v>13.822544444053587</x:v>
      </x:c>
      <x:c r="AK5" s="81" t="n">
        <x:f>W5/MAX($W$4:W5)-1</x:f>
        <x:v>-0.21780849535315416</x:v>
      </x:c>
      <x:c r="AL5" s="83" t="n">
        <x:f>'Inputs'!$B$44</x:f>
        <x:v>1</x:v>
      </x:c>
      <x:c r="AM5" s="83" t="n">
        <x:f>'Inputs'!$C$44</x:f>
        <x:v>0.25</x:v>
      </x:c>
      <x:c r="AN5" s="83" t="n">
        <x:f>'Inputs'!$D$44</x:f>
        <x:v>0.2</x:v>
      </x:c>
      <x:c r="AO5" s="81" t="n">
        <x:f>'Inputs'!$E$44</x:f>
        <x:v>-0.2</x:v>
      </x:c>
    </x:row>
    <x:row r="6">
      <x:c r="A6" s="59" t="str">
        <x:v>No demand</x:v>
      </x:c>
      <x:c r="B6" s="59" t="n">
        <x:v>3</x:v>
      </x:c>
      <x:c r="C6" s="78" t="n">
        <x:f>(('Inputs'!$B$29*(3*3*'Inputs'!$B$12-3^2)/(2*'Inputs'!$B$12^2))-('Inputs'!$B$29*(3*2*'Inputs'!$B$12-2^2)/(2*'Inputs'!$B$12^2)))*'Inputs'!$B$44</x:f>
        <x:v>711173.5316194408</x:v>
      </x:c>
      <x:c r="D6" s="78" t="n">
        <x:f>IF('Inputs'!$C$44&gt;0,('Inputs'!$B$30*(3*3*'Inputs'!$B$12-3^2)/(2*'Inputs'!$B$12^2))-('Inputs'!$B$30*(3*2*'Inputs'!$B$12-2^2)/(2*'Inputs'!$B$12^2)),0)</x:f>
        <x:v>304788.6564083317</x:v>
      </x:c>
      <x:c r="E6" s="78" t="n">
        <x:f>C6+D6</x:f>
        <x:v>1015962.1880277725</x:v>
      </x:c>
      <x:c r="F6" s="78" t="n">
        <x:f>'Inputs'!$B$13*E6+(1-'Inputs'!$B$13)/'Inputs'!$B$14*SUM(E4:E6)</x:f>
        <x:v>246753.57880063265</x:v>
      </x:c>
      <x:c r="G6" s="78" t="n">
        <x:f>F6*'Inputs'!$F$44</x:f>
        <x:v>222078.22092056938</x:v>
      </x:c>
      <x:c r="H6" s="78" t="n">
        <x:f>U5</x:f>
        <x:v>4582377.85766187</x:v>
      </x:c>
      <x:c r="I6" s="78" t="n">
        <x:f>V5</x:f>
        <x:v>2439.000864919656</x:v>
      </x:c>
      <x:c r="J6" s="79" t="n">
        <x:f>IF(H6&gt;0,I6/H6,0)</x:f>
        <x:v>0.0005322566014152619</x:v>
      </x:c>
      <x:c r="K6" s="80" t="n">
        <x:f>(H6*J6+I6)*'Inputs'!$D$44*(1+'Inputs'!$G$44)^(B6/30)</x:f>
        <x:v>975.6003459678625</x:v>
      </x:c>
      <x:c r="L6" s="80" t="n">
        <x:f>MAX(0,K6*'Inputs'!$E$44)</x:f>
        <x:v>0</x:v>
      </x:c>
      <x:c r="M6" s="80" t="n">
        <x:f>MAX(0,-K6*'Inputs'!$E$44)</x:f>
        <x:v>195.1200691935725</x:v>
      </x:c>
      <x:c r="N6" s="78" t="n">
        <x:f>H6*(L6*(1-'Inputs'!$B$15))/(I6+L6*(1-'Inputs'!$B$15))</x:f>
        <x:v>0</x:v>
      </x:c>
      <x:c r="O6" s="78" t="n">
        <x:f>H6-N6</x:f>
        <x:v>4582377.85766187</x:v>
      </x:c>
      <x:c r="P6" s="78" t="n">
        <x:f>I6+L6*(1-'Inputs'!$B$17)</x:f>
        <x:v>2439.000864919656</x:v>
      </x:c>
      <x:c r="Q6" s="78" t="n">
        <x:f>IF(J6&gt;0,M6/J6,0)</x:f>
        <x:v>366590.22861294966</x:v>
      </x:c>
      <x:c r="R6" s="78" t="n">
        <x:f>IF(B6='Inputs'!$H$44,'Inputs'!$B$27*'Inputs'!$I$44,0)</x:f>
        <x:v>0</x:v>
      </x:c>
      <x:c r="S6" s="78" t="n">
        <x:f>Q6+G6+R6</x:f>
        <x:v>588668.4495335191</x:v>
      </x:c>
      <x:c r="T6" s="78" t="n">
        <x:f>P6*(S6*(1-'Inputs'!$B$15))/(O6+S6*(1-'Inputs'!$B$15))</x:f>
        <x:v>275.1909588119377</x:v>
      </x:c>
      <x:c r="U6" s="78" t="n">
        <x:f>O6+S6*(1-'Inputs'!$B$17)</x:f>
        <x:v>5168677.42007453</x:v>
      </x:c>
      <x:c r="V6" s="78" t="n">
        <x:f>P6-T6</x:f>
        <x:v>2163.8099061077182</x:v>
      </x:c>
      <x:c r="W6" s="79" t="n">
        <x:f>IF(U6&gt;0,V6/U6,0)</x:f>
        <x:v>0.0004186389921924199</x:v>
      </x:c>
      <x:c r="X6" s="80" t="n">
        <x:f>W6*('Inputs'!$B$6-AC6)</x:f>
        <x:v>418633.00064735976</x:v>
      </x:c>
      <x:c r="Y6" s="80" t="n">
        <x:f>2*V6</x:f>
        <x:v>4327.6198122154365</x:v>
      </x:c>
      <x:c r="Z6" s="80" t="n">
        <x:f>K6*'Inputs'!$B$16+(G6+R6)*J6*'Inputs'!$B$16</x:f>
        <x:v>6.562817670500355</x:v>
      </x:c>
      <x:c r="AA6" s="80" t="n">
        <x:f>K6*(1+'Inputs'!$E$44)/2*'Inputs'!$B$17</x:f>
        <x:v>1.570382850652495</x:v>
      </x:c>
      <x:c r="AB6" s="78" t="n">
        <x:f>(IF(J6&gt;0,K6*(1-'Inputs'!$E$44)/2/J6,0)+G6+R6)*'Inputs'!$B$17</x:f>
        <x:v>5319.3114960137555</x:v>
      </x:c>
      <x:c r="AC6" s="78" t="n">
        <x:f>AC5+AB6</x:f>
        <x:v>14311.961312458936</x:v>
      </x:c>
      <x:c r="AD6" s="80" t="n">
        <x:f>Z6/(1+'Inputs'!$C$44)</x:f>
        <x:v>5.250254136400284</x:v>
      </x:c>
      <x:c r="AE6" s="80" t="n">
        <x:f>Z6-AD6</x:f>
        <x:v>1.3125635341000708</x:v>
      </x:c>
      <x:c r="AF6" s="80" t="n">
        <x:f>D6*W6</x:f>
        <x:v>127.59641595046573</x:v>
      </x:c>
      <x:c r="AG6" s="80" t="n">
        <x:f>C6*W6</x:f>
        <x:v>297.72497055108676</x:v>
      </x:c>
      <x:c r="AH6" s="80" t="n">
        <x:f>2*'Inputs'!$B$8*'Inputs'!$C$44</x:f>
        <x:v>1250</x:v>
      </x:c>
      <x:c r="AI6" s="81" t="n">
        <x:f>IF(AH6&gt;0,(AE6+AF6)/AH6*365,0)</x:f>
        <x:v>37.64142200949322</x:v>
      </x:c>
      <x:c r="AJ6" s="81" t="n">
        <x:f>IF('Inputs'!$B$44&gt;0,AG6/('Inputs'!$B$19*'Inputs'!$B$44)*365,0)</x:f>
        <x:v>10.866961425114667</x:v>
      </x:c>
      <x:c r="AK6" s="81" t="n">
        <x:f>W6/MAX($W$4:W6)-1</x:f>
        <x:v>-0.38477820221275216</x:v>
      </x:c>
      <x:c r="AL6" s="83" t="n">
        <x:f>'Inputs'!$B$44</x:f>
        <x:v>1</x:v>
      </x:c>
      <x:c r="AM6" s="83" t="n">
        <x:f>'Inputs'!$C$44</x:f>
        <x:v>0.25</x:v>
      </x:c>
      <x:c r="AN6" s="83" t="n">
        <x:f>'Inputs'!$D$44</x:f>
        <x:v>0.2</x:v>
      </x:c>
      <x:c r="AO6" s="81" t="n">
        <x:f>'Inputs'!$E$44</x:f>
        <x:v>-0.2</x:v>
      </x:c>
    </x:row>
    <x:row r="7">
      <x:c r="A7" s="59" t="str">
        <x:v>No demand</x:v>
      </x:c>
      <x:c r="B7" s="59" t="n">
        <x:v>4</x:v>
      </x:c>
      <x:c r="C7" s="78" t="n">
        <x:f>(('Inputs'!$B$29*(3*4*'Inputs'!$B$12-4^2)/(2*'Inputs'!$B$12^2))-('Inputs'!$B$29*(3*3*'Inputs'!$B$12-3^2)/(2*'Inputs'!$B$12^2)))*'Inputs'!$B$44</x:f>
        <x:v>710848.423719272</x:v>
      </x:c>
      <x:c r="D7" s="78" t="n">
        <x:f>IF('Inputs'!$C$44&gt;0,('Inputs'!$B$30*(3*4*'Inputs'!$B$12-4^2)/(2*'Inputs'!$B$12^2))-('Inputs'!$B$30*(3*3*'Inputs'!$B$12-3^2)/(2*'Inputs'!$B$12^2)),0)</x:f>
        <x:v>304649.3244511165</x:v>
      </x:c>
      <x:c r="E7" s="78" t="n">
        <x:f>C7+D7</x:f>
        <x:v>1015497.7481703885</x:v>
      </x:c>
      <x:c r="F7" s="78" t="n">
        <x:f>'Inputs'!$B$13*E7+(1-'Inputs'!$B$13)/'Inputs'!$B$14*SUM(E4:E7)</x:f>
        <x:v>261167.80151730427</x:v>
      </x:c>
      <x:c r="G7" s="78" t="n">
        <x:f>F7*'Inputs'!$F$44</x:f>
        <x:v>235051.02136557383</x:v>
      </x:c>
      <x:c r="H7" s="78" t="n">
        <x:f>U6</x:f>
        <x:v>5168677.42007453</x:v>
      </x:c>
      <x:c r="I7" s="78" t="n">
        <x:f>V6</x:f>
        <x:v>2163.8099061077182</x:v>
      </x:c>
      <x:c r="J7" s="79" t="n">
        <x:f>IF(H7&gt;0,I7/H7,0)</x:f>
        <x:v>0.0004186389921924199</x:v>
      </x:c>
      <x:c r="K7" s="80" t="n">
        <x:f>(H7*J7+I7)*'Inputs'!$D$44*(1+'Inputs'!$G$44)^(B7/30)</x:f>
        <x:v>865.5239624430874</x:v>
      </x:c>
      <x:c r="L7" s="80" t="n">
        <x:f>MAX(0,K7*'Inputs'!$E$44)</x:f>
        <x:v>0</x:v>
      </x:c>
      <x:c r="M7" s="80" t="n">
        <x:f>MAX(0,-K7*'Inputs'!$E$44)</x:f>
        <x:v>173.10479248861748</x:v>
      </x:c>
      <x:c r="N7" s="78" t="n">
        <x:f>H7*(L7*(1-'Inputs'!$B$15))/(I7+L7*(1-'Inputs'!$B$15))</x:f>
        <x:v>0</x:v>
      </x:c>
      <x:c r="O7" s="78" t="n">
        <x:f>H7-N7</x:f>
        <x:v>5168677.42007453</x:v>
      </x:c>
      <x:c r="P7" s="78" t="n">
        <x:f>I7+L7*(1-'Inputs'!$B$17)</x:f>
        <x:v>2163.8099061077182</x:v>
      </x:c>
      <x:c r="Q7" s="78" t="n">
        <x:f>IF(J7&gt;0,M7/J7,0)</x:f>
        <x:v>413494.19360596244</x:v>
      </x:c>
      <x:c r="R7" s="78" t="n">
        <x:f>IF(B7='Inputs'!$H$44,'Inputs'!$B$27*'Inputs'!$I$44,0)</x:f>
        <x:v>0</x:v>
      </x:c>
      <x:c r="S7" s="78" t="n">
        <x:f>Q7+G7+R7</x:f>
        <x:v>648545.2149715363</x:v>
      </x:c>
      <x:c r="T7" s="78" t="n">
        <x:f>P7*(S7*(1-'Inputs'!$B$15))/(O7+S7*(1-'Inputs'!$B$15))</x:f>
        <x:v>239.09105357515702</x:v>
      </x:c>
      <x:c r="U7" s="78" t="n">
        <x:f>O7+S7*(1-'Inputs'!$B$17)</x:f>
        <x:v>5814612.795146785</x:v>
      </x:c>
      <x:c r="V7" s="78" t="n">
        <x:f>P7-T7</x:f>
        <x:v>1924.7188525325612</x:v>
      </x:c>
      <x:c r="W7" s="79" t="n">
        <x:f>IF(U7&gt;0,V7/U7,0)</x:f>
        <x:v>0.0003310141053827426</x:v>
      </x:c>
      <x:c r="X7" s="80" t="n">
        <x:f>W7*('Inputs'!$B$6-AC7)</x:f>
        <x:v>331007.4024390355</x:v>
      </x:c>
      <x:c r="Y7" s="80" t="n">
        <x:f>2*V7</x:f>
        <x:v>3849.4377050651224</x:v>
      </x:c>
      <x:c r="Z7" s="80" t="n">
        <x:f>K7*'Inputs'!$B$16+(G7+R7)*J7*'Inputs'!$B$16</x:f>
        <x:v>5.783552910848221</x:v>
      </x:c>
      <x:c r="AA7" s="80" t="n">
        <x:f>K7*(1+'Inputs'!$E$44)/2*'Inputs'!$B$17</x:f>
        <x:v>1.3931975250592956</x:v>
      </x:c>
      <x:c r="AB7" s="78" t="n">
        <x:f>(IF(J7&gt;0,K7*(1-'Inputs'!$E$44)/2/J7,0)+G7+R7)*'Inputs'!$B$17</x:f>
        <x:v>5937.760974581333</x:v>
      </x:c>
      <x:c r="AC7" s="78" t="n">
        <x:f>AC6+AB7</x:f>
        <x:v>20249.72228704027</x:v>
      </x:c>
      <x:c r="AD7" s="80" t="n">
        <x:f>Z7/(1+'Inputs'!$C$44)</x:f>
        <x:v>4.626842328678577</x:v>
      </x:c>
      <x:c r="AE7" s="80" t="n">
        <x:f>Z7-AD7</x:f>
        <x:v>1.1567105821696444</x:v>
      </x:c>
      <x:c r="AF7" s="80" t="n">
        <x:f>D7*W7</x:f>
        <x:v>100.84322358864321</x:v>
      </x:c>
      <x:c r="AG7" s="80" t="n">
        <x:f>C7*W7</x:f>
        <x:v>235.30085504016756</x:v>
      </x:c>
      <x:c r="AH7" s="80" t="n">
        <x:f>2*'Inputs'!$B$8*'Inputs'!$C$44</x:f>
        <x:v>1250</x:v>
      </x:c>
      <x:c r="AI7" s="81" t="n">
        <x:f>IF(AH7&gt;0,(AE7+AF7)/AH7*365,0)</x:f>
        <x:v>29.783980777877353</x:v>
      </x:c>
      <x:c r="AJ7" s="81" t="n">
        <x:f>IF('Inputs'!$B$44&gt;0,AG7/('Inputs'!$B$19*'Inputs'!$B$44)*365,0)</x:f>
        <x:v>8.588481208966115</x:v>
      </x:c>
      <x:c r="AK7" s="81" t="n">
        <x:f>W7/MAX($W$4:W7)-1</x:f>
        <x:v>-0.5135496291446601</x:v>
      </x:c>
      <x:c r="AL7" s="83" t="n">
        <x:f>'Inputs'!$B$44</x:f>
        <x:v>1</x:v>
      </x:c>
      <x:c r="AM7" s="83" t="n">
        <x:f>'Inputs'!$C$44</x:f>
        <x:v>0.25</x:v>
      </x:c>
      <x:c r="AN7" s="83" t="n">
        <x:f>'Inputs'!$D$44</x:f>
        <x:v>0.2</x:v>
      </x:c>
      <x:c r="AO7" s="81" t="n">
        <x:f>'Inputs'!$E$44</x:f>
        <x:v>-0.2</x:v>
      </x:c>
    </x:row>
    <x:row r="8">
      <x:c r="A8" s="59" t="str">
        <x:v>No demand</x:v>
      </x:c>
      <x:c r="B8" s="59" t="n">
        <x:v>5</x:v>
      </x:c>
      <x:c r="C8" s="78" t="n">
        <x:f>(('Inputs'!$B$29*(3*5*'Inputs'!$B$12-5^2)/(2*'Inputs'!$B$12^2))-('Inputs'!$B$29*(3*4*'Inputs'!$B$12-4^2)/(2*'Inputs'!$B$12^2)))*'Inputs'!$B$44</x:f>
        <x:v>710523.3158191028</x:v>
      </x:c>
      <x:c r="D8" s="78" t="n">
        <x:f>IF('Inputs'!$C$44&gt;0,('Inputs'!$B$30*(3*5*'Inputs'!$B$12-5^2)/(2*'Inputs'!$B$12^2))-('Inputs'!$B$30*(3*4*'Inputs'!$B$12-4^2)/(2*'Inputs'!$B$12^2)),0)</x:f>
        <x:v>304509.9924939014</x:v>
      </x:c>
      <x:c r="E8" s="78" t="n">
        <x:f>C8+D8</x:f>
        <x:v>1015033.3083130042</x:v>
      </x:c>
      <x:c r="F8" s="78" t="n">
        <x:f>'Inputs'!$B$13*E8+(1-'Inputs'!$B$13)/'Inputs'!$B$14*SUM(E4:E8)</x:f>
        <x:v>275575.3893788703</x:v>
      </x:c>
      <x:c r="G8" s="78" t="n">
        <x:f>F8*'Inputs'!$F$44</x:f>
        <x:v>248017.85044098328</x:v>
      </x:c>
      <x:c r="H8" s="78" t="n">
        <x:f>U7</x:f>
        <x:v>5814612.795146785</x:v>
      </x:c>
      <x:c r="I8" s="78" t="n">
        <x:f>V7</x:f>
        <x:v>1924.7188525325612</x:v>
      </x:c>
      <x:c r="J8" s="79" t="n">
        <x:f>IF(H8&gt;0,I8/H8,0)</x:f>
        <x:v>0.0003310141053827426</x:v>
      </x:c>
      <x:c r="K8" s="80" t="n">
        <x:f>(H8*J8+I8)*'Inputs'!$D$44*(1+'Inputs'!$G$44)^(B8/30)</x:f>
        <x:v>769.8875410130246</x:v>
      </x:c>
      <x:c r="L8" s="80" t="n">
        <x:f>MAX(0,K8*'Inputs'!$E$44)</x:f>
        <x:v>0</x:v>
      </x:c>
      <x:c r="M8" s="80" t="n">
        <x:f>MAX(0,-K8*'Inputs'!$E$44)</x:f>
        <x:v>153.97750820260492</x:v>
      </x:c>
      <x:c r="N8" s="78" t="n">
        <x:f>H8*(L8*(1-'Inputs'!$B$15))/(I8+L8*(1-'Inputs'!$B$15))</x:f>
        <x:v>0</x:v>
      </x:c>
      <x:c r="O8" s="78" t="n">
        <x:f>H8-N8</x:f>
        <x:v>5814612.795146785</x:v>
      </x:c>
      <x:c r="P8" s="78" t="n">
        <x:f>I8+L8*(1-'Inputs'!$B$17)</x:f>
        <x:v>1924.7188525325612</x:v>
      </x:c>
      <x:c r="Q8" s="78" t="n">
        <x:f>IF(J8&gt;0,M8/J8,0)</x:f>
        <x:v>465169.0236117428</x:v>
      </x:c>
      <x:c r="R8" s="78" t="n">
        <x:f>IF(B8='Inputs'!$H$44,'Inputs'!$B$27*'Inputs'!$I$44,0)</x:f>
        <x:v>0</x:v>
      </x:c>
      <x:c r="S8" s="78" t="n">
        <x:f>Q8+G8+R8</x:f>
        <x:v>713186.8740527261</x:v>
      </x:c>
      <x:c r="T8" s="78" t="n">
        <x:f>P8*(S8*(1-'Inputs'!$B$15))/(O8+S8*(1-'Inputs'!$B$15))</x:f>
        <x:v>208.40770013674228</x:v>
      </x:c>
      <x:c r="U8" s="78" t="n">
        <x:f>O8+S8*(1-'Inputs'!$B$17)</x:f>
        <x:v>6524929.7018995</x:v>
      </x:c>
      <x:c r="V8" s="78" t="n">
        <x:f>P8-T8</x:f>
        <x:v>1716.311152395819</x:v>
      </x:c>
      <x:c r="W8" s="79" t="n">
        <x:f>IF(U8&gt;0,V8/U8,0)</x:f>
        <x:v>0.0002630390258298379</x:v>
      </x:c>
      <x:c r="X8" s="80" t="n">
        <x:f>W8*('Inputs'!$B$6-AC8)</x:f>
        <x:v>263031.9596797401</x:v>
      </x:c>
      <x:c r="Y8" s="80" t="n">
        <x:f>2*V8</x:f>
        <x:v>3432.622304791638</x:v>
      </x:c>
      <x:c r="Z8" s="80" t="n">
        <x:f>K8*'Inputs'!$B$16+(G8+R8)*J8*'Inputs'!$B$16</x:f>
        <x:v>5.111909687374186</x:v>
      </x:c>
      <x:c r="AA8" s="80" t="n">
        <x:f>K8*(1+'Inputs'!$E$44)/2*'Inputs'!$B$17</x:f>
        <x:v>1.2392555992161363</x:v>
      </x:c>
      <x:c r="AB8" s="78" t="n">
        <x:f>(IF(J8&gt;0,K8*(1-'Inputs'!$E$44)/2/J8,0)+G8+R8)*'Inputs'!$B$17</x:f>
        <x:v>6613.782379381134</x:v>
      </x:c>
      <x:c r="AC8" s="78" t="n">
        <x:f>AC7+AB8</x:f>
        <x:v>26863.504666421402</x:v>
      </x:c>
      <x:c r="AD8" s="80" t="n">
        <x:f>Z8/(1+'Inputs'!$C$44)</x:f>
        <x:v>4.089527749899348</x:v>
      </x:c>
      <x:c r="AE8" s="80" t="n">
        <x:f>Z8-AD8</x:f>
        <x:v>1.0223819374748375</x:v>
      </x:c>
      <x:c r="AF8" s="80" t="n">
        <x:f>D8*W8</x:f>
        <x:v>80.09801178104708</x:v>
      </x:c>
      <x:c r="AG8" s="80" t="n">
        <x:f>C8*W8</x:f>
        <x:v>186.89536082244305</x:v>
      </x:c>
      <x:c r="AH8" s="80" t="n">
        <x:f>2*'Inputs'!$B$8*'Inputs'!$C$44</x:f>
        <x:v>1250</x:v>
      </x:c>
      <x:c r="AI8" s="81" t="n">
        <x:f>IF(AH8&gt;0,(AE8+AF8)/AH8*365,0)</x:f>
        <x:v>23.687154965808396</x:v>
      </x:c>
      <x:c r="AJ8" s="81" t="n">
        <x:f>IF('Inputs'!$B$44&gt;0,AG8/('Inputs'!$B$19*'Inputs'!$B$44)*365,0)</x:f>
        <x:v>6.8216806700191714</x:v>
      </x:c>
      <x:c r="AK8" s="81" t="n">
        <x:f>W8/MAX($W$4:W8)-1</x:f>
        <x:v>-0.6134441717630111</x:v>
      </x:c>
      <x:c r="AL8" s="83" t="n">
        <x:f>'Inputs'!$B$44</x:f>
        <x:v>1</x:v>
      </x:c>
      <x:c r="AM8" s="83" t="n">
        <x:f>'Inputs'!$C$44</x:f>
        <x:v>0.25</x:v>
      </x:c>
      <x:c r="AN8" s="83" t="n">
        <x:f>'Inputs'!$D$44</x:f>
        <x:v>0.2</x:v>
      </x:c>
      <x:c r="AO8" s="81" t="n">
        <x:f>'Inputs'!$E$44</x:f>
        <x:v>-0.2</x:v>
      </x:c>
    </x:row>
    <x:row r="9">
      <x:c r="A9" s="59" t="str">
        <x:v>No demand</x:v>
      </x:c>
      <x:c r="B9" s="59" t="n">
        <x:v>6</x:v>
      </x:c>
      <x:c r="C9" s="78" t="n">
        <x:f>(('Inputs'!$B$29*(3*6*'Inputs'!$B$12-6^2)/(2*'Inputs'!$B$12^2))-('Inputs'!$B$29*(3*5*'Inputs'!$B$12-5^2)/(2*'Inputs'!$B$12^2)))*'Inputs'!$B$44</x:f>
        <x:v>710198.2079189345</x:v>
      </x:c>
      <x:c r="D9" s="78" t="n">
        <x:f>IF('Inputs'!$C$44&gt;0,('Inputs'!$B$30*(3*6*'Inputs'!$B$12-6^2)/(2*'Inputs'!$B$12^2))-('Inputs'!$B$30*(3*5*'Inputs'!$B$12-5^2)/(2*'Inputs'!$B$12^2)),0)</x:f>
        <x:v>304370.66053668596</x:v>
      </x:c>
      <x:c r="E9" s="78" t="n">
        <x:f>C9+D9</x:f>
        <x:v>1014568.8684556205</x:v>
      </x:c>
      <x:c r="F9" s="78" t="n">
        <x:f>'Inputs'!$B$13*E9+(1-'Inputs'!$B$13)/'Inputs'!$B$14*SUM(E4:E9)</x:f>
        <x:v>289976.342385331</x:v>
      </x:c>
      <x:c r="G9" s="78" t="n">
        <x:f>F9*'Inputs'!$F$44</x:f>
        <x:v>260978.7081467979</x:v>
      </x:c>
      <x:c r="H9" s="78" t="n">
        <x:f>U8</x:f>
        <x:v>6524929.7018995</x:v>
      </x:c>
      <x:c r="I9" s="78" t="n">
        <x:f>V8</x:f>
        <x:v>1716.311152395819</x:v>
      </x:c>
      <x:c r="J9" s="79" t="n">
        <x:f>IF(H9&gt;0,I9/H9,0)</x:f>
        <x:v>0.0002630390258298379</x:v>
      </x:c>
      <x:c r="K9" s="80" t="n">
        <x:f>(H9*J9+I9)*'Inputs'!$D$44*(1+'Inputs'!$G$44)^(B9/30)</x:f>
        <x:v>686.5244609583276</x:v>
      </x:c>
      <x:c r="L9" s="80" t="n">
        <x:f>MAX(0,K9*'Inputs'!$E$44)</x:f>
        <x:v>0</x:v>
      </x:c>
      <x:c r="M9" s="80" t="n">
        <x:f>MAX(0,-K9*'Inputs'!$E$44)</x:f>
        <x:v>137.30489219166552</x:v>
      </x:c>
      <x:c r="N9" s="78" t="n">
        <x:f>H9*(L9*(1-'Inputs'!$B$15))/(I9+L9*(1-'Inputs'!$B$15))</x:f>
        <x:v>0</x:v>
      </x:c>
      <x:c r="O9" s="78" t="n">
        <x:f>H9-N9</x:f>
        <x:v>6524929.7018995</x:v>
      </x:c>
      <x:c r="P9" s="78" t="n">
        <x:f>I9+L9*(1-'Inputs'!$B$17)</x:f>
        <x:v>1716.311152395819</x:v>
      </x:c>
      <x:c r="Q9" s="78" t="n">
        <x:f>IF(J9&gt;0,M9/J9,0)</x:f>
        <x:v>521994.37615195994</x:v>
      </x:c>
      <x:c r="R9" s="78" t="n">
        <x:f>IF(B9='Inputs'!$H$44,'Inputs'!$B$27*'Inputs'!$I$44,0)</x:f>
        <x:v>0</x:v>
      </x:c>
      <x:c r="S9" s="78" t="n">
        <x:f>Q9+G9+R9</x:f>
        <x:v>782973.0842987578</x:v>
      </x:c>
      <x:c r="T9" s="78" t="n">
        <x:f>P9*(S9*(1-'Inputs'!$B$15))/(O9+S9*(1-'Inputs'!$B$15))</x:f>
        <x:v>182.24299567326554</x:v>
      </x:c>
      <x:c r="U9" s="78" t="n">
        <x:f>O9+S9*(1-'Inputs'!$B$17)</x:f>
        <x:v>7304751.989078343</x:v>
      </x:c>
      <x:c r="V9" s="78" t="n">
        <x:f>P9-T9</x:f>
        <x:v>1534.0681567225533</x:v>
      </x:c>
      <x:c r="W9" s="79" t="n">
        <x:f>IF(U9&gt;0,V9/U9,0)</x:f>
        <x:v>0.00021000961552373117</x:v>
      </x:c>
      <x:c r="X9" s="80" t="n">
        <x:f>W9*('Inputs'!$B$6-AC9)</x:f>
        <x:v>210002.42994734042</x:v>
      </x:c>
      <x:c r="Y9" s="80" t="n">
        <x:f>2*V9</x:f>
        <x:v>3068.1363134451067</x:v>
      </x:c>
      <x:c r="Z9" s="80" t="n">
        <x:f>K9*'Inputs'!$B$16+(G9+R9)*J9*'Inputs'!$B$16</x:f>
        <x:v>4.531032276669546</x:v>
      </x:c>
      <x:c r="AA9" s="80" t="n">
        <x:f>K9*(1+'Inputs'!$E$44)/2*'Inputs'!$B$17</x:f>
        <x:v>1.1050695548624991</x:v>
      </x:c>
      <x:c r="AB9" s="78" t="n">
        <x:f>(IF(J9&gt;0,K9*(1-'Inputs'!$E$44)/2/J9,0)+G9+R9)*'Inputs'!$B$17</x:f>
        <x:v>7351.959101016812</x:v>
      </x:c>
      <x:c r="AC9" s="78" t="n">
        <x:f>AC8+AB9</x:f>
        <x:v>34215.46376743822</x:v>
      </x:c>
      <x:c r="AD9" s="80" t="n">
        <x:f>Z9/(1+'Inputs'!$C$44)</x:f>
        <x:v>3.6248258213356364</x:v>
      </x:c>
      <x:c r="AE9" s="80" t="n">
        <x:f>Z9-AD9</x:f>
        <x:v>0.9062064553339093</x:v>
      </x:c>
      <x:c r="AF9" s="80" t="n">
        <x:f>D9*W9</x:f>
        <x:v>63.920765396013515</x:v>
      </x:c>
      <x:c r="AG9" s="80" t="n">
        <x:f>C9*W9</x:f>
        <x:v>149.14845259069833</x:v>
      </x:c>
      <x:c r="AH9" s="80" t="n">
        <x:f>2*'Inputs'!$B$8*'Inputs'!$C$44</x:f>
        <x:v>1250</x:v>
      </x:c>
      <x:c r="AI9" s="81" t="n">
        <x:f>IF(AH9&gt;0,(AE9+AF9)/AH9*365,0)</x:f>
        <x:v>18.92947578059345</x:v>
      </x:c>
      <x:c r="AJ9" s="81" t="n">
        <x:f>IF('Inputs'!$B$44&gt;0,AG9/('Inputs'!$B$19*'Inputs'!$B$44)*365,0)</x:f>
        <x:v>5.443918519560489</x:v>
      </x:c>
      <x:c r="AK9" s="81" t="n">
        <x:f>W9/MAX($W$4:W9)-1</x:f>
        <x:v>-0.691374918187905</x:v>
      </x:c>
      <x:c r="AL9" s="83" t="n">
        <x:f>'Inputs'!$B$44</x:f>
        <x:v>1</x:v>
      </x:c>
      <x:c r="AM9" s="83" t="n">
        <x:f>'Inputs'!$C$44</x:f>
        <x:v>0.25</x:v>
      </x:c>
      <x:c r="AN9" s="83" t="n">
        <x:f>'Inputs'!$D$44</x:f>
        <x:v>0.2</x:v>
      </x:c>
      <x:c r="AO9" s="81" t="n">
        <x:f>'Inputs'!$E$44</x:f>
        <x:v>-0.2</x:v>
      </x:c>
    </x:row>
    <x:row r="10">
      <x:c r="A10" s="59" t="str">
        <x:v>No demand</x:v>
      </x:c>
      <x:c r="B10" s="59" t="n">
        <x:v>7</x:v>
      </x:c>
      <x:c r="C10" s="78" t="n">
        <x:f>(('Inputs'!$B$29*(3*7*'Inputs'!$B$12-7^2)/(2*'Inputs'!$B$12^2))-('Inputs'!$B$29*(3*6*'Inputs'!$B$12-6^2)/(2*'Inputs'!$B$12^2)))*'Inputs'!$B$44</x:f>
        <x:v>709873.1000187648</x:v>
      </x:c>
      <x:c r="D10" s="78" t="n">
        <x:f>IF('Inputs'!$C$44&gt;0,('Inputs'!$B$30*(3*7*'Inputs'!$B$12-7^2)/(2*'Inputs'!$B$12^2))-('Inputs'!$B$30*(3*6*'Inputs'!$B$12-6^2)/(2*'Inputs'!$B$12^2)),0)</x:f>
        <x:v>304231.32857947075</x:v>
      </x:c>
      <x:c r="E10" s="78" t="n">
        <x:f>C10+D10</x:f>
        <x:v>1014104.4285982356</x:v>
      </x:c>
      <x:c r="F10" s="78" t="n">
        <x:f>'Inputs'!$B$13*E10+(1-'Inputs'!$B$13)/'Inputs'!$B$14*SUM(E4:E10)</x:f>
        <x:v>304370.66053668596</x:v>
      </x:c>
      <x:c r="G10" s="78" t="n">
        <x:f>F10*'Inputs'!$F$44</x:f>
        <x:v>273933.5944830174</x:v>
      </x:c>
      <x:c r="H10" s="78" t="n">
        <x:f>U9</x:f>
        <x:v>7304751.989078343</x:v>
      </x:c>
      <x:c r="I10" s="78" t="n">
        <x:f>V9</x:f>
        <x:v>1534.0681567225533</x:v>
      </x:c>
      <x:c r="J10" s="79" t="n">
        <x:f>IF(H10&gt;0,I10/H10,0)</x:f>
        <x:v>0.00021000961552373117</x:v>
      </x:c>
      <x:c r="K10" s="80" t="n">
        <x:f>(H10*J10+I10)*'Inputs'!$D$44*(1+'Inputs'!$G$44)^(B10/30)</x:f>
        <x:v>613.6272626890213</x:v>
      </x:c>
      <x:c r="L10" s="80" t="n">
        <x:f>MAX(0,K10*'Inputs'!$E$44)</x:f>
        <x:v>0</x:v>
      </x:c>
      <x:c r="M10" s="80" t="n">
        <x:f>MAX(0,-K10*'Inputs'!$E$44)</x:f>
        <x:v>122.72545253780427</x:v>
      </x:c>
      <x:c r="N10" s="78" t="n">
        <x:f>H10*(L10*(1-'Inputs'!$B$15))/(I10+L10*(1-'Inputs'!$B$15))</x:f>
        <x:v>0</x:v>
      </x:c>
      <x:c r="O10" s="78" t="n">
        <x:f>H10-N10</x:f>
        <x:v>7304751.989078343</x:v>
      </x:c>
      <x:c r="P10" s="78" t="n">
        <x:f>I10+L10*(1-'Inputs'!$B$17)</x:f>
        <x:v>1534.0681567225533</x:v>
      </x:c>
      <x:c r="Q10" s="78" t="n">
        <x:f>IF(J10&gt;0,M10/J10,0)</x:f>
        <x:v>584380.1591262674</x:v>
      </x:c>
      <x:c r="R10" s="78" t="n">
        <x:f>IF(B10='Inputs'!$H$44,'Inputs'!$B$27*'Inputs'!$I$44,0)</x:f>
        <x:v>0</x:v>
      </x:c>
      <x:c r="S10" s="78" t="n">
        <x:f>Q10+G10+R10</x:f>
        <x:v>858313.7536092848</x:v>
      </x:c>
      <x:c r="T10" s="78" t="n">
        <x:f>P10*(S10*(1-'Inputs'!$B$15))/(O10+S10*(1-'Inputs'!$B$15))</x:f>
        <x:v>159.85620952660028</x:v>
      </x:c>
      <x:c r="U10" s="78" t="n">
        <x:f>O10+S10*(1-'Inputs'!$B$17)</x:f>
        <x:v>8159611.763799864</x:v>
      </x:c>
      <x:c r="V10" s="78" t="n">
        <x:f>P10-T10</x:f>
        <x:v>1374.2119471959531</x:v>
      </x:c>
      <x:c r="W10" s="79" t="n">
        <x:f>IF(U10&gt;0,V10/U10,0)</x:f>
        <x:v>0.00016841633976908652</x:v>
      </x:c>
      <x:c r="X10" s="80" t="n">
        <x:f>W10*('Inputs'!$B$6-AC10)</x:f>
        <x:v>168409.20351345808</x:v>
      </x:c>
      <x:c r="Y10" s="80" t="n">
        <x:f>2*V10</x:f>
        <x:v>2748.4238943919063</x:v>
      </x:c>
      <x:c r="Z10" s="80" t="n">
        <x:f>K10*'Inputs'!$B$16+(G10+R10)*J10*'Inputs'!$B$16</x:f>
        <x:v>4.0269357092726015</x:v>
      </x:c>
      <x:c r="AA10" s="80" t="n">
        <x:f>K10*(1+'Inputs'!$E$44)/2*'Inputs'!$B$17</x:f>
        <x:v>0.9877300003042598</x:v>
      </x:c>
      <x:c r="AB10" s="78" t="n">
        <x:f>(IF(J10&gt;0,K10*(1-'Inputs'!$E$44)/2/J10,0)+G10+R10)*'Inputs'!$B$17</x:f>
        <x:v>8157.239725802092</x:v>
      </x:c>
      <x:c r="AC10" s="78" t="n">
        <x:f>AC9+AB10</x:f>
        <x:v>42372.70349324031</x:v>
      </x:c>
      <x:c r="AD10" s="80" t="n">
        <x:f>Z10/(1+'Inputs'!$C$44)</x:f>
        <x:v>3.2215485674180813</x:v>
      </x:c>
      <x:c r="AE10" s="80" t="n">
        <x:f>Z10-AD10</x:f>
        <x:v>0.8053871418545202</x:v>
      </x:c>
      <x:c r="AF10" s="80" t="n">
        <x:f>D10*W10</x:f>
        <x:v>51.23752680244075</x:v>
      </x:c>
      <x:c r="AG10" s="80" t="n">
        <x:f>C10*W10</x:f>
        <x:v>119.55422920569504</x:v>
      </x:c>
      <x:c r="AH10" s="80" t="n">
        <x:f>2*'Inputs'!$B$8*'Inputs'!$C$44</x:f>
        <x:v>1250</x:v>
      </x:c>
      <x:c r="AI10" s="81" t="n">
        <x:f>IF(AH10&gt;0,(AE10+AF10)/AH10*365,0)</x:f>
        <x:v>15.196530871734216</x:v>
      </x:c>
      <x:c r="AJ10" s="81" t="n">
        <x:f>IF('Inputs'!$B$44&gt;0,AG10/('Inputs'!$B$19*'Inputs'!$B$44)*365,0)</x:f>
        <x:v>4.3637293660078695</x:v>
      </x:c>
      <x:c r="AK10" s="81" t="n">
        <x:f>W10/MAX($W$4:W10)-1</x:f>
        <x:v>-0.7524993962295291</x:v>
      </x:c>
      <x:c r="AL10" s="83" t="n">
        <x:f>'Inputs'!$B$44</x:f>
        <x:v>1</x:v>
      </x:c>
      <x:c r="AM10" s="83" t="n">
        <x:f>'Inputs'!$C$44</x:f>
        <x:v>0.25</x:v>
      </x:c>
      <x:c r="AN10" s="83" t="n">
        <x:f>'Inputs'!$D$44</x:f>
        <x:v>0.2</x:v>
      </x:c>
      <x:c r="AO10" s="81" t="n">
        <x:f>'Inputs'!$E$44</x:f>
        <x:v>-0.2</x:v>
      </x:c>
    </x:row>
    <x:row r="11">
      <x:c r="A11" s="59" t="str">
        <x:v>No demand</x:v>
      </x:c>
      <x:c r="B11" s="59" t="n">
        <x:v>8</x:v>
      </x:c>
      <x:c r="C11" s="78" t="n">
        <x:f>(('Inputs'!$B$29*(3*8*'Inputs'!$B$12-8^2)/(2*'Inputs'!$B$12^2))-('Inputs'!$B$29*(3*7*'Inputs'!$B$12-7^2)/(2*'Inputs'!$B$12^2)))*'Inputs'!$B$44</x:f>
        <x:v>709547.9921185961</x:v>
      </x:c>
      <x:c r="D11" s="78" t="n">
        <x:f>IF('Inputs'!$C$44&gt;0,('Inputs'!$B$30*(3*8*'Inputs'!$B$12-8^2)/(2*'Inputs'!$B$12^2))-('Inputs'!$B$30*(3*7*'Inputs'!$B$12-7^2)/(2*'Inputs'!$B$12^2)),0)</x:f>
        <x:v>304091.99662225554</x:v>
      </x:c>
      <x:c r="E11" s="78" t="n">
        <x:f>C11+D11</x:f>
        <x:v>1013639.9887408516</x:v>
      </x:c>
      <x:c r="F11" s="78" t="n">
        <x:f>'Inputs'!$B$13*E11+(1-'Inputs'!$B$13)/'Inputs'!$B$14*SUM(E4:E11)</x:f>
        <x:v>318758.3438329357</x:v>
      </x:c>
      <x:c r="G11" s="78" t="n">
        <x:f>F11*'Inputs'!$F$44</x:f>
        <x:v>286882.5094496421</x:v>
      </x:c>
      <x:c r="H11" s="78" t="n">
        <x:f>U10</x:f>
        <x:v>8159611.763799864</x:v>
      </x:c>
      <x:c r="I11" s="78" t="n">
        <x:f>V10</x:f>
        <x:v>1374.2119471959531</x:v>
      </x:c>
      <x:c r="J11" s="79" t="n">
        <x:f>IF(H11&gt;0,I11/H11,0)</x:f>
        <x:v>0.00016841633976908652</x:v>
      </x:c>
      <x:c r="K11" s="80" t="n">
        <x:f>(H11*J11+I11)*'Inputs'!$D$44*(1+'Inputs'!$G$44)^(B11/30)</x:f>
        <x:v>549.6847788783813</x:v>
      </x:c>
      <x:c r="L11" s="80" t="n">
        <x:f>MAX(0,K11*'Inputs'!$E$44)</x:f>
        <x:v>0</x:v>
      </x:c>
      <x:c r="M11" s="80" t="n">
        <x:f>MAX(0,-K11*'Inputs'!$E$44)</x:f>
        <x:v>109.93695577567627</x:v>
      </x:c>
      <x:c r="N11" s="78" t="n">
        <x:f>H11*(L11*(1-'Inputs'!$B$15))/(I11+L11*(1-'Inputs'!$B$15))</x:f>
        <x:v>0</x:v>
      </x:c>
      <x:c r="O11" s="78" t="n">
        <x:f>H11-N11</x:f>
        <x:v>8159611.763799864</x:v>
      </x:c>
      <x:c r="P11" s="78" t="n">
        <x:f>I11+L11*(1-'Inputs'!$B$17)</x:f>
        <x:v>1374.2119471959531</x:v>
      </x:c>
      <x:c r="Q11" s="78" t="n">
        <x:f>IF(J11&gt;0,M11/J11,0)</x:f>
        <x:v>652768.9411039891</x:v>
      </x:c>
      <x:c r="R11" s="78" t="n">
        <x:f>IF(B11='Inputs'!$H$44,'Inputs'!$B$27*'Inputs'!$I$44,0)</x:f>
        <x:v>0</x:v>
      </x:c>
      <x:c r="S11" s="78" t="n">
        <x:f>Q11+G11+R11</x:f>
        <x:v>939651.4505536312</x:v>
      </x:c>
      <x:c r="T11" s="78" t="n">
        <x:f>P11*(S11*(1-'Inputs'!$B$15))/(O11+S11*(1-'Inputs'!$B$15))</x:f>
        <x:v>140.6365449865928</x:v>
      </x:c>
      <x:c r="U11" s="78" t="n">
        <x:f>O11+S11*(1-'Inputs'!$B$17)</x:f>
        <x:v>9095481.9207899</x:v>
      </x:c>
      <x:c r="V11" s="78" t="n">
        <x:f>P11-T11</x:f>
        <x:v>1233.5754022093604</x:v>
      </x:c>
      <x:c r="W11" s="79" t="n">
        <x:f>IF(U11&gt;0,V11/U11,0)</x:f>
        <x:v>0.00013562507330037443</x:v>
      </x:c>
      <x:c r="X11" s="80" t="n">
        <x:f>W11*('Inputs'!$B$6-AC11)</x:f>
        <x:v>135618.10113127742</x:v>
      </x:c>
      <x:c r="Y11" s="80" t="n">
        <x:f>2*V11</x:f>
        <x:v>2467.150804418721</x:v>
      </x:c>
      <x:c r="Z11" s="80" t="n">
        <x:f>K11*'Inputs'!$B$16+(G11+R11)*J11*'Inputs'!$B$16</x:f>
        <x:v>3.588002886381962</x:v>
      </x:c>
      <x:c r="AA11" s="80" t="n">
        <x:f>K11*(1+'Inputs'!$E$44)/2*'Inputs'!$B$17</x:f>
        <x:v>0.8848044730436723</x:v>
      </x:c>
      <x:c r="AB11" s="78" t="n">
        <x:f>(IF(J11&gt;0,K11*(1-'Inputs'!$E$44)/2/J11,0)+G11+R11)*'Inputs'!$B$17</x:f>
        <x:v>9034.967133849535</x:v>
      </x:c>
      <x:c r="AC11" s="78" t="n">
        <x:f>AC10+AB11</x:f>
        <x:v>51407.67062708984</x:v>
      </x:c>
      <x:c r="AD11" s="80" t="n">
        <x:f>Z11/(1+'Inputs'!$C$44)</x:f>
        <x:v>2.8704023091055695</x:v>
      </x:c>
      <x:c r="AE11" s="80" t="n">
        <x:f>Z11-AD11</x:f>
        <x:v>0.7176005772763925</x:v>
      </x:c>
      <x:c r="AF11" s="80" t="n">
        <x:f>D11*W11</x:f>
        <x:v>41.24249933195062</x:v>
      </x:c>
      <x:c r="AG11" s="80" t="n">
        <x:f>C11*W11</x:f>
        <x:v>96.2324984412181</x:v>
      </x:c>
      <x:c r="AH11" s="80" t="n">
        <x:f>2*'Inputs'!$B$8*'Inputs'!$C$44</x:f>
        <x:v>1250</x:v>
      </x:c>
      <x:c r="AI11" s="81" t="n">
        <x:f>IF(AH11&gt;0,(AE11+AF11)/AH11*365,0)</x:f>
        <x:v>12.252349173494288</x:v>
      </x:c>
      <x:c r="AJ11" s="81" t="n">
        <x:f>IF('Inputs'!$B$44&gt;0,AG11/('Inputs'!$B$19*'Inputs'!$B$44)*365,0)</x:f>
        <x:v>3.5124861931044604</x:v>
      </x:c>
      <x:c r="AK11" s="81" t="n">
        <x:f>W11/MAX($W$4:W11)-1</x:f>
        <x:v>-0.8006886530470814</x:v>
      </x:c>
      <x:c r="AL11" s="83" t="n">
        <x:f>'Inputs'!$B$44</x:f>
        <x:v>1</x:v>
      </x:c>
      <x:c r="AM11" s="83" t="n">
        <x:f>'Inputs'!$C$44</x:f>
        <x:v>0.25</x:v>
      </x:c>
      <x:c r="AN11" s="83" t="n">
        <x:f>'Inputs'!$D$44</x:f>
        <x:v>0.2</x:v>
      </x:c>
      <x:c r="AO11" s="81" t="n">
        <x:f>'Inputs'!$E$44</x:f>
        <x:v>-0.2</x:v>
      </x:c>
    </x:row>
    <x:row r="12">
      <x:c r="A12" s="59" t="str">
        <x:v>No demand</x:v>
      </x:c>
      <x:c r="B12" s="59" t="n">
        <x:v>9</x:v>
      </x:c>
      <x:c r="C12" s="78" t="n">
        <x:f>(('Inputs'!$B$29*(3*9*'Inputs'!$B$12-9^2)/(2*'Inputs'!$B$12^2))-('Inputs'!$B$29*(3*8*'Inputs'!$B$12-8^2)/(2*'Inputs'!$B$12^2)))*'Inputs'!$B$44</x:f>
        <x:v>709222.8842184283</x:v>
      </x:c>
      <x:c r="D12" s="78" t="n">
        <x:f>IF('Inputs'!$C$44&gt;0,('Inputs'!$B$30*(3*9*'Inputs'!$B$12-9^2)/(2*'Inputs'!$B$12^2))-('Inputs'!$B$30*(3*8*'Inputs'!$B$12-8^2)/(2*'Inputs'!$B$12^2)),0)</x:f>
        <x:v>303952.66466504056</x:v>
      </x:c>
      <x:c r="E12" s="78" t="n">
        <x:f>C12+D12</x:f>
        <x:v>1013175.5488834688</x:v>
      </x:c>
      <x:c r="F12" s="78" t="n">
        <x:f>'Inputs'!$B$13*E12+(1-'Inputs'!$B$13)/'Inputs'!$B$14*SUM(E4:E12)</x:f>
        <x:v>333139.3922740801</x:v>
      </x:c>
      <x:c r="G12" s="78" t="n">
        <x:f>F12*'Inputs'!$F$44</x:f>
        <x:v>299825.4530466721</x:v>
      </x:c>
      <x:c r="H12" s="78" t="n">
        <x:f>U11</x:f>
        <x:v>9095481.9207899</x:v>
      </x:c>
      <x:c r="I12" s="78" t="n">
        <x:f>V11</x:f>
        <x:v>1233.5754022093604</x:v>
      </x:c>
      <x:c r="J12" s="79" t="n">
        <x:f>IF(H12&gt;0,I12/H12,0)</x:f>
        <x:v>0.00013562507330037443</x:v>
      </x:c>
      <x:c r="K12" s="80" t="n">
        <x:f>(H12*J12+I12)*'Inputs'!$D$44*(1+'Inputs'!$G$44)^(B12/30)</x:f>
        <x:v>493.4301608837442</x:v>
      </x:c>
      <x:c r="L12" s="80" t="n">
        <x:f>MAX(0,K12*'Inputs'!$E$44)</x:f>
        <x:v>0</x:v>
      </x:c>
      <x:c r="M12" s="80" t="n">
        <x:f>MAX(0,-K12*'Inputs'!$E$44)</x:f>
        <x:v>98.68603217674884</x:v>
      </x:c>
      <x:c r="N12" s="78" t="n">
        <x:f>H12*(L12*(1-'Inputs'!$B$15))/(I12+L12*(1-'Inputs'!$B$15))</x:f>
        <x:v>0</x:v>
      </x:c>
      <x:c r="O12" s="78" t="n">
        <x:f>H12-N12</x:f>
        <x:v>9095481.9207899</x:v>
      </x:c>
      <x:c r="P12" s="78" t="n">
        <x:f>I12+L12*(1-'Inputs'!$B$17)</x:f>
        <x:v>1233.5754022093604</x:v>
      </x:c>
      <x:c r="Q12" s="78" t="n">
        <x:f>IF(J12&gt;0,M12/J12,0)</x:f>
        <x:v>727638.553663192</x:v>
      </x:c>
      <x:c r="R12" s="78" t="n">
        <x:f>IF(B12='Inputs'!$H$44,'Inputs'!$B$27*'Inputs'!$I$44,0)</x:f>
        <x:v>0</x:v>
      </x:c>
      <x:c r="S12" s="78" t="n">
        <x:f>Q12+G12+R12</x:f>
        <x:v>1027464.0067098641</x:v>
      </x:c>
      <x:c r="T12" s="78" t="n">
        <x:f>P12*(S12*(1-'Inputs'!$B$15))/(O12+S12*(1-'Inputs'!$B$15))</x:f>
        <x:v>124.0799533985435</x:v>
      </x:c>
      <x:c r="U12" s="78" t="n">
        <x:f>O12+S12*(1-'Inputs'!$B$17)</x:f>
        <x:v>10118811.263488859</x:v>
      </x:c>
      <x:c r="V12" s="78" t="n">
        <x:f>P12-T12</x:f>
        <x:v>1109.495448810817</x:v>
      </x:c>
      <x:c r="W12" s="79" t="n">
        <x:f>IF(U12&gt;0,V12/U12,0)</x:f>
        <x:v>0.00010964681719226717</x:v>
      </x:c>
      <x:c r="X12" s="80" t="n">
        <x:f>W12*('Inputs'!$B$6-AC12)</x:f>
        <x:v>109640.08503333054</x:v>
      </x:c>
      <x:c r="Y12" s="80" t="n">
        <x:f>2*V12</x:f>
        <x:v>2218.990897621634</x:v>
      </x:c>
      <x:c r="Z12" s="80" t="n">
        <x:f>K12*'Inputs'!$B$16+(G12+R12)*J12*'Inputs'!$B$16</x:f>
        <x:v>3.2045640595831024</x:v>
      </x:c>
      <x:c r="AA12" s="80" t="n">
        <x:f>K12*(1+'Inputs'!$E$44)/2*'Inputs'!$B$17</x:f>
        <x:v>0.7942537800945582</x:v>
      </x:c>
      <x:c r="AB12" s="78" t="n">
        <x:f>(IF(J12&gt;0,K12*(1-'Inputs'!$E$44)/2/J12,0)+G12+R12)*'Inputs'!$B$17</x:f>
        <x:v>9990.909915638824</x:v>
      </x:c>
      <x:c r="AC12" s="78" t="n">
        <x:f>AC11+AB12</x:f>
        <x:v>61398.58054272867</x:v>
      </x:c>
      <x:c r="AD12" s="80" t="n">
        <x:f>Z12/(1+'Inputs'!$C$44)</x:f>
        <x:v>2.563651247666482</x:v>
      </x:c>
      <x:c r="AE12" s="80" t="n">
        <x:f>Z12-AD12</x:f>
        <x:v>0.6409128119166203</x:v>
      </x:c>
      <x:c r="AF12" s="80" t="n">
        <x:f>D12*W12</x:f>
        <x:v>33.32744225763019</x:v>
      </x:c>
      <x:c r="AG12" s="80" t="n">
        <x:f>C12*W12</x:f>
        <x:v>77.76403193447047</x:v>
      </x:c>
      <x:c r="AH12" s="80" t="n">
        <x:f>2*'Inputs'!$B$8*'Inputs'!$C$44</x:f>
        <x:v>1250</x:v>
      </x:c>
      <x:c r="AI12" s="81" t="n">
        <x:f>IF(AH12&gt;0,(AE12+AF12)/AH12*365,0)</x:f>
        <x:v>9.918759680307668</x:v>
      </x:c>
      <x:c r="AJ12" s="81" t="n">
        <x:f>IF('Inputs'!$B$44&gt;0,AG12/('Inputs'!$B$19*'Inputs'!$B$44)*365,0)</x:f>
        <x:v>2.838387165608172</x:v>
      </x:c>
      <x:c r="AK12" s="81" t="n">
        <x:f>W12/MAX($W$4:W12)-1</x:f>
        <x:v>-0.8388656736406654</x:v>
      </x:c>
      <x:c r="AL12" s="83" t="n">
        <x:f>'Inputs'!$B$44</x:f>
        <x:v>1</x:v>
      </x:c>
      <x:c r="AM12" s="83" t="n">
        <x:f>'Inputs'!$C$44</x:f>
        <x:v>0.25</x:v>
      </x:c>
      <x:c r="AN12" s="83" t="n">
        <x:f>'Inputs'!$D$44</x:f>
        <x:v>0.2</x:v>
      </x:c>
      <x:c r="AO12" s="81" t="n">
        <x:f>'Inputs'!$E$44</x:f>
        <x:v>-0.2</x:v>
      </x:c>
    </x:row>
    <x:row r="13">
      <x:c r="A13" s="59" t="str">
        <x:v>No demand</x:v>
      </x:c>
      <x:c r="B13" s="59" t="n">
        <x:v>10</x:v>
      </x:c>
      <x:c r="C13" s="78" t="n">
        <x:f>(('Inputs'!$B$29*(3*10*'Inputs'!$B$12-10^2)/(2*'Inputs'!$B$12^2))-('Inputs'!$B$29*(3*9*'Inputs'!$B$12-9^2)/(2*'Inputs'!$B$12^2)))*'Inputs'!$B$44</x:f>
        <x:v>708897.7763182586</x:v>
      </x:c>
      <x:c r="D13" s="78" t="n">
        <x:f>IF('Inputs'!$C$44&gt;0,('Inputs'!$B$30*(3*10*'Inputs'!$B$12-10^2)/(2*'Inputs'!$B$12^2))-('Inputs'!$B$30*(3*9*'Inputs'!$B$12-9^2)/(2*'Inputs'!$B$12^2)),0)</x:f>
        <x:v>303813.3327078251</x:v>
      </x:c>
      <x:c r="E13" s="78" t="n">
        <x:f>C13+D13</x:f>
        <x:v>1012711.1090260837</x:v>
      </x:c>
      <x:c r="F13" s="78" t="n">
        <x:f>'Inputs'!$B$13*E13+(1-'Inputs'!$B$13)/'Inputs'!$B$14*SUM(E4:E13)</x:f>
        <x:v>347513.8058601185</x:v>
      </x:c>
      <x:c r="G13" s="78" t="n">
        <x:f>F13*'Inputs'!$F$44</x:f>
        <x:v>312762.4252741066</x:v>
      </x:c>
      <x:c r="H13" s="78" t="n">
        <x:f>U12</x:f>
        <x:v>10118811.263488859</x:v>
      </x:c>
      <x:c r="I13" s="78" t="n">
        <x:f>V12</x:f>
        <x:v>1109.495448810817</x:v>
      </x:c>
      <x:c r="J13" s="79" t="n">
        <x:f>IF(H13&gt;0,I13/H13,0)</x:f>
        <x:v>0.00010964681719226717</x:v>
      </x:c>
      <x:c r="K13" s="80" t="n">
        <x:f>(H13*J13+I13)*'Inputs'!$D$44*(1+'Inputs'!$G$44)^(B13/30)</x:f>
        <x:v>443.79817952432677</x:v>
      </x:c>
      <x:c r="L13" s="80" t="n">
        <x:f>MAX(0,K13*'Inputs'!$E$44)</x:f>
        <x:v>0</x:v>
      </x:c>
      <x:c r="M13" s="80" t="n">
        <x:f>MAX(0,-K13*'Inputs'!$E$44)</x:f>
        <x:v>88.75963590486536</x:v>
      </x:c>
      <x:c r="N13" s="78" t="n">
        <x:f>H13*(L13*(1-'Inputs'!$B$15))/(I13+L13*(1-'Inputs'!$B$15))</x:f>
        <x:v>0</x:v>
      </x:c>
      <x:c r="O13" s="78" t="n">
        <x:f>H13-N13</x:f>
        <x:v>10118811.263488859</x:v>
      </x:c>
      <x:c r="P13" s="78" t="n">
        <x:f>I13+L13*(1-'Inputs'!$B$17)</x:f>
        <x:v>1109.495448810817</x:v>
      </x:c>
      <x:c r="Q13" s="78" t="n">
        <x:f>IF(J13&gt;0,M13/J13,0)</x:f>
        <x:v>809504.9010791088</x:v>
      </x:c>
      <x:c r="R13" s="78" t="n">
        <x:f>IF(B13='Inputs'!$H$44,'Inputs'!$B$27*'Inputs'!$I$44,0)</x:f>
        <x:v>0</x:v>
      </x:c>
      <x:c r="S13" s="78" t="n">
        <x:f>Q13+G13+R13</x:f>
        <x:v>1122267.3263532154</x:v>
      </x:c>
      <x:c r="T13" s="78" t="n">
        <x:f>P13*(S13*(1-'Inputs'!$B$15))/(O13+S13*(1-'Inputs'!$B$15))</x:f>
        <x:v>109.76979537277708</x:v>
      </x:c>
      <x:c r="U13" s="78" t="n">
        <x:f>O13+S13*(1-'Inputs'!$B$17)</x:f>
        <x:v>11236562.423538841</x:v>
      </x:c>
      <x:c r="V13" s="78" t="n">
        <x:f>P13-T13</x:f>
        <x:v>999.7256534380399</x:v>
      </x:c>
      <x:c r="W13" s="79" t="n">
        <x:f>IF(U13&gt;0,V13/U13,0)</x:f>
        <x:v>0.00008897077377897808</x:v>
      </x:c>
      <x:c r="X13" s="80" t="n">
        <x:f>W13*('Inputs'!$B$6-AC13)</x:f>
        <x:v>88964.3296367914</x:v>
      </x:c>
      <x:c r="Y13" s="80" t="n">
        <x:f>2*V13</x:f>
        <x:v>1999.4513068760798</x:v>
      </x:c>
      <x:c r="Z13" s="80" t="n">
        <x:f>K13*'Inputs'!$B$16+(G13+R13)*J13*'Inputs'!$B$16</x:f>
        <x:v>2.8685495039578015</x:v>
      </x:c>
      <x:c r="AA13" s="80" t="n">
        <x:f>K13*(1+'Inputs'!$E$44)/2*'Inputs'!$B$17</x:f>
        <x:v>0.7143632668399628</x:v>
      </x:c>
      <x:c r="AB13" s="78" t="n">
        <x:f>(IF(J13&gt;0,K13*(1-'Inputs'!$E$44)/2/J13,0)+G13+R13)*'Inputs'!$B$17</x:f>
        <x:v>11031.296291796512</x:v>
      </x:c>
      <x:c r="AC13" s="78" t="n">
        <x:f>AC12+AB13</x:f>
        <x:v>72429.87683452517</x:v>
      </x:c>
      <x:c r="AD13" s="80" t="n">
        <x:f>Z13/(1+'Inputs'!$C$44)</x:f>
        <x:v>2.294839603166241</x:v>
      </x:c>
      <x:c r="AE13" s="80" t="n">
        <x:f>Z13-AD13</x:f>
        <x:v>0.5737099007915605</x:v>
      </x:c>
      <x:c r="AF13" s="80" t="n">
        <x:f>D13*W13</x:f>
        <x:v>27.03050729538531</x:v>
      </x:c>
      <x:c r="AG13" s="80" t="n">
        <x:f>C13*W13</x:f>
        <x:v>63.07118368923239</x:v>
      </x:c>
      <x:c r="AH13" s="80" t="n">
        <x:f>2*'Inputs'!$B$8*'Inputs'!$C$44</x:f>
        <x:v>1250</x:v>
      </x:c>
      <x:c r="AI13" s="81" t="n">
        <x:f>IF(AH13&gt;0,(AE13+AF13)/AH13*365,0)</x:f>
        <x:v>8.060431421283646</x:v>
      </x:c>
      <x:c r="AJ13" s="81" t="n">
        <x:f>IF('Inputs'!$B$44&gt;0,AG13/('Inputs'!$B$19*'Inputs'!$B$44)*365,0)</x:f>
        <x:v>2.302098204656982</x:v>
      </x:c>
      <x:c r="AK13" s="81" t="n">
        <x:f>W13/MAX($W$4:W13)-1</x:f>
        <x:v>-0.8692506899365298</x:v>
      </x:c>
      <x:c r="AL13" s="83" t="n">
        <x:f>'Inputs'!$B$44</x:f>
        <x:v>1</x:v>
      </x:c>
      <x:c r="AM13" s="83" t="n">
        <x:f>'Inputs'!$C$44</x:f>
        <x:v>0.25</x:v>
      </x:c>
      <x:c r="AN13" s="83" t="n">
        <x:f>'Inputs'!$D$44</x:f>
        <x:v>0.2</x:v>
      </x:c>
      <x:c r="AO13" s="81" t="n">
        <x:f>'Inputs'!$E$44</x:f>
        <x:v>-0.2</x:v>
      </x:c>
    </x:row>
    <x:row r="14">
      <x:c r="A14" s="59" t="str">
        <x:v>No demand</x:v>
      </x:c>
      <x:c r="B14" s="59" t="n">
        <x:v>11</x:v>
      </x:c>
      <x:c r="C14" s="78" t="n">
        <x:f>(('Inputs'!$B$29*(3*11*'Inputs'!$B$12-11^2)/(2*'Inputs'!$B$12^2))-('Inputs'!$B$29*(3*10*'Inputs'!$B$12-10^2)/(2*'Inputs'!$B$12^2)))*'Inputs'!$B$44</x:f>
        <x:v>708572.6684180889</x:v>
      </x:c>
      <x:c r="D14" s="78" t="n">
        <x:f>IF('Inputs'!$C$44&gt;0,('Inputs'!$B$30*(3*11*'Inputs'!$B$12-11^2)/(2*'Inputs'!$B$12^2))-('Inputs'!$B$30*(3*10*'Inputs'!$B$12-10^2)/(2*'Inputs'!$B$12^2)),0)</x:f>
        <x:v>303674.0007506097</x:v>
      </x:c>
      <x:c r="E14" s="78" t="n">
        <x:f>C14+D14</x:f>
        <x:v>1012246.6691686986</x:v>
      </x:c>
      <x:c r="F14" s="78" t="n">
        <x:f>'Inputs'!$B$13*E14+(1-'Inputs'!$B$13)/'Inputs'!$B$14*SUM(E4:E14)</x:f>
        <x:v>361881.58459105145</x:v>
      </x:c>
      <x:c r="G14" s="78" t="n">
        <x:f>F14*'Inputs'!$F$44</x:f>
        <x:v>325693.4261319463</x:v>
      </x:c>
      <x:c r="H14" s="78" t="n">
        <x:f>U13</x:f>
        <x:v>11236562.423538841</x:v>
      </x:c>
      <x:c r="I14" s="78" t="n">
        <x:f>V13</x:f>
        <x:v>999.7256534380399</x:v>
      </x:c>
      <x:c r="J14" s="79" t="n">
        <x:f>IF(H14&gt;0,I14/H14,0)</x:f>
        <x:v>0.00008897077377897808</x:v>
      </x:c>
      <x:c r="K14" s="80" t="n">
        <x:f>(H14*J14+I14)*'Inputs'!$D$44*(1+'Inputs'!$G$44)^(B14/30)</x:f>
        <x:v>399.89026137521597</x:v>
      </x:c>
      <x:c r="L14" s="80" t="n">
        <x:f>MAX(0,K14*'Inputs'!$E$44)</x:f>
        <x:v>0</x:v>
      </x:c>
      <x:c r="M14" s="80" t="n">
        <x:f>MAX(0,-K14*'Inputs'!$E$44)</x:f>
        <x:v>79.9780522750432</x:v>
      </x:c>
      <x:c r="N14" s="78" t="n">
        <x:f>H14*(L14*(1-'Inputs'!$B$15))/(I14+L14*(1-'Inputs'!$B$15))</x:f>
        <x:v>0</x:v>
      </x:c>
      <x:c r="O14" s="78" t="n">
        <x:f>H14-N14</x:f>
        <x:v>11236562.423538841</x:v>
      </x:c>
      <x:c r="P14" s="78" t="n">
        <x:f>I14+L14*(1-'Inputs'!$B$17)</x:f>
        <x:v>999.7256534380399</x:v>
      </x:c>
      <x:c r="Q14" s="78" t="n">
        <x:f>IF(J14&gt;0,M14/J14,0)</x:f>
        <x:v>898924.9938831073</x:v>
      </x:c>
      <x:c r="R14" s="78" t="n">
        <x:f>IF(B14='Inputs'!$H$44,'Inputs'!$B$27*'Inputs'!$I$44,0)</x:f>
        <x:v>0</x:v>
      </x:c>
      <x:c r="S14" s="78" t="n">
        <x:f>Q14+G14+R14</x:f>
        <x:v>1224618.4200150536</x:v>
      </x:c>
      <x:c r="T14" s="78" t="n">
        <x:f>P14*(S14*(1-'Inputs'!$B$15))/(O14+S14*(1-'Inputs'!$B$15))</x:f>
        <x:v>97.36091150173257</x:v>
      </x:c>
      <x:c r="U14" s="78" t="n">
        <x:f>O14+S14*(1-'Inputs'!$B$17)</x:f>
        <x:v>12456252.801622245</x:v>
      </x:c>
      <x:c r="V14" s="78" t="n">
        <x:f>P14-T14</x:f>
        <x:v>902.3647419363074</x:v>
      </x:c>
      <x:c r="W14" s="79" t="n">
        <x:f>IF(U14&gt;0,V14/U14,0)</x:f>
        <x:v>0.00007244271261247906</x:v>
      </x:c>
      <x:c r="X14" s="80" t="n">
        <x:f>W14*('Inputs'!$B$6-AC14)</x:f>
        <x:v>72436.58448582659</x:v>
      </x:c>
      <x:c r="Y14" s="80" t="n">
        <x:f>2*V14</x:f>
        <x:v>1804.7294838726148</x:v>
      </x:c>
      <x:c r="Z14" s="80" t="n">
        <x:f>K14*'Inputs'!$B$16+(G14+R14)*J14*'Inputs'!$B$16</x:f>
        <x:v>2.57320474507741</x:v>
      </x:c>
      <x:c r="AA14" s="80" t="n">
        <x:f>K14*(1+'Inputs'!$E$44)/2*'Inputs'!$B$17</x:f>
        <x:v>0.643686537424895</x:v>
      </x:c>
      <x:c r="AB14" s="78" t="n">
        <x:f>(IF(J14&gt;0,K14*(1-'Inputs'!$E$44)/2/J14,0)+G14+R14)*'Inputs'!$B$17</x:f>
        <x:v>12162.850735538304</x:v>
      </x:c>
      <x:c r="AC14" s="78" t="n">
        <x:f>AC13+AB14</x:f>
        <x:v>84592.72757006348</x:v>
      </x:c>
      <x:c r="AD14" s="80" t="n">
        <x:f>Z14/(1+'Inputs'!$C$44)</x:f>
        <x:v>2.058563796061928</x:v>
      </x:c>
      <x:c r="AE14" s="80" t="n">
        <x:f>Z14-AD14</x:f>
        <x:v>0.5146409490154822</x:v>
      </x:c>
      <x:c r="AF14" s="80" t="n">
        <x:f>D14*W14</x:f>
        <x:v>21.998968364258165</x:v>
      </x:c>
      <x:c r="AG14" s="80" t="n">
        <x:f>C14*W14</x:f>
        <x:v>51.330926183269035</x:v>
      </x:c>
      <x:c r="AH14" s="80" t="n">
        <x:f>2*'Inputs'!$B$8*'Inputs'!$C$44</x:f>
        <x:v>1250</x:v>
      </x:c>
      <x:c r="AI14" s="81" t="n">
        <x:f>IF(AH14&gt;0,(AE14+AF14)/AH14*365,0)</x:f>
        <x:v>6.573973919475905</x:v>
      </x:c>
      <x:c r="AJ14" s="81" t="n">
        <x:f>IF('Inputs'!$B$44&gt;0,AG14/('Inputs'!$B$19*'Inputs'!$B$44)*365,0)</x:f>
        <x:v>1.8735788056893197</x:v>
      </x:c>
      <x:c r="AK14" s="81" t="n">
        <x:f>W14/MAX($W$4:W14)-1</x:f>
        <x:v>-0.8935399312504811</x:v>
      </x:c>
      <x:c r="AL14" s="83" t="n">
        <x:f>'Inputs'!$B$44</x:f>
        <x:v>1</x:v>
      </x:c>
      <x:c r="AM14" s="83" t="n">
        <x:f>'Inputs'!$C$44</x:f>
        <x:v>0.25</x:v>
      </x:c>
      <x:c r="AN14" s="83" t="n">
        <x:f>'Inputs'!$D$44</x:f>
        <x:v>0.2</x:v>
      </x:c>
      <x:c r="AO14" s="81" t="n">
        <x:f>'Inputs'!$E$44</x:f>
        <x:v>-0.2</x:v>
      </x:c>
    </x:row>
    <x:row r="15">
      <x:c r="A15" s="59" t="str">
        <x:v>No demand</x:v>
      </x:c>
      <x:c r="B15" s="59" t="n">
        <x:v>12</x:v>
      </x:c>
      <x:c r="C15" s="78" t="n">
        <x:f>(('Inputs'!$B$29*(3*12*'Inputs'!$B$12-12^2)/(2*'Inputs'!$B$12^2))-('Inputs'!$B$29*(3*11*'Inputs'!$B$12-11^2)/(2*'Inputs'!$B$12^2)))*'Inputs'!$B$44</x:f>
        <x:v>708247.5605179211</x:v>
      </x:c>
      <x:c r="D15" s="78" t="n">
        <x:f>IF('Inputs'!$C$44&gt;0,('Inputs'!$B$30*(3*12*'Inputs'!$B$12-12^2)/(2*'Inputs'!$B$12^2))-('Inputs'!$B$30*(3*11*'Inputs'!$B$12-11^2)/(2*'Inputs'!$B$12^2)),0)</x:f>
        <x:v>303534.6687933947</x:v>
      </x:c>
      <x:c r="E15" s="78" t="n">
        <x:f>C15+D15</x:f>
        <x:v>1011782.2293113158</x:v>
      </x:c>
      <x:c r="F15" s="78" t="n">
        <x:f>'Inputs'!$B$13*E15+(1-'Inputs'!$B$13)/'Inputs'!$B$14*SUM(E4:E15)</x:f>
        <x:v>376242.7284668794</x:v>
      </x:c>
      <x:c r="G15" s="78" t="n">
        <x:f>F15*'Inputs'!$F$44</x:f>
        <x:v>338618.45562019147</x:v>
      </x:c>
      <x:c r="H15" s="78" t="n">
        <x:f>U14</x:f>
        <x:v>12456252.801622245</x:v>
      </x:c>
      <x:c r="I15" s="78" t="n">
        <x:f>V14</x:f>
        <x:v>902.3647419363074</x:v>
      </x:c>
      <x:c r="J15" s="79" t="n">
        <x:f>IF(H15&gt;0,I15/H15,0)</x:f>
        <x:v>0.00007244271261247906</x:v>
      </x:c>
      <x:c r="K15" s="80" t="n">
        <x:f>(H15*J15+I15)*'Inputs'!$D$44*(1+'Inputs'!$G$44)^(B15/30)</x:f>
        <x:v>360.94589677452296</x:v>
      </x:c>
      <x:c r="L15" s="80" t="n">
        <x:f>MAX(0,K15*'Inputs'!$E$44)</x:f>
        <x:v>0</x:v>
      </x:c>
      <x:c r="M15" s="80" t="n">
        <x:f>MAX(0,-K15*'Inputs'!$E$44)</x:f>
        <x:v>72.1891793549046</x:v>
      </x:c>
      <x:c r="N15" s="78" t="n">
        <x:f>H15*(L15*(1-'Inputs'!$B$15))/(I15+L15*(1-'Inputs'!$B$15))</x:f>
        <x:v>0</x:v>
      </x:c>
      <x:c r="O15" s="78" t="n">
        <x:f>H15-N15</x:f>
        <x:v>12456252.801622245</x:v>
      </x:c>
      <x:c r="P15" s="78" t="n">
        <x:f>I15+L15*(1-'Inputs'!$B$17)</x:f>
        <x:v>902.3647419363074</x:v>
      </x:c>
      <x:c r="Q15" s="78" t="n">
        <x:f>IF(J15&gt;0,M15/J15,0)</x:f>
        <x:v>996500.2241297796</x:v>
      </x:c>
      <x:c r="R15" s="78" t="n">
        <x:f>IF(B15='Inputs'!$H$44,'Inputs'!$B$27*'Inputs'!$I$44,0)</x:f>
        <x:v>0</x:v>
      </x:c>
      <x:c r="S15" s="78" t="n">
        <x:f>Q15+G15+R15</x:f>
        <x:v>1335118.679749971</x:v>
      </x:c>
      <x:c r="T15" s="78" t="n">
        <x:f>P15*(S15*(1-'Inputs'!$B$15))/(O15+S15*(1-'Inputs'!$B$15))</x:f>
        <x:v>86.56660080167724</x:v>
      </x:c>
      <x:c r="U15" s="78" t="n">
        <x:f>O15+S15*(1-'Inputs'!$B$17)</x:f>
        <x:v>13785998.770387307</x:v>
      </x:c>
      <x:c r="V15" s="78" t="n">
        <x:f>P15-T15</x:f>
        <x:v>815.7981411346301</x:v>
      </x:c>
      <x:c r="W15" s="79" t="n">
        <x:f>IF(U15&gt;0,V15/U15,0)</x:f>
        <x:v>0.0000591758460683303</x:v>
      </x:c>
      <x:c r="X15" s="80" t="n">
        <x:f>W15*('Inputs'!$B$6-AC15)</x:f>
        <x:v>59170.04768985072</x:v>
      </x:c>
      <x:c r="Y15" s="80" t="n">
        <x:f>2*V15</x:f>
        <x:v>1631.5962822692602</x:v>
      </x:c>
      <x:c r="Z15" s="80" t="n">
        <x:f>K15*'Inputs'!$B$16+(G15+R15)*J15*'Inputs'!$B$16</x:f>
        <x:v>2.3128580174417883</x:v>
      </x:c>
      <x:c r="AA15" s="80" t="n">
        <x:f>K15*(1+'Inputs'!$E$44)/2*'Inputs'!$B$17</x:f>
        <x:v>0.5809994314278036</x:v>
      </x:c>
      <x:c r="AB15" s="78" t="n">
        <x:f>(IF(J15&gt;0,K15*(1-'Inputs'!$E$44)/2/J15,0)+G15+R15)*'Inputs'!$B$17</x:f>
        <x:v>13392.833513116822</x:v>
      </x:c>
      <x:c r="AC15" s="78" t="n">
        <x:f>AC14+AB15</x:f>
        <x:v>97985.5610831803</x:v>
      </x:c>
      <x:c r="AD15" s="80" t="n">
        <x:f>Z15/(1+'Inputs'!$C$44)</x:f>
        <x:v>1.8502864139534307</x:v>
      </x:c>
      <x:c r="AE15" s="80" t="n">
        <x:f>Z15-AD15</x:f>
        <x:v>0.4625716034883576</x:v>
      </x:c>
      <x:c r="AF15" s="80" t="n">
        <x:f>D15*W15</x:f>
        <x:v>17.961920836919546</x:v>
      </x:c>
      <x:c r="AG15" s="80" t="n">
        <x:f>C15*W15</x:f>
        <x:v>41.91114861947895</x:v>
      </x:c>
      <x:c r="AH15" s="80" t="n">
        <x:f>2*'Inputs'!$B$8*'Inputs'!$C$44</x:f>
        <x:v>1250</x:v>
      </x:c>
      <x:c r="AI15" s="81" t="n">
        <x:f>IF(AH15&gt;0,(AE15+AF15)/AH15*365,0)</x:f>
        <x:v>5.379951792599107</x:v>
      </x:c>
      <x:c r="AJ15" s="81" t="n">
        <x:f>IF('Inputs'!$B$44&gt;0,AG15/('Inputs'!$B$19*'Inputs'!$B$44)*365,0)</x:f>
        <x:v>1.5297569246109817</x:v>
      </x:c>
      <x:c r="AK15" s="81" t="n">
        <x:f>W15/MAX($W$4:W15)-1</x:f>
        <x:v>-0.9130365993547822</x:v>
      </x:c>
      <x:c r="AL15" s="83" t="n">
        <x:f>'Inputs'!$B$44</x:f>
        <x:v>1</x:v>
      </x:c>
      <x:c r="AM15" s="83" t="n">
        <x:f>'Inputs'!$C$44</x:f>
        <x:v>0.25</x:v>
      </x:c>
      <x:c r="AN15" s="83" t="n">
        <x:f>'Inputs'!$D$44</x:f>
        <x:v>0.2</x:v>
      </x:c>
      <x:c r="AO15" s="81" t="n">
        <x:f>'Inputs'!$E$44</x:f>
        <x:v>-0.2</x:v>
      </x:c>
    </x:row>
    <x:row r="16">
      <x:c r="A16" s="59" t="str">
        <x:v>No demand</x:v>
      </x:c>
      <x:c r="B16" s="59" t="n">
        <x:v>13</x:v>
      </x:c>
      <x:c r="C16" s="78" t="n">
        <x:f>(('Inputs'!$B$29*(3*13*'Inputs'!$B$12-13^2)/(2*'Inputs'!$B$12^2))-('Inputs'!$B$29*(3*12*'Inputs'!$B$12-12^2)/(2*'Inputs'!$B$12^2)))*'Inputs'!$B$44</x:f>
        <x:v>707922.4526177514</x:v>
      </x:c>
      <x:c r="D16" s="78" t="n">
        <x:f>IF('Inputs'!$C$44&gt;0,('Inputs'!$B$30*(3*13*'Inputs'!$B$12-13^2)/(2*'Inputs'!$B$12^2))-('Inputs'!$B$30*(3*12*'Inputs'!$B$12-12^2)/(2*'Inputs'!$B$12^2)),0)</x:f>
        <x:v>303395.3368361797</x:v>
      </x:c>
      <x:c r="E16" s="78" t="n">
        <x:f>C16+D16</x:f>
        <x:v>1011317.7894539312</x:v>
      </x:c>
      <x:c r="F16" s="78" t="n">
        <x:f>'Inputs'!$B$13*E16+(1-'Inputs'!$B$13)/'Inputs'!$B$14*SUM(E4:E16)</x:f>
        <x:v>390597.23748760147</x:v>
      </x:c>
      <x:c r="G16" s="78" t="n">
        <x:f>F16*'Inputs'!$F$44</x:f>
        <x:v>351537.51373884134</x:v>
      </x:c>
      <x:c r="H16" s="78" t="n">
        <x:f>U15</x:f>
        <x:v>13785998.770387307</x:v>
      </x:c>
      <x:c r="I16" s="78" t="n">
        <x:f>V15</x:f>
        <x:v>815.7981411346301</x:v>
      </x:c>
      <x:c r="J16" s="79" t="n">
        <x:f>IF(H16&gt;0,I16/H16,0)</x:f>
        <x:v>0.0000591758460683303</x:v>
      </x:c>
      <x:c r="K16" s="80" t="n">
        <x:f>(H16*J16+I16)*'Inputs'!$D$44*(1+'Inputs'!$G$44)^(B16/30)</x:f>
        <x:v>326.31925645385206</x:v>
      </x:c>
      <x:c r="L16" s="80" t="n">
        <x:f>MAX(0,K16*'Inputs'!$E$44)</x:f>
        <x:v>0</x:v>
      </x:c>
      <x:c r="M16" s="80" t="n">
        <x:f>MAX(0,-K16*'Inputs'!$E$44)</x:f>
        <x:v>65.26385129077042</x:v>
      </x:c>
      <x:c r="N16" s="78" t="n">
        <x:f>H16*(L16*(1-'Inputs'!$B$15))/(I16+L16*(1-'Inputs'!$B$15))</x:f>
        <x:v>0</x:v>
      </x:c>
      <x:c r="O16" s="78" t="n">
        <x:f>H16-N16</x:f>
        <x:v>13785998.770387307</x:v>
      </x:c>
      <x:c r="P16" s="78" t="n">
        <x:f>I16+L16*(1-'Inputs'!$B$17)</x:f>
        <x:v>815.7981411346301</x:v>
      </x:c>
      <x:c r="Q16" s="78" t="n">
        <x:f>IF(J16&gt;0,M16/J16,0)</x:f>
        <x:v>1102879.9016309849</x:v>
      </x:c>
      <x:c r="R16" s="78" t="n">
        <x:f>IF(B16='Inputs'!$H$44,'Inputs'!$B$27*'Inputs'!$I$44,0)</x:f>
        <x:v>0</x:v>
      </x:c>
      <x:c r="S16" s="78" t="n">
        <x:f>Q16+G16+R16</x:f>
        <x:v>1454417.4153698261</x:v>
      </x:c>
      <x:c r="T16" s="78" t="n">
        <x:f>P16*(S16*(1-'Inputs'!$B$15))/(O16+S16*(1-'Inputs'!$B$15))</x:f>
        <x:v>77.14802231086863</x:v>
      </x:c>
      <x:c r="U16" s="78" t="n">
        <x:f>O16+S16*(1-'Inputs'!$B$17)</x:f>
        <x:v>15234563.399377376</x:v>
      </x:c>
      <x:c r="V16" s="78" t="n">
        <x:f>P16-T16</x:f>
        <x:v>738.6501188237614</x:v>
      </x:c>
      <x:c r="W16" s="79" t="n">
        <x:f>IF(U16&gt;0,V16/U16,0)</x:f>
        <x:v>0.00004848515178675547</x:v>
      </x:c>
      <x:c r="X16" s="80" t="n">
        <x:f>W16*('Inputs'!$B$6-AC16)</x:f>
        <x:v>48479.686800110336</x:v>
      </x:c>
      <x:c r="Y16" s="80" t="n">
        <x:f>2*V16</x:f>
        <x:v>1477.3002376475229</x:v>
      </x:c>
      <x:c r="Z16" s="80" t="n">
        <x:f>K16*'Inputs'!$B$16+(G16+R16)*J16*'Inputs'!$B$16</x:f>
        <x:v>2.082730717524632</x:v>
      </x:c>
      <x:c r="AA16" s="80" t="n">
        <x:f>K16*(1+'Inputs'!$E$44)/2*'Inputs'!$B$17</x:f>
        <x:v>0.5252623846339672</x:v>
      </x:c>
      <x:c r="AB16" s="78" t="n">
        <x:f>(IF(J16&gt;0,K16*(1-'Inputs'!$E$44)/2/J16,0)+G16+R16)*'Inputs'!$B$17</x:f>
        <x:v>14729.083374775837</x:v>
      </x:c>
      <x:c r="AC16" s="78" t="n">
        <x:f>AC15+AB16</x:f>
        <x:v>112714.64445795614</x:v>
      </x:c>
      <x:c r="AD16" s="80" t="n">
        <x:f>Z16/(1+'Inputs'!$C$44)</x:f>
        <x:v>1.6661845740197054</x:v>
      </x:c>
      <x:c r="AE16" s="80" t="n">
        <x:f>Z16-AD16</x:f>
        <x:v>0.41654614350492647</x:v>
      </x:c>
      <x:c r="AF16" s="80" t="n">
        <x:f>D16*W16</x:f>
        <x:v>14.710168957895975</x:v>
      </x:c>
      <x:c r="AG16" s="80" t="n">
        <x:f>C16*W16</x:f>
        <x:v>34.323727568423884</x:v>
      </x:c>
      <x:c r="AH16" s="80" t="n">
        <x:f>2*'Inputs'!$B$8*'Inputs'!$C$44</x:f>
        <x:v>1250</x:v>
      </x:c>
      <x:c r="AI16" s="81" t="n">
        <x:f>IF(AH16&gt;0,(AE16+AF16)/AH16*365,0)</x:f>
        <x:v>4.417000809609063</x:v>
      </x:c>
      <x:c r="AJ16" s="81" t="n">
        <x:f>IF('Inputs'!$B$44&gt;0,AG16/('Inputs'!$B$19*'Inputs'!$B$44)*365,0)</x:f>
        <x:v>1.2528160562474717</x:v>
      </x:c>
      <x:c r="AK16" s="81" t="n">
        <x:f>W16/MAX($W$4:W16)-1</x:f>
        <x:v>-0.9287473866396925</x:v>
      </x:c>
      <x:c r="AL16" s="83" t="n">
        <x:f>'Inputs'!$B$44</x:f>
        <x:v>1</x:v>
      </x:c>
      <x:c r="AM16" s="83" t="n">
        <x:f>'Inputs'!$C$44</x:f>
        <x:v>0.25</x:v>
      </x:c>
      <x:c r="AN16" s="83" t="n">
        <x:f>'Inputs'!$D$44</x:f>
        <x:v>0.2</x:v>
      </x:c>
      <x:c r="AO16" s="81" t="n">
        <x:f>'Inputs'!$E$44</x:f>
        <x:v>-0.2</x:v>
      </x:c>
    </x:row>
    <x:row r="17">
      <x:c r="A17" s="59" t="str">
        <x:v>No demand</x:v>
      </x:c>
      <x:c r="B17" s="59" t="n">
        <x:v>14</x:v>
      </x:c>
      <x:c r="C17" s="78" t="n">
        <x:f>(('Inputs'!$B$29*(3*14*'Inputs'!$B$12-14^2)/(2*'Inputs'!$B$12^2))-('Inputs'!$B$29*(3*13*'Inputs'!$B$12-13^2)/(2*'Inputs'!$B$12^2)))*'Inputs'!$B$44</x:f>
        <x:v>707597.3447175827</x:v>
      </x:c>
      <x:c r="D17" s="78" t="n">
        <x:f>IF('Inputs'!$C$44&gt;0,('Inputs'!$B$30*(3*14*'Inputs'!$B$12-14^2)/(2*'Inputs'!$B$12^2))-('Inputs'!$B$30*(3*13*'Inputs'!$B$12-13^2)/(2*'Inputs'!$B$12^2)),0)</x:f>
        <x:v>303256.0048789638</x:v>
      </x:c>
      <x:c r="E17" s="78" t="n">
        <x:f>C17+D17</x:f>
        <x:v>1010853.3495965465</x:v>
      </x:c>
      <x:c r="F17" s="78" t="n">
        <x:f>'Inputs'!$B$13*E17+(1-'Inputs'!$B$13)/'Inputs'!$B$14*SUM(E4:E17)</x:f>
        <x:v>404945.1116532181</x:v>
      </x:c>
      <x:c r="G17" s="78" t="n">
        <x:f>F17*'Inputs'!$F$44</x:f>
        <x:v>364450.6004878963</x:v>
      </x:c>
      <x:c r="H17" s="78" t="n">
        <x:f>U16</x:f>
        <x:v>15234563.399377376</x:v>
      </x:c>
      <x:c r="I17" s="78" t="n">
        <x:f>V16</x:f>
        <x:v>738.6501188237614</x:v>
      </x:c>
      <x:c r="J17" s="79" t="n">
        <x:f>IF(H17&gt;0,I17/H17,0)</x:f>
        <x:v>0.00004848515178675547</x:v>
      </x:c>
      <x:c r="K17" s="80" t="n">
        <x:f>(H17*J17+I17)*'Inputs'!$D$44*(1+'Inputs'!$G$44)^(B17/30)</x:f>
        <x:v>295.4600475295046</x:v>
      </x:c>
      <x:c r="L17" s="80" t="n">
        <x:f>MAX(0,K17*'Inputs'!$E$44)</x:f>
        <x:v>0</x:v>
      </x:c>
      <x:c r="M17" s="80" t="n">
        <x:f>MAX(0,-K17*'Inputs'!$E$44)</x:f>
        <x:v>59.092009505900926</x:v>
      </x:c>
      <x:c r="N17" s="78" t="n">
        <x:f>H17*(L17*(1-'Inputs'!$B$15))/(I17+L17*(1-'Inputs'!$B$15))</x:f>
        <x:v>0</x:v>
      </x:c>
      <x:c r="O17" s="78" t="n">
        <x:f>H17-N17</x:f>
        <x:v>15234563.399377376</x:v>
      </x:c>
      <x:c r="P17" s="78" t="n">
        <x:f>I17+L17*(1-'Inputs'!$B$17)</x:f>
        <x:v>738.6501188237614</x:v>
      </x:c>
      <x:c r="Q17" s="78" t="n">
        <x:f>IF(J17&gt;0,M17/J17,0)</x:f>
        <x:v>1218765.0719501902</x:v>
      </x:c>
      <x:c r="R17" s="78" t="n">
        <x:f>IF(B17='Inputs'!$H$44,'Inputs'!$B$27*'Inputs'!$I$44,0)</x:f>
        <x:v>0</x:v>
      </x:c>
      <x:c r="S17" s="78" t="n">
        <x:f>Q17+G17+R17</x:f>
        <x:v>1583215.6724380865</x:v>
      </x:c>
      <x:c r="T17" s="78" t="n">
        <x:f>P17*(S17*(1-'Inputs'!$B$15))/(O17+S17*(1-'Inputs'!$B$15))</x:f>
        <x:v>68.90558730931792</x:v>
      </x:c>
      <x:c r="U17" s="78" t="n">
        <x:f>O17+S17*(1-'Inputs'!$B$17)</x:f>
        <x:v>16811407.98259036</x:v>
      </x:c>
      <x:c r="V17" s="78" t="n">
        <x:f>P17-T17</x:f>
        <x:v>669.7445315144435</x:v>
      </x:c>
      <x:c r="W17" s="79" t="n">
        <x:f>IF(U17&gt;0,V17/U17,0)</x:f>
        <x:v>0.00003983869359473167</x:v>
      </x:c>
      <x:c r="X17" s="80" t="n">
        <x:f>W17*('Inputs'!$B$6-AC17)</x:f>
        <x:v>39833.558597949486</x:v>
      </x:c>
      <x:c r="Y17" s="80" t="n">
        <x:f>2*V17</x:f>
        <x:v>1339.489063028887</x:v>
      </x:c>
      <x:c r="Z17" s="80" t="n">
        <x:f>K17*'Inputs'!$B$16+(G17+R17)*J17*'Inputs'!$B$16</x:f>
        <x:v>1.8787829412776067</x:v>
      </x:c>
      <x:c r="AA17" s="80" t="n">
        <x:f>K17*(1+'Inputs'!$E$44)/2*'Inputs'!$B$17</x:f>
        <x:v>0.47558961372958497</x:v>
      </x:c>
      <x:c r="AB17" s="78" t="n">
        <x:f>(IF(J17&gt;0,K17*(1-'Inputs'!$E$44)/2/J17,0)+G17+R17)*'Inputs'!$B$17</x:f>
        <x:v>16180.063647237293</x:v>
      </x:c>
      <x:c r="AC17" s="78" t="n">
        <x:f>AC16+AB17</x:f>
        <x:v>128894.70810519342</x:v>
      </x:c>
      <x:c r="AD17" s="80" t="n">
        <x:f>Z17/(1+'Inputs'!$C$44)</x:f>
        <x:v>1.5030263530220853</x:v>
      </x:c>
      <x:c r="AE17" s="80" t="n">
        <x:f>Z17-AD17</x:f>
        <x:v>0.3757565882555214</x:v>
      </x:c>
      <x:c r="AF17" s="80" t="n">
        <x:f>D17*W17</x:f>
        <x:v>12.081323059135492</x:v>
      </x:c>
      <x:c r="AG17" s="80" t="n">
        <x:f>C17*W17</x:f>
        <x:v>28.1897538046495</x:v>
      </x:c>
      <x:c r="AH17" s="80" t="n">
        <x:f>2*'Inputs'!$B$8*'Inputs'!$C$44</x:f>
        <x:v>1250</x:v>
      </x:c>
      <x:c r="AI17" s="81" t="n">
        <x:f>IF(AH17&gt;0,(AE17+AF17)/AH17*365,0)</x:f>
        <x:v>3.6374672570381756</x:v>
      </x:c>
      <x:c r="AJ17" s="81" t="n">
        <x:f>IF('Inputs'!$B$44&gt;0,AG17/('Inputs'!$B$19*'Inputs'!$B$44)*365,0)</x:f>
        <x:v>1.0289260138697067</x:v>
      </x:c>
      <x:c r="AK17" s="81" t="n">
        <x:f>W17/MAX($W$4:W17)-1</x:f>
        <x:v>-0.9414540137159972</x:v>
      </x:c>
      <x:c r="AL17" s="83" t="n">
        <x:f>'Inputs'!$B$44</x:f>
        <x:v>1</x:v>
      </x:c>
      <x:c r="AM17" s="83" t="n">
        <x:f>'Inputs'!$C$44</x:f>
        <x:v>0.25</x:v>
      </x:c>
      <x:c r="AN17" s="83" t="n">
        <x:f>'Inputs'!$D$44</x:f>
        <x:v>0.2</x:v>
      </x:c>
      <x:c r="AO17" s="81" t="n">
        <x:f>'Inputs'!$E$44</x:f>
        <x:v>-0.2</x:v>
      </x:c>
    </x:row>
    <x:row r="18">
      <x:c r="A18" s="59" t="str">
        <x:v>No demand</x:v>
      </x:c>
      <x:c r="B18" s="59" t="n">
        <x:v>15</x:v>
      </x:c>
      <x:c r="C18" s="78" t="n">
        <x:f>(('Inputs'!$B$29*(3*15*'Inputs'!$B$12-15^2)/(2*'Inputs'!$B$12^2))-('Inputs'!$B$29*(3*14*'Inputs'!$B$12-14^2)/(2*'Inputs'!$B$12^2)))*'Inputs'!$B$44</x:f>
        <x:v>707272.2368174158</x:v>
      </x:c>
      <x:c r="D18" s="78" t="n">
        <x:f>IF('Inputs'!$C$44&gt;0,('Inputs'!$B$30*(3*15*'Inputs'!$B$12-15^2)/(2*'Inputs'!$B$12^2))-('Inputs'!$B$30*(3*14*'Inputs'!$B$12-14^2)/(2*'Inputs'!$B$12^2)),0)</x:f>
        <x:v>303116.67292174883</x:v>
      </x:c>
      <x:c r="E18" s="78" t="n">
        <x:f>C18+D18</x:f>
        <x:v>1010388.9097391646</x:v>
      </x:c>
      <x:c r="F18" s="78" t="n">
        <x:f>'Inputs'!$B$13*E18+(1-'Inputs'!$B$13)/'Inputs'!$B$14*SUM(E4:E18)</x:f>
        <x:v>419286.3509637298</x:v>
      </x:c>
      <x:c r="G18" s="78" t="n">
        <x:f>F18*'Inputs'!$F$44</x:f>
        <x:v>377357.7158673568</x:v>
      </x:c>
      <x:c r="H18" s="78" t="n">
        <x:f>U17</x:f>
        <x:v>16811407.98259036</x:v>
      </x:c>
      <x:c r="I18" s="78" t="n">
        <x:f>V17</x:f>
        <x:v>669.7445315144435</x:v>
      </x:c>
      <x:c r="J18" s="79" t="n">
        <x:f>IF(H18&gt;0,I18/H18,0)</x:f>
        <x:v>0.00003983869359473167</x:v>
      </x:c>
      <x:c r="K18" s="80" t="n">
        <x:f>(H18*J18+I18)*'Inputs'!$D$44*(1+'Inputs'!$G$44)^(B18/30)</x:f>
        <x:v>267.8978126057774</x:v>
      </x:c>
      <x:c r="L18" s="80" t="n">
        <x:f>MAX(0,K18*'Inputs'!$E$44)</x:f>
        <x:v>0</x:v>
      </x:c>
      <x:c r="M18" s="80" t="n">
        <x:f>MAX(0,-K18*'Inputs'!$E$44)</x:f>
        <x:v>53.57956252115548</x:v>
      </x:c>
      <x:c r="N18" s="78" t="n">
        <x:f>H18*(L18*(1-'Inputs'!$B$15))/(I18+L18*(1-'Inputs'!$B$15))</x:f>
        <x:v>0</x:v>
      </x:c>
      <x:c r="O18" s="78" t="n">
        <x:f>H18-N18</x:f>
        <x:v>16811407.98259036</x:v>
      </x:c>
      <x:c r="P18" s="78" t="n">
        <x:f>I18+L18*(1-'Inputs'!$B$17)</x:f>
        <x:v>669.7445315144435</x:v>
      </x:c>
      <x:c r="Q18" s="78" t="n">
        <x:f>IF(J18&gt;0,M18/J18,0)</x:f>
        <x:v>1344912.6386072289</x:v>
      </x:c>
      <x:c r="R18" s="78" t="n">
        <x:f>IF(B18='Inputs'!$H$44,'Inputs'!$B$27*'Inputs'!$I$44,0)</x:f>
        <x:v>0</x:v>
      </x:c>
      <x:c r="S18" s="78" t="n">
        <x:f>Q18+G18+R18</x:f>
        <x:v>1722270.3544745857</x:v>
      </x:c>
      <x:c r="T18" s="78" t="n">
        <x:f>P18*(S18*(1-'Inputs'!$B$15))/(O18+S18*(1-'Inputs'!$B$15))</x:f>
        <x:v>61.671972367894824</x:v>
      </x:c>
      <x:c r="U18" s="78" t="n">
        <x:f>O18+S18*(1-'Inputs'!$B$17)</x:f>
        <x:v>18526747.671654582</x:v>
      </x:c>
      <x:c r="V18" s="78" t="n">
        <x:f>P18-T18</x:f>
        <x:v>608.0725591465487</x:v>
      </x:c>
      <x:c r="W18" s="79" t="n">
        <x:f>IF(U18&gt;0,V18/U18,0)</x:f>
        <x:v>0.00003282133323793701</x:v>
      </x:c>
      <x:c r="X18" s="80" t="n">
        <x:f>W18*('Inputs'!$B$6-AC18)</x:f>
        <x:v>32816.52000188636</x:v>
      </x:c>
      <x:c r="Y18" s="80" t="n">
        <x:f>2*V18</x:f>
        <x:v>1216.1451182930973</x:v>
      </x:c>
      <x:c r="Z18" s="80" t="n">
        <x:f>K18*'Inputs'!$B$16+(G18+R18)*J18*'Inputs'!$B$16</x:f>
        <x:v>1.6975875061429493</x:v>
      </x:c>
      <x:c r="AA18" s="80" t="n">
        <x:f>K18*(1+'Inputs'!$E$44)/2*'Inputs'!$B$17</x:f>
        <x:v>0.43122384322861557</x:v>
      </x:c>
      <x:c r="AB18" s="78" t="n">
        <x:f>(IF(J18&gt;0,K18*(1-'Inputs'!$E$44)/2/J18,0)+G18+R18)*'Inputs'!$B$17</x:f>
        <x:v>17754.91199874867</x:v>
      </x:c>
      <x:c r="AC18" s="78" t="n">
        <x:f>AC17+AB18</x:f>
        <x:v>146649.62010394208</x:v>
      </x:c>
      <x:c r="AD18" s="80" t="n">
        <x:f>Z18/(1+'Inputs'!$C$44)</x:f>
        <x:v>1.3580700049143595</x:v>
      </x:c>
      <x:c r="AE18" s="80" t="n">
        <x:f>Z18-AD18</x:f>
        <x:v>0.3395175012285898</x:v>
      </x:c>
      <x:c r="AF18" s="80" t="n">
        <x:f>D18*W18</x:f>
        <x:v>9.948693331939475</x:v>
      </x:c>
      <x:c r="AG18" s="80" t="n">
        <x:f>C18*W18</x:f>
        <x:v>23.213617774525506</x:v>
      </x:c>
      <x:c r="AH18" s="80" t="n">
        <x:f>2*'Inputs'!$B$8*'Inputs'!$C$44</x:f>
        <x:v>1250</x:v>
      </x:c>
      <x:c r="AI18" s="81" t="n">
        <x:f>IF(AH18&gt;0,(AE18+AF18)/AH18*365,0)</x:f>
        <x:v>3.004157563285075</x:v>
      </x:c>
      <x:c r="AJ18" s="81" t="n">
        <x:f>IF('Inputs'!$B$44&gt;0,AG18/('Inputs'!$B$19*'Inputs'!$B$44)*365,0)</x:f>
        <x:v>0.8472970487701811</x:v>
      </x:c>
      <x:c r="AK18" s="81" t="n">
        <x:f>W18/MAX($W$4:W18)-1</x:f>
        <x:v>-0.951766557781276</x:v>
      </x:c>
      <x:c r="AL18" s="83" t="n">
        <x:f>'Inputs'!$B$44</x:f>
        <x:v>1</x:v>
      </x:c>
      <x:c r="AM18" s="83" t="n">
        <x:f>'Inputs'!$C$44</x:f>
        <x:v>0.25</x:v>
      </x:c>
      <x:c r="AN18" s="83" t="n">
        <x:f>'Inputs'!$D$44</x:f>
        <x:v>0.2</x:v>
      </x:c>
      <x:c r="AO18" s="81" t="n">
        <x:f>'Inputs'!$E$44</x:f>
        <x:v>-0.2</x:v>
      </x:c>
    </x:row>
    <x:row r="19">
      <x:c r="A19" s="59" t="str">
        <x:v>No demand</x:v>
      </x:c>
      <x:c r="B19" s="59" t="n">
        <x:v>16</x:v>
      </x:c>
      <x:c r="C19" s="78" t="n">
        <x:f>(('Inputs'!$B$29*(3*16*'Inputs'!$B$12-16^2)/(2*'Inputs'!$B$12^2))-('Inputs'!$B$29*(3*15*'Inputs'!$B$12-15^2)/(2*'Inputs'!$B$12^2)))*'Inputs'!$B$44</x:f>
        <x:v>706947.1289172452</x:v>
      </x:c>
      <x:c r="D19" s="78" t="n">
        <x:f>IF('Inputs'!$C$44&gt;0,('Inputs'!$B$30*(3*16*'Inputs'!$B$12-16^2)/(2*'Inputs'!$B$12^2))-('Inputs'!$B$30*(3*15*'Inputs'!$B$12-15^2)/(2*'Inputs'!$B$12^2)),0)</x:f>
        <x:v>302977.3409645343</x:v>
      </x:c>
      <x:c r="E19" s="78" t="n">
        <x:f>C19+D19</x:f>
        <x:v>1009924.4698817795</x:v>
      </x:c>
      <x:c r="F19" s="78" t="n">
        <x:f>'Inputs'!$B$13*E19+(1-'Inputs'!$B$13)/'Inputs'!$B$14*SUM(E4:E19)</x:f>
        <x:v>433620.9554191353</x:v>
      </x:c>
      <x:c r="G19" s="78" t="n">
        <x:f>F19*'Inputs'!$F$44</x:f>
        <x:v>390258.85987722175</x:v>
      </x:c>
      <x:c r="H19" s="78" t="n">
        <x:f>U18</x:f>
        <x:v>18526747.671654582</x:v>
      </x:c>
      <x:c r="I19" s="78" t="n">
        <x:f>V18</x:f>
        <x:v>608.0725591465487</x:v>
      </x:c>
      <x:c r="J19" s="79" t="n">
        <x:f>IF(H19&gt;0,I19/H19,0)</x:f>
        <x:v>0.00003282133323793701</x:v>
      </x:c>
      <x:c r="K19" s="80" t="n">
        <x:f>(H19*J19+I19)*'Inputs'!$D$44*(1+'Inputs'!$G$44)^(B19/30)</x:f>
        <x:v>243.22902365861947</x:v>
      </x:c>
      <x:c r="L19" s="80" t="n">
        <x:f>MAX(0,K19*'Inputs'!$E$44)</x:f>
        <x:v>0</x:v>
      </x:c>
      <x:c r="M19" s="80" t="n">
        <x:f>MAX(0,-K19*'Inputs'!$E$44)</x:f>
        <x:v>48.6458047317239</x:v>
      </x:c>
      <x:c r="N19" s="78" t="n">
        <x:f>H19*(L19*(1-'Inputs'!$B$15))/(I19+L19*(1-'Inputs'!$B$15))</x:f>
        <x:v>0</x:v>
      </x:c>
      <x:c r="O19" s="78" t="n">
        <x:f>H19-N19</x:f>
        <x:v>18526747.671654582</x:v>
      </x:c>
      <x:c r="P19" s="78" t="n">
        <x:f>I19+L19*(1-'Inputs'!$B$17)</x:f>
        <x:v>608.0725591465487</x:v>
      </x:c>
      <x:c r="Q19" s="78" t="n">
        <x:f>IF(J19&gt;0,M19/J19,0)</x:f>
        <x:v>1482139.8137323668</x:v>
      </x:c>
      <x:c r="R19" s="78" t="n">
        <x:f>IF(B19='Inputs'!$H$44,'Inputs'!$B$27*'Inputs'!$I$44,0)</x:f>
        <x:v>0</x:v>
      </x:c>
      <x:c r="S19" s="78" t="n">
        <x:f>Q19+G19+R19</x:f>
        <x:v>1872398.6736095885</x:v>
      </x:c>
      <x:c r="T19" s="78" t="n">
        <x:f>P19*(S19*(1-'Inputs'!$B$15))/(O19+S19*(1-'Inputs'!$B$15))</x:f>
        <x:v>55.30644511891994</x:v>
      </x:c>
      <x:c r="U19" s="78" t="n">
        <x:f>O19+S19*(1-'Inputs'!$B$17)</x:f>
        <x:v>20391611.54174864</x:v>
      </x:c>
      <x:c r="V19" s="78" t="n">
        <x:f>P19-T19</x:f>
        <x:v>552.7661140276288</x:v>
      </x:c>
      <x:c r="W19" s="79" t="n">
        <x:f>IF(U19&gt;0,V19/U19,0)</x:f>
        <x:v>0.000027107524723876115</x:v>
      </x:c>
      <x:c r="X19" s="80" t="n">
        <x:f>W19*('Inputs'!$B$6-AC19)</x:f>
        <x:v>27103.02180852399</x:v>
      </x:c>
      <x:c r="Y19" s="80" t="n">
        <x:f>2*V19</x:f>
        <x:v>1105.5322280552575</x:v>
      </x:c>
      <x:c r="Z19" s="80" t="n">
        <x:f>K19*'Inputs'!$B$16+(G19+R19)*J19*'Inputs'!$B$16</x:f>
        <x:v>1.5362270384862426</x:v>
      </x:c>
      <x:c r="AA19" s="80" t="n">
        <x:f>K19*(1+'Inputs'!$E$44)/2*'Inputs'!$B$17</x:f>
        <x:v>0.3915155310400314</x:v>
      </x:c>
      <x:c r="AB19" s="78" t="n">
        <x:f>(IF(J19&gt;0,K19*(1-'Inputs'!$E$44)/2/J19,0)+G19+R19)*'Inputs'!$B$17</x:f>
        <x:v>19463.494169313162</x:v>
      </x:c>
      <x:c r="AC19" s="78" t="n">
        <x:f>AC18+AB19</x:f>
        <x:v>166113.11427325525</x:v>
      </x:c>
      <x:c r="AD19" s="80" t="n">
        <x:f>Z19/(1+'Inputs'!$C$44)</x:f>
        <x:v>1.228981630788994</x:v>
      </x:c>
      <x:c r="AE19" s="80" t="n">
        <x:f>Z19-AD19</x:f>
        <x:v>0.3072454076972486</x:v>
      </x:c>
      <x:c r="AF19" s="80" t="n">
        <x:f>D19*W19</x:f>
        <x:v>8.212965760970357</x:v>
      </x:c>
      <x:c r="AG19" s="80" t="n">
        <x:f>C19*W19</x:f>
        <x:v>19.16358677559746</x:v>
      </x:c>
      <x:c r="AH19" s="80" t="n">
        <x:f>2*'Inputs'!$B$8*'Inputs'!$C$44</x:f>
        <x:v>1250</x:v>
      </x:c>
      <x:c r="AI19" s="81" t="n">
        <x:f>IF(AH19&gt;0,(AE19+AF19)/AH19*365,0)</x:f>
        <x:v>2.487901661250941</x:v>
      </x:c>
      <x:c r="AJ19" s="81" t="n">
        <x:f>IF('Inputs'!$B$44&gt;0,AG19/('Inputs'!$B$19*'Inputs'!$B$44)*365,0)</x:f>
        <x:v>0.6994709173093072</x:v>
      </x:c>
      <x:c r="AK19" s="81" t="n">
        <x:f>W19/MAX($W$4:W19)-1</x:f>
        <x:v>-0.9601634333991518</x:v>
      </x:c>
      <x:c r="AL19" s="83" t="n">
        <x:f>'Inputs'!$B$44</x:f>
        <x:v>1</x:v>
      </x:c>
      <x:c r="AM19" s="83" t="n">
        <x:f>'Inputs'!$C$44</x:f>
        <x:v>0.25</x:v>
      </x:c>
      <x:c r="AN19" s="83" t="n">
        <x:f>'Inputs'!$D$44</x:f>
        <x:v>0.2</x:v>
      </x:c>
      <x:c r="AO19" s="81" t="n">
        <x:f>'Inputs'!$E$44</x:f>
        <x:v>-0.2</x:v>
      </x:c>
    </x:row>
    <x:row r="20">
      <x:c r="A20" s="59" t="str">
        <x:v>No demand</x:v>
      </x:c>
      <x:c r="B20" s="59" t="n">
        <x:v>17</x:v>
      </x:c>
      <x:c r="C20" s="78" t="n">
        <x:f>(('Inputs'!$B$29*(3*17*'Inputs'!$B$12-17^2)/(2*'Inputs'!$B$12^2))-('Inputs'!$B$29*(3*16*'Inputs'!$B$12-16^2)/(2*'Inputs'!$B$12^2)))*'Inputs'!$B$44</x:f>
        <x:v>706622.0210170764</x:v>
      </x:c>
      <x:c r="D20" s="78" t="n">
        <x:f>IF('Inputs'!$C$44&gt;0,('Inputs'!$B$30*(3*17*'Inputs'!$B$12-17^2)/(2*'Inputs'!$B$12^2))-('Inputs'!$B$30*(3*16*'Inputs'!$B$12-16^2)/(2*'Inputs'!$B$12^2)),0)</x:f>
        <x:v>302838.00900731795</x:v>
      </x:c>
      <x:c r="E20" s="78" t="n">
        <x:f>C20+D20</x:f>
        <x:v>1009460.0300243944</x:v>
      </x:c>
      <x:c r="F20" s="78" t="n">
        <x:f>'Inputs'!$B$13*E20+(1-'Inputs'!$B$13)/'Inputs'!$B$14*SUM(E4:E20)</x:f>
        <x:v>447948.92501943535</x:v>
      </x:c>
      <x:c r="G20" s="78" t="n">
        <x:f>F20*'Inputs'!$F$44</x:f>
        <x:v>403154.03251749184</x:v>
      </x:c>
      <x:c r="H20" s="78" t="n">
        <x:f>U19</x:f>
        <x:v>20391611.54174864</x:v>
      </x:c>
      <x:c r="I20" s="78" t="n">
        <x:f>V19</x:f>
        <x:v>552.7661140276288</x:v>
      </x:c>
      <x:c r="J20" s="79" t="n">
        <x:f>IF(H20&gt;0,I20/H20,0)</x:f>
        <x:v>0.000027107524723876115</x:v>
      </x:c>
      <x:c r="K20" s="80" t="n">
        <x:f>(H20*J20+I20)*'Inputs'!$D$44*(1+'Inputs'!$G$44)^(B20/30)</x:f>
        <x:v>221.10644561105153</x:v>
      </x:c>
      <x:c r="L20" s="80" t="n">
        <x:f>MAX(0,K20*'Inputs'!$E$44)</x:f>
        <x:v>0</x:v>
      </x:c>
      <x:c r="M20" s="80" t="n">
        <x:f>MAX(0,-K20*'Inputs'!$E$44)</x:f>
        <x:v>44.22128912221031</x:v>
      </x:c>
      <x:c r="N20" s="78" t="n">
        <x:f>H20*(L20*(1-'Inputs'!$B$15))/(I20+L20*(1-'Inputs'!$B$15))</x:f>
        <x:v>0</x:v>
      </x:c>
      <x:c r="O20" s="78" t="n">
        <x:f>H20-N20</x:f>
        <x:v>20391611.54174864</x:v>
      </x:c>
      <x:c r="P20" s="78" t="n">
        <x:f>I20+L20*(1-'Inputs'!$B$17)</x:f>
        <x:v>552.7661140276288</x:v>
      </x:c>
      <x:c r="Q20" s="78" t="n">
        <x:f>IF(J20&gt;0,M20/J20,0)</x:f>
        <x:v>1631328.9233398912</x:v>
      </x:c>
      <x:c r="R20" s="78" t="n">
        <x:f>IF(B20='Inputs'!$H$44,'Inputs'!$B$27*'Inputs'!$I$44,0)</x:f>
        <x:v>0</x:v>
      </x:c>
      <x:c r="S20" s="78" t="n">
        <x:f>Q20+G20+R20</x:f>
        <x:v>2034482.955857383</x:v>
      </x:c>
      <x:c r="T20" s="78" t="n">
        <x:f>P20*(S20*(1-'Inputs'!$B$15))/(O20+S20*(1-'Inputs'!$B$15))</x:f>
        <x:v>49.69025012257512</x:v>
      </x:c>
      <x:c r="U20" s="78" t="n">
        <x:f>O20+S20*(1-'Inputs'!$B$17)</x:f>
        <x:v>22417907.443457704</x:v>
      </x:c>
      <x:c r="V20" s="78" t="n">
        <x:f>P20-T20</x:f>
        <x:v>503.07586390505367</x:v>
      </x:c>
      <x:c r="W20" s="79" t="n">
        <x:f>IF(U20&gt;0,V20/U20,0)</x:f>
        <x:v>0.00002244080386065953</x:v>
      </x:c>
      <x:c r="X20" s="80" t="n">
        <x:f>W20*('Inputs'!$B$6-AC20)</x:f>
        <x:v>22436.597790301097</x:v>
      </x:c>
      <x:c r="Y20" s="80" t="n">
        <x:f>2*V20</x:f>
        <x:v>1006.1517278101073</x:v>
      </x:c>
      <x:c r="Z20" s="80" t="n">
        <x:f>K20*'Inputs'!$B$16+(G20+R20)*J20*'Inputs'!$B$16</x:f>
        <x:v>1.3922097210902988</x:v>
      </x:c>
      <x:c r="AA20" s="80" t="n">
        <x:f>K20*(1+'Inputs'!$E$44)/2*'Inputs'!$B$17</x:f>
        <x:v>0.35590574746245723</x:v>
      </x:c>
      <x:c r="AB20" s="78" t="n">
        <x:f>(IF(J20&gt;0,K20*(1-'Inputs'!$E$44)/2/J20,0)+G20+R20)*'Inputs'!$B$17</x:f>
        <x:v>21316.46198204091</x:v>
      </x:c>
      <x:c r="AC20" s="78" t="n">
        <x:f>AC19+AB20</x:f>
        <x:v>187429.57625529615</x:v>
      </x:c>
      <x:c r="AD20" s="80" t="n">
        <x:f>Z20/(1+'Inputs'!$C$44)</x:f>
        <x:v>1.1137677768722392</x:v>
      </x:c>
      <x:c r="AE20" s="80" t="n">
        <x:f>Z20-AD20</x:f>
        <x:v>0.2784419442180597</x:v>
      </x:c>
      <x:c r="AF20" s="80" t="n">
        <x:f>D20*W20</x:f>
        <x:v>6.795928361685866</x:v>
      </x:c>
      <x:c r="AG20" s="80" t="n">
        <x:f>C20*W20</x:f>
        <x:v>15.857166177267048</x:v>
      </x:c>
      <x:c r="AH20" s="80" t="n">
        <x:f>2*'Inputs'!$B$8*'Inputs'!$C$44</x:f>
        <x:v>1250</x:v>
      </x:c>
      <x:c r="AI20" s="81" t="n">
        <x:f>IF(AH20&gt;0,(AE20+AF20)/AH20*365,0)</x:f>
        <x:v>2.0657161293239463</x:v>
      </x:c>
      <x:c r="AJ20" s="81" t="n">
        <x:f>IF('Inputs'!$B$44&gt;0,AG20/('Inputs'!$B$19*'Inputs'!$B$44)*365,0)</x:f>
        <x:v>0.5787865654702473</x:v>
      </x:c>
      <x:c r="AK20" s="81" t="n">
        <x:f>W20/MAX($W$4:W20)-1</x:f>
        <x:v>-0.9670215341799785</x:v>
      </x:c>
      <x:c r="AL20" s="83" t="n">
        <x:f>'Inputs'!$B$44</x:f>
        <x:v>1</x:v>
      </x:c>
      <x:c r="AM20" s="83" t="n">
        <x:f>'Inputs'!$C$44</x:f>
        <x:v>0.25</x:v>
      </x:c>
      <x:c r="AN20" s="83" t="n">
        <x:f>'Inputs'!$D$44</x:f>
        <x:v>0.2</x:v>
      </x:c>
      <x:c r="AO20" s="81" t="n">
        <x:f>'Inputs'!$E$44</x:f>
        <x:v>-0.2</x:v>
      </x:c>
    </x:row>
    <x:row r="21">
      <x:c r="A21" s="59" t="str">
        <x:v>No demand</x:v>
      </x:c>
      <x:c r="B21" s="59" t="n">
        <x:v>18</x:v>
      </x:c>
      <x:c r="C21" s="78" t="n">
        <x:f>(('Inputs'!$B$29*(3*18*'Inputs'!$B$12-18^2)/(2*'Inputs'!$B$12^2))-('Inputs'!$B$29*(3*17*'Inputs'!$B$12-17^2)/(2*'Inputs'!$B$12^2)))*'Inputs'!$B$44</x:f>
        <x:v>706296.9131169058</x:v>
      </x:c>
      <x:c r="D21" s="78" t="n">
        <x:f>IF('Inputs'!$C$44&gt;0,('Inputs'!$B$30*(3*18*'Inputs'!$B$12-18^2)/(2*'Inputs'!$B$12^2))-('Inputs'!$B$30*(3*17*'Inputs'!$B$12-17^2)/(2*'Inputs'!$B$12^2)),0)</x:f>
        <x:v>302698.67705010343</x:v>
      </x:c>
      <x:c r="E21" s="78" t="n">
        <x:f>C21+D21</x:f>
        <x:v>1008995.5901670093</x:v>
      </x:c>
      <x:c r="F21" s="78" t="n">
        <x:f>'Inputs'!$B$13*E21+(1-'Inputs'!$B$13)/'Inputs'!$B$14*SUM(E4:E21)</x:f>
        <x:v>462270.2597646299</x:v>
      </x:c>
      <x:c r="G21" s="78" t="n">
        <x:f>F21*'Inputs'!$F$44</x:f>
        <x:v>416043.2337881669</x:v>
      </x:c>
      <x:c r="H21" s="78" t="n">
        <x:f>U20</x:f>
        <x:v>22417907.443457704</x:v>
      </x:c>
      <x:c r="I21" s="78" t="n">
        <x:f>V20</x:f>
        <x:v>503.07586390505367</x:v>
      </x:c>
      <x:c r="J21" s="79" t="n">
        <x:f>IF(H21&gt;0,I21/H21,0)</x:f>
        <x:v>0.00002244080386065953</x:v>
      </x:c>
      <x:c r="K21" s="80" t="n">
        <x:f>(H21*J21+I21)*'Inputs'!$D$44*(1+'Inputs'!$G$44)^(B21/30)</x:f>
        <x:v>201.23034556202148</x:v>
      </x:c>
      <x:c r="L21" s="80" t="n">
        <x:f>MAX(0,K21*'Inputs'!$E$44)</x:f>
        <x:v>0</x:v>
      </x:c>
      <x:c r="M21" s="80" t="n">
        <x:f>MAX(0,-K21*'Inputs'!$E$44)</x:f>
        <x:v>40.2460691124043</x:v>
      </x:c>
      <x:c r="N21" s="78" t="n">
        <x:f>H21*(L21*(1-'Inputs'!$B$15))/(I21+L21*(1-'Inputs'!$B$15))</x:f>
        <x:v>0</x:v>
      </x:c>
      <x:c r="O21" s="78" t="n">
        <x:f>H21-N21</x:f>
        <x:v>22417907.443457704</x:v>
      </x:c>
      <x:c r="P21" s="78" t="n">
        <x:f>I21+L21*(1-'Inputs'!$B$17)</x:f>
        <x:v>503.07586390505367</x:v>
      </x:c>
      <x:c r="Q21" s="78" t="n">
        <x:f>IF(J21&gt;0,M21/J21,0)</x:f>
        <x:v>1793432.5954766166</x:v>
      </x:c>
      <x:c r="R21" s="78" t="n">
        <x:f>IF(B21='Inputs'!$H$44,'Inputs'!$B$27*'Inputs'!$I$44,0)</x:f>
        <x:v>0</x:v>
      </x:c>
      <x:c r="S21" s="78" t="n">
        <x:f>Q21+G21+R21</x:f>
        <x:v>2209475.8292647833</x:v>
      </x:c>
      <x:c r="T21" s="78" t="n">
        <x:f>P21*(S21*(1-'Inputs'!$B$15))/(O21+S21*(1-'Inputs'!$B$15))</x:f>
        <x:v>44.7228497777429</x:v>
      </x:c>
      <x:c r="U21" s="78" t="n">
        <x:f>O21+S21*(1-'Inputs'!$B$17)</x:f>
        <x:v>24618492.021900497</x:v>
      </x:c>
      <x:c r="V21" s="78" t="n">
        <x:f>P21-T21</x:f>
        <x:v>458.35301412731076</x:v>
      </x:c>
      <x:c r="W21" s="79" t="n">
        <x:f>IF(U21&gt;0,V21/U21,0)</x:f>
        <x:v>0.00001861824086217637</x:v>
      </x:c>
      <x:c r="X21" s="80" t="n">
        <x:f>W21*('Inputs'!$B$6-AC21)</x:f>
        <x:v>18614.31697682991</x:v>
      </x:c>
      <x:c r="Y21" s="80" t="n">
        <x:f>2*V21</x:f>
        <x:v>916.7060282546215</x:v>
      </x:c>
      <x:c r="Z21" s="80" t="n">
        <x:f>K21*'Inputs'!$B$16+(G21+R21)*J21*'Inputs'!$B$16</x:f>
        <x:v>1.2634001410140976</x:v>
      </x:c>
      <x:c r="AA21" s="80" t="n">
        <x:f>K21*(1+'Inputs'!$E$44)/2*'Inputs'!$B$17</x:f>
        <x:v>0.3239120250495316</x:v>
      </x:c>
      <x:c r="AB21" s="78" t="n">
        <x:f>(IF(J21&gt;0,K21*(1-'Inputs'!$E$44)/2/J21,0)+G21+R21)*'Inputs'!$B$17</x:f>
        <x:v>23325.31597673246</x:v>
      </x:c>
      <x:c r="AC21" s="78" t="n">
        <x:f>AC20+AB21</x:f>
        <x:v>210754.89223202862</x:v>
      </x:c>
      <x:c r="AD21" s="80" t="n">
        <x:f>Z21/(1+'Inputs'!$C$44)</x:f>
        <x:v>1.0107201128112782</x:v>
      </x:c>
      <x:c r="AE21" s="80" t="n">
        <x:f>Z21-AD21</x:f>
        <x:v>0.25268002820281943</x:v>
      </x:c>
      <x:c r="AF21" s="80" t="n">
        <x:f>D21*W21</x:f>
        <x:v>5.635716877980964</x:v>
      </x:c>
      <x:c r="AG21" s="80" t="n">
        <x:f>C21*W21</x:f>
        <x:v>13.150006048622208</x:v>
      </x:c>
      <x:c r="AH21" s="80" t="n">
        <x:f>2*'Inputs'!$B$8*'Inputs'!$C$44</x:f>
        <x:v>1250</x:v>
      </x:c>
      <x:c r="AI21" s="81" t="n">
        <x:f>IF(AH21&gt;0,(AE21+AF21)/AH21*365,0)</x:f>
        <x:v>1.7194118966056646</x:v>
      </x:c>
      <x:c r="AJ21" s="81" t="n">
        <x:f>IF('Inputs'!$B$44&gt;0,AG21/('Inputs'!$B$19*'Inputs'!$B$44)*365,0)</x:f>
        <x:v>0.4799752207747106</x:v>
      </x:c>
      <x:c r="AK21" s="81" t="n">
        <x:f>W21/MAX($W$4:W21)-1</x:f>
        <x:v>-0.9726390808584802</x:v>
      </x:c>
      <x:c r="AL21" s="83" t="n">
        <x:f>'Inputs'!$B$44</x:f>
        <x:v>1</x:v>
      </x:c>
      <x:c r="AM21" s="83" t="n">
        <x:f>'Inputs'!$C$44</x:f>
        <x:v>0.25</x:v>
      </x:c>
      <x:c r="AN21" s="83" t="n">
        <x:f>'Inputs'!$D$44</x:f>
        <x:v>0.2</x:v>
      </x:c>
      <x:c r="AO21" s="81" t="n">
        <x:f>'Inputs'!$E$44</x:f>
        <x:v>-0.2</x:v>
      </x:c>
    </x:row>
    <x:row r="22">
      <x:c r="A22" s="59" t="str">
        <x:v>No demand</x:v>
      </x:c>
      <x:c r="B22" s="59" t="n">
        <x:v>19</x:v>
      </x:c>
      <x:c r="C22" s="78" t="n">
        <x:f>(('Inputs'!$B$29*(3*19*'Inputs'!$B$12-19^2)/(2*'Inputs'!$B$12^2))-('Inputs'!$B$29*(3*18*'Inputs'!$B$12-18^2)/(2*'Inputs'!$B$12^2)))*'Inputs'!$B$44</x:f>
        <x:v>705971.805216739</x:v>
      </x:c>
      <x:c r="D22" s="78" t="n">
        <x:f>IF('Inputs'!$C$44&gt;0,('Inputs'!$B$30*(3*19*'Inputs'!$B$12-19^2)/(2*'Inputs'!$B$12^2))-('Inputs'!$B$30*(3*18*'Inputs'!$B$12-18^2)/(2*'Inputs'!$B$12^2)),0)</x:f>
        <x:v>302559.345092888</x:v>
      </x:c>
      <x:c r="E22" s="78" t="n">
        <x:f>C22+D22</x:f>
        <x:v>1008531.150309627</x:v>
      </x:c>
      <x:c r="F22" s="78" t="n">
        <x:f>'Inputs'!$B$13*E22+(1-'Inputs'!$B$13)/'Inputs'!$B$14*SUM(E4:E22)</x:f>
        <x:v>476584.95965471945</x:v>
      </x:c>
      <x:c r="G22" s="78" t="n">
        <x:f>F22*'Inputs'!$F$44</x:f>
        <x:v>428926.4636892475</x:v>
      </x:c>
      <x:c r="H22" s="78" t="n">
        <x:f>U21</x:f>
        <x:v>24618492.021900497</x:v>
      </x:c>
      <x:c r="I22" s="78" t="n">
        <x:f>V21</x:f>
        <x:v>458.35301412731076</x:v>
      </x:c>
      <x:c r="J22" s="79" t="n">
        <x:f>IF(H22&gt;0,I22/H22,0)</x:f>
        <x:v>0.00001861824086217637</x:v>
      </x:c>
      <x:c r="K22" s="80" t="n">
        <x:f>(H22*J22+I22)*'Inputs'!$D$44*(1+'Inputs'!$G$44)^(B22/30)</x:f>
        <x:v>183.3412056509243</x:v>
      </x:c>
      <x:c r="L22" s="80" t="n">
        <x:f>MAX(0,K22*'Inputs'!$E$44)</x:f>
        <x:v>0</x:v>
      </x:c>
      <x:c r="M22" s="80" t="n">
        <x:f>MAX(0,-K22*'Inputs'!$E$44)</x:f>
        <x:v>36.66824113018486</x:v>
      </x:c>
      <x:c r="N22" s="78" t="n">
        <x:f>H22*(L22*(1-'Inputs'!$B$15))/(I22+L22*(1-'Inputs'!$B$15))</x:f>
        <x:v>0</x:v>
      </x:c>
      <x:c r="O22" s="78" t="n">
        <x:f>H22-N22</x:f>
        <x:v>24618492.021900497</x:v>
      </x:c>
      <x:c r="P22" s="78" t="n">
        <x:f>I22+L22*(1-'Inputs'!$B$17)</x:f>
        <x:v>458.35301412731076</x:v>
      </x:c>
      <x:c r="Q22" s="78" t="n">
        <x:f>IF(J22&gt;0,M22/J22,0)</x:f>
        <x:v>1969479.3617520398</x:v>
      </x:c>
      <x:c r="R22" s="78" t="n">
        <x:f>IF(B22='Inputs'!$H$44,'Inputs'!$B$27*'Inputs'!$I$44,0)</x:f>
        <x:v>0</x:v>
      </x:c>
      <x:c r="S22" s="78" t="n">
        <x:f>Q22+G22+R22</x:f>
        <x:v>2398405.8254412874</x:v>
      </x:c>
      <x:c r="T22" s="78" t="n">
        <x:f>P22*(S22*(1-'Inputs'!$B$15))/(O22+S22*(1-'Inputs'!$B$15))</x:f>
        <x:v>40.318854878111914</x:v>
      </x:c>
      <x:c r="U22" s="78" t="n">
        <x:f>O22+S22*(1-'Inputs'!$B$17)</x:f>
        <x:v>27007246.31484504</x:v>
      </x:c>
      <x:c r="V22" s="78" t="n">
        <x:f>P22-T22</x:f>
        <x:v>418.03415924919886</x:v>
      </x:c>
      <x:c r="W22" s="79" t="n">
        <x:f>IF(U22&gt;0,V22/U22,0)</x:f>
        <x:v>0.000015478592462772428</x:v>
      </x:c>
      <x:c r="X22" s="80" t="n">
        <x:f>W22*('Inputs'!$B$6-AC22)</x:f>
        <x:v>15474.935531299148</x:v>
      </x:c>
      <x:c r="Y22" s="80" t="n">
        <x:f>2*V22</x:f>
        <x:v>836.0683184983977</x:v>
      </x:c>
      <x:c r="Z22" s="80" t="n">
        <x:f>K22*'Inputs'!$B$16+(G22+R22)*J22*'Inputs'!$B$16</x:f>
        <x:v>1.1479623711843137</x:v>
      </x:c>
      <x:c r="AA22" s="80" t="n">
        <x:f>K22*(1+'Inputs'!$E$44)/2*'Inputs'!$B$17</x:f>
        <x:v>0.2951166288143651</x:v>
      </x:c>
      <x:c r="AB22" s="78" t="n">
        <x:f>(IF(J22&gt;0,K22*(1-'Inputs'!$E$44)/2/J22,0)+G22+R22)*'Inputs'!$B$17</x:f>
        <x:v>25502.47303398538</x:v>
      </x:c>
      <x:c r="AC22" s="78" t="n">
        <x:f>AC21+AB22</x:f>
        <x:v>236257.365266014</x:v>
      </x:c>
      <x:c r="AD22" s="80" t="n">
        <x:f>Z22/(1+'Inputs'!$C$44)</x:f>
        <x:v>0.918369896947451</x:v>
      </x:c>
      <x:c r="AE22" s="80" t="n">
        <x:f>Z22-AD22</x:f>
        <x:v>0.2295924742368627</x:v>
      </x:c>
      <x:c r="AF22" s="80" t="n">
        <x:f>D22*W22</x:f>
        <x:v>4.683192798496139</x:v>
      </x:c>
      <x:c r="AG22" s="80" t="n">
        <x:f>C22*W22</x:f>
        <x:v>10.92744986315766</x:v>
      </x:c>
      <x:c r="AH22" s="80" t="n">
        <x:f>2*'Inputs'!$B$8*'Inputs'!$C$44</x:f>
        <x:v>1250</x:v>
      </x:c>
      <x:c r="AI22" s="81" t="n">
        <x:f>IF(AH22&gt;0,(AE22+AF22)/AH22*365,0)</x:f>
        <x:v>1.4345332996380362</x:v>
      </x:c>
      <x:c r="AJ22" s="81" t="n">
        <x:f>IF('Inputs'!$B$44&gt;0,AG22/('Inputs'!$B$19*'Inputs'!$B$44)*365,0)</x:f>
        <x:v>0.39885192000525455</x:v>
      </x:c>
      <x:c r="AK22" s="81" t="n">
        <x:f>W22/MAX($W$4:W22)-1</x:f>
        <x:v>-0.9772530326611668</x:v>
      </x:c>
      <x:c r="AL22" s="83" t="n">
        <x:f>'Inputs'!$B$44</x:f>
        <x:v>1</x:v>
      </x:c>
      <x:c r="AM22" s="83" t="n">
        <x:f>'Inputs'!$C$44</x:f>
        <x:v>0.25</x:v>
      </x:c>
      <x:c r="AN22" s="83" t="n">
        <x:f>'Inputs'!$D$44</x:f>
        <x:v>0.2</x:v>
      </x:c>
      <x:c r="AO22" s="81" t="n">
        <x:f>'Inputs'!$E$44</x:f>
        <x:v>-0.2</x:v>
      </x:c>
    </x:row>
    <x:row r="23">
      <x:c r="A23" s="59" t="str">
        <x:v>No demand</x:v>
      </x:c>
      <x:c r="B23" s="59" t="n">
        <x:v>20</x:v>
      </x:c>
      <x:c r="C23" s="78" t="n">
        <x:f>(('Inputs'!$B$29*(3*20*'Inputs'!$B$12-20^2)/(2*'Inputs'!$B$12^2))-('Inputs'!$B$29*(3*19*'Inputs'!$B$12-19^2)/(2*'Inputs'!$B$12^2)))*'Inputs'!$B$44</x:f>
        <x:v>705646.6973165702</x:v>
      </x:c>
      <x:c r="D23" s="78" t="n">
        <x:f>IF('Inputs'!$C$44&gt;0,('Inputs'!$B$30*(3*20*'Inputs'!$B$12-20^2)/(2*'Inputs'!$B$12^2))-('Inputs'!$B$30*(3*19*'Inputs'!$B$12-19^2)/(2*'Inputs'!$B$12^2)),0)</x:f>
        <x:v>302420.01313567255</x:v>
      </x:c>
      <x:c r="E23" s="78" t="n">
        <x:f>C23+D23</x:f>
        <x:v>1008066.7104522428</x:v>
      </x:c>
      <x:c r="F23" s="78" t="n">
        <x:f>'Inputs'!$B$13*E23+(1-'Inputs'!$B$13)/'Inputs'!$B$14*SUM(E4:E23)</x:f>
        <x:v>490893.02468970325</x:v>
      </x:c>
      <x:c r="G23" s="78" t="n">
        <x:f>F23*'Inputs'!$F$44</x:f>
        <x:v>441803.72222073295</x:v>
      </x:c>
      <x:c r="H23" s="78" t="n">
        <x:f>U22</x:f>
        <x:v>27007246.31484504</x:v>
      </x:c>
      <x:c r="I23" s="78" t="n">
        <x:f>V22</x:f>
        <x:v>418.03415924919886</x:v>
      </x:c>
      <x:c r="J23" s="79" t="n">
        <x:f>IF(H23&gt;0,I23/H23,0)</x:f>
        <x:v>0.000015478592462772428</x:v>
      </x:c>
      <x:c r="K23" s="80" t="n">
        <x:f>(H23*J23+I23)*'Inputs'!$D$44*(1+'Inputs'!$G$44)^(B23/30)</x:f>
        <x:v>167.21366369967956</x:v>
      </x:c>
      <x:c r="L23" s="80" t="n">
        <x:f>MAX(0,K23*'Inputs'!$E$44)</x:f>
        <x:v>0</x:v>
      </x:c>
      <x:c r="M23" s="80" t="n">
        <x:f>MAX(0,-K23*'Inputs'!$E$44)</x:f>
        <x:v>33.44273273993591</x:v>
      </x:c>
      <x:c r="N23" s="78" t="n">
        <x:f>H23*(L23*(1-'Inputs'!$B$15))/(I23+L23*(1-'Inputs'!$B$15))</x:f>
        <x:v>0</x:v>
      </x:c>
      <x:c r="O23" s="78" t="n">
        <x:f>H23-N23</x:f>
        <x:v>27007246.31484504</x:v>
      </x:c>
      <x:c r="P23" s="78" t="n">
        <x:f>I23+L23*(1-'Inputs'!$B$17)</x:f>
        <x:v>418.03415924919886</x:v>
      </x:c>
      <x:c r="Q23" s="78" t="n">
        <x:f>IF(J23&gt;0,M23/J23,0)</x:f>
        <x:v>2160579.7051876034</x:v>
      </x:c>
      <x:c r="R23" s="78" t="n">
        <x:f>IF(B23='Inputs'!$H$44,'Inputs'!$B$27*'Inputs'!$I$44,0)</x:f>
        <x:v>0</x:v>
      </x:c>
      <x:c r="S23" s="78" t="n">
        <x:f>Q23+G23+R23</x:f>
        <x:v>2602383.427408336</x:v>
      </x:c>
      <x:c r="T23" s="78" t="n">
        <x:f>P23*(S23*(1-'Inputs'!$B$15))/(O23+S23*(1-'Inputs'!$B$15))</x:f>
        <x:v>36.40551188349204</x:v>
      </x:c>
      <x:c r="U23" s="78" t="n">
        <x:f>O23+S23*(1-'Inputs'!$B$17)</x:f>
        <x:v>29599157.37433624</x:v>
      </x:c>
      <x:c r="V23" s="78" t="n">
        <x:f>P23-T23</x:f>
        <x:v>381.6286473657068</x:v>
      </x:c>
      <x:c r="W23" s="79" t="n">
        <x:f>IF(U23&gt;0,V23/U23,0)</x:f>
        <x:v>0.000012893226740859707</x:v>
      </x:c>
      <x:c r="X23" s="80" t="n">
        <x:f>W23*('Inputs'!$B$6-AC23)</x:f>
        <x:v>12889.821398514106</x:v>
      </x:c>
      <x:c r="Y23" s="80" t="n">
        <x:f>2*V23</x:f>
        <x:v>763.2572947314136</x:v>
      </x:c>
      <x:c r="Z23" s="80" t="n">
        <x:f>K23*'Inputs'!$B$16+(G23+R23)*J23*'Inputs'!$B$16</x:f>
        <x:v>1.0443129807868212</x:v>
      </x:c>
      <x:c r="AA23" s="80" t="n">
        <x:f>K23*(1+'Inputs'!$E$44)/2*'Inputs'!$B$17</x:f>
        <x:v>0.26915680273590276</x:v>
      </x:c>
      <x:c r="AB23" s="78" t="n">
        <x:f>(IF(J23&gt;0,K23*(1-'Inputs'!$E$44)/2/J23,0)+G23+R23)*'Inputs'!$B$17</x:f>
        <x:v>27861.339387458927</x:v>
      </x:c>
      <x:c r="AC23" s="78" t="n">
        <x:f>AC22+AB23</x:f>
        <x:v>264118.70465347293</x:v>
      </x:c>
      <x:c r="AD23" s="80" t="n">
        <x:f>Z23/(1+'Inputs'!$C$44)</x:f>
        <x:v>0.835450384629457</x:v>
      </x:c>
      <x:c r="AE23" s="80" t="n">
        <x:f>Z23-AD23</x:f>
        <x:v>0.20886259615736424</x:v>
      </x:c>
      <x:c r="AF23" s="80" t="n">
        <x:f>D23*W23</x:f>
        <x:v>3.8991698003319972</x:v>
      </x:c>
      <x:c r="AG23" s="80" t="n">
        <x:f>C23*W23</x:f>
        <x:v>9.098062867441339</x:v>
      </x:c>
      <x:c r="AH23" s="80" t="n">
        <x:f>2*'Inputs'!$B$8*'Inputs'!$C$44</x:f>
        <x:v>1250</x:v>
      </x:c>
      <x:c r="AI23" s="81" t="n">
        <x:f>IF(AH23&gt;0,(AE23+AF23)/AH23*365,0)</x:f>
        <x:v>1.1995454597748936</x:v>
      </x:c>
      <x:c r="AJ23" s="81" t="n">
        <x:f>IF('Inputs'!$B$44&gt;0,AG23/('Inputs'!$B$19*'Inputs'!$B$44)*365,0)</x:f>
        <x:v>0.33207929466160885</x:v>
      </x:c>
      <x:c r="AK23" s="81" t="n">
        <x:f>W23/MAX($W$4:W23)-1</x:f>
        <x:v>-0.9810524239673679</x:v>
      </x:c>
      <x:c r="AL23" s="83" t="n">
        <x:f>'Inputs'!$B$44</x:f>
        <x:v>1</x:v>
      </x:c>
      <x:c r="AM23" s="83" t="n">
        <x:f>'Inputs'!$C$44</x:f>
        <x:v>0.25</x:v>
      </x:c>
      <x:c r="AN23" s="83" t="n">
        <x:f>'Inputs'!$D$44</x:f>
        <x:v>0.2</x:v>
      </x:c>
      <x:c r="AO23" s="81" t="n">
        <x:f>'Inputs'!$E$44</x:f>
        <x:v>-0.2</x:v>
      </x:c>
    </x:row>
    <x:row r="24">
      <x:c r="A24" s="59" t="str">
        <x:v>No demand</x:v>
      </x:c>
      <x:c r="B24" s="59" t="n">
        <x:v>21</x:v>
      </x:c>
      <x:c r="C24" s="78" t="n">
        <x:f>(('Inputs'!$B$29*(3*21*'Inputs'!$B$12-21^2)/(2*'Inputs'!$B$12^2))-('Inputs'!$B$29*(3*20*'Inputs'!$B$12-20^2)/(2*'Inputs'!$B$12^2)))*'Inputs'!$B$44</x:f>
        <x:v>705321.5894164015</x:v>
      </x:c>
      <x:c r="D24" s="78" t="n">
        <x:f>IF('Inputs'!$C$44&gt;0,('Inputs'!$B$30*(3*21*'Inputs'!$B$12-21^2)/(2*'Inputs'!$B$12^2))-('Inputs'!$B$30*(3*20*'Inputs'!$B$12-20^2)/(2*'Inputs'!$B$12^2)),0)</x:f>
        <x:v>302280.6811784571</x:v>
      </x:c>
      <x:c r="E24" s="78" t="n">
        <x:f>C24+D24</x:f>
        <x:v>1007602.2705948586</x:v>
      </x:c>
      <x:c r="F24" s="78" t="n">
        <x:f>'Inputs'!$B$13*E24+(1-'Inputs'!$B$13)/'Inputs'!$B$14*SUM(E4:E24)</x:f>
        <x:v>505194.45486958156</x:v>
      </x:c>
      <x:c r="G24" s="78" t="n">
        <x:f>F24*'Inputs'!$F$44</x:f>
        <x:v>454675.0093826234</x:v>
      </x:c>
      <x:c r="H24" s="78" t="n">
        <x:f>U23</x:f>
        <x:v>29599157.37433624</x:v>
      </x:c>
      <x:c r="I24" s="78" t="n">
        <x:f>V23</x:f>
        <x:v>381.6286473657068</x:v>
      </x:c>
      <x:c r="J24" s="79" t="n">
        <x:f>IF(H24&gt;0,I24/H24,0)</x:f>
        <x:v>0.000012893226740859707</x:v>
      </x:c>
      <x:c r="K24" s="80" t="n">
        <x:f>(H24*J24+I24)*'Inputs'!$D$44*(1+'Inputs'!$G$44)^(B24/30)</x:f>
        <x:v>152.65145894628273</x:v>
      </x:c>
      <x:c r="L24" s="80" t="n">
        <x:f>MAX(0,K24*'Inputs'!$E$44)</x:f>
        <x:v>0</x:v>
      </x:c>
      <x:c r="M24" s="80" t="n">
        <x:f>MAX(0,-K24*'Inputs'!$E$44)</x:f>
        <x:v>30.530291789256548</x:v>
      </x:c>
      <x:c r="N24" s="78" t="n">
        <x:f>H24*(L24*(1-'Inputs'!$B$15))/(I24+L24*(1-'Inputs'!$B$15))</x:f>
        <x:v>0</x:v>
      </x:c>
      <x:c r="O24" s="78" t="n">
        <x:f>H24-N24</x:f>
        <x:v>29599157.37433624</x:v>
      </x:c>
      <x:c r="P24" s="78" t="n">
        <x:f>I24+L24*(1-'Inputs'!$B$17)</x:f>
        <x:v>381.6286473657068</x:v>
      </x:c>
      <x:c r="Q24" s="78" t="n">
        <x:f>IF(J24&gt;0,M24/J24,0)</x:f>
        <x:v>2367932.5899468996</x:v>
      </x:c>
      <x:c r="R24" s="78" t="n">
        <x:f>IF(B24='Inputs'!$H$44,'Inputs'!$B$27*'Inputs'!$I$44,0)</x:f>
        <x:v>0</x:v>
      </x:c>
      <x:c r="S24" s="78" t="n">
        <x:f>Q24+G24+R24</x:f>
        <x:v>2822607.599329523</x:v>
      </x:c>
      <x:c r="T24" s="78" t="n">
        <x:f>P24*(S24*(1-'Inputs'!$B$15))/(O24+S24*(1-'Inputs'!$B$15))</x:f>
        <x:v>32.92064026543119</x:v>
      </x:c>
      <x:c r="U24" s="78" t="n">
        <x:f>O24+S24*(1-'Inputs'!$B$17)</x:f>
        <x:v>32410406.391777113</x:v>
      </x:c>
      <x:c r="V24" s="78" t="n">
        <x:f>P24-T24</x:f>
        <x:v>348.7080071002756</x:v>
      </x:c>
      <x:c r="W24" s="79" t="n">
        <x:f>IF(U24&gt;0,V24/U24,0)</x:f>
        <x:v>0.000010759137139013067</x:v>
      </x:c>
      <x:c r="X24" s="80" t="n">
        <x:f>W24*('Inputs'!$B$6-AC24)</x:f>
        <x:v>10755.968195543317</x:v>
      </x:c>
      <x:c r="Y24" s="80" t="n">
        <x:f>2*V24</x:f>
        <x:v>697.4160142005512</x:v>
      </x:c>
      <x:c r="Z24" s="80" t="n">
        <x:f>K24*'Inputs'!$B$16+(G24+R24)*J24*'Inputs'!$B$16</x:f>
        <x:v>0.9510821216139325</x:v>
      </x:c>
      <x:c r="AA24" s="80" t="n">
        <x:f>K24*(1+'Inputs'!$E$44)/2*'Inputs'!$B$17</x:f>
        <x:v>0.245716634118765</x:v>
      </x:c>
      <x:c r="AB24" s="78" t="n">
        <x:f>(IF(J24&gt;0,K24*(1-'Inputs'!$E$44)/2/J24,0)+G24+R24)*'Inputs'!$B$17</x:f>
        <x:v>30416.389453614982</x:v>
      </x:c>
      <x:c r="AC24" s="78" t="n">
        <x:f>AC23+AB24</x:f>
        <x:v>294535.09410708793</x:v>
      </x:c>
      <x:c r="AD24" s="80" t="n">
        <x:f>Z24/(1+'Inputs'!$C$44)</x:f>
        <x:v>0.760865697291146</x:v>
      </x:c>
      <x:c r="AE24" s="80" t="n">
        <x:f>Z24-AD24</x:f>
        <x:v>0.19021642432278651</x:v>
      </x:c>
      <x:c r="AF24" s="80" t="n">
        <x:f>D24*W24</x:f>
        <x:v>3.2522793032733057</x:v>
      </x:c>
      <x:c r="AG24" s="80" t="n">
        <x:f>C24*W24</x:f>
        <x:v>7.58865170763773</x:v>
      </x:c>
      <x:c r="AH24" s="80" t="n">
        <x:f>2*'Inputs'!$B$8*'Inputs'!$C$44</x:f>
        <x:v>1250</x:v>
      </x:c>
      <x:c r="AI24" s="81" t="n">
        <x:f>IF(AH24&gt;0,(AE24+AF24)/AH24*365,0)</x:f>
        <x:v>1.005208752458059</x:v>
      </x:c>
      <x:c r="AJ24" s="81" t="n">
        <x:f>IF('Inputs'!$B$44&gt;0,AG24/('Inputs'!$B$19*'Inputs'!$B$44)*365,0)</x:f>
        <x:v>0.27698578732877716</x:v>
      </x:c>
      <x:c r="AK24" s="81" t="n">
        <x:f>W24/MAX($W$4:W24)-1</x:f>
        <x:v>-0.9841886307373376</x:v>
      </x:c>
      <x:c r="AL24" s="83" t="n">
        <x:f>'Inputs'!$B$44</x:f>
        <x:v>1</x:v>
      </x:c>
      <x:c r="AM24" s="83" t="n">
        <x:f>'Inputs'!$C$44</x:f>
        <x:v>0.25</x:v>
      </x:c>
      <x:c r="AN24" s="83" t="n">
        <x:f>'Inputs'!$D$44</x:f>
        <x:v>0.2</x:v>
      </x:c>
      <x:c r="AO24" s="81" t="n">
        <x:f>'Inputs'!$E$44</x:f>
        <x:v>-0.2</x:v>
      </x:c>
    </x:row>
    <x:row r="25">
      <x:c r="A25" s="59" t="str">
        <x:v>No demand</x:v>
      </x:c>
      <x:c r="B25" s="59" t="n">
        <x:v>22</x:v>
      </x:c>
      <x:c r="C25" s="78" t="n">
        <x:f>(('Inputs'!$B$29*(3*22*'Inputs'!$B$12-22^2)/(2*'Inputs'!$B$12^2))-('Inputs'!$B$29*(3*21*'Inputs'!$B$12-21^2)/(2*'Inputs'!$B$12^2)))*'Inputs'!$B$44</x:f>
        <x:v>704996.4815162309</x:v>
      </x:c>
      <x:c r="D25" s="78" t="n">
        <x:f>IF('Inputs'!$C$44&gt;0,('Inputs'!$B$30*(3*22*'Inputs'!$B$12-22^2)/(2*'Inputs'!$B$12^2))-('Inputs'!$B$30*(3*21*'Inputs'!$B$12-21^2)/(2*'Inputs'!$B$12^2)),0)</x:f>
        <x:v>302141.3492212426</x:v>
      </x:c>
      <x:c r="E25" s="78" t="n">
        <x:f>C25+D25</x:f>
        <x:v>1007137.8307374734</x:v>
      </x:c>
      <x:c r="F25" s="78" t="n">
        <x:f>'Inputs'!$B$13*E25+(1-'Inputs'!$B$13)/'Inputs'!$B$14*SUM(E4:E25)</x:f>
        <x:v>519489.25019435416</x:v>
      </x:c>
      <x:c r="G25" s="78" t="n">
        <x:f>F25*'Inputs'!$F$44</x:f>
        <x:v>467540.32517491875</x:v>
      </x:c>
      <x:c r="H25" s="78" t="n">
        <x:f>U24</x:f>
        <x:v>32410406.391777113</x:v>
      </x:c>
      <x:c r="I25" s="78" t="n">
        <x:f>V24</x:f>
        <x:v>348.7080071002756</x:v>
      </x:c>
      <x:c r="J25" s="79" t="n">
        <x:f>IF(H25&gt;0,I25/H25,0)</x:f>
        <x:v>0.000010759137139013067</x:v>
      </x:c>
      <x:c r="K25" s="80" t="n">
        <x:f>(H25*J25+I25)*'Inputs'!$D$44*(1+'Inputs'!$G$44)^(B25/30)</x:f>
        <x:v>139.48320284011024</x:v>
      </x:c>
      <x:c r="L25" s="80" t="n">
        <x:f>MAX(0,K25*'Inputs'!$E$44)</x:f>
        <x:v>0</x:v>
      </x:c>
      <x:c r="M25" s="80" t="n">
        <x:f>MAX(0,-K25*'Inputs'!$E$44)</x:f>
        <x:v>27.89664056802205</x:v>
      </x:c>
      <x:c r="N25" s="78" t="n">
        <x:f>H25*(L25*(1-'Inputs'!$B$15))/(I25+L25*(1-'Inputs'!$B$15))</x:f>
        <x:v>0</x:v>
      </x:c>
      <x:c r="O25" s="78" t="n">
        <x:f>H25-N25</x:f>
        <x:v>32410406.391777113</x:v>
      </x:c>
      <x:c r="P25" s="78" t="n">
        <x:f>I25+L25*(1-'Inputs'!$B$17)</x:f>
        <x:v>348.7080071002756</x:v>
      </x:c>
      <x:c r="Q25" s="78" t="n">
        <x:f>IF(J25&gt;0,M25/J25,0)</x:f>
        <x:v>2592832.5113421693</x:v>
      </x:c>
      <x:c r="R25" s="78" t="n">
        <x:f>IF(B25='Inputs'!$H$44,'Inputs'!$B$27*'Inputs'!$I$44,0)</x:f>
        <x:v>0</x:v>
      </x:c>
      <x:c r="S25" s="78" t="n">
        <x:f>Q25+G25+R25</x:f>
        <x:v>3060372.836517088</x:v>
      </x:c>
      <x:c r="T25" s="78" t="n">
        <x:f>P25*(S25*(1-'Inputs'!$B$15))/(O25+S25*(1-'Inputs'!$B$15))</x:f>
        <x:v>29.81093442045032</x:v>
      </x:c>
      <x:c r="U25" s="78" t="n">
        <x:f>O25+S25*(1-'Inputs'!$B$17)</x:f>
        <x:v>35458463.844646245</x:v>
      </x:c>
      <x:c r="V25" s="78" t="n">
        <x:f>P25-T25</x:f>
        <x:v>318.89707267982527</x:v>
      </x:c>
      <x:c r="W25" s="79" t="n">
        <x:f>IF(U25&gt;0,V25/U25,0)</x:f>
        <x:v>0.000008993538864994415</x:v>
      </x:c>
      <x:c r="X25" s="80" t="n">
        <x:f>W25*('Inputs'!$B$6-AC25)</x:f>
        <x:v>8990.59151732144</x:v>
      </x:c>
      <x:c r="Y25" s="80" t="n">
        <x:f>2*V25</x:f>
        <x:v>637.7941453596505</x:v>
      </x:c>
      <x:c r="Z25" s="80" t="n">
        <x:f>K25*'Inputs'!$B$16+(G25+R25)*J25*'Inputs'!$B$16</x:f>
        <x:v>0.8670811999001157</x:v>
      </x:c>
      <x:c r="AA25" s="80" t="n">
        <x:f>K25*(1+'Inputs'!$E$44)/2*'Inputs'!$B$17</x:f>
        <x:v>0.22452024602029821</x:v>
      </x:c>
      <x:c r="AB25" s="78" t="n">
        <x:f>(IF(J25&gt;0,K25*(1-'Inputs'!$E$44)/2/J25,0)+G25+R25)*'Inputs'!$B$17</x:f>
        <x:v>33183.250942460465</x:v>
      </x:c>
      <x:c r="AC25" s="78" t="n">
        <x:f>AC24+AB25</x:f>
        <x:v>327718.3450495484</x:v>
      </x:c>
      <x:c r="AD25" s="80" t="n">
        <x:f>Z25/(1+'Inputs'!$C$44)</x:f>
        <x:v>0.6936649599200926</x:v>
      </x:c>
      <x:c r="AE25" s="80" t="n">
        <x:f>Z25-AD25</x:f>
        <x:v>0.1734162399800231</x:v>
      </x:c>
      <x:c r="AF25" s="80" t="n">
        <x:f>D25*W25</x:f>
        <x:v>2.717319966943095</x:v>
      </x:c>
      <x:c r="AG25" s="80" t="n">
        <x:f>C25*W25</x:f>
        <x:v>6.340413256200539</x:v>
      </x:c>
      <x:c r="AH25" s="80" t="n">
        <x:f>2*'Inputs'!$B$8*'Inputs'!$C$44</x:f>
        <x:v>1250</x:v>
      </x:c>
      <x:c r="AI25" s="81" t="n">
        <x:f>IF(AH25&gt;0,(AE25+AF25)/AH25*365,0)</x:f>
        <x:v>0.8440949724215505</x:v>
      </x:c>
      <x:c r="AJ25" s="81" t="n">
        <x:f>IF('Inputs'!$B$44&gt;0,AG25/('Inputs'!$B$19*'Inputs'!$B$44)*365,0)</x:f>
        <x:v>0.23142508385131969</x:v>
      </x:c>
      <x:c r="AK25" s="81" t="n">
        <x:f>W25/MAX($W$4:W25)-1</x:f>
        <x:v>-0.9867833115113935</x:v>
      </x:c>
      <x:c r="AL25" s="83" t="n">
        <x:f>'Inputs'!$B$44</x:f>
        <x:v>1</x:v>
      </x:c>
      <x:c r="AM25" s="83" t="n">
        <x:f>'Inputs'!$C$44</x:f>
        <x:v>0.25</x:v>
      </x:c>
      <x:c r="AN25" s="83" t="n">
        <x:f>'Inputs'!$D$44</x:f>
        <x:v>0.2</x:v>
      </x:c>
      <x:c r="AO25" s="81" t="n">
        <x:f>'Inputs'!$E$44</x:f>
        <x:v>-0.2</x:v>
      </x:c>
    </x:row>
    <x:row r="26">
      <x:c r="A26" s="59" t="str">
        <x:v>No demand</x:v>
      </x:c>
      <x:c r="B26" s="59" t="n">
        <x:v>23</x:v>
      </x:c>
      <x:c r="C26" s="78" t="n">
        <x:f>(('Inputs'!$B$29*(3*23*'Inputs'!$B$12-23^2)/(2*'Inputs'!$B$12^2))-('Inputs'!$B$29*(3*22*'Inputs'!$B$12-22^2)/(2*'Inputs'!$B$12^2)))*'Inputs'!$B$44</x:f>
        <x:v>704671.373616064</x:v>
      </x:c>
      <x:c r="D26" s="78" t="n">
        <x:f>IF('Inputs'!$C$44&gt;0,('Inputs'!$B$30*(3*23*'Inputs'!$B$12-23^2)/(2*'Inputs'!$B$12^2))-('Inputs'!$B$30*(3*22*'Inputs'!$B$12-22^2)/(2*'Inputs'!$B$12^2)),0)</x:f>
        <x:v>302002.01726402715</x:v>
      </x:c>
      <x:c r="E26" s="78" t="n">
        <x:f>C26+D26</x:f>
        <x:v>1006673.3908800911</x:v>
      </x:c>
      <x:c r="F26" s="78" t="n">
        <x:f>'Inputs'!$B$13*E26+(1-'Inputs'!$B$13)/'Inputs'!$B$14*SUM(E4:E26)</x:f>
        <x:v>533777.4106640219</x:v>
      </x:c>
      <x:c r="G26" s="78" t="n">
        <x:f>F26*'Inputs'!$F$44</x:f>
        <x:v>480399.6695976197</x:v>
      </x:c>
      <x:c r="H26" s="78" t="n">
        <x:f>U25</x:f>
        <x:v>35458463.844646245</x:v>
      </x:c>
      <x:c r="I26" s="78" t="n">
        <x:f>V25</x:f>
        <x:v>318.89707267982527</x:v>
      </x:c>
      <x:c r="J26" s="79" t="n">
        <x:f>IF(H26&gt;0,I26/H26,0)</x:f>
        <x:v>0.000008993538864994415</x:v>
      </x:c>
      <x:c r="K26" s="80" t="n">
        <x:f>(H26*J26+I26)*'Inputs'!$D$44*(1+'Inputs'!$G$44)^(B26/30)</x:f>
        <x:v>127.55882907193012</x:v>
      </x:c>
      <x:c r="L26" s="80" t="n">
        <x:f>MAX(0,K26*'Inputs'!$E$44)</x:f>
        <x:v>0</x:v>
      </x:c>
      <x:c r="M26" s="80" t="n">
        <x:f>MAX(0,-K26*'Inputs'!$E$44)</x:f>
        <x:v>25.511765814386024</x:v>
      </x:c>
      <x:c r="N26" s="78" t="n">
        <x:f>H26*(L26*(1-'Inputs'!$B$15))/(I26+L26*(1-'Inputs'!$B$15))</x:f>
        <x:v>0</x:v>
      </x:c>
      <x:c r="O26" s="78" t="n">
        <x:f>H26-N26</x:f>
        <x:v>35458463.844646245</x:v>
      </x:c>
      <x:c r="P26" s="78" t="n">
        <x:f>I26+L26*(1-'Inputs'!$B$17)</x:f>
        <x:v>318.89707267982527</x:v>
      </x:c>
      <x:c r="Q26" s="78" t="n">
        <x:f>IF(J26&gt;0,M26/J26,0)</x:f>
        <x:v>2836677.1075716997</x:v>
      </x:c>
      <x:c r="R26" s="78" t="n">
        <x:f>IF(B26='Inputs'!$H$44,'Inputs'!$B$27*'Inputs'!$I$44,0)</x:f>
        <x:v>0</x:v>
      </x:c>
      <x:c r="S26" s="78" t="n">
        <x:f>Q26+G26+R26</x:f>
        <x:v>3317076.7771693193</x:v>
      </x:c>
      <x:c r="T26" s="78" t="n">
        <x:f>P26*(S26*(1-'Inputs'!$B$15))/(O26+S26*(1-'Inputs'!$B$15))</x:f>
        <x:v>27.030561560840646</x:v>
      </x:c>
      <x:c r="U26" s="78" t="n">
        <x:f>O26+S26*(1-'Inputs'!$B$17)</x:f>
        <x:v>38762192.224321924</x:v>
      </x:c>
      <x:c r="V26" s="78" t="n">
        <x:f>P26-T26</x:f>
        <x:v>291.86651111898465</x:v>
      </x:c>
      <x:c r="W26" s="79" t="n">
        <x:f>IF(U26&gt;0,V26/U26,0)</x:f>
        <x:v>0.00000752966987599449</x:v>
      </x:c>
      <x:c r="X26" s="80" t="n">
        <x:f>W26*('Inputs'!$B$6-AC26)</x:f>
        <x:v>7526.929850647923</x:v>
      </x:c>
      <x:c r="Y26" s="80" t="n">
        <x:f>2*V26</x:f>
        <x:v>583.7330222379693</x:v>
      </x:c>
      <x:c r="Z26" s="80" t="n">
        <x:f>K26*'Inputs'!$B$16+(G26+R26)*J26*'Inputs'!$B$16</x:f>
        <x:v>0.7912759330271208</x:v>
      </x:c>
      <x:c r="AA26" s="80" t="n">
        <x:f>K26*(1+'Inputs'!$E$44)/2*'Inputs'!$B$17</x:f>
        <x:v>0.2053260830131672</x:v>
      </x:c>
      <x:c r="AB26" s="78" t="n">
        <x:f>(IF(J26&gt;0,K26*(1-'Inputs'!$E$44)/2/J26,0)+G26+R26)*'Inputs'!$B$17</x:f>
        <x:v>36178.79674974938</x:v>
      </x:c>
      <x:c r="AC26" s="78" t="n">
        <x:f>AC25+AB26</x:f>
        <x:v>363897.1417992978</x:v>
      </x:c>
      <x:c r="AD26" s="80" t="n">
        <x:f>Z26/(1+'Inputs'!$C$44)</x:f>
        <x:v>0.6330207464216967</x:v>
      </x:c>
      <x:c r="AE26" s="80" t="n">
        <x:f>Z26-AD26</x:f>
        <x:v>0.15825518660542415</x:v>
      </x:c>
      <x:c r="AF26" s="80" t="n">
        <x:f>D26*W26</x:f>
        <x:v>2.273975491882513</x:v>
      </x:c>
      <x:c r="AG26" s="80" t="n">
        <x:f>C26*W26</x:f>
        <x:v>5.305942814392535</x:v>
      </x:c>
      <x:c r="AH26" s="80" t="n">
        <x:f>2*'Inputs'!$B$8*'Inputs'!$C$44</x:f>
        <x:v>1250</x:v>
      </x:c>
      <x:c r="AI26" s="81" t="n">
        <x:f>IF(AH26&gt;0,(AE26+AF26)/AH26*365,0)</x:f>
        <x:v>0.7102113581184776</x:v>
      </x:c>
      <x:c r="AJ26" s="81" t="n">
        <x:f>IF('Inputs'!$B$44&gt;0,AG26/('Inputs'!$B$19*'Inputs'!$B$44)*365,0)</x:f>
        <x:v>0.1936669127253275</x:v>
      </x:c>
      <x:c r="AK26" s="81" t="n">
        <x:f>W26/MAX($W$4:W26)-1</x:f>
        <x:v>-0.9889345781825201</x:v>
      </x:c>
      <x:c r="AL26" s="83" t="n">
        <x:f>'Inputs'!$B$44</x:f>
        <x:v>1</x:v>
      </x:c>
      <x:c r="AM26" s="83" t="n">
        <x:f>'Inputs'!$C$44</x:f>
        <x:v>0.25</x:v>
      </x:c>
      <x:c r="AN26" s="83" t="n">
        <x:f>'Inputs'!$D$44</x:f>
        <x:v>0.2</x:v>
      </x:c>
      <x:c r="AO26" s="81" t="n">
        <x:f>'Inputs'!$E$44</x:f>
        <x:v>-0.2</x:v>
      </x:c>
    </x:row>
    <x:row r="27">
      <x:c r="A27" s="59" t="str">
        <x:v>No demand</x:v>
      </x:c>
      <x:c r="B27" s="59" t="n">
        <x:v>24</x:v>
      </x:c>
      <x:c r="C27" s="78" t="n">
        <x:f>(('Inputs'!$B$29*(3*24*'Inputs'!$B$12-24^2)/(2*'Inputs'!$B$12^2))-('Inputs'!$B$29*(3*23*'Inputs'!$B$12-23^2)/(2*'Inputs'!$B$12^2)))*'Inputs'!$B$44</x:f>
        <x:v>704346.2657158952</x:v>
      </x:c>
      <x:c r="D27" s="78" t="n">
        <x:f>IF('Inputs'!$C$44&gt;0,('Inputs'!$B$30*(3*24*'Inputs'!$B$12-24^2)/(2*'Inputs'!$B$12^2))-('Inputs'!$B$30*(3*23*'Inputs'!$B$12-23^2)/(2*'Inputs'!$B$12^2)),0)</x:f>
        <x:v>301862.6853068117</x:v>
      </x:c>
      <x:c r="E27" s="78" t="n">
        <x:f>C27+D27</x:f>
        <x:v>1006208.9510227069</x:v>
      </x:c>
      <x:c r="F27" s="78" t="n">
        <x:f>'Inputs'!$B$13*E27+(1-'Inputs'!$B$13)/'Inputs'!$B$14*SUM(E4:E27)</x:f>
        <x:v>548058.9362785837</x:v>
      </x:c>
      <x:c r="G27" s="78" t="n">
        <x:f>F27*'Inputs'!$F$44</x:f>
        <x:v>493253.04265072534</x:v>
      </x:c>
      <x:c r="H27" s="78" t="n">
        <x:f>U26</x:f>
        <x:v>38762192.224321924</x:v>
      </x:c>
      <x:c r="I27" s="78" t="n">
        <x:f>V26</x:f>
        <x:v>291.86651111898465</x:v>
      </x:c>
      <x:c r="J27" s="79" t="n">
        <x:f>IF(H27&gt;0,I27/H27,0)</x:f>
        <x:v>0.00000752966987599449</x:v>
      </x:c>
      <x:c r="K27" s="80" t="n">
        <x:f>(H27*J27+I27)*'Inputs'!$D$44*(1+'Inputs'!$G$44)^(B27/30)</x:f>
        <x:v>116.74660444759387</x:v>
      </x:c>
      <x:c r="L27" s="80" t="n">
        <x:f>MAX(0,K27*'Inputs'!$E$44)</x:f>
        <x:v>0</x:v>
      </x:c>
      <x:c r="M27" s="80" t="n">
        <x:f>MAX(0,-K27*'Inputs'!$E$44)</x:f>
        <x:v>23.349320889518776</x:v>
      </x:c>
      <x:c r="N27" s="78" t="n">
        <x:f>H27*(L27*(1-'Inputs'!$B$15))/(I27+L27*(1-'Inputs'!$B$15))</x:f>
        <x:v>0</x:v>
      </x:c>
      <x:c r="O27" s="78" t="n">
        <x:f>H27-N27</x:f>
        <x:v>38762192.224321924</x:v>
      </x:c>
      <x:c r="P27" s="78" t="n">
        <x:f>I27+L27*(1-'Inputs'!$B$17)</x:f>
        <x:v>291.86651111898465</x:v>
      </x:c>
      <x:c r="Q27" s="78" t="n">
        <x:f>IF(J27&gt;0,M27/J27,0)</x:f>
        <x:v>3100975.3779457547</x:v>
      </x:c>
      <x:c r="R27" s="78" t="n">
        <x:f>IF(B27='Inputs'!$H$44,'Inputs'!$B$27*'Inputs'!$I$44,0)</x:f>
        <x:v>0</x:v>
      </x:c>
      <x:c r="S27" s="78" t="n">
        <x:f>Q27+G27+R27</x:f>
        <x:v>3594228.42059648</x:v>
      </x:c>
      <x:c r="T27" s="78" t="n">
        <x:f>P27*(S27*(1-'Inputs'!$B$15))/(O27+S27*(1-'Inputs'!$B$15))</x:f>
        <x:v>24.54000050139953</x:v>
      </x:c>
      <x:c r="U27" s="78" t="n">
        <x:f>O27+S27*(1-'Inputs'!$B$17)</x:f>
        <x:v>42341956.94906087</x:v>
      </x:c>
      <x:c r="V27" s="78" t="n">
        <x:f>P27-T27</x:f>
        <x:v>267.32651061758514</x:v>
      </x:c>
      <x:c r="W27" s="79" t="n">
        <x:f>IF(U27&gt;0,V27/U27,0)</x:f>
        <x:v>0.000006313513353650376</x:v>
      </x:c>
      <x:c r="X27" s="80" t="n">
        <x:f>W27*('Inputs'!$B$6-AC27)</x:f>
        <x:v>6310.9669976347805</x:v>
      </x:c>
      <x:c r="Y27" s="80" t="n">
        <x:f>2*V27</x:f>
        <x:v>534.6530212351703</x:v>
      </x:c>
      <x:c r="Z27" s="80" t="n">
        <x:f>K27*'Inputs'!$B$16+(G27+R27)*J27*'Inputs'!$B$16</x:f>
        <x:v>0.722763822144502</x:v>
      </x:c>
      <x:c r="AA27" s="80" t="n">
        <x:f>K27*(1+'Inputs'!$E$44)/2*'Inputs'!$B$17</x:f>
        <x:v>0.18792209971443685</x:v>
      </x:c>
      <x:c r="AB27" s="78" t="n">
        <x:f>(IF(J27&gt;0,K27*(1-'Inputs'!$E$44)/2/J27,0)+G27+R27)*'Inputs'!$B$17</x:f>
        <x:v>39421.24417097783</x:v>
      </x:c>
      <x:c r="AC27" s="78" t="n">
        <x:f>AC26+AB27</x:f>
        <x:v>403318.3859702757</x:v>
      </x:c>
      <x:c r="AD27" s="80" t="n">
        <x:f>Z27/(1+'Inputs'!$C$44)</x:f>
        <x:v>0.5782110577156016</x:v>
      </x:c>
      <x:c r="AE27" s="80" t="n">
        <x:f>Z27-AD27</x:f>
        <x:v>0.14455276442890042</x:v>
      </x:c>
      <x:c r="AF27" s="80" t="n">
        <x:f>D27*W27</x:f>
        <x:v>1.9058140946533169</x:v>
      </x:c>
      <x:c r="AG27" s="80" t="n">
        <x:f>C27*W27</x:f>
        <x:v>4.446899554191081</x:v>
      </x:c>
      <x:c r="AH27" s="80" t="n">
        <x:f>2*'Inputs'!$B$8*'Inputs'!$C$44</x:f>
        <x:v>1250</x:v>
      </x:c>
      <x:c r="AI27" s="81" t="n">
        <x:f>IF(AH27&gt;0,(AE27+AF27)/AH27*365,0)</x:f>
        <x:v>0.5987071228520074</x:v>
      </x:c>
      <x:c r="AJ27" s="81" t="n">
        <x:f>IF('Inputs'!$B$44&gt;0,AG27/('Inputs'!$B$19*'Inputs'!$B$44)*365,0)</x:f>
        <x:v>0.16231183372797445</x:v>
      </x:c>
      <x:c r="AK27" s="81" t="n">
        <x:f>W27/MAX($W$4:W27)-1</x:f>
        <x:v>-0.9907218125682825</x:v>
      </x:c>
      <x:c r="AL27" s="83" t="n">
        <x:f>'Inputs'!$B$44</x:f>
        <x:v>1</x:v>
      </x:c>
      <x:c r="AM27" s="83" t="n">
        <x:f>'Inputs'!$C$44</x:f>
        <x:v>0.25</x:v>
      </x:c>
      <x:c r="AN27" s="83" t="n">
        <x:f>'Inputs'!$D$44</x:f>
        <x:v>0.2</x:v>
      </x:c>
      <x:c r="AO27" s="81" t="n">
        <x:f>'Inputs'!$E$44</x:f>
        <x:v>-0.2</x:v>
      </x:c>
    </x:row>
    <x:row r="28">
      <x:c r="A28" s="59" t="str">
        <x:v>No demand</x:v>
      </x:c>
      <x:c r="B28" s="59" t="n">
        <x:v>25</x:v>
      </x:c>
      <x:c r="C28" s="78" t="n">
        <x:f>(('Inputs'!$B$29*(3*25*'Inputs'!$B$12-25^2)/(2*'Inputs'!$B$12^2))-('Inputs'!$B$29*(3*24*'Inputs'!$B$12-24^2)/(2*'Inputs'!$B$12^2)))*'Inputs'!$B$44</x:f>
        <x:v>704021.1578157246</x:v>
      </x:c>
      <x:c r="D28" s="78" t="n">
        <x:f>IF('Inputs'!$C$44&gt;0,('Inputs'!$B$30*(3*25*'Inputs'!$B$12-25^2)/(2*'Inputs'!$B$12^2))-('Inputs'!$B$30*(3*24*'Inputs'!$B$12-24^2)/(2*'Inputs'!$B$12^2)),0)</x:f>
        <x:v>301723.35334959626</x:v>
      </x:c>
      <x:c r="E28" s="78" t="n">
        <x:f>C28+D28</x:f>
        <x:v>1005744.5111653209</x:v>
      </x:c>
      <x:c r="F28" s="78" t="n">
        <x:f>'Inputs'!$B$13*E28+(1-'Inputs'!$B$13)/'Inputs'!$B$14*SUM(E4:E28)</x:f>
        <x:v>562333.8270380397</x:v>
      </x:c>
      <x:c r="G28" s="78" t="n">
        <x:f>F28*'Inputs'!$F$44</x:f>
        <x:v>506100.44433423574</x:v>
      </x:c>
      <x:c r="H28" s="78" t="n">
        <x:f>U27</x:f>
        <x:v>42341956.94906087</x:v>
      </x:c>
      <x:c r="I28" s="78" t="n">
        <x:f>V27</x:f>
        <x:v>267.32651061758514</x:v>
      </x:c>
      <x:c r="J28" s="79" t="n">
        <x:f>IF(H28&gt;0,I28/H28,0)</x:f>
        <x:v>0.000006313513353650376</x:v>
      </x:c>
      <x:c r="K28" s="80" t="n">
        <x:f>(H28*J28+I28)*'Inputs'!$D$44*(1+'Inputs'!$G$44)^(B28/30)</x:f>
        <x:v>106.93060424703407</x:v>
      </x:c>
      <x:c r="L28" s="80" t="n">
        <x:f>MAX(0,K28*'Inputs'!$E$44)</x:f>
        <x:v>0</x:v>
      </x:c>
      <x:c r="M28" s="80" t="n">
        <x:f>MAX(0,-K28*'Inputs'!$E$44)</x:f>
        <x:v>21.386120849406815</x:v>
      </x:c>
      <x:c r="N28" s="78" t="n">
        <x:f>H28*(L28*(1-'Inputs'!$B$15))/(I28+L28*(1-'Inputs'!$B$15))</x:f>
        <x:v>0</x:v>
      </x:c>
      <x:c r="O28" s="78" t="n">
        <x:f>H28-N28</x:f>
        <x:v>42341956.94906087</x:v>
      </x:c>
      <x:c r="P28" s="78" t="n">
        <x:f>I28+L28*(1-'Inputs'!$B$17)</x:f>
        <x:v>267.32651061758514</x:v>
      </x:c>
      <x:c r="Q28" s="78" t="n">
        <x:f>IF(J28&gt;0,M28/J28,0)</x:f>
        <x:v>3387356.5559248705</x:v>
      </x:c>
      <x:c r="R28" s="78" t="n">
        <x:f>IF(B28='Inputs'!$H$44,'Inputs'!$B$27*'Inputs'!$I$44,0)</x:f>
        <x:v>0</x:v>
      </x:c>
      <x:c r="S28" s="78" t="n">
        <x:f>Q28+G28+R28</x:f>
        <x:v>3893457.000259106</x:v>
      </x:c>
      <x:c r="T28" s="78" t="n">
        <x:f>P28*(S28*(1-'Inputs'!$B$15))/(O28+S28*(1-'Inputs'!$B$15))</x:f>
        <x:v>22.305077036650015</x:v>
      </x:c>
      <x:c r="U28" s="78" t="n">
        <x:f>O28+S28*(1-'Inputs'!$B$17)</x:f>
        <x:v>46219746.11430888</x:v>
      </x:c>
      <x:c r="V28" s="78" t="n">
        <x:f>P28-T28</x:f>
        <x:v>245.02143358093514</x:v>
      </x:c>
      <x:c r="W28" s="79" t="n">
        <x:f>IF(U28&gt;0,V28/U28,0)</x:f>
        <x:v>0.000005301228461423342</x:v>
      </x:c>
      <x:c r="X28" s="80" t="n">
        <x:f>W28*('Inputs'!$B$6-AC28)</x:f>
        <x:v>5298.862795389741</x:v>
      </x:c>
      <x:c r="Y28" s="80" t="n">
        <x:f>2*V28</x:f>
        <x:v>490.0428671618703</x:v>
      </x:c>
      <x:c r="Z28" s="80" t="n">
        <x:f>K28*'Inputs'!$B$16+(G28+R28)*J28*'Inputs'!$B$16</x:f>
        <x:v>0.6607552569637599</x:v>
      </x:c>
      <x:c r="AA28" s="80" t="n">
        <x:f>K28*(1+'Inputs'!$E$44)/2*'Inputs'!$B$17</x:f>
        <x:v>0.17212169697711724</x:v>
      </x:c>
      <x:c r="AB28" s="78" t="n">
        <x:f>(IF(J28&gt;0,K28*(1-'Inputs'!$E$44)/2/J28,0)+G28+R28)*'Inputs'!$B$17</x:f>
        <x:v>42930.26202055874</x:v>
      </x:c>
      <x:c r="AC28" s="78" t="n">
        <x:f>AC27+AB28</x:f>
        <x:v>446248.64799083443</x:v>
      </x:c>
      <x:c r="AD28" s="80" t="n">
        <x:f>Z28/(1+'Inputs'!$C$44)</x:f>
        <x:v>0.528604205571008</x:v>
      </x:c>
      <x:c r="AE28" s="80" t="n">
        <x:f>Z28-AD28</x:f>
        <x:v>0.13215105139275196</x:v>
      </x:c>
      <x:c r="AF28" s="80" t="n">
        <x:f>D28*W28</x:f>
        <x:v>1.5995044282529716</x:v>
      </x:c>
      <x:c r="AG28" s="80" t="n">
        <x:f>C28*W28</x:f>
        <x:v>3.7321769992569336</x:v>
      </x:c>
      <x:c r="AH28" s="80" t="n">
        <x:f>2*'Inputs'!$B$8*'Inputs'!$C$44</x:f>
        <x:v>1250</x:v>
      </x:c>
      <x:c r="AI28" s="81" t="n">
        <x:f>IF(AH28&gt;0,(AE28+AF28)/AH28*365,0)</x:f>
        <x:v>0.5056434000565513</x:v>
      </x:c>
      <x:c r="AJ28" s="81" t="n">
        <x:f>IF('Inputs'!$B$44&gt;0,AG28/('Inputs'!$B$19*'Inputs'!$B$44)*365,0)</x:f>
        <x:v>0.1362244604728781</x:v>
      </x:c>
      <x:c r="AK28" s="81" t="n">
        <x:f>W28/MAX($W$4:W28)-1</x:f>
        <x:v>-0.9922094421080139</x:v>
      </x:c>
      <x:c r="AL28" s="83" t="n">
        <x:f>'Inputs'!$B$44</x:f>
        <x:v>1</x:v>
      </x:c>
      <x:c r="AM28" s="83" t="n">
        <x:f>'Inputs'!$C$44</x:f>
        <x:v>0.25</x:v>
      </x:c>
      <x:c r="AN28" s="83" t="n">
        <x:f>'Inputs'!$D$44</x:f>
        <x:v>0.2</x:v>
      </x:c>
      <x:c r="AO28" s="81" t="n">
        <x:f>'Inputs'!$E$44</x:f>
        <x:v>-0.2</x:v>
      </x:c>
    </x:row>
    <x:row r="29">
      <x:c r="A29" s="59" t="str">
        <x:v>No demand</x:v>
      </x:c>
      <x:c r="B29" s="59" t="n">
        <x:v>26</x:v>
      </x:c>
      <x:c r="C29" s="78" t="n">
        <x:f>(('Inputs'!$B$29*(3*26*'Inputs'!$B$12-26^2)/(2*'Inputs'!$B$12^2))-('Inputs'!$B$29*(3*25*'Inputs'!$B$12-25^2)/(2*'Inputs'!$B$12^2)))*'Inputs'!$B$44</x:f>
        <x:v>703696.0499155559</x:v>
      </x:c>
      <x:c r="D29" s="78" t="n">
        <x:f>IF('Inputs'!$C$44&gt;0,('Inputs'!$B$30*(3*26*'Inputs'!$B$12-26^2)/(2*'Inputs'!$B$12^2))-('Inputs'!$B$30*(3*25*'Inputs'!$B$12-25^2)/(2*'Inputs'!$B$12^2)),0)</x:f>
        <x:v>301584.02139238175</x:v>
      </x:c>
      <x:c r="E29" s="78" t="n">
        <x:f>C29+D29</x:f>
        <x:v>1005280.0713079376</x:v>
      </x:c>
      <x:c r="F29" s="78" t="n">
        <x:f>'Inputs'!$B$13*E29+(1-'Inputs'!$B$13)/'Inputs'!$B$14*SUM(E4:E29)</x:f>
        <x:v>576602.0829423906</x:v>
      </x:c>
      <x:c r="G29" s="78" t="n">
        <x:f>F29*'Inputs'!$F$44</x:f>
        <x:v>518941.8746481515</x:v>
      </x:c>
      <x:c r="H29" s="78" t="n">
        <x:f>U28</x:f>
        <x:v>46219746.11430888</x:v>
      </x:c>
      <x:c r="I29" s="78" t="n">
        <x:f>V28</x:f>
        <x:v>245.02143358093514</x:v>
      </x:c>
      <x:c r="J29" s="79" t="n">
        <x:f>IF(H29&gt;0,I29/H29,0)</x:f>
        <x:v>0.000005301228461423342</x:v>
      </x:c>
      <x:c r="K29" s="80" t="n">
        <x:f>(H29*J29+I29)*'Inputs'!$D$44*(1+'Inputs'!$G$44)^(B29/30)</x:f>
        <x:v>98.00857343237406</x:v>
      </x:c>
      <x:c r="L29" s="80" t="n">
        <x:f>MAX(0,K29*'Inputs'!$E$44)</x:f>
        <x:v>0</x:v>
      </x:c>
      <x:c r="M29" s="80" t="n">
        <x:f>MAX(0,-K29*'Inputs'!$E$44)</x:f>
        <x:v>19.601714686474814</x:v>
      </x:c>
      <x:c r="N29" s="78" t="n">
        <x:f>H29*(L29*(1-'Inputs'!$B$15))/(I29+L29*(1-'Inputs'!$B$15))</x:f>
        <x:v>0</x:v>
      </x:c>
      <x:c r="O29" s="78" t="n">
        <x:f>H29-N29</x:f>
        <x:v>46219746.11430888</x:v>
      </x:c>
      <x:c r="P29" s="78" t="n">
        <x:f>I29+L29*(1-'Inputs'!$B$17)</x:f>
        <x:v>245.02143358093514</x:v>
      </x:c>
      <x:c r="Q29" s="78" t="n">
        <x:f>IF(J29&gt;0,M29/J29,0)</x:f>
        <x:v>3697579.689144711</x:v>
      </x:c>
      <x:c r="R29" s="78" t="n">
        <x:f>IF(B29='Inputs'!$H$44,'Inputs'!$B$27*'Inputs'!$I$44,0)</x:f>
        <x:v>0</x:v>
      </x:c>
      <x:c r="S29" s="78" t="n">
        <x:f>Q29+G29+R29</x:f>
        <x:v>4216521.563792863</x:v>
      </x:c>
      <x:c r="T29" s="78" t="n">
        <x:f>P29*(S29*(1-'Inputs'!$B$15))/(O29+S29*(1-'Inputs'!$B$15))</x:f>
        <x:v>20.29616019978607</x:v>
      </x:c>
      <x:c r="U29" s="78" t="n">
        <x:f>O29+S29*(1-'Inputs'!$B$17)</x:f>
        <x:v>50419299.78448487</x:v>
      </x:c>
      <x:c r="V29" s="78" t="n">
        <x:f>P29-T29</x:f>
        <x:v>224.72527338114907</x:v>
      </x:c>
      <x:c r="W29" s="79" t="n">
        <x:f>IF(U29&gt;0,V29/U29,0)</x:f>
        <x:v>0.0000044571280113315254</x:v>
      </x:c>
      <x:c r="X29" s="80" t="n">
        <x:f>W29*('Inputs'!$B$6-AC29)</x:f>
        <x:v>4454.930755377373</x:v>
      </x:c>
      <x:c r="Y29" s="80" t="n">
        <x:f>2*V29</x:f>
        <x:v>449.45054676229813</x:v>
      </x:c>
      <x:c r="Z29" s="80" t="n">
        <x:f>K29*'Inputs'!$B$16+(G29+R29)*J29*'Inputs'!$B$16</x:f>
        <x:v>0.6045576172084994</x:v>
      </x:c>
      <x:c r="AA29" s="80" t="n">
        <x:f>K29*(1+'Inputs'!$E$44)/2*'Inputs'!$B$17</x:f>
        <x:v>0.15776027916679933</x:v>
      </x:c>
      <x:c r="AB29" s="78" t="n">
        <x:f>(IF(J29&gt;0,K29*(1-'Inputs'!$E$44)/2/J29,0)+G29+R29)*'Inputs'!$B$17</x:f>
        <x:v>46727.08628604541</x:v>
      </x:c>
      <x:c r="AC29" s="78" t="n">
        <x:f>AC28+AB29</x:f>
        <x:v>492975.7342768798</x:v>
      </x:c>
      <x:c r="AD29" s="80" t="n">
        <x:f>Z29/(1+'Inputs'!$C$44)</x:f>
        <x:v>0.48364609376679957</x:v>
      </x:c>
      <x:c r="AE29" s="80" t="n">
        <x:f>Z29-AD29</x:f>
        <x:v>0.12091152344169986</x:v>
      </x:c>
      <x:c r="AF29" s="80" t="n">
        <x:f>D29*W29</x:f>
        <x:v>1.3441985895179906</x:v>
      </x:c>
      <x:c r="AG29" s="80" t="n">
        <x:f>C29*W29</x:f>
        <x:v>3.1364633755419713</x:v>
      </x:c>
      <x:c r="AH29" s="80" t="n">
        <x:f>2*'Inputs'!$B$8*'Inputs'!$C$44</x:f>
        <x:v>1250</x:v>
      </x:c>
      <x:c r="AI29" s="81" t="n">
        <x:f>IF(AH29&gt;0,(AE29+AF29)/AH29*365,0)</x:f>
        <x:v>0.42781215298422964</x:v>
      </x:c>
      <x:c r="AJ29" s="81" t="n">
        <x:f>IF('Inputs'!$B$44&gt;0,AG29/('Inputs'!$B$19*'Inputs'!$B$44)*365,0)</x:f>
        <x:v>0.11448091320728195</x:v>
      </x:c>
      <x:c r="AK29" s="81" t="n">
        <x:f>W29/MAX($W$4:W29)-1</x:f>
        <x:v>-0.993449911835162</x:v>
      </x:c>
      <x:c r="AL29" s="83" t="n">
        <x:f>'Inputs'!$B$44</x:f>
        <x:v>1</x:v>
      </x:c>
      <x:c r="AM29" s="83" t="n">
        <x:f>'Inputs'!$C$44</x:f>
        <x:v>0.25</x:v>
      </x:c>
      <x:c r="AN29" s="83" t="n">
        <x:f>'Inputs'!$D$44</x:f>
        <x:v>0.2</x:v>
      </x:c>
      <x:c r="AO29" s="81" t="n">
        <x:f>'Inputs'!$E$44</x:f>
        <x:v>-0.2</x:v>
      </x:c>
    </x:row>
    <x:row r="30">
      <x:c r="A30" s="59" t="str">
        <x:v>No demand</x:v>
      </x:c>
      <x:c r="B30" s="59" t="n">
        <x:v>27</x:v>
      </x:c>
      <x:c r="C30" s="78" t="n">
        <x:f>(('Inputs'!$B$29*(3*27*'Inputs'!$B$12-27^2)/(2*'Inputs'!$B$12^2))-('Inputs'!$B$29*(3*26*'Inputs'!$B$12-26^2)/(2*'Inputs'!$B$12^2)))*'Inputs'!$B$44</x:f>
        <x:v>703370.9420153871</x:v>
      </x:c>
      <x:c r="D30" s="78" t="n">
        <x:f>IF('Inputs'!$C$44&gt;0,('Inputs'!$B$30*(3*27*'Inputs'!$B$12-27^2)/(2*'Inputs'!$B$12^2))-('Inputs'!$B$30*(3*26*'Inputs'!$B$12-26^2)/(2*'Inputs'!$B$12^2)),0)</x:f>
        <x:v>301444.6894351663</x:v>
      </x:c>
      <x:c r="E30" s="78" t="n">
        <x:f>C30+D30</x:f>
        <x:v>1004815.6314505534</x:v>
      </x:c>
      <x:c r="F30" s="78" t="n">
        <x:f>'Inputs'!$B$13*E30+(1-'Inputs'!$B$13)/'Inputs'!$B$14*SUM(E4:E30)</x:f>
        <x:v>590863.7039916359</x:v>
      </x:c>
      <x:c r="G30" s="78" t="n">
        <x:f>F30*'Inputs'!$F$44</x:f>
        <x:v>531777.3335924724</x:v>
      </x:c>
      <x:c r="H30" s="78" t="n">
        <x:f>U29</x:f>
        <x:v>50419299.78448487</x:v>
      </x:c>
      <x:c r="I30" s="78" t="n">
        <x:f>V29</x:f>
        <x:v>224.72527338114907</x:v>
      </x:c>
      <x:c r="J30" s="79" t="n">
        <x:f>IF(H30&gt;0,I30/H30,0)</x:f>
        <x:v>0.0000044571280113315254</x:v>
      </x:c>
      <x:c r="K30" s="80" t="n">
        <x:f>(H30*J30+I30)*'Inputs'!$D$44*(1+'Inputs'!$G$44)^(B30/30)</x:f>
        <x:v>89.89010935245963</x:v>
      </x:c>
      <x:c r="L30" s="80" t="n">
        <x:f>MAX(0,K30*'Inputs'!$E$44)</x:f>
        <x:v>0</x:v>
      </x:c>
      <x:c r="M30" s="80" t="n">
        <x:f>MAX(0,-K30*'Inputs'!$E$44)</x:f>
        <x:v>17.978021870491926</x:v>
      </x:c>
      <x:c r="N30" s="78" t="n">
        <x:f>H30*(L30*(1-'Inputs'!$B$15))/(I30+L30*(1-'Inputs'!$B$15))</x:f>
        <x:v>0</x:v>
      </x:c>
      <x:c r="O30" s="78" t="n">
        <x:f>H30-N30</x:f>
        <x:v>50419299.78448487</x:v>
      </x:c>
      <x:c r="P30" s="78" t="n">
        <x:f>I30+L30*(1-'Inputs'!$B$17)</x:f>
        <x:v>224.72527338114907</x:v>
      </x:c>
      <x:c r="Q30" s="78" t="n">
        <x:f>IF(J30&gt;0,M30/J30,0)</x:f>
        <x:v>4033543.98275879</x:v>
      </x:c>
      <x:c r="R30" s="78" t="n">
        <x:f>IF(B30='Inputs'!$H$44,'Inputs'!$B$27*'Inputs'!$I$44,0)</x:f>
        <x:v>0</x:v>
      </x:c>
      <x:c r="S30" s="78" t="n">
        <x:f>Q30+G30+R30</x:f>
        <x:v>4565321.316351262</x:v>
      </x:c>
      <x:c r="T30" s="78" t="n">
        <x:f>P30*(S30*(1-'Inputs'!$B$15))/(O30+S30*(1-'Inputs'!$B$15))</x:f>
        <x:v>18.48749055784189</x:v>
      </x:c>
      <x:c r="U30" s="78" t="n">
        <x:f>O30+S30*(1-'Inputs'!$B$17)</x:f>
        <x:v>54966249.58648462</x:v>
      </x:c>
      <x:c r="V30" s="78" t="n">
        <x:f>P30-T30</x:f>
        <x:v>206.23778282330719</x:v>
      </x:c>
      <x:c r="W30" s="79" t="n">
        <x:f>IF(U30&gt;0,V30/U30,0)</x:f>
        <x:v>0.0000037520803106424414</x:v>
      </x:c>
      <x:c r="X30" s="80" t="n">
        <x:f>W30*('Inputs'!$B$6-AC30)</x:f>
        <x:v>3750.039890425643</x:v>
      </x:c>
      <x:c r="Y30" s="80" t="n">
        <x:f>2*V30</x:f>
        <x:v>412.47556564661437</x:v>
      </x:c>
      <x:c r="Z30" s="80" t="n">
        <x:f>K30*'Inputs'!$B$16+(G30+R30)*J30*'Inputs'!$B$16</x:f>
        <x:v>0.553561854010835</x:v>
      </x:c>
      <x:c r="AA30" s="80" t="n">
        <x:f>K30*(1+'Inputs'!$E$44)/2*'Inputs'!$B$17</x:f>
        <x:v>0.1446923289375608</x:v>
      </x:c>
      <x:c r="AB30" s="78" t="n">
        <x:f>(IF(J30&gt;0,K30*(1-'Inputs'!$E$44)/2/J30,0)+G30+R30)*'Inputs'!$B$17</x:f>
        <x:v>50834.64499746014</x:v>
      </x:c>
      <x:c r="AC30" s="78" t="n">
        <x:f>AC29+AB30</x:f>
        <x:v>543810.37927434</x:v>
      </x:c>
      <x:c r="AD30" s="80" t="n">
        <x:f>Z30/(1+'Inputs'!$C$44)</x:f>
        <x:v>0.442849483208668</x:v>
      </x:c>
      <x:c r="AE30" s="80" t="n">
        <x:f>Z30-AD30</x:f>
        <x:v>0.110712370802167</x:v>
      </x:c>
      <x:c r="AF30" s="80" t="n">
        <x:f>D30*W30</x:f>
        <x:v>1.131044683977413</x:v>
      </x:c>
      <x:c r="AG30" s="80" t="n">
        <x:f>C30*W30</x:f>
        <x:v>2.6391042626139605</x:v>
      </x:c>
      <x:c r="AH30" s="80" t="n">
        <x:f>2*'Inputs'!$B$8*'Inputs'!$C$44</x:f>
        <x:v>1250</x:v>
      </x:c>
      <x:c r="AI30" s="81" t="n">
        <x:f>IF(AH30&gt;0,(AE30+AF30)/AH30*365,0)</x:f>
        <x:v>0.36259305999563746</x:v>
      </x:c>
      <x:c r="AJ30" s="81" t="n">
        <x:f>IF('Inputs'!$B$44&gt;0,AG30/('Inputs'!$B$19*'Inputs'!$B$44)*365,0)</x:f>
        <x:v>0.09632730558540956</x:v>
      </x:c>
      <x:c r="AK30" s="81" t="n">
        <x:f>W30/MAX($W$4:W30)-1</x:f>
        <x:v>-0.9944860329849672</x:v>
      </x:c>
      <x:c r="AL30" s="83" t="n">
        <x:f>'Inputs'!$B$44</x:f>
        <x:v>1</x:v>
      </x:c>
      <x:c r="AM30" s="83" t="n">
        <x:f>'Inputs'!$C$44</x:f>
        <x:v>0.25</x:v>
      </x:c>
      <x:c r="AN30" s="83" t="n">
        <x:f>'Inputs'!$D$44</x:f>
        <x:v>0.2</x:v>
      </x:c>
      <x:c r="AO30" s="81" t="n">
        <x:f>'Inputs'!$E$44</x:f>
        <x:v>-0.2</x:v>
      </x:c>
    </x:row>
    <x:row r="31">
      <x:c r="A31" s="59" t="str">
        <x:v>No demand</x:v>
      </x:c>
      <x:c r="B31" s="59" t="n">
        <x:v>28</x:v>
      </x:c>
      <x:c r="C31" s="78" t="n">
        <x:f>(('Inputs'!$B$29*(3*28*'Inputs'!$B$12-28^2)/(2*'Inputs'!$B$12^2))-('Inputs'!$B$29*(3*27*'Inputs'!$B$12-27^2)/(2*'Inputs'!$B$12^2)))*'Inputs'!$B$44</x:f>
        <x:v>703045.8341152184</x:v>
      </x:c>
      <x:c r="D31" s="78" t="n">
        <x:f>IF('Inputs'!$C$44&gt;0,('Inputs'!$B$30*(3*28*'Inputs'!$B$12-28^2)/(2*'Inputs'!$B$12^2))-('Inputs'!$B$30*(3*27*'Inputs'!$B$12-27^2)/(2*'Inputs'!$B$12^2)),0)</x:f>
        <x:v>301305.35747795086</x:v>
      </x:c>
      <x:c r="E31" s="78" t="n">
        <x:f>C31+D31</x:f>
        <x:v>1004351.1915931692</x:v>
      </x:c>
      <x:c r="F31" s="78" t="n">
        <x:f>'Inputs'!$B$13*E31+(1-'Inputs'!$B$13)/'Inputs'!$B$14*SUM(E4:E31)</x:f>
        <x:v>605118.690185776</x:v>
      </x:c>
      <x:c r="G31" s="78" t="n">
        <x:f>F31*'Inputs'!$F$44</x:f>
        <x:v>544606.8211671984</x:v>
      </x:c>
      <x:c r="H31" s="78" t="n">
        <x:f>U30</x:f>
        <x:v>54966249.58648462</x:v>
      </x:c>
      <x:c r="I31" s="78" t="n">
        <x:f>V30</x:f>
        <x:v>206.23778282330719</x:v>
      </x:c>
      <x:c r="J31" s="79" t="n">
        <x:f>IF(H31&gt;0,I31/H31,0)</x:f>
        <x:v>0.0000037520803106424414</x:v>
      </x:c>
      <x:c r="K31" s="80" t="n">
        <x:f>(H31*J31+I31)*'Inputs'!$D$44*(1+'Inputs'!$G$44)^(B31/30)</x:f>
        <x:v>82.49511312932287</x:v>
      </x:c>
      <x:c r="L31" s="80" t="n">
        <x:f>MAX(0,K31*'Inputs'!$E$44)</x:f>
        <x:v>0</x:v>
      </x:c>
      <x:c r="M31" s="80" t="n">
        <x:f>MAX(0,-K31*'Inputs'!$E$44)</x:f>
        <x:v>16.499022625864576</x:v>
      </x:c>
      <x:c r="N31" s="78" t="n">
        <x:f>H31*(L31*(1-'Inputs'!$B$15))/(I31+L31*(1-'Inputs'!$B$15))</x:f>
        <x:v>0</x:v>
      </x:c>
      <x:c r="O31" s="78" t="n">
        <x:f>H31-N31</x:f>
        <x:v>54966249.58648462</x:v>
      </x:c>
      <x:c r="P31" s="78" t="n">
        <x:f>I31+L31*(1-'Inputs'!$B$17)</x:f>
        <x:v>206.23778282330719</x:v>
      </x:c>
      <x:c r="Q31" s="78" t="n">
        <x:f>IF(J31&gt;0,M31/J31,0)</x:f>
        <x:v>4397299.96691877</x:v>
      </x:c>
      <x:c r="R31" s="78" t="n">
        <x:f>IF(B31='Inputs'!$H$44,'Inputs'!$B$27*'Inputs'!$I$44,0)</x:f>
        <x:v>0</x:v>
      </x:c>
      <x:c r="S31" s="78" t="n">
        <x:f>Q31+G31+R31</x:f>
        <x:v>4941906.788085968</x:v>
      </x:c>
      <x:c r="T31" s="78" t="n">
        <x:f>P31*(S31*(1-'Inputs'!$B$15))/(O31+S31*(1-'Inputs'!$B$15))</x:f>
        <x:v>16.85661718414819</x:v>
      </x:c>
      <x:c r="U31" s="78" t="n">
        <x:f>O31+S31*(1-'Inputs'!$B$17)</x:f>
        <x:v>59888269.42572517</x:v>
      </x:c>
      <x:c r="V31" s="78" t="n">
        <x:f>P31-T31</x:f>
        <x:v>189.381165639159</x:v>
      </x:c>
      <x:c r="W31" s="79" t="n">
        <x:f>IF(U31&gt;0,V31/U31,0)</x:f>
        <x:v>0.0000031622414114676324</x:v>
      </x:c>
      <x:c r="X31" s="80" t="n">
        <x:f>W31*('Inputs'!$B$6-AC31)</x:f>
        <x:v>3160.3469503562246</x:v>
      </x:c>
      <x:c r="Y31" s="80" t="n">
        <x:f>2*V31</x:f>
        <x:v>378.762331278318</x:v>
      </x:c>
      <x:c r="Z31" s="80" t="n">
        <x:f>K31*'Inputs'!$B$16+(G31+R31)*J31*'Inputs'!$B$16</x:f>
        <x:v>0.5072311299603953</x:v>
      </x:c>
      <x:c r="AA31" s="80" t="n">
        <x:f>K31*(1+'Inputs'!$E$44)/2*'Inputs'!$B$17</x:f>
        <x:v>0.1327889144938799</x:v>
      </x:c>
      <x:c r="AB31" s="78" t="n">
        <x:f>(IF(J31&gt;0,K31*(1-'Inputs'!$E$44)/2/J31,0)+G31+R31)*'Inputs'!$B$17</x:f>
        <x:v>55277.693045969856</x:v>
      </x:c>
      <x:c r="AC31" s="78" t="n">
        <x:f>AC30+AB31</x:f>
        <x:v>599088.0723203098</x:v>
      </x:c>
      <x:c r="AD31" s="80" t="n">
        <x:f>Z31/(1+'Inputs'!$C$44)</x:f>
        <x:v>0.40578490396831624</x:v>
      </x:c>
      <x:c r="AE31" s="80" t="n">
        <x:f>Z31-AD31</x:f>
        <x:v>0.10144622599207909</x:v>
      </x:c>
      <x:c r="AF31" s="80" t="n">
        <x:f>D31*W31</x:f>
        <x:v>0.9528002789138349</x:v>
      </x:c>
      <x:c r="AG31" s="80" t="n">
        <x:f>C31*W31</x:f>
        <x:v>2.223200650798947</x:v>
      </x:c>
      <x:c r="AH31" s="80" t="n">
        <x:f>2*'Inputs'!$B$8*'Inputs'!$C$44</x:f>
        <x:v>1250</x:v>
      </x:c>
      <x:c r="AI31" s="81" t="n">
        <x:f>IF(AH31&gt;0,(AE31+AF31)/AH31*365,0)</x:f>
        <x:v>0.3078399794325269</x:v>
      </x:c>
      <x:c r="AJ31" s="81" t="n">
        <x:f>IF('Inputs'!$B$44&gt;0,AG31/('Inputs'!$B$19*'Inputs'!$B$44)*365,0)</x:f>
        <x:v>0.08114682375416157</x:v>
      </x:c>
      <x:c r="AK31" s="81" t="n">
        <x:f>W31/MAX($W$4:W31)-1</x:f>
        <x:v>-0.9953528460499776</x:v>
      </x:c>
      <x:c r="AL31" s="83" t="n">
        <x:f>'Inputs'!$B$44</x:f>
        <x:v>1</x:v>
      </x:c>
      <x:c r="AM31" s="83" t="n">
        <x:f>'Inputs'!$C$44</x:f>
        <x:v>0.25</x:v>
      </x:c>
      <x:c r="AN31" s="83" t="n">
        <x:f>'Inputs'!$D$44</x:f>
        <x:v>0.2</x:v>
      </x:c>
      <x:c r="AO31" s="81" t="n">
        <x:f>'Inputs'!$E$44</x:f>
        <x:v>-0.2</x:v>
      </x:c>
    </x:row>
    <x:row r="32">
      <x:c r="A32" s="59" t="str">
        <x:v>No demand</x:v>
      </x:c>
      <x:c r="B32" s="59" t="n">
        <x:v>29</x:v>
      </x:c>
      <x:c r="C32" s="78" t="n">
        <x:f>(('Inputs'!$B$29*(3*29*'Inputs'!$B$12-29^2)/(2*'Inputs'!$B$12^2))-('Inputs'!$B$29*(3*28*'Inputs'!$B$12-28^2)/(2*'Inputs'!$B$12^2)))*'Inputs'!$B$44</x:f>
        <x:v>702720.7262150496</x:v>
      </x:c>
      <x:c r="D32" s="78" t="n">
        <x:f>IF('Inputs'!$C$44&gt;0,('Inputs'!$B$30*(3*29*'Inputs'!$B$12-29^2)/(2*'Inputs'!$B$12^2))-('Inputs'!$B$30*(3*28*'Inputs'!$B$12-28^2)/(2*'Inputs'!$B$12^2)),0)</x:f>
        <x:v>301166.0255207345</x:v>
      </x:c>
      <x:c r="E32" s="78" t="n">
        <x:f>C32+D32</x:f>
        <x:v>1003886.7517357841</x:v>
      </x:c>
      <x:c r="F32" s="78" t="n">
        <x:f>'Inputs'!$B$13*E32+(1-'Inputs'!$B$13)/'Inputs'!$B$14*SUM(E4:E32)</x:f>
        <x:v>619367.0415248101</x:v>
      </x:c>
      <x:c r="G32" s="78" t="n">
        <x:f>F32*'Inputs'!$F$44</x:f>
        <x:v>557430.3373723291</x:v>
      </x:c>
      <x:c r="H32" s="78" t="n">
        <x:f>U31</x:f>
        <x:v>59888269.42572517</x:v>
      </x:c>
      <x:c r="I32" s="78" t="n">
        <x:f>V31</x:f>
        <x:v>189.381165639159</x:v>
      </x:c>
      <x:c r="J32" s="79" t="n">
        <x:f>IF(H32&gt;0,I32/H32,0)</x:f>
        <x:v>0.0000031622414114676324</x:v>
      </x:c>
      <x:c r="K32" s="80" t="n">
        <x:f>(H32*J32+I32)*'Inputs'!$D$44*(1+'Inputs'!$G$44)^(B32/30)</x:f>
        <x:v>75.7524662556636</x:v>
      </x:c>
      <x:c r="L32" s="80" t="n">
        <x:f>MAX(0,K32*'Inputs'!$E$44)</x:f>
        <x:v>0</x:v>
      </x:c>
      <x:c r="M32" s="80" t="n">
        <x:f>MAX(0,-K32*'Inputs'!$E$44)</x:f>
        <x:v>15.150493251132723</x:v>
      </x:c>
      <x:c r="N32" s="78" t="n">
        <x:f>H32*(L32*(1-'Inputs'!$B$15))/(I32+L32*(1-'Inputs'!$B$15))</x:f>
        <x:v>0</x:v>
      </x:c>
      <x:c r="O32" s="78" t="n">
        <x:f>H32-N32</x:f>
        <x:v>59888269.42572517</x:v>
      </x:c>
      <x:c r="P32" s="78" t="n">
        <x:f>I32+L32*(1-'Inputs'!$B$17)</x:f>
        <x:v>189.381165639159</x:v>
      </x:c>
      <x:c r="Q32" s="78" t="n">
        <x:f>IF(J32&gt;0,M32/J32,0)</x:f>
        <x:v>4791061.5540580135</x:v>
      </x:c>
      <x:c r="R32" s="78" t="n">
        <x:f>IF(B32='Inputs'!$H$44,'Inputs'!$B$27*'Inputs'!$I$44,0)</x:f>
        <x:v>0</x:v>
      </x:c>
      <x:c r="S32" s="78" t="n">
        <x:f>Q32+G32+R32</x:f>
        <x:v>5348491.891430343</x:v>
      </x:c>
      <x:c r="T32" s="78" t="n">
        <x:f>P32*(S32*(1-'Inputs'!$B$15))/(O32+S32*(1-'Inputs'!$B$15))</x:f>
        <x:v>15.383924342741677</x:v>
      </x:c>
      <x:c r="U32" s="78" t="n">
        <x:f>O32+S32*(1-'Inputs'!$B$17)</x:f>
        <x:v>65215238.21095257</x:v>
      </x:c>
      <x:c r="V32" s="78" t="n">
        <x:f>P32-T32</x:f>
        <x:v>173.99724129641734</x:v>
      </x:c>
      <x:c r="W32" s="79" t="n">
        <x:f>IF(U32&gt;0,V32/U32,0)</x:f>
        <x:v>0.0000026680457830052883</x:v>
      </x:c>
      <x:c r="X32" s="80" t="n">
        <x:f>W32*('Inputs'!$B$6-AC32)</x:f>
        <x:v>2666.2870845182442</x:v>
      </x:c>
      <x:c r="Y32" s="80" t="n">
        <x:f>2*V32</x:f>
        <x:v>347.9944825928347</x:v>
      </x:c>
      <x:c r="Z32" s="80" t="n">
        <x:f>K32*'Inputs'!$B$16+(G32+R32)*J32*'Inputs'!$B$16</x:f>
        <x:v>0.46509117331506455</x:v>
      </x:c>
      <x:c r="AA32" s="80" t="n">
        <x:f>K32*(1+'Inputs'!$E$44)/2*'Inputs'!$B$17</x:f>
        <x:v>0.12193555936525331</x:v>
      </x:c>
      <x:c r="AB32" s="78" t="n">
        <x:f>(IF(J32&gt;0,K32*(1-'Inputs'!$E$44)/2/J32,0)+G32+R32)*'Inputs'!$B$17</x:f>
        <x:v>60082.9577446534</x:v>
      </x:c>
      <x:c r="AC32" s="78" t="n">
        <x:f>AC31+AB32</x:f>
        <x:v>659171.0300649633</x:v>
      </x:c>
      <x:c r="AD32" s="80" t="n">
        <x:f>Z32/(1+'Inputs'!$C$44)</x:f>
        <x:v>0.37207293865205165</x:v>
      </x:c>
      <x:c r="AE32" s="80" t="n">
        <x:f>Z32-AD32</x:f>
        <x:v>0.0930182346630129</x:v>
      </x:c>
      <x:c r="AF32" s="80" t="n">
        <x:f>D32*W32</x:f>
        <x:v>0.8035247443750587</x:v>
      </x:c>
      <x:c r="AG32" s="80" t="n">
        <x:f>C32*W32</x:f>
        <x:v>1.874891070208477</x:v>
      </x:c>
      <x:c r="AH32" s="80" t="n">
        <x:f>2*'Inputs'!$B$8*'Inputs'!$C$44</x:f>
        <x:v>1250</x:v>
      </x:c>
      <x:c r="AI32" s="81" t="n">
        <x:f>IF(AH32&gt;0,(AE32+AF32)/AH32*365,0)</x:f>
        <x:v>0.26179054987911693</x:v>
      </x:c>
      <x:c r="AJ32" s="81" t="n">
        <x:f>IF('Inputs'!$B$44&gt;0,AG32/('Inputs'!$B$19*'Inputs'!$B$44)*365,0)</x:f>
        <x:v>0.06843352406260941</x:v>
      </x:c>
      <x:c r="AK32" s="81" t="n">
        <x:f>W32/MAX($W$4:W32)-1</x:f>
        <x:v>-0.9960791040638548</x:v>
      </x:c>
      <x:c r="AL32" s="83" t="n">
        <x:f>'Inputs'!$B$44</x:f>
        <x:v>1</x:v>
      </x:c>
      <x:c r="AM32" s="83" t="n">
        <x:f>'Inputs'!$C$44</x:f>
        <x:v>0.25</x:v>
      </x:c>
      <x:c r="AN32" s="83" t="n">
        <x:f>'Inputs'!$D$44</x:f>
        <x:v>0.2</x:v>
      </x:c>
      <x:c r="AO32" s="81" t="n">
        <x:f>'Inputs'!$E$44</x:f>
        <x:v>-0.2</x:v>
      </x:c>
    </x:row>
    <x:row r="33">
      <x:c r="A33" s="59" t="str">
        <x:v>No demand</x:v>
      </x:c>
      <x:c r="B33" s="59" t="n">
        <x:v>30</x:v>
      </x:c>
      <x:c r="C33" s="78" t="n">
        <x:f>(('Inputs'!$B$29*(3*30*'Inputs'!$B$12-30^2)/(2*'Inputs'!$B$12^2))-('Inputs'!$B$29*(3*29*'Inputs'!$B$12-29^2)/(2*'Inputs'!$B$12^2)))*'Inputs'!$B$44</x:f>
        <x:v>702395.6183148809</x:v>
      </x:c>
      <x:c r="D33" s="78" t="n">
        <x:f>IF('Inputs'!$C$44&gt;0,('Inputs'!$B$30*(3*30*'Inputs'!$B$12-30^2)/(2*'Inputs'!$B$12^2))-('Inputs'!$B$30*(3*29*'Inputs'!$B$12-29^2)/(2*'Inputs'!$B$12^2)),0)</x:f>
        <x:v>301026.6935635209</x:v>
      </x:c>
      <x:c r="E33" s="78" t="n">
        <x:f>C33+D33</x:f>
        <x:v>1003422.3118784018</x:v>
      </x:c>
      <x:c r="F33" s="78" t="n">
        <x:f>'Inputs'!$B$13*E33+(1-'Inputs'!$B$13)/'Inputs'!$B$14*SUM(E4:E33)</x:f>
        <x:v>633608.7580087393</x:v>
      </x:c>
      <x:c r="G33" s="78" t="n">
        <x:f>F33*'Inputs'!$F$44</x:f>
        <x:v>570247.8822078654</x:v>
      </x:c>
      <x:c r="H33" s="78" t="n">
        <x:f>U32</x:f>
        <x:v>65215238.21095257</x:v>
      </x:c>
      <x:c r="I33" s="78" t="n">
        <x:f>V32</x:f>
        <x:v>173.99724129641734</x:v>
      </x:c>
      <x:c r="J33" s="79" t="n">
        <x:f>IF(H33&gt;0,I33/H33,0)</x:f>
        <x:v>0.0000026680457830052883</x:v>
      </x:c>
      <x:c r="K33" s="80" t="n">
        <x:f>(H33*J33+I33)*'Inputs'!$D$44*(1+'Inputs'!$G$44)^(B33/30)</x:f>
        <x:v>69.59889651856695</x:v>
      </x:c>
      <x:c r="L33" s="80" t="n">
        <x:f>MAX(0,K33*'Inputs'!$E$44)</x:f>
        <x:v>0</x:v>
      </x:c>
      <x:c r="M33" s="80" t="n">
        <x:f>MAX(0,-K33*'Inputs'!$E$44)</x:f>
        <x:v>13.91977930371339</x:v>
      </x:c>
      <x:c r="N33" s="78" t="n">
        <x:f>H33*(L33*(1-'Inputs'!$B$15))/(I33+L33*(1-'Inputs'!$B$15))</x:f>
        <x:v>0</x:v>
      </x:c>
      <x:c r="O33" s="78" t="n">
        <x:f>H33-N33</x:f>
        <x:v>65215238.21095257</x:v>
      </x:c>
      <x:c r="P33" s="78" t="n">
        <x:f>I33+L33*(1-'Inputs'!$B$17)</x:f>
        <x:v>173.99724129641734</x:v>
      </x:c>
      <x:c r="Q33" s="78" t="n">
        <x:f>IF(J33&gt;0,M33/J33,0)</x:f>
        <x:v>5217219.056876207</x:v>
      </x:c>
      <x:c r="R33" s="78" t="n">
        <x:f>IF(B33='Inputs'!$H$44,'Inputs'!$B$27*'Inputs'!$I$44,0)</x:f>
        <x:v>0</x:v>
      </x:c>
      <x:c r="S33" s="78" t="n">
        <x:f>Q33+G33+R33</x:f>
        <x:v>5787466.939084072</x:v>
      </x:c>
      <x:c r="T33" s="78" t="n">
        <x:f>P33*(S33*(1-'Inputs'!$B$15))/(O33+S33*(1-'Inputs'!$B$15))</x:f>
        <x:v>14.052232444925924</x:v>
      </x:c>
      <x:c r="U33" s="78" t="n">
        <x:f>O33+S33*(1-'Inputs'!$B$17)</x:f>
        <x:v>70979415.54464798</x:v>
      </x:c>
      <x:c r="V33" s="78" t="n">
        <x:f>P33-T33</x:f>
        <x:v>159.94500885149142</x:v>
      </x:c>
      <x:c r="W33" s="79" t="n">
        <x:f>IF(U33&gt;0,V33/U33,0)</x:f>
        <x:v>0.0000022533999135408728</x:v>
      </x:c>
      <x:c r="X33" s="80" t="n">
        <x:f>W33*('Inputs'!$B$6-AC33)</x:f>
        <x:v>2251.767437238782</x:v>
      </x:c>
      <x:c r="Y33" s="80" t="n">
        <x:f>2*V33</x:f>
        <x:v>319.89001770298285</x:v>
      </x:c>
      <x:c r="Z33" s="80" t="n">
        <x:f>K33*'Inputs'!$B$16+(G33+R33)*J33*'Inputs'!$B$16</x:f>
        <x:v>0.42672206385575606</x:v>
      </x:c>
      <x:c r="AA33" s="80" t="n">
        <x:f>K33*(1+'Inputs'!$E$44)/2*'Inputs'!$B$17</x:f>
        <x:v>0.11203041693129491</x:v>
      </x:c>
      <x:c r="AB33" s="78" t="n">
        <x:f>(IF(J33&gt;0,K33*(1-'Inputs'!$E$44)/2/J33,0)+G33+R33)*'Inputs'!$B$17</x:f>
        <x:v>65279.29598726955</x:v>
      </x:c>
      <x:c r="AC33" s="78" t="n">
        <x:f>AC32+AB33</x:f>
        <x:v>724450.3260522329</x:v>
      </x:c>
      <x:c r="AD33" s="80" t="n">
        <x:f>Z33/(1+'Inputs'!$C$44)</x:f>
        <x:v>0.3413776510846048</x:v>
      </x:c>
      <x:c r="AE33" s="80" t="n">
        <x:f>Z33-AD33</x:f>
        <x:v>0.08534441277115123</x:v>
      </x:c>
      <x:c r="AF33" s="80" t="n">
        <x:f>D33*W33</x:f>
        <x:v>0.6783335252495328</x:v>
      </x:c>
      <x:c r="AG33" s="80" t="n">
        <x:f>C33*W33</x:f>
        <x:v>1.5827782255822405</x:v>
      </x:c>
      <x:c r="AH33" s="80" t="n">
        <x:f>2*'Inputs'!$B$8*'Inputs'!$C$44</x:f>
        <x:v>1250</x:v>
      </x:c>
      <x:c r="AI33" s="81" t="n">
        <x:f>IF(AH33&gt;0,(AE33+AF33)/AH33*365,0)</x:f>
        <x:v>0.22299395790203977</x:v>
      </x:c>
      <x:c r="AJ33" s="81" t="n">
        <x:f>IF('Inputs'!$B$44&gt;0,AG33/('Inputs'!$B$19*'Inputs'!$B$44)*365,0)</x:f>
        <x:v>0.05777140523375178</x:v>
      </x:c>
      <x:c r="AK33" s="81" t="n">
        <x:f>W33/MAX($W$4:W33)-1</x:f>
        <x:v>-0.9966884576644857</x:v>
      </x:c>
      <x:c r="AL33" s="83" t="n">
        <x:f>'Inputs'!$B$44</x:f>
        <x:v>1</x:v>
      </x:c>
      <x:c r="AM33" s="83" t="n">
        <x:f>'Inputs'!$C$44</x:f>
        <x:v>0.25</x:v>
      </x:c>
      <x:c r="AN33" s="83" t="n">
        <x:f>'Inputs'!$D$44</x:f>
        <x:v>0.2</x:v>
      </x:c>
      <x:c r="AO33" s="81" t="n">
        <x:f>'Inputs'!$E$44</x:f>
        <x:v>-0.2</x:v>
      </x:c>
    </x:row>
    <x:row r="34">
      <x:c r="A34" s="59" t="str">
        <x:v>No demand</x:v>
      </x:c>
      <x:c r="B34" s="59" t="n">
        <x:v>31</x:v>
      </x:c>
      <x:c r="C34" s="78" t="n">
        <x:f>(('Inputs'!$B$29*(3*31*'Inputs'!$B$12-31^2)/(2*'Inputs'!$B$12^2))-('Inputs'!$B$29*(3*30*'Inputs'!$B$12-30^2)/(2*'Inputs'!$B$12^2)))*'Inputs'!$B$44</x:f>
        <x:v>702070.5104147121</x:v>
      </x:c>
      <x:c r="D34" s="78" t="n">
        <x:f>IF('Inputs'!$C$44&gt;0,('Inputs'!$B$30*(3*31*'Inputs'!$B$12-31^2)/(2*'Inputs'!$B$12^2))-('Inputs'!$B$30*(3*30*'Inputs'!$B$12-30^2)/(2*'Inputs'!$B$12^2)),0)</x:f>
        <x:v>300887.36160630547</x:v>
      </x:c>
      <x:c r="E34" s="78" t="n">
        <x:f>C34+D34</x:f>
        <x:v>1002957.8720210176</x:v>
      </x:c>
      <x:c r="F34" s="78" t="n">
        <x:f>'Inputs'!$B$13*E34+(1-'Inputs'!$B$13)/'Inputs'!$B$14*SUM(E4:E34)</x:f>
        <x:v>647843.8396375627</x:v>
      </x:c>
      <x:c r="G34" s="78" t="n">
        <x:f>F34*'Inputs'!$F$44</x:f>
        <x:v>583059.4556738065</x:v>
      </x:c>
      <x:c r="H34" s="78" t="n">
        <x:f>U33</x:f>
        <x:v>70979415.54464798</x:v>
      </x:c>
      <x:c r="I34" s="78" t="n">
        <x:f>V33</x:f>
        <x:v>159.94500885149142</x:v>
      </x:c>
      <x:c r="J34" s="79" t="n">
        <x:f>IF(H34&gt;0,I34/H34,0)</x:f>
        <x:v>0.0000022533999135408728</x:v>
      </x:c>
      <x:c r="K34" s="80" t="n">
        <x:f>(H34*J34+I34)*'Inputs'!$D$44*(1+'Inputs'!$G$44)^(B34/30)</x:f>
        <x:v>63.978003540596575</x:v>
      </x:c>
      <x:c r="L34" s="80" t="n">
        <x:f>MAX(0,K34*'Inputs'!$E$44)</x:f>
        <x:v>0</x:v>
      </x:c>
      <x:c r="M34" s="80" t="n">
        <x:f>MAX(0,-K34*'Inputs'!$E$44)</x:f>
        <x:v>12.795600708119316</x:v>
      </x:c>
      <x:c r="N34" s="78" t="n">
        <x:f>H34*(L34*(1-'Inputs'!$B$15))/(I34+L34*(1-'Inputs'!$B$15))</x:f>
        <x:v>0</x:v>
      </x:c>
      <x:c r="O34" s="78" t="n">
        <x:f>H34-N34</x:f>
        <x:v>70979415.54464798</x:v>
      </x:c>
      <x:c r="P34" s="78" t="n">
        <x:f>I34+L34*(1-'Inputs'!$B$17)</x:f>
        <x:v>159.94500885149142</x:v>
      </x:c>
      <x:c r="Q34" s="78" t="n">
        <x:f>IF(J34&gt;0,M34/J34,0)</x:f>
        <x:v>5678353.243571839</x:v>
      </x:c>
      <x:c r="R34" s="78" t="n">
        <x:f>IF(B34='Inputs'!$H$44,'Inputs'!$B$27*'Inputs'!$I$44,0)</x:f>
        <x:v>0</x:v>
      </x:c>
      <x:c r="S34" s="78" t="n">
        <x:f>Q34+G34+R34</x:f>
        <x:v>6261412.699245646</x:v>
      </x:c>
      <x:c r="T34" s="78" t="n">
        <x:f>P34*(S34*(1-'Inputs'!$B$15))/(O34+S34*(1-'Inputs'!$B$15))</x:f>
        <x:v>12.846460673550732</x:v>
      </x:c>
      <x:c r="U34" s="78" t="n">
        <x:f>O34+S34*(1-'Inputs'!$B$17)</x:f>
        <x:v>77215631.41210592</x:v>
      </x:c>
      <x:c r="V34" s="78" t="n">
        <x:f>P34-T34</x:f>
        <x:v>147.0985481779407</x:v>
      </x:c>
      <x:c r="W34" s="79" t="n">
        <x:f>IF(U34&gt;0,V34/U34,0)</x:f>
        <x:v>0.0000019050358779411404</x:v>
      </x:c>
      <x:c r="X34" s="80" t="n">
        <x:f>W34*('Inputs'!$B$6-AC34)</x:f>
        <x:v>1903.5207111037705</x:v>
      </x:c>
      <x:c r="Y34" s="80" t="n">
        <x:f>2*V34</x:f>
        <x:v>294.1970963558814</x:v>
      </x:c>
      <x:c r="Z34" s="80" t="n">
        <x:f>K34*'Inputs'!$B$16+(G34+R34)*J34*'Inputs'!$B$16</x:f>
        <x:v>0.3917512180056067</x:v>
      </x:c>
      <x:c r="AA34" s="80" t="n">
        <x:f>K34*(1+'Inputs'!$E$44)/2*'Inputs'!$B$17</x:f>
        <x:v>0.10298270187621181</x:v>
      </x:c>
      <x:c r="AB34" s="78" t="n">
        <x:f>(IF(J34&gt;0,K34*(1-'Inputs'!$E$44)/2/J34,0)+G34+R34)*'Inputs'!$B$17</x:f>
        <x:v>70897.86392913207</x:v>
      </x:c>
      <x:c r="AC34" s="78" t="n">
        <x:f>AC33+AB34</x:f>
        <x:v>795348.189981365</x:v>
      </x:c>
      <x:c r="AD34" s="80" t="n">
        <x:f>Z34/(1+'Inputs'!$C$44)</x:f>
        <x:v>0.31340097440448533</x:v>
      </x:c>
      <x:c r="AE34" s="80" t="n">
        <x:f>Z34-AD34</x:f>
        <x:v>0.07835024360112136</x:v>
      </x:c>
      <x:c r="AF34" s="80" t="n">
        <x:f>D34*W34</x:f>
        <x:v>0.5732012190790615</x:v>
      </x:c>
      <x:c r="AG34" s="80" t="n">
        <x:f>C34*W34</x:f>
        <x:v>1.3374695111844757</x:v>
      </x:c>
      <x:c r="AH34" s="80" t="n">
        <x:f>2*'Inputs'!$B$8*'Inputs'!$C$44</x:f>
        <x:v>1250</x:v>
      </x:c>
      <x:c r="AI34" s="81" t="n">
        <x:f>IF(AH34&gt;0,(AE34+AF34)/AH34*365,0)</x:f>
        <x:v>0.19025302710261338</x:v>
      </x:c>
      <x:c r="AJ34" s="81" t="n">
        <x:f>IF('Inputs'!$B$44&gt;0,AG34/('Inputs'!$B$19*'Inputs'!$B$44)*365,0)</x:f>
        <x:v>0.048817637158233354</x:v>
      </x:c>
      <x:c r="AK34" s="81" t="n">
        <x:f>W34/MAX($W$4:W34)-1</x:f>
        <x:v>-0.9972004050756518</x:v>
      </x:c>
      <x:c r="AL34" s="83" t="n">
        <x:f>'Inputs'!$B$44</x:f>
        <x:v>1</x:v>
      </x:c>
      <x:c r="AM34" s="83" t="n">
        <x:f>'Inputs'!$C$44</x:f>
        <x:v>0.25</x:v>
      </x:c>
      <x:c r="AN34" s="83" t="n">
        <x:f>'Inputs'!$D$44</x:f>
        <x:v>0.2</x:v>
      </x:c>
      <x:c r="AO34" s="81" t="n">
        <x:f>'Inputs'!$E$44</x:f>
        <x:v>-0.2</x:v>
      </x:c>
    </x:row>
    <x:row r="35">
      <x:c r="A35" s="59" t="str">
        <x:v>No demand</x:v>
      </x:c>
      <x:c r="B35" s="59" t="n">
        <x:v>32</x:v>
      </x:c>
      <x:c r="C35" s="78" t="n">
        <x:f>(('Inputs'!$B$29*(3*32*'Inputs'!$B$12-32^2)/(2*'Inputs'!$B$12^2))-('Inputs'!$B$29*(3*31*'Inputs'!$B$12-31^2)/(2*'Inputs'!$B$12^2)))*'Inputs'!$B$44</x:f>
        <x:v>701745.4025145434</x:v>
      </x:c>
      <x:c r="D35" s="78" t="n">
        <x:f>IF('Inputs'!$C$44&gt;0,('Inputs'!$B$30*(3*32*'Inputs'!$B$12-32^2)/(2*'Inputs'!$B$12^2))-('Inputs'!$B$30*(3*31*'Inputs'!$B$12-31^2)/(2*'Inputs'!$B$12^2)),0)</x:f>
        <x:v>300748.02964909</x:v>
      </x:c>
      <x:c r="E35" s="78" t="n">
        <x:f>C35+D35</x:f>
        <x:v>1002493.4321636334</x:v>
      </x:c>
      <x:c r="F35" s="78" t="n">
        <x:f>'Inputs'!$B$13*E35+(1-'Inputs'!$B$13)/'Inputs'!$B$14*SUM(E4:E35)</x:f>
        <x:v>662072.2864112806</x:v>
      </x:c>
      <x:c r="G35" s="78" t="n">
        <x:f>F35*'Inputs'!$F$44</x:f>
        <x:v>595865.0577701526</x:v>
      </x:c>
      <x:c r="H35" s="78" t="n">
        <x:f>U34</x:f>
        <x:v>77215631.41210592</x:v>
      </x:c>
      <x:c r="I35" s="78" t="n">
        <x:f>V34</x:f>
        <x:v>147.0985481779407</x:v>
      </x:c>
      <x:c r="J35" s="79" t="n">
        <x:f>IF(H35&gt;0,I35/H35,0)</x:f>
        <x:v>0.0000019050358779411404</x:v>
      </x:c>
      <x:c r="K35" s="80" t="n">
        <x:f>(H35*J35+I35)*'Inputs'!$D$44*(1+'Inputs'!$G$44)^(B35/30)</x:f>
        <x:v>58.83941927117628</x:v>
      </x:c>
      <x:c r="L35" s="80" t="n">
        <x:f>MAX(0,K35*'Inputs'!$E$44)</x:f>
        <x:v>0</x:v>
      </x:c>
      <x:c r="M35" s="80" t="n">
        <x:f>MAX(0,-K35*'Inputs'!$E$44)</x:f>
        <x:v>11.767883854235258</x:v>
      </x:c>
      <x:c r="N35" s="78" t="n">
        <x:f>H35*(L35*(1-'Inputs'!$B$15))/(I35+L35*(1-'Inputs'!$B$15))</x:f>
        <x:v>0</x:v>
      </x:c>
      <x:c r="O35" s="78" t="n">
        <x:f>H35-N35</x:f>
        <x:v>77215631.41210592</x:v>
      </x:c>
      <x:c r="P35" s="78" t="n">
        <x:f>I35+L35*(1-'Inputs'!$B$17)</x:f>
        <x:v>147.0985481779407</x:v>
      </x:c>
      <x:c r="Q35" s="78" t="n">
        <x:f>IF(J35&gt;0,M35/J35,0)</x:f>
        <x:v>6177250.512968475</x:v>
      </x:c>
      <x:c r="R35" s="78" t="n">
        <x:f>IF(B35='Inputs'!$H$44,'Inputs'!$B$27*'Inputs'!$I$44,0)</x:f>
        <x:v>0</x:v>
      </x:c>
      <x:c r="S35" s="78" t="n">
        <x:f>Q35+G35+R35</x:f>
        <x:v>6773115.570738628</x:v>
      </x:c>
      <x:c r="T35" s="78" t="n">
        <x:f>P35*(S35*(1-'Inputs'!$B$15))/(O35+S35*(1-'Inputs'!$B$15))</x:f>
        <x:v>11.75334095642743</x:v>
      </x:c>
      <x:c r="U35" s="78" t="n">
        <x:f>O35+S35*(1-'Inputs'!$B$17)</x:f>
        <x:v>83961490.98457195</x:v>
      </x:c>
      <x:c r="V35" s="78" t="n">
        <x:f>P35-T35</x:f>
        <x:v>135.34520722151328</x:v>
      </x:c>
      <x:c r="W35" s="79" t="n">
        <x:f>IF(U35&gt;0,V35/U35,0)</x:f>
        <x:v>0.0000016119914693556736</x:v>
      </x:c>
      <x:c r="X35" s="80" t="n">
        <x:f>W35*('Inputs'!$B$6-AC35)</x:f>
        <x:v>1610.5852961669768</x:v>
      </x:c>
      <x:c r="Y35" s="80" t="n">
        <x:f>2*V35</x:f>
        <x:v>270.69041444302655</x:v>
      </x:c>
      <x:c r="Z35" s="80" t="n">
        <x:f>K35*'Inputs'!$B$16+(G35+R35)*J35*'Inputs'!$B$16</x:f>
        <x:v>0.35984738150783935</x:v>
      </x:c>
      <x:c r="AA35" s="80" t="n">
        <x:f>K35*(1+'Inputs'!$E$44)/2*'Inputs'!$B$17</x:f>
        <x:v>0.09471133886708458</x:v>
      </x:c>
      <x:c r="AB35" s="78" t="n">
        <x:f>(IF(J35&gt;0,K35*(1-'Inputs'!$E$44)/2/J35,0)+G35+R35)*'Inputs'!$B$17</x:f>
        <x:v>76972.30018782927</x:v>
      </x:c>
      <x:c r="AC35" s="78" t="n">
        <x:f>AC34+AB35</x:f>
        <x:v>872320.4901691943</x:v>
      </x:c>
      <x:c r="AD35" s="80" t="n">
        <x:f>Z35/(1+'Inputs'!$C$44)</x:f>
        <x:v>0.2878779052062715</x:v>
      </x:c>
      <x:c r="AE35" s="80" t="n">
        <x:f>Z35-AD35</x:f>
        <x:v>0.07196947630156786</x:v>
      </x:c>
      <x:c r="AF35" s="80" t="n">
        <x:f>D35*W35</x:f>
        <x:v>0.4848032582198603</x:v>
      </x:c>
      <x:c r="AG35" s="80" t="n">
        <x:f>C35*W35</x:f>
        <x:v>1.1312076025130073</x:v>
      </x:c>
      <x:c r="AH35" s="80" t="n">
        <x:f>2*'Inputs'!$B$8*'Inputs'!$C$44</x:f>
        <x:v>1250</x:v>
      </x:c>
      <x:c r="AI35" s="81" t="n">
        <x:f>IF(AH35&gt;0,(AE35+AF35)/AH35*365,0)</x:f>
        <x:v>0.16257763848025703</x:v>
      </x:c>
      <x:c r="AJ35" s="81" t="n">
        <x:f>IF('Inputs'!$B$44&gt;0,AG35/('Inputs'!$B$19*'Inputs'!$B$44)*365,0)</x:f>
        <x:v>0.041289077491724765</x:v>
      </x:c>
      <x:c r="AK35" s="81" t="n">
        <x:f>W35/MAX($W$4:W35)-1</x:f>
        <x:v>-0.9976310560929812</x:v>
      </x:c>
      <x:c r="AL35" s="83" t="n">
        <x:f>'Inputs'!$B$44</x:f>
        <x:v>1</x:v>
      </x:c>
      <x:c r="AM35" s="83" t="n">
        <x:f>'Inputs'!$C$44</x:f>
        <x:v>0.25</x:v>
      </x:c>
      <x:c r="AN35" s="83" t="n">
        <x:f>'Inputs'!$D$44</x:f>
        <x:v>0.2</x:v>
      </x:c>
      <x:c r="AO35" s="81" t="n">
        <x:f>'Inputs'!$E$44</x:f>
        <x:v>-0.2</x:v>
      </x:c>
    </x:row>
    <x:row r="36">
      <x:c r="A36" s="59" t="str">
        <x:v>No demand</x:v>
      </x:c>
      <x:c r="B36" s="59" t="n">
        <x:v>33</x:v>
      </x:c>
      <x:c r="C36" s="78" t="n">
        <x:f>(('Inputs'!$B$29*(3*33*'Inputs'!$B$12-33^2)/(2*'Inputs'!$B$12^2))-('Inputs'!$B$29*(3*32*'Inputs'!$B$12-32^2)/(2*'Inputs'!$B$12^2)))*'Inputs'!$B$44</x:f>
        <x:v>701420.2946143746</x:v>
      </x:c>
      <x:c r="D36" s="78" t="n">
        <x:f>IF('Inputs'!$C$44&gt;0,('Inputs'!$B$30*(3*33*'Inputs'!$B$12-33^2)/(2*'Inputs'!$B$12^2))-('Inputs'!$B$30*(3*32*'Inputs'!$B$12-32^2)/(2*'Inputs'!$B$12^2)),0)</x:f>
        <x:v>300608.6976918746</x:v>
      </x:c>
      <x:c r="E36" s="78" t="n">
        <x:f>C36+D36</x:f>
        <x:v>1002028.9923062492</x:v>
      </x:c>
      <x:c r="F36" s="78" t="n">
        <x:f>'Inputs'!$B$13*E36+(1-'Inputs'!$B$13)/'Inputs'!$B$14*SUM(E4:E36)</x:f>
        <x:v>676294.0983298931</x:v>
      </x:c>
      <x:c r="G36" s="78" t="n">
        <x:f>F36*'Inputs'!$F$44</x:f>
        <x:v>608664.6884969037</x:v>
      </x:c>
      <x:c r="H36" s="78" t="n">
        <x:f>U35</x:f>
        <x:v>83961490.98457195</x:v>
      </x:c>
      <x:c r="I36" s="78" t="n">
        <x:f>V35</x:f>
        <x:v>135.34520722151328</x:v>
      </x:c>
      <x:c r="J36" s="79" t="n">
        <x:f>IF(H36&gt;0,I36/H36,0)</x:f>
        <x:v>0.0000016119914693556736</x:v>
      </x:c>
      <x:c r="K36" s="80" t="n">
        <x:f>(H36*J36+I36)*'Inputs'!$D$44*(1+'Inputs'!$G$44)^(B36/30)</x:f>
        <x:v>54.13808288860531</x:v>
      </x:c>
      <x:c r="L36" s="80" t="n">
        <x:f>MAX(0,K36*'Inputs'!$E$44)</x:f>
        <x:v>0</x:v>
      </x:c>
      <x:c r="M36" s="80" t="n">
        <x:f>MAX(0,-K36*'Inputs'!$E$44)</x:f>
        <x:v>10.827616577721063</x:v>
      </x:c>
      <x:c r="N36" s="78" t="n">
        <x:f>H36*(L36*(1-'Inputs'!$B$15))/(I36+L36*(1-'Inputs'!$B$15))</x:f>
        <x:v>0</x:v>
      </x:c>
      <x:c r="O36" s="78" t="n">
        <x:f>H36-N36</x:f>
        <x:v>83961490.98457195</x:v>
      </x:c>
      <x:c r="P36" s="78" t="n">
        <x:f>I36+L36*(1-'Inputs'!$B$17)</x:f>
        <x:v>135.34520722151328</x:v>
      </x:c>
      <x:c r="Q36" s="78" t="n">
        <x:f>IF(J36&gt;0,M36/J36,0)</x:f>
        <x:v>6716919.278765756</x:v>
      </x:c>
      <x:c r="R36" s="78" t="n">
        <x:f>IF(B36='Inputs'!$H$44,'Inputs'!$B$27*'Inputs'!$I$44,0)</x:f>
        <x:v>0</x:v>
      </x:c>
      <x:c r="S36" s="78" t="n">
        <x:f>Q36+G36+R36</x:f>
        <x:v>7325583.967262659</x:v>
      </x:c>
      <x:c r="T36" s="78" t="n">
        <x:f>P36*(S36*(1-'Inputs'!$B$15))/(O36+S36*(1-'Inputs'!$B$15))</x:f>
        <x:v>10.761174817821054</x:v>
      </x:c>
      <x:c r="U36" s="78" t="n">
        <x:f>O36+S36*(1-'Inputs'!$B$17)</x:f>
        <x:v>91257595.74069874</x:v>
      </x:c>
      <x:c r="V36" s="78" t="n">
        <x:f>P36-T36</x:f>
        <x:v>124.58403240369222</x:v>
      </x:c>
      <x:c r="W36" s="79" t="n">
        <x:f>IF(U36&gt;0,V36/U36,0)</x:f>
        <x:v>0.0000013651908248567925</x:v>
      </x:c>
      <x:c r="X36" s="80" t="n">
        <x:f>W36*('Inputs'!$B$6-AC36)</x:f>
        <x:v>1363.8858943552057</x:v>
      </x:c>
      <x:c r="Y36" s="80" t="n">
        <x:f>2*V36</x:f>
        <x:v>249.16806480738444</x:v>
      </x:c>
      <x:c r="Z36" s="80" t="n">
        <x:f>K36*'Inputs'!$B$16+(G36+R36)*J36*'Inputs'!$B$16</x:f>
        <x:v>0.33071547104496213</x:v>
      </x:c>
      <x:c r="AA36" s="80" t="n">
        <x:f>K36*(1+'Inputs'!$E$44)/2*'Inputs'!$B$17</x:f>
        <x:v>0.0871437953941333</x:v>
      </x:c>
      <x:c r="AB36" s="78" t="n">
        <x:f>(IF(J36&gt;0,K36*(1-'Inputs'!$E$44)/2/J36,0)+G36+R36)*'Inputs'!$B$17</x:f>
        <x:v>83538.92364102282</x:v>
      </x:c>
      <x:c r="AC36" s="78" t="n">
        <x:f>AC35+AB36</x:f>
        <x:v>955859.413810217</x:v>
      </x:c>
      <x:c r="AD36" s="80" t="n">
        <x:f>Z36/(1+'Inputs'!$C$44)</x:f>
        <x:v>0.2645723768359697</x:v>
      </x:c>
      <x:c r="AE36" s="80" t="n">
        <x:f>Z36-AD36</x:f>
        <x:v>0.06614309420899245</x:v>
      </x:c>
      <x:c r="AF36" s="80" t="n">
        <x:f>D36*W36</x:f>
        <x:v>0.4103882359610964</x:v>
      </x:c>
      <x:c r="AG36" s="80" t="n">
        <x:f>C36*W36</x:f>
        <x:v>0.9575725505758925</x:v>
      </x:c>
      <x:c r="AH36" s="80" t="n">
        <x:f>2*'Inputs'!$B$8*'Inputs'!$C$44</x:f>
        <x:v>1250</x:v>
      </x:c>
      <x:c r="AI36" s="81" t="n">
        <x:f>IF(AH36&gt;0,(AE36+AF36)/AH36*365,0)</x:f>
        <x:v>0.13914714840966594</x:v>
      </x:c>
      <x:c r="AJ36" s="81" t="n">
        <x:f>IF('Inputs'!$B$44&gt;0,AG36/('Inputs'!$B$19*'Inputs'!$B$44)*365,0)</x:f>
        <x:v>0.034951398096020075</x:v>
      </x:c>
      <x:c r="AK36" s="81" t="n">
        <x:f>W36/MAX($W$4:W36)-1</x:f>
        <x:v>-0.997993748386426</x:v>
      </x:c>
      <x:c r="AL36" s="83" t="n">
        <x:f>'Inputs'!$B$44</x:f>
        <x:v>1</x:v>
      </x:c>
      <x:c r="AM36" s="83" t="n">
        <x:f>'Inputs'!$C$44</x:f>
        <x:v>0.25</x:v>
      </x:c>
      <x:c r="AN36" s="83" t="n">
        <x:f>'Inputs'!$D$44</x:f>
        <x:v>0.2</x:v>
      </x:c>
      <x:c r="AO36" s="81" t="n">
        <x:f>'Inputs'!$E$44</x:f>
        <x:v>-0.2</x:v>
      </x:c>
    </x:row>
    <x:row r="37">
      <x:c r="A37" s="59" t="str">
        <x:v>No demand</x:v>
      </x:c>
      <x:c r="B37" s="59" t="n">
        <x:v>34</x:v>
      </x:c>
      <x:c r="C37" s="78" t="n">
        <x:f>(('Inputs'!$B$29*(3*34*'Inputs'!$B$12-34^2)/(2*'Inputs'!$B$12^2))-('Inputs'!$B$29*(3*33*'Inputs'!$B$12-33^2)/(2*'Inputs'!$B$12^2)))*'Inputs'!$B$44</x:f>
        <x:v>701095.1867142059</x:v>
      </x:c>
      <x:c r="D37" s="78" t="n">
        <x:f>IF('Inputs'!$C$44&gt;0,('Inputs'!$B$30*(3*34*'Inputs'!$B$12-34^2)/(2*'Inputs'!$B$12^2))-('Inputs'!$B$30*(3*33*'Inputs'!$B$12-33^2)/(2*'Inputs'!$B$12^2)),0)</x:f>
        <x:v>300469.36573465914</x:v>
      </x:c>
      <x:c r="E37" s="78" t="n">
        <x:f>C37+D37</x:f>
        <x:v>1001564.552448865</x:v>
      </x:c>
      <x:c r="F37" s="78" t="n">
        <x:f>'Inputs'!$B$13*E37+(1-'Inputs'!$B$13)/'Inputs'!$B$14*SUM(E4:E37)</x:f>
        <x:v>690509.2753934</x:v>
      </x:c>
      <x:c r="G37" s="78" t="n">
        <x:f>F37*'Inputs'!$F$44</x:f>
        <x:v>621458.34785406</x:v>
      </x:c>
      <x:c r="H37" s="78" t="n">
        <x:f>U36</x:f>
        <x:v>91257595.74069874</x:v>
      </x:c>
      <x:c r="I37" s="78" t="n">
        <x:f>V36</x:f>
        <x:v>124.58403240369222</x:v>
      </x:c>
      <x:c r="J37" s="79" t="n">
        <x:f>IF(H37&gt;0,I37/H37,0)</x:f>
        <x:v>0.0000013651908248567925</x:v>
      </x:c>
      <x:c r="K37" s="80" t="n">
        <x:f>(H37*J37+I37)*'Inputs'!$D$44*(1+'Inputs'!$G$44)^(B37/30)</x:f>
        <x:v>49.83361296147689</x:v>
      </x:c>
      <x:c r="L37" s="80" t="n">
        <x:f>MAX(0,K37*'Inputs'!$E$44)</x:f>
        <x:v>0</x:v>
      </x:c>
      <x:c r="M37" s="80" t="n">
        <x:f>MAX(0,-K37*'Inputs'!$E$44)</x:f>
        <x:v>9.966722592295378</x:v>
      </x:c>
      <x:c r="N37" s="78" t="n">
        <x:f>H37*(L37*(1-'Inputs'!$B$15))/(I37+L37*(1-'Inputs'!$B$15))</x:f>
        <x:v>0</x:v>
      </x:c>
      <x:c r="O37" s="78" t="n">
        <x:f>H37-N37</x:f>
        <x:v>91257595.74069874</x:v>
      </x:c>
      <x:c r="P37" s="78" t="n">
        <x:f>I37+L37*(1-'Inputs'!$B$17)</x:f>
        <x:v>124.58403240369222</x:v>
      </x:c>
      <x:c r="Q37" s="78" t="n">
        <x:f>IF(J37&gt;0,M37/J37,0)</x:f>
        <x:v>7300607.6592558995</x:v>
      </x:c>
      <x:c r="R37" s="78" t="n">
        <x:f>IF(B37='Inputs'!$H$44,'Inputs'!$B$27*'Inputs'!$I$44,0)</x:f>
        <x:v>0</x:v>
      </x:c>
      <x:c r="S37" s="78" t="n">
        <x:f>Q37+G37+R37</x:f>
        <x:v>7922066.00710996</x:v>
      </x:c>
      <x:c r="T37" s="78" t="n">
        <x:f>P37*(S37*(1-'Inputs'!$B$15))/(O37+S37*(1-'Inputs'!$B$15))</x:f>
        <x:v>9.859626134131693</x:v>
      </x:c>
      <x:c r="U37" s="78" t="n">
        <x:f>O37+S37*(1-'Inputs'!$B$17)</x:f>
        <x:v>99147782.2065326</x:v>
      </x:c>
      <x:c r="V37" s="78" t="n">
        <x:f>P37-T37</x:f>
        <x:v>114.72440626956053</x:v>
      </x:c>
      <x:c r="W37" s="79" t="n">
        <x:f>IF(U37&gt;0,V37/U37,0)</x:f>
        <x:v>0.0000011571051184037643</x:v>
      </x:c>
      <x:c r="X37" s="80" t="n">
        <x:f>W37*('Inputs'!$B$6-AC37)</x:f>
        <x:v>1155.894212108298</x:v>
      </x:c>
      <x:c r="Y37" s="80" t="n">
        <x:f>2*V37</x:f>
        <x:v>229.44881253912106</x:v>
      </x:c>
      <x:c r="Z37" s="80" t="n">
        <x:f>K37*'Inputs'!$B$16+(G37+R37)*J37*'Inputs'!$B$16</x:f>
        <x:v>0.3040921331759875</x:v>
      </x:c>
      <x:c r="AA37" s="80" t="n">
        <x:f>K37*(1+'Inputs'!$E$44)/2*'Inputs'!$B$17</x:f>
        <x:v>0.08021507116535516</x:v>
      </x:c>
      <x:c r="AB37" s="78" t="n">
        <x:f>(IF(J37&gt;0,K37*(1-'Inputs'!$E$44)/2/J37,0)+G37+R37)*'Inputs'!$B$17</x:f>
        <x:v>90636.94698439338</x:v>
      </x:c>
      <x:c r="AC37" s="78" t="n">
        <x:f>AC36+AB37</x:f>
        <x:v>1046496.3607946105</x:v>
      </x:c>
      <x:c r="AD37" s="80" t="n">
        <x:f>Z37/(1+'Inputs'!$C$44)</x:f>
        <x:v>0.24327370654079</x:v>
      </x:c>
      <x:c r="AE37" s="80" t="n">
        <x:f>Z37-AD37</x:f>
        <x:v>0.06081842663519749</x:v>
      </x:c>
      <x:c r="AF37" s="80" t="n">
        <x:f>D37*W37</x:f>
        <x:v>0.34767464101510676</x:v>
      </x:c>
      <x:c r="AG37" s="80" t="n">
        <x:f>C37*W37</x:f>
        <x:v>0.8112408290352505</x:v>
      </x:c>
      <x:c r="AH37" s="80" t="n">
        <x:f>2*'Inputs'!$B$8*'Inputs'!$C$44</x:f>
        <x:v>1250</x:v>
      </x:c>
      <x:c r="AI37" s="81" t="n">
        <x:f>IF(AH37&gt;0,(AE37+AF37)/AH37*365,0)</x:f>
        <x:v>0.11927997575388884</x:v>
      </x:c>
      <x:c r="AJ37" s="81" t="n">
        <x:f>IF('Inputs'!$B$44&gt;0,AG37/('Inputs'!$B$19*'Inputs'!$B$44)*365,0)</x:f>
        <x:v>0.02961029025978664</x:v>
      </x:c>
      <x:c r="AK37" s="81" t="n">
        <x:f>W37/MAX($W$4:W37)-1</x:f>
        <x:v>-0.9982995461377234</x:v>
      </x:c>
      <x:c r="AL37" s="83" t="n">
        <x:f>'Inputs'!$B$44</x:f>
        <x:v>1</x:v>
      </x:c>
      <x:c r="AM37" s="83" t="n">
        <x:f>'Inputs'!$C$44</x:f>
        <x:v>0.25</x:v>
      </x:c>
      <x:c r="AN37" s="83" t="n">
        <x:f>'Inputs'!$D$44</x:f>
        <x:v>0.2</x:v>
      </x:c>
      <x:c r="AO37" s="81" t="n">
        <x:f>'Inputs'!$E$44</x:f>
        <x:v>-0.2</x:v>
      </x:c>
    </x:row>
    <x:row r="38">
      <x:c r="A38" s="59" t="str">
        <x:v>No demand</x:v>
      </x:c>
      <x:c r="B38" s="59" t="n">
        <x:v>35</x:v>
      </x:c>
      <x:c r="C38" s="78" t="n">
        <x:f>(('Inputs'!$B$29*(3*35*'Inputs'!$B$12-35^2)/(2*'Inputs'!$B$12^2))-('Inputs'!$B$29*(3*34*'Inputs'!$B$12-34^2)/(2*'Inputs'!$B$12^2)))*'Inputs'!$B$44</x:f>
        <x:v>700770.0788140334</x:v>
      </x:c>
      <x:c r="D38" s="78" t="n">
        <x:f>IF('Inputs'!$C$44&gt;0,('Inputs'!$B$30*(3*35*'Inputs'!$B$12-35^2)/(2*'Inputs'!$B$12^2))-('Inputs'!$B$30*(3*34*'Inputs'!$B$12-34^2)/(2*'Inputs'!$B$12^2)),0)</x:f>
        <x:v>300330.0337774437</x:v>
      </x:c>
      <x:c r="E38" s="78" t="n">
        <x:f>C38+D38</x:f>
        <x:v>1001100.1125914771</x:v>
      </x:c>
      <x:c r="F38" s="78" t="n">
        <x:f>'Inputs'!$B$13*E38+(1-'Inputs'!$B$13)/'Inputs'!$B$14*SUM(E4:E38)</x:f>
        <x:v>704717.8176018007</x:v>
      </x:c>
      <x:c r="G38" s="78" t="n">
        <x:f>F38*'Inputs'!$F$44</x:f>
        <x:v>634246.0358416206</x:v>
      </x:c>
      <x:c r="H38" s="78" t="n">
        <x:f>U37</x:f>
        <x:v>99147782.2065326</x:v>
      </x:c>
      <x:c r="I38" s="78" t="n">
        <x:f>V37</x:f>
        <x:v>114.72440626956053</x:v>
      </x:c>
      <x:c r="J38" s="79" t="n">
        <x:f>IF(H38&gt;0,I38/H38,0)</x:f>
        <x:v>0.0000011571051184037643</x:v>
      </x:c>
      <x:c r="K38" s="80" t="n">
        <x:f>(H38*J38+I38)*'Inputs'!$D$44*(1+'Inputs'!$G$44)^(B38/30)</x:f>
        <x:v>45.88976250782422</x:v>
      </x:c>
      <x:c r="L38" s="80" t="n">
        <x:f>MAX(0,K38*'Inputs'!$E$44)</x:f>
        <x:v>0</x:v>
      </x:c>
      <x:c r="M38" s="80" t="n">
        <x:f>MAX(0,-K38*'Inputs'!$E$44)</x:f>
        <x:v>9.177952501564844</x:v>
      </x:c>
      <x:c r="N38" s="78" t="n">
        <x:f>H38*(L38*(1-'Inputs'!$B$15))/(I38+L38*(1-'Inputs'!$B$15))</x:f>
        <x:v>0</x:v>
      </x:c>
      <x:c r="O38" s="78" t="n">
        <x:f>H38-N38</x:f>
        <x:v>99147782.2065326</x:v>
      </x:c>
      <x:c r="P38" s="78" t="n">
        <x:f>I38+L38*(1-'Inputs'!$B$17)</x:f>
        <x:v>114.72440626956053</x:v>
      </x:c>
      <x:c r="Q38" s="78" t="n">
        <x:f>IF(J38&gt;0,M38/J38,0)</x:f>
        <x:v>7931822.576522608</x:v>
      </x:c>
      <x:c r="R38" s="78" t="n">
        <x:f>IF(B38='Inputs'!$H$44,'Inputs'!$B$27*'Inputs'!$I$44,0)</x:f>
        <x:v>0</x:v>
      </x:c>
      <x:c r="S38" s="78" t="n">
        <x:f>Q38+G38+R38</x:f>
        <x:v>8566068.612364229</x:v>
      </x:c>
      <x:c r="T38" s="78" t="n">
        <x:f>P38*(S38*(1-'Inputs'!$B$15))/(O38+S38*(1-'Inputs'!$B$15))</x:f>
        <x:v>9.03954403638505</x:v>
      </x:c>
      <x:c r="U38" s="78" t="n">
        <x:f>O38+S38*(1-'Inputs'!$B$17)</x:f>
        <x:v>107679379.71784103</x:v>
      </x:c>
      <x:c r="V38" s="78" t="n">
        <x:f>P38-T38</x:f>
        <x:v>105.68486223317548</x:v>
      </x:c>
      <x:c r="W38" s="79" t="n">
        <x:f>IF(U38&gt;0,V38/U38,0)</x:f>
        <x:v>9.814772569280033e-7</x:v>
      </x:c>
      <x:c r="X38" s="80" t="n">
        <x:f>W38*('Inputs'!$B$6-AC38)</x:f>
        <x:v>980.3536567900471</x:v>
      </x:c>
      <x:c r="Y38" s="80" t="n">
        <x:f>2*V38</x:f>
        <x:v>211.36972446635096</x:v>
      </x:c>
      <x:c r="Z38" s="80" t="n">
        <x:f>K38*'Inputs'!$B$16+(G38+R38)*J38*'Inputs'!$B$16</x:f>
        <x:v>0.2797419110533432</x:v>
      </x:c>
      <x:c r="AA38" s="80" t="n">
        <x:f>K38*(1+'Inputs'!$E$44)/2*'Inputs'!$B$17</x:f>
        <x:v>0.07386682093814764</x:v>
      </x:c>
      <x:c r="AB38" s="78" t="n">
        <x:f>(IF(J38&gt;0,K38*(1-'Inputs'!$E$44)/2/J38,0)+G38+R38)*'Inputs'!$B$17</x:f>
        <x:v>98308.70730547063</x:v>
      </x:c>
      <x:c r="AC38" s="78" t="n">
        <x:f>AC37+AB38</x:f>
        <x:v>1144805.068100081</x:v>
      </x:c>
      <x:c r="AD38" s="80" t="n">
        <x:f>Z38/(1+'Inputs'!$C$44)</x:f>
        <x:v>0.22379352884267453</x:v>
      </x:c>
      <x:c r="AE38" s="80" t="n">
        <x:f>Z38-AD38</x:f>
        <x:v>0.05594838221066864</x:v>
      </x:c>
      <x:c r="AF38" s="80" t="n">
        <x:f>D38*W38</x:f>
        <x:v>0.29476709772498</x:v>
      </x:c>
      <x:c r="AG38" s="80" t="n">
        <x:f>C38*W38</x:f>
        <x:v>0.6877898946916182</x:v>
      </x:c>
      <x:c r="AH38" s="80" t="n">
        <x:f>2*'Inputs'!$B$8*'Inputs'!$C$44</x:f>
        <x:v>1250</x:v>
      </x:c>
      <x:c r="AI38" s="81" t="n">
        <x:f>IF(AH38&gt;0,(AE38+AF38)/AH38*365,0)</x:f>
        <x:v>0.10240892014120942</x:v>
      </x:c>
      <x:c r="AJ38" s="81" t="n">
        <x:f>IF('Inputs'!$B$44&gt;0,AG38/('Inputs'!$B$19*'Inputs'!$B$44)*365,0)</x:f>
        <x:v>0.025104331156244063</x:v>
      </x:c>
      <x:c r="AK38" s="81" t="n">
        <x:f>W38/MAX($W$4:W38)-1</x:f>
        <x:v>-0.9985576446204107</x:v>
      </x:c>
      <x:c r="AL38" s="83" t="n">
        <x:f>'Inputs'!$B$44</x:f>
        <x:v>1</x:v>
      </x:c>
      <x:c r="AM38" s="83" t="n">
        <x:f>'Inputs'!$C$44</x:f>
        <x:v>0.25</x:v>
      </x:c>
      <x:c r="AN38" s="83" t="n">
        <x:f>'Inputs'!$D$44</x:f>
        <x:v>0.2</x:v>
      </x:c>
      <x:c r="AO38" s="81" t="n">
        <x:f>'Inputs'!$E$44</x:f>
        <x:v>-0.2</x:v>
      </x:c>
    </x:row>
    <x:row r="39">
      <x:c r="A39" s="59" t="str">
        <x:v>No demand</x:v>
      </x:c>
      <x:c r="B39" s="59" t="n">
        <x:v>36</x:v>
      </x:c>
      <x:c r="C39" s="78" t="n">
        <x:f>(('Inputs'!$B$29*(3*36*'Inputs'!$B$12-36^2)/(2*'Inputs'!$B$12^2))-('Inputs'!$B$29*(3*35*'Inputs'!$B$12-35^2)/(2*'Inputs'!$B$12^2)))*'Inputs'!$B$44</x:f>
        <x:v>700444.9709138684</x:v>
      </x:c>
      <x:c r="D39" s="78" t="n">
        <x:f>IF('Inputs'!$C$44&gt;0,('Inputs'!$B$30*(3*36*'Inputs'!$B$12-36^2)/(2*'Inputs'!$B$12^2))-('Inputs'!$B$30*(3*35*'Inputs'!$B$12-35^2)/(2*'Inputs'!$B$12^2)),0)</x:f>
        <x:v>300190.7018202301</x:v>
      </x:c>
      <x:c r="E39" s="78" t="n">
        <x:f>C39+D39</x:f>
        <x:v>1000635.6727340985</x:v>
      </x:c>
      <x:c r="F39" s="78" t="n">
        <x:f>'Inputs'!$B$13*E39+(1-'Inputs'!$B$13)/'Inputs'!$B$14*SUM(E4:E39)</x:f>
        <x:v>718919.7249550978</x:v>
      </x:c>
      <x:c r="G39" s="78" t="n">
        <x:f>F39*'Inputs'!$F$44</x:f>
        <x:v>647027.752459588</x:v>
      </x:c>
      <x:c r="H39" s="78" t="n">
        <x:f>U38</x:f>
        <x:v>107679379.71784103</x:v>
      </x:c>
      <x:c r="I39" s="78" t="n">
        <x:f>V38</x:f>
        <x:v>105.68486223317548</x:v>
      </x:c>
      <x:c r="J39" s="79" t="n">
        <x:f>IF(H39&gt;0,I39/H39,0)</x:f>
        <x:v>9.814772569280033e-7</x:v>
      </x:c>
      <x:c r="K39" s="80" t="n">
        <x:f>(H39*J39+I39)*'Inputs'!$D$44*(1+'Inputs'!$G$44)^(B39/30)</x:f>
        <x:v>42.2739448932702</x:v>
      </x:c>
      <x:c r="L39" s="80" t="n">
        <x:f>MAX(0,K39*'Inputs'!$E$44)</x:f>
        <x:v>0</x:v>
      </x:c>
      <x:c r="M39" s="80" t="n">
        <x:f>MAX(0,-K39*'Inputs'!$E$44)</x:f>
        <x:v>8.45478897865404</x:v>
      </x:c>
      <x:c r="N39" s="78" t="n">
        <x:f>H39*(L39*(1-'Inputs'!$B$15))/(I39+L39*(1-'Inputs'!$B$15))</x:f>
        <x:v>0</x:v>
      </x:c>
      <x:c r="O39" s="78" t="n">
        <x:f>H39-N39</x:f>
        <x:v>107679379.71784103</x:v>
      </x:c>
      <x:c r="P39" s="78" t="n">
        <x:f>I39+L39*(1-'Inputs'!$B$17)</x:f>
        <x:v>105.68486223317548</x:v>
      </x:c>
      <x:c r="Q39" s="78" t="n">
        <x:f>IF(J39&gt;0,M39/J39,0)</x:f>
        <x:v>8614350.377427284</x:v>
      </x:c>
      <x:c r="R39" s="78" t="n">
        <x:f>IF(B39='Inputs'!$H$44,'Inputs'!$B$27*'Inputs'!$I$44,0)</x:f>
        <x:v>0</x:v>
      </x:c>
      <x:c r="S39" s="78" t="n">
        <x:f>Q39+G39+R39</x:f>
        <x:v>9261378.129886871</x:v>
      </x:c>
      <x:c r="T39" s="78" t="n">
        <x:f>P39*(S39*(1-'Inputs'!$B$15))/(O39+S39*(1-'Inputs'!$B$15))</x:f>
        <x:v>8.29281119328768</x:v>
      </x:c>
      <x:c r="U39" s="78" t="n">
        <x:f>O39+S39*(1-'Inputs'!$B$17)</x:f>
        <x:v>116903488.72044465</x:v>
      </x:c>
      <x:c r="V39" s="78" t="n">
        <x:f>P39-T39</x:f>
        <x:v>97.3920510398878</x:v>
      </x:c>
      <x:c r="W39" s="79" t="n">
        <x:f>IF(U39&gt;0,V39/U39,0)</x:f>
        <x:v>8.330979007203521e-7</x:v>
      </x:c>
      <x:c r="X39" s="80" t="n">
        <x:f>W39*('Inputs'!$B$6-AC39)</x:f>
        <x:v>832.0553578559561</x:v>
      </x:c>
      <x:c r="Y39" s="80" t="n">
        <x:f>2*V39</x:f>
        <x:v>194.7841020797756</x:v>
      </x:c>
      <x:c r="Z39" s="80" t="n">
        <x:f>K39*'Inputs'!$B$16+(G39+R39)*J39*'Inputs'!$B$16</x:f>
        <x:v>0.2574539275014631</x:v>
      </x:c>
      <x:c r="AA39" s="80" t="n">
        <x:f>K39*(1+'Inputs'!$E$44)/2*'Inputs'!$B$17</x:f>
        <x:v>0.06804659137749731</x:v>
      </x:c>
      <x:c r="AB39" s="78" t="n">
        <x:f>(IF(J39&gt;0,K39*(1-'Inputs'!$E$44)/2/J39,0)+G39+R39)*'Inputs'!$B$17</x:f>
        <x:v>106599.9150291406</x:v>
      </x:c>
      <x:c r="AC39" s="78" t="n">
        <x:f>AC38+AB39</x:f>
        <x:v>1251404.9831292217</x:v>
      </x:c>
      <x:c r="AD39" s="80" t="n">
        <x:f>Z39/(1+'Inputs'!$C$44)</x:f>
        <x:v>0.2059631420011705</x:v>
      </x:c>
      <x:c r="AE39" s="80" t="n">
        <x:f>Z39-AD39</x:f>
        <x:v>0.051490785500292624</x:v>
      </x:c>
      <x:c r="AF39" s="80" t="n">
        <x:f>D39*W39</x:f>
        <x:v>0.2500882435022029</x:v>
      </x:c>
      <x:c r="AG39" s="80" t="n">
        <x:f>C39*W39</x:f>
        <x:v>0.5835392348384718</x:v>
      </x:c>
      <x:c r="AH39" s="80" t="n">
        <x:f>2*'Inputs'!$B$8*'Inputs'!$C$44</x:f>
        <x:v>1250</x:v>
      </x:c>
      <x:c r="AI39" s="81" t="n">
        <x:f>IF(AH39&gt;0,(AE39+AF39)/AH39*365,0)</x:f>
        <x:v>0.08806107646872868</x:v>
      </x:c>
      <x:c r="AJ39" s="81" t="n">
        <x:f>IF('Inputs'!$B$44&gt;0,AG39/('Inputs'!$B$19*'Inputs'!$B$44)*365,0)</x:f>
        <x:v>0.021299182071604222</x:v>
      </x:c>
      <x:c r="AK39" s="81" t="n">
        <x:f>W39/MAX($W$4:W39)-1</x:f>
        <x:v>-0.9987756993548791</x:v>
      </x:c>
      <x:c r="AL39" s="83" t="n">
        <x:f>'Inputs'!$B$44</x:f>
        <x:v>1</x:v>
      </x:c>
      <x:c r="AM39" s="83" t="n">
        <x:f>'Inputs'!$C$44</x:f>
        <x:v>0.25</x:v>
      </x:c>
      <x:c r="AN39" s="83" t="n">
        <x:f>'Inputs'!$D$44</x:f>
        <x:v>0.2</x:v>
      </x:c>
      <x:c r="AO39" s="81" t="n">
        <x:f>'Inputs'!$E$44</x:f>
        <x:v>-0.2</x:v>
      </x:c>
    </x:row>
    <x:row r="40">
      <x:c r="A40" s="59" t="str">
        <x:v>No demand</x:v>
      </x:c>
      <x:c r="B40" s="59" t="n">
        <x:v>37</x:v>
      </x:c>
      <x:c r="C40" s="78" t="n">
        <x:f>(('Inputs'!$B$29*(3*37*'Inputs'!$B$12-37^2)/(2*'Inputs'!$B$12^2))-('Inputs'!$B$29*(3*36*'Inputs'!$B$12-36^2)/(2*'Inputs'!$B$12^2)))*'Inputs'!$B$44</x:f>
        <x:v>700119.8630136997</x:v>
      </x:c>
      <x:c r="D40" s="78" t="n">
        <x:f>IF('Inputs'!$C$44&gt;0,('Inputs'!$B$30*(3*37*'Inputs'!$B$12-37^2)/(2*'Inputs'!$B$12^2))-('Inputs'!$B$30*(3*36*'Inputs'!$B$12-36^2)/(2*'Inputs'!$B$12^2)),0)</x:f>
        <x:v>300051.3698630128</x:v>
      </x:c>
      <x:c r="E40" s="78" t="n">
        <x:f>C40+D40</x:f>
        <x:v>1000171.2328767125</x:v>
      </x:c>
      <x:c r="F40" s="78" t="n">
        <x:f>'Inputs'!$B$13*E40+(1-'Inputs'!$B$13)/'Inputs'!$B$14*SUM(E4:E40)</x:f>
        <x:v>733114.9974532878</x:v>
      </x:c>
      <x:c r="G40" s="78" t="n">
        <x:f>F40*'Inputs'!$F$44</x:f>
        <x:v>659803.497707959</x:v>
      </x:c>
      <x:c r="H40" s="78" t="n">
        <x:f>U39</x:f>
        <x:v>116903488.72044465</x:v>
      </x:c>
      <x:c r="I40" s="78" t="n">
        <x:f>V39</x:f>
        <x:v>97.3920510398878</x:v>
      </x:c>
      <x:c r="J40" s="79" t="n">
        <x:f>IF(H40&gt;0,I40/H40,0)</x:f>
        <x:v>8.330979007203521e-7</x:v>
      </x:c>
      <x:c r="K40" s="80" t="n">
        <x:f>(H40*J40+I40)*'Inputs'!$D$44*(1+'Inputs'!$G$44)^(B40/30)</x:f>
        <x:v>38.95682041595512</x:v>
      </x:c>
      <x:c r="L40" s="80" t="n">
        <x:f>MAX(0,K40*'Inputs'!$E$44)</x:f>
        <x:v>0</x:v>
      </x:c>
      <x:c r="M40" s="80" t="n">
        <x:f>MAX(0,-K40*'Inputs'!$E$44)</x:f>
        <x:v>7.7913640831910245</x:v>
      </x:c>
      <x:c r="N40" s="78" t="n">
        <x:f>H40*(L40*(1-'Inputs'!$B$15))/(I40+L40*(1-'Inputs'!$B$15))</x:f>
        <x:v>0</x:v>
      </x:c>
      <x:c r="O40" s="78" t="n">
        <x:f>H40-N40</x:f>
        <x:v>116903488.72044465</x:v>
      </x:c>
      <x:c r="P40" s="78" t="n">
        <x:f>I40+L40*(1-'Inputs'!$B$17)</x:f>
        <x:v>97.3920510398878</x:v>
      </x:c>
      <x:c r="Q40" s="78" t="n">
        <x:f>IF(J40&gt;0,M40/J40,0)</x:f>
        <x:v>9352279.097635573</x:v>
      </x:c>
      <x:c r="R40" s="78" t="n">
        <x:f>IF(B40='Inputs'!$H$44,'Inputs'!$B$27*'Inputs'!$I$44,0)</x:f>
        <x:v>0</x:v>
      </x:c>
      <x:c r="S40" s="78" t="n">
        <x:f>Q40+G40+R40</x:f>
        <x:v>10012082.595343532</x:v>
      </x:c>
      <x:c r="T40" s="78" t="n">
        <x:f>P40*(S40*(1-'Inputs'!$B$15))/(O40+S40*(1-'Inputs'!$B$15))</x:f>
        <x:v>7.612213518314451</x:v>
      </x:c>
      <x:c r="U40" s="78" t="n">
        <x:f>O40+S40*(1-'Inputs'!$B$17)</x:f>
        <x:v>126875281.24498197</x:v>
      </x:c>
      <x:c r="V40" s="78" t="n">
        <x:f>P40-T40</x:f>
        <x:v>89.77983752157336</x:v>
      </x:c>
      <x:c r="W40" s="79" t="n">
        <x:f>IF(U40&gt;0,V40/U40,0)</x:f>
        <x:v>7.076227665514966e-7</x:v>
      </x:c>
      <x:c r="X40" s="80" t="n">
        <x:f>W40*('Inputs'!$B$6-AC40)</x:f>
        <x:v>706.6554710630559</x:v>
      </x:c>
      <x:c r="Y40" s="80" t="n">
        <x:f>2*V40</x:f>
        <x:v>179.5596750431467</x:v>
      </x:c>
      <x:c r="Z40" s="80" t="n">
        <x:f>K40*'Inputs'!$B$16+(G40+R40)*J40*'Inputs'!$B$16</x:f>
        <x:v>0.2370390079487014</x:v>
      </x:c>
      <x:c r="AA40" s="80" t="n">
        <x:f>K40*(1+'Inputs'!$E$44)/2*'Inputs'!$B$17</x:f>
        <x:v>0.06270715559912293</x:v>
      </x:c>
      <x:c r="AB40" s="78" t="n">
        <x:f>(IF(J40&gt;0,K40*(1-'Inputs'!$E$44)/2/J40,0)+G40+R40)*'Inputs'!$B$17</x:f>
        <x:v>115559.92269865061</x:v>
      </x:c>
      <x:c r="AC40" s="78" t="n">
        <x:f>AC39+AB40</x:f>
        <x:v>1366964.9058278722</x:v>
      </x:c>
      <x:c r="AD40" s="80" t="n">
        <x:f>Z40/(1+'Inputs'!$C$44)</x:f>
        <x:v>0.1896312063589611</x:v>
      </x:c>
      <x:c r="AE40" s="80" t="n">
        <x:f>Z40-AD40</x:f>
        <x:v>0.047407801589740284</x:v>
      </x:c>
      <x:c r="AF40" s="80" t="n">
        <x:f>D40*W40</x:f>
        <x:v>0.21232318045003148</x:v>
      </x:c>
      <x:c r="AG40" s="80" t="n">
        <x:f>C40*W40</x:f>
        <x:v>0.495420754383409</x:v>
      </x:c>
      <x:c r="AH40" s="80" t="n">
        <x:f>2*'Inputs'!$B$8*'Inputs'!$C$44</x:f>
        <x:v>1250</x:v>
      </x:c>
      <x:c r="AI40" s="81" t="n">
        <x:f>IF(AH40&gt;0,(AE40+AF40)/AH40*365,0)</x:f>
        <x:v>0.07584144675561334</x:v>
      </x:c>
      <x:c r="AJ40" s="81" t="n">
        <x:f>IF('Inputs'!$B$44&gt;0,AG40/('Inputs'!$B$19*'Inputs'!$B$44)*365,0)</x:f>
        <x:v>0.018082857534994428</x:v>
      </x:c>
      <x:c r="AK40" s="81" t="n">
        <x:f>W40/MAX($W$4:W40)-1</x:f>
        <x:v>-0.9989600945953144</x:v>
      </x:c>
      <x:c r="AL40" s="83" t="n">
        <x:f>'Inputs'!$B$44</x:f>
        <x:v>1</x:v>
      </x:c>
      <x:c r="AM40" s="83" t="n">
        <x:f>'Inputs'!$C$44</x:f>
        <x:v>0.25</x:v>
      </x:c>
      <x:c r="AN40" s="83" t="n">
        <x:f>'Inputs'!$D$44</x:f>
        <x:v>0.2</x:v>
      </x:c>
      <x:c r="AO40" s="81" t="n">
        <x:f>'Inputs'!$E$44</x:f>
        <x:v>-0.2</x:v>
      </x:c>
    </x:row>
    <x:row r="41">
      <x:c r="A41" s="59" t="str">
        <x:v>No demand</x:v>
      </x:c>
      <x:c r="B41" s="59" t="n">
        <x:v>38</x:v>
      </x:c>
      <x:c r="C41" s="78" t="n">
        <x:f>(('Inputs'!$B$29*(3*38*'Inputs'!$B$12-38^2)/(2*'Inputs'!$B$12^2))-('Inputs'!$B$29*(3*37*'Inputs'!$B$12-37^2)/(2*'Inputs'!$B$12^2)))*'Inputs'!$B$44</x:f>
        <x:v>699794.7551135309</x:v>
      </x:c>
      <x:c r="D41" s="78" t="n">
        <x:f>IF('Inputs'!$C$44&gt;0,('Inputs'!$B$30*(3*38*'Inputs'!$B$12-38^2)/(2*'Inputs'!$B$12^2))-('Inputs'!$B$30*(3*37*'Inputs'!$B$12-37^2)/(2*'Inputs'!$B$12^2)),0)</x:f>
        <x:v>299912.0379057992</x:v>
      </x:c>
      <x:c r="E41" s="78" t="n">
        <x:f>C41+D41</x:f>
        <x:v>999706.7930193301</x:v>
      </x:c>
      <x:c r="F41" s="78" t="n">
        <x:f>'Inputs'!$B$13*E41+(1-'Inputs'!$B$13)/'Inputs'!$B$14*SUM(E4:E41)</x:f>
        <x:v>747303.6350963733</x:v>
      </x:c>
      <x:c r="G41" s="78" t="n">
        <x:f>F41*'Inputs'!$F$44</x:f>
        <x:v>672573.271586736</x:v>
      </x:c>
      <x:c r="H41" s="78" t="n">
        <x:f>U40</x:f>
        <x:v>126875281.24498197</x:v>
      </x:c>
      <x:c r="I41" s="78" t="n">
        <x:f>V40</x:f>
        <x:v>89.77983752157336</x:v>
      </x:c>
      <x:c r="J41" s="79" t="n">
        <x:f>IF(H41&gt;0,I41/H41,0)</x:f>
        <x:v>7.076227665514966e-7</x:v>
      </x:c>
      <x:c r="K41" s="80" t="n">
        <x:f>(H41*J41+I41)*'Inputs'!$D$44*(1+'Inputs'!$G$44)^(B41/30)</x:f>
        <x:v>35.91193500862934</x:v>
      </x:c>
      <x:c r="L41" s="80" t="n">
        <x:f>MAX(0,K41*'Inputs'!$E$44)</x:f>
        <x:v>0</x:v>
      </x:c>
      <x:c r="M41" s="80" t="n">
        <x:f>MAX(0,-K41*'Inputs'!$E$44)</x:f>
        <x:v>7.182387001725869</x:v>
      </x:c>
      <x:c r="N41" s="78" t="n">
        <x:f>H41*(L41*(1-'Inputs'!$B$15))/(I41+L41*(1-'Inputs'!$B$15))</x:f>
        <x:v>0</x:v>
      </x:c>
      <x:c r="O41" s="78" t="n">
        <x:f>H41-N41</x:f>
        <x:v>126875281.24498197</x:v>
      </x:c>
      <x:c r="P41" s="78" t="n">
        <x:f>I41+L41*(1-'Inputs'!$B$17)</x:f>
        <x:v>89.77983752157336</x:v>
      </x:c>
      <x:c r="Q41" s="78" t="n">
        <x:f>IF(J41&gt;0,M41/J41,0)</x:f>
        <x:v>10150022.499598559</x:v>
      </x:c>
      <x:c r="R41" s="78" t="n">
        <x:f>IF(B41='Inputs'!$H$44,'Inputs'!$B$27*'Inputs'!$I$44,0)</x:f>
        <x:v>0</x:v>
      </x:c>
      <x:c r="S41" s="78" t="n">
        <x:f>Q41+G41+R41</x:f>
        <x:v>10822595.771185296</x:v>
      </x:c>
      <x:c r="T41" s="78" t="n">
        <x:f>P41*(S41*(1-'Inputs'!$B$15))/(O41+S41*(1-'Inputs'!$B$15))</x:f>
        <x:v>6.991328007591319</x:v>
      </x:c>
      <x:c r="U41" s="78" t="n">
        <x:f>O41+S41*(1-'Inputs'!$B$17)</x:f>
        <x:v>137654325.32292306</x:v>
      </x:c>
      <x:c r="V41" s="78" t="n">
        <x:f>P41-T41</x:f>
        <x:v>82.78850951398204</x:v>
      </x:c>
      <x:c r="W41" s="79" t="n">
        <x:f>IF(U41&gt;0,V41/U41,0)</x:f>
        <x:v>6.014232340303772e-7</x:v>
      </x:c>
      <x:c r="X41" s="80" t="n">
        <x:f>W41*('Inputs'!$B$6-AC41)</x:f>
        <x:v>600.5257861181066</x:v>
      </x:c>
      <x:c r="Y41" s="80" t="n">
        <x:f>2*V41</x:f>
        <x:v>165.57701902796407</x:v>
      </x:c>
      <x:c r="Z41" s="80" t="n">
        <x:f>K41*'Inputs'!$B$16+(G41+R41)*J41*'Inputs'!$B$16</x:f>
        <x:v>0.21832717900666884</x:v>
      </x:c>
      <x:c r="AA41" s="80" t="n">
        <x:f>K41*(1+'Inputs'!$E$44)/2*'Inputs'!$B$17</x:f>
        <x:v>0.05780593160342752</x:v>
      </x:c>
      <x:c r="AB41" s="78" t="n">
        <x:f>(IF(J41&gt;0,K41*(1-'Inputs'!$E$44)/2/J41,0)+G41+R41)*'Inputs'!$B$17</x:f>
        <x:v>125242.01517256504</x:v>
      </x:c>
      <x:c r="AC41" s="78" t="n">
        <x:f>AC40+AB41</x:f>
        <x:v>1492206.9210004373</x:v>
      </x:c>
      <x:c r="AD41" s="80" t="n">
        <x:f>Z41/(1+'Inputs'!$C$44)</x:f>
        <x:v>0.17466174320533506</x:v>
      </x:c>
      <x:c r="AE41" s="80" t="n">
        <x:f>Z41-AD41</x:f>
        <x:v>0.04366543580133378</x:v>
      </x:c>
      <x:c r="AF41" s="80" t="n">
        <x:f>D41*W41</x:f>
        <x:v>0.18037406776194684</x:v>
      </x:c>
      <x:c r="AG41" s="80" t="n">
        <x:f>C41*W41</x:f>
        <x:v>0.42087282477787563</x:v>
      </x:c>
      <x:c r="AH41" s="80" t="n">
        <x:f>2*'Inputs'!$B$8*'Inputs'!$C$44</x:f>
        <x:v>1250</x:v>
      </x:c>
      <x:c r="AI41" s="81" t="n">
        <x:f>IF(AH41&gt;0,(AE41+AF41)/AH41*365,0)</x:f>
        <x:v>0.06541953504047794</x:v>
      </x:c>
      <x:c r="AJ41" s="81" t="n">
        <x:f>IF('Inputs'!$B$44&gt;0,AG41/('Inputs'!$B$19*'Inputs'!$B$44)*365,0)</x:f>
        <x:v>0.01536185810439246</x:v>
      </x:c>
      <x:c r="AK41" s="81" t="n">
        <x:f>W41/MAX($W$4:W41)-1</x:f>
        <x:v>-0.9991161628750025</x:v>
      </x:c>
      <x:c r="AL41" s="83" t="n">
        <x:f>'Inputs'!$B$44</x:f>
        <x:v>1</x:v>
      </x:c>
      <x:c r="AM41" s="83" t="n">
        <x:f>'Inputs'!$C$44</x:f>
        <x:v>0.25</x:v>
      </x:c>
      <x:c r="AN41" s="83" t="n">
        <x:f>'Inputs'!$D$44</x:f>
        <x:v>0.2</x:v>
      </x:c>
      <x:c r="AO41" s="81" t="n">
        <x:f>'Inputs'!$E$44</x:f>
        <x:v>-0.2</x:v>
      </x:c>
    </x:row>
    <x:row r="42">
      <x:c r="A42" s="59" t="str">
        <x:v>No demand</x:v>
      </x:c>
      <x:c r="B42" s="59" t="n">
        <x:v>39</x:v>
      </x:c>
      <x:c r="C42" s="78" t="n">
        <x:f>(('Inputs'!$B$29*(3*39*'Inputs'!$B$12-39^2)/(2*'Inputs'!$B$12^2))-('Inputs'!$B$29*(3*38*'Inputs'!$B$12-38^2)/(2*'Inputs'!$B$12^2)))*'Inputs'!$B$44</x:f>
        <x:v>699469.6472133584</x:v>
      </x:c>
      <x:c r="D42" s="78" t="n">
        <x:f>IF('Inputs'!$C$44&gt;0,('Inputs'!$B$30*(3*39*'Inputs'!$B$12-39^2)/(2*'Inputs'!$B$12^2))-('Inputs'!$B$30*(3*38*'Inputs'!$B$12-38^2)/(2*'Inputs'!$B$12^2)),0)</x:f>
        <x:v>299772.7059485819</x:v>
      </x:c>
      <x:c r="E42" s="78" t="n">
        <x:f>C42+D42</x:f>
        <x:v>999242.3531619404</x:v>
      </x:c>
      <x:c r="F42" s="78" t="n">
        <x:f>'Inputs'!$B$13*E42+(1-'Inputs'!$B$13)/'Inputs'!$B$14*SUM(E4:E42)</x:f>
        <x:v>761485.6378843514</x:v>
      </x:c>
      <x:c r="G42" s="78" t="n">
        <x:f>F42*'Inputs'!$F$44</x:f>
        <x:v>685337.0740959164</x:v>
      </x:c>
      <x:c r="H42" s="78" t="n">
        <x:f>U41</x:f>
        <x:v>137654325.32292306</x:v>
      </x:c>
      <x:c r="I42" s="78" t="n">
        <x:f>V41</x:f>
        <x:v>82.78850951398204</x:v>
      </x:c>
      <x:c r="J42" s="79" t="n">
        <x:f>IF(H42&gt;0,I42/H42,0)</x:f>
        <x:v>6.014232340303772e-7</x:v>
      </x:c>
      <x:c r="K42" s="80" t="n">
        <x:f>(H42*J42+I42)*'Inputs'!$D$44*(1+'Inputs'!$G$44)^(B42/30)</x:f>
        <x:v>33.11540380559281</x:v>
      </x:c>
      <x:c r="L42" s="80" t="n">
        <x:f>MAX(0,K42*'Inputs'!$E$44)</x:f>
        <x:v>0</x:v>
      </x:c>
      <x:c r="M42" s="80" t="n">
        <x:f>MAX(0,-K42*'Inputs'!$E$44)</x:f>
        <x:v>6.623080761118563</x:v>
      </x:c>
      <x:c r="N42" s="78" t="n">
        <x:f>H42*(L42*(1-'Inputs'!$B$15))/(I42+L42*(1-'Inputs'!$B$15))</x:f>
        <x:v>0</x:v>
      </x:c>
      <x:c r="O42" s="78" t="n">
        <x:f>H42-N42</x:f>
        <x:v>137654325.32292306</x:v>
      </x:c>
      <x:c r="P42" s="78" t="n">
        <x:f>I42+L42*(1-'Inputs'!$B$17)</x:f>
        <x:v>82.78850951398204</x:v>
      </x:c>
      <x:c r="Q42" s="78" t="n">
        <x:f>IF(J42&gt;0,M42/J42,0)</x:f>
        <x:v>11012346.025833845</x:v>
      </x:c>
      <x:c r="R42" s="78" t="n">
        <x:f>IF(B42='Inputs'!$H$44,'Inputs'!$B$27*'Inputs'!$I$44,0)</x:f>
        <x:v>0</x:v>
      </x:c>
      <x:c r="S42" s="78" t="n">
        <x:f>Q42+G42+R42</x:f>
        <x:v>11697683.099929761</x:v>
      </x:c>
      <x:c r="T42" s="78" t="n">
        <x:f>P42*(S42*(1-'Inputs'!$B$15))/(O42+S42*(1-'Inputs'!$B$15))</x:f>
        <x:v>6.424425960159862</x:v>
      </x:c>
      <x:c r="U42" s="78" t="n">
        <x:f>O42+S42*(1-'Inputs'!$B$17)</x:f>
        <x:v>149304935.25142455</x:v>
      </x:c>
      <x:c r="V42" s="78" t="n">
        <x:f>P42-T42</x:f>
        <x:v>76.36408355382217</x:v>
      </x:c>
      <x:c r="W42" s="79" t="n">
        <x:f>IF(U42&gt;0,V42/U42,0)</x:f>
        <x:v>5.114638938440152e-7</x:v>
      </x:c>
      <x:c r="X42" s="80" t="n">
        <x:f>W42*('Inputs'!$B$6-AC42)</x:f>
        <x:v>510.6312763272332</x:v>
      </x:c>
      <x:c r="Y42" s="80" t="n">
        <x:f>2*V42</x:f>
        <x:v>152.72816710764434</x:v>
      </x:c>
      <x:c r="Z42" s="80" t="n">
        <x:f>K42*'Inputs'!$B$16+(G42+R42)*J42*'Inputs'!$B$16</x:f>
        <x:v>0.20116548867057896</x:v>
      </x:c>
      <x:c r="AA42" s="80" t="n">
        <x:f>K42*(1+'Inputs'!$E$44)/2*'Inputs'!$B$17</x:f>
        <x:v>0.05330447292650755</x:v>
      </x:c>
      <x:c r="AB42" s="78" t="n">
        <x:f>(IF(J42&gt;0,K42*(1-'Inputs'!$E$44)/2/J42,0)+G42+R42)*'Inputs'!$B$17</x:f>
        <x:v>135703.72294405414</x:v>
      </x:c>
      <x:c r="AC42" s="78" t="n">
        <x:f>AC41+AB42</x:f>
        <x:v>1627910.6439444914</x:v>
      </x:c>
      <x:c r="AD42" s="80" t="n">
        <x:f>Z42/(1+'Inputs'!$C$44)</x:f>
        <x:v>0.16093239093646317</x:v>
      </x:c>
      <x:c r="AE42" s="80" t="n">
        <x:f>Z42-AD42</x:f>
        <x:v>0.04023309773411579</x:v>
      </x:c>
      <x:c r="AF42" s="80" t="n">
        <x:f>D42*W42</x:f>
        <x:v>0.15332291545261867</x:v>
      </x:c>
      <x:c r="AG42" s="80" t="n">
        <x:f>C42*W42</x:f>
        <x:v>0.3577534693894439</x:v>
      </x:c>
      <x:c r="AH42" s="80" t="n">
        <x:f>2*'Inputs'!$B$8*'Inputs'!$C$44</x:f>
        <x:v>1250</x:v>
      </x:c>
      <x:c r="AI42" s="81" t="n">
        <x:f>IF(AH42&gt;0,(AE42+AF42)/AH42*365,0)</x:f>
        <x:v>0.05651835585052647</x:v>
      </x:c>
      <x:c r="AJ42" s="81" t="n">
        <x:f>IF('Inputs'!$B$44&gt;0,AG42/('Inputs'!$B$19*'Inputs'!$B$44)*365,0)</x:f>
        <x:v>0.013058001632714703</x:v>
      </x:c>
      <x:c r="AK42" s="81" t="n">
        <x:f>W42/MAX($W$4:W42)-1</x:f>
        <x:v>-0.9992483649584907</x:v>
      </x:c>
      <x:c r="AL42" s="83" t="n">
        <x:f>'Inputs'!$B$44</x:f>
        <x:v>1</x:v>
      </x:c>
      <x:c r="AM42" s="83" t="n">
        <x:f>'Inputs'!$C$44</x:f>
        <x:v>0.25</x:v>
      </x:c>
      <x:c r="AN42" s="83" t="n">
        <x:f>'Inputs'!$D$44</x:f>
        <x:v>0.2</x:v>
      </x:c>
      <x:c r="AO42" s="81" t="n">
        <x:f>'Inputs'!$E$44</x:f>
        <x:v>-0.2</x:v>
      </x:c>
    </x:row>
    <x:row r="43">
      <x:c r="A43" s="59" t="str">
        <x:v>No demand</x:v>
      </x:c>
      <x:c r="B43" s="59" t="n">
        <x:v>40</x:v>
      </x:c>
      <x:c r="C43" s="78" t="n">
        <x:f>(('Inputs'!$B$29*(3*40*'Inputs'!$B$12-40^2)/(2*'Inputs'!$B$12^2))-('Inputs'!$B$29*(3*39*'Inputs'!$B$12-39^2)/(2*'Inputs'!$B$12^2)))*'Inputs'!$B$44</x:f>
        <x:v>699144.5393131934</x:v>
      </x:c>
      <x:c r="D43" s="78" t="n">
        <x:f>IF('Inputs'!$C$44&gt;0,('Inputs'!$B$30*(3*40*'Inputs'!$B$12-40^2)/(2*'Inputs'!$B$12^2))-('Inputs'!$B$30*(3*39*'Inputs'!$B$12-39^2)/(2*'Inputs'!$B$12^2)),0)</x:f>
        <x:v>299633.37399136834</x:v>
      </x:c>
      <x:c r="E43" s="78" t="n">
        <x:f>C43+D43</x:f>
        <x:v>998777.9133045617</x:v>
      </x:c>
      <x:c r="F43" s="78" t="n">
        <x:f>'Inputs'!$B$13*E43+(1-'Inputs'!$B$13)/'Inputs'!$B$14*SUM(E4:E43)</x:f>
        <x:v>775661.0058172266</x:v>
      </x:c>
      <x:c r="G43" s="78" t="n">
        <x:f>F43*'Inputs'!$F$44</x:f>
        <x:v>698094.9052355039</x:v>
      </x:c>
      <x:c r="H43" s="78" t="n">
        <x:f>U42</x:f>
        <x:v>149304935.25142455</x:v>
      </x:c>
      <x:c r="I43" s="78" t="n">
        <x:f>V42</x:f>
        <x:v>76.36408355382217</x:v>
      </x:c>
      <x:c r="J43" s="79" t="n">
        <x:f>IF(H43&gt;0,I43/H43,0)</x:f>
        <x:v>5.114638938440152e-7</x:v>
      </x:c>
      <x:c r="K43" s="80" t="n">
        <x:f>(H43*J43+I43)*'Inputs'!$D$44*(1+'Inputs'!$G$44)^(B43/30)</x:f>
        <x:v>30.54563342152887</x:v>
      </x:c>
      <x:c r="L43" s="80" t="n">
        <x:f>MAX(0,K43*'Inputs'!$E$44)</x:f>
        <x:v>0</x:v>
      </x:c>
      <x:c r="M43" s="80" t="n">
        <x:f>MAX(0,-K43*'Inputs'!$E$44)</x:f>
        <x:v>6.1091266843057745</x:v>
      </x:c>
      <x:c r="N43" s="78" t="n">
        <x:f>H43*(L43*(1-'Inputs'!$B$15))/(I43+L43*(1-'Inputs'!$B$15))</x:f>
        <x:v>0</x:v>
      </x:c>
      <x:c r="O43" s="78" t="n">
        <x:f>H43-N43</x:f>
        <x:v>149304935.25142455</x:v>
      </x:c>
      <x:c r="P43" s="78" t="n">
        <x:f>I43+L43*(1-'Inputs'!$B$17)</x:f>
        <x:v>76.36408355382217</x:v>
      </x:c>
      <x:c r="Q43" s="78" t="n">
        <x:f>IF(J43&gt;0,M43/J43,0)</x:f>
        <x:v>11944394.820113966</x:v>
      </x:c>
      <x:c r="R43" s="78" t="n">
        <x:f>IF(B43='Inputs'!$H$44,'Inputs'!$B$27*'Inputs'!$I$44,0)</x:f>
        <x:v>0</x:v>
      </x:c>
      <x:c r="S43" s="78" t="n">
        <x:f>Q43+G43+R43</x:f>
        <x:v>12642489.725349471</x:v>
      </x:c>
      <x:c r="T43" s="78" t="n">
        <x:f>P43*(S43*(1-'Inputs'!$B$15))/(O43+S43*(1-'Inputs'!$B$15))</x:f>
        <x:v>5.90638928092211</x:v>
      </x:c>
      <x:c r="U43" s="78" t="n">
        <x:f>O43+S43*(1-'Inputs'!$B$17)</x:f>
        <x:v>161896549.76661164</x:v>
      </x:c>
      <x:c r="V43" s="78" t="n">
        <x:f>P43-T43</x:f>
        <x:v>70.45769427290006</x:v>
      </x:c>
      <x:c r="W43" s="79" t="n">
        <x:f>IF(U43&gt;0,V43/U43,0)</x:f>
        <x:v>4.352019507177338e-7</x:v>
      </x:c>
      <x:c r="X43" s="80" t="n">
        <x:f>W43*('Inputs'!$B$6-AC43)</x:f>
        <x:v>434.4295030269086</x:v>
      </x:c>
      <x:c r="Y43" s="80" t="n">
        <x:f>2*V43</x:f>
        <x:v>140.9153885458001</x:v>
      </x:c>
      <x:c r="Z43" s="80" t="n">
        <x:f>K43*'Inputs'!$B$16+(G43+R43)*J43*'Inputs'!$B$16</x:f>
        <x:v>0.18541610256019975</x:v>
      </x:c>
      <x:c r="AA43" s="80" t="n">
        <x:f>K43*(1+'Inputs'!$E$44)/2*'Inputs'!$B$17</x:f>
        <x:v>0.049168021604070626</x:v>
      </x:c>
      <x:c r="AB43" s="78" t="n">
        <x:f>(IF(J43&gt;0,K43*(1-'Inputs'!$E$44)/2/J43,0)+G43+R43)*'Inputs'!$B$17</x:f>
        <x:v>147007.16042485877</x:v>
      </x:c>
      <x:c r="AC43" s="78" t="n">
        <x:f>AC42+AB43</x:f>
        <x:v>1774917.8043693502</x:v>
      </x:c>
      <x:c r="AD43" s="80" t="n">
        <x:f>Z43/(1+'Inputs'!$C$44)</x:f>
        <x:v>0.1483328820481598</x:v>
      </x:c>
      <x:c r="AE43" s="80" t="n">
        <x:f>Z43-AD43</x:f>
        <x:v>0.03708322051203994</x:v>
      </x:c>
      <x:c r="AF43" s="80" t="n">
        <x:f>D43*W43</x:f>
        <x:v>0.1304010288611798</x:v>
      </x:c>
      <x:c r="AG43" s="80" t="n">
        <x:f>C43*W43</x:f>
        <x:v>0.3042690673427531</x:v>
      </x:c>
      <x:c r="AH43" s="80" t="n">
        <x:f>2*'Inputs'!$B$8*'Inputs'!$C$44</x:f>
        <x:v>1250</x:v>
      </x:c>
      <x:c r="AI43" s="81" t="n">
        <x:f>IF(AH43&gt;0,(AE43+AF43)/AH43*365,0)</x:f>
        <x:v>0.04890540081698016</x:v>
      </x:c>
      <x:c r="AJ43" s="81" t="n">
        <x:f>IF('Inputs'!$B$44&gt;0,AG43/('Inputs'!$B$19*'Inputs'!$B$44)*365,0)</x:f>
        <x:v>0.011105820958010488</x:v>
      </x:c>
      <x:c r="AK43" s="81" t="n">
        <x:f>W43/MAX($W$4:W43)-1</x:f>
        <x:v>-0.9993604376765793</x:v>
      </x:c>
      <x:c r="AL43" s="83" t="n">
        <x:f>'Inputs'!$B$44</x:f>
        <x:v>1</x:v>
      </x:c>
      <x:c r="AM43" s="83" t="n">
        <x:f>'Inputs'!$C$44</x:f>
        <x:v>0.25</x:v>
      </x:c>
      <x:c r="AN43" s="83" t="n">
        <x:f>'Inputs'!$D$44</x:f>
        <x:v>0.2</x:v>
      </x:c>
      <x:c r="AO43" s="81" t="n">
        <x:f>'Inputs'!$E$44</x:f>
        <x:v>-0.2</x:v>
      </x:c>
    </x:row>
    <x:row r="44">
      <x:c r="A44" s="59" t="str">
        <x:v>No demand</x:v>
      </x:c>
      <x:c r="B44" s="59" t="n">
        <x:v>41</x:v>
      </x:c>
      <x:c r="C44" s="78" t="n">
        <x:f>(('Inputs'!$B$29*(3*41*'Inputs'!$B$12-41^2)/(2*'Inputs'!$B$12^2))-('Inputs'!$B$29*(3*40*'Inputs'!$B$12-40^2)/(2*'Inputs'!$B$12^2)))*'Inputs'!$B$44</x:f>
        <x:v>698819.4314130247</x:v>
      </x:c>
      <x:c r="D44" s="78" t="n">
        <x:f>IF('Inputs'!$C$44&gt;0,('Inputs'!$B$30*(3*41*'Inputs'!$B$12-41^2)/(2*'Inputs'!$B$12^2))-('Inputs'!$B$30*(3*40*'Inputs'!$B$12-40^2)/(2*'Inputs'!$B$12^2)),0)</x:f>
        <x:v>299494.0420341529</x:v>
      </x:c>
      <x:c r="E44" s="78" t="n">
        <x:f>C44+D44</x:f>
        <x:v>998313.4734471776</x:v>
      </x:c>
      <x:c r="F44" s="78" t="n">
        <x:f>'Inputs'!$B$13*E44+(1-'Inputs'!$B$13)/'Inputs'!$B$14*SUM(E4:E44)</x:f>
        <x:v>789829.7388949952</x:v>
      </x:c>
      <x:c r="G44" s="78" t="n">
        <x:f>F44*'Inputs'!$F$44</x:f>
        <x:v>710846.7650054956</x:v>
      </x:c>
      <x:c r="H44" s="78" t="n">
        <x:f>U43</x:f>
        <x:v>161896549.76661164</x:v>
      </x:c>
      <x:c r="I44" s="78" t="n">
        <x:f>V43</x:f>
        <x:v>70.45769427290006</x:v>
      </x:c>
      <x:c r="J44" s="79" t="n">
        <x:f>IF(H44&gt;0,I44/H44,0)</x:f>
        <x:v>4.352019507177338e-7</x:v>
      </x:c>
      <x:c r="K44" s="80" t="n">
        <x:f>(H44*J44+I44)*'Inputs'!$D$44*(1+'Inputs'!$G$44)^(B44/30)</x:f>
        <x:v>28.183077709160024</x:v>
      </x:c>
      <x:c r="L44" s="80" t="n">
        <x:f>MAX(0,K44*'Inputs'!$E$44)</x:f>
        <x:v>0</x:v>
      </x:c>
      <x:c r="M44" s="80" t="n">
        <x:f>MAX(0,-K44*'Inputs'!$E$44)</x:f>
        <x:v>5.636615541832005</x:v>
      </x:c>
      <x:c r="N44" s="78" t="n">
        <x:f>H44*(L44*(1-'Inputs'!$B$15))/(I44+L44*(1-'Inputs'!$B$15))</x:f>
        <x:v>0</x:v>
      </x:c>
      <x:c r="O44" s="78" t="n">
        <x:f>H44-N44</x:f>
        <x:v>161896549.76661164</x:v>
      </x:c>
      <x:c r="P44" s="78" t="n">
        <x:f>I44+L44*(1-'Inputs'!$B$17)</x:f>
        <x:v>70.45769427290006</x:v>
      </x:c>
      <x:c r="Q44" s="78" t="n">
        <x:f>IF(J44&gt;0,M44/J44,0)</x:f>
        <x:v>12951723.981328933</x:v>
      </x:c>
      <x:c r="R44" s="78" t="n">
        <x:f>IF(B44='Inputs'!$H$44,'Inputs'!$B$27*'Inputs'!$I$44,0)</x:f>
        <x:v>0</x:v>
      </x:c>
      <x:c r="S44" s="78" t="n">
        <x:f>Q44+G44+R44</x:f>
        <x:v>13662570.746334428</x:v>
      </x:c>
      <x:c r="T44" s="78" t="n">
        <x:f>P44*(S44*(1-'Inputs'!$B$15))/(O44+S44*(1-'Inputs'!$B$15))</x:f>
        <x:v>5.432637937099059</x:v>
      </x:c>
      <x:c r="U44" s="78" t="n">
        <x:f>O44+S44*(1-'Inputs'!$B$17)</x:f>
        <x:v>175504140.3489769</x:v>
      </x:c>
      <x:c r="V44" s="78" t="n">
        <x:f>P44-T44</x:f>
        <x:v>65.025056335801</x:v>
      </x:c>
      <x:c r="W44" s="79" t="n">
        <x:f>IF(U44&gt;0,V44/U44,0)</x:f>
        <x:v>3.7050440067398704e-7</x:v>
      </x:c>
      <x:c r="X44" s="80" t="n">
        <x:f>W44*('Inputs'!$B$6-AC44)</x:f>
        <x:v>369.7877943315276</x:v>
      </x:c>
      <x:c r="Y44" s="80" t="n">
        <x:f>2*V44</x:f>
        <x:v>130.050112671602</x:v>
      </x:c>
      <x:c r="Z44" s="80" t="n">
        <x:f>K44*'Inputs'!$B$16+(G44+R44)*J44*'Inputs'!$B$16</x:f>
        <x:v>0.17095463764771082</x:v>
      </x:c>
      <x:c r="AA44" s="80" t="n">
        <x:f>K44*(1+'Inputs'!$E$44)/2*'Inputs'!$B$17</x:f>
        <x:v>0.04536511502480487</x:v>
      </x:c>
      <x:c r="AB44" s="78" t="n">
        <x:f>(IF(J44&gt;0,K44*(1-'Inputs'!$E$44)/2/J44,0)+G44+R44)*'Inputs'!$B$17</x:f>
        <x:v>159219.39118306758</x:v>
      </x:c>
      <x:c r="AC44" s="78" t="n">
        <x:f>AC43+AB44</x:f>
        <x:v>1934137.1955524178</x:v>
      </x:c>
      <x:c r="AD44" s="80" t="n">
        <x:f>Z44/(1+'Inputs'!$C$44)</x:f>
        <x:v>0.13676371011816865</x:v>
      </x:c>
      <x:c r="AE44" s="80" t="n">
        <x:f>Z44-AD44</x:f>
        <x:v>0.03419092752954217</x:v>
      </x:c>
      <x:c r="AF44" s="80" t="n">
        <x:f>D44*W44</x:f>
        <x:v>0.1109638605492937</x:v>
      </x:c>
      <x:c r="AG44" s="80" t="n">
        <x:f>C44*W44</x:f>
        <x:v>0.2589156746150191</x:v>
      </x:c>
      <x:c r="AH44" s="80" t="n">
        <x:f>2*'Inputs'!$B$8*'Inputs'!$C$44</x:f>
        <x:v>1250</x:v>
      </x:c>
      <x:c r="AI44" s="81" t="n">
        <x:f>IF(AH44&gt;0,(AE44+AF44)/AH44*365,0)</x:f>
        <x:v>0.04238519811902007</x:v>
      </x:c>
      <x:c r="AJ44" s="81" t="n">
        <x:f>IF('Inputs'!$B$44&gt;0,AG44/('Inputs'!$B$19*'Inputs'!$B$44)*365,0)</x:f>
        <x:v>0.009450422123448196</x:v>
      </x:c>
      <x:c r="AK44" s="81" t="n">
        <x:f>W44/MAX($W$4:W44)-1</x:f>
        <x:v>-0.9994555156406311</x:v>
      </x:c>
      <x:c r="AL44" s="83" t="n">
        <x:f>'Inputs'!$B$44</x:f>
        <x:v>1</x:v>
      </x:c>
      <x:c r="AM44" s="83" t="n">
        <x:f>'Inputs'!$C$44</x:f>
        <x:v>0.25</x:v>
      </x:c>
      <x:c r="AN44" s="83" t="n">
        <x:f>'Inputs'!$D$44</x:f>
        <x:v>0.2</x:v>
      </x:c>
      <x:c r="AO44" s="81" t="n">
        <x:f>'Inputs'!$E$44</x:f>
        <x:v>-0.2</x:v>
      </x:c>
    </x:row>
    <x:row r="45">
      <x:c r="A45" s="59" t="str">
        <x:v>No demand</x:v>
      </x:c>
      <x:c r="B45" s="59" t="n">
        <x:v>42</x:v>
      </x:c>
      <x:c r="C45" s="78" t="n">
        <x:f>(('Inputs'!$B$29*(3*42*'Inputs'!$B$12-42^2)/(2*'Inputs'!$B$12^2))-('Inputs'!$B$29*(3*41*'Inputs'!$B$12-41^2)/(2*'Inputs'!$B$12^2)))*'Inputs'!$B$44</x:f>
        <x:v>698494.3235128522</x:v>
      </x:c>
      <x:c r="D45" s="78" t="n">
        <x:f>IF('Inputs'!$C$44&gt;0,('Inputs'!$B$30*(3*42*'Inputs'!$B$12-42^2)/(2*'Inputs'!$B$12^2))-('Inputs'!$B$30*(3*41*'Inputs'!$B$12-41^2)/(2*'Inputs'!$B$12^2)),0)</x:f>
        <x:v>299354.71007693745</x:v>
      </x:c>
      <x:c r="E45" s="78" t="n">
        <x:f>C45+D45</x:f>
        <x:v>997849.0335897896</x:v>
      </x:c>
      <x:c r="F45" s="78" t="n">
        <x:f>'Inputs'!$B$13*E45+(1-'Inputs'!$B$13)/'Inputs'!$B$14*SUM(E4:E45)</x:f>
        <x:v>803991.8371176574</x:v>
      </x:c>
      <x:c r="G45" s="78" t="n">
        <x:f>F45*'Inputs'!$F$44</x:f>
        <x:v>723592.6534058917</x:v>
      </x:c>
      <x:c r="H45" s="78" t="n">
        <x:f>U44</x:f>
        <x:v>175504140.3489769</x:v>
      </x:c>
      <x:c r="I45" s="78" t="n">
        <x:f>V44</x:f>
        <x:v>65.025056335801</x:v>
      </x:c>
      <x:c r="J45" s="79" t="n">
        <x:f>IF(H45&gt;0,I45/H45,0)</x:f>
        <x:v>3.7050440067398704e-7</x:v>
      </x:c>
      <x:c r="K45" s="80" t="n">
        <x:f>(H45*J45+I45)*'Inputs'!$D$44*(1+'Inputs'!$G$44)^(B45/30)</x:f>
        <x:v>26.0100225343204</x:v>
      </x:c>
      <x:c r="L45" s="80" t="n">
        <x:f>MAX(0,K45*'Inputs'!$E$44)</x:f>
        <x:v>0</x:v>
      </x:c>
      <x:c r="M45" s="80" t="n">
        <x:f>MAX(0,-K45*'Inputs'!$E$44)</x:f>
        <x:v>5.20200450686408</x:v>
      </x:c>
      <x:c r="N45" s="78" t="n">
        <x:f>H45*(L45*(1-'Inputs'!$B$15))/(I45+L45*(1-'Inputs'!$B$15))</x:f>
        <x:v>0</x:v>
      </x:c>
      <x:c r="O45" s="78" t="n">
        <x:f>H45-N45</x:f>
        <x:v>175504140.3489769</x:v>
      </x:c>
      <x:c r="P45" s="78" t="n">
        <x:f>I45+L45*(1-'Inputs'!$B$17)</x:f>
        <x:v>65.025056335801</x:v>
      </x:c>
      <x:c r="Q45" s="78" t="n">
        <x:f>IF(J45&gt;0,M45/J45,0)</x:f>
        <x:v>14040331.227918154</x:v>
      </x:c>
      <x:c r="R45" s="78" t="n">
        <x:f>IF(B45='Inputs'!$H$44,'Inputs'!$B$27*'Inputs'!$I$44,0)</x:f>
        <x:v>0</x:v>
      </x:c>
      <x:c r="S45" s="78" t="n">
        <x:f>Q45+G45+R45</x:f>
        <x:v>14763923.881324045</x:v>
      </x:c>
      <x:c r="T45" s="78" t="n">
        <x:f>P45*(S45*(1-'Inputs'!$B$15))/(O45+S45*(1-'Inputs'!$B$15))</x:f>
        <x:v>4.99906694581564</x:v>
      </x:c>
      <x:c r="U45" s="78" t="n">
        <x:f>O45+S45*(1-'Inputs'!$B$17)</x:f>
        <x:v>190208652.06176445</x:v>
      </x:c>
      <x:c r="V45" s="78" t="n">
        <x:f>P45-T45</x:f>
        <x:v>60.025989389985355</x:v>
      </x:c>
      <x:c r="W45" s="79" t="n">
        <x:f>IF(U45&gt;0,V45/U45,0)</x:f>
        <x:v>3.15579700183637e-7</x:v>
      </x:c>
      <x:c r="X45" s="80" t="n">
        <x:f>W45*('Inputs'!$B$6-AC45)</x:f>
        <x:v>314.9149157605869</x:v>
      </x:c>
      <x:c r="Y45" s="80" t="n">
        <x:f>2*V45</x:f>
        <x:v>120.05197877997071</x:v>
      </x:c>
      <x:c r="Z45" s="80" t="n">
        <x:f>K45*'Inputs'!$B$16+(G45+R45)*J45*'Inputs'!$B$16</x:f>
        <x:v>0.15766870078021591</x:v>
      </x:c>
      <x:c r="AA45" s="80" t="n">
        <x:f>K45*(1+'Inputs'!$E$44)/2*'Inputs'!$B$17</x:f>
        <x:v>0.04186723949186383</x:v>
      </x:c>
      <x:c r="AB45" s="78" t="n">
        <x:f>(IF(J45&gt;0,K45*(1-'Inputs'!$E$44)/2/J45,0)+G45+R45)*'Inputs'!$B$17</x:f>
        <x:v>172412.82228233543</x:v>
      </x:c>
      <x:c r="AC45" s="78" t="n">
        <x:f>AC44+AB45</x:f>
        <x:v>2106550.0178347533</x:v>
      </x:c>
      <x:c r="AD45" s="80" t="n">
        <x:f>Z45/(1+'Inputs'!$C$44)</x:f>
        <x:v>0.12613496062417273</x:v>
      </x:c>
      <x:c r="AE45" s="80" t="n">
        <x:f>Z45-AD45</x:f>
        <x:v>0.03153374015604318</x:v>
      </x:c>
      <x:c r="AF45" s="80" t="n">
        <x:f>D45*W45</x:f>
        <x:v>0.0944702696546395</x:v>
      </x:c>
      <x:c r="AG45" s="80" t="n">
        <x:f>C45*W45</x:f>
        <x:v>0.22043062919415823</x:v>
      </x:c>
      <x:c r="AH45" s="80" t="n">
        <x:f>2*'Inputs'!$B$8*'Inputs'!$C$44</x:f>
        <x:v>1250</x:v>
      </x:c>
      <x:c r="AI45" s="81" t="n">
        <x:f>IF(AH45&gt;0,(AE45+AF45)/AH45*365,0)</x:f>
        <x:v>0.036793170864719345</x:v>
      </x:c>
      <x:c r="AJ45" s="81" t="n">
        <x:f>IF('Inputs'!$B$44&gt;0,AG45/('Inputs'!$B$19*'Inputs'!$B$44)*365,0)</x:f>
        <x:v>0.008045717965586776</x:v>
      </x:c>
      <x:c r="AK45" s="81" t="n">
        <x:f>W45/MAX($W$4:W45)-1</x:f>
        <x:v>-0.9995362316599432</x:v>
      </x:c>
      <x:c r="AL45" s="83" t="n">
        <x:f>'Inputs'!$B$44</x:f>
        <x:v>1</x:v>
      </x:c>
      <x:c r="AM45" s="83" t="n">
        <x:f>'Inputs'!$C$44</x:f>
        <x:v>0.25</x:v>
      </x:c>
      <x:c r="AN45" s="83" t="n">
        <x:f>'Inputs'!$D$44</x:f>
        <x:v>0.2</x:v>
      </x:c>
      <x:c r="AO45" s="81" t="n">
        <x:f>'Inputs'!$E$44</x:f>
        <x:v>-0.2</x:v>
      </x:c>
    </x:row>
    <x:row r="46">
      <x:c r="A46" s="59" t="str">
        <x:v>No demand</x:v>
      </x:c>
      <x:c r="B46" s="59" t="n">
        <x:v>43</x:v>
      </x:c>
      <x:c r="C46" s="78" t="n">
        <x:f>(('Inputs'!$B$29*(3*43*'Inputs'!$B$12-43^2)/(2*'Inputs'!$B$12^2))-('Inputs'!$B$29*(3*42*'Inputs'!$B$12-42^2)/(2*'Inputs'!$B$12^2)))*'Inputs'!$B$44</x:f>
        <x:v>698169.2156126872</x:v>
      </x:c>
      <x:c r="D46" s="78" t="n">
        <x:f>IF('Inputs'!$C$44&gt;0,('Inputs'!$B$30*(3*43*'Inputs'!$B$12-43^2)/(2*'Inputs'!$B$12^2))-('Inputs'!$B$30*(3*42*'Inputs'!$B$12-42^2)/(2*'Inputs'!$B$12^2)),0)</x:f>
        <x:v>299215.378119722</x:v>
      </x:c>
      <x:c r="E46" s="78" t="n">
        <x:f>C46+D46</x:f>
        <x:v>997384.5937324092</x:v>
      </x:c>
      <x:c r="F46" s="78" t="n">
        <x:f>'Inputs'!$B$13*E46+(1-'Inputs'!$B$13)/'Inputs'!$B$14*SUM(E4:E46)</x:f>
        <x:v>818147.3004852157</x:v>
      </x:c>
      <x:c r="G46" s="78" t="n">
        <x:f>F46*'Inputs'!$F$44</x:f>
        <x:v>736332.5704366942</x:v>
      </x:c>
      <x:c r="H46" s="78" t="n">
        <x:f>U45</x:f>
        <x:v>190208652.06176445</x:v>
      </x:c>
      <x:c r="I46" s="78" t="n">
        <x:f>V45</x:f>
        <x:v>60.025989389985355</x:v>
      </x:c>
      <x:c r="J46" s="79" t="n">
        <x:f>IF(H46&gt;0,I46/H46,0)</x:f>
        <x:v>3.15579700183637e-7</x:v>
      </x:c>
      <x:c r="K46" s="80" t="n">
        <x:f>(H46*J46+I46)*'Inputs'!$D$44*(1+'Inputs'!$G$44)^(B46/30)</x:f>
        <x:v>24.010395755994143</x:v>
      </x:c>
      <x:c r="L46" s="80" t="n">
        <x:f>MAX(0,K46*'Inputs'!$E$44)</x:f>
        <x:v>0</x:v>
      </x:c>
      <x:c r="M46" s="80" t="n">
        <x:f>MAX(0,-K46*'Inputs'!$E$44)</x:f>
        <x:v>4.8020791511988286</x:v>
      </x:c>
      <x:c r="N46" s="78" t="n">
        <x:f>H46*(L46*(1-'Inputs'!$B$15))/(I46+L46*(1-'Inputs'!$B$15))</x:f>
        <x:v>0</x:v>
      </x:c>
      <x:c r="O46" s="78" t="n">
        <x:f>H46-N46</x:f>
        <x:v>190208652.06176445</x:v>
      </x:c>
      <x:c r="P46" s="78" t="n">
        <x:f>I46+L46*(1-'Inputs'!$B$17)</x:f>
        <x:v>60.025989389985355</x:v>
      </x:c>
      <x:c r="Q46" s="78" t="n">
        <x:f>IF(J46&gt;0,M46/J46,0)</x:f>
        <x:v>15216692.164941156</x:v>
      </x:c>
      <x:c r="R46" s="78" t="n">
        <x:f>IF(B46='Inputs'!$H$44,'Inputs'!$B$27*'Inputs'!$I$44,0)</x:f>
        <x:v>0</x:v>
      </x:c>
      <x:c r="S46" s="78" t="n">
        <x:f>Q46+G46+R46</x:f>
        <x:v>15953024.73537785</x:v>
      </x:c>
      <x:c r="T46" s="78" t="n">
        <x:f>P46*(S46*(1-'Inputs'!$B$15))/(O46+S46*(1-'Inputs'!$B$15))</x:f>
        <x:v>4.601991525072767</x:v>
      </x:c>
      <x:c r="U46" s="78" t="n">
        <x:f>O46+S46*(1-'Inputs'!$B$17)</x:f>
        <x:v>206097479.51450497</x:v>
      </x:c>
      <x:c r="V46" s="78" t="n">
        <x:f>P46-T46</x:f>
        <x:v>55.423997864912586</x:v>
      </x:c>
      <x:c r="W46" s="79" t="n">
        <x:f>IF(U46&gt;0,V46/U46,0)</x:f>
        <x:v>2.689212793648546e-7</x:v>
      </x:c>
      <x:c r="X46" s="80" t="n">
        <x:f>W46*('Inputs'!$B$6-AC46)</x:f>
        <x:v>268.3045848789683</x:v>
      </x:c>
      <x:c r="Y46" s="80" t="n">
        <x:f>2*V46</x:f>
        <x:v>110.84799572982517</x:v>
      </x:c>
      <x:c r="Z46" s="80" t="n">
        <x:f>K46*'Inputs'!$B$16+(G46+R46)*J46*'Inputs'!$B$16</x:f>
        <x:v>0.145456604206848</x:v>
      </x:c>
      <x:c r="AA46" s="80" t="n">
        <x:f>K46*(1+'Inputs'!$E$44)/2*'Inputs'!$B$17</x:f>
        <x:v>0.03864852435572498</x:v>
      </x:c>
      <x:c r="AB46" s="78" t="n">
        <x:f>(IF(J46&gt;0,K46*(1-'Inputs'!$E$44)/2/J46,0)+G46+R46)*'Inputs'!$B$17</x:f>
        <x:v>186665.63004128842</x:v>
      </x:c>
      <x:c r="AC46" s="78" t="n">
        <x:f>AC45+AB46</x:f>
        <x:v>2293215.6478760415</x:v>
      </x:c>
      <x:c r="AD46" s="80" t="n">
        <x:f>Z46/(1+'Inputs'!$C$44)</x:f>
        <x:v>0.1163652833654784</x:v>
      </x:c>
      <x:c r="AE46" s="80" t="n">
        <x:f>Z46-AD46</x:f>
        <x:v>0.029091320841369603</x:v>
      </x:c>
      <x:c r="AF46" s="80" t="n">
        <x:f>D46*W46</x:f>
        <x:v>0.08046538228959436</x:v>
      </x:c>
      <x:c r="AG46" s="80" t="n">
        <x:f>C46*W46</x:f>
        <x:v>0.18775255867572085</x:v>
      </x:c>
      <x:c r="AH46" s="80" t="n">
        <x:f>2*'Inputs'!$B$8*'Inputs'!$C$44</x:f>
        <x:v>1250</x:v>
      </x:c>
      <x:c r="AI46" s="81" t="n">
        <x:f>IF(AH46&gt;0,(AE46+AF46)/AH46*365,0)</x:f>
        <x:v>0.031990557314241476</x:v>
      </x:c>
      <x:c r="AJ46" s="81" t="n">
        <x:f>IF('Inputs'!$B$44&gt;0,AG46/('Inputs'!$B$19*'Inputs'!$B$44)*365,0)</x:f>
        <x:v>0.006852968391663812</x:v>
      </x:c>
      <x:c r="AK46" s="81" t="n">
        <x:f>W46/MAX($W$4:W46)-1</x:f>
        <x:v>-0.9996047997533922</x:v>
      </x:c>
      <x:c r="AL46" s="83" t="n">
        <x:f>'Inputs'!$B$44</x:f>
        <x:v>1</x:v>
      </x:c>
      <x:c r="AM46" s="83" t="n">
        <x:f>'Inputs'!$C$44</x:f>
        <x:v>0.25</x:v>
      </x:c>
      <x:c r="AN46" s="83" t="n">
        <x:f>'Inputs'!$D$44</x:f>
        <x:v>0.2</x:v>
      </x:c>
      <x:c r="AO46" s="81" t="n">
        <x:f>'Inputs'!$E$44</x:f>
        <x:v>-0.2</x:v>
      </x:c>
    </x:row>
    <x:row r="47">
      <x:c r="A47" s="59" t="str">
        <x:v>No demand</x:v>
      </x:c>
      <x:c r="B47" s="59" t="n">
        <x:v>44</x:v>
      </x:c>
      <x:c r="C47" s="78" t="n">
        <x:f>(('Inputs'!$B$29*(3*44*'Inputs'!$B$12-44^2)/(2*'Inputs'!$B$12^2))-('Inputs'!$B$29*(3*43*'Inputs'!$B$12-43^2)/(2*'Inputs'!$B$12^2)))*'Inputs'!$B$44</x:f>
        <x:v>697844.1077125147</x:v>
      </x:c>
      <x:c r="D47" s="78" t="n">
        <x:f>IF('Inputs'!$C$44&gt;0,('Inputs'!$B$30*(3*44*'Inputs'!$B$12-44^2)/(2*'Inputs'!$B$12^2))-('Inputs'!$B$30*(3*43*'Inputs'!$B$12-43^2)/(2*'Inputs'!$B$12^2)),0)</x:f>
        <x:v>299076.0461625084</x:v>
      </x:c>
      <x:c r="E47" s="78" t="n">
        <x:f>C47+D47</x:f>
        <x:v>996920.1538750231</x:v>
      </x:c>
      <x:c r="F47" s="78" t="n">
        <x:f>'Inputs'!$B$13*E47+(1-'Inputs'!$B$13)/'Inputs'!$B$14*SUM(E4:E47)</x:f>
        <x:v>832296.1289976675</x:v>
      </x:c>
      <x:c r="G47" s="78" t="n">
        <x:f>F47*'Inputs'!$F$44</x:f>
        <x:v>749066.5160979007</x:v>
      </x:c>
      <x:c r="H47" s="78" t="n">
        <x:f>U46</x:f>
        <x:v>206097479.51450497</x:v>
      </x:c>
      <x:c r="I47" s="78" t="n">
        <x:f>V46</x:f>
        <x:v>55.423997864912586</x:v>
      </x:c>
      <x:c r="J47" s="79" t="n">
        <x:f>IF(H47&gt;0,I47/H47,0)</x:f>
        <x:v>2.689212793648546e-7</x:v>
      </x:c>
      <x:c r="K47" s="80" t="n">
        <x:f>(H47*J47+I47)*'Inputs'!$D$44*(1+'Inputs'!$G$44)^(B47/30)</x:f>
        <x:v>22.169599145965037</x:v>
      </x:c>
      <x:c r="L47" s="80" t="n">
        <x:f>MAX(0,K47*'Inputs'!$E$44)</x:f>
        <x:v>0</x:v>
      </x:c>
      <x:c r="M47" s="80" t="n">
        <x:f>MAX(0,-K47*'Inputs'!$E$44)</x:f>
        <x:v>4.433919829193008</x:v>
      </x:c>
      <x:c r="N47" s="78" t="n">
        <x:f>H47*(L47*(1-'Inputs'!$B$15))/(I47+L47*(1-'Inputs'!$B$15))</x:f>
        <x:v>0</x:v>
      </x:c>
      <x:c r="O47" s="78" t="n">
        <x:f>H47-N47</x:f>
        <x:v>206097479.51450497</x:v>
      </x:c>
      <x:c r="P47" s="78" t="n">
        <x:f>I47+L47*(1-'Inputs'!$B$17)</x:f>
        <x:v>55.423997864912586</x:v>
      </x:c>
      <x:c r="Q47" s="78" t="n">
        <x:f>IF(J47&gt;0,M47/J47,0)</x:f>
        <x:v>16487798.361160401</x:v>
      </x:c>
      <x:c r="R47" s="78" t="n">
        <x:f>IF(B47='Inputs'!$H$44,'Inputs'!$B$27*'Inputs'!$I$44,0)</x:f>
        <x:v>0</x:v>
      </x:c>
      <x:c r="S47" s="78" t="n">
        <x:f>Q47+G47+R47</x:f>
        <x:v>17236864.8772583</x:v>
      </x:c>
      <x:c r="T47" s="78" t="n">
        <x:f>P47*(S47*(1-'Inputs'!$B$15))/(O47+S47*(1-'Inputs'!$B$15))</x:f>
        <x:v>4.238099252278679</x:v>
      </x:c>
      <x:c r="U47" s="78" t="n">
        <x:f>O47+S47*(1-'Inputs'!$B$17)</x:f>
        <x:v>223264980.7504061</x:v>
      </x:c>
      <x:c r="V47" s="78" t="n">
        <x:f>P47-T47</x:f>
        <x:v>51.185898612633906</x:v>
      </x:c>
      <x:c r="W47" s="79" t="n">
        <x:f>IF(U47&gt;0,V47/U47,0)</x:f>
        <x:v>2.2926075751152393e-7</x:v>
      </x:c>
      <x:c r="X47" s="80" t="n">
        <x:f>W47*('Inputs'!$B$6-AC47)</x:f>
        <x:v>228.6886882173979</x:v>
      </x:c>
      <x:c r="Y47" s="80" t="n">
        <x:f>2*V47</x:f>
        <x:v>102.37179722526781</x:v>
      </x:c>
      <x:c r="Z47" s="80" t="n">
        <x:f>K47*'Inputs'!$B$16+(G47+R47)*J47*'Inputs'!$B$16</x:f>
        <x:v>0.13422623443082077</x:v>
      </x:c>
      <x:c r="AA47" s="80" t="n">
        <x:f>K47*(1+'Inputs'!$E$44)/2*'Inputs'!$B$17</x:f>
        <x:v>0.03568547146231797</x:v>
      </x:c>
      <x:c r="AB47" s="78" t="n">
        <x:f>(IF(J47&gt;0,K47*(1-'Inputs'!$E$44)/2/J47,0)+G47+R47)*'Inputs'!$B$17</x:f>
        <x:v>202062.2197166161</x:v>
      </x:c>
      <x:c r="AC47" s="78" t="n">
        <x:f>AC46+AB47</x:f>
        <x:v>2495277.8675926575</x:v>
      </x:c>
      <x:c r="AD47" s="80" t="n">
        <x:f>Z47/(1+'Inputs'!$C$44)</x:f>
        <x:v>0.10738098754465661</x:v>
      </x:c>
      <x:c r="AE47" s="80" t="n">
        <x:f>Z47-AD47</x:f>
        <x:v>0.02684524688616416</x:v>
      </x:c>
      <x:c r="AF47" s="80" t="n">
        <x:f>D47*W47</x:f>
        <x:v>0.06856640089676819</x:v>
      </x:c>
      <x:c r="AG47" s="80" t="n">
        <x:f>C47*W47</x:f>
        <x:v>0.1599882687591246</x:v>
      </x:c>
      <x:c r="AH47" s="80" t="n">
        <x:f>2*'Inputs'!$B$8*'Inputs'!$C$44</x:f>
        <x:v>1250</x:v>
      </x:c>
      <x:c r="AI47" s="81" t="n">
        <x:f>IF(AH47&gt;0,(AE47+AF47)/AH47*365,0)</x:f>
        <x:v>0.027860201152616244</x:v>
      </x:c>
      <x:c r="AJ47" s="81" t="n">
        <x:f>IF('Inputs'!$B$44&gt;0,AG47/('Inputs'!$B$19*'Inputs'!$B$44)*365,0)</x:f>
        <x:v>0.005839571809708049</x:v>
      </x:c>
      <x:c r="AK47" s="81" t="n">
        <x:f>W47/MAX($W$4:W47)-1</x:f>
        <x:v>-0.9996630839027687</x:v>
      </x:c>
      <x:c r="AL47" s="83" t="n">
        <x:f>'Inputs'!$B$44</x:f>
        <x:v>1</x:v>
      </x:c>
      <x:c r="AM47" s="83" t="n">
        <x:f>'Inputs'!$C$44</x:f>
        <x:v>0.25</x:v>
      </x:c>
      <x:c r="AN47" s="83" t="n">
        <x:f>'Inputs'!$D$44</x:f>
        <x:v>0.2</x:v>
      </x:c>
      <x:c r="AO47" s="81" t="n">
        <x:f>'Inputs'!$E$44</x:f>
        <x:v>-0.2</x:v>
      </x:c>
    </x:row>
    <x:row r="48">
      <x:c r="A48" s="59" t="str">
        <x:v>No demand</x:v>
      </x:c>
      <x:c r="B48" s="59" t="n">
        <x:v>45</x:v>
      </x:c>
      <x:c r="C48" s="78" t="n">
        <x:f>(('Inputs'!$B$29*(3*45*'Inputs'!$B$12-45^2)/(2*'Inputs'!$B$12^2))-('Inputs'!$B$29*(3*44*'Inputs'!$B$12-44^2)/(2*'Inputs'!$B$12^2)))*'Inputs'!$B$44</x:f>
        <x:v>697518.999812346</x:v>
      </x:c>
      <x:c r="D48" s="78" t="n">
        <x:f>IF('Inputs'!$C$44&gt;0,('Inputs'!$B$30*(3*45*'Inputs'!$B$12-45^2)/(2*'Inputs'!$B$12^2))-('Inputs'!$B$30*(3*44*'Inputs'!$B$12-44^2)/(2*'Inputs'!$B$12^2)),0)</x:f>
        <x:v>298936.7142052911</x:v>
      </x:c>
      <x:c r="E48" s="78" t="n">
        <x:f>C48+D48</x:f>
        <x:v>996455.7140176371</x:v>
      </x:c>
      <x:c r="F48" s="78" t="n">
        <x:f>'Inputs'!$B$13*E48+(1-'Inputs'!$B$13)/'Inputs'!$B$14*SUM(E4:E48)</x:f>
        <x:v>846438.3226550135</x:v>
      </x:c>
      <x:c r="G48" s="78" t="n">
        <x:f>F48*'Inputs'!$F$44</x:f>
        <x:v>761794.4903895122</x:v>
      </x:c>
      <x:c r="H48" s="78" t="n">
        <x:f>U47</x:f>
        <x:v>223264980.7504061</x:v>
      </x:c>
      <x:c r="I48" s="78" t="n">
        <x:f>V47</x:f>
        <x:v>51.185898612633906</x:v>
      </x:c>
      <x:c r="J48" s="79" t="n">
        <x:f>IF(H48&gt;0,I48/H48,0)</x:f>
        <x:v>2.2926075751152393e-7</x:v>
      </x:c>
      <x:c r="K48" s="80" t="n">
        <x:f>(H48*J48+I48)*'Inputs'!$D$44*(1+'Inputs'!$G$44)^(B48/30)</x:f>
        <x:v>20.474359445053565</x:v>
      </x:c>
      <x:c r="L48" s="80" t="n">
        <x:f>MAX(0,K48*'Inputs'!$E$44)</x:f>
        <x:v>0</x:v>
      </x:c>
      <x:c r="M48" s="80" t="n">
        <x:f>MAX(0,-K48*'Inputs'!$E$44)</x:f>
        <x:v>4.094871889010713</x:v>
      </x:c>
      <x:c r="N48" s="78" t="n">
        <x:f>H48*(L48*(1-'Inputs'!$B$15))/(I48+L48*(1-'Inputs'!$B$15))</x:f>
        <x:v>0</x:v>
      </x:c>
      <x:c r="O48" s="78" t="n">
        <x:f>H48-N48</x:f>
        <x:v>223264980.7504061</x:v>
      </x:c>
      <x:c r="P48" s="78" t="n">
        <x:f>I48+L48*(1-'Inputs'!$B$17)</x:f>
        <x:v>51.185898612633906</x:v>
      </x:c>
      <x:c r="Q48" s="78" t="n">
        <x:f>IF(J48&gt;0,M48/J48,0)</x:f>
        <x:v>17861198.46003249</x:v>
      </x:c>
      <x:c r="R48" s="78" t="n">
        <x:f>IF(B48='Inputs'!$H$44,'Inputs'!$B$27*'Inputs'!$I$44,0)</x:f>
        <x:v>0</x:v>
      </x:c>
      <x:c r="S48" s="78" t="n">
        <x:f>Q48+G48+R48</x:f>
        <x:v>18622992.950422</x:v>
      </x:c>
      <x:c r="T48" s="78" t="n">
        <x:f>P48*(S48*(1-'Inputs'!$B$15))/(O48+S48*(1-'Inputs'!$B$15))</x:f>
        <x:v>3.9044082512979323</x:v>
      </x:c>
      <x:c r="U48" s="78" t="n">
        <x:f>O48+S48*(1-'Inputs'!$B$17)</x:f>
        <x:v>241813032.0792972</x:v>
      </x:c>
      <x:c r="V48" s="78" t="n">
        <x:f>P48-T48</x:f>
        <x:v>47.281490361335976</x:v>
      </x:c>
      <x:c r="W48" s="79" t="n">
        <x:f>IF(U48&gt;0,V48/U48,0)</x:f>
        <x:v>1.9552912411201667e-7</x:v>
      </x:c>
      <x:c r="X48" s="80" t="n">
        <x:f>W48*('Inputs'!$B$6-AC48)</x:f>
        <x:v>194.9984636242753</x:v>
      </x:c>
      <x:c r="Y48" s="80" t="n">
        <x:f>2*V48</x:f>
        <x:v>94.56298072267195</x:v>
      </x:c>
      <x:c r="Z48" s="80" t="n">
        <x:f>K48*'Inputs'!$B$16+(G48+R48)*J48*'Inputs'!$B$16</x:f>
        <x:v>0.12389405416193022</x:v>
      </x:c>
      <x:c r="AA48" s="80" t="n">
        <x:f>K48*(1+'Inputs'!$E$44)/2*'Inputs'!$B$17</x:f>
        <x:v>0.03295671540451279</x:v>
      </x:c>
      <x:c r="AB48" s="78" t="n">
        <x:f>(IF(J48&gt;0,K48*(1-'Inputs'!$E$44)/2/J48,0)+G48+R48)*'Inputs'!$B$17</x:f>
        <x:v>218693.72181282486</x:v>
      </x:c>
      <x:c r="AC48" s="78" t="n">
        <x:f>AC47+AB48</x:f>
        <x:v>2713971.589405482</x:v>
      </x:c>
      <x:c r="AD48" s="80" t="n">
        <x:f>Z48/(1+'Inputs'!$C$44)</x:f>
        <x:v>0.09911524332954418</x:v>
      </x:c>
      <x:c r="AE48" s="80" t="n">
        <x:f>Z48-AD48</x:f>
        <x:v>0.024778810832386047</x:v>
      </x:c>
      <x:c r="AF48" s="80" t="n">
        <x:f>D48*W48</x:f>
        <x:v>0.05845083389348482</x:v>
      </x:c>
      <x:c r="AG48" s="80" t="n">
        <x:f>C48*W48</x:f>
        <x:v>0.13638527908479792</x:v>
      </x:c>
      <x:c r="AH48" s="80" t="n">
        <x:f>2*'Inputs'!$B$8*'Inputs'!$C$44</x:f>
        <x:v>1250</x:v>
      </x:c>
      <x:c r="AI48" s="81" t="n">
        <x:f>IF(AH48&gt;0,(AE48+AF48)/AH48*365,0)</x:f>
        <x:v>0.024303056259954294</x:v>
      </x:c>
      <x:c r="AJ48" s="81" t="n">
        <x:f>IF('Inputs'!$B$44&gt;0,AG48/('Inputs'!$B$19*'Inputs'!$B$44)*365,0)</x:f>
        <x:v>0.004978062686595125</x:v>
      </x:c>
      <x:c r="AK48" s="81" t="n">
        <x:f>W48/MAX($W$4:W48)-1</x:f>
        <x:v>-0.999712655100219</x:v>
      </x:c>
      <x:c r="AL48" s="83" t="n">
        <x:f>'Inputs'!$B$44</x:f>
        <x:v>1</x:v>
      </x:c>
      <x:c r="AM48" s="83" t="n">
        <x:f>'Inputs'!$C$44</x:f>
        <x:v>0.25</x:v>
      </x:c>
      <x:c r="AN48" s="83" t="n">
        <x:f>'Inputs'!$D$44</x:f>
        <x:v>0.2</x:v>
      </x:c>
      <x:c r="AO48" s="81" t="n">
        <x:f>'Inputs'!$E$44</x:f>
        <x:v>-0.2</x:v>
      </x:c>
    </x:row>
    <x:row r="49">
      <x:c r="A49" s="59" t="str">
        <x:v>No demand</x:v>
      </x:c>
      <x:c r="B49" s="59" t="n">
        <x:v>46</x:v>
      </x:c>
      <x:c r="C49" s="78" t="n">
        <x:f>(('Inputs'!$B$29*(3*46*'Inputs'!$B$12-46^2)/(2*'Inputs'!$B$12^2))-('Inputs'!$B$29*(3*45*'Inputs'!$B$12-45^2)/(2*'Inputs'!$B$12^2)))*'Inputs'!$B$44</x:f>
        <x:v>697193.8919121809</x:v>
      </x:c>
      <x:c r="D49" s="78" t="n">
        <x:f>IF('Inputs'!$C$44&gt;0,('Inputs'!$B$30*(3*46*'Inputs'!$B$12-46^2)/(2*'Inputs'!$B$12^2))-('Inputs'!$B$30*(3*45*'Inputs'!$B$12-45^2)/(2*'Inputs'!$B$12^2)),0)</x:f>
        <x:v>298797.3822480757</x:v>
      </x:c>
      <x:c r="E49" s="78" t="n">
        <x:f>C49+D49</x:f>
        <x:v>995991.2741602566</x:v>
      </x:c>
      <x:c r="F49" s="78" t="n">
        <x:f>'Inputs'!$B$13*E49+(1-'Inputs'!$B$13)/'Inputs'!$B$14*SUM(E4:E49)</x:f>
        <x:v>860573.8814572555</x:v>
      </x:c>
      <x:c r="G49" s="78" t="n">
        <x:f>F49*'Inputs'!$F$44</x:f>
        <x:v>774516.49331153</x:v>
      </x:c>
      <x:c r="H49" s="78" t="n">
        <x:f>U48</x:f>
        <x:v>241813032.0792972</x:v>
      </x:c>
      <x:c r="I49" s="78" t="n">
        <x:f>V48</x:f>
        <x:v>47.281490361335976</x:v>
      </x:c>
      <x:c r="J49" s="79" t="n">
        <x:f>IF(H49&gt;0,I49/H49,0)</x:f>
        <x:v>1.9552912411201667e-7</x:v>
      </x:c>
      <x:c r="K49" s="80" t="n">
        <x:f>(H49*J49+I49)*'Inputs'!$D$44*(1+'Inputs'!$G$44)^(B49/30)</x:f>
        <x:v>18.91259614453439</x:v>
      </x:c>
      <x:c r="L49" s="80" t="n">
        <x:f>MAX(0,K49*'Inputs'!$E$44)</x:f>
        <x:v>0</x:v>
      </x:c>
      <x:c r="M49" s="80" t="n">
        <x:f>MAX(0,-K49*'Inputs'!$E$44)</x:f>
        <x:v>3.782519228906878</x:v>
      </x:c>
      <x:c r="N49" s="78" t="n">
        <x:f>H49*(L49*(1-'Inputs'!$B$15))/(I49+L49*(1-'Inputs'!$B$15))</x:f>
        <x:v>0</x:v>
      </x:c>
      <x:c r="O49" s="78" t="n">
        <x:f>H49-N49</x:f>
        <x:v>241813032.0792972</x:v>
      </x:c>
      <x:c r="P49" s="78" t="n">
        <x:f>I49+L49*(1-'Inputs'!$B$17)</x:f>
        <x:v>47.281490361335976</x:v>
      </x:c>
      <x:c r="Q49" s="78" t="n">
        <x:f>IF(J49&gt;0,M49/J49,0)</x:f>
        <x:v>19345042.566343777</x:v>
      </x:c>
      <x:c r="R49" s="78" t="n">
        <x:f>IF(B49='Inputs'!$H$44,'Inputs'!$B$27*'Inputs'!$I$44,0)</x:f>
        <x:v>0</x:v>
      </x:c>
      <x:c r="S49" s="78" t="n">
        <x:f>Q49+G49+R49</x:f>
        <x:v>20119559.05965531</x:v>
      </x:c>
      <x:c r="T49" s="78" t="n">
        <x:f>P49*(S49*(1-'Inputs'!$B$15))/(O49+S49*(1-'Inputs'!$B$15))</x:f>
        <x:v>3.598230576820091</x:v>
      </x:c>
      <x:c r="U49" s="78" t="n">
        <x:f>O49+S49*(1-'Inputs'!$B$17)</x:f>
        <x:v>261851627.11859173</x:v>
      </x:c>
      <x:c r="V49" s="78" t="n">
        <x:f>P49-T49</x:f>
        <x:v>43.68325978451588</x:v>
      </x:c>
      <x:c r="W49" s="79" t="n">
        <x:f>IF(U49&gt;0,V49/U49,0)</x:f>
        <x:v>1.6682447332943965e-7</x:v>
      </x:c>
      <x:c r="X49" s="80" t="n">
        <x:f>W49*('Inputs'!$B$6-AC49)</x:f>
        <x:v>166.33223601412402</x:v>
      </x:c>
      <x:c r="Y49" s="80" t="n">
        <x:f>2*V49</x:f>
        <x:v>87.36651956903177</x:v>
      </x:c>
      <x:c r="Z49" s="80" t="n">
        <x:f>K49*'Inputs'!$B$16+(G49+R49)*J49*'Inputs'!$B$16</x:f>
        <x:v>0.11438422005649143</x:v>
      </x:c>
      <x:c r="AA49" s="80" t="n">
        <x:f>K49*(1+'Inputs'!$E$44)/2*'Inputs'!$B$17</x:f>
        <x:v>0.03044281069542759</x:v>
      </x:c>
      <x:c r="AB49" s="78" t="n">
        <x:f>(IF(J49&gt;0,K49*(1-'Inputs'!$E$44)/2/J49,0)+G49+R49)*'Inputs'!$B$17</x:f>
        <x:v>236658.52793699346</x:v>
      </x:c>
      <x:c r="AC49" s="78" t="n">
        <x:f>AC48+AB49</x:f>
        <x:v>2950630.117342476</x:v>
      </x:c>
      <x:c r="AD49" s="80" t="n">
        <x:f>Z49/(1+'Inputs'!$C$44)</x:f>
        <x:v>0.09150737604519314</x:v>
      </x:c>
      <x:c r="AE49" s="80" t="n">
        <x:f>Z49-AD49</x:f>
        <x:v>0.02287684401129829</x:v>
      </x:c>
      <x:c r="AF49" s="80" t="n">
        <x:f>D49*W49</x:f>
        <x:v>0.04984671592575049</x:v>
      </x:c>
      <x:c r="AG49" s="80" t="n">
        <x:f>C49*W49</x:f>
        <x:v>0.11630900382675186</x:v>
      </x:c>
      <x:c r="AH49" s="80" t="n">
        <x:f>2*'Inputs'!$B$8*'Inputs'!$C$44</x:f>
        <x:v>1250</x:v>
      </x:c>
      <x:c r="AI49" s="81" t="n">
        <x:f>IF(AH49&gt;0,(AE49+AF49)/AH49*365,0)</x:f>
        <x:v>0.021235279501618243</x:v>
      </x:c>
      <x:c r="AJ49" s="81" t="n">
        <x:f>IF('Inputs'!$B$44&gt;0,AG49/('Inputs'!$B$19*'Inputs'!$B$44)*365,0)</x:f>
        <x:v>0.004245278639676443</x:v>
      </x:c>
      <x:c r="AK49" s="81" t="n">
        <x:f>W49/MAX($W$4:W49)-1</x:f>
        <x:v>-0.9997548387648767</x:v>
      </x:c>
      <x:c r="AL49" s="83" t="n">
        <x:f>'Inputs'!$B$44</x:f>
        <x:v>1</x:v>
      </x:c>
      <x:c r="AM49" s="83" t="n">
        <x:f>'Inputs'!$C$44</x:f>
        <x:v>0.25</x:v>
      </x:c>
      <x:c r="AN49" s="83" t="n">
        <x:f>'Inputs'!$D$44</x:f>
        <x:v>0.2</x:v>
      </x:c>
      <x:c r="AO49" s="81" t="n">
        <x:f>'Inputs'!$E$44</x:f>
        <x:v>-0.2</x:v>
      </x:c>
    </x:row>
    <x:row r="50">
      <x:c r="A50" s="59" t="str">
        <x:v>No demand</x:v>
      </x:c>
      <x:c r="B50" s="59" t="n">
        <x:v>47</x:v>
      </x:c>
      <x:c r="C50" s="78" t="n">
        <x:f>(('Inputs'!$B$29*(3*47*'Inputs'!$B$12-47^2)/(2*'Inputs'!$B$12^2))-('Inputs'!$B$29*(3*46*'Inputs'!$B$12-46^2)/(2*'Inputs'!$B$12^2)))*'Inputs'!$B$44</x:f>
        <x:v>696868.7840120085</x:v>
      </x:c>
      <x:c r="D50" s="78" t="n">
        <x:f>IF('Inputs'!$C$44&gt;0,('Inputs'!$B$30*(3*47*'Inputs'!$B$12-47^2)/(2*'Inputs'!$B$12^2))-('Inputs'!$B$30*(3*46*'Inputs'!$B$12-46^2)/(2*'Inputs'!$B$12^2)),0)</x:f>
        <x:v>298658.0502908621</x:v>
      </x:c>
      <x:c r="E50" s="78" t="n">
        <x:f>C50+D50</x:f>
        <x:v>995526.8343028706</x:v>
      </x:c>
      <x:c r="F50" s="78" t="n">
        <x:f>'Inputs'!$B$13*E50+(1-'Inputs'!$B$13)/'Inputs'!$B$14*SUM(E4:E50)</x:f>
        <x:v>874702.8054043907</x:v>
      </x:c>
      <x:c r="G50" s="78" t="n">
        <x:f>F50*'Inputs'!$F$44</x:f>
        <x:v>787232.5248639516</x:v>
      </x:c>
      <x:c r="H50" s="78" t="n">
        <x:f>U49</x:f>
        <x:v>261851627.11859173</x:v>
      </x:c>
      <x:c r="I50" s="78" t="n">
        <x:f>V49</x:f>
        <x:v>43.68325978451588</x:v>
      </x:c>
      <x:c r="J50" s="79" t="n">
        <x:f>IF(H50&gt;0,I50/H50,0)</x:f>
        <x:v>1.6682447332943965e-7</x:v>
      </x:c>
      <x:c r="K50" s="80" t="n">
        <x:f>(H50*J50+I50)*'Inputs'!$D$44*(1+'Inputs'!$G$44)^(B50/30)</x:f>
        <x:v>17.473303913806355</x:v>
      </x:c>
      <x:c r="L50" s="80" t="n">
        <x:f>MAX(0,K50*'Inputs'!$E$44)</x:f>
        <x:v>0</x:v>
      </x:c>
      <x:c r="M50" s="80" t="n">
        <x:f>MAX(0,-K50*'Inputs'!$E$44)</x:f>
        <x:v>3.494660782761271</x:v>
      </x:c>
      <x:c r="N50" s="78" t="n">
        <x:f>H50*(L50*(1-'Inputs'!$B$15))/(I50+L50*(1-'Inputs'!$B$15))</x:f>
        <x:v>0</x:v>
      </x:c>
      <x:c r="O50" s="78" t="n">
        <x:f>H50-N50</x:f>
        <x:v>261851627.11859173</x:v>
      </x:c>
      <x:c r="P50" s="78" t="n">
        <x:f>I50+L50*(1-'Inputs'!$B$17)</x:f>
        <x:v>43.68325978451588</x:v>
      </x:c>
      <x:c r="Q50" s="78" t="n">
        <x:f>IF(J50&gt;0,M50/J50,0)</x:f>
        <x:v>20948130.16948734</x:v>
      </x:c>
      <x:c r="R50" s="78" t="n">
        <x:f>IF(B50='Inputs'!$H$44,'Inputs'!$B$27*'Inputs'!$I$44,0)</x:f>
        <x:v>0</x:v>
      </x:c>
      <x:c r="S50" s="78" t="n">
        <x:f>Q50+G50+R50</x:f>
        <x:v>21735362.69435129</x:v>
      </x:c>
      <x:c r="T50" s="78" t="n">
        <x:f>P50*(S50*(1-'Inputs'!$B$15))/(O50+S50*(1-'Inputs'!$B$15))</x:f>
        <x:v>3.317140088785503</x:v>
      </x:c>
      <x:c r="U50" s="78" t="n">
        <x:f>O50+S50*(1-'Inputs'!$B$17)</x:f>
        <x:v>283499523.564676</x:v>
      </x:c>
      <x:c r="V50" s="78" t="n">
        <x:f>P50-T50</x:f>
        <x:v>40.36611969573038</x:v>
      </x:c>
      <x:c r="W50" s="79" t="n">
        <x:f>IF(U50&gt;0,V50/U50,0)</x:f>
        <x:v>1.423851412100221e-7</x:v>
      </x:c>
      <x:c r="X50" s="80" t="n">
        <x:f>W50*('Inputs'!$B$6-AC50)</x:f>
        <x:v>141.92855577629481</x:v>
      </x:c>
      <x:c r="Y50" s="80" t="n">
        <x:f>2*V50</x:f>
        <x:v>80.73223939146077</x:v>
      </x:c>
      <x:c r="Z50" s="80" t="n">
        <x:f>K50*'Inputs'!$B$16+(G50+R50)*J50*'Inputs'!$B$16</x:f>
        <x:v>0.10562780139092753</x:v>
      </x:c>
      <x:c r="AA50" s="80" t="n">
        <x:f>K50*(1+'Inputs'!$E$44)/2*'Inputs'!$B$17</x:f>
        <x:v>0.02812604251719333</x:v>
      </x:c>
      <x:c r="AB50" s="78" t="n">
        <x:f>(IF(J50&gt;0,K50*(1-'Inputs'!$E$44)/2/J50,0)+G50+R50)*'Inputs'!$B$17</x:f>
        <x:v>256062.86934940028</x:v>
      </x:c>
      <x:c r="AC50" s="78" t="n">
        <x:f>AC49+AB50</x:f>
        <x:v>3206692.9866918763</x:v>
      </x:c>
      <x:c r="AD50" s="80" t="n">
        <x:f>Z50/(1+'Inputs'!$C$44)</x:f>
        <x:v>0.08450224111274203</x:v>
      </x:c>
      <x:c r="AE50" s="80" t="n">
        <x:f>Z50-AD50</x:f>
        <x:v>0.021125560278185504</x:v>
      </x:c>
      <x:c r="AF50" s="80" t="n">
        <x:f>D50*W50</x:f>
        <x:v>0.04252446866417428</x:v>
      </x:c>
      <x:c r="AG50" s="80" t="n">
        <x:f>C50*W50</x:f>
        <x:v>0.09922376021640622</x:v>
      </x:c>
      <x:c r="AH50" s="80" t="n">
        <x:f>2*'Inputs'!$B$8*'Inputs'!$C$44</x:f>
        <x:v>1250</x:v>
      </x:c>
      <x:c r="AI50" s="81" t="n">
        <x:f>IF(AH50&gt;0,(AE50+AF50)/AH50*365,0)</x:f>
        <x:v>0.01858580845116906</x:v>
      </x:c>
      <x:c r="AJ50" s="81" t="n">
        <x:f>IF('Inputs'!$B$44&gt;0,AG50/('Inputs'!$B$19*'Inputs'!$B$44)*365,0)</x:f>
        <x:v>0.003621667247898827</x:v>
      </x:c>
      <x:c r="AK50" s="81" t="n">
        <x:f>W50/MAX($W$4:W50)-1</x:f>
        <x:v>-0.9997907542197761</x:v>
      </x:c>
      <x:c r="AL50" s="83" t="n">
        <x:f>'Inputs'!$B$44</x:f>
        <x:v>1</x:v>
      </x:c>
      <x:c r="AM50" s="83" t="n">
        <x:f>'Inputs'!$C$44</x:f>
        <x:v>0.25</x:v>
      </x:c>
      <x:c r="AN50" s="83" t="n">
        <x:f>'Inputs'!$D$44</x:f>
        <x:v>0.2</x:v>
      </x:c>
      <x:c r="AO50" s="81" t="n">
        <x:f>'Inputs'!$E$44</x:f>
        <x:v>-0.2</x:v>
      </x:c>
    </x:row>
    <x:row r="51">
      <x:c r="A51" s="59" t="str">
        <x:v>No demand</x:v>
      </x:c>
      <x:c r="B51" s="59" t="n">
        <x:v>48</x:v>
      </x:c>
      <x:c r="C51" s="78" t="n">
        <x:f>(('Inputs'!$B$29*(3*48*'Inputs'!$B$12-48^2)/(2*'Inputs'!$B$12^2))-('Inputs'!$B$29*(3*47*'Inputs'!$B$12-47^2)/(2*'Inputs'!$B$12^2)))*'Inputs'!$B$44</x:f>
        <x:v>696543.6761118434</x:v>
      </x:c>
      <x:c r="D51" s="78" t="n">
        <x:f>IF('Inputs'!$C$44&gt;0,('Inputs'!$B$30*(3*48*'Inputs'!$B$12-48^2)/(2*'Inputs'!$B$12^2))-('Inputs'!$B$30*(3*47*'Inputs'!$B$12-47^2)/(2*'Inputs'!$B$12^2)),0)</x:f>
        <x:v>298518.71833364666</x:v>
      </x:c>
      <x:c r="E51" s="78" t="n">
        <x:f>C51+D51</x:f>
        <x:v>995062.3944454901</x:v>
      </x:c>
      <x:c r="F51" s="78" t="n">
        <x:f>'Inputs'!$B$13*E51+(1-'Inputs'!$B$13)/'Inputs'!$B$14*SUM(E4:E51)</x:f>
        <x:v>888825.0944964217</x:v>
      </x:c>
      <x:c r="G51" s="78" t="n">
        <x:f>F51*'Inputs'!$F$44</x:f>
        <x:v>799942.5850467796</x:v>
      </x:c>
      <x:c r="H51" s="78" t="n">
        <x:f>U50</x:f>
        <x:v>283499523.564676</x:v>
      </x:c>
      <x:c r="I51" s="78" t="n">
        <x:f>V50</x:f>
        <x:v>40.36611969573038</x:v>
      </x:c>
      <x:c r="J51" s="79" t="n">
        <x:f>IF(H51&gt;0,I51/H51,0)</x:f>
        <x:v>1.423851412100221e-7</x:v>
      </x:c>
      <x:c r="K51" s="80" t="n">
        <x:f>(H51*J51+I51)*'Inputs'!$D$44*(1+'Inputs'!$G$44)^(B51/30)</x:f>
        <x:v>16.146447878292154</x:v>
      </x:c>
      <x:c r="L51" s="80" t="n">
        <x:f>MAX(0,K51*'Inputs'!$E$44)</x:f>
        <x:v>0</x:v>
      </x:c>
      <x:c r="M51" s="80" t="n">
        <x:f>MAX(0,-K51*'Inputs'!$E$44)</x:f>
        <x:v>3.2292895756584308</x:v>
      </x:c>
      <x:c r="N51" s="78" t="n">
        <x:f>H51*(L51*(1-'Inputs'!$B$15))/(I51+L51*(1-'Inputs'!$B$15))</x:f>
        <x:v>0</x:v>
      </x:c>
      <x:c r="O51" s="78" t="n">
        <x:f>H51-N51</x:f>
        <x:v>283499523.564676</x:v>
      </x:c>
      <x:c r="P51" s="78" t="n">
        <x:f>I51+L51*(1-'Inputs'!$B$17)</x:f>
        <x:v>40.36611969573038</x:v>
      </x:c>
      <x:c r="Q51" s="78" t="n">
        <x:f>IF(J51&gt;0,M51/J51,0)</x:f>
        <x:v>22679961.88517408</x:v>
      </x:c>
      <x:c r="R51" s="78" t="n">
        <x:f>IF(B51='Inputs'!$H$44,'Inputs'!$B$27*'Inputs'!$I$44,0)</x:f>
        <x:v>0</x:v>
      </x:c>
      <x:c r="S51" s="78" t="n">
        <x:f>Q51+G51+R51</x:f>
        <x:v>23479904.47022086</x:v>
      </x:c>
      <x:c r="T51" s="78" t="n">
        <x:f>P51*(S51*(1-'Inputs'!$B$15))/(O51+S51*(1-'Inputs'!$B$15))</x:f>
        <x:v>3.0589442137431906</x:v>
      </x:c>
      <x:c r="U51" s="78" t="n">
        <x:f>O51+S51*(1-'Inputs'!$B$17)</x:f>
        <x:v>306884941.4977933</x:v>
      </x:c>
      <x:c r="V51" s="78" t="n">
        <x:f>P51-T51</x:f>
        <x:v>37.307175481987194</x:v>
      </x:c>
      <x:c r="W51" s="79" t="n">
        <x:f>IF(U51&gt;0,V51/U51,0)</x:f>
        <x:v>1.2156730564850948e-7</x:v>
      </x:c>
      <x:c r="X51" s="80" t="n">
        <x:f>W51*('Inputs'!$B$6-AC51)</x:f>
        <x:v>121.14379987181175</x:v>
      </x:c>
      <x:c r="Y51" s="80" t="n">
        <x:f>2*V51</x:f>
        <x:v>74.61435096397439</x:v>
      </x:c>
      <x:c r="Z51" s="80" t="n">
        <x:f>K51*'Inputs'!$B$16+(G51+R51)*J51*'Inputs'!$B$16</x:f>
        <x:v>0.09756208689734369</x:v>
      </x:c>
      <x:c r="AA51" s="80" t="n">
        <x:f>K51*(1+'Inputs'!$E$44)/2*'Inputs'!$B$17</x:f>
        <x:v>0.025990258154192605</x:v>
      </x:c>
      <x:c r="AB51" s="78" t="n">
        <x:f>(IF(J51&gt;0,K51*(1-'Inputs'!$E$44)/2/J51,0)+G51+R51)*'Inputs'!$B$17</x:f>
        <x:v>277021.4416119478</x:v>
      </x:c>
      <x:c r="AC51" s="78" t="n">
        <x:f>AC50+AB51</x:f>
        <x:v>3483714.4283038243</x:v>
      </x:c>
      <x:c r="AD51" s="80" t="n">
        <x:f>Z51/(1+'Inputs'!$C$44)</x:f>
        <x:v>0.07804966951787495</x:v>
      </x:c>
      <x:c r="AE51" s="80" t="n">
        <x:f>Z51-AD51</x:f>
        <x:v>0.01951241737946874</x:v>
      </x:c>
      <x:c r="AF51" s="80" t="n">
        <x:f>D51*W51</x:f>
        <x:v>0.03629011627346773</x:v>
      </x:c>
      <x:c r="AG51" s="80" t="n">
        <x:f>C51*W51</x:f>
        <x:v>0.08467693797142486</x:v>
      </x:c>
      <x:c r="AH51" s="80" t="n">
        <x:f>2*'Inputs'!$B$8*'Inputs'!$C$44</x:f>
        <x:v>1250</x:v>
      </x:c>
      <x:c r="AI51" s="81" t="n">
        <x:f>IF(AH51&gt;0,(AE51+AF51)/AH51*365,0)</x:f>
        <x:v>0.01629433982665745</x:v>
      </x:c>
      <x:c r="AJ51" s="81" t="n">
        <x:f>IF('Inputs'!$B$44&gt;0,AG51/('Inputs'!$B$19*'Inputs'!$B$44)*365,0)</x:f>
        <x:v>0.003090708235957007</x:v>
      </x:c>
      <x:c r="AK51" s="81" t="n">
        <x:f>W51/MAX($W$4:W51)-1</x:f>
        <x:v>-0.999821347610404</x:v>
      </x:c>
      <x:c r="AL51" s="83" t="n">
        <x:f>'Inputs'!$B$44</x:f>
        <x:v>1</x:v>
      </x:c>
      <x:c r="AM51" s="83" t="n">
        <x:f>'Inputs'!$C$44</x:f>
        <x:v>0.25</x:v>
      </x:c>
      <x:c r="AN51" s="83" t="n">
        <x:f>'Inputs'!$D$44</x:f>
        <x:v>0.2</x:v>
      </x:c>
      <x:c r="AO51" s="81" t="n">
        <x:f>'Inputs'!$E$44</x:f>
        <x:v>-0.2</x:v>
      </x:c>
    </x:row>
    <x:row r="52">
      <x:c r="A52" s="59" t="str">
        <x:v>No demand</x:v>
      </x:c>
      <x:c r="B52" s="59" t="n">
        <x:v>49</x:v>
      </x:c>
      <x:c r="C52" s="78" t="n">
        <x:f>(('Inputs'!$B$29*(3*49*'Inputs'!$B$12-49^2)/(2*'Inputs'!$B$12^2))-('Inputs'!$B$29*(3*48*'Inputs'!$B$12-48^2)/(2*'Inputs'!$B$12^2)))*'Inputs'!$B$44</x:f>
        <x:v>696218.5682116672</x:v>
      </x:c>
      <x:c r="D52" s="78" t="n">
        <x:f>IF('Inputs'!$C$44&gt;0,('Inputs'!$B$30*(3*49*'Inputs'!$B$12-49^2)/(2*'Inputs'!$B$12^2))-('Inputs'!$B$30*(3*48*'Inputs'!$B$12-48^2)/(2*'Inputs'!$B$12^2)),0)</x:f>
        <x:v>298379.3863764312</x:v>
      </x:c>
      <x:c r="E52" s="78" t="n">
        <x:f>C52+D52</x:f>
        <x:v>994597.9545880985</x:v>
      </x:c>
      <x:c r="F52" s="78" t="n">
        <x:f>'Inputs'!$B$13*E52+(1-'Inputs'!$B$13)/'Inputs'!$B$14*SUM(E4:E52)</x:f>
        <x:v>902940.7487333447</x:v>
      </x:c>
      <x:c r="G52" s="78" t="n">
        <x:f>F52*'Inputs'!$F$44</x:f>
        <x:v>812646.6738600102</x:v>
      </x:c>
      <x:c r="H52" s="78" t="n">
        <x:f>U51</x:f>
        <x:v>306884941.4977933</x:v>
      </x:c>
      <x:c r="I52" s="78" t="n">
        <x:f>V51</x:f>
        <x:v>37.307175481987194</x:v>
      </x:c>
      <x:c r="J52" s="79" t="n">
        <x:f>IF(H52&gt;0,I52/H52,0)</x:f>
        <x:v>1.2156730564850948e-7</x:v>
      </x:c>
      <x:c r="K52" s="80" t="n">
        <x:f>(H52*J52+I52)*'Inputs'!$D$44*(1+'Inputs'!$G$44)^(B52/30)</x:f>
        <x:v>14.922870192794878</x:v>
      </x:c>
      <x:c r="L52" s="80" t="n">
        <x:f>MAX(0,K52*'Inputs'!$E$44)</x:f>
        <x:v>0</x:v>
      </x:c>
      <x:c r="M52" s="80" t="n">
        <x:f>MAX(0,-K52*'Inputs'!$E$44)</x:f>
        <x:v>2.984574038558976</x:v>
      </x:c>
      <x:c r="N52" s="78" t="n">
        <x:f>H52*(L52*(1-'Inputs'!$B$15))/(I52+L52*(1-'Inputs'!$B$15))</x:f>
        <x:v>0</x:v>
      </x:c>
      <x:c r="O52" s="78" t="n">
        <x:f>H52-N52</x:f>
        <x:v>306884941.4977933</x:v>
      </x:c>
      <x:c r="P52" s="78" t="n">
        <x:f>I52+L52*(1-'Inputs'!$B$17)</x:f>
        <x:v>37.307175481987194</x:v>
      </x:c>
      <x:c r="Q52" s="78" t="n">
        <x:f>IF(J52&gt;0,M52/J52,0)</x:f>
        <x:v>24550795.31982347</x:v>
      </x:c>
      <x:c r="R52" s="78" t="n">
        <x:f>IF(B52='Inputs'!$H$44,'Inputs'!$B$27*'Inputs'!$I$44,0)</x:f>
        <x:v>0</x:v>
      </x:c>
      <x:c r="S52" s="78" t="n">
        <x:f>Q52+G52+R52</x:f>
        <x:v>25363441.99368348</x:v>
      </x:c>
      <x:c r="T52" s="78" t="n">
        <x:f>P52*(S52*(1-'Inputs'!$B$15))/(O52+S52*(1-'Inputs'!$B$15))</x:f>
        <x:v>2.821659077718834</x:v>
      </x:c>
      <x:c r="U52" s="78" t="n">
        <x:f>O52+S52*(1-'Inputs'!$B$17)</x:f>
        <x:v>332146317.3265123</x:v>
      </x:c>
      <x:c r="V52" s="78" t="n">
        <x:f>P52-T52</x:f>
        <x:v>34.48551640426836</x:v>
      </x:c>
      <x:c r="W52" s="79" t="n">
        <x:f>IF(U52&gt;0,V52/U52,0)</x:f>
        <x:v>1.0382627958017612e-7</x:v>
      </x:c>
      <x:c r="X52" s="80" t="n">
        <x:f>W52*('Inputs'!$B$6-AC52)</x:f>
        <x:v>103.43346608847607</x:v>
      </x:c>
      <x:c r="Y52" s="80" t="n">
        <x:f>2*V52</x:f>
        <x:v>68.97103280853672</x:v>
      </x:c>
      <x:c r="Z52" s="80" t="n">
        <x:f>K52*'Inputs'!$B$16+(G52+R52)*J52*'Inputs'!$B$16</x:f>
        <x:v>0.09012996875628158</x:v>
      </x:c>
      <x:c r="AA52" s="80" t="n">
        <x:f>K52*(1+'Inputs'!$E$44)/2*'Inputs'!$B$17</x:f>
        <x:v>0.02402071660812053</x:v>
      </x:c>
      <x:c r="AB52" s="78" t="n">
        <x:f>(IF(J52&gt;0,K52*(1-'Inputs'!$E$44)/2/J52,0)+G52+R52)*'Inputs'!$B$17</x:f>
        <x:v>299658.0790073659</x:v>
      </x:c>
      <x:c r="AC52" s="78" t="n">
        <x:f>AC51+AB52</x:f>
        <x:v>3783372.50731119</x:v>
      </x:c>
      <x:c r="AD52" s="80" t="n">
        <x:f>Z52/(1+'Inputs'!$C$44)</x:f>
        <x:v>0.07210397500502527</x:v>
      </x:c>
      <x:c r="AE52" s="80" t="n">
        <x:f>Z52-AD52</x:f>
        <x:v>0.01802599375125631</x:v>
      </x:c>
      <x:c r="AF52" s="80" t="n">
        <x:f>D52*W52</x:f>
        <x:v>0.03097962159088074</x:v>
      </x:c>
      <x:c r="AG52" s="80" t="n">
        <x:f>C52*W52</x:f>
        <x:v>0.07228578371205448</x:v>
      </x:c>
      <x:c r="AH52" s="80" t="n">
        <x:f>2*'Inputs'!$B$8*'Inputs'!$C$44</x:f>
        <x:v>1250</x:v>
      </x:c>
      <x:c r="AI52" s="81" t="n">
        <x:f>IF(AH52&gt;0,(AE52+AF52)/AH52*365,0)</x:f>
        <x:v>0.01430963967990402</x:v>
      </x:c>
      <x:c r="AJ52" s="81" t="n">
        <x:f>IF('Inputs'!$B$44&gt;0,AG52/('Inputs'!$B$19*'Inputs'!$B$44)*365,0)</x:f>
        <x:v>0.0026384311054899884</x:v>
      </x:c>
      <x:c r="AK52" s="81" t="n">
        <x:f>W52/MAX($W$4:W52)-1</x:f>
        <x:v>-0.9998474193957749</x:v>
      </x:c>
      <x:c r="AL52" s="83" t="n">
        <x:f>'Inputs'!$B$44</x:f>
        <x:v>1</x:v>
      </x:c>
      <x:c r="AM52" s="83" t="n">
        <x:f>'Inputs'!$C$44</x:f>
        <x:v>0.25</x:v>
      </x:c>
      <x:c r="AN52" s="83" t="n">
        <x:f>'Inputs'!$D$44</x:f>
        <x:v>0.2</x:v>
      </x:c>
      <x:c r="AO52" s="81" t="n">
        <x:f>'Inputs'!$E$44</x:f>
        <x:v>-0.2</x:v>
      </x:c>
    </x:row>
    <x:row r="53">
      <x:c r="A53" s="59" t="str">
        <x:v>No demand</x:v>
      </x:c>
      <x:c r="B53" s="59" t="n">
        <x:v>50</x:v>
      </x:c>
      <x:c r="C53" s="78" t="n">
        <x:f>(('Inputs'!$B$29*(3*50*'Inputs'!$B$12-50^2)/(2*'Inputs'!$B$12^2))-('Inputs'!$B$29*(3*49*'Inputs'!$B$12-49^2)/(2*'Inputs'!$B$12^2)))*'Inputs'!$B$44</x:f>
        <x:v>695893.4603115022</x:v>
      </x:c>
      <x:c r="D53" s="78" t="n">
        <x:f>IF('Inputs'!$C$44&gt;0,('Inputs'!$B$30*(3*50*'Inputs'!$B$12-50^2)/(2*'Inputs'!$B$12^2))-('Inputs'!$B$30*(3*49*'Inputs'!$B$12-49^2)/(2*'Inputs'!$B$12^2)),0)</x:f>
        <x:v>298240.0544192139</x:v>
      </x:c>
      <x:c r="E53" s="78" t="n">
        <x:f>C53+D53</x:f>
        <x:v>994133.5147307161</x:v>
      </x:c>
      <x:c r="F53" s="78" t="n">
        <x:f>'Inputs'!$B$13*E53+(1-'Inputs'!$B$13)/'Inputs'!$B$14*SUM(E4:E53)</x:f>
        <x:v>917049.7681151642</x:v>
      </x:c>
      <x:c r="G53" s="78" t="n">
        <x:f>F53*'Inputs'!$F$44</x:f>
        <x:v>825344.7913036478</x:v>
      </x:c>
      <x:c r="H53" s="78" t="n">
        <x:f>U52</x:f>
        <x:v>332146317.3265123</x:v>
      </x:c>
      <x:c r="I53" s="78" t="n">
        <x:f>V52</x:f>
        <x:v>34.48551640426836</x:v>
      </x:c>
      <x:c r="J53" s="79" t="n">
        <x:f>IF(H53&gt;0,I53/H53,0)</x:f>
        <x:v>1.0382627958017612e-7</x:v>
      </x:c>
      <x:c r="K53" s="80" t="n">
        <x:f>(H53*J53+I53)*'Inputs'!$D$44*(1+'Inputs'!$G$44)^(B53/30)</x:f>
        <x:v>13.794206561707345</x:v>
      </x:c>
      <x:c r="L53" s="80" t="n">
        <x:f>MAX(0,K53*'Inputs'!$E$44)</x:f>
        <x:v>0</x:v>
      </x:c>
      <x:c r="M53" s="80" t="n">
        <x:f>MAX(0,-K53*'Inputs'!$E$44)</x:f>
        <x:v>2.758841312341469</x:v>
      </x:c>
      <x:c r="N53" s="78" t="n">
        <x:f>H53*(L53*(1-'Inputs'!$B$15))/(I53+L53*(1-'Inputs'!$B$15))</x:f>
        <x:v>0</x:v>
      </x:c>
      <x:c r="O53" s="78" t="n">
        <x:f>H53-N53</x:f>
        <x:v>332146317.3265123</x:v>
      </x:c>
      <x:c r="P53" s="78" t="n">
        <x:f>I53+L53*(1-'Inputs'!$B$17)</x:f>
        <x:v>34.48551640426836</x:v>
      </x:c>
      <x:c r="Q53" s="78" t="n">
        <x:f>IF(J53&gt;0,M53/J53,0)</x:f>
        <x:v>26571705.386120986</x:v>
      </x:c>
      <x:c r="R53" s="78" t="n">
        <x:f>IF(B53='Inputs'!$H$44,'Inputs'!$B$27*'Inputs'!$I$44,0)</x:f>
        <x:v>0</x:v>
      </x:c>
      <x:c r="S53" s="78" t="n">
        <x:f>Q53+G53+R53</x:f>
        <x:v>27397050.177424636</x:v>
      </x:c>
      <x:c r="T53" s="78" t="n">
        <x:f>P53*(S53*(1-'Inputs'!$B$15))/(O53+S53*(1-'Inputs'!$B$15))</x:f>
        <x:v>2.603487569199468</x:v>
      </x:c>
      <x:c r="U53" s="78" t="n">
        <x:f>O53+S53*(1-'Inputs'!$B$17)</x:f>
        <x:v>359433117.8050338</x:v>
      </x:c>
      <x:c r="V53" s="78" t="n">
        <x:f>P53-T53</x:f>
        <x:v>31.88202883506889</x:v>
      </x:c>
      <x:c r="W53" s="79" t="n">
        <x:f>IF(U53&gt;0,V53/U53,0)</x:f>
        <x:v>8.870086604641301e-8</x:v>
      </x:c>
      <x:c r="X53" s="80" t="n">
        <x:f>W53*('Inputs'!$B$6-AC53)</x:f>
        <x:v>88.33652910273203</x:v>
      </x:c>
      <x:c r="Y53" s="80" t="n">
        <x:f>2*V53</x:f>
        <x:v>63.76405767013778</x:v>
      </x:c>
      <x:c r="Z53" s="80" t="n">
        <x:f>K53*'Inputs'!$B$16+(G53+R53)*J53*'Inputs'!$B$16</x:f>
        <x:v>0.08327939424455569</x:v>
      </x:c>
      <x:c r="AA53" s="80" t="n">
        <x:f>K53*(1+'Inputs'!$E$44)/2*'Inputs'!$B$17</x:f>
        <x:v>0.02220395422407621</x:v>
      </x:c>
      <x:c r="AB53" s="78" t="n">
        <x:f>(IF(J53&gt;0,K53*(1-'Inputs'!$E$44)/2/J53,0)+G53+R53)*'Inputs'!$B$17</x:f>
        <x:v>324106.4826948354</x:v>
      </x:c>
      <x:c r="AC53" s="78" t="n">
        <x:f>AC52+AB53</x:f>
        <x:v>4107478.9900060254</x:v>
      </x:c>
      <x:c r="AD53" s="80" t="n">
        <x:f>Z53/(1+'Inputs'!$C$44)</x:f>
        <x:v>0.06662351539564455</x:v>
      </x:c>
      <x:c r="AE53" s="80" t="n">
        <x:f>Z53-AD53</x:f>
        <x:v>0.016655878848911135</x:v>
      </x:c>
      <x:c r="AF53" s="80" t="n">
        <x:f>D53*W53</x:f>
        <x:v>0.02645415111671362</x:v>
      </x:c>
      <x:c r="AG53" s="80" t="n">
        <x:f>C53*W53</x:f>
        <x:v>0.061726352605665384</x:v>
      </x:c>
      <x:c r="AH53" s="80" t="n">
        <x:f>2*'Inputs'!$B$8*'Inputs'!$C$44</x:f>
        <x:v>1250</x:v>
      </x:c>
      <x:c r="AI53" s="81" t="n">
        <x:f>IF(AH53&gt;0,(AE53+AF53)/AH53*365,0)</x:f>
        <x:v>0.01258812874996243</x:v>
      </x:c>
      <x:c r="AJ53" s="81" t="n">
        <x:f>IF('Inputs'!$B$44&gt;0,AG53/('Inputs'!$B$19*'Inputs'!$B$44)*365,0)</x:f>
        <x:v>0.0022530118701067866</x:v>
      </x:c>
      <x:c r="AK53" s="81" t="n">
        <x:f>W53/MAX($W$4:W53)-1</x:f>
        <x:v>-0.9998696473398511</x:v>
      </x:c>
      <x:c r="AL53" s="83" t="n">
        <x:f>'Inputs'!$B$44</x:f>
        <x:v>1</x:v>
      </x:c>
      <x:c r="AM53" s="83" t="n">
        <x:f>'Inputs'!$C$44</x:f>
        <x:v>0.25</x:v>
      </x:c>
      <x:c r="AN53" s="83" t="n">
        <x:f>'Inputs'!$D$44</x:f>
        <x:v>0.2</x:v>
      </x:c>
      <x:c r="AO53" s="81" t="n">
        <x:f>'Inputs'!$E$44</x:f>
        <x:v>-0.2</x:v>
      </x:c>
    </x:row>
    <x:row r="54">
      <x:c r="A54" s="59" t="str">
        <x:v>No demand</x:v>
      </x:c>
      <x:c r="B54" s="59" t="n">
        <x:v>51</x:v>
      </x:c>
      <x:c r="C54" s="78" t="n">
        <x:f>(('Inputs'!$B$29*(3*51*'Inputs'!$B$12-51^2)/(2*'Inputs'!$B$12^2))-('Inputs'!$B$29*(3*50*'Inputs'!$B$12-50^2)/(2*'Inputs'!$B$12^2)))*'Inputs'!$B$44</x:f>
        <x:v>695568.3524113372</x:v>
      </x:c>
      <x:c r="D54" s="78" t="n">
        <x:f>IF('Inputs'!$C$44&gt;0,('Inputs'!$B$30*(3*51*'Inputs'!$B$12-51^2)/(2*'Inputs'!$B$12^2))-('Inputs'!$B$30*(3*50*'Inputs'!$B$12-50^2)/(2*'Inputs'!$B$12^2)),0)</x:f>
        <x:v>298100.7224620003</x:v>
      </x:c>
      <x:c r="E54" s="78" t="n">
        <x:f>C54+D54</x:f>
        <x:v>993669.0748733375</x:v>
      </x:c>
      <x:c r="F54" s="78" t="n">
        <x:f>'Inputs'!$B$13*E54+(1-'Inputs'!$B$13)/'Inputs'!$B$14*SUM(E4:E54)</x:f>
        <x:v>931152.152641879</x:v>
      </x:c>
      <x:c r="G54" s="78" t="n">
        <x:f>F54*'Inputs'!$F$44</x:f>
        <x:v>838036.9373776912</x:v>
      </x:c>
      <x:c r="H54" s="78" t="n">
        <x:f>U53</x:f>
        <x:v>359433117.8050338</x:v>
      </x:c>
      <x:c r="I54" s="78" t="n">
        <x:f>V53</x:f>
        <x:v>31.88202883506889</x:v>
      </x:c>
      <x:c r="J54" s="79" t="n">
        <x:f>IF(H54&gt;0,I54/H54,0)</x:f>
        <x:v>8.870086604641301e-8</x:v>
      </x:c>
      <x:c r="K54" s="80" t="n">
        <x:f>(H54*J54+I54)*'Inputs'!$D$44*(1+'Inputs'!$G$44)^(B54/30)</x:f>
        <x:v>12.752811534027558</x:v>
      </x:c>
      <x:c r="L54" s="80" t="n">
        <x:f>MAX(0,K54*'Inputs'!$E$44)</x:f>
        <x:v>0</x:v>
      </x:c>
      <x:c r="M54" s="80" t="n">
        <x:f>MAX(0,-K54*'Inputs'!$E$44)</x:f>
        <x:v>2.550562306805512</x:v>
      </x:c>
      <x:c r="N54" s="78" t="n">
        <x:f>H54*(L54*(1-'Inputs'!$B$15))/(I54+L54*(1-'Inputs'!$B$15))</x:f>
        <x:v>0</x:v>
      </x:c>
      <x:c r="O54" s="78" t="n">
        <x:f>H54-N54</x:f>
        <x:v>359433117.8050338</x:v>
      </x:c>
      <x:c r="P54" s="78" t="n">
        <x:f>I54+L54*(1-'Inputs'!$B$17)</x:f>
        <x:v>31.88202883506889</x:v>
      </x:c>
      <x:c r="Q54" s="78" t="n">
        <x:f>IF(J54&gt;0,M54/J54,0)</x:f>
        <x:v>28754649.42440271</x:v>
      </x:c>
      <x:c r="R54" s="78" t="n">
        <x:f>IF(B54='Inputs'!$H$44,'Inputs'!$B$27*'Inputs'!$I$44,0)</x:f>
        <x:v>0</x:v>
      </x:c>
      <x:c r="S54" s="78" t="n">
        <x:f>Q54+G54+R54</x:f>
        <x:v>29592686.3617804</x:v>
      </x:c>
      <x:c r="T54" s="78" t="n">
        <x:f>P54*(S54*(1-'Inputs'!$B$15))/(O54+S54*(1-'Inputs'!$B$15))</x:f>
        <x:v>2.4027999534648012</x:v>
      </x:c>
      <x:c r="U54" s="78" t="n">
        <x:f>O54+S54*(1-'Inputs'!$B$17)</x:f>
        <x:v>388906718.90982515</x:v>
      </x:c>
      <x:c r="V54" s="78" t="n">
        <x:f>P54-T54</x:f>
        <x:v>29.47922888160409</x:v>
      </x:c>
      <x:c r="W54" s="79" t="n">
        <x:f>IF(U54&gt;0,V54/U54,0)</x:f>
        <x:v>7.580025607230347e-8</x:v>
      </x:c>
      <x:c r="X54" s="80" t="n">
        <x:f>W54*('Inputs'!$B$6-AC54)</x:f>
        <x:v>75.46233928897146</x:v>
      </x:c>
      <x:c r="Y54" s="80" t="n">
        <x:f>2*V54</x:f>
        <x:v>58.95845776320818</x:v>
      </x:c>
      <x:c r="Z54" s="80" t="n">
        <x:f>K54*'Inputs'!$B$16+(G54+R54)*J54*'Inputs'!$B$16</x:f>
        <x:v>0.07696287681691107</x:v>
      </x:c>
      <x:c r="AA54" s="80" t="n">
        <x:f>K54*(1+'Inputs'!$E$44)/2*'Inputs'!$B$17</x:f>
        <x:v>0.02052766444109064</x:v>
      </x:c>
      <x:c r="AB54" s="78" t="n">
        <x:f>(IF(J54&gt;0,K54*(1-'Inputs'!$E$44)/2/J54,0)+G54+R54)*'Inputs'!$B$17</x:f>
        <x:v>350511.00688364514</x:v>
      </x:c>
      <x:c r="AC54" s="78" t="n">
        <x:f>AC53+AB54</x:f>
        <x:v>4457989.99688967</x:v>
      </x:c>
      <x:c r="AD54" s="80" t="n">
        <x:f>Z54/(1+'Inputs'!$C$44)</x:f>
        <x:v>0.061570301453528854</x:v>
      </x:c>
      <x:c r="AE54" s="80" t="n">
        <x:f>Z54-AD54</x:f>
        <x:v>0.015392575363382212</x:v>
      </x:c>
      <x:c r="AF54" s="80" t="n">
        <x:f>D54*W54</x:f>
        <x:v>0.02259611109795829</x:v>
      </x:c>
      <x:c r="AG54" s="80" t="n">
        <x:f>C54*W54</x:f>
        <x:v>0.05272425922856958</x:v>
      </x:c>
      <x:c r="AH54" s="80" t="n">
        <x:f>2*'Inputs'!$B$8*'Inputs'!$C$44</x:f>
        <x:v>1250</x:v>
      </x:c>
      <x:c r="AI54" s="81" t="n">
        <x:f>IF(AH54&gt;0,(AE54+AF54)/AH54*365,0)</x:f>
        <x:v>0.011092696446711427</x:v>
      </x:c>
      <x:c r="AJ54" s="81" t="n">
        <x:f>IF('Inputs'!$B$44&gt;0,AG54/('Inputs'!$B$19*'Inputs'!$B$44)*365,0)</x:f>
        <x:v>0.0019244354618427897</x:v>
      </x:c>
      <x:c r="AK54" s="81" t="n">
        <x:f>W54/MAX($W$4:W54)-1</x:f>
        <x:v>-0.9998886057661057</x:v>
      </x:c>
      <x:c r="AL54" s="83" t="n">
        <x:f>'Inputs'!$B$44</x:f>
        <x:v>1</x:v>
      </x:c>
      <x:c r="AM54" s="83" t="n">
        <x:f>'Inputs'!$C$44</x:f>
        <x:v>0.25</x:v>
      </x:c>
      <x:c r="AN54" s="83" t="n">
        <x:f>'Inputs'!$D$44</x:f>
        <x:v>0.2</x:v>
      </x:c>
      <x:c r="AO54" s="81" t="n">
        <x:f>'Inputs'!$E$44</x:f>
        <x:v>-0.2</x:v>
      </x:c>
    </x:row>
    <x:row r="55">
      <x:c r="A55" s="59" t="str">
        <x:v>No demand</x:v>
      </x:c>
      <x:c r="B55" s="59" t="n">
        <x:v>52</x:v>
      </x:c>
      <x:c r="C55" s="78" t="n">
        <x:f>(('Inputs'!$B$29*(3*52*'Inputs'!$B$12-52^2)/(2*'Inputs'!$B$12^2))-('Inputs'!$B$29*(3*51*'Inputs'!$B$12-51^2)/(2*'Inputs'!$B$12^2)))*'Inputs'!$B$44</x:f>
        <x:v>695243.2445111647</x:v>
      </x:c>
      <x:c r="D55" s="78" t="n">
        <x:f>IF('Inputs'!$C$44&gt;0,('Inputs'!$B$30*(3*52*'Inputs'!$B$12-52^2)/(2*'Inputs'!$B$12^2))-('Inputs'!$B$30*(3*51*'Inputs'!$B$12-51^2)/(2*'Inputs'!$B$12^2)),0)</x:f>
        <x:v>297961.39050478674</x:v>
      </x:c>
      <x:c r="E55" s="78" t="n">
        <x:f>C55+D55</x:f>
        <x:v>993204.6350159515</x:v>
      </x:c>
      <x:c r="F55" s="78" t="n">
        <x:f>'Inputs'!$B$13*E55+(1-'Inputs'!$B$13)/'Inputs'!$B$14*SUM(E4:E55)</x:f>
        <x:v>945247.9023134868</x:v>
      </x:c>
      <x:c r="G55" s="78" t="n">
        <x:f>F55*'Inputs'!$F$44</x:f>
        <x:v>850723.1120821381</x:v>
      </x:c>
      <x:c r="H55" s="78" t="n">
        <x:f>U54</x:f>
        <x:v>388906718.90982515</x:v>
      </x:c>
      <x:c r="I55" s="78" t="n">
        <x:f>V54</x:f>
        <x:v>29.47922888160409</x:v>
      </x:c>
      <x:c r="J55" s="79" t="n">
        <x:f>IF(H55&gt;0,I55/H55,0)</x:f>
        <x:v>7.580025607230347e-8</x:v>
      </x:c>
      <x:c r="K55" s="80" t="n">
        <x:f>(H55*J55+I55)*'Inputs'!$D$44*(1+'Inputs'!$G$44)^(B55/30)</x:f>
        <x:v>11.791691552641637</x:v>
      </x:c>
      <x:c r="L55" s="80" t="n">
        <x:f>MAX(0,K55*'Inputs'!$E$44)</x:f>
        <x:v>0</x:v>
      </x:c>
      <x:c r="M55" s="80" t="n">
        <x:f>MAX(0,-K55*'Inputs'!$E$44)</x:f>
        <x:v>2.3583383105283278</x:v>
      </x:c>
      <x:c r="N55" s="78" t="n">
        <x:f>H55*(L55*(1-'Inputs'!$B$15))/(I55+L55*(1-'Inputs'!$B$15))</x:f>
        <x:v>0</x:v>
      </x:c>
      <x:c r="O55" s="78" t="n">
        <x:f>H55-N55</x:f>
        <x:v>388906718.90982515</x:v>
      </x:c>
      <x:c r="P55" s="78" t="n">
        <x:f>I55+L55*(1-'Inputs'!$B$17)</x:f>
        <x:v>29.47922888160409</x:v>
      </x:c>
      <x:c r="Q55" s="78" t="n">
        <x:f>IF(J55&gt;0,M55/J55,0)</x:f>
        <x:v>31112537.51278602</x:v>
      </x:c>
      <x:c r="R55" s="78" t="n">
        <x:f>IF(B55='Inputs'!$H$44,'Inputs'!$B$27*'Inputs'!$I$44,0)</x:f>
        <x:v>0</x:v>
      </x:c>
      <x:c r="S55" s="78" t="n">
        <x:f>Q55+G55+R55</x:f>
        <x:v>31963260.62486816</x:v>
      </x:c>
      <x:c r="T55" s="78" t="n">
        <x:f>P55*(S55*(1-'Inputs'!$B$15))/(O55+S55*(1-'Inputs'!$B$15))</x:f>
        <x:v>2.218116712584574</x:v>
      </x:c>
      <x:c r="U55" s="78" t="n">
        <x:f>O55+S55*(1-'Inputs'!$B$17)</x:f>
        <x:v>420741354.74344635</x:v>
      </x:c>
      <x:c r="V55" s="78" t="n">
        <x:f>P55-T55</x:f>
        <x:v>27.261112169019516</x:v>
      </x:c>
      <x:c r="W55" s="79" t="n">
        <x:f>IF(U55&gt;0,V55/U55,0)</x:f>
        <x:v>6.479304176230171e-8</x:v>
      </x:c>
      <x:c r="X55" s="80" t="n">
        <x:f>W55*('Inputs'!$B$6-AC55)</x:f>
        <x:v>64.47963668512523</x:v>
      </x:c>
      <x:c r="Y55" s="80" t="n">
        <x:f>2*V55</x:f>
        <x:v>54.52222433803903</x:v>
      </x:c>
      <x:c r="Z55" s="80" t="n">
        <x:f>K55*'Inputs'!$B$16+(G55+R55)*J55*'Inputs'!$B$16</x:f>
        <x:v>0.07113705949430454</x:v>
      </x:c>
      <x:c r="AA55" s="80" t="n">
        <x:f>K55*(1+'Inputs'!$E$44)/2*'Inputs'!$B$17</x:f>
        <x:v>0.01898059002437286</x:v>
      </x:c>
      <x:c r="AB55" s="78" t="n">
        <x:f>(IF(J55&gt;0,K55*(1-'Inputs'!$E$44)/2/J55,0)+G55+R55)*'Inputs'!$B$17</x:f>
        <x:v>379027.5076476466</x:v>
      </x:c>
      <x:c r="AC55" s="78" t="n">
        <x:f>AC54+AB55</x:f>
        <x:v>4837017.504537317</x:v>
      </x:c>
      <x:c r="AD55" s="80" t="n">
        <x:f>Z55/(1+'Inputs'!$C$44)</x:f>
        <x:v>0.05690964759544363</x:v>
      </x:c>
      <x:c r="AE55" s="80" t="n">
        <x:f>Z55-AD55</x:f>
        <x:v>0.014227411898860912</x:v>
      </x:c>
      <x:c r="AF55" s="80" t="n">
        <x:f>D55*W55</x:f>
        <x:v>0.019305824818530135</x:v>
      </x:c>
      <x:c r="AG55" s="80" t="n">
        <x:f>C55*W55</x:f>
        <x:v>0.04504692457657003</x:v>
      </x:c>
      <x:c r="AH55" s="80" t="n">
        <x:f>2*'Inputs'!$B$8*'Inputs'!$C$44</x:f>
        <x:v>1250</x:v>
      </x:c>
      <x:c r="AI55" s="81" t="n">
        <x:f>IF(AH55&gt;0,(AE55+AF55)/AH55*365,0)</x:f>
        <x:v>0.009791705121478185</x:v>
      </x:c>
      <x:c r="AJ55" s="81" t="n">
        <x:f>IF('Inputs'!$B$44&gt;0,AG55/('Inputs'!$B$19*'Inputs'!$B$44)*365,0)</x:f>
        <x:v>0.0016442127470448062</x:v>
      </x:c>
      <x:c r="AK55" s="81" t="n">
        <x:f>W55/MAX($W$4:W55)-1</x:f>
        <x:v>-0.9999047817036145</x:v>
      </x:c>
      <x:c r="AL55" s="83" t="n">
        <x:f>'Inputs'!$B$44</x:f>
        <x:v>1</x:v>
      </x:c>
      <x:c r="AM55" s="83" t="n">
        <x:f>'Inputs'!$C$44</x:f>
        <x:v>0.25</x:v>
      </x:c>
      <x:c r="AN55" s="83" t="n">
        <x:f>'Inputs'!$D$44</x:f>
        <x:v>0.2</x:v>
      </x:c>
      <x:c r="AO55" s="81" t="n">
        <x:f>'Inputs'!$E$44</x:f>
        <x:v>-0.2</x:v>
      </x:c>
    </x:row>
    <x:row r="56">
      <x:c r="A56" s="59" t="str">
        <x:v>No demand</x:v>
      </x:c>
      <x:c r="B56" s="59" t="n">
        <x:v>53</x:v>
      </x:c>
      <x:c r="C56" s="78" t="n">
        <x:f>(('Inputs'!$B$29*(3*53*'Inputs'!$B$12-53^2)/(2*'Inputs'!$B$12^2))-('Inputs'!$B$29*(3*52*'Inputs'!$B$12-52^2)/(2*'Inputs'!$B$12^2)))*'Inputs'!$B$44</x:f>
        <x:v>694918.1366109997</x:v>
      </x:c>
      <x:c r="D56" s="78" t="n">
        <x:f>IF('Inputs'!$C$44&gt;0,('Inputs'!$B$30*(3*53*'Inputs'!$B$12-53^2)/(2*'Inputs'!$B$12^2))-('Inputs'!$B$30*(3*52*'Inputs'!$B$12-52^2)/(2*'Inputs'!$B$12^2)),0)</x:f>
        <x:v>297822.05854756944</x:v>
      </x:c>
      <x:c r="E56" s="78" t="n">
        <x:f>C56+D56</x:f>
        <x:v>992740.1951585691</x:v>
      </x:c>
      <x:c r="F56" s="78" t="n">
        <x:f>'Inputs'!$B$13*E56+(1-'Inputs'!$B$13)/'Inputs'!$B$14*SUM(E4:E56)</x:f>
        <x:v>959337.0171299899</x:v>
      </x:c>
      <x:c r="G56" s="78" t="n">
        <x:f>F56*'Inputs'!$F$44</x:f>
        <x:v>863403.3154169909</x:v>
      </x:c>
      <x:c r="H56" s="78" t="n">
        <x:f>U55</x:f>
        <x:v>420741354.74344635</x:v>
      </x:c>
      <x:c r="I56" s="78" t="n">
        <x:f>V55</x:f>
        <x:v>27.261112169019516</x:v>
      </x:c>
      <x:c r="J56" s="79" t="n">
        <x:f>IF(H56&gt;0,I56/H56,0)</x:f>
        <x:v>6.479304176230171e-8</x:v>
      </x:c>
      <x:c r="K56" s="80" t="n">
        <x:f>(H56*J56+I56)*'Inputs'!$D$44*(1+'Inputs'!$G$44)^(B56/30)</x:f>
        <x:v>10.904444867607808</x:v>
      </x:c>
      <x:c r="L56" s="80" t="n">
        <x:f>MAX(0,K56*'Inputs'!$E$44)</x:f>
        <x:v>0</x:v>
      </x:c>
      <x:c r="M56" s="80" t="n">
        <x:f>MAX(0,-K56*'Inputs'!$E$44)</x:f>
        <x:v>2.1808889735215615</x:v>
      </x:c>
      <x:c r="N56" s="78" t="n">
        <x:f>H56*(L56*(1-'Inputs'!$B$15))/(I56+L56*(1-'Inputs'!$B$15))</x:f>
        <x:v>0</x:v>
      </x:c>
      <x:c r="O56" s="78" t="n">
        <x:f>H56-N56</x:f>
        <x:v>420741354.74344635</x:v>
      </x:c>
      <x:c r="P56" s="78" t="n">
        <x:f>I56+L56*(1-'Inputs'!$B$17)</x:f>
        <x:v>27.261112169019516</x:v>
      </x:c>
      <x:c r="Q56" s="78" t="n">
        <x:f>IF(J56&gt;0,M56/J56,0)</x:f>
        <x:v>33659308.37947571</x:v>
      </x:c>
      <x:c r="R56" s="78" t="n">
        <x:f>IF(B56='Inputs'!$H$44,'Inputs'!$B$27*'Inputs'!$I$44,0)</x:f>
        <x:v>0</x:v>
      </x:c>
      <x:c r="S56" s="78" t="n">
        <x:f>Q56+G56+R56</x:f>
        <x:v>34522711.694892704</x:v>
      </x:c>
      <x:c r="T56" s="78" t="n">
        <x:f>P56*(S56*(1-'Inputs'!$B$15))/(O56+S56*(1-'Inputs'!$B$15))</x:f>
        <x:v>2.0480933305029008</x:v>
      </x:c>
      <x:c r="U56" s="78" t="n">
        <x:f>O56+S56*(1-'Inputs'!$B$17)</x:f>
        <x:v>455125142.04520065</x:v>
      </x:c>
      <x:c r="V56" s="78" t="n">
        <x:f>P56-T56</x:f>
        <x:v>25.213018838516614</x:v>
      </x:c>
      <x:c r="W56" s="79" t="n">
        <x:f>IF(U56&gt;0,V56/U56,0)</x:f>
        <x:v>5.5397991693485896e-8</x:v>
      </x:c>
      <x:c r="X56" s="80" t="n">
        <x:f>W56*('Inputs'!$B$6-AC56)</x:f>
        <x:v>55.107327197031836</x:v>
      </x:c>
      <x:c r="Y56" s="80" t="n">
        <x:f>2*V56</x:f>
        <x:v>50.42603767703323</x:v>
      </x:c>
      <x:c r="Z56" s="80" t="n">
        <x:f>K56*'Inputs'!$B$16+(G56+R56)*J56*'Inputs'!$B$16</x:f>
        <x:v>0.06576232436808799</x:v>
      </x:c>
      <x:c r="AA56" s="80" t="n">
        <x:f>K56*(1+'Inputs'!$E$44)/2*'Inputs'!$B$17</x:f>
        <x:v>0.017552426346249993</x:v>
      </x:c>
      <x:c r="AB56" s="78" t="n">
        <x:f>(IF(J56&gt;0,K56*(1-'Inputs'!$E$44)/2/J56,0)+G56+R56)*'Inputs'!$B$17</x:f>
        <x:v>409824.25937160617</x:v>
      </x:c>
      <x:c r="AC56" s="78" t="n">
        <x:f>AC55+AB56</x:f>
        <x:v>5246841.763908923</x:v>
      </x:c>
      <x:c r="AD56" s="80" t="n">
        <x:f>Z56/(1+'Inputs'!$C$44)</x:f>
        <x:v>0.05260985949447039</x:v>
      </x:c>
      <x:c r="AE56" s="80" t="n">
        <x:f>Z56-AD56</x:f>
        <x:v>0.013152464873617598</x:v>
      </x:c>
      <x:c r="AF56" s="80" t="n">
        <x:f>D56*W56</x:f>
        <x:v>0.016498743925555122</x:v>
      </x:c>
      <x:c r="AG56" s="80" t="n">
        <x:f>C56*W56</x:f>
        <x:v>0.03849706915962886</x:v>
      </x:c>
      <x:c r="AH56" s="80" t="n">
        <x:f>2*'Inputs'!$B$8*'Inputs'!$C$44</x:f>
        <x:v>1250</x:v>
      </x:c>
      <x:c r="AI56" s="81" t="n">
        <x:f>IF(AH56&gt;0,(AE56+AF56)/AH56*365,0)</x:f>
        <x:v>0.008658152969358434</x:v>
      </x:c>
      <x:c r="AJ56" s="81" t="n">
        <x:f>IF('Inputs'!$B$44&gt;0,AG56/('Inputs'!$B$19*'Inputs'!$B$44)*365,0)</x:f>
        <x:v>0.0014051430243264536</x:v>
      </x:c>
      <x:c r="AK56" s="81" t="n">
        <x:f>W56/MAX($W$4:W56)-1</x:f>
        <x:v>-0.9999185884433149</x:v>
      </x:c>
      <x:c r="AL56" s="83" t="n">
        <x:f>'Inputs'!$B$44</x:f>
        <x:v>1</x:v>
      </x:c>
      <x:c r="AM56" s="83" t="n">
        <x:f>'Inputs'!$C$44</x:f>
        <x:v>0.25</x:v>
      </x:c>
      <x:c r="AN56" s="83" t="n">
        <x:f>'Inputs'!$D$44</x:f>
        <x:v>0.2</x:v>
      </x:c>
      <x:c r="AO56" s="81" t="n">
        <x:f>'Inputs'!$E$44</x:f>
        <x:v>-0.2</x:v>
      </x:c>
    </x:row>
    <x:row r="57">
      <x:c r="A57" s="59" t="str">
        <x:v>No demand</x:v>
      </x:c>
      <x:c r="B57" s="59" t="n">
        <x:v>54</x:v>
      </x:c>
      <x:c r="C57" s="78" t="n">
        <x:f>(('Inputs'!$B$29*(3*54*'Inputs'!$B$12-54^2)/(2*'Inputs'!$B$12^2))-('Inputs'!$B$29*(3*53*'Inputs'!$B$12-53^2)/(2*'Inputs'!$B$12^2)))*'Inputs'!$B$44</x:f>
        <x:v>694593.0287108272</x:v>
      </x:c>
      <x:c r="D57" s="78" t="n">
        <x:f>IF('Inputs'!$C$44&gt;0,('Inputs'!$B$30*(3*54*'Inputs'!$B$12-54^2)/(2*'Inputs'!$B$12^2))-('Inputs'!$B$30*(3*53*'Inputs'!$B$12-53^2)/(2*'Inputs'!$B$12^2)),0)</x:f>
        <x:v>297682.726590354</x:v>
      </x:c>
      <x:c r="E57" s="78" t="n">
        <x:f>C57+D57</x:f>
        <x:v>992275.7553011812</x:v>
      </x:c>
      <x:c r="F57" s="78" t="n">
        <x:f>'Inputs'!$B$13*E57+(1-'Inputs'!$B$13)/'Inputs'!$B$14*SUM(E4:E57)</x:f>
        <x:v>973419.4970913864</x:v>
      </x:c>
      <x:c r="G57" s="78" t="n">
        <x:f>F57*'Inputs'!$F$44</x:f>
        <x:v>876077.5473822478</x:v>
      </x:c>
      <x:c r="H57" s="78" t="n">
        <x:f>U56</x:f>
        <x:v>455125142.04520065</x:v>
      </x:c>
      <x:c r="I57" s="78" t="n">
        <x:f>V56</x:f>
        <x:v>25.213018838516614</x:v>
      </x:c>
      <x:c r="J57" s="79" t="n">
        <x:f>IF(H57&gt;0,I57/H57,0)</x:f>
        <x:v>5.5397991693485896e-8</x:v>
      </x:c>
      <x:c r="K57" s="80" t="n">
        <x:f>(H57*J57+I57)*'Inputs'!$D$44*(1+'Inputs'!$G$44)^(B57/30)</x:f>
        <x:v>10.085207535406646</x:v>
      </x:c>
      <x:c r="L57" s="80" t="n">
        <x:f>MAX(0,K57*'Inputs'!$E$44)</x:f>
        <x:v>0</x:v>
      </x:c>
      <x:c r="M57" s="80" t="n">
        <x:f>MAX(0,-K57*'Inputs'!$E$44)</x:f>
        <x:v>2.0170415070813292</x:v>
      </x:c>
      <x:c r="N57" s="78" t="n">
        <x:f>H57*(L57*(1-'Inputs'!$B$15))/(I57+L57*(1-'Inputs'!$B$15))</x:f>
        <x:v>0</x:v>
      </x:c>
      <x:c r="O57" s="78" t="n">
        <x:f>H57-N57</x:f>
        <x:v>455125142.04520065</x:v>
      </x:c>
      <x:c r="P57" s="78" t="n">
        <x:f>I57+L57*(1-'Inputs'!$B$17)</x:f>
        <x:v>25.213018838516614</x:v>
      </x:c>
      <x:c r="Q57" s="78" t="n">
        <x:f>IF(J57&gt;0,M57/J57,0)</x:f>
        <x:v>36410011.36361606</x:v>
      </x:c>
      <x:c r="R57" s="78" t="n">
        <x:f>IF(B57='Inputs'!$H$44,'Inputs'!$B$27*'Inputs'!$I$44,0)</x:f>
        <x:v>0</x:v>
      </x:c>
      <x:c r="S57" s="78" t="n">
        <x:f>Q57+G57+R57</x:f>
        <x:v>37286088.91099831</x:v>
      </x:c>
      <x:c r="T57" s="78" t="n">
        <x:f>P57*(S57*(1-'Inputs'!$B$15))/(O57+S57*(1-'Inputs'!$B$15))</x:f>
        <x:v>1.8915067810248831</x:v>
      </x:c>
      <x:c r="U57" s="78" t="n">
        <x:f>O57+S57*(1-'Inputs'!$B$17)</x:f>
        <x:v>492261186.33281463</x:v>
      </x:c>
      <x:c r="V57" s="78" t="n">
        <x:f>P57-T57</x:f>
        <x:v>23.32151205749173</x:v>
      </x:c>
      <x:c r="W57" s="79" t="n">
        <x:f>IF(U57&gt;0,V57/U57,0)</x:f>
        <x:v>4.7376296781042995e-8</x:v>
      </x:c>
      <x:c r="X57" s="80" t="n">
        <x:f>W57*('Inputs'!$B$6-AC57)</x:f>
        <x:v>47.106729219408976</x:v>
      </x:c>
      <x:c r="Y57" s="80" t="n">
        <x:f>2*V57</x:f>
        <x:v>46.64302411498346</x:v>
      </x:c>
      <x:c r="Z57" s="80" t="n">
        <x:f>K57*'Inputs'!$B$16+(G57+R57)*J57*'Inputs'!$B$16</x:f>
        <x:v>0.06080244283259626</x:v>
      </x:c>
      <x:c r="AA57" s="80" t="n">
        <x:f>K57*(1+'Inputs'!$E$44)/2*'Inputs'!$B$17</x:f>
        <x:v>0.016233734463431224</x:v>
      </x:c>
      <x:c r="AB57" s="78" t="n">
        <x:f>(IF(J57&gt;0,K57*(1-'Inputs'!$E$44)/2/J57,0)+G57+R57)*'Inputs'!$B$17</x:f>
        <x:v>443082.944218231</x:v>
      </x:c>
      <x:c r="AC57" s="78" t="n">
        <x:f>AC56+AB57</x:f>
        <x:v>5689924.708127154</x:v>
      </x:c>
      <x:c r="AD57" s="80" t="n">
        <x:f>Z57/(1+'Inputs'!$C$44)</x:f>
        <x:v>0.04864195426607701</x:v>
      </x:c>
      <x:c r="AE57" s="80" t="n">
        <x:f>Z57-AD57</x:f>
        <x:v>0.012160488566519252</x:v>
      </x:c>
      <x:c r="AF57" s="80" t="n">
        <x:f>D57*W57</x:f>
        <x:v>0.01410310520153469</x:v>
      </x:c>
      <x:c r="AG57" s="80" t="n">
        <x:f>C57*W57</x:f>
        <x:v>0.03290724547024767</x:v>
      </x:c>
      <x:c r="AH57" s="80" t="n">
        <x:f>2*'Inputs'!$B$8*'Inputs'!$C$44</x:f>
        <x:v>1250</x:v>
      </x:c>
      <x:c r="AI57" s="81" t="n">
        <x:f>IF(AH57&gt;0,(AE57+AF57)/AH57*365,0)</x:f>
        <x:v>0.007668969380271751</x:v>
      </x:c>
      <x:c r="AJ57" s="81" t="n">
        <x:f>IF('Inputs'!$B$44&gt;0,AG57/('Inputs'!$B$19*'Inputs'!$B$44)*365,0)</x:f>
        <x:v>0.0012011144596640398</x:v>
      </x:c>
      <x:c r="AK57" s="81" t="n">
        <x:f>W57/MAX($W$4:W57)-1</x:f>
        <x:v>-0.9999303769332964</x:v>
      </x:c>
      <x:c r="AL57" s="83" t="n">
        <x:f>'Inputs'!$B$44</x:f>
        <x:v>1</x:v>
      </x:c>
      <x:c r="AM57" s="83" t="n">
        <x:f>'Inputs'!$C$44</x:f>
        <x:v>0.25</x:v>
      </x:c>
      <x:c r="AN57" s="83" t="n">
        <x:f>'Inputs'!$D$44</x:f>
        <x:v>0.2</x:v>
      </x:c>
      <x:c r="AO57" s="81" t="n">
        <x:f>'Inputs'!$E$44</x:f>
        <x:v>-0.2</x:v>
      </x:c>
    </x:row>
    <x:row r="58">
      <x:c r="A58" s="59" t="str">
        <x:v>No demand</x:v>
      </x:c>
      <x:c r="B58" s="59" t="n">
        <x:v>55</x:v>
      </x:c>
      <x:c r="C58" s="78" t="n">
        <x:f>(('Inputs'!$B$29*(3*55*'Inputs'!$B$12-55^2)/(2*'Inputs'!$B$12^2))-('Inputs'!$B$29*(3*54*'Inputs'!$B$12-54^2)/(2*'Inputs'!$B$12^2)))*'Inputs'!$B$44</x:f>
        <x:v>694267.9208106548</x:v>
      </x:c>
      <x:c r="D58" s="78" t="n">
        <x:f>IF('Inputs'!$C$44&gt;0,('Inputs'!$B$30*(3*55*'Inputs'!$B$12-55^2)/(2*'Inputs'!$B$12^2))-('Inputs'!$B$30*(3*54*'Inputs'!$B$12-54^2)/(2*'Inputs'!$B$12^2)),0)</x:f>
        <x:v>297543.3946331404</x:v>
      </x:c>
      <x:c r="E58" s="78" t="n">
        <x:f>C58+D58</x:f>
        <x:v>991811.3154437952</x:v>
      </x:c>
      <x:c r="F58" s="78" t="n">
        <x:f>'Inputs'!$B$13*E58+(1-'Inputs'!$B$13)/'Inputs'!$B$14*SUM(E4:E58)</x:f>
        <x:v>987495.3421976777</x:v>
      </x:c>
      <x:c r="G58" s="78" t="n">
        <x:f>F58*'Inputs'!$F$44</x:f>
        <x:v>888745.8079779099</x:v>
      </x:c>
      <x:c r="H58" s="78" t="n">
        <x:f>U57</x:f>
        <x:v>492261186.33281463</x:v>
      </x:c>
      <x:c r="I58" s="78" t="n">
        <x:f>V57</x:f>
        <x:v>23.32151205749173</x:v>
      </x:c>
      <x:c r="J58" s="79" t="n">
        <x:f>IF(H58&gt;0,I58/H58,0)</x:f>
        <x:v>4.7376296781042995e-8</x:v>
      </x:c>
      <x:c r="K58" s="80" t="n">
        <x:f>(H58*J58+I58)*'Inputs'!$D$44*(1+'Inputs'!$G$44)^(B58/30)</x:f>
        <x:v>9.328604822996693</x:v>
      </x:c>
      <x:c r="L58" s="80" t="n">
        <x:f>MAX(0,K58*'Inputs'!$E$44)</x:f>
        <x:v>0</x:v>
      </x:c>
      <x:c r="M58" s="80" t="n">
        <x:f>MAX(0,-K58*'Inputs'!$E$44)</x:f>
        <x:v>1.8657209645993387</x:v>
      </x:c>
      <x:c r="N58" s="78" t="n">
        <x:f>H58*(L58*(1-'Inputs'!$B$15))/(I58+L58*(1-'Inputs'!$B$15))</x:f>
        <x:v>0</x:v>
      </x:c>
      <x:c r="O58" s="78" t="n">
        <x:f>H58-N58</x:f>
        <x:v>492261186.33281463</x:v>
      </x:c>
      <x:c r="P58" s="78" t="n">
        <x:f>I58+L58*(1-'Inputs'!$B$17)</x:f>
        <x:v>23.32151205749173</x:v>
      </x:c>
      <x:c r="Q58" s="78" t="n">
        <x:f>IF(J58&gt;0,M58/J58,0)</x:f>
        <x:v>39380894.906625174</x:v>
      </x:c>
      <x:c r="R58" s="78" t="n">
        <x:f>IF(B58='Inputs'!$H$44,'Inputs'!$B$27*'Inputs'!$I$44,0)</x:f>
        <x:v>0</x:v>
      </x:c>
      <x:c r="S58" s="78" t="n">
        <x:f>Q58+G58+R58</x:f>
        <x:v>40269640.71460308</x:v>
      </x:c>
      <x:c r="T58" s="78" t="n">
        <x:f>P58*(S58*(1-'Inputs'!$B$15))/(O58+S58*(1-'Inputs'!$B$15))</x:f>
        <x:v>1.7472435092709728</x:v>
      </x:c>
      <x:c r="U58" s="78" t="n">
        <x:f>O58+S58*(1-'Inputs'!$B$17)</x:f>
        <x:v>532368776.1793509</x:v>
      </x:c>
      <x:c r="V58" s="78" t="n">
        <x:f>P58-T58</x:f>
        <x:v>21.574268548220758</x:v>
      </x:c>
      <x:c r="W58" s="79" t="n">
        <x:f>IF(U58&gt;0,V58/U58,0)</x:f>
        <x:v>4.05250448815814e-8</x:v>
      </x:c>
      <x:c r="X58" s="80" t="n">
        <x:f>W58*('Inputs'!$B$6-AC58)</x:f>
        <x:v>40.27504894224287</x:v>
      </x:c>
      <x:c r="Y58" s="80" t="n">
        <x:f>2*V58</x:f>
        <x:v>43.148537096441515</x:v>
      </x:c>
      <x:c r="Z58" s="80" t="n">
        <x:f>K58*'Inputs'!$B$16+(G58+R58)*J58*'Inputs'!$B$16</x:f>
        <x:v>0.05622426184895018</x:v>
      </x:c>
      <x:c r="AA58" s="80" t="n">
        <x:f>K58*(1+'Inputs'!$E$44)/2*'Inputs'!$B$17</x:f>
        <x:v>0.015015862894159668</x:v>
      </x:c>
      <x:c r="AB58" s="78" t="n">
        <x:f>(IF(J58&gt;0,K58*(1-'Inputs'!$E$44)/2/J58,0)+G58+R58)*'Inputs'!$B$17</x:f>
        <x:v>478999.7204340179</x:v>
      </x:c>
      <x:c r="AC58" s="78" t="n">
        <x:f>AC57+AB58</x:f>
        <x:v>6168924.4285611715</x:v>
      </x:c>
      <x:c r="AD58" s="80" t="n">
        <x:f>Z58/(1+'Inputs'!$C$44)</x:f>
        <x:v>0.04497940947916014</x:v>
      </x:c>
      <x:c r="AE58" s="80" t="n">
        <x:f>Z58-AD58</x:f>
        <x:v>0.011244852369790038</x:v>
      </x:c>
      <x:c r="AF58" s="80" t="n">
        <x:f>D58*W58</x:f>
        <x:v>0.0120579594217261</x:v>
      </x:c>
      <x:c r="AG58" s="80" t="n">
        <x:f>C58*W58</x:f>
        <x:v>0.028135238650693985</x:v>
      </x:c>
      <x:c r="AH58" s="80" t="n">
        <x:f>2*'Inputs'!$B$8*'Inputs'!$C$44</x:f>
        <x:v>1250</x:v>
      </x:c>
      <x:c r="AI58" s="81" t="n">
        <x:f>IF(AH58&gt;0,(AE58+AF58)/AH58*365,0)</x:f>
        <x:v>0.006804421043122713</x:v>
      </x:c>
      <x:c r="AJ58" s="81" t="n">
        <x:f>IF('Inputs'!$B$44&gt;0,AG58/('Inputs'!$B$19*'Inputs'!$B$44)*365,0)</x:f>
        <x:v>0.0010269362107503304</x:v>
      </x:c>
      <x:c r="AK58" s="81" t="n">
        <x:f>W58/MAX($W$4:W58)-1</x:f>
        <x:v>-0.9999404453683665</x:v>
      </x:c>
      <x:c r="AL58" s="83" t="n">
        <x:f>'Inputs'!$B$44</x:f>
        <x:v>1</x:v>
      </x:c>
      <x:c r="AM58" s="83" t="n">
        <x:f>'Inputs'!$C$44</x:f>
        <x:v>0.25</x:v>
      </x:c>
      <x:c r="AN58" s="83" t="n">
        <x:f>'Inputs'!$D$44</x:f>
        <x:v>0.2</x:v>
      </x:c>
      <x:c r="AO58" s="81" t="n">
        <x:f>'Inputs'!$E$44</x:f>
        <x:v>-0.2</x:v>
      </x:c>
    </x:row>
    <x:row r="59">
      <x:c r="A59" s="59" t="str">
        <x:v>No demand</x:v>
      </x:c>
      <x:c r="B59" s="59" t="n">
        <x:v>56</x:v>
      </x:c>
      <x:c r="C59" s="78" t="n">
        <x:f>(('Inputs'!$B$29*(3*56*'Inputs'!$B$12-56^2)/(2*'Inputs'!$B$12^2))-('Inputs'!$B$29*(3*55*'Inputs'!$B$12-55^2)/(2*'Inputs'!$B$12^2)))*'Inputs'!$B$44</x:f>
        <x:v>693942.8129104897</x:v>
      </x:c>
      <x:c r="D59" s="78" t="n">
        <x:f>IF('Inputs'!$C$44&gt;0,('Inputs'!$B$30*(3*56*'Inputs'!$B$12-56^2)/(2*'Inputs'!$B$12^2))-('Inputs'!$B$30*(3*55*'Inputs'!$B$12-55^2)/(2*'Inputs'!$B$12^2)),0)</x:f>
        <x:v>297404.0626759231</x:v>
      </x:c>
      <x:c r="E59" s="78" t="n">
        <x:f>C59+D59</x:f>
        <x:v>991346.8755864128</x:v>
      </x:c>
      <x:c r="F59" s="78" t="n">
        <x:f>'Inputs'!$B$13*E59+(1-'Inputs'!$B$13)/'Inputs'!$B$14*SUM(E4:E59)</x:f>
        <x:v>1001564.5524488643</x:v>
      </x:c>
      <x:c r="G59" s="78" t="n">
        <x:f>F59*'Inputs'!$F$44</x:f>
        <x:v>901408.0972039779</x:v>
      </x:c>
      <x:c r="H59" s="78" t="n">
        <x:f>U58</x:f>
        <x:v>532368776.1793509</x:v>
      </x:c>
      <x:c r="I59" s="78" t="n">
        <x:f>V58</x:f>
        <x:v>21.574268548220758</x:v>
      </x:c>
      <x:c r="J59" s="79" t="n">
        <x:f>IF(H59&gt;0,I59/H59,0)</x:f>
        <x:v>4.05250448815814e-8</x:v>
      </x:c>
      <x:c r="K59" s="80" t="n">
        <x:f>(H59*J59+I59)*'Inputs'!$D$44*(1+'Inputs'!$G$44)^(B59/30)</x:f>
        <x:v>8.629707419288303</x:v>
      </x:c>
      <x:c r="L59" s="80" t="n">
        <x:f>MAX(0,K59*'Inputs'!$E$44)</x:f>
        <x:v>0</x:v>
      </x:c>
      <x:c r="M59" s="80" t="n">
        <x:f>MAX(0,-K59*'Inputs'!$E$44)</x:f>
        <x:v>1.7259414838576608</x:v>
      </x:c>
      <x:c r="N59" s="78" t="n">
        <x:f>H59*(L59*(1-'Inputs'!$B$15))/(I59+L59*(1-'Inputs'!$B$15))</x:f>
        <x:v>0</x:v>
      </x:c>
      <x:c r="O59" s="78" t="n">
        <x:f>H59-N59</x:f>
        <x:v>532368776.1793509</x:v>
      </x:c>
      <x:c r="P59" s="78" t="n">
        <x:f>I59+L59*(1-'Inputs'!$B$17)</x:f>
        <x:v>21.574268548220758</x:v>
      </x:c>
      <x:c r="Q59" s="78" t="n">
        <x:f>IF(J59&gt;0,M59/J59,0)</x:f>
        <x:v>42589502.09434808</x:v>
      </x:c>
      <x:c r="R59" s="78" t="n">
        <x:f>IF(B59='Inputs'!$H$44,'Inputs'!$B$27*'Inputs'!$I$44,0)</x:f>
        <x:v>0</x:v>
      </x:c>
      <x:c r="S59" s="78" t="n">
        <x:f>Q59+G59+R59</x:f>
        <x:v>43490910.19155206</x:v>
      </x:c>
      <x:c r="T59" s="78" t="n">
        <x:f>P59*(S59*(1-'Inputs'!$B$15))/(O59+S59*(1-'Inputs'!$B$15))</x:f>
        <x:v>1.6142887251552618</x:v>
      </x:c>
      <x:c r="U59" s="78" t="n">
        <x:f>O59+S59*(1-'Inputs'!$B$17)</x:f>
        <x:v>575684672.6477982</x:v>
      </x:c>
      <x:c r="V59" s="78" t="n">
        <x:f>P59-T59</x:f>
        <x:v>19.959979823065495</x:v>
      </x:c>
      <x:c r="W59" s="79" t="n">
        <x:f>IF(U59&gt;0,V59/U59,0)</x:f>
        <x:v>3.467172355182182e-8</x:v>
      </x:c>
      <x:c r="X59" s="80" t="n">
        <x:f>W59*('Inputs'!$B$6-AC59)</x:f>
        <x:v>34.43988376334287</x:v>
      </x:c>
      <x:c r="Y59" s="80" t="n">
        <x:f>2*V59</x:f>
        <x:v>39.91995964613099</x:v>
      </x:c>
      <x:c r="Z59" s="80" t="n">
        <x:f>K59*'Inputs'!$B$16+(G59+R59)*J59*'Inputs'!$B$16</x:f>
        <x:v>0.0519974221373047</x:v>
      </x:c>
      <x:c r="AA59" s="80" t="n">
        <x:f>K59*(1+'Inputs'!$E$44)/2*'Inputs'!$B$17</x:f>
        <x:v>0.013890877133663267</x:v>
      </x:c>
      <x:c r="AB59" s="78" t="n">
        <x:f>(IF(J59&gt;0,K59*(1-'Inputs'!$E$44)/2/J59,0)+G59+R59)*'Inputs'!$B$17</x:f>
        <x:v>517786.37577564677</x:v>
      </x:c>
      <x:c r="AC59" s="78" t="n">
        <x:f>AC58+AB59</x:f>
        <x:v>6686710.804336818</x:v>
      </x:c>
      <x:c r="AD59" s="80" t="n">
        <x:f>Z59/(1+'Inputs'!$C$44)</x:f>
        <x:v>0.041597937709843755</x:v>
      </x:c>
      <x:c r="AE59" s="80" t="n">
        <x:f>Z59-AD59</x:f>
        <x:v>0.010399484427460942</x:v>
      </x:c>
      <x:c r="AF59" s="80" t="n">
        <x:f>D59*W59</x:f>
        <x:v>0.010311511444288294</x:v>
      </x:c>
      <x:c r="AG59" s="80" t="n">
        <x:f>C59*W59</x:f>
        <x:v>0.02406019337000611</x:v>
      </x:c>
      <x:c r="AH59" s="80" t="n">
        <x:f>2*'Inputs'!$B$8*'Inputs'!$C$44</x:f>
        <x:v>1250</x:v>
      </x:c>
      <x:c r="AI59" s="81" t="n">
        <x:f>IF(AH59&gt;0,(AE59+AF59)/AH59*365,0)</x:f>
        <x:v>0.006047610794550778</x:v>
      </x:c>
      <x:c r="AJ59" s="81" t="n">
        <x:f>IF('Inputs'!$B$44&gt;0,AG59/('Inputs'!$B$19*'Inputs'!$B$44)*365,0)</x:f>
        <x:v>0.000878197058005223</x:v>
      </x:c>
      <x:c r="AK59" s="81" t="n">
        <x:f>W59/MAX($W$4:W59)-1</x:f>
        <x:v>-0.9999490472686641</x:v>
      </x:c>
      <x:c r="AL59" s="83" t="n">
        <x:f>'Inputs'!$B$44</x:f>
        <x:v>1</x:v>
      </x:c>
      <x:c r="AM59" s="83" t="n">
        <x:f>'Inputs'!$C$44</x:f>
        <x:v>0.25</x:v>
      </x:c>
      <x:c r="AN59" s="83" t="n">
        <x:f>'Inputs'!$D$44</x:f>
        <x:v>0.2</x:v>
      </x:c>
      <x:c r="AO59" s="81" t="n">
        <x:f>'Inputs'!$E$44</x:f>
        <x:v>-0.2</x:v>
      </x:c>
    </x:row>
    <x:row r="60">
      <x:c r="A60" s="59" t="str">
        <x:v>No demand</x:v>
      </x:c>
      <x:c r="B60" s="59" t="n">
        <x:v>57</x:v>
      </x:c>
      <x:c r="C60" s="78" t="n">
        <x:f>(('Inputs'!$B$29*(3*57*'Inputs'!$B$12-57^2)/(2*'Inputs'!$B$12^2))-('Inputs'!$B$29*(3*56*'Inputs'!$B$12-56^2)/(2*'Inputs'!$B$12^2)))*'Inputs'!$B$44</x:f>
        <x:v>693617.7050103247</x:v>
      </x:c>
      <x:c r="D60" s="78" t="n">
        <x:f>IF('Inputs'!$C$44&gt;0,('Inputs'!$B$30*(3*57*'Inputs'!$B$12-57^2)/(2*'Inputs'!$B$12^2))-('Inputs'!$B$30*(3*56*'Inputs'!$B$12-56^2)/(2*'Inputs'!$B$12^2)),0)</x:f>
        <x:v>297264.7307187095</x:v>
      </x:c>
      <x:c r="E60" s="78" t="n">
        <x:f>C60+D60</x:f>
        <x:v>990882.4357290342</x:v>
      </x:c>
      <x:c r="F60" s="78" t="n">
        <x:f>'Inputs'!$B$13*E60+(1-'Inputs'!$B$13)/'Inputs'!$B$14*SUM(E5:E60)</x:f>
        <x:v>1001100.1125914815</x:v>
      </x:c>
      <x:c r="G60" s="78" t="n">
        <x:f>F60*'Inputs'!$F$44</x:f>
        <x:v>900990.1013323334</x:v>
      </x:c>
      <x:c r="H60" s="78" t="n">
        <x:f>U59</x:f>
        <x:v>575684672.6477982</x:v>
      </x:c>
      <x:c r="I60" s="78" t="n">
        <x:f>V59</x:f>
        <x:v>19.959979823065495</x:v>
      </x:c>
      <x:c r="J60" s="79" t="n">
        <x:f>IF(H60&gt;0,I60/H60,0)</x:f>
        <x:v>3.467172355182182e-8</x:v>
      </x:c>
      <x:c r="K60" s="80" t="n">
        <x:f>(H60*J60+I60)*'Inputs'!$D$44*(1+'Inputs'!$G$44)^(B60/30)</x:f>
        <x:v>7.983991929226199</x:v>
      </x:c>
      <x:c r="L60" s="80" t="n">
        <x:f>MAX(0,K60*'Inputs'!$E$44)</x:f>
        <x:v>0</x:v>
      </x:c>
      <x:c r="M60" s="80" t="n">
        <x:f>MAX(0,-K60*'Inputs'!$E$44)</x:f>
        <x:v>1.59679838584524</x:v>
      </x:c>
      <x:c r="N60" s="78" t="n">
        <x:f>H60*(L60*(1-'Inputs'!$B$15))/(I60+L60*(1-'Inputs'!$B$15))</x:f>
        <x:v>0</x:v>
      </x:c>
      <x:c r="O60" s="78" t="n">
        <x:f>H60-N60</x:f>
        <x:v>575684672.6477982</x:v>
      </x:c>
      <x:c r="P60" s="78" t="n">
        <x:f>I60+L60*(1-'Inputs'!$B$17)</x:f>
        <x:v>19.959979823065495</x:v>
      </x:c>
      <x:c r="Q60" s="78" t="n">
        <x:f>IF(J60&gt;0,M60/J60,0)</x:f>
        <x:v>46054773.81182386</x:v>
      </x:c>
      <x:c r="R60" s="78" t="n">
        <x:f>IF(B60='Inputs'!$H$44,'Inputs'!$B$27*'Inputs'!$I$44,0)</x:f>
        <x:v>0</x:v>
      </x:c>
      <x:c r="S60" s="78" t="n">
        <x:f>Q60+G60+R60</x:f>
        <x:v>46955763.9131562</x:v>
      </x:c>
      <x:c r="T60" s="78" t="n">
        <x:f>P60*(S60*(1-'Inputs'!$B$15))/(O60+S60*(1-'Inputs'!$B$15))</x:f>
        <x:v>1.4913326398180404</x:v>
      </x:c>
      <x:c r="U60" s="78" t="n">
        <x:f>O60+S60*(1-'Inputs'!$B$17)</x:f>
        <x:v>622451479.7645231</x:v>
      </x:c>
      <x:c r="V60" s="78" t="n">
        <x:f>P60-T60</x:f>
        <x:v>18.468647183247455</x:v>
      </x:c>
      <x:c r="W60" s="79" t="n">
        <x:f>IF(U60&gt;0,V60/U60,0)</x:f>
        <x:v>2.9670822198437454e-8</x:v>
      </x:c>
      <x:c r="X60" s="80" t="n">
        <x:f>W60*('Inputs'!$B$6-AC60)</x:f>
        <x:v>29.45581763641134</x:v>
      </x:c>
      <x:c r="Y60" s="80" t="n">
        <x:f>2*V60</x:f>
        <x:v>36.93729436649491</x:v>
      </x:c>
      <x:c r="Z60" s="80" t="n">
        <x:f>K60*'Inputs'!$B$16+(G60+R60)*J60*'Inputs'!$B$16</x:f>
        <x:v>0.04809138485365513</x:v>
      </x:c>
      <x:c r="AA60" s="80" t="n">
        <x:f>K60*(1+'Inputs'!$E$44)/2*'Inputs'!$B$17</x:f>
        <x:v>0.012851496063140766</x:v>
      </x:c>
      <x:c r="AB60" s="78" t="n">
        <x:f>(IF(J60&gt;0,K60*(1-'Inputs'!$E$44)/2/J60,0)+G60+R60)*'Inputs'!$B$17</x:f>
        <x:v>559618.9599066556</x:v>
      </x:c>
      <x:c r="AC60" s="78" t="n">
        <x:f>AC59+AB60</x:f>
        <x:v>7246329.764243473</x:v>
      </x:c>
      <x:c r="AD60" s="80" t="n">
        <x:f>Z60/(1+'Inputs'!$C$44)</x:f>
        <x:v>0.0384731078829241</x:v>
      </x:c>
      <x:c r="AE60" s="80" t="n">
        <x:f>Z60-AD60</x:f>
        <x:v>0.009618276970731025</x:v>
      </x:c>
      <x:c r="AF60" s="80" t="n">
        <x:f>D60*W60</x:f>
        <x:v>0.008820088971021219</x:v>
      </x:c>
      <x:c r="AG60" s="80" t="n">
        <x:f>C60*W60</x:f>
        <x:v>0.020580207599049584</x:v>
      </x:c>
      <x:c r="AH60" s="80" t="n">
        <x:f>2*'Inputs'!$B$8*'Inputs'!$C$44</x:f>
        <x:v>1250</x:v>
      </x:c>
      <x:c r="AI60" s="81" t="n">
        <x:f>IF(AH60&gt;0,(AE60+AF60)/AH60*365,0)</x:f>
        <x:v>0.005384002854991655</x:v>
      </x:c>
      <x:c r="AJ60" s="81" t="n">
        <x:f>IF('Inputs'!$B$44&gt;0,AG60/('Inputs'!$B$19*'Inputs'!$B$44)*365,0)</x:f>
        <x:v>0.0007511775773653098</x:v>
      </x:c>
      <x:c r="AK60" s="81" t="n">
        <x:f>W60/MAX($W$4:W60)-1</x:f>
        <x:v>-0.9999563964730587</x:v>
      </x:c>
      <x:c r="AL60" s="83" t="n">
        <x:f>'Inputs'!$B$44</x:f>
        <x:v>1</x:v>
      </x:c>
      <x:c r="AM60" s="83" t="n">
        <x:f>'Inputs'!$C$44</x:f>
        <x:v>0.25</x:v>
      </x:c>
      <x:c r="AN60" s="83" t="n">
        <x:f>'Inputs'!$D$44</x:f>
        <x:v>0.2</x:v>
      </x:c>
      <x:c r="AO60" s="81" t="n">
        <x:f>'Inputs'!$E$44</x:f>
        <x:v>-0.2</x:v>
      </x:c>
    </x:row>
    <x:row r="61">
      <x:c r="A61" s="59" t="str">
        <x:v>No demand</x:v>
      </x:c>
      <x:c r="B61" s="59" t="n">
        <x:v>58</x:v>
      </x:c>
      <x:c r="C61" s="78" t="n">
        <x:f>(('Inputs'!$B$29*(3*58*'Inputs'!$B$12-58^2)/(2*'Inputs'!$B$12^2))-('Inputs'!$B$29*(3*57*'Inputs'!$B$12-57^2)/(2*'Inputs'!$B$12^2)))*'Inputs'!$B$44</x:f>
        <x:v>693292.5971101522</x:v>
      </x:c>
      <x:c r="D61" s="78" t="n">
        <x:f>IF('Inputs'!$C$44&gt;0,('Inputs'!$B$30*(3*58*'Inputs'!$B$12-58^2)/(2*'Inputs'!$B$12^2))-('Inputs'!$B$30*(3*57*'Inputs'!$B$12-57^2)/(2*'Inputs'!$B$12^2)),0)</x:f>
        <x:v>297125.3987614922</x:v>
      </x:c>
      <x:c r="E61" s="78" t="n">
        <x:f>C61+D61</x:f>
        <x:v>990417.9958716445</x:v>
      </x:c>
      <x:c r="F61" s="78" t="n">
        <x:f>'Inputs'!$B$13*E61+(1-'Inputs'!$B$13)/'Inputs'!$B$14*SUM(E6:E61)</x:f>
        <x:v>1000635.6727340964</x:v>
      </x:c>
      <x:c r="G61" s="78" t="n">
        <x:f>F61*'Inputs'!$F$44</x:f>
        <x:v>900572.1054606868</x:v>
      </x:c>
      <x:c r="H61" s="78" t="n">
        <x:f>U60</x:f>
        <x:v>622451479.7645231</x:v>
      </x:c>
      <x:c r="I61" s="78" t="n">
        <x:f>V60</x:f>
        <x:v>18.468647183247455</x:v>
      </x:c>
      <x:c r="J61" s="79" t="n">
        <x:f>IF(H61&gt;0,I61/H61,0)</x:f>
        <x:v>2.9670822198437454e-8</x:v>
      </x:c>
      <x:c r="K61" s="80" t="n">
        <x:f>(H61*J61+I61)*'Inputs'!$D$44*(1+'Inputs'!$G$44)^(B61/30)</x:f>
        <x:v>7.387458873298982</x:v>
      </x:c>
      <x:c r="L61" s="80" t="n">
        <x:f>MAX(0,K61*'Inputs'!$E$44)</x:f>
        <x:v>0</x:v>
      </x:c>
      <x:c r="M61" s="80" t="n">
        <x:f>MAX(0,-K61*'Inputs'!$E$44)</x:f>
        <x:v>1.4774917746597964</x:v>
      </x:c>
      <x:c r="N61" s="78" t="n">
        <x:f>H61*(L61*(1-'Inputs'!$B$15))/(I61+L61*(1-'Inputs'!$B$15))</x:f>
        <x:v>0</x:v>
      </x:c>
      <x:c r="O61" s="78" t="n">
        <x:f>H61-N61</x:f>
        <x:v>622451479.7645231</x:v>
      </x:c>
      <x:c r="P61" s="78" t="n">
        <x:f>I61+L61*(1-'Inputs'!$B$17)</x:f>
        <x:v>18.468647183247455</x:v>
      </x:c>
      <x:c r="Q61" s="78" t="n">
        <x:f>IF(J61&gt;0,M61/J61,0)</x:f>
        <x:v>49796118.38116185</x:v>
      </x:c>
      <x:c r="R61" s="78" t="n">
        <x:f>IF(B61='Inputs'!$H$44,'Inputs'!$B$27*'Inputs'!$I$44,0)</x:f>
        <x:v>0</x:v>
      </x:c>
      <x:c r="S61" s="78" t="n">
        <x:f>Q61+G61+R61</x:f>
        <x:v>50696690.48662254</x:v>
      </x:c>
      <x:c r="T61" s="78" t="n">
        <x:f>P61*(S61*(1-'Inputs'!$B$15))/(O61+S61*(1-'Inputs'!$B$15))</x:f>
        <x:v>1.3780545890510667</x:v>
      </x:c>
      <x:c r="U61" s="78" t="n">
        <x:f>O61+S61*(1-'Inputs'!$B$17)</x:f>
        <x:v>672944159.4242377</x:v>
      </x:c>
      <x:c r="V61" s="78" t="n">
        <x:f>P61-T61</x:f>
        <x:v>17.090592594196387</x:v>
      </x:c>
      <x:c r="W61" s="79" t="n">
        <x:f>IF(U61&gt;0,V61/U61,0)</x:f>
        <x:v>2.539674704780687e-8</x:v>
      </x:c>
      <x:c r="X61" s="80" t="n">
        <x:f>W61*('Inputs'!$B$6-AC61)</x:f>
        <x:v>25.19735428694076</x:v>
      </x:c>
      <x:c r="Y61" s="80" t="n">
        <x:f>2*V61</x:f>
        <x:v>34.181185188392774</x:v>
      </x:c>
      <x:c r="Z61" s="80" t="n">
        <x:f>K61*'Inputs'!$B$16+(G61+R61)*J61*'Inputs'!$B$16</x:f>
        <x:v>0.04448507752870187</x:v>
      </x:c>
      <x:c r="AA61" s="80" t="n">
        <x:f>K61*(1+'Inputs'!$E$44)/2*'Inputs'!$B$17</x:f>
        <x:v>0.011891281888610033</x:v>
      </x:c>
      <x:c r="AB61" s="78" t="n">
        <x:f>(IF(J61&gt;0,K61*(1-'Inputs'!$E$44)/2/J61,0)+G61+R61)*'Inputs'!$B$17</x:f>
        <x:v>604784.4154887173</x:v>
      </x:c>
      <x:c r="AC61" s="78" t="n">
        <x:f>AC60+AB61</x:f>
        <x:v>7851114.17973219</x:v>
      </x:c>
      <x:c r="AD61" s="80" t="n">
        <x:f>Z61/(1+'Inputs'!$C$44)</x:f>
        <x:v>0.0355880620229615</x:v>
      </x:c>
      <x:c r="AE61" s="80" t="n">
        <x:f>Z61-AD61</x:f>
        <x:v>0.008897015505740374</x:v>
      </x:c>
      <x:c r="AF61" s="80" t="n">
        <x:f>D61*W61</x:f>
        <x:v>0.007546018593824367</x:v>
      </x:c>
      <x:c r="AG61" s="80" t="n">
        <x:f>C61*W61</x:f>
        <x:v>0.01760737671892362</x:v>
      </x:c>
      <x:c r="AH61" s="80" t="n">
        <x:f>2*'Inputs'!$B$8*'Inputs'!$C$44</x:f>
        <x:v>1250</x:v>
      </x:c>
      <x:c r="AI61" s="81" t="n">
        <x:f>IF(AH61&gt;0,(AE61+AF61)/AH61*365,0)</x:f>
        <x:v>0.004801365957072905</x:v>
      </x:c>
      <x:c r="AJ61" s="81" t="n">
        <x:f>IF('Inputs'!$B$44&gt;0,AG61/('Inputs'!$B$19*'Inputs'!$B$44)*365,0)</x:f>
        <x:v>0.0006426692502407122</x:v>
      </x:c>
      <x:c r="AK61" s="81" t="n">
        <x:f>W61/MAX($W$4:W61)-1</x:f>
        <x:v>-0.9999626775511404</x:v>
      </x:c>
      <x:c r="AL61" s="83" t="n">
        <x:f>'Inputs'!$B$44</x:f>
        <x:v>1</x:v>
      </x:c>
      <x:c r="AM61" s="83" t="n">
        <x:f>'Inputs'!$C$44</x:f>
        <x:v>0.25</x:v>
      </x:c>
      <x:c r="AN61" s="83" t="n">
        <x:f>'Inputs'!$D$44</x:f>
        <x:v>0.2</x:v>
      </x:c>
      <x:c r="AO61" s="81" t="n">
        <x:f>'Inputs'!$E$44</x:f>
        <x:v>-0.2</x:v>
      </x:c>
    </x:row>
    <x:row r="62">
      <x:c r="A62" s="59" t="str">
        <x:v>No demand</x:v>
      </x:c>
      <x:c r="B62" s="59" t="n">
        <x:v>59</x:v>
      </x:c>
      <x:c r="C62" s="78" t="n">
        <x:f>(('Inputs'!$B$29*(3*59*'Inputs'!$B$12-59^2)/(2*'Inputs'!$B$12^2))-('Inputs'!$B$29*(3*58*'Inputs'!$B$12-58^2)/(2*'Inputs'!$B$12^2)))*'Inputs'!$B$44</x:f>
        <x:v>692967.4892099798</x:v>
      </x:c>
      <x:c r="D62" s="78" t="n">
        <x:f>IF('Inputs'!$C$44&gt;0,('Inputs'!$B$30*(3*59*'Inputs'!$B$12-59^2)/(2*'Inputs'!$B$12^2))-('Inputs'!$B$30*(3*58*'Inputs'!$B$12-58^2)/(2*'Inputs'!$B$12^2)),0)</x:f>
        <x:v>296986.06680427864</x:v>
      </x:c>
      <x:c r="E62" s="78" t="n">
        <x:f>C62+D62</x:f>
        <x:v>989953.5560142584</x:v>
      </x:c>
      <x:c r="F62" s="78" t="n">
        <x:f>'Inputs'!$B$13*E62+(1-'Inputs'!$B$13)/'Inputs'!$B$14*SUM(E7:E62)</x:f>
        <x:v>1000171.2328767116</x:v>
      </x:c>
      <x:c r="G62" s="78" t="n">
        <x:f>F62*'Inputs'!$F$44</x:f>
        <x:v>900154.1095890405</x:v>
      </x:c>
      <x:c r="H62" s="78" t="n">
        <x:f>U61</x:f>
        <x:v>672944159.4242377</x:v>
      </x:c>
      <x:c r="I62" s="78" t="n">
        <x:f>V61</x:f>
        <x:v>17.090592594196387</x:v>
      </x:c>
      <x:c r="J62" s="79" t="n">
        <x:f>IF(H62&gt;0,I62/H62,0)</x:f>
        <x:v>2.539674704780687e-8</x:v>
      </x:c>
      <x:c r="K62" s="80" t="n">
        <x:f>(H62*J62+I62)*'Inputs'!$D$44*(1+'Inputs'!$G$44)^(B62/30)</x:f>
        <x:v>6.836237037678555</x:v>
      </x:c>
      <x:c r="L62" s="80" t="n">
        <x:f>MAX(0,K62*'Inputs'!$E$44)</x:f>
        <x:v>0</x:v>
      </x:c>
      <x:c r="M62" s="80" t="n">
        <x:f>MAX(0,-K62*'Inputs'!$E$44)</x:f>
        <x:v>1.367247407535711</x:v>
      </x:c>
      <x:c r="N62" s="78" t="n">
        <x:f>H62*(L62*(1-'Inputs'!$B$15))/(I62+L62*(1-'Inputs'!$B$15))</x:f>
        <x:v>0</x:v>
      </x:c>
      <x:c r="O62" s="78" t="n">
        <x:f>H62-N62</x:f>
        <x:v>672944159.4242377</x:v>
      </x:c>
      <x:c r="P62" s="78" t="n">
        <x:f>I62+L62*(1-'Inputs'!$B$17)</x:f>
        <x:v>17.090592594196387</x:v>
      </x:c>
      <x:c r="Q62" s="78" t="n">
        <x:f>IF(J62&gt;0,M62/J62,0)</x:f>
        <x:v>53835532.753939025</x:v>
      </x:c>
      <x:c r="R62" s="78" t="n">
        <x:f>IF(B62='Inputs'!$H$44,'Inputs'!$B$27*'Inputs'!$I$44,0)</x:f>
        <x:v>0</x:v>
      </x:c>
      <x:c r="S62" s="78" t="n">
        <x:f>Q62+G62+R62</x:f>
        <x:v>54735686.863528065</x:v>
      </x:c>
      <x:c r="T62" s="78" t="n">
        <x:f>P62*(S62*(1-'Inputs'!$B$15))/(O62+S62*(1-'Inputs'!$B$15))</x:f>
        <x:v>1.2736477667809998</x:v>
      </x:c>
      <x:c r="U62" s="78" t="n">
        <x:f>O62+S62*(1-'Inputs'!$B$17)</x:f>
        <x:v>727459581.9543109</x:v>
      </x:c>
      <x:c r="V62" s="78" t="n">
        <x:f>P62-T62</x:f>
        <x:v>15.816944827415387</x:v>
      </x:c>
      <x:c r="W62" s="79" t="n">
        <x:f>IF(U62&gt;0,V62/U62,0)</x:f>
        <x:v>2.1742712887117887e-8</x:v>
      </x:c>
      <x:c r="X62" s="80" t="n">
        <x:f>W62*('Inputs'!$B$6-AC62)</x:f>
        <x:v>21.557798452634852</x:v>
      </x:c>
      <x:c r="Y62" s="80" t="n">
        <x:f>2*V62</x:f>
        <x:v>31.633889654830774</x:v>
      </x:c>
      <x:c r="Z62" s="80" t="n">
        <x:f>K62*'Inputs'!$B$16+(G62+R62)*J62*'Inputs'!$B$16</x:f>
        <x:v>0.041154588143422995</x:v>
      </x:c>
      <x:c r="AA62" s="80" t="n">
        <x:f>K62*(1+'Inputs'!$E$44)/2*'Inputs'!$B$17</x:f>
        <x:v>0.011004003279965481</x:v>
      </x:c>
      <x:c r="AB62" s="78" t="n">
        <x:f>(IF(J62&gt;0,K62*(1-'Inputs'!$E$44)/2/J62,0)+G62+R62)*'Inputs'!$B$17</x:f>
        <x:v>653548.2992813123</x:v>
      </x:c>
      <x:c r="AC62" s="78" t="n">
        <x:f>AC61+AB62</x:f>
        <x:v>8504662.479013503</x:v>
      </x:c>
      <x:c r="AD62" s="80" t="n">
        <x:f>Z62/(1+'Inputs'!$C$44)</x:f>
        <x:v>0.03292367051473839</x:v>
      </x:c>
      <x:c r="AE62" s="80" t="n">
        <x:f>Z62-AD62</x:f>
        <x:v>0.008230917628684602</x:v>
      </x:c>
      <x:c r="AF62" s="80" t="n">
        <x:f>D62*W62</x:f>
        <x:v>0.006457282781999843</x:v>
      </x:c>
      <x:c r="AG62" s="80" t="n">
        <x:f>C62*W62</x:f>
        <x:v>0.015066993157999553</x:v>
      </x:c>
      <x:c r="AH62" s="80" t="n">
        <x:f>2*'Inputs'!$B$8*'Inputs'!$C$44</x:f>
        <x:v>1250</x:v>
      </x:c>
      <x:c r="AI62" s="81" t="n">
        <x:f>IF(AH62&gt;0,(AE62+AF62)/AH62*365,0)</x:f>
        <x:v>0.004288954519919858</x:v>
      </x:c>
      <x:c r="AJ62" s="81" t="n">
        <x:f>IF('Inputs'!$B$44&gt;0,AG62/('Inputs'!$B$19*'Inputs'!$B$44)*365,0)</x:f>
        <x:v>0.0005499452502669837</x:v>
      </x:c>
      <x:c r="AK62" s="81" t="n">
        <x:f>W62/MAX($W$4:W62)-1</x:f>
        <x:v>-0.9999680474318908</x:v>
      </x:c>
      <x:c r="AL62" s="83" t="n">
        <x:f>'Inputs'!$B$44</x:f>
        <x:v>1</x:v>
      </x:c>
      <x:c r="AM62" s="83" t="n">
        <x:f>'Inputs'!$C$44</x:f>
        <x:v>0.25</x:v>
      </x:c>
      <x:c r="AN62" s="83" t="n">
        <x:f>'Inputs'!$D$44</x:f>
        <x:v>0.2</x:v>
      </x:c>
      <x:c r="AO62" s="81" t="n">
        <x:f>'Inputs'!$E$44</x:f>
        <x:v>-0.2</x:v>
      </x:c>
    </x:row>
    <x:row r="63">
      <x:c r="A63" s="59" t="str">
        <x:v>No demand</x:v>
      </x:c>
      <x:c r="B63" s="59" t="n">
        <x:v>60</x:v>
      </x:c>
      <x:c r="C63" s="78" t="n">
        <x:f>(('Inputs'!$B$29*(3*60*'Inputs'!$B$12-60^2)/(2*'Inputs'!$B$12^2))-('Inputs'!$B$29*(3*59*'Inputs'!$B$12-59^2)/(2*'Inputs'!$B$12^2)))*'Inputs'!$B$44</x:f>
        <x:v>692642.3813098148</x:v>
      </x:c>
      <x:c r="D63" s="78" t="n">
        <x:f>IF('Inputs'!$C$44&gt;0,('Inputs'!$B$30*(3*60*'Inputs'!$B$12-60^2)/(2*'Inputs'!$B$12^2))-('Inputs'!$B$30*(3*59*'Inputs'!$B$12-59^2)/(2*'Inputs'!$B$12^2)),0)</x:f>
        <x:v>296846.73484706506</x:v>
      </x:c>
      <x:c r="E63" s="78" t="n">
        <x:f>C63+D63</x:f>
        <x:v>989489.1161568798</x:v>
      </x:c>
      <x:c r="F63" s="78" t="n">
        <x:f>'Inputs'!$B$13*E63+(1-'Inputs'!$B$13)/'Inputs'!$B$14*SUM(E8:E63)</x:f>
        <x:v>999706.7930193288</x:v>
      </x:c>
      <x:c r="G63" s="78" t="n">
        <x:f>F63*'Inputs'!$F$44</x:f>
        <x:v>899736.1137173959</x:v>
      </x:c>
      <x:c r="H63" s="78" t="n">
        <x:f>U62</x:f>
        <x:v>727459581.9543109</x:v>
      </x:c>
      <x:c r="I63" s="78" t="n">
        <x:f>V62</x:f>
        <x:v>15.816944827415387</x:v>
      </x:c>
      <x:c r="J63" s="79" t="n">
        <x:f>IF(H63&gt;0,I63/H63,0)</x:f>
        <x:v>2.1742712887117887e-8</x:v>
      </x:c>
      <x:c r="K63" s="80" t="n">
        <x:f>(H63*J63+I63)*'Inputs'!$D$44*(1+'Inputs'!$G$44)^(B63/30)</x:f>
        <x:v>6.326777930966156</x:v>
      </x:c>
      <x:c r="L63" s="80" t="n">
        <x:f>MAX(0,K63*'Inputs'!$E$44)</x:f>
        <x:v>0</x:v>
      </x:c>
      <x:c r="M63" s="80" t="n">
        <x:f>MAX(0,-K63*'Inputs'!$E$44)</x:f>
        <x:v>1.2653555861932313</x:v>
      </x:c>
      <x:c r="N63" s="78" t="n">
        <x:f>H63*(L63*(1-'Inputs'!$B$15))/(I63+L63*(1-'Inputs'!$B$15))</x:f>
        <x:v>0</x:v>
      </x:c>
      <x:c r="O63" s="78" t="n">
        <x:f>H63-N63</x:f>
        <x:v>727459581.9543109</x:v>
      </x:c>
      <x:c r="P63" s="78" t="n">
        <x:f>I63+L63*(1-'Inputs'!$B$17)</x:f>
        <x:v>15.816944827415387</x:v>
      </x:c>
      <x:c r="Q63" s="78" t="n">
        <x:f>IF(J63&gt;0,M63/J63,0)</x:f>
        <x:v>58196766.55634489</x:v>
      </x:c>
      <x:c r="R63" s="78" t="n">
        <x:f>IF(B63='Inputs'!$H$44,'Inputs'!$B$27*'Inputs'!$I$44,0)</x:f>
        <x:v>0</x:v>
      </x:c>
      <x:c r="S63" s="78" t="n">
        <x:f>Q63+G63+R63</x:f>
        <x:v>59096502.67006229</x:v>
      </x:c>
      <x:c r="T63" s="78" t="n">
        <x:f>P63*(S63*(1-'Inputs'!$B$15))/(O63+S63*(1-'Inputs'!$B$15))</x:f>
        <x:v>1.1773790438397793</x:v>
      </x:c>
      <x:c r="U63" s="78" t="n">
        <x:f>O63+S63*(1-'Inputs'!$B$17)</x:f>
        <x:v>786318271.7363648</x:v>
      </x:c>
      <x:c r="V63" s="78" t="n">
        <x:f>P63-T63</x:f>
        <x:v>14.639565783575607</x:v>
      </x:c>
      <x:c r="W63" s="79" t="n">
        <x:f>IF(U63&gt;0,V63/U63,0)</x:f>
        <x:v>1.8617862905879328e-8</x:v>
      </x:c>
      <x:c r="X63" s="80" t="n">
        <x:f>W63*('Inputs'!$B$6-AC63)</x:f>
        <x:v>18.44637638076395</x:v>
      </x:c>
      <x:c r="Y63" s="80" t="n">
        <x:f>2*V63</x:f>
        <x:v>29.279131567151214</x:v>
      </x:c>
      <x:c r="Z63" s="80" t="n">
        <x:f>K63*'Inputs'!$B$16+(G63+R63)*J63*'Inputs'!$B$16</x:f>
        <x:v>0.03807804380976531</x:v>
      </x:c>
      <x:c r="AA63" s="80" t="n">
        <x:f>K63*(1+'Inputs'!$E$44)/2*'Inputs'!$B$17</x:f>
        <x:v>0.0101839483798248</x:v>
      </x:c>
      <x:c r="AB63" s="78" t="n">
        <x:f>(IF(J63&gt;0,K63*(1-'Inputs'!$E$44)/2/J63,0)+G63+R63)*'Inputs'!$B$17</x:f>
        <x:v>706197.3270935697</x:v>
      </x:c>
      <x:c r="AC63" s="78" t="n">
        <x:f>AC62+AB63</x:f>
        <x:v>9210859.806107072</x:v>
      </x:c>
      <x:c r="AD63" s="80" t="n">
        <x:f>Z63/(1+'Inputs'!$C$44)</x:f>
        <x:v>0.030462435047812247</x:v>
      </x:c>
      <x:c r="AE63" s="80" t="n">
        <x:f>Z63-AD63</x:f>
        <x:v>0.0076156087619530625</x:v>
      </x:c>
      <x:c r="AF63" s="80" t="n">
        <x:f>D63*W63</x:f>
        <x:v>0.005526651813440569</x:v>
      </x:c>
      <x:c r="AG63" s="80" t="n">
        <x:f>C63*W63</x:f>
        <x:v>0.012895520898027925</x:v>
      </x:c>
      <x:c r="AH63" s="80" t="n">
        <x:f>2*'Inputs'!$B$8*'Inputs'!$C$44</x:f>
        <x:v>1250</x:v>
      </x:c>
      <x:c r="AI63" s="81" t="n">
        <x:f>IF(AH63&gt;0,(AE63+AF63)/AH63*365,0)</x:f>
        <x:v>0.0038375400880149403</x:v>
      </x:c>
      <x:c r="AJ63" s="81" t="n">
        <x:f>IF('Inputs'!$B$44&gt;0,AG63/('Inputs'!$B$19*'Inputs'!$B$44)*365,0)</x:f>
        <x:v>0.00047068651277801926</x:v>
      </x:c>
      <x:c r="AK63" s="81" t="n">
        <x:f>W63/MAX($W$4:W63)-1</x:f>
        <x:v>-0.999972639636294</x:v>
      </x:c>
      <x:c r="AL63" s="83" t="n">
        <x:f>'Inputs'!$B$44</x:f>
        <x:v>1</x:v>
      </x:c>
      <x:c r="AM63" s="83" t="n">
        <x:f>'Inputs'!$C$44</x:f>
        <x:v>0.25</x:v>
      </x:c>
      <x:c r="AN63" s="83" t="n">
        <x:f>'Inputs'!$D$44</x:f>
        <x:v>0.2</x:v>
      </x:c>
      <x:c r="AO63" s="81" t="n">
        <x:f>'Inputs'!$E$44</x:f>
        <x:v>-0.2</x:v>
      </x:c>
    </x:row>
    <x:row r="64">
      <x:c r="A64" s="59" t="str">
        <x:v>No demand</x:v>
      </x:c>
      <x:c r="B64" s="59" t="n">
        <x:v>61</x:v>
      </x:c>
      <x:c r="C64" s="78" t="n">
        <x:f>(('Inputs'!$B$29*(3*61*'Inputs'!$B$12-61^2)/(2*'Inputs'!$B$12^2))-('Inputs'!$B$29*(3*60*'Inputs'!$B$12-60^2)/(2*'Inputs'!$B$12^2)))*'Inputs'!$B$44</x:f>
        <x:v>692317.2734096497</x:v>
      </x:c>
      <x:c r="D64" s="78" t="n">
        <x:f>IF('Inputs'!$C$44&gt;0,('Inputs'!$B$30*(3*61*'Inputs'!$B$12-61^2)/(2*'Inputs'!$B$12^2))-('Inputs'!$B$30*(3*60*'Inputs'!$B$12-60^2)/(2*'Inputs'!$B$12^2)),0)</x:f>
        <x:v>296707.40288984776</x:v>
      </x:c>
      <x:c r="E64" s="78" t="n">
        <x:f>C64+D64</x:f>
        <x:v>989024.6762994975</x:v>
      </x:c>
      <x:c r="F64" s="78" t="n">
        <x:f>'Inputs'!$B$13*E64+(1-'Inputs'!$B$13)/'Inputs'!$B$14*SUM(E9:E64)</x:f>
        <x:v>999242.3531619449</x:v>
      </x:c>
      <x:c r="G64" s="78" t="n">
        <x:f>F64*'Inputs'!$F$44</x:f>
        <x:v>899318.1178457504</x:v>
      </x:c>
      <x:c r="H64" s="78" t="n">
        <x:f>U63</x:f>
        <x:v>786318271.7363648</x:v>
      </x:c>
      <x:c r="I64" s="78" t="n">
        <x:f>V63</x:f>
        <x:v>14.639565783575607</x:v>
      </x:c>
      <x:c r="J64" s="79" t="n">
        <x:f>IF(H64&gt;0,I64/H64,0)</x:f>
        <x:v>1.8617862905879328e-8</x:v>
      </x:c>
      <x:c r="K64" s="80" t="n">
        <x:f>(H64*J64+I64)*'Inputs'!$D$44*(1+'Inputs'!$G$44)^(B64/30)</x:f>
        <x:v>5.855826313430244</x:v>
      </x:c>
      <x:c r="L64" s="80" t="n">
        <x:f>MAX(0,K64*'Inputs'!$E$44)</x:f>
        <x:v>0</x:v>
      </x:c>
      <x:c r="M64" s="80" t="n">
        <x:f>MAX(0,-K64*'Inputs'!$E$44)</x:f>
        <x:v>1.171165262686049</x:v>
      </x:c>
      <x:c r="N64" s="78" t="n">
        <x:f>H64*(L64*(1-'Inputs'!$B$15))/(I64+L64*(1-'Inputs'!$B$15))</x:f>
        <x:v>0</x:v>
      </x:c>
      <x:c r="O64" s="78" t="n">
        <x:f>H64-N64</x:f>
        <x:v>786318271.7363648</x:v>
      </x:c>
      <x:c r="P64" s="78" t="n">
        <x:f>I64+L64*(1-'Inputs'!$B$17)</x:f>
        <x:v>14.639565783575607</x:v>
      </x:c>
      <x:c r="Q64" s="78" t="n">
        <x:f>IF(J64&gt;0,M64/J64,0)</x:f>
        <x:v>62905461.7389092</x:v>
      </x:c>
      <x:c r="R64" s="78" t="n">
        <x:f>IF(B64='Inputs'!$H$44,'Inputs'!$B$27*'Inputs'!$I$44,0)</x:f>
        <x:v>0</x:v>
      </x:c>
      <x:c r="S64" s="78" t="n">
        <x:f>Q64+G64+R64</x:f>
        <x:v>63804779.85675495</x:v>
      </x:c>
      <x:c r="T64" s="78" t="n">
        <x:f>P64*(S64*(1-'Inputs'!$B$15))/(O64+S64*(1-'Inputs'!$B$15))</x:f>
        <x:v>1.0885813465436704</x:v>
      </x:c>
      <x:c r="U64" s="78" t="n">
        <x:f>O64+S64*(1-'Inputs'!$B$17)</x:f>
        <x:v>849866291.9156278</x:v>
      </x:c>
      <x:c r="V64" s="78" t="n">
        <x:f>P64-T64</x:f>
        <x:v>13.550984437031937</x:v>
      </x:c>
      <x:c r="W64" s="79" t="n">
        <x:f>IF(U64&gt;0,V64/U64,0)</x:f>
        <x:v>1.5944842813435456e-8</x:v>
      </x:c>
      <x:c r="X64" s="80" t="n">
        <x:f>W64*('Inputs'!$B$6-AC64)</x:f>
        <x:v>15.78581053189343</x:v>
      </x:c>
      <x:c r="Y64" s="80" t="n">
        <x:f>2*V64</x:f>
        <x:v>27.101968874063875</x:v>
      </x:c>
      <x:c r="Z64" s="80" t="n">
        <x:f>K64*'Inputs'!$B$16+(G64+R64)*J64*'Inputs'!$B$16</x:f>
        <x:v>0.03523541816914242</x:v>
      </x:c>
      <x:c r="AA64" s="80" t="n">
        <x:f>K64*(1+'Inputs'!$E$44)/2*'Inputs'!$B$17</x:f>
        <x:v>0.009425877365682487</x:v>
      </x:c>
      <x:c r="AB64" s="78" t="n">
        <x:f>(IF(J64&gt;0,K64*(1-'Inputs'!$E$44)/2/J64,0)+G64+R64)*'Inputs'!$B$17</x:f>
        <x:v>763041.0596964721</x:v>
      </x:c>
      <x:c r="AC64" s="78" t="n">
        <x:f>AC63+AB64</x:f>
        <x:v>9973900.865803543</x:v>
      </x:c>
      <x:c r="AD64" s="80" t="n">
        <x:f>Z64/(1+'Inputs'!$C$44)</x:f>
        <x:v>0.028188334535313934</x:v>
      </x:c>
      <x:c r="AE64" s="80" t="n">
        <x:f>Z64-AD64</x:f>
        <x:v>0.007047083633828485</x:v>
      </x:c>
      <x:c r="AF64" s="80" t="n">
        <x:f>D64*W64</x:f>
        <x:v>0.004730952900661287</x:v>
      </x:c>
      <x:c r="AG64" s="80" t="n">
        <x:f>C64*W64</x:f>
        <x:v>0.011038890101543084</x:v>
      </x:c>
      <x:c r="AH64" s="80" t="n">
        <x:f>2*'Inputs'!$B$8*'Inputs'!$C$44</x:f>
        <x:v>1250</x:v>
      </x:c>
      <x:c r="AI64" s="81" t="n">
        <x:f>IF(AH64&gt;0,(AE64+AF64)/AH64*365,0)</x:f>
        <x:v>0.0034391866680710133</x:v>
      </x:c>
      <x:c r="AJ64" s="81" t="n">
        <x:f>IF('Inputs'!$B$44&gt;0,AG64/('Inputs'!$B$19*'Inputs'!$B$44)*365,0)</x:f>
        <x:v>0.00040291948870632254</x:v>
      </x:c>
      <x:c r="AK64" s="81" t="n">
        <x:f>W64/MAX($W$4:W64)-1</x:f>
        <x:v>-0.9999765678423557</x:v>
      </x:c>
      <x:c r="AL64" s="83" t="n">
        <x:f>'Inputs'!$B$44</x:f>
        <x:v>1</x:v>
      </x:c>
      <x:c r="AM64" s="83" t="n">
        <x:f>'Inputs'!$C$44</x:f>
        <x:v>0.25</x:v>
      </x:c>
      <x:c r="AN64" s="83" t="n">
        <x:f>'Inputs'!$D$44</x:f>
        <x:v>0.2</x:v>
      </x:c>
      <x:c r="AO64" s="81" t="n">
        <x:f>'Inputs'!$E$44</x:f>
        <x:v>-0.2</x:v>
      </x:c>
    </x:row>
    <x:row r="65">
      <x:c r="A65" s="59" t="str">
        <x:v>No demand</x:v>
      </x:c>
      <x:c r="B65" s="59" t="n">
        <x:v>62</x:v>
      </x:c>
      <x:c r="C65" s="78" t="n">
        <x:f>(('Inputs'!$B$29*(3*62*'Inputs'!$B$12-62^2)/(2*'Inputs'!$B$12^2))-('Inputs'!$B$29*(3*61*'Inputs'!$B$12-61^2)/(2*'Inputs'!$B$12^2)))*'Inputs'!$B$44</x:f>
        <x:v>691992.1655094698</x:v>
      </x:c>
      <x:c r="D65" s="78" t="n">
        <x:f>IF('Inputs'!$C$44&gt;0,('Inputs'!$B$30*(3*62*'Inputs'!$B$12-62^2)/(2*'Inputs'!$B$12^2))-('Inputs'!$B$30*(3*61*'Inputs'!$B$12-61^2)/(2*'Inputs'!$B$12^2)),0)</x:f>
        <x:v>296568.0709326342</x:v>
      </x:c>
      <x:c r="E65" s="78" t="n">
        <x:f>C65+D65</x:f>
        <x:v>988560.236442104</x:v>
      </x:c>
      <x:c r="F65" s="78" t="n">
        <x:f>'Inputs'!$B$13*E65+(1-'Inputs'!$B$13)/'Inputs'!$B$14*SUM(E10:E65)</x:f>
        <x:v>998777.913304559</x:v>
      </x:c>
      <x:c r="G65" s="78" t="n">
        <x:f>F65*'Inputs'!$F$44</x:f>
        <x:v>898900.121974103</x:v>
      </x:c>
      <x:c r="H65" s="78" t="n">
        <x:f>U64</x:f>
        <x:v>849866291.9156278</x:v>
      </x:c>
      <x:c r="I65" s="78" t="n">
        <x:f>V64</x:f>
        <x:v>13.550984437031937</x:v>
      </x:c>
      <x:c r="J65" s="79" t="n">
        <x:f>IF(H65&gt;0,I65/H65,0)</x:f>
        <x:v>1.5944842813435456e-8</x:v>
      </x:c>
      <x:c r="K65" s="80" t="n">
        <x:f>(H65*J65+I65)*'Inputs'!$D$44*(1+'Inputs'!$G$44)^(B65/30)</x:f>
        <x:v>5.4203937748127755</x:v>
      </x:c>
      <x:c r="L65" s="80" t="n">
        <x:f>MAX(0,K65*'Inputs'!$E$44)</x:f>
        <x:v>0</x:v>
      </x:c>
      <x:c r="M65" s="80" t="n">
        <x:f>MAX(0,-K65*'Inputs'!$E$44)</x:f>
        <x:v>1.0840787549625552</x:v>
      </x:c>
      <x:c r="N65" s="78" t="n">
        <x:f>H65*(L65*(1-'Inputs'!$B$15))/(I65+L65*(1-'Inputs'!$B$15))</x:f>
        <x:v>0</x:v>
      </x:c>
      <x:c r="O65" s="78" t="n">
        <x:f>H65-N65</x:f>
        <x:v>849866291.9156278</x:v>
      </x:c>
      <x:c r="P65" s="78" t="n">
        <x:f>I65+L65*(1-'Inputs'!$B$17)</x:f>
        <x:v>13.550984437031937</x:v>
      </x:c>
      <x:c r="Q65" s="78" t="n">
        <x:f>IF(J65&gt;0,M65/J65,0)</x:f>
        <x:v>67989303.35325024</x:v>
      </x:c>
      <x:c r="R65" s="78" t="n">
        <x:f>IF(B65='Inputs'!$H$44,'Inputs'!$B$27*'Inputs'!$I$44,0)</x:f>
        <x:v>0</x:v>
      </x:c>
      <x:c r="S65" s="78" t="n">
        <x:f>Q65+G65+R65</x:f>
        <x:v>68888203.47522433</x:v>
      </x:c>
      <x:c r="T65" s="78" t="n">
        <x:f>P65*(S65*(1-'Inputs'!$B$15))/(O65+S65*(1-'Inputs'!$B$15))</x:f>
        <x:v>1.006646943324201</x:v>
      </x:c>
      <x:c r="U65" s="78" t="n">
        <x:f>O65+S65*(1-'Inputs'!$B$17)</x:f>
        <x:v>918477279.2802879</x:v>
      </x:c>
      <x:c r="V65" s="78" t="n">
        <x:f>P65-T65</x:f>
        <x:v>12.544337493707737</x:v>
      </x:c>
      <x:c r="W65" s="79" t="n">
        <x:f>IF(U65&gt;0,V65/U65,0)</x:f>
        <x:v>1.3657754826050121e-8</x:v>
      </x:c>
      <x:c r="X65" s="80" t="n">
        <x:f>W65*('Inputs'!$B$6-AC65)</x:f>
        <x:v>13.51027409286079</x:v>
      </x:c>
      <x:c r="Y65" s="80" t="n">
        <x:f>2*V65</x:f>
        <x:v>25.088674987415473</x:v>
      </x:c>
      <x:c r="Z65" s="80" t="n">
        <x:f>K65*'Inputs'!$B$16+(G65+R65)*J65*'Inputs'!$B$16</x:f>
        <x:v>0.032608359575775785</x:v>
      </x:c>
      <x:c r="AA65" s="80" t="n">
        <x:f>K65*(1+'Inputs'!$E$44)/2*'Inputs'!$B$17</x:f>
        <x:v>0.008724979919215737</x:v>
      </x:c>
      <x:c r="AB65" s="78" t="n">
        <x:f>(IF(J65&gt;0,K65*(1-'Inputs'!$E$44)/2/J65,0)+G65+R65)*'Inputs'!$B$17</x:f>
        <x:v>824413.723065291</x:v>
      </x:c>
      <x:c r="AC65" s="78" t="n">
        <x:f>AC64+AB65</x:f>
        <x:v>10798314.588868834</x:v>
      </x:c>
      <x:c r="AD65" s="80" t="n">
        <x:f>Z65/(1+'Inputs'!$C$44)</x:f>
        <x:v>0.02608668766062063</x:v>
      </x:c>
      <x:c r="AE65" s="80" t="n">
        <x:f>Z65-AD65</x:f>
        <x:v>0.006521671915155156</x:v>
      </x:c>
      <x:c r="AF65" s="80" t="n">
        <x:f>D65*W65</x:f>
        <x:v>0.004050454002032559</x:v>
      </x:c>
      <x:c r="AG65" s="80" t="n">
        <x:f>C65*W65</x:f>
        <x:v>0.009451059338075836</x:v>
      </x:c>
      <x:c r="AH65" s="80" t="n">
        <x:f>2*'Inputs'!$B$8*'Inputs'!$C$44</x:f>
        <x:v>1250</x:v>
      </x:c>
      <x:c r="AI65" s="81" t="n">
        <x:f>IF(AH65&gt;0,(AE65+AF65)/AH65*365,0)</x:f>
        <x:v>0.0030870607678188133</x:v>
      </x:c>
      <x:c r="AJ65" s="81" t="n">
        <x:f>IF('Inputs'!$B$44&gt;0,AG65/('Inputs'!$B$19*'Inputs'!$B$44)*365,0)</x:f>
        <x:v>0.000344963665839768</x:v>
      </x:c>
      <x:c r="AK65" s="81" t="n">
        <x:f>W65/MAX($W$4:W65)-1</x:f>
        <x:v>-0.9999799288918746</x:v>
      </x:c>
      <x:c r="AL65" s="83" t="n">
        <x:f>'Inputs'!$B$44</x:f>
        <x:v>1</x:v>
      </x:c>
      <x:c r="AM65" s="83" t="n">
        <x:f>'Inputs'!$C$44</x:f>
        <x:v>0.25</x:v>
      </x:c>
      <x:c r="AN65" s="83" t="n">
        <x:f>'Inputs'!$D$44</x:f>
        <x:v>0.2</x:v>
      </x:c>
      <x:c r="AO65" s="81" t="n">
        <x:f>'Inputs'!$E$44</x:f>
        <x:v>-0.2</x:v>
      </x:c>
    </x:row>
    <x:row r="66">
      <x:c r="A66" s="59" t="str">
        <x:v>No demand</x:v>
      </x:c>
      <x:c r="B66" s="59" t="n">
        <x:v>63</x:v>
      </x:c>
      <x:c r="C66" s="78" t="n">
        <x:f>(('Inputs'!$B$29*(3*63*'Inputs'!$B$12-63^2)/(2*'Inputs'!$B$12^2))-('Inputs'!$B$29*(3*62*'Inputs'!$B$12-62^2)/(2*'Inputs'!$B$12^2)))*'Inputs'!$B$44</x:f>
        <x:v>691667.0576093122</x:v>
      </x:c>
      <x:c r="D66" s="78" t="n">
        <x:f>IF('Inputs'!$C$44&gt;0,('Inputs'!$B$30*(3*63*'Inputs'!$B$12-63^2)/(2*'Inputs'!$B$12^2))-('Inputs'!$B$30*(3*62*'Inputs'!$B$12-62^2)/(2*'Inputs'!$B$12^2)),0)</x:f>
        <x:v>296428.73897541687</x:v>
      </x:c>
      <x:c r="E66" s="78" t="n">
        <x:f>C66+D66</x:f>
        <x:v>988095.7965847291</x:v>
      </x:c>
      <x:c r="F66" s="78" t="n">
        <x:f>'Inputs'!$B$13*E66+(1-'Inputs'!$B$13)/'Inputs'!$B$14*SUM(E11:E66)</x:f>
        <x:v>998313.4734471765</x:v>
      </x:c>
      <x:c r="G66" s="78" t="n">
        <x:f>F66*'Inputs'!$F$44</x:f>
        <x:v>898482.1261024589</x:v>
      </x:c>
      <x:c r="H66" s="78" t="n">
        <x:f>U65</x:f>
        <x:v>918477279.2802879</x:v>
      </x:c>
      <x:c r="I66" s="78" t="n">
        <x:f>V65</x:f>
        <x:v>12.544337493707737</x:v>
      </x:c>
      <x:c r="J66" s="79" t="n">
        <x:f>IF(H66&gt;0,I66/H66,0)</x:f>
        <x:v>1.3657754826050121e-8</x:v>
      </x:c>
      <x:c r="K66" s="80" t="n">
        <x:f>(H66*J66+I66)*'Inputs'!$D$44*(1+'Inputs'!$G$44)^(B66/30)</x:f>
        <x:v>5.017734997483095</x:v>
      </x:c>
      <x:c r="L66" s="80" t="n">
        <x:f>MAX(0,K66*'Inputs'!$E$44)</x:f>
        <x:v>0</x:v>
      </x:c>
      <x:c r="M66" s="80" t="n">
        <x:f>MAX(0,-K66*'Inputs'!$E$44)</x:f>
        <x:v>1.003546999496619</x:v>
      </x:c>
      <x:c r="N66" s="78" t="n">
        <x:f>H66*(L66*(1-'Inputs'!$B$15))/(I66+L66*(1-'Inputs'!$B$15))</x:f>
        <x:v>0</x:v>
      </x:c>
      <x:c r="O66" s="78" t="n">
        <x:f>H66-N66</x:f>
        <x:v>918477279.2802879</x:v>
      </x:c>
      <x:c r="P66" s="78" t="n">
        <x:f>I66+L66*(1-'Inputs'!$B$17)</x:f>
        <x:v>12.544337493707737</x:v>
      </x:c>
      <x:c r="Q66" s="78" t="n">
        <x:f>IF(J66&gt;0,M66/J66,0)</x:f>
        <x:v>73478182.34242304</x:v>
      </x:c>
      <x:c r="R66" s="78" t="n">
        <x:f>IF(B66='Inputs'!$H$44,'Inputs'!$B$27*'Inputs'!$I$44,0)</x:f>
        <x:v>0</x:v>
      </x:c>
      <x:c r="S66" s="78" t="n">
        <x:f>Q66+G66+R66</x:f>
        <x:v>74376664.4685255</x:v>
      </x:c>
      <x:c r="T66" s="78" t="n">
        <x:f>P66*(S66*(1-'Inputs'!$B$15))/(O66+S66*(1-'Inputs'!$B$15))</x:f>
        <x:v>0.9310215158139683</x:v>
      </x:c>
      <x:c r="U66" s="78" t="n">
        <x:f>O66+S66*(1-'Inputs'!$B$17)</x:f>
        <x:v>992554641.276103</x:v>
      </x:c>
      <x:c r="V66" s="78" t="n">
        <x:f>P66-T66</x:f>
        <x:v>11.613315977893768</x:v>
      </x:c>
      <x:c r="W66" s="79" t="n">
        <x:f>IF(U66&gt;0,V66/U66,0)</x:f>
        <x:v>1.1700429875540971e-8</x:v>
      </x:c>
      <x:c r="X66" s="80" t="n">
        <x:f>W66*('Inputs'!$B$6-AC66)</x:f>
        <x:v>11.56366365880821</x:v>
      </x:c>
      <x:c r="Y66" s="80" t="n">
        <x:f>2*V66</x:f>
        <x:v>23.226631955787536</x:v>
      </x:c>
      <x:c r="Z66" s="80" t="n">
        <x:f>K66*'Inputs'!$B$16+(G66+R66)*J66*'Inputs'!$B$16</x:f>
        <x:v>0.030180037476461946</x:v>
      </x:c>
      <x:c r="AA66" s="80" t="n">
        <x:f>K66*(1+'Inputs'!$E$44)/2*'Inputs'!$B$17</x:f>
        <x:v>0.008076837018081442</x:v>
      </x:c>
      <x:c r="AB66" s="78" t="n">
        <x:f>(IF(J66&gt;0,K66*(1-'Inputs'!$E$44)/2/J66,0)+G66+R66)*'Inputs'!$B$17</x:f>
        <x:v>890676.1736554188</x:v>
      </x:c>
      <x:c r="AC66" s="78" t="n">
        <x:f>AC65+AB66</x:f>
        <x:v>11688990.762524253</x:v>
      </x:c>
      <x:c r="AD66" s="80" t="n">
        <x:f>Z66/(1+'Inputs'!$C$44)</x:f>
        <x:v>0.024144029981169556</x:v>
      </x:c>
      <x:c r="AE66" s="80" t="n">
        <x:f>Z66-AD66</x:f>
        <x:v>0.00603600749529239</x:v>
      </x:c>
      <x:c r="AF66" s="80" t="n">
        <x:f>D66*W66</x:f>
        <x:v>0.0034683436734769036</x:v>
      </x:c>
      <x:c r="AG66" s="80" t="n">
        <x:f>C66*W66</x:f>
        <x:v>0.008092801904779515</x:v>
      </x:c>
      <x:c r="AH66" s="80" t="n">
        <x:f>2*'Inputs'!$B$8*'Inputs'!$C$44</x:f>
        <x:v>1250</x:v>
      </x:c>
      <x:c r="AI66" s="81" t="n">
        <x:f>IF(AH66&gt;0,(AE66+AF66)/AH66*365,0)</x:f>
        <x:v>0.002775270541280634</x:v>
      </x:c>
      <x:c r="AJ66" s="81" t="n">
        <x:f>IF('Inputs'!$B$44&gt;0,AG66/('Inputs'!$B$19*'Inputs'!$B$44)*365,0)</x:f>
        <x:v>0.0002953872695244523</x:v>
      </x:c>
      <x:c r="AK66" s="81" t="n">
        <x:f>W66/MAX($W$4:W66)-1</x:f>
        <x:v>-0.9999828053295627</x:v>
      </x:c>
      <x:c r="AL66" s="83" t="n">
        <x:f>'Inputs'!$B$44</x:f>
        <x:v>1</x:v>
      </x:c>
      <x:c r="AM66" s="83" t="n">
        <x:f>'Inputs'!$C$44</x:f>
        <x:v>0.25</x:v>
      </x:c>
      <x:c r="AN66" s="83" t="n">
        <x:f>'Inputs'!$D$44</x:f>
        <x:v>0.2</x:v>
      </x:c>
      <x:c r="AO66" s="81" t="n">
        <x:f>'Inputs'!$E$44</x:f>
        <x:v>-0.2</x:v>
      </x:c>
    </x:row>
    <x:row r="67">
      <x:c r="A67" s="59" t="str">
        <x:v>No demand</x:v>
      </x:c>
      <x:c r="B67" s="59" t="n">
        <x:v>64</x:v>
      </x:c>
      <x:c r="C67" s="78" t="n">
        <x:f>(('Inputs'!$B$29*(3*64*'Inputs'!$B$12-64^2)/(2*'Inputs'!$B$12^2))-('Inputs'!$B$29*(3*63*'Inputs'!$B$12-63^2)/(2*'Inputs'!$B$12^2)))*'Inputs'!$B$44</x:f>
        <x:v>691341.9497091398</x:v>
      </x:c>
      <x:c r="D67" s="78" t="n">
        <x:f>IF('Inputs'!$C$44&gt;0,('Inputs'!$B$30*(3*64*'Inputs'!$B$12-64^2)/(2*'Inputs'!$B$12^2))-('Inputs'!$B$30*(3*63*'Inputs'!$B$12-63^2)/(2*'Inputs'!$B$12^2)),0)</x:f>
        <x:v>296289.40701819956</x:v>
      </x:c>
      <x:c r="E67" s="78" t="n">
        <x:f>C67+D67</x:f>
        <x:v>987631.3567273393</x:v>
      </x:c>
      <x:c r="F67" s="78" t="n">
        <x:f>'Inputs'!$B$13*E67+(1-'Inputs'!$B$13)/'Inputs'!$B$14*SUM(E12:E67)</x:f>
        <x:v>997849.0335897914</x:v>
      </x:c>
      <x:c r="G67" s="78" t="n">
        <x:f>F67*'Inputs'!$F$44</x:f>
        <x:v>898064.1302308122</x:v>
      </x:c>
      <x:c r="H67" s="78" t="n">
        <x:f>U66</x:f>
        <x:v>992554641.276103</x:v>
      </x:c>
      <x:c r="I67" s="78" t="n">
        <x:f>V66</x:f>
        <x:v>11.613315977893768</x:v>
      </x:c>
      <x:c r="J67" s="79" t="n">
        <x:f>IF(H67&gt;0,I67/H67,0)</x:f>
        <x:v>1.1700429875540971e-8</x:v>
      </x:c>
      <x:c r="K67" s="80" t="n">
        <x:f>(H67*J67+I67)*'Inputs'!$D$44*(1+'Inputs'!$G$44)^(B67/30)</x:f>
        <x:v>4.645326391157507</x:v>
      </x:c>
      <x:c r="L67" s="80" t="n">
        <x:f>MAX(0,K67*'Inputs'!$E$44)</x:f>
        <x:v>0</x:v>
      </x:c>
      <x:c r="M67" s="80" t="n">
        <x:f>MAX(0,-K67*'Inputs'!$E$44)</x:f>
        <x:v>0.9290652782315014</x:v>
      </x:c>
      <x:c r="N67" s="78" t="n">
        <x:f>H67*(L67*(1-'Inputs'!$B$15))/(I67+L67*(1-'Inputs'!$B$15))</x:f>
        <x:v>0</x:v>
      </x:c>
      <x:c r="O67" s="78" t="n">
        <x:f>H67-N67</x:f>
        <x:v>992554641.276103</x:v>
      </x:c>
      <x:c r="P67" s="78" t="n">
        <x:f>I67+L67*(1-'Inputs'!$B$17)</x:f>
        <x:v>11.613315977893768</x:v>
      </x:c>
      <x:c r="Q67" s="78" t="n">
        <x:f>IF(J67&gt;0,M67/J67,0)</x:f>
        <x:v>79404371.30208825</x:v>
      </x:c>
      <x:c r="R67" s="78" t="n">
        <x:f>IF(B67='Inputs'!$H$44,'Inputs'!$B$27*'Inputs'!$I$44,0)</x:f>
        <x:v>0</x:v>
      </x:c>
      <x:c r="S67" s="78" t="n">
        <x:f>Q67+G67+R67</x:f>
        <x:v>80302435.43231906</x:v>
      </x:c>
      <x:c r="T67" s="78" t="n">
        <x:f>P67*(S67*(1-'Inputs'!$B$15))/(O67+S67*(1-'Inputs'!$B$15))</x:f>
        <x:v>0.8611989095865892</x:v>
      </x:c>
      <x:c r="U67" s="78" t="n">
        <x:f>O67+S67*(1-'Inputs'!$B$17)</x:f>
        <x:v>1072533928.0748916</x:v>
      </x:c>
      <x:c r="V67" s="78" t="n">
        <x:f>P67-T67</x:f>
        <x:v>10.752117068307179</x:v>
      </x:c>
      <x:c r="W67" s="79" t="n">
        <x:f>IF(U67&gt;0,V67/U67,0)</x:f>
        <x:v>1.002496684427161e-8</x:v>
      </x:c>
      <x:c r="X67" s="80" t="n">
        <x:f>W67*('Inputs'!$B$6-AC67)</x:f>
        <x:v>9.898138895684163</x:v>
      </x:c>
      <x:c r="Y67" s="80" t="n">
        <x:f>2*V67</x:f>
        <x:v>21.504234136614357</x:v>
      </x:c>
      <x:c r="Z67" s="80" t="n">
        <x:f>K67*'Inputs'!$B$16+(G67+R67)*J67*'Inputs'!$B$16</x:f>
        <x:v>0.02793500476522207</x:v>
      </x:c>
      <x:c r="AA67" s="80" t="n">
        <x:f>K67*(1+'Inputs'!$E$44)/2*'Inputs'!$B$17</x:f>
        <x:v>0.007477386545122748</x:v>
      </x:c>
      <x:c r="AB67" s="78" t="n">
        <x:f>(IF(J67&gt;0,K67*(1-'Inputs'!$E$44)/2/J67,0)+G67+R67)*'Inputs'!$B$17</x:f>
        <x:v>962218.0202675879</x:v>
      </x:c>
      <x:c r="AC67" s="78" t="n">
        <x:f>AC66+AB67</x:f>
        <x:v>12651208.78279184</x:v>
      </x:c>
      <x:c r="AD67" s="80" t="n">
        <x:f>Z67/(1+'Inputs'!$C$44)</x:f>
        <x:v>0.022348003812177657</x:v>
      </x:c>
      <x:c r="AE67" s="80" t="n">
        <x:f>Z67-AD67</x:f>
        <x:v>0.0055870009530444124</x:v>
      </x:c>
      <x:c r="AF67" s="80" t="n">
        <x:f>D67*W67</x:f>
        <x:v>0.0029702914816663465</x:v>
      </x:c>
      <x:c r="AG67" s="80" t="n">
        <x:f>C67*W67</x:f>
        <x:v>0.006930680123888216</x:v>
      </x:c>
      <x:c r="AH67" s="80" t="n">
        <x:f>2*'Inputs'!$B$8*'Inputs'!$C$44</x:f>
        <x:v>1250</x:v>
      </x:c>
      <x:c r="AI67" s="81" t="n">
        <x:f>IF(AH67&gt;0,(AE67+AF67)/AH67*365,0)</x:f>
        <x:v>0.002498729390935541</x:v>
      </x:c>
      <x:c r="AJ67" s="81" t="n">
        <x:f>IF('Inputs'!$B$44&gt;0,AG67/('Inputs'!$B$19*'Inputs'!$B$44)*365,0)</x:f>
        <x:v>0.0002529698245219199</x:v>
      </x:c>
      <x:c r="AK67" s="81" t="n">
        <x:f>W67/MAX($W$4:W67)-1</x:f>
        <x:v>-0.9999852675497511</x:v>
      </x:c>
      <x:c r="AL67" s="83" t="n">
        <x:f>'Inputs'!$B$44</x:f>
        <x:v>1</x:v>
      </x:c>
      <x:c r="AM67" s="83" t="n">
        <x:f>'Inputs'!$C$44</x:f>
        <x:v>0.25</x:v>
      </x:c>
      <x:c r="AN67" s="83" t="n">
        <x:f>'Inputs'!$D$44</x:f>
        <x:v>0.2</x:v>
      </x:c>
      <x:c r="AO67" s="81" t="n">
        <x:f>'Inputs'!$E$44</x:f>
        <x:v>-0.2</x:v>
      </x:c>
    </x:row>
    <x:row r="68">
      <x:c r="A68" s="59" t="str">
        <x:v>No demand</x:v>
      </x:c>
      <x:c r="B68" s="59" t="n">
        <x:v>65</x:v>
      </x:c>
      <x:c r="C68" s="78" t="n">
        <x:f>(('Inputs'!$B$29*(3*65*'Inputs'!$B$12-65^2)/(2*'Inputs'!$B$12^2))-('Inputs'!$B$29*(3*64*'Inputs'!$B$12-64^2)/(2*'Inputs'!$B$12^2)))*'Inputs'!$B$44</x:f>
        <x:v>691016.8418089673</x:v>
      </x:c>
      <x:c r="D68" s="78" t="n">
        <x:f>IF('Inputs'!$C$44&gt;0,('Inputs'!$B$30*(3*65*'Inputs'!$B$12-65^2)/(2*'Inputs'!$B$12^2))-('Inputs'!$B$30*(3*64*'Inputs'!$B$12-64^2)/(2*'Inputs'!$B$12^2)),0)</x:f>
        <x:v>296150.0750609897</x:v>
      </x:c>
      <x:c r="E68" s="78" t="n">
        <x:f>C68+D68</x:f>
        <x:v>987166.916869957</x:v>
      </x:c>
      <x:c r="F68" s="78" t="n">
        <x:f>'Inputs'!$B$13*E68+(1-'Inputs'!$B$13)/'Inputs'!$B$14*SUM(E13:E68)</x:f>
        <x:v>997384.5937324078</x:v>
      </x:c>
      <x:c r="G68" s="78" t="n">
        <x:f>F68*'Inputs'!$F$44</x:f>
        <x:v>897646.1343591671</x:v>
      </x:c>
      <x:c r="H68" s="78" t="n">
        <x:f>U67</x:f>
        <x:v>1072533928.0748916</x:v>
      </x:c>
      <x:c r="I68" s="78" t="n">
        <x:f>V67</x:f>
        <x:v>10.752117068307179</x:v>
      </x:c>
      <x:c r="J68" s="79" t="n">
        <x:f>IF(H68&gt;0,I68/H68,0)</x:f>
        <x:v>1.002496684427161e-8</x:v>
      </x:c>
      <x:c r="K68" s="80" t="n">
        <x:f>(H68*J68+I68)*'Inputs'!$D$44*(1+'Inputs'!$G$44)^(B68/30)</x:f>
        <x:v>4.3008468273228715</x:v>
      </x:c>
      <x:c r="L68" s="80" t="n">
        <x:f>MAX(0,K68*'Inputs'!$E$44)</x:f>
        <x:v>0</x:v>
      </x:c>
      <x:c r="M68" s="80" t="n">
        <x:f>MAX(0,-K68*'Inputs'!$E$44)</x:f>
        <x:v>0.8601693654645743</x:v>
      </x:c>
      <x:c r="N68" s="78" t="n">
        <x:f>H68*(L68*(1-'Inputs'!$B$15))/(I68+L68*(1-'Inputs'!$B$15))</x:f>
        <x:v>0</x:v>
      </x:c>
      <x:c r="O68" s="78" t="n">
        <x:f>H68-N68</x:f>
        <x:v>1072533928.0748916</x:v>
      </x:c>
      <x:c r="P68" s="78" t="n">
        <x:f>I68+L68*(1-'Inputs'!$B$17)</x:f>
        <x:v>10.752117068307179</x:v>
      </x:c>
      <x:c r="Q68" s="78" t="n">
        <x:f>IF(J68&gt;0,M68/J68,0)</x:f>
        <x:v>85802714.24599133</x:v>
      </x:c>
      <x:c r="R68" s="78" t="n">
        <x:f>IF(B68='Inputs'!$H$44,'Inputs'!$B$27*'Inputs'!$I$44,0)</x:f>
        <x:v>0</x:v>
      </x:c>
      <x:c r="S68" s="78" t="n">
        <x:f>Q68+G68+R68</x:f>
        <x:v>86700360.3803505</x:v>
      </x:c>
      <x:c r="T68" s="78" t="n">
        <x:f>P68*(S68*(1-'Inputs'!$B$15))/(O68+S68*(1-'Inputs'!$B$15))</x:f>
        <x:v>0.7967164754187374</x:v>
      </x:c>
      <x:c r="U68" s="78" t="n">
        <x:f>O68+S68*(1-'Inputs'!$B$17)</x:f>
        <x:v>1158885393.6448584</x:v>
      </x:c>
      <x:c r="V68" s="78" t="n">
        <x:f>P68-T68</x:f>
        <x:v>9.955400592888441</x:v>
      </x:c>
      <x:c r="W68" s="79" t="n">
        <x:f>IF(U68&gt;0,V68/U68,0)</x:f>
        <x:v>8.590496219455575e-9</x:v>
      </x:c>
      <x:c r="X68" s="80" t="n">
        <x:f>W68*('Inputs'!$B$6-AC68)</x:f>
        <x:v>8.472886581765554</x:v>
      </x:c>
      <x:c r="Y68" s="80" t="n">
        <x:f>2*V68</x:f>
        <x:v>19.910801185776883</x:v>
      </x:c>
      <x:c r="Z68" s="80" t="n">
        <x:f>K68*'Inputs'!$B$16+(G68+R68)*J68*'Inputs'!$B$16</x:f>
        <x:v>0.025859074200346267</x:v>
      </x:c>
      <x:c r="AA68" s="80" t="n">
        <x:f>K68*(1+'Inputs'!$E$44)/2*'Inputs'!$B$17</x:f>
        <x:v>0.00692289227738088</x:v>
      </x:c>
      <x:c r="AB68" s="78" t="n">
        <x:f>(IF(J68&gt;0,K68*(1-'Inputs'!$E$44)/2/J68,0)+G68+R68)*'Inputs'!$B$17</x:f>
        <x:v>1039459.9149792079</x:v>
      </x:c>
      <x:c r="AC68" s="78" t="n">
        <x:f>AC67+AB68</x:f>
        <x:v>13690668.697771048</x:v>
      </x:c>
      <x:c r="AD68" s="80" t="n">
        <x:f>Z68/(1+'Inputs'!$C$44)</x:f>
        <x:v>0.020687259360277013</x:v>
      </x:c>
      <x:c r="AE68" s="80" t="n">
        <x:f>Z68-AD68</x:f>
        <x:v>0.005171814840069254</x:v>
      </x:c>
      <x:c r="AF68" s="80" t="n">
        <x:f>D68*W68</x:f>
        <x:v>0.002544076100202917</x:v>
      </x:c>
      <x:c r="AG68" s="80" t="n">
        <x:f>C68*W68</x:f>
        <x:v>0.005936177567140064</x:v>
      </x:c>
      <x:c r="AH68" s="80" t="n">
        <x:f>2*'Inputs'!$B$8*'Inputs'!$C$44</x:f>
        <x:v>1250</x:v>
      </x:c>
      <x:c r="AI68" s="81" t="n">
        <x:f>IF(AH68&gt;0,(AE68+AF68)/AH68*365,0)</x:f>
        <x:v>0.0022530401545594737</x:v>
      </x:c>
      <x:c r="AJ68" s="81" t="n">
        <x:f>IF('Inputs'!$B$44&gt;0,AG68/('Inputs'!$B$19*'Inputs'!$B$44)*365,0)</x:f>
        <x:v>0.0002166704812006123</x:v>
      </x:c>
      <x:c r="AK68" s="81" t="n">
        <x:f>W68/MAX($W$4:W68)-1</x:f>
        <x:v>-0.9999873756132931</x:v>
      </x:c>
      <x:c r="AL68" s="83" t="n">
        <x:f>'Inputs'!$B$44</x:f>
        <x:v>1</x:v>
      </x:c>
      <x:c r="AM68" s="83" t="n">
        <x:f>'Inputs'!$C$44</x:f>
        <x:v>0.25</x:v>
      </x:c>
      <x:c r="AN68" s="83" t="n">
        <x:f>'Inputs'!$D$44</x:f>
        <x:v>0.2</x:v>
      </x:c>
      <x:c r="AO68" s="81" t="n">
        <x:f>'Inputs'!$E$44</x:f>
        <x:v>-0.2</x:v>
      </x:c>
    </x:row>
    <x:row r="69">
      <x:c r="A69" s="59" t="str">
        <x:v>No demand</x:v>
      </x:c>
      <x:c r="B69" s="59" t="n">
        <x:v>66</x:v>
      </x:c>
      <x:c r="C69" s="78" t="n">
        <x:f>(('Inputs'!$B$29*(3*66*'Inputs'!$B$12-66^2)/(2*'Inputs'!$B$12^2))-('Inputs'!$B$29*(3*65*'Inputs'!$B$12-65^2)/(2*'Inputs'!$B$12^2)))*'Inputs'!$B$44</x:f>
        <x:v>690691.7339088023</x:v>
      </x:c>
      <x:c r="D69" s="78" t="n">
        <x:f>IF('Inputs'!$C$44&gt;0,('Inputs'!$B$30*(3*66*'Inputs'!$B$12-66^2)/(2*'Inputs'!$B$12^2))-('Inputs'!$B$30*(3*65*'Inputs'!$B$12-65^2)/(2*'Inputs'!$B$12^2)),0)</x:f>
        <x:v>296010.7431037724</x:v>
      </x:c>
      <x:c r="E69" s="78" t="n">
        <x:f>C69+D69</x:f>
        <x:v>986702.4770125747</x:v>
      </x:c>
      <x:c r="F69" s="78" t="n">
        <x:f>'Inputs'!$B$13*E69+(1-'Inputs'!$B$13)/'Inputs'!$B$14*SUM(E14:E69)</x:f>
        <x:v>996920.1538750238</x:v>
      </x:c>
      <x:c r="G69" s="78" t="n">
        <x:f>F69*'Inputs'!$F$44</x:f>
        <x:v>897228.1384875214</x:v>
      </x:c>
      <x:c r="H69" s="78" t="n">
        <x:f>U68</x:f>
        <x:v>1158885393.6448584</x:v>
      </x:c>
      <x:c r="I69" s="78" t="n">
        <x:f>V68</x:f>
        <x:v>9.955400592888441</x:v>
      </x:c>
      <x:c r="J69" s="79" t="n">
        <x:f>IF(H69&gt;0,I69/H69,0)</x:f>
        <x:v>8.590496219455575e-9</x:v>
      </x:c>
      <x:c r="K69" s="80" t="n">
        <x:f>(H69*J69+I69)*'Inputs'!$D$44*(1+'Inputs'!$G$44)^(B69/30)</x:f>
        <x:v>3.9821602371553766</x:v>
      </x:c>
      <x:c r="L69" s="80" t="n">
        <x:f>MAX(0,K69*'Inputs'!$E$44)</x:f>
        <x:v>0</x:v>
      </x:c>
      <x:c r="M69" s="80" t="n">
        <x:f>MAX(0,-K69*'Inputs'!$E$44)</x:f>
        <x:v>0.7964320474310753</x:v>
      </x:c>
      <x:c r="N69" s="78" t="n">
        <x:f>H69*(L69*(1-'Inputs'!$B$15))/(I69+L69*(1-'Inputs'!$B$15))</x:f>
        <x:v>0</x:v>
      </x:c>
      <x:c r="O69" s="78" t="n">
        <x:f>H69-N69</x:f>
        <x:v>1158885393.6448584</x:v>
      </x:c>
      <x:c r="P69" s="78" t="n">
        <x:f>I69+L69*(1-'Inputs'!$B$17)</x:f>
        <x:v>9.955400592888441</x:v>
      </x:c>
      <x:c r="Q69" s="78" t="n">
        <x:f>IF(J69&gt;0,M69/J69,0)</x:f>
        <x:v>92710831.49158867</x:v>
      </x:c>
      <x:c r="R69" s="78" t="n">
        <x:f>IF(B69='Inputs'!$H$44,'Inputs'!$B$27*'Inputs'!$I$44,0)</x:f>
        <x:v>0</x:v>
      </x:c>
      <x:c r="S69" s="78" t="n">
        <x:f>Q69+G69+R69</x:f>
        <x:v>93608059.63007618</x:v>
      </x:c>
      <x:c r="T69" s="78" t="n">
        <x:f>P69*(S69*(1-'Inputs'!$B$15))/(O69+S69*(1-'Inputs'!$B$15))</x:f>
        <x:v>0.7371509250450387</x:v>
      </x:c>
      <x:c r="U69" s="78" t="n">
        <x:f>O69+S69*(1-'Inputs'!$B$17)</x:f>
        <x:v>1252116760.882057</x:v>
      </x:c>
      <x:c r="V69" s="78" t="n">
        <x:f>P69-T69</x:f>
        <x:v>9.218249667843402</x:v>
      </x:c>
      <x:c r="W69" s="79" t="n">
        <x:f>IF(U69&gt;0,V69/U69,0)</x:f>
        <x:v>7.36213263477887e-9</x:v>
      </x:c>
      <x:c r="X69" s="80" t="n">
        <x:f>W69*('Inputs'!$B$6-AC69)</x:f>
        <x:v>7.253073500969381</x:v>
      </x:c>
      <x:c r="Y69" s="80" t="n">
        <x:f>2*V69</x:f>
        <x:v>18.436499335686804</x:v>
      </x:c>
      <x:c r="Z69" s="80" t="n">
        <x:f>K69*'Inputs'!$B$16+(G69+R69)*J69*'Inputs'!$B$16</x:f>
        <x:v>0.023939207232522255</x:v>
      </x:c>
      <x:c r="AA69" s="80" t="n">
        <x:f>K69*(1+'Inputs'!$E$44)/2*'Inputs'!$B$17</x:f>
        <x:v>0.006409915874696784</x:v>
      </x:c>
      <x:c r="AB69" s="78" t="n">
        <x:f>(IF(J69&gt;0,K69*(1-'Inputs'!$E$44)/2/J69,0)+G69+R69)*'Inputs'!$B$17</x:f>
        <x:v>1122856.0266126904</x:v>
      </x:c>
      <x:c r="AC69" s="78" t="n">
        <x:f>AC68+AB69</x:f>
        <x:v>14813524.724383738</x:v>
      </x:c>
      <x:c r="AD69" s="80" t="n">
        <x:f>Z69/(1+'Inputs'!$C$44)</x:f>
        <x:v>0.019151365786017803</x:v>
      </x:c>
      <x:c r="AE69" s="80" t="n">
        <x:f>Z69-AD69</x:f>
        <x:v>0.0047878414465044525</x:v>
      </x:c>
      <x:c r="AF69" s="80" t="n">
        <x:f>D69*W69</x:f>
        <x:v>0.002179270352049427</x:v>
      </x:c>
      <x:c r="AG69" s="80" t="n">
        <x:f>C69*W69</x:f>
        <x:v>0.005084964154781997</x:v>
      </x:c>
      <x:c r="AH69" s="80" t="n">
        <x:f>2*'Inputs'!$B$8*'Inputs'!$C$44</x:f>
        <x:v>1250</x:v>
      </x:c>
      <x:c r="AI69" s="81" t="n">
        <x:f>IF(AH69&gt;0,(AE69+AF69)/AH69*365,0)</x:f>
        <x:v>0.002034396645177733</x:v>
      </x:c>
      <x:c r="AJ69" s="81" t="n">
        <x:f>IF('Inputs'!$B$44&gt;0,AG69/('Inputs'!$B$19*'Inputs'!$B$44)*365,0)</x:f>
        <x:v>0.00018560119164954292</x:v>
      </x:c>
      <x:c r="AK69" s="81" t="n">
        <x:f>W69/MAX($W$4:W69)-1</x:f>
        <x:v>-0.9999891807868841</x:v>
      </x:c>
      <x:c r="AL69" s="83" t="n">
        <x:f>'Inputs'!$B$44</x:f>
        <x:v>1</x:v>
      </x:c>
      <x:c r="AM69" s="83" t="n">
        <x:f>'Inputs'!$C$44</x:f>
        <x:v>0.25</x:v>
      </x:c>
      <x:c r="AN69" s="83" t="n">
        <x:f>'Inputs'!$D$44</x:f>
        <x:v>0.2</x:v>
      </x:c>
      <x:c r="AO69" s="81" t="n">
        <x:f>'Inputs'!$E$44</x:f>
        <x:v>-0.2</x:v>
      </x:c>
    </x:row>
    <x:row r="70">
      <x:c r="A70" s="59" t="str">
        <x:v>No demand</x:v>
      </x:c>
      <x:c r="B70" s="59" t="n">
        <x:v>67</x:v>
      </x:c>
      <x:c r="C70" s="78" t="n">
        <x:f>(('Inputs'!$B$29*(3*67*'Inputs'!$B$12-67^2)/(2*'Inputs'!$B$12^2))-('Inputs'!$B$29*(3*66*'Inputs'!$B$12-66^2)/(2*'Inputs'!$B$12^2)))*'Inputs'!$B$44</x:f>
        <x:v>690366.6260086298</x:v>
      </x:c>
      <x:c r="D70" s="78" t="n">
        <x:f>IF('Inputs'!$C$44&gt;0,('Inputs'!$B$30*(3*67*'Inputs'!$B$12-67^2)/(2*'Inputs'!$B$12^2))-('Inputs'!$B$30*(3*66*'Inputs'!$B$12-66^2)/(2*'Inputs'!$B$12^2)),0)</x:f>
        <x:v>295871.4111465551</x:v>
      </x:c>
      <x:c r="E70" s="78" t="n">
        <x:f>C70+D70</x:f>
        <x:v>986238.0371551849</x:v>
      </x:c>
      <x:c r="F70" s="78" t="n">
        <x:f>'Inputs'!$B$13*E70+(1-'Inputs'!$B$13)/'Inputs'!$B$14*SUM(E15:E70)</x:f>
        <x:v>996455.7140176386</x:v>
      </x:c>
      <x:c r="G70" s="78" t="n">
        <x:f>F70*'Inputs'!$F$44</x:f>
        <x:v>896810.1426158748</x:v>
      </x:c>
      <x:c r="H70" s="78" t="n">
        <x:f>U69</x:f>
        <x:v>1252116760.882057</x:v>
      </x:c>
      <x:c r="I70" s="78" t="n">
        <x:f>V69</x:f>
        <x:v>9.218249667843402</x:v>
      </x:c>
      <x:c r="J70" s="79" t="n">
        <x:f>IF(H70&gt;0,I70/H70,0)</x:f>
        <x:v>7.36213263477887e-9</x:v>
      </x:c>
      <x:c r="K70" s="80" t="n">
        <x:f>(H70*J70+I70)*'Inputs'!$D$44*(1+'Inputs'!$G$44)^(B70/30)</x:f>
        <x:v>3.687299867137361</x:v>
      </x:c>
      <x:c r="L70" s="80" t="n">
        <x:f>MAX(0,K70*'Inputs'!$E$44)</x:f>
        <x:v>0</x:v>
      </x:c>
      <x:c r="M70" s="80" t="n">
        <x:f>MAX(0,-K70*'Inputs'!$E$44)</x:f>
        <x:v>0.7374599734274723</x:v>
      </x:c>
      <x:c r="N70" s="78" t="n">
        <x:f>H70*(L70*(1-'Inputs'!$B$15))/(I70+L70*(1-'Inputs'!$B$15))</x:f>
        <x:v>0</x:v>
      </x:c>
      <x:c r="O70" s="78" t="n">
        <x:f>H70-N70</x:f>
        <x:v>1252116760.882057</x:v>
      </x:c>
      <x:c r="P70" s="78" t="n">
        <x:f>I70+L70*(1-'Inputs'!$B$17)</x:f>
        <x:v>9.218249667843402</x:v>
      </x:c>
      <x:c r="Q70" s="78" t="n">
        <x:f>IF(J70&gt;0,M70/J70,0)</x:f>
        <x:v>100169340.87056457</x:v>
      </x:c>
      <x:c r="R70" s="78" t="n">
        <x:f>IF(B70='Inputs'!$H$44,'Inputs'!$B$27*'Inputs'!$I$44,0)</x:f>
        <x:v>0</x:v>
      </x:c>
      <x:c r="S70" s="78" t="n">
        <x:f>Q70+G70+R70</x:f>
        <x:v>101066151.01318043</x:v>
      </x:c>
      <x:c r="T70" s="78" t="n">
        <x:f>P70*(S70*(1-'Inputs'!$B$15))/(O70+S70*(1-'Inputs'!$B$15))</x:f>
        <x:v>0.6821146363672977</x:v>
      </x:c>
      <x:c r="U70" s="78" t="n">
        <x:f>O70+S70*(1-'Inputs'!$B$17)</x:f>
        <x:v>1352776207.0621862</x:v>
      </x:c>
      <x:c r="V70" s="78" t="n">
        <x:f>P70-T70</x:f>
        <x:v>8.536135031476105</x:v>
      </x:c>
      <x:c r="W70" s="79" t="n">
        <x:f>IF(U70&gt;0,V70/U70,0)</x:f>
        <x:v>6.310086610714395e-9</x:v>
      </x:c>
      <x:c r="X70" s="80" t="n">
        <x:f>W70*('Inputs'!$B$6-AC70)</x:f>
        <x:v>6.2089585033955155</x:v>
      </x:c>
      <x:c r="Y70" s="80" t="n">
        <x:f>2*V70</x:f>
        <x:v>17.07227006295221</x:v>
      </x:c>
      <x:c r="Z70" s="80" t="n">
        <x:f>K70*'Inputs'!$B$16+(G70+R70)*J70*'Inputs'!$B$16</x:f>
        <x:v>0.022163413814133084</x:v>
      </x:c>
      <x:c r="AA70" s="80" t="n">
        <x:f>K70*(1+'Inputs'!$E$44)/2*'Inputs'!$B$17</x:f>
        <x:v>0.005935291536639616</x:v>
      </x:c>
      <x:c r="AB70" s="78" t="n">
        <x:f>(IF(J70&gt;0,K70*(1-'Inputs'!$E$44)/2/J70,0)+G70+R70)*'Inputs'!$B$17</x:f>
        <x:v>1212896.7112849476</x:v>
      </x:c>
      <x:c r="AC70" s="78" t="n">
        <x:f>AC69+AB70</x:f>
        <x:v>16026421.435668685</x:v>
      </x:c>
      <x:c r="AD70" s="80" t="n">
        <x:f>Z70/(1+'Inputs'!$C$44)</x:f>
        <x:v>0.017730731051306466</x:v>
      </x:c>
      <x:c r="AE70" s="80" t="n">
        <x:f>Z70-AD70</x:f>
        <x:v>0.004432682762826618</x:v>
      </x:c>
      <x:c r="AF70" s="80" t="n">
        <x:f>D70*W70</x:f>
        <x:v>0.001866974229969051</x:v>
      </x:c>
      <x:c r="AG70" s="80" t="n">
        <x:f>C70*W70</x:f>
        <x:v>0.004356273203261127</x:v>
      </x:c>
      <x:c r="AH70" s="80" t="n">
        <x:f>2*'Inputs'!$B$8*'Inputs'!$C$44</x:f>
        <x:v>1250</x:v>
      </x:c>
      <x:c r="AI70" s="81" t="n">
        <x:f>IF(AH70&gt;0,(AE70+AF70)/AH70*365,0)</x:f>
        <x:v>0.0018394998418963355</x:v>
      </x:c>
      <x:c r="AJ70" s="81" t="n">
        <x:f>IF('Inputs'!$B$44&gt;0,AG70/('Inputs'!$B$19*'Inputs'!$B$44)*365,0)</x:f>
        <x:v>0.00015900397191903113</x:v>
      </x:c>
      <x:c r="AK70" s="81" t="n">
        <x:f>W70/MAX($W$4:W70)-1</x:f>
        <x:v>-0.9999907268484273</x:v>
      </x:c>
      <x:c r="AL70" s="83" t="n">
        <x:f>'Inputs'!$B$44</x:f>
        <x:v>1</x:v>
      </x:c>
      <x:c r="AM70" s="83" t="n">
        <x:f>'Inputs'!$C$44</x:f>
        <x:v>0.25</x:v>
      </x:c>
      <x:c r="AN70" s="83" t="n">
        <x:f>'Inputs'!$D$44</x:f>
        <x:v>0.2</x:v>
      </x:c>
      <x:c r="AO70" s="81" t="n">
        <x:f>'Inputs'!$E$44</x:f>
        <x:v>-0.2</x:v>
      </x:c>
    </x:row>
    <x:row r="71">
      <x:c r="A71" s="59" t="str">
        <x:v>No demand</x:v>
      </x:c>
      <x:c r="B71" s="59" t="n">
        <x:v>68</x:v>
      </x:c>
      <x:c r="C71" s="78" t="n">
        <x:f>(('Inputs'!$B$29*(3*68*'Inputs'!$B$12-68^2)/(2*'Inputs'!$B$12^2))-('Inputs'!$B$29*(3*67*'Inputs'!$B$12-67^2)/(2*'Inputs'!$B$12^2)))*'Inputs'!$B$44</x:f>
        <x:v>690041.5181084648</x:v>
      </x:c>
      <x:c r="D71" s="78" t="n">
        <x:f>IF('Inputs'!$C$44&gt;0,('Inputs'!$B$30*(3*68*'Inputs'!$B$12-68^2)/(2*'Inputs'!$B$12^2))-('Inputs'!$B$30*(3*67*'Inputs'!$B$12-67^2)/(2*'Inputs'!$B$12^2)),0)</x:f>
        <x:v>295732.0791893415</x:v>
      </x:c>
      <x:c r="E71" s="78" t="n">
        <x:f>C71+D71</x:f>
        <x:v>985773.5972978063</x:v>
      </x:c>
      <x:c r="F71" s="78" t="n">
        <x:f>'Inputs'!$B$13*E71+(1-'Inputs'!$B$13)/'Inputs'!$B$14*SUM(E16:E71)</x:f>
        <x:v>995991.2741602554</x:v>
      </x:c>
      <x:c r="G71" s="78" t="n">
        <x:f>F71*'Inputs'!$F$44</x:f>
        <x:v>896392.14674423</x:v>
      </x:c>
      <x:c r="H71" s="78" t="n">
        <x:f>U70</x:f>
        <x:v>1352776207.0621862</x:v>
      </x:c>
      <x:c r="I71" s="78" t="n">
        <x:f>V70</x:f>
        <x:v>8.536135031476105</x:v>
      </x:c>
      <x:c r="J71" s="79" t="n">
        <x:f>IF(H71&gt;0,I71/H71,0)</x:f>
        <x:v>6.310086610714395e-9</x:v>
      </x:c>
      <x:c r="K71" s="80" t="n">
        <x:f>(H71*J71+I71)*'Inputs'!$D$44*(1+'Inputs'!$G$44)^(B71/30)</x:f>
        <x:v>3.414454012590442</x:v>
      </x:c>
      <x:c r="L71" s="80" t="n">
        <x:f>MAX(0,K71*'Inputs'!$E$44)</x:f>
        <x:v>0</x:v>
      </x:c>
      <x:c r="M71" s="80" t="n">
        <x:f>MAX(0,-K71*'Inputs'!$E$44)</x:f>
        <x:v>0.6828908025180884</x:v>
      </x:c>
      <x:c r="N71" s="78" t="n">
        <x:f>H71*(L71*(1-'Inputs'!$B$15))/(I71+L71*(1-'Inputs'!$B$15))</x:f>
        <x:v>0</x:v>
      </x:c>
      <x:c r="O71" s="78" t="n">
        <x:f>H71-N71</x:f>
        <x:v>1352776207.0621862</x:v>
      </x:c>
      <x:c r="P71" s="78" t="n">
        <x:f>I71+L71*(1-'Inputs'!$B$17)</x:f>
        <x:v>8.536135031476105</x:v>
      </x:c>
      <x:c r="Q71" s="78" t="n">
        <x:f>IF(J71&gt;0,M71/J71,0)</x:f>
        <x:v>108222096.5649749</x:v>
      </x:c>
      <x:c r="R71" s="78" t="n">
        <x:f>IF(B71='Inputs'!$H$44,'Inputs'!$B$27*'Inputs'!$I$44,0)</x:f>
        <x:v>0</x:v>
      </x:c>
      <x:c r="S71" s="78" t="n">
        <x:f>Q71+G71+R71</x:f>
        <x:v>109118488.71171914</x:v>
      </x:c>
      <x:c r="T71" s="78" t="n">
        <x:f>P71*(S71*(1-'Inputs'!$B$15))/(O71+S71*(1-'Inputs'!$B$15))</x:f>
        <x:v>0.631252352325817</x:v>
      </x:c>
      <x:c r="U71" s="78" t="n">
        <x:f>O71+S71*(1-'Inputs'!$B$17)</x:f>
        <x:v>1461455587.1674197</x:v>
      </x:c>
      <x:c r="V71" s="78" t="n">
        <x:f>P71-T71</x:f>
        <x:v>7.904882679150288</x:v>
      </x:c>
      <x:c r="W71" s="79" t="n">
        <x:f>IF(U71&gt;0,V71/U71,0)</x:f>
        <x:v>5.408910642622716e-9</x:v>
      </x:c>
      <x:c r="X71" s="80" t="n">
        <x:f>W71*('Inputs'!$B$6-AC71)</x:f>
        <x:v>5.315138885684726</x:v>
      </x:c>
      <x:c r="Y71" s="80" t="n">
        <x:f>2*V71</x:f>
        <x:v>15.809765358300575</x:v>
      </x:c>
      <x:c r="Z71" s="80" t="n">
        <x:f>K71*'Inputs'!$B$16+(G71+R71)*J71*'Inputs'!$B$16</x:f>
        <x:v>0.020520661948041374</x:v>
      </x:c>
      <x:c r="AA71" s="80" t="n">
        <x:f>K71*(1+'Inputs'!$E$44)/2*'Inputs'!$B$17</x:f>
        <x:v>0.005496103038374957</x:v>
      </x:c>
      <x:c r="AB71" s="78" t="n">
        <x:f>(IF(J71&gt;0,K71*(1-'Inputs'!$E$44)/2/J71,0)+G71+R71)*'Inputs'!$B$17</x:f>
        <x:v>1310111.3957411228</x:v>
      </x:c>
      <x:c r="AC71" s="78" t="n">
        <x:f>AC70+AB71</x:f>
        <x:v>17336532.83140981</x:v>
      </x:c>
      <x:c r="AD71" s="80" t="n">
        <x:f>Z71/(1+'Inputs'!$C$44)</x:f>
        <x:v>0.016416529558433098</x:v>
      </x:c>
      <x:c r="AE71" s="80" t="n">
        <x:f>Z71-AD71</x:f>
        <x:v>0.004104132389608276</x:v>
      </x:c>
      <x:c r="AF71" s="80" t="n">
        <x:f>D71*W71</x:f>
        <x:v>0.0015995883904921732</x:v>
      </x:c>
      <x:c r="AG71" s="80" t="n">
        <x:f>C71*W71</x:f>
        <x:v>0.003732372911148411</x:v>
      </x:c>
      <x:c r="AH71" s="80" t="n">
        <x:f>2*'Inputs'!$B$8*'Inputs'!$C$44</x:f>
        <x:v>1250</x:v>
      </x:c>
      <x:c r="AI71" s="81" t="n">
        <x:f>IF(AH71&gt;0,(AE71+AF71)/AH71*365,0)</x:f>
        <x:v>0.0016654864677893312</x:v>
      </x:c>
      <x:c r="AJ71" s="81" t="n">
        <x:f>IF('Inputs'!$B$44&gt;0,AG71/('Inputs'!$B$19*'Inputs'!$B$44)*365,0)</x:f>
        <x:v>0.000136231611256917</x:v>
      </x:c>
      <x:c r="AK71" s="81" t="n">
        <x:f>W71/MAX($W$4:W71)-1</x:f>
        <x:v>-0.9999920511949635</x:v>
      </x:c>
      <x:c r="AL71" s="83" t="n">
        <x:f>'Inputs'!$B$44</x:f>
        <x:v>1</x:v>
      </x:c>
      <x:c r="AM71" s="83" t="n">
        <x:f>'Inputs'!$C$44</x:f>
        <x:v>0.25</x:v>
      </x:c>
      <x:c r="AN71" s="83" t="n">
        <x:f>'Inputs'!$D$44</x:f>
        <x:v>0.2</x:v>
      </x:c>
      <x:c r="AO71" s="81" t="n">
        <x:f>'Inputs'!$E$44</x:f>
        <x:v>-0.2</x:v>
      </x:c>
    </x:row>
    <x:row r="72">
      <x:c r="A72" s="59" t="str">
        <x:v>No demand</x:v>
      </x:c>
      <x:c r="B72" s="59" t="n">
        <x:v>69</x:v>
      </x:c>
      <x:c r="C72" s="78" t="n">
        <x:f>(('Inputs'!$B$29*(3*69*'Inputs'!$B$12-69^2)/(2*'Inputs'!$B$12^2))-('Inputs'!$B$29*(3*68*'Inputs'!$B$12-68^2)/(2*'Inputs'!$B$12^2)))*'Inputs'!$B$44</x:f>
        <x:v>689716.4102082923</x:v>
      </x:c>
      <x:c r="D72" s="78" t="n">
        <x:f>IF('Inputs'!$C$44&gt;0,('Inputs'!$B$30*(3*69*'Inputs'!$B$12-69^2)/(2*'Inputs'!$B$12^2))-('Inputs'!$B$30*(3*68*'Inputs'!$B$12-68^2)/(2*'Inputs'!$B$12^2)),0)</x:f>
        <x:v>295592.7472321242</x:v>
      </x:c>
      <x:c r="E72" s="78" t="n">
        <x:f>C72+D72</x:f>
        <x:v>985309.1574404165</x:v>
      </x:c>
      <x:c r="F72" s="78" t="n">
        <x:f>'Inputs'!$B$13*E72+(1-'Inputs'!$B$13)/'Inputs'!$B$14*SUM(E17:E72)</x:f>
        <x:v>995526.8343028703</x:v>
      </x:c>
      <x:c r="G72" s="78" t="n">
        <x:f>F72*'Inputs'!$F$44</x:f>
        <x:v>895974.1508725833</x:v>
      </x:c>
      <x:c r="H72" s="78" t="n">
        <x:f>U71</x:f>
        <x:v>1461455587.1674197</x:v>
      </x:c>
      <x:c r="I72" s="78" t="n">
        <x:f>V71</x:f>
        <x:v>7.904882679150288</x:v>
      </x:c>
      <x:c r="J72" s="79" t="n">
        <x:f>IF(H72&gt;0,I72/H72,0)</x:f>
        <x:v>5.408910642622716e-9</x:v>
      </x:c>
      <x:c r="K72" s="80" t="n">
        <x:f>(H72*J72+I72)*'Inputs'!$D$44*(1+'Inputs'!$G$44)^(B72/30)</x:f>
        <x:v>3.1619530716601147</x:v>
      </x:c>
      <x:c r="L72" s="80" t="n">
        <x:f>MAX(0,K72*'Inputs'!$E$44)</x:f>
        <x:v>0</x:v>
      </x:c>
      <x:c r="M72" s="80" t="n">
        <x:f>MAX(0,-K72*'Inputs'!$E$44)</x:f>
        <x:v>0.632390614332023</x:v>
      </x:c>
      <x:c r="N72" s="78" t="n">
        <x:f>H72*(L72*(1-'Inputs'!$B$15))/(I72+L72*(1-'Inputs'!$B$15))</x:f>
        <x:v>0</x:v>
      </x:c>
      <x:c r="O72" s="78" t="n">
        <x:f>H72-N72</x:f>
        <x:v>1461455587.1674197</x:v>
      </x:c>
      <x:c r="P72" s="78" t="n">
        <x:f>I72+L72*(1-'Inputs'!$B$17)</x:f>
        <x:v>7.904882679150288</x:v>
      </x:c>
      <x:c r="Q72" s="78" t="n">
        <x:f>IF(J72&gt;0,M72/J72,0)</x:f>
        <x:v>116916446.97339359</x:v>
      </x:c>
      <x:c r="R72" s="78" t="n">
        <x:f>IF(B72='Inputs'!$H$44,'Inputs'!$B$27*'Inputs'!$I$44,0)</x:f>
        <x:v>0</x:v>
      </x:c>
      <x:c r="S72" s="78" t="n">
        <x:f>Q72+G72+R72</x:f>
        <x:v>117812421.12426618</x:v>
      </x:c>
      <x:c r="T72" s="78" t="n">
        <x:f>P72*(S72*(1-'Inputs'!$B$15))/(O72+S72*(1-'Inputs'!$B$15))</x:f>
        <x:v>0.5842382254416844</x:v>
      </x:c>
      <x:c r="U72" s="78" t="n">
        <x:f>O72+S72*(1-'Inputs'!$B$17)</x:f>
        <x:v>1578793914.041689</x:v>
      </x:c>
      <x:c r="V72" s="78" t="n">
        <x:f>P72-T72</x:f>
        <x:v>7.320644453708604</x:v>
      </x:c>
      <x:c r="W72" s="79" t="n">
        <x:f>IF(U72&gt;0,V72/U72,0)</x:f>
        <x:v>4.636858799998705e-9</x:v>
      </x:c>
      <x:c r="X72" s="80" t="n">
        <x:f>W72*('Inputs'!$B$6-AC72)</x:f>
        <x:v>4.549910257557531</x:v>
      </x:c>
      <x:c r="Y72" s="80" t="n">
        <x:f>2*V72</x:f>
        <x:v>14.641288907417207</x:v>
      </x:c>
      <x:c r="Z72" s="80" t="n">
        <x:f>K72*'Inputs'!$B$16+(G72+R72)*J72*'Inputs'!$B$16</x:f>
        <x:v>0.019000795894681708</x:v>
      </x:c>
      <x:c r="AA72" s="80" t="n">
        <x:f>K72*(1+'Inputs'!$E$44)/2*'Inputs'!$B$17</x:f>
        <x:v>0.005089662892008234</x:v>
      </x:c>
      <x:c r="AB72" s="78" t="n">
        <x:f>(IF(J72&gt;0,K72*(1-'Inputs'!$E$44)/2/J72,0)+G72+R72)*'Inputs'!$B$17</x:f>
        <x:v>1415071.6904267739</x:v>
      </x:c>
      <x:c r="AC72" s="78" t="n">
        <x:f>AC71+AB72</x:f>
        <x:v>18751604.521836583</x:v>
      </x:c>
      <x:c r="AD72" s="80" t="n">
        <x:f>Z72/(1+'Inputs'!$C$44)</x:f>
        <x:v>0.015200636715745366</x:v>
      </x:c>
      <x:c r="AE72" s="80" t="n">
        <x:f>Z72-AD72</x:f>
        <x:v>0.0038001591789363423</x:v>
      </x:c>
      <x:c r="AF72" s="80" t="n">
        <x:f>D72*W72</x:f>
        <x:v>0.001370621831219068</x:v>
      </x:c>
      <x:c r="AG72" s="80" t="n">
        <x:f>C72*W72</x:f>
        <x:v>0.0031981176061778365</x:v>
      </x:c>
      <x:c r="AH72" s="80" t="n">
        <x:f>2*'Inputs'!$B$8*'Inputs'!$C$44</x:f>
        <x:v>1250</x:v>
      </x:c>
      <x:c r="AI72" s="81" t="n">
        <x:f>IF(AH72&gt;0,(AE72+AF72)/AH72*365,0)</x:f>
        <x:v>0.0015098680549653798</x:v>
      </x:c>
      <x:c r="AJ72" s="81" t="n">
        <x:f>IF('Inputs'!$B$44&gt;0,AG72/('Inputs'!$B$19*'Inputs'!$B$44)*365,0)</x:f>
        <x:v>0.00011673129262549104</x:v>
      </x:c>
      <x:c r="AK72" s="81" t="n">
        <x:f>W72/MAX($W$4:W72)-1</x:f>
        <x:v>-0.9999931857837894</x:v>
      </x:c>
      <x:c r="AL72" s="83" t="n">
        <x:f>'Inputs'!$B$44</x:f>
        <x:v>1</x:v>
      </x:c>
      <x:c r="AM72" s="83" t="n">
        <x:f>'Inputs'!$C$44</x:f>
        <x:v>0.25</x:v>
      </x:c>
      <x:c r="AN72" s="83" t="n">
        <x:f>'Inputs'!$D$44</x:f>
        <x:v>0.2</x:v>
      </x:c>
      <x:c r="AO72" s="81" t="n">
        <x:f>'Inputs'!$E$44</x:f>
        <x:v>-0.2</x:v>
      </x:c>
    </x:row>
    <x:row r="73">
      <x:c r="A73" s="59" t="str">
        <x:v>No demand</x:v>
      </x:c>
      <x:c r="B73" s="59" t="n">
        <x:v>70</x:v>
      </x:c>
      <x:c r="C73" s="78" t="n">
        <x:f>(('Inputs'!$B$29*(3*70*'Inputs'!$B$12-70^2)/(2*'Inputs'!$B$12^2))-('Inputs'!$B$29*(3*69*'Inputs'!$B$12-69^2)/(2*'Inputs'!$B$12^2)))*'Inputs'!$B$44</x:f>
        <x:v>689391.3023081273</x:v>
      </x:c>
      <x:c r="D73" s="78" t="n">
        <x:f>IF('Inputs'!$C$44&gt;0,('Inputs'!$B$30*(3*70*'Inputs'!$B$12-70^2)/(2*'Inputs'!$B$12^2))-('Inputs'!$B$30*(3*69*'Inputs'!$B$12-69^2)/(2*'Inputs'!$B$12^2)),0)</x:f>
        <x:v>295453.4152749106</x:v>
      </x:c>
      <x:c r="E73" s="78" t="n">
        <x:f>C73+D73</x:f>
        <x:v>984844.7175830379</x:v>
      </x:c>
      <x:c r="F73" s="78" t="n">
        <x:f>'Inputs'!$B$13*E73+(1-'Inputs'!$B$13)/'Inputs'!$B$14*SUM(E18:E73)</x:f>
        <x:v>995062.3944454873</x:v>
      </x:c>
      <x:c r="G73" s="78" t="n">
        <x:f>F73*'Inputs'!$F$44</x:f>
        <x:v>895556.1550009386</x:v>
      </x:c>
      <x:c r="H73" s="78" t="n">
        <x:f>U72</x:f>
        <x:v>1578793914.041689</x:v>
      </x:c>
      <x:c r="I73" s="78" t="n">
        <x:f>V72</x:f>
        <x:v>7.320644453708604</x:v>
      </x:c>
      <x:c r="J73" s="79" t="n">
        <x:f>IF(H73&gt;0,I73/H73,0)</x:f>
        <x:v>4.636858799998705e-9</x:v>
      </x:c>
      <x:c r="K73" s="80" t="n">
        <x:f>(H73*J73+I73)*'Inputs'!$D$44*(1+'Inputs'!$G$44)^(B73/30)</x:f>
        <x:v>2.928257781483442</x:v>
      </x:c>
      <x:c r="L73" s="80" t="n">
        <x:f>MAX(0,K73*'Inputs'!$E$44)</x:f>
        <x:v>0</x:v>
      </x:c>
      <x:c r="M73" s="80" t="n">
        <x:f>MAX(0,-K73*'Inputs'!$E$44)</x:f>
        <x:v>0.5856515562966884</x:v>
      </x:c>
      <x:c r="N73" s="78" t="n">
        <x:f>H73*(L73*(1-'Inputs'!$B$15))/(I73+L73*(1-'Inputs'!$B$15))</x:f>
        <x:v>0</x:v>
      </x:c>
      <x:c r="O73" s="78" t="n">
        <x:f>H73-N73</x:f>
        <x:v>1578793914.041689</x:v>
      </x:c>
      <x:c r="P73" s="78" t="n">
        <x:f>I73+L73*(1-'Inputs'!$B$17)</x:f>
        <x:v>7.320644453708604</x:v>
      </x:c>
      <x:c r="Q73" s="78" t="n">
        <x:f>IF(J73&gt;0,M73/J73,0)</x:f>
        <x:v>126303513.12333514</x:v>
      </x:c>
      <x:c r="R73" s="78" t="n">
        <x:f>IF(B73='Inputs'!$H$44,'Inputs'!$B$27*'Inputs'!$I$44,0)</x:f>
        <x:v>0</x:v>
      </x:c>
      <x:c r="S73" s="78" t="n">
        <x:f>Q73+G73+R73</x:f>
        <x:v>127199069.27833608</x:v>
      </x:c>
      <x:c r="T73" s="78" t="n">
        <x:f>P73*(S73*(1-'Inputs'!$B$15))/(O73+S73*(1-'Inputs'!$B$15))</x:f>
        <x:v>0.5407731666390242</x:v>
      </x:c>
      <x:c r="U73" s="78" t="n">
        <x:f>O73+S73*(1-'Inputs'!$B$17)</x:f>
        <x:v>1705481115.8380196</x:v>
      </x:c>
      <x:c r="V73" s="78" t="n">
        <x:f>P73-T73</x:f>
        <x:v>6.77987128706958</x:v>
      </x:c>
      <x:c r="W73" s="79" t="n">
        <x:f>IF(U73&gt;0,V73/U73,0)</x:f>
        <x:v>3.975342338363075e-9</x:v>
      </x:c>
      <x:c r="X73" s="80" t="n">
        <x:f>W73*('Inputs'!$B$6-AC73)</x:f>
        <x:v>3.894722398633371</x:v>
      </x:c>
      <x:c r="Y73" s="80" t="n">
        <x:f>2*V73</x:f>
        <x:v>13.55974257413916</x:v>
      </x:c>
      <x:c r="Z73" s="80" t="n">
        <x:f>K73*'Inputs'!$B$16+(G73+R73)*J73*'Inputs'!$B$16</x:f>
        <x:v>0.017594462093529904</x:v>
      </x:c>
      <x:c r="AA73" s="80" t="n">
        <x:f>K73*(1+'Inputs'!$E$44)/2*'Inputs'!$B$17</x:f>
        <x:v>0.0047134934108385386</x:v>
      </x:c>
      <x:c r="AB73" s="78" t="n">
        <x:f>(IF(J73&gt;0,K73*(1-'Inputs'!$E$44)/2/J73,0)+G73+R73)*'Inputs'!$B$17</x:f>
        <x:v>1528394.7506036472</x:v>
      </x:c>
      <x:c r="AC73" s="78" t="n">
        <x:f>AC72+AB73</x:f>
        <x:v>20279999.27244023</x:v>
      </x:c>
      <x:c r="AD73" s="80" t="n">
        <x:f>Z73/(1+'Inputs'!$C$44)</x:f>
        <x:v>0.014075569674823924</x:v>
      </x:c>
      <x:c r="AE73" s="80" t="n">
        <x:f>Z73-AD73</x:f>
        <x:v>0.0035188924187059805</x:v>
      </x:c>
      <x:c r="AF73" s="80" t="n">
        <x:f>D73*W73</x:f>
        <x:v>0.00117452847075632</x:v>
      </x:c>
      <x:c r="AG73" s="80" t="n">
        <x:f>C73*W73</x:f>
        <x:v>0.002740566431764756</x:v>
      </x:c>
      <x:c r="AH73" s="80" t="n">
        <x:f>2*'Inputs'!$B$8*'Inputs'!$C$44</x:f>
        <x:v>1250</x:v>
      </x:c>
      <x:c r="AI73" s="81" t="n">
        <x:f>IF(AH73&gt;0,(AE73+AF73)/AH73*365,0)</x:f>
        <x:v>0.001370478899722992</x:v>
      </x:c>
      <x:c r="AJ73" s="81" t="n">
        <x:f>IF('Inputs'!$B$44&gt;0,AG73/('Inputs'!$B$19*'Inputs'!$B$44)*365,0)</x:f>
        <x:v>0.0001000306747594136</x:v>
      </x:c>
      <x:c r="AK73" s="81" t="n">
        <x:f>W73/MAX($W$4:W73)-1</x:f>
        <x:v>-0.9999941579324768</x:v>
      </x:c>
      <x:c r="AL73" s="83" t="n">
        <x:f>'Inputs'!$B$44</x:f>
        <x:v>1</x:v>
      </x:c>
      <x:c r="AM73" s="83" t="n">
        <x:f>'Inputs'!$C$44</x:f>
        <x:v>0.25</x:v>
      </x:c>
      <x:c r="AN73" s="83" t="n">
        <x:f>'Inputs'!$D$44</x:f>
        <x:v>0.2</x:v>
      </x:c>
      <x:c r="AO73" s="81" t="n">
        <x:f>'Inputs'!$E$44</x:f>
        <x:v>-0.2</x:v>
      </x:c>
    </x:row>
    <x:row r="74">
      <x:c r="A74" s="59" t="str">
        <x:v>No demand</x:v>
      </x:c>
      <x:c r="B74" s="59" t="n">
        <x:v>71</x:v>
      </x:c>
      <x:c r="C74" s="78" t="n">
        <x:f>(('Inputs'!$B$29*(3*71*'Inputs'!$B$12-71^2)/(2*'Inputs'!$B$12^2))-('Inputs'!$B$29*(3*70*'Inputs'!$B$12-70^2)/(2*'Inputs'!$B$12^2)))*'Inputs'!$B$44</x:f>
        <x:v>689066.1944079548</x:v>
      </x:c>
      <x:c r="D74" s="78" t="n">
        <x:f>IF('Inputs'!$C$44&gt;0,('Inputs'!$B$30*(3*71*'Inputs'!$B$12-71^2)/(2*'Inputs'!$B$12^2))-('Inputs'!$B$30*(3*70*'Inputs'!$B$12-70^2)/(2*'Inputs'!$B$12^2)),0)</x:f>
        <x:v>295314.08331769705</x:v>
      </x:c>
      <x:c r="E74" s="78" t="n">
        <x:f>C74+D74</x:f>
        <x:v>984380.2777256519</x:v>
      </x:c>
      <x:c r="F74" s="78" t="n">
        <x:f>'Inputs'!$B$13*E74+(1-'Inputs'!$B$13)/'Inputs'!$B$14*SUM(E19:E74)</x:f>
        <x:v>994597.9545881028</x:v>
      </x:c>
      <x:c r="G74" s="78" t="n">
        <x:f>F74*'Inputs'!$F$44</x:f>
        <x:v>895138.1591292925</x:v>
      </x:c>
      <x:c r="H74" s="78" t="n">
        <x:f>U73</x:f>
        <x:v>1705481115.8380196</x:v>
      </x:c>
      <x:c r="I74" s="78" t="n">
        <x:f>V73</x:f>
        <x:v>6.77987128706958</x:v>
      </x:c>
      <x:c r="J74" s="79" t="n">
        <x:f>IF(H74&gt;0,I74/H74,0)</x:f>
        <x:v>3.975342338363075e-9</x:v>
      </x:c>
      <x:c r="K74" s="80" t="n">
        <x:f>(H74*J74+I74)*'Inputs'!$D$44*(1+'Inputs'!$G$44)^(B74/30)</x:f>
        <x:v>2.711948514827832</x:v>
      </x:c>
      <x:c r="L74" s="80" t="n">
        <x:f>MAX(0,K74*'Inputs'!$E$44)</x:f>
        <x:v>0</x:v>
      </x:c>
      <x:c r="M74" s="80" t="n">
        <x:f>MAX(0,-K74*'Inputs'!$E$44)</x:f>
        <x:v>0.5423897029655664</x:v>
      </x:c>
      <x:c r="N74" s="78" t="n">
        <x:f>H74*(L74*(1-'Inputs'!$B$15))/(I74+L74*(1-'Inputs'!$B$15))</x:f>
        <x:v>0</x:v>
      </x:c>
      <x:c r="O74" s="78" t="n">
        <x:f>H74-N74</x:f>
        <x:v>1705481115.8380196</x:v>
      </x:c>
      <x:c r="P74" s="78" t="n">
        <x:f>I74+L74*(1-'Inputs'!$B$17)</x:f>
        <x:v>6.77987128706958</x:v>
      </x:c>
      <x:c r="Q74" s="78" t="n">
        <x:f>IF(J74&gt;0,M74/J74,0)</x:f>
        <x:v>136438489.2670416</x:v>
      </x:c>
      <x:c r="R74" s="78" t="n">
        <x:f>IF(B74='Inputs'!$H$44,'Inputs'!$B$27*'Inputs'!$I$44,0)</x:f>
        <x:v>0</x:v>
      </x:c>
      <x:c r="S74" s="78" t="n">
        <x:f>Q74+G74+R74</x:f>
        <x:v>137333627.4261709</x:v>
      </x:c>
      <x:c r="T74" s="78" t="n">
        <x:f>P74*(S74*(1-'Inputs'!$B$15))/(O74+S74*(1-'Inputs'!$B$15))</x:f>
        <x:v>0.500582462555373</x:v>
      </x:c>
      <x:c r="U74" s="78" t="n">
        <x:f>O74+S74*(1-'Inputs'!$B$17)</x:f>
        <x:v>1842262092.8520126</x:v>
      </x:c>
      <x:c r="V74" s="78" t="n">
        <x:f>P74-T74</x:f>
        <x:v>6.2792888245142064</x:v>
      </x:c>
      <x:c r="W74" s="79" t="n">
        <x:f>IF(U74&gt;0,V74/U74,0)</x:f>
        <x:v>3.4084666068296594e-9</x:v>
      </x:c>
      <x:c r="X74" s="80" t="n">
        <x:f>W74*('Inputs'!$B$6-AC74)</x:f>
        <x:v>3.3337163908200678</x:v>
      </x:c>
      <x:c r="Y74" s="80" t="n">
        <x:f>2*V74</x:f>
        <x:v>12.558577649028413</x:v>
      </x:c>
      <x:c r="Z74" s="80" t="n">
        <x:f>K74*'Inputs'!$B$16+(G74+R74)*J74*'Inputs'!$B$16</x:f>
        <x:v>0.016293041972703017</x:v>
      </x:c>
      <x:c r="AA74" s="80" t="n">
        <x:f>K74*(1+'Inputs'!$E$44)/2*'Inputs'!$B$17</x:f>
        <x:v>0.004365309480608181</x:v>
      </x:c>
      <x:c r="AB74" s="78" t="n">
        <x:f>(IF(J74&gt;0,K74*(1-'Inputs'!$E$44)/2/J74,0)+G74+R74)*'Inputs'!$B$17</x:f>
        <x:v>1650746.9052726522</x:v>
      </x:c>
      <x:c r="AC74" s="78" t="n">
        <x:f>AC73+AB74</x:f>
        <x:v>21930746.17771288</x:v>
      </x:c>
      <x:c r="AD74" s="80" t="n">
        <x:f>Z74/(1+'Inputs'!$C$44)</x:f>
        <x:v>0.013034433578162414</x:v>
      </x:c>
      <x:c r="AE74" s="80" t="n">
        <x:f>Z74-AD74</x:f>
        <x:v>0.003258608394540603</x:v>
      </x:c>
      <x:c r="AF74" s="80" t="n">
        <x:f>D74*W74</x:f>
        <x:v>0.001006568191514882</x:v>
      </x:c>
      <x:c r="AG74" s="80" t="n">
        <x:f>C74*W74</x:f>
        <x:v>0.002348659113534708</x:v>
      </x:c>
      <x:c r="AH74" s="80" t="n">
        <x:f>2*'Inputs'!$B$8*'Inputs'!$C$44</x:f>
        <x:v>1250</x:v>
      </x:c>
      <x:c r="AI74" s="81" t="n">
        <x:f>IF(AH74&gt;0,(AE74+AF74)/AH74*365,0)</x:f>
        <x:v>0.0012454315631282016</x:v>
      </x:c>
      <x:c r="AJ74" s="81" t="n">
        <x:f>IF('Inputs'!$B$44&gt;0,AG74/('Inputs'!$B$19*'Inputs'!$B$44)*365,0)</x:f>
        <x:v>0.00008572605764401684</x:v>
      </x:c>
      <x:c r="AK74" s="81" t="n">
        <x:f>W74/MAX($W$4:W74)-1</x:f>
        <x:v>-0.9999949909994228</x:v>
      </x:c>
      <x:c r="AL74" s="83" t="n">
        <x:f>'Inputs'!$B$44</x:f>
        <x:v>1</x:v>
      </x:c>
      <x:c r="AM74" s="83" t="n">
        <x:f>'Inputs'!$C$44</x:f>
        <x:v>0.25</x:v>
      </x:c>
      <x:c r="AN74" s="83" t="n">
        <x:f>'Inputs'!$D$44</x:f>
        <x:v>0.2</x:v>
      </x:c>
      <x:c r="AO74" s="81" t="n">
        <x:f>'Inputs'!$E$44</x:f>
        <x:v>-0.2</x:v>
      </x:c>
    </x:row>
    <x:row r="75">
      <x:c r="A75" s="59" t="str">
        <x:v>No demand</x:v>
      </x:c>
      <x:c r="B75" s="59" t="n">
        <x:v>72</x:v>
      </x:c>
      <x:c r="C75" s="78" t="n">
        <x:f>(('Inputs'!$B$29*(3*72*'Inputs'!$B$12-72^2)/(2*'Inputs'!$B$12^2))-('Inputs'!$B$29*(3*71*'Inputs'!$B$12-71^2)/(2*'Inputs'!$B$12^2)))*'Inputs'!$B$44</x:f>
        <x:v>688741.0865077898</x:v>
      </x:c>
      <x:c r="D75" s="78" t="n">
        <x:f>IF('Inputs'!$C$44&gt;0,('Inputs'!$B$30*(3*72*'Inputs'!$B$12-72^2)/(2*'Inputs'!$B$12^2))-('Inputs'!$B$30*(3*71*'Inputs'!$B$12-71^2)/(2*'Inputs'!$B$12^2)),0)</x:f>
        <x:v>295174.75136047974</x:v>
      </x:c>
      <x:c r="E75" s="78" t="n">
        <x:f>C75+D75</x:f>
        <x:v>983915.8378682695</x:v>
      </x:c>
      <x:c r="F75" s="78" t="n">
        <x:f>'Inputs'!$B$13*E75+(1-'Inputs'!$B$13)/'Inputs'!$B$14*SUM(E20:E75)</x:f>
        <x:v>994133.5147307189</x:v>
      </x:c>
      <x:c r="G75" s="78" t="n">
        <x:f>F75*'Inputs'!$F$44</x:f>
        <x:v>894720.1632576471</x:v>
      </x:c>
      <x:c r="H75" s="78" t="n">
        <x:f>U74</x:f>
        <x:v>1842262092.8520126</x:v>
      </x:c>
      <x:c r="I75" s="78" t="n">
        <x:f>V74</x:f>
        <x:v>6.2792888245142064</x:v>
      </x:c>
      <x:c r="J75" s="79" t="n">
        <x:f>IF(H75&gt;0,I75/H75,0)</x:f>
        <x:v>3.4084666068296594e-9</x:v>
      </x:c>
      <x:c r="K75" s="80" t="n">
        <x:f>(H75*J75+I75)*'Inputs'!$D$44*(1+'Inputs'!$G$44)^(B75/30)</x:f>
        <x:v>2.5117155298056826</x:v>
      </x:c>
      <x:c r="L75" s="80" t="n">
        <x:f>MAX(0,K75*'Inputs'!$E$44)</x:f>
        <x:v>0</x:v>
      </x:c>
      <x:c r="M75" s="80" t="n">
        <x:f>MAX(0,-K75*'Inputs'!$E$44)</x:f>
        <x:v>0.5023431059611365</x:v>
      </x:c>
      <x:c r="N75" s="78" t="n">
        <x:f>H75*(L75*(1-'Inputs'!$B$15))/(I75+L75*(1-'Inputs'!$B$15))</x:f>
        <x:v>0</x:v>
      </x:c>
      <x:c r="O75" s="78" t="n">
        <x:f>H75-N75</x:f>
        <x:v>1842262092.8520126</x:v>
      </x:c>
      <x:c r="P75" s="78" t="n">
        <x:f>I75+L75*(1-'Inputs'!$B$17)</x:f>
        <x:v>6.2792888245142064</x:v>
      </x:c>
      <x:c r="Q75" s="78" t="n">
        <x:f>IF(J75&gt;0,M75/J75,0)</x:f>
        <x:v>147380967.42816103</x:v>
      </x:c>
      <x:c r="R75" s="78" t="n">
        <x:f>IF(B75='Inputs'!$H$44,'Inputs'!$B$27*'Inputs'!$I$44,0)</x:f>
        <x:v>0</x:v>
      </x:c>
      <x:c r="S75" s="78" t="n">
        <x:f>Q75+G75+R75</x:f>
        <x:v>148275687.59141868</x:v>
      </x:c>
      <x:c r="T75" s="78" t="n">
        <x:f>P75*(S75*(1-'Inputs'!$B$15))/(O75+S75*(1-'Inputs'!$B$15))</x:f>
        <x:v>0.4634136303108999</x:v>
      </x:c>
      <x:c r="U75" s="78" t="n">
        <x:f>O75+S75*(1-'Inputs'!$B$17)</x:f>
        <x:v>1989941097.595981</x:v>
      </x:c>
      <x:c r="V75" s="78" t="n">
        <x:f>P75-T75</x:f>
        <x:v>5.815875194203307</x:v>
      </x:c>
      <x:c r="W75" s="79" t="n">
        <x:f>IF(U75&gt;0,V75/U75,0)</x:f>
        <x:v>2.922636856552881e-9</x:v>
      </x:c>
      <x:c r="X75" s="80" t="n">
        <x:f>W75*('Inputs'!$B$6-AC75)</x:f>
        <x:v>2.8533306334491715</x:v>
      </x:c>
      <x:c r="Y75" s="80" t="n">
        <x:f>2*V75</x:f>
        <x:v>11.631750388406614</x:v>
      </x:c>
      <x:c r="Z75" s="80" t="n">
        <x:f>K75*'Inputs'!$B$16+(G75+R75)*J75*'Inputs'!$B$16</x:f>
        <x:v>0.01508859092162762</x:v>
      </x:c>
      <x:c r="AA75" s="80" t="n">
        <x:f>K75*(1+'Inputs'!$E$44)/2*'Inputs'!$B$17</x:f>
        <x:v>0.004043002864878363</x:v>
      </x:c>
      <x:c r="AB75" s="78" t="n">
        <x:f>(IF(J75&gt;0,K75*(1-'Inputs'!$E$44)/2/J75,0)+G75+R75)*'Inputs'!$B$17</x:f>
        <x:v>1782847.5752424174</x:v>
      </x:c>
      <x:c r="AC75" s="78" t="n">
        <x:f>AC74+AB75</x:f>
        <x:v>23713593.7529553</x:v>
      </x:c>
      <x:c r="AD75" s="80" t="n">
        <x:f>Z75/(1+'Inputs'!$C$44)</x:f>
        <x:v>0.012070872737302096</x:v>
      </x:c>
      <x:c r="AE75" s="80" t="n">
        <x:f>Z75-AD75</x:f>
        <x:v>0.0030177181843255244</x:v>
      </x:c>
      <x:c r="AF75" s="80" t="n">
        <x:f>D75*W75</x:f>
        <x:v>0.0008626886074499708</x:v>
      </x:c>
      <x:c r="AG75" s="80" t="n">
        <x:f>C75*W75</x:f>
        <x:v>0.0020129400840499427</x:v>
      </x:c>
      <x:c r="AH75" s="80" t="n">
        <x:f>2*'Inputs'!$B$8*'Inputs'!$C$44</x:f>
        <x:v>1250</x:v>
      </x:c>
      <x:c r="AI75" s="81" t="n">
        <x:f>IF(AH75&gt;0,(AE75+AF75)/AH75*365,0)</x:f>
        <x:v>0.0011330787831984447</x:v>
      </x:c>
      <x:c r="AJ75" s="81" t="n">
        <x:f>IF('Inputs'!$B$44&gt;0,AG75/('Inputs'!$B$19*'Inputs'!$B$44)*365,0)</x:f>
        <x:v>0.00007347231306782292</x:v>
      </x:c>
      <x:c r="AK75" s="81" t="n">
        <x:f>W75/MAX($W$4:W75)-1</x:f>
        <x:v>-0.9999957049631432</x:v>
      </x:c>
      <x:c r="AL75" s="83" t="n">
        <x:f>'Inputs'!$B$44</x:f>
        <x:v>1</x:v>
      </x:c>
      <x:c r="AM75" s="83" t="n">
        <x:f>'Inputs'!$C$44</x:f>
        <x:v>0.25</x:v>
      </x:c>
      <x:c r="AN75" s="83" t="n">
        <x:f>'Inputs'!$D$44</x:f>
        <x:v>0.2</x:v>
      </x:c>
      <x:c r="AO75" s="81" t="n">
        <x:f>'Inputs'!$E$44</x:f>
        <x:v>-0.2</x:v>
      </x:c>
    </x:row>
    <x:row r="76">
      <x:c r="A76" s="59" t="str">
        <x:v>No demand</x:v>
      </x:c>
      <x:c r="B76" s="59" t="n">
        <x:v>73</x:v>
      </x:c>
      <x:c r="C76" s="78" t="n">
        <x:f>(('Inputs'!$B$29*(3*73*'Inputs'!$B$12-73^2)/(2*'Inputs'!$B$12^2))-('Inputs'!$B$29*(3*72*'Inputs'!$B$12-72^2)/(2*'Inputs'!$B$12^2)))*'Inputs'!$B$44</x:f>
        <x:v>688415.9786076173</x:v>
      </x:c>
      <x:c r="D76" s="78" t="n">
        <x:f>IF('Inputs'!$C$44&gt;0,('Inputs'!$B$30*(3*73*'Inputs'!$B$12-73^2)/(2*'Inputs'!$B$12^2))-('Inputs'!$B$30*(3*72*'Inputs'!$B$12-72^2)/(2*'Inputs'!$B$12^2)),0)</x:f>
        <x:v>295035.41940326616</x:v>
      </x:c>
      <x:c r="E76" s="78" t="n">
        <x:f>C76+D76</x:f>
        <x:v>983451.3980108835</x:v>
      </x:c>
      <x:c r="F76" s="78" t="n">
        <x:f>'Inputs'!$B$13*E76+(1-'Inputs'!$B$13)/'Inputs'!$B$14*SUM(E21:E76)</x:f>
        <x:v>993669.0748733344</x:v>
      </x:c>
      <x:c r="G76" s="78" t="n">
        <x:f>F76*'Inputs'!$F$44</x:f>
        <x:v>894302.167386001</x:v>
      </x:c>
      <x:c r="H76" s="78" t="n">
        <x:f>U75</x:f>
        <x:v>1989941097.595981</x:v>
      </x:c>
      <x:c r="I76" s="78" t="n">
        <x:f>V75</x:f>
        <x:v>5.815875194203307</x:v>
      </x:c>
      <x:c r="J76" s="79" t="n">
        <x:f>IF(H76&gt;0,I76/H76,0)</x:f>
        <x:v>2.922636856552881e-9</x:v>
      </x:c>
      <x:c r="K76" s="80" t="n">
        <x:f>(H76*J76+I76)*'Inputs'!$D$44*(1+'Inputs'!$G$44)^(B76/30)</x:f>
        <x:v>2.326350077681323</x:v>
      </x:c>
      <x:c r="L76" s="80" t="n">
        <x:f>MAX(0,K76*'Inputs'!$E$44)</x:f>
        <x:v>0</x:v>
      </x:c>
      <x:c r="M76" s="80" t="n">
        <x:f>MAX(0,-K76*'Inputs'!$E$44)</x:f>
        <x:v>0.46527001553626457</x:v>
      </x:c>
      <x:c r="N76" s="78" t="n">
        <x:f>H76*(L76*(1-'Inputs'!$B$15))/(I76+L76*(1-'Inputs'!$B$15))</x:f>
        <x:v>0</x:v>
      </x:c>
      <x:c r="O76" s="78" t="n">
        <x:f>H76-N76</x:f>
        <x:v>1989941097.595981</x:v>
      </x:c>
      <x:c r="P76" s="78" t="n">
        <x:f>I76+L76*(1-'Inputs'!$B$17)</x:f>
        <x:v>5.815875194203307</x:v>
      </x:c>
      <x:c r="Q76" s="78" t="n">
        <x:f>IF(J76&gt;0,M76/J76,0)</x:f>
        <x:v>159195287.80767846</x:v>
      </x:c>
      <x:c r="R76" s="78" t="n">
        <x:f>IF(B76='Inputs'!$H$44,'Inputs'!$B$27*'Inputs'!$I$44,0)</x:f>
        <x:v>0</x:v>
      </x:c>
      <x:c r="S76" s="78" t="n">
        <x:f>Q76+G76+R76</x:f>
        <x:v>160089589.97506446</x:v>
      </x:c>
      <x:c r="T76" s="78" t="n">
        <x:f>P76*(S76*(1-'Inputs'!$B$15))/(O76+S76*(1-'Inputs'!$B$15))</x:f>
        <x:v>0.42903448276857636</x:v>
      </x:c>
      <x:c r="U76" s="78" t="n">
        <x:f>O76+S76*(1-'Inputs'!$B$17)</x:f>
        <x:v>2149386463.8689322</x:v>
      </x:c>
      <x:c r="V76" s="78" t="n">
        <x:f>P76-T76</x:f>
        <x:v>5.386840711434731</x:v>
      </x:c>
      <x:c r="W76" s="79" t="n">
        <x:f>IF(U76&gt;0,V76/U76,0)</x:f>
        <x:v>2.5062224974369317e-9</x:v>
      </x:c>
      <x:c r="X76" s="80" t="n">
        <x:f>W76*('Inputs'!$B$6-AC76)</x:f>
        <x:v>2.4419652902658004</x:v>
      </x:c>
      <x:c r="Y76" s="80" t="n">
        <x:f>2*V76</x:f>
        <x:v>10.773681422869462</x:v>
      </x:c>
      <x:c r="Z76" s="80" t="n">
        <x:f>K76*'Inputs'!$B$16+(G76+R76)*J76*'Inputs'!$B$16</x:f>
        <x:v>0.013973782788939721</x:v>
      </x:c>
      <x:c r="AA76" s="80" t="n">
        <x:f>K76*(1+'Inputs'!$E$44)/2*'Inputs'!$B$17</x:f>
        <x:v>0.0037446278916399567</x:v>
      </x:c>
      <x:c r="AB76" s="78" t="n">
        <x:f>(IF(J76&gt;0,K76*(1-'Inputs'!$E$44)/2/J76,0)+G76+R76)*'Inputs'!$B$17</x:f>
        <x:v>1925473.5033819776</x:v>
      </x:c>
      <x:c r="AC76" s="78" t="n">
        <x:f>AC75+AB76</x:f>
        <x:v>25639067.256337278</x:v>
      </x:c>
      <x:c r="AD76" s="80" t="n">
        <x:f>Z76/(1+'Inputs'!$C$44)</x:f>
        <x:v>0.011179026231151776</x:v>
      </x:c>
      <x:c r="AE76" s="80" t="n">
        <x:f>Z76-AD76</x:f>
        <x:v>0.002794756557787945</x:v>
      </x:c>
      <x:c r="AF76" s="80" t="n">
        <x:f>D76*W76</x:f>
        <x:v>0.0007394244056492063</x:v>
      </x:c>
      <x:c r="AG76" s="80" t="n">
        <x:f>C76*W76</x:f>
        <x:v>0.001725323613181472</x:v>
      </x:c>
      <x:c r="AH76" s="80" t="n">
        <x:f>2*'Inputs'!$B$8*'Inputs'!$C$44</x:f>
        <x:v>1250</x:v>
      </x:c>
      <x:c r="AI76" s="81" t="n">
        <x:f>IF(AH76&gt;0,(AE76+AF76)/AH76*365,0)</x:f>
        <x:v>0.0010319808413236482</x:v>
      </x:c>
      <x:c r="AJ76" s="81" t="n">
        <x:f>IF('Inputs'!$B$44&gt;0,AG76/('Inputs'!$B$19*'Inputs'!$B$44)*365,0)</x:f>
        <x:v>0.00006297431188112373</x:v>
      </x:c>
      <x:c r="AK76" s="81" t="n">
        <x:f>W76/MAX($W$4:W76)-1</x:f>
        <x:v>-0.9999963169156737</x:v>
      </x:c>
      <x:c r="AL76" s="83" t="n">
        <x:f>'Inputs'!$B$44</x:f>
        <x:v>1</x:v>
      </x:c>
      <x:c r="AM76" s="83" t="n">
        <x:f>'Inputs'!$C$44</x:f>
        <x:v>0.25</x:v>
      </x:c>
      <x:c r="AN76" s="83" t="n">
        <x:f>'Inputs'!$D$44</x:f>
        <x:v>0.2</x:v>
      </x:c>
      <x:c r="AO76" s="81" t="n">
        <x:f>'Inputs'!$E$44</x:f>
        <x:v>-0.2</x:v>
      </x:c>
    </x:row>
    <x:row r="77">
      <x:c r="A77" s="59" t="str">
        <x:v>No demand</x:v>
      </x:c>
      <x:c r="B77" s="59" t="n">
        <x:v>74</x:v>
      </x:c>
      <x:c r="C77" s="78" t="n">
        <x:f>(('Inputs'!$B$29*(3*74*'Inputs'!$B$12-74^2)/(2*'Inputs'!$B$12^2))-('Inputs'!$B$29*(3*73*'Inputs'!$B$12-73^2)/(2*'Inputs'!$B$12^2)))*'Inputs'!$B$44</x:f>
        <x:v>688090.8707074523</x:v>
      </x:c>
      <x:c r="D77" s="78" t="n">
        <x:f>IF('Inputs'!$C$44&gt;0,('Inputs'!$B$30*(3*74*'Inputs'!$B$12-74^2)/(2*'Inputs'!$B$12^2))-('Inputs'!$B$30*(3*73*'Inputs'!$B$12-73^2)/(2*'Inputs'!$B$12^2)),0)</x:f>
        <x:v>294896.08744604886</x:v>
      </x:c>
      <x:c r="E77" s="78" t="n">
        <x:f>C77+D77</x:f>
        <x:v>982986.9581535012</x:v>
      </x:c>
      <x:c r="F77" s="78" t="n">
        <x:f>'Inputs'!$B$13*E77+(1-'Inputs'!$B$13)/'Inputs'!$B$14*SUM(E22:E77)</x:f>
        <x:v>993204.6350159508</x:v>
      </x:c>
      <x:c r="G77" s="78" t="n">
        <x:f>F77*'Inputs'!$F$44</x:f>
        <x:v>893884.1715143557</x:v>
      </x:c>
      <x:c r="H77" s="78" t="n">
        <x:f>U76</x:f>
        <x:v>2149386463.8689322</x:v>
      </x:c>
      <x:c r="I77" s="78" t="n">
        <x:f>V76</x:f>
        <x:v>5.386840711434731</x:v>
      </x:c>
      <x:c r="J77" s="79" t="n">
        <x:f>IF(H77&gt;0,I77/H77,0)</x:f>
        <x:v>2.5062224974369317e-9</x:v>
      </x:c>
      <x:c r="K77" s="80" t="n">
        <x:f>(H77*J77+I77)*'Inputs'!$D$44*(1+'Inputs'!$G$44)^(B77/30)</x:f>
        <x:v>2.1547362845738927</x:v>
      </x:c>
      <x:c r="L77" s="80" t="n">
        <x:f>MAX(0,K77*'Inputs'!$E$44)</x:f>
        <x:v>0</x:v>
      </x:c>
      <x:c r="M77" s="80" t="n">
        <x:f>MAX(0,-K77*'Inputs'!$E$44)</x:f>
        <x:v>0.43094725691477853</x:v>
      </x:c>
      <x:c r="N77" s="78" t="n">
        <x:f>H77*(L77*(1-'Inputs'!$B$15))/(I77+L77*(1-'Inputs'!$B$15))</x:f>
        <x:v>0</x:v>
      </x:c>
      <x:c r="O77" s="78" t="n">
        <x:f>H77-N77</x:f>
        <x:v>2149386463.8689322</x:v>
      </x:c>
      <x:c r="P77" s="78" t="n">
        <x:f>I77+L77*(1-'Inputs'!$B$17)</x:f>
        <x:v>5.386840711434731</x:v>
      </x:c>
      <x:c r="Q77" s="78" t="n">
        <x:f>IF(J77&gt;0,M77/J77,0)</x:f>
        <x:v>171950917.10951462</x:v>
      </x:c>
      <x:c r="R77" s="78" t="n">
        <x:f>IF(B77='Inputs'!$H$44,'Inputs'!$B$27*'Inputs'!$I$44,0)</x:f>
        <x:v>0</x:v>
      </x:c>
      <x:c r="S77" s="78" t="n">
        <x:f>Q77+G77+R77</x:f>
        <x:v>172844801.281029</x:v>
      </x:c>
      <x:c r="T77" s="78" t="n">
        <x:f>P77*(S77*(1-'Inputs'!$B$15))/(O77+S77*(1-'Inputs'!$B$15))</x:f>
        <x:v>0.39723138078957454</x:v>
      </x:c>
      <x:c r="U77" s="78" t="n">
        <x:f>O77+S77*(1-'Inputs'!$B$17)</x:f>
        <x:v>2321535712.6297154</x:v>
      </x:c>
      <x:c r="V77" s="78" t="n">
        <x:f>P77-T77</x:f>
        <x:v>4.989609330645156</x:v>
      </x:c>
      <x:c r="W77" s="79" t="n">
        <x:f>IF(U77&gt;0,V77/U77,0)</x:f>
        <x:v>2.1492709776121366e-9</x:v>
      </x:c>
      <x:c r="X77" s="80" t="n">
        <x:f>W77*('Inputs'!$B$6-AC77)</x:f>
        <x:v>2.089696344298208</x:v>
      </x:c>
      <x:c r="Y77" s="80" t="n">
        <x:f>2*V77</x:f>
        <x:v>9.979218661290313</x:v>
      </x:c>
      <x:c r="Z77" s="80" t="n">
        <x:f>K77*'Inputs'!$B$16+(G77+R77)*J77*'Inputs'!$B$16</x:f>
        <x:v>0.012941859343167869</x:v>
      </x:c>
      <x:c r="AA77" s="80" t="n">
        <x:f>K77*(1+'Inputs'!$E$44)/2*'Inputs'!$B$17</x:f>
        <x:v>0.003468388385632021</x:v>
      </x:c>
      <x:c r="AB77" s="78" t="n">
        <x:f>(IF(J77&gt;0,K77*(1-'Inputs'!$E$44)/2/J77,0)+G77+R77)*'Inputs'!$B$17</x:f>
        <x:v>2079463.3219318239</x:v>
      </x:c>
      <x:c r="AC77" s="78" t="n">
        <x:f>AC76+AB77</x:f>
        <x:v>27718530.5782691</x:v>
      </x:c>
      <x:c r="AD77" s="80" t="n">
        <x:f>Z77/(1+'Inputs'!$C$44)</x:f>
        <x:v>0.010353487474534295</x:v>
      </x:c>
      <x:c r="AE77" s="80" t="n">
        <x:f>Z77-AD77</x:f>
        <x:v>0.002588371868633574</x:v>
      </x:c>
      <x:c r="AF77" s="80" t="n">
        <x:f>D77*W77</x:f>
        <x:v>0.0006338116021591635</x:v>
      </x:c>
      <x:c r="AG77" s="80" t="n">
        <x:f>C77*W77</x:f>
        <x:v>0.0014788937383713922</x:v>
      </x:c>
      <x:c r="AH77" s="80" t="n">
        <x:f>2*'Inputs'!$B$8*'Inputs'!$C$44</x:f>
        <x:v>1250</x:v>
      </x:c>
      <x:c r="AI77" s="81" t="n">
        <x:f>IF(AH77&gt;0,(AE77+AF77)/AH77*365,0)</x:f>
        <x:v>0.0009408775734714793</x:v>
      </x:c>
      <x:c r="AJ77" s="81" t="n">
        <x:f>IF('Inputs'!$B$44&gt;0,AG77/('Inputs'!$B$19*'Inputs'!$B$44)*365,0)</x:f>
        <x:v>0.000053979621450555817</x:v>
      </x:c>
      <x:c r="AK77" s="81" t="n">
        <x:f>W77/MAX($W$4:W77)-1</x:f>
        <x:v>-0.9999968414830452</x:v>
      </x:c>
      <x:c r="AL77" s="83" t="n">
        <x:f>'Inputs'!$B$44</x:f>
        <x:v>1</x:v>
      </x:c>
      <x:c r="AM77" s="83" t="n">
        <x:f>'Inputs'!$C$44</x:f>
        <x:v>0.25</x:v>
      </x:c>
      <x:c r="AN77" s="83" t="n">
        <x:f>'Inputs'!$D$44</x:f>
        <x:v>0.2</x:v>
      </x:c>
      <x:c r="AO77" s="81" t="n">
        <x:f>'Inputs'!$E$44</x:f>
        <x:v>-0.2</x:v>
      </x:c>
    </x:row>
    <x:row r="78">
      <x:c r="A78" s="59" t="str">
        <x:v>No demand</x:v>
      </x:c>
      <x:c r="B78" s="59" t="n">
        <x:v>75</x:v>
      </x:c>
      <x:c r="C78" s="78" t="n">
        <x:f>(('Inputs'!$B$29*(3*75*'Inputs'!$B$12-75^2)/(2*'Inputs'!$B$12^2))-('Inputs'!$B$29*(3*74*'Inputs'!$B$12-74^2)/(2*'Inputs'!$B$12^2)))*'Inputs'!$B$44</x:f>
        <x:v>687765.7628072798</x:v>
      </x:c>
      <x:c r="D78" s="78" t="n">
        <x:f>IF('Inputs'!$C$44&gt;0,('Inputs'!$B$30*(3*75*'Inputs'!$B$12-75^2)/(2*'Inputs'!$B$12^2))-('Inputs'!$B$30*(3*74*'Inputs'!$B$12-74^2)/(2*'Inputs'!$B$12^2)),0)</x:f>
        <x:v>294756.7554888353</x:v>
      </x:c>
      <x:c r="E78" s="78" t="n">
        <x:f>C78+D78</x:f>
        <x:v>982522.5182961151</x:v>
      </x:c>
      <x:c r="F78" s="78" t="n">
        <x:f>'Inputs'!$B$13*E78+(1-'Inputs'!$B$13)/'Inputs'!$B$14*SUM(E23:E78)</x:f>
        <x:v>992740.1951585663</x:v>
      </x:c>
      <x:c r="G78" s="78" t="n">
        <x:f>F78*'Inputs'!$F$44</x:f>
        <x:v>893466.1756427097</x:v>
      </x:c>
      <x:c r="H78" s="78" t="n">
        <x:f>U77</x:f>
        <x:v>2321535712.6297154</x:v>
      </x:c>
      <x:c r="I78" s="78" t="n">
        <x:f>V77</x:f>
        <x:v>4.989609330645156</x:v>
      </x:c>
      <x:c r="J78" s="79" t="n">
        <x:f>IF(H78&gt;0,I78/H78,0)</x:f>
        <x:v>2.1492709776121366e-9</x:v>
      </x:c>
      <x:c r="K78" s="80" t="n">
        <x:f>(H78*J78+I78)*'Inputs'!$D$44*(1+'Inputs'!$G$44)^(B78/30)</x:f>
        <x:v>1.9958437322580627</x:v>
      </x:c>
      <x:c r="L78" s="80" t="n">
        <x:f>MAX(0,K78*'Inputs'!$E$44)</x:f>
        <x:v>0</x:v>
      </x:c>
      <x:c r="M78" s="80" t="n">
        <x:f>MAX(0,-K78*'Inputs'!$E$44)</x:f>
        <x:v>0.39916874645161254</x:v>
      </x:c>
      <x:c r="N78" s="78" t="n">
        <x:f>H78*(L78*(1-'Inputs'!$B$15))/(I78+L78*(1-'Inputs'!$B$15))</x:f>
        <x:v>0</x:v>
      </x:c>
      <x:c r="O78" s="78" t="n">
        <x:f>H78-N78</x:f>
        <x:v>2321535712.6297154</x:v>
      </x:c>
      <x:c r="P78" s="78" t="n">
        <x:f>I78+L78*(1-'Inputs'!$B$17)</x:f>
        <x:v>4.989609330645156</x:v>
      </x:c>
      <x:c r="Q78" s="78" t="n">
        <x:f>IF(J78&gt;0,M78/J78,0)</x:f>
        <x:v>185722857.01037723</x:v>
      </x:c>
      <x:c r="R78" s="78" t="n">
        <x:f>IF(B78='Inputs'!$H$44,'Inputs'!$B$27*'Inputs'!$I$44,0)</x:f>
        <x:v>0</x:v>
      </x:c>
      <x:c r="S78" s="78" t="n">
        <x:f>Q78+G78+R78</x:f>
        <x:v>186616323.18601993</x:v>
      </x:c>
      <x:c r="T78" s="78" t="n">
        <x:f>P78*(S78*(1-'Inputs'!$B$15))/(O78+S78*(1-'Inputs'!$B$15))</x:f>
        <x:v>0.3678076519639364</x:v>
      </x:c>
      <x:c r="U78" s="78" t="n">
        <x:f>O78+S78*(1-'Inputs'!$B$17)</x:f>
        <x:v>2507401064.6962748</x:v>
      </x:c>
      <x:c r="V78" s="78" t="n">
        <x:f>P78-T78</x:f>
        <x:v>4.62180167868122</x:v>
      </x:c>
      <x:c r="W78" s="79" t="n">
        <x:f>IF(U78&gt;0,V78/U78,0)</x:f>
        <x:v>1.843263825542431e-9</x:v>
      </x:c>
      <x:c r="X78" s="80" t="n">
        <x:f>W78*('Inputs'!$B$6-AC78)</x:f>
        <x:v>1.78803180181385</x:v>
      </x:c>
      <x:c r="Y78" s="80" t="n">
        <x:f>2*V78</x:f>
        <x:v>9.24360335736244</x:v>
      </x:c>
      <x:c r="Z78" s="80" t="n">
        <x:f>K78*'Inputs'!$B$16+(G78+R78)*J78*'Inputs'!$B$16</x:f>
        <x:v>0.011986584199073098</x:v>
      </x:c>
      <x:c r="AA78" s="80" t="n">
        <x:f>K78*(1+'Inputs'!$E$44)/2*'Inputs'!$B$17</x:f>
        <x:v>0.003212625725968713</x:v>
      </x:c>
      <x:c r="AB78" s="78" t="n">
        <x:f>(IF(J78&gt;0,K78*(1-'Inputs'!$E$44)/2/J78,0)+G78+R78)*'Inputs'!$B$17</x:f>
        <x:v>2245722.4837294742</x:v>
      </x:c>
      <x:c r="AC78" s="78" t="n">
        <x:f>AC77+AB78</x:f>
        <x:v>29964253.061998576</x:v>
      </x:c>
      <x:c r="AD78" s="80" t="n">
        <x:f>Z78/(1+'Inputs'!$C$44)</x:f>
        <x:v>0.00958926735925848</x:v>
      </x:c>
      <x:c r="AE78" s="80" t="n">
        <x:f>Z78-AD78</x:f>
        <x:v>0.002397316839814619</x:v>
      </x:c>
      <x:c r="AF78" s="80" t="n">
        <x:f>D78*W78</x:f>
        <x:v>0.0005433144647268254</x:v>
      </x:c>
      <x:c r="AG78" s="80" t="n">
        <x:f>C78*W78</x:f>
        <x:v>0.001267733751029255</x:v>
      </x:c>
      <x:c r="AH78" s="80" t="n">
        <x:f>2*'Inputs'!$B$8*'Inputs'!$C$44</x:f>
        <x:v>1250</x:v>
      </x:c>
      <x:c r="AI78" s="81" t="n">
        <x:f>IF(AH78&gt;0,(AE78+AF78)/AH78*365,0)</x:f>
        <x:v>0.0008586643409261017</x:v>
      </x:c>
      <x:c r="AJ78" s="81" t="n">
        <x:f>IF('Inputs'!$B$44&gt;0,AG78/('Inputs'!$B$19*'Inputs'!$B$44)*365,0)</x:f>
        <x:v>0.00004627228191256781</x:v>
      </x:c>
      <x:c r="AK78" s="81" t="n">
        <x:f>W78/MAX($W$4:W78)-1</x:f>
        <x:v>-0.9999972911837987</x:v>
      </x:c>
      <x:c r="AL78" s="83" t="n">
        <x:f>'Inputs'!$B$44</x:f>
        <x:v>1</x:v>
      </x:c>
      <x:c r="AM78" s="83" t="n">
        <x:f>'Inputs'!$C$44</x:f>
        <x:v>0.25</x:v>
      </x:c>
      <x:c r="AN78" s="83" t="n">
        <x:f>'Inputs'!$D$44</x:f>
        <x:v>0.2</x:v>
      </x:c>
      <x:c r="AO78" s="81" t="n">
        <x:f>'Inputs'!$E$44</x:f>
        <x:v>-0.2</x:v>
      </x:c>
    </x:row>
    <x:row r="79">
      <x:c r="A79" s="59" t="str">
        <x:v>No demand</x:v>
      </x:c>
      <x:c r="B79" s="59" t="n">
        <x:v>76</x:v>
      </x:c>
      <x:c r="C79" s="78" t="n">
        <x:f>(('Inputs'!$B$29*(3*76*'Inputs'!$B$12-76^2)/(2*'Inputs'!$B$12^2))-('Inputs'!$B$29*(3*75*'Inputs'!$B$12-75^2)/(2*'Inputs'!$B$12^2)))*'Inputs'!$B$44</x:f>
        <x:v>687440.6549071074</x:v>
      </x:c>
      <x:c r="D79" s="78" t="n">
        <x:f>IF('Inputs'!$C$44&gt;0,('Inputs'!$B$30*(3*76*'Inputs'!$B$12-76^2)/(2*'Inputs'!$B$12^2))-('Inputs'!$B$30*(3*75*'Inputs'!$B$12-75^2)/(2*'Inputs'!$B$12^2)),0)</x:f>
        <x:v>294617.4235316217</x:v>
      </x:c>
      <x:c r="E79" s="78" t="n">
        <x:f>C79+D79</x:f>
        <x:v>982058.078438729</x:v>
      </x:c>
      <x:c r="F79" s="78" t="n">
        <x:f>'Inputs'!$B$13*E79+(1-'Inputs'!$B$13)/'Inputs'!$B$14*SUM(E24:E79)</x:f>
        <x:v>992275.7553011818</x:v>
      </x:c>
      <x:c r="G79" s="78" t="n">
        <x:f>F79*'Inputs'!$F$44</x:f>
        <x:v>893048.1797710636</x:v>
      </x:c>
      <x:c r="H79" s="78" t="n">
        <x:f>U78</x:f>
        <x:v>2507401064.6962748</x:v>
      </x:c>
      <x:c r="I79" s="78" t="n">
        <x:f>V78</x:f>
        <x:v>4.62180167868122</x:v>
      </x:c>
      <x:c r="J79" s="79" t="n">
        <x:f>IF(H79&gt;0,I79/H79,0)</x:f>
        <x:v>1.843263825542431e-9</x:v>
      </x:c>
      <x:c r="K79" s="80" t="n">
        <x:f>(H79*J79+I79)*'Inputs'!$D$44*(1+'Inputs'!$G$44)^(B79/30)</x:f>
        <x:v>1.8487206714724882</x:v>
      </x:c>
      <x:c r="L79" s="80" t="n">
        <x:f>MAX(0,K79*'Inputs'!$E$44)</x:f>
        <x:v>0</x:v>
      </x:c>
      <x:c r="M79" s="80" t="n">
        <x:f>MAX(0,-K79*'Inputs'!$E$44)</x:f>
        <x:v>0.36974413429449765</x:v>
      </x:c>
      <x:c r="N79" s="78" t="n">
        <x:f>H79*(L79*(1-'Inputs'!$B$15))/(I79+L79*(1-'Inputs'!$B$15))</x:f>
        <x:v>0</x:v>
      </x:c>
      <x:c r="O79" s="78" t="n">
        <x:f>H79-N79</x:f>
        <x:v>2507401064.6962748</x:v>
      </x:c>
      <x:c r="P79" s="78" t="n">
        <x:f>I79+L79*(1-'Inputs'!$B$17)</x:f>
        <x:v>4.62180167868122</x:v>
      </x:c>
      <x:c r="Q79" s="78" t="n">
        <x:f>IF(J79&gt;0,M79/J79,0)</x:f>
        <x:v>200592085.175702</x:v>
      </x:c>
      <x:c r="R79" s="78" t="n">
        <x:f>IF(B79='Inputs'!$H$44,'Inputs'!$B$27*'Inputs'!$I$44,0)</x:f>
        <x:v>0</x:v>
      </x:c>
      <x:c r="S79" s="78" t="n">
        <x:f>Q79+G79+R79</x:f>
        <x:v>201485133.35547307</x:v>
      </x:c>
      <x:c r="T79" s="78" t="n">
        <x:f>P79*(S79*(1-'Inputs'!$B$15))/(O79+S79*(1-'Inputs'!$B$15))</x:f>
        <x:v>0.3405821578530666</x:v>
      </x:c>
      <x:c r="U79" s="78" t="n">
        <x:f>O79+S79*(1-'Inputs'!$B$17)</x:f>
        <x:v>2708075392.6861324</x:v>
      </x:c>
      <x:c r="V79" s="78" t="n">
        <x:f>P79-T79</x:f>
        <x:v>4.281219520828153</x:v>
      </x:c>
      <x:c r="W79" s="79" t="n">
        <x:f>IF(U79&gt;0,V79/U79,0)</x:f>
        <x:v>1.580908542055627e-9</x:v>
      </x:c>
      <x:c r="X79" s="80" t="n">
        <x:f>W79*('Inputs'!$B$6-AC79)</x:f>
        <x:v>1.5297037338450057</x:v>
      </x:c>
      <x:c r="Y79" s="80" t="n">
        <x:f>2*V79</x:f>
        <x:v>8.562439041656306</x:v>
      </x:c>
      <x:c r="Z79" s="80" t="n">
        <x:f>K79*'Inputs'!$B$16+(G79+R79)*J79*'Inputs'!$B$16</x:f>
        <x:v>0.011102200769260362</x:v>
      </x:c>
      <x:c r="AA79" s="80" t="n">
        <x:f>K79*(1+'Inputs'!$E$44)/2*'Inputs'!$B$17</x:f>
        <x:v>0.0029758079218873052</x:v>
      </x:c>
      <x:c r="AB79" s="78" t="n">
        <x:f>(IF(J79&gt;0,K79*(1-'Inputs'!$E$44)/2/J79,0)+G79+R79)*'Inputs'!$B$17</x:f>
        <x:v>2425228.586345582</x:v>
      </x:c>
      <x:c r="AC79" s="78" t="n">
        <x:f>AC78+AB79</x:f>
        <x:v>32389481.64834416</x:v>
      </x:c>
      <x:c r="AD79" s="80" t="n">
        <x:f>Z79/(1+'Inputs'!$C$44)</x:f>
        <x:v>0.00888176061540829</x:v>
      </x:c>
      <x:c r="AE79" s="80" t="n">
        <x:f>Z79-AD79</x:f>
        <x:v>0.0022204401538520723</x:v>
      </x:c>
      <x:c r="AF79" s="80" t="n">
        <x:f>D79*W79</x:f>
        <x:v>0.0004657632014995612</x:v>
      </x:c>
      <x:c r="AG79" s="80" t="n">
        <x:f>C79*W79</x:f>
        <x:v>0.0010867808034989604</x:v>
      </x:c>
      <x:c r="AH79" s="80" t="n">
        <x:f>2*'Inputs'!$B$8*'Inputs'!$C$44</x:f>
        <x:v>1250</x:v>
      </x:c>
      <x:c r="AI79" s="81" t="n">
        <x:f>IF(AH79&gt;0,(AE79+AF79)/AH79*365,0)</x:f>
        <x:v>0.0007843713797626769</x:v>
      </x:c>
      <x:c r="AJ79" s="81" t="n">
        <x:f>IF('Inputs'!$B$44&gt;0,AG79/('Inputs'!$B$19*'Inputs'!$B$44)*365,0)</x:f>
        <x:v>0.000039667499327712056</x:v>
      </x:c>
      <x:c r="AK79" s="81" t="n">
        <x:f>W79/MAX($W$4:W79)-1</x:f>
        <x:v>-0.9999976767348157</x:v>
      </x:c>
      <x:c r="AL79" s="83" t="n">
        <x:f>'Inputs'!$B$44</x:f>
        <x:v>1</x:v>
      </x:c>
      <x:c r="AM79" s="83" t="n">
        <x:f>'Inputs'!$C$44</x:f>
        <x:v>0.25</x:v>
      </x:c>
      <x:c r="AN79" s="83" t="n">
        <x:f>'Inputs'!$D$44</x:f>
        <x:v>0.2</x:v>
      </x:c>
      <x:c r="AO79" s="81" t="n">
        <x:f>'Inputs'!$E$44</x:f>
        <x:v>-0.2</x:v>
      </x:c>
    </x:row>
    <x:row r="80">
      <x:c r="A80" s="59" t="str">
        <x:v>No demand</x:v>
      </x:c>
      <x:c r="B80" s="59" t="n">
        <x:v>77</x:v>
      </x:c>
      <x:c r="C80" s="78" t="n">
        <x:f>(('Inputs'!$B$29*(3*77*'Inputs'!$B$12-77^2)/(2*'Inputs'!$B$12^2))-('Inputs'!$B$29*(3*76*'Inputs'!$B$12-76^2)/(2*'Inputs'!$B$12^2)))*'Inputs'!$B$44</x:f>
        <x:v>687115.5470069498</x:v>
      </x:c>
      <x:c r="D80" s="78" t="n">
        <x:f>IF('Inputs'!$C$44&gt;0,('Inputs'!$B$30*(3*77*'Inputs'!$B$12-77^2)/(2*'Inputs'!$B$12^2))-('Inputs'!$B$30*(3*76*'Inputs'!$B$12-76^2)/(2*'Inputs'!$B$12^2)),0)</x:f>
        <x:v>294478.09157440066</x:v>
      </x:c>
      <x:c r="E80" s="78" t="n">
        <x:f>C80+D80</x:f>
        <x:v>981593.6385813504</x:v>
      </x:c>
      <x:c r="F80" s="78" t="n">
        <x:f>'Inputs'!$B$13*E80+(1-'Inputs'!$B$13)/'Inputs'!$B$14*SUM(E25:E80)</x:f>
        <x:v>991811.3154437987</x:v>
      </x:c>
      <x:c r="G80" s="78" t="n">
        <x:f>F80*'Inputs'!$F$44</x:f>
        <x:v>892630.1838994188</x:v>
      </x:c>
      <x:c r="H80" s="78" t="n">
        <x:f>U79</x:f>
        <x:v>2708075392.6861324</x:v>
      </x:c>
      <x:c r="I80" s="78" t="n">
        <x:f>V79</x:f>
        <x:v>4.281219520828153</x:v>
      </x:c>
      <x:c r="J80" s="79" t="n">
        <x:f>IF(H80&gt;0,I80/H80,0)</x:f>
        <x:v>1.580908542055627e-9</x:v>
      </x:c>
      <x:c r="K80" s="80" t="n">
        <x:f>(H80*J80+I80)*'Inputs'!$D$44*(1+'Inputs'!$G$44)^(B80/30)</x:f>
        <x:v>1.7124878083312614</x:v>
      </x:c>
      <x:c r="L80" s="80" t="n">
        <x:f>MAX(0,K80*'Inputs'!$E$44)</x:f>
        <x:v>0</x:v>
      </x:c>
      <x:c r="M80" s="80" t="n">
        <x:f>MAX(0,-K80*'Inputs'!$E$44)</x:f>
        <x:v>0.3424975616662523</x:v>
      </x:c>
      <x:c r="N80" s="78" t="n">
        <x:f>H80*(L80*(1-'Inputs'!$B$15))/(I80+L80*(1-'Inputs'!$B$15))</x:f>
        <x:v>0</x:v>
      </x:c>
      <x:c r="O80" s="78" t="n">
        <x:f>H80-N80</x:f>
        <x:v>2708075392.6861324</x:v>
      </x:c>
      <x:c r="P80" s="78" t="n">
        <x:f>I80+L80*(1-'Inputs'!$B$17)</x:f>
        <x:v>4.281219520828153</x:v>
      </x:c>
      <x:c r="Q80" s="78" t="n">
        <x:f>IF(J80&gt;0,M80/J80,0)</x:f>
        <x:v>216646031.41489062</x:v>
      </x:c>
      <x:c r="R80" s="78" t="n">
        <x:f>IF(B80='Inputs'!$H$44,'Inputs'!$B$27*'Inputs'!$I$44,0)</x:f>
        <x:v>0</x:v>
      </x:c>
      <x:c r="S80" s="78" t="n">
        <x:f>Q80+G80+R80</x:f>
        <x:v>217538661.59879005</x:v>
      </x:c>
      <x:c r="T80" s="78" t="n">
        <x:f>P80*(S80*(1-'Inputs'!$B$15))/(O80+S80*(1-'Inputs'!$B$15))</x:f>
        <x:v>0.3153879939821156</x:v>
      </x:c>
      <x:c r="U80" s="78" t="n">
        <x:f>O80+S80*(1-'Inputs'!$B$17)</x:f>
        <x:v>2924738647.195994</x:v>
      </x:c>
      <x:c r="V80" s="78" t="n">
        <x:f>P80-T80</x:f>
        <x:v>3.9658315268460376</x:v>
      </x:c>
      <x:c r="W80" s="79" t="n">
        <x:f>IF(U80&gt;0,V80/U80,0)</x:f>
        <x:v>1.3559609952322272e-9</x:v>
      </x:c>
      <x:c r="X80" s="80" t="n">
        <x:f>W80*('Inputs'!$B$6-AC80)</x:f>
        <x:v>1.3084908092809047</x:v>
      </x:c>
      <x:c r="Y80" s="80" t="n">
        <x:f>2*V80</x:f>
        <x:v>7.931663053692075</x:v>
      </x:c>
      <x:c r="Z80" s="80" t="n">
        <x:f>K80*'Inputs'!$B$16+(G80+R80)*J80*'Inputs'!$B$16</x:f>
        <x:v>0.010283393850083308</x:v>
      </x:c>
      <x:c r="AA80" s="80" t="n">
        <x:f>K80*(1+'Inputs'!$E$44)/2*'Inputs'!$B$17</x:f>
        <x:v>0.0027565196109959945</x:v>
      </x:c>
      <x:c r="AB80" s="78" t="n">
        <x:f>(IF(J80&gt;0,K80*(1-'Inputs'!$E$44)/2/J80,0)+G80+R80)*'Inputs'!$B$17</x:f>
        <x:v>2619037.120436906</x:v>
      </x:c>
      <x:c r="AC80" s="78" t="n">
        <x:f>AC79+AB80</x:f>
        <x:v>35008518.768781066</x:v>
      </x:c>
      <x:c r="AD80" s="80" t="n">
        <x:f>Z80/(1+'Inputs'!$C$44)</x:f>
        <x:v>0.008226715080066647</x:v>
      </x:c>
      <x:c r="AE80" s="80" t="n">
        <x:f>Z80-AD80</x:f>
        <x:v>0.002056678770016661</x:v>
      </x:c>
      <x:c r="AF80" s="80" t="n">
        <x:f>D80*W80</x:f>
        <x:v>0.00039930080612531125</x:v>
      </x:c>
      <x:c r="AG80" s="80" t="n">
        <x:f>C80*W80</x:f>
        <x:v>0.0009317018809590798</x:v>
      </x:c>
      <x:c r="AH80" s="80" t="n">
        <x:f>2*'Inputs'!$B$8*'Inputs'!$C$44</x:f>
        <x:v>1250</x:v>
      </x:c>
      <x:c r="AI80" s="81" t="n">
        <x:f>IF(AH80&gt;0,(AE80+AF80)/AH80*365,0)</x:f>
        <x:v>0.0007171460362334559</x:v>
      </x:c>
      <x:c r="AJ80" s="81" t="n">
        <x:f>IF('Inputs'!$B$44&gt;0,AG80/('Inputs'!$B$19*'Inputs'!$B$44)*365,0)</x:f>
        <x:v>0.000034007118655006415</x:v>
      </x:c>
      <x:c r="AK80" s="81" t="n">
        <x:f>W80/MAX($W$4:W80)-1</x:f>
        <x:v>-0.9999980073123221</x:v>
      </x:c>
      <x:c r="AL80" s="83" t="n">
        <x:f>'Inputs'!$B$44</x:f>
        <x:v>1</x:v>
      </x:c>
      <x:c r="AM80" s="83" t="n">
        <x:f>'Inputs'!$C$44</x:f>
        <x:v>0.25</x:v>
      </x:c>
      <x:c r="AN80" s="83" t="n">
        <x:f>'Inputs'!$D$44</x:f>
        <x:v>0.2</x:v>
      </x:c>
      <x:c r="AO80" s="81" t="n">
        <x:f>'Inputs'!$E$44</x:f>
        <x:v>-0.2</x:v>
      </x:c>
    </x:row>
    <x:row r="81">
      <x:c r="A81" s="59" t="str">
        <x:v>No demand</x:v>
      </x:c>
      <x:c r="B81" s="59" t="n">
        <x:v>78</x:v>
      </x:c>
      <x:c r="C81" s="78" t="n">
        <x:f>(('Inputs'!$B$29*(3*78*'Inputs'!$B$12-78^2)/(2*'Inputs'!$B$12^2))-('Inputs'!$B$29*(3*77*'Inputs'!$B$12-77^2)/(2*'Inputs'!$B$12^2)))*'Inputs'!$B$44</x:f>
        <x:v>686790.4391067699</x:v>
      </x:c>
      <x:c r="D81" s="78" t="n">
        <x:f>IF('Inputs'!$C$44&gt;0,('Inputs'!$B$30*(3*78*'Inputs'!$B$12-78^2)/(2*'Inputs'!$B$12^2))-('Inputs'!$B$30*(3*77*'Inputs'!$B$12-77^2)/(2*'Inputs'!$B$12^2)),0)</x:f>
        <x:v>294338.7596171908</x:v>
      </x:c>
      <x:c r="E81" s="78" t="n">
        <x:f>C81+D81</x:f>
        <x:v>981129.1987239607</x:v>
      </x:c>
      <x:c r="F81" s="78" t="n">
        <x:f>'Inputs'!$B$13*E81+(1-'Inputs'!$B$13)/'Inputs'!$B$14*SUM(E26:E81)</x:f>
        <x:v>991346.8755864135</x:v>
      </x:c>
      <x:c r="G81" s="78" t="n">
        <x:f>F81*'Inputs'!$F$44</x:f>
        <x:v>892212.1880277722</x:v>
      </x:c>
      <x:c r="H81" s="78" t="n">
        <x:f>U80</x:f>
        <x:v>2924738647.195994</x:v>
      </x:c>
      <x:c r="I81" s="78" t="n">
        <x:f>V80</x:f>
        <x:v>3.9658315268460376</x:v>
      </x:c>
      <x:c r="J81" s="79" t="n">
        <x:f>IF(H81&gt;0,I81/H81,0)</x:f>
        <x:v>1.3559609952322272e-9</x:v>
      </x:c>
      <x:c r="K81" s="80" t="n">
        <x:f>(H81*J81+I81)*'Inputs'!$D$44*(1+'Inputs'!$G$44)^(B81/30)</x:f>
        <x:v>1.586332610738415</x:v>
      </x:c>
      <x:c r="L81" s="80" t="n">
        <x:f>MAX(0,K81*'Inputs'!$E$44)</x:f>
        <x:v>0</x:v>
      </x:c>
      <x:c r="M81" s="80" t="n">
        <x:f>MAX(0,-K81*'Inputs'!$E$44)</x:f>
        <x:v>0.317266522147683</x:v>
      </x:c>
      <x:c r="N81" s="78" t="n">
        <x:f>H81*(L81*(1-'Inputs'!$B$15))/(I81+L81*(1-'Inputs'!$B$15))</x:f>
        <x:v>0</x:v>
      </x:c>
      <x:c r="O81" s="78" t="n">
        <x:f>H81-N81</x:f>
        <x:v>2924738647.195994</x:v>
      </x:c>
      <x:c r="P81" s="78" t="n">
        <x:f>I81+L81*(1-'Inputs'!$B$17)</x:f>
        <x:v>3.9658315268460376</x:v>
      </x:c>
      <x:c r="Q81" s="78" t="n">
        <x:f>IF(J81&gt;0,M81/J81,0)</x:f>
        <x:v>233979091.77567953</x:v>
      </x:c>
      <x:c r="R81" s="78" t="n">
        <x:f>IF(B81='Inputs'!$H$44,'Inputs'!$B$27*'Inputs'!$I$44,0)</x:f>
        <x:v>0</x:v>
      </x:c>
      <x:c r="S81" s="78" t="n">
        <x:f>Q81+G81+R81</x:f>
        <x:v>234871303.9637073</x:v>
      </x:c>
      <x:c r="T81" s="78" t="n">
        <x:f>P81*(S81*(1-'Inputs'!$B$15))/(O81+S81*(1-'Inputs'!$B$15))</x:f>
        <x:v>0.29207130872061676</x:v>
      </x:c>
      <x:c r="U81" s="78" t="n">
        <x:f>O81+S81*(1-'Inputs'!$B$17)</x:f>
        <x:v>3158664795.00693</x:v>
      </x:c>
      <x:c r="V81" s="78" t="n">
        <x:f>P81-T81</x:f>
        <x:v>3.673760218125421</x:v>
      </x:c>
      <x:c r="W81" s="79" t="n">
        <x:f>IF(U81&gt;0,V81/U81,0)</x:f>
        <x:v>1.163073784826022e-9</x:v>
      </x:c>
      <x:c r="X81" s="80" t="n">
        <x:f>W81*('Inputs'!$B$6-AC81)</x:f>
        <x:v>1.1190667871484248</x:v>
      </x:c>
      <x:c r="Y81" s="80" t="n">
        <x:f>2*V81</x:f>
        <x:v>7.347520436250842</x:v>
      </x:c>
      <x:c r="Z81" s="80" t="n">
        <x:f>K81*'Inputs'!$B$16+(G81+R81)*J81*'Inputs'!$B$16</x:f>
        <x:v>0.00952525449398911</x:v>
      </x:c>
      <x:c r="AA81" s="80" t="n">
        <x:f>K81*(1+'Inputs'!$E$44)/2*'Inputs'!$B$17</x:f>
        <x:v>0.002553452894548757</x:v>
      </x:c>
      <x:c r="AB81" s="78" t="n">
        <x:f>(IF(J81&gt;0,K81*(1-'Inputs'!$E$44)/2/J81,0)+G81+R81)*'Inputs'!$B$17</x:f>
        <x:v>2828287.676116967</x:v>
      </x:c>
      <x:c r="AC81" s="78" t="n">
        <x:f>AC80+AB81</x:f>
        <x:v>37836806.44489803</x:v>
      </x:c>
      <x:c r="AD81" s="80" t="n">
        <x:f>Z81/(1+'Inputs'!$C$44)</x:f>
        <x:v>0.0076202035951912885</x:v>
      </x:c>
      <x:c r="AE81" s="80" t="n">
        <x:f>Z81-AD81</x:f>
        <x:v>0.001905050898797822</x:v>
      </x:c>
      <x:c r="AF81" s="80" t="n">
        <x:f>D81*W81</x:f>
        <x:v>0.00034233769516896277</x:v>
      </x:c>
      <x:c r="AG81" s="80" t="n">
        <x:f>C81*W81</x:f>
        <x:v>0.0007987879553942364</x:v>
      </x:c>
      <x:c r="AH81" s="80" t="n">
        <x:f>2*'Inputs'!$B$8*'Inputs'!$C$44</x:f>
        <x:v>1250</x:v>
      </x:c>
      <x:c r="AI81" s="81" t="n">
        <x:f>IF(AH81&gt;0,(AE81+AF81)/AH81*365,0)</x:f>
        <x:v>0.0006562374694383011</x:v>
      </x:c>
      <x:c r="AJ81" s="81" t="n">
        <x:f>IF('Inputs'!$B$44&gt;0,AG81/('Inputs'!$B$19*'Inputs'!$B$44)*365,0)</x:f>
        <x:v>0.000029155760371889626</x:v>
      </x:c>
      <x:c r="AK81" s="81" t="n">
        <x:f>W81/MAX($W$4:W81)-1</x:f>
        <x:v>-0.999998290774729</x:v>
      </x:c>
      <x:c r="AL81" s="83" t="n">
        <x:f>'Inputs'!$B$44</x:f>
        <x:v>1</x:v>
      </x:c>
      <x:c r="AM81" s="83" t="n">
        <x:f>'Inputs'!$C$44</x:f>
        <x:v>0.25</x:v>
      </x:c>
      <x:c r="AN81" s="83" t="n">
        <x:f>'Inputs'!$D$44</x:f>
        <x:v>0.2</x:v>
      </x:c>
      <x:c r="AO81" s="81" t="n">
        <x:f>'Inputs'!$E$44</x:f>
        <x:v>-0.2</x:v>
      </x:c>
    </x:row>
    <x:row r="82">
      <x:c r="A82" s="59" t="str">
        <x:v>No demand</x:v>
      </x:c>
      <x:c r="B82" s="59" t="n">
        <x:v>79</x:v>
      </x:c>
      <x:c r="C82" s="78" t="n">
        <x:f>(('Inputs'!$B$29*(3*79*'Inputs'!$B$12-79^2)/(2*'Inputs'!$B$12^2))-('Inputs'!$B$29*(3*78*'Inputs'!$B$12-78^2)/(2*'Inputs'!$B$12^2)))*'Inputs'!$B$44</x:f>
        <x:v>686465.3312066048</x:v>
      </x:c>
      <x:c r="D82" s="78" t="n">
        <x:f>IF('Inputs'!$C$44&gt;0,('Inputs'!$B$30*(3*79*'Inputs'!$B$12-79^2)/(2*'Inputs'!$B$12^2))-('Inputs'!$B$30*(3*78*'Inputs'!$B$12-78^2)/(2*'Inputs'!$B$12^2)),0)</x:f>
        <x:v>294199.4276599735</x:v>
      </x:c>
      <x:c r="E82" s="78" t="n">
        <x:f>C82+D82</x:f>
        <x:v>980664.7588665783</x:v>
      </x:c>
      <x:c r="F82" s="78" t="n">
        <x:f>'Inputs'!$B$13*E82+(1-'Inputs'!$B$13)/'Inputs'!$B$14*SUM(E27:E82)</x:f>
        <x:v>990882.4357290296</x:v>
      </x:c>
      <x:c r="G82" s="78" t="n">
        <x:f>F82*'Inputs'!$F$44</x:f>
        <x:v>891794.1921561266</x:v>
      </x:c>
      <x:c r="H82" s="78" t="n">
        <x:f>U81</x:f>
        <x:v>3158664795.00693</x:v>
      </x:c>
      <x:c r="I82" s="78" t="n">
        <x:f>V81</x:f>
        <x:v>3.673760218125421</x:v>
      </x:c>
      <x:c r="J82" s="79" t="n">
        <x:f>IF(H82&gt;0,I82/H82,0)</x:f>
        <x:v>1.163073784826022e-9</x:v>
      </x:c>
      <x:c r="K82" s="80" t="n">
        <x:f>(H82*J82+I82)*'Inputs'!$D$44*(1+'Inputs'!$G$44)^(B82/30)</x:f>
        <x:v>1.4695040872501686</x:v>
      </x:c>
      <x:c r="L82" s="80" t="n">
        <x:f>MAX(0,K82*'Inputs'!$E$44)</x:f>
        <x:v>0</x:v>
      </x:c>
      <x:c r="M82" s="80" t="n">
        <x:f>MAX(0,-K82*'Inputs'!$E$44)</x:f>
        <x:v>0.2939008174500337</x:v>
      </x:c>
      <x:c r="N82" s="78" t="n">
        <x:f>H82*(L82*(1-'Inputs'!$B$15))/(I82+L82*(1-'Inputs'!$B$15))</x:f>
        <x:v>0</x:v>
      </x:c>
      <x:c r="O82" s="78" t="n">
        <x:f>H82-N82</x:f>
        <x:v>3158664795.00693</x:v>
      </x:c>
      <x:c r="P82" s="78" t="n">
        <x:f>I82+L82*(1-'Inputs'!$B$17)</x:f>
        <x:v>3.673760218125421</x:v>
      </x:c>
      <x:c r="Q82" s="78" t="n">
        <x:f>IF(J82&gt;0,M82/J82,0)</x:f>
        <x:v>252693183.60055444</x:v>
      </x:c>
      <x:c r="R82" s="78" t="n">
        <x:f>IF(B82='Inputs'!$H$44,'Inputs'!$B$27*'Inputs'!$I$44,0)</x:f>
        <x:v>0</x:v>
      </x:c>
      <x:c r="S82" s="78" t="n">
        <x:f>Q82+G82+R82</x:f>
        <x:v>253584977.79271057</x:v>
      </x:c>
      <x:c r="T82" s="78" t="n">
        <x:f>P82*(S82*(1-'Inputs'!$B$15))/(O82+S82*(1-'Inputs'!$B$15))</x:f>
        <x:v>0.2704902288337562</x:v>
      </x:c>
      <x:c r="U82" s="78" t="n">
        <x:f>O82+S82*(1-'Inputs'!$B$17)</x:f>
        <x:v>3411229310.1123457</x:v>
      </x:c>
      <x:c r="V82" s="78" t="n">
        <x:f>P82-T82</x:f>
        <x:v>3.403269989291665</x:v>
      </x:c>
      <x:c r="W82" s="79" t="n">
        <x:f>IF(U82&gt;0,V82/U82,0)</x:f>
        <x:v>9.976667294699053e-10</x:v>
      </x:c>
      <x:c r="X82" s="80" t="n">
        <x:f>W82*('Inputs'!$B$6-AC82)</x:f>
        <x:v>0.9568711221862878</x:v>
      </x:c>
      <x:c r="Y82" s="80" t="n">
        <x:f>2*V82</x:f>
        <x:v>6.80653997858333</x:v>
      </x:c>
      <x:c r="Z82" s="80" t="n">
        <x:f>K82*'Inputs'!$B$16+(G82+R82)*J82*'Inputs'!$B$16</x:f>
        <x:v>0.008823247858179152</x:v>
      </x:c>
      <x:c r="AA82" s="80" t="n">
        <x:f>K82*(1+'Inputs'!$E$44)/2*'Inputs'!$B$17</x:f>
        <x:v>0.002365398933199467</x:v>
      </x:c>
      <x:c r="AB82" s="78" t="n">
        <x:f>(IF(J82&gt;0,K82*(1-'Inputs'!$E$44)/2/J82,0)+G82+R82)*'Inputs'!$B$17</x:f>
        <x:v>3054210.6438383074</x:v>
      </x:c>
      <x:c r="AC82" s="78" t="n">
        <x:f>AC81+AB82</x:f>
        <x:v>40891017.08873634</x:v>
      </x:c>
      <x:c r="AD82" s="80" t="n">
        <x:f>Z82/(1+'Inputs'!$C$44)</x:f>
        <x:v>0.007058598286543321</x:v>
      </x:c>
      <x:c r="AE82" s="80" t="n">
        <x:f>Z82-AD82</x:f>
        <x:v>0.0017646495716358308</x:v>
      </x:c>
      <x:c r="AF82" s="80" t="n">
        <x:f>D82*W82</x:f>
        <x:v>0.00029351298080544376</x:v>
      </x:c>
      <x:c r="AG82" s="80" t="n">
        <x:f>C82*W82</x:f>
        <x:v>0.0006848636218793687</x:v>
      </x:c>
      <x:c r="AH82" s="80" t="n">
        <x:f>2*'Inputs'!$B$8*'Inputs'!$C$44</x:f>
        <x:v>1250</x:v>
      </x:c>
      <x:c r="AI82" s="81" t="n">
        <x:f>IF(AH82&gt;0,(AE82+AF82)/AH82*365,0)</x:f>
        <x:v>0.0006009834653128522</x:v>
      </x:c>
      <x:c r="AJ82" s="81" t="n">
        <x:f>IF('Inputs'!$B$44&gt;0,AG82/('Inputs'!$B$19*'Inputs'!$B$44)*365,0)</x:f>
        <x:v>0.00002499752219859696</x:v>
      </x:c>
      <x:c r="AK82" s="81" t="n">
        <x:f>W82/MAX($W$4:W82)-1</x:f>
        <x:v>-0.9999985338529608</x:v>
      </x:c>
      <x:c r="AL82" s="83" t="n">
        <x:f>'Inputs'!$B$44</x:f>
        <x:v>1</x:v>
      </x:c>
      <x:c r="AM82" s="83" t="n">
        <x:f>'Inputs'!$C$44</x:f>
        <x:v>0.25</x:v>
      </x:c>
      <x:c r="AN82" s="83" t="n">
        <x:f>'Inputs'!$D$44</x:f>
        <x:v>0.2</x:v>
      </x:c>
      <x:c r="AO82" s="81" t="n">
        <x:f>'Inputs'!$E$44</x:f>
        <x:v>-0.2</x:v>
      </x:c>
    </x:row>
    <x:row r="83">
      <x:c r="A83" s="59" t="str">
        <x:v>No demand</x:v>
      </x:c>
      <x:c r="B83" s="59" t="n">
        <x:v>80</x:v>
      </x:c>
      <x:c r="C83" s="78" t="n">
        <x:f>(('Inputs'!$B$29*(3*80*'Inputs'!$B$12-80^2)/(2*'Inputs'!$B$12^2))-('Inputs'!$B$29*(3*79*'Inputs'!$B$12-79^2)/(2*'Inputs'!$B$12^2)))*'Inputs'!$B$44</x:f>
        <x:v>686140.2233064398</x:v>
      </x:c>
      <x:c r="D83" s="78" t="n">
        <x:f>IF('Inputs'!$C$44&gt;0,('Inputs'!$B$30*(3*80*'Inputs'!$B$12-80^2)/(2*'Inputs'!$B$12^2))-('Inputs'!$B$30*(3*79*'Inputs'!$B$12-79^2)/(2*'Inputs'!$B$12^2)),0)</x:f>
        <x:v>294060.0957027599</x:v>
      </x:c>
      <x:c r="E83" s="78" t="n">
        <x:f>C83+D83</x:f>
        <x:v>980200.3190091997</x:v>
      </x:c>
      <x:c r="F83" s="78" t="n">
        <x:f>'Inputs'!$B$13*E83+(1-'Inputs'!$B$13)/'Inputs'!$B$14*SUM(E28:E83)</x:f>
        <x:v>990417.9958716466</x:v>
      </x:c>
      <x:c r="G83" s="78" t="n">
        <x:f>F83*'Inputs'!$F$44</x:f>
        <x:v>891376.1962844819</x:v>
      </x:c>
      <x:c r="H83" s="78" t="n">
        <x:f>U82</x:f>
        <x:v>3411229310.1123457</x:v>
      </x:c>
      <x:c r="I83" s="78" t="n">
        <x:f>V82</x:f>
        <x:v>3.403269989291665</x:v>
      </x:c>
      <x:c r="J83" s="79" t="n">
        <x:f>IF(H83&gt;0,I83/H83,0)</x:f>
        <x:v>9.976667294699053e-10</x:v>
      </x:c>
      <x:c r="K83" s="80" t="n">
        <x:f>(H83*J83+I83)*'Inputs'!$D$44*(1+'Inputs'!$G$44)^(B83/30)</x:f>
        <x:v>1.3613079957166663</x:v>
      </x:c>
      <x:c r="L83" s="80" t="n">
        <x:f>MAX(0,K83*'Inputs'!$E$44)</x:f>
        <x:v>0</x:v>
      </x:c>
      <x:c r="M83" s="80" t="n">
        <x:f>MAX(0,-K83*'Inputs'!$E$44)</x:f>
        <x:v>0.27226159914333325</x:v>
      </x:c>
      <x:c r="N83" s="78" t="n">
        <x:f>H83*(L83*(1-'Inputs'!$B$15))/(I83+L83*(1-'Inputs'!$B$15))</x:f>
        <x:v>0</x:v>
      </x:c>
      <x:c r="O83" s="78" t="n">
        <x:f>H83-N83</x:f>
        <x:v>3411229310.1123457</x:v>
      </x:c>
      <x:c r="P83" s="78" t="n">
        <x:f>I83+L83*(1-'Inputs'!$B$17)</x:f>
        <x:v>3.403269989291665</x:v>
      </x:c>
      <x:c r="Q83" s="78" t="n">
        <x:f>IF(J83&gt;0,M83/J83,0)</x:f>
        <x:v>272898344.8089877</x:v>
      </x:c>
      <x:c r="R83" s="78" t="n">
        <x:f>IF(B83='Inputs'!$H$44,'Inputs'!$B$27*'Inputs'!$I$44,0)</x:f>
        <x:v>0</x:v>
      </x:c>
      <x:c r="S83" s="78" t="n">
        <x:f>Q83+G83+R83</x:f>
        <x:v>273789721.00527215</x:v>
      </x:c>
      <x:c r="T83" s="78" t="n">
        <x:f>P83*(S83*(1-'Inputs'!$B$15))/(O83+S83*(1-'Inputs'!$B$15))</x:f>
        <x:v>0.25051388091222226</x:v>
      </x:c>
      <x:c r="U83" s="78" t="n">
        <x:f>O83+S83*(1-'Inputs'!$B$17)</x:f>
        <x:v>3683917261.6165905</x:v>
      </x:c>
      <x:c r="V83" s="78" t="n">
        <x:f>P83-T83</x:f>
        <x:v>3.1527561083794424</x:v>
      </x:c>
      <x:c r="W83" s="79" t="n">
        <x:f>IF(U83&gt;0,V83/U83,0)</x:f>
        <x:v>8.558162098884756e-10</x:v>
      </x:c>
      <x:c r="X83" s="80" t="n">
        <x:f>W83*('Inputs'!$B$6-AC83)</x:f>
        <x:v>0.8179984177011016</x:v>
      </x:c>
      <x:c r="Y83" s="80" t="n">
        <x:f>2*V83</x:f>
        <x:v>6.305512216758885</x:v>
      </x:c>
      <x:c r="Z83" s="80" t="n">
        <x:f>K83*'Inputs'!$B$16+(G83+R83)*J83*'Inputs'!$B$16</x:f>
        <x:v>0.008173183752546845</x:v>
      </x:c>
      <x:c r="AA83" s="80" t="n">
        <x:f>K83*(1+'Inputs'!$E$44)/2*'Inputs'!$B$17</x:f>
        <x:v>0.00219124023455399</x:v>
      </x:c>
      <x:c r="AB83" s="78" t="n">
        <x:f>(IF(J83&gt;0,K83*(1-'Inputs'!$E$44)/2/J83,0)+G83+R83)*'Inputs'!$B$17</x:f>
        <x:v>3298134.4491881193</x:v>
      </x:c>
      <x:c r="AC83" s="78" t="n">
        <x:f>AC82+AB83</x:f>
        <x:v>44189151.53792446</x:v>
      </x:c>
      <x:c r="AD83" s="80" t="n">
        <x:f>Z83/(1+'Inputs'!$C$44)</x:f>
        <x:v>0.006538547002037476</x:v>
      </x:c>
      <x:c r="AE83" s="80" t="n">
        <x:f>Z83-AD83</x:f>
        <x:v>0.0016346367505093691</x:v>
      </x:c>
      <x:c r="AF83" s="80" t="n">
        <x:f>D83*W83</x:f>
        <x:v>0.00025166139658377843</x:v>
      </x:c>
      <x:c r="AG83" s="80" t="n">
        <x:f>C83*W83</x:f>
        <x:v>0.0005872099253621496</x:v>
      </x:c>
      <x:c r="AH83" s="80" t="n">
        <x:f>2*'Inputs'!$B$8*'Inputs'!$C$44</x:f>
        <x:v>1250</x:v>
      </x:c>
      <x:c r="AI83" s="81" t="n">
        <x:f>IF(AH83&gt;0,(AE83+AF83)/AH83*365,0)</x:f>
        <x:v>0.0005507990589511991</x:v>
      </x:c>
      <x:c r="AJ83" s="81" t="n">
        <x:f>IF('Inputs'!$B$44&gt;0,AG83/('Inputs'!$B$19*'Inputs'!$B$44)*365,0)</x:f>
        <x:v>0.000021433162275718463</x:v>
      </x:c>
      <x:c r="AK83" s="81" t="n">
        <x:f>W83/MAX($W$4:W83)-1</x:f>
        <x:v>-0.999998742313074</x:v>
      </x:c>
      <x:c r="AL83" s="83" t="n">
        <x:f>'Inputs'!$B$44</x:f>
        <x:v>1</x:v>
      </x:c>
      <x:c r="AM83" s="83" t="n">
        <x:f>'Inputs'!$C$44</x:f>
        <x:v>0.25</x:v>
      </x:c>
      <x:c r="AN83" s="83" t="n">
        <x:f>'Inputs'!$D$44</x:f>
        <x:v>0.2</x:v>
      </x:c>
      <x:c r="AO83" s="81" t="n">
        <x:f>'Inputs'!$E$44</x:f>
        <x:v>-0.2</x:v>
      </x:c>
    </x:row>
    <x:row r="84">
      <x:c r="A84" s="59" t="str">
        <x:v>No demand</x:v>
      </x:c>
      <x:c r="B84" s="59" t="n">
        <x:v>81</x:v>
      </x:c>
      <x:c r="C84" s="78" t="n">
        <x:f>(('Inputs'!$B$29*(3*81*'Inputs'!$B$12-81^2)/(2*'Inputs'!$B$12^2))-('Inputs'!$B$29*(3*80*'Inputs'!$B$12-80^2)/(2*'Inputs'!$B$12^2)))*'Inputs'!$B$44</x:f>
        <x:v>685815.1154062673</x:v>
      </x:c>
      <x:c r="D84" s="78" t="n">
        <x:f>IF('Inputs'!$C$44&gt;0,('Inputs'!$B$30*(3*81*'Inputs'!$B$12-81^2)/(2*'Inputs'!$B$12^2))-('Inputs'!$B$30*(3*80*'Inputs'!$B$12-80^2)/(2*'Inputs'!$B$12^2)),0)</x:f>
        <x:v>293920.7637455426</x:v>
      </x:c>
      <x:c r="E84" s="78" t="n">
        <x:f>C84+D84</x:f>
        <x:v>979735.87915181</x:v>
      </x:c>
      <x:c r="F84" s="78" t="n">
        <x:f>'Inputs'!$B$13*E84+(1-'Inputs'!$B$13)/'Inputs'!$B$14*SUM(E29:E84)</x:f>
        <x:v>989953.5560142614</x:v>
      </x:c>
      <x:c r="G84" s="78" t="n">
        <x:f>F84*'Inputs'!$F$44</x:f>
        <x:v>890958.2004128353</x:v>
      </x:c>
      <x:c r="H84" s="78" t="n">
        <x:f>U83</x:f>
        <x:v>3683917261.6165905</x:v>
      </x:c>
      <x:c r="I84" s="78" t="n">
        <x:f>V83</x:f>
        <x:v>3.1527561083794424</x:v>
      </x:c>
      <x:c r="J84" s="79" t="n">
        <x:f>IF(H84&gt;0,I84/H84,0)</x:f>
        <x:v>8.558162098884756e-10</x:v>
      </x:c>
      <x:c r="K84" s="80" t="n">
        <x:f>(H84*J84+I84)*'Inputs'!$D$44*(1+'Inputs'!$G$44)^(B84/30)</x:f>
        <x:v>1.261102443351777</x:v>
      </x:c>
      <x:c r="L84" s="80" t="n">
        <x:f>MAX(0,K84*'Inputs'!$E$44)</x:f>
        <x:v>0</x:v>
      </x:c>
      <x:c r="M84" s="80" t="n">
        <x:f>MAX(0,-K84*'Inputs'!$E$44)</x:f>
        <x:v>0.2522204886703554</x:v>
      </x:c>
      <x:c r="N84" s="78" t="n">
        <x:f>H84*(L84*(1-'Inputs'!$B$15))/(I84+L84*(1-'Inputs'!$B$15))</x:f>
        <x:v>0</x:v>
      </x:c>
      <x:c r="O84" s="78" t="n">
        <x:f>H84-N84</x:f>
        <x:v>3683917261.6165905</x:v>
      </x:c>
      <x:c r="P84" s="78" t="n">
        <x:f>I84+L84*(1-'Inputs'!$B$17)</x:f>
        <x:v>3.1527561083794424</x:v>
      </x:c>
      <x:c r="Q84" s="78" t="n">
        <x:f>IF(J84&gt;0,M84/J84,0)</x:f>
        <x:v>294713380.92932725</x:v>
      </x:c>
      <x:c r="R84" s="78" t="n">
        <x:f>IF(B84='Inputs'!$H$44,'Inputs'!$B$27*'Inputs'!$I$44,0)</x:f>
        <x:v>0</x:v>
      </x:c>
      <x:c r="S84" s="78" t="n">
        <x:f>Q84+G84+R84</x:f>
        <x:v>295604339.12974006</x:v>
      </x:c>
      <x:c r="T84" s="78" t="n">
        <x:f>P84*(S84*(1-'Inputs'!$B$15))/(O84+S84*(1-'Inputs'!$B$15))</x:f>
        <x:v>0.23202149912747771</x:v>
      </x:c>
      <x:c r="U84" s="78" t="n">
        <x:f>O84+S84*(1-'Inputs'!$B$17)</x:f>
        <x:v>3978332046.0617037</x:v>
      </x:c>
      <x:c r="V84" s="78" t="n">
        <x:f>P84-T84</x:f>
        <x:v>2.920734609251965</x:v>
      </x:c>
      <x:c r="W84" s="79" t="n">
        <x:f>IF(U84&gt;0,V84/U84,0)</x:f>
        <x:v>7.34160591784516e-10</x:v>
      </x:c>
      <x:c r="X84" s="80" t="n">
        <x:f>W84*('Inputs'!$B$6-AC84)</x:f>
        <x:v>0.6991039500651253</x:v>
      </x:c>
      <x:c r="Y84" s="80" t="n">
        <x:f>2*V84</x:f>
        <x:v>5.84146921850393</x:v>
      </x:c>
      <x:c r="Z84" s="80" t="n">
        <x:f>K84*'Inputs'!$B$16+(G84+R84)*J84*'Inputs'!$B$16</x:f>
        <x:v>0.007571189638932141</x:v>
      </x:c>
      <x:c r="AA84" s="80" t="n">
        <x:f>K84*(1+'Inputs'!$E$44)/2*'Inputs'!$B$17</x:f>
        <x:v>0.002029943570787569</x:v>
      </x:c>
      <x:c r="AB84" s="78" t="n">
        <x:f>(IF(J84&gt;0,K84*(1-'Inputs'!$E$44)/2/J84,0)+G84+R84)*'Inputs'!$B$17</x:f>
        <x:v>3561493.364138409</x:v>
      </x:c>
      <x:c r="AC84" s="78" t="n">
        <x:f>AC83+AB84</x:f>
        <x:v>47750644.90206287</x:v>
      </x:c>
      <x:c r="AD84" s="80" t="n">
        <x:f>Z84/(1+'Inputs'!$C$44)</x:f>
        <x:v>0.006056951711145712</x:v>
      </x:c>
      <x:c r="AE84" s="80" t="n">
        <x:f>Z84-AD84</x:f>
        <x:v>0.0015142379277864283</x:v>
      </x:c>
      <x:c r="AF84" s="80" t="n">
        <x:f>D84*W84</x:f>
        <x:v>0.00021578504184918449</x:v>
      </x:c>
      <x:c r="AG84" s="80" t="n">
        <x:f>C84*W84</x:f>
        <x:v>0.0005034984309814314</x:v>
      </x:c>
      <x:c r="AH84" s="80" t="n">
        <x:f>2*'Inputs'!$B$8*'Inputs'!$C$44</x:f>
        <x:v>1250</x:v>
      </x:c>
      <x:c r="AI84" s="81" t="n">
        <x:f>IF(AH84&gt;0,(AE84+AF84)/AH84*365,0)</x:f>
        <x:v>0.0005051667071335989</x:v>
      </x:c>
      <x:c r="AJ84" s="81" t="n">
        <x:f>IF('Inputs'!$B$44&gt;0,AG84/('Inputs'!$B$19*'Inputs'!$B$44)*365,0)</x:f>
        <x:v>0.000018377692730822246</x:v>
      </x:c>
      <x:c r="AK84" s="81" t="n">
        <x:f>W84/MAX($W$4:W84)-1</x:f>
        <x:v>-0.9999989210952454</x:v>
      </x:c>
      <x:c r="AL84" s="83" t="n">
        <x:f>'Inputs'!$B$44</x:f>
        <x:v>1</x:v>
      </x:c>
      <x:c r="AM84" s="83" t="n">
        <x:f>'Inputs'!$C$44</x:f>
        <x:v>0.25</x:v>
      </x:c>
      <x:c r="AN84" s="83" t="n">
        <x:f>'Inputs'!$D$44</x:f>
        <x:v>0.2</x:v>
      </x:c>
      <x:c r="AO84" s="81" t="n">
        <x:f>'Inputs'!$E$44</x:f>
        <x:v>-0.2</x:v>
      </x:c>
    </x:row>
    <x:row r="85">
      <x:c r="A85" s="59" t="str">
        <x:v>No demand</x:v>
      </x:c>
      <x:c r="B85" s="59" t="n">
        <x:v>82</x:v>
      </x:c>
      <x:c r="C85" s="78" t="n">
        <x:f>(('Inputs'!$B$29*(3*82*'Inputs'!$B$12-82^2)/(2*'Inputs'!$B$12^2))-('Inputs'!$B$29*(3*81*'Inputs'!$B$12-81^2)/(2*'Inputs'!$B$12^2)))*'Inputs'!$B$44</x:f>
        <x:v>685490.0075060949</x:v>
      </x:c>
      <x:c r="D85" s="78" t="n">
        <x:f>IF('Inputs'!$C$44&gt;0,('Inputs'!$B$30*(3*82*'Inputs'!$B$12-82^2)/(2*'Inputs'!$B$12^2))-('Inputs'!$B$30*(3*81*'Inputs'!$B$12-81^2)/(2*'Inputs'!$B$12^2)),0)</x:f>
        <x:v>293781.43178832904</x:v>
      </x:c>
      <x:c r="E85" s="78" t="n">
        <x:f>C85+D85</x:f>
        <x:v>979271.4392944239</x:v>
      </x:c>
      <x:c r="F85" s="78" t="n">
        <x:f>'Inputs'!$B$13*E85+(1-'Inputs'!$B$13)/'Inputs'!$B$14*SUM(E30:E85)</x:f>
        <x:v>989489.1161568769</x:v>
      </x:c>
      <x:c r="G85" s="78" t="n">
        <x:f>F85*'Inputs'!$F$44</x:f>
        <x:v>890540.2045411892</x:v>
      </x:c>
      <x:c r="H85" s="78" t="n">
        <x:f>U84</x:f>
        <x:v>3978332046.0617037</x:v>
      </x:c>
      <x:c r="I85" s="78" t="n">
        <x:f>V84</x:f>
        <x:v>2.920734609251965</x:v>
      </x:c>
      <x:c r="J85" s="79" t="n">
        <x:f>IF(H85&gt;0,I85/H85,0)</x:f>
        <x:v>7.34160591784516e-10</x:v>
      </x:c>
      <x:c r="K85" s="80" t="n">
        <x:f>(H85*J85+I85)*'Inputs'!$D$44*(1+'Inputs'!$G$44)^(B85/30)</x:f>
        <x:v>1.168293843700786</x:v>
      </x:c>
      <x:c r="L85" s="80" t="n">
        <x:f>MAX(0,K85*'Inputs'!$E$44)</x:f>
        <x:v>0</x:v>
      </x:c>
      <x:c r="M85" s="80" t="n">
        <x:f>MAX(0,-K85*'Inputs'!$E$44)</x:f>
        <x:v>0.2336587687401572</x:v>
      </x:c>
      <x:c r="N85" s="78" t="n">
        <x:f>H85*(L85*(1-'Inputs'!$B$15))/(I85+L85*(1-'Inputs'!$B$15))</x:f>
        <x:v>0</x:v>
      </x:c>
      <x:c r="O85" s="78" t="n">
        <x:f>H85-N85</x:f>
        <x:v>3978332046.0617037</x:v>
      </x:c>
      <x:c r="P85" s="78" t="n">
        <x:f>I85+L85*(1-'Inputs'!$B$17)</x:f>
        <x:v>2.920734609251965</x:v>
      </x:c>
      <x:c r="Q85" s="78" t="n">
        <x:f>IF(J85&gt;0,M85/J85,0)</x:f>
        <x:v>318266563.6849363</x:v>
      </x:c>
      <x:c r="R85" s="78" t="n">
        <x:f>IF(B85='Inputs'!$H$44,'Inputs'!$B$27*'Inputs'!$I$44,0)</x:f>
        <x:v>0</x:v>
      </x:c>
      <x:c r="S85" s="78" t="n">
        <x:f>Q85+G85+R85</x:f>
        <x:v>319157103.8894775</x:v>
      </x:c>
      <x:c r="T85" s="78" t="n">
        <x:f>P85*(S85*(1-'Inputs'!$B$15))/(O85+S85*(1-'Inputs'!$B$15))</x:f>
        <x:v>0.21490161083834042</x:v>
      </x:c>
      <x:c r="U85" s="78" t="n">
        <x:f>O85+S85*(1-'Inputs'!$B$17)</x:f>
        <x:v>4296204815.529091</x:v>
      </x:c>
      <x:c r="V85" s="78" t="n">
        <x:f>P85-T85</x:f>
        <x:v>2.7058329984136242</x:v>
      </x:c>
      <x:c r="W85" s="79" t="n">
        <x:f>IF(U85&gt;0,V85/U85,0)</x:f>
        <x:v>6.298193672315394e-10</x:v>
      </x:c>
      <x:c r="X85" s="80" t="n">
        <x:f>W85*('Inputs'!$B$6-AC85)</x:f>
        <x:v>0.5973229043157879</x:v>
      </x:c>
      <x:c r="Y85" s="80" t="n">
        <x:f>2*V85</x:f>
        <x:v>5.4116659968272485</x:v>
      </x:c>
      <x:c r="Z85" s="80" t="n">
        <x:f>K85*'Inputs'!$B$16+(G85+R85)*J85*'Inputs'!$B$16</x:f>
        <x:v>0.007013685859346159</x:v>
      </x:c>
      <x:c r="AA85" s="80" t="n">
        <x:f>K85*(1+'Inputs'!$E$44)/2*'Inputs'!$B$17</x:f>
        <x:v>0.0018805534707457322</x:v>
      </x:c>
      <x:c r="AB85" s="78" t="n">
        <x:f>(IF(J85&gt;0,K85*(1-'Inputs'!$E$44)/2/J85,0)+G85+R85)*'Inputs'!$B$17</x:f>
        <x:v>3845835.9406814897</x:v>
      </x:c>
      <x:c r="AC85" s="78" t="n">
        <x:f>AC84+AB85</x:f>
        <x:v>51596480.84274436</x:v>
      </x:c>
      <x:c r="AD85" s="80" t="n">
        <x:f>Z85/(1+'Inputs'!$C$44)</x:f>
        <x:v>0.005610948687476927</x:v>
      </x:c>
      <x:c r="AE85" s="80" t="n">
        <x:f>Z85-AD85</x:f>
        <x:v>0.0014027371718692318</x:v>
      </x:c>
      <x:c r="AF85" s="80" t="n">
        <x:f>D85*W85</x:f>
        <x:v>0.00018502923547330103</x:v>
      </x:c>
      <x:c r="AG85" s="80" t="n">
        <x:f>C85*W85</x:f>
        <x:v>0.00043173488277103186</x:v>
      </x:c>
      <x:c r="AH85" s="80" t="n">
        <x:f>2*'Inputs'!$B$8*'Inputs'!$C$44</x:f>
        <x:v>1250</x:v>
      </x:c>
      <x:c r="AI85" s="81" t="n">
        <x:f>IF(AH85&gt;0,(AE85+AF85)/AH85*365,0)</x:f>
        <x:v>0.0004636277909440196</x:v>
      </x:c>
      <x:c r="AJ85" s="81" t="n">
        <x:f>IF('Inputs'!$B$44&gt;0,AG85/('Inputs'!$B$19*'Inputs'!$B$44)*365,0)</x:f>
        <x:v>0.00001575832322114266</x:v>
      </x:c>
      <x:c r="AK85" s="81" t="n">
        <x:f>W85/MAX($W$4:W85)-1</x:f>
        <x:v>-0.9999990744326004</x:v>
      </x:c>
      <x:c r="AL85" s="83" t="n">
        <x:f>'Inputs'!$B$44</x:f>
        <x:v>1</x:v>
      </x:c>
      <x:c r="AM85" s="83" t="n">
        <x:f>'Inputs'!$C$44</x:f>
        <x:v>0.25</x:v>
      </x:c>
      <x:c r="AN85" s="83" t="n">
        <x:f>'Inputs'!$D$44</x:f>
        <x:v>0.2</x:v>
      </x:c>
      <x:c r="AO85" s="81" t="n">
        <x:f>'Inputs'!$E$44</x:f>
        <x:v>-0.2</x:v>
      </x:c>
    </x:row>
    <x:row r="86">
      <x:c r="A86" s="59" t="str">
        <x:v>No demand</x:v>
      </x:c>
      <x:c r="B86" s="59" t="n">
        <x:v>83</x:v>
      </x:c>
      <x:c r="C86" s="78" t="n">
        <x:f>(('Inputs'!$B$29*(3*83*'Inputs'!$B$12-83^2)/(2*'Inputs'!$B$12^2))-('Inputs'!$B$29*(3*82*'Inputs'!$B$12-82^2)/(2*'Inputs'!$B$12^2)))*'Inputs'!$B$44</x:f>
        <x:v>685164.8996059299</x:v>
      </x:c>
      <x:c r="D86" s="78" t="n">
        <x:f>IF('Inputs'!$C$44&gt;0,('Inputs'!$B$30*(3*83*'Inputs'!$B$12-83^2)/(2*'Inputs'!$B$12^2))-('Inputs'!$B$30*(3*82*'Inputs'!$B$12-82^2)/(2*'Inputs'!$B$12^2)),0)</x:f>
        <x:v>293642.09983111173</x:v>
      </x:c>
      <x:c r="E86" s="78" t="n">
        <x:f>C86+D86</x:f>
        <x:v>978806.9994370416</x:v>
      </x:c>
      <x:c r="F86" s="78" t="n">
        <x:f>'Inputs'!$B$13*E86+(1-'Inputs'!$B$13)/'Inputs'!$B$14*SUM(E31:E86)</x:f>
        <x:v>989024.6762994933</x:v>
      </x:c>
      <x:c r="G86" s="78" t="n">
        <x:f>F86*'Inputs'!$F$44</x:f>
        <x:v>890122.208669544</x:v>
      </x:c>
      <x:c r="H86" s="78" t="n">
        <x:f>U85</x:f>
        <x:v>4296204815.529091</x:v>
      </x:c>
      <x:c r="I86" s="78" t="n">
        <x:f>V85</x:f>
        <x:v>2.7058329984136242</x:v>
      </x:c>
      <x:c r="J86" s="79" t="n">
        <x:f>IF(H86&gt;0,I86/H86,0)</x:f>
        <x:v>6.298193672315394e-10</x:v>
      </x:c>
      <x:c r="K86" s="80" t="n">
        <x:f>(H86*J86+I86)*'Inputs'!$D$44*(1+'Inputs'!$G$44)^(B86/30)</x:f>
        <x:v>1.0823331993654497</x:v>
      </x:c>
      <x:c r="L86" s="80" t="n">
        <x:f>MAX(0,K86*'Inputs'!$E$44)</x:f>
        <x:v>0</x:v>
      </x:c>
      <x:c r="M86" s="80" t="n">
        <x:f>MAX(0,-K86*'Inputs'!$E$44)</x:f>
        <x:v>0.21646663987308995</x:v>
      </x:c>
      <x:c r="N86" s="78" t="n">
        <x:f>H86*(L86*(1-'Inputs'!$B$15))/(I86+L86*(1-'Inputs'!$B$15))</x:f>
        <x:v>0</x:v>
      </x:c>
      <x:c r="O86" s="78" t="n">
        <x:f>H86-N86</x:f>
        <x:v>4296204815.529091</x:v>
      </x:c>
      <x:c r="P86" s="78" t="n">
        <x:f>I86+L86*(1-'Inputs'!$B$17)</x:f>
        <x:v>2.7058329984136242</x:v>
      </x:c>
      <x:c r="Q86" s="78" t="n">
        <x:f>IF(J86&gt;0,M86/J86,0)</x:f>
        <x:v>343696385.2423273</x:v>
      </x:c>
      <x:c r="R86" s="78" t="n">
        <x:f>IF(B86='Inputs'!$H$44,'Inputs'!$B$27*'Inputs'!$I$44,0)</x:f>
        <x:v>0</x:v>
      </x:c>
      <x:c r="S86" s="78" t="n">
        <x:f>Q86+G86+R86</x:f>
        <x:v>344586507.4509968</x:v>
      </x:c>
      <x:c r="T86" s="78" t="n">
        <x:f>P86*(S86*(1-'Inputs'!$B$15))/(O86+S86*(1-'Inputs'!$B$15))</x:f>
        <x:v>0.19905129251664955</x:v>
      </x:c>
      <x:c r="U86" s="78" t="n">
        <x:f>O86+S86*(1-'Inputs'!$B$17)</x:f>
        <x:v>4639404656.954128</x:v>
      </x:c>
      <x:c r="V86" s="78" t="n">
        <x:f>P86-T86</x:f>
        <x:v>2.506781705896975</x:v>
      </x:c>
      <x:c r="W86" s="79" t="n">
        <x:f>IF(U86&gt;0,V86/U86,0)</x:f>
        <x:v>5.403240051801673e-10</x:v>
      </x:c>
      <x:c r="X86" s="80" t="n">
        <x:f>W86*('Inputs'!$B$6-AC86)</x:f>
        <x:v>0.5102013120353696</x:v>
      </x:c>
      <x:c r="Y86" s="80" t="n">
        <x:f>2*V86</x:f>
        <x:v>5.01356341179395</x:v>
      </x:c>
      <x:c r="Z86" s="80" t="n">
        <x:f>K86*'Inputs'!$B$16+(G86+R86)*J86*'Inputs'!$B$16</x:f>
        <x:v>0.006497362893430037</x:v>
      </x:c>
      <x:c r="AA86" s="80" t="n">
        <x:f>K86*(1+'Inputs'!$E$44)/2*'Inputs'!$B$17</x:f>
        <x:v>0.0017421862364031386</x:v>
      </x:c>
      <x:c r="AB86" s="78" t="n">
        <x:f>(IF(J86&gt;0,K86*(1-'Inputs'!$E$44)/2/J86,0)+G86+R86)*'Inputs'!$B$17</x:f>
        <x:v>4152834.116441253</x:v>
      </x:c>
      <x:c r="AC86" s="78" t="n">
        <x:f>AC85+AB86</x:f>
        <x:v>55749314.95918561</x:v>
      </x:c>
      <x:c r="AD86" s="80" t="n">
        <x:f>Z86/(1+'Inputs'!$C$44)</x:f>
        <x:v>0.00519789031474403</x:v>
      </x:c>
      <x:c r="AE86" s="80" t="n">
        <x:f>Z86-AD86</x:f>
        <x:v>0.0012994725786860074</x:v>
      </x:c>
      <x:c r="AF86" s="80" t="n">
        <x:f>D86*W86</x:f>
        <x:v>0.0001586618754702608</x:v>
      </x:c>
      <x:c r="AG86" s="80" t="n">
        <x:f>C86*W86</x:f>
        <x:v>0.0003702110427639432</x:v>
      </x:c>
      <x:c r="AH86" s="80" t="n">
        <x:f>2*'Inputs'!$B$8*'Inputs'!$C$44</x:f>
        <x:v>1250</x:v>
      </x:c>
      <x:c r="AI86" s="81" t="n">
        <x:f>IF(AH86&gt;0,(AE86+AF86)/AH86*365,0)</x:f>
        <x:v>0.0004257752606136303</x:v>
      </x:c>
      <x:c r="AJ86" s="81" t="n">
        <x:f>IF('Inputs'!$B$44&gt;0,AG86/('Inputs'!$B$19*'Inputs'!$B$44)*365,0)</x:f>
        <x:v>0.000013512703060883927</x:v>
      </x:c>
      <x:c r="AK86" s="81" t="n">
        <x:f>W86/MAX($W$4:W86)-1</x:f>
        <x:v>-0.9999992059528328</x:v>
      </x:c>
      <x:c r="AL86" s="83" t="n">
        <x:f>'Inputs'!$B$44</x:f>
        <x:v>1</x:v>
      </x:c>
      <x:c r="AM86" s="83" t="n">
        <x:f>'Inputs'!$C$44</x:f>
        <x:v>0.25</x:v>
      </x:c>
      <x:c r="AN86" s="83" t="n">
        <x:f>'Inputs'!$D$44</x:f>
        <x:v>0.2</x:v>
      </x:c>
      <x:c r="AO86" s="81" t="n">
        <x:f>'Inputs'!$E$44</x:f>
        <x:v>-0.2</x:v>
      </x:c>
    </x:row>
    <x:row r="87">
      <x:c r="A87" s="59" t="str">
        <x:v>No demand</x:v>
      </x:c>
      <x:c r="B87" s="59" t="n">
        <x:v>84</x:v>
      </x:c>
      <x:c r="C87" s="78" t="n">
        <x:f>(('Inputs'!$B$29*(3*84*'Inputs'!$B$12-84^2)/(2*'Inputs'!$B$12^2))-('Inputs'!$B$29*(3*83*'Inputs'!$B$12-83^2)/(2*'Inputs'!$B$12^2)))*'Inputs'!$B$44</x:f>
        <x:v>684839.7917057648</x:v>
      </x:c>
      <x:c r="D87" s="78" t="n">
        <x:f>IF('Inputs'!$C$44&gt;0,('Inputs'!$B$30*(3*84*'Inputs'!$B$12-84^2)/(2*'Inputs'!$B$12^2))-('Inputs'!$B$30*(3*83*'Inputs'!$B$12-83^2)/(2*'Inputs'!$B$12^2)),0)</x:f>
        <x:v>293502.76787389815</x:v>
      </x:c>
      <x:c r="E87" s="78" t="n">
        <x:f>C87+D87</x:f>
        <x:v>978342.559579663</x:v>
      </x:c>
      <x:c r="F87" s="78" t="n">
        <x:f>'Inputs'!$B$13*E87+(1-'Inputs'!$B$13)/'Inputs'!$B$14*SUM(E32:E87)</x:f>
        <x:v>988560.2364421103</x:v>
      </x:c>
      <x:c r="G87" s="78" t="n">
        <x:f>F87*'Inputs'!$F$44</x:f>
        <x:v>889704.2127978993</x:v>
      </x:c>
      <x:c r="H87" s="78" t="n">
        <x:f>U86</x:f>
        <x:v>4639404656.954128</x:v>
      </x:c>
      <x:c r="I87" s="78" t="n">
        <x:f>V86</x:f>
        <x:v>2.506781705896975</x:v>
      </x:c>
      <x:c r="J87" s="79" t="n">
        <x:f>IF(H87&gt;0,I87/H87,0)</x:f>
        <x:v>5.403240051801673e-10</x:v>
      </x:c>
      <x:c r="K87" s="80" t="n">
        <x:f>(H87*J87+I87)*'Inputs'!$D$44*(1+'Inputs'!$G$44)^(B87/30)</x:f>
        <x:v>1.00271268235879</x:v>
      </x:c>
      <x:c r="L87" s="80" t="n">
        <x:f>MAX(0,K87*'Inputs'!$E$44)</x:f>
        <x:v>0</x:v>
      </x:c>
      <x:c r="M87" s="80" t="n">
        <x:f>MAX(0,-K87*'Inputs'!$E$44)</x:f>
        <x:v>0.20054253647175802</x:v>
      </x:c>
      <x:c r="N87" s="78" t="n">
        <x:f>H87*(L87*(1-'Inputs'!$B$15))/(I87+L87*(1-'Inputs'!$B$15))</x:f>
        <x:v>0</x:v>
      </x:c>
      <x:c r="O87" s="78" t="n">
        <x:f>H87-N87</x:f>
        <x:v>4639404656.954128</x:v>
      </x:c>
      <x:c r="P87" s="78" t="n">
        <x:f>I87+L87*(1-'Inputs'!$B$17)</x:f>
        <x:v>2.506781705896975</x:v>
      </x:c>
      <x:c r="Q87" s="78" t="n">
        <x:f>IF(J87&gt;0,M87/J87,0)</x:f>
        <x:v>371152372.5563303</x:v>
      </x:c>
      <x:c r="R87" s="78" t="n">
        <x:f>IF(B87='Inputs'!$H$44,'Inputs'!$B$27*'Inputs'!$I$44,0)</x:f>
        <x:v>0</x:v>
      </x:c>
      <x:c r="S87" s="78" t="n">
        <x:f>Q87+G87+R87</x:f>
        <x:v>372042076.7691282</x:v>
      </x:c>
      <x:c r="T87" s="78" t="n">
        <x:f>P87*(S87*(1-'Inputs'!$B$15))/(O87+S87*(1-'Inputs'!$B$15))</x:f>
        <x:v>0.18437548928370784</x:v>
      </x:c>
      <x:c r="U87" s="78" t="n">
        <x:f>O87+S87*(1-'Inputs'!$B$17)</x:f>
        <x:v>5009949582.508894</x:v>
      </x:c>
      <x:c r="V87" s="78" t="n">
        <x:f>P87-T87</x:f>
        <x:v>2.322406216613267</x:v>
      </x:c>
      <x:c r="W87" s="79" t="n">
        <x:f>IF(U87&gt;0,V87/U87,0)</x:f>
        <x:v>4.6355880001695486e-10</x:v>
      </x:c>
      <x:c r="X87" s="80" t="n">
        <x:f>W87*('Inputs'!$B$6-AC87)</x:f>
        <x:v>0.4356369809694712</x:v>
      </x:c>
      <x:c r="Y87" s="80" t="n">
        <x:f>2*V87</x:f>
        <x:v>4.644812433226534</x:v>
      </x:c>
      <x:c r="Z87" s="80" t="n">
        <x:f>K87*'Inputs'!$B$16+(G87+R87)*J87*'Inputs'!$B$16</x:f>
        <x:v>0.006019160465414847</x:v>
      </x:c>
      <x:c r="AA87" s="80" t="n">
        <x:f>K87*(1+'Inputs'!$E$44)/2*'Inputs'!$B$17</x:f>
        <x:v>0.0016140244384044912</x:v>
      </x:c>
      <x:c r="AB87" s="78" t="n">
        <x:f>(IF(J87&gt;0,K87*(1-'Inputs'!$E$44)/2/J87,0)+G87+R87)*'Inputs'!$B$17</x:f>
        <x:v>4484293.045801967</x:v>
      </x:c>
      <x:c r="AC87" s="78" t="n">
        <x:f>AC86+AB87</x:f>
        <x:v>60233608.004987575</x:v>
      </x:c>
      <x:c r="AD87" s="80" t="n">
        <x:f>Z87/(1+'Inputs'!$C$44)</x:f>
        <x:v>0.004815328372331878</x:v>
      </x:c>
      <x:c r="AE87" s="80" t="n">
        <x:f>Z87-AD87</x:f>
        <x:v>0.0012038320930829694</x:v>
      </x:c>
      <x:c r="AF87" s="80" t="n">
        <x:f>D87*W87</x:f>
        <x:v>0.00013605579087727908</x:v>
      </x:c>
      <x:c r="AG87" s="80" t="n">
        <x:f>C87*W87</x:f>
        <x:v>0.0003174635120469857</x:v>
      </x:c>
      <x:c r="AH87" s="80" t="n">
        <x:f>2*'Inputs'!$B$8*'Inputs'!$C$44</x:f>
        <x:v>1250</x:v>
      </x:c>
      <x:c r="AI87" s="81" t="n">
        <x:f>IF(AH87&gt;0,(AE87+AF87)/AH87*365,0)</x:f>
        <x:v>0.00039124726211639256</x:v>
      </x:c>
      <x:c r="AJ87" s="81" t="n">
        <x:f>IF('Inputs'!$B$44&gt;0,AG87/('Inputs'!$B$19*'Inputs'!$B$44)*365,0)</x:f>
        <x:v>0.000011587418189714978</x:v>
      </x:c>
      <x:c r="AK87" s="81" t="n">
        <x:f>W87/MAX($W$4:W87)-1</x:f>
        <x:v>-0.9999993187651326</x:v>
      </x:c>
      <x:c r="AL87" s="83" t="n">
        <x:f>'Inputs'!$B$44</x:f>
        <x:v>1</x:v>
      </x:c>
      <x:c r="AM87" s="83" t="n">
        <x:f>'Inputs'!$C$44</x:f>
        <x:v>0.25</x:v>
      </x:c>
      <x:c r="AN87" s="83" t="n">
        <x:f>'Inputs'!$D$44</x:f>
        <x:v>0.2</x:v>
      </x:c>
      <x:c r="AO87" s="81" t="n">
        <x:f>'Inputs'!$E$44</x:f>
        <x:v>-0.2</x:v>
      </x:c>
    </x:row>
    <x:row r="88">
      <x:c r="A88" s="59" t="str">
        <x:v>No demand</x:v>
      </x:c>
      <x:c r="B88" s="59" t="n">
        <x:v>85</x:v>
      </x:c>
      <x:c r="C88" s="78" t="n">
        <x:f>(('Inputs'!$B$29*(3*85*'Inputs'!$B$12-85^2)/(2*'Inputs'!$B$12^2))-('Inputs'!$B$29*(3*84*'Inputs'!$B$12-84^2)/(2*'Inputs'!$B$12^2)))*'Inputs'!$B$44</x:f>
        <x:v>684514.6838055924</x:v>
      </x:c>
      <x:c r="D88" s="78" t="n">
        <x:f>IF('Inputs'!$C$44&gt;0,('Inputs'!$B$30*(3*85*'Inputs'!$B$12-85^2)/(2*'Inputs'!$B$12^2))-('Inputs'!$B$30*(3*84*'Inputs'!$B$12-84^2)/(2*'Inputs'!$B$12^2)),0)</x:f>
        <x:v>293363.43591668084</x:v>
      </x:c>
      <x:c r="E88" s="78" t="n">
        <x:f>C88+D88</x:f>
        <x:v>977878.1197222732</x:v>
      </x:c>
      <x:c r="F88" s="78" t="n">
        <x:f>'Inputs'!$B$13*E88+(1-'Inputs'!$B$13)/'Inputs'!$B$14*SUM(E33:E88)</x:f>
        <x:v>988095.7965847249</x:v>
      </x:c>
      <x:c r="G88" s="78" t="n">
        <x:f>F88*'Inputs'!$F$44</x:f>
        <x:v>889286.2169262525</x:v>
      </x:c>
      <x:c r="H88" s="78" t="n">
        <x:f>U87</x:f>
        <x:v>5009949582.508894</x:v>
      </x:c>
      <x:c r="I88" s="78" t="n">
        <x:f>V87</x:f>
        <x:v>2.322406216613267</x:v>
      </x:c>
      <x:c r="J88" s="79" t="n">
        <x:f>IF(H88&gt;0,I88/H88,0)</x:f>
        <x:v>4.6355880001695486e-10</x:v>
      </x:c>
      <x:c r="K88" s="80" t="n">
        <x:f>(H88*J88+I88)*'Inputs'!$D$44*(1+'Inputs'!$G$44)^(B88/30)</x:f>
        <x:v>0.9289624866453068</x:v>
      </x:c>
      <x:c r="L88" s="80" t="n">
        <x:f>MAX(0,K88*'Inputs'!$E$44)</x:f>
        <x:v>0</x:v>
      </x:c>
      <x:c r="M88" s="80" t="n">
        <x:f>MAX(0,-K88*'Inputs'!$E$44)</x:f>
        <x:v>0.18579249732906136</x:v>
      </x:c>
      <x:c r="N88" s="78" t="n">
        <x:f>H88*(L88*(1-'Inputs'!$B$15))/(I88+L88*(1-'Inputs'!$B$15))</x:f>
        <x:v>0</x:v>
      </x:c>
      <x:c r="O88" s="78" t="n">
        <x:f>H88-N88</x:f>
        <x:v>5009949582.508894</x:v>
      </x:c>
      <x:c r="P88" s="78" t="n">
        <x:f>I88+L88*(1-'Inputs'!$B$17)</x:f>
        <x:v>2.322406216613267</x:v>
      </x:c>
      <x:c r="Q88" s="78" t="n">
        <x:f>IF(J88&gt;0,M88/J88,0)</x:f>
        <x:v>400795966.6007115</x:v>
      </x:c>
      <x:c r="R88" s="78" t="n">
        <x:f>IF(B88='Inputs'!$H$44,'Inputs'!$B$27*'Inputs'!$I$44,0)</x:f>
        <x:v>0</x:v>
      </x:c>
      <x:c r="S88" s="78" t="n">
        <x:f>Q88+G88+R88</x:f>
        <x:v>401685252.8176378</x:v>
      </x:c>
      <x:c r="T88" s="78" t="n">
        <x:f>P88*(S88*(1-'Inputs'!$B$15))/(O88+S88*(1-'Inputs'!$B$15))</x:f>
        <x:v>0.17078639207146384</x:v>
      </x:c>
      <x:c r="U88" s="78" t="n">
        <x:f>O88+S88*(1-'Inputs'!$B$17)</x:f>
        <x:v>5410018395.677366</x:v>
      </x:c>
      <x:c r="V88" s="78" t="n">
        <x:f>P88-T88</x:f>
        <x:v>2.151619824541803</x:v>
      </x:c>
      <x:c r="W88" s="79" t="n">
        <x:f>IF(U88&gt;0,V88/U88,0)</x:f>
        <x:v>3.9771026033126964e-10</x:v>
      </x:c>
      <x:c r="X88" s="80" t="n">
        <x:f>W88*('Inputs'!$B$6-AC88)</x:f>
        <x:v>0.3718289590149292</x:v>
      </x:c>
      <x:c r="Y88" s="80" t="n">
        <x:f>2*V88</x:f>
        <x:v>4.303239649083606</x:v>
      </x:c>
      <x:c r="Z88" s="80" t="n">
        <x:f>K88*'Inputs'!$B$16+(G88+R88)*J88*'Inputs'!$B$16</x:f>
        <x:v>0.005576248338581381</x:v>
      </x:c>
      <x:c r="AA88" s="80" t="n">
        <x:f>K88*(1+'Inputs'!$E$44)/2*'Inputs'!$B$17</x:f>
        <x:v>0.0014953118497308762</x:v>
      </x:c>
      <x:c r="AB88" s="78" t="n">
        <x:f>(IF(J88&gt;0,K88*(1-'Inputs'!$E$44)/2/J88,0)+G88+R88)*'Inputs'!$B$17</x:f>
        <x:v>4842161.714362418</x:v>
      </x:c>
      <x:c r="AC88" s="78" t="n">
        <x:f>AC87+AB88</x:f>
        <x:v>65075769.719349995</x:v>
      </x:c>
      <x:c r="AD88" s="80" t="n">
        <x:f>Z88/(1+'Inputs'!$C$44)</x:f>
        <x:v>0.004460998670865105</x:v>
      </x:c>
      <x:c r="AE88" s="80" t="n">
        <x:f>Z88-AD88</x:f>
        <x:v>0.001115249667716276</x:v>
      </x:c>
      <x:c r="AF88" s="80" t="n">
        <x:f>D88*W88</x:f>
        <x:v>0.00011667364847009888</x:v>
      </x:c>
      <x:c r="AG88" s="80" t="n">
        <x:f>C88*W88</x:f>
        <x:v>0.00027223851309689885</x:v>
      </x:c>
      <x:c r="AH88" s="80" t="n">
        <x:f>2*'Inputs'!$B$8*'Inputs'!$C$44</x:f>
        <x:v>1250</x:v>
      </x:c>
      <x:c r="AI88" s="81" t="n">
        <x:f>IF(AH88&gt;0,(AE88+AF88)/AH88*365,0)</x:f>
        <x:v>0.0003597216083264215</x:v>
      </x:c>
      <x:c r="AJ88" s="81" t="n">
        <x:f>IF('Inputs'!$B$44&gt;0,AG88/('Inputs'!$B$19*'Inputs'!$B$44)*365,0)</x:f>
        <x:v>0.000009936705728036808</x:v>
      </x:c>
      <x:c r="AK88" s="81" t="n">
        <x:f>W88/MAX($W$4:W88)-1</x:f>
        <x:v>-0.9999994155345634</x:v>
      </x:c>
      <x:c r="AL88" s="83" t="n">
        <x:f>'Inputs'!$B$44</x:f>
        <x:v>1</x:v>
      </x:c>
      <x:c r="AM88" s="83" t="n">
        <x:f>'Inputs'!$C$44</x:f>
        <x:v>0.25</x:v>
      </x:c>
      <x:c r="AN88" s="83" t="n">
        <x:f>'Inputs'!$D$44</x:f>
        <x:v>0.2</x:v>
      </x:c>
      <x:c r="AO88" s="81" t="n">
        <x:f>'Inputs'!$E$44</x:f>
        <x:v>-0.2</x:v>
      </x:c>
    </x:row>
    <x:row r="89">
      <x:c r="A89" s="59" t="str">
        <x:v>No demand</x:v>
      </x:c>
      <x:c r="B89" s="59" t="n">
        <x:v>86</x:v>
      </x:c>
      <x:c r="C89" s="78" t="n">
        <x:f>(('Inputs'!$B$29*(3*86*'Inputs'!$B$12-86^2)/(2*'Inputs'!$B$12^2))-('Inputs'!$B$29*(3*85*'Inputs'!$B$12-85^2)/(2*'Inputs'!$B$12^2)))*'Inputs'!$B$44</x:f>
        <x:v>684189.5759054199</x:v>
      </x:c>
      <x:c r="D89" s="78" t="n">
        <x:f>IF('Inputs'!$C$44&gt;0,('Inputs'!$B$30*(3*86*'Inputs'!$B$12-86^2)/(2*'Inputs'!$B$12^2))-('Inputs'!$B$30*(3*85*'Inputs'!$B$12-85^2)/(2*'Inputs'!$B$12^2)),0)</x:f>
        <x:v>293224.10395946726</x:v>
      </x:c>
      <x:c r="E89" s="78" t="n">
        <x:f>C89+D89</x:f>
        <x:v>977413.6798648871</x:v>
      </x:c>
      <x:c r="F89" s="78" t="n">
        <x:f>'Inputs'!$B$13*E89+(1-'Inputs'!$B$13)/'Inputs'!$B$14*SUM(E34:E89)</x:f>
        <x:v>987631.3567273404</x:v>
      </x:c>
      <x:c r="G89" s="78" t="n">
        <x:f>F89*'Inputs'!$F$44</x:f>
        <x:v>888868.2210546064</x:v>
      </x:c>
      <x:c r="H89" s="78" t="n">
        <x:f>U88</x:f>
        <x:v>5410018395.677366</x:v>
      </x:c>
      <x:c r="I89" s="78" t="n">
        <x:f>V88</x:f>
        <x:v>2.151619824541803</x:v>
      </x:c>
      <x:c r="J89" s="79" t="n">
        <x:f>IF(H89&gt;0,I89/H89,0)</x:f>
        <x:v>3.9771026033126964e-10</x:v>
      </x:c>
      <x:c r="K89" s="80" t="n">
        <x:f>(H89*J89+I89)*'Inputs'!$D$44*(1+'Inputs'!$G$44)^(B89/30)</x:f>
        <x:v>0.8606479298167212</x:v>
      </x:c>
      <x:c r="L89" s="80" t="n">
        <x:f>MAX(0,K89*'Inputs'!$E$44)</x:f>
        <x:v>0</x:v>
      </x:c>
      <x:c r="M89" s="80" t="n">
        <x:f>MAX(0,-K89*'Inputs'!$E$44)</x:f>
        <x:v>0.17212958596334427</x:v>
      </x:c>
      <x:c r="N89" s="78" t="n">
        <x:f>H89*(L89*(1-'Inputs'!$B$15))/(I89+L89*(1-'Inputs'!$B$15))</x:f>
        <x:v>0</x:v>
      </x:c>
      <x:c r="O89" s="78" t="n">
        <x:f>H89-N89</x:f>
        <x:v>5410018395.677366</x:v>
      </x:c>
      <x:c r="P89" s="78" t="n">
        <x:f>I89+L89*(1-'Inputs'!$B$17)</x:f>
        <x:v>2.151619824541803</x:v>
      </x:c>
      <x:c r="Q89" s="78" t="n">
        <x:f>IF(J89&gt;0,M89/J89,0)</x:f>
        <x:v>432801471.65418935</x:v>
      </x:c>
      <x:c r="R89" s="78" t="n">
        <x:f>IF(B89='Inputs'!$H$44,'Inputs'!$B$27*'Inputs'!$I$44,0)</x:f>
        <x:v>0</x:v>
      </x:c>
      <x:c r="S89" s="78" t="n">
        <x:f>Q89+G89+R89</x:f>
        <x:v>433690339.87524396</x:v>
      </x:c>
      <x:c r="T89" s="78" t="n">
        <x:f>P89*(S89*(1-'Inputs'!$B$15))/(O89+S89*(1-'Inputs'!$B$15))</x:f>
        <x:v>0.15820286705688724</x:v>
      </x:c>
      <x:c r="U89" s="78" t="n">
        <x:f>O89+S89*(1-'Inputs'!$B$17)</x:f>
        <x:v>5841963502.796573</x:v>
      </x:c>
      <x:c r="V89" s="78" t="n">
        <x:f>P89-T89</x:f>
        <x:v>1.9934169574849157</x:v>
      </x:c>
      <x:c r="W89" s="79" t="n">
        <x:f>IF(U89&gt;0,V89/U89,0)</x:f>
        <x:v>3.4122379513851097e-10</x:v>
      </x:c>
      <x:c r="X89" s="80" t="n">
        <x:f>W89*('Inputs'!$B$6-AC89)</x:f>
        <x:v>0.31723429026039346</x:v>
      </x:c>
      <x:c r="Y89" s="80" t="n">
        <x:f>2*V89</x:f>
        <x:v>3.9868339149698313</x:v>
      </x:c>
      <x:c r="Z89" s="80" t="n">
        <x:f>K89*'Inputs'!$B$16+(G89+R89)*J89*'Inputs'!$B$16</x:f>
        <x:v>0.005166008650969903</x:v>
      </x:c>
      <x:c r="AA89" s="80" t="n">
        <x:f>K89*(1+'Inputs'!$E$44)/2*'Inputs'!$B$17</x:f>
        <x:v>0.0013853487803890889</x:v>
      </x:c>
      <x:c r="AB89" s="78" t="n">
        <x:f>(IF(J89&gt;0,K89*(1-'Inputs'!$E$44)/2/J89,0)+G89+R89)*'Inputs'!$B$17</x:f>
        <x:v>5228544.399129266</x:v>
      </x:c>
      <x:c r="AC89" s="78" t="n">
        <x:f>AC88+AB89</x:f>
        <x:v>70304314.11847927</x:v>
      </x:c>
      <x:c r="AD89" s="80" t="n">
        <x:f>Z89/(1+'Inputs'!$C$44)</x:f>
        <x:v>0.004132806920775922</x:v>
      </x:c>
      <x:c r="AE89" s="80" t="n">
        <x:f>Z89-AD89</x:f>
        <x:v>0.0010332017301939809</x:v>
      </x:c>
      <x:c r="AF89" s="80" t="n">
        <x:f>D89*W89</x:f>
        <x:v>0.0001000550415791387</x:v>
      </x:c>
      <x:c r="AG89" s="80" t="n">
        <x:f>C89*W89</x:f>
        <x:v>0.00023346176368465568</x:v>
      </x:c>
      <x:c r="AH89" s="80" t="n">
        <x:f>2*'Inputs'!$B$8*'Inputs'!$C$44</x:f>
        <x:v>1250</x:v>
      </x:c>
      <x:c r="AI89" s="81" t="n">
        <x:f>IF(AH89&gt;0,(AE89+AF89)/AH89*365,0)</x:f>
        <x:v>0.0003309109773577509</x:v>
      </x:c>
      <x:c r="AJ89" s="81" t="n">
        <x:f>IF('Inputs'!$B$44&gt;0,AG89/('Inputs'!$B$19*'Inputs'!$B$44)*365,0)</x:f>
        <x:v>0.000008521354374489932</x:v>
      </x:c>
      <x:c r="AK89" s="81" t="n">
        <x:f>W89/MAX($W$4:W89)-1</x:f>
        <x:v>-0.9999994985457146</x:v>
      </x:c>
      <x:c r="AL89" s="83" t="n">
        <x:f>'Inputs'!$B$44</x:f>
        <x:v>1</x:v>
      </x:c>
      <x:c r="AM89" s="83" t="n">
        <x:f>'Inputs'!$C$44</x:f>
        <x:v>0.25</x:v>
      </x:c>
      <x:c r="AN89" s="83" t="n">
        <x:f>'Inputs'!$D$44</x:f>
        <x:v>0.2</x:v>
      </x:c>
      <x:c r="AO89" s="81" t="n">
        <x:f>'Inputs'!$E$44</x:f>
        <x:v>-0.2</x:v>
      </x:c>
    </x:row>
    <x:row r="90">
      <x:c r="A90" s="59" t="str">
        <x:v>No demand</x:v>
      </x:c>
      <x:c r="B90" s="59" t="n">
        <x:v>87</x:v>
      </x:c>
      <x:c r="C90" s="78" t="n">
        <x:f>(('Inputs'!$B$29*(3*87*'Inputs'!$B$12-87^2)/(2*'Inputs'!$B$12^2))-('Inputs'!$B$29*(3*86*'Inputs'!$B$12-86^2)/(2*'Inputs'!$B$12^2)))*'Inputs'!$B$44</x:f>
        <x:v>683864.4680052549</x:v>
      </x:c>
      <x:c r="D90" s="78" t="n">
        <x:f>IF('Inputs'!$C$44&gt;0,('Inputs'!$B$30*(3*87*'Inputs'!$B$12-87^2)/(2*'Inputs'!$B$12^2))-('Inputs'!$B$30*(3*86*'Inputs'!$B$12-86^2)/(2*'Inputs'!$B$12^2)),0)</x:f>
        <x:v>293084.7720022537</x:v>
      </x:c>
      <x:c r="E90" s="78" t="n">
        <x:f>C90+D90</x:f>
        <x:v>976949.2400075085</x:v>
      </x:c>
      <x:c r="F90" s="78" t="n">
        <x:f>'Inputs'!$B$13*E90+(1-'Inputs'!$B$13)/'Inputs'!$B$14*SUM(E35:E90)</x:f>
        <x:v>987166.9168699573</x:v>
      </x:c>
      <x:c r="G90" s="78" t="n">
        <x:f>F90*'Inputs'!$F$44</x:f>
        <x:v>888450.2251829617</x:v>
      </x:c>
      <x:c r="H90" s="78" t="n">
        <x:f>U89</x:f>
        <x:v>5841963502.796573</x:v>
      </x:c>
      <x:c r="I90" s="78" t="n">
        <x:f>V89</x:f>
        <x:v>1.9934169574849157</x:v>
      </x:c>
      <x:c r="J90" s="79" t="n">
        <x:f>IF(H90&gt;0,I90/H90,0)</x:f>
        <x:v>3.4122379513851097e-10</x:v>
      </x:c>
      <x:c r="K90" s="80" t="n">
        <x:f>(H90*J90+I90)*'Inputs'!$D$44*(1+'Inputs'!$G$44)^(B90/30)</x:f>
        <x:v>0.7973667829939663</x:v>
      </x:c>
      <x:c r="L90" s="80" t="n">
        <x:f>MAX(0,K90*'Inputs'!$E$44)</x:f>
        <x:v>0</x:v>
      </x:c>
      <x:c r="M90" s="80" t="n">
        <x:f>MAX(0,-K90*'Inputs'!$E$44)</x:f>
        <x:v>0.15947335659879328</x:v>
      </x:c>
      <x:c r="N90" s="78" t="n">
        <x:f>H90*(L90*(1-'Inputs'!$B$15))/(I90+L90*(1-'Inputs'!$B$15))</x:f>
        <x:v>0</x:v>
      </x:c>
      <x:c r="O90" s="78" t="n">
        <x:f>H90-N90</x:f>
        <x:v>5841963502.796573</x:v>
      </x:c>
      <x:c r="P90" s="78" t="n">
        <x:f>I90+L90*(1-'Inputs'!$B$17)</x:f>
        <x:v>1.9934169574849157</x:v>
      </x:c>
      <x:c r="Q90" s="78" t="n">
        <x:f>IF(J90&gt;0,M90/J90,0)</x:f>
        <x:v>467357080.22372586</x:v>
      </x:c>
      <x:c r="R90" s="78" t="n">
        <x:f>IF(B90='Inputs'!$H$44,'Inputs'!$B$27*'Inputs'!$I$44,0)</x:f>
        <x:v>0</x:v>
      </x:c>
      <x:c r="S90" s="78" t="n">
        <x:f>Q90+G90+R90</x:f>
        <x:v>468245530.4489088</x:v>
      </x:c>
      <x:c r="T90" s="78" t="n">
        <x:f>P90*(S90*(1-'Inputs'!$B$15))/(O90+S90*(1-'Inputs'!$B$15))</x:f>
        <x:v>0.14654993257652527</x:v>
      </x:c>
      <x:c r="U90" s="78" t="n">
        <x:f>O90+S90*(1-'Inputs'!$B$17)</x:f>
        <x:v>6308324745.396592</x:v>
      </x:c>
      <x:c r="V90" s="78" t="n">
        <x:f>P90-T90</x:f>
        <x:v>1.8468670249083905</x:v>
      </x:c>
      <x:c r="W90" s="79" t="n">
        <x:f>IF(U90&gt;0,V90/U90,0)</x:f>
        <x:v>2.9276663764910243e-10</x:v>
      </x:c>
      <x:c r="X90" s="80" t="n">
        <x:f>W90*('Inputs'!$B$6-AC90)</x:f>
        <x:v>0.2705310035680188</x:v>
      </x:c>
      <x:c r="Y90" s="80" t="n">
        <x:f>2*V90</x:f>
        <x:v>3.693734049816781</x:v>
      </x:c>
      <x:c r="Z90" s="80" t="n">
        <x:f>K90*'Inputs'!$B$16+(G90+R90)*J90*'Inputs'!$B$16</x:f>
        <x:v>0.00478601966010957</x:v>
      </x:c>
      <x:c r="AA90" s="80" t="n">
        <x:f>K90*(1+'Inputs'!$E$44)/2*'Inputs'!$B$17</x:f>
        <x:v>0.0012834877794671493</x:v>
      </x:c>
      <x:c r="AB90" s="78" t="n">
        <x:f>(IF(J90&gt;0,K90*(1-'Inputs'!$E$44)/2/J90,0)+G90+R90)*'Inputs'!$B$17</x:f>
        <x:v>5645713.041836462</x:v>
      </x:c>
      <x:c r="AC90" s="78" t="n">
        <x:f>AC89+AB90</x:f>
        <x:v>75950027.16031572</x:v>
      </x:c>
      <x:c r="AD90" s="80" t="n">
        <x:f>Z90/(1+'Inputs'!$C$44)</x:f>
        <x:v>0.0038288157280876563</x:v>
      </x:c>
      <x:c r="AE90" s="80" t="n">
        <x:f>Z90-AD90</x:f>
        <x:v>0.0009572039320219139</x:v>
      </x:c>
      <x:c r="AF90" s="80" t="n">
        <x:f>D90*W90</x:f>
        <x:v>0.00008580544324525361</x:v>
      </x:c>
      <x:c r="AG90" s="80" t="n">
        <x:f>C90*W90</x:f>
        <x:v>0.00020021270090559066</x:v>
      </x:c>
      <x:c r="AH90" s="80" t="n">
        <x:f>2*'Inputs'!$B$8*'Inputs'!$C$44</x:f>
        <x:v>1250</x:v>
      </x:c>
      <x:c r="AI90" s="81" t="n">
        <x:f>IF(AH90&gt;0,(AE90+AF90)/AH90*365,0)</x:f>
        <x:v>0.0003045587375780129</x:v>
      </x:c>
      <x:c r="AJ90" s="81" t="n">
        <x:f>IF('Inputs'!$B$44&gt;0,AG90/('Inputs'!$B$19*'Inputs'!$B$44)*365,0)</x:f>
        <x:v>0.000007307763583054059</x:v>
      </x:c>
      <x:c r="AK90" s="81" t="n">
        <x:f>W90/MAX($W$4:W90)-1</x:f>
        <x:v>-0.9999995697571882</x:v>
      </x:c>
      <x:c r="AL90" s="83" t="n">
        <x:f>'Inputs'!$B$44</x:f>
        <x:v>1</x:v>
      </x:c>
      <x:c r="AM90" s="83" t="n">
        <x:f>'Inputs'!$C$44</x:f>
        <x:v>0.25</x:v>
      </x:c>
      <x:c r="AN90" s="83" t="n">
        <x:f>'Inputs'!$D$44</x:f>
        <x:v>0.2</x:v>
      </x:c>
      <x:c r="AO90" s="81" t="n">
        <x:f>'Inputs'!$E$44</x:f>
        <x:v>-0.2</x:v>
      </x:c>
    </x:row>
    <x:row r="91">
      <x:c r="A91" s="59" t="str">
        <x:v>No demand</x:v>
      </x:c>
      <x:c r="B91" s="59" t="n">
        <x:v>88</x:v>
      </x:c>
      <x:c r="C91" s="78" t="n">
        <x:f>(('Inputs'!$B$29*(3*88*'Inputs'!$B$12-88^2)/(2*'Inputs'!$B$12^2))-('Inputs'!$B$29*(3*87*'Inputs'!$B$12-87^2)/(2*'Inputs'!$B$12^2)))*'Inputs'!$B$44</x:f>
        <x:v>683539.3601050824</x:v>
      </x:c>
      <x:c r="D91" s="78" t="n">
        <x:f>IF('Inputs'!$C$44&gt;0,('Inputs'!$B$30*(3*88*'Inputs'!$B$12-88^2)/(2*'Inputs'!$B$12^2))-('Inputs'!$B$30*(3*87*'Inputs'!$B$12-87^2)/(2*'Inputs'!$B$12^2)),0)</x:f>
        <x:v>292945.4400450364</x:v>
      </x:c>
      <x:c r="E91" s="78" t="n">
        <x:f>C91+D91</x:f>
        <x:v>976484.8001501188</x:v>
      </x:c>
      <x:c r="F91" s="78" t="n">
        <x:f>'Inputs'!$B$13*E91+(1-'Inputs'!$B$13)/'Inputs'!$B$14*SUM(E36:E91)</x:f>
        <x:v>986702.4770125719</x:v>
      </x:c>
      <x:c r="G91" s="78" t="n">
        <x:f>F91*'Inputs'!$F$44</x:f>
        <x:v>888032.2293113148</x:v>
      </x:c>
      <x:c r="H91" s="78" t="n">
        <x:f>U90</x:f>
        <x:v>6308324745.396592</x:v>
      </x:c>
      <x:c r="I91" s="78" t="n">
        <x:f>V90</x:f>
        <x:v>1.8468670249083905</x:v>
      </x:c>
      <x:c r="J91" s="79" t="n">
        <x:f>IF(H91&gt;0,I91/H91,0)</x:f>
        <x:v>2.9276663764910243e-10</x:v>
      </x:c>
      <x:c r="K91" s="80" t="n">
        <x:f>(H91*J91+I91)*'Inputs'!$D$44*(1+'Inputs'!$G$44)^(B91/30)</x:f>
        <x:v>0.7387468099633563</x:v>
      </x:c>
      <x:c r="L91" s="80" t="n">
        <x:f>MAX(0,K91*'Inputs'!$E$44)</x:f>
        <x:v>0</x:v>
      </x:c>
      <x:c r="M91" s="80" t="n">
        <x:f>MAX(0,-K91*'Inputs'!$E$44)</x:f>
        <x:v>0.14774936199267127</x:v>
      </x:c>
      <x:c r="N91" s="78" t="n">
        <x:f>H91*(L91*(1-'Inputs'!$B$15))/(I91+L91*(1-'Inputs'!$B$15))</x:f>
        <x:v>0</x:v>
      </x:c>
      <x:c r="O91" s="78" t="n">
        <x:f>H91-N91</x:f>
        <x:v>6308324745.396592</x:v>
      </x:c>
      <x:c r="P91" s="78" t="n">
        <x:f>I91+L91*(1-'Inputs'!$B$17)</x:f>
        <x:v>1.8468670249083905</x:v>
      </x:c>
      <x:c r="Q91" s="78" t="n">
        <x:f>IF(J91&gt;0,M91/J91,0)</x:f>
        <x:v>504665979.6317275</x:v>
      </x:c>
      <x:c r="R91" s="78" t="n">
        <x:f>IF(B91='Inputs'!$H$44,'Inputs'!$B$27*'Inputs'!$I$44,0)</x:f>
        <x:v>0</x:v>
      </x:c>
      <x:c r="S91" s="78" t="n">
        <x:f>Q91+G91+R91</x:f>
        <x:v>505554011.8610388</x:v>
      </x:c>
      <x:c r="T91" s="78" t="n">
        <x:f>P91*(S91*(1-'Inputs'!$B$15))/(O91+S91*(1-'Inputs'!$B$15))</x:f>
        <x:v>0.13575827922090428</x:v>
      </x:c>
      <x:c r="U91" s="78" t="n">
        <x:f>O91+S91*(1-'Inputs'!$B$17)</x:f>
        <x:v>6811844334.674689</x:v>
      </x:c>
      <x:c r="V91" s="78" t="n">
        <x:f>P91-T91</x:f>
        <x:v>1.7111087456874863</x:v>
      </x:c>
      <x:c r="W91" s="79" t="n">
        <x:f>IF(U91&gt;0,V91/U91,0)</x:f>
        <x:v>2.511961022035309e-10</x:v>
      </x:c>
      <x:c r="X91" s="80" t="n">
        <x:f>W91*('Inputs'!$B$6-AC91)</x:f>
        <x:v>0.2305864296832782</x:v>
      </x:c>
      <x:c r="Y91" s="80" t="n">
        <x:f>2*V91</x:f>
        <x:v>3.4222174913749726</x:v>
      </x:c>
      <x:c r="Z91" s="80" t="n">
        <x:f>K91*'Inputs'!$B$16+(G91+R91)*J91*'Inputs'!$B$16</x:f>
        <x:v>0.0044340407770395345</x:v>
      </x:c>
      <x:c r="AA91" s="80" t="n">
        <x:f>K91*(1+'Inputs'!$E$44)/2*'Inputs'!$B$17</x:f>
        <x:v>0.001189129673985282</x:v>
      </x:c>
      <x:c r="AB91" s="78" t="n">
        <x:f>(IF(J91&gt;0,K91*(1-'Inputs'!$E$44)/2/J91,0)+G91+R91)*'Inputs'!$B$17</x:f>
        <x:v>6096120.608146855</x:v>
      </x:c>
      <x:c r="AC91" s="78" t="n">
        <x:f>AC90+AB91</x:f>
        <x:v>82046147.76846258</x:v>
      </x:c>
      <x:c r="AD91" s="80" t="n">
        <x:f>Z91/(1+'Inputs'!$C$44)</x:f>
        <x:v>0.0035472326216316277</x:v>
      </x:c>
      <x:c r="AE91" s="80" t="n">
        <x:f>Z91-AD91</x:f>
        <x:v>0.0008868081554079068</x:v>
      </x:c>
      <x:c r="AF91" s="80" t="n">
        <x:f>D91*W91</x:f>
        <x:v>0.0000735867526976113</x:v>
      </x:c>
      <x:c r="AG91" s="80" t="n">
        <x:f>C91*W91</x:f>
        <x:v>0.0001717024229610924</x:v>
      </x:c>
      <x:c r="AH91" s="80" t="n">
        <x:f>2*'Inputs'!$B$8*'Inputs'!$C$44</x:f>
        <x:v>1250</x:v>
      </x:c>
      <x:c r="AI91" s="81" t="n">
        <x:f>IF(AH91&gt;0,(AE91+AF91)/AH91*365,0)</x:f>
        <x:v>0.0002804353131668113</x:v>
      </x:c>
      <x:c r="AJ91" s="81" t="n">
        <x:f>IF('Inputs'!$B$44&gt;0,AG91/('Inputs'!$B$19*'Inputs'!$B$44)*365,0)</x:f>
        <x:v>0.000006267138438079873</x:v>
      </x:c>
      <x:c r="AK91" s="81" t="n">
        <x:f>W91/MAX($W$4:W91)-1</x:f>
        <x:v>-0.9999996308482476</x:v>
      </x:c>
      <x:c r="AL91" s="83" t="n">
        <x:f>'Inputs'!$B$44</x:f>
        <x:v>1</x:v>
      </x:c>
      <x:c r="AM91" s="83" t="n">
        <x:f>'Inputs'!$C$44</x:f>
        <x:v>0.25</x:v>
      </x:c>
      <x:c r="AN91" s="83" t="n">
        <x:f>'Inputs'!$D$44</x:f>
        <x:v>0.2</x:v>
      </x:c>
      <x:c r="AO91" s="81" t="n">
        <x:f>'Inputs'!$E$44</x:f>
        <x:v>-0.2</x:v>
      </x:c>
    </x:row>
    <x:row r="92">
      <x:c r="A92" s="59" t="str">
        <x:v>No demand</x:v>
      </x:c>
      <x:c r="B92" s="59" t="n">
        <x:v>89</x:v>
      </x:c>
      <x:c r="C92" s="78" t="n">
        <x:f>(('Inputs'!$B$29*(3*89*'Inputs'!$B$12-89^2)/(2*'Inputs'!$B$12^2))-('Inputs'!$B$29*(3*88*'Inputs'!$B$12-88^2)/(2*'Inputs'!$B$12^2)))*'Inputs'!$B$44</x:f>
        <x:v>683214.2522049174</x:v>
      </x:c>
      <x:c r="D92" s="78" t="n">
        <x:f>IF('Inputs'!$C$44&gt;0,('Inputs'!$B$30*(3*89*'Inputs'!$B$12-89^2)/(2*'Inputs'!$B$12^2))-('Inputs'!$B$30*(3*88*'Inputs'!$B$12-88^2)/(2*'Inputs'!$B$12^2)),0)</x:f>
        <x:v>292806.10808781907</x:v>
      </x:c>
      <x:c r="E92" s="78" t="n">
        <x:f>C92+D92</x:f>
        <x:v>976020.3602927364</x:v>
      </x:c>
      <x:c r="F92" s="78" t="n">
        <x:f>'Inputs'!$B$13*E92+(1-'Inputs'!$B$13)/'Inputs'!$B$14*SUM(E37:E92)</x:f>
        <x:v>986238.0371551884</x:v>
      </x:c>
      <x:c r="G92" s="78" t="n">
        <x:f>F92*'Inputs'!$F$44</x:f>
        <x:v>887614.2334396696</x:v>
      </x:c>
      <x:c r="H92" s="78" t="n">
        <x:f>U91</x:f>
        <x:v>6811844334.674689</x:v>
      </x:c>
      <x:c r="I92" s="78" t="n">
        <x:f>V91</x:f>
        <x:v>1.7111087456874863</x:v>
      </x:c>
      <x:c r="J92" s="79" t="n">
        <x:f>IF(H92&gt;0,I92/H92,0)</x:f>
        <x:v>2.511961022035309e-10</x:v>
      </x:c>
      <x:c r="K92" s="80" t="n">
        <x:f>(H92*J92+I92)*'Inputs'!$D$44*(1+'Inputs'!$G$44)^(B92/30)</x:f>
        <x:v>0.6844434982749945</x:v>
      </x:c>
      <x:c r="L92" s="80" t="n">
        <x:f>MAX(0,K92*'Inputs'!$E$44)</x:f>
        <x:v>0</x:v>
      </x:c>
      <x:c r="M92" s="80" t="n">
        <x:f>MAX(0,-K92*'Inputs'!$E$44)</x:f>
        <x:v>0.13688869965499892</x:v>
      </x:c>
      <x:c r="N92" s="78" t="n">
        <x:f>H92*(L92*(1-'Inputs'!$B$15))/(I92+L92*(1-'Inputs'!$B$15))</x:f>
        <x:v>0</x:v>
      </x:c>
      <x:c r="O92" s="78" t="n">
        <x:f>H92-N92</x:f>
        <x:v>6811844334.674689</x:v>
      </x:c>
      <x:c r="P92" s="78" t="n">
        <x:f>I92+L92*(1-'Inputs'!$B$17)</x:f>
        <x:v>1.7111087456874863</x:v>
      </x:c>
      <x:c r="Q92" s="78" t="n">
        <x:f>IF(J92&gt;0,M92/J92,0)</x:f>
        <x:v>544947546.7739753</x:v>
      </x:c>
      <x:c r="R92" s="78" t="n">
        <x:f>IF(B92='Inputs'!$H$44,'Inputs'!$B$27*'Inputs'!$I$44,0)</x:f>
        <x:v>0</x:v>
      </x:c>
      <x:c r="S92" s="78" t="n">
        <x:f>Q92+G92+R92</x:f>
        <x:v>545835161.0074149</x:v>
      </x:c>
      <x:c r="T92" s="78" t="n">
        <x:f>P92*(S92*(1-'Inputs'!$B$15))/(O92+S92*(1-'Inputs'!$B$15))</x:f>
        <x:v>0.12576382924390322</x:v>
      </x:c>
      <x:c r="U92" s="78" t="n">
        <x:f>O92+S92*(1-'Inputs'!$B$17)</x:f>
        <x:v>7355482975.919498</x:v>
      </x:c>
      <x:c r="V92" s="78" t="n">
        <x:f>P92-T92</x:f>
        <x:v>1.585344916443583</x:v>
      </x:c>
      <x:c r="W92" s="79" t="n">
        <x:f>IF(U92&gt;0,V92/U92,0)</x:f>
        <x:v>2.1553240237707184e-10</x:v>
      </x:c>
      <x:c r="X92" s="80" t="n">
        <x:f>W92*('Inputs'!$B$6-AC92)</x:f>
        <x:v>0.19643007521415862</x:v>
      </x:c>
      <x:c r="Y92" s="80" t="n">
        <x:f>2*V92</x:f>
        <x:v>3.170689832887166</x:v>
      </x:c>
      <x:c r="Z92" s="80" t="n">
        <x:f>K92*'Inputs'!$B$16+(G92+R92)*J92*'Inputs'!$B$16</x:f>
        <x:v>0.004107998781064169</x:v>
      </x:c>
      <x:c r="AA92" s="80" t="n">
        <x:f>K92*(1+'Inputs'!$E$44)/2*'Inputs'!$B$17</x:f>
        <x:v>0.0011017199167404341</x:v>
      </x:c>
      <x:c r="AB92" s="78" t="n">
        <x:f>(IF(J92&gt;0,K92*(1-'Inputs'!$E$44)/2/J92,0)+G92+R92)*'Inputs'!$B$17</x:f>
        <x:v>6582415.511289196</x:v>
      </x:c>
      <x:c r="AC92" s="78" t="n">
        <x:f>AC91+AB92</x:f>
        <x:v>88628563.27975178</x:v>
      </x:c>
      <x:c r="AD92" s="80" t="n">
        <x:f>Z92/(1+'Inputs'!$C$44)</x:f>
        <x:v>0.003286399024851335</x:v>
      </x:c>
      <x:c r="AE92" s="80" t="n">
        <x:f>Z92-AD92</x:f>
        <x:v>0.0008215997562128338</x:v>
      </x:c>
      <x:c r="AF92" s="80" t="n">
        <x:f>D92*W92</x:f>
        <x:v>0.00006310920390684822</x:v>
      </x:c>
      <x:c r="AG92" s="80" t="n">
        <x:f>C92*W92</x:f>
        <x:v>0.0001472548091159805</x:v>
      </x:c>
      <x:c r="AH92" s="80" t="n">
        <x:f>2*'Inputs'!$B$8*'Inputs'!$C$44</x:f>
        <x:v>1250</x:v>
      </x:c>
      <x:c r="AI92" s="81" t="n">
        <x:f>IF(AH92&gt;0,(AE92+AF92)/AH92*365,0)</x:f>
        <x:v>0.0002583350163549471</x:v>
      </x:c>
      <x:c r="AJ92" s="81" t="n">
        <x:f>IF('Inputs'!$B$44&gt;0,AG92/('Inputs'!$B$19*'Inputs'!$B$44)*365,0)</x:f>
        <x:v>0.000005374800532733289</x:v>
      </x:c>
      <x:c r="AK92" s="81" t="n">
        <x:f>W92/MAX($W$4:W92)-1</x:f>
        <x:v>-0.9999996832587634</x:v>
      </x:c>
      <x:c r="AL92" s="83" t="n">
        <x:f>'Inputs'!$B$44</x:f>
        <x:v>1</x:v>
      </x:c>
      <x:c r="AM92" s="83" t="n">
        <x:f>'Inputs'!$C$44</x:f>
        <x:v>0.25</x:v>
      </x:c>
      <x:c r="AN92" s="83" t="n">
        <x:f>'Inputs'!$D$44</x:f>
        <x:v>0.2</x:v>
      </x:c>
      <x:c r="AO92" s="81" t="n">
        <x:f>'Inputs'!$E$44</x:f>
        <x:v>-0.2</x:v>
      </x:c>
    </x:row>
    <x:row r="93">
      <x:c r="A93" s="59" t="str">
        <x:v>No demand</x:v>
      </x:c>
      <x:c r="B93" s="59" t="n">
        <x:v>90</x:v>
      </x:c>
      <x:c r="C93" s="78" t="n">
        <x:f>(('Inputs'!$B$29*(3*90*'Inputs'!$B$12-90^2)/(2*'Inputs'!$B$12^2))-('Inputs'!$B$29*(3*89*'Inputs'!$B$12-89^2)/(2*'Inputs'!$B$12^2)))*'Inputs'!$B$44</x:f>
        <x:v>682889.1443047523</x:v>
      </x:c>
      <x:c r="D93" s="78" t="n">
        <x:f>IF('Inputs'!$C$44&gt;0,('Inputs'!$B$30*(3*90*'Inputs'!$B$12-90^2)/(2*'Inputs'!$B$12^2))-('Inputs'!$B$30*(3*89*'Inputs'!$B$12-89^2)/(2*'Inputs'!$B$12^2)),0)</x:f>
        <x:v>292666.7761306055</x:v>
      </x:c>
      <x:c r="E93" s="78" t="n">
        <x:f>C93+D93</x:f>
        <x:v>975555.9204353578</x:v>
      </x:c>
      <x:c r="F93" s="78" t="n">
        <x:f>'Inputs'!$B$13*E93+(1-'Inputs'!$B$13)/'Inputs'!$B$14*SUM(E38:E93)</x:f>
        <x:v>985773.5972978052</x:v>
      </x:c>
      <x:c r="G93" s="78" t="n">
        <x:f>F93*'Inputs'!$F$44</x:f>
        <x:v>887196.2375680248</x:v>
      </x:c>
      <x:c r="H93" s="78" t="n">
        <x:f>U92</x:f>
        <x:v>7355482975.919498</x:v>
      </x:c>
      <x:c r="I93" s="78" t="n">
        <x:f>V92</x:f>
        <x:v>1.585344916443583</x:v>
      </x:c>
      <x:c r="J93" s="79" t="n">
        <x:f>IF(H93&gt;0,I93/H93,0)</x:f>
        <x:v>2.1553240237707184e-10</x:v>
      </x:c>
      <x:c r="K93" s="80" t="n">
        <x:f>(H93*J93+I93)*'Inputs'!$D$44*(1+'Inputs'!$G$44)^(B93/30)</x:f>
        <x:v>0.6341379665774333</x:v>
      </x:c>
      <x:c r="L93" s="80" t="n">
        <x:f>MAX(0,K93*'Inputs'!$E$44)</x:f>
        <x:v>0</x:v>
      </x:c>
      <x:c r="M93" s="80" t="n">
        <x:f>MAX(0,-K93*'Inputs'!$E$44)</x:f>
        <x:v>0.12682759331548665</x:v>
      </x:c>
      <x:c r="N93" s="78" t="n">
        <x:f>H93*(L93*(1-'Inputs'!$B$15))/(I93+L93*(1-'Inputs'!$B$15))</x:f>
        <x:v>0</x:v>
      </x:c>
      <x:c r="O93" s="78" t="n">
        <x:f>H93-N93</x:f>
        <x:v>7355482975.919498</x:v>
      </x:c>
      <x:c r="P93" s="78" t="n">
        <x:f>I93+L93*(1-'Inputs'!$B$17)</x:f>
        <x:v>1.585344916443583</x:v>
      </x:c>
      <x:c r="Q93" s="78" t="n">
        <x:f>IF(J93&gt;0,M93/J93,0)</x:f>
        <x:v>588438638.0735599</x:v>
      </x:c>
      <x:c r="R93" s="78" t="n">
        <x:f>IF(B93='Inputs'!$H$44,'Inputs'!$B$27*'Inputs'!$I$44,0)</x:f>
        <x:v>0</x:v>
      </x:c>
      <x:c r="S93" s="78" t="n">
        <x:f>Q93+G93+R93</x:f>
        <x:v>589325834.3111279</x:v>
      </x:c>
      <x:c r="T93" s="78" t="n">
        <x:f>P93*(S93*(1-'Inputs'!$B$15))/(O93+S93*(1-'Inputs'!$B$15))</x:f>
        <x:v>0.11650733180787777</x:v>
      </x:c>
      <x:c r="U93" s="78" t="n">
        <x:f>O93+S93*(1-'Inputs'!$B$17)</x:f>
        <x:v>7942437277.698187</x:v>
      </x:c>
      <x:c r="V93" s="78" t="n">
        <x:f>P93-T93</x:f>
        <x:v>1.4688375846357054</x:v>
      </x:c>
      <x:c r="W93" s="79" t="n">
        <x:f>IF(U93&gt;0,V93/U93,0)</x:f>
        <x:v>1.8493537100508171e-10</x:v>
      </x:c>
      <x:c r="X93" s="80" t="n">
        <x:f>W93*('Inputs'!$B$6-AC93)</x:f>
        <x:v>0.16723039454189337</x:v>
      </x:c>
      <x:c r="Y93" s="80" t="n">
        <x:f>2*V93</x:f>
        <x:v>2.9376751692714107</x:v>
      </x:c>
      <x:c r="Z93" s="80" t="n">
        <x:f>K93*'Inputs'!$B$16+(G93+R93)*J93*'Inputs'!$B$16</x:f>
        <x:v>0.0038059751166833774</x:v>
      </x:c>
      <x:c r="AA93" s="80" t="n">
        <x:f>K93*(1+'Inputs'!$E$44)/2*'Inputs'!$B$17</x:f>
        <x:v>0.0010207452178308785</x:v>
      </x:c>
      <x:c r="AB93" s="78" t="n">
        <x:f>(IF(J93&gt;0,K93*(1-'Inputs'!$E$44)/2/J93,0)+G93+R93)*'Inputs'!$B$17</x:f>
        <x:v>7107457.184942647</x:v>
      </x:c>
      <x:c r="AC93" s="78" t="n">
        <x:f>AC92+AB93</x:f>
        <x:v>95736020.46469443</x:v>
      </x:c>
      <x:c r="AD93" s="80" t="n">
        <x:f>Z93/(1+'Inputs'!$C$44)</x:f>
        <x:v>0.003044780093346702</x:v>
      </x:c>
      <x:c r="AE93" s="80" t="n">
        <x:f>Z93-AD93</x:f>
        <x:v>0.0007611950233366756</x:v>
      </x:c>
      <x:c r="AF93" s="80" t="n">
        <x:f>D93*W93</x:f>
        <x:v>0.00005412443882457472</x:v>
      </x:c>
      <x:c r="AG93" s="80" t="n">
        <x:f>C93*W93</x:f>
        <x:v>0.00012629035725734216</x:v>
      </x:c>
      <x:c r="AH93" s="80" t="n">
        <x:f>2*'Inputs'!$B$8*'Inputs'!$C$44</x:f>
        <x:v>1250</x:v>
      </x:c>
      <x:c r="AI93" s="81" t="n">
        <x:f>IF(AH93&gt;0,(AE93+AF93)/AH93*365,0)</x:f>
        <x:v>0.00023807328295108508</x:v>
      </x:c>
      <x:c r="AJ93" s="81" t="n">
        <x:f>IF('Inputs'!$B$44&gt;0,AG93/('Inputs'!$B$19*'Inputs'!$B$44)*365,0)</x:f>
        <x:v>0.000004609598039892989</x:v>
      </x:c>
      <x:c r="AK93" s="81" t="n">
        <x:f>W93/MAX($W$4:W93)-1</x:f>
        <x:v>-0.9999997282234251</x:v>
      </x:c>
      <x:c r="AL93" s="83" t="n">
        <x:f>'Inputs'!$B$44</x:f>
        <x:v>1</x:v>
      </x:c>
      <x:c r="AM93" s="83" t="n">
        <x:f>'Inputs'!$C$44</x:f>
        <x:v>0.25</x:v>
      </x:c>
      <x:c r="AN93" s="83" t="n">
        <x:f>'Inputs'!$D$44</x:f>
        <x:v>0.2</x:v>
      </x:c>
      <x:c r="AO93" s="81" t="n">
        <x:f>'Inputs'!$E$44</x:f>
        <x:v>-0.2</x:v>
      </x:c>
    </x:row>
    <x:row r="94">
      <x:c r="A94" s="59" t="str">
        <x:v>No demand</x:v>
      </x:c>
      <x:c r="B94" s="59" t="n">
        <x:v>91</x:v>
      </x:c>
      <x:c r="C94" s="78" t="n">
        <x:f>(('Inputs'!$B$29*(3*91*'Inputs'!$B$12-91^2)/(2*'Inputs'!$B$12^2))-('Inputs'!$B$29*(3*90*'Inputs'!$B$12-90^2)/(2*'Inputs'!$B$12^2)))*'Inputs'!$B$44</x:f>
        <x:v>682564.0364045799</x:v>
      </x:c>
      <x:c r="D94" s="78" t="n">
        <x:f>IF('Inputs'!$C$44&gt;0,('Inputs'!$B$30*(3*91*'Inputs'!$B$12-91^2)/(2*'Inputs'!$B$12^2))-('Inputs'!$B$30*(3*90*'Inputs'!$B$12-90^2)/(2*'Inputs'!$B$12^2)),0)</x:f>
        <x:v>292527.4441733919</x:v>
      </x:c>
      <x:c r="E94" s="78" t="n">
        <x:f>C94+D94</x:f>
        <x:v>975091.4805779718</x:v>
      </x:c>
      <x:c r="F94" s="78" t="n">
        <x:f>'Inputs'!$B$13*E94+(1-'Inputs'!$B$13)/'Inputs'!$B$14*SUM(E39:E94)</x:f>
        <x:v>985309.1574404209</x:v>
      </x:c>
      <x:c r="G94" s="78" t="n">
        <x:f>F94*'Inputs'!$F$44</x:f>
        <x:v>886778.2416963789</x:v>
      </x:c>
      <x:c r="H94" s="78" t="n">
        <x:f>U93</x:f>
        <x:v>7942437277.698187</x:v>
      </x:c>
      <x:c r="I94" s="78" t="n">
        <x:f>V93</x:f>
        <x:v>1.4688375846357054</x:v>
      </x:c>
      <x:c r="J94" s="79" t="n">
        <x:f>IF(H94&gt;0,I94/H94,0)</x:f>
        <x:v>1.8493537100508171e-10</x:v>
      </x:c>
      <x:c r="K94" s="80" t="n">
        <x:f>(H94*J94+I94)*'Inputs'!$D$44*(1+'Inputs'!$G$44)^(B94/30)</x:f>
        <x:v>0.5875350338542822</x:v>
      </x:c>
      <x:c r="L94" s="80" t="n">
        <x:f>MAX(0,K94*'Inputs'!$E$44)</x:f>
        <x:v>0</x:v>
      </x:c>
      <x:c r="M94" s="80" t="n">
        <x:f>MAX(0,-K94*'Inputs'!$E$44)</x:f>
        <x:v>0.11750700677085645</x:v>
      </x:c>
      <x:c r="N94" s="78" t="n">
        <x:f>H94*(L94*(1-'Inputs'!$B$15))/(I94+L94*(1-'Inputs'!$B$15))</x:f>
        <x:v>0</x:v>
      </x:c>
      <x:c r="O94" s="78" t="n">
        <x:f>H94-N94</x:f>
        <x:v>7942437277.698187</x:v>
      </x:c>
      <x:c r="P94" s="78" t="n">
        <x:f>I94+L94*(1-'Inputs'!$B$17)</x:f>
        <x:v>1.4688375846357054</x:v>
      </x:c>
      <x:c r="Q94" s="78" t="n">
        <x:f>IF(J94&gt;0,M94/J94,0)</x:f>
        <x:v>635394982.215855</x:v>
      </x:c>
      <x:c r="R94" s="78" t="n">
        <x:f>IF(B94='Inputs'!$H$44,'Inputs'!$B$27*'Inputs'!$I$44,0)</x:f>
        <x:v>0</x:v>
      </x:c>
      <x:c r="S94" s="78" t="n">
        <x:f>Q94+G94+R94</x:f>
        <x:v>636281760.4575514</x:v>
      </x:c>
      <x:c r="T94" s="78" t="n">
        <x:f>P94*(S94*(1-'Inputs'!$B$15))/(O94+S94*(1-'Inputs'!$B$15))</x:f>
        <x:v>0.10793399092752036</x:v>
      </x:c>
      <x:c r="U94" s="78" t="n">
        <x:f>O94+S94*(1-'Inputs'!$B$17)</x:f>
        <x:v>8576158548.174018</x:v>
      </x:c>
      <x:c r="V94" s="78" t="n">
        <x:f>P94-T94</x:f>
        <x:v>1.360903593708185</x:v>
      </x:c>
      <x:c r="W94" s="79" t="n">
        <x:f>IF(U94&gt;0,V94/U94,0)</x:f>
        <x:v>1.586845189560937e-10</x:v>
      </x:c>
      <x:c r="X94" s="80" t="n">
        <x:f>W94*('Inputs'!$B$6-AC94)</x:f>
        <x:v>0.1422748967778233</x:v>
      </x:c>
      <x:c r="Y94" s="80" t="n">
        <x:f>2*V94</x:f>
        <x:v>2.72180718741637</x:v>
      </x:c>
      <x:c r="Z94" s="80" t="n">
        <x:f>K94*'Inputs'!$B$16+(G94+R94)*J94*'Inputs'!$B$16</x:f>
        <x:v>0.0035261941831044572</x:v>
      </x:c>
      <x:c r="AA94" s="80" t="n">
        <x:f>K94*(1+'Inputs'!$E$44)/2*'Inputs'!$B$17</x:f>
        <x:v>0.0009457304367875771</x:v>
      </x:c>
      <x:c r="AB94" s="78" t="n">
        <x:f>(IF(J94&gt;0,K94*(1-'Inputs'!$E$44)/2/J94,0)+G94+R94)*'Inputs'!$B$17</x:f>
        <x:v>7674332.896938678</x:v>
      </x:c>
      <x:c r="AC94" s="78" t="n">
        <x:f>AC93+AB94</x:f>
        <x:v>103410353.3616331</x:v>
      </x:c>
      <x:c r="AD94" s="80" t="n">
        <x:f>Z94/(1+'Inputs'!$C$44)</x:f>
        <x:v>0.002820955346483566</x:v>
      </x:c>
      <x:c r="AE94" s="80" t="n">
        <x:f>Z94-AD94</x:f>
        <x:v>0.0007052388366208914</x:v>
      </x:c>
      <x:c r="AF94" s="80" t="n">
        <x:f>D94*W94</x:f>
        <x:v>0.000046419576760110256</x:v>
      </x:c>
      <x:c r="AG94" s="80" t="n">
        <x:f>C94*W94</x:f>
        <x:v>0.0001083123457735904</x:v>
      </x:c>
      <x:c r="AH94" s="80" t="n">
        <x:f>2*'Inputs'!$B$8*'Inputs'!$C$44</x:f>
        <x:v>1250</x:v>
      </x:c>
      <x:c r="AI94" s="81" t="n">
        <x:f>IF(AH94&gt;0,(AE94+AF94)/AH94*365,0)</x:f>
        <x:v>0.0002194842567072525</x:v>
      </x:c>
      <x:c r="AJ94" s="81" t="n">
        <x:f>IF('Inputs'!$B$44&gt;0,AG94/('Inputs'!$B$19*'Inputs'!$B$44)*365,0)</x:f>
        <x:v>0.000003953400620736049</x:v>
      </x:c>
      <x:c r="AK94" s="81" t="n">
        <x:f>W94/MAX($W$4:W94)-1</x:f>
        <x:v>-0.9999997668010461</x:v>
      </x:c>
      <x:c r="AL94" s="83" t="n">
        <x:f>'Inputs'!$B$44</x:f>
        <x:v>1</x:v>
      </x:c>
      <x:c r="AM94" s="83" t="n">
        <x:f>'Inputs'!$C$44</x:f>
        <x:v>0.25</x:v>
      </x:c>
      <x:c r="AN94" s="83" t="n">
        <x:f>'Inputs'!$D$44</x:f>
        <x:v>0.2</x:v>
      </x:c>
      <x:c r="AO94" s="81" t="n">
        <x:f>'Inputs'!$E$44</x:f>
        <x:v>-0.2</x:v>
      </x:c>
    </x:row>
    <x:row r="95">
      <x:c r="A95" s="59" t="str">
        <x:v>No demand</x:v>
      </x:c>
      <x:c r="B95" s="59" t="n">
        <x:v>92</x:v>
      </x:c>
      <x:c r="C95" s="78" t="n">
        <x:f>(('Inputs'!$B$29*(3*92*'Inputs'!$B$12-92^2)/(2*'Inputs'!$B$12^2))-('Inputs'!$B$29*(3*91*'Inputs'!$B$12-91^2)/(2*'Inputs'!$B$12^2)))*'Inputs'!$B$44</x:f>
        <x:v>682238.9285044074</x:v>
      </x:c>
      <x:c r="D95" s="78" t="n">
        <x:f>IF('Inputs'!$C$44&gt;0,('Inputs'!$B$30*(3*92*'Inputs'!$B$12-92^2)/(2*'Inputs'!$B$12^2))-('Inputs'!$B$30*(3*91*'Inputs'!$B$12-91^2)/(2*'Inputs'!$B$12^2)),0)</x:f>
        <x:v>292388.1122161746</x:v>
      </x:c>
      <x:c r="E95" s="78" t="n">
        <x:f>C95+D95</x:f>
        <x:v>974627.040720582</x:v>
      </x:c>
      <x:c r="F95" s="78" t="n">
        <x:f>'Inputs'!$B$13*E95+(1-'Inputs'!$B$13)/'Inputs'!$B$14*SUM(E40:E95)</x:f>
        <x:v>984844.7175830356</x:v>
      </x:c>
      <x:c r="G95" s="78" t="n">
        <x:f>F95*'Inputs'!$F$44</x:f>
        <x:v>886360.245824732</x:v>
      </x:c>
      <x:c r="H95" s="78" t="n">
        <x:f>U94</x:f>
        <x:v>8576158548.174018</x:v>
      </x:c>
      <x:c r="I95" s="78" t="n">
        <x:f>V94</x:f>
        <x:v>1.360903593708185</x:v>
      </x:c>
      <x:c r="J95" s="79" t="n">
        <x:f>IF(H95&gt;0,I95/H95,0)</x:f>
        <x:v>1.586845189560937e-10</x:v>
      </x:c>
      <x:c r="K95" s="80" t="n">
        <x:f>(H95*J95+I95)*'Inputs'!$D$44*(1+'Inputs'!$G$44)^(B95/30)</x:f>
        <x:v>0.544361437483274</x:v>
      </x:c>
      <x:c r="L95" s="80" t="n">
        <x:f>MAX(0,K95*'Inputs'!$E$44)</x:f>
        <x:v>0</x:v>
      </x:c>
      <x:c r="M95" s="80" t="n">
        <x:f>MAX(0,-K95*'Inputs'!$E$44)</x:f>
        <x:v>0.10887228749665481</x:v>
      </x:c>
      <x:c r="N95" s="78" t="n">
        <x:f>H95*(L95*(1-'Inputs'!$B$15))/(I95+L95*(1-'Inputs'!$B$15))</x:f>
        <x:v>0</x:v>
      </x:c>
      <x:c r="O95" s="78" t="n">
        <x:f>H95-N95</x:f>
        <x:v>8576158548.174018</x:v>
      </x:c>
      <x:c r="P95" s="78" t="n">
        <x:f>I95+L95*(1-'Inputs'!$B$17)</x:f>
        <x:v>1.360903593708185</x:v>
      </x:c>
      <x:c r="Q95" s="78" t="n">
        <x:f>IF(J95&gt;0,M95/J95,0)</x:f>
        <x:v>686092683.8539215</x:v>
      </x:c>
      <x:c r="R95" s="78" t="n">
        <x:f>IF(B95='Inputs'!$H$44,'Inputs'!$B$27*'Inputs'!$I$44,0)</x:f>
        <x:v>0</x:v>
      </x:c>
      <x:c r="S95" s="78" t="n">
        <x:f>Q95+G95+R95</x:f>
        <x:v>686979044.0997462</x:v>
      </x:c>
      <x:c r="T95" s="78" t="n">
        <x:f>P95*(S95*(1-'Inputs'!$B$15))/(O95+S95*(1-'Inputs'!$B$15))</x:f>
        <x:v>0.09999312327967852</x:v>
      </x:c>
      <x:c r="U95" s="78" t="n">
        <x:f>O95+S95*(1-'Inputs'!$B$17)</x:f>
        <x:v>9260373089.078192</x:v>
      </x:c>
      <x:c r="V95" s="78" t="n">
        <x:f>P95-T95</x:f>
        <x:v>1.2609104704285066</x:v>
      </x:c>
      <x:c r="W95" s="79" t="n">
        <x:f>IF(U95&gt;0,V95/U95,0)</x:f>
        <x:v>1.3616195139217894e-10</x:v>
      </x:c>
      <x:c r="X95" s="80" t="n">
        <x:f>W95*('Inputs'!$B$6-AC95)</x:f>
        <x:v>0.12095310677143076</x:v>
      </x:c>
      <x:c r="Y95" s="80" t="n">
        <x:f>2*V95</x:f>
        <x:v>2.521820940857013</x:v>
      </x:c>
      <x:c r="Z95" s="80" t="n">
        <x:f>K95*'Inputs'!$B$16+(G95+R95)*J95*'Inputs'!$B$16</x:f>
        <x:v>0.0032670125347950274</x:v>
      </x:c>
      <x:c r="AA95" s="80" t="n">
        <x:f>K95*(1+'Inputs'!$E$44)/2*'Inputs'!$B$17</x:f>
        <x:v>0.0008762357142587913</x:v>
      </x:c>
      <x:c r="AB95" s="78" t="n">
        <x:f>(IF(J95&gt;0,K95*(1-'Inputs'!$E$44)/2/J95,0)+G95+R95)*'Inputs'!$B$17</x:f>
        <x:v>8286375.902646234</x:v>
      </x:c>
      <x:c r="AC95" s="78" t="n">
        <x:f>AC94+AB95</x:f>
        <x:v>111696729.26427934</x:v>
      </x:c>
      <x:c r="AD95" s="80" t="n">
        <x:f>Z95/(1+'Inputs'!$C$44)</x:f>
        <x:v>0.002613610027836022</x:v>
      </x:c>
      <x:c r="AE95" s="80" t="n">
        <x:f>Z95-AD95</x:f>
        <x:v>0.0006534025069590056</x:v>
      </x:c>
      <x:c r="AF95" s="80" t="n">
        <x:f>D95*W95</x:f>
        <x:v>0.00003981213592322973</x:v>
      </x:c>
      <x:c r="AG95" s="80" t="n">
        <x:f>C95*W95</x:f>
        <x:v>0.00009289498382086936</x:v>
      </x:c>
      <x:c r="AH95" s="80" t="n">
        <x:f>2*'Inputs'!$B$8*'Inputs'!$C$44</x:f>
        <x:v>1250</x:v>
      </x:c>
      <x:c r="AI95" s="81" t="n">
        <x:f>IF(AH95&gt;0,(AE95+AF95)/AH95*365,0)</x:f>
        <x:v>0.00020241867572161272</x:v>
      </x:c>
      <x:c r="AJ95" s="81" t="n">
        <x:f>IF('Inputs'!$B$44&gt;0,AG95/('Inputs'!$B$19*'Inputs'!$B$44)*365,0)</x:f>
        <x:v>0.0000033906669094617313</x:v>
      </x:c>
      <x:c r="AK95" s="81" t="n">
        <x:f>W95/MAX($W$4:W95)-1</x:f>
        <x:v>-0.9999997998996699</x:v>
      </x:c>
      <x:c r="AL95" s="83" t="n">
        <x:f>'Inputs'!$B$44</x:f>
        <x:v>1</x:v>
      </x:c>
      <x:c r="AM95" s="83" t="n">
        <x:f>'Inputs'!$C$44</x:f>
        <x:v>0.25</x:v>
      </x:c>
      <x:c r="AN95" s="83" t="n">
        <x:f>'Inputs'!$D$44</x:f>
        <x:v>0.2</x:v>
      </x:c>
      <x:c r="AO95" s="81" t="n">
        <x:f>'Inputs'!$E$44</x:f>
        <x:v>-0.2</x:v>
      </x:c>
    </x:row>
    <x:row r="96">
      <x:c r="A96" s="59" t="str">
        <x:v>No demand</x:v>
      </x:c>
      <x:c r="B96" s="59" t="n">
        <x:v>93</x:v>
      </x:c>
      <x:c r="C96" s="78" t="n">
        <x:f>(('Inputs'!$B$29*(3*93*'Inputs'!$B$12-93^2)/(2*'Inputs'!$B$12^2))-('Inputs'!$B$29*(3*92*'Inputs'!$B$12-92^2)/(2*'Inputs'!$B$12^2)))*'Inputs'!$B$44</x:f>
        <x:v>681913.8206042424</x:v>
      </x:c>
      <x:c r="D96" s="78" t="n">
        <x:f>IF('Inputs'!$C$44&gt;0,('Inputs'!$B$30*(3*93*'Inputs'!$B$12-93^2)/(2*'Inputs'!$B$12^2))-('Inputs'!$B$30*(3*92*'Inputs'!$B$12-92^2)/(2*'Inputs'!$B$12^2)),0)</x:f>
        <x:v>292248.780258961</x:v>
      </x:c>
      <x:c r="E96" s="78" t="n">
        <x:f>C96+D96</x:f>
        <x:v>974162.6008632034</x:v>
      </x:c>
      <x:c r="F96" s="78" t="n">
        <x:f>'Inputs'!$B$13*E96+(1-'Inputs'!$B$13)/'Inputs'!$B$14*SUM(E41:E96)</x:f>
        <x:v>984380.2777256526</x:v>
      </x:c>
      <x:c r="G96" s="78" t="n">
        <x:f>F96*'Inputs'!$F$44</x:f>
        <x:v>885942.2499530873</x:v>
      </x:c>
      <x:c r="H96" s="78" t="n">
        <x:f>U95</x:f>
        <x:v>9260373089.078192</x:v>
      </x:c>
      <x:c r="I96" s="78" t="n">
        <x:f>V95</x:f>
        <x:v>1.2609104704285066</x:v>
      </x:c>
      <x:c r="J96" s="79" t="n">
        <x:f>IF(H96&gt;0,I96/H96,0)</x:f>
        <x:v>1.3616195139217894e-10</x:v>
      </x:c>
      <x:c r="K96" s="80" t="n">
        <x:f>(H96*J96+I96)*'Inputs'!$D$44*(1+'Inputs'!$G$44)^(B96/30)</x:f>
        <x:v>0.5043641881714026</x:v>
      </x:c>
      <x:c r="L96" s="80" t="n">
        <x:f>MAX(0,K96*'Inputs'!$E$44)</x:f>
        <x:v>0</x:v>
      </x:c>
      <x:c r="M96" s="80" t="n">
        <x:f>MAX(0,-K96*'Inputs'!$E$44)</x:f>
        <x:v>0.10087283763428052</x:v>
      </x:c>
      <x:c r="N96" s="78" t="n">
        <x:f>H96*(L96*(1-'Inputs'!$B$15))/(I96+L96*(1-'Inputs'!$B$15))</x:f>
        <x:v>0</x:v>
      </x:c>
      <x:c r="O96" s="78" t="n">
        <x:f>H96-N96</x:f>
        <x:v>9260373089.078192</x:v>
      </x:c>
      <x:c r="P96" s="78" t="n">
        <x:f>I96+L96*(1-'Inputs'!$B$17)</x:f>
        <x:v>1.2609104704285066</x:v>
      </x:c>
      <x:c r="Q96" s="78" t="n">
        <x:f>IF(J96&gt;0,M96/J96,0)</x:f>
        <x:v>740829847.1262553</x:v>
      </x:c>
      <x:c r="R96" s="78" t="n">
        <x:f>IF(B96='Inputs'!$H$44,'Inputs'!$B$27*'Inputs'!$I$44,0)</x:f>
        <x:v>0</x:v>
      </x:c>
      <x:c r="S96" s="78" t="n">
        <x:f>Q96+G96+R96</x:f>
        <x:v>741715789.3762083</x:v>
      </x:c>
      <x:c r="T96" s="78" t="n">
        <x:f>P96*(S96*(1-'Inputs'!$B$15))/(O96+S96*(1-'Inputs'!$B$15))</x:f>
        <x:v>0.09263784331733943</x:v>
      </x:c>
      <x:c r="U96" s="78" t="n">
        <x:f>O96+S96*(1-'Inputs'!$B$17)</x:f>
        <x:v>9999104106.666166</x:v>
      </x:c>
      <x:c r="V96" s="78" t="n">
        <x:f>P96-T96</x:f>
        <x:v>1.1682726271111672</x:v>
      </x:c>
      <x:c r="W96" s="79" t="n">
        <x:f>IF(U96&gt;0,V96/U96,0)</x:f>
        <x:v>1.1683773012547268e-10</x:v>
      </x:c>
      <x:c r="X96" s="80" t="n">
        <x:f>W96*('Inputs'!$B$6-AC96)</x:f>
        <x:v>0.10274196902414973</x:v>
      </x:c>
      <x:c r="Y96" s="80" t="n">
        <x:f>2*V96</x:f>
        <x:v>2.3365452542223344</x:v>
      </x:c>
      <x:c r="Z96" s="80" t="n">
        <x:f>K96*'Inputs'!$B$16+(G96+R96)*J96*'Inputs'!$B$16</x:f>
        <x:v>0.0030269089187818623</x:v>
      </x:c>
      <x:c r="AA96" s="80" t="n">
        <x:f>K96*(1+'Inputs'!$E$44)/2*'Inputs'!$B$17</x:f>
        <x:v>0.0008118538240183544</x:v>
      </x:c>
      <x:c r="AB96" s="78" t="n">
        <x:f>(IF(J96&gt;0,K96*(1-'Inputs'!$E$44)/2/J96,0)+G96+R96)*'Inputs'!$B$17</x:f>
        <x:v>8947185.044783577</x:v>
      </x:c>
      <x:c r="AC96" s="78" t="n">
        <x:f>AC95+AB96</x:f>
        <x:v>120643914.30906291</x:v>
      </x:c>
      <x:c r="AD96" s="80" t="n">
        <x:f>Z96/(1+'Inputs'!$C$44)</x:f>
        <x:v>0.0024215271350254896</x:v>
      </x:c>
      <x:c r="AE96" s="80" t="n">
        <x:f>Z96-AD96</x:f>
        <x:v>0.0006053817837563726</x:v>
      </x:c>
      <x:c r="AF96" s="80" t="n">
        <x:f>D96*W96</x:f>
        <x:v>0.00003414568411739506</x:v>
      </x:c>
      <x:c r="AG96" s="80" t="n">
        <x:f>C96*W96</x:f>
        <x:v>0.00007967326294058846</x:v>
      </x:c>
      <x:c r="AH96" s="80" t="n">
        <x:f>2*'Inputs'!$B$8*'Inputs'!$C$44</x:f>
        <x:v>1250</x:v>
      </x:c>
      <x:c r="AI96" s="81" t="n">
        <x:f>IF(AH96&gt;0,(AE96+AF96)/AH96*365,0)</x:f>
        <x:v>0.00018674202061914018</x:v>
      </x:c>
      <x:c r="AJ96" s="81" t="n">
        <x:f>IF('Inputs'!$B$44&gt;0,AG96/('Inputs'!$B$19*'Inputs'!$B$44)*365,0)</x:f>
        <x:v>0.000002908074097331479</x:v>
      </x:c>
      <x:c r="AK96" s="81" t="n">
        <x:f>W96/MAX($W$4:W96)-1</x:f>
        <x:v>-0.9999998282980809</x:v>
      </x:c>
      <x:c r="AL96" s="83" t="n">
        <x:f>'Inputs'!$B$44</x:f>
        <x:v>1</x:v>
      </x:c>
      <x:c r="AM96" s="83" t="n">
        <x:f>'Inputs'!$C$44</x:f>
        <x:v>0.25</x:v>
      </x:c>
      <x:c r="AN96" s="83" t="n">
        <x:f>'Inputs'!$D$44</x:f>
        <x:v>0.2</x:v>
      </x:c>
      <x:c r="AO96" s="81" t="n">
        <x:f>'Inputs'!$E$44</x:f>
        <x:v>-0.2</x:v>
      </x:c>
    </x:row>
    <x:row r="97">
      <x:c r="A97" s="59" t="str">
        <x:v>No demand</x:v>
      </x:c>
      <x:c r="B97" s="59" t="n">
        <x:v>94</x:v>
      </x:c>
      <x:c r="C97" s="78" t="n">
        <x:f>(('Inputs'!$B$29*(3*94*'Inputs'!$B$12-94^2)/(2*'Inputs'!$B$12^2))-('Inputs'!$B$29*(3*93*'Inputs'!$B$12-93^2)/(2*'Inputs'!$B$12^2)))*'Inputs'!$B$44</x:f>
        <x:v>681588.7127040699</x:v>
      </x:c>
      <x:c r="D97" s="78" t="n">
        <x:f>IF('Inputs'!$C$44&gt;0,('Inputs'!$B$30*(3*94*'Inputs'!$B$12-94^2)/(2*'Inputs'!$B$12^2))-('Inputs'!$B$30*(3*93*'Inputs'!$B$12-93^2)/(2*'Inputs'!$B$12^2)),0)</x:f>
        <x:v>292109.44830174744</x:v>
      </x:c>
      <x:c r="E97" s="78" t="n">
        <x:f>C97+D97</x:f>
        <x:v>973698.1610058174</x:v>
      </x:c>
      <x:c r="F97" s="78" t="n">
        <x:f>'Inputs'!$B$13*E97+(1-'Inputs'!$B$13)/'Inputs'!$B$14*SUM(E42:E97)</x:f>
        <x:v>983915.8378682681</x:v>
      </x:c>
      <x:c r="G97" s="78" t="n">
        <x:f>F97*'Inputs'!$F$44</x:f>
        <x:v>885524.2540814413</x:v>
      </x:c>
      <x:c r="H97" s="78" t="n">
        <x:f>U96</x:f>
        <x:v>9999104106.666166</x:v>
      </x:c>
      <x:c r="I97" s="78" t="n">
        <x:f>V96</x:f>
        <x:v>1.1682726271111672</x:v>
      </x:c>
      <x:c r="J97" s="79" t="n">
        <x:f>IF(H97&gt;0,I97/H97,0)</x:f>
        <x:v>1.1683773012547268e-10</x:v>
      </x:c>
      <x:c r="K97" s="80" t="n">
        <x:f>(H97*J97+I97)*'Inputs'!$D$44*(1+'Inputs'!$G$44)^(B97/30)</x:f>
        <x:v>0.4673090508444669</x:v>
      </x:c>
      <x:c r="L97" s="80" t="n">
        <x:f>MAX(0,K97*'Inputs'!$E$44)</x:f>
        <x:v>0</x:v>
      </x:c>
      <x:c r="M97" s="80" t="n">
        <x:f>MAX(0,-K97*'Inputs'!$E$44)</x:f>
        <x:v>0.09346181016889338</x:v>
      </x:c>
      <x:c r="N97" s="78" t="n">
        <x:f>H97*(L97*(1-'Inputs'!$B$15))/(I97+L97*(1-'Inputs'!$B$15))</x:f>
        <x:v>0</x:v>
      </x:c>
      <x:c r="O97" s="78" t="n">
        <x:f>H97-N97</x:f>
        <x:v>9999104106.666166</x:v>
      </x:c>
      <x:c r="P97" s="78" t="n">
        <x:f>I97+L97*(1-'Inputs'!$B$17)</x:f>
        <x:v>1.1682726271111672</x:v>
      </x:c>
      <x:c r="Q97" s="78" t="n">
        <x:f>IF(J97&gt;0,M97/J97,0)</x:f>
        <x:v>799928328.5332934</x:v>
      </x:c>
      <x:c r="R97" s="78" t="n">
        <x:f>IF(B97='Inputs'!$H$44,'Inputs'!$B$27*'Inputs'!$I$44,0)</x:f>
        <x:v>0</x:v>
      </x:c>
      <x:c r="S97" s="78" t="n">
        <x:f>Q97+G97+R97</x:f>
        <x:v>800813852.7873749</x:v>
      </x:c>
      <x:c r="T97" s="78" t="n">
        <x:f>P97*(S97*(1-'Inputs'!$B$15))/(O97+S97*(1-'Inputs'!$B$15))</x:f>
        <x:v>0.08582477336780113</x:v>
      </x:c>
      <x:c r="U97" s="78" t="n">
        <x:f>O97+S97*(1-'Inputs'!$B$17)</x:f>
        <x:v>10796695368.49665</x:v>
      </x:c>
      <x:c r="V97" s="78" t="n">
        <x:f>P97-T97</x:f>
        <x:v>1.0824478537433662</x:v>
      </x:c>
      <x:c r="W97" s="79" t="n">
        <x:f>IF(U97&gt;0,V97/U97,0)</x:f>
        <x:v>1.0025733030328964e-10</x:v>
      </x:c>
      <x:c r="X97" s="80" t="n">
        <x:f>W97*('Inputs'!$B$6-AC97)</x:f>
        <x:v>0.08719334296889038</x:v>
      </x:c>
      <x:c r="Y97" s="80" t="n">
        <x:f>2*V97</x:f>
        <x:v>2.1648957074867323</x:v>
      </x:c>
      <x:c r="Z97" s="80" t="n">
        <x:f>K97*'Inputs'!$B$16+(G97+R97)*J97*'Inputs'!$B$16</x:f>
        <x:v>0.002804475080929709</x:v>
      </x:c>
      <x:c r="AA97" s="80" t="n">
        <x:f>K97*(1+'Inputs'!$E$44)/2*'Inputs'!$B$17</x:f>
        <x:v>0.0007522077277174518</x:v>
      </x:c>
      <x:c r="AB97" s="78" t="n">
        <x:f>(IF(J97&gt;0,K97*(1-'Inputs'!$E$44)/2/J97,0)+G97+R97)*'Inputs'!$B$17</x:f>
        <x:v>9660645.914905278</x:v>
      </x:c>
      <x:c r="AC97" s="78" t="n">
        <x:f>AC96+AB97</x:f>
        <x:v>130304560.2239682</x:v>
      </x:c>
      <x:c r="AD97" s="80" t="n">
        <x:f>Z97/(1+'Inputs'!$C$44)</x:f>
        <x:v>0.002243580064743767</x:v>
      </x:c>
      <x:c r="AE97" s="80" t="n">
        <x:f>Z97-AD97</x:f>
        <x:v>0.000560895016185942</x:v>
      </x:c>
      <x:c r="AF97" s="80" t="n">
        <x:f>D97*W97</x:f>
        <x:v>0.000029286113443100004</x:v>
      </x:c>
      <x:c r="AG97" s="80" t="n">
        <x:f>C97*W97</x:f>
        <x:v>0.00006833426470056592</x:v>
      </x:c>
      <x:c r="AH97" s="80" t="n">
        <x:f>2*'Inputs'!$B$8*'Inputs'!$C$44</x:f>
        <x:v>1250</x:v>
      </x:c>
      <x:c r="AI97" s="81" t="n">
        <x:f>IF(AH97&gt;0,(AE97+AF97)/AH97*365,0)</x:f>
        <x:v>0.00017233288985168025</x:v>
      </x:c>
      <x:c r="AJ97" s="81" t="n">
        <x:f>IF('Inputs'!$B$44&gt;0,AG97/('Inputs'!$B$19*'Inputs'!$B$44)*365,0)</x:f>
        <x:v>0.000002494200661570656</x:v>
      </x:c>
      <x:c r="AK97" s="81" t="n">
        <x:f>W97/MAX($W$4:W97)-1</x:f>
        <x:v>-0.9999998526642379</x:v>
      </x:c>
      <x:c r="AL97" s="83" t="n">
        <x:f>'Inputs'!$B$44</x:f>
        <x:v>1</x:v>
      </x:c>
      <x:c r="AM97" s="83" t="n">
        <x:f>'Inputs'!$C$44</x:f>
        <x:v>0.25</x:v>
      </x:c>
      <x:c r="AN97" s="83" t="n">
        <x:f>'Inputs'!$D$44</x:f>
        <x:v>0.2</x:v>
      </x:c>
      <x:c r="AO97" s="81" t="n">
        <x:f>'Inputs'!$E$44</x:f>
        <x:v>-0.2</x:v>
      </x:c>
    </x:row>
    <x:row r="98">
      <x:c r="A98" s="59" t="str">
        <x:v>No demand</x:v>
      </x:c>
      <x:c r="B98" s="59" t="n">
        <x:v>95</x:v>
      </x:c>
      <x:c r="C98" s="78" t="n">
        <x:f>(('Inputs'!$B$29*(3*95*'Inputs'!$B$12-95^2)/(2*'Inputs'!$B$12^2))-('Inputs'!$B$29*(3*94*'Inputs'!$B$12-94^2)/(2*'Inputs'!$B$12^2)))*'Inputs'!$B$44</x:f>
        <x:v>681263.6048039049</x:v>
      </x:c>
      <x:c r="D98" s="78" t="n">
        <x:f>IF('Inputs'!$C$44&gt;0,('Inputs'!$B$30*(3*95*'Inputs'!$B$12-95^2)/(2*'Inputs'!$B$12^2))-('Inputs'!$B$30*(3*94*'Inputs'!$B$12-94^2)/(2*'Inputs'!$B$12^2)),0)</x:f>
        <x:v>291970.11634453014</x:v>
      </x:c>
      <x:c r="E98" s="78" t="n">
        <x:f>C98+D98</x:f>
        <x:v>973233.721148435</x:v>
      </x:c>
      <x:c r="F98" s="78" t="n">
        <x:f>'Inputs'!$B$13*E98+(1-'Inputs'!$B$13)/'Inputs'!$B$14*SUM(E43:E98)</x:f>
        <x:v>983451.3980108844</x:v>
      </x:c>
      <x:c r="G98" s="78" t="n">
        <x:f>F98*'Inputs'!$F$44</x:f>
        <x:v>885106.258209796</x:v>
      </x:c>
      <x:c r="H98" s="78" t="n">
        <x:f>U97</x:f>
        <x:v>10796695368.49665</x:v>
      </x:c>
      <x:c r="I98" s="78" t="n">
        <x:f>V97</x:f>
        <x:v>1.0824478537433662</x:v>
      </x:c>
      <x:c r="J98" s="79" t="n">
        <x:f>IF(H98&gt;0,I98/H98,0)</x:f>
        <x:v>1.0025733030328964e-10</x:v>
      </x:c>
      <x:c r="K98" s="80" t="n">
        <x:f>(H98*J98+I98)*'Inputs'!$D$44*(1+'Inputs'!$G$44)^(B98/30)</x:f>
        <x:v>0.4329791414973465</x:v>
      </x:c>
      <x:c r="L98" s="80" t="n">
        <x:f>MAX(0,K98*'Inputs'!$E$44)</x:f>
        <x:v>0</x:v>
      </x:c>
      <x:c r="M98" s="80" t="n">
        <x:f>MAX(0,-K98*'Inputs'!$E$44)</x:f>
        <x:v>0.08659582829946931</x:v>
      </x:c>
      <x:c r="N98" s="78" t="n">
        <x:f>H98*(L98*(1-'Inputs'!$B$15))/(I98+L98*(1-'Inputs'!$B$15))</x:f>
        <x:v>0</x:v>
      </x:c>
      <x:c r="O98" s="78" t="n">
        <x:f>H98-N98</x:f>
        <x:v>10796695368.49665</x:v>
      </x:c>
      <x:c r="P98" s="78" t="n">
        <x:f>I98+L98*(1-'Inputs'!$B$17)</x:f>
        <x:v>1.0824478537433662</x:v>
      </x:c>
      <x:c r="Q98" s="78" t="n">
        <x:f>IF(J98&gt;0,M98/J98,0)</x:f>
        <x:v>863735629.4797322</x:v>
      </x:c>
      <x:c r="R98" s="78" t="n">
        <x:f>IF(B98='Inputs'!$H$44,'Inputs'!$B$27*'Inputs'!$I$44,0)</x:f>
        <x:v>0</x:v>
      </x:c>
      <x:c r="S98" s="78" t="n">
        <x:f>Q98+G98+R98</x:f>
        <x:v>864620735.737942</x:v>
      </x:c>
      <x:c r="T98" s="78" t="n">
        <x:f>P98*(S98*(1-'Inputs'!$B$15))/(O98+S98*(1-'Inputs'!$B$15))</x:f>
        <x:v>0.07951377661121548</x:v>
      </x:c>
      <x:c r="U98" s="78" t="n">
        <x:f>O98+S98*(1-'Inputs'!$B$17)</x:f>
        <x:v>11657836745.137056</x:v>
      </x:c>
      <x:c r="V98" s="78" t="n">
        <x:f>P98-T98</x:f>
        <x:v>1.0029340771321507</x:v>
      </x:c>
      <x:c r="W98" s="79" t="n">
        <x:f>IF(U98&gt;0,V98/U98,0)</x:f>
        <x:v>8.603089055527511e-11</x:v>
      </x:c>
      <x:c r="X98" s="80" t="n">
        <x:f>W98*('Inputs'!$B$6-AC98)</x:f>
        <x:v>0.07392328895955615</x:v>
      </x:c>
      <x:c r="Y98" s="80" t="n">
        <x:f>2*V98</x:f>
        <x:v>2.0058681542643013</x:v>
      </x:c>
      <x:c r="Z98" s="80" t="n">
        <x:f>K98*'Inputs'!$B$16+(G98+R98)*J98*'Inputs'!$B$16</x:f>
        <x:v>0.0025984072793269765</x:v>
      </x:c>
      <x:c r="AA98" s="80" t="n">
        <x:f>K98*(1+'Inputs'!$E$44)/2*'Inputs'!$B$17</x:f>
        <x:v>0.0006969483162935157</x:v>
      </x:c>
      <x:c r="AB98" s="78" t="n">
        <x:f>(IF(J98&gt;0,K98*(1-'Inputs'!$E$44)/2/J98,0)+G98+R98)*'Inputs'!$B$17</x:f>
        <x:v>10430953.7009956</x:v>
      </x:c>
      <x:c r="AC98" s="78" t="n">
        <x:f>AC97+AB98</x:f>
        <x:v>140735513.9249638</x:v>
      </x:c>
      <x:c r="AD98" s="80" t="n">
        <x:f>Z98/(1+'Inputs'!$C$44)</x:f>
        <x:v>0.002078725823461581</x:v>
      </x:c>
      <x:c r="AE98" s="80" t="n">
        <x:f>Z98-AD98</x:f>
        <x:v>0.0005196814558653955</x:v>
      </x:c>
      <x:c r="AF98" s="80" t="n">
        <x:f>D98*W98</x:f>
        <x:v>0.00002511844912464721</x:v>
      </x:c>
      <x:c r="AG98" s="80" t="n">
        <x:f>C98*W98</x:f>
        <x:v>0.00005860971462417693</x:v>
      </x:c>
      <x:c r="AH98" s="80" t="n">
        <x:f>2*'Inputs'!$B$8*'Inputs'!$C$44</x:f>
        <x:v>1250</x:v>
      </x:c>
      <x:c r="AI98" s="81" t="n">
        <x:f>IF(AH98&gt;0,(AE98+AF98)/AH98*365,0)</x:f>
        <x:v>0.00015908157225709245</x:v>
      </x:c>
      <x:c r="AJ98" s="81" t="n">
        <x:f>IF('Inputs'!$B$44&gt;0,AG98/('Inputs'!$B$19*'Inputs'!$B$44)*365,0)</x:f>
        <x:v>0.0000021392545837824582</x:v>
      </x:c>
      <x:c r="AK98" s="81" t="n">
        <x:f>W98/MAX($W$4:W98)-1</x:f>
        <x:v>-0.9999998735710717</x:v>
      </x:c>
      <x:c r="AL98" s="83" t="n">
        <x:f>'Inputs'!$B$44</x:f>
        <x:v>1</x:v>
      </x:c>
      <x:c r="AM98" s="83" t="n">
        <x:f>'Inputs'!$C$44</x:f>
        <x:v>0.25</x:v>
      </x:c>
      <x:c r="AN98" s="83" t="n">
        <x:f>'Inputs'!$D$44</x:f>
        <x:v>0.2</x:v>
      </x:c>
      <x:c r="AO98" s="81" t="n">
        <x:f>'Inputs'!$E$44</x:f>
        <x:v>-0.2</x:v>
      </x:c>
    </x:row>
    <x:row r="99">
      <x:c r="A99" s="59" t="str">
        <x:v>No demand</x:v>
      </x:c>
      <x:c r="B99" s="59" t="n">
        <x:v>96</x:v>
      </x:c>
      <x:c r="C99" s="78" t="n">
        <x:f>(('Inputs'!$B$29*(3*96*'Inputs'!$B$12-96^2)/(2*'Inputs'!$B$12^2))-('Inputs'!$B$29*(3*95*'Inputs'!$B$12-95^2)/(2*'Inputs'!$B$12^2)))*'Inputs'!$B$44</x:f>
        <x:v>680938.4969037324</x:v>
      </x:c>
      <x:c r="D99" s="78" t="n">
        <x:f>IF('Inputs'!$C$44&gt;0,('Inputs'!$B$30*(3*96*'Inputs'!$B$12-96^2)/(2*'Inputs'!$B$12^2))-('Inputs'!$B$30*(3*95*'Inputs'!$B$12-95^2)/(2*'Inputs'!$B$12^2)),0)</x:f>
        <x:v>291830.78438731283</x:v>
      </x:c>
      <x:c r="E99" s="78" t="n">
        <x:f>C99+D99</x:f>
        <x:v>972769.2812910452</x:v>
      </x:c>
      <x:c r="F99" s="78" t="n">
        <x:f>'Inputs'!$B$13*E99+(1-'Inputs'!$B$13)/'Inputs'!$B$14*SUM(E44:E99)</x:f>
        <x:v>982986.9581534993</x:v>
      </x:c>
      <x:c r="G99" s="78" t="n">
        <x:f>F99*'Inputs'!$F$44</x:f>
        <x:v>884688.2623381494</x:v>
      </x:c>
      <x:c r="H99" s="78" t="n">
        <x:f>U98</x:f>
        <x:v>11657836745.137056</x:v>
      </x:c>
      <x:c r="I99" s="78" t="n">
        <x:f>V98</x:f>
        <x:v>1.0029340771321507</x:v>
      </x:c>
      <x:c r="J99" s="79" t="n">
        <x:f>IF(H99&gt;0,I99/H99,0)</x:f>
        <x:v>8.603089055527511e-11</x:v>
      </x:c>
      <x:c r="K99" s="80" t="n">
        <x:f>(H99*J99+I99)*'Inputs'!$D$44*(1+'Inputs'!$G$44)^(B99/30)</x:f>
        <x:v>0.4011736308528603</x:v>
      </x:c>
      <x:c r="L99" s="80" t="n">
        <x:f>MAX(0,K99*'Inputs'!$E$44)</x:f>
        <x:v>0</x:v>
      </x:c>
      <x:c r="M99" s="80" t="n">
        <x:f>MAX(0,-K99*'Inputs'!$E$44)</x:f>
        <x:v>0.08023472617057206</x:v>
      </x:c>
      <x:c r="N99" s="78" t="n">
        <x:f>H99*(L99*(1-'Inputs'!$B$15))/(I99+L99*(1-'Inputs'!$B$15))</x:f>
        <x:v>0</x:v>
      </x:c>
      <x:c r="O99" s="78" t="n">
        <x:f>H99-N99</x:f>
        <x:v>11657836745.137056</x:v>
      </x:c>
      <x:c r="P99" s="78" t="n">
        <x:f>I99+L99*(1-'Inputs'!$B$17)</x:f>
        <x:v>1.0029340771321507</x:v>
      </x:c>
      <x:c r="Q99" s="78" t="n">
        <x:f>IF(J99&gt;0,M99/J99,0)</x:f>
        <x:v>932626939.6109645</x:v>
      </x:c>
      <x:c r="R99" s="78" t="n">
        <x:f>IF(B99='Inputs'!$H$44,'Inputs'!$B$27*'Inputs'!$I$44,0)</x:f>
        <x:v>0</x:v>
      </x:c>
      <x:c r="S99" s="78" t="n">
        <x:f>Q99+G99+R99</x:f>
        <x:v>933511627.8733027</x:v>
      </x:c>
      <x:c r="T99" s="78" t="n">
        <x:f>P99*(S99*(1-'Inputs'!$B$15))/(O99+S99*(1-'Inputs'!$B$15))</x:f>
        <x:v>0.07366771102926685</x:v>
      </x:c>
      <x:c r="U99" s="78" t="n">
        <x:f>O99+S99*(1-'Inputs'!$B$17)</x:f>
        <x:v>12587591786.9827</x:v>
      </x:c>
      <x:c r="V99" s="78" t="n">
        <x:f>P99-T99</x:f>
        <x:v>0.9292663661028838</x:v>
      </x:c>
      <x:c r="W99" s="79" t="n">
        <x:f>IF(U99&gt;0,V99/U99,0)</x:f>
        <x:v>7.38239992072092e-11</x:v>
      </x:c>
      <x:c r="X99" s="80" t="n">
        <x:f>W99*('Inputs'!$B$6-AC99)</x:f>
        <x:v>0.06260288777066994</x:v>
      </x:c>
      <x:c r="Y99" s="80" t="n">
        <x:f>2*V99</x:f>
        <x:v>1.8585327322057676</x:v>
      </x:c>
      <x:c r="Z99" s="80" t="n">
        <x:f>K99*'Inputs'!$B$16+(G99+R99)*J99*'Inputs'!$B$16</x:f>
        <x:v>0.002407498448231598</x:v>
      </x:c>
      <x:c r="AA99" s="80" t="n">
        <x:f>K99*(1+'Inputs'!$E$44)/2*'Inputs'!$B$17</x:f>
        <x:v>0.000645752323304403</x:v>
      </x:c>
      <x:c r="AB99" s="78" t="n">
        <x:f>(IF(J99&gt;0,K99*(1-'Inputs'!$E$44)/2/J99,0)+G99+R99)*'Inputs'!$B$17</x:f>
        <x:v>11262637.85551401</x:v>
      </x:c>
      <x:c r="AC99" s="78" t="n">
        <x:f>AC98+AB99</x:f>
        <x:v>151998151.78047782</x:v>
      </x:c>
      <x:c r="AD99" s="80" t="n">
        <x:f>Z99/(1+'Inputs'!$C$44)</x:f>
        <x:v>0.0019259987585852785</x:v>
      </x:c>
      <x:c r="AE99" s="80" t="n">
        <x:f>Z99-AD99</x:f>
        <x:v>0.0004814996896463197</x:v>
      </x:c>
      <x:c r="AF99" s="80" t="n">
        <x:f>D99*W99</x:f>
        <x:v>0.00002154411559524822</x:v>
      </x:c>
      <x:c r="AG99" s="80" t="n">
        <x:f>C99*W99</x:f>
        <x:v>0.00005026960305557936</x:v>
      </x:c>
      <x:c r="AH99" s="80" t="n">
        <x:f>2*'Inputs'!$B$8*'Inputs'!$C$44</x:f>
        <x:v>1250</x:v>
      </x:c>
      <x:c r="AI99" s="81" t="n">
        <x:f>IF(AH99&gt;0,(AE99+AF99)/AH99*365,0)</x:f>
        <x:v>0.0001468887911305378</x:v>
      </x:c>
      <x:c r="AJ99" s="81" t="n">
        <x:f>IF('Inputs'!$B$44&gt;0,AG99/('Inputs'!$B$19*'Inputs'!$B$44)*365,0)</x:f>
        <x:v>0.0000018348405115286465</x:v>
      </x:c>
      <x:c r="AK99" s="81" t="n">
        <x:f>W99/MAX($W$4:W99)-1</x:f>
        <x:v>-0.9999998915100257</x:v>
      </x:c>
      <x:c r="AL99" s="83" t="n">
        <x:f>'Inputs'!$B$44</x:f>
        <x:v>1</x:v>
      </x:c>
      <x:c r="AM99" s="83" t="n">
        <x:f>'Inputs'!$C$44</x:f>
        <x:v>0.25</x:v>
      </x:c>
      <x:c r="AN99" s="83" t="n">
        <x:f>'Inputs'!$D$44</x:f>
        <x:v>0.2</x:v>
      </x:c>
      <x:c r="AO99" s="81" t="n">
        <x:f>'Inputs'!$E$44</x:f>
        <x:v>-0.2</x:v>
      </x:c>
    </x:row>
    <x:row r="100">
      <x:c r="A100" s="59" t="str">
        <x:v>No demand</x:v>
      </x:c>
      <x:c r="B100" s="59" t="n">
        <x:v>97</x:v>
      </x:c>
      <x:c r="C100" s="78" t="n">
        <x:f>(('Inputs'!$B$29*(3*97*'Inputs'!$B$12-97^2)/(2*'Inputs'!$B$12^2))-('Inputs'!$B$29*(3*96*'Inputs'!$B$12-96^2)/(2*'Inputs'!$B$12^2)))*'Inputs'!$B$44</x:f>
        <x:v>680613.38900356</x:v>
      </x:c>
      <x:c r="D100" s="78" t="n">
        <x:f>IF('Inputs'!$C$44&gt;0,('Inputs'!$B$30*(3*97*'Inputs'!$B$12-97^2)/(2*'Inputs'!$B$12^2))-('Inputs'!$B$30*(3*96*'Inputs'!$B$12-96^2)/(2*'Inputs'!$B$12^2)),0)</x:f>
        <x:v>291691.45243009925</x:v>
      </x:c>
      <x:c r="E100" s="78" t="n">
        <x:f>C100+D100</x:f>
        <x:v>972304.8414336592</x:v>
      </x:c>
      <x:c r="F100" s="78" t="n">
        <x:f>'Inputs'!$B$13*E100+(1-'Inputs'!$B$13)/'Inputs'!$B$14*SUM(E45:E100)</x:f>
        <x:v>982522.5182961144</x:v>
      </x:c>
      <x:c r="G100" s="78" t="n">
        <x:f>F100*'Inputs'!$F$44</x:f>
        <x:v>884270.266466503</x:v>
      </x:c>
      <x:c r="H100" s="78" t="n">
        <x:f>U99</x:f>
        <x:v>12587591786.9827</x:v>
      </x:c>
      <x:c r="I100" s="78" t="n">
        <x:f>V99</x:f>
        <x:v>0.9292663661028838</x:v>
      </x:c>
      <x:c r="J100" s="79" t="n">
        <x:f>IF(H100&gt;0,I100/H100,0)</x:f>
        <x:v>7.38239992072092e-11</x:v>
      </x:c>
      <x:c r="K100" s="80" t="n">
        <x:f>(H100*J100+I100)*'Inputs'!$D$44*(1+'Inputs'!$G$44)^(B100/30)</x:f>
        <x:v>0.37170654644115353</x:v>
      </x:c>
      <x:c r="L100" s="80" t="n">
        <x:f>MAX(0,K100*'Inputs'!$E$44)</x:f>
        <x:v>0</x:v>
      </x:c>
      <x:c r="M100" s="80" t="n">
        <x:f>MAX(0,-K100*'Inputs'!$E$44)</x:f>
        <x:v>0.07434130928823071</x:v>
      </x:c>
      <x:c r="N100" s="78" t="n">
        <x:f>H100*(L100*(1-'Inputs'!$B$15))/(I100+L100*(1-'Inputs'!$B$15))</x:f>
        <x:v>0</x:v>
      </x:c>
      <x:c r="O100" s="78" t="n">
        <x:f>H100-N100</x:f>
        <x:v>12587591786.9827</x:v>
      </x:c>
      <x:c r="P100" s="78" t="n">
        <x:f>I100+L100*(1-'Inputs'!$B$17)</x:f>
        <x:v>0.9292663661028838</x:v>
      </x:c>
      <x:c r="Q100" s="78" t="n">
        <x:f>IF(J100&gt;0,M100/J100,0)</x:f>
        <x:v>1007007342.9586161</x:v>
      </x:c>
      <x:c r="R100" s="78" t="n">
        <x:f>IF(B100='Inputs'!$H$44,'Inputs'!$B$27*'Inputs'!$I$44,0)</x:f>
        <x:v>0</x:v>
      </x:c>
      <x:c r="S100" s="78" t="n">
        <x:f>Q100+G100+R100</x:f>
        <x:v>1007891613.2250826</x:v>
      </x:c>
      <x:c r="T100" s="78" t="n">
        <x:f>P100*(S100*(1-'Inputs'!$B$15))/(O100+S100*(1-'Inputs'!$B$15))</x:f>
        <x:v>0.068252202587391</x:v>
      </x:c>
      <x:c r="U100" s="78" t="n">
        <x:f>O100+S100*(1-'Inputs'!$B$17)</x:f>
        <x:v>13591427498.343699</x:v>
      </x:c>
      <x:c r="V100" s="78" t="n">
        <x:f>P100-T100</x:f>
        <x:v>0.8610141635154929</x:v>
      </x:c>
      <x:c r="W100" s="79" t="n">
        <x:f>IF(U100&gt;0,V100/U100,0)</x:f>
        <x:v>6.334979630509151e-11</x:v>
      </x:c>
      <x:c r="X100" s="80" t="n">
        <x:f>W100*('Inputs'!$B$6-AC100)</x:f>
        <x:v>0.05295037353211933</x:v>
      </x:c>
      <x:c r="Y100" s="80" t="n">
        <x:f>2*V100</x:f>
        <x:v>1.7220283270309857</x:v>
      </x:c>
      <x:c r="Z100" s="80" t="n">
        <x:f>K100*'Inputs'!$B$16+(G100+R100)*J100*'Inputs'!$B$16</x:f>
        <x:v>0.0022306309608516248</x:v>
      </x:c>
      <x:c r="AA100" s="80" t="n">
        <x:f>K100*(1+'Inputs'!$E$44)/2*'Inputs'!$B$17</x:f>
        <x:v>0.0005983203966859615</x:v>
      </x:c>
      <x:c r="AB100" s="78" t="n">
        <x:f>(IF(J100&gt;0,K100*(1-'Inputs'!$E$44)/2/J100,0)+G100+R100)*'Inputs'!$B$17</x:f>
        <x:v>12160588.728942916</x:v>
      </x:c>
      <x:c r="AC100" s="78" t="n">
        <x:f>AC99+AB100</x:f>
        <x:v>164158740.50942075</x:v>
      </x:c>
      <x:c r="AD100" s="80" t="n">
        <x:f>Z100/(1+'Inputs'!$C$44)</x:f>
        <x:v>0.0017845047686812997</x:v>
      </x:c>
      <x:c r="AE100" s="80" t="n">
        <x:f>Z100-AD100</x:f>
        <x:v>0.00044612619217032504</x:v>
      </x:c>
      <x:c r="AF100" s="80" t="n">
        <x:f>D100*W100</x:f>
        <x:v>0.00001847859409538308</x:v>
      </x:c>
      <x:c r="AG100" s="80" t="n">
        <x:f>C100*W100</x:f>
        <x:v>0.00004311671955589353</x:v>
      </x:c>
      <x:c r="AH100" s="80" t="n">
        <x:f>2*'Inputs'!$B$8*'Inputs'!$C$44</x:f>
        <x:v>1250</x:v>
      </x:c>
      <x:c r="AI100" s="81" t="n">
        <x:f>IF(AH100&gt;0,(AE100+AF100)/AH100*365,0)</x:f>
        <x:v>0.00013566459758958678</x:v>
      </x:c>
      <x:c r="AJ100" s="81" t="n">
        <x:f>IF('Inputs'!$B$44&gt;0,AG100/('Inputs'!$B$19*'Inputs'!$B$44)*365,0)</x:f>
        <x:v>0.000001573760263790114</x:v>
      </x:c>
      <x:c r="AK100" s="81" t="n">
        <x:f>W100/MAX($W$4:W100)-1</x:f>
        <x:v>-0.9999999069026625</x:v>
      </x:c>
      <x:c r="AL100" s="83" t="n">
        <x:f>'Inputs'!$B$44</x:f>
        <x:v>1</x:v>
      </x:c>
      <x:c r="AM100" s="83" t="n">
        <x:f>'Inputs'!$C$44</x:f>
        <x:v>0.25</x:v>
      </x:c>
      <x:c r="AN100" s="83" t="n">
        <x:f>'Inputs'!$D$44</x:f>
        <x:v>0.2</x:v>
      </x:c>
      <x:c r="AO100" s="81" t="n">
        <x:f>'Inputs'!$E$44</x:f>
        <x:v>-0.2</x:v>
      </x:c>
    </x:row>
    <x:row r="101">
      <x:c r="A101" s="59" t="str">
        <x:v>No demand</x:v>
      </x:c>
      <x:c r="B101" s="59" t="n">
        <x:v>98</x:v>
      </x:c>
      <x:c r="C101" s="78" t="n">
        <x:f>(('Inputs'!$B$29*(3*98*'Inputs'!$B$12-98^2)/(2*'Inputs'!$B$12^2))-('Inputs'!$B$29*(3*97*'Inputs'!$B$12-97^2)/(2*'Inputs'!$B$12^2)))*'Inputs'!$B$44</x:f>
        <x:v>680288.2811034024</x:v>
      </x:c>
      <x:c r="D101" s="78" t="n">
        <x:f>IF('Inputs'!$C$44&gt;0,('Inputs'!$B$30*(3*98*'Inputs'!$B$12-98^2)/(2*'Inputs'!$B$12^2))-('Inputs'!$B$30*(3*97*'Inputs'!$B$12-97^2)/(2*'Inputs'!$B$12^2)),0)</x:f>
        <x:v>291552.12047288567</x:v>
      </x:c>
      <x:c r="E101" s="78" t="n">
        <x:f>C101+D101</x:f>
        <x:v>971840.401576288</x:v>
      </x:c>
      <x:c r="F101" s="78" t="n">
        <x:f>'Inputs'!$B$13*E101+(1-'Inputs'!$B$13)/'Inputs'!$B$14*SUM(E46:E101)</x:f>
        <x:v>982058.078438733</x:v>
      </x:c>
      <x:c r="G101" s="78" t="n">
        <x:f>F101*'Inputs'!$F$44</x:f>
        <x:v>883852.2705948597</x:v>
      </x:c>
      <x:c r="H101" s="78" t="n">
        <x:f>U100</x:f>
        <x:v>13591427498.343699</x:v>
      </x:c>
      <x:c r="I101" s="78" t="n">
        <x:f>V100</x:f>
        <x:v>0.8610141635154929</x:v>
      </x:c>
      <x:c r="J101" s="79" t="n">
        <x:f>IF(H101&gt;0,I101/H101,0)</x:f>
        <x:v>6.334979630509151e-11</x:v>
      </x:c>
      <x:c r="K101" s="80" t="n">
        <x:f>(H101*J101+I101)*'Inputs'!$D$44*(1+'Inputs'!$G$44)^(B101/30)</x:f>
        <x:v>0.34440566540619716</x:v>
      </x:c>
      <x:c r="L101" s="80" t="n">
        <x:f>MAX(0,K101*'Inputs'!$E$44)</x:f>
        <x:v>0</x:v>
      </x:c>
      <x:c r="M101" s="80" t="n">
        <x:f>MAX(0,-K101*'Inputs'!$E$44)</x:f>
        <x:v>0.06888113308123943</x:v>
      </x:c>
      <x:c r="N101" s="78" t="n">
        <x:f>H101*(L101*(1-'Inputs'!$B$15))/(I101+L101*(1-'Inputs'!$B$15))</x:f>
        <x:v>0</x:v>
      </x:c>
      <x:c r="O101" s="78" t="n">
        <x:f>H101-N101</x:f>
        <x:v>13591427498.343699</x:v>
      </x:c>
      <x:c r="P101" s="78" t="n">
        <x:f>I101+L101*(1-'Inputs'!$B$17)</x:f>
        <x:v>0.8610141635154929</x:v>
      </x:c>
      <x:c r="Q101" s="78" t="n">
        <x:f>IF(J101&gt;0,M101/J101,0)</x:f>
        <x:v>1087314199.867496</x:v>
      </x:c>
      <x:c r="R101" s="78" t="n">
        <x:f>IF(B101='Inputs'!$H$44,'Inputs'!$B$27*'Inputs'!$I$44,0)</x:f>
        <x:v>0</x:v>
      </x:c>
      <x:c r="S101" s="78" t="n">
        <x:f>Q101+G101+R101</x:f>
        <x:v>1088198052.1380908</x:v>
      </x:c>
      <x:c r="T101" s="78" t="n">
        <x:f>P101*(S101*(1-'Inputs'!$B$15))/(O101+S101*(1-'Inputs'!$B$15))</x:f>
        <x:v>0.06323543606995932</x:v>
      </x:c>
      <x:c r="U101" s="78" t="n">
        <x:f>O101+S101*(1-'Inputs'!$B$17)</x:f>
        <x:v>14675246483.873589</x:v>
      </x:c>
      <x:c r="V101" s="78" t="n">
        <x:f>P101-T101</x:f>
        <x:v>0.7977787274455336</x:v>
      </x:c>
      <x:c r="W101" s="79" t="n">
        <x:f>IF(U101&gt;0,V101/U101,0)</x:f>
        <x:v>5.4362202932823026e-11</x:v>
      </x:c>
      <x:c r="X101" s="80" t="n">
        <x:f>W101*('Inputs'!$B$6-AC101)</x:f>
        <x:v>0.04472439175070393</x:v>
      </x:c>
      <x:c r="Y101" s="80" t="n">
        <x:f>2*V101</x:f>
        <x:v>1.5955574548910672</x:v>
      </x:c>
      <x:c r="Z101" s="80" t="n">
        <x:f>K101*'Inputs'!$B$16+(G101+R101)*J101*'Inputs'!$B$16</x:f>
        <x:v>0.0020667699436050188</x:v>
      </x:c>
      <x:c r="AA101" s="80" t="n">
        <x:f>K101*(1+'Inputs'!$E$44)/2*'Inputs'!$B$17</x:f>
        <x:v>0.0005543753165492107</x:v>
      </x:c>
      <x:c r="AB101" s="78" t="n">
        <x:f>(IF(J101&gt;0,K101*(1-'Inputs'!$E$44)/2/J101,0)+G101+R101)*'Inputs'!$B$17</x:f>
        <x:v>13130086.325445004</x:v>
      </x:c>
      <x:c r="AC101" s="78" t="n">
        <x:f>AC100+AB101</x:f>
        <x:v>177288826.83486575</x:v>
      </x:c>
      <x:c r="AD101" s="80" t="n">
        <x:f>Z101/(1+'Inputs'!$C$44)</x:f>
        <x:v>0.001653415954884015</x:v>
      </x:c>
      <x:c r="AE101" s="80" t="n">
        <x:f>Z101-AD101</x:f>
        <x:v>0.0004133539887210037</x:v>
      </x:c>
      <x:c r="AF101" s="80" t="n">
        <x:f>D101*W101</x:f>
        <x:v>0.000015849415538641877</x:v>
      </x:c>
      <x:c r="AG101" s="80" t="n">
        <x:f>C101*W101</x:f>
        <x:v>0.000036981969590164515</x:v>
      </x:c>
      <x:c r="AH101" s="80" t="n">
        <x:f>2*'Inputs'!$B$8*'Inputs'!$C$44</x:f>
        <x:v>1250</x:v>
      </x:c>
      <x:c r="AI101" s="81" t="n">
        <x:f>IF(AH101&gt;0,(AE101+AF101)/AH101*365,0)</x:f>
        <x:v>0.0001253273940438165</x:v>
      </x:c>
      <x:c r="AJ101" s="81" t="n">
        <x:f>IF('Inputs'!$B$44&gt;0,AG101/('Inputs'!$B$19*'Inputs'!$B$44)*365,0)</x:f>
        <x:v>0.0000013498418900410048</x:v>
      </x:c>
      <x:c r="AK101" s="81" t="n">
        <x:f>W101/MAX($W$4:W101)-1</x:f>
        <x:v>-0.9999999201106136</x:v>
      </x:c>
      <x:c r="AL101" s="83" t="n">
        <x:f>'Inputs'!$B$44</x:f>
        <x:v>1</x:v>
      </x:c>
      <x:c r="AM101" s="83" t="n">
        <x:f>'Inputs'!$C$44</x:f>
        <x:v>0.25</x:v>
      </x:c>
      <x:c r="AN101" s="83" t="n">
        <x:f>'Inputs'!$D$44</x:f>
        <x:v>0.2</x:v>
      </x:c>
      <x:c r="AO101" s="81" t="n">
        <x:f>'Inputs'!$E$44</x:f>
        <x:v>-0.2</x:v>
      </x:c>
    </x:row>
    <x:row r="102">
      <x:c r="A102" s="59" t="str">
        <x:v>No demand</x:v>
      </x:c>
      <x:c r="B102" s="59" t="n">
        <x:v>99</x:v>
      </x:c>
      <x:c r="C102" s="78" t="n">
        <x:f>(('Inputs'!$B$29*(3*99*'Inputs'!$B$12-99^2)/(2*'Inputs'!$B$12^2))-('Inputs'!$B$29*(3*98*'Inputs'!$B$12-98^2)/(2*'Inputs'!$B$12^2)))*'Inputs'!$B$44</x:f>
        <x:v>679963.1732032299</x:v>
      </x:c>
      <x:c r="D102" s="78" t="n">
        <x:f>IF('Inputs'!$C$44&gt;0,('Inputs'!$B$30*(3*99*'Inputs'!$B$12-99^2)/(2*'Inputs'!$B$12^2))-('Inputs'!$B$30*(3*98*'Inputs'!$B$12-98^2)/(2*'Inputs'!$B$12^2)),0)</x:f>
        <x:v>291412.78851566836</x:v>
      </x:c>
      <x:c r="E102" s="78" t="n">
        <x:f>C102+D102</x:f>
        <x:v>971375.9617188983</x:v>
      </x:c>
      <x:c r="F102" s="78" t="n">
        <x:f>'Inputs'!$B$13*E102+(1-'Inputs'!$B$13)/'Inputs'!$B$14*SUM(E47:E102)</x:f>
        <x:v>981593.6385813479</x:v>
      </x:c>
      <x:c r="G102" s="78" t="n">
        <x:f>F102*'Inputs'!$F$44</x:f>
        <x:v>883434.2747232132</x:v>
      </x:c>
      <x:c r="H102" s="78" t="n">
        <x:f>U101</x:f>
        <x:v>14675246483.873589</x:v>
      </x:c>
      <x:c r="I102" s="78" t="n">
        <x:f>V101</x:f>
        <x:v>0.7977787274455336</x:v>
      </x:c>
      <x:c r="J102" s="79" t="n">
        <x:f>IF(H102&gt;0,I102/H102,0)</x:f>
        <x:v>5.4362202932823026e-11</x:v>
      </x:c>
      <x:c r="K102" s="80" t="n">
        <x:f>(H102*J102+I102)*'Inputs'!$D$44*(1+'Inputs'!$G$44)^(B102/30)</x:f>
        <x:v>0.31911149097821345</x:v>
      </x:c>
      <x:c r="L102" s="80" t="n">
        <x:f>MAX(0,K102*'Inputs'!$E$44)</x:f>
        <x:v>0</x:v>
      </x:c>
      <x:c r="M102" s="80" t="n">
        <x:f>MAX(0,-K102*'Inputs'!$E$44)</x:f>
        <x:v>0.0638222981956427</x:v>
      </x:c>
      <x:c r="N102" s="78" t="n">
        <x:f>H102*(L102*(1-'Inputs'!$B$15))/(I102+L102*(1-'Inputs'!$B$15))</x:f>
        <x:v>0</x:v>
      </x:c>
      <x:c r="O102" s="78" t="n">
        <x:f>H102-N102</x:f>
        <x:v>14675246483.873589</x:v>
      </x:c>
      <x:c r="P102" s="78" t="n">
        <x:f>I102+L102*(1-'Inputs'!$B$17)</x:f>
        <x:v>0.7977787274455336</x:v>
      </x:c>
      <x:c r="Q102" s="78" t="n">
        <x:f>IF(J102&gt;0,M102/J102,0)</x:f>
        <x:v>1174019718.7098873</x:v>
      </x:c>
      <x:c r="R102" s="78" t="n">
        <x:f>IF(B102='Inputs'!$H$44,'Inputs'!$B$27*'Inputs'!$I$44,0)</x:f>
        <x:v>0</x:v>
      </x:c>
      <x:c r="S102" s="78" t="n">
        <x:f>Q102+G102+R102</x:f>
        <x:v>1174903152.9846106</x:v>
      </x:c>
      <x:c r="T102" s="78" t="n">
        <x:f>P102*(S102*(1-'Inputs'!$B$15))/(O102+S102*(1-'Inputs'!$B$15))</x:f>
        <x:v>0.05858796212826137</x:v>
      </x:c>
      <x:c r="U102" s="78" t="n">
        <x:f>O102+S102*(1-'Inputs'!$B$17)</x:f>
        <x:v>15845421656.36329</x:v>
      </x:c>
      <x:c r="V102" s="78" t="n">
        <x:f>P102-T102</x:f>
        <x:v>0.7391907653172722</x:v>
      </x:c>
      <x:c r="W102" s="79" t="n">
        <x:f>IF(U102&gt;0,V102/U102,0)</x:f>
        <x:v>4.6650116440443475e-11</x:v>
      </x:c>
      <x:c r="X102" s="80" t="n">
        <x:f>W102*('Inputs'!$B$6-AC102)</x:f>
        <x:v>0.0377182211917866</x:v>
      </x:c>
      <x:c r="Y102" s="80" t="n">
        <x:f>2*V102</x:f>
        <x:v>1.4783815306345445</x:v>
      </x:c>
      <x:c r="Z102" s="80" t="n">
        <x:f>K102*'Inputs'!$B$16+(G102+R102)*J102*'Inputs'!$B$16</x:f>
        <x:v>0.0019149570984692025</x:v>
      </x:c>
      <x:c r="AA102" s="80" t="n">
        <x:f>K102*(1+'Inputs'!$E$44)/2*'Inputs'!$B$17</x:f>
        <x:v>0.0005136603476510479</x:v>
      </x:c>
      <x:c r="AB102" s="78" t="n">
        <x:f>(IF(J102&gt;0,K102*(1-'Inputs'!$E$44)/2/J102,0)+G102+R102)*'Inputs'!$B$17</x:f>
        <x:v>14176831.349715833</x:v>
      </x:c>
      <x:c r="AC102" s="78" t="n">
        <x:f>AC101+AB102</x:f>
        <x:v>191465658.18458158</x:v>
      </x:c>
      <x:c r="AD102" s="80" t="n">
        <x:f>Z102/(1+'Inputs'!$C$44)</x:f>
        <x:v>0.001531965678775362</x:v>
      </x:c>
      <x:c r="AE102" s="80" t="n">
        <x:f>Z102-AD102</x:f>
        <x:v>0.0003829914196938405</x:v>
      </x:c>
      <x:c r="AF102" s="80" t="n">
        <x:f>D102*W102</x:f>
        <x:v>0.000013594440516490258</x:v>
      </x:c>
      <x:c r="AG102" s="80" t="n">
        <x:f>C102*W102</x:f>
        <x:v>0.00003172036120514411</x:v>
      </x:c>
      <x:c r="AH102" s="80" t="n">
        <x:f>2*'Inputs'!$B$8*'Inputs'!$C$44</x:f>
        <x:v>1250</x:v>
      </x:c>
      <x:c r="AI102" s="81" t="n">
        <x:f>IF(AH102&gt;0,(AE102+AF102)/AH102*365,0)</x:f>
        <x:v>0.00011580307118141658</x:v>
      </x:c>
      <x:c r="AJ102" s="81" t="n">
        <x:f>IF('Inputs'!$B$44&gt;0,AG102/('Inputs'!$B$19*'Inputs'!$B$44)*365,0)</x:f>
        <x:v>0.00000115779318398776</x:v>
      </x:c>
      <x:c r="AK102" s="81" t="n">
        <x:f>W102/MAX($W$4:W102)-1</x:f>
        <x:v>-0.9999999314441105</x:v>
      </x:c>
      <x:c r="AL102" s="83" t="n">
        <x:f>'Inputs'!$B$44</x:f>
        <x:v>1</x:v>
      </x:c>
      <x:c r="AM102" s="83" t="n">
        <x:f>'Inputs'!$C$44</x:f>
        <x:v>0.25</x:v>
      </x:c>
      <x:c r="AN102" s="83" t="n">
        <x:f>'Inputs'!$D$44</x:f>
        <x:v>0.2</x:v>
      </x:c>
      <x:c r="AO102" s="81" t="n">
        <x:f>'Inputs'!$E$44</x:f>
        <x:v>-0.2</x:v>
      </x:c>
    </x:row>
    <x:row r="103">
      <x:c r="A103" s="59" t="str">
        <x:v>No demand</x:v>
      </x:c>
      <x:c r="B103" s="59" t="n">
        <x:v>100</x:v>
      </x:c>
      <x:c r="C103" s="78" t="n">
        <x:f>(('Inputs'!$B$29*(3*100*'Inputs'!$B$12-100^2)/(2*'Inputs'!$B$12^2))-('Inputs'!$B$29*(3*99*'Inputs'!$B$12-99^2)/(2*'Inputs'!$B$12^2)))*'Inputs'!$B$44</x:f>
        <x:v>679638.0653030574</x:v>
      </x:c>
      <x:c r="D103" s="78" t="n">
        <x:f>IF('Inputs'!$C$44&gt;0,('Inputs'!$B$30*(3*100*'Inputs'!$B$12-100^2)/(2*'Inputs'!$B$12^2))-('Inputs'!$B$30*(3*99*'Inputs'!$B$12-99^2)/(2*'Inputs'!$B$12^2)),0)</x:f>
        <x:v>291273.4565584548</x:v>
      </x:c>
      <x:c r="E103" s="78" t="n">
        <x:f>C103+D103</x:f>
        <x:v>970911.5218615122</x:v>
      </x:c>
      <x:c r="F103" s="78" t="n">
        <x:f>'Inputs'!$B$13*E103+(1-'Inputs'!$B$13)/'Inputs'!$B$14*SUM(E48:E103)</x:f>
        <x:v>981129.1987239633</x:v>
      </x:c>
      <x:c r="G103" s="78" t="n">
        <x:f>F103*'Inputs'!$F$44</x:f>
        <x:v>883016.2788515671</x:v>
      </x:c>
      <x:c r="H103" s="78" t="n">
        <x:f>U102</x:f>
        <x:v>15845421656.36329</x:v>
      </x:c>
      <x:c r="I103" s="78" t="n">
        <x:f>V102</x:f>
        <x:v>0.7391907653172722</x:v>
      </x:c>
      <x:c r="J103" s="79" t="n">
        <x:f>IF(H103&gt;0,I103/H103,0)</x:f>
        <x:v>4.6650116440443475e-11</x:v>
      </x:c>
      <x:c r="K103" s="80" t="n">
        <x:f>(H103*J103+I103)*'Inputs'!$D$44*(1+'Inputs'!$G$44)^(B103/30)</x:f>
        <x:v>0.2956763061269089</x:v>
      </x:c>
      <x:c r="L103" s="80" t="n">
        <x:f>MAX(0,K103*'Inputs'!$E$44)</x:f>
        <x:v>0</x:v>
      </x:c>
      <x:c r="M103" s="80" t="n">
        <x:f>MAX(0,-K103*'Inputs'!$E$44)</x:f>
        <x:v>0.05913526122538179</x:v>
      </x:c>
      <x:c r="N103" s="78" t="n">
        <x:f>H103*(L103*(1-'Inputs'!$B$15))/(I103+L103*(1-'Inputs'!$B$15))</x:f>
        <x:v>0</x:v>
      </x:c>
      <x:c r="O103" s="78" t="n">
        <x:f>H103-N103</x:f>
        <x:v>15845421656.36329</x:v>
      </x:c>
      <x:c r="P103" s="78" t="n">
        <x:f>I103+L103*(1-'Inputs'!$B$17)</x:f>
        <x:v>0.7391907653172722</x:v>
      </x:c>
      <x:c r="Q103" s="78" t="n">
        <x:f>IF(J103&gt;0,M103/J103,0)</x:f>
        <x:v>1267633732.5090635</x:v>
      </x:c>
      <x:c r="R103" s="78" t="n">
        <x:f>IF(B103='Inputs'!$H$44,'Inputs'!$B$27*'Inputs'!$I$44,0)</x:f>
        <x:v>0</x:v>
      </x:c>
      <x:c r="S103" s="78" t="n">
        <x:f>Q103+G103+R103</x:f>
        <x:v>1268516748.787915</x:v>
      </x:c>
      <x:c r="T103" s="78" t="n">
        <x:f>P103*(S103*(1-'Inputs'!$B$15))/(O103+S103*(1-'Inputs'!$B$15))</x:f>
        <x:v>0.05428251922767352</x:v>
      </x:c>
      <x:c r="U103" s="78" t="n">
        <x:f>O103+S103*(1-'Inputs'!$B$17)</x:f>
        <x:v>17108833709.985058</x:v>
      </x:c>
      <x:c r="V103" s="78" t="n">
        <x:f>P103-T103</x:f>
        <x:v>0.6849082460895988</x:v>
      </x:c>
      <x:c r="W103" s="79" t="n">
        <x:f>IF(U103&gt;0,V103/U103,0)</x:f>
        <x:v>4.003243340251023e-11</x:v>
      </x:c>
      <x:c r="X103" s="80" t="n">
        <x:f>W103*('Inputs'!$B$6-AC103)</x:f>
        <x:v>0.031754821585862306</x:v>
      </x:c>
      <x:c r="Y103" s="80" t="n">
        <x:f>2*V103</x:f>
        <x:v>1.3698164921791975</x:v>
      </x:c>
      <x:c r="Z103" s="80" t="n">
        <x:f>K103*'Inputs'!$B$16+(G103+R103)*J103*'Inputs'!$B$16</x:f>
        <x:v>0.001774304993634817</x:v>
      </x:c>
      <x:c r="AA103" s="80" t="n">
        <x:f>K103*(1+'Inputs'!$E$44)/2*'Inputs'!$B$17</x:f>
        <x:v>0.0004759377160996523</x:v>
      </x:c>
      <x:c r="AB103" s="78" t="n">
        <x:f>(IF(J103&gt;0,K103*(1-'Inputs'!$E$44)/2/J103,0)+G103+R103)*'Inputs'!$B$17</x:f>
        <x:v>15306978.727589706</x:v>
      </x:c>
      <x:c r="AC103" s="78" t="n">
        <x:f>AC102+AB103</x:f>
        <x:v>206772636.91217127</x:v>
      </x:c>
      <x:c r="AD103" s="80" t="n">
        <x:f>Z103/(1+'Inputs'!$C$44)</x:f>
        <x:v>0.0014194439949078536</x:v>
      </x:c>
      <x:c r="AE103" s="80" t="n">
        <x:f>Z103-AD103</x:f>
        <x:v>0.00035486099872696335</x:v>
      </x:c>
      <x:c r="AF103" s="80" t="n">
        <x:f>D103*W103</x:f>
        <x:v>0.000011660385251595297</x:v>
      </x:c>
      <x:c r="AG103" s="80" t="n">
        <x:f>C103*W103</x:f>
        <x:v>0.000027207565587055545</x:v>
      </x:c>
      <x:c r="AH103" s="80" t="n">
        <x:f>2*'Inputs'!$B$8*'Inputs'!$C$44</x:f>
        <x:v>1250</x:v>
      </x:c>
      <x:c r="AI103" s="81" t="n">
        <x:f>IF(AH103&gt;0,(AE103+AF103)/AH103*365,0)</x:f>
        <x:v>0.00010702424412173914</x:v>
      </x:c>
      <x:c r="AJ103" s="81" t="n">
        <x:f>IF('Inputs'!$B$44&gt;0,AG103/('Inputs'!$B$19*'Inputs'!$B$44)*365,0)</x:f>
        <x:v>9.930761439275274e-7</x:v>
      </x:c>
      <x:c r="AK103" s="81" t="n">
        <x:f>W103/MAX($W$4:W103)-1</x:f>
        <x:v>-0.9999999411692984</x:v>
      </x:c>
      <x:c r="AL103" s="83" t="n">
        <x:f>'Inputs'!$B$44</x:f>
        <x:v>1</x:v>
      </x:c>
      <x:c r="AM103" s="83" t="n">
        <x:f>'Inputs'!$C$44</x:f>
        <x:v>0.25</x:v>
      </x:c>
      <x:c r="AN103" s="83" t="n">
        <x:f>'Inputs'!$D$44</x:f>
        <x:v>0.2</x:v>
      </x:c>
      <x:c r="AO103" s="81" t="n">
        <x:f>'Inputs'!$E$44</x:f>
        <x:v>-0.2</x:v>
      </x:c>
    </x:row>
    <x:row r="104">
      <x:c r="A104" s="59" t="str">
        <x:v>No demand</x:v>
      </x:c>
      <x:c r="B104" s="59" t="n">
        <x:v>101</x:v>
      </x:c>
      <x:c r="C104" s="78" t="n">
        <x:f>(('Inputs'!$B$29*(3*101*'Inputs'!$B$12-101^2)/(2*'Inputs'!$B$12^2))-('Inputs'!$B$29*(3*100*'Inputs'!$B$12-100^2)/(2*'Inputs'!$B$12^2)))*'Inputs'!$B$44</x:f>
        <x:v>679312.957402885</x:v>
      </x:c>
      <x:c r="D104" s="78" t="n">
        <x:f>IF('Inputs'!$C$44&gt;0,('Inputs'!$B$30*(3*101*'Inputs'!$B$12-101^2)/(2*'Inputs'!$B$12^2))-('Inputs'!$B$30*(3*100*'Inputs'!$B$12-100^2)/(2*'Inputs'!$B$12^2)),0)</x:f>
        <x:v>291134.1246012375</x:v>
      </x:c>
      <x:c r="E104" s="78" t="n">
        <x:f>C104+D104</x:f>
        <x:v>970447.0820041224</x:v>
      </x:c>
      <x:c r="F104" s="78" t="n">
        <x:f>'Inputs'!$B$13*E104+(1-'Inputs'!$B$13)/'Inputs'!$B$14*SUM(E49:E104)</x:f>
        <x:v>980664.7588665781</x:v>
      </x:c>
      <x:c r="G104" s="78" t="n">
        <x:f>F104*'Inputs'!$F$44</x:f>
        <x:v>882598.2829799203</x:v>
      </x:c>
      <x:c r="H104" s="78" t="n">
        <x:f>U103</x:f>
        <x:v>17108833709.985058</x:v>
      </x:c>
      <x:c r="I104" s="78" t="n">
        <x:f>V103</x:f>
        <x:v>0.6849082460895988</x:v>
      </x:c>
      <x:c r="J104" s="79" t="n">
        <x:f>IF(H104&gt;0,I104/H104,0)</x:f>
        <x:v>4.003243340251023e-11</x:v>
      </x:c>
      <x:c r="K104" s="80" t="n">
        <x:f>(H104*J104+I104)*'Inputs'!$D$44*(1+'Inputs'!$G$44)^(B104/30)</x:f>
        <x:v>0.2739632984358395</x:v>
      </x:c>
      <x:c r="L104" s="80" t="n">
        <x:f>MAX(0,K104*'Inputs'!$E$44)</x:f>
        <x:v>0</x:v>
      </x:c>
      <x:c r="M104" s="80" t="n">
        <x:f>MAX(0,-K104*'Inputs'!$E$44)</x:f>
        <x:v>0.0547926596871679</x:v>
      </x:c>
      <x:c r="N104" s="78" t="n">
        <x:f>H104*(L104*(1-'Inputs'!$B$15))/(I104+L104*(1-'Inputs'!$B$15))</x:f>
        <x:v>0</x:v>
      </x:c>
      <x:c r="O104" s="78" t="n">
        <x:f>H104-N104</x:f>
        <x:v>17108833709.985058</x:v>
      </x:c>
      <x:c r="P104" s="78" t="n">
        <x:f>I104+L104*(1-'Inputs'!$B$17)</x:f>
        <x:v>0.6849082460895988</x:v>
      </x:c>
      <x:c r="Q104" s="78" t="n">
        <x:f>IF(J104&gt;0,M104/J104,0)</x:f>
        <x:v>1368706696.7988045</x:v>
      </x:c>
      <x:c r="R104" s="78" t="n">
        <x:f>IF(B104='Inputs'!$H$44,'Inputs'!$B$27*'Inputs'!$I$44,0)</x:f>
        <x:v>0</x:v>
      </x:c>
      <x:c r="S104" s="78" t="n">
        <x:f>Q104+G104+R104</x:f>
        <x:v>1369589295.0817845</x:v>
      </x:c>
      <x:c r="T104" s="78" t="n">
        <x:f>P104*(S104*(1-'Inputs'!$B$15))/(O104+S104*(1-'Inputs'!$B$15))</x:f>
        <x:v>0.050293869294641115</x:v>
      </x:c>
      <x:c r="U104" s="78" t="n">
        <x:f>O104+S104*(1-'Inputs'!$B$17)</x:f>
        <x:v>18472911579.332108</x:v>
      </x:c>
      <x:c r="V104" s="78" t="n">
        <x:f>P104-T104</x:f>
        <x:v>0.6346143767949577</x:v>
      </x:c>
      <x:c r="W104" s="79" t="n">
        <x:f>IF(U104&gt;0,V104/U104,0)</x:f>
        <x:v>3.4353781972571016e-11</x:v>
      </x:c>
      <x:c r="X104" s="80" t="n">
        <x:f>W104*('Inputs'!$B$6-AC104)</x:f>
        <x:v>0.026682588960934502</x:v>
      </x:c>
      <x:c r="Y104" s="80" t="n">
        <x:f>2*V104</x:f>
        <x:v>1.2692287535899154</x:v>
      </x:c>
      <x:c r="Z104" s="80" t="n">
        <x:f>K104*'Inputs'!$B$16+(G104+R104)*J104*'Inputs'!$B$16</x:f>
        <x:v>0.0016439917859569443</x:v>
      </x:c>
      <x:c r="AA104" s="80" t="n">
        <x:f>K104*(1+'Inputs'!$E$44)/2*'Inputs'!$B$17</x:f>
        <x:v>0.00044098720070155254</x:v>
      </x:c>
      <x:c r="AB104" s="78" t="n">
        <x:f>(IF(J104&gt;0,K104*(1-'Inputs'!$E$44)/2/J104,0)+G104+R104)*'Inputs'!$B$17</x:f>
        <x:v>16527173.79750259</x:v>
      </x:c>
      <x:c r="AC104" s="78" t="n">
        <x:f>AC103+AB104</x:f>
        <x:v>223299810.70967385</x:v>
      </x:c>
      <x:c r="AD104" s="80" t="n">
        <x:f>Z104/(1+'Inputs'!$C$44)</x:f>
        <x:v>0.0013151934287655555</x:v>
      </x:c>
      <x:c r="AE104" s="80" t="n">
        <x:f>Z104-AD104</x:f>
        <x:v>0.0003287983571913888</x:v>
      </x:c>
      <x:c r="AF104" s="80" t="n">
        <x:f>D104*W104</x:f>
        <x:v>0.000010001558241326235</x:v>
      </x:c>
      <x:c r="AG104" s="80" t="n">
        <x:f>C104*W104</x:f>
        <x:v>0.00002333696922976113</x:v>
      </x:c>
      <x:c r="AH104" s="80" t="n">
        <x:f>2*'Inputs'!$B$8*'Inputs'!$C$44</x:f>
        <x:v>1250</x:v>
      </x:c>
      <x:c r="AI104" s="81" t="n">
        <x:f>IF(AH104&gt;0,(AE104+AF104)/AH104*365,0)</x:f>
        <x:v>0.0000989295753063528</x:v>
      </x:c>
      <x:c r="AJ104" s="81" t="n">
        <x:f>IF('Inputs'!$B$44&gt;0,AG104/('Inputs'!$B$19*'Inputs'!$B$44)*365,0)</x:f>
        <x:v>8.517993768862813e-7</x:v>
      </x:c>
      <x:c r="AK104" s="81" t="n">
        <x:f>W104/MAX($W$4:W104)-1</x:f>
        <x:v>-0.999999949514508</x:v>
      </x:c>
      <x:c r="AL104" s="83" t="n">
        <x:f>'Inputs'!$B$44</x:f>
        <x:v>1</x:v>
      </x:c>
      <x:c r="AM104" s="83" t="n">
        <x:f>'Inputs'!$C$44</x:f>
        <x:v>0.25</x:v>
      </x:c>
      <x:c r="AN104" s="83" t="n">
        <x:f>'Inputs'!$D$44</x:f>
        <x:v>0.2</x:v>
      </x:c>
      <x:c r="AO104" s="81" t="n">
        <x:f>'Inputs'!$E$44</x:f>
        <x:v>-0.2</x:v>
      </x:c>
    </x:row>
    <x:row r="105">
      <x:c r="A105" s="59" t="str">
        <x:v>No demand</x:v>
      </x:c>
      <x:c r="B105" s="59" t="n">
        <x:v>102</x:v>
      </x:c>
      <x:c r="C105" s="78" t="n">
        <x:f>(('Inputs'!$B$29*(3*102*'Inputs'!$B$12-102^2)/(2*'Inputs'!$B$12^2))-('Inputs'!$B$29*(3*101*'Inputs'!$B$12-101^2)/(2*'Inputs'!$B$12^2)))*'Inputs'!$B$44</x:f>
        <x:v>678987.8495027274</x:v>
      </x:c>
      <x:c r="D105" s="78" t="n">
        <x:f>IF('Inputs'!$C$44&gt;0,('Inputs'!$B$30*(3*102*'Inputs'!$B$12-102^2)/(2*'Inputs'!$B$12^2))-('Inputs'!$B$30*(3*101*'Inputs'!$B$12-101^2)/(2*'Inputs'!$B$12^2)),0)</x:f>
        <x:v>290994.7926440239</x:v>
      </x:c>
      <x:c r="E105" s="78" t="n">
        <x:f>C105+D105</x:f>
        <x:v>969982.6421467513</x:v>
      </x:c>
      <x:c r="F105" s="78" t="n">
        <x:f>'Inputs'!$B$13*E105+(1-'Inputs'!$B$13)/'Inputs'!$B$14*SUM(E50:E105)</x:f>
        <x:v>980200.3190091965</x:v>
      </x:c>
      <x:c r="G105" s="78" t="n">
        <x:f>F105*'Inputs'!$F$44</x:f>
        <x:v>882180.2871082769</x:v>
      </x:c>
      <x:c r="H105" s="78" t="n">
        <x:f>U104</x:f>
        <x:v>18472911579.332108</x:v>
      </x:c>
      <x:c r="I105" s="78" t="n">
        <x:f>V104</x:f>
        <x:v>0.6346143767949577</x:v>
      </x:c>
      <x:c r="J105" s="79" t="n">
        <x:f>IF(H105&gt;0,I105/H105,0)</x:f>
        <x:v>3.4353781972571016e-11</x:v>
      </x:c>
      <x:c r="K105" s="80" t="n">
        <x:f>(H105*J105+I105)*'Inputs'!$D$44*(1+'Inputs'!$G$44)^(B105/30)</x:f>
        <x:v>0.2538457507179831</x:v>
      </x:c>
      <x:c r="L105" s="80" t="n">
        <x:f>MAX(0,K105*'Inputs'!$E$44)</x:f>
        <x:v>0</x:v>
      </x:c>
      <x:c r="M105" s="80" t="n">
        <x:f>MAX(0,-K105*'Inputs'!$E$44)</x:f>
        <x:v>0.05076915014359662</x:v>
      </x:c>
      <x:c r="N105" s="78" t="n">
        <x:f>H105*(L105*(1-'Inputs'!$B$15))/(I105+L105*(1-'Inputs'!$B$15))</x:f>
        <x:v>0</x:v>
      </x:c>
      <x:c r="O105" s="78" t="n">
        <x:f>H105-N105</x:f>
        <x:v>18472911579.332108</x:v>
      </x:c>
      <x:c r="P105" s="78" t="n">
        <x:f>I105+L105*(1-'Inputs'!$B$17)</x:f>
        <x:v>0.6346143767949577</x:v>
      </x:c>
      <x:c r="Q105" s="78" t="n">
        <x:f>IF(J105&gt;0,M105/J105,0)</x:f>
        <x:v>1477832926.3465686</x:v>
      </x:c>
      <x:c r="R105" s="78" t="n">
        <x:f>IF(B105='Inputs'!$H$44,'Inputs'!$B$27*'Inputs'!$I$44,0)</x:f>
        <x:v>0</x:v>
      </x:c>
      <x:c r="S105" s="78" t="n">
        <x:f>Q105+G105+R105</x:f>
        <x:v>1478715106.6336768</x:v>
      </x:c>
      <x:c r="T105" s="78" t="n">
        <x:f>P105*(S105*(1-'Inputs'!$B$15))/(O105+S105*(1-'Inputs'!$B$15))</x:f>
        <x:v>0.046598645967371954</x:v>
      </x:c>
      <x:c r="U105" s="78" t="n">
        <x:f>O105+S105*(1-'Inputs'!$B$17)</x:f>
        <x:v>19945676122.156395</x:v>
      </x:c>
      <x:c r="V105" s="78" t="n">
        <x:f>P105-T105</x:f>
        <x:v>0.5880157308275857</x:v>
      </x:c>
      <x:c r="W105" s="79" t="n">
        <x:f>IF(U105&gt;0,V105/U105,0)</x:f>
        <x:v>2.948086227943891e-11</x:v>
      </x:c>
      <x:c r="X105" s="80" t="n">
        <x:f>W105*('Inputs'!$B$6-AC105)</x:f>
        <x:v>0.02237171737180988</x:v>
      </x:c>
      <x:c r="Y105" s="80" t="n">
        <x:f>2*V105</x:f>
        <x:v>1.1760314616551715</x:v>
      </x:c>
      <x:c r="Z105" s="80" t="n">
        <x:f>K105*'Inputs'!$B$16+(G105+R105)*J105*'Inputs'!$B$16</x:f>
        <x:v>0.0015232563416833615</x:v>
      </x:c>
      <x:c r="AA105" s="80" t="n">
        <x:f>K105*(1+'Inputs'!$E$44)/2*'Inputs'!$B$17</x:f>
        <x:v>0.0004086048301295503</x:v>
      </x:c>
      <x:c r="AB105" s="78" t="n">
        <x:f>(IF(J105&gt;0,K105*(1-'Inputs'!$E$44)/2/J105,0)+G105+R105)*'Inputs'!$B$17</x:f>
        <x:v>17844591.385620985</x:v>
      </x:c>
      <x:c r="AC105" s="78" t="n">
        <x:f>AC104+AB105</x:f>
        <x:v>241144402.09529483</x:v>
      </x:c>
      <x:c r="AD105" s="80" t="n">
        <x:f>Z105/(1+'Inputs'!$C$44)</x:f>
        <x:v>0.0012186050733466892</x:v>
      </x:c>
      <x:c r="AE105" s="80" t="n">
        <x:f>Z105-AD105</x:f>
        <x:v>0.0003046512683366723</x:v>
      </x:c>
      <x:c r="AF105" s="80" t="n">
        <x:f>D105*W105</x:f>
        <x:v>0.000008578777405972351</x:v>
      </x:c>
      <x:c r="AG105" s="80" t="n">
        <x:f>C105*W105</x:f>
        <x:v>0.000020017147280602297</x:v>
      </x:c>
      <x:c r="AH105" s="80" t="n">
        <x:f>2*'Inputs'!$B$8*'Inputs'!$C$44</x:f>
        <x:v>1250</x:v>
      </x:c>
      <x:c r="AI105" s="81" t="n">
        <x:f>IF(AH105&gt;0,(AE105+AF105)/AH105*365,0)</x:f>
        <x:v>0.00009146317335685224</x:v>
      </x:c>
      <x:c r="AJ105" s="81" t="n">
        <x:f>IF('Inputs'!$B$44&gt;0,AG105/('Inputs'!$B$19*'Inputs'!$B$44)*365,0)</x:f>
        <x:v>7.306258757419838e-7</x:v>
      </x:c>
      <x:c r="AK105" s="81" t="n">
        <x:f>W105/MAX($W$4:W105)-1</x:f>
        <x:v>-0.9999999566756336</x:v>
      </x:c>
      <x:c r="AL105" s="83" t="n">
        <x:f>'Inputs'!$B$44</x:f>
        <x:v>1</x:v>
      </x:c>
      <x:c r="AM105" s="83" t="n">
        <x:f>'Inputs'!$C$44</x:f>
        <x:v>0.25</x:v>
      </x:c>
      <x:c r="AN105" s="83" t="n">
        <x:f>'Inputs'!$D$44</x:f>
        <x:v>0.2</x:v>
      </x:c>
      <x:c r="AO105" s="81" t="n">
        <x:f>'Inputs'!$E$44</x:f>
        <x:v>-0.2</x:v>
      </x:c>
    </x:row>
    <x:row r="106">
      <x:c r="A106" s="59" t="str">
        <x:v>No demand</x:v>
      </x:c>
      <x:c r="B106" s="59" t="n">
        <x:v>103</x:v>
      </x:c>
      <x:c r="C106" s="78" t="n">
        <x:f>(('Inputs'!$B$29*(3*103*'Inputs'!$B$12-103^2)/(2*'Inputs'!$B$12^2))-('Inputs'!$B$29*(3*102*'Inputs'!$B$12-102^2)/(2*'Inputs'!$B$12^2)))*'Inputs'!$B$44</x:f>
        <x:v>678662.7416025549</x:v>
      </x:c>
      <x:c r="D106" s="78" t="n">
        <x:f>IF('Inputs'!$C$44&gt;0,('Inputs'!$B$30*(3*103*'Inputs'!$B$12-103^2)/(2*'Inputs'!$B$12^2))-('Inputs'!$B$30*(3*102*'Inputs'!$B$12-102^2)/(2*'Inputs'!$B$12^2)),0)</x:f>
        <x:v>290855.4606868066</x:v>
      </x:c>
      <x:c r="E106" s="78" t="n">
        <x:f>C106+D106</x:f>
        <x:v>969518.2022893615</x:v>
      </x:c>
      <x:c r="F106" s="78" t="n">
        <x:f>'Inputs'!$B$13*E106+(1-'Inputs'!$B$13)/'Inputs'!$B$14*SUM(E51:E106)</x:f>
        <x:v>979735.8791518115</x:v>
      </x:c>
      <x:c r="G106" s="78" t="n">
        <x:f>F106*'Inputs'!$F$44</x:f>
        <x:v>881762.2912366303</x:v>
      </x:c>
      <x:c r="H106" s="78" t="n">
        <x:f>U105</x:f>
        <x:v>19945676122.156395</x:v>
      </x:c>
      <x:c r="I106" s="78" t="n">
        <x:f>V105</x:f>
        <x:v>0.5880157308275857</x:v>
      </x:c>
      <x:c r="J106" s="79" t="n">
        <x:f>IF(H106&gt;0,I106/H106,0)</x:f>
        <x:v>2.948086227943891e-11</x:v>
      </x:c>
      <x:c r="K106" s="80" t="n">
        <x:f>(H106*J106+I106)*'Inputs'!$D$44*(1+'Inputs'!$G$44)^(B106/30)</x:f>
        <x:v>0.2352062923310343</x:v>
      </x:c>
      <x:c r="L106" s="80" t="n">
        <x:f>MAX(0,K106*'Inputs'!$E$44)</x:f>
        <x:v>0</x:v>
      </x:c>
      <x:c r="M106" s="80" t="n">
        <x:f>MAX(0,-K106*'Inputs'!$E$44)</x:f>
        <x:v>0.04704125846620686</x:v>
      </x:c>
      <x:c r="N106" s="78" t="n">
        <x:f>H106*(L106*(1-'Inputs'!$B$15))/(I106+L106*(1-'Inputs'!$B$15))</x:f>
        <x:v>0</x:v>
      </x:c>
      <x:c r="O106" s="78" t="n">
        <x:f>H106-N106</x:f>
        <x:v>19945676122.156395</x:v>
      </x:c>
      <x:c r="P106" s="78" t="n">
        <x:f>I106+L106*(1-'Inputs'!$B$17)</x:f>
        <x:v>0.5880157308275857</x:v>
      </x:c>
      <x:c r="Q106" s="78" t="n">
        <x:f>IF(J106&gt;0,M106/J106,0)</x:f>
        <x:v>1595654089.7725115</x:v>
      </x:c>
      <x:c r="R106" s="78" t="n">
        <x:f>IF(B106='Inputs'!$H$44,'Inputs'!$B$27*'Inputs'!$I$44,0)</x:f>
        <x:v>0</x:v>
      </x:c>
      <x:c r="S106" s="78" t="n">
        <x:f>Q106+G106+R106</x:f>
        <x:v>1596535852.0637481</x:v>
      </x:c>
      <x:c r="T106" s="78" t="n">
        <x:f>P106*(S106*(1-'Inputs'!$B$15))/(O106+S106*(1-'Inputs'!$B$15))</x:f>
        <x:v>0.04317521444762417</x:v>
      </x:c>
      <x:c r="U106" s="78" t="n">
        <x:f>O106+S106*(1-'Inputs'!$B$17)</x:f>
        <x:v>21535787282.662544</x:v>
      </x:c>
      <x:c r="V106" s="78" t="n">
        <x:f>P106-T106</x:f>
        <x:v>0.5448405163799616</x:v>
      </x:c>
      <x:c r="W106" s="79" t="n">
        <x:f>IF(U106&gt;0,V106/U106,0)</x:f>
        <x:v>2.529930804148438e-11</x:v>
      </x:c>
      <x:c r="X106" s="80" t="n">
        <x:f>W106*('Inputs'!$B$6-AC106)</x:f>
        <x:v>0.01871108031908708</x:v>
      </x:c>
      <x:c r="Y106" s="80" t="n">
        <x:f>2*V106</x:f>
        <x:v>1.0896810327599231</x:v>
      </x:c>
      <x:c r="Z106" s="80" t="n">
        <x:f>K106*'Inputs'!$B$16+(G106+R106)*J106*'Inputs'!$B$16</x:f>
        <x:v>0.0014113937246622327</x:v>
      </x:c>
      <x:c r="AA106" s="80" t="n">
        <x:f>K106*(1+'Inputs'!$E$44)/2*'Inputs'!$B$17</x:f>
        <x:v>0.0003786016777964335</x:v>
      </x:c>
      <x:c r="AB106" s="78" t="n">
        <x:f>(IF(J106&gt;0,K106*(1-'Inputs'!$E$44)/2/J106,0)+G106+R106)*'Inputs'!$B$17</x:f>
        <x:v>19266977.994401492</x:v>
      </x:c>
      <x:c r="AC106" s="78" t="n">
        <x:f>AC105+AB106</x:f>
        <x:v>260411380.08969632</x:v>
      </x:c>
      <x:c r="AD106" s="80" t="n">
        <x:f>Z106/(1+'Inputs'!$C$44)</x:f>
        <x:v>0.001129114979729786</x:v>
      </x:c>
      <x:c r="AE106" s="80" t="n">
        <x:f>Z106-AD106</x:f>
        <x:v>0.00028227874493244663</x:v>
      </x:c>
      <x:c r="AF106" s="80" t="n">
        <x:f>D106*W106</x:f>
        <x:v>0.00000735844189546337</x:v>
      </x:c>
      <x:c r="AG106" s="80" t="n">
        <x:f>C106*W106</x:f>
        <x:v>0.000017169697756081356</x:v>
      </x:c>
      <x:c r="AH106" s="80" t="n">
        <x:f>2*'Inputs'!$B$8*'Inputs'!$C$44</x:f>
        <x:v>1250</x:v>
      </x:c>
      <x:c r="AI106" s="81" t="n">
        <x:f>IF(AH106&gt;0,(AE106+AF106)/AH106*365,0)</x:f>
        <x:v>0.00008457405855374972</x:v>
      </x:c>
      <x:c r="AJ106" s="81" t="n">
        <x:f>IF('Inputs'!$B$44&gt;0,AG106/('Inputs'!$B$19*'Inputs'!$B$44)*365,0)</x:f>
        <x:v>6.266939680969695e-7</x:v>
      </x:c>
      <x:c r="AK106" s="81" t="n">
        <x:f>W106/MAX($W$4:W106)-1</x:f>
        <x:v>-0.9999999628207452</x:v>
      </x:c>
      <x:c r="AL106" s="83" t="n">
        <x:f>'Inputs'!$B$44</x:f>
        <x:v>1</x:v>
      </x:c>
      <x:c r="AM106" s="83" t="n">
        <x:f>'Inputs'!$C$44</x:f>
        <x:v>0.25</x:v>
      </x:c>
      <x:c r="AN106" s="83" t="n">
        <x:f>'Inputs'!$D$44</x:f>
        <x:v>0.2</x:v>
      </x:c>
      <x:c r="AO106" s="81" t="n">
        <x:f>'Inputs'!$E$44</x:f>
        <x:v>-0.2</x:v>
      </x:c>
    </x:row>
    <x:row r="107">
      <x:c r="A107" s="59" t="str">
        <x:v>No demand</x:v>
      </x:c>
      <x:c r="B107" s="59" t="n">
        <x:v>104</x:v>
      </x:c>
      <x:c r="C107" s="78" t="n">
        <x:f>(('Inputs'!$B$29*(3*104*'Inputs'!$B$12-104^2)/(2*'Inputs'!$B$12^2))-('Inputs'!$B$29*(3*103*'Inputs'!$B$12-103^2)/(2*'Inputs'!$B$12^2)))*'Inputs'!$B$44</x:f>
        <x:v>678337.6337023824</x:v>
      </x:c>
      <x:c r="D107" s="78" t="n">
        <x:f>IF('Inputs'!$C$44&gt;0,('Inputs'!$B$30*(3*104*'Inputs'!$B$12-104^2)/(2*'Inputs'!$B$12^2))-('Inputs'!$B$30*(3*103*'Inputs'!$B$12-103^2)/(2*'Inputs'!$B$12^2)),0)</x:f>
        <x:v>290716.128729593</x:v>
      </x:c>
      <x:c r="E107" s="78" t="n">
        <x:f>C107+D107</x:f>
        <x:v>969053.7624319755</x:v>
      </x:c>
      <x:c r="F107" s="78" t="n">
        <x:f>'Inputs'!$B$13*E107+(1-'Inputs'!$B$13)/'Inputs'!$B$14*SUM(E52:E107)</x:f>
        <x:v>979271.4392944269</x:v>
      </x:c>
      <x:c r="G107" s="78" t="n">
        <x:f>F107*'Inputs'!$F$44</x:f>
        <x:v>881344.2953649843</x:v>
      </x:c>
      <x:c r="H107" s="78" t="n">
        <x:f>U106</x:f>
        <x:v>21535787282.662544</x:v>
      </x:c>
      <x:c r="I107" s="78" t="n">
        <x:f>V106</x:f>
        <x:v>0.5448405163799616</x:v>
      </x:c>
      <x:c r="J107" s="79" t="n">
        <x:f>IF(H107&gt;0,I107/H107,0)</x:f>
        <x:v>2.529930804148438e-11</x:v>
      </x:c>
      <x:c r="K107" s="80" t="n">
        <x:f>(H107*J107+I107)*'Inputs'!$D$44*(1+'Inputs'!$G$44)^(B107/30)</x:f>
        <x:v>0.21793620655198465</x:v>
      </x:c>
      <x:c r="L107" s="80" t="n">
        <x:f>MAX(0,K107*'Inputs'!$E$44)</x:f>
        <x:v>0</x:v>
      </x:c>
      <x:c r="M107" s="80" t="n">
        <x:f>MAX(0,-K107*'Inputs'!$E$44)</x:f>
        <x:v>0.04358724131039693</x:v>
      </x:c>
      <x:c r="N107" s="78" t="n">
        <x:f>H107*(L107*(1-'Inputs'!$B$15))/(I107+L107*(1-'Inputs'!$B$15))</x:f>
        <x:v>0</x:v>
      </x:c>
      <x:c r="O107" s="78" t="n">
        <x:f>H107-N107</x:f>
        <x:v>21535787282.662544</x:v>
      </x:c>
      <x:c r="P107" s="78" t="n">
        <x:f>I107+L107*(1-'Inputs'!$B$17)</x:f>
        <x:v>0.5448405163799616</x:v>
      </x:c>
      <x:c r="Q107" s="78" t="n">
        <x:f>IF(J107&gt;0,M107/J107,0)</x:f>
        <x:v>1722862982.6130037</x:v>
      </x:c>
      <x:c r="R107" s="78" t="n">
        <x:f>IF(B107='Inputs'!$H$44,'Inputs'!$B$27*'Inputs'!$I$44,0)</x:f>
        <x:v>0</x:v>
      </x:c>
      <x:c r="S107" s="78" t="n">
        <x:f>Q107+G107+R107</x:f>
        <x:v>1723744326.9083688</x:v>
      </x:c>
      <x:c r="T107" s="78" t="n">
        <x:f>P107*(S107*(1-'Inputs'!$B$15))/(O107+S107*(1-'Inputs'!$B$15))</x:f>
        <x:v>0.040003542035709765</x:v>
      </x:c>
      <x:c r="U107" s="78" t="n">
        <x:f>O107+S107*(1-'Inputs'!$B$17)</x:f>
        <x:v>23252595012.681946</x:v>
      </x:c>
      <x:c r="V107" s="78" t="n">
        <x:f>P107-T107</x:f>
        <x:v>0.5048369743442518</x:v>
      </x:c>
      <x:c r="W107" s="79" t="n">
        <x:f>IF(U107&gt;0,V107/U107,0)</x:f>
        <x:v>2.171099501233794e-11</x:v>
      </x:c>
      <x:c r="X107" s="80" t="n">
        <x:f>W107*('Inputs'!$B$6-AC107)</x:f>
        <x:v>0.01560555757958787</x:v>
      </x:c>
      <x:c r="Y107" s="80" t="n">
        <x:f>2*V107</x:f>
        <x:v>1.0096739486885036</x:v>
      </x:c>
      <x:c r="Z107" s="80" t="n">
        <x:f>K107*'Inputs'!$B$16+(G107+R107)*J107*'Inputs'!$B$16</x:f>
        <x:v>0.0013077510237168221</x:v>
      </x:c>
      <x:c r="AA107" s="80" t="n">
        <x:f>K107*(1+'Inputs'!$E$44)/2*'Inputs'!$B$17</x:f>
        <x:v>0.00035080274696496524</x:v>
      </x:c>
      <x:c r="AB107" s="78" t="n">
        <x:f>(IF(J107&gt;0,K107*(1-'Inputs'!$E$44)/2/J107,0)+G107+R107)*'Inputs'!$B$17</x:f>
        <x:v>20802697.35265343</x:v>
      </x:c>
      <x:c r="AC107" s="78" t="n">
        <x:f>AC106+AB107</x:f>
        <x:v>281214077.44234973</x:v>
      </x:c>
      <x:c r="AD107" s="80" t="n">
        <x:f>Z107/(1+'Inputs'!$C$44)</x:f>
        <x:v>0.0010462008189734578</x:v>
      </x:c>
      <x:c r="AE107" s="80" t="n">
        <x:f>Z107-AD107</x:f>
        <x:v>0.00026155020474336434</x:v>
      </x:c>
      <x:c r="AF107" s="80" t="n">
        <x:f>D107*W107</x:f>
        <x:v>0.000006311736420854388</x:v>
      </x:c>
      <x:c r="AG107" s="80" t="n">
        <x:f>C107*W107</x:f>
        <x:v>0.000014727384981993546</x:v>
      </x:c>
      <x:c r="AH107" s="80" t="n">
        <x:f>2*'Inputs'!$B$8*'Inputs'!$C$44</x:f>
        <x:v>1250</x:v>
      </x:c>
      <x:c r="AI107" s="81" t="n">
        <x:f>IF(AH107&gt;0,(AE107+AF107)/AH107*365,0)</x:f>
        <x:v>0.00007821568681995186</x:v>
      </x:c>
      <x:c r="AJ107" s="81" t="n">
        <x:f>IF('Inputs'!$B$44&gt;0,AG107/('Inputs'!$B$19*'Inputs'!$B$44)*365,0)</x:f>
        <x:v>5.375495518427644e-7</x:v>
      </x:c>
      <x:c r="AK107" s="81" t="n">
        <x:f>W107/MAX($W$4:W107)-1</x:f>
        <x:v>-0.9999999680940437</x:v>
      </x:c>
      <x:c r="AL107" s="83" t="n">
        <x:f>'Inputs'!$B$44</x:f>
        <x:v>1</x:v>
      </x:c>
      <x:c r="AM107" s="83" t="n">
        <x:f>'Inputs'!$C$44</x:f>
        <x:v>0.25</x:v>
      </x:c>
      <x:c r="AN107" s="83" t="n">
        <x:f>'Inputs'!$D$44</x:f>
        <x:v>0.2</x:v>
      </x:c>
      <x:c r="AO107" s="81" t="n">
        <x:f>'Inputs'!$E$44</x:f>
        <x:v>-0.2</x:v>
      </x:c>
    </x:row>
    <x:row r="108">
      <x:c r="A108" s="59" t="str">
        <x:v>No demand</x:v>
      </x:c>
      <x:c r="B108" s="59" t="n">
        <x:v>105</x:v>
      </x:c>
      <x:c r="C108" s="78" t="n">
        <x:f>(('Inputs'!$B$29*(3*105*'Inputs'!$B$12-105^2)/(2*'Inputs'!$B$12^2))-('Inputs'!$B$29*(3*104*'Inputs'!$B$12-104^2)/(2*'Inputs'!$B$12^2)))*'Inputs'!$B$44</x:f>
        <x:v>678012.52580221</x:v>
      </x:c>
      <x:c r="D108" s="78" t="n">
        <x:f>IF('Inputs'!$C$44&gt;0,('Inputs'!$B$30*(3*105*'Inputs'!$B$12-105^2)/(2*'Inputs'!$B$12^2))-('Inputs'!$B$30*(3*104*'Inputs'!$B$12-104^2)/(2*'Inputs'!$B$12^2)),0)</x:f>
        <x:v>290576.7967723794</x:v>
      </x:c>
      <x:c r="E108" s="78" t="n">
        <x:f>C108+D108</x:f>
        <x:v>968589.3225745894</x:v>
      </x:c>
      <x:c r="F108" s="78" t="n">
        <x:f>'Inputs'!$B$13*E108+(1-'Inputs'!$B$13)/'Inputs'!$B$14*SUM(E53:E108)</x:f>
        <x:v>978806.9994370425</x:v>
      </x:c>
      <x:c r="G108" s="78" t="n">
        <x:f>F108*'Inputs'!$F$44</x:f>
        <x:v>880926.2994933383</x:v>
      </x:c>
      <x:c r="H108" s="78" t="n">
        <x:f>U107</x:f>
        <x:v>23252595012.681946</x:v>
      </x:c>
      <x:c r="I108" s="78" t="n">
        <x:f>V107</x:f>
        <x:v>0.5048369743442518</x:v>
      </x:c>
      <x:c r="J108" s="79" t="n">
        <x:f>IF(H108&gt;0,I108/H108,0)</x:f>
        <x:v>2.171099501233794e-11</x:v>
      </x:c>
      <x:c r="K108" s="80" t="n">
        <x:f>(H108*J108+I108)*'Inputs'!$D$44*(1+'Inputs'!$G$44)^(B108/30)</x:f>
        <x:v>0.20193478973770074</x:v>
      </x:c>
      <x:c r="L108" s="80" t="n">
        <x:f>MAX(0,K108*'Inputs'!$E$44)</x:f>
        <x:v>0</x:v>
      </x:c>
      <x:c r="M108" s="80" t="n">
        <x:f>MAX(0,-K108*'Inputs'!$E$44)</x:f>
        <x:v>0.04038695794754015</x:v>
      </x:c>
      <x:c r="N108" s="78" t="n">
        <x:f>H108*(L108*(1-'Inputs'!$B$15))/(I108+L108*(1-'Inputs'!$B$15))</x:f>
        <x:v>0</x:v>
      </x:c>
      <x:c r="O108" s="78" t="n">
        <x:f>H108-N108</x:f>
        <x:v>23252595012.681946</x:v>
      </x:c>
      <x:c r="P108" s="78" t="n">
        <x:f>I108+L108*(1-'Inputs'!$B$17)</x:f>
        <x:v>0.5048369743442518</x:v>
      </x:c>
      <x:c r="Q108" s="78" t="n">
        <x:f>IF(J108&gt;0,M108/J108,0)</x:f>
        <x:v>1860207601.0145562</x:v>
      </x:c>
      <x:c r="R108" s="78" t="n">
        <x:f>IF(B108='Inputs'!$H$44,'Inputs'!$B$27*'Inputs'!$I$44,0)</x:f>
        <x:v>0</x:v>
      </x:c>
      <x:c r="S108" s="78" t="n">
        <x:f>Q108+G108+R108</x:f>
        <x:v>1861088527.3140495</x:v>
      </x:c>
      <x:c r="T108" s="78" t="n">
        <x:f>P108*(S108*(1-'Inputs'!$B$15))/(O108+S108*(1-'Inputs'!$B$15))</x:f>
        <x:v>0.03706507850774486</x:v>
      </x:c>
      <x:c r="U108" s="78" t="n">
        <x:f>O108+S108*(1-'Inputs'!$B$17)</x:f>
        <x:v>25106194250.147648</x:v>
      </x:c>
      <x:c r="V108" s="78" t="n">
        <x:f>P108-T108</x:f>
        <x:v>0.4677718958365069</x:v>
      </x:c>
      <x:c r="W108" s="79" t="n">
        <x:f>IF(U108&gt;0,V108/U108,0)</x:f>
        <x:v>1.8631732518908395e-11</x:v>
      </x:c>
      <x:c r="X108" s="80" t="n">
        <x:f>W108*('Inputs'!$B$6-AC108)</x:f>
        <x:v>0.012973743809871824</x:v>
      </x:c>
      <x:c r="Y108" s="80" t="n">
        <x:f>2*V108</x:f>
        <x:v>0.9355437916730138</x:v>
      </x:c>
      <x:c r="Z108" s="80" t="n">
        <x:f>K108*'Inputs'!$B$16+(G108+R108)*J108*'Inputs'!$B$16</x:f>
        <x:v>0.0012117234931451717</x:v>
      </x:c>
      <x:c r="AA108" s="80" t="n">
        <x:f>K108*(1+'Inputs'!$E$44)/2*'Inputs'!$B$17</x:f>
        <x:v>0.00032504593921561494</x:v>
      </x:c>
      <x:c r="AB108" s="78" t="n">
        <x:f>(IF(J108&gt;0,K108*(1-'Inputs'!$E$44)/2/J108,0)+G108+R108)*'Inputs'!$B$17</x:f>
        <x:v>22460779.5949423</x:v>
      </x:c>
      <x:c r="AC108" s="78" t="n">
        <x:f>AC107+AB108</x:f>
        <x:v>303674857.037292</x:v>
      </x:c>
      <x:c r="AD108" s="80" t="n">
        <x:f>Z108/(1+'Inputs'!$C$44)</x:f>
        <x:v>0.0009693787945161374</x:v>
      </x:c>
      <x:c r="AE108" s="80" t="n">
        <x:f>Z108-AD108</x:f>
        <x:v>0.0002423446986290343</x:v>
      </x:c>
      <x:c r="AF108" s="80" t="n">
        <x:f>D108*W108</x:f>
        <x:v>0.000005413949153664178</x:v>
      </x:c>
      <x:c r="AG108" s="80" t="n">
        <x:f>C108*W108</x:f>
        <x:v>0.000012632548025216253</x:v>
      </x:c>
      <x:c r="AH108" s="80" t="n">
        <x:f>2*'Inputs'!$B$8*'Inputs'!$C$44</x:f>
        <x:v>1250</x:v>
      </x:c>
      <x:c r="AI108" s="81" t="n">
        <x:f>IF(AH108&gt;0,(AE108+AF108)/AH108*365,0)</x:f>
        <x:v>0.00007234552515254797</x:v>
      </x:c>
      <x:c r="AJ108" s="81" t="n">
        <x:f>IF('Inputs'!$B$44&gt;0,AG108/('Inputs'!$B$19*'Inputs'!$B$44)*365,0)</x:f>
        <x:v>4.6108800292039327e-7</x:v>
      </x:c>
      <x:c r="AK108" s="81" t="n">
        <x:f>W108/MAX($W$4:W108)-1</x:f>
        <x:v>-0.9999999726192539</x:v>
      </x:c>
      <x:c r="AL108" s="83" t="n">
        <x:f>'Inputs'!$B$44</x:f>
        <x:v>1</x:v>
      </x:c>
      <x:c r="AM108" s="83" t="n">
        <x:f>'Inputs'!$C$44</x:f>
        <x:v>0.25</x:v>
      </x:c>
      <x:c r="AN108" s="83" t="n">
        <x:f>'Inputs'!$D$44</x:f>
        <x:v>0.2</x:v>
      </x:c>
      <x:c r="AO108" s="81" t="n">
        <x:f>'Inputs'!$E$44</x:f>
        <x:v>-0.2</x:v>
      </x:c>
    </x:row>
    <x:row r="109">
      <x:c r="A109" s="59" t="str">
        <x:v>No demand</x:v>
      </x:c>
      <x:c r="B109" s="59" t="n">
        <x:v>106</x:v>
      </x:c>
      <x:c r="C109" s="78" t="n">
        <x:f>(('Inputs'!$B$29*(3*106*'Inputs'!$B$12-106^2)/(2*'Inputs'!$B$12^2))-('Inputs'!$B$29*(3*105*'Inputs'!$B$12-105^2)/(2*'Inputs'!$B$12^2)))*'Inputs'!$B$44</x:f>
        <x:v>677687.4179020375</x:v>
      </x:c>
      <x:c r="D109" s="78" t="n">
        <x:f>IF('Inputs'!$C$44&gt;0,('Inputs'!$B$30*(3*106*'Inputs'!$B$12-106^2)/(2*'Inputs'!$B$12^2))-('Inputs'!$B$30*(3*105*'Inputs'!$B$12-105^2)/(2*'Inputs'!$B$12^2)),0)</x:f>
        <x:v>290437.4648151621</x:v>
      </x:c>
      <x:c r="E109" s="78" t="n">
        <x:f>C109+D109</x:f>
        <x:v>968124.8827171996</x:v>
      </x:c>
      <x:c r="F109" s="78" t="n">
        <x:f>'Inputs'!$B$13*E109+(1-'Inputs'!$B$13)/'Inputs'!$B$14*SUM(E54:E109)</x:f>
        <x:v>978342.5595796569</x:v>
      </x:c>
      <x:c r="G109" s="78" t="n">
        <x:f>F109*'Inputs'!$F$44</x:f>
        <x:v>880508.3036216913</x:v>
      </x:c>
      <x:c r="H109" s="78" t="n">
        <x:f>U108</x:f>
        <x:v>25106194250.147648</x:v>
      </x:c>
      <x:c r="I109" s="78" t="n">
        <x:f>V108</x:f>
        <x:v>0.4677718958365069</x:v>
      </x:c>
      <x:c r="J109" s="79" t="n">
        <x:f>IF(H109&gt;0,I109/H109,0)</x:f>
        <x:v>1.8631732518908395e-11</x:v>
      </x:c>
      <x:c r="K109" s="80" t="n">
        <x:f>(H109*J109+I109)*'Inputs'!$D$44*(1+'Inputs'!$G$44)^(B109/30)</x:f>
        <x:v>0.18710875833460278</x:v>
      </x:c>
      <x:c r="L109" s="80" t="n">
        <x:f>MAX(0,K109*'Inputs'!$E$44)</x:f>
        <x:v>0</x:v>
      </x:c>
      <x:c r="M109" s="80" t="n">
        <x:f>MAX(0,-K109*'Inputs'!$E$44)</x:f>
        <x:v>0.03742175166692056</x:v>
      </x:c>
      <x:c r="N109" s="78" t="n">
        <x:f>H109*(L109*(1-'Inputs'!$B$15))/(I109+L109*(1-'Inputs'!$B$15))</x:f>
        <x:v>0</x:v>
      </x:c>
      <x:c r="O109" s="78" t="n">
        <x:f>H109-N109</x:f>
        <x:v>25106194250.147648</x:v>
      </x:c>
      <x:c r="P109" s="78" t="n">
        <x:f>I109+L109*(1-'Inputs'!$B$17)</x:f>
        <x:v>0.4677718958365069</x:v>
      </x:c>
      <x:c r="Q109" s="78" t="n">
        <x:f>IF(J109&gt;0,M109/J109,0)</x:f>
        <x:v>2008495540.011812</x:v>
      </x:c>
      <x:c r="R109" s="78" t="n">
        <x:f>IF(B109='Inputs'!$H$44,'Inputs'!$B$27*'Inputs'!$I$44,0)</x:f>
        <x:v>0</x:v>
      </x:c>
      <x:c r="S109" s="78" t="n">
        <x:f>Q109+G109+R109</x:f>
        <x:v>2009376048.3154337</x:v>
      </x:c>
      <x:c r="T109" s="78" t="n">
        <x:f>P109*(S109*(1-'Inputs'!$B$15))/(O109+S109*(1-'Inputs'!$B$15))</x:f>
        <x:v>0.03434264556406521</x:v>
      </x:c>
      <x:c r="U109" s="78" t="n">
        <x:f>O109+S109*(1-'Inputs'!$B$17)</x:f>
        <x:v>27107484278.14793</x:v>
      </x:c>
      <x:c r="V109" s="78" t="n">
        <x:f>P109-T109</x:f>
        <x:v>0.4334292502724417</x:v>
      </x:c>
      <x:c r="W109" s="79" t="n">
        <x:f>IF(U109&gt;0,V109/U109,0)</x:f>
        <x:v>1.5989283469651982e-11</x:v>
      </x:c>
      <x:c r="X109" s="80" t="n">
        <x:f>W109*('Inputs'!$B$6-AC109)</x:f>
        <x:v>0.010745984394427161</x:v>
      </x:c>
      <x:c r="Y109" s="80" t="n">
        <x:f>2*V109</x:f>
        <x:v>0.8668585005448834</x:v>
      </x:c>
      <x:c r="Z109" s="80" t="n">
        <x:f>K109*'Inputs'!$B$16+(G109+R109)*J109*'Inputs'!$B$16</x:f>
        <x:v>0.0011227509823787793</x:v>
      </x:c>
      <x:c r="AA109" s="80" t="n">
        <x:f>K109*(1+'Inputs'!$E$44)/2*'Inputs'!$B$17</x:f>
        <x:v>0.00030118109993497433</x:v>
      </x:c>
      <x:c r="AB109" s="78" t="n">
        <x:f>(IF(J109&gt;0,K109*(1-'Inputs'!$E$44)/2/J109,0)+G109+R109)*'Inputs'!$B$17</x:f>
        <x:v>24250974.35951331</x:v>
      </x:c>
      <x:c r="AC109" s="78" t="n">
        <x:f>AC108+AB109</x:f>
        <x:v>327925831.3968053</x:v>
      </x:c>
      <x:c r="AD109" s="80" t="n">
        <x:f>Z109/(1+'Inputs'!$C$44)</x:f>
        <x:v>0.0008982007859030235</x:v>
      </x:c>
      <x:c r="AE109" s="80" t="n">
        <x:f>Z109-AD109</x:f>
        <x:v>0.00022455019647575581</x:v>
      </x:c>
      <x:c r="AF109" s="80" t="n">
        <x:f>D109*W109</x:f>
        <x:v>0.000004643886955136701</x:v>
      </x:c>
      <x:c r="AG109" s="80" t="n">
        <x:f>C109*W109</x:f>
        <x:v>0.000010835736228652182</x:v>
      </x:c>
      <x:c r="AH109" s="80" t="n">
        <x:f>2*'Inputs'!$B$8*'Inputs'!$C$44</x:f>
        <x:v>1250</x:v>
      </x:c>
      <x:c r="AI109" s="81" t="n">
        <x:f>IF(AH109&gt;0,(AE109+AF109)/AH109*365,0)</x:f>
        <x:v>0.00006692467236182061</x:v>
      </x:c>
      <x:c r="AJ109" s="81" t="n">
        <x:f>IF('Inputs'!$B$44&gt;0,AG109/('Inputs'!$B$19*'Inputs'!$B$44)*365,0)</x:f>
        <x:v>3.9550437234580463e-7</x:v>
      </x:c>
      <x:c r="AK109" s="81" t="n">
        <x:f>W109/MAX($W$4:W109)-1</x:f>
        <x:v>-0.9999999765025335</x:v>
      </x:c>
      <x:c r="AL109" s="83" t="n">
        <x:f>'Inputs'!$B$44</x:f>
        <x:v>1</x:v>
      </x:c>
      <x:c r="AM109" s="83" t="n">
        <x:f>'Inputs'!$C$44</x:f>
        <x:v>0.25</x:v>
      </x:c>
      <x:c r="AN109" s="83" t="n">
        <x:f>'Inputs'!$D$44</x:f>
        <x:v>0.2</x:v>
      </x:c>
      <x:c r="AO109" s="81" t="n">
        <x:f>'Inputs'!$E$44</x:f>
        <x:v>-0.2</x:v>
      </x:c>
    </x:row>
    <x:row r="110">
      <x:c r="A110" s="59" t="str">
        <x:v>No demand</x:v>
      </x:c>
      <x:c r="B110" s="59" t="n">
        <x:v>107</x:v>
      </x:c>
      <x:c r="C110" s="78" t="n">
        <x:f>(('Inputs'!$B$29*(3*107*'Inputs'!$B$12-107^2)/(2*'Inputs'!$B$12^2))-('Inputs'!$B$29*(3*106*'Inputs'!$B$12-106^2)/(2*'Inputs'!$B$12^2)))*'Inputs'!$B$44</x:f>
        <x:v>677362.3100018799</x:v>
      </x:c>
      <x:c r="D110" s="78" t="n">
        <x:f>IF('Inputs'!$C$44&gt;0,('Inputs'!$B$30*(3*107*'Inputs'!$B$12-107^2)/(2*'Inputs'!$B$12^2))-('Inputs'!$B$30*(3*106*'Inputs'!$B$12-106^2)/(2*'Inputs'!$B$12^2)),0)</x:f>
        <x:v>290298.1328579448</x:v>
      </x:c>
      <x:c r="E110" s="78" t="n">
        <x:f>C110+D110</x:f>
        <x:v>967660.4428598247</x:v>
      </x:c>
      <x:c r="F110" s="78" t="n">
        <x:f>'Inputs'!$B$13*E110+(1-'Inputs'!$B$13)/'Inputs'!$B$14*SUM(E55:E110)</x:f>
        <x:v>977878.1197222748</x:v>
      </x:c>
      <x:c r="G110" s="78" t="n">
        <x:f>F110*'Inputs'!$F$44</x:f>
        <x:v>880090.3077500474</x:v>
      </x:c>
      <x:c r="H110" s="78" t="n">
        <x:f>U109</x:f>
        <x:v>27107484278.14793</x:v>
      </x:c>
      <x:c r="I110" s="78" t="n">
        <x:f>V109</x:f>
        <x:v>0.4334292502724417</x:v>
      </x:c>
      <x:c r="J110" s="79" t="n">
        <x:f>IF(H110&gt;0,I110/H110,0)</x:f>
        <x:v>1.5989283469651982e-11</x:v>
      </x:c>
      <x:c r="K110" s="80" t="n">
        <x:f>(H110*J110+I110)*'Inputs'!$D$44*(1+'Inputs'!$G$44)^(B110/30)</x:f>
        <x:v>0.1733717001089767</x:v>
      </x:c>
      <x:c r="L110" s="80" t="n">
        <x:f>MAX(0,K110*'Inputs'!$E$44)</x:f>
        <x:v>0</x:v>
      </x:c>
      <x:c r="M110" s="80" t="n">
        <x:f>MAX(0,-K110*'Inputs'!$E$44)</x:f>
        <x:v>0.03467434002179534</x:v>
      </x:c>
      <x:c r="N110" s="78" t="n">
        <x:f>H110*(L110*(1-'Inputs'!$B$15))/(I110+L110*(1-'Inputs'!$B$15))</x:f>
        <x:v>0</x:v>
      </x:c>
      <x:c r="O110" s="78" t="n">
        <x:f>H110-N110</x:f>
        <x:v>27107484278.14793</x:v>
      </x:c>
      <x:c r="P110" s="78" t="n">
        <x:f>I110+L110*(1-'Inputs'!$B$17)</x:f>
        <x:v>0.4334292502724417</x:v>
      </x:c>
      <x:c r="Q110" s="78" t="n">
        <x:f>IF(J110&gt;0,M110/J110,0)</x:f>
        <x:v>2168598742.251835</x:v>
      </x:c>
      <x:c r="R110" s="78" t="n">
        <x:f>IF(B110='Inputs'!$H$44,'Inputs'!$B$27*'Inputs'!$I$44,0)</x:f>
        <x:v>0</x:v>
      </x:c>
      <x:c r="S110" s="78" t="n">
        <x:f>Q110+G110+R110</x:f>
        <x:v>2169478832.559585</x:v>
      </x:c>
      <x:c r="T110" s="78" t="n">
        <x:f>P110*(S110*(1-'Inputs'!$B$15))/(O110+S110*(1-'Inputs'!$B$15))</x:f>
        <x:v>0.031820334641308026</x:v>
      </x:c>
      <x:c r="U110" s="78" t="n">
        <x:f>O110+S110*(1-'Inputs'!$B$17)</x:f>
        <x:v>29268232813.5946</x:v>
      </x:c>
      <x:c r="V110" s="78" t="n">
        <x:f>P110-T110</x:f>
        <x:v>0.4016089156311337</x:v>
      </x:c>
      <x:c r="W110" s="79" t="n">
        <x:f>IF(U110&gt;0,V110/U110,0)</x:f>
        <x:v>1.3721666018885607e-11</x:v>
      </x:c>
      <x:c r="X110" s="80" t="n">
        <x:f>W110*('Inputs'!$B$6-AC110)</x:f>
        <x:v>0.008862691811409813</x:v>
      </x:c>
      <x:c r="Y110" s="80" t="n">
        <x:f>2*V110</x:f>
        <x:v>0.8032178312622674</x:v>
      </x:c>
      <x:c r="Z110" s="80" t="n">
        <x:f>K110*'Inputs'!$B$16+(G110+R110)*J110*'Inputs'!$B$16</x:f>
        <x:v>0.0010403146327343175</x:v>
      </x:c>
      <x:c r="AA110" s="80" t="n">
        <x:f>K110*(1+'Inputs'!$E$44)/2*'Inputs'!$B$17</x:f>
        <x:v>0.00027906913498426835</x:v>
      </x:c>
      <x:c r="AB110" s="78" t="n">
        <x:f>(IF(J110&gt;0,K110*(1-'Inputs'!$E$44)/2/J110,0)+G110+R110)*'Inputs'!$B$17</x:f>
        <x:v>26183808.116954748</x:v>
      </x:c>
      <x:c r="AC110" s="78" t="n">
        <x:f>AC109+AB110</x:f>
        <x:v>354109639.51376003</x:v>
      </x:c>
      <x:c r="AD110" s="80" t="n">
        <x:f>Z110/(1+'Inputs'!$C$44)</x:f>
        <x:v>0.000832251706187454</x:v>
      </x:c>
      <x:c r="AE110" s="80" t="n">
        <x:f>Z110-AD110</x:f>
        <x:v>0.0002080629265468635</x:v>
      </x:c>
      <x:c r="AF110" s="80" t="n">
        <x:f>D110*W110</x:f>
        <x:v>0.000003983374024982801</x:v>
      </x:c>
      <x:c r="AG110" s="80" t="n">
        <x:f>C110*W110</x:f>
        <x:v>0.000009294539391626654</x:v>
      </x:c>
      <x:c r="AH110" s="80" t="n">
        <x:f>2*'Inputs'!$B$8*'Inputs'!$C$44</x:f>
        <x:v>1250</x:v>
      </x:c>
      <x:c r="AI110" s="81" t="n">
        <x:f>IF(AH110&gt;0,(AE110+AF110)/AH110*365,0)</x:f>
        <x:v>0.00006191751976697911</x:v>
      </x:c>
      <x:c r="AJ110" s="81" t="n">
        <x:f>IF('Inputs'!$B$44&gt;0,AG110/('Inputs'!$B$19*'Inputs'!$B$44)*365,0)</x:f>
        <x:v>3.392506877943729e-7</x:v>
      </x:c>
      <x:c r="AK110" s="81" t="n">
        <x:f>W110/MAX($W$4:W110)-1</x:f>
        <x:v>-0.9999999798349696</x:v>
      </x:c>
      <x:c r="AL110" s="83" t="n">
        <x:f>'Inputs'!$B$44</x:f>
        <x:v>1</x:v>
      </x:c>
      <x:c r="AM110" s="83" t="n">
        <x:f>'Inputs'!$C$44</x:f>
        <x:v>0.25</x:v>
      </x:c>
      <x:c r="AN110" s="83" t="n">
        <x:f>'Inputs'!$D$44</x:f>
        <x:v>0.2</x:v>
      </x:c>
      <x:c r="AO110" s="81" t="n">
        <x:f>'Inputs'!$E$44</x:f>
        <x:v>-0.2</x:v>
      </x:c>
    </x:row>
    <x:row r="111">
      <x:c r="A111" s="59" t="str">
        <x:v>No demand</x:v>
      </x:c>
      <x:c r="B111" s="59" t="n">
        <x:v>108</x:v>
      </x:c>
      <x:c r="C111" s="78" t="n">
        <x:f>(('Inputs'!$B$29*(3*108*'Inputs'!$B$12-108^2)/(2*'Inputs'!$B$12^2))-('Inputs'!$B$29*(3*107*'Inputs'!$B$12-107^2)/(2*'Inputs'!$B$12^2)))*'Inputs'!$B$44</x:f>
        <x:v>677037.2021017075</x:v>
      </x:c>
      <x:c r="D111" s="78" t="n">
        <x:f>IF('Inputs'!$C$44&gt;0,('Inputs'!$B$30*(3*108*'Inputs'!$B$12-108^2)/(2*'Inputs'!$B$12^2))-('Inputs'!$B$30*(3*107*'Inputs'!$B$12-107^2)/(2*'Inputs'!$B$12^2)),0)</x:f>
        <x:v>290158.80090073124</x:v>
      </x:c>
      <x:c r="E111" s="78" t="n">
        <x:f>C111+D111</x:f>
        <x:v>967196.0030024387</x:v>
      </x:c>
      <x:c r="F111" s="78" t="n">
        <x:f>'Inputs'!$B$13*E111+(1-'Inputs'!$B$13)/'Inputs'!$B$14*SUM(E56:E111)</x:f>
        <x:v>977413.6798648901</x:v>
      </x:c>
      <x:c r="G111" s="78" t="n">
        <x:f>F111*'Inputs'!$F$44</x:f>
        <x:v>879672.3118784011</x:v>
      </x:c>
      <x:c r="H111" s="78" t="n">
        <x:f>U110</x:f>
        <x:v>29268232813.5946</x:v>
      </x:c>
      <x:c r="I111" s="78" t="n">
        <x:f>V110</x:f>
        <x:v>0.4016089156311337</x:v>
      </x:c>
      <x:c r="J111" s="79" t="n">
        <x:f>IF(H111&gt;0,I111/H111,0)</x:f>
        <x:v>1.3721666018885607e-11</x:v>
      </x:c>
      <x:c r="K111" s="80" t="n">
        <x:f>(H111*J111+I111)*'Inputs'!$D$44*(1+'Inputs'!$G$44)^(B111/30)</x:f>
        <x:v>0.1606435662524535</x:v>
      </x:c>
      <x:c r="L111" s="80" t="n">
        <x:f>MAX(0,K111*'Inputs'!$E$44)</x:f>
        <x:v>0</x:v>
      </x:c>
      <x:c r="M111" s="80" t="n">
        <x:f>MAX(0,-K111*'Inputs'!$E$44)</x:f>
        <x:v>0.0321287132504907</x:v>
      </x:c>
      <x:c r="N111" s="78" t="n">
        <x:f>H111*(L111*(1-'Inputs'!$B$15))/(I111+L111*(1-'Inputs'!$B$15))</x:f>
        <x:v>0</x:v>
      </x:c>
      <x:c r="O111" s="78" t="n">
        <x:f>H111-N111</x:f>
        <x:v>29268232813.5946</x:v>
      </x:c>
      <x:c r="P111" s="78" t="n">
        <x:f>I111+L111*(1-'Inputs'!$B$17)</x:f>
        <x:v>0.4016089156311337</x:v>
      </x:c>
      <x:c r="Q111" s="78" t="n">
        <x:f>IF(J111&gt;0,M111/J111,0)</x:f>
        <x:v>2341458625.0875683</x:v>
      </x:c>
      <x:c r="R111" s="78" t="n">
        <x:f>IF(B111='Inputs'!$H$44,'Inputs'!$B$27*'Inputs'!$I$44,0)</x:f>
        <x:v>0</x:v>
      </x:c>
      <x:c r="S111" s="78" t="n">
        <x:f>Q111+G111+R111</x:f>
        <x:v>2342338297.3994465</x:v>
      </x:c>
      <x:c r="T111" s="78" t="n">
        <x:f>P111*(S111*(1-'Inputs'!$B$15))/(O111+S111*(1-'Inputs'!$B$15))</x:f>
        <x:v>0.02948341243857046</x:v>
      </x:c>
      <x:c r="U111" s="78" t="n">
        <x:f>O111+S111*(1-'Inputs'!$B$17)</x:f>
        <x:v>31601145202.3526</x:v>
      </x:c>
      <x:c r="V111" s="78" t="n">
        <x:f>P111-T111</x:f>
        <x:v>0.37212550319256327</x:v>
      </x:c>
      <x:c r="W111" s="79" t="n">
        <x:f>IF(U111&gt;0,V111/U111,0)</x:f>
        <x:v>1.1775696760662325e-11</x:v>
      </x:c>
      <x:c r="X111" s="80" t="n">
        <x:f>W111*('Inputs'!$B$6-AC111)</x:f>
        <x:v>0.007272902470411385</x:v>
      </x:c>
      <x:c r="Y111" s="80" t="n">
        <x:f>2*V111</x:f>
        <x:v>0.7442510063851265</x:v>
      </x:c>
      <x:c r="Z111" s="80" t="n">
        <x:f>K111*'Inputs'!$B$16+(G111+R111)*J111*'Inputs'!$B$16</x:f>
        <x:v>0.0009639338209327389</x:v>
      </x:c>
      <x:c r="AA111" s="80" t="n">
        <x:f>K111*(1+'Inputs'!$E$44)/2*'Inputs'!$B$17</x:f>
        <x:v>0.00025858119316290307</x:v>
      </x:c>
      <x:c r="AB111" s="78" t="n">
        <x:f>(IF(J111&gt;0,K111*(1-'Inputs'!$E$44)/2/J111,0)+G111+R111)*'Inputs'!$B$17</x:f>
        <x:v>28270646.06669852</x:v>
      </x:c>
      <x:c r="AC111" s="78" t="n">
        <x:f>AC110+AB111</x:f>
        <x:v>382380285.5804585</x:v>
      </x:c>
      <x:c r="AD111" s="80" t="n">
        <x:f>Z111/(1+'Inputs'!$C$44)</x:f>
        <x:v>0.0007711470567461911</x:v>
      </x:c>
      <x:c r="AE111" s="80" t="n">
        <x:f>Z111-AD111</x:f>
        <x:v>0.00019278676418654783</x:v>
      </x:c>
      <x:c r="AF111" s="80" t="n">
        <x:f>D111*W111</x:f>
        <x:v>0.0000034168220518444056</x:v>
      </x:c>
      <x:c r="AG111" s="80" t="n">
        <x:f>C111*W111</x:f>
        <x:v>0.00000797258478763696</x:v>
      </x:c>
      <x:c r="AH111" s="80" t="n">
        <x:f>2*'Inputs'!$B$8*'Inputs'!$C$44</x:f>
        <x:v>1250</x:v>
      </x:c>
      <x:c r="AI111" s="81" t="n">
        <x:f>IF(AH111&gt;0,(AE111+AF111)/AH111*365,0)</x:f>
        <x:v>0.00005729144718161053</x:v>
      </x:c>
      <x:c r="AJ111" s="81" t="n">
        <x:f>IF('Inputs'!$B$44&gt;0,AG111/('Inputs'!$B$19*'Inputs'!$B$44)*365,0)</x:f>
        <x:v>2.9099934474874907e-7</x:v>
      </x:c>
      <x:c r="AK111" s="81" t="n">
        <x:f>W111/MAX($W$4:W111)-1</x:f>
        <x:v>-0.9999999826947191</x:v>
      </x:c>
      <x:c r="AL111" s="83" t="n">
        <x:f>'Inputs'!$B$44</x:f>
        <x:v>1</x:v>
      </x:c>
      <x:c r="AM111" s="83" t="n">
        <x:f>'Inputs'!$C$44</x:f>
        <x:v>0.25</x:v>
      </x:c>
      <x:c r="AN111" s="83" t="n">
        <x:f>'Inputs'!$D$44</x:f>
        <x:v>0.2</x:v>
      </x:c>
      <x:c r="AO111" s="81" t="n">
        <x:f>'Inputs'!$E$44</x:f>
        <x:v>-0.2</x:v>
      </x:c>
    </x:row>
    <x:row r="112">
      <x:c r="A112" s="59" t="str">
        <x:v>No demand</x:v>
      </x:c>
      <x:c r="B112" s="59" t="n">
        <x:v>109</x:v>
      </x:c>
      <x:c r="C112" s="78" t="n">
        <x:f>(('Inputs'!$B$29*(3*109*'Inputs'!$B$12-109^2)/(2*'Inputs'!$B$12^2))-('Inputs'!$B$29*(3*108*'Inputs'!$B$12-108^2)/(2*'Inputs'!$B$12^2)))*'Inputs'!$B$44</x:f>
        <x:v>676712.0942015499</x:v>
      </x:c>
      <x:c r="D112" s="78" t="n">
        <x:f>IF('Inputs'!$C$44&gt;0,('Inputs'!$B$30*(3*109*'Inputs'!$B$12-109^2)/(2*'Inputs'!$B$12^2))-('Inputs'!$B$30*(3*108*'Inputs'!$B$12-108^2)/(2*'Inputs'!$B$12^2)),0)</x:f>
        <x:v>290019.46894351766</x:v>
      </x:c>
      <x:c r="E112" s="78" t="n">
        <x:f>C112+D112</x:f>
        <x:v>966731.5631450675</x:v>
      </x:c>
      <x:c r="F112" s="78" t="n">
        <x:f>'Inputs'!$B$13*E112+(1-'Inputs'!$B$13)/'Inputs'!$B$14*SUM(E57:E112)</x:f>
        <x:v>976949.2400075087</x:v>
      </x:c>
      <x:c r="G112" s="78" t="n">
        <x:f>F112*'Inputs'!$F$44</x:f>
        <x:v>879254.3160067578</x:v>
      </x:c>
      <x:c r="H112" s="78" t="n">
        <x:f>U111</x:f>
        <x:v>31601145202.3526</x:v>
      </x:c>
      <x:c r="I112" s="78" t="n">
        <x:f>V111</x:f>
        <x:v>0.37212550319256327</x:v>
      </x:c>
      <x:c r="J112" s="79" t="n">
        <x:f>IF(H112&gt;0,I112/H112,0)</x:f>
        <x:v>1.1775696760662325e-11</x:v>
      </x:c>
      <x:c r="K112" s="80" t="n">
        <x:f>(H112*J112+I112)*'Inputs'!$D$44*(1+'Inputs'!$G$44)^(B112/30)</x:f>
        <x:v>0.1488502012770253</x:v>
      </x:c>
      <x:c r="L112" s="80" t="n">
        <x:f>MAX(0,K112*'Inputs'!$E$44)</x:f>
        <x:v>0</x:v>
      </x:c>
      <x:c r="M112" s="80" t="n">
        <x:f>MAX(0,-K112*'Inputs'!$E$44)</x:f>
        <x:v>0.029770040255405063</x:v>
      </x:c>
      <x:c r="N112" s="78" t="n">
        <x:f>H112*(L112*(1-'Inputs'!$B$15))/(I112+L112*(1-'Inputs'!$B$15))</x:f>
        <x:v>0</x:v>
      </x:c>
      <x:c r="O112" s="78" t="n">
        <x:f>H112-N112</x:f>
        <x:v>31601145202.3526</x:v>
      </x:c>
      <x:c r="P112" s="78" t="n">
        <x:f>I112+L112*(1-'Inputs'!$B$17)</x:f>
        <x:v>0.37212550319256327</x:v>
      </x:c>
      <x:c r="Q112" s="78" t="n">
        <x:f>IF(J112&gt;0,M112/J112,0)</x:f>
        <x:v>2528091616.188208</x:v>
      </x:c>
      <x:c r="R112" s="78" t="n">
        <x:f>IF(B112='Inputs'!$H$44,'Inputs'!$B$27*'Inputs'!$I$44,0)</x:f>
        <x:v>0</x:v>
      </x:c>
      <x:c r="S112" s="78" t="n">
        <x:f>Q112+G112+R112</x:f>
        <x:v>2528970870.504215</x:v>
      </x:c>
      <x:c r="T112" s="78" t="n">
        <x:f>P112*(S112*(1-'Inputs'!$B$15))/(O112+S112*(1-'Inputs'!$B$15))</x:f>
        <x:v>0.027318233560853684</x:v>
      </x:c>
      <x:c r="U112" s="78" t="n">
        <x:f>O112+S112*(1-'Inputs'!$B$17)</x:f>
        <x:v>34119939127.70388</x:v>
      </x:c>
      <x:c r="V112" s="78" t="n">
        <x:f>P112-T112</x:f>
        <x:v>0.3448072696317096</x:v>
      </x:c>
      <x:c r="W112" s="79" t="n">
        <x:f>IF(U112&gt;0,V112/U112,0)</x:f>
        <x:v>1.0105741054846765e-11</x:v>
      </x:c>
      <x:c r="X112" s="80" t="n">
        <x:f>W112*('Inputs'!$B$6-AC112)</x:f>
        <x:v>0.00593303970016827</x:v>
      </x:c>
      <x:c r="Y112" s="80" t="n">
        <x:f>2*V112</x:f>
        <x:v>0.6896145392634192</x:v>
      </x:c>
      <x:c r="Z112" s="80" t="n">
        <x:f>K112*'Inputs'!$B$16+(G112+R112)*J112*'Inputs'!$B$16</x:f>
        <x:v>0.0008931633306553567</x:v>
      </x:c>
      <x:c r="AA112" s="80" t="n">
        <x:f>K112*(1+'Inputs'!$E$44)/2*'Inputs'!$B$17</x:f>
        <x:v>0.00023959790950024197</x:v>
      </x:c>
      <x:c r="AB112" s="78" t="n">
        <x:f>(IF(J112&gt;0,K112*(1-'Inputs'!$E$44)/2/J112,0)+G112+R112)*'Inputs'!$B$17</x:f>
        <x:v>30523758.965314407</x:v>
      </x:c>
      <x:c r="AC112" s="78" t="n">
        <x:f>AC111+AB112</x:f>
        <x:v>412904044.5457729</x:v>
      </x:c>
      <x:c r="AD112" s="80" t="n">
        <x:f>Z112/(1+'Inputs'!$C$44)</x:f>
        <x:v>0.0007145306645242853</x:v>
      </x:c>
      <x:c r="AE112" s="80" t="n">
        <x:f>Z112-AD112</x:f>
        <x:v>0.00017863266613107138</x:v>
      </x:c>
      <x:c r="AF112" s="80" t="n">
        <x:f>D112*W112</x:f>
        <x:v>0.0000029308616540073626</x:v>
      </x:c>
      <x:c r="AG112" s="80" t="n">
        <x:f>C112*W112</x:f>
        <x:v>0.000006838677192683934</x:v>
      </x:c>
      <x:c r="AH112" s="80" t="n">
        <x:f>2*'Inputs'!$B$8*'Inputs'!$C$44</x:f>
        <x:v>1250</x:v>
      </x:c>
      <x:c r="AI112" s="81" t="n">
        <x:f>IF(AH112&gt;0,(AE112+AF112)/AH112*365,0)</x:f>
        <x:v>0.000053016550113243</x:v>
      </x:c>
      <x:c r="AJ112" s="81" t="n">
        <x:f>IF('Inputs'!$B$44&gt;0,AG112/('Inputs'!$B$19*'Inputs'!$B$44)*365,0)</x:f>
        <x:v>2.496117175329636e-7</x:v>
      </x:c>
      <x:c r="AK112" s="81" t="n">
        <x:f>W112/MAX($W$4:W112)-1</x:f>
        <x:v>-0.9999999851488459</x:v>
      </x:c>
      <x:c r="AL112" s="83" t="n">
        <x:f>'Inputs'!$B$44</x:f>
        <x:v>1</x:v>
      </x:c>
      <x:c r="AM112" s="83" t="n">
        <x:f>'Inputs'!$C$44</x:f>
        <x:v>0.25</x:v>
      </x:c>
      <x:c r="AN112" s="83" t="n">
        <x:f>'Inputs'!$D$44</x:f>
        <x:v>0.2</x:v>
      </x:c>
      <x:c r="AO112" s="81" t="n">
        <x:f>'Inputs'!$E$44</x:f>
        <x:v>-0.2</x:v>
      </x:c>
    </x:row>
    <x:row r="113">
      <x:c r="A113" s="59" t="str">
        <x:v>No demand</x:v>
      </x:c>
      <x:c r="B113" s="59" t="n">
        <x:v>110</x:v>
      </x:c>
      <x:c r="C113" s="78" t="n">
        <x:f>(('Inputs'!$B$29*(3*110*'Inputs'!$B$12-110^2)/(2*'Inputs'!$B$12^2))-('Inputs'!$B$29*(3*109*'Inputs'!$B$12-109^2)/(2*'Inputs'!$B$12^2)))*'Inputs'!$B$44</x:f>
        <x:v>676386.9863013625</x:v>
      </x:c>
      <x:c r="D113" s="78" t="n">
        <x:f>IF('Inputs'!$C$44&gt;0,('Inputs'!$B$30*(3*110*'Inputs'!$B$12-110^2)/(2*'Inputs'!$B$12^2))-('Inputs'!$B$30*(3*109*'Inputs'!$B$12-109^2)/(2*'Inputs'!$B$12^2)),0)</x:f>
        <x:v>289880.13698630035</x:v>
      </x:c>
      <x:c r="E113" s="78" t="n">
        <x:f>C113+D113</x:f>
        <x:v>966267.1232876629</x:v>
      </x:c>
      <x:c r="F113" s="78" t="n">
        <x:f>'Inputs'!$B$13*E113+(1-'Inputs'!$B$13)/'Inputs'!$B$14*SUM(E58:E113)</x:f>
        <x:v>976484.8001501204</x:v>
      </x:c>
      <x:c r="G113" s="78" t="n">
        <x:f>F113*'Inputs'!$F$44</x:f>
        <x:v>878836.3201351084</x:v>
      </x:c>
      <x:c r="H113" s="78" t="n">
        <x:f>U112</x:f>
        <x:v>34119939127.70388</x:v>
      </x:c>
      <x:c r="I113" s="78" t="n">
        <x:f>V112</x:f>
        <x:v>0.3448072696317096</x:v>
      </x:c>
      <x:c r="J113" s="79" t="n">
        <x:f>IF(H113&gt;0,I113/H113,0)</x:f>
        <x:v>1.0105741054846765e-11</x:v>
      </x:c>
      <x:c r="K113" s="80" t="n">
        <x:f>(H113*J113+I113)*'Inputs'!$D$44*(1+'Inputs'!$G$44)^(B113/30)</x:f>
        <x:v>0.13792290785268385</x:v>
      </x:c>
      <x:c r="L113" s="80" t="n">
        <x:f>MAX(0,K113*'Inputs'!$E$44)</x:f>
        <x:v>0</x:v>
      </x:c>
      <x:c r="M113" s="80" t="n">
        <x:f>MAX(0,-K113*'Inputs'!$E$44)</x:f>
        <x:v>0.02758458157053677</x:v>
      </x:c>
      <x:c r="N113" s="78" t="n">
        <x:f>H113*(L113*(1-'Inputs'!$B$15))/(I113+L113*(1-'Inputs'!$B$15))</x:f>
        <x:v>0</x:v>
      </x:c>
      <x:c r="O113" s="78" t="n">
        <x:f>H113-N113</x:f>
        <x:v>34119939127.70388</x:v>
      </x:c>
      <x:c r="P113" s="78" t="n">
        <x:f>I113+L113*(1-'Inputs'!$B$17)</x:f>
        <x:v>0.3448072696317096</x:v>
      </x:c>
      <x:c r="Q113" s="78" t="n">
        <x:f>IF(J113&gt;0,M113/J113,0)</x:f>
        <x:v>2729595130.2163105</x:v>
      </x:c>
      <x:c r="R113" s="78" t="n">
        <x:f>IF(B113='Inputs'!$H$44,'Inputs'!$B$27*'Inputs'!$I$44,0)</x:f>
        <x:v>0</x:v>
      </x:c>
      <x:c r="S113" s="78" t="n">
        <x:f>Q113+G113+R113</x:f>
        <x:v>2730473966.5364456</x:v>
      </x:c>
      <x:c r="T113" s="78" t="n">
        <x:f>P113*(S113*(1-'Inputs'!$B$15))/(O113+S113*(1-'Inputs'!$B$15))</x:f>
        <x:v>0.025312159731188874</x:v>
      </x:c>
      <x:c r="U113" s="78" t="n">
        <x:f>O113+S113*(1-'Inputs'!$B$17)</x:f>
        <x:v>36839425271.43736</x:v>
      </x:c>
      <x:c r="V113" s="78" t="n">
        <x:f>P113-T113</x:f>
        <x:v>0.3194951099005207</x:v>
      </x:c>
      <x:c r="W113" s="79" t="n">
        <x:f>IF(U113&gt;0,V113/U113,0)</x:f>
        <x:v>8.672640996607355e-12</x:v>
      </x:c>
      <x:c r="X113" s="80" t="n">
        <x:f>W113*('Inputs'!$B$6-AC113)</x:f>
        <x:v>0.004805853467412842</x:v>
      </x:c>
      <x:c r="Y113" s="80" t="n">
        <x:f>2*V113</x:f>
        <x:v>0.6389902198010414</x:v>
      </x:c>
      <x:c r="Z113" s="80" t="n">
        <x:f>K113*'Inputs'!$B$16+(G113+R113)*J113*'Inputs'!$B$16</x:f>
        <x:v>0.0008275907348697884</x:v>
      </x:c>
      <x:c r="AA113" s="80" t="n">
        <x:f>K113*(1+'Inputs'!$E$44)/2*'Inputs'!$B$17</x:f>
        <x:v>0.0002220087047930525</x:v>
      </x:c>
      <x:c r="AB113" s="78" t="n">
        <x:f>(IF(J113&gt;0,K113*(1-'Inputs'!$E$44)/2/J113,0)+G113+R113)*'Inputs'!$B$17</x:f>
        <x:v>32956395.27955359</x:v>
      </x:c>
      <x:c r="AC113" s="78" t="n">
        <x:f>AC112+AB113</x:f>
        <x:v>445860439.8253265</x:v>
      </x:c>
      <x:c r="AD113" s="80" t="n">
        <x:f>Z113/(1+'Inputs'!$C$44)</x:f>
        <x:v>0.0006620725878958307</x:v>
      </x:c>
      <x:c r="AE113" s="80" t="n">
        <x:f>Z113-AD113</x:f>
        <x:v>0.00016551814697395766</x:v>
      </x:c>
      <x:c r="AF113" s="80" t="n">
        <x:f>D113*W113</x:f>
        <x:v>0.0000025140263601295443</x:v>
      </x:c>
      <x:c r="AG113" s="80" t="n">
        <x:f>C113*W113</x:f>
        <x:v>0.000005866061506968893</x:v>
      </x:c>
      <x:c r="AH113" s="80" t="n">
        <x:f>2*'Inputs'!$B$8*'Inputs'!$C$44</x:f>
        <x:v>1250</x:v>
      </x:c>
      <x:c r="AI113" s="81" t="n">
        <x:f>IF(AH113&gt;0,(AE113+AF113)/AH113*365,0)</x:f>
        <x:v>0.00004906539461355347</x:v>
      </x:c>
      <x:c r="AJ113" s="81" t="n">
        <x:f>IF('Inputs'!$B$44&gt;0,AG113/('Inputs'!$B$19*'Inputs'!$B$44)*365,0)</x:f>
        <x:v>2.1411124500436462e-7</x:v>
      </x:c>
      <x:c r="AK113" s="81" t="n">
        <x:f>W113/MAX($W$4:W113)-1</x:f>
        <x:v>-0.9999999872548953</x:v>
      </x:c>
      <x:c r="AL113" s="83" t="n">
        <x:f>'Inputs'!$B$44</x:f>
        <x:v>1</x:v>
      </x:c>
      <x:c r="AM113" s="83" t="n">
        <x:f>'Inputs'!$C$44</x:f>
        <x:v>0.25</x:v>
      </x:c>
      <x:c r="AN113" s="83" t="n">
        <x:f>'Inputs'!$D$44</x:f>
        <x:v>0.2</x:v>
      </x:c>
      <x:c r="AO113" s="81" t="n">
        <x:f>'Inputs'!$E$44</x:f>
        <x:v>-0.2</x:v>
      </x:c>
    </x:row>
    <x:row r="114">
      <x:c r="A114" s="59" t="str">
        <x:v>No demand</x:v>
      </x:c>
      <x:c r="B114" s="59" t="n">
        <x:v>111</x:v>
      </x:c>
      <x:c r="C114" s="78" t="n">
        <x:f>(('Inputs'!$B$29*(3*111*'Inputs'!$B$12-111^2)/(2*'Inputs'!$B$12^2))-('Inputs'!$B$29*(3*110*'Inputs'!$B$12-110^2)/(2*'Inputs'!$B$12^2)))*'Inputs'!$B$44</x:f>
        <x:v>676061.878401205</x:v>
      </x:c>
      <x:c r="D114" s="78" t="n">
        <x:f>IF('Inputs'!$C$44&gt;0,('Inputs'!$B$30*(3*111*'Inputs'!$B$12-111^2)/(2*'Inputs'!$B$12^2))-('Inputs'!$B$30*(3*110*'Inputs'!$B$12-110^2)/(2*'Inputs'!$B$12^2)),0)</x:f>
        <x:v>289740.80502908677</x:v>
      </x:c>
      <x:c r="E114" s="78" t="n">
        <x:f>C114+D114</x:f>
        <x:v>965802.6834302917</x:v>
      </x:c>
      <x:c r="F114" s="78" t="n">
        <x:f>'Inputs'!$B$13*E114+(1-'Inputs'!$B$13)/'Inputs'!$B$14*SUM(E59:E114)</x:f>
        <x:v>976020.3602927391</x:v>
      </x:c>
      <x:c r="G114" s="78" t="n">
        <x:f>F114*'Inputs'!$F$44</x:f>
        <x:v>878418.3242634652</x:v>
      </x:c>
      <x:c r="H114" s="78" t="n">
        <x:f>U113</x:f>
        <x:v>36839425271.43736</x:v>
      </x:c>
      <x:c r="I114" s="78" t="n">
        <x:f>V113</x:f>
        <x:v>0.3194951099005207</x:v>
      </x:c>
      <x:c r="J114" s="79" t="n">
        <x:f>IF(H114&gt;0,I114/H114,0)</x:f>
        <x:v>8.672640996607355e-12</x:v>
      </x:c>
      <x:c r="K114" s="80" t="n">
        <x:f>(H114*J114+I114)*'Inputs'!$D$44*(1+'Inputs'!$G$44)^(B114/30)</x:f>
        <x:v>0.1277980439602083</x:v>
      </x:c>
      <x:c r="L114" s="80" t="n">
        <x:f>MAX(0,K114*'Inputs'!$E$44)</x:f>
        <x:v>0</x:v>
      </x:c>
      <x:c r="M114" s="80" t="n">
        <x:f>MAX(0,-K114*'Inputs'!$E$44)</x:f>
        <x:v>0.025559608792041662</x:v>
      </x:c>
      <x:c r="N114" s="78" t="n">
        <x:f>H114*(L114*(1-'Inputs'!$B$15))/(I114+L114*(1-'Inputs'!$B$15))</x:f>
        <x:v>0</x:v>
      </x:c>
      <x:c r="O114" s="78" t="n">
        <x:f>H114-N114</x:f>
        <x:v>36839425271.43736</x:v>
      </x:c>
      <x:c r="P114" s="78" t="n">
        <x:f>I114+L114*(1-'Inputs'!$B$17)</x:f>
        <x:v>0.3194951099005207</x:v>
      </x:c>
      <x:c r="Q114" s="78" t="n">
        <x:f>IF(J114&gt;0,M114/J114,0)</x:f>
        <x:v>2947154021.7149897</x:v>
      </x:c>
      <x:c r="R114" s="78" t="n">
        <x:f>IF(B114='Inputs'!$H$44,'Inputs'!$B$27*'Inputs'!$I$44,0)</x:f>
        <x:v>0</x:v>
      </x:c>
      <x:c r="S114" s="78" t="n">
        <x:f>Q114+G114+R114</x:f>
        <x:v>2948032440.039253</x:v>
      </x:c>
      <x:c r="T114" s="78" t="n">
        <x:f>P114*(S114*(1-'Inputs'!$B$15))/(O114+S114*(1-'Inputs'!$B$15))</x:f>
        <x:v>0.023453485066862144</x:v>
      </x:c>
      <x:c r="U114" s="78" t="n">
        <x:f>O114+S114*(1-'Inputs'!$B$17)</x:f>
        <x:v>39775594401.85875</x:v>
      </x:c>
      <x:c r="V114" s="78" t="n">
        <x:f>P114-T114</x:f>
        <x:v>0.2960416248336586</x:v>
      </x:c>
      <x:c r="W114" s="79" t="n">
        <x:f>IF(U114&gt;0,V114/U114,0)</x:f>
        <x:v>7.442795746625582e-12</x:v>
      </x:c>
      <x:c r="X114" s="80" t="n">
        <x:f>W114*('Inputs'!$B$6-AC114)</x:f>
        <x:v>0.0038595116092290547</x:v>
      </x:c>
      <x:c r="Y114" s="80" t="n">
        <x:f>2*V114</x:f>
        <x:v>0.5920832496673172</x:v>
      </x:c>
      <x:c r="Z114" s="80" t="n">
        <x:f>K114*'Inputs'!$B$16+(G114+R114)*J114*'Inputs'!$B$16</x:f>
        <x:v>0.000766833973001877</x:v>
      </x:c>
      <x:c r="AA114" s="80" t="n">
        <x:f>K114*(1+'Inputs'!$E$44)/2*'Inputs'!$B$17</x:f>
        <x:v>0.00020571113715928905</x:v>
      </x:c>
      <x:c r="AB114" s="78" t="n">
        <x:f>(IF(J114&gt;0,K114*(1-'Inputs'!$E$44)/2/J114,0)+G114+R114)*'Inputs'!$B$17</x:f>
        <x:v>35582859.088407375</x:v>
      </x:c>
      <x:c r="AC114" s="78" t="n">
        <x:f>AC113+AB114</x:f>
        <x:v>481443298.9137339</x:v>
      </x:c>
      <x:c r="AD114" s="80" t="n">
        <x:f>Z114/(1+'Inputs'!$C$44)</x:f>
        <x:v>0.0006134671784015016</x:v>
      </x:c>
      <x:c r="AE114" s="80" t="n">
        <x:f>Z114-AD114</x:f>
        <x:v>0.00015336679460037535</x:v>
      </x:c>
      <x:c r="AF114" s="80" t="n">
        <x:f>D114*W114</x:f>
        <x:v>0.000002156481631294359</x:v>
      </x:c>
      <x:c r="AG114" s="80" t="n">
        <x:f>C114*W114</x:f>
        <x:v>0.000005031790473020189</x:v>
      </x:c>
      <x:c r="AH114" s="80" t="n">
        <x:f>2*'Inputs'!$B$8*'Inputs'!$C$44</x:f>
        <x:v>1250</x:v>
      </x:c>
      <x:c r="AI114" s="81" t="n">
        <x:f>IF(AH114&gt;0,(AE114+AF114)/AH114*365,0)</x:f>
        <x:v>0.00004541279665964756</x:v>
      </x:c>
      <x:c r="AJ114" s="81" t="n">
        <x:f>IF('Inputs'!$B$44&gt;0,AG114/('Inputs'!$B$19*'Inputs'!$B$44)*365,0)</x:f>
        <x:v>1.836603522652369e-7</x:v>
      </x:c>
      <x:c r="AK114" s="81" t="n">
        <x:f>W114/MAX($W$4:W114)-1</x:f>
        <x:v>-0.9999999890622463</x:v>
      </x:c>
      <x:c r="AL114" s="83" t="n">
        <x:f>'Inputs'!$B$44</x:f>
        <x:v>1</x:v>
      </x:c>
      <x:c r="AM114" s="83" t="n">
        <x:f>'Inputs'!$C$44</x:f>
        <x:v>0.25</x:v>
      </x:c>
      <x:c r="AN114" s="83" t="n">
        <x:f>'Inputs'!$D$44</x:f>
        <x:v>0.2</x:v>
      </x:c>
      <x:c r="AO114" s="81" t="n">
        <x:f>'Inputs'!$E$44</x:f>
        <x:v>-0.2</x:v>
      </x:c>
    </x:row>
    <x:row r="115">
      <x:c r="A115" s="59" t="str">
        <x:v>No demand</x:v>
      </x:c>
      <x:c r="B115" s="59" t="n">
        <x:v>112</x:v>
      </x:c>
      <x:c r="C115" s="78" t="n">
        <x:f>(('Inputs'!$B$29*(3*112*'Inputs'!$B$12-112^2)/(2*'Inputs'!$B$12^2))-('Inputs'!$B$29*(3*111*'Inputs'!$B$12-111^2)/(2*'Inputs'!$B$12^2)))*'Inputs'!$B$44</x:f>
        <x:v>675736.7705010325</x:v>
      </x:c>
      <x:c r="D115" s="78" t="n">
        <x:f>IF('Inputs'!$C$44&gt;0,('Inputs'!$B$30*(3*112*'Inputs'!$B$12-112^2)/(2*'Inputs'!$B$12^2))-('Inputs'!$B$30*(3*111*'Inputs'!$B$12-111^2)/(2*'Inputs'!$B$12^2)),0)</x:f>
        <x:v>289601.4730718732</x:v>
      </x:c>
      <x:c r="E115" s="78" t="n">
        <x:f>C115+D115</x:f>
        <x:v>965338.2435729057</x:v>
      </x:c>
      <x:c r="F115" s="78" t="n">
        <x:f>'Inputs'!$B$13*E115+(1-'Inputs'!$B$13)/'Inputs'!$B$14*SUM(E60:E115)</x:f>
        <x:v>975555.9204353546</x:v>
      </x:c>
      <x:c r="G115" s="78" t="n">
        <x:f>F115*'Inputs'!$F$44</x:f>
        <x:v>878000.3283918191</x:v>
      </x:c>
      <x:c r="H115" s="78" t="n">
        <x:f>U114</x:f>
        <x:v>39775594401.85875</x:v>
      </x:c>
      <x:c r="I115" s="78" t="n">
        <x:f>V114</x:f>
        <x:v>0.2960416248336586</x:v>
      </x:c>
      <x:c r="J115" s="79" t="n">
        <x:f>IF(H115&gt;0,I115/H115,0)</x:f>
        <x:v>7.442795746625582e-12</x:v>
      </x:c>
      <x:c r="K115" s="80" t="n">
        <x:f>(H115*J115+I115)*'Inputs'!$D$44*(1+'Inputs'!$G$44)^(B115/30)</x:f>
        <x:v>0.11841664993346344</x:v>
      </x:c>
      <x:c r="L115" s="80" t="n">
        <x:f>MAX(0,K115*'Inputs'!$E$44)</x:f>
        <x:v>0</x:v>
      </x:c>
      <x:c r="M115" s="80" t="n">
        <x:f>MAX(0,-K115*'Inputs'!$E$44)</x:f>
        <x:v>0.02368332998669269</x:v>
      </x:c>
      <x:c r="N115" s="78" t="n">
        <x:f>H115*(L115*(1-'Inputs'!$B$15))/(I115+L115*(1-'Inputs'!$B$15))</x:f>
        <x:v>0</x:v>
      </x:c>
      <x:c r="O115" s="78" t="n">
        <x:f>H115-N115</x:f>
        <x:v>39775594401.85875</x:v>
      </x:c>
      <x:c r="P115" s="78" t="n">
        <x:f>I115+L115*(1-'Inputs'!$B$17)</x:f>
        <x:v>0.2960416248336586</x:v>
      </x:c>
      <x:c r="Q115" s="78" t="n">
        <x:f>IF(J115&gt;0,M115/J115,0)</x:f>
        <x:v>3182047552.1487</x:v>
      </x:c>
      <x:c r="R115" s="78" t="n">
        <x:f>IF(B115='Inputs'!$H$44,'Inputs'!$B$27*'Inputs'!$I$44,0)</x:f>
        <x:v>0</x:v>
      </x:c>
      <x:c r="S115" s="78" t="n">
        <x:f>Q115+G115+R115</x:f>
        <x:v>3182925552.4770923</x:v>
      </x:c>
      <x:c r="T115" s="78" t="n">
        <x:f>P115*(S115*(1-'Inputs'!$B$15))/(O115+S115*(1-'Inputs'!$B$15))</x:f>
        <x:v>0.0217313669554063</x:v>
      </x:c>
      <x:c r="U115" s="78" t="n">
        <x:f>O115+S115*(1-'Inputs'!$B$17)</x:f>
        <x:v>42945711400.80475</x:v>
      </x:c>
      <x:c r="V115" s="78" t="n">
        <x:f>P115-T115</x:f>
        <x:v>0.2743102578782523</x:v>
      </x:c>
      <x:c r="W115" s="79" t="n">
        <x:f>IF(U115&gt;0,V115/U115,0)</x:f>
        <x:v>6.387372543865046e-12</x:v>
      </x:c>
      <x:c r="X115" s="80" t="n">
        <x:f>W115*('Inputs'!$B$6-AC115)</x:f>
        <x:v>0.0030668209612381694</x:v>
      </x:c>
      <x:c r="Y115" s="80" t="n">
        <x:f>2*V115</x:f>
        <x:v>0.5486205157565046</x:v>
      </x:c>
      <x:c r="Z115" s="80" t="n">
        <x:f>K115*'Inputs'!$B$16+(G115+R115)*J115*'Inputs'!$B$16</x:f>
        <x:v>0.0007105391082634388</x:v>
      </x:c>
      <x:c r="AA115" s="80" t="n">
        <x:f>K115*(1+'Inputs'!$E$44)/2*'Inputs'!$B$17</x:f>
        <x:v>0.00019061030170376412</x:v>
      </x:c>
      <x:c r="AB115" s="78" t="n">
        <x:f>(IF(J115&gt;0,K115*(1-'Inputs'!$E$44)/2/J115,0)+G115+R115)*'Inputs'!$B$17</x:f>
        <x:v>38418594.19225148</x:v>
      </x:c>
      <x:c r="AC115" s="78" t="n">
        <x:f>AC114+AB115</x:f>
        <x:v>519861893.1059854</x:v>
      </x:c>
      <x:c r="AD115" s="80" t="n">
        <x:f>Z115/(1+'Inputs'!$C$44)</x:f>
        <x:v>0.0005684312866107511</x:v>
      </x:c>
      <x:c r="AE115" s="80" t="n">
        <x:f>Z115-AD115</x:f>
        <x:v>0.00014210782165268777</x:v>
      </x:c>
      <x:c r="AF115" s="80" t="n">
        <x:f>D115*W115</x:f>
        <x:v>0.0000018497924977621552</x:v>
      </x:c>
      <x:c r="AG115" s="80" t="n">
        <x:f>C115*W115</x:f>
        <x:v>0.000004316182494778331</x:v>
      </x:c>
      <x:c r="AH115" s="80" t="n">
        <x:f>2*'Inputs'!$B$8*'Inputs'!$C$44</x:f>
        <x:v>1250</x:v>
      </x:c>
      <x:c r="AI115" s="81" t="n">
        <x:f>IF(AH115&gt;0,(AE115+AF115)/AH115*365,0)</x:f>
        <x:v>0.00004203562333193138</x:v>
      </x:c>
      <x:c r="AJ115" s="81" t="n">
        <x:f>IF('Inputs'!$B$44&gt;0,AG115/('Inputs'!$B$19*'Inputs'!$B$44)*365,0)</x:f>
        <x:v>1.5754066105940907e-7</x:v>
      </x:c>
      <x:c r="AK115" s="81" t="n">
        <x:f>W115/MAX($W$4:W115)-1</x:f>
        <x:v>-0.9999999906132708</x:v>
      </x:c>
      <x:c r="AL115" s="83" t="n">
        <x:f>'Inputs'!$B$44</x:f>
        <x:v>1</x:v>
      </x:c>
      <x:c r="AM115" s="83" t="n">
        <x:f>'Inputs'!$C$44</x:f>
        <x:v>0.25</x:v>
      </x:c>
      <x:c r="AN115" s="83" t="n">
        <x:f>'Inputs'!$D$44</x:f>
        <x:v>0.2</x:v>
      </x:c>
      <x:c r="AO115" s="81" t="n">
        <x:f>'Inputs'!$E$44</x:f>
        <x:v>-0.2</x:v>
      </x:c>
    </x:row>
    <x:row r="116">
      <x:c r="A116" s="59" t="str">
        <x:v>No demand</x:v>
      </x:c>
      <x:c r="B116" s="59" t="n">
        <x:v>113</x:v>
      </x:c>
      <x:c r="C116" s="78" t="n">
        <x:f>(('Inputs'!$B$29*(3*113*'Inputs'!$B$12-113^2)/(2*'Inputs'!$B$12^2))-('Inputs'!$B$29*(3*112*'Inputs'!$B$12-112^2)/(2*'Inputs'!$B$12^2)))*'Inputs'!$B$44</x:f>
        <x:v>675411.66260086</x:v>
      </x:c>
      <x:c r="D116" s="78" t="n">
        <x:f>IF('Inputs'!$C$44&gt;0,('Inputs'!$B$30*(3*113*'Inputs'!$B$12-113^2)/(2*'Inputs'!$B$12^2))-('Inputs'!$B$30*(3*112*'Inputs'!$B$12-112^2)/(2*'Inputs'!$B$12^2)),0)</x:f>
        <x:v>289462.14111465216</x:v>
      </x:c>
      <x:c r="E116" s="78" t="n">
        <x:f>C116+D116</x:f>
        <x:v>964873.8037155122</x:v>
      </x:c>
      <x:c r="F116" s="78" t="n">
        <x:f>'Inputs'!$B$13*E116+(1-'Inputs'!$B$13)/'Inputs'!$B$14*SUM(E61:E116)</x:f>
        <x:v>975091.4805779682</x:v>
      </x:c>
      <x:c r="G116" s="78" t="n">
        <x:f>F116*'Inputs'!$F$44</x:f>
        <x:v>877582.3325201714</x:v>
      </x:c>
      <x:c r="H116" s="78" t="n">
        <x:f>U115</x:f>
        <x:v>42945711400.80475</x:v>
      </x:c>
      <x:c r="I116" s="78" t="n">
        <x:f>V115</x:f>
        <x:v>0.2743102578782523</x:v>
      </x:c>
      <x:c r="J116" s="79" t="n">
        <x:f>IF(H116&gt;0,I116/H116,0)</x:f>
        <x:v>6.387372543865046e-12</x:v>
      </x:c>
      <x:c r="K116" s="80" t="n">
        <x:f>(H116*J116+I116)*'Inputs'!$D$44*(1+'Inputs'!$G$44)^(B116/30)</x:f>
        <x:v>0.10972410315130093</x:v>
      </x:c>
      <x:c r="L116" s="80" t="n">
        <x:f>MAX(0,K116*'Inputs'!$E$44)</x:f>
        <x:v>0</x:v>
      </x:c>
      <x:c r="M116" s="80" t="n">
        <x:f>MAX(0,-K116*'Inputs'!$E$44)</x:f>
        <x:v>0.021944820630260188</x:v>
      </x:c>
      <x:c r="N116" s="78" t="n">
        <x:f>H116*(L116*(1-'Inputs'!$B$15))/(I116+L116*(1-'Inputs'!$B$15))</x:f>
        <x:v>0</x:v>
      </x:c>
      <x:c r="O116" s="78" t="n">
        <x:f>H116-N116</x:f>
        <x:v>42945711400.80475</x:v>
      </x:c>
      <x:c r="P116" s="78" t="n">
        <x:f>I116+L116*(1-'Inputs'!$B$17)</x:f>
        <x:v>0.2743102578782523</x:v>
      </x:c>
      <x:c r="Q116" s="78" t="n">
        <x:f>IF(J116&gt;0,M116/J116,0)</x:f>
        <x:v>3435656912.06438</x:v>
      </x:c>
      <x:c r="R116" s="78" t="n">
        <x:f>IF(B116='Inputs'!$H$44,'Inputs'!$B$27*'Inputs'!$I$44,0)</x:f>
        <x:v>0</x:v>
      </x:c>
      <x:c r="S116" s="78" t="n">
        <x:f>Q116+G116+R116</x:f>
        <x:v>3436534494.3969</x:v>
      </x:c>
      <x:c r="T116" s="78" t="n">
        <x:f>P116*(S116*(1-'Inputs'!$B$15))/(O116+S116*(1-'Inputs'!$B$15))</x:f>
        <x:v>0.02013576210286231</x:v>
      </x:c>
      <x:c r="U116" s="78" t="n">
        <x:f>O116+S116*(1-'Inputs'!$B$17)</x:f>
        <x:v>46368416782.54814</x:v>
      </x:c>
      <x:c r="V116" s="78" t="n">
        <x:f>P116-T116</x:f>
        <x:v>0.25417449577539</x:v>
      </x:c>
      <x:c r="W116" s="79" t="n">
        <x:f>IF(U116&gt;0,V116/U116,0)</x:f>
        <x:v>5.481629812106386e-12</x:v>
      </x:c>
      <x:c r="X116" s="80" t="n">
        <x:f>W116*('Inputs'!$B$6-AC116)</x:f>
        <x:v>0.0024045598490427342</x:v>
      </x:c>
      <x:c r="Y116" s="80" t="n">
        <x:f>2*V116</x:f>
        <x:v>0.50834899155078</x:v>
      </x:c>
      <x:c r="Z116" s="80" t="n">
        <x:f>K116*'Inputs'!$B$16+(G116+R116)*J116*'Inputs'!$B$16</x:f>
        <x:v>0.0006583782515795799</x:v>
      </x:c>
      <x:c r="AA116" s="80" t="n">
        <x:f>K116*(1+'Inputs'!$E$44)/2*'Inputs'!$B$17</x:f>
        <x:v>0.00017661827469022285</x:v>
      </x:c>
      <x:c r="AB116" s="78" t="n">
        <x:f>(IF(J116&gt;0,K116*(1-'Inputs'!$E$44)/2/J116,0)+G116+R116)*'Inputs'!$B$17</x:f>
        <x:v>41480274.923644505</x:v>
      </x:c>
      <x:c r="AC116" s="78" t="n">
        <x:f>AC115+AB116</x:f>
        <x:v>561342168.02963</x:v>
      </x:c>
      <x:c r="AD116" s="80" t="n">
        <x:f>Z116/(1+'Inputs'!$C$44)</x:f>
        <x:v>0.000526702601263664</x:v>
      </x:c>
      <x:c r="AE116" s="80" t="n">
        <x:f>Z116-AD116</x:f>
        <x:v>0.00013167565031591596</x:v>
      </x:c>
      <x:c r="AF116" s="80" t="n">
        <x:f>D116*W116</x:f>
        <x:v>0.0000015867243022102228</x:v>
      </x:c>
      <x:c r="AG116" s="80" t="n">
        <x:f>C116*W116</x:f>
        <x:v>0.000003702356705157214</x:v>
      </x:c>
      <x:c r="AH116" s="80" t="n">
        <x:f>2*'Inputs'!$B$8*'Inputs'!$C$44</x:f>
        <x:v>1250</x:v>
      </x:c>
      <x:c r="AI116" s="81" t="n">
        <x:f>IF(AH116&gt;0,(AE116+AF116)/AH116*365,0)</x:f>
        <x:v>0.00003891261338849285</x:v>
      </x:c>
      <x:c r="AJ116" s="81" t="n">
        <x:f>IF('Inputs'!$B$44&gt;0,AG116/('Inputs'!$B$19*'Inputs'!$B$44)*365,0)</x:f>
        <x:v>1.351360197382383e-7</x:v>
      </x:c>
      <x:c r="AK116" s="81" t="n">
        <x:f>W116/MAX($W$4:W116)-1</x:f>
        <x:v>-0.9999999919443286</x:v>
      </x:c>
      <x:c r="AL116" s="83" t="n">
        <x:f>'Inputs'!$B$44</x:f>
        <x:v>1</x:v>
      </x:c>
      <x:c r="AM116" s="83" t="n">
        <x:f>'Inputs'!$C$44</x:f>
        <x:v>0.25</x:v>
      </x:c>
      <x:c r="AN116" s="83" t="n">
        <x:f>'Inputs'!$D$44</x:f>
        <x:v>0.2</x:v>
      </x:c>
      <x:c r="AO116" s="81" t="n">
        <x:f>'Inputs'!$E$44</x:f>
        <x:v>-0.2</x:v>
      </x:c>
    </x:row>
    <x:row r="117">
      <x:c r="A117" s="59" t="str">
        <x:v>No demand</x:v>
      </x:c>
      <x:c r="B117" s="59" t="n">
        <x:v>114</x:v>
      </x:c>
      <x:c r="C117" s="78" t="n">
        <x:f>(('Inputs'!$B$29*(3*114*'Inputs'!$B$12-114^2)/(2*'Inputs'!$B$12^2))-('Inputs'!$B$29*(3*113*'Inputs'!$B$12-113^2)/(2*'Inputs'!$B$12^2)))*'Inputs'!$B$44</x:f>
        <x:v>675086.5547006875</x:v>
      </x:c>
      <x:c r="D117" s="78" t="n">
        <x:f>IF('Inputs'!$C$44&gt;0,('Inputs'!$B$30*(3*114*'Inputs'!$B$12-114^2)/(2*'Inputs'!$B$12^2))-('Inputs'!$B$30*(3*113*'Inputs'!$B$12-113^2)/(2*'Inputs'!$B$12^2)),0)</x:f>
        <x:v>289322.8091574386</x:v>
      </x:c>
      <x:c r="E117" s="78" t="n">
        <x:f>C117+D117</x:f>
        <x:v>964409.3638581261</x:v>
      </x:c>
      <x:c r="F117" s="78" t="n">
        <x:f>'Inputs'!$B$13*E117+(1-'Inputs'!$B$13)/'Inputs'!$B$14*SUM(E62:E117)</x:f>
        <x:v>974627.0407205839</x:v>
      </x:c>
      <x:c r="G117" s="78" t="n">
        <x:f>F117*'Inputs'!$F$44</x:f>
        <x:v>877164.3366485256</x:v>
      </x:c>
      <x:c r="H117" s="78" t="n">
        <x:f>U116</x:f>
        <x:v>46368416782.54814</x:v>
      </x:c>
      <x:c r="I117" s="78" t="n">
        <x:f>V116</x:f>
        <x:v>0.25417449577539</x:v>
      </x:c>
      <x:c r="J117" s="79" t="n">
        <x:f>IF(H117&gt;0,I117/H117,0)</x:f>
        <x:v>5.481629812106386e-12</x:v>
      </x:c>
      <x:c r="K117" s="80" t="n">
        <x:f>(H117*J117+I117)*'Inputs'!$D$44*(1+'Inputs'!$G$44)^(B117/30)</x:f>
        <x:v>0.10166979831015599</x:v>
      </x:c>
      <x:c r="L117" s="80" t="n">
        <x:f>MAX(0,K117*'Inputs'!$E$44)</x:f>
        <x:v>0</x:v>
      </x:c>
      <x:c r="M117" s="80" t="n">
        <x:f>MAX(0,-K117*'Inputs'!$E$44)</x:f>
        <x:v>0.0203339596620312</x:v>
      </x:c>
      <x:c r="N117" s="78" t="n">
        <x:f>H117*(L117*(1-'Inputs'!$B$15))/(I117+L117*(1-'Inputs'!$B$15))</x:f>
        <x:v>0</x:v>
      </x:c>
      <x:c r="O117" s="78" t="n">
        <x:f>H117-N117</x:f>
        <x:v>46368416782.54814</x:v>
      </x:c>
      <x:c r="P117" s="78" t="n">
        <x:f>I117+L117*(1-'Inputs'!$B$17)</x:f>
        <x:v>0.25417449577539</x:v>
      </x:c>
      <x:c r="Q117" s="78" t="n">
        <x:f>IF(J117&gt;0,M117/J117,0)</x:f>
        <x:v>3709473342.603852</x:v>
      </x:c>
      <x:c r="R117" s="78" t="n">
        <x:f>IF(B117='Inputs'!$H$44,'Inputs'!$B$27*'Inputs'!$I$44,0)</x:f>
        <x:v>0</x:v>
      </x:c>
      <x:c r="S117" s="78" t="n">
        <x:f>Q117+G117+R117</x:f>
        <x:v>3710350506.9405003</x:v>
      </x:c>
      <x:c r="T117" s="78" t="n">
        <x:f>P117*(S117*(1-'Inputs'!$B$15))/(O117+S117*(1-'Inputs'!$B$15))</x:f>
        <x:v>0.01865736736055016</x:v>
      </x:c>
      <x:c r="U117" s="78" t="n">
        <x:f>O117+S117*(1-'Inputs'!$B$17)</x:f>
        <x:v>50063836301.53315</x:v>
      </x:c>
      <x:c r="V117" s="78" t="n">
        <x:f>P117-T117</x:f>
        <x:v>0.23551712841483982</x:v>
      </x:c>
      <x:c r="W117" s="79" t="n">
        <x:f>IF(U117&gt;0,V117/U117,0)</x:f>
        <x:v>4.704336419532983e-12</x:v>
      </x:c>
      <x:c r="X117" s="80" t="n">
        <x:f>W117*('Inputs'!$B$6-AC117)</x:f>
        <x:v>0.001852906054471193</x:v>
      </x:c>
      <x:c r="Y117" s="80" t="n">
        <x:f>2*V117</x:f>
        <x:v>0.47103425682967964</x:v>
      </x:c>
      <x:c r="Z117" s="80" t="n">
        <x:f>K117*'Inputs'!$B$16+(G117+R117)*J117*'Inputs'!$B$16</x:f>
        <x:v>0.0006100476396020033</x:v>
      </x:c>
      <x:c r="AA117" s="80" t="n">
        <x:f>K117*(1+'Inputs'!$E$44)/2*'Inputs'!$B$17</x:f>
        <x:v>0.00016365359888958713</x:v>
      </x:c>
      <x:c r="AB117" s="78" t="n">
        <x:f>(IF(J117&gt;0,K117*(1-'Inputs'!$E$44)/2/J117,0)+G117+R117)*'Inputs'!$B$17</x:f>
        <x:v>44785904.19375535</x:v>
      </x:c>
      <x:c r="AC117" s="78" t="n">
        <x:f>AC116+AB117</x:f>
        <x:v>606128072.2233853</x:v>
      </x:c>
      <x:c r="AD117" s="80" t="n">
        <x:f>Z117/(1+'Inputs'!$C$44)</x:f>
        <x:v>0.0004880381116816026</x:v>
      </x:c>
      <x:c r="AE117" s="80" t="n">
        <x:f>Z117-AD117</x:f>
        <x:v>0.00012200952792040066</x:v>
      </x:c>
      <x:c r="AF117" s="80" t="n">
        <x:f>D117*W117</x:f>
        <x:v>0.000001361071828120929</x:v>
      </x:c>
      <x:c r="AG117" s="80" t="n">
        <x:f>C117*W117</x:f>
        <x:v>0.0000031758342656154895</x:v>
      </x:c>
      <x:c r="AH117" s="80" t="n">
        <x:f>2*'Inputs'!$B$8*'Inputs'!$C$44</x:f>
        <x:v>1250</x:v>
      </x:c>
      <x:c r="AI117" s="81" t="n">
        <x:f>IF(AH117&gt;0,(AE117+AF117)/AH117*365,0)</x:f>
        <x:v>0.000036024215126568306</x:v>
      </x:c>
      <x:c r="AJ117" s="81" t="n">
        <x:f>IF('Inputs'!$B$44&gt;0,AG117/('Inputs'!$B$19*'Inputs'!$B$44)*365,0)</x:f>
        <x:v>1.1591795069496536e-7</x:v>
      </x:c>
      <x:c r="AK117" s="81" t="n">
        <x:f>W117/MAX($W$4:W117)-1</x:f>
        <x:v>-0.9999999930866204</x:v>
      </x:c>
      <x:c r="AL117" s="83" t="n">
        <x:f>'Inputs'!$B$44</x:f>
        <x:v>1</x:v>
      </x:c>
      <x:c r="AM117" s="83" t="n">
        <x:f>'Inputs'!$C$44</x:f>
        <x:v>0.25</x:v>
      </x:c>
      <x:c r="AN117" s="83" t="n">
        <x:f>'Inputs'!$D$44</x:f>
        <x:v>0.2</x:v>
      </x:c>
      <x:c r="AO117" s="81" t="n">
        <x:f>'Inputs'!$E$44</x:f>
        <x:v>-0.2</x:v>
      </x:c>
    </x:row>
    <x:row r="118">
      <x:c r="A118" s="59" t="str">
        <x:v>No demand</x:v>
      </x:c>
      <x:c r="B118" s="59" t="n">
        <x:v>115</x:v>
      </x:c>
      <x:c r="C118" s="78" t="n">
        <x:f>(('Inputs'!$B$29*(3*115*'Inputs'!$B$12-115^2)/(2*'Inputs'!$B$12^2))-('Inputs'!$B$29*(3*114*'Inputs'!$B$12-114^2)/(2*'Inputs'!$B$12^2)))*'Inputs'!$B$44</x:f>
        <x:v>674761.44680053</x:v>
      </x:c>
      <x:c r="D118" s="78" t="n">
        <x:f>IF('Inputs'!$C$44&gt;0,('Inputs'!$B$30*(3*115*'Inputs'!$B$12-115^2)/(2*'Inputs'!$B$12^2))-('Inputs'!$B$30*(3*114*'Inputs'!$B$12-114^2)/(2*'Inputs'!$B$12^2)),0)</x:f>
        <x:v>289183.47720023245</x:v>
      </x:c>
      <x:c r="E118" s="78" t="n">
        <x:f>C118+D118</x:f>
        <x:v>963944.9240007624</x:v>
      </x:c>
      <x:c r="F118" s="78" t="n">
        <x:f>'Inputs'!$B$13*E118+(1-'Inputs'!$B$13)/'Inputs'!$B$14*SUM(E63:E118)</x:f>
        <x:v>974162.6008632038</x:v>
      </x:c>
      <x:c r="G118" s="78" t="n">
        <x:f>F118*'Inputs'!$F$44</x:f>
        <x:v>876746.3407768834</x:v>
      </x:c>
      <x:c r="H118" s="78" t="n">
        <x:f>U117</x:f>
        <x:v>50063836301.53315</x:v>
      </x:c>
      <x:c r="I118" s="78" t="n">
        <x:f>V117</x:f>
        <x:v>0.23551712841483982</x:v>
      </x:c>
      <x:c r="J118" s="79" t="n">
        <x:f>IF(H118&gt;0,I118/H118,0)</x:f>
        <x:v>4.704336419532983e-12</x:v>
      </x:c>
      <x:c r="K118" s="80" t="n">
        <x:f>(H118*J118+I118)*'Inputs'!$D$44*(1+'Inputs'!$G$44)^(B118/30)</x:f>
        <x:v>0.09420685136593593</x:v>
      </x:c>
      <x:c r="L118" s="80" t="n">
        <x:f>MAX(0,K118*'Inputs'!$E$44)</x:f>
        <x:v>0</x:v>
      </x:c>
      <x:c r="M118" s="80" t="n">
        <x:f>MAX(0,-K118*'Inputs'!$E$44)</x:f>
        <x:v>0.018841370273187188</x:v>
      </x:c>
      <x:c r="N118" s="78" t="n">
        <x:f>H118*(L118*(1-'Inputs'!$B$15))/(I118+L118*(1-'Inputs'!$B$15))</x:f>
        <x:v>0</x:v>
      </x:c>
      <x:c r="O118" s="78" t="n">
        <x:f>H118-N118</x:f>
        <x:v>50063836301.53315</x:v>
      </x:c>
      <x:c r="P118" s="78" t="n">
        <x:f>I118+L118*(1-'Inputs'!$B$17)</x:f>
        <x:v>0.23551712841483982</x:v>
      </x:c>
      <x:c r="Q118" s="78" t="n">
        <x:f>IF(J118&gt;0,M118/J118,0)</x:f>
        <x:v>4005106904.122652</x:v>
      </x:c>
      <x:c r="R118" s="78" t="n">
        <x:f>IF(B118='Inputs'!$H$44,'Inputs'!$B$27*'Inputs'!$I$44,0)</x:f>
        <x:v>0</x:v>
      </x:c>
      <x:c r="S118" s="78" t="n">
        <x:f>Q118+G118+R118</x:f>
        <x:v>4005983650.463429</x:v>
      </x:c>
      <x:c r="T118" s="78" t="n">
        <x:f>P118*(S118*(1-'Inputs'!$B$15))/(O118+S118*(1-'Inputs'!$B$15))</x:f>
        <x:v>0.017287564967511056</x:v>
      </x:c>
      <x:c r="U118" s="78" t="n">
        <x:f>O118+S118*(1-'Inputs'!$B$17)</x:f>
        <x:v>54053699293.443405</x:v>
      </x:c>
      <x:c r="V118" s="78" t="n">
        <x:f>P118-T118</x:f>
        <x:v>0.21822956344732877</x:v>
      </x:c>
      <x:c r="W118" s="79" t="n">
        <x:f>IF(U118&gt;0,V118/U118,0)</x:f>
        <x:v>4.0372734206888875e-12</x:v>
      </x:c>
      <x:c r="X118" s="80" t="n">
        <x:f>W118*('Inputs'!$B$6-AC118)</x:f>
        <x:v>0.0013949466345129123</x:v>
      </x:c>
      <x:c r="Y118" s="80" t="n">
        <x:f>2*V118</x:f>
        <x:v>0.43645912689465755</x:v>
      </x:c>
      <x:c r="Z118" s="80" t="n">
        <x:f>K118*'Inputs'!$B$16+(G118+R118)*J118*'Inputs'!$B$16</x:f>
        <x:v>0.0005652658552540653</x:v>
      </x:c>
      <x:c r="AA118" s="80" t="n">
        <x:f>K118*(1+'Inputs'!$E$44)/2*'Inputs'!$B$17</x:f>
        <x:v>0.0001516408070276635</x:v>
      </x:c>
      <x:c r="AB118" s="78" t="n">
        <x:f>(IF(J118&gt;0,K118*(1-'Inputs'!$E$44)/2/J118,0)+G118+R118)*'Inputs'!$B$17</x:f>
        <x:v>48354919.35094057</x:v>
      </x:c>
      <x:c r="AC118" s="78" t="n">
        <x:f>AC117+AB118</x:f>
        <x:v>654482991.5743259</x:v>
      </x:c>
      <x:c r="AD118" s="80" t="n">
        <x:f>Z118/(1+'Inputs'!$C$44)</x:f>
        <x:v>0.00045221268420325223</x:v>
      </x:c>
      <x:c r="AE118" s="80" t="n">
        <x:f>Z118-AD118</x:f>
        <x:v>0.00011305317105081306</x:v>
      </x:c>
      <x:c r="AF118" s="80" t="n">
        <x:f>D118*W118</x:f>
        <x:v>0.0000011675127662028894</x:v>
      </x:c>
      <x:c r="AG118" s="80" t="n">
        <x:f>C118*W118</x:f>
        <x:v>0.000002724196454473358</x:v>
      </x:c>
      <x:c r="AH118" s="80" t="n">
        <x:f>2*'Inputs'!$B$8*'Inputs'!$C$44</x:f>
        <x:v>1250</x:v>
      </x:c>
      <x:c r="AI118" s="81" t="n">
        <x:f>IF(AH118&gt;0,(AE118+AF118)/AH118*365,0)</x:f>
        <x:v>0.00003335243967456866</x:v>
      </x:c>
      <x:c r="AJ118" s="81" t="n">
        <x:f>IF('Inputs'!$B$44&gt;0,AG118/('Inputs'!$B$19*'Inputs'!$B$44)*365,0)</x:f>
        <x:v>9.943317058827757e-8</x:v>
      </x:c>
      <x:c r="AK118" s="81" t="n">
        <x:f>W118/MAX($W$4:W118)-1</x:f>
        <x:v>-0.9999999940669201</x:v>
      </x:c>
      <x:c r="AL118" s="83" t="n">
        <x:f>'Inputs'!$B$44</x:f>
        <x:v>1</x:v>
      </x:c>
      <x:c r="AM118" s="83" t="n">
        <x:f>'Inputs'!$C$44</x:f>
        <x:v>0.25</x:v>
      </x:c>
      <x:c r="AN118" s="83" t="n">
        <x:f>'Inputs'!$D$44</x:f>
        <x:v>0.2</x:v>
      </x:c>
      <x:c r="AO118" s="81" t="n">
        <x:f>'Inputs'!$E$44</x:f>
        <x:v>-0.2</x:v>
      </x:c>
    </x:row>
    <x:row r="119">
      <x:c r="A119" s="59" t="str">
        <x:v>No demand</x:v>
      </x:c>
      <x:c r="B119" s="59" t="n">
        <x:v>116</x:v>
      </x:c>
      <x:c r="C119" s="78" t="n">
        <x:f>(('Inputs'!$B$29*(3*116*'Inputs'!$B$12-116^2)/(2*'Inputs'!$B$12^2))-('Inputs'!$B$29*(3*115*'Inputs'!$B$12-115^2)/(2*'Inputs'!$B$12^2)))*'Inputs'!$B$44</x:f>
        <x:v>674436.3389003575</x:v>
      </x:c>
      <x:c r="D119" s="78" t="n">
        <x:f>IF('Inputs'!$C$44&gt;0,('Inputs'!$B$30*(3*116*'Inputs'!$B$12-116^2)/(2*'Inputs'!$B$12^2))-('Inputs'!$B$30*(3*115*'Inputs'!$B$12-115^2)/(2*'Inputs'!$B$12^2)),0)</x:f>
        <x:v>289044.14524300396</x:v>
      </x:c>
      <x:c r="E119" s="78" t="n">
        <x:f>C119+D119</x:f>
        <x:v>963480.4841433614</x:v>
      </x:c>
      <x:c r="F119" s="78" t="n">
        <x:f>'Inputs'!$B$13*E119+(1-'Inputs'!$B$13)/'Inputs'!$B$14*SUM(E64:E119)</x:f>
        <x:v>973698.1610058163</x:v>
      </x:c>
      <x:c r="G119" s="78" t="n">
        <x:f>F119*'Inputs'!$F$44</x:f>
        <x:v>876328.3449052346</x:v>
      </x:c>
      <x:c r="H119" s="78" t="n">
        <x:f>U118</x:f>
        <x:v>54053699293.443405</x:v>
      </x:c>
      <x:c r="I119" s="78" t="n">
        <x:f>V118</x:f>
        <x:v>0.21822956344732877</x:v>
      </x:c>
      <x:c r="J119" s="79" t="n">
        <x:f>IF(H119&gt;0,I119/H119,0)</x:f>
        <x:v>4.0372734206888875e-12</x:v>
      </x:c>
      <x:c r="K119" s="80" t="n">
        <x:f>(H119*J119+I119)*'Inputs'!$D$44*(1+'Inputs'!$G$44)^(B119/30)</x:f>
        <x:v>0.0872918253789315</x:v>
      </x:c>
      <x:c r="L119" s="80" t="n">
        <x:f>MAX(0,K119*'Inputs'!$E$44)</x:f>
        <x:v>0</x:v>
      </x:c>
      <x:c r="M119" s="80" t="n">
        <x:f>MAX(0,-K119*'Inputs'!$E$44)</x:f>
        <x:v>0.0174583650757863</x:v>
      </x:c>
      <x:c r="N119" s="78" t="n">
        <x:f>H119*(L119*(1-'Inputs'!$B$15))/(I119+L119*(1-'Inputs'!$B$15))</x:f>
        <x:v>0</x:v>
      </x:c>
      <x:c r="O119" s="78" t="n">
        <x:f>H119-N119</x:f>
        <x:v>54053699293.443405</x:v>
      </x:c>
      <x:c r="P119" s="78" t="n">
        <x:f>I119+L119*(1-'Inputs'!$B$17)</x:f>
        <x:v>0.21822956344732877</x:v>
      </x:c>
      <x:c r="Q119" s="78" t="n">
        <x:f>IF(J119&gt;0,M119/J119,0)</x:f>
        <x:v>4324295943.475472</x:v>
      </x:c>
      <x:c r="R119" s="78" t="n">
        <x:f>IF(B119='Inputs'!$H$44,'Inputs'!$B$27*'Inputs'!$I$44,0)</x:f>
        <x:v>0</x:v>
      </x:c>
      <x:c r="S119" s="78" t="n">
        <x:f>Q119+G119+R119</x:f>
        <x:v>4325172271.820377</x:v>
      </x:c>
      <x:c r="T119" s="78" t="n">
        <x:f>P119*(S119*(1-'Inputs'!$B$15))/(O119+S119*(1-'Inputs'!$B$15))</x:f>
        <x:v>0.01601837187414614</x:v>
      </x:c>
      <x:c r="U119" s="78" t="n">
        <x:f>O119+S119*(1-'Inputs'!$B$17)</x:f>
        <x:v>58361466445.457664</x:v>
      </x:c>
      <x:c r="V119" s="78" t="n">
        <x:f>P119-T119</x:f>
        <x:v>0.20221119157318262</x:v>
      </x:c>
      <x:c r="W119" s="79" t="n">
        <x:f>IF(U119&gt;0,V119/U119,0)</x:f>
        <x:v>3.4648065562602213e-12</x:v>
      </x:c>
      <x:c r="X119" s="80" t="n">
        <x:f>W119*('Inputs'!$B$6-AC119)</x:f>
        <x:v>0.0010162579135305821</x:v>
      </x:c>
      <x:c r="Y119" s="80" t="n">
        <x:f>2*V119</x:f>
        <x:v>0.40442238314636525</x:v>
      </x:c>
      <x:c r="Z119" s="80" t="n">
        <x:f>K119*'Inputs'!$B$16+(G119+R119)*J119*'Inputs'!$B$16</x:f>
        <x:v>0.000523772180136397</x:v>
      </x:c>
      <x:c r="AA119" s="80" t="n">
        <x:f>K119*(1+'Inputs'!$E$44)/2*'Inputs'!$B$17</x:f>
        <x:v>0.00014050998048922579</x:v>
      </x:c>
      <x:c r="AB119" s="78" t="n">
        <x:f>(IF(J119&gt;0,K119*(1-'Inputs'!$E$44)/2/J119,0)+G119+R119)*'Inputs'!$B$17</x:f>
        <x:v>52208306.47392887</x:v>
      </x:c>
      <x:c r="AC119" s="78" t="n">
        <x:f>AC118+AB119</x:f>
        <x:v>706691298.0482547</x:v>
      </x:c>
      <x:c r="AD119" s="80" t="n">
        <x:f>Z119/(1+'Inputs'!$C$44)</x:f>
        <x:v>0.00041901774410911763</x:v>
      </x:c>
      <x:c r="AE119" s="80" t="n">
        <x:f>Z119-AD119</x:f>
        <x:v>0.00010475443602727942</x:v>
      </x:c>
      <x:c r="AF119" s="80" t="n">
        <x:f>D119*W119</x:f>
        <x:v>0.0000010014820494865917</x:v>
      </x:c>
      <x:c r="AG119" s="80" t="n">
        <x:f>C119*W119</x:f>
        <x:v>0.0000023367914488020992</x:v>
      </x:c>
      <x:c r="AH119" s="80" t="n">
        <x:f>2*'Inputs'!$B$8*'Inputs'!$C$44</x:f>
        <x:v>1250</x:v>
      </x:c>
      <x:c r="AI119" s="81" t="n">
        <x:f>IF(AH119&gt;0,(AE119+AF119)/AH119*365,0)</x:f>
        <x:v>0.000030880728078415675</x:v>
      </x:c>
      <x:c r="AJ119" s="81" t="n">
        <x:f>IF('Inputs'!$B$44&gt;0,AG119/('Inputs'!$B$19*'Inputs'!$B$44)*365,0)</x:f>
        <x:v>8.529288788127662e-8</x:v>
      </x:c>
      <x:c r="AK119" s="81" t="n">
        <x:f>W119/MAX($W$4:W119)-1</x:f>
        <x:v>-0.9999999949082036</x:v>
      </x:c>
      <x:c r="AL119" s="83" t="n">
        <x:f>'Inputs'!$B$44</x:f>
        <x:v>1</x:v>
      </x:c>
      <x:c r="AM119" s="83" t="n">
        <x:f>'Inputs'!$C$44</x:f>
        <x:v>0.25</x:v>
      </x:c>
      <x:c r="AN119" s="83" t="n">
        <x:f>'Inputs'!$D$44</x:f>
        <x:v>0.2</x:v>
      </x:c>
      <x:c r="AO119" s="81" t="n">
        <x:f>'Inputs'!$E$44</x:f>
        <x:v>-0.2</x:v>
      </x:c>
    </x:row>
    <x:row r="120">
      <x:c r="A120" s="59" t="str">
        <x:v>No demand</x:v>
      </x:c>
      <x:c r="B120" s="59" t="n">
        <x:v>117</x:v>
      </x:c>
      <x:c r="C120" s="78" t="n">
        <x:f>(('Inputs'!$B$29*(3*117*'Inputs'!$B$12-117^2)/(2*'Inputs'!$B$12^2))-('Inputs'!$B$29*(3*116*'Inputs'!$B$12-116^2)/(2*'Inputs'!$B$12^2)))*'Inputs'!$B$44</x:f>
        <x:v>674111.231000185</x:v>
      </x:c>
      <x:c r="D120" s="78" t="n">
        <x:f>IF('Inputs'!$C$44&gt;0,('Inputs'!$B$30*(3*117*'Inputs'!$B$12-117^2)/(2*'Inputs'!$B$12^2))-('Inputs'!$B$30*(3*116*'Inputs'!$B$12-116^2)/(2*'Inputs'!$B$12^2)),0)</x:f>
        <x:v>288904.81328579783</x:v>
      </x:c>
      <x:c r="E120" s="78" t="n">
        <x:f>C120+D120</x:f>
        <x:v>963016.0442859828</x:v>
      </x:c>
      <x:c r="F120" s="78" t="n">
        <x:f>'Inputs'!$B$13*E120+(1-'Inputs'!$B$13)/'Inputs'!$B$14*SUM(E65:E120)</x:f>
        <x:v>973233.7211484333</x:v>
      </x:c>
      <x:c r="G120" s="78" t="n">
        <x:f>F120*'Inputs'!$F$44</x:f>
        <x:v>875910.3490335899</x:v>
      </x:c>
      <x:c r="H120" s="78" t="n">
        <x:f>U119</x:f>
        <x:v>58361466445.457664</x:v>
      </x:c>
      <x:c r="I120" s="78" t="n">
        <x:f>V119</x:f>
        <x:v>0.20221119157318262</x:v>
      </x:c>
      <x:c r="J120" s="79" t="n">
        <x:f>IF(H120&gt;0,I120/H120,0)</x:f>
        <x:v>3.4648065562602213e-12</x:v>
      </x:c>
      <x:c r="K120" s="80" t="n">
        <x:f>(H120*J120+I120)*'Inputs'!$D$44*(1+'Inputs'!$G$44)^(B120/30)</x:f>
        <x:v>0.08088447662927306</x:v>
      </x:c>
      <x:c r="L120" s="80" t="n">
        <x:f>MAX(0,K120*'Inputs'!$E$44)</x:f>
        <x:v>0</x:v>
      </x:c>
      <x:c r="M120" s="80" t="n">
        <x:f>MAX(0,-K120*'Inputs'!$E$44)</x:f>
        <x:v>0.016176895325854614</x:v>
      </x:c>
      <x:c r="N120" s="78" t="n">
        <x:f>H120*(L120*(1-'Inputs'!$B$15))/(I120+L120*(1-'Inputs'!$B$15))</x:f>
        <x:v>0</x:v>
      </x:c>
      <x:c r="O120" s="78" t="n">
        <x:f>H120-N120</x:f>
        <x:v>58361466445.457664</x:v>
      </x:c>
      <x:c r="P120" s="78" t="n">
        <x:f>I120+L120*(1-'Inputs'!$B$17)</x:f>
        <x:v>0.20221119157318262</x:v>
      </x:c>
      <x:c r="Q120" s="78" t="n">
        <x:f>IF(J120&gt;0,M120/J120,0)</x:f>
        <x:v>4668917315.636614</x:v>
      </x:c>
      <x:c r="R120" s="78" t="n">
        <x:f>IF(B120='Inputs'!$H$44,'Inputs'!$B$27*'Inputs'!$I$44,0)</x:f>
        <x:v>0</x:v>
      </x:c>
      <x:c r="S120" s="78" t="n">
        <x:f>Q120+G120+R120</x:f>
        <x:v>4669793225.985647</x:v>
      </x:c>
      <x:c r="T120" s="78" t="n">
        <x:f>P120*(S120*(1-'Inputs'!$B$15))/(O120+S120*(1-'Inputs'!$B$15))</x:f>
        <x:v>0.014842392838610302</x:v>
      </x:c>
      <x:c r="U120" s="78" t="n">
        <x:f>O120+S120*(1-'Inputs'!$B$17)</x:f>
        <x:v>63012467746.99267</x:v>
      </x:c>
      <x:c r="V120" s="78" t="n">
        <x:f>P120-T120</x:f>
        <x:v>0.18736879873457232</x:v>
      </x:c>
      <x:c r="W120" s="79" t="n">
        <x:f>IF(U120&gt;0,V120/U120,0)</x:f>
        <x:v>2.9735194547037033e-12</x:v>
      </x:c>
      <x:c r="X120" s="80" t="n">
        <x:f>W120*('Inputs'!$B$6-AC120)</x:f>
        <x:v>0.0007045456347155383</x:v>
      </x:c>
      <x:c r="Y120" s="80" t="n">
        <x:f>2*V120</x:f>
        <x:v>0.37473759746914465</x:v>
      </x:c>
      <x:c r="Z120" s="80" t="n">
        <x:f>K120*'Inputs'!$B$16+(G120+R120)*J120*'Inputs'!$B$16</x:f>
        <x:v>0.00048532506893515857</x:v>
      </x:c>
      <x:c r="AA120" s="80" t="n">
        <x:f>K120*(1+'Inputs'!$E$44)/2*'Inputs'!$B$17</x:f>
        <x:v>0.00013019634065074138</x:v>
      </x:c>
      <x:c r="AB120" s="78" t="n">
        <x:f>(IF(J120&gt;0,K120*(1-'Inputs'!$E$44)/2/J120,0)+G120+R120)*'Inputs'!$B$17</x:f>
        <x:v>56368723.77166549</x:v>
      </x:c>
      <x:c r="AC120" s="78" t="n">
        <x:f>AC119+AB120</x:f>
        <x:v>763060021.8199202</x:v>
      </x:c>
      <x:c r="AD120" s="80" t="n">
        <x:f>Z120/(1+'Inputs'!$C$44)</x:f>
        <x:v>0.00038826005514812687</x:v>
      </x:c>
      <x:c r="AE120" s="80" t="n">
        <x:f>Z120-AD120</x:f>
        <x:v>0.0000970650137870317</x:v>
      </x:c>
      <x:c r="AF120" s="80" t="n">
        <x:f>D120*W120</x:f>
        <x:v>8.590640828628608e-7</x:v>
      </x:c>
      <x:c r="AG120" s="80" t="n">
        <x:f>C120*W120</x:f>
        <x:v>0.0000020044828600133125</x:v>
      </x:c>
      <x:c r="AH120" s="80" t="n">
        <x:f>2*'Inputs'!$B$8*'Inputs'!$C$44</x:f>
        <x:v>1250</x:v>
      </x:c>
      <x:c r="AI120" s="81" t="n">
        <x:f>IF(AH120&gt;0,(AE120+AF120)/AH120*365,0)</x:f>
        <x:v>0.000028593830738009215</x:v>
      </x:c>
      <x:c r="AJ120" s="81" t="n">
        <x:f>IF('Inputs'!$B$44&gt;0,AG120/('Inputs'!$B$19*'Inputs'!$B$44)*365,0)</x:f>
        <x:v>7.31636243904859e-8</x:v>
      </x:c>
      <x:c r="AK120" s="81" t="n">
        <x:f>W120/MAX($W$4:W120)-1</x:f>
        <x:v>-0.9999999956301873</x:v>
      </x:c>
      <x:c r="AL120" s="83" t="n">
        <x:f>'Inputs'!$B$44</x:f>
        <x:v>1</x:v>
      </x:c>
      <x:c r="AM120" s="83" t="n">
        <x:f>'Inputs'!$C$44</x:f>
        <x:v>0.25</x:v>
      </x:c>
      <x:c r="AN120" s="83" t="n">
        <x:f>'Inputs'!$D$44</x:f>
        <x:v>0.2</x:v>
      </x:c>
      <x:c r="AO120" s="81" t="n">
        <x:f>'Inputs'!$E$44</x:f>
        <x:v>-0.2</x:v>
      </x:c>
    </x:row>
    <x:row r="121">
      <x:c r="A121" s="59" t="str">
        <x:v>No demand</x:v>
      </x:c>
      <x:c r="B121" s="59" t="n">
        <x:v>118</x:v>
      </x:c>
      <x:c r="C121" s="78" t="n">
        <x:f>(('Inputs'!$B$29*(3*118*'Inputs'!$B$12-118^2)/(2*'Inputs'!$B$12^2))-('Inputs'!$B$29*(3*117*'Inputs'!$B$12-117^2)/(2*'Inputs'!$B$12^2)))*'Inputs'!$B$44</x:f>
        <x:v>673786.1231000274</x:v>
      </x:c>
      <x:c r="D121" s="78" t="n">
        <x:f>IF('Inputs'!$C$44&gt;0,('Inputs'!$B$30*(3*118*'Inputs'!$B$12-118^2)/(2*'Inputs'!$B$12^2))-('Inputs'!$B$30*(3*117*'Inputs'!$B$12-117^2)/(2*'Inputs'!$B$12^2)),0)</x:f>
        <x:v>288765.4813285768</x:v>
      </x:c>
      <x:c r="E121" s="78" t="n">
        <x:f>C121+D121</x:f>
        <x:v>962551.6044286042</x:v>
      </x:c>
      <x:c r="F121" s="78" t="n">
        <x:f>'Inputs'!$B$13*E121+(1-'Inputs'!$B$13)/'Inputs'!$B$14*SUM(E66:E121)</x:f>
        <x:v>972769.2812910504</x:v>
      </x:c>
      <x:c r="G121" s="78" t="n">
        <x:f>F121*'Inputs'!$F$44</x:f>
        <x:v>875492.3531619454</x:v>
      </x:c>
      <x:c r="H121" s="78" t="n">
        <x:f>U120</x:f>
        <x:v>63012467746.99267</x:v>
      </x:c>
      <x:c r="I121" s="78" t="n">
        <x:f>V120</x:f>
        <x:v>0.18736879873457232</x:v>
      </x:c>
      <x:c r="J121" s="79" t="n">
        <x:f>IF(H121&gt;0,I121/H121,0)</x:f>
        <x:v>2.9735194547037033e-12</x:v>
      </x:c>
      <x:c r="K121" s="80" t="n">
        <x:f>(H121*J121+I121)*'Inputs'!$D$44*(1+'Inputs'!$G$44)^(B121/30)</x:f>
        <x:v>0.07494751949382893</x:v>
      </x:c>
      <x:c r="L121" s="80" t="n">
        <x:f>MAX(0,K121*'Inputs'!$E$44)</x:f>
        <x:v>0</x:v>
      </x:c>
      <x:c r="M121" s="80" t="n">
        <x:f>MAX(0,-K121*'Inputs'!$E$44)</x:f>
        <x:v>0.014989503898765785</x:v>
      </x:c>
      <x:c r="N121" s="78" t="n">
        <x:f>H121*(L121*(1-'Inputs'!$B$15))/(I121+L121*(1-'Inputs'!$B$15))</x:f>
        <x:v>0</x:v>
      </x:c>
      <x:c r="O121" s="78" t="n">
        <x:f>H121-N121</x:f>
        <x:v>63012467746.99267</x:v>
      </x:c>
      <x:c r="P121" s="78" t="n">
        <x:f>I121+L121*(1-'Inputs'!$B$17)</x:f>
        <x:v>0.18736879873457232</x:v>
      </x:c>
      <x:c r="Q121" s="78" t="n">
        <x:f>IF(J121&gt;0,M121/J121,0)</x:f>
        <x:v>5040997419.759413</x:v>
      </x:c>
      <x:c r="R121" s="78" t="n">
        <x:f>IF(B121='Inputs'!$H$44,'Inputs'!$B$27*'Inputs'!$I$44,0)</x:f>
        <x:v>0</x:v>
      </x:c>
      <x:c r="S121" s="78" t="n">
        <x:f>Q121+G121+R121</x:f>
        <x:v>5041872912.112575</x:v>
      </x:c>
      <x:c r="T121" s="78" t="n">
        <x:f>P121*(S121*(1-'Inputs'!$B$15))/(O121+S121*(1-'Inputs'!$B$15))</x:f>
        <x:v>0.013752777011429969</x:v>
      </x:c>
      <x:c r="U121" s="78" t="n">
        <x:f>O121+S121*(1-'Inputs'!$B$17)</x:f>
        <x:v>68034051432.09473</x:v>
      </x:c>
      <x:c r="V121" s="78" t="n">
        <x:f>P121-T121</x:f>
        <x:v>0.17361602172314236</x:v>
      </x:c>
      <x:c r="W121" s="79" t="n">
        <x:f>IF(U121&gt;0,V121/U121,0)</x:f>
        <x:v>2.551898910451184e-12</x:v>
      </x:c>
      <x:c r="X121" s="80" t="n">
        <x:f>W121*('Inputs'!$B$6-AC121)</x:f>
        <x:v>0.00044933668448524013</x:v>
      </x:c>
      <x:c r="Y121" s="80" t="n">
        <x:f>2*V121</x:f>
        <x:v>0.3472320434462847</x:v>
      </x:c>
      <x:c r="Z121" s="80" t="n">
        <x:f>K121*'Inputs'!$B$16+(G121+R121)*J121*'Inputs'!$B$16</x:f>
        <x:v>0.000449700736724241</x:v>
      </x:c>
      <x:c r="AA121" s="80" t="n">
        <x:f>K121*(1+'Inputs'!$E$44)/2*'Inputs'!$B$17</x:f>
        <x:v>0.0001206398704126019</x:v>
      </x:c>
      <x:c r="AB121" s="78" t="n">
        <x:f>(IF(J121&gt;0,K121*(1-'Inputs'!$E$44)/2/J121,0)+G121+R121)*'Inputs'!$B$17</x:f>
        <x:v>60860634.81541812</x:v>
      </x:c>
      <x:c r="AC121" s="78" t="n">
        <x:f>AC120+AB121</x:f>
        <x:v>823920656.6353383</x:v>
      </x:c>
      <x:c r="AD121" s="80" t="n">
        <x:f>Z121/(1+'Inputs'!$C$44)</x:f>
        <x:v>0.0003597605893793928</x:v>
      </x:c>
      <x:c r="AE121" s="80" t="n">
        <x:f>Z121-AD121</x:f>
        <x:v>0.00008994014734484818</x:v>
      </x:c>
      <x:c r="AF121" s="80" t="n">
        <x:f>D121*W121</x:f>
        <x:v>7.369003171783069e-7</x:v>
      </x:c>
      <x:c r="AG121" s="80" t="n">
        <x:f>C121*W121</x:f>
        <x:v>0.0000017194340734160874</x:v>
      </x:c>
      <x:c r="AH121" s="80" t="n">
        <x:f>2*'Inputs'!$B$8*'Inputs'!$C$44</x:f>
        <x:v>1250</x:v>
      </x:c>
      <x:c r="AI121" s="81" t="n">
        <x:f>IF(AH121&gt;0,(AE121+AF121)/AH121*365,0)</x:f>
        <x:v>0.000026477697917311732</x:v>
      </x:c>
      <x:c r="AJ121" s="81" t="n">
        <x:f>IF('Inputs'!$B$44&gt;0,AG121/('Inputs'!$B$19*'Inputs'!$B$44)*365,0)</x:f>
        <x:v>6.275934367968719e-8</x:v>
      </x:c>
      <x:c r="AK121" s="81" t="n">
        <x:f>W121/MAX($W$4:W121)-1</x:f>
        <x:v>-0.9999999962497907</x:v>
      </x:c>
      <x:c r="AL121" s="83" t="n">
        <x:f>'Inputs'!$B$44</x:f>
        <x:v>1</x:v>
      </x:c>
      <x:c r="AM121" s="83" t="n">
        <x:f>'Inputs'!$C$44</x:f>
        <x:v>0.25</x:v>
      </x:c>
      <x:c r="AN121" s="83" t="n">
        <x:f>'Inputs'!$D$44</x:f>
        <x:v>0.2</x:v>
      </x:c>
      <x:c r="AO121" s="81" t="n">
        <x:f>'Inputs'!$E$44</x:f>
        <x:v>-0.2</x:v>
      </x:c>
    </x:row>
    <x:row r="122">
      <x:c r="A122" s="59" t="str">
        <x:v>No demand</x:v>
      </x:c>
      <x:c r="B122" s="59" t="n">
        <x:v>119</x:v>
      </x:c>
      <x:c r="C122" s="78" t="n">
        <x:f>(('Inputs'!$B$29*(3*119*'Inputs'!$B$12-119^2)/(2*'Inputs'!$B$12^2))-('Inputs'!$B$29*(3*118*'Inputs'!$B$12-118^2)/(2*'Inputs'!$B$12^2)))*'Inputs'!$B$44</x:f>
        <x:v>673461.0151998401</x:v>
      </x:c>
      <x:c r="D122" s="78" t="n">
        <x:f>IF('Inputs'!$C$44&gt;0,('Inputs'!$B$30*(3*119*'Inputs'!$B$12-119^2)/(2*'Inputs'!$B$12^2))-('Inputs'!$B$30*(3*118*'Inputs'!$B$12-118^2)/(2*'Inputs'!$B$12^2)),0)</x:f>
        <x:v>288626.1493713632</x:v>
      </x:c>
      <x:c r="E122" s="78" t="n">
        <x:f>C122+D122</x:f>
        <x:v>962087.1645712033</x:v>
      </x:c>
      <x:c r="F122" s="78" t="n">
        <x:f>'Inputs'!$B$13*E122+(1-'Inputs'!$B$13)/'Inputs'!$B$14*SUM(E67:E122)</x:f>
        <x:v>972304.8414336627</x:v>
      </x:c>
      <x:c r="G122" s="78" t="n">
        <x:f>F122*'Inputs'!$F$44</x:f>
        <x:v>875074.3572902965</x:v>
      </x:c>
      <x:c r="H122" s="78" t="n">
        <x:f>U121</x:f>
        <x:v>68034051432.09473</x:v>
      </x:c>
      <x:c r="I122" s="78" t="n">
        <x:f>V121</x:f>
        <x:v>0.17361602172314236</x:v>
      </x:c>
      <x:c r="J122" s="79" t="n">
        <x:f>IF(H122&gt;0,I122/H122,0)</x:f>
        <x:v>2.551898910451184e-12</x:v>
      </x:c>
      <x:c r="K122" s="80" t="n">
        <x:f>(H122*J122+I122)*'Inputs'!$D$44*(1+'Inputs'!$G$44)^(B122/30)</x:f>
        <x:v>0.06944640868925694</x:v>
      </x:c>
      <x:c r="L122" s="80" t="n">
        <x:f>MAX(0,K122*'Inputs'!$E$44)</x:f>
        <x:v>0</x:v>
      </x:c>
      <x:c r="M122" s="80" t="n">
        <x:f>MAX(0,-K122*'Inputs'!$E$44)</x:f>
        <x:v>0.01388928173785139</x:v>
      </x:c>
      <x:c r="N122" s="78" t="n">
        <x:f>H122*(L122*(1-'Inputs'!$B$15))/(I122+L122*(1-'Inputs'!$B$15))</x:f>
        <x:v>0</x:v>
      </x:c>
      <x:c r="O122" s="78" t="n">
        <x:f>H122-N122</x:f>
        <x:v>68034051432.09473</x:v>
      </x:c>
      <x:c r="P122" s="78" t="n">
        <x:f>I122+L122*(1-'Inputs'!$B$17)</x:f>
        <x:v>0.17361602172314236</x:v>
      </x:c>
      <x:c r="Q122" s="78" t="n">
        <x:f>IF(J122&gt;0,M122/J122,0)</x:f>
        <x:v>5442724114.567578</x:v>
      </x:c>
      <x:c r="R122" s="78" t="n">
        <x:f>IF(B122='Inputs'!$H$44,'Inputs'!$B$27*'Inputs'!$I$44,0)</x:f>
        <x:v>0</x:v>
      </x:c>
      <x:c r="S122" s="78" t="n">
        <x:f>Q122+G122+R122</x:f>
        <x:v>5443599188.924869</x:v>
      </x:c>
      <x:c r="T122" s="78" t="n">
        <x:f>P122*(S122*(1-'Inputs'!$B$15))/(O122+S122*(1-'Inputs'!$B$15))</x:f>
        <x:v>0.012743177745787261</x:v>
      </x:c>
      <x:c r="U122" s="78" t="n">
        <x:f>O122+S122*(1-'Inputs'!$B$17)</x:f>
        <x:v>73455744789.27342</x:v>
      </x:c>
      <x:c r="V122" s="78" t="n">
        <x:f>P122-T122</x:f>
        <x:v>0.1608728439773551</x:v>
      </x:c>
      <x:c r="W122" s="79" t="n">
        <x:f>IF(U122&gt;0,V122/U122,0)</x:f>
        <x:v>2.190064840249867e-12</x:v>
      </x:c>
      <x:c r="X122" s="80" t="n">
        <x:f>W122*('Inputs'!$B$6-AC122)</x:f>
        <x:v>0.0002417150275885124</x:v>
      </x:c>
      <x:c r="Y122" s="80" t="n">
        <x:f>2*V122</x:f>
        <x:v>0.3217456879547102</x:v>
      </x:c>
      <x:c r="Z122" s="80" t="n">
        <x:f>K122*'Inputs'!$B$16+(G122+R122)*J122*'Inputs'!$B$16</x:f>
        <x:v>0.0004166918507433352</x:v>
      </x:c>
      <x:c r="AA122" s="80" t="n">
        <x:f>K122*(1+'Inputs'!$E$44)/2*'Inputs'!$B$17</x:f>
        <x:v>0.00011178496368492065</x:v>
      </x:c>
      <x:c r="AB122" s="78" t="n">
        <x:f>(IF(J122&gt;0,K122*(1-'Inputs'!$E$44)/2/J122,0)+G122+R122)*'Inputs'!$B$17</x:f>
        <x:v>65710452.38655946</x:v>
      </x:c>
      <x:c r="AC122" s="78" t="n">
        <x:f>AC121+AB122</x:f>
        <x:v>889631109.0218978</x:v>
      </x:c>
      <x:c r="AD122" s="80" t="n">
        <x:f>Z122/(1+'Inputs'!$C$44)</x:f>
        <x:v>0.00033335348059466817</x:v>
      </x:c>
      <x:c r="AE122" s="80" t="n">
        <x:f>Z122-AD122</x:f>
        <x:v>0.00008333837014866705</x:v>
      </x:c>
      <x:c r="AF122" s="80" t="n">
        <x:f>D122*W122</x:f>
        <x:v>6.321099817149289e-7</x:v>
      </x:c>
      <x:c r="AG122" s="80" t="n">
        <x:f>C122*W122</x:f>
        <x:v>0.000001474923290668151</x:v>
      </x:c>
      <x:c r="AH122" s="80" t="n">
        <x:f>2*'Inputs'!$B$8*'Inputs'!$C$44</x:f>
        <x:v>1250</x:v>
      </x:c>
      <x:c r="AI122" s="81" t="n">
        <x:f>IF(AH122&gt;0,(AE122+AF122)/AH122*365,0)</x:f>
        <x:v>0.00002451938019807154</x:v>
      </x:c>
      <x:c r="AJ122" s="81" t="n">
        <x:f>IF('Inputs'!$B$44&gt;0,AG122/('Inputs'!$B$19*'Inputs'!$B$44)*365,0)</x:f>
        <x:v>5.383470010938752e-8</x:v>
      </x:c>
      <x:c r="AK122" s="81" t="n">
        <x:f>W122/MAX($W$4:W122)-1</x:f>
        <x:v>-0.9999999967815334</x:v>
      </x:c>
      <x:c r="AL122" s="83" t="n">
        <x:f>'Inputs'!$B$44</x:f>
        <x:v>1</x:v>
      </x:c>
      <x:c r="AM122" s="83" t="n">
        <x:f>'Inputs'!$C$44</x:f>
        <x:v>0.25</x:v>
      </x:c>
      <x:c r="AN122" s="83" t="n">
        <x:f>'Inputs'!$D$44</x:f>
        <x:v>0.2</x:v>
      </x:c>
      <x:c r="AO122" s="81" t="n">
        <x:f>'Inputs'!$E$44</x:f>
        <x:v>-0.2</x:v>
      </x:c>
    </x:row>
    <x:row r="123">
      <x:c r="A123" s="59" t="str">
        <x:v>No demand</x:v>
      </x:c>
      <x:c r="B123" s="59" t="n">
        <x:v>120</x:v>
      </x:c>
      <x:c r="C123" s="78" t="n">
        <x:f>(('Inputs'!$B$29*(3*120*'Inputs'!$B$12-120^2)/(2*'Inputs'!$B$12^2))-('Inputs'!$B$29*(3*119*'Inputs'!$B$12-119^2)/(2*'Inputs'!$B$12^2)))*'Inputs'!$B$44</x:f>
        <x:v>673135.9072996825</x:v>
      </x:c>
      <x:c r="D123" s="78" t="n">
        <x:f>IF('Inputs'!$C$44&gt;0,('Inputs'!$B$30*(3*120*'Inputs'!$B$12-120^2)/(2*'Inputs'!$B$12^2))-('Inputs'!$B$30*(3*119*'Inputs'!$B$12-119^2)/(2*'Inputs'!$B$12^2)),0)</x:f>
        <x:v>288486.81741414964</x:v>
      </x:c>
      <x:c r="E123" s="78" t="n">
        <x:f>C123+D123</x:f>
        <x:v>961622.7247138321</x:v>
      </x:c>
      <x:c r="F123" s="78" t="n">
        <x:f>'Inputs'!$B$13*E123+(1-'Inputs'!$B$13)/'Inputs'!$B$14*SUM(E68:E123)</x:f>
        <x:v>971840.4015762811</x:v>
      </x:c>
      <x:c r="G123" s="78" t="n">
        <x:f>F123*'Inputs'!$F$44</x:f>
        <x:v>874656.3614186529</x:v>
      </x:c>
      <x:c r="H123" s="78" t="n">
        <x:f>U122</x:f>
        <x:v>73455744789.27342</x:v>
      </x:c>
      <x:c r="I123" s="78" t="n">
        <x:f>V122</x:f>
        <x:v>0.1608728439773551</x:v>
      </x:c>
      <x:c r="J123" s="79" t="n">
        <x:f>IF(H123&gt;0,I123/H123,0)</x:f>
        <x:v>2.190064840249867e-12</x:v>
      </x:c>
      <x:c r="K123" s="80" t="n">
        <x:f>(H123*J123+I123)*'Inputs'!$D$44*(1+'Inputs'!$G$44)^(B123/30)</x:f>
        <x:v>0.06434913759094205</x:v>
      </x:c>
      <x:c r="L123" s="80" t="n">
        <x:f>MAX(0,K123*'Inputs'!$E$44)</x:f>
        <x:v>0</x:v>
      </x:c>
      <x:c r="M123" s="80" t="n">
        <x:f>MAX(0,-K123*'Inputs'!$E$44)</x:f>
        <x:v>0.01286982751818841</x:v>
      </x:c>
      <x:c r="N123" s="78" t="n">
        <x:f>H123*(L123*(1-'Inputs'!$B$15))/(I123+L123*(1-'Inputs'!$B$15))</x:f>
        <x:v>0</x:v>
      </x:c>
      <x:c r="O123" s="78" t="n">
        <x:f>H123-N123</x:f>
        <x:v>73455744789.27342</x:v>
      </x:c>
      <x:c r="P123" s="78" t="n">
        <x:f>I123+L123*(1-'Inputs'!$B$17)</x:f>
        <x:v>0.1608728439773551</x:v>
      </x:c>
      <x:c r="Q123" s="78" t="n">
        <x:f>IF(J123&gt;0,M123/J123,0)</x:f>
        <x:v>5876459583.141874</x:v>
      </x:c>
      <x:c r="R123" s="78" t="n">
        <x:f>IF(B123='Inputs'!$H$44,'Inputs'!$B$27*'Inputs'!$I$44,0)</x:f>
        <x:v>0</x:v>
      </x:c>
      <x:c r="S123" s="78" t="n">
        <x:f>Q123+G123+R123</x:f>
        <x:v>5877334239.503293</x:v>
      </x:c>
      <x:c r="T123" s="78" t="n">
        <x:f>P123*(S123*(1-'Inputs'!$B$15))/(O123+S123*(1-'Inputs'!$B$15))</x:f>
        <x:v>0.011807715391117423</x:v>
      </x:c>
      <x:c r="U123" s="78" t="n">
        <x:f>O123+S123*(1-'Inputs'!$B$17)</x:f>
        <x:v>79309427784.35216</x:v>
      </x:c>
      <x:c r="V123" s="78" t="n">
        <x:f>P123-T123</x:f>
        <x:v>0.1490651285862377</x:v>
      </x:c>
      <x:c r="W123" s="79" t="n">
        <x:f>IF(U123&gt;0,V123/U123,0)</x:f>
        <x:v>1.879538571272461e-12</x:v>
      </x:c>
      <x:c r="X123" s="80" t="n">
        <x:f>W123*('Inputs'!$B$6-AC123)</x:f>
        <x:v>0.00007409554018712176</x:v>
      </x:c>
      <x:c r="Y123" s="80" t="n">
        <x:f>2*V123</x:f>
        <x:v>0.2981302571724754</x:v>
      </x:c>
      <x:c r="Z123" s="80" t="n">
        <x:f>K123*'Inputs'!$B$16+(G123+R123)*J123*'Inputs'!$B$16</x:f>
        <x:v>0.0003861063188705189</x:v>
      </x:c>
      <x:c r="AA123" s="80" t="n">
        <x:f>K123*(1+'Inputs'!$E$44)/2*'Inputs'!$B$17</x:f>
        <x:v>0.00010358010075000733</x:v>
      </x:c>
      <x:c r="AB123" s="78" t="n">
        <x:f>(IF(J123&gt;0,K123*(1-'Inputs'!$E$44)/2/J123,0)+G123+R123)*'Inputs'!$B$17</x:f>
        <x:v>70946693.78586335</x:v>
      </x:c>
      <x:c r="AC123" s="78" t="n">
        <x:f>AC122+AB123</x:f>
        <x:v>960577802.8077612</x:v>
      </x:c>
      <x:c r="AD123" s="80" t="n">
        <x:f>Z123/(1+'Inputs'!$C$44)</x:f>
        <x:v>0.0003088850550964151</x:v>
      </x:c>
      <x:c r="AE123" s="80" t="n">
        <x:f>Z123-AD123</x:f>
        <x:v>0.00007722126377410378</x:v>
      </x:c>
      <x:c r="AF123" s="80" t="n">
        <x:f>D123*W123</x:f>
        <x:v>5.422221006335301e-7</x:v>
      </x:c>
      <x:c r="AG123" s="80" t="n">
        <x:f>C123*W123</x:f>
        <x:v>0.000001265184901478237</x:v>
      </x:c>
      <x:c r="AH123" s="80" t="n">
        <x:f>2*'Inputs'!$B$8*'Inputs'!$C$44</x:f>
        <x:v>1250</x:v>
      </x:c>
      <x:c r="AI123" s="81" t="n">
        <x:f>IF(AH123&gt;0,(AE123+AF123)/AH123*365,0)</x:f>
        <x:v>0.000022706937875423295</x:v>
      </x:c>
      <x:c r="AJ123" s="81" t="n">
        <x:f>IF('Inputs'!$B$44&gt;0,AG123/('Inputs'!$B$19*'Inputs'!$B$44)*365,0)</x:f>
        <x:v>4.617924890395565e-8</x:v>
      </x:c>
      <x:c r="AK123" s="81" t="n">
        <x:f>W123/MAX($W$4:W123)-1</x:f>
        <x:v>-0.9999999972378754</x:v>
      </x:c>
      <x:c r="AL123" s="83" t="n">
        <x:f>'Inputs'!$B$44</x:f>
        <x:v>1</x:v>
      </x:c>
      <x:c r="AM123" s="83" t="n">
        <x:f>'Inputs'!$C$44</x:f>
        <x:v>0.25</x:v>
      </x:c>
      <x:c r="AN123" s="83" t="n">
        <x:f>'Inputs'!$D$44</x:f>
        <x:v>0.2</x:v>
      </x:c>
      <x:c r="AO123" s="81" t="n">
        <x:f>'Inputs'!$E$44</x:f>
        <x:v>-0.2</x:v>
      </x:c>
    </x:row>
    <x:row r="124">
      <x:c r="A124" s="59" t="str">
        <x:v>No demand</x:v>
      </x:c>
      <x:c r="B124" s="59" t="n">
        <x:v>121</x:v>
      </x:c>
      <x:c r="C124" s="78" t="n">
        <x:f>(('Inputs'!$B$29*(3*121*'Inputs'!$B$12-121^2)/(2*'Inputs'!$B$12^2))-('Inputs'!$B$29*(3*120*'Inputs'!$B$12-120^2)/(2*'Inputs'!$B$12^2)))*'Inputs'!$B$44</x:f>
        <x:v>672810.79939951</x:v>
      </x:c>
      <x:c r="D124" s="78" t="n">
        <x:f>IF('Inputs'!$C$44&gt;0,('Inputs'!$B$30*(3*121*'Inputs'!$B$12-121^2)/(2*'Inputs'!$B$12^2))-('Inputs'!$B$30*(3*120*'Inputs'!$B$12-120^2)/(2*'Inputs'!$B$12^2)),0)</x:f>
        <x:v>288347.48545693606</x:v>
      </x:c>
      <x:c r="E124" s="78" t="n">
        <x:f>C124+D124</x:f>
        <x:v>961158.2848564461</x:v>
      </x:c>
      <x:c r="F124" s="78" t="n">
        <x:f>'Inputs'!$B$13*E124+(1-'Inputs'!$B$13)/'Inputs'!$B$14*SUM(E69:E124)</x:f>
        <x:v>971375.9617188966</x:v>
      </x:c>
      <x:c r="G124" s="78" t="n">
        <x:f>F124*'Inputs'!$F$44</x:f>
        <x:v>874238.365547007</x:v>
      </x:c>
      <x:c r="H124" s="78" t="n">
        <x:f>U123</x:f>
        <x:v>79309427784.35216</x:v>
      </x:c>
      <x:c r="I124" s="78" t="n">
        <x:f>V123</x:f>
        <x:v>0.1490651285862377</x:v>
      </x:c>
      <x:c r="J124" s="79" t="n">
        <x:f>IF(H124&gt;0,I124/H124,0)</x:f>
        <x:v>1.879538571272461e-12</x:v>
      </x:c>
      <x:c r="K124" s="80" t="n">
        <x:f>(H124*J124+I124)*'Inputs'!$D$44*(1+'Inputs'!$G$44)^(B124/30)</x:f>
        <x:v>0.05962605143449508</x:v>
      </x:c>
      <x:c r="L124" s="80" t="n">
        <x:f>MAX(0,K124*'Inputs'!$E$44)</x:f>
        <x:v>0</x:v>
      </x:c>
      <x:c r="M124" s="80" t="n">
        <x:f>MAX(0,-K124*'Inputs'!$E$44)</x:f>
        <x:v>0.011925210286899017</x:v>
      </x:c>
      <x:c r="N124" s="78" t="n">
        <x:f>H124*(L124*(1-'Inputs'!$B$15))/(I124+L124*(1-'Inputs'!$B$15))</x:f>
        <x:v>0</x:v>
      </x:c>
      <x:c r="O124" s="78" t="n">
        <x:f>H124-N124</x:f>
        <x:v>79309427784.35216</x:v>
      </x:c>
      <x:c r="P124" s="78" t="n">
        <x:f>I124+L124*(1-'Inputs'!$B$17)</x:f>
        <x:v>0.1490651285862377</x:v>
      </x:c>
      <x:c r="Q124" s="78" t="n">
        <x:f>IF(J124&gt;0,M124/J124,0)</x:f>
        <x:v>6344754222.748174</x:v>
      </x:c>
      <x:c r="R124" s="78" t="n">
        <x:f>IF(B124='Inputs'!$H$44,'Inputs'!$B$27*'Inputs'!$I$44,0)</x:f>
        <x:v>0</x:v>
      </x:c>
      <x:c r="S124" s="78" t="n">
        <x:f>Q124+G124+R124</x:f>
        <x:v>6345628461.113721</x:v>
      </x:c>
      <x:c r="T124" s="78" t="n">
        <x:f>P124*(S124*(1-'Inputs'!$B$15))/(O124+S124*(1-'Inputs'!$B$15))</x:f>
        <x:v>0.010940942846255105</x:v>
      </x:c>
      <x:c r="U124" s="78" t="n">
        <x:f>O124+S124*(1-'Inputs'!$B$17)</x:f>
        <x:v>85629520517.25214</x:v>
      </x:c>
      <x:c r="V124" s="78" t="n">
        <x:f>P124-T124</x:f>
        <x:v>0.13812418573998259</x:v>
      </x:c>
      <x:c r="W124" s="79" t="n">
        <x:f>IF(U124&gt;0,V124/U124,0)</x:f>
        <x:v>1.6130440168954833e-12</x:v>
      </x:c>
      <x:c r="X124" s="80" t="n">
        <x:f>W124*('Inputs'!$B$6-AC124)</x:f>
        <x:v>-0.000059969671945717595</x:v>
      </x:c>
      <x:c r="Y124" s="80" t="n">
        <x:f>2*V124</x:f>
        <x:v>0.27624837147996517</x:v>
      </x:c>
      <x:c r="Z124" s="80" t="n">
        <x:f>K124*'Inputs'!$B$16+(G124+R124)*J124*'Inputs'!$B$16</x:f>
        <x:v>0.00035776616759534166</x:v>
      </x:c>
      <x:c r="AA124" s="80" t="n">
        <x:f>K124*(1+'Inputs'!$E$44)/2*'Inputs'!$B$17</x:f>
        <x:v>0.0000959775475806762</x:v>
      </x:c>
      <x:c r="AB124" s="78" t="n">
        <x:f>(IF(J124&gt;0,K124*(1-'Inputs'!$E$44)/2/J124,0)+G124+R124)*'Inputs'!$B$17</x:f>
        <x:v>76600148.51754554</x:v>
      </x:c>
      <x:c r="AC124" s="78" t="n">
        <x:f>AC123+AB124</x:f>
        <x:v>1037177951.3253068</x:v>
      </x:c>
      <x:c r="AD124" s="80" t="n">
        <x:f>Z124/(1+'Inputs'!$C$44)</x:f>
        <x:v>0.00028621293407627335</x:v>
      </x:c>
      <x:c r="AE124" s="80" t="n">
        <x:f>Z124-AD124</x:f>
        <x:v>0.00007155323351906831</x:v>
      </x:c>
      <x:c r="AF124" s="80" t="n">
        <x:f>D124*W124</x:f>
        <x:v>4.651171862031681e-7</x:v>
      </x:c>
      <x:c r="AG124" s="80" t="n">
        <x:f>C124*W124</x:f>
        <x:v>0.0000010852734344740469</x:v>
      </x:c>
      <x:c r="AH124" s="80" t="n">
        <x:f>2*'Inputs'!$B$8*'Inputs'!$C$44</x:f>
        <x:v>1250</x:v>
      </x:c>
      <x:c r="AI124" s="81" t="n">
        <x:f>IF(AH124&gt;0,(AE124+AF124)/AH124*365,0)</x:f>
        <x:v>0.000021029358405939274</x:v>
      </x:c>
      <x:c r="AJ124" s="81" t="n">
        <x:f>IF('Inputs'!$B$44&gt;0,AG124/('Inputs'!$B$19*'Inputs'!$B$44)*365,0)</x:f>
        <x:v>3.961248035830271e-8</x:v>
      </x:c>
      <x:c r="AK124" s="81" t="n">
        <x:f>W124/MAX($W$4:W124)-1</x:f>
        <x:v>-0.9999999976295093</x:v>
      </x:c>
      <x:c r="AL124" s="83" t="n">
        <x:f>'Inputs'!$B$44</x:f>
        <x:v>1</x:v>
      </x:c>
      <x:c r="AM124" s="83" t="n">
        <x:f>'Inputs'!$C$44</x:f>
        <x:v>0.25</x:v>
      </x:c>
      <x:c r="AN124" s="83" t="n">
        <x:f>'Inputs'!$D$44</x:f>
        <x:v>0.2</x:v>
      </x:c>
      <x:c r="AO124" s="81" t="n">
        <x:f>'Inputs'!$E$44</x:f>
        <x:v>-0.2</x:v>
      </x:c>
    </x:row>
    <x:row r="125">
      <x:c r="A125" s="59" t="str">
        <x:v>No demand</x:v>
      </x:c>
      <x:c r="B125" s="59" t="n">
        <x:v>122</x:v>
      </x:c>
      <x:c r="C125" s="78" t="n">
        <x:f>(('Inputs'!$B$29*(3*122*'Inputs'!$B$12-122^2)/(2*'Inputs'!$B$12^2))-('Inputs'!$B$29*(3*121*'Inputs'!$B$12-121^2)/(2*'Inputs'!$B$12^2)))*'Inputs'!$B$44</x:f>
        <x:v>672485.6914993525</x:v>
      </x:c>
      <x:c r="D125" s="78" t="n">
        <x:f>IF('Inputs'!$C$44&gt;0,('Inputs'!$B$30*(3*122*'Inputs'!$B$12-122^2)/(2*'Inputs'!$B$12^2))-('Inputs'!$B$30*(3*121*'Inputs'!$B$12-121^2)/(2*'Inputs'!$B$12^2)),0)</x:f>
        <x:v>288208.15349971503</x:v>
      </x:c>
      <x:c r="E125" s="78" t="n">
        <x:f>C125+D125</x:f>
        <x:v>960693.8449990675</x:v>
      </x:c>
      <x:c r="F125" s="78" t="n">
        <x:f>'Inputs'!$B$13*E125+(1-'Inputs'!$B$13)/'Inputs'!$B$14*SUM(E70:E125)</x:f>
        <x:v>970911.5218615136</x:v>
      </x:c>
      <x:c r="G125" s="78" t="n">
        <x:f>F125*'Inputs'!$F$44</x:f>
        <x:v>873820.3696753622</x:v>
      </x:c>
      <x:c r="H125" s="78" t="n">
        <x:f>U124</x:f>
        <x:v>85629520517.25214</x:v>
      </x:c>
      <x:c r="I125" s="78" t="n">
        <x:f>V124</x:f>
        <x:v>0.13812418573998259</x:v>
      </x:c>
      <x:c r="J125" s="79" t="n">
        <x:f>IF(H125&gt;0,I125/H125,0)</x:f>
        <x:v>1.6130440168954833e-12</x:v>
      </x:c>
      <x:c r="K125" s="80" t="n">
        <x:f>(H125*J125+I125)*'Inputs'!$D$44*(1+'Inputs'!$G$44)^(B125/30)</x:f>
        <x:v>0.055249674295993034</x:v>
      </x:c>
      <x:c r="L125" s="80" t="n">
        <x:f>MAX(0,K125*'Inputs'!$E$44)</x:f>
        <x:v>0</x:v>
      </x:c>
      <x:c r="M125" s="80" t="n">
        <x:f>MAX(0,-K125*'Inputs'!$E$44)</x:f>
        <x:v>0.011049934859198607</x:v>
      </x:c>
      <x:c r="N125" s="78" t="n">
        <x:f>H125*(L125*(1-'Inputs'!$B$15))/(I125+L125*(1-'Inputs'!$B$15))</x:f>
        <x:v>0</x:v>
      </x:c>
      <x:c r="O125" s="78" t="n">
        <x:f>H125-N125</x:f>
        <x:v>85629520517.25214</x:v>
      </x:c>
      <x:c r="P125" s="78" t="n">
        <x:f>I125+L125*(1-'Inputs'!$B$17)</x:f>
        <x:v>0.13812418573998259</x:v>
      </x:c>
      <x:c r="Q125" s="78" t="n">
        <x:f>IF(J125&gt;0,M125/J125,0)</x:f>
        <x:v>6850361641.380171</x:v>
      </x:c>
      <x:c r="R125" s="78" t="n">
        <x:f>IF(B125='Inputs'!$H$44,'Inputs'!$B$27*'Inputs'!$I$44,0)</x:f>
        <x:v>0</x:v>
      </x:c>
      <x:c r="S125" s="78" t="n">
        <x:f>Q125+G125+R125</x:f>
        <x:v>6851235461.749846</x:v>
      </x:c>
      <x:c r="T125" s="78" t="n">
        <x:f>P125*(S125*(1-'Inputs'!$B$15))/(O125+S125*(1-'Inputs'!$B$15))</x:f>
        <x:v>0.010137813665474246</x:v>
      </x:c>
      <x:c r="U125" s="78" t="n">
        <x:f>O125+S125*(1-'Inputs'!$B$17)</x:f>
        <x:v>92453185614.9708</x:v>
      </x:c>
      <x:c r="V125" s="78" t="n">
        <x:f>P125-T125</x:f>
        <x:v>0.12798637207450833</x:v>
      </x:c>
      <x:c r="W125" s="79" t="n">
        <x:f>IF(U125&gt;0,V125/U125,0)</x:f>
        <x:v>1.3843370698714324e-12</x:v>
      </x:c>
      <x:c r="X125" s="80" t="n">
        <x:f>W125*('Inputs'!$B$6-AC125)</x:f>
        <x:v>-0.00016595711136646292</x:v>
      </x:c>
      <x:c r="Y125" s="80" t="n">
        <x:f>2*V125</x:f>
        <x:v>0.25597274414901666</x:v>
      </x:c>
      <x:c r="Z125" s="80" t="n">
        <x:f>K125*'Inputs'!$B$16+(G125+R125)*J125*'Inputs'!$B$16</x:f>
        <x:v>0.0003315065028402731</x:v>
      </x:c>
      <x:c r="AA125" s="80" t="n">
        <x:f>K125*(1+'Inputs'!$E$44)/2*'Inputs'!$B$17</x:f>
        <x:v>0.00008893307733761455</x:v>
      </x:c>
      <x:c r="AB125" s="78" t="n">
        <x:f>(IF(J125&gt;0,K125*(1-'Inputs'!$E$44)/2/J125,0)+G125+R125)*'Inputs'!$B$17</x:f>
        <x:v>82704059.33404502</x:v>
      </x:c>
      <x:c r="AC125" s="78" t="n">
        <x:f>AC124+AB125</x:f>
        <x:v>1119882010.6593518</x:v>
      </x:c>
      <x:c r="AD125" s="80" t="n">
        <x:f>Z125/(1+'Inputs'!$C$44)</x:f>
        <x:v>0.00026520520227221847</x:v>
      </x:c>
      <x:c r="AE125" s="80" t="n">
        <x:f>Z125-AD125</x:f>
        <x:v>0.0000663013005680546</x:v>
      </x:c>
      <x:c r="AF125" s="80" t="n">
        <x:f>D125*W125</x:f>
        <x:v>3.989772307288515e-7</x:v>
      </x:c>
      <x:c r="AG125" s="80" t="n">
        <x:f>C125*W125</x:f>
        <x:v>9.309468717006777e-7</x:v>
      </x:c>
      <x:c r="AH125" s="80" t="n">
        <x:f>2*'Inputs'!$B$8*'Inputs'!$C$44</x:f>
        <x:v>1250</x:v>
      </x:c>
      <x:c r="AI125" s="81" t="n">
        <x:f>IF(AH125&gt;0,(AE125+AF125)/AH125*365,0)</x:f>
        <x:v>0.00001947648111724477</x:v>
      </x:c>
      <x:c r="AJ125" s="81" t="n">
        <x:f>IF('Inputs'!$B$44&gt;0,AG125/('Inputs'!$B$19*'Inputs'!$B$44)*365,0)</x:f>
        <x:v>3.397956081707473e-8</x:v>
      </x:c>
      <x:c r="AK125" s="81" t="n">
        <x:f>W125/MAX($W$4:W125)-1</x:f>
        <x:v>-0.9999999979656116</x:v>
      </x:c>
      <x:c r="AL125" s="83" t="n">
        <x:f>'Inputs'!$B$44</x:f>
        <x:v>1</x:v>
      </x:c>
      <x:c r="AM125" s="83" t="n">
        <x:f>'Inputs'!$C$44</x:f>
        <x:v>0.25</x:v>
      </x:c>
      <x:c r="AN125" s="83" t="n">
        <x:f>'Inputs'!$D$44</x:f>
        <x:v>0.2</x:v>
      </x:c>
      <x:c r="AO125" s="81" t="n">
        <x:f>'Inputs'!$E$44</x:f>
        <x:v>-0.2</x:v>
      </x:c>
    </x:row>
    <x:row r="126">
      <x:c r="A126" s="59" t="str">
        <x:v>No demand</x:v>
      </x:c>
      <x:c r="B126" s="59" t="n">
        <x:v>123</x:v>
      </x:c>
      <x:c r="C126" s="78" t="n">
        <x:f>(('Inputs'!$B$29*(3*123*'Inputs'!$B$12-123^2)/(2*'Inputs'!$B$12^2))-('Inputs'!$B$29*(3*122*'Inputs'!$B$12-122^2)/(2*'Inputs'!$B$12^2)))*'Inputs'!$B$44</x:f>
        <x:v>672160.5835991651</x:v>
      </x:c>
      <x:c r="D126" s="78" t="n">
        <x:f>IF('Inputs'!$C$44&gt;0,('Inputs'!$B$30*(3*123*'Inputs'!$B$12-123^2)/(2*'Inputs'!$B$12^2))-('Inputs'!$B$30*(3*122*'Inputs'!$B$12-122^2)/(2*'Inputs'!$B$12^2)),0)</x:f>
        <x:v>288068.8215425089</x:v>
      </x:c>
      <x:c r="E126" s="78" t="n">
        <x:f>C126+D126</x:f>
        <x:v>960229.405141674</x:v>
      </x:c>
      <x:c r="F126" s="78" t="n">
        <x:f>'Inputs'!$B$13*E126+(1-'Inputs'!$B$13)/'Inputs'!$B$14*SUM(E71:E126)</x:f>
        <x:v>970447.0820041276</x:v>
      </x:c>
      <x:c r="G126" s="78" t="n">
        <x:f>F126*'Inputs'!$F$44</x:f>
        <x:v>873402.3738037149</x:v>
      </x:c>
      <x:c r="H126" s="78" t="n">
        <x:f>U125</x:f>
        <x:v>92453185614.9708</x:v>
      </x:c>
      <x:c r="I126" s="78" t="n">
        <x:f>V125</x:f>
        <x:v>0.12798637207450833</x:v>
      </x:c>
      <x:c r="J126" s="79" t="n">
        <x:f>IF(H126&gt;0,I126/H126,0)</x:f>
        <x:v>1.3843370698714324e-12</x:v>
      </x:c>
      <x:c r="K126" s="80" t="n">
        <x:f>(H126*J126+I126)*'Inputs'!$D$44*(1+'Inputs'!$G$44)^(B126/30)</x:f>
        <x:v>0.05119454882980334</x:v>
      </x:c>
      <x:c r="L126" s="80" t="n">
        <x:f>MAX(0,K126*'Inputs'!$E$44)</x:f>
        <x:v>0</x:v>
      </x:c>
      <x:c r="M126" s="80" t="n">
        <x:f>MAX(0,-K126*'Inputs'!$E$44)</x:f>
        <x:v>0.010238909765960667</x:v>
      </x:c>
      <x:c r="N126" s="78" t="n">
        <x:f>H126*(L126*(1-'Inputs'!$B$15))/(I126+L126*(1-'Inputs'!$B$15))</x:f>
        <x:v>0</x:v>
      </x:c>
      <x:c r="O126" s="78" t="n">
        <x:f>H126-N126</x:f>
        <x:v>92453185614.9708</x:v>
      </x:c>
      <x:c r="P126" s="78" t="n">
        <x:f>I126+L126*(1-'Inputs'!$B$17)</x:f>
        <x:v>0.12798637207450833</x:v>
      </x:c>
      <x:c r="Q126" s="78" t="n">
        <x:f>IF(J126&gt;0,M126/J126,0)</x:f>
        <x:v>7396254849.197664</x:v>
      </x:c>
      <x:c r="R126" s="78" t="n">
        <x:f>IF(B126='Inputs'!$H$44,'Inputs'!$B$27*'Inputs'!$I$44,0)</x:f>
        <x:v>0</x:v>
      </x:c>
      <x:c r="S126" s="78" t="n">
        <x:f>Q126+G126+R126</x:f>
        <x:v>7397128251.571468</x:v>
      </x:c>
      <x:c r="T126" s="78" t="n">
        <x:f>P126*(S126*(1-'Inputs'!$B$15))/(O126+S126*(1-'Inputs'!$B$15))</x:f>
        <x:v>0.009393652526522328</x:v>
      </x:c>
      <x:c r="U126" s="78" t="n">
        <x:f>O126+S126*(1-'Inputs'!$B$17)</x:f>
        <x:v>99820546750.84177</x:v>
      </x:c>
      <x:c r="V126" s="78" t="n">
        <x:f>P126-T126</x:f>
        <x:v>0.118592719547986</x:v>
      </x:c>
      <x:c r="W126" s="79" t="n">
        <x:f>IF(U126&gt;0,V126/U126,0)</x:f>
        <x:v>1.1880592063275383e-12</x:v>
      </x:c>
      <x:c r="X126" s="80" t="n">
        <x:f>W126*('Inputs'!$B$6-AC126)</x:f>
        <x:v>-0.00024851386266037175</x:v>
      </x:c>
      <x:c r="Y126" s="80" t="n">
        <x:f>2*V126</x:f>
        <x:v>0.237185439095972</x:v>
      </x:c>
      <x:c r="Z126" s="80" t="n">
        <x:f>K126*'Inputs'!$B$16+(G126+R126)*J126*'Inputs'!$B$16</x:f>
        <x:v>0.0003071745474785179</x:v>
      </x:c>
      <x:c r="AA126" s="80" t="n">
        <x:f>K126*(1+'Inputs'!$E$44)/2*'Inputs'!$B$17</x:f>
        <x:v>0.00008240571240209793</x:v>
      </x:c>
      <x:c r="AB126" s="78" t="n">
        <x:f>(IF(J126&gt;0,K126*(1-'Inputs'!$E$44)/2/J126,0)+G126+R126)*'Inputs'!$B$17</x:f>
        <x:v>89294317.7061038</x:v>
      </x:c>
      <x:c r="AC126" s="78" t="n">
        <x:f>AC125+AB126</x:f>
        <x:v>1209176328.3654556</x:v>
      </x:c>
      <x:c r="AD126" s="80" t="n">
        <x:f>Z126/(1+'Inputs'!$C$44)</x:f>
        <x:v>0.0002457396379828143</x:v>
      </x:c>
      <x:c r="AE126" s="80" t="n">
        <x:f>Z126-AD126</x:f>
        <x:v>0.0000614349094957036</x:v>
      </x:c>
      <x:c r="AF126" s="80" t="n">
        <x:f>D126*W126</x:f>
        <x:v>3.4224281548950237e-7</x:v>
      </x:c>
      <x:c r="AG126" s="80" t="n">
        <x:f>C126*W126</x:f>
        <x:v>7.98566569475479e-7</x:v>
      </x:c>
      <x:c r="AH126" s="80" t="n">
        <x:f>2*'Inputs'!$B$8*'Inputs'!$C$44</x:f>
        <x:v>1250</x:v>
      </x:c>
      <x:c r="AI126" s="81" t="n">
        <x:f>IF(AH126&gt;0,(AE126+AF126)/AH126*365,0)</x:f>
        <x:v>0.000018038928474868386</x:v>
      </x:c>
      <x:c r="AJ126" s="81" t="n">
        <x:f>IF('Inputs'!$B$44&gt;0,AG126/('Inputs'!$B$19*'Inputs'!$B$44)*365,0)</x:f>
        <x:v>2.9147679785854988e-8</x:v>
      </x:c>
      <x:c r="AK126" s="81" t="n">
        <x:f>W126/MAX($W$4:W126)-1</x:f>
        <x:v>-0.9999999982540567</x:v>
      </x:c>
      <x:c r="AL126" s="83" t="n">
        <x:f>'Inputs'!$B$44</x:f>
        <x:v>1</x:v>
      </x:c>
      <x:c r="AM126" s="83" t="n">
        <x:f>'Inputs'!$C$44</x:f>
        <x:v>0.25</x:v>
      </x:c>
      <x:c r="AN126" s="83" t="n">
        <x:f>'Inputs'!$D$44</x:f>
        <x:v>0.2</x:v>
      </x:c>
      <x:c r="AO126" s="81" t="n">
        <x:f>'Inputs'!$E$44</x:f>
        <x:v>-0.2</x:v>
      </x:c>
    </x:row>
    <x:row r="127">
      <x:c r="A127" s="59" t="str">
        <x:v>No demand</x:v>
      </x:c>
      <x:c r="B127" s="59" t="n">
        <x:v>124</x:v>
      </x:c>
      <x:c r="C127" s="78" t="n">
        <x:f>(('Inputs'!$B$29*(3*124*'Inputs'!$B$12-124^2)/(2*'Inputs'!$B$12^2))-('Inputs'!$B$29*(3*123*'Inputs'!$B$12-123^2)/(2*'Inputs'!$B$12^2)))*'Inputs'!$B$44</x:f>
        <x:v>671835.4756990075</x:v>
      </x:c>
      <x:c r="D127" s="78" t="n">
        <x:f>IF('Inputs'!$C$44&gt;0,('Inputs'!$B$30*(3*124*'Inputs'!$B$12-124^2)/(2*'Inputs'!$B$12^2))-('Inputs'!$B$30*(3*123*'Inputs'!$B$12-123^2)/(2*'Inputs'!$B$12^2)),0)</x:f>
        <x:v>287929.48958528787</x:v>
      </x:c>
      <x:c r="E127" s="78" t="n">
        <x:f>C127+D127</x:f>
        <x:v>959764.9652842954</x:v>
      </x:c>
      <x:c r="F127" s="78" t="n">
        <x:f>'Inputs'!$B$13*E127+(1-'Inputs'!$B$13)/'Inputs'!$B$14*SUM(E72:E127)</x:f>
        <x:v>969982.6421467445</x:v>
      </x:c>
      <x:c r="G127" s="78" t="n">
        <x:f>F127*'Inputs'!$F$44</x:f>
        <x:v>872984.37793207</x:v>
      </x:c>
      <x:c r="H127" s="78" t="n">
        <x:f>U126</x:f>
        <x:v>99820546750.84177</x:v>
      </x:c>
      <x:c r="I127" s="78" t="n">
        <x:f>V126</x:f>
        <x:v>0.118592719547986</x:v>
      </x:c>
      <x:c r="J127" s="79" t="n">
        <x:f>IF(H127&gt;0,I127/H127,0)</x:f>
        <x:v>1.1880592063275383e-12</x:v>
      </x:c>
      <x:c r="K127" s="80" t="n">
        <x:f>(H127*J127+I127)*'Inputs'!$D$44*(1+'Inputs'!$G$44)^(B127/30)</x:f>
        <x:v>0.0474370878191944</x:v>
      </x:c>
      <x:c r="L127" s="80" t="n">
        <x:f>MAX(0,K127*'Inputs'!$E$44)</x:f>
        <x:v>0</x:v>
      </x:c>
      <x:c r="M127" s="80" t="n">
        <x:f>MAX(0,-K127*'Inputs'!$E$44)</x:f>
        <x:v>0.009487417563838882</x:v>
      </x:c>
      <x:c r="N127" s="78" t="n">
        <x:f>H127*(L127*(1-'Inputs'!$B$15))/(I127+L127*(1-'Inputs'!$B$15))</x:f>
        <x:v>0</x:v>
      </x:c>
      <x:c r="O127" s="78" t="n">
        <x:f>H127-N127</x:f>
        <x:v>99820546750.84177</x:v>
      </x:c>
      <x:c r="P127" s="78" t="n">
        <x:f>I127+L127*(1-'Inputs'!$B$17)</x:f>
        <x:v>0.118592719547986</x:v>
      </x:c>
      <x:c r="Q127" s="78" t="n">
        <x:f>IF(J127&gt;0,M127/J127,0)</x:f>
        <x:v>7985643740.067343</x:v>
      </x:c>
      <x:c r="R127" s="78" t="n">
        <x:f>IF(B127='Inputs'!$H$44,'Inputs'!$B$27*'Inputs'!$I$44,0)</x:f>
        <x:v>0</x:v>
      </x:c>
      <x:c r="S127" s="78" t="n">
        <x:f>Q127+G127+R127</x:f>
        <x:v>7986516724.445274</x:v>
      </x:c>
      <x:c r="T127" s="78" t="n">
        <x:f>P127*(S127*(1-'Inputs'!$B$15))/(O127+S127*(1-'Inputs'!$B$15))</x:f>
        <x:v>0.008704127884264862</x:v>
      </x:c>
      <x:c r="U127" s="78" t="n">
        <x:f>O127+S127*(1-'Inputs'!$B$17)</x:f>
        <x:v>107774924574.98746</x:v>
      </x:c>
      <x:c r="V127" s="78" t="n">
        <x:f>P127-T127</x:f>
        <x:v>0.10988859166372114</x:v>
      </x:c>
      <x:c r="W127" s="79" t="n">
        <x:f>IF(U127&gt;0,V127/U127,0)</x:f>
        <x:v>1.019611863307434e-12</x:v>
      </x:c>
      <x:c r="X127" s="80" t="n">
        <x:f>W127*('Inputs'!$B$6-AC127)</x:f>
        <x:v>-0.0003115791141570511</x:v>
      </x:c>
      <x:c r="Y127" s="80" t="n">
        <x:f>2*V127</x:f>
        <x:v>0.21977718332744228</x:v>
      </x:c>
      <x:c r="Z127" s="80" t="n">
        <x:f>K127*'Inputs'!$B$16+(G127+R127)*J127*'Inputs'!$B$16</x:f>
        <x:v>0.00028462874985792953</x:v>
      </x:c>
      <x:c r="AA127" s="80" t="n">
        <x:f>K127*(1+'Inputs'!$E$44)/2*'Inputs'!$B$17</x:f>
        <x:v>0.00007635748542325056</x:v>
      </x:c>
      <x:c r="AB127" s="78" t="n">
        <x:f>(IF(J127&gt;0,K127*(1-'Inputs'!$E$44)/2/J127,0)+G127+R127)*'Inputs'!$B$17</x:f>
        <x:v>96409674.86752498</x:v>
      </x:c>
      <x:c r="AC127" s="78" t="n">
        <x:f>AC126+AB127</x:f>
        <x:v>1305586003.2329807</x:v>
      </x:c>
      <x:c r="AD127" s="80" t="n">
        <x:f>Z127/(1+'Inputs'!$C$44)</x:f>
        <x:v>0.00022770299988634363</x:v>
      </x:c>
      <x:c r="AE127" s="80" t="n">
        <x:f>Z127-AD127</x:f>
        <x:v>0.00005692574997158591</x:v>
      </x:c>
      <x:c r="AF127" s="80" t="n">
        <x:f>D127*W127</x:f>
        <x:v>2.935763233772138e-7</x:v>
      </x:c>
      <x:c r="AG127" s="80" t="n">
        <x:f>C127*W127</x:f>
        <x:v>6.850114212135014e-7</x:v>
      </x:c>
      <x:c r="AH127" s="80" t="n">
        <x:f>2*'Inputs'!$B$8*'Inputs'!$C$44</x:f>
        <x:v>1250</x:v>
      </x:c>
      <x:c r="AI127" s="81" t="n">
        <x:f>IF(AH127&gt;0,(AE127+AF127)/AH127*365,0)</x:f>
        <x:v>0.00001670804327812923</x:v>
      </x:c>
      <x:c r="AJ127" s="81" t="n">
        <x:f>IF('Inputs'!$B$44&gt;0,AG127/('Inputs'!$B$19*'Inputs'!$B$44)*365,0)</x:f>
        <x:v>2.50029168742928e-8</x:v>
      </x:c>
      <x:c r="AK127" s="81" t="n">
        <x:f>W127/MAX($W$4:W127)-1</x:f>
        <x:v>-0.9999999985016029</x:v>
      </x:c>
      <x:c r="AL127" s="83" t="n">
        <x:f>'Inputs'!$B$44</x:f>
        <x:v>1</x:v>
      </x:c>
      <x:c r="AM127" s="83" t="n">
        <x:f>'Inputs'!$C$44</x:f>
        <x:v>0.25</x:v>
      </x:c>
      <x:c r="AN127" s="83" t="n">
        <x:f>'Inputs'!$D$44</x:f>
        <x:v>0.2</x:v>
      </x:c>
      <x:c r="AO127" s="81" t="n">
        <x:f>'Inputs'!$E$44</x:f>
        <x:v>-0.2</x:v>
      </x:c>
    </x:row>
    <x:row r="128">
      <x:c r="A128" s="59" t="str">
        <x:v>No demand</x:v>
      </x:c>
      <x:c r="B128" s="59" t="n">
        <x:v>125</x:v>
      </x:c>
      <x:c r="C128" s="78" t="n">
        <x:f>(('Inputs'!$B$29*(3*125*'Inputs'!$B$12-125^2)/(2*'Inputs'!$B$12^2))-('Inputs'!$B$29*(3*124*'Inputs'!$B$12-124^2)/(2*'Inputs'!$B$12^2)))*'Inputs'!$B$44</x:f>
        <x:v>671510.367798835</x:v>
      </x:c>
      <x:c r="D128" s="78" t="n">
        <x:f>IF('Inputs'!$C$44&gt;0,('Inputs'!$B$30*(3*125*'Inputs'!$B$12-125^2)/(2*'Inputs'!$B$12^2))-('Inputs'!$B$30*(3*124*'Inputs'!$B$12-124^2)/(2*'Inputs'!$B$12^2)),0)</x:f>
        <x:v>287790.1576280743</x:v>
      </x:c>
      <x:c r="E128" s="78" t="n">
        <x:f>C128+D128</x:f>
        <x:v>959300.5254269093</x:v>
      </x:c>
      <x:c r="F128" s="78" t="n">
        <x:f>'Inputs'!$B$13*E128+(1-'Inputs'!$B$13)/'Inputs'!$B$14*SUM(E73:E128)</x:f>
        <x:v>969518.2022893602</x:v>
      </x:c>
      <x:c r="G128" s="78" t="n">
        <x:f>F128*'Inputs'!$F$44</x:f>
        <x:v>872566.3820604242</x:v>
      </x:c>
      <x:c r="H128" s="78" t="n">
        <x:f>U127</x:f>
        <x:v>107774924574.98746</x:v>
      </x:c>
      <x:c r="I128" s="78" t="n">
        <x:f>V127</x:f>
        <x:v>0.10988859166372114</x:v>
      </x:c>
      <x:c r="J128" s="79" t="n">
        <x:f>IF(H128&gt;0,I128/H128,0)</x:f>
        <x:v>1.019611863307434e-12</x:v>
      </x:c>
      <x:c r="K128" s="80" t="n">
        <x:f>(H128*J128+I128)*'Inputs'!$D$44*(1+'Inputs'!$G$44)^(B128/30)</x:f>
        <x:v>0.043955436665488457</x:v>
      </x:c>
      <x:c r="L128" s="80" t="n">
        <x:f>MAX(0,K128*'Inputs'!$E$44)</x:f>
        <x:v>0</x:v>
      </x:c>
      <x:c r="M128" s="80" t="n">
        <x:f>MAX(0,-K128*'Inputs'!$E$44)</x:f>
        <x:v>0.008791087333097691</x:v>
      </x:c>
      <x:c r="N128" s="78" t="n">
        <x:f>H128*(L128*(1-'Inputs'!$B$15))/(I128+L128*(1-'Inputs'!$B$15))</x:f>
        <x:v>0</x:v>
      </x:c>
      <x:c r="O128" s="78" t="n">
        <x:f>H128-N128</x:f>
        <x:v>107774924574.98746</x:v>
      </x:c>
      <x:c r="P128" s="78" t="n">
        <x:f>I128+L128*(1-'Inputs'!$B$17)</x:f>
        <x:v>0.10988859166372114</x:v>
      </x:c>
      <x:c r="Q128" s="78" t="n">
        <x:f>IF(J128&gt;0,M128/J128,0)</x:f>
        <x:v>8621993965.998997</x:v>
      </x:c>
      <x:c r="R128" s="78" t="n">
        <x:f>IF(B128='Inputs'!$H$44,'Inputs'!$B$27*'Inputs'!$I$44,0)</x:f>
        <x:v>0</x:v>
      </x:c>
      <x:c r="S128" s="78" t="n">
        <x:f>Q128+G128+R128</x:f>
        <x:v>8622866532.381058</x:v>
      </x:c>
      <x:c r="T128" s="78" t="n">
        <x:f>P128*(S128*(1-'Inputs'!$B$15))/(O128+S128*(1-'Inputs'!$B$15))</x:f>
        <x:v>0.008065226646934055</x:v>
      </x:c>
      <x:c r="U128" s="78" t="n">
        <x:f>O128+S128*(1-'Inputs'!$B$17)</x:f>
        <x:v>116363091443.2543</x:v>
      </x:c>
      <x:c r="V128" s="78" t="n">
        <x:f>P128-T128</x:f>
        <x:v>0.10182336501678708</x:v>
      </x:c>
      <x:c r="W128" s="79" t="n">
        <x:f>IF(U128&gt;0,V128/U128,0)</x:f>
        <x:v>8.750486408866366e-13</x:v>
      </x:c>
      <x:c r="X128" s="80" t="n">
        <x:f>W128*('Inputs'!$B$6-AC128)</x:f>
        <x:v>-0.0003584881533948192</x:v>
      </x:c>
      <x:c r="Y128" s="80" t="n">
        <x:f>2*V128</x:f>
        <x:v>0.20364673003357417</x:v>
      </x:c>
      <x:c r="Z128" s="80" t="n">
        <x:f>K128*'Inputs'!$B$16+(G128+R128)*J128*'Inputs'!$B$16</x:f>
        <x:v>0.00026373795806713875</x:v>
      </x:c>
      <x:c r="AA128" s="80" t="n">
        <x:f>K128*(1+'Inputs'!$E$44)/2*'Inputs'!$B$17</x:f>
        <x:v>0.00007075321797261724</x:v>
      </x:c>
      <x:c r="AB128" s="78" t="n">
        <x:f>(IF(J128&gt;0,K128*(1-'Inputs'!$E$44)/2/J128,0)+G128+R128)*'Inputs'!$B$17</x:f>
        <x:v>104091969.67556965</x:v>
      </x:c>
      <x:c r="AC128" s="78" t="n">
        <x:f>AC127+AB128</x:f>
        <x:v>1409677972.9085503</x:v>
      </x:c>
      <x:c r="AD128" s="80" t="n">
        <x:f>Z128/(1+'Inputs'!$C$44)</x:f>
        <x:v>0.000210990366453711</x:v>
      </x:c>
      <x:c r="AE128" s="80" t="n">
        <x:f>Z128-AD128</x:f>
        <x:v>0.00005274759161342775</x:v>
      </x:c>
      <x:c r="AF128" s="80" t="n">
        <x:f>D128*W128</x:f>
        <x:v>2.518303862929973e-7</x:v>
      </x:c>
      <x:c r="AG128" s="80" t="n">
        <x:f>C128*W128</x:f>
        <x:v>5.876042346836561e-7</x:v>
      </x:c>
      <x:c r="AH128" s="80" t="n">
        <x:f>2*'Inputs'!$B$8*'Inputs'!$C$44</x:f>
        <x:v>1250</x:v>
      </x:c>
      <x:c r="AI128" s="81" t="n">
        <x:f>IF(AH128&gt;0,(AE128+AF128)/AH128*365,0)</x:f>
        <x:v>0.00001547583122391846</x:v>
      </x:c>
      <x:c r="AJ128" s="81" t="n">
        <x:f>IF('Inputs'!$B$44&gt;0,AG128/('Inputs'!$B$19*'Inputs'!$B$44)*365,0)</x:f>
        <x:v>2.1447554565953446e-8</x:v>
      </x:c>
      <x:c r="AK128" s="81" t="n">
        <x:f>W128/MAX($W$4:W128)-1</x:f>
        <x:v>-0.9999999987140495</x:v>
      </x:c>
      <x:c r="AL128" s="83" t="n">
        <x:f>'Inputs'!$B$44</x:f>
        <x:v>1</x:v>
      </x:c>
      <x:c r="AM128" s="83" t="n">
        <x:f>'Inputs'!$C$44</x:f>
        <x:v>0.25</x:v>
      </x:c>
      <x:c r="AN128" s="83" t="n">
        <x:f>'Inputs'!$D$44</x:f>
        <x:v>0.2</x:v>
      </x:c>
      <x:c r="AO128" s="81" t="n">
        <x:f>'Inputs'!$E$44</x:f>
        <x:v>-0.2</x:v>
      </x:c>
    </x:row>
    <x:row r="129">
      <x:c r="A129" s="59" t="str">
        <x:v>No demand</x:v>
      </x:c>
      <x:c r="B129" s="59" t="n">
        <x:v>126</x:v>
      </x:c>
      <x:c r="C129" s="78" t="n">
        <x:f>(('Inputs'!$B$29*(3*126*'Inputs'!$B$12-126^2)/(2*'Inputs'!$B$12^2))-('Inputs'!$B$29*(3*125*'Inputs'!$B$12-125^2)/(2*'Inputs'!$B$12^2)))*'Inputs'!$B$44</x:f>
        <x:v>671185.2598986775</x:v>
      </x:c>
      <x:c r="D129" s="78" t="n">
        <x:f>IF('Inputs'!$C$44&gt;0,('Inputs'!$B$30*(3*126*'Inputs'!$B$12-126^2)/(2*'Inputs'!$B$12^2))-('Inputs'!$B$30*(3*125*'Inputs'!$B$12-125^2)/(2*'Inputs'!$B$12^2)),0)</x:f>
        <x:v>287650.82567085326</x:v>
      </x:c>
      <x:c r="E129" s="78" t="n">
        <x:f>C129+D129</x:f>
        <x:v>958836.0855695307</x:v>
      </x:c>
      <x:c r="F129" s="78" t="n">
        <x:f>'Inputs'!$B$13*E129+(1-'Inputs'!$B$13)/'Inputs'!$B$14*SUM(E74:E129)</x:f>
        <x:v>969053.7624319772</x:v>
      </x:c>
      <x:c r="G129" s="78" t="n">
        <x:f>F129*'Inputs'!$F$44</x:f>
        <x:v>872148.3861887795</x:v>
      </x:c>
      <x:c r="H129" s="78" t="n">
        <x:f>U128</x:f>
        <x:v>116363091443.2543</x:v>
      </x:c>
      <x:c r="I129" s="78" t="n">
        <x:f>V128</x:f>
        <x:v>0.10182336501678708</x:v>
      </x:c>
      <x:c r="J129" s="79" t="n">
        <x:f>IF(H129&gt;0,I129/H129,0)</x:f>
        <x:v>8.750486408866366e-13</x:v>
      </x:c>
      <x:c r="K129" s="80" t="n">
        <x:f>(H129*J129+I129)*'Inputs'!$D$44*(1+'Inputs'!$G$44)^(B129/30)</x:f>
        <x:v>0.04072934600671484</x:v>
      </x:c>
      <x:c r="L129" s="80" t="n">
        <x:f>MAX(0,K129*'Inputs'!$E$44)</x:f>
        <x:v>0</x:v>
      </x:c>
      <x:c r="M129" s="80" t="n">
        <x:f>MAX(0,-K129*'Inputs'!$E$44)</x:f>
        <x:v>0.008145869201342968</x:v>
      </x:c>
      <x:c r="N129" s="78" t="n">
        <x:f>H129*(L129*(1-'Inputs'!$B$15))/(I129+L129*(1-'Inputs'!$B$15))</x:f>
        <x:v>0</x:v>
      </x:c>
      <x:c r="O129" s="78" t="n">
        <x:f>H129-N129</x:f>
        <x:v>116363091443.2543</x:v>
      </x:c>
      <x:c r="P129" s="78" t="n">
        <x:f>I129+L129*(1-'Inputs'!$B$17)</x:f>
        <x:v>0.10182336501678708</x:v>
      </x:c>
      <x:c r="Q129" s="78" t="n">
        <x:f>IF(J129&gt;0,M129/J129,0)</x:f>
        <x:v>0</x:v>
      </x:c>
      <x:c r="R129" s="78" t="n">
        <x:f>IF(B129='Inputs'!$H$44,'Inputs'!$B$27*'Inputs'!$I$44,0)</x:f>
        <x:v>0</x:v>
      </x:c>
      <x:c r="S129" s="78" t="n">
        <x:f>Q129+G129+R129</x:f>
        <x:v>872148.3861887795</x:v>
      </x:c>
      <x:c r="T129" s="78" t="n">
        <x:f>P129*(S129*(1-'Inputs'!$B$15))/(O129+S129*(1-'Inputs'!$B$15))</x:f>
        <x:v>7.555349312340412e-7</x:v>
      </x:c>
      <x:c r="U129" s="78" t="n">
        <x:f>O129+S129*(1-'Inputs'!$B$17)</x:f>
        <x:v>116363960081.98904</x:v>
      </x:c>
      <x:c r="V129" s="78" t="n">
        <x:f>P129-T129</x:f>
        <x:v>0.10182260948185586</x:v>
      </x:c>
      <x:c r="W129" s="79" t="n">
        <x:f>IF(U129&gt;0,V129/U129,0)</x:f>
        <x:v>8.750356159253477e-13</x:v>
      </x:c>
      <x:c r="X129" s="80" t="n">
        <x:f>W129*('Inputs'!$B$6-AC129)</x:f>
        <x:v>-0.0003584858884251025</x:v>
      </x:c>
      <x:c r="Y129" s="80" t="n">
        <x:f>2*V129</x:f>
        <x:v>0.2036452189637117</x:v>
      </x:c>
      <x:c r="Z129" s="80" t="n">
        <x:f>K129*'Inputs'!$B$16+(G129+R129)*J129*'Inputs'!$B$16</x:f>
        <x:v>0.00024438065507384894</x:v>
      </x:c>
      <x:c r="AA129" s="80" t="n">
        <x:f>K129*(1+'Inputs'!$E$44)/2*'Inputs'!$B$17</x:f>
        <x:v>0.00006556031550376634</x:v>
      </x:c>
      <x:c r="AB129" s="78" t="n">
        <x:f>(IF(J129&gt;0,K129*(1-'Inputs'!$E$44)/2/J129,0)+G129+R129)*'Inputs'!$B$17</x:f>
        <x:v>3509.651453475974</x:v>
      </x:c>
      <x:c r="AC129" s="78" t="n">
        <x:f>AC128+AB129</x:f>
        <x:v>1409681482.5600038</x:v>
      </x:c>
      <x:c r="AD129" s="80" t="n">
        <x:f>Z129/(1+'Inputs'!$C$44)</x:f>
        <x:v>0.00019550452405907916</x:v>
      </x:c>
      <x:c r="AE129" s="80" t="n">
        <x:f>Z129-AD129</x:f>
        <x:v>0.00004887613101476978</x:v>
      </x:c>
      <x:c r="AF129" s="80" t="n">
        <x:f>D129*W129</x:f>
        <x:v>2.517047174123299e-7</x:v>
      </x:c>
      <x:c r="AG129" s="80" t="n">
        <x:f>C129*W129</x:f>
        <x:v>5.873110072954539e-7</x:v>
      </x:c>
      <x:c r="AH129" s="80" t="n">
        <x:f>2*'Inputs'!$B$8*'Inputs'!$C$44</x:f>
        <x:v>1250</x:v>
      </x:c>
      <x:c r="AI129" s="81" t="n">
        <x:f>IF(AH129&gt;0,(AE129+AF129)/AH129*365,0)</x:f>
        <x:v>0.000014345328033797175</x:v>
      </x:c>
      <x:c r="AJ129" s="81" t="n">
        <x:f>IF('Inputs'!$B$44&gt;0,AG129/('Inputs'!$B$19*'Inputs'!$B$44)*365,0)</x:f>
        <x:v>2.1436851766284066e-8</x:v>
      </x:c>
      <x:c r="AK129" s="81" t="n">
        <x:f>W129/MAX($W$4:W129)-1</x:f>
        <x:v>-0.9999999987140687</x:v>
      </x:c>
      <x:c r="AL129" s="83" t="n">
        <x:f>'Inputs'!$B$44</x:f>
        <x:v>1</x:v>
      </x:c>
      <x:c r="AM129" s="83" t="n">
        <x:f>'Inputs'!$C$44</x:f>
        <x:v>0.25</x:v>
      </x:c>
      <x:c r="AN129" s="83" t="n">
        <x:f>'Inputs'!$D$44</x:f>
        <x:v>0.2</x:v>
      </x:c>
      <x:c r="AO129" s="81" t="n">
        <x:f>'Inputs'!$E$44</x:f>
        <x:v>-0.2</x:v>
      </x:c>
    </x:row>
    <x:row r="130">
      <x:c r="A130" s="59" t="str">
        <x:v>No demand</x:v>
      </x:c>
      <x:c r="B130" s="59" t="n">
        <x:v>127</x:v>
      </x:c>
      <x:c r="C130" s="78" t="n">
        <x:f>(('Inputs'!$B$29*(3*127*'Inputs'!$B$12-127^2)/(2*'Inputs'!$B$12^2))-('Inputs'!$B$29*(3*126*'Inputs'!$B$12-126^2)/(2*'Inputs'!$B$12^2)))*'Inputs'!$B$44</x:f>
        <x:v>670860.1519984901</x:v>
      </x:c>
      <x:c r="D130" s="78" t="n">
        <x:f>IF('Inputs'!$C$44&gt;0,('Inputs'!$B$30*(3*127*'Inputs'!$B$12-127^2)/(2*'Inputs'!$B$12^2))-('Inputs'!$B$30*(3*126*'Inputs'!$B$12-126^2)/(2*'Inputs'!$B$12^2)),0)</x:f>
        <x:v>287511.4937136397</x:v>
      </x:c>
      <x:c r="E130" s="78" t="n">
        <x:f>C130+D130</x:f>
        <x:v>958371.6457121298</x:v>
      </x:c>
      <x:c r="F130" s="78" t="n">
        <x:f>'Inputs'!$B$13*E130+(1-'Inputs'!$B$13)/'Inputs'!$B$14*SUM(E75:E130)</x:f>
        <x:v>968589.3225745896</x:v>
      </x:c>
      <x:c r="G130" s="78" t="n">
        <x:f>F130*'Inputs'!$F$44</x:f>
        <x:v>871730.3903171307</x:v>
      </x:c>
      <x:c r="H130" s="78" t="n">
        <x:f>U129</x:f>
        <x:v>116363960081.98904</x:v>
      </x:c>
      <x:c r="I130" s="78" t="n">
        <x:f>V129</x:f>
        <x:v>0.10182260948185586</x:v>
      </x:c>
      <x:c r="J130" s="79" t="n">
        <x:f>IF(H130&gt;0,I130/H130,0)</x:f>
        <x:v>8.750356159253477e-13</x:v>
      </x:c>
      <x:c r="K130" s="80" t="n">
        <x:f>(H130*J130+I130)*'Inputs'!$D$44*(1+'Inputs'!$G$44)^(B130/30)</x:f>
        <x:v>0.040729043792742343</x:v>
      </x:c>
      <x:c r="L130" s="80" t="n">
        <x:f>MAX(0,K130*'Inputs'!$E$44)</x:f>
        <x:v>0</x:v>
      </x:c>
      <x:c r="M130" s="80" t="n">
        <x:f>MAX(0,-K130*'Inputs'!$E$44)</x:f>
        <x:v>0.00814580875854847</x:v>
      </x:c>
      <x:c r="N130" s="78" t="n">
        <x:f>H130*(L130*(1-'Inputs'!$B$15))/(I130+L130*(1-'Inputs'!$B$15))</x:f>
        <x:v>0</x:v>
      </x:c>
      <x:c r="O130" s="78" t="n">
        <x:f>H130-N130</x:f>
        <x:v>116363960081.98904</x:v>
      </x:c>
      <x:c r="P130" s="78" t="n">
        <x:f>I130+L130*(1-'Inputs'!$B$17)</x:f>
        <x:v>0.10182260948185586</x:v>
      </x:c>
      <x:c r="Q130" s="78" t="n">
        <x:f>IF(J130&gt;0,M130/J130,0)</x:f>
        <x:v>0</x:v>
      </x:c>
      <x:c r="R130" s="78" t="n">
        <x:f>IF(B130='Inputs'!$H$44,'Inputs'!$B$27*'Inputs'!$I$44,0)</x:f>
        <x:v>0</x:v>
      </x:c>
      <x:c r="S130" s="78" t="n">
        <x:f>Q130+G130+R130</x:f>
        <x:v>871730.3903171307</x:v>
      </x:c>
      <x:c r="T130" s="78" t="n">
        <x:f>P130*(S130*(1-'Inputs'!$B$15))/(O130+S130*(1-'Inputs'!$B$15))</x:f>
        <x:v>7.551615869674153e-7</x:v>
      </x:c>
      <x:c r="U130" s="78" t="n">
        <x:f>O130+S130*(1-'Inputs'!$B$17)</x:f>
        <x:v>116364828304.40999</x:v>
      </x:c>
      <x:c r="V130" s="78" t="n">
        <x:f>P130-T130</x:f>
        <x:v>0.10182185432026888</x:v>
      </x:c>
      <x:c r="W130" s="79" t="n">
        <x:f>IF(U130&gt;0,V130/U130,0)</x:f>
        <x:v>8.750225974974436e-13</x:v>
      </x:c>
      <x:c r="X130" s="80" t="n">
        <x:f>W130*('Inputs'!$B$6-AC130)</x:f>
        <x:v>-0.00035848362456873483</x:v>
      </x:c>
      <x:c r="Y130" s="80" t="n">
        <x:f>2*V130</x:f>
        <x:v>0.20364370864053777</x:v>
      </x:c>
      <x:c r="Z130" s="80" t="n">
        <x:f>K130*'Inputs'!$B$16+(G130+R130)*J130*'Inputs'!$B$16</x:f>
        <x:v>0.00024437883952728814</x:v>
      </x:c>
      <x:c r="AA130" s="80" t="n">
        <x:f>K130*(1+'Inputs'!$E$44)/2*'Inputs'!$B$17</x:f>
        <x:v>0.00006555982904264363</x:v>
      </x:c>
      <x:c r="AB130" s="78" t="n">
        <x:f>(IF(J130&gt;0,K130*(1-'Inputs'!$E$44)/2/J130,0)+G130+R130)*'Inputs'!$B$17</x:f>
        <x:v>3507.9693775337255</x:v>
      </x:c>
      <x:c r="AC130" s="78" t="n">
        <x:f>AC129+AB130</x:f>
        <x:v>1409684990.5293813</x:v>
      </x:c>
      <x:c r="AD130" s="80" t="n">
        <x:f>Z130/(1+'Inputs'!$C$44)</x:f>
        <x:v>0.0001955030716218305</x:v>
      </x:c>
      <x:c r="AE130" s="80" t="n">
        <x:f>Z130-AD130</x:f>
        <x:v>0.00004887576790545763</x:v>
      </x:c>
      <x:c r="AF130" s="80" t="n">
        <x:f>D130*W130</x:f>
        <x:v>2.5157905403967893e-7</x:v>
      </x:c>
      <x:c r="AG130" s="80" t="n">
        <x:f>C130*W130</x:f>
        <x:v>5.870177927592487e-7</x:v>
      </x:c>
      <x:c r="AH130" s="80" t="n">
        <x:f>2*'Inputs'!$B$8*'Inputs'!$C$44</x:f>
        <x:v>1250</x:v>
      </x:c>
      <x:c r="AI130" s="81" t="n">
        <x:f>IF(AH130&gt;0,(AE130+AF130)/AH130*365,0)</x:f>
        <x:v>0.000014345185312173214</x:v>
      </x:c>
      <x:c r="AJ130" s="81" t="n">
        <x:f>IF('Inputs'!$B$44&gt;0,AG130/('Inputs'!$B$19*'Inputs'!$B$44)*365,0)</x:f>
        <x:v>2.1426149435712577e-8</x:v>
      </x:c>
      <x:c r="AK130" s="81" t="n">
        <x:f>W130/MAX($W$4:W130)-1</x:f>
        <x:v>-0.9999999987140878</x:v>
      </x:c>
      <x:c r="AL130" s="83" t="n">
        <x:f>'Inputs'!$B$44</x:f>
        <x:v>1</x:v>
      </x:c>
      <x:c r="AM130" s="83" t="n">
        <x:f>'Inputs'!$C$44</x:f>
        <x:v>0.25</x:v>
      </x:c>
      <x:c r="AN130" s="83" t="n">
        <x:f>'Inputs'!$D$44</x:f>
        <x:v>0.2</x:v>
      </x:c>
      <x:c r="AO130" s="81" t="n">
        <x:f>'Inputs'!$E$44</x:f>
        <x:v>-0.2</x:v>
      </x:c>
    </x:row>
    <x:row r="131">
      <x:c r="A131" s="59" t="str">
        <x:v>No demand</x:v>
      </x:c>
      <x:c r="B131" s="59" t="n">
        <x:v>128</x:v>
      </x:c>
      <x:c r="C131" s="78" t="n">
        <x:f>(('Inputs'!$B$29*(3*128*'Inputs'!$B$12-128^2)/(2*'Inputs'!$B$12^2))-('Inputs'!$B$29*(3*127*'Inputs'!$B$12-127^2)/(2*'Inputs'!$B$12^2)))*'Inputs'!$B$44</x:f>
        <x:v>670535.0440983325</x:v>
      </x:c>
      <x:c r="D131" s="78" t="n">
        <x:f>IF('Inputs'!$C$44&gt;0,('Inputs'!$B$30*(3*128*'Inputs'!$B$12-128^2)/(2*'Inputs'!$B$12^2))-('Inputs'!$B$30*(3*127*'Inputs'!$B$12-127^2)/(2*'Inputs'!$B$12^2)),0)</x:f>
        <x:v>287372.16175643355</x:v>
      </x:c>
      <x:c r="E131" s="78" t="n">
        <x:f>C131+D131</x:f>
        <x:v>957907.2058547661</x:v>
      </x:c>
      <x:c r="F131" s="78" t="n">
        <x:f>'Inputs'!$B$13*E131+(1-'Inputs'!$B$13)/'Inputs'!$B$14*SUM(E76:E131)</x:f>
        <x:v>968124.8827172098</x:v>
      </x:c>
      <x:c r="G131" s="78" t="n">
        <x:f>F131*'Inputs'!$F$44</x:f>
        <x:v>871312.3944454888</x:v>
      </x:c>
      <x:c r="H131" s="78" t="n">
        <x:f>U130</x:f>
        <x:v>116364828304.40999</x:v>
      </x:c>
      <x:c r="I131" s="78" t="n">
        <x:f>V130</x:f>
        <x:v>0.10182185432026888</x:v>
      </x:c>
      <x:c r="J131" s="79" t="n">
        <x:f>IF(H131&gt;0,I131/H131,0)</x:f>
        <x:v>8.750225974974436e-13</x:v>
      </x:c>
      <x:c r="K131" s="80" t="n">
        <x:f>(H131*J131+I131)*'Inputs'!$D$44*(1+'Inputs'!$G$44)^(B131/30)</x:f>
        <x:v>0.04072874172810756</x:v>
      </x:c>
      <x:c r="L131" s="80" t="n">
        <x:f>MAX(0,K131*'Inputs'!$E$44)</x:f>
        <x:v>0</x:v>
      </x:c>
      <x:c r="M131" s="80" t="n">
        <x:f>MAX(0,-K131*'Inputs'!$E$44)</x:f>
        <x:v>0.008145748345621512</x:v>
      </x:c>
      <x:c r="N131" s="78" t="n">
        <x:f>H131*(L131*(1-'Inputs'!$B$15))/(I131+L131*(1-'Inputs'!$B$15))</x:f>
        <x:v>0</x:v>
      </x:c>
      <x:c r="O131" s="78" t="n">
        <x:f>H131-N131</x:f>
        <x:v>116364828304.40999</x:v>
      </x:c>
      <x:c r="P131" s="78" t="n">
        <x:f>I131+L131*(1-'Inputs'!$B$17)</x:f>
        <x:v>0.10182185432026888</x:v>
      </x:c>
      <x:c r="Q131" s="78" t="n">
        <x:f>IF(J131&gt;0,M131/J131,0)</x:f>
        <x:v>0</x:v>
      </x:c>
      <x:c r="R131" s="78" t="n">
        <x:f>IF(B131='Inputs'!$H$44,'Inputs'!$B$27*'Inputs'!$I$44,0)</x:f>
        <x:v>0</x:v>
      </x:c>
      <x:c r="S131" s="78" t="n">
        <x:f>Q131+G131+R131</x:f>
        <x:v>871312.3944454888</x:v>
      </x:c>
      <x:c r="T131" s="78" t="n">
        <x:f>P131*(S131*(1-'Inputs'!$B$15))/(O131+S131*(1-'Inputs'!$B$15))</x:f>
        <x:v>7.547882591134814e-7</x:v>
      </x:c>
      <x:c r="U131" s="78" t="n">
        <x:f>O131+S131*(1-'Inputs'!$B$17)</x:f>
        <x:v>116365696110.51714</x:v>
      </x:c>
      <x:c r="V131" s="78" t="n">
        <x:f>P131-T131</x:f>
        <x:v>0.10182109953200977</x:v>
      </x:c>
      <x:c r="W131" s="79" t="n">
        <x:f>IF(U131&gt;0,V131/U131,0)</x:f>
        <x:v>8.750095856024976e-13</x:v>
      </x:c>
      <x:c r="X131" s="80" t="n">
        <x:f>W131*('Inputs'!$B$6-AC131)</x:f>
        <x:v>-0.0003584813618256758</x:v>
      </x:c>
      <x:c r="Y131" s="80" t="n">
        <x:f>2*V131</x:f>
        <x:v>0.20364219906401954</x:v>
      </x:c>
      <x:c r="Z131" s="80" t="n">
        <x:f>K131*'Inputs'!$B$16+(G131+R131)*J131*'Inputs'!$B$16</x:f>
        <x:v>0.00024437702487685307</x:v>
      </x:c>
      <x:c r="AA131" s="80" t="n">
        <x:f>K131*(1+'Inputs'!$E$44)/2*'Inputs'!$B$17</x:f>
        <x:v>0.00006555934282190352</x:v>
      </x:c>
      <x:c r="AB131" s="78" t="n">
        <x:f>(IF(J131&gt;0,K131*(1-'Inputs'!$E$44)/2/J131,0)+G131+R131)*'Inputs'!$B$17</x:f>
        <x:v>3506.2873015915047</x:v>
      </x:c>
      <x:c r="AC131" s="78" t="n">
        <x:f>AC130+AB131</x:f>
        <x:v>1409688496.8166828</x:v>
      </x:c>
      <x:c r="AD131" s="80" t="n">
        <x:f>Z131/(1+'Inputs'!$C$44)</x:f>
        <x:v>0.00019550161990148247</x:v>
      </x:c>
      <x:c r="AE131" s="80" t="n">
        <x:f>Z131-AD131</x:f>
        <x:v>0.0000488754049753706</x:v>
      </x:c>
      <x:c r="AF131" s="80" t="n">
        <x:f>D131*W131</x:f>
        <x:v>2.514533961721908e-7</x:v>
      </x:c>
      <x:c r="AG131" s="80" t="n">
        <x:f>C131*W131</x:f>
        <x:v>5.867245910684344e-7</x:v>
      </x:c>
      <x:c r="AH131" s="80" t="n">
        <x:f>2*'Inputs'!$B$8*'Inputs'!$C$44</x:f>
        <x:v>1250</x:v>
      </x:c>
      <x:c r="AI131" s="81" t="n">
        <x:f>IF(AH131&gt;0,(AE131+AF131)/AH131*365,0)</x:f>
        <x:v>0.000014345042644490496</x:v>
      </x:c>
      <x:c r="AJ131" s="81" t="n">
        <x:f>IF('Inputs'!$B$44&gt;0,AG131/('Inputs'!$B$19*'Inputs'!$B$44)*365,0)</x:f>
        <x:v>2.1415447573997856e-8</x:v>
      </x:c>
      <x:c r="AK131" s="81" t="n">
        <x:f>W131/MAX($W$4:W131)-1</x:f>
        <x:v>-0.9999999987141069</x:v>
      </x:c>
      <x:c r="AL131" s="83" t="n">
        <x:f>'Inputs'!$B$44</x:f>
        <x:v>1</x:v>
      </x:c>
      <x:c r="AM131" s="83" t="n">
        <x:f>'Inputs'!$C$44</x:f>
        <x:v>0.25</x:v>
      </x:c>
      <x:c r="AN131" s="83" t="n">
        <x:f>'Inputs'!$D$44</x:f>
        <x:v>0.2</x:v>
      </x:c>
      <x:c r="AO131" s="81" t="n">
        <x:f>'Inputs'!$E$44</x:f>
        <x:v>-0.2</x:v>
      </x:c>
    </x:row>
    <x:row r="132">
      <x:c r="A132" s="59" t="str">
        <x:v>No demand</x:v>
      </x:c>
      <x:c r="B132" s="59" t="n">
        <x:v>129</x:v>
      </x:c>
      <x:c r="C132" s="78" t="n">
        <x:f>(('Inputs'!$B$29*(3*129*'Inputs'!$B$12-129^2)/(2*'Inputs'!$B$12^2))-('Inputs'!$B$29*(3*128*'Inputs'!$B$12-128^2)/(2*'Inputs'!$B$12^2)))*'Inputs'!$B$44</x:f>
        <x:v>670209.93619816</x:v>
      </x:c>
      <x:c r="D132" s="78" t="n">
        <x:f>IF('Inputs'!$C$44&gt;0,('Inputs'!$B$30*(3*129*'Inputs'!$B$12-129^2)/(2*'Inputs'!$B$12^2))-('Inputs'!$B$30*(3*128*'Inputs'!$B$12-128^2)/(2*'Inputs'!$B$12^2)),0)</x:f>
        <x:v>287232.8297992125</x:v>
      </x:c>
      <x:c r="E132" s="78" t="n">
        <x:f>C132+D132</x:f>
        <x:v>957442.7659973726</x:v>
      </x:c>
      <x:c r="F132" s="78" t="n">
        <x:f>'Inputs'!$B$13*E132+(1-'Inputs'!$B$13)/'Inputs'!$B$14*SUM(E77:E132)</x:f>
        <x:v>967660.4428598238</x:v>
      </x:c>
      <x:c r="G132" s="78" t="n">
        <x:f>F132*'Inputs'!$F$44</x:f>
        <x:v>870894.3985738414</x:v>
      </x:c>
      <x:c r="H132" s="78" t="n">
        <x:f>U131</x:f>
        <x:v>116365696110.51714</x:v>
      </x:c>
      <x:c r="I132" s="78" t="n">
        <x:f>V131</x:f>
        <x:v>0.10182109953200977</x:v>
      </x:c>
      <x:c r="J132" s="79" t="n">
        <x:f>IF(H132&gt;0,I132/H132,0)</x:f>
        <x:v>8.750095856024976e-13</x:v>
      </x:c>
      <x:c r="K132" s="80" t="n">
        <x:f>(H132*J132+I132)*'Inputs'!$D$44*(1+'Inputs'!$G$44)^(B132/30)</x:f>
        <x:v>0.04072843981280391</x:v>
      </x:c>
      <x:c r="L132" s="80" t="n">
        <x:f>MAX(0,K132*'Inputs'!$E$44)</x:f>
        <x:v>0</x:v>
      </x:c>
      <x:c r="M132" s="80" t="n">
        <x:f>MAX(0,-K132*'Inputs'!$E$44)</x:f>
        <x:v>0.008145687962560783</x:v>
      </x:c>
      <x:c r="N132" s="78" t="n">
        <x:f>H132*(L132*(1-'Inputs'!$B$15))/(I132+L132*(1-'Inputs'!$B$15))</x:f>
        <x:v>0</x:v>
      </x:c>
      <x:c r="O132" s="78" t="n">
        <x:f>H132-N132</x:f>
        <x:v>116365696110.51714</x:v>
      </x:c>
      <x:c r="P132" s="78" t="n">
        <x:f>I132+L132*(1-'Inputs'!$B$17)</x:f>
        <x:v>0.10182109953200977</x:v>
      </x:c>
      <x:c r="Q132" s="78" t="n">
        <x:f>IF(J132&gt;0,M132/J132,0)</x:f>
        <x:v>0</x:v>
      </x:c>
      <x:c r="R132" s="78" t="n">
        <x:f>IF(B132='Inputs'!$H$44,'Inputs'!$B$27*'Inputs'!$I$44,0)</x:f>
        <x:v>0</x:v>
      </x:c>
      <x:c r="S132" s="78" t="n">
        <x:f>Q132+G132+R132</x:f>
        <x:v>870894.3985738414</x:v>
      </x:c>
      <x:c r="T132" s="78" t="n">
        <x:f>P132*(S132*(1-'Inputs'!$B$15))/(O132+S132*(1-'Inputs'!$B$15))</x:f>
        <x:v>7.544149476637509e-7</x:v>
      </x:c>
      <x:c r="U132" s="78" t="n">
        <x:f>O132+S132*(1-'Inputs'!$B$17)</x:f>
        <x:v>116366563500.31049</x:v>
      </x:c>
      <x:c r="V132" s="78" t="n">
        <x:f>P132-T132</x:f>
        <x:v>0.1018203451170621</x:v>
      </x:c>
      <x:c r="W132" s="79" t="n">
        <x:f>IF(U132&gt;0,V132/U132,0)</x:f>
        <x:v>8.749965802400827e-13</x:v>
      </x:c>
      <x:c r="X132" s="80" t="n">
        <x:f>W132*('Inputs'!$B$6-AC132)</x:f>
        <x:v>-0.00035847910019588494</x:v>
      </x:c>
      <x:c r="Y132" s="80" t="n">
        <x:f>2*V132</x:f>
        <x:v>0.2036406902341242</x:v>
      </x:c>
      <x:c r="Z132" s="80" t="n">
        <x:f>K132*'Inputs'!$B$16+(G132+R132)*J132*'Inputs'!$B$16</x:f>
        <x:v>0.0002443752111225043</x:v>
      </x:c>
      <x:c r="AA132" s="80" t="n">
        <x:f>K132*(1+'Inputs'!$E$44)/2*'Inputs'!$B$17</x:f>
        <x:v>0.00006555885684153548</x:v>
      </x:c>
      <x:c r="AB132" s="78" t="n">
        <x:f>(IF(J132&gt;0,K132*(1-'Inputs'!$E$44)/2/J132,0)+G132+R132)*'Inputs'!$B$17</x:f>
        <x:v>3504.6052256492617</x:v>
      </x:c>
      <x:c r="AC132" s="78" t="n">
        <x:f>AC131+AB132</x:f>
        <x:v>1409692001.4219084</x:v>
      </x:c>
      <x:c r="AD132" s="80" t="n">
        <x:f>Z132/(1+'Inputs'!$C$44)</x:f>
        <x:v>0.00019550016889800345</x:v>
      </x:c>
      <x:c r="AE132" s="80" t="n">
        <x:f>Z132-AD132</x:f>
        <x:v>0.00004887504222450087</x:v>
      </x:c>
      <x:c r="AF132" s="80" t="n">
        <x:f>D132*W132</x:f>
        <x:v>2.513277438069927e-7</x:v>
      </x:c>
      <x:c r="AG132" s="80" t="n">
        <x:f>C132*W132</x:f>
        <x:v>5.864314022163141e-7</x:v>
      </x:c>
      <x:c r="AH132" s="80" t="n">
        <x:f>2*'Inputs'!$B$8*'Inputs'!$C$44</x:f>
        <x:v>1250</x:v>
      </x:c>
      <x:c r="AI132" s="81" t="n">
        <x:f>IF(AH132&gt;0,(AE132+AF132)/AH132*365,0)</x:f>
        <x:v>0.000014344900030745894</x:v>
      </x:c>
      <x:c r="AJ132" s="81" t="n">
        <x:f>IF('Inputs'!$B$44&gt;0,AG132/('Inputs'!$B$19*'Inputs'!$B$44)*365,0)</x:f>
        <x:v>2.1404746180895464e-8</x:v>
      </x:c>
      <x:c r="AK132" s="81" t="n">
        <x:f>W132/MAX($W$4:W132)-1</x:f>
        <x:v>-0.999999998714126</x:v>
      </x:c>
      <x:c r="AL132" s="83" t="n">
        <x:f>'Inputs'!$B$44</x:f>
        <x:v>1</x:v>
      </x:c>
      <x:c r="AM132" s="83" t="n">
        <x:f>'Inputs'!$C$44</x:f>
        <x:v>0.25</x:v>
      </x:c>
      <x:c r="AN132" s="83" t="n">
        <x:f>'Inputs'!$D$44</x:f>
        <x:v>0.2</x:v>
      </x:c>
      <x:c r="AO132" s="81" t="n">
        <x:f>'Inputs'!$E$44</x:f>
        <x:v>-0.2</x:v>
      </x:c>
    </x:row>
    <x:row r="133">
      <x:c r="A133" s="59" t="str">
        <x:v>No demand</x:v>
      </x:c>
      <x:c r="B133" s="59" t="n">
        <x:v>130</x:v>
      </x:c>
      <x:c r="C133" s="78" t="n">
        <x:f>(('Inputs'!$B$29*(3*130*'Inputs'!$B$12-130^2)/(2*'Inputs'!$B$12^2))-('Inputs'!$B$29*(3*129*'Inputs'!$B$12-129^2)/(2*'Inputs'!$B$12^2)))*'Inputs'!$B$44</x:f>
        <x:v>669884.8282979876</x:v>
      </x:c>
      <x:c r="D133" s="78" t="n">
        <x:f>IF('Inputs'!$C$44&gt;0,('Inputs'!$B$30*(3*130*'Inputs'!$B$12-130^2)/(2*'Inputs'!$B$12^2))-('Inputs'!$B$30*(3*129*'Inputs'!$B$12-129^2)/(2*'Inputs'!$B$12^2)),0)</x:f>
        <x:v>287093.4978419915</x:v>
      </x:c>
      <x:c r="E133" s="78" t="n">
        <x:f>C133+D133</x:f>
        <x:v>956978.3261399791</x:v>
      </x:c>
      <x:c r="F133" s="78" t="n">
        <x:f>'Inputs'!$B$13*E133+(1-'Inputs'!$B$13)/'Inputs'!$B$14*SUM(E78:E133)</x:f>
        <x:v>967196.0030024375</x:v>
      </x:c>
      <x:c r="G133" s="78" t="n">
        <x:f>F133*'Inputs'!$F$44</x:f>
        <x:v>870476.4027021938</x:v>
      </x:c>
      <x:c r="H133" s="78" t="n">
        <x:f>U132</x:f>
        <x:v>116366563500.31049</x:v>
      </x:c>
      <x:c r="I133" s="78" t="n">
        <x:f>V132</x:f>
        <x:v>0.1018203451170621</x:v>
      </x:c>
      <x:c r="J133" s="79" t="n">
        <x:f>IF(H133&gt;0,I133/H133,0)</x:f>
        <x:v>8.749965802400827e-13</x:v>
      </x:c>
      <x:c r="K133" s="80" t="n">
        <x:f>(H133*J133+I133)*'Inputs'!$D$44*(1+'Inputs'!$G$44)^(B133/30)</x:f>
        <x:v>0.04072813804682485</x:v>
      </x:c>
      <x:c r="L133" s="80" t="n">
        <x:f>MAX(0,K133*'Inputs'!$E$44)</x:f>
        <x:v>0</x:v>
      </x:c>
      <x:c r="M133" s="80" t="n">
        <x:f>MAX(0,-K133*'Inputs'!$E$44)</x:f>
        <x:v>0.008145627609364969</x:v>
      </x:c>
      <x:c r="N133" s="78" t="n">
        <x:f>H133*(L133*(1-'Inputs'!$B$15))/(I133+L133*(1-'Inputs'!$B$15))</x:f>
        <x:v>0</x:v>
      </x:c>
      <x:c r="O133" s="78" t="n">
        <x:f>H133-N133</x:f>
        <x:v>116366563500.31049</x:v>
      </x:c>
      <x:c r="P133" s="78" t="n">
        <x:f>I133+L133*(1-'Inputs'!$B$17)</x:f>
        <x:v>0.1018203451170621</x:v>
      </x:c>
      <x:c r="Q133" s="78" t="n">
        <x:f>IF(J133&gt;0,M133/J133,0)</x:f>
        <x:v>0</x:v>
      </x:c>
      <x:c r="R133" s="78" t="n">
        <x:f>IF(B133='Inputs'!$H$44,'Inputs'!$B$27*'Inputs'!$I$44,0)</x:f>
        <x:v>0</x:v>
      </x:c>
      <x:c r="S133" s="78" t="n">
        <x:f>Q133+G133+R133</x:f>
        <x:v>870476.4027021938</x:v>
      </x:c>
      <x:c r="T133" s="78" t="n">
        <x:f>P133*(S133*(1-'Inputs'!$B$15))/(O133+S133*(1-'Inputs'!$B$15))</x:f>
        <x:v>7.540416526097501e-7</x:v>
      </x:c>
      <x:c r="U133" s="78" t="n">
        <x:f>O133+S133*(1-'Inputs'!$B$17)</x:f>
        <x:v>116367430473.79004</x:v>
      </x:c>
      <x:c r="V133" s="78" t="n">
        <x:f>P133-T133</x:f>
        <x:v>0.1018195910754095</x:v>
      </x:c>
      <x:c r="W133" s="79" t="n">
        <x:f>IF(U133&gt;0,V133/U133,0)</x:f>
        <x:v>8.749835814097724e-13</x:v>
      </x:c>
      <x:c r="X133" s="80" t="n">
        <x:f>W133*('Inputs'!$B$6-AC133)</x:f>
        <x:v>-0.000358476839679322</x:v>
      </x:c>
      <x:c r="Y133" s="80" t="n">
        <x:f>2*V133</x:f>
        <x:v>0.203639182150819</x:v>
      </x:c>
      <x:c r="Z133" s="80" t="n">
        <x:f>K133*'Inputs'!$B$16+(G133+R133)*J133*'Inputs'!$B$16</x:f>
        <x:v>0.00024437339826420236</x:v>
      </x:c>
      <x:c r="AA133" s="80" t="n">
        <x:f>K133*(1+'Inputs'!$E$44)/2*'Inputs'!$B$17</x:f>
        <x:v>0.00006555837110152893</x:v>
      </x:c>
      <x:c r="AB133" s="78" t="n">
        <x:f>(IF(J133&gt;0,K133*(1-'Inputs'!$E$44)/2/J133,0)+G133+R133)*'Inputs'!$B$17</x:f>
        <x:v>3502.9231497070177</x:v>
      </x:c>
      <x:c r="AC133" s="78" t="n">
        <x:f>AC132+AB133</x:f>
        <x:v>1409695504.3450582</x:v>
      </x:c>
      <x:c r="AD133" s="80" t="n">
        <x:f>Z133/(1+'Inputs'!$C$44)</x:f>
        <x:v>0.00019549871861136188</x:v>
      </x:c>
      <x:c r="AE133" s="80" t="n">
        <x:f>Z133-AD133</x:f>
        <x:v>0.000048874679652840484</x:v>
      </x:c>
      <x:c r="AF133" s="80" t="n">
        <x:f>D133*W133</x:f>
        <x:v>2.5120209694124446e-7</x:v>
      </x:c>
      <x:c r="AG133" s="80" t="n">
        <x:f>C133*W133</x:f>
        <x:v>5.861382261962436e-7</x:v>
      </x:c>
      <x:c r="AH133" s="80" t="n">
        <x:f>2*'Inputs'!$B$8*'Inputs'!$C$44</x:f>
        <x:v>1250</x:v>
      </x:c>
      <x:c r="AI133" s="81" t="n">
        <x:f>IF(AH133&gt;0,(AE133+AF133)/AH133*365,0)</x:f>
        <x:v>0.000014344757470936266</x:v>
      </x:c>
      <x:c r="AJ133" s="81" t="n">
        <x:f>IF('Inputs'!$B$44&gt;0,AG133/('Inputs'!$B$19*'Inputs'!$B$44)*365,0)</x:f>
        <x:v>2.1394045256162894e-8</x:v>
      </x:c>
      <x:c r="AK133" s="81" t="n">
        <x:f>W133/MAX($W$4:W133)-1</x:f>
        <x:v>-0.9999999987141451</x:v>
      </x:c>
      <x:c r="AL133" s="83" t="n">
        <x:f>'Inputs'!$B$44</x:f>
        <x:v>1</x:v>
      </x:c>
      <x:c r="AM133" s="83" t="n">
        <x:f>'Inputs'!$C$44</x:f>
        <x:v>0.25</x:v>
      </x:c>
      <x:c r="AN133" s="83" t="n">
        <x:f>'Inputs'!$D$44</x:f>
        <x:v>0.2</x:v>
      </x:c>
      <x:c r="AO133" s="81" t="n">
        <x:f>'Inputs'!$E$44</x:f>
        <x:v>-0.2</x:v>
      </x:c>
    </x:row>
    <x:row r="134">
      <x:c r="A134" s="59" t="str">
        <x:v>No demand</x:v>
      </x:c>
      <x:c r="B134" s="59" t="n">
        <x:v>131</x:v>
      </x:c>
      <x:c r="C134" s="78" t="n">
        <x:f>(('Inputs'!$B$29*(3*131*'Inputs'!$B$12-131^2)/(2*'Inputs'!$B$12^2))-('Inputs'!$B$29*(3*130*'Inputs'!$B$12-130^2)/(2*'Inputs'!$B$12^2)))*'Inputs'!$B$44</x:f>
        <x:v>669559.72039783</x:v>
      </x:c>
      <x:c r="D134" s="78" t="n">
        <x:f>IF('Inputs'!$C$44&gt;0,('Inputs'!$B$30*(3*131*'Inputs'!$B$12-131^2)/(2*'Inputs'!$B$12^2))-('Inputs'!$B$30*(3*130*'Inputs'!$B$12-130^2)/(2*'Inputs'!$B$12^2)),0)</x:f>
        <x:v>286954.16588478535</x:v>
      </x:c>
      <x:c r="E134" s="78" t="n">
        <x:f>C134+D134</x:f>
        <x:v>956513.8862826154</x:v>
      </x:c>
      <x:c r="F134" s="78" t="n">
        <x:f>'Inputs'!$B$13*E134+(1-'Inputs'!$B$13)/'Inputs'!$B$14*SUM(E79:E134)</x:f>
        <x:v>966731.5631450575</x:v>
      </x:c>
      <x:c r="G134" s="78" t="n">
        <x:f>F134*'Inputs'!$F$44</x:f>
        <x:v>870058.4068305518</x:v>
      </x:c>
      <x:c r="H134" s="78" t="n">
        <x:f>U133</x:f>
        <x:v>116367430473.79004</x:v>
      </x:c>
      <x:c r="I134" s="78" t="n">
        <x:f>V133</x:f>
        <x:v>0.1018195910754095</x:v>
      </x:c>
      <x:c r="J134" s="79" t="n">
        <x:f>IF(H134&gt;0,I134/H134,0)</x:f>
        <x:v>8.749835814097724e-13</x:v>
      </x:c>
      <x:c r="K134" s="80" t="n">
        <x:f>(H134*J134+I134)*'Inputs'!$D$44*(1+'Inputs'!$G$44)^(B134/30)</x:f>
        <x:v>0.040727836430163804</x:v>
      </x:c>
      <x:c r="L134" s="80" t="n">
        <x:f>MAX(0,K134*'Inputs'!$E$44)</x:f>
        <x:v>0</x:v>
      </x:c>
      <x:c r="M134" s="80" t="n">
        <x:f>MAX(0,-K134*'Inputs'!$E$44)</x:f>
        <x:v>0.008145567286032761</x:v>
      </x:c>
      <x:c r="N134" s="78" t="n">
        <x:f>H134*(L134*(1-'Inputs'!$B$15))/(I134+L134*(1-'Inputs'!$B$15))</x:f>
        <x:v>0</x:v>
      </x:c>
      <x:c r="O134" s="78" t="n">
        <x:f>H134-N134</x:f>
        <x:v>116367430473.79004</x:v>
      </x:c>
      <x:c r="P134" s="78" t="n">
        <x:f>I134+L134*(1-'Inputs'!$B$17)</x:f>
        <x:v>0.1018195910754095</x:v>
      </x:c>
      <x:c r="Q134" s="78" t="n">
        <x:f>IF(J134&gt;0,M134/J134,0)</x:f>
        <x:v>0</x:v>
      </x:c>
      <x:c r="R134" s="78" t="n">
        <x:f>IF(B134='Inputs'!$H$44,'Inputs'!$B$27*'Inputs'!$I$44,0)</x:f>
        <x:v>0</x:v>
      </x:c>
      <x:c r="S134" s="78" t="n">
        <x:f>Q134+G134+R134</x:f>
        <x:v>870058.4068305518</x:v>
      </x:c>
      <x:c r="T134" s="78" t="n">
        <x:f>P134*(S134*(1-'Inputs'!$B$15))/(O134+S134*(1-'Inputs'!$B$15))</x:f>
        <x:v>7.536683739430073e-7</x:v>
      </x:c>
      <x:c r="U134" s="78" t="n">
        <x:f>O134+S134*(1-'Inputs'!$B$17)</x:f>
        <x:v>116368297030.9558</x:v>
      </x:c>
      <x:c r="V134" s="78" t="n">
        <x:f>P134-T134</x:f>
        <x:v>0.10181883740703555</x:v>
      </x:c>
      <x:c r="W134" s="79" t="n">
        <x:f>IF(U134&gt;0,V134/U134,0)</x:f>
        <x:v>8.749705891111403e-13</x:v>
      </x:c>
      <x:c r="X134" s="80" t="n">
        <x:f>W134*('Inputs'!$B$6-AC134)</x:f>
        <x:v>-0.00035847458027594634</x:v>
      </x:c>
      <x:c r="Y134" s="80" t="n">
        <x:f>2*V134</x:f>
        <x:v>0.2036376748140711</x:v>
      </x:c>
      <x:c r="Z134" s="80" t="n">
        <x:f>K134*'Inputs'!$B$16+(G134+R134)*J134*'Inputs'!$B$16</x:f>
        <x:v>0.0002443715863019079</x:v>
      </x:c>
      <x:c r="AA134" s="80" t="n">
        <x:f>K134*(1+'Inputs'!$E$44)/2*'Inputs'!$B$17</x:f>
        <x:v>0.00006555788560187334</x:v>
      </x:c>
      <x:c r="AB134" s="78" t="n">
        <x:f>(IF(J134&gt;0,K134*(1-'Inputs'!$E$44)/2/J134,0)+G134+R134)*'Inputs'!$B$17</x:f>
        <x:v>3501.241073764796</x:v>
      </x:c>
      <x:c r="AC134" s="78" t="n">
        <x:f>AC133+AB134</x:f>
        <x:v>1409699005.586132</x:v>
      </x:c>
      <x:c r="AD134" s="80" t="n">
        <x:f>Z134/(1+'Inputs'!$C$44)</x:f>
        <x:v>0.00019549726904152632</x:v>
      </x:c>
      <x:c r="AE134" s="80" t="n">
        <x:f>Z134-AD134</x:f>
        <x:v>0.00004887431726038159</x:v>
      </x:c>
      <x:c r="AF134" s="80" t="n">
        <x:f>D134*W134</x:f>
        <x:v>2.5107645557210654e-7</x:v>
      </x:c>
      <x:c r="AG134" s="80" t="n">
        <x:f>C134*W134</x:f>
        <x:v>5.858450630015797e-7</x:v>
      </x:c>
      <x:c r="AH134" s="80" t="n">
        <x:f>2*'Inputs'!$B$8*'Inputs'!$C$44</x:f>
        <x:v>1250</x:v>
      </x:c>
      <x:c r="AI134" s="81" t="n">
        <x:f>IF(AH134&gt;0,(AE134+AF134)/AH134*365,0)</x:f>
        <x:v>0.000014344614965058477</x:v>
      </x:c>
      <x:c r="AJ134" s="81" t="n">
        <x:f>IF('Inputs'!$B$44&gt;0,AG134/('Inputs'!$B$19*'Inputs'!$B$44)*365,0)</x:f>
        <x:v>2.1383344799557658e-8</x:v>
      </x:c>
      <x:c r="AK134" s="81" t="n">
        <x:f>W134/MAX($W$4:W134)-1</x:f>
        <x:v>-0.9999999987141642</x:v>
      </x:c>
      <x:c r="AL134" s="83" t="n">
        <x:f>'Inputs'!$B$44</x:f>
        <x:v>1</x:v>
      </x:c>
      <x:c r="AM134" s="83" t="n">
        <x:f>'Inputs'!$C$44</x:f>
        <x:v>0.25</x:v>
      </x:c>
      <x:c r="AN134" s="83" t="n">
        <x:f>'Inputs'!$D$44</x:f>
        <x:v>0.2</x:v>
      </x:c>
      <x:c r="AO134" s="81" t="n">
        <x:f>'Inputs'!$E$44</x:f>
        <x:v>-0.2</x:v>
      </x:c>
    </x:row>
    <x:row r="135">
      <x:c r="A135" s="59" t="str">
        <x:v>No demand</x:v>
      </x:c>
      <x:c r="B135" s="59" t="n">
        <x:v>132</x:v>
      </x:c>
      <x:c r="C135" s="78" t="n">
        <x:f>(('Inputs'!$B$29*(3*132*'Inputs'!$B$12-132^2)/(2*'Inputs'!$B$12^2))-('Inputs'!$B$29*(3*131*'Inputs'!$B$12-131^2)/(2*'Inputs'!$B$12^2)))*'Inputs'!$B$44</x:f>
        <x:v>669234.6124976575</x:v>
      </x:c>
      <x:c r="D135" s="78" t="n">
        <x:f>IF('Inputs'!$C$44&gt;0,('Inputs'!$B$30*(3*132*'Inputs'!$B$12-132^2)/(2*'Inputs'!$B$12^2))-('Inputs'!$B$30*(3*131*'Inputs'!$B$12-131^2)/(2*'Inputs'!$B$12^2)),0)</x:f>
        <x:v>286814.8339275643</x:v>
      </x:c>
      <x:c r="E135" s="78" t="n">
        <x:f>C135+D135</x:f>
        <x:v>956049.4464252219</x:v>
      </x:c>
      <x:c r="F135" s="78" t="n">
        <x:f>'Inputs'!$B$13*E135+(1-'Inputs'!$B$13)/'Inputs'!$B$14*SUM(E80:E135)</x:f>
        <x:v>966267.1232876717</x:v>
      </x:c>
      <x:c r="G135" s="78" t="n">
        <x:f>F135*'Inputs'!$F$44</x:f>
        <x:v>869640.4109589045</x:v>
      </x:c>
      <x:c r="H135" s="78" t="n">
        <x:f>U134</x:f>
        <x:v>116368297030.9558</x:v>
      </x:c>
      <x:c r="I135" s="78" t="n">
        <x:f>V134</x:f>
        <x:v>0.10181883740703555</x:v>
      </x:c>
      <x:c r="J135" s="79" t="n">
        <x:f>IF(H135&gt;0,I135/H135,0)</x:f>
        <x:v>8.749705891111403e-13</x:v>
      </x:c>
      <x:c r="K135" s="80" t="n">
        <x:f>(H135*J135+I135)*'Inputs'!$D$44*(1+'Inputs'!$G$44)^(B135/30)</x:f>
        <x:v>0.04072753496281423</x:v>
      </x:c>
      <x:c r="L135" s="80" t="n">
        <x:f>MAX(0,K135*'Inputs'!$E$44)</x:f>
        <x:v>0</x:v>
      </x:c>
      <x:c r="M135" s="80" t="n">
        <x:f>MAX(0,-K135*'Inputs'!$E$44)</x:f>
        <x:v>0.008145506992562846</x:v>
      </x:c>
      <x:c r="N135" s="78" t="n">
        <x:f>H135*(L135*(1-'Inputs'!$B$15))/(I135+L135*(1-'Inputs'!$B$15))</x:f>
        <x:v>0</x:v>
      </x:c>
      <x:c r="O135" s="78" t="n">
        <x:f>H135-N135</x:f>
        <x:v>116368297030.9558</x:v>
      </x:c>
      <x:c r="P135" s="78" t="n">
        <x:f>I135+L135*(1-'Inputs'!$B$17)</x:f>
        <x:v>0.10181883740703555</x:v>
      </x:c>
      <x:c r="Q135" s="78" t="n">
        <x:f>IF(J135&gt;0,M135/J135,0)</x:f>
        <x:v>0</x:v>
      </x:c>
      <x:c r="R135" s="78" t="n">
        <x:f>IF(B135='Inputs'!$H$44,'Inputs'!$B$27*'Inputs'!$I$44,0)</x:f>
        <x:v>0</x:v>
      </x:c>
      <x:c r="S135" s="78" t="n">
        <x:f>Q135+G135+R135</x:f>
        <x:v>869640.4109589045</x:v>
      </x:c>
      <x:c r="T135" s="78" t="n">
        <x:f>P135*(S135*(1-'Inputs'!$B$15))/(O135+S135*(1-'Inputs'!$B$15))</x:f>
        <x:v>7.532951116550373e-7</x:v>
      </x:c>
      <x:c r="U135" s="78" t="n">
        <x:f>O135+S135*(1-'Inputs'!$B$17)</x:f>
        <x:v>116369163171.80775</x:v>
      </x:c>
      <x:c r="V135" s="78" t="n">
        <x:f>P135-T135</x:f>
        <x:v>0.1018180841119239</x:v>
      </x:c>
      <x:c r="W135" s="79" t="n">
        <x:f>IF(U135&gt;0,V135/U135,0)</x:f>
        <x:v>8.749576033437605e-13</x:v>
      </x:c>
      <x:c r="X135" s="80" t="n">
        <x:f>W135*('Inputs'!$B$6-AC135)</x:f>
        <x:v>-0.0003584723219857176</x:v>
      </x:c>
      <x:c r="Y135" s="80" t="n">
        <x:f>2*V135</x:f>
        <x:v>0.2036361682238478</x:v>
      </x:c>
      <x:c r="Z135" s="80" t="n">
        <x:f>K135*'Inputs'!$B$16+(G135+R135)*J135*'Inputs'!$B$16</x:f>
        <x:v>0.00024436977523558154</x:v>
      </x:c>
      <x:c r="AA135" s="80" t="n">
        <x:f>K135*(1+'Inputs'!$E$44)/2*'Inputs'!$B$17</x:f>
        <x:v>0.00006555740034255813</x:v>
      </x:c>
      <x:c r="AB135" s="78" t="n">
        <x:f>(IF(J135&gt;0,K135*(1-'Inputs'!$E$44)/2/J135,0)+G135+R135)*'Inputs'!$B$17</x:f>
        <x:v>3499.558997822554</x:v>
      </x:c>
      <x:c r="AC135" s="78" t="n">
        <x:f>AC134+AB135</x:f>
        <x:v>1409702505.14513</x:v>
      </x:c>
      <x:c r="AD135" s="80" t="n">
        <x:f>Z135/(1+'Inputs'!$C$44)</x:f>
        <x:v>0.00019549582018846522</x:v>
      </x:c>
      <x:c r="AE135" s="80" t="n">
        <x:f>Z135-AD135</x:f>
        <x:v>0.00004887395504711632</x:v>
      </x:c>
      <x:c r="AF135" s="80" t="n">
        <x:f>D135*W135</x:f>
        <x:v>2.5095081969670034e-7</x:v>
      </x:c>
      <x:c r="AG135" s="80" t="n">
        <x:f>C135*W135</x:f>
        <x:v>5.855519126256407e-7</x:v>
      </x:c>
      <x:c r="AH135" s="80" t="n">
        <x:f>2*'Inputs'!$B$8*'Inputs'!$C$44</x:f>
        <x:v>1250</x:v>
      </x:c>
      <x:c r="AI135" s="81" t="n">
        <x:f>IF(AH135&gt;0,(AE135+AF135)/AH135*365,0)</x:f>
        <x:v>0.000014344472513109401</x:v>
      </x:c>
      <x:c r="AJ135" s="81" t="n">
        <x:f>IF('Inputs'!$B$44&gt;0,AG135/('Inputs'!$B$19*'Inputs'!$B$44)*365,0)</x:f>
        <x:v>2.1372644810835886e-8</x:v>
      </x:c>
      <x:c r="AK135" s="81" t="n">
        <x:f>W135/MAX($W$4:W135)-1</x:f>
        <x:v>-0.9999999987141833</x:v>
      </x:c>
      <x:c r="AL135" s="83" t="n">
        <x:f>'Inputs'!$B$44</x:f>
        <x:v>1</x:v>
      </x:c>
      <x:c r="AM135" s="83" t="n">
        <x:f>'Inputs'!$C$44</x:f>
        <x:v>0.25</x:v>
      </x:c>
      <x:c r="AN135" s="83" t="n">
        <x:f>'Inputs'!$D$44</x:f>
        <x:v>0.2</x:v>
      </x:c>
      <x:c r="AO135" s="81" t="n">
        <x:f>'Inputs'!$E$44</x:f>
        <x:v>-0.2</x:v>
      </x:c>
    </x:row>
    <x:row r="136">
      <x:c r="A136" s="59" t="str">
        <x:v>No demand</x:v>
      </x:c>
      <x:c r="B136" s="59" t="n">
        <x:v>133</x:v>
      </x:c>
      <x:c r="C136" s="78" t="n">
        <x:f>(('Inputs'!$B$29*(3*133*'Inputs'!$B$12-133^2)/(2*'Inputs'!$B$12^2))-('Inputs'!$B$29*(3*132*'Inputs'!$B$12-132^2)/(2*'Inputs'!$B$12^2)))*'Inputs'!$B$44</x:f>
        <x:v>668909.5045974851</x:v>
      </x:c>
      <x:c r="D136" s="78" t="n">
        <x:f>IF('Inputs'!$C$44&gt;0,('Inputs'!$B$30*(3*133*'Inputs'!$B$12-133^2)/(2*'Inputs'!$B$12^2))-('Inputs'!$B$30*(3*132*'Inputs'!$B$12-132^2)/(2*'Inputs'!$B$12^2)),0)</x:f>
        <x:v>286675.50197035074</x:v>
      </x:c>
      <x:c r="E136" s="78" t="n">
        <x:f>C136+D136</x:f>
        <x:v>955585.0065678358</x:v>
      </x:c>
      <x:c r="F136" s="78" t="n">
        <x:f>'Inputs'!$B$13*E136+(1-'Inputs'!$B$13)/'Inputs'!$B$14*SUM(E81:E136)</x:f>
        <x:v>965802.683430287</x:v>
      </x:c>
      <x:c r="G136" s="78" t="n">
        <x:f>F136*'Inputs'!$F$44</x:f>
        <x:v>869222.4150872583</x:v>
      </x:c>
      <x:c r="H136" s="78" t="n">
        <x:f>U135</x:f>
        <x:v>116369163171.80775</x:v>
      </x:c>
      <x:c r="I136" s="78" t="n">
        <x:f>V135</x:f>
        <x:v>0.1018180841119239</x:v>
      </x:c>
      <x:c r="J136" s="79" t="n">
        <x:f>IF(H136&gt;0,I136/H136,0)</x:f>
        <x:v>8.749576033437605e-13</x:v>
      </x:c>
      <x:c r="K136" s="80" t="n">
        <x:f>(H136*J136+I136)*'Inputs'!$D$44*(1+'Inputs'!$G$44)^(B136/30)</x:f>
        <x:v>0.040727233644769566</x:v>
      </x:c>
      <x:c r="L136" s="80" t="n">
        <x:f>MAX(0,K136*'Inputs'!$E$44)</x:f>
        <x:v>0</x:v>
      </x:c>
      <x:c r="M136" s="80" t="n">
        <x:f>MAX(0,-K136*'Inputs'!$E$44)</x:f>
        <x:v>0.008145446728953913</x:v>
      </x:c>
      <x:c r="N136" s="78" t="n">
        <x:f>H136*(L136*(1-'Inputs'!$B$15))/(I136+L136*(1-'Inputs'!$B$15))</x:f>
        <x:v>0</x:v>
      </x:c>
      <x:c r="O136" s="78" t="n">
        <x:f>H136-N136</x:f>
        <x:v>116369163171.80775</x:v>
      </x:c>
      <x:c r="P136" s="78" t="n">
        <x:f>I136+L136*(1-'Inputs'!$B$17)</x:f>
        <x:v>0.1018180841119239</x:v>
      </x:c>
      <x:c r="Q136" s="78" t="n">
        <x:f>IF(J136&gt;0,M136/J136,0)</x:f>
        <x:v>0</x:v>
      </x:c>
      <x:c r="R136" s="78" t="n">
        <x:f>IF(B136='Inputs'!$H$44,'Inputs'!$B$27*'Inputs'!$I$44,0)</x:f>
        <x:v>0</x:v>
      </x:c>
      <x:c r="S136" s="78" t="n">
        <x:f>Q136+G136+R136</x:f>
        <x:v>869222.4150872583</x:v>
      </x:c>
      <x:c r="T136" s="78" t="n">
        <x:f>P136*(S136*(1-'Inputs'!$B$15))/(O136+S136*(1-'Inputs'!$B$15))</x:f>
        <x:v>7.529218657373704e-7</x:v>
      </x:c>
      <x:c r="U136" s="78" t="n">
        <x:f>O136+S136*(1-'Inputs'!$B$17)</x:f>
        <x:v>116370028896.34592</x:v>
      </x:c>
      <x:c r="V136" s="78" t="n">
        <x:f>P136-T136</x:f>
        <x:v>0.10181733119005816</x:v>
      </x:c>
      <x:c r="W136" s="79" t="n">
        <x:f>IF(U136&gt;0,V136/U136,0)</x:f>
        <x:v>8.749446241072067e-13</x:v>
      </x:c>
      <x:c r="X136" s="80" t="n">
        <x:f>W136*('Inputs'!$B$6-AC136)</x:f>
        <x:v>-0.00035847006480859523</x:v>
      </x:c>
      <x:c r="Y136" s="80" t="n">
        <x:f>2*V136</x:f>
        <x:v>0.20363466238011632</x:v>
      </x:c>
      <x:c r="Z136" s="80" t="n">
        <x:f>K136*'Inputs'!$B$16+(G136+R136)*J136*'Inputs'!$B$16</x:f>
        <x:v>0.0002443679650651839</x:v>
      </x:c>
      <x:c r="AA136" s="80" t="n">
        <x:f>K136*(1+'Inputs'!$E$44)/2*'Inputs'!$B$17</x:f>
        <x:v>0.00006555691532357275</x:v>
      </x:c>
      <x:c r="AB136" s="78" t="n">
        <x:f>(IF(J136&gt;0,K136*(1-'Inputs'!$E$44)/2/J136,0)+G136+R136)*'Inputs'!$B$17</x:f>
        <x:v>3497.8769218803154</x:v>
      </x:c>
      <x:c r="AC136" s="78" t="n">
        <x:f>AC135+AB136</x:f>
        <x:v>1409706003.0220518</x:v>
      </x:c>
      <x:c r="AD136" s="80" t="n">
        <x:f>Z136/(1+'Inputs'!$C$44)</x:f>
        <x:v>0.00019549437205214712</x:v>
      </x:c>
      <x:c r="AE136" s="80" t="n">
        <x:f>Z136-AD136</x:f>
        <x:v>0.00004887359301303679</x:v>
      </x:c>
      <x:c r="AF136" s="80" t="n">
        <x:f>D136*W136</x:f>
        <x:v>2.508251893121933e-7</x:v>
      </x:c>
      <x:c r="AG136" s="80" t="n">
        <x:f>C136*W136</x:f>
        <x:v>5.852587750617845e-7</x:v>
      </x:c>
      <x:c r="AH136" s="80" t="n">
        <x:f>2*'Inputs'!$B$8*'Inputs'!$C$44</x:f>
        <x:v>1250</x:v>
      </x:c>
      <x:c r="AI136" s="81" t="n">
        <x:f>IF(AH136&gt;0,(AE136+AF136)/AH136*365,0)</x:f>
        <x:v>0.000014344330115085902</x:v>
      </x:c>
      <x:c r="AJ136" s="81" t="n">
        <x:f>IF('Inputs'!$B$44&gt;0,AG136/('Inputs'!$B$19*'Inputs'!$B$44)*365,0)</x:f>
        <x:v>2.1361945289755134e-8</x:v>
      </x:c>
      <x:c r="AK136" s="81" t="n">
        <x:f>W136/MAX($W$4:W136)-1</x:f>
        <x:v>-0.9999999987142024</x:v>
      </x:c>
      <x:c r="AL136" s="83" t="n">
        <x:f>'Inputs'!$B$44</x:f>
        <x:v>1</x:v>
      </x:c>
      <x:c r="AM136" s="83" t="n">
        <x:f>'Inputs'!$C$44</x:f>
        <x:v>0.25</x:v>
      </x:c>
      <x:c r="AN136" s="83" t="n">
        <x:f>'Inputs'!$D$44</x:f>
        <x:v>0.2</x:v>
      </x:c>
      <x:c r="AO136" s="81" t="n">
        <x:f>'Inputs'!$E$44</x:f>
        <x:v>-0.2</x:v>
      </x:c>
    </x:row>
    <x:row r="137">
      <x:c r="A137" s="59" t="str">
        <x:v>No demand</x:v>
      </x:c>
      <x:c r="B137" s="59" t="n">
        <x:v>134</x:v>
      </x:c>
      <x:c r="C137" s="78" t="n">
        <x:f>(('Inputs'!$B$29*(3*134*'Inputs'!$B$12-134^2)/(2*'Inputs'!$B$12^2))-('Inputs'!$B$29*(3*133*'Inputs'!$B$12-133^2)/(2*'Inputs'!$B$12^2)))*'Inputs'!$B$44</x:f>
        <x:v>668584.3966973126</x:v>
      </x:c>
      <x:c r="D137" s="78" t="n">
        <x:f>IF('Inputs'!$C$44&gt;0,('Inputs'!$B$30*(3*134*'Inputs'!$B$12-134^2)/(2*'Inputs'!$B$12^2))-('Inputs'!$B$30*(3*133*'Inputs'!$B$12-133^2)/(2*'Inputs'!$B$12^2)),0)</x:f>
        <x:v>286536.17001313716</x:v>
      </x:c>
      <x:c r="E137" s="78" t="n">
        <x:f>C137+D137</x:f>
        <x:v>955120.5667104498</x:v>
      </x:c>
      <x:c r="F137" s="78" t="n">
        <x:f>'Inputs'!$B$13*E137+(1-'Inputs'!$B$13)/'Inputs'!$B$14*SUM(E82:E137)</x:f>
        <x:v>965338.2435729025</x:v>
      </x:c>
      <x:c r="G137" s="78" t="n">
        <x:f>F137*'Inputs'!$F$44</x:f>
        <x:v>868804.4192156122</x:v>
      </x:c>
      <x:c r="H137" s="78" t="n">
        <x:f>U136</x:f>
        <x:v>116370028896.34592</x:v>
      </x:c>
      <x:c r="I137" s="78" t="n">
        <x:f>V136</x:f>
        <x:v>0.10181733119005816</x:v>
      </x:c>
      <x:c r="J137" s="79" t="n">
        <x:f>IF(H137&gt;0,I137/H137,0)</x:f>
        <x:v>8.749446241072067e-13</x:v>
      </x:c>
      <x:c r="K137" s="80" t="n">
        <x:f>(H137*J137+I137)*'Inputs'!$D$44*(1+'Inputs'!$G$44)^(B137/30)</x:f>
        <x:v>0.04072693247602327</x:v>
      </x:c>
      <x:c r="L137" s="80" t="n">
        <x:f>MAX(0,K137*'Inputs'!$E$44)</x:f>
        <x:v>0</x:v>
      </x:c>
      <x:c r="M137" s="80" t="n">
        <x:f>MAX(0,-K137*'Inputs'!$E$44)</x:f>
        <x:v>0.008145386495204654</x:v>
      </x:c>
      <x:c r="N137" s="78" t="n">
        <x:f>H137*(L137*(1-'Inputs'!$B$15))/(I137+L137*(1-'Inputs'!$B$15))</x:f>
        <x:v>0</x:v>
      </x:c>
      <x:c r="O137" s="78" t="n">
        <x:f>H137-N137</x:f>
        <x:v>116370028896.34592</x:v>
      </x:c>
      <x:c r="P137" s="78" t="n">
        <x:f>I137+L137*(1-'Inputs'!$B$17)</x:f>
        <x:v>0.10181733119005816</x:v>
      </x:c>
      <x:c r="Q137" s="78" t="n">
        <x:f>IF(J137&gt;0,M137/J137,0)</x:f>
        <x:v>0</x:v>
      </x:c>
      <x:c r="R137" s="78" t="n">
        <x:f>IF(B137='Inputs'!$H$44,'Inputs'!$B$27*'Inputs'!$I$44,0)</x:f>
        <x:v>0</x:v>
      </x:c>
      <x:c r="S137" s="78" t="n">
        <x:f>Q137+G137+R137</x:f>
        <x:v>868804.4192156122</x:v>
      </x:c>
      <x:c r="T137" s="78" t="n">
        <x:f>P137*(S137*(1-'Inputs'!$B$15))/(O137+S137*(1-'Inputs'!$B$15))</x:f>
        <x:v>7.525486361815314e-7</x:v>
      </x:c>
      <x:c r="U137" s="78" t="n">
        <x:f>O137+S137*(1-'Inputs'!$B$17)</x:f>
        <x:v>116370894204.57028</x:v>
      </x:c>
      <x:c r="V137" s="78" t="n">
        <x:f>P137-T137</x:f>
        <x:v>0.10181657864142198</x:v>
      </x:c>
      <x:c r="W137" s="79" t="n">
        <x:f>IF(U137&gt;0,V137/U137,0)</x:f>
        <x:v>8.749316514010537e-13</x:v>
      </x:c>
      <x:c r="X137" s="80" t="n">
        <x:f>W137*('Inputs'!$B$6-AC137)</x:f>
        <x:v>-0.000358467808744539</x:v>
      </x:c>
      <x:c r="Y137" s="80" t="n">
        <x:f>2*V137</x:f>
        <x:v>0.20363315728284395</x:v>
      </x:c>
      <x:c r="Z137" s="80" t="n">
        <x:f>K137*'Inputs'!$B$16+(G137+R137)*J137*'Inputs'!$B$16</x:f>
        <x:v>0.0002443661557906756</x:v>
      </x:c>
      <x:c r="AA137" s="80" t="n">
        <x:f>K137*(1+'Inputs'!$E$44)/2*'Inputs'!$B$17</x:f>
        <x:v>0.00006555643054490669</x:v>
      </x:c>
      <x:c r="AB137" s="78" t="n">
        <x:f>(IF(J137&gt;0,K137*(1-'Inputs'!$E$44)/2/J137,0)+G137+R137)*'Inputs'!$B$17</x:f>
        <x:v>3496.194845938078</x:v>
      </x:c>
      <x:c r="AC137" s="78" t="n">
        <x:f>AC136+AB137</x:f>
        <x:v>1409709499.2168977</x:v>
      </x:c>
      <x:c r="AD137" s="80" t="n">
        <x:f>Z137/(1+'Inputs'!$C$44)</x:f>
        <x:v>0.00019549292463254047</x:v>
      </x:c>
      <x:c r="AE137" s="80" t="n">
        <x:f>Z137-AD137</x:f>
        <x:v>0.00004887323115813512</x:v>
      </x:c>
      <x:c r="AF137" s="80" t="n">
        <x:f>D137*W137</x:f>
        <x:v>2.5069956441572715e-7</x:v>
      </x:c>
      <x:c r="AG137" s="80" t="n">
        <x:f>C137*W137</x:f>
        <x:v>5.849656503033568e-7</x:v>
      </x:c>
      <x:c r="AH137" s="80" t="n">
        <x:f>2*'Inputs'!$B$8*'Inputs'!$C$44</x:f>
        <x:v>1250</x:v>
      </x:c>
      <x:c r="AI137" s="81" t="n">
        <x:f>IF(AH137&gt;0,(AE137+AF137)/AH137*365,0)</x:f>
        <x:v>0.000014344187770984845</x:v>
      </x:c>
      <x:c r="AJ137" s="81" t="n">
        <x:f>IF('Inputs'!$B$44&gt;0,AG137/('Inputs'!$B$19*'Inputs'!$B$44)*365,0)</x:f>
        <x:v>2.1351246236072522e-8</x:v>
      </x:c>
      <x:c r="AK137" s="81" t="n">
        <x:f>W137/MAX($W$4:W137)-1</x:f>
        <x:v>-0.9999999987142215</x:v>
      </x:c>
      <x:c r="AL137" s="83" t="n">
        <x:f>'Inputs'!$B$44</x:f>
        <x:v>1</x:v>
      </x:c>
      <x:c r="AM137" s="83" t="n">
        <x:f>'Inputs'!$C$44</x:f>
        <x:v>0.25</x:v>
      </x:c>
      <x:c r="AN137" s="83" t="n">
        <x:f>'Inputs'!$D$44</x:f>
        <x:v>0.2</x:v>
      </x:c>
      <x:c r="AO137" s="81" t="n">
        <x:f>'Inputs'!$E$44</x:f>
        <x:v>-0.2</x:v>
      </x:c>
    </x:row>
    <x:row r="138">
      <x:c r="A138" s="59" t="str">
        <x:v>No demand</x:v>
      </x:c>
      <x:c r="B138" s="59" t="n">
        <x:v>135</x:v>
      </x:c>
      <x:c r="C138" s="78" t="n">
        <x:f>(('Inputs'!$B$29*(3*135*'Inputs'!$B$12-135^2)/(2*'Inputs'!$B$12^2))-('Inputs'!$B$29*(3*134*'Inputs'!$B$12-134^2)/(2*'Inputs'!$B$12^2)))*'Inputs'!$B$44</x:f>
        <x:v>668259.288797155</x:v>
      </x:c>
      <x:c r="D138" s="78" t="n">
        <x:f>IF('Inputs'!$C$44&gt;0,('Inputs'!$B$30*(3*135*'Inputs'!$B$12-135^2)/(2*'Inputs'!$B$12^2))-('Inputs'!$B$30*(3*134*'Inputs'!$B$12-134^2)/(2*'Inputs'!$B$12^2)),0)</x:f>
        <x:v>286396.83805591613</x:v>
      </x:c>
      <x:c r="E138" s="78" t="n">
        <x:f>C138+D138</x:f>
        <x:v>954656.1268530712</x:v>
      </x:c>
      <x:c r="F138" s="78" t="n">
        <x:f>'Inputs'!$B$13*E138+(1-'Inputs'!$B$13)/'Inputs'!$B$14*SUM(E83:E138)</x:f>
        <x:v>964873.8037155196</x:v>
      </x:c>
      <x:c r="G138" s="78" t="n">
        <x:f>F138*'Inputs'!$F$44</x:f>
        <x:v>868386.4233439676</x:v>
      </x:c>
      <x:c r="H138" s="78" t="n">
        <x:f>U137</x:f>
        <x:v>116370894204.57028</x:v>
      </x:c>
      <x:c r="I138" s="78" t="n">
        <x:f>V137</x:f>
        <x:v>0.10181657864142198</x:v>
      </x:c>
      <x:c r="J138" s="79" t="n">
        <x:f>IF(H138&gt;0,I138/H138,0)</x:f>
        <x:v>8.749316514010537e-13</x:v>
      </x:c>
      <x:c r="K138" s="80" t="n">
        <x:f>(H138*J138+I138)*'Inputs'!$D$44*(1+'Inputs'!$G$44)^(B138/30)</x:f>
        <x:v>0.040726631456568796</x:v>
      </x:c>
      <x:c r="L138" s="80" t="n">
        <x:f>MAX(0,K138*'Inputs'!$E$44)</x:f>
        <x:v>0</x:v>
      </x:c>
      <x:c r="M138" s="80" t="n">
        <x:f>MAX(0,-K138*'Inputs'!$E$44)</x:f>
        <x:v>0.00814532629131376</x:v>
      </x:c>
      <x:c r="N138" s="78" t="n">
        <x:f>H138*(L138*(1-'Inputs'!$B$15))/(I138+L138*(1-'Inputs'!$B$15))</x:f>
        <x:v>0</x:v>
      </x:c>
      <x:c r="O138" s="78" t="n">
        <x:f>H138-N138</x:f>
        <x:v>116370894204.57028</x:v>
      </x:c>
      <x:c r="P138" s="78" t="n">
        <x:f>I138+L138*(1-'Inputs'!$B$17)</x:f>
        <x:v>0.10181657864142198</x:v>
      </x:c>
      <x:c r="Q138" s="78" t="n">
        <x:f>IF(J138&gt;0,M138/J138,0)</x:f>
        <x:v>0</x:v>
      </x:c>
      <x:c r="R138" s="78" t="n">
        <x:f>IF(B138='Inputs'!$H$44,'Inputs'!$B$27*'Inputs'!$I$44,0)</x:f>
        <x:v>0</x:v>
      </x:c>
      <x:c r="S138" s="78" t="n">
        <x:f>Q138+G138+R138</x:f>
        <x:v>868386.4233439676</x:v>
      </x:c>
      <x:c r="T138" s="78" t="n">
        <x:f>P138*(S138*(1-'Inputs'!$B$15))/(O138+S138*(1-'Inputs'!$B$15))</x:f>
        <x:v>7.521754229790486e-7</x:v>
      </x:c>
      <x:c r="U138" s="78" t="n">
        <x:f>O138+S138*(1-'Inputs'!$B$17)</x:f>
        <x:v>116371759096.48085</x:v>
      </x:c>
      <x:c r="V138" s="78" t="n">
        <x:f>P138-T138</x:f>
        <x:v>0.101815826465999</x:v>
      </x:c>
      <x:c r="W138" s="79" t="n">
        <x:f>IF(U138&gt;0,V138/U138,0)</x:f>
        <x:v>8.749186852248758e-13</x:v>
      </x:c>
      <x:c r="X138" s="80" t="n">
        <x:f>W138*('Inputs'!$B$6-AC138)</x:f>
        <x:v>-0.0003584655537935086</x:v>
      </x:c>
      <x:c r="Y138" s="80" t="n">
        <x:f>2*V138</x:f>
        <x:v>0.203631652931998</x:v>
      </x:c>
      <x:c r="Z138" s="80" t="n">
        <x:f>K138*'Inputs'!$B$16+(G138+R138)*J138*'Inputs'!$B$16</x:f>
        <x:v>0.0002443643474120174</x:v>
      </x:c>
      <x:c r="AA138" s="80" t="n">
        <x:f>K138*(1+'Inputs'!$E$44)/2*'Inputs'!$B$17</x:f>
        <x:v>0.00006555594600654937</x:v>
      </x:c>
      <x:c r="AB138" s="78" t="n">
        <x:f>(IF(J138&gt;0,K138*(1-'Inputs'!$E$44)/2/J138,0)+G138+R138)*'Inputs'!$B$17</x:f>
        <x:v>3494.512769995846</x:v>
      </x:c>
      <x:c r="AC138" s="78" t="n">
        <x:f>AC137+AB138</x:f>
        <x:v>1409712993.7296677</x:v>
      </x:c>
      <x:c r="AD138" s="80" t="n">
        <x:f>Z138/(1+'Inputs'!$C$44)</x:f>
        <x:v>0.0001954914779296139</x:v>
      </x:c>
      <x:c r="AE138" s="80" t="n">
        <x:f>Z138-AD138</x:f>
        <x:v>0.00004887286948240349</x:v>
      </x:c>
      <x:c r="AF138" s="80" t="n">
        <x:f>D138*W138</x:f>
        <x:v>2.505739450044438e-7</x:v>
      </x:c>
      <x:c r="AG138" s="80" t="n">
        <x:f>C138*W138</x:f>
        <x:v>5.846725383437174e-7</x:v>
      </x:c>
      <x:c r="AH138" s="80" t="n">
        <x:f>2*'Inputs'!$B$8*'Inputs'!$C$44</x:f>
        <x:v>1250</x:v>
      </x:c>
      <x:c r="AI138" s="81" t="n">
        <x:f>IF(AH138&gt;0,(AE138+AF138)/AH138*365,0)</x:f>
        <x:v>0.000014344045480803118</x:v>
      </x:c>
      <x:c r="AJ138" s="81" t="n">
        <x:f>IF('Inputs'!$B$44&gt;0,AG138/('Inputs'!$B$19*'Inputs'!$B$44)*365,0)</x:f>
        <x:v>2.1340547649545684e-8</x:v>
      </x:c>
      <x:c r="AK138" s="81" t="n">
        <x:f>W138/MAX($W$4:W138)-1</x:f>
        <x:v>-0.9999999987142405</x:v>
      </x:c>
      <x:c r="AL138" s="83" t="n">
        <x:f>'Inputs'!$B$44</x:f>
        <x:v>1</x:v>
      </x:c>
      <x:c r="AM138" s="83" t="n">
        <x:f>'Inputs'!$C$44</x:f>
        <x:v>0.25</x:v>
      </x:c>
      <x:c r="AN138" s="83" t="n">
        <x:f>'Inputs'!$D$44</x:f>
        <x:v>0.2</x:v>
      </x:c>
      <x:c r="AO138" s="81" t="n">
        <x:f>'Inputs'!$E$44</x:f>
        <x:v>-0.2</x:v>
      </x:c>
    </x:row>
    <x:row r="139">
      <x:c r="A139" s="59" t="str">
        <x:v>No demand</x:v>
      </x:c>
      <x:c r="B139" s="59" t="n">
        <x:v>136</x:v>
      </x:c>
      <x:c r="C139" s="78" t="n">
        <x:f>(('Inputs'!$B$29*(3*136*'Inputs'!$B$12-136^2)/(2*'Inputs'!$B$12^2))-('Inputs'!$B$29*(3*135*'Inputs'!$B$12-135^2)/(2*'Inputs'!$B$12^2)))*'Inputs'!$B$44</x:f>
        <x:v>667934.1808969676</x:v>
      </x:c>
      <x:c r="D139" s="78" t="n">
        <x:f>IF('Inputs'!$C$44&gt;0,('Inputs'!$B$30*(3*136*'Inputs'!$B$12-136^2)/(2*'Inputs'!$B$12^2))-('Inputs'!$B$30*(3*135*'Inputs'!$B$12-135^2)/(2*'Inputs'!$B$12^2)),0)</x:f>
        <x:v>286257.50609871</x:v>
      </x:c>
      <x:c r="E139" s="78" t="n">
        <x:f>C139+D139</x:f>
        <x:v>954191.6869956776</x:v>
      </x:c>
      <x:c r="F139" s="78" t="n">
        <x:f>'Inputs'!$B$13*E139+(1-'Inputs'!$B$13)/'Inputs'!$B$14*SUM(E84:E139)</x:f>
        <x:v>964409.3638581334</x:v>
      </x:c>
      <x:c r="G139" s="78" t="n">
        <x:f>F139*'Inputs'!$F$44</x:f>
        <x:v>867968.4274723202</x:v>
      </x:c>
      <x:c r="H139" s="78" t="n">
        <x:f>U138</x:f>
        <x:v>116371759096.48085</x:v>
      </x:c>
      <x:c r="I139" s="78" t="n">
        <x:f>V138</x:f>
        <x:v>0.101815826465999</x:v>
      </x:c>
      <x:c r="J139" s="79" t="n">
        <x:f>IF(H139&gt;0,I139/H139,0)</x:f>
        <x:v>8.749186852248758e-13</x:v>
      </x:c>
      <x:c r="K139" s="80" t="n">
        <x:f>(H139*J139+I139)*'Inputs'!$D$44*(1+'Inputs'!$G$44)^(B139/30)</x:f>
        <x:v>0.0407263305863996</x:v>
      </x:c>
      <x:c r="L139" s="80" t="n">
        <x:f>MAX(0,K139*'Inputs'!$E$44)</x:f>
        <x:v>0</x:v>
      </x:c>
      <x:c r="M139" s="80" t="n">
        <x:f>MAX(0,-K139*'Inputs'!$E$44)</x:f>
        <x:v>0.00814526611727992</x:v>
      </x:c>
      <x:c r="N139" s="78" t="n">
        <x:f>H139*(L139*(1-'Inputs'!$B$15))/(I139+L139*(1-'Inputs'!$B$15))</x:f>
        <x:v>0</x:v>
      </x:c>
      <x:c r="O139" s="78" t="n">
        <x:f>H139-N139</x:f>
        <x:v>116371759096.48085</x:v>
      </x:c>
      <x:c r="P139" s="78" t="n">
        <x:f>I139+L139*(1-'Inputs'!$B$17)</x:f>
        <x:v>0.101815826465999</x:v>
      </x:c>
      <x:c r="Q139" s="78" t="n">
        <x:f>IF(J139&gt;0,M139/J139,0)</x:f>
        <x:v>0</x:v>
      </x:c>
      <x:c r="R139" s="78" t="n">
        <x:f>IF(B139='Inputs'!$H$44,'Inputs'!$B$27*'Inputs'!$I$44,0)</x:f>
        <x:v>0</x:v>
      </x:c>
      <x:c r="S139" s="78" t="n">
        <x:f>Q139+G139+R139</x:f>
        <x:v>867968.4274723202</x:v>
      </x:c>
      <x:c r="T139" s="78" t="n">
        <x:f>P139*(S139*(1-'Inputs'!$B$15))/(O139+S139*(1-'Inputs'!$B$15))</x:f>
        <x:v>7.518022261214456e-7</x:v>
      </x:c>
      <x:c r="U139" s="78" t="n">
        <x:f>O139+S139*(1-'Inputs'!$B$17)</x:f>
        <x:v>116372623572.07762</x:v>
      </x:c>
      <x:c r="V139" s="78" t="n">
        <x:f>P139-T139</x:f>
        <x:v>0.10181507466377288</x:v>
      </x:c>
      <x:c r="W139" s="79" t="n">
        <x:f>IF(U139&gt;0,V139/U139,0)</x:f>
        <x:v>8.749057255782478e-13</x:v>
      </x:c>
      <x:c r="X139" s="80" t="n">
        <x:f>W139*('Inputs'!$B$6-AC139)</x:f>
        <x:v>-0.0003584632999554636</x:v>
      </x:c>
      <x:c r="Y139" s="80" t="n">
        <x:f>2*V139</x:f>
        <x:v>0.20363014932754575</x:v>
      </x:c>
      <x:c r="Z139" s="80" t="n">
        <x:f>K139*'Inputs'!$B$16+(G139+R139)*J139*'Inputs'!$B$16</x:f>
        <x:v>0.00024436253992916987</x:v>
      </x:c>
      <x:c r="AA139" s="80" t="n">
        <x:f>K139*(1+'Inputs'!$E$44)/2*'Inputs'!$B$17</x:f>
        <x:v>0.0000655554617084903</x:v>
      </x:c>
      <x:c r="AB139" s="78" t="n">
        <x:f>(IF(J139&gt;0,K139*(1-'Inputs'!$E$44)/2/J139,0)+G139+R139)*'Inputs'!$B$17</x:f>
        <x:v>3492.8306940536027</x:v>
      </x:c>
      <x:c r="AC139" s="78" t="n">
        <x:f>AC138+AB139</x:f>
        <x:v>1409716486.5603616</x:v>
      </x:c>
      <x:c r="AD139" s="80" t="n">
        <x:f>Z139/(1+'Inputs'!$C$44)</x:f>
        <x:v>0.0001954900319433359</x:v>
      </x:c>
      <x:c r="AE139" s="80" t="n">
        <x:f>Z139-AD139</x:f>
        <x:v>0.00004887250798583397</x:v>
      </x:c>
      <x:c r="AF139" s="80" t="n">
        <x:f>D139*W139</x:f>
        <x:v>2.5044833107551156e-7</x:v>
      </x:c>
      <x:c r="AG139" s="80" t="n">
        <x:f>C139*W139</x:f>
        <x:v>5.843794391761741e-7</x:v>
      </x:c>
      <x:c r="AH139" s="80" t="n">
        <x:f>2*'Inputs'!$B$8*'Inputs'!$C$44</x:f>
        <x:v>1250</x:v>
      </x:c>
      <x:c r="AI139" s="81" t="n">
        <x:f>IF(AH139&gt;0,(AE139+AF139)/AH139*365,0)</x:f>
        <x:v>0.000014343903244537568</x:v>
      </x:c>
      <x:c r="AJ139" s="81" t="n">
        <x:f>IF('Inputs'!$B$44&gt;0,AG139/('Inputs'!$B$19*'Inputs'!$B$44)*365,0)</x:f>
        <x:v>2.1329849529930356e-8</x:v>
      </x:c>
      <x:c r="AK139" s="81" t="n">
        <x:f>W139/MAX($W$4:W139)-1</x:f>
        <x:v>-0.9999999987142596</x:v>
      </x:c>
      <x:c r="AL139" s="83" t="n">
        <x:f>'Inputs'!$B$44</x:f>
        <x:v>1</x:v>
      </x:c>
      <x:c r="AM139" s="83" t="n">
        <x:f>'Inputs'!$C$44</x:f>
        <x:v>0.25</x:v>
      </x:c>
      <x:c r="AN139" s="83" t="n">
        <x:f>'Inputs'!$D$44</x:f>
        <x:v>0.2</x:v>
      </x:c>
      <x:c r="AO139" s="81" t="n">
        <x:f>'Inputs'!$E$44</x:f>
        <x:v>-0.2</x:v>
      </x:c>
    </x:row>
    <x:row r="140">
      <x:c r="A140" s="59" t="str">
        <x:v>No demand</x:v>
      </x:c>
      <x:c r="B140" s="59" t="n">
        <x:v>137</x:v>
      </x:c>
      <x:c r="C140" s="78" t="n">
        <x:f>(('Inputs'!$B$29*(3*137*'Inputs'!$B$12-137^2)/(2*'Inputs'!$B$12^2))-('Inputs'!$B$29*(3*136*'Inputs'!$B$12-136^2)/(2*'Inputs'!$B$12^2)))*'Inputs'!$B$44</x:f>
        <x:v>667609.0729968101</x:v>
      </x:c>
      <x:c r="D140" s="78" t="n">
        <x:f>IF('Inputs'!$C$44&gt;0,('Inputs'!$B$30*(3*137*'Inputs'!$B$12-137^2)/(2*'Inputs'!$B$12^2))-('Inputs'!$B$30*(3*136*'Inputs'!$B$12-136^2)/(2*'Inputs'!$B$12^2)),0)</x:f>
        <x:v>286118.17414148897</x:v>
      </x:c>
      <x:c r="E140" s="78" t="n">
        <x:f>C140+D140</x:f>
        <x:v>953727.247138299</x:v>
      </x:c>
      <x:c r="F140" s="78" t="n">
        <x:f>'Inputs'!$B$13*E140+(1-'Inputs'!$B$13)/'Inputs'!$B$14*SUM(E85:E140)</x:f>
        <x:v>963944.9240007505</x:v>
      </x:c>
      <x:c r="G140" s="78" t="n">
        <x:f>F140*'Inputs'!$F$44</x:f>
        <x:v>867550.4316006755</x:v>
      </x:c>
      <x:c r="H140" s="78" t="n">
        <x:f>U139</x:f>
        <x:v>116372623572.07762</x:v>
      </x:c>
      <x:c r="I140" s="78" t="n">
        <x:f>V139</x:f>
        <x:v>0.10181507466377288</x:v>
      </x:c>
      <x:c r="J140" s="79" t="n">
        <x:f>IF(H140&gt;0,I140/H140,0)</x:f>
        <x:v>8.749057255782478e-13</x:v>
      </x:c>
      <x:c r="K140" s="80" t="n">
        <x:f>(H140*J140+I140)*'Inputs'!$D$44*(1+'Inputs'!$G$44)^(B140/30)</x:f>
        <x:v>0.040726029865509154</x:v>
      </x:c>
      <x:c r="L140" s="80" t="n">
        <x:f>MAX(0,K140*'Inputs'!$E$44)</x:f>
        <x:v>0</x:v>
      </x:c>
      <x:c r="M140" s="80" t="n">
        <x:f>MAX(0,-K140*'Inputs'!$E$44)</x:f>
        <x:v>0.00814520597310183</x:v>
      </x:c>
      <x:c r="N140" s="78" t="n">
        <x:f>H140*(L140*(1-'Inputs'!$B$15))/(I140+L140*(1-'Inputs'!$B$15))</x:f>
        <x:v>0</x:v>
      </x:c>
      <x:c r="O140" s="78" t="n">
        <x:f>H140-N140</x:f>
        <x:v>116372623572.07762</x:v>
      </x:c>
      <x:c r="P140" s="78" t="n">
        <x:f>I140+L140*(1-'Inputs'!$B$17)</x:f>
        <x:v>0.10181507466377288</x:v>
      </x:c>
      <x:c r="Q140" s="78" t="n">
        <x:f>IF(J140&gt;0,M140/J140,0)</x:f>
        <x:v>0</x:v>
      </x:c>
      <x:c r="R140" s="78" t="n">
        <x:f>IF(B140='Inputs'!$H$44,'Inputs'!$B$27*'Inputs'!$I$44,0)</x:f>
        <x:v>0</x:v>
      </x:c>
      <x:c r="S140" s="78" t="n">
        <x:f>Q140+G140+R140</x:f>
        <x:v>867550.4316006755</x:v>
      </x:c>
      <x:c r="T140" s="78" t="n">
        <x:f>P140*(S140*(1-'Inputs'!$B$15))/(O140+S140*(1-'Inputs'!$B$15))</x:f>
        <x:v>7.51429045600256e-7</x:v>
      </x:c>
      <x:c r="U140" s="78" t="n">
        <x:f>O140+S140*(1-'Inputs'!$B$17)</x:f>
        <x:v>116373487631.36061</x:v>
      </x:c>
      <x:c r="V140" s="78" t="n">
        <x:f>P140-T140</x:f>
        <x:v>0.10181432323472728</x:v>
      </x:c>
      <x:c r="W140" s="79" t="n">
        <x:f>IF(U140&gt;0,V140/U140,0)</x:f>
        <x:v>8.748927724607448e-13</x:v>
      </x:c>
      <x:c r="X140" s="80" t="n">
        <x:f>W140*('Inputs'!$B$6-AC140)</x:f>
        <x:v>-0.0003584610472303639</x:v>
      </x:c>
      <x:c r="Y140" s="80" t="n">
        <x:f>2*V140</x:f>
        <x:v>0.20362864646945456</x:v>
      </x:c>
      <x:c r="Z140" s="80" t="n">
        <x:f>K140*'Inputs'!$B$16+(G140+R140)*J140*'Inputs'!$B$16</x:f>
        <x:v>0.0002443607333420939</x:v>
      </x:c>
      <x:c r="AA140" s="80" t="n">
        <x:f>K140*(1+'Inputs'!$E$44)/2*'Inputs'!$B$17</x:f>
        <x:v>0.00006555497765071897</x:v>
      </x:c>
      <x:c r="AB140" s="78" t="n">
        <x:f>(IF(J140&gt;0,K140*(1-'Inputs'!$E$44)/2/J140,0)+G140+R140)*'Inputs'!$B$17</x:f>
        <x:v>3491.1486181113705</x:v>
      </x:c>
      <x:c r="AC140" s="78" t="n">
        <x:f>AC139+AB140</x:f>
        <x:v>1409719977.7089798</x:v>
      </x:c>
      <x:c r="AD140" s="80" t="n">
        <x:f>Z140/(1+'Inputs'!$C$44)</x:f>
        <x:v>0.00019548858667367514</x:v>
      </x:c>
      <x:c r="AE140" s="80" t="n">
        <x:f>Z140-AD140</x:f>
        <x:v>0.00004887214666841877</x:v>
      </x:c>
      <x:c r="AF140" s="80" t="n">
        <x:f>D140*W140</x:f>
        <x:v>2.5032272262605344e-7</x:v>
      </x:c>
      <x:c r="AG140" s="80" t="n">
        <x:f>C140*W140</x:f>
        <x:v>5.840863527941269e-7</x:v>
      </x:c>
      <x:c r="AH140" s="80" t="n">
        <x:f>2*'Inputs'!$B$8*'Inputs'!$C$44</x:f>
        <x:v>1250</x:v>
      </x:c>
      <x:c r="AI140" s="81" t="n">
        <x:f>IF(AH140&gt;0,(AE140+AF140)/AH140*365,0)</x:f>
        <x:v>0.00001434376106218509</x:v>
      </x:c>
      <x:c r="AJ140" s="81" t="n">
        <x:f>IF('Inputs'!$B$44&gt;0,AG140/('Inputs'!$B$19*'Inputs'!$B$44)*365,0)</x:f>
        <x:v>2.1319151876985633e-8</x:v>
      </x:c>
      <x:c r="AK140" s="81" t="n">
        <x:f>W140/MAX($W$4:W140)-1</x:f>
        <x:v>-0.9999999987142786</x:v>
      </x:c>
      <x:c r="AL140" s="83" t="n">
        <x:f>'Inputs'!$B$44</x:f>
        <x:v>1</x:v>
      </x:c>
      <x:c r="AM140" s="83" t="n">
        <x:f>'Inputs'!$C$44</x:f>
        <x:v>0.25</x:v>
      </x:c>
      <x:c r="AN140" s="83" t="n">
        <x:f>'Inputs'!$D$44</x:f>
        <x:v>0.2</x:v>
      </x:c>
      <x:c r="AO140" s="81" t="n">
        <x:f>'Inputs'!$E$44</x:f>
        <x:v>-0.2</x:v>
      </x:c>
    </x:row>
    <x:row r="141">
      <x:c r="A141" s="59" t="str">
        <x:v>No demand</x:v>
      </x:c>
      <x:c r="B141" s="59" t="n">
        <x:v>138</x:v>
      </x:c>
      <x:c r="C141" s="78" t="n">
        <x:f>(('Inputs'!$B$29*(3*138*'Inputs'!$B$12-138^2)/(2*'Inputs'!$B$12^2))-('Inputs'!$B$29*(3*137*'Inputs'!$B$12-137^2)/(2*'Inputs'!$B$12^2)))*'Inputs'!$B$44</x:f>
        <x:v>667283.9650966525</x:v>
      </x:c>
      <x:c r="D141" s="78" t="n">
        <x:f>IF('Inputs'!$C$44&gt;0,('Inputs'!$B$30*(3*138*'Inputs'!$B$12-138^2)/(2*'Inputs'!$B$12^2))-('Inputs'!$B$30*(3*137*'Inputs'!$B$12-137^2)/(2*'Inputs'!$B$12^2)),0)</x:f>
        <x:v>285978.8421842754</x:v>
      </x:c>
      <x:c r="E141" s="78" t="n">
        <x:f>C141+D141</x:f>
        <x:v>953262.8072809279</x:v>
      </x:c>
      <x:c r="F141" s="78" t="n">
        <x:f>'Inputs'!$B$13*E141+(1-'Inputs'!$B$13)/'Inputs'!$B$14*SUM(E86:E141)</x:f>
        <x:v>963480.4841433691</x:v>
      </x:c>
      <x:c r="G141" s="78" t="n">
        <x:f>F141*'Inputs'!$F$44</x:f>
        <x:v>867132.4357290323</x:v>
      </x:c>
      <x:c r="H141" s="78" t="n">
        <x:f>U140</x:f>
        <x:v>116373487631.36061</x:v>
      </x:c>
      <x:c r="I141" s="78" t="n">
        <x:f>V140</x:f>
        <x:v>0.10181432323472728</x:v>
      </x:c>
      <x:c r="J141" s="79" t="n">
        <x:f>IF(H141&gt;0,I141/H141,0)</x:f>
        <x:v>8.748927724607448e-13</x:v>
      </x:c>
      <x:c r="K141" s="80" t="n">
        <x:f>(H141*J141+I141)*'Inputs'!$D$44*(1+'Inputs'!$G$44)^(B141/30)</x:f>
        <x:v>0.040725729293890914</x:v>
      </x:c>
      <x:c r="L141" s="80" t="n">
        <x:f>MAX(0,K141*'Inputs'!$E$44)</x:f>
        <x:v>0</x:v>
      </x:c>
      <x:c r="M141" s="80" t="n">
        <x:f>MAX(0,-K141*'Inputs'!$E$44)</x:f>
        <x:v>0.008145145858778183</x:v>
      </x:c>
      <x:c r="N141" s="78" t="n">
        <x:f>H141*(L141*(1-'Inputs'!$B$15))/(I141+L141*(1-'Inputs'!$B$15))</x:f>
        <x:v>0</x:v>
      </x:c>
      <x:c r="O141" s="78" t="n">
        <x:f>H141-N141</x:f>
        <x:v>116373487631.36061</x:v>
      </x:c>
      <x:c r="P141" s="78" t="n">
        <x:f>I141+L141*(1-'Inputs'!$B$17)</x:f>
        <x:v>0.10181432323472728</x:v>
      </x:c>
      <x:c r="Q141" s="78" t="n">
        <x:f>IF(J141&gt;0,M141/J141,0)</x:f>
        <x:v>0</x:v>
      </x:c>
      <x:c r="R141" s="78" t="n">
        <x:f>IF(B141='Inputs'!$H$44,'Inputs'!$B$27*'Inputs'!$I$44,0)</x:f>
        <x:v>0</x:v>
      </x:c>
      <x:c r="S141" s="78" t="n">
        <x:f>Q141+G141+R141</x:f>
        <x:v>867132.4357290323</x:v>
      </x:c>
      <x:c r="T141" s="78" t="n">
        <x:f>P141*(S141*(1-'Inputs'!$B$15))/(O141+S141*(1-'Inputs'!$B$15))</x:f>
        <x:v>7.510558814070081e-7</x:v>
      </x:c>
      <x:c r="U141" s="78" t="n">
        <x:f>O141+S141*(1-'Inputs'!$B$17)</x:f>
        <x:v>116374351274.3298</x:v>
      </x:c>
      <x:c r="V141" s="78" t="n">
        <x:f>P141-T141</x:f>
        <x:v>0.10181357217884587</x:v>
      </x:c>
      <x:c r="W141" s="79" t="n">
        <x:f>IF(U141&gt;0,V141/U141,0)</x:f>
        <x:v>8.748798258719421e-13</x:v>
      </x:c>
      <x:c r="X141" s="80" t="n">
        <x:f>W141*('Inputs'!$B$6-AC141)</x:f>
        <x:v>-0.00035845879561816914</x:v>
      </x:c>
      <x:c r="Y141" s="80" t="n">
        <x:f>2*V141</x:f>
        <x:v>0.20362714435769175</x:v>
      </x:c>
      <x:c r="Z141" s="80" t="n">
        <x:f>K141*'Inputs'!$B$16+(G141+R141)*J141*'Inputs'!$B$16</x:f>
        <x:v>0.0002443589276507502</x:v>
      </x:c>
      <x:c r="AA141" s="80" t="n">
        <x:f>K141*(1+'Inputs'!$E$44)/2*'Inputs'!$B$17</x:f>
        <x:v>0.00006555449383322482</x:v>
      </x:c>
      <x:c r="AB141" s="78" t="n">
        <x:f>(IF(J141&gt;0,K141*(1-'Inputs'!$E$44)/2/J141,0)+G141+R141)*'Inputs'!$B$17</x:f>
        <x:v>3489.4665421691443</x:v>
      </x:c>
      <x:c r="AC141" s="78" t="n">
        <x:f>AC140+AB141</x:f>
        <x:v>1409723467.175522</x:v>
      </x:c>
      <x:c r="AD141" s="80" t="n">
        <x:f>Z141/(1+'Inputs'!$C$44)</x:f>
        <x:v>0.00019548714212060014</x:v>
      </x:c>
      <x:c r="AE141" s="80" t="n">
        <x:f>Z141-AD141</x:f>
        <x:v>0.00004887178553015004</x:v>
      </x:c>
      <x:c r="AF141" s="80" t="n">
        <x:f>D141*W141</x:f>
        <x:v>2.5019711965323846e-7</x:v>
      </x:c>
      <x:c r="AG141" s="80" t="n">
        <x:f>C141*W141</x:f>
        <x:v>5.837932791908985e-7</x:v>
      </x:c>
      <x:c r="AH141" s="80" t="n">
        <x:f>2*'Inputs'!$B$8*'Inputs'!$C$44</x:f>
        <x:v>1250</x:v>
      </x:c>
      <x:c r="AI141" s="81" t="n">
        <x:f>IF(AH141&gt;0,(AE141+AF141)/AH141*365,0)</x:f>
        <x:v>0.000014343618933742558</x:v>
      </x:c>
      <x:c r="AJ141" s="81" t="n">
        <x:f>IF('Inputs'!$B$44&gt;0,AG141/('Inputs'!$B$19*'Inputs'!$B$44)*365,0)</x:f>
        <x:v>2.130845469046779e-8</x:v>
      </x:c>
      <x:c r="AK141" s="81" t="n">
        <x:f>W141/MAX($W$4:W141)-1</x:f>
        <x:v>-0.9999999987142977</x:v>
      </x:c>
      <x:c r="AL141" s="83" t="n">
        <x:f>'Inputs'!$B$44</x:f>
        <x:v>1</x:v>
      </x:c>
      <x:c r="AM141" s="83" t="n">
        <x:f>'Inputs'!$C$44</x:f>
        <x:v>0.25</x:v>
      </x:c>
      <x:c r="AN141" s="83" t="n">
        <x:f>'Inputs'!$D$44</x:f>
        <x:v>0.2</x:v>
      </x:c>
      <x:c r="AO141" s="81" t="n">
        <x:f>'Inputs'!$E$44</x:f>
        <x:v>-0.2</x:v>
      </x:c>
    </x:row>
    <x:row r="142">
      <x:c r="A142" s="59" t="str">
        <x:v>No demand</x:v>
      </x:c>
      <x:c r="B142" s="59" t="n">
        <x:v>139</x:v>
      </x:c>
      <x:c r="C142" s="78" t="n">
        <x:f>(('Inputs'!$B$29*(3*139*'Inputs'!$B$12-139^2)/(2*'Inputs'!$B$12^2))-('Inputs'!$B$29*(3*138*'Inputs'!$B$12-138^2)/(2*'Inputs'!$B$12^2)))*'Inputs'!$B$44</x:f>
        <x:v>666958.8571964651</x:v>
      </x:c>
      <x:c r="D142" s="78" t="n">
        <x:f>IF('Inputs'!$C$44&gt;0,('Inputs'!$B$30*(3*139*'Inputs'!$B$12-139^2)/(2*'Inputs'!$B$12^2))-('Inputs'!$B$30*(3*138*'Inputs'!$B$12-138^2)/(2*'Inputs'!$B$12^2)),0)</x:f>
        <x:v>285839.51022705436</x:v>
      </x:c>
      <x:c r="E142" s="78" t="n">
        <x:f>C142+D142</x:f>
        <x:v>952798.3674235195</x:v>
      </x:c>
      <x:c r="F142" s="78" t="n">
        <x:f>'Inputs'!$B$13*E142+(1-'Inputs'!$B$13)/'Inputs'!$B$14*SUM(E87:E142)</x:f>
        <x:v>963016.04428598</x:v>
      </x:c>
      <x:c r="G142" s="78" t="n">
        <x:f>F142*'Inputs'!$F$44</x:f>
        <x:v>866714.4398573821</x:v>
      </x:c>
      <x:c r="H142" s="78" t="n">
        <x:f>U141</x:f>
        <x:v>116374351274.3298</x:v>
      </x:c>
      <x:c r="I142" s="78" t="n">
        <x:f>V141</x:f>
        <x:v>0.10181357217884587</x:v>
      </x:c>
      <x:c r="J142" s="79" t="n">
        <x:f>IF(H142&gt;0,I142/H142,0)</x:f>
        <x:v>8.748798258719421e-13</x:v>
      </x:c>
      <x:c r="K142" s="80" t="n">
        <x:f>(H142*J142+I142)*'Inputs'!$D$44*(1+'Inputs'!$G$44)^(B142/30)</x:f>
        <x:v>0.04072542887153835</x:v>
      </x:c>
      <x:c r="L142" s="80" t="n">
        <x:f>MAX(0,K142*'Inputs'!$E$44)</x:f>
        <x:v>0</x:v>
      </x:c>
      <x:c r="M142" s="80" t="n">
        <x:f>MAX(0,-K142*'Inputs'!$E$44)</x:f>
        <x:v>0.00814508577430767</x:v>
      </x:c>
      <x:c r="N142" s="78" t="n">
        <x:f>H142*(L142*(1-'Inputs'!$B$15))/(I142+L142*(1-'Inputs'!$B$15))</x:f>
        <x:v>0</x:v>
      </x:c>
      <x:c r="O142" s="78" t="n">
        <x:f>H142-N142</x:f>
        <x:v>116374351274.3298</x:v>
      </x:c>
      <x:c r="P142" s="78" t="n">
        <x:f>I142+L142*(1-'Inputs'!$B$17)</x:f>
        <x:v>0.10181357217884587</x:v>
      </x:c>
      <x:c r="Q142" s="78" t="n">
        <x:f>IF(J142&gt;0,M142/J142,0)</x:f>
        <x:v>0</x:v>
      </x:c>
      <x:c r="R142" s="78" t="n">
        <x:f>IF(B142='Inputs'!$H$44,'Inputs'!$B$27*'Inputs'!$I$44,0)</x:f>
        <x:v>0</x:v>
      </x:c>
      <x:c r="S142" s="78" t="n">
        <x:f>Q142+G142+R142</x:f>
        <x:v>866714.4398573821</x:v>
      </x:c>
      <x:c r="T142" s="78" t="n">
        <x:f>P142*(S142*(1-'Inputs'!$B$15))/(O142+S142*(1-'Inputs'!$B$15))</x:f>
        <x:v>7.506827335332247e-7</x:v>
      </x:c>
      <x:c r="U142" s="78" t="n">
        <x:f>O142+S142*(1-'Inputs'!$B$17)</x:f>
        <x:v>116375214500.9852</x:v>
      </x:c>
      <x:c r="V142" s="78" t="n">
        <x:f>P142-T142</x:f>
        <x:v>0.10181282149611234</x:v>
      </x:c>
      <x:c r="W142" s="79" t="n">
        <x:f>IF(U142&gt;0,V142/U142,0)</x:f>
        <x:v>8.74866885811415e-13</x:v>
      </x:c>
      <x:c r="X142" s="80" t="n">
        <x:f>W142*('Inputs'!$B$6-AC142)</x:f>
        <x:v>-0.0003584565451188389</x:v>
      </x:c>
      <x:c r="Y142" s="80" t="n">
        <x:f>2*V142</x:f>
        <x:v>0.2036256429922247</x:v>
      </x:c>
      <x:c r="Z142" s="80" t="n">
        <x:f>K142*'Inputs'!$B$16+(G142+R142)*J142*'Inputs'!$B$16</x:f>
        <x:v>0.00024435712285509947</x:v>
      </x:c>
      <x:c r="AA142" s="80" t="n">
        <x:f>K142*(1+'Inputs'!$E$44)/2*'Inputs'!$B$17</x:f>
        <x:v>0.00006555401025599735</x:v>
      </x:c>
      <x:c r="AB142" s="78" t="n">
        <x:f>(IF(J142&gt;0,K142*(1-'Inputs'!$E$44)/2/J142,0)+G142+R142)*'Inputs'!$B$17</x:f>
        <x:v>3487.78446622689</x:v>
      </x:c>
      <x:c r="AC142" s="78" t="n">
        <x:f>AC141+AB142</x:f>
        <x:v>1409726954.9599884</x:v>
      </x:c>
      <x:c r="AD142" s="80" t="n">
        <x:f>Z142/(1+'Inputs'!$C$44)</x:f>
        <x:v>0.00019548569828407958</x:v>
      </x:c>
      <x:c r="AE142" s="80" t="n">
        <x:f>Z142-AD142</x:f>
        <x:v>0.00004887142457101989</x:v>
      </x:c>
      <x:c r="AF142" s="80" t="n">
        <x:f>D142*W142</x:f>
        <x:v>2.5007152215420317e-7</x:v>
      </x:c>
      <x:c r="AG142" s="80" t="n">
        <x:f>C142*W142</x:f>
        <x:v>5.835002183598117e-7</x:v>
      </x:c>
      <x:c r="AH142" s="80" t="n">
        <x:f>2*'Inputs'!$B$8*'Inputs'!$C$44</x:f>
        <x:v>1250</x:v>
      </x:c>
      <x:c r="AI142" s="81" t="n">
        <x:f>IF(AH142&gt;0,(AE142+AF142)/AH142*365,0)</x:f>
        <x:v>0.000014343476859206837</x:v>
      </x:c>
      <x:c r="AJ142" s="81" t="n">
        <x:f>IF('Inputs'!$B$44&gt;0,AG142/('Inputs'!$B$19*'Inputs'!$B$44)*365,0)</x:f>
        <x:v>2.1297757970133127e-8</x:v>
      </x:c>
      <x:c r="AK142" s="81" t="n">
        <x:f>W142/MAX($W$4:W142)-1</x:f>
        <x:v>-0.9999999987143167</x:v>
      </x:c>
      <x:c r="AL142" s="83" t="n">
        <x:f>'Inputs'!$B$44</x:f>
        <x:v>1</x:v>
      </x:c>
      <x:c r="AM142" s="83" t="n">
        <x:f>'Inputs'!$C$44</x:f>
        <x:v>0.25</x:v>
      </x:c>
      <x:c r="AN142" s="83" t="n">
        <x:f>'Inputs'!$D$44</x:f>
        <x:v>0.2</x:v>
      </x:c>
      <x:c r="AO142" s="81" t="n">
        <x:f>'Inputs'!$E$44</x:f>
        <x:v>-0.2</x:v>
      </x:c>
    </x:row>
    <x:row r="143">
      <x:c r="A143" s="59" t="str">
        <x:v>No demand</x:v>
      </x:c>
      <x:c r="B143" s="59" t="n">
        <x:v>140</x:v>
      </x:c>
      <x:c r="C143" s="78" t="n">
        <x:f>(('Inputs'!$B$29*(3*140*'Inputs'!$B$12-140^2)/(2*'Inputs'!$B$12^2))-('Inputs'!$B$29*(3*139*'Inputs'!$B$12-139^2)/(2*'Inputs'!$B$12^2)))*'Inputs'!$B$44</x:f>
        <x:v>666633.7492963076</x:v>
      </x:c>
      <x:c r="D143" s="78" t="n">
        <x:f>IF('Inputs'!$C$44&gt;0,('Inputs'!$B$30*(3*140*'Inputs'!$B$12-140^2)/(2*'Inputs'!$B$12^2))-('Inputs'!$B$30*(3*139*'Inputs'!$B$12-139^2)/(2*'Inputs'!$B$12^2)),0)</x:f>
        <x:v>285700.1782698482</x:v>
      </x:c>
      <x:c r="E143" s="78" t="n">
        <x:f>C143+D143</x:f>
        <x:v>952333.9275661558</x:v>
      </x:c>
      <x:c r="F143" s="78" t="n">
        <x:f>'Inputs'!$B$13*E143+(1-'Inputs'!$B$13)/'Inputs'!$B$14*SUM(E88:E143)</x:f>
        <x:v>962551.6044286</x:v>
      </x:c>
      <x:c r="G143" s="78" t="n">
        <x:f>F143*'Inputs'!$F$44</x:f>
        <x:v>866296.4439857401</x:v>
      </x:c>
      <x:c r="H143" s="78" t="n">
        <x:f>U142</x:f>
        <x:v>116375214500.9852</x:v>
      </x:c>
      <x:c r="I143" s="78" t="n">
        <x:f>V142</x:f>
        <x:v>0.10181282149611234</x:v>
      </x:c>
      <x:c r="J143" s="79" t="n">
        <x:f>IF(H143&gt;0,I143/H143,0)</x:f>
        <x:v>8.74866885811415e-13</x:v>
      </x:c>
      <x:c r="K143" s="80" t="n">
        <x:f>(H143*J143+I143)*'Inputs'!$D$44*(1+'Inputs'!$G$44)^(B143/30)</x:f>
        <x:v>0.04072512859844494</x:v>
      </x:c>
      <x:c r="L143" s="80" t="n">
        <x:f>MAX(0,K143*'Inputs'!$E$44)</x:f>
        <x:v>0</x:v>
      </x:c>
      <x:c r="M143" s="80" t="n">
        <x:f>MAX(0,-K143*'Inputs'!$E$44)</x:f>
        <x:v>0.008145025719688987</x:v>
      </x:c>
      <x:c r="N143" s="78" t="n">
        <x:f>H143*(L143*(1-'Inputs'!$B$15))/(I143+L143*(1-'Inputs'!$B$15))</x:f>
        <x:v>0</x:v>
      </x:c>
      <x:c r="O143" s="78" t="n">
        <x:f>H143-N143</x:f>
        <x:v>116375214500.9852</x:v>
      </x:c>
      <x:c r="P143" s="78" t="n">
        <x:f>I143+L143*(1-'Inputs'!$B$17)</x:f>
        <x:v>0.10181282149611234</x:v>
      </x:c>
      <x:c r="Q143" s="78" t="n">
        <x:f>IF(J143&gt;0,M143/J143,0)</x:f>
        <x:v>0</x:v>
      </x:c>
      <x:c r="R143" s="78" t="n">
        <x:f>IF(B143='Inputs'!$H$44,'Inputs'!$B$27*'Inputs'!$I$44,0)</x:f>
        <x:v>0</x:v>
      </x:c>
      <x:c r="S143" s="78" t="n">
        <x:f>Q143+G143+R143</x:f>
        <x:v>866296.4439857401</x:v>
      </x:c>
      <x:c r="T143" s="78" t="n">
        <x:f>P143*(S143*(1-'Inputs'!$B$15))/(O143+S143*(1-'Inputs'!$B$15))</x:f>
        <x:v>7.503096019704503e-7</x:v>
      </x:c>
      <x:c r="U143" s="78" t="n">
        <x:f>O143+S143*(1-'Inputs'!$B$17)</x:f>
        <x:v>116376077311.3268</x:v>
      </x:c>
      <x:c r="V143" s="78" t="n">
        <x:f>P143-T143</x:f>
        <x:v>0.10181207118651037</x:v>
      </x:c>
      <x:c r="W143" s="79" t="n">
        <x:f>IF(U143&gt;0,V143/U143,0)</x:f>
        <x:v>8.748539522787393e-13</x:v>
      </x:c>
      <x:c r="X143" s="80" t="n">
        <x:f>W143*('Inputs'!$B$6-AC143)</x:f>
        <x:v>-0.000358454295732333</x:v>
      </x:c>
      <x:c r="Y143" s="80" t="n">
        <x:f>2*V143</x:f>
        <x:v>0.20362414237302073</x:v>
      </x:c>
      <x:c r="Z143" s="80" t="n">
        <x:f>K143*'Inputs'!$B$16+(G143+R143)*J143*'Inputs'!$B$16</x:f>
        <x:v>0.00024435531895510243</x:v>
      </x:c>
      <x:c r="AA143" s="80" t="n">
        <x:f>K143*(1+'Inputs'!$E$44)/2*'Inputs'!$B$17</x:f>
        <x:v>0.00006555352691902606</x:v>
      </x:c>
      <x:c r="AB143" s="78" t="n">
        <x:f>(IF(J143&gt;0,K143*(1-'Inputs'!$E$44)/2/J143,0)+G143+R143)*'Inputs'!$B$17</x:f>
        <x:v>3486.1023902846687</x:v>
      </x:c>
      <x:c r="AC143" s="78" t="n">
        <x:f>AC142+AB143</x:f>
        <x:v>1409730441.0623786</x:v>
      </x:c>
      <x:c r="AD143" s="80" t="n">
        <x:f>Z143/(1+'Inputs'!$C$44)</x:f>
        <x:v>0.00019548425516408195</x:v>
      </x:c>
      <x:c r="AE143" s="80" t="n">
        <x:f>Z143-AD143</x:f>
        <x:v>0.00004887106379102048</x:v>
      </x:c>
      <x:c r="AF143" s="80" t="n">
        <x:f>D143*W143</x:f>
        <x:v>2.499459301261171e-7</x:v>
      </x:c>
      <x:c r="AG143" s="80" t="n">
        <x:f>C143*W143</x:f>
        <x:v>5.832071702942689e-7</x:v>
      </x:c>
      <x:c r="AH143" s="80" t="n">
        <x:f>2*'Inputs'!$B$8*'Inputs'!$C$44</x:f>
        <x:v>1250</x:v>
      </x:c>
      <x:c r="AI143" s="81" t="n">
        <x:f>IF(AH143&gt;0,(AE143+AF143)/AH143*365,0)</x:f>
        <x:v>0.000014343334838574807</x:v>
      </x:c>
      <x:c r="AJ143" s="81" t="n">
        <x:f>IF('Inputs'!$B$44&gt;0,AG143/('Inputs'!$B$19*'Inputs'!$B$44)*365,0)</x:f>
        <x:v>2.1287061715740816e-8</x:v>
      </x:c>
      <x:c r="AK143" s="81" t="n">
        <x:f>W143/MAX($W$4:W143)-1</x:f>
        <x:v>-0.9999999987143356</x:v>
      </x:c>
      <x:c r="AL143" s="83" t="n">
        <x:f>'Inputs'!$B$44</x:f>
        <x:v>1</x:v>
      </x:c>
      <x:c r="AM143" s="83" t="n">
        <x:f>'Inputs'!$C$44</x:f>
        <x:v>0.25</x:v>
      </x:c>
      <x:c r="AN143" s="83" t="n">
        <x:f>'Inputs'!$D$44</x:f>
        <x:v>0.2</x:v>
      </x:c>
      <x:c r="AO143" s="81" t="n">
        <x:f>'Inputs'!$E$44</x:f>
        <x:v>-0.2</x:v>
      </x:c>
    </x:row>
    <x:row r="144">
      <x:c r="A144" s="59" t="str">
        <x:v>No demand</x:v>
      </x:c>
      <x:c r="B144" s="59" t="n">
        <x:v>141</x:v>
      </x:c>
      <x:c r="C144" s="78" t="n">
        <x:f>(('Inputs'!$B$29*(3*141*'Inputs'!$B$12-141^2)/(2*'Inputs'!$B$12^2))-('Inputs'!$B$29*(3*140*'Inputs'!$B$12-140^2)/(2*'Inputs'!$B$12^2)))*'Inputs'!$B$44</x:f>
        <x:v>666308.6413961351</x:v>
      </x:c>
      <x:c r="D144" s="78" t="n">
        <x:f>IF('Inputs'!$C$44&gt;0,('Inputs'!$B$30*(3*141*'Inputs'!$B$12-141^2)/(2*'Inputs'!$B$12^2))-('Inputs'!$B$30*(3*140*'Inputs'!$B$12-140^2)/(2*'Inputs'!$B$12^2)),0)</x:f>
        <x:v>285560.8463126272</x:v>
      </x:c>
      <x:c r="E144" s="78" t="n">
        <x:f>C144+D144</x:f>
        <x:v>951869.4877087623</x:v>
      </x:c>
      <x:c r="F144" s="78" t="n">
        <x:f>'Inputs'!$B$13*E144+(1-'Inputs'!$B$13)/'Inputs'!$B$14*SUM(E89:E144)</x:f>
        <x:v>962087.164571214</x:v>
      </x:c>
      <x:c r="G144" s="78" t="n">
        <x:f>F144*'Inputs'!$F$44</x:f>
        <x:v>865878.4481140926</x:v>
      </x:c>
      <x:c r="H144" s="78" t="n">
        <x:f>U143</x:f>
        <x:v>116376077311.3268</x:v>
      </x:c>
      <x:c r="I144" s="78" t="n">
        <x:f>V143</x:f>
        <x:v>0.10181207118651037</x:v>
      </x:c>
      <x:c r="J144" s="79" t="n">
        <x:f>IF(H144&gt;0,I144/H144,0)</x:f>
        <x:v>8.748539522787393e-13</x:v>
      </x:c>
      <x:c r="K144" s="80" t="n">
        <x:f>(H144*J144+I144)*'Inputs'!$D$44*(1+'Inputs'!$G$44)^(B144/30)</x:f>
        <x:v>0.04072482847460415</x:v>
      </x:c>
      <x:c r="L144" s="80" t="n">
        <x:f>MAX(0,K144*'Inputs'!$E$44)</x:f>
        <x:v>0</x:v>
      </x:c>
      <x:c r="M144" s="80" t="n">
        <x:f>MAX(0,-K144*'Inputs'!$E$44)</x:f>
        <x:v>0.008144965694920831</x:v>
      </x:c>
      <x:c r="N144" s="78" t="n">
        <x:f>H144*(L144*(1-'Inputs'!$B$15))/(I144+L144*(1-'Inputs'!$B$15))</x:f>
        <x:v>0</x:v>
      </x:c>
      <x:c r="O144" s="78" t="n">
        <x:f>H144-N144</x:f>
        <x:v>116376077311.3268</x:v>
      </x:c>
      <x:c r="P144" s="78" t="n">
        <x:f>I144+L144*(1-'Inputs'!$B$17)</x:f>
        <x:v>0.10181207118651037</x:v>
      </x:c>
      <x:c r="Q144" s="78" t="n">
        <x:f>IF(J144&gt;0,M144/J144,0)</x:f>
        <x:v>0</x:v>
      </x:c>
      <x:c r="R144" s="78" t="n">
        <x:f>IF(B144='Inputs'!$H$44,'Inputs'!$B$27*'Inputs'!$I$44,0)</x:f>
        <x:v>0</x:v>
      </x:c>
      <x:c r="S144" s="78" t="n">
        <x:f>Q144+G144+R144</x:f>
        <x:v>865878.4481140926</x:v>
      </x:c>
      <x:c r="T144" s="78" t="n">
        <x:f>P144*(S144*(1-'Inputs'!$B$15))/(O144+S144*(1-'Inputs'!$B$15))</x:f>
        <x:v>7.499364867102055e-7</x:v>
      </x:c>
      <x:c r="U144" s="78" t="n">
        <x:f>O144+S144*(1-'Inputs'!$B$17)</x:f>
        <x:v>116376939705.3546</x:v>
      </x:c>
      <x:c r="V144" s="78" t="n">
        <x:f>P144-T144</x:f>
        <x:v>0.10181132125002365</x:v>
      </x:c>
      <x:c r="W144" s="79" t="n">
        <x:f>IF(U144&gt;0,V144/U144,0)</x:f>
        <x:v>8.74841025273491e-13</x:v>
      </x:c>
      <x:c r="X144" s="80" t="n">
        <x:f>W144*('Inputs'!$B$6-AC144)</x:f>
        <x:v>-0.00035845204745861125</x:v>
      </x:c>
      <x:c r="Y144" s="80" t="n">
        <x:f>2*V144</x:f>
        <x:v>0.2036226425000473</x:v>
      </x:c>
      <x:c r="Z144" s="80" t="n">
        <x:f>K144*'Inputs'!$B$16+(G144+R144)*J144*'Inputs'!$B$16</x:f>
        <x:v>0.0002443535159507201</x:v>
      </x:c>
      <x:c r="AA144" s="80" t="n">
        <x:f>K144*(1+'Inputs'!$E$44)/2*'Inputs'!$B$17</x:f>
        <x:v>0.00006555304382230046</x:v>
      </x:c>
      <x:c r="AB144" s="78" t="n">
        <x:f>(IF(J144&gt;0,K144*(1-'Inputs'!$E$44)/2/J144,0)+G144+R144)*'Inputs'!$B$17</x:f>
        <x:v>3484.420314342425</x:v>
      </x:c>
      <x:c r="AC144" s="78" t="n">
        <x:f>AC143+AB144</x:f>
        <x:v>1409733925.482693</x:v>
      </x:c>
      <x:c r="AD144" s="80" t="n">
        <x:f>Z144/(1+'Inputs'!$C$44)</x:f>
        <x:v>0.00019548281276057607</x:v>
      </x:c>
      <x:c r="AE144" s="80" t="n">
        <x:f>Z144-AD144</x:f>
        <x:v>0.00004887070319014401</x:v>
      </x:c>
      <x:c r="AF144" s="80" t="n">
        <x:f>D144*W144</x:f>
        <x:v>2.4982034356610454e-7</x:v>
      </x:c>
      <x:c r="AG144" s="80" t="n">
        <x:f>C144*W144</x:f>
        <x:v>5.829141349875816e-7</x:v>
      </x:c>
      <x:c r="AH144" s="80" t="n">
        <x:f>2*'Inputs'!$B$8*'Inputs'!$C$44</x:f>
        <x:v>1250</x:v>
      </x:c>
      <x:c r="AI144" s="81" t="n">
        <x:f>IF(AH144&gt;0,(AE144+AF144)/AH144*365,0)</x:f>
        <x:v>0.000014343192871843354</x:v>
      </x:c>
      <x:c r="AJ144" s="81" t="n">
        <x:f>IF('Inputs'!$B$44&gt;0,AG144/('Inputs'!$B$19*'Inputs'!$B$44)*365,0)</x:f>
        <x:v>2.127636592704673e-8</x:v>
      </x:c>
      <x:c r="AK144" s="81" t="n">
        <x:f>W144/MAX($W$4:W144)-1</x:f>
        <x:v>-0.9999999987143546</x:v>
      </x:c>
      <x:c r="AL144" s="83" t="n">
        <x:f>'Inputs'!$B$44</x:f>
        <x:v>1</x:v>
      </x:c>
      <x:c r="AM144" s="83" t="n">
        <x:f>'Inputs'!$C$44</x:f>
        <x:v>0.25</x:v>
      </x:c>
      <x:c r="AN144" s="83" t="n">
        <x:f>'Inputs'!$D$44</x:f>
        <x:v>0.2</x:v>
      </x:c>
      <x:c r="AO144" s="81" t="n">
        <x:f>'Inputs'!$E$44</x:f>
        <x:v>-0.2</x:v>
      </x:c>
    </x:row>
    <x:row r="145">
      <x:c r="A145" s="59" t="str">
        <x:v>No demand</x:v>
      </x:c>
      <x:c r="B145" s="59" t="n">
        <x:v>142</x:v>
      </x:c>
      <x:c r="C145" s="78" t="n">
        <x:f>(('Inputs'!$B$29*(3*142*'Inputs'!$B$12-142^2)/(2*'Inputs'!$B$12^2))-('Inputs'!$B$29*(3*141*'Inputs'!$B$12-141^2)/(2*'Inputs'!$B$12^2)))*'Inputs'!$B$44</x:f>
        <x:v>665983.5334959626</x:v>
      </x:c>
      <x:c r="D145" s="78" t="n">
        <x:f>IF('Inputs'!$C$44&gt;0,('Inputs'!$B$30*(3*142*'Inputs'!$B$12-142^2)/(2*'Inputs'!$B$12^2))-('Inputs'!$B$30*(3*141*'Inputs'!$B$12-141^2)/(2*'Inputs'!$B$12^2)),0)</x:f>
        <x:v>285421.5143554136</x:v>
      </x:c>
      <x:c r="E145" s="78" t="n">
        <x:f>C145+D145</x:f>
        <x:v>951405.0478513762</x:v>
      </x:c>
      <x:c r="F145" s="78" t="n">
        <x:f>'Inputs'!$B$13*E145+(1-'Inputs'!$B$13)/'Inputs'!$B$14*SUM(E90:E145)</x:f>
        <x:v>961622.7247138293</x:v>
      </x:c>
      <x:c r="G145" s="78" t="n">
        <x:f>F145*'Inputs'!$F$44</x:f>
        <x:v>865460.4522424465</x:v>
      </x:c>
      <x:c r="H145" s="78" t="n">
        <x:f>U144</x:f>
        <x:v>116376939705.3546</x:v>
      </x:c>
      <x:c r="I145" s="78" t="n">
        <x:f>V144</x:f>
        <x:v>0.10181132125002365</x:v>
      </x:c>
      <x:c r="J145" s="79" t="n">
        <x:f>IF(H145&gt;0,I145/H145,0)</x:f>
        <x:v>8.74841025273491e-13</x:v>
      </x:c>
      <x:c r="K145" s="80" t="n">
        <x:f>(H145*J145+I145)*'Inputs'!$D$44*(1+'Inputs'!$G$44)^(B145/30)</x:f>
        <x:v>0.04072452850000946</x:v>
      </x:c>
      <x:c r="L145" s="80" t="n">
        <x:f>MAX(0,K145*'Inputs'!$E$44)</x:f>
        <x:v>0</x:v>
      </x:c>
      <x:c r="M145" s="80" t="n">
        <x:f>MAX(0,-K145*'Inputs'!$E$44)</x:f>
        <x:v>0.008144905700001892</x:v>
      </x:c>
      <x:c r="N145" s="78" t="n">
        <x:f>H145*(L145*(1-'Inputs'!$B$15))/(I145+L145*(1-'Inputs'!$B$15))</x:f>
        <x:v>0</x:v>
      </x:c>
      <x:c r="O145" s="78" t="n">
        <x:f>H145-N145</x:f>
        <x:v>116376939705.3546</x:v>
      </x:c>
      <x:c r="P145" s="78" t="n">
        <x:f>I145+L145*(1-'Inputs'!$B$17)</x:f>
        <x:v>0.10181132125002365</x:v>
      </x:c>
      <x:c r="Q145" s="78" t="n">
        <x:f>IF(J145&gt;0,M145/J145,0)</x:f>
        <x:v>0</x:v>
      </x:c>
      <x:c r="R145" s="78" t="n">
        <x:f>IF(B145='Inputs'!$H$44,'Inputs'!$B$27*'Inputs'!$I$44,0)</x:f>
        <x:v>0</x:v>
      </x:c>
      <x:c r="S145" s="78" t="n">
        <x:f>Q145+G145+R145</x:f>
        <x:v>865460.4522424465</x:v>
      </x:c>
      <x:c r="T145" s="78" t="n">
        <x:f>P145*(S145*(1-'Inputs'!$B$15))/(O145+S145*(1-'Inputs'!$B$15))</x:f>
        <x:v>7.495633877440287e-7</x:v>
      </x:c>
      <x:c r="U145" s="78" t="n">
        <x:f>O145+S145*(1-'Inputs'!$B$17)</x:f>
        <x:v>116377801683.0686</x:v>
      </x:c>
      <x:c r="V145" s="78" t="n">
        <x:f>P145-T145</x:f>
        <x:v>0.1018105716866359</x:v>
      </x:c>
      <x:c r="W145" s="79" t="n">
        <x:f>IF(U145&gt;0,V145/U145,0)</x:f>
        <x:v>8.74828104795246e-13</x:v>
      </x:c>
      <x:c r="X145" s="80" t="n">
        <x:f>W145*('Inputs'!$B$6-AC145)</x:f>
        <x:v>-0.0003584498002976334</x:v>
      </x:c>
      <x:c r="Y145" s="80" t="n">
        <x:f>2*V145</x:f>
        <x:v>0.2036211433732718</x:v>
      </x:c>
      <x:c r="Z145" s="80" t="n">
        <x:f>K145*'Inputs'!$B$16+(G145+R145)*J145*'Inputs'!$B$16</x:f>
        <x:v>0.000244351713841913</x:v>
      </x:c>
      <x:c r="AA145" s="80" t="n">
        <x:f>K145*(1+'Inputs'!$E$44)/2*'Inputs'!$B$17</x:f>
        <x:v>0.00006555256096581</x:v>
      </x:c>
      <x:c r="AB145" s="78" t="n">
        <x:f>(IF(J145&gt;0,K145*(1-'Inputs'!$E$44)/2/J145,0)+G145+R145)*'Inputs'!$B$17</x:f>
        <x:v>3482.738238400187</x:v>
      </x:c>
      <x:c r="AC145" s="78" t="n">
        <x:f>AC144+AB145</x:f>
        <x:v>1409737408.2209313</x:v>
      </x:c>
      <x:c r="AD145" s="80" t="n">
        <x:f>Z145/(1+'Inputs'!$C$44)</x:f>
        <x:v>0.00019548137107353042</x:v>
      </x:c>
      <x:c r="AE145" s="80" t="n">
        <x:f>Z145-AD145</x:f>
        <x:v>0.00004887034276838259</x:v>
      </x:c>
      <x:c r="AF145" s="80" t="n">
        <x:f>D145*W145</x:f>
        <x:v>2.496947624713356e-7</x:v>
      </x:c>
      <x:c r="AG145" s="80" t="n">
        <x:f>C145*W145</x:f>
        <x:v>5.826211124331142e-7</x:v>
      </x:c>
      <x:c r="AH145" s="80" t="n">
        <x:f>2*'Inputs'!$B$8*'Inputs'!$C$44</x:f>
        <x:v>1250</x:v>
      </x:c>
      <x:c r="AI145" s="81" t="n">
        <x:f>IF(AH145&gt;0,(AE145+AF145)/AH145*365,0)</x:f>
        <x:v>0.000014343050959009347</x:v>
      </x:c>
      <x:c r="AJ145" s="81" t="n">
        <x:f>IF('Inputs'!$B$44&gt;0,AG145/('Inputs'!$B$19*'Inputs'!$B$44)*365,0)</x:f>
        <x:v>2.1265670603808665e-8</x:v>
      </x:c>
      <x:c r="AK145" s="81" t="n">
        <x:f>W145/MAX($W$4:W145)-1</x:f>
        <x:v>-0.9999999987143736</x:v>
      </x:c>
      <x:c r="AL145" s="83" t="n">
        <x:f>'Inputs'!$B$44</x:f>
        <x:v>1</x:v>
      </x:c>
      <x:c r="AM145" s="83" t="n">
        <x:f>'Inputs'!$C$44</x:f>
        <x:v>0.25</x:v>
      </x:c>
      <x:c r="AN145" s="83" t="n">
        <x:f>'Inputs'!$D$44</x:f>
        <x:v>0.2</x:v>
      </x:c>
      <x:c r="AO145" s="81" t="n">
        <x:f>'Inputs'!$E$44</x:f>
        <x:v>-0.2</x:v>
      </x:c>
    </x:row>
    <x:row r="146">
      <x:c r="A146" s="59" t="str">
        <x:v>No demand</x:v>
      </x:c>
      <x:c r="B146" s="59" t="n">
        <x:v>143</x:v>
      </x:c>
      <x:c r="C146" s="78" t="n">
        <x:f>(('Inputs'!$B$29*(3*143*'Inputs'!$B$12-143^2)/(2*'Inputs'!$B$12^2))-('Inputs'!$B$29*(3*142*'Inputs'!$B$12-142^2)/(2*'Inputs'!$B$12^2)))*'Inputs'!$B$44</x:f>
        <x:v>665658.4255957901</x:v>
      </x:c>
      <x:c r="D146" s="78" t="n">
        <x:f>IF('Inputs'!$C$44&gt;0,('Inputs'!$B$30*(3*143*'Inputs'!$B$12-143^2)/(2*'Inputs'!$B$12^2))-('Inputs'!$B$30*(3*142*'Inputs'!$B$12-142^2)/(2*'Inputs'!$B$12^2)),0)</x:f>
        <x:v>285282.18239820004</x:v>
      </x:c>
      <x:c r="E146" s="78" t="n">
        <x:f>C146+D146</x:f>
        <x:v>950940.6079939902</x:v>
      </x:c>
      <x:c r="F146" s="78" t="n">
        <x:f>'Inputs'!$B$13*E146+(1-'Inputs'!$B$13)/'Inputs'!$B$14*SUM(E91:E146)</x:f>
        <x:v>961158.2848564449</x:v>
      </x:c>
      <x:c r="G146" s="78" t="n">
        <x:f>F146*'Inputs'!$F$44</x:f>
        <x:v>865042.4563708005</x:v>
      </x:c>
      <x:c r="H146" s="78" t="n">
        <x:f>U145</x:f>
        <x:v>116377801683.0686</x:v>
      </x:c>
      <x:c r="I146" s="78" t="n">
        <x:f>V145</x:f>
        <x:v>0.1018105716866359</x:v>
      </x:c>
      <x:c r="J146" s="79" t="n">
        <x:f>IF(H146&gt;0,I146/H146,0)</x:f>
        <x:v>8.74828104795246e-13</x:v>
      </x:c>
      <x:c r="K146" s="80" t="n">
        <x:f>(H146*J146+I146)*'Inputs'!$D$44*(1+'Inputs'!$G$44)^(B146/30)</x:f>
        <x:v>0.04072422867465436</x:v>
      </x:c>
      <x:c r="L146" s="80" t="n">
        <x:f>MAX(0,K146*'Inputs'!$E$44)</x:f>
        <x:v>0</x:v>
      </x:c>
      <x:c r="M146" s="80" t="n">
        <x:f>MAX(0,-K146*'Inputs'!$E$44)</x:f>
        <x:v>0.008144845734930873</x:v>
      </x:c>
      <x:c r="N146" s="78" t="n">
        <x:f>H146*(L146*(1-'Inputs'!$B$15))/(I146+L146*(1-'Inputs'!$B$15))</x:f>
        <x:v>0</x:v>
      </x:c>
      <x:c r="O146" s="78" t="n">
        <x:f>H146-N146</x:f>
        <x:v>116377801683.0686</x:v>
      </x:c>
      <x:c r="P146" s="78" t="n">
        <x:f>I146+L146*(1-'Inputs'!$B$17)</x:f>
        <x:v>0.1018105716866359</x:v>
      </x:c>
      <x:c r="Q146" s="78" t="n">
        <x:f>IF(J146&gt;0,M146/J146,0)</x:f>
        <x:v>0</x:v>
      </x:c>
      <x:c r="R146" s="78" t="n">
        <x:f>IF(B146='Inputs'!$H$44,'Inputs'!$B$27*'Inputs'!$I$44,0)</x:f>
        <x:v>0</x:v>
      </x:c>
      <x:c r="S146" s="78" t="n">
        <x:f>Q146+G146+R146</x:f>
        <x:v>865042.4563708005</x:v>
      </x:c>
      <x:c r="T146" s="78" t="n">
        <x:f>P146*(S146*(1-'Inputs'!$B$15))/(O146+S146*(1-'Inputs'!$B$15))</x:f>
        <x:v>7.49190305063453e-7</x:v>
      </x:c>
      <x:c r="U146" s="78" t="n">
        <x:f>O146+S146*(1-'Inputs'!$B$17)</x:f>
        <x:v>116378663244.46881</x:v>
      </x:c>
      <x:c r="V146" s="78" t="n">
        <x:f>P146-T146</x:f>
        <x:v>0.10180982249633085</x:v>
      </x:c>
      <x:c r="W146" s="79" t="n">
        <x:f>IF(U146&gt;0,V146/U146,0)</x:f>
        <x:v>8.748151908435811e-13</x:v>
      </x:c>
      <x:c r="X146" s="80" t="n">
        <x:f>W146*('Inputs'!$B$6-AC146)</x:f>
        <x:v>-0.0003584475542493593</x:v>
      </x:c>
      <x:c r="Y146" s="80" t="n">
        <x:f>2*V146</x:f>
        <x:v>0.2036196449926617</x:v>
      </x:c>
      <x:c r="Z146" s="80" t="n">
        <x:f>K146*'Inputs'!$B$16+(G146+R146)*J146*'Inputs'!$B$16</x:f>
        <x:v>0.00024434991262864224</x:v>
      </x:c>
      <x:c r="AA146" s="80" t="n">
        <x:f>K146*(1+'Inputs'!$E$44)/2*'Inputs'!$B$17</x:f>
        <x:v>0.00006555207834954426</x:v>
      </x:c>
      <x:c r="AB146" s="78" t="n">
        <x:f>(IF(J146&gt;0,K146*(1-'Inputs'!$E$44)/2/J146,0)+G146+R146)*'Inputs'!$B$17</x:f>
        <x:v>3481.05616245795</x:v>
      </x:c>
      <x:c r="AC146" s="78" t="n">
        <x:f>AC145+AB146</x:f>
        <x:v>1409740889.2770936</x:v>
      </x:c>
      <x:c r="AD146" s="80" t="n">
        <x:f>Z146/(1+'Inputs'!$C$44)</x:f>
        <x:v>0.0001954799301029138</x:v>
      </x:c>
      <x:c r="AE146" s="80" t="n">
        <x:f>Z146-AD146</x:f>
        <x:v>0.00004886998252572844</x:v>
      </x:c>
      <x:c r="AF146" s="80" t="n">
        <x:f>D146*W146</x:f>
        <x:v>2.495691868389547e-7</x:v>
      </x:c>
      <x:c r="AG146" s="80" t="n">
        <x:f>C146*W146</x:f>
        <x:v>5.823281026242189e-7</x:v>
      </x:c>
      <x:c r="AH146" s="80" t="n">
        <x:f>2*'Inputs'!$B$8*'Inputs'!$C$44</x:f>
        <x:v>1250</x:v>
      </x:c>
      <x:c r="AI146" s="81" t="n">
        <x:f>IF(AH146&gt;0,(AE146+AF146)/AH146*365,0)</x:f>
        <x:v>0.00001434290910006968</x:v>
      </x:c>
      <x:c r="AJ146" s="81" t="n">
        <x:f>IF('Inputs'!$B$44&gt;0,AG146/('Inputs'!$B$19*'Inputs'!$B$44)*365,0)</x:f>
        <x:v>2.125497574578399e-8</x:v>
      </x:c>
      <x:c r="AK146" s="81" t="n">
        <x:f>W146/MAX($W$4:W146)-1</x:f>
        <x:v>-0.9999999987143926</x:v>
      </x:c>
      <x:c r="AL146" s="83" t="n">
        <x:f>'Inputs'!$B$44</x:f>
        <x:v>1</x:v>
      </x:c>
      <x:c r="AM146" s="83" t="n">
        <x:f>'Inputs'!$C$44</x:f>
        <x:v>0.25</x:v>
      </x:c>
      <x:c r="AN146" s="83" t="n">
        <x:f>'Inputs'!$D$44</x:f>
        <x:v>0.2</x:v>
      </x:c>
      <x:c r="AO146" s="81" t="n">
        <x:f>'Inputs'!$E$44</x:f>
        <x:v>-0.2</x:v>
      </x:c>
    </x:row>
    <x:row r="147">
      <x:c r="A147" s="59" t="str">
        <x:v>No demand</x:v>
      </x:c>
      <x:c r="B147" s="59" t="n">
        <x:v>144</x:v>
      </x:c>
      <x:c r="C147" s="78" t="n">
        <x:f>(('Inputs'!$B$29*(3*144*'Inputs'!$B$12-144^2)/(2*'Inputs'!$B$12^2))-('Inputs'!$B$29*(3*143*'Inputs'!$B$12-143^2)/(2*'Inputs'!$B$12^2)))*'Inputs'!$B$44</x:f>
        <x:v>665333.3176956326</x:v>
      </x:c>
      <x:c r="D147" s="78" t="n">
        <x:f>IF('Inputs'!$C$44&gt;0,('Inputs'!$B$30*(3*144*'Inputs'!$B$12-144^2)/(2*'Inputs'!$B$12^2))-('Inputs'!$B$30*(3*143*'Inputs'!$B$12-143^2)/(2*'Inputs'!$B$12^2)),0)</x:f>
        <x:v>285142.85044098645</x:v>
      </x:c>
      <x:c r="E147" s="78" t="n">
        <x:f>C147+D147</x:f>
        <x:v>950476.168136619</x:v>
      </x:c>
      <x:c r="F147" s="78" t="n">
        <x:f>'Inputs'!$B$13*E147+(1-'Inputs'!$B$13)/'Inputs'!$B$14*SUM(E92:E147)</x:f>
        <x:v>960693.8449990635</x:v>
      </x:c>
      <x:c r="G147" s="78" t="n">
        <x:f>F147*'Inputs'!$F$44</x:f>
        <x:v>864624.4604991572</x:v>
      </x:c>
      <x:c r="H147" s="78" t="n">
        <x:f>U146</x:f>
        <x:v>116378663244.46881</x:v>
      </x:c>
      <x:c r="I147" s="78" t="n">
        <x:f>V146</x:f>
        <x:v>0.10180982249633085</x:v>
      </x:c>
      <x:c r="J147" s="79" t="n">
        <x:f>IF(H147&gt;0,I147/H147,0)</x:f>
        <x:v>8.748151908435811e-13</x:v>
      </x:c>
      <x:c r="K147" s="80" t="n">
        <x:f>(H147*J147+I147)*'Inputs'!$D$44*(1+'Inputs'!$G$44)^(B147/30)</x:f>
        <x:v>0.04072392899853234</x:v>
      </x:c>
      <x:c r="L147" s="80" t="n">
        <x:f>MAX(0,K147*'Inputs'!$E$44)</x:f>
        <x:v>0</x:v>
      </x:c>
      <x:c r="M147" s="80" t="n">
        <x:f>MAX(0,-K147*'Inputs'!$E$44)</x:f>
        <x:v>0.008144785799706468</x:v>
      </x:c>
      <x:c r="N147" s="78" t="n">
        <x:f>H147*(L147*(1-'Inputs'!$B$15))/(I147+L147*(1-'Inputs'!$B$15))</x:f>
        <x:v>0</x:v>
      </x:c>
      <x:c r="O147" s="78" t="n">
        <x:f>H147-N147</x:f>
        <x:v>116378663244.46881</x:v>
      </x:c>
      <x:c r="P147" s="78" t="n">
        <x:f>I147+L147*(1-'Inputs'!$B$17)</x:f>
        <x:v>0.10180982249633085</x:v>
      </x:c>
      <x:c r="Q147" s="78" t="n">
        <x:f>IF(J147&gt;0,M147/J147,0)</x:f>
        <x:v>0</x:v>
      </x:c>
      <x:c r="R147" s="78" t="n">
        <x:f>IF(B147='Inputs'!$H$44,'Inputs'!$B$27*'Inputs'!$I$44,0)</x:f>
        <x:v>0</x:v>
      </x:c>
      <x:c r="S147" s="78" t="n">
        <x:f>Q147+G147+R147</x:f>
        <x:v>864624.4604991572</x:v>
      </x:c>
      <x:c r="T147" s="78" t="n">
        <x:f>P147*(S147*(1-'Inputs'!$B$15))/(O147+S147*(1-'Inputs'!$B$15))</x:f>
        <x:v>7.488172386600155e-7</x:v>
      </x:c>
      <x:c r="U147" s="78" t="n">
        <x:f>O147+S147*(1-'Inputs'!$B$17)</x:f>
        <x:v>116379524389.55522</x:v>
      </x:c>
      <x:c r="V147" s="78" t="n">
        <x:f>P147-T147</x:f>
        <x:v>0.10180907367909219</x:v>
      </x:c>
      <x:c r="W147" s="79" t="n">
        <x:f>IF(U147&gt;0,V147/U147,0)</x:f>
        <x:v>8.748022834180727e-13</x:v>
      </x:c>
      <x:c r="X147" s="80" t="n">
        <x:f>W147*('Inputs'!$B$6-AC147)</x:f>
        <x:v>-0.000358445309313749</x:v>
      </x:c>
      <x:c r="Y147" s="80" t="n">
        <x:f>2*V147</x:f>
        <x:v>0.20361814735818437</x:v>
      </x:c>
      <x:c r="Z147" s="80" t="n">
        <x:f>K147*'Inputs'!$B$16+(G147+R147)*J147*'Inputs'!$B$16</x:f>
        <x:v>0.0002443481123108686</x:v>
      </x:c>
      <x:c r="AA147" s="80" t="n">
        <x:f>K147*(1+'Inputs'!$E$44)/2*'Inputs'!$B$17</x:f>
        <x:v>0.00006555159597349271</x:v>
      </x:c>
      <x:c r="AB147" s="78" t="n">
        <x:f>(IF(J147&gt;0,K147*(1-'Inputs'!$E$44)/2/J147,0)+G147+R147)*'Inputs'!$B$17</x:f>
        <x:v>3479.3740865157233</x:v>
      </x:c>
      <x:c r="AC147" s="78" t="n">
        <x:f>AC146+AB147</x:f>
        <x:v>1409744368.6511803</x:v>
      </x:c>
      <x:c r="AD147" s="80" t="n">
        <x:f>Z147/(1+'Inputs'!$C$44)</x:f>
        <x:v>0.00019547848984869488</x:v>
      </x:c>
      <x:c r="AE147" s="80" t="n">
        <x:f>Z147-AD147</x:f>
        <x:v>0.000048869622462173706</x:v>
      </x:c>
      <x:c r="AF147" s="80" t="n">
        <x:f>D147*W147</x:f>
        <x:v>2.4944361666611293e-7</x:v>
      </x:c>
      <x:c r="AG147" s="80" t="n">
        <x:f>C147*W147</x:f>
        <x:v>5.820351055542614e-7</x:v>
      </x:c>
      <x:c r="AH147" s="80" t="n">
        <x:f>2*'Inputs'!$B$8*'Inputs'!$C$44</x:f>
        <x:v>1250</x:v>
      </x:c>
      <x:c r="AI147" s="81" t="n">
        <x:f>IF(AH147&gt;0,(AE147+AF147)/AH147*365,0)</x:f>
        <x:v>0.000014342767295021226</x:v>
      </x:c>
      <x:c r="AJ147" s="81" t="n">
        <x:f>IF('Inputs'!$B$44&gt;0,AG147/('Inputs'!$B$19*'Inputs'!$B$44)*365,0)</x:f>
        <x:v>2.124428135273054e-8</x:v>
      </x:c>
      <x:c r="AK147" s="81" t="n">
        <x:f>W147/MAX($W$4:W147)-1</x:f>
        <x:v>-0.9999999987144116</x:v>
      </x:c>
      <x:c r="AL147" s="83" t="n">
        <x:f>'Inputs'!$B$44</x:f>
        <x:v>1</x:v>
      </x:c>
      <x:c r="AM147" s="83" t="n">
        <x:f>'Inputs'!$C$44</x:f>
        <x:v>0.25</x:v>
      </x:c>
      <x:c r="AN147" s="83" t="n">
        <x:f>'Inputs'!$D$44</x:f>
        <x:v>0.2</x:v>
      </x:c>
      <x:c r="AO147" s="81" t="n">
        <x:f>'Inputs'!$E$44</x:f>
        <x:v>-0.2</x:v>
      </x:c>
    </x:row>
    <x:row r="148">
      <x:c r="A148" s="59" t="str">
        <x:v>No demand</x:v>
      </x:c>
      <x:c r="B148" s="59" t="n">
        <x:v>145</x:v>
      </x:c>
      <x:c r="C148" s="78" t="n">
        <x:f>(('Inputs'!$B$29*(3*145*'Inputs'!$B$12-145^2)/(2*'Inputs'!$B$12^2))-('Inputs'!$B$29*(3*144*'Inputs'!$B$12-144^2)/(2*'Inputs'!$B$12^2)))*'Inputs'!$B$44</x:f>
        <x:v>665008.2097954601</x:v>
      </x:c>
      <x:c r="D148" s="78" t="n">
        <x:f>IF('Inputs'!$C$44&gt;0,('Inputs'!$B$30*(3*145*'Inputs'!$B$12-145^2)/(2*'Inputs'!$B$12^2))-('Inputs'!$B$30*(3*144*'Inputs'!$B$12-144^2)/(2*'Inputs'!$B$12^2)),0)</x:f>
        <x:v>285003.5184837654</x:v>
      </x:c>
      <x:c r="E148" s="78" t="n">
        <x:f>C148+D148</x:f>
        <x:v>950011.7282792255</x:v>
      </x:c>
      <x:c r="F148" s="78" t="n">
        <x:f>'Inputs'!$B$13*E148+(1-'Inputs'!$B$13)/'Inputs'!$B$14*SUM(E93:E148)</x:f>
        <x:v>960229.4051416776</x:v>
      </x:c>
      <x:c r="G148" s="78" t="n">
        <x:f>F148*'Inputs'!$F$44</x:f>
        <x:v>864206.4646275098</x:v>
      </x:c>
      <x:c r="H148" s="78" t="n">
        <x:f>U147</x:f>
        <x:v>116379524389.55522</x:v>
      </x:c>
      <x:c r="I148" s="78" t="n">
        <x:f>V147</x:f>
        <x:v>0.10180907367909219</x:v>
      </x:c>
      <x:c r="J148" s="79" t="n">
        <x:f>IF(H148&gt;0,I148/H148,0)</x:f>
        <x:v>8.748022834180727e-13</x:v>
      </x:c>
      <x:c r="K148" s="80" t="n">
        <x:f>(H148*J148+I148)*'Inputs'!$D$44*(1+'Inputs'!$G$44)^(B148/30)</x:f>
        <x:v>0.04072362947163688</x:v>
      </x:c>
      <x:c r="L148" s="80" t="n">
        <x:f>MAX(0,K148*'Inputs'!$E$44)</x:f>
        <x:v>0</x:v>
      </x:c>
      <x:c r="M148" s="80" t="n">
        <x:f>MAX(0,-K148*'Inputs'!$E$44)</x:f>
        <x:v>0.008144725894327376</x:v>
      </x:c>
      <x:c r="N148" s="78" t="n">
        <x:f>H148*(L148*(1-'Inputs'!$B$15))/(I148+L148*(1-'Inputs'!$B$15))</x:f>
        <x:v>0</x:v>
      </x:c>
      <x:c r="O148" s="78" t="n">
        <x:f>H148-N148</x:f>
        <x:v>116379524389.55522</x:v>
      </x:c>
      <x:c r="P148" s="78" t="n">
        <x:f>I148+L148*(1-'Inputs'!$B$17)</x:f>
        <x:v>0.10180907367909219</x:v>
      </x:c>
      <x:c r="Q148" s="78" t="n">
        <x:f>IF(J148&gt;0,M148/J148,0)</x:f>
        <x:v>0</x:v>
      </x:c>
      <x:c r="R148" s="78" t="n">
        <x:f>IF(B148='Inputs'!$H$44,'Inputs'!$B$27*'Inputs'!$I$44,0)</x:f>
        <x:v>0</x:v>
      </x:c>
      <x:c r="S148" s="78" t="n">
        <x:f>Q148+G148+R148</x:f>
        <x:v>864206.4646275098</x:v>
      </x:c>
      <x:c r="T148" s="78" t="n">
        <x:f>P148*(S148*(1-'Inputs'!$B$15))/(O148+S148*(1-'Inputs'!$B$15))</x:f>
        <x:v>7.484441885252461e-7</x:v>
      </x:c>
      <x:c r="U148" s="78" t="n">
        <x:f>O148+S148*(1-'Inputs'!$B$17)</x:f>
        <x:v>116380385118.32784</x:v>
      </x:c>
      <x:c r="V148" s="78" t="n">
        <x:f>P148-T148</x:f>
        <x:v>0.10180832523490366</x:v>
      </x:c>
      <x:c r="W148" s="79" t="n">
        <x:f>IF(U148&gt;0,V148/U148,0)</x:f>
        <x:v>8.747893825182974e-13</x:v>
      </x:c>
      <x:c r="X148" s="80" t="n">
        <x:f>W148*('Inputs'!$B$6-AC148)</x:f>
        <x:v>-0.0003584430654907622</x:v>
      </x:c>
      <x:c r="Y148" s="80" t="n">
        <x:f>2*V148</x:f>
        <x:v>0.20361665046980731</x:v>
      </x:c>
      <x:c r="Z148" s="80" t="n">
        <x:f>K148*'Inputs'!$B$16+(G148+R148)*J148*'Inputs'!$B$16</x:f>
        <x:v>0.0002443463128885529</x:v>
      </x:c>
      <x:c r="AA148" s="80" t="n">
        <x:f>K148*(1+'Inputs'!$E$44)/2*'Inputs'!$B$17</x:f>
        <x:v>0.00006555111383764489</x:v>
      </x:c>
      <x:c r="AB148" s="78" t="n">
        <x:f>(IF(J148&gt;0,K148*(1-'Inputs'!$E$44)/2/J148,0)+G148+R148)*'Inputs'!$B$17</x:f>
        <x:v>3477.6920105734803</x:v>
      </x:c>
      <x:c r="AC148" s="78" t="n">
        <x:f>AC147+AB148</x:f>
        <x:v>1409747846.343191</x:v>
      </x:c>
      <x:c r="AD148" s="80" t="n">
        <x:f>Z148/(1+'Inputs'!$C$44)</x:f>
        <x:v>0.00019547705031084232</x:v>
      </x:c>
      <x:c r="AE148" s="80" t="n">
        <x:f>Z148-AD148</x:f>
        <x:v>0.000048869262577710574</x:v>
      </x:c>
      <x:c r="AF148" s="80" t="n">
        <x:f>D148*W148</x:f>
        <x:v>2.493180519499553e-7</x:v>
      </x:c>
      <x:c r="AG148" s="80" t="n">
        <x:f>C148*W148</x:f>
        <x:v>5.817421212165689e-7</x:v>
      </x:c>
      <x:c r="AH148" s="80" t="n">
        <x:f>2*'Inputs'!$B$8*'Inputs'!$C$44</x:f>
        <x:v>1250</x:v>
      </x:c>
      <x:c r="AI148" s="81" t="n">
        <x:f>IF(AH148&gt;0,(AE148+AF148)/AH148*365,0)</x:f>
        <x:v>0.000014342625543860874</x:v>
      </x:c>
      <x:c r="AJ148" s="81" t="n">
        <x:f>IF('Inputs'!$B$44&gt;0,AG148/('Inputs'!$B$19*'Inputs'!$B$44)*365,0)</x:f>
        <x:v>2.1233587424404767e-8</x:v>
      </x:c>
      <x:c r="AK148" s="81" t="n">
        <x:f>W148/MAX($W$4:W148)-1</x:f>
        <x:v>-0.9999999987144306</x:v>
      </x:c>
      <x:c r="AL148" s="83" t="n">
        <x:f>'Inputs'!$B$44</x:f>
        <x:v>1</x:v>
      </x:c>
      <x:c r="AM148" s="83" t="n">
        <x:f>'Inputs'!$C$44</x:f>
        <x:v>0.25</x:v>
      </x:c>
      <x:c r="AN148" s="83" t="n">
        <x:f>'Inputs'!$D$44</x:f>
        <x:v>0.2</x:v>
      </x:c>
      <x:c r="AO148" s="81" t="n">
        <x:f>'Inputs'!$E$44</x:f>
        <x:v>-0.2</x:v>
      </x:c>
    </x:row>
    <x:row r="149">
      <x:c r="A149" s="59" t="str">
        <x:v>No demand</x:v>
      </x:c>
      <x:c r="B149" s="59" t="n">
        <x:v>146</x:v>
      </x:c>
      <x:c r="C149" s="78" t="n">
        <x:f>(('Inputs'!$B$29*(3*146*'Inputs'!$B$12-146^2)/(2*'Inputs'!$B$12^2))-('Inputs'!$B$29*(3*145*'Inputs'!$B$12-145^2)/(2*'Inputs'!$B$12^2)))*'Inputs'!$B$44</x:f>
        <x:v>664683.1018952876</x:v>
      </x:c>
      <x:c r="D149" s="78" t="n">
        <x:f>IF('Inputs'!$C$44&gt;0,('Inputs'!$B$30*(3*146*'Inputs'!$B$12-146^2)/(2*'Inputs'!$B$12^2))-('Inputs'!$B$30*(3*145*'Inputs'!$B$12-145^2)/(2*'Inputs'!$B$12^2)),0)</x:f>
        <x:v>284864.18652655184</x:v>
      </x:c>
      <x:c r="E149" s="78" t="n">
        <x:f>C149+D149</x:f>
        <x:v>949547.2884218395</x:v>
      </x:c>
      <x:c r="F149" s="78" t="n">
        <x:f>'Inputs'!$B$13*E149+(1-'Inputs'!$B$13)/'Inputs'!$B$14*SUM(E94:E149)</x:f>
        <x:v>959764.9652842929</x:v>
      </x:c>
      <x:c r="G149" s="78" t="n">
        <x:f>F149*'Inputs'!$F$44</x:f>
        <x:v>863788.4687558636</x:v>
      </x:c>
      <x:c r="H149" s="78" t="n">
        <x:f>U148</x:f>
        <x:v>116380385118.32784</x:v>
      </x:c>
      <x:c r="I149" s="78" t="n">
        <x:f>V148</x:f>
        <x:v>0.10180832523490366</x:v>
      </x:c>
      <x:c r="J149" s="79" t="n">
        <x:f>IF(H149&gt;0,I149/H149,0)</x:f>
        <x:v>8.747893825182974e-13</x:v>
      </x:c>
      <x:c r="K149" s="80" t="n">
        <x:f>(H149*J149+I149)*'Inputs'!$D$44*(1+'Inputs'!$G$44)^(B149/30)</x:f>
        <x:v>0.040723330093961466</x:v>
      </x:c>
      <x:c r="L149" s="80" t="n">
        <x:f>MAX(0,K149*'Inputs'!$E$44)</x:f>
        <x:v>0</x:v>
      </x:c>
      <x:c r="M149" s="80" t="n">
        <x:f>MAX(0,-K149*'Inputs'!$E$44)</x:f>
        <x:v>0.008144666018792294</x:v>
      </x:c>
      <x:c r="N149" s="78" t="n">
        <x:f>H149*(L149*(1-'Inputs'!$B$15))/(I149+L149*(1-'Inputs'!$B$15))</x:f>
        <x:v>0</x:v>
      </x:c>
      <x:c r="O149" s="78" t="n">
        <x:f>H149-N149</x:f>
        <x:v>116380385118.32784</x:v>
      </x:c>
      <x:c r="P149" s="78" t="n">
        <x:f>I149+L149*(1-'Inputs'!$B$17)</x:f>
        <x:v>0.10180832523490366</x:v>
      </x:c>
      <x:c r="Q149" s="78" t="n">
        <x:f>IF(J149&gt;0,M149/J149,0)</x:f>
        <x:v>0</x:v>
      </x:c>
      <x:c r="R149" s="78" t="n">
        <x:f>IF(B149='Inputs'!$H$44,'Inputs'!$B$27*'Inputs'!$I$44,0)</x:f>
        <x:v>0</x:v>
      </x:c>
      <x:c r="S149" s="78" t="n">
        <x:f>Q149+G149+R149</x:f>
        <x:v>863788.4687558636</x:v>
      </x:c>
      <x:c r="T149" s="78" t="n">
        <x:f>P149*(S149*(1-'Inputs'!$B$15))/(O149+S149*(1-'Inputs'!$B$15))</x:f>
        <x:v>7.480711546506858e-7</x:v>
      </x:c>
      <x:c r="U149" s="78" t="n">
        <x:f>O149+S149*(1-'Inputs'!$B$17)</x:f>
        <x:v>116381245430.78665</x:v>
      </x:c>
      <x:c r="V149" s="78" t="n">
        <x:f>P149-T149</x:f>
        <x:v>0.10180757716374901</x:v>
      </x:c>
      <x:c r="W149" s="79" t="n">
        <x:f>IF(U149&gt;0,V149/U149,0)</x:f>
        <x:v>8.747764881438326e-13</x:v>
      </x:c>
      <x:c r="X149" s="80" t="n">
        <x:f>W149*('Inputs'!$B$6-AC149)</x:f>
        <x:v>-0.0003584408227803587</x:v>
      </x:c>
      <x:c r="Y149" s="80" t="n">
        <x:f>2*V149</x:f>
        <x:v>0.20361515432749802</x:v>
      </x:c>
      <x:c r="Z149" s="80" t="n">
        <x:f>K149*'Inputs'!$B$16+(G149+R149)*J149*'Inputs'!$B$16</x:f>
        <x:v>0.00024434451436165604</x:v>
      </x:c>
      <x:c r="AA149" s="80" t="n">
        <x:f>K149*(1+'Inputs'!$E$44)/2*'Inputs'!$B$17</x:f>
        <x:v>0.0000655506319419903</x:v>
      </x:c>
      <x:c r="AB149" s="78" t="n">
        <x:f>(IF(J149&gt;0,K149*(1-'Inputs'!$E$44)/2/J149,0)+G149+R149)*'Inputs'!$B$17</x:f>
        <x:v>3476.0099346312422</x:v>
      </x:c>
      <x:c r="AC149" s="78" t="n">
        <x:f>AC148+AB149</x:f>
        <x:v>1409751322.3531256</x:v>
      </x:c>
      <x:c r="AD149" s="80" t="n">
        <x:f>Z149/(1+'Inputs'!$C$44)</x:f>
        <x:v>0.00019547561148932483</x:v>
      </x:c>
      <x:c r="AE149" s="80" t="n">
        <x:f>Z149-AD149</x:f>
        <x:v>0.000048868902872331214</x:v>
      </x:c>
      <x:c r="AF149" s="80" t="n">
        <x:f>D149*W149</x:f>
        <x:v>2.491924926876467e-7</x:v>
      </x:c>
      <x:c r="AG149" s="80" t="n">
        <x:f>C149*W149</x:f>
        <x:v>5.814491496045089e-7</x:v>
      </x:c>
      <x:c r="AH149" s="80" t="n">
        <x:f>2*'Inputs'!$B$8*'Inputs'!$C$44</x:f>
        <x:v>1250</x:v>
      </x:c>
      <x:c r="AI149" s="81" t="n">
        <x:f>IF(AH149&gt;0,(AE149+AF149)/AH149*365,0)</x:f>
        <x:v>0.000014342483846585506</x:v>
      </x:c>
      <x:c r="AJ149" s="81" t="n">
        <x:f>IF('Inputs'!$B$44&gt;0,AG149/('Inputs'!$B$19*'Inputs'!$B$44)*365,0)</x:f>
        <x:v>2.1222893960564575e-8</x:v>
      </x:c>
      <x:c r="AK149" s="81" t="n">
        <x:f>W149/MAX($W$4:W149)-1</x:f>
        <x:v>-0.9999999987144496</x:v>
      </x:c>
      <x:c r="AL149" s="83" t="n">
        <x:f>'Inputs'!$B$44</x:f>
        <x:v>1</x:v>
      </x:c>
      <x:c r="AM149" s="83" t="n">
        <x:f>'Inputs'!$C$44</x:f>
        <x:v>0.25</x:v>
      </x:c>
      <x:c r="AN149" s="83" t="n">
        <x:f>'Inputs'!$D$44</x:f>
        <x:v>0.2</x:v>
      </x:c>
      <x:c r="AO149" s="81" t="n">
        <x:f>'Inputs'!$E$44</x:f>
        <x:v>-0.2</x:v>
      </x:c>
    </x:row>
    <x:row r="150">
      <x:c r="A150" s="59" t="str">
        <x:v>No demand</x:v>
      </x:c>
      <x:c r="B150" s="59" t="n">
        <x:v>147</x:v>
      </x:c>
      <x:c r="C150" s="78" t="n">
        <x:f>(('Inputs'!$B$29*(3*147*'Inputs'!$B$12-147^2)/(2*'Inputs'!$B$12^2))-('Inputs'!$B$29*(3*146*'Inputs'!$B$12-146^2)/(2*'Inputs'!$B$12^2)))*'Inputs'!$B$44</x:f>
        <x:v>664357.9939951152</x:v>
      </x:c>
      <x:c r="D150" s="78" t="n">
        <x:f>IF('Inputs'!$C$44&gt;0,('Inputs'!$B$30*(3*147*'Inputs'!$B$12-147^2)/(2*'Inputs'!$B$12^2))-('Inputs'!$B$30*(3*146*'Inputs'!$B$12-146^2)/(2*'Inputs'!$B$12^2)),0)</x:f>
        <x:v>284724.85456933826</x:v>
      </x:c>
      <x:c r="E150" s="78" t="n">
        <x:f>C150+D150</x:f>
        <x:v>949082.8485644534</x:v>
      </x:c>
      <x:c r="F150" s="78" t="n">
        <x:f>'Inputs'!$B$13*E150+(1-'Inputs'!$B$13)/'Inputs'!$B$14*SUM(E95:E150)</x:f>
        <x:v>959300.5254269083</x:v>
      </x:c>
      <x:c r="G150" s="78" t="n">
        <x:f>F150*'Inputs'!$F$44</x:f>
        <x:v>863370.4728842175</x:v>
      </x:c>
      <x:c r="H150" s="78" t="n">
        <x:f>U149</x:f>
        <x:v>116381245430.78665</x:v>
      </x:c>
      <x:c r="I150" s="78" t="n">
        <x:f>V149</x:f>
        <x:v>0.10180757716374901</x:v>
      </x:c>
      <x:c r="J150" s="79" t="n">
        <x:f>IF(H150&gt;0,I150/H150,0)</x:f>
        <x:v>8.747764881438326e-13</x:v>
      </x:c>
      <x:c r="K150" s="80" t="n">
        <x:f>(H150*J150+I150)*'Inputs'!$D$44*(1+'Inputs'!$G$44)^(B150/30)</x:f>
        <x:v>0.04072303086549961</x:v>
      </x:c>
      <x:c r="L150" s="80" t="n">
        <x:f>MAX(0,K150*'Inputs'!$E$44)</x:f>
        <x:v>0</x:v>
      </x:c>
      <x:c r="M150" s="80" t="n">
        <x:f>MAX(0,-K150*'Inputs'!$E$44)</x:f>
        <x:v>0.008144606173099922</x:v>
      </x:c>
      <x:c r="N150" s="78" t="n">
        <x:f>H150*(L150*(1-'Inputs'!$B$15))/(I150+L150*(1-'Inputs'!$B$15))</x:f>
        <x:v>0</x:v>
      </x:c>
      <x:c r="O150" s="78" t="n">
        <x:f>H150-N150</x:f>
        <x:v>116381245430.78665</x:v>
      </x:c>
      <x:c r="P150" s="78" t="n">
        <x:f>I150+L150*(1-'Inputs'!$B$17)</x:f>
        <x:v>0.10180757716374901</x:v>
      </x:c>
      <x:c r="Q150" s="78" t="n">
        <x:f>IF(J150&gt;0,M150/J150,0)</x:f>
        <x:v>0</x:v>
      </x:c>
      <x:c r="R150" s="78" t="n">
        <x:f>IF(B150='Inputs'!$H$44,'Inputs'!$B$27*'Inputs'!$I$44,0)</x:f>
        <x:v>0</x:v>
      </x:c>
      <x:c r="S150" s="78" t="n">
        <x:f>Q150+G150+R150</x:f>
        <x:v>863370.4728842175</x:v>
      </x:c>
      <x:c r="T150" s="78" t="n">
        <x:f>P150*(S150*(1-'Inputs'!$B$15))/(O150+S150*(1-'Inputs'!$B$15))</x:f>
        <x:v>7.476981370278712e-7</x:v>
      </x:c>
      <x:c r="U150" s="78" t="n">
        <x:f>O150+S150*(1-'Inputs'!$B$17)</x:f>
        <x:v>116382105326.93167</x:v>
      </x:c>
      <x:c r="V150" s="78" t="n">
        <x:f>P150-T150</x:f>
        <x:v>0.10180682946561198</x:v>
      </x:c>
      <x:c r="W150" s="79" t="n">
        <x:f>IF(U150&gt;0,V150/U150,0)</x:f>
        <x:v>8.747636002942553e-13</x:v>
      </x:c>
      <x:c r="X150" s="80" t="n">
        <x:f>W150*('Inputs'!$B$6-AC150)</x:f>
        <x:v>-0.0003584385811824984</x:v>
      </x:c>
      <x:c r="Y150" s="80" t="n">
        <x:f>2*V150</x:f>
        <x:v>0.20361365893122396</x:v>
      </x:c>
      <x:c r="Z150" s="80" t="n">
        <x:f>K150*'Inputs'!$B$16+(G150+R150)*J150*'Inputs'!$B$16</x:f>
        <x:v>0.0002443427167301391</x:v>
      </x:c>
      <x:c r="AA150" s="80" t="n">
        <x:f>K150*(1+'Inputs'!$E$44)/2*'Inputs'!$B$17</x:f>
        <x:v>0.0000655501502865185</x:v>
      </x:c>
      <x:c r="AB150" s="78" t="n">
        <x:f>(IF(J150&gt;0,K150*(1-'Inputs'!$E$44)/2/J150,0)+G150+R150)*'Inputs'!$B$17</x:f>
        <x:v>3474.327858689004</x:v>
      </x:c>
      <x:c r="AC150" s="78" t="n">
        <x:f>AC149+AB150</x:f>
        <x:v>1409754796.6809843</x:v>
      </x:c>
      <x:c r="AD150" s="80" t="n">
        <x:f>Z150/(1+'Inputs'!$C$44)</x:f>
        <x:v>0.00019547417338411127</x:v>
      </x:c>
      <x:c r="AE150" s="80" t="n">
        <x:f>Z150-AD150</x:f>
        <x:v>0.00004886854334602782</x:v>
      </x:c>
      <x:c r="AF150" s="80" t="n">
        <x:f>D150*W150</x:f>
        <x:v>2.490669388763326e-7</x:v>
      </x:c>
      <x:c r="AG150" s="80" t="n">
        <x:f>C150*W150</x:f>
        <x:v>5.811561907114361e-7</x:v>
      </x:c>
      <x:c r="AH150" s="80" t="n">
        <x:f>2*'Inputs'!$B$8*'Inputs'!$C$44</x:f>
        <x:v>1250</x:v>
      </x:c>
      <x:c r="AI150" s="81" t="n">
        <x:f>IF(AH150&gt;0,(AE150+AF150)/AH150*365,0)</x:f>
        <x:v>0.000014342342203192013</x:v>
      </x:c>
      <x:c r="AJ150" s="81" t="n">
        <x:f>IF('Inputs'!$B$44&gt;0,AG150/('Inputs'!$B$19*'Inputs'!$B$44)*365,0)</x:f>
        <x:v>2.1212200960967418e-8</x:v>
      </x:c>
      <x:c r="AK150" s="81" t="n">
        <x:f>W150/MAX($W$4:W150)-1</x:f>
        <x:v>-0.9999999987144684</x:v>
      </x:c>
      <x:c r="AL150" s="83" t="n">
        <x:f>'Inputs'!$B$44</x:f>
        <x:v>1</x:v>
      </x:c>
      <x:c r="AM150" s="83" t="n">
        <x:f>'Inputs'!$C$44</x:f>
        <x:v>0.25</x:v>
      </x:c>
      <x:c r="AN150" s="83" t="n">
        <x:f>'Inputs'!$D$44</x:f>
        <x:v>0.2</x:v>
      </x:c>
      <x:c r="AO150" s="81" t="n">
        <x:f>'Inputs'!$E$44</x:f>
        <x:v>-0.2</x:v>
      </x:c>
    </x:row>
    <x:row r="151">
      <x:c r="A151" s="59" t="str">
        <x:v>No demand</x:v>
      </x:c>
      <x:c r="B151" s="59" t="n">
        <x:v>148</x:v>
      </x:c>
      <x:c r="C151" s="78" t="n">
        <x:f>(('Inputs'!$B$29*(3*148*'Inputs'!$B$12-148^2)/(2*'Inputs'!$B$12^2))-('Inputs'!$B$29*(3*147*'Inputs'!$B$12-147^2)/(2*'Inputs'!$B$12^2)))*'Inputs'!$B$44</x:f>
        <x:v>664032.8860949576</x:v>
      </x:c>
      <x:c r="D151" s="78" t="n">
        <x:f>IF('Inputs'!$C$44&gt;0,('Inputs'!$B$30*(3*148*'Inputs'!$B$12-148^2)/(2*'Inputs'!$B$12^2))-('Inputs'!$B$30*(3*147*'Inputs'!$B$12-147^2)/(2*'Inputs'!$B$12^2)),0)</x:f>
        <x:v>284585.5226121247</x:v>
      </x:c>
      <x:c r="E151" s="78" t="n">
        <x:f>C151+D151</x:f>
        <x:v>948618.4087070823</x:v>
      </x:c>
      <x:c r="F151" s="78" t="n">
        <x:f>'Inputs'!$B$13*E151+(1-'Inputs'!$B$13)/'Inputs'!$B$14*SUM(E96:E151)</x:f>
        <x:v>958836.0855695269</x:v>
      </x:c>
      <x:c r="G151" s="78" t="n">
        <x:f>F151*'Inputs'!$F$44</x:f>
        <x:v>862952.4770125742</x:v>
      </x:c>
      <x:c r="H151" s="78" t="n">
        <x:f>U150</x:f>
        <x:v>116382105326.93167</x:v>
      </x:c>
      <x:c r="I151" s="78" t="n">
        <x:f>V150</x:f>
        <x:v>0.10180682946561198</x:v>
      </x:c>
      <x:c r="J151" s="79" t="n">
        <x:f>IF(H151&gt;0,I151/H151,0)</x:f>
        <x:v>8.747636002942553e-13</x:v>
      </x:c>
      <x:c r="K151" s="80" t="n">
        <x:f>(H151*J151+I151)*'Inputs'!$D$44*(1+'Inputs'!$G$44)^(B151/30)</x:f>
        <x:v>0.0407227317862448</x:v>
      </x:c>
      <x:c r="L151" s="80" t="n">
        <x:f>MAX(0,K151*'Inputs'!$E$44)</x:f>
        <x:v>0</x:v>
      </x:c>
      <x:c r="M151" s="80" t="n">
        <x:f>MAX(0,-K151*'Inputs'!$E$44)</x:f>
        <x:v>0.00814454635724896</x:v>
      </x:c>
      <x:c r="N151" s="78" t="n">
        <x:f>H151*(L151*(1-'Inputs'!$B$15))/(I151+L151*(1-'Inputs'!$B$15))</x:f>
        <x:v>0</x:v>
      </x:c>
      <x:c r="O151" s="78" t="n">
        <x:f>H151-N151</x:f>
        <x:v>116382105326.93167</x:v>
      </x:c>
      <x:c r="P151" s="78" t="n">
        <x:f>I151+L151*(1-'Inputs'!$B$17)</x:f>
        <x:v>0.10180682946561198</x:v>
      </x:c>
      <x:c r="Q151" s="78" t="n">
        <x:f>IF(J151&gt;0,M151/J151,0)</x:f>
        <x:v>0</x:v>
      </x:c>
      <x:c r="R151" s="78" t="n">
        <x:f>IF(B151='Inputs'!$H$44,'Inputs'!$B$27*'Inputs'!$I$44,0)</x:f>
        <x:v>0</x:v>
      </x:c>
      <x:c r="S151" s="78" t="n">
        <x:f>Q151+G151+R151</x:f>
        <x:v>862952.4770125742</x:v>
      </x:c>
      <x:c r="T151" s="78" t="n">
        <x:f>P151*(S151*(1-'Inputs'!$B$15))/(O151+S151*(1-'Inputs'!$B$15))</x:f>
        <x:v>7.47325135648343e-7</x:v>
      </x:c>
      <x:c r="U151" s="78" t="n">
        <x:f>O151+S151*(1-'Inputs'!$B$17)</x:f>
        <x:v>116382964806.7629</x:v>
      </x:c>
      <x:c r="V151" s="78" t="n">
        <x:f>P151-T151</x:f>
        <x:v>0.10180608214047633</x:v>
      </x:c>
      <x:c r="W151" s="79" t="n">
        <x:f>IF(U151&gt;0,V151/U151,0)</x:f>
        <x:v>8.747507189691432e-13</x:v>
      </x:c>
      <x:c r="X151" s="80" t="n">
        <x:f>W151*('Inputs'!$B$6-AC151)</x:f>
        <x:v>-0.0003584363406971412</x:v>
      </x:c>
      <x:c r="Y151" s="80" t="n">
        <x:f>2*V151</x:f>
        <x:v>0.20361216428095266</x:v>
      </x:c>
      <x:c r="Z151" s="80" t="n">
        <x:f>K151*'Inputs'!$B$16+(G151+R151)*J151*'Inputs'!$B$16</x:f>
        <x:v>0.00024434091999396286</x:v>
      </x:c>
      <x:c r="AA151" s="80" t="n">
        <x:f>K151*(1+'Inputs'!$E$44)/2*'Inputs'!$B$17</x:f>
        <x:v>0.000065549668871219</x:v>
      </x:c>
      <x:c r="AB151" s="78" t="n">
        <x:f>(IF(J151&gt;0,K151*(1-'Inputs'!$E$44)/2/J151,0)+G151+R151)*'Inputs'!$B$17</x:f>
        <x:v>3472.645782746778</x:v>
      </x:c>
      <x:c r="AC151" s="78" t="n">
        <x:f>AC150+AB151</x:f>
        <x:v>1409758269.326767</x:v>
      </x:c>
      <x:c r="AD151" s="80" t="n">
        <x:f>Z151/(1+'Inputs'!$C$44)</x:f>
        <x:v>0.00019547273599517027</x:v>
      </x:c>
      <x:c r="AE151" s="80" t="n">
        <x:f>Z151-AD151</x:f>
        <x:v>0.00004886818399879258</x:v>
      </x:c>
      <x:c r="AF151" s="80" t="n">
        <x:f>D151*W151</x:f>
        <x:v>2.489413905131654e-7</x:v>
      </x:c>
      <x:c r="AG151" s="80" t="n">
        <x:f>C151*W151</x:f>
        <x:v>5.808632445307193e-7</x:v>
      </x:c>
      <x:c r="AH151" s="80" t="n">
        <x:f>2*'Inputs'!$B$8*'Inputs'!$C$44</x:f>
        <x:v>1250</x:v>
      </x:c>
      <x:c r="AI151" s="81" t="n">
        <x:f>IF(AH151&gt;0,(AE151+AF151)/AH151*365,0)</x:f>
        <x:v>0.000014342200613677277</x:v>
      </x:c>
      <x:c r="AJ151" s="81" t="n">
        <x:f>IF('Inputs'!$B$44&gt;0,AG151/('Inputs'!$B$19*'Inputs'!$B$44)*365,0)</x:f>
        <x:v>2.1201508425371253e-8</x:v>
      </x:c>
      <x:c r="AK151" s="81" t="n">
        <x:f>W151/MAX($W$4:W151)-1</x:f>
        <x:v>-0.9999999987144874</x:v>
      </x:c>
      <x:c r="AL151" s="83" t="n">
        <x:f>'Inputs'!$B$44</x:f>
        <x:v>1</x:v>
      </x:c>
      <x:c r="AM151" s="83" t="n">
        <x:f>'Inputs'!$C$44</x:f>
        <x:v>0.25</x:v>
      </x:c>
      <x:c r="AN151" s="83" t="n">
        <x:f>'Inputs'!$D$44</x:f>
        <x:v>0.2</x:v>
      </x:c>
      <x:c r="AO151" s="81" t="n">
        <x:f>'Inputs'!$E$44</x:f>
        <x:v>-0.2</x:v>
      </x:c>
    </x:row>
    <x:row r="152">
      <x:c r="A152" s="59" t="str">
        <x:v>No demand</x:v>
      </x:c>
      <x:c r="B152" s="59" t="n">
        <x:v>149</x:v>
      </x:c>
      <x:c r="C152" s="78" t="n">
        <x:f>(('Inputs'!$B$29*(3*149*'Inputs'!$B$12-149^2)/(2*'Inputs'!$B$12^2))-('Inputs'!$B$29*(3*148*'Inputs'!$B$12-148^2)/(2*'Inputs'!$B$12^2)))*'Inputs'!$B$44</x:f>
        <x:v>663707.7781947851</x:v>
      </x:c>
      <x:c r="D152" s="78" t="n">
        <x:f>IF('Inputs'!$C$44&gt;0,('Inputs'!$B$30*(3*149*'Inputs'!$B$12-149^2)/(2*'Inputs'!$B$12^2))-('Inputs'!$B$30*(3*148*'Inputs'!$B$12-148^2)/(2*'Inputs'!$B$12^2)),0)</x:f>
        <x:v>284446.19065490365</x:v>
      </x:c>
      <x:c r="E152" s="78" t="n">
        <x:f>C152+D152</x:f>
        <x:v>948153.9688496888</x:v>
      </x:c>
      <x:c r="F152" s="78" t="n">
        <x:f>'Inputs'!$B$13*E152+(1-'Inputs'!$B$13)/'Inputs'!$B$14*SUM(E97:E152)</x:f>
        <x:v>958371.645712141</x:v>
      </x:c>
      <x:c r="G152" s="78" t="n">
        <x:f>F152*'Inputs'!$F$44</x:f>
        <x:v>862534.4811409268</x:v>
      </x:c>
      <x:c r="H152" s="78" t="n">
        <x:f>U151</x:f>
        <x:v>116382964806.7629</x:v>
      </x:c>
      <x:c r="I152" s="78" t="n">
        <x:f>V151</x:f>
        <x:v>0.10180608214047633</x:v>
      </x:c>
      <x:c r="J152" s="79" t="n">
        <x:f>IF(H152&gt;0,I152/H152,0)</x:f>
        <x:v>8.747507189691432e-13</x:v>
      </x:c>
      <x:c r="K152" s="80" t="n">
        <x:f>(H152*J152+I152)*'Inputs'!$D$44*(1+'Inputs'!$G$44)^(B152/30)</x:f>
        <x:v>0.04072243285619054</x:v>
      </x:c>
      <x:c r="L152" s="80" t="n">
        <x:f>MAX(0,K152*'Inputs'!$E$44)</x:f>
        <x:v>0</x:v>
      </x:c>
      <x:c r="M152" s="80" t="n">
        <x:f>MAX(0,-K152*'Inputs'!$E$44)</x:f>
        <x:v>0.008144486571238108</x:v>
      </x:c>
      <x:c r="N152" s="78" t="n">
        <x:f>H152*(L152*(1-'Inputs'!$B$15))/(I152+L152*(1-'Inputs'!$B$15))</x:f>
        <x:v>0</x:v>
      </x:c>
      <x:c r="O152" s="78" t="n">
        <x:f>H152-N152</x:f>
        <x:v>116382964806.7629</x:v>
      </x:c>
      <x:c r="P152" s="78" t="n">
        <x:f>I152+L152*(1-'Inputs'!$B$17)</x:f>
        <x:v>0.10180608214047633</x:v>
      </x:c>
      <x:c r="Q152" s="78" t="n">
        <x:f>IF(J152&gt;0,M152/J152,0)</x:f>
        <x:v>0</x:v>
      </x:c>
      <x:c r="R152" s="78" t="n">
        <x:f>IF(B152='Inputs'!$H$44,'Inputs'!$B$27*'Inputs'!$I$44,0)</x:f>
        <x:v>0</x:v>
      </x:c>
      <x:c r="S152" s="78" t="n">
        <x:f>Q152+G152+R152</x:f>
        <x:v>862534.4811409268</x:v>
      </x:c>
      <x:c r="T152" s="78" t="n">
        <x:f>P152*(S152*(1-'Inputs'!$B$15))/(O152+S152*(1-'Inputs'!$B$15))</x:f>
        <x:v>7.469521505036345e-7</x:v>
      </x:c>
      <x:c r="U152" s="78" t="n">
        <x:f>O152+S152*(1-'Inputs'!$B$17)</x:f>
        <x:v>116383823870.28033</x:v>
      </x:c>
      <x:c r="V152" s="78" t="n">
        <x:f>P152-T152</x:f>
        <x:v>0.10180533518832582</x:v>
      </x:c>
      <x:c r="W152" s="79" t="n">
        <x:f>IF(U152&gt;0,V152/U152,0)</x:f>
        <x:v>8.747378441680738e-13</x:v>
      </x:c>
      <x:c r="X152" s="80" t="n">
        <x:f>W152*('Inputs'!$B$6-AC152)</x:f>
        <x:v>-0.0003584341013242471</x:v>
      </x:c>
      <x:c r="Y152" s="80" t="n">
        <x:f>2*V152</x:f>
        <x:v>0.20361067037665165</x:v>
      </x:c>
      <x:c r="Z152" s="80" t="n">
        <x:f>K152*'Inputs'!$B$16+(G152+R152)*J152*'Inputs'!$B$16</x:f>
        <x:v>0.00024433912415308836</x:v>
      </x:c>
      <x:c r="AA152" s="80" t="n">
        <x:f>K152*(1+'Inputs'!$E$44)/2*'Inputs'!$B$17</x:f>
        <x:v>0.00006554918769608137</x:v>
      </x:c>
      <x:c r="AB152" s="78" t="n">
        <x:f>(IF(J152&gt;0,K152*(1-'Inputs'!$E$44)/2/J152,0)+G152+R152)*'Inputs'!$B$17</x:f>
        <x:v>3470.963706804535</x:v>
      </x:c>
      <x:c r="AC152" s="78" t="n">
        <x:f>AC151+AB152</x:f>
        <x:v>1409761740.2904737</x:v>
      </x:c>
      <x:c r="AD152" s="80" t="n">
        <x:f>Z152/(1+'Inputs'!$C$44)</x:f>
        <x:v>0.00019547129932247068</x:v>
      </x:c>
      <x:c r="AE152" s="80" t="n">
        <x:f>Z152-AD152</x:f>
        <x:v>0.00004886782483061767</x:v>
      </x:c>
      <x:c r="AF152" s="80" t="n">
        <x:f>D152*W152</x:f>
        <x:v>2.488158475952913e-7</x:v>
      </x:c>
      <x:c r="AG152" s="80" t="n">
        <x:f>C152*W152</x:f>
        <x:v>5.805703110556885e-7</x:v>
      </x:c>
      <x:c r="AH152" s="80" t="n">
        <x:f>2*'Inputs'!$B$8*'Inputs'!$C$44</x:f>
        <x:v>1250</x:v>
      </x:c>
      <x:c r="AI152" s="81" t="n">
        <x:f>IF(AH152&gt;0,(AE152+AF152)/AH152*365,0)</x:f>
        <x:v>0.000014342059078038185</x:v>
      </x:c>
      <x:c r="AJ152" s="81" t="n">
        <x:f>IF('Inputs'!$B$44&gt;0,AG152/('Inputs'!$B$19*'Inputs'!$B$44)*365,0)</x:f>
        <x:v>2.119081635353263e-8</x:v>
      </x:c>
      <x:c r="AK152" s="81" t="n">
        <x:f>W152/MAX($W$4:W152)-1</x:f>
        <x:v>-0.9999999987145063</x:v>
      </x:c>
      <x:c r="AL152" s="83" t="n">
        <x:f>'Inputs'!$B$44</x:f>
        <x:v>1</x:v>
      </x:c>
      <x:c r="AM152" s="83" t="n">
        <x:f>'Inputs'!$C$44</x:f>
        <x:v>0.25</x:v>
      </x:c>
      <x:c r="AN152" s="83" t="n">
        <x:f>'Inputs'!$D$44</x:f>
        <x:v>0.2</x:v>
      </x:c>
      <x:c r="AO152" s="81" t="n">
        <x:f>'Inputs'!$E$44</x:f>
        <x:v>-0.2</x:v>
      </x:c>
    </x:row>
    <x:row r="153">
      <x:c r="A153" s="59" t="str">
        <x:v>No demand</x:v>
      </x:c>
      <x:c r="B153" s="59" t="n">
        <x:v>150</x:v>
      </x:c>
      <x:c r="C153" s="78" t="n">
        <x:f>(('Inputs'!$B$29*(3*150*'Inputs'!$B$12-150^2)/(2*'Inputs'!$B$12^2))-('Inputs'!$B$29*(3*149*'Inputs'!$B$12-149^2)/(2*'Inputs'!$B$12^2)))*'Inputs'!$B$44</x:f>
        <x:v>663382.6702946126</x:v>
      </x:c>
      <x:c r="D153" s="78" t="n">
        <x:f>IF('Inputs'!$C$44&gt;0,('Inputs'!$B$30*(3*150*'Inputs'!$B$12-150^2)/(2*'Inputs'!$B$12^2))-('Inputs'!$B$30*(3*149*'Inputs'!$B$12-149^2)/(2*'Inputs'!$B$12^2)),0)</x:f>
        <x:v>284306.85869769007</x:v>
      </x:c>
      <x:c r="E153" s="78" t="n">
        <x:f>C153+D153</x:f>
        <x:v>947689.5289923027</x:v>
      </x:c>
      <x:c r="F153" s="78" t="n">
        <x:f>'Inputs'!$B$13*E153+(1-'Inputs'!$B$13)/'Inputs'!$B$14*SUM(E98:E153)</x:f>
        <x:v>957907.2058547564</x:v>
      </x:c>
      <x:c r="G153" s="78" t="n">
        <x:f>F153*'Inputs'!$F$44</x:f>
        <x:v>862116.4852692807</x:v>
      </x:c>
      <x:c r="H153" s="78" t="n">
        <x:f>U152</x:f>
        <x:v>116383823870.28033</x:v>
      </x:c>
      <x:c r="I153" s="78" t="n">
        <x:f>V152</x:f>
        <x:v>0.10180533518832582</x:v>
      </x:c>
      <x:c r="J153" s="79" t="n">
        <x:f>IF(H153&gt;0,I153/H153,0)</x:f>
        <x:v>8.747378441680738e-13</x:v>
      </x:c>
      <x:c r="K153" s="80" t="n">
        <x:f>(H153*J153+I153)*'Inputs'!$D$44*(1+'Inputs'!$G$44)^(B153/30)</x:f>
        <x:v>0.04072213407533033</x:v>
      </x:c>
      <x:c r="L153" s="80" t="n">
        <x:f>MAX(0,K153*'Inputs'!$E$44)</x:f>
        <x:v>0</x:v>
      </x:c>
      <x:c r="M153" s="80" t="n">
        <x:f>MAX(0,-K153*'Inputs'!$E$44)</x:f>
        <x:v>0.008144426815066066</x:v>
      </x:c>
      <x:c r="N153" s="78" t="n">
        <x:f>H153*(L153*(1-'Inputs'!$B$15))/(I153+L153*(1-'Inputs'!$B$15))</x:f>
        <x:v>0</x:v>
      </x:c>
      <x:c r="O153" s="78" t="n">
        <x:f>H153-N153</x:f>
        <x:v>116383823870.28033</x:v>
      </x:c>
      <x:c r="P153" s="78" t="n">
        <x:f>I153+L153*(1-'Inputs'!$B$17)</x:f>
        <x:v>0.10180533518832582</x:v>
      </x:c>
      <x:c r="Q153" s="78" t="n">
        <x:f>IF(J153&gt;0,M153/J153,0)</x:f>
        <x:v>0</x:v>
      </x:c>
      <x:c r="R153" s="78" t="n">
        <x:f>IF(B153='Inputs'!$H$44,'Inputs'!$B$27*'Inputs'!$I$44,0)</x:f>
        <x:v>0</x:v>
      </x:c>
      <x:c r="S153" s="78" t="n">
        <x:f>Q153+G153+R153</x:f>
        <x:v>862116.4852692807</x:v>
      </x:c>
      <x:c r="T153" s="78" t="n">
        <x:f>P153*(S153*(1-'Inputs'!$B$15))/(O153+S153*(1-'Inputs'!$B$15))</x:f>
        <x:v>7.465791815852903e-7</x:v>
      </x:c>
      <x:c r="U153" s="78" t="n">
        <x:f>O153+S153*(1-'Inputs'!$B$17)</x:f>
        <x:v>116384682517.48398</x:v>
      </x:c>
      <x:c r="V153" s="78" t="n">
        <x:f>P153-T153</x:f>
        <x:v>0.10180458860914424</x:v>
      </x:c>
      <x:c r="W153" s="79" t="n">
        <x:f>IF(U153&gt;0,V153/U153,0)</x:f>
        <x:v>8.747249758906252e-13</x:v>
      </x:c>
      <x:c r="X153" s="80" t="n">
        <x:f>W153*('Inputs'!$B$6-AC153)</x:f>
        <x:v>-0.00035843186306377603</x:v>
      </x:c>
      <x:c r="Y153" s="80" t="n">
        <x:f>2*V153</x:f>
        <x:v>0.20360917721828847</x:v>
      </x:c>
      <x:c r="Z153" s="80" t="n">
        <x:f>K153*'Inputs'!$B$16+(G153+R153)*J153*'Inputs'!$B$16</x:f>
        <x:v>0.0002443373292074765</x:v>
      </x:c>
      <x:c r="AA153" s="80" t="n">
        <x:f>K153*(1+'Inputs'!$E$44)/2*'Inputs'!$B$17</x:f>
        <x:v>0.00006554870676109511</x:v>
      </x:c>
      <x:c r="AB153" s="78" t="n">
        <x:f>(IF(J153&gt;0,K153*(1-'Inputs'!$E$44)/2/J153,0)+G153+R153)*'Inputs'!$B$17</x:f>
        <x:v>3469.281630862297</x:v>
      </x:c>
      <x:c r="AC153" s="78" t="n">
        <x:f>AC152+AB153</x:f>
        <x:v>1409765209.5721045</x:v>
      </x:c>
      <x:c r="AD153" s="80" t="n">
        <x:f>Z153/(1+'Inputs'!$C$44)</x:f>
        <x:v>0.0001954698633659812</x:v>
      </x:c>
      <x:c r="AE153" s="80" t="n">
        <x:f>Z153-AD153</x:f>
        <x:v>0.00004886746584149531</x:v>
      </x:c>
      <x:c r="AF153" s="80" t="n">
        <x:f>D153*W153</x:f>
        <x:v>2.4869031011987634e-7</x:v>
      </x:c>
      <x:c r="AG153" s="80" t="n">
        <x:f>C153*W153</x:f>
        <x:v>5.802773902797136e-7</x:v>
      </x:c>
      <x:c r="AH153" s="80" t="n">
        <x:f>2*'Inputs'!$B$8*'Inputs'!$C$44</x:f>
        <x:v>1250</x:v>
      </x:c>
      <x:c r="AI153" s="81" t="n">
        <x:f>IF(AH153&gt;0,(AE153+AF153)/AH153*365,0)</x:f>
        <x:v>0.000014341917596271634</x:v>
      </x:c>
      <x:c r="AJ153" s="81" t="n">
        <x:f>IF('Inputs'!$B$44&gt;0,AG153/('Inputs'!$B$19*'Inputs'!$B$44)*365,0)</x:f>
        <x:v>2.1180124745209547e-8</x:v>
      </x:c>
      <x:c r="AK153" s="81" t="n">
        <x:f>W153/MAX($W$4:W153)-1</x:f>
        <x:v>-0.9999999987145252</x:v>
      </x:c>
      <x:c r="AL153" s="83" t="n">
        <x:f>'Inputs'!$B$44</x:f>
        <x:v>1</x:v>
      </x:c>
      <x:c r="AM153" s="83" t="n">
        <x:f>'Inputs'!$C$44</x:f>
        <x:v>0.25</x:v>
      </x:c>
      <x:c r="AN153" s="83" t="n">
        <x:f>'Inputs'!$D$44</x:f>
        <x:v>0.2</x:v>
      </x:c>
      <x:c r="AO153" s="81" t="n">
        <x:f>'Inputs'!$E$44</x:f>
        <x:v>-0.2</x:v>
      </x:c>
    </x:row>
    <x:row r="154">
      <x:c r="A154" s="59" t="str">
        <x:v>No demand</x:v>
      </x:c>
      <x:c r="B154" s="59" t="n">
        <x:v>151</x:v>
      </x:c>
      <x:c r="C154" s="78" t="n">
        <x:f>(('Inputs'!$B$29*(3*151*'Inputs'!$B$12-151^2)/(2*'Inputs'!$B$12^2))-('Inputs'!$B$29*(3*150*'Inputs'!$B$12-150^2)/(2*'Inputs'!$B$12^2)))*'Inputs'!$B$44</x:f>
        <x:v>663057.5623944402</x:v>
      </x:c>
      <x:c r="D154" s="78" t="n">
        <x:f>IF('Inputs'!$C$44&gt;0,('Inputs'!$B$30*(3*151*'Inputs'!$B$12-151^2)/(2*'Inputs'!$B$12^2))-('Inputs'!$B$30*(3*150*'Inputs'!$B$12-150^2)/(2*'Inputs'!$B$12^2)),0)</x:f>
        <x:v>284167.5267404765</x:v>
      </x:c>
      <x:c r="E154" s="78" t="n">
        <x:f>C154+D154</x:f>
        <x:v>947225.0891349167</x:v>
      </x:c>
      <x:c r="F154" s="78" t="n">
        <x:f>'Inputs'!$B$13*E154+(1-'Inputs'!$B$13)/'Inputs'!$B$14*SUM(E99:E154)</x:f>
        <x:v>957442.7659973718</x:v>
      </x:c>
      <x:c r="G154" s="78" t="n">
        <x:f>F154*'Inputs'!$F$44</x:f>
        <x:v>861698.4893976346</x:v>
      </x:c>
      <x:c r="H154" s="78" t="n">
        <x:f>U153</x:f>
        <x:v>116384682517.48398</x:v>
      </x:c>
      <x:c r="I154" s="78" t="n">
        <x:f>V153</x:f>
        <x:v>0.10180458860914424</x:v>
      </x:c>
      <x:c r="J154" s="79" t="n">
        <x:f>IF(H154&gt;0,I154/H154,0)</x:f>
        <x:v>8.747249758906252e-13</x:v>
      </x:c>
      <x:c r="K154" s="80" t="n">
        <x:f>(H154*J154+I154)*'Inputs'!$D$44*(1+'Inputs'!$G$44)^(B154/30)</x:f>
        <x:v>0.0407218354436577</x:v>
      </x:c>
      <x:c r="L154" s="80" t="n">
        <x:f>MAX(0,K154*'Inputs'!$E$44)</x:f>
        <x:v>0</x:v>
      </x:c>
      <x:c r="M154" s="80" t="n">
        <x:f>MAX(0,-K154*'Inputs'!$E$44)</x:f>
        <x:v>0.00814436708873154</x:v>
      </x:c>
      <x:c r="N154" s="78" t="n">
        <x:f>H154*(L154*(1-'Inputs'!$B$15))/(I154+L154*(1-'Inputs'!$B$15))</x:f>
        <x:v>0</x:v>
      </x:c>
      <x:c r="O154" s="78" t="n">
        <x:f>H154-N154</x:f>
        <x:v>116384682517.48398</x:v>
      </x:c>
      <x:c r="P154" s="78" t="n">
        <x:f>I154+L154*(1-'Inputs'!$B$17)</x:f>
        <x:v>0.10180458860914424</x:v>
      </x:c>
      <x:c r="Q154" s="78" t="n">
        <x:f>IF(J154&gt;0,M154/J154,0)</x:f>
        <x:v>0</x:v>
      </x:c>
      <x:c r="R154" s="78" t="n">
        <x:f>IF(B154='Inputs'!$H$44,'Inputs'!$B$27*'Inputs'!$I$44,0)</x:f>
        <x:v>0</x:v>
      </x:c>
      <x:c r="S154" s="78" t="n">
        <x:f>Q154+G154+R154</x:f>
        <x:v>861698.4893976346</x:v>
      </x:c>
      <x:c r="T154" s="78" t="n">
        <x:f>P154*(S154*(1-'Inputs'!$B$15))/(O154+S154*(1-'Inputs'!$B$15))</x:f>
        <x:v>7.462062288848508e-7</x:v>
      </x:c>
      <x:c r="U154" s="78" t="n">
        <x:f>O154+S154*(1-'Inputs'!$B$17)</x:f>
        <x:v>116385540748.37383</x:v>
      </x:c>
      <x:c r="V154" s="78" t="n">
        <x:f>P154-T154</x:f>
        <x:v>0.10180384240291535</x:v>
      </x:c>
      <x:c r="W154" s="79" t="n">
        <x:f>IF(U154&gt;0,V154/U154,0)</x:f>
        <x:v>8.747121141363755e-13</x:v>
      </x:c>
      <x:c r="X154" s="80" t="n">
        <x:f>W154*('Inputs'!$B$6-AC154)</x:f>
        <x:v>-0.0003584296259156882</x:v>
      </x:c>
      <x:c r="Y154" s="80" t="n">
        <x:f>2*V154</x:f>
        <x:v>0.2036076848058307</x:v>
      </x:c>
      <x:c r="Z154" s="80" t="n">
        <x:f>K154*'Inputs'!$B$16+(G154+R154)*J154*'Inputs'!$B$16</x:f>
        <x:v>0.00024433553515708833</x:v>
      </x:c>
      <x:c r="AA154" s="80" t="n">
        <x:f>K154*(1+'Inputs'!$E$44)/2*'Inputs'!$B$17</x:f>
        <x:v>0.00006554822606624983</x:v>
      </x:c>
      <x:c r="AB154" s="78" t="n">
        <x:f>(IF(J154&gt;0,K154*(1-'Inputs'!$E$44)/2/J154,0)+G154+R154)*'Inputs'!$B$17</x:f>
        <x:v>3467.5995549200593</x:v>
      </x:c>
      <x:c r="AC154" s="78" t="n">
        <x:f>AC153+AB154</x:f>
        <x:v>1409768677.1716595</x:v>
      </x:c>
      <x:c r="AD154" s="80" t="n">
        <x:f>Z154/(1+'Inputs'!$C$44)</x:f>
        <x:v>0.00019546842812567068</x:v>
      </x:c>
      <x:c r="AE154" s="80" t="n">
        <x:f>Z154-AD154</x:f>
        <x:v>0.000048867107031417656</x:v>
      </x:c>
      <x:c r="AF154" s="80" t="n">
        <x:f>D154*W154</x:f>
        <x:v>2.485647780840672e-7</x:v>
      </x:c>
      <x:c r="AG154" s="80" t="n">
        <x:f>C154*W154</x:f>
        <x:v>5.799844821961525e-7</x:v>
      </x:c>
      <x:c r="AH154" s="80" t="n">
        <x:f>2*'Inputs'!$B$8*'Inputs'!$C$44</x:f>
        <x:v>1250</x:v>
      </x:c>
      <x:c r="AI154" s="81" t="n">
        <x:f>IF(AH154&gt;0,(AE154+AF154)/AH154*365,0)</x:f>
        <x:v>0.000014341776168374503</x:v>
      </x:c>
      <x:c r="AJ154" s="81" t="n">
        <x:f>IF('Inputs'!$B$44&gt;0,AG154/('Inputs'!$B$19*'Inputs'!$B$44)*365,0)</x:f>
        <x:v>2.1169433600159565e-8</x:v>
      </x:c>
      <x:c r="AK154" s="81" t="n">
        <x:f>W154/MAX($W$4:W154)-1</x:f>
        <x:v>-0.9999999987145441</x:v>
      </x:c>
      <x:c r="AL154" s="83" t="n">
        <x:f>'Inputs'!$B$44</x:f>
        <x:v>1</x:v>
      </x:c>
      <x:c r="AM154" s="83" t="n">
        <x:f>'Inputs'!$C$44</x:f>
        <x:v>0.25</x:v>
      </x:c>
      <x:c r="AN154" s="83" t="n">
        <x:f>'Inputs'!$D$44</x:f>
        <x:v>0.2</x:v>
      </x:c>
      <x:c r="AO154" s="81" t="n">
        <x:f>'Inputs'!$E$44</x:f>
        <x:v>-0.2</x:v>
      </x:c>
    </x:row>
    <x:row r="155">
      <x:c r="A155" s="59" t="str">
        <x:v>No demand</x:v>
      </x:c>
      <x:c r="B155" s="59" t="n">
        <x:v>152</x:v>
      </x:c>
      <x:c r="C155" s="78" t="n">
        <x:f>(('Inputs'!$B$29*(3*152*'Inputs'!$B$12-152^2)/(2*'Inputs'!$B$12^2))-('Inputs'!$B$29*(3*151*'Inputs'!$B$12-151^2)/(2*'Inputs'!$B$12^2)))*'Inputs'!$B$44</x:f>
        <x:v>662732.4544942826</x:v>
      </x:c>
      <x:c r="D155" s="78" t="n">
        <x:f>IF('Inputs'!$C$44&gt;0,('Inputs'!$B$30*(3*152*'Inputs'!$B$12-152^2)/(2*'Inputs'!$B$12^2))-('Inputs'!$B$30*(3*151*'Inputs'!$B$12-151^2)/(2*'Inputs'!$B$12^2)),0)</x:f>
        <x:v>284028.1947832629</x:v>
      </x:c>
      <x:c r="E155" s="78" t="n">
        <x:f>C155+D155</x:f>
        <x:v>946760.6492775455</x:v>
      </x:c>
      <x:c r="F155" s="78" t="n">
        <x:f>'Inputs'!$B$13*E155+(1-'Inputs'!$B$13)/'Inputs'!$B$14*SUM(E100:E155)</x:f>
        <x:v>956978.3261399904</x:v>
      </x:c>
      <x:c r="G155" s="78" t="n">
        <x:f>F155*'Inputs'!$F$44</x:f>
        <x:v>861280.4935259913</x:v>
      </x:c>
      <x:c r="H155" s="78" t="n">
        <x:f>U154</x:f>
        <x:v>116385540748.37383</x:v>
      </x:c>
      <x:c r="I155" s="78" t="n">
        <x:f>V154</x:f>
        <x:v>0.10180384240291535</x:v>
      </x:c>
      <x:c r="J155" s="79" t="n">
        <x:f>IF(H155&gt;0,I155/H155,0)</x:f>
        <x:v>8.747121141363755e-13</x:v>
      </x:c>
      <x:c r="K155" s="80" t="n">
        <x:f>(H155*J155+I155)*'Inputs'!$D$44*(1+'Inputs'!$G$44)^(B155/30)</x:f>
        <x:v>0.04072153696116614</x:v>
      </x:c>
      <x:c r="L155" s="80" t="n">
        <x:f>MAX(0,K155*'Inputs'!$E$44)</x:f>
        <x:v>0</x:v>
      </x:c>
      <x:c r="M155" s="80" t="n">
        <x:f>MAX(0,-K155*'Inputs'!$E$44)</x:f>
        <x:v>0.008144307392233228</x:v>
      </x:c>
      <x:c r="N155" s="78" t="n">
        <x:f>H155*(L155*(1-'Inputs'!$B$15))/(I155+L155*(1-'Inputs'!$B$15))</x:f>
        <x:v>0</x:v>
      </x:c>
      <x:c r="O155" s="78" t="n">
        <x:f>H155-N155</x:f>
        <x:v>116385540748.37383</x:v>
      </x:c>
      <x:c r="P155" s="78" t="n">
        <x:f>I155+L155*(1-'Inputs'!$B$17)</x:f>
        <x:v>0.10180384240291535</x:v>
      </x:c>
      <x:c r="Q155" s="78" t="n">
        <x:f>IF(J155&gt;0,M155/J155,0)</x:f>
        <x:v>0</x:v>
      </x:c>
      <x:c r="R155" s="78" t="n">
        <x:f>IF(B155='Inputs'!$H$44,'Inputs'!$B$27*'Inputs'!$I$44,0)</x:f>
        <x:v>0</x:v>
      </x:c>
      <x:c r="S155" s="78" t="n">
        <x:f>Q155+G155+R155</x:f>
        <x:v>861280.4935259913</x:v>
      </x:c>
      <x:c r="T155" s="78" t="n">
        <x:f>P155*(S155*(1-'Inputs'!$B$15))/(O155+S155*(1-'Inputs'!$B$15))</x:f>
        <x:v>7.458332923938601e-7</x:v>
      </x:c>
      <x:c r="U155" s="78" t="n">
        <x:f>O155+S155*(1-'Inputs'!$B$17)</x:f>
        <x:v>116386398562.94987</x:v>
      </x:c>
      <x:c r="V155" s="78" t="n">
        <x:f>P155-T155</x:f>
        <x:v>0.10180309656962296</x:v>
      </x:c>
      <x:c r="W155" s="79" t="n">
        <x:f>IF(U155&gt;0,V155/U155,0)</x:f>
        <x:v>8.746992589049033e-13</x:v>
      </x:c>
      <x:c r="X155" s="80" t="n">
        <x:f>W155*('Inputs'!$B$6-AC155)</x:f>
        <x:v>-0.00035842738987994346</x:v>
      </x:c>
      <x:c r="Y155" s="80" t="n">
        <x:f>2*V155</x:f>
        <x:v>0.2036061931392459</x:v>
      </x:c>
      <x:c r="Z155" s="80" t="n">
        <x:f>K155*'Inputs'!$B$16+(G155+R155)*J155*'Inputs'!$B$16</x:f>
        <x:v>0.000244333742001885</x:v>
      </x:c>
      <x:c r="AA155" s="80" t="n">
        <x:f>K155*(1+'Inputs'!$E$44)/2*'Inputs'!$B$17</x:f>
        <x:v>0.00006554774561153504</x:v>
      </x:c>
      <x:c r="AB155" s="78" t="n">
        <x:f>(IF(J155&gt;0,K155*(1-'Inputs'!$E$44)/2/J155,0)+G155+R155)*'Inputs'!$B$17</x:f>
        <x:v>3465.9174789778326</x:v>
      </x:c>
      <x:c r="AC155" s="78" t="n">
        <x:f>AC154+AB155</x:f>
        <x:v>1409772143.0891385</x:v>
      </x:c>
      <x:c r="AD155" s="80" t="n">
        <x:f>Z155/(1+'Inputs'!$C$44)</x:f>
        <x:v>0.00019546699360150802</x:v>
      </x:c>
      <x:c r="AE155" s="80" t="n">
        <x:f>Z155-AD155</x:f>
        <x:v>0.00004886674840037699</x:v>
      </x:c>
      <x:c r="AF155" s="80" t="n">
        <x:f>D155*W155</x:f>
        <x:v>2.484392514850176e-7</x:v>
      </x:c>
      <x:c r="AG155" s="80" t="n">
        <x:f>C155*W155</x:f>
        <x:v>5.796915867983765e-7</x:v>
      </x:c>
      <x:c r="AH155" s="80" t="n">
        <x:f>2*'Inputs'!$B$8*'Inputs'!$C$44</x:f>
        <x:v>1250</x:v>
      </x:c>
      <x:c r="AI155" s="81" t="n">
        <x:f>IF(AH155&gt;0,(AE155+AF155)/AH155*365,0)</x:f>
        <x:v>0.000014341634794343708</x:v>
      </x:c>
      <x:c r="AJ155" s="81" t="n">
        <x:f>IF('Inputs'!$B$44&gt;0,AG155/('Inputs'!$B$19*'Inputs'!$B$44)*365,0)</x:f>
        <x:v>2.1158742918140743e-8</x:v>
      </x:c>
      <x:c r="AK155" s="81" t="n">
        <x:f>W155/MAX($W$4:W155)-1</x:f>
        <x:v>-0.999999998714563</x:v>
      </x:c>
      <x:c r="AL155" s="83" t="n">
        <x:f>'Inputs'!$B$44</x:f>
        <x:v>1</x:v>
      </x:c>
      <x:c r="AM155" s="83" t="n">
        <x:f>'Inputs'!$C$44</x:f>
        <x:v>0.25</x:v>
      </x:c>
      <x:c r="AN155" s="83" t="n">
        <x:f>'Inputs'!$D$44</x:f>
        <x:v>0.2</x:v>
      </x:c>
      <x:c r="AO155" s="81" t="n">
        <x:f>'Inputs'!$E$44</x:f>
        <x:v>-0.2</x:v>
      </x:c>
    </x:row>
    <x:row r="156">
      <x:c r="A156" s="59" t="str">
        <x:v>No demand</x:v>
      </x:c>
      <x:c r="B156" s="59" t="n">
        <x:v>153</x:v>
      </x:c>
      <x:c r="C156" s="78" t="n">
        <x:f>(('Inputs'!$B$29*(3*153*'Inputs'!$B$12-153^2)/(2*'Inputs'!$B$12^2))-('Inputs'!$B$29*(3*152*'Inputs'!$B$12-152^2)/(2*'Inputs'!$B$12^2)))*'Inputs'!$B$44</x:f>
        <x:v>662407.3465941101</x:v>
      </x:c>
      <x:c r="D156" s="78" t="n">
        <x:f>IF('Inputs'!$C$44&gt;0,('Inputs'!$B$30*(3*153*'Inputs'!$B$12-153^2)/(2*'Inputs'!$B$12^2))-('Inputs'!$B$30*(3*152*'Inputs'!$B$12-152^2)/(2*'Inputs'!$B$12^2)),0)</x:f>
        <x:v>283888.8628260493</x:v>
      </x:c>
      <x:c r="E156" s="78" t="n">
        <x:f>C156+D156</x:f>
        <x:v>946296.2094201595</x:v>
      </x:c>
      <x:c r="F156" s="78" t="n">
        <x:f>'Inputs'!$B$13*E156+(1-'Inputs'!$B$13)/'Inputs'!$B$14*SUM(E101:E156)</x:f>
        <x:v>956513.8862826059</x:v>
      </x:c>
      <x:c r="G156" s="78" t="n">
        <x:f>F156*'Inputs'!$F$44</x:f>
        <x:v>860862.4976543454</x:v>
      </x:c>
      <x:c r="H156" s="78" t="n">
        <x:f>U155</x:f>
        <x:v>116386398562.94987</x:v>
      </x:c>
      <x:c r="I156" s="78" t="n">
        <x:f>V155</x:f>
        <x:v>0.10180309656962296</x:v>
      </x:c>
      <x:c r="J156" s="79" t="n">
        <x:f>IF(H156&gt;0,I156/H156,0)</x:f>
        <x:v>8.746992589049033e-13</x:v>
      </x:c>
      <x:c r="K156" s="80" t="n">
        <x:f>(H156*J156+I156)*'Inputs'!$D$44*(1+'Inputs'!$G$44)^(B156/30)</x:f>
        <x:v>0.04072123862784918</x:v>
      </x:c>
      <x:c r="L156" s="80" t="n">
        <x:f>MAX(0,K156*'Inputs'!$E$44)</x:f>
        <x:v>0</x:v>
      </x:c>
      <x:c r="M156" s="80" t="n">
        <x:f>MAX(0,-K156*'Inputs'!$E$44)</x:f>
        <x:v>0.008144247725569837</x:v>
      </x:c>
      <x:c r="N156" s="78" t="n">
        <x:f>H156*(L156*(1-'Inputs'!$B$15))/(I156+L156*(1-'Inputs'!$B$15))</x:f>
        <x:v>0</x:v>
      </x:c>
      <x:c r="O156" s="78" t="n">
        <x:f>H156-N156</x:f>
        <x:v>116386398562.94987</x:v>
      </x:c>
      <x:c r="P156" s="78" t="n">
        <x:f>I156+L156*(1-'Inputs'!$B$17)</x:f>
        <x:v>0.10180309656962296</x:v>
      </x:c>
      <x:c r="Q156" s="78" t="n">
        <x:f>IF(J156&gt;0,M156/J156,0)</x:f>
        <x:v>0</x:v>
      </x:c>
      <x:c r="R156" s="78" t="n">
        <x:f>IF(B156='Inputs'!$H$44,'Inputs'!$B$27*'Inputs'!$I$44,0)</x:f>
        <x:v>0</x:v>
      </x:c>
      <x:c r="S156" s="78" t="n">
        <x:f>Q156+G156+R156</x:f>
        <x:v>860862.4976543454</x:v>
      </x:c>
      <x:c r="T156" s="78" t="n">
        <x:f>P156*(S156*(1-'Inputs'!$B$15))/(O156+S156*(1-'Inputs'!$B$15))</x:f>
        <x:v>7.454603721038563e-7</x:v>
      </x:c>
      <x:c r="U156" s="78" t="n">
        <x:f>O156+S156*(1-'Inputs'!$B$17)</x:f>
        <x:v>116387255961.21213</x:v>
      </x:c>
      <x:c r="V156" s="78" t="n">
        <x:f>P156-T156</x:f>
        <x:v>0.10180235110925086</x:v>
      </x:c>
      <x:c r="W156" s="79" t="n">
        <x:f>IF(U156&gt;0,V156/U156,0)</x:f>
        <x:v>8.746864101957871e-13</x:v>
      </x:c>
      <x:c r="X156" s="80" t="n">
        <x:f>W156*('Inputs'!$B$6-AC156)</x:f>
        <x:v>-0.00035842515495650173</x:v>
      </x:c>
      <x:c r="Y156" s="80" t="n">
        <x:f>2*V156</x:f>
        <x:v>0.20360470221850172</x:v>
      </x:c>
      <x:c r="Z156" s="80" t="n">
        <x:f>K156*'Inputs'!$B$16+(G156+R156)*J156*'Inputs'!$B$16</x:f>
        <x:v>0.00024433194974182737</x:v>
      </x:c>
      <x:c r="AA156" s="80" t="n">
        <x:f>K156*(1+'Inputs'!$E$44)/2*'Inputs'!$B$17</x:f>
        <x:v>0.00006554726539694035</x:v>
      </x:c>
      <x:c r="AB156" s="78" t="n">
        <x:f>(IF(J156&gt;0,K156*(1-'Inputs'!$E$44)/2/J156,0)+G156+R156)*'Inputs'!$B$17</x:f>
        <x:v>3464.2354030355955</x:v>
      </x:c>
      <x:c r="AC156" s="78" t="n">
        <x:f>AC155+AB156</x:f>
        <x:v>1409775607.3245416</x:v>
      </x:c>
      <x:c r="AD156" s="80" t="n">
        <x:f>Z156/(1+'Inputs'!$C$44)</x:f>
        <x:v>0.00019546555979346188</x:v>
      </x:c>
      <x:c r="AE156" s="80" t="n">
        <x:f>Z156-AD156</x:f>
        <x:v>0.000048866389948365484</x:v>
      </x:c>
      <x:c r="AF156" s="80" t="n">
        <x:f>D156*W156</x:f>
        <x:v>2.483137303198813e-7</x:v>
      </x:c>
      <x:c r="AG156" s="80" t="n">
        <x:f>C156*W156</x:f>
        <x:v>5.793987040797187e-7</x:v>
      </x:c>
      <x:c r="AH156" s="80" t="n">
        <x:f>2*'Inputs'!$B$8*'Inputs'!$C$44</x:f>
        <x:v>1250</x:v>
      </x:c>
      <x:c r="AI156" s="81" t="n">
        <x:f>IF(AH156&gt;0,(AE156+AF156)/AH156*365,0)</x:f>
        <x:v>0.000014341493474176127</x:v>
      </x:c>
      <x:c r="AJ156" s="81" t="n">
        <x:f>IF('Inputs'!$B$44&gt;0,AG156/('Inputs'!$B$19*'Inputs'!$B$44)*365,0)</x:f>
        <x:v>2.1148052698909733e-8</x:v>
      </x:c>
      <x:c r="AK156" s="81" t="n">
        <x:f>W156/MAX($W$4:W156)-1</x:f>
        <x:v>-0.9999999987145819</x:v>
      </x:c>
      <x:c r="AL156" s="83" t="n">
        <x:f>'Inputs'!$B$44</x:f>
        <x:v>1</x:v>
      </x:c>
      <x:c r="AM156" s="83" t="n">
        <x:f>'Inputs'!$C$44</x:f>
        <x:v>0.25</x:v>
      </x:c>
      <x:c r="AN156" s="83" t="n">
        <x:f>'Inputs'!$D$44</x:f>
        <x:v>0.2</x:v>
      </x:c>
      <x:c r="AO156" s="81" t="n">
        <x:f>'Inputs'!$E$44</x:f>
        <x:v>-0.2</x:v>
      </x:c>
    </x:row>
    <x:row r="157">
      <x:c r="A157" s="59" t="str">
        <x:v>No demand</x:v>
      </x:c>
      <x:c r="B157" s="59" t="n">
        <x:v>154</x:v>
      </x:c>
      <x:c r="C157" s="78" t="n">
        <x:f>(('Inputs'!$B$29*(3*154*'Inputs'!$B$12-154^2)/(2*'Inputs'!$B$12^2))-('Inputs'!$B$29*(3*153*'Inputs'!$B$12-153^2)/(2*'Inputs'!$B$12^2)))*'Inputs'!$B$44</x:f>
        <x:v>662082.2386939377</x:v>
      </x:c>
      <x:c r="D157" s="78" t="n">
        <x:f>IF('Inputs'!$C$44&gt;0,('Inputs'!$B$30*(3*154*'Inputs'!$B$12-154^2)/(2*'Inputs'!$B$12^2))-('Inputs'!$B$30*(3*153*'Inputs'!$B$12-153^2)/(2*'Inputs'!$B$12^2)),0)</x:f>
        <x:v>283749.5308688283</x:v>
      </x:c>
      <x:c r="E157" s="78" t="n">
        <x:f>C157+D157</x:f>
        <x:v>945831.769562766</x:v>
      </x:c>
      <x:c r="F157" s="78" t="n">
        <x:f>'Inputs'!$B$13*E157+(1-'Inputs'!$B$13)/'Inputs'!$B$14*SUM(E102:E157)</x:f>
        <x:v>956049.4464252198</x:v>
      </x:c>
      <x:c r="G157" s="78" t="n">
        <x:f>F157*'Inputs'!$F$44</x:f>
        <x:v>860444.5017826979</x:v>
      </x:c>
      <x:c r="H157" s="78" t="n">
        <x:f>U156</x:f>
        <x:v>116387255961.21213</x:v>
      </x:c>
      <x:c r="I157" s="78" t="n">
        <x:f>V156</x:f>
        <x:v>0.10180235110925086</x:v>
      </x:c>
      <x:c r="J157" s="79" t="n">
        <x:f>IF(H157&gt;0,I157/H157,0)</x:f>
        <x:v>8.746864101957871e-13</x:v>
      </x:c>
      <x:c r="K157" s="80" t="n">
        <x:f>(H157*J157+I157)*'Inputs'!$D$44*(1+'Inputs'!$G$44)^(B157/30)</x:f>
        <x:v>0.040720940443700344</x:v>
      </x:c>
      <x:c r="L157" s="80" t="n">
        <x:f>MAX(0,K157*'Inputs'!$E$44)</x:f>
        <x:v>0</x:v>
      </x:c>
      <x:c r="M157" s="80" t="n">
        <x:f>MAX(0,-K157*'Inputs'!$E$44)</x:f>
        <x:v>0.00814418808874007</x:v>
      </x:c>
      <x:c r="N157" s="78" t="n">
        <x:f>H157*(L157*(1-'Inputs'!$B$15))/(I157+L157*(1-'Inputs'!$B$15))</x:f>
        <x:v>0</x:v>
      </x:c>
      <x:c r="O157" s="78" t="n">
        <x:f>H157-N157</x:f>
        <x:v>116387255961.21213</x:v>
      </x:c>
      <x:c r="P157" s="78" t="n">
        <x:f>I157+L157*(1-'Inputs'!$B$17)</x:f>
        <x:v>0.10180235110925086</x:v>
      </x:c>
      <x:c r="Q157" s="78" t="n">
        <x:f>IF(J157&gt;0,M157/J157,0)</x:f>
        <x:v>0</x:v>
      </x:c>
      <x:c r="R157" s="78" t="n">
        <x:f>IF(B157='Inputs'!$H$44,'Inputs'!$B$27*'Inputs'!$I$44,0)</x:f>
        <x:v>0</x:v>
      </x:c>
      <x:c r="S157" s="78" t="n">
        <x:f>Q157+G157+R157</x:f>
        <x:v>860444.5017826979</x:v>
      </x:c>
      <x:c r="T157" s="78" t="n">
        <x:f>P157*(S157*(1-'Inputs'!$B$15))/(O157+S157*(1-'Inputs'!$B$15))</x:f>
        <x:v>7.450874680063845e-7</x:v>
      </x:c>
      <x:c r="U157" s="78" t="n">
        <x:f>O157+S157*(1-'Inputs'!$B$17)</x:f>
        <x:v>116388112943.16058</x:v>
      </x:c>
      <x:c r="V157" s="78" t="n">
        <x:f>P157-T157</x:f>
        <x:v>0.10180160602178286</x:v>
      </x:c>
      <x:c r="W157" s="79" t="n">
        <x:f>IF(U157&gt;0,V157/U157,0)</x:f>
        <x:v>8.746735680086057e-13</x:v>
      </x:c>
      <x:c r="X157" s="80" t="n">
        <x:f>W157*('Inputs'!$B$6-AC157)</x:f>
        <x:v>-0.00035842292114532316</x:v>
      </x:c>
      <x:c r="Y157" s="80" t="n">
        <x:f>2*V157</x:f>
        <x:v>0.2036032120435657</x:v>
      </x:c>
      <x:c r="Z157" s="80" t="n">
        <x:f>K157*'Inputs'!$B$16+(G157+R157)*J157*'Inputs'!$B$16</x:f>
        <x:v>0.00024433015837687673</x:v>
      </x:c>
      <x:c r="AA157" s="80" t="n">
        <x:f>K157*(1+'Inputs'!$E$44)/2*'Inputs'!$B$17</x:f>
        <x:v>0.00006554678542245529</x:v>
      </x:c>
      <x:c r="AB157" s="78" t="n">
        <x:f>(IF(J157&gt;0,K157*(1-'Inputs'!$E$44)/2/J157,0)+G157+R157)*'Inputs'!$B$17</x:f>
        <x:v>3462.553327093352</x:v>
      </x:c>
      <x:c r="AC157" s="78" t="n">
        <x:f>AC156+AB157</x:f>
        <x:v>1409779069.8778687</x:v>
      </x:c>
      <x:c r="AD157" s="80" t="n">
        <x:f>Z157/(1+'Inputs'!$C$44)</x:f>
        <x:v>0.00019546412670150138</x:v>
      </x:c>
      <x:c r="AE157" s="80" t="n">
        <x:f>Z157-AD157</x:f>
        <x:v>0.00004886603167537535</x:v>
      </x:c>
      <x:c r="AF157" s="80" t="n">
        <x:f>D157*W157</x:f>
        <x:v>2.4818821458580606e-7</x:v>
      </x:c>
      <x:c r="AG157" s="80" t="n">
        <x:f>C157*W157</x:f>
        <x:v>5.791058340335518e-7</x:v>
      </x:c>
      <x:c r="AH157" s="80" t="n">
        <x:f>2*'Inputs'!$B$8*'Inputs'!$C$44</x:f>
        <x:v>1250</x:v>
      </x:c>
      <x:c r="AI157" s="81" t="n">
        <x:f>IF(AH157&gt;0,(AE157+AF157)/AH157*365,0)</x:f>
        <x:v>0.000014341352207868656</x:v>
      </x:c>
      <x:c r="AJ157" s="81" t="n">
        <x:f>IF('Inputs'!$B$44&gt;0,AG157/('Inputs'!$B$19*'Inputs'!$B$44)*365,0)</x:f>
        <x:v>2.113736294222464e-8</x:v>
      </x:c>
      <x:c r="AK157" s="81" t="n">
        <x:f>W157/MAX($W$4:W157)-1</x:f>
        <x:v>-0.9999999987146008</x:v>
      </x:c>
      <x:c r="AL157" s="83" t="n">
        <x:f>'Inputs'!$B$44</x:f>
        <x:v>1</x:v>
      </x:c>
      <x:c r="AM157" s="83" t="n">
        <x:f>'Inputs'!$C$44</x:f>
        <x:v>0.25</x:v>
      </x:c>
      <x:c r="AN157" s="83" t="n">
        <x:f>'Inputs'!$D$44</x:f>
        <x:v>0.2</x:v>
      </x:c>
      <x:c r="AO157" s="81" t="n">
        <x:f>'Inputs'!$E$44</x:f>
        <x:v>-0.2</x:v>
      </x:c>
    </x:row>
    <x:row r="158">
      <x:c r="A158" s="59" t="str">
        <x:v>No demand</x:v>
      </x:c>
      <x:c r="B158" s="59" t="n">
        <x:v>155</x:v>
      </x:c>
      <x:c r="C158" s="78" t="n">
        <x:f>(('Inputs'!$B$29*(3*155*'Inputs'!$B$12-155^2)/(2*'Inputs'!$B$12^2))-('Inputs'!$B$29*(3*154*'Inputs'!$B$12-154^2)/(2*'Inputs'!$B$12^2)))*'Inputs'!$B$44</x:f>
        <x:v>661757.1307937652</x:v>
      </x:c>
      <x:c r="D158" s="78" t="n">
        <x:f>IF('Inputs'!$C$44&gt;0,('Inputs'!$B$30*(3*155*'Inputs'!$B$12-155^2)/(2*'Inputs'!$B$12^2))-('Inputs'!$B$30*(3*154*'Inputs'!$B$12-154^2)/(2*'Inputs'!$B$12^2)),0)</x:f>
        <x:v>283610.1989116147</x:v>
      </x:c>
      <x:c r="E158" s="78" t="n">
        <x:f>C158+D158</x:f>
        <x:v>945367.3297053799</x:v>
      </x:c>
      <x:c r="F158" s="78" t="n">
        <x:f>'Inputs'!$B$13*E158+(1-'Inputs'!$B$13)/'Inputs'!$B$14*SUM(E103:E158)</x:f>
        <x:v>955585.0065678353</x:v>
      </x:c>
      <x:c r="G158" s="78" t="n">
        <x:f>F158*'Inputs'!$F$44</x:f>
        <x:v>860026.5059110519</x:v>
      </x:c>
      <x:c r="H158" s="78" t="n">
        <x:f>U157</x:f>
        <x:v>116388112943.16058</x:v>
      </x:c>
      <x:c r="I158" s="78" t="n">
        <x:f>V157</x:f>
        <x:v>0.10180160602178286</x:v>
      </x:c>
      <x:c r="J158" s="79" t="n">
        <x:f>IF(H158&gt;0,I158/H158,0)</x:f>
        <x:v>8.746735680086057e-13</x:v>
      </x:c>
      <x:c r="K158" s="80" t="n">
        <x:f>(H158*J158+I158)*'Inputs'!$D$44*(1+'Inputs'!$G$44)^(B158/30)</x:f>
        <x:v>0.04072064240871315</x:v>
      </x:c>
      <x:c r="L158" s="80" t="n">
        <x:f>MAX(0,K158*'Inputs'!$E$44)</x:f>
        <x:v>0</x:v>
      </x:c>
      <x:c r="M158" s="80" t="n">
        <x:f>MAX(0,-K158*'Inputs'!$E$44)</x:f>
        <x:v>0.00814412848174263</x:v>
      </x:c>
      <x:c r="N158" s="78" t="n">
        <x:f>H158*(L158*(1-'Inputs'!$B$15))/(I158+L158*(1-'Inputs'!$B$15))</x:f>
        <x:v>0</x:v>
      </x:c>
      <x:c r="O158" s="78" t="n">
        <x:f>H158-N158</x:f>
        <x:v>116388112943.16058</x:v>
      </x:c>
      <x:c r="P158" s="78" t="n">
        <x:f>I158+L158*(1-'Inputs'!$B$17)</x:f>
        <x:v>0.10180160602178286</x:v>
      </x:c>
      <x:c r="Q158" s="78" t="n">
        <x:f>IF(J158&gt;0,M158/J158,0)</x:f>
        <x:v>0</x:v>
      </x:c>
      <x:c r="R158" s="78" t="n">
        <x:f>IF(B158='Inputs'!$H$44,'Inputs'!$B$27*'Inputs'!$I$44,0)</x:f>
        <x:v>0</x:v>
      </x:c>
      <x:c r="S158" s="78" t="n">
        <x:f>Q158+G158+R158</x:f>
        <x:v>860026.5059110519</x:v>
      </x:c>
      <x:c r="T158" s="78" t="n">
        <x:f>P158*(S158*(1-'Inputs'!$B$15))/(O158+S158*(1-'Inputs'!$B$15))</x:f>
        <x:v>7.447145800929915e-7</x:v>
      </x:c>
      <x:c r="U158" s="78" t="n">
        <x:f>O158+S158*(1-'Inputs'!$B$17)</x:f>
        <x:v>116388969508.79524</x:v>
      </x:c>
      <x:c r="V158" s="78" t="n">
        <x:f>P158-T158</x:f>
        <x:v>0.10180086130720277</x:v>
      </x:c>
      <x:c r="W158" s="79" t="n">
        <x:f>IF(U158&gt;0,V158/U158,0)</x:f>
        <x:v>8.746607323429384e-13</x:v>
      </x:c>
      <x:c r="X158" s="80" t="n">
        <x:f>W158*('Inputs'!$B$6-AC158)</x:f>
        <x:v>-0.00035842068844636776</x:v>
      </x:c>
      <x:c r="Y158" s="80" t="n">
        <x:f>2*V158</x:f>
        <x:v>0.20360172261440554</x:v>
      </x:c>
      <x:c r="Z158" s="80" t="n">
        <x:f>K158*'Inputs'!$B$16+(G158+R158)*J158*'Inputs'!$B$16</x:f>
        <x:v>0.00024432836790699397</x:v>
      </x:c>
      <x:c r="AA158" s="80" t="n">
        <x:f>K158*(1+'Inputs'!$E$44)/2*'Inputs'!$B$17</x:f>
        <x:v>0.00006554630568806946</x:v>
      </x:c>
      <x:c r="AB158" s="78" t="n">
        <x:f>(IF(J158&gt;0,K158*(1-'Inputs'!$E$44)/2/J158,0)+G158+R158)*'Inputs'!$B$17</x:f>
        <x:v>3460.8712511511144</x:v>
      </x:c>
      <x:c r="AC158" s="78" t="n">
        <x:f>AC157+AB158</x:f>
        <x:v>1409782530.7491198</x:v>
      </x:c>
      <x:c r="AD158" s="80" t="n">
        <x:f>Z158/(1+'Inputs'!$C$44)</x:f>
        <x:v>0.00019546269432559518</x:v>
      </x:c>
      <x:c r="AE158" s="80" t="n">
        <x:f>Z158-AD158</x:f>
        <x:v>0.00004886567358139879</x:v>
      </x:c>
      <x:c r="AF158" s="80" t="n">
        <x:f>D158*W158</x:f>
        <x:v>2.4806270427995935e-7</x:v>
      </x:c>
      <x:c r="AG158" s="80" t="n">
        <x:f>C158*W158</x:f>
        <x:v>5.788129766532363e-7</x:v>
      </x:c>
      <x:c r="AH158" s="80" t="n">
        <x:f>2*'Inputs'!$B$8*'Inputs'!$C$44</x:f>
        <x:v>1250</x:v>
      </x:c>
      <x:c r="AI158" s="81" t="n">
        <x:f>IF(AH158&gt;0,(AE158+AF158)/AH158*365,0)</x:f>
        <x:v>0.000014341210995418196</x:v>
      </x:c>
      <x:c r="AJ158" s="81" t="n">
        <x:f>IF('Inputs'!$B$44&gt;0,AG158/('Inputs'!$B$19*'Inputs'!$B$44)*365,0)</x:f>
        <x:v>2.1126673647843124e-8</x:v>
      </x:c>
      <x:c r="AK158" s="81" t="n">
        <x:f>W158/MAX($W$4:W158)-1</x:f>
        <x:v>-0.9999999987146196</x:v>
      </x:c>
      <x:c r="AL158" s="83" t="n">
        <x:f>'Inputs'!$B$44</x:f>
        <x:v>1</x:v>
      </x:c>
      <x:c r="AM158" s="83" t="n">
        <x:f>'Inputs'!$C$44</x:f>
        <x:v>0.25</x:v>
      </x:c>
      <x:c r="AN158" s="83" t="n">
        <x:f>'Inputs'!$D$44</x:f>
        <x:v>0.2</x:v>
      </x:c>
      <x:c r="AO158" s="81" t="n">
        <x:f>'Inputs'!$E$44</x:f>
        <x:v>-0.2</x:v>
      </x:c>
    </x:row>
    <x:row r="159">
      <x:c r="A159" s="59" t="str">
        <x:v>No demand</x:v>
      </x:c>
      <x:c r="B159" s="59" t="n">
        <x:v>156</x:v>
      </x:c>
      <x:c r="C159" s="78" t="n">
        <x:f>(('Inputs'!$B$29*(3*156*'Inputs'!$B$12-156^2)/(2*'Inputs'!$B$12^2))-('Inputs'!$B$29*(3*155*'Inputs'!$B$12-155^2)/(2*'Inputs'!$B$12^2)))*'Inputs'!$B$44</x:f>
        <x:v>661432.0228936076</x:v>
      </x:c>
      <x:c r="D159" s="78" t="n">
        <x:f>IF('Inputs'!$C$44&gt;0,('Inputs'!$B$30*(3*156*'Inputs'!$B$12-156^2)/(2*'Inputs'!$B$12^2))-('Inputs'!$B$30*(3*155*'Inputs'!$B$12-155^2)/(2*'Inputs'!$B$12^2)),0)</x:f>
        <x:v>283470.86695440114</x:v>
      </x:c>
      <x:c r="E159" s="78" t="n">
        <x:f>C159+D159</x:f>
        <x:v>944902.8898480088</x:v>
      </x:c>
      <x:c r="F159" s="78" t="n">
        <x:f>'Inputs'!$B$13*E159+(1-'Inputs'!$B$13)/'Inputs'!$B$14*SUM(E104:E159)</x:f>
        <x:v>955120.5667104537</x:v>
      </x:c>
      <x:c r="G159" s="78" t="n">
        <x:f>F159*'Inputs'!$F$44</x:f>
        <x:v>859608.5100394083</x:v>
      </x:c>
      <x:c r="H159" s="78" t="n">
        <x:f>U158</x:f>
        <x:v>116388969508.79524</x:v>
      </x:c>
      <x:c r="I159" s="78" t="n">
        <x:f>V158</x:f>
        <x:v>0.10180086130720277</x:v>
      </x:c>
      <x:c r="J159" s="79" t="n">
        <x:f>IF(H159&gt;0,I159/H159,0)</x:f>
        <x:v>8.746607323429384e-13</x:v>
      </x:c>
      <x:c r="K159" s="80" t="n">
        <x:f>(H159*J159+I159)*'Inputs'!$D$44*(1+'Inputs'!$G$44)^(B159/30)</x:f>
        <x:v>0.04072034452288111</x:v>
      </x:c>
      <x:c r="L159" s="80" t="n">
        <x:f>MAX(0,K159*'Inputs'!$E$44)</x:f>
        <x:v>0</x:v>
      </x:c>
      <x:c r="M159" s="80" t="n">
        <x:f>MAX(0,-K159*'Inputs'!$E$44)</x:f>
        <x:v>0.008144068904576222</x:v>
      </x:c>
      <x:c r="N159" s="78" t="n">
        <x:f>H159*(L159*(1-'Inputs'!$B$15))/(I159+L159*(1-'Inputs'!$B$15))</x:f>
        <x:v>0</x:v>
      </x:c>
      <x:c r="O159" s="78" t="n">
        <x:f>H159-N159</x:f>
        <x:v>116388969508.79524</x:v>
      </x:c>
      <x:c r="P159" s="78" t="n">
        <x:f>I159+L159*(1-'Inputs'!$B$17)</x:f>
        <x:v>0.10180086130720277</x:v>
      </x:c>
      <x:c r="Q159" s="78" t="n">
        <x:f>IF(J159&gt;0,M159/J159,0)</x:f>
        <x:v>0</x:v>
      </x:c>
      <x:c r="R159" s="78" t="n">
        <x:f>IF(B159='Inputs'!$H$44,'Inputs'!$B$27*'Inputs'!$I$44,0)</x:f>
        <x:v>0</x:v>
      </x:c>
      <x:c r="S159" s="78" t="n">
        <x:f>Q159+G159+R159</x:f>
        <x:v>859608.5100394083</x:v>
      </x:c>
      <x:c r="T159" s="78" t="n">
        <x:f>P159*(S159*(1-'Inputs'!$B$15))/(O159+S159*(1-'Inputs'!$B$15))</x:f>
        <x:v>7.443417083552237e-7</x:v>
      </x:c>
      <x:c r="U159" s="78" t="n">
        <x:f>O159+S159*(1-'Inputs'!$B$17)</x:f>
        <x:v>116389825658.1161</x:v>
      </x:c>
      <x:c r="V159" s="78" t="n">
        <x:f>P159-T159</x:f>
        <x:v>0.10180011696549442</x:v>
      </x:c>
      <x:c r="W159" s="79" t="n">
        <x:f>IF(U159&gt;0,V159/U159,0)</x:f>
        <x:v>8.746479031983641e-13</x:v>
      </x:c>
      <x:c r="X159" s="80" t="n">
        <x:f>W159*('Inputs'!$B$6-AC159)</x:f>
        <x:v>-0.00035841845685959556</x:v>
      </x:c>
      <x:c r="Y159" s="80" t="n">
        <x:f>2*V159</x:f>
        <x:v>0.20360023393098883</x:v>
      </x:c>
      <x:c r="Z159" s="80" t="n">
        <x:f>K159*'Inputs'!$B$16+(G159+R159)*J159*'Inputs'!$B$16</x:f>
        <x:v>0.00024432657833214016</x:v>
      </x:c>
      <x:c r="AA159" s="80" t="n">
        <x:f>K159*(1+'Inputs'!$E$44)/2*'Inputs'!$B$17</x:f>
        <x:v>0.00006554582619377241</x:v>
      </x:c>
      <x:c r="AB159" s="78" t="n">
        <x:f>(IF(J159&gt;0,K159*(1-'Inputs'!$E$44)/2/J159,0)+G159+R159)*'Inputs'!$B$17</x:f>
        <x:v>3459.189175208887</x:v>
      </x:c>
      <x:c r="AC159" s="78" t="n">
        <x:f>AC158+AB159</x:f>
        <x:v>1409785989.938295</x:v>
      </x:c>
      <x:c r="AD159" s="80" t="n">
        <x:f>Z159/(1+'Inputs'!$C$44)</x:f>
        <x:v>0.00019546126266571212</x:v>
      </x:c>
      <x:c r="AE159" s="80" t="n">
        <x:f>Z159-AD159</x:f>
        <x:v>0.00004886531566642804</x:v>
      </x:c>
      <x:c r="AF159" s="80" t="n">
        <x:f>D159*W159</x:f>
        <x:v>2.479371993994894e-7</x:v>
      </x:c>
      <x:c r="AG159" s="80" t="n">
        <x:f>C159*W159</x:f>
        <x:v>5.785201319321463e-7</x:v>
      </x:c>
      <x:c r="AH159" s="80" t="n">
        <x:f>2*'Inputs'!$B$8*'Inputs'!$C$44</x:f>
        <x:v>1250</x:v>
      </x:c>
      <x:c r="AI159" s="81" t="n">
        <x:f>IF(AH159&gt;0,(AE159+AF159)/AH159*365,0)</x:f>
        <x:v>0.000014341069836821639</x:v>
      </x:c>
      <x:c r="AJ159" s="81" t="n">
        <x:f>IF('Inputs'!$B$44&gt;0,AG159/('Inputs'!$B$19*'Inputs'!$B$44)*365,0)</x:f>
        <x:v>2.111598481552334e-8</x:v>
      </x:c>
      <x:c r="AK159" s="81" t="n">
        <x:f>W159/MAX($W$4:W159)-1</x:f>
        <x:v>-0.9999999987146385</x:v>
      </x:c>
      <x:c r="AL159" s="83" t="n">
        <x:f>'Inputs'!$B$44</x:f>
        <x:v>1</x:v>
      </x:c>
      <x:c r="AM159" s="83" t="n">
        <x:f>'Inputs'!$C$44</x:f>
        <x:v>0.25</x:v>
      </x:c>
      <x:c r="AN159" s="83" t="n">
        <x:f>'Inputs'!$D$44</x:f>
        <x:v>0.2</x:v>
      </x:c>
      <x:c r="AO159" s="81" t="n">
        <x:f>'Inputs'!$E$44</x:f>
        <x:v>-0.2</x:v>
      </x:c>
    </x:row>
    <x:row r="160">
      <x:c r="A160" s="59" t="str">
        <x:v>No demand</x:v>
      </x:c>
      <x:c r="B160" s="59" t="n">
        <x:v>157</x:v>
      </x:c>
      <x:c r="C160" s="78" t="n">
        <x:f>(('Inputs'!$B$29*(3*157*'Inputs'!$B$12-157^2)/(2*'Inputs'!$B$12^2))-('Inputs'!$B$29*(3*156*'Inputs'!$B$12-156^2)/(2*'Inputs'!$B$12^2)))*'Inputs'!$B$44</x:f>
        <x:v>661106.9149934351</x:v>
      </x:c>
      <x:c r="D160" s="78" t="n">
        <x:f>IF('Inputs'!$C$44&gt;0,('Inputs'!$B$30*(3*157*'Inputs'!$B$12-157^2)/(2*'Inputs'!$B$12^2))-('Inputs'!$B$30*(3*156*'Inputs'!$B$12-156^2)/(2*'Inputs'!$B$12^2)),0)</x:f>
        <x:v>283331.53499718755</x:v>
      </x:c>
      <x:c r="E160" s="78" t="n">
        <x:f>C160+D160</x:f>
        <x:v>944438.4499906227</x:v>
      </x:c>
      <x:c r="F160" s="78" t="n">
        <x:f>'Inputs'!$B$13*E160+(1-'Inputs'!$B$13)/'Inputs'!$B$14*SUM(E105:E160)</x:f>
        <x:v>954656.1268530695</x:v>
      </x:c>
      <x:c r="G160" s="78" t="n">
        <x:f>F160*'Inputs'!$F$44</x:f>
        <x:v>859190.5141677626</x:v>
      </x:c>
      <x:c r="H160" s="78" t="n">
        <x:f>U159</x:f>
        <x:v>116389825658.1161</x:v>
      </x:c>
      <x:c r="I160" s="78" t="n">
        <x:f>V159</x:f>
        <x:v>0.10180011696549442</x:v>
      </x:c>
      <x:c r="J160" s="79" t="n">
        <x:f>IF(H160&gt;0,I160/H160,0)</x:f>
        <x:v>8.746479031983641e-13</x:v>
      </x:c>
      <x:c r="K160" s="80" t="n">
        <x:f>(H160*J160+I160)*'Inputs'!$D$44*(1+'Inputs'!$G$44)^(B160/30)</x:f>
        <x:v>0.04072004678619777</x:v>
      </x:c>
      <x:c r="L160" s="80" t="n">
        <x:f>MAX(0,K160*'Inputs'!$E$44)</x:f>
        <x:v>0</x:v>
      </x:c>
      <x:c r="M160" s="80" t="n">
        <x:f>MAX(0,-K160*'Inputs'!$E$44)</x:f>
        <x:v>0.008144009357239555</x:v>
      </x:c>
      <x:c r="N160" s="78" t="n">
        <x:f>H160*(L160*(1-'Inputs'!$B$15))/(I160+L160*(1-'Inputs'!$B$15))</x:f>
        <x:v>0</x:v>
      </x:c>
      <x:c r="O160" s="78" t="n">
        <x:f>H160-N160</x:f>
        <x:v>116389825658.1161</x:v>
      </x:c>
      <x:c r="P160" s="78" t="n">
        <x:f>I160+L160*(1-'Inputs'!$B$17)</x:f>
        <x:v>0.10180011696549442</x:v>
      </x:c>
      <x:c r="Q160" s="78" t="n">
        <x:f>IF(J160&gt;0,M160/J160,0)</x:f>
        <x:v>0</x:v>
      </x:c>
      <x:c r="R160" s="78" t="n">
        <x:f>IF(B160='Inputs'!$H$44,'Inputs'!$B$27*'Inputs'!$I$44,0)</x:f>
        <x:v>0</x:v>
      </x:c>
      <x:c r="S160" s="78" t="n">
        <x:f>Q160+G160+R160</x:f>
        <x:v>859190.5141677626</x:v>
      </x:c>
      <x:c r="T160" s="78" t="n">
        <x:f>P160*(S160*(1-'Inputs'!$B$15))/(O160+S160*(1-'Inputs'!$B$15))</x:f>
        <x:v>7.439688527846234e-7</x:v>
      </x:c>
      <x:c r="U160" s="78" t="n">
        <x:f>O160+S160*(1-'Inputs'!$B$17)</x:f>
        <x:v>116390681391.12317</x:v>
      </x:c>
      <x:c r="V160" s="78" t="n">
        <x:f>P160-T160</x:f>
        <x:v>0.10179937299664163</x:v>
      </x:c>
      <x:c r="W160" s="79" t="n">
        <x:f>IF(U160&gt;0,V160/U160,0)</x:f>
        <x:v>8.746350805744627e-13</x:v>
      </x:c>
      <x:c r="X160" s="80" t="n">
        <x:f>W160*('Inputs'!$B$6-AC160)</x:f>
        <x:v>-0.0003584162263849668</x:v>
      </x:c>
      <x:c r="Y160" s="80" t="n">
        <x:f>2*V160</x:f>
        <x:v>0.20359874599328326</x:v>
      </x:c>
      <x:c r="Z160" s="80" t="n">
        <x:f>K160*'Inputs'!$B$16+(G160+R160)*J160*'Inputs'!$B$16</x:f>
        <x:v>0.0002443247896522766</x:v>
      </x:c>
      <x:c r="AA160" s="80" t="n">
        <x:f>K160*(1+'Inputs'!$E$44)/2*'Inputs'!$B$17</x:f>
        <x:v>0.00006554534693955377</x:v>
      </x:c>
      <x:c r="AB160" s="78" t="n">
        <x:f>(IF(J160&gt;0,K160*(1-'Inputs'!$E$44)/2/J160,0)+G160+R160)*'Inputs'!$B$17</x:f>
        <x:v>3457.5070992666506</x:v>
      </x:c>
      <x:c r="AC160" s="78" t="n">
        <x:f>AC159+AB160</x:f>
        <x:v>1409789447.445394</x:v>
      </x:c>
      <x:c r="AD160" s="80" t="n">
        <x:f>Z160/(1+'Inputs'!$C$44)</x:f>
        <x:v>0.00019545983172182128</x:v>
      </x:c>
      <x:c r="AE160" s="80" t="n">
        <x:f>Z160-AD160</x:f>
        <x:v>0.00004886495793045531</x:v>
      </x:c>
      <x:c r="AF160" s="80" t="n">
        <x:f>D160*W160</x:f>
        <x:v>2.4781169994155136e-7</x:v>
      </x:c>
      <x:c r="AG160" s="80" t="n">
        <x:f>C160*W160</x:f>
        <x:v>5.782272998636176e-7</x:v>
      </x:c>
      <x:c r="AH160" s="80" t="n">
        <x:f>2*'Inputs'!$B$8*'Inputs'!$C$44</x:f>
        <x:v>1250</x:v>
      </x:c>
      <x:c r="AI160" s="81" t="n">
        <x:f>IF(AH160&gt;0,(AE160+AF160)/AH160*365,0)</x:f>
        <x:v>0.000014340928732075882</x:v>
      </x:c>
      <x:c r="AJ160" s="81" t="n">
        <x:f>IF('Inputs'!$B$44&gt;0,AG160/('Inputs'!$B$19*'Inputs'!$B$44)*365,0)</x:f>
        <x:v>2.1105296445022042e-8</x:v>
      </x:c>
      <x:c r="AK160" s="81" t="n">
        <x:f>W160/MAX($W$4:W160)-1</x:f>
        <x:v>-0.9999999987146573</x:v>
      </x:c>
      <x:c r="AL160" s="83" t="n">
        <x:f>'Inputs'!$B$44</x:f>
        <x:v>1</x:v>
      </x:c>
      <x:c r="AM160" s="83" t="n">
        <x:f>'Inputs'!$C$44</x:f>
        <x:v>0.25</x:v>
      </x:c>
      <x:c r="AN160" s="83" t="n">
        <x:f>'Inputs'!$D$44</x:f>
        <x:v>0.2</x:v>
      </x:c>
      <x:c r="AO160" s="81" t="n">
        <x:f>'Inputs'!$E$44</x:f>
        <x:v>-0.2</x:v>
      </x:c>
    </x:row>
    <x:row r="161">
      <x:c r="A161" s="59" t="str">
        <x:v>No demand</x:v>
      </x:c>
      <x:c r="B161" s="59" t="n">
        <x:v>158</x:v>
      </x:c>
      <x:c r="C161" s="78" t="n">
        <x:f>(('Inputs'!$B$29*(3*158*'Inputs'!$B$12-158^2)/(2*'Inputs'!$B$12^2))-('Inputs'!$B$29*(3*157*'Inputs'!$B$12-157^2)/(2*'Inputs'!$B$12^2)))*'Inputs'!$B$44</x:f>
        <x:v>660781.8070932627</x:v>
      </x:c>
      <x:c r="D161" s="78" t="n">
        <x:f>IF('Inputs'!$C$44&gt;0,('Inputs'!$B$30*(3*158*'Inputs'!$B$12-158^2)/(2*'Inputs'!$B$12^2))-('Inputs'!$B$30*(3*157*'Inputs'!$B$12-157^2)/(2*'Inputs'!$B$12^2)),0)</x:f>
        <x:v>283192.2030399665</x:v>
      </x:c>
      <x:c r="E161" s="78" t="n">
        <x:f>C161+D161</x:f>
        <x:v>943974.0101332292</x:v>
      </x:c>
      <x:c r="F161" s="78" t="n">
        <x:f>'Inputs'!$B$13*E161+(1-'Inputs'!$B$13)/'Inputs'!$B$14*SUM(E106:E161)</x:f>
        <x:v>954191.6869956832</x:v>
      </x:c>
      <x:c r="G161" s="78" t="n">
        <x:f>F161*'Inputs'!$F$44</x:f>
        <x:v>858772.518296115</x:v>
      </x:c>
      <x:c r="H161" s="78" t="n">
        <x:f>U160</x:f>
        <x:v>116390681391.12317</x:v>
      </x:c>
      <x:c r="I161" s="78" t="n">
        <x:f>V160</x:f>
        <x:v>0.10179937299664163</x:v>
      </x:c>
      <x:c r="J161" s="79" t="n">
        <x:f>IF(H161&gt;0,I161/H161,0)</x:f>
        <x:v>8.746350805744627e-13</x:v>
      </x:c>
      <x:c r="K161" s="80" t="n">
        <x:f>(H161*J161+I161)*'Inputs'!$D$44*(1+'Inputs'!$G$44)^(B161/30)</x:f>
        <x:v>0.04071974919865665</x:v>
      </x:c>
      <x:c r="L161" s="80" t="n">
        <x:f>MAX(0,K161*'Inputs'!$E$44)</x:f>
        <x:v>0</x:v>
      </x:c>
      <x:c r="M161" s="80" t="n">
        <x:f>MAX(0,-K161*'Inputs'!$E$44)</x:f>
        <x:v>0.00814394983973133</x:v>
      </x:c>
      <x:c r="N161" s="78" t="n">
        <x:f>H161*(L161*(1-'Inputs'!$B$15))/(I161+L161*(1-'Inputs'!$B$15))</x:f>
        <x:v>0</x:v>
      </x:c>
      <x:c r="O161" s="78" t="n">
        <x:f>H161-N161</x:f>
        <x:v>116390681391.12317</x:v>
      </x:c>
      <x:c r="P161" s="78" t="n">
        <x:f>I161+L161*(1-'Inputs'!$B$17)</x:f>
        <x:v>0.10179937299664163</x:v>
      </x:c>
      <x:c r="Q161" s="78" t="n">
        <x:f>IF(J161&gt;0,M161/J161,0)</x:f>
        <x:v>0</x:v>
      </x:c>
      <x:c r="R161" s="78" t="n">
        <x:f>IF(B161='Inputs'!$H$44,'Inputs'!$B$27*'Inputs'!$I$44,0)</x:f>
        <x:v>0</x:v>
      </x:c>
      <x:c r="S161" s="78" t="n">
        <x:f>Q161+G161+R161</x:f>
        <x:v>858772.518296115</x:v>
      </x:c>
      <x:c r="T161" s="78" t="n">
        <x:f>P161*(S161*(1-'Inputs'!$B$15))/(O161+S161*(1-'Inputs'!$B$15))</x:f>
        <x:v>7.435960133727384e-7</x:v>
      </x:c>
      <x:c r="U161" s="78" t="n">
        <x:f>O161+S161*(1-'Inputs'!$B$17)</x:f>
        <x:v>116391536707.81644</x:v>
      </x:c>
      <x:c r="V161" s="78" t="n">
        <x:f>P161-T161</x:f>
        <x:v>0.10179862940062825</x:v>
      </x:c>
      <x:c r="W161" s="79" t="n">
        <x:f>IF(U161&gt;0,V161/U161,0)</x:f>
        <x:v>8.746222644708137e-13</x:v>
      </x:c>
      <x:c r="X161" s="80" t="n">
        <x:f>W161*('Inputs'!$B$6-AC161)</x:f>
        <x:v>-0.00035841399702244163</x:v>
      </x:c>
      <x:c r="Y161" s="80" t="n">
        <x:f>2*V161</x:f>
        <x:v>0.2035972588012565</x:v>
      </x:c>
      <x:c r="Z161" s="80" t="n">
        <x:f>K161*'Inputs'!$B$16+(G161+R161)*J161*'Inputs'!$B$16</x:f>
        <x:v>0.0002443230018673643</x:v>
      </x:c>
      <x:c r="AA161" s="80" t="n">
        <x:f>K161*(1+'Inputs'!$E$44)/2*'Inputs'!$B$17</x:f>
        <x:v>0.00006554486792540306</x:v>
      </x:c>
      <x:c r="AB161" s="78" t="n">
        <x:f>(IF(J161&gt;0,K161*(1-'Inputs'!$E$44)/2/J161,0)+G161+R161)*'Inputs'!$B$17</x:f>
        <x:v>3455.8250233244066</x:v>
      </x:c>
      <x:c r="AC161" s="78" t="n">
        <x:f>AC160+AB161</x:f>
        <x:v>1409792903.2704175</x:v>
      </x:c>
      <x:c r="AD161" s="80" t="n">
        <x:f>Z161/(1+'Inputs'!$C$44)</x:f>
        <x:v>0.00019545840149389144</x:v>
      </x:c>
      <x:c r="AE161" s="80" t="n">
        <x:f>Z161-AD161</x:f>
        <x:v>0.00004886460037347286</x:v>
      </x:c>
      <x:c r="AF161" s="80" t="n">
        <x:f>D161*W161</x:f>
        <x:v>2.4768620590329395e-7</x:v>
      </x:c>
      <x:c r="AG161" s="80" t="n">
        <x:f>C161*W161</x:f>
        <x:v>5.779344804410257e-7</x:v>
      </x:c>
      <x:c r="AH161" s="80" t="n">
        <x:f>2*'Inputs'!$B$8*'Inputs'!$C$44</x:f>
        <x:v>1250</x:v>
      </x:c>
      <x:c r="AI161" s="81" t="n">
        <x:f>IF(AH161&gt;0,(AE161+AF161)/AH161*365,0)</x:f>
        <x:v>0.000014340787681177838</x:v>
      </x:c>
      <x:c r="AJ161" s="81" t="n">
        <x:f>IF('Inputs'!$B$44&gt;0,AG161/('Inputs'!$B$19*'Inputs'!$B$44)*365,0)</x:f>
        <x:v>2.109460853609744e-8</x:v>
      </x:c>
      <x:c r="AK161" s="81" t="n">
        <x:f>W161/MAX($W$4:W161)-1</x:f>
        <x:v>-0.9999999987146762</x:v>
      </x:c>
      <x:c r="AL161" s="83" t="n">
        <x:f>'Inputs'!$B$44</x:f>
        <x:v>1</x:v>
      </x:c>
      <x:c r="AM161" s="83" t="n">
        <x:f>'Inputs'!$C$44</x:f>
        <x:v>0.25</x:v>
      </x:c>
      <x:c r="AN161" s="83" t="n">
        <x:f>'Inputs'!$D$44</x:f>
        <x:v>0.2</x:v>
      </x:c>
      <x:c r="AO161" s="81" t="n">
        <x:f>'Inputs'!$E$44</x:f>
        <x:v>-0.2</x:v>
      </x:c>
    </x:row>
    <x:row r="162">
      <x:c r="A162" s="59" t="str">
        <x:v>No demand</x:v>
      </x:c>
      <x:c r="B162" s="59" t="n">
        <x:v>159</x:v>
      </x:c>
      <x:c r="C162" s="78" t="n">
        <x:f>(('Inputs'!$B$29*(3*159*'Inputs'!$B$12-159^2)/(2*'Inputs'!$B$12^2))-('Inputs'!$B$29*(3*158*'Inputs'!$B$12-158^2)/(2*'Inputs'!$B$12^2)))*'Inputs'!$B$44</x:f>
        <x:v>660456.6991930902</x:v>
      </x:c>
      <x:c r="D162" s="78" t="n">
        <x:f>IF('Inputs'!$C$44&gt;0,('Inputs'!$B$30*(3*159*'Inputs'!$B$12-159^2)/(2*'Inputs'!$B$12^2))-('Inputs'!$B$30*(3*158*'Inputs'!$B$12-158^2)/(2*'Inputs'!$B$12^2)),0)</x:f>
        <x:v>283052.87108275294</x:v>
      </x:c>
      <x:c r="E162" s="78" t="n">
        <x:f>C162+D162</x:f>
        <x:v>943509.5702758431</x:v>
      </x:c>
      <x:c r="F162" s="78" t="n">
        <x:f>'Inputs'!$B$13*E162+(1-'Inputs'!$B$13)/'Inputs'!$B$14*SUM(E107:E162)</x:f>
        <x:v>953727.2471382986</x:v>
      </x:c>
      <x:c r="G162" s="78" t="n">
        <x:f>F162*'Inputs'!$F$44</x:f>
        <x:v>858354.5224244688</x:v>
      </x:c>
      <x:c r="H162" s="78" t="n">
        <x:f>U161</x:f>
        <x:v>116391536707.81644</x:v>
      </x:c>
      <x:c r="I162" s="78" t="n">
        <x:f>V161</x:f>
        <x:v>0.10179862940062825</x:v>
      </x:c>
      <x:c r="J162" s="79" t="n">
        <x:f>IF(H162&gt;0,I162/H162,0)</x:f>
        <x:v>8.746222644708137e-13</x:v>
      </x:c>
      <x:c r="K162" s="80" t="n">
        <x:f>(H162*J162+I162)*'Inputs'!$D$44*(1+'Inputs'!$G$44)^(B162/30)</x:f>
        <x:v>0.0407194517602513</x:v>
      </x:c>
      <x:c r="L162" s="80" t="n">
        <x:f>MAX(0,K162*'Inputs'!$E$44)</x:f>
        <x:v>0</x:v>
      </x:c>
      <x:c r="M162" s="80" t="n">
        <x:f>MAX(0,-K162*'Inputs'!$E$44)</x:f>
        <x:v>0.008143890352050261</x:v>
      </x:c>
      <x:c r="N162" s="78" t="n">
        <x:f>H162*(L162*(1-'Inputs'!$B$15))/(I162+L162*(1-'Inputs'!$B$15))</x:f>
        <x:v>0</x:v>
      </x:c>
      <x:c r="O162" s="78" t="n">
        <x:f>H162-N162</x:f>
        <x:v>116391536707.81644</x:v>
      </x:c>
      <x:c r="P162" s="78" t="n">
        <x:f>I162+L162*(1-'Inputs'!$B$17)</x:f>
        <x:v>0.10179862940062825</x:v>
      </x:c>
      <x:c r="Q162" s="78" t="n">
        <x:f>IF(J162&gt;0,M162/J162,0)</x:f>
        <x:v>0</x:v>
      </x:c>
      <x:c r="R162" s="78" t="n">
        <x:f>IF(B162='Inputs'!$H$44,'Inputs'!$B$27*'Inputs'!$I$44,0)</x:f>
        <x:v>0</x:v>
      </x:c>
      <x:c r="S162" s="78" t="n">
        <x:f>Q162+G162+R162</x:f>
        <x:v>858354.5224244688</x:v>
      </x:c>
      <x:c r="T162" s="78" t="n">
        <x:f>P162*(S162*(1-'Inputs'!$B$15))/(O162+S162*(1-'Inputs'!$B$15))</x:f>
        <x:v>7.432231901111194e-7</x:v>
      </x:c>
      <x:c r="U162" s="78" t="n">
        <x:f>O162+S162*(1-'Inputs'!$B$17)</x:f>
        <x:v>116392391608.1959</x:v>
      </x:c>
      <x:c r="V162" s="78" t="n">
        <x:f>P162-T162</x:f>
        <x:v>0.10179788617743814</x:v>
      </x:c>
      <x:c r="W162" s="79" t="n">
        <x:f>IF(U162&gt;0,V162/U162,0)</x:f>
        <x:v>8.746094548869972e-13</x:v>
      </x:c>
      <x:c r="X162" s="80" t="n">
        <x:f>W162*('Inputs'!$B$6-AC162)</x:f>
        <x:v>-0.00035841176877198015</x:v>
      </x:c>
      <x:c r="Y162" s="80" t="n">
        <x:f>2*V162</x:f>
        <x:v>0.20359577235487628</x:v>
      </x:c>
      <x:c r="Z162" s="80" t="n">
        <x:f>K162*'Inputs'!$B$16+(G162+R162)*J162*'Inputs'!$B$16</x:f>
        <x:v>0.00024432121497736456</x:v>
      </x:c>
      <x:c r="AA162" s="80" t="n">
        <x:f>K162*(1+'Inputs'!$E$44)/2*'Inputs'!$B$17</x:f>
        <x:v>0.00006554438915130995</x:v>
      </x:c>
      <x:c r="AB162" s="78" t="n">
        <x:f>(IF(J162&gt;0,K162*(1-'Inputs'!$E$44)/2/J162,0)+G162+R162)*'Inputs'!$B$17</x:f>
        <x:v>3454.1429473821686</x:v>
      </x:c>
      <x:c r="AC162" s="78" t="n">
        <x:f>AC161+AB162</x:f>
        <x:v>1409796357.413365</x:v>
      </x:c>
      <x:c r="AD162" s="80" t="n">
        <x:f>Z162/(1+'Inputs'!$C$44)</x:f>
        <x:v>0.00019545697198189164</x:v>
      </x:c>
      <x:c r="AE162" s="80" t="n">
        <x:f>Z162-AD162</x:f>
        <x:v>0.00004886424299547292</x:v>
      </x:c>
      <x:c r="AF162" s="80" t="n">
        <x:f>D162*W162</x:f>
        <x:v>2.4756071728188603e-7</x:v>
      </x:c>
      <x:c r="AG162" s="80" t="n">
        <x:f>C162*W162</x:f>
        <x:v>5.776416736577342e-7</x:v>
      </x:c>
      <x:c r="AH162" s="80" t="n">
        <x:f>2*'Inputs'!$B$8*'Inputs'!$C$44</x:f>
        <x:v>1250</x:v>
      </x:c>
      <x:c r="AI162" s="81" t="n">
        <x:f>IF(AH162&gt;0,(AE162+AF162)/AH162*365,0)</x:f>
        <x:v>0.000014340646684124404</x:v>
      </x:c>
      <x:c r="AJ162" s="81" t="n">
        <x:f>IF('Inputs'!$B$44&gt;0,AG162/('Inputs'!$B$19*'Inputs'!$B$44)*365,0)</x:f>
        <x:v>2.1083921088507297e-8</x:v>
      </x:c>
      <x:c r="AK162" s="81" t="n">
        <x:f>W162/MAX($W$4:W162)-1</x:f>
        <x:v>-0.999999998714695</x:v>
      </x:c>
      <x:c r="AL162" s="83" t="n">
        <x:f>'Inputs'!$B$44</x:f>
        <x:v>1</x:v>
      </x:c>
      <x:c r="AM162" s="83" t="n">
        <x:f>'Inputs'!$C$44</x:f>
        <x:v>0.25</x:v>
      </x:c>
      <x:c r="AN162" s="83" t="n">
        <x:f>'Inputs'!$D$44</x:f>
        <x:v>0.2</x:v>
      </x:c>
      <x:c r="AO162" s="81" t="n">
        <x:f>'Inputs'!$E$44</x:f>
        <x:v>-0.2</x:v>
      </x:c>
    </x:row>
    <x:row r="163">
      <x:c r="A163" s="59" t="str">
        <x:v>No demand</x:v>
      </x:c>
      <x:c r="B163" s="59" t="n">
        <x:v>160</x:v>
      </x:c>
      <x:c r="C163" s="78" t="n">
        <x:f>(('Inputs'!$B$29*(3*160*'Inputs'!$B$12-160^2)/(2*'Inputs'!$B$12^2))-('Inputs'!$B$29*(3*159*'Inputs'!$B$12-159^2)/(2*'Inputs'!$B$12^2)))*'Inputs'!$B$44</x:f>
        <x:v>660131.5912929177</x:v>
      </x:c>
      <x:c r="D163" s="78" t="n">
        <x:f>IF('Inputs'!$C$44&gt;0,('Inputs'!$B$30*(3*160*'Inputs'!$B$12-160^2)/(2*'Inputs'!$B$12^2))-('Inputs'!$B$30*(3*159*'Inputs'!$B$12-159^2)/(2*'Inputs'!$B$12^2)),0)</x:f>
        <x:v>282913.53912553936</x:v>
      </x:c>
      <x:c r="E163" s="78" t="n">
        <x:f>C163+D163</x:f>
        <x:v>943045.1304184571</x:v>
      </x:c>
      <x:c r="F163" s="78" t="n">
        <x:f>'Inputs'!$B$13*E163+(1-'Inputs'!$B$13)/'Inputs'!$B$14*SUM(E108:E163)</x:f>
        <x:v>953262.807280914</x:v>
      </x:c>
      <x:c r="G163" s="78" t="n">
        <x:f>F163*'Inputs'!$F$44</x:f>
        <x:v>857936.5265528227</x:v>
      </x:c>
      <x:c r="H163" s="78" t="n">
        <x:f>U162</x:f>
        <x:v>116392391608.1959</x:v>
      </x:c>
      <x:c r="I163" s="78" t="n">
        <x:f>V162</x:f>
        <x:v>0.10179788617743814</x:v>
      </x:c>
      <x:c r="J163" s="79" t="n">
        <x:f>IF(H163&gt;0,I163/H163,0)</x:f>
        <x:v>8.746094548869972e-13</x:v>
      </x:c>
      <x:c r="K163" s="80" t="n">
        <x:f>(H163*J163+I163)*'Inputs'!$D$44*(1+'Inputs'!$G$44)^(B163/30)</x:f>
        <x:v>0.04071915447097526</x:v>
      </x:c>
      <x:c r="L163" s="80" t="n">
        <x:f>MAX(0,K163*'Inputs'!$E$44)</x:f>
        <x:v>0</x:v>
      </x:c>
      <x:c r="M163" s="80" t="n">
        <x:f>MAX(0,-K163*'Inputs'!$E$44)</x:f>
        <x:v>0.008143830894195053</x:v>
      </x:c>
      <x:c r="N163" s="78" t="n">
        <x:f>H163*(L163*(1-'Inputs'!$B$15))/(I163+L163*(1-'Inputs'!$B$15))</x:f>
        <x:v>0</x:v>
      </x:c>
      <x:c r="O163" s="78" t="n">
        <x:f>H163-N163</x:f>
        <x:v>116392391608.1959</x:v>
      </x:c>
      <x:c r="P163" s="78" t="n">
        <x:f>I163+L163*(1-'Inputs'!$B$17)</x:f>
        <x:v>0.10179788617743814</x:v>
      </x:c>
      <x:c r="Q163" s="78" t="n">
        <x:f>IF(J163&gt;0,M163/J163,0)</x:f>
        <x:v>0</x:v>
      </x:c>
      <x:c r="R163" s="78" t="n">
        <x:f>IF(B163='Inputs'!$H$44,'Inputs'!$B$27*'Inputs'!$I$44,0)</x:f>
        <x:v>0</x:v>
      </x:c>
      <x:c r="S163" s="78" t="n">
        <x:f>Q163+G163+R163</x:f>
        <x:v>857936.5265528227</x:v>
      </x:c>
      <x:c r="T163" s="78" t="n">
        <x:f>P163*(S163*(1-'Inputs'!$B$15))/(O163+S163*(1-'Inputs'!$B$15))</x:f>
        <x:v>7.428503829913147e-7</x:v>
      </x:c>
      <x:c r="U163" s="78" t="n">
        <x:f>O163+S163*(1-'Inputs'!$B$17)</x:f>
        <x:v>116393246092.26158</x:v>
      </x:c>
      <x:c r="V163" s="78" t="n">
        <x:f>P163-T163</x:f>
        <x:v>0.10179714332705514</x:v>
      </x:c>
      <x:c r="W163" s="79" t="n">
        <x:f>IF(U163&gt;0,V163/U163,0)</x:f>
        <x:v>8.745966518225934e-13</x:v>
      </x:c>
      <x:c r="X163" s="80" t="n">
        <x:f>W163*('Inputs'!$B$6-AC163)</x:f>
        <x:v>-0.00035840954163354245</x:v>
      </x:c>
      <x:c r="Y163" s="80" t="n">
        <x:f>2*V163</x:f>
        <x:v>0.20359428665411028</x:v>
      </x:c>
      <x:c r="Z163" s="80" t="n">
        <x:f>K163*'Inputs'!$B$16+(G163+R163)*J163*'Inputs'!$B$16</x:f>
        <x:v>0.00024431942898223846</x:v>
      </x:c>
      <x:c r="AA163" s="80" t="n">
        <x:f>K163*(1+'Inputs'!$E$44)/2*'Inputs'!$B$17</x:f>
        <x:v>0.00006554391061726401</x:v>
      </x:c>
      <x:c r="AB163" s="78" t="n">
        <x:f>(IF(J163&gt;0,K163*(1-'Inputs'!$E$44)/2/J163,0)+G163+R163)*'Inputs'!$B$17</x:f>
        <x:v>3452.4608714399305</x:v>
      </x:c>
      <x:c r="AC163" s="78" t="n">
        <x:f>AC162+AB163</x:f>
        <x:v>1409799809.8742363</x:v>
      </x:c>
      <x:c r="AD163" s="80" t="n">
        <x:f>Z163/(1+'Inputs'!$C$44)</x:f>
        <x:v>0.00019545554318579076</x:v>
      </x:c>
      <x:c r="AE163" s="80" t="n">
        <x:f>Z163-AD163</x:f>
        <x:v>0.0000488638857964477</x:v>
      </x:c>
      <x:c r="AF163" s="80" t="n">
        <x:f>D163*W163</x:f>
        <x:v>2.4743523407447703e-7</x:v>
      </x:c>
      <x:c r="AG163" s="80" t="n">
        <x:f>C163*W163</x:f>
        <x:v>5.773488795071065e-7</x:v>
      </x:c>
      <x:c r="AH163" s="80" t="n">
        <x:f>2*'Inputs'!$B$8*'Inputs'!$C$44</x:f>
        <x:v>1250</x:v>
      </x:c>
      <x:c r="AI163" s="81" t="n">
        <x:f>IF(AH163&gt;0,(AE163+AF163)/AH163*365,0)</x:f>
        <x:v>0.000014340505740912477</x:v>
      </x:c>
      <x:c r="AJ163" s="81" t="n">
        <x:f>IF('Inputs'!$B$44&gt;0,AG163/('Inputs'!$B$19*'Inputs'!$B$44)*365,0)</x:f>
        <x:v>2.1073234102009387e-8</x:v>
      </x:c>
      <x:c r="AK163" s="81" t="n">
        <x:f>W163/MAX($W$4:W163)-1</x:f>
        <x:v>-0.9999999987147138</x:v>
      </x:c>
      <x:c r="AL163" s="83" t="n">
        <x:f>'Inputs'!$B$44</x:f>
        <x:v>1</x:v>
      </x:c>
      <x:c r="AM163" s="83" t="n">
        <x:f>'Inputs'!$C$44</x:f>
        <x:v>0.25</x:v>
      </x:c>
      <x:c r="AN163" s="83" t="n">
        <x:f>'Inputs'!$D$44</x:f>
        <x:v>0.2</x:v>
      </x:c>
      <x:c r="AO163" s="81" t="n">
        <x:f>'Inputs'!$E$44</x:f>
        <x:v>-0.2</x:v>
      </x:c>
    </x:row>
    <x:row r="164">
      <x:c r="A164" s="59" t="str">
        <x:v>No demand</x:v>
      </x:c>
      <x:c r="B164" s="59" t="n">
        <x:v>161</x:v>
      </x:c>
      <x:c r="C164" s="78" t="n">
        <x:f>(('Inputs'!$B$29*(3*161*'Inputs'!$B$12-161^2)/(2*'Inputs'!$B$12^2))-('Inputs'!$B$29*(3*160*'Inputs'!$B$12-160^2)/(2*'Inputs'!$B$12^2)))*'Inputs'!$B$44</x:f>
        <x:v>659806.4833927602</x:v>
      </x:c>
      <x:c r="D164" s="78" t="n">
        <x:f>IF('Inputs'!$C$44&gt;0,('Inputs'!$B$30*(3*161*'Inputs'!$B$12-161^2)/(2*'Inputs'!$B$12^2))-('Inputs'!$B$30*(3*160*'Inputs'!$B$12-160^2)/(2*'Inputs'!$B$12^2)),0)</x:f>
        <x:v>282774.2071683258</x:v>
      </x:c>
      <x:c r="E164" s="78" t="n">
        <x:f>C164+D164</x:f>
        <x:v>942580.6905610859</x:v>
      </x:c>
      <x:c r="F164" s="78" t="n">
        <x:f>'Inputs'!$B$13*E164+(1-'Inputs'!$B$13)/'Inputs'!$B$14*SUM(E109:E164)</x:f>
        <x:v>952798.3674235325</x:v>
      </x:c>
      <x:c r="G164" s="78" t="n">
        <x:f>F164*'Inputs'!$F$44</x:f>
        <x:v>857518.5306811793</x:v>
      </x:c>
      <x:c r="H164" s="78" t="n">
        <x:f>U163</x:f>
        <x:v>116393246092.26158</x:v>
      </x:c>
      <x:c r="I164" s="78" t="n">
        <x:f>V163</x:f>
        <x:v>0.10179714332705514</x:v>
      </x:c>
      <x:c r="J164" s="79" t="n">
        <x:f>IF(H164&gt;0,I164/H164,0)</x:f>
        <x:v>8.745966518225934e-13</x:v>
      </x:c>
      <x:c r="K164" s="80" t="n">
        <x:f>(H164*J164+I164)*'Inputs'!$D$44*(1+'Inputs'!$G$44)^(B164/30)</x:f>
        <x:v>0.04071885733082206</x:v>
      </x:c>
      <x:c r="L164" s="80" t="n">
        <x:f>MAX(0,K164*'Inputs'!$E$44)</x:f>
        <x:v>0</x:v>
      </x:c>
      <x:c r="M164" s="80" t="n">
        <x:f>MAX(0,-K164*'Inputs'!$E$44)</x:f>
        <x:v>0.008143771466164412</x:v>
      </x:c>
      <x:c r="N164" s="78" t="n">
        <x:f>H164*(L164*(1-'Inputs'!$B$15))/(I164+L164*(1-'Inputs'!$B$15))</x:f>
        <x:v>0</x:v>
      </x:c>
      <x:c r="O164" s="78" t="n">
        <x:f>H164-N164</x:f>
        <x:v>116393246092.26158</x:v>
      </x:c>
      <x:c r="P164" s="78" t="n">
        <x:f>I164+L164*(1-'Inputs'!$B$17)</x:f>
        <x:v>0.10179714332705514</x:v>
      </x:c>
      <x:c r="Q164" s="78" t="n">
        <x:f>IF(J164&gt;0,M164/J164,0)</x:f>
        <x:v>0</x:v>
      </x:c>
      <x:c r="R164" s="78" t="n">
        <x:f>IF(B164='Inputs'!$H$44,'Inputs'!$B$27*'Inputs'!$I$44,0)</x:f>
        <x:v>0</x:v>
      </x:c>
      <x:c r="S164" s="78" t="n">
        <x:f>Q164+G164+R164</x:f>
        <x:v>857518.5306811793</x:v>
      </x:c>
      <x:c r="T164" s="78" t="n">
        <x:f>P164*(S164*(1-'Inputs'!$B$15))/(O164+S164*(1-'Inputs'!$B$15))</x:f>
        <x:v>7.424775920048762e-7</x:v>
      </x:c>
      <x:c r="U164" s="78" t="n">
        <x:f>O164+S164*(1-'Inputs'!$B$17)</x:f>
        <x:v>116394100160.01347</x:v>
      </x:c>
      <x:c r="V164" s="78" t="n">
        <x:f>P164-T164</x:f>
        <x:v>0.10179640084946313</x:v>
      </x:c>
      <x:c r="W164" s="79" t="n">
        <x:f>IF(U164&gt;0,V164/U164,0)</x:f>
        <x:v>8.745838552771827e-13</x:v>
      </x:c>
      <x:c r="X164" s="80" t="n">
        <x:f>W164*('Inputs'!$B$6-AC164)</x:f>
        <x:v>-0.0003584073156070888</x:v>
      </x:c>
      <x:c r="Y164" s="80" t="n">
        <x:f>2*V164</x:f>
        <x:v>0.20359280169892627</x:v>
      </x:c>
      <x:c r="Z164" s="80" t="n">
        <x:f>K164*'Inputs'!$B$16+(G164+R164)*J164*'Inputs'!$B$16</x:f>
        <x:v>0.00024431764388194724</x:v>
      </x:c>
      <x:c r="AA164" s="80" t="n">
        <x:f>K164*(1+'Inputs'!$E$44)/2*'Inputs'!$B$17</x:f>
        <x:v>0.00006554343232325482</x:v>
      </x:c>
      <x:c r="AB164" s="78" t="n">
        <x:f>(IF(J164&gt;0,K164*(1-'Inputs'!$E$44)/2/J164,0)+G164+R164)*'Inputs'!$B$17</x:f>
        <x:v>3450.7787954977034</x:v>
      </x:c>
      <x:c r="AC164" s="78" t="n">
        <x:f>AC163+AB164</x:f>
        <x:v>1409803260.6530318</x:v>
      </x:c>
      <x:c r="AD164" s="80" t="n">
        <x:f>Z164/(1+'Inputs'!$C$44)</x:f>
        <x:v>0.0001954541151055578</x:v>
      </x:c>
      <x:c r="AE164" s="80" t="n">
        <x:f>Z164-AD164</x:f>
        <x:v>0.00004886352877638944</x:v>
      </x:c>
      <x:c r="AF164" s="80" t="n">
        <x:f>D164*W164</x:f>
        <x:v>2.4730975627822314e-7</x:v>
      </x:c>
      <x:c r="AG164" s="80" t="n">
        <x:f>C164*W164</x:f>
        <x:v>5.770560979825206e-7</x:v>
      </x:c>
      <x:c r="AH164" s="80" t="n">
        <x:f>2*'Inputs'!$B$8*'Inputs'!$C$44</x:f>
        <x:v>1250</x:v>
      </x:c>
      <x:c r="AI164" s="81" t="n">
        <x:f>IF(AH164&gt;0,(AE164+AF164)/AH164*365,0)</x:f>
        <x:v>0.000014340364851538957</x:v>
      </x:c>
      <x:c r="AJ164" s="81" t="n">
        <x:f>IF('Inputs'!$B$44&gt;0,AG164/('Inputs'!$B$19*'Inputs'!$B$44)*365,0)</x:f>
        <x:v>2.1062547576362e-8</x:v>
      </x:c>
      <x:c r="AK164" s="81" t="n">
        <x:f>W164/MAX($W$4:W164)-1</x:f>
        <x:v>-0.9999999987147326</x:v>
      </x:c>
      <x:c r="AL164" s="83" t="n">
        <x:f>'Inputs'!$B$44</x:f>
        <x:v>1</x:v>
      </x:c>
      <x:c r="AM164" s="83" t="n">
        <x:f>'Inputs'!$C$44</x:f>
        <x:v>0.25</x:v>
      </x:c>
      <x:c r="AN164" s="83" t="n">
        <x:f>'Inputs'!$D$44</x:f>
        <x:v>0.2</x:v>
      </x:c>
      <x:c r="AO164" s="81" t="n">
        <x:f>'Inputs'!$E$44</x:f>
        <x:v>-0.2</x:v>
      </x:c>
    </x:row>
    <x:row r="165">
      <x:c r="A165" s="59" t="str">
        <x:v>No demand</x:v>
      </x:c>
      <x:c r="B165" s="59" t="n">
        <x:v>162</x:v>
      </x:c>
      <x:c r="C165" s="78" t="n">
        <x:f>(('Inputs'!$B$29*(3*162*'Inputs'!$B$12-162^2)/(2*'Inputs'!$B$12^2))-('Inputs'!$B$29*(3*161*'Inputs'!$B$12-161^2)/(2*'Inputs'!$B$12^2)))*'Inputs'!$B$44</x:f>
        <x:v>659481.3754925877</x:v>
      </x:c>
      <x:c r="D165" s="78" t="n">
        <x:f>IF('Inputs'!$C$44&gt;0,('Inputs'!$B$30*(3*162*'Inputs'!$B$12-162^2)/(2*'Inputs'!$B$12^2))-('Inputs'!$B$30*(3*161*'Inputs'!$B$12-161^2)/(2*'Inputs'!$B$12^2)),0)</x:f>
        <x:v>282634.8752111122</x:v>
      </x:c>
      <x:c r="E165" s="78" t="n">
        <x:f>C165+D165</x:f>
        <x:v>942116.2507036999</x:v>
      </x:c>
      <x:c r="F165" s="78" t="n">
        <x:f>'Inputs'!$B$13*E165+(1-'Inputs'!$B$13)/'Inputs'!$B$14*SUM(E110:E165)</x:f>
        <x:v>952333.9275661482</x:v>
      </x:c>
      <x:c r="G165" s="78" t="n">
        <x:f>F165*'Inputs'!$F$44</x:f>
        <x:v>857100.5348095334</x:v>
      </x:c>
      <x:c r="H165" s="78" t="n">
        <x:f>U164</x:f>
        <x:v>116394100160.01347</x:v>
      </x:c>
      <x:c r="I165" s="78" t="n">
        <x:f>V164</x:f>
        <x:v>0.10179640084946313</x:v>
      </x:c>
      <x:c r="J165" s="79" t="n">
        <x:f>IF(H165&gt;0,I165/H165,0)</x:f>
        <x:v>8.745838552771827e-13</x:v>
      </x:c>
      <x:c r="K165" s="80" t="n">
        <x:f>(H165*J165+I165)*'Inputs'!$D$44*(1+'Inputs'!$G$44)^(B165/30)</x:f>
        <x:v>0.040718560339785256</x:v>
      </x:c>
      <x:c r="L165" s="80" t="n">
        <x:f>MAX(0,K165*'Inputs'!$E$44)</x:f>
        <x:v>0</x:v>
      </x:c>
      <x:c r="M165" s="80" t="n">
        <x:f>MAX(0,-K165*'Inputs'!$E$44)</x:f>
        <x:v>0.008143712067957052</x:v>
      </x:c>
      <x:c r="N165" s="78" t="n">
        <x:f>H165*(L165*(1-'Inputs'!$B$15))/(I165+L165*(1-'Inputs'!$B$15))</x:f>
        <x:v>0</x:v>
      </x:c>
      <x:c r="O165" s="78" t="n">
        <x:f>H165-N165</x:f>
        <x:v>116394100160.01347</x:v>
      </x:c>
      <x:c r="P165" s="78" t="n">
        <x:f>I165+L165*(1-'Inputs'!$B$17)</x:f>
        <x:v>0.10179640084946313</x:v>
      </x:c>
      <x:c r="Q165" s="78" t="n">
        <x:f>IF(J165&gt;0,M165/J165,0)</x:f>
        <x:v>0</x:v>
      </x:c>
      <x:c r="R165" s="78" t="n">
        <x:f>IF(B165='Inputs'!$H$44,'Inputs'!$B$27*'Inputs'!$I$44,0)</x:f>
        <x:v>0</x:v>
      </x:c>
      <x:c r="S165" s="78" t="n">
        <x:f>Q165+G165+R165</x:f>
        <x:v>857100.5348095334</x:v>
      </x:c>
      <x:c r="T165" s="78" t="n">
        <x:f>P165*(S165*(1-'Inputs'!$B$15))/(O165+S165*(1-'Inputs'!$B$15))</x:f>
        <x:v>7.421048171433502e-7</x:v>
      </x:c>
      <x:c r="U165" s="78" t="n">
        <x:f>O165+S165*(1-'Inputs'!$B$17)</x:f>
        <x:v>116394953811.45157</x:v>
      </x:c>
      <x:c r="V165" s="78" t="n">
        <x:f>P165-T165</x:f>
        <x:v>0.101795658744646</x:v>
      </x:c>
      <x:c r="W165" s="79" t="n">
        <x:f>IF(U165&gt;0,V165/U165,0)</x:f>
        <x:v>8.745710652503458e-13</x:v>
      </x:c>
      <x:c r="X165" s="80" t="n">
        <x:f>W165*('Inputs'!$B$6-AC165)</x:f>
        <x:v>-0.0003584050906925793</x:v>
      </x:c>
      <x:c r="Y165" s="80" t="n">
        <x:f>2*V165</x:f>
        <x:v>0.203591317489292</x:v>
      </x:c>
      <x:c r="Z165" s="80" t="n">
        <x:f>K165*'Inputs'!$B$16+(G165+R165)*J165*'Inputs'!$B$16</x:f>
        <x:v>0.0002443158596764521</x:v>
      </x:c>
      <x:c r="AA165" s="80" t="n">
        <x:f>K165*(1+'Inputs'!$E$44)/2*'Inputs'!$B$17</x:f>
        <x:v>0.00006554295426927206</x:v>
      </x:c>
      <x:c r="AB165" s="78" t="n">
        <x:f>(IF(J165&gt;0,K165*(1-'Inputs'!$E$44)/2/J165,0)+G165+R165)*'Inputs'!$B$17</x:f>
        <x:v>3449.0967195554667</x:v>
      </x:c>
      <x:c r="AC165" s="78" t="n">
        <x:f>AC164+AB165</x:f>
        <x:v>1409806709.7497513</x:v>
      </x:c>
      <x:c r="AD165" s="80" t="n">
        <x:f>Z165/(1+'Inputs'!$C$44)</x:f>
        <x:v>0.00019545268774116167</x:v>
      </x:c>
      <x:c r="AE165" s="80" t="n">
        <x:f>Z165-AD165</x:f>
        <x:v>0.000048863171935290423</x:v>
      </x:c>
      <x:c r="AF165" s="80" t="n">
        <x:f>D165*W165</x:f>
        <x:v>2.4718428389028096e-7</x:v>
      </x:c>
      <x:c r="AG165" s="80" t="n">
        <x:f>C165*W165</x:f>
        <x:v>5.767633290773157e-7</x:v>
      </x:c>
      <x:c r="AH165" s="80" t="n">
        <x:f>2*'Inputs'!$B$8*'Inputs'!$C$44</x:f>
        <x:v>1250</x:v>
      </x:c>
      <x:c r="AI165" s="81" t="n">
        <x:f>IF(AH165&gt;0,(AE165+AF165)/AH165*365,0)</x:f>
        <x:v>0.000014340224016000765</x:v>
      </x:c>
      <x:c r="AJ165" s="81" t="n">
        <x:f>IF('Inputs'!$B$44&gt;0,AG165/('Inputs'!$B$19*'Inputs'!$B$44)*365,0)</x:f>
        <x:v>2.105186151132202e-8</x:v>
      </x:c>
      <x:c r="AK165" s="81" t="n">
        <x:f>W165/MAX($W$4:W165)-1</x:f>
        <x:v>-0.9999999987147514</x:v>
      </x:c>
      <x:c r="AL165" s="83" t="n">
        <x:f>'Inputs'!$B$44</x:f>
        <x:v>1</x:v>
      </x:c>
      <x:c r="AM165" s="83" t="n">
        <x:f>'Inputs'!$C$44</x:f>
        <x:v>0.25</x:v>
      </x:c>
      <x:c r="AN165" s="83" t="n">
        <x:f>'Inputs'!$D$44</x:f>
        <x:v>0.2</x:v>
      </x:c>
      <x:c r="AO165" s="81" t="n">
        <x:f>'Inputs'!$E$44</x:f>
        <x:v>-0.2</x:v>
      </x:c>
    </x:row>
    <x:row r="166">
      <x:c r="A166" s="59" t="str">
        <x:v>No demand</x:v>
      </x:c>
      <x:c r="B166" s="59" t="n">
        <x:v>163</x:v>
      </x:c>
      <x:c r="C166" s="78" t="n">
        <x:f>(('Inputs'!$B$29*(3*163*'Inputs'!$B$12-163^2)/(2*'Inputs'!$B$12^2))-('Inputs'!$B$29*(3*162*'Inputs'!$B$12-162^2)/(2*'Inputs'!$B$12^2)))*'Inputs'!$B$44</x:f>
        <x:v>659156.2675924152</x:v>
      </x:c>
      <x:c r="D166" s="78" t="n">
        <x:f>IF('Inputs'!$C$44&gt;0,('Inputs'!$B$30*(3*163*'Inputs'!$B$12-163^2)/(2*'Inputs'!$B$12^2))-('Inputs'!$B$30*(3*162*'Inputs'!$B$12-162^2)/(2*'Inputs'!$B$12^2)),0)</x:f>
        <x:v>282495.54325389117</x:v>
      </x:c>
      <x:c r="E166" s="78" t="n">
        <x:f>C166+D166</x:f>
        <x:v>941651.8108463064</x:v>
      </x:c>
      <x:c r="F166" s="78" t="n">
        <x:f>'Inputs'!$B$13*E166+(1-'Inputs'!$B$13)/'Inputs'!$B$14*SUM(E111:E166)</x:f>
        <x:v>951869.4877087622</x:v>
      </x:c>
      <x:c r="G166" s="78" t="n">
        <x:f>F166*'Inputs'!$F$44</x:f>
        <x:v>856682.538937886</x:v>
      </x:c>
      <x:c r="H166" s="78" t="n">
        <x:f>U165</x:f>
        <x:v>116394953811.45157</x:v>
      </x:c>
      <x:c r="I166" s="78" t="n">
        <x:f>V165</x:f>
        <x:v>0.101795658744646</x:v>
      </x:c>
      <x:c r="J166" s="79" t="n">
        <x:f>IF(H166&gt;0,I166/H166,0)</x:f>
        <x:v>8.745710652503458e-13</x:v>
      </x:c>
      <x:c r="K166" s="80" t="n">
        <x:f>(H166*J166+I166)*'Inputs'!$D$44*(1+'Inputs'!$G$44)^(B166/30)</x:f>
        <x:v>0.0407182634978584</x:v>
      </x:c>
      <x:c r="L166" s="80" t="n">
        <x:f>MAX(0,K166*'Inputs'!$E$44)</x:f>
        <x:v>0</x:v>
      </x:c>
      <x:c r="M166" s="80" t="n">
        <x:f>MAX(0,-K166*'Inputs'!$E$44)</x:f>
        <x:v>0.00814365269957168</x:v>
      </x:c>
      <x:c r="N166" s="78" t="n">
        <x:f>H166*(L166*(1-'Inputs'!$B$15))/(I166+L166*(1-'Inputs'!$B$15))</x:f>
        <x:v>0</x:v>
      </x:c>
      <x:c r="O166" s="78" t="n">
        <x:f>H166-N166</x:f>
        <x:v>116394953811.45157</x:v>
      </x:c>
      <x:c r="P166" s="78" t="n">
        <x:f>I166+L166*(1-'Inputs'!$B$17)</x:f>
        <x:v>0.101795658744646</x:v>
      </x:c>
      <x:c r="Q166" s="78" t="n">
        <x:f>IF(J166&gt;0,M166/J166,0)</x:f>
        <x:v>0</x:v>
      </x:c>
      <x:c r="R166" s="78" t="n">
        <x:f>IF(B166='Inputs'!$H$44,'Inputs'!$B$27*'Inputs'!$I$44,0)</x:f>
        <x:v>0</x:v>
      </x:c>
      <x:c r="S166" s="78" t="n">
        <x:f>Q166+G166+R166</x:f>
        <x:v>856682.538937886</x:v>
      </x:c>
      <x:c r="T166" s="78" t="n">
        <x:f>P166*(S166*(1-'Inputs'!$B$15))/(O166+S166*(1-'Inputs'!$B$15))</x:f>
        <x:v>7.417320583982896e-7</x:v>
      </x:c>
      <x:c r="U166" s="78" t="n">
        <x:f>O166+S166*(1-'Inputs'!$B$17)</x:f>
        <x:v>116395807046.57587</x:v>
      </x:c>
      <x:c r="V166" s="78" t="n">
        <x:f>P166-T166</x:f>
        <x:v>0.1017949170125876</x:v>
      </x:c>
      <x:c r="W166" s="79" t="n">
        <x:f>IF(U166&gt;0,V166/U166,0)</x:f>
        <x:v>8.745582817416634e-13</x:v>
      </x:c>
      <x:c r="X166" s="80" t="n">
        <x:f>W166*('Inputs'!$B$6-AC166)</x:f>
        <x:v>-0.0003584028668899742</x:v>
      </x:c>
      <x:c r="Y166" s="80" t="n">
        <x:f>2*V166</x:f>
        <x:v>0.2035898340251752</x:v>
      </x:c>
      <x:c r="Z166" s="80" t="n">
        <x:f>K166*'Inputs'!$B$16+(G166+R166)*J166*'Inputs'!$B$16</x:f>
        <x:v>0.00024431407636571435</x:v>
      </x:c>
      <x:c r="AA166" s="80" t="n">
        <x:f>K166*(1+'Inputs'!$E$44)/2*'Inputs'!$B$17</x:f>
        <x:v>0.00006554247645530528</x:v>
      </x:c>
      <x:c r="AB166" s="78" t="n">
        <x:f>(IF(J166&gt;0,K166*(1-'Inputs'!$E$44)/2/J166,0)+G166+R166)*'Inputs'!$B$17</x:f>
        <x:v>3447.4146436132237</x:v>
      </x:c>
      <x:c r="AC166" s="78" t="n">
        <x:f>AC165+AB166</x:f>
        <x:v>1409810157.1643949</x:v>
      </x:c>
      <x:c r="AD166" s="80" t="n">
        <x:f>Z166/(1+'Inputs'!$C$44)</x:f>
        <x:v>0.00019545126109257147</x:v>
      </x:c>
      <x:c r="AE166" s="80" t="n">
        <x:f>Z166-AD166</x:f>
        <x:v>0.00004886281527314288</x:v>
      </x:c>
      <x:c r="AF166" s="80" t="n">
        <x:f>D166*W166</x:f>
        <x:v>2.470588169078008e-7</x:v>
      </x:c>
      <x:c r="AG166" s="80" t="n">
        <x:f>C166*W166</x:f>
        <x:v>5.764705727848708e-7</x:v>
      </x:c>
      <x:c r="AH166" s="80" t="n">
        <x:f>2*'Inputs'!$B$8*'Inputs'!$C$44</x:f>
        <x:v>1250</x:v>
      </x:c>
      <x:c r="AI166" s="81" t="n">
        <x:f>IF(AH166&gt;0,(AE166+AF166)/AH166*365,0)</x:f>
        <x:v>0.000014340083234294799</x:v>
      </x:c>
      <x:c r="AJ166" s="81" t="n">
        <x:f>IF('Inputs'!$B$44&gt;0,AG166/('Inputs'!$B$19*'Inputs'!$B$44)*365,0)</x:f>
        <x:v>2.1041175906647784e-8</x:v>
      </x:c>
      <x:c r="AK166" s="81" t="n">
        <x:f>W166/MAX($W$4:W166)-1</x:f>
        <x:v>-0.9999999987147702</x:v>
      </x:c>
      <x:c r="AL166" s="83" t="n">
        <x:f>'Inputs'!$B$44</x:f>
        <x:v>1</x:v>
      </x:c>
      <x:c r="AM166" s="83" t="n">
        <x:f>'Inputs'!$C$44</x:f>
        <x:v>0.25</x:v>
      </x:c>
      <x:c r="AN166" s="83" t="n">
        <x:f>'Inputs'!$D$44</x:f>
        <x:v>0.2</x:v>
      </x:c>
      <x:c r="AO166" s="81" t="n">
        <x:f>'Inputs'!$E$44</x:f>
        <x:v>-0.2</x:v>
      </x:c>
    </x:row>
    <x:row r="167">
      <x:c r="A167" s="59" t="str">
        <x:v>No demand</x:v>
      </x:c>
      <x:c r="B167" s="59" t="n">
        <x:v>164</x:v>
      </x:c>
      <x:c r="C167" s="78" t="n">
        <x:f>(('Inputs'!$B$29*(3*164*'Inputs'!$B$12-164^2)/(2*'Inputs'!$B$12^2))-('Inputs'!$B$29*(3*163*'Inputs'!$B$12-163^2)/(2*'Inputs'!$B$12^2)))*'Inputs'!$B$44</x:f>
        <x:v>658831.1596922576</x:v>
      </x:c>
      <x:c r="D167" s="78" t="n">
        <x:f>IF('Inputs'!$C$44&gt;0,('Inputs'!$B$30*(3*164*'Inputs'!$B$12-164^2)/(2*'Inputs'!$B$12^2))-('Inputs'!$B$30*(3*163*'Inputs'!$B$12-163^2)/(2*'Inputs'!$B$12^2)),0)</x:f>
        <x:v>282356.2112966776</x:v>
      </x:c>
      <x:c r="E167" s="78" t="n">
        <x:f>C167+D167</x:f>
        <x:v>941187.3709889352</x:v>
      </x:c>
      <x:c r="F167" s="78" t="n">
        <x:f>'Inputs'!$B$13*E167+(1-'Inputs'!$B$13)/'Inputs'!$B$14*SUM(E112:E167)</x:f>
        <x:v>951405.0478513807</x:v>
      </x:c>
      <x:c r="G167" s="78" t="n">
        <x:f>F167*'Inputs'!$F$44</x:f>
        <x:v>856264.5430662426</x:v>
      </x:c>
      <x:c r="H167" s="78" t="n">
        <x:f>U166</x:f>
        <x:v>116395807046.57587</x:v>
      </x:c>
      <x:c r="I167" s="78" t="n">
        <x:f>V166</x:f>
        <x:v>0.1017949170125876</x:v>
      </x:c>
      <x:c r="J167" s="79" t="n">
        <x:f>IF(H167&gt;0,I167/H167,0)</x:f>
        <x:v>8.745582817416634e-13</x:v>
      </x:c>
      <x:c r="K167" s="80" t="n">
        <x:f>(H167*J167+I167)*'Inputs'!$D$44*(1+'Inputs'!$G$44)^(B167/30)</x:f>
        <x:v>0.04071796680503504</x:v>
      </x:c>
      <x:c r="L167" s="80" t="n">
        <x:f>MAX(0,K167*'Inputs'!$E$44)</x:f>
        <x:v>0</x:v>
      </x:c>
      <x:c r="M167" s="80" t="n">
        <x:f>MAX(0,-K167*'Inputs'!$E$44)</x:f>
        <x:v>0.008143593361007008</x:v>
      </x:c>
      <x:c r="N167" s="78" t="n">
        <x:f>H167*(L167*(1-'Inputs'!$B$15))/(I167+L167*(1-'Inputs'!$B$15))</x:f>
        <x:v>0</x:v>
      </x:c>
      <x:c r="O167" s="78" t="n">
        <x:f>H167-N167</x:f>
        <x:v>116395807046.57587</x:v>
      </x:c>
      <x:c r="P167" s="78" t="n">
        <x:f>I167+L167*(1-'Inputs'!$B$17)</x:f>
        <x:v>0.1017949170125876</x:v>
      </x:c>
      <x:c r="Q167" s="78" t="n">
        <x:f>IF(J167&gt;0,M167/J167,0)</x:f>
        <x:v>0</x:v>
      </x:c>
      <x:c r="R167" s="78" t="n">
        <x:f>IF(B167='Inputs'!$H$44,'Inputs'!$B$27*'Inputs'!$I$44,0)</x:f>
        <x:v>0</x:v>
      </x:c>
      <x:c r="S167" s="78" t="n">
        <x:f>Q167+G167+R167</x:f>
        <x:v>856264.5430662426</x:v>
      </x:c>
      <x:c r="T167" s="78" t="n">
        <x:f>P167*(S167*(1-'Inputs'!$B$15))/(O167+S167*(1-'Inputs'!$B$15))</x:f>
        <x:v>7.413593157612513e-7</x:v>
      </x:c>
      <x:c r="U167" s="78" t="n">
        <x:f>O167+S167*(1-'Inputs'!$B$17)</x:f>
        <x:v>116396659865.38637</x:v>
      </x:c>
      <x:c r="V167" s="78" t="n">
        <x:f>P167-T167</x:f>
        <x:v>0.10179417565327184</x:v>
      </x:c>
      <x:c r="W167" s="79" t="n">
        <x:f>IF(U167&gt;0,V167/U167,0)</x:f>
        <x:v>8.745455047507169e-13</x:v>
      </x:c>
      <x:c r="X167" s="80" t="n">
        <x:f>W167*('Inputs'!$B$6-AC167)</x:f>
        <x:v>-0.0003584006441992341</x:v>
      </x:c>
      <x:c r="Y167" s="80" t="n">
        <x:f>2*V167</x:f>
        <x:v>0.20358835130654368</x:v>
      </x:c>
      <x:c r="Z167" s="80" t="n">
        <x:f>K167*'Inputs'!$B$16+(G167+R167)*J167*'Inputs'!$B$16</x:f>
        <x:v>0.0002443122939496952</x:v>
      </x:c>
      <x:c r="AA167" s="80" t="n">
        <x:f>K167*(1+'Inputs'!$E$44)/2*'Inputs'!$B$17</x:f>
        <x:v>0.00006554199888134414</x:v>
      </x:c>
      <x:c r="AB167" s="78" t="n">
        <x:f>(IF(J167&gt;0,K167*(1-'Inputs'!$E$44)/2/J167,0)+G167+R167)*'Inputs'!$B$17</x:f>
        <x:v>3445.7325676709966</x:v>
      </x:c>
      <x:c r="AC167" s="78" t="n">
        <x:f>AC166+AB167</x:f>
        <x:v>1409813602.8969626</x:v>
      </x:c>
      <x:c r="AD167" s="80" t="n">
        <x:f>Z167/(1+'Inputs'!$C$44)</x:f>
        <x:v>0.00019544983515975618</x:v>
      </x:c>
      <x:c r="AE167" s="80" t="n">
        <x:f>Z167-AD167</x:f>
        <x:v>0.00004886245878993903</x:v>
      </x:c>
      <x:c r="AF167" s="80" t="n">
        <x:f>D167*W167</x:f>
        <x:v>2.46933355327953e-7</x:v>
      </x:c>
      <x:c r="AG167" s="80" t="n">
        <x:f>C167*W167</x:f>
        <x:v>5.761778290985657e-7</x:v>
      </x:c>
      <x:c r="AH167" s="80" t="n">
        <x:f>2*'Inputs'!$B$8*'Inputs'!$C$44</x:f>
        <x:v>1250</x:v>
      </x:c>
      <x:c r="AI167" s="81" t="n">
        <x:f>IF(AH167&gt;0,(AE167+AF167)/AH167*365,0)</x:f>
        <x:v>0.00001433994250641796</x:v>
      </x:c>
      <x:c r="AJ167" s="81" t="n">
        <x:f>IF('Inputs'!$B$44&gt;0,AG167/('Inputs'!$B$19*'Inputs'!$B$44)*365,0)</x:f>
        <x:v>2.1030490762097646e-8</x:v>
      </x:c>
      <x:c r="AK167" s="81" t="n">
        <x:f>W167/MAX($W$4:W167)-1</x:f>
        <x:v>-0.999999998714789</x:v>
      </x:c>
      <x:c r="AL167" s="83" t="n">
        <x:f>'Inputs'!$B$44</x:f>
        <x:v>1</x:v>
      </x:c>
      <x:c r="AM167" s="83" t="n">
        <x:f>'Inputs'!$C$44</x:f>
        <x:v>0.25</x:v>
      </x:c>
      <x:c r="AN167" s="83" t="n">
        <x:f>'Inputs'!$D$44</x:f>
        <x:v>0.2</x:v>
      </x:c>
      <x:c r="AO167" s="81" t="n">
        <x:f>'Inputs'!$E$44</x:f>
        <x:v>-0.2</x:v>
      </x:c>
    </x:row>
    <x:row r="168">
      <x:c r="A168" s="59" t="str">
        <x:v>No demand</x:v>
      </x:c>
      <x:c r="B168" s="59" t="n">
        <x:v>165</x:v>
      </x:c>
      <x:c r="C168" s="78" t="n">
        <x:f>(('Inputs'!$B$29*(3*165*'Inputs'!$B$12-165^2)/(2*'Inputs'!$B$12^2))-('Inputs'!$B$29*(3*164*'Inputs'!$B$12-164^2)/(2*'Inputs'!$B$12^2)))*'Inputs'!$B$44</x:f>
        <x:v>658506.0517920852</x:v>
      </x:c>
      <x:c r="D168" s="78" t="n">
        <x:f>IF('Inputs'!$C$44&gt;0,('Inputs'!$B$30*(3*165*'Inputs'!$B$12-165^2)/(2*'Inputs'!$B$12^2))-('Inputs'!$B$30*(3*164*'Inputs'!$B$12-164^2)/(2*'Inputs'!$B$12^2)),0)</x:f>
        <x:v>282216.879339464</x:v>
      </x:c>
      <x:c r="E168" s="78" t="n">
        <x:f>C168+D168</x:f>
        <x:v>940722.9311315492</x:v>
      </x:c>
      <x:c r="F168" s="78" t="n">
        <x:f>'Inputs'!$B$13*E168+(1-'Inputs'!$B$13)/'Inputs'!$B$14*SUM(E113:E168)</x:f>
        <x:v>950940.6079939961</x:v>
      </x:c>
      <x:c r="G168" s="78" t="n">
        <x:f>F168*'Inputs'!$F$44</x:f>
        <x:v>855846.5471945965</x:v>
      </x:c>
      <x:c r="H168" s="78" t="n">
        <x:f>U167</x:f>
        <x:v>116396659865.38637</x:v>
      </x:c>
      <x:c r="I168" s="78" t="n">
        <x:f>V167</x:f>
        <x:v>0.10179417565327184</x:v>
      </x:c>
      <x:c r="J168" s="79" t="n">
        <x:f>IF(H168&gt;0,I168/H168,0)</x:f>
        <x:v>8.745455047507169e-13</x:v>
      </x:c>
      <x:c r="K168" s="80" t="n">
        <x:f>(H168*J168+I168)*'Inputs'!$D$44*(1+'Inputs'!$G$44)^(B168/30)</x:f>
        <x:v>0.040717670261308736</x:v>
      </x:c>
      <x:c r="L168" s="80" t="n">
        <x:f>MAX(0,K168*'Inputs'!$E$44)</x:f>
        <x:v>0</x:v>
      </x:c>
      <x:c r="M168" s="80" t="n">
        <x:f>MAX(0,-K168*'Inputs'!$E$44)</x:f>
        <x:v>0.008143534052261748</x:v>
      </x:c>
      <x:c r="N168" s="78" t="n">
        <x:f>H168*(L168*(1-'Inputs'!$B$15))/(I168+L168*(1-'Inputs'!$B$15))</x:f>
        <x:v>0</x:v>
      </x:c>
      <x:c r="O168" s="78" t="n">
        <x:f>H168-N168</x:f>
        <x:v>116396659865.38637</x:v>
      </x:c>
      <x:c r="P168" s="78" t="n">
        <x:f>I168+L168*(1-'Inputs'!$B$17)</x:f>
        <x:v>0.10179417565327184</x:v>
      </x:c>
      <x:c r="Q168" s="78" t="n">
        <x:f>IF(J168&gt;0,M168/J168,0)</x:f>
        <x:v>0</x:v>
      </x:c>
      <x:c r="R168" s="78" t="n">
        <x:f>IF(B168='Inputs'!$H$44,'Inputs'!$B$27*'Inputs'!$I$44,0)</x:f>
        <x:v>0</x:v>
      </x:c>
      <x:c r="S168" s="78" t="n">
        <x:f>Q168+G168+R168</x:f>
        <x:v>855846.5471945965</x:v>
      </x:c>
      <x:c r="T168" s="78" t="n">
        <x:f>P168*(S168*(1-'Inputs'!$B$15))/(O168+S168*(1-'Inputs'!$B$15))</x:f>
        <x:v>7.409865892237833e-7</x:v>
      </x:c>
      <x:c r="U168" s="78" t="n">
        <x:f>O168+S168*(1-'Inputs'!$B$17)</x:f>
        <x:v>116397512267.88307</x:v>
      </x:c>
      <x:c r="V168" s="78" t="n">
        <x:f>P168-T168</x:f>
        <x:v>0.10179343466668261</x:v>
      </x:c>
      <x:c r="W168" s="79" t="n">
        <x:f>IF(U168&gt;0,V168/U168,0)</x:f>
        <x:v>8.745327342770874e-13</x:v>
      </x:c>
      <x:c r="X168" s="80" t="n">
        <x:f>W168*('Inputs'!$B$6-AC168)</x:f>
        <x:v>-0.00035839842262031885</x:v>
      </x:c>
      <x:c r="Y168" s="80" t="n">
        <x:f>2*V168</x:f>
        <x:v>0.20358686933336523</x:v>
      </x:c>
      <x:c r="Z168" s="80" t="n">
        <x:f>K168*'Inputs'!$B$16+(G168+R168)*J168*'Inputs'!$B$16</x:f>
        <x:v>0.00024431051242835607</x:v>
      </x:c>
      <x:c r="AA168" s="80" t="n">
        <x:f>K168*(1+'Inputs'!$E$44)/2*'Inputs'!$B$17</x:f>
        <x:v>0.00006554152154737826</x:v>
      </x:c>
      <x:c r="AB168" s="78" t="n">
        <x:f>(IF(J168&gt;0,K168*(1-'Inputs'!$E$44)/2/J168,0)+G168+R168)*'Inputs'!$B$17</x:f>
        <x:v>3444.050491728759</x:v>
      </x:c>
      <x:c r="AC168" s="78" t="n">
        <x:f>AC167+AB168</x:f>
        <x:v>1409817046.9474545</x:v>
      </x:c>
      <x:c r="AD168" s="80" t="n">
        <x:f>Z168/(1+'Inputs'!$C$44)</x:f>
        <x:v>0.00019544840994268486</x:v>
      </x:c>
      <x:c r="AE168" s="80" t="n">
        <x:f>Z168-AD168</x:f>
        <x:v>0.0000488621024856712</x:v>
      </x:c>
      <x:c r="AF168" s="80" t="n">
        <x:f>D168*W168</x:f>
        <x:v>2.468078991478883e-7</x:v>
      </x:c>
      <x:c r="AG168" s="80" t="n">
        <x:f>C168*W168</x:f>
        <x:v>5.758850980117416e-7</x:v>
      </x:c>
      <x:c r="AH168" s="80" t="n">
        <x:f>2*'Inputs'!$B$8*'Inputs'!$C$44</x:f>
        <x:v>1250</x:v>
      </x:c>
      <x:c r="AI168" s="81" t="n">
        <x:f>IF(AH168&gt;0,(AE168+AF168)/AH168*365,0)</x:f>
        <x:v>0.000014339801832367174</x:v>
      </x:c>
      <x:c r="AJ168" s="81" t="n">
        <x:f>IF('Inputs'!$B$44&gt;0,AG168/('Inputs'!$B$19*'Inputs'!$B$44)*365,0)</x:f>
        <x:v>2.101980607742857e-8</x:v>
      </x:c>
      <x:c r="AK168" s="81" t="n">
        <x:f>W168/MAX($W$4:W168)-1</x:f>
        <x:v>-0.9999999987148077</x:v>
      </x:c>
      <x:c r="AL168" s="83" t="n">
        <x:f>'Inputs'!$B$44</x:f>
        <x:v>1</x:v>
      </x:c>
      <x:c r="AM168" s="83" t="n">
        <x:f>'Inputs'!$C$44</x:f>
        <x:v>0.25</x:v>
      </x:c>
      <x:c r="AN168" s="83" t="n">
        <x:f>'Inputs'!$D$44</x:f>
        <x:v>0.2</x:v>
      </x:c>
      <x:c r="AO168" s="81" t="n">
        <x:f>'Inputs'!$E$44</x:f>
        <x:v>-0.2</x:v>
      </x:c>
    </x:row>
    <x:row r="169">
      <x:c r="A169" s="59" t="str">
        <x:v>No demand</x:v>
      </x:c>
      <x:c r="B169" s="59" t="n">
        <x:v>166</x:v>
      </x:c>
      <x:c r="C169" s="78" t="n">
        <x:f>(('Inputs'!$B$29*(3*166*'Inputs'!$B$12-166^2)/(2*'Inputs'!$B$12^2))-('Inputs'!$B$29*(3*165*'Inputs'!$B$12-165^2)/(2*'Inputs'!$B$12^2)))*'Inputs'!$B$44</x:f>
        <x:v>658180.9438919127</x:v>
      </x:c>
      <x:c r="D169" s="78" t="n">
        <x:f>IF('Inputs'!$C$44&gt;0,('Inputs'!$B$30*(3*166*'Inputs'!$B$12-166^2)/(2*'Inputs'!$B$12^2))-('Inputs'!$B$30*(3*165*'Inputs'!$B$12-165^2)/(2*'Inputs'!$B$12^2)),0)</x:f>
        <x:v>282077.5473822504</x:v>
      </x:c>
      <x:c r="E169" s="78" t="n">
        <x:f>C169+D169</x:f>
        <x:v>940258.4912741631</x:v>
      </x:c>
      <x:c r="F169" s="78" t="n">
        <x:f>'Inputs'!$B$13*E169+(1-'Inputs'!$B$13)/'Inputs'!$B$14*SUM(E114:E169)</x:f>
        <x:v>950476.1681366118</x:v>
      </x:c>
      <x:c r="G169" s="78" t="n">
        <x:f>F169*'Inputs'!$F$44</x:f>
        <x:v>855428.5513229506</x:v>
      </x:c>
      <x:c r="H169" s="78" t="n">
        <x:f>U168</x:f>
        <x:v>116397512267.88307</x:v>
      </x:c>
      <x:c r="I169" s="78" t="n">
        <x:f>V168</x:f>
        <x:v>0.10179343466668261</x:v>
      </x:c>
      <x:c r="J169" s="79" t="n">
        <x:f>IF(H169&gt;0,I169/H169,0)</x:f>
        <x:v>8.745327342770874e-13</x:v>
      </x:c>
      <x:c r="K169" s="80" t="n">
        <x:f>(H169*J169+I169)*'Inputs'!$D$44*(1+'Inputs'!$G$44)^(B169/30)</x:f>
        <x:v>0.04071737386667305</x:v>
      </x:c>
      <x:c r="L169" s="80" t="n">
        <x:f>MAX(0,K169*'Inputs'!$E$44)</x:f>
        <x:v>0</x:v>
      </x:c>
      <x:c r="M169" s="80" t="n">
        <x:f>MAX(0,-K169*'Inputs'!$E$44)</x:f>
        <x:v>0.00814347477333461</x:v>
      </x:c>
      <x:c r="N169" s="78" t="n">
        <x:f>H169*(L169*(1-'Inputs'!$B$15))/(I169+L169*(1-'Inputs'!$B$15))</x:f>
        <x:v>0</x:v>
      </x:c>
      <x:c r="O169" s="78" t="n">
        <x:f>H169-N169</x:f>
        <x:v>116397512267.88307</x:v>
      </x:c>
      <x:c r="P169" s="78" t="n">
        <x:f>I169+L169*(1-'Inputs'!$B$17)</x:f>
        <x:v>0.10179343466668261</x:v>
      </x:c>
      <x:c r="Q169" s="78" t="n">
        <x:f>IF(J169&gt;0,M169/J169,0)</x:f>
        <x:v>0</x:v>
      </x:c>
      <x:c r="R169" s="78" t="n">
        <x:f>IF(B169='Inputs'!$H$44,'Inputs'!$B$27*'Inputs'!$I$44,0)</x:f>
        <x:v>0</x:v>
      </x:c>
      <x:c r="S169" s="78" t="n">
        <x:f>Q169+G169+R169</x:f>
        <x:v>855428.5513229506</x:v>
      </x:c>
      <x:c r="T169" s="78" t="n">
        <x:f>P169*(S169*(1-'Inputs'!$B$15))/(O169+S169*(1-'Inputs'!$B$15))</x:f>
        <x:v>7.406138787774424e-7</x:v>
      </x:c>
      <x:c r="U169" s="78" t="n">
        <x:f>O169+S169*(1-'Inputs'!$B$17)</x:f>
        <x:v>116398364254.06598</x:v>
      </x:c>
      <x:c r="V169" s="78" t="n">
        <x:f>P169-T169</x:f>
        <x:v>0.10179269405280383</x:v>
      </x:c>
      <x:c r="W169" s="79" t="n">
        <x:f>IF(U169&gt;0,V169/U169,0)</x:f>
        <x:v>8.745199703203565e-13</x:v>
      </x:c>
      <x:c r="X169" s="80" t="n">
        <x:f>W169*('Inputs'!$B$6-AC169)</x:f>
        <x:v>-0.00035839620215318886</x:v>
      </x:c>
      <x:c r="Y169" s="80" t="n">
        <x:f>2*V169</x:f>
        <x:v>0.20358538810560767</x:v>
      </x:c>
      <x:c r="Z169" s="80" t="n">
        <x:f>K169*'Inputs'!$B$16+(G169+R169)*J169*'Inputs'!$B$16</x:f>
        <x:v>0.00024430873180165806</x:v>
      </x:c>
      <x:c r="AA169" s="80" t="n">
        <x:f>K169*(1+'Inputs'!$E$44)/2*'Inputs'!$B$17</x:f>
        <x:v>0.00006554104445339726</x:v>
      </x:c>
      <x:c r="AB169" s="78" t="n">
        <x:f>(IF(J169&gt;0,K169*(1-'Inputs'!$E$44)/2/J169,0)+G169+R169)*'Inputs'!$B$17</x:f>
        <x:v>3442.368415786522</x:v>
      </x:c>
      <x:c r="AC169" s="78" t="n">
        <x:f>AC168+AB169</x:f>
        <x:v>1409820489.3158703</x:v>
      </x:c>
      <x:c r="AD169" s="80" t="n">
        <x:f>Z169/(1+'Inputs'!$C$44)</x:f>
        <x:v>0.00019544698544132644</x:v>
      </x:c>
      <x:c r="AE169" s="80" t="n">
        <x:f>Z169-AD169</x:f>
        <x:v>0.000048861746360331616</x:v>
      </x:c>
      <x:c r="AF169" s="80" t="n">
        <x:f>D169*W169</x:f>
        <x:v>2.466824483647646e-7</x:v>
      </x:c>
      <x:c r="AG169" s="80" t="n">
        <x:f>C169*W169</x:f>
        <x:v>5.755923795177797e-7</x:v>
      </x:c>
      <x:c r="AH169" s="80" t="n">
        <x:f>2*'Inputs'!$B$8*'Inputs'!$C$44</x:f>
        <x:v>1250</x:v>
      </x:c>
      <x:c r="AI169" s="81" t="n">
        <x:f>IF(AH169&gt;0,(AE169+AF169)/AH169*365,0)</x:f>
        <x:v>0.000014339661212139343</x:v>
      </x:c>
      <x:c r="AJ169" s="81" t="n">
        <x:f>IF('Inputs'!$B$44&gt;0,AG169/('Inputs'!$B$19*'Inputs'!$B$44)*365,0)</x:f>
        <x:v>2.100912185239896e-8</x:v>
      </x:c>
      <x:c r="AK169" s="81" t="n">
        <x:f>W169/MAX($W$4:W169)-1</x:f>
        <x:v>-0.9999999987148265</x:v>
      </x:c>
      <x:c r="AL169" s="83" t="n">
        <x:f>'Inputs'!$B$44</x:f>
        <x:v>1</x:v>
      </x:c>
      <x:c r="AM169" s="83" t="n">
        <x:f>'Inputs'!$C$44</x:f>
        <x:v>0.25</x:v>
      </x:c>
      <x:c r="AN169" s="83" t="n">
        <x:f>'Inputs'!$D$44</x:f>
        <x:v>0.2</x:v>
      </x:c>
      <x:c r="AO169" s="81" t="n">
        <x:f>'Inputs'!$E$44</x:f>
        <x:v>-0.2</x:v>
      </x:c>
    </x:row>
    <x:row r="170">
      <x:c r="A170" s="59" t="str">
        <x:v>No demand</x:v>
      </x:c>
      <x:c r="B170" s="59" t="n">
        <x:v>167</x:v>
      </x:c>
      <x:c r="C170" s="78" t="n">
        <x:f>(('Inputs'!$B$29*(3*167*'Inputs'!$B$12-167^2)/(2*'Inputs'!$B$12^2))-('Inputs'!$B$29*(3*166*'Inputs'!$B$12-166^2)/(2*'Inputs'!$B$12^2)))*'Inputs'!$B$44</x:f>
        <x:v>657855.8359917402</x:v>
      </x:c>
      <x:c r="D170" s="78" t="n">
        <x:f>IF('Inputs'!$C$44&gt;0,('Inputs'!$B$30*(3*167*'Inputs'!$B$12-167^2)/(2*'Inputs'!$B$12^2))-('Inputs'!$B$30*(3*166*'Inputs'!$B$12-166^2)/(2*'Inputs'!$B$12^2)),0)</x:f>
        <x:v>281938.2154250294</x:v>
      </x:c>
      <x:c r="E170" s="78" t="n">
        <x:f>C170+D170</x:f>
        <x:v>939794.0514167696</x:v>
      </x:c>
      <x:c r="F170" s="78" t="n">
        <x:f>'Inputs'!$B$13*E170+(1-'Inputs'!$B$13)/'Inputs'!$B$14*SUM(E115:E170)</x:f>
        <x:v>950011.7282792255</x:v>
      </x:c>
      <x:c r="G170" s="78" t="n">
        <x:f>F170*'Inputs'!$F$44</x:f>
        <x:v>855010.555451303</x:v>
      </x:c>
      <x:c r="H170" s="78" t="n">
        <x:f>U169</x:f>
        <x:v>116398364254.06598</x:v>
      </x:c>
      <x:c r="I170" s="78" t="n">
        <x:f>V169</x:f>
        <x:v>0.10179269405280383</x:v>
      </x:c>
      <x:c r="J170" s="79" t="n">
        <x:f>IF(H170&gt;0,I170/H170,0)</x:f>
        <x:v>8.745199703203565e-13</x:v>
      </x:c>
      <x:c r="K170" s="80" t="n">
        <x:f>(H170*J170+I170)*'Inputs'!$D$44*(1+'Inputs'!$G$44)^(B170/30)</x:f>
        <x:v>0.040717077621121534</x:v>
      </x:c>
      <x:c r="L170" s="80" t="n">
        <x:f>MAX(0,K170*'Inputs'!$E$44)</x:f>
        <x:v>0</x:v>
      </x:c>
      <x:c r="M170" s="80" t="n">
        <x:f>MAX(0,-K170*'Inputs'!$E$44)</x:f>
        <x:v>0.008143415524224307</x:v>
      </x:c>
      <x:c r="N170" s="78" t="n">
        <x:f>H170*(L170*(1-'Inputs'!$B$15))/(I170+L170*(1-'Inputs'!$B$15))</x:f>
        <x:v>0</x:v>
      </x:c>
      <x:c r="O170" s="78" t="n">
        <x:f>H170-N170</x:f>
        <x:v>116398364254.06598</x:v>
      </x:c>
      <x:c r="P170" s="78" t="n">
        <x:f>I170+L170*(1-'Inputs'!$B$17)</x:f>
        <x:v>0.10179269405280383</x:v>
      </x:c>
      <x:c r="Q170" s="78" t="n">
        <x:f>IF(J170&gt;0,M170/J170,0)</x:f>
        <x:v>0</x:v>
      </x:c>
      <x:c r="R170" s="78" t="n">
        <x:f>IF(B170='Inputs'!$H$44,'Inputs'!$B$27*'Inputs'!$I$44,0)</x:f>
        <x:v>0</x:v>
      </x:c>
      <x:c r="S170" s="78" t="n">
        <x:f>Q170+G170+R170</x:f>
        <x:v>855010.555451303</x:v>
      </x:c>
      <x:c r="T170" s="78" t="n">
        <x:f>P170*(S170*(1-'Inputs'!$B$15))/(O170+S170*(1-'Inputs'!$B$15))</x:f>
        <x:v>7.402411844137821e-7</x:v>
      </x:c>
      <x:c r="U170" s="78" t="n">
        <x:f>O170+S170*(1-'Inputs'!$B$17)</x:f>
        <x:v>116399215823.93509</x:v>
      </x:c>
      <x:c r="V170" s="78" t="n">
        <x:f>P170-T170</x:f>
        <x:v>0.10179195381161942</x:v>
      </x:c>
      <x:c r="W170" s="79" t="n">
        <x:f>IF(U170&gt;0,V170/U170,0)</x:f>
        <x:v>8.74507212880106e-13</x:v>
      </x:c>
      <x:c r="X170" s="80" t="n">
        <x:f>W170*('Inputs'!$B$6-AC170)</x:f>
        <x:v>-0.00035839398279780444</x:v>
      </x:c>
      <x:c r="Y170" s="80" t="n">
        <x:f>2*V170</x:f>
        <x:v>0.20358390762323883</x:v>
      </x:c>
      <x:c r="Z170" s="80" t="n">
        <x:f>K170*'Inputs'!$B$16+(G170+R170)*J170*'Inputs'!$B$16</x:f>
        <x:v>0.0002443069520695627</x:v>
      </x:c>
      <x:c r="AA170" s="80" t="n">
        <x:f>K170*(1+'Inputs'!$E$44)/2*'Inputs'!$B$17</x:f>
        <x:v>0.00006554056759939081</x:v>
      </x:c>
      <x:c r="AB170" s="78" t="n">
        <x:f>(IF(J170&gt;0,K170*(1-'Inputs'!$E$44)/2/J170,0)+G170+R170)*'Inputs'!$B$17</x:f>
        <x:v>3440.686339844278</x:v>
      </x:c>
      <x:c r="AC170" s="78" t="n">
        <x:f>AC169+AB170</x:f>
        <x:v>1409823930.0022101</x:v>
      </x:c>
      <x:c r="AD170" s="80" t="n">
        <x:f>Z170/(1+'Inputs'!$C$44)</x:f>
        <x:v>0.00019544556165565014</x:v>
      </x:c>
      <x:c r="AE170" s="80" t="n">
        <x:f>Z170-AD170</x:f>
        <x:v>0.00004886139041391255</x:v>
      </x:c>
      <x:c r="AF170" s="80" t="n">
        <x:f>D170*W170</x:f>
        <x:v>2.465570029757334e-7</x:v>
      </x:c>
      <x:c r="AG170" s="80" t="n">
        <x:f>C170*W170</x:f>
        <x:v>5.752996736100489e-7</x:v>
      </x:c>
      <x:c r="AH170" s="80" t="n">
        <x:f>2*'Inputs'!$B$8*'Inputs'!$C$44</x:f>
        <x:v>1250</x:v>
      </x:c>
      <x:c r="AI170" s="81" t="n">
        <x:f>IF(AH170&gt;0,(AE170+AF170)/AH170*365,0)</x:f>
        <x:v>0.000014339520645731378</x:v>
      </x:c>
      <x:c r="AJ170" s="81" t="n">
        <x:f>IF('Inputs'!$B$44&gt;0,AG170/('Inputs'!$B$19*'Inputs'!$B$44)*365,0)</x:f>
        <x:v>2.0998438086766784e-8</x:v>
      </x:c>
      <x:c r="AK170" s="81" t="n">
        <x:f>W170/MAX($W$4:W170)-1</x:f>
        <x:v>-0.9999999987148452</x:v>
      </x:c>
      <x:c r="AL170" s="83" t="n">
        <x:f>'Inputs'!$B$44</x:f>
        <x:v>1</x:v>
      </x:c>
      <x:c r="AM170" s="83" t="n">
        <x:f>'Inputs'!$C$44</x:f>
        <x:v>0.25</x:v>
      </x:c>
      <x:c r="AN170" s="83" t="n">
        <x:f>'Inputs'!$D$44</x:f>
        <x:v>0.2</x:v>
      </x:c>
      <x:c r="AO170" s="81" t="n">
        <x:f>'Inputs'!$E$44</x:f>
        <x:v>-0.2</x:v>
      </x:c>
    </x:row>
    <x:row r="171">
      <x:c r="A171" s="59" t="str">
        <x:v>No demand</x:v>
      </x:c>
      <x:c r="B171" s="59" t="n">
        <x:v>168</x:v>
      </x:c>
      <x:c r="C171" s="78" t="n">
        <x:f>(('Inputs'!$B$29*(3*168*'Inputs'!$B$12-168^2)/(2*'Inputs'!$B$12^2))-('Inputs'!$B$29*(3*167*'Inputs'!$B$12-167^2)/(2*'Inputs'!$B$12^2)))*'Inputs'!$B$44</x:f>
        <x:v>657530.7280915678</x:v>
      </x:c>
      <x:c r="D171" s="78" t="n">
        <x:f>IF('Inputs'!$C$44&gt;0,('Inputs'!$B$30*(3*168*'Inputs'!$B$12-168^2)/(2*'Inputs'!$B$12^2))-('Inputs'!$B$30*(3*167*'Inputs'!$B$12-167^2)/(2*'Inputs'!$B$12^2)),0)</x:f>
        <x:v>281798.88346782327</x:v>
      </x:c>
      <x:c r="E171" s="78" t="n">
        <x:f>C171+D171</x:f>
        <x:v>939329.611559391</x:v>
      </x:c>
      <x:c r="F171" s="78" t="n">
        <x:f>'Inputs'!$B$13*E171+(1-'Inputs'!$B$13)/'Inputs'!$B$14*SUM(E116:E171)</x:f>
        <x:v>949547.2884218425</x:v>
      </x:c>
      <x:c r="G171" s="78" t="n">
        <x:f>F171*'Inputs'!$F$44</x:f>
        <x:v>854592.5595796583</x:v>
      </x:c>
      <x:c r="H171" s="78" t="n">
        <x:f>U170</x:f>
        <x:v>116399215823.93509</x:v>
      </x:c>
      <x:c r="I171" s="78" t="n">
        <x:f>V170</x:f>
        <x:v>0.10179195381161942</x:v>
      </x:c>
      <x:c r="J171" s="79" t="n">
        <x:f>IF(H171&gt;0,I171/H171,0)</x:f>
        <x:v>8.74507212880106e-13</x:v>
      </x:c>
      <x:c r="K171" s="80" t="n">
        <x:f>(H171*J171+I171)*'Inputs'!$D$44*(1+'Inputs'!$G$44)^(B171/30)</x:f>
        <x:v>0.04071678152464777</x:v>
      </x:c>
      <x:c r="L171" s="80" t="n">
        <x:f>MAX(0,K171*'Inputs'!$E$44)</x:f>
        <x:v>0</x:v>
      </x:c>
      <x:c r="M171" s="80" t="n">
        <x:f>MAX(0,-K171*'Inputs'!$E$44)</x:f>
        <x:v>0.008143356304929555</x:v>
      </x:c>
      <x:c r="N171" s="78" t="n">
        <x:f>H171*(L171*(1-'Inputs'!$B$15))/(I171+L171*(1-'Inputs'!$B$15))</x:f>
        <x:v>0</x:v>
      </x:c>
      <x:c r="O171" s="78" t="n">
        <x:f>H171-N171</x:f>
        <x:v>116399215823.93509</x:v>
      </x:c>
      <x:c r="P171" s="78" t="n">
        <x:f>I171+L171*(1-'Inputs'!$B$17)</x:f>
        <x:v>0.10179195381161942</x:v>
      </x:c>
      <x:c r="Q171" s="78" t="n">
        <x:f>IF(J171&gt;0,M171/J171,0)</x:f>
        <x:v>0</x:v>
      </x:c>
      <x:c r="R171" s="78" t="n">
        <x:f>IF(B171='Inputs'!$H$44,'Inputs'!$B$27*'Inputs'!$I$44,0)</x:f>
        <x:v>0</x:v>
      </x:c>
      <x:c r="S171" s="78" t="n">
        <x:f>Q171+G171+R171</x:f>
        <x:v>854592.5595796583</x:v>
      </x:c>
      <x:c r="T171" s="78" t="n">
        <x:f>P171*(S171*(1-'Inputs'!$B$15))/(O171+S171*(1-'Inputs'!$B$15))</x:f>
        <x:v>7.398685061243628e-7</x:v>
      </x:c>
      <x:c r="U171" s="78" t="n">
        <x:f>O171+S171*(1-'Inputs'!$B$17)</x:f>
        <x:v>116400066977.4904</x:v>
      </x:c>
      <x:c r="V171" s="78" t="n">
        <x:f>P171-T171</x:f>
        <x:v>0.10179121394311329</x:v>
      </x:c>
      <x:c r="W171" s="79" t="n">
        <x:f>IF(U171&gt;0,V171/U171,0)</x:f>
        <x:v>8.74494461955918e-13</x:v>
      </x:c>
      <x:c r="X171" s="80" t="n">
        <x:f>W171*('Inputs'!$B$6-AC171)</x:f>
        <x:v>-0.00035839176455412596</x:v>
      </x:c>
      <x:c r="Y171" s="80" t="n">
        <x:f>2*V171</x:f>
        <x:v>0.20358242788622657</x:v>
      </x:c>
      <x:c r="Z171" s="80" t="n">
        <x:f>K171*'Inputs'!$B$16+(G171+R171)*J171*'Inputs'!$B$16</x:f>
        <x:v>0.0002443051732320312</x:v>
      </x:c>
      <x:c r="AA171" s="80" t="n">
        <x:f>K171*(1+'Inputs'!$E$44)/2*'Inputs'!$B$17</x:f>
        <x:v>0.00006554009098534854</x:v>
      </x:c>
      <x:c r="AB171" s="78" t="n">
        <x:f>(IF(J171&gt;0,K171*(1-'Inputs'!$E$44)/2/J171,0)+G171+R171)*'Inputs'!$B$17</x:f>
        <x:v>3439.0042639020458</x:v>
      </x:c>
      <x:c r="AC171" s="78" t="n">
        <x:f>AC170+AB171</x:f>
        <x:v>1409827369.006474</x:v>
      </x:c>
      <x:c r="AD171" s="80" t="n">
        <x:f>Z171/(1+'Inputs'!$C$44)</x:f>
        <x:v>0.00019544413858562496</x:v>
      </x:c>
      <x:c r="AE171" s="80" t="n">
        <x:f>Z171-AD171</x:f>
        <x:v>0.000048861034646406246</x:v>
      </x:c>
      <x:c r="AF171" s="80" t="n">
        <x:f>D171*W171</x:f>
        <x:v>2.4643156297797256e-7</x:v>
      </x:c>
      <x:c r="AG171" s="80" t="n">
        <x:f>C171*W171</x:f>
        <x:v>5.750069802819185e-7</x:v>
      </x:c>
      <x:c r="AH171" s="80" t="n">
        <x:f>2*'Inputs'!$B$8*'Inputs'!$C$44</x:f>
        <x:v>1250</x:v>
      </x:c>
      <x:c r="AI171" s="81" t="n">
        <x:f>IF(AH171&gt;0,(AE171+AF171)/AH171*365,0)</x:f>
        <x:v>0.000014339380133140192</x:v>
      </x:c>
      <x:c r="AJ171" s="81" t="n">
        <x:f>IF('Inputs'!$B$44&gt;0,AG171/('Inputs'!$B$19*'Inputs'!$B$44)*365,0)</x:f>
        <x:v>2.0987754780290027e-8</x:v>
      </x:c>
      <x:c r="AK171" s="81" t="n">
        <x:f>W171/MAX($W$4:W171)-1</x:f>
        <x:v>-0.999999998714864</x:v>
      </x:c>
      <x:c r="AL171" s="83" t="n">
        <x:f>'Inputs'!$B$44</x:f>
        <x:v>1</x:v>
      </x:c>
      <x:c r="AM171" s="83" t="n">
        <x:f>'Inputs'!$C$44</x:f>
        <x:v>0.25</x:v>
      </x:c>
      <x:c r="AN171" s="83" t="n">
        <x:f>'Inputs'!$D$44</x:f>
        <x:v>0.2</x:v>
      </x:c>
      <x:c r="AO171" s="81" t="n">
        <x:f>'Inputs'!$E$44</x:f>
        <x:v>-0.2</x:v>
      </x:c>
    </x:row>
    <x:row r="172">
      <x:c r="A172" s="59" t="str">
        <x:v>No demand</x:v>
      </x:c>
      <x:c r="B172" s="59" t="n">
        <x:v>169</x:v>
      </x:c>
      <x:c r="C172" s="78" t="n">
        <x:f>(('Inputs'!$B$29*(3*169*'Inputs'!$B$12-169^2)/(2*'Inputs'!$B$12^2))-('Inputs'!$B$29*(3*168*'Inputs'!$B$12-168^2)/(2*'Inputs'!$B$12^2)))*'Inputs'!$B$44</x:f>
        <x:v>657205.6201914102</x:v>
      </x:c>
      <x:c r="D172" s="78" t="n">
        <x:f>IF('Inputs'!$C$44&gt;0,('Inputs'!$B$30*(3*169*'Inputs'!$B$12-169^2)/(2*'Inputs'!$B$12^2))-('Inputs'!$B$30*(3*168*'Inputs'!$B$12-168^2)/(2*'Inputs'!$B$12^2)),0)</x:f>
        <x:v>281659.55151060224</x:v>
      </x:c>
      <x:c r="E172" s="78" t="n">
        <x:f>C172+D172</x:f>
        <x:v>938865.1717020124</x:v>
      </x:c>
      <x:c r="F172" s="78" t="n">
        <x:f>'Inputs'!$B$13*E172+(1-'Inputs'!$B$13)/'Inputs'!$B$14*SUM(E117:E172)</x:f>
        <x:v>949082.8485644596</x:v>
      </x:c>
      <x:c r="G172" s="78" t="n">
        <x:f>F172*'Inputs'!$F$44</x:f>
        <x:v>854174.5637080136</x:v>
      </x:c>
      <x:c r="H172" s="78" t="n">
        <x:f>U171</x:f>
        <x:v>116400066977.4904</x:v>
      </x:c>
      <x:c r="I172" s="78" t="n">
        <x:f>V171</x:f>
        <x:v>0.10179121394311329</x:v>
      </x:c>
      <x:c r="J172" s="79" t="n">
        <x:f>IF(H172&gt;0,I172/H172,0)</x:f>
        <x:v>8.74494461955918e-13</x:v>
      </x:c>
      <x:c r="K172" s="80" t="n">
        <x:f>(H172*J172+I172)*'Inputs'!$D$44*(1+'Inputs'!$G$44)^(B172/30)</x:f>
        <x:v>0.04071648557724532</x:v>
      </x:c>
      <x:c r="L172" s="80" t="n">
        <x:f>MAX(0,K172*'Inputs'!$E$44)</x:f>
        <x:v>0</x:v>
      </x:c>
      <x:c r="M172" s="80" t="n">
        <x:f>MAX(0,-K172*'Inputs'!$E$44)</x:f>
        <x:v>0.008143297115449064</x:v>
      </x:c>
      <x:c r="N172" s="78" t="n">
        <x:f>H172*(L172*(1-'Inputs'!$B$15))/(I172+L172*(1-'Inputs'!$B$15))</x:f>
        <x:v>0</x:v>
      </x:c>
      <x:c r="O172" s="78" t="n">
        <x:f>H172-N172</x:f>
        <x:v>116400066977.4904</x:v>
      </x:c>
      <x:c r="P172" s="78" t="n">
        <x:f>I172+L172*(1-'Inputs'!$B$17)</x:f>
        <x:v>0.10179121394311329</x:v>
      </x:c>
      <x:c r="Q172" s="78" t="n">
        <x:f>IF(J172&gt;0,M172/J172,0)</x:f>
        <x:v>0</x:v>
      </x:c>
      <x:c r="R172" s="78" t="n">
        <x:f>IF(B172='Inputs'!$H$44,'Inputs'!$B$27*'Inputs'!$I$44,0)</x:f>
        <x:v>0</x:v>
      </x:c>
      <x:c r="S172" s="78" t="n">
        <x:f>Q172+G172+R172</x:f>
        <x:v>854174.5637080136</x:v>
      </x:c>
      <x:c r="T172" s="78" t="n">
        <x:f>P172*(S172*(1-'Inputs'!$B$15))/(O172+S172*(1-'Inputs'!$B$15))</x:f>
        <x:v>7.394958439007386e-7</x:v>
      </x:c>
      <x:c r="U172" s="78" t="n">
        <x:f>O172+S172*(1-'Inputs'!$B$17)</x:f>
        <x:v>116400917714.73192</x:v>
      </x:c>
      <x:c r="V172" s="78" t="n">
        <x:f>P172-T172</x:f>
        <x:v>0.10179047444726938</x:v>
      </x:c>
      <x:c r="W172" s="79" t="n">
        <x:f>IF(U172&gt;0,V172/U172,0)</x:f>
        <x:v>8.744817175473745e-13</x:v>
      </x:c>
      <x:c r="X172" s="80" t="n">
        <x:f>W172*('Inputs'!$B$6-AC172)</x:f>
        <x:v>-0.0003583895474221137</x:v>
      </x:c>
      <x:c r="Y172" s="80" t="n">
        <x:f>2*V172</x:f>
        <x:v>0.20358094889453876</x:v>
      </x:c>
      <x:c r="Z172" s="80" t="n">
        <x:f>K172*'Inputs'!$B$16+(G172+R172)*J172*'Inputs'!$B$16</x:f>
        <x:v>0.00024430339528902495</x:v>
      </x:c>
      <x:c r="AA172" s="80" t="n">
        <x:f>K172*(1+'Inputs'!$E$44)/2*'Inputs'!$B$17</x:f>
        <x:v>0.00006553961461126008</x:v>
      </x:c>
      <x:c r="AB172" s="78" t="n">
        <x:f>(IF(J172&gt;0,K172*(1-'Inputs'!$E$44)/2/J172,0)+G172+R172)*'Inputs'!$B$17</x:f>
        <x:v>3437.3221879598136</x:v>
      </x:c>
      <x:c r="AC172" s="78" t="n">
        <x:f>AC171+AB172</x:f>
        <x:v>1409830806.328662</x:v>
      </x:c>
      <x:c r="AD172" s="80" t="n">
        <x:f>Z172/(1+'Inputs'!$C$44)</x:f>
        <x:v>0.00019544271623121997</x:v>
      </x:c>
      <x:c r="AE172" s="80" t="n">
        <x:f>Z172-AD172</x:f>
        <x:v>0.000048860679057804985</x:v>
      </x:c>
      <x:c r="AF172" s="80" t="n">
        <x:f>D172*W172</x:f>
        <x:v>2.4630612836861463e-7</x:v>
      </x:c>
      <x:c r="AG172" s="80" t="n">
        <x:f>C172*W172</x:f>
        <x:v>5.747142995267719e-7</x:v>
      </x:c>
      <x:c r="AH172" s="80" t="n">
        <x:f>2*'Inputs'!$B$8*'Inputs'!$C$44</x:f>
        <x:v>1250</x:v>
      </x:c>
      <x:c r="AI172" s="81" t="n">
        <x:f>IF(AH172&gt;0,(AE172+AF172)/AH172*365,0)</x:f>
        <x:v>0.00001433923967436269</x:v>
      </x:c>
      <x:c r="AJ172" s="81" t="n">
        <x:f>IF('Inputs'!$B$44&gt;0,AG172/('Inputs'!$B$19*'Inputs'!$B$44)*365,0)</x:f>
        <x:v>2.0977071932727174e-8</x:v>
      </x:c>
      <x:c r="AK172" s="81" t="n">
        <x:f>W172/MAX($W$4:W172)-1</x:f>
        <x:v>-0.9999999987148827</x:v>
      </x:c>
      <x:c r="AL172" s="83" t="n">
        <x:f>'Inputs'!$B$44</x:f>
        <x:v>1</x:v>
      </x:c>
      <x:c r="AM172" s="83" t="n">
        <x:f>'Inputs'!$C$44</x:f>
        <x:v>0.25</x:v>
      </x:c>
      <x:c r="AN172" s="83" t="n">
        <x:f>'Inputs'!$D$44</x:f>
        <x:v>0.2</x:v>
      </x:c>
      <x:c r="AO172" s="81" t="n">
        <x:f>'Inputs'!$E$44</x:f>
        <x:v>-0.2</x:v>
      </x:c>
    </x:row>
    <x:row r="173">
      <x:c r="A173" s="59" t="str">
        <x:v>No demand</x:v>
      </x:c>
      <x:c r="B173" s="59" t="n">
        <x:v>170</x:v>
      </x:c>
      <x:c r="C173" s="78" t="n">
        <x:f>(('Inputs'!$B$29*(3*170*'Inputs'!$B$12-170^2)/(2*'Inputs'!$B$12^2))-('Inputs'!$B$29*(3*169*'Inputs'!$B$12-169^2)/(2*'Inputs'!$B$12^2)))*'Inputs'!$B$44</x:f>
        <x:v>656880.5122912377</x:v>
      </x:c>
      <x:c r="D173" s="78" t="n">
        <x:f>IF('Inputs'!$C$44&gt;0,('Inputs'!$B$30*(3*170*'Inputs'!$B$12-170^2)/(2*'Inputs'!$B$12^2))-('Inputs'!$B$30*(3*169*'Inputs'!$B$12-169^2)/(2*'Inputs'!$B$12^2)),0)</x:f>
        <x:v>281520.2195533812</x:v>
      </x:c>
      <x:c r="E173" s="78" t="n">
        <x:f>C173+D173</x:f>
        <x:v>938400.7318446189</x:v>
      </x:c>
      <x:c r="F173" s="78" t="n">
        <x:f>'Inputs'!$B$13*E173+(1-'Inputs'!$B$13)/'Inputs'!$B$14*SUM(E118:E173)</x:f>
        <x:v>948618.4087070738</x:v>
      </x:c>
      <x:c r="G173" s="78" t="n">
        <x:f>F173*'Inputs'!$F$44</x:f>
        <x:v>853756.5678363664</x:v>
      </x:c>
      <x:c r="H173" s="78" t="n">
        <x:f>U172</x:f>
        <x:v>116400917714.73192</x:v>
      </x:c>
      <x:c r="I173" s="78" t="n">
        <x:f>V172</x:f>
        <x:v>0.10179047444726938</x:v>
      </x:c>
      <x:c r="J173" s="79" t="n">
        <x:f>IF(H173&gt;0,I173/H173,0)</x:f>
        <x:v>8.744817175473745e-13</x:v>
      </x:c>
      <x:c r="K173" s="80" t="n">
        <x:f>(H173*J173+I173)*'Inputs'!$D$44*(1+'Inputs'!$G$44)^(B173/30)</x:f>
        <x:v>0.04071618977890776</x:v>
      </x:c>
      <x:c r="L173" s="80" t="n">
        <x:f>MAX(0,K173*'Inputs'!$E$44)</x:f>
        <x:v>0</x:v>
      </x:c>
      <x:c r="M173" s="80" t="n">
        <x:f>MAX(0,-K173*'Inputs'!$E$44)</x:f>
        <x:v>0.008143237955781552</x:v>
      </x:c>
      <x:c r="N173" s="78" t="n">
        <x:f>H173*(L173*(1-'Inputs'!$B$15))/(I173+L173*(1-'Inputs'!$B$15))</x:f>
        <x:v>0</x:v>
      </x:c>
      <x:c r="O173" s="78" t="n">
        <x:f>H173-N173</x:f>
        <x:v>116400917714.73192</x:v>
      </x:c>
      <x:c r="P173" s="78" t="n">
        <x:f>I173+L173*(1-'Inputs'!$B$17)</x:f>
        <x:v>0.10179047444726938</x:v>
      </x:c>
      <x:c r="Q173" s="78" t="n">
        <x:f>IF(J173&gt;0,M173/J173,0)</x:f>
        <x:v>0</x:v>
      </x:c>
      <x:c r="R173" s="78" t="n">
        <x:f>IF(B173='Inputs'!$H$44,'Inputs'!$B$27*'Inputs'!$I$44,0)</x:f>
        <x:v>0</x:v>
      </x:c>
      <x:c r="S173" s="78" t="n">
        <x:f>Q173+G173+R173</x:f>
        <x:v>853756.5678363664</x:v>
      </x:c>
      <x:c r="T173" s="78" t="n">
        <x:f>P173*(S173*(1-'Inputs'!$B$15))/(O173+S173*(1-'Inputs'!$B$15))</x:f>
        <x:v>7.391231977344655e-7</x:v>
      </x:c>
      <x:c r="U173" s="78" t="n">
        <x:f>O173+S173*(1-'Inputs'!$B$17)</x:f>
        <x:v>116401768035.65964</x:v>
      </x:c>
      <x:c r="V173" s="78" t="n">
        <x:f>P173-T173</x:f>
        <x:v>0.10178973532407165</x:v>
      </x:c>
      <x:c r="W173" s="79" t="n">
        <x:f>IF(U173&gt;0,V173/U173,0)</x:f>
        <x:v>8.744689796540582e-13</x:v>
      </x:c>
      <x:c r="X173" s="80" t="n">
        <x:f>W173*('Inputs'!$B$6-AC173)</x:f>
        <x:v>-0.00035838733140172805</x:v>
      </x:c>
      <x:c r="Y173" s="80" t="n">
        <x:f>2*V173</x:f>
        <x:v>0.2035794706481433</x:v>
      </x:c>
      <x:c r="Z173" s="80" t="n">
        <x:f>K173*'Inputs'!$B$16+(G173+R173)*J173*'Inputs'!$B$16</x:f>
        <x:v>0.00024430161824050544</x:v>
      </x:c>
      <x:c r="AA173" s="80" t="n">
        <x:f>K173*(1+'Inputs'!$E$44)/2*'Inputs'!$B$17</x:f>
        <x:v>0.00006553913847711511</x:v>
      </x:c>
      <x:c r="AB173" s="78" t="n">
        <x:f>(IF(J173&gt;0,K173*(1-'Inputs'!$E$44)/2/J173,0)+G173+R173)*'Inputs'!$B$17</x:f>
        <x:v>3435.640112017571</x:v>
      </x:c>
      <x:c r="AC173" s="78" t="n">
        <x:f>AC172+AB173</x:f>
        <x:v>1409834241.9687738</x:v>
      </x:c>
      <x:c r="AD173" s="80" t="n">
        <x:f>Z173/(1+'Inputs'!$C$44)</x:f>
        <x:v>0.00019544129459240435</x:v>
      </x:c>
      <x:c r="AE173" s="80" t="n">
        <x:f>Z173-AD173</x:f>
        <x:v>0.00004886032364810109</x:v>
      </x:c>
      <x:c r="AF173" s="80" t="n">
        <x:f>D173*W173</x:f>
        <x:v>2.461806991448317e-7</x:v>
      </x:c>
      <x:c r="AG173" s="80" t="n">
        <x:f>C173*W173</x:f>
        <x:v>5.744216313379537e-7</x:v>
      </x:c>
      <x:c r="AH173" s="80" t="n">
        <x:f>2*'Inputs'!$B$8*'Inputs'!$C$44</x:f>
        <x:v>1250</x:v>
      </x:c>
      <x:c r="AI173" s="81" t="n">
        <x:f>IF(AH173&gt;0,(AE173+AF173)/AH173*365,0)</x:f>
        <x:v>0.00001433909926939581</x:v>
      </x:c>
      <x:c r="AJ173" s="81" t="n">
        <x:f>IF('Inputs'!$B$44&gt;0,AG173/('Inputs'!$B$19*'Inputs'!$B$44)*365,0)</x:f>
        <x:v>2.096638954383531e-8</x:v>
      </x:c>
      <x:c r="AK173" s="81" t="n">
        <x:f>W173/MAX($W$4:W173)-1</x:f>
        <x:v>-0.9999999987149014</x:v>
      </x:c>
      <x:c r="AL173" s="83" t="n">
        <x:f>'Inputs'!$B$44</x:f>
        <x:v>1</x:v>
      </x:c>
      <x:c r="AM173" s="83" t="n">
        <x:f>'Inputs'!$C$44</x:f>
        <x:v>0.25</x:v>
      </x:c>
      <x:c r="AN173" s="83" t="n">
        <x:f>'Inputs'!$D$44</x:f>
        <x:v>0.2</x:v>
      </x:c>
      <x:c r="AO173" s="81" t="n">
        <x:f>'Inputs'!$E$44</x:f>
        <x:v>-0.2</x:v>
      </x:c>
    </x:row>
    <x:row r="174">
      <x:c r="A174" s="59" t="str">
        <x:v>No demand</x:v>
      </x:c>
      <x:c r="B174" s="59" t="n">
        <x:v>171</x:v>
      </x:c>
      <x:c r="C174" s="78" t="n">
        <x:f>(('Inputs'!$B$29*(3*171*'Inputs'!$B$12-171^2)/(2*'Inputs'!$B$12^2))-('Inputs'!$B$29*(3*170*'Inputs'!$B$12-170^2)/(2*'Inputs'!$B$12^2)))*'Inputs'!$B$44</x:f>
        <x:v>656555.4043910652</x:v>
      </x:c>
      <x:c r="D174" s="78" t="n">
        <x:f>IF('Inputs'!$C$44&gt;0,('Inputs'!$B$30*(3*171*'Inputs'!$B$12-171^2)/(2*'Inputs'!$B$12^2))-('Inputs'!$B$30*(3*170*'Inputs'!$B$12-170^2)/(2*'Inputs'!$B$12^2)),0)</x:f>
        <x:v>281380.8875961751</x:v>
      </x:c>
      <x:c r="E174" s="78" t="n">
        <x:f>C174+D174</x:f>
        <x:v>937936.2919872403</x:v>
      </x:c>
      <x:c r="F174" s="78" t="n">
        <x:f>'Inputs'!$B$13*E174+(1-'Inputs'!$B$13)/'Inputs'!$B$14*SUM(E119:E174)</x:f>
        <x:v>948153.9688496906</x:v>
      </x:c>
      <x:c r="G174" s="78" t="n">
        <x:f>F174*'Inputs'!$F$44</x:f>
        <x:v>853338.5719647215</x:v>
      </x:c>
      <x:c r="H174" s="78" t="n">
        <x:f>U173</x:f>
        <x:v>116401768035.65964</x:v>
      </x:c>
      <x:c r="I174" s="78" t="n">
        <x:f>V173</x:f>
        <x:v>0.10178973532407165</x:v>
      </x:c>
      <x:c r="J174" s="79" t="n">
        <x:f>IF(H174&gt;0,I174/H174,0)</x:f>
        <x:v>8.744689796540582e-13</x:v>
      </x:c>
      <x:c r="K174" s="80" t="n">
        <x:f>(H174*J174+I174)*'Inputs'!$D$44*(1+'Inputs'!$G$44)^(B174/30)</x:f>
        <x:v>0.040715894129628664</x:v>
      </x:c>
      <x:c r="L174" s="80" t="n">
        <x:f>MAX(0,K174*'Inputs'!$E$44)</x:f>
        <x:v>0</x:v>
      </x:c>
      <x:c r="M174" s="80" t="n">
        <x:f>MAX(0,-K174*'Inputs'!$E$44)</x:f>
        <x:v>0.008143178825925733</x:v>
      </x:c>
      <x:c r="N174" s="78" t="n">
        <x:f>H174*(L174*(1-'Inputs'!$B$15))/(I174+L174*(1-'Inputs'!$B$15))</x:f>
        <x:v>0</x:v>
      </x:c>
      <x:c r="O174" s="78" t="n">
        <x:f>H174-N174</x:f>
        <x:v>116401768035.65964</x:v>
      </x:c>
      <x:c r="P174" s="78" t="n">
        <x:f>I174+L174*(1-'Inputs'!$B$17)</x:f>
        <x:v>0.10178973532407165</x:v>
      </x:c>
      <x:c r="Q174" s="78" t="n">
        <x:f>IF(J174&gt;0,M174/J174,0)</x:f>
        <x:v>0</x:v>
      </x:c>
      <x:c r="R174" s="78" t="n">
        <x:f>IF(B174='Inputs'!$H$44,'Inputs'!$B$27*'Inputs'!$I$44,0)</x:f>
        <x:v>0</x:v>
      </x:c>
      <x:c r="S174" s="78" t="n">
        <x:f>Q174+G174+R174</x:f>
        <x:v>853338.5719647215</x:v>
      </x:c>
      <x:c r="T174" s="78" t="n">
        <x:f>P174*(S174*(1-'Inputs'!$B$15))/(O174+S174*(1-'Inputs'!$B$15))</x:f>
        <x:v>7.387505676171064e-7</x:v>
      </x:c>
      <x:c r="U174" s="78" t="n">
        <x:f>O174+S174*(1-'Inputs'!$B$17)</x:f>
        <x:v>116402617940.27356</x:v>
      </x:c>
      <x:c r="V174" s="78" t="n">
        <x:f>P174-T174</x:f>
        <x:v>0.10178899657350403</x:v>
      </x:c>
      <x:c r="W174" s="79" t="n">
        <x:f>IF(U174&gt;0,V174/U174,0)</x:f>
        <x:v>8.744562482755515e-13</x:v>
      </x:c>
      <x:c r="X174" s="80" t="n">
        <x:f>W174*('Inputs'!$B$6-AC174)</x:f>
        <x:v>-0.00035838511649292963</x:v>
      </x:c>
      <x:c r="Y174" s="80" t="n">
        <x:f>2*V174</x:f>
        <x:v>0.20357799314700806</x:v>
      </x:c>
      <x:c r="Z174" s="80" t="n">
        <x:f>K174*'Inputs'!$B$16+(G174+R174)*J174*'Inputs'!$B$16</x:f>
        <x:v>0.00024429984208643396</x:v>
      </x:c>
      <x:c r="AA174" s="80" t="n">
        <x:f>K174*(1+'Inputs'!$E$44)/2*'Inputs'!$B$17</x:f>
        <x:v>0.00006553866258290329</x:v>
      </x:c>
      <x:c r="AB174" s="78" t="n">
        <x:f>(IF(J174&gt;0,K174*(1-'Inputs'!$E$44)/2/J174,0)+G174+R174)*'Inputs'!$B$17</x:f>
        <x:v>3433.9580360753384</x:v>
      </x:c>
      <x:c r="AC174" s="78" t="n">
        <x:f>AC173+AB174</x:f>
        <x:v>1409837675.92681</x:v>
      </x:c>
      <x:c r="AD174" s="80" t="n">
        <x:f>Z174/(1+'Inputs'!$C$44)</x:f>
        <x:v>0.00019543987366914717</x:v>
      </x:c>
      <x:c r="AE174" s="80" t="n">
        <x:f>Z174-AD174</x:f>
        <x:v>0.00004885996841728679</x:v>
      </x:c>
      <x:c r="AF174" s="80" t="n">
        <x:f>D174*W174</x:f>
        <x:v>2.460552753037959e-7</x:v>
      </x:c>
      <x:c r="AG174" s="80" t="n">
        <x:f>C174*W174</x:f>
        <x:v>5.741289757088485e-7</x:v>
      </x:c>
      <x:c r="AH174" s="80" t="n">
        <x:f>2*'Inputs'!$B$8*'Inputs'!$C$44</x:f>
        <x:v>1250</x:v>
      </x:c>
      <x:c r="AI174" s="81" t="n">
        <x:f>IF(AH174&gt;0,(AE174+AF174)/AH174*365,0)</x:f>
        <x:v>0.00001433895891823645</x:v>
      </x:c>
      <x:c r="AJ174" s="81" t="n">
        <x:f>IF('Inputs'!$B$44&gt;0,AG174/('Inputs'!$B$19*'Inputs'!$B$44)*365,0)</x:f>
        <x:v>2.095570761337297e-8</x:v>
      </x:c>
      <x:c r="AK174" s="81" t="n">
        <x:f>W174/MAX($W$4:W174)-1</x:f>
        <x:v>-0.9999999987149201</x:v>
      </x:c>
      <x:c r="AL174" s="83" t="n">
        <x:f>'Inputs'!$B$44</x:f>
        <x:v>1</x:v>
      </x:c>
      <x:c r="AM174" s="83" t="n">
        <x:f>'Inputs'!$C$44</x:f>
        <x:v>0.25</x:v>
      </x:c>
      <x:c r="AN174" s="83" t="n">
        <x:f>'Inputs'!$D$44</x:f>
        <x:v>0.2</x:v>
      </x:c>
      <x:c r="AO174" s="81" t="n">
        <x:f>'Inputs'!$E$44</x:f>
        <x:v>-0.2</x:v>
      </x:c>
    </x:row>
    <x:row r="175">
      <x:c r="A175" s="59" t="str">
        <x:v>No demand</x:v>
      </x:c>
      <x:c r="B175" s="59" t="n">
        <x:v>172</x:v>
      </x:c>
      <x:c r="C175" s="78" t="n">
        <x:f>(('Inputs'!$B$29*(3*172*'Inputs'!$B$12-172^2)/(2*'Inputs'!$B$12^2))-('Inputs'!$B$29*(3*171*'Inputs'!$B$12-171^2)/(2*'Inputs'!$B$12^2)))*'Inputs'!$B$44</x:f>
        <x:v>656230.2964908928</x:v>
      </x:c>
      <x:c r="D175" s="78" t="n">
        <x:f>IF('Inputs'!$C$44&gt;0,('Inputs'!$B$30*(3*172*'Inputs'!$B$12-172^2)/(2*'Inputs'!$B$12^2))-('Inputs'!$B$30*(3*171*'Inputs'!$B$12-171^2)/(2*'Inputs'!$B$12^2)),0)</x:f>
        <x:v>281241.55563895404</x:v>
      </x:c>
      <x:c r="E175" s="78" t="n">
        <x:f>C175+D175</x:f>
        <x:v>937471.8521298468</x:v>
      </x:c>
      <x:c r="F175" s="78" t="n">
        <x:f>'Inputs'!$B$13*E175+(1-'Inputs'!$B$13)/'Inputs'!$B$14*SUM(E120:E175)</x:f>
        <x:v>947689.5289923045</x:v>
      </x:c>
      <x:c r="G175" s="78" t="n">
        <x:f>F175*'Inputs'!$F$44</x:f>
        <x:v>852920.576093074</x:v>
      </x:c>
      <x:c r="H175" s="78" t="n">
        <x:f>U174</x:f>
        <x:v>116402617940.27356</x:v>
      </x:c>
      <x:c r="I175" s="78" t="n">
        <x:f>V174</x:f>
        <x:v>0.10178899657350403</x:v>
      </x:c>
      <x:c r="J175" s="79" t="n">
        <x:f>IF(H175&gt;0,I175/H175,0)</x:f>
        <x:v>8.744562482755515e-13</x:v>
      </x:c>
      <x:c r="K175" s="80" t="n">
        <x:f>(H175*J175+I175)*'Inputs'!$D$44*(1+'Inputs'!$G$44)^(B175/30)</x:f>
        <x:v>0.04071559862940161</x:v>
      </x:c>
      <x:c r="L175" s="80" t="n">
        <x:f>MAX(0,K175*'Inputs'!$E$44)</x:f>
        <x:v>0</x:v>
      </x:c>
      <x:c r="M175" s="80" t="n">
        <x:f>MAX(0,-K175*'Inputs'!$E$44)</x:f>
        <x:v>0.008143119725880324</x:v>
      </x:c>
      <x:c r="N175" s="78" t="n">
        <x:f>H175*(L175*(1-'Inputs'!$B$15))/(I175+L175*(1-'Inputs'!$B$15))</x:f>
        <x:v>0</x:v>
      </x:c>
      <x:c r="O175" s="78" t="n">
        <x:f>H175-N175</x:f>
        <x:v>116402617940.27356</x:v>
      </x:c>
      <x:c r="P175" s="78" t="n">
        <x:f>I175+L175*(1-'Inputs'!$B$17)</x:f>
        <x:v>0.10178899657350403</x:v>
      </x:c>
      <x:c r="Q175" s="78" t="n">
        <x:f>IF(J175&gt;0,M175/J175,0)</x:f>
        <x:v>0</x:v>
      </x:c>
      <x:c r="R175" s="78" t="n">
        <x:f>IF(B175='Inputs'!$H$44,'Inputs'!$B$27*'Inputs'!$I$44,0)</x:f>
        <x:v>0</x:v>
      </x:c>
      <x:c r="S175" s="78" t="n">
        <x:f>Q175+G175+R175</x:f>
        <x:v>852920.576093074</x:v>
      </x:c>
      <x:c r="T175" s="78" t="n">
        <x:f>P175*(S175*(1-'Inputs'!$B$15))/(O175+S175*(1-'Inputs'!$B$15))</x:f>
        <x:v>7.383779535402166e-7</x:v>
      </x:c>
      <x:c r="U175" s="78" t="n">
        <x:f>O175+S175*(1-'Inputs'!$B$17)</x:f>
        <x:v>116403467428.5737</x:v>
      </x:c>
      <x:c r="V175" s="78" t="n">
        <x:f>P175-T175</x:f>
        <x:v>0.10178825819555049</x:v>
      </x:c>
      <x:c r="W175" s="79" t="n">
        <x:f>IF(U175&gt;0,V175/U175,0)</x:f>
        <x:v>8.744435234114375e-13</x:v>
      </x:c>
      <x:c r="X175" s="80" t="n">
        <x:f>W175*('Inputs'!$B$6-AC175)</x:f>
        <x:v>-0.0003583829026956786</x:v>
      </x:c>
      <x:c r="Y175" s="80" t="n">
        <x:f>2*V175</x:f>
        <x:v>0.20357651639110097</x:v>
      </x:c>
      <x:c r="Z175" s="80" t="n">
        <x:f>K175*'Inputs'!$B$16+(G175+R175)*J175*'Inputs'!$B$16</x:f>
        <x:v>0.000244298066826772</x:v>
      </x:c>
      <x:c r="AA175" s="80" t="n">
        <x:f>K175*(1+'Inputs'!$E$44)/2*'Inputs'!$B$17</x:f>
        <x:v>0.00006553818692861428</x:v>
      </x:c>
      <x:c r="AB175" s="78" t="n">
        <x:f>(IF(J175&gt;0,K175*(1-'Inputs'!$E$44)/2/J175,0)+G175+R175)*'Inputs'!$B$17</x:f>
        <x:v>3432.275960133095</x:v>
      </x:c>
      <x:c r="AC175" s="78" t="n">
        <x:f>AC174+AB175</x:f>
        <x:v>1409841108.2027702</x:v>
      </x:c>
      <x:c r="AD175" s="80" t="n">
        <x:f>Z175/(1+'Inputs'!$C$44)</x:f>
        <x:v>0.0001954384534614176</x:v>
      </x:c>
      <x:c r="AE175" s="80" t="n">
        <x:f>Z175-AD175</x:f>
        <x:v>0.000048859613365354385</x:v>
      </x:c>
      <x:c r="AF175" s="80" t="n">
        <x:f>D175*W175</x:f>
        <x:v>2.459298568426408e-7</x:v>
      </x:c>
      <x:c r="AG175" s="80" t="n">
        <x:f>C175*W175</x:f>
        <x:v>5.738363326328286e-7</x:v>
      </x:c>
      <x:c r="AH175" s="80" t="n">
        <x:f>2*'Inputs'!$B$8*'Inputs'!$C$44</x:f>
        <x:v>1250</x:v>
      </x:c>
      <x:c r="AI175" s="81" t="n">
        <x:f>IF(AH175&gt;0,(AE175+AF175)/AH175*365,0)</x:f>
        <x:v>0.000014338818620881532</x:v>
      </x:c>
      <x:c r="AJ175" s="81" t="n">
        <x:f>IF('Inputs'!$B$44&gt;0,AG175/('Inputs'!$B$19*'Inputs'!$B$44)*365,0)</x:f>
        <x:v>2.0945026141098244e-8</x:v>
      </x:c>
      <x:c r="AK175" s="81" t="n">
        <x:f>W175/MAX($W$4:W175)-1</x:f>
        <x:v>-0.9999999987149388</x:v>
      </x:c>
      <x:c r="AL175" s="83" t="n">
        <x:f>'Inputs'!$B$44</x:f>
        <x:v>1</x:v>
      </x:c>
      <x:c r="AM175" s="83" t="n">
        <x:f>'Inputs'!$C$44</x:f>
        <x:v>0.25</x:v>
      </x:c>
      <x:c r="AN175" s="83" t="n">
        <x:f>'Inputs'!$D$44</x:f>
        <x:v>0.2</x:v>
      </x:c>
      <x:c r="AO175" s="81" t="n">
        <x:f>'Inputs'!$E$44</x:f>
        <x:v>-0.2</x:v>
      </x:c>
    </x:row>
    <x:row r="176">
      <x:c r="A176" s="59" t="str">
        <x:v>No demand</x:v>
      </x:c>
      <x:c r="B176" s="59" t="n">
        <x:v>173</x:v>
      </x:c>
      <x:c r="C176" s="78" t="n">
        <x:f>(('Inputs'!$B$29*(3*173*'Inputs'!$B$12-173^2)/(2*'Inputs'!$B$12^2))-('Inputs'!$B$29*(3*172*'Inputs'!$B$12-172^2)/(2*'Inputs'!$B$12^2)))*'Inputs'!$B$44</x:f>
        <x:v>655905.1885907352</x:v>
      </x:c>
      <x:c r="D176" s="78" t="n">
        <x:f>IF('Inputs'!$C$44&gt;0,('Inputs'!$B$30*(3*173*'Inputs'!$B$12-173^2)/(2*'Inputs'!$B$12^2))-('Inputs'!$B$30*(3*172*'Inputs'!$B$12-172^2)/(2*'Inputs'!$B$12^2)),0)</x:f>
        <x:v>281102.2236817479</x:v>
      </x:c>
      <x:c r="E176" s="78" t="n">
        <x:f>C176+D176</x:f>
        <x:v>937007.4122724831</x:v>
      </x:c>
      <x:c r="F176" s="78" t="n">
        <x:f>'Inputs'!$B$13*E176+(1-'Inputs'!$B$13)/'Inputs'!$B$14*SUM(E121:E176)</x:f>
        <x:v>947225.0891349247</x:v>
      </x:c>
      <x:c r="G176" s="78" t="n">
        <x:f>F176*'Inputs'!$F$44</x:f>
        <x:v>852502.5802214323</x:v>
      </x:c>
      <x:c r="H176" s="78" t="n">
        <x:f>U175</x:f>
        <x:v>116403467428.5737</x:v>
      </x:c>
      <x:c r="I176" s="78" t="n">
        <x:f>V175</x:f>
        <x:v>0.10178825819555049</x:v>
      </x:c>
      <x:c r="J176" s="79" t="n">
        <x:f>IF(H176&gt;0,I176/H176,0)</x:f>
        <x:v>8.744435234114375e-13</x:v>
      </x:c>
      <x:c r="K176" s="80" t="n">
        <x:f>(H176*J176+I176)*'Inputs'!$D$44*(1+'Inputs'!$G$44)^(B176/30)</x:f>
        <x:v>0.0407153032782202</x:v>
      </x:c>
      <x:c r="L176" s="80" t="n">
        <x:f>MAX(0,K176*'Inputs'!$E$44)</x:f>
        <x:v>0</x:v>
      </x:c>
      <x:c r="M176" s="80" t="n">
        <x:f>MAX(0,-K176*'Inputs'!$E$44)</x:f>
        <x:v>0.00814306065564404</x:v>
      </x:c>
      <x:c r="N176" s="78" t="n">
        <x:f>H176*(L176*(1-'Inputs'!$B$15))/(I176+L176*(1-'Inputs'!$B$15))</x:f>
        <x:v>0</x:v>
      </x:c>
      <x:c r="O176" s="78" t="n">
        <x:f>H176-N176</x:f>
        <x:v>116403467428.5737</x:v>
      </x:c>
      <x:c r="P176" s="78" t="n">
        <x:f>I176+L176*(1-'Inputs'!$B$17)</x:f>
        <x:v>0.10178825819555049</x:v>
      </x:c>
      <x:c r="Q176" s="78" t="n">
        <x:f>IF(J176&gt;0,M176/J176,0)</x:f>
        <x:v>0</x:v>
      </x:c>
      <x:c r="R176" s="78" t="n">
        <x:f>IF(B176='Inputs'!$H$44,'Inputs'!$B$27*'Inputs'!$I$44,0)</x:f>
        <x:v>0</x:v>
      </x:c>
      <x:c r="S176" s="78" t="n">
        <x:f>Q176+G176+R176</x:f>
        <x:v>852502.5802214323</x:v>
      </x:c>
      <x:c r="T176" s="78" t="n">
        <x:f>P176*(S176*(1-'Inputs'!$B$15))/(O176+S176*(1-'Inputs'!$B$15))</x:f>
        <x:v>7.380053554953639e-7</x:v>
      </x:c>
      <x:c r="U176" s="78" t="n">
        <x:f>O176+S176*(1-'Inputs'!$B$17)</x:f>
        <x:v>116404316500.56004</x:v>
      </x:c>
      <x:c r="V176" s="78" t="n">
        <x:f>P176-T176</x:f>
        <x:v>0.10178752019019499</x:v>
      </x:c>
      <x:c r="W176" s="79" t="n">
        <x:f>IF(U176&gt;0,V176/U176,0)</x:f>
        <x:v>8.744308050612992e-13</x:v>
      </x:c>
      <x:c r="X176" s="80" t="n">
        <x:f>W176*('Inputs'!$B$6-AC176)</x:f>
        <x:v>-0.0003583806900099354</x:v>
      </x:c>
      <x:c r="Y176" s="80" t="n">
        <x:f>2*V176</x:f>
        <x:v>0.20357504038038998</x:v>
      </x:c>
      <x:c r="Z176" s="80" t="n">
        <x:f>K176*'Inputs'!$B$16+(G176+R176)*J176*'Inputs'!$B$16</x:f>
        <x:v>0.000244296292461481</x:v>
      </x:c>
      <x:c r="AA176" s="80" t="n">
        <x:f>K176*(1+'Inputs'!$E$44)/2*'Inputs'!$B$17</x:f>
        <x:v>0.00006553771151423775</x:v>
      </x:c>
      <x:c r="AB176" s="78" t="n">
        <x:f>(IF(J176&gt;0,K176*(1-'Inputs'!$E$44)/2/J176,0)+G176+R176)*'Inputs'!$B$17</x:f>
        <x:v>3430.5938841908746</x:v>
      </x:c>
      <x:c r="AC176" s="78" t="n">
        <x:f>AC175+AB176</x:f>
        <x:v>1409844538.7966545</x:v>
      </x:c>
      <x:c r="AD176" s="80" t="n">
        <x:f>Z176/(1+'Inputs'!$C$44)</x:f>
        <x:v>0.0001954370339691848</x:v>
      </x:c>
      <x:c r="AE176" s="80" t="n">
        <x:f>Z176-AD176</x:f>
        <x:v>0.0000488592584922962</x:v>
      </x:c>
      <x:c r="AF176" s="80" t="n">
        <x:f>D176*W176</x:f>
        <x:v>2.458044437585522e-7</x:v>
      </x:c>
      <x:c r="AG176" s="80" t="n">
        <x:f>C176*W176</x:f>
        <x:v>5.735437021032798e-7</x:v>
      </x:c>
      <x:c r="AH176" s="80" t="n">
        <x:f>2*'Inputs'!$B$8*'Inputs'!$C$44</x:f>
        <x:v>1250</x:v>
      </x:c>
      <x:c r="AI176" s="81" t="n">
        <x:f>IF(AH176&gt;0,(AE176+AF176)/AH176*365,0)</x:f>
        <x:v>0.000014338678377327988</x:v>
      </x:c>
      <x:c r="AJ176" s="81" t="n">
        <x:f>IF('Inputs'!$B$44&gt;0,AG176/('Inputs'!$B$19*'Inputs'!$B$44)*365,0)</x:f>
        <x:v>2.0934345126769712e-8</x:v>
      </x:c>
      <x:c r="AK176" s="81" t="n">
        <x:f>W176/MAX($W$4:W176)-1</x:f>
        <x:v>-0.9999999987149575</x:v>
      </x:c>
      <x:c r="AL176" s="83" t="n">
        <x:f>'Inputs'!$B$44</x:f>
        <x:v>1</x:v>
      </x:c>
      <x:c r="AM176" s="83" t="n">
        <x:f>'Inputs'!$C$44</x:f>
        <x:v>0.25</x:v>
      </x:c>
      <x:c r="AN176" s="83" t="n">
        <x:f>'Inputs'!$D$44</x:f>
        <x:v>0.2</x:v>
      </x:c>
      <x:c r="AO176" s="81" t="n">
        <x:f>'Inputs'!$E$44</x:f>
        <x:v>-0.2</x:v>
      </x:c>
    </x:row>
    <x:row r="177">
      <x:c r="A177" s="59" t="str">
        <x:v>No demand</x:v>
      </x:c>
      <x:c r="B177" s="59" t="n">
        <x:v>174</x:v>
      </x:c>
      <x:c r="C177" s="78" t="n">
        <x:f>(('Inputs'!$B$29*(3*174*'Inputs'!$B$12-174^2)/(2*'Inputs'!$B$12^2))-('Inputs'!$B$29*(3*173*'Inputs'!$B$12-173^2)/(2*'Inputs'!$B$12^2)))*'Inputs'!$B$44</x:f>
        <x:v>655580.0806905627</x:v>
      </x:c>
      <x:c r="D177" s="78" t="n">
        <x:f>IF('Inputs'!$C$44&gt;0,('Inputs'!$B$30*(3*174*'Inputs'!$B$12-174^2)/(2*'Inputs'!$B$12^2))-('Inputs'!$B$30*(3*173*'Inputs'!$B$12-173^2)/(2*'Inputs'!$B$12^2)),0)</x:f>
        <x:v>280962.89172451943</x:v>
      </x:c>
      <x:c r="E177" s="78" t="n">
        <x:f>C177+D177</x:f>
        <x:v>936542.9724150822</x:v>
      </x:c>
      <x:c r="F177" s="78" t="n">
        <x:f>'Inputs'!$B$13*E177+(1-'Inputs'!$B$13)/'Inputs'!$B$14*SUM(E122:E177)</x:f>
        <x:v>946760.6492775369</x:v>
      </x:c>
      <x:c r="G177" s="78" t="n">
        <x:f>F177*'Inputs'!$F$44</x:f>
        <x:v>852084.5843497833</x:v>
      </x:c>
      <x:c r="H177" s="78" t="n">
        <x:f>U176</x:f>
        <x:v>116404316500.56004</x:v>
      </x:c>
      <x:c r="I177" s="78" t="n">
        <x:f>V176</x:f>
        <x:v>0.10178752019019499</x:v>
      </x:c>
      <x:c r="J177" s="79" t="n">
        <x:f>IF(H177&gt;0,I177/H177,0)</x:f>
        <x:v>8.744308050612992e-13</x:v>
      </x:c>
      <x:c r="K177" s="80" t="n">
        <x:f>(H177*J177+I177)*'Inputs'!$D$44*(1+'Inputs'!$G$44)^(B177/30)</x:f>
        <x:v>0.040715008076078</x:v>
      </x:c>
      <x:c r="L177" s="80" t="n">
        <x:f>MAX(0,K177*'Inputs'!$E$44)</x:f>
        <x:v>0</x:v>
      </x:c>
      <x:c r="M177" s="80" t="n">
        <x:f>MAX(0,-K177*'Inputs'!$E$44)</x:f>
        <x:v>0.008143001615215601</x:v>
      </x:c>
      <x:c r="N177" s="78" t="n">
        <x:f>H177*(L177*(1-'Inputs'!$B$15))/(I177+L177*(1-'Inputs'!$B$15))</x:f>
        <x:v>0</x:v>
      </x:c>
      <x:c r="O177" s="78" t="n">
        <x:f>H177-N177</x:f>
        <x:v>116404316500.56004</x:v>
      </x:c>
      <x:c r="P177" s="78" t="n">
        <x:f>I177+L177*(1-'Inputs'!$B$17)</x:f>
        <x:v>0.10178752019019499</x:v>
      </x:c>
      <x:c r="Q177" s="78" t="n">
        <x:f>IF(J177&gt;0,M177/J177,0)</x:f>
        <x:v>0</x:v>
      </x:c>
      <x:c r="R177" s="78" t="n">
        <x:f>IF(B177='Inputs'!$H$44,'Inputs'!$B$27*'Inputs'!$I$44,0)</x:f>
        <x:v>0</x:v>
      </x:c>
      <x:c r="S177" s="78" t="n">
        <x:f>Q177+G177+R177</x:f>
        <x:v>852084.5843497833</x:v>
      </x:c>
      <x:c r="T177" s="78" t="n">
        <x:f>P177*(S177*(1-'Inputs'!$B$15))/(O177+S177*(1-'Inputs'!$B$15))</x:f>
        <x:v>7.376327734740982e-7</x:v>
      </x:c>
      <x:c r="U177" s="78" t="n">
        <x:f>O177+S177*(1-'Inputs'!$B$17)</x:f>
        <x:v>116405165156.23259</x:v>
      </x:c>
      <x:c r="V177" s="78" t="n">
        <x:f>P177-T177</x:f>
        <x:v>0.10178678255742152</x:v>
      </x:c>
      <x:c r="W177" s="79" t="n">
        <x:f>IF(U177&gt;0,V177/U177,0)</x:f>
        <x:v>8.7441809322472e-13</x:v>
      </x:c>
      <x:c r="X177" s="80" t="n">
        <x:f>W177*('Inputs'!$B$6-AC177)</x:f>
        <x:v>-0.0003583784784356606</x:v>
      </x:c>
      <x:c r="Y177" s="80" t="n">
        <x:f>2*V177</x:f>
        <x:v>0.20357356511484304</x:v>
      </x:c>
      <x:c r="Z177" s="80" t="n">
        <x:f>K177*'Inputs'!$B$16+(G177+R177)*J177*'Inputs'!$B$16</x:f>
        <x:v>0.0002442945189905225</x:v>
      </x:c>
      <x:c r="AA177" s="80" t="n">
        <x:f>K177*(1+'Inputs'!$E$44)/2*'Inputs'!$B$17</x:f>
        <x:v>0.0000655372363397634</x:v>
      </x:c>
      <x:c r="AB177" s="78" t="n">
        <x:f>(IF(J177&gt;0,K177*(1-'Inputs'!$E$44)/2/J177,0)+G177+R177)*'Inputs'!$B$17</x:f>
        <x:v>3428.911808248625</x:v>
      </x:c>
      <x:c r="AC177" s="78" t="n">
        <x:f>AC176+AB177</x:f>
        <x:v>1409847967.7084627</x:v>
      </x:c>
      <x:c r="AD177" s="80" t="n">
        <x:f>Z177/(1+'Inputs'!$C$44)</x:f>
        <x:v>0.000195435615192418</x:v>
      </x:c>
      <x:c r="AE177" s="80" t="n">
        <x:f>Z177-AD177</x:f>
        <x:v>0.000048858903798104484</x:v>
      </x:c>
      <x:c r="AF177" s="80" t="n">
        <x:f>D177*W177</x:f>
        <x:v>2.4567903604865777e-7</x:v>
      </x:c>
      <x:c r="AG177" s="80" t="n">
        <x:f>C177*W177</x:f>
        <x:v>5.732510841135499e-7</x:v>
      </x:c>
      <x:c r="AH177" s="80" t="n">
        <x:f>2*'Inputs'!$B$8*'Inputs'!$C$44</x:f>
        <x:v>1250</x:v>
      </x:c>
      <x:c r="AI177" s="81" t="n">
        <x:f>IF(AH177&gt;0,(AE177+AF177)/AH177*365,0)</x:f>
        <x:v>0.000014338538187572718</x:v>
      </x:c>
      <x:c r="AJ177" s="81" t="n">
        <x:f>IF('Inputs'!$B$44&gt;0,AG177/('Inputs'!$B$19*'Inputs'!$B$44)*365,0)</x:f>
        <x:v>2.0923664570144575e-8</x:v>
      </x:c>
      <x:c r="AK177" s="81" t="n">
        <x:f>W177/MAX($W$4:W177)-1</x:f>
        <x:v>-0.9999999987149762</x:v>
      </x:c>
      <x:c r="AL177" s="83" t="n">
        <x:f>'Inputs'!$B$44</x:f>
        <x:v>1</x:v>
      </x:c>
      <x:c r="AM177" s="83" t="n">
        <x:f>'Inputs'!$C$44</x:f>
        <x:v>0.25</x:v>
      </x:c>
      <x:c r="AN177" s="83" t="n">
        <x:f>'Inputs'!$D$44</x:f>
        <x:v>0.2</x:v>
      </x:c>
      <x:c r="AO177" s="81" t="n">
        <x:f>'Inputs'!$E$44</x:f>
        <x:v>-0.2</x:v>
      </x:c>
    </x:row>
    <x:row r="178">
      <x:c r="A178" s="59" t="str">
        <x:v>No demand</x:v>
      </x:c>
      <x:c r="B178" s="59" t="n">
        <x:v>175</x:v>
      </x:c>
      <x:c r="C178" s="78" t="n">
        <x:f>(('Inputs'!$B$29*(3*175*'Inputs'!$B$12-175^2)/(2*'Inputs'!$B$12^2))-('Inputs'!$B$29*(3*174*'Inputs'!$B$12-174^2)/(2*'Inputs'!$B$12^2)))*'Inputs'!$B$44</x:f>
        <x:v>655254.9727903903</x:v>
      </x:c>
      <x:c r="D178" s="78" t="n">
        <x:f>IF('Inputs'!$C$44&gt;0,('Inputs'!$B$30*(3*175*'Inputs'!$B$12-175^2)/(2*'Inputs'!$B$12^2))-('Inputs'!$B$30*(3*174*'Inputs'!$B$12-174^2)/(2*'Inputs'!$B$12^2)),0)</x:f>
        <x:v>280823.5597673133</x:v>
      </x:c>
      <x:c r="E178" s="78" t="n">
        <x:f>C178+D178</x:f>
        <x:v>936078.5325577036</x:v>
      </x:c>
      <x:c r="F178" s="78" t="n">
        <x:f>'Inputs'!$B$13*E178+(1-'Inputs'!$B$13)/'Inputs'!$B$14*SUM(E123:E178)</x:f>
        <x:v>946296.2094201541</x:v>
      </x:c>
      <x:c r="G178" s="78" t="n">
        <x:f>F178*'Inputs'!$F$44</x:f>
        <x:v>851666.5884781387</x:v>
      </x:c>
      <x:c r="H178" s="78" t="n">
        <x:f>U177</x:f>
        <x:v>116405165156.23259</x:v>
      </x:c>
      <x:c r="I178" s="78" t="n">
        <x:f>V177</x:f>
        <x:v>0.10178678255742152</x:v>
      </x:c>
      <x:c r="J178" s="79" t="n">
        <x:f>IF(H178&gt;0,I178/H178,0)</x:f>
        <x:v>8.7441809322472e-13</x:v>
      </x:c>
      <x:c r="K178" s="80" t="n">
        <x:f>(H178*J178+I178)*'Inputs'!$D$44*(1+'Inputs'!$G$44)^(B178/30)</x:f>
        <x:v>0.04071471302296861</x:v>
      </x:c>
      <x:c r="L178" s="80" t="n">
        <x:f>MAX(0,K178*'Inputs'!$E$44)</x:f>
        <x:v>0</x:v>
      </x:c>
      <x:c r="M178" s="80" t="n">
        <x:f>MAX(0,-K178*'Inputs'!$E$44)</x:f>
        <x:v>0.008142942604593723</x:v>
      </x:c>
      <x:c r="N178" s="78" t="n">
        <x:f>H178*(L178*(1-'Inputs'!$B$15))/(I178+L178*(1-'Inputs'!$B$15))</x:f>
        <x:v>0</x:v>
      </x:c>
      <x:c r="O178" s="78" t="n">
        <x:f>H178-N178</x:f>
        <x:v>116405165156.23259</x:v>
      </x:c>
      <x:c r="P178" s="78" t="n">
        <x:f>I178+L178*(1-'Inputs'!$B$17)</x:f>
        <x:v>0.10178678255742152</x:v>
      </x:c>
      <x:c r="Q178" s="78" t="n">
        <x:f>IF(J178&gt;0,M178/J178,0)</x:f>
        <x:v>0</x:v>
      </x:c>
      <x:c r="R178" s="78" t="n">
        <x:f>IF(B178='Inputs'!$H$44,'Inputs'!$B$27*'Inputs'!$I$44,0)</x:f>
        <x:v>0</x:v>
      </x:c>
      <x:c r="S178" s="78" t="n">
        <x:f>Q178+G178+R178</x:f>
        <x:v>851666.5884781387</x:v>
      </x:c>
      <x:c r="T178" s="78" t="n">
        <x:f>P178*(S178*(1-'Inputs'!$B$15))/(O178+S178*(1-'Inputs'!$B$15))</x:f>
        <x:v>7.372602074679926e-7</x:v>
      </x:c>
      <x:c r="U178" s="78" t="n">
        <x:f>O178+S178*(1-'Inputs'!$B$17)</x:f>
        <x:v>116406013395.59134</x:v>
      </x:c>
      <x:c r="V178" s="78" t="n">
        <x:f>P178-T178</x:f>
        <x:v>0.10178604529721405</x:v>
      </x:c>
      <x:c r="W178" s="79" t="n">
        <x:f>IF(U178&gt;0,V178/U178,0)</x:f>
        <x:v>8.744053879012835e-13</x:v>
      </x:c>
      <x:c r="X178" s="80" t="n">
        <x:f>W178*('Inputs'!$B$6-AC178)</x:f>
        <x:v>-0.00035837626797281455</x:v>
      </x:c>
      <x:c r="Y178" s="80" t="n">
        <x:f>2*V178</x:f>
        <x:v>0.2035720905944281</x:v>
      </x:c>
      <x:c r="Z178" s="80" t="n">
        <x:f>K178*'Inputs'!$B$16+(G178+R178)*J178*'Inputs'!$B$16</x:f>
        <x:v>0.0002442927464138578</x:v>
      </x:c>
      <x:c r="AA178" s="80" t="n">
        <x:f>K178*(1+'Inputs'!$E$44)/2*'Inputs'!$B$17</x:f>
        <x:v>0.00006553676140518087</x:v>
      </x:c>
      <x:c r="AB178" s="78" t="n">
        <x:f>(IF(J178&gt;0,K178*(1-'Inputs'!$E$44)/2/J178,0)+G178+R178)*'Inputs'!$B$17</x:f>
        <x:v>3427.2297323063935</x:v>
      </x:c>
      <x:c r="AC178" s="78" t="n">
        <x:f>AC177+AB178</x:f>
        <x:v>1409851394.938195</x:v>
      </x:c>
      <x:c r="AD178" s="80" t="n">
        <x:f>Z178/(1+'Inputs'!$C$44)</x:f>
        <x:v>0.00019543419713108625</x:v>
      </x:c>
      <x:c r="AE178" s="80" t="n">
        <x:f>Z178-AD178</x:f>
        <x:v>0.00004885854928277157</x:v>
      </x:c>
      <x:c r="AF178" s="80" t="n">
        <x:f>D178*W178</x:f>
        <x:v>2.455536337101569e-7</x:v>
      </x:c>
      <x:c r="AG178" s="80" t="n">
        <x:f>C178*W178</x:f>
        <x:v>5.729584786570262e-7</x:v>
      </x:c>
      <x:c r="AH178" s="80" t="n">
        <x:f>2*'Inputs'!$B$8*'Inputs'!$C$44</x:f>
        <x:v>1250</x:v>
      </x:c>
      <x:c r="AI178" s="81" t="n">
        <x:f>IF(AH178&gt;0,(AE178+AF178)/AH178*365,0)</x:f>
        <x:v>0.000014338398051612663</x:v>
      </x:c>
      <x:c r="AJ178" s="81" t="n">
        <x:f>IF('Inputs'!$B$44&gt;0,AG178/('Inputs'!$B$19*'Inputs'!$B$44)*365,0)</x:f>
        <x:v>2.0912984470981455e-8</x:v>
      </x:c>
      <x:c r="AK178" s="81" t="n">
        <x:f>W178/MAX($W$4:W178)-1</x:f>
        <x:v>-0.9999999987149949</x:v>
      </x:c>
      <x:c r="AL178" s="83" t="n">
        <x:f>'Inputs'!$B$44</x:f>
        <x:v>1</x:v>
      </x:c>
      <x:c r="AM178" s="83" t="n">
        <x:f>'Inputs'!$C$44</x:f>
        <x:v>0.25</x:v>
      </x:c>
      <x:c r="AN178" s="83" t="n">
        <x:f>'Inputs'!$D$44</x:f>
        <x:v>0.2</x:v>
      </x:c>
      <x:c r="AO178" s="81" t="n">
        <x:f>'Inputs'!$E$44</x:f>
        <x:v>-0.2</x:v>
      </x:c>
    </x:row>
    <x:row r="179">
      <x:c r="A179" s="59" t="str">
        <x:v>No demand</x:v>
      </x:c>
      <x:c r="B179" s="59" t="n">
        <x:v>176</x:v>
      </x:c>
      <x:c r="C179" s="78" t="n">
        <x:f>(('Inputs'!$B$29*(3*176*'Inputs'!$B$12-176^2)/(2*'Inputs'!$B$12^2))-('Inputs'!$B$29*(3*175*'Inputs'!$B$12-175^2)/(2*'Inputs'!$B$12^2)))*'Inputs'!$B$44</x:f>
        <x:v>654929.8648902178</x:v>
      </x:c>
      <x:c r="D179" s="78" t="n">
        <x:f>IF('Inputs'!$C$44&gt;0,('Inputs'!$B$30*(3*176*'Inputs'!$B$12-176^2)/(2*'Inputs'!$B$12^2))-('Inputs'!$B$30*(3*175*'Inputs'!$B$12-175^2)/(2*'Inputs'!$B$12^2)),0)</x:f>
        <x:v>280684.2278100997</x:v>
      </x:c>
      <x:c r="E179" s="78" t="n">
        <x:f>C179+D179</x:f>
        <x:v>935614.0927003175</x:v>
      </x:c>
      <x:c r="F179" s="78" t="n">
        <x:f>'Inputs'!$B$13*E179+(1-'Inputs'!$B$13)/'Inputs'!$B$14*SUM(E124:E179)</x:f>
        <x:v>945831.7695627694</x:v>
      </x:c>
      <x:c r="G179" s="78" t="n">
        <x:f>F179*'Inputs'!$F$44</x:f>
        <x:v>851248.5926064926</x:v>
      </x:c>
      <x:c r="H179" s="78" t="n">
        <x:f>U178</x:f>
        <x:v>116406013395.59134</x:v>
      </x:c>
      <x:c r="I179" s="78" t="n">
        <x:f>V178</x:f>
        <x:v>0.10178604529721405</x:v>
      </x:c>
      <x:c r="J179" s="79" t="n">
        <x:f>IF(H179&gt;0,I179/H179,0)</x:f>
        <x:v>8.744053879012835e-13</x:v>
      </x:c>
      <x:c r="K179" s="80" t="n">
        <x:f>(H179*J179+I179)*'Inputs'!$D$44*(1+'Inputs'!$G$44)^(B179/30)</x:f>
        <x:v>0.040714418118885626</x:v>
      </x:c>
      <x:c r="L179" s="80" t="n">
        <x:f>MAX(0,K179*'Inputs'!$E$44)</x:f>
        <x:v>0</x:v>
      </x:c>
      <x:c r="M179" s="80" t="n">
        <x:f>MAX(0,-K179*'Inputs'!$E$44)</x:f>
        <x:v>0.008142883623777126</x:v>
      </x:c>
      <x:c r="N179" s="78" t="n">
        <x:f>H179*(L179*(1-'Inputs'!$B$15))/(I179+L179*(1-'Inputs'!$B$15))</x:f>
        <x:v>0</x:v>
      </x:c>
      <x:c r="O179" s="78" t="n">
        <x:f>H179-N179</x:f>
        <x:v>116406013395.59134</x:v>
      </x:c>
      <x:c r="P179" s="78" t="n">
        <x:f>I179+L179*(1-'Inputs'!$B$17)</x:f>
        <x:v>0.10178604529721405</x:v>
      </x:c>
      <x:c r="Q179" s="78" t="n">
        <x:f>IF(J179&gt;0,M179/J179,0)</x:f>
        <x:v>0</x:v>
      </x:c>
      <x:c r="R179" s="78" t="n">
        <x:f>IF(B179='Inputs'!$H$44,'Inputs'!$B$27*'Inputs'!$I$44,0)</x:f>
        <x:v>0</x:v>
      </x:c>
      <x:c r="S179" s="78" t="n">
        <x:f>Q179+G179+R179</x:f>
        <x:v>851248.5926064926</x:v>
      </x:c>
      <x:c r="T179" s="78" t="n">
        <x:f>P179*(S179*(1-'Inputs'!$B$15))/(O179+S179*(1-'Inputs'!$B$15))</x:f>
        <x:v>7.368876574686047e-7</x:v>
      </x:c>
      <x:c r="U179" s="78" t="n">
        <x:f>O179+S179*(1-'Inputs'!$B$17)</x:f>
        <x:v>116406861218.63629</x:v>
      </x:c>
      <x:c r="V179" s="78" t="n">
        <x:f>P179-T179</x:f>
        <x:v>0.10178530840955659</x:v>
      </x:c>
      <x:c r="W179" s="79" t="n">
        <x:f>IF(U179&gt;0,V179/U179,0)</x:f>
        <x:v>8.743926890905735e-13</x:v>
      </x:c>
      <x:c r="X179" s="80" t="n">
        <x:f>W179*('Inputs'!$B$6-AC179)</x:f>
        <x:v>-0.0003583740586213578</x:v>
      </x:c>
      <x:c r="Y179" s="80" t="n">
        <x:f>2*V179</x:f>
        <x:v>0.20357061681911318</x:v>
      </x:c>
      <x:c r="Z179" s="80" t="n">
        <x:f>K179*'Inputs'!$B$16+(G179+R179)*J179*'Inputs'!$B$16</x:f>
        <x:v>0.00024429097473144864</x:v>
      </x:c>
      <x:c r="AA179" s="80" t="n">
        <x:f>K179*(1+'Inputs'!$E$44)/2*'Inputs'!$B$17</x:f>
        <x:v>0.00006553628671047989</x:v>
      </x:c>
      <x:c r="AB179" s="78" t="n">
        <x:f>(IF(J179&gt;0,K179*(1-'Inputs'!$E$44)/2/J179,0)+G179+R179)*'Inputs'!$B$17</x:f>
        <x:v>3425.5476563641555</x:v>
      </x:c>
      <x:c r="AC179" s="78" t="n">
        <x:f>AC178+AB179</x:f>
        <x:v>1409854820.4858513</x:v>
      </x:c>
      <x:c r="AD179" s="80" t="n">
        <x:f>Z179/(1+'Inputs'!$C$44)</x:f>
        <x:v>0.0001954327797851589</x:v>
      </x:c>
      <x:c r="AE179" s="80" t="n">
        <x:f>Z179-AD179</x:f>
        <x:v>0.00004885819494628973</x:v>
      </x:c>
      <x:c r="AF179" s="80" t="n">
        <x:f>D179*W179</x:f>
        <x:v>2.4542823674018424e-7</x:v>
      </x:c>
      <x:c r="AG179" s="80" t="n">
        <x:f>C179*W179</x:f>
        <x:v>5.726658857270835e-7</x:v>
      </x:c>
      <x:c r="AH179" s="80" t="n">
        <x:f>2*'Inputs'!$B$8*'Inputs'!$C$44</x:f>
        <x:v>1250</x:v>
      </x:c>
      <x:c r="AI179" s="81" t="n">
        <x:f>IF(AH179&gt;0,(AE179+AF179)/AH179*365,0)</x:f>
        <x:v>0.000014338257969444733</x:v>
      </x:c>
      <x:c r="AJ179" s="81" t="n">
        <x:f>IF('Inputs'!$B$44&gt;0,AG179/('Inputs'!$B$19*'Inputs'!$B$44)*365,0)</x:f>
        <x:v>2.0902304829038548e-8</x:v>
      </x:c>
      <x:c r="AK179" s="81" t="n">
        <x:f>W179/MAX($W$4:W179)-1</x:f>
        <x:v>-0.9999999987150135</x:v>
      </x:c>
      <x:c r="AL179" s="83" t="n">
        <x:f>'Inputs'!$B$44</x:f>
        <x:v>1</x:v>
      </x:c>
      <x:c r="AM179" s="83" t="n">
        <x:f>'Inputs'!$C$44</x:f>
        <x:v>0.25</x:v>
      </x:c>
      <x:c r="AN179" s="83" t="n">
        <x:f>'Inputs'!$D$44</x:f>
        <x:v>0.2</x:v>
      </x:c>
      <x:c r="AO179" s="81" t="n">
        <x:f>'Inputs'!$E$44</x:f>
        <x:v>-0.2</x:v>
      </x:c>
    </x:row>
    <x:row r="180">
      <x:c r="A180" s="59" t="str">
        <x:v>No demand</x:v>
      </x:c>
      <x:c r="B180" s="59" t="n">
        <x:v>177</x:v>
      </x:c>
      <x:c r="C180" s="78" t="n">
        <x:f>(('Inputs'!$B$29*(3*177*'Inputs'!$B$12-177^2)/(2*'Inputs'!$B$12^2))-('Inputs'!$B$29*(3*176*'Inputs'!$B$12-176^2)/(2*'Inputs'!$B$12^2)))*'Inputs'!$B$44</x:f>
        <x:v>654604.7569900602</x:v>
      </x:c>
      <x:c r="D180" s="78" t="n">
        <x:f>IF('Inputs'!$C$44&gt;0,('Inputs'!$B$30*(3*177*'Inputs'!$B$12-177^2)/(2*'Inputs'!$B$12^2))-('Inputs'!$B$30*(3*176*'Inputs'!$B$12-176^2)/(2*'Inputs'!$B$12^2)),0)</x:f>
        <x:v>280544.8958528787</x:v>
      </x:c>
      <x:c r="E180" s="78" t="n">
        <x:f>C180+D180</x:f>
        <x:v>935149.6528429389</x:v>
      </x:c>
      <x:c r="F180" s="78" t="n">
        <x:f>'Inputs'!$B$13*E180+(1-'Inputs'!$B$13)/'Inputs'!$B$14*SUM(E125:E180)</x:f>
        <x:v>945367.3297053867</x:v>
      </x:c>
      <x:c r="G180" s="78" t="n">
        <x:f>F180*'Inputs'!$F$44</x:f>
        <x:v>850830.596734848</x:v>
      </x:c>
      <x:c r="H180" s="78" t="n">
        <x:f>U179</x:f>
        <x:v>116406861218.63629</x:v>
      </x:c>
      <x:c r="I180" s="78" t="n">
        <x:f>V179</x:f>
        <x:v>0.10178530840955659</x:v>
      </x:c>
      <x:c r="J180" s="79" t="n">
        <x:f>IF(H180&gt;0,I180/H180,0)</x:f>
        <x:v>8.743926890905735e-13</x:v>
      </x:c>
      <x:c r="K180" s="80" t="n">
        <x:f>(H180*J180+I180)*'Inputs'!$D$44*(1+'Inputs'!$G$44)^(B180/30)</x:f>
        <x:v>0.04071412336382264</x:v>
      </x:c>
      <x:c r="L180" s="80" t="n">
        <x:f>MAX(0,K180*'Inputs'!$E$44)</x:f>
        <x:v>0</x:v>
      </x:c>
      <x:c r="M180" s="80" t="n">
        <x:f>MAX(0,-K180*'Inputs'!$E$44)</x:f>
        <x:v>0.008142824672764528</x:v>
      </x:c>
      <x:c r="N180" s="78" t="n">
        <x:f>H180*(L180*(1-'Inputs'!$B$15))/(I180+L180*(1-'Inputs'!$B$15))</x:f>
        <x:v>0</x:v>
      </x:c>
      <x:c r="O180" s="78" t="n">
        <x:f>H180-N180</x:f>
        <x:v>116406861218.63629</x:v>
      </x:c>
      <x:c r="P180" s="78" t="n">
        <x:f>I180+L180*(1-'Inputs'!$B$17)</x:f>
        <x:v>0.10178530840955659</x:v>
      </x:c>
      <x:c r="Q180" s="78" t="n">
        <x:f>IF(J180&gt;0,M180/J180,0)</x:f>
        <x:v>0</x:v>
      </x:c>
      <x:c r="R180" s="78" t="n">
        <x:f>IF(B180='Inputs'!$H$44,'Inputs'!$B$27*'Inputs'!$I$44,0)</x:f>
        <x:v>0</x:v>
      </x:c>
      <x:c r="S180" s="78" t="n">
        <x:f>Q180+G180+R180</x:f>
        <x:v>850830.596734848</x:v>
      </x:c>
      <x:c r="T180" s="78" t="n">
        <x:f>P180*(S180*(1-'Inputs'!$B$15))/(O180+S180*(1-'Inputs'!$B$15))</x:f>
        <x:v>7.365151234675009e-7</x:v>
      </x:c>
      <x:c r="U180" s="78" t="n">
        <x:f>O180+S180*(1-'Inputs'!$B$17)</x:f>
        <x:v>116407708625.36745</x:v>
      </x:c>
      <x:c r="V180" s="78" t="n">
        <x:f>P180-T180</x:f>
        <x:v>0.10178457189443312</x:v>
      </x:c>
      <x:c r="W180" s="79" t="n">
        <x:f>IF(U180&gt;0,V180/U180,0)</x:f>
        <x:v>8.743799967921741e-13</x:v>
      </x:c>
      <x:c r="X180" s="80" t="n">
        <x:f>W180*('Inputs'!$B$6-AC180)</x:f>
        <x:v>-0.00035837185038125084</x:v>
      </x:c>
      <x:c r="Y180" s="80" t="n">
        <x:f>2*V180</x:f>
        <x:v>0.20356914378886623</x:v>
      </x:c>
      <x:c r="Z180" s="80" t="n">
        <x:f>K180*'Inputs'!$B$16+(G180+R180)*J180*'Inputs'!$B$16</x:f>
        <x:v>0.00024428920394325645</x:v>
      </x:c>
      <x:c r="AA180" s="80" t="n">
        <x:f>K180*(1+'Inputs'!$E$44)/2*'Inputs'!$B$17</x:f>
        <x:v>0.00006553581225565013</x:v>
      </x:c>
      <x:c r="AB180" s="78" t="n">
        <x:f>(IF(J180&gt;0,K180*(1-'Inputs'!$E$44)/2/J180,0)+G180+R180)*'Inputs'!$B$17</x:f>
        <x:v>3423.865580421924</x:v>
      </x:c>
      <x:c r="AC180" s="78" t="n">
        <x:f>AC179+AB180</x:f>
        <x:v>1409858244.3514316</x:v>
      </x:c>
      <x:c r="AD180" s="80" t="n">
        <x:f>Z180/(1+'Inputs'!$C$44)</x:f>
        <x:v>0.00019543136315460516</x:v>
      </x:c>
      <x:c r="AE180" s="80" t="n">
        <x:f>Z180-AD180</x:f>
        <x:v>0.00004885784078865129</x:v>
      </x:c>
      <x:c r="AF180" s="80" t="n">
        <x:f>D180*W180</x:f>
        <x:v>2.453028451359009e-7</x:v>
      </x:c>
      <x:c r="AG180" s="80" t="n">
        <x:f>C180*W180</x:f>
        <x:v>5.723733053171108e-7</x:v>
      </x:c>
      <x:c r="AH180" s="80" t="n">
        <x:f>2*'Inputs'!$B$8*'Inputs'!$C$44</x:f>
        <x:v>1250</x:v>
      </x:c>
      <x:c r="AI180" s="81" t="n">
        <x:f>IF(AH180&gt;0,(AE180+AF180)/AH180*365,0)</x:f>
        <x:v>0.00001433811794106586</x:v>
      </x:c>
      <x:c r="AJ180" s="81" t="n">
        <x:f>IF('Inputs'!$B$44&gt;0,AG180/('Inputs'!$B$19*'Inputs'!$B$44)*365,0)</x:f>
        <x:v>2.089162564407454e-8</x:v>
      </x:c>
      <x:c r="AK180" s="81" t="n">
        <x:f>W180/MAX($W$4:W180)-1</x:f>
        <x:v>-0.9999999987150322</x:v>
      </x:c>
      <x:c r="AL180" s="83" t="n">
        <x:f>'Inputs'!$B$44</x:f>
        <x:v>1</x:v>
      </x:c>
      <x:c r="AM180" s="83" t="n">
        <x:f>'Inputs'!$C$44</x:f>
        <x:v>0.25</x:v>
      </x:c>
      <x:c r="AN180" s="83" t="n">
        <x:f>'Inputs'!$D$44</x:f>
        <x:v>0.2</x:v>
      </x:c>
      <x:c r="AO180" s="81" t="n">
        <x:f>'Inputs'!$E$44</x:f>
        <x:v>-0.2</x:v>
      </x:c>
    </x:row>
    <x:row r="181">
      <x:c r="A181" s="59" t="str">
        <x:v>No demand</x:v>
      </x:c>
      <x:c r="B181" s="59" t="n">
        <x:v>178</x:v>
      </x:c>
      <x:c r="C181" s="78" t="n">
        <x:f>(('Inputs'!$B$29*(3*178*'Inputs'!$B$12-178^2)/(2*'Inputs'!$B$12^2))-('Inputs'!$B$29*(3*177*'Inputs'!$B$12-177^2)/(2*'Inputs'!$B$12^2)))*'Inputs'!$B$44</x:f>
        <x:v>654279.6490898877</x:v>
      </x:c>
      <x:c r="D181" s="78" t="n">
        <x:f>IF('Inputs'!$C$44&gt;0,('Inputs'!$B$30*(3*178*'Inputs'!$B$12-178^2)/(2*'Inputs'!$B$12^2))-('Inputs'!$B$30*(3*177*'Inputs'!$B$12-177^2)/(2*'Inputs'!$B$12^2)),0)</x:f>
        <x:v>280405.5638956651</x:v>
      </x:c>
      <x:c r="E181" s="78" t="n">
        <x:f>C181+D181</x:f>
        <x:v>934685.2129855528</x:v>
      </x:c>
      <x:c r="F181" s="78" t="n">
        <x:f>'Inputs'!$B$13*E181+(1-'Inputs'!$B$13)/'Inputs'!$B$14*SUM(E126:E181)</x:f>
        <x:v>944902.889848002</x:v>
      </x:c>
      <x:c r="G181" s="78" t="n">
        <x:f>F181*'Inputs'!$F$44</x:f>
        <x:v>850412.6008632018</x:v>
      </x:c>
      <x:c r="H181" s="78" t="n">
        <x:f>U180</x:f>
        <x:v>116407708625.36745</x:v>
      </x:c>
      <x:c r="I181" s="78" t="n">
        <x:f>V180</x:f>
        <x:v>0.10178457189443312</x:v>
      </x:c>
      <x:c r="J181" s="79" t="n">
        <x:f>IF(H181&gt;0,I181/H181,0)</x:f>
        <x:v>8.743799967921741e-13</x:v>
      </x:c>
      <x:c r="K181" s="80" t="n">
        <x:f>(H181*J181+I181)*'Inputs'!$D$44*(1+'Inputs'!$G$44)^(B181/30)</x:f>
        <x:v>0.04071382875777325</x:v>
      </x:c>
      <x:c r="L181" s="80" t="n">
        <x:f>MAX(0,K181*'Inputs'!$E$44)</x:f>
        <x:v>0</x:v>
      </x:c>
      <x:c r="M181" s="80" t="n">
        <x:f>MAX(0,-K181*'Inputs'!$E$44)</x:f>
        <x:v>0.00814276575155465</x:v>
      </x:c>
      <x:c r="N181" s="78" t="n">
        <x:f>H181*(L181*(1-'Inputs'!$B$15))/(I181+L181*(1-'Inputs'!$B$15))</x:f>
        <x:v>0</x:v>
      </x:c>
      <x:c r="O181" s="78" t="n">
        <x:f>H181-N181</x:f>
        <x:v>116407708625.36745</x:v>
      </x:c>
      <x:c r="P181" s="78" t="n">
        <x:f>I181+L181*(1-'Inputs'!$B$17)</x:f>
        <x:v>0.10178457189443312</x:v>
      </x:c>
      <x:c r="Q181" s="78" t="n">
        <x:f>IF(J181&gt;0,M181/J181,0)</x:f>
        <x:v>0</x:v>
      </x:c>
      <x:c r="R181" s="78" t="n">
        <x:f>IF(B181='Inputs'!$H$44,'Inputs'!$B$27*'Inputs'!$I$44,0)</x:f>
        <x:v>0</x:v>
      </x:c>
      <x:c r="S181" s="78" t="n">
        <x:f>Q181+G181+R181</x:f>
        <x:v>850412.6008632018</x:v>
      </x:c>
      <x:c r="T181" s="78" t="n">
        <x:f>P181*(S181*(1-'Inputs'!$B$15))/(O181+S181*(1-'Inputs'!$B$15))</x:f>
        <x:v>7.361426054562438e-7</x:v>
      </x:c>
      <x:c r="U181" s="78" t="n">
        <x:f>O181+S181*(1-'Inputs'!$B$17)</x:f>
        <x:v>116408555615.7848</x:v>
      </x:c>
      <x:c r="V181" s="78" t="n">
        <x:f>P181-T181</x:f>
        <x:v>0.10178383575182766</x:v>
      </x:c>
      <x:c r="W181" s="79" t="n">
        <x:f>IF(U181&gt;0,V181/U181,0)</x:f>
        <x:v>8.743673110056692e-13</x:v>
      </x:c>
      <x:c r="X181" s="80" t="n">
        <x:f>W181*('Inputs'!$B$6-AC181)</x:f>
        <x:v>-0.00035836964325245443</x:v>
      </x:c>
      <x:c r="Y181" s="80" t="n">
        <x:f>2*V181</x:f>
        <x:v>0.20356767150365532</x:v>
      </x:c>
      <x:c r="Z181" s="80" t="n">
        <x:f>K181*'Inputs'!$B$16+(G181+R181)*J181*'Inputs'!$B$16</x:f>
        <x:v>0.00024428743404924277</x:v>
      </x:c>
      <x:c r="AA181" s="80" t="n">
        <x:f>K181*(1+'Inputs'!$E$44)/2*'Inputs'!$B$17</x:f>
        <x:v>0.00006553533804068129</x:v>
      </x:c>
      <x:c r="AB181" s="78" t="n">
        <x:f>(IF(J181&gt;0,K181*(1-'Inputs'!$E$44)/2/J181,0)+G181+R181)*'Inputs'!$B$17</x:f>
        <x:v>3422.1835044796853</x:v>
      </x:c>
      <x:c r="AC181" s="78" t="n">
        <x:f>AC180+AB181</x:f>
        <x:v>1409861666.5349362</x:v>
      </x:c>
      <x:c r="AD181" s="80" t="n">
        <x:f>Z181/(1+'Inputs'!$C$44)</x:f>
        <x:v>0.0001954299472393942</x:v>
      </x:c>
      <x:c r="AE181" s="80" t="n">
        <x:f>Z181-AD181</x:f>
        <x:v>0.00004885748680984856</x:v>
      </x:c>
      <x:c r="AF181" s="80" t="n">
        <x:f>D181*W181</x:f>
        <x:v>2.4517745889448105e-7</x:v>
      </x:c>
      <x:c r="AG181" s="80" t="n">
        <x:f>C181*W181</x:f>
        <x:v>5.72080737420458e-7</x:v>
      </x:c>
      <x:c r="AH181" s="80" t="n">
        <x:f>2*'Inputs'!$B$8*'Inputs'!$C$44</x:f>
        <x:v>1250</x:v>
      </x:c>
      <x:c r="AI181" s="81" t="n">
        <x:f>IF(AH181&gt;0,(AE181+AF181)/AH181*365,0)</x:f>
        <x:v>0.000014337977966472966</x:v>
      </x:c>
      <x:c r="AJ181" s="81" t="n">
        <x:f>IF('Inputs'!$B$44&gt;0,AG181/('Inputs'!$B$19*'Inputs'!$B$44)*365,0)</x:f>
        <x:v>2.0880946915846717e-8</x:v>
      </x:c>
      <x:c r="AK181" s="81" t="n">
        <x:f>W181/MAX($W$4:W181)-1</x:f>
        <x:v>-0.9999999987150509</x:v>
      </x:c>
      <x:c r="AL181" s="83" t="n">
        <x:f>'Inputs'!$B$44</x:f>
        <x:v>1</x:v>
      </x:c>
      <x:c r="AM181" s="83" t="n">
        <x:f>'Inputs'!$C$44</x:f>
        <x:v>0.25</x:v>
      </x:c>
      <x:c r="AN181" s="83" t="n">
        <x:f>'Inputs'!$D$44</x:f>
        <x:v>0.2</x:v>
      </x:c>
      <x:c r="AO181" s="81" t="n">
        <x:f>'Inputs'!$E$44</x:f>
        <x:v>-0.2</x:v>
      </x:c>
    </x:row>
    <x:row r="182">
      <x:c r="A182" s="59" t="str">
        <x:v>No demand</x:v>
      </x:c>
      <x:c r="B182" s="59" t="n">
        <x:v>179</x:v>
      </x:c>
      <x:c r="C182" s="78" t="n">
        <x:f>(('Inputs'!$B$29*(3*179*'Inputs'!$B$12-179^2)/(2*'Inputs'!$B$12^2))-('Inputs'!$B$29*(3*178*'Inputs'!$B$12-178^2)/(2*'Inputs'!$B$12^2)))*'Inputs'!$B$44</x:f>
        <x:v>653954.5411897153</x:v>
      </x:c>
      <x:c r="D182" s="78" t="n">
        <x:f>IF('Inputs'!$C$44&gt;0,('Inputs'!$B$30*(3*179*'Inputs'!$B$12-179^2)/(2*'Inputs'!$B$12^2))-('Inputs'!$B$30*(3*178*'Inputs'!$B$12-178^2)/(2*'Inputs'!$B$12^2)),0)</x:f>
        <x:v>280266.2319384515</x:v>
      </x:c>
      <x:c r="E182" s="78" t="n">
        <x:f>C182+D182</x:f>
        <x:v>934220.7731281668</x:v>
      </x:c>
      <x:c r="F182" s="78" t="n">
        <x:f>'Inputs'!$B$13*E182+(1-'Inputs'!$B$13)/'Inputs'!$B$14*SUM(E127:E182)</x:f>
        <x:v>944438.4499906176</x:v>
      </x:c>
      <x:c r="G182" s="78" t="n">
        <x:f>F182*'Inputs'!$F$44</x:f>
        <x:v>849994.6049915558</x:v>
      </x:c>
      <x:c r="H182" s="78" t="n">
        <x:f>U181</x:f>
        <x:v>116408555615.7848</x:v>
      </x:c>
      <x:c r="I182" s="78" t="n">
        <x:f>V181</x:f>
        <x:v>0.10178383575182766</x:v>
      </x:c>
      <x:c r="J182" s="79" t="n">
        <x:f>IF(H182&gt;0,I182/H182,0)</x:f>
        <x:v>8.743673110056692e-13</x:v>
      </x:c>
      <x:c r="K182" s="80" t="n">
        <x:f>(H182*J182+I182)*'Inputs'!$D$44*(1+'Inputs'!$G$44)^(B182/30)</x:f>
        <x:v>0.04071353430073107</x:v>
      </x:c>
      <x:c r="L182" s="80" t="n">
        <x:f>MAX(0,K182*'Inputs'!$E$44)</x:f>
        <x:v>0</x:v>
      </x:c>
      <x:c r="M182" s="80" t="n">
        <x:f>MAX(0,-K182*'Inputs'!$E$44)</x:f>
        <x:v>0.008142706860146214</x:v>
      </x:c>
      <x:c r="N182" s="78" t="n">
        <x:f>H182*(L182*(1-'Inputs'!$B$15))/(I182+L182*(1-'Inputs'!$B$15))</x:f>
        <x:v>0</x:v>
      </x:c>
      <x:c r="O182" s="78" t="n">
        <x:f>H182-N182</x:f>
        <x:v>116408555615.7848</x:v>
      </x:c>
      <x:c r="P182" s="78" t="n">
        <x:f>I182+L182*(1-'Inputs'!$B$17)</x:f>
        <x:v>0.10178383575182766</x:v>
      </x:c>
      <x:c r="Q182" s="78" t="n">
        <x:f>IF(J182&gt;0,M182/J182,0)</x:f>
        <x:v>0</x:v>
      </x:c>
      <x:c r="R182" s="78" t="n">
        <x:f>IF(B182='Inputs'!$H$44,'Inputs'!$B$27*'Inputs'!$I$44,0)</x:f>
        <x:v>0</x:v>
      </x:c>
      <x:c r="S182" s="78" t="n">
        <x:f>Q182+G182+R182</x:f>
        <x:v>849994.6049915558</x:v>
      </x:c>
      <x:c r="T182" s="78" t="n">
        <x:f>P182*(S182*(1-'Inputs'!$B$15))/(O182+S182*(1-'Inputs'!$B$15))</x:f>
        <x:v>7.357701034264008e-7</x:v>
      </x:c>
      <x:c r="U182" s="78" t="n">
        <x:f>O182+S182*(1-'Inputs'!$B$17)</x:f>
        <x:v>116409402189.88837</x:v>
      </x:c>
      <x:c r="V182" s="78" t="n">
        <x:f>P182-T182</x:f>
        <x:v>0.10178309998172423</x:v>
      </x:c>
      <x:c r="W182" s="79" t="n">
        <x:f>IF(U182&gt;0,V182/U182,0)</x:f>
        <x:v>8.743546317306437e-13</x:v>
      </x:c>
      <x:c r="X182" s="80" t="n">
        <x:f>W182*('Inputs'!$B$6-AC182)</x:f>
        <x:v>-0.000358367437234929</x:v>
      </x:c>
      <x:c r="Y182" s="80" t="n">
        <x:f>2*V182</x:f>
        <x:v>0.20356619996344846</x:v>
      </x:c>
      <x:c r="Z182" s="80" t="n">
        <x:f>K182*'Inputs'!$B$16+(G182+R182)*J182*'Inputs'!$B$16</x:f>
        <x:v>0.0002442856650493692</x:v>
      </x:c>
      <x:c r="AA182" s="80" t="n">
        <x:f>K182*(1+'Inputs'!$E$44)/2*'Inputs'!$B$17</x:f>
        <x:v>0.0000655348640655631</x:v>
      </x:c>
      <x:c r="AB182" s="78" t="n">
        <x:f>(IF(J182&gt;0,K182*(1-'Inputs'!$E$44)/2/J182,0)+G182+R182)*'Inputs'!$B$17</x:f>
        <x:v>3420.501428537448</x:v>
      </x:c>
      <x:c r="AC182" s="78" t="n">
        <x:f>AC181+AB182</x:f>
        <x:v>1409865087.0363648</x:v>
      </x:c>
      <x:c r="AD182" s="80" t="n">
        <x:f>Z182/(1+'Inputs'!$C$44)</x:f>
        <x:v>0.00019542853203949537</x:v>
      </x:c>
      <x:c r="AE182" s="80" t="n">
        <x:f>Z182-AD182</x:f>
        <x:v>0.000048857133009873836</x:v>
      </x:c>
      <x:c r="AF182" s="80" t="n">
        <x:f>D182*W182</x:f>
        <x:v>2.4505207801307994e-7</x:v>
      </x:c>
      <x:c r="AG182" s="80" t="n">
        <x:f>C182*W182</x:f>
        <x:v>5.717881820305155e-7</x:v>
      </x:c>
      <x:c r="AH182" s="80" t="n">
        <x:f>2*'Inputs'!$B$8*'Inputs'!$C$44</x:f>
        <x:v>1250</x:v>
      </x:c>
      <x:c r="AI182" s="81" t="n">
        <x:f>IF(AH182&gt;0,(AE182+AF182)/AH182*365,0)</x:f>
        <x:v>0.00001433783804566298</x:v>
      </x:c>
      <x:c r="AJ182" s="81" t="n">
        <x:f>IF('Inputs'!$B$44&gt;0,AG182/('Inputs'!$B$19*'Inputs'!$B$44)*365,0)</x:f>
        <x:v>2.0870268644113817e-8</x:v>
      </x:c>
      <x:c r="AK182" s="81" t="n">
        <x:f>W182/MAX($W$4:W182)-1</x:f>
        <x:v>-0.9999999987150695</x:v>
      </x:c>
      <x:c r="AL182" s="83" t="n">
        <x:f>'Inputs'!$B$44</x:f>
        <x:v>1</x:v>
      </x:c>
      <x:c r="AM182" s="83" t="n">
        <x:f>'Inputs'!$C$44</x:f>
        <x:v>0.25</x:v>
      </x:c>
      <x:c r="AN182" s="83" t="n">
        <x:f>'Inputs'!$D$44</x:f>
        <x:v>0.2</x:v>
      </x:c>
      <x:c r="AO182" s="81" t="n">
        <x:f>'Inputs'!$E$44</x:f>
        <x:v>-0.2</x:v>
      </x:c>
    </x:row>
    <x:row r="183">
      <x:c r="A183" s="59" t="str">
        <x:v>No demand</x:v>
      </x:c>
      <x:c r="B183" s="59" t="n">
        <x:v>180</x:v>
      </x:c>
      <x:c r="C183" s="78" t="n">
        <x:f>(('Inputs'!$B$29*(3*180*'Inputs'!$B$12-180^2)/(2*'Inputs'!$B$12^2))-('Inputs'!$B$29*(3*179*'Inputs'!$B$12-179^2)/(2*'Inputs'!$B$12^2)))*'Inputs'!$B$44</x:f>
        <x:v>653629.4332895428</x:v>
      </x:c>
      <x:c r="D183" s="78" t="n">
        <x:f>IF('Inputs'!$C$44&gt;0,('Inputs'!$B$30*(3*180*'Inputs'!$B$12-180^2)/(2*'Inputs'!$B$12^2))-('Inputs'!$B$30*(3*179*'Inputs'!$B$12-179^2)/(2*'Inputs'!$B$12^2)),0)</x:f>
        <x:v>280126.8999812305</x:v>
      </x:c>
      <x:c r="E183" s="78" t="n">
        <x:f>C183+D183</x:f>
        <x:v>933756.3332707733</x:v>
      </x:c>
      <x:c r="F183" s="78" t="n">
        <x:f>'Inputs'!$B$13*E183+(1-'Inputs'!$B$13)/'Inputs'!$B$14*SUM(E128:E183)</x:f>
        <x:v>943974.0101332314</x:v>
      </x:c>
      <x:c r="G183" s="78" t="n">
        <x:f>F183*'Inputs'!$F$44</x:f>
        <x:v>849576.6091199083</x:v>
      </x:c>
      <x:c r="H183" s="78" t="n">
        <x:f>U182</x:f>
        <x:v>116409402189.88837</x:v>
      </x:c>
      <x:c r="I183" s="78" t="n">
        <x:f>V182</x:f>
        <x:v>0.10178309998172423</x:v>
      </x:c>
      <x:c r="J183" s="79" t="n">
        <x:f>IF(H183&gt;0,I183/H183,0)</x:f>
        <x:v>8.743546317306437e-13</x:v>
      </x:c>
      <x:c r="K183" s="80" t="n">
        <x:f>(H183*J183+I183)*'Inputs'!$D$44*(1+'Inputs'!$G$44)^(B183/30)</x:f>
        <x:v>0.04071323999268969</x:v>
      </x:c>
      <x:c r="L183" s="80" t="n">
        <x:f>MAX(0,K183*'Inputs'!$E$44)</x:f>
        <x:v>0</x:v>
      </x:c>
      <x:c r="M183" s="80" t="n">
        <x:f>MAX(0,-K183*'Inputs'!$E$44)</x:f>
        <x:v>0.00814264799853794</x:v>
      </x:c>
      <x:c r="N183" s="78" t="n">
        <x:f>H183*(L183*(1-'Inputs'!$B$15))/(I183+L183*(1-'Inputs'!$B$15))</x:f>
        <x:v>0</x:v>
      </x:c>
      <x:c r="O183" s="78" t="n">
        <x:f>H183-N183</x:f>
        <x:v>116409402189.88837</x:v>
      </x:c>
      <x:c r="P183" s="78" t="n">
        <x:f>I183+L183*(1-'Inputs'!$B$17)</x:f>
        <x:v>0.10178309998172423</x:v>
      </x:c>
      <x:c r="Q183" s="78" t="n">
        <x:f>IF(J183&gt;0,M183/J183,0)</x:f>
        <x:v>0</x:v>
      </x:c>
      <x:c r="R183" s="78" t="n">
        <x:f>IF(B183='Inputs'!$H$44,'Inputs'!$B$27*'Inputs'!$I$44,0)</x:f>
        <x:v>0</x:v>
      </x:c>
      <x:c r="S183" s="78" t="n">
        <x:f>Q183+G183+R183</x:f>
        <x:v>849576.6091199083</x:v>
      </x:c>
      <x:c r="T183" s="78" t="n">
        <x:f>P183*(S183*(1-'Inputs'!$B$15))/(O183+S183*(1-'Inputs'!$B$15))</x:f>
        <x:v>7.353976173695367e-7</x:v>
      </x:c>
      <x:c r="U183" s="78" t="n">
        <x:f>O183+S183*(1-'Inputs'!$B$17)</x:f>
        <x:v>116410248347.67813</x:v>
      </x:c>
      <x:c r="V183" s="78" t="n">
        <x:f>P183-T183</x:f>
        <x:v>0.10178236458410686</x:v>
      </x:c>
      <x:c r="W183" s="79" t="n">
        <x:f>IF(U183&gt;0,V183/U183,0)</x:f>
        <x:v>8.743419589666821e-13</x:v>
      </x:c>
      <x:c r="X183" s="80" t="n">
        <x:f>W183*('Inputs'!$B$6-AC183)</x:f>
        <x:v>-0.000358365232328635</x:v>
      </x:c>
      <x:c r="Y183" s="80" t="n">
        <x:f>2*V183</x:f>
        <x:v>0.20356472916821372</x:v>
      </x:c>
      <x:c r="Z183" s="80" t="n">
        <x:f>K183*'Inputs'!$B$16+(G183+R183)*J183*'Inputs'!$B$16</x:f>
        <x:v>0.00024428389694359734</x:v>
      </x:c>
      <x:c r="AA183" s="80" t="n">
        <x:f>K183*(1+'Inputs'!$E$44)/2*'Inputs'!$B$17</x:f>
        <x:v>0.00006553439033028522</x:v>
      </x:c>
      <x:c r="AB183" s="78" t="n">
        <x:f>(IF(J183&gt;0,K183*(1-'Inputs'!$E$44)/2/J183,0)+G183+R183)*'Inputs'!$B$17</x:f>
        <x:v>3418.8193525952047</x:v>
      </x:c>
      <x:c r="AC183" s="78" t="n">
        <x:f>AC182+AB183</x:f>
        <x:v>1409868505.8557174</x:v>
      </x:c>
      <x:c r="AD183" s="80" t="n">
        <x:f>Z183/(1+'Inputs'!$C$44)</x:f>
        <x:v>0.00019542711755487786</x:v>
      </x:c>
      <x:c r="AE183" s="80" t="n">
        <x:f>Z183-AD183</x:f>
        <x:v>0.00004885677938871948</x:v>
      </x:c>
      <x:c r="AF183" s="80" t="n">
        <x:f>D183*W183</x:f>
        <x:v>2.449267024888529e-7</x:v>
      </x:c>
      <x:c r="AG183" s="80" t="n">
        <x:f>C183*W183</x:f>
        <x:v>5.714956391406611e-7</x:v>
      </x:c>
      <x:c r="AH183" s="80" t="n">
        <x:f>2*'Inputs'!$B$8*'Inputs'!$C$44</x:f>
        <x:v>1250</x:v>
      </x:c>
      <x:c r="AI183" s="81" t="n">
        <x:f>IF(AH183&gt;0,(AE183+AF183)/AH183*365,0)</x:f>
        <x:v>0.000014337698178632833</x:v>
      </x:c>
      <x:c r="AJ183" s="81" t="n">
        <x:f>IF('Inputs'!$B$44&gt;0,AG183/('Inputs'!$B$19*'Inputs'!$B$44)*365,0)</x:f>
        <x:v>2.085959082863413e-8</x:v>
      </x:c>
      <x:c r="AK183" s="81" t="n">
        <x:f>W183/MAX($W$4:W183)-1</x:f>
        <x:v>-0.999999998715088</x:v>
      </x:c>
      <x:c r="AL183" s="83" t="n">
        <x:f>'Inputs'!$B$44</x:f>
        <x:v>1</x:v>
      </x:c>
      <x:c r="AM183" s="83" t="n">
        <x:f>'Inputs'!$C$44</x:f>
        <x:v>0.25</x:v>
      </x:c>
      <x:c r="AN183" s="83" t="n">
        <x:f>'Inputs'!$D$44</x:f>
        <x:v>0.2</x:v>
      </x:c>
      <x:c r="AO183" s="81" t="n">
        <x:f>'Inputs'!$E$44</x:f>
        <x:v>-0.2</x:v>
      </x:c>
    </x:row>
    <x:row r="184">
      <x:c r="A184" s="59" t="str">
        <x:v>No demand</x:v>
      </x:c>
      <x:c r="B184" s="59" t="n">
        <x:v>181</x:v>
      </x:c>
      <x:c r="C184" s="78" t="n">
        <x:f>(('Inputs'!$B$29*(3*181*'Inputs'!$B$12-181^2)/(2*'Inputs'!$B$12^2))-('Inputs'!$B$29*(3*180*'Inputs'!$B$12-180^2)/(2*'Inputs'!$B$12^2)))*'Inputs'!$B$44</x:f>
        <x:v>653304.3253893852</x:v>
      </x:c>
      <x:c r="D184" s="78" t="n">
        <x:f>IF('Inputs'!$C$44&gt;0,('Inputs'!$B$30*(3*181*'Inputs'!$B$12-181^2)/(2*'Inputs'!$B$12^2))-('Inputs'!$B$30*(3*180*'Inputs'!$B$12-180^2)/(2*'Inputs'!$B$12^2)),0)</x:f>
        <x:v>279987.56802402437</x:v>
      </x:c>
      <x:c r="E184" s="78" t="n">
        <x:f>C184+D184</x:f>
        <x:v>933291.8934134096</x:v>
      </x:c>
      <x:c r="F184" s="78" t="n">
        <x:f>'Inputs'!$B$13*E184+(1-'Inputs'!$B$13)/'Inputs'!$B$14*SUM(E129:E184)</x:f>
        <x:v>943509.5702758515</x:v>
      </x:c>
      <x:c r="G184" s="78" t="n">
        <x:f>F184*'Inputs'!$F$44</x:f>
        <x:v>849158.6132482664</x:v>
      </x:c>
      <x:c r="H184" s="78" t="n">
        <x:f>U183</x:f>
        <x:v>116410248347.67813</x:v>
      </x:c>
      <x:c r="I184" s="78" t="n">
        <x:f>V183</x:f>
        <x:v>0.10178236458410686</x:v>
      </x:c>
      <x:c r="J184" s="79" t="n">
        <x:f>IF(H184&gt;0,I184/H184,0)</x:f>
        <x:v>8.743419589666821e-13</x:v>
      </x:c>
      <x:c r="K184" s="80" t="n">
        <x:f>(H184*J184+I184)*'Inputs'!$D$44*(1+'Inputs'!$G$44)^(B184/30)</x:f>
        <x:v>0.040712945833642745</x:v>
      </x:c>
      <x:c r="L184" s="80" t="n">
        <x:f>MAX(0,K184*'Inputs'!$E$44)</x:f>
        <x:v>0</x:v>
      </x:c>
      <x:c r="M184" s="80" t="n">
        <x:f>MAX(0,-K184*'Inputs'!$E$44)</x:f>
        <x:v>0.00814258916672855</x:v>
      </x:c>
      <x:c r="N184" s="78" t="n">
        <x:f>H184*(L184*(1-'Inputs'!$B$15))/(I184+L184*(1-'Inputs'!$B$15))</x:f>
        <x:v>0</x:v>
      </x:c>
      <x:c r="O184" s="78" t="n">
        <x:f>H184-N184</x:f>
        <x:v>116410248347.67813</x:v>
      </x:c>
      <x:c r="P184" s="78" t="n">
        <x:f>I184+L184*(1-'Inputs'!$B$17)</x:f>
        <x:v>0.10178236458410686</x:v>
      </x:c>
      <x:c r="Q184" s="78" t="n">
        <x:f>IF(J184&gt;0,M184/J184,0)</x:f>
        <x:v>0</x:v>
      </x:c>
      <x:c r="R184" s="78" t="n">
        <x:f>IF(B184='Inputs'!$H$44,'Inputs'!$B$27*'Inputs'!$I$44,0)</x:f>
        <x:v>0</x:v>
      </x:c>
      <x:c r="S184" s="78" t="n">
        <x:f>Q184+G184+R184</x:f>
        <x:v>849158.6132482664</x:v>
      </x:c>
      <x:c r="T184" s="78" t="n">
        <x:f>P184*(S184*(1-'Inputs'!$B$15))/(O184+S184*(1-'Inputs'!$B$15))</x:f>
        <x:v>7.350251472772257e-7</x:v>
      </x:c>
      <x:c r="U184" s="78" t="n">
        <x:f>O184+S184*(1-'Inputs'!$B$17)</x:f>
        <x:v>116411094089.1541</x:v>
      </x:c>
      <x:c r="V184" s="78" t="n">
        <x:f>P184-T184</x:f>
        <x:v>0.10178162955895959</x:v>
      </x:c>
      <x:c r="W184" s="79" t="n">
        <x:f>IF(U184&gt;0,V184/U184,0)</x:f>
        <x:v>8.743292927133693e-13</x:v>
      </x:c>
      <x:c r="X184" s="80" t="n">
        <x:f>W184*('Inputs'!$B$6-AC184)</x:f>
        <x:v>-0.00035836302853353306</x:v>
      </x:c>
      <x:c r="Y184" s="80" t="n">
        <x:f>2*V184</x:f>
        <x:v>0.20356325911791917</x:v>
      </x:c>
      <x:c r="Z184" s="80" t="n">
        <x:f>K184*'Inputs'!$B$16+(G184+R184)*J184*'Inputs'!$B$16</x:f>
        <x:v>0.00024428212973188877</x:v>
      </x:c>
      <x:c r="AA184" s="80" t="n">
        <x:f>K184*(1+'Inputs'!$E$44)/2*'Inputs'!$B$17</x:f>
        <x:v>0.00006553391683483743</x:v>
      </x:c>
      <x:c r="AB184" s="78" t="n">
        <x:f>(IF(J184&gt;0,K184*(1-'Inputs'!$E$44)/2/J184,0)+G184+R184)*'Inputs'!$B$17</x:f>
        <x:v>3417.137276652984</x:v>
      </x:c>
      <x:c r="AC184" s="78" t="n">
        <x:f>AC183+AB184</x:f>
        <x:v>1409871922.992994</x:v>
      </x:c>
      <x:c r="AD184" s="80" t="n">
        <x:f>Z184/(1+'Inputs'!$C$44)</x:f>
        <x:v>0.000195425703785511</x:v>
      </x:c>
      <x:c r="AE184" s="80" t="n">
        <x:f>Z184-AD184</x:f>
        <x:v>0.00004885642594637776</x:v>
      </x:c>
      <x:c r="AF184" s="80" t="n">
        <x:f>D184*W184</x:f>
        <x:v>2.448013323189816e-7</x:v>
      </x:c>
      <x:c r="AG184" s="80" t="n">
        <x:f>C184*W184</x:f>
        <x:v>5.71203108744286e-7</x:v>
      </x:c>
      <x:c r="AH184" s="80" t="n">
        <x:f>2*'Inputs'!$B$8*'Inputs'!$C$44</x:f>
        <x:v>1250</x:v>
      </x:c>
      <x:c r="AI184" s="81" t="n">
        <x:f>IF(AH184&gt;0,(AE184+AF184)/AH184*365,0)</x:f>
        <x:v>0.000014337558365379449</x:v>
      </x:c>
      <x:c r="AJ184" s="81" t="n">
        <x:f>IF('Inputs'!$B$44&gt;0,AG184/('Inputs'!$B$19*'Inputs'!$B$44)*365,0)</x:f>
        <x:v>2.084891346916644e-8</x:v>
      </x:c>
      <x:c r="AK184" s="81" t="n">
        <x:f>W184/MAX($W$4:W184)-1</x:f>
        <x:v>-0.9999999987151067</x:v>
      </x:c>
      <x:c r="AL184" s="83" t="n">
        <x:f>'Inputs'!$B$44</x:f>
        <x:v>1</x:v>
      </x:c>
      <x:c r="AM184" s="83" t="n">
        <x:f>'Inputs'!$C$44</x:f>
        <x:v>0.25</x:v>
      </x:c>
      <x:c r="AN184" s="83" t="n">
        <x:f>'Inputs'!$D$44</x:f>
        <x:v>0.2</x:v>
      </x:c>
      <x:c r="AO184" s="81" t="n">
        <x:f>'Inputs'!$E$44</x:f>
        <x:v>-0.2</x:v>
      </x:c>
    </x:row>
    <x:row r="185">
      <x:c r="A185" s="59" t="str">
        <x:v>No demand</x:v>
      </x:c>
      <x:c r="B185" s="59" t="n">
        <x:v>182</x:v>
      </x:c>
      <x:c r="C185" s="78" t="n">
        <x:f>(('Inputs'!$B$29*(3*182*'Inputs'!$B$12-182^2)/(2*'Inputs'!$B$12^2))-('Inputs'!$B$29*(3*181*'Inputs'!$B$12-181^2)/(2*'Inputs'!$B$12^2)))*'Inputs'!$B$44</x:f>
        <x:v>652979.2174892128</x:v>
      </x:c>
      <x:c r="D185" s="78" t="n">
        <x:f>IF('Inputs'!$C$44&gt;0,('Inputs'!$B$30*(3*182*'Inputs'!$B$12-182^2)/(2*'Inputs'!$B$12^2))-('Inputs'!$B$30*(3*181*'Inputs'!$B$12-181^2)/(2*'Inputs'!$B$12^2)),0)</x:f>
        <x:v>279848.23606680334</x:v>
      </x:c>
      <x:c r="E185" s="78" t="n">
        <x:f>C185+D185</x:f>
        <x:v>932827.4535560161</x:v>
      </x:c>
      <x:c r="F185" s="78" t="n">
        <x:f>'Inputs'!$B$13*E185+(1-'Inputs'!$B$13)/'Inputs'!$B$14*SUM(E130:E185)</x:f>
        <x:v>943045.1304184655</x:v>
      </x:c>
      <x:c r="G185" s="78" t="n">
        <x:f>F185*'Inputs'!$F$44</x:f>
        <x:v>848740.6173766189</x:v>
      </x:c>
      <x:c r="H185" s="78" t="n">
        <x:f>U184</x:f>
        <x:v>116411094089.1541</x:v>
      </x:c>
      <x:c r="I185" s="78" t="n">
        <x:f>V184</x:f>
        <x:v>0.10178162955895959</x:v>
      </x:c>
      <x:c r="J185" s="79" t="n">
        <x:f>IF(H185&gt;0,I185/H185,0)</x:f>
        <x:v>8.743292927133693e-13</x:v>
      </x:c>
      <x:c r="K185" s="80" t="n">
        <x:f>(H185*J185+I185)*'Inputs'!$D$44*(1+'Inputs'!$G$44)^(B185/30)</x:f>
        <x:v>0.040712651823583836</x:v>
      </x:c>
      <x:c r="L185" s="80" t="n">
        <x:f>MAX(0,K185*'Inputs'!$E$44)</x:f>
        <x:v>0</x:v>
      </x:c>
      <x:c r="M185" s="80" t="n">
        <x:f>MAX(0,-K185*'Inputs'!$E$44)</x:f>
        <x:v>0.008142530364716767</x:v>
      </x:c>
      <x:c r="N185" s="78" t="n">
        <x:f>H185*(L185*(1-'Inputs'!$B$15))/(I185+L185*(1-'Inputs'!$B$15))</x:f>
        <x:v>0</x:v>
      </x:c>
      <x:c r="O185" s="78" t="n">
        <x:f>H185-N185</x:f>
        <x:v>116411094089.1541</x:v>
      </x:c>
      <x:c r="P185" s="78" t="n">
        <x:f>I185+L185*(1-'Inputs'!$B$17)</x:f>
        <x:v>0.10178162955895959</x:v>
      </x:c>
      <x:c r="Q185" s="78" t="n">
        <x:f>IF(J185&gt;0,M185/J185,0)</x:f>
        <x:v>0</x:v>
      </x:c>
      <x:c r="R185" s="78" t="n">
        <x:f>IF(B185='Inputs'!$H$44,'Inputs'!$B$27*'Inputs'!$I$44,0)</x:f>
        <x:v>0</x:v>
      </x:c>
      <x:c r="S185" s="78" t="n">
        <x:f>Q185+G185+R185</x:f>
        <x:v>848740.6173766189</x:v>
      </x:c>
      <x:c r="T185" s="78" t="n">
        <x:f>P185*(S185*(1-'Inputs'!$B$15))/(O185+S185*(1-'Inputs'!$B$15))</x:f>
        <x:v>7.346526931410263e-7</x:v>
      </x:c>
      <x:c r="U185" s="78" t="n">
        <x:f>O185+S185*(1-'Inputs'!$B$17)</x:f>
        <x:v>116411939414.31627</x:v>
      </x:c>
      <x:c r="V185" s="78" t="n">
        <x:f>P185-T185</x:f>
        <x:v>0.10178089490626645</x:v>
      </x:c>
      <x:c r="W185" s="79" t="n">
        <x:f>IF(U185&gt;0,V185/U185,0)</x:f>
        <x:v>8.743166329702904e-13</x:v>
      </x:c>
      <x:c r="X185" s="80" t="n">
        <x:f>W185*('Inputs'!$B$6-AC185)</x:f>
        <x:v>-0.0003583608258495839</x:v>
      </x:c>
      <x:c r="Y185" s="80" t="n">
        <x:f>2*V185</x:f>
        <x:v>0.2035617898125329</x:v>
      </x:c>
      <x:c r="Z185" s="80" t="n">
        <x:f>K185*'Inputs'!$B$16+(G185+R185)*J185*'Inputs'!$B$16</x:f>
        <x:v>0.00024428036341420513</x:v>
      </x:c>
      <x:c r="AA185" s="80" t="n">
        <x:f>K185*(1+'Inputs'!$E$44)/2*'Inputs'!$B$17</x:f>
        <x:v>0.0000655334435792094</x:v>
      </x:c>
      <x:c r="AB185" s="78" t="n">
        <x:f>(IF(J185&gt;0,K185*(1-'Inputs'!$E$44)/2/J185,0)+G185+R185)*'Inputs'!$B$17</x:f>
        <x:v>3415.4552007107404</x:v>
      </x:c>
      <x:c r="AC185" s="78" t="n">
        <x:f>AC184+AB185</x:f>
        <x:v>1409875338.4481947</x:v>
      </x:c>
      <x:c r="AD185" s="80" t="n">
        <x:f>Z185/(1+'Inputs'!$C$44)</x:f>
        <x:v>0.0001954242907313641</x:v>
      </x:c>
      <x:c r="AE185" s="80" t="n">
        <x:f>Z185-AD185</x:f>
        <x:v>0.000048856072682841036</x:v>
      </x:c>
      <x:c r="AF185" s="80" t="n">
        <x:f>D185*W185</x:f>
        <x:v>2.446759675006025e-7</x:v>
      </x:c>
      <x:c r="AG185" s="80" t="n">
        <x:f>C185*W185</x:f>
        <x:v>5.709105908347434e-7</x:v>
      </x:c>
      <x:c r="AH185" s="80" t="n">
        <x:f>2*'Inputs'!$B$8*'Inputs'!$C$44</x:f>
        <x:v>1250</x:v>
      </x:c>
      <x:c r="AI185" s="81" t="n">
        <x:f>IF(AH185&gt;0,(AE185+AF185)/AH185*365,0)</x:f>
        <x:v>0.000014337418605899757</x:v>
      </x:c>
      <x:c r="AJ185" s="81" t="n">
        <x:f>IF('Inputs'!$B$44&gt;0,AG185/('Inputs'!$B$19*'Inputs'!$B$44)*365,0)</x:f>
        <x:v>2.0838236565468138e-8</x:v>
      </x:c>
      <x:c r="AK185" s="81" t="n">
        <x:f>W185/MAX($W$4:W185)-1</x:f>
        <x:v>-0.9999999987151253</x:v>
      </x:c>
      <x:c r="AL185" s="83" t="n">
        <x:f>'Inputs'!$B$44</x:f>
        <x:v>1</x:v>
      </x:c>
      <x:c r="AM185" s="83" t="n">
        <x:f>'Inputs'!$C$44</x:f>
        <x:v>0.25</x:v>
      </x:c>
      <x:c r="AN185" s="83" t="n">
        <x:f>'Inputs'!$D$44</x:f>
        <x:v>0.2</x:v>
      </x:c>
      <x:c r="AO185" s="81" t="n">
        <x:f>'Inputs'!$E$44</x:f>
        <x:v>-0.2</x:v>
      </x:c>
    </x:row>
    <x:row r="186">
      <x:c r="A186" s="59" t="str">
        <x:v>No demand</x:v>
      </x:c>
      <x:c r="B186" s="59" t="n">
        <x:v>183</x:v>
      </x:c>
      <x:c r="C186" s="78" t="n">
        <x:f>(('Inputs'!$B$29*(3*183*'Inputs'!$B$12-183^2)/(2*'Inputs'!$B$12^2))-('Inputs'!$B$29*(3*182*'Inputs'!$B$12-182^2)/(2*'Inputs'!$B$12^2)))*'Inputs'!$B$44</x:f>
        <x:v>652654.1095890403</x:v>
      </x:c>
      <x:c r="D186" s="78" t="n">
        <x:f>IF('Inputs'!$C$44&gt;0,('Inputs'!$B$30*(3*183*'Inputs'!$B$12-183^2)/(2*'Inputs'!$B$12^2))-('Inputs'!$B$30*(3*182*'Inputs'!$B$12-182^2)/(2*'Inputs'!$B$12^2)),0)</x:f>
        <x:v>279708.90410958976</x:v>
      </x:c>
      <x:c r="E186" s="78" t="n">
        <x:f>C186+D186</x:f>
        <x:v>932363.01369863</x:v>
      </x:c>
      <x:c r="F186" s="78" t="n">
        <x:f>'Inputs'!$B$13*E186+(1-'Inputs'!$B$13)/'Inputs'!$B$14*SUM(E131:E186)</x:f>
        <x:v>942580.690561081</x:v>
      </x:c>
      <x:c r="G186" s="78" t="n">
        <x:f>F186*'Inputs'!$F$44</x:f>
        <x:v>848322.6215049729</x:v>
      </x:c>
      <x:c r="H186" s="78" t="n">
        <x:f>U185</x:f>
        <x:v>116411939414.31627</x:v>
      </x:c>
      <x:c r="I186" s="78" t="n">
        <x:f>V185</x:f>
        <x:v>0.10178089490626645</x:v>
      </x:c>
      <x:c r="J186" s="79" t="n">
        <x:f>IF(H186&gt;0,I186/H186,0)</x:f>
        <x:v>8.743166329702904e-13</x:v>
      </x:c>
      <x:c r="K186" s="80" t="n">
        <x:f>(H186*J186+I186)*'Inputs'!$D$44*(1+'Inputs'!$G$44)^(B186/30)</x:f>
        <x:v>0.04071235796250658</x:v>
      </x:c>
      <x:c r="L186" s="80" t="n">
        <x:f>MAX(0,K186*'Inputs'!$E$44)</x:f>
        <x:v>0</x:v>
      </x:c>
      <x:c r="M186" s="80" t="n">
        <x:f>MAX(0,-K186*'Inputs'!$E$44)</x:f>
        <x:v>0.008142471592501315</x:v>
      </x:c>
      <x:c r="N186" s="78" t="n">
        <x:f>H186*(L186*(1-'Inputs'!$B$15))/(I186+L186*(1-'Inputs'!$B$15))</x:f>
        <x:v>0</x:v>
      </x:c>
      <x:c r="O186" s="78" t="n">
        <x:f>H186-N186</x:f>
        <x:v>116411939414.31627</x:v>
      </x:c>
      <x:c r="P186" s="78" t="n">
        <x:f>I186+L186*(1-'Inputs'!$B$17)</x:f>
        <x:v>0.10178089490626645</x:v>
      </x:c>
      <x:c r="Q186" s="78" t="n">
        <x:f>IF(J186&gt;0,M186/J186,0)</x:f>
        <x:v>0</x:v>
      </x:c>
      <x:c r="R186" s="78" t="n">
        <x:f>IF(B186='Inputs'!$H$44,'Inputs'!$B$27*'Inputs'!$I$44,0)</x:f>
        <x:v>0</x:v>
      </x:c>
      <x:c r="S186" s="78" t="n">
        <x:f>Q186+G186+R186</x:f>
        <x:v>848322.6215049729</x:v>
      </x:c>
      <x:c r="T186" s="78" t="n">
        <x:f>P186*(S186*(1-'Inputs'!$B$15))/(O186+S186*(1-'Inputs'!$B$15))</x:f>
        <x:v>7.342802549525137e-7</x:v>
      </x:c>
      <x:c r="U186" s="78" t="n">
        <x:f>O186+S186*(1-'Inputs'!$B$17)</x:f>
        <x:v>116412784323.16464</x:v>
      </x:c>
      <x:c r="V186" s="78" t="n">
        <x:f>P186-T186</x:f>
        <x:v>0.1017801606260115</x:v>
      </x:c>
      <x:c r="W186" s="79" t="n">
        <x:f>IF(U186&gt;0,V186/U186,0)</x:f>
        <x:v>8.74303979737031e-13</x:v>
      </x:c>
      <x:c r="X186" s="80" t="n">
        <x:f>W186*('Inputs'!$B$6-AC186)</x:f>
        <x:v>-0.00035835862427674805</x:v>
      </x:c>
      <x:c r="Y186" s="80" t="n">
        <x:f>2*V186</x:f>
        <x:v>0.203560321252023</x:v>
      </x:c>
      <x:c r="Z186" s="80" t="n">
        <x:f>K186*'Inputs'!$B$16+(G186+R186)*J186*'Inputs'!$B$16</x:f>
        <x:v>0.00024427859799050814</x:v>
      </x:c>
      <x:c r="AA186" s="80" t="n">
        <x:f>K186*(1+'Inputs'!$E$44)/2*'Inputs'!$B$17</x:f>
        <x:v>0.00006553297056339087</x:v>
      </x:c>
      <x:c r="AB186" s="78" t="n">
        <x:f>(IF(J186&gt;0,K186*(1-'Inputs'!$E$44)/2/J186,0)+G186+R186)*'Inputs'!$B$17</x:f>
        <x:v>3413.773124768503</x:v>
      </x:c>
      <x:c r="AC186" s="78" t="n">
        <x:f>AC185+AB186</x:f>
        <x:v>1409878752.2213194</x:v>
      </x:c>
      <x:c r="AD186" s="80" t="n">
        <x:f>Z186/(1+'Inputs'!$C$44)</x:f>
        <x:v>0.0001954228783924065</x:v>
      </x:c>
      <x:c r="AE186" s="80" t="n">
        <x:f>Z186-AD186</x:f>
        <x:v>0.00004885571959810164</x:v>
      </x:c>
      <x:c r="AF186" s="80" t="n">
        <x:f>D186*W186</x:f>
        <x:v>2.445506080308979e-7</x:v>
      </x:c>
      <x:c r="AG186" s="80" t="n">
        <x:f>C186*W186</x:f>
        <x:v>5.706180854054263e-7</x:v>
      </x:c>
      <x:c r="AH186" s="80" t="n">
        <x:f>2*'Inputs'!$B$8*'Inputs'!$C$44</x:f>
        <x:v>1250</x:v>
      </x:c>
      <x:c r="AI186" s="81" t="n">
        <x:f>IF(AH186&gt;0,(AE186+AF186)/AH186*365,0)</x:f>
        <x:v>0.0000143372789001907</x:v>
      </x:c>
      <x:c r="AJ186" s="81" t="n">
        <x:f>IF('Inputs'!$B$44&gt;0,AG186/('Inputs'!$B$19*'Inputs'!$B$44)*365,0)</x:f>
        <x:v>2.082756011729806e-8</x:v>
      </x:c>
      <x:c r="AK186" s="81" t="n">
        <x:f>W186/MAX($W$4:W186)-1</x:f>
        <x:v>-0.9999999987151439</x:v>
      </x:c>
      <x:c r="AL186" s="83" t="n">
        <x:f>'Inputs'!$B$44</x:f>
        <x:v>1</x:v>
      </x:c>
      <x:c r="AM186" s="83" t="n">
        <x:f>'Inputs'!$C$44</x:f>
        <x:v>0.25</x:v>
      </x:c>
      <x:c r="AN186" s="83" t="n">
        <x:f>'Inputs'!$D$44</x:f>
        <x:v>0.2</x:v>
      </x:c>
      <x:c r="AO186" s="81" t="n">
        <x:f>'Inputs'!$E$44</x:f>
        <x:v>-0.2</x:v>
      </x:c>
    </x:row>
    <x:row r="187">
      <x:c r="A187" s="59" t="str">
        <x:v>No demand</x:v>
      </x:c>
      <x:c r="B187" s="59" t="n">
        <x:v>184</x:v>
      </x:c>
      <x:c r="C187" s="78" t="n">
        <x:f>(('Inputs'!$B$29*(3*184*'Inputs'!$B$12-184^2)/(2*'Inputs'!$B$12^2))-('Inputs'!$B$29*(3*183*'Inputs'!$B$12-183^2)/(2*'Inputs'!$B$12^2)))*'Inputs'!$B$44</x:f>
        <x:v>652329.0016888678</x:v>
      </x:c>
      <x:c r="D187" s="78" t="n">
        <x:f>IF('Inputs'!$C$44&gt;0,('Inputs'!$B$30*(3*184*'Inputs'!$B$12-184^2)/(2*'Inputs'!$B$12^2))-('Inputs'!$B$30*(3*183*'Inputs'!$B$12-183^2)/(2*'Inputs'!$B$12^2)),0)</x:f>
        <x:v>279569.5721523687</x:v>
      </x:c>
      <x:c r="E187" s="78" t="n">
        <x:f>C187+D187</x:f>
        <x:v>931898.5738412365</x:v>
      </x:c>
      <x:c r="F187" s="78" t="n">
        <x:f>'Inputs'!$B$13*E187+(1-'Inputs'!$B$13)/'Inputs'!$B$14*SUM(E132:E187)</x:f>
        <x:v>942116.2507036949</x:v>
      </x:c>
      <x:c r="G187" s="78" t="n">
        <x:f>F187*'Inputs'!$F$44</x:f>
        <x:v>847904.6256333254</x:v>
      </x:c>
      <x:c r="H187" s="78" t="n">
        <x:f>U186</x:f>
        <x:v>116412784323.16464</x:v>
      </x:c>
      <x:c r="I187" s="78" t="n">
        <x:f>V186</x:f>
        <x:v>0.1017801606260115</x:v>
      </x:c>
      <x:c r="J187" s="79" t="n">
        <x:f>IF(H187&gt;0,I187/H187,0)</x:f>
        <x:v>8.74303979737031e-13</x:v>
      </x:c>
      <x:c r="K187" s="80" t="n">
        <x:f>(H187*J187+I187)*'Inputs'!$D$44*(1+'Inputs'!$G$44)^(B187/30)</x:f>
        <x:v>0.040712064250404606</x:v>
      </x:c>
      <x:c r="L187" s="80" t="n">
        <x:f>MAX(0,K187*'Inputs'!$E$44)</x:f>
        <x:v>0</x:v>
      </x:c>
      <x:c r="M187" s="80" t="n">
        <x:f>MAX(0,-K187*'Inputs'!$E$44)</x:f>
        <x:v>0.008142412850080922</x:v>
      </x:c>
      <x:c r="N187" s="78" t="n">
        <x:f>H187*(L187*(1-'Inputs'!$B$15))/(I187+L187*(1-'Inputs'!$B$15))</x:f>
        <x:v>0</x:v>
      </x:c>
      <x:c r="O187" s="78" t="n">
        <x:f>H187-N187</x:f>
        <x:v>116412784323.16464</x:v>
      </x:c>
      <x:c r="P187" s="78" t="n">
        <x:f>I187+L187*(1-'Inputs'!$B$17)</x:f>
        <x:v>0.1017801606260115</x:v>
      </x:c>
      <x:c r="Q187" s="78" t="n">
        <x:f>IF(J187&gt;0,M187/J187,0)</x:f>
        <x:v>0</x:v>
      </x:c>
      <x:c r="R187" s="78" t="n">
        <x:f>IF(B187='Inputs'!$H$44,'Inputs'!$B$27*'Inputs'!$I$44,0)</x:f>
        <x:v>0</x:v>
      </x:c>
      <x:c r="S187" s="78" t="n">
        <x:f>Q187+G187+R187</x:f>
        <x:v>847904.6256333254</x:v>
      </x:c>
      <x:c r="T187" s="78" t="n">
        <x:f>P187*(S187*(1-'Inputs'!$B$15))/(O187+S187*(1-'Inputs'!$B$15))</x:f>
        <x:v>7.339078327032562e-7</x:v>
      </x:c>
      <x:c r="U187" s="78" t="n">
        <x:f>O187+S187*(1-'Inputs'!$B$17)</x:f>
        <x:v>116413628815.69923</x:v>
      </x:c>
      <x:c r="V187" s="78" t="n">
        <x:f>P187-T187</x:f>
        <x:v>0.1017794267181788</x:v>
      </x:c>
      <x:c r="W187" s="79" t="n">
        <x:f>IF(U187&gt;0,V187/U187,0)</x:f>
        <x:v>8.742913330131763e-13</x:v>
      </x:c>
      <x:c r="X187" s="80" t="n">
        <x:f>W187*('Inputs'!$B$6-AC187)</x:f>
        <x:v>-0.00035835642381498614</x:v>
      </x:c>
      <x:c r="Y187" s="80" t="n">
        <x:f>2*V187</x:f>
        <x:v>0.2035588534363576</x:v>
      </x:c>
      <x:c r="Z187" s="80" t="n">
        <x:f>K187*'Inputs'!$B$16+(G187+R187)*J187*'Inputs'!$B$16</x:f>
        <x:v>0.0002442768334607594</x:v>
      </x:c>
      <x:c r="AA187" s="80" t="n">
        <x:f>K187*(1+'Inputs'!$E$44)/2*'Inputs'!$B$17</x:f>
        <x:v>0.00006553249778737161</x:v>
      </x:c>
      <x:c r="AB187" s="78" t="n">
        <x:f>(IF(J187&gt;0,K187*(1-'Inputs'!$E$44)/2/J187,0)+G187+R187)*'Inputs'!$B$17</x:f>
        <x:v>3412.0910488262593</x:v>
      </x:c>
      <x:c r="AC187" s="78" t="n">
        <x:f>AC186+AB187</x:f>
        <x:v>1409882164.3123682</x:v>
      </x:c>
      <x:c r="AD187" s="80" t="n">
        <x:f>Z187/(1+'Inputs'!$C$44)</x:f>
        <x:v>0.00019542146676860753</x:v>
      </x:c>
      <x:c r="AE187" s="80" t="n">
        <x:f>Z187-AD187</x:f>
        <x:v>0.000048855366692151896</x:v>
      </x:c>
      <x:c r="AF187" s="80" t="n">
        <x:f>D187*W187</x:f>
        <x:v>2.444252539070178e-7</x:v>
      </x:c>
      <x:c r="AG187" s="80" t="n">
        <x:f>C187*W187</x:f>
        <x:v>5.703255924497148e-7</x:v>
      </x:c>
      <x:c r="AH187" s="80" t="n">
        <x:f>2*'Inputs'!$B$8*'Inputs'!$C$44</x:f>
        <x:v>1250</x:v>
      </x:c>
      <x:c r="AI187" s="81" t="n">
        <x:f>IF(AH187&gt;0,(AE187+AF187)/AH187*365,0)</x:f>
        <x:v>0.000014337139248249203</x:v>
      </x:c>
      <x:c r="AJ187" s="81" t="n">
        <x:f>IF('Inputs'!$B$44&gt;0,AG187/('Inputs'!$B$19*'Inputs'!$B$44)*365,0)</x:f>
        <x:v>2.081688412441459e-8</x:v>
      </x:c>
      <x:c r="AK187" s="81" t="n">
        <x:f>W187/MAX($W$4:W187)-1</x:f>
        <x:v>-0.9999999987151624</x:v>
      </x:c>
      <x:c r="AL187" s="83" t="n">
        <x:f>'Inputs'!$B$44</x:f>
        <x:v>1</x:v>
      </x:c>
      <x:c r="AM187" s="83" t="n">
        <x:f>'Inputs'!$C$44</x:f>
        <x:v>0.25</x:v>
      </x:c>
      <x:c r="AN187" s="83" t="n">
        <x:f>'Inputs'!$D$44</x:f>
        <x:v>0.2</x:v>
      </x:c>
      <x:c r="AO187" s="81" t="n">
        <x:f>'Inputs'!$E$44</x:f>
        <x:v>-0.2</x:v>
      </x:c>
    </x:row>
    <x:row r="188">
      <x:c r="A188" s="59" t="str">
        <x:v>No demand</x:v>
      </x:c>
      <x:c r="B188" s="59" t="n">
        <x:v>185</x:v>
      </x:c>
      <x:c r="C188" s="78" t="n">
        <x:f>(('Inputs'!$B$29*(3*185*'Inputs'!$B$12-185^2)/(2*'Inputs'!$B$12^2))-('Inputs'!$B$29*(3*184*'Inputs'!$B$12-184^2)/(2*'Inputs'!$B$12^2)))*'Inputs'!$B$44</x:f>
        <x:v>652003.8937887102</x:v>
      </x:c>
      <x:c r="D188" s="78" t="n">
        <x:f>IF('Inputs'!$C$44&gt;0,('Inputs'!$B$30*(3*185*'Inputs'!$B$12-185^2)/(2*'Inputs'!$B$12^2))-('Inputs'!$B$30*(3*184*'Inputs'!$B$12-184^2)/(2*'Inputs'!$B$12^2)),0)</x:f>
        <x:v>279430.2401951626</x:v>
      </x:c>
      <x:c r="E188" s="78" t="n">
        <x:f>C188+D188</x:f>
        <x:v>931434.1339838728</x:v>
      </x:c>
      <x:c r="F188" s="78" t="n">
        <x:f>'Inputs'!$B$13*E188+(1-'Inputs'!$B$13)/'Inputs'!$B$14*SUM(E133:E188)</x:f>
        <x:v>941651.810846315</x:v>
      </x:c>
      <x:c r="G188" s="78" t="n">
        <x:f>F188*'Inputs'!$F$44</x:f>
        <x:v>847486.6297616835</x:v>
      </x:c>
      <x:c r="H188" s="78" t="n">
        <x:f>U187</x:f>
        <x:v>116413628815.69923</x:v>
      </x:c>
      <x:c r="I188" s="78" t="n">
        <x:f>V187</x:f>
        <x:v>0.1017794267181788</x:v>
      </x:c>
      <x:c r="J188" s="79" t="n">
        <x:f>IF(H188&gt;0,I188/H188,0)</x:f>
        <x:v>8.742913330131763e-13</x:v>
      </x:c>
      <x:c r="K188" s="80" t="n">
        <x:f>(H188*J188+I188)*'Inputs'!$D$44*(1+'Inputs'!$G$44)^(B188/30)</x:f>
        <x:v>0.040711770687271526</x:v>
      </x:c>
      <x:c r="L188" s="80" t="n">
        <x:f>MAX(0,K188*'Inputs'!$E$44)</x:f>
        <x:v>0</x:v>
      </x:c>
      <x:c r="M188" s="80" t="n">
        <x:f>MAX(0,-K188*'Inputs'!$E$44)</x:f>
        <x:v>0.008142354137454306</x:v>
      </x:c>
      <x:c r="N188" s="78" t="n">
        <x:f>H188*(L188*(1-'Inputs'!$B$15))/(I188+L188*(1-'Inputs'!$B$15))</x:f>
        <x:v>0</x:v>
      </x:c>
      <x:c r="O188" s="78" t="n">
        <x:f>H188-N188</x:f>
        <x:v>116413628815.69923</x:v>
      </x:c>
      <x:c r="P188" s="78" t="n">
        <x:f>I188+L188*(1-'Inputs'!$B$17)</x:f>
        <x:v>0.1017794267181788</x:v>
      </x:c>
      <x:c r="Q188" s="78" t="n">
        <x:f>IF(J188&gt;0,M188/J188,0)</x:f>
        <x:v>0</x:v>
      </x:c>
      <x:c r="R188" s="78" t="n">
        <x:f>IF(B188='Inputs'!$H$44,'Inputs'!$B$27*'Inputs'!$I$44,0)</x:f>
        <x:v>0</x:v>
      </x:c>
      <x:c r="S188" s="78" t="n">
        <x:f>Q188+G188+R188</x:f>
        <x:v>847486.6297616835</x:v>
      </x:c>
      <x:c r="T188" s="78" t="n">
        <x:f>P188*(S188*(1-'Inputs'!$B$15))/(O188+S188*(1-'Inputs'!$B$15))</x:f>
        <x:v>7.335354263848302e-7</x:v>
      </x:c>
      <x:c r="U188" s="78" t="n">
        <x:f>O188+S188*(1-'Inputs'!$B$17)</x:f>
        <x:v>116414472891.92003</x:v>
      </x:c>
      <x:c r="V188" s="78" t="n">
        <x:f>P188-T188</x:f>
        <x:v>0.10177869318275241</x:v>
      </x:c>
      <x:c r="W188" s="79" t="n">
        <x:f>IF(U188&gt;0,V188/U188,0)</x:f>
        <x:v>8.742786927983124e-13</x:v>
      </x:c>
      <x:c r="X188" s="80" t="n">
        <x:f>W188*('Inputs'!$B$6-AC188)</x:f>
        <x:v>-0.0003583542244642591</x:v>
      </x:c>
      <x:c r="Y188" s="80" t="n">
        <x:f>2*V188</x:f>
        <x:v>0.20355738636550483</x:v>
      </x:c>
      <x:c r="Z188" s="80" t="n">
        <x:f>K188*'Inputs'!$B$16+(G188+R188)*J188*'Inputs'!$B$16</x:f>
        <x:v>0.00024427506982492065</x:v>
      </x:c>
      <x:c r="AA188" s="80" t="n">
        <x:f>K188*(1+'Inputs'!$E$44)/2*'Inputs'!$B$17</x:f>
        <x:v>0.0000655320252511413</x:v>
      </x:c>
      <x:c r="AB188" s="78" t="n">
        <x:f>(IF(J188&gt;0,K188*(1-'Inputs'!$E$44)/2/J188,0)+G188+R188)*'Inputs'!$B$17</x:f>
        <x:v>3410.4089728840386</x:v>
      </x:c>
      <x:c r="AC188" s="78" t="n">
        <x:f>AC187+AB188</x:f>
        <x:v>1409885574.7213411</x:v>
      </x:c>
      <x:c r="AD188" s="80" t="n">
        <x:f>Z188/(1+'Inputs'!$C$44)</x:f>
        <x:v>0.00019542005585993652</x:v>
      </x:c>
      <x:c r="AE188" s="80" t="n">
        <x:f>Z188-AD188</x:f>
        <x:v>0.000048855013964984136</x:v>
      </x:c>
      <x:c r="AF188" s="80" t="n">
        <x:f>D188*W188</x:f>
        <x:v>2.442999051261452e-7</x:v>
      </x:c>
      <x:c r="AG188" s="80" t="n">
        <x:f>C188*W188</x:f>
        <x:v>5.700331119610033e-7</x:v>
      </x:c>
      <x:c r="AH188" s="80" t="n">
        <x:f>2*'Inputs'!$B$8*'Inputs'!$C$44</x:f>
        <x:v>1250</x:v>
      </x:c>
      <x:c r="AI188" s="81" t="n">
        <x:f>IF(AH188&gt;0,(AE188+AF188)/AH188*365,0)</x:f>
        <x:v>0.000014336999650072202</x:v>
      </x:c>
      <x:c r="AJ188" s="81" t="n">
        <x:f>IF('Inputs'!$B$44&gt;0,AG188/('Inputs'!$B$19*'Inputs'!$B$44)*365,0)</x:f>
        <x:v>2.080620858657662e-8</x:v>
      </x:c>
      <x:c r="AK188" s="81" t="n">
        <x:f>W188/MAX($W$4:W188)-1</x:f>
        <x:v>-0.9999999987151811</x:v>
      </x:c>
      <x:c r="AL188" s="83" t="n">
        <x:f>'Inputs'!$B$44</x:f>
        <x:v>1</x:v>
      </x:c>
      <x:c r="AM188" s="83" t="n">
        <x:f>'Inputs'!$C$44</x:f>
        <x:v>0.25</x:v>
      </x:c>
      <x:c r="AN188" s="83" t="n">
        <x:f>'Inputs'!$D$44</x:f>
        <x:v>0.2</x:v>
      </x:c>
      <x:c r="AO188" s="81" t="n">
        <x:f>'Inputs'!$E$44</x:f>
        <x:v>-0.2</x:v>
      </x:c>
    </x:row>
    <x:row r="189">
      <x:c r="A189" s="59" t="str">
        <x:v>No demand</x:v>
      </x:c>
      <x:c r="B189" s="59" t="n">
        <x:v>186</x:v>
      </x:c>
      <x:c r="C189" s="78" t="n">
        <x:f>(('Inputs'!$B$29*(3*186*'Inputs'!$B$12-186^2)/(2*'Inputs'!$B$12^2))-('Inputs'!$B$29*(3*185*'Inputs'!$B$12-185^2)/(2*'Inputs'!$B$12^2)))*'Inputs'!$B$44</x:f>
        <x:v>651678.7858885229</x:v>
      </x:c>
      <x:c r="D189" s="78" t="n">
        <x:f>IF('Inputs'!$C$44&gt;0,('Inputs'!$B$30*(3*186*'Inputs'!$B$12-186^2)/(2*'Inputs'!$B$12^2))-('Inputs'!$B$30*(3*185*'Inputs'!$B$12-185^2)/(2*'Inputs'!$B$12^2)),0)</x:f>
        <x:v>279290.90823794156</x:v>
      </x:c>
      <x:c r="E189" s="78" t="n">
        <x:f>C189+D189</x:f>
        <x:v>930969.6941264644</x:v>
      </x:c>
      <x:c r="F189" s="78" t="n">
        <x:f>'Inputs'!$B$13*E189+(1-'Inputs'!$B$13)/'Inputs'!$B$14*SUM(E134:E189)</x:f>
        <x:v>941187.3709889259</x:v>
      </x:c>
      <x:c r="G189" s="78" t="n">
        <x:f>F189*'Inputs'!$F$44</x:f>
        <x:v>847068.6338900334</x:v>
      </x:c>
      <x:c r="H189" s="78" t="n">
        <x:f>U188</x:f>
        <x:v>116414472891.92003</x:v>
      </x:c>
      <x:c r="I189" s="78" t="n">
        <x:f>V188</x:f>
        <x:v>0.10177869318275241</x:v>
      </x:c>
      <x:c r="J189" s="79" t="n">
        <x:f>IF(H189&gt;0,I189/H189,0)</x:f>
        <x:v>8.742786927983124e-13</x:v>
      </x:c>
      <x:c r="K189" s="80" t="n">
        <x:f>(H189*J189+I189)*'Inputs'!$D$44*(1+'Inputs'!$G$44)^(B189/30)</x:f>
        <x:v>0.04071147727310097</x:v>
      </x:c>
      <x:c r="L189" s="80" t="n">
        <x:f>MAX(0,K189*'Inputs'!$E$44)</x:f>
        <x:v>0</x:v>
      </x:c>
      <x:c r="M189" s="80" t="n">
        <x:f>MAX(0,-K189*'Inputs'!$E$44)</x:f>
        <x:v>0.008142295454620195</x:v>
      </x:c>
      <x:c r="N189" s="78" t="n">
        <x:f>H189*(L189*(1-'Inputs'!$B$15))/(I189+L189*(1-'Inputs'!$B$15))</x:f>
        <x:v>0</x:v>
      </x:c>
      <x:c r="O189" s="78" t="n">
        <x:f>H189-N189</x:f>
        <x:v>116414472891.92003</x:v>
      </x:c>
      <x:c r="P189" s="78" t="n">
        <x:f>I189+L189*(1-'Inputs'!$B$17)</x:f>
        <x:v>0.10177869318275241</x:v>
      </x:c>
      <x:c r="Q189" s="78" t="n">
        <x:f>IF(J189&gt;0,M189/J189,0)</x:f>
        <x:v>0</x:v>
      </x:c>
      <x:c r="R189" s="78" t="n">
        <x:f>IF(B189='Inputs'!$H$44,'Inputs'!$B$27*'Inputs'!$I$44,0)</x:f>
        <x:v>0</x:v>
      </x:c>
      <x:c r="S189" s="78" t="n">
        <x:f>Q189+G189+R189</x:f>
        <x:v>847068.6338900334</x:v>
      </x:c>
      <x:c r="T189" s="78" t="n">
        <x:f>P189*(S189*(1-'Inputs'!$B$15))/(O189+S189*(1-'Inputs'!$B$15))</x:f>
        <x:v>7.331630359887959e-7</x:v>
      </x:c>
      <x:c r="U189" s="78" t="n">
        <x:f>O189+S189*(1-'Inputs'!$B$17)</x:f>
        <x:v>116415316551.82703</x:v>
      </x:c>
      <x:c r="V189" s="78" t="n">
        <x:f>P189-T189</x:f>
        <x:v>0.10177796001971642</x:v>
      </x:c>
      <x:c r="W189" s="79" t="n">
        <x:f>IF(U189&gt;0,V189/U189,0)</x:f>
        <x:v>8.742660590920252e-13</x:v>
      </x:c>
      <x:c r="X189" s="80" t="n">
        <x:f>W189*('Inputs'!$B$6-AC189)</x:f>
        <x:v>-0.0003583520262245275</x:v>
      </x:c>
      <x:c r="Y189" s="80" t="n">
        <x:f>2*V189</x:f>
        <x:v>0.20355592003943285</x:v>
      </x:c>
      <x:c r="Z189" s="80" t="n">
        <x:f>K189*'Inputs'!$B$16+(G189+R189)*J189*'Inputs'!$B$16</x:f>
        <x:v>0.0002442733070829535</x:v>
      </x:c>
      <x:c r="AA189" s="80" t="n">
        <x:f>K189*(1+'Inputs'!$E$44)/2*'Inputs'!$B$17</x:f>
        <x:v>0.0000655315529546897</x:v>
      </x:c>
      <x:c r="AB189" s="78" t="n">
        <x:f>(IF(J189&gt;0,K189*(1-'Inputs'!$E$44)/2/J189,0)+G189+R189)*'Inputs'!$B$17</x:f>
        <x:v>3408.7268969417846</x:v>
      </x:c>
      <x:c r="AC189" s="78" t="n">
        <x:f>AC188+AB189</x:f>
        <x:v>1409888983.4482381</x:v>
      </x:c>
      <x:c r="AD189" s="80" t="n">
        <x:f>Z189/(1+'Inputs'!$C$44)</x:f>
        <x:v>0.00019541864566636281</x:v>
      </x:c>
      <x:c r="AE189" s="80" t="n">
        <x:f>Z189-AD189</x:f>
        <x:v>0.00004885466141659069</x:v>
      </x:c>
      <x:c r="AF189" s="80" t="n">
        <x:f>D189*W189</x:f>
        <x:v>2.441745616854176e-7</x:v>
      </x:c>
      <x:c r="AG189" s="80" t="n">
        <x:f>C189*W189</x:f>
        <x:v>5.697406439326346e-7</x:v>
      </x:c>
      <x:c r="AH189" s="80" t="n">
        <x:f>2*'Inputs'!$B$8*'Inputs'!$C$44</x:f>
        <x:v>1250</x:v>
      </x:c>
      <x:c r="AI189" s="81" t="n">
        <x:f>IF(AH189&gt;0,(AE189+AF189)/AH189*365,0)</x:f>
        <x:v>0.000014336860105656624</x:v>
      </x:c>
      <x:c r="AJ189" s="81" t="n">
        <x:f>IF('Inputs'!$B$44&gt;0,AG189/('Inputs'!$B$19*'Inputs'!$B$44)*365,0)</x:f>
        <x:v>2.0795533503541162e-8</x:v>
      </x:c>
      <x:c r="AK189" s="81" t="n">
        <x:f>W189/MAX($W$4:W189)-1</x:f>
        <x:v>-0.9999999987151996</x:v>
      </x:c>
      <x:c r="AL189" s="83" t="n">
        <x:f>'Inputs'!$B$44</x:f>
        <x:v>1</x:v>
      </x:c>
      <x:c r="AM189" s="83" t="n">
        <x:f>'Inputs'!$C$44</x:f>
        <x:v>0.25</x:v>
      </x:c>
      <x:c r="AN189" s="83" t="n">
        <x:f>'Inputs'!$D$44</x:f>
        <x:v>0.2</x:v>
      </x:c>
      <x:c r="AO189" s="81" t="n">
        <x:f>'Inputs'!$E$44</x:f>
        <x:v>-0.2</x:v>
      </x:c>
    </x:row>
    <x:row r="190">
      <x:c r="A190" s="59" t="str">
        <x:v>No demand</x:v>
      </x:c>
      <x:c r="B190" s="59" t="n">
        <x:v>187</x:v>
      </x:c>
      <x:c r="C190" s="78" t="n">
        <x:f>(('Inputs'!$B$29*(3*187*'Inputs'!$B$12-187^2)/(2*'Inputs'!$B$12^2))-('Inputs'!$B$29*(3*186*'Inputs'!$B$12-186^2)/(2*'Inputs'!$B$12^2)))*'Inputs'!$B$44</x:f>
        <x:v>651353.6779883653</x:v>
      </x:c>
      <x:c r="D190" s="78" t="n">
        <x:f>IF('Inputs'!$C$44&gt;0,('Inputs'!$B$30*(3*187*'Inputs'!$B$12-187^2)/(2*'Inputs'!$B$12^2))-('Inputs'!$B$30*(3*186*'Inputs'!$B$12-186^2)/(2*'Inputs'!$B$12^2)),0)</x:f>
        <x:v>279151.576280728</x:v>
      </x:c>
      <x:c r="E190" s="78" t="n">
        <x:f>C190+D190</x:f>
        <x:v>930505.2542690933</x:v>
      </x:c>
      <x:c r="F190" s="78" t="n">
        <x:f>'Inputs'!$B$13*E190+(1-'Inputs'!$B$13)/'Inputs'!$B$14*SUM(E135:E190)</x:f>
        <x:v>940722.9311315443</x:v>
      </x:c>
      <x:c r="G190" s="78" t="n">
        <x:f>F190*'Inputs'!$F$44</x:f>
        <x:v>846650.6380183899</x:v>
      </x:c>
      <x:c r="H190" s="78" t="n">
        <x:f>U189</x:f>
        <x:v>116415316551.82703</x:v>
      </x:c>
      <x:c r="I190" s="78" t="n">
        <x:f>V189</x:f>
        <x:v>0.10177796001971642</x:v>
      </x:c>
      <x:c r="J190" s="79" t="n">
        <x:f>IF(H190&gt;0,I190/H190,0)</x:f>
        <x:v>8.742660590920252e-13</x:v>
      </x:c>
      <x:c r="K190" s="80" t="n">
        <x:f>(H190*J190+I190)*'Inputs'!$D$44*(1+'Inputs'!$G$44)^(B190/30)</x:f>
        <x:v>0.04071118400788657</x:v>
      </x:c>
      <x:c r="L190" s="80" t="n">
        <x:f>MAX(0,K190*'Inputs'!$E$44)</x:f>
        <x:v>0</x:v>
      </x:c>
      <x:c r="M190" s="80" t="n">
        <x:f>MAX(0,-K190*'Inputs'!$E$44)</x:f>
        <x:v>0.008142236801577314</x:v>
      </x:c>
      <x:c r="N190" s="78" t="n">
        <x:f>H190*(L190*(1-'Inputs'!$B$15))/(I190+L190*(1-'Inputs'!$B$15))</x:f>
        <x:v>0</x:v>
      </x:c>
      <x:c r="O190" s="78" t="n">
        <x:f>H190-N190</x:f>
        <x:v>116415316551.82703</x:v>
      </x:c>
      <x:c r="P190" s="78" t="n">
        <x:f>I190+L190*(1-'Inputs'!$B$17)</x:f>
        <x:v>0.10177796001971642</x:v>
      </x:c>
      <x:c r="Q190" s="78" t="n">
        <x:f>IF(J190&gt;0,M190/J190,0)</x:f>
        <x:v>0</x:v>
      </x:c>
      <x:c r="R190" s="78" t="n">
        <x:f>IF(B190='Inputs'!$H$44,'Inputs'!$B$27*'Inputs'!$I$44,0)</x:f>
        <x:v>0</x:v>
      </x:c>
      <x:c r="S190" s="78" t="n">
        <x:f>Q190+G190+R190</x:f>
        <x:v>846650.6380183899</x:v>
      </x:c>
      <x:c r="T190" s="78" t="n">
        <x:f>P190*(S190*(1-'Inputs'!$B$15))/(O190+S190*(1-'Inputs'!$B$15))</x:f>
        <x:v>7.327906615067392e-7</x:v>
      </x:c>
      <x:c r="U190" s="78" t="n">
        <x:f>O190+S190*(1-'Inputs'!$B$17)</x:f>
        <x:v>116416159795.42023</x:v>
      </x:c>
      <x:c r="V190" s="78" t="n">
        <x:f>P190-T190</x:f>
        <x:v>0.10177722722905491</x:v>
      </x:c>
      <x:c r="W190" s="79" t="n">
        <x:f>IF(U190&gt;0,V190/U190,0)</x:f>
        <x:v>8.74253431893901e-13</x:v>
      </x:c>
      <x:c r="X190" s="80" t="n">
        <x:f>W190*('Inputs'!$B$6-AC190)</x:f>
        <x:v>-0.000358349829095752</x:v>
      </x:c>
      <x:c r="Y190" s="80" t="n">
        <x:f>2*V190</x:f>
        <x:v>0.20355445445810982</x:v>
      </x:c>
      <x:c r="Z190" s="80" t="n">
        <x:f>K190*'Inputs'!$B$16+(G190+R190)*J190*'Inputs'!$B$16</x:f>
        <x:v>0.0002442715452348198</x:v>
      </x:c>
      <x:c r="AA190" s="80" t="n">
        <x:f>K190*(1+'Inputs'!$E$44)/2*'Inputs'!$B$17</x:f>
        <x:v>0.00006553108089800656</x:v>
      </x:c>
      <x:c r="AB190" s="78" t="n">
        <x:f>(IF(J190&gt;0,K190*(1-'Inputs'!$E$44)/2/J190,0)+G190+R190)*'Inputs'!$B$17</x:f>
        <x:v>3407.0448209995575</x:v>
      </x:c>
      <x:c r="AC190" s="78" t="n">
        <x:f>AC189+AB190</x:f>
        <x:v>1409892390.4930592</x:v>
      </x:c>
      <x:c r="AD190" s="80" t="n">
        <x:f>Z190/(1+'Inputs'!$C$44)</x:f>
        <x:v>0.00019541723618785584</x:v>
      </x:c>
      <x:c r="AE190" s="80" t="n">
        <x:f>Z190-AD190</x:f>
        <x:v>0.00004885430904696397</x:v>
      </x:c>
      <x:c r="AF190" s="80" t="n">
        <x:f>D190*W190</x:f>
        <x:v>2.440492235820185e-7</x:v>
      </x:c>
      <x:c r="AG190" s="80" t="n">
        <x:f>C190*W190</x:f>
        <x:v>5.694481883580433e-7</x:v>
      </x:c>
      <x:c r="AH190" s="80" t="n">
        <x:f>2*'Inputs'!$B$8*'Inputs'!$C$44</x:f>
        <x:v>1250</x:v>
      </x:c>
      <x:c r="AI190" s="81" t="n">
        <x:f>IF(AH190&gt;0,(AE190+AF190)/AH190*365,0)</x:f>
        <x:v>0.000014336720614999428</x:v>
      </x:c>
      <x:c r="AJ190" s="81" t="n">
        <x:f>IF('Inputs'!$B$44&gt;0,AG190/('Inputs'!$B$19*'Inputs'!$B$44)*365,0)</x:f>
        <x:v>2.0784858875068578e-8</x:v>
      </x:c>
      <x:c r="AK190" s="81" t="n">
        <x:f>W190/MAX($W$4:W190)-1</x:f>
        <x:v>-0.9999999987152182</x:v>
      </x:c>
      <x:c r="AL190" s="83" t="n">
        <x:f>'Inputs'!$B$44</x:f>
        <x:v>1</x:v>
      </x:c>
      <x:c r="AM190" s="83" t="n">
        <x:f>'Inputs'!$C$44</x:f>
        <x:v>0.25</x:v>
      </x:c>
      <x:c r="AN190" s="83" t="n">
        <x:f>'Inputs'!$D$44</x:f>
        <x:v>0.2</x:v>
      </x:c>
      <x:c r="AO190" s="81" t="n">
        <x:f>'Inputs'!$E$44</x:f>
        <x:v>-0.2</x:v>
      </x:c>
    </x:row>
    <x:row r="191">
      <x:c r="A191" s="59" t="str">
        <x:v>No demand</x:v>
      </x:c>
      <x:c r="B191" s="59" t="n">
        <x:v>188</x:v>
      </x:c>
      <x:c r="C191" s="78" t="n">
        <x:f>(('Inputs'!$B$29*(3*188*'Inputs'!$B$12-188^2)/(2*'Inputs'!$B$12^2))-('Inputs'!$B$29*(3*187*'Inputs'!$B$12-187^2)/(2*'Inputs'!$B$12^2)))*'Inputs'!$B$44</x:f>
        <x:v>651028.5700882077</x:v>
      </x:c>
      <x:c r="D191" s="78" t="n">
        <x:f>IF('Inputs'!$C$44&gt;0,('Inputs'!$B$30*(3*188*'Inputs'!$B$12-188^2)/(2*'Inputs'!$B$12^2))-('Inputs'!$B$30*(3*187*'Inputs'!$B$12-187^2)/(2*'Inputs'!$B$12^2)),0)</x:f>
        <x:v>279012.2443235144</x:v>
      </x:c>
      <x:c r="E191" s="78" t="n">
        <x:f>C191+D191</x:f>
        <x:v>930040.8144117221</x:v>
      </x:c>
      <x:c r="F191" s="78" t="n">
        <x:f>'Inputs'!$B$13*E191+(1-'Inputs'!$B$13)/'Inputs'!$B$14*SUM(E136:E191)</x:f>
        <x:v>940258.4912741629</x:v>
      </x:c>
      <x:c r="G191" s="78" t="n">
        <x:f>F191*'Inputs'!$F$44</x:f>
        <x:v>846232.6421467466</x:v>
      </x:c>
      <x:c r="H191" s="78" t="n">
        <x:f>U190</x:f>
        <x:v>116416159795.42023</x:v>
      </x:c>
      <x:c r="I191" s="78" t="n">
        <x:f>V190</x:f>
        <x:v>0.10177722722905491</x:v>
      </x:c>
      <x:c r="J191" s="79" t="n">
        <x:f>IF(H191&gt;0,I191/H191,0)</x:f>
        <x:v>8.74253431893901e-13</x:v>
      </x:c>
      <x:c r="K191" s="80" t="n">
        <x:f>(H191*J191+I191)*'Inputs'!$D$44*(1+'Inputs'!$G$44)^(B191/30)</x:f>
        <x:v>0.04071089089162197</x:v>
      </x:c>
      <x:c r="L191" s="80" t="n">
        <x:f>MAX(0,K191*'Inputs'!$E$44)</x:f>
        <x:v>0</x:v>
      </x:c>
      <x:c r="M191" s="80" t="n">
        <x:f>MAX(0,-K191*'Inputs'!$E$44)</x:f>
        <x:v>0.008142178178324395</x:v>
      </x:c>
      <x:c r="N191" s="78" t="n">
        <x:f>H191*(L191*(1-'Inputs'!$B$15))/(I191+L191*(1-'Inputs'!$B$15))</x:f>
        <x:v>0</x:v>
      </x:c>
      <x:c r="O191" s="78" t="n">
        <x:f>H191-N191</x:f>
        <x:v>116416159795.42023</x:v>
      </x:c>
      <x:c r="P191" s="78" t="n">
        <x:f>I191+L191*(1-'Inputs'!$B$17)</x:f>
        <x:v>0.10177722722905491</x:v>
      </x:c>
      <x:c r="Q191" s="78" t="n">
        <x:f>IF(J191&gt;0,M191/J191,0)</x:f>
        <x:v>0</x:v>
      </x:c>
      <x:c r="R191" s="78" t="n">
        <x:f>IF(B191='Inputs'!$H$44,'Inputs'!$B$27*'Inputs'!$I$44,0)</x:f>
        <x:v>0</x:v>
      </x:c>
      <x:c r="S191" s="78" t="n">
        <x:f>Q191+G191+R191</x:f>
        <x:v>846232.6421467466</x:v>
      </x:c>
      <x:c r="T191" s="78" t="n">
        <x:f>P191*(S191*(1-'Inputs'!$B$15))/(O191+S191*(1-'Inputs'!$B$15))</x:f>
        <x:v>7.324183029302281e-7</x:v>
      </x:c>
      <x:c r="U191" s="78" t="n">
        <x:f>O191+S191*(1-'Inputs'!$B$17)</x:f>
        <x:v>116417002622.69963</x:v>
      </x:c>
      <x:c r="V191" s="78" t="n">
        <x:f>P191-T191</x:f>
        <x:v>0.10177649481075199</x:v>
      </x:c>
      <x:c r="W191" s="79" t="n">
        <x:f>IF(U191&gt;0,V191/U191,0)</x:f>
        <x:v>8.742408112035264e-13</x:v>
      </x:c>
      <x:c r="X191" s="80" t="n">
        <x:f>W191*('Inputs'!$B$6-AC191)</x:f>
        <x:v>-0.00035834763307789335</x:v>
      </x:c>
      <x:c r="Y191" s="80" t="n">
        <x:f>2*V191</x:f>
        <x:v>0.20355298962150398</x:v>
      </x:c>
      <x:c r="Z191" s="80" t="n">
        <x:f>K191*'Inputs'!$B$16+(G191+R191)*J191*'Inputs'!$B$16</x:f>
        <x:v>0.0002442697842804813</x:v>
      </x:c>
      <x:c r="AA191" s="80" t="n">
        <x:f>K191*(1+'Inputs'!$E$44)/2*'Inputs'!$B$17</x:f>
        <x:v>0.00006553060908108165</x:v>
      </x:c>
      <x:c r="AB191" s="78" t="n">
        <x:f>(IF(J191&gt;0,K191*(1-'Inputs'!$E$44)/2/J191,0)+G191+R191)*'Inputs'!$B$17</x:f>
        <x:v>3405.362745057331</x:v>
      </x:c>
      <x:c r="AC191" s="78" t="n">
        <x:f>AC190+AB191</x:f>
        <x:v>1409895795.8558042</x:v>
      </x:c>
      <x:c r="AD191" s="80" t="n">
        <x:f>Z191/(1+'Inputs'!$C$44)</x:f>
        <x:v>0.00019541582742438503</x:v>
      </x:c>
      <x:c r="AE191" s="80" t="n">
        <x:f>Z191-AD191</x:f>
        <x:v>0.00004885395685609627</x:v>
      </x:c>
      <x:c r="AF191" s="80" t="n">
        <x:f>D191*W191</x:f>
        <x:v>2.4392389081310574e-7</x:v>
      </x:c>
      <x:c r="AG191" s="80" t="n">
        <x:f>C191*W191</x:f>
        <x:v>5.691557452305866e-7</x:v>
      </x:c>
      <x:c r="AH191" s="80" t="n">
        <x:f>2*'Inputs'!$B$8*'Inputs'!$C$44</x:f>
        <x:v>1250</x:v>
      </x:c>
      <x:c r="AI191" s="81" t="n">
        <x:f>IF(AH191&gt;0,(AE191+AF191)/AH191*365,0)</x:f>
        <x:v>0.000014336581178097538</x:v>
      </x:c>
      <x:c r="AJ191" s="81" t="n">
        <x:f>IF('Inputs'!$B$44&gt;0,AG191/('Inputs'!$B$19*'Inputs'!$B$44)*365,0)</x:f>
        <x:v>2.077418470091641e-8</x:v>
      </x:c>
      <x:c r="AK191" s="81" t="n">
        <x:f>W191/MAX($W$4:W191)-1</x:f>
        <x:v>-0.9999999987152367</x:v>
      </x:c>
      <x:c r="AL191" s="83" t="n">
        <x:f>'Inputs'!$B$44</x:f>
        <x:v>1</x:v>
      </x:c>
      <x:c r="AM191" s="83" t="n">
        <x:f>'Inputs'!$C$44</x:f>
        <x:v>0.25</x:v>
      </x:c>
      <x:c r="AN191" s="83" t="n">
        <x:f>'Inputs'!$D$44</x:f>
        <x:v>0.2</x:v>
      </x:c>
      <x:c r="AO191" s="81" t="n">
        <x:f>'Inputs'!$E$44</x:f>
        <x:v>-0.2</x:v>
      </x:c>
    </x:row>
    <x:row r="192">
      <x:c r="A192" s="59" t="str">
        <x:v>No demand</x:v>
      </x:c>
      <x:c r="B192" s="59" t="n">
        <x:v>189</x:v>
      </x:c>
      <x:c r="C192" s="78" t="n">
        <x:f>(('Inputs'!$B$29*(3*189*'Inputs'!$B$12-189^2)/(2*'Inputs'!$B$12^2))-('Inputs'!$B$29*(3*188*'Inputs'!$B$12-188^2)/(2*'Inputs'!$B$12^2)))*'Inputs'!$B$44</x:f>
        <x:v>650703.4621880203</x:v>
      </x:c>
      <x:c r="D192" s="78" t="n">
        <x:f>IF('Inputs'!$C$44&gt;0,('Inputs'!$B$30*(3*189*'Inputs'!$B$12-189^2)/(2*'Inputs'!$B$12^2))-('Inputs'!$B$30*(3*188*'Inputs'!$B$12-188^2)/(2*'Inputs'!$B$12^2)),0)</x:f>
        <x:v>278872.91236629337</x:v>
      </x:c>
      <x:c r="E192" s="78" t="n">
        <x:f>C192+D192</x:f>
        <x:v>929576.3745543137</x:v>
      </x:c>
      <x:c r="F192" s="78" t="n">
        <x:f>'Inputs'!$B$13*E192+(1-'Inputs'!$B$13)/'Inputs'!$B$14*SUM(E137:E192)</x:f>
        <x:v>939794.0514167738</x:v>
      </x:c>
      <x:c r="G192" s="78" t="n">
        <x:f>F192*'Inputs'!$F$44</x:f>
        <x:v>845814.6462750965</x:v>
      </x:c>
      <x:c r="H192" s="78" t="n">
        <x:f>U191</x:f>
        <x:v>116417002622.69963</x:v>
      </x:c>
      <x:c r="I192" s="78" t="n">
        <x:f>V191</x:f>
        <x:v>0.10177649481075199</x:v>
      </x:c>
      <x:c r="J192" s="79" t="n">
        <x:f>IF(H192&gt;0,I192/H192,0)</x:f>
        <x:v>8.742408112035264e-13</x:v>
      </x:c>
      <x:c r="K192" s="80" t="n">
        <x:f>(H192*J192+I192)*'Inputs'!$D$44*(1+'Inputs'!$G$44)^(B192/30)</x:f>
        <x:v>0.0407105979243008</x:v>
      </x:c>
      <x:c r="L192" s="80" t="n">
        <x:f>MAX(0,K192*'Inputs'!$E$44)</x:f>
        <x:v>0</x:v>
      </x:c>
      <x:c r="M192" s="80" t="n">
        <x:f>MAX(0,-K192*'Inputs'!$E$44)</x:f>
        <x:v>0.00814211958486016</x:v>
      </x:c>
      <x:c r="N192" s="78" t="n">
        <x:f>H192*(L192*(1-'Inputs'!$B$15))/(I192+L192*(1-'Inputs'!$B$15))</x:f>
        <x:v>0</x:v>
      </x:c>
      <x:c r="O192" s="78" t="n">
        <x:f>H192-N192</x:f>
        <x:v>116417002622.69963</x:v>
      </x:c>
      <x:c r="P192" s="78" t="n">
        <x:f>I192+L192*(1-'Inputs'!$B$17)</x:f>
        <x:v>0.10177649481075199</x:v>
      </x:c>
      <x:c r="Q192" s="78" t="n">
        <x:f>IF(J192&gt;0,M192/J192,0)</x:f>
        <x:v>0</x:v>
      </x:c>
      <x:c r="R192" s="78" t="n">
        <x:f>IF(B192='Inputs'!$H$44,'Inputs'!$B$27*'Inputs'!$I$44,0)</x:f>
        <x:v>0</x:v>
      </x:c>
      <x:c r="S192" s="78" t="n">
        <x:f>Q192+G192+R192</x:f>
        <x:v>845814.6462750965</x:v>
      </x:c>
      <x:c r="T192" s="78" t="n">
        <x:f>P192*(S192*(1-'Inputs'!$B$15))/(O192+S192*(1-'Inputs'!$B$15))</x:f>
        <x:v>7.320459602508308e-7</x:v>
      </x:c>
      <x:c r="U192" s="78" t="n">
        <x:f>O192+S192*(1-'Inputs'!$B$17)</x:f>
        <x:v>116417845033.66524</x:v>
      </x:c>
      <x:c r="V192" s="78" t="n">
        <x:f>P192-T192</x:f>
        <x:v>0.10177576276479174</x:v>
      </x:c>
      <x:c r="W192" s="79" t="n">
        <x:f>IF(U192&gt;0,V192/U192,0)</x:f>
        <x:v>8.74228197020488e-13</x:v>
      </x:c>
      <x:c r="X192" s="80" t="n">
        <x:f>W192*('Inputs'!$B$6-AC192)</x:f>
        <x:v>-0.0003583454381709123</x:v>
      </x:c>
      <x:c r="Y192" s="80" t="n">
        <x:f>2*V192</x:f>
        <x:v>0.20355152552958347</x:v>
      </x:c>
      <x:c r="Z192" s="80" t="n">
        <x:f>K192*'Inputs'!$B$16+(G192+R192)*J192*'Inputs'!$B$16</x:f>
        <x:v>0.00024426802421989975</x:v>
      </x:c>
      <x:c r="AA192" s="80" t="n">
        <x:f>K192*(1+'Inputs'!$E$44)/2*'Inputs'!$B$17</x:f>
        <x:v>0.00006553013750390471</x:v>
      </x:c>
      <x:c r="AB192" s="78" t="n">
        <x:f>(IF(J192&gt;0,K192*(1-'Inputs'!$E$44)/2/J192,0)+G192+R192)*'Inputs'!$B$17</x:f>
        <x:v>3403.6806691150764</x:v>
      </x:c>
      <x:c r="AC192" s="78" t="n">
        <x:f>AC191+AB192</x:f>
        <x:v>1409899199.5364733</x:v>
      </x:c>
      <x:c r="AD192" s="80" t="n">
        <x:f>Z192/(1+'Inputs'!$C$44)</x:f>
        <x:v>0.0001954144193759198</x:v>
      </x:c>
      <x:c r="AE192" s="80" t="n">
        <x:f>Z192-AD192</x:f>
        <x:v>0.000048853604843979956</x:v>
      </x:c>
      <x:c r="AF192" s="80" t="n">
        <x:f>D192*W192</x:f>
        <x:v>2.4379856337583723e-7</x:v>
      </x:c>
      <x:c r="AG192" s="80" t="n">
        <x:f>C192*W192</x:f>
        <x:v>5.688633145436223e-7</x:v>
      </x:c>
      <x:c r="AH192" s="80" t="n">
        <x:f>2*'Inputs'!$B$8*'Inputs'!$C$44</x:f>
        <x:v>1250</x:v>
      </x:c>
      <x:c r="AI192" s="81" t="n">
        <x:f>IF(AH192&gt;0,(AE192+AF192)/AH192*365,0)</x:f>
        <x:v>0.000014336441794947891</x:v>
      </x:c>
      <x:c r="AJ192" s="81" t="n">
        <x:f>IF('Inputs'!$B$44&gt;0,AG192/('Inputs'!$B$19*'Inputs'!$B$44)*365,0)</x:f>
        <x:v>2.0763510980842215e-8</x:v>
      </x:c>
      <x:c r="AK192" s="81" t="n">
        <x:f>W192/MAX($W$4:W192)-1</x:f>
        <x:v>-0.9999999987152552</x:v>
      </x:c>
      <x:c r="AL192" s="83" t="n">
        <x:f>'Inputs'!$B$44</x:f>
        <x:v>1</x:v>
      </x:c>
      <x:c r="AM192" s="83" t="n">
        <x:f>'Inputs'!$C$44</x:f>
        <x:v>0.25</x:v>
      </x:c>
      <x:c r="AN192" s="83" t="n">
        <x:f>'Inputs'!$D$44</x:f>
        <x:v>0.2</x:v>
      </x:c>
      <x:c r="AO192" s="81" t="n">
        <x:f>'Inputs'!$E$44</x:f>
        <x:v>-0.2</x:v>
      </x:c>
    </x:row>
    <x:row r="193">
      <x:c r="A193" s="59" t="str">
        <x:v>No demand</x:v>
      </x:c>
      <x:c r="B193" s="59" t="n">
        <x:v>190</x:v>
      </x:c>
      <x:c r="C193" s="78" t="n">
        <x:f>(('Inputs'!$B$29*(3*190*'Inputs'!$B$12-190^2)/(2*'Inputs'!$B$12^2))-('Inputs'!$B$29*(3*189*'Inputs'!$B$12-189^2)/(2*'Inputs'!$B$12^2)))*'Inputs'!$B$44</x:f>
        <x:v>650378.3542878628</x:v>
      </x:c>
      <x:c r="D193" s="78" t="n">
        <x:f>IF('Inputs'!$C$44&gt;0,('Inputs'!$B$30*(3*190*'Inputs'!$B$12-190^2)/(2*'Inputs'!$B$12^2))-('Inputs'!$B$30*(3*189*'Inputs'!$B$12-189^2)/(2*'Inputs'!$B$12^2)),0)</x:f>
        <x:v>278733.58040908724</x:v>
      </x:c>
      <x:c r="E193" s="78" t="n">
        <x:f>C193+D193</x:f>
        <x:v>929111.93469695</x:v>
      </x:c>
      <x:c r="F193" s="78" t="n">
        <x:f>'Inputs'!$B$13*E193+(1-'Inputs'!$B$13)/'Inputs'!$B$14*SUM(E138:E193)</x:f>
        <x:v>939329.6115593938</x:v>
      </x:c>
      <x:c r="G193" s="78" t="n">
        <x:f>F193*'Inputs'!$F$44</x:f>
        <x:v>845396.6504034544</x:v>
      </x:c>
      <x:c r="H193" s="78" t="n">
        <x:f>U192</x:f>
        <x:v>116417845033.66524</x:v>
      </x:c>
      <x:c r="I193" s="78" t="n">
        <x:f>V192</x:f>
        <x:v>0.10177576276479174</x:v>
      </x:c>
      <x:c r="J193" s="79" t="n">
        <x:f>IF(H193&gt;0,I193/H193,0)</x:f>
        <x:v>8.74228197020488e-13</x:v>
      </x:c>
      <x:c r="K193" s="80" t="n">
        <x:f>(H193*J193+I193)*'Inputs'!$D$44*(1+'Inputs'!$G$44)^(B193/30)</x:f>
        <x:v>0.040710305105916694</x:v>
      </x:c>
      <x:c r="L193" s="80" t="n">
        <x:f>MAX(0,K193*'Inputs'!$E$44)</x:f>
        <x:v>0</x:v>
      </x:c>
      <x:c r="M193" s="80" t="n">
        <x:f>MAX(0,-K193*'Inputs'!$E$44)</x:f>
        <x:v>0.008142061021183339</x:v>
      </x:c>
      <x:c r="N193" s="78" t="n">
        <x:f>H193*(L193*(1-'Inputs'!$B$15))/(I193+L193*(1-'Inputs'!$B$15))</x:f>
        <x:v>0</x:v>
      </x:c>
      <x:c r="O193" s="78" t="n">
        <x:f>H193-N193</x:f>
        <x:v>116417845033.66524</x:v>
      </x:c>
      <x:c r="P193" s="78" t="n">
        <x:f>I193+L193*(1-'Inputs'!$B$17)</x:f>
        <x:v>0.10177576276479174</x:v>
      </x:c>
      <x:c r="Q193" s="78" t="n">
        <x:f>IF(J193&gt;0,M193/J193,0)</x:f>
        <x:v>0</x:v>
      </x:c>
      <x:c r="R193" s="78" t="n">
        <x:f>IF(B193='Inputs'!$H$44,'Inputs'!$B$27*'Inputs'!$I$44,0)</x:f>
        <x:v>0</x:v>
      </x:c>
      <x:c r="S193" s="78" t="n">
        <x:f>Q193+G193+R193</x:f>
        <x:v>845396.6504034544</x:v>
      </x:c>
      <x:c r="T193" s="78" t="n">
        <x:f>P193*(S193*(1-'Inputs'!$B$15))/(O193+S193*(1-'Inputs'!$B$15))</x:f>
        <x:v>7.316736334601361e-7</x:v>
      </x:c>
      <x:c r="U193" s="78" t="n">
        <x:f>O193+S193*(1-'Inputs'!$B$17)</x:f>
        <x:v>116418687028.31705</x:v>
      </x:c>
      <x:c r="V193" s="78" t="n">
        <x:f>P193-T193</x:f>
        <x:v>0.10177503109115828</x:v>
      </x:c>
      <x:c r="W193" s="79" t="n">
        <x:f>IF(U193&gt;0,V193/U193,0)</x:f>
        <x:v>8.742155893443728e-13</x:v>
      </x:c>
      <x:c r="X193" s="80" t="n">
        <x:f>W193*('Inputs'!$B$6-AC193)</x:f>
        <x:v>-0.00035834324437476967</x:v>
      </x:c>
      <x:c r="Y193" s="80" t="n">
        <x:f>2*V193</x:f>
        <x:v>0.20355006218231655</x:v>
      </x:c>
      <x:c r="Z193" s="80" t="n">
        <x:f>K193*'Inputs'!$B$16+(G193+R193)*J193*'Inputs'!$B$16</x:f>
        <x:v>0.00024426626505303685</x:v>
      </x:c>
      <x:c r="AA193" s="80" t="n">
        <x:f>K193*(1+'Inputs'!$E$44)/2*'Inputs'!$B$17</x:f>
        <x:v>0.00006552966616646551</x:v>
      </x:c>
      <x:c r="AB193" s="78" t="n">
        <x:f>(IF(J193&gt;0,K193*(1-'Inputs'!$E$44)/2/J193,0)+G193+R193)*'Inputs'!$B$17</x:f>
        <x:v>3401.998593172855</x:v>
      </x:c>
      <x:c r="AC193" s="78" t="n">
        <x:f>AC192+AB193</x:f>
        <x:v>1409902601.5350664</x:v>
      </x:c>
      <x:c r="AD193" s="80" t="n">
        <x:f>Z193/(1+'Inputs'!$C$44)</x:f>
        <x:v>0.00019541301204242947</x:v>
      </x:c>
      <x:c r="AE193" s="80" t="n">
        <x:f>Z193-AD193</x:f>
        <x:v>0.00004885325301060738</x:v>
      </x:c>
      <x:c r="AF193" s="80" t="n">
        <x:f>D193*W193</x:f>
        <x:v>2.436732412673973e-7</x:v>
      </x:c>
      <x:c r="AG193" s="80" t="n">
        <x:f>C193*W193</x:f>
        <x:v>5.685708962905873e-7</x:v>
      </x:c>
      <x:c r="AH193" s="80" t="n">
        <x:f>2*'Inputs'!$B$8*'Inputs'!$C$44</x:f>
        <x:v>1250</x:v>
      </x:c>
      <x:c r="AI193" s="81" t="n">
        <x:f>IF(AH193&gt;0,(AE193+AF193)/AH193*365,0)</x:f>
        <x:v>0.000014336302465547435</x:v>
      </x:c>
      <x:c r="AJ193" s="81" t="n">
        <x:f>IF('Inputs'!$B$44&gt;0,AG193/('Inputs'!$B$19*'Inputs'!$B$44)*365,0)</x:f>
        <x:v>2.0752837714606438e-8</x:v>
      </x:c>
      <x:c r="AK193" s="81" t="n">
        <x:f>W193/MAX($W$4:W193)-1</x:f>
        <x:v>-0.9999999987152738</x:v>
      </x:c>
      <x:c r="AL193" s="83" t="n">
        <x:f>'Inputs'!$B$44</x:f>
        <x:v>1</x:v>
      </x:c>
      <x:c r="AM193" s="83" t="n">
        <x:f>'Inputs'!$C$44</x:f>
        <x:v>0.25</x:v>
      </x:c>
      <x:c r="AN193" s="83" t="n">
        <x:f>'Inputs'!$D$44</x:f>
        <x:v>0.2</x:v>
      </x:c>
      <x:c r="AO193" s="81" t="n">
        <x:f>'Inputs'!$E$44</x:f>
        <x:v>-0.2</x:v>
      </x:c>
    </x:row>
    <x:row r="194">
      <x:c r="A194" s="59" t="str">
        <x:v>No demand</x:v>
      </x:c>
      <x:c r="B194" s="59" t="n">
        <x:v>191</x:v>
      </x:c>
      <x:c r="C194" s="78" t="n">
        <x:f>(('Inputs'!$B$29*(3*191*'Inputs'!$B$12-191^2)/(2*'Inputs'!$B$12^2))-('Inputs'!$B$29*(3*190*'Inputs'!$B$12-190^2)/(2*'Inputs'!$B$12^2)))*'Inputs'!$B$44</x:f>
        <x:v>650053.2463876903</x:v>
      </x:c>
      <x:c r="D194" s="78" t="n">
        <x:f>IF('Inputs'!$C$44&gt;0,('Inputs'!$B$30*(3*191*'Inputs'!$B$12-191^2)/(2*'Inputs'!$B$12^2))-('Inputs'!$B$30*(3*190*'Inputs'!$B$12-190^2)/(2*'Inputs'!$B$12^2)),0)</x:f>
        <x:v>278594.2484518662</x:v>
      </x:c>
      <x:c r="E194" s="78" t="n">
        <x:f>C194+D194</x:f>
        <x:v>928647.4948395565</x:v>
      </x:c>
      <x:c r="F194" s="78" t="n">
        <x:f>'Inputs'!$B$13*E194+(1-'Inputs'!$B$13)/'Inputs'!$B$14*SUM(E139:E194)</x:f>
        <x:v>938865.1717020079</x:v>
      </x:c>
      <x:c r="G194" s="78" t="n">
        <x:f>F194*'Inputs'!$F$44</x:f>
        <x:v>844978.654531807</x:v>
      </x:c>
      <x:c r="H194" s="78" t="n">
        <x:f>U193</x:f>
        <x:v>116418687028.31705</x:v>
      </x:c>
      <x:c r="I194" s="78" t="n">
        <x:f>V193</x:f>
        <x:v>0.10177503109115828</x:v>
      </x:c>
      <x:c r="J194" s="79" t="n">
        <x:f>IF(H194&gt;0,I194/H194,0)</x:f>
        <x:v>8.742155893443728e-13</x:v>
      </x:c>
      <x:c r="K194" s="80" t="n">
        <x:f>(H194*J194+I194)*'Inputs'!$D$44*(1+'Inputs'!$G$44)^(B194/30)</x:f>
        <x:v>0.040710012436463314</x:v>
      </x:c>
      <x:c r="L194" s="80" t="n">
        <x:f>MAX(0,K194*'Inputs'!$E$44)</x:f>
        <x:v>0</x:v>
      </x:c>
      <x:c r="M194" s="80" t="n">
        <x:f>MAX(0,-K194*'Inputs'!$E$44)</x:f>
        <x:v>0.008142002487292663</x:v>
      </x:c>
      <x:c r="N194" s="78" t="n">
        <x:f>H194*(L194*(1-'Inputs'!$B$15))/(I194+L194*(1-'Inputs'!$B$15))</x:f>
        <x:v>0</x:v>
      </x:c>
      <x:c r="O194" s="78" t="n">
        <x:f>H194-N194</x:f>
        <x:v>116418687028.31705</x:v>
      </x:c>
      <x:c r="P194" s="78" t="n">
        <x:f>I194+L194*(1-'Inputs'!$B$17)</x:f>
        <x:v>0.10177503109115828</x:v>
      </x:c>
      <x:c r="Q194" s="78" t="n">
        <x:f>IF(J194&gt;0,M194/J194,0)</x:f>
        <x:v>0</x:v>
      </x:c>
      <x:c r="R194" s="78" t="n">
        <x:f>IF(B194='Inputs'!$H$44,'Inputs'!$B$27*'Inputs'!$I$44,0)</x:f>
        <x:v>0</x:v>
      </x:c>
      <x:c r="S194" s="78" t="n">
        <x:f>Q194+G194+R194</x:f>
        <x:v>844978.654531807</x:v>
      </x:c>
      <x:c r="T194" s="78" t="n">
        <x:f>P194*(S194*(1-'Inputs'!$B$15))/(O194+S194*(1-'Inputs'!$B$15))</x:f>
        <x:v>7.313013225497085e-7</x:v>
      </x:c>
      <x:c r="U194" s="78" t="n">
        <x:f>O194+S194*(1-'Inputs'!$B$17)</x:f>
        <x:v>116419528606.65506</x:v>
      </x:c>
      <x:c r="V194" s="78" t="n">
        <x:f>P194-T194</x:f>
        <x:v>0.10177429978983572</x:v>
      </x:c>
      <x:c r="W194" s="79" t="n">
        <x:f>IF(U194&gt;0,V194/U194,0)</x:f>
        <x:v>8.742029881747679e-13</x:v>
      </x:c>
      <x:c r="X194" s="80" t="n">
        <x:f>W194*('Inputs'!$B$6-AC194)</x:f>
        <x:v>-0.0003583410516894262</x:v>
      </x:c>
      <x:c r="Y194" s="80" t="n">
        <x:f>2*V194</x:f>
        <x:v>0.20354859957967145</x:v>
      </x:c>
      <x:c r="Z194" s="80" t="n">
        <x:f>K194*'Inputs'!$B$16+(G194+R194)*J194*'Inputs'!$B$16</x:f>
        <x:v>0.00024426450677985463</x:v>
      </x:c>
      <x:c r="AA194" s="80" t="n">
        <x:f>K194*(1+'Inputs'!$E$44)/2*'Inputs'!$B$17</x:f>
        <x:v>0.00006552919506875384</x:v>
      </x:c>
      <x:c r="AB194" s="78" t="n">
        <x:f>(IF(J194&gt;0,K194*(1-'Inputs'!$E$44)/2/J194,0)+G194+R194)*'Inputs'!$B$17</x:f>
        <x:v>3400.316517230612</x:v>
      </x:c>
      <x:c r="AC194" s="78" t="n">
        <x:f>AC193+AB194</x:f>
        <x:v>1409906001.8515835</x:v>
      </x:c>
      <x:c r="AD194" s="80" t="n">
        <x:f>Z194/(1+'Inputs'!$C$44)</x:f>
        <x:v>0.0001954116054238837</x:v>
      </x:c>
      <x:c r="AE194" s="80" t="n">
        <x:f>Z194-AD194</x:f>
        <x:v>0.000048852901355970926</x:v>
      </x:c>
      <x:c r="AF194" s="80" t="n">
        <x:f>D194*W194</x:f>
        <x:v>2.4354792448492516e-7</x:v>
      </x:c>
      <x:c r="AG194" s="80" t="n">
        <x:f>C194*W194</x:f>
        <x:v>5.682784904648275e-7</x:v>
      </x:c>
      <x:c r="AH194" s="80" t="n">
        <x:f>2*'Inputs'!$B$8*'Inputs'!$C$44</x:f>
        <x:v>1250</x:v>
      </x:c>
      <x:c r="AI194" s="81" t="n">
        <x:f>IF(AH194&gt;0,(AE194+AF194)/AH194*365,0)</x:f>
        <x:v>0.000014336163189893108</x:v>
      </x:c>
      <x:c r="AJ194" s="81" t="n">
        <x:f>IF('Inputs'!$B$44&gt;0,AG194/('Inputs'!$B$19*'Inputs'!$B$44)*365,0)</x:f>
        <x:v>2.0742164901966204e-8</x:v>
      </x:c>
      <x:c r="AK194" s="81" t="n">
        <x:f>W194/MAX($W$4:W194)-1</x:f>
        <x:v>-0.9999999987152923</x:v>
      </x:c>
      <x:c r="AL194" s="83" t="n">
        <x:f>'Inputs'!$B$44</x:f>
        <x:v>1</x:v>
      </x:c>
      <x:c r="AM194" s="83" t="n">
        <x:f>'Inputs'!$C$44</x:f>
        <x:v>0.25</x:v>
      </x:c>
      <x:c r="AN194" s="83" t="n">
        <x:f>'Inputs'!$D$44</x:f>
        <x:v>0.2</x:v>
      </x:c>
      <x:c r="AO194" s="81" t="n">
        <x:f>'Inputs'!$E$44</x:f>
        <x:v>-0.2</x:v>
      </x:c>
    </x:row>
    <x:row r="195">
      <x:c r="A195" s="59" t="str">
        <x:v>No demand</x:v>
      </x:c>
      <x:c r="B195" s="59" t="n">
        <x:v>192</x:v>
      </x:c>
      <x:c r="C195" s="78" t="n">
        <x:f>(('Inputs'!$B$29*(3*192*'Inputs'!$B$12-192^2)/(2*'Inputs'!$B$12^2))-('Inputs'!$B$29*(3*191*'Inputs'!$B$12-191^2)/(2*'Inputs'!$B$12^2)))*'Inputs'!$B$44</x:f>
        <x:v>649728.1384875178</x:v>
      </x:c>
      <x:c r="D195" s="78" t="n">
        <x:f>IF('Inputs'!$C$44&gt;0,('Inputs'!$B$30*(3*192*'Inputs'!$B$12-192^2)/(2*'Inputs'!$B$12^2))-('Inputs'!$B$30*(3*191*'Inputs'!$B$12-191^2)/(2*'Inputs'!$B$12^2)),0)</x:f>
        <x:v>278454.9164946526</x:v>
      </x:c>
      <x:c r="E195" s="78" t="n">
        <x:f>C195+D195</x:f>
        <x:v>928183.0549821705</x:v>
      </x:c>
      <x:c r="F195" s="78" t="n">
        <x:f>'Inputs'!$B$13*E195+(1-'Inputs'!$B$13)/'Inputs'!$B$14*SUM(E140:E195)</x:f>
        <x:v>938400.7318446233</x:v>
      </x:c>
      <x:c r="G195" s="78" t="n">
        <x:f>F195*'Inputs'!$F$44</x:f>
        <x:v>844560.6586601611</x:v>
      </x:c>
      <x:c r="H195" s="78" t="n">
        <x:f>U194</x:f>
        <x:v>116419528606.65506</x:v>
      </x:c>
      <x:c r="I195" s="78" t="n">
        <x:f>V194</x:f>
        <x:v>0.10177429978983572</x:v>
      </x:c>
      <x:c r="J195" s="79" t="n">
        <x:f>IF(H195&gt;0,I195/H195,0)</x:f>
        <x:v>8.742029881747679e-13</x:v>
      </x:c>
      <x:c r="K195" s="80" t="n">
        <x:f>(H195*J195+I195)*'Inputs'!$D$44*(1+'Inputs'!$G$44)^(B195/30)</x:f>
        <x:v>0.04070971991593429</x:v>
      </x:c>
      <x:c r="L195" s="80" t="n">
        <x:f>MAX(0,K195*'Inputs'!$E$44)</x:f>
        <x:v>0</x:v>
      </x:c>
      <x:c r="M195" s="80" t="n">
        <x:f>MAX(0,-K195*'Inputs'!$E$44)</x:f>
        <x:v>0.008141943983186859</x:v>
      </x:c>
      <x:c r="N195" s="78" t="n">
        <x:f>H195*(L195*(1-'Inputs'!$B$15))/(I195+L195*(1-'Inputs'!$B$15))</x:f>
        <x:v>0</x:v>
      </x:c>
      <x:c r="O195" s="78" t="n">
        <x:f>H195-N195</x:f>
        <x:v>116419528606.65506</x:v>
      </x:c>
      <x:c r="P195" s="78" t="n">
        <x:f>I195+L195*(1-'Inputs'!$B$17)</x:f>
        <x:v>0.10177429978983572</x:v>
      </x:c>
      <x:c r="Q195" s="78" t="n">
        <x:f>IF(J195&gt;0,M195/J195,0)</x:f>
        <x:v>0</x:v>
      </x:c>
      <x:c r="R195" s="78" t="n">
        <x:f>IF(B195='Inputs'!$H$44,'Inputs'!$B$27*'Inputs'!$I$44,0)</x:f>
        <x:v>0</x:v>
      </x:c>
      <x:c r="S195" s="78" t="n">
        <x:f>Q195+G195+R195</x:f>
        <x:v>844560.6586601611</x:v>
      </x:c>
      <x:c r="T195" s="78" t="n">
        <x:f>P195*(S195*(1-'Inputs'!$B$15))/(O195+S195*(1-'Inputs'!$B$15))</x:f>
        <x:v>7.309290275111307e-7</x:v>
      </x:c>
      <x:c r="U195" s="78" t="n">
        <x:f>O195+S195*(1-'Inputs'!$B$17)</x:f>
        <x:v>116420369768.67928</x:v>
      </x:c>
      <x:c r="V195" s="78" t="n">
        <x:f>P195-T195</x:f>
        <x:v>0.10177356886080821</x:v>
      </x:c>
      <x:c r="W195" s="79" t="n">
        <x:f>IF(U195&gt;0,V195/U195,0)</x:f>
        <x:v>8.741903935112607e-13</x:v>
      </x:c>
      <x:c r="X195" s="80" t="n">
        <x:f>W195*('Inputs'!$B$6-AC195)</x:f>
        <x:v>-0.00035833886011484305</x:v>
      </x:c>
      <x:c r="Y195" s="80" t="n">
        <x:f>2*V195</x:f>
        <x:v>0.20354713772161642</x:v>
      </x:c>
      <x:c r="Z195" s="80" t="n">
        <x:f>K195*'Inputs'!$B$16+(G195+R195)*J195*'Inputs'!$B$16</x:f>
        <x:v>0.0002442627494003147</x:v>
      </x:c>
      <x:c r="AA195" s="80" t="n">
        <x:f>K195*(1+'Inputs'!$E$44)/2*'Inputs'!$B$17</x:f>
        <x:v>0.00006552872421075944</x:v>
      </x:c>
      <x:c r="AB195" s="78" t="n">
        <x:f>(IF(J195&gt;0,K195*(1-'Inputs'!$E$44)/2/J195,0)+G195+R195)*'Inputs'!$B$17</x:f>
        <x:v>3398.634441288375</x:v>
      </x:c>
      <x:c r="AC195" s="78" t="n">
        <x:f>AC194+AB195</x:f>
        <x:v>1409909400.4860249</x:v>
      </x:c>
      <x:c r="AD195" s="80" t="n">
        <x:f>Z195/(1+'Inputs'!$C$44)</x:f>
        <x:v>0.00019541019952025178</x:v>
      </x:c>
      <x:c r="AE195" s="80" t="n">
        <x:f>Z195-AD195</x:f>
        <x:v>0.00004885254988006295</x:v>
      </x:c>
      <x:c r="AF195" s="80" t="n">
        <x:f>D195*W195</x:f>
        <x:v>2.4342261302560564e-7</x:v>
      </x:c>
      <x:c r="AG195" s="80" t="n">
        <x:f>C195*W195</x:f>
        <x:v>5.679860970597422e-7</x:v>
      </x:c>
      <x:c r="AH195" s="80" t="n">
        <x:f>2*'Inputs'!$B$8*'Inputs'!$C$44</x:f>
        <x:v>1250</x:v>
      </x:c>
      <x:c r="AI195" s="81" t="n">
        <x:f>IF(AH195&gt;0,(AE195+AF195)/AH195*365,0)</x:f>
        <x:v>0.000014336023967981858</x:v>
      </x:c>
      <x:c r="AJ195" s="81" t="n">
        <x:f>IF('Inputs'!$B$44&gt;0,AG195/('Inputs'!$B$19*'Inputs'!$B$44)*365,0)</x:f>
        <x:v>2.073149254268059e-8</x:v>
      </x:c>
      <x:c r="AK195" s="81" t="n">
        <x:f>W195/MAX($W$4:W195)-1</x:f>
        <x:v>-0.9999999987153109</x:v>
      </x:c>
      <x:c r="AL195" s="83" t="n">
        <x:f>'Inputs'!$B$44</x:f>
        <x:v>1</x:v>
      </x:c>
      <x:c r="AM195" s="83" t="n">
        <x:f>'Inputs'!$C$44</x:f>
        <x:v>0.25</x:v>
      </x:c>
      <x:c r="AN195" s="83" t="n">
        <x:f>'Inputs'!$D$44</x:f>
        <x:v>0.2</x:v>
      </x:c>
      <x:c r="AO195" s="81" t="n">
        <x:f>'Inputs'!$E$44</x:f>
        <x:v>-0.2</x:v>
      </x:c>
    </x:row>
    <x:row r="196">
      <x:c r="A196" s="59" t="str">
        <x:v>No demand</x:v>
      </x:c>
      <x:c r="B196" s="59" t="n">
        <x:v>193</x:v>
      </x:c>
      <x:c r="C196" s="78" t="n">
        <x:f>(('Inputs'!$B$29*(3*193*'Inputs'!$B$12-193^2)/(2*'Inputs'!$B$12^2))-('Inputs'!$B$29*(3*192*'Inputs'!$B$12-192^2)/(2*'Inputs'!$B$12^2)))*'Inputs'!$B$44</x:f>
        <x:v>649403.0305873603</x:v>
      </x:c>
      <x:c r="D196" s="78" t="n">
        <x:f>IF('Inputs'!$C$44&gt;0,('Inputs'!$B$30*(3*193*'Inputs'!$B$12-193^2)/(2*'Inputs'!$B$12^2))-('Inputs'!$B$30*(3*192*'Inputs'!$B$12-192^2)/(2*'Inputs'!$B$12^2)),0)</x:f>
        <x:v>278315.5845374316</x:v>
      </x:c>
      <x:c r="E196" s="78" t="n">
        <x:f>C196+D196</x:f>
        <x:v>927718.6151247919</x:v>
      </x:c>
      <x:c r="F196" s="78" t="n">
        <x:f>'Inputs'!$B$13*E196+(1-'Inputs'!$B$13)/'Inputs'!$B$14*SUM(E141:E196)</x:f>
        <x:v>937936.2919872404</x:v>
      </x:c>
      <x:c r="G196" s="78" t="n">
        <x:f>F196*'Inputs'!$F$44</x:f>
        <x:v>844142.6627885164</x:v>
      </x:c>
      <x:c r="H196" s="78" t="n">
        <x:f>U195</x:f>
        <x:v>116420369768.67928</x:v>
      </x:c>
      <x:c r="I196" s="78" t="n">
        <x:f>V195</x:f>
        <x:v>0.10177356886080821</x:v>
      </x:c>
      <x:c r="J196" s="79" t="n">
        <x:f>IF(H196&gt;0,I196/H196,0)</x:f>
        <x:v>8.741903935112607e-13</x:v>
      </x:c>
      <x:c r="K196" s="80" t="n">
        <x:f>(H196*J196+I196)*'Inputs'!$D$44*(1+'Inputs'!$G$44)^(B196/30)</x:f>
        <x:v>0.04070942754432329</x:v>
      </x:c>
      <x:c r="L196" s="80" t="n">
        <x:f>MAX(0,K196*'Inputs'!$E$44)</x:f>
        <x:v>0</x:v>
      </x:c>
      <x:c r="M196" s="80" t="n">
        <x:f>MAX(0,-K196*'Inputs'!$E$44)</x:f>
        <x:v>0.008141885508864658</x:v>
      </x:c>
      <x:c r="N196" s="78" t="n">
        <x:f>H196*(L196*(1-'Inputs'!$B$15))/(I196+L196*(1-'Inputs'!$B$15))</x:f>
        <x:v>0</x:v>
      </x:c>
      <x:c r="O196" s="78" t="n">
        <x:f>H196-N196</x:f>
        <x:v>116420369768.67928</x:v>
      </x:c>
      <x:c r="P196" s="78" t="n">
        <x:f>I196+L196*(1-'Inputs'!$B$17)</x:f>
        <x:v>0.10177356886080821</x:v>
      </x:c>
      <x:c r="Q196" s="78" t="n">
        <x:f>IF(J196&gt;0,M196/J196,0)</x:f>
        <x:v>0</x:v>
      </x:c>
      <x:c r="R196" s="78" t="n">
        <x:f>IF(B196='Inputs'!$H$44,'Inputs'!$B$27*'Inputs'!$I$44,0)</x:f>
        <x:v>0</x:v>
      </x:c>
      <x:c r="S196" s="78" t="n">
        <x:f>Q196+G196+R196</x:f>
        <x:v>844142.6627885164</x:v>
      </x:c>
      <x:c r="T196" s="78" t="n">
        <x:f>P196*(S196*(1-'Inputs'!$B$15))/(O196+S196*(1-'Inputs'!$B$15))</x:f>
        <x:v>7.30556748335981e-7</x:v>
      </x:c>
      <x:c r="U196" s="78" t="n">
        <x:f>O196+S196*(1-'Inputs'!$B$17)</x:f>
        <x:v>116421210514.3897</x:v>
      </x:c>
      <x:c r="V196" s="78" t="n">
        <x:f>P196-T196</x:f>
        <x:v>0.10177283830405988</x:v>
      </x:c>
      <x:c r="W196" s="79" t="n">
        <x:f>IF(U196&gt;0,V196/U196,0)</x:f>
        <x:v>8.741778053534388e-13</x:v>
      </x:c>
      <x:c r="X196" s="80" t="n">
        <x:f>W196*('Inputs'!$B$6-AC196)</x:f>
        <x:v>-0.00035833666965098067</x:v>
      </x:c>
      <x:c r="Y196" s="80" t="n">
        <x:f>2*V196</x:f>
        <x:v>0.20354567660811976</x:v>
      </x:c>
      <x:c r="Z196" s="80" t="n">
        <x:f>K196*'Inputs'!$B$16+(G196+R196)*J196*'Inputs'!$B$16</x:f>
        <x:v>0.00024426099291437913</x:v>
      </x:c>
      <x:c r="AA196" s="80" t="n">
        <x:f>K196*(1+'Inputs'!$E$44)/2*'Inputs'!$B$17</x:f>
        <x:v>0.00006552825359247211</x:v>
      </x:c>
      <x:c r="AB196" s="78" t="n">
        <x:f>(IF(J196&gt;0,K196*(1-'Inputs'!$E$44)/2/J196,0)+G196+R196)*'Inputs'!$B$17</x:f>
        <x:v>3396.952365346143</x:v>
      </x:c>
      <x:c r="AC196" s="78" t="n">
        <x:f>AC195+AB196</x:f>
        <x:v>1409912797.4383903</x:v>
      </x:c>
      <x:c r="AD196" s="80" t="n">
        <x:f>Z196/(1+'Inputs'!$C$44)</x:f>
        <x:v>0.0001954087943315033</x:v>
      </x:c>
      <x:c r="AE196" s="80" t="n">
        <x:f>Z196-AD196</x:f>
        <x:v>0.00004885219858287584</x:v>
      </x:c>
      <x:c r="AF196" s="80" t="n">
        <x:f>D196*W196</x:f>
        <x:v>2.4329730688659143e-7</x:v>
      </x:c>
      <x:c r="AG196" s="80" t="n">
        <x:f>C196*W196</x:f>
        <x:v>5.676937160687306e-7</x:v>
      </x:c>
      <x:c r="AH196" s="80" t="n">
        <x:f>2*'Inputs'!$B$8*'Inputs'!$C$44</x:f>
        <x:v>1250</x:v>
      </x:c>
      <x:c r="AI196" s="81" t="n">
        <x:f>IF(AH196&gt;0,(AE196+AF196)/AH196*365,0)</x:f>
        <x:v>0.000014335884799810629</x:v>
      </x:c>
      <x:c r="AJ196" s="81" t="n">
        <x:f>IF('Inputs'!$B$44&gt;0,AG196/('Inputs'!$B$19*'Inputs'!$B$44)*365,0)</x:f>
        <x:v>2.0720820636508668e-8</x:v>
      </x:c>
      <x:c r="AK196" s="81" t="n">
        <x:f>W196/MAX($W$4:W196)-1</x:f>
        <x:v>-0.9999999987153293</x:v>
      </x:c>
      <x:c r="AL196" s="83" t="n">
        <x:f>'Inputs'!$B$44</x:f>
        <x:v>1</x:v>
      </x:c>
      <x:c r="AM196" s="83" t="n">
        <x:f>'Inputs'!$C$44</x:f>
        <x:v>0.25</x:v>
      </x:c>
      <x:c r="AN196" s="83" t="n">
        <x:f>'Inputs'!$D$44</x:f>
        <x:v>0.2</x:v>
      </x:c>
      <x:c r="AO196" s="81" t="n">
        <x:f>'Inputs'!$E$44</x:f>
        <x:v>-0.2</x:v>
      </x:c>
    </x:row>
    <x:row r="197">
      <x:c r="A197" s="59" t="str">
        <x:v>No demand</x:v>
      </x:c>
      <x:c r="B197" s="59" t="n">
        <x:v>194</x:v>
      </x:c>
      <x:c r="C197" s="78" t="n">
        <x:f>(('Inputs'!$B$29*(3*194*'Inputs'!$B$12-194^2)/(2*'Inputs'!$B$12^2))-('Inputs'!$B$29*(3*193*'Inputs'!$B$12-193^2)/(2*'Inputs'!$B$12^2)))*'Inputs'!$B$44</x:f>
        <x:v>649077.9226871729</x:v>
      </x:c>
      <x:c r="D197" s="78" t="n">
        <x:f>IF('Inputs'!$C$44&gt;0,('Inputs'!$B$30*(3*194*'Inputs'!$B$12-194^2)/(2*'Inputs'!$B$12^2))-('Inputs'!$B$30*(3*193*'Inputs'!$B$12-193^2)/(2*'Inputs'!$B$12^2)),0)</x:f>
        <x:v>278176.25258022547</x:v>
      </x:c>
      <x:c r="E197" s="78" t="n">
        <x:f>C197+D197</x:f>
        <x:v>927254.1752673984</x:v>
      </x:c>
      <x:c r="F197" s="78" t="n">
        <x:f>'Inputs'!$B$13*E197+(1-'Inputs'!$B$13)/'Inputs'!$B$14*SUM(E142:E197)</x:f>
        <x:v>937471.8521298541</x:v>
      </x:c>
      <x:c r="G197" s="78" t="n">
        <x:f>F197*'Inputs'!$F$44</x:f>
        <x:v>843724.6669168688</x:v>
      </x:c>
      <x:c r="H197" s="78" t="n">
        <x:f>U196</x:f>
        <x:v>116421210514.3897</x:v>
      </x:c>
      <x:c r="I197" s="78" t="n">
        <x:f>V196</x:f>
        <x:v>0.10177283830405988</x:v>
      </x:c>
      <x:c r="J197" s="79" t="n">
        <x:f>IF(H197&gt;0,I197/H197,0)</x:f>
        <x:v>8.741778053534388e-13</x:v>
      </x:c>
      <x:c r="K197" s="80" t="n">
        <x:f>(H197*J197+I197)*'Inputs'!$D$44*(1+'Inputs'!$G$44)^(B197/30)</x:f>
        <x:v>0.04070913532162396</x:v>
      </x:c>
      <x:c r="L197" s="80" t="n">
        <x:f>MAX(0,K197*'Inputs'!$E$44)</x:f>
        <x:v>0</x:v>
      </x:c>
      <x:c r="M197" s="80" t="n">
        <x:f>MAX(0,-K197*'Inputs'!$E$44)</x:f>
        <x:v>0.008141827064324791</x:v>
      </x:c>
      <x:c r="N197" s="78" t="n">
        <x:f>H197*(L197*(1-'Inputs'!$B$15))/(I197+L197*(1-'Inputs'!$B$15))</x:f>
        <x:v>0</x:v>
      </x:c>
      <x:c r="O197" s="78" t="n">
        <x:f>H197-N197</x:f>
        <x:v>116421210514.3897</x:v>
      </x:c>
      <x:c r="P197" s="78" t="n">
        <x:f>I197+L197*(1-'Inputs'!$B$17)</x:f>
        <x:v>0.10177283830405988</x:v>
      </x:c>
      <x:c r="Q197" s="78" t="n">
        <x:f>IF(J197&gt;0,M197/J197,0)</x:f>
        <x:v>0</x:v>
      </x:c>
      <x:c r="R197" s="78" t="n">
        <x:f>IF(B197='Inputs'!$H$44,'Inputs'!$B$27*'Inputs'!$I$44,0)</x:f>
        <x:v>0</x:v>
      </x:c>
      <x:c r="S197" s="78" t="n">
        <x:f>Q197+G197+R197</x:f>
        <x:v>843724.6669168688</x:v>
      </x:c>
      <x:c r="T197" s="78" t="n">
        <x:f>P197*(S197*(1-'Inputs'!$B$15))/(O197+S197*(1-'Inputs'!$B$15))</x:f>
        <x:v>7.301844850158345e-7</x:v>
      </x:c>
      <x:c r="U197" s="78" t="n">
        <x:f>O197+S197*(1-'Inputs'!$B$17)</x:f>
        <x:v>116422050843.78632</x:v>
      </x:c>
      <x:c r="V197" s="78" t="n">
        <x:f>P197-T197</x:f>
        <x:v>0.10177210811957486</x:v>
      </x:c>
      <x:c r="W197" s="79" t="n">
        <x:f>IF(U197&gt;0,V197/U197,0)</x:f>
        <x:v>8.741652237008901e-13</x:v>
      </x:c>
      <x:c r="X197" s="80" t="n">
        <x:f>W197*('Inputs'!$B$6-AC197)</x:f>
        <x:v>-0.00035833448029780015</x:v>
      </x:c>
      <x:c r="Y197" s="80" t="n">
        <x:f>2*V197</x:f>
        <x:v>0.20354421623914973</x:v>
      </x:c>
      <x:c r="Z197" s="80" t="n">
        <x:f>K197*'Inputs'!$B$16+(G197+R197)*J197*'Inputs'!$B$16</x:f>
        <x:v>0.0002442592373220097</x:v>
      </x:c>
      <x:c r="AA197" s="80" t="n">
        <x:f>K197*(1+'Inputs'!$E$44)/2*'Inputs'!$B$17</x:f>
        <x:v>0.00006552778321388162</x:v>
      </x:c>
      <x:c r="AB197" s="78" t="n">
        <x:f>(IF(J197&gt;0,K197*(1-'Inputs'!$E$44)/2/J197,0)+G197+R197)*'Inputs'!$B$17</x:f>
        <x:v>3395.270289403899</x:v>
      </x:c>
      <x:c r="AC197" s="78" t="n">
        <x:f>AC196+AB197</x:f>
        <x:v>1409916192.7086797</x:v>
      </x:c>
      <x:c r="AD197" s="80" t="n">
        <x:f>Z197/(1+'Inputs'!$C$44)</x:f>
        <x:v>0.00019540738985760774</x:v>
      </x:c>
      <x:c r="AE197" s="80" t="n">
        <x:f>Z197-AD197</x:f>
        <x:v>0.00004885184746440194</x:v>
      </x:c>
      <x:c r="AF197" s="80" t="n">
        <x:f>D197*W197</x:f>
        <x:v>2.431720060650681e-7</x:v>
      </x:c>
      <x:c r="AG197" s="80" t="n">
        <x:f>C197*W197</x:f>
        <x:v>5.674013474851416e-7</x:v>
      </x:c>
      <x:c r="AH197" s="80" t="n">
        <x:f>2*'Inputs'!$B$8*'Inputs'!$C$44</x:f>
        <x:v>1250</x:v>
      </x:c>
      <x:c r="AI197" s="81" t="n">
        <x:f>IF(AH197&gt;0,(AE197+AF197)/AH197*365,0)</x:f>
        <x:v>0.000014335745685376367</x:v>
      </x:c>
      <x:c r="AJ197" s="81" t="n">
        <x:f>IF('Inputs'!$B$44&gt;0,AG197/('Inputs'!$B$19*'Inputs'!$B$44)*365,0)</x:f>
        <x:v>2.071014918320767e-8</x:v>
      </x:c>
      <x:c r="AK197" s="81" t="n">
        <x:f>W197/MAX($W$4:W197)-1</x:f>
        <x:v>-0.9999999987153478</x:v>
      </x:c>
      <x:c r="AL197" s="83" t="n">
        <x:f>'Inputs'!$B$44</x:f>
        <x:v>1</x:v>
      </x:c>
      <x:c r="AM197" s="83" t="n">
        <x:f>'Inputs'!$C$44</x:f>
        <x:v>0.25</x:v>
      </x:c>
      <x:c r="AN197" s="83" t="n">
        <x:f>'Inputs'!$D$44</x:f>
        <x:v>0.2</x:v>
      </x:c>
      <x:c r="AO197" s="81" t="n">
        <x:f>'Inputs'!$E$44</x:f>
        <x:v>-0.2</x:v>
      </x:c>
    </x:row>
    <x:row r="198">
      <x:c r="A198" s="59" t="str">
        <x:v>No demand</x:v>
      </x:c>
      <x:c r="B198" s="59" t="n">
        <x:v>195</x:v>
      </x:c>
      <x:c r="C198" s="78" t="n">
        <x:f>(('Inputs'!$B$29*(3*195*'Inputs'!$B$12-195^2)/(2*'Inputs'!$B$12^2))-('Inputs'!$B$29*(3*194*'Inputs'!$B$12-194^2)/(2*'Inputs'!$B$12^2)))*'Inputs'!$B$44</x:f>
        <x:v>648752.8147870153</x:v>
      </x:c>
      <x:c r="D198" s="78" t="n">
        <x:f>IF('Inputs'!$C$44&gt;0,('Inputs'!$B$30*(3*195*'Inputs'!$B$12-195^2)/(2*'Inputs'!$B$12^2))-('Inputs'!$B$30*(3*194*'Inputs'!$B$12-194^2)/(2*'Inputs'!$B$12^2)),0)</x:f>
        <x:v>278036.92062300444</x:v>
      </x:c>
      <x:c r="E198" s="78" t="n">
        <x:f>C198+D198</x:f>
        <x:v>926789.7354100198</x:v>
      </x:c>
      <x:c r="F198" s="78" t="n">
        <x:f>'Inputs'!$B$13*E198+(1-'Inputs'!$B$13)/'Inputs'!$B$14*SUM(E143:E198)</x:f>
        <x:v>937007.4122724712</x:v>
      </x:c>
      <x:c r="G198" s="78" t="n">
        <x:f>F198*'Inputs'!$F$44</x:f>
        <x:v>843306.6710452242</x:v>
      </x:c>
      <x:c r="H198" s="78" t="n">
        <x:f>U197</x:f>
        <x:v>116422050843.78632</x:v>
      </x:c>
      <x:c r="I198" s="78" t="n">
        <x:f>V197</x:f>
        <x:v>0.10177210811957486</x:v>
      </x:c>
      <x:c r="J198" s="79" t="n">
        <x:f>IF(H198&gt;0,I198/H198,0)</x:f>
        <x:v>8.741652237008901e-13</x:v>
      </x:c>
      <x:c r="K198" s="80" t="n">
        <x:f>(H198*J198+I198)*'Inputs'!$D$44*(1+'Inputs'!$G$44)^(B198/30)</x:f>
        <x:v>0.040708843247829946</x:v>
      </x:c>
      <x:c r="L198" s="80" t="n">
        <x:f>MAX(0,K198*'Inputs'!$E$44)</x:f>
        <x:v>0</x:v>
      </x:c>
      <x:c r="M198" s="80" t="n">
        <x:f>MAX(0,-K198*'Inputs'!$E$44)</x:f>
        <x:v>0.00814176864956599</x:v>
      </x:c>
      <x:c r="N198" s="78" t="n">
        <x:f>H198*(L198*(1-'Inputs'!$B$15))/(I198+L198*(1-'Inputs'!$B$15))</x:f>
        <x:v>0</x:v>
      </x:c>
      <x:c r="O198" s="78" t="n">
        <x:f>H198-N198</x:f>
        <x:v>116422050843.78632</x:v>
      </x:c>
      <x:c r="P198" s="78" t="n">
        <x:f>I198+L198*(1-'Inputs'!$B$17)</x:f>
        <x:v>0.10177210811957486</x:v>
      </x:c>
      <x:c r="Q198" s="78" t="n">
        <x:f>IF(J198&gt;0,M198/J198,0)</x:f>
        <x:v>0</x:v>
      </x:c>
      <x:c r="R198" s="78" t="n">
        <x:f>IF(B198='Inputs'!$H$44,'Inputs'!$B$27*'Inputs'!$I$44,0)</x:f>
        <x:v>0</x:v>
      </x:c>
      <x:c r="S198" s="78" t="n">
        <x:f>Q198+G198+R198</x:f>
        <x:v>843306.6710452242</x:v>
      </x:c>
      <x:c r="T198" s="78" t="n">
        <x:f>P198*(S198*(1-'Inputs'!$B$15))/(O198+S198*(1-'Inputs'!$B$15))</x:f>
        <x:v>7.298122375422761e-7</x:v>
      </x:c>
      <x:c r="U198" s="78" t="n">
        <x:f>O198+S198*(1-'Inputs'!$B$17)</x:f>
        <x:v>116422890756.86914</x:v>
      </x:c>
      <x:c r="V198" s="78" t="n">
        <x:f>P198-T198</x:f>
        <x:v>0.10177137830733732</x:v>
      </x:c>
      <x:c r="W198" s="79" t="n">
        <x:f>IF(U198&gt;0,V198/U198,0)</x:f>
        <x:v>8.741526485532025e-13</x:v>
      </x:c>
      <x:c r="X198" s="80" t="n">
        <x:f>W198*('Inputs'!$B$6-AC198)</x:f>
        <x:v>-0.0003583322920552622</x:v>
      </x:c>
      <x:c r="Y198" s="80" t="n">
        <x:f>2*V198</x:f>
        <x:v>0.20354275661467464</x:v>
      </x:c>
      <x:c r="Z198" s="80" t="n">
        <x:f>K198*'Inputs'!$B$16+(G198+R198)*J198*'Inputs'!$B$16</x:f>
        <x:v>0.00024425748262316816</x:v>
      </x:c>
      <x:c r="AA198" s="80" t="n">
        <x:f>K198*(1+'Inputs'!$E$44)/2*'Inputs'!$B$17</x:f>
        <x:v>0.00006552731307497779</x:v>
      </x:c>
      <x:c r="AB198" s="78" t="n">
        <x:f>(IF(J198&gt;0,K198*(1-'Inputs'!$E$44)/2/J198,0)+G198+R198)*'Inputs'!$B$17</x:f>
        <x:v>3393.5882134616672</x:v>
      </x:c>
      <x:c r="AC198" s="78" t="n">
        <x:f>AC197+AB198</x:f>
        <x:v>1409919586.2968931</x:v>
      </x:c>
      <x:c r="AD198" s="80" t="n">
        <x:f>Z198/(1+'Inputs'!$C$44)</x:f>
        <x:v>0.00019540598609853454</x:v>
      </x:c>
      <x:c r="AE198" s="80" t="n">
        <x:f>Z198-AD198</x:f>
        <x:v>0.00004885149652463362</x:v>
      </x:c>
      <x:c r="AF198" s="80" t="n">
        <x:f>D198*W198</x:f>
        <x:v>2.4304671055817584e-7</x:v>
      </x:c>
      <x:c r="AG198" s="80" t="n">
        <x:f>C198*W198</x:f>
        <x:v>5.671089913024147e-7</x:v>
      </x:c>
      <x:c r="AH198" s="80" t="n">
        <x:f>2*'Inputs'!$B$8*'Inputs'!$C$44</x:f>
        <x:v>1250</x:v>
      </x:c>
      <x:c r="AI198" s="81" t="n">
        <x:f>IF(AH198&gt;0,(AE198+AF198)/AH198*365,0)</x:f>
        <x:v>0.000014335606624676004</x:v>
      </x:c>
      <x:c r="AJ198" s="81" t="n">
        <x:f>IF('Inputs'!$B$44&gt;0,AG198/('Inputs'!$B$19*'Inputs'!$B$44)*365,0)</x:f>
        <x:v>2.0699478182538137e-8</x:v>
      </x:c>
      <x:c r="AK198" s="81" t="n">
        <x:f>W198/MAX($W$4:W198)-1</x:f>
        <x:v>-0.9999999987153663</x:v>
      </x:c>
      <x:c r="AL198" s="83" t="n">
        <x:f>'Inputs'!$B$44</x:f>
        <x:v>1</x:v>
      </x:c>
      <x:c r="AM198" s="83" t="n">
        <x:f>'Inputs'!$C$44</x:f>
        <x:v>0.25</x:v>
      </x:c>
      <x:c r="AN198" s="83" t="n">
        <x:f>'Inputs'!$D$44</x:f>
        <x:v>0.2</x:v>
      </x:c>
      <x:c r="AO198" s="81" t="n">
        <x:f>'Inputs'!$E$44</x:f>
        <x:v>-0.2</x:v>
      </x:c>
    </x:row>
    <x:row r="199">
      <x:c r="A199" s="59" t="str">
        <x:v>No demand</x:v>
      </x:c>
      <x:c r="B199" s="59" t="n">
        <x:v>196</x:v>
      </x:c>
      <x:c r="C199" s="78" t="n">
        <x:f>(('Inputs'!$B$29*(3*196*'Inputs'!$B$12-196^2)/(2*'Inputs'!$B$12^2))-('Inputs'!$B$29*(3*195*'Inputs'!$B$12-195^2)/(2*'Inputs'!$B$12^2)))*'Inputs'!$B$44</x:f>
        <x:v>648427.7068868428</x:v>
      </x:c>
      <x:c r="D199" s="78" t="n">
        <x:f>IF('Inputs'!$C$44&gt;0,('Inputs'!$B$30*(3*196*'Inputs'!$B$12-196^2)/(2*'Inputs'!$B$12^2))-('Inputs'!$B$30*(3*195*'Inputs'!$B$12-195^2)/(2*'Inputs'!$B$12^2)),0)</x:f>
        <x:v>277897.58866579086</x:v>
      </x:c>
      <x:c r="E199" s="78" t="n">
        <x:f>C199+D199</x:f>
        <x:v>926325.2955526337</x:v>
      </x:c>
      <x:c r="F199" s="78" t="n">
        <x:f>'Inputs'!$B$13*E199+(1-'Inputs'!$B$13)/'Inputs'!$B$14*SUM(E144:E199)</x:f>
        <x:v>936542.9724150866</x:v>
      </x:c>
      <x:c r="G199" s="78" t="n">
        <x:f>F199*'Inputs'!$F$44</x:f>
        <x:v>842888.675173578</x:v>
      </x:c>
      <x:c r="H199" s="78" t="n">
        <x:f>U198</x:f>
        <x:v>116422890756.86914</x:v>
      </x:c>
      <x:c r="I199" s="78" t="n">
        <x:f>V198</x:f>
        <x:v>0.10177137830733732</x:v>
      </x:c>
      <x:c r="J199" s="79" t="n">
        <x:f>IF(H199&gt;0,I199/H199,0)</x:f>
        <x:v>8.741526485532025e-13</x:v>
      </x:c>
      <x:c r="K199" s="80" t="n">
        <x:f>(H199*J199+I199)*'Inputs'!$D$44*(1+'Inputs'!$G$44)^(B199/30)</x:f>
        <x:v>0.04070855132293493</x:v>
      </x:c>
      <x:c r="L199" s="80" t="n">
        <x:f>MAX(0,K199*'Inputs'!$E$44)</x:f>
        <x:v>0</x:v>
      </x:c>
      <x:c r="M199" s="80" t="n">
        <x:f>MAX(0,-K199*'Inputs'!$E$44)</x:f>
        <x:v>0.008141710264586986</x:v>
      </x:c>
      <x:c r="N199" s="78" t="n">
        <x:f>H199*(L199*(1-'Inputs'!$B$15))/(I199+L199*(1-'Inputs'!$B$15))</x:f>
        <x:v>0</x:v>
      </x:c>
      <x:c r="O199" s="78" t="n">
        <x:f>H199-N199</x:f>
        <x:v>116422890756.86914</x:v>
      </x:c>
      <x:c r="P199" s="78" t="n">
        <x:f>I199+L199*(1-'Inputs'!$B$17)</x:f>
        <x:v>0.10177137830733732</x:v>
      </x:c>
      <x:c r="Q199" s="78" t="n">
        <x:f>IF(J199&gt;0,M199/J199,0)</x:f>
        <x:v>0</x:v>
      </x:c>
      <x:c r="R199" s="78" t="n">
        <x:f>IF(B199='Inputs'!$H$44,'Inputs'!$B$27*'Inputs'!$I$44,0)</x:f>
        <x:v>0</x:v>
      </x:c>
      <x:c r="S199" s="78" t="n">
        <x:f>Q199+G199+R199</x:f>
        <x:v>842888.675173578</x:v>
      </x:c>
      <x:c r="T199" s="78" t="n">
        <x:f>P199*(S199*(1-'Inputs'!$B$15))/(O199+S199*(1-'Inputs'!$B$15))</x:f>
        <x:v>7.294400059068825e-7</x:v>
      </x:c>
      <x:c r="U199" s="78" t="n">
        <x:f>O199+S199*(1-'Inputs'!$B$17)</x:f>
        <x:v>116423730253.63818</x:v>
      </x:c>
      <x:c r="V199" s="78" t="n">
        <x:f>P199-T199</x:f>
        <x:v>0.1017706488673314</x:v>
      </x:c>
      <x:c r="W199" s="79" t="n">
        <x:f>IF(U199&gt;0,V199/U199,0)</x:f>
        <x:v>8.741400799099643e-13</x:v>
      </x:c>
      <x:c r="X199" s="80" t="n">
        <x:f>W199*('Inputs'!$B$6-AC199)</x:f>
        <x:v>-0.0003583301049233277</x:v>
      </x:c>
      <x:c r="Y199" s="80" t="n">
        <x:f>2*V199</x:f>
        <x:v>0.2035412977346628</x:v>
      </x:c>
      <x:c r="Z199" s="80" t="n">
        <x:f>K199*'Inputs'!$B$16+(G199+R199)*J199*'Inputs'!$B$16</x:f>
        <x:v>0.00024425572881781667</x:v>
      </x:c>
      <x:c r="AA199" s="80" t="n">
        <x:f>K199*(1+'Inputs'!$E$44)/2*'Inputs'!$B$17</x:f>
        <x:v>0.0000655268431757504</x:v>
      </x:c>
      <x:c r="AB199" s="78" t="n">
        <x:f>(IF(J199&gt;0,K199*(1-'Inputs'!$E$44)/2/J199,0)+G199+R199)*'Inputs'!$B$17</x:f>
        <x:v>3391.9061375194287</x:v>
      </x:c>
      <x:c r="AC199" s="78" t="n">
        <x:f>AC198+AB199</x:f>
        <x:v>1409922978.2030306</x:v>
      </x:c>
      <x:c r="AD199" s="80" t="n">
        <x:f>Z199/(1+'Inputs'!$C$44)</x:f>
        <x:v>0.00019540458305425333</x:v>
      </x:c>
      <x:c r="AE199" s="80" t="n">
        <x:f>Z199-AD199</x:f>
        <x:v>0.00004885114576356334</x:v>
      </x:c>
      <x:c r="AF199" s="80" t="n">
        <x:f>D199*W199</x:f>
        <x:v>2.429214203631008e-7</x:v>
      </x:c>
      <x:c r="AG199" s="80" t="n">
        <x:f>C199*W199</x:f>
        <x:v>5.668166475138997e-7</x:v>
      </x:c>
      <x:c r="AH199" s="80" t="n">
        <x:f>2*'Inputs'!$B$8*'Inputs'!$C$44</x:f>
        <x:v>1250</x:v>
      </x:c>
      <x:c r="AI199" s="81" t="n">
        <x:f>IF(AH199&gt;0,(AE199+AF199)/AH199*365,0)</x:f>
        <x:v>0.00001433546761770652</x:v>
      </x:c>
      <x:c r="AJ199" s="81" t="n">
        <x:f>IF('Inputs'!$B$44&gt;0,AG199/('Inputs'!$B$19*'Inputs'!$B$44)*365,0)</x:f>
        <x:v>2.068880763425734e-8</x:v>
      </x:c>
      <x:c r="AK199" s="81" t="n">
        <x:f>W199/MAX($W$4:W199)-1</x:f>
        <x:v>-0.9999999987153848</x:v>
      </x:c>
      <x:c r="AL199" s="83" t="n">
        <x:f>'Inputs'!$B$44</x:f>
        <x:v>1</x:v>
      </x:c>
      <x:c r="AM199" s="83" t="n">
        <x:f>'Inputs'!$C$44</x:f>
        <x:v>0.25</x:v>
      </x:c>
      <x:c r="AN199" s="83" t="n">
        <x:f>'Inputs'!$D$44</x:f>
        <x:v>0.2</x:v>
      </x:c>
      <x:c r="AO199" s="81" t="n">
        <x:f>'Inputs'!$E$44</x:f>
        <x:v>-0.2</x:v>
      </x:c>
    </x:row>
    <x:row r="200">
      <x:c r="A200" s="59" t="str">
        <x:v>No demand</x:v>
      </x:c>
      <x:c r="B200" s="59" t="n">
        <x:v>197</x:v>
      </x:c>
      <x:c r="C200" s="78" t="n">
        <x:f>(('Inputs'!$B$29*(3*197*'Inputs'!$B$12-197^2)/(2*'Inputs'!$B$12^2))-('Inputs'!$B$29*(3*196*'Inputs'!$B$12-196^2)/(2*'Inputs'!$B$12^2)))*'Inputs'!$B$44</x:f>
        <x:v>648102.5989866853</x:v>
      </x:c>
      <x:c r="D200" s="78" t="n">
        <x:f>IF('Inputs'!$C$44&gt;0,('Inputs'!$B$30*(3*197*'Inputs'!$B$12-197^2)/(2*'Inputs'!$B$12^2))-('Inputs'!$B$30*(3*196*'Inputs'!$B$12-196^2)/(2*'Inputs'!$B$12^2)),0)</x:f>
        <x:v>277758.2567085773</x:v>
      </x:c>
      <x:c r="E200" s="78" t="n">
        <x:f>C200+D200</x:f>
        <x:v>925860.8556952626</x:v>
      </x:c>
      <x:c r="F200" s="78" t="n">
        <x:f>'Inputs'!$B$13*E200+(1-'Inputs'!$B$13)/'Inputs'!$B$14*SUM(E145:E200)</x:f>
        <x:v>936078.5325577052</x:v>
      </x:c>
      <x:c r="G200" s="78" t="n">
        <x:f>F200*'Inputs'!$F$44</x:f>
        <x:v>842470.6793019347</x:v>
      </x:c>
      <x:c r="H200" s="78" t="n">
        <x:f>U199</x:f>
        <x:v>116423730253.63818</x:v>
      </x:c>
      <x:c r="I200" s="78" t="n">
        <x:f>V199</x:f>
        <x:v>0.1017706488673314</x:v>
      </x:c>
      <x:c r="J200" s="79" t="n">
        <x:f>IF(H200&gt;0,I200/H200,0)</x:f>
        <x:v>8.741400799099643e-13</x:v>
      </x:c>
      <x:c r="K200" s="80" t="n">
        <x:f>(H200*J200+I200)*'Inputs'!$D$44*(1+'Inputs'!$G$44)^(B200/30)</x:f>
        <x:v>0.040708259546932565</x:v>
      </x:c>
      <x:c r="L200" s="80" t="n">
        <x:f>MAX(0,K200*'Inputs'!$E$44)</x:f>
        <x:v>0</x:v>
      </x:c>
      <x:c r="M200" s="80" t="n">
        <x:f>MAX(0,-K200*'Inputs'!$E$44)</x:f>
        <x:v>0.008141651909386514</x:v>
      </x:c>
      <x:c r="N200" s="78" t="n">
        <x:f>H200*(L200*(1-'Inputs'!$B$15))/(I200+L200*(1-'Inputs'!$B$15))</x:f>
        <x:v>0</x:v>
      </x:c>
      <x:c r="O200" s="78" t="n">
        <x:f>H200-N200</x:f>
        <x:v>116423730253.63818</x:v>
      </x:c>
      <x:c r="P200" s="78" t="n">
        <x:f>I200+L200*(1-'Inputs'!$B$17)</x:f>
        <x:v>0.1017706488673314</x:v>
      </x:c>
      <x:c r="Q200" s="78" t="n">
        <x:f>IF(J200&gt;0,M200/J200,0)</x:f>
        <x:v>0</x:v>
      </x:c>
      <x:c r="R200" s="78" t="n">
        <x:f>IF(B200='Inputs'!$H$44,'Inputs'!$B$27*'Inputs'!$I$44,0)</x:f>
        <x:v>0</x:v>
      </x:c>
      <x:c r="S200" s="78" t="n">
        <x:f>Q200+G200+R200</x:f>
        <x:v>842470.6793019347</x:v>
      </x:c>
      <x:c r="T200" s="78" t="n">
        <x:f>P200*(S200*(1-'Inputs'!$B$15))/(O200+S200*(1-'Inputs'!$B$15))</x:f>
        <x:v>7.290677901012389e-7</x:v>
      </x:c>
      <x:c r="U200" s="78" t="n">
        <x:f>O200+S200*(1-'Inputs'!$B$17)</x:f>
        <x:v>116424569334.09343</x:v>
      </x:c>
      <x:c r="V200" s="78" t="n">
        <x:f>P200-T200</x:f>
        <x:v>0.10176991979954131</x:v>
      </x:c>
      <x:c r="W200" s="79" t="n">
        <x:f>IF(U200&gt;0,V200/U200,0)</x:f>
        <x:v>8.741275177707641e-13</x:v>
      </x:c>
      <x:c r="X200" s="80" t="n">
        <x:f>W200*('Inputs'!$B$6-AC200)</x:f>
        <x:v>-0.0003583279189019577</x:v>
      </x:c>
      <x:c r="Y200" s="80" t="n">
        <x:f>2*V200</x:f>
        <x:v>0.20353983959908262</x:v>
      </x:c>
      <x:c r="Z200" s="80" t="n">
        <x:f>K200*'Inputs'!$B$16+(G200+R200)*J200*'Inputs'!$B$16</x:f>
        <x:v>0.000244253975905917</x:v>
      </x:c>
      <x:c r="AA200" s="80" t="n">
        <x:f>K200*(1+'Inputs'!$E$44)/2*'Inputs'!$B$17</x:f>
        <x:v>0.00006552637351618925</x:v>
      </x:c>
      <x:c r="AB200" s="78" t="n">
        <x:f>(IF(J200&gt;0,K200*(1-'Inputs'!$E$44)/2/J200,0)+G200+R200)*'Inputs'!$B$17</x:f>
        <x:v>3390.224061577202</x:v>
      </x:c>
      <x:c r="AC200" s="78" t="n">
        <x:f>AC199+AB200</x:f>
        <x:v>1409926368.427092</x:v>
      </x:c>
      <x:c r="AD200" s="80" t="n">
        <x:f>Z200/(1+'Inputs'!$C$44)</x:f>
        <x:v>0.0001954031807247336</x:v>
      </x:c>
      <x:c r="AE200" s="80" t="n">
        <x:f>Z200-AD200</x:f>
        <x:v>0.0000488507951811834</x:v>
      </x:c>
      <x:c r="AF200" s="80" t="n">
        <x:f>D200*W200</x:f>
        <x:v>2.427961354770033e-7</x:v>
      </x:c>
      <x:c r="AG200" s="80" t="n">
        <x:f>C200*W200</x:f>
        <x:v>5.665243161130121e-7</x:v>
      </x:c>
      <x:c r="AH200" s="80" t="n">
        <x:f>2*'Inputs'!$B$8*'Inputs'!$C$44</x:f>
        <x:v>1250</x:v>
      </x:c>
      <x:c r="AI200" s="81" t="n">
        <x:f>IF(AH200&gt;0,(AE200+AF200)/AH200*365,0)</x:f>
        <x:v>0.000014335328664464838</x:v>
      </x:c>
      <x:c r="AJ200" s="81" t="n">
        <x:f>IF('Inputs'!$B$44&gt;0,AG200/('Inputs'!$B$19*'Inputs'!$B$44)*365,0)</x:f>
        <x:v>2.067813753812494e-8</x:v>
      </x:c>
      <x:c r="AK200" s="81" t="n">
        <x:f>W200/MAX($W$4:W200)-1</x:f>
        <x:v>-0.9999999987154032</x:v>
      </x:c>
      <x:c r="AL200" s="83" t="n">
        <x:f>'Inputs'!$B$44</x:f>
        <x:v>1</x:v>
      </x:c>
      <x:c r="AM200" s="83" t="n">
        <x:f>'Inputs'!$C$44</x:f>
        <x:v>0.25</x:v>
      </x:c>
      <x:c r="AN200" s="83" t="n">
        <x:f>'Inputs'!$D$44</x:f>
        <x:v>0.2</x:v>
      </x:c>
      <x:c r="AO200" s="81" t="n">
        <x:f>'Inputs'!$E$44</x:f>
        <x:v>-0.2</x:v>
      </x:c>
    </x:row>
    <x:row r="201">
      <x:c r="A201" s="59" t="str">
        <x:v>No demand</x:v>
      </x:c>
      <x:c r="B201" s="59" t="n">
        <x:v>198</x:v>
      </x:c>
      <x:c r="C201" s="78" t="n">
        <x:f>(('Inputs'!$B$29*(3*198*'Inputs'!$B$12-198^2)/(2*'Inputs'!$B$12^2))-('Inputs'!$B$29*(3*197*'Inputs'!$B$12-197^2)/(2*'Inputs'!$B$12^2)))*'Inputs'!$B$44</x:f>
        <x:v>647777.4910865128</x:v>
      </x:c>
      <x:c r="D201" s="78" t="n">
        <x:f>IF('Inputs'!$C$44&gt;0,('Inputs'!$B$30*(3*198*'Inputs'!$B$12-198^2)/(2*'Inputs'!$B$12^2))-('Inputs'!$B$30*(3*197*'Inputs'!$B$12-197^2)/(2*'Inputs'!$B$12^2)),0)</x:f>
        <x:v>277618.92475135624</x:v>
      </x:c>
      <x:c r="E201" s="78" t="n">
        <x:f>C201+D201</x:f>
        <x:v>925396.415837869</x:v>
      </x:c>
      <x:c r="F201" s="78" t="n">
        <x:f>'Inputs'!$B$13*E201+(1-'Inputs'!$B$13)/'Inputs'!$B$14*SUM(E146:E201)</x:f>
        <x:v>935614.0927003194</x:v>
      </x:c>
      <x:c r="G201" s="78" t="n">
        <x:f>F201*'Inputs'!$F$44</x:f>
        <x:v>842052.6834302874</x:v>
      </x:c>
      <x:c r="H201" s="78" t="n">
        <x:f>U200</x:f>
        <x:v>116424569334.09343</x:v>
      </x:c>
      <x:c r="I201" s="78" t="n">
        <x:f>V200</x:f>
        <x:v>0.10176991979954131</x:v>
      </x:c>
      <x:c r="J201" s="79" t="n">
        <x:f>IF(H201&gt;0,I201/H201,0)</x:f>
        <x:v>8.741275177707641e-13</x:v>
      </x:c>
      <x:c r="K201" s="80" t="n">
        <x:f>(H201*J201+I201)*'Inputs'!$D$44*(1+'Inputs'!$G$44)^(B201/30)</x:f>
        <x:v>0.040707967919816526</x:v>
      </x:c>
      <x:c r="L201" s="80" t="n">
        <x:f>MAX(0,K201*'Inputs'!$E$44)</x:f>
        <x:v>0</x:v>
      </x:c>
      <x:c r="M201" s="80" t="n">
        <x:f>MAX(0,-K201*'Inputs'!$E$44)</x:f>
        <x:v>0.008141593583963306</x:v>
      </x:c>
      <x:c r="N201" s="78" t="n">
        <x:f>H201*(L201*(1-'Inputs'!$B$15))/(I201+L201*(1-'Inputs'!$B$15))</x:f>
        <x:v>0</x:v>
      </x:c>
      <x:c r="O201" s="78" t="n">
        <x:f>H201-N201</x:f>
        <x:v>116424569334.09343</x:v>
      </x:c>
      <x:c r="P201" s="78" t="n">
        <x:f>I201+L201*(1-'Inputs'!$B$17)</x:f>
        <x:v>0.10176991979954131</x:v>
      </x:c>
      <x:c r="Q201" s="78" t="n">
        <x:f>IF(J201&gt;0,M201/J201,0)</x:f>
        <x:v>0</x:v>
      </x:c>
      <x:c r="R201" s="78" t="n">
        <x:f>IF(B201='Inputs'!$H$44,'Inputs'!$B$27*'Inputs'!$I$44,0)</x:f>
        <x:v>0</x:v>
      </x:c>
      <x:c r="S201" s="78" t="n">
        <x:f>Q201+G201+R201</x:f>
        <x:v>842052.6834302874</x:v>
      </x:c>
      <x:c r="T201" s="78" t="n">
        <x:f>P201*(S201*(1-'Inputs'!$B$15))/(O201+S201*(1-'Inputs'!$B$15))</x:f>
        <x:v>7.286955901169219e-7</x:v>
      </x:c>
      <x:c r="U201" s="78" t="n">
        <x:f>O201+S201*(1-'Inputs'!$B$17)</x:f>
        <x:v>116425407998.23488</x:v>
      </x:c>
      <x:c r="V201" s="78" t="n">
        <x:f>P201-T201</x:f>
        <x:v>0.10176919110395119</x:v>
      </x:c>
      <x:c r="W201" s="79" t="n">
        <x:f>IF(U201&gt;0,V201/U201,0)</x:f>
        <x:v>8.741149621351906e-13</x:v>
      </x:c>
      <x:c r="X201" s="80" t="n">
        <x:f>W201*('Inputs'!$B$6-AC201)</x:f>
        <x:v>-0.0003583257339911133</x:v>
      </x:c>
      <x:c r="Y201" s="80" t="n">
        <x:f>2*V201</x:f>
        <x:v>0.20353838220790238</x:v>
      </x:c>
      <x:c r="Z201" s="80" t="n">
        <x:f>K201*'Inputs'!$B$16+(G201+R201)*J201*'Inputs'!$B$16</x:f>
        <x:v>0.00024425222388743114</x:v>
      </x:c>
      <x:c r="AA201" s="80" t="n">
        <x:f>K201*(1+'Inputs'!$E$44)/2*'Inputs'!$B$17</x:f>
        <x:v>0.00006552590409628416</x:v>
      </x:c>
      <x:c r="AB201" s="78" t="n">
        <x:f>(IF(J201&gt;0,K201*(1-'Inputs'!$E$44)/2/J201,0)+G201+R201)*'Inputs'!$B$17</x:f>
        <x:v>3388.5419856349595</x:v>
      </x:c>
      <x:c r="AC201" s="78" t="n">
        <x:f>AC200+AB201</x:f>
        <x:v>1409929756.9690778</x:v>
      </x:c>
      <x:c r="AD201" s="80" t="n">
        <x:f>Z201/(1+'Inputs'!$C$44)</x:f>
        <x:v>0.0001954017791099449</x:v>
      </x:c>
      <x:c r="AE201" s="80" t="n">
        <x:f>Z201-AD201</x:f>
        <x:v>0.00004885044477748624</x:v>
      </x:c>
      <x:c r="AF201" s="80" t="n">
        <x:f>D201*W201</x:f>
        <x:v>2.4267085589704407e-7</x:v>
      </x:c>
      <x:c r="AG201" s="80" t="n">
        <x:f>C201*W201</x:f>
        <x:v>5.662319970931159e-7</x:v>
      </x:c>
      <x:c r="AH201" s="80" t="n">
        <x:f>2*'Inputs'!$B$8*'Inputs'!$C$44</x:f>
        <x:v>1250</x:v>
      </x:c>
      <x:c r="AI201" s="81" t="n">
        <x:f>IF(AH201&gt;0,(AE201+AF201)/AH201*365,0)</x:f>
        <x:v>0.000014335189764947919</x:v>
      </x:c>
      <x:c r="AJ201" s="81" t="n">
        <x:f>IF('Inputs'!$B$44&gt;0,AG201/('Inputs'!$B$19*'Inputs'!$B$44)*365,0)</x:f>
        <x:v>2.0667467893898733e-8</x:v>
      </x:c>
      <x:c r="AK201" s="81" t="n">
        <x:f>W201/MAX($W$4:W201)-1</x:f>
        <x:v>-0.9999999987154217</x:v>
      </x:c>
      <x:c r="AL201" s="83" t="n">
        <x:f>'Inputs'!$B$44</x:f>
        <x:v>1</x:v>
      </x:c>
      <x:c r="AM201" s="83" t="n">
        <x:f>'Inputs'!$C$44</x:f>
        <x:v>0.25</x:v>
      </x:c>
      <x:c r="AN201" s="83" t="n">
        <x:f>'Inputs'!$D$44</x:f>
        <x:v>0.2</x:v>
      </x:c>
      <x:c r="AO201" s="81" t="n">
        <x:f>'Inputs'!$E$44</x:f>
        <x:v>-0.2</x:v>
      </x:c>
    </x:row>
    <x:row r="202">
      <x:c r="A202" s="59" t="str">
        <x:v>No demand</x:v>
      </x:c>
      <x:c r="B202" s="59" t="n">
        <x:v>199</x:v>
      </x:c>
      <x:c r="C202" s="78" t="n">
        <x:f>(('Inputs'!$B$29*(3*199*'Inputs'!$B$12-199^2)/(2*'Inputs'!$B$12^2))-('Inputs'!$B$29*(3*198*'Inputs'!$B$12-198^2)/(2*'Inputs'!$B$12^2)))*'Inputs'!$B$44</x:f>
        <x:v>647452.3831863403</x:v>
      </x:c>
      <x:c r="D202" s="78" t="n">
        <x:f>IF('Inputs'!$C$44&gt;0,('Inputs'!$B$30*(3*199*'Inputs'!$B$12-199^2)/(2*'Inputs'!$B$12^2))-('Inputs'!$B$30*(3*198*'Inputs'!$B$12-198^2)/(2*'Inputs'!$B$12^2)),0)</x:f>
        <x:v>277479.5927941501</x:v>
      </x:c>
      <x:c r="E202" s="78" t="n">
        <x:f>C202+D202</x:f>
        <x:v>924931.9759804904</x:v>
      </x:c>
      <x:c r="F202" s="78" t="n">
        <x:f>'Inputs'!$B$13*E202+(1-'Inputs'!$B$13)/'Inputs'!$B$14*SUM(E147:E202)</x:f>
        <x:v>935149.6528429365</x:v>
      </x:c>
      <x:c r="G202" s="78" t="n">
        <x:f>F202*'Inputs'!$F$44</x:f>
        <x:v>841634.6875586428</x:v>
      </x:c>
      <x:c r="H202" s="78" t="n">
        <x:f>U201</x:f>
        <x:v>116425407998.23488</x:v>
      </x:c>
      <x:c r="I202" s="78" t="n">
        <x:f>V201</x:f>
        <x:v>0.10176919110395119</x:v>
      </x:c>
      <x:c r="J202" s="79" t="n">
        <x:f>IF(H202&gt;0,I202/H202,0)</x:f>
        <x:v>8.741149621351906e-13</x:v>
      </x:c>
      <x:c r="K202" s="80" t="n">
        <x:f>(H202*J202+I202)*'Inputs'!$D$44*(1+'Inputs'!$G$44)^(B202/30)</x:f>
        <x:v>0.04070767644158048</x:v>
      </x:c>
      <x:c r="L202" s="80" t="n">
        <x:f>MAX(0,K202*'Inputs'!$E$44)</x:f>
        <x:v>0</x:v>
      </x:c>
      <x:c r="M202" s="80" t="n">
        <x:f>MAX(0,-K202*'Inputs'!$E$44)</x:f>
        <x:v>0.008141535288316097</x:v>
      </x:c>
      <x:c r="N202" s="78" t="n">
        <x:f>H202*(L202*(1-'Inputs'!$B$15))/(I202+L202*(1-'Inputs'!$B$15))</x:f>
        <x:v>0</x:v>
      </x:c>
      <x:c r="O202" s="78" t="n">
        <x:f>H202-N202</x:f>
        <x:v>116425407998.23488</x:v>
      </x:c>
      <x:c r="P202" s="78" t="n">
        <x:f>I202+L202*(1-'Inputs'!$B$17)</x:f>
        <x:v>0.10176919110395119</x:v>
      </x:c>
      <x:c r="Q202" s="78" t="n">
        <x:f>IF(J202&gt;0,M202/J202,0)</x:f>
        <x:v>0</x:v>
      </x:c>
      <x:c r="R202" s="78" t="n">
        <x:f>IF(B202='Inputs'!$H$44,'Inputs'!$B$27*'Inputs'!$I$44,0)</x:f>
        <x:v>0</x:v>
      </x:c>
      <x:c r="S202" s="78" t="n">
        <x:f>Q202+G202+R202</x:f>
        <x:v>841634.6875586428</x:v>
      </x:c>
      <x:c r="T202" s="78" t="n">
        <x:f>P202*(S202*(1-'Inputs'!$B$15))/(O202+S202*(1-'Inputs'!$B$15))</x:f>
        <x:v>7.283234059455206e-7</x:v>
      </x:c>
      <x:c r="U202" s="78" t="n">
        <x:f>O202+S202*(1-'Inputs'!$B$17)</x:f>
        <x:v>116426246246.06253</x:v>
      </x:c>
      <x:c r="V202" s="78" t="n">
        <x:f>P202-T202</x:f>
        <x:v>0.10176846278054524</x:v>
      </x:c>
      <x:c r="W202" s="79" t="n">
        <x:f>IF(U202&gt;0,V202/U202,0)</x:f>
        <x:v>8.741024130028327e-13</x:v>
      </x:c>
      <x:c r="X202" s="80" t="n">
        <x:f>W202*('Inputs'!$B$6-AC202)</x:f>
        <x:v>-0.00035832355019075533</x:v>
      </x:c>
      <x:c r="Y202" s="80" t="n">
        <x:f>2*V202</x:f>
        <x:v>0.2035369255610905</x:v>
      </x:c>
      <x:c r="Z202" s="80" t="n">
        <x:f>K202*'Inputs'!$B$16+(G202+R202)*J202*'Inputs'!$B$16</x:f>
        <x:v>0.00024425047276232115</x:v>
      </x:c>
      <x:c r="AA202" s="80" t="n">
        <x:f>K202*(1+'Inputs'!$E$44)/2*'Inputs'!$B$17</x:f>
        <x:v>0.00006552543491602493</x:v>
      </x:c>
      <x:c r="AB202" s="78" t="n">
        <x:f>(IF(J202&gt;0,K202*(1-'Inputs'!$E$44)/2/J202,0)+G202+R202)*'Inputs'!$B$17</x:f>
        <x:v>3386.859909692728</x:v>
      </x:c>
      <x:c r="AC202" s="78" t="n">
        <x:f>AC201+AB202</x:f>
        <x:v>1409933143.8289876</x:v>
      </x:c>
      <x:c r="AD202" s="80" t="n">
        <x:f>Z202/(1+'Inputs'!$C$44)</x:f>
        <x:v>0.0001954003782098569</x:v>
      </x:c>
      <x:c r="AE202" s="80" t="n">
        <x:f>Z202-AD202</x:f>
        <x:v>0.00004885009455246424</x:v>
      </x:c>
      <x:c r="AF202" s="80" t="n">
        <x:f>D202*W202</x:f>
        <x:v>2.4254558162041005e-7</x:v>
      </x:c>
      <x:c r="AG202" s="80" t="n">
        <x:f>C202*W202</x:f>
        <x:v>5.659396904476147e-7</x:v>
      </x:c>
      <x:c r="AH202" s="80" t="n">
        <x:f>2*'Inputs'!$B$8*'Inputs'!$C$44</x:f>
        <x:v>1250</x:v>
      </x:c>
      <x:c r="AI202" s="81" t="n">
        <x:f>IF(AH202&gt;0,(AE202+AF202)/AH202*365,0)</x:f>
        <x:v>0.00001433505091915272</x:v>
      </x:c>
      <x:c r="AJ202" s="81" t="n">
        <x:f>IF('Inputs'!$B$44&gt;0,AG202/('Inputs'!$B$19*'Inputs'!$B$44)*365,0)</x:f>
        <x:v>2.0656798701337936e-8</x:v>
      </x:c>
      <x:c r="AK202" s="81" t="n">
        <x:f>W202/MAX($W$4:W202)-1</x:f>
        <x:v>-0.9999999987154401</x:v>
      </x:c>
      <x:c r="AL202" s="83" t="n">
        <x:f>'Inputs'!$B$44</x:f>
        <x:v>1</x:v>
      </x:c>
      <x:c r="AM202" s="83" t="n">
        <x:f>'Inputs'!$C$44</x:f>
        <x:v>0.25</x:v>
      </x:c>
      <x:c r="AN202" s="83" t="n">
        <x:f>'Inputs'!$D$44</x:f>
        <x:v>0.2</x:v>
      </x:c>
      <x:c r="AO202" s="81" t="n">
        <x:f>'Inputs'!$E$44</x:f>
        <x:v>-0.2</x:v>
      </x:c>
    </x:row>
    <x:row r="203">
      <x:c r="A203" s="59" t="str">
        <x:v>No demand</x:v>
      </x:c>
      <x:c r="B203" s="59" t="n">
        <x:v>200</x:v>
      </x:c>
      <x:c r="C203" s="78" t="n">
        <x:f>(('Inputs'!$B$29*(3*200*'Inputs'!$B$12-200^2)/(2*'Inputs'!$B$12^2))-('Inputs'!$B$29*(3*199*'Inputs'!$B$12-199^2)/(2*'Inputs'!$B$12^2)))*'Inputs'!$B$44</x:f>
        <x:v>647127.2752861679</x:v>
      </x:c>
      <x:c r="D203" s="78" t="n">
        <x:f>IF('Inputs'!$C$44&gt;0,('Inputs'!$B$30*(3*200*'Inputs'!$B$12-200^2)/(2*'Inputs'!$B$12^2))-('Inputs'!$B$30*(3*199*'Inputs'!$B$12-199^2)/(2*'Inputs'!$B$12^2)),0)</x:f>
        <x:v>277340.2608369291</x:v>
      </x:c>
      <x:c r="E203" s="78" t="n">
        <x:f>C203+D203</x:f>
        <x:v>924467.536123097</x:v>
      </x:c>
      <x:c r="F203" s="78" t="n">
        <x:f>'Inputs'!$B$13*E203+(1-'Inputs'!$B$13)/'Inputs'!$B$14*SUM(E148:E203)</x:f>
        <x:v>934685.2129855503</x:v>
      </x:c>
      <x:c r="G203" s="78" t="n">
        <x:f>F203*'Inputs'!$F$44</x:f>
        <x:v>841216.6916869953</x:v>
      </x:c>
      <x:c r="H203" s="78" t="n">
        <x:f>U202</x:f>
        <x:v>116426246246.06253</x:v>
      </x:c>
      <x:c r="I203" s="78" t="n">
        <x:f>V202</x:f>
        <x:v>0.10176846278054524</x:v>
      </x:c>
      <x:c r="J203" s="79" t="n">
        <x:f>IF(H203&gt;0,I203/H203,0)</x:f>
        <x:v>8.741024130028327e-13</x:v>
      </x:c>
      <x:c r="K203" s="80" t="n">
        <x:f>(H203*J203+I203)*'Inputs'!$D$44*(1+'Inputs'!$G$44)^(B203/30)</x:f>
        <x:v>0.0407073851122181</x:v>
      </x:c>
      <x:c r="L203" s="80" t="n">
        <x:f>MAX(0,K203*'Inputs'!$E$44)</x:f>
        <x:v>0</x:v>
      </x:c>
      <x:c r="M203" s="80" t="n">
        <x:f>MAX(0,-K203*'Inputs'!$E$44)</x:f>
        <x:v>0.008141477022443621</x:v>
      </x:c>
      <x:c r="N203" s="78" t="n">
        <x:f>H203*(L203*(1-'Inputs'!$B$15))/(I203+L203*(1-'Inputs'!$B$15))</x:f>
        <x:v>0</x:v>
      </x:c>
      <x:c r="O203" s="78" t="n">
        <x:f>H203-N203</x:f>
        <x:v>116426246246.06253</x:v>
      </x:c>
      <x:c r="P203" s="78" t="n">
        <x:f>I203+L203*(1-'Inputs'!$B$17)</x:f>
        <x:v>0.10176846278054524</x:v>
      </x:c>
      <x:c r="Q203" s="78" t="n">
        <x:f>IF(J203&gt;0,M203/J203,0)</x:f>
        <x:v>0</x:v>
      </x:c>
      <x:c r="R203" s="78" t="n">
        <x:f>IF(B203='Inputs'!$H$44,'Inputs'!$B$27*'Inputs'!$I$44,0)</x:f>
        <x:v>0</x:v>
      </x:c>
      <x:c r="S203" s="78" t="n">
        <x:f>Q203+G203+R203</x:f>
        <x:v>841216.6916869953</x:v>
      </x:c>
      <x:c r="T203" s="78" t="n">
        <x:f>P203*(S203*(1-'Inputs'!$B$15))/(O203+S203*(1-'Inputs'!$B$15))</x:f>
        <x:v>7.279512375786142e-7</x:v>
      </x:c>
      <x:c r="U203" s="78" t="n">
        <x:f>O203+S203*(1-'Inputs'!$B$17)</x:f>
        <x:v>116427084077.57639</x:v>
      </x:c>
      <x:c r="V203" s="78" t="n">
        <x:f>P203-T203</x:f>
        <x:v>0.10176773482930766</x:v>
      </x:c>
      <x:c r="W203" s="79" t="n">
        <x:f>IF(U203&gt;0,V203/U203,0)</x:f>
        <x:v>8.740898703732795e-13</x:v>
      </x:c>
      <x:c r="X203" s="80" t="n">
        <x:f>W203*('Inputs'!$B$6-AC203)</x:f>
        <x:v>-0.0003583213675008447</x:v>
      </x:c>
      <x:c r="Y203" s="80" t="n">
        <x:f>2*V203</x:f>
        <x:v>0.20353546965861533</x:v>
      </x:c>
      <x:c r="Z203" s="80" t="n">
        <x:f>K203*'Inputs'!$B$16+(G203+R203)*J203*'Inputs'!$B$16</x:f>
        <x:v>0.000244248722530549</x:v>
      </x:c>
      <x:c r="AA203" s="80" t="n">
        <x:f>K203*(1+'Inputs'!$E$44)/2*'Inputs'!$B$17</x:f>
        <x:v>0.00006552496597540138</x:v>
      </x:c>
      <x:c r="AB203" s="78" t="n">
        <x:f>(IF(J203&gt;0,K203*(1-'Inputs'!$E$44)/2/J203,0)+G203+R203)*'Inputs'!$B$17</x:f>
        <x:v>3385.1778337504843</x:v>
      </x:c>
      <x:c r="AC203" s="78" t="n">
        <x:f>AC202+AB203</x:f>
        <x:v>1409936529.0068214</x:v>
      </x:c>
      <x:c r="AD203" s="80" t="n">
        <x:f>Z203/(1+'Inputs'!$C$44)</x:f>
        <x:v>0.0001953989780244392</x:v>
      </x:c>
      <x:c r="AE203" s="80" t="n">
        <x:f>Z203-AD203</x:f>
        <x:v>0.00004884974450610979</x:v>
      </x:c>
      <x:c r="AF203" s="80" t="n">
        <x:f>D203*W203</x:f>
        <x:v>2.4242031264424287e-7</x:v>
      </x:c>
      <x:c r="AG203" s="80" t="n">
        <x:f>C203*W203</x:f>
        <x:v>5.656473961699e-7</x:v>
      </x:c>
      <x:c r="AH203" s="80" t="n">
        <x:f>2*'Inputs'!$B$8*'Inputs'!$C$44</x:f>
        <x:v>1250</x:v>
      </x:c>
      <x:c r="AI203" s="81" t="n">
        <x:f>IF(AH203&gt;0,(AE203+AF203)/AH203*365,0)</x:f>
        <x:v>0.000014334912127076177</x:v>
      </x:c>
      <x:c r="AJ203" s="81" t="n">
        <x:f>IF('Inputs'!$B$44&gt;0,AG203/('Inputs'!$B$19*'Inputs'!$B$44)*365,0)</x:f>
        <x:v>2.064612996020135e-8</x:v>
      </x:c>
      <x:c r="AK203" s="81" t="n">
        <x:f>W203/MAX($W$4:W203)-1</x:f>
        <x:v>-0.9999999987154585</x:v>
      </x:c>
      <x:c r="AL203" s="83" t="n">
        <x:f>'Inputs'!$B$44</x:f>
        <x:v>1</x:v>
      </x:c>
      <x:c r="AM203" s="83" t="n">
        <x:f>'Inputs'!$C$44</x:f>
        <x:v>0.25</x:v>
      </x:c>
      <x:c r="AN203" s="83" t="n">
        <x:f>'Inputs'!$D$44</x:f>
        <x:v>0.2</x:v>
      </x:c>
      <x:c r="AO203" s="81" t="n">
        <x:f>'Inputs'!$E$44</x:f>
        <x:v>-0.2</x:v>
      </x:c>
    </x:row>
    <x:row r="204">
      <x:c r="A204" s="59" t="str">
        <x:v>No demand</x:v>
      </x:c>
      <x:c r="B204" s="59" t="n">
        <x:v>201</x:v>
      </x:c>
      <x:c r="C204" s="78" t="n">
        <x:f>(('Inputs'!$B$29*(3*201*'Inputs'!$B$12-201^2)/(2*'Inputs'!$B$12^2))-('Inputs'!$B$29*(3*200*'Inputs'!$B$12-200^2)/(2*'Inputs'!$B$12^2)))*'Inputs'!$B$44</x:f>
        <x:v>646802.1673859954</x:v>
      </x:c>
      <x:c r="D204" s="78" t="n">
        <x:f>IF('Inputs'!$C$44&gt;0,('Inputs'!$B$30*(3*201*'Inputs'!$B$12-201^2)/(2*'Inputs'!$B$12^2))-('Inputs'!$B$30*(3*200*'Inputs'!$B$12-200^2)/(2*'Inputs'!$B$12^2)),0)</x:f>
        <x:v>277200.9288797155</x:v>
      </x:c>
      <x:c r="E204" s="78" t="n">
        <x:f>C204+D204</x:f>
        <x:v>924003.0962657109</x:v>
      </x:c>
      <x:c r="F204" s="78" t="n">
        <x:f>'Inputs'!$B$13*E204+(1-'Inputs'!$B$13)/'Inputs'!$B$14*SUM(E149:E204)</x:f>
        <x:v>934220.7731281656</x:v>
      </x:c>
      <x:c r="G204" s="78" t="n">
        <x:f>F204*'Inputs'!$F$44</x:f>
        <x:v>840798.6958153491</x:v>
      </x:c>
      <x:c r="H204" s="78" t="n">
        <x:f>U203</x:f>
        <x:v>116427084077.57639</x:v>
      </x:c>
      <x:c r="I204" s="78" t="n">
        <x:f>V203</x:f>
        <x:v>0.10176773482930766</x:v>
      </x:c>
      <x:c r="J204" s="79" t="n">
        <x:f>IF(H204&gt;0,I204/H204,0)</x:f>
        <x:v>8.740898703732795e-13</x:v>
      </x:c>
      <x:c r="K204" s="80" t="n">
        <x:f>(H204*J204+I204)*'Inputs'!$D$44*(1+'Inputs'!$G$44)^(B204/30)</x:f>
        <x:v>0.040707093931723067</x:v>
      </x:c>
      <x:c r="L204" s="80" t="n">
        <x:f>MAX(0,K204*'Inputs'!$E$44)</x:f>
        <x:v>0</x:v>
      </x:c>
      <x:c r="M204" s="80" t="n">
        <x:f>MAX(0,-K204*'Inputs'!$E$44)</x:f>
        <x:v>0.008141418786344614</x:v>
      </x:c>
      <x:c r="N204" s="78" t="n">
        <x:f>H204*(L204*(1-'Inputs'!$B$15))/(I204+L204*(1-'Inputs'!$B$15))</x:f>
        <x:v>0</x:v>
      </x:c>
      <x:c r="O204" s="78" t="n">
        <x:f>H204-N204</x:f>
        <x:v>116427084077.57639</x:v>
      </x:c>
      <x:c r="P204" s="78" t="n">
        <x:f>I204+L204*(1-'Inputs'!$B$17)</x:f>
        <x:v>0.10176773482930766</x:v>
      </x:c>
      <x:c r="Q204" s="78" t="n">
        <x:f>IF(J204&gt;0,M204/J204,0)</x:f>
        <x:v>0</x:v>
      </x:c>
      <x:c r="R204" s="78" t="n">
        <x:f>IF(B204='Inputs'!$H$44,'Inputs'!$B$27*'Inputs'!$I$44,0)</x:f>
        <x:v>0</x:v>
      </x:c>
      <x:c r="S204" s="78" t="n">
        <x:f>Q204+G204+R204</x:f>
        <x:v>840798.6958153491</x:v>
      </x:c>
      <x:c r="T204" s="78" t="n">
        <x:f>P204*(S204*(1-'Inputs'!$B$15))/(O204+S204*(1-'Inputs'!$B$15))</x:f>
        <x:v>7.275790850077912e-7</x:v>
      </x:c>
      <x:c r="U204" s="78" t="n">
        <x:f>O204+S204*(1-'Inputs'!$B$17)</x:f>
        <x:v>116427921492.77644</x:v>
      </x:c>
      <x:c r="V204" s="78" t="n">
        <x:f>P204-T204</x:f>
        <x:v>0.10176700725022265</x:v>
      </x:c>
      <x:c r="W204" s="79" t="n">
        <x:f>IF(U204&gt;0,V204/U204,0)</x:f>
        <x:v>8.740773342461207e-13</x:v>
      </x:c>
      <x:c r="X204" s="80" t="n">
        <x:f>W204*('Inputs'!$B$6-AC204)</x:f>
        <x:v>-0.0003583191859213424</x:v>
      </x:c>
      <x:c r="Y204" s="80" t="n">
        <x:f>2*V204</x:f>
        <x:v>0.2035340145004453</x:v>
      </x:c>
      <x:c r="Z204" s="80" t="n">
        <x:f>K204*'Inputs'!$B$16+(G204+R204)*J204*'Inputs'!$B$16</x:f>
        <x:v>0.0002442469731920766</x:v>
      </x:c>
      <x:c r="AA204" s="80" t="n">
        <x:f>K204*(1+'Inputs'!$E$44)/2*'Inputs'!$B$17</x:f>
        <x:v>0.00006552449727440334</x:v>
      </x:c>
      <x:c r="AB204" s="78" t="n">
        <x:f>(IF(J204&gt;0,K204*(1-'Inputs'!$E$44)/2/J204,0)+G204+R204)*'Inputs'!$B$17</x:f>
        <x:v>3383.4957578082463</x:v>
      </x:c>
      <x:c r="AC204" s="78" t="n">
        <x:f>AC203+AB204</x:f>
        <x:v>1409939912.5025792</x:v>
      </x:c>
      <x:c r="AD204" s="80" t="n">
        <x:f>Z204/(1+'Inputs'!$C$44)</x:f>
        <x:v>0.0001953975785536613</x:v>
      </x:c>
      <x:c r="AE204" s="80" t="n">
        <x:f>Z204-AD204</x:f>
        <x:v>0.00004884939463841532</x:v>
      </x:c>
      <x:c r="AF204" s="80" t="n">
        <x:f>D204*W204</x:f>
        <x:v>2.4229504896573024e-7</x:v>
      </x:c>
      <x:c r="AG204" s="80" t="n">
        <x:f>C204*W204</x:f>
        <x:v>5.65355114253364e-7</x:v>
      </x:c>
      <x:c r="AH204" s="80" t="n">
        <x:f>2*'Inputs'!$B$8*'Inputs'!$C$44</x:f>
        <x:v>1250</x:v>
      </x:c>
      <x:c r="AI204" s="81" t="n">
        <x:f>IF(AH204&gt;0,(AE204+AF204)/AH204*365,0)</x:f>
        <x:v>0.000014334773388715268</x:v>
      </x:c>
      <x:c r="AJ204" s="81" t="n">
        <x:f>IF('Inputs'!$B$44&gt;0,AG204/('Inputs'!$B$19*'Inputs'!$B$44)*365,0)</x:f>
        <x:v>2.0635461670247785e-8</x:v>
      </x:c>
      <x:c r="AK204" s="81" t="n">
        <x:f>W204/MAX($W$4:W204)-1</x:f>
        <x:v>-0.999999998715477</x:v>
      </x:c>
      <x:c r="AL204" s="83" t="n">
        <x:f>'Inputs'!$B$44</x:f>
        <x:v>1</x:v>
      </x:c>
      <x:c r="AM204" s="83" t="n">
        <x:f>'Inputs'!$C$44</x:f>
        <x:v>0.25</x:v>
      </x:c>
      <x:c r="AN204" s="83" t="n">
        <x:f>'Inputs'!$D$44</x:f>
        <x:v>0.2</x:v>
      </x:c>
      <x:c r="AO204" s="81" t="n">
        <x:f>'Inputs'!$E$44</x:f>
        <x:v>-0.2</x:v>
      </x:c>
    </x:row>
    <x:row r="205">
      <x:c r="A205" s="59" t="str">
        <x:v>No demand</x:v>
      </x:c>
      <x:c r="B205" s="59" t="n">
        <x:v>202</x:v>
      </x:c>
      <x:c r="C205" s="78" t="n">
        <x:f>(('Inputs'!$B$29*(3*202*'Inputs'!$B$12-202^2)/(2*'Inputs'!$B$12^2))-('Inputs'!$B$29*(3*201*'Inputs'!$B$12-201^2)/(2*'Inputs'!$B$12^2)))*'Inputs'!$B$44</x:f>
        <x:v>646477.0594858229</x:v>
      </x:c>
      <x:c r="D205" s="78" t="n">
        <x:f>IF('Inputs'!$C$44&gt;0,('Inputs'!$B$30*(3*202*'Inputs'!$B$12-202^2)/(2*'Inputs'!$B$12^2))-('Inputs'!$B$30*(3*201*'Inputs'!$B$12-201^2)/(2*'Inputs'!$B$12^2)),0)</x:f>
        <x:v>277061.5969224945</x:v>
      </x:c>
      <x:c r="E205" s="78" t="n">
        <x:f>C205+D205</x:f>
        <x:v>923538.6564083174</x:v>
      </x:c>
      <x:c r="F205" s="78" t="n">
        <x:f>'Inputs'!$B$13*E205+(1-'Inputs'!$B$13)/'Inputs'!$B$14*SUM(E150:E205)</x:f>
        <x:v>933756.3332707796</x:v>
      </x:c>
      <x:c r="G205" s="78" t="n">
        <x:f>F205*'Inputs'!$F$44</x:f>
        <x:v>840380.6999437016</x:v>
      </x:c>
      <x:c r="H205" s="78" t="n">
        <x:f>U204</x:f>
        <x:v>116427921492.77644</x:v>
      </x:c>
      <x:c r="I205" s="78" t="n">
        <x:f>V204</x:f>
        <x:v>0.10176700725022265</x:v>
      </x:c>
      <x:c r="J205" s="79" t="n">
        <x:f>IF(H205&gt;0,I205/H205,0)</x:f>
        <x:v>8.740773342461207e-13</x:v>
      </x:c>
      <x:c r="K205" s="80" t="n">
        <x:f>(H205*J205+I205)*'Inputs'!$D$44*(1+'Inputs'!$G$44)^(B205/30)</x:f>
        <x:v>0.040706802900089066</x:v>
      </x:c>
      <x:c r="L205" s="80" t="n">
        <x:f>MAX(0,K205*'Inputs'!$E$44)</x:f>
        <x:v>0</x:v>
      </x:c>
      <x:c r="M205" s="80" t="n">
        <x:f>MAX(0,-K205*'Inputs'!$E$44)</x:f>
        <x:v>0.008141360580017814</x:v>
      </x:c>
      <x:c r="N205" s="78" t="n">
        <x:f>H205*(L205*(1-'Inputs'!$B$15))/(I205+L205*(1-'Inputs'!$B$15))</x:f>
        <x:v>0</x:v>
      </x:c>
      <x:c r="O205" s="78" t="n">
        <x:f>H205-N205</x:f>
        <x:v>116427921492.77644</x:v>
      </x:c>
      <x:c r="P205" s="78" t="n">
        <x:f>I205+L205*(1-'Inputs'!$B$17)</x:f>
        <x:v>0.10176700725022265</x:v>
      </x:c>
      <x:c r="Q205" s="78" t="n">
        <x:f>IF(J205&gt;0,M205/J205,0)</x:f>
        <x:v>0</x:v>
      </x:c>
      <x:c r="R205" s="78" t="n">
        <x:f>IF(B205='Inputs'!$H$44,'Inputs'!$B$27*'Inputs'!$I$44,0)</x:f>
        <x:v>0</x:v>
      </x:c>
      <x:c r="S205" s="78" t="n">
        <x:f>Q205+G205+R205</x:f>
        <x:v>840380.6999437016</x:v>
      </x:c>
      <x:c r="T205" s="78" t="n">
        <x:f>P205*(S205*(1-'Inputs'!$B$15))/(O205+S205*(1-'Inputs'!$B$15))</x:f>
        <x:v>7.272069482246353e-7</x:v>
      </x:c>
      <x:c r="U205" s="78" t="n">
        <x:f>O205+S205*(1-'Inputs'!$B$17)</x:f>
        <x:v>116428758491.6627</x:v>
      </x:c>
      <x:c r="V205" s="78" t="n">
        <x:f>P205-T205</x:f>
        <x:v>0.10176628004327443</x:v>
      </x:c>
      <x:c r="W205" s="79" t="n">
        <x:f>IF(U205&gt;0,V205/U205,0)</x:f>
        <x:v>8.740648046209456e-13</x:v>
      </x:c>
      <x:c r="X205" s="80" t="n">
        <x:f>W205*('Inputs'!$B$6-AC205)</x:f>
        <x:v>-0.0003583170054522095</x:v>
      </x:c>
      <x:c r="Y205" s="80" t="n">
        <x:f>2*V205</x:f>
        <x:v>0.20353256008654885</x:v>
      </x:c>
      <x:c r="Z205" s="80" t="n">
        <x:f>K205*'Inputs'!$B$16+(G205+R205)*J205*'Inputs'!$B$16</x:f>
        <x:v>0.00024424522474686617</x:v>
      </x:c>
      <x:c r="AA205" s="80" t="n">
        <x:f>K205*(1+'Inputs'!$E$44)/2*'Inputs'!$B$17</x:f>
        <x:v>0.00006552402881302063</x:v>
      </x:c>
      <x:c r="AB205" s="78" t="n">
        <x:f>(IF(J205&gt;0,K205*(1-'Inputs'!$E$44)/2/J205,0)+G205+R205)*'Inputs'!$B$17</x:f>
        <x:v>3381.8136818660028</x:v>
      </x:c>
      <x:c r="AC205" s="78" t="n">
        <x:f>AC204+AB205</x:f>
        <x:v>1409943294.316261</x:v>
      </x:c>
      <x:c r="AD205" s="80" t="n">
        <x:f>Z205/(1+'Inputs'!$C$44)</x:f>
        <x:v>0.00019539617979749295</x:v>
      </x:c>
      <x:c r="AE205" s="80" t="n">
        <x:f>Z205-AD205</x:f>
        <x:v>0.00004884904494937322</x:v>
      </x:c>
      <x:c r="AF205" s="80" t="n">
        <x:f>D205*W205</x:f>
        <x:v>2.421697905820273e-7</x:v>
      </x:c>
      <x:c r="AG205" s="80" t="n">
        <x:f>C205*W205</x:f>
        <x:v>5.650628446913992e-7</x:v>
      </x:c>
      <x:c r="AH205" s="80" t="n">
        <x:f>2*'Inputs'!$B$8*'Inputs'!$C$44</x:f>
        <x:v>1250</x:v>
      </x:c>
      <x:c r="AI205" s="81" t="n">
        <x:f>IF(AH205&gt;0,(AE205+AF205)/AH205*365,0)</x:f>
        <x:v>0.000014334634704066935</x:v>
      </x:c>
      <x:c r="AJ205" s="81" t="n">
        <x:f>IF('Inputs'!$B$44&gt;0,AG205/('Inputs'!$B$19*'Inputs'!$B$44)*365,0)</x:f>
        <x:v>2.0624793831236072e-8</x:v>
      </x:c>
      <x:c r="AK205" s="81" t="n">
        <x:f>W205/MAX($W$4:W205)-1</x:f>
        <x:v>-0.9999999987154954</x:v>
      </x:c>
      <x:c r="AL205" s="83" t="n">
        <x:f>'Inputs'!$B$44</x:f>
        <x:v>1</x:v>
      </x:c>
      <x:c r="AM205" s="83" t="n">
        <x:f>'Inputs'!$C$44</x:f>
        <x:v>0.25</x:v>
      </x:c>
      <x:c r="AN205" s="83" t="n">
        <x:f>'Inputs'!$D$44</x:f>
        <x:v>0.2</x:v>
      </x:c>
      <x:c r="AO205" s="81" t="n">
        <x:f>'Inputs'!$E$44</x:f>
        <x:v>-0.2</x:v>
      </x:c>
    </x:row>
    <x:row r="206">
      <x:c r="A206" s="59" t="str">
        <x:v>No demand</x:v>
      </x:c>
      <x:c r="B206" s="59" t="n">
        <x:v>203</x:v>
      </x:c>
      <x:c r="C206" s="78" t="n">
        <x:f>(('Inputs'!$B$29*(3*203*'Inputs'!$B$12-203^2)/(2*'Inputs'!$B$12^2))-('Inputs'!$B$29*(3*202*'Inputs'!$B$12-202^2)/(2*'Inputs'!$B$12^2)))*'Inputs'!$B$44</x:f>
        <x:v>646151.9515856802</x:v>
      </x:c>
      <x:c r="D206" s="78" t="n">
        <x:f>IF('Inputs'!$C$44&gt;0,('Inputs'!$B$30*(3*203*'Inputs'!$B$12-203^2)/(2*'Inputs'!$B$12^2))-('Inputs'!$B$30*(3*202*'Inputs'!$B$12-202^2)/(2*'Inputs'!$B$12^2)),0)</x:f>
        <x:v>276922.26496528834</x:v>
      </x:c>
      <x:c r="E206" s="78" t="n">
        <x:f>C206+D206</x:f>
        <x:v>923074.2165509686</x:v>
      </x:c>
      <x:c r="F206" s="78" t="n">
        <x:f>'Inputs'!$B$13*E206+(1-'Inputs'!$B$13)/'Inputs'!$B$14*SUM(E151:E206)</x:f>
        <x:v>933291.8934134028</x:v>
      </x:c>
      <x:c r="G206" s="78" t="n">
        <x:f>F206*'Inputs'!$F$44</x:f>
        <x:v>839962.7040720626</x:v>
      </x:c>
      <x:c r="H206" s="78" t="n">
        <x:f>U205</x:f>
        <x:v>116428758491.6627</x:v>
      </x:c>
      <x:c r="I206" s="78" t="n">
        <x:f>V205</x:f>
        <x:v>0.10176628004327443</x:v>
      </x:c>
      <x:c r="J206" s="79" t="n">
        <x:f>IF(H206&gt;0,I206/H206,0)</x:f>
        <x:v>8.740648046209456e-13</x:v>
      </x:c>
      <x:c r="K206" s="80" t="n">
        <x:f>(H206*J206+I206)*'Inputs'!$D$44*(1+'Inputs'!$G$44)^(B206/30)</x:f>
        <x:v>0.04070651201730977</x:v>
      </x:c>
      <x:c r="L206" s="80" t="n">
        <x:f>MAX(0,K206*'Inputs'!$E$44)</x:f>
        <x:v>0</x:v>
      </x:c>
      <x:c r="M206" s="80" t="n">
        <x:f>MAX(0,-K206*'Inputs'!$E$44)</x:f>
        <x:v>0.008141302403461954</x:v>
      </x:c>
      <x:c r="N206" s="78" t="n">
        <x:f>H206*(L206*(1-'Inputs'!$B$15))/(I206+L206*(1-'Inputs'!$B$15))</x:f>
        <x:v>0</x:v>
      </x:c>
      <x:c r="O206" s="78" t="n">
        <x:f>H206-N206</x:f>
        <x:v>116428758491.6627</x:v>
      </x:c>
      <x:c r="P206" s="78" t="n">
        <x:f>I206+L206*(1-'Inputs'!$B$17)</x:f>
        <x:v>0.10176628004327443</x:v>
      </x:c>
      <x:c r="Q206" s="78" t="n">
        <x:f>IF(J206&gt;0,M206/J206,0)</x:f>
        <x:v>0</x:v>
      </x:c>
      <x:c r="R206" s="78" t="n">
        <x:f>IF(B206='Inputs'!$H$44,'Inputs'!$B$27*'Inputs'!$I$44,0)</x:f>
        <x:v>0</x:v>
      </x:c>
      <x:c r="S206" s="78" t="n">
        <x:f>Q206+G206+R206</x:f>
        <x:v>839962.7040720626</x:v>
      </x:c>
      <x:c r="T206" s="78" t="n">
        <x:f>P206*(S206*(1-'Inputs'!$B$15))/(O206+S206*(1-'Inputs'!$B$15))</x:f>
        <x:v>7.268348272207415e-7</x:v>
      </x:c>
      <x:c r="U206" s="78" t="n">
        <x:f>O206+S206*(1-'Inputs'!$B$17)</x:f>
        <x:v>116429595074.23517</x:v>
      </x:c>
      <x:c r="V206" s="78" t="n">
        <x:f>P206-T206</x:f>
        <x:v>0.10176555320844721</x:v>
      </x:c>
      <x:c r="W206" s="79" t="n">
        <x:f>IF(U206&gt;0,V206/U206,0)</x:f>
        <x:v>8.740522814973444e-13</x:v>
      </x:c>
      <x:c r="X206" s="80" t="n">
        <x:f>W206*('Inputs'!$B$6-AC206)</x:f>
        <x:v>-0.00035831482609340715</x:v>
      </x:c>
      <x:c r="Y206" s="80" t="n">
        <x:f>2*V206</x:f>
        <x:v>0.20353110641689443</x:v>
      </x:c>
      <x:c r="Z206" s="80" t="n">
        <x:f>K206*'Inputs'!$B$16+(G206+R206)*J206*'Inputs'!$B$16</x:f>
        <x:v>0.0002442434771948796</x:v>
      </x:c>
      <x:c r="AA206" s="80" t="n">
        <x:f>K206*(1+'Inputs'!$E$44)/2*'Inputs'!$B$17</x:f>
        <x:v>0.00006552356059124309</x:v>
      </x:c>
      <x:c r="AB206" s="78" t="n">
        <x:f>(IF(J206&gt;0,K206*(1-'Inputs'!$E$44)/2/J206,0)+G206+R206)*'Inputs'!$B$17</x:f>
        <x:v>3380.1316059237934</x:v>
      </x:c>
      <x:c r="AC206" s="78" t="n">
        <x:f>AC205+AB206</x:f>
        <x:v>1409946674.447867</x:v>
      </x:c>
      <x:c r="AD206" s="80" t="n">
        <x:f>Z206/(1+'Inputs'!$C$44)</x:f>
        <x:v>0.00019539478175590366</x:v>
      </x:c>
      <x:c r="AE206" s="80" t="n">
        <x:f>Z206-AD206</x:f>
        <x:v>0.00004884869543897593</x:v>
      </x:c>
      <x:c r="AF206" s="80" t="n">
        <x:f>D206*W206</x:f>
        <x:v>2.420445374903224e-7</x:v>
      </x:c>
      <x:c r="AG206" s="80" t="n">
        <x:f>C206*W206</x:f>
        <x:v>5.647705874774255e-7</x:v>
      </x:c>
      <x:c r="AH206" s="80" t="n">
        <x:f>2*'Inputs'!$B$8*'Inputs'!$C$44</x:f>
        <x:v>1250</x:v>
      </x:c>
      <x:c r="AI206" s="81" t="n">
        <x:f>IF(AH206&gt;0,(AE206+AF206)/AH206*365,0)</x:f>
        <x:v>0.000014334496073128144</x:v>
      </x:c>
      <x:c r="AJ206" s="81" t="n">
        <x:f>IF('Inputs'!$B$44&gt;0,AG206/('Inputs'!$B$19*'Inputs'!$B$44)*365,0)</x:f>
        <x:v>2.0614126442926027e-8</x:v>
      </x:c>
      <x:c r="AK206" s="81" t="n">
        <x:f>W206/MAX($W$4:W206)-1</x:f>
        <x:v>-0.9999999987155138</x:v>
      </x:c>
      <x:c r="AL206" s="83" t="n">
        <x:f>'Inputs'!$B$44</x:f>
        <x:v>1</x:v>
      </x:c>
      <x:c r="AM206" s="83" t="n">
        <x:f>'Inputs'!$C$44</x:f>
        <x:v>0.25</x:v>
      </x:c>
      <x:c r="AN206" s="83" t="n">
        <x:f>'Inputs'!$D$44</x:f>
        <x:v>0.2</x:v>
      </x:c>
      <x:c r="AO206" s="81" t="n">
        <x:f>'Inputs'!$E$44</x:f>
        <x:v>-0.2</x:v>
      </x:c>
    </x:row>
    <x:row r="207">
      <x:c r="A207" s="59" t="str">
        <x:v>No demand</x:v>
      </x:c>
      <x:c r="B207" s="59" t="n">
        <x:v>204</x:v>
      </x:c>
      <x:c r="C207" s="78" t="n">
        <x:f>(('Inputs'!$B$29*(3*204*'Inputs'!$B$12-204^2)/(2*'Inputs'!$B$12^2))-('Inputs'!$B$29*(3*203*'Inputs'!$B$12-203^2)/(2*'Inputs'!$B$12^2)))*'Inputs'!$B$44</x:f>
        <x:v>645826.843685478</x:v>
      </x:c>
      <x:c r="D207" s="78" t="n">
        <x:f>IF('Inputs'!$C$44&gt;0,('Inputs'!$B$30*(3*204*'Inputs'!$B$12-204^2)/(2*'Inputs'!$B$12^2))-('Inputs'!$B$30*(3*203*'Inputs'!$B$12-203^2)/(2*'Inputs'!$B$12^2)),0)</x:f>
        <x:v>276782.9330080673</x:v>
      </x:c>
      <x:c r="E207" s="78" t="n">
        <x:f>C207+D207</x:f>
        <x:v>922609.7766935453</x:v>
      </x:c>
      <x:c r="F207" s="78" t="n">
        <x:f>'Inputs'!$B$13*E207+(1-'Inputs'!$B$13)/'Inputs'!$B$14*SUM(E152:E207)</x:f>
        <x:v>932827.4535560105</x:v>
      </x:c>
      <x:c r="G207" s="78" t="n">
        <x:f>F207*'Inputs'!$F$44</x:f>
        <x:v>839544.7082004094</x:v>
      </x:c>
      <x:c r="H207" s="78" t="n">
        <x:f>U206</x:f>
        <x:v>116429595074.23517</x:v>
      </x:c>
      <x:c r="I207" s="78" t="n">
        <x:f>V206</x:f>
        <x:v>0.10176555320844721</x:v>
      </x:c>
      <x:c r="J207" s="79" t="n">
        <x:f>IF(H207&gt;0,I207/H207,0)</x:f>
        <x:v>8.740522814973444e-13</x:v>
      </x:c>
      <x:c r="K207" s="80" t="n">
        <x:f>(H207*J207+I207)*'Inputs'!$D$44*(1+'Inputs'!$G$44)^(B207/30)</x:f>
        <x:v>0.04070622128337889</x:v>
      </x:c>
      <x:c r="L207" s="80" t="n">
        <x:f>MAX(0,K207*'Inputs'!$E$44)</x:f>
        <x:v>0</x:v>
      </x:c>
      <x:c r="M207" s="80" t="n">
        <x:f>MAX(0,-K207*'Inputs'!$E$44)</x:f>
        <x:v>0.008141244256675778</x:v>
      </x:c>
      <x:c r="N207" s="78" t="n">
        <x:f>H207*(L207*(1-'Inputs'!$B$15))/(I207+L207*(1-'Inputs'!$B$15))</x:f>
        <x:v>0</x:v>
      </x:c>
      <x:c r="O207" s="78" t="n">
        <x:f>H207-N207</x:f>
        <x:v>116429595074.23517</x:v>
      </x:c>
      <x:c r="P207" s="78" t="n">
        <x:f>I207+L207*(1-'Inputs'!$B$17)</x:f>
        <x:v>0.10176555320844721</x:v>
      </x:c>
      <x:c r="Q207" s="78" t="n">
        <x:f>IF(J207&gt;0,M207/J207,0)</x:f>
        <x:v>0</x:v>
      </x:c>
      <x:c r="R207" s="78" t="n">
        <x:f>IF(B207='Inputs'!$H$44,'Inputs'!$B$27*'Inputs'!$I$44,0)</x:f>
        <x:v>0</x:v>
      </x:c>
      <x:c r="S207" s="78" t="n">
        <x:f>Q207+G207+R207</x:f>
        <x:v>839544.7082004094</x:v>
      </x:c>
      <x:c r="T207" s="78" t="n">
        <x:f>P207*(S207*(1-'Inputs'!$B$15))/(O207+S207*(1-'Inputs'!$B$15))</x:f>
        <x:v>7.264627219876782e-7</x:v>
      </x:c>
      <x:c r="U207" s="78" t="n">
        <x:f>O207+S207*(1-'Inputs'!$B$17)</x:f>
        <x:v>116430431240.49384</x:v>
      </x:c>
      <x:c r="V207" s="78" t="n">
        <x:f>P207-T207</x:f>
        <x:v>0.10176482674572522</x:v>
      </x:c>
      <x:c r="W207" s="79" t="n">
        <x:f>IF(U207&gt;0,V207/U207,0)</x:f>
        <x:v>8.740397648749067e-13</x:v>
      </x:c>
      <x:c r="X207" s="80" t="n">
        <x:f>W207*('Inputs'!$B$6-AC207)</x:f>
        <x:v>-0.0003583126478448962</x:v>
      </x:c>
      <x:c r="Y207" s="80" t="n">
        <x:f>2*V207</x:f>
        <x:v>0.20352965349145044</x:v>
      </x:c>
      <x:c r="Z207" s="80" t="n">
        <x:f>K207*'Inputs'!$B$16+(G207+R207)*J207*'Inputs'!$B$16</x:f>
        <x:v>0.0002442417305360791</x:v>
      </x:c>
      <x:c r="AA207" s="80" t="n">
        <x:f>K207*(1+'Inputs'!$E$44)/2*'Inputs'!$B$17</x:f>
        <x:v>0.0000655230926090606</x:v>
      </x:c>
      <x:c r="AB207" s="78" t="n">
        <x:f>(IF(J207&gt;0,K207*(1-'Inputs'!$E$44)/2/J207,0)+G207+R207)*'Inputs'!$B$17</x:f>
        <x:v>3378.449529981527</x:v>
      </x:c>
      <x:c r="AC207" s="78" t="n">
        <x:f>AC206+AB207</x:f>
        <x:v>1409950052.8973968</x:v>
      </x:c>
      <x:c r="AD207" s="80" t="n">
        <x:f>Z207/(1+'Inputs'!$C$44)</x:f>
        <x:v>0.00019539338442886326</x:v>
      </x:c>
      <x:c r="AE207" s="80" t="n">
        <x:f>Z207-AD207</x:f>
        <x:v>0.00004884834610721582</x:v>
      </x:c>
      <x:c r="AF207" s="80" t="n">
        <x:f>D207*W207</x:f>
        <x:v>2.419192896877582e-7</x:v>
      </x:c>
      <x:c r="AG207" s="80" t="n">
        <x:f>C207*W207</x:f>
        <x:v>5.644783426047583e-7</x:v>
      </x:c>
      <x:c r="AH207" s="80" t="n">
        <x:f>2*'Inputs'!$B$8*'Inputs'!$C$44</x:f>
        <x:v>1250</x:v>
      </x:c>
      <x:c r="AI207" s="81" t="n">
        <x:f>IF(AH207&gt;0,(AE207+AF207)/AH207*365,0)</x:f>
        <x:v>0.000014334357495895846</x:v>
      </x:c>
      <x:c r="AJ207" s="81" t="n">
        <x:f>IF('Inputs'!$B$44&gt;0,AG207/('Inputs'!$B$19*'Inputs'!$B$44)*365,0)</x:f>
        <x:v>2.0603459505073676e-8</x:v>
      </x:c>
      <x:c r="AK207" s="81" t="n">
        <x:f>W207/MAX($W$4:W207)-1</x:f>
        <x:v>-0.9999999987155321</x:v>
      </x:c>
      <x:c r="AL207" s="83" t="n">
        <x:f>'Inputs'!$B$44</x:f>
        <x:v>1</x:v>
      </x:c>
      <x:c r="AM207" s="83" t="n">
        <x:f>'Inputs'!$C$44</x:f>
        <x:v>0.25</x:v>
      </x:c>
      <x:c r="AN207" s="83" t="n">
        <x:f>'Inputs'!$D$44</x:f>
        <x:v>0.2</x:v>
      </x:c>
      <x:c r="AO207" s="81" t="n">
        <x:f>'Inputs'!$E$44</x:f>
        <x:v>-0.2</x:v>
      </x:c>
    </x:row>
    <x:row r="208">
      <x:c r="A208" s="59" t="str">
        <x:v>No demand</x:v>
      </x:c>
      <x:c r="B208" s="59" t="n">
        <x:v>205</x:v>
      </x:c>
      <x:c r="C208" s="78" t="n">
        <x:f>(('Inputs'!$B$29*(3*205*'Inputs'!$B$12-205^2)/(2*'Inputs'!$B$12^2))-('Inputs'!$B$29*(3*204*'Inputs'!$B$12-204^2)/(2*'Inputs'!$B$12^2)))*'Inputs'!$B$44</x:f>
        <x:v>645501.7357853353</x:v>
      </x:c>
      <x:c r="D208" s="78" t="n">
        <x:f>IF('Inputs'!$C$44&gt;0,('Inputs'!$B$30*(3*205*'Inputs'!$B$12-205^2)/(2*'Inputs'!$B$12^2))-('Inputs'!$B$30*(3*204*'Inputs'!$B$12-204^2)/(2*'Inputs'!$B$12^2)),0)</x:f>
        <x:v>276643.60105085373</x:v>
      </x:c>
      <x:c r="E208" s="78" t="n">
        <x:f>C208+D208</x:f>
        <x:v>922145.336836189</x:v>
      </x:c>
      <x:c r="F208" s="78" t="n">
        <x:f>'Inputs'!$B$13*E208+(1-'Inputs'!$B$13)/'Inputs'!$B$14*SUM(E153:E208)</x:f>
        <x:v>932363.0136986321</x:v>
      </x:c>
      <x:c r="G208" s="78" t="n">
        <x:f>F208*'Inputs'!$F$44</x:f>
        <x:v>839126.7123287689</x:v>
      </x:c>
      <x:c r="H208" s="78" t="n">
        <x:f>U207</x:f>
        <x:v>116430431240.49384</x:v>
      </x:c>
      <x:c r="I208" s="78" t="n">
        <x:f>V207</x:f>
        <x:v>0.10176482674572522</x:v>
      </x:c>
      <x:c r="J208" s="79" t="n">
        <x:f>IF(H208&gt;0,I208/H208,0)</x:f>
        <x:v>8.740397648749067e-13</x:v>
      </x:c>
      <x:c r="K208" s="80" t="n">
        <x:f>(H208*J208+I208)*'Inputs'!$D$44*(1+'Inputs'!$G$44)^(B208/30)</x:f>
        <x:v>0.040705930698290094</x:v>
      </x:c>
      <x:c r="L208" s="80" t="n">
        <x:f>MAX(0,K208*'Inputs'!$E$44)</x:f>
        <x:v>0</x:v>
      </x:c>
      <x:c r="M208" s="80" t="n">
        <x:f>MAX(0,-K208*'Inputs'!$E$44)</x:f>
        <x:v>0.00814118613965802</x:v>
      </x:c>
      <x:c r="N208" s="78" t="n">
        <x:f>H208*(L208*(1-'Inputs'!$B$15))/(I208+L208*(1-'Inputs'!$B$15))</x:f>
        <x:v>0</x:v>
      </x:c>
      <x:c r="O208" s="78" t="n">
        <x:f>H208-N208</x:f>
        <x:v>116430431240.49384</x:v>
      </x:c>
      <x:c r="P208" s="78" t="n">
        <x:f>I208+L208*(1-'Inputs'!$B$17)</x:f>
        <x:v>0.10176482674572522</x:v>
      </x:c>
      <x:c r="Q208" s="78" t="n">
        <x:f>IF(J208&gt;0,M208/J208,0)</x:f>
        <x:v>0</x:v>
      </x:c>
      <x:c r="R208" s="78" t="n">
        <x:f>IF(B208='Inputs'!$H$44,'Inputs'!$B$27*'Inputs'!$I$44,0)</x:f>
        <x:v>0</x:v>
      </x:c>
      <x:c r="S208" s="78" t="n">
        <x:f>Q208+G208+R208</x:f>
        <x:v>839126.7123287689</x:v>
      </x:c>
      <x:c r="T208" s="78" t="n">
        <x:f>P208*(S208*(1-'Inputs'!$B$15))/(O208+S208*(1-'Inputs'!$B$15))</x:f>
        <x:v>7.260906325170567e-7</x:v>
      </x:c>
      <x:c r="U208" s="78" t="n">
        <x:f>O208+S208*(1-'Inputs'!$B$17)</x:f>
        <x:v>116431266990.4387</x:v>
      </x:c>
      <x:c r="V208" s="78" t="n">
        <x:f>P208-T208</x:f>
        <x:v>0.1017641006550927</x:v>
      </x:c>
      <x:c r="W208" s="79" t="n">
        <x:f>IF(U208&gt;0,V208/U208,0)</x:f>
        <x:v>8.74027254753223e-13</x:v>
      </x:c>
      <x:c r="X208" s="80" t="n">
        <x:f>W208*('Inputs'!$B$6-AC208)</x:f>
        <x:v>-0.0003583104707066382</x:v>
      </x:c>
      <x:c r="Y208" s="80" t="n">
        <x:f>2*V208</x:f>
        <x:v>0.2035282013101854</x:v>
      </x:c>
      <x:c r="Z208" s="80" t="n">
        <x:f>K208*'Inputs'!$B$16+(G208+R208)*J208*'Inputs'!$B$16</x:f>
        <x:v>0.00024423998477042665</x:v>
      </x:c>
      <x:c r="AA208" s="80" t="n">
        <x:f>K208*(1+'Inputs'!$E$44)/2*'Inputs'!$B$17</x:f>
        <x:v>0.00006552262486646294</x:v>
      </x:c>
      <x:c r="AB208" s="78" t="n">
        <x:f>(IF(J208&gt;0,K208*(1-'Inputs'!$E$44)/2/J208,0)+G208+R208)*'Inputs'!$B$17</x:f>
        <x:v>3376.767454039312</x:v>
      </x:c>
      <x:c r="AC208" s="78" t="n">
        <x:f>AC207+AB208</x:f>
        <x:v>1409953429.664851</x:v>
      </x:c>
      <x:c r="AD208" s="80" t="n">
        <x:f>Z208/(1+'Inputs'!$C$44)</x:f>
        <x:v>0.0001953919878163413</x:v>
      </x:c>
      <x:c r="AE208" s="80" t="n">
        <x:f>Z208-AD208</x:f>
        <x:v>0.00004884799695408534</x:v>
      </x:c>
      <x:c r="AF208" s="80" t="n">
        <x:f>D208*W208</x:f>
        <x:v>2.4179404717152355e-7</x:v>
      </x:c>
      <x:c r="AG208" s="80" t="n">
        <x:f>C208*W208</x:f>
        <x:v>5.641861100668969e-7</x:v>
      </x:c>
      <x:c r="AH208" s="80" t="n">
        <x:f>2*'Inputs'!$B$8*'Inputs'!$C$44</x:f>
        <x:v>1250</x:v>
      </x:c>
      <x:c r="AI208" s="81" t="n">
        <x:f>IF(AH208&gt;0,(AE208+AF208)/AH208*365,0)</x:f>
        <x:v>0.000014334218972367003</x:v>
      </x:c>
      <x:c r="AJ208" s="81" t="n">
        <x:f>IF('Inputs'!$B$44&gt;0,AG208/('Inputs'!$B$19*'Inputs'!$B$44)*365,0)</x:f>
        <x:v>2.0592793017441737e-8</x:v>
      </x:c>
      <x:c r="AK208" s="81" t="n">
        <x:f>W208/MAX($W$4:W208)-1</x:f>
        <x:v>-0.9999999987155506</x:v>
      </x:c>
      <x:c r="AL208" s="83" t="n">
        <x:f>'Inputs'!$B$44</x:f>
        <x:v>1</x:v>
      </x:c>
      <x:c r="AM208" s="83" t="n">
        <x:f>'Inputs'!$C$44</x:f>
        <x:v>0.25</x:v>
      </x:c>
      <x:c r="AN208" s="83" t="n">
        <x:f>'Inputs'!$D$44</x:f>
        <x:v>0.2</x:v>
      </x:c>
      <x:c r="AO208" s="81" t="n">
        <x:f>'Inputs'!$E$44</x:f>
        <x:v>-0.2</x:v>
      </x:c>
    </x:row>
    <x:row r="209">
      <x:c r="A209" s="59" t="str">
        <x:v>No demand</x:v>
      </x:c>
      <x:c r="B209" s="59" t="n">
        <x:v>206</x:v>
      </x:c>
      <x:c r="C209" s="78" t="n">
        <x:f>(('Inputs'!$B$29*(3*206*'Inputs'!$B$12-206^2)/(2*'Inputs'!$B$12^2))-('Inputs'!$B$29*(3*205*'Inputs'!$B$12-205^2)/(2*'Inputs'!$B$12^2)))*'Inputs'!$B$44</x:f>
        <x:v>645176.6278851628</x:v>
      </x:c>
      <x:c r="D209" s="78" t="n">
        <x:f>IF('Inputs'!$C$44&gt;0,('Inputs'!$B$30*(3*206*'Inputs'!$B$12-206^2)/(2*'Inputs'!$B$12^2))-('Inputs'!$B$30*(3*205*'Inputs'!$B$12-205^2)/(2*'Inputs'!$B$12^2)),0)</x:f>
        <x:v>276504.26909364015</x:v>
      </x:c>
      <x:c r="E209" s="78" t="n">
        <x:f>C209+D209</x:f>
        <x:v>921680.896978803</x:v>
      </x:c>
      <x:c r="F209" s="78" t="n">
        <x:f>'Inputs'!$B$13*E209+(1-'Inputs'!$B$13)/'Inputs'!$B$14*SUM(E154:E209)</x:f>
        <x:v>931898.5738412478</x:v>
      </x:c>
      <x:c r="G209" s="78" t="n">
        <x:f>F209*'Inputs'!$F$44</x:f>
        <x:v>838708.716457123</x:v>
      </x:c>
      <x:c r="H209" s="78" t="n">
        <x:f>U208</x:f>
        <x:v>116431266990.4387</x:v>
      </x:c>
      <x:c r="I209" s="78" t="n">
        <x:f>V208</x:f>
        <x:v>0.1017641006550927</x:v>
      </x:c>
      <x:c r="J209" s="79" t="n">
        <x:f>IF(H209&gt;0,I209/H209,0)</x:f>
        <x:v>8.74027254753223e-13</x:v>
      </x:c>
      <x:c r="K209" s="80" t="n">
        <x:f>(H209*J209+I209)*'Inputs'!$D$44*(1+'Inputs'!$G$44)^(B209/30)</x:f>
        <x:v>0.04070564026203708</x:v>
      </x:c>
      <x:c r="L209" s="80" t="n">
        <x:f>MAX(0,K209*'Inputs'!$E$44)</x:f>
        <x:v>0</x:v>
      </x:c>
      <x:c r="M209" s="80" t="n">
        <x:f>MAX(0,-K209*'Inputs'!$E$44)</x:f>
        <x:v>0.008141128052407416</x:v>
      </x:c>
      <x:c r="N209" s="78" t="n">
        <x:f>H209*(L209*(1-'Inputs'!$B$15))/(I209+L209*(1-'Inputs'!$B$15))</x:f>
        <x:v>0</x:v>
      </x:c>
      <x:c r="O209" s="78" t="n">
        <x:f>H209-N209</x:f>
        <x:v>116431266990.4387</x:v>
      </x:c>
      <x:c r="P209" s="78" t="n">
        <x:f>I209+L209*(1-'Inputs'!$B$17)</x:f>
        <x:v>0.1017641006550927</x:v>
      </x:c>
      <x:c r="Q209" s="78" t="n">
        <x:f>IF(J209&gt;0,M209/J209,0)</x:f>
        <x:v>0</x:v>
      </x:c>
      <x:c r="R209" s="78" t="n">
        <x:f>IF(B209='Inputs'!$H$44,'Inputs'!$B$27*'Inputs'!$I$44,0)</x:f>
        <x:v>0</x:v>
      </x:c>
      <x:c r="S209" s="78" t="n">
        <x:f>Q209+G209+R209</x:f>
        <x:v>838708.716457123</x:v>
      </x:c>
      <x:c r="T209" s="78" t="n">
        <x:f>P209*(S209*(1-'Inputs'!$B$15))/(O209+S209*(1-'Inputs'!$B$15))</x:f>
        <x:v>7.257185588004507e-7</x:v>
      </x:c>
      <x:c r="U209" s="78" t="n">
        <x:f>O209+S209*(1-'Inputs'!$B$17)</x:f>
        <x:v>116432102324.06978</x:v>
      </x:c>
      <x:c r="V209" s="78" t="n">
        <x:f>P209-T209</x:f>
        <x:v>0.1017633749365339</x:v>
      </x:c>
      <x:c r="W209" s="79" t="n">
        <x:f>IF(U209&gt;0,V209/U209,0)</x:f>
        <x:v>8.740147511318839e-13</x:v>
      </x:c>
      <x:c r="X209" s="80" t="n">
        <x:f>W209*('Inputs'!$B$6-AC209)</x:f>
        <x:v>-0.0003583082946785938</x:v>
      </x:c>
      <x:c r="Y209" s="80" t="n">
        <x:f>2*V209</x:f>
        <x:v>0.2035267498730678</x:v>
      </x:c>
      <x:c r="Z209" s="80" t="n">
        <x:f>K209*'Inputs'!$B$16+(G209+R209)*J209*'Inputs'!$B$16</x:f>
        <x:v>0.0002442382398978844</x:v>
      </x:c>
      <x:c r="AA209" s="80" t="n">
        <x:f>K209*(1+'Inputs'!$E$44)/2*'Inputs'!$B$17</x:f>
        <x:v>0.00006552215736343997</x:v>
      </x:c>
      <x:c r="AB209" s="78" t="n">
        <x:f>(IF(J209&gt;0,K209*(1-'Inputs'!$E$44)/2/J209,0)+G209+R209)*'Inputs'!$B$17</x:f>
        <x:v>3375.085378097075</x:v>
      </x:c>
      <x:c r="AC209" s="78" t="n">
        <x:f>AC208+AB209</x:f>
        <x:v>1409956804.7502291</x:v>
      </x:c>
      <x:c r="AD209" s="80" t="n">
        <x:f>Z209/(1+'Inputs'!$C$44)</x:f>
        <x:v>0.00019539059191830754</x:v>
      </x:c>
      <x:c r="AE209" s="80" t="n">
        <x:f>Z209-AD209</x:f>
        <x:v>0.00004884764797957687</x:v>
      </x:c>
      <x:c r="AF209" s="80" t="n">
        <x:f>D209*W209</x:f>
        <x:v>2.4166880993878137e-7</x:v>
      </x:c>
      <x:c r="AG209" s="80" t="n">
        <x:f>C209*W209</x:f>
        <x:v>5.638938898571587e-7</x:v>
      </x:c>
      <x:c r="AH209" s="80" t="n">
        <x:f>2*'Inputs'!$B$8*'Inputs'!$C$44</x:f>
        <x:v>1250</x:v>
      </x:c>
      <x:c r="AI209" s="81" t="n">
        <x:f>IF(AH209&gt;0,(AE209+AF209)/AH209*365,0)</x:f>
        <x:v>0.000014334080502538572</x:v>
      </x:c>
      <x:c r="AJ209" s="81" t="n">
        <x:f>IF('Inputs'!$B$44&gt;0,AG209/('Inputs'!$B$19*'Inputs'!$B$44)*365,0)</x:f>
        <x:v>2.058212697978629e-8</x:v>
      </x:c>
      <x:c r="AK209" s="81" t="n">
        <x:f>W209/MAX($W$4:W209)-1</x:f>
        <x:v>-0.9999999987155689</x:v>
      </x:c>
      <x:c r="AL209" s="83" t="n">
        <x:f>'Inputs'!$B$44</x:f>
        <x:v>1</x:v>
      </x:c>
      <x:c r="AM209" s="83" t="n">
        <x:f>'Inputs'!$C$44</x:f>
        <x:v>0.25</x:v>
      </x:c>
      <x:c r="AN209" s="83" t="n">
        <x:f>'Inputs'!$D$44</x:f>
        <x:v>0.2</x:v>
      </x:c>
      <x:c r="AO209" s="81" t="n">
        <x:f>'Inputs'!$E$44</x:f>
        <x:v>-0.2</x:v>
      </x:c>
    </x:row>
    <x:row r="210">
      <x:c r="A210" s="59" t="str">
        <x:v>No demand</x:v>
      </x:c>
      <x:c r="B210" s="59" t="n">
        <x:v>207</x:v>
      </x:c>
      <x:c r="C210" s="78" t="n">
        <x:f>(('Inputs'!$B$29*(3*207*'Inputs'!$B$12-207^2)/(2*'Inputs'!$B$12^2))-('Inputs'!$B$29*(3*206*'Inputs'!$B$12-206^2)/(2*'Inputs'!$B$12^2)))*'Inputs'!$B$44</x:f>
        <x:v>644851.5199849904</x:v>
      </x:c>
      <x:c r="D210" s="78" t="n">
        <x:f>IF('Inputs'!$C$44&gt;0,('Inputs'!$B$30*(3*207*'Inputs'!$B$12-207^2)/(2*'Inputs'!$B$12^2))-('Inputs'!$B$30*(3*206*'Inputs'!$B$12-206^2)/(2*'Inputs'!$B$12^2)),0)</x:f>
        <x:v>276364.93713642657</x:v>
      </x:c>
      <x:c r="E210" s="78" t="n">
        <x:f>C210+D210</x:f>
        <x:v>921216.4571214169</x:v>
      </x:c>
      <x:c r="F210" s="78" t="n">
        <x:f>'Inputs'!$B$13*E210+(1-'Inputs'!$B$13)/'Inputs'!$B$14*SUM(E155:E210)</x:f>
        <x:v>931434.1339838634</x:v>
      </x:c>
      <x:c r="G210" s="78" t="n">
        <x:f>F210*'Inputs'!$F$44</x:f>
        <x:v>838290.7205854771</x:v>
      </x:c>
      <x:c r="H210" s="78" t="n">
        <x:f>U209</x:f>
        <x:v>116432102324.06978</x:v>
      </x:c>
      <x:c r="I210" s="78" t="n">
        <x:f>V209</x:f>
        <x:v>0.1017633749365339</x:v>
      </x:c>
      <x:c r="J210" s="79" t="n">
        <x:f>IF(H210&gt;0,I210/H210,0)</x:f>
        <x:v>8.740147511318839e-13</x:v>
      </x:c>
      <x:c r="K210" s="80" t="n">
        <x:f>(H210*J210+I210)*'Inputs'!$D$44*(1+'Inputs'!$G$44)^(B210/30)</x:f>
        <x:v>0.04070534997461356</x:v>
      </x:c>
      <x:c r="L210" s="80" t="n">
        <x:f>MAX(0,K210*'Inputs'!$E$44)</x:f>
        <x:v>0</x:v>
      </x:c>
      <x:c r="M210" s="80" t="n">
        <x:f>MAX(0,-K210*'Inputs'!$E$44)</x:f>
        <x:v>0.008141069994922713</x:v>
      </x:c>
      <x:c r="N210" s="78" t="n">
        <x:f>H210*(L210*(1-'Inputs'!$B$15))/(I210+L210*(1-'Inputs'!$B$15))</x:f>
        <x:v>0</x:v>
      </x:c>
      <x:c r="O210" s="78" t="n">
        <x:f>H210-N210</x:f>
        <x:v>116432102324.06978</x:v>
      </x:c>
      <x:c r="P210" s="78" t="n">
        <x:f>I210+L210*(1-'Inputs'!$B$17)</x:f>
        <x:v>0.1017633749365339</x:v>
      </x:c>
      <x:c r="Q210" s="78" t="n">
        <x:f>IF(J210&gt;0,M210/J210,0)</x:f>
        <x:v>0</x:v>
      </x:c>
      <x:c r="R210" s="78" t="n">
        <x:f>IF(B210='Inputs'!$H$44,'Inputs'!$B$27*'Inputs'!$I$44,0)</x:f>
        <x:v>0</x:v>
      </x:c>
      <x:c r="S210" s="78" t="n">
        <x:f>Q210+G210+R210</x:f>
        <x:v>838290.7205854771</x:v>
      </x:c>
      <x:c r="T210" s="78" t="n">
        <x:f>P210*(S210*(1-'Inputs'!$B$15))/(O210+S210*(1-'Inputs'!$B$15))</x:f>
        <x:v>7.253465008294549e-7</x:v>
      </x:c>
      <x:c r="U210" s="78" t="n">
        <x:f>O210+S210*(1-'Inputs'!$B$17)</x:f>
        <x:v>116432937241.38705</x:v>
      </x:c>
      <x:c r="V210" s="78" t="n">
        <x:f>P210-T210</x:f>
        <x:v>0.10176264959003306</x:v>
      </x:c>
      <x:c r="W210" s="79" t="n">
        <x:f>IF(U210&gt;0,V210/U210,0)</x:f>
        <x:v>8.740022540104802e-13</x:v>
      </x:c>
      <x:c r="X210" s="80" t="n">
        <x:f>W210*('Inputs'!$B$6-AC210)</x:f>
        <x:v>-0.00035830611976072436</x:v>
      </x:c>
      <x:c r="Y210" s="80" t="n">
        <x:f>2*V210</x:f>
        <x:v>0.20352529918006612</x:v>
      </x:c>
      <x:c r="Z210" s="80" t="n">
        <x:f>K210*'Inputs'!$B$16+(G210+R210)*J210*'Inputs'!$B$16</x:f>
        <x:v>0.00024423649591841457</x:v>
      </x:c>
      <x:c r="AA210" s="80" t="n">
        <x:f>K210*(1+'Inputs'!$E$44)/2*'Inputs'!$B$17</x:f>
        <x:v>0.00006552169009998159</x:v>
      </x:c>
      <x:c r="AB210" s="78" t="n">
        <x:f>(IF(J210&gt;0,K210*(1-'Inputs'!$E$44)/2/J210,0)+G210+R210)*'Inputs'!$B$17</x:f>
        <x:v>3373.4033021548375</x:v>
      </x:c>
      <x:c r="AC210" s="78" t="n">
        <x:f>AC209+AB210</x:f>
        <x:v>1409960178.1535313</x:v>
      </x:c>
      <x:c r="AD210" s="80" t="n">
        <x:f>Z210/(1+'Inputs'!$C$44)</x:f>
        <x:v>0.00019538919673473166</x:v>
      </x:c>
      <x:c r="AE210" s="80" t="n">
        <x:f>Z210-AD210</x:f>
        <x:v>0.0000488472991836829</x:v>
      </x:c>
      <x:c r="AF210" s="80" t="n">
        <x:f>D210*W210</x:f>
        <x:v>2.4154357798670146e-7</x:v>
      </x:c>
      <x:c r="AG210" s="80" t="n">
        <x:f>C210*W210</x:f>
        <x:v>5.636016819689658e-7</x:v>
      </x:c>
      <x:c r="AH210" s="80" t="n">
        <x:f>2*'Inputs'!$B$8*'Inputs'!$C$44</x:f>
        <x:v>1250</x:v>
      </x:c>
      <x:c r="AI210" s="81" t="n">
        <x:f>IF(AH210&gt;0,(AE210+AF210)/AH210*365,0)</x:f>
        <x:v>0.000014333942086407523</x:v>
      </x:c>
      <x:c r="AJ210" s="81" t="n">
        <x:f>IF('Inputs'!$B$44&gt;0,AG210/('Inputs'!$B$19*'Inputs'!$B$44)*365,0)</x:f>
        <x:v>2.057146139186725e-8</x:v>
      </x:c>
      <x:c r="AK210" s="81" t="n">
        <x:f>W210/MAX($W$4:W210)-1</x:f>
        <x:v>-0.9999999987155873</x:v>
      </x:c>
      <x:c r="AL210" s="83" t="n">
        <x:f>'Inputs'!$B$44</x:f>
        <x:v>1</x:v>
      </x:c>
      <x:c r="AM210" s="83" t="n">
        <x:f>'Inputs'!$C$44</x:f>
        <x:v>0.25</x:v>
      </x:c>
      <x:c r="AN210" s="83" t="n">
        <x:f>'Inputs'!$D$44</x:f>
        <x:v>0.2</x:v>
      </x:c>
      <x:c r="AO210" s="81" t="n">
        <x:f>'Inputs'!$E$44</x:f>
        <x:v>-0.2</x:v>
      </x:c>
    </x:row>
    <x:row r="211">
      <x:c r="A211" s="59" t="str">
        <x:v>No demand</x:v>
      </x:c>
      <x:c r="B211" s="59" t="n">
        <x:v>208</x:v>
      </x:c>
      <x:c r="C211" s="78" t="n">
        <x:f>(('Inputs'!$B$29*(3*208*'Inputs'!$B$12-208^2)/(2*'Inputs'!$B$12^2))-('Inputs'!$B$29*(3*207*'Inputs'!$B$12-207^2)/(2*'Inputs'!$B$12^2)))*'Inputs'!$B$44</x:f>
        <x:v>644526.4120848179</x:v>
      </x:c>
      <x:c r="D211" s="78" t="n">
        <x:f>IF('Inputs'!$C$44&gt;0,('Inputs'!$B$30*(3*208*'Inputs'!$B$12-208^2)/(2*'Inputs'!$B$12^2))-('Inputs'!$B$30*(3*207*'Inputs'!$B$12-207^2)/(2*'Inputs'!$B$12^2)),0)</x:f>
        <x:v>276225.60517920554</x:v>
      </x:c>
      <x:c r="E211" s="78" t="n">
        <x:f>C211+D211</x:f>
        <x:v>920752.0172640234</x:v>
      </x:c>
      <x:c r="F211" s="78" t="n">
        <x:f>'Inputs'!$B$13*E211+(1-'Inputs'!$B$13)/'Inputs'!$B$14*SUM(E156:E211)</x:f>
        <x:v>930969.6941264772</x:v>
      </x:c>
      <x:c r="G211" s="78" t="n">
        <x:f>F211*'Inputs'!$F$44</x:f>
        <x:v>837872.7247138296</x:v>
      </x:c>
      <x:c r="H211" s="78" t="n">
        <x:f>U210</x:f>
        <x:v>116432937241.38705</x:v>
      </x:c>
      <x:c r="I211" s="78" t="n">
        <x:f>V210</x:f>
        <x:v>0.10176264959003306</x:v>
      </x:c>
      <x:c r="J211" s="79" t="n">
        <x:f>IF(H211&gt;0,I211/H211,0)</x:f>
        <x:v>8.740022540104802e-13</x:v>
      </x:c>
      <x:c r="K211" s="80" t="n">
        <x:f>(H211*J211+I211)*'Inputs'!$D$44*(1+'Inputs'!$G$44)^(B211/30)</x:f>
        <x:v>0.040705059836013226</x:v>
      </x:c>
      <x:c r="L211" s="80" t="n">
        <x:f>MAX(0,K211*'Inputs'!$E$44)</x:f>
        <x:v>0</x:v>
      </x:c>
      <x:c r="M211" s="80" t="n">
        <x:f>MAX(0,-K211*'Inputs'!$E$44)</x:f>
        <x:v>0.008141011967202646</x:v>
      </x:c>
      <x:c r="N211" s="78" t="n">
        <x:f>H211*(L211*(1-'Inputs'!$B$15))/(I211+L211*(1-'Inputs'!$B$15))</x:f>
        <x:v>0</x:v>
      </x:c>
      <x:c r="O211" s="78" t="n">
        <x:f>H211-N211</x:f>
        <x:v>116432937241.38705</x:v>
      </x:c>
      <x:c r="P211" s="78" t="n">
        <x:f>I211+L211*(1-'Inputs'!$B$17)</x:f>
        <x:v>0.10176264959003306</x:v>
      </x:c>
      <x:c r="Q211" s="78" t="n">
        <x:f>IF(J211&gt;0,M211/J211,0)</x:f>
        <x:v>0</x:v>
      </x:c>
      <x:c r="R211" s="78" t="n">
        <x:f>IF(B211='Inputs'!$H$44,'Inputs'!$B$27*'Inputs'!$I$44,0)</x:f>
        <x:v>0</x:v>
      </x:c>
      <x:c r="S211" s="78" t="n">
        <x:f>Q211+G211+R211</x:f>
        <x:v>837872.7247138296</x:v>
      </x:c>
      <x:c r="T211" s="78" t="n">
        <x:f>P211*(S211*(1-'Inputs'!$B$15))/(O211+S211*(1-'Inputs'!$B$15))</x:f>
        <x:v>7.249744585956592e-7</x:v>
      </x:c>
      <x:c r="U211" s="78" t="n">
        <x:f>O211+S211*(1-'Inputs'!$B$17)</x:f>
        <x:v>116433771742.39055</x:v>
      </x:c>
      <x:c r="V211" s="78" t="n">
        <x:f>P211-T211</x:f>
        <x:v>0.10176192461557447</x:v>
      </x:c>
      <x:c r="W211" s="79" t="n">
        <x:f>IF(U211&gt;0,V211/U211,0)</x:f>
        <x:v>8.739897633886026e-13</x:v>
      </x:c>
      <x:c r="X211" s="80" t="n">
        <x:f>W211*('Inputs'!$B$6-AC211)</x:f>
        <x:v>-0.0003583039459529909</x:v>
      </x:c>
      <x:c r="Y211" s="80" t="n">
        <x:f>2*V211</x:f>
        <x:v>0.20352384923114894</x:v>
      </x:c>
      <x:c r="Z211" s="80" t="n">
        <x:f>K211*'Inputs'!$B$16+(G211+R211)*J211*'Inputs'!$B$16</x:f>
        <x:v>0.0002442347528319792</x:v>
      </x:c>
      <x:c r="AA211" s="80" t="n">
        <x:f>K211*(1+'Inputs'!$E$44)/2*'Inputs'!$B$17</x:f>
        <x:v>0.00006552122307607764</x:v>
      </x:c>
      <x:c r="AB211" s="78" t="n">
        <x:f>(IF(J211&gt;0,K211*(1-'Inputs'!$E$44)/2/J211,0)+G211+R211)*'Inputs'!$B$17</x:f>
        <x:v>3371.721226212594</x:v>
      </x:c>
      <x:c r="AC211" s="78" t="n">
        <x:f>AC210+AB211</x:f>
        <x:v>1409963549.8747575</x:v>
      </x:c>
      <x:c r="AD211" s="80" t="n">
        <x:f>Z211/(1+'Inputs'!$C$44)</x:f>
        <x:v>0.00019538780226558333</x:v>
      </x:c>
      <x:c r="AE211" s="80" t="n">
        <x:f>Z211-AD211</x:f>
        <x:v>0.000048846950566395846</x:v>
      </x:c>
      <x:c r="AF211" s="80" t="n">
        <x:f>D211*W211</x:f>
        <x:v>2.414183513124474e-7</x:v>
      </x:c>
      <x:c r="AG211" s="80" t="n">
        <x:f>C211*W211</x:f>
        <x:v>5.633094863957149e-7</x:v>
      </x:c>
      <x:c r="AH211" s="80" t="n">
        <x:f>2*'Inputs'!$B$8*'Inputs'!$C$44</x:f>
        <x:v>1250</x:v>
      </x:c>
      <x:c r="AI211" s="81" t="n">
        <x:f>IF(AH211&gt;0,(AE211+AF211)/AH211*365,0)</x:f>
        <x:v>0.000014333803723970823</x:v>
      </x:c>
      <x:c r="AJ211" s="81" t="n">
        <x:f>IF('Inputs'!$B$44&gt;0,AG211/('Inputs'!$B$19*'Inputs'!$B$44)*365,0)</x:f>
        <x:v>2.0560796253443596e-8</x:v>
      </x:c>
      <x:c r="AK211" s="81" t="n">
        <x:f>W211/MAX($W$4:W211)-1</x:f>
        <x:v>-0.9999999987156056</x:v>
      </x:c>
      <x:c r="AL211" s="83" t="n">
        <x:f>'Inputs'!$B$44</x:f>
        <x:v>1</x:v>
      </x:c>
      <x:c r="AM211" s="83" t="n">
        <x:f>'Inputs'!$C$44</x:f>
        <x:v>0.25</x:v>
      </x:c>
      <x:c r="AN211" s="83" t="n">
        <x:f>'Inputs'!$D$44</x:f>
        <x:v>0.2</x:v>
      </x:c>
      <x:c r="AO211" s="81" t="n">
        <x:f>'Inputs'!$E$44</x:f>
        <x:v>-0.2</x:v>
      </x:c>
    </x:row>
    <x:row r="212">
      <x:c r="A212" s="59" t="str">
        <x:v>No demand</x:v>
      </x:c>
      <x:c r="B212" s="59" t="n">
        <x:v>209</x:v>
      </x:c>
      <x:c r="C212" s="78" t="n">
        <x:f>(('Inputs'!$B$29*(3*209*'Inputs'!$B$12-209^2)/(2*'Inputs'!$B$12^2))-('Inputs'!$B$29*(3*208*'Inputs'!$B$12-208^2)/(2*'Inputs'!$B$12^2)))*'Inputs'!$B$44</x:f>
        <x:v>644201.3041846454</x:v>
      </x:c>
      <x:c r="D212" s="78" t="n">
        <x:f>IF('Inputs'!$C$44&gt;0,('Inputs'!$B$30*(3*209*'Inputs'!$B$12-209^2)/(2*'Inputs'!$B$12^2))-('Inputs'!$B$30*(3*208*'Inputs'!$B$12-208^2)/(2*'Inputs'!$B$12^2)),0)</x:f>
        <x:v>276086.27322199196</x:v>
      </x:c>
      <x:c r="E212" s="78" t="n">
        <x:f>C212+D212</x:f>
        <x:v>920287.5774066374</x:v>
      </x:c>
      <x:c r="F212" s="78" t="n">
        <x:f>'Inputs'!$B$13*E212+(1-'Inputs'!$B$13)/'Inputs'!$B$14*SUM(E157:E212)</x:f>
        <x:v>930505.2542690926</x:v>
      </x:c>
      <x:c r="G212" s="78" t="n">
        <x:f>F212*'Inputs'!$F$44</x:f>
        <x:v>837454.7288421834</x:v>
      </x:c>
      <x:c r="H212" s="78" t="n">
        <x:f>U211</x:f>
        <x:v>116433771742.39055</x:v>
      </x:c>
      <x:c r="I212" s="78" t="n">
        <x:f>V211</x:f>
        <x:v>0.10176192461557447</x:v>
      </x:c>
      <x:c r="J212" s="79" t="n">
        <x:f>IF(H212&gt;0,I212/H212,0)</x:f>
        <x:v>8.739897633886026e-13</x:v>
      </x:c>
      <x:c r="K212" s="80" t="n">
        <x:f>(H212*J212+I212)*'Inputs'!$D$44*(1+'Inputs'!$G$44)^(B212/30)</x:f>
        <x:v>0.04070476984622979</x:v>
      </x:c>
      <x:c r="L212" s="80" t="n">
        <x:f>MAX(0,K212*'Inputs'!$E$44)</x:f>
        <x:v>0</x:v>
      </x:c>
      <x:c r="M212" s="80" t="n">
        <x:f>MAX(0,-K212*'Inputs'!$E$44)</x:f>
        <x:v>0.008140953969245959</x:v>
      </x:c>
      <x:c r="N212" s="78" t="n">
        <x:f>H212*(L212*(1-'Inputs'!$B$15))/(I212+L212*(1-'Inputs'!$B$15))</x:f>
        <x:v>0</x:v>
      </x:c>
      <x:c r="O212" s="78" t="n">
        <x:f>H212-N212</x:f>
        <x:v>116433771742.39055</x:v>
      </x:c>
      <x:c r="P212" s="78" t="n">
        <x:f>I212+L212*(1-'Inputs'!$B$17)</x:f>
        <x:v>0.10176192461557447</x:v>
      </x:c>
      <x:c r="Q212" s="78" t="n">
        <x:f>IF(J212&gt;0,M212/J212,0)</x:f>
        <x:v>0</x:v>
      </x:c>
      <x:c r="R212" s="78" t="n">
        <x:f>IF(B212='Inputs'!$H$44,'Inputs'!$B$27*'Inputs'!$I$44,0)</x:f>
        <x:v>0</x:v>
      </x:c>
      <x:c r="S212" s="78" t="n">
        <x:f>Q212+G212+R212</x:f>
        <x:v>837454.7288421834</x:v>
      </x:c>
      <x:c r="T212" s="78" t="n">
        <x:f>P212*(S212*(1-'Inputs'!$B$15))/(O212+S212*(1-'Inputs'!$B$15))</x:f>
        <x:v>7.24602432090658e-7</x:v>
      </x:c>
      <x:c r="U212" s="78" t="n">
        <x:f>O212+S212*(1-'Inputs'!$B$17)</x:f>
        <x:v>116434605827.08025</x:v>
      </x:c>
      <x:c r="V212" s="78" t="n">
        <x:f>P212-T212</x:f>
        <x:v>0.10176120001314239</x:v>
      </x:c>
      <x:c r="W212" s="79" t="n">
        <x:f>IF(U212&gt;0,V212/U212,0)</x:f>
        <x:v>8.739772792658423e-13</x:v>
      </x:c>
      <x:c r="X212" s="80" t="n">
        <x:f>W212*('Inputs'!$B$6-AC212)</x:f>
        <x:v>-0.0003583017732553546</x:v>
      </x:c>
      <x:c r="Y212" s="80" t="n">
        <x:f>2*V212</x:f>
        <x:v>0.20352240002628477</x:v>
      </x:c>
      <x:c r="Z212" s="80" t="n">
        <x:f>K212*'Inputs'!$B$16+(G212+R212)*J212*'Inputs'!$B$16</x:f>
        <x:v>0.0002442330106385406</x:v>
      </x:c>
      <x:c r="AA212" s="80" t="n">
        <x:f>K212*(1+'Inputs'!$E$44)/2*'Inputs'!$B$17</x:f>
        <x:v>0.00006552075629171798</x:v>
      </x:c>
      <x:c r="AB212" s="78" t="n">
        <x:f>(IF(J212&gt;0,K212*(1-'Inputs'!$E$44)/2/J212,0)+G212+R212)*'Inputs'!$B$17</x:f>
        <x:v>3370.039150270356</x:v>
      </x:c>
      <x:c r="AC212" s="78" t="n">
        <x:f>AC211+AB212</x:f>
        <x:v>1409966919.9139078</x:v>
      </x:c>
      <x:c r="AD212" s="80" t="n">
        <x:f>Z212/(1+'Inputs'!$C$44)</x:f>
        <x:v>0.0001953864085108325</x:v>
      </x:c>
      <x:c r="AE212" s="80" t="n">
        <x:f>Z212-AD212</x:f>
        <x:v>0.00004884660212770811</x:v>
      </x:c>
      <x:c r="AF212" s="80" t="n">
        <x:f>D212*W212</x:f>
        <x:v>2.412931299132025e-7</x:v>
      </x:c>
      <x:c r="AG212" s="80" t="n">
        <x:f>C212*W212</x:f>
        <x:v>5.630173031308037e-7</x:v>
      </x:c>
      <x:c r="AH212" s="80" t="n">
        <x:f>2*'Inputs'!$B$8*'Inputs'!$C$44</x:f>
        <x:v>1250</x:v>
      </x:c>
      <x:c r="AI212" s="81" t="n">
        <x:f>IF(AH212&gt;0,(AE212+AF212)/AH212*365,0)</x:f>
        <x:v>0.000014333665415225424</x:v>
      </x:c>
      <x:c r="AJ212" s="81" t="n">
        <x:f>IF('Inputs'!$B$44&gt;0,AG212/('Inputs'!$B$19*'Inputs'!$B$44)*365,0)</x:f>
        <x:v>2.0550131564274335e-8</x:v>
      </x:c>
      <x:c r="AK212" s="81" t="n">
        <x:f>W212/MAX($W$4:W212)-1</x:f>
        <x:v>-0.999999998715624</x:v>
      </x:c>
      <x:c r="AL212" s="83" t="n">
        <x:f>'Inputs'!$B$44</x:f>
        <x:v>1</x:v>
      </x:c>
      <x:c r="AM212" s="83" t="n">
        <x:f>'Inputs'!$C$44</x:f>
        <x:v>0.25</x:v>
      </x:c>
      <x:c r="AN212" s="83" t="n">
        <x:f>'Inputs'!$D$44</x:f>
        <x:v>0.2</x:v>
      </x:c>
      <x:c r="AO212" s="81" t="n">
        <x:f>'Inputs'!$E$44</x:f>
        <x:v>-0.2</x:v>
      </x:c>
    </x:row>
    <x:row r="213">
      <x:c r="A213" s="59" t="str">
        <x:v>No demand</x:v>
      </x:c>
      <x:c r="B213" s="59" t="n">
        <x:v>210</x:v>
      </x:c>
      <x:c r="C213" s="78" t="n">
        <x:f>(('Inputs'!$B$29*(3*210*'Inputs'!$B$12-210^2)/(2*'Inputs'!$B$12^2))-('Inputs'!$B$29*(3*209*'Inputs'!$B$12-209^2)/(2*'Inputs'!$B$12^2)))*'Inputs'!$B$44</x:f>
        <x:v>643876.196284473</x:v>
      </x:c>
      <x:c r="D213" s="78" t="n">
        <x:f>IF('Inputs'!$C$44&gt;0,('Inputs'!$B$30*(3*210*'Inputs'!$B$12-210^2)/(2*'Inputs'!$B$12^2))-('Inputs'!$B$30*(3*209*'Inputs'!$B$12-209^2)/(2*'Inputs'!$B$12^2)),0)</x:f>
        <x:v>275946.9412647784</x:v>
      </x:c>
      <x:c r="E213" s="78" t="n">
        <x:f>C213+D213</x:f>
        <x:v>919823.1375492513</x:v>
      </x:c>
      <x:c r="F213" s="78" t="n">
        <x:f>'Inputs'!$B$13*E213+(1-'Inputs'!$B$13)/'Inputs'!$B$14*SUM(E158:E213)</x:f>
        <x:v>930040.814411708</x:v>
      </x:c>
      <x:c r="G213" s="78" t="n">
        <x:f>F213*'Inputs'!$F$44</x:f>
        <x:v>837036.7329705373</x:v>
      </x:c>
      <x:c r="H213" s="78" t="n">
        <x:f>U212</x:f>
        <x:v>116434605827.08025</x:v>
      </x:c>
      <x:c r="I213" s="78" t="n">
        <x:f>V212</x:f>
        <x:v>0.10176120001314239</x:v>
      </x:c>
      <x:c r="J213" s="79" t="n">
        <x:f>IF(H213&gt;0,I213/H213,0)</x:f>
        <x:v>8.739772792658423e-13</x:v>
      </x:c>
      <x:c r="K213" s="80" t="n">
        <x:f>(H213*J213+I213)*'Inputs'!$D$44*(1+'Inputs'!$G$44)^(B213/30)</x:f>
        <x:v>0.040704480005256956</x:v>
      </x:c>
      <x:c r="L213" s="80" t="n">
        <x:f>MAX(0,K213*'Inputs'!$E$44)</x:f>
        <x:v>0</x:v>
      </x:c>
      <x:c r="M213" s="80" t="n">
        <x:f>MAX(0,-K213*'Inputs'!$E$44)</x:f>
        <x:v>0.008140896001051392</x:v>
      </x:c>
      <x:c r="N213" s="78" t="n">
        <x:f>H213*(L213*(1-'Inputs'!$B$15))/(I213+L213*(1-'Inputs'!$B$15))</x:f>
        <x:v>0</x:v>
      </x:c>
      <x:c r="O213" s="78" t="n">
        <x:f>H213-N213</x:f>
        <x:v>116434605827.08025</x:v>
      </x:c>
      <x:c r="P213" s="78" t="n">
        <x:f>I213+L213*(1-'Inputs'!$B$17)</x:f>
        <x:v>0.10176120001314239</x:v>
      </x:c>
      <x:c r="Q213" s="78" t="n">
        <x:f>IF(J213&gt;0,M213/J213,0)</x:f>
        <x:v>0</x:v>
      </x:c>
      <x:c r="R213" s="78" t="n">
        <x:f>IF(B213='Inputs'!$H$44,'Inputs'!$B$27*'Inputs'!$I$44,0)</x:f>
        <x:v>0</x:v>
      </x:c>
      <x:c r="S213" s="78" t="n">
        <x:f>Q213+G213+R213</x:f>
        <x:v>837036.7329705373</x:v>
      </x:c>
      <x:c r="T213" s="78" t="n">
        <x:f>P213*(S213*(1-'Inputs'!$B$15))/(O213+S213*(1-'Inputs'!$B$15))</x:f>
        <x:v>7.242304213060429e-7</x:v>
      </x:c>
      <x:c r="U213" s="78" t="n">
        <x:f>O213+S213*(1-'Inputs'!$B$17)</x:f>
        <x:v>116435439495.45615</x:v>
      </x:c>
      <x:c r="V213" s="78" t="n">
        <x:f>P213-T213</x:f>
        <x:v>0.10176047578272109</x:v>
      </x:c>
      <x:c r="W213" s="79" t="n">
        <x:f>IF(U213&gt;0,V213/U213,0)</x:f>
        <x:v>8.739648016417909e-13</x:v>
      </x:c>
      <x:c r="X213" s="80" t="n">
        <x:f>W213*('Inputs'!$B$6-AC213)</x:f>
        <x:v>-0.00035829960166777666</x:v>
      </x:c>
      <x:c r="Y213" s="80" t="n">
        <x:f>2*V213</x:f>
        <x:v>0.20352095156544217</x:v>
      </x:c>
      <x:c r="Z213" s="80" t="n">
        <x:f>K213*'Inputs'!$B$16+(G213+R213)*J213*'Inputs'!$B$16</x:f>
        <x:v>0.0002442312693380609</x:v>
      </x:c>
      <x:c r="AA213" s="80" t="n">
        <x:f>K213*(1+'Inputs'!$E$44)/2*'Inputs'!$B$17</x:f>
        <x:v>0.00006552028974689249</x:v>
      </x:c>
      <x:c r="AB213" s="78" t="n">
        <x:f>(IF(J213&gt;0,K213*(1-'Inputs'!$E$44)/2/J213,0)+G213+R213)*'Inputs'!$B$17</x:f>
        <x:v>3368.357074328118</x:v>
      </x:c>
      <x:c r="AC213" s="78" t="n">
        <x:f>AC212+AB213</x:f>
        <x:v>1409970288.270982</x:v>
      </x:c>
      <x:c r="AD213" s="80" t="n">
        <x:f>Z213/(1+'Inputs'!$C$44)</x:f>
        <x:v>0.00019538501547044872</x:v>
      </x:c>
      <x:c r="AE213" s="80" t="n">
        <x:f>Z213-AD213</x:f>
        <x:v>0.00004884625386761217</x:v>
      </x:c>
      <x:c r="AF213" s="80" t="n">
        <x:f>D213*W213</x:f>
        <x:v>2.4116791378613094e-7</x:v>
      </x:c>
      <x:c r="AG213" s="80" t="n">
        <x:f>C213*W213</x:f>
        <x:v>5.627251321676303e-7</x:v>
      </x:c>
      <x:c r="AH213" s="80" t="n">
        <x:f>2*'Inputs'!$B$8*'Inputs'!$C$44</x:f>
        <x:v>1250</x:v>
      </x:c>
      <x:c r="AI213" s="81" t="n">
        <x:f>IF(AH213&gt;0,(AE213+AF213)/AH213*365,0)</x:f>
        <x:v>0.000014333527160168304</x:v>
      </x:c>
      <x:c r="AJ213" s="81" t="n">
        <x:f>IF('Inputs'!$B$44&gt;0,AG213/('Inputs'!$B$19*'Inputs'!$B$44)*365,0)</x:f>
        <x:v>2.0539467324118507e-8</x:v>
      </x:c>
      <x:c r="AK213" s="81" t="n">
        <x:f>W213/MAX($W$4:W213)-1</x:f>
        <x:v>-0.9999999987156424</x:v>
      </x:c>
      <x:c r="AL213" s="83" t="n">
        <x:f>'Inputs'!$B$44</x:f>
        <x:v>1</x:v>
      </x:c>
      <x:c r="AM213" s="83" t="n">
        <x:f>'Inputs'!$C$44</x:f>
        <x:v>0.25</x:v>
      </x:c>
      <x:c r="AN213" s="83" t="n">
        <x:f>'Inputs'!$D$44</x:f>
        <x:v>0.2</x:v>
      </x:c>
      <x:c r="AO213" s="81" t="n">
        <x:f>'Inputs'!$E$44</x:f>
        <x:v>-0.2</x:v>
      </x:c>
    </x:row>
    <x:row r="214">
      <x:c r="A214" s="59" t="str">
        <x:v>No demand</x:v>
      </x:c>
      <x:c r="B214" s="59" t="n">
        <x:v>211</x:v>
      </x:c>
      <x:c r="C214" s="78" t="n">
        <x:f>(('Inputs'!$B$29*(3*211*'Inputs'!$B$12-211^2)/(2*'Inputs'!$B$12^2))-('Inputs'!$B$29*(3*210*'Inputs'!$B$12-210^2)/(2*'Inputs'!$B$12^2)))*'Inputs'!$B$44</x:f>
        <x:v>643551.0883843303</x:v>
      </x:c>
      <x:c r="D214" s="78" t="n">
        <x:f>IF('Inputs'!$C$44&gt;0,('Inputs'!$B$30*(3*211*'Inputs'!$B$12-211^2)/(2*'Inputs'!$B$12^2))-('Inputs'!$B$30*(3*210*'Inputs'!$B$12-210^2)/(2*'Inputs'!$B$12^2)),0)</x:f>
        <x:v>275807.6093075648</x:v>
      </x:c>
      <x:c r="E214" s="78" t="n">
        <x:f>C214+D214</x:f>
        <x:v>919358.6976918951</x:v>
      </x:c>
      <x:c r="F214" s="78" t="n">
        <x:f>'Inputs'!$B$13*E214+(1-'Inputs'!$B$13)/'Inputs'!$B$14*SUM(E159:E214)</x:f>
        <x:v>929576.3745543299</x:v>
      </x:c>
      <x:c r="G214" s="78" t="n">
        <x:f>F214*'Inputs'!$F$44</x:f>
        <x:v>836618.7370988969</x:v>
      </x:c>
      <x:c r="H214" s="78" t="n">
        <x:f>U213</x:f>
        <x:v>116435439495.45615</x:v>
      </x:c>
      <x:c r="I214" s="78" t="n">
        <x:f>V213</x:f>
        <x:v>0.10176047578272109</x:v>
      </x:c>
      <x:c r="J214" s="79" t="n">
        <x:f>IF(H214&gt;0,I214/H214,0)</x:f>
        <x:v>8.739648016417909e-13</x:v>
      </x:c>
      <x:c r="K214" s="80" t="n">
        <x:f>(H214*J214+I214)*'Inputs'!$D$44*(1+'Inputs'!$G$44)^(B214/30)</x:f>
        <x:v>0.04070419031308844</x:v>
      </x:c>
      <x:c r="L214" s="80" t="n">
        <x:f>MAX(0,K214*'Inputs'!$E$44)</x:f>
        <x:v>0</x:v>
      </x:c>
      <x:c r="M214" s="80" t="n">
        <x:f>MAX(0,-K214*'Inputs'!$E$44)</x:f>
        <x:v>0.008140838062617688</x:v>
      </x:c>
      <x:c r="N214" s="78" t="n">
        <x:f>H214*(L214*(1-'Inputs'!$B$15))/(I214+L214*(1-'Inputs'!$B$15))</x:f>
        <x:v>0</x:v>
      </x:c>
      <x:c r="O214" s="78" t="n">
        <x:f>H214-N214</x:f>
        <x:v>116435439495.45615</x:v>
      </x:c>
      <x:c r="P214" s="78" t="n">
        <x:f>I214+L214*(1-'Inputs'!$B$17)</x:f>
        <x:v>0.10176047578272109</x:v>
      </x:c>
      <x:c r="Q214" s="78" t="n">
        <x:f>IF(J214&gt;0,M214/J214,0)</x:f>
        <x:v>0</x:v>
      </x:c>
      <x:c r="R214" s="78" t="n">
        <x:f>IF(B214='Inputs'!$H$44,'Inputs'!$B$27*'Inputs'!$I$44,0)</x:f>
        <x:v>0</x:v>
      </x:c>
      <x:c r="S214" s="78" t="n">
        <x:f>Q214+G214+R214</x:f>
        <x:v>836618.7370988969</x:v>
      </x:c>
      <x:c r="T214" s="78" t="n">
        <x:f>P214*(S214*(1-'Inputs'!$B$15))/(O214+S214*(1-'Inputs'!$B$15))</x:f>
        <x:v>7.238584262334125e-7</x:v>
      </x:c>
      <x:c r="U214" s="78" t="n">
        <x:f>O214+S214*(1-'Inputs'!$B$17)</x:f>
        <x:v>116436272747.51825</x:v>
      </x:c>
      <x:c r="V214" s="78" t="n">
        <x:f>P214-T214</x:f>
        <x:v>0.10175975192429486</x:v>
      </x:c>
      <x:c r="W214" s="79" t="n">
        <x:f>IF(U214&gt;0,V214/U214,0)</x:f>
        <x:v>8.7395233051604e-13</x:v>
      </x:c>
      <x:c r="X214" s="80" t="n">
        <x:f>W214*('Inputs'!$B$6-AC214)</x:f>
        <x:v>-0.00035829743119021834</x:v>
      </x:c>
      <x:c r="Y214" s="80" t="n">
        <x:f>2*V214</x:f>
        <x:v>0.20351950384858972</x:v>
      </x:c>
      <x:c r="Z214" s="80" t="n">
        <x:f>K214*'Inputs'!$B$16+(G214+R214)*J214*'Inputs'!$B$16</x:f>
        <x:v>0.0002442295289305023</x:v>
      </x:c>
      <x:c r="AA214" s="80" t="n">
        <x:f>K214*(1+'Inputs'!$E$44)/2*'Inputs'!$B$17</x:f>
        <x:v>0.00006551982344159106</x:v>
      </x:c>
      <x:c r="AB214" s="78" t="n">
        <x:f>(IF(J214&gt;0,K214*(1-'Inputs'!$E$44)/2/J214,0)+G214+R214)*'Inputs'!$B$17</x:f>
        <x:v>3366.674998385903</x:v>
      </x:c>
      <x:c r="AC214" s="78" t="n">
        <x:f>AC213+AB214</x:f>
        <x:v>1409973654.9459803</x:v>
      </x:c>
      <x:c r="AD214" s="80" t="n">
        <x:f>Z214/(1+'Inputs'!$C$44)</x:f>
        <x:v>0.00019538362314440184</x:v>
      </x:c>
      <x:c r="AE214" s="80" t="n">
        <x:f>Z214-AD214</x:f>
        <x:v>0.00004884590578610047</x:v>
      </x:c>
      <x:c r="AF214" s="80" t="n">
        <x:f>D214*W214</x:f>
        <x:v>2.410427029284037e-7</x:v>
      </x:c>
      <x:c r="AG214" s="80" t="n">
        <x:f>C214*W214</x:f>
        <x:v>5.624329734996195e-7</x:v>
      </x:c>
      <x:c r="AH214" s="80" t="n">
        <x:f>2*'Inputs'!$B$8*'Inputs'!$C$44</x:f>
        <x:v>1250</x:v>
      </x:c>
      <x:c r="AI214" s="81" t="n">
        <x:f>IF(AH214&gt;0,(AE214+AF214)/AH214*365,0)</x:f>
        <x:v>0.000014333388958796432</x:v>
      </x:c>
      <x:c r="AJ214" s="81" t="n">
        <x:f>IF('Inputs'!$B$44&gt;0,AG214/('Inputs'!$B$19*'Inputs'!$B$44)*365,0)</x:f>
        <x:v>2.0528803532736113e-8</x:v>
      </x:c>
      <x:c r="AK214" s="81" t="n">
        <x:f>W214/MAX($W$4:W214)-1</x:f>
        <x:v>-0.9999999987156607</x:v>
      </x:c>
      <x:c r="AL214" s="83" t="n">
        <x:f>'Inputs'!$B$44</x:f>
        <x:v>1</x:v>
      </x:c>
      <x:c r="AM214" s="83" t="n">
        <x:f>'Inputs'!$C$44</x:f>
        <x:v>0.25</x:v>
      </x:c>
      <x:c r="AN214" s="83" t="n">
        <x:f>'Inputs'!$D$44</x:f>
        <x:v>0.2</x:v>
      </x:c>
      <x:c r="AO214" s="81" t="n">
        <x:f>'Inputs'!$E$44</x:f>
        <x:v>-0.2</x:v>
      </x:c>
    </x:row>
    <x:row r="215">
      <x:c r="A215" s="59" t="str">
        <x:v>No demand</x:v>
      </x:c>
      <x:c r="B215" s="59" t="n">
        <x:v>212</x:v>
      </x:c>
      <x:c r="C215" s="78" t="n">
        <x:f>(('Inputs'!$B$29*(3*212*'Inputs'!$B$12-212^2)/(2*'Inputs'!$B$12^2))-('Inputs'!$B$29*(3*211*'Inputs'!$B$12-211^2)/(2*'Inputs'!$B$12^2)))*'Inputs'!$B$44</x:f>
        <x:v>643225.980484128</x:v>
      </x:c>
      <x:c r="D215" s="78" t="n">
        <x:f>IF('Inputs'!$C$44&gt;0,('Inputs'!$B$30*(3*212*'Inputs'!$B$12-212^2)/(2*'Inputs'!$B$12^2))-('Inputs'!$B$30*(3*211*'Inputs'!$B$12-211^2)/(2*'Inputs'!$B$12^2)),0)</x:f>
        <x:v>275668.27735034376</x:v>
      </x:c>
      <x:c r="E215" s="78" t="n">
        <x:f>C215+D215</x:f>
        <x:v>918894.2578344718</x:v>
      </x:c>
      <x:c r="F215" s="78" t="n">
        <x:f>'Inputs'!$B$13*E215+(1-'Inputs'!$B$13)/'Inputs'!$B$14*SUM(E160:E215)</x:f>
        <x:v>929111.9346969374</x:v>
      </x:c>
      <x:c r="G215" s="78" t="n">
        <x:f>F215*'Inputs'!$F$44</x:f>
        <x:v>836200.7412272437</x:v>
      </x:c>
      <x:c r="H215" s="78" t="n">
        <x:f>U214</x:f>
        <x:v>116436272747.51825</x:v>
      </x:c>
      <x:c r="I215" s="78" t="n">
        <x:f>V214</x:f>
        <x:v>0.10175975192429486</x:v>
      </x:c>
      <x:c r="J215" s="79" t="n">
        <x:f>IF(H215&gt;0,I215/H215,0)</x:f>
        <x:v>8.7395233051604e-13</x:v>
      </x:c>
      <x:c r="K215" s="80" t="n">
        <x:f>(H215*J215+I215)*'Inputs'!$D$44*(1+'Inputs'!$G$44)^(B215/30)</x:f>
        <x:v>0.04070390076971794</x:v>
      </x:c>
      <x:c r="L215" s="80" t="n">
        <x:f>MAX(0,K215*'Inputs'!$E$44)</x:f>
        <x:v>0</x:v>
      </x:c>
      <x:c r="M215" s="80" t="n">
        <x:f>MAX(0,-K215*'Inputs'!$E$44)</x:f>
        <x:v>0.008140780153943589</x:v>
      </x:c>
      <x:c r="N215" s="78" t="n">
        <x:f>H215*(L215*(1-'Inputs'!$B$15))/(I215+L215*(1-'Inputs'!$B$15))</x:f>
        <x:v>0</x:v>
      </x:c>
      <x:c r="O215" s="78" t="n">
        <x:f>H215-N215</x:f>
        <x:v>116436272747.51825</x:v>
      </x:c>
      <x:c r="P215" s="78" t="n">
        <x:f>I215+L215*(1-'Inputs'!$B$17)</x:f>
        <x:v>0.10175975192429486</x:v>
      </x:c>
      <x:c r="Q215" s="78" t="n">
        <x:f>IF(J215&gt;0,M215/J215,0)</x:f>
        <x:v>0</x:v>
      </x:c>
      <x:c r="R215" s="78" t="n">
        <x:f>IF(B215='Inputs'!$H$44,'Inputs'!$B$27*'Inputs'!$I$44,0)</x:f>
        <x:v>0</x:v>
      </x:c>
      <x:c r="S215" s="78" t="n">
        <x:f>Q215+G215+R215</x:f>
        <x:v>836200.7412272437</x:v>
      </x:c>
      <x:c r="T215" s="78" t="n">
        <x:f>P215*(S215*(1-'Inputs'!$B$15))/(O215+S215*(1-'Inputs'!$B$15))</x:f>
        <x:v>7.23486446864345e-7</x:v>
      </x:c>
      <x:c r="U215" s="78" t="n">
        <x:f>O215+S215*(1-'Inputs'!$B$17)</x:f>
        <x:v>116437105583.26656</x:v>
      </x:c>
      <x:c r="V215" s="78" t="n">
        <x:f>P215-T215</x:f>
        <x:v>0.101759028437848</x:v>
      </x:c>
      <x:c r="W215" s="79" t="n">
        <x:f>IF(U215&gt;0,V215/U215,0)</x:f>
        <x:v>8.739398658881814e-13</x:v>
      </x:c>
      <x:c r="X215" s="80" t="n">
        <x:f>W215*('Inputs'!$B$6-AC215)</x:f>
        <x:v>-0.00035829526182264105</x:v>
      </x:c>
      <x:c r="Y215" s="80" t="n">
        <x:f>2*V215</x:f>
        <x:v>0.203518056875696</x:v>
      </x:c>
      <x:c r="Z215" s="80" t="n">
        <x:f>K215*'Inputs'!$B$16+(G215+R215)*J215*'Inputs'!$B$16</x:f>
        <x:v>0.0002442277894158271</x:v>
      </x:c>
      <x:c r="AA215" s="80" t="n">
        <x:f>K215*(1+'Inputs'!$E$44)/2*'Inputs'!$B$17</x:f>
        <x:v>0.00006551935737580355</x:v>
      </x:c>
      <x:c r="AB215" s="78" t="n">
        <x:f>(IF(J215&gt;0,K215*(1-'Inputs'!$E$44)/2/J215,0)+G215+R215)*'Inputs'!$B$17</x:f>
        <x:v>3364.992922443637</x:v>
      </x:c>
      <x:c r="AC215" s="78" t="n">
        <x:f>AC214+AB215</x:f>
        <x:v>1409977019.9389029</x:v>
      </x:c>
      <x:c r="AD215" s="80" t="n">
        <x:f>Z215/(1+'Inputs'!$C$44)</x:f>
        <x:v>0.0001953822315326617</x:v>
      </x:c>
      <x:c r="AE215" s="80" t="n">
        <x:f>Z215-AD215</x:f>
        <x:v>0.000048845557883165416</x:v>
      </x:c>
      <x:c r="AF215" s="80" t="n">
        <x:f>D215*W215</x:f>
        <x:v>2.4091749733718544e-7</x:v>
      </x:c>
      <x:c r="AG215" s="80" t="n">
        <x:f>C215*W215</x:f>
        <x:v>5.621408271200928e-7</x:v>
      </x:c>
      <x:c r="AH215" s="80" t="n">
        <x:f>2*'Inputs'!$B$8*'Inputs'!$C$44</x:f>
        <x:v>1250</x:v>
      </x:c>
      <x:c r="AI215" s="81" t="n">
        <x:f>IF(AH215&gt;0,(AE215+AF215)/AH215*365,0)</x:f>
        <x:v>0.000014333250811106758</x:v>
      </x:c>
      <x:c r="AJ215" s="81" t="n">
        <x:f>IF('Inputs'!$B$44&gt;0,AG215/('Inputs'!$B$19*'Inputs'!$B$44)*365,0)</x:f>
        <x:v>2.0518140189883386e-8</x:v>
      </x:c>
      <x:c r="AK215" s="81" t="n">
        <x:f>W215/MAX($W$4:W215)-1</x:f>
        <x:v>-0.999999998715679</x:v>
      </x:c>
      <x:c r="AL215" s="83" t="n">
        <x:f>'Inputs'!$B$44</x:f>
        <x:v>1</x:v>
      </x:c>
      <x:c r="AM215" s="83" t="n">
        <x:f>'Inputs'!$C$44</x:f>
        <x:v>0.25</x:v>
      </x:c>
      <x:c r="AN215" s="83" t="n">
        <x:f>'Inputs'!$D$44</x:f>
        <x:v>0.2</x:v>
      </x:c>
      <x:c r="AO215" s="81" t="n">
        <x:f>'Inputs'!$E$44</x:f>
        <x:v>-0.2</x:v>
      </x:c>
    </x:row>
    <x:row r="216">
      <x:c r="A216" s="59" t="str">
        <x:v>No demand</x:v>
      </x:c>
      <x:c r="B216" s="59" t="n">
        <x:v>213</x:v>
      </x:c>
      <x:c r="C216" s="78" t="n">
        <x:f>(('Inputs'!$B$29*(3*213*'Inputs'!$B$12-213^2)/(2*'Inputs'!$B$12^2))-('Inputs'!$B$29*(3*212*'Inputs'!$B$12-212^2)/(2*'Inputs'!$B$12^2)))*'Inputs'!$B$44</x:f>
        <x:v>642900.8725839853</x:v>
      </x:c>
      <x:c r="D216" s="78" t="n">
        <x:f>IF('Inputs'!$C$44&gt;0,('Inputs'!$B$30*(3*213*'Inputs'!$B$12-213^2)/(2*'Inputs'!$B$12^2))-('Inputs'!$B$30*(3*212*'Inputs'!$B$12-212^2)/(2*'Inputs'!$B$12^2)),0)</x:f>
        <x:v>275528.9453931302</x:v>
      </x:c>
      <x:c r="E216" s="78" t="n">
        <x:f>C216+D216</x:f>
        <x:v>918429.8179771155</x:v>
      </x:c>
      <x:c r="F216" s="78" t="n">
        <x:f>'Inputs'!$B$13*E216+(1-'Inputs'!$B$13)/'Inputs'!$B$14*SUM(E161:E216)</x:f>
        <x:v>928647.4948395591</x:v>
      </x:c>
      <x:c r="G216" s="78" t="n">
        <x:f>F216*'Inputs'!$F$44</x:f>
        <x:v>835782.7453556032</x:v>
      </x:c>
      <x:c r="H216" s="78" t="n">
        <x:f>U215</x:f>
        <x:v>116437105583.26656</x:v>
      </x:c>
      <x:c r="I216" s="78" t="n">
        <x:f>V215</x:f>
        <x:v>0.101759028437848</x:v>
      </x:c>
      <x:c r="J216" s="79" t="n">
        <x:f>IF(H216&gt;0,I216/H216,0)</x:f>
        <x:v>8.739398658881814e-13</x:v>
      </x:c>
      <x:c r="K216" s="80" t="n">
        <x:f>(H216*J216+I216)*'Inputs'!$D$44*(1+'Inputs'!$G$44)^(B216/30)</x:f>
        <x:v>0.0407036113751392</x:v>
      </x:c>
      <x:c r="L216" s="80" t="n">
        <x:f>MAX(0,K216*'Inputs'!$E$44)</x:f>
        <x:v>0</x:v>
      </x:c>
      <x:c r="M216" s="80" t="n">
        <x:f>MAX(0,-K216*'Inputs'!$E$44)</x:f>
        <x:v>0.00814072227502784</x:v>
      </x:c>
      <x:c r="N216" s="78" t="n">
        <x:f>H216*(L216*(1-'Inputs'!$B$15))/(I216+L216*(1-'Inputs'!$B$15))</x:f>
        <x:v>0</x:v>
      </x:c>
      <x:c r="O216" s="78" t="n">
        <x:f>H216-N216</x:f>
        <x:v>116437105583.26656</x:v>
      </x:c>
      <x:c r="P216" s="78" t="n">
        <x:f>I216+L216*(1-'Inputs'!$B$17)</x:f>
        <x:v>0.101759028437848</x:v>
      </x:c>
      <x:c r="Q216" s="78" t="n">
        <x:f>IF(J216&gt;0,M216/J216,0)</x:f>
        <x:v>0</x:v>
      </x:c>
      <x:c r="R216" s="78" t="n">
        <x:f>IF(B216='Inputs'!$H$44,'Inputs'!$B$27*'Inputs'!$I$44,0)</x:f>
        <x:v>0</x:v>
      </x:c>
      <x:c r="S216" s="78" t="n">
        <x:f>Q216+G216+R216</x:f>
        <x:v>835782.7453556032</x:v>
      </x:c>
      <x:c r="T216" s="78" t="n">
        <x:f>P216*(S216*(1-'Inputs'!$B$15))/(O216+S216*(1-'Inputs'!$B$15))</x:f>
        <x:v>7.231144831904578e-7</x:v>
      </x:c>
      <x:c r="U216" s="78" t="n">
        <x:f>O216+S216*(1-'Inputs'!$B$17)</x:f>
        <x:v>116437938002.70107</x:v>
      </x:c>
      <x:c r="V216" s="78" t="n">
        <x:f>P216-T216</x:f>
        <x:v>0.1017583053233648</x:v>
      </x:c>
      <x:c r="W216" s="79" t="n">
        <x:f>IF(U216&gt;0,V216/U216,0)</x:f>
        <x:v>8.739274077578071e-13</x:v>
      </x:c>
      <x:c r="X216" s="80" t="n">
        <x:f>W216*('Inputs'!$B$6-AC216)</x:f>
        <x:v>-0.00035829309356500577</x:v>
      </x:c>
      <x:c r="Y216" s="80" t="n">
        <x:f>2*V216</x:f>
        <x:v>0.2035166106467296</x:v>
      </x:c>
      <x:c r="Z216" s="80" t="n">
        <x:f>K216*'Inputs'!$B$16+(G216+R216)*J216*'Inputs'!$B$16</x:f>
        <x:v>0.0002442260507939975</x:v>
      </x:c>
      <x:c r="AA216" s="80" t="n">
        <x:f>K216*(1+'Inputs'!$E$44)/2*'Inputs'!$B$17</x:f>
        <x:v>0.00006551889154951984</x:v>
      </x:c>
      <x:c r="AB216" s="78" t="n">
        <x:f>(IF(J216&gt;0,K216*(1-'Inputs'!$E$44)/2/J216,0)+G216+R216)*'Inputs'!$B$17</x:f>
        <x:v>3363.3108465014216</x:v>
      </x:c>
      <x:c r="AC216" s="78" t="n">
        <x:f>AC215+AB216</x:f>
        <x:v>1409980383.2497494</x:v>
      </x:c>
      <x:c r="AD216" s="80" t="n">
        <x:f>Z216/(1+'Inputs'!$C$44)</x:f>
        <x:v>0.000195380840635198</x:v>
      </x:c>
      <x:c r="AE216" s="80" t="n">
        <x:f>Z216-AD216</x:f>
        <x:v>0.000048845210158799486</x:v>
      </x:c>
      <x:c r="AF216" s="80" t="n">
        <x:f>D216*W216</x:f>
        <x:v>2.407922970096606e-7</x:v>
      </x:c>
      <x:c r="AG216" s="80" t="n">
        <x:f>C216*W216</x:f>
        <x:v>5.618486930225546e-7</x:v>
      </x:c>
      <x:c r="AH216" s="80" t="n">
        <x:f>2*'Inputs'!$B$8*'Inputs'!$C$44</x:f>
        <x:v>1250</x:v>
      </x:c>
      <x:c r="AI216" s="81" t="n">
        <x:f>IF(AH216&gt;0,(AE216+AF216)/AH216*365,0)</x:f>
        <x:v>0.00001433311271709627</x:v>
      </x:c>
      <x:c r="AJ216" s="81" t="n">
        <x:f>IF('Inputs'!$B$44&gt;0,AG216/('Inputs'!$B$19*'Inputs'!$B$44)*365,0)</x:f>
        <x:v>2.050747729532324e-8</x:v>
      </x:c>
      <x:c r="AK216" s="81" t="n">
        <x:f>W216/MAX($W$4:W216)-1</x:f>
        <x:v>-0.9999999987156973</x:v>
      </x:c>
      <x:c r="AL216" s="83" t="n">
        <x:f>'Inputs'!$B$44</x:f>
        <x:v>1</x:v>
      </x:c>
      <x:c r="AM216" s="83" t="n">
        <x:f>'Inputs'!$C$44</x:f>
        <x:v>0.25</x:v>
      </x:c>
      <x:c r="AN216" s="83" t="n">
        <x:f>'Inputs'!$D$44</x:f>
        <x:v>0.2</x:v>
      </x:c>
      <x:c r="AO216" s="81" t="n">
        <x:f>'Inputs'!$E$44</x:f>
        <x:v>-0.2</x:v>
      </x:c>
    </x:row>
    <x:row r="217">
      <x:c r="A217" s="59" t="str">
        <x:v>No demand</x:v>
      </x:c>
      <x:c r="B217" s="59" t="n">
        <x:v>214</x:v>
      </x:c>
      <x:c r="C217" s="78" t="n">
        <x:f>(('Inputs'!$B$29*(3*214*'Inputs'!$B$12-214^2)/(2*'Inputs'!$B$12^2))-('Inputs'!$B$29*(3*213*'Inputs'!$B$12-213^2)/(2*'Inputs'!$B$12^2)))*'Inputs'!$B$44</x:f>
        <x:v>642575.764683783</x:v>
      </x:c>
      <x:c r="D217" s="78" t="n">
        <x:f>IF('Inputs'!$C$44&gt;0,('Inputs'!$B$30*(3*214*'Inputs'!$B$12-214^2)/(2*'Inputs'!$B$12^2))-('Inputs'!$B$30*(3*213*'Inputs'!$B$12-213^2)/(2*'Inputs'!$B$12^2)),0)</x:f>
        <x:v>275389.6134359166</x:v>
      </x:c>
      <x:c r="E217" s="78" t="n">
        <x:f>C217+D217</x:f>
        <x:v>917965.3781196997</x:v>
      </x:c>
      <x:c r="F217" s="78" t="n">
        <x:f>'Inputs'!$B$13*E217+(1-'Inputs'!$B$13)/'Inputs'!$B$14*SUM(E162:E217)</x:f>
        <x:v>928183.0549821684</x:v>
      </x:c>
      <x:c r="G217" s="78" t="n">
        <x:f>F217*'Inputs'!$F$44</x:f>
        <x:v>835364.7494839516</x:v>
      </x:c>
      <x:c r="H217" s="78" t="n">
        <x:f>U216</x:f>
        <x:v>116437938002.70107</x:v>
      </x:c>
      <x:c r="I217" s="78" t="n">
        <x:f>V216</x:f>
        <x:v>0.1017583053233648</x:v>
      </x:c>
      <x:c r="J217" s="79" t="n">
        <x:f>IF(H217&gt;0,I217/H217,0)</x:f>
        <x:v>8.739274077578071e-13</x:v>
      </x:c>
      <x:c r="K217" s="80" t="n">
        <x:f>(H217*J217+I217)*'Inputs'!$D$44*(1+'Inputs'!$G$44)^(B217/30)</x:f>
        <x:v>0.04070332212934592</x:v>
      </x:c>
      <x:c r="L217" s="80" t="n">
        <x:f>MAX(0,K217*'Inputs'!$E$44)</x:f>
        <x:v>0</x:v>
      </x:c>
      <x:c r="M217" s="80" t="n">
        <x:f>MAX(0,-K217*'Inputs'!$E$44)</x:f>
        <x:v>0.008140664425869184</x:v>
      </x:c>
      <x:c r="N217" s="78" t="n">
        <x:f>H217*(L217*(1-'Inputs'!$B$15))/(I217+L217*(1-'Inputs'!$B$15))</x:f>
        <x:v>0</x:v>
      </x:c>
      <x:c r="O217" s="78" t="n">
        <x:f>H217-N217</x:f>
        <x:v>116437938002.70107</x:v>
      </x:c>
      <x:c r="P217" s="78" t="n">
        <x:f>I217+L217*(1-'Inputs'!$B$17)</x:f>
        <x:v>0.1017583053233648</x:v>
      </x:c>
      <x:c r="Q217" s="78" t="n">
        <x:f>IF(J217&gt;0,M217/J217,0)</x:f>
        <x:v>0</x:v>
      </x:c>
      <x:c r="R217" s="78" t="n">
        <x:f>IF(B217='Inputs'!$H$44,'Inputs'!$B$27*'Inputs'!$I$44,0)</x:f>
        <x:v>0</x:v>
      </x:c>
      <x:c r="S217" s="78" t="n">
        <x:f>Q217+G217+R217</x:f>
        <x:v>835364.7494839516</x:v>
      </x:c>
      <x:c r="T217" s="78" t="n">
        <x:f>P217*(S217*(1-'Inputs'!$B$15))/(O217+S217*(1-'Inputs'!$B$15))</x:f>
        <x:v>7.227425352033269e-7</x:v>
      </x:c>
      <x:c r="U217" s="78" t="n">
        <x:f>O217+S217*(1-'Inputs'!$B$17)</x:f>
        <x:v>116438770005.82178</x:v>
      </x:c>
      <x:c r="V217" s="78" t="n">
        <x:f>P217-T217</x:f>
        <x:v>0.10175758258082959</x:v>
      </x:c>
      <x:c r="W217" s="79" t="n">
        <x:f>IF(U217&gt;0,V217/U217,0)</x:f>
        <x:v>8.739149561245095e-13</x:v>
      </x:c>
      <x:c r="X217" s="80" t="n">
        <x:f>W217*('Inputs'!$B$6-AC217)</x:f>
        <x:v>-0.0003582909264172739</x:v>
      </x:c>
      <x:c r="Y217" s="80" t="n">
        <x:f>2*V217</x:f>
        <x:v>0.20351516516165918</x:v>
      </x:c>
      <x:c r="Z217" s="80" t="n">
        <x:f>K217*'Inputs'!$B$16+(G217+R217)*J217*'Inputs'!$B$16</x:f>
        <x:v>0.0002442243130649759</x:v>
      </x:c>
      <x:c r="AA217" s="80" t="n">
        <x:f>K217*(1+'Inputs'!$E$44)/2*'Inputs'!$B$17</x:f>
        <x:v>0.00006551842596272986</x:v>
      </x:c>
      <x:c r="AB217" s="78" t="n">
        <x:f>(IF(J217&gt;0,K217*(1-'Inputs'!$E$44)/2/J217,0)+G217+R217)*'Inputs'!$B$17</x:f>
        <x:v>3361.6287705591617</x:v>
      </x:c>
      <x:c r="AC217" s="78" t="n">
        <x:f>AC216+AB217</x:f>
        <x:v>1409983744.87852</x:v>
      </x:c>
      <x:c r="AD217" s="80" t="n">
        <x:f>Z217/(1+'Inputs'!$C$44)</x:f>
        <x:v>0.0001953794504519807</x:v>
      </x:c>
      <x:c r="AE217" s="80" t="n">
        <x:f>Z217-AD217</x:f>
        <x:v>0.000048844862612995176</x:v>
      </x:c>
      <x:c r="AF217" s="80" t="n">
        <x:f>D217*W217</x:f>
        <x:v>2.406671019429947e-7</x:v>
      </x:c>
      <x:c r="AG217" s="80" t="n">
        <x:f>C217*W217</x:f>
        <x:v>5.615565712003014e-7</x:v>
      </x:c>
      <x:c r="AH217" s="80" t="n">
        <x:f>2*'Inputs'!$B$8*'Inputs'!$C$44</x:f>
        <x:v>1250</x:v>
      </x:c>
      <x:c r="AI217" s="81" t="n">
        <x:f>IF(AH217&gt;0,(AE217+AF217)/AH217*365,0)</x:f>
        <x:v>0.000014332974676761946</x:v>
      </x:c>
      <x:c r="AJ217" s="81" t="n">
        <x:f>IF('Inputs'!$B$44&gt;0,AG217/('Inputs'!$B$19*'Inputs'!$B$44)*365,0)</x:f>
        <x:v>2.0496814848811004e-8</x:v>
      </x:c>
      <x:c r="AK217" s="81" t="n">
        <x:f>W217/MAX($W$4:W217)-1</x:f>
        <x:v>-0.9999999987157155</x:v>
      </x:c>
      <x:c r="AL217" s="83" t="n">
        <x:f>'Inputs'!$B$44</x:f>
        <x:v>1</x:v>
      </x:c>
      <x:c r="AM217" s="83" t="n">
        <x:f>'Inputs'!$C$44</x:f>
        <x:v>0.25</x:v>
      </x:c>
      <x:c r="AN217" s="83" t="n">
        <x:f>'Inputs'!$D$44</x:f>
        <x:v>0.2</x:v>
      </x:c>
      <x:c r="AO217" s="81" t="n">
        <x:f>'Inputs'!$E$44</x:f>
        <x:v>-0.2</x:v>
      </x:c>
    </x:row>
    <x:row r="218">
      <x:c r="A218" s="59" t="str">
        <x:v>No demand</x:v>
      </x:c>
      <x:c r="B218" s="59" t="n">
        <x:v>215</x:v>
      </x:c>
      <x:c r="C218" s="78" t="n">
        <x:f>(('Inputs'!$B$29*(3*215*'Inputs'!$B$12-215^2)/(2*'Inputs'!$B$12^2))-('Inputs'!$B$29*(3*214*'Inputs'!$B$12-214^2)/(2*'Inputs'!$B$12^2)))*'Inputs'!$B$44</x:f>
        <x:v>642250.6567836404</x:v>
      </x:c>
      <x:c r="D218" s="78" t="n">
        <x:f>IF('Inputs'!$C$44&gt;0,('Inputs'!$B$30*(3*215*'Inputs'!$B$12-215^2)/(2*'Inputs'!$B$12^2))-('Inputs'!$B$30*(3*214*'Inputs'!$B$12-214^2)/(2*'Inputs'!$B$12^2)),0)</x:f>
        <x:v>275250.281478703</x:v>
      </x:c>
      <x:c r="E218" s="78" t="n">
        <x:f>C218+D218</x:f>
        <x:v>917500.9382623434</x:v>
      </x:c>
      <x:c r="F218" s="78" t="n">
        <x:f>'Inputs'!$B$13*E218+(1-'Inputs'!$B$13)/'Inputs'!$B$14*SUM(E163:E218)</x:f>
        <x:v>927718.6151247899</x:v>
      </x:c>
      <x:c r="G218" s="78" t="n">
        <x:f>F218*'Inputs'!$F$44</x:f>
        <x:v>834946.7536123109</x:v>
      </x:c>
      <x:c r="H218" s="78" t="n">
        <x:f>U217</x:f>
        <x:v>116438770005.82178</x:v>
      </x:c>
      <x:c r="I218" s="78" t="n">
        <x:f>V217</x:f>
        <x:v>0.10175758258082959</x:v>
      </x:c>
      <x:c r="J218" s="79" t="n">
        <x:f>IF(H218&gt;0,I218/H218,0)</x:f>
        <x:v>8.739149561245095e-13</x:v>
      </x:c>
      <x:c r="K218" s="80" t="n">
        <x:f>(H218*J218+I218)*'Inputs'!$D$44*(1+'Inputs'!$G$44)^(B218/30)</x:f>
        <x:v>0.04070303303233184</x:v>
      </x:c>
      <x:c r="L218" s="80" t="n">
        <x:f>MAX(0,K218*'Inputs'!$E$44)</x:f>
        <x:v>0</x:v>
      </x:c>
      <x:c r="M218" s="80" t="n">
        <x:f>MAX(0,-K218*'Inputs'!$E$44)</x:f>
        <x:v>0.008140606606466368</x:v>
      </x:c>
      <x:c r="N218" s="78" t="n">
        <x:f>H218*(L218*(1-'Inputs'!$B$15))/(I218+L218*(1-'Inputs'!$B$15))</x:f>
        <x:v>0</x:v>
      </x:c>
      <x:c r="O218" s="78" t="n">
        <x:f>H218-N218</x:f>
        <x:v>116438770005.82178</x:v>
      </x:c>
      <x:c r="P218" s="78" t="n">
        <x:f>I218+L218*(1-'Inputs'!$B$17)</x:f>
        <x:v>0.10175758258082959</x:v>
      </x:c>
      <x:c r="Q218" s="78" t="n">
        <x:f>IF(J218&gt;0,M218/J218,0)</x:f>
        <x:v>0</x:v>
      </x:c>
      <x:c r="R218" s="78" t="n">
        <x:f>IF(B218='Inputs'!$H$44,'Inputs'!$B$27*'Inputs'!$I$44,0)</x:f>
        <x:v>0</x:v>
      </x:c>
      <x:c r="S218" s="78" t="n">
        <x:f>Q218+G218+R218</x:f>
        <x:v>834946.7536123109</x:v>
      </x:c>
      <x:c r="T218" s="78" t="n">
        <x:f>P218*(S218*(1-'Inputs'!$B$15))/(O218+S218*(1-'Inputs'!$B$15))</x:f>
        <x:v>7.22370602894568e-7</x:v>
      </x:c>
      <x:c r="U218" s="78" t="n">
        <x:f>O218+S218*(1-'Inputs'!$B$17)</x:f>
        <x:v>116439601592.6287</x:v>
      </x:c>
      <x:c r="V218" s="78" t="n">
        <x:f>P218-T218</x:f>
        <x:v>0.1017568602102267</x:v>
      </x:c>
      <x:c r="W218" s="79" t="n">
        <x:f>IF(U218&gt;0,V218/U218,0)</x:f>
        <x:v>8.739025109878812e-13</x:v>
      </x:c>
      <x:c r="X218" s="80" t="n">
        <x:f>W218*('Inputs'!$B$6-AC218)</x:f>
        <x:v>-0.00035828876037940675</x:v>
      </x:c>
      <x:c r="Y218" s="80" t="n">
        <x:f>2*V218</x:f>
        <x:v>0.2035137204204534</x:v>
      </x:c>
      <x:c r="Z218" s="80" t="n">
        <x:f>K218*'Inputs'!$B$16+(G218+R218)*J218*'Inputs'!$B$16</x:f>
        <x:v>0.00024422257622872434</x:v>
      </x:c>
      <x:c r="AA218" s="80" t="n">
        <x:f>K218*(1+'Inputs'!$E$44)/2*'Inputs'!$B$17</x:f>
        <x:v>0.0000655179606154235</x:v>
      </x:c>
      <x:c r="AB218" s="78" t="n">
        <x:f>(IF(J218&gt;0,K218*(1-'Inputs'!$E$44)/2/J218,0)+G218+R218)*'Inputs'!$B$17</x:f>
        <x:v>3359.9466946169455</x:v>
      </x:c>
      <x:c r="AC218" s="78" t="n">
        <x:f>AC217+AB218</x:f>
        <x:v>1409987104.8252146</x:v>
      </x:c>
      <x:c r="AD218" s="80" t="n">
        <x:f>Z218/(1+'Inputs'!$C$44)</x:f>
        <x:v>0.00019537806098297947</x:v>
      </x:c>
      <x:c r="AE218" s="80" t="n">
        <x:f>Z218-AD218</x:f>
        <x:v>0.00004884451524574487</x:v>
      </x:c>
      <x:c r="AF218" s="80" t="n">
        <x:f>D218*W218</x:f>
        <x:v>2.4054191213435966e-7</x:v>
      </x:c>
      <x:c r="AG218" s="80" t="n">
        <x:f>C218*W218</x:f>
        <x:v>5.612644616468392e-7</x:v>
      </x:c>
      <x:c r="AH218" s="80" t="n">
        <x:f>2*'Inputs'!$B$8*'Inputs'!$C$44</x:f>
        <x:v>1250</x:v>
      </x:c>
      <x:c r="AI218" s="81" t="n">
        <x:f>IF(AH218&gt;0,(AE218+AF218)/AH218*365,0)</x:f>
        <x:v>0.000014332836690100735</x:v>
      </x:c>
      <x:c r="AJ218" s="81" t="n">
        <x:f>IF('Inputs'!$B$44&gt;0,AG218/('Inputs'!$B$19*'Inputs'!$B$44)*365,0)</x:f>
        <x:v>2.048615285010963e-8</x:v>
      </x:c>
      <x:c r="AK218" s="81" t="n">
        <x:f>W218/MAX($W$4:W218)-1</x:f>
        <x:v>-0.9999999987157339</x:v>
      </x:c>
      <x:c r="AL218" s="83" t="n">
        <x:f>'Inputs'!$B$44</x:f>
        <x:v>1</x:v>
      </x:c>
      <x:c r="AM218" s="83" t="n">
        <x:f>'Inputs'!$C$44</x:f>
        <x:v>0.25</x:v>
      </x:c>
      <x:c r="AN218" s="83" t="n">
        <x:f>'Inputs'!$D$44</x:f>
        <x:v>0.2</x:v>
      </x:c>
      <x:c r="AO218" s="81" t="n">
        <x:f>'Inputs'!$E$44</x:f>
        <x:v>-0.2</x:v>
      </x:c>
    </x:row>
    <x:row r="219">
      <x:c r="A219" s="59" t="str">
        <x:v>No demand</x:v>
      </x:c>
      <x:c r="B219" s="59" t="n">
        <x:v>216</x:v>
      </x:c>
      <x:c r="C219" s="78" t="n">
        <x:f>(('Inputs'!$B$29*(3*216*'Inputs'!$B$12-216^2)/(2*'Inputs'!$B$12^2))-('Inputs'!$B$29*(3*215*'Inputs'!$B$12-215^2)/(2*'Inputs'!$B$12^2)))*'Inputs'!$B$44</x:f>
        <x:v>641925.5488834679</x:v>
      </x:c>
      <x:c r="D219" s="78" t="n">
        <x:f>IF('Inputs'!$C$44&gt;0,('Inputs'!$B$30*(3*216*'Inputs'!$B$12-216^2)/(2*'Inputs'!$B$12^2))-('Inputs'!$B$30*(3*215*'Inputs'!$B$12-215^2)/(2*'Inputs'!$B$12^2)),0)</x:f>
        <x:v>275110.94952148944</x:v>
      </x:c>
      <x:c r="E219" s="78" t="n">
        <x:f>C219+D219</x:f>
        <x:v>917036.4984049574</x:v>
      </x:c>
      <x:c r="F219" s="78" t="n">
        <x:f>'Inputs'!$B$13*E219+(1-'Inputs'!$B$13)/'Inputs'!$B$14*SUM(E164:E219)</x:f>
        <x:v>927254.1752674056</x:v>
      </x:c>
      <x:c r="G219" s="78" t="n">
        <x:f>F219*'Inputs'!$F$44</x:f>
        <x:v>834528.757740665</x:v>
      </x:c>
      <x:c r="H219" s="78" t="n">
        <x:f>U218</x:f>
        <x:v>116439601592.6287</x:v>
      </x:c>
      <x:c r="I219" s="78" t="n">
        <x:f>V218</x:f>
        <x:v>0.1017568602102267</x:v>
      </x:c>
      <x:c r="J219" s="79" t="n">
        <x:f>IF(H219&gt;0,I219/H219,0)</x:f>
        <x:v>8.739025109878812e-13</x:v>
      </x:c>
      <x:c r="K219" s="80" t="n">
        <x:f>(H219*J219+I219)*'Inputs'!$D$44*(1+'Inputs'!$G$44)^(B219/30)</x:f>
        <x:v>0.040702744084090685</x:v>
      </x:c>
      <x:c r="L219" s="80" t="n">
        <x:f>MAX(0,K219*'Inputs'!$E$44)</x:f>
        <x:v>0</x:v>
      </x:c>
      <x:c r="M219" s="80" t="n">
        <x:f>MAX(0,-K219*'Inputs'!$E$44)</x:f>
        <x:v>0.008140548816818137</x:v>
      </x:c>
      <x:c r="N219" s="78" t="n">
        <x:f>H219*(L219*(1-'Inputs'!$B$15))/(I219+L219*(1-'Inputs'!$B$15))</x:f>
        <x:v>0</x:v>
      </x:c>
      <x:c r="O219" s="78" t="n">
        <x:f>H219-N219</x:f>
        <x:v>116439601592.6287</x:v>
      </x:c>
      <x:c r="P219" s="78" t="n">
        <x:f>I219+L219*(1-'Inputs'!$B$17)</x:f>
        <x:v>0.1017568602102267</x:v>
      </x:c>
      <x:c r="Q219" s="78" t="n">
        <x:f>IF(J219&gt;0,M219/J219,0)</x:f>
        <x:v>0</x:v>
      </x:c>
      <x:c r="R219" s="78" t="n">
        <x:f>IF(B219='Inputs'!$H$44,'Inputs'!$B$27*'Inputs'!$I$44,0)</x:f>
        <x:v>0</x:v>
      </x:c>
      <x:c r="S219" s="78" t="n">
        <x:f>Q219+G219+R219</x:f>
        <x:v>834528.757740665</x:v>
      </x:c>
      <x:c r="T219" s="78" t="n">
        <x:f>P219*(S219*(1-'Inputs'!$B$15))/(O219+S219*(1-'Inputs'!$B$15))</x:f>
        <x:v>7.219986862557652e-7</x:v>
      </x:c>
      <x:c r="U219" s="78" t="n">
        <x:f>O219+S219*(1-'Inputs'!$B$17)</x:f>
        <x:v>116440432763.12181</x:v>
      </x:c>
      <x:c r="V219" s="78" t="n">
        <x:f>P219-T219</x:f>
        <x:v>0.10175613821154045</x:v>
      </x:c>
      <x:c r="W219" s="79" t="n">
        <x:f>IF(U219&gt;0,V219/U219,0)</x:f>
        <x:v>8.738900723475148e-13</x:v>
      </x:c>
      <x:c r="X219" s="80" t="n">
        <x:f>W219*('Inputs'!$B$6-AC219)</x:f>
        <x:v>-0.0003582865954513655</x:v>
      </x:c>
      <x:c r="Y219" s="80" t="n">
        <x:f>2*V219</x:f>
        <x:v>0.2035122764230809</x:v>
      </x:c>
      <x:c r="Z219" s="80" t="n">
        <x:f>K219*'Inputs'!$B$16+(G219+R219)*J219*'Inputs'!$B$16</x:f>
        <x:v>0.00024422084028520537</x:v>
      </x:c>
      <x:c r="AA219" s="80" t="n">
        <x:f>K219*(1+'Inputs'!$E$44)/2*'Inputs'!$B$17</x:f>
        <x:v>0.00006551749550759064</x:v>
      </x:c>
      <x:c r="AB219" s="78" t="n">
        <x:f>(IF(J219&gt;0,K219*(1-'Inputs'!$E$44)/2/J219,0)+G219+R219)*'Inputs'!$B$17</x:f>
        <x:v>3358.2646186747083</x:v>
      </x:c>
      <x:c r="AC219" s="78" t="n">
        <x:f>AC218+AB219</x:f>
        <x:v>1409990463.0898333</x:v>
      </x:c>
      <x:c r="AD219" s="80" t="n">
        <x:f>Z219/(1+'Inputs'!$C$44)</x:f>
        <x:v>0.00019537667222816428</x:v>
      </x:c>
      <x:c r="AE219" s="80" t="n">
        <x:f>Z219-AD219</x:f>
        <x:v>0.000048844168057041084</x:v>
      </x:c>
      <x:c r="AF219" s="80" t="n">
        <x:f>D219*W219</x:f>
        <x:v>2.404167275809279e-7</x:v>
      </x:c>
      <x:c r="AG219" s="80" t="n">
        <x:f>C219*W219</x:f>
        <x:v>5.609723643554919e-7</x:v>
      </x:c>
      <x:c r="AH219" s="80" t="n">
        <x:f>2*'Inputs'!$B$8*'Inputs'!$C$44</x:f>
        <x:v>1250</x:v>
      </x:c>
      <x:c r="AI219" s="81" t="n">
        <x:f>IF(AH219&gt;0,(AE219+AF219)/AH219*365,0)</x:f>
        <x:v>0.000014332698757109628</x:v>
      </x:c>
      <x:c r="AJ219" s="81" t="n">
        <x:f>IF('Inputs'!$B$44&gt;0,AG219/('Inputs'!$B$19*'Inputs'!$B$44)*365,0)</x:f>
        <x:v>2.0475491298975457e-8</x:v>
      </x:c>
      <x:c r="AK219" s="81" t="n">
        <x:f>W219/MAX($W$4:W219)-1</x:f>
        <x:v>-0.9999999987157522</x:v>
      </x:c>
      <x:c r="AL219" s="83" t="n">
        <x:f>'Inputs'!$B$44</x:f>
        <x:v>1</x:v>
      </x:c>
      <x:c r="AM219" s="83" t="n">
        <x:f>'Inputs'!$C$44</x:f>
        <x:v>0.25</x:v>
      </x:c>
      <x:c r="AN219" s="83" t="n">
        <x:f>'Inputs'!$D$44</x:f>
        <x:v>0.2</x:v>
      </x:c>
      <x:c r="AO219" s="81" t="n">
        <x:f>'Inputs'!$E$44</x:f>
        <x:v>-0.2</x:v>
      </x:c>
    </x:row>
    <x:row r="220">
      <x:c r="A220" s="59" t="str">
        <x:v>No demand</x:v>
      </x:c>
      <x:c r="B220" s="59" t="n">
        <x:v>217</x:v>
      </x:c>
      <x:c r="C220" s="78" t="n">
        <x:f>(('Inputs'!$B$29*(3*217*'Inputs'!$B$12-217^2)/(2*'Inputs'!$B$12^2))-('Inputs'!$B$29*(3*216*'Inputs'!$B$12-216^2)/(2*'Inputs'!$B$12^2)))*'Inputs'!$B$44</x:f>
        <x:v>641600.4409832954</x:v>
      </x:c>
      <x:c r="D220" s="78" t="n">
        <x:f>IF('Inputs'!$C$44&gt;0,('Inputs'!$B$30*(3*217*'Inputs'!$B$12-217^2)/(2*'Inputs'!$B$12^2))-('Inputs'!$B$30*(3*216*'Inputs'!$B$12-216^2)/(2*'Inputs'!$B$12^2)),0)</x:f>
        <x:v>274971.6175642684</x:v>
      </x:c>
      <x:c r="E220" s="78" t="n">
        <x:f>C220+D220</x:f>
        <x:v>916572.0585475639</x:v>
      </x:c>
      <x:c r="F220" s="78" t="n">
        <x:f>'Inputs'!$B$13*E220+(1-'Inputs'!$B$13)/'Inputs'!$B$14*SUM(E165:E220)</x:f>
        <x:v>926789.7354100194</x:v>
      </x:c>
      <x:c r="G220" s="78" t="n">
        <x:f>F220*'Inputs'!$F$44</x:f>
        <x:v>834110.7618690175</x:v>
      </x:c>
      <x:c r="H220" s="78" t="n">
        <x:f>U219</x:f>
        <x:v>116440432763.12181</x:v>
      </x:c>
      <x:c r="I220" s="78" t="n">
        <x:f>V219</x:f>
        <x:v>0.10175613821154045</x:v>
      </x:c>
      <x:c r="J220" s="79" t="n">
        <x:f>IF(H220&gt;0,I220/H220,0)</x:f>
        <x:v>8.738900723475148e-13</x:v>
      </x:c>
      <x:c r="K220" s="80" t="n">
        <x:f>(H220*J220+I220)*'Inputs'!$D$44*(1+'Inputs'!$G$44)^(B220/30)</x:f>
        <x:v>0.04070245528461618</x:v>
      </x:c>
      <x:c r="L220" s="80" t="n">
        <x:f>MAX(0,K220*'Inputs'!$E$44)</x:f>
        <x:v>0</x:v>
      </x:c>
      <x:c r="M220" s="80" t="n">
        <x:f>MAX(0,-K220*'Inputs'!$E$44)</x:f>
        <x:v>0.008140491056923237</x:v>
      </x:c>
      <x:c r="N220" s="78" t="n">
        <x:f>H220*(L220*(1-'Inputs'!$B$15))/(I220+L220*(1-'Inputs'!$B$15))</x:f>
        <x:v>0</x:v>
      </x:c>
      <x:c r="O220" s="78" t="n">
        <x:f>H220-N220</x:f>
        <x:v>116440432763.12181</x:v>
      </x:c>
      <x:c r="P220" s="78" t="n">
        <x:f>I220+L220*(1-'Inputs'!$B$17)</x:f>
        <x:v>0.10175613821154045</x:v>
      </x:c>
      <x:c r="Q220" s="78" t="n">
        <x:f>IF(J220&gt;0,M220/J220,0)</x:f>
        <x:v>0</x:v>
      </x:c>
      <x:c r="R220" s="78" t="n">
        <x:f>IF(B220='Inputs'!$H$44,'Inputs'!$B$27*'Inputs'!$I$44,0)</x:f>
        <x:v>0</x:v>
      </x:c>
      <x:c r="S220" s="78" t="n">
        <x:f>Q220+G220+R220</x:f>
        <x:v>834110.7618690175</x:v>
      </x:c>
      <x:c r="T220" s="78" t="n">
        <x:f>P220*(S220*(1-'Inputs'!$B$15))/(O220+S220*(1-'Inputs'!$B$15))</x:f>
        <x:v>7.216267852785204e-7</x:v>
      </x:c>
      <x:c r="U220" s="78" t="n">
        <x:f>O220+S220*(1-'Inputs'!$B$17)</x:f>
        <x:v>116441263517.30113</x:v>
      </x:c>
      <x:c r="V220" s="78" t="n">
        <x:f>P220-T220</x:f>
        <x:v>0.10175541658475518</x:v>
      </x:c>
      <x:c r="W220" s="79" t="n">
        <x:f>IF(U220&gt;0,V220/U220,0)</x:f>
        <x:v>8.738776402030033e-13</x:v>
      </x:c>
      <x:c r="X220" s="80" t="n">
        <x:f>W220*('Inputs'!$B$6-AC220)</x:f>
        <x:v>-0.0003582844316331116</x:v>
      </x:c>
      <x:c r="Y220" s="80" t="n">
        <x:f>2*V220</x:f>
        <x:v>0.20351083316951035</x:v>
      </x:c>
      <x:c r="Z220" s="80" t="n">
        <x:f>K220*'Inputs'!$B$16+(G220+R220)*J220*'Inputs'!$B$16</x:f>
        <x:v>0.0002442191052343813</x:v>
      </x:c>
      <x:c r="AA220" s="80" t="n">
        <x:f>K220*(1+'Inputs'!$E$44)/2*'Inputs'!$B$17</x:f>
        <x:v>0.00006551703063922123</x:v>
      </x:c>
      <x:c r="AB220" s="78" t="n">
        <x:f>(IF(J220&gt;0,K220*(1-'Inputs'!$E$44)/2/J220,0)+G220+R220)*'Inputs'!$B$17</x:f>
        <x:v>3356.5825427324653</x:v>
      </x:c>
      <x:c r="AC220" s="78" t="n">
        <x:f>AC219+AB220</x:f>
        <x:v>1409993819.672376</x:v>
      </x:c>
      <x:c r="AD220" s="80" t="n">
        <x:f>Z220/(1+'Inputs'!$C$44)</x:f>
        <x:v>0.00019537528418750506</x:v>
      </x:c>
      <x:c r="AE220" s="80" t="n">
        <x:f>Z220-AD220</x:f>
        <x:v>0.00004884382104687626</x:v>
      </x:c>
      <x:c r="AF220" s="80" t="n">
        <x:f>D220*W220</x:f>
        <x:v>2.402915482798656e-7</x:v>
      </x:c>
      <x:c r="AG220" s="80" t="n">
        <x:f>C220*W220</x:f>
        <x:v>5.606802793196886e-7</x:v>
      </x:c>
      <x:c r="AH220" s="80" t="n">
        <x:f>2*'Inputs'!$B$8*'Inputs'!$C$44</x:f>
        <x:v>1250</x:v>
      </x:c>
      <x:c r="AI220" s="81" t="n">
        <x:f>IF(AH220&gt;0,(AE220+AF220)/AH220*365,0)</x:f>
        <x:v>0.000014332560877785588</x:v>
      </x:c>
      <x:c r="AJ220" s="81" t="n">
        <x:f>IF('Inputs'!$B$44&gt;0,AG220/('Inputs'!$B$19*'Inputs'!$B$44)*365,0)</x:f>
        <x:v>2.0464830195168634e-8</x:v>
      </x:c>
      <x:c r="AK220" s="81" t="n">
        <x:f>W220/MAX($W$4:W220)-1</x:f>
        <x:v>-0.9999999987157704</x:v>
      </x:c>
      <x:c r="AL220" s="83" t="n">
        <x:f>'Inputs'!$B$44</x:f>
        <x:v>1</x:v>
      </x:c>
      <x:c r="AM220" s="83" t="n">
        <x:f>'Inputs'!$C$44</x:f>
        <x:v>0.25</x:v>
      </x:c>
      <x:c r="AN220" s="83" t="n">
        <x:f>'Inputs'!$D$44</x:f>
        <x:v>0.2</x:v>
      </x:c>
      <x:c r="AO220" s="81" t="n">
        <x:f>'Inputs'!$E$44</x:f>
        <x:v>-0.2</x:v>
      </x:c>
    </x:row>
    <x:row r="221">
      <x:c r="A221" s="59" t="str">
        <x:v>No demand</x:v>
      </x:c>
      <x:c r="B221" s="59" t="n">
        <x:v>218</x:v>
      </x:c>
      <x:c r="C221" s="78" t="n">
        <x:f>(('Inputs'!$B$29*(3*218*'Inputs'!$B$12-218^2)/(2*'Inputs'!$B$12^2))-('Inputs'!$B$29*(3*217*'Inputs'!$B$12-217^2)/(2*'Inputs'!$B$12^2)))*'Inputs'!$B$44</x:f>
        <x:v>641275.3330831528</x:v>
      </x:c>
      <x:c r="D221" s="78" t="n">
        <x:f>IF('Inputs'!$C$44&gt;0,('Inputs'!$B$30*(3*218*'Inputs'!$B$12-218^2)/(2*'Inputs'!$B$12^2))-('Inputs'!$B$30*(3*217*'Inputs'!$B$12-217^2)/(2*'Inputs'!$B$12^2)),0)</x:f>
        <x:v>274832.28560705483</x:v>
      </x:c>
      <x:c r="E221" s="78" t="n">
        <x:f>C221+D221</x:f>
        <x:v>916107.6186902076</x:v>
      </x:c>
      <x:c r="F221" s="78" t="n">
        <x:f>'Inputs'!$B$13*E221+(1-'Inputs'!$B$13)/'Inputs'!$B$14*SUM(E166:E221)</x:f>
        <x:v>926325.2955526412</x:v>
      </x:c>
      <x:c r="G221" s="78" t="n">
        <x:f>F221*'Inputs'!$F$44</x:f>
        <x:v>833692.7659973771</x:v>
      </x:c>
      <x:c r="H221" s="78" t="n">
        <x:f>U220</x:f>
        <x:v>116441263517.30113</x:v>
      </x:c>
      <x:c r="I221" s="78" t="n">
        <x:f>V220</x:f>
        <x:v>0.10175541658475518</x:v>
      </x:c>
      <x:c r="J221" s="79" t="n">
        <x:f>IF(H221&gt;0,I221/H221,0)</x:f>
        <x:v>8.738776402030033e-13</x:v>
      </x:c>
      <x:c r="K221" s="80" t="n">
        <x:f>(H221*J221+I221)*'Inputs'!$D$44*(1+'Inputs'!$G$44)^(B221/30)</x:f>
        <x:v>0.040702166633902075</x:v>
      </x:c>
      <x:c r="L221" s="80" t="n">
        <x:f>MAX(0,K221*'Inputs'!$E$44)</x:f>
        <x:v>0</x:v>
      </x:c>
      <x:c r="M221" s="80" t="n">
        <x:f>MAX(0,-K221*'Inputs'!$E$44)</x:f>
        <x:v>0.008140433326780416</x:v>
      </x:c>
      <x:c r="N221" s="78" t="n">
        <x:f>H221*(L221*(1-'Inputs'!$B$15))/(I221+L221*(1-'Inputs'!$B$15))</x:f>
        <x:v>0</x:v>
      </x:c>
      <x:c r="O221" s="78" t="n">
        <x:f>H221-N221</x:f>
        <x:v>116441263517.30113</x:v>
      </x:c>
      <x:c r="P221" s="78" t="n">
        <x:f>I221+L221*(1-'Inputs'!$B$17)</x:f>
        <x:v>0.10175541658475518</x:v>
      </x:c>
      <x:c r="Q221" s="78" t="n">
        <x:f>IF(J221&gt;0,M221/J221,0)</x:f>
        <x:v>0</x:v>
      </x:c>
      <x:c r="R221" s="78" t="n">
        <x:f>IF(B221='Inputs'!$H$44,'Inputs'!$B$27*'Inputs'!$I$44,0)</x:f>
        <x:v>0</x:v>
      </x:c>
      <x:c r="S221" s="78" t="n">
        <x:f>Q221+G221+R221</x:f>
        <x:v>833692.7659973771</x:v>
      </x:c>
      <x:c r="T221" s="78" t="n">
        <x:f>P221*(S221*(1-'Inputs'!$B$15))/(O221+S221*(1-'Inputs'!$B$15))</x:f>
        <x:v>7.21254899954441e-7</x:v>
      </x:c>
      <x:c r="U221" s="78" t="n">
        <x:f>O221+S221*(1-'Inputs'!$B$17)</x:f>
        <x:v>116442093855.16666</x:v>
      </x:c>
      <x:c r="V221" s="78" t="n">
        <x:f>P221-T221</x:f>
        <x:v>0.10175469532985522</x:v>
      </x:c>
      <x:c r="W221" s="79" t="n">
        <x:f>IF(U221&gt;0,V221/U221,0)</x:f>
        <x:v>8.738652145539399e-13</x:v>
      </x:c>
      <x:c r="X221" s="80" t="n">
        <x:f>W221*('Inputs'!$B$6-AC221)</x:f>
        <x:v>-0.00035828226892460624</x:v>
      </x:c>
      <x:c r="Y221" s="80" t="n">
        <x:f>2*V221</x:f>
        <x:v>0.20350939065971044</x:v>
      </x:c>
      <x:c r="Z221" s="80" t="n">
        <x:f>K221*'Inputs'!$B$16+(G221+R221)*J221*'Inputs'!$B$16</x:f>
        <x:v>0.0002442173710762145</x:v>
      </x:c>
      <x:c r="AA221" s="80" t="n">
        <x:f>K221*(1+'Inputs'!$E$44)/2*'Inputs'!$B$17</x:f>
        <x:v>0.00006551656601030517</x:v>
      </x:c>
      <x:c r="AB221" s="78" t="n">
        <x:f>(IF(J221&gt;0,K221*(1-'Inputs'!$E$44)/2/J221,0)+G221+R221)*'Inputs'!$B$17</x:f>
        <x:v>3354.90046679025</x:v>
      </x:c>
      <x:c r="AC221" s="78" t="n">
        <x:f>AC220+AB221</x:f>
        <x:v>1409997174.5728426</x:v>
      </x:c>
      <x:c r="AD221" s="80" t="n">
        <x:f>Z221/(1+'Inputs'!$C$44)</x:f>
        <x:v>0.0001953738968609716</x:v>
      </x:c>
      <x:c r="AE221" s="80" t="n">
        <x:f>Z221-AD221</x:f>
        <x:v>0.000048843474215242886</x:v>
      </x:c>
      <x:c r="AF221" s="80" t="n">
        <x:f>D221*W221</x:f>
        <x:v>2.4016637422835864e-7</x:v>
      </x:c>
      <x:c r="AG221" s="80" t="n">
        <x:f>C221*W221</x:f>
        <x:v>5.603882065328585e-7</x:v>
      </x:c>
      <x:c r="AH221" s="80" t="n">
        <x:f>2*'Inputs'!$B$8*'Inputs'!$C$44</x:f>
        <x:v>1250</x:v>
      </x:c>
      <x:c r="AI221" s="81" t="n">
        <x:f>IF(AH221&gt;0,(AE221+AF221)/AH221*365,0)</x:f>
        <x:v>0.000014332423052125603</x:v>
      </x:c>
      <x:c r="AJ221" s="81" t="n">
        <x:f>IF('Inputs'!$B$44&gt;0,AG221/('Inputs'!$B$19*'Inputs'!$B$44)*365,0)</x:f>
        <x:v>2.045416953844934e-8</x:v>
      </x:c>
      <x:c r="AK221" s="81" t="n">
        <x:f>W221/MAX($W$4:W221)-1</x:f>
        <x:v>-0.9999999987157887</x:v>
      </x:c>
      <x:c r="AL221" s="83" t="n">
        <x:f>'Inputs'!$B$44</x:f>
        <x:v>1</x:v>
      </x:c>
      <x:c r="AM221" s="83" t="n">
        <x:f>'Inputs'!$C$44</x:f>
        <x:v>0.25</x:v>
      </x:c>
      <x:c r="AN221" s="83" t="n">
        <x:f>'Inputs'!$D$44</x:f>
        <x:v>0.2</x:v>
      </x:c>
      <x:c r="AO221" s="81" t="n">
        <x:f>'Inputs'!$E$44</x:f>
        <x:v>-0.2</x:v>
      </x:c>
    </x:row>
    <x:row r="222">
      <x:c r="A222" s="59" t="str">
        <x:v>No demand</x:v>
      </x:c>
      <x:c r="B222" s="59" t="n">
        <x:v>219</x:v>
      </x:c>
      <x:c r="C222" s="78" t="n">
        <x:f>(('Inputs'!$B$29*(3*219*'Inputs'!$B$12-219^2)/(2*'Inputs'!$B$12^2))-('Inputs'!$B$29*(3*218*'Inputs'!$B$12-218^2)/(2*'Inputs'!$B$12^2)))*'Inputs'!$B$44</x:f>
        <x:v>640950.2251829505</x:v>
      </x:c>
      <x:c r="D222" s="78" t="n">
        <x:f>IF('Inputs'!$C$44&gt;0,('Inputs'!$B$30*(3*219*'Inputs'!$B$12-219^2)/(2*'Inputs'!$B$12^2))-('Inputs'!$B$30*(3*218*'Inputs'!$B$12-218^2)/(2*'Inputs'!$B$12^2)),0)</x:f>
        <x:v>274692.95364984125</x:v>
      </x:c>
      <x:c r="E222" s="78" t="n">
        <x:f>C222+D222</x:f>
        <x:v>915643.1788327917</x:v>
      </x:c>
      <x:c r="F222" s="78" t="n">
        <x:f>'Inputs'!$B$13*E222+(1-'Inputs'!$B$13)/'Inputs'!$B$14*SUM(E167:E222)</x:f>
        <x:v>925860.8556952506</x:v>
      </x:c>
      <x:c r="G222" s="78" t="n">
        <x:f>F222*'Inputs'!$F$44</x:f>
        <x:v>833274.7701257255</x:v>
      </x:c>
      <x:c r="H222" s="78" t="n">
        <x:f>U221</x:f>
        <x:v>116442093855.16666</x:v>
      </x:c>
      <x:c r="I222" s="78" t="n">
        <x:f>V221</x:f>
        <x:v>0.10175469532985522</x:v>
      </x:c>
      <x:c r="J222" s="79" t="n">
        <x:f>IF(H222&gt;0,I222/H222,0)</x:f>
        <x:v>8.738652145539399e-13</x:v>
      </x:c>
      <x:c r="K222" s="80" t="n">
        <x:f>(H222*J222+I222)*'Inputs'!$D$44*(1+'Inputs'!$G$44)^(B222/30)</x:f>
        <x:v>0.04070187813194209</x:v>
      </x:c>
      <x:c r="L222" s="80" t="n">
        <x:f>MAX(0,K222*'Inputs'!$E$44)</x:f>
        <x:v>0</x:v>
      </x:c>
      <x:c r="M222" s="80" t="n">
        <x:f>MAX(0,-K222*'Inputs'!$E$44)</x:f>
        <x:v>0.008140375626388419</x:v>
      </x:c>
      <x:c r="N222" s="78" t="n">
        <x:f>H222*(L222*(1-'Inputs'!$B$15))/(I222+L222*(1-'Inputs'!$B$15))</x:f>
        <x:v>0</x:v>
      </x:c>
      <x:c r="O222" s="78" t="n">
        <x:f>H222-N222</x:f>
        <x:v>116442093855.16666</x:v>
      </x:c>
      <x:c r="P222" s="78" t="n">
        <x:f>I222+L222*(1-'Inputs'!$B$17)</x:f>
        <x:v>0.10175469532985522</x:v>
      </x:c>
      <x:c r="Q222" s="78" t="n">
        <x:f>IF(J222&gt;0,M222/J222,0)</x:f>
        <x:v>0</x:v>
      </x:c>
      <x:c r="R222" s="78" t="n">
        <x:f>IF(B222='Inputs'!$H$44,'Inputs'!$B$27*'Inputs'!$I$44,0)</x:f>
        <x:v>0</x:v>
      </x:c>
      <x:c r="S222" s="78" t="n">
        <x:f>Q222+G222+R222</x:f>
        <x:v>833274.7701257255</x:v>
      </x:c>
      <x:c r="T222" s="78" t="n">
        <x:f>P222*(S222*(1-'Inputs'!$B$15))/(O222+S222*(1-'Inputs'!$B$15))</x:f>
        <x:v>7.208830302751111e-7</x:v>
      </x:c>
      <x:c r="U222" s="78" t="n">
        <x:f>O222+S222*(1-'Inputs'!$B$17)</x:f>
        <x:v>116442923776.71838</x:v>
      </x:c>
      <x:c r="V222" s="78" t="n">
        <x:f>P222-T222</x:f>
        <x:v>0.10175397444682495</x:v>
      </x:c>
      <x:c r="W222" s="79" t="n">
        <x:f>IF(U222&gt;0,V222/U222,0)</x:f>
        <x:v>8.738527953999181e-13</x:v>
      </x:c>
      <x:c r="X222" s="80" t="n">
        <x:f>W222*('Inputs'!$B$6-AC222)</x:f>
        <x:v>-0.00035828010732581126</x:v>
      </x:c>
      <x:c r="Y222" s="80" t="n">
        <x:f>2*V222</x:f>
        <x:v>0.2035079488936499</x:v>
      </x:c>
      <x:c r="Z222" s="80" t="n">
        <x:f>K222*'Inputs'!$B$16+(G222+R222)*J222*'Inputs'!$B$16</x:f>
        <x:v>0.00024421563781066723</x:v>
      </x:c>
      <x:c r="AA222" s="80" t="n">
        <x:f>K222*(1+'Inputs'!$E$44)/2*'Inputs'!$B$17</x:f>
        <x:v>0.00006551610162083234</x:v>
      </x:c>
      <x:c r="AB222" s="78" t="n">
        <x:f>(IF(J222&gt;0,K222*(1-'Inputs'!$E$44)/2/J222,0)+G222+R222)*'Inputs'!$B$17</x:f>
        <x:v>3353.2183908479906</x:v>
      </x:c>
      <x:c r="AC222" s="78" t="n">
        <x:f>AC221+AB222</x:f>
        <x:v>1410000527.7912335</x:v>
      </x:c>
      <x:c r="AD222" s="80" t="n">
        <x:f>Z222/(1+'Inputs'!$C$44)</x:f>
        <x:v>0.00019537251024853377</x:v>
      </x:c>
      <x:c r="AE222" s="80" t="n">
        <x:f>Z222-AD222</x:f>
        <x:v>0.000048843127562133457</x:v>
      </x:c>
      <x:c r="AF222" s="80" t="n">
        <x:f>D222*W222</x:f>
        <x:v>2.400412054235739e-7</x:v>
      </x:c>
      <x:c r="AG222" s="80" t="n">
        <x:f>C222*W222</x:f>
        <x:v>5.600961459883282e-7</x:v>
      </x:c>
      <x:c r="AH222" s="80" t="n">
        <x:f>2*'Inputs'!$B$8*'Inputs'!$C$44</x:f>
        <x:v>1250</x:v>
      </x:c>
      <x:c r="AI222" s="81" t="n">
        <x:f>IF(AH222&gt;0,(AE222+AF222)/AH222*365,0)</x:f>
        <x:v>0.000014332285280126653</x:v>
      </x:c>
      <x:c r="AJ222" s="81" t="n">
        <x:f>IF('Inputs'!$B$44&gt;0,AG222/('Inputs'!$B$19*'Inputs'!$B$44)*365,0)</x:f>
        <x:v>2.044350932857398e-8</x:v>
      </x:c>
      <x:c r="AK222" s="81" t="n">
        <x:f>W222/MAX($W$4:W222)-1</x:f>
        <x:v>-0.9999999987158069</x:v>
      </x:c>
      <x:c r="AL222" s="83" t="n">
        <x:f>'Inputs'!$B$44</x:f>
        <x:v>1</x:v>
      </x:c>
      <x:c r="AM222" s="83" t="n">
        <x:f>'Inputs'!$C$44</x:f>
        <x:v>0.25</x:v>
      </x:c>
      <x:c r="AN222" s="83" t="n">
        <x:f>'Inputs'!$D$44</x:f>
        <x:v>0.2</x:v>
      </x:c>
      <x:c r="AO222" s="81" t="n">
        <x:f>'Inputs'!$E$44</x:f>
        <x:v>-0.2</x:v>
      </x:c>
    </x:row>
    <x:row r="223">
      <x:c r="A223" s="59" t="str">
        <x:v>No demand</x:v>
      </x:c>
      <x:c r="B223" s="59" t="n">
        <x:v>220</x:v>
      </x:c>
      <x:c r="C223" s="78" t="n">
        <x:f>(('Inputs'!$B$29*(3*220*'Inputs'!$B$12-220^2)/(2*'Inputs'!$B$12^2))-('Inputs'!$B$29*(3*219*'Inputs'!$B$12-219^2)/(2*'Inputs'!$B$12^2)))*'Inputs'!$B$44</x:f>
        <x:v>640625.117282778</x:v>
      </x:c>
      <x:c r="D223" s="78" t="n">
        <x:f>IF('Inputs'!$C$44&gt;0,('Inputs'!$B$30*(3*220*'Inputs'!$B$12-220^2)/(2*'Inputs'!$B$12^2))-('Inputs'!$B$30*(3*219*'Inputs'!$B$12-219^2)/(2*'Inputs'!$B$12^2)),0)</x:f>
        <x:v>274553.62169262767</x:v>
      </x:c>
      <x:c r="E223" s="78" t="n">
        <x:f>C223+D223</x:f>
        <x:v>915178.7389754057</x:v>
      </x:c>
      <x:c r="F223" s="78" t="n">
        <x:f>'Inputs'!$B$13*E223+(1-'Inputs'!$B$13)/'Inputs'!$B$14*SUM(E168:E223)</x:f>
        <x:v>925396.4158378658</x:v>
      </x:c>
      <x:c r="G223" s="78" t="n">
        <x:f>F223*'Inputs'!$F$44</x:f>
        <x:v>832856.7742540792</x:v>
      </x:c>
      <x:c r="H223" s="78" t="n">
        <x:f>U222</x:f>
        <x:v>116442923776.71838</x:v>
      </x:c>
      <x:c r="I223" s="78" t="n">
        <x:f>V222</x:f>
        <x:v>0.10175397444682495</x:v>
      </x:c>
      <x:c r="J223" s="79" t="n">
        <x:f>IF(H223&gt;0,I223/H223,0)</x:f>
        <x:v>8.738527953999181e-13</x:v>
      </x:c>
      <x:c r="K223" s="80" t="n">
        <x:f>(H223*J223+I223)*'Inputs'!$D$44*(1+'Inputs'!$G$44)^(B223/30)</x:f>
        <x:v>0.04070158977872998</x:v>
      </x:c>
      <x:c r="L223" s="80" t="n">
        <x:f>MAX(0,K223*'Inputs'!$E$44)</x:f>
        <x:v>0</x:v>
      </x:c>
      <x:c r="M223" s="80" t="n">
        <x:f>MAX(0,-K223*'Inputs'!$E$44)</x:f>
        <x:v>0.008140317955745996</x:v>
      </x:c>
      <x:c r="N223" s="78" t="n">
        <x:f>H223*(L223*(1-'Inputs'!$B$15))/(I223+L223*(1-'Inputs'!$B$15))</x:f>
        <x:v>0</x:v>
      </x:c>
      <x:c r="O223" s="78" t="n">
        <x:f>H223-N223</x:f>
        <x:v>116442923776.71838</x:v>
      </x:c>
      <x:c r="P223" s="78" t="n">
        <x:f>I223+L223*(1-'Inputs'!$B$17)</x:f>
        <x:v>0.10175397444682495</x:v>
      </x:c>
      <x:c r="Q223" s="78" t="n">
        <x:f>IF(J223&gt;0,M223/J223,0)</x:f>
        <x:v>0</x:v>
      </x:c>
      <x:c r="R223" s="78" t="n">
        <x:f>IF(B223='Inputs'!$H$44,'Inputs'!$B$27*'Inputs'!$I$44,0)</x:f>
        <x:v>0</x:v>
      </x:c>
      <x:c r="S223" s="78" t="n">
        <x:f>Q223+G223+R223</x:f>
        <x:v>832856.7742540792</x:v>
      </x:c>
      <x:c r="T223" s="78" t="n">
        <x:f>P223*(S223*(1-'Inputs'!$B$15))/(O223+S223*(1-'Inputs'!$B$15))</x:f>
        <x:v>7.205111762321468e-7</x:v>
      </x:c>
      <x:c r="U223" s="78" t="n">
        <x:f>O223+S223*(1-'Inputs'!$B$17)</x:f>
        <x:v>116443753281.95633</x:v>
      </x:c>
      <x:c r="V223" s="78" t="n">
        <x:f>P223-T223</x:f>
        <x:v>0.10175325393564871</x:v>
      </x:c>
      <x:c r="W223" s="79" t="n">
        <x:f>IF(U223&gt;0,V223/U223,0)</x:f>
        <x:v>8.738403827405313e-13</x:v>
      </x:c>
      <x:c r="X223" s="80" t="n">
        <x:f>W223*('Inputs'!$B$6-AC223)</x:f>
        <x:v>-0.00035827794683668756</x:v>
      </x:c>
      <x:c r="Y223" s="80" t="n">
        <x:f>2*V223</x:f>
        <x:v>0.20350650787129743</x:v>
      </x:c>
      <x:c r="Z223" s="80" t="n">
        <x:f>K223*'Inputs'!$B$16+(G223+R223)*J223*'Inputs'!$B$16</x:f>
        <x:v>0.000244213905437702</x:v>
      </x:c>
      <x:c r="AA223" s="80" t="n">
        <x:f>K223*(1+'Inputs'!$E$44)/2*'Inputs'!$B$17</x:f>
        <x:v>0.00006551563747079273</x:v>
      </x:c>
      <x:c r="AB223" s="78" t="n">
        <x:f>(IF(J223&gt;0,K223*(1-'Inputs'!$E$44)/2/J223,0)+G223+R223)*'Inputs'!$B$17</x:f>
        <x:v>3351.5363149057516</x:v>
      </x:c>
      <x:c r="AC223" s="78" t="n">
        <x:f>AC222+AB223</x:f>
        <x:v>1410003879.3275485</x:v>
      </x:c>
      <x:c r="AD223" s="80" t="n">
        <x:f>Z223/(1+'Inputs'!$C$44)</x:f>
        <x:v>0.00019537112435016158</x:v>
      </x:c>
      <x:c r="AE223" s="80" t="n">
        <x:f>Z223-AD223</x:f>
        <x:v>0.00004884278108754041</x:v>
      </x:c>
      <x:c r="AF223" s="80" t="n">
        <x:f>D223*W223</x:f>
        <x:v>2.3991604186268477e-7</x:v>
      </x:c>
      <x:c r="AG223" s="80" t="n">
        <x:f>C223*W223</x:f>
        <x:v>5.598040976795805e-7</x:v>
      </x:c>
      <x:c r="AH223" s="80" t="n">
        <x:f>2*'Inputs'!$B$8*'Inputs'!$C$44</x:f>
        <x:v>1250</x:v>
      </x:c>
      <x:c r="AI223" s="81" t="n">
        <x:f>IF(AH223&gt;0,(AE223+AF223)/AH223*365,0)</x:f>
        <x:v>0.000014332147561785703</x:v>
      </x:c>
      <x:c r="AJ223" s="81" t="n">
        <x:f>IF('Inputs'!$B$44&gt;0,AG223/('Inputs'!$B$19*'Inputs'!$B$44)*365,0)</x:f>
        <x:v>2.043284956530469e-8</x:v>
      </x:c>
      <x:c r="AK223" s="81" t="n">
        <x:f>W223/MAX($W$4:W223)-1</x:f>
        <x:v>-0.9999999987158252</x:v>
      </x:c>
      <x:c r="AL223" s="83" t="n">
        <x:f>'Inputs'!$B$44</x:f>
        <x:v>1</x:v>
      </x:c>
      <x:c r="AM223" s="83" t="n">
        <x:f>'Inputs'!$C$44</x:f>
        <x:v>0.25</x:v>
      </x:c>
      <x:c r="AN223" s="83" t="n">
        <x:f>'Inputs'!$D$44</x:f>
        <x:v>0.2</x:v>
      </x:c>
      <x:c r="AO223" s="81" t="n">
        <x:f>'Inputs'!$E$44</x:f>
        <x:v>-0.2</x:v>
      </x:c>
    </x:row>
    <x:row r="224">
      <x:c r="A224" s="59" t="str">
        <x:v>No demand</x:v>
      </x:c>
      <x:c r="B224" s="59" t="n">
        <x:v>221</x:v>
      </x:c>
      <x:c r="C224" s="78" t="n">
        <x:f>(('Inputs'!$B$29*(3*221*'Inputs'!$B$12-221^2)/(2*'Inputs'!$B$12^2))-('Inputs'!$B$29*(3*220*'Inputs'!$B$12-220^2)/(2*'Inputs'!$B$12^2)))*'Inputs'!$B$44</x:f>
        <x:v>640300.0093826354</x:v>
      </x:c>
      <x:c r="D224" s="78" t="n">
        <x:f>IF('Inputs'!$C$44&gt;0,('Inputs'!$B$30*(3*221*'Inputs'!$B$12-221^2)/(2*'Inputs'!$B$12^2))-('Inputs'!$B$30*(3*220*'Inputs'!$B$12-220^2)/(2*'Inputs'!$B$12^2)),0)</x:f>
        <x:v>274414.28973540664</x:v>
      </x:c>
      <x:c r="E224" s="78" t="n">
        <x:f>C224+D224</x:f>
        <x:v>914714.299118042</x:v>
      </x:c>
      <x:c r="F224" s="78" t="n">
        <x:f>'Inputs'!$B$13*E224+(1-'Inputs'!$B$13)/'Inputs'!$B$14*SUM(E169:E224)</x:f>
        <x:v>924931.9759804859</x:v>
      </x:c>
      <x:c r="G224" s="78" t="n">
        <x:f>F224*'Inputs'!$F$44</x:f>
        <x:v>832438.7783824373</x:v>
      </x:c>
      <x:c r="H224" s="78" t="n">
        <x:f>U223</x:f>
        <x:v>116443753281.95633</x:v>
      </x:c>
      <x:c r="I224" s="78" t="n">
        <x:f>V223</x:f>
        <x:v>0.10175325393564871</x:v>
      </x:c>
      <x:c r="J224" s="79" t="n">
        <x:f>IF(H224&gt;0,I224/H224,0)</x:f>
        <x:v>8.738403827405313e-13</x:v>
      </x:c>
      <x:c r="K224" s="80" t="n">
        <x:f>(H224*J224+I224)*'Inputs'!$D$44*(1+'Inputs'!$G$44)^(B224/30)</x:f>
        <x:v>0.04070130157425949</x:v>
      </x:c>
      <x:c r="L224" s="80" t="n">
        <x:f>MAX(0,K224*'Inputs'!$E$44)</x:f>
        <x:v>0</x:v>
      </x:c>
      <x:c r="M224" s="80" t="n">
        <x:f>MAX(0,-K224*'Inputs'!$E$44)</x:f>
        <x:v>0.008140260314851898</x:v>
      </x:c>
      <x:c r="N224" s="78" t="n">
        <x:f>H224*(L224*(1-'Inputs'!$B$15))/(I224+L224*(1-'Inputs'!$B$15))</x:f>
        <x:v>0</x:v>
      </x:c>
      <x:c r="O224" s="78" t="n">
        <x:f>H224-N224</x:f>
        <x:v>116443753281.95633</x:v>
      </x:c>
      <x:c r="P224" s="78" t="n">
        <x:f>I224+L224*(1-'Inputs'!$B$17)</x:f>
        <x:v>0.10175325393564871</x:v>
      </x:c>
      <x:c r="Q224" s="78" t="n">
        <x:f>IF(J224&gt;0,M224/J224,0)</x:f>
        <x:v>0</x:v>
      </x:c>
      <x:c r="R224" s="78" t="n">
        <x:f>IF(B224='Inputs'!$H$44,'Inputs'!$B$27*'Inputs'!$I$44,0)</x:f>
        <x:v>0</x:v>
      </x:c>
      <x:c r="S224" s="78" t="n">
        <x:f>Q224+G224+R224</x:f>
        <x:v>832438.7783824373</x:v>
      </x:c>
      <x:c r="T224" s="78" t="n">
        <x:f>P224*(S224*(1-'Inputs'!$B$15))/(O224+S224*(1-'Inputs'!$B$15))</x:f>
        <x:v>7.201393378171492e-7</x:v>
      </x:c>
      <x:c r="U224" s="78" t="n">
        <x:f>O224+S224*(1-'Inputs'!$B$17)</x:f>
        <x:v>116444582370.88048</x:v>
      </x:c>
      <x:c r="V224" s="78" t="n">
        <x:f>P224-T224</x:f>
        <x:v>0.1017525337963109</x:v>
      </x:c>
      <x:c r="W224" s="79" t="n">
        <x:f>IF(U224&gt;0,V224/U224,0)</x:f>
        <x:v>8.738279765753735e-13</x:v>
      </x:c>
      <x:c r="X224" s="80" t="n">
        <x:f>W224*('Inputs'!$B$6-AC224)</x:f>
        <x:v>-0.0003582757874571968</x:v>
      </x:c>
      <x:c r="Y224" s="80" t="n">
        <x:f>2*V224</x:f>
        <x:v>0.2035050675926218</x:v>
      </x:c>
      <x:c r="Z224" s="80" t="n">
        <x:f>K224*'Inputs'!$B$16+(G224+R224)*J224*'Inputs'!$B$16</x:f>
        <x:v>0.0002442121739572812</x:v>
      </x:c>
      <x:c r="AA224" s="80" t="n">
        <x:f>K224*(1+'Inputs'!$E$44)/2*'Inputs'!$B$17</x:f>
        <x:v>0.00006551517356017624</x:v>
      </x:c>
      <x:c r="AB224" s="78" t="n">
        <x:f>(IF(J224&gt;0,K224*(1-'Inputs'!$E$44)/2/J224,0)+G224+R224)*'Inputs'!$B$17</x:f>
        <x:v>3349.854238963531</x:v>
      </x:c>
      <x:c r="AC224" s="78" t="n">
        <x:f>AC223+AB224</x:f>
        <x:v>1410007229.1817875</x:v>
      </x:c>
      <x:c r="AD224" s="80" t="n">
        <x:f>Z224/(1+'Inputs'!$C$44)</x:f>
        <x:v>0.00019536973916582496</x:v>
      </x:c>
      <x:c r="AE224" s="80" t="n">
        <x:f>Z224-AD224</x:f>
        <x:v>0.000048842434791456234</x:v>
      </x:c>
      <x:c r="AF224" s="80" t="n">
        <x:f>D224*W224</x:f>
        <x:v>2.397908835428587e-7</x:v>
      </x:c>
      <x:c r="AG224" s="80" t="n">
        <x:f>C224*W224</x:f>
        <x:v>5.595120616000209e-7</x:v>
      </x:c>
      <x:c r="AH224" s="80" t="n">
        <x:f>2*'Inputs'!$B$8*'Inputs'!$C$44</x:f>
        <x:v>1250</x:v>
      </x:c>
      <x:c r="AI224" s="81" t="n">
        <x:f>IF(AH224&gt;0,(AE224+AF224)/AH224*365,0)</x:f>
        <x:v>0.000014332009897099734</x:v>
      </x:c>
      <x:c r="AJ224" s="81" t="n">
        <x:f>IF('Inputs'!$B$44&gt;0,AG224/('Inputs'!$B$19*'Inputs'!$B$44)*365,0)</x:f>
        <x:v>2.0422190248400763e-8</x:v>
      </x:c>
      <x:c r="AK224" s="81" t="n">
        <x:f>W224/MAX($W$4:W224)-1</x:f>
        <x:v>-0.9999999987158434</x:v>
      </x:c>
      <x:c r="AL224" s="83" t="n">
        <x:f>'Inputs'!$B$44</x:f>
        <x:v>1</x:v>
      </x:c>
      <x:c r="AM224" s="83" t="n">
        <x:f>'Inputs'!$C$44</x:f>
        <x:v>0.25</x:v>
      </x:c>
      <x:c r="AN224" s="83" t="n">
        <x:f>'Inputs'!$D$44</x:f>
        <x:v>0.2</x:v>
      </x:c>
      <x:c r="AO224" s="81" t="n">
        <x:f>'Inputs'!$E$44</x:f>
        <x:v>-0.2</x:v>
      </x:c>
    </x:row>
    <x:row r="225">
      <x:c r="A225" s="59" t="str">
        <x:v>No demand</x:v>
      </x:c>
      <x:c r="B225" s="59" t="n">
        <x:v>222</x:v>
      </x:c>
      <x:c r="C225" s="78" t="n">
        <x:f>(('Inputs'!$B$29*(3*222*'Inputs'!$B$12-222^2)/(2*'Inputs'!$B$12^2))-('Inputs'!$B$29*(3*221*'Inputs'!$B$12-221^2)/(2*'Inputs'!$B$12^2)))*'Inputs'!$B$44</x:f>
        <x:v>639974.9014824629</x:v>
      </x:c>
      <x:c r="D225" s="78" t="n">
        <x:f>IF('Inputs'!$C$44&gt;0,('Inputs'!$B$30*(3*222*'Inputs'!$B$12-222^2)/(2*'Inputs'!$B$12^2))-('Inputs'!$B$30*(3*221*'Inputs'!$B$12-221^2)/(2*'Inputs'!$B$12^2)),0)</x:f>
        <x:v>274274.95777819306</x:v>
      </x:c>
      <x:c r="E225" s="78" t="n">
        <x:f>C225+D225</x:f>
        <x:v>914249.8592606559</x:v>
      </x:c>
      <x:c r="F225" s="78" t="n">
        <x:f>'Inputs'!$B$13*E225+(1-'Inputs'!$B$13)/'Inputs'!$B$14*SUM(E170:E225)</x:f>
        <x:v>924467.5361231014</x:v>
      </x:c>
      <x:c r="G225" s="78" t="n">
        <x:f>F225*'Inputs'!$F$44</x:f>
        <x:v>832020.7825107912</x:v>
      </x:c>
      <x:c r="H225" s="78" t="n">
        <x:f>U224</x:f>
        <x:v>116444582370.88048</x:v>
      </x:c>
      <x:c r="I225" s="78" t="n">
        <x:f>V224</x:f>
        <x:v>0.1017525337963109</x:v>
      </x:c>
      <x:c r="J225" s="79" t="n">
        <x:f>IF(H225&gt;0,I225/H225,0)</x:f>
        <x:v>8.738279765753735e-13</x:v>
      </x:c>
      <x:c r="K225" s="80" t="n">
        <x:f>(H225*J225+I225)*'Inputs'!$D$44*(1+'Inputs'!$G$44)^(B225/30)</x:f>
        <x:v>0.040701013518524363</x:v>
      </x:c>
      <x:c r="L225" s="80" t="n">
        <x:f>MAX(0,K225*'Inputs'!$E$44)</x:f>
        <x:v>0</x:v>
      </x:c>
      <x:c r="M225" s="80" t="n">
        <x:f>MAX(0,-K225*'Inputs'!$E$44)</x:f>
        <x:v>0.008140202703704873</x:v>
      </x:c>
      <x:c r="N225" s="78" t="n">
        <x:f>H225*(L225*(1-'Inputs'!$B$15))/(I225+L225*(1-'Inputs'!$B$15))</x:f>
        <x:v>0</x:v>
      </x:c>
      <x:c r="O225" s="78" t="n">
        <x:f>H225-N225</x:f>
        <x:v>116444582370.88048</x:v>
      </x:c>
      <x:c r="P225" s="78" t="n">
        <x:f>I225+L225*(1-'Inputs'!$B$17)</x:f>
        <x:v>0.1017525337963109</x:v>
      </x:c>
      <x:c r="Q225" s="78" t="n">
        <x:f>IF(J225&gt;0,M225/J225,0)</x:f>
        <x:v>0</x:v>
      </x:c>
      <x:c r="R225" s="78" t="n">
        <x:f>IF(B225='Inputs'!$H$44,'Inputs'!$B$27*'Inputs'!$I$44,0)</x:f>
        <x:v>0</x:v>
      </x:c>
      <x:c r="S225" s="78" t="n">
        <x:f>Q225+G225+R225</x:f>
        <x:v>832020.7825107912</x:v>
      </x:c>
      <x:c r="T225" s="78" t="n">
        <x:f>P225*(S225*(1-'Inputs'!$B$15))/(O225+S225*(1-'Inputs'!$B$15))</x:f>
        <x:v>7.19767515021714e-7</x:v>
      </x:c>
      <x:c r="U225" s="78" t="n">
        <x:f>O225+S225*(1-'Inputs'!$B$17)</x:f>
        <x:v>116445411043.49083</x:v>
      </x:c>
      <x:c r="V225" s="78" t="n">
        <x:f>P225-T225</x:f>
        <x:v>0.10175181402879588</x:v>
      </x:c>
      <x:c r="W225" s="79" t="n">
        <x:f>IF(U225&gt;0,V225/U225,0)</x:f>
        <x:v>8.738155769040389e-13</x:v>
      </x:c>
      <x:c r="X225" s="80" t="n">
        <x:f>W225*('Inputs'!$B$6-AC225)</x:f>
        <x:v>-0.00035827362918730034</x:v>
      </x:c>
      <x:c r="Y225" s="80" t="n">
        <x:f>2*V225</x:f>
        <x:v>0.20350362805759176</x:v>
      </x:c>
      <x:c r="Z225" s="80" t="n">
        <x:f>K225*'Inputs'!$B$16+(G225+R225)*J225*'Inputs'!$B$16</x:f>
        <x:v>0.0002442104433693673</x:v>
      </x:c>
      <x:c r="AA225" s="80" t="n">
        <x:f>K225*(1+'Inputs'!$E$44)/2*'Inputs'!$B$17</x:f>
        <x:v>0.00006551470988897282</x:v>
      </x:c>
      <x:c r="AB225" s="78" t="n">
        <x:f>(IF(J225&gt;0,K225*(1-'Inputs'!$E$44)/2/J225,0)+G225+R225)*'Inputs'!$B$17</x:f>
        <x:v>3348.172163021293</x:v>
      </x:c>
      <x:c r="AC225" s="78" t="n">
        <x:f>AC224+AB225</x:f>
        <x:v>1410010577.3539505</x:v>
      </x:c>
      <x:c r="AD225" s="80" t="n">
        <x:f>Z225/(1+'Inputs'!$C$44)</x:f>
        <x:v>0.00019536835469549383</x:v>
      </x:c>
      <x:c r="AE225" s="80" t="n">
        <x:f>Z225-AD225</x:f>
        <x:v>0.00004884208867387345</x:v>
      </x:c>
      <x:c r="AF225" s="80" t="n">
        <x:f>D225*W225</x:f>
        <x:v>2.3966573046128265e-7</x:v>
      </x:c>
      <x:c r="AG225" s="80" t="n">
        <x:f>C225*W225</x:f>
        <x:v>5.592200377430038e-7</x:v>
      </x:c>
      <x:c r="AH225" s="80" t="n">
        <x:f>2*'Inputs'!$B$8*'Inputs'!$C$44</x:f>
        <x:v>1250</x:v>
      </x:c>
      <x:c r="AI225" s="81" t="n">
        <x:f>IF(AH225&gt;0,(AE225+AF225)/AH225*365,0)</x:f>
        <x:v>0.000014331872286065741</x:v>
      </x:c>
      <x:c r="AJ225" s="81" t="n">
        <x:f>IF('Inputs'!$B$44&gt;0,AG225/('Inputs'!$B$19*'Inputs'!$B$44)*365,0)</x:f>
        <x:v>2.0411531377619636e-8</x:v>
      </x:c>
      <x:c r="AK225" s="81" t="n">
        <x:f>W225/MAX($W$4:W225)-1</x:f>
        <x:v>-0.9999999987158616</x:v>
      </x:c>
      <x:c r="AL225" s="83" t="n">
        <x:f>'Inputs'!$B$44</x:f>
        <x:v>1</x:v>
      </x:c>
      <x:c r="AM225" s="83" t="n">
        <x:f>'Inputs'!$C$44</x:f>
        <x:v>0.25</x:v>
      </x:c>
      <x:c r="AN225" s="83" t="n">
        <x:f>'Inputs'!$D$44</x:f>
        <x:v>0.2</x:v>
      </x:c>
      <x:c r="AO225" s="81" t="n">
        <x:f>'Inputs'!$E$44</x:f>
        <x:v>-0.2</x:v>
      </x:c>
    </x:row>
    <x:row r="226">
      <x:c r="A226" s="59" t="str">
        <x:v>No demand</x:v>
      </x:c>
      <x:c r="B226" s="59" t="n">
        <x:v>223</x:v>
      </x:c>
      <x:c r="C226" s="78" t="n">
        <x:f>(('Inputs'!$B$29*(3*223*'Inputs'!$B$12-223^2)/(2*'Inputs'!$B$12^2))-('Inputs'!$B$29*(3*222*'Inputs'!$B$12-222^2)/(2*'Inputs'!$B$12^2)))*'Inputs'!$B$44</x:f>
        <x:v>639649.7935822904</x:v>
      </x:c>
      <x:c r="D226" s="78" t="n">
        <x:f>IF('Inputs'!$C$44&gt;0,('Inputs'!$B$30*(3*223*'Inputs'!$B$12-223^2)/(2*'Inputs'!$B$12^2))-('Inputs'!$B$30*(3*222*'Inputs'!$B$12-222^2)/(2*'Inputs'!$B$12^2)),0)</x:f>
        <x:v>274135.6258209795</x:v>
      </x:c>
      <x:c r="E226" s="78" t="n">
        <x:f>C226+D226</x:f>
        <x:v>913785.4194032699</x:v>
      </x:c>
      <x:c r="F226" s="78" t="n">
        <x:f>'Inputs'!$B$13*E226+(1-'Inputs'!$B$13)/'Inputs'!$B$14*SUM(E171:E226)</x:f>
        <x:v>924003.096265717</x:v>
      </x:c>
      <x:c r="G226" s="78" t="n">
        <x:f>F226*'Inputs'!$F$44</x:f>
        <x:v>831602.7866391452</x:v>
      </x:c>
      <x:c r="H226" s="78" t="n">
        <x:f>U225</x:f>
        <x:v>116445411043.49083</x:v>
      </x:c>
      <x:c r="I226" s="78" t="n">
        <x:f>V225</x:f>
        <x:v>0.10175181402879588</x:v>
      </x:c>
      <x:c r="J226" s="79" t="n">
        <x:f>IF(H226&gt;0,I226/H226,0)</x:f>
        <x:v>8.738155769040389e-13</x:v>
      </x:c>
      <x:c r="K226" s="80" t="n">
        <x:f>(H226*J226+I226)*'Inputs'!$D$44*(1+'Inputs'!$G$44)^(B226/30)</x:f>
        <x:v>0.04070072561151836</x:v>
      </x:c>
      <x:c r="L226" s="80" t="n">
        <x:f>MAX(0,K226*'Inputs'!$E$44)</x:f>
        <x:v>0</x:v>
      </x:c>
      <x:c r="M226" s="80" t="n">
        <x:f>MAX(0,-K226*'Inputs'!$E$44)</x:f>
        <x:v>0.008140145122303672</x:v>
      </x:c>
      <x:c r="N226" s="78" t="n">
        <x:f>H226*(L226*(1-'Inputs'!$B$15))/(I226+L226*(1-'Inputs'!$B$15))</x:f>
        <x:v>0</x:v>
      </x:c>
      <x:c r="O226" s="78" t="n">
        <x:f>H226-N226</x:f>
        <x:v>116445411043.49083</x:v>
      </x:c>
      <x:c r="P226" s="78" t="n">
        <x:f>I226+L226*(1-'Inputs'!$B$17)</x:f>
        <x:v>0.10175181402879588</x:v>
      </x:c>
      <x:c r="Q226" s="78" t="n">
        <x:f>IF(J226&gt;0,M226/J226,0)</x:f>
        <x:v>0</x:v>
      </x:c>
      <x:c r="R226" s="78" t="n">
        <x:f>IF(B226='Inputs'!$H$44,'Inputs'!$B$27*'Inputs'!$I$44,0)</x:f>
        <x:v>0</x:v>
      </x:c>
      <x:c r="S226" s="78" t="n">
        <x:f>Q226+G226+R226</x:f>
        <x:v>831602.7866391452</x:v>
      </x:c>
      <x:c r="T226" s="78" t="n">
        <x:f>P226*(S226*(1-'Inputs'!$B$15))/(O226+S226*(1-'Inputs'!$B$15))</x:f>
        <x:v>7.19395707837449e-7</x:v>
      </x:c>
      <x:c r="U226" s="78" t="n">
        <x:f>O226+S226*(1-'Inputs'!$B$17)</x:f>
        <x:v>116446239299.78738</x:v>
      </x:c>
      <x:c r="V226" s="78" t="n">
        <x:f>P226-T226</x:f>
        <x:v>0.10175109463308804</x:v>
      </x:c>
      <x:c r="W226" s="79" t="n">
        <x:f>IF(U226&gt;0,V226/U226,0)</x:f>
        <x:v>8.738031837261216e-13</x:v>
      </x:c>
      <x:c r="X226" s="80" t="n">
        <x:f>W226*('Inputs'!$B$6-AC226)</x:f>
        <x:v>-0.0003582714720269596</x:v>
      </x:c>
      <x:c r="Y226" s="80" t="n">
        <x:f>2*V226</x:f>
        <x:v>0.20350218926617608</x:v>
      </x:c>
      <x:c r="Z226" s="80" t="n">
        <x:f>K226*'Inputs'!$B$16+(G226+R226)*J226*'Inputs'!$B$16</x:f>
        <x:v>0.00024420871367392274</x:v>
      </x:c>
      <x:c r="AA226" s="80" t="n">
        <x:f>K226*(1+'Inputs'!$E$44)/2*'Inputs'!$B$17</x:f>
        <x:v>0.00006551424645717242</x:v>
      </x:c>
      <x:c r="AB226" s="78" t="n">
        <x:f>(IF(J226&gt;0,K226*(1-'Inputs'!$E$44)/2/J226,0)+G226+R226)*'Inputs'!$B$17</x:f>
        <x:v>3346.4900870790557</x:v>
      </x:c>
      <x:c r="AC226" s="78" t="n">
        <x:f>AC225+AB226</x:f>
        <x:v>1410013923.8440375</x:v>
      </x:c>
      <x:c r="AD226" s="80" t="n">
        <x:f>Z226/(1+'Inputs'!$C$44)</x:f>
        <x:v>0.00019536697093913818</x:v>
      </x:c>
      <x:c r="AE226" s="80" t="n">
        <x:f>Z226-AD226</x:f>
        <x:v>0.00004884174273478455</x:v>
      </x:c>
      <x:c r="AF226" s="80" t="n">
        <x:f>D226*W226</x:f>
        <x:v>2.395405826151247e-7</x:v>
      </x:c>
      <x:c r="AG226" s="80" t="n">
        <x:f>C226*W226</x:f>
        <x:v>5.589280261019619e-7</x:v>
      </x:c>
      <x:c r="AH226" s="80" t="n">
        <x:f>2*'Inputs'!$B$8*'Inputs'!$C$44</x:f>
        <x:v>1250</x:v>
      </x:c>
      <x:c r="AI226" s="81" t="n">
        <x:f>IF(AH226&gt;0,(AE226+AF226)/AH226*365,0)</x:f>
        <x:v>0.000014331734728680706</x:v>
      </x:c>
      <x:c r="AJ226" s="81" t="n">
        <x:f>IF('Inputs'!$B$44&gt;0,AG226/('Inputs'!$B$19*'Inputs'!$B$44)*365,0)</x:f>
        <x:v>2.0400872952721606e-8</x:v>
      </x:c>
      <x:c r="AK226" s="81" t="n">
        <x:f>W226/MAX($W$4:W226)-1</x:f>
        <x:v>-0.9999999987158799</x:v>
      </x:c>
      <x:c r="AL226" s="83" t="n">
        <x:f>'Inputs'!$B$44</x:f>
        <x:v>1</x:v>
      </x:c>
      <x:c r="AM226" s="83" t="n">
        <x:f>'Inputs'!$C$44</x:f>
        <x:v>0.25</x:v>
      </x:c>
      <x:c r="AN226" s="83" t="n">
        <x:f>'Inputs'!$D$44</x:f>
        <x:v>0.2</x:v>
      </x:c>
      <x:c r="AO226" s="81" t="n">
        <x:f>'Inputs'!$E$44</x:f>
        <x:v>-0.2</x:v>
      </x:c>
    </x:row>
    <x:row r="227">
      <x:c r="A227" s="59" t="str">
        <x:v>No demand</x:v>
      </x:c>
      <x:c r="B227" s="59" t="n">
        <x:v>224</x:v>
      </x:c>
      <x:c r="C227" s="78" t="n">
        <x:f>(('Inputs'!$B$29*(3*224*'Inputs'!$B$12-224^2)/(2*'Inputs'!$B$12^2))-('Inputs'!$B$29*(3*223*'Inputs'!$B$12-223^2)/(2*'Inputs'!$B$12^2)))*'Inputs'!$B$44</x:f>
        <x:v>639324.6856821179</x:v>
      </x:c>
      <x:c r="D227" s="78" t="n">
        <x:f>IF('Inputs'!$C$44&gt;0,('Inputs'!$B$30*(3*224*'Inputs'!$B$12-224^2)/(2*'Inputs'!$B$12^2))-('Inputs'!$B$30*(3*223*'Inputs'!$B$12-223^2)/(2*'Inputs'!$B$12^2)),0)</x:f>
        <x:v>273996.2938637659</x:v>
      </x:c>
      <x:c r="E227" s="78" t="n">
        <x:f>C227+D227</x:f>
        <x:v>913320.9795458838</x:v>
      </x:c>
      <x:c r="F227" s="78" t="n">
        <x:f>'Inputs'!$B$13*E227+(1-'Inputs'!$B$13)/'Inputs'!$B$14*SUM(E172:E227)</x:f>
        <x:v>923538.6564083325</x:v>
      </x:c>
      <x:c r="G227" s="78" t="n">
        <x:f>F227*'Inputs'!$F$44</x:f>
        <x:v>831184.7907674992</x:v>
      </x:c>
      <x:c r="H227" s="78" t="n">
        <x:f>U226</x:f>
        <x:v>116446239299.78738</x:v>
      </x:c>
      <x:c r="I227" s="78" t="n">
        <x:f>V226</x:f>
        <x:v>0.10175109463308804</x:v>
      </x:c>
      <x:c r="J227" s="79" t="n">
        <x:f>IF(H227&gt;0,I227/H227,0)</x:f>
        <x:v>8.738031837261216e-13</x:v>
      </x:c>
      <x:c r="K227" s="80" t="n">
        <x:f>(H227*J227+I227)*'Inputs'!$D$44*(1+'Inputs'!$G$44)^(B227/30)</x:f>
        <x:v>0.04070043785323522</x:v>
      </x:c>
      <x:c r="L227" s="80" t="n">
        <x:f>MAX(0,K227*'Inputs'!$E$44)</x:f>
        <x:v>0</x:v>
      </x:c>
      <x:c r="M227" s="80" t="n">
        <x:f>MAX(0,-K227*'Inputs'!$E$44)</x:f>
        <x:v>0.008140087570647044</x:v>
      </x:c>
      <x:c r="N227" s="78" t="n">
        <x:f>H227*(L227*(1-'Inputs'!$B$15))/(I227+L227*(1-'Inputs'!$B$15))</x:f>
        <x:v>0</x:v>
      </x:c>
      <x:c r="O227" s="78" t="n">
        <x:f>H227-N227</x:f>
        <x:v>116446239299.78738</x:v>
      </x:c>
      <x:c r="P227" s="78" t="n">
        <x:f>I227+L227*(1-'Inputs'!$B$17)</x:f>
        <x:v>0.10175109463308804</x:v>
      </x:c>
      <x:c r="Q227" s="78" t="n">
        <x:f>IF(J227&gt;0,M227/J227,0)</x:f>
        <x:v>0</x:v>
      </x:c>
      <x:c r="R227" s="78" t="n">
        <x:f>IF(B227='Inputs'!$H$44,'Inputs'!$B$27*'Inputs'!$I$44,0)</x:f>
        <x:v>0</x:v>
      </x:c>
      <x:c r="S227" s="78" t="n">
        <x:f>Q227+G227+R227</x:f>
        <x:v>831184.7907674992</x:v>
      </x:c>
      <x:c r="T227" s="78" t="n">
        <x:f>P227*(S227*(1-'Inputs'!$B$15))/(O227+S227*(1-'Inputs'!$B$15))</x:f>
        <x:v>7.190239162559588e-7</x:v>
      </x:c>
      <x:c r="U227" s="78" t="n">
        <x:f>O227+S227*(1-'Inputs'!$B$17)</x:f>
        <x:v>116447067139.77014</x:v>
      </x:c>
      <x:c r="V227" s="78" t="n">
        <x:f>P227-T227</x:f>
        <x:v>0.10175037560917179</x:v>
      </x:c>
      <x:c r="W227" s="79" t="n">
        <x:f>IF(U227&gt;0,V227/U227,0)</x:f>
        <x:v>8.737907970412164e-13</x:v>
      </x:c>
      <x:c r="X227" s="80" t="n">
        <x:f>W227*('Inputs'!$B$6-AC227)</x:f>
        <x:v>-0.0003582693159761361</x:v>
      </x:c>
      <x:c r="Y227" s="80" t="n">
        <x:f>2*V227</x:f>
        <x:v>0.20350075121834357</x:v>
      </x:c>
      <x:c r="Z227" s="80" t="n">
        <x:f>K227*'Inputs'!$B$16+(G227+R227)*J227*'Inputs'!$B$16</x:f>
        <x:v>0.00024420698487090994</x:v>
      </x:c>
      <x:c r="AA227" s="80" t="n">
        <x:f>K227*(1+'Inputs'!$E$44)/2*'Inputs'!$B$17</x:f>
        <x:v>0.00006551378326476495</x:v>
      </x:c>
      <x:c r="AB227" s="78" t="n">
        <x:f>(IF(J227&gt;0,K227*(1-'Inputs'!$E$44)/2/J227,0)+G227+R227)*'Inputs'!$B$17</x:f>
        <x:v>3344.808011136818</x:v>
      </x:c>
      <x:c r="AC227" s="78" t="n">
        <x:f>AC226+AB227</x:f>
        <x:v>1410017268.6520486</x:v>
      </x:c>
      <x:c r="AD227" s="80" t="n">
        <x:f>Z227/(1+'Inputs'!$C$44)</x:f>
        <x:v>0.00019536558789672796</x:v>
      </x:c>
      <x:c r="AE227" s="80" t="n">
        <x:f>Z227-AD227</x:f>
        <x:v>0.000048841396974181976</x:v>
      </x:c>
      <x:c r="AF227" s="80" t="n">
        <x:f>D227*W227</x:f>
        <x:v>2.394154400015593e-7</x:v>
      </x:c>
      <x:c r="AG227" s="80" t="n">
        <x:f>C227*W227</x:f>
        <x:v>5.58636026670303e-7</x:v>
      </x:c>
      <x:c r="AH227" s="80" t="n">
        <x:f>2*'Inputs'!$B$8*'Inputs'!$C$44</x:f>
        <x:v>1250</x:v>
      </x:c>
      <x:c r="AI227" s="81" t="n">
        <x:f>IF(AH227&gt;0,(AE227+AF227)/AH227*365,0)</x:f>
        <x:v>0.000014331597224941593</x:v>
      </x:c>
      <x:c r="AJ227" s="81" t="n">
        <x:f>IF('Inputs'!$B$44&gt;0,AG227/('Inputs'!$B$19*'Inputs'!$B$44)*365,0)</x:f>
        <x:v>2.039021497346606e-8</x:v>
      </x:c>
      <x:c r="AK227" s="81" t="n">
        <x:f>W227/MAX($W$4:W227)-1</x:f>
        <x:v>-0.9999999987158981</x:v>
      </x:c>
      <x:c r="AL227" s="83" t="n">
        <x:f>'Inputs'!$B$44</x:f>
        <x:v>1</x:v>
      </x:c>
      <x:c r="AM227" s="83" t="n">
        <x:f>'Inputs'!$C$44</x:f>
        <x:v>0.25</x:v>
      </x:c>
      <x:c r="AN227" s="83" t="n">
        <x:f>'Inputs'!$D$44</x:f>
        <x:v>0.2</x:v>
      </x:c>
      <x:c r="AO227" s="81" t="n">
        <x:f>'Inputs'!$E$44</x:f>
        <x:v>-0.2</x:v>
      </x:c>
    </x:row>
    <x:row r="228">
      <x:c r="A228" s="59" t="str">
        <x:v>No demand</x:v>
      </x:c>
      <x:c r="B228" s="59" t="n">
        <x:v>225</x:v>
      </x:c>
      <x:c r="C228" s="78" t="n">
        <x:f>(('Inputs'!$B$29*(3*225*'Inputs'!$B$12-225^2)/(2*'Inputs'!$B$12^2))-('Inputs'!$B$29*(3*224*'Inputs'!$B$12-224^2)/(2*'Inputs'!$B$12^2)))*'Inputs'!$B$44</x:f>
        <x:v>638999.5777819455</x:v>
      </x:c>
      <x:c r="D228" s="78" t="n">
        <x:f>IF('Inputs'!$C$44&gt;0,('Inputs'!$B$30*(3*225*'Inputs'!$B$12-225^2)/(2*'Inputs'!$B$12^2))-('Inputs'!$B$30*(3*224*'Inputs'!$B$12-224^2)/(2*'Inputs'!$B$12^2)),0)</x:f>
        <x:v>273856.9619065523</x:v>
      </x:c>
      <x:c r="E228" s="78" t="n">
        <x:f>C228+D228</x:f>
        <x:v>912856.5396884978</x:v>
      </x:c>
      <x:c r="F228" s="78" t="n">
        <x:f>'Inputs'!$B$13*E228+(1-'Inputs'!$B$13)/'Inputs'!$B$14*SUM(E173:E228)</x:f>
        <x:v>923074.2165509481</x:v>
      </x:c>
      <x:c r="G228" s="78" t="n">
        <x:f>F228*'Inputs'!$F$44</x:f>
        <x:v>830766.7948958533</x:v>
      </x:c>
      <x:c r="H228" s="78" t="n">
        <x:f>U227</x:f>
        <x:v>116447067139.77014</x:v>
      </x:c>
      <x:c r="I228" s="78" t="n">
        <x:f>V227</x:f>
        <x:v>0.10175037560917179</x:v>
      </x:c>
      <x:c r="J228" s="79" t="n">
        <x:f>IF(H228&gt;0,I228/H228,0)</x:f>
        <x:v>8.737907970412164e-13</x:v>
      </x:c>
      <x:c r="K228" s="80" t="n">
        <x:f>(H228*J228+I228)*'Inputs'!$D$44*(1+'Inputs'!$G$44)^(B228/30)</x:f>
        <x:v>0.040700150243668715</x:v>
      </x:c>
      <x:c r="L228" s="80" t="n">
        <x:f>MAX(0,K228*'Inputs'!$E$44)</x:f>
        <x:v>0</x:v>
      </x:c>
      <x:c r="M228" s="80" t="n">
        <x:f>MAX(0,-K228*'Inputs'!$E$44)</x:f>
        <x:v>0.008140030048733744</x:v>
      </x:c>
      <x:c r="N228" s="78" t="n">
        <x:f>H228*(L228*(1-'Inputs'!$B$15))/(I228+L228*(1-'Inputs'!$B$15))</x:f>
        <x:v>0</x:v>
      </x:c>
      <x:c r="O228" s="78" t="n">
        <x:f>H228-N228</x:f>
        <x:v>116447067139.77014</x:v>
      </x:c>
      <x:c r="P228" s="78" t="n">
        <x:f>I228+L228*(1-'Inputs'!$B$17)</x:f>
        <x:v>0.10175037560917179</x:v>
      </x:c>
      <x:c r="Q228" s="78" t="n">
        <x:f>IF(J228&gt;0,M228/J228,0)</x:f>
        <x:v>0</x:v>
      </x:c>
      <x:c r="R228" s="78" t="n">
        <x:f>IF(B228='Inputs'!$H$44,'Inputs'!$B$27*'Inputs'!$I$44,0)</x:f>
        <x:v>0</x:v>
      </x:c>
      <x:c r="S228" s="78" t="n">
        <x:f>Q228+G228+R228</x:f>
        <x:v>830766.7948958533</x:v>
      </x:c>
      <x:c r="T228" s="78" t="n">
        <x:f>P228*(S228*(1-'Inputs'!$B$15))/(O228+S228*(1-'Inputs'!$B$15))</x:f>
        <x:v>7.18652140268849e-7</x:v>
      </x:c>
      <x:c r="U228" s="78" t="n">
        <x:f>O228+S228*(1-'Inputs'!$B$17)</x:f>
        <x:v>116447894563.4391</x:v>
      </x:c>
      <x:c r="V228" s="78" t="n">
        <x:f>P228-T228</x:f>
        <x:v>0.10174965695703152</x:v>
      </x:c>
      <x:c r="W228" s="79" t="n">
        <x:f>IF(U228&gt;0,V228/U228,0)</x:f>
        <x:v>8.737784168489178e-13</x:v>
      </x:c>
      <x:c r="X228" s="80" t="n">
        <x:f>W228*('Inputs'!$B$6-AC228)</x:f>
        <x:v>-0.0003582671610347913</x:v>
      </x:c>
      <x:c r="Y228" s="80" t="n">
        <x:f>2*V228</x:f>
        <x:v>0.20349931391406303</x:v>
      </x:c>
      <x:c r="Z228" s="80" t="n">
        <x:f>K228*'Inputs'!$B$16+(G228+R228)*J228*'Inputs'!$B$16</x:f>
        <x:v>0.0002442052569602915</x:v>
      </x:c>
      <x:c r="AA228" s="80" t="n">
        <x:f>K228*(1+'Inputs'!$E$44)/2*'Inputs'!$B$17</x:f>
        <x:v>0.0000655133203117404</x:v>
      </x:c>
      <x:c r="AB228" s="78" t="n">
        <x:f>(IF(J228&gt;0,K228*(1-'Inputs'!$E$44)/2/J228,0)+G228+R228)*'Inputs'!$B$17</x:f>
        <x:v>3343.125935194581</x:v>
      </x:c>
      <x:c r="AC228" s="78" t="n">
        <x:f>AC227+AB228</x:f>
        <x:v>1410020611.7779837</x:v>
      </x:c>
      <x:c r="AD228" s="80" t="n">
        <x:f>Z228/(1+'Inputs'!$C$44)</x:f>
        <x:v>0.00019536420556823318</x:v>
      </x:c>
      <x:c r="AE228" s="80" t="n">
        <x:f>Z228-AD228</x:f>
        <x:v>0.000048841051392058295</x:v>
      </x:c>
      <x:c r="AF228" s="80" t="n">
        <x:f>D228*W228</x:f>
        <x:v>2.3929030261776167e-7</x:v>
      </x:c>
      <x:c r="AG228" s="80" t="n">
        <x:f>C228*W228</x:f>
        <x:v>5.583440394414352e-7</x:v>
      </x:c>
      <x:c r="AH228" s="80" t="n">
        <x:f>2*'Inputs'!$B$8*'Inputs'!$C$44</x:f>
        <x:v>1250</x:v>
      </x:c>
      <x:c r="AI228" s="81" t="n">
        <x:f>IF(AH228&gt;0,(AE228+AF228)/AH228*365,0)</x:f>
        <x:v>0.000014331459774845409</x:v>
      </x:c>
      <x:c r="AJ228" s="81" t="n">
        <x:f>IF('Inputs'!$B$44&gt;0,AG228/('Inputs'!$B$19*'Inputs'!$B$44)*365,0)</x:f>
        <x:v>2.0379557439612385e-8</x:v>
      </x:c>
      <x:c r="AK228" s="81" t="n">
        <x:f>W228/MAX($W$4:W228)-1</x:f>
        <x:v>-0.9999999987159163</x:v>
      </x:c>
      <x:c r="AL228" s="83" t="n">
        <x:f>'Inputs'!$B$44</x:f>
        <x:v>1</x:v>
      </x:c>
      <x:c r="AM228" s="83" t="n">
        <x:f>'Inputs'!$C$44</x:f>
        <x:v>0.25</x:v>
      </x:c>
      <x:c r="AN228" s="83" t="n">
        <x:f>'Inputs'!$D$44</x:f>
        <x:v>0.2</x:v>
      </x:c>
      <x:c r="AO228" s="81" t="n">
        <x:f>'Inputs'!$E$44</x:f>
        <x:v>-0.2</x:v>
      </x:c>
    </x:row>
    <x:row r="229">
      <x:c r="A229" s="59" t="str">
        <x:v>No demand</x:v>
      </x:c>
      <x:c r="B229" s="59" t="n">
        <x:v>226</x:v>
      </x:c>
      <x:c r="C229" s="78" t="n">
        <x:f>(('Inputs'!$B$29*(3*226*'Inputs'!$B$12-226^2)/(2*'Inputs'!$B$12^2))-('Inputs'!$B$29*(3*225*'Inputs'!$B$12-225^2)/(2*'Inputs'!$B$12^2)))*'Inputs'!$B$44</x:f>
        <x:v>638674.469881773</x:v>
      </x:c>
      <x:c r="D229" s="78" t="n">
        <x:f>IF('Inputs'!$C$44&gt;0,('Inputs'!$B$30*(3*226*'Inputs'!$B$12-226^2)/(2*'Inputs'!$B$12^2))-('Inputs'!$B$30*(3*225*'Inputs'!$B$12-225^2)/(2*'Inputs'!$B$12^2)),0)</x:f>
        <x:v>273717.6299493313</x:v>
      </x:c>
      <x:c r="E229" s="78" t="n">
        <x:f>C229+D229</x:f>
        <x:v>912392.0998311043</x:v>
      </x:c>
      <x:c r="F229" s="78" t="n">
        <x:f>'Inputs'!$B$13*E229+(1-'Inputs'!$B$13)/'Inputs'!$B$14*SUM(E174:E229)</x:f>
        <x:v>922609.7766935619</x:v>
      </x:c>
      <x:c r="G229" s="78" t="n">
        <x:f>F229*'Inputs'!$F$44</x:f>
        <x:v>830348.7990242058</x:v>
      </x:c>
      <x:c r="H229" s="78" t="n">
        <x:f>U228</x:f>
        <x:v>116447894563.4391</x:v>
      </x:c>
      <x:c r="I229" s="78" t="n">
        <x:f>V228</x:f>
        <x:v>0.10174965695703152</x:v>
      </x:c>
      <x:c r="J229" s="79" t="n">
        <x:f>IF(H229&gt;0,I229/H229,0)</x:f>
        <x:v>8.737784168489178e-13</x:v>
      </x:c>
      <x:c r="K229" s="80" t="n">
        <x:f>(H229*J229+I229)*'Inputs'!$D$44*(1+'Inputs'!$G$44)^(B229/30)</x:f>
        <x:v>0.04069986278281261</x:v>
      </x:c>
      <x:c r="L229" s="80" t="n">
        <x:f>MAX(0,K229*'Inputs'!$E$44)</x:f>
        <x:v>0</x:v>
      </x:c>
      <x:c r="M229" s="80" t="n">
        <x:f>MAX(0,-K229*'Inputs'!$E$44)</x:f>
        <x:v>0.008139972556562522</x:v>
      </x:c>
      <x:c r="N229" s="78" t="n">
        <x:f>H229*(L229*(1-'Inputs'!$B$15))/(I229+L229*(1-'Inputs'!$B$15))</x:f>
        <x:v>0</x:v>
      </x:c>
      <x:c r="O229" s="78" t="n">
        <x:f>H229-N229</x:f>
        <x:v>116447894563.4391</x:v>
      </x:c>
      <x:c r="P229" s="78" t="n">
        <x:f>I229+L229*(1-'Inputs'!$B$17)</x:f>
        <x:v>0.10174965695703152</x:v>
      </x:c>
      <x:c r="Q229" s="78" t="n">
        <x:f>IF(J229&gt;0,M229/J229,0)</x:f>
        <x:v>0</x:v>
      </x:c>
      <x:c r="R229" s="78" t="n">
        <x:f>IF(B229='Inputs'!$H$44,'Inputs'!$B$27*'Inputs'!$I$44,0)</x:f>
        <x:v>0</x:v>
      </x:c>
      <x:c r="S229" s="78" t="n">
        <x:f>Q229+G229+R229</x:f>
        <x:v>830348.7990242058</x:v>
      </x:c>
      <x:c r="T229" s="78" t="n">
        <x:f>P229*(S229*(1-'Inputs'!$B$15))/(O229+S229*(1-'Inputs'!$B$15))</x:f>
        <x:v>7.182803798677247e-7</x:v>
      </x:c>
      <x:c r="U229" s="78" t="n">
        <x:f>O229+S229*(1-'Inputs'!$B$17)</x:f>
        <x:v>116448721570.79427</x:v>
      </x:c>
      <x:c r="V229" s="78" t="n">
        <x:f>P229-T229</x:f>
        <x:v>0.10174893867665165</x:v>
      </x:c>
      <x:c r="W229" s="79" t="n">
        <x:f>IF(U229&gt;0,V229/U229,0)</x:f>
        <x:v>8.737660431488209e-13</x:v>
      </x:c>
      <x:c r="X229" s="80" t="n">
        <x:f>W229*('Inputs'!$B$6-AC229)</x:f>
        <x:v>-0.000358265007202887</x:v>
      </x:c>
      <x:c r="Y229" s="80" t="n">
        <x:f>2*V229</x:f>
        <x:v>0.2034978773533033</x:v>
      </x:c>
      <x:c r="Z229" s="80" t="n">
        <x:f>K229*'Inputs'!$B$16+(G229+R229)*J229*'Inputs'!$B$16</x:f>
        <x:v>0.00024420352994202995</x:v>
      </x:c>
      <x:c r="AA229" s="80" t="n">
        <x:f>K229*(1+'Inputs'!$E$44)/2*'Inputs'!$B$17</x:f>
        <x:v>0.00006551285759808871</x:v>
      </x:c>
      <x:c r="AB229" s="78" t="n">
        <x:f>(IF(J229&gt;0,K229*(1-'Inputs'!$E$44)/2/J229,0)+G229+R229)*'Inputs'!$B$17</x:f>
        <x:v>3341.4438592523375</x:v>
      </x:c>
      <x:c r="AC229" s="78" t="n">
        <x:f>AC228+AB229</x:f>
        <x:v>1410023953.221843</x:v>
      </x:c>
      <x:c r="AD229" s="80" t="n">
        <x:f>Z229/(1+'Inputs'!$C$44)</x:f>
        <x:v>0.00019536282395362395</x:v>
      </x:c>
      <x:c r="AE229" s="80" t="n">
        <x:f>Z229-AD229</x:f>
        <x:v>0.000048840705988406</x:v>
      </x:c>
      <x:c r="AF229" s="80" t="n">
        <x:f>D229*W229</x:f>
        <x:v>2.3916517046090037e-7</x:v>
      </x:c>
      <x:c r="AG229" s="80" t="n">
        <x:f>C229*W229</x:f>
        <x:v>5.580520644087676e-7</x:v>
      </x:c>
      <x:c r="AH229" s="80" t="n">
        <x:f>2*'Inputs'!$B$8*'Inputs'!$C$44</x:f>
        <x:v>1250</x:v>
      </x:c>
      <x:c r="AI229" s="81" t="n">
        <x:f>IF(AH229&gt;0,(AE229+AF229)/AH229*365,0)</x:f>
        <x:v>0.000014331322378389136</x:v>
      </x:c>
      <x:c r="AJ229" s="81" t="n">
        <x:f>IF('Inputs'!$B$44&gt;0,AG229/('Inputs'!$B$19*'Inputs'!$B$44)*365,0)</x:f>
        <x:v>2.0368900350920016e-8</x:v>
      </x:c>
      <x:c r="AK229" s="81" t="n">
        <x:f>W229/MAX($W$4:W229)-1</x:f>
        <x:v>-0.9999999987159345</x:v>
      </x:c>
      <x:c r="AL229" s="83" t="n">
        <x:f>'Inputs'!$B$44</x:f>
        <x:v>1</x:v>
      </x:c>
      <x:c r="AM229" s="83" t="n">
        <x:f>'Inputs'!$C$44</x:f>
        <x:v>0.25</x:v>
      </x:c>
      <x:c r="AN229" s="83" t="n">
        <x:f>'Inputs'!$D$44</x:f>
        <x:v>0.2</x:v>
      </x:c>
      <x:c r="AO229" s="81" t="n">
        <x:f>'Inputs'!$E$44</x:f>
        <x:v>-0.2</x:v>
      </x:c>
    </x:row>
    <x:row r="230">
      <x:c r="A230" s="59" t="str">
        <x:v>No demand</x:v>
      </x:c>
      <x:c r="B230" s="59" t="n">
        <x:v>227</x:v>
      </x:c>
      <x:c r="C230" s="78" t="n">
        <x:f>(('Inputs'!$B$29*(3*227*'Inputs'!$B$12-227^2)/(2*'Inputs'!$B$12^2))-('Inputs'!$B$29*(3*226*'Inputs'!$B$12-226^2)/(2*'Inputs'!$B$12^2)))*'Inputs'!$B$44</x:f>
        <x:v>638349.3619816005</x:v>
      </x:c>
      <x:c r="D230" s="78" t="n">
        <x:f>IF('Inputs'!$C$44&gt;0,('Inputs'!$B$30*(3*227*'Inputs'!$B$12-227^2)/(2*'Inputs'!$B$12^2))-('Inputs'!$B$30*(3*226*'Inputs'!$B$12-226^2)/(2*'Inputs'!$B$12^2)),0)</x:f>
        <x:v>273578.2979921177</x:v>
      </x:c>
      <x:c r="E230" s="78" t="n">
        <x:f>C230+D230</x:f>
        <x:v>911927.6599737182</x:v>
      </x:c>
      <x:c r="F230" s="78" t="n">
        <x:f>'Inputs'!$B$13*E230+(1-'Inputs'!$B$13)/'Inputs'!$B$14*SUM(E175:E230)</x:f>
        <x:v>922145.3368361773</x:v>
      </x:c>
      <x:c r="G230" s="78" t="n">
        <x:f>F230*'Inputs'!$F$44</x:f>
        <x:v>829930.8031525596</x:v>
      </x:c>
      <x:c r="H230" s="78" t="n">
        <x:f>U229</x:f>
        <x:v>116448721570.79427</x:v>
      </x:c>
      <x:c r="I230" s="78" t="n">
        <x:f>V229</x:f>
        <x:v>0.10174893867665165</x:v>
      </x:c>
      <x:c r="J230" s="79" t="n">
        <x:f>IF(H230&gt;0,I230/H230,0)</x:f>
        <x:v>8.737660431488209e-13</x:v>
      </x:c>
      <x:c r="K230" s="80" t="n">
        <x:f>(H230*J230+I230)*'Inputs'!$D$44*(1+'Inputs'!$G$44)^(B230/30)</x:f>
        <x:v>0.040699575470660665</x:v>
      </x:c>
      <x:c r="L230" s="80" t="n">
        <x:f>MAX(0,K230*'Inputs'!$E$44)</x:f>
        <x:v>0</x:v>
      </x:c>
      <x:c r="M230" s="80" t="n">
        <x:f>MAX(0,-K230*'Inputs'!$E$44)</x:f>
        <x:v>0.008139915094132134</x:v>
      </x:c>
      <x:c r="N230" s="78" t="n">
        <x:f>H230*(L230*(1-'Inputs'!$B$15))/(I230+L230*(1-'Inputs'!$B$15))</x:f>
        <x:v>0</x:v>
      </x:c>
      <x:c r="O230" s="78" t="n">
        <x:f>H230-N230</x:f>
        <x:v>116448721570.79427</x:v>
      </x:c>
      <x:c r="P230" s="78" t="n">
        <x:f>I230+L230*(1-'Inputs'!$B$17)</x:f>
        <x:v>0.10174893867665165</x:v>
      </x:c>
      <x:c r="Q230" s="78" t="n">
        <x:f>IF(J230&gt;0,M230/J230,0)</x:f>
        <x:v>0</x:v>
      </x:c>
      <x:c r="R230" s="78" t="n">
        <x:f>IF(B230='Inputs'!$H$44,'Inputs'!$B$27*'Inputs'!$I$44,0)</x:f>
        <x:v>0</x:v>
      </x:c>
      <x:c r="S230" s="78" t="n">
        <x:f>Q230+G230+R230</x:f>
        <x:v>829930.8031525596</x:v>
      </x:c>
      <x:c r="T230" s="78" t="n">
        <x:f>P230*(S230*(1-'Inputs'!$B$15))/(O230+S230*(1-'Inputs'!$B$15))</x:f>
        <x:v>7.17908635044196e-7</x:v>
      </x:c>
      <x:c r="U230" s="78" t="n">
        <x:f>O230+S230*(1-'Inputs'!$B$17)</x:f>
        <x:v>116449548161.83563</x:v>
      </x:c>
      <x:c r="V230" s="78" t="n">
        <x:f>P230-T230</x:f>
        <x:v>0.10174822076801661</x:v>
      </x:c>
      <x:c r="W230" s="79" t="n">
        <x:f>IF(U230&gt;0,V230/U230,0)</x:f>
        <x:v>8.737536759405209e-13</x:v>
      </x:c>
      <x:c r="X230" s="80" t="n">
        <x:f>W230*('Inputs'!$B$6-AC230)</x:f>
        <x:v>-0.0003582628544803845</x:v>
      </x:c>
      <x:c r="Y230" s="80" t="n">
        <x:f>2*V230</x:f>
        <x:v>0.20349644153603322</x:v>
      </x:c>
      <x:c r="Z230" s="80" t="n">
        <x:f>K230*'Inputs'!$B$16+(G230+R230)*J230*'Inputs'!$B$16</x:f>
        <x:v>0.00024420180381608774</x:v>
      </x:c>
      <x:c r="AA230" s="80" t="n">
        <x:f>K230*(1+'Inputs'!$E$44)/2*'Inputs'!$B$17</x:f>
        <x:v>0.00006551239512379987</x:v>
      </x:c>
      <x:c r="AB230" s="78" t="n">
        <x:f>(IF(J230&gt;0,K230*(1-'Inputs'!$E$44)/2/J230,0)+G230+R230)*'Inputs'!$B$17</x:f>
        <x:v>3339.761783310099</x:v>
      </x:c>
      <x:c r="AC230" s="78" t="n">
        <x:f>AC229+AB230</x:f>
        <x:v>1410027292.9836264</x:v>
      </x:c>
      <x:c r="AD230" s="80" t="n">
        <x:f>Z230/(1+'Inputs'!$C$44)</x:f>
        <x:v>0.00019536144305287018</x:v>
      </x:c>
      <x:c r="AE230" s="80" t="n">
        <x:f>Z230-AD230</x:f>
        <x:v>0.00004884036076321756</x:v>
      </x:c>
      <x:c r="AF230" s="80" t="n">
        <x:f>D230*W230</x:f>
        <x:v>2.3904004352816406e-7</x:v>
      </x:c>
      <x:c r="AG230" s="80" t="n">
        <x:f>C230*W230</x:f>
        <x:v>5.577601015657097e-7</x:v>
      </x:c>
      <x:c r="AH230" s="80" t="n">
        <x:f>2*'Inputs'!$B$8*'Inputs'!$C$44</x:f>
        <x:v>1250</x:v>
      </x:c>
      <x:c r="AI230" s="81" t="n">
        <x:f>IF(AH230&gt;0,(AE230+AF230)/AH230*365,0)</x:f>
        <x:v>0.00001433118503556975</x:v>
      </x:c>
      <x:c r="AJ230" s="81" t="n">
        <x:f>IF('Inputs'!$B$44&gt;0,AG230/('Inputs'!$B$19*'Inputs'!$B$44)*365,0)</x:f>
        <x:v>2.03582437071484e-8</x:v>
      </x:c>
      <x:c r="AK230" s="81" t="n">
        <x:f>W230/MAX($W$4:W230)-1</x:f>
        <x:v>-0.9999999987159526</x:v>
      </x:c>
      <x:c r="AL230" s="83" t="n">
        <x:f>'Inputs'!$B$44</x:f>
        <x:v>1</x:v>
      </x:c>
      <x:c r="AM230" s="83" t="n">
        <x:f>'Inputs'!$C$44</x:f>
        <x:v>0.25</x:v>
      </x:c>
      <x:c r="AN230" s="83" t="n">
        <x:f>'Inputs'!$D$44</x:f>
        <x:v>0.2</x:v>
      </x:c>
      <x:c r="AO230" s="81" t="n">
        <x:f>'Inputs'!$E$44</x:f>
        <x:v>-0.2</x:v>
      </x:c>
    </x:row>
    <x:row r="231">
      <x:c r="A231" s="59" t="str">
        <x:v>No demand</x:v>
      </x:c>
      <x:c r="B231" s="59" t="n">
        <x:v>228</x:v>
      </x:c>
      <x:c r="C231" s="78" t="n">
        <x:f>(('Inputs'!$B$29*(3*228*'Inputs'!$B$12-228^2)/(2*'Inputs'!$B$12^2))-('Inputs'!$B$29*(3*227*'Inputs'!$B$12-227^2)/(2*'Inputs'!$B$12^2)))*'Inputs'!$B$44</x:f>
        <x:v>638024.2540814579</x:v>
      </x:c>
      <x:c r="D231" s="78" t="n">
        <x:f>IF('Inputs'!$C$44&gt;0,('Inputs'!$B$30*(3*228*'Inputs'!$B$12-228^2)/(2*'Inputs'!$B$12^2))-('Inputs'!$B$30*(3*227*'Inputs'!$B$12-227^2)/(2*'Inputs'!$B$12^2)),0)</x:f>
        <x:v>273438.9660349041</x:v>
      </x:c>
      <x:c r="E231" s="78" t="n">
        <x:f>C231+D231</x:f>
        <x:v>911463.220116362</x:v>
      </x:c>
      <x:c r="F231" s="78" t="n">
        <x:f>'Inputs'!$B$13*E231+(1-'Inputs'!$B$13)/'Inputs'!$B$14*SUM(E176:E231)</x:f>
        <x:v>921680.8969787991</x:v>
      </x:c>
      <x:c r="G231" s="78" t="n">
        <x:f>F231*'Inputs'!$F$44</x:f>
        <x:v>829512.8072809193</x:v>
      </x:c>
      <x:c r="H231" s="78" t="n">
        <x:f>U230</x:f>
        <x:v>116449548161.83563</x:v>
      </x:c>
      <x:c r="I231" s="78" t="n">
        <x:f>V230</x:f>
        <x:v>0.10174822076801661</x:v>
      </x:c>
      <x:c r="J231" s="79" t="n">
        <x:f>IF(H231&gt;0,I231/H231,0)</x:f>
        <x:v>8.737536759405209e-13</x:v>
      </x:c>
      <x:c r="K231" s="80" t="n">
        <x:f>(H231*J231+I231)*'Inputs'!$D$44*(1+'Inputs'!$G$44)^(B231/30)</x:f>
        <x:v>0.04069928830720665</x:v>
      </x:c>
      <x:c r="L231" s="80" t="n">
        <x:f>MAX(0,K231*'Inputs'!$E$44)</x:f>
        <x:v>0</x:v>
      </x:c>
      <x:c r="M231" s="80" t="n">
        <x:f>MAX(0,-K231*'Inputs'!$E$44)</x:f>
        <x:v>0.008139857661441331</x:v>
      </x:c>
      <x:c r="N231" s="78" t="n">
        <x:f>H231*(L231*(1-'Inputs'!$B$15))/(I231+L231*(1-'Inputs'!$B$15))</x:f>
        <x:v>0</x:v>
      </x:c>
      <x:c r="O231" s="78" t="n">
        <x:f>H231-N231</x:f>
        <x:v>116449548161.83563</x:v>
      </x:c>
      <x:c r="P231" s="78" t="n">
        <x:f>I231+L231*(1-'Inputs'!$B$17)</x:f>
        <x:v>0.10174822076801661</x:v>
      </x:c>
      <x:c r="Q231" s="78" t="n">
        <x:f>IF(J231&gt;0,M231/J231,0)</x:f>
        <x:v>0</x:v>
      </x:c>
      <x:c r="R231" s="78" t="n">
        <x:f>IF(B231='Inputs'!$H$44,'Inputs'!$B$27*'Inputs'!$I$44,0)</x:f>
        <x:v>0</x:v>
      </x:c>
      <x:c r="S231" s="78" t="n">
        <x:f>Q231+G231+R231</x:f>
        <x:v>829512.8072809193</x:v>
      </x:c>
      <x:c r="T231" s="78" t="n">
        <x:f>P231*(S231*(1-'Inputs'!$B$15))/(O231+S231*(1-'Inputs'!$B$15))</x:f>
        <x:v>7.175369057898745e-7</x:v>
      </x:c>
      <x:c r="U231" s="78" t="n">
        <x:f>O231+S231*(1-'Inputs'!$B$17)</x:f>
        <x:v>116450374336.5632</x:v>
      </x:c>
      <x:c r="V231" s="78" t="n">
        <x:f>P231-T231</x:f>
        <x:v>0.10174750323111081</x:v>
      </x:c>
      <x:c r="W231" s="79" t="n">
        <x:f>IF(U231&gt;0,V231/U231,0)</x:f>
        <x:v>8.737413152236131e-13</x:v>
      </x:c>
      <x:c r="X231" s="80" t="n">
        <x:f>W231*('Inputs'!$B$6-AC231)</x:f>
        <x:v>-0.00035826070286724526</x:v>
      </x:c>
      <x:c r="Y231" s="80" t="n">
        <x:f>2*V231</x:f>
        <x:v>0.20349500646222163</x:v>
      </x:c>
      <x:c r="Z231" s="80" t="n">
        <x:f>K231*'Inputs'!$B$16+(G231+R231)*J231*'Inputs'!$B$16</x:f>
        <x:v>0.0002442000785824275</x:v>
      </x:c>
      <x:c r="AA231" s="80" t="n">
        <x:f>K231*(1+'Inputs'!$E$44)/2*'Inputs'!$B$17</x:f>
        <x:v>0.00006551193288886383</x:v>
      </x:c>
      <x:c r="AB231" s="78" t="n">
        <x:f>(IF(J231&gt;0,K231*(1-'Inputs'!$E$44)/2/J231,0)+G231+R231)*'Inputs'!$B$17</x:f>
        <x:v>3338.0797073678846</x:v>
      </x:c>
      <x:c r="AC231" s="78" t="n">
        <x:f>AC230+AB231</x:f>
        <x:v>1410030631.0633337</x:v>
      </x:c>
      <x:c r="AD231" s="80" t="n">
        <x:f>Z231/(1+'Inputs'!$C$44)</x:f>
        <x:v>0.000195360062865942</x:v>
      </x:c>
      <x:c r="AE231" s="80" t="n">
        <x:f>Z231-AD231</x:f>
        <x:v>0.000048840015716485486</x:v>
      </x:c>
      <x:c r="AF231" s="80" t="n">
        <x:f>D231*W231</x:f>
        <x:v>2.38914921816722e-7</x:v>
      </x:c>
      <x:c r="AG231" s="80" t="n">
        <x:f>C231*W231</x:f>
        <x:v>5.574681509056976e-7</x:v>
      </x:c>
      <x:c r="AH231" s="80" t="n">
        <x:f>2*'Inputs'!$B$8*'Inputs'!$C$44</x:f>
        <x:v>1250</x:v>
      </x:c>
      <x:c r="AI231" s="81" t="n">
        <x:f>IF(AH231&gt;0,(AE231+AF231)/AH231*365,0)</x:f>
        <x:v>0.000014331047746384245</x:v>
      </x:c>
      <x:c r="AJ231" s="81" t="n">
        <x:f>IF('Inputs'!$B$44&gt;0,AG231/('Inputs'!$B$19*'Inputs'!$B$44)*365,0)</x:f>
        <x:v>2.0347587508057964e-8</x:v>
      </x:c>
      <x:c r="AK231" s="81" t="n">
        <x:f>W231/MAX($W$4:W231)-1</x:f>
        <x:v>-0.9999999987159708</x:v>
      </x:c>
      <x:c r="AL231" s="83" t="n">
        <x:f>'Inputs'!$B$44</x:f>
        <x:v>1</x:v>
      </x:c>
      <x:c r="AM231" s="83" t="n">
        <x:f>'Inputs'!$C$44</x:f>
        <x:v>0.25</x:v>
      </x:c>
      <x:c r="AN231" s="83" t="n">
        <x:f>'Inputs'!$D$44</x:f>
        <x:v>0.2</x:v>
      </x:c>
      <x:c r="AO231" s="81" t="n">
        <x:f>'Inputs'!$E$44</x:f>
        <x:v>-0.2</x:v>
      </x:c>
    </x:row>
    <x:row r="232">
      <x:c r="A232" s="59" t="str">
        <x:v>No demand</x:v>
      </x:c>
      <x:c r="B232" s="59" t="n">
        <x:v>229</x:v>
      </x:c>
      <x:c r="C232" s="78" t="n">
        <x:f>(('Inputs'!$B$29*(3*229*'Inputs'!$B$12-229^2)/(2*'Inputs'!$B$12^2))-('Inputs'!$B$29*(3*228*'Inputs'!$B$12-228^2)/(2*'Inputs'!$B$12^2)))*'Inputs'!$B$44</x:f>
        <x:v>637699.1461812556</x:v>
      </x:c>
      <x:c r="D232" s="78" t="n">
        <x:f>IF('Inputs'!$C$44&gt;0,('Inputs'!$B$30*(3*229*'Inputs'!$B$12-229^2)/(2*'Inputs'!$B$12^2))-('Inputs'!$B$30*(3*228*'Inputs'!$B$12-228^2)/(2*'Inputs'!$B$12^2)),0)</x:f>
        <x:v>273299.63407769054</x:v>
      </x:c>
      <x:c r="E232" s="78" t="n">
        <x:f>C232+D232</x:f>
        <x:v>910998.7802589461</x:v>
      </x:c>
      <x:c r="F232" s="78" t="n">
        <x:f>'Inputs'!$B$13*E232+(1-'Inputs'!$B$13)/'Inputs'!$B$14*SUM(E177:E232)</x:f>
        <x:v>921216.4571214083</x:v>
      </x:c>
      <x:c r="G232" s="78" t="n">
        <x:f>F232*'Inputs'!$F$44</x:f>
        <x:v>829094.8114092675</x:v>
      </x:c>
      <x:c r="H232" s="78" t="n">
        <x:f>U231</x:f>
        <x:v>116450374336.5632</x:v>
      </x:c>
      <x:c r="I232" s="78" t="n">
        <x:f>V231</x:f>
        <x:v>0.10174750323111081</x:v>
      </x:c>
      <x:c r="J232" s="79" t="n">
        <x:f>IF(H232&gt;0,I232/H232,0)</x:f>
        <x:v>8.737413152236131e-13</x:v>
      </x:c>
      <x:c r="K232" s="80" t="n">
        <x:f>(H232*J232+I232)*'Inputs'!$D$44*(1+'Inputs'!$G$44)^(B232/30)</x:f>
        <x:v>0.04069900129244433</x:v>
      </x:c>
      <x:c r="L232" s="80" t="n">
        <x:f>MAX(0,K232*'Inputs'!$E$44)</x:f>
        <x:v>0</x:v>
      </x:c>
      <x:c r="M232" s="80" t="n">
        <x:f>MAX(0,-K232*'Inputs'!$E$44)</x:f>
        <x:v>0.008139800258488867</x:v>
      </x:c>
      <x:c r="N232" s="78" t="n">
        <x:f>H232*(L232*(1-'Inputs'!$B$15))/(I232+L232*(1-'Inputs'!$B$15))</x:f>
        <x:v>0</x:v>
      </x:c>
      <x:c r="O232" s="78" t="n">
        <x:f>H232-N232</x:f>
        <x:v>116450374336.5632</x:v>
      </x:c>
      <x:c r="P232" s="78" t="n">
        <x:f>I232+L232*(1-'Inputs'!$B$17)</x:f>
        <x:v>0.10174750323111081</x:v>
      </x:c>
      <x:c r="Q232" s="78" t="n">
        <x:f>IF(J232&gt;0,M232/J232,0)</x:f>
        <x:v>0</x:v>
      </x:c>
      <x:c r="R232" s="78" t="n">
        <x:f>IF(B232='Inputs'!$H$44,'Inputs'!$B$27*'Inputs'!$I$44,0)</x:f>
        <x:v>0</x:v>
      </x:c>
      <x:c r="S232" s="78" t="n">
        <x:f>Q232+G232+R232</x:f>
        <x:v>829094.8114092675</x:v>
      </x:c>
      <x:c r="T232" s="78" t="n">
        <x:f>P232*(S232*(1-'Inputs'!$B$15))/(O232+S232*(1-'Inputs'!$B$15))</x:f>
        <x:v>7.171651920963545e-7</x:v>
      </x:c>
      <x:c r="U232" s="78" t="n">
        <x:f>O232+S232*(1-'Inputs'!$B$17)</x:f>
        <x:v>116451200094.97697</x:v>
      </x:c>
      <x:c r="V232" s="78" t="n">
        <x:f>P232-T232</x:f>
        <x:v>0.10174678606591872</x:v>
      </x:c>
      <x:c r="W232" s="79" t="n">
        <x:f>IF(U232&gt;0,V232/U232,0)</x:f>
        <x:v>8.737289609976934e-13</x:v>
      </x:c>
      <x:c r="X232" s="80" t="n">
        <x:f>W232*('Inputs'!$B$6-AC232)</x:f>
        <x:v>-0.0003582585523634311</x:v>
      </x:c>
      <x:c r="Y232" s="80" t="n">
        <x:f>2*V232</x:f>
        <x:v>0.20349357213183744</x:v>
      </x:c>
      <x:c r="Z232" s="80" t="n">
        <x:f>K232*'Inputs'!$B$16+(G232+R232)*J232*'Inputs'!$B$16</x:f>
        <x:v>0.0002441983542410118</x:v>
      </x:c>
      <x:c r="AA232" s="80" t="n">
        <x:f>K232*(1+'Inputs'!$E$44)/2*'Inputs'!$B$17</x:f>
        <x:v>0.00006551147089327056</x:v>
      </x:c>
      <x:c r="AB232" s="78" t="n">
        <x:f>(IF(J232&gt;0,K232*(1-'Inputs'!$E$44)/2/J232,0)+G232+R232)*'Inputs'!$B$17</x:f>
        <x:v>3336.397631425624</x:v>
      </x:c>
      <x:c r="AC232" s="78" t="n">
        <x:f>AC231+AB232</x:f>
        <x:v>1410033967.4609652</x:v>
      </x:c>
      <x:c r="AD232" s="80" t="n">
        <x:f>Z232/(1+'Inputs'!$C$44)</x:f>
        <x:v>0.00019535868339280943</x:v>
      </x:c>
      <x:c r="AE232" s="80" t="n">
        <x:f>Z232-AD232</x:f>
        <x:v>0.00004883967084820236</x:v>
      </x:c>
      <x:c r="AF232" s="80" t="n">
        <x:f>D232*W232</x:f>
        <x:v>2.3878980532375036e-7</x:v>
      </x:c>
      <x:c r="AG232" s="80" t="n">
        <x:f>C232*W232</x:f>
        <x:v>5.571762124220646e-7</x:v>
      </x:c>
      <x:c r="AH232" s="80" t="n">
        <x:f>2*'Inputs'!$B$8*'Inputs'!$C$44</x:f>
        <x:v>1250</x:v>
      </x:c>
      <x:c r="AI232" s="81" t="n">
        <x:f>IF(AH232&gt;0,(AE232+AF232)/AH232*365,0)</x:f>
        <x:v>0.000014330910510829624</x:v>
      </x:c>
      <x:c r="AJ232" s="81" t="n">
        <x:f>IF('Inputs'!$B$44&gt;0,AG232/('Inputs'!$B$19*'Inputs'!$B$44)*365,0)</x:f>
        <x:v>2.0336931753405356e-8</x:v>
      </x:c>
      <x:c r="AK232" s="81" t="n">
        <x:f>W232/MAX($W$4:W232)-1</x:f>
        <x:v>-0.9999999987159889</x:v>
      </x:c>
      <x:c r="AL232" s="83" t="n">
        <x:f>'Inputs'!$B$44</x:f>
        <x:v>1</x:v>
      </x:c>
      <x:c r="AM232" s="83" t="n">
        <x:f>'Inputs'!$C$44</x:f>
        <x:v>0.25</x:v>
      </x:c>
      <x:c r="AN232" s="83" t="n">
        <x:f>'Inputs'!$D$44</x:f>
        <x:v>0.2</x:v>
      </x:c>
      <x:c r="AO232" s="81" t="n">
        <x:f>'Inputs'!$E$44</x:f>
        <x:v>-0.2</x:v>
      </x:c>
    </x:row>
    <x:row r="233">
      <x:c r="A233" s="59" t="str">
        <x:v>No demand</x:v>
      </x:c>
      <x:c r="B233" s="59" t="n">
        <x:v>230</x:v>
      </x:c>
      <x:c r="C233" s="78" t="n">
        <x:f>(('Inputs'!$B$29*(3*230*'Inputs'!$B$12-230^2)/(2*'Inputs'!$B$12^2))-('Inputs'!$B$29*(3*229*'Inputs'!$B$12-229^2)/(2*'Inputs'!$B$12^2)))*'Inputs'!$B$44</x:f>
        <x:v>637374.0382811129</x:v>
      </x:c>
      <x:c r="D233" s="78" t="n">
        <x:f>IF('Inputs'!$C$44&gt;0,('Inputs'!$B$30*(3*230*'Inputs'!$B$12-230^2)/(2*'Inputs'!$B$12^2))-('Inputs'!$B$30*(3*229*'Inputs'!$B$12-229^2)/(2*'Inputs'!$B$12^2)),0)</x:f>
        <x:v>273160.3021204695</x:v>
      </x:c>
      <x:c r="E233" s="78" t="n">
        <x:f>C233+D233</x:f>
        <x:v>910534.3404015824</x:v>
      </x:c>
      <x:c r="F233" s="78" t="n">
        <x:f>'Inputs'!$B$13*E233+(1-'Inputs'!$B$13)/'Inputs'!$B$14*SUM(E178:E233)</x:f>
        <x:v>920752.0172640283</x:v>
      </x:c>
      <x:c r="G233" s="78" t="n">
        <x:f>F233*'Inputs'!$F$44</x:f>
        <x:v>828676.8155376255</x:v>
      </x:c>
      <x:c r="H233" s="78" t="n">
        <x:f>U232</x:f>
        <x:v>116451200094.97697</x:v>
      </x:c>
      <x:c r="I233" s="78" t="n">
        <x:f>V232</x:f>
        <x:v>0.10174678606591872</x:v>
      </x:c>
      <x:c r="J233" s="79" t="n">
        <x:f>IF(H233&gt;0,I233/H233,0)</x:f>
        <x:v>8.737289609976934e-13</x:v>
      </x:c>
      <x:c r="K233" s="80" t="n">
        <x:f>(H233*J233+I233)*'Inputs'!$D$44*(1+'Inputs'!$G$44)^(B233/30)</x:f>
        <x:v>0.040698714426367494</x:v>
      </x:c>
      <x:c r="L233" s="80" t="n">
        <x:f>MAX(0,K233*'Inputs'!$E$44)</x:f>
        <x:v>0</x:v>
      </x:c>
      <x:c r="M233" s="80" t="n">
        <x:f>MAX(0,-K233*'Inputs'!$E$44)</x:f>
        <x:v>0.008139742885273499</x:v>
      </x:c>
      <x:c r="N233" s="78" t="n">
        <x:f>H233*(L233*(1-'Inputs'!$B$15))/(I233+L233*(1-'Inputs'!$B$15))</x:f>
        <x:v>0</x:v>
      </x:c>
      <x:c r="O233" s="78" t="n">
        <x:f>H233-N233</x:f>
        <x:v>116451200094.97697</x:v>
      </x:c>
      <x:c r="P233" s="78" t="n">
        <x:f>I233+L233*(1-'Inputs'!$B$17)</x:f>
        <x:v>0.10174678606591872</x:v>
      </x:c>
      <x:c r="Q233" s="78" t="n">
        <x:f>IF(J233&gt;0,M233/J233,0)</x:f>
        <x:v>0</x:v>
      </x:c>
      <x:c r="R233" s="78" t="n">
        <x:f>IF(B233='Inputs'!$H$44,'Inputs'!$B$27*'Inputs'!$I$44,0)</x:f>
        <x:v>0</x:v>
      </x:c>
      <x:c r="S233" s="78" t="n">
        <x:f>Q233+G233+R233</x:f>
        <x:v>828676.8155376255</x:v>
      </x:c>
      <x:c r="T233" s="78" t="n">
        <x:f>P233*(S233*(1-'Inputs'!$B$15))/(O233+S233*(1-'Inputs'!$B$15))</x:f>
        <x:v>7.167934939552643e-7</x:v>
      </x:c>
      <x:c r="U233" s="78" t="n">
        <x:f>O233+S233*(1-'Inputs'!$B$17)</x:f>
        <x:v>116452025437.07695</x:v>
      </x:c>
      <x:c r="V233" s="78" t="n">
        <x:f>P233-T233</x:f>
        <x:v>0.10174606927242477</x:v>
      </x:c>
      <x:c r="W233" s="79" t="n">
        <x:f>IF(U233&gt;0,V233/U233,0)</x:f>
        <x:v>8.737166132623574e-13</x:v>
      </x:c>
      <x:c r="X233" s="80" t="n">
        <x:f>W233*('Inputs'!$B$6-AC233)</x:f>
        <x:v>-0.0003582564029689034</x:v>
      </x:c>
      <x:c r="Y233" s="80" t="n">
        <x:f>2*V233</x:f>
        <x:v>0.20349213854484954</x:v>
      </x:c>
      <x:c r="Z233" s="80" t="n">
        <x:f>K233*'Inputs'!$B$16+(G233+R233)*J233*'Inputs'!$B$16</x:f>
        <x:v>0.0002441966307918032</x:v>
      </x:c>
      <x:c r="AA233" s="80" t="n">
        <x:f>K233*(1+'Inputs'!$E$44)/2*'Inputs'!$B$17</x:f>
        <x:v>0.00006551100913701005</x:v>
      </x:c>
      <x:c r="AB233" s="78" t="n">
        <x:f>(IF(J233&gt;0,K233*(1-'Inputs'!$E$44)/2/J233,0)+G233+R233)*'Inputs'!$B$17</x:f>
        <x:v>3334.7155554834026</x:v>
      </x:c>
      <x:c r="AC233" s="78" t="n">
        <x:f>AC232+AB233</x:f>
        <x:v>1410037302.1765206</x:v>
      </x:c>
      <x:c r="AD233" s="80" t="n">
        <x:f>Z233/(1+'Inputs'!$C$44)</x:f>
        <x:v>0.00019535730463344256</x:v>
      </x:c>
      <x:c r="AE233" s="80" t="n">
        <x:f>Z233-AD233</x:f>
        <x:v>0.00004883932615836064</x:v>
      </x:c>
      <x:c r="AF233" s="80" t="n">
        <x:f>D233*W233</x:f>
        <x:v>2.3866469404641897e-7</x:v>
      </x:c>
      <x:c r="AG233" s="80" t="n">
        <x:f>C233*W233</x:f>
        <x:v>5.568842861083261e-7</x:v>
      </x:c>
      <x:c r="AH233" s="80" t="n">
        <x:f>2*'Inputs'!$B$8*'Inputs'!$C$44</x:f>
        <x:v>1250</x:v>
      </x:c>
      <x:c r="AI233" s="81" t="n">
        <x:f>IF(AH233&gt;0,(AE233+AF233)/AH233*365,0)</x:f>
        <x:v>0.000014330773328902862</x:v>
      </x:c>
      <x:c r="AJ233" s="81" t="n">
        <x:f>IF('Inputs'!$B$44&gt;0,AG233/('Inputs'!$B$19*'Inputs'!$B$44)*365,0)</x:f>
        <x:v>2.0326276442953903e-8</x:v>
      </x:c>
      <x:c r="AK233" s="81" t="n">
        <x:f>W233/MAX($W$4:W233)-1</x:f>
        <x:v>-0.9999999987160071</x:v>
      </x:c>
      <x:c r="AL233" s="83" t="n">
        <x:f>'Inputs'!$B$44</x:f>
        <x:v>1</x:v>
      </x:c>
      <x:c r="AM233" s="83" t="n">
        <x:f>'Inputs'!$C$44</x:f>
        <x:v>0.25</x:v>
      </x:c>
      <x:c r="AN233" s="83" t="n">
        <x:f>'Inputs'!$D$44</x:f>
        <x:v>0.2</x:v>
      </x:c>
      <x:c r="AO233" s="81" t="n">
        <x:f>'Inputs'!$E$44</x:f>
        <x:v>-0.2</x:v>
      </x:c>
    </x:row>
    <x:row r="234">
      <x:c r="A234" s="59" t="str">
        <x:v>No demand</x:v>
      </x:c>
      <x:c r="B234" s="59" t="n">
        <x:v>231</x:v>
      </x:c>
      <x:c r="C234" s="78" t="n">
        <x:f>(('Inputs'!$B$29*(3*231*'Inputs'!$B$12-231^2)/(2*'Inputs'!$B$12^2))-('Inputs'!$B$29*(3*230*'Inputs'!$B$12-230^2)/(2*'Inputs'!$B$12^2)))*'Inputs'!$B$44</x:f>
        <x:v>637048.9303809404</x:v>
      </x:c>
      <x:c r="D234" s="78" t="n">
        <x:f>IF('Inputs'!$C$44&gt;0,('Inputs'!$B$30*(3*231*'Inputs'!$B$12-231^2)/(2*'Inputs'!$B$12^2))-('Inputs'!$B$30*(3*230*'Inputs'!$B$12-230^2)/(2*'Inputs'!$B$12^2)),0)</x:f>
        <x:v>273020.97016325593</x:v>
      </x:c>
      <x:c r="E234" s="78" t="n">
        <x:f>C234+D234</x:f>
        <x:v>910069.9005441964</x:v>
      </x:c>
      <x:c r="F234" s="78" t="n">
        <x:f>'Inputs'!$B$13*E234+(1-'Inputs'!$B$13)/'Inputs'!$B$14*SUM(E179:E234)</x:f>
        <x:v>920287.5774066439</x:v>
      </x:c>
      <x:c r="G234" s="78" t="n">
        <x:f>F234*'Inputs'!$F$44</x:f>
        <x:v>828258.8196659795</x:v>
      </x:c>
      <x:c r="H234" s="78" t="n">
        <x:f>U233</x:f>
        <x:v>116452025437.07695</x:v>
      </x:c>
      <x:c r="I234" s="78" t="n">
        <x:f>V233</x:f>
        <x:v>0.10174606927242477</x:v>
      </x:c>
      <x:c r="J234" s="79" t="n">
        <x:f>IF(H234&gt;0,I234/H234,0)</x:f>
        <x:v>8.737166132623574e-13</x:v>
      </x:c>
      <x:c r="K234" s="80" t="n">
        <x:f>(H234*J234+I234)*'Inputs'!$D$44*(1+'Inputs'!$G$44)^(B234/30)</x:f>
        <x:v>0.04069842770896991</x:v>
      </x:c>
      <x:c r="L234" s="80" t="n">
        <x:f>MAX(0,K234*'Inputs'!$E$44)</x:f>
        <x:v>0</x:v>
      </x:c>
      <x:c r="M234" s="80" t="n">
        <x:f>MAX(0,-K234*'Inputs'!$E$44)</x:f>
        <x:v>0.008139685541793984</x:v>
      </x:c>
      <x:c r="N234" s="78" t="n">
        <x:f>H234*(L234*(1-'Inputs'!$B$15))/(I234+L234*(1-'Inputs'!$B$15))</x:f>
        <x:v>0</x:v>
      </x:c>
      <x:c r="O234" s="78" t="n">
        <x:f>H234-N234</x:f>
        <x:v>116452025437.07695</x:v>
      </x:c>
      <x:c r="P234" s="78" t="n">
        <x:f>I234+L234*(1-'Inputs'!$B$17)</x:f>
        <x:v>0.10174606927242477</x:v>
      </x:c>
      <x:c r="Q234" s="78" t="n">
        <x:f>IF(J234&gt;0,M234/J234,0)</x:f>
        <x:v>0</x:v>
      </x:c>
      <x:c r="R234" s="78" t="n">
        <x:f>IF(B234='Inputs'!$H$44,'Inputs'!$B$27*'Inputs'!$I$44,0)</x:f>
        <x:v>0</x:v>
      </x:c>
      <x:c r="S234" s="78" t="n">
        <x:f>Q234+G234+R234</x:f>
        <x:v>828258.8196659795</x:v>
      </x:c>
      <x:c r="T234" s="78" t="n">
        <x:f>P234*(S234*(1-'Inputs'!$B$15))/(O234+S234*(1-'Inputs'!$B$15))</x:f>
        <x:v>7.164218113582029e-7</x:v>
      </x:c>
      <x:c r="U234" s="78" t="n">
        <x:f>O234+S234*(1-'Inputs'!$B$17)</x:f>
        <x:v>116452850362.86314</x:v>
      </x:c>
      <x:c r="V234" s="78" t="n">
        <x:f>P234-T234</x:f>
        <x:v>0.10174535285061341</x:v>
      </x:c>
      <x:c r="W234" s="79" t="n">
        <x:f>IF(U234&gt;0,V234/U234,0)</x:f>
        <x:v>8.737042720172012e-13</x:v>
      </x:c>
      <x:c r="X234" s="80" t="n">
        <x:f>W234*('Inputs'!$B$6-AC234)</x:f>
        <x:v>-0.0003582542546836238</x:v>
      </x:c>
      <x:c r="Y234" s="80" t="n">
        <x:f>2*V234</x:f>
        <x:v>0.20349070570122682</x:v>
      </x:c>
      <x:c r="Z234" s="80" t="n">
        <x:f>K234*'Inputs'!$B$16+(G234+R234)*J234*'Inputs'!$B$16</x:f>
        <x:v>0.0002441949082347644</x:v>
      </x:c>
      <x:c r="AA234" s="80" t="n">
        <x:f>K234*(1+'Inputs'!$E$44)/2*'Inputs'!$B$17</x:f>
        <x:v>0.00006551054762007231</x:v>
      </x:c>
      <x:c r="AB234" s="78" t="n">
        <x:f>(IF(J234&gt;0,K234*(1-'Inputs'!$E$44)/2/J234,0)+G234+R234)*'Inputs'!$B$17</x:f>
        <x:v>3333.033479541165</x:v>
      </x:c>
      <x:c r="AC234" s="78" t="n">
        <x:f>AC233+AB234</x:f>
        <x:v>1410040635.21</x:v>
      </x:c>
      <x:c r="AD234" s="80" t="n">
        <x:f>Z234/(1+'Inputs'!$C$44)</x:f>
        <x:v>0.00019535592658781153</x:v>
      </x:c>
      <x:c r="AE234" s="80" t="n">
        <x:f>Z234-AD234</x:f>
        <x:v>0.000048838981646952875</x:v>
      </x:c>
      <x:c r="AF234" s="80" t="n">
        <x:f>D234*W234</x:f>
        <x:v>2.3853958798191755e-7</x:v>
      </x:c>
      <x:c r="AG234" s="80" t="n">
        <x:f>C234*W234</x:f>
        <x:v>5.565923719578162e-7</x:v>
      </x:c>
      <x:c r="AH234" s="80" t="n">
        <x:f>2*'Inputs'!$B$8*'Inputs'!$C$44</x:f>
        <x:v>1250</x:v>
      </x:c>
      <x:c r="AI234" s="81" t="n">
        <x:f>IF(AH234&gt;0,(AE234+AF234)/AH234*365,0)</x:f>
        <x:v>0.00001433063620060096</x:v>
      </x:c>
      <x:c r="AJ234" s="81" t="n">
        <x:f>IF('Inputs'!$B$44&gt;0,AG234/('Inputs'!$B$19*'Inputs'!$B$44)*365,0)</x:f>
        <x:v>2.0315621576460293e-8</x:v>
      </x:c>
      <x:c r="AK234" s="81" t="n">
        <x:f>W234/MAX($W$4:W234)-1</x:f>
        <x:v>-0.9999999987160252</x:v>
      </x:c>
      <x:c r="AL234" s="83" t="n">
        <x:f>'Inputs'!$B$44</x:f>
        <x:v>1</x:v>
      </x:c>
      <x:c r="AM234" s="83" t="n">
        <x:f>'Inputs'!$C$44</x:f>
        <x:v>0.25</x:v>
      </x:c>
      <x:c r="AN234" s="83" t="n">
        <x:f>'Inputs'!$D$44</x:f>
        <x:v>0.2</x:v>
      </x:c>
      <x:c r="AO234" s="81" t="n">
        <x:f>'Inputs'!$E$44</x:f>
        <x:v>-0.2</x:v>
      </x:c>
    </x:row>
    <x:row r="235">
      <x:c r="A235" s="59" t="str">
        <x:v>No demand</x:v>
      </x:c>
      <x:c r="B235" s="59" t="n">
        <x:v>232</x:v>
      </x:c>
      <x:c r="C235" s="78" t="n">
        <x:f>(('Inputs'!$B$29*(3*232*'Inputs'!$B$12-232^2)/(2*'Inputs'!$B$12^2))-('Inputs'!$B$29*(3*231*'Inputs'!$B$12-231^2)/(2*'Inputs'!$B$12^2)))*'Inputs'!$B$44</x:f>
        <x:v>636723.822480768</x:v>
      </x:c>
      <x:c r="D235" s="78" t="n">
        <x:f>IF('Inputs'!$C$44&gt;0,('Inputs'!$B$30*(3*232*'Inputs'!$B$12-232^2)/(2*'Inputs'!$B$12^2))-('Inputs'!$B$30*(3*231*'Inputs'!$B$12-231^2)/(2*'Inputs'!$B$12^2)),0)</x:f>
        <x:v>272881.63820604235</x:v>
      </x:c>
      <x:c r="E235" s="78" t="n">
        <x:f>C235+D235</x:f>
        <x:v>909605.4606868103</x:v>
      </x:c>
      <x:c r="F235" s="78" t="n">
        <x:f>'Inputs'!$B$13*E235+(1-'Inputs'!$B$13)/'Inputs'!$B$14*SUM(E180:E235)</x:f>
        <x:v>919823.1375492595</x:v>
      </x:c>
      <x:c r="G235" s="78" t="n">
        <x:f>F235*'Inputs'!$F$44</x:f>
        <x:v>827840.8237943335</x:v>
      </x:c>
      <x:c r="H235" s="78" t="n">
        <x:f>U234</x:f>
        <x:v>116452850362.86314</x:v>
      </x:c>
      <x:c r="I235" s="78" t="n">
        <x:f>V234</x:f>
        <x:v>0.10174535285061341</x:v>
      </x:c>
      <x:c r="J235" s="79" t="n">
        <x:f>IF(H235&gt;0,I235/H235,0)</x:f>
        <x:v>8.737042720172012e-13</x:v>
      </x:c>
      <x:c r="K235" s="80" t="n">
        <x:f>(H235*J235+I235)*'Inputs'!$D$44*(1+'Inputs'!$G$44)^(B235/30)</x:f>
        <x:v>0.040698141140245364</x:v>
      </x:c>
      <x:c r="L235" s="80" t="n">
        <x:f>MAX(0,K235*'Inputs'!$E$44)</x:f>
        <x:v>0</x:v>
      </x:c>
      <x:c r="M235" s="80" t="n">
        <x:f>MAX(0,-K235*'Inputs'!$E$44)</x:f>
        <x:v>0.008139628228049074</x:v>
      </x:c>
      <x:c r="N235" s="78" t="n">
        <x:f>H235*(L235*(1-'Inputs'!$B$15))/(I235+L235*(1-'Inputs'!$B$15))</x:f>
        <x:v>0</x:v>
      </x:c>
      <x:c r="O235" s="78" t="n">
        <x:f>H235-N235</x:f>
        <x:v>116452850362.86314</x:v>
      </x:c>
      <x:c r="P235" s="78" t="n">
        <x:f>I235+L235*(1-'Inputs'!$B$17)</x:f>
        <x:v>0.10174535285061341</x:v>
      </x:c>
      <x:c r="Q235" s="78" t="n">
        <x:f>IF(J235&gt;0,M235/J235,0)</x:f>
        <x:v>0</x:v>
      </x:c>
      <x:c r="R235" s="78" t="n">
        <x:f>IF(B235='Inputs'!$H$44,'Inputs'!$B$27*'Inputs'!$I$44,0)</x:f>
        <x:v>0</x:v>
      </x:c>
      <x:c r="S235" s="78" t="n">
        <x:f>Q235+G235+R235</x:f>
        <x:v>827840.8237943335</x:v>
      </x:c>
      <x:c r="T235" s="78" t="n">
        <x:f>P235*(S235*(1-'Inputs'!$B$15))/(O235+S235*(1-'Inputs'!$B$15))</x:f>
        <x:v>7.16050144296785e-7</x:v>
      </x:c>
      <x:c r="U235" s="78" t="n">
        <x:f>O235+S235*(1-'Inputs'!$B$17)</x:f>
        <x:v>116453674872.33554</x:v>
      </x:c>
      <x:c r="V235" s="78" t="n">
        <x:f>P235-T235</x:f>
        <x:v>0.10174463680046911</x:v>
      </x:c>
      <x:c r="W235" s="79" t="n">
        <x:f>IF(U235&gt;0,V235/U235,0)</x:f>
        <x:v>8.736919372618212e-13</x:v>
      </x:c>
      <x:c r="X235" s="80" t="n">
        <x:f>W235*('Inputs'!$B$6-AC235)</x:f>
        <x:v>-0.0003582521075075543</x:v>
      </x:c>
      <x:c r="Y235" s="80" t="n">
        <x:f>2*V235</x:f>
        <x:v>0.20348927360093821</x:v>
      </x:c>
      <x:c r="Z235" s="80" t="n">
        <x:f>K235*'Inputs'!$B$16+(G235+R235)*J235*'Inputs'!$B$16</x:f>
        <x:v>0.00024419318656985795</x:v>
      </x:c>
      <x:c r="AA235" s="80" t="n">
        <x:f>K235*(1+'Inputs'!$E$44)/2*'Inputs'!$B$17</x:f>
        <x:v>0.00006551008634244729</x:v>
      </x:c>
      <x:c r="AB235" s="78" t="n">
        <x:f>(IF(J235&gt;0,K235*(1-'Inputs'!$E$44)/2/J235,0)+G235+R235)*'Inputs'!$B$17</x:f>
        <x:v>3331.351403598928</x:v>
      </x:c>
      <x:c r="AC235" s="78" t="n">
        <x:f>AC234+AB235</x:f>
        <x:v>1410043966.5614038</x:v>
      </x:c>
      <x:c r="AD235" s="80" t="n">
        <x:f>Z235/(1+'Inputs'!$C$44)</x:f>
        <x:v>0.00019535454925588636</x:v>
      </x:c>
      <x:c r="AE235" s="80" t="n">
        <x:f>Z235-AD235</x:f>
        <x:v>0.000048838637313971584</x:v>
      </x:c>
      <x:c r="AF235" s="80" t="n">
        <x:f>D235*W235</x:f>
        <x:v>2.3841448712741652e-7</x:v>
      </x:c>
      <x:c r="AG235" s="80" t="n">
        <x:f>C235*W235</x:f>
        <x:v>5.563004699639741e-7</x:v>
      </x:c>
      <x:c r="AH235" s="80" t="n">
        <x:f>2*'Inputs'!$B$8*'Inputs'!$C$44</x:f>
        <x:v>1250</x:v>
      </x:c>
      <x:c r="AI235" s="81" t="n">
        <x:f>IF(AH235&gt;0,(AE235+AF235)/AH235*365,0)</x:f>
        <x:v>0.000014330499125920907</x:v>
      </x:c>
      <x:c r="AJ235" s="81" t="n">
        <x:f>IF('Inputs'!$B$44&gt;0,AG235/('Inputs'!$B$19*'Inputs'!$B$44)*365,0)</x:f>
        <x:v>2.0304967153685054e-8</x:v>
      </x:c>
      <x:c r="AK235" s="81" t="n">
        <x:f>W235/MAX($W$4:W235)-1</x:f>
        <x:v>-0.9999999987160433</x:v>
      </x:c>
      <x:c r="AL235" s="83" t="n">
        <x:f>'Inputs'!$B$44</x:f>
        <x:v>1</x:v>
      </x:c>
      <x:c r="AM235" s="83" t="n">
        <x:f>'Inputs'!$C$44</x:f>
        <x:v>0.25</x:v>
      </x:c>
      <x:c r="AN235" s="83" t="n">
        <x:f>'Inputs'!$D$44</x:f>
        <x:v>0.2</x:v>
      </x:c>
      <x:c r="AO235" s="81" t="n">
        <x:f>'Inputs'!$E$44</x:f>
        <x:v>-0.2</x:v>
      </x:c>
    </x:row>
    <x:row r="236">
      <x:c r="A236" s="59" t="str">
        <x:v>No demand</x:v>
      </x:c>
      <x:c r="B236" s="59" t="n">
        <x:v>233</x:v>
      </x:c>
      <x:c r="C236" s="78" t="n">
        <x:f>(('Inputs'!$B$29*(3*233*'Inputs'!$B$12-233^2)/(2*'Inputs'!$B$12^2))-('Inputs'!$B$29*(3*232*'Inputs'!$B$12-232^2)/(2*'Inputs'!$B$12^2)))*'Inputs'!$B$44</x:f>
        <x:v>636398.7145805955</x:v>
      </x:c>
      <x:c r="D236" s="78" t="n">
        <x:f>IF('Inputs'!$C$44&gt;0,('Inputs'!$B$30*(3*233*'Inputs'!$B$12-233^2)/(2*'Inputs'!$B$12^2))-('Inputs'!$B$30*(3*232*'Inputs'!$B$12-232^2)/(2*'Inputs'!$B$12^2)),0)</x:f>
        <x:v>272742.30624882877</x:v>
      </x:c>
      <x:c r="E236" s="78" t="n">
        <x:f>C236+D236</x:f>
        <x:v>909141.0208294243</x:v>
      </x:c>
      <x:c r="F236" s="78" t="n">
        <x:f>'Inputs'!$B$13*E236+(1-'Inputs'!$B$13)/'Inputs'!$B$14*SUM(E181:E236)</x:f>
        <x:v>919358.6976918749</x:v>
      </x:c>
      <x:c r="G236" s="78" t="n">
        <x:f>F236*'Inputs'!$F$44</x:f>
        <x:v>827422.8279226874</x:v>
      </x:c>
      <x:c r="H236" s="78" t="n">
        <x:f>U235</x:f>
        <x:v>116453674872.33554</x:v>
      </x:c>
      <x:c r="I236" s="78" t="n">
        <x:f>V235</x:f>
        <x:v>0.10174463680046911</x:v>
      </x:c>
      <x:c r="J236" s="79" t="n">
        <x:f>IF(H236&gt;0,I236/H236,0)</x:f>
        <x:v>8.736919372618212e-13</x:v>
      </x:c>
      <x:c r="K236" s="80" t="n">
        <x:f>(H236*J236+I236)*'Inputs'!$D$44*(1+'Inputs'!$G$44)^(B236/30)</x:f>
        <x:v>0.040697854720187644</x:v>
      </x:c>
      <x:c r="L236" s="80" t="n">
        <x:f>MAX(0,K236*'Inputs'!$E$44)</x:f>
        <x:v>0</x:v>
      </x:c>
      <x:c r="M236" s="80" t="n">
        <x:f>MAX(0,-K236*'Inputs'!$E$44)</x:f>
        <x:v>0.00813957094403753</x:v>
      </x:c>
      <x:c r="N236" s="78" t="n">
        <x:f>H236*(L236*(1-'Inputs'!$B$15))/(I236+L236*(1-'Inputs'!$B$15))</x:f>
        <x:v>0</x:v>
      </x:c>
      <x:c r="O236" s="78" t="n">
        <x:f>H236-N236</x:f>
        <x:v>116453674872.33554</x:v>
      </x:c>
      <x:c r="P236" s="78" t="n">
        <x:f>I236+L236*(1-'Inputs'!$B$17)</x:f>
        <x:v>0.10174463680046911</x:v>
      </x:c>
      <x:c r="Q236" s="78" t="n">
        <x:f>IF(J236&gt;0,M236/J236,0)</x:f>
        <x:v>0</x:v>
      </x:c>
      <x:c r="R236" s="78" t="n">
        <x:f>IF(B236='Inputs'!$H$44,'Inputs'!$B$27*'Inputs'!$I$44,0)</x:f>
        <x:v>0</x:v>
      </x:c>
      <x:c r="S236" s="78" t="n">
        <x:f>Q236+G236+R236</x:f>
        <x:v>827422.8279226874</x:v>
      </x:c>
      <x:c r="T236" s="78" t="n">
        <x:f>P236*(S236*(1-'Inputs'!$B$15))/(O236+S236*(1-'Inputs'!$B$15))</x:f>
        <x:v>7.156784927626228e-7</x:v>
      </x:c>
      <x:c r="U236" s="78" t="n">
        <x:f>O236+S236*(1-'Inputs'!$B$17)</x:f>
        <x:v>116454498965.49414</x:v>
      </x:c>
      <x:c r="V236" s="78" t="n">
        <x:f>P236-T236</x:f>
        <x:v>0.10174392112197635</x:v>
      </x:c>
      <x:c r="W236" s="79" t="n">
        <x:f>IF(U236&gt;0,V236/U236,0)</x:f>
        <x:v>8.73679608995814e-13</x:v>
      </x:c>
      <x:c r="X236" s="80" t="n">
        <x:f>W236*('Inputs'!$B$6-AC236)</x:f>
        <x:v>-0.0003582499614406562</x:v>
      </x:c>
      <x:c r="Y236" s="80" t="n">
        <x:f>2*V236</x:f>
        <x:v>0.2034878422439527</x:v>
      </x:c>
      <x:c r="Z236" s="80" t="n">
        <x:f>K236*'Inputs'!$B$16+(G236+R236)*J236*'Inputs'!$B$16</x:f>
        <x:v>0.0002441914657970466</x:v>
      </x:c>
      <x:c r="AA236" s="80" t="n">
        <x:f>K236*(1+'Inputs'!$E$44)/2*'Inputs'!$B$17</x:f>
        <x:v>0.00006550962530412499</x:v>
      </x:c>
      <x:c r="AB236" s="78" t="n">
        <x:f>(IF(J236&gt;0,K236*(1-'Inputs'!$E$44)/2/J236,0)+G236+R236)*'Inputs'!$B$17</x:f>
        <x:v>3329.66932765669</x:v>
      </x:c>
      <x:c r="AC236" s="78" t="n">
        <x:f>AC235+AB236</x:f>
        <x:v>1410047296.2307315</x:v>
      </x:c>
      <x:c r="AD236" s="80" t="n">
        <x:f>Z236/(1+'Inputs'!$C$44)</x:f>
        <x:v>0.00019535317263763728</x:v>
      </x:c>
      <x:c r="AE236" s="80" t="n">
        <x:f>Z236-AD236</x:f>
        <x:v>0.000048838293159409314</x:v>
      </x:c>
      <x:c r="AF236" s="80" t="n">
        <x:f>D236*W236</x:f>
        <x:v>2.3828939148009326e-7</x:v>
      </x:c>
      <x:c r="AG236" s="80" t="n">
        <x:f>C236*W236</x:f>
        <x:v>5.560085801202133e-7</x:v>
      </x:c>
      <x:c r="AH236" s="80" t="n">
        <x:f>2*'Inputs'!$B$8*'Inputs'!$C$44</x:f>
        <x:v>1250</x:v>
      </x:c>
      <x:c r="AI236" s="81" t="n">
        <x:f>IF(AH236&gt;0,(AE236+AF236)/AH236*365,0)</x:f>
        <x:v>0.000014330362104859706</x:v>
      </x:c>
      <x:c r="AJ236" s="81" t="n">
        <x:f>IF('Inputs'!$B$44&gt;0,AG236/('Inputs'!$B$19*'Inputs'!$B$44)*365,0)</x:f>
        <x:v>2.0294313174387785e-8</x:v>
      </x:c>
      <x:c r="AK236" s="81" t="n">
        <x:f>W236/MAX($W$4:W236)-1</x:f>
        <x:v>-0.9999999987160615</x:v>
      </x:c>
      <x:c r="AL236" s="83" t="n">
        <x:f>'Inputs'!$B$44</x:f>
        <x:v>1</x:v>
      </x:c>
      <x:c r="AM236" s="83" t="n">
        <x:f>'Inputs'!$C$44</x:f>
        <x:v>0.25</x:v>
      </x:c>
      <x:c r="AN236" s="83" t="n">
        <x:f>'Inputs'!$D$44</x:f>
        <x:v>0.2</x:v>
      </x:c>
      <x:c r="AO236" s="81" t="n">
        <x:f>'Inputs'!$E$44</x:f>
        <x:v>-0.2</x:v>
      </x:c>
    </x:row>
    <x:row r="237">
      <x:c r="A237" s="59" t="str">
        <x:v>No demand</x:v>
      </x:c>
      <x:c r="B237" s="59" t="n">
        <x:v>234</x:v>
      </x:c>
      <x:c r="C237" s="78" t="n">
        <x:f>(('Inputs'!$B$29*(3*234*'Inputs'!$B$12-234^2)/(2*'Inputs'!$B$12^2))-('Inputs'!$B$29*(3*233*'Inputs'!$B$12-233^2)/(2*'Inputs'!$B$12^2)))*'Inputs'!$B$44</x:f>
        <x:v>636073.606680423</x:v>
      </x:c>
      <x:c r="D237" s="78" t="n">
        <x:f>IF('Inputs'!$C$44&gt;0,('Inputs'!$B$30*(3*234*'Inputs'!$B$12-234^2)/(2*'Inputs'!$B$12^2))-('Inputs'!$B$30*(3*233*'Inputs'!$B$12-233^2)/(2*'Inputs'!$B$12^2)),0)</x:f>
        <x:v>272602.97429160774</x:v>
      </x:c>
      <x:c r="E237" s="78" t="n">
        <x:f>C237+D237</x:f>
        <x:v>908676.5809720308</x:v>
      </x:c>
      <x:c r="F237" s="78" t="n">
        <x:f>'Inputs'!$B$13*E237+(1-'Inputs'!$B$13)/'Inputs'!$B$14*SUM(E182:E237)</x:f>
        <x:v>918894.2578344888</x:v>
      </x:c>
      <x:c r="G237" s="78" t="n">
        <x:f>F237*'Inputs'!$F$44</x:f>
        <x:v>827004.8320510399</x:v>
      </x:c>
      <x:c r="H237" s="78" t="n">
        <x:f>U236</x:f>
        <x:v>116454498965.49414</x:v>
      </x:c>
      <x:c r="I237" s="78" t="n">
        <x:f>V236</x:f>
        <x:v>0.10174392112197635</x:v>
      </x:c>
      <x:c r="J237" s="79" t="n">
        <x:f>IF(H237&gt;0,I237/H237,0)</x:f>
        <x:v>8.73679608995814e-13</x:v>
      </x:c>
      <x:c r="K237" s="80" t="n">
        <x:f>(H237*J237+I237)*'Inputs'!$D$44*(1+'Inputs'!$G$44)^(B237/30)</x:f>
        <x:v>0.04069756844879054</x:v>
      </x:c>
      <x:c r="L237" s="80" t="n">
        <x:f>MAX(0,K237*'Inputs'!$E$44)</x:f>
        <x:v>0</x:v>
      </x:c>
      <x:c r="M237" s="80" t="n">
        <x:f>MAX(0,-K237*'Inputs'!$E$44)</x:f>
        <x:v>0.00813951368975811</x:v>
      </x:c>
      <x:c r="N237" s="78" t="n">
        <x:f>H237*(L237*(1-'Inputs'!$B$15))/(I237+L237*(1-'Inputs'!$B$15))</x:f>
        <x:v>0</x:v>
      </x:c>
      <x:c r="O237" s="78" t="n">
        <x:f>H237-N237</x:f>
        <x:v>116454498965.49414</x:v>
      </x:c>
      <x:c r="P237" s="78" t="n">
        <x:f>I237+L237*(1-'Inputs'!$B$17)</x:f>
        <x:v>0.10174392112197635</x:v>
      </x:c>
      <x:c r="Q237" s="78" t="n">
        <x:f>IF(J237&gt;0,M237/J237,0)</x:f>
        <x:v>0</x:v>
      </x:c>
      <x:c r="R237" s="78" t="n">
        <x:f>IF(B237='Inputs'!$H$44,'Inputs'!$B$27*'Inputs'!$I$44,0)</x:f>
        <x:v>0</x:v>
      </x:c>
      <x:c r="S237" s="78" t="n">
        <x:f>Q237+G237+R237</x:f>
        <x:v>827004.8320510399</x:v>
      </x:c>
      <x:c r="T237" s="78" t="n">
        <x:f>P237*(S237*(1-'Inputs'!$B$15))/(O237+S237*(1-'Inputs'!$B$15))</x:f>
        <x:v>7.153068567473291e-7</x:v>
      </x:c>
      <x:c r="U237" s="78" t="n">
        <x:f>O237+S237*(1-'Inputs'!$B$17)</x:f>
        <x:v>116455322642.33894</x:v>
      </x:c>
      <x:c r="V237" s="78" t="n">
        <x:f>P237-T237</x:f>
        <x:v>0.1017432058151196</x:v>
      </x:c>
      <x:c r="W237" s="79" t="n">
        <x:f>IF(U237&gt;0,V237/U237,0)</x:f>
        <x:v>8.736672872187763e-13</x:v>
      </x:c>
      <x:c r="X237" s="80" t="n">
        <x:f>W237*('Inputs'!$B$6-AC237)</x:f>
        <x:v>-0.00035824781648289124</x:v>
      </x:c>
      <x:c r="Y237" s="80" t="n">
        <x:f>2*V237</x:f>
        <x:v>0.2034864116302392</x:v>
      </x:c>
      <x:c r="Z237" s="80" t="n">
        <x:f>K237*'Inputs'!$B$16+(G237+R237)*J237*'Inputs'!$B$16</x:f>
        <x:v>0.0002441897459162931</x:v>
      </x:c>
      <x:c r="AA237" s="80" t="n">
        <x:f>K237*(1+'Inputs'!$E$44)/2*'Inputs'!$B$17</x:f>
        <x:v>0.00006550916450509546</x:v>
      </x:c>
      <x:c r="AB237" s="78" t="n">
        <x:f>(IF(J237&gt;0,K237*(1-'Inputs'!$E$44)/2/J237,0)+G237+R237)*'Inputs'!$B$17</x:f>
        <x:v>3327.9872517144468</x:v>
      </x:c>
      <x:c r="AC237" s="78" t="n">
        <x:f>AC236+AB237</x:f>
        <x:v>1410050624.2179832</x:v>
      </x:c>
      <x:c r="AD237" s="80" t="n">
        <x:f>Z237/(1+'Inputs'!$C$44)</x:f>
        <x:v>0.0001953517967330345</x:v>
      </x:c>
      <x:c r="AE237" s="80" t="n">
        <x:f>Z237-AD237</x:f>
        <x:v>0.00004883794918325861</x:v>
      </x:c>
      <x:c r="AF237" s="80" t="n">
        <x:f>D237*W237</x:f>
        <x:v>2.3816430103711875e-7</x:v>
      </x:c>
      <x:c r="AG237" s="80" t="n">
        <x:f>C237*W237</x:f>
        <x:v>5.557167024199481e-7</x:v>
      </x:c>
      <x:c r="AH237" s="80" t="n">
        <x:f>2*'Inputs'!$B$8*'Inputs'!$C$44</x:f>
        <x:v>1250</x:v>
      </x:c>
      <x:c r="AI237" s="81" t="n">
        <x:f>IF(AH237&gt;0,(AE237+AF237)/AH237*365,0)</x:f>
        <x:v>0.000014330225137414354</x:v>
      </x:c>
      <x:c r="AJ237" s="81" t="n">
        <x:f>IF('Inputs'!$B$44&gt;0,AG237/('Inputs'!$B$19*'Inputs'!$B$44)*365,0)</x:f>
        <x:v>2.0283659638328104e-8</x:v>
      </x:c>
      <x:c r="AK237" s="81" t="n">
        <x:f>W237/MAX($W$4:W237)-1</x:f>
        <x:v>-0.9999999987160796</x:v>
      </x:c>
      <x:c r="AL237" s="83" t="n">
        <x:f>'Inputs'!$B$44</x:f>
        <x:v>1</x:v>
      </x:c>
      <x:c r="AM237" s="83" t="n">
        <x:f>'Inputs'!$C$44</x:f>
        <x:v>0.25</x:v>
      </x:c>
      <x:c r="AN237" s="83" t="n">
        <x:f>'Inputs'!$D$44</x:f>
        <x:v>0.2</x:v>
      </x:c>
      <x:c r="AO237" s="81" t="n">
        <x:f>'Inputs'!$E$44</x:f>
        <x:v>-0.2</x:v>
      </x:c>
    </x:row>
    <x:row r="238">
      <x:c r="A238" s="59" t="str">
        <x:v>No demand</x:v>
      </x:c>
      <x:c r="B238" s="59" t="n">
        <x:v>235</x:v>
      </x:c>
      <x:c r="C238" s="78" t="n">
        <x:f>(('Inputs'!$B$29*(3*235*'Inputs'!$B$12-235^2)/(2*'Inputs'!$B$12^2))-('Inputs'!$B$29*(3*234*'Inputs'!$B$12-234^2)/(2*'Inputs'!$B$12^2)))*'Inputs'!$B$44</x:f>
        <x:v>635748.4987802505</x:v>
      </x:c>
      <x:c r="D238" s="78" t="n">
        <x:f>IF('Inputs'!$C$44&gt;0,('Inputs'!$B$30*(3*235*'Inputs'!$B$12-235^2)/(2*'Inputs'!$B$12^2))-('Inputs'!$B$30*(3*234*'Inputs'!$B$12-234^2)/(2*'Inputs'!$B$12^2)),0)</x:f>
        <x:v>272463.6423344016</x:v>
      </x:c>
      <x:c r="E238" s="78" t="n">
        <x:f>C238+D238</x:f>
        <x:v>908212.1411146522</x:v>
      </x:c>
      <x:c r="F238" s="78" t="n">
        <x:f>'Inputs'!$B$13*E238+(1-'Inputs'!$B$13)/'Inputs'!$B$14*SUM(E183:E238)</x:f>
        <x:v>918429.8179771056</x:v>
      </x:c>
      <x:c r="G238" s="78" t="n">
        <x:f>F238*'Inputs'!$F$44</x:f>
        <x:v>826586.8361793951</x:v>
      </x:c>
      <x:c r="H238" s="78" t="n">
        <x:f>U237</x:f>
        <x:v>116455322642.33894</x:v>
      </x:c>
      <x:c r="I238" s="78" t="n">
        <x:f>V237</x:f>
        <x:v>0.1017432058151196</x:v>
      </x:c>
      <x:c r="J238" s="79" t="n">
        <x:f>IF(H238&gt;0,I238/H238,0)</x:f>
        <x:v>8.736672872187763e-13</x:v>
      </x:c>
      <x:c r="K238" s="80" t="n">
        <x:f>(H238*J238+I238)*'Inputs'!$D$44*(1+'Inputs'!$G$44)^(B238/30)</x:f>
        <x:v>0.04069728232604784</x:v>
      </x:c>
      <x:c r="L238" s="80" t="n">
        <x:f>MAX(0,K238*'Inputs'!$E$44)</x:f>
        <x:v>0</x:v>
      </x:c>
      <x:c r="M238" s="80" t="n">
        <x:f>MAX(0,-K238*'Inputs'!$E$44)</x:f>
        <x:v>0.008139456465209569</x:v>
      </x:c>
      <x:c r="N238" s="78" t="n">
        <x:f>H238*(L238*(1-'Inputs'!$B$15))/(I238+L238*(1-'Inputs'!$B$15))</x:f>
        <x:v>0</x:v>
      </x:c>
      <x:c r="O238" s="78" t="n">
        <x:f>H238-N238</x:f>
        <x:v>116455322642.33894</x:v>
      </x:c>
      <x:c r="P238" s="78" t="n">
        <x:f>I238+L238*(1-'Inputs'!$B$17)</x:f>
        <x:v>0.1017432058151196</x:v>
      </x:c>
      <x:c r="Q238" s="78" t="n">
        <x:f>IF(J238&gt;0,M238/J238,0)</x:f>
        <x:v>0</x:v>
      </x:c>
      <x:c r="R238" s="78" t="n">
        <x:f>IF(B238='Inputs'!$H$44,'Inputs'!$B$27*'Inputs'!$I$44,0)</x:f>
        <x:v>0</x:v>
      </x:c>
      <x:c r="S238" s="78" t="n">
        <x:f>Q238+G238+R238</x:f>
        <x:v>826586.8361793951</x:v>
      </x:c>
      <x:c r="T238" s="78" t="n">
        <x:f>P238*(S238*(1-'Inputs'!$B$15))/(O238+S238*(1-'Inputs'!$B$15))</x:f>
        <x:v>7.149352362425211e-7</x:v>
      </x:c>
      <x:c r="U238" s="78" t="n">
        <x:f>O238+S238*(1-'Inputs'!$B$17)</x:f>
        <x:v>116456145902.86995</x:v>
      </x:c>
      <x:c r="V238" s="78" t="n">
        <x:f>P238-T238</x:f>
        <x:v>0.10174249087988335</x:v>
      </x:c>
      <x:c r="W238" s="79" t="n">
        <x:f>IF(U238&gt;0,V238/U238,0)</x:f>
        <x:v>8.73654971930305e-13</x:v>
      </x:c>
      <x:c r="X238" s="80" t="n">
        <x:f>W238*('Inputs'!$B$6-AC238)</x:f>
        <x:v>-0.0003582456726342212</x:v>
      </x:c>
      <x:c r="Y238" s="80" t="n">
        <x:f>2*V238</x:f>
        <x:v>0.2034849817597667</x:v>
      </x:c>
      <x:c r="Z238" s="80" t="n">
        <x:f>K238*'Inputs'!$B$16+(G238+R238)*J238*'Inputs'!$B$16</x:f>
        <x:v>0.00024418802692755995</x:v>
      </x:c>
      <x:c r="AA238" s="80" t="n">
        <x:f>K238*(1+'Inputs'!$E$44)/2*'Inputs'!$B$17</x:f>
        <x:v>0.00006550870394534865</x:v>
      </x:c>
      <x:c r="AB238" s="78" t="n">
        <x:f>(IF(J238&gt;0,K238*(1-'Inputs'!$E$44)/2/J238,0)+G238+R238)*'Inputs'!$B$17</x:f>
        <x:v>3326.3051757722137</x:v>
      </x:c>
      <x:c r="AC238" s="78" t="n">
        <x:f>AC237+AB238</x:f>
        <x:v>1410053950.523159</x:v>
      </x:c>
      <x:c r="AD238" s="80" t="n">
        <x:f>Z238/(1+'Inputs'!$C$44)</x:f>
        <x:v>0.00019535042154204796</x:v>
      </x:c>
      <x:c r="AE238" s="80" t="n">
        <x:f>Z238-AD238</x:f>
        <x:v>0.00004883760538551199</x:v>
      </x:c>
      <x:c r="AF238" s="80" t="n">
        <x:f>D238*W238</x:f>
        <x:v>2.380392157956903e-7</x:v>
      </x:c>
      <x:c r="AG238" s="80" t="n">
        <x:f>C238*W238</x:f>
        <x:v>5.554248368565934e-7</x:v>
      </x:c>
      <x:c r="AH238" s="80" t="n">
        <x:f>2*'Inputs'!$B$8*'Inputs'!$C$44</x:f>
        <x:v>1250</x:v>
      </x:c>
      <x:c r="AI238" s="81" t="n">
        <x:f>IF(AH238&gt;0,(AE238+AF238)/AH238*365,0)</x:f>
        <x:v>0.000014330088223581843</x:v>
      </x:c>
      <x:c r="AJ238" s="81" t="n">
        <x:f>IF('Inputs'!$B$44&gt;0,AG238/('Inputs'!$B$19*'Inputs'!$B$44)*365,0)</x:f>
        <x:v>2.0273006545265662e-8</x:v>
      </x:c>
      <x:c r="AK238" s="81" t="n">
        <x:f>W238/MAX($W$4:W238)-1</x:f>
        <x:v>-0.9999999987160977</x:v>
      </x:c>
      <x:c r="AL238" s="83" t="n">
        <x:f>'Inputs'!$B$44</x:f>
        <x:v>1</x:v>
      </x:c>
      <x:c r="AM238" s="83" t="n">
        <x:f>'Inputs'!$C$44</x:f>
        <x:v>0.25</x:v>
      </x:c>
      <x:c r="AN238" s="83" t="n">
        <x:f>'Inputs'!$D$44</x:f>
        <x:v>0.2</x:v>
      </x:c>
      <x:c r="AO238" s="81" t="n">
        <x:f>'Inputs'!$E$44</x:f>
        <x:v>-0.2</x:v>
      </x:c>
    </x:row>
    <x:row r="239">
      <x:c r="A239" s="59" t="str">
        <x:v>No demand</x:v>
      </x:c>
      <x:c r="B239" s="59" t="n">
        <x:v>236</x:v>
      </x:c>
      <x:c r="C239" s="78" t="n">
        <x:f>(('Inputs'!$B$29*(3*236*'Inputs'!$B$12-236^2)/(2*'Inputs'!$B$12^2))-('Inputs'!$B$29*(3*235*'Inputs'!$B$12-235^2)/(2*'Inputs'!$B$12^2)))*'Inputs'!$B$44</x:f>
        <x:v>635423.3908800781</x:v>
      </x:c>
      <x:c r="D239" s="78" t="n">
        <x:f>IF('Inputs'!$C$44&gt;0,('Inputs'!$B$30*(3*236*'Inputs'!$B$12-236^2)/(2*'Inputs'!$B$12^2))-('Inputs'!$B$30*(3*235*'Inputs'!$B$12-235^2)/(2*'Inputs'!$B$12^2)),0)</x:f>
        <x:v>272324.3103771806</x:v>
      </x:c>
      <x:c r="E239" s="78" t="n">
        <x:f>C239+D239</x:f>
        <x:v>907747.7012572587</x:v>
      </x:c>
      <x:c r="F239" s="78" t="n">
        <x:f>'Inputs'!$B$13*E239+(1-'Inputs'!$B$13)/'Inputs'!$B$14*SUM(E184:E239)</x:f>
        <x:v>917965.3781197197</x:v>
      </x:c>
      <x:c r="G239" s="78" t="n">
        <x:f>F239*'Inputs'!$F$44</x:f>
        <x:v>826168.8403077477</x:v>
      </x:c>
      <x:c r="H239" s="78" t="n">
        <x:f>U238</x:f>
        <x:v>116456145902.86995</x:v>
      </x:c>
      <x:c r="I239" s="78" t="n">
        <x:f>V238</x:f>
        <x:v>0.10174249087988335</x:v>
      </x:c>
      <x:c r="J239" s="79" t="n">
        <x:f>IF(H239&gt;0,I239/H239,0)</x:f>
        <x:v>8.73654971930305e-13</x:v>
      </x:c>
      <x:c r="K239" s="80" t="n">
        <x:f>(H239*J239+I239)*'Inputs'!$D$44*(1+'Inputs'!$G$44)^(B239/30)</x:f>
        <x:v>0.04069699635195334</x:v>
      </x:c>
      <x:c r="L239" s="80" t="n">
        <x:f>MAX(0,K239*'Inputs'!$E$44)</x:f>
        <x:v>0</x:v>
      </x:c>
      <x:c r="M239" s="80" t="n">
        <x:f>MAX(0,-K239*'Inputs'!$E$44)</x:f>
        <x:v>0.008139399270390668</x:v>
      </x:c>
      <x:c r="N239" s="78" t="n">
        <x:f>H239*(L239*(1-'Inputs'!$B$15))/(I239+L239*(1-'Inputs'!$B$15))</x:f>
        <x:v>0</x:v>
      </x:c>
      <x:c r="O239" s="78" t="n">
        <x:f>H239-N239</x:f>
        <x:v>116456145902.86995</x:v>
      </x:c>
      <x:c r="P239" s="78" t="n">
        <x:f>I239+L239*(1-'Inputs'!$B$17)</x:f>
        <x:v>0.10174249087988335</x:v>
      </x:c>
      <x:c r="Q239" s="78" t="n">
        <x:f>IF(J239&gt;0,M239/J239,0)</x:f>
        <x:v>0</x:v>
      </x:c>
      <x:c r="R239" s="78" t="n">
        <x:f>IF(B239='Inputs'!$H$44,'Inputs'!$B$27*'Inputs'!$I$44,0)</x:f>
        <x:v>0</x:v>
      </x:c>
      <x:c r="S239" s="78" t="n">
        <x:f>Q239+G239+R239</x:f>
        <x:v>826168.8403077477</x:v>
      </x:c>
      <x:c r="T239" s="78" t="n">
        <x:f>P239*(S239*(1-'Inputs'!$B$15))/(O239+S239*(1-'Inputs'!$B$15))</x:f>
        <x:v>7.145636312398092e-7</x:v>
      </x:c>
      <x:c r="U239" s="78" t="n">
        <x:f>O239+S239*(1-'Inputs'!$B$17)</x:f>
        <x:v>116456968747.08716</x:v>
      </x:c>
      <x:c r="V239" s="78" t="n">
        <x:f>P239-T239</x:f>
        <x:v>0.10174177631625211</x:v>
      </x:c>
      <x:c r="W239" s="79" t="n">
        <x:f>IF(U239&gt;0,V239/U239,0)</x:f>
        <x:v>8.736426631299975e-13</x:v>
      </x:c>
      <x:c r="X239" s="80" t="n">
        <x:f>W239*('Inputs'!$B$6-AC239)</x:f>
        <x:v>-0.0003582435298946077</x:v>
      </x:c>
      <x:c r="Y239" s="80" t="n">
        <x:f>2*V239</x:f>
        <x:v>0.20348355263250423</x:v>
      </x:c>
      <x:c r="Z239" s="80" t="n">
        <x:f>K239*'Inputs'!$B$16+(G239+R239)*J239*'Inputs'!$B$16</x:f>
        <x:v>0.00024418630883080996</x:v>
      </x:c>
      <x:c r="AA239" s="80" t="n">
        <x:f>K239*(1+'Inputs'!$E$44)/2*'Inputs'!$B$17</x:f>
        <x:v>0.0000655082436248746</x:v>
      </x:c>
      <x:c r="AB239" s="78" t="n">
        <x:f>(IF(J239&gt;0,K239*(1-'Inputs'!$E$44)/2/J239,0)+G239+R239)*'Inputs'!$B$17</x:f>
        <x:v>3324.623099829971</x:v>
      </x:c>
      <x:c r="AC239" s="78" t="n">
        <x:f>AC238+AB239</x:f>
        <x:v>1410057275.1462588</x:v>
      </x:c>
      <x:c r="AD239" s="80" t="n">
        <x:f>Z239/(1+'Inputs'!$C$44)</x:f>
        <x:v>0.00019534904706464796</x:v>
      </x:c>
      <x:c r="AE239" s="80" t="n">
        <x:f>Z239-AD239</x:f>
        <x:v>0.000048837261766162</x:v>
      </x:c>
      <x:c r="AF239" s="80" t="n">
        <x:f>D239*W239</x:f>
        <x:v>2.3791413575296005e-7</x:v>
      </x:c>
      <x:c r="AG239" s="80" t="n">
        <x:f>C239*W239</x:f>
        <x:v>5.551329834235647e-7</x:v>
      </x:c>
      <x:c r="AH239" s="80" t="n">
        <x:f>2*'Inputs'!$B$8*'Inputs'!$C$44</x:f>
        <x:v>1250</x:v>
      </x:c>
      <x:c r="AI239" s="81" t="n">
        <x:f>IF(AH239&gt;0,(AE239+AF239)/AH239*365,0)</x:f>
        <x:v>0.000014329951363359168</x:v>
      </x:c>
      <x:c r="AJ239" s="81" t="n">
        <x:f>IF('Inputs'!$B$44&gt;0,AG239/('Inputs'!$B$19*'Inputs'!$B$44)*365,0)</x:f>
        <x:v>2.0262353894960113e-8</x:v>
      </x:c>
      <x:c r="AK239" s="81" t="n">
        <x:f>W239/MAX($W$4:W239)-1</x:f>
        <x:v>-0.9999999987161158</x:v>
      </x:c>
      <x:c r="AL239" s="83" t="n">
        <x:f>'Inputs'!$B$44</x:f>
        <x:v>1</x:v>
      </x:c>
      <x:c r="AM239" s="83" t="n">
        <x:f>'Inputs'!$C$44</x:f>
        <x:v>0.25</x:v>
      </x:c>
      <x:c r="AN239" s="83" t="n">
        <x:f>'Inputs'!$D$44</x:f>
        <x:v>0.2</x:v>
      </x:c>
      <x:c r="AO239" s="81" t="n">
        <x:f>'Inputs'!$E$44</x:f>
        <x:v>-0.2</x:v>
      </x:c>
    </x:row>
    <x:row r="240">
      <x:c r="A240" s="59" t="str">
        <x:v>No demand</x:v>
      </x:c>
      <x:c r="B240" s="59" t="n">
        <x:v>237</x:v>
      </x:c>
      <x:c r="C240" s="78" t="n">
        <x:f>(('Inputs'!$B$29*(3*237*'Inputs'!$B$12-237^2)/(2*'Inputs'!$B$12^2))-('Inputs'!$B$29*(3*236*'Inputs'!$B$12-236^2)/(2*'Inputs'!$B$12^2)))*'Inputs'!$B$44</x:f>
        <x:v>635098.2829799354</x:v>
      </x:c>
      <x:c r="D240" s="78" t="n">
        <x:f>IF('Inputs'!$C$44&gt;0,('Inputs'!$B$30*(3*237*'Inputs'!$B$12-237^2)/(2*'Inputs'!$B$12^2))-('Inputs'!$B$30*(3*236*'Inputs'!$B$12-236^2)/(2*'Inputs'!$B$12^2)),0)</x:f>
        <x:v>272184.97841997445</x:v>
      </x:c>
      <x:c r="E240" s="78" t="n">
        <x:f>C240+D240</x:f>
        <x:v>907283.2613999099</x:v>
      </x:c>
      <x:c r="F240" s="78" t="n">
        <x:f>'Inputs'!$B$13*E240+(1-'Inputs'!$B$13)/'Inputs'!$B$14*SUM(E185:E240)</x:f>
        <x:v>917500.9382623427</x:v>
      </x:c>
      <x:c r="G240" s="78" t="n">
        <x:f>F240*'Inputs'!$F$44</x:f>
        <x:v>825750.8444361085</x:v>
      </x:c>
      <x:c r="H240" s="78" t="n">
        <x:f>U239</x:f>
        <x:v>116456968747.08716</x:v>
      </x:c>
      <x:c r="I240" s="78" t="n">
        <x:f>V239</x:f>
        <x:v>0.10174177631625211</x:v>
      </x:c>
      <x:c r="J240" s="79" t="n">
        <x:f>IF(H240&gt;0,I240/H240,0)</x:f>
        <x:v>8.736426631299975e-13</x:v>
      </x:c>
      <x:c r="K240" s="80" t="n">
        <x:f>(H240*J240+I240)*'Inputs'!$D$44*(1+'Inputs'!$G$44)^(B240/30)</x:f>
        <x:v>0.04069671052650085</x:v>
      </x:c>
      <x:c r="L240" s="80" t="n">
        <x:f>MAX(0,K240*'Inputs'!$E$44)</x:f>
        <x:v>0</x:v>
      </x:c>
      <x:c r="M240" s="80" t="n">
        <x:f>MAX(0,-K240*'Inputs'!$E$44)</x:f>
        <x:v>0.00813934210530017</x:v>
      </x:c>
      <x:c r="N240" s="78" t="n">
        <x:f>H240*(L240*(1-'Inputs'!$B$15))/(I240+L240*(1-'Inputs'!$B$15))</x:f>
        <x:v>0</x:v>
      </x:c>
      <x:c r="O240" s="78" t="n">
        <x:f>H240-N240</x:f>
        <x:v>116456968747.08716</x:v>
      </x:c>
      <x:c r="P240" s="78" t="n">
        <x:f>I240+L240*(1-'Inputs'!$B$17)</x:f>
        <x:v>0.10174177631625211</x:v>
      </x:c>
      <x:c r="Q240" s="78" t="n">
        <x:f>IF(J240&gt;0,M240/J240,0)</x:f>
        <x:v>0</x:v>
      </x:c>
      <x:c r="R240" s="78" t="n">
        <x:f>IF(B240='Inputs'!$H$44,'Inputs'!$B$27*'Inputs'!$I$44,0)</x:f>
        <x:v>0</x:v>
      </x:c>
      <x:c r="S240" s="78" t="n">
        <x:f>Q240+G240+R240</x:f>
        <x:v>825750.8444361085</x:v>
      </x:c>
      <x:c r="T240" s="78" t="n">
        <x:f>P240*(S240*(1-'Inputs'!$B$15))/(O240+S240*(1-'Inputs'!$B$15))</x:f>
        <x:v>7.141920417308191e-7</x:v>
      </x:c>
      <x:c r="U240" s="78" t="n">
        <x:f>O240+S240*(1-'Inputs'!$B$17)</x:f>
        <x:v>116457791174.99057</x:v>
      </x:c>
      <x:c r="V240" s="78" t="n">
        <x:f>P240-T240</x:f>
        <x:v>0.10174106212421039</x:v>
      </x:c>
      <x:c r="W240" s="79" t="n">
        <x:f>IF(U240&gt;0,V240/U240,0)</x:f>
        <x:v>8.736303608174511e-13</x:v>
      </x:c>
      <x:c r="X240" s="80" t="n">
        <x:f>W240*('Inputs'!$B$6-AC240)</x:f>
        <x:v>-0.00035824138826401255</x:v>
      </x:c>
      <x:c r="Y240" s="80" t="n">
        <x:f>2*V240</x:f>
        <x:v>0.20348212424842077</x:v>
      </x:c>
      <x:c r="Z240" s="80" t="n">
        <x:f>K240*'Inputs'!$B$16+(G240+R240)*J240*'Inputs'!$B$16</x:f>
        <x:v>0.000244184591626006</x:v>
      </x:c>
      <x:c r="AA240" s="80" t="n">
        <x:f>K240*(1+'Inputs'!$E$44)/2*'Inputs'!$B$17</x:f>
        <x:v>0.00006550778354366335</x:v>
      </x:c>
      <x:c r="AB240" s="78" t="n">
        <x:f>(IF(J240&gt;0,K240*(1-'Inputs'!$E$44)/2/J240,0)+G240+R240)*'Inputs'!$B$17</x:f>
        <x:v>3322.941023887761</x:v>
      </x:c>
      <x:c r="AC240" s="78" t="n">
        <x:f>AC239+AB240</x:f>
        <x:v>1410060598.0872827</x:v>
      </x:c>
      <x:c r="AD240" s="80" t="n">
        <x:f>Z240/(1+'Inputs'!$C$44)</x:f>
        <x:v>0.0001953476733008048</x:v>
      </x:c>
      <x:c r="AE240" s="80" t="n">
        <x:f>Z240-AD240</x:f>
        <x:v>0.00004883691832520119</x:v>
      </x:c>
      <x:c r="AF240" s="80" t="n">
        <x:f>D240*W240</x:f>
        <x:v>2.377890609061324e-7</x:v>
      </x:c>
      <x:c r="AG240" s="80" t="n">
        <x:f>C240*W240</x:f>
        <x:v>5.548411421143047e-7</x:v>
      </x:c>
      <x:c r="AH240" s="80" t="n">
        <x:f>2*'Inputs'!$B$8*'Inputs'!$C$44</x:f>
        <x:v>1250</x:v>
      </x:c>
      <x:c r="AI240" s="81" t="n">
        <x:f>IF(AH240&gt;0,(AE240+AF240)/AH240*365,0)</x:f>
        <x:v>0.000014329814556743338</x:v>
      </x:c>
      <x:c r="AJ240" s="81" t="n">
        <x:f>IF('Inputs'!$B$44&gt;0,AG240/('Inputs'!$B$19*'Inputs'!$B$44)*365,0)</x:f>
        <x:v>2.025170168717212e-8</x:v>
      </x:c>
      <x:c r="AK240" s="81" t="n">
        <x:f>W240/MAX($W$4:W240)-1</x:f>
        <x:v>-0.9999999987161339</x:v>
      </x:c>
      <x:c r="AL240" s="83" t="n">
        <x:f>'Inputs'!$B$44</x:f>
        <x:v>1</x:v>
      </x:c>
      <x:c r="AM240" s="83" t="n">
        <x:f>'Inputs'!$C$44</x:f>
        <x:v>0.25</x:v>
      </x:c>
      <x:c r="AN240" s="83" t="n">
        <x:f>'Inputs'!$D$44</x:f>
        <x:v>0.2</x:v>
      </x:c>
      <x:c r="AO240" s="81" t="n">
        <x:f>'Inputs'!$E$44</x:f>
        <x:v>-0.2</x:v>
      </x:c>
    </x:row>
    <x:row r="241">
      <x:c r="A241" s="59" t="str">
        <x:v>No demand</x:v>
      </x:c>
      <x:c r="B241" s="59" t="n">
        <x:v>238</x:v>
      </x:c>
      <x:c r="C241" s="78" t="n">
        <x:f>(('Inputs'!$B$29*(3*238*'Inputs'!$B$12-238^2)/(2*'Inputs'!$B$12^2))-('Inputs'!$B$29*(3*237*'Inputs'!$B$12-237^2)/(2*'Inputs'!$B$12^2)))*'Inputs'!$B$44</x:f>
        <x:v>634773.1750797629</x:v>
      </x:c>
      <x:c r="D241" s="78" t="n">
        <x:f>IF('Inputs'!$C$44&gt;0,('Inputs'!$B$30*(3*238*'Inputs'!$B$12-238^2)/(2*'Inputs'!$B$12^2))-('Inputs'!$B$30*(3*237*'Inputs'!$B$12-237^2)/(2*'Inputs'!$B$12^2)),0)</x:f>
        <x:v>272045.6464627385</x:v>
      </x:c>
      <x:c r="E241" s="78" t="n">
        <x:f>C241+D241</x:f>
        <x:v>906818.8215425014</x:v>
      </x:c>
      <x:c r="F241" s="78" t="n">
        <x:f>'Inputs'!$B$13*E241+(1-'Inputs'!$B$13)/'Inputs'!$B$14*SUM(E186:E241)</x:f>
        <x:v>917036.4984049537</x:v>
      </x:c>
      <x:c r="G241" s="78" t="n">
        <x:f>F241*'Inputs'!$F$44</x:f>
        <x:v>825332.8485644584</x:v>
      </x:c>
      <x:c r="H241" s="78" t="n">
        <x:f>U240</x:f>
        <x:v>116457791174.99057</x:v>
      </x:c>
      <x:c r="I241" s="78" t="n">
        <x:f>V240</x:f>
        <x:v>0.10174106212421039</x:v>
      </x:c>
      <x:c r="J241" s="79" t="n">
        <x:f>IF(H241&gt;0,I241/H241,0)</x:f>
        <x:v>8.736303608174511e-13</x:v>
      </x:c>
      <x:c r="K241" s="80" t="n">
        <x:f>(H241*J241+I241)*'Inputs'!$D$44*(1+'Inputs'!$G$44)^(B241/30)</x:f>
        <x:v>0.04069642484968416</x:v>
      </x:c>
      <x:c r="L241" s="80" t="n">
        <x:f>MAX(0,K241*'Inputs'!$E$44)</x:f>
        <x:v>0</x:v>
      </x:c>
      <x:c r="M241" s="80" t="n">
        <x:f>MAX(0,-K241*'Inputs'!$E$44)</x:f>
        <x:v>0.008139284969936832</x:v>
      </x:c>
      <x:c r="N241" s="78" t="n">
        <x:f>H241*(L241*(1-'Inputs'!$B$15))/(I241+L241*(1-'Inputs'!$B$15))</x:f>
        <x:v>0</x:v>
      </x:c>
      <x:c r="O241" s="78" t="n">
        <x:f>H241-N241</x:f>
        <x:v>116457791174.99057</x:v>
      </x:c>
      <x:c r="P241" s="78" t="n">
        <x:f>I241+L241*(1-'Inputs'!$B$17)</x:f>
        <x:v>0.10174106212421039</x:v>
      </x:c>
      <x:c r="Q241" s="78" t="n">
        <x:f>IF(J241&gt;0,M241/J241,0)</x:f>
        <x:v>0</x:v>
      </x:c>
      <x:c r="R241" s="78" t="n">
        <x:f>IF(B241='Inputs'!$H$44,'Inputs'!$B$27*'Inputs'!$I$44,0)</x:f>
        <x:v>0</x:v>
      </x:c>
      <x:c r="S241" s="78" t="n">
        <x:f>Q241+G241+R241</x:f>
        <x:v>825332.8485644584</x:v>
      </x:c>
      <x:c r="T241" s="78" t="n">
        <x:f>P241*(S241*(1-'Inputs'!$B$15))/(O241+S241*(1-'Inputs'!$B$15))</x:f>
        <x:v>7.138204677071505e-7</x:v>
      </x:c>
      <x:c r="U241" s="78" t="n">
        <x:f>O241+S241*(1-'Inputs'!$B$17)</x:f>
        <x:v>116458613186.58018</x:v>
      </x:c>
      <x:c r="V241" s="78" t="n">
        <x:f>P241-T241</x:f>
        <x:v>0.10174034830374268</x:v>
      </x:c>
      <x:c r="W241" s="79" t="n">
        <x:f>IF(U241&gt;0,V241/U241,0)</x:f>
        <x:v>8.736180649922634e-13</x:v>
      </x:c>
      <x:c r="X241" s="80" t="n">
        <x:f>W241*('Inputs'!$B$6-AC241)</x:f>
        <x:v>-0.0003582392477423975</x:v>
      </x:c>
      <x:c r="Y241" s="80" t="n">
        <x:f>2*V241</x:f>
        <x:v>0.20348069660748536</x:v>
      </x:c>
      <x:c r="Z241" s="80" t="n">
        <x:f>K241*'Inputs'!$B$16+(G241+R241)*J241*'Inputs'!$B$16</x:f>
        <x:v>0.00024418287531311064</x:v>
      </x:c>
      <x:c r="AA241" s="80" t="n">
        <x:f>K241*(1+'Inputs'!$E$44)/2*'Inputs'!$B$17</x:f>
        <x:v>0.0000655073237017049</x:v>
      </x:c>
      <x:c r="AB241" s="78" t="n">
        <x:f>(IF(J241&gt;0,K241*(1-'Inputs'!$E$44)/2/J241,0)+G241+R241)*'Inputs'!$B$17</x:f>
        <x:v>3321.258947945507</x:v>
      </x:c>
      <x:c r="AC241" s="78" t="n">
        <x:f>AC240+AB241</x:f>
        <x:v>1410063919.3462305</x:v>
      </x:c>
      <x:c r="AD241" s="80" t="n">
        <x:f>Z241/(1+'Inputs'!$C$44)</x:f>
        <x:v>0.0001953463002504885</x:v>
      </x:c>
      <x:c r="AE241" s="80" t="n">
        <x:f>Z241-AD241</x:f>
        <x:v>0.00004883657506262213</x:v>
      </x:c>
      <x:c r="AF241" s="80" t="n">
        <x:f>D241*W241</x:f>
        <x:v>2.3766399125234702e-7</x:v>
      </x:c>
      <x:c r="AG241" s="80" t="n">
        <x:f>C241*W241</x:f>
        <x:v>5.545493129221778e-7</x:v>
      </x:c>
      <x:c r="AH241" s="80" t="n">
        <x:f>2*'Inputs'!$B$8*'Inputs'!$C$44</x:f>
        <x:v>1250</x:v>
      </x:c>
      <x:c r="AI241" s="81" t="n">
        <x:f>IF(AH241&gt;0,(AE241+AF241)/AH241*365,0)</x:f>
        <x:v>0.000014329677803731349</x:v>
      </x:c>
      <x:c r="AJ241" s="81" t="n">
        <x:f>IF('Inputs'!$B$44&gt;0,AG241/('Inputs'!$B$19*'Inputs'!$B$44)*365,0)</x:f>
        <x:v>2.024104992165949e-8</x:v>
      </x:c>
      <x:c r="AK241" s="81" t="n">
        <x:f>W241/MAX($W$4:W241)-1</x:f>
        <x:v>-0.9999999987161519</x:v>
      </x:c>
      <x:c r="AL241" s="83" t="n">
        <x:f>'Inputs'!$B$44</x:f>
        <x:v>1</x:v>
      </x:c>
      <x:c r="AM241" s="83" t="n">
        <x:f>'Inputs'!$C$44</x:f>
        <x:v>0.25</x:v>
      </x:c>
      <x:c r="AN241" s="83" t="n">
        <x:f>'Inputs'!$D$44</x:f>
        <x:v>0.2</x:v>
      </x:c>
      <x:c r="AO241" s="81" t="n">
        <x:f>'Inputs'!$E$44</x:f>
        <x:v>-0.2</x:v>
      </x:c>
    </x:row>
    <x:row r="242">
      <x:c r="A242" s="59" t="str">
        <x:v>No demand</x:v>
      </x:c>
      <x:c r="B242" s="59" t="n">
        <x:v>239</x:v>
      </x:c>
      <x:c r="C242" s="78" t="n">
        <x:f>(('Inputs'!$B$29*(3*239*'Inputs'!$B$12-239^2)/(2*'Inputs'!$B$12^2))-('Inputs'!$B$29*(3*238*'Inputs'!$B$12-238^2)/(2*'Inputs'!$B$12^2)))*'Inputs'!$B$44</x:f>
        <x:v>634448.0671795607</x:v>
      </x:c>
      <x:c r="D242" s="78" t="n">
        <x:f>IF('Inputs'!$C$44&gt;0,('Inputs'!$B$30*(3*239*'Inputs'!$B$12-239^2)/(2*'Inputs'!$B$12^2))-('Inputs'!$B$30*(3*238*'Inputs'!$B$12-238^2)/(2*'Inputs'!$B$12^2)),0)</x:f>
        <x:v>271906.3145055473</x:v>
      </x:c>
      <x:c r="E242" s="78" t="n">
        <x:f>C242+D242</x:f>
        <x:v>906354.381685108</x:v>
      </x:c>
      <x:c r="F242" s="78" t="n">
        <x:f>'Inputs'!$B$13*E242+(1-'Inputs'!$B$13)/'Inputs'!$B$14*SUM(E187:E242)</x:f>
        <x:v>916572.0585475676</x:v>
      </x:c>
      <x:c r="G242" s="78" t="n">
        <x:f>F242*'Inputs'!$F$44</x:f>
        <x:v>824914.8526928108</x:v>
      </x:c>
      <x:c r="H242" s="78" t="n">
        <x:f>U241</x:f>
        <x:v>116458613186.58018</x:v>
      </x:c>
      <x:c r="I242" s="78" t="n">
        <x:f>V241</x:f>
        <x:v>0.10174034830374268</x:v>
      </x:c>
      <x:c r="J242" s="79" t="n">
        <x:f>IF(H242&gt;0,I242/H242,0)</x:f>
        <x:v>8.736180649922634e-13</x:v>
      </x:c>
      <x:c r="K242" s="80" t="n">
        <x:f>(H242*J242+I242)*'Inputs'!$D$44*(1+'Inputs'!$G$44)^(B242/30)</x:f>
        <x:v>0.04069613932149707</x:v>
      </x:c>
      <x:c r="L242" s="80" t="n">
        <x:f>MAX(0,K242*'Inputs'!$E$44)</x:f>
        <x:v>0</x:v>
      </x:c>
      <x:c r="M242" s="80" t="n">
        <x:f>MAX(0,-K242*'Inputs'!$E$44)</x:f>
        <x:v>0.008139227864299414</x:v>
      </x:c>
      <x:c r="N242" s="78" t="n">
        <x:f>H242*(L242*(1-'Inputs'!$B$15))/(I242+L242*(1-'Inputs'!$B$15))</x:f>
        <x:v>0</x:v>
      </x:c>
      <x:c r="O242" s="78" t="n">
        <x:f>H242-N242</x:f>
        <x:v>116458613186.58018</x:v>
      </x:c>
      <x:c r="P242" s="78" t="n">
        <x:f>I242+L242*(1-'Inputs'!$B$17)</x:f>
        <x:v>0.10174034830374268</x:v>
      </x:c>
      <x:c r="Q242" s="78" t="n">
        <x:f>IF(J242&gt;0,M242/J242,0)</x:f>
        <x:v>0</x:v>
      </x:c>
      <x:c r="R242" s="78" t="n">
        <x:f>IF(B242='Inputs'!$H$44,'Inputs'!$B$27*'Inputs'!$I$44,0)</x:f>
        <x:v>0</x:v>
      </x:c>
      <x:c r="S242" s="78" t="n">
        <x:f>Q242+G242+R242</x:f>
        <x:v>824914.8526928108</x:v>
      </x:c>
      <x:c r="T242" s="78" t="n">
        <x:f>P242*(S242*(1-'Inputs'!$B$15))/(O242+S242*(1-'Inputs'!$B$15))</x:f>
        <x:v>7.134489091604326e-7</x:v>
      </x:c>
      <x:c r="U242" s="78" t="n">
        <x:f>O242+S242*(1-'Inputs'!$B$17)</x:f>
        <x:v>116459434781.856</x:v>
      </x:c>
      <x:c r="V242" s="78" t="n">
        <x:f>P242-T242</x:f>
        <x:v>0.10173963485483352</x:v>
      </x:c>
      <x:c r="W242" s="79" t="n">
        <x:f>IF(U242&gt;0,V242/U242,0)</x:f>
        <x:v>8.736057756540324e-13</x:v>
      </x:c>
      <x:c r="X242" s="80" t="n">
        <x:f>W242*('Inputs'!$B$6-AC242)</x:f>
        <x:v>-0.0003582371083297245</x:v>
      </x:c>
      <x:c r="Y242" s="80" t="n">
        <x:f>2*V242</x:f>
        <x:v>0.20347926970966704</x:v>
      </x:c>
      <x:c r="Z242" s="80" t="n">
        <x:f>K242*'Inputs'!$B$16+(G242+R242)*J242*'Inputs'!$B$16</x:f>
        <x:v>0.00024418115989208677</x:v>
      </x:c>
      <x:c r="AA242" s="80" t="n">
        <x:f>K242*(1+'Inputs'!$E$44)/2*'Inputs'!$B$17</x:f>
        <x:v>0.00006550686409898925</x:v>
      </x:c>
      <x:c r="AB242" s="78" t="n">
        <x:f>(IF(J242&gt;0,K242*(1-'Inputs'!$E$44)/2/J242,0)+G242+R242)*'Inputs'!$B$17</x:f>
        <x:v>3319.576872003263</x:v>
      </x:c>
      <x:c r="AC242" s="78" t="n">
        <x:f>AC241+AB242</x:f>
        <x:v>1410067238.9231026</x:v>
      </x:c>
      <x:c r="AD242" s="80" t="n">
        <x:f>Z242/(1+'Inputs'!$C$44)</x:f>
        <x:v>0.00019534492791366942</x:v>
      </x:c>
      <x:c r="AE242" s="80" t="n">
        <x:f>Z242-AD242</x:f>
        <x:v>0.00004883623197841734</x:v>
      </x:c>
      <x:c r="AF242" s="80" t="n">
        <x:f>D242*W242</x:f>
        <x:v>2.3753892678884791e-7</x:v>
      </x:c>
      <x:c r="AG242" s="80" t="n">
        <x:f>C242*W242</x:f>
        <x:v>5.542574958406018e-7</x:v>
      </x:c>
      <x:c r="AH242" s="80" t="n">
        <x:f>2*'Inputs'!$B$8*'Inputs'!$C$44</x:f>
        <x:v>1250</x:v>
      </x:c>
      <x:c r="AI242" s="81" t="n">
        <x:f>IF(AH242&gt;0,(AE242+AF242)/AH242*365,0)</x:f>
        <x:v>0.000014329541104320208</x:v>
      </x:c>
      <x:c r="AJ242" s="81" t="n">
        <x:f>IF('Inputs'!$B$44&gt;0,AG242/('Inputs'!$B$19*'Inputs'!$B$44)*365,0)</x:f>
        <x:v>2.0230398598181964e-8</x:v>
      </x:c>
      <x:c r="AK242" s="81" t="n">
        <x:f>W242/MAX($W$4:W242)-1</x:f>
        <x:v>-0.99999999871617</x:v>
      </x:c>
      <x:c r="AL242" s="83" t="n">
        <x:f>'Inputs'!$B$44</x:f>
        <x:v>1</x:v>
      </x:c>
      <x:c r="AM242" s="83" t="n">
        <x:f>'Inputs'!$C$44</x:f>
        <x:v>0.25</x:v>
      </x:c>
      <x:c r="AN242" s="83" t="n">
        <x:f>'Inputs'!$D$44</x:f>
        <x:v>0.2</x:v>
      </x:c>
      <x:c r="AO242" s="81" t="n">
        <x:f>'Inputs'!$E$44</x:f>
        <x:v>-0.2</x:v>
      </x:c>
    </x:row>
    <x:row r="243">
      <x:c r="A243" s="59" t="str">
        <x:v>No demand</x:v>
      </x:c>
      <x:c r="B243" s="59" t="n">
        <x:v>240</x:v>
      </x:c>
      <x:c r="C243" s="78" t="n">
        <x:f>(('Inputs'!$B$29*(3*240*'Inputs'!$B$12-240^2)/(2*'Inputs'!$B$12^2))-('Inputs'!$B$29*(3*239*'Inputs'!$B$12-239^2)/(2*'Inputs'!$B$12^2)))*'Inputs'!$B$44</x:f>
        <x:v>634122.959279418</x:v>
      </x:c>
      <x:c r="D243" s="78" t="n">
        <x:f>IF('Inputs'!$C$44&gt;0,('Inputs'!$B$30*(3*240*'Inputs'!$B$12-240^2)/(2*'Inputs'!$B$12^2))-('Inputs'!$B$30*(3*239*'Inputs'!$B$12-239^2)/(2*'Inputs'!$B$12^2)),0)</x:f>
        <x:v>271766.98254831135</x:v>
      </x:c>
      <x:c r="E243" s="78" t="n">
        <x:f>C243+D243</x:f>
        <x:v>905889.9418277293</x:v>
      </x:c>
      <x:c r="F243" s="78" t="n">
        <x:f>'Inputs'!$B$13*E243+(1-'Inputs'!$B$13)/'Inputs'!$B$14*SUM(E188:E243)</x:f>
        <x:v>916107.6186901846</x:v>
      </x:c>
      <x:c r="G243" s="78" t="n">
        <x:f>F243*'Inputs'!$F$44</x:f>
        <x:v>824496.8568211661</x:v>
      </x:c>
      <x:c r="H243" s="78" t="n">
        <x:f>U242</x:f>
        <x:v>116459434781.856</x:v>
      </x:c>
      <x:c r="I243" s="78" t="n">
        <x:f>V242</x:f>
        <x:v>0.10173963485483352</x:v>
      </x:c>
      <x:c r="J243" s="79" t="n">
        <x:f>IF(H243&gt;0,I243/H243,0)</x:f>
        <x:v>8.736057756540324e-13</x:v>
      </x:c>
      <x:c r="K243" s="80" t="n">
        <x:f>(H243*J243+I243)*'Inputs'!$D$44*(1+'Inputs'!$G$44)^(B243/30)</x:f>
        <x:v>0.04069585394193341</x:v>
      </x:c>
      <x:c r="L243" s="80" t="n">
        <x:f>MAX(0,K243*'Inputs'!$E$44)</x:f>
        <x:v>0</x:v>
      </x:c>
      <x:c r="M243" s="80" t="n">
        <x:f>MAX(0,-K243*'Inputs'!$E$44)</x:f>
        <x:v>0.008139170788386682</x:v>
      </x:c>
      <x:c r="N243" s="78" t="n">
        <x:f>H243*(L243*(1-'Inputs'!$B$15))/(I243+L243*(1-'Inputs'!$B$15))</x:f>
        <x:v>0</x:v>
      </x:c>
      <x:c r="O243" s="78" t="n">
        <x:f>H243-N243</x:f>
        <x:v>116459434781.856</x:v>
      </x:c>
      <x:c r="P243" s="78" t="n">
        <x:f>I243+L243*(1-'Inputs'!$B$17)</x:f>
        <x:v>0.10173963485483352</x:v>
      </x:c>
      <x:c r="Q243" s="78" t="n">
        <x:f>IF(J243&gt;0,M243/J243,0)</x:f>
        <x:v>0</x:v>
      </x:c>
      <x:c r="R243" s="78" t="n">
        <x:f>IF(B243='Inputs'!$H$44,'Inputs'!$B$27*'Inputs'!$I$44,0)</x:f>
        <x:v>0</x:v>
      </x:c>
      <x:c r="S243" s="78" t="n">
        <x:f>Q243+G243+R243</x:f>
        <x:v>824496.8568211661</x:v>
      </x:c>
      <x:c r="T243" s="78" t="n">
        <x:f>P243*(S243*(1-'Inputs'!$B$15))/(O243+S243*(1-'Inputs'!$B$15))</x:f>
        <x:v>7.13077366082284e-7</x:v>
      </x:c>
      <x:c r="U243" s="78" t="n">
        <x:f>O243+S243*(1-'Inputs'!$B$17)</x:f>
        <x:v>116460255960.81802</x:v>
      </x:c>
      <x:c r="V243" s="78" t="n">
        <x:f>P243-T243</x:f>
        <x:v>0.10173892177746743</x:v>
      </x:c>
      <x:c r="W243" s="79" t="n">
        <x:f>IF(U243&gt;0,V243/U243,0)</x:f>
        <x:v>8.735934928023562e-13</x:v>
      </x:c>
      <x:c r="X243" s="80" t="n">
        <x:f>W243*('Inputs'!$B$6-AC243)</x:f>
        <x:v>-0.0003582349700259552</x:v>
      </x:c>
      <x:c r="Y243" s="80" t="n">
        <x:f>2*V243</x:f>
        <x:v>0.20347784355493487</x:v>
      </x:c>
      <x:c r="Z243" s="80" t="n">
        <x:f>K243*'Inputs'!$B$16+(G243+R243)*J243*'Inputs'!$B$16</x:f>
        <x:v>0.00024417944536289724</x:v>
      </x:c>
      <x:c r="AA243" s="80" t="n">
        <x:f>K243*(1+'Inputs'!$E$44)/2*'Inputs'!$B$17</x:f>
        <x:v>0.0000655064047355065</x:v>
      </x:c>
      <x:c r="AB243" s="78" t="n">
        <x:f>(IF(J243&gt;0,K243*(1-'Inputs'!$E$44)/2/J243,0)+G243+R243)*'Inputs'!$B$17</x:f>
        <x:v>3317.894796061031</x:v>
      </x:c>
      <x:c r="AC243" s="78" t="n">
        <x:f>AC242+AB243</x:f>
        <x:v>1410070556.8178988</x:v>
      </x:c>
      <x:c r="AD243" s="80" t="n">
        <x:f>Z243/(1+'Inputs'!$C$44)</x:f>
        <x:v>0.0001953435562903178</x:v>
      </x:c>
      <x:c r="AE243" s="80" t="n">
        <x:f>Z243-AD243</x:f>
        <x:v>0.00004883588907257945</x:v>
      </x:c>
      <x:c r="AF243" s="80" t="n">
        <x:f>D243*W243</x:f>
        <x:v>2.3741386751273629e-7</x:v>
      </x:c>
      <x:c r="AG243" s="80" t="n">
        <x:f>C243*W243</x:f>
        <x:v>5.539656908630731e-7</x:v>
      </x:c>
      <x:c r="AH243" s="80" t="n">
        <x:f>2*'Inputs'!$B$8*'Inputs'!$C$44</x:f>
        <x:v>1250</x:v>
      </x:c>
      <x:c r="AI243" s="81" t="n">
        <x:f>IF(AH243&gt;0,(AE243+AF243)/AH243*365,0)</x:f>
        <x:v>0.000014329404458506916</x:v>
      </x:c>
      <x:c r="AJ243" s="81" t="n">
        <x:f>IF('Inputs'!$B$44&gt;0,AG243/('Inputs'!$B$19*'Inputs'!$B$44)*365,0)</x:f>
        <x:v>2.0219747716502166e-8</x:v>
      </x:c>
      <x:c r="AK243" s="81" t="n">
        <x:f>W243/MAX($W$4:W243)-1</x:f>
        <x:v>-0.999999998716188</x:v>
      </x:c>
      <x:c r="AL243" s="83" t="n">
        <x:f>'Inputs'!$B$44</x:f>
        <x:v>1</x:v>
      </x:c>
      <x:c r="AM243" s="83" t="n">
        <x:f>'Inputs'!$C$44</x:f>
        <x:v>0.25</x:v>
      </x:c>
      <x:c r="AN243" s="83" t="n">
        <x:f>'Inputs'!$D$44</x:f>
        <x:v>0.2</x:v>
      </x:c>
      <x:c r="AO243" s="81" t="n">
        <x:f>'Inputs'!$E$44</x:f>
        <x:v>-0.2</x:v>
      </x:c>
    </x:row>
    <x:row r="244">
      <x:c r="A244" s="59" t="str">
        <x:v>No demand</x:v>
      </x:c>
      <x:c r="B244" s="59" t="n">
        <x:v>241</x:v>
      </x:c>
      <x:c r="C244" s="78" t="n">
        <x:f>(('Inputs'!$B$29*(3*241*'Inputs'!$B$12-241^2)/(2*'Inputs'!$B$12^2))-('Inputs'!$B$29*(3*240*'Inputs'!$B$12-240^2)/(2*'Inputs'!$B$12^2)))*'Inputs'!$B$44</x:f>
        <x:v>633797.8513792455</x:v>
      </x:c>
      <x:c r="D244" s="78" t="n">
        <x:f>IF('Inputs'!$C$44&gt;0,('Inputs'!$B$30*(3*241*'Inputs'!$B$12-241^2)/(2*'Inputs'!$B$12^2))-('Inputs'!$B$30*(3*240*'Inputs'!$B$12-240^2)/(2*'Inputs'!$B$12^2)),0)</x:f>
        <x:v>271627.6505911052</x:v>
      </x:c>
      <x:c r="E244" s="78" t="n">
        <x:f>C244+D244</x:f>
        <x:v>905425.5019703507</x:v>
      </x:c>
      <x:c r="F244" s="78" t="n">
        <x:f>'Inputs'!$B$13*E244+(1-'Inputs'!$B$13)/'Inputs'!$B$14*SUM(E189:E244)</x:f>
        <x:v>915643.1788328014</x:v>
      </x:c>
      <x:c r="G244" s="78" t="n">
        <x:f>F244*'Inputs'!$F$44</x:f>
        <x:v>824078.8609495213</x:v>
      </x:c>
      <x:c r="H244" s="78" t="n">
        <x:f>U243</x:f>
        <x:v>116460255960.81802</x:v>
      </x:c>
      <x:c r="I244" s="78" t="n">
        <x:f>V243</x:f>
        <x:v>0.10173892177746743</x:v>
      </x:c>
      <x:c r="J244" s="79" t="n">
        <x:f>IF(H244&gt;0,I244/H244,0)</x:f>
        <x:v>8.735934928023562e-13</x:v>
      </x:c>
      <x:c r="K244" s="80" t="n">
        <x:f>(H244*J244+I244)*'Inputs'!$D$44*(1+'Inputs'!$G$44)^(B244/30)</x:f>
        <x:v>0.04069556871098698</x:v>
      </x:c>
      <x:c r="L244" s="80" t="n">
        <x:f>MAX(0,K244*'Inputs'!$E$44)</x:f>
        <x:v>0</x:v>
      </x:c>
      <x:c r="M244" s="80" t="n">
        <x:f>MAX(0,-K244*'Inputs'!$E$44)</x:f>
        <x:v>0.008139113742197395</x:v>
      </x:c>
      <x:c r="N244" s="78" t="n">
        <x:f>H244*(L244*(1-'Inputs'!$B$15))/(I244+L244*(1-'Inputs'!$B$15))</x:f>
        <x:v>0</x:v>
      </x:c>
      <x:c r="O244" s="78" t="n">
        <x:f>H244-N244</x:f>
        <x:v>116460255960.81802</x:v>
      </x:c>
      <x:c r="P244" s="78" t="n">
        <x:f>I244+L244*(1-'Inputs'!$B$17)</x:f>
        <x:v>0.10173892177746743</x:v>
      </x:c>
      <x:c r="Q244" s="78" t="n">
        <x:f>IF(J244&gt;0,M244/J244,0)</x:f>
        <x:v>0</x:v>
      </x:c>
      <x:c r="R244" s="78" t="n">
        <x:f>IF(B244='Inputs'!$H$44,'Inputs'!$B$27*'Inputs'!$I$44,0)</x:f>
        <x:v>0</x:v>
      </x:c>
      <x:c r="S244" s="78" t="n">
        <x:f>Q244+G244+R244</x:f>
        <x:v>824078.8609495213</x:v>
      </x:c>
      <x:c r="T244" s="78" t="n">
        <x:f>P244*(S244*(1-'Inputs'!$B$15))/(O244+S244*(1-'Inputs'!$B$15))</x:f>
        <x:v>7.127058384643217e-7</x:v>
      </x:c>
      <x:c r="U244" s="78" t="n">
        <x:f>O244+S244*(1-'Inputs'!$B$17)</x:f>
        <x:v>116461076723.46625</x:v>
      </x:c>
      <x:c r="V244" s="78" t="n">
        <x:f>P244-T244</x:f>
        <x:v>0.10173820907162896</x:v>
      </x:c>
      <x:c r="W244" s="79" t="n">
        <x:f>IF(U244&gt;0,V244/U244,0)</x:f>
        <x:v>8.735812164368328e-13</x:v>
      </x:c>
      <x:c r="X244" s="80" t="n">
        <x:f>W244*('Inputs'!$B$6-AC244)</x:f>
        <x:v>-0.0003582328328310514</x:v>
      </x:c>
      <x:c r="Y244" s="80" t="n">
        <x:f>2*V244</x:f>
        <x:v>0.20347641814325793</x:v>
      </x:c>
      <x:c r="Z244" s="80" t="n">
        <x:f>K244*'Inputs'!$B$16+(G244+R244)*J244*'Inputs'!$B$16</x:f>
        <x:v>0.0002441777317255048</x:v>
      </x:c>
      <x:c r="AA244" s="80" t="n">
        <x:f>K244*(1+'Inputs'!$E$44)/2*'Inputs'!$B$17</x:f>
        <x:v>0.00006550594561124664</x:v>
      </x:c>
      <x:c r="AB244" s="78" t="n">
        <x:f>(IF(J244&gt;0,K244*(1-'Inputs'!$E$44)/2/J244,0)+G244+R244)*'Inputs'!$B$17</x:f>
        <x:v>3316.212720118798</x:v>
      </x:c>
      <x:c r="AC244" s="78" t="n">
        <x:f>AC243+AB244</x:f>
        <x:v>1410073873.030619</x:v>
      </x:c>
      <x:c r="AD244" s="80" t="n">
        <x:f>Z244/(1+'Inputs'!$C$44)</x:f>
        <x:v>0.00019534218538040383</x:v>
      </x:c>
      <x:c r="AE244" s="80" t="n">
        <x:f>Z244-AD244</x:f>
        <x:v>0.000048835546345100944</x:v>
      </x:c>
      <x:c r="AF244" s="80" t="n">
        <x:f>D244*W244</x:f>
        <x:v>2.372888134212567e-7</x:v>
      </x:c>
      <x:c r="AG244" s="80" t="n">
        <x:f>C244*W244</x:f>
        <x:v>5.536738979829322e-7</x:v>
      </x:c>
      <x:c r="AH244" s="80" t="n">
        <x:f>2*'Inputs'!$B$8*'Inputs'!$C$44</x:f>
        <x:v>1250</x:v>
      </x:c>
      <x:c r="AI244" s="81" t="n">
        <x:f>IF(AH244&gt;0,(AE244+AF244)/AH244*365,0)</x:f>
        <x:v>0.000014329267866288483</x:v>
      </x:c>
      <x:c r="AJ244" s="81" t="n">
        <x:f>IF('Inputs'!$B$44&gt;0,AG244/('Inputs'!$B$19*'Inputs'!$B$44)*365,0)</x:f>
        <x:v>2.0209097276377027e-8</x:v>
      </x:c>
      <x:c r="AK244" s="81" t="n">
        <x:f>W244/MAX($W$4:W244)-1</x:f>
        <x:v>-0.999999998716206</x:v>
      </x:c>
      <x:c r="AL244" s="83" t="n">
        <x:f>'Inputs'!$B$44</x:f>
        <x:v>1</x:v>
      </x:c>
      <x:c r="AM244" s="83" t="n">
        <x:f>'Inputs'!$C$44</x:f>
        <x:v>0.25</x:v>
      </x:c>
      <x:c r="AN244" s="83" t="n">
        <x:f>'Inputs'!$D$44</x:f>
        <x:v>0.2</x:v>
      </x:c>
      <x:c r="AO244" s="81" t="n">
        <x:f>'Inputs'!$E$44</x:f>
        <x:v>-0.2</x:v>
      </x:c>
    </x:row>
    <x:row r="245">
      <x:c r="A245" s="59" t="str">
        <x:v>No demand</x:v>
      </x:c>
      <x:c r="B245" s="59" t="n">
        <x:v>242</x:v>
      </x:c>
      <x:c r="C245" s="78" t="n">
        <x:f>(('Inputs'!$B$29*(3*242*'Inputs'!$B$12-242^2)/(2*'Inputs'!$B$12^2))-('Inputs'!$B$29*(3*241*'Inputs'!$B$12-241^2)/(2*'Inputs'!$B$12^2)))*'Inputs'!$B$44</x:f>
        <x:v>633472.743479073</x:v>
      </x:c>
      <x:c r="D245" s="78" t="n">
        <x:f>IF('Inputs'!$C$44&gt;0,('Inputs'!$B$30*(3*242*'Inputs'!$B$12-242^2)/(2*'Inputs'!$B$12^2))-('Inputs'!$B$30*(3*241*'Inputs'!$B$12-241^2)/(2*'Inputs'!$B$12^2)),0)</x:f>
        <x:v>271488.3186338991</x:v>
      </x:c>
      <x:c r="E245" s="78" t="n">
        <x:f>C245+D245</x:f>
        <x:v>904961.0621129721</x:v>
      </x:c>
      <x:c r="F245" s="78" t="n">
        <x:f>'Inputs'!$B$13*E245+(1-'Inputs'!$B$13)/'Inputs'!$B$14*SUM(E190:E245)</x:f>
        <x:v>915178.7389754186</x:v>
      </x:c>
      <x:c r="G245" s="78" t="n">
        <x:f>F245*'Inputs'!$F$44</x:f>
        <x:v>823660.8650778767</x:v>
      </x:c>
      <x:c r="H245" s="78" t="n">
        <x:f>U244</x:f>
        <x:v>116461076723.46625</x:v>
      </x:c>
      <x:c r="I245" s="78" t="n">
        <x:f>V244</x:f>
        <x:v>0.10173820907162896</x:v>
      </x:c>
      <x:c r="J245" s="79" t="n">
        <x:f>IF(H245&gt;0,I245/H245,0)</x:f>
        <x:v>8.735812164368328e-13</x:v>
      </x:c>
      <x:c r="K245" s="80" t="n">
        <x:f>(H245*J245+I245)*'Inputs'!$D$44*(1+'Inputs'!$G$44)^(B245/30)</x:f>
        <x:v>0.04069528362865159</x:v>
      </x:c>
      <x:c r="L245" s="80" t="n">
        <x:f>MAX(0,K245*'Inputs'!$E$44)</x:f>
        <x:v>0</x:v>
      </x:c>
      <x:c r="M245" s="80" t="n">
        <x:f>MAX(0,-K245*'Inputs'!$E$44)</x:f>
        <x:v>0.008139056725730318</x:v>
      </x:c>
      <x:c r="N245" s="78" t="n">
        <x:f>H245*(L245*(1-'Inputs'!$B$15))/(I245+L245*(1-'Inputs'!$B$15))</x:f>
        <x:v>0</x:v>
      </x:c>
      <x:c r="O245" s="78" t="n">
        <x:f>H245-N245</x:f>
        <x:v>116461076723.46625</x:v>
      </x:c>
      <x:c r="P245" s="78" t="n">
        <x:f>I245+L245*(1-'Inputs'!$B$17)</x:f>
        <x:v>0.10173820907162896</x:v>
      </x:c>
      <x:c r="Q245" s="78" t="n">
        <x:f>IF(J245&gt;0,M245/J245,0)</x:f>
        <x:v>0</x:v>
      </x:c>
      <x:c r="R245" s="78" t="n">
        <x:f>IF(B245='Inputs'!$H$44,'Inputs'!$B$27*'Inputs'!$I$44,0)</x:f>
        <x:v>0</x:v>
      </x:c>
      <x:c r="S245" s="78" t="n">
        <x:f>Q245+G245+R245</x:f>
        <x:v>823660.8650778767</x:v>
      </x:c>
      <x:c r="T245" s="78" t="n">
        <x:f>P245*(S245*(1-'Inputs'!$B$15))/(O245+S245*(1-'Inputs'!$B$15))</x:f>
        <x:v>7.123343262981658e-7</x:v>
      </x:c>
      <x:c r="U245" s="78" t="n">
        <x:f>O245+S245*(1-'Inputs'!$B$17)</x:f>
        <x:v>116461897069.80067</x:v>
      </x:c>
      <x:c r="V245" s="78" t="n">
        <x:f>P245-T245</x:f>
        <x:v>0.10173749673730266</x:v>
      </x:c>
      <x:c r="W245" s="79" t="n">
        <x:f>IF(U245&gt;0,V245/U245,0)</x:f>
        <x:v>8.735689465570611e-13</x:v>
      </x:c>
      <x:c r="X245" s="80" t="n">
        <x:f>W245*('Inputs'!$B$6-AC245)</x:f>
        <x:v>-0.00035823069674497494</x:v>
      </x:c>
      <x:c r="Y245" s="80" t="n">
        <x:f>2*V245</x:f>
        <x:v>0.20347499347460532</x:v>
      </x:c>
      <x:c r="Z245" s="80" t="n">
        <x:f>K245*'Inputs'!$B$16+(G245+R245)*J245*'Inputs'!$B$16</x:f>
        <x:v>0.00024417601897987217</x:v>
      </x:c>
      <x:c r="AA245" s="80" t="n">
        <x:f>K245*(1+'Inputs'!$E$44)/2*'Inputs'!$B$17</x:f>
        <x:v>0.00006550548672619975</x:v>
      </x:c>
      <x:c r="AB245" s="78" t="n">
        <x:f>(IF(J245&gt;0,K245*(1-'Inputs'!$E$44)/2/J245,0)+G245+R245)*'Inputs'!$B$17</x:f>
        <x:v>3314.5306441765665</x:v>
      </x:c>
      <x:c r="AC245" s="78" t="n">
        <x:f>AC244+AB245</x:f>
        <x:v>1410077187.561263</x:v>
      </x:c>
      <x:c r="AD245" s="80" t="n">
        <x:f>Z245/(1+'Inputs'!$C$44)</x:f>
        <x:v>0.00019534081518389774</x:v>
      </x:c>
      <x:c r="AE245" s="80" t="n">
        <x:f>Z245-AD245</x:f>
        <x:v>0.00004883520379597443</x:v>
      </x:c>
      <x:c r="AF245" s="80" t="n">
        <x:f>D245*W245</x:f>
        <x:v>2.3716376451156296e-7</x:v>
      </x:c>
      <x:c r="AG245" s="80" t="n">
        <x:f>C245*W245</x:f>
        <x:v>5.533821171936253e-7</x:v>
      </x:c>
      <x:c r="AH245" s="80" t="n">
        <x:f>2*'Inputs'!$B$8*'Inputs'!$C$44</x:f>
        <x:v>1250</x:v>
      </x:c>
      <x:c r="AI245" s="81" t="n">
        <x:f>IF(AH245&gt;0,(AE245+AF245)/AH245*365,0)</x:f>
        <x:v>0.00001432913132766191</x:v>
      </x:c>
      <x:c r="AJ245" s="81" t="n">
        <x:f>IF('Inputs'!$B$44&gt;0,AG245/('Inputs'!$B$19*'Inputs'!$B$44)*365,0)</x:f>
        <x:v>2.019844727756732e-8</x:v>
      </x:c>
      <x:c r="AK245" s="81" t="n">
        <x:f>W245/MAX($W$4:W245)-1</x:f>
        <x:v>-0.999999998716224</x:v>
      </x:c>
      <x:c r="AL245" s="83" t="n">
        <x:f>'Inputs'!$B$44</x:f>
        <x:v>1</x:v>
      </x:c>
      <x:c r="AM245" s="83" t="n">
        <x:f>'Inputs'!$C$44</x:f>
        <x:v>0.25</x:v>
      </x:c>
      <x:c r="AN245" s="83" t="n">
        <x:f>'Inputs'!$D$44</x:f>
        <x:v>0.2</x:v>
      </x:c>
      <x:c r="AO245" s="81" t="n">
        <x:f>'Inputs'!$E$44</x:f>
        <x:v>-0.2</x:v>
      </x:c>
    </x:row>
    <x:row r="246">
      <x:c r="A246" s="59" t="str">
        <x:v>No demand</x:v>
      </x:c>
      <x:c r="B246" s="59" t="n">
        <x:v>243</x:v>
      </x:c>
      <x:c r="C246" s="78" t="n">
        <x:f>(('Inputs'!$B$29*(3*243*'Inputs'!$B$12-243^2)/(2*'Inputs'!$B$12^2))-('Inputs'!$B$29*(3*242*'Inputs'!$B$12-242^2)/(2*'Inputs'!$B$12^2)))*'Inputs'!$B$44</x:f>
        <x:v>633147.6355789304</x:v>
      </x:c>
      <x:c r="D246" s="78" t="n">
        <x:f>IF('Inputs'!$C$44&gt;0,('Inputs'!$B$30*(3*243*'Inputs'!$B$12-243^2)/(2*'Inputs'!$B$12^2))-('Inputs'!$B$30*(3*242*'Inputs'!$B$12-242^2)/(2*'Inputs'!$B$12^2)),0)</x:f>
        <x:v>271348.98667666316</x:v>
      </x:c>
      <x:c r="E246" s="78" t="n">
        <x:f>C246+D246</x:f>
        <x:v>904496.6222555935</x:v>
      </x:c>
      <x:c r="F246" s="78" t="n">
        <x:f>'Inputs'!$B$13*E246+(1-'Inputs'!$B$13)/'Inputs'!$B$14*SUM(E191:E246)</x:f>
        <x:v>914714.2991180358</x:v>
      </x:c>
      <x:c r="G246" s="78" t="n">
        <x:f>F246*'Inputs'!$F$44</x:f>
        <x:v>823242.8692062323</x:v>
      </x:c>
      <x:c r="H246" s="78" t="n">
        <x:f>U245</x:f>
        <x:v>116461897069.80067</x:v>
      </x:c>
      <x:c r="I246" s="78" t="n">
        <x:f>V245</x:f>
        <x:v>0.10173749673730266</x:v>
      </x:c>
      <x:c r="J246" s="79" t="n">
        <x:f>IF(H246&gt;0,I246/H246,0)</x:f>
        <x:v>8.735689465570611e-13</x:v>
      </x:c>
      <x:c r="K246" s="80" t="n">
        <x:f>(H246*J246+I246)*'Inputs'!$D$44*(1+'Inputs'!$G$44)^(B246/30)</x:f>
        <x:v>0.04069499869492107</x:v>
      </x:c>
      <x:c r="L246" s="80" t="n">
        <x:f>MAX(0,K246*'Inputs'!$E$44)</x:f>
        <x:v>0</x:v>
      </x:c>
      <x:c r="M246" s="80" t="n">
        <x:f>MAX(0,-K246*'Inputs'!$E$44)</x:f>
        <x:v>0.008138999738984213</x:v>
      </x:c>
      <x:c r="N246" s="78" t="n">
        <x:f>H246*(L246*(1-'Inputs'!$B$15))/(I246+L246*(1-'Inputs'!$B$15))</x:f>
        <x:v>0</x:v>
      </x:c>
      <x:c r="O246" s="78" t="n">
        <x:f>H246-N246</x:f>
        <x:v>116461897069.80067</x:v>
      </x:c>
      <x:c r="P246" s="78" t="n">
        <x:f>I246+L246*(1-'Inputs'!$B$17)</x:f>
        <x:v>0.10173749673730266</x:v>
      </x:c>
      <x:c r="Q246" s="78" t="n">
        <x:f>IF(J246&gt;0,M246/J246,0)</x:f>
        <x:v>0</x:v>
      </x:c>
      <x:c r="R246" s="78" t="n">
        <x:f>IF(B246='Inputs'!$H$44,'Inputs'!$B$27*'Inputs'!$I$44,0)</x:f>
        <x:v>0</x:v>
      </x:c>
      <x:c r="S246" s="78" t="n">
        <x:f>Q246+G246+R246</x:f>
        <x:v>823242.8692062323</x:v>
      </x:c>
      <x:c r="T246" s="78" t="n">
        <x:f>P246*(S246*(1-'Inputs'!$B$15))/(O246+S246*(1-'Inputs'!$B$15))</x:f>
        <x:v>7.119628295754371e-7</x:v>
      </x:c>
      <x:c r="U246" s="78" t="n">
        <x:f>O246+S246*(1-'Inputs'!$B$17)</x:f>
        <x:v>116462716999.82132</x:v>
      </x:c>
      <x:c r="V246" s="78" t="n">
        <x:f>P246-T246</x:f>
        <x:v>0.10173678477447308</x:v>
      </x:c>
      <x:c r="W246" s="79" t="n">
        <x:f>IF(U246&gt;0,V246/U246,0)</x:f>
        <x:v>8.735566831626397e-13</x:v>
      </x:c>
      <x:c r="X246" s="80" t="n">
        <x:f>W246*('Inputs'!$B$6-AC246)</x:f>
        <x:v>-0.0003582285617676877</x:v>
      </x:c>
      <x:c r="Y246" s="80" t="n">
        <x:f>2*V246</x:f>
        <x:v>0.20347356954894616</x:v>
      </x:c>
      <x:c r="Z246" s="80" t="n">
        <x:f>K246*'Inputs'!$B$16+(G246+R246)*J246*'Inputs'!$B$16</x:f>
        <x:v>0.0002441743071259625</x:v>
      </x:c>
      <x:c r="AA246" s="80" t="n">
        <x:f>K246*(1+'Inputs'!$E$44)/2*'Inputs'!$B$17</x:f>
        <x:v>0.00006550502808035585</x:v>
      </x:c>
      <x:c r="AB246" s="78" t="n">
        <x:f>(IF(J246&gt;0,K246*(1-'Inputs'!$E$44)/2/J246,0)+G246+R246)*'Inputs'!$B$17</x:f>
        <x:v>3312.8485682343353</x:v>
      </x:c>
      <x:c r="AC246" s="78" t="n">
        <x:f>AC245+AB246</x:f>
        <x:v>1410080500.4098313</x:v>
      </x:c>
      <x:c r="AD246" s="80" t="n">
        <x:f>Z246/(1+'Inputs'!$C$44)</x:f>
        <x:v>0.00019533944570077001</x:v>
      </x:c>
      <x:c r="AE246" s="80" t="n">
        <x:f>Z246-AD246</x:f>
        <x:v>0.000048834861425192503</x:v>
      </x:c>
      <x:c r="AF246" s="80" t="n">
        <x:f>D246*W246</x:f>
        <x:v>2.3703872078080916e-7</x:v>
      </x:c>
      <x:c r="AG246" s="80" t="n">
        <x:f>C246*W246</x:f>
        <x:v>5.530903484885981e-7</x:v>
      </x:c>
      <x:c r="AH246" s="80" t="n">
        <x:f>2*'Inputs'!$B$8*'Inputs'!$C$44</x:f>
        <x:v>1250</x:v>
      </x:c>
      <x:c r="AI246" s="81" t="n">
        <x:f>IF(AH246&gt;0,(AE246+AF246)/AH246*365,0)</x:f>
        <x:v>0.000014328994842624208</x:v>
      </x:c>
      <x:c r="AJ246" s="81" t="n">
        <x:f>IF('Inputs'!$B$44&gt;0,AG246/('Inputs'!$B$19*'Inputs'!$B$44)*365,0)</x:f>
        <x:v>2.018779771983383e-8</x:v>
      </x:c>
      <x:c r="AK246" s="81" t="n">
        <x:f>W246/MAX($W$4:W246)-1</x:f>
        <x:v>-0.9999999987162421</x:v>
      </x:c>
      <x:c r="AL246" s="83" t="n">
        <x:f>'Inputs'!$B$44</x:f>
        <x:v>1</x:v>
      </x:c>
      <x:c r="AM246" s="83" t="n">
        <x:f>'Inputs'!$C$44</x:f>
        <x:v>0.25</x:v>
      </x:c>
      <x:c r="AN246" s="83" t="n">
        <x:f>'Inputs'!$D$44</x:f>
        <x:v>0.2</x:v>
      </x:c>
      <x:c r="AO246" s="81" t="n">
        <x:f>'Inputs'!$E$44</x:f>
        <x:v>-0.2</x:v>
      </x:c>
    </x:row>
    <x:row r="247">
      <x:c r="A247" s="59" t="str">
        <x:v>No demand</x:v>
      </x:c>
      <x:c r="B247" s="59" t="n">
        <x:v>244</x:v>
      </x:c>
      <x:c r="C247" s="78" t="n">
        <x:f>(('Inputs'!$B$29*(3*244*'Inputs'!$B$12-244^2)/(2*'Inputs'!$B$12^2))-('Inputs'!$B$29*(3*243*'Inputs'!$B$12-243^2)/(2*'Inputs'!$B$12^2)))*'Inputs'!$B$44</x:f>
        <x:v>632822.5276787281</x:v>
      </x:c>
      <x:c r="D247" s="78" t="n">
        <x:f>IF('Inputs'!$C$44&gt;0,('Inputs'!$B$30*(3*244*'Inputs'!$B$12-244^2)/(2*'Inputs'!$B$12^2))-('Inputs'!$B$30*(3*243*'Inputs'!$B$12-243^2)/(2*'Inputs'!$B$12^2)),0)</x:f>
        <x:v>271209.65471947193</x:v>
      </x:c>
      <x:c r="E247" s="78" t="n">
        <x:f>C247+D247</x:f>
        <x:v>904032.1823982</x:v>
      </x:c>
      <x:c r="F247" s="78" t="n">
        <x:f>'Inputs'!$B$13*E247+(1-'Inputs'!$B$13)/'Inputs'!$B$14*SUM(E192:E247)</x:f>
        <x:v>914249.8592606497</x:v>
      </x:c>
      <x:c r="G247" s="78" t="n">
        <x:f>F247*'Inputs'!$F$44</x:f>
        <x:v>822824.8733345848</x:v>
      </x:c>
      <x:c r="H247" s="78" t="n">
        <x:f>U246</x:f>
        <x:v>116462716999.82132</x:v>
      </x:c>
      <x:c r="I247" s="78" t="n">
        <x:f>V246</x:f>
        <x:v>0.10173678477447308</x:v>
      </x:c>
      <x:c r="J247" s="79" t="n">
        <x:f>IF(H247&gt;0,I247/H247,0)</x:f>
        <x:v>8.735566831626397e-13</x:v>
      </x:c>
      <x:c r="K247" s="80" t="n">
        <x:f>(H247*J247+I247)*'Inputs'!$D$44*(1+'Inputs'!$G$44)^(B247/30)</x:f>
        <x:v>0.04069471390978924</x:v>
      </x:c>
      <x:c r="L247" s="80" t="n">
        <x:f>MAX(0,K247*'Inputs'!$E$44)</x:f>
        <x:v>0</x:v>
      </x:c>
      <x:c r="M247" s="80" t="n">
        <x:f>MAX(0,-K247*'Inputs'!$E$44)</x:f>
        <x:v>0.008138942781957847</x:v>
      </x:c>
      <x:c r="N247" s="78" t="n">
        <x:f>H247*(L247*(1-'Inputs'!$B$15))/(I247+L247*(1-'Inputs'!$B$15))</x:f>
        <x:v>0</x:v>
      </x:c>
      <x:c r="O247" s="78" t="n">
        <x:f>H247-N247</x:f>
        <x:v>116462716999.82132</x:v>
      </x:c>
      <x:c r="P247" s="78" t="n">
        <x:f>I247+L247*(1-'Inputs'!$B$17)</x:f>
        <x:v>0.10173678477447308</x:v>
      </x:c>
      <x:c r="Q247" s="78" t="n">
        <x:f>IF(J247&gt;0,M247/J247,0)</x:f>
        <x:v>0</x:v>
      </x:c>
      <x:c r="R247" s="78" t="n">
        <x:f>IF(B247='Inputs'!$H$44,'Inputs'!$B$27*'Inputs'!$I$44,0)</x:f>
        <x:v>0</x:v>
      </x:c>
      <x:c r="S247" s="78" t="n">
        <x:f>Q247+G247+R247</x:f>
        <x:v>822824.8733345848</x:v>
      </x:c>
      <x:c r="T247" s="78" t="n">
        <x:f>P247*(S247*(1-'Inputs'!$B$15))/(O247+S247*(1-'Inputs'!$B$15))</x:f>
        <x:v>7.115913482877547e-7</x:v>
      </x:c>
      <x:c r="U247" s="78" t="n">
        <x:f>O247+S247*(1-'Inputs'!$B$17)</x:f>
        <x:v>116463536513.52817</x:v>
      </x:c>
      <x:c r="V247" s="78" t="n">
        <x:f>P247-T247</x:f>
        <x:v>0.10173607318312479</x:v>
      </x:c>
      <x:c r="W247" s="79" t="n">
        <x:f>IF(U247&gt;0,V247/U247,0)</x:f>
        <x:v>8.735444262531675e-13</x:v>
      </x:c>
      <x:c r="X247" s="80" t="n">
        <x:f>W247*('Inputs'!$B$6-AC247)</x:f>
        <x:v>-0.00035822642789915156</x:v>
      </x:c>
      <x:c r="Y247" s="80" t="n">
        <x:f>2*V247</x:f>
        <x:v>0.20347214636624958</x:v>
      </x:c>
      <x:c r="Z247" s="80" t="n">
        <x:f>K247*'Inputs'!$B$16+(G247+R247)*J247*'Inputs'!$B$16</x:f>
        <x:v>0.0002441725961637385</x:v>
      </x:c>
      <x:c r="AA247" s="80" t="n">
        <x:f>K247*(1+'Inputs'!$E$44)/2*'Inputs'!$B$17</x:f>
        <x:v>0.000065504569673705</x:v>
      </x:c>
      <x:c r="AB247" s="78" t="n">
        <x:f>(IF(J247&gt;0,K247*(1-'Inputs'!$E$44)/2/J247,0)+G247+R247)*'Inputs'!$B$17</x:f>
        <x:v>3311.166492292092</x:v>
      </x:c>
      <x:c r="AC247" s="78" t="n">
        <x:f>AC246+AB247</x:f>
        <x:v>1410083811.5763235</x:v>
      </x:c>
      <x:c r="AD247" s="80" t="n">
        <x:f>Z247/(1+'Inputs'!$C$44)</x:f>
        <x:v>0.0001953380769309908</x:v>
      </x:c>
      <x:c r="AE247" s="80" t="n">
        <x:f>Z247-AD247</x:f>
        <x:v>0.00004883451923274771</x:v>
      </x:c>
      <x:c r="AF247" s="80" t="n">
        <x:f>D247*W247</x:f>
        <x:v>2.3691368222624076e-7</x:v>
      </x:c>
      <x:c r="AG247" s="80" t="n">
        <x:f>C247*W247</x:f>
        <x:v>5.527985918611937e-7</x:v>
      </x:c>
      <x:c r="AH247" s="80" t="n">
        <x:f>2*'Inputs'!$B$8*'Inputs'!$C$44</x:f>
        <x:v>1250</x:v>
      </x:c>
      <x:c r="AI247" s="81" t="n">
        <x:f>IF(AH247&gt;0,(AE247+AF247)/AH247*365,0)</x:f>
        <x:v>0.000014328858411172394</x:v>
      </x:c>
      <x:c r="AJ247" s="81" t="n">
        <x:f>IF('Inputs'!$B$44&gt;0,AG247/('Inputs'!$B$19*'Inputs'!$B$44)*365,0)</x:f>
        <x:v>2.0177148602933573e-8</x:v>
      </x:c>
      <x:c r="AK247" s="81" t="n">
        <x:f>W247/MAX($W$4:W247)-1</x:f>
        <x:v>-0.9999999987162601</x:v>
      </x:c>
      <x:c r="AL247" s="83" t="n">
        <x:f>'Inputs'!$B$44</x:f>
        <x:v>1</x:v>
      </x:c>
      <x:c r="AM247" s="83" t="n">
        <x:f>'Inputs'!$C$44</x:f>
        <x:v>0.25</x:v>
      </x:c>
      <x:c r="AN247" s="83" t="n">
        <x:f>'Inputs'!$D$44</x:f>
        <x:v>0.2</x:v>
      </x:c>
      <x:c r="AO247" s="81" t="n">
        <x:f>'Inputs'!$E$44</x:f>
        <x:v>-0.2</x:v>
      </x:c>
    </x:row>
    <x:row r="248">
      <x:c r="A248" s="59" t="str">
        <x:v>No demand</x:v>
      </x:c>
      <x:c r="B248" s="59" t="n">
        <x:v>245</x:v>
      </x:c>
      <x:c r="C248" s="78" t="n">
        <x:f>(('Inputs'!$B$29*(3*245*'Inputs'!$B$12-245^2)/(2*'Inputs'!$B$12^2))-('Inputs'!$B$29*(3*244*'Inputs'!$B$12-244^2)/(2*'Inputs'!$B$12^2)))*'Inputs'!$B$44</x:f>
        <x:v>632497.4197785854</x:v>
      </x:c>
      <x:c r="D248" s="78" t="n">
        <x:f>IF('Inputs'!$C$44&gt;0,('Inputs'!$B$30*(3*245*'Inputs'!$B$12-245^2)/(2*'Inputs'!$B$12^2))-('Inputs'!$B$30*(3*244*'Inputs'!$B$12-244^2)/(2*'Inputs'!$B$12^2)),0)</x:f>
        <x:v>271070.322762236</x:v>
      </x:c>
      <x:c r="E248" s="78" t="n">
        <x:f>C248+D248</x:f>
        <x:v>903567.7425408214</x:v>
      </x:c>
      <x:c r="F248" s="78" t="n">
        <x:f>'Inputs'!$B$13*E248+(1-'Inputs'!$B$13)/'Inputs'!$B$14*SUM(E193:E248)</x:f>
        <x:v>913785.4194032669</x:v>
      </x:c>
      <x:c r="G248" s="78" t="n">
        <x:f>F248*'Inputs'!$F$44</x:f>
        <x:v>822406.8774629402</x:v>
      </x:c>
      <x:c r="H248" s="78" t="n">
        <x:f>U247</x:f>
        <x:v>116463536513.52817</x:v>
      </x:c>
      <x:c r="I248" s="78" t="n">
        <x:f>V247</x:f>
        <x:v>0.10173607318312479</x:v>
      </x:c>
      <x:c r="J248" s="79" t="n">
        <x:f>IF(H248&gt;0,I248/H248,0)</x:f>
        <x:v>8.735444262531675e-13</x:v>
      </x:c>
      <x:c r="K248" s="80" t="n">
        <x:f>(H248*J248+I248)*'Inputs'!$D$44*(1+'Inputs'!$G$44)^(B248/30)</x:f>
        <x:v>0.04069442927324992</x:v>
      </x:c>
      <x:c r="L248" s="80" t="n">
        <x:f>MAX(0,K248*'Inputs'!$E$44)</x:f>
        <x:v>0</x:v>
      </x:c>
      <x:c r="M248" s="80" t="n">
        <x:f>MAX(0,-K248*'Inputs'!$E$44)</x:f>
        <x:v>0.008138885854649985</x:v>
      </x:c>
      <x:c r="N248" s="78" t="n">
        <x:f>H248*(L248*(1-'Inputs'!$B$15))/(I248+L248*(1-'Inputs'!$B$15))</x:f>
        <x:v>0</x:v>
      </x:c>
      <x:c r="O248" s="78" t="n">
        <x:f>H248-N248</x:f>
        <x:v>116463536513.52817</x:v>
      </x:c>
      <x:c r="P248" s="78" t="n">
        <x:f>I248+L248*(1-'Inputs'!$B$17)</x:f>
        <x:v>0.10173607318312479</x:v>
      </x:c>
      <x:c r="Q248" s="78" t="n">
        <x:f>IF(J248&gt;0,M248/J248,0)</x:f>
        <x:v>0</x:v>
      </x:c>
      <x:c r="R248" s="78" t="n">
        <x:f>IF(B248='Inputs'!$H$44,'Inputs'!$B$27*'Inputs'!$I$44,0)</x:f>
        <x:v>0</x:v>
      </x:c>
      <x:c r="S248" s="78" t="n">
        <x:f>Q248+G248+R248</x:f>
        <x:v>822406.8774629402</x:v>
      </x:c>
      <x:c r="T248" s="78" t="n">
        <x:f>P248*(S248*(1-'Inputs'!$B$15))/(O248+S248*(1-'Inputs'!$B$15))</x:f>
        <x:v>7.112198824267465e-7</x:v>
      </x:c>
      <x:c r="U248" s="78" t="n">
        <x:f>O248+S248*(1-'Inputs'!$B$17)</x:f>
        <x:v>116464355610.92122</x:v>
      </x:c>
      <x:c r="V248" s="78" t="n">
        <x:f>P248-T248</x:f>
        <x:v>0.10173536196324236</x:v>
      </x:c>
      <x:c r="W248" s="79" t="n">
        <x:f>IF(U248&gt;0,V248/U248,0)</x:f>
        <x:v>8.735321758282439e-13</x:v>
      </x:c>
      <x:c r="X248" s="80" t="n">
        <x:f>W248*('Inputs'!$B$6-AC248)</x:f>
        <x:v>-0.0003582242951393285</x:v>
      </x:c>
      <x:c r="Y248" s="80" t="n">
        <x:f>2*V248</x:f>
        <x:v>0.20347072392648471</x:v>
      </x:c>
      <x:c r="Z248" s="80" t="n">
        <x:f>K248*'Inputs'!$B$16+(G248+R248)*J248*'Inputs'!$B$16</x:f>
        <x:v>0.0002441708860931631</x:v>
      </x:c>
      <x:c r="AA248" s="80" t="n">
        <x:f>K248*(1+'Inputs'!$E$44)/2*'Inputs'!$B$17</x:f>
        <x:v>0.00006550411150623731</x:v>
      </x:c>
      <x:c r="AB248" s="78" t="n">
        <x:f>(IF(J248&gt;0,K248*(1-'Inputs'!$E$44)/2/J248,0)+G248+R248)*'Inputs'!$B$17</x:f>
        <x:v>3309.48441634986</x:v>
      </x:c>
      <x:c r="AC248" s="78" t="n">
        <x:f>AC247+AB248</x:f>
        <x:v>1410087121.0607398</x:v>
      </x:c>
      <x:c r="AD248" s="80" t="n">
        <x:f>Z248/(1+'Inputs'!$C$44)</x:f>
        <x:v>0.00019533670887453047</x:v>
      </x:c>
      <x:c r="AE248" s="80" t="n">
        <x:f>Z248-AD248</x:f>
        <x:v>0.000048834177218632605</x:v>
      </x:c>
      <x:c r="AF248" s="80" t="n">
        <x:f>D248*W248</x:f>
        <x:v>2.3678864884496037e-7</x:v>
      </x:c>
      <x:c r="AG248" s="80" t="n">
        <x:f>C248*W248</x:f>
        <x:v>5.525068473049379e-7</x:v>
      </x:c>
      <x:c r="AH248" s="80" t="n">
        <x:f>2*'Inputs'!$B$8*'Inputs'!$C$44</x:f>
        <x:v>1250</x:v>
      </x:c>
      <x:c r="AI248" s="81" t="n">
        <x:f>IF(AH248&gt;0,(AE248+AF248)/AH248*365,0)</x:f>
        <x:v>0.000014328722033303449</x:v>
      </x:c>
      <x:c r="AJ248" s="81" t="n">
        <x:f>IF('Inputs'!$B$44&gt;0,AG248/('Inputs'!$B$19*'Inputs'!$B$44)*365,0)</x:f>
        <x:v>2.0166499926630232e-8</x:v>
      </x:c>
      <x:c r="AK248" s="81" t="n">
        <x:f>W248/MAX($W$4:W248)-1</x:f>
        <x:v>-0.9999999987162781</x:v>
      </x:c>
      <x:c r="AL248" s="83" t="n">
        <x:f>'Inputs'!$B$44</x:f>
        <x:v>1</x:v>
      </x:c>
      <x:c r="AM248" s="83" t="n">
        <x:f>'Inputs'!$C$44</x:f>
        <x:v>0.25</x:v>
      </x:c>
      <x:c r="AN248" s="83" t="n">
        <x:f>'Inputs'!$D$44</x:f>
        <x:v>0.2</x:v>
      </x:c>
      <x:c r="AO248" s="81" t="n">
        <x:f>'Inputs'!$E$44</x:f>
        <x:v>-0.2</x:v>
      </x:c>
    </x:row>
    <x:row r="249">
      <x:c r="A249" s="59" t="str">
        <x:v>No demand</x:v>
      </x:c>
      <x:c r="B249" s="59" t="n">
        <x:v>246</x:v>
      </x:c>
      <x:c r="C249" s="78" t="n">
        <x:f>(('Inputs'!$B$29*(3*246*'Inputs'!$B$12-246^2)/(2*'Inputs'!$B$12^2))-('Inputs'!$B$29*(3*245*'Inputs'!$B$12-245^2)/(2*'Inputs'!$B$12^2)))*'Inputs'!$B$44</x:f>
        <x:v>632172.3118783832</x:v>
      </x:c>
      <x:c r="D249" s="78" t="n">
        <x:f>IF('Inputs'!$C$44&gt;0,('Inputs'!$B$30*(3*246*'Inputs'!$B$12-246^2)/(2*'Inputs'!$B$12^2))-('Inputs'!$B$30*(3*245*'Inputs'!$B$12-245^2)/(2*'Inputs'!$B$12^2)),0)</x:f>
        <x:v>270930.99080502987</x:v>
      </x:c>
      <x:c r="E249" s="78" t="n">
        <x:f>C249+D249</x:f>
        <x:v>903103.302683413</x:v>
      </x:c>
      <x:c r="F249" s="78" t="n">
        <x:f>'Inputs'!$B$13*E249+(1-'Inputs'!$B$13)/'Inputs'!$B$14*SUM(E194:E249)</x:f>
        <x:v>913320.9795458775</x:v>
      </x:c>
      <x:c r="G249" s="78" t="n">
        <x:f>F249*'Inputs'!$F$44</x:f>
        <x:v>821988.8815912898</x:v>
      </x:c>
      <x:c r="H249" s="78" t="n">
        <x:f>U248</x:f>
        <x:v>116464355610.92122</x:v>
      </x:c>
      <x:c r="I249" s="78" t="n">
        <x:f>V248</x:f>
        <x:v>0.10173536196324236</x:v>
      </x:c>
      <x:c r="J249" s="79" t="n">
        <x:f>IF(H249&gt;0,I249/H249,0)</x:f>
        <x:v>8.735321758282439e-13</x:v>
      </x:c>
      <x:c r="K249" s="80" t="n">
        <x:f>(H249*J249+I249)*'Inputs'!$D$44*(1+'Inputs'!$G$44)^(B249/30)</x:f>
        <x:v>0.04069414478529695</x:v>
      </x:c>
      <x:c r="L249" s="80" t="n">
        <x:f>MAX(0,K249*'Inputs'!$E$44)</x:f>
        <x:v>0</x:v>
      </x:c>
      <x:c r="M249" s="80" t="n">
        <x:f>MAX(0,-K249*'Inputs'!$E$44)</x:f>
        <x:v>0.008138828957059389</x:v>
      </x:c>
      <x:c r="N249" s="78" t="n">
        <x:f>H249*(L249*(1-'Inputs'!$B$15))/(I249+L249*(1-'Inputs'!$B$15))</x:f>
        <x:v>0</x:v>
      </x:c>
      <x:c r="O249" s="78" t="n">
        <x:f>H249-N249</x:f>
        <x:v>116464355610.92122</x:v>
      </x:c>
      <x:c r="P249" s="78" t="n">
        <x:f>I249+L249*(1-'Inputs'!$B$17)</x:f>
        <x:v>0.10173536196324236</x:v>
      </x:c>
      <x:c r="Q249" s="78" t="n">
        <x:f>IF(J249&gt;0,M249/J249,0)</x:f>
        <x:v>0</x:v>
      </x:c>
      <x:c r="R249" s="78" t="n">
        <x:f>IF(B249='Inputs'!$H$44,'Inputs'!$B$27*'Inputs'!$I$44,0)</x:f>
        <x:v>0</x:v>
      </x:c>
      <x:c r="S249" s="78" t="n">
        <x:f>Q249+G249+R249</x:f>
        <x:v>821988.8815912898</x:v>
      </x:c>
      <x:c r="T249" s="78" t="n">
        <x:f>P249*(S249*(1-'Inputs'!$B$15))/(O249+S249*(1-'Inputs'!$B$15))</x:f>
        <x:v>7.108484319840282e-7</x:v>
      </x:c>
      <x:c r="U249" s="78" t="n">
        <x:f>O249+S249*(1-'Inputs'!$B$17)</x:f>
        <x:v>116465174292.00047</x:v>
      </x:c>
      <x:c r="V249" s="78" t="n">
        <x:f>P249-T249</x:f>
        <x:v>0.10173465111481038</x:v>
      </x:c>
      <x:c r="W249" s="79" t="n">
        <x:f>IF(U249&gt;0,V249/U249,0)</x:f>
        <x:v>8.735199318874683e-13</x:v>
      </x:c>
      <x:c r="X249" s="80" t="n">
        <x:f>W249*('Inputs'!$B$6-AC249)</x:f>
        <x:v>-0.00035822216348818057</x:v>
      </x:c>
      <x:c r="Y249" s="80" t="n">
        <x:f>2*V249</x:f>
        <x:v>0.20346930222962076</x:v>
      </x:c>
      <x:c r="Z249" s="80" t="n">
        <x:f>K249*'Inputs'!$B$16+(G249+R249)*J249*'Inputs'!$B$16</x:f>
        <x:v>0.0002441691769141992</x:v>
      </x:c>
      <x:c r="AA249" s="80" t="n">
        <x:f>K249*(1+'Inputs'!$E$44)/2*'Inputs'!$B$17</x:f>
        <x:v>0.00006550365357794277</x:v>
      </x:c>
      <x:c r="AB249" s="78" t="n">
        <x:f>(IF(J249&gt;0,K249*(1-'Inputs'!$E$44)/2/J249,0)+G249+R249)*'Inputs'!$B$17</x:f>
        <x:v>3307.802340407605</x:v>
      </x:c>
      <x:c r="AC249" s="78" t="n">
        <x:f>AC248+AB249</x:f>
        <x:v>1410090428.8630803</x:v>
      </x:c>
      <x:c r="AD249" s="80" t="n">
        <x:f>Z249/(1+'Inputs'!$C$44)</x:f>
        <x:v>0.00019533534153135936</x:v>
      </x:c>
      <x:c r="AE249" s="80" t="n">
        <x:f>Z249-AD249</x:f>
        <x:v>0.00004883383538283983</x:v>
      </x:c>
      <x:c r="AF249" s="80" t="n">
        <x:f>D249*W249</x:f>
        <x:v>2.36663620634214e-7</x:v>
      </x:c>
      <x:c r="AG249" s="80" t="n">
        <x:f>C249*W249</x:f>
        <x:v>5.522151148131486e-7</x:v>
      </x:c>
      <x:c r="AH249" s="80" t="n">
        <x:f>2*'Inputs'!$B$8*'Inputs'!$C$44</x:f>
        <x:v>1250</x:v>
      </x:c>
      <x:c r="AI249" s="81" t="n">
        <x:f>IF(AH249&gt;0,(AE249+AF249)/AH249*365,0)</x:f>
        <x:v>0.000014328585709014423</x:v>
      </x:c>
      <x:c r="AJ249" s="81" t="n">
        <x:f>IF('Inputs'!$B$44&gt;0,AG249/('Inputs'!$B$19*'Inputs'!$B$44)*365,0)</x:f>
        <x:v>2.0155851690679924e-8</x:v>
      </x:c>
      <x:c r="AK249" s="81" t="n">
        <x:f>W249/MAX($W$4:W249)-1</x:f>
        <x:v>-0.9999999987162961</x:v>
      </x:c>
      <x:c r="AL249" s="83" t="n">
        <x:f>'Inputs'!$B$44</x:f>
        <x:v>1</x:v>
      </x:c>
      <x:c r="AM249" s="83" t="n">
        <x:f>'Inputs'!$C$44</x:f>
        <x:v>0.25</x:v>
      </x:c>
      <x:c r="AN249" s="83" t="n">
        <x:f>'Inputs'!$D$44</x:f>
        <x:v>0.2</x:v>
      </x:c>
      <x:c r="AO249" s="81" t="n">
        <x:f>'Inputs'!$E$44</x:f>
        <x:v>-0.2</x:v>
      </x:c>
    </x:row>
    <x:row r="250">
      <x:c r="A250" s="59" t="str">
        <x:v>No demand</x:v>
      </x:c>
      <x:c r="B250" s="59" t="n">
        <x:v>247</x:v>
      </x:c>
      <x:c r="C250" s="78" t="n">
        <x:f>(('Inputs'!$B$29*(3*247*'Inputs'!$B$12-247^2)/(2*'Inputs'!$B$12^2))-('Inputs'!$B$29*(3*246*'Inputs'!$B$12-246^2)/(2*'Inputs'!$B$12^2)))*'Inputs'!$B$44</x:f>
        <x:v>631847.2039782405</x:v>
      </x:c>
      <x:c r="D250" s="78" t="n">
        <x:f>IF('Inputs'!$C$44&gt;0,('Inputs'!$B$30*(3*247*'Inputs'!$B$12-247^2)/(2*'Inputs'!$B$12^2))-('Inputs'!$B$30*(3*246*'Inputs'!$B$12-246^2)/(2*'Inputs'!$B$12^2)),0)</x:f>
        <x:v>270791.65884780884</x:v>
      </x:c>
      <x:c r="E250" s="78" t="n">
        <x:f>C250+D250</x:f>
        <x:v>902638.8628260493</x:v>
      </x:c>
      <x:c r="F250" s="78" t="n">
        <x:f>'Inputs'!$B$13*E250+(1-'Inputs'!$B$13)/'Inputs'!$B$14*SUM(E195:E250)</x:f>
        <x:v>912856.5396884975</x:v>
      </x:c>
      <x:c r="G250" s="78" t="n">
        <x:f>F250*'Inputs'!$F$44</x:f>
        <x:v>821570.8857196479</x:v>
      </x:c>
      <x:c r="H250" s="78" t="n">
        <x:f>U249</x:f>
        <x:v>116465174292.00047</x:v>
      </x:c>
      <x:c r="I250" s="78" t="n">
        <x:f>V249</x:f>
        <x:v>0.10173465111481038</x:v>
      </x:c>
      <x:c r="J250" s="79" t="n">
        <x:f>IF(H250&gt;0,I250/H250,0)</x:f>
        <x:v>8.735199318874683e-13</x:v>
      </x:c>
      <x:c r="K250" s="80" t="n">
        <x:f>(H250*J250+I250)*'Inputs'!$D$44*(1+'Inputs'!$G$44)^(B250/30)</x:f>
        <x:v>0.04069386044592416</x:v>
      </x:c>
      <x:c r="L250" s="80" t="n">
        <x:f>MAX(0,K250*'Inputs'!$E$44)</x:f>
        <x:v>0</x:v>
      </x:c>
      <x:c r="M250" s="80" t="n">
        <x:f>MAX(0,-K250*'Inputs'!$E$44)</x:f>
        <x:v>0.008138772089184832</x:v>
      </x:c>
      <x:c r="N250" s="78" t="n">
        <x:f>H250*(L250*(1-'Inputs'!$B$15))/(I250+L250*(1-'Inputs'!$B$15))</x:f>
        <x:v>0</x:v>
      </x:c>
      <x:c r="O250" s="78" t="n">
        <x:f>H250-N250</x:f>
        <x:v>116465174292.00047</x:v>
      </x:c>
      <x:c r="P250" s="78" t="n">
        <x:f>I250+L250*(1-'Inputs'!$B$17)</x:f>
        <x:v>0.10173465111481038</x:v>
      </x:c>
      <x:c r="Q250" s="78" t="n">
        <x:f>IF(J250&gt;0,M250/J250,0)</x:f>
        <x:v>0</x:v>
      </x:c>
      <x:c r="R250" s="78" t="n">
        <x:f>IF(B250='Inputs'!$H$44,'Inputs'!$B$27*'Inputs'!$I$44,0)</x:f>
        <x:v>0</x:v>
      </x:c>
      <x:c r="S250" s="78" t="n">
        <x:f>Q250+G250+R250</x:f>
        <x:v>821570.8857196479</x:v>
      </x:c>
      <x:c r="T250" s="78" t="n">
        <x:f>P250*(S250*(1-'Inputs'!$B$15))/(O250+S250*(1-'Inputs'!$B$15))</x:f>
        <x:v>7.104769969512366e-7</x:v>
      </x:c>
      <x:c r="U250" s="78" t="n">
        <x:f>O250+S250*(1-'Inputs'!$B$17)</x:f>
        <x:v>116465992556.76593</x:v>
      </x:c>
      <x:c r="V250" s="78" t="n">
        <x:f>P250-T250</x:f>
        <x:v>0.10173394063781342</x:v>
      </x:c>
      <x:c r="W250" s="79" t="n">
        <x:f>IF(U250&gt;0,V250/U250,0)</x:f>
        <x:v>8.735076944304402e-13</x:v>
      </x:c>
      <x:c r="X250" s="80" t="n">
        <x:f>W250*('Inputs'!$B$6-AC250)</x:f>
        <x:v>-0.0003582200329456695</x:v>
      </x:c>
      <x:c r="Y250" s="80" t="n">
        <x:f>2*V250</x:f>
        <x:v>0.20346788127562684</x:v>
      </x:c>
      <x:c r="Z250" s="80" t="n">
        <x:f>K250*'Inputs'!$B$16+(G250+R250)*J250*'Inputs'!$B$16</x:f>
        <x:v>0.00024416746862680977</x:v>
      </x:c>
      <x:c r="AA250" s="80" t="n">
        <x:f>K250*(1+'Inputs'!$E$44)/2*'Inputs'!$B$17</x:f>
        <x:v>0.00006550319588881153</x:v>
      </x:c>
      <x:c r="AB250" s="78" t="n">
        <x:f>(IF(J250&gt;0,K250*(1-'Inputs'!$E$44)/2/J250,0)+G250+R250)*'Inputs'!$B$17</x:f>
        <x:v>3306.120264465384</x:v>
      </x:c>
      <x:c r="AC250" s="78" t="n">
        <x:f>AC249+AB250</x:f>
        <x:v>1410093734.9833448</x:v>
      </x:c>
      <x:c r="AD250" s="80" t="n">
        <x:f>Z250/(1+'Inputs'!$C$44)</x:f>
        <x:v>0.00019533397490144783</x:v>
      </x:c>
      <x:c r="AE250" s="80" t="n">
        <x:f>Z250-AD250</x:f>
        <x:v>0.00004883349372536194</x:v>
      </x:c>
      <x:c r="AF250" s="80" t="n">
        <x:f>D250*W250</x:f>
        <x:v>2.365385975911438e-7</x:v>
      </x:c>
      <x:c r="AG250" s="80" t="n">
        <x:f>C250*W250</x:f>
        <x:v>5.519233943793529e-7</x:v>
      </x:c>
      <x:c r="AH250" s="80" t="n">
        <x:f>2*'Inputs'!$B$8*'Inputs'!$C$44</x:f>
        <x:v>1250</x:v>
      </x:c>
      <x:c r="AI250" s="81" t="n">
        <x:f>IF(AH250&gt;0,(AE250+AF250)/AH250*365,0)</x:f>
        <x:v>0.000014328449438302302</x:v>
      </x:c>
      <x:c r="AJ250" s="81" t="n">
        <x:f>IF('Inputs'!$B$44&gt;0,AG250/('Inputs'!$B$19*'Inputs'!$B$44)*365,0)</x:f>
        <x:v>2.014520389484638e-8</x:v>
      </x:c>
      <x:c r="AK250" s="81" t="n">
        <x:f>W250/MAX($W$4:W250)-1</x:f>
        <x:v>-0.9999999987163141</x:v>
      </x:c>
      <x:c r="AL250" s="83" t="n">
        <x:f>'Inputs'!$B$44</x:f>
        <x:v>1</x:v>
      </x:c>
      <x:c r="AM250" s="83" t="n">
        <x:f>'Inputs'!$C$44</x:f>
        <x:v>0.25</x:v>
      </x:c>
      <x:c r="AN250" s="83" t="n">
        <x:f>'Inputs'!$D$44</x:f>
        <x:v>0.2</x:v>
      </x:c>
      <x:c r="AO250" s="81" t="n">
        <x:f>'Inputs'!$E$44</x:f>
        <x:v>-0.2</x:v>
      </x:c>
    </x:row>
    <x:row r="251">
      <x:c r="A251" s="59" t="str">
        <x:v>No demand</x:v>
      </x:c>
      <x:c r="B251" s="59" t="n">
        <x:v>248</x:v>
      </x:c>
      <x:c r="C251" s="78" t="n">
        <x:f>(('Inputs'!$B$29*(3*248*'Inputs'!$B$12-248^2)/(2*'Inputs'!$B$12^2))-('Inputs'!$B$29*(3*247*'Inputs'!$B$12-247^2)/(2*'Inputs'!$B$12^2)))*'Inputs'!$B$44</x:f>
        <x:v>631522.096078068</x:v>
      </x:c>
      <x:c r="D251" s="78" t="n">
        <x:f>IF('Inputs'!$C$44&gt;0,('Inputs'!$B$30*(3*248*'Inputs'!$B$12-248^2)/(2*'Inputs'!$B$12^2))-('Inputs'!$B$30*(3*247*'Inputs'!$B$12-247^2)/(2*'Inputs'!$B$12^2)),0)</x:f>
        <x:v>270652.3268906027</x:v>
      </x:c>
      <x:c r="E251" s="78" t="n">
        <x:f>C251+D251</x:f>
        <x:v>902174.4229686707</x:v>
      </x:c>
      <x:c r="F251" s="78" t="n">
        <x:f>'Inputs'!$B$13*E251+(1-'Inputs'!$B$13)/'Inputs'!$B$14*SUM(E196:E251)</x:f>
        <x:v>912392.0998311146</x:v>
      </x:c>
      <x:c r="G251" s="78" t="n">
        <x:f>F251*'Inputs'!$F$44</x:f>
        <x:v>821152.8898480032</x:v>
      </x:c>
      <x:c r="H251" s="78" t="n">
        <x:f>U250</x:f>
        <x:v>116465992556.76593</x:v>
      </x:c>
      <x:c r="I251" s="78" t="n">
        <x:f>V250</x:f>
        <x:v>0.10173394063781342</x:v>
      </x:c>
      <x:c r="J251" s="79" t="n">
        <x:f>IF(H251&gt;0,I251/H251,0)</x:f>
        <x:v>8.735076944304402e-13</x:v>
      </x:c>
      <x:c r="K251" s="80" t="n">
        <x:f>(H251*J251+I251)*'Inputs'!$D$44*(1+'Inputs'!$G$44)^(B251/30)</x:f>
        <x:v>0.040693576255125374</x:v>
      </x:c>
      <x:c r="L251" s="80" t="n">
        <x:f>MAX(0,K251*'Inputs'!$E$44)</x:f>
        <x:v>0</x:v>
      </x:c>
      <x:c r="M251" s="80" t="n">
        <x:f>MAX(0,-K251*'Inputs'!$E$44)</x:f>
        <x:v>0.008138715251025075</x:v>
      </x:c>
      <x:c r="N251" s="78" t="n">
        <x:f>H251*(L251*(1-'Inputs'!$B$15))/(I251+L251*(1-'Inputs'!$B$15))</x:f>
        <x:v>0</x:v>
      </x:c>
      <x:c r="O251" s="78" t="n">
        <x:f>H251-N251</x:f>
        <x:v>116465992556.76593</x:v>
      </x:c>
      <x:c r="P251" s="78" t="n">
        <x:f>I251+L251*(1-'Inputs'!$B$17)</x:f>
        <x:v>0.10173394063781342</x:v>
      </x:c>
      <x:c r="Q251" s="78" t="n">
        <x:f>IF(J251&gt;0,M251/J251,0)</x:f>
        <x:v>0</x:v>
      </x:c>
      <x:c r="R251" s="78" t="n">
        <x:f>IF(B251='Inputs'!$H$44,'Inputs'!$B$27*'Inputs'!$I$44,0)</x:f>
        <x:v>0</x:v>
      </x:c>
      <x:c r="S251" s="78" t="n">
        <x:f>Q251+G251+R251</x:f>
        <x:v>821152.8898480032</x:v>
      </x:c>
      <x:c r="T251" s="78" t="n">
        <x:f>P251*(S251*(1-'Inputs'!$B$15))/(O251+S251*(1-'Inputs'!$B$15))</x:f>
        <x:v>7.101055773199871e-7</x:v>
      </x:c>
      <x:c r="U251" s="78" t="n">
        <x:f>O251+S251*(1-'Inputs'!$B$17)</x:f>
        <x:v>116466810405.21759</x:v>
      </x:c>
      <x:c r="V251" s="78" t="n">
        <x:f>P251-T251</x:f>
        <x:v>0.1017332305322361</x:v>
      </x:c>
      <x:c r="W251" s="79" t="n">
        <x:f>IF(U251&gt;0,V251/U251,0)</x:f>
        <x:v>8.734954634567597e-13</x:v>
      </x:c>
      <x:c r="X251" s="80" t="n">
        <x:f>W251*('Inputs'!$B$6-AC251)</x:f>
        <x:v>-0.0003582179035117573</x:v>
      </x:c>
      <x:c r="Y251" s="80" t="n">
        <x:f>2*V251</x:f>
        <x:v>0.2034664610644722</x:v>
      </x:c>
      <x:c r="Z251" s="80" t="n">
        <x:f>K251*'Inputs'!$B$16+(G251+R251)*J251*'Inputs'!$B$16</x:f>
        <x:v>0.00024416576123095774</x:v>
      </x:c>
      <x:c r="AA251" s="80" t="n">
        <x:f>K251*(1+'Inputs'!$E$44)/2*'Inputs'!$B$17</x:f>
        <x:v>0.00006550273843883361</x:v>
      </x:c>
      <x:c r="AB251" s="78" t="n">
        <x:f>(IF(J251&gt;0,K251*(1-'Inputs'!$E$44)/2/J251,0)+G251+R251)*'Inputs'!$B$17</x:f>
        <x:v>3304.438188523152</x:v>
      </x:c>
      <x:c r="AC251" s="78" t="n">
        <x:f>AC250+AB251</x:f>
        <x:v>1410097039.4215333</x:v>
      </x:c>
      <x:c r="AD251" s="80" t="n">
        <x:f>Z251/(1+'Inputs'!$C$44)</x:f>
        <x:v>0.0001953326089847662</x:v>
      </x:c>
      <x:c r="AE251" s="80" t="n">
        <x:f>Z251-AD251</x:f>
        <x:v>0.000048833152246191536</x:v>
      </x:c>
      <x:c r="AF251" s="80" t="n">
        <x:f>D251*W251</x:f>
        <x:v>2.3641357971295742e-7</x:v>
      </x:c>
      <x:c r="AG251" s="80" t="n">
        <x:f>C251*W251</x:f>
        <x:v>5.516316859968964e-7</x:v>
      </x:c>
      <x:c r="AH251" s="80" t="n">
        <x:f>2*'Inputs'!$B$8*'Inputs'!$C$44</x:f>
        <x:v>1250</x:v>
      </x:c>
      <x:c r="AI251" s="81" t="n">
        <x:f>IF(AH251&gt;0,(AE251+AF251)/AH251*365,0)</x:f>
        <x:v>0.000014328313221164113</x:v>
      </x:c>
      <x:c r="AJ251" s="81" t="n">
        <x:f>IF('Inputs'!$B$44&gt;0,AG251/('Inputs'!$B$19*'Inputs'!$B$44)*365,0)</x:f>
        <x:v>2.0134556538886717e-8</x:v>
      </x:c>
      <x:c r="AK251" s="81" t="n">
        <x:f>W251/MAX($W$4:W251)-1</x:f>
        <x:v>-0.999999998716332</x:v>
      </x:c>
      <x:c r="AL251" s="83" t="n">
        <x:f>'Inputs'!$B$44</x:f>
        <x:v>1</x:v>
      </x:c>
      <x:c r="AM251" s="83" t="n">
        <x:f>'Inputs'!$C$44</x:f>
        <x:v>0.25</x:v>
      </x:c>
      <x:c r="AN251" s="83" t="n">
        <x:f>'Inputs'!$D$44</x:f>
        <x:v>0.2</x:v>
      </x:c>
      <x:c r="AO251" s="81" t="n">
        <x:f>'Inputs'!$E$44</x:f>
        <x:v>-0.2</x:v>
      </x:c>
    </x:row>
    <x:row r="252">
      <x:c r="A252" s="59" t="str">
        <x:v>No demand</x:v>
      </x:c>
      <x:c r="B252" s="59" t="n">
        <x:v>249</x:v>
      </x:c>
      <x:c r="C252" s="78" t="n">
        <x:f>(('Inputs'!$B$29*(3*249*'Inputs'!$B$12-249^2)/(2*'Inputs'!$B$12^2))-('Inputs'!$B$29*(3*248*'Inputs'!$B$12-248^2)/(2*'Inputs'!$B$12^2)))*'Inputs'!$B$44</x:f>
        <x:v>631196.9881778955</x:v>
      </x:c>
      <x:c r="D252" s="78" t="n">
        <x:f>IF('Inputs'!$C$44&gt;0,('Inputs'!$B$30*(3*249*'Inputs'!$B$12-249^2)/(2*'Inputs'!$B$12^2))-('Inputs'!$B$30*(3*248*'Inputs'!$B$12-248^2)/(2*'Inputs'!$B$12^2)),0)</x:f>
        <x:v>270512.9949333817</x:v>
      </x:c>
      <x:c r="E252" s="78" t="n">
        <x:f>C252+D252</x:f>
        <x:v>901709.9831112772</x:v>
      </x:c>
      <x:c r="F252" s="78" t="n">
        <x:f>'Inputs'!$B$13*E252+(1-'Inputs'!$B$13)/'Inputs'!$B$14*SUM(E197:E252)</x:f>
        <x:v>911927.6599737286</x:v>
      </x:c>
      <x:c r="G252" s="78" t="n">
        <x:f>F252*'Inputs'!$F$44</x:f>
        <x:v>820734.8939763558</x:v>
      </x:c>
      <x:c r="H252" s="78" t="n">
        <x:f>U251</x:f>
        <x:v>116466810405.21759</x:v>
      </x:c>
      <x:c r="I252" s="78" t="n">
        <x:f>V251</x:f>
        <x:v>0.1017332305322361</x:v>
      </x:c>
      <x:c r="J252" s="79" t="n">
        <x:f>IF(H252&gt;0,I252/H252,0)</x:f>
        <x:v>8.734954634567597e-13</x:v>
      </x:c>
      <x:c r="K252" s="80" t="n">
        <x:f>(H252*J252+I252)*'Inputs'!$D$44*(1+'Inputs'!$G$44)^(B252/30)</x:f>
        <x:v>0.040693292212894444</x:v>
      </x:c>
      <x:c r="L252" s="80" t="n">
        <x:f>MAX(0,K252*'Inputs'!$E$44)</x:f>
        <x:v>0</x:v>
      </x:c>
      <x:c r="M252" s="80" t="n">
        <x:f>MAX(0,-K252*'Inputs'!$E$44)</x:f>
        <x:v>0.008138658442578888</x:v>
      </x:c>
      <x:c r="N252" s="78" t="n">
        <x:f>H252*(L252*(1-'Inputs'!$B$15))/(I252+L252*(1-'Inputs'!$B$15))</x:f>
        <x:v>0</x:v>
      </x:c>
      <x:c r="O252" s="78" t="n">
        <x:f>H252-N252</x:f>
        <x:v>116466810405.21759</x:v>
      </x:c>
      <x:c r="P252" s="78" t="n">
        <x:f>I252+L252*(1-'Inputs'!$B$17)</x:f>
        <x:v>0.1017332305322361</x:v>
      </x:c>
      <x:c r="Q252" s="78" t="n">
        <x:f>IF(J252&gt;0,M252/J252,0)</x:f>
        <x:v>0</x:v>
      </x:c>
      <x:c r="R252" s="78" t="n">
        <x:f>IF(B252='Inputs'!$H$44,'Inputs'!$B$27*'Inputs'!$I$44,0)</x:f>
        <x:v>0</x:v>
      </x:c>
      <x:c r="S252" s="78" t="n">
        <x:f>Q252+G252+R252</x:f>
        <x:v>820734.8939763558</x:v>
      </x:c>
      <x:c r="T252" s="78" t="n">
        <x:f>P252*(S252*(1-'Inputs'!$B$15))/(O252+S252*(1-'Inputs'!$B$15))</x:f>
        <x:v>7.097341730819057e-7</x:v>
      </x:c>
      <x:c r="U252" s="78" t="n">
        <x:f>O252+S252*(1-'Inputs'!$B$17)</x:f>
        <x:v>116467627837.35545</x:v>
      </x:c>
      <x:c r="V252" s="78" t="n">
        <x:f>P252-T252</x:f>
        <x:v>0.10173252079806301</x:v>
      </x:c>
      <x:c r="W252" s="79" t="n">
        <x:f>IF(U252&gt;0,V252/U252,0)</x:f>
        <x:v>8.734832389660267e-13</x:v>
      </x:c>
      <x:c r="X252" s="80" t="n">
        <x:f>W252*('Inputs'!$B$6-AC252)</x:f>
        <x:v>-0.000358215775186406</x:v>
      </x:c>
      <x:c r="Y252" s="80" t="n">
        <x:f>2*V252</x:f>
        <x:v>0.20346504159612602</x:v>
      </x:c>
      <x:c r="Z252" s="80" t="n">
        <x:f>K252*'Inputs'!$B$16+(G252+R252)*J252*'Inputs'!$B$16</x:f>
        <x:v>0.0002441640547266062</x:v>
      </x:c>
      <x:c r="AA252" s="80" t="n">
        <x:f>K252*(1+'Inputs'!$E$44)/2*'Inputs'!$B$17</x:f>
        <x:v>0.00006550228122799911</x:v>
      </x:c>
      <x:c r="AB252" s="78" t="n">
        <x:f>(IF(J252&gt;0,K252*(1-'Inputs'!$E$44)/2/J252,0)+G252+R252)*'Inputs'!$B$17</x:f>
        <x:v>3302.756112580909</x:v>
      </x:c>
      <x:c r="AC252" s="78" t="n">
        <x:f>AC251+AB252</x:f>
        <x:v>1410100342.177646</x:v>
      </x:c>
      <x:c r="AD252" s="80" t="n">
        <x:f>Z252/(1+'Inputs'!$C$44)</x:f>
        <x:v>0.00019533124378128498</x:v>
      </x:c>
      <x:c r="AE252" s="80" t="n">
        <x:f>Z252-AD252</x:f>
        <x:v>0.00004883281094532124</x:v>
      </x:c>
      <x:c r="AF252" s="80" t="n">
        <x:f>D252*W252</x:f>
        <x:v>2.3628856699681057e-7</x:v>
      </x:c>
      <x:c r="AG252" s="80" t="n">
        <x:f>C252*W252</x:f>
        <x:v>5.51339989659229e-7</x:v>
      </x:c>
      <x:c r="AH252" s="80" t="n">
        <x:f>2*'Inputs'!$B$8*'Inputs'!$C$44</x:f>
        <x:v>1250</x:v>
      </x:c>
      <x:c r="AI252" s="81" t="n">
        <x:f>IF(AH252&gt;0,(AE252+AF252)/AH252*365,0)</x:f>
        <x:v>0.000014328177057596871</x:v>
      </x:c>
      <x:c r="AJ252" s="81" t="n">
        <x:f>IF('Inputs'!$B$44&gt;0,AG252/('Inputs'!$B$19*'Inputs'!$B$44)*365,0)</x:f>
        <x:v>2.012390962256186e-8</x:v>
      </x:c>
      <x:c r="AK252" s="81" t="n">
        <x:f>W252/MAX($W$4:W252)-1</x:f>
        <x:v>-0.99999999871635</x:v>
      </x:c>
      <x:c r="AL252" s="83" t="n">
        <x:f>'Inputs'!$B$44</x:f>
        <x:v>1</x:v>
      </x:c>
      <x:c r="AM252" s="83" t="n">
        <x:f>'Inputs'!$C$44</x:f>
        <x:v>0.25</x:v>
      </x:c>
      <x:c r="AN252" s="83" t="n">
        <x:f>'Inputs'!$D$44</x:f>
        <x:v>0.2</x:v>
      </x:c>
      <x:c r="AO252" s="81" t="n">
        <x:f>'Inputs'!$E$44</x:f>
        <x:v>-0.2</x:v>
      </x:c>
    </x:row>
    <x:row r="253">
      <x:c r="A253" s="59" t="str">
        <x:v>No demand</x:v>
      </x:c>
      <x:c r="B253" s="59" t="n">
        <x:v>250</x:v>
      </x:c>
      <x:c r="C253" s="78" t="n">
        <x:f>(('Inputs'!$B$29*(3*250*'Inputs'!$B$12-250^2)/(2*'Inputs'!$B$12^2))-('Inputs'!$B$29*(3*249*'Inputs'!$B$12-249^2)/(2*'Inputs'!$B$12^2)))*'Inputs'!$B$44</x:f>
        <x:v>630871.8802777231</x:v>
      </x:c>
      <x:c r="D253" s="78" t="n">
        <x:f>IF('Inputs'!$C$44&gt;0,('Inputs'!$B$30*(3*250*'Inputs'!$B$12-250^2)/(2*'Inputs'!$B$12^2))-('Inputs'!$B$30*(3*249*'Inputs'!$B$12-249^2)/(2*'Inputs'!$B$12^2)),0)</x:f>
        <x:v>270373.66297617555</x:v>
      </x:c>
      <x:c r="E253" s="78" t="n">
        <x:f>C253+D253</x:f>
        <x:v>901245.5432538986</x:v>
      </x:c>
      <x:c r="F253" s="78" t="n">
        <x:f>'Inputs'!$B$13*E253+(1-'Inputs'!$B$13)/'Inputs'!$B$14*SUM(E198:E253)</x:f>
        <x:v>911463.2201163457</x:v>
      </x:c>
      <x:c r="G253" s="78" t="n">
        <x:f>F253*'Inputs'!$F$44</x:f>
        <x:v>820316.8981047111</x:v>
      </x:c>
      <x:c r="H253" s="78" t="n">
        <x:f>U252</x:f>
        <x:v>116467627837.35545</x:v>
      </x:c>
      <x:c r="I253" s="78" t="n">
        <x:f>V252</x:f>
        <x:v>0.10173252079806301</x:v>
      </x:c>
      <x:c r="J253" s="79" t="n">
        <x:f>IF(H253&gt;0,I253/H253,0)</x:f>
        <x:v>8.734832389660267e-13</x:v>
      </x:c>
      <x:c r="K253" s="80" t="n">
        <x:f>(H253*J253+I253)*'Inputs'!$D$44*(1+'Inputs'!$G$44)^(B253/30)</x:f>
        <x:v>0.040693008319225205</x:v>
      </x:c>
      <x:c r="L253" s="80" t="n">
        <x:f>MAX(0,K253*'Inputs'!$E$44)</x:f>
        <x:v>0</x:v>
      </x:c>
      <x:c r="M253" s="80" t="n">
        <x:f>MAX(0,-K253*'Inputs'!$E$44)</x:f>
        <x:v>0.008138601663845042</x:v>
      </x:c>
      <x:c r="N253" s="78" t="n">
        <x:f>H253*(L253*(1-'Inputs'!$B$15))/(I253+L253*(1-'Inputs'!$B$15))</x:f>
        <x:v>0</x:v>
      </x:c>
      <x:c r="O253" s="78" t="n">
        <x:f>H253-N253</x:f>
        <x:v>116467627837.35545</x:v>
      </x:c>
      <x:c r="P253" s="78" t="n">
        <x:f>I253+L253*(1-'Inputs'!$B$17)</x:f>
        <x:v>0.10173252079806301</x:v>
      </x:c>
      <x:c r="Q253" s="78" t="n">
        <x:f>IF(J253&gt;0,M253/J253,0)</x:f>
        <x:v>0</x:v>
      </x:c>
      <x:c r="R253" s="78" t="n">
        <x:f>IF(B253='Inputs'!$H$44,'Inputs'!$B$27*'Inputs'!$I$44,0)</x:f>
        <x:v>0</x:v>
      </x:c>
      <x:c r="S253" s="78" t="n">
        <x:f>Q253+G253+R253</x:f>
        <x:v>820316.8981047111</x:v>
      </x:c>
      <x:c r="T253" s="78" t="n">
        <x:f>P253*(S253*(1-'Inputs'!$B$15))/(O253+S253*(1-'Inputs'!$B$15))</x:f>
        <x:v>7.09362784228624e-7</x:v>
      </x:c>
      <x:c r="U253" s="78" t="n">
        <x:f>O253+S253*(1-'Inputs'!$B$17)</x:f>
        <x:v>116468444853.17952</x:v>
      </x:c>
      <x:c r="V253" s="78" t="n">
        <x:f>P253-T253</x:f>
        <x:v>0.10173181143527878</x:v>
      </x:c>
      <x:c r="W253" s="79" t="n">
        <x:f>IF(U253&gt;0,V253/U253,0)</x:f>
        <x:v>8.734710209578415e-13</x:v>
      </x:c>
      <x:c r="X253" s="80" t="n">
        <x:f>W253*('Inputs'!$B$6-AC253)</x:f>
        <x:v>-0.00035821364796957754</x:v>
      </x:c>
      <x:c r="Y253" s="80" t="n">
        <x:f>2*V253</x:f>
        <x:v>0.20346362287055755</x:v>
      </x:c>
      <x:c r="Z253" s="80" t="n">
        <x:f>K253*'Inputs'!$B$16+(G253+R253)*J253*'Inputs'!$B$16</x:f>
        <x:v>0.00024416234911371805</x:v>
      </x:c>
      <x:c r="AA253" s="80" t="n">
        <x:f>K253*(1+'Inputs'!$E$44)/2*'Inputs'!$B$17</x:f>
        <x:v>0.00006550182425629813</x:v>
      </x:c>
      <x:c r="AB253" s="78" t="n">
        <x:f>(IF(J253&gt;0,K253*(1-'Inputs'!$E$44)/2/J253,0)+G253+R253)*'Inputs'!$B$17</x:f>
        <x:v>3301.0740366386767</x:v>
      </x:c>
      <x:c r="AC253" s="78" t="n">
        <x:f>AC252+AB253</x:f>
        <x:v>1410103643.2516825</x:v>
      </x:c>
      <x:c r="AD253" s="80" t="n">
        <x:f>Z253/(1+'Inputs'!$C$44)</x:f>
        <x:v>0.00019532987929097445</x:v>
      </x:c>
      <x:c r="AE253" s="80" t="n">
        <x:f>Z253-AD253</x:f>
        <x:v>0.0000488324698227436</x:v>
      </x:c>
      <x:c r="AF253" s="80" t="n">
        <x:f>D253*W253</x:f>
        <x:v>2.361635594399114e-7</x:v>
      </x:c>
      <x:c r="AG253" s="80" t="n">
        <x:f>C253*W253</x:f>
        <x:v>5.510483053597759e-7</x:v>
      </x:c>
      <x:c r="AH253" s="80" t="n">
        <x:f>2*'Inputs'!$B$8*'Inputs'!$C$44</x:f>
        <x:v>1250</x:v>
      </x:c>
      <x:c r="AI253" s="81" t="n">
        <x:f>IF(AH253&gt;0,(AE253+AF253)/AH253*365,0)</x:f>
        <x:v>0.000014328040947597586</x:v>
      </x:c>
      <x:c r="AJ253" s="81" t="n">
        <x:f>IF('Inputs'!$B$44&gt;0,AG253/('Inputs'!$B$19*'Inputs'!$B$44)*365,0)</x:f>
        <x:v>2.0113263145631818e-8</x:v>
      </x:c>
      <x:c r="AK253" s="81" t="n">
        <x:f>W253/MAX($W$4:W253)-1</x:f>
        <x:v>-0.999999998716368</x:v>
      </x:c>
      <x:c r="AL253" s="83" t="n">
        <x:f>'Inputs'!$B$44</x:f>
        <x:v>1</x:v>
      </x:c>
      <x:c r="AM253" s="83" t="n">
        <x:f>'Inputs'!$C$44</x:f>
        <x:v>0.25</x:v>
      </x:c>
      <x:c r="AN253" s="83" t="n">
        <x:f>'Inputs'!$D$44</x:f>
        <x:v>0.2</x:v>
      </x:c>
      <x:c r="AO253" s="81" t="n">
        <x:f>'Inputs'!$E$44</x:f>
        <x:v>-0.2</x:v>
      </x:c>
    </x:row>
    <x:row r="254">
      <x:c r="A254" s="59" t="str">
        <x:v>No demand</x:v>
      </x:c>
      <x:c r="B254" s="59" t="n">
        <x:v>251</x:v>
      </x:c>
      <x:c r="C254" s="78" t="n">
        <x:f>(('Inputs'!$B$29*(3*251*'Inputs'!$B$12-251^2)/(2*'Inputs'!$B$12^2))-('Inputs'!$B$29*(3*250*'Inputs'!$B$12-250^2)/(2*'Inputs'!$B$12^2)))*'Inputs'!$B$44</x:f>
        <x:v>630546.7723775506</x:v>
      </x:c>
      <x:c r="D254" s="78" t="n">
        <x:f>IF('Inputs'!$C$44&gt;0,('Inputs'!$B$30*(3*251*'Inputs'!$B$12-251^2)/(2*'Inputs'!$B$12^2))-('Inputs'!$B$30*(3*250*'Inputs'!$B$12-250^2)/(2*'Inputs'!$B$12^2)),0)</x:f>
        <x:v>270234.3310189545</x:v>
      </x:c>
      <x:c r="E254" s="78" t="n">
        <x:f>C254+D254</x:f>
        <x:v>900781.1033965051</x:v>
      </x:c>
      <x:c r="F254" s="78" t="n">
        <x:f>'Inputs'!$B$13*E254+(1-'Inputs'!$B$13)/'Inputs'!$B$14*SUM(E199:E254)</x:f>
        <x:v>910998.7802589597</x:v>
      </x:c>
      <x:c r="G254" s="78" t="n">
        <x:f>F254*'Inputs'!$F$44</x:f>
        <x:v>819898.9022330638</x:v>
      </x:c>
      <x:c r="H254" s="78" t="n">
        <x:f>U253</x:f>
        <x:v>116468444853.17952</x:v>
      </x:c>
      <x:c r="I254" s="78" t="n">
        <x:f>V253</x:f>
        <x:v>0.10173181143527878</x:v>
      </x:c>
      <x:c r="J254" s="79" t="n">
        <x:f>IF(H254&gt;0,I254/H254,0)</x:f>
        <x:v>8.734710209578415e-13</x:v>
      </x:c>
      <x:c r="K254" s="80" t="n">
        <x:f>(H254*J254+I254)*'Inputs'!$D$44*(1+'Inputs'!$G$44)^(B254/30)</x:f>
        <x:v>0.040692724574111515</x:v>
      </x:c>
      <x:c r="L254" s="80" t="n">
        <x:f>MAX(0,K254*'Inputs'!$E$44)</x:f>
        <x:v>0</x:v>
      </x:c>
      <x:c r="M254" s="80" t="n">
        <x:f>MAX(0,-K254*'Inputs'!$E$44)</x:f>
        <x:v>0.008138544914822304</x:v>
      </x:c>
      <x:c r="N254" s="78" t="n">
        <x:f>H254*(L254*(1-'Inputs'!$B$15))/(I254+L254*(1-'Inputs'!$B$15))</x:f>
        <x:v>0</x:v>
      </x:c>
      <x:c r="O254" s="78" t="n">
        <x:f>H254-N254</x:f>
        <x:v>116468444853.17952</x:v>
      </x:c>
      <x:c r="P254" s="78" t="n">
        <x:f>I254+L254*(1-'Inputs'!$B$17)</x:f>
        <x:v>0.10173181143527878</x:v>
      </x:c>
      <x:c r="Q254" s="78" t="n">
        <x:f>IF(J254&gt;0,M254/J254,0)</x:f>
        <x:v>0</x:v>
      </x:c>
      <x:c r="R254" s="78" t="n">
        <x:f>IF(B254='Inputs'!$H$44,'Inputs'!$B$27*'Inputs'!$I$44,0)</x:f>
        <x:v>0</x:v>
      </x:c>
      <x:c r="S254" s="78" t="n">
        <x:f>Q254+G254+R254</x:f>
        <x:v>819898.9022330638</x:v>
      </x:c>
      <x:c r="T254" s="78" t="n">
        <x:f>P254*(S254*(1-'Inputs'!$B$15))/(O254+S254*(1-'Inputs'!$B$15))</x:f>
        <x:v>7.08991410751765e-7</x:v>
      </x:c>
      <x:c r="U254" s="78" t="n">
        <x:f>O254+S254*(1-'Inputs'!$B$17)</x:f>
        <x:v>116469261452.68979</x:v>
      </x:c>
      <x:c r="V254" s="78" t="n">
        <x:f>P254-T254</x:f>
        <x:v>0.10173110244386803</x:v>
      </x:c>
      <x:c r="W254" s="79" t="n">
        <x:f>IF(U254&gt;0,V254/U254,0)</x:f>
        <x:v>8.734588094318049e-13</x:v>
      </x:c>
      <x:c r="X254" s="80" t="n">
        <x:f>W254*('Inputs'!$B$6-AC254)</x:f>
        <x:v>-0.000358211521861234</x:v>
      </x:c>
      <x:c r="Y254" s="80" t="n">
        <x:f>2*V254</x:f>
        <x:v>0.20346220488773606</x:v>
      </x:c>
      <x:c r="Z254" s="80" t="n">
        <x:f>K254*'Inputs'!$B$16+(G254+R254)*J254*'Inputs'!$B$16</x:f>
        <x:v>0.0002441606443922564</x:v>
      </x:c>
      <x:c r="AA254" s="80" t="n">
        <x:f>K254*(1+'Inputs'!$E$44)/2*'Inputs'!$B$17</x:f>
        <x:v>0.00006550136752372076</x:v>
      </x:c>
      <x:c r="AB254" s="78" t="n">
        <x:f>(IF(J254&gt;0,K254*(1-'Inputs'!$E$44)/2/J254,0)+G254+R254)*'Inputs'!$B$17</x:f>
        <x:v>3299.391960696434</x:v>
      </x:c>
      <x:c r="AC254" s="78" t="n">
        <x:f>AC253+AB254</x:f>
        <x:v>1410106942.6436431</x:v>
      </x:c>
      <x:c r="AD254" s="80" t="n">
        <x:f>Z254/(1+'Inputs'!$C$44)</x:f>
        <x:v>0.00019532851551380513</x:v>
      </x:c>
      <x:c r="AE254" s="80" t="n">
        <x:f>Z254-AD254</x:f>
        <x:v>0.00004883212887845127</x:v>
      </x:c>
      <x:c r="AF254" s="80" t="n">
        <x:f>D254*W254</x:f>
        <x:v>2.3603855703941628e-7</x:v>
      </x:c>
      <x:c r="AG254" s="80" t="n">
        <x:f>C254*W254</x:f>
        <x:v>5.507566330919626e-7</x:v>
      </x:c>
      <x:c r="AH254" s="80" t="n">
        <x:f>2*'Inputs'!$B$8*'Inputs'!$C$44</x:f>
        <x:v>1250</x:v>
      </x:c>
      <x:c r="AI254" s="81" t="n">
        <x:f>IF(AH254&gt;0,(AE254+AF254)/AH254*365,0)</x:f>
        <x:v>0.000014327904891163279</x:v>
      </x:c>
      <x:c r="AJ254" s="81" t="n">
        <x:f>IF('Inputs'!$B$44&gt;0,AG254/('Inputs'!$B$19*'Inputs'!$B$44)*365,0)</x:f>
        <x:v>2.0102617107856634e-8</x:v>
      </x:c>
      <x:c r="AK254" s="81" t="n">
        <x:f>W254/MAX($W$4:W254)-1</x:f>
        <x:v>-0.9999999987163859</x:v>
      </x:c>
      <x:c r="AL254" s="83" t="n">
        <x:f>'Inputs'!$B$44</x:f>
        <x:v>1</x:v>
      </x:c>
      <x:c r="AM254" s="83" t="n">
        <x:f>'Inputs'!$C$44</x:f>
        <x:v>0.25</x:v>
      </x:c>
      <x:c r="AN254" s="83" t="n">
        <x:f>'Inputs'!$D$44</x:f>
        <x:v>0.2</x:v>
      </x:c>
      <x:c r="AO254" s="81" t="n">
        <x:f>'Inputs'!$E$44</x:f>
        <x:v>-0.2</x:v>
      </x:c>
    </x:row>
    <x:row r="255">
      <x:c r="A255" s="59" t="str">
        <x:v>No demand</x:v>
      </x:c>
      <x:c r="B255" s="59" t="n">
        <x:v>252</x:v>
      </x:c>
      <x:c r="C255" s="78" t="n">
        <x:f>(('Inputs'!$B$29*(3*252*'Inputs'!$B$12-252^2)/(2*'Inputs'!$B$12^2))-('Inputs'!$B$29*(3*251*'Inputs'!$B$12-251^2)/(2*'Inputs'!$B$12^2)))*'Inputs'!$B$44</x:f>
        <x:v>630221.6644773781</x:v>
      </x:c>
      <x:c r="D255" s="78" t="n">
        <x:f>IF('Inputs'!$C$44&gt;0,('Inputs'!$B$30*(3*252*'Inputs'!$B$12-252^2)/(2*'Inputs'!$B$12^2))-('Inputs'!$B$30*(3*251*'Inputs'!$B$12-251^2)/(2*'Inputs'!$B$12^2)),0)</x:f>
        <x:v>270094.9990617335</x:v>
      </x:c>
      <x:c r="E255" s="78" t="n">
        <x:f>C255+D255</x:f>
        <x:v>900316.6635391116</x:v>
      </x:c>
      <x:c r="F255" s="78" t="n">
        <x:f>'Inputs'!$B$13*E255+(1-'Inputs'!$B$13)/'Inputs'!$B$14*SUM(E200:E255)</x:f>
        <x:v>910534.3404015736</x:v>
      </x:c>
      <x:c r="G255" s="78" t="n">
        <x:f>F255*'Inputs'!$F$44</x:f>
        <x:v>819480.9063614162</x:v>
      </x:c>
      <x:c r="H255" s="78" t="n">
        <x:f>U254</x:f>
        <x:v>116469261452.68979</x:v>
      </x:c>
      <x:c r="I255" s="78" t="n">
        <x:f>V254</x:f>
        <x:v>0.10173110244386803</x:v>
      </x:c>
      <x:c r="J255" s="79" t="n">
        <x:f>IF(H255&gt;0,I255/H255,0)</x:f>
        <x:v>8.734588094318049e-13</x:v>
      </x:c>
      <x:c r="K255" s="80" t="n">
        <x:f>(H255*J255+I255)*'Inputs'!$D$44*(1+'Inputs'!$G$44)^(B255/30)</x:f>
        <x:v>0.04069244097754721</x:v>
      </x:c>
      <x:c r="L255" s="80" t="n">
        <x:f>MAX(0,K255*'Inputs'!$E$44)</x:f>
        <x:v>0</x:v>
      </x:c>
      <x:c r="M255" s="80" t="n">
        <x:f>MAX(0,-K255*'Inputs'!$E$44)</x:f>
        <x:v>0.008138488195509443</x:v>
      </x:c>
      <x:c r="N255" s="78" t="n">
        <x:f>H255*(L255*(1-'Inputs'!$B$15))/(I255+L255*(1-'Inputs'!$B$15))</x:f>
        <x:v>0</x:v>
      </x:c>
      <x:c r="O255" s="78" t="n">
        <x:f>H255-N255</x:f>
        <x:v>116469261452.68979</x:v>
      </x:c>
      <x:c r="P255" s="78" t="n">
        <x:f>I255+L255*(1-'Inputs'!$B$17)</x:f>
        <x:v>0.10173110244386803</x:v>
      </x:c>
      <x:c r="Q255" s="78" t="n">
        <x:f>IF(J255&gt;0,M255/J255,0)</x:f>
        <x:v>0</x:v>
      </x:c>
      <x:c r="R255" s="78" t="n">
        <x:f>IF(B255='Inputs'!$H$44,'Inputs'!$B$27*'Inputs'!$I$44,0)</x:f>
        <x:v>0</x:v>
      </x:c>
      <x:c r="S255" s="78" t="n">
        <x:f>Q255+G255+R255</x:f>
        <x:v>819480.9063614162</x:v>
      </x:c>
      <x:c r="T255" s="78" t="n">
        <x:f>P255*(S255*(1-'Inputs'!$B$15))/(O255+S255*(1-'Inputs'!$B$15))</x:f>
        <x:v>7.086200526429592e-7</x:v>
      </x:c>
      <x:c r="U255" s="78" t="n">
        <x:f>O255+S255*(1-'Inputs'!$B$17)</x:f>
        <x:v>116470077635.88626</x:v>
      </x:c>
      <x:c r="V255" s="78" t="n">
        <x:f>P255-T255</x:f>
        <x:v>0.1017303938238154</x:v>
      </x:c>
      <x:c r="W255" s="79" t="n">
        <x:f>IF(U255&gt;0,V255/U255,0)</x:f>
        <x:v>8.734466043875175e-13</x:v>
      </x:c>
      <x:c r="X255" s="80" t="n">
        <x:f>W255*('Inputs'!$B$6-AC255)</x:f>
        <x:v>-0.0003582093968613375</x:v>
      </x:c>
      <x:c r="Y255" s="80" t="n">
        <x:f>2*V255</x:f>
        <x:v>0.2034607876476308</x:v>
      </x:c>
      <x:c r="Z255" s="80" t="n">
        <x:f>K255*'Inputs'!$B$16+(G255+R255)*J255*'Inputs'!$B$16</x:f>
        <x:v>0.00024415894056218425</x:v>
      </x:c>
      <x:c r="AA255" s="80" t="n">
        <x:f>K255*(1+'Inputs'!$E$44)/2*'Inputs'!$B$17</x:f>
        <x:v>0.00006550091103025709</x:v>
      </x:c>
      <x:c r="AB255" s="78" t="n">
        <x:f>(IF(J255&gt;0,K255*(1-'Inputs'!$E$44)/2/J255,0)+G255+R255)*'Inputs'!$B$17</x:f>
        <x:v>3297.70988475419</x:v>
      </x:c>
      <x:c r="AC255" s="78" t="n">
        <x:f>AC254+AB255</x:f>
        <x:v>1410110240.3535278</x:v>
      </x:c>
      <x:c r="AD255" s="80" t="n">
        <x:f>Z255/(1+'Inputs'!$C$44)</x:f>
        <x:v>0.0001953271524497474</x:v>
      </x:c>
      <x:c r="AE255" s="80" t="n">
        <x:f>Z255-AD255</x:f>
        <x:v>0.00004883178811243685</x:v>
      </x:c>
      <x:c r="AF255" s="80" t="n">
        <x:f>D255*W255</x:f>
        <x:v>2.3591355979252084e-7</x:v>
      </x:c>
      <x:c r="AG255" s="80" t="n">
        <x:f>C255*W255</x:f>
        <x:v>5.504649728492153e-7</x:v>
      </x:c>
      <x:c r="AH255" s="80" t="n">
        <x:f>2*'Inputs'!$B$8*'Inputs'!$C$44</x:f>
        <x:v>1250</x:v>
      </x:c>
      <x:c r="AI255" s="81" t="n">
        <x:f>IF(AH255&gt;0,(AE255+AF255)/AH255*365,0)</x:f>
        <x:v>0.000014327768888290976</x:v>
      </x:c>
      <x:c r="AJ255" s="81" t="n">
        <x:f>IF('Inputs'!$B$44&gt;0,AG255/('Inputs'!$B$19*'Inputs'!$B$44)*365,0)</x:f>
        <x:v>2.0091971508996358e-8</x:v>
      </x:c>
      <x:c r="AK255" s="81" t="n">
        <x:f>W255/MAX($W$4:W255)-1</x:f>
        <x:v>-0.9999999987164039</x:v>
      </x:c>
      <x:c r="AL255" s="83" t="n">
        <x:f>'Inputs'!$B$44</x:f>
        <x:v>1</x:v>
      </x:c>
      <x:c r="AM255" s="83" t="n">
        <x:f>'Inputs'!$C$44</x:f>
        <x:v>0.25</x:v>
      </x:c>
      <x:c r="AN255" s="83" t="n">
        <x:f>'Inputs'!$D$44</x:f>
        <x:v>0.2</x:v>
      </x:c>
      <x:c r="AO255" s="81" t="n">
        <x:f>'Inputs'!$E$44</x:f>
        <x:v>-0.2</x:v>
      </x:c>
    </x:row>
    <x:row r="256">
      <x:c r="A256" s="59" t="str">
        <x:v>No demand</x:v>
      </x:c>
      <x:c r="B256" s="59" t="n">
        <x:v>253</x:v>
      </x:c>
      <x:c r="C256" s="78" t="n">
        <x:f>(('Inputs'!$B$29*(3*253*'Inputs'!$B$12-253^2)/(2*'Inputs'!$B$12^2))-('Inputs'!$B$29*(3*252*'Inputs'!$B$12-252^2)/(2*'Inputs'!$B$12^2)))*'Inputs'!$B$44</x:f>
        <x:v>629896.5565772355</x:v>
      </x:c>
      <x:c r="D256" s="78" t="n">
        <x:f>IF('Inputs'!$C$44&gt;0,('Inputs'!$B$30*(3*253*'Inputs'!$B$12-253^2)/(2*'Inputs'!$B$12^2))-('Inputs'!$B$30*(3*252*'Inputs'!$B$12-252^2)/(2*'Inputs'!$B$12^2)),0)</x:f>
        <x:v>269955.66710452735</x:v>
      </x:c>
      <x:c r="E256" s="78" t="n">
        <x:f>C256+D256</x:f>
        <x:v>899852.2236817628</x:v>
      </x:c>
      <x:c r="F256" s="78" t="n">
        <x:f>'Inputs'!$B$13*E256+(1-'Inputs'!$B$13)/'Inputs'!$B$14*SUM(E201:E256)</x:f>
        <x:v>910069.9005441966</x:v>
      </x:c>
      <x:c r="G256" s="78" t="n">
        <x:f>F256*'Inputs'!$F$44</x:f>
        <x:v>819062.910489777</x:v>
      </x:c>
      <x:c r="H256" s="78" t="n">
        <x:f>U255</x:f>
        <x:v>116470077635.88626</x:v>
      </x:c>
      <x:c r="I256" s="78" t="n">
        <x:f>V255</x:f>
        <x:v>0.1017303938238154</x:v>
      </x:c>
      <x:c r="J256" s="79" t="n">
        <x:f>IF(H256&gt;0,I256/H256,0)</x:f>
        <x:v>8.734466043875175e-13</x:v>
      </x:c>
      <x:c r="K256" s="80" t="n">
        <x:f>(H256*J256+I256)*'Inputs'!$D$44*(1+'Inputs'!$G$44)^(B256/30)</x:f>
        <x:v>0.04069215752952616</x:v>
      </x:c>
      <x:c r="L256" s="80" t="n">
        <x:f>MAX(0,K256*'Inputs'!$E$44)</x:f>
        <x:v>0</x:v>
      </x:c>
      <x:c r="M256" s="80" t="n">
        <x:f>MAX(0,-K256*'Inputs'!$E$44)</x:f>
        <x:v>0.008138431505905232</x:v>
      </x:c>
      <x:c r="N256" s="78" t="n">
        <x:f>H256*(L256*(1-'Inputs'!$B$15))/(I256+L256*(1-'Inputs'!$B$15))</x:f>
        <x:v>0</x:v>
      </x:c>
      <x:c r="O256" s="78" t="n">
        <x:f>H256-N256</x:f>
        <x:v>116470077635.88626</x:v>
      </x:c>
      <x:c r="P256" s="78" t="n">
        <x:f>I256+L256*(1-'Inputs'!$B$17)</x:f>
        <x:v>0.1017303938238154</x:v>
      </x:c>
      <x:c r="Q256" s="78" t="n">
        <x:f>IF(J256&gt;0,M256/J256,0)</x:f>
        <x:v>0</x:v>
      </x:c>
      <x:c r="R256" s="78" t="n">
        <x:f>IF(B256='Inputs'!$H$44,'Inputs'!$B$27*'Inputs'!$I$44,0)</x:f>
        <x:v>0</x:v>
      </x:c>
      <x:c r="S256" s="78" t="n">
        <x:f>Q256+G256+R256</x:f>
        <x:v>819062.910489777</x:v>
      </x:c>
      <x:c r="T256" s="78" t="n">
        <x:f>P256*(S256*(1-'Inputs'!$B$15))/(O256+S256*(1-'Inputs'!$B$15))</x:f>
        <x:v>7.082487098938435e-7</x:v>
      </x:c>
      <x:c r="U256" s="78" t="n">
        <x:f>O256+S256*(1-'Inputs'!$B$17)</x:f>
        <x:v>116470893402.76894</x:v>
      </x:c>
      <x:c r="V256" s="78" t="n">
        <x:f>P256-T256</x:f>
        <x:v>0.1017296855751055</x:v>
      </x:c>
      <x:c r="W256" s="79" t="n">
        <x:f>IF(U256&gt;0,V256/U256,0)</x:f>
        <x:v>8.734344058245802e-13</x:v>
      </x:c>
      <x:c r="X256" s="80" t="n">
        <x:f>W256*('Inputs'!$B$6-AC256)</x:f>
        <x:v>-0.00035820727296985015</x:v>
      </x:c>
      <x:c r="Y256" s="80" t="n">
        <x:f>2*V256</x:f>
        <x:v>0.203459371150211</x:v>
      </x:c>
      <x:c r="Z256" s="80" t="n">
        <x:f>K256*'Inputs'!$B$16+(G256+R256)*J256*'Inputs'!$B$16</x:f>
        <x:v>0.00024415723762346463</x:v>
      </x:c>
      <x:c r="AA256" s="80" t="n">
        <x:f>K256*(1+'Inputs'!$E$44)/2*'Inputs'!$B$17</x:f>
        <x:v>0.00006550045477589724</x:v>
      </x:c>
      <x:c r="AB256" s="78" t="n">
        <x:f>(IF(J256&gt;0,K256*(1-'Inputs'!$E$44)/2/J256,0)+G256+R256)*'Inputs'!$B$17</x:f>
        <x:v>3296.0278088119803</x:v>
      </x:c>
      <x:c r="AC256" s="78" t="n">
        <x:f>AC255+AB256</x:f>
        <x:v>1410113536.3813367</x:v>
      </x:c>
      <x:c r="AD256" s="80" t="n">
        <x:f>Z256/(1+'Inputs'!$C$44)</x:f>
        <x:v>0.00019532579009877172</x:v>
      </x:c>
      <x:c r="AE256" s="80" t="n">
        <x:f>Z256-AD256</x:f>
        <x:v>0.000048831447524692916</x:v>
      </x:c>
      <x:c r="AF256" s="80" t="n">
        <x:f>D256*W256</x:f>
        <x:v>2.3578856769642103e-7</x:v>
      </x:c>
      <x:c r="AG256" s="80" t="n">
        <x:f>C256*W256</x:f>
        <x:v>5.501733246249867e-7</x:v>
      </x:c>
      <x:c r="AH256" s="80" t="n">
        <x:f>2*'Inputs'!$B$8*'Inputs'!$C$44</x:f>
        <x:v>1250</x:v>
      </x:c>
      <x:c r="AI256" s="81" t="n">
        <x:f>IF(AH256&gt;0,(AE256+AF256)/AH256*365,0)</x:f>
        <x:v>0.000014327632938977685</x:v>
      </x:c>
      <x:c r="AJ256" s="81" t="n">
        <x:f>IF('Inputs'!$B$44&gt;0,AG256/('Inputs'!$B$19*'Inputs'!$B$44)*365,0)</x:f>
        <x:v>2.0081326348812013e-8</x:v>
      </x:c>
      <x:c r="AK256" s="81" t="n">
        <x:f>W256/MAX($W$4:W256)-1</x:f>
        <x:v>-0.9999999987164218</x:v>
      </x:c>
      <x:c r="AL256" s="83" t="n">
        <x:f>'Inputs'!$B$44</x:f>
        <x:v>1</x:v>
      </x:c>
      <x:c r="AM256" s="83" t="n">
        <x:f>'Inputs'!$C$44</x:f>
        <x:v>0.25</x:v>
      </x:c>
      <x:c r="AN256" s="83" t="n">
        <x:f>'Inputs'!$D$44</x:f>
        <x:v>0.2</x:v>
      </x:c>
      <x:c r="AO256" s="81" t="n">
        <x:f>'Inputs'!$E$44</x:f>
        <x:v>-0.2</x:v>
      </x:c>
    </x:row>
    <x:row r="257">
      <x:c r="A257" s="59" t="str">
        <x:v>No demand</x:v>
      </x:c>
      <x:c r="B257" s="59" t="n">
        <x:v>254</x:v>
      </x:c>
      <x:c r="C257" s="78" t="n">
        <x:f>(('Inputs'!$B$29*(3*254*'Inputs'!$B$12-254^2)/(2*'Inputs'!$B$12^2))-('Inputs'!$B$29*(3*253*'Inputs'!$B$12-253^2)/(2*'Inputs'!$B$12^2)))*'Inputs'!$B$44</x:f>
        <x:v>629571.4486770332</x:v>
      </x:c>
      <x:c r="D257" s="78" t="n">
        <x:f>IF('Inputs'!$C$44&gt;0,('Inputs'!$B$30*(3*254*'Inputs'!$B$12-254^2)/(2*'Inputs'!$B$12^2))-('Inputs'!$B$30*(3*253*'Inputs'!$B$12-253^2)/(2*'Inputs'!$B$12^2)),0)</x:f>
        <x:v>269816.3351473063</x:v>
      </x:c>
      <x:c r="E257" s="78" t="n">
        <x:f>C257+D257</x:f>
        <x:v>899387.7838243395</x:v>
      </x:c>
      <x:c r="F257" s="78" t="n">
        <x:f>'Inputs'!$B$13*E257+(1-'Inputs'!$B$13)/'Inputs'!$B$14*SUM(E202:E257)</x:f>
        <x:v>909605.4606868045</x:v>
      </x:c>
      <x:c r="G257" s="78" t="n">
        <x:f>F257*'Inputs'!$F$44</x:f>
        <x:v>818644.914618124</x:v>
      </x:c>
      <x:c r="H257" s="78" t="n">
        <x:f>U256</x:f>
        <x:v>116470893402.76894</x:v>
      </x:c>
      <x:c r="I257" s="78" t="n">
        <x:f>V256</x:f>
        <x:v>0.1017296855751055</x:v>
      </x:c>
      <x:c r="J257" s="79" t="n">
        <x:f>IF(H257&gt;0,I257/H257,0)</x:f>
        <x:v>8.734344058245802e-13</x:v>
      </x:c>
      <x:c r="K257" s="80" t="n">
        <x:f>(H257*J257+I257)*'Inputs'!$D$44*(1+'Inputs'!$G$44)^(B257/30)</x:f>
        <x:v>0.0406918742300422</x:v>
      </x:c>
      <x:c r="L257" s="80" t="n">
        <x:f>MAX(0,K257*'Inputs'!$E$44)</x:f>
        <x:v>0</x:v>
      </x:c>
      <x:c r="M257" s="80" t="n">
        <x:f>MAX(0,-K257*'Inputs'!$E$44)</x:f>
        <x:v>0.00813837484600844</x:v>
      </x:c>
      <x:c r="N257" s="78" t="n">
        <x:f>H257*(L257*(1-'Inputs'!$B$15))/(I257+L257*(1-'Inputs'!$B$15))</x:f>
        <x:v>0</x:v>
      </x:c>
      <x:c r="O257" s="78" t="n">
        <x:f>H257-N257</x:f>
        <x:v>116470893402.76894</x:v>
      </x:c>
      <x:c r="P257" s="78" t="n">
        <x:f>I257+L257*(1-'Inputs'!$B$17)</x:f>
        <x:v>0.1017296855751055</x:v>
      </x:c>
      <x:c r="Q257" s="78" t="n">
        <x:f>IF(J257&gt;0,M257/J257,0)</x:f>
        <x:v>0</x:v>
      </x:c>
      <x:c r="R257" s="78" t="n">
        <x:f>IF(B257='Inputs'!$H$44,'Inputs'!$B$27*'Inputs'!$I$44,0)</x:f>
        <x:v>0</x:v>
      </x:c>
      <x:c r="S257" s="78" t="n">
        <x:f>Q257+G257+R257</x:f>
        <x:v>818644.914618124</x:v>
      </x:c>
      <x:c r="T257" s="78" t="n">
        <x:f>P257*(S257*(1-'Inputs'!$B$15))/(O257+S257*(1-'Inputs'!$B$15))</x:f>
        <x:v>7.07877382496029e-7</x:v>
      </x:c>
      <x:c r="U257" s="78" t="n">
        <x:f>O257+S257*(1-'Inputs'!$B$17)</x:f>
        <x:v>116471708753.33781</x:v>
      </x:c>
      <x:c r="V257" s="78" t="n">
        <x:f>P257-T257</x:f>
        <x:v>0.101728977697723</x:v>
      </x:c>
      <x:c r="W257" s="79" t="n">
        <x:f>IF(U257&gt;0,V257/U257,0)</x:f>
        <x:v>8.734222137425942e-13</x:v>
      </x:c>
      <x:c r="X257" s="80" t="n">
        <x:f>W257*('Inputs'!$B$6-AC257)</x:f>
        <x:v>-0.00035820515018673393</x:v>
      </x:c>
      <x:c r="Y257" s="80" t="n">
        <x:f>2*V257</x:f>
        <x:v>0.203457955395446</x:v>
      </x:c>
      <x:c r="Z257" s="80" t="n">
        <x:f>K257*'Inputs'!$B$16+(G257+R257)*J257*'Inputs'!$B$16</x:f>
        <x:v>0.00024415553557606074</x:v>
      </x:c>
      <x:c r="AA257" s="80" t="n">
        <x:f>K257*(1+'Inputs'!$E$44)/2*'Inputs'!$B$17</x:f>
        <x:v>0.00006549999876063132</x:v>
      </x:c>
      <x:c r="AB257" s="78" t="n">
        <x:f>(IF(J257&gt;0,K257*(1-'Inputs'!$E$44)/2/J257,0)+G257+R257)*'Inputs'!$B$17</x:f>
        <x:v>3294.3457328697145</x:v>
      </x:c>
      <x:c r="AC257" s="78" t="n">
        <x:f>AC256+AB257</x:f>
        <x:v>1410116830.7270696</x:v>
      </x:c>
      <x:c r="AD257" s="80" t="n">
        <x:f>Z257/(1+'Inputs'!$C$44)</x:f>
        <x:v>0.0001953244284608486</x:v>
      </x:c>
      <x:c r="AE257" s="80" t="n">
        <x:f>Z257-AD257</x:f>
        <x:v>0.00004883110711521215</x:v>
      </x:c>
      <x:c r="AF257" s="80" t="n">
        <x:f>D257*W257</x:f>
        <x:v>2.35663580748274e-7</x:v>
      </x:c>
      <x:c r="AG257" s="80" t="n">
        <x:f>C257*W257</x:f>
        <x:v>5.498816884126264e-7</x:v>
      </x:c>
      <x:c r="AH257" s="80" t="n">
        <x:f>2*'Inputs'!$B$8*'Inputs'!$C$44</x:f>
        <x:v>1250</x:v>
      </x:c>
      <x:c r="AI257" s="81" t="n">
        <x:f>IF(AH257&gt;0,(AE257+AF257)/AH257*365,0)</x:f>
        <x:v>0.000014327497043220442</x:v>
      </x:c>
      <x:c r="AJ257" s="81" t="n">
        <x:f>IF('Inputs'!$B$44&gt;0,AG257/('Inputs'!$B$19*'Inputs'!$B$44)*365,0)</x:f>
        <x:v>2.0070681627060862e-8</x:v>
      </x:c>
      <x:c r="AK257" s="81" t="n">
        <x:f>W257/MAX($W$4:W257)-1</x:f>
        <x:v>-0.9999999987164397</x:v>
      </x:c>
      <x:c r="AL257" s="83" t="n">
        <x:f>'Inputs'!$B$44</x:f>
        <x:v>1</x:v>
      </x:c>
      <x:c r="AM257" s="83" t="n">
        <x:f>'Inputs'!$C$44</x:f>
        <x:v>0.25</x:v>
      </x:c>
      <x:c r="AN257" s="83" t="n">
        <x:f>'Inputs'!$D$44</x:f>
        <x:v>0.2</x:v>
      </x:c>
      <x:c r="AO257" s="81" t="n">
        <x:f>'Inputs'!$E$44</x:f>
        <x:v>-0.2</x:v>
      </x:c>
    </x:row>
    <x:row r="258">
      <x:c r="A258" s="59" t="str">
        <x:v>No demand</x:v>
      </x:c>
      <x:c r="B258" s="59" t="n">
        <x:v>255</x:v>
      </x:c>
      <x:c r="C258" s="78" t="n">
        <x:f>(('Inputs'!$B$29*(3*255*'Inputs'!$B$12-255^2)/(2*'Inputs'!$B$12^2))-('Inputs'!$B$29*(3*254*'Inputs'!$B$12-254^2)/(2*'Inputs'!$B$12^2)))*'Inputs'!$B$44</x:f>
        <x:v>629246.3407768905</x:v>
      </x:c>
      <x:c r="D258" s="78" t="n">
        <x:f>IF('Inputs'!$C$44&gt;0,('Inputs'!$B$30*(3*255*'Inputs'!$B$12-255^2)/(2*'Inputs'!$B$12^2))-('Inputs'!$B$30*(3*254*'Inputs'!$B$12-254^2)/(2*'Inputs'!$B$12^2)),0)</x:f>
        <x:v>269677.0031900853</x:v>
      </x:c>
      <x:c r="E258" s="78" t="n">
        <x:f>C258+D258</x:f>
        <x:v>898923.3439669758</x:v>
      </x:c>
      <x:c r="F258" s="78" t="n">
        <x:f>'Inputs'!$B$13*E258+(1-'Inputs'!$B$13)/'Inputs'!$B$14*SUM(E203:E258)</x:f>
        <x:v>909141.0208294244</x:v>
      </x:c>
      <x:c r="G258" s="78" t="n">
        <x:f>F258*'Inputs'!$F$44</x:f>
        <x:v>818226.918746482</x:v>
      </x:c>
      <x:c r="H258" s="78" t="n">
        <x:f>U257</x:f>
        <x:v>116471708753.33781</x:v>
      </x:c>
      <x:c r="I258" s="78" t="n">
        <x:f>V257</x:f>
        <x:v>0.101728977697723</x:v>
      </x:c>
      <x:c r="J258" s="79" t="n">
        <x:f>IF(H258&gt;0,I258/H258,0)</x:f>
        <x:v>8.734222137425942e-13</x:v>
      </x:c>
      <x:c r="K258" s="80" t="n">
        <x:f>(H258*J258+I258)*'Inputs'!$D$44*(1+'Inputs'!$G$44)^(B258/30)</x:f>
        <x:v>0.04069159107908921</x:v>
      </x:c>
      <x:c r="L258" s="80" t="n">
        <x:f>MAX(0,K258*'Inputs'!$E$44)</x:f>
        <x:v>0</x:v>
      </x:c>
      <x:c r="M258" s="80" t="n">
        <x:f>MAX(0,-K258*'Inputs'!$E$44)</x:f>
        <x:v>0.008138318215817841</x:v>
      </x:c>
      <x:c r="N258" s="78" t="n">
        <x:f>H258*(L258*(1-'Inputs'!$B$15))/(I258+L258*(1-'Inputs'!$B$15))</x:f>
        <x:v>0</x:v>
      </x:c>
      <x:c r="O258" s="78" t="n">
        <x:f>H258-N258</x:f>
        <x:v>116471708753.33781</x:v>
      </x:c>
      <x:c r="P258" s="78" t="n">
        <x:f>I258+L258*(1-'Inputs'!$B$17)</x:f>
        <x:v>0.101728977697723</x:v>
      </x:c>
      <x:c r="Q258" s="78" t="n">
        <x:f>IF(J258&gt;0,M258/J258,0)</x:f>
        <x:v>0</x:v>
      </x:c>
      <x:c r="R258" s="78" t="n">
        <x:f>IF(B258='Inputs'!$H$44,'Inputs'!$B$27*'Inputs'!$I$44,0)</x:f>
        <x:v>0</x:v>
      </x:c>
      <x:c r="S258" s="78" t="n">
        <x:f>Q258+G258+R258</x:f>
        <x:v>818226.918746482</x:v>
      </x:c>
      <x:c r="T258" s="78" t="n">
        <x:f>P258*(S258*(1-'Inputs'!$B$15))/(O258+S258*(1-'Inputs'!$B$15))</x:f>
        <x:v>7.075060704411679e-7</x:v>
      </x:c>
      <x:c r="U258" s="78" t="n">
        <x:f>O258+S258*(1-'Inputs'!$B$17)</x:f>
        <x:v>116472523687.59291</x:v>
      </x:c>
      <x:c r="V258" s="78" t="n">
        <x:f>P258-T258</x:f>
        <x:v>0.10172827019165256</x:v>
      </x:c>
      <x:c r="W258" s="79" t="n">
        <x:f>IF(U258&gt;0,V258/U258,0)</x:f>
        <x:v>8.734100281411609e-13</x:v>
      </x:c>
      <x:c r="X258" s="80" t="n">
        <x:f>W258*('Inputs'!$B$6-AC258)</x:f>
        <x:v>-0.0003582030285119509</x:v>
      </x:c>
      <x:c r="Y258" s="80" t="n">
        <x:f>2*V258</x:f>
        <x:v>0.20345654038330513</x:v>
      </x:c>
      <x:c r="Z258" s="80" t="n">
        <x:f>K258*'Inputs'!$B$16+(G258+R258)*J258*'Inputs'!$B$16</x:f>
        <x:v>0.00024415383441993554</x:v>
      </x:c>
      <x:c r="AA258" s="80" t="n">
        <x:f>K258*(1+'Inputs'!$E$44)/2*'Inputs'!$B$17</x:f>
        <x:v>0.00006549954298444943</x:v>
      </x:c>
      <x:c r="AB258" s="78" t="n">
        <x:f>(IF(J258&gt;0,K258*(1-'Inputs'!$E$44)/2/J258,0)+G258+R258)*'Inputs'!$B$17</x:f>
        <x:v>3292.6636569274933</x:v>
      </x:c>
      <x:c r="AC258" s="78" t="n">
        <x:f>AC257+AB258</x:f>
        <x:v>1410120123.3907266</x:v>
      </x:c>
      <x:c r="AD258" s="80" t="n">
        <x:f>Z258/(1+'Inputs'!$C$44)</x:f>
        <x:v>0.00019532306753594842</x:v>
      </x:c>
      <x:c r="AE258" s="80" t="n">
        <x:f>Z258-AD258</x:f>
        <x:v>0.00004883076688398712</x:v>
      </x:c>
      <x:c r="AF258" s="80" t="n">
        <x:f>D258*W258</x:f>
        <x:v>2.3553859894527635e-7</x:v>
      </x:c>
      <x:c r="AG258" s="80" t="n">
        <x:f>C258*W258</x:f>
        <x:v>5.495900642056665e-7</x:v>
      </x:c>
      <x:c r="AH258" s="80" t="n">
        <x:f>2*'Inputs'!$B$8*'Inputs'!$C$44</x:f>
        <x:v>1250</x:v>
      </x:c>
      <x:c r="AI258" s="81" t="n">
        <x:f>IF(AH258&gt;0,(AE258+AF258)/AH258*365,0)</x:f>
        <x:v>0.00001432736120101626</x:v>
      </x:c>
      <x:c r="AJ258" s="81" t="n">
        <x:f>IF('Inputs'!$B$44&gt;0,AG258/('Inputs'!$B$19*'Inputs'!$B$44)*365,0)</x:f>
        <x:v>2.0060037343506828e-8</x:v>
      </x:c>
      <x:c r="AK258" s="81" t="n">
        <x:f>W258/MAX($W$4:W258)-1</x:f>
        <x:v>-0.9999999987164576</x:v>
      </x:c>
      <x:c r="AL258" s="83" t="n">
        <x:f>'Inputs'!$B$44</x:f>
        <x:v>1</x:v>
      </x:c>
      <x:c r="AM258" s="83" t="n">
        <x:f>'Inputs'!$C$44</x:f>
        <x:v>0.25</x:v>
      </x:c>
      <x:c r="AN258" s="83" t="n">
        <x:f>'Inputs'!$D$44</x:f>
        <x:v>0.2</x:v>
      </x:c>
      <x:c r="AO258" s="81" t="n">
        <x:f>'Inputs'!$E$44</x:f>
        <x:v>-0.2</x:v>
      </x:c>
    </x:row>
    <x:row r="259">
      <x:c r="A259" s="59" t="str">
        <x:v>No demand</x:v>
      </x:c>
      <x:c r="B259" s="59" t="n">
        <x:v>256</x:v>
      </x:c>
      <x:c r="C259" s="78" t="n">
        <x:f>(('Inputs'!$B$29*(3*256*'Inputs'!$B$12-256^2)/(2*'Inputs'!$B$12^2))-('Inputs'!$B$29*(3*255*'Inputs'!$B$12-255^2)/(2*'Inputs'!$B$12^2)))*'Inputs'!$B$44</x:f>
        <x:v>628921.232876718</x:v>
      </x:c>
      <x:c r="D259" s="78" t="n">
        <x:f>IF('Inputs'!$C$44&gt;0,('Inputs'!$B$30*(3*256*'Inputs'!$B$12-256^2)/(2*'Inputs'!$B$12^2))-('Inputs'!$B$30*(3*255*'Inputs'!$B$12-255^2)/(2*'Inputs'!$B$12^2)),0)</x:f>
        <x:v>269537.67123287916</x:v>
      </x:c>
      <x:c r="E259" s="78" t="n">
        <x:f>C259+D259</x:f>
        <x:v>898458.9041095972</x:v>
      </x:c>
      <x:c r="F259" s="78" t="n">
        <x:f>'Inputs'!$B$13*E259+(1-'Inputs'!$B$13)/'Inputs'!$B$14*SUM(E204:E259)</x:f>
        <x:v>908676.5809720415</x:v>
      </x:c>
      <x:c r="G259" s="78" t="n">
        <x:f>F259*'Inputs'!$F$44</x:f>
        <x:v>817808.9228748373</x:v>
      </x:c>
      <x:c r="H259" s="78" t="n">
        <x:f>U258</x:f>
        <x:v>116472523687.59291</x:v>
      </x:c>
      <x:c r="I259" s="78" t="n">
        <x:f>V258</x:f>
        <x:v>0.10172827019165256</x:v>
      </x:c>
      <x:c r="J259" s="79" t="n">
        <x:f>IF(H259&gt;0,I259/H259,0)</x:f>
        <x:v>8.734100281411609e-13</x:v>
      </x:c>
      <x:c r="K259" s="80" t="n">
        <x:f>(H259*J259+I259)*'Inputs'!$D$44*(1+'Inputs'!$G$44)^(B259/30)</x:f>
        <x:v>0.04069130807666103</x:v>
      </x:c>
      <x:c r="L259" s="80" t="n">
        <x:f>MAX(0,K259*'Inputs'!$E$44)</x:f>
        <x:v>0</x:v>
      </x:c>
      <x:c r="M259" s="80" t="n">
        <x:f>MAX(0,-K259*'Inputs'!$E$44)</x:f>
        <x:v>0.008138261615332206</x:v>
      </x:c>
      <x:c r="N259" s="78" t="n">
        <x:f>H259*(L259*(1-'Inputs'!$B$15))/(I259+L259*(1-'Inputs'!$B$15))</x:f>
        <x:v>0</x:v>
      </x:c>
      <x:c r="O259" s="78" t="n">
        <x:f>H259-N259</x:f>
        <x:v>116472523687.59291</x:v>
      </x:c>
      <x:c r="P259" s="78" t="n">
        <x:f>I259+L259*(1-'Inputs'!$B$17)</x:f>
        <x:v>0.10172827019165256</x:v>
      </x:c>
      <x:c r="Q259" s="78" t="n">
        <x:f>IF(J259&gt;0,M259/J259,0)</x:f>
        <x:v>0</x:v>
      </x:c>
      <x:c r="R259" s="78" t="n">
        <x:f>IF(B259='Inputs'!$H$44,'Inputs'!$B$27*'Inputs'!$I$44,0)</x:f>
        <x:v>0</x:v>
      </x:c>
      <x:c r="S259" s="78" t="n">
        <x:f>Q259+G259+R259</x:f>
        <x:v>817808.9228748373</x:v>
      </x:c>
      <x:c r="T259" s="78" t="n">
        <x:f>P259*(S259*(1-'Inputs'!$B$15))/(O259+S259*(1-'Inputs'!$B$15))</x:f>
        <x:v>7.071347737208803e-7</x:v>
      </x:c>
      <x:c r="U259" s="78" t="n">
        <x:f>O259+S259*(1-'Inputs'!$B$17)</x:f>
        <x:v>116473338205.53421</x:v>
      </x:c>
      <x:c r="V259" s="78" t="n">
        <x:f>P259-T259</x:f>
        <x:v>0.10172756305687884</x:v>
      </x:c>
      <x:c r="W259" s="79" t="n">
        <x:f>IF(U259&gt;0,V259/U259,0)</x:f>
        <x:v>8.733978490198822e-13</x:v>
      </x:c>
      <x:c r="X259" s="80" t="n">
        <x:f>W259*('Inputs'!$B$6-AC259)</x:f>
        <x:v>-0.00035820090794546326</x:v>
      </x:c>
      <x:c r="Y259" s="80" t="n">
        <x:f>2*V259</x:f>
        <x:v>0.20345512611375768</x:v>
      </x:c>
      <x:c r="Z259" s="80" t="n">
        <x:f>K259*'Inputs'!$B$16+(G259+R259)*J259*'Inputs'!$B$16</x:f>
        <x:v>0.0002441521341550522</x:v>
      </x:c>
      <x:c r="AA259" s="80" t="n">
        <x:f>K259*(1+'Inputs'!$E$44)/2*'Inputs'!$B$17</x:f>
        <x:v>0.0000654990874473417</x:v>
      </x:c>
      <x:c r="AB259" s="78" t="n">
        <x:f>(IF(J259&gt;0,K259*(1-'Inputs'!$E$44)/2/J259,0)+G259+R259)*'Inputs'!$B$17</x:f>
        <x:v>3290.981580985261</x:v>
      </x:c>
      <x:c r="AC259" s="78" t="n">
        <x:f>AC258+AB259</x:f>
        <x:v>1410123414.3723075</x:v>
      </x:c>
      <x:c r="AD259" s="80" t="n">
        <x:f>Z259/(1+'Inputs'!$C$44)</x:f>
        <x:v>0.00019532170732404177</x:v>
      </x:c>
      <x:c r="AE259" s="80" t="n">
        <x:f>Z259-AD259</x:f>
        <x:v>0.000048830426831010455</x:v>
      </x:c>
      <x:c r="AF259" s="80" t="n">
        <x:f>D259*W259</x:f>
        <x:v>2.3541362228462485e-7</x:v>
      </x:c>
      <x:c r="AG259" s="80" t="n">
        <x:f>C259*W259</x:f>
        <x:v>5.492984519974579e-7</x:v>
      </x:c>
      <x:c r="AH259" s="80" t="n">
        <x:f>2*'Inputs'!$B$8*'Inputs'!$C$44</x:f>
        <x:v>1250</x:v>
      </x:c>
      <x:c r="AI259" s="81" t="n">
        <x:f>IF(AH259&gt;0,(AE259+AF259)/AH259*365,0)</x:f>
        <x:v>0.000014327225412362163</x:v>
      </x:c>
      <x:c r="AJ259" s="81" t="n">
        <x:f>IF('Inputs'!$B$44&gt;0,AG259/('Inputs'!$B$19*'Inputs'!$B$44)*365,0)</x:f>
        <x:v>2.0049393497907214e-8</x:v>
      </x:c>
      <x:c r="AK259" s="81" t="n">
        <x:f>W259/MAX($W$4:W259)-1</x:f>
        <x:v>-0.9999999987164755</x:v>
      </x:c>
      <x:c r="AL259" s="83" t="n">
        <x:f>'Inputs'!$B$44</x:f>
        <x:v>1</x:v>
      </x:c>
      <x:c r="AM259" s="83" t="n">
        <x:f>'Inputs'!$C$44</x:f>
        <x:v>0.25</x:v>
      </x:c>
      <x:c r="AN259" s="83" t="n">
        <x:f>'Inputs'!$D$44</x:f>
        <x:v>0.2</x:v>
      </x:c>
      <x:c r="AO259" s="81" t="n">
        <x:f>'Inputs'!$E$44</x:f>
        <x:v>-0.2</x:v>
      </x:c>
    </x:row>
    <x:row r="260">
      <x:c r="A260" s="59" t="str">
        <x:v>No demand</x:v>
      </x:c>
      <x:c r="B260" s="59" t="n">
        <x:v>257</x:v>
      </x:c>
      <x:c r="C260" s="78" t="n">
        <x:f>(('Inputs'!$B$29*(3*257*'Inputs'!$B$12-257^2)/(2*'Inputs'!$B$12^2))-('Inputs'!$B$29*(3*256*'Inputs'!$B$12-256^2)/(2*'Inputs'!$B$12^2)))*'Inputs'!$B$44</x:f>
        <x:v>628596.1249765456</x:v>
      </x:c>
      <x:c r="D260" s="78" t="n">
        <x:f>IF('Inputs'!$C$44&gt;0,('Inputs'!$B$30*(3*257*'Inputs'!$B$12-257^2)/(2*'Inputs'!$B$12^2))-('Inputs'!$B$30*(3*256*'Inputs'!$B$12-256^2)/(2*'Inputs'!$B$12^2)),0)</x:f>
        <x:v>269398.33927565813</x:v>
      </x:c>
      <x:c r="E260" s="78" t="n">
        <x:f>C260+D260</x:f>
        <x:v>897994.4642522037</x:v>
      </x:c>
      <x:c r="F260" s="78" t="n">
        <x:f>'Inputs'!$B$13*E260+(1-'Inputs'!$B$13)/'Inputs'!$B$14*SUM(E205:E260)</x:f>
        <x:v>908212.1411146556</x:v>
      </x:c>
      <x:c r="G260" s="78" t="n">
        <x:f>F260*'Inputs'!$F$44</x:f>
        <x:v>817390.9270031902</x:v>
      </x:c>
      <x:c r="H260" s="78" t="n">
        <x:f>U259</x:f>
        <x:v>116473338205.53421</x:v>
      </x:c>
      <x:c r="I260" s="78" t="n">
        <x:f>V259</x:f>
        <x:v>0.10172756305687884</x:v>
      </x:c>
      <x:c r="J260" s="79" t="n">
        <x:f>IF(H260&gt;0,I260/H260,0)</x:f>
        <x:v>8.733978490198822e-13</x:v>
      </x:c>
      <x:c r="K260" s="80" t="n">
        <x:f>(H260*J260+I260)*'Inputs'!$D$44*(1+'Inputs'!$G$44)^(B260/30)</x:f>
        <x:v>0.04069102522275154</x:v>
      </x:c>
      <x:c r="L260" s="80" t="n">
        <x:f>MAX(0,K260*'Inputs'!$E$44)</x:f>
        <x:v>0</x:v>
      </x:c>
      <x:c r="M260" s="80" t="n">
        <x:f>MAX(0,-K260*'Inputs'!$E$44)</x:f>
        <x:v>0.008138205044550309</x:v>
      </x:c>
      <x:c r="N260" s="78" t="n">
        <x:f>H260*(L260*(1-'Inputs'!$B$15))/(I260+L260*(1-'Inputs'!$B$15))</x:f>
        <x:v>0</x:v>
      </x:c>
      <x:c r="O260" s="78" t="n">
        <x:f>H260-N260</x:f>
        <x:v>116473338205.53421</x:v>
      </x:c>
      <x:c r="P260" s="78" t="n">
        <x:f>I260+L260*(1-'Inputs'!$B$17)</x:f>
        <x:v>0.10172756305687884</x:v>
      </x:c>
      <x:c r="Q260" s="78" t="n">
        <x:f>IF(J260&gt;0,M260/J260,0)</x:f>
        <x:v>0</x:v>
      </x:c>
      <x:c r="R260" s="78" t="n">
        <x:f>IF(B260='Inputs'!$H$44,'Inputs'!$B$27*'Inputs'!$I$44,0)</x:f>
        <x:v>0</x:v>
      </x:c>
      <x:c r="S260" s="78" t="n">
        <x:f>Q260+G260+R260</x:f>
        <x:v>817390.9270031902</x:v>
      </x:c>
      <x:c r="T260" s="78" t="n">
        <x:f>P260*(S260*(1-'Inputs'!$B$15))/(O260+S260*(1-'Inputs'!$B$15))</x:f>
        <x:v>7.067634923267995e-7</x:v>
      </x:c>
      <x:c r="U260" s="78" t="n">
        <x:f>O260+S260*(1-'Inputs'!$B$17)</x:f>
        <x:v>116474152307.16171</x:v>
      </x:c>
      <x:c r="V260" s="78" t="n">
        <x:f>P260-T260</x:f>
        <x:v>0.10172685629338651</x:v>
      </x:c>
      <x:c r="W260" s="79" t="n">
        <x:f>IF(U260&gt;0,V260/U260,0)</x:f>
        <x:v>8.733856763783597e-13</x:v>
      </x:c>
      <x:c r="X260" s="80" t="n">
        <x:f>W260*('Inputs'!$B$6-AC260)</x:f>
        <x:v>-0.0003581987884872331</x:v>
      </x:c>
      <x:c r="Y260" s="80" t="n">
        <x:f>2*V260</x:f>
        <x:v>0.20345371258677303</x:v>
      </x:c>
      <x:c r="Z260" s="80" t="n">
        <x:f>K260*'Inputs'!$B$16+(G260+R260)*J260*'Inputs'!$B$16</x:f>
        <x:v>0.00024415043478137393</x:v>
      </x:c>
      <x:c r="AA260" s="80" t="n">
        <x:f>K260*(1+'Inputs'!$E$44)/2*'Inputs'!$B$17</x:f>
        <x:v>0.00006549863214929827</x:v>
      </x:c>
      <x:c r="AB260" s="78" t="n">
        <x:f>(IF(J260&gt;0,K260*(1-'Inputs'!$E$44)/2/J260,0)+G260+R260)*'Inputs'!$B$17</x:f>
        <x:v>3289.299505043019</x:v>
      </x:c>
      <x:c r="AC260" s="78" t="n">
        <x:f>AC259+AB260</x:f>
        <x:v>1410126703.6718125</x:v>
      </x:c>
      <x:c r="AD260" s="80" t="n">
        <x:f>Z260/(1+'Inputs'!$C$44)</x:f>
        <x:v>0.00019532034782509915</x:v>
      </x:c>
      <x:c r="AE260" s="80" t="n">
        <x:f>Z260-AD260</x:f>
        <x:v>0.00004883008695627479</x:v>
      </x:c>
      <x:c r="AF260" s="80" t="n">
        <x:f>D260*W260</x:f>
        <x:v>2.352886507634775e-7</x:v>
      </x:c>
      <x:c r="AG260" s="80" t="n">
        <x:f>C260*W260</x:f>
        <x:v>5.490068517814562e-7</x:v>
      </x:c>
      <x:c r="AH260" s="80" t="n">
        <x:f>2*'Inputs'!$B$8*'Inputs'!$C$44</x:f>
        <x:v>1250</x:v>
      </x:c>
      <x:c r="AI260" s="81" t="n">
        <x:f>IF(AH260&gt;0,(AE260+AF260)/AH260*365,0)</x:f>
        <x:v>0.000014327089677255171</x:v>
      </x:c>
      <x:c r="AJ260" s="81" t="n">
        <x:f>IF('Inputs'!$B$44&gt;0,AG260/('Inputs'!$B$19*'Inputs'!$B$44)*365,0)</x:f>
        <x:v>2.0038750090023153e-8</x:v>
      </x:c>
      <x:c r="AK260" s="81" t="n">
        <x:f>W260/MAX($W$4:W260)-1</x:f>
        <x:v>-0.9999999987164934</x:v>
      </x:c>
      <x:c r="AL260" s="83" t="n">
        <x:f>'Inputs'!$B$44</x:f>
        <x:v>1</x:v>
      </x:c>
      <x:c r="AM260" s="83" t="n">
        <x:f>'Inputs'!$C$44</x:f>
        <x:v>0.25</x:v>
      </x:c>
      <x:c r="AN260" s="83" t="n">
        <x:f>'Inputs'!$D$44</x:f>
        <x:v>0.2</x:v>
      </x:c>
      <x:c r="AO260" s="81" t="n">
        <x:f>'Inputs'!$E$44</x:f>
        <x:v>-0.2</x:v>
      </x:c>
    </x:row>
    <x:row r="261">
      <x:c r="A261" s="59" t="str">
        <x:v>No demand</x:v>
      </x:c>
      <x:c r="B261" s="59" t="n">
        <x:v>258</x:v>
      </x:c>
      <x:c r="C261" s="78" t="n">
        <x:f>(('Inputs'!$B$29*(3*258*'Inputs'!$B$12-258^2)/(2*'Inputs'!$B$12^2))-('Inputs'!$B$29*(3*257*'Inputs'!$B$12-257^2)/(2*'Inputs'!$B$12^2)))*'Inputs'!$B$44</x:f>
        <x:v>628271.0170763731</x:v>
      </x:c>
      <x:c r="D261" s="78" t="n">
        <x:f>IF('Inputs'!$C$44&gt;0,('Inputs'!$B$30*(3*258*'Inputs'!$B$12-258^2)/(2*'Inputs'!$B$12^2))-('Inputs'!$B$30*(3*257*'Inputs'!$B$12-257^2)/(2*'Inputs'!$B$12^2)),0)</x:f>
        <x:v>269259.007318452</x:v>
      </x:c>
      <x:c r="E261" s="78" t="n">
        <x:f>C261+D261</x:f>
        <x:v>897530.0243948251</x:v>
      </x:c>
      <x:c r="F261" s="78" t="n">
        <x:f>'Inputs'!$B$13*E261+(1-'Inputs'!$B$13)/'Inputs'!$B$14*SUM(E206:E261)</x:f>
        <x:v>907747.7012572729</x:v>
      </x:c>
      <x:c r="G261" s="78" t="n">
        <x:f>F261*'Inputs'!$F$44</x:f>
        <x:v>816972.9311315456</x:v>
      </x:c>
      <x:c r="H261" s="78" t="n">
        <x:f>U260</x:f>
        <x:v>116474152307.16171</x:v>
      </x:c>
      <x:c r="I261" s="78" t="n">
        <x:f>V260</x:f>
        <x:v>0.10172685629338651</x:v>
      </x:c>
      <x:c r="J261" s="79" t="n">
        <x:f>IF(H261&gt;0,I261/H261,0)</x:f>
        <x:v>8.733856763783597e-13</x:v>
      </x:c>
      <x:c r="K261" s="80" t="n">
        <x:f>(H261*J261+I261)*'Inputs'!$D$44*(1+'Inputs'!$G$44)^(B261/30)</x:f>
        <x:v>0.040690742517354606</x:v>
      </x:c>
      <x:c r="L261" s="80" t="n">
        <x:f>MAX(0,K261*'Inputs'!$E$44)</x:f>
        <x:v>0</x:v>
      </x:c>
      <x:c r="M261" s="80" t="n">
        <x:f>MAX(0,-K261*'Inputs'!$E$44)</x:f>
        <x:v>0.00813814850347092</x:v>
      </x:c>
      <x:c r="N261" s="78" t="n">
        <x:f>H261*(L261*(1-'Inputs'!$B$15))/(I261+L261*(1-'Inputs'!$B$15))</x:f>
        <x:v>0</x:v>
      </x:c>
      <x:c r="O261" s="78" t="n">
        <x:f>H261-N261</x:f>
        <x:v>116474152307.16171</x:v>
      </x:c>
      <x:c r="P261" s="78" t="n">
        <x:f>I261+L261*(1-'Inputs'!$B$17)</x:f>
        <x:v>0.10172685629338651</x:v>
      </x:c>
      <x:c r="Q261" s="78" t="n">
        <x:f>IF(J261&gt;0,M261/J261,0)</x:f>
        <x:v>0</x:v>
      </x:c>
      <x:c r="R261" s="78" t="n">
        <x:f>IF(B261='Inputs'!$H$44,'Inputs'!$B$27*'Inputs'!$I$44,0)</x:f>
        <x:v>0</x:v>
      </x:c>
      <x:c r="S261" s="78" t="n">
        <x:f>Q261+G261+R261</x:f>
        <x:v>816972.9311315456</x:v>
      </x:c>
      <x:c r="T261" s="78" t="n">
        <x:f>P261*(S261*(1-'Inputs'!$B$15))/(O261+S261*(1-'Inputs'!$B$15))</x:f>
        <x:v>7.06392226250563e-7</x:v>
      </x:c>
      <x:c r="U261" s="78" t="n">
        <x:f>O261+S261*(1-'Inputs'!$B$17)</x:f>
        <x:v>116474965992.47542</x:v>
      </x:c>
      <x:c r="V261" s="78" t="n">
        <x:f>P261-T261</x:f>
        <x:v>0.10172614990116026</x:v>
      </x:c>
      <x:c r="W261" s="79" t="n">
        <x:f>IF(U261&gt;0,V261/U261,0)</x:f>
        <x:v>8.733735102161956e-13</x:v>
      </x:c>
      <x:c r="X261" s="80" t="n">
        <x:f>W261*('Inputs'!$B$6-AC261)</x:f>
        <x:v>-0.0003581966701372226</x:v>
      </x:c>
      <x:c r="Y261" s="80" t="n">
        <x:f>2*V261</x:f>
        <x:v>0.20345229980232052</x:v>
      </x:c>
      <x:c r="Z261" s="80" t="n">
        <x:f>K261*'Inputs'!$B$16+(G261+R261)*J261*'Inputs'!$B$16</x:f>
        <x:v>0.00024414873629886386</x:v>
      </x:c>
      <x:c r="AA261" s="80" t="n">
        <x:f>K261*(1+'Inputs'!$E$44)/2*'Inputs'!$B$17</x:f>
        <x:v>0.00006549817709030923</x:v>
      </x:c>
      <x:c r="AB261" s="78" t="n">
        <x:f>(IF(J261&gt;0,K261*(1-'Inputs'!$E$44)/2/J261,0)+G261+R261)*'Inputs'!$B$17</x:f>
        <x:v>3287.6174291007874</x:v>
      </x:c>
      <x:c r="AC261" s="78" t="n">
        <x:f>AC260+AB261</x:f>
        <x:v>1410129991.2892416</x:v>
      </x:c>
      <x:c r="AD261" s="80" t="n">
        <x:f>Z261/(1+'Inputs'!$C$44)</x:f>
        <x:v>0.0001953189890390911</x:v>
      </x:c>
      <x:c r="AE261" s="80" t="n">
        <x:f>Z261-AD261</x:f>
        <x:v>0.00004882974725977277</x:v>
      </x:c>
      <x:c r="AF261" s="80" t="n">
        <x:f>D261*W261</x:f>
        <x:v>2.3516368437904472e-7</x:v>
      </x:c>
      <x:c r="AG261" s="80" t="n">
        <x:f>C261*W261</x:f>
        <x:v>5.487152635510913e-7</x:v>
      </x:c>
      <x:c r="AH261" s="80" t="n">
        <x:f>2*'Inputs'!$B$8*'Inputs'!$C$44</x:f>
        <x:v>1250</x:v>
      </x:c>
      <x:c r="AI261" s="81" t="n">
        <x:f>IF(AH261&gt;0,(AE261+AF261)/AH261*365,0)</x:f>
        <x:v>0.00001432695399569233</x:v>
      </x:c>
      <x:c r="AJ261" s="81" t="n">
        <x:f>IF('Inputs'!$B$44&gt;0,AG261/('Inputs'!$B$19*'Inputs'!$B$44)*365,0)</x:f>
        <x:v>2.0028107119614833e-8</x:v>
      </x:c>
      <x:c r="AK261" s="81" t="n">
        <x:f>W261/MAX($W$4:W261)-1</x:f>
        <x:v>-0.9999999987165112</x:v>
      </x:c>
      <x:c r="AL261" s="83" t="n">
        <x:f>'Inputs'!$B$44</x:f>
        <x:v>1</x:v>
      </x:c>
      <x:c r="AM261" s="83" t="n">
        <x:f>'Inputs'!$C$44</x:f>
        <x:v>0.25</x:v>
      </x:c>
      <x:c r="AN261" s="83" t="n">
        <x:f>'Inputs'!$D$44</x:f>
        <x:v>0.2</x:v>
      </x:c>
      <x:c r="AO261" s="81" t="n">
        <x:f>'Inputs'!$E$44</x:f>
        <x:v>-0.2</x:v>
      </x:c>
    </x:row>
    <x:row r="262">
      <x:c r="A262" s="59" t="str">
        <x:v>No demand</x:v>
      </x:c>
      <x:c r="B262" s="59" t="n">
        <x:v>259</x:v>
      </x:c>
      <x:c r="C262" s="78" t="n">
        <x:f>(('Inputs'!$B$29*(3*259*'Inputs'!$B$12-259^2)/(2*'Inputs'!$B$12^2))-('Inputs'!$B$29*(3*258*'Inputs'!$B$12-258^2)/(2*'Inputs'!$B$12^2)))*'Inputs'!$B$44</x:f>
        <x:v>627945.9091762006</x:v>
      </x:c>
      <x:c r="D262" s="78" t="n">
        <x:f>IF('Inputs'!$C$44&gt;0,('Inputs'!$B$30*(3*259*'Inputs'!$B$12-259^2)/(2*'Inputs'!$B$12^2))-('Inputs'!$B$30*(3*258*'Inputs'!$B$12-258^2)/(2*'Inputs'!$B$12^2)),0)</x:f>
        <x:v>269119.67536123097</x:v>
      </x:c>
      <x:c r="E262" s="78" t="n">
        <x:f>C262+D262</x:f>
        <x:v>897065.5845374316</x:v>
      </x:c>
      <x:c r="F262" s="78" t="n">
        <x:f>'Inputs'!$B$13*E262+(1-'Inputs'!$B$13)/'Inputs'!$B$14*SUM(E207:E262)</x:f>
        <x:v>907283.2613998865</x:v>
      </x:c>
      <x:c r="G262" s="78" t="n">
        <x:f>F262*'Inputs'!$F$44</x:f>
        <x:v>816554.9352598978</x:v>
      </x:c>
      <x:c r="H262" s="78" t="n">
        <x:f>U261</x:f>
        <x:v>116474965992.47542</x:v>
      </x:c>
      <x:c r="I262" s="78" t="n">
        <x:f>V261</x:f>
        <x:v>0.10172614990116026</x:v>
      </x:c>
      <x:c r="J262" s="79" t="n">
        <x:f>IF(H262&gt;0,I262/H262,0)</x:f>
        <x:v>8.733735102161956e-13</x:v>
      </x:c>
      <x:c r="K262" s="80" t="n">
        <x:f>(H262*J262+I262)*'Inputs'!$D$44*(1+'Inputs'!$G$44)^(B262/30)</x:f>
        <x:v>0.04069045996046411</x:v>
      </x:c>
      <x:c r="L262" s="80" t="n">
        <x:f>MAX(0,K262*'Inputs'!$E$44)</x:f>
        <x:v>0</x:v>
      </x:c>
      <x:c r="M262" s="80" t="n">
        <x:f>MAX(0,-K262*'Inputs'!$E$44)</x:f>
        <x:v>0.008138091992092823</x:v>
      </x:c>
      <x:c r="N262" s="78" t="n">
        <x:f>H262*(L262*(1-'Inputs'!$B$15))/(I262+L262*(1-'Inputs'!$B$15))</x:f>
        <x:v>0</x:v>
      </x:c>
      <x:c r="O262" s="78" t="n">
        <x:f>H262-N262</x:f>
        <x:v>116474965992.47542</x:v>
      </x:c>
      <x:c r="P262" s="78" t="n">
        <x:f>I262+L262*(1-'Inputs'!$B$17)</x:f>
        <x:v>0.10172614990116026</x:v>
      </x:c>
      <x:c r="Q262" s="78" t="n">
        <x:f>IF(J262&gt;0,M262/J262,0)</x:f>
        <x:v>0</x:v>
      </x:c>
      <x:c r="R262" s="78" t="n">
        <x:f>IF(B262='Inputs'!$H$44,'Inputs'!$B$27*'Inputs'!$I$44,0)</x:f>
        <x:v>0</x:v>
      </x:c>
      <x:c r="S262" s="78" t="n">
        <x:f>Q262+G262+R262</x:f>
        <x:v>816554.9352598978</x:v>
      </x:c>
      <x:c r="T262" s="78" t="n">
        <x:f>P262*(S262*(1-'Inputs'!$B$15))/(O262+S262*(1-'Inputs'!$B$15))</x:f>
        <x:v>7.060209754838003e-7</x:v>
      </x:c>
      <x:c r="U262" s="78" t="n">
        <x:f>O262+S262*(1-'Inputs'!$B$17)</x:f>
        <x:v>116475779261.47533</x:v>
      </x:c>
      <x:c r="V262" s="78" t="n">
        <x:f>P262-T262</x:f>
        <x:v>0.10172544388018477</x:v>
      </x:c>
      <x:c r="W262" s="79" t="n">
        <x:f>IF(U262&gt;0,V262/U262,0)</x:f>
        <x:v>8.733613505329922e-13</x:v>
      </x:c>
      <x:c r="X262" s="80" t="n">
        <x:f>W262*('Inputs'!$B$6-AC262)</x:f>
        <x:v>-0.000358194552895394</x:v>
      </x:c>
      <x:c r="Y262" s="80" t="n">
        <x:f>2*V262</x:f>
        <x:v>0.20345088776036954</x:v>
      </x:c>
      <x:c r="Z262" s="80" t="n">
        <x:f>K262*'Inputs'!$B$16+(G262+R262)*J262*'Inputs'!$B$16</x:f>
        <x:v>0.00024414703870748525</x:v>
      </x:c>
      <x:c r="AA262" s="80" t="n">
        <x:f>K262*(1+'Inputs'!$E$44)/2*'Inputs'!$B$17</x:f>
        <x:v>0.00006549772227036477</x:v>
      </x:c>
      <x:c r="AB262" s="78" t="n">
        <x:f>(IF(J262&gt;0,K262*(1-'Inputs'!$E$44)/2/J262,0)+G262+R262)*'Inputs'!$B$17</x:f>
        <x:v>3285.935353158543</x:v>
      </x:c>
      <x:c r="AC262" s="78" t="n">
        <x:f>AC261+AB262</x:f>
        <x:v>1410133277.2245946</x:v>
      </x:c>
      <x:c r="AD262" s="80" t="n">
        <x:f>Z262/(1+'Inputs'!$C$44)</x:f>
        <x:v>0.0001953176309659882</x:v>
      </x:c>
      <x:c r="AE262" s="80" t="n">
        <x:f>Z262-AD262</x:f>
        <x:v>0.00004882940774149705</x:v>
      </x:c>
      <x:c r="AF262" s="80" t="n">
        <x:f>D262*W262</x:f>
        <x:v>2.350387231284851e-7</x:v>
      </x:c>
      <x:c r="AG262" s="80" t="n">
        <x:f>C262*W262</x:f>
        <x:v>5.484236872997943e-7</x:v>
      </x:c>
      <x:c r="AH262" s="80" t="n">
        <x:f>2*'Inputs'!$B$8*'Inputs'!$C$44</x:f>
        <x:v>1250</x:v>
      </x:c>
      <x:c r="AI262" s="81" t="n">
        <x:f>IF(AH262&gt;0,(AE262+AF262)/AH262*365,0)</x:f>
        <x:v>0.000014326818367670657</x:v>
      </x:c>
      <x:c r="AJ262" s="81" t="n">
        <x:f>IF('Inputs'!$B$44&gt;0,AG262/('Inputs'!$B$19*'Inputs'!$B$44)*365,0)</x:f>
        <x:v>2.001746458644249e-8</x:v>
      </x:c>
      <x:c r="AK262" s="81" t="n">
        <x:f>W262/MAX($W$4:W262)-1</x:f>
        <x:v>-0.9999999987165291</x:v>
      </x:c>
      <x:c r="AL262" s="83" t="n">
        <x:f>'Inputs'!$B$44</x:f>
        <x:v>1</x:v>
      </x:c>
      <x:c r="AM262" s="83" t="n">
        <x:f>'Inputs'!$C$44</x:f>
        <x:v>0.25</x:v>
      </x:c>
      <x:c r="AN262" s="83" t="n">
        <x:f>'Inputs'!$D$44</x:f>
        <x:v>0.2</x:v>
      </x:c>
      <x:c r="AO262" s="81" t="n">
        <x:f>'Inputs'!$E$44</x:f>
        <x:v>-0.2</x:v>
      </x:c>
    </x:row>
    <x:row r="263">
      <x:c r="A263" s="59" t="str">
        <x:v>No demand</x:v>
      </x:c>
      <x:c r="B263" s="59" t="n">
        <x:v>260</x:v>
      </x:c>
      <x:c r="C263" s="78" t="n">
        <x:f>(('Inputs'!$B$29*(3*260*'Inputs'!$B$12-260^2)/(2*'Inputs'!$B$12^2))-('Inputs'!$B$29*(3*259*'Inputs'!$B$12-259^2)/(2*'Inputs'!$B$12^2)))*'Inputs'!$B$44</x:f>
        <x:v>627620.8012760282</x:v>
      </x:c>
      <x:c r="D263" s="78" t="n">
        <x:f>IF('Inputs'!$C$44&gt;0,('Inputs'!$B$30*(3*260*'Inputs'!$B$12-260^2)/(2*'Inputs'!$B$12^2))-('Inputs'!$B$30*(3*259*'Inputs'!$B$12-259^2)/(2*'Inputs'!$B$12^2)),0)</x:f>
        <x:v>268980.34340400994</x:v>
      </x:c>
      <x:c r="E263" s="78" t="n">
        <x:f>C263+D263</x:f>
        <x:v>896601.1446800381</x:v>
      </x:c>
      <x:c r="F263" s="78" t="n">
        <x:f>'Inputs'!$B$13*E263+(1-'Inputs'!$B$13)/'Inputs'!$B$14*SUM(E208:E263)</x:f>
        <x:v>906818.8215425004</x:v>
      </x:c>
      <x:c r="G263" s="78" t="n">
        <x:f>F263*'Inputs'!$F$44</x:f>
        <x:v>816136.9393882504</x:v>
      </x:c>
      <x:c r="H263" s="78" t="n">
        <x:f>U262</x:f>
        <x:v>116475779261.47533</x:v>
      </x:c>
      <x:c r="I263" s="78" t="n">
        <x:f>V262</x:f>
        <x:v>0.10172544388018477</x:v>
      </x:c>
      <x:c r="J263" s="79" t="n">
        <x:f>IF(H263&gt;0,I263/H263,0)</x:f>
        <x:v>8.733613505329922e-13</x:v>
      </x:c>
      <x:c r="K263" s="80" t="n">
        <x:f>(H263*J263+I263)*'Inputs'!$D$44*(1+'Inputs'!$G$44)^(B263/30)</x:f>
        <x:v>0.04069017755207391</x:v>
      </x:c>
      <x:c r="L263" s="80" t="n">
        <x:f>MAX(0,K263*'Inputs'!$E$44)</x:f>
        <x:v>0</x:v>
      </x:c>
      <x:c r="M263" s="80" t="n">
        <x:f>MAX(0,-K263*'Inputs'!$E$44)</x:f>
        <x:v>0.008138035510414782</x:v>
      </x:c>
      <x:c r="N263" s="78" t="n">
        <x:f>H263*(L263*(1-'Inputs'!$B$15))/(I263+L263*(1-'Inputs'!$B$15))</x:f>
        <x:v>0</x:v>
      </x:c>
      <x:c r="O263" s="78" t="n">
        <x:f>H263-N263</x:f>
        <x:v>116475779261.47533</x:v>
      </x:c>
      <x:c r="P263" s="78" t="n">
        <x:f>I263+L263*(1-'Inputs'!$B$17)</x:f>
        <x:v>0.10172544388018477</x:v>
      </x:c>
      <x:c r="Q263" s="78" t="n">
        <x:f>IF(J263&gt;0,M263/J263,0)</x:f>
        <x:v>0</x:v>
      </x:c>
      <x:c r="R263" s="78" t="n">
        <x:f>IF(B263='Inputs'!$H$44,'Inputs'!$B$27*'Inputs'!$I$44,0)</x:f>
        <x:v>0</x:v>
      </x:c>
      <x:c r="S263" s="78" t="n">
        <x:f>Q263+G263+R263</x:f>
        <x:v>816136.9393882504</x:v>
      </x:c>
      <x:c r="T263" s="78" t="n">
        <x:f>P263*(S263*(1-'Inputs'!$B$15))/(O263+S263*(1-'Inputs'!$B$15))</x:f>
        <x:v>7.056497400181498e-7</x:v>
      </x:c>
      <x:c r="U263" s="78" t="n">
        <x:f>O263+S263*(1-'Inputs'!$B$17)</x:f>
        <x:v>116476592114.16144</x:v>
      </x:c>
      <x:c r="V263" s="78" t="n">
        <x:f>P263-T263</x:f>
        <x:v>0.10172473823044476</x:v>
      </x:c>
      <x:c r="W263" s="79" t="n">
        <x:f>IF(U263&gt;0,V263/U263,0)</x:f>
        <x:v>8.733491973283521e-13</x:v>
      </x:c>
      <x:c r="X263" s="80" t="n">
        <x:f>W263*('Inputs'!$B$6-AC263)</x:f>
        <x:v>-0.00035819243676170977</x:v>
      </x:c>
      <x:c r="Y263" s="80" t="n">
        <x:f>2*V263</x:f>
        <x:v>0.2034494764608895</x:v>
      </x:c>
      <x:c r="Z263" s="80" t="n">
        <x:f>K263*'Inputs'!$B$16+(G263+R263)*J263*'Inputs'!$B$16</x:f>
        <x:v>0.00024414534200720107</x:v>
      </x:c>
      <x:c r="AA263" s="80" t="n">
        <x:f>K263*(1+'Inputs'!$E$44)/2*'Inputs'!$B$17</x:f>
        <x:v>0.000065497267689455</x:v>
      </x:c>
      <x:c r="AB263" s="78" t="n">
        <x:f>(IF(J263&gt;0,K263*(1-'Inputs'!$E$44)/2/J263,0)+G263+R263)*'Inputs'!$B$17</x:f>
        <x:v>3284.2532772162995</x:v>
      </x:c>
      <x:c r="AC263" s="78" t="n">
        <x:f>AC262+AB263</x:f>
        <x:v>1410136561.477872</x:v>
      </x:c>
      <x:c r="AD263" s="80" t="n">
        <x:f>Z263/(1+'Inputs'!$C$44)</x:f>
        <x:v>0.00019531627360576086</x:v>
      </x:c>
      <x:c r="AE263" s="80" t="n">
        <x:f>Z263-AD263</x:f>
        <x:v>0.00004882906840144021</x:v>
      </x:c>
      <x:c r="AF263" s="80" t="n">
        <x:f>D263*W263</x:f>
        <x:v>2.3491376700899659e-7</x:v>
      </x:c>
      <x:c r="AG263" s="80" t="n">
        <x:f>C263*W263</x:f>
        <x:v>5.481321230209964e-7</x:v>
      </x:c>
      <x:c r="AH263" s="80" t="n">
        <x:f>2*'Inputs'!$B$8*'Inputs'!$C$44</x:f>
        <x:v>1250</x:v>
      </x:c>
      <x:c r="AI263" s="81" t="n">
        <x:f>IF(AH263&gt;0,(AE263+AF263)/AH263*365,0)</x:f>
        <x:v>0.000014326682793187168</x:v>
      </x:c>
      <x:c r="AJ263" s="81" t="n">
        <x:f>IF('Inputs'!$B$44&gt;0,AG263/('Inputs'!$B$19*'Inputs'!$B$44)*365,0)</x:f>
        <x:v>2.000682249026637e-8</x:v>
      </x:c>
      <x:c r="AK263" s="81" t="n">
        <x:f>W263/MAX($W$4:W263)-1</x:f>
        <x:v>-0.999999998716547</x:v>
      </x:c>
      <x:c r="AL263" s="83" t="n">
        <x:f>'Inputs'!$B$44</x:f>
        <x:v>1</x:v>
      </x:c>
      <x:c r="AM263" s="83" t="n">
        <x:f>'Inputs'!$C$44</x:f>
        <x:v>0.25</x:v>
      </x:c>
      <x:c r="AN263" s="83" t="n">
        <x:f>'Inputs'!$D$44</x:f>
        <x:v>0.2</x:v>
      </x:c>
      <x:c r="AO263" s="81" t="n">
        <x:f>'Inputs'!$E$44</x:f>
        <x:v>-0.2</x:v>
      </x:c>
    </x:row>
    <x:row r="264">
      <x:c r="A264" s="59" t="str">
        <x:v>No demand</x:v>
      </x:c>
      <x:c r="B264" s="59" t="n">
        <x:v>261</x:v>
      </x:c>
      <x:c r="C264" s="78" t="n">
        <x:f>(('Inputs'!$B$29*(3*261*'Inputs'!$B$12-261^2)/(2*'Inputs'!$B$12^2))-('Inputs'!$B$29*(3*260*'Inputs'!$B$12-260^2)/(2*'Inputs'!$B$12^2)))*'Inputs'!$B$44</x:f>
        <x:v>627295.6933758855</x:v>
      </x:c>
      <x:c r="D264" s="78" t="n">
        <x:f>IF('Inputs'!$C$44&gt;0,('Inputs'!$B$30*(3*261*'Inputs'!$B$12-261^2)/(2*'Inputs'!$B$12^2))-('Inputs'!$B$30*(3*260*'Inputs'!$B$12-260^2)/(2*'Inputs'!$B$12^2)),0)</x:f>
        <x:v>268841.0114468038</x:v>
      </x:c>
      <x:c r="E264" s="78" t="n">
        <x:f>C264+D264</x:f>
        <x:v>896136.7048226893</x:v>
      </x:c>
      <x:c r="F264" s="78" t="n">
        <x:f>'Inputs'!$B$13*E264+(1-'Inputs'!$B$13)/'Inputs'!$B$14*SUM(E209:E264)</x:f>
        <x:v>906354.3816851235</x:v>
      </x:c>
      <x:c r="G264" s="78" t="n">
        <x:f>F264*'Inputs'!$F$44</x:f>
        <x:v>815718.9435166112</x:v>
      </x:c>
      <x:c r="H264" s="78" t="n">
        <x:f>U263</x:f>
        <x:v>116476592114.16144</x:v>
      </x:c>
      <x:c r="I264" s="78" t="n">
        <x:f>V263</x:f>
        <x:v>0.10172473823044476</x:v>
      </x:c>
      <x:c r="J264" s="79" t="n">
        <x:f>IF(H264&gt;0,I264/H264,0)</x:f>
        <x:v>8.733491973283521e-13</x:v>
      </x:c>
      <x:c r="K264" s="80" t="n">
        <x:f>(H264*J264+I264)*'Inputs'!$D$44*(1+'Inputs'!$G$44)^(B264/30)</x:f>
        <x:v>0.040689895292177904</x:v>
      </x:c>
      <x:c r="L264" s="80" t="n">
        <x:f>MAX(0,K264*'Inputs'!$E$44)</x:f>
        <x:v>0</x:v>
      </x:c>
      <x:c r="M264" s="80" t="n">
        <x:f>MAX(0,-K264*'Inputs'!$E$44)</x:f>
        <x:v>0.008137979058435581</x:v>
      </x:c>
      <x:c r="N264" s="78" t="n">
        <x:f>H264*(L264*(1-'Inputs'!$B$15))/(I264+L264*(1-'Inputs'!$B$15))</x:f>
        <x:v>0</x:v>
      </x:c>
      <x:c r="O264" s="78" t="n">
        <x:f>H264-N264</x:f>
        <x:v>116476592114.16144</x:v>
      </x:c>
      <x:c r="P264" s="78" t="n">
        <x:f>I264+L264*(1-'Inputs'!$B$17)</x:f>
        <x:v>0.10172473823044476</x:v>
      </x:c>
      <x:c r="Q264" s="78" t="n">
        <x:f>IF(J264&gt;0,M264/J264,0)</x:f>
        <x:v>0</x:v>
      </x:c>
      <x:c r="R264" s="78" t="n">
        <x:f>IF(B264='Inputs'!$H$44,'Inputs'!$B$27*'Inputs'!$I$44,0)</x:f>
        <x:v>0</x:v>
      </x:c>
      <x:c r="S264" s="78" t="n">
        <x:f>Q264+G264+R264</x:f>
        <x:v>815718.9435166112</x:v>
      </x:c>
      <x:c r="T264" s="78" t="n">
        <x:f>P264*(S264*(1-'Inputs'!$B$15))/(O264+S264*(1-'Inputs'!$B$15))</x:f>
        <x:v>7.052785198452543e-7</x:v>
      </x:c>
      <x:c r="U264" s="78" t="n">
        <x:f>O264+S264*(1-'Inputs'!$B$17)</x:f>
        <x:v>116477404550.53375</x:v>
      </x:c>
      <x:c r="V264" s="78" t="n">
        <x:f>P264-T264</x:f>
        <x:v>0.1017240329519249</x:v>
      </x:c>
      <x:c r="W264" s="79" t="n">
        <x:f>IF(U264&gt;0,V264/U264,0)</x:f>
        <x:v>8.73337050601878e-13</x:v>
      </x:c>
      <x:c r="X264" s="80" t="n">
        <x:f>W264*('Inputs'!$B$6-AC264)</x:f>
        <x:v>-0.0003581903217361318</x:v>
      </x:c>
      <x:c r="Y264" s="80" t="n">
        <x:f>2*V264</x:f>
        <x:v>0.2034480659038498</x:v>
      </x:c>
      <x:c r="Z264" s="80" t="n">
        <x:f>K264*'Inputs'!$B$16+(G264+R264)*J264*'Inputs'!$B$16</x:f>
        <x:v>0.0002441436461979748</x:v>
      </x:c>
      <x:c r="AA264" s="80" t="n">
        <x:f>K264*(1+'Inputs'!$E$44)/2*'Inputs'!$B$17</x:f>
        <x:v>0.00006549681334757008</x:v>
      </x:c>
      <x:c r="AB264" s="78" t="n">
        <x:f>(IF(J264&gt;0,K264*(1-'Inputs'!$E$44)/2/J264,0)+G264+R264)*'Inputs'!$B$17</x:f>
        <x:v>3282.5712012740896</x:v>
      </x:c>
      <x:c r="AC264" s="78" t="n">
        <x:f>AC263+AB264</x:f>
        <x:v>1410139844.0490732</x:v>
      </x:c>
      <x:c r="AD264" s="80" t="n">
        <x:f>Z264/(1+'Inputs'!$C$44)</x:f>
        <x:v>0.00019531491695837984</x:v>
      </x:c>
      <x:c r="AE264" s="80" t="n">
        <x:f>Z264-AD264</x:f>
        <x:v>0.00004882872923959495</x:v>
      </x:c>
      <x:c r="AF264" s="80" t="n">
        <x:f>D264*W264</x:f>
        <x:v>2.3478881601777736e-7</x:v>
      </x:c>
      <x:c r="AG264" s="80" t="n">
        <x:f>C264*W264</x:f>
        <x:v>5.478405707081558e-7</x:v>
      </x:c>
      <x:c r="AH264" s="80" t="n">
        <x:f>2*'Inputs'!$B$8*'Inputs'!$C$44</x:f>
        <x:v>1250</x:v>
      </x:c>
      <x:c r="AI264" s="81" t="n">
        <x:f>IF(AH264&gt;0,(AE264+AF264)/AH264*365,0)</x:f>
        <x:v>0.000014326547272238918</x:v>
      </x:c>
      <x:c r="AJ264" s="81" t="n">
        <x:f>IF('Inputs'!$B$44&gt;0,AG264/('Inputs'!$B$19*'Inputs'!$B$44)*365,0)</x:f>
        <x:v>1.999618083084769e-8</x:v>
      </x:c>
      <x:c r="AK264" s="81" t="n">
        <x:f>W264/MAX($W$4:W264)-1</x:f>
        <x:v>-0.9999999987165649</x:v>
      </x:c>
      <x:c r="AL264" s="83" t="n">
        <x:f>'Inputs'!$B$44</x:f>
        <x:v>1</x:v>
      </x:c>
      <x:c r="AM264" s="83" t="n">
        <x:f>'Inputs'!$C$44</x:f>
        <x:v>0.25</x:v>
      </x:c>
      <x:c r="AN264" s="83" t="n">
        <x:f>'Inputs'!$D$44</x:f>
        <x:v>0.2</x:v>
      </x:c>
      <x:c r="AO264" s="81" t="n">
        <x:f>'Inputs'!$E$44</x:f>
        <x:v>-0.2</x:v>
      </x:c>
    </x:row>
    <x:row r="265">
      <x:c r="A265" s="59" t="str">
        <x:v>No demand</x:v>
      </x:c>
      <x:c r="B265" s="59" t="n">
        <x:v>262</x:v>
      </x:c>
      <x:c r="C265" s="78" t="n">
        <x:f>(('Inputs'!$B$29*(3*262*'Inputs'!$B$12-262^2)/(2*'Inputs'!$B$12^2))-('Inputs'!$B$29*(3*261*'Inputs'!$B$12-261^2)/(2*'Inputs'!$B$12^2)))*'Inputs'!$B$44</x:f>
        <x:v>626970.5854756832</x:v>
      </x:c>
      <x:c r="D265" s="78" t="n">
        <x:f>IF('Inputs'!$C$44&gt;0,('Inputs'!$B$30*(3*262*'Inputs'!$B$12-262^2)/(2*'Inputs'!$B$12^2))-('Inputs'!$B$30*(3*261*'Inputs'!$B$12-261^2)/(2*'Inputs'!$B$12^2)),0)</x:f>
        <x:v>268701.6794895828</x:v>
      </x:c>
      <x:c r="E265" s="78" t="n">
        <x:f>C265+D265</x:f>
        <x:v>895672.264965266</x:v>
      </x:c>
      <x:c r="F265" s="78" t="n">
        <x:f>'Inputs'!$B$13*E265+(1-'Inputs'!$B$13)/'Inputs'!$B$14*SUM(E210:E265)</x:f>
        <x:v>905889.9418277313</x:v>
      </x:c>
      <x:c r="G265" s="78" t="n">
        <x:f>F265*'Inputs'!$F$44</x:f>
        <x:v>815300.9476449582</x:v>
      </x:c>
      <x:c r="H265" s="78" t="n">
        <x:f>U264</x:f>
        <x:v>116477404550.53375</x:v>
      </x:c>
      <x:c r="I265" s="78" t="n">
        <x:f>V264</x:f>
        <x:v>0.1017240329519249</x:v>
      </x:c>
      <x:c r="J265" s="79" t="n">
        <x:f>IF(H265&gt;0,I265/H265,0)</x:f>
        <x:v>8.73337050601878e-13</x:v>
      </x:c>
      <x:c r="K265" s="80" t="n">
        <x:f>(H265*J265+I265)*'Inputs'!$D$44*(1+'Inputs'!$G$44)^(B265/30)</x:f>
        <x:v>0.04068961318076997</x:v>
      </x:c>
      <x:c r="L265" s="80" t="n">
        <x:f>MAX(0,K265*'Inputs'!$E$44)</x:f>
        <x:v>0</x:v>
      </x:c>
      <x:c r="M265" s="80" t="n">
        <x:f>MAX(0,-K265*'Inputs'!$E$44)</x:f>
        <x:v>0.008137922636153995</x:v>
      </x:c>
      <x:c r="N265" s="78" t="n">
        <x:f>H265*(L265*(1-'Inputs'!$B$15))/(I265+L265*(1-'Inputs'!$B$15))</x:f>
        <x:v>0</x:v>
      </x:c>
      <x:c r="O265" s="78" t="n">
        <x:f>H265-N265</x:f>
        <x:v>116477404550.53375</x:v>
      </x:c>
      <x:c r="P265" s="78" t="n">
        <x:f>I265+L265*(1-'Inputs'!$B$17)</x:f>
        <x:v>0.1017240329519249</x:v>
      </x:c>
      <x:c r="Q265" s="78" t="n">
        <x:f>IF(J265&gt;0,M265/J265,0)</x:f>
        <x:v>0</x:v>
      </x:c>
      <x:c r="R265" s="78" t="n">
        <x:f>IF(B265='Inputs'!$H$44,'Inputs'!$B$27*'Inputs'!$I$44,0)</x:f>
        <x:v>0</x:v>
      </x:c>
      <x:c r="S265" s="78" t="n">
        <x:f>Q265+G265+R265</x:f>
        <x:v>815300.9476449582</x:v>
      </x:c>
      <x:c r="T265" s="78" t="n">
        <x:f>P265*(S265*(1-'Inputs'!$B$15))/(O265+S265*(1-'Inputs'!$B$15))</x:f>
        <x:v>7.049073149567317e-7</x:v>
      </x:c>
      <x:c r="U265" s="78" t="n">
        <x:f>O265+S265*(1-'Inputs'!$B$17)</x:f>
        <x:v>116478216570.59227</x:v>
      </x:c>
      <x:c r="V265" s="78" t="n">
        <x:f>P265-T265</x:f>
        <x:v>0.10172332804460994</x:v>
      </x:c>
      <x:c r="W265" s="79" t="n">
        <x:f>IF(U265&gt;0,V265/U265,0)</x:f>
        <x:v>8.733249103531728e-13</x:v>
      </x:c>
      <x:c r="X265" s="80" t="n">
        <x:f>W265*('Inputs'!$B$6-AC265)</x:f>
        <x:v>-0.00035818820781862245</x:v>
      </x:c>
      <x:c r="Y265" s="80" t="n">
        <x:f>2*V265</x:f>
        <x:v>0.20344665608921988</x:v>
      </x:c>
      <x:c r="Z265" s="80" t="n">
        <x:f>K265*'Inputs'!$B$16+(G265+R265)*J265*'Inputs'!$B$16</x:f>
        <x:v>0.00024414195127976966</x:v>
      </x:c>
      <x:c r="AA265" s="80" t="n">
        <x:f>K265*(1+'Inputs'!$E$44)/2*'Inputs'!$B$17</x:f>
        <x:v>0.00006549635924470016</x:v>
      </x:c>
      <x:c r="AB265" s="78" t="n">
        <x:f>(IF(J265&gt;0,K265*(1-'Inputs'!$E$44)/2/J265,0)+G265+R265)*'Inputs'!$B$17</x:f>
        <x:v>3280.889125331824</x:v>
      </x:c>
      <x:c r="AC265" s="78" t="n">
        <x:f>AC264+AB265</x:f>
        <x:v>1410143124.9381986</x:v>
      </x:c>
      <x:c r="AD265" s="80" t="n">
        <x:f>Z265/(1+'Inputs'!$C$44)</x:f>
        <x:v>0.00019531356102381572</x:v>
      </x:c>
      <x:c r="AE265" s="80" t="n">
        <x:f>Z265-AD265</x:f>
        <x:v>0.00004882839025595394</x:v>
      </x:c>
      <x:c r="AF265" s="80" t="n">
        <x:f>D265*W265</x:f>
        <x:v>2.3466387015198685e-7</x:v>
      </x:c>
      <x:c r="AG265" s="80" t="n">
        <x:f>C265*W265</x:f>
        <x:v>5.475490303546273e-7</x:v>
      </x:c>
      <x:c r="AH265" s="80" t="n">
        <x:f>2*'Inputs'!$B$8*'Inputs'!$C$44</x:f>
        <x:v>1250</x:v>
      </x:c>
      <x:c r="AI265" s="81" t="n">
        <x:f>IF(AH265&gt;0,(AE265+AF265)/AH265*365,0)</x:f>
        <x:v>0.00001432641180482293</x:v>
      </x:c>
      <x:c r="AJ265" s="81" t="n">
        <x:f>IF('Inputs'!$B$44&gt;0,AG265/('Inputs'!$B$19*'Inputs'!$B$44)*365,0)</x:f>
        <x:v>1.9985539607943895e-8</x:v>
      </x:c>
      <x:c r="AK265" s="81" t="n">
        <x:f>W265/MAX($W$4:W265)-1</x:f>
        <x:v>-0.9999999987165827</x:v>
      </x:c>
      <x:c r="AL265" s="83" t="n">
        <x:f>'Inputs'!$B$44</x:f>
        <x:v>1</x:v>
      </x:c>
      <x:c r="AM265" s="83" t="n">
        <x:f>'Inputs'!$C$44</x:f>
        <x:v>0.25</x:v>
      </x:c>
      <x:c r="AN265" s="83" t="n">
        <x:f>'Inputs'!$D$44</x:f>
        <x:v>0.2</x:v>
      </x:c>
      <x:c r="AO265" s="81" t="n">
        <x:f>'Inputs'!$E$44</x:f>
        <x:v>-0.2</x:v>
      </x:c>
    </x:row>
    <x:row r="266">
      <x:c r="A266" s="59" t="str">
        <x:v>No demand</x:v>
      </x:c>
      <x:c r="B266" s="59" t="n">
        <x:v>263</x:v>
      </x:c>
      <x:c r="C266" s="78" t="n">
        <x:f>(('Inputs'!$B$29*(3*263*'Inputs'!$B$12-263^2)/(2*'Inputs'!$B$12^2))-('Inputs'!$B$29*(3*262*'Inputs'!$B$12-262^2)/(2*'Inputs'!$B$12^2)))*'Inputs'!$B$44</x:f>
        <x:v>626645.4775755405</x:v>
      </x:c>
      <x:c r="D266" s="78" t="n">
        <x:f>IF('Inputs'!$C$44&gt;0,('Inputs'!$B$30*(3*263*'Inputs'!$B$12-263^2)/(2*'Inputs'!$B$12^2))-('Inputs'!$B$30*(3*262*'Inputs'!$B$12-262^2)/(2*'Inputs'!$B$12^2)),0)</x:f>
        <x:v>268562.34753237665</x:v>
      </x:c>
      <x:c r="E266" s="78" t="n">
        <x:f>C266+D266</x:f>
        <x:v>895207.8251079172</x:v>
      </x:c>
      <x:c r="F266" s="78" t="n">
        <x:f>'Inputs'!$B$13*E266+(1-'Inputs'!$B$13)/'Inputs'!$B$14*SUM(E211:E266)</x:f>
        <x:v>905425.5019703544</x:v>
      </x:c>
      <x:c r="G266" s="78" t="n">
        <x:f>F266*'Inputs'!$F$44</x:f>
        <x:v>814882.9517733189</x:v>
      </x:c>
      <x:c r="H266" s="78" t="n">
        <x:f>U265</x:f>
        <x:v>116478216570.59227</x:v>
      </x:c>
      <x:c r="I266" s="78" t="n">
        <x:f>V265</x:f>
        <x:v>0.10172332804460994</x:v>
      </x:c>
      <x:c r="J266" s="79" t="n">
        <x:f>IF(H266&gt;0,I266/H266,0)</x:f>
        <x:v>8.733249103531728e-13</x:v>
      </x:c>
      <x:c r="K266" s="80" t="n">
        <x:f>(H266*J266+I266)*'Inputs'!$D$44*(1+'Inputs'!$G$44)^(B266/30)</x:f>
        <x:v>0.04068933121784398</x:v>
      </x:c>
      <x:c r="L266" s="80" t="n">
        <x:f>MAX(0,K266*'Inputs'!$E$44)</x:f>
        <x:v>0</x:v>
      </x:c>
      <x:c r="M266" s="80" t="n">
        <x:f>MAX(0,-K266*'Inputs'!$E$44)</x:f>
        <x:v>0.008137866243568796</x:v>
      </x:c>
      <x:c r="N266" s="78" t="n">
        <x:f>H266*(L266*(1-'Inputs'!$B$15))/(I266+L266*(1-'Inputs'!$B$15))</x:f>
        <x:v>0</x:v>
      </x:c>
      <x:c r="O266" s="78" t="n">
        <x:f>H266-N266</x:f>
        <x:v>116478216570.59227</x:v>
      </x:c>
      <x:c r="P266" s="78" t="n">
        <x:f>I266+L266*(1-'Inputs'!$B$17)</x:f>
        <x:v>0.10172332804460994</x:v>
      </x:c>
      <x:c r="Q266" s="78" t="n">
        <x:f>IF(J266&gt;0,M266/J266,0)</x:f>
        <x:v>0</x:v>
      </x:c>
      <x:c r="R266" s="78" t="n">
        <x:f>IF(B266='Inputs'!$H$44,'Inputs'!$B$27*'Inputs'!$I$44,0)</x:f>
        <x:v>0</x:v>
      </x:c>
      <x:c r="S266" s="78" t="n">
        <x:f>Q266+G266+R266</x:f>
        <x:v>814882.9517733189</x:v>
      </x:c>
      <x:c r="T266" s="78" t="n">
        <x:f>P266*(S266*(1-'Inputs'!$B$15))/(O266+S266*(1-'Inputs'!$B$15))</x:f>
        <x:v>7.045361253442435e-7</x:v>
      </x:c>
      <x:c r="U266" s="78" t="n">
        <x:f>O266+S266*(1-'Inputs'!$B$17)</x:f>
        <x:v>116479028174.33699</x:v>
      </x:c>
      <x:c r="V266" s="78" t="n">
        <x:f>P266-T266</x:f>
        <x:v>0.1017226235084846</x:v>
      </x:c>
      <x:c r="W266" s="79" t="n">
        <x:f>IF(U266&gt;0,V266/U266,0)</x:f>
        <x:v>8.7331277658184e-13</x:v>
      </x:c>
      <x:c r="X266" s="80" t="n">
        <x:f>W266*('Inputs'!$B$6-AC266)</x:f>
        <x:v>-0.000358186095009144</x:v>
      </x:c>
      <x:c r="Y266" s="80" t="n">
        <x:f>2*V266</x:f>
        <x:v>0.2034452470169692</x:v>
      </x:c>
      <x:c r="Z266" s="80" t="n">
        <x:f>K266*'Inputs'!$B$16+(G266+R266)*J266*'Inputs'!$B$16</x:f>
        <x:v>0.00024414025725254872</x:v>
      </x:c>
      <x:c r="AA266" s="80" t="n">
        <x:f>K266*(1+'Inputs'!$E$44)/2*'Inputs'!$B$17</x:f>
        <x:v>0.00006549590538083539</x:v>
      </x:c>
      <x:c r="AB266" s="78" t="n">
        <x:f>(IF(J266&gt;0,K266*(1-'Inputs'!$E$44)/2/J266,0)+G266+R266)*'Inputs'!$B$17</x:f>
        <x:v>3279.2070493896135</x:v>
      </x:c>
      <x:c r="AC266" s="78" t="n">
        <x:f>AC265+AB266</x:f>
        <x:v>1410146404.145248</x:v>
      </x:c>
      <x:c r="AD266" s="80" t="n">
        <x:f>Z266/(1+'Inputs'!$C$44)</x:f>
        <x:v>0.000195312205802039</x:v>
      </x:c>
      <x:c r="AE266" s="80" t="n">
        <x:f>Z266-AD266</x:f>
        <x:v>0.00004882805145050973</x:v>
      </x:c>
      <x:c r="AF266" s="80" t="n">
        <x:f>D266*W266</x:f>
        <x:v>2.345389294088369e-7</x:v>
      </x:c>
      <x:c r="AG266" s="80" t="n">
        <x:f>C266*W266</x:f>
        <x:v>5.472575019539484e-7</x:v>
      </x:c>
      <x:c r="AH266" s="80" t="n">
        <x:f>2*'Inputs'!$B$8*'Inputs'!$C$44</x:f>
        <x:v>1250</x:v>
      </x:c>
      <x:c r="AI266" s="81" t="n">
        <x:f>IF(AH266&gt;0,(AE266+AF266)/AH266*365,0)</x:f>
        <x:v>0.000014326276390936223</x:v>
      </x:c>
      <x:c r="AJ266" s="81" t="n">
        <x:f>IF('Inputs'!$B$44&gt;0,AG266/('Inputs'!$B$19*'Inputs'!$B$44)*365,0)</x:f>
        <x:v>1.9974898821319117e-8</x:v>
      </x:c>
      <x:c r="AK266" s="81" t="n">
        <x:f>W266/MAX($W$4:W266)-1</x:f>
        <x:v>-0.9999999987166005</x:v>
      </x:c>
      <x:c r="AL266" s="83" t="n">
        <x:f>'Inputs'!$B$44</x:f>
        <x:v>1</x:v>
      </x:c>
      <x:c r="AM266" s="83" t="n">
        <x:f>'Inputs'!$C$44</x:f>
        <x:v>0.25</x:v>
      </x:c>
      <x:c r="AN266" s="83" t="n">
        <x:f>'Inputs'!$D$44</x:f>
        <x:v>0.2</x:v>
      </x:c>
      <x:c r="AO266" s="81" t="n">
        <x:f>'Inputs'!$E$44</x:f>
        <x:v>-0.2</x:v>
      </x:c>
    </x:row>
    <x:row r="267">
      <x:c r="A267" s="59" t="str">
        <x:v>No demand</x:v>
      </x:c>
      <x:c r="B267" s="59" t="n">
        <x:v>264</x:v>
      </x:c>
      <x:c r="C267" s="78" t="n">
        <x:f>(('Inputs'!$B$29*(3*264*'Inputs'!$B$12-264^2)/(2*'Inputs'!$B$12^2))-('Inputs'!$B$29*(3*263*'Inputs'!$B$12-263^2)/(2*'Inputs'!$B$12^2)))*'Inputs'!$B$44</x:f>
        <x:v>626320.3696753681</x:v>
      </x:c>
      <x:c r="D267" s="78" t="n">
        <x:f>IF('Inputs'!$C$44&gt;0,('Inputs'!$B$30*(3*264*'Inputs'!$B$12-264^2)/(2*'Inputs'!$B$12^2))-('Inputs'!$B$30*(3*263*'Inputs'!$B$12-263^2)/(2*'Inputs'!$B$12^2)),0)</x:f>
        <x:v>268423.0155751556</x:v>
      </x:c>
      <x:c r="E267" s="78" t="n">
        <x:f>C267+D267</x:f>
        <x:v>894743.3852505237</x:v>
      </x:c>
      <x:c r="F267" s="78" t="n">
        <x:f>'Inputs'!$B$13*E267+(1-'Inputs'!$B$13)/'Inputs'!$B$14*SUM(E212:E267)</x:f>
        <x:v>904961.0621129684</x:v>
      </x:c>
      <x:c r="G267" s="78" t="n">
        <x:f>F267*'Inputs'!$F$44</x:f>
        <x:v>814464.9559016716</x:v>
      </x:c>
      <x:c r="H267" s="78" t="n">
        <x:f>U266</x:f>
        <x:v>116479028174.33699</x:v>
      </x:c>
      <x:c r="I267" s="78" t="n">
        <x:f>V266</x:f>
        <x:v>0.1017226235084846</x:v>
      </x:c>
      <x:c r="J267" s="79" t="n">
        <x:f>IF(H267&gt;0,I267/H267,0)</x:f>
        <x:v>8.7331277658184e-13</x:v>
      </x:c>
      <x:c r="K267" s="80" t="n">
        <x:f>(H267*J267+I267)*'Inputs'!$D$44*(1+'Inputs'!$G$44)^(B267/30)</x:f>
        <x:v>0.040689049403393844</x:v>
      </x:c>
      <x:c r="L267" s="80" t="n">
        <x:f>MAX(0,K267*'Inputs'!$E$44)</x:f>
        <x:v>0</x:v>
      </x:c>
      <x:c r="M267" s="80" t="n">
        <x:f>MAX(0,-K267*'Inputs'!$E$44)</x:f>
        <x:v>0.008137809880678769</x:v>
      </x:c>
      <x:c r="N267" s="78" t="n">
        <x:f>H267*(L267*(1-'Inputs'!$B$15))/(I267+L267*(1-'Inputs'!$B$15))</x:f>
        <x:v>0</x:v>
      </x:c>
      <x:c r="O267" s="78" t="n">
        <x:f>H267-N267</x:f>
        <x:v>116479028174.33699</x:v>
      </x:c>
      <x:c r="P267" s="78" t="n">
        <x:f>I267+L267*(1-'Inputs'!$B$17)</x:f>
        <x:v>0.1017226235084846</x:v>
      </x:c>
      <x:c r="Q267" s="78" t="n">
        <x:f>IF(J267&gt;0,M267/J267,0)</x:f>
        <x:v>0</x:v>
      </x:c>
      <x:c r="R267" s="78" t="n">
        <x:f>IF(B267='Inputs'!$H$44,'Inputs'!$B$27*'Inputs'!$I$44,0)</x:f>
        <x:v>0</x:v>
      </x:c>
      <x:c r="S267" s="78" t="n">
        <x:f>Q267+G267+R267</x:f>
        <x:v>814464.9559016716</x:v>
      </x:c>
      <x:c r="T267" s="78" t="n">
        <x:f>P267*(S267*(1-'Inputs'!$B$15))/(O267+S267*(1-'Inputs'!$B$15))</x:f>
        <x:v>7.041649509994095e-7</x:v>
      </x:c>
      <x:c r="U267" s="78" t="n">
        <x:f>O267+S267*(1-'Inputs'!$B$17)</x:f>
        <x:v>116479839361.76791</x:v>
      </x:c>
      <x:c r="V267" s="78" t="n">
        <x:f>P267-T267</x:f>
        <x:v>0.1017219193435336</x:v>
      </x:c>
      <x:c r="W267" s="79" t="n">
        <x:f>IF(U267&gt;0,V267/U267,0)</x:f>
        <x:v>8.733006492874827e-13</x:v>
      </x:c>
      <x:c r="X267" s="80" t="n">
        <x:f>W267*('Inputs'!$B$6-AC267)</x:f>
        <x:v>-0.0003581839833076586</x:v>
      </x:c>
      <x:c r="Y267" s="80" t="n">
        <x:f>2*V267</x:f>
        <x:v>0.2034438386870672</x:v>
      </x:c>
      <x:c r="Z267" s="80" t="n">
        <x:f>K267*'Inputs'!$B$16+(G267+R267)*J267*'Inputs'!$B$16</x:f>
        <x:v>0.00024413856411627547</x:v>
      </x:c>
      <x:c r="AA267" s="80" t="n">
        <x:f>K267*(1+'Inputs'!$E$44)/2*'Inputs'!$B$17</x:f>
        <x:v>0.00006549545175596595</x:v>
      </x:c>
      <x:c r="AB267" s="78" t="n">
        <x:f>(IF(J267&gt;0,K267*(1-'Inputs'!$E$44)/2/J267,0)+G267+R267)*'Inputs'!$B$17</x:f>
        <x:v>3277.5249734473705</x:v>
      </x:c>
      <x:c r="AC267" s="78" t="n">
        <x:f>AC266+AB267</x:f>
        <x:v>1410149681.6702213</x:v>
      </x:c>
      <x:c r="AD267" s="80" t="n">
        <x:f>Z267/(1+'Inputs'!$C$44)</x:f>
        <x:v>0.00019531085129302037</x:v>
      </x:c>
      <x:c r="AE267" s="80" t="n">
        <x:f>Z267-AD267</x:f>
        <x:v>0.000048827712823255106</x:v>
      </x:c>
      <x:c r="AF267" s="80" t="n">
        <x:f>D267*W267</x:f>
        <x:v>2.3441399378548748e-7</x:v>
      </x:c>
      <x:c r="AG267" s="80" t="n">
        <x:f>C267*W267</x:f>
        <x:v>5.469659854994751e-7</x:v>
      </x:c>
      <x:c r="AH267" s="80" t="n">
        <x:f>2*'Inputs'!$B$8*'Inputs'!$C$44</x:f>
        <x:v>1250</x:v>
      </x:c>
      <x:c r="AI267" s="81" t="n">
        <x:f>IF(AH267&gt;0,(AE267+AF267)/AH267*365,0)</x:f>
        <x:v>0.000014326141030575852</x:v>
      </x:c>
      <x:c r="AJ267" s="81" t="n">
        <x:f>IF('Inputs'!$B$44&gt;0,AG267/('Inputs'!$B$19*'Inputs'!$B$44)*365,0)</x:f>
        <x:v>1.996425847073084e-8</x:v>
      </x:c>
      <x:c r="AK267" s="81" t="n">
        <x:f>W267/MAX($W$4:W267)-1</x:f>
        <x:v>-0.9999999987166184</x:v>
      </x:c>
      <x:c r="AL267" s="83" t="n">
        <x:f>'Inputs'!$B$44</x:f>
        <x:v>1</x:v>
      </x:c>
      <x:c r="AM267" s="83" t="n">
        <x:f>'Inputs'!$C$44</x:f>
        <x:v>0.25</x:v>
      </x:c>
      <x:c r="AN267" s="83" t="n">
        <x:f>'Inputs'!$D$44</x:f>
        <x:v>0.2</x:v>
      </x:c>
      <x:c r="AO267" s="81" t="n">
        <x:f>'Inputs'!$E$44</x:f>
        <x:v>-0.2</x:v>
      </x:c>
    </x:row>
    <x:row r="268">
      <x:c r="A268" s="59" t="str">
        <x:v>No demand</x:v>
      </x:c>
      <x:c r="B268" s="59" t="n">
        <x:v>265</x:v>
      </x:c>
      <x:c r="C268" s="78" t="n">
        <x:f>(('Inputs'!$B$29*(3*265*'Inputs'!$B$12-265^2)/(2*'Inputs'!$B$12^2))-('Inputs'!$B$29*(3*264*'Inputs'!$B$12-264^2)/(2*'Inputs'!$B$12^2)))*'Inputs'!$B$44</x:f>
        <x:v>625995.2617751658</x:v>
      </x:c>
      <x:c r="D268" s="78" t="n">
        <x:f>IF('Inputs'!$C$44&gt;0,('Inputs'!$B$30*(3*265*'Inputs'!$B$12-265^2)/(2*'Inputs'!$B$12^2))-('Inputs'!$B$30*(3*264*'Inputs'!$B$12-264^2)/(2*'Inputs'!$B$12^2)),0)</x:f>
        <x:v>268283.6836179346</x:v>
      </x:c>
      <x:c r="E268" s="78" t="n">
        <x:f>C268+D268</x:f>
        <x:v>894278.9453931004</x:v>
      </x:c>
      <x:c r="F268" s="78" t="n">
        <x:f>'Inputs'!$B$13*E268+(1-'Inputs'!$B$13)/'Inputs'!$B$14*SUM(E213:E268)</x:f>
        <x:v>904496.6222555761</x:v>
      </x:c>
      <x:c r="G268" s="78" t="n">
        <x:f>F268*'Inputs'!$F$44</x:f>
        <x:v>814046.9600300185</x:v>
      </x:c>
      <x:c r="H268" s="78" t="n">
        <x:f>U267</x:f>
        <x:v>116479839361.76791</x:v>
      </x:c>
      <x:c r="I268" s="78" t="n">
        <x:f>V267</x:f>
        <x:v>0.1017219193435336</x:v>
      </x:c>
      <x:c r="J268" s="79" t="n">
        <x:f>IF(H268&gt;0,I268/H268,0)</x:f>
        <x:v>8.733006492874827e-13</x:v>
      </x:c>
      <x:c r="K268" s="80" t="n">
        <x:f>(H268*J268+I268)*'Inputs'!$D$44*(1+'Inputs'!$G$44)^(B268/30)</x:f>
        <x:v>0.040688767737413443</x:v>
      </x:c>
      <x:c r="L268" s="80" t="n">
        <x:f>MAX(0,K268*'Inputs'!$E$44)</x:f>
        <x:v>0</x:v>
      </x:c>
      <x:c r="M268" s="80" t="n">
        <x:f>MAX(0,-K268*'Inputs'!$E$44)</x:f>
        <x:v>0.008137753547482689</x:v>
      </x:c>
      <x:c r="N268" s="78" t="n">
        <x:f>H268*(L268*(1-'Inputs'!$B$15))/(I268+L268*(1-'Inputs'!$B$15))</x:f>
        <x:v>0</x:v>
      </x:c>
      <x:c r="O268" s="78" t="n">
        <x:f>H268-N268</x:f>
        <x:v>116479839361.76791</x:v>
      </x:c>
      <x:c r="P268" s="78" t="n">
        <x:f>I268+L268*(1-'Inputs'!$B$17)</x:f>
        <x:v>0.1017219193435336</x:v>
      </x:c>
      <x:c r="Q268" s="78" t="n">
        <x:f>IF(J268&gt;0,M268/J268,0)</x:f>
        <x:v>0</x:v>
      </x:c>
      <x:c r="R268" s="78" t="n">
        <x:f>IF(B268='Inputs'!$H$44,'Inputs'!$B$27*'Inputs'!$I$44,0)</x:f>
        <x:v>0</x:v>
      </x:c>
      <x:c r="S268" s="78" t="n">
        <x:f>Q268+G268+R268</x:f>
        <x:v>814046.9600300185</x:v>
      </x:c>
      <x:c r="T268" s="78" t="n">
        <x:f>P268*(S268*(1-'Inputs'!$B$15))/(O268+S268*(1-'Inputs'!$B$15))</x:f>
        <x:v>7.03793791913871e-7</x:v>
      </x:c>
      <x:c r="U268" s="78" t="n">
        <x:f>O268+S268*(1-'Inputs'!$B$17)</x:f>
        <x:v>116480650132.88504</x:v>
      </x:c>
      <x:c r="V268" s="78" t="n">
        <x:f>P268-T268</x:f>
        <x:v>0.10172121554974169</x:v>
      </x:c>
      <x:c r="W268" s="79" t="n">
        <x:f>IF(U268&gt;0,V268/U268,0)</x:f>
        <x:v>8.732885284697047e-13</x:v>
      </x:c>
      <x:c r="X268" s="80" t="n">
        <x:f>W268*('Inputs'!$B$6-AC268)</x:f>
        <x:v>-0.0003581818727141288</x:v>
      </x:c>
      <x:c r="Y268" s="80" t="n">
        <x:f>2*V268</x:f>
        <x:v>0.20344243109948337</x:v>
      </x:c>
      <x:c r="Z268" s="80" t="n">
        <x:f>K268*'Inputs'!$B$16+(G268+R268)*J268*'Inputs'!$B$16</x:f>
        <x:v>0.00024413687187091313</x:v>
      </x:c>
      <x:c r="AA268" s="80" t="n">
        <x:f>K268*(1+'Inputs'!$E$44)/2*'Inputs'!$B$17</x:f>
        <x:v>0.000065494998370082</x:v>
      </x:c>
      <x:c r="AB268" s="78" t="n">
        <x:f>(IF(J268&gt;0,K268*(1-'Inputs'!$E$44)/2/J268,0)+G268+R268)*'Inputs'!$B$17</x:f>
        <x:v>3275.8428975051047</x:v>
      </x:c>
      <x:c r="AC268" s="78" t="n">
        <x:f>AC267+AB268</x:f>
        <x:v>1410152957.5131187</x:v>
      </x:c>
      <x:c r="AD268" s="80" t="n">
        <x:f>Z268/(1+'Inputs'!$C$44)</x:f>
        <x:v>0.0001953094974967305</x:v>
      </x:c>
      <x:c r="AE268" s="80" t="n">
        <x:f>Z268-AD268</x:f>
        <x:v>0.00004882737437418263</x:v>
      </x:c>
      <x:c r="AF268" s="80" t="n">
        <x:f>D268*W268</x:f>
        <x:v>2.342890632791379e-7</x:v>
      </x:c>
      <x:c r="AG268" s="80" t="n">
        <x:f>C268*W268</x:f>
        <x:v>5.466744809846421e-7</x:v>
      </x:c>
      <x:c r="AH268" s="80" t="n">
        <x:f>2*'Inputs'!$B$8*'Inputs'!$C$44</x:f>
        <x:v>1250</x:v>
      </x:c>
      <x:c r="AI268" s="81" t="n">
        <x:f>IF(AH268&gt;0,(AE268+AF268)/AH268*365,0)</x:f>
        <x:v>0.000014326005723738835</x:v>
      </x:c>
      <x:c r="AJ268" s="81" t="n">
        <x:f>IF('Inputs'!$B$44&gt;0,AG268/('Inputs'!$B$19*'Inputs'!$B$44)*365,0)</x:f>
        <x:v>1.9953618555939436e-8</x:v>
      </x:c>
      <x:c r="AK268" s="81" t="n">
        <x:f>W268/MAX($W$4:W268)-1</x:f>
        <x:v>-0.9999999987166361</x:v>
      </x:c>
      <x:c r="AL268" s="83" t="n">
        <x:f>'Inputs'!$B$44</x:f>
        <x:v>1</x:v>
      </x:c>
      <x:c r="AM268" s="83" t="n">
        <x:f>'Inputs'!$C$44</x:f>
        <x:v>0.25</x:v>
      </x:c>
      <x:c r="AN268" s="83" t="n">
        <x:f>'Inputs'!$D$44</x:f>
        <x:v>0.2</x:v>
      </x:c>
      <x:c r="AO268" s="81" t="n">
        <x:f>'Inputs'!$E$44</x:f>
        <x:v>-0.2</x:v>
      </x:c>
    </x:row>
    <x:row r="269">
      <x:c r="A269" s="59" t="str">
        <x:v>No demand</x:v>
      </x:c>
      <x:c r="B269" s="59" t="n">
        <x:v>266</x:v>
      </x:c>
      <x:c r="C269" s="78" t="n">
        <x:f>(('Inputs'!$B$29*(3*266*'Inputs'!$B$12-266^2)/(2*'Inputs'!$B$12^2))-('Inputs'!$B$29*(3*265*'Inputs'!$B$12-265^2)/(2*'Inputs'!$B$12^2)))*'Inputs'!$B$44</x:f>
        <x:v>625670.1538750231</x:v>
      </x:c>
      <x:c r="D269" s="78" t="n">
        <x:f>IF('Inputs'!$C$44&gt;0,('Inputs'!$B$30*(3*266*'Inputs'!$B$12-266^2)/(2*'Inputs'!$B$12^2))-('Inputs'!$B$30*(3*265*'Inputs'!$B$12-265^2)/(2*'Inputs'!$B$12^2)),0)</x:f>
        <x:v>268144.35166072845</x:v>
      </x:c>
      <x:c r="E269" s="78" t="n">
        <x:f>C269+D269</x:f>
        <x:v>893814.5055357516</x:v>
      </x:c>
      <x:c r="F269" s="78" t="n">
        <x:f>'Inputs'!$B$13*E269+(1-'Inputs'!$B$13)/'Inputs'!$B$14*SUM(E214:E269)</x:f>
        <x:v>904032.1823981993</x:v>
      </x:c>
      <x:c r="G269" s="78" t="n">
        <x:f>F269*'Inputs'!$F$44</x:f>
        <x:v>813628.9641583795</x:v>
      </x:c>
      <x:c r="H269" s="78" t="n">
        <x:f>U268</x:f>
        <x:v>116480650132.88504</x:v>
      </x:c>
      <x:c r="I269" s="78" t="n">
        <x:f>V268</x:f>
        <x:v>0.10172121554974169</x:v>
      </x:c>
      <x:c r="J269" s="79" t="n">
        <x:f>IF(H269&gt;0,I269/H269,0)</x:f>
        <x:v>8.732885284697047e-13</x:v>
      </x:c>
      <x:c r="K269" s="80" t="n">
        <x:f>(H269*J269+I269)*'Inputs'!$D$44*(1+'Inputs'!$G$44)^(B269/30)</x:f>
        <x:v>0.04068848621989668</x:v>
      </x:c>
      <x:c r="L269" s="80" t="n">
        <x:f>MAX(0,K269*'Inputs'!$E$44)</x:f>
        <x:v>0</x:v>
      </x:c>
      <x:c r="M269" s="80" t="n">
        <x:f>MAX(0,-K269*'Inputs'!$E$44)</x:f>
        <x:v>0.008137697243979336</x:v>
      </x:c>
      <x:c r="N269" s="78" t="n">
        <x:f>H269*(L269*(1-'Inputs'!$B$15))/(I269+L269*(1-'Inputs'!$B$15))</x:f>
        <x:v>0</x:v>
      </x:c>
      <x:c r="O269" s="78" t="n">
        <x:f>H269-N269</x:f>
        <x:v>116480650132.88504</x:v>
      </x:c>
      <x:c r="P269" s="78" t="n">
        <x:f>I269+L269*(1-'Inputs'!$B$17)</x:f>
        <x:v>0.10172121554974169</x:v>
      </x:c>
      <x:c r="Q269" s="78" t="n">
        <x:f>IF(J269&gt;0,M269/J269,0)</x:f>
        <x:v>0</x:v>
      </x:c>
      <x:c r="R269" s="78" t="n">
        <x:f>IF(B269='Inputs'!$H$44,'Inputs'!$B$27*'Inputs'!$I$44,0)</x:f>
        <x:v>0</x:v>
      </x:c>
      <x:c r="S269" s="78" t="n">
        <x:f>Q269+G269+R269</x:f>
        <x:v>813628.9641583795</x:v>
      </x:c>
      <x:c r="T269" s="78" t="n">
        <x:f>P269*(S269*(1-'Inputs'!$B$15))/(O269+S269*(1-'Inputs'!$B$15))</x:f>
        <x:v>7.034226480792856e-7</x:v>
      </x:c>
      <x:c r="U269" s="78" t="n">
        <x:f>O269+S269*(1-'Inputs'!$B$17)</x:f>
        <x:v>116481460487.68837</x:v>
      </x:c>
      <x:c r="V269" s="78" t="n">
        <x:f>P269-T269</x:f>
        <x:v>0.10172051212709361</x:v>
      </x:c>
      <x:c r="W269" s="79" t="n">
        <x:f>IF(U269&gt;0,V269/U269,0)</x:f>
        <x:v>8.732764141281099e-13</x:v>
      </x:c>
      <x:c r="X269" s="80" t="n">
        <x:f>W269*('Inputs'!$B$6-AC269)</x:f>
        <x:v>-0.000358179763228517</x:v>
      </x:c>
      <x:c r="Y269" s="80" t="n">
        <x:f>2*V269</x:f>
        <x:v>0.20344102425418722</x:v>
      </x:c>
      <x:c r="Z269" s="80" t="n">
        <x:f>K269*'Inputs'!$B$16+(G269+R269)*J269*'Inputs'!$B$16</x:f>
        <x:v>0.00024413518051642506</x:v>
      </x:c>
      <x:c r="AA269" s="80" t="n">
        <x:f>K269*(1+'Inputs'!$E$44)/2*'Inputs'!$B$17</x:f>
        <x:v>0.00006549454522317373</x:v>
      </x:c>
      <x:c r="AB269" s="78" t="n">
        <x:f>(IF(J269&gt;0,K269*(1-'Inputs'!$E$44)/2/J269,0)+G269+R269)*'Inputs'!$B$17</x:f>
        <x:v>3274.1608215628958</x:v>
      </x:c>
      <x:c r="AC269" s="78" t="n">
        <x:f>AC268+AB269</x:f>
        <x:v>1410156231.6739404</x:v>
      </x:c>
      <x:c r="AD269" s="80" t="n">
        <x:f>Z269/(1+'Inputs'!$C$44)</x:f>
        <x:v>0.00019530814441314005</x:v>
      </x:c>
      <x:c r="AE269" s="80" t="n">
        <x:f>Z269-AD269</x:f>
        <x:v>0.000048827036103285006</x:v>
      </x:c>
      <x:c r="AF269" s="80" t="n">
        <x:f>D269*W269</x:f>
        <x:v>2.3416413788698783e-7</x:v>
      </x:c>
      <x:c r="AG269" s="80" t="n">
        <x:f>C269*W269</x:f>
        <x:v>5.463829884029629e-7</x:v>
      </x:c>
      <x:c r="AH269" s="80" t="n">
        <x:f>2*'Inputs'!$B$8*'Inputs'!$C$44</x:f>
        <x:v>1250</x:v>
      </x:c>
      <x:c r="AI269" s="81" t="n">
        <x:f>IF(AH269&gt;0,(AE269+AF269)/AH269*365,0)</x:f>
        <x:v>0.000014325870470422223</x:v>
      </x:c>
      <x:c r="AJ269" s="81" t="n">
        <x:f>IF('Inputs'!$B$44&gt;0,AG269/('Inputs'!$B$19*'Inputs'!$B$44)*365,0)</x:f>
        <x:v>1.9942979076708146e-8</x:v>
      </x:c>
      <x:c r="AK269" s="81" t="n">
        <x:f>W269/MAX($W$4:W269)-1</x:f>
        <x:v>-0.999999998716654</x:v>
      </x:c>
      <x:c r="AL269" s="83" t="n">
        <x:f>'Inputs'!$B$44</x:f>
        <x:v>1</x:v>
      </x:c>
      <x:c r="AM269" s="83" t="n">
        <x:f>'Inputs'!$C$44</x:f>
        <x:v>0.25</x:v>
      </x:c>
      <x:c r="AN269" s="83" t="n">
        <x:f>'Inputs'!$D$44</x:f>
        <x:v>0.2</x:v>
      </x:c>
      <x:c r="AO269" s="81" t="n">
        <x:f>'Inputs'!$E$44</x:f>
        <x:v>-0.2</x:v>
      </x:c>
    </x:row>
    <x:row r="270">
      <x:c r="A270" s="59" t="str">
        <x:v>No demand</x:v>
      </x:c>
      <x:c r="B270" s="59" t="n">
        <x:v>267</x:v>
      </x:c>
      <x:c r="C270" s="78" t="n">
        <x:f>(('Inputs'!$B$29*(3*267*'Inputs'!$B$12-267^2)/(2*'Inputs'!$B$12^2))-('Inputs'!$B$29*(3*266*'Inputs'!$B$12-266^2)/(2*'Inputs'!$B$12^2)))*'Inputs'!$B$44</x:f>
        <x:v>625345.0459748805</x:v>
      </x:c>
      <x:c r="D270" s="78" t="n">
        <x:f>IF('Inputs'!$C$44&gt;0,('Inputs'!$B$30*(3*267*'Inputs'!$B$12-267^2)/(2*'Inputs'!$B$12^2))-('Inputs'!$B$30*(3*266*'Inputs'!$B$12-266^2)/(2*'Inputs'!$B$12^2)),0)</x:f>
        <x:v>268005.0197035074</x:v>
      </x:c>
      <x:c r="E270" s="78" t="n">
        <x:f>C270+D270</x:f>
        <x:v>893350.0656783879</x:v>
      </x:c>
      <x:c r="F270" s="78" t="n">
        <x:f>'Inputs'!$B$13*E270+(1-'Inputs'!$B$13)/'Inputs'!$B$14*SUM(E215:E270)</x:f>
        <x:v>903567.7425408192</x:v>
      </x:c>
      <x:c r="G270" s="78" t="n">
        <x:f>F270*'Inputs'!$F$44</x:f>
        <x:v>813210.9682867373</x:v>
      </x:c>
      <x:c r="H270" s="78" t="n">
        <x:f>U269</x:f>
        <x:v>116481460487.68837</x:v>
      </x:c>
      <x:c r="I270" s="78" t="n">
        <x:f>V269</x:f>
        <x:v>0.10172051212709361</x:v>
      </x:c>
      <x:c r="J270" s="79" t="n">
        <x:f>IF(H270&gt;0,I270/H270,0)</x:f>
        <x:v>8.732764141281099e-13</x:v>
      </x:c>
      <x:c r="K270" s="80" t="n">
        <x:f>(H270*J270+I270)*'Inputs'!$D$44*(1+'Inputs'!$G$44)^(B270/30)</x:f>
        <x:v>0.04068820485083745</x:v>
      </x:c>
      <x:c r="L270" s="80" t="n">
        <x:f>MAX(0,K270*'Inputs'!$E$44)</x:f>
        <x:v>0</x:v>
      </x:c>
      <x:c r="M270" s="80" t="n">
        <x:f>MAX(0,-K270*'Inputs'!$E$44)</x:f>
        <x:v>0.00813764097016749</x:v>
      </x:c>
      <x:c r="N270" s="78" t="n">
        <x:f>H270*(L270*(1-'Inputs'!$B$15))/(I270+L270*(1-'Inputs'!$B$15))</x:f>
        <x:v>0</x:v>
      </x:c>
      <x:c r="O270" s="78" t="n">
        <x:f>H270-N270</x:f>
        <x:v>116481460487.68837</x:v>
      </x:c>
      <x:c r="P270" s="78" t="n">
        <x:f>I270+L270*(1-'Inputs'!$B$17)</x:f>
        <x:v>0.10172051212709361</x:v>
      </x:c>
      <x:c r="Q270" s="78" t="n">
        <x:f>IF(J270&gt;0,M270/J270,0)</x:f>
        <x:v>0</x:v>
      </x:c>
      <x:c r="R270" s="78" t="n">
        <x:f>IF(B270='Inputs'!$H$44,'Inputs'!$B$27*'Inputs'!$I$44,0)</x:f>
        <x:v>0</x:v>
      </x:c>
      <x:c r="S270" s="78" t="n">
        <x:f>Q270+G270+R270</x:f>
        <x:v>813210.9682867373</x:v>
      </x:c>
      <x:c r="T270" s="78" t="n">
        <x:f>P270*(S270*(1-'Inputs'!$B$15))/(O270+S270*(1-'Inputs'!$B$15))</x:f>
        <x:v>7.030515194872793e-7</x:v>
      </x:c>
      <x:c r="U270" s="78" t="n">
        <x:f>O270+S270*(1-'Inputs'!$B$17)</x:f>
        <x:v>116482270426.17792</x:v>
      </x:c>
      <x:c r="V270" s="78" t="n">
        <x:f>P270-T270</x:f>
        <x:v>0.10171980907557412</x:v>
      </x:c>
      <x:c r="W270" s="79" t="n">
        <x:f>IF(U270&gt;0,V270/U270,0)</x:f>
        <x:v>8.732643062623021e-13</x:v>
      </x:c>
      <x:c r="X270" s="80" t="n">
        <x:f>W270*('Inputs'!$B$6-AC270)</x:f>
        <x:v>-0.00035817765485078525</x:v>
      </x:c>
      <x:c r="Y270" s="80" t="n">
        <x:f>2*V270</x:f>
        <x:v>0.20343961815114825</x:v>
      </x:c>
      <x:c r="Z270" s="80" t="n">
        <x:f>K270*'Inputs'!$B$16+(G270+R270)*J270*'Inputs'!$B$16</x:f>
        <x:v>0.00024413349005277457</x:v>
      </x:c>
      <x:c r="AA270" s="80" t="n">
        <x:f>K270*(1+'Inputs'!$E$44)/2*'Inputs'!$B$17</x:f>
        <x:v>0.00006549409231523131</x:v>
      </x:c>
      <x:c r="AB270" s="78" t="n">
        <x:f>(IF(J270&gt;0,K270*(1-'Inputs'!$E$44)/2/J270,0)+G270+R270)*'Inputs'!$B$17</x:f>
        <x:v>3272.4787456206736</x:v>
      </x:c>
      <x:c r="AC270" s="78" t="n">
        <x:f>AC269+AB270</x:f>
        <x:v>1410159504.152686</x:v>
      </x:c>
      <x:c r="AD270" s="80" t="n">
        <x:f>Z270/(1+'Inputs'!$C$44)</x:f>
        <x:v>0.00019530679204221964</x:v>
      </x:c>
      <x:c r="AE270" s="80" t="n">
        <x:f>Z270-AD270</x:f>
        <x:v>0.000048826698010554924</x:v>
      </x:c>
      <x:c r="AF270" s="80" t="n">
        <x:f>D270*W270</x:f>
        <x:v>2.3403921760619802e-7</x:v>
      </x:c>
      <x:c r="AG270" s="80" t="n">
        <x:f>C270*W270</x:f>
        <x:v>5.460915077478214e-7</x:v>
      </x:c>
      <x:c r="AH270" s="80" t="n">
        <x:f>2*'Inputs'!$B$8*'Inputs'!$C$44</x:f>
        <x:v>1250</x:v>
      </x:c>
      <x:c r="AI270" s="81" t="n">
        <x:f>IF(AH270&gt;0,(AE270+AF270)/AH270*365,0)</x:f>
        <x:v>0.000014325735270623047</x:v>
      </x:c>
      <x:c r="AJ270" s="81" t="n">
        <x:f>IF('Inputs'!$B$44&gt;0,AG270/('Inputs'!$B$19*'Inputs'!$B$44)*365,0)</x:f>
        <x:v>1.993234003279548e-8</x:v>
      </x:c>
      <x:c r="AK270" s="81" t="n">
        <x:f>W270/MAX($W$4:W270)-1</x:f>
        <x:v>-0.9999999987166718</x:v>
      </x:c>
      <x:c r="AL270" s="83" t="n">
        <x:f>'Inputs'!$B$44</x:f>
        <x:v>1</x:v>
      </x:c>
      <x:c r="AM270" s="83" t="n">
        <x:f>'Inputs'!$C$44</x:f>
        <x:v>0.25</x:v>
      </x:c>
      <x:c r="AN270" s="83" t="n">
        <x:f>'Inputs'!$D$44</x:f>
        <x:v>0.2</x:v>
      </x:c>
      <x:c r="AO270" s="81" t="n">
        <x:f>'Inputs'!$E$44</x:f>
        <x:v>-0.2</x:v>
      </x:c>
    </x:row>
    <x:row r="271">
      <x:c r="A271" s="59" t="str">
        <x:v>No demand</x:v>
      </x:c>
      <x:c r="B271" s="59" t="n">
        <x:v>268</x:v>
      </x:c>
      <x:c r="C271" s="78" t="n">
        <x:f>(('Inputs'!$B$29*(3*268*'Inputs'!$B$12-268^2)/(2*'Inputs'!$B$12^2))-('Inputs'!$B$29*(3*267*'Inputs'!$B$12-267^2)/(2*'Inputs'!$B$12^2)))*'Inputs'!$B$44</x:f>
        <x:v>625019.9380746782</x:v>
      </x:c>
      <x:c r="D271" s="78" t="n">
        <x:f>IF('Inputs'!$C$44&gt;0,('Inputs'!$B$30*(3*268*'Inputs'!$B$12-268^2)/(2*'Inputs'!$B$12^2))-('Inputs'!$B$30*(3*267*'Inputs'!$B$12-267^2)/(2*'Inputs'!$B$12^2)),0)</x:f>
        <x:v>267865.6877462864</x:v>
      </x:c>
      <x:c r="E271" s="78" t="n">
        <x:f>C271+D271</x:f>
        <x:v>892885.6258209646</x:v>
      </x:c>
      <x:c r="F271" s="78" t="n">
        <x:f>'Inputs'!$B$13*E271+(1-'Inputs'!$B$13)/'Inputs'!$B$14*SUM(E216:E271)</x:f>
        <x:v>903103.3026834275</x:v>
      </x:c>
      <x:c r="G271" s="78" t="n">
        <x:f>F271*'Inputs'!$F$44</x:f>
        <x:v>812792.9724150847</x:v>
      </x:c>
      <x:c r="H271" s="78" t="n">
        <x:f>U270</x:f>
        <x:v>116482270426.17792</x:v>
      </x:c>
      <x:c r="I271" s="78" t="n">
        <x:f>V270</x:f>
        <x:v>0.10171980907557412</x:v>
      </x:c>
      <x:c r="J271" s="79" t="n">
        <x:f>IF(H271&gt;0,I271/H271,0)</x:f>
        <x:v>8.732643062623021e-13</x:v>
      </x:c>
      <x:c r="K271" s="80" t="n">
        <x:f>(H271*J271+I271)*'Inputs'!$D$44*(1+'Inputs'!$G$44)^(B271/30)</x:f>
        <x:v>0.040687923630229654</x:v>
      </x:c>
      <x:c r="L271" s="80" t="n">
        <x:f>MAX(0,K271*'Inputs'!$E$44)</x:f>
        <x:v>0</x:v>
      </x:c>
      <x:c r="M271" s="80" t="n">
        <x:f>MAX(0,-K271*'Inputs'!$E$44)</x:f>
        <x:v>0.008137584726045931</x:v>
      </x:c>
      <x:c r="N271" s="78" t="n">
        <x:f>H271*(L271*(1-'Inputs'!$B$15))/(I271+L271*(1-'Inputs'!$B$15))</x:f>
        <x:v>0</x:v>
      </x:c>
      <x:c r="O271" s="78" t="n">
        <x:f>H271-N271</x:f>
        <x:v>116482270426.17792</x:v>
      </x:c>
      <x:c r="P271" s="78" t="n">
        <x:f>I271+L271*(1-'Inputs'!$B$17)</x:f>
        <x:v>0.10171980907557412</x:v>
      </x:c>
      <x:c r="Q271" s="78" t="n">
        <x:f>IF(J271&gt;0,M271/J271,0)</x:f>
        <x:v>0</x:v>
      </x:c>
      <x:c r="R271" s="78" t="n">
        <x:f>IF(B271='Inputs'!$H$44,'Inputs'!$B$27*'Inputs'!$I$44,0)</x:f>
        <x:v>0</x:v>
      </x:c>
      <x:c r="S271" s="78" t="n">
        <x:f>Q271+G271+R271</x:f>
        <x:v>812792.9724150847</x:v>
      </x:c>
      <x:c r="T271" s="78" t="n">
        <x:f>P271*(S271*(1-'Inputs'!$B$15))/(O271+S271*(1-'Inputs'!$B$15))</x:f>
        <x:v>7.026804061294877e-7</x:v>
      </x:c>
      <x:c r="U271" s="78" t="n">
        <x:f>O271+S271*(1-'Inputs'!$B$17)</x:f>
        <x:v>116483079948.35367</x:v>
      </x:c>
      <x:c r="V271" s="78" t="n">
        <x:f>P271-T271</x:f>
        <x:v>0.101719106395168</x:v>
      </x:c>
      <x:c r="W271" s="79" t="n">
        <x:f>IF(U271&gt;0,V271/U271,0)</x:f>
        <x:v>8.732522048718859e-13</x:v>
      </x:c>
      <x:c r="X271" s="80" t="n">
        <x:f>W271*('Inputs'!$B$6-AC271)</x:f>
        <x:v>-0.0003581755475808961</x:v>
      </x:c>
      <x:c r="Y271" s="80" t="n">
        <x:f>2*V271</x:f>
        <x:v>0.203438212790336</x:v>
      </x:c>
      <x:c r="Z271" s="80" t="n">
        <x:f>K271*'Inputs'!$B$16+(G271+R271)*J271*'Inputs'!$B$16</x:f>
        <x:v>0.0002441318004799251</x:v>
      </x:c>
      <x:c r="AA271" s="80" t="n">
        <x:f>K271*(1+'Inputs'!$E$44)/2*'Inputs'!$B$17</x:f>
        <x:v>0.00006549363964624492</x:v>
      </x:c>
      <x:c r="AB271" s="78" t="n">
        <x:f>(IF(J271&gt;0,K271*(1-'Inputs'!$E$44)/2/J271,0)+G271+R271)*'Inputs'!$B$17</x:f>
        <x:v>3270.7966696784097</x:v>
      </x:c>
      <x:c r="AC271" s="78" t="n">
        <x:f>AC270+AB271</x:f>
        <x:v>1410162774.9493558</x:v>
      </x:c>
      <x:c r="AD271" s="80" t="n">
        <x:f>Z271/(1+'Inputs'!$C$44)</x:f>
        <x:v>0.0001953054403839401</x:v>
      </x:c>
      <x:c r="AE271" s="80" t="n">
        <x:f>Z271-AD271</x:f>
        <x:v>0.00004882636009598501</x:v>
      </x:c>
      <x:c r="AF271" s="80" t="n">
        <x:f>D271*W271</x:f>
        <x:v>2.339143024339687e-7</x:v>
      </x:c>
      <x:c r="AG271" s="80" t="n">
        <x:f>C271*W271</x:f>
        <x:v>5.458000390126023e-7</x:v>
      </x:c>
      <x:c r="AH271" s="80" t="n">
        <x:f>2*'Inputs'!$B$8*'Inputs'!$C$44</x:f>
        <x:v>1250</x:v>
      </x:c>
      <x:c r="AI271" s="81" t="n">
        <x:f>IF(AH271&gt;0,(AE271+AF271)/AH271*365,0)</x:f>
        <x:v>0.000014325600124338342</x:v>
      </x:c>
      <x:c r="AJ271" s="81" t="n">
        <x:f>IF('Inputs'!$B$44&gt;0,AG271/('Inputs'!$B$19*'Inputs'!$B$44)*365,0)</x:f>
        <x:v>1.9921701423959987e-8</x:v>
      </x:c>
      <x:c r="AK271" s="81" t="n">
        <x:f>W271/MAX($W$4:W271)-1</x:f>
        <x:v>-0.9999999987166895</x:v>
      </x:c>
      <x:c r="AL271" s="83" t="n">
        <x:f>'Inputs'!$B$44</x:f>
        <x:v>1</x:v>
      </x:c>
      <x:c r="AM271" s="83" t="n">
        <x:f>'Inputs'!$C$44</x:f>
        <x:v>0.25</x:v>
      </x:c>
      <x:c r="AN271" s="83" t="n">
        <x:f>'Inputs'!$D$44</x:f>
        <x:v>0.2</x:v>
      </x:c>
      <x:c r="AO271" s="81" t="n">
        <x:f>'Inputs'!$E$44</x:f>
        <x:v>-0.2</x:v>
      </x:c>
    </x:row>
    <x:row r="272">
      <x:c r="A272" s="59" t="str">
        <x:v>No demand</x:v>
      </x:c>
      <x:c r="B272" s="59" t="n">
        <x:v>269</x:v>
      </x:c>
      <x:c r="C272" s="78" t="n">
        <x:f>(('Inputs'!$B$29*(3*269*'Inputs'!$B$12-269^2)/(2*'Inputs'!$B$12^2))-('Inputs'!$B$29*(3*268*'Inputs'!$B$12-268^2)/(2*'Inputs'!$B$12^2)))*'Inputs'!$B$44</x:f>
        <x:v>624694.8301745057</x:v>
      </x:c>
      <x:c r="D272" s="78" t="n">
        <x:f>IF('Inputs'!$C$44&gt;0,('Inputs'!$B$30*(3*269*'Inputs'!$B$12-269^2)/(2*'Inputs'!$B$12^2))-('Inputs'!$B$30*(3*268*'Inputs'!$B$12-268^2)/(2*'Inputs'!$B$12^2)),0)</x:f>
        <x:v>267726.35578908026</x:v>
      </x:c>
      <x:c r="E272" s="78" t="n">
        <x:f>C272+D272</x:f>
        <x:v>892421.185963586</x:v>
      </x:c>
      <x:c r="F272" s="78" t="n">
        <x:f>'Inputs'!$B$13*E272+(1-'Inputs'!$B$13)/'Inputs'!$B$14*SUM(E217:E272)</x:f>
        <x:v>902638.862826044</x:v>
      </x:c>
      <x:c r="G272" s="78" t="n">
        <x:f>F272*'Inputs'!$F$44</x:f>
        <x:v>812374.9765434396</x:v>
      </x:c>
      <x:c r="H272" s="78" t="n">
        <x:f>U271</x:f>
        <x:v>116483079948.35367</x:v>
      </x:c>
      <x:c r="I272" s="78" t="n">
        <x:f>V271</x:f>
        <x:v>0.101719106395168</x:v>
      </x:c>
      <x:c r="J272" s="79" t="n">
        <x:f>IF(H272&gt;0,I272/H272,0)</x:f>
        <x:v>8.732522048718859e-13</x:v>
      </x:c>
      <x:c r="K272" s="80" t="n">
        <x:f>(H272*J272+I272)*'Inputs'!$D$44*(1+'Inputs'!$G$44)^(B272/30)</x:f>
        <x:v>0.0406876425580672</x:v>
      </x:c>
      <x:c r="L272" s="80" t="n">
        <x:f>MAX(0,K272*'Inputs'!$E$44)</x:f>
        <x:v>0</x:v>
      </x:c>
      <x:c r="M272" s="80" t="n">
        <x:f>MAX(0,-K272*'Inputs'!$E$44)</x:f>
        <x:v>0.00813752851161344</x:v>
      </x:c>
      <x:c r="N272" s="78" t="n">
        <x:f>H272*(L272*(1-'Inputs'!$B$15))/(I272+L272*(1-'Inputs'!$B$15))</x:f>
        <x:v>0</x:v>
      </x:c>
      <x:c r="O272" s="78" t="n">
        <x:f>H272-N272</x:f>
        <x:v>116483079948.35367</x:v>
      </x:c>
      <x:c r="P272" s="78" t="n">
        <x:f>I272+L272*(1-'Inputs'!$B$17)</x:f>
        <x:v>0.101719106395168</x:v>
      </x:c>
      <x:c r="Q272" s="78" t="n">
        <x:f>IF(J272&gt;0,M272/J272,0)</x:f>
        <x:v>0</x:v>
      </x:c>
      <x:c r="R272" s="78" t="n">
        <x:f>IF(B272='Inputs'!$H$44,'Inputs'!$B$27*'Inputs'!$I$44,0)</x:f>
        <x:v>0</x:v>
      </x:c>
      <x:c r="S272" s="78" t="n">
        <x:f>Q272+G272+R272</x:f>
        <x:v>812374.9765434396</x:v>
      </x:c>
      <x:c r="T272" s="78" t="n">
        <x:f>P272*(S272*(1-'Inputs'!$B$15))/(O272+S272*(1-'Inputs'!$B$15))</x:f>
        <x:v>7.023093079975689e-7</x:v>
      </x:c>
      <x:c r="U272" s="78" t="n">
        <x:f>O272+S272*(1-'Inputs'!$B$17)</x:f>
        <x:v>116483889054.21562</x:v>
      </x:c>
      <x:c r="V272" s="78" t="n">
        <x:f>P272-T272</x:f>
        <x:v>0.10171840408586</x:v>
      </x:c>
      <x:c r="W272" s="79" t="n">
        <x:f>IF(U272&gt;0,V272/U272,0)</x:f>
        <x:v>8.732401099564656e-13</x:v>
      </x:c>
      <x:c r="X272" s="80" t="n">
        <x:f>W272*('Inputs'!$B$6-AC272)</x:f>
        <x:v>-0.00035817344141881186</x:v>
      </x:c>
      <x:c r="Y272" s="80" t="n">
        <x:f>2*V272</x:f>
        <x:v>0.20343680817172</x:v>
      </x:c>
      <x:c r="Z272" s="80" t="n">
        <x:f>K272*'Inputs'!$B$16+(G272+R272)*J272*'Inputs'!$B$16</x:f>
        <x:v>0.0002441301117978399</x:v>
      </x:c>
      <x:c r="AA272" s="80" t="n">
        <x:f>K272*(1+'Inputs'!$E$44)/2*'Inputs'!$B$17</x:f>
        <x:v>0.00006549318721620476</x:v>
      </x:c>
      <x:c r="AB272" s="78" t="n">
        <x:f>(IF(J272&gt;0,K272*(1-'Inputs'!$E$44)/2/J272,0)+G272+R272)*'Inputs'!$B$17</x:f>
        <x:v>3269.1145937361757</x:v>
      </x:c>
      <x:c r="AC272" s="78" t="n">
        <x:f>AC271+AB272</x:f>
        <x:v>1410166044.0639496</x:v>
      </x:c>
      <x:c r="AD272" s="80" t="n">
        <x:f>Z272/(1+'Inputs'!$C$44)</x:f>
        <x:v>0.00019530408943827193</x:v>
      </x:c>
      <x:c r="AE272" s="80" t="n">
        <x:f>Z272-AD272</x:f>
        <x:v>0.00004882602235956797</x:v>
      </x:c>
      <x:c r="AF272" s="80" t="n">
        <x:f>D272*W272</x:f>
        <x:v>2.337893923675003e-7</x:v>
      </x:c>
      <x:c r="AG272" s="80" t="n">
        <x:f>C272*W272</x:f>
        <x:v>5.45508582190821e-7</x:v>
      </x:c>
      <x:c r="AH272" s="80" t="n">
        <x:f>2*'Inputs'!$B$8*'Inputs'!$C$44</x:f>
        <x:v>1250</x:v>
      </x:c>
      <x:c r="AI272" s="81" t="n">
        <x:f>IF(AH272&gt;0,(AE272+AF272)/AH272*365,0)</x:f>
        <x:v>0.000014325465031565158</x:v>
      </x:c>
      <x:c r="AJ272" s="81" t="n">
        <x:f>IF('Inputs'!$B$44&gt;0,AG272/('Inputs'!$B$19*'Inputs'!$B$44)*365,0)</x:f>
        <x:v>1.9911063249964967e-8</x:v>
      </x:c>
      <x:c r="AK272" s="81" t="n">
        <x:f>W272/MAX($W$4:W272)-1</x:f>
        <x:v>-0.9999999987167073</x:v>
      </x:c>
      <x:c r="AL272" s="83" t="n">
        <x:f>'Inputs'!$B$44</x:f>
        <x:v>1</x:v>
      </x:c>
      <x:c r="AM272" s="83" t="n">
        <x:f>'Inputs'!$C$44</x:f>
        <x:v>0.25</x:v>
      </x:c>
      <x:c r="AN272" s="83" t="n">
        <x:f>'Inputs'!$D$44</x:f>
        <x:v>0.2</x:v>
      </x:c>
      <x:c r="AO272" s="81" t="n">
        <x:f>'Inputs'!$E$44</x:f>
        <x:v>-0.2</x:v>
      </x:c>
    </x:row>
    <x:row r="273">
      <x:c r="A273" s="59" t="str">
        <x:v>No demand</x:v>
      </x:c>
      <x:c r="B273" s="59" t="n">
        <x:v>270</x:v>
      </x:c>
      <x:c r="C273" s="78" t="n">
        <x:f>(('Inputs'!$B$29*(3*270*'Inputs'!$B$12-270^2)/(2*'Inputs'!$B$12^2))-('Inputs'!$B$29*(3*269*'Inputs'!$B$12-269^2)/(2*'Inputs'!$B$12^2)))*'Inputs'!$B$44</x:f>
        <x:v>624369.722274363</x:v>
      </x:c>
      <x:c r="D273" s="78" t="n">
        <x:f>IF('Inputs'!$C$44&gt;0,('Inputs'!$B$30*(3*270*'Inputs'!$B$12-270^2)/(2*'Inputs'!$B$12^2))-('Inputs'!$B$30*(3*269*'Inputs'!$B$12-269^2)/(2*'Inputs'!$B$12^2)),0)</x:f>
        <x:v>267587.02383185923</x:v>
      </x:c>
      <x:c r="E273" s="78" t="n">
        <x:f>C273+D273</x:f>
        <x:v>891956.7461062223</x:v>
      </x:c>
      <x:c r="F273" s="78" t="n">
        <x:f>'Inputs'!$B$13*E273+(1-'Inputs'!$B$13)/'Inputs'!$B$14*SUM(E218:E273)</x:f>
        <x:v>902174.4229686646</x:v>
      </x:c>
      <x:c r="G273" s="78" t="n">
        <x:f>F273*'Inputs'!$F$44</x:f>
        <x:v>811956.9806717981</x:v>
      </x:c>
      <x:c r="H273" s="78" t="n">
        <x:f>U272</x:f>
        <x:v>116483889054.21562</x:v>
      </x:c>
      <x:c r="I273" s="78" t="n">
        <x:f>V272</x:f>
        <x:v>0.10171840408586</x:v>
      </x:c>
      <x:c r="J273" s="79" t="n">
        <x:f>IF(H273&gt;0,I273/H273,0)</x:f>
        <x:v>8.732401099564656e-13</x:v>
      </x:c>
      <x:c r="K273" s="80" t="n">
        <x:f>(H273*J273+I273)*'Inputs'!$D$44*(1+'Inputs'!$G$44)^(B273/30)</x:f>
        <x:v>0.040687361634344</x:v>
      </x:c>
      <x:c r="L273" s="80" t="n">
        <x:f>MAX(0,K273*'Inputs'!$E$44)</x:f>
        <x:v>0</x:v>
      </x:c>
      <x:c r="M273" s="80" t="n">
        <x:f>MAX(0,-K273*'Inputs'!$E$44)</x:f>
        <x:v>0.008137472326868801</x:v>
      </x:c>
      <x:c r="N273" s="78" t="n">
        <x:f>H273*(L273*(1-'Inputs'!$B$15))/(I273+L273*(1-'Inputs'!$B$15))</x:f>
        <x:v>0</x:v>
      </x:c>
      <x:c r="O273" s="78" t="n">
        <x:f>H273-N273</x:f>
        <x:v>116483889054.21562</x:v>
      </x:c>
      <x:c r="P273" s="78" t="n">
        <x:f>I273+L273*(1-'Inputs'!$B$17)</x:f>
        <x:v>0.10171840408586</x:v>
      </x:c>
      <x:c r="Q273" s="78" t="n">
        <x:f>IF(J273&gt;0,M273/J273,0)</x:f>
        <x:v>0</x:v>
      </x:c>
      <x:c r="R273" s="78" t="n">
        <x:f>IF(B273='Inputs'!$H$44,'Inputs'!$B$27*'Inputs'!$I$44,0)</x:f>
        <x:v>0</x:v>
      </x:c>
      <x:c r="S273" s="78" t="n">
        <x:f>Q273+G273+R273</x:f>
        <x:v>811956.9806717981</x:v>
      </x:c>
      <x:c r="T273" s="78" t="n">
        <x:f>P273*(S273*(1-'Inputs'!$B$15))/(O273+S273*(1-'Inputs'!$B$15))</x:f>
        <x:v>7.019382250831635e-7</x:v>
      </x:c>
      <x:c r="U273" s="78" t="n">
        <x:f>O273+S273*(1-'Inputs'!$B$17)</x:f>
        <x:v>116484697743.76378</x:v>
      </x:c>
      <x:c r="V273" s="78" t="n">
        <x:f>P273-T273</x:f>
        <x:v>0.10171770214763491</x:v>
      </x:c>
      <x:c r="W273" s="79" t="n">
        <x:f>IF(U273&gt;0,V273/U273,0)</x:f>
        <x:v>8.732280215156462e-13</x:v>
      </x:c>
      <x:c r="X273" s="80" t="n">
        <x:f>W273*('Inputs'!$B$6-AC273)</x:f>
        <x:v>-0.000358171336364495</x:v>
      </x:c>
      <x:c r="Y273" s="80" t="n">
        <x:f>2*V273</x:f>
        <x:v>0.20343540429526982</x:v>
      </x:c>
      <x:c r="Z273" s="80" t="n">
        <x:f>K273*'Inputs'!$B$16+(G273+R273)*J273*'Inputs'!$B$16</x:f>
        <x:v>0.0002441284240064825</x:v>
      </x:c>
      <x:c r="AA273" s="80" t="n">
        <x:f>K273*(1+'Inputs'!$E$44)/2*'Inputs'!$B$17</x:f>
        <x:v>0.00006549273502510102</x:v>
      </x:c>
      <x:c r="AB273" s="78" t="n">
        <x:f>(IF(J273&gt;0,K273*(1-'Inputs'!$E$44)/2/J273,0)+G273+R273)*'Inputs'!$B$17</x:f>
        <x:v>3267.4325177939563</x:v>
      </x:c>
      <x:c r="AC273" s="78" t="n">
        <x:f>AC272+AB273</x:f>
        <x:v>1410169311.4964674</x:v>
      </x:c>
      <x:c r="AD273" s="80" t="n">
        <x:f>Z273/(1+'Inputs'!$C$44)</x:f>
        <x:v>0.000195302739205186</x:v>
      </x:c>
      <x:c r="AE273" s="80" t="n">
        <x:f>Z273-AD273</x:f>
        <x:v>0.00004882568480129649</x:v>
      </x:c>
      <x:c r="AF273" s="80" t="n">
        <x:f>D273*W273</x:f>
        <x:v>2.3366448740395453e-7</x:v>
      </x:c>
      <x:c r="AG273" s="80" t="n">
        <x:f>C273*W273</x:f>
        <x:v>5.452171372759156e-7</x:v>
      </x:c>
      <x:c r="AH273" s="80" t="n">
        <x:f>2*'Inputs'!$B$8*'Inputs'!$C$44</x:f>
        <x:v>1250</x:v>
      </x:c>
      <x:c r="AI273" s="81" t="n">
        <x:f>IF(AH273&gt;0,(AE273+AF273)/AH273*365,0)</x:f>
        <x:v>0.000014325329992300527</x:v>
      </x:c>
      <x:c r="AJ273" s="81" t="n">
        <x:f>IF('Inputs'!$B$44&gt;0,AG273/('Inputs'!$B$19*'Inputs'!$B$44)*365,0)</x:f>
        <x:v>1.990042551057092e-8</x:v>
      </x:c>
      <x:c r="AK273" s="81" t="n">
        <x:f>W273/MAX($W$4:W273)-1</x:f>
        <x:v>-0.9999999987167251</x:v>
      </x:c>
      <x:c r="AL273" s="83" t="n">
        <x:f>'Inputs'!$B$44</x:f>
        <x:v>1</x:v>
      </x:c>
      <x:c r="AM273" s="83" t="n">
        <x:f>'Inputs'!$C$44</x:f>
        <x:v>0.25</x:v>
      </x:c>
      <x:c r="AN273" s="83" t="n">
        <x:f>'Inputs'!$D$44</x:f>
        <x:v>0.2</x:v>
      </x:c>
      <x:c r="AO273" s="81" t="n">
        <x:f>'Inputs'!$E$44</x:f>
        <x:v>-0.2</x:v>
      </x:c>
    </x:row>
    <x:row r="274">
      <x:c r="A274" s="59" t="str">
        <x:v>No demand</x:v>
      </x:c>
      <x:c r="B274" s="59" t="n">
        <x:v>271</x:v>
      </x:c>
      <x:c r="C274" s="78" t="n">
        <x:f>(('Inputs'!$B$29*(3*271*'Inputs'!$B$12-271^2)/(2*'Inputs'!$B$12^2))-('Inputs'!$B$29*(3*270*'Inputs'!$B$12-270^2)/(2*'Inputs'!$B$12^2)))*'Inputs'!$B$44</x:f>
        <x:v>624044.6143741608</x:v>
      </x:c>
      <x:c r="D274" s="78" t="n">
        <x:f>IF('Inputs'!$C$44&gt;0,('Inputs'!$B$30*(3*271*'Inputs'!$B$12-271^2)/(2*'Inputs'!$B$12^2))-('Inputs'!$B$30*(3*270*'Inputs'!$B$12-270^2)/(2*'Inputs'!$B$12^2)),0)</x:f>
        <x:v>267447.6918746531</x:v>
      </x:c>
      <x:c r="E274" s="78" t="n">
        <x:f>C274+D274</x:f>
        <x:v>891492.3062488139</x:v>
      </x:c>
      <x:c r="F274" s="78" t="n">
        <x:f>'Inputs'!$B$13*E274+(1-'Inputs'!$B$13)/'Inputs'!$B$14*SUM(E219:E274)</x:f>
        <x:v>901709.9831112752</x:v>
      </x:c>
      <x:c r="G274" s="78" t="n">
        <x:f>F274*'Inputs'!$F$44</x:f>
        <x:v>811538.9848001477</x:v>
      </x:c>
      <x:c r="H274" s="78" t="n">
        <x:f>U273</x:f>
        <x:v>116484697743.76378</x:v>
      </x:c>
      <x:c r="I274" s="78" t="n">
        <x:f>V273</x:f>
        <x:v>0.10171770214763491</x:v>
      </x:c>
      <x:c r="J274" s="79" t="n">
        <x:f>IF(H274&gt;0,I274/H274,0)</x:f>
        <x:v>8.732280215156462e-13</x:v>
      </x:c>
      <x:c r="K274" s="80" t="n">
        <x:f>(H274*J274+I274)*'Inputs'!$D$44*(1+'Inputs'!$G$44)^(B274/30)</x:f>
        <x:v>0.04068708085905397</x:v>
      </x:c>
      <x:c r="L274" s="80" t="n">
        <x:f>MAX(0,K274*'Inputs'!$E$44)</x:f>
        <x:v>0</x:v>
      </x:c>
      <x:c r="M274" s="80" t="n">
        <x:f>MAX(0,-K274*'Inputs'!$E$44)</x:f>
        <x:v>0.008137416171810795</x:v>
      </x:c>
      <x:c r="N274" s="78" t="n">
        <x:f>H274*(L274*(1-'Inputs'!$B$15))/(I274+L274*(1-'Inputs'!$B$15))</x:f>
        <x:v>0</x:v>
      </x:c>
      <x:c r="O274" s="78" t="n">
        <x:f>H274-N274</x:f>
        <x:v>116484697743.76378</x:v>
      </x:c>
      <x:c r="P274" s="78" t="n">
        <x:f>I274+L274*(1-'Inputs'!$B$17)</x:f>
        <x:v>0.10171770214763491</x:v>
      </x:c>
      <x:c r="Q274" s="78" t="n">
        <x:f>IF(J274&gt;0,M274/J274,0)</x:f>
        <x:v>0</x:v>
      </x:c>
      <x:c r="R274" s="78" t="n">
        <x:f>IF(B274='Inputs'!$H$44,'Inputs'!$B$27*'Inputs'!$I$44,0)</x:f>
        <x:v>0</x:v>
      </x:c>
      <x:c r="S274" s="78" t="n">
        <x:f>Q274+G274+R274</x:f>
        <x:v>811538.9848001477</x:v>
      </x:c>
      <x:c r="T274" s="78" t="n">
        <x:f>P274*(S274*(1-'Inputs'!$B$15))/(O274+S274*(1-'Inputs'!$B$15))</x:f>
        <x:v>7.015671573779049e-7</x:v>
      </x:c>
      <x:c r="U274" s="78" t="n">
        <x:f>O274+S274*(1-'Inputs'!$B$17)</x:f>
        <x:v>116485506016.99814</x:v>
      </x:c>
      <x:c r="V274" s="78" t="n">
        <x:f>P274-T274</x:f>
        <x:v>0.10171700058047753</x:v>
      </x:c>
      <x:c r="W274" s="79" t="n">
        <x:f>IF(U274&gt;0,V274/U274,0)</x:f>
        <x:v>8.732159395490327e-13</x:v>
      </x:c>
      <x:c r="X274" s="80" t="n">
        <x:f>W274*('Inputs'!$B$6-AC274)</x:f>
        <x:v>-0.0003581692324179079</x:v>
      </x:c>
      <x:c r="Y274" s="80" t="n">
        <x:f>2*V274</x:f>
        <x:v>0.20343400116095506</x:v>
      </x:c>
      <x:c r="Z274" s="80" t="n">
        <x:f>K274*'Inputs'!$B$16+(G274+R274)*J274*'Inputs'!$B$16</x:f>
        <x:v>0.00024412673710581627</x:v>
      </x:c>
      <x:c r="AA274" s="80" t="n">
        <x:f>K274*(1+'Inputs'!$E$44)/2*'Inputs'!$B$17</x:f>
        <x:v>0.00006549228307292391</x:v>
      </x:c>
      <x:c r="AB274" s="78" t="n">
        <x:f>(IF(J274&gt;0,K274*(1-'Inputs'!$E$44)/2/J274,0)+G274+R274)*'Inputs'!$B$17</x:f>
        <x:v>3265.7504418517015</x:v>
      </x:c>
      <x:c r="AC274" s="78" t="n">
        <x:f>AC273+AB274</x:f>
        <x:v>1410172577.2469091</x:v>
      </x:c>
      <x:c r="AD274" s="80" t="n">
        <x:f>Z274/(1+'Inputs'!$C$44)</x:f>
        <x:v>0.00019530138968465303</x:v>
      </x:c>
      <x:c r="AE274" s="80" t="n">
        <x:f>Z274-AD274</x:f>
        <x:v>0.000048825347421163243</x:v>
      </x:c>
      <x:c r="AF274" s="80" t="n">
        <x:f>D274*W274</x:f>
        <x:v>2.335395875405454e-7</x:v>
      </x:c>
      <x:c r="AG274" s="80" t="n">
        <x:f>C274*W274</x:f>
        <x:v>5.449257042612466e-7</x:v>
      </x:c>
      <x:c r="AH274" s="80" t="n">
        <x:f>2*'Inputs'!$B$8*'Inputs'!$C$44</x:f>
        <x:v>1250</x:v>
      </x:c>
      <x:c r="AI274" s="81" t="n">
        <x:f>IF(AH274&gt;0,(AE274+AF274)/AH274*365,0)</x:f>
        <x:v>0.000014325195006541506</x:v>
      </x:c>
      <x:c r="AJ274" s="81" t="n">
        <x:f>IF('Inputs'!$B$44&gt;0,AG274/('Inputs'!$B$19*'Inputs'!$B$44)*365,0)</x:f>
        <x:v>1.98897882055355e-8</x:v>
      </x:c>
      <x:c r="AK274" s="81" t="n">
        <x:f>W274/MAX($W$4:W274)-1</x:f>
        <x:v>-0.9999999987167428</x:v>
      </x:c>
      <x:c r="AL274" s="83" t="n">
        <x:f>'Inputs'!$B$44</x:f>
        <x:v>1</x:v>
      </x:c>
      <x:c r="AM274" s="83" t="n">
        <x:f>'Inputs'!$C$44</x:f>
        <x:v>0.25</x:v>
      </x:c>
      <x:c r="AN274" s="83" t="n">
        <x:f>'Inputs'!$D$44</x:f>
        <x:v>0.2</x:v>
      </x:c>
      <x:c r="AO274" s="81" t="n">
        <x:f>'Inputs'!$E$44</x:f>
        <x:v>-0.2</x:v>
      </x:c>
    </x:row>
    <x:row r="275">
      <x:c r="A275" s="59" t="str">
        <x:v>No demand</x:v>
      </x:c>
      <x:c r="B275" s="59" t="n">
        <x:v>272</x:v>
      </x:c>
      <x:c r="C275" s="78" t="n">
        <x:f>(('Inputs'!$B$29*(3*272*'Inputs'!$B$12-272^2)/(2*'Inputs'!$B$12^2))-('Inputs'!$B$29*(3*271*'Inputs'!$B$12-271^2)/(2*'Inputs'!$B$12^2)))*'Inputs'!$B$44</x:f>
        <x:v>623719.5064740181</x:v>
      </x:c>
      <x:c r="D275" s="78" t="n">
        <x:f>IF('Inputs'!$C$44&gt;0,('Inputs'!$B$30*(3*272*'Inputs'!$B$12-272^2)/(2*'Inputs'!$B$12^2))-('Inputs'!$B$30*(3*271*'Inputs'!$B$12-271^2)/(2*'Inputs'!$B$12^2)),0)</x:f>
        <x:v>267308.35991743207</x:v>
      </x:c>
      <x:c r="E275" s="78" t="n">
        <x:f>C275+D275</x:f>
        <x:v>891027.8663914502</x:v>
      </x:c>
      <x:c r="F275" s="78" t="n">
        <x:f>'Inputs'!$B$13*E275+(1-'Inputs'!$B$13)/'Inputs'!$B$14*SUM(E220:E275)</x:f>
        <x:v>901245.5432538954</x:v>
      </x:c>
      <x:c r="G275" s="78" t="n">
        <x:f>F275*'Inputs'!$F$44</x:f>
        <x:v>811120.9889285058</x:v>
      </x:c>
      <x:c r="H275" s="78" t="n">
        <x:f>U274</x:f>
        <x:v>116485506016.99814</x:v>
      </x:c>
      <x:c r="I275" s="78" t="n">
        <x:f>V274</x:f>
        <x:v>0.10171700058047753</x:v>
      </x:c>
      <x:c r="J275" s="79" t="n">
        <x:f>IF(H275&gt;0,I275/H275,0)</x:f>
        <x:v>8.732159395490327e-13</x:v>
      </x:c>
      <x:c r="K275" s="80" t="n">
        <x:f>(H275*J275+I275)*'Inputs'!$D$44*(1+'Inputs'!$G$44)^(B275/30)</x:f>
        <x:v>0.04068680023219101</x:v>
      </x:c>
      <x:c r="L275" s="80" t="n">
        <x:f>MAX(0,K275*'Inputs'!$E$44)</x:f>
        <x:v>0</x:v>
      </x:c>
      <x:c r="M275" s="80" t="n">
        <x:f>MAX(0,-K275*'Inputs'!$E$44)</x:f>
        <x:v>0.008137360046438202</x:v>
      </x:c>
      <x:c r="N275" s="78" t="n">
        <x:f>H275*(L275*(1-'Inputs'!$B$15))/(I275+L275*(1-'Inputs'!$B$15))</x:f>
        <x:v>0</x:v>
      </x:c>
      <x:c r="O275" s="78" t="n">
        <x:f>H275-N275</x:f>
        <x:v>116485506016.99814</x:v>
      </x:c>
      <x:c r="P275" s="78" t="n">
        <x:f>I275+L275*(1-'Inputs'!$B$17)</x:f>
        <x:v>0.10171700058047753</x:v>
      </x:c>
      <x:c r="Q275" s="78" t="n">
        <x:f>IF(J275&gt;0,M275/J275,0)</x:f>
        <x:v>0</x:v>
      </x:c>
      <x:c r="R275" s="78" t="n">
        <x:f>IF(B275='Inputs'!$H$44,'Inputs'!$B$27*'Inputs'!$I$44,0)</x:f>
        <x:v>0</x:v>
      </x:c>
      <x:c r="S275" s="78" t="n">
        <x:f>Q275+G275+R275</x:f>
        <x:v>811120.9889285058</x:v>
      </x:c>
      <x:c r="T275" s="78" t="n">
        <x:f>P275*(S275*(1-'Inputs'!$B$15))/(O275+S275*(1-'Inputs'!$B$15))</x:f>
        <x:v>7.011961048734534e-7</x:v>
      </x:c>
      <x:c r="U275" s="78" t="n">
        <x:f>O275+S275*(1-'Inputs'!$B$17)</x:f>
        <x:v>116486313873.9187</x:v>
      </x:c>
      <x:c r="V275" s="78" t="n">
        <x:f>P275-T275</x:f>
        <x:v>0.10171629938437265</x:v>
      </x:c>
      <x:c r="W275" s="79" t="n">
        <x:f>IF(U275&gt;0,V275/U275,0)</x:f>
        <x:v>8.732038640562301e-13</x:v>
      </x:c>
      <x:c r="X275" s="80" t="n">
        <x:f>W275*('Inputs'!$B$6-AC275)</x:f>
        <x:v>-0.00035816712957901316</x:v>
      </x:c>
      <x:c r="Y275" s="80" t="n">
        <x:f>2*V275</x:f>
        <x:v>0.2034325987687453</x:v>
      </x:c>
      <x:c r="Z275" s="80" t="n">
        <x:f>K275*'Inputs'!$B$16+(G275+R275)*J275*'Inputs'!$B$16</x:f>
        <x:v>0.0002441250510958047</x:v>
      </x:c>
      <x:c r="AA275" s="80" t="n">
        <x:f>K275*(1+'Inputs'!$E$44)/2*'Inputs'!$B$17</x:f>
        <x:v>0.0000654918313596636</x:v>
      </x:c>
      <x:c r="AB275" s="78" t="n">
        <x:f>(IF(J275&gt;0,K275*(1-'Inputs'!$E$44)/2/J275,0)+G275+R275)*'Inputs'!$B$17</x:f>
        <x:v>3264.0683659094802</x:v>
      </x:c>
      <x:c r="AC275" s="78" t="n">
        <x:f>AC274+AB275</x:f>
        <x:v>1410175841.315275</x:v>
      </x:c>
      <x:c r="AD275" s="80" t="n">
        <x:f>Z275/(1+'Inputs'!$C$44)</x:f>
        <x:v>0.00019530004087664376</x:v>
      </x:c>
      <x:c r="AE275" s="80" t="n">
        <x:f>Z275-AD275</x:f>
        <x:v>0.00004882501021916095</x:v>
      </x:c>
      <x:c r="AF275" s="80" t="n">
        <x:f>D275*W275</x:f>
        <x:v>2.3341469277443518e-7</x:v>
      </x:c>
      <x:c r="AG275" s="80" t="n">
        <x:f>C275*W275</x:f>
        <x:v>5.446342831403575e-7</x:v>
      </x:c>
      <x:c r="AH275" s="80" t="n">
        <x:f>2*'Inputs'!$B$8*'Inputs'!$C$44</x:f>
        <x:v>1250</x:v>
      </x:c>
      <x:c r="AI275" s="81" t="n">
        <x:f>IF(AH275&gt;0,(AE275+AF275)/AH275*365,0)</x:f>
        <x:v>0.00001432506007428513</x:v>
      </x:c>
      <x:c r="AJ275" s="81" t="n">
        <x:f>IF('Inputs'!$B$44&gt;0,AG275/('Inputs'!$B$19*'Inputs'!$B$44)*365,0)</x:f>
        <x:v>1.9879151334623047e-8</x:v>
      </x:c>
      <x:c r="AK275" s="81" t="n">
        <x:f>W275/MAX($W$4:W275)-1</x:f>
        <x:v>-0.9999999987167606</x:v>
      </x:c>
      <x:c r="AL275" s="83" t="n">
        <x:f>'Inputs'!$B$44</x:f>
        <x:v>1</x:v>
      </x:c>
      <x:c r="AM275" s="83" t="n">
        <x:f>'Inputs'!$C$44</x:f>
        <x:v>0.25</x:v>
      </x:c>
      <x:c r="AN275" s="83" t="n">
        <x:f>'Inputs'!$D$44</x:f>
        <x:v>0.2</x:v>
      </x:c>
      <x:c r="AO275" s="81" t="n">
        <x:f>'Inputs'!$E$44</x:f>
        <x:v>-0.2</x:v>
      </x:c>
    </x:row>
    <x:row r="276">
      <x:c r="A276" s="59" t="str">
        <x:v>No demand</x:v>
      </x:c>
      <x:c r="B276" s="59" t="n">
        <x:v>273</x:v>
      </x:c>
      <x:c r="C276" s="78" t="n">
        <x:f>(('Inputs'!$B$29*(3*273*'Inputs'!$B$12-273^2)/(2*'Inputs'!$B$12^2))-('Inputs'!$B$29*(3*272*'Inputs'!$B$12-272^2)/(2*'Inputs'!$B$12^2)))*'Inputs'!$B$44</x:f>
        <x:v>623394.3985738456</x:v>
      </x:c>
      <x:c r="D276" s="78" t="n">
        <x:f>IF('Inputs'!$C$44&gt;0,('Inputs'!$B$30*(3*273*'Inputs'!$B$12-273^2)/(2*'Inputs'!$B$12^2))-('Inputs'!$B$30*(3*272*'Inputs'!$B$12-272^2)/(2*'Inputs'!$B$12^2)),0)</x:f>
        <x:v>267169.02796022594</x:v>
      </x:c>
      <x:c r="E276" s="78" t="n">
        <x:f>C276+D276</x:f>
        <x:v>890563.4265340716</x:v>
      </x:c>
      <x:c r="F276" s="78" t="n">
        <x:f>'Inputs'!$B$13*E276+(1-'Inputs'!$B$13)/'Inputs'!$B$14*SUM(E221:E276)</x:f>
        <x:v>900781.1033965126</x:v>
      </x:c>
      <x:c r="G276" s="78" t="n">
        <x:f>F276*'Inputs'!$F$44</x:f>
        <x:v>810702.9930568613</x:v>
      </x:c>
      <x:c r="H276" s="78" t="n">
        <x:f>U275</x:f>
        <x:v>116486313873.9187</x:v>
      </x:c>
      <x:c r="I276" s="78" t="n">
        <x:f>V275</x:f>
        <x:v>0.10171629938437265</x:v>
      </x:c>
      <x:c r="J276" s="79" t="n">
        <x:f>IF(H276&gt;0,I276/H276,0)</x:f>
        <x:v>8.732038640562301e-13</x:v>
      </x:c>
      <x:c r="K276" s="80" t="n">
        <x:f>(H276*J276+I276)*'Inputs'!$D$44*(1+'Inputs'!$G$44)^(B276/30)</x:f>
        <x:v>0.04068651975374907</x:v>
      </x:c>
      <x:c r="L276" s="80" t="n">
        <x:f>MAX(0,K276*'Inputs'!$E$44)</x:f>
        <x:v>0</x:v>
      </x:c>
      <x:c r="M276" s="80" t="n">
        <x:f>MAX(0,-K276*'Inputs'!$E$44)</x:f>
        <x:v>0.008137303950749814</x:v>
      </x:c>
      <x:c r="N276" s="78" t="n">
        <x:f>H276*(L276*(1-'Inputs'!$B$15))/(I276+L276*(1-'Inputs'!$B$15))</x:f>
        <x:v>0</x:v>
      </x:c>
      <x:c r="O276" s="78" t="n">
        <x:f>H276-N276</x:f>
        <x:v>116486313873.9187</x:v>
      </x:c>
      <x:c r="P276" s="78" t="n">
        <x:f>I276+L276*(1-'Inputs'!$B$17)</x:f>
        <x:v>0.10171629938437265</x:v>
      </x:c>
      <x:c r="Q276" s="78" t="n">
        <x:f>IF(J276&gt;0,M276/J276,0)</x:f>
        <x:v>0</x:v>
      </x:c>
      <x:c r="R276" s="78" t="n">
        <x:f>IF(B276='Inputs'!$H$44,'Inputs'!$B$27*'Inputs'!$I$44,0)</x:f>
        <x:v>0</x:v>
      </x:c>
      <x:c r="S276" s="78" t="n">
        <x:f>Q276+G276+R276</x:f>
        <x:v>810702.9930568613</x:v>
      </x:c>
      <x:c r="T276" s="78" t="n">
        <x:f>P276*(S276*(1-'Inputs'!$B$15))/(O276+S276*(1-'Inputs'!$B$15))</x:f>
        <x:v>7.008250675614455e-7</x:v>
      </x:c>
      <x:c r="U276" s="78" t="n">
        <x:f>O276+S276*(1-'Inputs'!$B$17)</x:f>
        <x:v>116487121314.52547</x:v>
      </x:c>
      <x:c r="V276" s="78" t="n">
        <x:f>P276-T276</x:f>
        <x:v>0.10171559855930509</x:v>
      </x:c>
      <x:c r="W276" s="79" t="n">
        <x:f>IF(U276&gt;0,V276/U276,0)</x:f>
        <x:v>8.731917950368439e-13</x:v>
      </x:c>
      <x:c r="X276" s="80" t="n">
        <x:f>W276*('Inputs'!$B$6-AC276)</x:f>
        <x:v>-0.0003581650278477733</x:v>
      </x:c>
      <x:c r="Y276" s="80" t="n">
        <x:f>2*V276</x:f>
        <x:v>0.20343119711861019</x:v>
      </x:c>
      <x:c r="Z276" s="80" t="n">
        <x:f>K276*'Inputs'!$B$16+(G276+R276)*J276*'Inputs'!$B$16</x:f>
        <x:v>0.00024412336597641124</x:v>
      </x:c>
      <x:c r="AA276" s="80" t="n">
        <x:f>K276*(1+'Inputs'!$E$44)/2*'Inputs'!$B$17</x:f>
        <x:v>0.00006549137988531038</x:v>
      </x:c>
      <x:c r="AB276" s="78" t="n">
        <x:f>(IF(J276&gt;0,K276*(1-'Inputs'!$E$44)/2/J276,0)+G276+R276)*'Inputs'!$B$17</x:f>
        <x:v>3262.386289967249</x:v>
      </x:c>
      <x:c r="AC276" s="78" t="n">
        <x:f>AC275+AB276</x:f>
        <x:v>1410179103.701565</x:v>
      </x:c>
      <x:c r="AD276" s="80" t="n">
        <x:f>Z276/(1+'Inputs'!$C$44)</x:f>
        <x:v>0.00019529869278112899</x:v>
      </x:c>
      <x:c r="AE276" s="80" t="n">
        <x:f>Z276-AD276</x:f>
        <x:v>0.00004882467319528225</x:v>
      </x:c>
      <x:c r="AF276" s="80" t="n">
        <x:f>D276*W276</x:f>
        <x:v>2.3328980310283842e-7</x:v>
      </x:c>
      <x:c r="AG276" s="80" t="n">
        <x:f>C276*W276</x:f>
        <x:v>5.4434287390661e-7</x:v>
      </x:c>
      <x:c r="AH276" s="80" t="n">
        <x:f>2*'Inputs'!$B$8*'Inputs'!$C$44</x:f>
        <x:v>1250</x:v>
      </x:c>
      <x:c r="AI276" s="81" t="n">
        <x:f>IF(AH276&gt;0,(AE276+AF276)/AH276*365,0)</x:f>
        <x:v>0.000014324925195528448</x:v>
      </x:c>
      <x:c r="AJ276" s="81" t="n">
        <x:f>IF('Inputs'!$B$44&gt;0,AG276/('Inputs'!$B$19*'Inputs'!$B$44)*365,0)</x:f>
        <x:v>1.9868514897591263e-8</x:v>
      </x:c>
      <x:c r="AK276" s="81" t="n">
        <x:f>W276/MAX($W$4:W276)-1</x:f>
        <x:v>-0.9999999987167784</x:v>
      </x:c>
      <x:c r="AL276" s="83" t="n">
        <x:f>'Inputs'!$B$44</x:f>
        <x:v>1</x:v>
      </x:c>
      <x:c r="AM276" s="83" t="n">
        <x:f>'Inputs'!$C$44</x:f>
        <x:v>0.25</x:v>
      </x:c>
      <x:c r="AN276" s="83" t="n">
        <x:f>'Inputs'!$D$44</x:f>
        <x:v>0.2</x:v>
      </x:c>
      <x:c r="AO276" s="81" t="n">
        <x:f>'Inputs'!$E$44</x:f>
        <x:v>-0.2</x:v>
      </x:c>
    </x:row>
    <x:row r="277">
      <x:c r="A277" s="59" t="str">
        <x:v>No demand</x:v>
      </x:c>
      <x:c r="B277" s="59" t="n">
        <x:v>274</x:v>
      </x:c>
      <x:c r="C277" s="78" t="n">
        <x:f>(('Inputs'!$B$29*(3*274*'Inputs'!$B$12-274^2)/(2*'Inputs'!$B$12^2))-('Inputs'!$B$29*(3*273*'Inputs'!$B$12-273^2)/(2*'Inputs'!$B$12^2)))*'Inputs'!$B$44</x:f>
        <x:v>623069.2906736732</x:v>
      </x:c>
      <x:c r="D277" s="78" t="n">
        <x:f>IF('Inputs'!$C$44&gt;0,('Inputs'!$B$30*(3*274*'Inputs'!$B$12-274^2)/(2*'Inputs'!$B$12^2))-('Inputs'!$B$30*(3*273*'Inputs'!$B$12-273^2)/(2*'Inputs'!$B$12^2)),0)</x:f>
        <x:v>267029.69600299</x:v>
      </x:c>
      <x:c r="E277" s="78" t="n">
        <x:f>C277+D277</x:f>
        <x:v>890098.9866766632</x:v>
      </x:c>
      <x:c r="F277" s="78" t="n">
        <x:f>'Inputs'!$B$13*E277+(1-'Inputs'!$B$13)/'Inputs'!$B$14*SUM(E222:E277)</x:f>
        <x:v>900316.663539123</x:v>
      </x:c>
      <x:c r="G277" s="78" t="n">
        <x:f>F277*'Inputs'!$F$44</x:f>
        <x:v>810284.9971852107</x:v>
      </x:c>
      <x:c r="H277" s="78" t="n">
        <x:f>U276</x:f>
        <x:v>116487121314.52547</x:v>
      </x:c>
      <x:c r="I277" s="78" t="n">
        <x:f>V276</x:f>
        <x:v>0.10171559855930509</x:v>
      </x:c>
      <x:c r="J277" s="79" t="n">
        <x:f>IF(H277&gt;0,I277/H277,0)</x:f>
        <x:v>8.731917950368439e-13</x:v>
      </x:c>
      <x:c r="K277" s="80" t="n">
        <x:f>(H277*J277+I277)*'Inputs'!$D$44*(1+'Inputs'!$G$44)^(B277/30)</x:f>
        <x:v>0.04068623942372204</x:v>
      </x:c>
      <x:c r="L277" s="80" t="n">
        <x:f>MAX(0,K277*'Inputs'!$E$44)</x:f>
        <x:v>0</x:v>
      </x:c>
      <x:c r="M277" s="80" t="n">
        <x:f>MAX(0,-K277*'Inputs'!$E$44)</x:f>
        <x:v>0.008137247884744408</x:v>
      </x:c>
      <x:c r="N277" s="78" t="n">
        <x:f>H277*(L277*(1-'Inputs'!$B$15))/(I277+L277*(1-'Inputs'!$B$15))</x:f>
        <x:v>0</x:v>
      </x:c>
      <x:c r="O277" s="78" t="n">
        <x:f>H277-N277</x:f>
        <x:v>116487121314.52547</x:v>
      </x:c>
      <x:c r="P277" s="78" t="n">
        <x:f>I277+L277*(1-'Inputs'!$B$17)</x:f>
        <x:v>0.10171559855930509</x:v>
      </x:c>
      <x:c r="Q277" s="78" t="n">
        <x:f>IF(J277&gt;0,M277/J277,0)</x:f>
        <x:v>0</x:v>
      </x:c>
      <x:c r="R277" s="78" t="n">
        <x:f>IF(B277='Inputs'!$H$44,'Inputs'!$B$27*'Inputs'!$I$44,0)</x:f>
        <x:v>0</x:v>
      </x:c>
      <x:c r="S277" s="78" t="n">
        <x:f>Q277+G277+R277</x:f>
        <x:v>810284.9971852107</x:v>
      </x:c>
      <x:c r="T277" s="78" t="n">
        <x:f>P277*(S277*(1-'Inputs'!$B$15))/(O277+S277*(1-'Inputs'!$B$15))</x:f>
        <x:v>7.004540454335251e-7</x:v>
      </x:c>
      <x:c r="U277" s="78" t="n">
        <x:f>O277+S277*(1-'Inputs'!$B$17)</x:f>
        <x:v>116487928338.81844</x:v>
      </x:c>
      <x:c r="V277" s="78" t="n">
        <x:f>P277-T277</x:f>
        <x:v>0.10171489810525966</x:v>
      </x:c>
      <x:c r="W277" s="79" t="n">
        <x:f>IF(U277&gt;0,V277/U277,0)</x:f>
        <x:v>8.731797324904798e-13</x:v>
      </x:c>
      <x:c r="X277" s="80" t="n">
        <x:f>W277*('Inputs'!$B$6-AC277)</x:f>
        <x:v>-0.00035816292722415074</x:v>
      </x:c>
      <x:c r="Y277" s="80" t="n">
        <x:f>2*V277</x:f>
        <x:v>0.20342979621051932</x:v>
      </x:c>
      <x:c r="Z277" s="80" t="n">
        <x:f>K277*'Inputs'!$B$16+(G277+R277)*J277*'Inputs'!$B$16</x:f>
        <x:v>0.00024412168174759935</x:v>
      </x:c>
      <x:c r="AA277" s="80" t="n">
        <x:f>K277*(1+'Inputs'!$E$44)/2*'Inputs'!$B$17</x:f>
        <x:v>0.0000654909286498544</x:v>
      </x:c>
      <x:c r="AB277" s="78" t="n">
        <x:f>(IF(J277&gt;0,K277*(1-'Inputs'!$E$44)/2/J277,0)+G277+R277)*'Inputs'!$B$17</x:f>
        <x:v>3260.7042140249932</x:v>
      </x:c>
      <x:c r="AC277" s="78" t="n">
        <x:f>AC276+AB277</x:f>
        <x:v>1410182364.4057791</x:v>
      </x:c>
      <x:c r="AD277" s="80" t="n">
        <x:f>Z277/(1+'Inputs'!$C$44)</x:f>
        <x:v>0.00019529734539807948</x:v>
      </x:c>
      <x:c r="AE277" s="80" t="n">
        <x:f>Z277-AD277</x:f>
        <x:v>0.00004882433634951987</x:v>
      </x:c>
      <x:c r="AF277" s="80" t="n">
        <x:f>D277*W277</x:f>
        <x:v>2.3316491852290494e-7</x:v>
      </x:c>
      <x:c r="AG277" s="80" t="n">
        <x:f>C277*W277</x:f>
        <x:v>5.440514765534709e-7</x:v>
      </x:c>
      <x:c r="AH277" s="80" t="n">
        <x:f>2*'Inputs'!$B$8*'Inputs'!$C$44</x:f>
        <x:v>1250</x:v>
      </x:c>
      <x:c r="AI277" s="81" t="n">
        <x:f>IF(AH277&gt;0,(AE277+AF277)/AH277*365,0)</x:f>
        <x:v>0.00001432479037026849</x:v>
      </x:c>
      <x:c r="AJ277" s="81" t="n">
        <x:f>IF('Inputs'!$B$44&gt;0,AG277/('Inputs'!$B$19*'Inputs'!$B$44)*365,0)</x:f>
        <x:v>1.9857878894201687e-8</x:v>
      </x:c>
      <x:c r="AK277" s="81" t="n">
        <x:f>W277/MAX($W$4:W277)-1</x:f>
        <x:v>-0.999999998716796</x:v>
      </x:c>
      <x:c r="AL277" s="83" t="n">
        <x:f>'Inputs'!$B$44</x:f>
        <x:v>1</x:v>
      </x:c>
      <x:c r="AM277" s="83" t="n">
        <x:f>'Inputs'!$C$44</x:f>
        <x:v>0.25</x:v>
      </x:c>
      <x:c r="AN277" s="83" t="n">
        <x:f>'Inputs'!$D$44</x:f>
        <x:v>0.2</x:v>
      </x:c>
      <x:c r="AO277" s="81" t="n">
        <x:f>'Inputs'!$E$44</x:f>
        <x:v>-0.2</x:v>
      </x:c>
    </x:row>
    <x:row r="278">
      <x:c r="A278" s="59" t="str">
        <x:v>No demand</x:v>
      </x:c>
      <x:c r="B278" s="59" t="n">
        <x:v>275</x:v>
      </x:c>
      <x:c r="C278" s="78" t="n">
        <x:f>(('Inputs'!$B$29*(3*275*'Inputs'!$B$12-275^2)/(2*'Inputs'!$B$12^2))-('Inputs'!$B$29*(3*274*'Inputs'!$B$12-274^2)/(2*'Inputs'!$B$12^2)))*'Inputs'!$B$44</x:f>
        <x:v>622744.1827735007</x:v>
      </x:c>
      <x:c r="D278" s="78" t="n">
        <x:f>IF('Inputs'!$C$44&gt;0,('Inputs'!$B$30*(3*275*'Inputs'!$B$12-275^2)/(2*'Inputs'!$B$12^2))-('Inputs'!$B$30*(3*274*'Inputs'!$B$12-274^2)/(2*'Inputs'!$B$12^2)),0)</x:f>
        <x:v>266890.3640457988</x:v>
      </x:c>
      <x:c r="E278" s="78" t="n">
        <x:f>C278+D278</x:f>
        <x:v>889634.5468192995</x:v>
      </x:c>
      <x:c r="F278" s="78" t="n">
        <x:f>'Inputs'!$B$13*E278+(1-'Inputs'!$B$13)/'Inputs'!$B$14*SUM(E223:E278)</x:f>
        <x:v>899852.2236817434</x:v>
      </x:c>
      <x:c r="G278" s="78" t="n">
        <x:f>F278*'Inputs'!$F$44</x:f>
        <x:v>809867.001313569</x:v>
      </x:c>
      <x:c r="H278" s="78" t="n">
        <x:f>U277</x:f>
        <x:v>116487928338.81844</x:v>
      </x:c>
      <x:c r="I278" s="78" t="n">
        <x:f>V277</x:f>
        <x:v>0.10171489810525966</x:v>
      </x:c>
      <x:c r="J278" s="79" t="n">
        <x:f>IF(H278&gt;0,I278/H278,0)</x:f>
        <x:v>8.731797324904798e-13</x:v>
      </x:c>
      <x:c r="K278" s="80" t="n">
        <x:f>(H278*J278+I278)*'Inputs'!$D$44*(1+'Inputs'!$G$44)^(B278/30)</x:f>
        <x:v>0.040685959242103865</x:v>
      </x:c>
      <x:c r="L278" s="80" t="n">
        <x:f>MAX(0,K278*'Inputs'!$E$44)</x:f>
        <x:v>0</x:v>
      </x:c>
      <x:c r="M278" s="80" t="n">
        <x:f>MAX(0,-K278*'Inputs'!$E$44)</x:f>
        <x:v>0.008137191848420773</x:v>
      </x:c>
      <x:c r="N278" s="78" t="n">
        <x:f>H278*(L278*(1-'Inputs'!$B$15))/(I278+L278*(1-'Inputs'!$B$15))</x:f>
        <x:v>0</x:v>
      </x:c>
      <x:c r="O278" s="78" t="n">
        <x:f>H278-N278</x:f>
        <x:v>116487928338.81844</x:v>
      </x:c>
      <x:c r="P278" s="78" t="n">
        <x:f>I278+L278*(1-'Inputs'!$B$17)</x:f>
        <x:v>0.10171489810525966</x:v>
      </x:c>
      <x:c r="Q278" s="78" t="n">
        <x:f>IF(J278&gt;0,M278/J278,0)</x:f>
        <x:v>0</x:v>
      </x:c>
      <x:c r="R278" s="78" t="n">
        <x:f>IF(B278='Inputs'!$H$44,'Inputs'!$B$27*'Inputs'!$I$44,0)</x:f>
        <x:v>0</x:v>
      </x:c>
      <x:c r="S278" s="78" t="n">
        <x:f>Q278+G278+R278</x:f>
        <x:v>809867.001313569</x:v>
      </x:c>
      <x:c r="T278" s="78" t="n">
        <x:f>P278*(S278*(1-'Inputs'!$B$15))/(O278+S278*(1-'Inputs'!$B$15))</x:f>
        <x:v>7.00083038481353e-7</x:v>
      </x:c>
      <x:c r="U278" s="78" t="n">
        <x:f>O278+S278*(1-'Inputs'!$B$17)</x:f>
        <x:v>116488734946.7976</x:v>
      </x:c>
      <x:c r="V278" s="78" t="n">
        <x:f>P278-T278</x:f>
        <x:v>0.10171419802222118</x:v>
      </x:c>
      <x:c r="W278" s="79" t="n">
        <x:f>IF(U278&gt;0,V278/U278,0)</x:f>
        <x:v>8.731676764167435e-13</x:v>
      </x:c>
      <x:c r="X278" s="80" t="n">
        <x:f>W278*('Inputs'!$B$6-AC278)</x:f>
        <x:v>-0.00035816082770810784</x:v>
      </x:c>
      <x:c r="Y278" s="80" t="n">
        <x:f>2*V278</x:f>
        <x:v>0.20342839604444235</x:v>
      </x:c>
      <x:c r="Z278" s="80" t="n">
        <x:f>K278*'Inputs'!$B$16+(G278+R278)*J278*'Inputs'!$B$16</x:f>
        <x:v>0.00024411999840933256</x:v>
      </x:c>
      <x:c r="AA278" s="80" t="n">
        <x:f>K278*(1+'Inputs'!$E$44)/2*'Inputs'!$B$17</x:f>
        <x:v>0.0000654904776532859</x:v>
      </x:c>
      <x:c r="AB278" s="78" t="n">
        <x:f>(IF(J278&gt;0,K278*(1-'Inputs'!$E$44)/2/J278,0)+G278+R278)*'Inputs'!$B$17</x:f>
        <x:v>3259.022138082773</x:v>
      </x:c>
      <x:c r="AC278" s="78" t="n">
        <x:f>AC277+AB278</x:f>
        <x:v>1410185623.4279172</x:v>
      </x:c>
      <x:c r="AD278" s="80" t="n">
        <x:f>Z278/(1+'Inputs'!$C$44)</x:f>
        <x:v>0.00019529599872746605</x:v>
      </x:c>
      <x:c r="AE278" s="80" t="n">
        <x:f>Z278-AD278</x:f>
        <x:v>0.000048823999681866506</x:v>
      </x:c>
      <x:c r="AF278" s="80" t="n">
        <x:f>D278*W278</x:f>
        <x:v>2.330400390318889e-7</x:v>
      </x:c>
      <x:c r="AG278" s="80" t="n">
        <x:f>C278*W278</x:f>
        <x:v>5.437600910743814e-7</x:v>
      </x:c>
      <x:c r="AH278" s="80" t="n">
        <x:f>2*'Inputs'!$B$8*'Inputs'!$C$44</x:f>
        <x:v>1250</x:v>
      </x:c>
      <x:c r="AI278" s="81" t="n">
        <x:f>IF(AH278&gt;0,(AE278+AF278)/AH278*365,0)</x:f>
        <x:v>0.00001432465559850233</x:v>
      </x:c>
      <x:c r="AJ278" s="81" t="n">
        <x:f>IF('Inputs'!$B$44&gt;0,AG278/('Inputs'!$B$19*'Inputs'!$B$44)*365,0)</x:f>
        <x:v>1.984724332421492e-8</x:v>
      </x:c>
      <x:c r="AK278" s="81" t="n">
        <x:f>W278/MAX($W$4:W278)-1</x:f>
        <x:v>-0.9999999987168138</x:v>
      </x:c>
      <x:c r="AL278" s="83" t="n">
        <x:f>'Inputs'!$B$44</x:f>
        <x:v>1</x:v>
      </x:c>
      <x:c r="AM278" s="83" t="n">
        <x:f>'Inputs'!$C$44</x:f>
        <x:v>0.25</x:v>
      </x:c>
      <x:c r="AN278" s="83" t="n">
        <x:f>'Inputs'!$D$44</x:f>
        <x:v>0.2</x:v>
      </x:c>
      <x:c r="AO278" s="81" t="n">
        <x:f>'Inputs'!$E$44</x:f>
        <x:v>-0.2</x:v>
      </x:c>
    </x:row>
    <x:row r="279">
      <x:c r="A279" s="59" t="str">
        <x:v>No demand</x:v>
      </x:c>
      <x:c r="B279" s="59" t="n">
        <x:v>276</x:v>
      </x:c>
      <x:c r="C279" s="78" t="n">
        <x:f>(('Inputs'!$B$29*(3*276*'Inputs'!$B$12-276^2)/(2*'Inputs'!$B$12^2))-('Inputs'!$B$29*(3*275*'Inputs'!$B$12-275^2)/(2*'Inputs'!$B$12^2)))*'Inputs'!$B$44</x:f>
        <x:v>622419.0748733282</x:v>
      </x:c>
      <x:c r="D279" s="78" t="n">
        <x:f>IF('Inputs'!$C$44&gt;0,('Inputs'!$B$30*(3*276*'Inputs'!$B$12-276^2)/(2*'Inputs'!$B$12^2))-('Inputs'!$B$30*(3*275*'Inputs'!$B$12-275^2)/(2*'Inputs'!$B$12^2)),0)</x:f>
        <x:v>266751.03208856285</x:v>
      </x:c>
      <x:c r="E279" s="78" t="n">
        <x:f>C279+D279</x:f>
        <x:v>889170.106961891</x:v>
      </x:c>
      <x:c r="F279" s="78" t="n">
        <x:f>'Inputs'!$B$13*E279+(1-'Inputs'!$B$13)/'Inputs'!$B$14*SUM(E224:E279)</x:f>
        <x:v>899387.7838243543</x:v>
      </x:c>
      <x:c r="G279" s="78" t="n">
        <x:f>F279*'Inputs'!$F$44</x:f>
        <x:v>809449.0054419189</x:v>
      </x:c>
      <x:c r="H279" s="78" t="n">
        <x:f>U278</x:f>
        <x:v>116488734946.7976</x:v>
      </x:c>
      <x:c r="I279" s="78" t="n">
        <x:f>V278</x:f>
        <x:v>0.10171419802222118</x:v>
      </x:c>
      <x:c r="J279" s="79" t="n">
        <x:f>IF(H279&gt;0,I279/H279,0)</x:f>
        <x:v>8.731676764167435e-13</x:v>
      </x:c>
      <x:c r="K279" s="80" t="n">
        <x:f>(H279*J279+I279)*'Inputs'!$D$44*(1+'Inputs'!$G$44)^(B279/30)</x:f>
        <x:v>0.04068567920888847</x:v>
      </x:c>
      <x:c r="L279" s="80" t="n">
        <x:f>MAX(0,K279*'Inputs'!$E$44)</x:f>
        <x:v>0</x:v>
      </x:c>
      <x:c r="M279" s="80" t="n">
        <x:f>MAX(0,-K279*'Inputs'!$E$44)</x:f>
        <x:v>0.008137135841777695</x:v>
      </x:c>
      <x:c r="N279" s="78" t="n">
        <x:f>H279*(L279*(1-'Inputs'!$B$15))/(I279+L279*(1-'Inputs'!$B$15))</x:f>
        <x:v>0</x:v>
      </x:c>
      <x:c r="O279" s="78" t="n">
        <x:f>H279-N279</x:f>
        <x:v>116488734946.7976</x:v>
      </x:c>
      <x:c r="P279" s="78" t="n">
        <x:f>I279+L279*(1-'Inputs'!$B$17)</x:f>
        <x:v>0.10171419802222118</x:v>
      </x:c>
      <x:c r="Q279" s="78" t="n">
        <x:f>IF(J279&gt;0,M279/J279,0)</x:f>
        <x:v>0</x:v>
      </x:c>
      <x:c r="R279" s="78" t="n">
        <x:f>IF(B279='Inputs'!$H$44,'Inputs'!$B$27*'Inputs'!$I$44,0)</x:f>
        <x:v>0</x:v>
      </x:c>
      <x:c r="S279" s="78" t="n">
        <x:f>Q279+G279+R279</x:f>
        <x:v>809449.0054419189</x:v>
      </x:c>
      <x:c r="T279" s="78" t="n">
        <x:f>P279*(S279*(1-'Inputs'!$B$15))/(O279+S279*(1-'Inputs'!$B$15))</x:f>
        <x:v>6.997120466965625e-7</x:v>
      </x:c>
      <x:c r="U279" s="78" t="n">
        <x:f>O279+S279*(1-'Inputs'!$B$17)</x:f>
        <x:v>116489541138.46298</x:v>
      </x:c>
      <x:c r="V279" s="78" t="n">
        <x:f>P279-T279</x:f>
        <x:v>0.10171349831017448</x:v>
      </x:c>
      <x:c r="W279" s="79" t="n">
        <x:f>IF(U279&gt;0,V279/U279,0)</x:f>
        <x:v>8.731556268152413e-13</x:v>
      </x:c>
      <x:c r="X279" s="80" t="n">
        <x:f>W279*('Inputs'!$B$6-AC279)</x:f>
        <x:v>-0.0003581587292996073</x:v>
      </x:c>
      <x:c r="Y279" s="80" t="n">
        <x:f>2*V279</x:f>
        <x:v>0.20342699662034897</x:v>
      </x:c>
      <x:c r="Z279" s="80" t="n">
        <x:f>K279*'Inputs'!$B$16+(G279+R279)*J279*'Inputs'!$B$16</x:f>
        <x:v>0.00024411831596157438</x:v>
      </x:c>
      <x:c r="AA279" s="80" t="n">
        <x:f>K279*(1+'Inputs'!$E$44)/2*'Inputs'!$B$17</x:f>
        <x:v>0.00006549002689559514</x:v>
      </x:c>
      <x:c r="AB279" s="78" t="n">
        <x:f>(IF(J279&gt;0,K279*(1-'Inputs'!$E$44)/2/J279,0)+G279+R279)*'Inputs'!$B$17</x:f>
        <x:v>3257.340062140519</x:v>
      </x:c>
      <x:c r="AC279" s="78" t="n">
        <x:f>AC278+AB279</x:f>
        <x:v>1410188880.7679794</x:v>
      </x:c>
      <x:c r="AD279" s="80" t="n">
        <x:f>Z279/(1+'Inputs'!$C$44)</x:f>
        <x:v>0.0001952946527692595</x:v>
      </x:c>
      <x:c r="AE279" s="80" t="n">
        <x:f>Z279-AD279</x:f>
        <x:v>0.00004882366319231487</x:v>
      </x:c>
      <x:c r="AF279" s="80" t="n">
        <x:f>D279*W279</x:f>
        <x:v>2.3291516462690164e-7</x:v>
      </x:c>
      <x:c r="AG279" s="80" t="n">
        <x:f>C279*W279</x:f>
        <x:v>5.434687174627835e-7</x:v>
      </x:c>
      <x:c r="AH279" s="80" t="n">
        <x:f>2*'Inputs'!$B$8*'Inputs'!$C$44</x:f>
        <x:v>1250</x:v>
      </x:c>
      <x:c r="AI279" s="81" t="n">
        <x:f>IF(AH279&gt;0,(AE279+AF279)/AH279*365,0)</x:f>
        <x:v>0.000014324520880226997</x:v>
      </x:c>
      <x:c r="AJ279" s="81" t="n">
        <x:f>IF('Inputs'!$B$44&gt;0,AG279/('Inputs'!$B$19*'Inputs'!$B$44)*365,0)</x:f>
        <x:v>1.98366081873916e-8</x:v>
      </x:c>
      <x:c r="AK279" s="81" t="n">
        <x:f>W279/MAX($W$4:W279)-1</x:f>
        <x:v>-0.9999999987168314</x:v>
      </x:c>
      <x:c r="AL279" s="83" t="n">
        <x:f>'Inputs'!$B$44</x:f>
        <x:v>1</x:v>
      </x:c>
      <x:c r="AM279" s="83" t="n">
        <x:f>'Inputs'!$C$44</x:f>
        <x:v>0.25</x:v>
      </x:c>
      <x:c r="AN279" s="83" t="n">
        <x:f>'Inputs'!$D$44</x:f>
        <x:v>0.2</x:v>
      </x:c>
      <x:c r="AO279" s="81" t="n">
        <x:f>'Inputs'!$E$44</x:f>
        <x:v>-0.2</x:v>
      </x:c>
    </x:row>
    <x:row r="280">
      <x:c r="A280" s="59" t="str">
        <x:v>No demand</x:v>
      </x:c>
      <x:c r="B280" s="59" t="n">
        <x:v>277</x:v>
      </x:c>
      <x:c r="C280" s="78" t="n">
        <x:f>(('Inputs'!$B$29*(3*277*'Inputs'!$B$12-277^2)/(2*'Inputs'!$B$12^2))-('Inputs'!$B$29*(3*276*'Inputs'!$B$12-276^2)/(2*'Inputs'!$B$12^2)))*'Inputs'!$B$44</x:f>
        <x:v>622093.9669731855</x:v>
      </x:c>
      <x:c r="D280" s="78" t="n">
        <x:f>IF('Inputs'!$C$44&gt;0,('Inputs'!$B$30*(3*277*'Inputs'!$B$12-277^2)/(2*'Inputs'!$B$12^2))-('Inputs'!$B$30*(3*276*'Inputs'!$B$12-276^2)/(2*'Inputs'!$B$12^2)),0)</x:f>
        <x:v>266611.7001313567</x:v>
      </x:c>
      <x:c r="E280" s="78" t="n">
        <x:f>C280+D280</x:f>
        <x:v>888705.6671045423</x:v>
      </x:c>
      <x:c r="F280" s="78" t="n">
        <x:f>'Inputs'!$B$13*E280+(1-'Inputs'!$B$13)/'Inputs'!$B$14*SUM(E225:E280)</x:f>
        <x:v>898923.3439669774</x:v>
      </x:c>
      <x:c r="G280" s="78" t="n">
        <x:f>F280*'Inputs'!$F$44</x:f>
        <x:v>809031.0095702797</x:v>
      </x:c>
      <x:c r="H280" s="78" t="n">
        <x:f>U279</x:f>
        <x:v>116489541138.46298</x:v>
      </x:c>
      <x:c r="I280" s="78" t="n">
        <x:f>V279</x:f>
        <x:v>0.10171349831017448</x:v>
      </x:c>
      <x:c r="J280" s="79" t="n">
        <x:f>IF(H280&gt;0,I280/H280,0)</x:f>
        <x:v>8.731556268152413e-13</x:v>
      </x:c>
      <x:c r="K280" s="80" t="n">
        <x:f>(H280*J280+I280)*'Inputs'!$D$44*(1+'Inputs'!$G$44)^(B280/30)</x:f>
        <x:v>0.040685399324069796</x:v>
      </x:c>
      <x:c r="L280" s="80" t="n">
        <x:f>MAX(0,K280*'Inputs'!$E$44)</x:f>
        <x:v>0</x:v>
      </x:c>
      <x:c r="M280" s="80" t="n">
        <x:f>MAX(0,-K280*'Inputs'!$E$44)</x:f>
        <x:v>0.00813707986481396</x:v>
      </x:c>
      <x:c r="N280" s="78" t="n">
        <x:f>H280*(L280*(1-'Inputs'!$B$15))/(I280+L280*(1-'Inputs'!$B$15))</x:f>
        <x:v>0</x:v>
      </x:c>
      <x:c r="O280" s="78" t="n">
        <x:f>H280-N280</x:f>
        <x:v>116489541138.46298</x:v>
      </x:c>
      <x:c r="P280" s="78" t="n">
        <x:f>I280+L280*(1-'Inputs'!$B$17)</x:f>
        <x:v>0.10171349831017448</x:v>
      </x:c>
      <x:c r="Q280" s="78" t="n">
        <x:f>IF(J280&gt;0,M280/J280,0)</x:f>
        <x:v>0</x:v>
      </x:c>
      <x:c r="R280" s="78" t="n">
        <x:f>IF(B280='Inputs'!$H$44,'Inputs'!$B$27*'Inputs'!$I$44,0)</x:f>
        <x:v>0</x:v>
      </x:c>
      <x:c r="S280" s="78" t="n">
        <x:f>Q280+G280+R280</x:f>
        <x:v>809031.0095702797</x:v>
      </x:c>
      <x:c r="T280" s="78" t="n">
        <x:f>P280*(S280*(1-'Inputs'!$B$15))/(O280+S280*(1-'Inputs'!$B$15))</x:f>
        <x:v>6.9934107007082e-7</x:v>
      </x:c>
      <x:c r="U280" s="78" t="n">
        <x:f>O280+S280*(1-'Inputs'!$B$17)</x:f>
        <x:v>116490346913.81456</x:v>
      </x:c>
      <x:c r="V280" s="78" t="n">
        <x:f>P280-T280</x:f>
        <x:v>0.10171279896910441</x:v>
      </x:c>
      <x:c r="W280" s="79" t="n">
        <x:f>IF(U280&gt;0,V280/U280,0)</x:f>
        <x:v>8.731435836855794e-13</x:v>
      </x:c>
      <x:c r="X280" s="80" t="n">
        <x:f>W280*('Inputs'!$B$6-AC280)</x:f>
        <x:v>-0.00035815663199861164</x:v>
      </x:c>
      <x:c r="Y280" s="80" t="n">
        <x:f>2*V280</x:f>
        <x:v>0.20342559793820883</x:v>
      </x:c>
      <x:c r="Z280" s="80" t="n">
        <x:f>K280*'Inputs'!$B$16+(G280+R280)*J280*'Inputs'!$B$16</x:f>
        <x:v>0.0002441166344042884</x:v>
      </x:c>
      <x:c r="AA280" s="80" t="n">
        <x:f>K280*(1+'Inputs'!$E$44)/2*'Inputs'!$B$17</x:f>
        <x:v>0.00006548957637677231</x:v>
      </x:c>
      <x:c r="AB280" s="78" t="n">
        <x:f>(IF(J280&gt;0,K280*(1-'Inputs'!$E$44)/2/J280,0)+G280+R280)*'Inputs'!$B$17</x:f>
        <x:v>3255.657986198309</x:v>
      </x:c>
      <x:c r="AC280" s="78" t="n">
        <x:f>AC279+AB280</x:f>
        <x:v>1410192136.4259655</x:v>
      </x:c>
      <x:c r="AD280" s="80" t="n">
        <x:f>Z280/(1+'Inputs'!$C$44)</x:f>
        <x:v>0.00019529330752343074</x:v>
      </x:c>
      <x:c r="AE280" s="80" t="n">
        <x:f>Z280-AD280</x:f>
        <x:v>0.00004882332688085767</x:v>
      </x:c>
      <x:c r="AF280" s="80" t="n">
        <x:f>D280*W280</x:f>
        <x:v>2.3279029530519785e-7</x:v>
      </x:c>
      <x:c r="AG280" s="80" t="n">
        <x:f>C280*W280</x:f>
        <x:v>5.431773557121457e-7</x:v>
      </x:c>
      <x:c r="AH280" s="80" t="n">
        <x:f>2*'Inputs'!$B$8*'Inputs'!$C$44</x:f>
        <x:v>1250</x:v>
      </x:c>
      <x:c r="AI280" s="81" t="n">
        <x:f>IF(AH280&gt;0,(AE280+AF280)/AH280*365,0)</x:f>
        <x:v>0.000014324386215439557</x:v>
      </x:c>
      <x:c r="AJ280" s="81" t="n">
        <x:f>IF('Inputs'!$B$44&gt;0,AG280/('Inputs'!$B$19*'Inputs'!$B$44)*365,0)</x:f>
        <x:v>1.9825973483493315e-8</x:v>
      </x:c>
      <x:c r="AK280" s="81" t="n">
        <x:f>W280/MAX($W$4:W280)-1</x:f>
        <x:v>-0.9999999987168492</x:v>
      </x:c>
      <x:c r="AL280" s="83" t="n">
        <x:f>'Inputs'!$B$44</x:f>
        <x:v>1</x:v>
      </x:c>
      <x:c r="AM280" s="83" t="n">
        <x:f>'Inputs'!$C$44</x:f>
        <x:v>0.25</x:v>
      </x:c>
      <x:c r="AN280" s="83" t="n">
        <x:f>'Inputs'!$D$44</x:f>
        <x:v>0.2</x:v>
      </x:c>
      <x:c r="AO280" s="81" t="n">
        <x:f>'Inputs'!$E$44</x:f>
        <x:v>-0.2</x:v>
      </x:c>
    </x:row>
    <x:row r="281">
      <x:c r="A281" s="59" t="str">
        <x:v>No demand</x:v>
      </x:c>
      <x:c r="B281" s="59" t="n">
        <x:v>278</x:v>
      </x:c>
      <x:c r="C281" s="78" t="n">
        <x:f>(('Inputs'!$B$29*(3*278*'Inputs'!$B$12-278^2)/(2*'Inputs'!$B$12^2))-('Inputs'!$B$29*(3*277*'Inputs'!$B$12-277^2)/(2*'Inputs'!$B$12^2)))*'Inputs'!$B$44</x:f>
        <x:v>621768.8590729833</x:v>
      </x:c>
      <x:c r="D281" s="78" t="n">
        <x:f>IF('Inputs'!$C$44&gt;0,('Inputs'!$B$30*(3*278*'Inputs'!$B$12-278^2)/(2*'Inputs'!$B$12^2))-('Inputs'!$B$30*(3*277*'Inputs'!$B$12-277^2)/(2*'Inputs'!$B$12^2)),0)</x:f>
        <x:v>266472.3681741506</x:v>
      </x:c>
      <x:c r="E281" s="78" t="n">
        <x:f>C281+D281</x:f>
        <x:v>888241.2272471339</x:v>
      </x:c>
      <x:c r="F281" s="78" t="n">
        <x:f>'Inputs'!$B$13*E281+(1-'Inputs'!$B$13)/'Inputs'!$B$14*SUM(E226:E281)</x:f>
        <x:v>898458.9041095882</x:v>
      </x:c>
      <x:c r="G281" s="78" t="n">
        <x:f>F281*'Inputs'!$F$44</x:f>
        <x:v>808613.0136986295</x:v>
      </x:c>
      <x:c r="H281" s="78" t="n">
        <x:f>U280</x:f>
        <x:v>116490346913.81456</x:v>
      </x:c>
      <x:c r="I281" s="78" t="n">
        <x:f>V280</x:f>
        <x:v>0.10171279896910441</x:v>
      </x:c>
      <x:c r="J281" s="79" t="n">
        <x:f>IF(H281&gt;0,I281/H281,0)</x:f>
        <x:v>8.731435836855794e-13</x:v>
      </x:c>
      <x:c r="K281" s="80" t="n">
        <x:f>(H281*J281+I281)*'Inputs'!$D$44*(1+'Inputs'!$G$44)^(B281/30)</x:f>
        <x:v>0.04068511958764177</x:v>
      </x:c>
      <x:c r="L281" s="80" t="n">
        <x:f>MAX(0,K281*'Inputs'!$E$44)</x:f>
        <x:v>0</x:v>
      </x:c>
      <x:c r="M281" s="80" t="n">
        <x:f>MAX(0,-K281*'Inputs'!$E$44)</x:f>
        <x:v>0.008137023917528354</x:v>
      </x:c>
      <x:c r="N281" s="78" t="n">
        <x:f>H281*(L281*(1-'Inputs'!$B$15))/(I281+L281*(1-'Inputs'!$B$15))</x:f>
        <x:v>0</x:v>
      </x:c>
      <x:c r="O281" s="78" t="n">
        <x:f>H281-N281</x:f>
        <x:v>116490346913.81456</x:v>
      </x:c>
      <x:c r="P281" s="78" t="n">
        <x:f>I281+L281*(1-'Inputs'!$B$17)</x:f>
        <x:v>0.10171279896910441</x:v>
      </x:c>
      <x:c r="Q281" s="78" t="n">
        <x:f>IF(J281&gt;0,M281/J281,0)</x:f>
        <x:v>0</x:v>
      </x:c>
      <x:c r="R281" s="78" t="n">
        <x:f>IF(B281='Inputs'!$H$44,'Inputs'!$B$27*'Inputs'!$I$44,0)</x:f>
        <x:v>0</x:v>
      </x:c>
      <x:c r="S281" s="78" t="n">
        <x:f>Q281+G281+R281</x:f>
        <x:v>808613.0136986295</x:v>
      </x:c>
      <x:c r="T281" s="78" t="n">
        <x:f>P281*(S281*(1-'Inputs'!$B$15))/(O281+S281*(1-'Inputs'!$B$15))</x:f>
        <x:v>6.989701085957567e-7</x:v>
      </x:c>
      <x:c r="U281" s="78" t="n">
        <x:f>O281+S281*(1-'Inputs'!$B$17)</x:f>
        <x:v>116491152272.85234</x:v>
      </x:c>
      <x:c r="V281" s="78" t="n">
        <x:f>P281-T281</x:f>
        <x:v>0.10171209999899582</x:v>
      </x:c>
      <x:c r="W281" s="79" t="n">
        <x:f>IF(U281&gt;0,V281/U281,0)</x:f>
        <x:v>8.731315470273642e-13</x:v>
      </x:c>
      <x:c r="X281" s="80" t="n">
        <x:f>W281*('Inputs'!$B$6-AC281)</x:f>
        <x:v>-0.00035815453580508337</x:v>
      </x:c>
      <x:c r="Y281" s="80" t="n">
        <x:f>2*V281</x:f>
        <x:v>0.20342419999799163</x:v>
      </x:c>
      <x:c r="Z281" s="80" t="n">
        <x:f>K281*'Inputs'!$B$16+(G281+R281)*J281*'Inputs'!$B$16</x:f>
        <x:v>0.00024411495373743817</x:v>
      </x:c>
      <x:c r="AA281" s="80" t="n">
        <x:f>K281*(1+'Inputs'!$E$44)/2*'Inputs'!$B$17</x:f>
        <x:v>0.00006548912609680769</x:v>
      </x:c>
      <x:c r="AB281" s="78" t="n">
        <x:f>(IF(J281&gt;0,K281*(1-'Inputs'!$E$44)/2/J281,0)+G281+R281)*'Inputs'!$B$17</x:f>
        <x:v>3253.9759102560542</x:v>
      </x:c>
      <x:c r="AC281" s="78" t="n">
        <x:f>AC280+AB281</x:f>
        <x:v>1410195390.4018757</x:v>
      </x:c>
      <x:c r="AD281" s="80" t="n">
        <x:f>Z281/(1+'Inputs'!$C$44)</x:f>
        <x:v>0.00019529196298995053</x:v>
      </x:c>
      <x:c r="AE281" s="80" t="n">
        <x:f>Z281-AD281</x:f>
        <x:v>0.000048822990747487646</x:v>
      </x:c>
      <x:c r="AF281" s="80" t="n">
        <x:f>D281*W281</x:f>
        <x:v>2.3266543106394149e-7</x:v>
      </x:c>
      <x:c r="AG281" s="80" t="n">
        <x:f>C281*W281</x:f>
        <x:v>5.428860058158331e-7</x:v>
      </x:c>
      <x:c r="AH281" s="80" t="n">
        <x:f>2*'Inputs'!$B$8*'Inputs'!$C$44</x:f>
        <x:v>1250</x:v>
      </x:c>
      <x:c r="AI281" s="81" t="n">
        <x:f>IF(AH281&gt;0,(AE281+AF281)/AH281*365,0)</x:f>
        <x:v>0.000014324251604137065</x:v>
      </x:c>
      <x:c r="AJ281" s="81" t="n">
        <x:f>IF('Inputs'!$B$44&gt;0,AG281/('Inputs'!$B$19*'Inputs'!$B$44)*365,0)</x:f>
        <x:v>1.981533921227791e-8</x:v>
      </x:c>
      <x:c r="AK281" s="81" t="n">
        <x:f>W281/MAX($W$4:W281)-1</x:f>
        <x:v>-0.9999999987168668</x:v>
      </x:c>
      <x:c r="AL281" s="83" t="n">
        <x:f>'Inputs'!$B$44</x:f>
        <x:v>1</x:v>
      </x:c>
      <x:c r="AM281" s="83" t="n">
        <x:f>'Inputs'!$C$44</x:f>
        <x:v>0.25</x:v>
      </x:c>
      <x:c r="AN281" s="83" t="n">
        <x:f>'Inputs'!$D$44</x:f>
        <x:v>0.2</x:v>
      </x:c>
      <x:c r="AO281" s="81" t="n">
        <x:f>'Inputs'!$E$44</x:f>
        <x:v>-0.2</x:v>
      </x:c>
    </x:row>
    <x:row r="282">
      <x:c r="A282" s="59" t="str">
        <x:v>No demand</x:v>
      </x:c>
      <x:c r="B282" s="59" t="n">
        <x:v>279</x:v>
      </x:c>
      <x:c r="C282" s="78" t="n">
        <x:f>(('Inputs'!$B$29*(3*279*'Inputs'!$B$12-279^2)/(2*'Inputs'!$B$12^2))-('Inputs'!$B$29*(3*278*'Inputs'!$B$12-278^2)/(2*'Inputs'!$B$12^2)))*'Inputs'!$B$44</x:f>
        <x:v>621443.7511728406</x:v>
      </x:c>
      <x:c r="D282" s="78" t="n">
        <x:f>IF('Inputs'!$C$44&gt;0,('Inputs'!$B$30*(3*279*'Inputs'!$B$12-279^2)/(2*'Inputs'!$B$12^2))-('Inputs'!$B$30*(3*278*'Inputs'!$B$12-278^2)/(2*'Inputs'!$B$12^2)),0)</x:f>
        <x:v>266333.03621691465</x:v>
      </x:c>
      <x:c r="E282" s="78" t="n">
        <x:f>C282+D282</x:f>
        <x:v>887776.7873897552</x:v>
      </x:c>
      <x:c r="F282" s="78" t="n">
        <x:f>'Inputs'!$B$13*E282+(1-'Inputs'!$B$13)/'Inputs'!$B$14*SUM(E227:E282)</x:f>
        <x:v>897994.4642522052</x:v>
      </x:c>
      <x:c r="G282" s="78" t="n">
        <x:f>F282*'Inputs'!$F$44</x:f>
        <x:v>808195.0178269848</x:v>
      </x:c>
      <x:c r="H282" s="78" t="n">
        <x:f>U281</x:f>
        <x:v>116491152272.85234</x:v>
      </x:c>
      <x:c r="I282" s="78" t="n">
        <x:f>V281</x:f>
        <x:v>0.10171209999899582</x:v>
      </x:c>
      <x:c r="J282" s="79" t="n">
        <x:f>IF(H282&gt;0,I282/H282,0)</x:f>
        <x:v>8.731315470273642e-13</x:v>
      </x:c>
      <x:c r="K282" s="80" t="n">
        <x:f>(H282*J282+I282)*'Inputs'!$D$44*(1+'Inputs'!$G$44)^(B282/30)</x:f>
        <x:v>0.04068483999959833</x:v>
      </x:c>
      <x:c r="L282" s="80" t="n">
        <x:f>MAX(0,K282*'Inputs'!$E$44)</x:f>
        <x:v>0</x:v>
      </x:c>
      <x:c r="M282" s="80" t="n">
        <x:f>MAX(0,-K282*'Inputs'!$E$44)</x:f>
        <x:v>0.008136967999919666</x:v>
      </x:c>
      <x:c r="N282" s="78" t="n">
        <x:f>H282*(L282*(1-'Inputs'!$B$15))/(I282+L282*(1-'Inputs'!$B$15))</x:f>
        <x:v>0</x:v>
      </x:c>
      <x:c r="O282" s="78" t="n">
        <x:f>H282-N282</x:f>
        <x:v>116491152272.85234</x:v>
      </x:c>
      <x:c r="P282" s="78" t="n">
        <x:f>I282+L282*(1-'Inputs'!$B$17)</x:f>
        <x:v>0.10171209999899582</x:v>
      </x:c>
      <x:c r="Q282" s="78" t="n">
        <x:f>IF(J282&gt;0,M282/J282,0)</x:f>
        <x:v>0</x:v>
      </x:c>
      <x:c r="R282" s="78" t="n">
        <x:f>IF(B282='Inputs'!$H$44,'Inputs'!$B$27*'Inputs'!$I$44,0)</x:f>
        <x:v>0</x:v>
      </x:c>
      <x:c r="S282" s="78" t="n">
        <x:f>Q282+G282+R282</x:f>
        <x:v>808195.0178269848</x:v>
      </x:c>
      <x:c r="T282" s="78" t="n">
        <x:f>P282*(S282*(1-'Inputs'!$B$15))/(O282+S282*(1-'Inputs'!$B$15))</x:f>
        <x:v>6.985991622630378e-7</x:v>
      </x:c>
      <x:c r="U282" s="78" t="n">
        <x:f>O282+S282*(1-'Inputs'!$B$17)</x:f>
        <x:v>116491957215.57634</x:v>
      </x:c>
      <x:c r="V282" s="78" t="n">
        <x:f>P282-T282</x:f>
        <x:v>0.10171140139983355</x:v>
      </x:c>
      <x:c r="W282" s="79" t="n">
        <x:f>IF(U282&gt;0,V282/U282,0)</x:f>
        <x:v>8.731195168402025e-13</x:v>
      </x:c>
      <x:c r="X282" s="80" t="n">
        <x:f>W282*('Inputs'!$B$6-AC282)</x:f>
        <x:v>-0.0003581524407189851</x:v>
      </x:c>
      <x:c r="Y282" s="80" t="n">
        <x:f>2*V282</x:f>
        <x:v>0.2034228027996671</x:v>
      </x:c>
      <x:c r="Z282" s="80" t="n">
        <x:f>K282*'Inputs'!$B$16+(G282+R282)*J282*'Inputs'!$B$16</x:f>
        <x:v>0.00024411327396098726</x:v>
      </x:c>
      <x:c r="AA282" s="80" t="n">
        <x:f>K282*(1+'Inputs'!$E$44)/2*'Inputs'!$B$17</x:f>
        <x:v>0.00006548867605569148</x:v>
      </x:c>
      <x:c r="AB282" s="78" t="n">
        <x:f>(IF(J282&gt;0,K282*(1-'Inputs'!$E$44)/2/J282,0)+G282+R282)*'Inputs'!$B$17</x:f>
        <x:v>3252.293834313822</x:v>
      </x:c>
      <x:c r="AC282" s="78" t="n">
        <x:f>AC281+AB282</x:f>
        <x:v>1410198642.69571</x:v>
      </x:c>
      <x:c r="AD282" s="80" t="n">
        <x:f>Z282/(1+'Inputs'!$C$44)</x:f>
        <x:v>0.00019529061916878982</x:v>
      </x:c>
      <x:c r="AE282" s="80" t="n">
        <x:f>Z282-AD282</x:f>
        <x:v>0.00004882265479219745</x:v>
      </x:c>
      <x:c r="AF282" s="80" t="n">
        <x:f>D282*W282</x:f>
        <x:v>2.3254057190029668e-7</x:v>
      </x:c>
      <x:c r="AG282" s="80" t="n">
        <x:f>C282*W282</x:f>
        <x:v>5.425946677673936e-7</x:v>
      </x:c>
      <x:c r="AH282" s="80" t="n">
        <x:f>2*'Inputs'!$B$8*'Inputs'!$C$44</x:f>
        <x:v>1250</x:v>
      </x:c>
      <x:c r="AI282" s="81" t="n">
        <x:f>IF(AH282&gt;0,(AE282+AF282)/AH282*365,0)</x:f>
        <x:v>0.000014324117046316543</x:v>
      </x:c>
      <x:c r="AJ282" s="81" t="n">
        <x:f>IF('Inputs'!$B$44&gt;0,AG282/('Inputs'!$B$19*'Inputs'!$B$44)*365,0)</x:f>
        <x:v>1.9804705373509865e-8</x:v>
      </x:c>
      <x:c r="AK282" s="81" t="n">
        <x:f>W282/MAX($W$4:W282)-1</x:f>
        <x:v>-0.9999999987168845</x:v>
      </x:c>
      <x:c r="AL282" s="83" t="n">
        <x:f>'Inputs'!$B$44</x:f>
        <x:v>1</x:v>
      </x:c>
      <x:c r="AM282" s="83" t="n">
        <x:f>'Inputs'!$C$44</x:f>
        <x:v>0.25</x:v>
      </x:c>
      <x:c r="AN282" s="83" t="n">
        <x:f>'Inputs'!$D$44</x:f>
        <x:v>0.2</x:v>
      </x:c>
      <x:c r="AO282" s="81" t="n">
        <x:f>'Inputs'!$E$44</x:f>
        <x:v>-0.2</x:v>
      </x:c>
    </x:row>
    <x:row r="283">
      <x:c r="A283" s="59" t="str">
        <x:v>No demand</x:v>
      </x:c>
      <x:c r="B283" s="59" t="n">
        <x:v>280</x:v>
      </x:c>
      <x:c r="C283" s="78" t="n">
        <x:f>(('Inputs'!$B$29*(3*280*'Inputs'!$B$12-280^2)/(2*'Inputs'!$B$12^2))-('Inputs'!$B$29*(3*279*'Inputs'!$B$12-279^2)/(2*'Inputs'!$B$12^2)))*'Inputs'!$B$44</x:f>
        <x:v>621118.6432726383</x:v>
      </x:c>
      <x:c r="D283" s="78" t="n">
        <x:f>IF('Inputs'!$C$44&gt;0,('Inputs'!$B$30*(3*280*'Inputs'!$B$12-280^2)/(2*'Inputs'!$B$12^2))-('Inputs'!$B$30*(3*279*'Inputs'!$B$12-279^2)/(2*'Inputs'!$B$12^2)),0)</x:f>
        <x:v>266193.7042597234</x:v>
      </x:c>
      <x:c r="E283" s="78" t="n">
        <x:f>C283+D283</x:f>
        <x:v>887312.3475323617</x:v>
      </x:c>
      <x:c r="F283" s="78" t="n">
        <x:f>'Inputs'!$B$13*E283+(1-'Inputs'!$B$13)/'Inputs'!$B$14*SUM(E228:E283)</x:f>
        <x:v>897530.024394819</x:v>
      </x:c>
      <x:c r="G283" s="78" t="n">
        <x:f>F283*'Inputs'!$F$44</x:f>
        <x:v>807777.0219553371</x:v>
      </x:c>
      <x:c r="H283" s="78" t="n">
        <x:f>U282</x:f>
        <x:v>116491957215.57634</x:v>
      </x:c>
      <x:c r="I283" s="78" t="n">
        <x:f>V282</x:f>
        <x:v>0.10171140139983355</x:v>
      </x:c>
      <x:c r="J283" s="79" t="n">
        <x:f>IF(H283&gt;0,I283/H283,0)</x:f>
        <x:v>8.731195168402025e-13</x:v>
      </x:c>
      <x:c r="K283" s="80" t="n">
        <x:f>(H283*J283+I283)*'Inputs'!$D$44*(1+'Inputs'!$G$44)^(B283/30)</x:f>
        <x:v>0.04068456055993342</x:v>
      </x:c>
      <x:c r="L283" s="80" t="n">
        <x:f>MAX(0,K283*'Inputs'!$E$44)</x:f>
        <x:v>0</x:v>
      </x:c>
      <x:c r="M283" s="80" t="n">
        <x:f>MAX(0,-K283*'Inputs'!$E$44)</x:f>
        <x:v>0.008136912111986685</x:v>
      </x:c>
      <x:c r="N283" s="78" t="n">
        <x:f>H283*(L283*(1-'Inputs'!$B$15))/(I283+L283*(1-'Inputs'!$B$15))</x:f>
        <x:v>0</x:v>
      </x:c>
      <x:c r="O283" s="78" t="n">
        <x:f>H283-N283</x:f>
        <x:v>116491957215.57634</x:v>
      </x:c>
      <x:c r="P283" s="78" t="n">
        <x:f>I283+L283*(1-'Inputs'!$B$17)</x:f>
        <x:v>0.10171140139983355</x:v>
      </x:c>
      <x:c r="Q283" s="78" t="n">
        <x:f>IF(J283&gt;0,M283/J283,0)</x:f>
        <x:v>0</x:v>
      </x:c>
      <x:c r="R283" s="78" t="n">
        <x:f>IF(B283='Inputs'!$H$44,'Inputs'!$B$27*'Inputs'!$I$44,0)</x:f>
        <x:v>0</x:v>
      </x:c>
      <x:c r="S283" s="78" t="n">
        <x:f>Q283+G283+R283</x:f>
        <x:v>807777.0219553371</x:v>
      </x:c>
      <x:c r="T283" s="78" t="n">
        <x:f>P283*(S283*(1-'Inputs'!$B$15))/(O283+S283*(1-'Inputs'!$B$15))</x:f>
        <x:v>6.98228231064308e-7</x:v>
      </x:c>
      <x:c r="U283" s="78" t="n">
        <x:f>O283+S283*(1-'Inputs'!$B$17)</x:f>
        <x:v>116492761741.98654</x:v>
      </x:c>
      <x:c r="V283" s="78" t="n">
        <x:f>P283-T283</x:f>
        <x:v>0.10171070317160248</x:v>
      </x:c>
      <x:c r="W283" s="79" t="n">
        <x:f>IF(U283&gt;0,V283/U283,0)</x:f>
        <x:v>8.731074931237013e-13</x:v>
      </x:c>
      <x:c r="X283" s="80" t="n">
        <x:f>W283*('Inputs'!$B$6-AC283)</x:f>
        <x:v>-0.0003581503467402797</x:v>
      </x:c>
      <x:c r="Y283" s="80" t="n">
        <x:f>2*V283</x:f>
        <x:v>0.20342140634320496</x:v>
      </x:c>
      <x:c r="Z283" s="80" t="n">
        <x:f>K283*'Inputs'!$B$16+(G283+R283)*J283*'Inputs'!$B$16</x:f>
        <x:v>0.00024411159507489928</x:v>
      </x:c>
      <x:c r="AA283" s="80" t="n">
        <x:f>K283*(1+'Inputs'!$E$44)/2*'Inputs'!$B$17</x:f>
        <x:v>0.00006548822625341397</x:v>
      </x:c>
      <x:c r="AB283" s="78" t="n">
        <x:f>(IF(J283&gt;0,K283*(1-'Inputs'!$E$44)/2/J283,0)+G283+R283)*'Inputs'!$B$17</x:f>
        <x:v>3250.611758371578</x:v>
      </x:c>
      <x:c r="AC283" s="78" t="n">
        <x:f>AC282+AB283</x:f>
        <x:v>1410201893.3074684</x:v>
      </x:c>
      <x:c r="AD283" s="80" t="n">
        <x:f>Z283/(1+'Inputs'!$C$44)</x:f>
        <x:v>0.0001952892760599194</x:v>
      </x:c>
      <x:c r="AE283" s="80" t="n">
        <x:f>Z283-AD283</x:f>
        <x:v>0.000048822319014979866</x:v>
      </x:c>
      <x:c r="AF283" s="80" t="n">
        <x:f>D283*W283</x:f>
        <x:v>2.3241571781151904e-7</x:v>
      </x:c>
      <x:c r="AG283" s="80" t="n">
        <x:f>C283*W283</x:f>
        <x:v>5.423033415601677e-7</x:v>
      </x:c>
      <x:c r="AH283" s="80" t="n">
        <x:f>2*'Inputs'!$B$8*'Inputs'!$C$44</x:f>
        <x:v>1250</x:v>
      </x:c>
      <x:c r="AI283" s="81" t="n">
        <x:f>IF(AH283&gt;0,(AE283+AF283)/AH283*365,0)</x:f>
        <x:v>0.000014323982541975085</x:v>
      </x:c>
      <x:c r="AJ283" s="81" t="n">
        <x:f>IF('Inputs'!$B$44&gt;0,AG283/('Inputs'!$B$19*'Inputs'!$B$44)*365,0)</x:f>
        <x:v>1.979407196694612e-8</x:v>
      </x:c>
      <x:c r="AK283" s="81" t="n">
        <x:f>W283/MAX($W$4:W283)-1</x:f>
        <x:v>-0.9999999987169023</x:v>
      </x:c>
      <x:c r="AL283" s="83" t="n">
        <x:f>'Inputs'!$B$44</x:f>
        <x:v>1</x:v>
      </x:c>
      <x:c r="AM283" s="83" t="n">
        <x:f>'Inputs'!$C$44</x:f>
        <x:v>0.25</x:v>
      </x:c>
      <x:c r="AN283" s="83" t="n">
        <x:f>'Inputs'!$D$44</x:f>
        <x:v>0.2</x:v>
      </x:c>
      <x:c r="AO283" s="81" t="n">
        <x:f>'Inputs'!$E$44</x:f>
        <x:v>-0.2</x:v>
      </x:c>
    </x:row>
    <x:row r="284">
      <x:c r="A284" s="59" t="str">
        <x:v>No demand</x:v>
      </x:c>
      <x:c r="B284" s="59" t="n">
        <x:v>281</x:v>
      </x:c>
      <x:c r="C284" s="78" t="n">
        <x:f>(('Inputs'!$B$29*(3*281*'Inputs'!$B$12-281^2)/(2*'Inputs'!$B$12^2))-('Inputs'!$B$29*(3*280*'Inputs'!$B$12-280^2)/(2*'Inputs'!$B$12^2)))*'Inputs'!$B$44</x:f>
        <x:v>620793.5353724957</x:v>
      </x:c>
      <x:c r="D284" s="78" t="n">
        <x:f>IF('Inputs'!$C$44&gt;0,('Inputs'!$B$30*(3*281*'Inputs'!$B$12-281^2)/(2*'Inputs'!$B$12^2))-('Inputs'!$B$30*(3*280*'Inputs'!$B$12-280^2)/(2*'Inputs'!$B$12^2)),0)</x:f>
        <x:v>266054.3723024875</x:v>
      </x:c>
      <x:c r="E284" s="78" t="n">
        <x:f>C284+D284</x:f>
        <x:v>886847.9076749831</x:v>
      </x:c>
      <x:c r="F284" s="78" t="n">
        <x:f>'Inputs'!$B$13*E284+(1-'Inputs'!$B$13)/'Inputs'!$B$14*SUM(E229:E284)</x:f>
        <x:v>897065.5845374359</x:v>
      </x:c>
      <x:c r="G284" s="78" t="n">
        <x:f>F284*'Inputs'!$F$44</x:f>
        <x:v>807359.0260836923</x:v>
      </x:c>
      <x:c r="H284" s="78" t="n">
        <x:f>U283</x:f>
        <x:v>116492761741.98654</x:v>
      </x:c>
      <x:c r="I284" s="78" t="n">
        <x:f>V283</x:f>
        <x:v>0.10171070317160248</x:v>
      </x:c>
      <x:c r="J284" s="79" t="n">
        <x:f>IF(H284&gt;0,I284/H284,0)</x:f>
        <x:v>8.731074931237013e-13</x:v>
      </x:c>
      <x:c r="K284" s="80" t="n">
        <x:f>(H284*J284+I284)*'Inputs'!$D$44*(1+'Inputs'!$G$44)^(B284/30)</x:f>
        <x:v>0.040684281268640994</x:v>
      </x:c>
      <x:c r="L284" s="80" t="n">
        <x:f>MAX(0,K284*'Inputs'!$E$44)</x:f>
        <x:v>0</x:v>
      </x:c>
      <x:c r="M284" s="80" t="n">
        <x:f>MAX(0,-K284*'Inputs'!$E$44)</x:f>
        <x:v>0.0081368562537282</x:v>
      </x:c>
      <x:c r="N284" s="78" t="n">
        <x:f>H284*(L284*(1-'Inputs'!$B$15))/(I284+L284*(1-'Inputs'!$B$15))</x:f>
        <x:v>0</x:v>
      </x:c>
      <x:c r="O284" s="78" t="n">
        <x:f>H284-N284</x:f>
        <x:v>116492761741.98654</x:v>
      </x:c>
      <x:c r="P284" s="78" t="n">
        <x:f>I284+L284*(1-'Inputs'!$B$17)</x:f>
        <x:v>0.10171070317160248</x:v>
      </x:c>
      <x:c r="Q284" s="78" t="n">
        <x:f>IF(J284&gt;0,M284/J284,0)</x:f>
        <x:v>0</x:v>
      </x:c>
      <x:c r="R284" s="78" t="n">
        <x:f>IF(B284='Inputs'!$H$44,'Inputs'!$B$27*'Inputs'!$I$44,0)</x:f>
        <x:v>0</x:v>
      </x:c>
      <x:c r="S284" s="78" t="n">
        <x:f>Q284+G284+R284</x:f>
        <x:v>807359.0260836923</x:v>
      </x:c>
      <x:c r="T284" s="78" t="n">
        <x:f>P284*(S284*(1-'Inputs'!$B$15))/(O284+S284*(1-'Inputs'!$B$15))</x:f>
        <x:v>6.978573149912249e-7</x:v>
      </x:c>
      <x:c r="U284" s="78" t="n">
        <x:f>O284+S284*(1-'Inputs'!$B$17)</x:f>
        <x:v>116493565852.08295</x:v>
      </x:c>
      <x:c r="V284" s="78" t="n">
        <x:f>P284-T284</x:f>
        <x:v>0.10171000531428749</x:v>
      </x:c>
      <x:c r="W284" s="79" t="n">
        <x:f>IF(U284&gt;0,V284/U284,0)</x:f>
        <x:v>8.730954758774678e-13</x:v>
      </x:c>
      <x:c r="X284" s="80" t="n">
        <x:f>W284*('Inputs'!$B$6-AC284)</x:f>
        <x:v>-0.00035814825386892965</x:v>
      </x:c>
      <x:c r="Y284" s="80" t="n">
        <x:f>2*V284</x:f>
        <x:v>0.20342001062857498</x:v>
      </x:c>
      <x:c r="Z284" s="80" t="n">
        <x:f>K284*'Inputs'!$B$16+(G284+R284)*J284*'Inputs'!$B$16</x:f>
        <x:v>0.00024410991707913784</x:v>
      </x:c>
      <x:c r="AA284" s="80" t="n">
        <x:f>K284*(1+'Inputs'!$E$44)/2*'Inputs'!$B$17</x:f>
        <x:v>0.0000654877766899654</x:v>
      </x:c>
      <x:c r="AB284" s="78" t="n">
        <x:f>(IF(J284&gt;0,K284*(1-'Inputs'!$E$44)/2/J284,0)+G284+R284)*'Inputs'!$B$17</x:f>
        <x:v>3248.9296824293456</x:v>
      </x:c>
      <x:c r="AC284" s="78" t="n">
        <x:f>AC283+AB284</x:f>
        <x:v>1410205142.237151</x:v>
      </x:c>
      <x:c r="AD284" s="80" t="n">
        <x:f>Z284/(1+'Inputs'!$C$44)</x:f>
        <x:v>0.00019528793366331028</x:v>
      </x:c>
      <x:c r="AE284" s="80" t="n">
        <x:f>Z284-AD284</x:f>
        <x:v>0.00004882198341582756</x:v>
      </x:c>
      <x:c r="AF284" s="80" t="n">
        <x:f>D284*W284</x:f>
        <x:v>2.322908687947213e-7</x:v>
      </x:c>
      <x:c r="AG284" s="80" t="n">
        <x:f>C284*W284</x:f>
        <x:v>5.420120271877047e-7</x:v>
      </x:c>
      <x:c r="AH284" s="80" t="n">
        <x:f>2*'Inputs'!$B$8*'Inputs'!$C$44</x:f>
        <x:v>1250</x:v>
      </x:c>
      <x:c r="AI284" s="81" t="n">
        <x:f>IF(AH284&gt;0,(AE284+AF284)/AH284*365,0)</x:f>
        <x:v>0.000014323848091109706</x:v>
      </x:c>
      <x:c r="AJ284" s="81" t="n">
        <x:f>IF('Inputs'!$B$44&gt;0,AG284/('Inputs'!$B$19*'Inputs'!$B$44)*365,0)</x:f>
        <x:v>1.9783438992351223e-8</x:v>
      </x:c>
      <x:c r="AK284" s="81" t="n">
        <x:f>W284/MAX($W$4:W284)-1</x:f>
        <x:v>-0.9999999987169199</x:v>
      </x:c>
      <x:c r="AL284" s="83" t="n">
        <x:f>'Inputs'!$B$44</x:f>
        <x:v>1</x:v>
      </x:c>
      <x:c r="AM284" s="83" t="n">
        <x:f>'Inputs'!$C$44</x:f>
        <x:v>0.25</x:v>
      </x:c>
      <x:c r="AN284" s="83" t="n">
        <x:f>'Inputs'!$D$44</x:f>
        <x:v>0.2</x:v>
      </x:c>
      <x:c r="AO284" s="81" t="n">
        <x:f>'Inputs'!$E$44</x:f>
        <x:v>-0.2</x:v>
      </x:c>
    </x:row>
    <x:row r="285">
      <x:c r="A285" s="59" t="str">
        <x:v>No demand</x:v>
      </x:c>
      <x:c r="B285" s="59" t="n">
        <x:v>282</x:v>
      </x:c>
      <x:c r="C285" s="78" t="n">
        <x:f>(('Inputs'!$B$29*(3*282*'Inputs'!$B$12-282^2)/(2*'Inputs'!$B$12^2))-('Inputs'!$B$29*(3*281*'Inputs'!$B$12-281^2)/(2*'Inputs'!$B$12^2)))*'Inputs'!$B$44</x:f>
        <x:v>620468.4274723232</x:v>
      </x:c>
      <x:c r="D285" s="78" t="n">
        <x:f>IF('Inputs'!$C$44&gt;0,('Inputs'!$B$30*(3*282*'Inputs'!$B$12-282^2)/(2*'Inputs'!$B$12^2))-('Inputs'!$B$30*(3*281*'Inputs'!$B$12-281^2)/(2*'Inputs'!$B$12^2)),0)</x:f>
        <x:v>265915.04034528136</x:v>
      </x:c>
      <x:c r="E285" s="78" t="n">
        <x:f>C285+D285</x:f>
        <x:v>886383.4678176045</x:v>
      </x:c>
      <x:c r="F285" s="78" t="n">
        <x:f>'Inputs'!$B$13*E285+(1-'Inputs'!$B$13)/'Inputs'!$B$14*SUM(E230:E285)</x:f>
        <x:v>896601.1446800531</x:v>
      </x:c>
      <x:c r="G285" s="78" t="n">
        <x:f>F285*'Inputs'!$F$44</x:f>
        <x:v>806941.0302120479</x:v>
      </x:c>
      <x:c r="H285" s="78" t="n">
        <x:f>U284</x:f>
        <x:v>116493565852.08295</x:v>
      </x:c>
      <x:c r="I285" s="78" t="n">
        <x:f>V284</x:f>
        <x:v>0.10171000531428749</x:v>
      </x:c>
      <x:c r="J285" s="79" t="n">
        <x:f>IF(H285&gt;0,I285/H285,0)</x:f>
        <x:v>8.730954758774678e-13</x:v>
      </x:c>
      <x:c r="K285" s="80" t="n">
        <x:f>(H285*J285+I285)*'Inputs'!$D$44*(1+'Inputs'!$G$44)^(B285/30)</x:f>
        <x:v>0.040684002125715</x:v>
      </x:c>
      <x:c r="L285" s="80" t="n">
        <x:f>MAX(0,K285*'Inputs'!$E$44)</x:f>
        <x:v>0</x:v>
      </x:c>
      <x:c r="M285" s="80" t="n">
        <x:f>MAX(0,-K285*'Inputs'!$E$44)</x:f>
        <x:v>0.008136800425143</x:v>
      </x:c>
      <x:c r="N285" s="78" t="n">
        <x:f>H285*(L285*(1-'Inputs'!$B$15))/(I285+L285*(1-'Inputs'!$B$15))</x:f>
        <x:v>0</x:v>
      </x:c>
      <x:c r="O285" s="78" t="n">
        <x:f>H285-N285</x:f>
        <x:v>116493565852.08295</x:v>
      </x:c>
      <x:c r="P285" s="78" t="n">
        <x:f>I285+L285*(1-'Inputs'!$B$17)</x:f>
        <x:v>0.10171000531428749</x:v>
      </x:c>
      <x:c r="Q285" s="78" t="n">
        <x:f>IF(J285&gt;0,M285/J285,0)</x:f>
        <x:v>0</x:v>
      </x:c>
      <x:c r="R285" s="78" t="n">
        <x:f>IF(B285='Inputs'!$H$44,'Inputs'!$B$27*'Inputs'!$I$44,0)</x:f>
        <x:v>0</x:v>
      </x:c>
      <x:c r="S285" s="78" t="n">
        <x:f>Q285+G285+R285</x:f>
        <x:v>806941.0302120479</x:v>
      </x:c>
      <x:c r="T285" s="78" t="n">
        <x:f>P285*(S285*(1-'Inputs'!$B$15))/(O285+S285*(1-'Inputs'!$B$15))</x:f>
        <x:v>6.9748641403544e-7</x:v>
      </x:c>
      <x:c r="U285" s="78" t="n">
        <x:f>O285+S285*(1-'Inputs'!$B$17)</x:f>
        <x:v>116494369545.86555</x:v>
      </x:c>
      <x:c r="V285" s="78" t="n">
        <x:f>P285-T285</x:f>
        <x:v>0.10170930782787345</x:v>
      </x:c>
      <x:c r="W285" s="79" t="n">
        <x:f>IF(U285&gt;0,V285/U285,0)</x:f>
        <x:v>8.730834651011094e-13</x:v>
      </x:c>
      <x:c r="X285" s="80" t="n">
        <x:f>W285*('Inputs'!$B$6-AC285)</x:f>
        <x:v>-0.0003581461621048975</x:v>
      </x:c>
      <x:c r="Y285" s="80" t="n">
        <x:f>2*V285</x:f>
        <x:v>0.2034186156557469</x:v>
      </x:c>
      <x:c r="Z285" s="80" t="n">
        <x:f>K285*'Inputs'!$B$16+(G285+R285)*J285*'Inputs'!$B$16</x:f>
        <x:v>0.00024410823997366666</x:v>
      </x:c>
      <x:c r="AA285" s="80" t="n">
        <x:f>K285*(1+'Inputs'!$E$44)/2*'Inputs'!$B$17</x:f>
        <x:v>0.00006548732736533603</x:v>
      </x:c>
      <x:c r="AB285" s="78" t="n">
        <x:f>(IF(J285&gt;0,K285*(1-'Inputs'!$E$44)/2/J285,0)+G285+R285)*'Inputs'!$B$17</x:f>
        <x:v>3247.2476064871144</x:v>
      </x:c>
      <x:c r="AC285" s="78" t="n">
        <x:f>AC284+AB285</x:f>
        <x:v>1410208389.4847574</x:v>
      </x:c>
      <x:c r="AD285" s="80" t="n">
        <x:f>Z285/(1+'Inputs'!$C$44)</x:f>
        <x:v>0.00019528659197893332</x:v>
      </x:c>
      <x:c r="AE285" s="80" t="n">
        <x:f>Z285-AD285</x:f>
        <x:v>0.00004882164799473334</x:v>
      </x:c>
      <x:c r="AF285" s="80" t="n">
        <x:f>D285*W285</x:f>
        <x:v>2.3216602484715955e-7</x:v>
      </x:c>
      <x:c r="AG285" s="80" t="n">
        <x:f>C285*W285</x:f>
        <x:v>5.417207246433723e-7</x:v>
      </x:c>
      <x:c r="AH285" s="80" t="n">
        <x:f>2*'Inputs'!$B$8*'Inputs'!$C$44</x:f>
        <x:v>1250</x:v>
      </x:c>
      <x:c r="AI285" s="81" t="n">
        <x:f>IF(AH285&gt;0,(AE285+AF285)/AH285*365,0)</x:f>
        <x:v>0.000014323713693717506</x:v>
      </x:c>
      <x:c r="AJ285" s="81" t="n">
        <x:f>IF('Inputs'!$B$44&gt;0,AG285/('Inputs'!$B$19*'Inputs'!$B$44)*365,0)</x:f>
        <x:v>1.9772806449483088e-8</x:v>
      </x:c>
      <x:c r="AK285" s="81" t="n">
        <x:f>W285/MAX($W$4:W285)-1</x:f>
        <x:v>-0.9999999987169376</x:v>
      </x:c>
      <x:c r="AL285" s="83" t="n">
        <x:f>'Inputs'!$B$44</x:f>
        <x:v>1</x:v>
      </x:c>
      <x:c r="AM285" s="83" t="n">
        <x:f>'Inputs'!$C$44</x:f>
        <x:v>0.25</x:v>
      </x:c>
      <x:c r="AN285" s="83" t="n">
        <x:f>'Inputs'!$D$44</x:f>
        <x:v>0.2</x:v>
      </x:c>
      <x:c r="AO285" s="81" t="n">
        <x:f>'Inputs'!$E$44</x:f>
        <x:v>-0.2</x:v>
      </x:c>
    </x:row>
    <x:row r="286">
      <x:c r="A286" s="59" t="str">
        <x:v>No demand</x:v>
      </x:c>
      <x:c r="B286" s="59" t="n">
        <x:v>283</x:v>
      </x:c>
      <x:c r="C286" s="78" t="n">
        <x:f>(('Inputs'!$B$29*(3*283*'Inputs'!$B$12-283^2)/(2*'Inputs'!$B$12^2))-('Inputs'!$B$29*(3*282*'Inputs'!$B$12-282^2)/(2*'Inputs'!$B$12^2)))*'Inputs'!$B$44</x:f>
        <x:v>620143.3195721507</x:v>
      </x:c>
      <x:c r="D286" s="78" t="n">
        <x:f>IF('Inputs'!$C$44&gt;0,('Inputs'!$B$30*(3*283*'Inputs'!$B$12-283^2)/(2*'Inputs'!$B$12^2))-('Inputs'!$B$30*(3*282*'Inputs'!$B$12-282^2)/(2*'Inputs'!$B$12^2)),0)</x:f>
        <x:v>265775.70838807523</x:v>
      </x:c>
      <x:c r="E286" s="78" t="n">
        <x:f>C286+D286</x:f>
        <x:v>885919.0279602259</x:v>
      </x:c>
      <x:c r="F286" s="78" t="n">
        <x:f>'Inputs'!$B$13*E286+(1-'Inputs'!$B$13)/'Inputs'!$B$14*SUM(E231:E286)</x:f>
        <x:v>896136.7048226703</x:v>
      </x:c>
      <x:c r="G286" s="78" t="n">
        <x:f>F286*'Inputs'!$F$44</x:f>
        <x:v>806523.0343404033</x:v>
      </x:c>
      <x:c r="H286" s="78" t="n">
        <x:f>U285</x:f>
        <x:v>116494369545.86555</x:v>
      </x:c>
      <x:c r="I286" s="78" t="n">
        <x:f>V285</x:f>
        <x:v>0.10170930782787345</x:v>
      </x:c>
      <x:c r="J286" s="79" t="n">
        <x:f>IF(H286&gt;0,I286/H286,0)</x:f>
        <x:v>8.730834651011094e-13</x:v>
      </x:c>
      <x:c r="K286" s="80" t="n">
        <x:f>(H286*J286+I286)*'Inputs'!$D$44*(1+'Inputs'!$G$44)^(B286/30)</x:f>
        <x:v>0.04068372313114938</x:v>
      </x:c>
      <x:c r="L286" s="80" t="n">
        <x:f>MAX(0,K286*'Inputs'!$E$44)</x:f>
        <x:v>0</x:v>
      </x:c>
      <x:c r="M286" s="80" t="n">
        <x:f>MAX(0,-K286*'Inputs'!$E$44)</x:f>
        <x:v>0.008136744626229877</x:v>
      </x:c>
      <x:c r="N286" s="78" t="n">
        <x:f>H286*(L286*(1-'Inputs'!$B$15))/(I286+L286*(1-'Inputs'!$B$15))</x:f>
        <x:v>0</x:v>
      </x:c>
      <x:c r="O286" s="78" t="n">
        <x:f>H286-N286</x:f>
        <x:v>116494369545.86555</x:v>
      </x:c>
      <x:c r="P286" s="78" t="n">
        <x:f>I286+L286*(1-'Inputs'!$B$17)</x:f>
        <x:v>0.10170930782787345</x:v>
      </x:c>
      <x:c r="Q286" s="78" t="n">
        <x:f>IF(J286&gt;0,M286/J286,0)</x:f>
        <x:v>0</x:v>
      </x:c>
      <x:c r="R286" s="78" t="n">
        <x:f>IF(B286='Inputs'!$H$44,'Inputs'!$B$27*'Inputs'!$I$44,0)</x:f>
        <x:v>0</x:v>
      </x:c>
      <x:c r="S286" s="78" t="n">
        <x:f>Q286+G286+R286</x:f>
        <x:v>806523.0343404033</x:v>
      </x:c>
      <x:c r="T286" s="78" t="n">
        <x:f>P286*(S286*(1-'Inputs'!$B$15))/(O286+S286*(1-'Inputs'!$B$15))</x:f>
        <x:v>6.971155281886072e-7</x:v>
      </x:c>
      <x:c r="U286" s="78" t="n">
        <x:f>O286+S286*(1-'Inputs'!$B$17)</x:f>
        <x:v>116495172823.33437</x:v>
      </x:c>
      <x:c r="V286" s="78" t="n">
        <x:f>P286-T286</x:f>
        <x:v>0.10170861071234526</x:v>
      </x:c>
      <x:c r="W286" s="79" t="n">
        <x:f>IF(U286&gt;0,V286/U286,0)</x:f>
        <x:v>8.730714607942338e-13</x:v>
      </x:c>
      <x:c r="X286" s="80" t="n">
        <x:f>W286*('Inputs'!$B$6-AC286)</x:f>
        <x:v>-0.00035814407144814603</x:v>
      </x:c>
      <x:c r="Y286" s="80" t="n">
        <x:f>2*V286</x:f>
        <x:v>0.20341722142469051</x:v>
      </x:c>
      <x:c r="Z286" s="80" t="n">
        <x:f>K286*'Inputs'!$B$16+(G286+R286)*J286*'Inputs'!$B$16</x:f>
        <x:v>0.00024410656375844933</x:v>
      </x:c>
      <x:c r="AA286" s="80" t="n">
        <x:f>K286*(1+'Inputs'!$E$44)/2*'Inputs'!$B$17</x:f>
        <x:v>0.00006548687827951612</x:v>
      </x:c>
      <x:c r="AB286" s="78" t="n">
        <x:f>(IF(J286&gt;0,K286*(1-'Inputs'!$E$44)/2/J286,0)+G286+R286)*'Inputs'!$B$17</x:f>
        <x:v>3245.5655305448827</x:v>
      </x:c>
      <x:c r="AC286" s="78" t="n">
        <x:f>AC285+AB286</x:f>
        <x:v>1410211635.050288</x:v>
      </x:c>
      <x:c r="AD286" s="80" t="n">
        <x:f>Z286/(1+'Inputs'!$C$44)</x:f>
        <x:v>0.00019528525100675947</x:v>
      </x:c>
      <x:c r="AE286" s="80" t="n">
        <x:f>Z286-AD286</x:f>
        <x:v>0.00004882131275168986</x:v>
      </x:c>
      <x:c r="AF286" s="80" t="n">
        <x:f>D286*W286</x:f>
        <x:v>2.3204118596599914e-7</x:v>
      </x:c>
      <x:c r="AG286" s="80" t="n">
        <x:f>C286*W286</x:f>
        <x:v>5.414294339206429e-7</x:v>
      </x:c>
      <x:c r="AH286" s="80" t="n">
        <x:f>2*'Inputs'!$B$8*'Inputs'!$C$44</x:f>
        <x:v>1250</x:v>
      </x:c>
      <x:c r="AI286" s="81" t="n">
        <x:f>IF(AH286&gt;0,(AE286+AF286)/AH286*365,0)</x:f>
        <x:v>0.000014323579349795512</x:v>
      </x:c>
      <x:c r="AJ286" s="81" t="n">
        <x:f>IF('Inputs'!$B$44&gt;0,AG286/('Inputs'!$B$19*'Inputs'!$B$44)*365,0)</x:f>
        <x:v>1.9762174338103466e-8</x:v>
      </x:c>
      <x:c r="AK286" s="81" t="n">
        <x:f>W286/MAX($W$4:W286)-1</x:f>
        <x:v>-0.9999999987169552</x:v>
      </x:c>
      <x:c r="AL286" s="83" t="n">
        <x:f>'Inputs'!$B$44</x:f>
        <x:v>1</x:v>
      </x:c>
      <x:c r="AM286" s="83" t="n">
        <x:f>'Inputs'!$C$44</x:f>
        <x:v>0.25</x:v>
      </x:c>
      <x:c r="AN286" s="83" t="n">
        <x:f>'Inputs'!$D$44</x:f>
        <x:v>0.2</x:v>
      </x:c>
      <x:c r="AO286" s="81" t="n">
        <x:f>'Inputs'!$E$44</x:f>
        <x:v>-0.2</x:v>
      </x:c>
    </x:row>
    <x:row r="287">
      <x:c r="A287" s="59" t="str">
        <x:v>No demand</x:v>
      </x:c>
      <x:c r="B287" s="59" t="n">
        <x:v>284</x:v>
      </x:c>
      <x:c r="C287" s="78" t="n">
        <x:f>(('Inputs'!$B$29*(3*284*'Inputs'!$B$12-284^2)/(2*'Inputs'!$B$12^2))-('Inputs'!$B$29*(3*283*'Inputs'!$B$12-283^2)/(2*'Inputs'!$B$12^2)))*'Inputs'!$B$44</x:f>
        <x:v>619818.2116719782</x:v>
      </x:c>
      <x:c r="D287" s="78" t="n">
        <x:f>IF('Inputs'!$C$44&gt;0,('Inputs'!$B$30*(3*284*'Inputs'!$B$12-284^2)/(2*'Inputs'!$B$12^2))-('Inputs'!$B$30*(3*283*'Inputs'!$B$12-283^2)/(2*'Inputs'!$B$12^2)),0)</x:f>
        <x:v>265636.3764308393</x:v>
      </x:c>
      <x:c r="E287" s="78" t="n">
        <x:f>C287+D287</x:f>
        <x:v>885454.5881028175</x:v>
      </x:c>
      <x:c r="F287" s="78" t="n">
        <x:f>'Inputs'!$B$13*E287+(1-'Inputs'!$B$13)/'Inputs'!$B$14*SUM(E232:E287)</x:f>
        <x:v>895672.2649652809</x:v>
      </x:c>
      <x:c r="G287" s="78" t="n">
        <x:f>F287*'Inputs'!$F$44</x:f>
        <x:v>806105.0384687529</x:v>
      </x:c>
      <x:c r="H287" s="78" t="n">
        <x:f>U286</x:f>
        <x:v>116495172823.33437</x:v>
      </x:c>
      <x:c r="I287" s="78" t="n">
        <x:f>V286</x:f>
        <x:v>0.10170861071234526</x:v>
      </x:c>
      <x:c r="J287" s="79" t="n">
        <x:f>IF(H287&gt;0,I287/H287,0)</x:f>
        <x:v>8.730714607942338e-13</x:v>
      </x:c>
      <x:c r="K287" s="80" t="n">
        <x:f>(H287*J287+I287)*'Inputs'!$D$44*(1+'Inputs'!$G$44)^(B287/30)</x:f>
        <x:v>0.04068344428493811</x:v>
      </x:c>
      <x:c r="L287" s="80" t="n">
        <x:f>MAX(0,K287*'Inputs'!$E$44)</x:f>
        <x:v>0</x:v>
      </x:c>
      <x:c r="M287" s="80" t="n">
        <x:f>MAX(0,-K287*'Inputs'!$E$44)</x:f>
        <x:v>0.008136688856987621</x:v>
      </x:c>
      <x:c r="N287" s="78" t="n">
        <x:f>H287*(L287*(1-'Inputs'!$B$15))/(I287+L287*(1-'Inputs'!$B$15))</x:f>
        <x:v>0</x:v>
      </x:c>
      <x:c r="O287" s="78" t="n">
        <x:f>H287-N287</x:f>
        <x:v>116495172823.33437</x:v>
      </x:c>
      <x:c r="P287" s="78" t="n">
        <x:f>I287+L287*(1-'Inputs'!$B$17)</x:f>
        <x:v>0.10170861071234526</x:v>
      </x:c>
      <x:c r="Q287" s="78" t="n">
        <x:f>IF(J287&gt;0,M287/J287,0)</x:f>
        <x:v>0</x:v>
      </x:c>
      <x:c r="R287" s="78" t="n">
        <x:f>IF(B287='Inputs'!$H$44,'Inputs'!$B$27*'Inputs'!$I$44,0)</x:f>
        <x:v>0</x:v>
      </x:c>
      <x:c r="S287" s="78" t="n">
        <x:f>Q287+G287+R287</x:f>
        <x:v>806105.0384687529</x:v>
      </x:c>
      <x:c r="T287" s="78" t="n">
        <x:f>P287*(S287*(1-'Inputs'!$B$15))/(O287+S287*(1-'Inputs'!$B$15))</x:f>
        <x:v>6.967446574423769e-7</x:v>
      </x:c>
      <x:c r="U287" s="78" t="n">
        <x:f>O287+S287*(1-'Inputs'!$B$17)</x:f>
        <x:v>116495975684.48938</x:v>
      </x:c>
      <x:c r="V287" s="78" t="n">
        <x:f>P287-T287</x:f>
        <x:v>0.10170791396768782</x:v>
      </x:c>
      <x:c r="W287" s="79" t="n">
        <x:f>IF(U287&gt;0,V287/U287,0)</x:f>
        <x:v>8.730594629564488e-13</x:v>
      </x:c>
      <x:c r="X287" s="80" t="n">
        <x:f>W287*('Inputs'!$B$6-AC287)</x:f>
        <x:v>-0.0003581419818986379</x:v>
      </x:c>
      <x:c r="Y287" s="80" t="n">
        <x:f>2*V287</x:f>
        <x:v>0.20341582793537563</x:v>
      </x:c>
      <x:c r="Z287" s="80" t="n">
        <x:f>K287*'Inputs'!$B$16+(G287+R287)*J287*'Inputs'!$B$16</x:f>
        <x:v>0.0002441048884334496</x:v>
      </x:c>
      <x:c r="AA287" s="80" t="n">
        <x:f>K287*(1+'Inputs'!$E$44)/2*'Inputs'!$B$17</x:f>
        <x:v>0.00006548642943249595</x:v>
      </x:c>
      <x:c r="AB287" s="78" t="n">
        <x:f>(IF(J287&gt;0,K287*(1-'Inputs'!$E$44)/2/J287,0)+G287+R287)*'Inputs'!$B$17</x:f>
        <x:v>3243.8834546026274</x:v>
      </x:c>
      <x:c r="AC287" s="78" t="n">
        <x:f>AC286+AB287</x:f>
        <x:v>1410214878.9337425</x:v>
      </x:c>
      <x:c r="AD287" s="80" t="n">
        <x:f>Z287/(1+'Inputs'!$C$44)</x:f>
        <x:v>0.00019528391074675967</x:v>
      </x:c>
      <x:c r="AE287" s="80" t="n">
        <x:f>Z287-AD287</x:f>
        <x:v>0.00004882097768668992</x:v>
      </x:c>
      <x:c r="AF287" s="80" t="n">
        <x:f>D287*W287</x:f>
        <x:v>2.3191635214840563e-7</x:v>
      </x:c>
      <x:c r="AG287" s="80" t="n">
        <x:f>C287*W287</x:f>
        <x:v>5.411381550129639e-7</x:v>
      </x:c>
      <x:c r="AH287" s="80" t="n">
        <x:f>2*'Inputs'!$B$8*'Inputs'!$C$44</x:f>
        <x:v>1250</x:v>
      </x:c>
      <x:c r="AI287" s="81" t="n">
        <x:f>IF(AH287&gt;0,(AE287+AF287)/AH287*365,0)</x:f>
        <x:v>0.000014323445059340791</x:v>
      </x:c>
      <x:c r="AJ287" s="81" t="n">
        <x:f>IF('Inputs'!$B$44&gt;0,AG287/('Inputs'!$B$19*'Inputs'!$B$44)*365,0)</x:f>
        <x:v>1.975154265797318e-8</x:v>
      </x:c>
      <x:c r="AK287" s="81" t="n">
        <x:f>W287/MAX($W$4:W287)-1</x:f>
        <x:v>-0.9999999987169728</x:v>
      </x:c>
      <x:c r="AL287" s="83" t="n">
        <x:f>'Inputs'!$B$44</x:f>
        <x:v>1</x:v>
      </x:c>
      <x:c r="AM287" s="83" t="n">
        <x:f>'Inputs'!$C$44</x:f>
        <x:v>0.25</x:v>
      </x:c>
      <x:c r="AN287" s="83" t="n">
        <x:f>'Inputs'!$D$44</x:f>
        <x:v>0.2</x:v>
      </x:c>
      <x:c r="AO287" s="81" t="n">
        <x:f>'Inputs'!$E$44</x:f>
        <x:v>-0.2</x:v>
      </x:c>
    </x:row>
    <x:row r="288">
      <x:c r="A288" s="59" t="str">
        <x:v>No demand</x:v>
      </x:c>
      <x:c r="B288" s="59" t="n">
        <x:v>285</x:v>
      </x:c>
      <x:c r="C288" s="78" t="n">
        <x:f>(('Inputs'!$B$29*(3*285*'Inputs'!$B$12-285^2)/(2*'Inputs'!$B$12^2))-('Inputs'!$B$29*(3*284*'Inputs'!$B$12-284^2)/(2*'Inputs'!$B$12^2)))*'Inputs'!$B$44</x:f>
        <x:v>619493.1037718356</x:v>
      </x:c>
      <x:c r="D288" s="78" t="n">
        <x:f>IF('Inputs'!$C$44&gt;0,('Inputs'!$B$30*(3*285*'Inputs'!$B$12-285^2)/(2*'Inputs'!$B$12^2))-('Inputs'!$B$30*(3*284*'Inputs'!$B$12-284^2)/(2*'Inputs'!$B$12^2)),0)</x:f>
        <x:v>265497.04447363317</x:v>
      </x:c>
      <x:c r="E288" s="78" t="n">
        <x:f>C288+D288</x:f>
        <x:v>884990.1482454687</x:v>
      </x:c>
      <x:c r="F288" s="78" t="n">
        <x:f>'Inputs'!$B$13*E288+(1-'Inputs'!$B$13)/'Inputs'!$B$14*SUM(E233:E288)</x:f>
        <x:v>895207.8251079043</x:v>
      </x:c>
      <x:c r="G288" s="78" t="n">
        <x:f>F288*'Inputs'!$F$44</x:f>
        <x:v>805687.0425971139</x:v>
      </x:c>
      <x:c r="H288" s="78" t="n">
        <x:f>U287</x:f>
        <x:v>116495975684.48938</x:v>
      </x:c>
      <x:c r="I288" s="78" t="n">
        <x:f>V287</x:f>
        <x:v>0.10170791396768782</x:v>
      </x:c>
      <x:c r="J288" s="79" t="n">
        <x:f>IF(H288&gt;0,I288/H288,0)</x:f>
        <x:v>8.730594629564488e-13</x:v>
      </x:c>
      <x:c r="K288" s="80" t="n">
        <x:f>(H288*J288+I288)*'Inputs'!$D$44*(1+'Inputs'!$G$44)^(B288/30)</x:f>
        <x:v>0.04068316558707513</x:v>
      </x:c>
      <x:c r="L288" s="80" t="n">
        <x:f>MAX(0,K288*'Inputs'!$E$44)</x:f>
        <x:v>0</x:v>
      </x:c>
      <x:c r="M288" s="80" t="n">
        <x:f>MAX(0,-K288*'Inputs'!$E$44)</x:f>
        <x:v>0.008136633117415026</x:v>
      </x:c>
      <x:c r="N288" s="78" t="n">
        <x:f>H288*(L288*(1-'Inputs'!$B$15))/(I288+L288*(1-'Inputs'!$B$15))</x:f>
        <x:v>0</x:v>
      </x:c>
      <x:c r="O288" s="78" t="n">
        <x:f>H288-N288</x:f>
        <x:v>116495975684.48938</x:v>
      </x:c>
      <x:c r="P288" s="78" t="n">
        <x:f>I288+L288*(1-'Inputs'!$B$17)</x:f>
        <x:v>0.10170791396768782</x:v>
      </x:c>
      <x:c r="Q288" s="78" t="n">
        <x:f>IF(J288&gt;0,M288/J288,0)</x:f>
        <x:v>0</x:v>
      </x:c>
      <x:c r="R288" s="78" t="n">
        <x:f>IF(B288='Inputs'!$H$44,'Inputs'!$B$27*'Inputs'!$I$44,0)</x:f>
        <x:v>0</x:v>
      </x:c>
      <x:c r="S288" s="78" t="n">
        <x:f>Q288+G288+R288</x:f>
        <x:v>805687.0425971139</x:v>
      </x:c>
      <x:c r="T288" s="78" t="n">
        <x:f>P288*(S288*(1-'Inputs'!$B$15))/(O288+S288*(1-'Inputs'!$B$15))</x:f>
        <x:v>6.963738017884199e-7</x:v>
      </x:c>
      <x:c r="U288" s="78" t="n">
        <x:f>O288+S288*(1-'Inputs'!$B$17)</x:f>
        <x:v>116496778129.3306</x:v>
      </x:c>
      <x:c r="V288" s="78" t="n">
        <x:f>P288-T288</x:f>
        <x:v>0.10170721759388603</x:v>
      </x:c>
      <x:c r="W288" s="79" t="n">
        <x:f>IF(U288&gt;0,V288/U288,0)</x:f>
        <x:v>8.730474715873625e-13</x:v>
      </x:c>
      <x:c r="X288" s="80" t="n">
        <x:f>W288*('Inputs'!$B$6-AC288)</x:f>
        <x:v>-0.0003581398934563359</x:v>
      </x:c>
      <x:c r="Y288" s="80" t="n">
        <x:f>2*V288</x:f>
        <x:v>0.20341443518777205</x:v>
      </x:c>
      <x:c r="Z288" s="80" t="n">
        <x:f>K288*'Inputs'!$B$16+(G288+R288)*J288*'Inputs'!$B$16</x:f>
        <x:v>0.00024410321399863112</x:v>
      </x:c>
      <x:c r="AA288" s="80" t="n">
        <x:f>K288*(1+'Inputs'!$E$44)/2*'Inputs'!$B$17</x:f>
        <x:v>0.00006548598082426581</x:v>
      </x:c>
      <x:c r="AB288" s="78" t="n">
        <x:f>(IF(J288&gt;0,K288*(1-'Inputs'!$E$44)/2/J288,0)+G288+R288)*'Inputs'!$B$17</x:f>
        <x:v>3242.2013786604184</x:v>
      </x:c>
      <x:c r="AC288" s="78" t="n">
        <x:f>AC287+AB288</x:f>
        <x:v>1410218121.135121</x:v>
      </x:c>
      <x:c r="AD288" s="80" t="n">
        <x:f>Z288/(1+'Inputs'!$C$44)</x:f>
        <x:v>0.0001952825711989049</x:v>
      </x:c>
      <x:c r="AE288" s="80" t="n">
        <x:f>Z288-AD288</x:f>
        <x:v>0.00004882064279972622</x:v>
      </x:c>
      <x:c r="AF288" s="80" t="n">
        <x:f>D288*W288</x:f>
        <x:v>2.31791523391623e-7</x:v>
      </x:c>
      <x:c r="AG288" s="80" t="n">
        <x:f>C288*W288</x:f>
        <x:v>5.408468879138087e-7</x:v>
      </x:c>
      <x:c r="AH288" s="80" t="n">
        <x:f>2*'Inputs'!$B$8*'Inputs'!$C$44</x:f>
        <x:v>1250</x:v>
      </x:c>
      <x:c r="AI288" s="81" t="n">
        <x:f>IF(AH288&gt;0,(AE288+AF288)/AH288*365,0)</x:f>
        <x:v>0.000014323310822350408</x:v>
      </x:c>
      <x:c r="AJ288" s="81" t="n">
        <x:f>IF('Inputs'!$B$44&gt;0,AG288/('Inputs'!$B$19*'Inputs'!$B$44)*365,0)</x:f>
        <x:v>1.9740911408854018e-8</x:v>
      </x:c>
      <x:c r="AK288" s="81" t="n">
        <x:f>W288/MAX($W$4:W288)-1</x:f>
        <x:v>-0.9999999987169904</x:v>
      </x:c>
      <x:c r="AL288" s="83" t="n">
        <x:f>'Inputs'!$B$44</x:f>
        <x:v>1</x:v>
      </x:c>
      <x:c r="AM288" s="83" t="n">
        <x:f>'Inputs'!$C$44</x:f>
        <x:v>0.25</x:v>
      </x:c>
      <x:c r="AN288" s="83" t="n">
        <x:f>'Inputs'!$D$44</x:f>
        <x:v>0.2</x:v>
      </x:c>
      <x:c r="AO288" s="81" t="n">
        <x:f>'Inputs'!$E$44</x:f>
        <x:v>-0.2</x:v>
      </x:c>
    </x:row>
    <x:row r="289">
      <x:c r="A289" s="59" t="str">
        <x:v>No demand</x:v>
      </x:c>
      <x:c r="B289" s="59" t="n">
        <x:v>286</x:v>
      </x:c>
      <x:c r="C289" s="78" t="n">
        <x:f>(('Inputs'!$B$29*(3*286*'Inputs'!$B$12-286^2)/(2*'Inputs'!$B$12^2))-('Inputs'!$B$29*(3*285*'Inputs'!$B$12-285^2)/(2*'Inputs'!$B$12^2)))*'Inputs'!$B$44</x:f>
        <x:v>619167.9958716333</x:v>
      </x:c>
      <x:c r="D289" s="78" t="n">
        <x:f>IF('Inputs'!$C$44&gt;0,('Inputs'!$B$30*(3*286*'Inputs'!$B$12-286^2)/(2*'Inputs'!$B$12^2))-('Inputs'!$B$30*(3*285*'Inputs'!$B$12-285^2)/(2*'Inputs'!$B$12^2)),0)</x:f>
        <x:v>265357.71251642704</x:v>
      </x:c>
      <x:c r="E289" s="78" t="n">
        <x:f>C289+D289</x:f>
        <x:v>884525.7083880603</x:v>
      </x:c>
      <x:c r="F289" s="78" t="n">
        <x:f>'Inputs'!$B$13*E289+(1-'Inputs'!$B$13)/'Inputs'!$B$14*SUM(E234:E289)</x:f>
        <x:v>894743.3852505152</x:v>
      </x:c>
      <x:c r="G289" s="78" t="n">
        <x:f>F289*'Inputs'!$F$44</x:f>
        <x:v>805269.0467254637</x:v>
      </x:c>
      <x:c r="H289" s="78" t="n">
        <x:f>U288</x:f>
        <x:v>116496778129.3306</x:v>
      </x:c>
      <x:c r="I289" s="78" t="n">
        <x:f>V288</x:f>
        <x:v>0.10170721759388603</x:v>
      </x:c>
      <x:c r="J289" s="79" t="n">
        <x:f>IF(H289&gt;0,I289/H289,0)</x:f>
        <x:v>8.730474715873625e-13</x:v>
      </x:c>
      <x:c r="K289" s="80" t="n">
        <x:f>(H289*J289+I289)*'Inputs'!$D$44*(1+'Inputs'!$G$44)^(B289/30)</x:f>
        <x:v>0.04068288703755441</x:v>
      </x:c>
      <x:c r="L289" s="80" t="n">
        <x:f>MAX(0,K289*'Inputs'!$E$44)</x:f>
        <x:v>0</x:v>
      </x:c>
      <x:c r="M289" s="80" t="n">
        <x:f>MAX(0,-K289*'Inputs'!$E$44)</x:f>
        <x:v>0.008136577407510883</x:v>
      </x:c>
      <x:c r="N289" s="78" t="n">
        <x:f>H289*(L289*(1-'Inputs'!$B$15))/(I289+L289*(1-'Inputs'!$B$15))</x:f>
        <x:v>0</x:v>
      </x:c>
      <x:c r="O289" s="78" t="n">
        <x:f>H289-N289</x:f>
        <x:v>116496778129.3306</x:v>
      </x:c>
      <x:c r="P289" s="78" t="n">
        <x:f>I289+L289*(1-'Inputs'!$B$17)</x:f>
        <x:v>0.10170721759388603</x:v>
      </x:c>
      <x:c r="Q289" s="78" t="n">
        <x:f>IF(J289&gt;0,M289/J289,0)</x:f>
        <x:v>0</x:v>
      </x:c>
      <x:c r="R289" s="78" t="n">
        <x:f>IF(B289='Inputs'!$H$44,'Inputs'!$B$27*'Inputs'!$I$44,0)</x:f>
        <x:v>0</x:v>
      </x:c>
      <x:c r="S289" s="78" t="n">
        <x:f>Q289+G289+R289</x:f>
        <x:v>805269.0467254637</x:v>
      </x:c>
      <x:c r="T289" s="78" t="n">
        <x:f>P289*(S289*(1-'Inputs'!$B$15))/(O289+S289*(1-'Inputs'!$B$15))</x:f>
        <x:v>6.960029612183735e-7</x:v>
      </x:c>
      <x:c r="U289" s="78" t="n">
        <x:f>O289+S289*(1-'Inputs'!$B$17)</x:f>
        <x:v>116497580157.85802</x:v>
      </x:c>
      <x:c r="V289" s="78" t="n">
        <x:f>P289-T289</x:f>
        <x:v>0.1017065215909248</x:v>
      </x:c>
      <x:c r="W289" s="79" t="n">
        <x:f>IF(U289&gt;0,V289/U289,0)</x:f>
        <x:v>8.730354866865831e-13</x:v>
      </x:c>
      <x:c r="X289" s="80" t="n">
        <x:f>W289*('Inputs'!$B$6-AC289)</x:f>
        <x:v>-0.00035813780612120263</x:v>
      </x:c>
      <x:c r="Y289" s="80" t="n">
        <x:f>2*V289</x:f>
        <x:v>0.2034130431818496</x:v>
      </x:c>
      <x:c r="Z289" s="80" t="n">
        <x:f>K289*'Inputs'!$B$16+(G289+R289)*J289*'Inputs'!$B$16</x:f>
        <x:v>0.00024410154045395761</x:v>
      </x:c>
      <x:c r="AA289" s="80" t="n">
        <x:f>K289*(1+'Inputs'!$E$44)/2*'Inputs'!$B$17</x:f>
        <x:v>0.00006548553245481597</x:v>
      </x:c>
      <x:c r="AB289" s="78" t="n">
        <x:f>(IF(J289&gt;0,K289*(1-'Inputs'!$E$44)/2/J289,0)+G289+R289)*'Inputs'!$B$17</x:f>
        <x:v>3240.519302718164</x:v>
      </x:c>
      <x:c r="AC289" s="78" t="n">
        <x:f>AC288+AB289</x:f>
        <x:v>1410221361.6544237</x:v>
      </x:c>
      <x:c r="AD289" s="80" t="n">
        <x:f>Z289/(1+'Inputs'!$C$44)</x:f>
        <x:v>0.0001952812323631661</x:v>
      </x:c>
      <x:c r="AE289" s="80" t="n">
        <x:f>Z289-AD289</x:f>
        <x:v>0.00004882030809079152</x:v>
      </x:c>
      <x:c r="AF289" s="80" t="n">
        <x:f>D289*W289</x:f>
        <x:v>2.3166669969281728e-7</x:v>
      </x:c>
      <x:c r="AG289" s="80" t="n">
        <x:f>C289*W289</x:f>
        <x:v>5.405556326165476e-7</x:v>
      </x:c>
      <x:c r="AH289" s="80" t="n">
        <x:f>2*'Inputs'!$B$8*'Inputs'!$C$44</x:f>
        <x:v>1250</x:v>
      </x:c>
      <x:c r="AI289" s="81" t="n">
        <x:f>IF(AH289&gt;0,(AE289+AF289)/AH289*365,0)</x:f>
        <x:v>0.000014323176638821427</x:v>
      </x:c>
      <x:c r="AJ289" s="81" t="n">
        <x:f>IF('Inputs'!$B$44&gt;0,AG289/('Inputs'!$B$19*'Inputs'!$B$44)*365,0)</x:f>
        <x:v>1.973028059050399e-8</x:v>
      </x:c>
      <x:c r="AK289" s="81" t="n">
        <x:f>W289/MAX($W$4:W289)-1</x:f>
        <x:v>-0.9999999987170081</x:v>
      </x:c>
      <x:c r="AL289" s="83" t="n">
        <x:f>'Inputs'!$B$44</x:f>
        <x:v>1</x:v>
      </x:c>
      <x:c r="AM289" s="83" t="n">
        <x:f>'Inputs'!$C$44</x:f>
        <x:v>0.25</x:v>
      </x:c>
      <x:c r="AN289" s="83" t="n">
        <x:f>'Inputs'!$D$44</x:f>
        <x:v>0.2</x:v>
      </x:c>
      <x:c r="AO289" s="81" t="n">
        <x:f>'Inputs'!$E$44</x:f>
        <x:v>-0.2</x:v>
      </x:c>
    </x:row>
    <x:row r="290">
      <x:c r="A290" s="59" t="str">
        <x:v>No demand</x:v>
      </x:c>
      <x:c r="B290" s="59" t="n">
        <x:v>287</x:v>
      </x:c>
      <x:c r="C290" s="78" t="n">
        <x:f>(('Inputs'!$B$29*(3*287*'Inputs'!$B$12-287^2)/(2*'Inputs'!$B$12^2))-('Inputs'!$B$29*(3*286*'Inputs'!$B$12-286^2)/(2*'Inputs'!$B$12^2)))*'Inputs'!$B$44</x:f>
        <x:v>618842.8879714906</x:v>
      </x:c>
      <x:c r="D290" s="78" t="n">
        <x:f>IF('Inputs'!$C$44&gt;0,('Inputs'!$B$30*(3*287*'Inputs'!$B$12-287^2)/(2*'Inputs'!$B$12^2))-('Inputs'!$B$30*(3*286*'Inputs'!$B$12-286^2)/(2*'Inputs'!$B$12^2)),0)</x:f>
        <x:v>265218.380559206</x:v>
      </x:c>
      <x:c r="E290" s="78" t="n">
        <x:f>C290+D290</x:f>
        <x:v>884061.2685306966</x:v>
      </x:c>
      <x:c r="F290" s="78" t="n">
        <x:f>'Inputs'!$B$13*E290+(1-'Inputs'!$B$13)/'Inputs'!$B$14*SUM(E235:E290)</x:f>
        <x:v>894278.9453931353</x:v>
      </x:c>
      <x:c r="G290" s="78" t="n">
        <x:f>F290*'Inputs'!$F$44</x:f>
        <x:v>804851.0508538218</x:v>
      </x:c>
      <x:c r="H290" s="78" t="n">
        <x:f>U289</x:f>
        <x:v>116497580157.85802</x:v>
      </x:c>
      <x:c r="I290" s="78" t="n">
        <x:f>V289</x:f>
        <x:v>0.1017065215909248</x:v>
      </x:c>
      <x:c r="J290" s="79" t="n">
        <x:f>IF(H290&gt;0,I290/H290,0)</x:f>
        <x:v>8.730354866865831e-13</x:v>
      </x:c>
      <x:c r="K290" s="80" t="n">
        <x:f>(H290*J290+I290)*'Inputs'!$D$44*(1+'Inputs'!$G$44)^(B290/30)</x:f>
        <x:v>0.040682608636369924</x:v>
      </x:c>
      <x:c r="L290" s="80" t="n">
        <x:f>MAX(0,K290*'Inputs'!$E$44)</x:f>
        <x:v>0</x:v>
      </x:c>
      <x:c r="M290" s="80" t="n">
        <x:f>MAX(0,-K290*'Inputs'!$E$44)</x:f>
        <x:v>0.008136521727273985</x:v>
      </x:c>
      <x:c r="N290" s="78" t="n">
        <x:f>H290*(L290*(1-'Inputs'!$B$15))/(I290+L290*(1-'Inputs'!$B$15))</x:f>
        <x:v>0</x:v>
      </x:c>
      <x:c r="O290" s="78" t="n">
        <x:f>H290-N290</x:f>
        <x:v>116497580157.85802</x:v>
      </x:c>
      <x:c r="P290" s="78" t="n">
        <x:f>I290+L290*(1-'Inputs'!$B$17)</x:f>
        <x:v>0.1017065215909248</x:v>
      </x:c>
      <x:c r="Q290" s="78" t="n">
        <x:f>IF(J290&gt;0,M290/J290,0)</x:f>
        <x:v>0</x:v>
      </x:c>
      <x:c r="R290" s="78" t="n">
        <x:f>IF(B290='Inputs'!$H$44,'Inputs'!$B$27*'Inputs'!$I$44,0)</x:f>
        <x:v>0</x:v>
      </x:c>
      <x:c r="S290" s="78" t="n">
        <x:f>Q290+G290+R290</x:f>
        <x:v>804851.0508538218</x:v>
      </x:c>
      <x:c r="T290" s="78" t="n">
        <x:f>P290*(S290*(1-'Inputs'!$B$15))/(O290+S290*(1-'Inputs'!$B$15))</x:f>
        <x:v>6.956321357239122e-7</x:v>
      </x:c>
      <x:c r="U290" s="78" t="n">
        <x:f>O290+S290*(1-'Inputs'!$B$17)</x:f>
        <x:v>116498381770.07164</x:v>
      </x:c>
      <x:c r="V290" s="78" t="n">
        <x:f>P290-T290</x:f>
        <x:v>0.10170582595878908</x:v>
      </x:c>
      <x:c r="W290" s="79" t="n">
        <x:f>IF(U290&gt;0,V290/U290,0)</x:f>
        <x:v>8.730235082537193e-13</x:v>
      </x:c>
      <x:c r="X290" s="80" t="n">
        <x:f>W290*('Inputs'!$B$6-AC290)</x:f>
        <x:v>-0.0003581357198932012</x:v>
      </x:c>
      <x:c r="Y290" s="80" t="n">
        <x:f>2*V290</x:f>
        <x:v>0.20341165191757815</x:v>
      </x:c>
      <x:c r="Z290" s="80" t="n">
        <x:f>K290*'Inputs'!$B$16+(G290+R290)*J290*'Inputs'!$B$16</x:f>
        <x:v>0.0002440998677993929</x:v>
      </x:c>
      <x:c r="AA290" s="80" t="n">
        <x:f>K290*(1+'Inputs'!$E$44)/2*'Inputs'!$B$17</x:f>
        <x:v>0.0000654850843241367</x:v>
      </x:c>
      <x:c r="AB290" s="78" t="n">
        <x:f>(IF(J290&gt;0,K290*(1-'Inputs'!$E$44)/2/J290,0)+G290+R290)*'Inputs'!$B$17</x:f>
        <x:v>3238.8372267759432</x:v>
      </x:c>
      <x:c r="AC290" s="78" t="n">
        <x:f>AC289+AB290</x:f>
        <x:v>1410224600.4916506</x:v>
      </x:c>
      <x:c r="AD290" s="80" t="n">
        <x:f>Z290/(1+'Inputs'!$C$44)</x:f>
        <x:v>0.00019527989423951433</x:v>
      </x:c>
      <x:c r="AE290" s="80" t="n">
        <x:f>Z290-AD290</x:f>
        <x:v>0.00004881997355987857</x:v>
      </x:c>
      <x:c r="AF290" s="80" t="n">
        <x:f>D290*W290</x:f>
        <x:v>2.3154188104916805e-7</x:v>
      </x:c>
      <x:c r="AG290" s="80" t="n">
        <x:f>C290*W290</x:f>
        <x:v>5.402643891147341e-7</x:v>
      </x:c>
      <x:c r="AH290" s="80" t="n">
        <x:f>2*'Inputs'!$B$8*'Inputs'!$C$44</x:f>
        <x:v>1250</x:v>
      </x:c>
      <x:c r="AI290" s="81" t="n">
        <x:f>IF(AH290&gt;0,(AE290+AF290)/AH290*365,0)</x:f>
        <x:v>0.000014323042508750898</x:v>
      </x:c>
      <x:c r="AJ290" s="81" t="n">
        <x:f>IF('Inputs'!$B$44&gt;0,AG290/('Inputs'!$B$19*'Inputs'!$B$44)*365,0)</x:f>
        <x:v>1.9719650202687796e-8</x:v>
      </x:c>
      <x:c r="AK290" s="81" t="n">
        <x:f>W290/MAX($W$4:W290)-1</x:f>
        <x:v>-0.9999999987170256</x:v>
      </x:c>
      <x:c r="AL290" s="83" t="n">
        <x:f>'Inputs'!$B$44</x:f>
        <x:v>1</x:v>
      </x:c>
      <x:c r="AM290" s="83" t="n">
        <x:f>'Inputs'!$C$44</x:f>
        <x:v>0.25</x:v>
      </x:c>
      <x:c r="AN290" s="83" t="n">
        <x:f>'Inputs'!$D$44</x:f>
        <x:v>0.2</x:v>
      </x:c>
      <x:c r="AO290" s="81" t="n">
        <x:f>'Inputs'!$E$44</x:f>
        <x:v>-0.2</x:v>
      </x:c>
    </x:row>
    <x:row r="291">
      <x:c r="A291" s="59" t="str">
        <x:v>No demand</x:v>
      </x:c>
      <x:c r="B291" s="59" t="n">
        <x:v>288</x:v>
      </x:c>
      <x:c r="C291" s="78" t="n">
        <x:f>(('Inputs'!$B$29*(3*288*'Inputs'!$B$12-288^2)/(2*'Inputs'!$B$12^2))-('Inputs'!$B$29*(3*287*'Inputs'!$B$12-287^2)/(2*'Inputs'!$B$12^2)))*'Inputs'!$B$44</x:f>
        <x:v>618517.7800712883</x:v>
      </x:c>
      <x:c r="D291" s="78" t="n">
        <x:f>IF('Inputs'!$C$44&gt;0,('Inputs'!$B$30*(3*288*'Inputs'!$B$12-288^2)/(2*'Inputs'!$B$12^2))-('Inputs'!$B$30*(3*287*'Inputs'!$B$12-287^2)/(2*'Inputs'!$B$12^2)),0)</x:f>
        <x:v>265079.048601985</x:v>
      </x:c>
      <x:c r="E291" s="78" t="n">
        <x:f>C291+D291</x:f>
        <x:v>883596.8286732733</x:v>
      </x:c>
      <x:c r="F291" s="78" t="n">
        <x:f>'Inputs'!$B$13*E291+(1-'Inputs'!$B$13)/'Inputs'!$B$14*SUM(E236:E291)</x:f>
        <x:v>893814.505535743</x:v>
      </x:c>
      <x:c r="G291" s="78" t="n">
        <x:f>F291*'Inputs'!$F$44</x:f>
        <x:v>804433.0549821687</x:v>
      </x:c>
      <x:c r="H291" s="78" t="n">
        <x:f>U290</x:f>
        <x:v>116498381770.07164</x:v>
      </x:c>
      <x:c r="I291" s="78" t="n">
        <x:f>V290</x:f>
        <x:v>0.10170582595878908</x:v>
      </x:c>
      <x:c r="J291" s="79" t="n">
        <x:f>IF(H291&gt;0,I291/H291,0)</x:f>
        <x:v>8.730235082537193e-13</x:v>
      </x:c>
      <x:c r="K291" s="80" t="n">
        <x:f>(H291*J291+I291)*'Inputs'!$D$44*(1+'Inputs'!$G$44)^(B291/30)</x:f>
        <x:v>0.04068233038351563</x:v>
      </x:c>
      <x:c r="L291" s="80" t="n">
        <x:f>MAX(0,K291*'Inputs'!$E$44)</x:f>
        <x:v>0</x:v>
      </x:c>
      <x:c r="M291" s="80" t="n">
        <x:f>MAX(0,-K291*'Inputs'!$E$44)</x:f>
        <x:v>0.008136466076703127</x:v>
      </x:c>
      <x:c r="N291" s="78" t="n">
        <x:f>H291*(L291*(1-'Inputs'!$B$15))/(I291+L291*(1-'Inputs'!$B$15))</x:f>
        <x:v>0</x:v>
      </x:c>
      <x:c r="O291" s="78" t="n">
        <x:f>H291-N291</x:f>
        <x:v>116498381770.07164</x:v>
      </x:c>
      <x:c r="P291" s="78" t="n">
        <x:f>I291+L291*(1-'Inputs'!$B$17)</x:f>
        <x:v>0.10170582595878908</x:v>
      </x:c>
      <x:c r="Q291" s="78" t="n">
        <x:f>IF(J291&gt;0,M291/J291,0)</x:f>
        <x:v>0</x:v>
      </x:c>
      <x:c r="R291" s="78" t="n">
        <x:f>IF(B291='Inputs'!$H$44,'Inputs'!$B$27*'Inputs'!$I$44,0)</x:f>
        <x:v>0</x:v>
      </x:c>
      <x:c r="S291" s="78" t="n">
        <x:f>Q291+G291+R291</x:f>
        <x:v>804433.0549821687</x:v>
      </x:c>
      <x:c r="T291" s="78" t="n">
        <x:f>P291*(S291*(1-'Inputs'!$B$15))/(O291+S291*(1-'Inputs'!$B$15))</x:f>
        <x:v>6.952613252966777e-7</x:v>
      </x:c>
      <x:c r="U291" s="78" t="n">
        <x:f>O291+S291*(1-'Inputs'!$B$17)</x:f>
        <x:v>116499182965.97147</x:v>
      </x:c>
      <x:c r="V291" s="78" t="n">
        <x:f>P291-T291</x:f>
        <x:v>0.10170513069746379</x:v>
      </x:c>
      <x:c r="W291" s="79" t="n">
        <x:f>IF(U291&gt;0,V291/U291,0)</x:f>
        <x:v>8.730115362883797e-13</x:v>
      </x:c>
      <x:c r="X291" s="80" t="n">
        <x:f>W291*('Inputs'!$B$6-AC291)</x:f>
        <x:v>-0.0003581336347722942</x:v>
      </x:c>
      <x:c r="Y291" s="80" t="n">
        <x:f>2*V291</x:f>
        <x:v>0.20341026139492757</x:v>
      </x:c>
      <x:c r="Z291" s="80" t="n">
        <x:f>K291*'Inputs'!$B$16+(G291+R291)*J291*'Inputs'!$B$16</x:f>
        <x:v>0.00024409819603490068</x:v>
      </x:c>
      <x:c r="AA291" s="80" t="n">
        <x:f>K291*(1+'Inputs'!$E$44)/2*'Inputs'!$B$17</x:f>
        <x:v>0.00006548463643221833</x:v>
      </x:c>
      <x:c r="AB291" s="78" t="n">
        <x:f>(IF(J291&gt;0,K291*(1-'Inputs'!$E$44)/2/J291,0)+G291+R291)*'Inputs'!$B$17</x:f>
        <x:v>3237.155150833677</x:v>
      </x:c>
      <x:c r="AC291" s="78" t="n">
        <x:f>AC290+AB291</x:f>
        <x:v>1410227837.6468015</x:v>
      </x:c>
      <x:c r="AD291" s="80" t="n">
        <x:f>Z291/(1+'Inputs'!$C$44)</x:f>
        <x:v>0.00019527855682792053</x:v>
      </x:c>
      <x:c r="AE291" s="80" t="n">
        <x:f>Z291-AD291</x:f>
        <x:v>0.00004881963920698015</x:v>
      </x:c>
      <x:c r="AF291" s="80" t="n">
        <x:f>D291*W291</x:f>
        <x:v>2.31417067457881e-7</x:v>
      </x:c>
      <x:c r="AG291" s="80" t="n">
        <x:f>C291*W291</x:f>
        <x:v>5.399731574017136e-7</x:v>
      </x:c>
      <x:c r="AH291" s="80" t="n">
        <x:f>2*'Inputs'!$B$8*'Inputs'!$C$44</x:f>
        <x:v>1250</x:v>
      </x:c>
      <x:c r="AI291" s="81" t="n">
        <x:f>IF(AH291&gt;0,(AE291+AF291)/AH291*365,0)</x:f>
        <x:v>0.000014322908432135905</x:v>
      </x:c>
      <x:c r="AJ291" s="81" t="n">
        <x:f>IF('Inputs'!$B$44&gt;0,AG291/('Inputs'!$B$19*'Inputs'!$B$44)*365,0)</x:f>
        <x:v>1.9709020245162547e-8</x:v>
      </x:c>
      <x:c r="AK291" s="81" t="n">
        <x:f>W291/MAX($W$4:W291)-1</x:f>
        <x:v>-0.9999999987170433</x:v>
      </x:c>
      <x:c r="AL291" s="83" t="n">
        <x:f>'Inputs'!$B$44</x:f>
        <x:v>1</x:v>
      </x:c>
      <x:c r="AM291" s="83" t="n">
        <x:f>'Inputs'!$C$44</x:f>
        <x:v>0.25</x:v>
      </x:c>
      <x:c r="AN291" s="83" t="n">
        <x:f>'Inputs'!$D$44</x:f>
        <x:v>0.2</x:v>
      </x:c>
      <x:c r="AO291" s="81" t="n">
        <x:f>'Inputs'!$E$44</x:f>
        <x:v>-0.2</x:v>
      </x:c>
    </x:row>
    <x:row r="292">
      <x:c r="A292" s="59" t="str">
        <x:v>No demand</x:v>
      </x:c>
      <x:c r="B292" s="59" t="n">
        <x:v>289</x:v>
      </x:c>
      <x:c r="C292" s="78" t="n">
        <x:f>(('Inputs'!$B$29*(3*289*'Inputs'!$B$12-289^2)/(2*'Inputs'!$B$12^2))-('Inputs'!$B$29*(3*288*'Inputs'!$B$12-288^2)/(2*'Inputs'!$B$12^2)))*'Inputs'!$B$44</x:f>
        <x:v>618192.6721711457</x:v>
      </x:c>
      <x:c r="D292" s="78" t="n">
        <x:f>IF('Inputs'!$C$44&gt;0,('Inputs'!$B$30*(3*289*'Inputs'!$B$12-289^2)/(2*'Inputs'!$B$12^2))-('Inputs'!$B$30*(3*288*'Inputs'!$B$12-288^2)/(2*'Inputs'!$B$12^2)),0)</x:f>
        <x:v>264939.71664477885</x:v>
      </x:c>
      <x:c r="E292" s="78" t="n">
        <x:f>C292+D292</x:f>
        <x:v>883132.3888159245</x:v>
      </x:c>
      <x:c r="F292" s="78" t="n">
        <x:f>'Inputs'!$B$13*E292+(1-'Inputs'!$B$13)/'Inputs'!$B$14*SUM(E237:E292)</x:f>
        <x:v>893350.065678366</x:v>
      </x:c>
      <x:c r="G292" s="78" t="n">
        <x:f>F292*'Inputs'!$F$44</x:f>
        <x:v>804015.0591105294</x:v>
      </x:c>
      <x:c r="H292" s="78" t="n">
        <x:f>U291</x:f>
        <x:v>116499182965.97147</x:v>
      </x:c>
      <x:c r="I292" s="78" t="n">
        <x:f>V291</x:f>
        <x:v>0.10170513069746379</x:v>
      </x:c>
      <x:c r="J292" s="79" t="n">
        <x:f>IF(H292&gt;0,I292/H292,0)</x:f>
        <x:v>8.730115362883797e-13</x:v>
      </x:c>
      <x:c r="K292" s="80" t="n">
        <x:f>(H292*J292+I292)*'Inputs'!$D$44*(1+'Inputs'!$G$44)^(B292/30)</x:f>
        <x:v>0.04068205227898552</x:v>
      </x:c>
      <x:c r="L292" s="80" t="n">
        <x:f>MAX(0,K292*'Inputs'!$E$44)</x:f>
        <x:v>0</x:v>
      </x:c>
      <x:c r="M292" s="80" t="n">
        <x:f>MAX(0,-K292*'Inputs'!$E$44)</x:f>
        <x:v>0.008136410455797103</x:v>
      </x:c>
      <x:c r="N292" s="78" t="n">
        <x:f>H292*(L292*(1-'Inputs'!$B$15))/(I292+L292*(1-'Inputs'!$B$15))</x:f>
        <x:v>0</x:v>
      </x:c>
      <x:c r="O292" s="78" t="n">
        <x:f>H292-N292</x:f>
        <x:v>116499182965.97147</x:v>
      </x:c>
      <x:c r="P292" s="78" t="n">
        <x:f>I292+L292*(1-'Inputs'!$B$17)</x:f>
        <x:v>0.10170513069746379</x:v>
      </x:c>
      <x:c r="Q292" s="78" t="n">
        <x:f>IF(J292&gt;0,M292/J292,0)</x:f>
        <x:v>0</x:v>
      </x:c>
      <x:c r="R292" s="78" t="n">
        <x:f>IF(B292='Inputs'!$H$44,'Inputs'!$B$27*'Inputs'!$I$44,0)</x:f>
        <x:v>0</x:v>
      </x:c>
      <x:c r="S292" s="78" t="n">
        <x:f>Q292+G292+R292</x:f>
        <x:v>804015.0591105294</x:v>
      </x:c>
      <x:c r="T292" s="78" t="n">
        <x:f>P292*(S292*(1-'Inputs'!$B$15))/(O292+S292*(1-'Inputs'!$B$15))</x:f>
        <x:v>6.948905299283508e-7</x:v>
      </x:c>
      <x:c r="U292" s="78" t="n">
        <x:f>O292+S292*(1-'Inputs'!$B$17)</x:f>
        <x:v>116499983745.5575</x:v>
      </x:c>
      <x:c r="V292" s="78" t="n">
        <x:f>P292-T292</x:f>
        <x:v>0.10170443580693386</x:v>
      </x:c>
      <x:c r="W292" s="79" t="n">
        <x:f>IF(U292&gt;0,V292/U292,0)</x:f>
        <x:v>8.729995707901733e-13</x:v>
      </x:c>
      <x:c r="X292" s="80" t="n">
        <x:f>W292*('Inputs'!$B$6-AC292)</x:f>
        <x:v>-0.0003581315507584443</x:v>
      </x:c>
      <x:c r="Y292" s="80" t="n">
        <x:f>2*V292</x:f>
        <x:v>0.20340887161386773</x:v>
      </x:c>
      <x:c r="Z292" s="80" t="n">
        <x:f>K292*'Inputs'!$B$16+(G292+R292)*J292*'Inputs'!$B$16</x:f>
        <x:v>0.00024409652516044482</x:v>
      </x:c>
      <x:c r="AA292" s="80" t="n">
        <x:f>K292*(1+'Inputs'!$E$44)/2*'Inputs'!$B$17</x:f>
        <x:v>0.00006548418877905113</x:v>
      </x:c>
      <x:c r="AB292" s="78" t="n">
        <x:f>(IF(J292&gt;0,K292*(1-'Inputs'!$E$44)/2/J292,0)+G292+R292)*'Inputs'!$B$17</x:f>
        <x:v>3235.4730748914667</x:v>
      </x:c>
      <x:c r="AC292" s="78" t="n">
        <x:f>AC291+AB292</x:f>
        <x:v>1410231073.1198764</x:v>
      </x:c>
      <x:c r="AD292" s="80" t="n">
        <x:f>Z292/(1+'Inputs'!$C$44)</x:f>
        <x:v>0.00019527722012835586</x:v>
      </x:c>
      <x:c r="AE292" s="80" t="n">
        <x:f>Z292-AD292</x:f>
        <x:v>0.000048819305032088965</x:v>
      </x:c>
      <x:c r="AF292" s="80" t="n">
        <x:f>D292*W292</x:f>
        <x:v>2.3129225891616207e-7</x:v>
      </x:c>
      <x:c r="AG292" s="80" t="n">
        <x:f>C292*W292</x:f>
        <x:v>5.396819374710404e-7</x:v>
      </x:c>
      <x:c r="AH292" s="80" t="n">
        <x:f>2*'Inputs'!$B$8*'Inputs'!$C$44</x:f>
        <x:v>1250</x:v>
      </x:c>
      <x:c r="AI292" s="81" t="n">
        <x:f>IF(AH292&gt;0,(AE292+AF292)/AH292*365,0)</x:f>
        <x:v>0.000014322774408973496</x:v>
      </x:c>
      <x:c r="AJ292" s="81" t="n">
        <x:f>IF('Inputs'!$B$44&gt;0,AG292/('Inputs'!$B$19*'Inputs'!$B$44)*365,0)</x:f>
        <x:v>1.9698390717692976e-8</x:v>
      </x:c>
      <x:c r="AK292" s="81" t="n">
        <x:f>W292/MAX($W$4:W292)-1</x:f>
        <x:v>-0.9999999987170608</x:v>
      </x:c>
      <x:c r="AL292" s="83" t="n">
        <x:f>'Inputs'!$B$44</x:f>
        <x:v>1</x:v>
      </x:c>
      <x:c r="AM292" s="83" t="n">
        <x:f>'Inputs'!$C$44</x:f>
        <x:v>0.25</x:v>
      </x:c>
      <x:c r="AN292" s="83" t="n">
        <x:f>'Inputs'!$D$44</x:f>
        <x:v>0.2</x:v>
      </x:c>
      <x:c r="AO292" s="81" t="n">
        <x:f>'Inputs'!$E$44</x:f>
        <x:v>-0.2</x:v>
      </x:c>
    </x:row>
    <x:row r="293">
      <x:c r="A293" s="59" t="str">
        <x:v>No demand</x:v>
      </x:c>
      <x:c r="B293" s="59" t="n">
        <x:v>290</x:v>
      </x:c>
      <x:c r="C293" s="78" t="n">
        <x:f>(('Inputs'!$B$29*(3*290*'Inputs'!$B$12-290^2)/(2*'Inputs'!$B$12^2))-('Inputs'!$B$29*(3*289*'Inputs'!$B$12-289^2)/(2*'Inputs'!$B$12^2)))*'Inputs'!$B$44</x:f>
        <x:v>617867.5642709732</x:v>
      </x:c>
      <x:c r="D293" s="78" t="n">
        <x:f>IF('Inputs'!$C$44&gt;0,('Inputs'!$B$30*(3*290*'Inputs'!$B$12-290^2)/(2*'Inputs'!$B$12^2))-('Inputs'!$B$30*(3*289*'Inputs'!$B$12-289^2)/(2*'Inputs'!$B$12^2)),0)</x:f>
        <x:v>264800.3846875578</x:v>
      </x:c>
      <x:c r="E293" s="78" t="n">
        <x:f>C293+D293</x:f>
        <x:v>882667.948958531</x:v>
      </x:c>
      <x:c r="F293" s="78" t="n">
        <x:f>'Inputs'!$B$13*E293+(1-'Inputs'!$B$13)/'Inputs'!$B$14*SUM(E238:E293)</x:f>
        <x:v>892885.6258209802</x:v>
      </x:c>
      <x:c r="G293" s="78" t="n">
        <x:f>F293*'Inputs'!$F$44</x:f>
        <x:v>803597.0632388822</x:v>
      </x:c>
      <x:c r="H293" s="78" t="n">
        <x:f>U292</x:f>
        <x:v>116499983745.5575</x:v>
      </x:c>
      <x:c r="I293" s="78" t="n">
        <x:f>V292</x:f>
        <x:v>0.10170443580693386</x:v>
      </x:c>
      <x:c r="J293" s="79" t="n">
        <x:f>IF(H293&gt;0,I293/H293,0)</x:f>
        <x:v>8.729995707901733e-13</x:v>
      </x:c>
      <x:c r="K293" s="80" t="n">
        <x:f>(H293*J293+I293)*'Inputs'!$D$44*(1+'Inputs'!$G$44)^(B293/30)</x:f>
        <x:v>0.04068177432277355</x:v>
      </x:c>
      <x:c r="L293" s="80" t="n">
        <x:f>MAX(0,K293*'Inputs'!$E$44)</x:f>
        <x:v>0</x:v>
      </x:c>
      <x:c r="M293" s="80" t="n">
        <x:f>MAX(0,-K293*'Inputs'!$E$44)</x:f>
        <x:v>0.00813635486455471</x:v>
      </x:c>
      <x:c r="N293" s="78" t="n">
        <x:f>H293*(L293*(1-'Inputs'!$B$15))/(I293+L293*(1-'Inputs'!$B$15))</x:f>
        <x:v>0</x:v>
      </x:c>
      <x:c r="O293" s="78" t="n">
        <x:f>H293-N293</x:f>
        <x:v>116499983745.5575</x:v>
      </x:c>
      <x:c r="P293" s="78" t="n">
        <x:f>I293+L293*(1-'Inputs'!$B$17)</x:f>
        <x:v>0.10170443580693386</x:v>
      </x:c>
      <x:c r="Q293" s="78" t="n">
        <x:f>IF(J293&gt;0,M293/J293,0)</x:f>
        <x:v>0</x:v>
      </x:c>
      <x:c r="R293" s="78" t="n">
        <x:f>IF(B293='Inputs'!$H$44,'Inputs'!$B$27*'Inputs'!$I$44,0)</x:f>
        <x:v>0</x:v>
      </x:c>
      <x:c r="S293" s="78" t="n">
        <x:f>Q293+G293+R293</x:f>
        <x:v>803597.0632388822</x:v>
      </x:c>
      <x:c r="T293" s="78" t="n">
        <x:f>P293*(S293*(1-'Inputs'!$B$15))/(O293+S293*(1-'Inputs'!$B$15))</x:f>
        <x:v>6.945197496105733e-7</x:v>
      </x:c>
      <x:c r="U293" s="78" t="n">
        <x:f>O293+S293*(1-'Inputs'!$B$17)</x:f>
        <x:v>116500784108.82974</x:v>
      </x:c>
      <x:c r="V293" s="78" t="n">
        <x:f>P293-T293</x:f>
        <x:v>0.10170374128718425</x:v>
      </x:c>
      <x:c r="W293" s="79" t="n">
        <x:f>IF(U293&gt;0,V293/U293,0)</x:f>
        <x:v>8.729876117587091e-13</x:v>
      </x:c>
      <x:c r="X293" s="80" t="n">
        <x:f>W293*('Inputs'!$B$6-AC293)</x:f>
        <x:v>-0.00035812946785161433</x:v>
      </x:c>
      <x:c r="Y293" s="80" t="n">
        <x:f>2*V293</x:f>
        <x:v>0.2034074825743685</x:v>
      </x:c>
      <x:c r="Z293" s="80" t="n">
        <x:f>K293*'Inputs'!$B$16+(G293+R293)*J293*'Inputs'!$B$16</x:f>
        <x:v>0.00024409485517598906</x:v>
      </x:c>
      <x:c r="AA293" s="80" t="n">
        <x:f>K293*(1+'Inputs'!$E$44)/2*'Inputs'!$B$17</x:f>
        <x:v>0.00006548374136462543</x:v>
      </x:c>
      <x:c r="AB293" s="78" t="n">
        <x:f>(IF(J293&gt;0,K293*(1-'Inputs'!$E$44)/2/J293,0)+G293+R293)*'Inputs'!$B$17</x:f>
        <x:v>3233.7909989492246</x:v>
      </x:c>
      <x:c r="AC293" s="78" t="n">
        <x:f>AC292+AB293</x:f>
        <x:v>1410234306.9108753</x:v>
      </x:c>
      <x:c r="AD293" s="80" t="n">
        <x:f>Z293/(1+'Inputs'!$C$44)</x:f>
        <x:v>0.00019527588414079125</x:v>
      </x:c>
      <x:c r="AE293" s="80" t="n">
        <x:f>Z293-AD293</x:f>
        <x:v>0.00004881897103519781</x:v>
      </x:c>
      <x:c r="AF293" s="80" t="n">
        <x:f>D293*W293</x:f>
        <x:v>2.3116745542117853e-7</x:v>
      </x:c>
      <x:c r="AG293" s="80" t="n">
        <x:f>C293*W293</x:f>
        <x:v>5.393907293160876e-7</x:v>
      </x:c>
      <x:c r="AH293" s="80" t="n">
        <x:f>2*'Inputs'!$B$8*'Inputs'!$C$44</x:f>
        <x:v>1250</x:v>
      </x:c>
      <x:c r="AI293" s="81" t="n">
        <x:f>IF(AH293&gt;0,(AE293+AF293)/AH293*365,0)</x:f>
        <x:v>0.000014322640439260744</x:v>
      </x:c>
      <x:c r="AJ293" s="81" t="n">
        <x:f>IF('Inputs'!$B$44&gt;0,AG293/('Inputs'!$B$19*'Inputs'!$B$44)*365,0)</x:f>
        <x:v>1.9687761620037197e-8</x:v>
      </x:c>
      <x:c r="AK293" s="81" t="n">
        <x:f>W293/MAX($W$4:W293)-1</x:f>
        <x:v>-0.9999999987170783</x:v>
      </x:c>
      <x:c r="AL293" s="83" t="n">
        <x:f>'Inputs'!$B$44</x:f>
        <x:v>1</x:v>
      </x:c>
      <x:c r="AM293" s="83" t="n">
        <x:f>'Inputs'!$C$44</x:f>
        <x:v>0.25</x:v>
      </x:c>
      <x:c r="AN293" s="83" t="n">
        <x:f>'Inputs'!$D$44</x:f>
        <x:v>0.2</x:v>
      </x:c>
      <x:c r="AO293" s="81" t="n">
        <x:f>'Inputs'!$E$44</x:f>
        <x:v>-0.2</x:v>
      </x:c>
    </x:row>
    <x:row r="294">
      <x:c r="A294" s="59" t="str">
        <x:v>No demand</x:v>
      </x:c>
      <x:c r="B294" s="59" t="n">
        <x:v>291</x:v>
      </x:c>
      <x:c r="C294" s="78" t="n">
        <x:f>(('Inputs'!$B$29*(3*291*'Inputs'!$B$12-291^2)/(2*'Inputs'!$B$12^2))-('Inputs'!$B$29*(3*290*'Inputs'!$B$12-290^2)/(2*'Inputs'!$B$12^2)))*'Inputs'!$B$44</x:f>
        <x:v>617542.4563708007</x:v>
      </x:c>
      <x:c r="D294" s="78" t="n">
        <x:f>IF('Inputs'!$C$44&gt;0,('Inputs'!$B$30*(3*291*'Inputs'!$B$12-291^2)/(2*'Inputs'!$B$12^2))-('Inputs'!$B$30*(3*290*'Inputs'!$B$12-290^2)/(2*'Inputs'!$B$12^2)),0)</x:f>
        <x:v>264661.0527303368</x:v>
      </x:c>
      <x:c r="E294" s="78" t="n">
        <x:f>C294+D294</x:f>
        <x:v>882203.5091011375</x:v>
      </x:c>
      <x:c r="F294" s="78" t="n">
        <x:f>'Inputs'!$B$13*E294+(1-'Inputs'!$B$13)/'Inputs'!$B$14*SUM(E239:E294)</x:f>
        <x:v>892421.1859635941</x:v>
      </x:c>
      <x:c r="G294" s="78" t="n">
        <x:f>F294*'Inputs'!$F$44</x:f>
        <x:v>803179.0673672347</x:v>
      </x:c>
      <x:c r="H294" s="78" t="n">
        <x:f>U293</x:f>
        <x:v>116500784108.82974</x:v>
      </x:c>
      <x:c r="I294" s="78" t="n">
        <x:f>V293</x:f>
        <x:v>0.10170374128718425</x:v>
      </x:c>
      <x:c r="J294" s="79" t="n">
        <x:f>IF(H294&gt;0,I294/H294,0)</x:f>
        <x:v>8.729876117587091e-13</x:v>
      </x:c>
      <x:c r="K294" s="80" t="n">
        <x:f>(H294*J294+I294)*'Inputs'!$D$44*(1+'Inputs'!$G$44)^(B294/30)</x:f>
        <x:v>0.040681496514873704</x:v>
      </x:c>
      <x:c r="L294" s="80" t="n">
        <x:f>MAX(0,K294*'Inputs'!$E$44)</x:f>
        <x:v>0</x:v>
      </x:c>
      <x:c r="M294" s="80" t="n">
        <x:f>MAX(0,-K294*'Inputs'!$E$44)</x:f>
        <x:v>0.00813629930297474</x:v>
      </x:c>
      <x:c r="N294" s="78" t="n">
        <x:f>H294*(L294*(1-'Inputs'!$B$15))/(I294+L294*(1-'Inputs'!$B$15))</x:f>
        <x:v>0</x:v>
      </x:c>
      <x:c r="O294" s="78" t="n">
        <x:f>H294-N294</x:f>
        <x:v>116500784108.82974</x:v>
      </x:c>
      <x:c r="P294" s="78" t="n">
        <x:f>I294+L294*(1-'Inputs'!$B$17)</x:f>
        <x:v>0.10170374128718425</x:v>
      </x:c>
      <x:c r="Q294" s="78" t="n">
        <x:f>IF(J294&gt;0,M294/J294,0)</x:f>
        <x:v>0</x:v>
      </x:c>
      <x:c r="R294" s="78" t="n">
        <x:f>IF(B294='Inputs'!$H$44,'Inputs'!$B$27*'Inputs'!$I$44,0)</x:f>
        <x:v>0</x:v>
      </x:c>
      <x:c r="S294" s="78" t="n">
        <x:f>Q294+G294+R294</x:f>
        <x:v>803179.0673672347</x:v>
      </x:c>
      <x:c r="T294" s="78" t="n">
        <x:f>P294*(S294*(1-'Inputs'!$B$15))/(O294+S294*(1-'Inputs'!$B$15))</x:f>
        <x:v>6.941489843350119e-7</x:v>
      </x:c>
      <x:c r="U294" s="78" t="n">
        <x:f>O294+S294*(1-'Inputs'!$B$17)</x:f>
        <x:v>116501584055.7882</x:v>
      </x:c>
      <x:c r="V294" s="78" t="n">
        <x:f>P294-T294</x:f>
        <x:v>0.10170304713819991</x:v>
      </x:c>
      <x:c r="W294" s="79" t="n">
        <x:f>IF(U294&gt;0,V294/U294,0)</x:f>
        <x:v>8.729756591935967e-13</x:v>
      </x:c>
      <x:c r="X294" s="80" t="n">
        <x:f>W294*('Inputs'!$B$6-AC294)</x:f>
        <x:v>-0.00035812738605176724</x:v>
      </x:c>
      <x:c r="Y294" s="80" t="n">
        <x:f>2*V294</x:f>
        <x:v>0.20340609427639983</x:v>
      </x:c>
      <x:c r="Z294" s="80" t="n">
        <x:f>K294*'Inputs'!$B$16+(G294+R294)*J294*'Inputs'!$B$16</x:f>
        <x:v>0.00024409318608149724</x:v>
      </x:c>
      <x:c r="AA294" s="80" t="n">
        <x:f>K294*(1+'Inputs'!$E$44)/2*'Inputs'!$B$17</x:f>
        <x:v>0.00006548329418893151</x:v>
      </x:c>
      <x:c r="AB294" s="78" t="n">
        <x:f>(IF(J294&gt;0,K294*(1-'Inputs'!$E$44)/2/J294,0)+G294+R294)*'Inputs'!$B$17</x:f>
        <x:v>3232.108923006981</x:v>
      </x:c>
      <x:c r="AC294" s="78" t="n">
        <x:f>AC293+AB294</x:f>
        <x:v>1410237539.0197983</x:v>
      </x:c>
      <x:c r="AD294" s="80" t="n">
        <x:f>Z294/(1+'Inputs'!$C$44)</x:f>
        <x:v>0.00019527454886519779</x:v>
      </x:c>
      <x:c r="AE294" s="80" t="n">
        <x:f>Z294-AD294</x:f>
        <x:v>0.00004881863721629945</x:v>
      </x:c>
      <x:c r="AF294" s="80" t="n">
        <x:f>D294*W294</x:f>
        <x:v>2.3104265697013702e-7</x:v>
      </x:c>
      <x:c r="AG294" s="80" t="n">
        <x:f>C294*W294</x:f>
        <x:v>5.390995329303328e-7</x:v>
      </x:c>
      <x:c r="AH294" s="80" t="n">
        <x:f>2*'Inputs'!$B$8*'Inputs'!$C$44</x:f>
        <x:v>1250</x:v>
      </x:c>
      <x:c r="AI294" s="81" t="n">
        <x:f>IF(AH294&gt;0,(AE294+AF294)/AH294*365,0)</x:f>
        <x:v>0.00001432250652299472</x:v>
      </x:c>
      <x:c r="AJ294" s="81" t="n">
        <x:f>IF('Inputs'!$B$44&gt;0,AG294/('Inputs'!$B$19*'Inputs'!$B$44)*365,0)</x:f>
        <x:v>1.9677132951957146e-8</x:v>
      </x:c>
      <x:c r="AK294" s="81" t="n">
        <x:f>W294/MAX($W$4:W294)-1</x:f>
        <x:v>-0.999999998717096</x:v>
      </x:c>
      <x:c r="AL294" s="83" t="n">
        <x:f>'Inputs'!$B$44</x:f>
        <x:v>1</x:v>
      </x:c>
      <x:c r="AM294" s="83" t="n">
        <x:f>'Inputs'!$C$44</x:f>
        <x:v>0.25</x:v>
      </x:c>
      <x:c r="AN294" s="83" t="n">
        <x:f>'Inputs'!$D$44</x:f>
        <x:v>0.2</x:v>
      </x:c>
      <x:c r="AO294" s="81" t="n">
        <x:f>'Inputs'!$E$44</x:f>
        <x:v>-0.2</x:v>
      </x:c>
    </x:row>
    <x:row r="295">
      <x:c r="A295" s="59" t="str">
        <x:v>No demand</x:v>
      </x:c>
      <x:c r="B295" s="59" t="n">
        <x:v>292</x:v>
      </x:c>
      <x:c r="C295" s="78" t="n">
        <x:f>(('Inputs'!$B$29*(3*292*'Inputs'!$B$12-292^2)/(2*'Inputs'!$B$12^2))-('Inputs'!$B$29*(3*291*'Inputs'!$B$12-291^2)/(2*'Inputs'!$B$12^2)))*'Inputs'!$B$44</x:f>
        <x:v>617217.3484706283</x:v>
      </x:c>
      <x:c r="D295" s="78" t="n">
        <x:f>IF('Inputs'!$C$44&gt;0,('Inputs'!$B$30*(3*292*'Inputs'!$B$12-292^2)/(2*'Inputs'!$B$12^2))-('Inputs'!$B$30*(3*291*'Inputs'!$B$12-291^2)/(2*'Inputs'!$B$12^2)),0)</x:f>
        <x:v>264521.72077313066</x:v>
      </x:c>
      <x:c r="E295" s="78" t="n">
        <x:f>C295+D295</x:f>
        <x:v>881739.0692437589</x:v>
      </x:c>
      <x:c r="F295" s="78" t="n">
        <x:f>'Inputs'!$B$13*E295+(1-'Inputs'!$B$13)/'Inputs'!$B$14*SUM(E240:E295)</x:f>
        <x:v>891956.7461062113</x:v>
      </x:c>
      <x:c r="G295" s="78" t="n">
        <x:f>F295*'Inputs'!$F$44</x:f>
        <x:v>802761.0714955903</x:v>
      </x:c>
      <x:c r="H295" s="78" t="n">
        <x:f>U294</x:f>
        <x:v>116501584055.7882</x:v>
      </x:c>
      <x:c r="I295" s="78" t="n">
        <x:f>V294</x:f>
        <x:v>0.10170304713819991</x:v>
      </x:c>
      <x:c r="J295" s="79" t="n">
        <x:f>IF(H295&gt;0,I295/H295,0)</x:f>
        <x:v>8.729756591935967e-13</x:v>
      </x:c>
      <x:c r="K295" s="80" t="n">
        <x:f>(H295*J295+I295)*'Inputs'!$D$44*(1+'Inputs'!$G$44)^(B295/30)</x:f>
        <x:v>0.04068121885527997</x:v>
      </x:c>
      <x:c r="L295" s="80" t="n">
        <x:f>MAX(0,K295*'Inputs'!$E$44)</x:f>
        <x:v>0</x:v>
      </x:c>
      <x:c r="M295" s="80" t="n">
        <x:f>MAX(0,-K295*'Inputs'!$E$44)</x:f>
        <x:v>0.008136243771055995</x:v>
      </x:c>
      <x:c r="N295" s="78" t="n">
        <x:f>H295*(L295*(1-'Inputs'!$B$15))/(I295+L295*(1-'Inputs'!$B$15))</x:f>
        <x:v>0</x:v>
      </x:c>
      <x:c r="O295" s="78" t="n">
        <x:f>H295-N295</x:f>
        <x:v>116501584055.7882</x:v>
      </x:c>
      <x:c r="P295" s="78" t="n">
        <x:f>I295+L295*(1-'Inputs'!$B$17)</x:f>
        <x:v>0.10170304713819991</x:v>
      </x:c>
      <x:c r="Q295" s="78" t="n">
        <x:f>IF(J295&gt;0,M295/J295,0)</x:f>
        <x:v>0</x:v>
      </x:c>
      <x:c r="R295" s="78" t="n">
        <x:f>IF(B295='Inputs'!$H$44,'Inputs'!$B$27*'Inputs'!$I$44,0)</x:f>
        <x:v>0</x:v>
      </x:c>
      <x:c r="S295" s="78" t="n">
        <x:f>Q295+G295+R295</x:f>
        <x:v>802761.0714955903</x:v>
      </x:c>
      <x:c r="T295" s="78" t="n">
        <x:f>P295*(S295*(1-'Inputs'!$B$15))/(O295+S295*(1-'Inputs'!$B$15))</x:f>
        <x:v>6.93778234093332e-7</x:v>
      </x:c>
      <x:c r="U295" s="78" t="n">
        <x:f>O295+S295*(1-'Inputs'!$B$17)</x:f>
        <x:v>116502383586.43285</x:v>
      </x:c>
      <x:c r="V295" s="78" t="n">
        <x:f>P295-T295</x:f>
        <x:v>0.10170235335996582</x:v>
      </x:c>
      <x:c r="W295" s="79" t="n">
        <x:f>IF(U295&gt;0,V295/U295,0)</x:f>
        <x:v>8.729637130944457e-13</x:v>
      </x:c>
      <x:c r="X295" s="80" t="n">
        <x:f>W295*('Inputs'!$B$6-AC295)</x:f>
        <x:v>-0.00035812530535886584</x:v>
      </x:c>
      <x:c r="Y295" s="80" t="n">
        <x:f>2*V295</x:f>
        <x:v>0.20340470671993163</x:v>
      </x:c>
      <x:c r="Z295" s="80" t="n">
        <x:f>K295*'Inputs'!$B$16+(G295+R295)*J295*'Inputs'!$B$16</x:f>
        <x:v>0.00024409151787693322</x:v>
      </x:c>
      <x:c r="AA295" s="80" t="n">
        <x:f>K295*(1+'Inputs'!$E$44)/2*'Inputs'!$B$17</x:f>
        <x:v>0.00006548284725195972</x:v>
      </x:c>
      <x:c r="AB295" s="78" t="n">
        <x:f>(IF(J295&gt;0,K295*(1-'Inputs'!$E$44)/2/J295,0)+G295+R295)*'Inputs'!$B$17</x:f>
        <x:v>3230.42684706475</x:v>
      </x:c>
      <x:c r="AC295" s="78" t="n">
        <x:f>AC294+AB295</x:f>
        <x:v>1410240769.4466453</x:v>
      </x:c>
      <x:c r="AD295" s="80" t="n">
        <x:f>Z295/(1+'Inputs'!$C$44)</x:f>
        <x:v>0.00019527321430154657</x:v>
      </x:c>
      <x:c r="AE295" s="80" t="n">
        <x:f>Z295-AD295</x:f>
        <x:v>0.00004881830357538665</x:v>
      </x:c>
      <x:c r="AF295" s="80" t="n">
        <x:f>D295*W295</x:f>
        <x:v>2.309178635602443e-7</x:v>
      </x:c>
      <x:c r="AG295" s="80" t="n">
        <x:f>C295*W295</x:f>
        <x:v>5.38808348307228e-7</x:v>
      </x:c>
      <x:c r="AH295" s="80" t="n">
        <x:f>2*'Inputs'!$B$8*'Inputs'!$C$44</x:f>
        <x:v>1250</x:v>
      </x:c>
      <x:c r="AI295" s="81" t="n">
        <x:f>IF(AH295&gt;0,(AE295+AF295)/AH295*365,0)</x:f>
        <x:v>0.000014322372660172494</x:v>
      </x:c>
      <x:c r="AJ295" s="81" t="n">
        <x:f>IF('Inputs'!$B$44&gt;0,AG295/('Inputs'!$B$19*'Inputs'!$B$44)*365,0)</x:f>
        <x:v>1.966650471321382e-8</x:v>
      </x:c>
      <x:c r="AK295" s="81" t="n">
        <x:f>W295/MAX($W$4:W295)-1</x:f>
        <x:v>-0.9999999987171135</x:v>
      </x:c>
      <x:c r="AL295" s="83" t="n">
        <x:f>'Inputs'!$B$44</x:f>
        <x:v>1</x:v>
      </x:c>
      <x:c r="AM295" s="83" t="n">
        <x:f>'Inputs'!$C$44</x:f>
        <x:v>0.25</x:v>
      </x:c>
      <x:c r="AN295" s="83" t="n">
        <x:f>'Inputs'!$D$44</x:f>
        <x:v>0.2</x:v>
      </x:c>
      <x:c r="AO295" s="81" t="n">
        <x:f>'Inputs'!$E$44</x:f>
        <x:v>-0.2</x:v>
      </x:c>
    </x:row>
    <x:row r="296">
      <x:c r="A296" s="59" t="str">
        <x:v>No demand</x:v>
      </x:c>
      <x:c r="B296" s="59" t="n">
        <x:v>293</x:v>
      </x:c>
      <x:c r="C296" s="78" t="n">
        <x:f>(('Inputs'!$B$29*(3*293*'Inputs'!$B$12-293^2)/(2*'Inputs'!$B$12^2))-('Inputs'!$B$29*(3*292*'Inputs'!$B$12-292^2)/(2*'Inputs'!$B$12^2)))*'Inputs'!$B$44</x:f>
        <x:v>616892.2405704558</x:v>
      </x:c>
      <x:c r="D296" s="78" t="n">
        <x:f>IF('Inputs'!$C$44&gt;0,('Inputs'!$B$30*(3*293*'Inputs'!$B$12-293^2)/(2*'Inputs'!$B$12^2))-('Inputs'!$B$30*(3*292*'Inputs'!$B$12-292^2)/(2*'Inputs'!$B$12^2)),0)</x:f>
        <x:v>264382.3888159096</x:v>
      </x:c>
      <x:c r="E296" s="78" t="n">
        <x:f>C296+D296</x:f>
        <x:v>881274.6293863654</x:v>
      </x:c>
      <x:c r="F296" s="78" t="n">
        <x:f>'Inputs'!$B$13*E296+(1-'Inputs'!$B$13)/'Inputs'!$B$14*SUM(E241:E296)</x:f>
        <x:v>891492.3062488248</x:v>
      </x:c>
      <x:c r="G296" s="78" t="n">
        <x:f>F296*'Inputs'!$F$44</x:f>
        <x:v>802343.0756239423</x:v>
      </x:c>
      <x:c r="H296" s="78" t="n">
        <x:f>U295</x:f>
        <x:v>116502383586.43285</x:v>
      </x:c>
      <x:c r="I296" s="78" t="n">
        <x:f>V295</x:f>
        <x:v>0.10170235335996582</x:v>
      </x:c>
      <x:c r="J296" s="79" t="n">
        <x:f>IF(H296&gt;0,I296/H296,0)</x:f>
        <x:v>8.729637130944457e-13</x:v>
      </x:c>
      <x:c r="K296" s="80" t="n">
        <x:f>(H296*J296+I296)*'Inputs'!$D$44*(1+'Inputs'!$G$44)^(B296/30)</x:f>
        <x:v>0.04068094134398633</x:v>
      </x:c>
      <x:c r="L296" s="80" t="n">
        <x:f>MAX(0,K296*'Inputs'!$E$44)</x:f>
        <x:v>0</x:v>
      </x:c>
      <x:c r="M296" s="80" t="n">
        <x:f>MAX(0,-K296*'Inputs'!$E$44)</x:f>
        <x:v>0.008136188268797266</x:v>
      </x:c>
      <x:c r="N296" s="78" t="n">
        <x:f>H296*(L296*(1-'Inputs'!$B$15))/(I296+L296*(1-'Inputs'!$B$15))</x:f>
        <x:v>0</x:v>
      </x:c>
      <x:c r="O296" s="78" t="n">
        <x:f>H296-N296</x:f>
        <x:v>116502383586.43285</x:v>
      </x:c>
      <x:c r="P296" s="78" t="n">
        <x:f>I296+L296*(1-'Inputs'!$B$17)</x:f>
        <x:v>0.10170235335996582</x:v>
      </x:c>
      <x:c r="Q296" s="78" t="n">
        <x:f>IF(J296&gt;0,M296/J296,0)</x:f>
        <x:v>0</x:v>
      </x:c>
      <x:c r="R296" s="78" t="n">
        <x:f>IF(B296='Inputs'!$H$44,'Inputs'!$B$27*'Inputs'!$I$44,0)</x:f>
        <x:v>0</x:v>
      </x:c>
      <x:c r="S296" s="78" t="n">
        <x:f>Q296+G296+R296</x:f>
        <x:v>802343.0756239423</x:v>
      </x:c>
      <x:c r="T296" s="78" t="n">
        <x:f>P296*(S296*(1-'Inputs'!$B$15))/(O296+S296*(1-'Inputs'!$B$15))</x:f>
        <x:v>6.934074988771902e-7</x:v>
      </x:c>
      <x:c r="U296" s="78" t="n">
        <x:f>O296+S296*(1-'Inputs'!$B$17)</x:f>
        <x:v>116503182700.7637</x:v>
      </x:c>
      <x:c r="V296" s="78" t="n">
        <x:f>P296-T296</x:f>
        <x:v>0.10170165995246694</x:v>
      </x:c>
      <x:c r="W296" s="79" t="n">
        <x:f>IF(U296&gt;0,V296/U296,0)</x:f>
        <x:v>8.729517734608658e-13</x:v>
      </x:c>
      <x:c r="X296" s="80" t="n">
        <x:f>W296*('Inputs'!$B$6-AC296)</x:f>
        <x:v>-0.00035812322577287307</x:v>
      </x:c>
      <x:c r="Y296" s="80" t="n">
        <x:f>2*V296</x:f>
        <x:v>0.20340331990493388</x:v>
      </x:c>
      <x:c r="Z296" s="80" t="n">
        <x:f>K296*'Inputs'!$B$16+(G296+R296)*J296*'Inputs'!$B$16</x:f>
        <x:v>0.00024408985056226083</x:v>
      </x:c>
      <x:c r="AA296" s="80" t="n">
        <x:f>K296*(1+'Inputs'!$E$44)/2*'Inputs'!$B$17</x:f>
        <x:v>0.00006548240055370034</x:v>
      </x:c>
      <x:c r="AB296" s="78" t="n">
        <x:f>(IF(J296&gt;0,K296*(1-'Inputs'!$E$44)/2/J296,0)+G296+R296)*'Inputs'!$B$17</x:f>
        <x:v>3228.7447711225045</x:v>
      </x:c>
      <x:c r="AC296" s="78" t="n">
        <x:f>AC295+AB296</x:f>
        <x:v>1410243998.1914163</x:v>
      </x:c>
      <x:c r="AD296" s="80" t="n">
        <x:f>Z296/(1+'Inputs'!$C$44)</x:f>
        <x:v>0.00019527188044980866</x:v>
      </x:c>
      <x:c r="AE296" s="80" t="n">
        <x:f>Z296-AD296</x:f>
        <x:v>0.000048817970112452166</x:v>
      </x:c>
      <x:c r="AF296" s="80" t="n">
        <x:f>D296*W296</x:f>
        <x:v>2.307930751886685e-7</x:v>
      </x:c>
      <x:c r="AG296" s="80" t="n">
        <x:f>C296*W296</x:f>
        <x:v>5.385171754402265e-7</x:v>
      </x:c>
      <x:c r="AH296" s="80" t="n">
        <x:f>2*'Inputs'!$B$8*'Inputs'!$C$44</x:f>
        <x:v>1250</x:v>
      </x:c>
      <x:c r="AI296" s="81" t="n">
        <x:f>IF(AH296&gt;0,(AE296+AF296)/AH296*365,0)</x:f>
        <x:v>0.000014322238850791125</x:v>
      </x:c>
      <x:c r="AJ296" s="81" t="n">
        <x:f>IF('Inputs'!$B$44&gt;0,AG296/('Inputs'!$B$19*'Inputs'!$B$44)*365,0)</x:f>
        <x:v>1.9655876903568268e-8</x:v>
      </x:c>
      <x:c r="AK296" s="81" t="n">
        <x:f>W296/MAX($W$4:W296)-1</x:f>
        <x:v>-0.9999999987171311</x:v>
      </x:c>
      <x:c r="AL296" s="83" t="n">
        <x:f>'Inputs'!$B$44</x:f>
        <x:v>1</x:v>
      </x:c>
      <x:c r="AM296" s="83" t="n">
        <x:f>'Inputs'!$C$44</x:f>
        <x:v>0.25</x:v>
      </x:c>
      <x:c r="AN296" s="83" t="n">
        <x:f>'Inputs'!$D$44</x:f>
        <x:v>0.2</x:v>
      </x:c>
      <x:c r="AO296" s="81" t="n">
        <x:f>'Inputs'!$E$44</x:f>
        <x:v>-0.2</x:v>
      </x:c>
    </x:row>
    <x:row r="297">
      <x:c r="A297" s="59" t="str">
        <x:v>No demand</x:v>
      </x:c>
      <x:c r="B297" s="59" t="n">
        <x:v>294</x:v>
      </x:c>
      <x:c r="C297" s="78" t="n">
        <x:f>(('Inputs'!$B$29*(3*294*'Inputs'!$B$12-294^2)/(2*'Inputs'!$B$12^2))-('Inputs'!$B$29*(3*293*'Inputs'!$B$12-293^2)/(2*'Inputs'!$B$12^2)))*'Inputs'!$B$44</x:f>
        <x:v>616567.1326703131</x:v>
      </x:c>
      <x:c r="D297" s="78" t="n">
        <x:f>IF('Inputs'!$C$44&gt;0,('Inputs'!$B$30*(3*294*'Inputs'!$B$12-294^2)/(2*'Inputs'!$B$12^2))-('Inputs'!$B$30*(3*293*'Inputs'!$B$12-293^2)/(2*'Inputs'!$B$12^2)),0)</x:f>
        <x:v>264243.0568587035</x:v>
      </x:c>
      <x:c r="E297" s="78" t="n">
        <x:f>C297+D297</x:f>
        <x:v>880810.1895290166</x:v>
      </x:c>
      <x:c r="F297" s="78" t="n">
        <x:f>'Inputs'!$B$13*E297+(1-'Inputs'!$B$13)/'Inputs'!$B$14*SUM(E242:E297)</x:f>
        <x:v>891027.8663914481</x:v>
      </x:c>
      <x:c r="G297" s="78" t="n">
        <x:f>F297*'Inputs'!$F$44</x:f>
        <x:v>801925.0797523033</x:v>
      </x:c>
      <x:c r="H297" s="78" t="n">
        <x:f>U296</x:f>
        <x:v>116503182700.7637</x:v>
      </x:c>
      <x:c r="I297" s="78" t="n">
        <x:f>V296</x:f>
        <x:v>0.10170165995246694</x:v>
      </x:c>
      <x:c r="J297" s="79" t="n">
        <x:f>IF(H297&gt;0,I297/H297,0)</x:f>
        <x:v>8.729517734608658e-13</x:v>
      </x:c>
      <x:c r="K297" s="80" t="n">
        <x:f>(H297*J297+I297)*'Inputs'!$D$44*(1+'Inputs'!$G$44)^(B297/30)</x:f>
        <x:v>0.04068066398098678</x:v>
      </x:c>
      <x:c r="L297" s="80" t="n">
        <x:f>MAX(0,K297*'Inputs'!$E$44)</x:f>
        <x:v>0</x:v>
      </x:c>
      <x:c r="M297" s="80" t="n">
        <x:f>MAX(0,-K297*'Inputs'!$E$44)</x:f>
        <x:v>0.008136132796197355</x:v>
      </x:c>
      <x:c r="N297" s="78" t="n">
        <x:f>H297*(L297*(1-'Inputs'!$B$15))/(I297+L297*(1-'Inputs'!$B$15))</x:f>
        <x:v>0</x:v>
      </x:c>
      <x:c r="O297" s="78" t="n">
        <x:f>H297-N297</x:f>
        <x:v>116503182700.7637</x:v>
      </x:c>
      <x:c r="P297" s="78" t="n">
        <x:f>I297+L297*(1-'Inputs'!$B$17)</x:f>
        <x:v>0.10170165995246694</x:v>
      </x:c>
      <x:c r="Q297" s="78" t="n">
        <x:f>IF(J297&gt;0,M297/J297,0)</x:f>
        <x:v>0</x:v>
      </x:c>
      <x:c r="R297" s="78" t="n">
        <x:f>IF(B297='Inputs'!$H$44,'Inputs'!$B$27*'Inputs'!$I$44,0)</x:f>
        <x:v>0</x:v>
      </x:c>
      <x:c r="S297" s="78" t="n">
        <x:f>Q297+G297+R297</x:f>
        <x:v>801925.0797523033</x:v>
      </x:c>
      <x:c r="T297" s="78" t="n">
        <x:f>P297*(S297*(1-'Inputs'!$B$15))/(O297+S297*(1-'Inputs'!$B$15))</x:f>
        <x:v>6.93036778678261e-7</x:v>
      </x:c>
      <x:c r="U297" s="78" t="n">
        <x:f>O297+S297*(1-'Inputs'!$B$17)</x:f>
        <x:v>116503981398.78076</x:v>
      </x:c>
      <x:c r="V297" s="78" t="n">
        <x:f>P297-T297</x:f>
        <x:v>0.10170096691568827</x:v>
      </x:c>
      <x:c r="W297" s="79" t="n">
        <x:f>IF(U297&gt;0,V297/U297,0)</x:f>
        <x:v>8.729398402924674e-13</x:v>
      </x:c>
      <x:c r="X297" s="80" t="n">
        <x:f>W297*('Inputs'!$B$6-AC297)</x:f>
        <x:v>-0.000358121147293752</x:v>
      </x:c>
      <x:c r="Y297" s="80" t="n">
        <x:f>2*V297</x:f>
        <x:v>0.20340193383137653</x:v>
      </x:c>
      <x:c r="Z297" s="80" t="n">
        <x:f>K297*'Inputs'!$B$16+(G297+R297)*J297*'Inputs'!$B$16</x:f>
        <x:v>0.00024408818413744398</x:v>
      </x:c>
      <x:c r="AA297" s="80" t="n">
        <x:f>K297*(1+'Inputs'!$E$44)/2*'Inputs'!$B$17</x:f>
        <x:v>0.00006548195409414372</x:v>
      </x:c>
      <x:c r="AB297" s="78" t="n">
        <x:f>(IF(J297&gt;0,K297*(1-'Inputs'!$E$44)/2/J297,0)+G297+R297)*'Inputs'!$B$17</x:f>
        <x:v>3227.062695180295</x:v>
      </x:c>
      <x:c r="AC297" s="78" t="n">
        <x:f>AC296+AB297</x:f>
        <x:v>1410247225.2541115</x:v>
      </x:c>
      <x:c r="AD297" s="80" t="n">
        <x:f>Z297/(1+'Inputs'!$C$44)</x:f>
        <x:v>0.0001952705473099552</x:v>
      </x:c>
      <x:c r="AE297" s="80" t="n">
        <x:f>Z297-AD297</x:f>
        <x:v>0.00004881763682748879</x:v>
      </x:c>
      <x:c r="AF297" s="80" t="n">
        <x:f>D297*W297</x:f>
        <x:v>2.3066829185263e-7</x:v>
      </x:c>
      <x:c r="AG297" s="80" t="n">
        <x:f>C297*W297</x:f>
        <x:v>5.382260143228077e-7</x:v>
      </x:c>
      <x:c r="AH297" s="80" t="n">
        <x:f>2*'Inputs'!$B$8*'Inputs'!$C$44</x:f>
        <x:v>1250</x:v>
      </x:c>
      <x:c r="AI297" s="81" t="n">
        <x:f>IF(AH297&gt;0,(AE297+AF297)/AH297*365,0)</x:f>
        <x:v>0.000014322105094847695</x:v>
      </x:c>
      <x:c r="AJ297" s="81" t="n">
        <x:f>IF('Inputs'!$B$44&gt;0,AG297/('Inputs'!$B$19*'Inputs'!$B$44)*365,0)</x:f>
        <x:v>1.964524952278248e-8</x:v>
      </x:c>
      <x:c r="AK297" s="81" t="n">
        <x:f>W297/MAX($W$4:W297)-1</x:f>
        <x:v>-0.9999999987171486</x:v>
      </x:c>
      <x:c r="AL297" s="83" t="n">
        <x:f>'Inputs'!$B$44</x:f>
        <x:v>1</x:v>
      </x:c>
      <x:c r="AM297" s="83" t="n">
        <x:f>'Inputs'!$C$44</x:f>
        <x:v>0.25</x:v>
      </x:c>
      <x:c r="AN297" s="83" t="n">
        <x:f>'Inputs'!$D$44</x:f>
        <x:v>0.2</x:v>
      </x:c>
      <x:c r="AO297" s="81" t="n">
        <x:f>'Inputs'!$E$44</x:f>
        <x:v>-0.2</x:v>
      </x:c>
    </x:row>
    <x:row r="298">
      <x:c r="A298" s="59" t="str">
        <x:v>No demand</x:v>
      </x:c>
      <x:c r="B298" s="59" t="n">
        <x:v>295</x:v>
      </x:c>
      <x:c r="C298" s="78" t="n">
        <x:f>(('Inputs'!$B$29*(3*295*'Inputs'!$B$12-295^2)/(2*'Inputs'!$B$12^2))-('Inputs'!$B$29*(3*294*'Inputs'!$B$12-294^2)/(2*'Inputs'!$B$12^2)))*'Inputs'!$B$44</x:f>
        <x:v>616242.0247701108</x:v>
      </x:c>
      <x:c r="D298" s="78" t="n">
        <x:f>IF('Inputs'!$C$44&gt;0,('Inputs'!$B$30*(3*295*'Inputs'!$B$12-295^2)/(2*'Inputs'!$B$12^2))-('Inputs'!$B$30*(3*294*'Inputs'!$B$12-294^2)/(2*'Inputs'!$B$12^2)),0)</x:f>
        <x:v>264103.72490148246</x:v>
      </x:c>
      <x:c r="E298" s="78" t="n">
        <x:f>C298+D298</x:f>
        <x:v>880345.7496715933</x:v>
      </x:c>
      <x:c r="F298" s="78" t="n">
        <x:f>'Inputs'!$B$13*E298+(1-'Inputs'!$B$13)/'Inputs'!$B$14*SUM(E243:E298)</x:f>
        <x:v>890563.4265340562</x:v>
      </x:c>
      <x:c r="G298" s="78" t="n">
        <x:f>F298*'Inputs'!$F$44</x:f>
        <x:v>801507.0838806506</x:v>
      </x:c>
      <x:c r="H298" s="78" t="n">
        <x:f>U297</x:f>
        <x:v>116503981398.78076</x:v>
      </x:c>
      <x:c r="I298" s="78" t="n">
        <x:f>V297</x:f>
        <x:v>0.10170096691568827</x:v>
      </x:c>
      <x:c r="J298" s="79" t="n">
        <x:f>IF(H298&gt;0,I298/H298,0)</x:f>
        <x:v>8.729398402924674e-13</x:v>
      </x:c>
      <x:c r="K298" s="80" t="n">
        <x:f>(H298*J298+I298)*'Inputs'!$D$44*(1+'Inputs'!$G$44)^(B298/30)</x:f>
        <x:v>0.040680386766275306</x:v>
      </x:c>
      <x:c r="L298" s="80" t="n">
        <x:f>MAX(0,K298*'Inputs'!$E$44)</x:f>
        <x:v>0</x:v>
      </x:c>
      <x:c r="M298" s="80" t="n">
        <x:f>MAX(0,-K298*'Inputs'!$E$44)</x:f>
        <x:v>0.00813607735325506</x:v>
      </x:c>
      <x:c r="N298" s="78" t="n">
        <x:f>H298*(L298*(1-'Inputs'!$B$15))/(I298+L298*(1-'Inputs'!$B$15))</x:f>
        <x:v>0</x:v>
      </x:c>
      <x:c r="O298" s="78" t="n">
        <x:f>H298-N298</x:f>
        <x:v>116503981398.78076</x:v>
      </x:c>
      <x:c r="P298" s="78" t="n">
        <x:f>I298+L298*(1-'Inputs'!$B$17)</x:f>
        <x:v>0.10170096691568827</x:v>
      </x:c>
      <x:c r="Q298" s="78" t="n">
        <x:f>IF(J298&gt;0,M298/J298,0)</x:f>
        <x:v>0</x:v>
      </x:c>
      <x:c r="R298" s="78" t="n">
        <x:f>IF(B298='Inputs'!$H$44,'Inputs'!$B$27*'Inputs'!$I$44,0)</x:f>
        <x:v>0</x:v>
      </x:c>
      <x:c r="S298" s="78" t="n">
        <x:f>Q298+G298+R298</x:f>
        <x:v>801507.0838806506</x:v>
      </x:c>
      <x:c r="T298" s="78" t="n">
        <x:f>P298*(S298*(1-'Inputs'!$B$15))/(O298+S298*(1-'Inputs'!$B$15))</x:f>
        <x:v>6.926660734881887e-7</x:v>
      </x:c>
      <x:c r="U298" s="78" t="n">
        <x:f>O298+S298*(1-'Inputs'!$B$17)</x:f>
        <x:v>116504779680.48402</x:v>
      </x:c>
      <x:c r="V298" s="78" t="n">
        <x:f>P298-T298</x:f>
        <x:v>0.10170027424961478</x:v>
      </x:c>
      <x:c r="W298" s="79" t="n">
        <x:f>IF(U298&gt;0,V298/U298,0)</x:f>
        <x:v>8.729279135888604e-13</x:v>
      </x:c>
      <x:c r="X298" s="80" t="n">
        <x:f>W298*('Inputs'!$B$6-AC298)</x:f>
        <x:v>-0.0003581190699214653</x:v>
      </x:c>
      <x:c r="Y298" s="80" t="n">
        <x:f>2*V298</x:f>
        <x:v>0.20340054849922956</x:v>
      </x:c>
      <x:c r="Z298" s="80" t="n">
        <x:f>K298*'Inputs'!$B$16+(G298+R298)*J298*'Inputs'!$B$16</x:f>
        <x:v>0.00024408651860244662</x:v>
      </x:c>
      <x:c r="AA298" s="80" t="n">
        <x:f>K298*(1+'Inputs'!$E$44)/2*'Inputs'!$B$17</x:f>
        <x:v>0.00006548150787328018</x:v>
      </x:c>
      <x:c r="AB298" s="78" t="n">
        <x:f>(IF(J298&gt;0,K298*(1-'Inputs'!$E$44)/2/J298,0)+G298+R298)*'Inputs'!$B$17</x:f>
        <x:v>3225.3806192380307</x:v>
      </x:c>
      <x:c r="AC298" s="78" t="n">
        <x:f>AC297+AB298</x:f>
        <x:v>1410250450.6347308</x:v>
      </x:c>
      <x:c r="AD298" s="80" t="n">
        <x:f>Z298/(1+'Inputs'!$C$44)</x:f>
        <x:v>0.0001952692148819573</x:v>
      </x:c>
      <x:c r="AE298" s="80" t="n">
        <x:f>Z298-AD298</x:f>
        <x:v>0.000048817303720489314</x:v>
      </x:c>
      <x:c r="AF298" s="80" t="n">
        <x:f>D298*W298</x:f>
        <x:v>2.3054351354929744e-7</x:v>
      </x:c>
      <x:c r="AG298" s="80" t="n">
        <x:f>C298*W298</x:f>
        <x:v>5.379348649483477e-7</x:v>
      </x:c>
      <x:c r="AH298" s="80" t="n">
        <x:f>2*'Inputs'!$B$8*'Inputs'!$C$44</x:f>
        <x:v>1250</x:v>
      </x:c>
      <x:c r="AI298" s="81" t="n">
        <x:f>IF(AH298&gt;0,(AE298+AF298)/AH298*365,0)</x:f>
        <x:v>0.000014321971392339275</x:v>
      </x:c>
      <x:c r="AJ298" s="81" t="n">
        <x:f>IF('Inputs'!$B$44&gt;0,AG298/('Inputs'!$B$19*'Inputs'!$B$44)*365,0)</x:f>
        <x:v>1.9634622570614692e-8</x:v>
      </x:c>
      <x:c r="AK298" s="81" t="n">
        <x:f>W298/MAX($W$4:W298)-1</x:f>
        <x:v>-0.9999999987171662</x:v>
      </x:c>
      <x:c r="AL298" s="83" t="n">
        <x:f>'Inputs'!$B$44</x:f>
        <x:v>1</x:v>
      </x:c>
      <x:c r="AM298" s="83" t="n">
        <x:f>'Inputs'!$C$44</x:f>
        <x:v>0.25</x:v>
      </x:c>
      <x:c r="AN298" s="83" t="n">
        <x:f>'Inputs'!$D$44</x:f>
        <x:v>0.2</x:v>
      </x:c>
      <x:c r="AO298" s="81" t="n">
        <x:f>'Inputs'!$E$44</x:f>
        <x:v>-0.2</x:v>
      </x:c>
    </x:row>
    <x:row r="299">
      <x:c r="A299" s="59" t="str">
        <x:v>No demand</x:v>
      </x:c>
      <x:c r="B299" s="59" t="n">
        <x:v>296</x:v>
      </x:c>
      <x:c r="C299" s="78" t="n">
        <x:f>(('Inputs'!$B$29*(3*296*'Inputs'!$B$12-296^2)/(2*'Inputs'!$B$12^2))-('Inputs'!$B$29*(3*295*'Inputs'!$B$12-295^2)/(2*'Inputs'!$B$12^2)))*'Inputs'!$B$44</x:f>
        <x:v>615916.9168699682</x:v>
      </x:c>
      <x:c r="D299" s="78" t="n">
        <x:f>IF('Inputs'!$C$44&gt;0,('Inputs'!$B$30*(3*296*'Inputs'!$B$12-296^2)/(2*'Inputs'!$B$12^2))-('Inputs'!$B$30*(3*295*'Inputs'!$B$12-295^2)/(2*'Inputs'!$B$12^2)),0)</x:f>
        <x:v>263964.39294426143</x:v>
      </x:c>
      <x:c r="E299" s="78" t="n">
        <x:f>C299+D299</x:f>
        <x:v>879881.3098142296</x:v>
      </x:c>
      <x:c r="F299" s="78" t="n">
        <x:f>'Inputs'!$B$13*E299+(1-'Inputs'!$B$13)/'Inputs'!$B$14*SUM(E244:E299)</x:f>
        <x:v>890098.9866766762</x:v>
      </x:c>
      <x:c r="G299" s="78" t="n">
        <x:f>F299*'Inputs'!$F$44</x:f>
        <x:v>801089.0880090086</x:v>
      </x:c>
      <x:c r="H299" s="78" t="n">
        <x:f>U298</x:f>
        <x:v>116504779680.48402</x:v>
      </x:c>
      <x:c r="I299" s="78" t="n">
        <x:f>V298</x:f>
        <x:v>0.10170027424961478</x:v>
      </x:c>
      <x:c r="J299" s="79" t="n">
        <x:f>IF(H299&gt;0,I299/H299,0)</x:f>
        <x:v>8.729279135888604e-13</x:v>
      </x:c>
      <x:c r="K299" s="80" t="n">
        <x:f>(H299*J299+I299)*'Inputs'!$D$44*(1+'Inputs'!$G$44)^(B299/30)</x:f>
        <x:v>0.040680109699845916</x:v>
      </x:c>
      <x:c r="L299" s="80" t="n">
        <x:f>MAX(0,K299*'Inputs'!$E$44)</x:f>
        <x:v>0</x:v>
      </x:c>
      <x:c r="M299" s="80" t="n">
        <x:f>MAX(0,-K299*'Inputs'!$E$44)</x:f>
        <x:v>0.008136021939969184</x:v>
      </x:c>
      <x:c r="N299" s="78" t="n">
        <x:f>H299*(L299*(1-'Inputs'!$B$15))/(I299+L299*(1-'Inputs'!$B$15))</x:f>
        <x:v>0</x:v>
      </x:c>
      <x:c r="O299" s="78" t="n">
        <x:f>H299-N299</x:f>
        <x:v>116504779680.48402</x:v>
      </x:c>
      <x:c r="P299" s="78" t="n">
        <x:f>I299+L299*(1-'Inputs'!$B$17)</x:f>
        <x:v>0.10170027424961478</x:v>
      </x:c>
      <x:c r="Q299" s="78" t="n">
        <x:f>IF(J299&gt;0,M299/J299,0)</x:f>
        <x:v>0</x:v>
      </x:c>
      <x:c r="R299" s="78" t="n">
        <x:f>IF(B299='Inputs'!$H$44,'Inputs'!$B$27*'Inputs'!$I$44,0)</x:f>
        <x:v>0</x:v>
      </x:c>
      <x:c r="S299" s="78" t="n">
        <x:f>Q299+G299+R299</x:f>
        <x:v>801089.0880090086</x:v>
      </x:c>
      <x:c r="T299" s="78" t="n">
        <x:f>P299*(S299*(1-'Inputs'!$B$15))/(O299+S299*(1-'Inputs'!$B$15))</x:f>
        <x:v>6.922953832986598e-7</x:v>
      </x:c>
      <x:c r="U299" s="78" t="n">
        <x:f>O299+S299*(1-'Inputs'!$B$17)</x:f>
        <x:v>116505577545.87349</x:v>
      </x:c>
      <x:c r="V299" s="78" t="n">
        <x:f>P299-T299</x:f>
        <x:v>0.10169958195423148</x:v>
      </x:c>
      <x:c r="W299" s="79" t="n">
        <x:f>IF(U299&gt;0,V299/U299,0)</x:f>
        <x:v>8.729159933496556e-13</x:v>
      </x:c>
      <x:c r="X299" s="80" t="n">
        <x:f>W299*('Inputs'!$B$6-AC299)</x:f>
        <x:v>-0.0003581169936559761</x:v>
      </x:c>
      <x:c r="Y299" s="80" t="n">
        <x:f>2*V299</x:f>
        <x:v>0.20339916390846297</x:v>
      </x:c>
      <x:c r="Z299" s="80" t="n">
        <x:f>K299*'Inputs'!$B$16+(G299+R299)*J299*'Inputs'!$B$16</x:f>
        <x:v>0.00024408485395723266</x:v>
      </x:c>
      <x:c r="AA299" s="80" t="n">
        <x:f>K299*(1+'Inputs'!$E$44)/2*'Inputs'!$B$17</x:f>
        <x:v>0.00006548106189110008</x:v>
      </x:c>
      <x:c r="AB299" s="78" t="n">
        <x:f>(IF(J299&gt;0,K299*(1-'Inputs'!$E$44)/2/J299,0)+G299+R299)*'Inputs'!$B$17</x:f>
        <x:v>3223.6985432958095</x:v>
      </x:c>
      <x:c r="AC299" s="78" t="n">
        <x:f>AC298+AB299</x:f>
        <x:v>1410253674.3332741</x:v>
      </x:c>
      <x:c r="AD299" s="80" t="n">
        <x:f>Z299/(1+'Inputs'!$C$44)</x:f>
        <x:v>0.00019526788316578613</x:v>
      </x:c>
      <x:c r="AE299" s="80" t="n">
        <x:f>Z299-AD299</x:f>
        <x:v>0.00004881697079144653</x:v>
      </x:c>
      <x:c r="AF299" s="80" t="n">
        <x:f>D299*W299</x:f>
        <x:v>2.304187402758788e-7</x:v>
      </x:c>
      <x:c r="AG299" s="80" t="n">
        <x:f>C299*W299</x:f>
        <x:v>5.376437273104056e-7</x:v>
      </x:c>
      <x:c r="AH299" s="80" t="n">
        <x:f>2*'Inputs'!$B$8*'Inputs'!$C$44</x:f>
        <x:v>1250</x:v>
      </x:c>
      <x:c r="AI299" s="81" t="n">
        <x:f>IF(AH299&gt;0,(AE299+AF299)/AH299*365,0)</x:f>
        <x:v>0.000014321837743262944</x:v>
      </x:c>
      <x:c r="AJ299" s="81" t="n">
        <x:f>IF('Inputs'!$B$44&gt;0,AG299/('Inputs'!$B$19*'Inputs'!$B$44)*365,0)</x:f>
        <x:v>1.9623996046829804e-8</x:v>
      </x:c>
      <x:c r="AK299" s="81" t="n">
        <x:f>W299/MAX($W$4:W299)-1</x:f>
        <x:v>-0.9999999987171836</x:v>
      </x:c>
      <x:c r="AL299" s="83" t="n">
        <x:f>'Inputs'!$B$44</x:f>
        <x:v>1</x:v>
      </x:c>
      <x:c r="AM299" s="83" t="n">
        <x:f>'Inputs'!$C$44</x:f>
        <x:v>0.25</x:v>
      </x:c>
      <x:c r="AN299" s="83" t="n">
        <x:f>'Inputs'!$D$44</x:f>
        <x:v>0.2</x:v>
      </x:c>
      <x:c r="AO299" s="81" t="n">
        <x:f>'Inputs'!$E$44</x:f>
        <x:v>-0.2</x:v>
      </x:c>
    </x:row>
    <x:row r="300">
      <x:c r="A300" s="59" t="str">
        <x:v>No demand</x:v>
      </x:c>
      <x:c r="B300" s="59" t="n">
        <x:v>297</x:v>
      </x:c>
      <x:c r="C300" s="78" t="n">
        <x:f>(('Inputs'!$B$29*(3*297*'Inputs'!$B$12-297^2)/(2*'Inputs'!$B$12^2))-('Inputs'!$B$29*(3*296*'Inputs'!$B$12-296^2)/(2*'Inputs'!$B$12^2)))*'Inputs'!$B$44</x:f>
        <x:v>615591.8089697659</x:v>
      </x:c>
      <x:c r="D300" s="78" t="n">
        <x:f>IF('Inputs'!$C$44&gt;0,('Inputs'!$B$30*(3*297*'Inputs'!$B$12-297^2)/(2*'Inputs'!$B$12^2))-('Inputs'!$B$30*(3*296*'Inputs'!$B$12-296^2)/(2*'Inputs'!$B$12^2)),0)</x:f>
        <x:v>263825.0609870553</x:v>
      </x:c>
      <x:c r="E300" s="78" t="n">
        <x:f>C300+D300</x:f>
        <x:v>879416.8699568212</x:v>
      </x:c>
      <x:c r="F300" s="78" t="n">
        <x:f>'Inputs'!$B$13*E300+(1-'Inputs'!$B$13)/'Inputs'!$B$14*SUM(E245:E300)</x:f>
        <x:v>889634.546819287</x:v>
      </x:c>
      <x:c r="G300" s="78" t="n">
        <x:f>F300*'Inputs'!$F$44</x:f>
        <x:v>800671.0921373583</x:v>
      </x:c>
      <x:c r="H300" s="78" t="n">
        <x:f>U299</x:f>
        <x:v>116505577545.87349</x:v>
      </x:c>
      <x:c r="I300" s="78" t="n">
        <x:f>V299</x:f>
        <x:v>0.10169958195423148</x:v>
      </x:c>
      <x:c r="J300" s="79" t="n">
        <x:f>IF(H300&gt;0,I300/H300,0)</x:f>
        <x:v>8.729159933496556e-13</x:v>
      </x:c>
      <x:c r="K300" s="80" t="n">
        <x:f>(H300*J300+I300)*'Inputs'!$D$44*(1+'Inputs'!$G$44)^(B300/30)</x:f>
        <x:v>0.0406798327816926</x:v>
      </x:c>
      <x:c r="L300" s="80" t="n">
        <x:f>MAX(0,K300*'Inputs'!$E$44)</x:f>
        <x:v>0</x:v>
      </x:c>
      <x:c r="M300" s="80" t="n">
        <x:f>MAX(0,-K300*'Inputs'!$E$44)</x:f>
        <x:v>0.00813596655633852</x:v>
      </x:c>
      <x:c r="N300" s="78" t="n">
        <x:f>H300*(L300*(1-'Inputs'!$B$15))/(I300+L300*(1-'Inputs'!$B$15))</x:f>
        <x:v>0</x:v>
      </x:c>
      <x:c r="O300" s="78" t="n">
        <x:f>H300-N300</x:f>
        <x:v>116505577545.87349</x:v>
      </x:c>
      <x:c r="P300" s="78" t="n">
        <x:f>I300+L300*(1-'Inputs'!$B$17)</x:f>
        <x:v>0.10169958195423148</x:v>
      </x:c>
      <x:c r="Q300" s="78" t="n">
        <x:f>IF(J300&gt;0,M300/J300,0)</x:f>
        <x:v>0</x:v>
      </x:c>
      <x:c r="R300" s="78" t="n">
        <x:f>IF(B300='Inputs'!$H$44,'Inputs'!$B$27*'Inputs'!$I$44,0)</x:f>
        <x:v>0</x:v>
      </x:c>
      <x:c r="S300" s="78" t="n">
        <x:f>Q300+G300+R300</x:f>
        <x:v>800671.0921373583</x:v>
      </x:c>
      <x:c r="T300" s="78" t="n">
        <x:f>P300*(S300*(1-'Inputs'!$B$15))/(O300+S300*(1-'Inputs'!$B$15))</x:f>
        <x:v>6.919247081013236e-7</x:v>
      </x:c>
      <x:c r="U300" s="78" t="n">
        <x:f>O300+S300*(1-'Inputs'!$B$17)</x:f>
        <x:v>116506374994.94916</x:v>
      </x:c>
      <x:c r="V300" s="78" t="n">
        <x:f>P300-T300</x:f>
        <x:v>0.10169889002952338</x:v>
      </x:c>
      <x:c r="W300" s="79" t="n">
        <x:f>IF(U300&gt;0,V300/U300,0)</x:f>
        <x:v>8.729040795744635e-13</x:v>
      </x:c>
      <x:c r="X300" s="80" t="n">
        <x:f>W300*('Inputs'!$B$6-AC300)</x:f>
        <x:v>-0.0003581149184972471</x:v>
      </x:c>
      <x:c r="Y300" s="80" t="n">
        <x:f>2*V300</x:f>
        <x:v>0.20339778005904677</x:v>
      </x:c>
      <x:c r="Z300" s="80" t="n">
        <x:f>K300*'Inputs'!$B$16+(G300+R300)*J300*'Inputs'!$B$16</x:f>
        <x:v>0.00024408319020176604</x:v>
      </x:c>
      <x:c r="AA300" s="80" t="n">
        <x:f>K300*(1+'Inputs'!$E$44)/2*'Inputs'!$B$17</x:f>
        <x:v>0.00006548061614759372</x:v>
      </x:c>
      <x:c r="AB300" s="78" t="n">
        <x:f>(IF(J300&gt;0,K300*(1-'Inputs'!$E$44)/2/J300,0)+G300+R300)*'Inputs'!$B$17</x:f>
        <x:v>3222.0164673535546</x:v>
      </x:c>
      <x:c r="AC300" s="78" t="n">
        <x:f>AC299+AB300</x:f>
        <x:v>1410256896.3497415</x:v>
      </x:c>
      <x:c r="AD300" s="80" t="n">
        <x:f>Z300/(1+'Inputs'!$C$44)</x:f>
        <x:v>0.00019526655216141282</x:v>
      </x:c>
      <x:c r="AE300" s="80" t="n">
        <x:f>Z300-AD300</x:f>
        <x:v>0.00004881663804035322</x:v>
      </x:c>
      <x:c r="AF300" s="80" t="n">
        <x:f>D300*W300</x:f>
        <x:v>2.302939720295822e-7</x:v>
      </x:c>
      <x:c r="AG300" s="80" t="n">
        <x:f>C300*W300</x:f>
        <x:v>5.373526014023324e-7</x:v>
      </x:c>
      <x:c r="AH300" s="80" t="n">
        <x:f>2*'Inputs'!$B$8*'Inputs'!$C$44</x:f>
        <x:v>1250</x:v>
      </x:c>
      <x:c r="AI300" s="81" t="n">
        <x:f>IF(AH300&gt;0,(AE300+AF300)/AH300*365,0)</x:f>
        <x:v>0.000014321704147615777</x:v>
      </x:c>
      <x:c r="AJ300" s="81" t="n">
        <x:f>IF('Inputs'!$B$44&gt;0,AG300/('Inputs'!$B$19*'Inputs'!$B$44)*365,0)</x:f>
        <x:v>1.9613369951185134e-8</x:v>
      </x:c>
      <x:c r="AK300" s="81" t="n">
        <x:f>W300/MAX($W$4:W300)-1</x:f>
        <x:v>-0.9999999987172011</x:v>
      </x:c>
      <x:c r="AL300" s="83" t="n">
        <x:f>'Inputs'!$B$44</x:f>
        <x:v>1</x:v>
      </x:c>
      <x:c r="AM300" s="83" t="n">
        <x:f>'Inputs'!$C$44</x:f>
        <x:v>0.25</x:v>
      </x:c>
      <x:c r="AN300" s="83" t="n">
        <x:f>'Inputs'!$D$44</x:f>
        <x:v>0.2</x:v>
      </x:c>
      <x:c r="AO300" s="81" t="n">
        <x:f>'Inputs'!$E$44</x:f>
        <x:v>-0.2</x:v>
      </x:c>
    </x:row>
    <x:row r="301">
      <x:c r="A301" s="59" t="str">
        <x:v>No demand</x:v>
      </x:c>
      <x:c r="B301" s="59" t="n">
        <x:v>298</x:v>
      </x:c>
      <x:c r="C301" s="78" t="n">
        <x:f>(('Inputs'!$B$29*(3*298*'Inputs'!$B$12-298^2)/(2*'Inputs'!$B$12^2))-('Inputs'!$B$29*(3*297*'Inputs'!$B$12-297^2)/(2*'Inputs'!$B$12^2)))*'Inputs'!$B$44</x:f>
        <x:v>615266.7010696232</x:v>
      </x:c>
      <x:c r="D301" s="78" t="n">
        <x:f>IF('Inputs'!$C$44&gt;0,('Inputs'!$B$30*(3*298*'Inputs'!$B$12-298^2)/(2*'Inputs'!$B$12^2))-('Inputs'!$B$30*(3*297*'Inputs'!$B$12-297^2)/(2*'Inputs'!$B$12^2)),0)</x:f>
        <x:v>263685.72902983427</x:v>
      </x:c>
      <x:c r="E301" s="78" t="n">
        <x:f>C301+D301</x:f>
        <x:v>878952.4300994575</x:v>
      </x:c>
      <x:c r="F301" s="78" t="n">
        <x:f>'Inputs'!$B$13*E301+(1-'Inputs'!$B$13)/'Inputs'!$B$14*SUM(E246:E301)</x:f>
        <x:v>889170.1069619069</x:v>
      </x:c>
      <x:c r="G301" s="78" t="n">
        <x:f>F301*'Inputs'!$F$44</x:f>
        <x:v>800253.0962657162</x:v>
      </x:c>
      <x:c r="H301" s="78" t="n">
        <x:f>U300</x:f>
        <x:v>116506374994.94916</x:v>
      </x:c>
      <x:c r="I301" s="78" t="n">
        <x:f>V300</x:f>
        <x:v>0.10169889002952338</x:v>
      </x:c>
      <x:c r="J301" s="79" t="n">
        <x:f>IF(H301&gt;0,I301/H301,0)</x:f>
        <x:v>8.729040795744635e-13</x:v>
      </x:c>
      <x:c r="K301" s="80" t="n">
        <x:f>(H301*J301+I301)*'Inputs'!$D$44*(1+'Inputs'!$G$44)^(B301/30)</x:f>
        <x:v>0.04067955601180936</x:v>
      </x:c>
      <x:c r="L301" s="80" t="n">
        <x:f>MAX(0,K301*'Inputs'!$E$44)</x:f>
        <x:v>0</x:v>
      </x:c>
      <x:c r="M301" s="80" t="n">
        <x:f>MAX(0,-K301*'Inputs'!$E$44)</x:f>
        <x:v>0.008135911202361871</x:v>
      </x:c>
      <x:c r="N301" s="78" t="n">
        <x:f>H301*(L301*(1-'Inputs'!$B$15))/(I301+L301*(1-'Inputs'!$B$15))</x:f>
        <x:v>0</x:v>
      </x:c>
      <x:c r="O301" s="78" t="n">
        <x:f>H301-N301</x:f>
        <x:v>116506374994.94916</x:v>
      </x:c>
      <x:c r="P301" s="78" t="n">
        <x:f>I301+L301*(1-'Inputs'!$B$17)</x:f>
        <x:v>0.10169889002952338</x:v>
      </x:c>
      <x:c r="Q301" s="78" t="n">
        <x:f>IF(J301&gt;0,M301/J301,0)</x:f>
        <x:v>0</x:v>
      </x:c>
      <x:c r="R301" s="78" t="n">
        <x:f>IF(B301='Inputs'!$H$44,'Inputs'!$B$27*'Inputs'!$I$44,0)</x:f>
        <x:v>0</x:v>
      </x:c>
      <x:c r="S301" s="78" t="n">
        <x:f>Q301+G301+R301</x:f>
        <x:v>800253.0962657162</x:v>
      </x:c>
      <x:c r="T301" s="78" t="n">
        <x:f>P301*(S301*(1-'Inputs'!$B$15))/(O301+S301*(1-'Inputs'!$B$15))</x:f>
        <x:v>6.91554047887861e-7</x:v>
      </x:c>
      <x:c r="U301" s="78" t="n">
        <x:f>O301+S301*(1-'Inputs'!$B$17)</x:f>
        <x:v>116507172027.71103</x:v>
      </x:c>
      <x:c r="V301" s="78" t="n">
        <x:f>P301-T301</x:f>
        <x:v>0.1016981984754755</x:v>
      </x:c>
      <x:c r="W301" s="79" t="n">
        <x:f>IF(U301&gt;0,V301/U301,0)</x:f>
        <x:v>8.728921722628952e-13</x:v>
      </x:c>
      <x:c r="X301" s="80" t="n">
        <x:f>W301*('Inputs'!$B$6-AC301)</x:f>
        <x:v>-0.00035811284444524155</x:v>
      </x:c>
      <x:c r="Y301" s="80" t="n">
        <x:f>2*V301</x:f>
        <x:v>0.203396396950951</x:v>
      </x:c>
      <x:c r="Z301" s="80" t="n">
        <x:f>K301*'Inputs'!$B$16+(G301+R301)*J301*'Inputs'!$B$16</x:f>
        <x:v>0.0002440815273360107</x:v>
      </x:c>
      <x:c r="AA301" s="80" t="n">
        <x:f>K301*(1+'Inputs'!$E$44)/2*'Inputs'!$B$17</x:f>
        <x:v>0.00006548017064275148</x:v>
      </x:c>
      <x:c r="AB301" s="78" t="n">
        <x:f>(IF(J301&gt;0,K301*(1-'Inputs'!$E$44)/2/J301,0)+G301+R301)*'Inputs'!$B$17</x:f>
        <x:v>3220.3343914113334</x:v>
      </x:c>
      <x:c r="AC301" s="78" t="n">
        <x:f>AC300+AB301</x:f>
        <x:v>1410260116.6841328</x:v>
      </x:c>
      <x:c r="AD301" s="80" t="n">
        <x:f>Z301/(1+'Inputs'!$C$44)</x:f>
        <x:v>0.00019526522186880856</x:v>
      </x:c>
      <x:c r="AE301" s="80" t="n">
        <x:f>Z301-AD301</x:f>
        <x:v>0.00004881630546720215</x:v>
      </x:c>
      <x:c r="AF301" s="80" t="n">
        <x:f>D301*W301</x:f>
        <x:v>2.301692088075772e-7</x:v>
      </x:c>
      <x:c r="AG301" s="80" t="n">
        <x:f>C301*W301</x:f>
        <x:v>5.370614872176888e-7</x:v>
      </x:c>
      <x:c r="AH301" s="80" t="n">
        <x:f>2*'Inputs'!$B$8*'Inputs'!$C$44</x:f>
        <x:v>1250</x:v>
      </x:c>
      <x:c r="AI301" s="81" t="n">
        <x:f>IF(AH301&gt;0,(AE301+AF301)/AH301*365,0)</x:f>
        <x:v>0.000014321570605394842</x:v>
      </x:c>
      <x:c r="AJ301" s="81" t="n">
        <x:f>IF('Inputs'!$B$44&gt;0,AG301/('Inputs'!$B$19*'Inputs'!$B$44)*365,0)</x:f>
        <x:v>1.960274428344564e-8</x:v>
      </x:c>
      <x:c r="AK301" s="81" t="n">
        <x:f>W301/MAX($W$4:W301)-1</x:f>
        <x:v>-0.9999999987172187</x:v>
      </x:c>
      <x:c r="AL301" s="83" t="n">
        <x:f>'Inputs'!$B$44</x:f>
        <x:v>1</x:v>
      </x:c>
      <x:c r="AM301" s="83" t="n">
        <x:f>'Inputs'!$C$44</x:f>
        <x:v>0.25</x:v>
      </x:c>
      <x:c r="AN301" s="83" t="n">
        <x:f>'Inputs'!$D$44</x:f>
        <x:v>0.2</x:v>
      </x:c>
      <x:c r="AO301" s="81" t="n">
        <x:f>'Inputs'!$E$44</x:f>
        <x:v>-0.2</x:v>
      </x:c>
    </x:row>
    <x:row r="302">
      <x:c r="A302" s="59" t="str">
        <x:v>No demand</x:v>
      </x:c>
      <x:c r="B302" s="59" t="n">
        <x:v>299</x:v>
      </x:c>
      <x:c r="C302" s="78" t="n">
        <x:f>(('Inputs'!$B$29*(3*299*'Inputs'!$B$12-299^2)/(2*'Inputs'!$B$12^2))-('Inputs'!$B$29*(3*298*'Inputs'!$B$12-298^2)/(2*'Inputs'!$B$12^2)))*'Inputs'!$B$44</x:f>
        <x:v>614941.5931694508</x:v>
      </x:c>
      <x:c r="D302" s="78" t="n">
        <x:f>IF('Inputs'!$C$44&gt;0,('Inputs'!$B$30*(3*299*'Inputs'!$B$12-299^2)/(2*'Inputs'!$B$12^2))-('Inputs'!$B$30*(3*298*'Inputs'!$B$12-298^2)/(2*'Inputs'!$B$12^2)),0)</x:f>
        <x:v>263546.39707262814</x:v>
      </x:c>
      <x:c r="E302" s="78" t="n">
        <x:f>C302+D302</x:f>
        <x:v>878487.9902420789</x:v>
      </x:c>
      <x:c r="F302" s="78" t="n">
        <x:f>'Inputs'!$B$13*E302+(1-'Inputs'!$B$13)/'Inputs'!$B$14*SUM(E247:E302)</x:f>
        <x:v>888705.6671045239</x:v>
      </x:c>
      <x:c r="G302" s="78" t="n">
        <x:f>F302*'Inputs'!$F$44</x:f>
        <x:v>799835.1003940715</x:v>
      </x:c>
      <x:c r="H302" s="78" t="n">
        <x:f>U301</x:f>
        <x:v>116507172027.71103</x:v>
      </x:c>
      <x:c r="I302" s="78" t="n">
        <x:f>V301</x:f>
        <x:v>0.1016981984754755</x:v>
      </x:c>
      <x:c r="J302" s="79" t="n">
        <x:f>IF(H302&gt;0,I302/H302,0)</x:f>
        <x:v>8.728921722628952e-13</x:v>
      </x:c>
      <x:c r="K302" s="80" t="n">
        <x:f>(H302*J302+I302)*'Inputs'!$D$44*(1+'Inputs'!$G$44)^(B302/30)</x:f>
        <x:v>0.0406792793901902</x:v>
      </x:c>
      <x:c r="L302" s="80" t="n">
        <x:f>MAX(0,K302*'Inputs'!$E$44)</x:f>
        <x:v>0</x:v>
      </x:c>
      <x:c r="M302" s="80" t="n">
        <x:f>MAX(0,-K302*'Inputs'!$E$44)</x:f>
        <x:v>0.00813585587803804</x:v>
      </x:c>
      <x:c r="N302" s="78" t="n">
        <x:f>H302*(L302*(1-'Inputs'!$B$15))/(I302+L302*(1-'Inputs'!$B$15))</x:f>
        <x:v>0</x:v>
      </x:c>
      <x:c r="O302" s="78" t="n">
        <x:f>H302-N302</x:f>
        <x:v>116507172027.71103</x:v>
      </x:c>
      <x:c r="P302" s="78" t="n">
        <x:f>I302+L302*(1-'Inputs'!$B$17)</x:f>
        <x:v>0.1016981984754755</x:v>
      </x:c>
      <x:c r="Q302" s="78" t="n">
        <x:f>IF(J302&gt;0,M302/J302,0)</x:f>
        <x:v>0</x:v>
      </x:c>
      <x:c r="R302" s="78" t="n">
        <x:f>IF(B302='Inputs'!$H$44,'Inputs'!$B$27*'Inputs'!$I$44,0)</x:f>
        <x:v>0</x:v>
      </x:c>
      <x:c r="S302" s="78" t="n">
        <x:f>Q302+G302+R302</x:f>
        <x:v>799835.1003940715</x:v>
      </x:c>
      <x:c r="T302" s="78" t="n">
        <x:f>P302*(S302*(1-'Inputs'!$B$15))/(O302+S302*(1-'Inputs'!$B$15))</x:f>
        <x:v>6.911834026499303e-7</x:v>
      </x:c>
      <x:c r="U302" s="78" t="n">
        <x:f>O302+S302*(1-'Inputs'!$B$17)</x:f>
        <x:v>116507968644.1591</x:v>
      </x:c>
      <x:c r="V302" s="78" t="n">
        <x:f>P302-T302</x:f>
        <x:v>0.10169750729207284</x:v>
      </x:c>
      <x:c r="W302" s="79" t="n">
        <x:f>IF(U302&gt;0,V302/U302,0)</x:f>
        <x:v>8.728802714145617e-13</x:v>
      </x:c>
      <x:c r="X302" s="80" t="n">
        <x:f>W302*('Inputs'!$B$6-AC302)</x:f>
        <x:v>-0.00035811077149992224</x:v>
      </x:c>
      <x:c r="Y302" s="80" t="n">
        <x:f>2*V302</x:f>
        <x:v>0.2033950145841457</x:v>
      </x:c>
      <x:c r="Z302" s="80" t="n">
        <x:f>K302*'Inputs'!$B$16+(G302+R302)*J302*'Inputs'!$B$16</x:f>
        <x:v>0.0002440798653599306</x:v>
      </x:c>
      <x:c r="AA302" s="80" t="n">
        <x:f>K302*(1+'Inputs'!$E$44)/2*'Inputs'!$B$17</x:f>
        <x:v>0.00006547972537656371</x:v>
      </x:c>
      <x:c r="AB302" s="78" t="n">
        <x:f>(IF(J302&gt;0,K302*(1-'Inputs'!$E$44)/2/J302,0)+G302+R302)*'Inputs'!$B$17</x:f>
        <x:v>3218.6523154691013</x:v>
      </x:c>
      <x:c r="AC302" s="78" t="n">
        <x:f>AC301+AB302</x:f>
        <x:v>1410263335.3364482</x:v>
      </x:c>
      <x:c r="AD302" s="80" t="n">
        <x:f>Z302/(1+'Inputs'!$C$44)</x:f>
        <x:v>0.00019526389228794448</x:v>
      </x:c>
      <x:c r="AE302" s="80" t="n">
        <x:f>Z302-AD302</x:f>
        <x:v>0.00004881597307198612</x:v>
      </x:c>
      <x:c r="AF302" s="80" t="n">
        <x:f>D302*W302</x:f>
        <x:v>2.300444506070855e-7</x:v>
      </x:c>
      <x:c r="AG302" s="80" t="n">
        <x:f>C302*W302</x:f>
        <x:v>5.367703847498531e-7</x:v>
      </x:c>
      <x:c r="AH302" s="80" t="n">
        <x:f>2*'Inputs'!$B$8*'Inputs'!$C$44</x:f>
        <x:v>1250</x:v>
      </x:c>
      <x:c r="AI302" s="81" t="n">
        <x:f>IF(AH302&gt;0,(AE302+AF302)/AH302*365,0)</x:f>
        <x:v>0.000014321437116597215</x:v>
      </x:c>
      <x:c r="AJ302" s="81" t="n">
        <x:f>IF('Inputs'!$B$44&gt;0,AG302/('Inputs'!$B$19*'Inputs'!$B$44)*365,0)</x:f>
        <x:v>1.9592119043369638e-8</x:v>
      </x:c>
      <x:c r="AK302" s="81" t="n">
        <x:f>W302/MAX($W$4:W302)-1</x:f>
        <x:v>-0.9999999987172361</x:v>
      </x:c>
      <x:c r="AL302" s="83" t="n">
        <x:f>'Inputs'!$B$44</x:f>
        <x:v>1</x:v>
      </x:c>
      <x:c r="AM302" s="83" t="n">
        <x:f>'Inputs'!$C$44</x:f>
        <x:v>0.25</x:v>
      </x:c>
      <x:c r="AN302" s="83" t="n">
        <x:f>'Inputs'!$D$44</x:f>
        <x:v>0.2</x:v>
      </x:c>
      <x:c r="AO302" s="81" t="n">
        <x:f>'Inputs'!$E$44</x:f>
        <x:v>-0.2</x:v>
      </x:c>
    </x:row>
    <x:row r="303">
      <x:c r="A303" s="59" t="str">
        <x:v>No demand</x:v>
      </x:c>
      <x:c r="B303" s="59" t="n">
        <x:v>300</x:v>
      </x:c>
      <x:c r="C303" s="78" t="n">
        <x:f>(('Inputs'!$B$29*(3*300*'Inputs'!$B$12-300^2)/(2*'Inputs'!$B$12^2))-('Inputs'!$B$29*(3*299*'Inputs'!$B$12-299^2)/(2*'Inputs'!$B$12^2)))*'Inputs'!$B$44</x:f>
        <x:v>614616.4852692783</x:v>
      </x:c>
      <x:c r="D303" s="78" t="n">
        <x:f>IF('Inputs'!$C$44&gt;0,('Inputs'!$B$30*(3*300*'Inputs'!$B$12-300^2)/(2*'Inputs'!$B$12^2))-('Inputs'!$B$30*(3*299*'Inputs'!$B$12-299^2)/(2*'Inputs'!$B$12^2)),0)</x:f>
        <x:v>263407.0651154071</x:v>
      </x:c>
      <x:c r="E303" s="78" t="n">
        <x:f>C303+D303</x:f>
        <x:v>878023.5503846854</x:v>
      </x:c>
      <x:c r="F303" s="78" t="n">
        <x:f>'Inputs'!$B$13*E303+(1-'Inputs'!$B$13)/'Inputs'!$B$14*SUM(E248:E303)</x:f>
        <x:v>888241.2272471378</x:v>
      </x:c>
      <x:c r="G303" s="78" t="n">
        <x:f>F303*'Inputs'!$F$44</x:f>
        <x:v>799417.104522424</x:v>
      </x:c>
      <x:c r="H303" s="78" t="n">
        <x:f>U302</x:f>
        <x:v>116507968644.1591</x:v>
      </x:c>
      <x:c r="I303" s="78" t="n">
        <x:f>V302</x:f>
        <x:v>0.10169750729207284</x:v>
      </x:c>
      <x:c r="J303" s="79" t="n">
        <x:f>IF(H303&gt;0,I303/H303,0)</x:f>
        <x:v>8.728802714145617e-13</x:v>
      </x:c>
      <x:c r="K303" s="80" t="n">
        <x:f>(H303*J303+I303)*'Inputs'!$D$44*(1+'Inputs'!$G$44)^(B303/30)</x:f>
        <x:v>0.04067900291682914</x:v>
      </x:c>
      <x:c r="L303" s="80" t="n">
        <x:f>MAX(0,K303*'Inputs'!$E$44)</x:f>
        <x:v>0</x:v>
      </x:c>
      <x:c r="M303" s="80" t="n">
        <x:f>MAX(0,-K303*'Inputs'!$E$44)</x:f>
        <x:v>0.008135800583365828</x:v>
      </x:c>
      <x:c r="N303" s="78" t="n">
        <x:f>H303*(L303*(1-'Inputs'!$B$15))/(I303+L303*(1-'Inputs'!$B$15))</x:f>
        <x:v>0</x:v>
      </x:c>
      <x:c r="O303" s="78" t="n">
        <x:f>H303-N303</x:f>
        <x:v>116507968644.1591</x:v>
      </x:c>
      <x:c r="P303" s="78" t="n">
        <x:f>I303+L303*(1-'Inputs'!$B$17)</x:f>
        <x:v>0.10169750729207284</x:v>
      </x:c>
      <x:c r="Q303" s="78" t="n">
        <x:f>IF(J303&gt;0,M303/J303,0)</x:f>
        <x:v>0</x:v>
      </x:c>
      <x:c r="R303" s="78" t="n">
        <x:f>IF(B303='Inputs'!$H$44,'Inputs'!$B$27*'Inputs'!$I$44,0)</x:f>
        <x:v>0</x:v>
      </x:c>
      <x:c r="S303" s="78" t="n">
        <x:f>Q303+G303+R303</x:f>
        <x:v>799417.104522424</x:v>
      </x:c>
      <x:c r="T303" s="78" t="n">
        <x:f>P303*(S303*(1-'Inputs'!$B$15))/(O303+S303*(1-'Inputs'!$B$15))</x:f>
        <x:v>6.908127723791996e-7</x:v>
      </x:c>
      <x:c r="U303" s="78" t="n">
        <x:f>O303+S303*(1-'Inputs'!$B$17)</x:f>
        <x:v>116508764844.29338</x:v>
      </x:c>
      <x:c r="V303" s="78" t="n">
        <x:f>P303-T303</x:f>
        <x:v>0.10169681647930047</x:v>
      </x:c>
      <x:c r="W303" s="79" t="n">
        <x:f>IF(U303&gt;0,V303/U303,0)</x:f>
        <x:v>8.728683770290746e-13</x:v>
      </x:c>
      <x:c r="X303" s="80" t="n">
        <x:f>W303*('Inputs'!$B$6-AC303)</x:f>
        <x:v>-0.00035810869966125254</x:v>
      </x:c>
      <x:c r="Y303" s="80" t="n">
        <x:f>2*V303</x:f>
        <x:v>0.20339363295860094</x:v>
      </x:c>
      <x:c r="Z303" s="80" t="n">
        <x:f>K303*'Inputs'!$B$16+(G303+R303)*J303*'Inputs'!$B$16</x:f>
        <x:v>0.00024407820427348986</x:v>
      </x:c>
      <x:c r="AA303" s="80" t="n">
        <x:f>K303*(1+'Inputs'!$E$44)/2*'Inputs'!$B$17</x:f>
        <x:v>0.00006547928034902076</x:v>
      </x:c>
      <x:c r="AB303" s="78" t="n">
        <x:f>(IF(J303&gt;0,K303*(1-'Inputs'!$E$44)/2/J303,0)+G303+R303)*'Inputs'!$B$17</x:f>
        <x:v>3216.9702395268578</x:v>
      </x:c>
      <x:c r="AC303" s="78" t="n">
        <x:f>AC302+AB303</x:f>
        <x:v>1410266552.3066878</x:v>
      </x:c>
      <x:c r="AD303" s="80" t="n">
        <x:f>Z303/(1+'Inputs'!$C$44)</x:f>
        <x:v>0.0001952625634187919</x:v>
      </x:c>
      <x:c r="AE303" s="80" t="n">
        <x:f>Z303-AD303</x:f>
        <x:v>0.00004881564085469796</x:v>
      </x:c>
      <x:c r="AF303" s="80" t="n">
        <x:f>D303*W303</x:f>
        <x:v>2.2991969742527719e-7</x:v>
      </x:c>
      <x:c r="AG303" s="80" t="n">
        <x:f>C303*W303</x:f>
        <x:v>5.364792939923091e-7</x:v>
      </x:c>
      <x:c r="AH303" s="80" t="n">
        <x:f>2*'Inputs'!$B$8*'Inputs'!$C$44</x:f>
        <x:v>1250</x:v>
      </x:c>
      <x:c r="AI303" s="81" t="n">
        <x:f>IF(AH303&gt;0,(AE303+AF303)/AH303*365,0)</x:f>
        <x:v>0.000014321303681219986</x:v>
      </x:c>
      <x:c r="AJ303" s="81" t="n">
        <x:f>IF('Inputs'!$B$44&gt;0,AG303/('Inputs'!$B$19*'Inputs'!$B$44)*365,0)</x:f>
        <x:v>1.958149423071928e-8</x:v>
      </x:c>
      <x:c r="AK303" s="81" t="n">
        <x:f>W303/MAX($W$4:W303)-1</x:f>
        <x:v>-0.9999999987172536</x:v>
      </x:c>
      <x:c r="AL303" s="83" t="n">
        <x:f>'Inputs'!$B$44</x:f>
        <x:v>1</x:v>
      </x:c>
      <x:c r="AM303" s="83" t="n">
        <x:f>'Inputs'!$C$44</x:f>
        <x:v>0.25</x:v>
      </x:c>
      <x:c r="AN303" s="83" t="n">
        <x:f>'Inputs'!$D$44</x:f>
        <x:v>0.2</x:v>
      </x:c>
      <x:c r="AO303" s="81" t="n">
        <x:f>'Inputs'!$E$44</x:f>
        <x:v>-0.2</x:v>
      </x:c>
    </x:row>
    <x:row r="304">
      <x:c r="A304" s="59" t="str">
        <x:v>No demand</x:v>
      </x:c>
      <x:c r="B304" s="59" t="n">
        <x:v>301</x:v>
      </x:c>
      <x:c r="C304" s="78" t="n">
        <x:f>(('Inputs'!$B$29*(3*301*'Inputs'!$B$12-301^2)/(2*'Inputs'!$B$12^2))-('Inputs'!$B$29*(3*300*'Inputs'!$B$12-300^2)/(2*'Inputs'!$B$12^2)))*'Inputs'!$B$44</x:f>
        <x:v>614291.3773691356</x:v>
      </x:c>
      <x:c r="D304" s="78" t="n">
        <x:f>IF('Inputs'!$C$44&gt;0,('Inputs'!$B$30*(3*301*'Inputs'!$B$12-301^2)/(2*'Inputs'!$B$12^2))-('Inputs'!$B$30*(3*300*'Inputs'!$B$12-300^2)/(2*'Inputs'!$B$12^2)),0)</x:f>
        <x:v>263267.7331581861</x:v>
      </x:c>
      <x:c r="E304" s="78" t="n">
        <x:f>C304+D304</x:f>
        <x:v>877559.1105273217</x:v>
      </x:c>
      <x:c r="F304" s="78" t="n">
        <x:f>'Inputs'!$B$13*E304+(1-'Inputs'!$B$13)/'Inputs'!$B$14*SUM(E249:E304)</x:f>
        <x:v>887776.7873897578</x:v>
      </x:c>
      <x:c r="G304" s="78" t="n">
        <x:f>F304*'Inputs'!$F$44</x:f>
        <x:v>798999.108650782</x:v>
      </x:c>
      <x:c r="H304" s="78" t="n">
        <x:f>U303</x:f>
        <x:v>116508764844.29338</x:v>
      </x:c>
      <x:c r="I304" s="78" t="n">
        <x:f>V303</x:f>
        <x:v>0.10169681647930047</x:v>
      </x:c>
      <x:c r="J304" s="79" t="n">
        <x:f>IF(H304&gt;0,I304/H304,0)</x:f>
        <x:v>8.728683770290746e-13</x:v>
      </x:c>
      <x:c r="K304" s="80" t="n">
        <x:f>(H304*J304+I304)*'Inputs'!$D$44*(1+'Inputs'!$G$44)^(B304/30)</x:f>
        <x:v>0.04067872659172019</x:v>
      </x:c>
      <x:c r="L304" s="80" t="n">
        <x:f>MAX(0,K304*'Inputs'!$E$44)</x:f>
        <x:v>0</x:v>
      </x:c>
      <x:c r="M304" s="80" t="n">
        <x:f>MAX(0,-K304*'Inputs'!$E$44)</x:f>
        <x:v>0.008135745318344038</x:v>
      </x:c>
      <x:c r="N304" s="78" t="n">
        <x:f>H304*(L304*(1-'Inputs'!$B$15))/(I304+L304*(1-'Inputs'!$B$15))</x:f>
        <x:v>0</x:v>
      </x:c>
      <x:c r="O304" s="78" t="n">
        <x:f>H304-N304</x:f>
        <x:v>116508764844.29338</x:v>
      </x:c>
      <x:c r="P304" s="78" t="n">
        <x:f>I304+L304*(1-'Inputs'!$B$17)</x:f>
        <x:v>0.10169681647930047</x:v>
      </x:c>
      <x:c r="Q304" s="78" t="n">
        <x:f>IF(J304&gt;0,M304/J304,0)</x:f>
        <x:v>0</x:v>
      </x:c>
      <x:c r="R304" s="78" t="n">
        <x:f>IF(B304='Inputs'!$H$44,'Inputs'!$B$27*'Inputs'!$I$44,0)</x:f>
        <x:v>0</x:v>
      </x:c>
      <x:c r="S304" s="78" t="n">
        <x:f>Q304+G304+R304</x:f>
        <x:v>798999.108650782</x:v>
      </x:c>
      <x:c r="T304" s="78" t="n">
        <x:f>P304*(S304*(1-'Inputs'!$B$15))/(O304+S304*(1-'Inputs'!$B$15))</x:f>
        <x:v>6.904421570673453e-7</x:v>
      </x:c>
      <x:c r="U304" s="78" t="n">
        <x:f>O304+S304*(1-'Inputs'!$B$17)</x:f>
        <x:v>116509560628.11386</x:v>
      </x:c>
      <x:c r="V304" s="78" t="n">
        <x:f>P304-T304</x:f>
        <x:v>0.1016961260371434</x:v>
      </x:c>
      <x:c r="W304" s="79" t="n">
        <x:f>IF(U304&gt;0,V304/U304,0)</x:f>
        <x:v>8.728564891060453e-13</x:v>
      </x:c>
      <x:c r="X304" s="80" t="n">
        <x:f>W304*('Inputs'!$B$6-AC304)</x:f>
        <x:v>-0.00035810662892919525</x:v>
      </x:c>
      <x:c r="Y304" s="80" t="n">
        <x:f>2*V304</x:f>
        <x:v>0.2033922520742868</x:v>
      </x:c>
      <x:c r="Z304" s="80" t="n">
        <x:f>K304*'Inputs'!$B$16+(G304+R304)*J304*'Inputs'!$B$16</x:f>
        <x:v>0.00024407654407665244</x:v>
      </x:c>
      <x:c r="AA304" s="80" t="n">
        <x:f>K304*(1+'Inputs'!$E$44)/2*'Inputs'!$B$17</x:f>
        <x:v>0.00006547883556011299</x:v>
      </x:c>
      <x:c r="AB304" s="78" t="n">
        <x:f>(IF(J304&gt;0,K304*(1-'Inputs'!$E$44)/2/J304,0)+G304+R304)*'Inputs'!$B$17</x:f>
        <x:v>3215.288163584636</x:v>
      </x:c>
      <x:c r="AC304" s="78" t="n">
        <x:f>AC303+AB304</x:f>
        <x:v>1410269767.5948515</x:v>
      </x:c>
      <x:c r="AD304" s="80" t="n">
        <x:f>Z304/(1+'Inputs'!$C$44)</x:f>
        <x:v>0.00019526123526132194</x:v>
      </x:c>
      <x:c r="AE304" s="80" t="n">
        <x:f>Z304-AD304</x:f>
        <x:v>0.0000488153088153305</x:v>
      </x:c>
      <x:c r="AF304" s="80" t="n">
        <x:f>D304*W304</x:f>
        <x:v>2.297949492593615e-7</x:v>
      </x:c>
      <x:c r="AG304" s="80" t="n">
        <x:f>C304*W304</x:f>
        <x:v>5.361882149385405e-7</x:v>
      </x:c>
      <x:c r="AH304" s="80" t="n">
        <x:f>2*'Inputs'!$B$8*'Inputs'!$C$44</x:f>
        <x:v>1250</x:v>
      </x:c>
      <x:c r="AI304" s="81" t="n">
        <x:f>IF(AH304&gt;0,(AE304+AF304)/AH304*365,0)</x:f>
        <x:v>0.00001432117029926024</x:v>
      </x:c>
      <x:c r="AJ304" s="81" t="n">
        <x:f>IF('Inputs'!$B$44&gt;0,AG304/('Inputs'!$B$19*'Inputs'!$B$44)*365,0)</x:f>
        <x:v>1.957086984525673e-8</x:v>
      </x:c>
      <x:c r="AK304" s="81" t="n">
        <x:f>W304/MAX($W$4:W304)-1</x:f>
        <x:v>-0.9999999987172711</x:v>
      </x:c>
      <x:c r="AL304" s="83" t="n">
        <x:f>'Inputs'!$B$44</x:f>
        <x:v>1</x:v>
      </x:c>
      <x:c r="AM304" s="83" t="n">
        <x:f>'Inputs'!$C$44</x:f>
        <x:v>0.25</x:v>
      </x:c>
      <x:c r="AN304" s="83" t="n">
        <x:f>'Inputs'!$D$44</x:f>
        <x:v>0.2</x:v>
      </x:c>
      <x:c r="AO304" s="81" t="n">
        <x:f>'Inputs'!$E$44</x:f>
        <x:v>-0.2</x:v>
      </x:c>
    </x:row>
    <x:row r="305">
      <x:c r="A305" s="59" t="str">
        <x:v>No demand</x:v>
      </x:c>
      <x:c r="B305" s="59" t="n">
        <x:v>302</x:v>
      </x:c>
      <x:c r="C305" s="78" t="n">
        <x:f>(('Inputs'!$B$29*(3*302*'Inputs'!$B$12-302^2)/(2*'Inputs'!$B$12^2))-('Inputs'!$B$29*(3*301*'Inputs'!$B$12-301^2)/(2*'Inputs'!$B$12^2)))*'Inputs'!$B$44</x:f>
        <x:v>613966.2694689333</x:v>
      </x:c>
      <x:c r="D305" s="78" t="n">
        <x:f>IF('Inputs'!$C$44&gt;0,('Inputs'!$B$30*(3*302*'Inputs'!$B$12-302^2)/(2*'Inputs'!$B$12^2))-('Inputs'!$B$30*(3*301*'Inputs'!$B$12-301^2)/(2*'Inputs'!$B$12^2)),0)</x:f>
        <x:v>263128.40120097995</x:v>
      </x:c>
      <x:c r="E305" s="78" t="n">
        <x:f>C305+D305</x:f>
        <x:v>877094.6706699133</x:v>
      </x:c>
      <x:c r="F305" s="78" t="n">
        <x:f>'Inputs'!$B$13*E305+(1-'Inputs'!$B$13)/'Inputs'!$B$14*SUM(E250:E305)</x:f>
        <x:v>887312.3475323691</x:v>
      </x:c>
      <x:c r="G305" s="78" t="n">
        <x:f>F305*'Inputs'!$F$44</x:f>
        <x:v>798581.1127791322</x:v>
      </x:c>
      <x:c r="H305" s="78" t="n">
        <x:f>U304</x:f>
        <x:v>116509560628.11386</x:v>
      </x:c>
      <x:c r="I305" s="78" t="n">
        <x:f>V304</x:f>
        <x:v>0.1016961260371434</x:v>
      </x:c>
      <x:c r="J305" s="79" t="n">
        <x:f>IF(H305&gt;0,I305/H305,0)</x:f>
        <x:v>8.728564891060453e-13</x:v>
      </x:c>
      <x:c r="K305" s="80" t="n">
        <x:f>(H305*J305+I305)*'Inputs'!$D$44*(1+'Inputs'!$G$44)^(B305/30)</x:f>
        <x:v>0.04067845041485736</x:v>
      </x:c>
      <x:c r="L305" s="80" t="n">
        <x:f>MAX(0,K305*'Inputs'!$E$44)</x:f>
        <x:v>0</x:v>
      </x:c>
      <x:c r="M305" s="80" t="n">
        <x:f>MAX(0,-K305*'Inputs'!$E$44)</x:f>
        <x:v>0.008135690082971473</x:v>
      </x:c>
      <x:c r="N305" s="78" t="n">
        <x:f>H305*(L305*(1-'Inputs'!$B$15))/(I305+L305*(1-'Inputs'!$B$15))</x:f>
        <x:v>0</x:v>
      </x:c>
      <x:c r="O305" s="78" t="n">
        <x:f>H305-N305</x:f>
        <x:v>116509560628.11386</x:v>
      </x:c>
      <x:c r="P305" s="78" t="n">
        <x:f>I305+L305*(1-'Inputs'!$B$17)</x:f>
        <x:v>0.1016961260371434</x:v>
      </x:c>
      <x:c r="Q305" s="78" t="n">
        <x:f>IF(J305&gt;0,M305/J305,0)</x:f>
        <x:v>0</x:v>
      </x:c>
      <x:c r="R305" s="78" t="n">
        <x:f>IF(B305='Inputs'!$H$44,'Inputs'!$B$27*'Inputs'!$I$44,0)</x:f>
        <x:v>0</x:v>
      </x:c>
      <x:c r="S305" s="78" t="n">
        <x:f>Q305+G305+R305</x:f>
        <x:v>798581.1127791322</x:v>
      </x:c>
      <x:c r="T305" s="78" t="n">
        <x:f>P305*(S305*(1-'Inputs'!$B$15))/(O305+S305*(1-'Inputs'!$B$15))</x:f>
        <x:v>6.900715567060259e-7</x:v>
      </x:c>
      <x:c r="U305" s="78" t="n">
        <x:f>O305+S305*(1-'Inputs'!$B$17)</x:f>
        <x:v>116510355995.62056</x:v>
      </x:c>
      <x:c r="V305" s="78" t="n">
        <x:f>P305-T305</x:f>
        <x:v>0.1016954359655867</x:v>
      </x:c>
      <x:c r="W305" s="79" t="n">
        <x:f>IF(U305&gt;0,V305/U305,0)</x:f>
        <x:v>8.728446076450858e-13</x:v>
      </x:c>
      <x:c r="X305" s="80" t="n">
        <x:f>W305*('Inputs'!$B$6-AC305)</x:f>
        <x:v>-0.0003581045593037134</x:v>
      </x:c>
      <x:c r="Y305" s="80" t="n">
        <x:f>2*V305</x:f>
        <x:v>0.2033908719311734</x:v>
      </x:c>
      <x:c r="Z305" s="80" t="n">
        <x:f>K305*'Inputs'!$B$16+(G305+R305)*J305*'Inputs'!$B$16</x:f>
        <x:v>0.00024407488476938237</x:v>
      </x:c>
      <x:c r="AA305" s="80" t="n">
        <x:f>K305*(1+'Inputs'!$E$44)/2*'Inputs'!$B$17</x:f>
        <x:v>0.00006547839100983077</x:v>
      </x:c>
      <x:c r="AB305" s="78" t="n">
        <x:f>(IF(J305&gt;0,K305*(1-'Inputs'!$E$44)/2/J305,0)+G305+R305)*'Inputs'!$B$17</x:f>
        <x:v>3213.6060876423835</x:v>
      </x:c>
      <x:c r="AC305" s="78" t="n">
        <x:f>AC304+AB305</x:f>
        <x:v>1410272981.2009392</x:v>
      </x:c>
      <x:c r="AD305" s="80" t="n">
        <x:f>Z305/(1+'Inputs'!$C$44)</x:f>
        <x:v>0.0001952599078155059</x:v>
      </x:c>
      <x:c r="AE305" s="80" t="n">
        <x:f>Z305-AD305</x:f>
        <x:v>0.000048814976953876464</x:v>
      </x:c>
      <x:c r="AF305" s="80" t="n">
        <x:f>D305*W305</x:f>
        <x:v>2.2967020610654806e-7</x:v>
      </x:c>
      <x:c r="AG305" s="80" t="n">
        <x:f>C305*W305</x:f>
        <x:v>5.358971475819282e-7</x:v>
      </x:c>
      <x:c r="AH305" s="80" t="n">
        <x:f>2*'Inputs'!$B$8*'Inputs'!$C$44</x:f>
        <x:v>1250</x:v>
      </x:c>
      <x:c r="AI305" s="81" t="n">
        <x:f>IF(AH305&gt;0,(AE305+AF305)/AH305*365,0)</x:f>
        <x:v>0.00001432103697071504</x:v>
      </x:c>
      <x:c r="AJ305" s="81" t="n">
        <x:f>IF('Inputs'!$B$44&gt;0,AG305/('Inputs'!$B$19*'Inputs'!$B$44)*365,0)</x:f>
        <x:v>1.956024588674038e-8</x:v>
      </x:c>
      <x:c r="AK305" s="81" t="n">
        <x:f>W305/MAX($W$4:W305)-1</x:f>
        <x:v>-0.9999999987172885</x:v>
      </x:c>
      <x:c r="AL305" s="83" t="n">
        <x:f>'Inputs'!$B$44</x:f>
        <x:v>1</x:v>
      </x:c>
      <x:c r="AM305" s="83" t="n">
        <x:f>'Inputs'!$C$44</x:f>
        <x:v>0.25</x:v>
      </x:c>
      <x:c r="AN305" s="83" t="n">
        <x:f>'Inputs'!$D$44</x:f>
        <x:v>0.2</x:v>
      </x:c>
      <x:c r="AO305" s="81" t="n">
        <x:f>'Inputs'!$E$44</x:f>
        <x:v>-0.2</x:v>
      </x:c>
    </x:row>
    <x:row r="306">
      <x:c r="A306" s="59" t="str">
        <x:v>No demand</x:v>
      </x:c>
      <x:c r="B306" s="59" t="n">
        <x:v>303</x:v>
      </x:c>
      <x:c r="C306" s="78" t="n">
        <x:f>(('Inputs'!$B$29*(3*303*'Inputs'!$B$12-303^2)/(2*'Inputs'!$B$12^2))-('Inputs'!$B$29*(3*302*'Inputs'!$B$12-302^2)/(2*'Inputs'!$B$12^2)))*'Inputs'!$B$44</x:f>
        <x:v>613641.1615687609</x:v>
      </x:c>
      <x:c r="D306" s="78" t="n">
        <x:f>IF('Inputs'!$C$44&gt;0,('Inputs'!$B$30*(3*303*'Inputs'!$B$12-303^2)/(2*'Inputs'!$B$12^2))-('Inputs'!$B$30*(3*302*'Inputs'!$B$12-302^2)/(2*'Inputs'!$B$12^2)),0)</x:f>
        <x:v>262989.0692437589</x:v>
      </x:c>
      <x:c r="E306" s="78" t="n">
        <x:f>C306+D306</x:f>
        <x:v>876630.2308125198</x:v>
      </x:c>
      <x:c r="F306" s="78" t="n">
        <x:f>'Inputs'!$B$13*E306+(1-'Inputs'!$B$13)/'Inputs'!$B$14*SUM(E251:E306)</x:f>
        <x:v>886847.9076749828</x:v>
      </x:c>
      <x:c r="G306" s="78" t="n">
        <x:f>F306*'Inputs'!$F$44</x:f>
        <x:v>798163.1169074845</x:v>
      </x:c>
      <x:c r="H306" s="78" t="n">
        <x:f>U305</x:f>
        <x:v>116510355995.62056</x:v>
      </x:c>
      <x:c r="I306" s="78" t="n">
        <x:f>V305</x:f>
        <x:v>0.1016954359655867</x:v>
      </x:c>
      <x:c r="J306" s="79" t="n">
        <x:f>IF(H306&gt;0,I306/H306,0)</x:f>
        <x:v>8.728446076450858e-13</x:v>
      </x:c>
      <x:c r="K306" s="80" t="n">
        <x:f>(H306*J306+I306)*'Inputs'!$D$44*(1+'Inputs'!$G$44)^(B306/30)</x:f>
        <x:v>0.04067817438623468</x:v>
      </x:c>
      <x:c r="L306" s="80" t="n">
        <x:f>MAX(0,K306*'Inputs'!$E$44)</x:f>
        <x:v>0</x:v>
      </x:c>
      <x:c r="M306" s="80" t="n">
        <x:f>MAX(0,-K306*'Inputs'!$E$44)</x:f>
        <x:v>0.008135634877246936</x:v>
      </x:c>
      <x:c r="N306" s="78" t="n">
        <x:f>H306*(L306*(1-'Inputs'!$B$15))/(I306+L306*(1-'Inputs'!$B$15))</x:f>
        <x:v>0</x:v>
      </x:c>
      <x:c r="O306" s="78" t="n">
        <x:f>H306-N306</x:f>
        <x:v>116510355995.62056</x:v>
      </x:c>
      <x:c r="P306" s="78" t="n">
        <x:f>I306+L306*(1-'Inputs'!$B$17)</x:f>
        <x:v>0.1016954359655867</x:v>
      </x:c>
      <x:c r="Q306" s="78" t="n">
        <x:f>IF(J306&gt;0,M306/J306,0)</x:f>
        <x:v>0</x:v>
      </x:c>
      <x:c r="R306" s="78" t="n">
        <x:f>IF(B306='Inputs'!$H$44,'Inputs'!$B$27*'Inputs'!$I$44,0)</x:f>
        <x:v>0</x:v>
      </x:c>
      <x:c r="S306" s="78" t="n">
        <x:f>Q306+G306+R306</x:f>
        <x:v>798163.1169074845</x:v>
      </x:c>
      <x:c r="T306" s="78" t="n">
        <x:f>P306*(S306*(1-'Inputs'!$B$15))/(O306+S306*(1-'Inputs'!$B$15))</x:f>
        <x:v>6.897009712869206e-7</x:v>
      </x:c>
      <x:c r="U306" s="78" t="n">
        <x:f>O306+S306*(1-'Inputs'!$B$17)</x:f>
        <x:v>116511150946.81346</x:v>
      </x:c>
      <x:c r="V306" s="78" t="n">
        <x:f>P306-T306</x:f>
        <x:v>0.1016947462646154</x:v>
      </x:c>
      <x:c r="W306" s="79" t="n">
        <x:f>IF(U306&gt;0,V306/U306,0)</x:f>
        <x:v>8.728327326458079e-13</x:v>
      </x:c>
      <x:c r="X306" s="80" t="n">
        <x:f>W306*('Inputs'!$B$6-AC306)</x:f>
        <x:v>-0.0003581024907847701</x:v>
      </x:c>
      <x:c r="Y306" s="80" t="n">
        <x:f>2*V306</x:f>
        <x:v>0.2033894925292308</x:v>
      </x:c>
      <x:c r="Z306" s="80" t="n">
        <x:f>K306*'Inputs'!$B$16+(G306+R306)*J306*'Inputs'!$B$16</x:f>
        <x:v>0.00024407322635164376</x:v>
      </x:c>
      <x:c r="AA306" s="80" t="n">
        <x:f>K306*(1+'Inputs'!$E$44)/2*'Inputs'!$B$17</x:f>
        <x:v>0.00006547794669816448</x:v>
      </x:c>
      <x:c r="AB306" s="78" t="n">
        <x:f>(IF(J306&gt;0,K306*(1-'Inputs'!$E$44)/2/J306,0)+G306+R306)*'Inputs'!$B$17</x:f>
        <x:v>3211.924011700139</x:v>
      </x:c>
      <x:c r="AC306" s="78" t="n">
        <x:f>AC305+AB306</x:f>
        <x:v>1410276193.124951</x:v>
      </x:c>
      <x:c r="AD306" s="80" t="n">
        <x:f>Z306/(1+'Inputs'!$C$44)</x:f>
        <x:v>0.000195258581081315</x:v>
      </x:c>
      <x:c r="AE306" s="80" t="n">
        <x:f>Z306-AD306</x:f>
        <x:v>0.00004881464527032876</x:v>
      </x:c>
      <x:c r="AF306" s="80" t="n">
        <x:f>D306*W306</x:f>
        <x:v>2.2954546796400768e-7</x:v>
      </x:c>
      <x:c r="AG306" s="80" t="n">
        <x:f>C306*W306</x:f>
        <x:v>5.356060919160092e-7</x:v>
      </x:c>
      <x:c r="AH306" s="80" t="n">
        <x:f>2*'Inputs'!$B$8*'Inputs'!$C$44</x:f>
        <x:v>1250</x:v>
      </x:c>
      <x:c r="AI306" s="81" t="n">
        <x:f>IF(AH306&gt;0,(AE306+AF306)/AH306*365,0)</x:f>
        <x:v>0.000014320903695581488</x:v>
      </x:c>
      <x:c r="AJ306" s="81" t="n">
        <x:f>IF('Inputs'!$B$44&gt;0,AG306/('Inputs'!$B$19*'Inputs'!$B$44)*365,0)</x:f>
        <x:v>1.954962235493434e-8</x:v>
      </x:c>
      <x:c r="AK306" s="81" t="n">
        <x:f>W306/MAX($W$4:W306)-1</x:f>
        <x:v>-0.999999998717306</x:v>
      </x:c>
      <x:c r="AL306" s="83" t="n">
        <x:f>'Inputs'!$B$44</x:f>
        <x:v>1</x:v>
      </x:c>
      <x:c r="AM306" s="83" t="n">
        <x:f>'Inputs'!$C$44</x:f>
        <x:v>0.25</x:v>
      </x:c>
      <x:c r="AN306" s="83" t="n">
        <x:f>'Inputs'!$D$44</x:f>
        <x:v>0.2</x:v>
      </x:c>
      <x:c r="AO306" s="81" t="n">
        <x:f>'Inputs'!$E$44</x:f>
        <x:v>-0.2</x:v>
      </x:c>
    </x:row>
    <x:row r="307">
      <x:c r="A307" s="59" t="str">
        <x:v>No demand</x:v>
      </x:c>
      <x:c r="B307" s="59" t="n">
        <x:v>304</x:v>
      </x:c>
      <x:c r="C307" s="78" t="n">
        <x:f>(('Inputs'!$B$29*(3*304*'Inputs'!$B$12-304^2)/(2*'Inputs'!$B$12^2))-('Inputs'!$B$29*(3*303*'Inputs'!$B$12-303^2)/(2*'Inputs'!$B$12^2)))*'Inputs'!$B$44</x:f>
        <x:v>613316.0536686182</x:v>
      </x:c>
      <x:c r="D307" s="78" t="n">
        <x:f>IF('Inputs'!$C$44&gt;0,('Inputs'!$B$30*(3*304*'Inputs'!$B$12-304^2)/(2*'Inputs'!$B$12^2))-('Inputs'!$B$30*(3*303*'Inputs'!$B$12-303^2)/(2*'Inputs'!$B$12^2)),0)</x:f>
        <x:v>262849.7372865379</x:v>
      </x:c>
      <x:c r="E307" s="78" t="n">
        <x:f>C307+D307</x:f>
        <x:v>876165.7909551561</x:v>
      </x:c>
      <x:c r="F307" s="78" t="n">
        <x:f>'Inputs'!$B$13*E307+(1-'Inputs'!$B$13)/'Inputs'!$B$14*SUM(E252:E307)</x:f>
        <x:v>886383.4678176027</x:v>
      </x:c>
      <x:c r="G307" s="78" t="n">
        <x:f>F307*'Inputs'!$F$44</x:f>
        <x:v>797745.1210358425</x:v>
      </x:c>
      <x:c r="H307" s="78" t="n">
        <x:f>U306</x:f>
        <x:v>116511150946.81346</x:v>
      </x:c>
      <x:c r="I307" s="78" t="n">
        <x:f>V306</x:f>
        <x:v>0.1016947462646154</x:v>
      </x:c>
      <x:c r="J307" s="79" t="n">
        <x:f>IF(H307&gt;0,I307/H307,0)</x:f>
        <x:v>8.728327326458079e-13</x:v>
      </x:c>
      <x:c r="K307" s="80" t="n">
        <x:f>(H307*J307+I307)*'Inputs'!$D$44*(1+'Inputs'!$G$44)^(B307/30)</x:f>
        <x:v>0.04067789850584616</x:v>
      </x:c>
      <x:c r="L307" s="80" t="n">
        <x:f>MAX(0,K307*'Inputs'!$E$44)</x:f>
        <x:v>0</x:v>
      </x:c>
      <x:c r="M307" s="80" t="n">
        <x:f>MAX(0,-K307*'Inputs'!$E$44)</x:f>
        <x:v>0.008135579701169232</x:v>
      </x:c>
      <x:c r="N307" s="78" t="n">
        <x:f>H307*(L307*(1-'Inputs'!$B$15))/(I307+L307*(1-'Inputs'!$B$15))</x:f>
        <x:v>0</x:v>
      </x:c>
      <x:c r="O307" s="78" t="n">
        <x:f>H307-N307</x:f>
        <x:v>116511150946.81346</x:v>
      </x:c>
      <x:c r="P307" s="78" t="n">
        <x:f>I307+L307*(1-'Inputs'!$B$17)</x:f>
        <x:v>0.1016947462646154</x:v>
      </x:c>
      <x:c r="Q307" s="78" t="n">
        <x:f>IF(J307&gt;0,M307/J307,0)</x:f>
        <x:v>0</x:v>
      </x:c>
      <x:c r="R307" s="78" t="n">
        <x:f>IF(B307='Inputs'!$H$44,'Inputs'!$B$27*'Inputs'!$I$44,0)</x:f>
        <x:v>0</x:v>
      </x:c>
      <x:c r="S307" s="78" t="n">
        <x:f>Q307+G307+R307</x:f>
        <x:v>797745.1210358425</x:v>
      </x:c>
      <x:c r="T307" s="78" t="n">
        <x:f>P307*(S307*(1-'Inputs'!$B$15))/(O307+S307*(1-'Inputs'!$B$15))</x:f>
        <x:v>6.89330400801704e-7</x:v>
      </x:c>
      <x:c r="U307" s="78" t="n">
        <x:f>O307+S307*(1-'Inputs'!$B$17)</x:f>
        <x:v>116511945481.69257</x:v>
      </x:c>
      <x:c r="V307" s="78" t="n">
        <x:f>P307-T307</x:f>
        <x:v>0.1016940569342146</x:v>
      </x:c>
      <x:c r="W307" s="79" t="n">
        <x:f>IF(U307&gt;0,V307/U307,0)</x:f>
        <x:v>8.728208641078241e-13</x:v>
      </x:c>
      <x:c r="X307" s="80" t="n">
        <x:f>W307*('Inputs'!$B$6-AC307)</x:f>
        <x:v>-0.0003581004233723285</x:v>
      </x:c>
      <x:c r="Y307" s="80" t="n">
        <x:f>2*V307</x:f>
        <x:v>0.2033881138684292</x:v>
      </x:c>
      <x:c r="Z307" s="80" t="n">
        <x:f>K307*'Inputs'!$B$16+(G307+R307)*J307*'Inputs'!$B$16</x:f>
        <x:v>0.00024407156882340068</x:v>
      </x:c>
      <x:c r="AA307" s="80" t="n">
        <x:f>K307*(1+'Inputs'!$E$44)/2*'Inputs'!$B$17</x:f>
        <x:v>0.0000654775026251045</x:v>
      </x:c>
      <x:c r="AB307" s="78" t="n">
        <x:f>(IF(J307&gt;0,K307*(1-'Inputs'!$E$44)/2/J307,0)+G307+R307)*'Inputs'!$B$17</x:f>
        <x:v>3210.2419357579174</x:v>
      </x:c>
      <x:c r="AC307" s="78" t="n">
        <x:f>AC306+AB307</x:f>
        <x:v>1410279403.3668866</x:v>
      </x:c>
      <x:c r="AD307" s="80" t="n">
        <x:f>Z307/(1+'Inputs'!$C$44)</x:f>
        <x:v>0.00019525725505872054</x:v>
      </x:c>
      <x:c r="AE307" s="80" t="n">
        <x:f>Z307-AD307</x:f>
        <x:v>0.00004881431376468014</x:v>
      </x:c>
      <x:c r="AF307" s="80" t="n">
        <x:f>D307*W307</x:f>
        <x:v>2.2942073482895056e-7</x:v>
      </x:c>
      <x:c r="AG307" s="80" t="n">
        <x:f>C307*W307</x:f>
        <x:v>5.35315047934244e-7</x:v>
      </x:c>
      <x:c r="AH307" s="80" t="n">
        <x:f>2*'Inputs'!$B$8*'Inputs'!$C$44</x:f>
        <x:v>1250</x:v>
      </x:c>
      <x:c r="AI307" s="81" t="n">
        <x:f>IF(AH307&gt;0,(AE307+AF307)/AH307*365,0)</x:f>
        <x:v>0.000014320770473856655</x:v>
      </x:c>
      <x:c r="AJ307" s="81" t="n">
        <x:f>IF('Inputs'!$B$44&gt;0,AG307/('Inputs'!$B$19*'Inputs'!$B$44)*365,0)</x:f>
        <x:v>1.9538999249599907e-8</x:v>
      </x:c>
      <x:c r="AK307" s="81" t="n">
        <x:f>W307/MAX($W$4:W307)-1</x:f>
        <x:v>-0.9999999987173235</x:v>
      </x:c>
      <x:c r="AL307" s="83" t="n">
        <x:f>'Inputs'!$B$44</x:f>
        <x:v>1</x:v>
      </x:c>
      <x:c r="AM307" s="83" t="n">
        <x:f>'Inputs'!$C$44</x:f>
        <x:v>0.25</x:v>
      </x:c>
      <x:c r="AN307" s="83" t="n">
        <x:f>'Inputs'!$D$44</x:f>
        <x:v>0.2</x:v>
      </x:c>
      <x:c r="AO307" s="81" t="n">
        <x:f>'Inputs'!$E$44</x:f>
        <x:v>-0.2</x:v>
      </x:c>
    </x:row>
    <x:row r="308">
      <x:c r="A308" s="59" t="str">
        <x:v>No demand</x:v>
      </x:c>
      <x:c r="B308" s="59" t="n">
        <x:v>305</x:v>
      </x:c>
      <x:c r="C308" s="78" t="n">
        <x:f>(('Inputs'!$B$29*(3*305*'Inputs'!$B$12-305^2)/(2*'Inputs'!$B$12^2))-('Inputs'!$B$29*(3*304*'Inputs'!$B$12-304^2)/(2*'Inputs'!$B$12^2)))*'Inputs'!$B$44</x:f>
        <x:v>612990.9457684457</x:v>
      </x:c>
      <x:c r="D308" s="78" t="n">
        <x:f>IF('Inputs'!$C$44&gt;0,('Inputs'!$B$30*(3*305*'Inputs'!$B$12-305^2)/(2*'Inputs'!$B$12^2))-('Inputs'!$B$30*(3*304*'Inputs'!$B$12-304^2)/(2*'Inputs'!$B$12^2)),0)</x:f>
        <x:v>262710.40532933176</x:v>
      </x:c>
      <x:c r="E308" s="78" t="n">
        <x:f>C308+D308</x:f>
        <x:v>875701.3510977775</x:v>
      </x:c>
      <x:c r="F308" s="78" t="n">
        <x:f>'Inputs'!$B$13*E308+(1-'Inputs'!$B$13)/'Inputs'!$B$14*SUM(E253:E308)</x:f>
        <x:v>885919.0279602198</x:v>
      </x:c>
      <x:c r="G308" s="78" t="n">
        <x:f>F308*'Inputs'!$F$44</x:f>
        <x:v>797327.1251641978</x:v>
      </x:c>
      <x:c r="H308" s="78" t="n">
        <x:f>U307</x:f>
        <x:v>116511945481.69257</x:v>
      </x:c>
      <x:c r="I308" s="78" t="n">
        <x:f>V307</x:f>
        <x:v>0.1016940569342146</x:v>
      </x:c>
      <x:c r="J308" s="79" t="n">
        <x:f>IF(H308&gt;0,I308/H308,0)</x:f>
        <x:v>8.728208641078241e-13</x:v>
      </x:c>
      <x:c r="K308" s="80" t="n">
        <x:f>(H308*J308+I308)*'Inputs'!$D$44*(1+'Inputs'!$G$44)^(B308/30)</x:f>
        <x:v>0.04067762277368584</x:v>
      </x:c>
      <x:c r="L308" s="80" t="n">
        <x:f>MAX(0,K308*'Inputs'!$E$44)</x:f>
        <x:v>0</x:v>
      </x:c>
      <x:c r="M308" s="80" t="n">
        <x:f>MAX(0,-K308*'Inputs'!$E$44)</x:f>
        <x:v>0.00813552455473717</x:v>
      </x:c>
      <x:c r="N308" s="78" t="n">
        <x:f>H308*(L308*(1-'Inputs'!$B$15))/(I308+L308*(1-'Inputs'!$B$15))</x:f>
        <x:v>0</x:v>
      </x:c>
      <x:c r="O308" s="78" t="n">
        <x:f>H308-N308</x:f>
        <x:v>116511945481.69257</x:v>
      </x:c>
      <x:c r="P308" s="78" t="n">
        <x:f>I308+L308*(1-'Inputs'!$B$17)</x:f>
        <x:v>0.1016940569342146</x:v>
      </x:c>
      <x:c r="Q308" s="78" t="n">
        <x:f>IF(J308&gt;0,M308/J308,0)</x:f>
        <x:v>0</x:v>
      </x:c>
      <x:c r="R308" s="78" t="n">
        <x:f>IF(B308='Inputs'!$H$44,'Inputs'!$B$27*'Inputs'!$I$44,0)</x:f>
        <x:v>0</x:v>
      </x:c>
      <x:c r="S308" s="78" t="n">
        <x:f>Q308+G308+R308</x:f>
        <x:v>797327.1251641978</x:v>
      </x:c>
      <x:c r="T308" s="78" t="n">
        <x:f>P308*(S308*(1-'Inputs'!$B$15))/(O308+S308*(1-'Inputs'!$B$15))</x:f>
        <x:v>6.889598452420418e-7</x:v>
      </x:c>
      <x:c r="U308" s="78" t="n">
        <x:f>O308+S308*(1-'Inputs'!$B$17)</x:f>
        <x:v>116512739600.25787</x:v>
      </x:c>
      <x:c r="V308" s="78" t="n">
        <x:f>P308-T308</x:f>
        <x:v>0.10169336797436936</x:v>
      </x:c>
      <x:c r="W308" s="79" t="n">
        <x:f>IF(U308&gt;0,V308/U308,0)</x:f>
        <x:v>8.728090020307469e-13</x:v>
      </x:c>
      <x:c r="X308" s="80" t="n">
        <x:f>W308*('Inputs'!$B$6-AC308)</x:f>
        <x:v>-0.0003580983570663517</x:v>
      </x:c>
      <x:c r="Y308" s="80" t="n">
        <x:f>2*V308</x:f>
        <x:v>0.2033867359487387</x:v>
      </x:c>
      <x:c r="Z308" s="80" t="n">
        <x:f>K308*'Inputs'!$B$16+(G308+R308)*J308*'Inputs'!$B$16</x:f>
        <x:v>0.00024406991218461723</x:v>
      </x:c>
      <x:c r="AA308" s="80" t="n">
        <x:f>K308*(1+'Inputs'!$E$44)/2*'Inputs'!$B$17</x:f>
        <x:v>0.0000654770587906412</x:v>
      </x:c>
      <x:c r="AB308" s="78" t="n">
        <x:f>(IF(J308&gt;0,K308*(1-'Inputs'!$E$44)/2/J308,0)+G308+R308)*'Inputs'!$B$17</x:f>
        <x:v>3208.5598598156853</x:v>
      </x:c>
      <x:c r="AC308" s="78" t="n">
        <x:f>AC307+AB308</x:f>
        <x:v>1410282611.9267464</x:v>
      </x:c>
      <x:c r="AD308" s="80" t="n">
        <x:f>Z308/(1+'Inputs'!$C$44)</x:f>
        <x:v>0.0001952559297476938</x:v>
      </x:c>
      <x:c r="AE308" s="80" t="n">
        <x:f>Z308-AD308</x:f>
        <x:v>0.000048813982436923434</x:v>
      </x:c>
      <x:c r="AF308" s="80" t="n">
        <x:f>D308*W308</x:f>
        <x:v>2.2929600669858707e-7</x:v>
      </x:c>
      <x:c r="AG308" s="80" t="n">
        <x:f>C308*W308</x:f>
        <x:v>5.350240156300408e-7</x:v>
      </x:c>
      <x:c r="AH308" s="80" t="n">
        <x:f>2*'Inputs'!$B$8*'Inputs'!$C$44</x:f>
        <x:v>1250</x:v>
      </x:c>
      <x:c r="AI308" s="81" t="n">
        <x:f>IF(AH308&gt;0,(AE308+AF308)/AH308*365,0)</x:f>
        <x:v>0.000014320637305537628</x:v>
      </x:c>
      <x:c r="AJ308" s="81" t="n">
        <x:f>IF('Inputs'!$B$44&gt;0,AG308/('Inputs'!$B$19*'Inputs'!$B$44)*365,0)</x:f>
        <x:v>1.952837657049649e-8</x:v>
      </x:c>
      <x:c r="AK308" s="81" t="n">
        <x:f>W308/MAX($W$4:W308)-1</x:f>
        <x:v>-0.9999999987173409</x:v>
      </x:c>
      <x:c r="AL308" s="83" t="n">
        <x:f>'Inputs'!$B$44</x:f>
        <x:v>1</x:v>
      </x:c>
      <x:c r="AM308" s="83" t="n">
        <x:f>'Inputs'!$C$44</x:f>
        <x:v>0.25</x:v>
      </x:c>
      <x:c r="AN308" s="83" t="n">
        <x:f>'Inputs'!$D$44</x:f>
        <x:v>0.2</x:v>
      </x:c>
      <x:c r="AO308" s="81" t="n">
        <x:f>'Inputs'!$E$44</x:f>
        <x:v>-0.2</x:v>
      </x:c>
    </x:row>
    <x:row r="309">
      <x:c r="A309" s="59" t="str">
        <x:v>No demand</x:v>
      </x:c>
      <x:c r="B309" s="59" t="n">
        <x:v>306</x:v>
      </x:c>
      <x:c r="C309" s="78" t="n">
        <x:f>(('Inputs'!$B$29*(3*306*'Inputs'!$B$12-306^2)/(2*'Inputs'!$B$12^2))-('Inputs'!$B$29*(3*305*'Inputs'!$B$12-305^2)/(2*'Inputs'!$B$12^2)))*'Inputs'!$B$44</x:f>
        <x:v>612665.8378682733</x:v>
      </x:c>
      <x:c r="D309" s="78" t="n">
        <x:f>IF('Inputs'!$C$44&gt;0,('Inputs'!$B$30*(3*306*'Inputs'!$B$12-306^2)/(2*'Inputs'!$B$12^2))-('Inputs'!$B$30*(3*305*'Inputs'!$B$12-305^2)/(2*'Inputs'!$B$12^2)),0)</x:f>
        <x:v>262571.0733721107</x:v>
      </x:c>
      <x:c r="E309" s="78" t="n">
        <x:f>C309+D309</x:f>
        <x:v>875236.911240384</x:v>
      </x:c>
      <x:c r="F309" s="78" t="n">
        <x:f>'Inputs'!$B$13*E309+(1-'Inputs'!$B$13)/'Inputs'!$B$14*SUM(E254:E309)</x:f>
        <x:v>885454.5881028338</x:v>
      </x:c>
      <x:c r="G309" s="78" t="n">
        <x:f>F309*'Inputs'!$F$44</x:f>
        <x:v>796909.1292925505</x:v>
      </x:c>
      <x:c r="H309" s="78" t="n">
        <x:f>U308</x:f>
        <x:v>116512739600.25787</x:v>
      </x:c>
      <x:c r="I309" s="78" t="n">
        <x:f>V308</x:f>
        <x:v>0.10169336797436936</x:v>
      </x:c>
      <x:c r="J309" s="79" t="n">
        <x:f>IF(H309&gt;0,I309/H309,0)</x:f>
        <x:v>8.728090020307469e-13</x:v>
      </x:c>
      <x:c r="K309" s="80" t="n">
        <x:f>(H309*J309+I309)*'Inputs'!$D$44*(1+'Inputs'!$G$44)^(B309/30)</x:f>
        <x:v>0.04067734718974775</x:v>
      </x:c>
      <x:c r="L309" s="80" t="n">
        <x:f>MAX(0,K309*'Inputs'!$E$44)</x:f>
        <x:v>0</x:v>
      </x:c>
      <x:c r="M309" s="80" t="n">
        <x:f>MAX(0,-K309*'Inputs'!$E$44)</x:f>
        <x:v>0.00813546943794955</x:v>
      </x:c>
      <x:c r="N309" s="78" t="n">
        <x:f>H309*(L309*(1-'Inputs'!$B$15))/(I309+L309*(1-'Inputs'!$B$15))</x:f>
        <x:v>0</x:v>
      </x:c>
      <x:c r="O309" s="78" t="n">
        <x:f>H309-N309</x:f>
        <x:v>116512739600.25787</x:v>
      </x:c>
      <x:c r="P309" s="78" t="n">
        <x:f>I309+L309*(1-'Inputs'!$B$17)</x:f>
        <x:v>0.10169336797436936</x:v>
      </x:c>
      <x:c r="Q309" s="78" t="n">
        <x:f>IF(J309&gt;0,M309/J309,0)</x:f>
        <x:v>0</x:v>
      </x:c>
      <x:c r="R309" s="78" t="n">
        <x:f>IF(B309='Inputs'!$H$44,'Inputs'!$B$27*'Inputs'!$I$44,0)</x:f>
        <x:v>0</x:v>
      </x:c>
      <x:c r="S309" s="78" t="n">
        <x:f>Q309+G309+R309</x:f>
        <x:v>796909.1292925505</x:v>
      </x:c>
      <x:c r="T309" s="78" t="n">
        <x:f>P309*(S309*(1-'Inputs'!$B$15))/(O309+S309*(1-'Inputs'!$B$15))</x:f>
        <x:v>6.88589304599607e-7</x:v>
      </x:c>
      <x:c r="U309" s="78" t="n">
        <x:f>O309+S309*(1-'Inputs'!$B$17)</x:f>
        <x:v>116513533302.50938</x:v>
      </x:c>
      <x:c r="V309" s="78" t="n">
        <x:f>P309-T309</x:f>
        <x:v>0.10169267938506475</x:v>
      </x:c>
      <x:c r="W309" s="79" t="n">
        <x:f>IF(U309&gt;0,V309/U309,0)</x:f>
        <x:v>8.727971464141889e-13</x:v>
      </x:c>
      <x:c r="X309" s="80" t="n">
        <x:f>W309*('Inputs'!$B$6-AC309)</x:f>
        <x:v>-0.00035809629186680283</x:v>
      </x:c>
      <x:c r="Y309" s="80" t="n">
        <x:f>2*V309</x:f>
        <x:v>0.2033853587701295</x:v>
      </x:c>
      <x:c r="Z309" s="80" t="n">
        <x:f>K309*'Inputs'!$B$16+(G309+R309)*J309*'Inputs'!$B$16</x:f>
        <x:v>0.00024406825643525759</x:v>
      </x:c>
      <x:c r="AA309" s="80" t="n">
        <x:f>K309*(1+'Inputs'!$E$44)/2*'Inputs'!$B$17</x:f>
        <x:v>0.00006547661519476498</x:v>
      </x:c>
      <x:c r="AB309" s="78" t="n">
        <x:f>(IF(J309&gt;0,K309*(1-'Inputs'!$E$44)/2/J309,0)+G309+R309)*'Inputs'!$B$17</x:f>
        <x:v>3206.8777838734427</x:v>
      </x:c>
      <x:c r="AC309" s="78" t="n">
        <x:f>AC308+AB309</x:f>
        <x:v>1410285818.8045301</x:v>
      </x:c>
      <x:c r="AD309" s="80" t="n">
        <x:f>Z309/(1+'Inputs'!$C$44)</x:f>
        <x:v>0.00019525460514820608</x:v>
      </x:c>
      <x:c r="AE309" s="80" t="n">
        <x:f>Z309-AD309</x:f>
        <x:v>0.000048813651287051506</x:v>
      </x:c>
      <x:c r="AF309" s="80" t="n">
        <x:f>D309*W309</x:f>
        <x:v>2.2917128357008886e-7</x:v>
      </x:c>
      <x:c r="AG309" s="80" t="n">
        <x:f>C309*W309</x:f>
        <x:v>5.34732994996887e-7</x:v>
      </x:c>
      <x:c r="AH309" s="80" t="n">
        <x:f>2*'Inputs'!$B$8*'Inputs'!$C$44</x:f>
        <x:v>1250</x:v>
      </x:c>
      <x:c r="AI309" s="81" t="n">
        <x:f>IF(AH309&gt;0,(AE309+AF309)/AH309*365,0)</x:f>
        <x:v>0.000014320504190621506</x:v>
      </x:c>
      <x:c r="AJ309" s="81" t="n">
        <x:f>IF('Inputs'!$B$44&gt;0,AG309/('Inputs'!$B$19*'Inputs'!$B$44)*365,0)</x:f>
        <x:v>1.9517754317386376e-8</x:v>
      </x:c>
      <x:c r="AK309" s="81" t="n">
        <x:f>W309/MAX($W$4:W309)-1</x:f>
        <x:v>-0.9999999987173583</x:v>
      </x:c>
      <x:c r="AL309" s="83" t="n">
        <x:f>'Inputs'!$B$44</x:f>
        <x:v>1</x:v>
      </x:c>
      <x:c r="AM309" s="83" t="n">
        <x:f>'Inputs'!$C$44</x:f>
        <x:v>0.25</x:v>
      </x:c>
      <x:c r="AN309" s="83" t="n">
        <x:f>'Inputs'!$D$44</x:f>
        <x:v>0.2</x:v>
      </x:c>
      <x:c r="AO309" s="81" t="n">
        <x:f>'Inputs'!$E$44</x:f>
        <x:v>-0.2</x:v>
      </x:c>
    </x:row>
    <x:row r="310">
      <x:c r="A310" s="59" t="str">
        <x:v>No demand</x:v>
      </x:c>
      <x:c r="B310" s="59" t="n">
        <x:v>307</x:v>
      </x:c>
      <x:c r="C310" s="78" t="n">
        <x:f>(('Inputs'!$B$29*(3*307*'Inputs'!$B$12-307^2)/(2*'Inputs'!$B$12^2))-('Inputs'!$B$29*(3*306*'Inputs'!$B$12-306^2)/(2*'Inputs'!$B$12^2)))*'Inputs'!$B$44</x:f>
        <x:v>612340.7299681008</x:v>
      </x:c>
      <x:c r="D310" s="78" t="n">
        <x:f>IF('Inputs'!$C$44&gt;0,('Inputs'!$B$30*(3*307*'Inputs'!$B$12-307^2)/(2*'Inputs'!$B$12^2))-('Inputs'!$B$30*(3*306*'Inputs'!$B$12-306^2)/(2*'Inputs'!$B$12^2)),0)</x:f>
        <x:v>262431.7414149046</x:v>
      </x:c>
      <x:c r="E310" s="78" t="n">
        <x:f>C310+D310</x:f>
        <x:v>874772.4713830054</x:v>
      </x:c>
      <x:c r="F310" s="78" t="n">
        <x:f>'Inputs'!$B$13*E310+(1-'Inputs'!$B$13)/'Inputs'!$B$14*SUM(E255:E310)</x:f>
        <x:v>884990.1482454509</x:v>
      </x:c>
      <x:c r="G310" s="78" t="n">
        <x:f>F310*'Inputs'!$F$44</x:f>
        <x:v>796491.1334209058</x:v>
      </x:c>
      <x:c r="H310" s="78" t="n">
        <x:f>U309</x:f>
        <x:v>116513533302.50938</x:v>
      </x:c>
      <x:c r="I310" s="78" t="n">
        <x:f>V309</x:f>
        <x:v>0.10169267938506475</x:v>
      </x:c>
      <x:c r="J310" s="79" t="n">
        <x:f>IF(H310&gt;0,I310/H310,0)</x:f>
        <x:v>8.727971464141889e-13</x:v>
      </x:c>
      <x:c r="K310" s="80" t="n">
        <x:f>(H310*J310+I310)*'Inputs'!$D$44*(1+'Inputs'!$G$44)^(B310/30)</x:f>
        <x:v>0.040677071754025906</x:v>
      </x:c>
      <x:c r="L310" s="80" t="n">
        <x:f>MAX(0,K310*'Inputs'!$E$44)</x:f>
        <x:v>0</x:v>
      </x:c>
      <x:c r="M310" s="80" t="n">
        <x:f>MAX(0,-K310*'Inputs'!$E$44)</x:f>
        <x:v>0.008135414350805182</x:v>
      </x:c>
      <x:c r="N310" s="78" t="n">
        <x:f>H310*(L310*(1-'Inputs'!$B$15))/(I310+L310*(1-'Inputs'!$B$15))</x:f>
        <x:v>0</x:v>
      </x:c>
      <x:c r="O310" s="78" t="n">
        <x:f>H310-N310</x:f>
        <x:v>116513533302.50938</x:v>
      </x:c>
      <x:c r="P310" s="78" t="n">
        <x:f>I310+L310*(1-'Inputs'!$B$17)</x:f>
        <x:v>0.10169267938506475</x:v>
      </x:c>
      <x:c r="Q310" s="78" t="n">
        <x:f>IF(J310&gt;0,M310/J310,0)</x:f>
        <x:v>0</x:v>
      </x:c>
      <x:c r="R310" s="78" t="n">
        <x:f>IF(B310='Inputs'!$H$44,'Inputs'!$B$27*'Inputs'!$I$44,0)</x:f>
        <x:v>0</x:v>
      </x:c>
      <x:c r="S310" s="78" t="n">
        <x:f>Q310+G310+R310</x:f>
        <x:v>796491.1334209058</x:v>
      </x:c>
      <x:c r="T310" s="78" t="n">
        <x:f>P310*(S310*(1-'Inputs'!$B$15))/(O310+S310*(1-'Inputs'!$B$15))</x:f>
        <x:v>6.882187788660782e-7</x:v>
      </x:c>
      <x:c r="U310" s="78" t="n">
        <x:f>O310+S310*(1-'Inputs'!$B$17)</x:f>
        <x:v>116514326588.4471</x:v>
      </x:c>
      <x:c r="V310" s="78" t="n">
        <x:f>P310-T310</x:f>
        <x:v>0.10169199116628588</x:v>
      </x:c>
      <x:c r="W310" s="79" t="n">
        <x:f>IF(U310&gt;0,V310/U310,0)</x:f>
        <x:v>8.727852972577631e-13</x:v>
      </x:c>
      <x:c r="X310" s="80" t="n">
        <x:f>W310*('Inputs'!$B$6-AC310)</x:f>
        <x:v>-0.00035809422777364537</x:v>
      </x:c>
      <x:c r="Y310" s="80" t="n">
        <x:f>2*V310</x:f>
        <x:v>0.20338398233257177</x:v>
      </x:c>
      <x:c r="Z310" s="80" t="n">
        <x:f>K310*'Inputs'!$B$16+(G310+R310)*J310*'Inputs'!$B$16</x:f>
        <x:v>0.0002440666015752858</x:v>
      </x:c>
      <x:c r="AA310" s="80" t="n">
        <x:f>K310*(1+'Inputs'!$E$44)/2*'Inputs'!$B$17</x:f>
        <x:v>0.00006547617183746626</x:v>
      </x:c>
      <x:c r="AB310" s="78" t="n">
        <x:f>(IF(J310&gt;0,K310*(1-'Inputs'!$E$44)/2/J310,0)+G310+R310)*'Inputs'!$B$17</x:f>
        <x:v>3205.1957079312106</x:v>
      </x:c>
      <x:c r="AC310" s="78" t="n">
        <x:f>AC309+AB310</x:f>
        <x:v>1410289024.0002382</x:v>
      </x:c>
      <x:c r="AD310" s="80" t="n">
        <x:f>Z310/(1+'Inputs'!$C$44)</x:f>
        <x:v>0.00019525328126022864</x:v>
      </x:c>
      <x:c r="AE310" s="80" t="n">
        <x:f>Z310-AD310</x:f>
        <x:v>0.00004881332031505715</x:v>
      </x:c>
      <x:c r="AF310" s="80" t="n">
        <x:f>D310*W310</x:f>
        <x:v>2.290465654406799e-7</x:v>
      </x:c>
      <x:c r="AG310" s="80" t="n">
        <x:f>C310*W310</x:f>
        <x:v>5.344419860282445e-7</x:v>
      </x:c>
      <x:c r="AH310" s="80" t="n">
        <x:f>2*'Inputs'!$B$8*'Inputs'!$C$44</x:f>
        <x:v>1250</x:v>
      </x:c>
      <x:c r="AI310" s="81" t="n">
        <x:f>IF(AH310&gt;0,(AE310+AF310)/AH310*365,0)</x:f>
        <x:v>0.000014320371129105365</x:v>
      </x:c>
      <x:c r="AJ310" s="81" t="n">
        <x:f>IF('Inputs'!$B$44&gt;0,AG310/('Inputs'!$B$19*'Inputs'!$B$44)*365,0)</x:f>
        <x:v>1.9507132490030923e-8</x:v>
      </x:c>
      <x:c r="AK310" s="81" t="n">
        <x:f>W310/MAX($W$4:W310)-1</x:f>
        <x:v>-0.9999999987173757</x:v>
      </x:c>
      <x:c r="AL310" s="83" t="n">
        <x:f>'Inputs'!$B$44</x:f>
        <x:v>1</x:v>
      </x:c>
      <x:c r="AM310" s="83" t="n">
        <x:f>'Inputs'!$C$44</x:f>
        <x:v>0.25</x:v>
      </x:c>
      <x:c r="AN310" s="83" t="n">
        <x:f>'Inputs'!$D$44</x:f>
        <x:v>0.2</x:v>
      </x:c>
      <x:c r="AO310" s="81" t="n">
        <x:f>'Inputs'!$E$44</x:f>
        <x:v>-0.2</x:v>
      </x:c>
    </x:row>
    <x:row r="311">
      <x:c r="A311" s="59" t="str">
        <x:v>No demand</x:v>
      </x:c>
      <x:c r="B311" s="59" t="n">
        <x:v>308</x:v>
      </x:c>
      <x:c r="C311" s="78" t="n">
        <x:f>(('Inputs'!$B$29*(3*308*'Inputs'!$B$12-308^2)/(2*'Inputs'!$B$12^2))-('Inputs'!$B$29*(3*307*'Inputs'!$B$12-307^2)/(2*'Inputs'!$B$12^2)))*'Inputs'!$B$44</x:f>
        <x:v>612015.6220679283</x:v>
      </x:c>
      <x:c r="D311" s="78" t="n">
        <x:f>IF('Inputs'!$C$44&gt;0,('Inputs'!$B$30*(3*308*'Inputs'!$B$12-308^2)/(2*'Inputs'!$B$12^2))-('Inputs'!$B$30*(3*307*'Inputs'!$B$12-307^2)/(2*'Inputs'!$B$12^2)),0)</x:f>
        <x:v>262292.40945768356</x:v>
      </x:c>
      <x:c r="E311" s="78" t="n">
        <x:f>C311+D311</x:f>
        <x:v>874308.0315256119</x:v>
      </x:c>
      <x:c r="F311" s="78" t="n">
        <x:f>'Inputs'!$B$13*E311+(1-'Inputs'!$B$13)/'Inputs'!$B$14*SUM(E256:E311)</x:f>
        <x:v>884525.7083880651</x:v>
      </x:c>
      <x:c r="G311" s="78" t="n">
        <x:f>F311*'Inputs'!$F$44</x:f>
        <x:v>796073.1375492587</x:v>
      </x:c>
      <x:c r="H311" s="78" t="n">
        <x:f>U310</x:f>
        <x:v>116514326588.4471</x:v>
      </x:c>
      <x:c r="I311" s="78" t="n">
        <x:f>V310</x:f>
        <x:v>0.10169199116628588</x:v>
      </x:c>
      <x:c r="J311" s="79" t="n">
        <x:f>IF(H311&gt;0,I311/H311,0)</x:f>
        <x:v>8.727852972577631e-13</x:v>
      </x:c>
      <x:c r="K311" s="80" t="n">
        <x:f>(H311*J311+I311)*'Inputs'!$D$44*(1+'Inputs'!$G$44)^(B311/30)</x:f>
        <x:v>0.040676796466514356</x:v>
      </x:c>
      <x:c r="L311" s="80" t="n">
        <x:f>MAX(0,K311*'Inputs'!$E$44)</x:f>
        <x:v>0</x:v>
      </x:c>
      <x:c r="M311" s="80" t="n">
        <x:f>MAX(0,-K311*'Inputs'!$E$44)</x:f>
        <x:v>0.008135359293302872</x:v>
      </x:c>
      <x:c r="N311" s="78" t="n">
        <x:f>H311*(L311*(1-'Inputs'!$B$15))/(I311+L311*(1-'Inputs'!$B$15))</x:f>
        <x:v>0</x:v>
      </x:c>
      <x:c r="O311" s="78" t="n">
        <x:f>H311-N311</x:f>
        <x:v>116514326588.4471</x:v>
      </x:c>
      <x:c r="P311" s="78" t="n">
        <x:f>I311+L311*(1-'Inputs'!$B$17)</x:f>
        <x:v>0.10169199116628588</x:v>
      </x:c>
      <x:c r="Q311" s="78" t="n">
        <x:f>IF(J311&gt;0,M311/J311,0)</x:f>
        <x:v>0</x:v>
      </x:c>
      <x:c r="R311" s="78" t="n">
        <x:f>IF(B311='Inputs'!$H$44,'Inputs'!$B$27*'Inputs'!$I$44,0)</x:f>
        <x:v>0</x:v>
      </x:c>
      <x:c r="S311" s="78" t="n">
        <x:f>Q311+G311+R311</x:f>
        <x:v>796073.1375492587</x:v>
      </x:c>
      <x:c r="T311" s="78" t="n">
        <x:f>P311*(S311*(1-'Inputs'!$B$15))/(O311+S311*(1-'Inputs'!$B$15))</x:f>
        <x:v>6.878482680331258e-7</x:v>
      </x:c>
      <x:c r="U311" s="78" t="n">
        <x:f>O311+S311*(1-'Inputs'!$B$17)</x:f>
        <x:v>116515119458.07101</x:v>
      </x:c>
      <x:c r="V311" s="78" t="n">
        <x:f>P311-T311</x:f>
        <x:v>0.10169130331801784</x:v>
      </x:c>
      <x:c r="W311" s="79" t="n">
        <x:f>IF(U311&gt;0,V311/U311,0)</x:f>
        <x:v>8.727734545610825e-13</x:v>
      </x:c>
      <x:c r="X311" s="80" t="n">
        <x:f>W311*('Inputs'!$B$6-AC311)</x:f>
        <x:v>-0.0003580921647868421</x:v>
      </x:c>
      <x:c r="Y311" s="80" t="n">
        <x:f>2*V311</x:f>
        <x:v>0.2033826066360357</x:v>
      </x:c>
      <x:c r="Z311" s="80" t="n">
        <x:f>K311*'Inputs'!$B$16+(G311+R311)*J311*'Inputs'!$B$16</x:f>
        <x:v>0.0002440649476046661</x:v>
      </x:c>
      <x:c r="AA311" s="80" t="n">
        <x:f>K311*(1+'Inputs'!$E$44)/2*'Inputs'!$B$17</x:f>
        <x:v>0.00006547572871873538</x:v>
      </x:c>
      <x:c r="AB311" s="78" t="n">
        <x:f>(IF(J311&gt;0,K311*(1-'Inputs'!$E$44)/2/J311,0)+G311+R311)*'Inputs'!$B$17</x:f>
        <x:v>3203.513631988969</x:v>
      </x:c>
      <x:c r="AC311" s="78" t="n">
        <x:f>AC310+AB311</x:f>
        <x:v>1410292227.5138702</x:v>
      </x:c>
      <x:c r="AD311" s="80" t="n">
        <x:f>Z311/(1+'Inputs'!$C$44)</x:f>
        <x:v>0.00019525195808373286</x:v>
      </x:c>
      <x:c r="AE311" s="80" t="n">
        <x:f>Z311-AD311</x:f>
        <x:v>0.00004881298952093323</x:v>
      </x:c>
      <x:c r="AF311" s="80" t="n">
        <x:f>D311*W311</x:f>
        <x:v>2.2892185230753242e-7</x:v>
      </x:c>
      <x:c r="AG311" s="80" t="n">
        <x:f>C311*W311</x:f>
        <x:v>5.341509887175757e-7</x:v>
      </x:c>
      <x:c r="AH311" s="80" t="n">
        <x:f>2*'Inputs'!$B$8*'Inputs'!$C$44</x:f>
        <x:v>1250</x:v>
      </x:c>
      <x:c r="AI311" s="81" t="n">
        <x:f>IF(AH311&gt;0,(AE311+AF311)/AH311*365,0)</x:f>
        <x:v>0.000014320238120986305</x:v>
      </x:c>
      <x:c r="AJ311" s="81" t="n">
        <x:f>IF('Inputs'!$B$44&gt;0,AG311/('Inputs'!$B$19*'Inputs'!$B$44)*365,0)</x:f>
        <x:v>1.9496511088191514e-8</x:v>
      </x:c>
      <x:c r="AK311" s="81" t="n">
        <x:f>W311/MAX($W$4:W311)-1</x:f>
        <x:v>-0.9999999987173931</x:v>
      </x:c>
      <x:c r="AL311" s="83" t="n">
        <x:f>'Inputs'!$B$44</x:f>
        <x:v>1</x:v>
      </x:c>
      <x:c r="AM311" s="83" t="n">
        <x:f>'Inputs'!$C$44</x:f>
        <x:v>0.25</x:v>
      </x:c>
      <x:c r="AN311" s="83" t="n">
        <x:f>'Inputs'!$D$44</x:f>
        <x:v>0.2</x:v>
      </x:c>
      <x:c r="AO311" s="81" t="n">
        <x:f>'Inputs'!$E$44</x:f>
        <x:v>-0.2</x:v>
      </x:c>
    </x:row>
    <x:row r="312">
      <x:c r="A312" s="59" t="str">
        <x:v>No demand</x:v>
      </x:c>
      <x:c r="B312" s="59" t="n">
        <x:v>309</x:v>
      </x:c>
      <x:c r="C312" s="78" t="n">
        <x:f>(('Inputs'!$B$29*(3*309*'Inputs'!$B$12-309^2)/(2*'Inputs'!$B$12^2))-('Inputs'!$B$29*(3*308*'Inputs'!$B$12-308^2)/(2*'Inputs'!$B$12^2)))*'Inputs'!$B$44</x:f>
        <x:v>611690.5141677558</x:v>
      </x:c>
      <x:c r="D312" s="78" t="n">
        <x:f>IF('Inputs'!$C$44&gt;0,('Inputs'!$B$30*(3*309*'Inputs'!$B$12-309^2)/(2*'Inputs'!$B$12^2))-('Inputs'!$B$30*(3*308*'Inputs'!$B$12-308^2)/(2*'Inputs'!$B$12^2)),0)</x:f>
        <x:v>262153.07750047743</x:v>
      </x:c>
      <x:c r="E312" s="78" t="n">
        <x:f>C312+D312</x:f>
        <x:v>873843.5916682333</x:v>
      </x:c>
      <x:c r="F312" s="78" t="n">
        <x:f>'Inputs'!$B$13*E312+(1-'Inputs'!$B$13)/'Inputs'!$B$14*SUM(E257:E312)</x:f>
        <x:v>884061.2685306818</x:v>
      </x:c>
      <x:c r="G312" s="78" t="n">
        <x:f>F312*'Inputs'!$F$44</x:f>
        <x:v>795655.1416776137</x:v>
      </x:c>
      <x:c r="H312" s="78" t="n">
        <x:f>U311</x:f>
        <x:v>116515119458.07101</x:v>
      </x:c>
      <x:c r="I312" s="78" t="n">
        <x:f>V311</x:f>
        <x:v>0.10169130331801784</x:v>
      </x:c>
      <x:c r="J312" s="79" t="n">
        <x:f>IF(H312&gt;0,I312/H312,0)</x:f>
        <x:v>8.727734545610825e-13</x:v>
      </x:c>
      <x:c r="K312" s="80" t="n">
        <x:f>(H312*J312+I312)*'Inputs'!$D$44*(1+'Inputs'!$G$44)^(B312/30)</x:f>
        <x:v>0.040676521327207144</x:v>
      </x:c>
      <x:c r="L312" s="80" t="n">
        <x:f>MAX(0,K312*'Inputs'!$E$44)</x:f>
        <x:v>0</x:v>
      </x:c>
      <x:c r="M312" s="80" t="n">
        <x:f>MAX(0,-K312*'Inputs'!$E$44)</x:f>
        <x:v>0.008135304265441429</x:v>
      </x:c>
      <x:c r="N312" s="78" t="n">
        <x:f>H312*(L312*(1-'Inputs'!$B$15))/(I312+L312*(1-'Inputs'!$B$15))</x:f>
        <x:v>0</x:v>
      </x:c>
      <x:c r="O312" s="78" t="n">
        <x:f>H312-N312</x:f>
        <x:v>116515119458.07101</x:v>
      </x:c>
      <x:c r="P312" s="78" t="n">
        <x:f>I312+L312*(1-'Inputs'!$B$17)</x:f>
        <x:v>0.10169130331801784</x:v>
      </x:c>
      <x:c r="Q312" s="78" t="n">
        <x:f>IF(J312&gt;0,M312/J312,0)</x:f>
        <x:v>0</x:v>
      </x:c>
      <x:c r="R312" s="78" t="n">
        <x:f>IF(B312='Inputs'!$H$44,'Inputs'!$B$27*'Inputs'!$I$44,0)</x:f>
        <x:v>0</x:v>
      </x:c>
      <x:c r="S312" s="78" t="n">
        <x:f>Q312+G312+R312</x:f>
        <x:v>795655.1416776137</x:v>
      </x:c>
      <x:c r="T312" s="78" t="n">
        <x:f>P312*(S312*(1-'Inputs'!$B$15))/(O312+S312*(1-'Inputs'!$B$15))</x:f>
        <x:v>6.874777720924299e-7</x:v>
      </x:c>
      <x:c r="U312" s="78" t="n">
        <x:f>O312+S312*(1-'Inputs'!$B$17)</x:f>
        <x:v>116515911911.38113</x:v>
      </x:c>
      <x:c r="V312" s="78" t="n">
        <x:f>P312-T312</x:f>
        <x:v>0.10169061584024575</x:v>
      </x:c>
      <x:c r="W312" s="79" t="n">
        <x:f>IF(U312&gt;0,V312/U312,0)</x:f>
        <x:v>8.727616183237607e-13</x:v>
      </x:c>
      <x:c r="X312" s="80" t="n">
        <x:f>W312*('Inputs'!$B$6-AC312)</x:f>
        <x:v>-0.0003580901029063565</x:v>
      </x:c>
      <x:c r="Y312" s="80" t="n">
        <x:f>2*V312</x:f>
        <x:v>0.2033812316804915</x:v>
      </x:c>
      <x:c r="Z312" s="80" t="n">
        <x:f>K312*'Inputs'!$B$16+(G312+R312)*J312*'Inputs'!$B$16</x:f>
        <x:v>0.0002440632945233627</x:v>
      </x:c>
      <x:c r="AA312" s="80" t="n">
        <x:f>K312*(1+'Inputs'!$E$44)/2*'Inputs'!$B$17</x:f>
        <x:v>0.00006547528583856281</x:v>
      </x:c>
      <x:c r="AB312" s="78" t="n">
        <x:f>(IF(J312&gt;0,K312*(1-'Inputs'!$E$44)/2/J312,0)+G312+R312)*'Inputs'!$B$17</x:f>
        <x:v>3201.8315560467354</x:v>
      </x:c>
      <x:c r="AC312" s="78" t="n">
        <x:f>AC311+AB312</x:f>
        <x:v>1410295429.3454263</x:v>
      </x:c>
      <x:c r="AD312" s="80" t="n">
        <x:f>Z312/(1+'Inputs'!$C$44)</x:f>
        <x:v>0.00019525063561869017</x:v>
      </x:c>
      <x:c r="AE312" s="80" t="n">
        <x:f>Z312-AD312</x:f>
        <x:v>0.00004881265890467254</x:v>
      </x:c>
      <x:c r="AF312" s="80" t="n">
        <x:f>D312*W312</x:f>
        <x:v>2.2879714416787095e-7</x:v>
      </x:c>
      <x:c r="AG312" s="80" t="n">
        <x:f>C312*W312</x:f>
        <x:v>5.338600030583439e-7</x:v>
      </x:c>
      <x:c r="AH312" s="80" t="n">
        <x:f>2*'Inputs'!$B$8*'Inputs'!$C$44</x:f>
        <x:v>1250</x:v>
      </x:c>
      <x:c r="AI312" s="81" t="n">
        <x:f>IF(AH312&gt;0,(AE312+AF312)/AH312*365,0)</x:f>
        <x:v>0.000014320105166261401</x:v>
      </x:c>
      <x:c r="AJ312" s="81" t="n">
        <x:f>IF('Inputs'!$B$44&gt;0,AG312/('Inputs'!$B$19*'Inputs'!$B$44)*365,0)</x:f>
        <x:v>1.948589011162955e-8</x:v>
      </x:c>
      <x:c r="AK312" s="81" t="n">
        <x:f>W312/MAX($W$4:W312)-1</x:f>
        <x:v>-0.9999999987174105</x:v>
      </x:c>
      <x:c r="AL312" s="83" t="n">
        <x:f>'Inputs'!$B$44</x:f>
        <x:v>1</x:v>
      </x:c>
      <x:c r="AM312" s="83" t="n">
        <x:f>'Inputs'!$C$44</x:f>
        <x:v>0.25</x:v>
      </x:c>
      <x:c r="AN312" s="83" t="n">
        <x:f>'Inputs'!$D$44</x:f>
        <x:v>0.2</x:v>
      </x:c>
      <x:c r="AO312" s="81" t="n">
        <x:f>'Inputs'!$E$44</x:f>
        <x:v>-0.2</x:v>
      </x:c>
    </x:row>
    <x:row r="313">
      <x:c r="A313" s="59" t="str">
        <x:v>No demand</x:v>
      </x:c>
      <x:c r="B313" s="59" t="n">
        <x:v>310</x:v>
      </x:c>
      <x:c r="C313" s="78" t="n">
        <x:f>(('Inputs'!$B$29*(3*310*'Inputs'!$B$12-310^2)/(2*'Inputs'!$B$12^2))-('Inputs'!$B$29*(3*309*'Inputs'!$B$12-309^2)/(2*'Inputs'!$B$12^2)))*'Inputs'!$B$44</x:f>
        <x:v>611365.4062675834</x:v>
      </x:c>
      <x:c r="D313" s="78" t="n">
        <x:f>IF('Inputs'!$C$44&gt;0,('Inputs'!$B$30*(3*310*'Inputs'!$B$12-310^2)/(2*'Inputs'!$B$12^2))-('Inputs'!$B$30*(3*309*'Inputs'!$B$12-309^2)/(2*'Inputs'!$B$12^2)),0)</x:f>
        <x:v>262013.7455432415</x:v>
      </x:c>
      <x:c r="E313" s="78" t="n">
        <x:f>C313+D313</x:f>
        <x:v>873379.1518108249</x:v>
      </x:c>
      <x:c r="F313" s="78" t="n">
        <x:f>'Inputs'!$B$13*E313+(1-'Inputs'!$B$13)/'Inputs'!$B$14*SUM(E258:E313)</x:f>
        <x:v>883596.8286732928</x:v>
      </x:c>
      <x:c r="G313" s="78" t="n">
        <x:f>F313*'Inputs'!$F$44</x:f>
        <x:v>795237.1458059635</x:v>
      </x:c>
      <x:c r="H313" s="78" t="n">
        <x:f>U312</x:f>
        <x:v>116515911911.38113</x:v>
      </x:c>
      <x:c r="I313" s="78" t="n">
        <x:f>V312</x:f>
        <x:v>0.10169061584024575</x:v>
      </x:c>
      <x:c r="J313" s="79" t="n">
        <x:f>IF(H313&gt;0,I313/H313,0)</x:f>
        <x:v>8.727616183237607e-13</x:v>
      </x:c>
      <x:c r="K313" s="80" t="n">
        <x:f>(H313*J313+I313)*'Inputs'!$D$44*(1+'Inputs'!$G$44)^(B313/30)</x:f>
        <x:v>0.0406762463360983</x:v>
      </x:c>
      <x:c r="L313" s="80" t="n">
        <x:f>MAX(0,K313*'Inputs'!$E$44)</x:f>
        <x:v>0</x:v>
      </x:c>
      <x:c r="M313" s="80" t="n">
        <x:f>MAX(0,-K313*'Inputs'!$E$44)</x:f>
        <x:v>0.00813524926721966</x:v>
      </x:c>
      <x:c r="N313" s="78" t="n">
        <x:f>H313*(L313*(1-'Inputs'!$B$15))/(I313+L313*(1-'Inputs'!$B$15))</x:f>
        <x:v>0</x:v>
      </x:c>
      <x:c r="O313" s="78" t="n">
        <x:f>H313-N313</x:f>
        <x:v>116515911911.38113</x:v>
      </x:c>
      <x:c r="P313" s="78" t="n">
        <x:f>I313+L313*(1-'Inputs'!$B$17)</x:f>
        <x:v>0.10169061584024575</x:v>
      </x:c>
      <x:c r="Q313" s="78" t="n">
        <x:f>IF(J313&gt;0,M313/J313,0)</x:f>
        <x:v>0</x:v>
      </x:c>
      <x:c r="R313" s="78" t="n">
        <x:f>IF(B313='Inputs'!$H$44,'Inputs'!$B$27*'Inputs'!$I$44,0)</x:f>
        <x:v>0</x:v>
      </x:c>
      <x:c r="S313" s="78" t="n">
        <x:f>Q313+G313+R313</x:f>
        <x:v>795237.1458059635</x:v>
      </x:c>
      <x:c r="T313" s="78" t="n">
        <x:f>P313*(S313*(1-'Inputs'!$B$15))/(O313+S313*(1-'Inputs'!$B$15))</x:f>
        <x:v>6.871072910356599e-7</x:v>
      </x:c>
      <x:c r="U313" s="78" t="n">
        <x:f>O313+S313*(1-'Inputs'!$B$17)</x:f>
        <x:v>116516703948.37746</x:v>
      </x:c>
      <x:c r="V313" s="78" t="n">
        <x:f>P313-T313</x:f>
        <x:v>0.10168992873295471</x:v>
      </x:c>
      <x:c r="W313" s="79" t="n">
        <x:f>IF(U313&gt;0,V313/U313,0)</x:f>
        <x:v>8.727497885454113e-13</x:v>
      </x:c>
      <x:c r="X313" s="80" t="n">
        <x:f>W313*('Inputs'!$B$6-AC313)</x:f>
        <x:v>-0.0003580880421321516</x:v>
      </x:c>
      <x:c r="Y313" s="80" t="n">
        <x:f>2*V313</x:f>
        <x:v>0.20337985746590942</x:v>
      </x:c>
      <x:c r="Z313" s="80" t="n">
        <x:f>K313*'Inputs'!$B$16+(G313+R313)*J313*'Inputs'!$B$16</x:f>
        <x:v>0.00024406164233133976</x:v>
      </x:c>
      <x:c r="AA313" s="80" t="n">
        <x:f>K313*(1+'Inputs'!$E$44)/2*'Inputs'!$B$17</x:f>
        <x:v>0.00006547484319693892</x:v>
      </x:c>
      <x:c r="AB313" s="78" t="n">
        <x:f>(IF(J313&gt;0,K313*(1-'Inputs'!$E$44)/2/J313,0)+G313+R313)*'Inputs'!$B$17</x:f>
        <x:v>3200.1494801044814</x:v>
      </x:c>
      <x:c r="AC313" s="78" t="n">
        <x:f>AC312+AB313</x:f>
        <x:v>1410298629.4949064</x:v>
      </x:c>
      <x:c r="AD313" s="80" t="n">
        <x:f>Z313/(1+'Inputs'!$C$44)</x:f>
        <x:v>0.0001952493138650718</x:v>
      </x:c>
      <x:c r="AE313" s="80" t="n">
        <x:f>Z313-AD313</x:f>
        <x:v>0.00004881232846626796</x:v>
      </x:c>
      <x:c r="AF313" s="80" t="n">
        <x:f>D313*W313</x:f>
        <x:v>2.286724410188552e-7</x:v>
      </x:c>
      <x:c r="AG313" s="80" t="n">
        <x:f>C313*W313</x:f>
        <x:v>5.335690290440128e-7</x:v>
      </x:c>
      <x:c r="AH313" s="80" t="n">
        <x:f>2*'Inputs'!$B$8*'Inputs'!$C$44</x:f>
        <x:v>1250</x:v>
      </x:c>
      <x:c r="AI313" s="81" t="n">
        <x:f>IF(AH313&gt;0,(AE313+AF313)/AH313*365,0)</x:f>
        <x:v>0.000014319972264927749</x:v>
      </x:c>
      <x:c r="AJ313" s="81" t="n">
        <x:f>IF('Inputs'!$B$44&gt;0,AG313/('Inputs'!$B$19*'Inputs'!$B$44)*365,0)</x:f>
        <x:v>1.947526956010647e-8</x:v>
      </x:c>
      <x:c r="AK313" s="81" t="n">
        <x:f>W313/MAX($W$4:W313)-1</x:f>
        <x:v>-0.9999999987174278</x:v>
      </x:c>
      <x:c r="AL313" s="83" t="n">
        <x:f>'Inputs'!$B$44</x:f>
        <x:v>1</x:v>
      </x:c>
      <x:c r="AM313" s="83" t="n">
        <x:f>'Inputs'!$C$44</x:f>
        <x:v>0.25</x:v>
      </x:c>
      <x:c r="AN313" s="83" t="n">
        <x:f>'Inputs'!$D$44</x:f>
        <x:v>0.2</x:v>
      </x:c>
      <x:c r="AO313" s="81" t="n">
        <x:f>'Inputs'!$E$44</x:f>
        <x:v>-0.2</x:v>
      </x:c>
    </x:row>
    <x:row r="314">
      <x:c r="A314" s="59" t="str">
        <x:v>No demand</x:v>
      </x:c>
      <x:c r="B314" s="59" t="n">
        <x:v>311</x:v>
      </x:c>
      <x:c r="C314" s="78" t="n">
        <x:f>(('Inputs'!$B$29*(3*311*'Inputs'!$B$12-311^2)/(2*'Inputs'!$B$12^2))-('Inputs'!$B$29*(3*310*'Inputs'!$B$12-310^2)/(2*'Inputs'!$B$12^2)))*'Inputs'!$B$44</x:f>
        <x:v>611040.2983674109</x:v>
      </x:c>
      <x:c r="D314" s="78" t="n">
        <x:f>IF('Inputs'!$C$44&gt;0,('Inputs'!$B$30*(3*311*'Inputs'!$B$12-311^2)/(2*'Inputs'!$B$12^2))-('Inputs'!$B$30*(3*310*'Inputs'!$B$12-310^2)/(2*'Inputs'!$B$12^2)),0)</x:f>
        <x:v>261874.41358605027</x:v>
      </x:c>
      <x:c r="E314" s="78" t="n">
        <x:f>C314+D314</x:f>
        <x:v>872914.7119534612</x:v>
      </x:c>
      <x:c r="F314" s="78" t="n">
        <x:f>'Inputs'!$B$13*E314+(1-'Inputs'!$B$13)/'Inputs'!$B$14*SUM(E259:E314)</x:f>
        <x:v>883132.3888159127</x:v>
      </x:c>
      <x:c r="G314" s="78" t="n">
        <x:f>F314*'Inputs'!$F$44</x:f>
        <x:v>794819.1499343214</x:v>
      </x:c>
      <x:c r="H314" s="78" t="n">
        <x:f>U313</x:f>
        <x:v>116516703948.37746</x:v>
      </x:c>
      <x:c r="I314" s="78" t="n">
        <x:f>V313</x:f>
        <x:v>0.10168992873295471</x:v>
      </x:c>
      <x:c r="J314" s="79" t="n">
        <x:f>IF(H314&gt;0,I314/H314,0)</x:f>
        <x:v>8.727497885454113e-13</x:v>
      </x:c>
      <x:c r="K314" s="80" t="n">
        <x:f>(H314*J314+I314)*'Inputs'!$D$44*(1+'Inputs'!$G$44)^(B314/30)</x:f>
        <x:v>0.04067597149318189</x:v>
      </x:c>
      <x:c r="L314" s="80" t="n">
        <x:f>MAX(0,K314*'Inputs'!$E$44)</x:f>
        <x:v>0</x:v>
      </x:c>
      <x:c r="M314" s="80" t="n">
        <x:f>MAX(0,-K314*'Inputs'!$E$44)</x:f>
        <x:v>0.008135194298636378</x:v>
      </x:c>
      <x:c r="N314" s="78" t="n">
        <x:f>H314*(L314*(1-'Inputs'!$B$15))/(I314+L314*(1-'Inputs'!$B$15))</x:f>
        <x:v>0</x:v>
      </x:c>
      <x:c r="O314" s="78" t="n">
        <x:f>H314-N314</x:f>
        <x:v>116516703948.37746</x:v>
      </x:c>
      <x:c r="P314" s="78" t="n">
        <x:f>I314+L314*(1-'Inputs'!$B$17)</x:f>
        <x:v>0.10168992873295471</x:v>
      </x:c>
      <x:c r="Q314" s="78" t="n">
        <x:f>IF(J314&gt;0,M314/J314,0)</x:f>
        <x:v>0</x:v>
      </x:c>
      <x:c r="R314" s="78" t="n">
        <x:f>IF(B314='Inputs'!$H$44,'Inputs'!$B$27*'Inputs'!$I$44,0)</x:f>
        <x:v>0</x:v>
      </x:c>
      <x:c r="S314" s="78" t="n">
        <x:f>Q314+G314+R314</x:f>
        <x:v>794819.1499343214</x:v>
      </x:c>
      <x:c r="T314" s="78" t="n">
        <x:f>P314*(S314*(1-'Inputs'!$B$15))/(O314+S314*(1-'Inputs'!$B$15))</x:f>
        <x:v>6.867368248545052e-7</x:v>
      </x:c>
      <x:c r="U314" s="78" t="n">
        <x:f>O314+S314*(1-'Inputs'!$B$17)</x:f>
        <x:v>116517495569.05998</x:v>
      </x:c>
      <x:c r="V314" s="78" t="n">
        <x:f>P314-T314</x:f>
        <x:v>0.10168924199612986</x:v>
      </x:c>
      <x:c r="W314" s="79" t="n">
        <x:f>IF(U314&gt;0,V314/U314,0)</x:f>
        <x:v>8.72737965225648e-13</x:v>
      </x:c>
      <x:c r="X314" s="80" t="n">
        <x:f>W314*('Inputs'!$B$6-AC314)</x:f>
        <x:v>-0.0003580859824641908</x:v>
      </x:c>
      <x:c r="Y314" s="80" t="n">
        <x:f>2*V314</x:f>
        <x:v>0.20337848399225972</x:v>
      </x:c>
      <x:c r="Z314" s="80" t="n">
        <x:f>K314*'Inputs'!$B$16+(G314+R314)*J314*'Inputs'!$B$16</x:f>
        <x:v>0.00024405999102856154</x:v>
      </x:c>
      <x:c r="AA314" s="80" t="n">
        <x:f>K314*(1+'Inputs'!$E$44)/2*'Inputs'!$B$17</x:f>
        <x:v>0.00006547440079385415</x:v>
      </x:c>
      <x:c r="AB314" s="78" t="n">
        <x:f>(IF(J314&gt;0,K314*(1-'Inputs'!$E$44)/2/J314,0)+G314+R314)*'Inputs'!$B$17</x:f>
        <x:v>3198.4674041622593</x:v>
      </x:c>
      <x:c r="AC314" s="78" t="n">
        <x:f>AC313+AB314</x:f>
        <x:v>1410301827.9623106</x:v>
      </x:c>
      <x:c r="AD314" s="80" t="n">
        <x:f>Z314/(1+'Inputs'!$C$44)</x:f>
        <x:v>0.00019524799282284922</x:v>
      </x:c>
      <x:c r="AE314" s="80" t="n">
        <x:f>Z314-AD314</x:f>
        <x:v>0.00004881199820571232</x:v>
      </x:c>
      <x:c r="AF314" s="80" t="n">
        <x:f>D314*W314</x:f>
        <x:v>2.285477428577493e-7</x:v>
      </x:c>
      <x:c r="AG314" s="80" t="n">
        <x:f>C314*W314</x:f>
        <x:v>5.33278066668047e-7</x:v>
      </x:c>
      <x:c r="AH314" s="80" t="n">
        <x:f>2*'Inputs'!$B$8*'Inputs'!$C$44</x:f>
        <x:v>1250</x:v>
      </x:c>
      <x:c r="AI314" s="81" t="n">
        <x:f>IF(AH314&gt;0,(AE314+AF314)/AH314*365,0)</x:f>
        <x:v>0.00001431983941698246</x:v>
      </x:c>
      <x:c r="AJ314" s="81" t="n">
        <x:f>IF('Inputs'!$B$44&gt;0,AG314/('Inputs'!$B$19*'Inputs'!$B$44)*365,0)</x:f>
        <x:v>1.9464649433383716e-8</x:v>
      </x:c>
      <x:c r="AK314" s="81" t="n">
        <x:f>W314/MAX($W$4:W314)-1</x:f>
        <x:v>-0.9999999987174453</x:v>
      </x:c>
      <x:c r="AL314" s="83" t="n">
        <x:f>'Inputs'!$B$44</x:f>
        <x:v>1</x:v>
      </x:c>
      <x:c r="AM314" s="83" t="n">
        <x:f>'Inputs'!$C$44</x:f>
        <x:v>0.25</x:v>
      </x:c>
      <x:c r="AN314" s="83" t="n">
        <x:f>'Inputs'!$D$44</x:f>
        <x:v>0.2</x:v>
      </x:c>
      <x:c r="AO314" s="81" t="n">
        <x:f>'Inputs'!$E$44</x:f>
        <x:v>-0.2</x:v>
      </x:c>
    </x:row>
    <x:row r="315">
      <x:c r="A315" s="59" t="str">
        <x:v>No demand</x:v>
      </x:c>
      <x:c r="B315" s="59" t="n">
        <x:v>312</x:v>
      </x:c>
      <x:c r="C315" s="78" t="n">
        <x:f>(('Inputs'!$B$29*(3*312*'Inputs'!$B$12-312^2)/(2*'Inputs'!$B$12^2))-('Inputs'!$B$29*(3*311*'Inputs'!$B$12-311^2)/(2*'Inputs'!$B$12^2)))*'Inputs'!$B$44</x:f>
        <x:v>610715.1904672682</x:v>
      </x:c>
      <x:c r="D315" s="78" t="n">
        <x:f>IF('Inputs'!$C$44&gt;0,('Inputs'!$B$30*(3*312*'Inputs'!$B$12-312^2)/(2*'Inputs'!$B$12^2))-('Inputs'!$B$30*(3*311*'Inputs'!$B$12-311^2)/(2*'Inputs'!$B$12^2)),0)</x:f>
        <x:v>261735.08162881434</x:v>
      </x:c>
      <x:c r="E315" s="78" t="n">
        <x:f>C315+D315</x:f>
        <x:v>872450.2720960826</x:v>
      </x:c>
      <x:c r="F315" s="78" t="n">
        <x:f>'Inputs'!$B$13*E315+(1-'Inputs'!$B$13)/'Inputs'!$B$14*SUM(E260:E315)</x:f>
        <x:v>882667.9489585296</x:v>
      </x:c>
      <x:c r="G315" s="78" t="n">
        <x:f>F315*'Inputs'!$F$44</x:f>
        <x:v>794401.1540626767</x:v>
      </x:c>
      <x:c r="H315" s="78" t="n">
        <x:f>U314</x:f>
        <x:v>116517495569.05998</x:v>
      </x:c>
      <x:c r="I315" s="78" t="n">
        <x:f>V314</x:f>
        <x:v>0.10168924199612986</x:v>
      </x:c>
      <x:c r="J315" s="79" t="n">
        <x:f>IF(H315&gt;0,I315/H315,0)</x:f>
        <x:v>8.72737965225648e-13</x:v>
      </x:c>
      <x:c r="K315" s="80" t="n">
        <x:f>(H315*J315+I315)*'Inputs'!$D$44*(1+'Inputs'!$G$44)^(B315/30)</x:f>
        <x:v>0.04067569679845195</x:v>
      </x:c>
      <x:c r="L315" s="80" t="n">
        <x:f>MAX(0,K315*'Inputs'!$E$44)</x:f>
        <x:v>0</x:v>
      </x:c>
      <x:c r="M315" s="80" t="n">
        <x:f>MAX(0,-K315*'Inputs'!$E$44)</x:f>
        <x:v>0.00813513935969039</x:v>
      </x:c>
      <x:c r="N315" s="78" t="n">
        <x:f>H315*(L315*(1-'Inputs'!$B$15))/(I315+L315*(1-'Inputs'!$B$15))</x:f>
        <x:v>0</x:v>
      </x:c>
      <x:c r="O315" s="78" t="n">
        <x:f>H315-N315</x:f>
        <x:v>116517495569.05998</x:v>
      </x:c>
      <x:c r="P315" s="78" t="n">
        <x:f>I315+L315*(1-'Inputs'!$B$17)</x:f>
        <x:v>0.10168924199612986</x:v>
      </x:c>
      <x:c r="Q315" s="78" t="n">
        <x:f>IF(J315&gt;0,M315/J315,0)</x:f>
        <x:v>0</x:v>
      </x:c>
      <x:c r="R315" s="78" t="n">
        <x:f>IF(B315='Inputs'!$H$44,'Inputs'!$B$27*'Inputs'!$I$44,0)</x:f>
        <x:v>0</x:v>
      </x:c>
      <x:c r="S315" s="78" t="n">
        <x:f>Q315+G315+R315</x:f>
        <x:v>794401.1540626767</x:v>
      </x:c>
      <x:c r="T315" s="78" t="n">
        <x:f>P315*(S315*(1-'Inputs'!$B$15))/(O315+S315*(1-'Inputs'!$B$15))</x:f>
        <x:v>6.863663735406347e-7</x:v>
      </x:c>
      <x:c r="U315" s="78" t="n">
        <x:f>O315+S315*(1-'Inputs'!$B$17)</x:f>
        <x:v>116518286773.42871</x:v>
      </x:c>
      <x:c r="V315" s="78" t="n">
        <x:f>P315-T315</x:f>
        <x:v>0.10168855562975632</x:v>
      </x:c>
      <x:c r="W315" s="79" t="n">
        <x:f>IF(U315&gt;0,V315/U315,0)</x:f>
        <x:v>8.727261483640847e-13</x:v>
      </x:c>
      <x:c r="X315" s="80" t="n">
        <x:f>W315*('Inputs'!$B$6-AC315)</x:f>
        <x:v>-0.0003580839239024372</x:v>
      </x:c>
      <x:c r="Y315" s="80" t="n">
        <x:f>2*V315</x:f>
        <x:v>0.20337711125951263</x:v>
      </x:c>
      <x:c r="Z315" s="80" t="n">
        <x:f>K315*'Inputs'!$B$16+(G315+R315)*J315*'Inputs'!$B$16</x:f>
        <x:v>0.0002440583406149923</x:v>
      </x:c>
      <x:c r="AA315" s="80" t="n">
        <x:f>K315*(1+'Inputs'!$E$44)/2*'Inputs'!$B$17</x:f>
        <x:v>0.00006547395862929892</x:v>
      </x:c>
      <x:c r="AB315" s="78" t="n">
        <x:f>(IF(J315&gt;0,K315*(1-'Inputs'!$E$44)/2/J315,0)+G315+R315)*'Inputs'!$B$17</x:f>
        <x:v>3196.785328220027</x:v>
      </x:c>
      <x:c r="AC315" s="78" t="n">
        <x:f>AC314+AB315</x:f>
        <x:v>1410305024.7476387</x:v>
      </x:c>
      <x:c r="AD315" s="80" t="n">
        <x:f>Z315/(1+'Inputs'!$C$44)</x:f>
        <x:v>0.00019524667249199383</x:v>
      </x:c>
      <x:c r="AE315" s="80" t="n">
        <x:f>Z315-AD315</x:f>
        <x:v>0.00004881166812299847</x:v>
      </x:c>
      <x:c r="AF315" s="80" t="n">
        <x:f>D315*W315</x:f>
        <x:v>2.2842304968167443e-7</x:v>
      </x:c>
      <x:c r="AG315" s="80" t="n">
        <x:f>C315*W315</x:f>
        <x:v>5.329871159239374e-7</x:v>
      </x:c>
      <x:c r="AH315" s="80" t="n">
        <x:f>2*'Inputs'!$B$8*'Inputs'!$C$44</x:f>
        <x:v>1250</x:v>
      </x:c>
      <x:c r="AI315" s="81" t="n">
        <x:f>IF(AH315&gt;0,(AE315+AF315)/AH315*365,0)</x:f>
        <x:v>0.000014319706622422604</x:v>
      </x:c>
      <x:c r="AJ315" s="81" t="n">
        <x:f>IF('Inputs'!$B$44&gt;0,AG315/('Inputs'!$B$19*'Inputs'!$B$44)*365,0)</x:f>
        <x:v>1.9454029731223714e-8</x:v>
      </x:c>
      <x:c r="AK315" s="81" t="n">
        <x:f>W315/MAX($W$4:W315)-1</x:f>
        <x:v>-0.9999999987174626</x:v>
      </x:c>
      <x:c r="AL315" s="83" t="n">
        <x:f>'Inputs'!$B$44</x:f>
        <x:v>1</x:v>
      </x:c>
      <x:c r="AM315" s="83" t="n">
        <x:f>'Inputs'!$C$44</x:f>
        <x:v>0.25</x:v>
      </x:c>
      <x:c r="AN315" s="83" t="n">
        <x:f>'Inputs'!$D$44</x:f>
        <x:v>0.2</x:v>
      </x:c>
      <x:c r="AO315" s="81" t="n">
        <x:f>'Inputs'!$E$44</x:f>
        <x:v>-0.2</x:v>
      </x:c>
    </x:row>
    <x:row r="316">
      <x:c r="A316" s="59" t="str">
        <x:v>No demand</x:v>
      </x:c>
      <x:c r="B316" s="59" t="n">
        <x:v>313</x:v>
      </x:c>
      <x:c r="C316" s="78" t="n">
        <x:f>(('Inputs'!$B$29*(3*313*'Inputs'!$B$12-313^2)/(2*'Inputs'!$B$12^2))-('Inputs'!$B$29*(3*312*'Inputs'!$B$12-312^2)/(2*'Inputs'!$B$12^2)))*'Inputs'!$B$44</x:f>
        <x:v>610390.0825670958</x:v>
      </x:c>
      <x:c r="D316" s="78" t="n">
        <x:f>IF('Inputs'!$C$44&gt;0,('Inputs'!$B$30*(3*313*'Inputs'!$B$12-313^2)/(2*'Inputs'!$B$12^2))-('Inputs'!$B$30*(3*312*'Inputs'!$B$12-312^2)/(2*'Inputs'!$B$12^2)),0)</x:f>
        <x:v>261595.7496716082</x:v>
      </x:c>
      <x:c r="E316" s="78" t="n">
        <x:f>C316+D316</x:f>
        <x:v>871985.832238704</x:v>
      </x:c>
      <x:c r="F316" s="78" t="n">
        <x:f>'Inputs'!$B$13*E316+(1-'Inputs'!$B$13)/'Inputs'!$B$14*SUM(E261:E316)</x:f>
        <x:v>882203.5091011468</x:v>
      </x:c>
      <x:c r="G316" s="78" t="n">
        <x:f>F316*'Inputs'!$F$44</x:f>
        <x:v>793983.1581910321</x:v>
      </x:c>
      <x:c r="H316" s="78" t="n">
        <x:f>U315</x:f>
        <x:v>116518286773.42871</x:v>
      </x:c>
      <x:c r="I316" s="78" t="n">
        <x:f>V315</x:f>
        <x:v>0.10168855562975632</x:v>
      </x:c>
      <x:c r="J316" s="79" t="n">
        <x:f>IF(H316&gt;0,I316/H316,0)</x:f>
        <x:v>8.727261483640847e-13</x:v>
      </x:c>
      <x:c r="K316" s="80" t="n">
        <x:f>(H316*J316+I316)*'Inputs'!$D$44*(1+'Inputs'!$G$44)^(B316/30)</x:f>
        <x:v>0.04067542225190253</x:v>
      </x:c>
      <x:c r="L316" s="80" t="n">
        <x:f>MAX(0,K316*'Inputs'!$E$44)</x:f>
        <x:v>0</x:v>
      </x:c>
      <x:c r="M316" s="80" t="n">
        <x:f>MAX(0,-K316*'Inputs'!$E$44)</x:f>
        <x:v>0.008135084450380506</x:v>
      </x:c>
      <x:c r="N316" s="78" t="n">
        <x:f>H316*(L316*(1-'Inputs'!$B$15))/(I316+L316*(1-'Inputs'!$B$15))</x:f>
        <x:v>0</x:v>
      </x:c>
      <x:c r="O316" s="78" t="n">
        <x:f>H316-N316</x:f>
        <x:v>116518286773.42871</x:v>
      </x:c>
      <x:c r="P316" s="78" t="n">
        <x:f>I316+L316*(1-'Inputs'!$B$17)</x:f>
        <x:v>0.10168855562975632</x:v>
      </x:c>
      <x:c r="Q316" s="78" t="n">
        <x:f>IF(J316&gt;0,M316/J316,0)</x:f>
        <x:v>0</x:v>
      </x:c>
      <x:c r="R316" s="78" t="n">
        <x:f>IF(B316='Inputs'!$H$44,'Inputs'!$B$27*'Inputs'!$I$44,0)</x:f>
        <x:v>0</x:v>
      </x:c>
      <x:c r="S316" s="78" t="n">
        <x:f>Q316+G316+R316</x:f>
        <x:v>793983.1581910321</x:v>
      </x:c>
      <x:c r="T316" s="78" t="n">
        <x:f>P316*(S316*(1-'Inputs'!$B$15))/(O316+S316*(1-'Inputs'!$B$15))</x:f>
        <x:v>6.859959370857292e-7</x:v>
      </x:c>
      <x:c r="U316" s="78" t="n">
        <x:f>O316+S316*(1-'Inputs'!$B$17)</x:f>
        <x:v>116519077561.48364</x:v>
      </x:c>
      <x:c r="V316" s="78" t="n">
        <x:f>P316-T316</x:f>
        <x:v>0.10168786963381923</x:v>
      </x:c>
      <x:c r="W316" s="79" t="n">
        <x:f>IF(U316&gt;0,V316/U316,0)</x:f>
        <x:v>8.727143379603359e-13</x:v>
      </x:c>
      <x:c r="X316" s="80" t="n">
        <x:f>W316*('Inputs'!$B$6-AC316)</x:f>
        <x:v>-0.0003580818664468542</x:v>
      </x:c>
      <x:c r="Y316" s="80" t="n">
        <x:f>2*V316</x:f>
        <x:v>0.20337573926763847</x:v>
      </x:c>
      <x:c r="Z316" s="80" t="n">
        <x:f>K316*'Inputs'!$B$16+(G316+R316)*J316*'Inputs'!$B$16</x:f>
        <x:v>0.00024405669109059624</x:v>
      </x:c>
      <x:c r="AA316" s="80" t="n">
        <x:f>K316*(1+'Inputs'!$E$44)/2*'Inputs'!$B$17</x:f>
        <x:v>0.00006547351670326363</x:v>
      </x:c>
      <x:c r="AB316" s="78" t="n">
        <x:f>(IF(J316&gt;0,K316*(1-'Inputs'!$E$44)/2/J316,0)+G316+R316)*'Inputs'!$B$17</x:f>
        <x:v>3195.1032522777955</x:v>
      </x:c>
      <x:c r="AC316" s="78" t="n">
        <x:f>AC315+AB316</x:f>
        <x:v>1410308219.8508909</x:v>
      </x:c>
      <x:c r="AD316" s="80" t="n">
        <x:f>Z316/(1+'Inputs'!$C$44)</x:f>
        <x:v>0.00019524535287247698</x:v>
      </x:c>
      <x:c r="AE316" s="80" t="n">
        <x:f>Z316-AD316</x:f>
        <x:v>0.00004881133821811926</x:v>
      </x:c>
      <x:c r="AF316" s="80" t="n">
        <x:f>D316*W316</x:f>
        <x:v>2.2829836148789533e-7</x:v>
      </x:c>
      <x:c r="AG316" s="80" t="n">
        <x:f>C316*W316</x:f>
        <x:v>5.326961768050977e-7</x:v>
      </x:c>
      <x:c r="AH316" s="80" t="n">
        <x:f>2*'Inputs'!$B$8*'Inputs'!$C$44</x:f>
        <x:v>1250</x:v>
      </x:c>
      <x:c r="AI316" s="81" t="n">
        <x:f>IF(AH316&gt;0,(AE316+AF316)/AH316*365,0)</x:f>
        <x:v>0.00001431957388124529</x:v>
      </x:c>
      <x:c r="AJ316" s="81" t="n">
        <x:f>IF('Inputs'!$B$44&gt;0,AG316/('Inputs'!$B$19*'Inputs'!$B$44)*365,0)</x:f>
        <x:v>1.9443410453386067e-8</x:v>
      </x:c>
      <x:c r="AK316" s="81" t="n">
        <x:f>W316/MAX($W$4:W316)-1</x:f>
        <x:v>-0.99999999871748</x:v>
      </x:c>
      <x:c r="AL316" s="83" t="n">
        <x:f>'Inputs'!$B$44</x:f>
        <x:v>1</x:v>
      </x:c>
      <x:c r="AM316" s="83" t="n">
        <x:f>'Inputs'!$C$44</x:f>
        <x:v>0.25</x:v>
      </x:c>
      <x:c r="AN316" s="83" t="n">
        <x:f>'Inputs'!$D$44</x:f>
        <x:v>0.2</x:v>
      </x:c>
      <x:c r="AO316" s="81" t="n">
        <x:f>'Inputs'!$E$44</x:f>
        <x:v>-0.2</x:v>
      </x:c>
    </x:row>
    <x:row r="317">
      <x:c r="A317" s="59" t="str">
        <x:v>No demand</x:v>
      </x:c>
      <x:c r="B317" s="59" t="n">
        <x:v>314</x:v>
      </x:c>
      <x:c r="C317" s="78" t="n">
        <x:f>(('Inputs'!$B$29*(3*314*'Inputs'!$B$12-314^2)/(2*'Inputs'!$B$12^2))-('Inputs'!$B$29*(3*313*'Inputs'!$B$12-313^2)/(2*'Inputs'!$B$12^2)))*'Inputs'!$B$44</x:f>
        <x:v>610064.9746668935</x:v>
      </x:c>
      <x:c r="D317" s="78" t="n">
        <x:f>IF('Inputs'!$C$44&gt;0,('Inputs'!$B$30*(3*314*'Inputs'!$B$12-314^2)/(2*'Inputs'!$B$12^2))-('Inputs'!$B$30*(3*313*'Inputs'!$B$12-313^2)/(2*'Inputs'!$B$12^2)),0)</x:f>
        <x:v>261456.41771440208</x:v>
      </x:c>
      <x:c r="E317" s="78" t="n">
        <x:f>C317+D317</x:f>
        <x:v>871521.3923812956</x:v>
      </x:c>
      <x:c r="F317" s="78" t="n">
        <x:f>'Inputs'!$B$13*E317+(1-'Inputs'!$B$13)/'Inputs'!$B$14*SUM(E262:E317)</x:f>
        <x:v>881739.0692437575</x:v>
      </x:c>
      <x:c r="G317" s="78" t="n">
        <x:f>F317*'Inputs'!$F$44</x:f>
        <x:v>793565.1623193818</x:v>
      </x:c>
      <x:c r="H317" s="78" t="n">
        <x:f>U316</x:f>
        <x:v>116519077561.48364</x:v>
      </x:c>
      <x:c r="I317" s="78" t="n">
        <x:f>V316</x:f>
        <x:v>0.10168786963381923</x:v>
      </x:c>
      <x:c r="J317" s="79" t="n">
        <x:f>IF(H317&gt;0,I317/H317,0)</x:f>
        <x:v>8.727143379603359e-13</x:v>
      </x:c>
      <x:c r="K317" s="80" t="n">
        <x:f>(H317*J317+I317)*'Inputs'!$D$44*(1+'Inputs'!$G$44)^(B317/30)</x:f>
        <x:v>0.040675147853527695</x:v>
      </x:c>
      <x:c r="L317" s="80" t="n">
        <x:f>MAX(0,K317*'Inputs'!$E$44)</x:f>
        <x:v>0</x:v>
      </x:c>
      <x:c r="M317" s="80" t="n">
        <x:f>MAX(0,-K317*'Inputs'!$E$44)</x:f>
        <x:v>0.008135029570705539</x:v>
      </x:c>
      <x:c r="N317" s="78" t="n">
        <x:f>H317*(L317*(1-'Inputs'!$B$15))/(I317+L317*(1-'Inputs'!$B$15))</x:f>
        <x:v>0</x:v>
      </x:c>
      <x:c r="O317" s="78" t="n">
        <x:f>H317-N317</x:f>
        <x:v>116519077561.48364</x:v>
      </x:c>
      <x:c r="P317" s="78" t="n">
        <x:f>I317+L317*(1-'Inputs'!$B$17)</x:f>
        <x:v>0.10168786963381923</x:v>
      </x:c>
      <x:c r="Q317" s="78" t="n">
        <x:f>IF(J317&gt;0,M317/J317,0)</x:f>
        <x:v>0</x:v>
      </x:c>
      <x:c r="R317" s="78" t="n">
        <x:f>IF(B317='Inputs'!$H$44,'Inputs'!$B$27*'Inputs'!$I$44,0)</x:f>
        <x:v>0</x:v>
      </x:c>
      <x:c r="S317" s="78" t="n">
        <x:f>Q317+G317+R317</x:f>
        <x:v>793565.1623193818</x:v>
      </x:c>
      <x:c r="T317" s="78" t="n">
        <x:f>P317*(S317*(1-'Inputs'!$B$15))/(O317+S317*(1-'Inputs'!$B$15))</x:f>
        <x:v>6.85625515481464e-7</x:v>
      </x:c>
      <x:c r="U317" s="78" t="n">
        <x:f>O317+S317*(1-'Inputs'!$B$17)</x:f>
        <x:v>116519867933.2248</x:v>
      </x:c>
      <x:c r="V317" s="78" t="n">
        <x:f>P317-T317</x:f>
        <x:v>0.10168718400830375</x:v>
      </x:c>
      <x:c r="W317" s="79" t="n">
        <x:f>IF(U317&gt;0,V317/U317,0)</x:f>
        <x:v>8.727025340140159e-13</x:v>
      </x:c>
      <x:c r="X317" s="80" t="n">
        <x:f>W317*('Inputs'!$B$6-AC317)</x:f>
        <x:v>-0.00035807981009740525</x:v>
      </x:c>
      <x:c r="Y317" s="80" t="n">
        <x:f>2*V317</x:f>
        <x:v>0.2033743680166075</x:v>
      </x:c>
      <x:c r="Z317" s="80" t="n">
        <x:f>K317*'Inputs'!$B$16+(G317+R317)*J317*'Inputs'!$B$16</x:f>
        <x:v>0.00024405504245533774</x:v>
      </x:c>
      <x:c r="AA317" s="80" t="n">
        <x:f>K317*(1+'Inputs'!$E$44)/2*'Inputs'!$B$17</x:f>
        <x:v>0.00006547307501573875</x:v>
      </x:c>
      <x:c r="AB317" s="78" t="n">
        <x:f>(IF(J317&gt;0,K317*(1-'Inputs'!$E$44)/2/J317,0)+G317+R317)*'Inputs'!$B$17</x:f>
        <x:v>3193.421176335541</x:v>
      </x:c>
      <x:c r="AC317" s="78" t="n">
        <x:f>AC316+AB317</x:f>
        <x:v>1410311413.2720673</x:v>
      </x:c>
      <x:c r="AD317" s="80" t="n">
        <x:f>Z317/(1+'Inputs'!$C$44)</x:f>
        <x:v>0.0001952440339642702</x:v>
      </x:c>
      <x:c r="AE317" s="80" t="n">
        <x:f>Z317-AD317</x:f>
        <x:v>0.000048811008491067554</x:v>
      </x:c>
      <x:c r="AF317" s="80" t="n">
        <x:f>D317*W317</x:f>
        <x:v>2.2817367827358572e-7</x:v>
      </x:c>
      <x:c r="AG317" s="80" t="n">
        <x:f>C317*W317</x:f>
        <x:v>5.324052493049944e-7</x:v>
      </x:c>
      <x:c r="AH317" s="80" t="n">
        <x:f>2*'Inputs'!$B$8*'Inputs'!$C$44</x:f>
        <x:v>1250</x:v>
      </x:c>
      <x:c r="AI317" s="81" t="n">
        <x:f>IF(AH317&gt;0,(AE317+AF317)/AH317*365,0)</x:f>
        <x:v>0.000014319441193447611</x:v>
      </x:c>
      <x:c r="AJ317" s="81" t="n">
        <x:f>IF('Inputs'!$B$44&gt;0,AG317/('Inputs'!$B$19*'Inputs'!$B$44)*365,0)</x:f>
        <x:v>1.9432791599632294e-8</x:v>
      </x:c>
      <x:c r="AK317" s="81" t="n">
        <x:f>W317/MAX($W$4:W317)-1</x:f>
        <x:v>-0.9999999987174973</x:v>
      </x:c>
      <x:c r="AL317" s="83" t="n">
        <x:f>'Inputs'!$B$44</x:f>
        <x:v>1</x:v>
      </x:c>
      <x:c r="AM317" s="83" t="n">
        <x:f>'Inputs'!$C$44</x:f>
        <x:v>0.25</x:v>
      </x:c>
      <x:c r="AN317" s="83" t="n">
        <x:f>'Inputs'!$D$44</x:f>
        <x:v>0.2</x:v>
      </x:c>
      <x:c r="AO317" s="81" t="n">
        <x:f>'Inputs'!$E$44</x:f>
        <x:v>-0.2</x:v>
      </x:c>
    </x:row>
    <x:row r="318">
      <x:c r="A318" s="59" t="str">
        <x:v>No demand</x:v>
      </x:c>
      <x:c r="B318" s="59" t="n">
        <x:v>315</x:v>
      </x:c>
      <x:c r="C318" s="78" t="n">
        <x:f>(('Inputs'!$B$29*(3*315*'Inputs'!$B$12-315^2)/(2*'Inputs'!$B$12^2))-('Inputs'!$B$29*(3*314*'Inputs'!$B$12-314^2)/(2*'Inputs'!$B$12^2)))*'Inputs'!$B$44</x:f>
        <x:v>609739.8667667508</x:v>
      </x:c>
      <x:c r="D318" s="78" t="n">
        <x:f>IF('Inputs'!$C$44&gt;0,('Inputs'!$B$30*(3*315*'Inputs'!$B$12-315^2)/(2*'Inputs'!$B$12^2))-('Inputs'!$B$30*(3*314*'Inputs'!$B$12-314^2)/(2*'Inputs'!$B$12^2)),0)</x:f>
        <x:v>261317.08575716615</x:v>
      </x:c>
      <x:c r="E318" s="78" t="n">
        <x:f>C318+D318</x:f>
        <x:v>871056.952523917</x:v>
      </x:c>
      <x:c r="F318" s="78" t="n">
        <x:f>'Inputs'!$B$13*E318+(1-'Inputs'!$B$13)/'Inputs'!$B$14*SUM(E263:E318)</x:f>
        <x:v>881274.6293863744</x:v>
      </x:c>
      <x:c r="G318" s="78" t="n">
        <x:f>F318*'Inputs'!$F$44</x:f>
        <x:v>793147.1664477369</x:v>
      </x:c>
      <x:c r="H318" s="78" t="n">
        <x:f>U317</x:f>
        <x:v>116519867933.2248</x:v>
      </x:c>
      <x:c r="I318" s="78" t="n">
        <x:f>V317</x:f>
        <x:v>0.10168718400830375</x:v>
      </x:c>
      <x:c r="J318" s="79" t="n">
        <x:f>IF(H318&gt;0,I318/H318,0)</x:f>
        <x:v>8.727025340140159e-13</x:v>
      </x:c>
      <x:c r="K318" s="80" t="n">
        <x:f>(H318*J318+I318)*'Inputs'!$D$44*(1+'Inputs'!$G$44)^(B318/30)</x:f>
        <x:v>0.040674873603321504</x:v>
      </x:c>
      <x:c r="L318" s="80" t="n">
        <x:f>MAX(0,K318*'Inputs'!$E$44)</x:f>
        <x:v>0</x:v>
      </x:c>
      <x:c r="M318" s="80" t="n">
        <x:f>MAX(0,-K318*'Inputs'!$E$44)</x:f>
        <x:v>0.0081349747206643</x:v>
      </x:c>
      <x:c r="N318" s="78" t="n">
        <x:f>H318*(L318*(1-'Inputs'!$B$15))/(I318+L318*(1-'Inputs'!$B$15))</x:f>
        <x:v>0</x:v>
      </x:c>
      <x:c r="O318" s="78" t="n">
        <x:f>H318-N318</x:f>
        <x:v>116519867933.2248</x:v>
      </x:c>
      <x:c r="P318" s="78" t="n">
        <x:f>I318+L318*(1-'Inputs'!$B$17)</x:f>
        <x:v>0.10168718400830375</x:v>
      </x:c>
      <x:c r="Q318" s="78" t="n">
        <x:f>IF(J318&gt;0,M318/J318,0)</x:f>
        <x:v>0</x:v>
      </x:c>
      <x:c r="R318" s="78" t="n">
        <x:f>IF(B318='Inputs'!$H$44,'Inputs'!$B$27*'Inputs'!$I$44,0)</x:f>
        <x:v>0</x:v>
      </x:c>
      <x:c r="S318" s="78" t="n">
        <x:f>Q318+G318+R318</x:f>
        <x:v>793147.1664477369</x:v>
      </x:c>
      <x:c r="T318" s="78" t="n">
        <x:f>P318*(S318*(1-'Inputs'!$B$15))/(O318+S318*(1-'Inputs'!$B$15))</x:f>
        <x:v>6.852551087195288e-7</x:v>
      </x:c>
      <x:c r="U318" s="78" t="n">
        <x:f>O318+S318*(1-'Inputs'!$B$17)</x:f>
        <x:v>116520657888.65215</x:v>
      </x:c>
      <x:c r="V318" s="78" t="n">
        <x:f>P318-T318</x:f>
        <x:v>0.10168649875319502</x:v>
      </x:c>
      <x:c r="W318" s="79" t="n">
        <x:f>IF(U318&gt;0,V318/U318,0)</x:f>
        <x:v>8.726907365247393e-13</x:v>
      </x:c>
      <x:c r="X318" s="80" t="n">
        <x:f>W318*('Inputs'!$B$6-AC318)</x:f>
        <x:v>-0.0003580777548540535</x:v>
      </x:c>
      <x:c r="Y318" s="80" t="n">
        <x:f>2*V318</x:f>
        <x:v>0.20337299750639004</x:v>
      </x:c>
      <x:c r="Z318" s="80" t="n">
        <x:f>K318*'Inputs'!$B$16+(G318+R318)*J318*'Inputs'!$B$16</x:f>
        <x:v>0.00024405339470918107</x:v>
      </x:c>
      <x:c r="AA318" s="80" t="n">
        <x:f>K318*(1+'Inputs'!$E$44)/2*'Inputs'!$B$17</x:f>
        <x:v>0.0000654726335667147</x:v>
      </x:c>
      <x:c r="AB318" s="78" t="n">
        <x:f>(IF(J318&gt;0,K318*(1-'Inputs'!$E$44)/2/J318,0)+G318+R318)*'Inputs'!$B$17</x:f>
        <x:v>3191.7391003933076</x:v>
      </x:c>
      <x:c r="AC318" s="78" t="n">
        <x:f>AC317+AB318</x:f>
        <x:v>1410314605.0111678</x:v>
      </x:c>
      <x:c r="AD318" s="80" t="n">
        <x:f>Z318/(1+'Inputs'!$C$44)</x:f>
        <x:v>0.00019524271576734485</x:v>
      </x:c>
      <x:c r="AE318" s="80" t="n">
        <x:f>Z318-AD318</x:f>
        <x:v>0.000048810678941836225</x:v>
      </x:c>
      <x:c r="AF318" s="80" t="n">
        <x:f>D318*W318</x:f>
        <x:v>2.280490000359198e-7</x:v>
      </x:c>
      <x:c r="AG318" s="80" t="n">
        <x:f>C318*W318</x:f>
        <x:v>5.321143334171722e-7</x:v>
      </x:c>
      <x:c r="AH318" s="80" t="n">
        <x:f>2*'Inputs'!$B$8*'Inputs'!$C$44</x:f>
        <x:v>1250</x:v>
      </x:c>
      <x:c r="AI318" s="81" t="n">
        <x:f>IF(AH318&gt;0,(AE318+AF318)/AH318*365,0)</x:f>
        <x:v>0.000014319308559026667</x:v>
      </x:c>
      <x:c r="AJ318" s="81" t="n">
        <x:f>IF('Inputs'!$B$44&gt;0,AG318/('Inputs'!$B$19*'Inputs'!$B$44)*365,0)</x:f>
        <x:v>1.9422173169726783e-8</x:v>
      </x:c>
      <x:c r="AK318" s="81" t="n">
        <x:f>W318/MAX($W$4:W318)-1</x:f>
        <x:v>-0.9999999987175147</x:v>
      </x:c>
      <x:c r="AL318" s="83" t="n">
        <x:f>'Inputs'!$B$44</x:f>
        <x:v>1</x:v>
      </x:c>
      <x:c r="AM318" s="83" t="n">
        <x:f>'Inputs'!$C$44</x:f>
        <x:v>0.25</x:v>
      </x:c>
      <x:c r="AN318" s="83" t="n">
        <x:f>'Inputs'!$D$44</x:f>
        <x:v>0.2</x:v>
      </x:c>
      <x:c r="AO318" s="81" t="n">
        <x:f>'Inputs'!$E$44</x:f>
        <x:v>-0.2</x:v>
      </x:c>
    </x:row>
    <x:row r="319">
      <x:c r="A319" s="59" t="str">
        <x:v>No demand</x:v>
      </x:c>
      <x:c r="B319" s="59" t="n">
        <x:v>316</x:v>
      </x:c>
      <x:c r="C319" s="78" t="n">
        <x:f>(('Inputs'!$B$29*(3*316*'Inputs'!$B$12-316^2)/(2*'Inputs'!$B$12^2))-('Inputs'!$B$29*(3*315*'Inputs'!$B$12-315^2)/(2*'Inputs'!$B$12^2)))*'Inputs'!$B$44</x:f>
        <x:v>609414.7588665783</x:v>
      </x:c>
      <x:c r="D319" s="78" t="n">
        <x:f>IF('Inputs'!$C$44&gt;0,('Inputs'!$B$30*(3*316*'Inputs'!$B$12-316^2)/(2*'Inputs'!$B$12^2))-('Inputs'!$B$30*(3*315*'Inputs'!$B$12-315^2)/(2*'Inputs'!$B$12^2)),0)</x:f>
        <x:v>261177.75379997492</x:v>
      </x:c>
      <x:c r="E319" s="78" t="n">
        <x:f>C319+D319</x:f>
        <x:v>870592.5126665533</x:v>
      </x:c>
      <x:c r="F319" s="78" t="n">
        <x:f>'Inputs'!$B$13*E319+(1-'Inputs'!$B$13)/'Inputs'!$B$14*SUM(E264:E319)</x:f>
        <x:v>880810.1895289947</x:v>
      </x:c>
      <x:c r="G319" s="78" t="n">
        <x:f>F319*'Inputs'!$F$44</x:f>
        <x:v>792729.1705760952</x:v>
      </x:c>
      <x:c r="H319" s="78" t="n">
        <x:f>U318</x:f>
        <x:v>116520657888.65215</x:v>
      </x:c>
      <x:c r="I319" s="78" t="n">
        <x:f>V318</x:f>
        <x:v>0.10168649875319502</x:v>
      </x:c>
      <x:c r="J319" s="79" t="n">
        <x:f>IF(H319&gt;0,I319/H319,0)</x:f>
        <x:v>8.726907365247393e-13</x:v>
      </x:c>
      <x:c r="K319" s="80" t="n">
        <x:f>(H319*J319+I319)*'Inputs'!$D$44*(1+'Inputs'!$G$44)^(B319/30)</x:f>
        <x:v>0.04067459950127801</x:v>
      </x:c>
      <x:c r="L319" s="80" t="n">
        <x:f>MAX(0,K319*'Inputs'!$E$44)</x:f>
        <x:v>0</x:v>
      </x:c>
      <x:c r="M319" s="80" t="n">
        <x:f>MAX(0,-K319*'Inputs'!$E$44)</x:f>
        <x:v>0.008134919900255602</x:v>
      </x:c>
      <x:c r="N319" s="78" t="n">
        <x:f>H319*(L319*(1-'Inputs'!$B$15))/(I319+L319*(1-'Inputs'!$B$15))</x:f>
        <x:v>0</x:v>
      </x:c>
      <x:c r="O319" s="78" t="n">
        <x:f>H319-N319</x:f>
        <x:v>116520657888.65215</x:v>
      </x:c>
      <x:c r="P319" s="78" t="n">
        <x:f>I319+L319*(1-'Inputs'!$B$17)</x:f>
        <x:v>0.10168649875319502</x:v>
      </x:c>
      <x:c r="Q319" s="78" t="n">
        <x:f>IF(J319&gt;0,M319/J319,0)</x:f>
        <x:v>0</x:v>
      </x:c>
      <x:c r="R319" s="78" t="n">
        <x:f>IF(B319='Inputs'!$H$44,'Inputs'!$B$27*'Inputs'!$I$44,0)</x:f>
        <x:v>0</x:v>
      </x:c>
      <x:c r="S319" s="78" t="n">
        <x:f>Q319+G319+R319</x:f>
        <x:v>792729.1705760952</x:v>
      </x:c>
      <x:c r="T319" s="78" t="n">
        <x:f>P319*(S319*(1-'Inputs'!$B$15))/(O319+S319*(1-'Inputs'!$B$15))</x:f>
        <x:v>6.848847167916031e-7</x:v>
      </x:c>
      <x:c r="U319" s="78" t="n">
        <x:f>O319+S319*(1-'Inputs'!$B$17)</x:f>
        <x:v>116521447427.7657</x:v>
      </x:c>
      <x:c r="V319" s="78" t="n">
        <x:f>P319-T319</x:f>
        <x:v>0.10168581386847823</x:v>
      </x:c>
      <x:c r="W319" s="79" t="n">
        <x:f>IF(U319&gt;0,V319/U319,0)</x:f>
        <x:v>8.726789454921214e-13</x:v>
      </x:c>
      <x:c r="X319" s="80" t="n">
        <x:f>W319*('Inputs'!$B$6-AC319)</x:f>
        <x:v>-0.00035807570071676235</x:v>
      </x:c>
      <x:c r="Y319" s="80" t="n">
        <x:f>2*V319</x:f>
        <x:v>0.20337162773695647</x:v>
      </x:c>
      <x:c r="Z319" s="80" t="n">
        <x:f>K319*'Inputs'!$B$16+(G319+R319)*J319*'Inputs'!$B$16</x:f>
        <x:v>0.0002440517478520905</x:v>
      </x:c>
      <x:c r="AA319" s="80" t="n">
        <x:f>K319*(1+'Inputs'!$E$44)/2*'Inputs'!$B$17</x:f>
        <x:v>0.00006547219235618191</x:v>
      </x:c>
      <x:c r="AB319" s="78" t="n">
        <x:f>(IF(J319&gt;0,K319*(1-'Inputs'!$E$44)/2/J319,0)+G319+R319)*'Inputs'!$B$17</x:f>
        <x:v>3190.0570244510877</x:v>
      </x:c>
      <x:c r="AC319" s="78" t="n">
        <x:f>AC318+AB319</x:f>
        <x:v>1410317795.0681922</x:v>
      </x:c>
      <x:c r="AD319" s="80" t="n">
        <x:f>Z319/(1+'Inputs'!$C$44)</x:f>
        <x:v>0.0001952413982816724</x:v>
      </x:c>
      <x:c r="AE319" s="80" t="n">
        <x:f>Z319-AD319</x:f>
        <x:v>0.00004881034957041809</x:v>
      </x:c>
      <x:c r="AF319" s="80" t="n">
        <x:f>D319*W319</x:f>
        <x:v>2.27924326772163e-7</x:v>
      </x:c>
      <x:c r="AG319" s="80" t="n">
        <x:f>C319*W319</x:f>
        <x:v>5.318234291350211e-7</x:v>
      </x:c>
      <x:c r="AH319" s="80" t="n">
        <x:f>2*'Inputs'!$B$8*'Inputs'!$C$44</x:f>
        <x:v>1250</x:v>
      </x:c>
      <x:c r="AI319" s="81" t="n">
        <x:f>IF(AH319&gt;0,(AE319+AF319)/AH319*365,0)</x:f>
        <x:v>0.000014319175977979553</x:v>
      </x:c>
      <x:c r="AJ319" s="81" t="n">
        <x:f>IF('Inputs'!$B$44&gt;0,AG319/('Inputs'!$B$19*'Inputs'!$B$44)*365,0)</x:f>
        <x:v>1.941155516342827e-8</x:v>
      </x:c>
      <x:c r="AK319" s="81" t="n">
        <x:f>W319/MAX($W$4:W319)-1</x:f>
        <x:v>-0.999999998717532</x:v>
      </x:c>
      <x:c r="AL319" s="83" t="n">
        <x:f>'Inputs'!$B$44</x:f>
        <x:v>1</x:v>
      </x:c>
      <x:c r="AM319" s="83" t="n">
        <x:f>'Inputs'!$C$44</x:f>
        <x:v>0.25</x:v>
      </x:c>
      <x:c r="AN319" s="83" t="n">
        <x:f>'Inputs'!$D$44</x:f>
        <x:v>0.2</x:v>
      </x:c>
      <x:c r="AO319" s="81" t="n">
        <x:f>'Inputs'!$E$44</x:f>
        <x:v>-0.2</x:v>
      </x:c>
    </x:row>
    <x:row r="320">
      <x:c r="A320" s="59" t="str">
        <x:v>No demand</x:v>
      </x:c>
      <x:c r="B320" s="59" t="n">
        <x:v>317</x:v>
      </x:c>
      <x:c r="C320" s="78" t="n">
        <x:f>(('Inputs'!$B$29*(3*317*'Inputs'!$B$12-317^2)/(2*'Inputs'!$B$12^2))-('Inputs'!$B$29*(3*316*'Inputs'!$B$12-316^2)/(2*'Inputs'!$B$12^2)))*'Inputs'!$B$44</x:f>
        <x:v>609089.6509664357</x:v>
      </x:c>
      <x:c r="D320" s="78" t="n">
        <x:f>IF('Inputs'!$C$44&gt;0,('Inputs'!$B$30*(3*317*'Inputs'!$B$12-317^2)/(2*'Inputs'!$B$12^2))-('Inputs'!$B$30*(3*316*'Inputs'!$B$12-316^2)/(2*'Inputs'!$B$12^2)),0)</x:f>
        <x:v>261038.421842739</x:v>
      </x:c>
      <x:c r="E320" s="78" t="n">
        <x:f>C320+D320</x:f>
        <x:v>870128.0728091747</x:v>
      </x:c>
      <x:c r="F320" s="78" t="n">
        <x:f>'Inputs'!$B$13*E320+(1-'Inputs'!$B$13)/'Inputs'!$B$14*SUM(E265:E320)</x:f>
        <x:v>880345.7496716117</x:v>
      </x:c>
      <x:c r="G320" s="78" t="n">
        <x:f>F320*'Inputs'!$F$44</x:f>
        <x:v>792311.1747044505</x:v>
      </x:c>
      <x:c r="H320" s="78" t="n">
        <x:f>U319</x:f>
        <x:v>116521447427.7657</x:v>
      </x:c>
      <x:c r="I320" s="78" t="n">
        <x:f>V319</x:f>
        <x:v>0.10168581386847823</x:v>
      </x:c>
      <x:c r="J320" s="79" t="n">
        <x:f>IF(H320&gt;0,I320/H320,0)</x:f>
        <x:v>8.726789454921214e-13</x:v>
      </x:c>
      <x:c r="K320" s="80" t="n">
        <x:f>(H320*J320+I320)*'Inputs'!$D$44*(1+'Inputs'!$G$44)^(B320/30)</x:f>
        <x:v>0.040674325547391296</x:v>
      </x:c>
      <x:c r="L320" s="80" t="n">
        <x:f>MAX(0,K320*'Inputs'!$E$44)</x:f>
        <x:v>0</x:v>
      </x:c>
      <x:c r="M320" s="80" t="n">
        <x:f>MAX(0,-K320*'Inputs'!$E$44)</x:f>
        <x:v>0.00813486510947826</x:v>
      </x:c>
      <x:c r="N320" s="78" t="n">
        <x:f>H320*(L320*(1-'Inputs'!$B$15))/(I320+L320*(1-'Inputs'!$B$15))</x:f>
        <x:v>0</x:v>
      </x:c>
      <x:c r="O320" s="78" t="n">
        <x:f>H320-N320</x:f>
        <x:v>116521447427.7657</x:v>
      </x:c>
      <x:c r="P320" s="78" t="n">
        <x:f>I320+L320*(1-'Inputs'!$B$17)</x:f>
        <x:v>0.10168581386847823</x:v>
      </x:c>
      <x:c r="Q320" s="78" t="n">
        <x:f>IF(J320&gt;0,M320/J320,0)</x:f>
        <x:v>0</x:v>
      </x:c>
      <x:c r="R320" s="78" t="n">
        <x:f>IF(B320='Inputs'!$H$44,'Inputs'!$B$27*'Inputs'!$I$44,0)</x:f>
        <x:v>0</x:v>
      </x:c>
      <x:c r="S320" s="78" t="n">
        <x:f>Q320+G320+R320</x:f>
        <x:v>792311.1747044505</x:v>
      </x:c>
      <x:c r="T320" s="78" t="n">
        <x:f>P320*(S320*(1-'Inputs'!$B$15))/(O320+S320*(1-'Inputs'!$B$15))</x:f>
        <x:v>6.845143396893641e-7</x:v>
      </x:c>
      <x:c r="U320" s="78" t="n">
        <x:f>O320+S320*(1-'Inputs'!$B$17)</x:f>
        <x:v>116522236550.56546</x:v>
      </x:c>
      <x:c r="V320" s="78" t="n">
        <x:f>P320-T320</x:f>
        <x:v>0.10168512935413855</x:v>
      </x:c>
      <x:c r="W320" s="79" t="n">
        <x:f>IF(U320&gt;0,V320/U320,0)</x:f>
        <x:v>8.726671609157771e-13</x:v>
      </x:c>
      <x:c r="X320" s="80" t="n">
        <x:f>W320*('Inputs'!$B$6-AC320)</x:f>
        <x:v>-0.00035807364768549523</x:v>
      </x:c>
      <x:c r="Y320" s="80" t="n">
        <x:f>2*V320</x:f>
        <x:v>0.2033702587082771</x:v>
      </x:c>
      <x:c r="Z320" s="80" t="n">
        <x:f>K320*'Inputs'!$B$16+(G320+R320)*J320*'Inputs'!$B$16</x:f>
        <x:v>0.00024405010188403042</x:v>
      </x:c>
      <x:c r="AA320" s="80" t="n">
        <x:f>K320*(1+'Inputs'!$E$44)/2*'Inputs'!$B$17</x:f>
        <x:v>0.00006547175138413087</x:v>
      </x:c>
      <x:c r="AB320" s="78" t="n">
        <x:f>(IF(J320&gt;0,K320*(1-'Inputs'!$E$44)/2/J320,0)+G320+R320)*'Inputs'!$B$17</x:f>
        <x:v>3188.3749485088556</x:v>
      </x:c>
      <x:c r="AC320" s="78" t="n">
        <x:f>AC319+AB320</x:f>
        <x:v>1410320983.4431407</x:v>
      </x:c>
      <x:c r="AD320" s="80" t="n">
        <x:f>Z320/(1+'Inputs'!$C$44)</x:f>
        <x:v>0.00019524008150722434</x:v>
      </x:c>
      <x:c r="AE320" s="80" t="n">
        <x:f>Z320-AD320</x:f>
        <x:v>0.00004881002037680608</x:v>
      </x:c>
      <x:c r="AF320" s="80" t="n">
        <x:f>D320*W320</x:f>
        <x:v>2.27799658479438e-7</x:v>
      </x:c>
      <x:c r="AG320" s="80" t="n">
        <x:f>C320*W320</x:f>
        <x:v>5.31532536452061e-7</x:v>
      </x:c>
      <x:c r="AH320" s="80" t="n">
        <x:f>2*'Inputs'!$B$8*'Inputs'!$C$44</x:f>
        <x:v>1250</x:v>
      </x:c>
      <x:c r="AI320" s="81" t="n">
        <x:f>IF(AH320&gt;0,(AE320+AF320)/AH320*365,0)</x:f>
        <x:v>0.000014319043450303371</x:v>
      </x:c>
      <x:c r="AJ320" s="81" t="n">
        <x:f>IF('Inputs'!$B$44&gt;0,AG320/('Inputs'!$B$19*'Inputs'!$B$44)*365,0)</x:f>
        <x:v>1.9400937580500226e-8</x:v>
      </x:c>
      <x:c r="AK320" s="81" t="n">
        <x:f>W320/MAX($W$4:W320)-1</x:f>
        <x:v>-0.9999999987175493</x:v>
      </x:c>
      <x:c r="AL320" s="83" t="n">
        <x:f>'Inputs'!$B$44</x:f>
        <x:v>1</x:v>
      </x:c>
      <x:c r="AM320" s="83" t="n">
        <x:f>'Inputs'!$C$44</x:f>
        <x:v>0.25</x:v>
      </x:c>
      <x:c r="AN320" s="83" t="n">
        <x:f>'Inputs'!$D$44</x:f>
        <x:v>0.2</x:v>
      </x:c>
      <x:c r="AO320" s="81" t="n">
        <x:f>'Inputs'!$E$44</x:f>
        <x:v>-0.2</x:v>
      </x:c>
    </x:row>
    <x:row r="321">
      <x:c r="A321" s="59" t="str">
        <x:v>No demand</x:v>
      </x:c>
      <x:c r="B321" s="59" t="n">
        <x:v>318</x:v>
      </x:c>
      <x:c r="C321" s="78" t="n">
        <x:f>(('Inputs'!$B$29*(3*318*'Inputs'!$B$12-318^2)/(2*'Inputs'!$B$12^2))-('Inputs'!$B$29*(3*317*'Inputs'!$B$12-317^2)/(2*'Inputs'!$B$12^2)))*'Inputs'!$B$44</x:f>
        <x:v>608764.5430662334</x:v>
      </x:c>
      <x:c r="D321" s="78" t="n">
        <x:f>IF('Inputs'!$C$44&gt;0,('Inputs'!$B$30*(3*318*'Inputs'!$B$12-318^2)/(2*'Inputs'!$B$12^2))-('Inputs'!$B$30*(3*317*'Inputs'!$B$12-317^2)/(2*'Inputs'!$B$12^2)),0)</x:f>
        <x:v>260899.08988553286</x:v>
      </x:c>
      <x:c r="E321" s="78" t="n">
        <x:f>C321+D321</x:f>
        <x:v>869663.6329517663</x:v>
      </x:c>
      <x:c r="F321" s="78" t="n">
        <x:f>'Inputs'!$B$13*E321+(1-'Inputs'!$B$13)/'Inputs'!$B$14*SUM(E266:E321)</x:f>
        <x:v>879881.3098142229</x:v>
      </x:c>
      <x:c r="G321" s="78" t="n">
        <x:f>F321*'Inputs'!$F$44</x:f>
        <x:v>791893.1788328006</x:v>
      </x:c>
      <x:c r="H321" s="78" t="n">
        <x:f>U320</x:f>
        <x:v>116522236550.56546</x:v>
      </x:c>
      <x:c r="I321" s="78" t="n">
        <x:f>V320</x:f>
        <x:v>0.10168512935413855</x:v>
      </x:c>
      <x:c r="J321" s="79" t="n">
        <x:f>IF(H321&gt;0,I321/H321,0)</x:f>
        <x:v>8.726671609157771e-13</x:v>
      </x:c>
      <x:c r="K321" s="80" t="n">
        <x:f>(H321*J321+I321)*'Inputs'!$D$44*(1+'Inputs'!$G$44)^(B321/30)</x:f>
        <x:v>0.04067405174165542</x:v>
      </x:c>
      <x:c r="L321" s="80" t="n">
        <x:f>MAX(0,K321*'Inputs'!$E$44)</x:f>
        <x:v>0</x:v>
      </x:c>
      <x:c r="M321" s="80" t="n">
        <x:f>MAX(0,-K321*'Inputs'!$E$44)</x:f>
        <x:v>0.008134810348331084</x:v>
      </x:c>
      <x:c r="N321" s="78" t="n">
        <x:f>H321*(L321*(1-'Inputs'!$B$15))/(I321+L321*(1-'Inputs'!$B$15))</x:f>
        <x:v>0</x:v>
      </x:c>
      <x:c r="O321" s="78" t="n">
        <x:f>H321-N321</x:f>
        <x:v>116522236550.56546</x:v>
      </x:c>
      <x:c r="P321" s="78" t="n">
        <x:f>I321+L321*(1-'Inputs'!$B$17)</x:f>
        <x:v>0.10168512935413855</x:v>
      </x:c>
      <x:c r="Q321" s="78" t="n">
        <x:f>IF(J321&gt;0,M321/J321,0)</x:f>
        <x:v>0</x:v>
      </x:c>
      <x:c r="R321" s="78" t="n">
        <x:f>IF(B321='Inputs'!$H$44,'Inputs'!$B$27*'Inputs'!$I$44,0)</x:f>
        <x:v>0</x:v>
      </x:c>
      <x:c r="S321" s="78" t="n">
        <x:f>Q321+G321+R321</x:f>
        <x:v>791893.1788328006</x:v>
      </x:c>
      <x:c r="T321" s="78" t="n">
        <x:f>P321*(S321*(1-'Inputs'!$B$15))/(O321+S321*(1-'Inputs'!$B$15))</x:f>
        <x:v>6.841439774044928e-7</x:v>
      </x:c>
      <x:c r="U321" s="78" t="n">
        <x:f>O321+S321*(1-'Inputs'!$B$17)</x:f>
        <x:v>116523025257.05142</x:v>
      </x:c>
      <x:c r="V321" s="78" t="n">
        <x:f>P321-T321</x:f>
        <x:v>0.10168444521016115</x:v>
      </x:c>
      <x:c r="W321" s="79" t="n">
        <x:f>IF(U321&gt;0,V321/U321,0)</x:f>
        <x:v>8.726553827953217e-13</x:v>
      </x:c>
      <x:c r="X321" s="80" t="n">
        <x:f>W321*('Inputs'!$B$6-AC321)</x:f>
        <x:v>-0.00035807159576021537</x:v>
      </x:c>
      <x:c r="Y321" s="80" t="n">
        <x:f>2*V321</x:f>
        <x:v>0.2033688904203223</x:v>
      </x:c>
      <x:c r="Z321" s="80" t="n">
        <x:f>K321*'Inputs'!$B$16+(G321+R321)*J321*'Inputs'!$B$16</x:f>
        <x:v>0.00024404845680496527</x:v>
      </x:c>
      <x:c r="AA321" s="80" t="n">
        <x:f>K321*(1+'Inputs'!$E$44)/2*'Inputs'!$B$17</x:f>
        <x:v>0.00006547131065055199</x:v>
      </x:c>
      <x:c r="AB321" s="78" t="n">
        <x:f>(IF(J321&gt;0,K321*(1-'Inputs'!$E$44)/2/J321,0)+G321+R321)*'Inputs'!$B$17</x:f>
        <x:v>3186.692872566602</x:v>
      </x:c>
      <x:c r="AC321" s="78" t="n">
        <x:f>AC320+AB321</x:f>
        <x:v>1410324170.1360133</x:v>
      </x:c>
      <x:c r="AD321" s="80" t="n">
        <x:f>Z321/(1+'Inputs'!$C$44)</x:f>
        <x:v>0.0001952387654439722</x:v>
      </x:c>
      <x:c r="AE321" s="80" t="n">
        <x:f>Z321-AD321</x:f>
        <x:v>0.00004880969136099306</x:v>
      </x:c>
      <x:c r="AF321" s="80" t="n">
        <x:f>D321*W321</x:f>
        <x:v>2.2767499515501072e-7</x:v>
      </x:c>
      <x:c r="AG321" s="80" t="n">
        <x:f>C321*W321</x:f>
        <x:v>5.31241655361683e-7</x:v>
      </x:c>
      <x:c r="AH321" s="80" t="n">
        <x:f>2*'Inputs'!$B$8*'Inputs'!$C$44</x:f>
        <x:v>1250</x:v>
      </x:c>
      <x:c r="AI321" s="81" t="n">
        <x:f>IF(AH321&gt;0,(AE321+AF321)/AH321*365,0)</x:f>
        <x:v>0.000014318910975995235</x:v>
      </x:c>
      <x:c r="AJ321" s="81" t="n">
        <x:f>IF('Inputs'!$B$44&gt;0,AG321/('Inputs'!$B$19*'Inputs'!$B$44)*365,0)</x:f>
        <x:v>1.939032042070143e-8</x:v>
      </x:c>
      <x:c r="AK321" s="81" t="n">
        <x:f>W321/MAX($W$4:W321)-1</x:f>
        <x:v>-0.9999999987175666</x:v>
      </x:c>
      <x:c r="AL321" s="83" t="n">
        <x:f>'Inputs'!$B$44</x:f>
        <x:v>1</x:v>
      </x:c>
      <x:c r="AM321" s="83" t="n">
        <x:f>'Inputs'!$C$44</x:f>
        <x:v>0.25</x:v>
      </x:c>
      <x:c r="AN321" s="83" t="n">
        <x:f>'Inputs'!$D$44</x:f>
        <x:v>0.2</x:v>
      </x:c>
      <x:c r="AO321" s="81" t="n">
        <x:f>'Inputs'!$E$44</x:f>
        <x:v>-0.2</x:v>
      </x:c>
    </x:row>
    <x:row r="322">
      <x:c r="A322" s="59" t="str">
        <x:v>No demand</x:v>
      </x:c>
      <x:c r="B322" s="59" t="n">
        <x:v>319</x:v>
      </x:c>
      <x:c r="C322" s="78" t="n">
        <x:f>(('Inputs'!$B$29*(3*319*'Inputs'!$B$12-319^2)/(2*'Inputs'!$B$12^2))-('Inputs'!$B$29*(3*318*'Inputs'!$B$12-318^2)/(2*'Inputs'!$B$12^2)))*'Inputs'!$B$44</x:f>
        <x:v>608439.4351660609</x:v>
      </x:c>
      <x:c r="D322" s="78" t="n">
        <x:f>IF('Inputs'!$C$44&gt;0,('Inputs'!$B$30*(3*319*'Inputs'!$B$12-319^2)/(2*'Inputs'!$B$12^2))-('Inputs'!$B$30*(3*318*'Inputs'!$B$12-318^2)/(2*'Inputs'!$B$12^2)),0)</x:f>
        <x:v>260759.75792831182</x:v>
      </x:c>
      <x:c r="E322" s="78" t="n">
        <x:f>C322+D322</x:f>
        <x:v>869199.1930943727</x:v>
      </x:c>
      <x:c r="F322" s="78" t="n">
        <x:f>'Inputs'!$B$13*E322+(1-'Inputs'!$B$13)/'Inputs'!$B$14*SUM(E267:E322)</x:f>
        <x:v>879416.8699568363</x:v>
      </x:c>
      <x:c r="G322" s="78" t="n">
        <x:f>F322*'Inputs'!$F$44</x:f>
        <x:v>791475.1829611528</x:v>
      </x:c>
      <x:c r="H322" s="78" t="n">
        <x:f>U321</x:f>
        <x:v>116523025257.05142</x:v>
      </x:c>
      <x:c r="I322" s="78" t="n">
        <x:f>V321</x:f>
        <x:v>0.10168444521016115</x:v>
      </x:c>
      <x:c r="J322" s="79" t="n">
        <x:f>IF(H322&gt;0,I322/H322,0)</x:f>
        <x:v>8.726553827953217e-13</x:v>
      </x:c>
      <x:c r="K322" s="80" t="n">
        <x:f>(H322*J322+I322)*'Inputs'!$D$44*(1+'Inputs'!$G$44)^(B322/30)</x:f>
        <x:v>0.040673778084064464</x:v>
      </x:c>
      <x:c r="L322" s="80" t="n">
        <x:f>MAX(0,K322*'Inputs'!$E$44)</x:f>
        <x:v>0</x:v>
      </x:c>
      <x:c r="M322" s="80" t="n">
        <x:f>MAX(0,-K322*'Inputs'!$E$44)</x:f>
        <x:v>0.008134755616812893</x:v>
      </x:c>
      <x:c r="N322" s="78" t="n">
        <x:f>H322*(L322*(1-'Inputs'!$B$15))/(I322+L322*(1-'Inputs'!$B$15))</x:f>
        <x:v>0</x:v>
      </x:c>
      <x:c r="O322" s="78" t="n">
        <x:f>H322-N322</x:f>
        <x:v>116523025257.05142</x:v>
      </x:c>
      <x:c r="P322" s="78" t="n">
        <x:f>I322+L322*(1-'Inputs'!$B$17)</x:f>
        <x:v>0.10168444521016115</x:v>
      </x:c>
      <x:c r="Q322" s="78" t="n">
        <x:f>IF(J322&gt;0,M322/J322,0)</x:f>
        <x:v>0</x:v>
      </x:c>
      <x:c r="R322" s="78" t="n">
        <x:f>IF(B322='Inputs'!$H$44,'Inputs'!$B$27*'Inputs'!$I$44,0)</x:f>
        <x:v>0</x:v>
      </x:c>
      <x:c r="S322" s="78" t="n">
        <x:f>Q322+G322+R322</x:f>
        <x:v>791475.1829611528</x:v>
      </x:c>
      <x:c r="T322" s="78" t="n">
        <x:f>P322*(S322*(1-'Inputs'!$B$15))/(O322+S322*(1-'Inputs'!$B$15))</x:f>
        <x:v>6.83773629928679e-7</x:v>
      </x:c>
      <x:c r="U322" s="78" t="n">
        <x:f>O322+S322*(1-'Inputs'!$B$17)</x:f>
        <x:v>116523813547.22359</x:v>
      </x:c>
      <x:c r="V322" s="78" t="n">
        <x:f>P322-T322</x:f>
        <x:v>0.10168376143653123</x:v>
      </x:c>
      <x:c r="W322" s="79" t="n">
        <x:f>IF(U322&gt;0,V322/U322,0)</x:f>
        <x:v>8.726436111303709e-13</x:v>
      </x:c>
      <x:c r="X322" s="80" t="n">
        <x:f>W322*('Inputs'!$B$6-AC322)</x:f>
        <x:v>-0.00035806954494088634</x:v>
      </x:c>
      <x:c r="Y322" s="80" t="n">
        <x:f>2*V322</x:f>
        <x:v>0.20336752287306245</x:v>
      </x:c>
      <x:c r="Z322" s="80" t="n">
        <x:f>K322*'Inputs'!$B$16+(G322+R322)*J322*'Inputs'!$B$16</x:f>
        <x:v>0.00024404681261485934</x:v>
      </x:c>
      <x:c r="AA322" s="80" t="n">
        <x:f>K322*(1+'Inputs'!$E$44)/2*'Inputs'!$B$17</x:f>
        <x:v>0.00006547087015543577</x:v>
      </x:c>
      <x:c r="AB322" s="78" t="n">
        <x:f>(IF(J322&gt;0,K322*(1-'Inputs'!$E$44)/2/J322,0)+G322+R322)*'Inputs'!$B$17</x:f>
        <x:v>3185.010796624357</x:v>
      </x:c>
      <x:c r="AC322" s="78" t="n">
        <x:f>AC321+AB322</x:f>
        <x:v>1410327355.1468098</x:v>
      </x:c>
      <x:c r="AD322" s="80" t="n">
        <x:f>Z322/(1+'Inputs'!$C$44)</x:f>
        <x:v>0.00019523745009188747</x:v>
      </x:c>
      <x:c r="AE322" s="80" t="n">
        <x:f>Z322-AD322</x:f>
        <x:v>0.000048809362522971874</x:v>
      </x:c>
      <x:c r="AF322" s="80" t="n">
        <x:f>D322*W322</x:f>
        <x:v>2.2755033679604341e-7</x:v>
      </x:c>
      <x:c r="AG322" s="80" t="n">
        <x:f>C322*W322</x:f>
        <x:v>5.309507858574346e-7</x:v>
      </x:c>
      <x:c r="AH322" s="80" t="n">
        <x:f>2*'Inputs'!$B$8*'Inputs'!$C$44</x:f>
        <x:v>1250</x:v>
      </x:c>
      <x:c r="AI322" s="81" t="n">
        <x:f>IF(AH322&gt;0,(AE322+AF322)/AH322*365,0)</x:f>
        <x:v>0.000014318778555052233</x:v>
      </x:c>
      <x:c r="AJ322" s="81" t="n">
        <x:f>IF('Inputs'!$B$44&gt;0,AG322/('Inputs'!$B$19*'Inputs'!$B$44)*365,0)</x:f>
        <x:v>1.937970368379636e-8</x:v>
      </x:c>
      <x:c r="AK322" s="81" t="n">
        <x:f>W322/MAX($W$4:W322)-1</x:f>
        <x:v>-0.9999999987175839</x:v>
      </x:c>
      <x:c r="AL322" s="83" t="n">
        <x:f>'Inputs'!$B$44</x:f>
        <x:v>1</x:v>
      </x:c>
      <x:c r="AM322" s="83" t="n">
        <x:f>'Inputs'!$C$44</x:f>
        <x:v>0.25</x:v>
      </x:c>
      <x:c r="AN322" s="83" t="n">
        <x:f>'Inputs'!$D$44</x:f>
        <x:v>0.2</x:v>
      </x:c>
      <x:c r="AO322" s="81" t="n">
        <x:f>'Inputs'!$E$44</x:f>
        <x:v>-0.2</x:v>
      </x:c>
    </x:row>
    <x:row r="323">
      <x:c r="A323" s="59" t="str">
        <x:v>No demand</x:v>
      </x:c>
      <x:c r="B323" s="59" t="n">
        <x:v>320</x:v>
      </x:c>
      <x:c r="C323" s="78" t="n">
        <x:f>(('Inputs'!$B$29*(3*320*'Inputs'!$B$12-320^2)/(2*'Inputs'!$B$12^2))-('Inputs'!$B$29*(3*319*'Inputs'!$B$12-319^2)/(2*'Inputs'!$B$12^2)))*'Inputs'!$B$44</x:f>
        <x:v>608114.3272659183</x:v>
      </x:c>
      <x:c r="D323" s="78" t="n">
        <x:f>IF('Inputs'!$C$44&gt;0,('Inputs'!$B$30*(3*320*'Inputs'!$B$12-320^2)/(2*'Inputs'!$B$12^2))-('Inputs'!$B$30*(3*319*'Inputs'!$B$12-319^2)/(2*'Inputs'!$B$12^2)),0)</x:f>
        <x:v>260620.4259711057</x:v>
      </x:c>
      <x:c r="E323" s="78" t="n">
        <x:f>C323+D323</x:f>
        <x:v>868734.753237024</x:v>
      </x:c>
      <x:c r="F323" s="78" t="n">
        <x:f>'Inputs'!$B$13*E323+(1-'Inputs'!$B$13)/'Inputs'!$B$14*SUM(E268:E323)</x:f>
        <x:v>878952.4300994595</x:v>
      </x:c>
      <x:c r="G323" s="78" t="n">
        <x:f>F323*'Inputs'!$F$44</x:f>
        <x:v>791057.1870895135</x:v>
      </x:c>
      <x:c r="H323" s="78" t="n">
        <x:f>U322</x:f>
        <x:v>116523813547.22359</x:v>
      </x:c>
      <x:c r="I323" s="78" t="n">
        <x:f>V322</x:f>
        <x:v>0.10168376143653123</x:v>
      </x:c>
      <x:c r="J323" s="79" t="n">
        <x:f>IF(H323&gt;0,I323/H323,0)</x:f>
        <x:v>8.726436111303709e-13</x:v>
      </x:c>
      <x:c r="K323" s="80" t="n">
        <x:f>(H323*J323+I323)*'Inputs'!$D$44*(1+'Inputs'!$G$44)^(B323/30)</x:f>
        <x:v>0.040673504574612496</x:v>
      </x:c>
      <x:c r="L323" s="80" t="n">
        <x:f>MAX(0,K323*'Inputs'!$E$44)</x:f>
        <x:v>0</x:v>
      </x:c>
      <x:c r="M323" s="80" t="n">
        <x:f>MAX(0,-K323*'Inputs'!$E$44)</x:f>
        <x:v>0.008134700914922499</x:v>
      </x:c>
      <x:c r="N323" s="78" t="n">
        <x:f>H323*(L323*(1-'Inputs'!$B$15))/(I323+L323*(1-'Inputs'!$B$15))</x:f>
        <x:v>0</x:v>
      </x:c>
      <x:c r="O323" s="78" t="n">
        <x:f>H323-N323</x:f>
        <x:v>116523813547.22359</x:v>
      </x:c>
      <x:c r="P323" s="78" t="n">
        <x:f>I323+L323*(1-'Inputs'!$B$17)</x:f>
        <x:v>0.10168376143653123</x:v>
      </x:c>
      <x:c r="Q323" s="78" t="n">
        <x:f>IF(J323&gt;0,M323/J323,0)</x:f>
        <x:v>0</x:v>
      </x:c>
      <x:c r="R323" s="78" t="n">
        <x:f>IF(B323='Inputs'!$H$44,'Inputs'!$B$27*'Inputs'!$I$44,0)</x:f>
        <x:v>0</x:v>
      </x:c>
      <x:c r="S323" s="78" t="n">
        <x:f>Q323+G323+R323</x:f>
        <x:v>791057.1870895135</x:v>
      </x:c>
      <x:c r="T323" s="78" t="n">
        <x:f>P323*(S323*(1-'Inputs'!$B$15))/(O323+S323*(1-'Inputs'!$B$15))</x:f>
        <x:v>6.834032972536132e-7</x:v>
      </x:c>
      <x:c r="U323" s="78" t="n">
        <x:f>O323+S323*(1-'Inputs'!$B$17)</x:f>
        <x:v>116524601421.08195</x:v>
      </x:c>
      <x:c r="V323" s="78" t="n">
        <x:f>P323-T323</x:f>
        <x:v>0.10168307803323397</x:v>
      </x:c>
      <x:c r="W323" s="79" t="n">
        <x:f>IF(U323&gt;0,V323/U323,0)</x:f>
        <x:v>8.726318459205403e-13</x:v>
      </x:c>
      <x:c r="X323" s="80" t="n">
        <x:f>W323*('Inputs'!$B$6-AC323)</x:f>
        <x:v>-0.0003580674952274714</x:v>
      </x:c>
      <x:c r="Y323" s="80" t="n">
        <x:f>2*V323</x:f>
        <x:v>0.20336615606646793</x:v>
      </x:c>
      <x:c r="Z323" s="80" t="n">
        <x:f>K323*'Inputs'!$B$16+(G323+R323)*J323*'Inputs'!$B$16</x:f>
        <x:v>0.0002440451693136771</x:v>
      </x:c>
      <x:c r="AA323" s="80" t="n">
        <x:f>K323*(1+'Inputs'!$E$44)/2*'Inputs'!$B$17</x:f>
        <x:v>0.00006547042989877264</x:v>
      </x:c>
      <x:c r="AB323" s="78" t="n">
        <x:f>(IF(J323&gt;0,K323*(1-'Inputs'!$E$44)/2/J323,0)+G323+R323)*'Inputs'!$B$17</x:f>
        <x:v>3183.3287206821474</x:v>
      </x:c>
      <x:c r="AC323" s="78" t="n">
        <x:f>AC322+AB323</x:f>
        <x:v>1410330538.4755304</x:v>
      </x:c>
      <x:c r="AD323" s="80" t="n">
        <x:f>Z323/(1+'Inputs'!$C$44)</x:f>
        <x:v>0.00019523613545094167</x:v>
      </x:c>
      <x:c r="AE323" s="80" t="n">
        <x:f>Z323-AD323</x:f>
        <x:v>0.000048809033862735424</x:v>
      </x:c>
      <x:c r="AF323" s="80" t="n">
        <x:f>D323*W323</x:f>
        <x:v>2.274256833997635e-7</x:v>
      </x:c>
      <x:c r="AG323" s="80" t="n">
        <x:f>C323*W323</x:f>
        <x:v>5.306599279327858e-7</x:v>
      </x:c>
      <x:c r="AH323" s="80" t="n">
        <x:f>2*'Inputs'!$B$8*'Inputs'!$C$44</x:f>
        <x:v>1250</x:v>
      </x:c>
      <x:c r="AI323" s="81" t="n">
        <x:f>IF(AH323&gt;0,(AE323+AF323)/AH323*365,0)</x:f>
        <x:v>0.000014318646187471472</x:v>
      </x:c>
      <x:c r="AJ323" s="81" t="n">
        <x:f>IF('Inputs'!$B$44&gt;0,AG323/('Inputs'!$B$19*'Inputs'!$B$44)*365,0)</x:f>
        <x:v>1.9369087369546682e-8</x:v>
      </x:c>
      <x:c r="AK323" s="81" t="n">
        <x:f>W323/MAX($W$4:W323)-1</x:f>
        <x:v>-0.9999999987176013</x:v>
      </x:c>
      <x:c r="AL323" s="83" t="n">
        <x:f>'Inputs'!$B$44</x:f>
        <x:v>1</x:v>
      </x:c>
      <x:c r="AM323" s="83" t="n">
        <x:f>'Inputs'!$C$44</x:f>
        <x:v>0.25</x:v>
      </x:c>
      <x:c r="AN323" s="83" t="n">
        <x:f>'Inputs'!$D$44</x:f>
        <x:v>0.2</x:v>
      </x:c>
      <x:c r="AO323" s="81" t="n">
        <x:f>'Inputs'!$E$44</x:f>
        <x:v>-0.2</x:v>
      </x:c>
    </x:row>
    <x:row r="324">
      <x:c r="A324" s="59" t="str">
        <x:v>No demand</x:v>
      </x:c>
      <x:c r="B324" s="59" t="n">
        <x:v>321</x:v>
      </x:c>
      <x:c r="C324" s="78" t="n">
        <x:f>(('Inputs'!$B$29*(3*321*'Inputs'!$B$12-321^2)/(2*'Inputs'!$B$12^2))-('Inputs'!$B$29*(3*320*'Inputs'!$B$12-320^2)/(2*'Inputs'!$B$12^2)))*'Inputs'!$B$44</x:f>
        <x:v>607789.219365716</x:v>
      </x:c>
      <x:c r="D324" s="78" t="n">
        <x:f>IF('Inputs'!$C$44&gt;0,('Inputs'!$B$30*(3*321*'Inputs'!$B$12-321^2)/(2*'Inputs'!$B$12^2))-('Inputs'!$B$30*(3*320*'Inputs'!$B$12-320^2)/(2*'Inputs'!$B$12^2)),0)</x:f>
        <x:v>260481.09401388466</x:v>
      </x:c>
      <x:c r="E324" s="78" t="n">
        <x:f>C324+D324</x:f>
        <x:v>868270.3133796006</x:v>
      </x:c>
      <x:c r="F324" s="78" t="n">
        <x:f>'Inputs'!$B$13*E324+(1-'Inputs'!$B$13)/'Inputs'!$B$14*SUM(E269:E324)</x:f>
        <x:v>878487.9902420677</x:v>
      </x:c>
      <x:c r="G324" s="78" t="n">
        <x:f>F324*'Inputs'!$F$44</x:f>
        <x:v>790639.191217861</x:v>
      </x:c>
      <x:c r="H324" s="78" t="n">
        <x:f>U323</x:f>
        <x:v>116524601421.08195</x:v>
      </x:c>
      <x:c r="I324" s="78" t="n">
        <x:f>V323</x:f>
        <x:v>0.10168307803323397</x:v>
      </x:c>
      <x:c r="J324" s="79" t="n">
        <x:f>IF(H324&gt;0,I324/H324,0)</x:f>
        <x:v>8.726318459205403e-13</x:v>
      </x:c>
      <x:c r="K324" s="80" t="n">
        <x:f>(H324*J324+I324)*'Inputs'!$D$44*(1+'Inputs'!$G$44)^(B324/30)</x:f>
        <x:v>0.04067323121329359</x:v>
      </x:c>
      <x:c r="L324" s="80" t="n">
        <x:f>MAX(0,K324*'Inputs'!$E$44)</x:f>
        <x:v>0</x:v>
      </x:c>
      <x:c r="M324" s="80" t="n">
        <x:f>MAX(0,-K324*'Inputs'!$E$44)</x:f>
        <x:v>0.008134646242658718</x:v>
      </x:c>
      <x:c r="N324" s="78" t="n">
        <x:f>H324*(L324*(1-'Inputs'!$B$15))/(I324+L324*(1-'Inputs'!$B$15))</x:f>
        <x:v>0</x:v>
      </x:c>
      <x:c r="O324" s="78" t="n">
        <x:f>H324-N324</x:f>
        <x:v>116524601421.08195</x:v>
      </x:c>
      <x:c r="P324" s="78" t="n">
        <x:f>I324+L324*(1-'Inputs'!$B$17)</x:f>
        <x:v>0.10168307803323397</x:v>
      </x:c>
      <x:c r="Q324" s="78" t="n">
        <x:f>IF(J324&gt;0,M324/J324,0)</x:f>
        <x:v>0</x:v>
      </x:c>
      <x:c r="R324" s="78" t="n">
        <x:f>IF(B324='Inputs'!$H$44,'Inputs'!$B$27*'Inputs'!$I$44,0)</x:f>
        <x:v>0</x:v>
      </x:c>
      <x:c r="S324" s="78" t="n">
        <x:f>Q324+G324+R324</x:f>
        <x:v>790639.191217861</x:v>
      </x:c>
      <x:c r="T324" s="78" t="n">
        <x:f>P324*(S324*(1-'Inputs'!$B$15))/(O324+S324*(1-'Inputs'!$B$15))</x:f>
        <x:v>6.830329793709617e-7</x:v>
      </x:c>
      <x:c r="U324" s="78" t="n">
        <x:f>O324+S324*(1-'Inputs'!$B$17)</x:f>
        <x:v>116525388878.62653</x:v>
      </x:c>
      <x:c r="V324" s="78" t="n">
        <x:f>P324-T324</x:f>
        <x:v>0.1016823950002546</x:v>
      </x:c>
      <x:c r="W324" s="79" t="n">
        <x:f>IF(U324&gt;0,V324/U324,0)</x:f>
        <x:v>8.726200871654463e-13</x:v>
      </x:c>
      <x:c r="X324" s="80" t="n">
        <x:f>W324*('Inputs'!$B$6-AC324)</x:f>
        <x:v>-0.00035806544661993436</x:v>
      </x:c>
      <x:c r="Y324" s="80" t="n">
        <x:f>2*V324</x:f>
        <x:v>0.2033647900005092</x:v>
      </x:c>
      <x:c r="Z324" s="80" t="n">
        <x:f>K324*'Inputs'!$B$16+(G324+R324)*J324*'Inputs'!$B$16</x:f>
        <x:v>0.00024404352690138287</x:v>
      </x:c>
      <x:c r="AA324" s="80" t="n">
        <x:f>K324*(1+'Inputs'!$E$44)/2*'Inputs'!$B$17</x:f>
        <x:v>0.00006546998988055307</x:v>
      </x:c>
      <x:c r="AB324" s="78" t="n">
        <x:f>(IF(J324&gt;0,K324*(1-'Inputs'!$E$44)/2/J324,0)+G324+R324)*'Inputs'!$B$17</x:f>
        <x:v>3181.646644739884</x:v>
      </x:c>
      <x:c r="AC324" s="78" t="n">
        <x:f>AC323+AB324</x:f>
        <x:v>1410333720.1221752</x:v>
      </x:c>
      <x:c r="AD324" s="80" t="n">
        <x:f>Z324/(1+'Inputs'!$C$44)</x:f>
        <x:v>0.0001952348215211063</x:v>
      </x:c>
      <x:c r="AE324" s="80" t="n">
        <x:f>Z324-AD324</x:f>
        <x:v>0.00004880870538027658</x:v>
      </x:c>
      <x:c r="AF324" s="80" t="n">
        <x:f>D324*W324</x:f>
        <x:v>2.2730103496334685e-7</x:v>
      </x:c>
      <x:c r="AG324" s="80" t="n">
        <x:f>C324*W324</x:f>
        <x:v>5.303690815811296e-7</x:v>
      </x:c>
      <x:c r="AH324" s="80" t="n">
        <x:f>2*'Inputs'!$B$8*'Inputs'!$C$44</x:f>
        <x:v>1250</x:v>
      </x:c>
      <x:c r="AI324" s="81" t="n">
        <x:f>IF(AH324&gt;0,(AE324+AF324)/AH324*365,0)</x:f>
        <x:v>0.000014318513873250058</x:v>
      </x:c>
      <x:c r="AJ324" s="81" t="n">
        <x:f>IF('Inputs'!$B$44&gt;0,AG324/('Inputs'!$B$19*'Inputs'!$B$44)*365,0)</x:f>
        <x:v>1.935847147771123e-8</x:v>
      </x:c>
      <x:c r="AK324" s="81" t="n">
        <x:f>W324/MAX($W$4:W324)-1</x:f>
        <x:v>-0.9999999987176185</x:v>
      </x:c>
      <x:c r="AL324" s="83" t="n">
        <x:f>'Inputs'!$B$44</x:f>
        <x:v>1</x:v>
      </x:c>
      <x:c r="AM324" s="83" t="n">
        <x:f>'Inputs'!$C$44</x:f>
        <x:v>0.25</x:v>
      </x:c>
      <x:c r="AN324" s="83" t="n">
        <x:f>'Inputs'!$D$44</x:f>
        <x:v>0.2</x:v>
      </x:c>
      <x:c r="AO324" s="81" t="n">
        <x:f>'Inputs'!$E$44</x:f>
        <x:v>-0.2</x:v>
      </x:c>
    </x:row>
    <x:row r="325">
      <x:c r="A325" s="59" t="str">
        <x:v>No demand</x:v>
      </x:c>
      <x:c r="B325" s="59" t="n">
        <x:v>322</x:v>
      </x:c>
      <x:c r="C325" s="78" t="n">
        <x:f>(('Inputs'!$B$29*(3*322*'Inputs'!$B$12-322^2)/(2*'Inputs'!$B$12^2))-('Inputs'!$B$29*(3*321*'Inputs'!$B$12-321^2)/(2*'Inputs'!$B$12^2)))*'Inputs'!$B$44</x:f>
        <x:v>607464.1114655733</x:v>
      </x:c>
      <x:c r="D325" s="78" t="n">
        <x:f>IF('Inputs'!$C$44&gt;0,('Inputs'!$B$30*(3*322*'Inputs'!$B$12-322^2)/(2*'Inputs'!$B$12^2))-('Inputs'!$B$30*(3*321*'Inputs'!$B$12-321^2)/(2*'Inputs'!$B$12^2)),0)</x:f>
        <x:v>260341.76205667853</x:v>
      </x:c>
      <x:c r="E325" s="78" t="n">
        <x:f>C325+D325</x:f>
        <x:v>867805.8735222518</x:v>
      </x:c>
      <x:c r="F325" s="78" t="n">
        <x:f>'Inputs'!$B$13*E325+(1-'Inputs'!$B$13)/'Inputs'!$B$14*SUM(E270:E325)</x:f>
        <x:v>878023.5503846909</x:v>
      </x:c>
      <x:c r="G325" s="78" t="n">
        <x:f>F325*'Inputs'!$F$44</x:f>
        <x:v>790221.1953462218</x:v>
      </x:c>
      <x:c r="H325" s="78" t="n">
        <x:f>U324</x:f>
        <x:v>116525388878.62653</x:v>
      </x:c>
      <x:c r="I325" s="78" t="n">
        <x:f>V324</x:f>
        <x:v>0.1016823950002546</x:v>
      </x:c>
      <x:c r="J325" s="79" t="n">
        <x:f>IF(H325&gt;0,I325/H325,0)</x:f>
        <x:v>8.726200871654463e-13</x:v>
      </x:c>
      <x:c r="K325" s="80" t="n">
        <x:f>(H325*J325+I325)*'Inputs'!$D$44*(1+'Inputs'!$G$44)^(B325/30)</x:f>
        <x:v>0.040672958000101844</x:v>
      </x:c>
      <x:c r="L325" s="80" t="n">
        <x:f>MAX(0,K325*'Inputs'!$E$44)</x:f>
        <x:v>0</x:v>
      </x:c>
      <x:c r="M325" s="80" t="n">
        <x:f>MAX(0,-K325*'Inputs'!$E$44)</x:f>
        <x:v>0.008134591600020369</x:v>
      </x:c>
      <x:c r="N325" s="78" t="n">
        <x:f>H325*(L325*(1-'Inputs'!$B$15))/(I325+L325*(1-'Inputs'!$B$15))</x:f>
        <x:v>0</x:v>
      </x:c>
      <x:c r="O325" s="78" t="n">
        <x:f>H325-N325</x:f>
        <x:v>116525388878.62653</x:v>
      </x:c>
      <x:c r="P325" s="78" t="n">
        <x:f>I325+L325*(1-'Inputs'!$B$17)</x:f>
        <x:v>0.1016823950002546</x:v>
      </x:c>
      <x:c r="Q325" s="78" t="n">
        <x:f>IF(J325&gt;0,M325/J325,0)</x:f>
        <x:v>0</x:v>
      </x:c>
      <x:c r="R325" s="78" t="n">
        <x:f>IF(B325='Inputs'!$H$44,'Inputs'!$B$27*'Inputs'!$I$44,0)</x:f>
        <x:v>0</x:v>
      </x:c>
      <x:c r="S325" s="78" t="n">
        <x:f>Q325+G325+R325</x:f>
        <x:v>790221.1953462218</x:v>
      </x:c>
      <x:c r="T325" s="78" t="n">
        <x:f>P325*(S325*(1-'Inputs'!$B$15))/(O325+S325*(1-'Inputs'!$B$15))</x:f>
        <x:v>6.826626762724339e-7</x:v>
      </x:c>
      <x:c r="U325" s="78" t="n">
        <x:f>O325+S325*(1-'Inputs'!$B$17)</x:f>
        <x:v>116526175919.8573</x:v>
      </x:c>
      <x:c r="V325" s="78" t="n">
        <x:f>P325-T325</x:f>
        <x:v>0.10168171233757832</x:v>
      </x:c>
      <x:c r="W325" s="79" t="n">
        <x:f>IF(U325&gt;0,V325/U325,0)</x:f>
        <x:v>8.726083348647047e-13</x:v>
      </x:c>
      <x:c r="X325" s="80" t="n">
        <x:f>W325*('Inputs'!$B$6-AC325)</x:f>
        <x:v>-0.00035806339911823845</x:v>
      </x:c>
      <x:c r="Y325" s="80" t="n">
        <x:f>2*V325</x:f>
        <x:v>0.20336342467515664</x:v>
      </x:c>
      <x:c r="Z325" s="80" t="n">
        <x:f>K325*'Inputs'!$B$16+(G325+R325)*J325*'Inputs'!$B$16</x:f>
        <x:v>0.00024404188537794123</x:v>
      </x:c>
      <x:c r="AA325" s="80" t="n">
        <x:f>K325*(1+'Inputs'!$E$44)/2*'Inputs'!$B$17</x:f>
        <x:v>0.00006546955010076756</x:v>
      </x:c>
      <x:c r="AB325" s="78" t="n">
        <x:f>(IF(J325&gt;0,K325*(1-'Inputs'!$E$44)/2/J325,0)+G325+R325)*'Inputs'!$B$17</x:f>
        <x:v>3179.9645687976736</x:v>
      </x:c>
      <x:c r="AC325" s="78" t="n">
        <x:f>AC324+AB325</x:f>
        <x:v>1410336900.086744</x:v>
      </x:c>
      <x:c r="AD325" s="80" t="n">
        <x:f>Z325/(1+'Inputs'!$C$44)</x:f>
        <x:v>0.000195233508302353</x:v>
      </x:c>
      <x:c r="AE325" s="80" t="n">
        <x:f>Z325-AD325</x:f>
        <x:v>0.00004880837707558824</x:v>
      </x:c>
      <x:c r="AF325" s="80" t="n">
        <x:f>D325*W325</x:f>
        <x:v>2.271763914840214e-7</x:v>
      </x:c>
      <x:c r="AG325" s="80" t="n">
        <x:f>C325*W325</x:f>
        <x:v>5.300782467960412e-7</x:v>
      </x:c>
      <x:c r="AH325" s="80" t="n">
        <x:f>2*'Inputs'!$B$8*'Inputs'!$C$44</x:f>
        <x:v>1250</x:v>
      </x:c>
      <x:c r="AI325" s="81" t="n">
        <x:f>IF(AH325&gt;0,(AE325+AF325)/AH325*365,0)</x:f>
        <x:v>0.000014318381612385102</x:v>
      </x:c>
      <x:c r="AJ325" s="81" t="n">
        <x:f>IF('Inputs'!$B$44&gt;0,AG325/('Inputs'!$B$19*'Inputs'!$B$44)*365,0)</x:f>
        <x:v>1.9347856008055504e-8</x:v>
      </x:c>
      <x:c r="AK325" s="81" t="n">
        <x:f>W325/MAX($W$4:W325)-1</x:f>
        <x:v>-0.9999999987176358</x:v>
      </x:c>
      <x:c r="AL325" s="83" t="n">
        <x:f>'Inputs'!$B$44</x:f>
        <x:v>1</x:v>
      </x:c>
      <x:c r="AM325" s="83" t="n">
        <x:f>'Inputs'!$C$44</x:f>
        <x:v>0.25</x:v>
      </x:c>
      <x:c r="AN325" s="83" t="n">
        <x:f>'Inputs'!$D$44</x:f>
        <x:v>0.2</x:v>
      </x:c>
      <x:c r="AO325" s="81" t="n">
        <x:f>'Inputs'!$E$44</x:f>
        <x:v>-0.2</x:v>
      </x:c>
    </x:row>
    <x:row r="326">
      <x:c r="A326" s="59" t="str">
        <x:v>No demand</x:v>
      </x:c>
      <x:c r="B326" s="59" t="n">
        <x:v>323</x:v>
      </x:c>
      <x:c r="C326" s="78" t="n">
        <x:f>(('Inputs'!$B$29*(3*323*'Inputs'!$B$12-323^2)/(2*'Inputs'!$B$12^2))-('Inputs'!$B$29*(3*322*'Inputs'!$B$12-322^2)/(2*'Inputs'!$B$12^2)))*'Inputs'!$B$44</x:f>
        <x:v>607139.0035654008</x:v>
      </x:c>
      <x:c r="D326" s="78" t="n">
        <x:f>IF('Inputs'!$C$44&gt;0,('Inputs'!$B$30*(3*323*'Inputs'!$B$12-323^2)/(2*'Inputs'!$B$12^2))-('Inputs'!$B$30*(3*322*'Inputs'!$B$12-322^2)/(2*'Inputs'!$B$12^2)),0)</x:f>
        <x:v>260202.4300994575</x:v>
      </x:c>
      <x:c r="E326" s="78" t="n">
        <x:f>C326+D326</x:f>
        <x:v>867341.4336648583</x:v>
      </x:c>
      <x:c r="F326" s="78" t="n">
        <x:f>'Inputs'!$B$13*E326+(1-'Inputs'!$B$13)/'Inputs'!$B$14*SUM(E271:E326)</x:f>
        <x:v>877559.1105273045</x:v>
      </x:c>
      <x:c r="G326" s="78" t="n">
        <x:f>F326*'Inputs'!$F$44</x:f>
        <x:v>789803.1994745741</x:v>
      </x:c>
      <x:c r="H326" s="78" t="n">
        <x:f>U325</x:f>
        <x:v>116526175919.8573</x:v>
      </x:c>
      <x:c r="I326" s="78" t="n">
        <x:f>V325</x:f>
        <x:v>0.10168171233757832</x:v>
      </x:c>
      <x:c r="J326" s="79" t="n">
        <x:f>IF(H326&gt;0,I326/H326,0)</x:f>
        <x:v>8.726083348647047e-13</x:v>
      </x:c>
      <x:c r="K326" s="80" t="n">
        <x:f>(H326*J326+I326)*'Inputs'!$D$44*(1+'Inputs'!$G$44)^(B326/30)</x:f>
        <x:v>0.04067268493503133</x:v>
      </x:c>
      <x:c r="L326" s="80" t="n">
        <x:f>MAX(0,K326*'Inputs'!$E$44)</x:f>
        <x:v>0</x:v>
      </x:c>
      <x:c r="M326" s="80" t="n">
        <x:f>MAX(0,-K326*'Inputs'!$E$44)</x:f>
        <x:v>0.008134536987006266</x:v>
      </x:c>
      <x:c r="N326" s="78" t="n">
        <x:f>H326*(L326*(1-'Inputs'!$B$15))/(I326+L326*(1-'Inputs'!$B$15))</x:f>
        <x:v>0</x:v>
      </x:c>
      <x:c r="O326" s="78" t="n">
        <x:f>H326-N326</x:f>
        <x:v>116526175919.8573</x:v>
      </x:c>
      <x:c r="P326" s="78" t="n">
        <x:f>I326+L326*(1-'Inputs'!$B$17)</x:f>
        <x:v>0.10168171233757832</x:v>
      </x:c>
      <x:c r="Q326" s="78" t="n">
        <x:f>IF(J326&gt;0,M326/J326,0)</x:f>
        <x:v>0</x:v>
      </x:c>
      <x:c r="R326" s="78" t="n">
        <x:f>IF(B326='Inputs'!$H$44,'Inputs'!$B$27*'Inputs'!$I$44,0)</x:f>
        <x:v>0</x:v>
      </x:c>
      <x:c r="S326" s="78" t="n">
        <x:f>Q326+G326+R326</x:f>
        <x:v>789803.1994745741</x:v>
      </x:c>
      <x:c r="T326" s="78" t="n">
        <x:f>P326*(S326*(1-'Inputs'!$B$15))/(O326+S326*(1-'Inputs'!$B$15))</x:f>
        <x:v>6.822923879496979e-7</x:v>
      </x:c>
      <x:c r="U326" s="78" t="n">
        <x:f>O326+S326*(1-'Inputs'!$B$17)</x:f>
        <x:v>116526962544.77428</x:v>
      </x:c>
      <x:c r="V326" s="78" t="n">
        <x:f>P326-T326</x:f>
        <x:v>0.10168103004519037</x:v>
      </x:c>
      <x:c r="W326" s="79" t="n">
        <x:f>IF(U326&gt;0,V326/U326,0)</x:f>
        <x:v>8.725965890179321e-13</x:v>
      </x:c>
      <x:c r="X326" s="80" t="n">
        <x:f>W326*('Inputs'!$B$6-AC326)</x:f>
        <x:v>-0.0003580613527223471</x:v>
      </x:c>
      <x:c r="Y326" s="80" t="n">
        <x:f>2*V326</x:f>
        <x:v>0.20336206009038074</x:v>
      </x:c>
      <x:c r="Z326" s="80" t="n">
        <x:f>K326*'Inputs'!$B$16+(G326+R326)*J326*'Inputs'!$B$16</x:f>
        <x:v>0.00024404024474331657</x:v>
      </x:c>
      <x:c r="AA326" s="80" t="n">
        <x:f>K326*(1+'Inputs'!$E$44)/2*'Inputs'!$B$17</x:f>
        <x:v>0.00006546911055940658</x:v>
      </x:c>
      <x:c r="AB326" s="78" t="n">
        <x:f>(IF(J326&gt;0,K326*(1-'Inputs'!$E$44)/2/J326,0)+G326+R326)*'Inputs'!$B$17</x:f>
        <x:v>3178.282492855429</x:v>
      </x:c>
      <x:c r="AC326" s="78" t="n">
        <x:f>AC325+AB326</x:f>
        <x:v>1410340078.369237</x:v>
      </x:c>
      <x:c r="AD326" s="80" t="n">
        <x:f>Z326/(1+'Inputs'!$C$44)</x:f>
        <x:v>0.00019523219579465327</x:v>
      </x:c>
      <x:c r="AE326" s="80" t="n">
        <x:f>Z326-AD326</x:f>
        <x:v>0.0000488080489486633</x:v>
      </x:c>
      <x:c r="AF326" s="80" t="n">
        <x:f>D326*W326</x:f>
        <x:v>2.2705175295896355e-7</x:v>
      </x:c>
      <x:c r="AG326" s="80" t="n">
        <x:f>C326*W326</x:f>
        <x:v>5.297874235709149e-7</x:v>
      </x:c>
      <x:c r="AH326" s="80" t="n">
        <x:f>2*'Inputs'!$B$8*'Inputs'!$C$44</x:f>
        <x:v>1250</x:v>
      </x:c>
      <x:c r="AI326" s="81" t="n">
        <x:f>IF(AH326&gt;0,(AE326+AF326)/AH326*365,0)</x:f>
        <x:v>0.000014318249404873702</x:v>
      </x:c>
      <x:c r="AJ326" s="81" t="n">
        <x:f>IF('Inputs'!$B$44&gt;0,AG326/('Inputs'!$B$19*'Inputs'!$B$44)*365,0)</x:f>
        <x:v>1.9337240960338394e-8</x:v>
      </x:c>
      <x:c r="AK326" s="81" t="n">
        <x:f>W326/MAX($W$4:W326)-1</x:f>
        <x:v>-0.999999998717653</x:v>
      </x:c>
      <x:c r="AL326" s="83" t="n">
        <x:f>'Inputs'!$B$44</x:f>
        <x:v>1</x:v>
      </x:c>
      <x:c r="AM326" s="83" t="n">
        <x:f>'Inputs'!$C$44</x:f>
        <x:v>0.25</x:v>
      </x:c>
      <x:c r="AN326" s="83" t="n">
        <x:f>'Inputs'!$D$44</x:f>
        <x:v>0.2</x:v>
      </x:c>
      <x:c r="AO326" s="81" t="n">
        <x:f>'Inputs'!$E$44</x:f>
        <x:v>-0.2</x:v>
      </x:c>
    </x:row>
    <x:row r="327">
      <x:c r="A327" s="59" t="str">
        <x:v>No demand</x:v>
      </x:c>
      <x:c r="B327" s="59" t="n">
        <x:v>324</x:v>
      </x:c>
      <x:c r="C327" s="78" t="n">
        <x:f>(('Inputs'!$B$29*(3*324*'Inputs'!$B$12-324^2)/(2*'Inputs'!$B$12^2))-('Inputs'!$B$29*(3*323*'Inputs'!$B$12-323^2)/(2*'Inputs'!$B$12^2)))*'Inputs'!$B$44</x:f>
        <x:v>606813.8956652284</x:v>
      </x:c>
      <x:c r="D327" s="78" t="n">
        <x:f>IF('Inputs'!$C$44&gt;0,('Inputs'!$B$30*(3*324*'Inputs'!$B$12-324^2)/(2*'Inputs'!$B$12^2))-('Inputs'!$B$30*(3*323*'Inputs'!$B$12-323^2)/(2*'Inputs'!$B$12^2)),0)</x:f>
        <x:v>260063.09814223647</x:v>
      </x:c>
      <x:c r="E327" s="78" t="n">
        <x:f>C327+D327</x:f>
        <x:v>866876.9938074648</x:v>
      </x:c>
      <x:c r="F327" s="78" t="n">
        <x:f>'Inputs'!$B$13*E327+(1-'Inputs'!$B$13)/'Inputs'!$B$14*SUM(E272:E327)</x:f>
        <x:v>877094.6706699186</x:v>
      </x:c>
      <x:c r="G327" s="78" t="n">
        <x:f>F327*'Inputs'!$F$44</x:f>
        <x:v>789385.2036029268</x:v>
      </x:c>
      <x:c r="H327" s="78" t="n">
        <x:f>U326</x:f>
        <x:v>116526962544.77428</x:v>
      </x:c>
      <x:c r="I327" s="78" t="n">
        <x:f>V326</x:f>
        <x:v>0.10168103004519037</x:v>
      </x:c>
      <x:c r="J327" s="79" t="n">
        <x:f>IF(H327&gt;0,I327/H327,0)</x:f>
        <x:v>8.725965890179321e-13</x:v>
      </x:c>
      <x:c r="K327" s="80" t="n">
        <x:f>(H327*J327+I327)*'Inputs'!$D$44*(1+'Inputs'!$G$44)^(B327/30)</x:f>
        <x:v>0.04067241201807615</x:v>
      </x:c>
      <x:c r="L327" s="80" t="n">
        <x:f>MAX(0,K327*'Inputs'!$E$44)</x:f>
        <x:v>0</x:v>
      </x:c>
      <x:c r="M327" s="80" t="n">
        <x:f>MAX(0,-K327*'Inputs'!$E$44)</x:f>
        <x:v>0.00813448240361523</x:v>
      </x:c>
      <x:c r="N327" s="78" t="n">
        <x:f>H327*(L327*(1-'Inputs'!$B$15))/(I327+L327*(1-'Inputs'!$B$15))</x:f>
        <x:v>0</x:v>
      </x:c>
      <x:c r="O327" s="78" t="n">
        <x:f>H327-N327</x:f>
        <x:v>116526962544.77428</x:v>
      </x:c>
      <x:c r="P327" s="78" t="n">
        <x:f>I327+L327*(1-'Inputs'!$B$17)</x:f>
        <x:v>0.10168103004519037</x:v>
      </x:c>
      <x:c r="Q327" s="78" t="n">
        <x:f>IF(J327&gt;0,M327/J327,0)</x:f>
        <x:v>0</x:v>
      </x:c>
      <x:c r="R327" s="78" t="n">
        <x:f>IF(B327='Inputs'!$H$44,'Inputs'!$B$27*'Inputs'!$I$44,0)</x:f>
        <x:v>0</x:v>
      </x:c>
      <x:c r="S327" s="78" t="n">
        <x:f>Q327+G327+R327</x:f>
        <x:v>789385.2036029268</x:v>
      </x:c>
      <x:c r="T327" s="78" t="n">
        <x:f>P327*(S327*(1-'Inputs'!$B$15))/(O327+S327*(1-'Inputs'!$B$15))</x:f>
        <x:v>6.819221143944494e-7</x:v>
      </x:c>
      <x:c r="U327" s="78" t="n">
        <x:f>O327+S327*(1-'Inputs'!$B$17)</x:f>
        <x:v>116527748753.37746</x:v>
      </x:c>
      <x:c r="V327" s="78" t="n">
        <x:f>P327-T327</x:f>
        <x:v>0.10168034812307597</x:v>
      </x:c>
      <x:c r="W327" s="79" t="n">
        <x:f>IF(U327&gt;0,V327/U327,0)</x:f>
        <x:v>8.725848496247453e-13</x:v>
      </x:c>
      <x:c r="X327" s="80" t="n">
        <x:f>W327*('Inputs'!$B$6-AC327)</x:f>
        <x:v>-0.0003580593074322239</x:v>
      </x:c>
      <x:c r="Y327" s="80" t="n">
        <x:f>2*V327</x:f>
        <x:v>0.20336069624615194</x:v>
      </x:c>
      <x:c r="Z327" s="80" t="n">
        <x:f>K327*'Inputs'!$B$16+(G327+R327)*J327*'Inputs'!$B$16</x:f>
        <x:v>0.00024403860499747342</x:v>
      </x:c>
      <x:c r="AA327" s="80" t="n">
        <x:f>K327*(1+'Inputs'!$E$44)/2*'Inputs'!$B$17</x:f>
        <x:v>0.0000654686712564606</x:v>
      </x:c>
      <x:c r="AB327" s="78" t="n">
        <x:f>(IF(J327&gt;0,K327*(1-'Inputs'!$E$44)/2/J327,0)+G327+R327)*'Inputs'!$B$17</x:f>
        <x:v>3176.6004169131866</x:v>
      </x:c>
      <x:c r="AC327" s="78" t="n">
        <x:f>AC326+AB327</x:f>
        <x:v>1410343254.9696538</x:v>
      </x:c>
      <x:c r="AD327" s="80" t="n">
        <x:f>Z327/(1+'Inputs'!$C$44)</x:f>
        <x:v>0.00019523088399797873</x:v>
      </x:c>
      <x:c r="AE327" s="80" t="n">
        <x:f>Z327-AD327</x:f>
        <x:v>0.000048807720999494695</x:v>
      </x:c>
      <x:c r="AF327" s="80" t="n">
        <x:f>D327*W327</x:f>
        <x:v>2.269271193853888e-7</x:v>
      </x:c>
      <x:c r="AG327" s="80" t="n">
        <x:f>C327*W327</x:f>
        <x:v>5.294966118992492e-7</x:v>
      </x:c>
      <x:c r="AH327" s="80" t="n">
        <x:f>2*'Inputs'!$B$8*'Inputs'!$C$44</x:f>
        <x:v>1250</x:v>
      </x:c>
      <x:c r="AI327" s="81" t="n">
        <x:f>IF(AH327&gt;0,(AE327+AF327)/AH327*365,0)</x:f>
        <x:v>0.000014318117250712985</x:v>
      </x:c>
      <x:c r="AJ327" s="81" t="n">
        <x:f>IF('Inputs'!$B$44&gt;0,AG327/('Inputs'!$B$19*'Inputs'!$B$44)*365,0)</x:f>
        <x:v>1.9326626334322596e-8</x:v>
      </x:c>
      <x:c r="AK327" s="81" t="n">
        <x:f>W327/MAX($W$4:W327)-1</x:f>
        <x:v>-0.9999999987176703</x:v>
      </x:c>
      <x:c r="AL327" s="83" t="n">
        <x:f>'Inputs'!$B$44</x:f>
        <x:v>1</x:v>
      </x:c>
      <x:c r="AM327" s="83" t="n">
        <x:f>'Inputs'!$C$44</x:f>
        <x:v>0.25</x:v>
      </x:c>
      <x:c r="AN327" s="83" t="n">
        <x:f>'Inputs'!$D$44</x:f>
        <x:v>0.2</x:v>
      </x:c>
      <x:c r="AO327" s="81" t="n">
        <x:f>'Inputs'!$E$44</x:f>
        <x:v>-0.2</x:v>
      </x:c>
    </x:row>
    <x:row r="328">
      <x:c r="A328" s="59" t="str">
        <x:v>No demand</x:v>
      </x:c>
      <x:c r="B328" s="59" t="n">
        <x:v>325</x:v>
      </x:c>
      <x:c r="C328" s="78" t="n">
        <x:f>(('Inputs'!$B$29*(3*325*'Inputs'!$B$12-325^2)/(2*'Inputs'!$B$12^2))-('Inputs'!$B$29*(3*324*'Inputs'!$B$12-324^2)/(2*'Inputs'!$B$12^2)))*'Inputs'!$B$44</x:f>
        <x:v>606488.7877650559</x:v>
      </x:c>
      <x:c r="D328" s="78" t="n">
        <x:f>IF('Inputs'!$C$44&gt;0,('Inputs'!$B$30*(3*325*'Inputs'!$B$12-325^2)/(2*'Inputs'!$B$12^2))-('Inputs'!$B$30*(3*324*'Inputs'!$B$12-324^2)/(2*'Inputs'!$B$12^2)),0)</x:f>
        <x:v>259923.76618503034</x:v>
      </x:c>
      <x:c r="E328" s="78" t="n">
        <x:f>C328+D328</x:f>
        <x:v>866412.5539500862</x:v>
      </x:c>
      <x:c r="F328" s="78" t="n">
        <x:f>'Inputs'!$B$13*E328+(1-'Inputs'!$B$13)/'Inputs'!$B$14*SUM(E273:E328)</x:f>
        <x:v>876630.2308125359</x:v>
      </x:c>
      <x:c r="G328" s="78" t="n">
        <x:f>F328*'Inputs'!$F$44</x:f>
        <x:v>788967.2077312823</x:v>
      </x:c>
      <x:c r="H328" s="78" t="n">
        <x:f>U327</x:f>
        <x:v>116527748753.37746</x:v>
      </x:c>
      <x:c r="I328" s="78" t="n">
        <x:f>V327</x:f>
        <x:v>0.10168034812307597</x:v>
      </x:c>
      <x:c r="J328" s="79" t="n">
        <x:f>IF(H328&gt;0,I328/H328,0)</x:f>
        <x:v>8.725848496247453e-13</x:v>
      </x:c>
      <x:c r="K328" s="80" t="n">
        <x:f>(H328*J328+I328)*'Inputs'!$D$44*(1+'Inputs'!$G$44)^(B328/30)</x:f>
        <x:v>0.04067213924923039</x:v>
      </x:c>
      <x:c r="L328" s="80" t="n">
        <x:f>MAX(0,K328*'Inputs'!$E$44)</x:f>
        <x:v>0</x:v>
      </x:c>
      <x:c r="M328" s="80" t="n">
        <x:f>MAX(0,-K328*'Inputs'!$E$44)</x:f>
        <x:v>0.008134427849846079</x:v>
      </x:c>
      <x:c r="N328" s="78" t="n">
        <x:f>H328*(L328*(1-'Inputs'!$B$15))/(I328+L328*(1-'Inputs'!$B$15))</x:f>
        <x:v>0</x:v>
      </x:c>
      <x:c r="O328" s="78" t="n">
        <x:f>H328-N328</x:f>
        <x:v>116527748753.37746</x:v>
      </x:c>
      <x:c r="P328" s="78" t="n">
        <x:f>I328+L328*(1-'Inputs'!$B$17)</x:f>
        <x:v>0.10168034812307597</x:v>
      </x:c>
      <x:c r="Q328" s="78" t="n">
        <x:f>IF(J328&gt;0,M328/J328,0)</x:f>
        <x:v>0</x:v>
      </x:c>
      <x:c r="R328" s="78" t="n">
        <x:f>IF(B328='Inputs'!$H$44,'Inputs'!$B$27*'Inputs'!$I$44,0)</x:f>
        <x:v>0</x:v>
      </x:c>
      <x:c r="S328" s="78" t="n">
        <x:f>Q328+G328+R328</x:f>
        <x:v>788967.2077312823</x:v>
      </x:c>
      <x:c r="T328" s="78" t="n">
        <x:f>P328*(S328*(1-'Inputs'!$B$15))/(O328+S328*(1-'Inputs'!$B$15))</x:f>
        <x:v>6.81551855598379e-7</x:v>
      </x:c>
      <x:c r="U328" s="78" t="n">
        <x:f>O328+S328*(1-'Inputs'!$B$17)</x:f>
        <x:v>116528534545.66684</x:v>
      </x:c>
      <x:c r="V328" s="78" t="n">
        <x:f>P328-T328</x:f>
        <x:v>0.10167966657122036</x:v>
      </x:c>
      <x:c r="W328" s="79" t="n">
        <x:f>IF(U328&gt;0,V328/U328,0)</x:f>
        <x:v>8.725731166847611e-13</x:v>
      </x:c>
      <x:c r="X328" s="80" t="n">
        <x:f>W328*('Inputs'!$B$6-AC328)</x:f>
        <x:v>-0.0003580572632478324</x:v>
      </x:c>
      <x:c r="Y328" s="80" t="n">
        <x:f>2*V328</x:f>
        <x:v>0.20335933314244073</x:v>
      </x:c>
      <x:c r="Z328" s="80" t="n">
        <x:f>K328*'Inputs'!$B$16+(G328+R328)*J328*'Inputs'!$B$16</x:f>
        <x:v>0.00024403696614037624</x:v>
      </x:c>
      <x:c r="AA328" s="80" t="n">
        <x:f>K328*(1+'Inputs'!$E$44)/2*'Inputs'!$B$17</x:f>
        <x:v>0.00006546823219192015</x:v>
      </x:c>
      <x:c r="AB328" s="78" t="n">
        <x:f>(IF(J328&gt;0,K328*(1-'Inputs'!$E$44)/2/J328,0)+G328+R328)*'Inputs'!$B$17</x:f>
        <x:v>3174.9183409709553</x:v>
      </x:c>
      <x:c r="AC328" s="78" t="n">
        <x:f>AC327+AB328</x:f>
        <x:v>1410346429.8879948</x:v>
      </x:c>
      <x:c r="AD328" s="80" t="n">
        <x:f>Z328/(1+'Inputs'!$C$44)</x:f>
        <x:v>0.00019522957291230098</x:v>
      </x:c>
      <x:c r="AE328" s="80" t="n">
        <x:f>Z328-AD328</x:f>
        <x:v>0.00004880739322807526</x:v>
      </x:c>
      <x:c r="AF328" s="80" t="n">
        <x:f>D328*W328</x:f>
        <x:v>2.2680249076051306e-7</x:v>
      </x:c>
      <x:c r="AG328" s="80" t="n">
        <x:f>C328*W328</x:f>
        <x:v>5.292058117745175e-7</x:v>
      </x:c>
      <x:c r="AH328" s="80" t="n">
        <x:f>2*'Inputs'!$B$8*'Inputs'!$C$44</x:f>
        <x:v>1250</x:v>
      </x:c>
      <x:c r="AI328" s="81" t="n">
        <x:f>IF(AH328&gt;0,(AE328+AF328)/AH328*365,0)</x:f>
        <x:v>0.000014317985149900044</x:v>
      </x:c>
      <x:c r="AJ328" s="81" t="n">
        <x:f>IF('Inputs'!$B$44&gt;0,AG328/('Inputs'!$B$19*'Inputs'!$B$44)*365,0)</x:f>
        <x:v>1.9316012129769887e-8</x:v>
      </x:c>
      <x:c r="AK328" s="81" t="n">
        <x:f>W328/MAX($W$4:W328)-1</x:f>
        <x:v>-0.9999999987176875</x:v>
      </x:c>
      <x:c r="AL328" s="83" t="n">
        <x:f>'Inputs'!$B$44</x:f>
        <x:v>1</x:v>
      </x:c>
      <x:c r="AM328" s="83" t="n">
        <x:f>'Inputs'!$C$44</x:f>
        <x:v>0.25</x:v>
      </x:c>
      <x:c r="AN328" s="83" t="n">
        <x:f>'Inputs'!$D$44</x:f>
        <x:v>0.2</x:v>
      </x:c>
      <x:c r="AO328" s="81" t="n">
        <x:f>'Inputs'!$E$44</x:f>
        <x:v>-0.2</x:v>
      </x:c>
    </x:row>
    <x:row r="329">
      <x:c r="A329" s="59" t="str">
        <x:v>No demand</x:v>
      </x:c>
      <x:c r="B329" s="59" t="n">
        <x:v>326</x:v>
      </x:c>
      <x:c r="C329" s="78" t="n">
        <x:f>(('Inputs'!$B$29*(3*326*'Inputs'!$B$12-326^2)/(2*'Inputs'!$B$12^2))-('Inputs'!$B$29*(3*325*'Inputs'!$B$12-325^2)/(2*'Inputs'!$B$12^2)))*'Inputs'!$B$44</x:f>
        <x:v>606163.6798648834</x:v>
      </x:c>
      <x:c r="D329" s="78" t="n">
        <x:f>IF('Inputs'!$C$44&gt;0,('Inputs'!$B$30*(3*326*'Inputs'!$B$12-326^2)/(2*'Inputs'!$B$12^2))-('Inputs'!$B$30*(3*325*'Inputs'!$B$12-325^2)/(2*'Inputs'!$B$12^2)),0)</x:f>
        <x:v>259784.4342278093</x:v>
      </x:c>
      <x:c r="E329" s="78" t="n">
        <x:f>C329+D329</x:f>
        <x:v>865948.1140926927</x:v>
      </x:c>
      <x:c r="F329" s="78" t="n">
        <x:f>'Inputs'!$B$13*E329+(1-'Inputs'!$B$13)/'Inputs'!$B$14*SUM(E274:E329)</x:f>
        <x:v>876165.7909551496</x:v>
      </x:c>
      <x:c r="G329" s="78" t="n">
        <x:f>F329*'Inputs'!$F$44</x:f>
        <x:v>788549.2118596346</x:v>
      </x:c>
      <x:c r="H329" s="78" t="n">
        <x:f>U328</x:f>
        <x:v>116528534545.66684</x:v>
      </x:c>
      <x:c r="I329" s="78" t="n">
        <x:f>V328</x:f>
        <x:v>0.10167966657122036</x:v>
      </x:c>
      <x:c r="J329" s="79" t="n">
        <x:f>IF(H329&gt;0,I329/H329,0)</x:f>
        <x:v>8.725731166847611e-13</x:v>
      </x:c>
      <x:c r="K329" s="80" t="n">
        <x:f>(H329*J329+I329)*'Inputs'!$D$44*(1+'Inputs'!$G$44)^(B329/30)</x:f>
        <x:v>0.04067186662848815</x:v>
      </x:c>
      <x:c r="L329" s="80" t="n">
        <x:f>MAX(0,K329*'Inputs'!$E$44)</x:f>
        <x:v>0</x:v>
      </x:c>
      <x:c r="M329" s="80" t="n">
        <x:f>MAX(0,-K329*'Inputs'!$E$44)</x:f>
        <x:v>0.00813437332569763</x:v>
      </x:c>
      <x:c r="N329" s="78" t="n">
        <x:f>H329*(L329*(1-'Inputs'!$B$15))/(I329+L329*(1-'Inputs'!$B$15))</x:f>
        <x:v>0</x:v>
      </x:c>
      <x:c r="O329" s="78" t="n">
        <x:f>H329-N329</x:f>
        <x:v>116528534545.66684</x:v>
      </x:c>
      <x:c r="P329" s="78" t="n">
        <x:f>I329+L329*(1-'Inputs'!$B$17)</x:f>
        <x:v>0.10167966657122036</x:v>
      </x:c>
      <x:c r="Q329" s="78" t="n">
        <x:f>IF(J329&gt;0,M329/J329,0)</x:f>
        <x:v>0</x:v>
      </x:c>
      <x:c r="R329" s="78" t="n">
        <x:f>IF(B329='Inputs'!$H$44,'Inputs'!$B$27*'Inputs'!$I$44,0)</x:f>
        <x:v>0</x:v>
      </x:c>
      <x:c r="S329" s="78" t="n">
        <x:f>Q329+G329+R329</x:f>
        <x:v>788549.2118596346</x:v>
      </x:c>
      <x:c r="T329" s="78" t="n">
        <x:f>P329*(S329*(1-'Inputs'!$B$15))/(O329+S329*(1-'Inputs'!$B$15))</x:f>
        <x:v>6.81181611553171e-7</x:v>
      </x:c>
      <x:c r="U329" s="78" t="n">
        <x:f>O329+S329*(1-'Inputs'!$B$17)</x:f>
        <x:v>116529319921.64244</x:v>
      </x:c>
      <x:c r="V329" s="78" t="n">
        <x:f>P329-T329</x:f>
        <x:v>0.10167898538960882</x:v>
      </x:c>
      <x:c r="W329" s="79" t="n">
        <x:f>IF(U329&gt;0,V329/U329,0)</x:f>
        <x:v>8.725613901975966e-13</x:v>
      </x:c>
      <x:c r="X329" s="80" t="n">
        <x:f>W329*('Inputs'!$B$6-AC329)</x:f>
        <x:v>-0.0003580552201691361</x:v>
      </x:c>
      <x:c r="Y329" s="80" t="n">
        <x:f>2*V329</x:f>
        <x:v>0.20335797077921763</x:v>
      </x:c>
      <x:c r="Z329" s="80" t="n">
        <x:f>K329*'Inputs'!$B$16+(G329+R329)*J329*'Inputs'!$B$16</x:f>
        <x:v>0.00024403532817198961</x:v>
      </x:c>
      <x:c r="AA329" s="80" t="n">
        <x:f>K329*(1+'Inputs'!$E$44)/2*'Inputs'!$B$17</x:f>
        <x:v>0.0000654677933657757</x:v>
      </x:c>
      <x:c r="AB329" s="78" t="n">
        <x:f>(IF(J329&gt;0,K329*(1-'Inputs'!$E$44)/2/J329,0)+G329+R329)*'Inputs'!$B$17</x:f>
        <x:v>3173.236265028711</x:v>
      </x:c>
      <x:c r="AC329" s="78" t="n">
        <x:f>AC328+AB329</x:f>
        <x:v>1410349603.1242597</x:v>
      </x:c>
      <x:c r="AD329" s="80" t="n">
        <x:f>Z329/(1+'Inputs'!$C$44)</x:f>
        <x:v>0.0001952282625375917</x:v>
      </x:c>
      <x:c r="AE329" s="80" t="n">
        <x:f>Z329-AD329</x:f>
        <x:v>0.00004880706563439792</x:v>
      </x:c>
      <x:c r="AF329" s="80" t="n">
        <x:f>D329*W329</x:f>
        <x:v>2.2667786708151338e-7</x:v>
      </x:c>
      <x:c r="AG329" s="80" t="n">
        <x:f>C329*W329</x:f>
        <x:v>5.289150231901935e-7</x:v>
      </x:c>
      <x:c r="AH329" s="80" t="n">
        <x:f>2*'Inputs'!$B$8*'Inputs'!$C$44</x:f>
        <x:v>1250</x:v>
      </x:c>
      <x:c r="AI329" s="81" t="n">
        <x:f>IF(AH329&gt;0,(AE329+AF329)/AH329*365,0)</x:f>
        <x:v>0.000014317853102431995</x:v>
      </x:c>
      <x:c r="AJ329" s="81" t="n">
        <x:f>IF('Inputs'!$B$44&gt;0,AG329/('Inputs'!$B$19*'Inputs'!$B$44)*365,0)</x:f>
        <x:v>1.9305398346442065e-8</x:v>
      </x:c>
      <x:c r="AK329" s="81" t="n">
        <x:f>W329/MAX($W$4:W329)-1</x:f>
        <x:v>-0.9999999987177047</x:v>
      </x:c>
      <x:c r="AL329" s="83" t="n">
        <x:f>'Inputs'!$B$44</x:f>
        <x:v>1</x:v>
      </x:c>
      <x:c r="AM329" s="83" t="n">
        <x:f>'Inputs'!$C$44</x:f>
        <x:v>0.25</x:v>
      </x:c>
      <x:c r="AN329" s="83" t="n">
        <x:f>'Inputs'!$D$44</x:f>
        <x:v>0.2</x:v>
      </x:c>
      <x:c r="AO329" s="81" t="n">
        <x:f>'Inputs'!$E$44</x:f>
        <x:v>-0.2</x:v>
      </x:c>
    </x:row>
    <x:row r="330">
      <x:c r="A330" s="59" t="str">
        <x:v>No demand</x:v>
      </x:c>
      <x:c r="B330" s="59" t="n">
        <x:v>327</x:v>
      </x:c>
      <x:c r="C330" s="78" t="n">
        <x:f>(('Inputs'!$B$29*(3*327*'Inputs'!$B$12-327^2)/(2*'Inputs'!$B$12^2))-('Inputs'!$B$29*(3*326*'Inputs'!$B$12-326^2)/(2*'Inputs'!$B$12^2)))*'Inputs'!$B$44</x:f>
        <x:v>605838.5719647408</x:v>
      </x:c>
      <x:c r="D330" s="78" t="n">
        <x:f>IF('Inputs'!$C$44&gt;0,('Inputs'!$B$30*(3*327*'Inputs'!$B$12-327^2)/(2*'Inputs'!$B$12^2))-('Inputs'!$B$30*(3*326*'Inputs'!$B$12-326^2)/(2*'Inputs'!$B$12^2)),0)</x:f>
        <x:v>259645.10227058828</x:v>
      </x:c>
      <x:c r="E330" s="78" t="n">
        <x:f>C330+D330</x:f>
        <x:v>865483.674235329</x:v>
      </x:c>
      <x:c r="F330" s="78" t="n">
        <x:f>'Inputs'!$B$13*E330+(1-'Inputs'!$B$13)/'Inputs'!$B$14*SUM(E275:E330)</x:f>
        <x:v>875701.3510977698</x:v>
      </x:c>
      <x:c r="G330" s="78" t="n">
        <x:f>F330*'Inputs'!$F$44</x:f>
        <x:v>788131.2159879928</x:v>
      </x:c>
      <x:c r="H330" s="78" t="n">
        <x:f>U329</x:f>
        <x:v>116529319921.64244</x:v>
      </x:c>
      <x:c r="I330" s="78" t="n">
        <x:f>V329</x:f>
        <x:v>0.10167898538960882</x:v>
      </x:c>
      <x:c r="J330" s="79" t="n">
        <x:f>IF(H330&gt;0,I330/H330,0)</x:f>
        <x:v>8.725613901975966e-13</x:v>
      </x:c>
      <x:c r="K330" s="80" t="n">
        <x:f>(H330*J330+I330)*'Inputs'!$D$44*(1+'Inputs'!$G$44)^(B330/30)</x:f>
        <x:v>0.04067159415584353</x:v>
      </x:c>
      <x:c r="L330" s="80" t="n">
        <x:f>MAX(0,K330*'Inputs'!$E$44)</x:f>
        <x:v>0</x:v>
      </x:c>
      <x:c r="M330" s="80" t="n">
        <x:f>MAX(0,-K330*'Inputs'!$E$44)</x:f>
        <x:v>0.008134318831168707</x:v>
      </x:c>
      <x:c r="N330" s="78" t="n">
        <x:f>H330*(L330*(1-'Inputs'!$B$15))/(I330+L330*(1-'Inputs'!$B$15))</x:f>
        <x:v>0</x:v>
      </x:c>
      <x:c r="O330" s="78" t="n">
        <x:f>H330-N330</x:f>
        <x:v>116529319921.64244</x:v>
      </x:c>
      <x:c r="P330" s="78" t="n">
        <x:f>I330+L330*(1-'Inputs'!$B$17)</x:f>
        <x:v>0.10167898538960882</x:v>
      </x:c>
      <x:c r="Q330" s="78" t="n">
        <x:f>IF(J330&gt;0,M330/J330,0)</x:f>
        <x:v>0</x:v>
      </x:c>
      <x:c r="R330" s="78" t="n">
        <x:f>IF(B330='Inputs'!$H$44,'Inputs'!$B$27*'Inputs'!$I$44,0)</x:f>
        <x:v>0</x:v>
      </x:c>
      <x:c r="S330" s="78" t="n">
        <x:f>Q330+G330+R330</x:f>
        <x:v>788131.2159879928</x:v>
      </x:c>
      <x:c r="T330" s="78" t="n">
        <x:f>P330*(S330*(1-'Inputs'!$B$15))/(O330+S330*(1-'Inputs'!$B$15))</x:f>
        <x:v>6.808113822505234e-7</x:v>
      </x:c>
      <x:c r="U330" s="78" t="n">
        <x:f>O330+S330*(1-'Inputs'!$B$17)</x:f>
        <x:v>116530104881.30424</x:v>
      </x:c>
      <x:c r="V330" s="78" t="n">
        <x:f>P330-T330</x:f>
        <x:v>0.10167830457822656</x:v>
      </x:c>
      <x:c r="W330" s="79" t="n">
        <x:f>IF(U330&gt;0,V330/U330,0)</x:f>
        <x:v>8.725496701628691e-13</x:v>
      </x:c>
      <x:c r="X330" s="80" t="n">
        <x:f>W330*('Inputs'!$B$6-AC330)</x:f>
        <x:v>-0.0003580531781960987</x:v>
      </x:c>
      <x:c r="Y330" s="80" t="n">
        <x:f>2*V330</x:f>
        <x:v>0.20335660915645312</x:v>
      </x:c>
      <x:c r="Z330" s="80" t="n">
        <x:f>K330*'Inputs'!$B$16+(G330+R330)*J330*'Inputs'!$B$16</x:f>
        <x:v>0.00024403369109227805</x:v>
      </x:c>
      <x:c r="AA330" s="80" t="n">
        <x:f>K330*(1+'Inputs'!$E$44)/2*'Inputs'!$B$17</x:f>
        <x:v>0.00006546735477801777</x:v>
      </x:c>
      <x:c r="AB330" s="78" t="n">
        <x:f>(IF(J330&gt;0,K330*(1-'Inputs'!$E$44)/2/J330,0)+G330+R330)*'Inputs'!$B$17</x:f>
        <x:v>3171.5541890864906</x:v>
      </x:c>
      <x:c r="AC330" s="78" t="n">
        <x:f>AC329+AB330</x:f>
        <x:v>1410352774.678449</x:v>
      </x:c>
      <x:c r="AD330" s="80" t="n">
        <x:f>Z330/(1+'Inputs'!$C$44)</x:f>
        <x:v>0.00019522695287382244</x:v>
      </x:c>
      <x:c r="AE330" s="80" t="n">
        <x:f>Z330-AD330</x:f>
        <x:v>0.00004880673821845561</x:v>
      </x:c>
      <x:c r="AF330" s="80" t="n">
        <x:f>D330*W330</x:f>
        <x:v>2.265532483456062e-7</x:v>
      </x:c>
      <x:c r="AG330" s="80" t="n">
        <x:f>C330*W330</x:f>
        <x:v>5.286242461397782e-7</x:v>
      </x:c>
      <x:c r="AH330" s="80" t="n">
        <x:f>2*'Inputs'!$B$8*'Inputs'!$C$44</x:f>
        <x:v>1250</x:v>
      </x:c>
      <x:c r="AI330" s="81" t="n">
        <x:f>IF(AH330&gt;0,(AE330+AF330)/AH330*365,0)</x:f>
        <x:v>0.000014317721108305957</x:v>
      </x:c>
      <x:c r="AJ330" s="81" t="n">
        <x:f>IF('Inputs'!$B$44&gt;0,AG330/('Inputs'!$B$19*'Inputs'!$B$44)*365,0)</x:f>
        <x:v>1.9294784984101902e-8</x:v>
      </x:c>
      <x:c r="AK330" s="81" t="n">
        <x:f>W330/MAX($W$4:W330)-1</x:f>
        <x:v>-0.9999999987177219</x:v>
      </x:c>
      <x:c r="AL330" s="83" t="n">
        <x:f>'Inputs'!$B$44</x:f>
        <x:v>1</x:v>
      </x:c>
      <x:c r="AM330" s="83" t="n">
        <x:f>'Inputs'!$C$44</x:f>
        <x:v>0.25</x:v>
      </x:c>
      <x:c r="AN330" s="83" t="n">
        <x:f>'Inputs'!$D$44</x:f>
        <x:v>0.2</x:v>
      </x:c>
      <x:c r="AO330" s="81" t="n">
        <x:f>'Inputs'!$E$44</x:f>
        <x:v>-0.2</x:v>
      </x:c>
    </x:row>
    <x:row r="331">
      <x:c r="A331" s="59" t="str">
        <x:v>No demand</x:v>
      </x:c>
      <x:c r="B331" s="59" t="n">
        <x:v>328</x:v>
      </x:c>
      <x:c r="C331" s="78" t="n">
        <x:f>(('Inputs'!$B$29*(3*328*'Inputs'!$B$12-328^2)/(2*'Inputs'!$B$12^2))-('Inputs'!$B$29*(3*327*'Inputs'!$B$12-327^2)/(2*'Inputs'!$B$12^2)))*'Inputs'!$B$44</x:f>
        <x:v>605513.4640645385</x:v>
      </x:c>
      <x:c r="D331" s="78" t="n">
        <x:f>IF('Inputs'!$C$44&gt;0,('Inputs'!$B$30*(3*328*'Inputs'!$B$12-328^2)/(2*'Inputs'!$B$12^2))-('Inputs'!$B$30*(3*327*'Inputs'!$B$12-327^2)/(2*'Inputs'!$B$12^2)),0)</x:f>
        <x:v>259505.77031338215</x:v>
      </x:c>
      <x:c r="E331" s="78" t="n">
        <x:f>C331+D331</x:f>
        <x:v>865019.2343779206</x:v>
      </x:c>
      <x:c r="F331" s="78" t="n">
        <x:f>'Inputs'!$B$13*E331+(1-'Inputs'!$B$13)/'Inputs'!$B$14*SUM(E276:E331)</x:f>
        <x:v>875236.9112403806</x:v>
      </x:c>
      <x:c r="G331" s="78" t="n">
        <x:f>F331*'Inputs'!$F$44</x:f>
        <x:v>787713.2201163425</x:v>
      </x:c>
      <x:c r="H331" s="78" t="n">
        <x:f>U330</x:f>
        <x:v>116530104881.30424</x:v>
      </x:c>
      <x:c r="I331" s="78" t="n">
        <x:f>V330</x:f>
        <x:v>0.10167830457822656</x:v>
      </x:c>
      <x:c r="J331" s="79" t="n">
        <x:f>IF(H331&gt;0,I331/H331,0)</x:f>
        <x:v>8.725496701628691e-13</x:v>
      </x:c>
      <x:c r="K331" s="80" t="n">
        <x:f>(H331*J331+I331)*'Inputs'!$D$44*(1+'Inputs'!$G$44)^(B331/30)</x:f>
        <x:v>0.04067132183129063</x:v>
      </x:c>
      <x:c r="L331" s="80" t="n">
        <x:f>MAX(0,K331*'Inputs'!$E$44)</x:f>
        <x:v>0</x:v>
      </x:c>
      <x:c r="M331" s="80" t="n">
        <x:f>MAX(0,-K331*'Inputs'!$E$44)</x:f>
        <x:v>0.008134264366258127</x:v>
      </x:c>
      <x:c r="N331" s="78" t="n">
        <x:f>H331*(L331*(1-'Inputs'!$B$15))/(I331+L331*(1-'Inputs'!$B$15))</x:f>
        <x:v>0</x:v>
      </x:c>
      <x:c r="O331" s="78" t="n">
        <x:f>H331-N331</x:f>
        <x:v>116530104881.30424</x:v>
      </x:c>
      <x:c r="P331" s="78" t="n">
        <x:f>I331+L331*(1-'Inputs'!$B$17)</x:f>
        <x:v>0.10167830457822656</x:v>
      </x:c>
      <x:c r="Q331" s="78" t="n">
        <x:f>IF(J331&gt;0,M331/J331,0)</x:f>
        <x:v>0</x:v>
      </x:c>
      <x:c r="R331" s="78" t="n">
        <x:f>IF(B331='Inputs'!$H$44,'Inputs'!$B$27*'Inputs'!$I$44,0)</x:f>
        <x:v>0</x:v>
      </x:c>
      <x:c r="S331" s="78" t="n">
        <x:f>Q331+G331+R331</x:f>
        <x:v>787713.2201163425</x:v>
      </x:c>
      <x:c r="T331" s="78" t="n">
        <x:f>P331*(S331*(1-'Inputs'!$B$15))/(O331+S331*(1-'Inputs'!$B$15))</x:f>
        <x:v>6.804411676821149e-7</x:v>
      </x:c>
      <x:c r="U331" s="78" t="n">
        <x:f>O331+S331*(1-'Inputs'!$B$17)</x:f>
        <x:v>116530889424.65225</x:v>
      </x:c>
      <x:c r="V331" s="78" t="n">
        <x:f>P331-T331</x:f>
        <x:v>0.10167762413705887</x:v>
      </x:c>
      <x:c r="W331" s="79" t="n">
        <x:f>IF(U331&gt;0,V331/U331,0)</x:f>
        <x:v>8.725379565801962e-13</x:v>
      </x:c>
      <x:c r="X331" s="80" t="n">
        <x:f>W331*('Inputs'!$B$6-AC331)</x:f>
        <x:v>-0.00035805113732868376</x:v>
      </x:c>
      <x:c r="Y331" s="80" t="n">
        <x:f>2*V331</x:f>
        <x:v>0.20335524827411774</x:v>
      </x:c>
      <x:c r="Z331" s="80" t="n">
        <x:f>K331*'Inputs'!$B$16+(G331+R331)*J331*'Inputs'!$B$16</x:f>
        <x:v>0.00024403205490120615</x:v>
      </x:c>
      <x:c r="AA331" s="80" t="n">
        <x:f>K331*(1+'Inputs'!$E$44)/2*'Inputs'!$B$17</x:f>
        <x:v>0.00006546691642863683</x:v>
      </x:c>
      <x:c r="AB331" s="78" t="n">
        <x:f>(IF(J331&gt;0,K331*(1-'Inputs'!$E$44)/2/J331,0)+G331+R331)*'Inputs'!$B$17</x:f>
        <x:v>3169.8721131442358</x:v>
      </x:c>
      <x:c r="AC331" s="78" t="n">
        <x:f>AC330+AB331</x:f>
        <x:v>1410355944.5505621</x:v>
      </x:c>
      <x:c r="AD331" s="80" t="n">
        <x:f>Z331/(1+'Inputs'!$C$44)</x:f>
        <x:v>0.00019522564392096493</x:v>
      </x:c>
      <x:c r="AE331" s="80" t="n">
        <x:f>Z331-AD331</x:f>
        <x:v>0.00004880641098024122</x:v>
      </x:c>
      <x:c r="AF331" s="80" t="n">
        <x:f>D331*W331</x:f>
        <x:v>2.264286345500082e-7</x:v>
      </x:c>
      <x:c r="AG331" s="80" t="n">
        <x:f>C331*W331</x:f>
        <x:v>5.283334806166685e-7</x:v>
      </x:c>
      <x:c r="AH331" s="80" t="n">
        <x:f>2*'Inputs'!$B$8*'Inputs'!$C$44</x:f>
        <x:v>1250</x:v>
      </x:c>
      <x:c r="AI331" s="81" t="n">
        <x:f>IF(AH331&gt;0,(AE331+AF331)/AH331*365,0)</x:f>
        <x:v>0.000014317589167519037</x:v>
      </x:c>
      <x:c r="AJ331" s="81" t="n">
        <x:f>IF('Inputs'!$B$44&gt;0,AG331/('Inputs'!$B$19*'Inputs'!$B$44)*365,0)</x:f>
        <x:v>1.92841720425084e-8</x:v>
      </x:c>
      <x:c r="AK331" s="81" t="n">
        <x:f>W331/MAX($W$4:W331)-1</x:f>
        <x:v>-0.9999999987177391</x:v>
      </x:c>
      <x:c r="AL331" s="83" t="n">
        <x:f>'Inputs'!$B$44</x:f>
        <x:v>1</x:v>
      </x:c>
      <x:c r="AM331" s="83" t="n">
        <x:f>'Inputs'!$C$44</x:f>
        <x:v>0.25</x:v>
      </x:c>
      <x:c r="AN331" s="83" t="n">
        <x:f>'Inputs'!$D$44</x:f>
        <x:v>0.2</x:v>
      </x:c>
      <x:c r="AO331" s="81" t="n">
        <x:f>'Inputs'!$E$44</x:f>
        <x:v>-0.2</x:v>
      </x:c>
    </x:row>
    <x:row r="332">
      <x:c r="A332" s="59" t="str">
        <x:v>No demand</x:v>
      </x:c>
      <x:c r="B332" s="59" t="n">
        <x:v>329</x:v>
      </x:c>
      <x:c r="C332" s="78" t="n">
        <x:f>(('Inputs'!$B$29*(3*329*'Inputs'!$B$12-329^2)/(2*'Inputs'!$B$12^2))-('Inputs'!$B$29*(3*328*'Inputs'!$B$12-328^2)/(2*'Inputs'!$B$12^2)))*'Inputs'!$B$44</x:f>
        <x:v>605188.3561643958</x:v>
      </x:c>
      <x:c r="D332" s="78" t="n">
        <x:f>IF('Inputs'!$C$44&gt;0,('Inputs'!$B$30*(3*329*'Inputs'!$B$12-329^2)/(2*'Inputs'!$B$12^2))-('Inputs'!$B$30*(3*328*'Inputs'!$B$12-328^2)/(2*'Inputs'!$B$12^2)),0)</x:f>
        <x:v>259366.43835616112</x:v>
      </x:c>
      <x:c r="E332" s="78" t="n">
        <x:f>C332+D332</x:f>
        <x:v>864554.7945205569</x:v>
      </x:c>
      <x:c r="F332" s="78" t="n">
        <x:f>'Inputs'!$B$13*E332+(1-'Inputs'!$B$13)/'Inputs'!$B$14*SUM(E277:E332)</x:f>
        <x:v>874772.4713830006</x:v>
      </x:c>
      <x:c r="G332" s="78" t="n">
        <x:f>F332*'Inputs'!$F$44</x:f>
        <x:v>787295.2242447005</x:v>
      </x:c>
      <x:c r="H332" s="78" t="n">
        <x:f>U331</x:f>
        <x:v>116530889424.65225</x:v>
      </x:c>
      <x:c r="I332" s="78" t="n">
        <x:f>V331</x:f>
        <x:v>0.10167762413705887</x:v>
      </x:c>
      <x:c r="J332" s="79" t="n">
        <x:f>IF(H332&gt;0,I332/H332,0)</x:f>
        <x:v>8.725379565801962e-13</x:v>
      </x:c>
      <x:c r="K332" s="80" t="n">
        <x:f>(H332*J332+I332)*'Inputs'!$D$44*(1+'Inputs'!$G$44)^(B332/30)</x:f>
        <x:v>0.04067104965482355</x:v>
      </x:c>
      <x:c r="L332" s="80" t="n">
        <x:f>MAX(0,K332*'Inputs'!$E$44)</x:f>
        <x:v>0</x:v>
      </x:c>
      <x:c r="M332" s="80" t="n">
        <x:f>MAX(0,-K332*'Inputs'!$E$44)</x:f>
        <x:v>0.00813420993096471</x:v>
      </x:c>
      <x:c r="N332" s="78" t="n">
        <x:f>H332*(L332*(1-'Inputs'!$B$15))/(I332+L332*(1-'Inputs'!$B$15))</x:f>
        <x:v>0</x:v>
      </x:c>
      <x:c r="O332" s="78" t="n">
        <x:f>H332-N332</x:f>
        <x:v>116530889424.65225</x:v>
      </x:c>
      <x:c r="P332" s="78" t="n">
        <x:f>I332+L332*(1-'Inputs'!$B$17)</x:f>
        <x:v>0.10167762413705887</x:v>
      </x:c>
      <x:c r="Q332" s="78" t="n">
        <x:f>IF(J332&gt;0,M332/J332,0)</x:f>
        <x:v>0</x:v>
      </x:c>
      <x:c r="R332" s="78" t="n">
        <x:f>IF(B332='Inputs'!$H$44,'Inputs'!$B$27*'Inputs'!$I$44,0)</x:f>
        <x:v>0</x:v>
      </x:c>
      <x:c r="S332" s="78" t="n">
        <x:f>Q332+G332+R332</x:f>
        <x:v>787295.2242447005</x:v>
      </x:c>
      <x:c r="T332" s="78" t="n">
        <x:f>P332*(S332*(1-'Inputs'!$B$15))/(O332+S332*(1-'Inputs'!$B$15))</x:f>
        <x:v>6.800709678396519e-7</x:v>
      </x:c>
      <x:c r="U332" s="78" t="n">
        <x:f>O332+S332*(1-'Inputs'!$B$17)</x:f>
        <x:v>116531673551.68646</x:v>
      </x:c>
      <x:c r="V332" s="78" t="n">
        <x:f>P332-T332</x:f>
        <x:v>0.10167694406609103</x:v>
      </x:c>
      <x:c r="W332" s="79" t="n">
        <x:f>IF(U332&gt;0,V332/U332,0)</x:f>
        <x:v>8.725262494491957e-13</x:v>
      </x:c>
      <x:c r="X332" s="80" t="n">
        <x:f>W332*('Inputs'!$B$6-AC332)</x:f>
        <x:v>-0.00035804909756685486</x:v>
      </x:c>
      <x:c r="Y332" s="80" t="n">
        <x:f>2*V332</x:f>
        <x:v>0.20335388813218205</x:v>
      </x:c>
      <x:c r="Z332" s="80" t="n">
        <x:f>K332*'Inputs'!$B$16+(G332+R332)*J332*'Inputs'!$B$16</x:f>
        <x:v>0.00024403041959873844</x:v>
      </x:c>
      <x:c r="AA332" s="80" t="n">
        <x:f>K332*(1+'Inputs'!$E$44)/2*'Inputs'!$B$17</x:f>
        <x:v>0.00006546647831762342</x:v>
      </x:c>
      <x:c r="AB332" s="78" t="n">
        <x:f>(IF(J332&gt;0,K332*(1-'Inputs'!$E$44)/2/J332,0)+G332+R332)*'Inputs'!$B$17</x:f>
        <x:v>3168.1900372020145</x:v>
      </x:c>
      <x:c r="AC332" s="78" t="n">
        <x:f>AC331+AB332</x:f>
        <x:v>1410359112.7405994</x:v>
      </x:c>
      <x:c r="AD332" s="80" t="n">
        <x:f>Z332/(1+'Inputs'!$C$44)</x:f>
        <x:v>0.00019522433567899076</x:v>
      </x:c>
      <x:c r="AE332" s="80" t="n">
        <x:f>Z332-AD332</x:f>
        <x:v>0.00004880608391974768</x:v>
      </x:c>
      <x:c r="AF332" s="80" t="n">
        <x:f>D332*W332</x:f>
        <x:v>2.2630402569189727e-7</x:v>
      </x:c>
      <x:c r="AG332" s="80" t="n">
        <x:f>C332*W332</x:f>
        <x:v>5.280427266144443e-7</x:v>
      </x:c>
      <x:c r="AH332" s="80" t="n">
        <x:f>2*'Inputs'!$B$8*'Inputs'!$C$44</x:f>
        <x:v>1250</x:v>
      </x:c>
      <x:c r="AI332" s="81" t="n">
        <x:f>IF(AH332&gt;0,(AE332+AF332)/AH332*365,0)</x:f>
        <x:v>0.000014317457280068356</x:v>
      </x:c>
      <x:c r="AJ332" s="81" t="n">
        <x:f>IF('Inputs'!$B$44&gt;0,AG332/('Inputs'!$B$19*'Inputs'!$B$44)*365,0)</x:f>
        <x:v>1.9273559521427215e-8</x:v>
      </x:c>
      <x:c r="AK332" s="81" t="n">
        <x:f>W332/MAX($W$4:W332)-1</x:f>
        <x:v>-0.9999999987177564</x:v>
      </x:c>
      <x:c r="AL332" s="83" t="n">
        <x:f>'Inputs'!$B$44</x:f>
        <x:v>1</x:v>
      </x:c>
      <x:c r="AM332" s="83" t="n">
        <x:f>'Inputs'!$C$44</x:f>
        <x:v>0.25</x:v>
      </x:c>
      <x:c r="AN332" s="83" t="n">
        <x:f>'Inputs'!$D$44</x:f>
        <x:v>0.2</x:v>
      </x:c>
      <x:c r="AO332" s="81" t="n">
        <x:f>'Inputs'!$E$44</x:f>
        <x:v>-0.2</x:v>
      </x:c>
    </x:row>
    <x:row r="333">
      <x:c r="A333" s="59" t="str">
        <x:v>No demand</x:v>
      </x:c>
      <x:c r="B333" s="59" t="n">
        <x:v>330</x:v>
      </x:c>
      <x:c r="C333" s="78" t="n">
        <x:f>(('Inputs'!$B$29*(3*330*'Inputs'!$B$12-330^2)/(2*'Inputs'!$B$12^2))-('Inputs'!$B$29*(3*329*'Inputs'!$B$12-329^2)/(2*'Inputs'!$B$12^2)))*'Inputs'!$B$44</x:f>
        <x:v>604863.2482641935</x:v>
      </x:c>
      <x:c r="D333" s="78" t="n">
        <x:f>IF('Inputs'!$C$44&gt;0,('Inputs'!$B$30*(3*330*'Inputs'!$B$12-330^2)/(2*'Inputs'!$B$12^2))-('Inputs'!$B$30*(3*329*'Inputs'!$B$12-329^2)/(2*'Inputs'!$B$12^2)),0)</x:f>
        <x:v>259227.106398955</x:v>
      </x:c>
      <x:c r="E333" s="78" t="n">
        <x:f>C333+D333</x:f>
        <x:v>864090.3546631485</x:v>
      </x:c>
      <x:c r="F333" s="78" t="n">
        <x:f>'Inputs'!$B$13*E333+(1-'Inputs'!$B$13)/'Inputs'!$B$14*SUM(E278:E333)</x:f>
        <x:v>874308.0315256115</x:v>
      </x:c>
      <x:c r="G333" s="78" t="n">
        <x:f>F333*'Inputs'!$F$44</x:f>
        <x:v>786877.2283730503</x:v>
      </x:c>
      <x:c r="H333" s="78" t="n">
        <x:f>U332</x:f>
        <x:v>116531673551.68646</x:v>
      </x:c>
      <x:c r="I333" s="78" t="n">
        <x:f>V332</x:f>
        <x:v>0.10167694406609103</x:v>
      </x:c>
      <x:c r="J333" s="79" t="n">
        <x:f>IF(H333&gt;0,I333/H333,0)</x:f>
        <x:v>8.725262494491957e-13</x:v>
      </x:c>
      <x:c r="K333" s="80" t="n">
        <x:f>(H333*J333+I333)*'Inputs'!$D$44*(1+'Inputs'!$G$44)^(B333/30)</x:f>
        <x:v>0.040670777626436415</x:v>
      </x:c>
      <x:c r="L333" s="80" t="n">
        <x:f>MAX(0,K333*'Inputs'!$E$44)</x:f>
        <x:v>0</x:v>
      </x:c>
      <x:c r="M333" s="80" t="n">
        <x:f>MAX(0,-K333*'Inputs'!$E$44)</x:f>
        <x:v>0.008134155525287283</x:v>
      </x:c>
      <x:c r="N333" s="78" t="n">
        <x:f>H333*(L333*(1-'Inputs'!$B$15))/(I333+L333*(1-'Inputs'!$B$15))</x:f>
        <x:v>0</x:v>
      </x:c>
      <x:c r="O333" s="78" t="n">
        <x:f>H333-N333</x:f>
        <x:v>116531673551.68646</x:v>
      </x:c>
      <x:c r="P333" s="78" t="n">
        <x:f>I333+L333*(1-'Inputs'!$B$17)</x:f>
        <x:v>0.10167694406609103</x:v>
      </x:c>
      <x:c r="Q333" s="78" t="n">
        <x:f>IF(J333&gt;0,M333/J333,0)</x:f>
        <x:v>0</x:v>
      </x:c>
      <x:c r="R333" s="78" t="n">
        <x:f>IF(B333='Inputs'!$H$44,'Inputs'!$B$27*'Inputs'!$I$44,0)</x:f>
        <x:v>0</x:v>
      </x:c>
      <x:c r="S333" s="78" t="n">
        <x:f>Q333+G333+R333</x:f>
        <x:v>786877.2283730503</x:v>
      </x:c>
      <x:c r="T333" s="78" t="n">
        <x:f>P333*(S333*(1-'Inputs'!$B$15))/(O333+S333*(1-'Inputs'!$B$15))</x:f>
        <x:v>6.797007827148129e-7</x:v>
      </x:c>
      <x:c r="U333" s="78" t="n">
        <x:f>O333+S333*(1-'Inputs'!$B$17)</x:f>
        <x:v>116532457262.40688</x:v>
      </x:c>
      <x:c r="V333" s="78" t="n">
        <x:f>P333-T333</x:f>
        <x:v>0.10167626436530831</x:v>
      </x:c>
      <x:c r="W333" s="79" t="n">
        <x:f>IF(U333&gt;0,V333/U333,0)</x:f>
        <x:v>8.725145487694857e-13</x:v>
      </x:c>
      <x:c r="X333" s="80" t="n">
        <x:f>W333*('Inputs'!$B$6-AC333)</x:f>
        <x:v>-0.0003580470589105756</x:v>
      </x:c>
      <x:c r="Y333" s="80" t="n">
        <x:f>2*V333</x:f>
        <x:v>0.20335252873061663</x:v>
      </x:c>
      <x:c r="Z333" s="80" t="n">
        <x:f>K333*'Inputs'!$B$16+(G333+R333)*J333*'Inputs'!$B$16</x:f>
        <x:v>0.0002440287851848396</x:v>
      </x:c>
      <x:c r="AA333" s="80" t="n">
        <x:f>K333*(1+'Inputs'!$E$44)/2*'Inputs'!$B$17</x:f>
        <x:v>0.00006546604044496808</x:v>
      </x:c>
      <x:c r="AB333" s="78" t="n">
        <x:f>(IF(J333&gt;0,K333*(1-'Inputs'!$E$44)/2/J333,0)+G333+R333)*'Inputs'!$B$17</x:f>
        <x:v>3166.50796125976</x:v>
      </x:c>
      <x:c r="AC333" s="78" t="n">
        <x:f>AC332+AB333</x:f>
        <x:v>1410362279.2485607</x:v>
      </x:c>
      <x:c r="AD333" s="80" t="n">
        <x:f>Z333/(1+'Inputs'!$C$44)</x:f>
        <x:v>0.00019522302814787169</x:v>
      </x:c>
      <x:c r="AE333" s="80" t="n">
        <x:f>Z333-AD333</x:f>
        <x:v>0.00004880575703696791</x:v>
      </x:c>
      <x:c r="AF333" s="80" t="n">
        <x:f>D333*W333</x:f>
        <x:v>2.2617942176850367e-7</x:v>
      </x:c>
      <x:c r="AG333" s="80" t="n">
        <x:f>C333*W333</x:f>
        <x:v>5.277519841264783e-7</x:v>
      </x:c>
      <x:c r="AH333" s="80" t="n">
        <x:f>2*'Inputs'!$B$8*'Inputs'!$C$44</x:f>
        <x:v>1250</x:v>
      </x:c>
      <x:c r="AI333" s="81" t="n">
        <x:f>IF(AH333&gt;0,(AE333+AF333)/AH333*365,0)</x:f>
        <x:v>0.000014317325445951033</x:v>
      </x:c>
      <x:c r="AJ333" s="81" t="n">
        <x:f>IF('Inputs'!$B$44&gt;0,AG333/('Inputs'!$B$19*'Inputs'!$B$44)*365,0)</x:f>
        <x:v>1.9262947420616456e-8</x:v>
      </x:c>
      <x:c r="AK333" s="81" t="n">
        <x:f>W333/MAX($W$4:W333)-1</x:f>
        <x:v>-0.9999999987177736</x:v>
      </x:c>
      <x:c r="AL333" s="83" t="n">
        <x:f>'Inputs'!$B$44</x:f>
        <x:v>1</x:v>
      </x:c>
      <x:c r="AM333" s="83" t="n">
        <x:f>'Inputs'!$C$44</x:f>
        <x:v>0.25</x:v>
      </x:c>
      <x:c r="AN333" s="83" t="n">
        <x:f>'Inputs'!$D$44</x:f>
        <x:v>0.2</x:v>
      </x:c>
      <x:c r="AO333" s="81" t="n">
        <x:f>'Inputs'!$E$44</x:f>
        <x:v>-0.2</x:v>
      </x:c>
    </x:row>
    <x:row r="334">
      <x:c r="A334" s="59" t="str">
        <x:v>No demand</x:v>
      </x:c>
      <x:c r="B334" s="59" t="n">
        <x:v>331</x:v>
      </x:c>
      <x:c r="C334" s="78" t="n">
        <x:f>(('Inputs'!$B$29*(3*331*'Inputs'!$B$12-331^2)/(2*'Inputs'!$B$12^2))-('Inputs'!$B$29*(3*330*'Inputs'!$B$12-330^2)/(2*'Inputs'!$B$12^2)))*'Inputs'!$B$44</x:f>
        <x:v>604538.1403640509</x:v>
      </x:c>
      <x:c r="D334" s="78" t="n">
        <x:f>IF('Inputs'!$C$44&gt;0,('Inputs'!$B$30*(3*331*'Inputs'!$B$12-331^2)/(2*'Inputs'!$B$12^2))-('Inputs'!$B$30*(3*330*'Inputs'!$B$12-330^2)/(2*'Inputs'!$B$12^2)),0)</x:f>
        <x:v>259087.77444173396</x:v>
      </x:c>
      <x:c r="E334" s="78" t="n">
        <x:f>C334+D334</x:f>
        <x:v>863625.9148057848</x:v>
      </x:c>
      <x:c r="F334" s="78" t="n">
        <x:f>'Inputs'!$B$13*E334+(1-'Inputs'!$B$13)/'Inputs'!$B$14*SUM(E279:E334)</x:f>
        <x:v>873843.5916682314</x:v>
      </x:c>
      <x:c r="G334" s="78" t="n">
        <x:f>F334*'Inputs'!$F$44</x:f>
        <x:v>786459.2325014083</x:v>
      </x:c>
      <x:c r="H334" s="78" t="n">
        <x:f>U333</x:f>
        <x:v>116532457262.40688</x:v>
      </x:c>
      <x:c r="I334" s="78" t="n">
        <x:f>V333</x:f>
        <x:v>0.10167626436530831</x:v>
      </x:c>
      <x:c r="J334" s="79" t="n">
        <x:f>IF(H334&gt;0,I334/H334,0)</x:f>
        <x:v>8.725145487694857e-13</x:v>
      </x:c>
      <x:c r="K334" s="80" t="n">
        <x:f>(H334*J334+I334)*'Inputs'!$D$44*(1+'Inputs'!$G$44)^(B334/30)</x:f>
        <x:v>0.040670505746123325</x:v>
      </x:c>
      <x:c r="L334" s="80" t="n">
        <x:f>MAX(0,K334*'Inputs'!$E$44)</x:f>
        <x:v>0</x:v>
      </x:c>
      <x:c r="M334" s="80" t="n">
        <x:f>MAX(0,-K334*'Inputs'!$E$44)</x:f>
        <x:v>0.008134101149224665</x:v>
      </x:c>
      <x:c r="N334" s="78" t="n">
        <x:f>H334*(L334*(1-'Inputs'!$B$15))/(I334+L334*(1-'Inputs'!$B$15))</x:f>
        <x:v>0</x:v>
      </x:c>
      <x:c r="O334" s="78" t="n">
        <x:f>H334-N334</x:f>
        <x:v>116532457262.40688</x:v>
      </x:c>
      <x:c r="P334" s="78" t="n">
        <x:f>I334+L334*(1-'Inputs'!$B$17)</x:f>
        <x:v>0.10167626436530831</x:v>
      </x:c>
      <x:c r="Q334" s="78" t="n">
        <x:f>IF(J334&gt;0,M334/J334,0)</x:f>
        <x:v>0</x:v>
      </x:c>
      <x:c r="R334" s="78" t="n">
        <x:f>IF(B334='Inputs'!$H$44,'Inputs'!$B$27*'Inputs'!$I$44,0)</x:f>
        <x:v>0</x:v>
      </x:c>
      <x:c r="S334" s="78" t="n">
        <x:f>Q334+G334+R334</x:f>
        <x:v>786459.2325014083</x:v>
      </x:c>
      <x:c r="T334" s="78" t="n">
        <x:f>P334*(S334*(1-'Inputs'!$B$15))/(O334+S334*(1-'Inputs'!$B$15))</x:f>
        <x:v>6.793306122993055e-7</x:v>
      </x:c>
      <x:c r="U334" s="78" t="n">
        <x:f>O334+S334*(1-'Inputs'!$B$17)</x:f>
        <x:v>116533240556.81349</x:v>
      </x:c>
      <x:c r="V334" s="78" t="n">
        <x:f>P334-T334</x:f>
        <x:v>0.10167558503469601</x:v>
      </x:c>
      <x:c r="W334" s="79" t="n">
        <x:f>IF(U334&gt;0,V334/U334,0)</x:f>
        <x:v>8.725028545406843e-13</x:v>
      </x:c>
      <x:c r="X334" s="80" t="n">
        <x:f>W334*('Inputs'!$B$6-AC334)</x:f>
        <x:v>-0.0003580450213598096</x:v>
      </x:c>
      <x:c r="Y334" s="80" t="n">
        <x:f>2*V334</x:f>
        <x:v>0.20335117006939202</x:v>
      </x:c>
      <x:c r="Z334" s="80" t="n">
        <x:f>K334*'Inputs'!$B$16+(G334+R334)*J334*'Inputs'!$B$16</x:f>
        <x:v>0.0002440271516594742</x:v>
      </x:c>
      <x:c r="AA334" s="80" t="n">
        <x:f>K334*(1+'Inputs'!$E$44)/2*'Inputs'!$B$17</x:f>
        <x:v>0.00006546560281066129</x:v>
      </x:c>
      <x:c r="AB334" s="78" t="n">
        <x:f>(IF(J334&gt;0,K334*(1-'Inputs'!$E$44)/2/J334,0)+G334+R334)*'Inputs'!$B$17</x:f>
        <x:v>3164.825885317539</x:v>
      </x:c>
      <x:c r="AC334" s="78" t="n">
        <x:f>AC333+AB334</x:f>
        <x:v>1410365444.074446</x:v>
      </x:c>
      <x:c r="AD334" s="80" t="n">
        <x:f>Z334/(1+'Inputs'!$C$44)</x:f>
        <x:v>0.00019522172132757935</x:v>
      </x:c>
      <x:c r="AE334" s="80" t="n">
        <x:f>Z334-AD334</x:f>
        <x:v>0.00004880543033189484</x:v>
      </x:c>
      <x:c r="AF334" s="80" t="n">
        <x:f>D334*W334</x:f>
        <x:v>2.260548227770058e-7</x:v>
      </x:c>
      <x:c r="AG334" s="80" t="n">
        <x:f>C334*W334</x:f>
        <x:v>5.274612531463513e-7</x:v>
      </x:c>
      <x:c r="AH334" s="80" t="n">
        <x:f>2*'Inputs'!$B$8*'Inputs'!$C$44</x:f>
        <x:v>1250</x:v>
      </x:c>
      <x:c r="AI334" s="81" t="n">
        <x:f>IF(AH334&gt;0,(AE334+AF334)/AH334*365,0)</x:f>
        <x:v>0.00001431719366516418</x:v>
      </x:c>
      <x:c r="AJ334" s="81" t="n">
        <x:f>IF('Inputs'!$B$44&gt;0,AG334/('Inputs'!$B$19*'Inputs'!$B$44)*365,0)</x:f>
        <x:v>1.925233573984182e-8</x:v>
      </x:c>
      <x:c r="AK334" s="81" t="n">
        <x:f>W334/MAX($W$4:W334)-1</x:f>
        <x:v>-0.9999999987177908</x:v>
      </x:c>
      <x:c r="AL334" s="83" t="n">
        <x:f>'Inputs'!$B$44</x:f>
        <x:v>1</x:v>
      </x:c>
      <x:c r="AM334" s="83" t="n">
        <x:f>'Inputs'!$C$44</x:f>
        <x:v>0.25</x:v>
      </x:c>
      <x:c r="AN334" s="83" t="n">
        <x:f>'Inputs'!$D$44</x:f>
        <x:v>0.2</x:v>
      </x:c>
      <x:c r="AO334" s="81" t="n">
        <x:f>'Inputs'!$E$44</x:f>
        <x:v>-0.2</x:v>
      </x:c>
    </x:row>
    <x:row r="335">
      <x:c r="A335" s="59" t="str">
        <x:v>No demand</x:v>
      </x:c>
      <x:c r="B335" s="59" t="n">
        <x:v>332</x:v>
      </x:c>
      <x:c r="C335" s="78" t="n">
        <x:f>(('Inputs'!$B$29*(3*332*'Inputs'!$B$12-332^2)/(2*'Inputs'!$B$12^2))-('Inputs'!$B$29*(3*331*'Inputs'!$B$12-331^2)/(2*'Inputs'!$B$12^2)))*'Inputs'!$B$44</x:f>
        <x:v>604213.0324638784</x:v>
      </x:c>
      <x:c r="D335" s="78" t="n">
        <x:f>IF('Inputs'!$C$44&gt;0,('Inputs'!$B$30*(3*332*'Inputs'!$B$12-332^2)/(2*'Inputs'!$B$12^2))-('Inputs'!$B$30*(3*331*'Inputs'!$B$12-331^2)/(2*'Inputs'!$B$12^2)),0)</x:f>
        <x:v>258948.44248451293</x:v>
      </x:c>
      <x:c r="E335" s="78" t="n">
        <x:f>C335+D335</x:f>
        <x:v>863161.4749483913</x:v>
      </x:c>
      <x:c r="F335" s="78" t="n">
        <x:f>'Inputs'!$B$13*E335+(1-'Inputs'!$B$13)/'Inputs'!$B$14*SUM(E280:E335)</x:f>
        <x:v>873379.1518108456</x:v>
      </x:c>
      <x:c r="G335" s="78" t="n">
        <x:f>F335*'Inputs'!$F$44</x:f>
        <x:v>786041.236629761</x:v>
      </x:c>
      <x:c r="H335" s="78" t="n">
        <x:f>U334</x:f>
        <x:v>116533240556.81349</x:v>
      </x:c>
      <x:c r="I335" s="78" t="n">
        <x:f>V334</x:f>
        <x:v>0.10167558503469601</x:v>
      </x:c>
      <x:c r="J335" s="79" t="n">
        <x:f>IF(H335&gt;0,I335/H335,0)</x:f>
        <x:v>8.725028545406843e-13</x:v>
      </x:c>
      <x:c r="K335" s="80" t="n">
        <x:f>(H335*J335+I335)*'Inputs'!$D$44*(1+'Inputs'!$G$44)^(B335/30)</x:f>
        <x:v>0.040670234013878405</x:v>
      </x:c>
      <x:c r="L335" s="80" t="n">
        <x:f>MAX(0,K335*'Inputs'!$E$44)</x:f>
        <x:v>0</x:v>
      </x:c>
      <x:c r="M335" s="80" t="n">
        <x:f>MAX(0,-K335*'Inputs'!$E$44)</x:f>
        <x:v>0.008134046802775682</x:v>
      </x:c>
      <x:c r="N335" s="78" t="n">
        <x:f>H335*(L335*(1-'Inputs'!$B$15))/(I335+L335*(1-'Inputs'!$B$15))</x:f>
        <x:v>0</x:v>
      </x:c>
      <x:c r="O335" s="78" t="n">
        <x:f>H335-N335</x:f>
        <x:v>116533240556.81349</x:v>
      </x:c>
      <x:c r="P335" s="78" t="n">
        <x:f>I335+L335*(1-'Inputs'!$B$17)</x:f>
        <x:v>0.10167558503469601</x:v>
      </x:c>
      <x:c r="Q335" s="78" t="n">
        <x:f>IF(J335&gt;0,M335/J335,0)</x:f>
        <x:v>0</x:v>
      </x:c>
      <x:c r="R335" s="78" t="n">
        <x:f>IF(B335='Inputs'!$H$44,'Inputs'!$B$27*'Inputs'!$I$44,0)</x:f>
        <x:v>0</x:v>
      </x:c>
      <x:c r="S335" s="78" t="n">
        <x:f>Q335+G335+R335</x:f>
        <x:v>786041.236629761</x:v>
      </x:c>
      <x:c r="T335" s="78" t="n">
        <x:f>P335*(S335*(1-'Inputs'!$B$15))/(O335+S335*(1-'Inputs'!$B$15))</x:f>
        <x:v>6.789604565848123e-7</x:v>
      </x:c>
      <x:c r="U335" s="78" t="n">
        <x:f>O335+S335*(1-'Inputs'!$B$17)</x:f>
        <x:v>116534023434.90631</x:v>
      </x:c>
      <x:c r="V335" s="78" t="n">
        <x:f>P335-T335</x:f>
        <x:v>0.10167490607423943</x:v>
      </x:c>
      <x:c r="W335" s="79" t="n">
        <x:f>IF(U335&gt;0,V335/U335,0)</x:f>
        <x:v>8.724911667624099e-13</x:v>
      </x:c>
      <x:c r="X335" s="80" t="n">
        <x:f>W335*('Inputs'!$B$6-AC335)</x:f>
        <x:v>-0.00035804298491452064</x:v>
      </x:c>
      <x:c r="Y335" s="80" t="n">
        <x:f>2*V335</x:f>
        <x:v>0.20334981214847886</x:v>
      </x:c>
      <x:c r="Z335" s="80" t="n">
        <x:f>K335*'Inputs'!$B$16+(G335+R335)*J335*'Inputs'!$B$16</x:f>
        <x:v>0.0002440255190226069</x:v>
      </x:c>
      <x:c r="AA335" s="80" t="n">
        <x:f>K335*(1+'Inputs'!$E$44)/2*'Inputs'!$B$17</x:f>
        <x:v>0.00006546516541469362</x:v>
      </x:c>
      <x:c r="AB335" s="78" t="n">
        <x:f>(IF(J335&gt;0,K335*(1-'Inputs'!$E$44)/2/J335,0)+G335+R335)*'Inputs'!$B$17</x:f>
        <x:v>3163.1438093752963</x:v>
      </x:c>
      <x:c r="AC335" s="78" t="n">
        <x:f>AC334+AB335</x:f>
        <x:v>1410368607.2182553</x:v>
      </x:c>
      <x:c r="AD335" s="80" t="n">
        <x:f>Z335/(1+'Inputs'!$C$44)</x:f>
        <x:v>0.00019522041521808552</x:v>
      </x:c>
      <x:c r="AE335" s="80" t="n">
        <x:f>Z335-AD335</x:f>
        <x:v>0.00004880510380452139</x:v>
      </x:c>
      <x:c r="AF335" s="80" t="n">
        <x:f>D335*W335</x:f>
        <x:v>2.2593022871462147e-7</x:v>
      </x:c>
      <x:c r="AG335" s="80" t="n">
        <x:f>C335*W335</x:f>
        <x:v>5.271705336674631e-7</x:v>
      </x:c>
      <x:c r="AH335" s="80" t="n">
        <x:f>2*'Inputs'!$B$8*'Inputs'!$C$44</x:f>
        <x:v>1250</x:v>
      </x:c>
      <x:c r="AI335" s="81" t="n">
        <x:f>IF(AH335&gt;0,(AE335+AF335)/AH335*365,0)</x:f>
        <x:v>0.000014317061937704914</x:v>
      </x:c>
      <x:c r="AJ335" s="81" t="n">
        <x:f>IF('Inputs'!$B$44&gt;0,AG335/('Inputs'!$B$19*'Inputs'!$B$44)*365,0)</x:f>
        <x:v>1.9241724478862403e-8</x:v>
      </x:c>
      <x:c r="AK335" s="81" t="n">
        <x:f>W335/MAX($W$4:W335)-1</x:f>
        <x:v>-0.999999998717808</x:v>
      </x:c>
      <x:c r="AL335" s="83" t="n">
        <x:f>'Inputs'!$B$44</x:f>
        <x:v>1</x:v>
      </x:c>
      <x:c r="AM335" s="83" t="n">
        <x:f>'Inputs'!$C$44</x:f>
        <x:v>0.25</x:v>
      </x:c>
      <x:c r="AN335" s="83" t="n">
        <x:f>'Inputs'!$D$44</x:f>
        <x:v>0.2</x:v>
      </x:c>
      <x:c r="AO335" s="81" t="n">
        <x:f>'Inputs'!$E$44</x:f>
        <x:v>-0.2</x:v>
      </x:c>
    </x:row>
    <x:row r="336">
      <x:c r="A336" s="59" t="str">
        <x:v>No demand</x:v>
      </x:c>
      <x:c r="B336" s="59" t="n">
        <x:v>333</x:v>
      </x:c>
      <x:c r="C336" s="78" t="n">
        <x:f>(('Inputs'!$B$29*(3*333*'Inputs'!$B$12-333^2)/(2*'Inputs'!$B$12^2))-('Inputs'!$B$29*(3*332*'Inputs'!$B$12-332^2)/(2*'Inputs'!$B$12^2)))*'Inputs'!$B$44</x:f>
        <x:v>603887.9245637059</x:v>
      </x:c>
      <x:c r="D336" s="78" t="n">
        <x:f>IF('Inputs'!$C$44&gt;0,('Inputs'!$B$30*(3*333*'Inputs'!$B$12-333^2)/(2*'Inputs'!$B$12^2))-('Inputs'!$B$30*(3*332*'Inputs'!$B$12-332^2)/(2*'Inputs'!$B$12^2)),0)</x:f>
        <x:v>258809.1105273068</x:v>
      </x:c>
      <x:c r="E336" s="78" t="n">
        <x:f>C336+D336</x:f>
        <x:v>862697.0350910127</x:v>
      </x:c>
      <x:c r="F336" s="78" t="n">
        <x:f>'Inputs'!$B$13*E336+(1-'Inputs'!$B$13)/'Inputs'!$B$14*SUM(E281:E336)</x:f>
        <x:v>872914.7119534623</x:v>
      </x:c>
      <x:c r="G336" s="78" t="n">
        <x:f>F336*'Inputs'!$F$44</x:f>
        <x:v>785623.2407581161</x:v>
      </x:c>
      <x:c r="H336" s="78" t="n">
        <x:f>U335</x:f>
        <x:v>116534023434.90631</x:v>
      </x:c>
      <x:c r="I336" s="78" t="n">
        <x:f>V335</x:f>
        <x:v>0.10167490607423943</x:v>
      </x:c>
      <x:c r="J336" s="79" t="n">
        <x:f>IF(H336&gt;0,I336/H336,0)</x:f>
        <x:v>8.724911667624099e-13</x:v>
      </x:c>
      <x:c r="K336" s="80" t="n">
        <x:f>(H336*J336+I336)*'Inputs'!$D$44*(1+'Inputs'!$G$44)^(B336/30)</x:f>
        <x:v>0.040669962429695776</x:v>
      </x:c>
      <x:c r="L336" s="80" t="n">
        <x:f>MAX(0,K336*'Inputs'!$E$44)</x:f>
        <x:v>0</x:v>
      </x:c>
      <x:c r="M336" s="80" t="n">
        <x:f>MAX(0,-K336*'Inputs'!$E$44)</x:f>
        <x:v>0.008133992485939155</x:v>
      </x:c>
      <x:c r="N336" s="78" t="n">
        <x:f>H336*(L336*(1-'Inputs'!$B$15))/(I336+L336*(1-'Inputs'!$B$15))</x:f>
        <x:v>0</x:v>
      </x:c>
      <x:c r="O336" s="78" t="n">
        <x:f>H336-N336</x:f>
        <x:v>116534023434.90631</x:v>
      </x:c>
      <x:c r="P336" s="78" t="n">
        <x:f>I336+L336*(1-'Inputs'!$B$17)</x:f>
        <x:v>0.10167490607423943</x:v>
      </x:c>
      <x:c r="Q336" s="78" t="n">
        <x:f>IF(J336&gt;0,M336/J336,0)</x:f>
        <x:v>0</x:v>
      </x:c>
      <x:c r="R336" s="78" t="n">
        <x:f>IF(B336='Inputs'!$H$44,'Inputs'!$B$27*'Inputs'!$I$44,0)</x:f>
        <x:v>0</x:v>
      </x:c>
      <x:c r="S336" s="78" t="n">
        <x:f>Q336+G336+R336</x:f>
        <x:v>785623.2407581161</x:v>
      </x:c>
      <x:c r="T336" s="78" t="n">
        <x:f>P336*(S336*(1-'Inputs'!$B$15))/(O336+S336*(1-'Inputs'!$B$15))</x:f>
        <x:v>6.785903155630352e-7</x:v>
      </x:c>
      <x:c r="U336" s="78" t="n">
        <x:f>O336+S336*(1-'Inputs'!$B$17)</x:f>
        <x:v>116534805896.68533</x:v>
      </x:c>
      <x:c r="V336" s="78" t="n">
        <x:f>P336-T336</x:f>
        <x:v>0.10167422748392387</x:v>
      </x:c>
      <x:c r="W336" s="79" t="n">
        <x:f>IF(U336&gt;0,V336/U336,0)</x:f>
        <x:v>8.724794854342813e-13</x:v>
      </x:c>
      <x:c r="X336" s="80" t="n">
        <x:f>W336*('Inputs'!$B$6-AC336)</x:f>
        <x:v>-0.0003580409495746724</x:v>
      </x:c>
      <x:c r="Y336" s="80" t="n">
        <x:f>2*V336</x:f>
        <x:v>0.20334845496784773</x:v>
      </x:c>
      <x:c r="Z336" s="80" t="n">
        <x:f>K336*'Inputs'!$B$16+(G336+R336)*J336*'Inputs'!$B$16</x:f>
        <x:v>0.00024402388727420244</x:v>
      </x:c>
      <x:c r="AA336" s="80" t="n">
        <x:f>K336*(1+'Inputs'!$E$44)/2*'Inputs'!$B$17</x:f>
        <x:v>0.00006546472825705558</x:v>
      </x:c>
      <x:c r="AB336" s="78" t="n">
        <x:f>(IF(J336&gt;0,K336*(1-'Inputs'!$E$44)/2/J336,0)+G336+R336)*'Inputs'!$B$17</x:f>
        <x:v>3161.4617334330633</x:v>
      </x:c>
      <x:c r="AC336" s="78" t="n">
        <x:f>AC335+AB336</x:f>
        <x:v>1410371768.6799886</x:v>
      </x:c>
      <x:c r="AD336" s="80" t="n">
        <x:f>Z336/(1+'Inputs'!$C$44)</x:f>
        <x:v>0.00019521910981936194</x:v>
      </x:c>
      <x:c r="AE336" s="80" t="n">
        <x:f>Z336-AD336</x:f>
        <x:v>0.0000488047774548405</x:v>
      </x:c>
      <x:c r="AF336" s="80" t="n">
        <x:f>D336*W336</x:f>
        <x:v>2.2580563957856865e-7</x:v>
      </x:c>
      <x:c r="AG336" s="80" t="n">
        <x:f>C336*W336</x:f>
        <x:v>5.268798256833182e-7</x:v>
      </x:c>
      <x:c r="AH336" s="80" t="n">
        <x:f>2*'Inputs'!$B$8*'Inputs'!$C$44</x:f>
        <x:v>1250</x:v>
      </x:c>
      <x:c r="AI336" s="81" t="n">
        <x:f>IF(AH336&gt;0,(AE336+AF336)/AH336*365,0)</x:f>
        <x:v>0.000014316930263570367</x:v>
      </x:c>
      <x:c r="AJ336" s="81" t="n">
        <x:f>IF('Inputs'!$B$44&gt;0,AG336/('Inputs'!$B$19*'Inputs'!$B$44)*365,0)</x:f>
        <x:v>1.9231113637441115e-8</x:v>
      </x:c>
      <x:c r="AK336" s="81" t="n">
        <x:f>W336/MAX($W$4:W336)-1</x:f>
        <x:v>-0.9999999987178251</x:v>
      </x:c>
      <x:c r="AL336" s="83" t="n">
        <x:f>'Inputs'!$B$44</x:f>
        <x:v>1</x:v>
      </x:c>
      <x:c r="AM336" s="83" t="n">
        <x:f>'Inputs'!$C$44</x:f>
        <x:v>0.25</x:v>
      </x:c>
      <x:c r="AN336" s="83" t="n">
        <x:f>'Inputs'!$D$44</x:f>
        <x:v>0.2</x:v>
      </x:c>
      <x:c r="AO336" s="81" t="n">
        <x:f>'Inputs'!$E$44</x:f>
        <x:v>-0.2</x:v>
      </x:c>
    </x:row>
    <x:row r="337">
      <x:c r="A337" s="59" t="str">
        <x:v>No demand</x:v>
      </x:c>
      <x:c r="B337" s="59" t="n">
        <x:v>334</x:v>
      </x:c>
      <x:c r="C337" s="78" t="n">
        <x:f>(('Inputs'!$B$29*(3*334*'Inputs'!$B$12-334^2)/(2*'Inputs'!$B$12^2))-('Inputs'!$B$29*(3*333*'Inputs'!$B$12-333^2)/(2*'Inputs'!$B$12^2)))*'Inputs'!$B$44</x:f>
        <x:v>603562.8166635334</x:v>
      </x:c>
      <x:c r="D337" s="78" t="n">
        <x:f>IF('Inputs'!$C$44&gt;0,('Inputs'!$B$30*(3*334*'Inputs'!$B$12-334^2)/(2*'Inputs'!$B$12^2))-('Inputs'!$B$30*(3*333*'Inputs'!$B$12-333^2)/(2*'Inputs'!$B$12^2)),0)</x:f>
        <x:v>258669.77857008576</x:v>
      </x:c>
      <x:c r="E337" s="78" t="n">
        <x:f>C337+D337</x:f>
        <x:v>862232.5952336192</x:v>
      </x:c>
      <x:c r="F337" s="78" t="n">
        <x:f>'Inputs'!$B$13*E337+(1-'Inputs'!$B$13)/'Inputs'!$B$14*SUM(E282:E337)</x:f>
        <x:v>872450.2720960763</x:v>
      </x:c>
      <x:c r="G337" s="78" t="n">
        <x:f>F337*'Inputs'!$F$44</x:f>
        <x:v>785205.2448864686</x:v>
      </x:c>
      <x:c r="H337" s="78" t="n">
        <x:f>U336</x:f>
        <x:v>116534805896.68533</x:v>
      </x:c>
      <x:c r="I337" s="78" t="n">
        <x:f>V336</x:f>
        <x:v>0.10167422748392387</x:v>
      </x:c>
      <x:c r="J337" s="79" t="n">
        <x:f>IF(H337&gt;0,I337/H337,0)</x:f>
        <x:v>8.724794854342813e-13</x:v>
      </x:c>
      <x:c r="K337" s="80" t="n">
        <x:f>(H337*J337+I337)*'Inputs'!$D$44*(1+'Inputs'!$G$44)^(B337/30)</x:f>
        <x:v>0.04066969099356955</x:v>
      </x:c>
      <x:c r="L337" s="80" t="n">
        <x:f>MAX(0,K337*'Inputs'!$E$44)</x:f>
        <x:v>0</x:v>
      </x:c>
      <x:c r="M337" s="80" t="n">
        <x:f>MAX(0,-K337*'Inputs'!$E$44)</x:f>
        <x:v>0.00813393819871391</x:v>
      </x:c>
      <x:c r="N337" s="78" t="n">
        <x:f>H337*(L337*(1-'Inputs'!$B$15))/(I337+L337*(1-'Inputs'!$B$15))</x:f>
        <x:v>0</x:v>
      </x:c>
      <x:c r="O337" s="78" t="n">
        <x:f>H337-N337</x:f>
        <x:v>116534805896.68533</x:v>
      </x:c>
      <x:c r="P337" s="78" t="n">
        <x:f>I337+L337*(1-'Inputs'!$B$17)</x:f>
        <x:v>0.10167422748392387</x:v>
      </x:c>
      <x:c r="Q337" s="78" t="n">
        <x:f>IF(J337&gt;0,M337/J337,0)</x:f>
        <x:v>0</x:v>
      </x:c>
      <x:c r="R337" s="78" t="n">
        <x:f>IF(B337='Inputs'!$H$44,'Inputs'!$B$27*'Inputs'!$I$44,0)</x:f>
        <x:v>0</x:v>
      </x:c>
      <x:c r="S337" s="78" t="n">
        <x:f>Q337+G337+R337</x:f>
        <x:v>785205.2448864686</x:v>
      </x:c>
      <x:c r="T337" s="78" t="n">
        <x:f>P337*(S337*(1-'Inputs'!$B$15))/(O337+S337*(1-'Inputs'!$B$15))</x:f>
        <x:v>6.782201892256655e-7</x:v>
      </x:c>
      <x:c r="U337" s="78" t="n">
        <x:f>O337+S337*(1-'Inputs'!$B$17)</x:f>
        <x:v>116535587942.15056</x:v>
      </x:c>
      <x:c r="V337" s="78" t="n">
        <x:f>P337-T337</x:f>
        <x:v>0.10167354926373463</x:v>
      </x:c>
      <x:c r="W337" s="79" t="n">
        <x:f>IF(U337&gt;0,V337/U337,0)</x:f>
        <x:v>8.724678105559171e-13</x:v>
      </x:c>
      <x:c r="X337" s="80" t="n">
        <x:f>W337*('Inputs'!$B$6-AC337)</x:f>
        <x:v>-0.00035803891534022867</x:v>
      </x:c>
      <x:c r="Y337" s="80" t="n">
        <x:f>2*V337</x:f>
        <x:v>0.20334709852746927</x:v>
      </x:c>
      <x:c r="Z337" s="80" t="n">
        <x:f>K337*'Inputs'!$B$16+(G337+R337)*J337*'Inputs'!$B$16</x:f>
        <x:v>0.0002440222564142254</x:v>
      </x:c>
      <x:c r="AA337" s="80" t="n">
        <x:f>K337*(1+'Inputs'!$E$44)/2*'Inputs'!$B$17</x:f>
        <x:v>0.00006546429133773772</x:v>
      </x:c>
      <x:c r="AB337" s="78" t="n">
        <x:f>(IF(J337&gt;0,K337*(1-'Inputs'!$E$44)/2/J337,0)+G337+R337)*'Inputs'!$B$17</x:f>
        <x:v>3159.77965749082</x:v>
      </x:c>
      <x:c r="AC337" s="78" t="n">
        <x:f>AC336+AB337</x:f>
        <x:v>1410374928.4596462</x:v>
      </x:c>
      <x:c r="AD337" s="80" t="n">
        <x:f>Z337/(1+'Inputs'!$C$44)</x:f>
        <x:v>0.00019521780513138032</x:v>
      </x:c>
      <x:c r="AE337" s="80" t="n">
        <x:f>Z337-AD337</x:f>
        <x:v>0.00004880445128284508</x:v>
      </x:c>
      <x:c r="AF337" s="80" t="n">
        <x:f>D337*W337</x:f>
        <x:v>2.256810553660266e-7</x:v>
      </x:c>
      <x:c r="AG337" s="80" t="n">
        <x:f>C337*W337</x:f>
        <x:v>5.265891291873955e-7</x:v>
      </x:c>
      <x:c r="AH337" s="80" t="n">
        <x:f>2*'Inputs'!$B$8*'Inputs'!$C$44</x:f>
        <x:v>1250</x:v>
      </x:c>
      <x:c r="AI337" s="81" t="n">
        <x:f>IF(AH337&gt;0,(AE337+AF337)/AH337*365,0)</x:f>
        <x:v>0.000014316798642757645</x:v>
      </x:c>
      <x:c r="AJ337" s="81" t="n">
        <x:f>IF('Inputs'!$B$44&gt;0,AG337/('Inputs'!$B$19*'Inputs'!$B$44)*365,0)</x:f>
        <x:v>1.9220503215339936e-8</x:v>
      </x:c>
      <x:c r="AK337" s="81" t="n">
        <x:f>W337/MAX($W$4:W337)-1</x:f>
        <x:v>-0.9999999987178423</x:v>
      </x:c>
      <x:c r="AL337" s="83" t="n">
        <x:f>'Inputs'!$B$44</x:f>
        <x:v>1</x:v>
      </x:c>
      <x:c r="AM337" s="83" t="n">
        <x:f>'Inputs'!$C$44</x:f>
        <x:v>0.25</x:v>
      </x:c>
      <x:c r="AN337" s="83" t="n">
        <x:f>'Inputs'!$D$44</x:f>
        <x:v>0.2</x:v>
      </x:c>
      <x:c r="AO337" s="81" t="n">
        <x:f>'Inputs'!$E$44</x:f>
        <x:v>-0.2</x:v>
      </x:c>
    </x:row>
    <x:row r="338">
      <x:c r="A338" s="59" t="str">
        <x:v>No demand</x:v>
      </x:c>
      <x:c r="B338" s="59" t="n">
        <x:v>335</x:v>
      </x:c>
      <x:c r="C338" s="78" t="n">
        <x:f>(('Inputs'!$B$29*(3*335*'Inputs'!$B$12-335^2)/(2*'Inputs'!$B$12^2))-('Inputs'!$B$29*(3*334*'Inputs'!$B$12-334^2)/(2*'Inputs'!$B$12^2)))*'Inputs'!$B$44</x:f>
        <x:v>603237.7087633908</x:v>
      </x:c>
      <x:c r="D338" s="78" t="n">
        <x:f>IF('Inputs'!$C$44&gt;0,('Inputs'!$B$30*(3*335*'Inputs'!$B$12-335^2)/(2*'Inputs'!$B$12^2))-('Inputs'!$B$30*(3*334*'Inputs'!$B$12-334^2)/(2*'Inputs'!$B$12^2)),0)</x:f>
        <x:v>258530.44661287963</x:v>
      </x:c>
      <x:c r="E338" s="78" t="n">
        <x:f>C338+D338</x:f>
        <x:v>861768.1553762704</x:v>
      </x:c>
      <x:c r="F338" s="78" t="n">
        <x:f>'Inputs'!$B$13*E338+(1-'Inputs'!$B$13)/'Inputs'!$B$14*SUM(E283:E338)</x:f>
        <x:v>871985.8322386995</x:v>
      </x:c>
      <x:c r="G338" s="78" t="n">
        <x:f>F338*'Inputs'!$F$44</x:f>
        <x:v>784787.2490148296</x:v>
      </x:c>
      <x:c r="H338" s="78" t="n">
        <x:f>U337</x:f>
        <x:v>116535587942.15056</x:v>
      </x:c>
      <x:c r="I338" s="78" t="n">
        <x:f>V337</x:f>
        <x:v>0.10167354926373463</x:v>
      </x:c>
      <x:c r="J338" s="79" t="n">
        <x:f>IF(H338&gt;0,I338/H338,0)</x:f>
        <x:v>8.724678105559171e-13</x:v>
      </x:c>
      <x:c r="K338" s="80" t="n">
        <x:f>(H338*J338+I338)*'Inputs'!$D$44*(1+'Inputs'!$G$44)^(B338/30)</x:f>
        <x:v>0.040669419705493856</x:v>
      </x:c>
      <x:c r="L338" s="80" t="n">
        <x:f>MAX(0,K338*'Inputs'!$E$44)</x:f>
        <x:v>0</x:v>
      </x:c>
      <x:c r="M338" s="80" t="n">
        <x:f>MAX(0,-K338*'Inputs'!$E$44)</x:f>
        <x:v>0.008133883941098772</x:v>
      </x:c>
      <x:c r="N338" s="78" t="n">
        <x:f>H338*(L338*(1-'Inputs'!$B$15))/(I338+L338*(1-'Inputs'!$B$15))</x:f>
        <x:v>0</x:v>
      </x:c>
      <x:c r="O338" s="78" t="n">
        <x:f>H338-N338</x:f>
        <x:v>116535587942.15056</x:v>
      </x:c>
      <x:c r="P338" s="78" t="n">
        <x:f>I338+L338*(1-'Inputs'!$B$17)</x:f>
        <x:v>0.10167354926373463</x:v>
      </x:c>
      <x:c r="Q338" s="78" t="n">
        <x:f>IF(J338&gt;0,M338/J338,0)</x:f>
        <x:v>0</x:v>
      </x:c>
      <x:c r="R338" s="78" t="n">
        <x:f>IF(B338='Inputs'!$H$44,'Inputs'!$B$27*'Inputs'!$I$44,0)</x:f>
        <x:v>0</x:v>
      </x:c>
      <x:c r="S338" s="78" t="n">
        <x:f>Q338+G338+R338</x:f>
        <x:v>784787.2490148296</x:v>
      </x:c>
      <x:c r="T338" s="78" t="n">
        <x:f>P338*(S338*(1-'Inputs'!$B$15))/(O338+S338*(1-'Inputs'!$B$15))</x:f>
        <x:v>6.778500775644095e-7</x:v>
      </x:c>
      <x:c r="U338" s="78" t="n">
        <x:f>O338+S338*(1-'Inputs'!$B$17)</x:f>
        <x:v>116536369571.30199</x:v>
      </x:c>
      <x:c r="V338" s="78" t="n">
        <x:f>P338-T338</x:f>
        <x:v>0.10167287141365706</x:v>
      </x:c>
      <x:c r="W338" s="79" t="n">
        <x:f>IF(U338&gt;0,V338/U338,0)</x:f>
        <x:v>8.724561421269366e-13</x:v>
      </x:c>
      <x:c r="X338" s="80" t="n">
        <x:f>W338*('Inputs'!$B$6-AC338)</x:f>
        <x:v>-0.0003580368822111531</x:v>
      </x:c>
      <x:c r="Y338" s="80" t="n">
        <x:f>2*V338</x:f>
        <x:v>0.20334574282731413</x:v>
      </x:c>
      <x:c r="Z338" s="80" t="n">
        <x:f>K338*'Inputs'!$B$16+(G338+R338)*J338*'Inputs'!$B$16</x:f>
        <x:v>0.00024402062644264053</x:v>
      </x:c>
      <x:c r="AA338" s="80" t="n">
        <x:f>K338*(1+'Inputs'!$E$44)/2*'Inputs'!$B$17</x:f>
        <x:v>0.00006546385465673057</x:v>
      </x:c>
      <x:c r="AB338" s="78" t="n">
        <x:f>(IF(J338&gt;0,K338*(1-'Inputs'!$E$44)/2/J338,0)+G338+R338)*'Inputs'!$B$17</x:f>
        <x:v>3158.0975815486104</x:v>
      </x:c>
      <x:c r="AC338" s="78" t="n">
        <x:f>AC337+AB338</x:f>
        <x:v>1410378086.5572278</x:v>
      </x:c>
      <x:c r="AD338" s="80" t="n">
        <x:f>Z338/(1+'Inputs'!$C$44)</x:f>
        <x:v>0.0001952165011541124</x:v>
      </x:c>
      <x:c r="AE338" s="80" t="n">
        <x:f>Z338-AD338</x:f>
        <x:v>0.00004880412528852812</x:v>
      </x:c>
      <x:c r="AF338" s="80" t="n">
        <x:f>D338*W338</x:f>
        <x:v>2.2555647607422692e-7</x:v>
      </x:c>
      <x:c r="AG338" s="80" t="n">
        <x:f>C338*W338</x:f>
        <x:v>5.262984441732005e-7</x:v>
      </x:c>
      <x:c r="AH338" s="80" t="n">
        <x:f>2*'Inputs'!$B$8*'Inputs'!$C$44</x:f>
        <x:v>1250</x:v>
      </x:c>
      <x:c r="AI338" s="81" t="n">
        <x:f>IF(AH338&gt;0,(AE338+AF338)/AH338*365,0)</x:f>
        <x:v>0.000014316667075263883</x:v>
      </x:c>
      <x:c r="AJ338" s="81" t="n">
        <x:f>IF('Inputs'!$B$44&gt;0,AG338/('Inputs'!$B$19*'Inputs'!$B$44)*365,0)</x:f>
        <x:v>1.920989321232182e-8</x:v>
      </x:c>
      <x:c r="AK338" s="81" t="n">
        <x:f>W338/MAX($W$4:W338)-1</x:f>
        <x:v>-0.9999999987178594</x:v>
      </x:c>
      <x:c r="AL338" s="83" t="n">
        <x:f>'Inputs'!$B$44</x:f>
        <x:v>1</x:v>
      </x:c>
      <x:c r="AM338" s="83" t="n">
        <x:f>'Inputs'!$C$44</x:f>
        <x:v>0.25</x:v>
      </x:c>
      <x:c r="AN338" s="83" t="n">
        <x:f>'Inputs'!$D$44</x:f>
        <x:v>0.2</x:v>
      </x:c>
      <x:c r="AO338" s="81" t="n">
        <x:f>'Inputs'!$E$44</x:f>
        <x:v>-0.2</x:v>
      </x:c>
    </x:row>
    <x:row r="339">
      <x:c r="A339" s="59" t="str">
        <x:v>No demand</x:v>
      </x:c>
      <x:c r="B339" s="59" t="n">
        <x:v>336</x:v>
      </x:c>
      <x:c r="C339" s="78" t="n">
        <x:f>(('Inputs'!$B$29*(3*336*'Inputs'!$B$12-336^2)/(2*'Inputs'!$B$12^2))-('Inputs'!$B$29*(3*335*'Inputs'!$B$12-335^2)/(2*'Inputs'!$B$12^2)))*'Inputs'!$B$44</x:f>
        <x:v>602912.6008631885</x:v>
      </x:c>
      <x:c r="D339" s="78" t="n">
        <x:f>IF('Inputs'!$C$44&gt;0,('Inputs'!$B$30*(3*336*'Inputs'!$B$12-336^2)/(2*'Inputs'!$B$12^2))-('Inputs'!$B$30*(3*335*'Inputs'!$B$12-335^2)/(2*'Inputs'!$B$12^2)),0)</x:f>
        <x:v>258391.1146556586</x:v>
      </x:c>
      <x:c r="E339" s="78" t="n">
        <x:f>C339+D339</x:f>
        <x:v>861303.7155188471</x:v>
      </x:c>
      <x:c r="F339" s="78" t="n">
        <x:f>'Inputs'!$B$13*E339+(1-'Inputs'!$B$13)/'Inputs'!$B$14*SUM(E284:E339)</x:f>
        <x:v>871521.3923813077</x:v>
      </x:c>
      <x:c r="G339" s="78" t="n">
        <x:f>F339*'Inputs'!$F$44</x:f>
        <x:v>784369.2531431769</x:v>
      </x:c>
      <x:c r="H339" s="78" t="n">
        <x:f>U338</x:f>
        <x:v>116536369571.30199</x:v>
      </x:c>
      <x:c r="I339" s="78" t="n">
        <x:f>V338</x:f>
        <x:v>0.10167287141365706</x:v>
      </x:c>
      <x:c r="J339" s="79" t="n">
        <x:f>IF(H339&gt;0,I339/H339,0)</x:f>
        <x:v>8.724561421269366e-13</x:v>
      </x:c>
      <x:c r="K339" s="80" t="n">
        <x:f>(H339*J339+I339)*'Inputs'!$D$44*(1+'Inputs'!$G$44)^(B339/30)</x:f>
        <x:v>0.04066914856546283</x:v>
      </x:c>
      <x:c r="L339" s="80" t="n">
        <x:f>MAX(0,K339*'Inputs'!$E$44)</x:f>
        <x:v>0</x:v>
      </x:c>
      <x:c r="M339" s="80" t="n">
        <x:f>MAX(0,-K339*'Inputs'!$E$44)</x:f>
        <x:v>0.008133829713092566</x:v>
      </x:c>
      <x:c r="N339" s="78" t="n">
        <x:f>H339*(L339*(1-'Inputs'!$B$15))/(I339+L339*(1-'Inputs'!$B$15))</x:f>
        <x:v>0</x:v>
      </x:c>
      <x:c r="O339" s="78" t="n">
        <x:f>H339-N339</x:f>
        <x:v>116536369571.30199</x:v>
      </x:c>
      <x:c r="P339" s="78" t="n">
        <x:f>I339+L339*(1-'Inputs'!$B$17)</x:f>
        <x:v>0.10167287141365706</x:v>
      </x:c>
      <x:c r="Q339" s="78" t="n">
        <x:f>IF(J339&gt;0,M339/J339,0)</x:f>
        <x:v>0</x:v>
      </x:c>
      <x:c r="R339" s="78" t="n">
        <x:f>IF(B339='Inputs'!$H$44,'Inputs'!$B$27*'Inputs'!$I$44,0)</x:f>
        <x:v>0</x:v>
      </x:c>
      <x:c r="S339" s="78" t="n">
        <x:f>Q339+G339+R339</x:f>
        <x:v>784369.2531431769</x:v>
      </x:c>
      <x:c r="T339" s="78" t="n">
        <x:f>P339*(S339*(1-'Inputs'!$B$15))/(O339+S339*(1-'Inputs'!$B$15))</x:f>
        <x:v>6.774799805709456e-7</x:v>
      </x:c>
      <x:c r="U339" s="78" t="n">
        <x:f>O339+S339*(1-'Inputs'!$B$17)</x:f>
        <x:v>116537150784.13962</x:v>
      </x:c>
      <x:c r="V339" s="78" t="n">
        <x:f>P339-T339</x:f>
        <x:v>0.10167219393367649</x:v>
      </x:c>
      <x:c r="W339" s="79" t="n">
        <x:f>IF(U339&gt;0,V339/U339,0)</x:f>
        <x:v>8.724444801469592e-13</x:v>
      </x:c>
      <x:c r="X339" s="80" t="n">
        <x:f>W339*('Inputs'!$B$6-AC339)</x:f>
        <x:v>-0.00035803485018740943</x:v>
      </x:c>
      <x:c r="Y339" s="80" t="n">
        <x:f>2*V339</x:f>
        <x:v>0.20334438786735298</x:v>
      </x:c>
      <x:c r="Z339" s="80" t="n">
        <x:f>K339*'Inputs'!$B$16+(G339+R339)*J339*'Inputs'!$B$16</x:f>
        <x:v>0.0002440189973594126</x:v>
      </x:c>
      <x:c r="AA339" s="80" t="n">
        <x:f>K339*(1+'Inputs'!$E$44)/2*'Inputs'!$B$17</x:f>
        <x:v>0.00006546341821402468</x:v>
      </x:c>
      <x:c r="AB339" s="78" t="n">
        <x:f>(IF(J339&gt;0,K339*(1-'Inputs'!$E$44)/2/J339,0)+G339+R339)*'Inputs'!$B$17</x:f>
        <x:v>3156.415505606346</x:v>
      </x:c>
      <x:c r="AC339" s="78" t="n">
        <x:f>AC338+AB339</x:f>
        <x:v>1410381242.9727335</x:v>
      </x:c>
      <x:c r="AD339" s="80" t="n">
        <x:f>Z339/(1+'Inputs'!$C$44)</x:f>
        <x:v>0.00019521519788753009</x:v>
      </x:c>
      <x:c r="AE339" s="80" t="n">
        <x:f>Z339-AD339</x:f>
        <x:v>0.00004880379947188251</x:v>
      </x:c>
      <x:c r="AF339" s="80" t="n">
        <x:f>D339*W339</x:f>
        <x:v>2.254319017003494e-7</x:v>
      </x:c>
      <x:c r="AG339" s="80" t="n">
        <x:f>C339*W339</x:f>
        <x:v>5.260077706341356e-7</x:v>
      </x:c>
      <x:c r="AH339" s="80" t="n">
        <x:f>2*'Inputs'!$B$8*'Inputs'!$C$44</x:f>
        <x:v>1250</x:v>
      </x:c>
      <x:c r="AI339" s="81" t="n">
        <x:f>IF(AH339&gt;0,(AE339+AF339)/AH339*365,0)</x:f>
        <x:v>0.000014316535561086195</x:v>
      </x:c>
      <x:c r="AJ339" s="81" t="n">
        <x:f>IF('Inputs'!$B$44&gt;0,AG339/('Inputs'!$B$19*'Inputs'!$B$44)*365,0)</x:f>
        <x:v>1.919928362814595e-8</x:v>
      </x:c>
      <x:c r="AK339" s="81" t="n">
        <x:f>W339/MAX($W$4:W339)-1</x:f>
        <x:v>-0.9999999987178766</x:v>
      </x:c>
      <x:c r="AL339" s="83" t="n">
        <x:f>'Inputs'!$B$44</x:f>
        <x:v>1</x:v>
      </x:c>
      <x:c r="AM339" s="83" t="n">
        <x:f>'Inputs'!$C$44</x:f>
        <x:v>0.25</x:v>
      </x:c>
      <x:c r="AN339" s="83" t="n">
        <x:f>'Inputs'!$D$44</x:f>
        <x:v>0.2</x:v>
      </x:c>
      <x:c r="AO339" s="81" t="n">
        <x:f>'Inputs'!$E$44</x:f>
        <x:v>-0.2</x:v>
      </x:c>
    </x:row>
    <x:row r="340">
      <x:c r="A340" s="59" t="str">
        <x:v>No demand</x:v>
      </x:c>
      <x:c r="B340" s="59" t="n">
        <x:v>337</x:v>
      </x:c>
      <x:c r="C340" s="78" t="n">
        <x:f>(('Inputs'!$B$29*(3*337*'Inputs'!$B$12-337^2)/(2*'Inputs'!$B$12^2))-('Inputs'!$B$29*(3*336*'Inputs'!$B$12-336^2)/(2*'Inputs'!$B$12^2)))*'Inputs'!$B$44</x:f>
        <x:v>602587.4929630458</x:v>
      </x:c>
      <x:c r="D340" s="78" t="n">
        <x:f>IF('Inputs'!$C$44&gt;0,('Inputs'!$B$30*(3*337*'Inputs'!$B$12-337^2)/(2*'Inputs'!$B$12^2))-('Inputs'!$B$30*(3*336*'Inputs'!$B$12-336^2)/(2*'Inputs'!$B$12^2)),0)</x:f>
        <x:v>258251.78269843757</x:v>
      </x:c>
      <x:c r="E340" s="78" t="n">
        <x:f>C340+D340</x:f>
        <x:v>860839.2756614834</x:v>
      </x:c>
      <x:c r="F340" s="78" t="n">
        <x:f>'Inputs'!$B$13*E340+(1-'Inputs'!$B$13)/'Inputs'!$B$14*SUM(E285:E340)</x:f>
        <x:v>871056.9525239277</x:v>
      </x:c>
      <x:c r="G340" s="78" t="n">
        <x:f>F340*'Inputs'!$F$44</x:f>
        <x:v>783951.2572715349</x:v>
      </x:c>
      <x:c r="H340" s="78" t="n">
        <x:f>U339</x:f>
        <x:v>116537150784.13962</x:v>
      </x:c>
      <x:c r="I340" s="78" t="n">
        <x:f>V339</x:f>
        <x:v>0.10167219393367649</x:v>
      </x:c>
      <x:c r="J340" s="79" t="n">
        <x:f>IF(H340&gt;0,I340/H340,0)</x:f>
        <x:v>8.724444801469592e-13</x:v>
      </x:c>
      <x:c r="K340" s="80" t="n">
        <x:f>(H340*J340+I340)*'Inputs'!$D$44*(1+'Inputs'!$G$44)^(B340/30)</x:f>
        <x:v>0.040668877573470597</x:v>
      </x:c>
      <x:c r="L340" s="80" t="n">
        <x:f>MAX(0,K340*'Inputs'!$E$44)</x:f>
        <x:v>0</x:v>
      </x:c>
      <x:c r="M340" s="80" t="n">
        <x:f>MAX(0,-K340*'Inputs'!$E$44)</x:f>
        <x:v>0.00813377551469412</x:v>
      </x:c>
      <x:c r="N340" s="78" t="n">
        <x:f>H340*(L340*(1-'Inputs'!$B$15))/(I340+L340*(1-'Inputs'!$B$15))</x:f>
        <x:v>0</x:v>
      </x:c>
      <x:c r="O340" s="78" t="n">
        <x:f>H340-N340</x:f>
        <x:v>116537150784.13962</x:v>
      </x:c>
      <x:c r="P340" s="78" t="n">
        <x:f>I340+L340*(1-'Inputs'!$B$17)</x:f>
        <x:v>0.10167219393367649</x:v>
      </x:c>
      <x:c r="Q340" s="78" t="n">
        <x:f>IF(J340&gt;0,M340/J340,0)</x:f>
        <x:v>0</x:v>
      </x:c>
      <x:c r="R340" s="78" t="n">
        <x:f>IF(B340='Inputs'!$H$44,'Inputs'!$B$27*'Inputs'!$I$44,0)</x:f>
        <x:v>0</x:v>
      </x:c>
      <x:c r="S340" s="78" t="n">
        <x:f>Q340+G340+R340</x:f>
        <x:v>783951.2572715349</x:v>
      </x:c>
      <x:c r="T340" s="78" t="n">
        <x:f>P340*(S340*(1-'Inputs'!$B$15))/(O340+S340*(1-'Inputs'!$B$15))</x:f>
        <x:v>6.771098982369932e-7</x:v>
      </x:c>
      <x:c r="U340" s="78" t="n">
        <x:f>O340+S340*(1-'Inputs'!$B$17)</x:f>
        <x:v>116537931580.66347</x:v>
      </x:c>
      <x:c r="V340" s="78" t="n">
        <x:f>P340-T340</x:f>
        <x:v>0.10167151682377826</x:v>
      </x:c>
      <x:c r="W340" s="79" t="n">
        <x:f>IF(U340&gt;0,V340/U340,0)</x:f>
        <x:v>8.724328246156042e-13</x:v>
      </x:c>
      <x:c r="X340" s="80" t="n">
        <x:f>W340*('Inputs'!$B$6-AC340)</x:f>
        <x:v>-0.0003580328192689614</x:v>
      </x:c>
      <x:c r="Y340" s="80" t="n">
        <x:f>2*V340</x:f>
        <x:v>0.20334303364755651</x:v>
      </x:c>
      <x:c r="Z340" s="80" t="n">
        <x:f>K340*'Inputs'!$B$16+(G340+R340)*J340*'Inputs'!$B$16</x:f>
        <x:v>0.00024401736916450625</x:v>
      </x:c>
      <x:c r="AA340" s="80" t="n">
        <x:f>K340*(1+'Inputs'!$E$44)/2*'Inputs'!$B$17</x:f>
        <x:v>0.00006546298200961062</x:v>
      </x:c>
      <x:c r="AB340" s="78" t="n">
        <x:f>(IF(J340&gt;0,K340*(1-'Inputs'!$E$44)/2/J340,0)+G340+R340)*'Inputs'!$B$17</x:f>
        <x:v>3154.7334296641247</x:v>
      </x:c>
      <x:c r="AC340" s="78" t="n">
        <x:f>AC339+AB340</x:f>
        <x:v>1410384397.7061632</x:v>
      </x:c>
      <x:c r="AD340" s="80" t="n">
        <x:f>Z340/(1+'Inputs'!$C$44)</x:f>
        <x:v>0.000195213895331605</x:v>
      </x:c>
      <x:c r="AE340" s="80" t="n">
        <x:f>Z340-AD340</x:f>
        <x:v>0.00004880347383290126</x:v>
      </x:c>
      <x:c r="AF340" s="80" t="n">
        <x:f>D340*W340</x:f>
        <x:v>2.253073322416131e-7</x:v>
      </x:c>
      <x:c r="AG340" s="80" t="n">
        <x:f>C340*W340</x:f>
        <x:v>5.257171085637856e-7</x:v>
      </x:c>
      <x:c r="AH340" s="80" t="n">
        <x:f>2*'Inputs'!$B$8*'Inputs'!$C$44</x:f>
        <x:v>1250</x:v>
      </x:c>
      <x:c r="AI340" s="81" t="n">
        <x:f>IF(AH340&gt;0,(AE340+AF340)/AH340*365,0)</x:f>
        <x:v>0.00001431640410022172</x:v>
      </x:c>
      <x:c r="AJ340" s="81" t="n">
        <x:f>IF('Inputs'!$B$44&gt;0,AG340/('Inputs'!$B$19*'Inputs'!$B$44)*365,0)</x:f>
        <x:v>1.918867446257817e-8</x:v>
      </x:c>
      <x:c r="AK340" s="81" t="n">
        <x:f>W340/MAX($W$4:W340)-1</x:f>
        <x:v>-0.9999999987178937</x:v>
      </x:c>
      <x:c r="AL340" s="83" t="n">
        <x:f>'Inputs'!$B$44</x:f>
        <x:v>1</x:v>
      </x:c>
      <x:c r="AM340" s="83" t="n">
        <x:f>'Inputs'!$C$44</x:f>
        <x:v>0.25</x:v>
      </x:c>
      <x:c r="AN340" s="83" t="n">
        <x:f>'Inputs'!$D$44</x:f>
        <x:v>0.2</x:v>
      </x:c>
      <x:c r="AO340" s="81" t="n">
        <x:f>'Inputs'!$E$44</x:f>
        <x:v>-0.2</x:v>
      </x:c>
    </x:row>
    <x:row r="341">
      <x:c r="A341" s="59" t="str">
        <x:v>No demand</x:v>
      </x:c>
      <x:c r="B341" s="59" t="n">
        <x:v>338</x:v>
      </x:c>
      <x:c r="C341" s="78" t="n">
        <x:f>(('Inputs'!$B$29*(3*338*'Inputs'!$B$12-338^2)/(2*'Inputs'!$B$12^2))-('Inputs'!$B$29*(3*337*'Inputs'!$B$12-337^2)/(2*'Inputs'!$B$12^2)))*'Inputs'!$B$44</x:f>
        <x:v>602262.3850628436</x:v>
      </x:c>
      <x:c r="D341" s="78" t="n">
        <x:f>IF('Inputs'!$C$44&gt;0,('Inputs'!$B$30*(3*338*'Inputs'!$B$12-338^2)/(2*'Inputs'!$B$12^2))-('Inputs'!$B$30*(3*337*'Inputs'!$B$12-337^2)/(2*'Inputs'!$B$12^2)),0)</x:f>
        <x:v>258112.45074123144</x:v>
      </x:c>
      <x:c r="E341" s="78" t="n">
        <x:f>C341+D341</x:f>
        <x:v>860374.835804075</x:v>
      </x:c>
      <x:c r="F341" s="78" t="n">
        <x:f>'Inputs'!$B$13*E341+(1-'Inputs'!$B$13)/'Inputs'!$B$14*SUM(E286:E341)</x:f>
        <x:v>870592.5126665385</x:v>
      </x:c>
      <x:c r="G341" s="78" t="n">
        <x:f>F341*'Inputs'!$F$44</x:f>
        <x:v>783533.2613998846</x:v>
      </x:c>
      <x:c r="H341" s="78" t="n">
        <x:f>U340</x:f>
        <x:v>116537931580.66347</x:v>
      </x:c>
      <x:c r="I341" s="78" t="n">
        <x:f>V340</x:f>
        <x:v>0.10167151682377826</x:v>
      </x:c>
      <x:c r="J341" s="79" t="n">
        <x:f>IF(H341&gt;0,I341/H341,0)</x:f>
        <x:v>8.724328246156042e-13</x:v>
      </x:c>
      <x:c r="K341" s="80" t="n">
        <x:f>(H341*J341+I341)*'Inputs'!$D$44*(1+'Inputs'!$G$44)^(B341/30)</x:f>
        <x:v>0.04066860672951131</x:v>
      </x:c>
      <x:c r="L341" s="80" t="n">
        <x:f>MAX(0,K341*'Inputs'!$E$44)</x:f>
        <x:v>0</x:v>
      </x:c>
      <x:c r="M341" s="80" t="n">
        <x:f>MAX(0,-K341*'Inputs'!$E$44)</x:f>
        <x:v>0.008133721345902262</x:v>
      </x:c>
      <x:c r="N341" s="78" t="n">
        <x:f>H341*(L341*(1-'Inputs'!$B$15))/(I341+L341*(1-'Inputs'!$B$15))</x:f>
        <x:v>0</x:v>
      </x:c>
      <x:c r="O341" s="78" t="n">
        <x:f>H341-N341</x:f>
        <x:v>116537931580.66347</x:v>
      </x:c>
      <x:c r="P341" s="78" t="n">
        <x:f>I341+L341*(1-'Inputs'!$B$17)</x:f>
        <x:v>0.10167151682377826</x:v>
      </x:c>
      <x:c r="Q341" s="78" t="n">
        <x:f>IF(J341&gt;0,M341/J341,0)</x:f>
        <x:v>0</x:v>
      </x:c>
      <x:c r="R341" s="78" t="n">
        <x:f>IF(B341='Inputs'!$H$44,'Inputs'!$B$27*'Inputs'!$I$44,0)</x:f>
        <x:v>0</x:v>
      </x:c>
      <x:c r="S341" s="78" t="n">
        <x:f>Q341+G341+R341</x:f>
        <x:v>783533.2613998846</x:v>
      </x:c>
      <x:c r="T341" s="78" t="n">
        <x:f>P341*(S341*(1-'Inputs'!$B$15))/(O341+S341*(1-'Inputs'!$B$15))</x:f>
        <x:v>6.76739830554235e-7</x:v>
      </x:c>
      <x:c r="U341" s="78" t="n">
        <x:f>O341+S341*(1-'Inputs'!$B$17)</x:f>
        <x:v>116538711960.87352</x:v>
      </x:c>
      <x:c r="V341" s="78" t="n">
        <x:f>P341-T341</x:f>
        <x:v>0.10167084008394771</x:v>
      </x:c>
      <x:c r="W341" s="79" t="n">
        <x:f>IF(U341&gt;0,V341/U341,0)</x:f>
        <x:v>8.724211755324916e-13</x:v>
      </x:c>
      <x:c r="X341" s="80" t="n">
        <x:f>W341*('Inputs'!$B$6-AC341)</x:f>
        <x:v>-0.0003580307894557729</x:v>
      </x:c>
      <x:c r="Y341" s="80" t="n">
        <x:f>2*V341</x:f>
        <x:v>0.20334168016789542</x:v>
      </x:c>
      <x:c r="Z341" s="80" t="n">
        <x:f>K341*'Inputs'!$B$16+(G341+R341)*J341*'Inputs'!$B$16</x:f>
        <x:v>0.00024401574185788642</x:v>
      </x:c>
      <x:c r="AA341" s="80" t="n">
        <x:f>K341*(1+'Inputs'!$E$44)/2*'Inputs'!$B$17</x:f>
        <x:v>0.00006546254604347898</x:v>
      </x:c>
      <x:c r="AB341" s="78" t="n">
        <x:f>(IF(J341&gt;0,K341*(1-'Inputs'!$E$44)/2/J341,0)+G341+R341)*'Inputs'!$B$17</x:f>
        <x:v>3153.05135372187</x:v>
      </x:c>
      <x:c r="AC341" s="78" t="n">
        <x:f>AC340+AB341</x:f>
        <x:v>1410387550.7575169</x:v>
      </x:c>
      <x:c r="AD341" s="80" t="n">
        <x:f>Z341/(1+'Inputs'!$C$44)</x:f>
        <x:v>0.00019521259348630914</x:v>
      </x:c>
      <x:c r="AE341" s="80" t="n">
        <x:f>Z341-AD341</x:f>
        <x:v>0.00004880314837157727</x:v>
      </x:c>
      <x:c r="AF341" s="80" t="n">
        <x:f>D341*W341</x:f>
        <x:v>2.2518276769523746e-7</x:v>
      </x:c>
      <x:c r="AG341" s="80" t="n">
        <x:f>C341*W341</x:f>
        <x:v>5.25426457955528e-7</x:v>
      </x:c>
      <x:c r="AH341" s="80" t="n">
        <x:f>2*'Inputs'!$B$8*'Inputs'!$C$44</x:f>
        <x:v>1250</x:v>
      </x:c>
      <x:c r="AI341" s="81" t="n">
        <x:f>IF(AH341&gt;0,(AE341+AF341)/AH341*365,0)</x:f>
        <x:v>0.000014316272692667571</x:v>
      </x:c>
      <x:c r="AJ341" s="81" t="n">
        <x:f>IF('Inputs'!$B$44&gt;0,AG341/('Inputs'!$B$19*'Inputs'!$B$44)*365,0)</x:f>
        <x:v>1.9178065715376772e-8</x:v>
      </x:c>
      <x:c r="AK341" s="81" t="n">
        <x:f>W341/MAX($W$4:W341)-1</x:f>
        <x:v>-0.9999999987179108</x:v>
      </x:c>
      <x:c r="AL341" s="83" t="n">
        <x:f>'Inputs'!$B$44</x:f>
        <x:v>1</x:v>
      </x:c>
      <x:c r="AM341" s="83" t="n">
        <x:f>'Inputs'!$C$44</x:f>
        <x:v>0.25</x:v>
      </x:c>
      <x:c r="AN341" s="83" t="n">
        <x:f>'Inputs'!$D$44</x:f>
        <x:v>0.2</x:v>
      </x:c>
      <x:c r="AO341" s="81" t="n">
        <x:f>'Inputs'!$E$44</x:f>
        <x:v>-0.2</x:v>
      </x:c>
    </x:row>
    <x:row r="342">
      <x:c r="A342" s="59" t="str">
        <x:v>No demand</x:v>
      </x:c>
      <x:c r="B342" s="59" t="n">
        <x:v>339</x:v>
      </x:c>
      <x:c r="C342" s="78" t="n">
        <x:f>(('Inputs'!$B$29*(3*339*'Inputs'!$B$12-339^2)/(2*'Inputs'!$B$12^2))-('Inputs'!$B$29*(3*338*'Inputs'!$B$12-338^2)/(2*'Inputs'!$B$12^2)))*'Inputs'!$B$44</x:f>
        <x:v>601937.2771627009</x:v>
      </x:c>
      <x:c r="D342" s="78" t="n">
        <x:f>IF('Inputs'!$C$44&gt;0,('Inputs'!$B$30*(3*339*'Inputs'!$B$12-339^2)/(2*'Inputs'!$B$12^2))-('Inputs'!$B$30*(3*338*'Inputs'!$B$12-338^2)/(2*'Inputs'!$B$12^2)),0)</x:f>
        <x:v>257973.1187840104</x:v>
      </x:c>
      <x:c r="E342" s="78" t="n">
        <x:f>C342+D342</x:f>
        <x:v>859910.3959467113</x:v>
      </x:c>
      <x:c r="F342" s="78" t="n">
        <x:f>'Inputs'!$B$13*E342+(1-'Inputs'!$B$13)/'Inputs'!$B$14*SUM(E287:E342)</x:f>
        <x:v>870128.0728091584</x:v>
      </x:c>
      <x:c r="G342" s="78" t="n">
        <x:f>F342*'Inputs'!$F$44</x:f>
        <x:v>783115.2655282426</x:v>
      </x:c>
      <x:c r="H342" s="78" t="n">
        <x:f>U341</x:f>
        <x:v>116538711960.87352</x:v>
      </x:c>
      <x:c r="I342" s="78" t="n">
        <x:f>V341</x:f>
        <x:v>0.10167084008394771</x:v>
      </x:c>
      <x:c r="J342" s="79" t="n">
        <x:f>IF(H342&gt;0,I342/H342,0)</x:f>
        <x:v>8.724211755324916e-13</x:v>
      </x:c>
      <x:c r="K342" s="80" t="n">
        <x:f>(H342*J342+I342)*'Inputs'!$D$44*(1+'Inputs'!$G$44)^(B342/30)</x:f>
        <x:v>0.04066833603357908</x:v>
      </x:c>
      <x:c r="L342" s="80" t="n">
        <x:f>MAX(0,K342*'Inputs'!$E$44)</x:f>
        <x:v>0</x:v>
      </x:c>
      <x:c r="M342" s="80" t="n">
        <x:f>MAX(0,-K342*'Inputs'!$E$44)</x:f>
        <x:v>0.008133667206715817</x:v>
      </x:c>
      <x:c r="N342" s="78" t="n">
        <x:f>H342*(L342*(1-'Inputs'!$B$15))/(I342+L342*(1-'Inputs'!$B$15))</x:f>
        <x:v>0</x:v>
      </x:c>
      <x:c r="O342" s="78" t="n">
        <x:f>H342-N342</x:f>
        <x:v>116538711960.87352</x:v>
      </x:c>
      <x:c r="P342" s="78" t="n">
        <x:f>I342+L342*(1-'Inputs'!$B$17)</x:f>
        <x:v>0.10167084008394771</x:v>
      </x:c>
      <x:c r="Q342" s="78" t="n">
        <x:f>IF(J342&gt;0,M342/J342,0)</x:f>
        <x:v>0</x:v>
      </x:c>
      <x:c r="R342" s="78" t="n">
        <x:f>IF(B342='Inputs'!$H$44,'Inputs'!$B$27*'Inputs'!$I$44,0)</x:f>
        <x:v>0</x:v>
      </x:c>
      <x:c r="S342" s="78" t="n">
        <x:f>Q342+G342+R342</x:f>
        <x:v>783115.2655282426</x:v>
      </x:c>
      <x:c r="T342" s="78" t="n">
        <x:f>P342*(S342*(1-'Inputs'!$B$15))/(O342+S342*(1-'Inputs'!$B$15))</x:f>
        <x:v>6.763697775143854e-7</x:v>
      </x:c>
      <x:c r="U342" s="78" t="n">
        <x:f>O342+S342*(1-'Inputs'!$B$17)</x:f>
        <x:v>116539491924.76978</x:v>
      </x:c>
      <x:c r="V342" s="78" t="n">
        <x:f>P342-T342</x:f>
        <x:v>0.10167016371417019</x:v>
      </x:c>
      <x:c r="W342" s="79" t="n">
        <x:f>IF(U342&gt;0,V342/U342,0)</x:f>
        <x:v>8.72409532897241e-13</x:v>
      </x:c>
      <x:c r="X342" s="80" t="n">
        <x:f>W342*('Inputs'!$B$6-AC342)</x:f>
        <x:v>-0.0003580287607478076</x:v>
      </x:c>
      <x:c r="Y342" s="80" t="n">
        <x:f>2*V342</x:f>
        <x:v>0.20334032742834038</x:v>
      </x:c>
      <x:c r="Z342" s="80" t="n">
        <x:f>K342*'Inputs'!$B$16+(G342+R342)*J342*'Inputs'!$B$16</x:f>
        <x:v>0.00024401411543951767</x:v>
      </x:c>
      <x:c r="AA342" s="80" t="n">
        <x:f>K342*(1+'Inputs'!$E$44)/2*'Inputs'!$B$17</x:f>
        <x:v>0.00006546211031562026</x:v>
      </x:c>
      <x:c r="AB342" s="78" t="n">
        <x:f>(IF(J342&gt;0,K342*(1-'Inputs'!$E$44)/2/J342,0)+G342+R342)*'Inputs'!$B$17</x:f>
        <x:v>3151.3692777796487</x:v>
      </x:c>
      <x:c r="AC342" s="78" t="n">
        <x:f>AC341+AB342</x:f>
        <x:v>1410390702.1267946</x:v>
      </x:c>
      <x:c r="AD342" s="80" t="n">
        <x:f>Z342/(1+'Inputs'!$C$44)</x:f>
        <x:v>0.00019521129235161415</x:v>
      </x:c>
      <x:c r="AE342" s="80" t="n">
        <x:f>Z342-AD342</x:f>
        <x:v>0.00004880282308790352</x:v>
      </x:c>
      <x:c r="AF342" s="80" t="n">
        <x:f>D342*W342</x:f>
        <x:v>2.25058208058403e-7</x:v>
      </x:c>
      <x:c r="AG342" s="80" t="n">
        <x:f>C342*W342</x:f>
        <x:v>5.25135818802949e-7</x:v>
      </x:c>
      <x:c r="AH342" s="80" t="n">
        <x:f>2*'Inputs'!$B$8*'Inputs'!$C$44</x:f>
        <x:v>1250</x:v>
      </x:c>
      <x:c r="AI342" s="81" t="n">
        <x:f>IF(AH342&gt;0,(AE342+AF342)/AH342*365,0)</x:f>
        <x:v>0.000014316141338420883</x:v>
      </x:c>
      <x:c r="AJ342" s="81" t="n">
        <x:f>IF('Inputs'!$B$44&gt;0,AG342/('Inputs'!$B$19*'Inputs'!$B$44)*365,0)</x:f>
        <x:v>1.916745738630764e-8</x:v>
      </x:c>
      <x:c r="AK342" s="81" t="n">
        <x:f>W342/MAX($W$4:W342)-1</x:f>
        <x:v>-0.9999999987179279</x:v>
      </x:c>
      <x:c r="AL342" s="83" t="n">
        <x:f>'Inputs'!$B$44</x:f>
        <x:v>1</x:v>
      </x:c>
      <x:c r="AM342" s="83" t="n">
        <x:f>'Inputs'!$C$44</x:f>
        <x:v>0.25</x:v>
      </x:c>
      <x:c r="AN342" s="83" t="n">
        <x:f>'Inputs'!$D$44</x:f>
        <x:v>0.2</x:v>
      </x:c>
      <x:c r="AO342" s="81" t="n">
        <x:f>'Inputs'!$E$44</x:f>
        <x:v>-0.2</x:v>
      </x:c>
    </x:row>
    <x:row r="343">
      <x:c r="A343" s="59" t="str">
        <x:v>No demand</x:v>
      </x:c>
      <x:c r="B343" s="59" t="n">
        <x:v>340</x:v>
      </x:c>
      <x:c r="C343" s="78" t="n">
        <x:f>(('Inputs'!$B$29*(3*340*'Inputs'!$B$12-340^2)/(2*'Inputs'!$B$12^2))-('Inputs'!$B$29*(3*339*'Inputs'!$B$12-339^2)/(2*'Inputs'!$B$12^2)))*'Inputs'!$B$44</x:f>
        <x:v>601612.1692625284</x:v>
      </x:c>
      <x:c r="D343" s="78" t="n">
        <x:f>IF('Inputs'!$C$44&gt;0,('Inputs'!$B$30*(3*340*'Inputs'!$B$12-340^2)/(2*'Inputs'!$B$12^2))-('Inputs'!$B$30*(3*339*'Inputs'!$B$12-339^2)/(2*'Inputs'!$B$12^2)),0)</x:f>
        <x:v>257833.78682678938</x:v>
      </x:c>
      <x:c r="E343" s="78" t="n">
        <x:f>C343+D343</x:f>
        <x:v>859445.9560893178</x:v>
      </x:c>
      <x:c r="F343" s="78" t="n">
        <x:f>'Inputs'!$B$13*E343+(1-'Inputs'!$B$13)/'Inputs'!$B$14*SUM(E288:E343)</x:f>
        <x:v>869663.6329517725</x:v>
      </x:c>
      <x:c r="G343" s="78" t="n">
        <x:f>F343*'Inputs'!$F$44</x:f>
        <x:v>782697.2696565953</x:v>
      </x:c>
      <x:c r="H343" s="78" t="n">
        <x:f>U342</x:f>
        <x:v>116539491924.76978</x:v>
      </x:c>
      <x:c r="I343" s="78" t="n">
        <x:f>V342</x:f>
        <x:v>0.10167016371417019</x:v>
      </x:c>
      <x:c r="J343" s="79" t="n">
        <x:f>IF(H343&gt;0,I343/H343,0)</x:f>
        <x:v>8.72409532897241e-13</x:v>
      </x:c>
      <x:c r="K343" s="80" t="n">
        <x:f>(H343*J343+I343)*'Inputs'!$D$44*(1+'Inputs'!$G$44)^(B343/30)</x:f>
        <x:v>0.04066806548566808</x:v>
      </x:c>
      <x:c r="L343" s="80" t="n">
        <x:f>MAX(0,K343*'Inputs'!$E$44)</x:f>
        <x:v>0</x:v>
      </x:c>
      <x:c r="M343" s="80" t="n">
        <x:f>MAX(0,-K343*'Inputs'!$E$44)</x:f>
        <x:v>0.008133613097133617</x:v>
      </x:c>
      <x:c r="N343" s="78" t="n">
        <x:f>H343*(L343*(1-'Inputs'!$B$15))/(I343+L343*(1-'Inputs'!$B$15))</x:f>
        <x:v>0</x:v>
      </x:c>
      <x:c r="O343" s="78" t="n">
        <x:f>H343-N343</x:f>
        <x:v>116539491924.76978</x:v>
      </x:c>
      <x:c r="P343" s="78" t="n">
        <x:f>I343+L343*(1-'Inputs'!$B$17)</x:f>
        <x:v>0.10167016371417019</x:v>
      </x:c>
      <x:c r="Q343" s="78" t="n">
        <x:f>IF(J343&gt;0,M343/J343,0)</x:f>
        <x:v>0</x:v>
      </x:c>
      <x:c r="R343" s="78" t="n">
        <x:f>IF(B343='Inputs'!$H$44,'Inputs'!$B$27*'Inputs'!$I$44,0)</x:f>
        <x:v>0</x:v>
      </x:c>
      <x:c r="S343" s="78" t="n">
        <x:f>Q343+G343+R343</x:f>
        <x:v>782697.2696565953</x:v>
      </x:c>
      <x:c r="T343" s="78" t="n">
        <x:f>P343*(S343*(1-'Inputs'!$B$15))/(O343+S343*(1-'Inputs'!$B$15))</x:f>
        <x:v>6.759997391091329e-7</x:v>
      </x:c>
      <x:c r="U343" s="78" t="n">
        <x:f>O343+S343*(1-'Inputs'!$B$17)</x:f>
        <x:v>116540271472.35223</x:v>
      </x:c>
      <x:c r="V343" s="78" t="n">
        <x:f>P343-T343</x:f>
        <x:v>0.10166948771443109</x:v>
      </x:c>
      <x:c r="W343" s="79" t="n">
        <x:f>IF(U343&gt;0,V343/U343,0)</x:f>
        <x:v>8.72397896709473e-13</x:v>
      </x:c>
      <x:c r="X343" s="80" t="n">
        <x:f>W343*('Inputs'!$B$6-AC343)</x:f>
        <x:v>-0.0003580267331450295</x:v>
      </x:c>
      <x:c r="Y343" s="80" t="n">
        <x:f>2*V343</x:f>
        <x:v>0.20333897542886217</x:v>
      </x:c>
      <x:c r="Z343" s="80" t="n">
        <x:f>K343*'Inputs'!$B$16+(G343+R343)*J343*'Inputs'!$B$16</x:f>
        <x:v>0.000244012489909365</x:v>
      </x:c>
      <x:c r="AA343" s="80" t="n">
        <x:f>K343*(1+'Inputs'!$E$44)/2*'Inputs'!$B$17</x:f>
        <x:v>0.00006546167482602509</x:v>
      </x:c>
      <x:c r="AB343" s="78" t="n">
        <x:f>(IF(J343&gt;0,K343*(1-'Inputs'!$E$44)/2/J343,0)+G343+R343)*'Inputs'!$B$17</x:f>
        <x:v>3149.687201837406</x:v>
      </x:c>
      <x:c r="AC343" s="78" t="n">
        <x:f>AC342+AB343</x:f>
        <x:v>1410393851.8139963</x:v>
      </x:c>
      <x:c r="AD343" s="80" t="n">
        <x:f>Z343/(1+'Inputs'!$C$44)</x:f>
        <x:v>0.000195209991927492</x:v>
      </x:c>
      <x:c r="AE343" s="80" t="n">
        <x:f>Z343-AD343</x:f>
        <x:v>0.000048802497981872994</x:v>
      </x:c>
      <x:c r="AF343" s="80" t="n">
        <x:f>D343*W343</x:f>
        <x:v>2.2493365332832967e-7</x:v>
      </x:c>
      <x:c r="AG343" s="80" t="n">
        <x:f>C343*W343</x:f>
        <x:v>5.248451910994533e-7</x:v>
      </x:c>
      <x:c r="AH343" s="80" t="n">
        <x:f>2*'Inputs'!$B$8*'Inputs'!$C$44</x:f>
        <x:v>1250</x:v>
      </x:c>
      <x:c r="AI343" s="81" t="n">
        <x:f>IF(AH343&gt;0,(AE343+AF343)/AH343*365,0)</x:f>
        <x:v>0.000014316010037478786</x:v>
      </x:c>
      <x:c r="AJ343" s="81" t="n">
        <x:f>IF('Inputs'!$B$44&gt;0,AG343/('Inputs'!$B$19*'Inputs'!$B$44)*365,0)</x:f>
        <x:v>1.9156849475130045e-8</x:v>
      </x:c>
      <x:c r="AK343" s="81" t="n">
        <x:f>W343/MAX($W$4:W343)-1</x:f>
        <x:v>-0.999999998717945</x:v>
      </x:c>
      <x:c r="AL343" s="83" t="n">
        <x:f>'Inputs'!$B$44</x:f>
        <x:v>1</x:v>
      </x:c>
      <x:c r="AM343" s="83" t="n">
        <x:f>'Inputs'!$C$44</x:f>
        <x:v>0.25</x:v>
      </x:c>
      <x:c r="AN343" s="83" t="n">
        <x:f>'Inputs'!$D$44</x:f>
        <x:v>0.2</x:v>
      </x:c>
      <x:c r="AO343" s="81" t="n">
        <x:f>'Inputs'!$E$44</x:f>
        <x:v>-0.2</x:v>
      </x:c>
    </x:row>
    <x:row r="344">
      <x:c r="A344" s="59" t="str">
        <x:v>No demand</x:v>
      </x:c>
      <x:c r="B344" s="59" t="n">
        <x:v>341</x:v>
      </x:c>
      <x:c r="C344" s="78" t="n">
        <x:f>(('Inputs'!$B$29*(3*341*'Inputs'!$B$12-341^2)/(2*'Inputs'!$B$12^2))-('Inputs'!$B$29*(3*340*'Inputs'!$B$12-340^2)/(2*'Inputs'!$B$12^2)))*'Inputs'!$B$44</x:f>
        <x:v>601287.061362356</x:v>
      </x:c>
      <x:c r="D344" s="78" t="n">
        <x:f>IF('Inputs'!$C$44&gt;0,('Inputs'!$B$30*(3*341*'Inputs'!$B$12-341^2)/(2*'Inputs'!$B$12^2))-('Inputs'!$B$30*(3*340*'Inputs'!$B$12-340^2)/(2*'Inputs'!$B$12^2)),0)</x:f>
        <x:v>257694.45486958325</x:v>
      </x:c>
      <x:c r="E344" s="78" t="n">
        <x:f>C344+D344</x:f>
        <x:v>858981.5162319392</x:v>
      </x:c>
      <x:c r="F344" s="78" t="n">
        <x:f>'Inputs'!$B$13*E344+(1-'Inputs'!$B$13)/'Inputs'!$B$14*SUM(E289:E344)</x:f>
        <x:v>869199.1930943893</x:v>
      </x:c>
      <x:c r="G344" s="78" t="n">
        <x:f>F344*'Inputs'!$F$44</x:f>
        <x:v>782279.2737849504</x:v>
      </x:c>
      <x:c r="H344" s="78" t="n">
        <x:f>U343</x:f>
        <x:v>116540271472.35223</x:v>
      </x:c>
      <x:c r="I344" s="78" t="n">
        <x:f>V343</x:f>
        <x:v>0.10166948771443109</x:v>
      </x:c>
      <x:c r="J344" s="79" t="n">
        <x:f>IF(H344&gt;0,I344/H344,0)</x:f>
        <x:v>8.72397896709473e-13</x:v>
      </x:c>
      <x:c r="K344" s="80" t="n">
        <x:f>(H344*J344+I344)*'Inputs'!$D$44*(1+'Inputs'!$G$44)^(B344/30)</x:f>
        <x:v>0.04066779508577244</x:v>
      </x:c>
      <x:c r="L344" s="80" t="n">
        <x:f>MAX(0,K344*'Inputs'!$E$44)</x:f>
        <x:v>0</x:v>
      </x:c>
      <x:c r="M344" s="80" t="n">
        <x:f>MAX(0,-K344*'Inputs'!$E$44)</x:f>
        <x:v>0.008133559017154488</x:v>
      </x:c>
      <x:c r="N344" s="78" t="n">
        <x:f>H344*(L344*(1-'Inputs'!$B$15))/(I344+L344*(1-'Inputs'!$B$15))</x:f>
        <x:v>0</x:v>
      </x:c>
      <x:c r="O344" s="78" t="n">
        <x:f>H344-N344</x:f>
        <x:v>116540271472.35223</x:v>
      </x:c>
      <x:c r="P344" s="78" t="n">
        <x:f>I344+L344*(1-'Inputs'!$B$17)</x:f>
        <x:v>0.10166948771443109</x:v>
      </x:c>
      <x:c r="Q344" s="78" t="n">
        <x:f>IF(J344&gt;0,M344/J344,0)</x:f>
        <x:v>0</x:v>
      </x:c>
      <x:c r="R344" s="78" t="n">
        <x:f>IF(B344='Inputs'!$H$44,'Inputs'!$B$27*'Inputs'!$I$44,0)</x:f>
        <x:v>0</x:v>
      </x:c>
      <x:c r="S344" s="78" t="n">
        <x:f>Q344+G344+R344</x:f>
        <x:v>782279.2737849504</x:v>
      </x:c>
      <x:c r="T344" s="78" t="n">
        <x:f>P344*(S344*(1-'Inputs'!$B$15))/(O344+S344*(1-'Inputs'!$B$15))</x:f>
        <x:v>6.756297153301859e-7</x:v>
      </x:c>
      <x:c r="U344" s="78" t="n">
        <x:f>O344+S344*(1-'Inputs'!$B$17)</x:f>
        <x:v>116541050603.6209</x:v>
      </x:c>
      <x:c r="V344" s="78" t="n">
        <x:f>P344-T344</x:f>
        <x:v>0.10166881208471576</x:v>
      </x:c>
      <x:c r="W344" s="79" t="n">
        <x:f>IF(U344&gt;0,V344/U344,0)</x:f>
        <x:v>8.723862669688079e-13</x:v>
      </x:c>
      <x:c r="X344" s="80" t="n">
        <x:f>W344*('Inputs'!$B$6-AC344)</x:f>
        <x:v>-0.0003580247066474026</x:v>
      </x:c>
      <x:c r="Y344" s="80" t="n">
        <x:f>2*V344</x:f>
        <x:v>0.20333762416943152</x:v>
      </x:c>
      <x:c r="Z344" s="80" t="n">
        <x:f>K344*'Inputs'!$B$16+(G344+R344)*J344*'Inputs'!$B$16</x:f>
        <x:v>0.00024401086526739318</x:v>
      </x:c>
      <x:c r="AA344" s="80" t="n">
        <x:f>K344*(1+'Inputs'!$E$44)/2*'Inputs'!$B$17</x:f>
        <x:v>0.00006546123957468401</x:v>
      </x:c>
      <x:c r="AB344" s="78" t="n">
        <x:f>(IF(J344&gt;0,K344*(1-'Inputs'!$E$44)/2/J344,0)+G344+R344)*'Inputs'!$B$17</x:f>
        <x:v>3148.005125895173</x:v>
      </x:c>
      <x:c r="AC344" s="78" t="n">
        <x:f>AC343+AB344</x:f>
        <x:v>1410396999.8191223</x:v>
      </x:c>
      <x:c r="AD344" s="80" t="n">
        <x:f>Z344/(1+'Inputs'!$C$44)</x:f>
        <x:v>0.00019520869221391454</x:v>
      </x:c>
      <x:c r="AE344" s="80" t="n">
        <x:f>Z344-AD344</x:f>
        <x:v>0.000048802173053478636</x:v>
      </x:c>
      <x:c r="AF344" s="80" t="n">
        <x:f>D344*W344</x:f>
        <x:v>2.2480910350223767e-7</x:v>
      </x:c>
      <x:c r="AG344" s="80" t="n">
        <x:f>C344*W344</x:f>
        <x:v>5.245545748385502e-7</x:v>
      </x:c>
      <x:c r="AH344" s="80" t="n">
        <x:f>2*'Inputs'!$B$8*'Inputs'!$C$44</x:f>
        <x:v>1250</x:v>
      </x:c>
      <x:c r="AI344" s="81" t="n">
        <x:f>IF(AH344&gt;0,(AE344+AF344)/AH344*365,0)</x:f>
        <x:v>0.000014315878789838414</x:v>
      </x:c>
      <x:c r="AJ344" s="81" t="n">
        <x:f>IF('Inputs'!$B$44&gt;0,AG344/('Inputs'!$B$19*'Inputs'!$B$44)*365,0)</x:f>
        <x:v>1.9146241981607082e-8</x:v>
      </x:c>
      <x:c r="AK344" s="81" t="n">
        <x:f>W344/MAX($W$4:W344)-1</x:f>
        <x:v>-0.9999999987179621</x:v>
      </x:c>
      <x:c r="AL344" s="83" t="n">
        <x:f>'Inputs'!$B$44</x:f>
        <x:v>1</x:v>
      </x:c>
      <x:c r="AM344" s="83" t="n">
        <x:f>'Inputs'!$C$44</x:f>
        <x:v>0.25</x:v>
      </x:c>
      <x:c r="AN344" s="83" t="n">
        <x:f>'Inputs'!$D$44</x:f>
        <x:v>0.2</x:v>
      </x:c>
      <x:c r="AO344" s="81" t="n">
        <x:f>'Inputs'!$E$44</x:f>
        <x:v>-0.2</x:v>
      </x:c>
    </x:row>
    <x:row r="345">
      <x:c r="A345" s="59" t="str">
        <x:v>No demand</x:v>
      </x:c>
      <x:c r="B345" s="59" t="n">
        <x:v>342</x:v>
      </x:c>
      <x:c r="C345" s="78" t="n">
        <x:f>(('Inputs'!$B$29*(3*342*'Inputs'!$B$12-342^2)/(2*'Inputs'!$B$12^2))-('Inputs'!$B$29*(3*341*'Inputs'!$B$12-341^2)/(2*'Inputs'!$B$12^2)))*'Inputs'!$B$44</x:f>
        <x:v>600961.9534621835</x:v>
      </x:c>
      <x:c r="D345" s="78" t="n">
        <x:f>IF('Inputs'!$C$44&gt;0,('Inputs'!$B$30*(3*342*'Inputs'!$B$12-342^2)/(2*'Inputs'!$B$12^2))-('Inputs'!$B$30*(3*341*'Inputs'!$B$12-341^2)/(2*'Inputs'!$B$12^2)),0)</x:f>
        <x:v>257555.12291236222</x:v>
      </x:c>
      <x:c r="E345" s="78" t="n">
        <x:f>C345+D345</x:f>
        <x:v>858517.0763745457</x:v>
      </x:c>
      <x:c r="F345" s="78" t="n">
        <x:f>'Inputs'!$B$13*E345+(1-'Inputs'!$B$13)/'Inputs'!$B$14*SUM(E290:E345)</x:f>
        <x:v>868734.7532370031</x:v>
      </x:c>
      <x:c r="G345" s="78" t="n">
        <x:f>F345*'Inputs'!$F$44</x:f>
        <x:v>781861.2779133028</x:v>
      </x:c>
      <x:c r="H345" s="78" t="n">
        <x:f>U344</x:f>
        <x:v>116541050603.6209</x:v>
      </x:c>
      <x:c r="I345" s="78" t="n">
        <x:f>V344</x:f>
        <x:v>0.10166881208471576</x:v>
      </x:c>
      <x:c r="J345" s="79" t="n">
        <x:f>IF(H345&gt;0,I345/H345,0)</x:f>
        <x:v>8.723862669688079e-13</x:v>
      </x:c>
      <x:c r="K345" s="80" t="n">
        <x:f>(H345*J345+I345)*'Inputs'!$D$44*(1+'Inputs'!$G$44)^(B345/30)</x:f>
        <x:v>0.040667524833886304</x:v>
      </x:c>
      <x:c r="L345" s="80" t="n">
        <x:f>MAX(0,K345*'Inputs'!$E$44)</x:f>
        <x:v>0</x:v>
      </x:c>
      <x:c r="M345" s="80" t="n">
        <x:f>MAX(0,-K345*'Inputs'!$E$44)</x:f>
        <x:v>0.00813350496677726</x:v>
      </x:c>
      <x:c r="N345" s="78" t="n">
        <x:f>H345*(L345*(1-'Inputs'!$B$15))/(I345+L345*(1-'Inputs'!$B$15))</x:f>
        <x:v>0</x:v>
      </x:c>
      <x:c r="O345" s="78" t="n">
        <x:f>H345-N345</x:f>
        <x:v>116541050603.6209</x:v>
      </x:c>
      <x:c r="P345" s="78" t="n">
        <x:f>I345+L345*(1-'Inputs'!$B$17)</x:f>
        <x:v>0.10166881208471576</x:v>
      </x:c>
      <x:c r="Q345" s="78" t="n">
        <x:f>IF(J345&gt;0,M345/J345,0)</x:f>
        <x:v>0</x:v>
      </x:c>
      <x:c r="R345" s="78" t="n">
        <x:f>IF(B345='Inputs'!$H$44,'Inputs'!$B$27*'Inputs'!$I$44,0)</x:f>
        <x:v>0</x:v>
      </x:c>
      <x:c r="S345" s="78" t="n">
        <x:f>Q345+G345+R345</x:f>
        <x:v>781861.2779133028</x:v>
      </x:c>
      <x:c r="T345" s="78" t="n">
        <x:f>P345*(S345*(1-'Inputs'!$B$15))/(O345+S345*(1-'Inputs'!$B$15))</x:f>
        <x:v>6.752597061692423e-7</x:v>
      </x:c>
      <x:c r="U345" s="78" t="n">
        <x:f>O345+S345*(1-'Inputs'!$B$17)</x:f>
        <x:v>116541829318.57576</x:v>
      </x:c>
      <x:c r="V345" s="78" t="n">
        <x:f>P345-T345</x:f>
        <x:v>0.1016681368250096</x:v>
      </x:c>
      <x:c r="W345" s="79" t="n">
        <x:f>IF(U345&gt;0,V345/U345,0)</x:f>
        <x:v>8.723746436748661e-13</x:v>
      </x:c>
      <x:c r="X345" s="80" t="n">
        <x:f>W345*('Inputs'!$B$6-AC345)</x:f>
        <x:v>-0.00035802268125489055</x:v>
      </x:c>
      <x:c r="Y345" s="80" t="n">
        <x:f>2*V345</x:f>
        <x:v>0.2033362736500192</x:v>
      </x:c>
      <x:c r="Z345" s="80" t="n">
        <x:f>K345*'Inputs'!$B$16+(G345+R345)*J345*'Inputs'!$B$16</x:f>
        <x:v>0.00024400924151356696</x:v>
      </x:c>
      <x:c r="AA345" s="80" t="n">
        <x:f>K345*(1+'Inputs'!$E$44)/2*'Inputs'!$B$17</x:f>
        <x:v>0.00006546080456158761</x:v>
      </x:c>
      <x:c r="AB345" s="78" t="n">
        <x:f>(IF(J345&gt;0,K345*(1-'Inputs'!$E$44)/2/J345,0)+G345+R345)*'Inputs'!$B$17</x:f>
        <x:v>3146.323049952929</x:v>
      </x:c>
      <x:c r="AC345" s="78" t="n">
        <x:f>AC344+AB345</x:f>
        <x:v>1410400146.1421723</x:v>
      </x:c>
      <x:c r="AD345" s="80" t="n">
        <x:f>Z345/(1+'Inputs'!$C$44)</x:f>
        <x:v>0.00019520739321085356</x:v>
      </x:c>
      <x:c r="AE345" s="80" t="n">
        <x:f>Z345-AD345</x:f>
        <x:v>0.0000488018483027134</x:v>
      </x:c>
      <x:c r="AF345" s="80" t="n">
        <x:f>D345*W345</x:f>
        <x:v>2.2468455857730834e-7</x:v>
      </x:c>
      <x:c r="AG345" s="80" t="n">
        <x:f>C345*W345</x:f>
        <x:v>5.242639700137238e-7</x:v>
      </x:c>
      <x:c r="AH345" s="80" t="n">
        <x:f>2*'Inputs'!$B$8*'Inputs'!$C$44</x:f>
        <x:v>1250</x:v>
      </x:c>
      <x:c r="AI345" s="81" t="n">
        <x:f>IF(AH345&gt;0,(AE345+AF345)/AH345*365,0)</x:f>
        <x:v>0.000014315747595496887</x:v>
      </x:c>
      <x:c r="AJ345" s="81" t="n">
        <x:f>IF('Inputs'!$B$44&gt;0,AG345/('Inputs'!$B$19*'Inputs'!$B$44)*365,0)</x:f>
        <x:v>1.9135634905500918e-8</x:v>
      </x:c>
      <x:c r="AK345" s="81" t="n">
        <x:f>W345/MAX($W$4:W345)-1</x:f>
        <x:v>-0.9999999987179792</x:v>
      </x:c>
      <x:c r="AL345" s="83" t="n">
        <x:f>'Inputs'!$B$44</x:f>
        <x:v>1</x:v>
      </x:c>
      <x:c r="AM345" s="83" t="n">
        <x:f>'Inputs'!$C$44</x:f>
        <x:v>0.25</x:v>
      </x:c>
      <x:c r="AN345" s="83" t="n">
        <x:f>'Inputs'!$D$44</x:f>
        <x:v>0.2</x:v>
      </x:c>
      <x:c r="AO345" s="81" t="n">
        <x:f>'Inputs'!$E$44</x:f>
        <x:v>-0.2</x:v>
      </x:c>
    </x:row>
    <x:row r="346">
      <x:c r="A346" s="59" t="str">
        <x:v>No demand</x:v>
      </x:c>
      <x:c r="B346" s="59" t="n">
        <x:v>343</x:v>
      </x:c>
      <x:c r="C346" s="78" t="n">
        <x:f>(('Inputs'!$B$29*(3*343*'Inputs'!$B$12-343^2)/(2*'Inputs'!$B$12^2))-('Inputs'!$B$29*(3*342*'Inputs'!$B$12-342^2)/(2*'Inputs'!$B$12^2)))*'Inputs'!$B$44</x:f>
        <x:v>600636.8455620408</x:v>
      </x:c>
      <x:c r="D346" s="78" t="n">
        <x:f>IF('Inputs'!$C$44&gt;0,('Inputs'!$B$30*(3*343*'Inputs'!$B$12-343^2)/(2*'Inputs'!$B$12^2))-('Inputs'!$B$30*(3*342*'Inputs'!$B$12-342^2)/(2*'Inputs'!$B$12^2)),0)</x:f>
        <x:v>257415.7909551561</x:v>
      </x:c>
      <x:c r="E346" s="78" t="n">
        <x:f>C346+D346</x:f>
        <x:v>858052.6365171969</x:v>
      </x:c>
      <x:c r="F346" s="78" t="n">
        <x:f>'Inputs'!$B$13*E346+(1-'Inputs'!$B$13)/'Inputs'!$B$14*SUM(E291:E346)</x:f>
        <x:v>868270.3133796263</x:v>
      </x:c>
      <x:c r="G346" s="78" t="n">
        <x:f>F346*'Inputs'!$F$44</x:f>
        <x:v>781443.2820416637</x:v>
      </x:c>
      <x:c r="H346" s="78" t="n">
        <x:f>U345</x:f>
        <x:v>116541829318.57576</x:v>
      </x:c>
      <x:c r="I346" s="78" t="n">
        <x:f>V345</x:f>
        <x:v>0.1016681368250096</x:v>
      </x:c>
      <x:c r="J346" s="79" t="n">
        <x:f>IF(H346&gt;0,I346/H346,0)</x:f>
        <x:v>8.723746436748661e-13</x:v>
      </x:c>
      <x:c r="K346" s="80" t="n">
        <x:f>(H346*J346+I346)*'Inputs'!$D$44*(1+'Inputs'!$G$44)^(B346/30)</x:f>
        <x:v>0.04066725473000384</x:v>
      </x:c>
      <x:c r="L346" s="80" t="n">
        <x:f>MAX(0,K346*'Inputs'!$E$44)</x:f>
        <x:v>0</x:v>
      </x:c>
      <x:c r="M346" s="80" t="n">
        <x:f>MAX(0,-K346*'Inputs'!$E$44)</x:f>
        <x:v>0.00813345094600077</x:v>
      </x:c>
      <x:c r="N346" s="78" t="n">
        <x:f>H346*(L346*(1-'Inputs'!$B$15))/(I346+L346*(1-'Inputs'!$B$15))</x:f>
        <x:v>0</x:v>
      </x:c>
      <x:c r="O346" s="78" t="n">
        <x:f>H346-N346</x:f>
        <x:v>116541829318.57576</x:v>
      </x:c>
      <x:c r="P346" s="78" t="n">
        <x:f>I346+L346*(1-'Inputs'!$B$17)</x:f>
        <x:v>0.1016681368250096</x:v>
      </x:c>
      <x:c r="Q346" s="78" t="n">
        <x:f>IF(J346&gt;0,M346/J346,0)</x:f>
        <x:v>0</x:v>
      </x:c>
      <x:c r="R346" s="78" t="n">
        <x:f>IF(B346='Inputs'!$H$44,'Inputs'!$B$27*'Inputs'!$I$44,0)</x:f>
        <x:v>0</x:v>
      </x:c>
      <x:c r="S346" s="78" t="n">
        <x:f>Q346+G346+R346</x:f>
        <x:v>781443.2820416637</x:v>
      </x:c>
      <x:c r="T346" s="78" t="n">
        <x:f>P346*(S346*(1-'Inputs'!$B$15))/(O346+S346*(1-'Inputs'!$B$15))</x:f>
        <x:v>6.748897116180149e-7</x:v>
      </x:c>
      <x:c r="U346" s="78" t="n">
        <x:f>O346+S346*(1-'Inputs'!$B$17)</x:f>
        <x:v>116542607617.21683</x:v>
      </x:c>
      <x:c r="V346" s="78" t="n">
        <x:f>P346-T346</x:f>
        <x:v>0.10166746193529798</x:v>
      </x:c>
      <x:c r="W346" s="79" t="n">
        <x:f>IF(U346&gt;0,V346/U346,0)</x:f>
        <x:v>8.723630268272688e-13</x:v>
      </x:c>
      <x:c r="X346" s="80" t="n">
        <x:f>W346*('Inputs'!$B$6-AC346)</x:f>
        <x:v>-0.00035802065696745734</x:v>
      </x:c>
      <x:c r="Y346" s="80" t="n">
        <x:f>2*V346</x:f>
        <x:v>0.20333492387059596</x:v>
      </x:c>
      <x:c r="Z346" s="80" t="n">
        <x:f>K346*'Inputs'!$B$16+(G346+R346)*J346*'Inputs'!$B$16</x:f>
        <x:v>0.0002440076186478514</x:v>
      </x:c>
      <x:c r="AA346" s="80" t="n">
        <x:f>K346*(1+'Inputs'!$E$44)/2*'Inputs'!$B$17</x:f>
        <x:v>0.00006546036978672652</x:v>
      </x:c>
      <x:c r="AB346" s="78" t="n">
        <x:f>(IF(J346&gt;0,K346*(1-'Inputs'!$E$44)/2/J346,0)+G346+R346)*'Inputs'!$B$17</x:f>
        <x:v>3144.640974010719</x:v>
      </x:c>
      <x:c r="AC346" s="78" t="n">
        <x:f>AC345+AB346</x:f>
        <x:v>1410403290.7831464</x:v>
      </x:c>
      <x:c r="AD346" s="80" t="n">
        <x:f>Z346/(1+'Inputs'!$C$44)</x:f>
        <x:v>0.00019520609491828112</x:v>
      </x:c>
      <x:c r="AE346" s="80" t="n">
        <x:f>Z346-AD346</x:f>
        <x:v>0.000048801523729570274</x:v>
      </x:c>
      <x:c r="AF346" s="80" t="n">
        <x:f>D346*W346</x:f>
        <x:v>2.2456001855077545e-7</x:v>
      </x:c>
      <x:c r="AG346" s="80" t="n">
        <x:f>C346*W346</x:f>
        <x:v>5.239733766184847e-7</x:v>
      </x:c>
      <x:c r="AH346" s="80" t="n">
        <x:f>2*'Inputs'!$B$8*'Inputs'!$C$44</x:f>
        <x:v>1250</x:v>
      </x:c>
      <x:c r="AI346" s="81" t="n">
        <x:f>IF(AH346&gt;0,(AE346+AF346)/AH346*365,0)</x:f>
        <x:v>0.000014315616454451346</x:v>
      </x:c>
      <x:c r="AJ346" s="81" t="n">
        <x:f>IF('Inputs'!$B$44&gt;0,AG346/('Inputs'!$B$19*'Inputs'!$B$44)*365,0)</x:f>
        <x:v>1.9125028246574692e-8</x:v>
      </x:c>
      <x:c r="AK346" s="81" t="n">
        <x:f>W346/MAX($W$4:W346)-1</x:f>
        <x:v>-0.9999999987179963</x:v>
      </x:c>
      <x:c r="AL346" s="83" t="n">
        <x:f>'Inputs'!$B$44</x:f>
        <x:v>1</x:v>
      </x:c>
      <x:c r="AM346" s="83" t="n">
        <x:f>'Inputs'!$C$44</x:f>
        <x:v>0.25</x:v>
      </x:c>
      <x:c r="AN346" s="83" t="n">
        <x:f>'Inputs'!$D$44</x:f>
        <x:v>0.2</x:v>
      </x:c>
      <x:c r="AO346" s="81" t="n">
        <x:f>'Inputs'!$E$44</x:f>
        <x:v>-0.2</x:v>
      </x:c>
    </x:row>
    <x:row r="347">
      <x:c r="A347" s="59" t="str">
        <x:v>No demand</x:v>
      </x:c>
      <x:c r="B347" s="59" t="n">
        <x:v>344</x:v>
      </x:c>
      <x:c r="C347" s="78" t="n">
        <x:f>(('Inputs'!$B$29*(3*344*'Inputs'!$B$12-344^2)/(2*'Inputs'!$B$12^2))-('Inputs'!$B$29*(3*343*'Inputs'!$B$12-343^2)/(2*'Inputs'!$B$12^2)))*'Inputs'!$B$44</x:f>
        <x:v>600311.7376618385</x:v>
      </x:c>
      <x:c r="D347" s="78" t="n">
        <x:f>IF('Inputs'!$C$44&gt;0,('Inputs'!$B$30*(3*344*'Inputs'!$B$12-344^2)/(2*'Inputs'!$B$12^2))-('Inputs'!$B$30*(3*343*'Inputs'!$B$12-343^2)/(2*'Inputs'!$B$12^2)),0)</x:f>
        <x:v>257276.45899793506</x:v>
      </x:c>
      <x:c r="E347" s="78" t="n">
        <x:f>C347+D347</x:f>
        <x:v>857588.1966597736</x:v>
      </x:c>
      <x:c r="F347" s="78" t="n">
        <x:f>'Inputs'!$B$13*E347+(1-'Inputs'!$B$13)/'Inputs'!$B$14*SUM(E292:E347)</x:f>
        <x:v>867805.8735222345</x:v>
      </x:c>
      <x:c r="G347" s="78" t="n">
        <x:f>F347*'Inputs'!$F$44</x:f>
        <x:v>781025.286170011</x:v>
      </x:c>
      <x:c r="H347" s="78" t="n">
        <x:f>U346</x:f>
        <x:v>116542607617.21683</x:v>
      </x:c>
      <x:c r="I347" s="78" t="n">
        <x:f>V346</x:f>
        <x:v>0.10166746193529798</x:v>
      </x:c>
      <x:c r="J347" s="79" t="n">
        <x:f>IF(H347&gt;0,I347/H347,0)</x:f>
        <x:v>8.723630268272688e-13</x:v>
      </x:c>
      <x:c r="K347" s="80" t="n">
        <x:f>(H347*J347+I347)*'Inputs'!$D$44*(1+'Inputs'!$G$44)^(B347/30)</x:f>
        <x:v>0.040666984774119196</x:v>
      </x:c>
      <x:c r="L347" s="80" t="n">
        <x:f>MAX(0,K347*'Inputs'!$E$44)</x:f>
        <x:v>0</x:v>
      </x:c>
      <x:c r="M347" s="80" t="n">
        <x:f>MAX(0,-K347*'Inputs'!$E$44)</x:f>
        <x:v>0.008133396954823839</x:v>
      </x:c>
      <x:c r="N347" s="78" t="n">
        <x:f>H347*(L347*(1-'Inputs'!$B$15))/(I347+L347*(1-'Inputs'!$B$15))</x:f>
        <x:v>0</x:v>
      </x:c>
      <x:c r="O347" s="78" t="n">
        <x:f>H347-N347</x:f>
        <x:v>116542607617.21683</x:v>
      </x:c>
      <x:c r="P347" s="78" t="n">
        <x:f>I347+L347*(1-'Inputs'!$B$17)</x:f>
        <x:v>0.10166746193529798</x:v>
      </x:c>
      <x:c r="Q347" s="78" t="n">
        <x:f>IF(J347&gt;0,M347/J347,0)</x:f>
        <x:v>0</x:v>
      </x:c>
      <x:c r="R347" s="78" t="n">
        <x:f>IF(B347='Inputs'!$H$44,'Inputs'!$B$27*'Inputs'!$I$44,0)</x:f>
        <x:v>0</x:v>
      </x:c>
      <x:c r="S347" s="78" t="n">
        <x:f>Q347+G347+R347</x:f>
        <x:v>781025.286170011</x:v>
      </x:c>
      <x:c r="T347" s="78" t="n">
        <x:f>P347*(S347*(1-'Inputs'!$B$15))/(O347+S347*(1-'Inputs'!$B$15))</x:f>
        <x:v>6.745197316681884e-7</x:v>
      </x:c>
      <x:c r="U347" s="78" t="n">
        <x:f>O347+S347*(1-'Inputs'!$B$17)</x:f>
        <x:v>116543385499.5441</x:v>
      </x:c>
      <x:c r="V347" s="78" t="n">
        <x:f>P347-T347</x:f>
        <x:v>0.10166678741556631</x:v>
      </x:c>
      <x:c r="W347" s="79" t="n">
        <x:f>IF(U347&gt;0,V347/U347,0)</x:f>
        <x:v>8.723514164256367e-13</x:v>
      </x:c>
      <x:c r="X347" s="80" t="n">
        <x:f>W347*('Inputs'!$B$6-AC347)</x:f>
        <x:v>-0.00035801863378506673</x:v>
      </x:c>
      <x:c r="Y347" s="80" t="n">
        <x:f>2*V347</x:f>
        <x:v>0.20333357483113262</x:v>
      </x:c>
      <x:c r="Z347" s="80" t="n">
        <x:f>K347*'Inputs'!$B$16+(G347+R347)*J347*'Inputs'!$B$16</x:f>
        <x:v>0.0002440059966702112</x:v>
      </x:c>
      <x:c r="AA347" s="80" t="n">
        <x:f>K347*(1+'Inputs'!$E$44)/2*'Inputs'!$B$17</x:f>
        <x:v>0.00006545993525009126</x:v>
      </x:c>
      <x:c r="AB347" s="78" t="n">
        <x:f>(IF(J347&gt;0,K347*(1-'Inputs'!$E$44)/2/J347,0)+G347+R347)*'Inputs'!$B$17</x:f>
        <x:v>3142.9588980684553</x:v>
      </x:c>
      <x:c r="AC347" s="78" t="n">
        <x:f>AC346+AB347</x:f>
        <x:v>1410406433.7420444</x:v>
      </x:c>
      <x:c r="AD347" s="80" t="n">
        <x:f>Z347/(1+'Inputs'!$C$44)</x:f>
        <x:v>0.00019520479733616897</x:v>
      </x:c>
      <x:c r="AE347" s="80" t="n">
        <x:f>Z347-AD347</x:f>
        <x:v>0.00004880119933404223</x:v>
      </x:c>
      <x:c r="AF347" s="80" t="n">
        <x:f>D347*W347</x:f>
        <x:v>2.244354834198209e-7</x:v>
      </x:c>
      <x:c r="AG347" s="80" t="n">
        <x:f>C347*W347</x:f>
        <x:v>5.236827946462401e-7</x:v>
      </x:c>
      <x:c r="AH347" s="80" t="n">
        <x:f>2*'Inputs'!$B$8*'Inputs'!$C$44</x:f>
        <x:v>1250</x:v>
      </x:c>
      <x:c r="AI347" s="81" t="n">
        <x:f>IF(AH347&gt;0,(AE347+AF347)/AH347*365,0)</x:f>
        <x:v>0.000014315485366698919</x:v>
      </x:c>
      <x:c r="AJ347" s="81" t="n">
        <x:f>IF('Inputs'!$B$44&gt;0,AG347/('Inputs'!$B$19*'Inputs'!$B$44)*365,0)</x:f>
        <x:v>1.9114422004587763e-8</x:v>
      </x:c>
      <x:c r="AK347" s="81" t="n">
        <x:f>W347/MAX($W$4:W347)-1</x:f>
        <x:v>-0.9999999987180134</x:v>
      </x:c>
      <x:c r="AL347" s="83" t="n">
        <x:f>'Inputs'!$B$44</x:f>
        <x:v>1</x:v>
      </x:c>
      <x:c r="AM347" s="83" t="n">
        <x:f>'Inputs'!$C$44</x:f>
        <x:v>0.25</x:v>
      </x:c>
      <x:c r="AN347" s="83" t="n">
        <x:f>'Inputs'!$D$44</x:f>
        <x:v>0.2</x:v>
      </x:c>
      <x:c r="AO347" s="81" t="n">
        <x:f>'Inputs'!$E$44</x:f>
        <x:v>-0.2</x:v>
      </x:c>
    </x:row>
    <x:row r="348">
      <x:c r="A348" s="59" t="str">
        <x:v>No demand</x:v>
      </x:c>
      <x:c r="B348" s="59" t="n">
        <x:v>345</x:v>
      </x:c>
      <x:c r="C348" s="78" t="n">
        <x:f>(('Inputs'!$B$29*(3*345*'Inputs'!$B$12-345^2)/(2*'Inputs'!$B$12^2))-('Inputs'!$B$29*(3*344*'Inputs'!$B$12-344^2)/(2*'Inputs'!$B$12^2)))*'Inputs'!$B$44</x:f>
        <x:v>599986.6297616661</x:v>
      </x:c>
      <x:c r="D348" s="78" t="n">
        <x:f>IF('Inputs'!$C$44&gt;0,('Inputs'!$B$30*(3*345*'Inputs'!$B$12-345^2)/(2*'Inputs'!$B$12^2))-('Inputs'!$B$30*(3*344*'Inputs'!$B$12-344^2)/(2*'Inputs'!$B$12^2)),0)</x:f>
        <x:v>257137.12704072893</x:v>
      </x:c>
      <x:c r="E348" s="78" t="n">
        <x:f>C348+D348</x:f>
        <x:v>857123.756802395</x:v>
      </x:c>
      <x:c r="F348" s="78" t="n">
        <x:f>'Inputs'!$B$13*E348+(1-'Inputs'!$B$13)/'Inputs'!$B$14*SUM(E293:E348)</x:f>
        <x:v>867341.4336648512</x:v>
      </x:c>
      <x:c r="G348" s="78" t="n">
        <x:f>F348*'Inputs'!$F$44</x:f>
        <x:v>780607.2902983661</x:v>
      </x:c>
      <x:c r="H348" s="78" t="n">
        <x:f>U347</x:f>
        <x:v>116543385499.5441</x:v>
      </x:c>
      <x:c r="I348" s="78" t="n">
        <x:f>V347</x:f>
        <x:v>0.10166678741556631</x:v>
      </x:c>
      <x:c r="J348" s="79" t="n">
        <x:f>IF(H348&gt;0,I348/H348,0)</x:f>
        <x:v>8.723514164256367e-13</x:v>
      </x:c>
      <x:c r="K348" s="80" t="n">
        <x:f>(H348*J348+I348)*'Inputs'!$D$44*(1+'Inputs'!$G$44)^(B348/30)</x:f>
        <x:v>0.04066671496622653</x:v>
      </x:c>
      <x:c r="L348" s="80" t="n">
        <x:f>MAX(0,K348*'Inputs'!$E$44)</x:f>
        <x:v>0</x:v>
      </x:c>
      <x:c r="M348" s="80" t="n">
        <x:f>MAX(0,-K348*'Inputs'!$E$44)</x:f>
        <x:v>0.008133342993245305</x:v>
      </x:c>
      <x:c r="N348" s="78" t="n">
        <x:f>H348*(L348*(1-'Inputs'!$B$15))/(I348+L348*(1-'Inputs'!$B$15))</x:f>
        <x:v>0</x:v>
      </x:c>
      <x:c r="O348" s="78" t="n">
        <x:f>H348-N348</x:f>
        <x:v>116543385499.5441</x:v>
      </x:c>
      <x:c r="P348" s="78" t="n">
        <x:f>I348+L348*(1-'Inputs'!$B$17)</x:f>
        <x:v>0.10166678741556631</x:v>
      </x:c>
      <x:c r="Q348" s="78" t="n">
        <x:f>IF(J348&gt;0,M348/J348,0)</x:f>
        <x:v>0</x:v>
      </x:c>
      <x:c r="R348" s="78" t="n">
        <x:f>IF(B348='Inputs'!$H$44,'Inputs'!$B$27*'Inputs'!$I$44,0)</x:f>
        <x:v>0</x:v>
      </x:c>
      <x:c r="S348" s="78" t="n">
        <x:f>Q348+G348+R348</x:f>
        <x:v>780607.2902983661</x:v>
      </x:c>
      <x:c r="T348" s="78" t="n">
        <x:f>P348*(S348*(1-'Inputs'!$B$15))/(O348+S348*(1-'Inputs'!$B$15))</x:f>
        <x:v>6.74149766311486e-7</x:v>
      </x:c>
      <x:c r="U348" s="78" t="n">
        <x:f>O348+S348*(1-'Inputs'!$B$17)</x:f>
        <x:v>116544162965.55757</x:v>
      </x:c>
      <x:c r="V348" s="78" t="n">
        <x:f>P348-T348</x:f>
        <x:v>0.1016661132658</x:v>
      </x:c>
      <x:c r="W348" s="79" t="n">
        <x:f>IF(U348&gt;0,V348/U348,0)</x:f>
        <x:v>8.723398124695914e-13</x:v>
      </x:c>
      <x:c r="X348" s="80" t="n">
        <x:f>W348*('Inputs'!$B$6-AC348)</x:f>
        <x:v>-0.0003580166117076827</x:v>
      </x:c>
      <x:c r="Y348" s="80" t="n">
        <x:f>2*V348</x:f>
        <x:v>0.2033322265316</x:v>
      </x:c>
      <x:c r="Z348" s="80" t="n">
        <x:f>K348*'Inputs'!$B$16+(G348+R348)*J348*'Inputs'!$B$16</x:f>
        <x:v>0.00024400437558061135</x:v>
      </x:c>
      <x:c r="AA348" s="80" t="n">
        <x:f>K348*(1+'Inputs'!$E$44)/2*'Inputs'!$B$17</x:f>
        <x:v>0.00006545950095167249</x:v>
      </x:c>
      <x:c r="AB348" s="78" t="n">
        <x:f>(IF(J348&gt;0,K348*(1-'Inputs'!$E$44)/2/J348,0)+G348+R348)*'Inputs'!$B$17</x:f>
        <x:v>3141.276822126222</x:v>
      </x:c>
      <x:c r="AC348" s="78" t="n">
        <x:f>AC347+AB348</x:f>
        <x:v>1410409575.0188665</x:v>
      </x:c>
      <x:c r="AD348" s="80" t="n">
        <x:f>Z348/(1+'Inputs'!$C$44)</x:f>
        <x:v>0.00019520350046448907</x:v>
      </x:c>
      <x:c r="AE348" s="80" t="n">
        <x:f>Z348-AD348</x:f>
        <x:v>0.000048800875116122275</x:v>
      </x:c>
      <x:c r="AF348" s="80" t="n">
        <x:f>D348*W348</x:f>
        <x:v>2.2431095318167898e-7</x:v>
      </x:c>
      <x:c r="AG348" s="80" t="n">
        <x:f>C348*W348</x:f>
        <x:v>5.23392224090554e-7</x:v>
      </x:c>
      <x:c r="AH348" s="80" t="n">
        <x:f>2*'Inputs'!$B$8*'Inputs'!$C$44</x:f>
        <x:v>1250</x:v>
      </x:c>
      <x:c r="AI348" s="81" t="n">
        <x:f>IF(AH348&gt;0,(AE348+AF348)/AH348*365,0)</x:f>
        <x:v>0.000014315354332236753</x:v>
      </x:c>
      <x:c r="AJ348" s="81" t="n">
        <x:f>IF('Inputs'!$B$44&gt;0,AG348/('Inputs'!$B$19*'Inputs'!$B$44)*365,0)</x:f>
        <x:v>1.910381617930522e-8</x:v>
      </x:c>
      <x:c r="AK348" s="81" t="n">
        <x:f>W348/MAX($W$4:W348)-1</x:f>
        <x:v>-0.9999999987180304</x:v>
      </x:c>
      <x:c r="AL348" s="83" t="n">
        <x:f>'Inputs'!$B$44</x:f>
        <x:v>1</x:v>
      </x:c>
      <x:c r="AM348" s="83" t="n">
        <x:f>'Inputs'!$C$44</x:f>
        <x:v>0.25</x:v>
      </x:c>
      <x:c r="AN348" s="83" t="n">
        <x:f>'Inputs'!$D$44</x:f>
        <x:v>0.2</x:v>
      </x:c>
      <x:c r="AO348" s="81" t="n">
        <x:f>'Inputs'!$E$44</x:f>
        <x:v>-0.2</x:v>
      </x:c>
    </x:row>
    <x:row r="349">
      <x:c r="A349" s="59" t="str">
        <x:v>No demand</x:v>
      </x:c>
      <x:c r="B349" s="59" t="n">
        <x:v>346</x:v>
      </x:c>
      <x:c r="C349" s="78" t="n">
        <x:f>(('Inputs'!$B$29*(3*346*'Inputs'!$B$12-346^2)/(2*'Inputs'!$B$12^2))-('Inputs'!$B$29*(3*345*'Inputs'!$B$12-345^2)/(2*'Inputs'!$B$12^2)))*'Inputs'!$B$44</x:f>
        <x:v>599661.5218615234</x:v>
      </x:c>
      <x:c r="D349" s="78" t="n">
        <x:f>IF('Inputs'!$C$44&gt;0,('Inputs'!$B$30*(3*346*'Inputs'!$B$12-346^2)/(2*'Inputs'!$B$12^2))-('Inputs'!$B$30*(3*345*'Inputs'!$B$12-345^2)/(2*'Inputs'!$B$12^2)),0)</x:f>
        <x:v>256997.795083493</x:v>
      </x:c>
      <x:c r="E349" s="78" t="n">
        <x:f>C349+D349</x:f>
        <x:v>856659.3169450164</x:v>
      </x:c>
      <x:c r="F349" s="78" t="n">
        <x:f>'Inputs'!$B$13*E349+(1-'Inputs'!$B$13)/'Inputs'!$B$14*SUM(E294:E349)</x:f>
        <x:v>866876.9938074681</x:v>
      </x:c>
      <x:c r="G349" s="78" t="n">
        <x:f>F349*'Inputs'!$F$44</x:f>
        <x:v>780189.2944267213</x:v>
      </x:c>
      <x:c r="H349" s="78" t="n">
        <x:f>U348</x:f>
        <x:v>116544162965.55757</x:v>
      </x:c>
      <x:c r="I349" s="78" t="n">
        <x:f>V348</x:f>
        <x:v>0.1016661132658</x:v>
      </x:c>
      <x:c r="J349" s="79" t="n">
        <x:f>IF(H349&gt;0,I349/H349,0)</x:f>
        <x:v>8.723398124695914e-13</x:v>
      </x:c>
      <x:c r="K349" s="80" t="n">
        <x:f>(H349*J349+I349)*'Inputs'!$D$44*(1+'Inputs'!$G$44)^(B349/30)</x:f>
        <x:v>0.04066644530632</x:v>
      </x:c>
      <x:c r="L349" s="80" t="n">
        <x:f>MAX(0,K349*'Inputs'!$E$44)</x:f>
        <x:v>0</x:v>
      </x:c>
      <x:c r="M349" s="80" t="n">
        <x:f>MAX(0,-K349*'Inputs'!$E$44)</x:f>
        <x:v>0.008133289061264001</x:v>
      </x:c>
      <x:c r="N349" s="78" t="n">
        <x:f>H349*(L349*(1-'Inputs'!$B$15))/(I349+L349*(1-'Inputs'!$B$15))</x:f>
        <x:v>0</x:v>
      </x:c>
      <x:c r="O349" s="78" t="n">
        <x:f>H349-N349</x:f>
        <x:v>116544162965.55757</x:v>
      </x:c>
      <x:c r="P349" s="78" t="n">
        <x:f>I349+L349*(1-'Inputs'!$B$17)</x:f>
        <x:v>0.1016661132658</x:v>
      </x:c>
      <x:c r="Q349" s="78" t="n">
        <x:f>IF(J349&gt;0,M349/J349,0)</x:f>
        <x:v>0</x:v>
      </x:c>
      <x:c r="R349" s="78" t="n">
        <x:f>IF(B349='Inputs'!$H$44,'Inputs'!$B$27*'Inputs'!$I$44,0)</x:f>
        <x:v>0</x:v>
      </x:c>
      <x:c r="S349" s="78" t="n">
        <x:f>Q349+G349+R349</x:f>
        <x:v>780189.2944267213</x:v>
      </x:c>
      <x:c r="T349" s="78" t="n">
        <x:f>P349*(S349*(1-'Inputs'!$B$15))/(O349+S349*(1-'Inputs'!$B$15))</x:f>
        <x:v>6.737798155396063e-7</x:v>
      </x:c>
      <x:c r="U349" s="78" t="n">
        <x:f>O349+S349*(1-'Inputs'!$B$17)</x:f>
        <x:v>116544940015.25725</x:v>
      </x:c>
      <x:c r="V349" s="78" t="n">
        <x:f>P349-T349</x:f>
        <x:v>0.10166543948598446</x:v>
      </x:c>
      <x:c r="W349" s="79" t="n">
        <x:f>IF(U349&gt;0,V349/U349,0)</x:f>
        <x:v>8.723282149587543e-13</x:v>
      </x:c>
      <x:c r="X349" s="80" t="n">
        <x:f>W349*('Inputs'!$B$6-AC349)</x:f>
        <x:v>-0.0003580145907352694</x:v>
      </x:c>
      <x:c r="Y349" s="80" t="n">
        <x:f>2*V349</x:f>
        <x:v>0.20333087897196891</x:v>
      </x:c>
      <x:c r="Z349" s="80" t="n">
        <x:f>K349*'Inputs'!$B$16+(G349+R349)*J349*'Inputs'!$B$16</x:f>
        <x:v>0.00024400275537901674</x:v>
      </x:c>
      <x:c r="AA349" s="80" t="n">
        <x:f>K349*(1+'Inputs'!$E$44)/2*'Inputs'!$B$17</x:f>
        <x:v>0.00006545906689146078</x:v>
      </x:c>
      <x:c r="AB349" s="78" t="n">
        <x:f>(IF(J349&gt;0,K349*(1-'Inputs'!$E$44)/2/J349,0)+G349+R349)*'Inputs'!$B$17</x:f>
        <x:v>3139.594746183989</x:v>
      </x:c>
      <x:c r="AC349" s="78" t="n">
        <x:f>AC348+AB349</x:f>
        <x:v>1410412714.6136127</x:v>
      </x:c>
      <x:c r="AD349" s="80" t="n">
        <x:f>Z349/(1+'Inputs'!$C$44)</x:f>
        <x:v>0.0001952022043032134</x:v>
      </x:c>
      <x:c r="AE349" s="80" t="n">
        <x:f>Z349-AD349</x:f>
        <x:v>0.00004880055107580334</x:v>
      </x:c>
      <x:c r="AF349" s="80" t="n">
        <x:f>D349*W349</x:f>
        <x:v>2.2418642783351918e-7</x:v>
      </x:c>
      <x:c r="AG349" s="80" t="n">
        <x:f>C349*W349</x:f>
        <x:v>5.231016649449127e-7</x:v>
      </x:c>
      <x:c r="AH349" s="80" t="n">
        <x:f>2*'Inputs'!$B$8*'Inputs'!$C$44</x:f>
        <x:v>1250</x:v>
      </x:c>
      <x:c r="AI349" s="81" t="n">
        <x:f>IF(AH349&gt;0,(AE349+AF349)/AH349*365,0)</x:f>
        <x:v>0.000014315223351061962</x:v>
      </x:c>
      <x:c r="AJ349" s="81" t="n">
        <x:f>IF('Inputs'!$B$44&gt;0,AG349/('Inputs'!$B$19*'Inputs'!$B$44)*365,0)</x:f>
        <x:v>1.9093210770489315e-8</x:v>
      </x:c>
      <x:c r="AK349" s="81" t="n">
        <x:f>W349/MAX($W$4:W349)-1</x:f>
        <x:v>-0.9999999987180475</x:v>
      </x:c>
      <x:c r="AL349" s="83" t="n">
        <x:f>'Inputs'!$B$44</x:f>
        <x:v>1</x:v>
      </x:c>
      <x:c r="AM349" s="83" t="n">
        <x:f>'Inputs'!$C$44</x:f>
        <x:v>0.25</x:v>
      </x:c>
      <x:c r="AN349" s="83" t="n">
        <x:f>'Inputs'!$D$44</x:f>
        <x:v>0.2</x:v>
      </x:c>
      <x:c r="AO349" s="81" t="n">
        <x:f>'Inputs'!$E$44</x:f>
        <x:v>-0.2</x:v>
      </x:c>
    </x:row>
    <x:row r="350">
      <x:c r="A350" s="59" t="str">
        <x:v>No demand</x:v>
      </x:c>
      <x:c r="B350" s="59" t="n">
        <x:v>347</x:v>
      </x:c>
      <x:c r="C350" s="78" t="n">
        <x:f>(('Inputs'!$B$29*(3*347*'Inputs'!$B$12-347^2)/(2*'Inputs'!$B$12^2))-('Inputs'!$B$29*(3*346*'Inputs'!$B$12-346^2)/(2*'Inputs'!$B$12^2)))*'Inputs'!$B$44</x:f>
        <x:v>599336.4139613509</x:v>
      </x:c>
      <x:c r="D350" s="78" t="n">
        <x:f>IF('Inputs'!$C$44&gt;0,('Inputs'!$B$30*(3*347*'Inputs'!$B$12-347^2)/(2*'Inputs'!$B$12^2))-('Inputs'!$B$30*(3*346*'Inputs'!$B$12-346^2)/(2*'Inputs'!$B$12^2)),0)</x:f>
        <x:v>256858.46312630177</x:v>
      </x:c>
      <x:c r="E350" s="78" t="n">
        <x:f>C350+D350</x:f>
        <x:v>856194.8770876527</x:v>
      </x:c>
      <x:c r="F350" s="78" t="n">
        <x:f>'Inputs'!$B$13*E350+(1-'Inputs'!$B$13)/'Inputs'!$B$14*SUM(E295:E350)</x:f>
        <x:v>866412.5539500884</x:v>
      </x:c>
      <x:c r="G350" s="78" t="n">
        <x:f>F350*'Inputs'!$F$44</x:f>
        <x:v>779771.2985550796</x:v>
      </x:c>
      <x:c r="H350" s="78" t="n">
        <x:f>U349</x:f>
        <x:v>116544940015.25725</x:v>
      </x:c>
      <x:c r="I350" s="78" t="n">
        <x:f>V349</x:f>
        <x:v>0.10166543948598446</x:v>
      </x:c>
      <x:c r="J350" s="79" t="n">
        <x:f>IF(H350&gt;0,I350/H350,0)</x:f>
        <x:v>8.723282149587543e-13</x:v>
      </x:c>
      <x:c r="K350" s="80" t="n">
        <x:f>(H350*J350+I350)*'Inputs'!$D$44*(1+'Inputs'!$G$44)^(B350/30)</x:f>
        <x:v>0.040666175794393786</x:v>
      </x:c>
      <x:c r="L350" s="80" t="n">
        <x:f>MAX(0,K350*'Inputs'!$E$44)</x:f>
        <x:v>0</x:v>
      </x:c>
      <x:c r="M350" s="80" t="n">
        <x:f>MAX(0,-K350*'Inputs'!$E$44)</x:f>
        <x:v>0.008133235158878758</x:v>
      </x:c>
      <x:c r="N350" s="78" t="n">
        <x:f>H350*(L350*(1-'Inputs'!$B$15))/(I350+L350*(1-'Inputs'!$B$15))</x:f>
        <x:v>0</x:v>
      </x:c>
      <x:c r="O350" s="78" t="n">
        <x:f>H350-N350</x:f>
        <x:v>116544940015.25725</x:v>
      </x:c>
      <x:c r="P350" s="78" t="n">
        <x:f>I350+L350*(1-'Inputs'!$B$17)</x:f>
        <x:v>0.10166543948598446</x:v>
      </x:c>
      <x:c r="Q350" s="78" t="n">
        <x:f>IF(J350&gt;0,M350/J350,0)</x:f>
        <x:v>0</x:v>
      </x:c>
      <x:c r="R350" s="78" t="n">
        <x:f>IF(B350='Inputs'!$H$44,'Inputs'!$B$27*'Inputs'!$I$44,0)</x:f>
        <x:v>0</x:v>
      </x:c>
      <x:c r="S350" s="78" t="n">
        <x:f>Q350+G350+R350</x:f>
        <x:v>779771.2985550796</x:v>
      </x:c>
      <x:c r="T350" s="78" t="n">
        <x:f>P350*(S350*(1-'Inputs'!$B$15))/(O350+S350*(1-'Inputs'!$B$15))</x:f>
        <x:v>6.734098793442588e-7</x:v>
      </x:c>
      <x:c r="U350" s="78" t="n">
        <x:f>O350+S350*(1-'Inputs'!$B$17)</x:f>
        <x:v>116545716648.64313</x:v>
      </x:c>
      <x:c r="V350" s="78" t="n">
        <x:f>P350-T350</x:f>
        <x:v>0.10166476607610511</x:v>
      </x:c>
      <x:c r="W350" s="79" t="n">
        <x:f>IF(U350&gt;0,V350/U350,0)</x:f>
        <x:v>8.723166238927472e-13</x:v>
      </x:c>
      <x:c r="X350" s="80" t="n">
        <x:f>W350*('Inputs'!$B$6-AC350)</x:f>
        <x:v>-0.0003580125708677906</x:v>
      </x:c>
      <x:c r="Y350" s="80" t="n">
        <x:f>2*V350</x:f>
        <x:v>0.20332953215221022</x:v>
      </x:c>
      <x:c r="Z350" s="80" t="n">
        <x:f>K350*'Inputs'!$B$16+(G350+R350)*J350*'Inputs'!$B$16</x:f>
        <x:v>0.0002440011360653924</x:v>
      </x:c>
      <x:c r="AA350" s="80" t="n">
        <x:f>K350*(1+'Inputs'!$E$44)/2*'Inputs'!$B$17</x:f>
        <x:v>0.00006545863306944675</x:v>
      </x:c>
      <x:c r="AB350" s="78" t="n">
        <x:f>(IF(J350&gt;0,K350*(1-'Inputs'!$E$44)/2/J350,0)+G350+R350)*'Inputs'!$B$17</x:f>
        <x:v>3137.9126702417693</x:v>
      </x:c>
      <x:c r="AC350" s="78" t="n">
        <x:f>AC349+AB350</x:f>
        <x:v>1410415852.5262828</x:v>
      </x:c>
      <x:c r="AD350" s="80" t="n">
        <x:f>Z350/(1+'Inputs'!$C$44)</x:f>
        <x:v>0.0001952009088523139</x:v>
      </x:c>
      <x:c r="AE350" s="80" t="n">
        <x:f>Z350-AD350</x:f>
        <x:v>0.00004880022721307848</x:v>
      </x:c>
      <x:c r="AF350" s="80" t="n">
        <x:f>D350*W350</x:f>
        <x:v>2.2406190737261524e-7</x:v>
      </x:c>
      <x:c r="AG350" s="80" t="n">
        <x:f>C350*W350</x:f>
        <x:v>5.228111172027516e-7</x:v>
      </x:c>
      <x:c r="AH350" s="80" t="n">
        <x:f>2*'Inputs'!$B$8*'Inputs'!$C$44</x:f>
        <x:v>1250</x:v>
      </x:c>
      <x:c r="AI350" s="81" t="n">
        <x:f>IF(AH350&gt;0,(AE350+AF350)/AH350*365,0)</x:f>
        <x:v>0.00001431509242317172</x:v>
      </x:c>
      <x:c r="AJ350" s="81" t="n">
        <x:f>IF('Inputs'!$B$44&gt;0,AG350/('Inputs'!$B$19*'Inputs'!$B$44)*365,0)</x:f>
        <x:v>1.9082605777900434e-8</x:v>
      </x:c>
      <x:c r="AK350" s="81" t="n">
        <x:f>W350/MAX($W$4:W350)-1</x:f>
        <x:v>-0.9999999987180644</x:v>
      </x:c>
      <x:c r="AL350" s="83" t="n">
        <x:f>'Inputs'!$B$44</x:f>
        <x:v>1</x:v>
      </x:c>
      <x:c r="AM350" s="83" t="n">
        <x:f>'Inputs'!$C$44</x:f>
        <x:v>0.25</x:v>
      </x:c>
      <x:c r="AN350" s="83" t="n">
        <x:f>'Inputs'!$D$44</x:f>
        <x:v>0.2</x:v>
      </x:c>
      <x:c r="AO350" s="81" t="n">
        <x:f>'Inputs'!$E$44</x:f>
        <x:v>-0.2</x:v>
      </x:c>
    </x:row>
    <x:row r="351">
      <x:c r="A351" s="59" t="str">
        <x:v>No demand</x:v>
      </x:c>
      <x:c r="B351" s="59" t="n">
        <x:v>348</x:v>
      </x:c>
      <x:c r="C351" s="78" t="n">
        <x:f>(('Inputs'!$B$29*(3*348*'Inputs'!$B$12-348^2)/(2*'Inputs'!$B$12^2))-('Inputs'!$B$29*(3*347*'Inputs'!$B$12-347^2)/(2*'Inputs'!$B$12^2)))*'Inputs'!$B$44</x:f>
        <x:v>599011.3060611784</x:v>
      </x:c>
      <x:c r="D351" s="78" t="n">
        <x:f>IF('Inputs'!$C$44&gt;0,('Inputs'!$B$30*(3*348*'Inputs'!$B$12-348^2)/(2*'Inputs'!$B$12^2))-('Inputs'!$B$30*(3*347*'Inputs'!$B$12-347^2)/(2*'Inputs'!$B$12^2)),0)</x:f>
        <x:v>256719.13116906583</x:v>
      </x:c>
      <x:c r="E351" s="78" t="n">
        <x:f>C351+D351</x:f>
        <x:v>855730.4372302443</x:v>
      </x:c>
      <x:c r="F351" s="78" t="n">
        <x:f>'Inputs'!$B$13*E351+(1-'Inputs'!$B$13)/'Inputs'!$B$14*SUM(E296:E351)</x:f>
        <x:v>865948.1140926994</x:v>
      </x:c>
      <x:c r="G351" s="78" t="n">
        <x:f>F351*'Inputs'!$F$44</x:f>
        <x:v>779353.3026834294</x:v>
      </x:c>
      <x:c r="H351" s="78" t="n">
        <x:f>U350</x:f>
        <x:v>116545716648.64313</x:v>
      </x:c>
      <x:c r="I351" s="78" t="n">
        <x:f>V350</x:f>
        <x:v>0.10166476607610511</x:v>
      </x:c>
      <x:c r="J351" s="79" t="n">
        <x:f>IF(H351&gt;0,I351/H351,0)</x:f>
        <x:v>8.723166238927472e-13</x:v>
      </x:c>
      <x:c r="K351" s="80" t="n">
        <x:f>(H351*J351+I351)*'Inputs'!$D$44*(1+'Inputs'!$G$44)^(B351/30)</x:f>
        <x:v>0.040665906430442045</x:v>
      </x:c>
      <x:c r="L351" s="80" t="n">
        <x:f>MAX(0,K351*'Inputs'!$E$44)</x:f>
        <x:v>0</x:v>
      </x:c>
      <x:c r="M351" s="80" t="n">
        <x:f>MAX(0,-K351*'Inputs'!$E$44)</x:f>
        <x:v>0.00813318128608841</x:v>
      </x:c>
      <x:c r="N351" s="78" t="n">
        <x:f>H351*(L351*(1-'Inputs'!$B$15))/(I351+L351*(1-'Inputs'!$B$15))</x:f>
        <x:v>0</x:v>
      </x:c>
      <x:c r="O351" s="78" t="n">
        <x:f>H351-N351</x:f>
        <x:v>116545716648.64313</x:v>
      </x:c>
      <x:c r="P351" s="78" t="n">
        <x:f>I351+L351*(1-'Inputs'!$B$17)</x:f>
        <x:v>0.10166476607610511</x:v>
      </x:c>
      <x:c r="Q351" s="78" t="n">
        <x:f>IF(J351&gt;0,M351/J351,0)</x:f>
        <x:v>0</x:v>
      </x:c>
      <x:c r="R351" s="78" t="n">
        <x:f>IF(B351='Inputs'!$H$44,'Inputs'!$B$27*'Inputs'!$I$44,0)</x:f>
        <x:v>0</x:v>
      </x:c>
      <x:c r="S351" s="78" t="n">
        <x:f>Q351+G351+R351</x:f>
        <x:v>779353.3026834294</x:v>
      </x:c>
      <x:c r="T351" s="78" t="n">
        <x:f>P351*(S351*(1-'Inputs'!$B$15))/(O351+S351*(1-'Inputs'!$B$15))</x:f>
        <x:v>6.7303995771714e-7</x:v>
      </x:c>
      <x:c r="U351" s="78" t="n">
        <x:f>O351+S351*(1-'Inputs'!$B$17)</x:f>
        <x:v>116546492865.71521</x:v>
      </x:c>
      <x:c r="V351" s="78" t="n">
        <x:f>P351-T351</x:f>
        <x:v>0.1016640930361474</x:v>
      </x:c>
      <x:c r="W351" s="79" t="n">
        <x:f>IF(U351&gt;0,V351/U351,0)</x:f>
        <x:v>8.72305039271192e-13</x:v>
      </x:c>
      <x:c r="X351" s="80" t="n">
        <x:f>W351*('Inputs'!$B$6-AC351)</x:f>
        <x:v>-0.00035801055210521064</x:v>
      </x:c>
      <x:c r="Y351" s="80" t="n">
        <x:f>2*V351</x:f>
        <x:v>0.2033281860722948</x:v>
      </x:c>
      <x:c r="Z351" s="80" t="n">
        <x:f>K351*'Inputs'!$B$16+(G351+R351)*J351*'Inputs'!$B$16</x:f>
        <x:v>0.00024399951763970316</x:v>
      </x:c>
      <x:c r="AA351" s="80" t="n">
        <x:f>K351*(1+'Inputs'!$E$44)/2*'Inputs'!$B$17</x:f>
        <x:v>0.00006545819948562101</x:v>
      </x:c>
      <x:c r="AB351" s="78" t="n">
        <x:f>(IF(J351&gt;0,K351*(1-'Inputs'!$E$44)/2/J351,0)+G351+R351)*'Inputs'!$B$17</x:f>
        <x:v>3136.230594299515</x:v>
      </x:c>
      <x:c r="AC351" s="78" t="n">
        <x:f>AC350+AB351</x:f>
        <x:v>1410418988.7568772</x:v>
      </x:c>
      <x:c r="AD351" s="80" t="n">
        <x:f>Z351/(1+'Inputs'!$C$44)</x:f>
        <x:v>0.00019519961411176254</x:v>
      </x:c>
      <x:c r="AE351" s="80" t="n">
        <x:f>Z351-AD351</x:f>
        <x:v>0.00004879990352794062</x:v>
      </x:c>
      <x:c r="AF351" s="80" t="n">
        <x:f>D351*W351</x:f>
        <x:v>2.2393739179609825e-7</x:v>
      </x:c>
      <x:c r="AG351" s="80" t="n">
        <x:f>C351*W351</x:f>
        <x:v>5.225205808575843e-7</x:v>
      </x:c>
      <x:c r="AH351" s="80" t="n">
        <x:f>2*'Inputs'!$B$8*'Inputs'!$C$44</x:f>
        <x:v>1250</x:v>
      </x:c>
      <x:c r="AI351" s="81" t="n">
        <x:f>IF(AH351&gt;0,(AE351+AF351)/AH351*365,0)</x:f>
        <x:v>0.000014314961548563122</x:v>
      </x:c>
      <x:c r="AJ351" s="81" t="n">
        <x:f>IF('Inputs'!$B$44&gt;0,AG351/('Inputs'!$B$19*'Inputs'!$B$44)*365,0)</x:f>
        <x:v>1.9072001201301827e-8</x:v>
      </x:c>
      <x:c r="AK351" s="81" t="n">
        <x:f>W351/MAX($W$4:W351)-1</x:f>
        <x:v>-0.9999999987180815</x:v>
      </x:c>
      <x:c r="AL351" s="83" t="n">
        <x:f>'Inputs'!$B$44</x:f>
        <x:v>1</x:v>
      </x:c>
      <x:c r="AM351" s="83" t="n">
        <x:f>'Inputs'!$C$44</x:f>
        <x:v>0.25</x:v>
      </x:c>
      <x:c r="AN351" s="83" t="n">
        <x:f>'Inputs'!$D$44</x:f>
        <x:v>0.2</x:v>
      </x:c>
      <x:c r="AO351" s="81" t="n">
        <x:f>'Inputs'!$E$44</x:f>
        <x:v>-0.2</x:v>
      </x:c>
    </x:row>
    <x:row r="352">
      <x:c r="A352" s="59" t="str">
        <x:v>No demand</x:v>
      </x:c>
      <x:c r="B352" s="59" t="n">
        <x:v>349</x:v>
      </x:c>
      <x:c r="C352" s="78" t="n">
        <x:f>(('Inputs'!$B$29*(3*349*'Inputs'!$B$12-349^2)/(2*'Inputs'!$B$12^2))-('Inputs'!$B$29*(3*348*'Inputs'!$B$12-348^2)/(2*'Inputs'!$B$12^2)))*'Inputs'!$B$44</x:f>
        <x:v>598686.198161006</x:v>
      </x:c>
      <x:c r="D352" s="78" t="n">
        <x:f>IF('Inputs'!$C$44&gt;0,('Inputs'!$B$30*(3*349*'Inputs'!$B$12-349^2)/(2*'Inputs'!$B$12^2))-('Inputs'!$B$30*(3*348*'Inputs'!$B$12-348^2)/(2*'Inputs'!$B$12^2)),0)</x:f>
        <x:v>256579.7992118597</x:v>
      </x:c>
      <x:c r="E352" s="78" t="n">
        <x:f>C352+D352</x:f>
        <x:v>855265.9973728657</x:v>
      </x:c>
      <x:c r="F352" s="78" t="n">
        <x:f>'Inputs'!$B$13*E352+(1-'Inputs'!$B$13)/'Inputs'!$B$14*SUM(E297:E352)</x:f>
        <x:v>865483.6742353166</x:v>
      </x:c>
      <x:c r="G352" s="78" t="n">
        <x:f>F352*'Inputs'!$F$44</x:f>
        <x:v>778935.306811785</x:v>
      </x:c>
      <x:c r="H352" s="78" t="n">
        <x:f>U351</x:f>
        <x:v>116546492865.71521</x:v>
      </x:c>
      <x:c r="I352" s="78" t="n">
        <x:f>V351</x:f>
        <x:v>0.1016640930361474</x:v>
      </x:c>
      <x:c r="J352" s="79" t="n">
        <x:f>IF(H352&gt;0,I352/H352,0)</x:f>
        <x:v>8.72305039271192e-13</x:v>
      </x:c>
      <x:c r="K352" s="80" t="n">
        <x:f>(H352*J352+I352)*'Inputs'!$D$44*(1+'Inputs'!$G$44)^(B352/30)</x:f>
        <x:v>0.04066563721445896</x:v>
      </x:c>
      <x:c r="L352" s="80" t="n">
        <x:f>MAX(0,K352*'Inputs'!$E$44)</x:f>
        <x:v>0</x:v>
      </x:c>
      <x:c r="M352" s="80" t="n">
        <x:f>MAX(0,-K352*'Inputs'!$E$44)</x:f>
        <x:v>0.008133127442891793</x:v>
      </x:c>
      <x:c r="N352" s="78" t="n">
        <x:f>H352*(L352*(1-'Inputs'!$B$15))/(I352+L352*(1-'Inputs'!$B$15))</x:f>
        <x:v>0</x:v>
      </x:c>
      <x:c r="O352" s="78" t="n">
        <x:f>H352-N352</x:f>
        <x:v>116546492865.71521</x:v>
      </x:c>
      <x:c r="P352" s="78" t="n">
        <x:f>I352+L352*(1-'Inputs'!$B$17)</x:f>
        <x:v>0.1016640930361474</x:v>
      </x:c>
      <x:c r="Q352" s="78" t="n">
        <x:f>IF(J352&gt;0,M352/J352,0)</x:f>
        <x:v>0</x:v>
      </x:c>
      <x:c r="R352" s="78" t="n">
        <x:f>IF(B352='Inputs'!$H$44,'Inputs'!$B$27*'Inputs'!$I$44,0)</x:f>
        <x:v>0</x:v>
      </x:c>
      <x:c r="S352" s="78" t="n">
        <x:f>Q352+G352+R352</x:f>
        <x:v>778935.306811785</x:v>
      </x:c>
      <x:c r="T352" s="78" t="n">
        <x:f>P352*(S352*(1-'Inputs'!$B$15))/(O352+S352*(1-'Inputs'!$B$15))</x:f>
        <x:v>6.7267005064997e-7</x:v>
      </x:c>
      <x:c r="U352" s="78" t="n">
        <x:f>O352+S352*(1-'Inputs'!$B$17)</x:f>
        <x:v>116547268666.47351</x:v>
      </x:c>
      <x:c r="V352" s="78" t="n">
        <x:f>P352-T352</x:f>
        <x:v>0.10166342036609675</x:v>
      </x:c>
      <x:c r="W352" s="79" t="n">
        <x:f>IF(U352&gt;0,V352/U352,0)</x:f>
        <x:v>8.722934610937107e-13</x:v>
      </x:c>
      <x:c r="X352" s="80" t="n">
        <x:f>W352*('Inputs'!$B$6-AC352)</x:f>
        <x:v>-0.0003580085344474932</x:v>
      </x:c>
      <x:c r="Y352" s="80" t="n">
        <x:f>2*V352</x:f>
        <x:v>0.2033268407321935</x:v>
      </x:c>
      <x:c r="Z352" s="80" t="n">
        <x:f>K352*'Inputs'!$B$16+(G352+R352)*J352*'Inputs'!$B$16</x:f>
        <x:v>0.00024399790010191417</x:v>
      </x:c>
      <x:c r="AA352" s="80" t="n">
        <x:f>K352*(1+'Inputs'!$E$44)/2*'Inputs'!$B$17</x:f>
        <x:v>0.0000654577661399742</x:v>
      </x:c>
      <x:c r="AB352" s="78" t="n">
        <x:f>(IF(J352&gt;0,K352*(1-'Inputs'!$E$44)/2/J352,0)+G352+R352)*'Inputs'!$B$17</x:f>
        <x:v>3134.5485183572837</x:v>
      </x:c>
      <x:c r="AC352" s="78" t="n">
        <x:f>AC351+AB352</x:f>
        <x:v>1410422123.3053956</x:v>
      </x:c>
      <x:c r="AD352" s="80" t="n">
        <x:f>Z352/(1+'Inputs'!$C$44)</x:f>
        <x:v>0.00019519832008153135</x:v>
      </x:c>
      <x:c r="AE352" s="80" t="n">
        <x:f>Z352-AD352</x:f>
        <x:v>0.00004879958002038283</x:v>
      </x:c>
      <x:c r="AF352" s="80" t="n">
        <x:f>D352*W352</x:f>
        <x:v>2.2381288110124245e-7</x:v>
      </x:c>
      <x:c r="AG352" s="80" t="n">
        <x:f>C352*W352</x:f>
        <x:v>5.22230055902899e-7</x:v>
      </x:c>
      <x:c r="AH352" s="80" t="n">
        <x:f>2*'Inputs'!$B$8*'Inputs'!$C$44</x:f>
        <x:v>1250</x:v>
      </x:c>
      <x:c r="AI352" s="81" t="n">
        <x:f>IF(AH352&gt;0,(AE352+AF352)/AH352*365,0)</x:f>
        <x:v>0.00001431483072723335</x:v>
      </x:c>
      <x:c r="AJ352" s="81" t="n">
        <x:f>IF('Inputs'!$B$44&gt;0,AG352/('Inputs'!$B$19*'Inputs'!$B$44)*365,0)</x:f>
        <x:v>1.9061397040455814e-8</x:v>
      </x:c>
      <x:c r="AK352" s="81" t="n">
        <x:f>W352/MAX($W$4:W352)-1</x:f>
        <x:v>-0.9999999987180985</x:v>
      </x:c>
      <x:c r="AL352" s="83" t="n">
        <x:f>'Inputs'!$B$44</x:f>
        <x:v>1</x:v>
      </x:c>
      <x:c r="AM352" s="83" t="n">
        <x:f>'Inputs'!$C$44</x:f>
        <x:v>0.25</x:v>
      </x:c>
      <x:c r="AN352" s="83" t="n">
        <x:f>'Inputs'!$D$44</x:f>
        <x:v>0.2</x:v>
      </x:c>
      <x:c r="AO352" s="81" t="n">
        <x:f>'Inputs'!$E$44</x:f>
        <x:v>-0.2</x:v>
      </x:c>
    </x:row>
    <x:row r="353">
      <x:c r="A353" s="59" t="str">
        <x:v>No demand</x:v>
      </x:c>
      <x:c r="B353" s="59" t="n">
        <x:v>350</x:v>
      </x:c>
      <x:c r="C353" s="78" t="n">
        <x:f>(('Inputs'!$B$29*(3*350*'Inputs'!$B$12-350^2)/(2*'Inputs'!$B$12^2))-('Inputs'!$B$29*(3*349*'Inputs'!$B$12-349^2)/(2*'Inputs'!$B$12^2)))*'Inputs'!$B$44</x:f>
        <x:v>598361.0902608335</x:v>
      </x:c>
      <x:c r="D353" s="78" t="n">
        <x:f>IF('Inputs'!$C$44&gt;0,('Inputs'!$B$30*(3*350*'Inputs'!$B$12-350^2)/(2*'Inputs'!$B$12^2))-('Inputs'!$B$30*(3*349*'Inputs'!$B$12-349^2)/(2*'Inputs'!$B$12^2)),0)</x:f>
        <x:v>256440.46725465357</x:v>
      </x:c>
      <x:c r="E353" s="78" t="n">
        <x:f>C353+D353</x:f>
        <x:v>854801.5575154871</x:v>
      </x:c>
      <x:c r="F353" s="78" t="n">
        <x:f>'Inputs'!$B$13*E353+(1-'Inputs'!$B$13)/'Inputs'!$B$14*SUM(E298:E353)</x:f>
        <x:v>865019.2343779332</x:v>
      </x:c>
      <x:c r="G353" s="78" t="n">
        <x:f>F353*'Inputs'!$F$44</x:f>
        <x:v>778517.3109401399</x:v>
      </x:c>
      <x:c r="H353" s="78" t="n">
        <x:f>U352</x:f>
        <x:v>116547268666.47351</x:v>
      </x:c>
      <x:c r="I353" s="78" t="n">
        <x:f>V352</x:f>
        <x:v>0.10166342036609675</x:v>
      </x:c>
      <x:c r="J353" s="79" t="n">
        <x:f>IF(H353&gt;0,I353/H353,0)</x:f>
        <x:v>8.722934610937107e-13</x:v>
      </x:c>
      <x:c r="K353" s="80" t="n">
        <x:f>(H353*J353+I353)*'Inputs'!$D$44*(1+'Inputs'!$G$44)^(B353/30)</x:f>
        <x:v>0.0406653681464387</x:v>
      </x:c>
      <x:c r="L353" s="80" t="n">
        <x:f>MAX(0,K353*'Inputs'!$E$44)</x:f>
        <x:v>0</x:v>
      </x:c>
      <x:c r="M353" s="80" t="n">
        <x:f>MAX(0,-K353*'Inputs'!$E$44)</x:f>
        <x:v>0.008133073629287741</x:v>
      </x:c>
      <x:c r="N353" s="78" t="n">
        <x:f>H353*(L353*(1-'Inputs'!$B$15))/(I353+L353*(1-'Inputs'!$B$15))</x:f>
        <x:v>0</x:v>
      </x:c>
      <x:c r="O353" s="78" t="n">
        <x:f>H353-N353</x:f>
        <x:v>116547268666.47351</x:v>
      </x:c>
      <x:c r="P353" s="78" t="n">
        <x:f>I353+L353*(1-'Inputs'!$B$17)</x:f>
        <x:v>0.10166342036609675</x:v>
      </x:c>
      <x:c r="Q353" s="78" t="n">
        <x:f>IF(J353&gt;0,M353/J353,0)</x:f>
        <x:v>0</x:v>
      </x:c>
      <x:c r="R353" s="78" t="n">
        <x:f>IF(B353='Inputs'!$H$44,'Inputs'!$B$27*'Inputs'!$I$44,0)</x:f>
        <x:v>0</x:v>
      </x:c>
      <x:c r="S353" s="78" t="n">
        <x:f>Q353+G353+R353</x:f>
        <x:v>778517.3109401399</x:v>
      </x:c>
      <x:c r="T353" s="78" t="n">
        <x:f>P353*(S353*(1-'Inputs'!$B$15))/(O353+S353*(1-'Inputs'!$B$15))</x:f>
        <x:v>6.723001581344524e-7</x:v>
      </x:c>
      <x:c r="U353" s="78" t="n">
        <x:f>O353+S353*(1-'Inputs'!$B$17)</x:f>
        <x:v>116548044050.91801</x:v>
      </x:c>
      <x:c r="V353" s="78" t="n">
        <x:f>P353-T353</x:f>
        <x:v>0.10166274806593863</x:v>
      </x:c>
      <x:c r="W353" s="79" t="n">
        <x:f>IF(U353&gt;0,V353/U353,0)</x:f>
        <x:v>8.722818893599258e-13</x:v>
      </x:c>
      <x:c r="X353" s="80" t="n">
        <x:f>W353*('Inputs'!$B$6-AC353)</x:f>
        <x:v>-0.00035800651789460243</x:v>
      </x:c>
      <x:c r="Y353" s="80" t="n">
        <x:f>2*V353</x:f>
        <x:v>0.20332549613187725</x:v>
      </x:c>
      <x:c r="Z353" s="80" t="n">
        <x:f>K353*'Inputs'!$B$16+(G353+R353)*J353*'Inputs'!$B$16</x:f>
        <x:v>0.0002439962834519903</x:v>
      </x:c>
      <x:c r="AA353" s="80" t="n">
        <x:f>K353*(1+'Inputs'!$E$44)/2*'Inputs'!$B$17</x:f>
        <x:v>0.00006545733303249692</x:v>
      </x:c>
      <x:c r="AB353" s="78" t="n">
        <x:f>(IF(J353&gt;0,K353*(1-'Inputs'!$E$44)/2/J353,0)+G353+R353)*'Inputs'!$B$17</x:f>
        <x:v>3132.86644241505</x:v>
      </x:c>
      <x:c r="AC353" s="78" t="n">
        <x:f>AC352+AB353</x:f>
        <x:v>1410425256.171838</x:v>
      </x:c>
      <x:c r="AD353" s="80" t="n">
        <x:f>Z353/(1+'Inputs'!$C$44)</x:f>
        <x:v>0.00019519702676159225</x:v>
      </x:c>
      <x:c r="AE353" s="80" t="n">
        <x:f>Z353-AD353</x:f>
        <x:v>0.000048799256690398055</x:v>
      </x:c>
      <x:c r="AF353" s="80" t="n">
        <x:f>D353*W353</x:f>
        <x:v>2.236883752852314e-7</x:v>
      </x:c>
      <x:c r="AG353" s="80" t="n">
        <x:f>C353*W353</x:f>
        <x:v>5.219395423321849e-7</x:v>
      </x:c>
      <x:c r="AH353" s="80" t="n">
        <x:f>2*'Inputs'!$B$8*'Inputs'!$C$44</x:f>
        <x:v>1250</x:v>
      </x:c>
      <x:c r="AI353" s="81" t="n">
        <x:f>IF(AH353&gt;0,(AE353+AF353)/AH353*365,0)</x:f>
        <x:v>0.000014314699959179518</x:v>
      </x:c>
      <x:c r="AJ353" s="81" t="n">
        <x:f>IF('Inputs'!$B$44&gt;0,AG353/('Inputs'!$B$19*'Inputs'!$B$44)*365,0)</x:f>
        <x:v>1.9050793295124748e-8</x:v>
      </x:c>
      <x:c r="AK353" s="81" t="n">
        <x:f>W353/MAX($W$4:W353)-1</x:f>
        <x:v>-0.9999999987181155</x:v>
      </x:c>
      <x:c r="AL353" s="83" t="n">
        <x:f>'Inputs'!$B$44</x:f>
        <x:v>1</x:v>
      </x:c>
      <x:c r="AM353" s="83" t="n">
        <x:f>'Inputs'!$C$44</x:f>
        <x:v>0.25</x:v>
      </x:c>
      <x:c r="AN353" s="83" t="n">
        <x:f>'Inputs'!$D$44</x:f>
        <x:v>0.2</x:v>
      </x:c>
      <x:c r="AO353" s="81" t="n">
        <x:f>'Inputs'!$E$44</x:f>
        <x:v>-0.2</x:v>
      </x:c>
    </x:row>
    <x:row r="354">
      <x:c r="A354" s="59" t="str">
        <x:v>No demand</x:v>
      </x:c>
      <x:c r="B354" s="59" t="n">
        <x:v>351</x:v>
      </x:c>
      <x:c r="C354" s="78" t="n">
        <x:f>(('Inputs'!$B$29*(3*351*'Inputs'!$B$12-351^2)/(2*'Inputs'!$B$12^2))-('Inputs'!$B$29*(3*350*'Inputs'!$B$12-350^2)/(2*'Inputs'!$B$12^2)))*'Inputs'!$B$44</x:f>
        <x:v>598035.982360661</x:v>
      </x:c>
      <x:c r="D354" s="78" t="n">
        <x:f>IF('Inputs'!$C$44&gt;0,('Inputs'!$B$30*(3*351*'Inputs'!$B$12-351^2)/(2*'Inputs'!$B$12^2))-('Inputs'!$B$30*(3*350*'Inputs'!$B$12-350^2)/(2*'Inputs'!$B$12^2)),0)</x:f>
        <x:v>256301.13529741764</x:v>
      </x:c>
      <x:c r="E354" s="78" t="n">
        <x:f>C354+D354</x:f>
        <x:v>854337.1176580787</x:v>
      </x:c>
      <x:c r="F354" s="78" t="n">
        <x:f>'Inputs'!$B$13*E354+(1-'Inputs'!$B$13)/'Inputs'!$B$14*SUM(E299:E354)</x:f>
        <x:v>864554.7945205442</x:v>
      </x:c>
      <x:c r="G354" s="78" t="n">
        <x:f>F354*'Inputs'!$F$44</x:f>
        <x:v>778099.3150684899</x:v>
      </x:c>
      <x:c r="H354" s="78" t="n">
        <x:f>U353</x:f>
        <x:v>116548044050.91801</x:v>
      </x:c>
      <x:c r="I354" s="78" t="n">
        <x:f>V353</x:f>
        <x:v>0.10166274806593863</x:v>
      </x:c>
      <x:c r="J354" s="79" t="n">
        <x:f>IF(H354&gt;0,I354/H354,0)</x:f>
        <x:v>8.722818893599258e-13</x:v>
      </x:c>
      <x:c r="K354" s="80" t="n">
        <x:f>(H354*J354+I354)*'Inputs'!$D$44*(1+'Inputs'!$G$44)^(B354/30)</x:f>
        <x:v>0.040665099226375456</x:v>
      </x:c>
      <x:c r="L354" s="80" t="n">
        <x:f>MAX(0,K354*'Inputs'!$E$44)</x:f>
        <x:v>0</x:v>
      </x:c>
      <x:c r="M354" s="80" t="n">
        <x:f>MAX(0,-K354*'Inputs'!$E$44)</x:f>
        <x:v>0.008133019845275091</x:v>
      </x:c>
      <x:c r="N354" s="78" t="n">
        <x:f>H354*(L354*(1-'Inputs'!$B$15))/(I354+L354*(1-'Inputs'!$B$15))</x:f>
        <x:v>0</x:v>
      </x:c>
      <x:c r="O354" s="78" t="n">
        <x:f>H354-N354</x:f>
        <x:v>116548044050.91801</x:v>
      </x:c>
      <x:c r="P354" s="78" t="n">
        <x:f>I354+L354*(1-'Inputs'!$B$17)</x:f>
        <x:v>0.10166274806593863</x:v>
      </x:c>
      <x:c r="Q354" s="78" t="n">
        <x:f>IF(J354&gt;0,M354/J354,0)</x:f>
        <x:v>0</x:v>
      </x:c>
      <x:c r="R354" s="78" t="n">
        <x:f>IF(B354='Inputs'!$H$44,'Inputs'!$B$27*'Inputs'!$I$44,0)</x:f>
        <x:v>0</x:v>
      </x:c>
      <x:c r="S354" s="78" t="n">
        <x:f>Q354+G354+R354</x:f>
        <x:v>778099.3150684899</x:v>
      </x:c>
      <x:c r="T354" s="78" t="n">
        <x:f>P354*(S354*(1-'Inputs'!$B$15))/(O354+S354*(1-'Inputs'!$B$15))</x:f>
        <x:v>6.719302801622926e-7</x:v>
      </x:c>
      <x:c r="U354" s="78" t="n">
        <x:f>O354+S354*(1-'Inputs'!$B$17)</x:f>
        <x:v>116548819019.04872</x:v>
      </x:c>
      <x:c r="V354" s="78" t="n">
        <x:f>P354-T354</x:f>
        <x:v>0.10166207613565846</x:v>
      </x:c>
      <x:c r="W354" s="79" t="n">
        <x:f>IF(U354&gt;0,V354/U354,0)</x:f>
        <x:v>8.722703240694599e-13</x:v>
      </x:c>
      <x:c r="X354" s="80" t="n">
        <x:f>W354*('Inputs'!$B$6-AC354)</x:f>
        <x:v>-0.00035800450244650236</x:v>
      </x:c>
      <x:c r="Y354" s="80" t="n">
        <x:f>2*V354</x:f>
        <x:v>0.20332415227131692</x:v>
      </x:c>
      <x:c r="Z354" s="80" t="n">
        <x:f>K354*'Inputs'!$B$16+(G354+R354)*J354*'Inputs'!$B$16</x:f>
        <x:v>0.00024399466768989668</x:v>
      </x:c>
      <x:c r="AA354" s="80" t="n">
        <x:f>K354*(1+'Inputs'!$E$44)/2*'Inputs'!$B$17</x:f>
        <x:v>0.00006545690016317981</x:v>
      </x:c>
      <x:c r="AB354" s="78" t="n">
        <x:f>(IF(J354&gt;0,K354*(1-'Inputs'!$E$44)/2/J354,0)+G354+R354)*'Inputs'!$B$17</x:f>
        <x:v>3131.1843664727967</x:v>
      </x:c>
      <x:c r="AC354" s="78" t="n">
        <x:f>AC353+AB354</x:f>
        <x:v>1410428387.3562045</x:v>
      </x:c>
      <x:c r="AD354" s="80" t="n">
        <x:f>Z354/(1+'Inputs'!$C$44)</x:f>
        <x:v>0.00019519573415191735</x:v>
      </x:c>
      <x:c r="AE354" s="80" t="n">
        <x:f>Z354-AD354</x:f>
        <x:v>0.00004879893353797933</x:v>
      </x:c>
      <x:c r="AF354" s="80" t="n">
        <x:f>D354*W354</x:f>
        <x:v>2.2356387434524898e-7</x:v>
      </x:c>
      <x:c r="AG354" s="80" t="n">
        <x:f>C354*W354</x:f>
        <x:v>5.216490401389316e-7</x:v>
      </x:c>
      <x:c r="AH354" s="80" t="n">
        <x:f>2*'Inputs'!$B$8*'Inputs'!$C$44</x:f>
        <x:v>1250</x:v>
      </x:c>
      <x:c r="AI354" s="81" t="n">
        <x:f>IF(AH354&gt;0,(AE354+AF354)/AH354*365,0)</x:f>
        <x:v>0.000014314569244398777</x:v>
      </x:c>
      <x:c r="AJ354" s="81" t="n">
        <x:f>IF('Inputs'!$B$44&gt;0,AG354/('Inputs'!$B$19*'Inputs'!$B$44)*365,0)</x:f>
        <x:v>1.9040189965071003e-8</x:v>
      </x:c>
      <x:c r="AK354" s="81" t="n">
        <x:f>W354/MAX($W$4:W354)-1</x:f>
        <x:v>-0.9999999987181325</x:v>
      </x:c>
      <x:c r="AL354" s="83" t="n">
        <x:f>'Inputs'!$B$44</x:f>
        <x:v>1</x:v>
      </x:c>
      <x:c r="AM354" s="83" t="n">
        <x:f>'Inputs'!$C$44</x:f>
        <x:v>0.25</x:v>
      </x:c>
      <x:c r="AN354" s="83" t="n">
        <x:f>'Inputs'!$D$44</x:f>
        <x:v>0.2</x:v>
      </x:c>
      <x:c r="AO354" s="81" t="n">
        <x:f>'Inputs'!$E$44</x:f>
        <x:v>-0.2</x:v>
      </x:c>
    </x:row>
    <x:row r="355">
      <x:c r="A355" s="59" t="str">
        <x:v>No demand</x:v>
      </x:c>
      <x:c r="B355" s="59" t="n">
        <x:v>352</x:v>
      </x:c>
      <x:c r="C355" s="78" t="n">
        <x:f>(('Inputs'!$B$29*(3*352*'Inputs'!$B$12-352^2)/(2*'Inputs'!$B$12^2))-('Inputs'!$B$29*(3*351*'Inputs'!$B$12-351^2)/(2*'Inputs'!$B$12^2)))*'Inputs'!$B$44</x:f>
        <x:v>597710.8744604886</x:v>
      </x:c>
      <x:c r="D355" s="78" t="n">
        <x:f>IF('Inputs'!$C$44&gt;0,('Inputs'!$B$30*(3*352*'Inputs'!$B$12-352^2)/(2*'Inputs'!$B$12^2))-('Inputs'!$B$30*(3*351*'Inputs'!$B$12-351^2)/(2*'Inputs'!$B$12^2)),0)</x:f>
        <x:v>256161.8033402264</x:v>
      </x:c>
      <x:c r="E355" s="78" t="n">
        <x:f>C355+D355</x:f>
        <x:v>853872.677800715</x:v>
      </x:c>
      <x:c r="F355" s="78" t="n">
        <x:f>'Inputs'!$B$13*E355+(1-'Inputs'!$B$13)/'Inputs'!$B$14*SUM(E300:E355)</x:f>
        <x:v>864090.3546631641</x:v>
      </x:c>
      <x:c r="G355" s="78" t="n">
        <x:f>F355*'Inputs'!$F$44</x:f>
        <x:v>777681.3191968477</x:v>
      </x:c>
      <x:c r="H355" s="78" t="n">
        <x:f>U354</x:f>
        <x:v>116548819019.04872</x:v>
      </x:c>
      <x:c r="I355" s="78" t="n">
        <x:f>V354</x:f>
        <x:v>0.10166207613565846</x:v>
      </x:c>
      <x:c r="J355" s="79" t="n">
        <x:f>IF(H355&gt;0,I355/H355,0)</x:f>
        <x:v>8.722703240694599e-13</x:v>
      </x:c>
      <x:c r="K355" s="80" t="n">
        <x:f>(H355*J355+I355)*'Inputs'!$D$44*(1+'Inputs'!$G$44)^(B355/30)</x:f>
        <x:v>0.04066483045426339</x:v>
      </x:c>
      <x:c r="L355" s="80" t="n">
        <x:f>MAX(0,K355*'Inputs'!$E$44)</x:f>
        <x:v>0</x:v>
      </x:c>
      <x:c r="M355" s="80" t="n">
        <x:f>MAX(0,-K355*'Inputs'!$E$44)</x:f>
        <x:v>0.008132966090852678</x:v>
      </x:c>
      <x:c r="N355" s="78" t="n">
        <x:f>H355*(L355*(1-'Inputs'!$B$15))/(I355+L355*(1-'Inputs'!$B$15))</x:f>
        <x:v>0</x:v>
      </x:c>
      <x:c r="O355" s="78" t="n">
        <x:f>H355-N355</x:f>
        <x:v>116548819019.04872</x:v>
      </x:c>
      <x:c r="P355" s="78" t="n">
        <x:f>I355+L355*(1-'Inputs'!$B$17)</x:f>
        <x:v>0.10166207613565846</x:v>
      </x:c>
      <x:c r="Q355" s="78" t="n">
        <x:f>IF(J355&gt;0,M355/J355,0)</x:f>
        <x:v>0</x:v>
      </x:c>
      <x:c r="R355" s="78" t="n">
        <x:f>IF(B355='Inputs'!$H$44,'Inputs'!$B$27*'Inputs'!$I$44,0)</x:f>
        <x:v>0</x:v>
      </x:c>
      <x:c r="S355" s="78" t="n">
        <x:f>Q355+G355+R355</x:f>
        <x:v>777681.3191968477</x:v>
      </x:c>
      <x:c r="T355" s="78" t="n">
        <x:f>P355*(S355*(1-'Inputs'!$B$15))/(O355+S355*(1-'Inputs'!$B$15))</x:f>
        <x:v>6.715604167252119e-7</x:v>
      </x:c>
      <x:c r="U355" s="78" t="n">
        <x:f>O355+S355*(1-'Inputs'!$B$17)</x:f>
        <x:v>116549593570.86563</x:v>
      </x:c>
      <x:c r="V355" s="78" t="n">
        <x:f>P355-T355</x:f>
        <x:v>0.10166140457524174</x:v>
      </x:c>
      <x:c r="W355" s="79" t="n">
        <x:f>IF(U355&gt;0,V355/U355,0)</x:f>
        <x:v>8.722587652219359e-13</x:v>
      </x:c>
      <x:c r="X355" s="80" t="n">
        <x:f>W355*('Inputs'!$B$6-AC355)</x:f>
        <x:v>-0.000358002488103157</x:v>
      </x:c>
      <x:c r="Y355" s="80" t="n">
        <x:f>2*V355</x:f>
        <x:v>0.20332280915048348</x:v>
      </x:c>
      <x:c r="Z355" s="80" t="n">
        <x:f>K355*'Inputs'!$B$16+(G355+R355)*J355*'Inputs'!$B$16</x:f>
        <x:v>0.00024399305281559827</x:v>
      </x:c>
      <x:c r="AA355" s="80" t="n">
        <x:f>K355*(1+'Inputs'!$E$44)/2*'Inputs'!$B$17</x:f>
        <x:v>0.00006545646753201352</x:v>
      </x:c>
      <x:c r="AB355" s="78" t="n">
        <x:f>(IF(J355&gt;0,K355*(1-'Inputs'!$E$44)/2/J355,0)+G355+R355)*'Inputs'!$B$17</x:f>
        <x:v>3129.5022905305746</x:v>
      </x:c>
      <x:c r="AC355" s="78" t="n">
        <x:f>AC354+AB355</x:f>
        <x:v>1410431516.858495</x:v>
      </x:c>
      <x:c r="AD355" s="80" t="n">
        <x:f>Z355/(1+'Inputs'!$C$44)</x:f>
        <x:v>0.0001951944422524786</x:v>
      </x:c>
      <x:c r="AE355" s="80" t="n">
        <x:f>Z355-AD355</x:f>
        <x:v>0.000048798610563119665</x:v>
      </x:c>
      <x:c r="AF355" s="80" t="n">
        <x:f>D355*W355</x:f>
        <x:v>2.2343937827857028e-7</x:v>
      </x:c>
      <x:c r="AG355" s="80" t="n">
        <x:f>C355*W355</x:f>
        <x:v>5.213585493166293e-7</x:v>
      </x:c>
      <x:c r="AH355" s="80" t="n">
        <x:f>2*'Inputs'!$B$8*'Inputs'!$C$44</x:f>
        <x:v>1250</x:v>
      </x:c>
      <x:c r="AI355" s="81" t="n">
        <x:f>IF(AH355&gt;0,(AE355+AF355)/AH355*365,0)</x:f>
        <x:v>0.000014314438582888286</x:v>
      </x:c>
      <x:c r="AJ355" s="81" t="n">
        <x:f>IF('Inputs'!$B$44&gt;0,AG355/('Inputs'!$B$19*'Inputs'!$B$44)*365,0)</x:f>
        <x:v>1.9029587050056967e-8</x:v>
      </x:c>
      <x:c r="AK355" s="81" t="n">
        <x:f>W355/MAX($W$4:W355)-1</x:f>
        <x:v>-0.9999999987181495</x:v>
      </x:c>
      <x:c r="AL355" s="83" t="n">
        <x:f>'Inputs'!$B$44</x:f>
        <x:v>1</x:v>
      </x:c>
      <x:c r="AM355" s="83" t="n">
        <x:f>'Inputs'!$C$44</x:f>
        <x:v>0.25</x:v>
      </x:c>
      <x:c r="AN355" s="83" t="n">
        <x:f>'Inputs'!$D$44</x:f>
        <x:v>0.2</x:v>
      </x:c>
      <x:c r="AO355" s="81" t="n">
        <x:f>'Inputs'!$E$44</x:f>
        <x:v>-0.2</x:v>
      </x:c>
    </x:row>
    <x:row r="356">
      <x:c r="A356" s="59" t="str">
        <x:v>No demand</x:v>
      </x:c>
      <x:c r="B356" s="59" t="n">
        <x:v>353</x:v>
      </x:c>
      <x:c r="C356" s="78" t="n">
        <x:f>(('Inputs'!$B$29*(3*353*'Inputs'!$B$12-353^2)/(2*'Inputs'!$B$12^2))-('Inputs'!$B$29*(3*352*'Inputs'!$B$12-352^2)/(2*'Inputs'!$B$12^2)))*'Inputs'!$B$44</x:f>
        <x:v>597385.7665603459</x:v>
      </x:c>
      <x:c r="D356" s="78" t="n">
        <x:f>IF('Inputs'!$C$44&gt;0,('Inputs'!$B$30*(3*353*'Inputs'!$B$12-353^2)/(2*'Inputs'!$B$12^2))-('Inputs'!$B$30*(3*352*'Inputs'!$B$12-352^2)/(2*'Inputs'!$B$12^2)),0)</x:f>
        <x:v>256022.47138299048</x:v>
      </x:c>
      <x:c r="E356" s="78" t="n">
        <x:f>C356+D356</x:f>
        <x:v>853408.2379433364</x:v>
      </x:c>
      <x:c r="F356" s="78" t="n">
        <x:f>'Inputs'!$B$13*E356+(1-'Inputs'!$B$13)/'Inputs'!$B$14*SUM(E301:E356)</x:f>
        <x:v>863625.9148057816</x:v>
      </x:c>
      <x:c r="G356" s="78" t="n">
        <x:f>F356*'Inputs'!$F$44</x:f>
        <x:v>777263.3233252034</x:v>
      </x:c>
      <x:c r="H356" s="78" t="n">
        <x:f>U355</x:f>
        <x:v>116549593570.86563</x:v>
      </x:c>
      <x:c r="I356" s="78" t="n">
        <x:f>V355</x:f>
        <x:v>0.10166140457524174</x:v>
      </x:c>
      <x:c r="J356" s="79" t="n">
        <x:f>IF(H356&gt;0,I356/H356,0)</x:f>
        <x:v>8.722587652219359e-13</x:v>
      </x:c>
      <x:c r="K356" s="80" t="n">
        <x:f>(H356*J356+I356)*'Inputs'!$D$44*(1+'Inputs'!$G$44)^(B356/30)</x:f>
        <x:v>0.0406645618300967</x:v>
      </x:c>
      <x:c r="L356" s="80" t="n">
        <x:f>MAX(0,K356*'Inputs'!$E$44)</x:f>
        <x:v>0</x:v>
      </x:c>
      <x:c r="M356" s="80" t="n">
        <x:f>MAX(0,-K356*'Inputs'!$E$44)</x:f>
        <x:v>0.00813291236601934</x:v>
      </x:c>
      <x:c r="N356" s="78" t="n">
        <x:f>H356*(L356*(1-'Inputs'!$B$15))/(I356+L356*(1-'Inputs'!$B$15))</x:f>
        <x:v>0</x:v>
      </x:c>
      <x:c r="O356" s="78" t="n">
        <x:f>H356-N356</x:f>
        <x:v>116549593570.86563</x:v>
      </x:c>
      <x:c r="P356" s="78" t="n">
        <x:f>I356+L356*(1-'Inputs'!$B$17)</x:f>
        <x:v>0.10166140457524174</x:v>
      </x:c>
      <x:c r="Q356" s="78" t="n">
        <x:f>IF(J356&gt;0,M356/J356,0)</x:f>
        <x:v>0</x:v>
      </x:c>
      <x:c r="R356" s="78" t="n">
        <x:f>IF(B356='Inputs'!$H$44,'Inputs'!$B$27*'Inputs'!$I$44,0)</x:f>
        <x:v>0</x:v>
      </x:c>
      <x:c r="S356" s="78" t="n">
        <x:f>Q356+G356+R356</x:f>
        <x:v>777263.3233252034</x:v>
      </x:c>
      <x:c r="T356" s="78" t="n">
        <x:f>P356*(S356*(1-'Inputs'!$B$15))/(O356+S356*(1-'Inputs'!$B$15))</x:f>
        <x:v>6.711905678149127e-7</x:v>
      </x:c>
      <x:c r="U356" s="78" t="n">
        <x:f>O356+S356*(1-'Inputs'!$B$17)</x:f>
        <x:v>116550367706.36874</x:v>
      </x:c>
      <x:c r="V356" s="78" t="n">
        <x:f>P356-T356</x:f>
        <x:v>0.10166073338467392</x:v>
      </x:c>
      <x:c r="W356" s="79" t="n">
        <x:f>IF(U356&gt;0,V356/U356,0)</x:f>
        <x:v>8.722472128169768e-13</x:v>
      </x:c>
      <x:c r="X356" s="80" t="n">
        <x:f>W356*('Inputs'!$B$6-AC356)</x:f>
        <x:v>-0.0003580004748645306</x:v>
      </x:c>
      <x:c r="Y356" s="80" t="n">
        <x:f>2*V356</x:f>
        <x:v>0.20332146676934784</x:v>
      </x:c>
      <x:c r="Z356" s="80" t="n">
        <x:f>K356*'Inputs'!$B$16+(G356+R356)*J356*'Inputs'!$B$16</x:f>
        <x:v>0.00024399143882906016</x:v>
      </x:c>
      <x:c r="AA356" s="80" t="n">
        <x:f>K356*(1+'Inputs'!$E$44)/2*'Inputs'!$B$17</x:f>
        <x:v>0.00006545603513898866</x:v>
      </x:c>
      <x:c r="AB356" s="78" t="n">
        <x:f>(IF(J356&gt;0,K356*(1-'Inputs'!$E$44)/2/J356,0)+G356+R356)*'Inputs'!$B$17</x:f>
        <x:v>3127.820214588344</x:v>
      </x:c>
      <x:c r="AC356" s="78" t="n">
        <x:f>AC355+AB356</x:f>
        <x:v>1410434644.6787095</x:v>
      </x:c>
      <x:c r="AD356" s="80" t="n">
        <x:f>Z356/(1+'Inputs'!$C$44)</x:f>
        <x:v>0.00019519315106324812</x:v>
      </x:c>
      <x:c r="AE356" s="80" t="n">
        <x:f>Z356-AD356</x:f>
        <x:v>0.000048798287765812036</x:v>
      </x:c>
      <x:c r="AF356" s="80" t="n">
        <x:f>D356*W356</x:f>
        <x:v>2.2331488708232766e-7</x:v>
      </x:c>
      <x:c r="AG356" s="80" t="n">
        <x:f>C356*W356</x:f>
        <x:v>5.210680698587948e-7</x:v>
      </x:c>
      <x:c r="AH356" s="80" t="n">
        <x:f>2*'Inputs'!$B$8*'Inputs'!$C$44</x:f>
        <x:v>1250</x:v>
      </x:c>
      <x:c r="AI356" s="81" t="n">
        <x:f>IF(AH356&gt;0,(AE356+AF356)/AH356*365,0)</x:f>
        <x:v>0.000014314307974645154</x:v>
      </x:c>
      <x:c r="AJ356" s="81" t="n">
        <x:f>IF('Inputs'!$B$44&gt;0,AG356/('Inputs'!$B$19*'Inputs'!$B$44)*365,0)</x:f>
        <x:v>1.9018984549846013e-8</x:v>
      </x:c>
      <x:c r="AK356" s="81" t="n">
        <x:f>W356/MAX($W$4:W356)-1</x:f>
        <x:v>-0.9999999987181665</x:v>
      </x:c>
      <x:c r="AL356" s="83" t="n">
        <x:f>'Inputs'!$B$44</x:f>
        <x:v>1</x:v>
      </x:c>
      <x:c r="AM356" s="83" t="n">
        <x:f>'Inputs'!$C$44</x:f>
        <x:v>0.25</x:v>
      </x:c>
      <x:c r="AN356" s="83" t="n">
        <x:f>'Inputs'!$D$44</x:f>
        <x:v>0.2</x:v>
      </x:c>
      <x:c r="AO356" s="81" t="n">
        <x:f>'Inputs'!$E$44</x:f>
        <x:v>-0.2</x:v>
      </x:c>
    </x:row>
    <x:row r="357">
      <x:c r="A357" s="59" t="str">
        <x:v>No demand</x:v>
      </x:c>
      <x:c r="B357" s="59" t="n">
        <x:v>354</x:v>
      </x:c>
      <x:c r="C357" s="78" t="n">
        <x:f>(('Inputs'!$B$29*(3*354*'Inputs'!$B$12-354^2)/(2*'Inputs'!$B$12^2))-('Inputs'!$B$29*(3*353*'Inputs'!$B$12-353^2)/(2*'Inputs'!$B$12^2)))*'Inputs'!$B$44</x:f>
        <x:v>597060.6586601734</x:v>
      </x:c>
      <x:c r="D357" s="78" t="n">
        <x:f>IF('Inputs'!$C$44&gt;0,('Inputs'!$B$30*(3*354*'Inputs'!$B$12-354^2)/(2*'Inputs'!$B$12^2))-('Inputs'!$B$30*(3*353*'Inputs'!$B$12-353^2)/(2*'Inputs'!$B$12^2)),0)</x:f>
        <x:v>255883.13942578435</x:v>
      </x:c>
      <x:c r="E357" s="78" t="n">
        <x:f>C357+D357</x:f>
        <x:v>852943.7980859578</x:v>
      </x:c>
      <x:c r="F357" s="78" t="n">
        <x:f>'Inputs'!$B$13*E357+(1-'Inputs'!$B$13)/'Inputs'!$B$14*SUM(E302:E357)</x:f>
        <x:v>863161.4749483985</x:v>
      </x:c>
      <x:c r="G357" s="78" t="n">
        <x:f>F357*'Inputs'!$F$44</x:f>
        <x:v>776845.3274535587</x:v>
      </x:c>
      <x:c r="H357" s="78" t="n">
        <x:f>U356</x:f>
        <x:v>116550367706.36874</x:v>
      </x:c>
      <x:c r="I357" s="78" t="n">
        <x:f>V356</x:f>
        <x:v>0.10166073338467392</x:v>
      </x:c>
      <x:c r="J357" s="79" t="n">
        <x:f>IF(H357&gt;0,I357/H357,0)</x:f>
        <x:v>8.722472128169768e-13</x:v>
      </x:c>
      <x:c r="K357" s="80" t="n">
        <x:f>(H357*J357+I357)*'Inputs'!$D$44*(1+'Inputs'!$G$44)^(B357/30)</x:f>
        <x:v>0.04066429335386957</x:v>
      </x:c>
      <x:c r="L357" s="80" t="n">
        <x:f>MAX(0,K357*'Inputs'!$E$44)</x:f>
        <x:v>0</x:v>
      </x:c>
      <x:c r="M357" s="80" t="n">
        <x:f>MAX(0,-K357*'Inputs'!$E$44)</x:f>
        <x:v>0.008132858670773914</x:v>
      </x:c>
      <x:c r="N357" s="78" t="n">
        <x:f>H357*(L357*(1-'Inputs'!$B$15))/(I357+L357*(1-'Inputs'!$B$15))</x:f>
        <x:v>0</x:v>
      </x:c>
      <x:c r="O357" s="78" t="n">
        <x:f>H357-N357</x:f>
        <x:v>116550367706.36874</x:v>
      </x:c>
      <x:c r="P357" s="78" t="n">
        <x:f>I357+L357*(1-'Inputs'!$B$17)</x:f>
        <x:v>0.10166073338467392</x:v>
      </x:c>
      <x:c r="Q357" s="78" t="n">
        <x:f>IF(J357&gt;0,M357/J357,0)</x:f>
        <x:v>0</x:v>
      </x:c>
      <x:c r="R357" s="78" t="n">
        <x:f>IF(B357='Inputs'!$H$44,'Inputs'!$B$27*'Inputs'!$I$44,0)</x:f>
        <x:v>0</x:v>
      </x:c>
      <x:c r="S357" s="78" t="n">
        <x:f>Q357+G357+R357</x:f>
        <x:v>776845.3274535587</x:v>
      </x:c>
      <x:c r="T357" s="78" t="n">
        <x:f>P357*(S357*(1-'Inputs'!$B$15))/(O357+S357*(1-'Inputs'!$B$15))</x:f>
        <x:v>6.708207334231087e-7</x:v>
      </x:c>
      <x:c r="U357" s="78" t="n">
        <x:f>O357+S357*(1-'Inputs'!$B$17)</x:f>
        <x:v>116551141425.55806</x:v>
      </x:c>
      <x:c r="V357" s="78" t="n">
        <x:f>P357-T357</x:f>
        <x:v>0.1016600625639405</x:v>
      </x:c>
      <x:c r="W357" s="79" t="n">
        <x:f>IF(U357&gt;0,V357/U357,0)</x:f>
        <x:v>8.72235666854206e-13</x:v>
      </x:c>
      <x:c r="X357" s="80" t="n">
        <x:f>W357*('Inputs'!$B$6-AC357)</x:f>
        <x:v>-0.00035799846273058724</x:v>
      </x:c>
      <x:c r="Y357" s="80" t="n">
        <x:f>2*V357</x:f>
        <x:v>0.203320125127881</x:v>
      </x:c>
      <x:c r="Z357" s="80" t="n">
        <x:f>K357*'Inputs'!$B$16+(G357+R357)*J357*'Inputs'!$B$16</x:f>
        <x:v>0.00024398982573024737</x:v>
      </x:c>
      <x:c r="AA357" s="80" t="n">
        <x:f>K357*(1+'Inputs'!$E$44)/2*'Inputs'!$B$17</x:f>
        <x:v>0.00006545560298409588</x:v>
      </x:c>
      <x:c r="AB357" s="78" t="n">
        <x:f>(IF(J357&gt;0,K357*(1-'Inputs'!$E$44)/2/J357,0)+G357+R357)*'Inputs'!$B$17</x:f>
        <x:v>3126.1381386461117</x:v>
      </x:c>
      <x:c r="AC357" s="78" t="n">
        <x:f>AC356+AB357</x:f>
        <x:v>1410437770.816848</x:v>
      </x:c>
      <x:c r="AD357" s="80" t="n">
        <x:f>Z357/(1+'Inputs'!$C$44)</x:f>
        <x:v>0.0001951918605841979</x:v>
      </x:c>
      <x:c r="AE357" s="80" t="n">
        <x:f>Z357-AD357</x:f>
        <x:v>0.00004879796514604948</x:v>
      </x:c>
      <x:c r="AF357" s="80" t="n">
        <x:f>D357*W357</x:f>
        <x:v>2.2319040075379677e-7</x:v>
      </x:c>
      <x:c r="AG357" s="80" t="n">
        <x:f>C357*W357</x:f>
        <x:v>5.207776017588678e-7</x:v>
      </x:c>
      <x:c r="AH357" s="80" t="n">
        <x:f>2*'Inputs'!$B$8*'Inputs'!$C$44</x:f>
        <x:v>1250</x:v>
      </x:c>
      <x:c r="AI357" s="81" t="n">
        <x:f>IF(AH357&gt;0,(AE357+AF357)/AH357*365,0)</x:f>
        <x:v>0.000014314177419666558</x:v>
      </x:c>
      <x:c r="AJ357" s="81" t="n">
        <x:f>IF('Inputs'!$B$44&gt;0,AG357/('Inputs'!$B$19*'Inputs'!$B$44)*365,0)</x:f>
        <x:v>1.9008382464198675e-8</x:v>
      </x:c>
      <x:c r="AK357" s="81" t="n">
        <x:f>W357/MAX($W$4:W357)-1</x:f>
        <x:v>-0.9999999987181835</x:v>
      </x:c>
      <x:c r="AL357" s="83" t="n">
        <x:f>'Inputs'!$B$44</x:f>
        <x:v>1</x:v>
      </x:c>
      <x:c r="AM357" s="83" t="n">
        <x:f>'Inputs'!$C$44</x:f>
        <x:v>0.25</x:v>
      </x:c>
      <x:c r="AN357" s="83" t="n">
        <x:f>'Inputs'!$D$44</x:f>
        <x:v>0.2</x:v>
      </x:c>
      <x:c r="AO357" s="81" t="n">
        <x:f>'Inputs'!$E$44</x:f>
        <x:v>-0.2</x:v>
      </x:c>
    </x:row>
    <x:row r="358">
      <x:c r="A358" s="59" t="str">
        <x:v>No demand</x:v>
      </x:c>
      <x:c r="B358" s="59" t="n">
        <x:v>355</x:v>
      </x:c>
      <x:c r="C358" s="78" t="n">
        <x:f>(('Inputs'!$B$29*(3*355*'Inputs'!$B$12-355^2)/(2*'Inputs'!$B$12^2))-('Inputs'!$B$29*(3*354*'Inputs'!$B$12-354^2)/(2*'Inputs'!$B$12^2)))*'Inputs'!$B$44</x:f>
        <x:v>596735.5507599711</x:v>
      </x:c>
      <x:c r="D358" s="78" t="n">
        <x:f>IF('Inputs'!$C$44&gt;0,('Inputs'!$B$30*(3*355*'Inputs'!$B$12-355^2)/(2*'Inputs'!$B$12^2))-('Inputs'!$B$30*(3*354*'Inputs'!$B$12-354^2)/(2*'Inputs'!$B$12^2)),0)</x:f>
        <x:v>255743.80746856332</x:v>
      </x:c>
      <x:c r="E358" s="78" t="n">
        <x:f>C358+D358</x:f>
        <x:v>852479.3582285345</x:v>
      </x:c>
      <x:c r="F358" s="78" t="n">
        <x:f>'Inputs'!$B$13*E358+(1-'Inputs'!$B$13)/'Inputs'!$B$14*SUM(E303:E358)</x:f>
        <x:v>862697.0350910062</x:v>
      </x:c>
      <x:c r="G358" s="78" t="n">
        <x:f>F358*'Inputs'!$F$44</x:f>
        <x:v>776427.3315819056</x:v>
      </x:c>
      <x:c r="H358" s="78" t="n">
        <x:f>U357</x:f>
        <x:v>116551141425.55806</x:v>
      </x:c>
      <x:c r="I358" s="78" t="n">
        <x:f>V357</x:f>
        <x:v>0.1016600625639405</x:v>
      </x:c>
      <x:c r="J358" s="79" t="n">
        <x:f>IF(H358&gt;0,I358/H358,0)</x:f>
        <x:v>8.72235666854206e-13</x:v>
      </x:c>
      <x:c r="K358" s="80" t="n">
        <x:f>(H358*J358+I358)*'Inputs'!$D$44*(1+'Inputs'!$G$44)^(B358/30)</x:f>
        <x:v>0.0406640250255762</x:v>
      </x:c>
      <x:c r="L358" s="80" t="n">
        <x:f>MAX(0,K358*'Inputs'!$E$44)</x:f>
        <x:v>0</x:v>
      </x:c>
      <x:c r="M358" s="80" t="n">
        <x:f>MAX(0,-K358*'Inputs'!$E$44)</x:f>
        <x:v>0.00813280500511524</x:v>
      </x:c>
      <x:c r="N358" s="78" t="n">
        <x:f>H358*(L358*(1-'Inputs'!$B$15))/(I358+L358*(1-'Inputs'!$B$15))</x:f>
        <x:v>0</x:v>
      </x:c>
      <x:c r="O358" s="78" t="n">
        <x:f>H358-N358</x:f>
        <x:v>116551141425.55806</x:v>
      </x:c>
      <x:c r="P358" s="78" t="n">
        <x:f>I358+L358*(1-'Inputs'!$B$17)</x:f>
        <x:v>0.1016600625639405</x:v>
      </x:c>
      <x:c r="Q358" s="78" t="n">
        <x:f>IF(J358&gt;0,M358/J358,0)</x:f>
        <x:v>0</x:v>
      </x:c>
      <x:c r="R358" s="78" t="n">
        <x:f>IF(B358='Inputs'!$H$44,'Inputs'!$B$27*'Inputs'!$I$44,0)</x:f>
        <x:v>0</x:v>
      </x:c>
      <x:c r="S358" s="78" t="n">
        <x:f>Q358+G358+R358</x:f>
        <x:v>776427.3315819056</x:v>
      </x:c>
      <x:c r="T358" s="78" t="n">
        <x:f>P358*(S358*(1-'Inputs'!$B$15))/(O358+S358*(1-'Inputs'!$B$15))</x:f>
        <x:v>6.704509135415052e-7</x:v>
      </x:c>
      <x:c r="U358" s="78" t="n">
        <x:f>O358+S358*(1-'Inputs'!$B$17)</x:f>
        <x:v>116551914728.43358</x:v>
      </x:c>
      <x:c r="V358" s="78" t="n">
        <x:f>P358-T358</x:f>
        <x:v>0.10165939211302696</x:v>
      </x:c>
      <x:c r="W358" s="79" t="n">
        <x:f>IF(U358&gt;0,V358/U358,0)</x:f>
        <x:v>8.722241273332467e-13</x:v>
      </x:c>
      <x:c r="X358" s="80" t="n">
        <x:f>W358*('Inputs'!$B$6-AC358)</x:f>
        <x:v>-0.0003579964517012912</x:v>
      </x:c>
      <x:c r="Y358" s="80" t="n">
        <x:f>2*V358</x:f>
        <x:v>0.20331878422605393</x:v>
      </x:c>
      <x:c r="Z358" s="80" t="n">
        <x:f>K358*'Inputs'!$B$16+(G358+R358)*J358*'Inputs'!$B$16</x:f>
        <x:v>0.00024398821351912515</x:v>
      </x:c>
      <x:c r="AA358" s="80" t="n">
        <x:f>K358*(1+'Inputs'!$E$44)/2*'Inputs'!$B$17</x:f>
        <x:v>0.00006545517106732588</x:v>
      </x:c>
      <x:c r="AB358" s="78" t="n">
        <x:f>(IF(J358&gt;0,K358*(1-'Inputs'!$E$44)/2/J358,0)+G358+R358)*'Inputs'!$B$17</x:f>
        <x:v>3124.456062703846</x:v>
      </x:c>
      <x:c r="AC358" s="78" t="n">
        <x:f>AC357+AB358</x:f>
        <x:v>1410440895.2729108</x:v>
      </x:c>
      <x:c r="AD358" s="80" t="n">
        <x:f>Z358/(1+'Inputs'!$C$44)</x:f>
        <x:v>0.00019519057081530012</x:v>
      </x:c>
      <x:c r="AE358" s="80" t="n">
        <x:f>Z358-AD358</x:f>
        <x:v>0.00004879764270382503</x:v>
      </x:c>
      <x:c r="AF358" s="80" t="n">
        <x:f>D358*W358</x:f>
        <x:v>2.230659192901495e-7</x:v>
      </x:c>
      <x:c r="AG358" s="80" t="n">
        <x:f>C358*W358</x:f>
        <x:v>5.204871450103401e-7</x:v>
      </x:c>
      <x:c r="AH358" s="80" t="n">
        <x:f>2*'Inputs'!$B$8*'Inputs'!$C$44</x:f>
        <x:v>1250</x:v>
      </x:c>
      <x:c r="AI358" s="81" t="n">
        <x:f>IF(AH358&gt;0,(AE358+AF358)/AH358*365,0)</x:f>
        <x:v>0.000014314046917949634</x:v>
      </x:c>
      <x:c r="AJ358" s="81" t="n">
        <x:f>IF('Inputs'!$B$44&gt;0,AG358/('Inputs'!$B$19*'Inputs'!$B$44)*365,0)</x:f>
        <x:v>1.8997780792877414e-8</x:v>
      </x:c>
      <x:c r="AK358" s="81" t="n">
        <x:f>W358/MAX($W$4:W358)-1</x:f>
        <x:v>-0.9999999987182004</x:v>
      </x:c>
      <x:c r="AL358" s="83" t="n">
        <x:f>'Inputs'!$B$44</x:f>
        <x:v>1</x:v>
      </x:c>
      <x:c r="AM358" s="83" t="n">
        <x:f>'Inputs'!$C$44</x:f>
        <x:v>0.25</x:v>
      </x:c>
      <x:c r="AN358" s="83" t="n">
        <x:f>'Inputs'!$D$44</x:f>
        <x:v>0.2</x:v>
      </x:c>
      <x:c r="AO358" s="81" t="n">
        <x:f>'Inputs'!$E$44</x:f>
        <x:v>-0.2</x:v>
      </x:c>
    </x:row>
    <x:row r="359">
      <x:c r="A359" s="59" t="str">
        <x:v>No demand</x:v>
      </x:c>
      <x:c r="B359" s="59" t="n">
        <x:v>356</x:v>
      </x:c>
      <x:c r="C359" s="78" t="n">
        <x:f>(('Inputs'!$B$29*(3*356*'Inputs'!$B$12-356^2)/(2*'Inputs'!$B$12^2))-('Inputs'!$B$29*(3*355*'Inputs'!$B$12-355^2)/(2*'Inputs'!$B$12^2)))*'Inputs'!$B$44</x:f>
        <x:v>596410.4428598285</x:v>
      </x:c>
      <x:c r="D359" s="78" t="n">
        <x:f>IF('Inputs'!$C$44&gt;0,('Inputs'!$B$30*(3*356*'Inputs'!$B$12-356^2)/(2*'Inputs'!$B$12^2))-('Inputs'!$B$30*(3*355*'Inputs'!$B$12-355^2)/(2*'Inputs'!$B$12^2)),0)</x:f>
        <x:v>255604.4755113572</x:v>
      </x:c>
      <x:c r="E359" s="78" t="n">
        <x:f>C359+D359</x:f>
        <x:v>852014.9183711857</x:v>
      </x:c>
      <x:c r="F359" s="78" t="n">
        <x:f>'Inputs'!$B$13*E359+(1-'Inputs'!$B$13)/'Inputs'!$B$14*SUM(E304:E359)</x:f>
        <x:v>862232.5952336293</x:v>
      </x:c>
      <x:c r="G359" s="78" t="n">
        <x:f>F359*'Inputs'!$F$44</x:f>
        <x:v>776009.3357102664</x:v>
      </x:c>
      <x:c r="H359" s="78" t="n">
        <x:f>U358</x:f>
        <x:v>116551914728.43358</x:v>
      </x:c>
      <x:c r="I359" s="78" t="n">
        <x:f>V358</x:f>
        <x:v>0.10165939211302696</x:v>
      </x:c>
      <x:c r="J359" s="79" t="n">
        <x:f>IF(H359&gt;0,I359/H359,0)</x:f>
        <x:v>8.722241273332467e-13</x:v>
      </x:c>
      <x:c r="K359" s="80" t="n">
        <x:f>(H359*J359+I359)*'Inputs'!$D$44*(1+'Inputs'!$G$44)^(B359/30)</x:f>
        <x:v>0.040663756845210786</x:v>
      </x:c>
      <x:c r="L359" s="80" t="n">
        <x:f>MAX(0,K359*'Inputs'!$E$44)</x:f>
        <x:v>0</x:v>
      </x:c>
      <x:c r="M359" s="80" t="n">
        <x:f>MAX(0,-K359*'Inputs'!$E$44)</x:f>
        <x:v>0.008132751369042157</x:v>
      </x:c>
      <x:c r="N359" s="78" t="n">
        <x:f>H359*(L359*(1-'Inputs'!$B$15))/(I359+L359*(1-'Inputs'!$B$15))</x:f>
        <x:v>0</x:v>
      </x:c>
      <x:c r="O359" s="78" t="n">
        <x:f>H359-N359</x:f>
        <x:v>116551914728.43358</x:v>
      </x:c>
      <x:c r="P359" s="78" t="n">
        <x:f>I359+L359*(1-'Inputs'!$B$17)</x:f>
        <x:v>0.10165939211302696</x:v>
      </x:c>
      <x:c r="Q359" s="78" t="n">
        <x:f>IF(J359&gt;0,M359/J359,0)</x:f>
        <x:v>0</x:v>
      </x:c>
      <x:c r="R359" s="78" t="n">
        <x:f>IF(B359='Inputs'!$H$44,'Inputs'!$B$27*'Inputs'!$I$44,0)</x:f>
        <x:v>0</x:v>
      </x:c>
      <x:c r="S359" s="78" t="n">
        <x:f>Q359+G359+R359</x:f>
        <x:v>776009.3357102664</x:v>
      </x:c>
      <x:c r="T359" s="78" t="n">
        <x:f>P359*(S359*(1-'Inputs'!$B$15))/(O359+S359*(1-'Inputs'!$B$15))</x:f>
        <x:v>6.700811081618352e-7</x:v>
      </x:c>
      <x:c r="U359" s="78" t="n">
        <x:f>O359+S359*(1-'Inputs'!$B$17)</x:f>
        <x:v>116552687614.9953</x:v>
      </x:c>
      <x:c r="V359" s="78" t="n">
        <x:f>P359-T359</x:f>
        <x:v>0.10165872203191881</x:v>
      </x:c>
      <x:c r="W359" s="79" t="n">
        <x:f>IF(U359&gt;0,V359/U359,0)</x:f>
        <x:v>8.722125942537229e-13</x:v>
      </x:c>
      <x:c r="X359" s="80" t="n">
        <x:f>W359*('Inputs'!$B$6-AC359)</x:f>
        <x:v>-0.00035799444177660644</x:v>
      </x:c>
      <x:c r="Y359" s="80" t="n">
        <x:f>2*V359</x:f>
        <x:v>0.20331744406383762</x:v>
      </x:c>
      <x:c r="Z359" s="80" t="n">
        <x:f>K359*'Inputs'!$B$16+(G359+R359)*J359*'Inputs'!$B$16</x:f>
        <x:v>0.00024398660219565856</x:v>
      </x:c>
      <x:c r="AA359" s="80" t="n">
        <x:f>K359*(1+'Inputs'!$E$44)/2*'Inputs'!$B$17</x:f>
        <x:v>0.00006545473938866927</x:v>
      </x:c>
      <x:c r="AB359" s="78" t="n">
        <x:f>(IF(J359&gt;0,K359*(1-'Inputs'!$E$44)/2/J359,0)+G359+R359)*'Inputs'!$B$17</x:f>
        <x:v>3122.7739867616356</x:v>
      </x:c>
      <x:c r="AC359" s="78" t="n">
        <x:f>AC358+AB359</x:f>
        <x:v>1410444018.0468976</x:v>
      </x:c>
      <x:c r="AD359" s="80" t="n">
        <x:f>Z359/(1+'Inputs'!$C$44)</x:f>
        <x:v>0.00019518928175652685</x:v>
      </x:c>
      <x:c r="AE359" s="80" t="n">
        <x:f>Z359-AD359</x:f>
        <x:v>0.00004879732043913172</x:v>
      </x:c>
      <x:c r="AF359" s="80" t="n">
        <x:f>D359*W359</x:f>
        <x:v>2.2294144268862302e-7</x:v>
      </x:c>
      <x:c r="AG359" s="80" t="n">
        <x:f>C359*W359</x:f>
        <x:v>5.201966996067827e-7</x:v>
      </x:c>
      <x:c r="AH359" s="80" t="n">
        <x:f>2*'Inputs'!$B$8*'Inputs'!$C$44</x:f>
        <x:v>1250</x:v>
      </x:c>
      <x:c r="AI359" s="81" t="n">
        <x:f>IF(AH359&gt;0,(AE359+AF359)/AH359*365,0)</x:f>
        <x:v>0.000014313916469491539</x:v>
      </x:c>
      <x:c r="AJ359" s="81" t="n">
        <x:f>IF('Inputs'!$B$44&gt;0,AG359/('Inputs'!$B$19*'Inputs'!$B$44)*365,0)</x:f>
        <x:v>1.898717953564757e-8</x:v>
      </x:c>
      <x:c r="AK359" s="81" t="n">
        <x:f>W359/MAX($W$4:W359)-1</x:f>
        <x:v>-0.9999999987182173</x:v>
      </x:c>
      <x:c r="AL359" s="83" t="n">
        <x:f>'Inputs'!$B$44</x:f>
        <x:v>1</x:v>
      </x:c>
      <x:c r="AM359" s="83" t="n">
        <x:f>'Inputs'!$C$44</x:f>
        <x:v>0.25</x:v>
      </x:c>
      <x:c r="AN359" s="83" t="n">
        <x:f>'Inputs'!$D$44</x:f>
        <x:v>0.2</x:v>
      </x:c>
      <x:c r="AO359" s="81" t="n">
        <x:f>'Inputs'!$E$44</x:f>
        <x:v>-0.2</x:v>
      </x:c>
    </x:row>
    <x:row r="360">
      <x:c r="A360" s="59" t="str">
        <x:v>No demand</x:v>
      </x:c>
      <x:c r="B360" s="59" t="n">
        <x:v>357</x:v>
      </x:c>
      <x:c r="C360" s="78" t="n">
        <x:f>(('Inputs'!$B$29*(3*357*'Inputs'!$B$12-357^2)/(2*'Inputs'!$B$12^2))-('Inputs'!$B$29*(3*356*'Inputs'!$B$12-356^2)/(2*'Inputs'!$B$12^2)))*'Inputs'!$B$44</x:f>
        <x:v>596085.334959656</x:v>
      </x:c>
      <x:c r="D360" s="78" t="n">
        <x:f>IF('Inputs'!$C$44&gt;0,('Inputs'!$B$30*(3*357*'Inputs'!$B$12-357^2)/(2*'Inputs'!$B$12^2))-('Inputs'!$B$30*(3*356*'Inputs'!$B$12-356^2)/(2*'Inputs'!$B$12^2)),0)</x:f>
        <x:v>255465.14355413616</x:v>
      </x:c>
      <x:c r="E360" s="78" t="n">
        <x:f>C360+D360</x:f>
        <x:v>851550.4785137922</x:v>
      </x:c>
      <x:c r="F360" s="78" t="n">
        <x:f>'Inputs'!$B$13*E360+(1-'Inputs'!$B$13)/'Inputs'!$B$14*SUM(E305:E360)</x:f>
        <x:v>861768.1553762429</x:v>
      </x:c>
      <x:c r="G360" s="78" t="n">
        <x:f>F360*'Inputs'!$F$44</x:f>
        <x:v>775591.3398386186</x:v>
      </x:c>
      <x:c r="H360" s="78" t="n">
        <x:f>U359</x:f>
        <x:v>116552687614.9953</x:v>
      </x:c>
      <x:c r="I360" s="78" t="n">
        <x:f>V359</x:f>
        <x:v>0.10165872203191881</x:v>
      </x:c>
      <x:c r="J360" s="79" t="n">
        <x:f>IF(H360&gt;0,I360/H360,0)</x:f>
        <x:v>8.722125942537229e-13</x:v>
      </x:c>
      <x:c r="K360" s="80" t="n">
        <x:f>(H360*J360+I360)*'Inputs'!$D$44*(1+'Inputs'!$G$44)^(B360/30)</x:f>
        <x:v>0.040663488812767525</x:v>
      </x:c>
      <x:c r="L360" s="80" t="n">
        <x:f>MAX(0,K360*'Inputs'!$E$44)</x:f>
        <x:v>0</x:v>
      </x:c>
      <x:c r="M360" s="80" t="n">
        <x:f>MAX(0,-K360*'Inputs'!$E$44)</x:f>
        <x:v>0.008132697762553506</x:v>
      </x:c>
      <x:c r="N360" s="78" t="n">
        <x:f>H360*(L360*(1-'Inputs'!$B$15))/(I360+L360*(1-'Inputs'!$B$15))</x:f>
        <x:v>0</x:v>
      </x:c>
      <x:c r="O360" s="78" t="n">
        <x:f>H360-N360</x:f>
        <x:v>116552687614.9953</x:v>
      </x:c>
      <x:c r="P360" s="78" t="n">
        <x:f>I360+L360*(1-'Inputs'!$B$17)</x:f>
        <x:v>0.10165872203191881</x:v>
      </x:c>
      <x:c r="Q360" s="78" t="n">
        <x:f>IF(J360&gt;0,M360/J360,0)</x:f>
        <x:v>0</x:v>
      </x:c>
      <x:c r="R360" s="78" t="n">
        <x:f>IF(B360='Inputs'!$H$44,'Inputs'!$B$27*'Inputs'!$I$44,0)</x:f>
        <x:v>0</x:v>
      </x:c>
      <x:c r="S360" s="78" t="n">
        <x:f>Q360+G360+R360</x:f>
        <x:v>775591.3398386186</x:v>
      </x:c>
      <x:c r="T360" s="78" t="n">
        <x:f>P360*(S360*(1-'Inputs'!$B$15))/(O360+S360*(1-'Inputs'!$B$15))</x:f>
        <x:v>6.697113172757932e-7</x:v>
      </x:c>
      <x:c r="U360" s="78" t="n">
        <x:f>O360+S360*(1-'Inputs'!$B$17)</x:f>
        <x:v>116553460085.24323</x:v>
      </x:c>
      <x:c r="V360" s="78" t="n">
        <x:f>P360-T360</x:f>
        <x:v>0.10165805232060153</x:v>
      </x:c>
      <x:c r="W360" s="79" t="n">
        <x:f>IF(U360&gt;0,V360/U360,0)</x:f>
        <x:v>8.722010676152582e-13</x:v>
      </x:c>
      <x:c r="X360" s="80" t="n">
        <x:f>W360*('Inputs'!$B$6-AC360)</x:f>
        <x:v>-0.0003579924329564972</x:v>
      </x:c>
      <x:c r="Y360" s="80" t="n">
        <x:f>2*V360</x:f>
        <x:v>0.20331610464120306</x:v>
      </x:c>
      <x:c r="Z360" s="80" t="n">
        <x:f>K360*'Inputs'!$B$16+(G360+R360)*J360*'Inputs'!$B$16</x:f>
        <x:v>0.00024398499175981277</x:v>
      </x:c>
      <x:c r="AA360" s="80" t="n">
        <x:f>K360*(1+'Inputs'!$E$44)/2*'Inputs'!$B$17</x:f>
        <x:v>0.00006545430794811675</x:v>
      </x:c>
      <x:c r="AB360" s="78" t="n">
        <x:f>(IF(J360&gt;0,K360*(1-'Inputs'!$E$44)/2/J360,0)+G360+R360)*'Inputs'!$B$17</x:f>
        <x:v>3121.091910819391</x:v>
      </x:c>
      <x:c r="AC360" s="78" t="n">
        <x:f>AC359+AB360</x:f>
        <x:v>1410447139.1388085</x:v>
      </x:c>
      <x:c r="AD360" s="80" t="n">
        <x:f>Z360/(1+'Inputs'!$C$44)</x:f>
        <x:v>0.00019518799340785022</x:v>
      </x:c>
      <x:c r="AE360" s="80" t="n">
        <x:f>Z360-AD360</x:f>
        <x:v>0.000048796998351962554</x:v>
      </x:c>
      <x:c r="AF360" s="80" t="n">
        <x:f>D360*W360</x:f>
        <x:v>2.2281697094640275e-7</x:v>
      </x:c>
      <x:c r="AG360" s="80" t="n">
        <x:f>C360*W360</x:f>
        <x:v>5.199062655416108e-7</x:v>
      </x:c>
      <x:c r="AH360" s="80" t="n">
        <x:f>2*'Inputs'!$B$8*'Inputs'!$C$44</x:f>
        <x:v>1250</x:v>
      </x:c>
      <x:c r="AI360" s="81" t="n">
        <x:f>IF(AH360&gt;0,(AE360+AF360)/AH360*365,0)</x:f>
        <x:v>0.000014313786074289416</x:v>
      </x:c>
      <x:c r="AJ360" s="81" t="n">
        <x:f>IF('Inputs'!$B$44&gt;0,AG360/('Inputs'!$B$19*'Inputs'!$B$44)*365,0)</x:f>
        <x:v>1.8976578692268794e-8</x:v>
      </x:c>
      <x:c r="AK360" s="81" t="n">
        <x:f>W360/MAX($W$4:W360)-1</x:f>
        <x:v>-0.9999999987182343</x:v>
      </x:c>
      <x:c r="AL360" s="83" t="n">
        <x:f>'Inputs'!$B$44</x:f>
        <x:v>1</x:v>
      </x:c>
      <x:c r="AM360" s="83" t="n">
        <x:f>'Inputs'!$C$44</x:f>
        <x:v>0.25</x:v>
      </x:c>
      <x:c r="AN360" s="83" t="n">
        <x:f>'Inputs'!$D$44</x:f>
        <x:v>0.2</x:v>
      </x:c>
      <x:c r="AO360" s="81" t="n">
        <x:f>'Inputs'!$E$44</x:f>
        <x:v>-0.2</x:v>
      </x:c>
    </x:row>
    <x:row r="361">
      <x:c r="A361" s="59" t="str">
        <x:v>No demand</x:v>
      </x:c>
      <x:c r="B361" s="59" t="n">
        <x:v>358</x:v>
      </x:c>
      <x:c r="C361" s="78" t="n">
        <x:f>(('Inputs'!$B$29*(3*358*'Inputs'!$B$12-358^2)/(2*'Inputs'!$B$12^2))-('Inputs'!$B$29*(3*357*'Inputs'!$B$12-357^2)/(2*'Inputs'!$B$12^2)))*'Inputs'!$B$44</x:f>
        <x:v>595760.2270594835</x:v>
      </x:c>
      <x:c r="D361" s="78" t="n">
        <x:f>IF('Inputs'!$C$44&gt;0,('Inputs'!$B$30*(3*358*'Inputs'!$B$12-358^2)/(2*'Inputs'!$B$12^2))-('Inputs'!$B$30*(3*357*'Inputs'!$B$12-357^2)/(2*'Inputs'!$B$12^2)),0)</x:f>
        <x:v>255325.81159693003</x:v>
      </x:c>
      <x:c r="E361" s="78" t="n">
        <x:f>C361+D361</x:f>
        <x:v>851086.0386564136</x:v>
      </x:c>
      <x:c r="F361" s="78" t="n">
        <x:f>'Inputs'!$B$13*E361+(1-'Inputs'!$B$13)/'Inputs'!$B$14*SUM(E306:E361)</x:f>
        <x:v>861303.7155188601</x:v>
      </x:c>
      <x:c r="G361" s="78" t="n">
        <x:f>F361*'Inputs'!$F$44</x:f>
        <x:v>775173.3439669742</x:v>
      </x:c>
      <x:c r="H361" s="78" t="n">
        <x:f>U360</x:f>
        <x:v>116553460085.24323</x:v>
      </x:c>
      <x:c r="I361" s="78" t="n">
        <x:f>V360</x:f>
        <x:v>0.10165805232060153</x:v>
      </x:c>
      <x:c r="J361" s="79" t="n">
        <x:f>IF(H361&gt;0,I361/H361,0)</x:f>
        <x:v>8.722010676152582e-13</x:v>
      </x:c>
      <x:c r="K361" s="80" t="n">
        <x:f>(H361*J361+I361)*'Inputs'!$D$44*(1+'Inputs'!$G$44)^(B361/30)</x:f>
        <x:v>0.040663220928240616</x:v>
      </x:c>
      <x:c r="L361" s="80" t="n">
        <x:f>MAX(0,K361*'Inputs'!$E$44)</x:f>
        <x:v>0</x:v>
      </x:c>
      <x:c r="M361" s="80" t="n">
        <x:f>MAX(0,-K361*'Inputs'!$E$44)</x:f>
        <x:v>0.008132644185648123</x:v>
      </x:c>
      <x:c r="N361" s="78" t="n">
        <x:f>H361*(L361*(1-'Inputs'!$B$15))/(I361+L361*(1-'Inputs'!$B$15))</x:f>
        <x:v>0</x:v>
      </x:c>
      <x:c r="O361" s="78" t="n">
        <x:f>H361-N361</x:f>
        <x:v>116553460085.24323</x:v>
      </x:c>
      <x:c r="P361" s="78" t="n">
        <x:f>I361+L361*(1-'Inputs'!$B$17)</x:f>
        <x:v>0.10165805232060153</x:v>
      </x:c>
      <x:c r="Q361" s="78" t="n">
        <x:f>IF(J361&gt;0,M361/J361,0)</x:f>
        <x:v>0</x:v>
      </x:c>
      <x:c r="R361" s="78" t="n">
        <x:f>IF(B361='Inputs'!$H$44,'Inputs'!$B$27*'Inputs'!$I$44,0)</x:f>
        <x:v>0</x:v>
      </x:c>
      <x:c r="S361" s="78" t="n">
        <x:f>Q361+G361+R361</x:f>
        <x:v>775173.3439669742</x:v>
      </x:c>
      <x:c r="T361" s="78" t="n">
        <x:f>P361*(S361*(1-'Inputs'!$B$15))/(O361+S361*(1-'Inputs'!$B$15))</x:f>
        <x:v>6.693415408751047e-7</x:v>
      </x:c>
      <x:c r="U361" s="78" t="n">
        <x:f>O361+S361*(1-'Inputs'!$B$17)</x:f>
        <x:v>116554232139.17735</x:v>
      </x:c>
      <x:c r="V361" s="78" t="n">
        <x:f>P361-T361</x:f>
        <x:v>0.10165738297906066</x:v>
      </x:c>
      <x:c r="W361" s="79" t="n">
        <x:f>IF(U361&gt;0,V361/U361,0)</x:f>
        <x:v>8.721895474174771e-13</x:v>
      </x:c>
      <x:c r="X361" s="80" t="n">
        <x:f>W361*('Inputs'!$B$6-AC361)</x:f>
        <x:v>-0.0003579904252409277</x:v>
      </x:c>
      <x:c r="Y361" s="80" t="n">
        <x:f>2*V361</x:f>
        <x:v>0.2033147659581213</x:v>
      </x:c>
      <x:c r="Z361" s="80" t="n">
        <x:f>K361*'Inputs'!$B$16+(G361+R361)*J361*'Inputs'!$B$16</x:f>
        <x:v>0.00024398338221155288</x:v>
      </x:c>
      <x:c r="AA361" s="80" t="n">
        <x:f>K361*(1+'Inputs'!$E$44)/2*'Inputs'!$B$17</x:f>
        <x:v>0.00006545387674565894</x:v>
      </x:c>
      <x:c r="AB361" s="78" t="n">
        <x:f>(IF(J361&gt;0,K361*(1-'Inputs'!$E$44)/2/J361,0)+G361+R361)*'Inputs'!$B$17</x:f>
        <x:v>3119.40983487716</x:v>
      </x:c>
      <x:c r="AC361" s="78" t="n">
        <x:f>AC360+AB361</x:f>
        <x:v>1410450258.5486434</x:v>
      </x:c>
      <x:c r="AD361" s="80" t="n">
        <x:f>Z361/(1+'Inputs'!$C$44)</x:f>
        <x:v>0.0001951867057692423</x:v>
      </x:c>
      <x:c r="AE361" s="80" t="n">
        <x:f>Z361-AD361</x:f>
        <x:v>0.00004879667644231057</x:v>
      </x:c>
      <x:c r="AF361" s="80" t="n">
        <x:f>D361*W361</x:f>
        <x:v>2.2269250406072643e-7</x:v>
      </x:c>
      <x:c r="AG361" s="80" t="n">
        <x:f>C361*W361</x:f>
        <x:v>5.196158428083443e-7</x:v>
      </x:c>
      <x:c r="AH361" s="80" t="n">
        <x:f>2*'Inputs'!$B$8*'Inputs'!$C$44</x:f>
        <x:v>1250</x:v>
      </x:c>
      <x:c r="AI361" s="81" t="n">
        <x:f>IF(AH361&gt;0,(AE361+AF361)/AH361*365,0)</x:f>
        <x:v>0.000014313655732340419</x:v>
      </x:c>
      <x:c r="AJ361" s="81" t="n">
        <x:f>IF('Inputs'!$B$44&gt;0,AG361/('Inputs'!$B$19*'Inputs'!$B$44)*365,0)</x:f>
        <x:v>1.896597826250457e-8</x:v>
      </x:c>
      <x:c r="AK361" s="81" t="n">
        <x:f>W361/MAX($W$4:W361)-1</x:f>
        <x:v>-0.9999999987182512</x:v>
      </x:c>
      <x:c r="AL361" s="83" t="n">
        <x:f>'Inputs'!$B$44</x:f>
        <x:v>1</x:v>
      </x:c>
      <x:c r="AM361" s="83" t="n">
        <x:f>'Inputs'!$C$44</x:f>
        <x:v>0.25</x:v>
      </x:c>
      <x:c r="AN361" s="83" t="n">
        <x:f>'Inputs'!$D$44</x:f>
        <x:v>0.2</x:v>
      </x:c>
      <x:c r="AO361" s="81" t="n">
        <x:f>'Inputs'!$E$44</x:f>
        <x:v>-0.2</x:v>
      </x:c>
    </x:row>
    <x:row r="362">
      <x:c r="A362" s="59" t="str">
        <x:v>No demand</x:v>
      </x:c>
      <x:c r="B362" s="59" t="n">
        <x:v>359</x:v>
      </x:c>
      <x:c r="C362" s="78" t="n">
        <x:f>(('Inputs'!$B$29*(3*359*'Inputs'!$B$12-359^2)/(2*'Inputs'!$B$12^2))-('Inputs'!$B$29*(3*358*'Inputs'!$B$12-358^2)/(2*'Inputs'!$B$12^2)))*'Inputs'!$B$44</x:f>
        <x:v>595435.119159311</x:v>
      </x:c>
      <x:c r="D362" s="78" t="n">
        <x:f>IF('Inputs'!$C$44&gt;0,('Inputs'!$B$30*(3*359*'Inputs'!$B$12-359^2)/(2*'Inputs'!$B$12^2))-('Inputs'!$B$30*(3*358*'Inputs'!$B$12-358^2)/(2*'Inputs'!$B$12^2)),0)</x:f>
        <x:v>255186.479639709</x:v>
      </x:c>
      <x:c r="E362" s="78" t="n">
        <x:f>C362+D362</x:f>
        <x:v>850621.59879902</x:v>
      </x:c>
      <x:c r="F362" s="78" t="n">
        <x:f>'Inputs'!$B$13*E362+(1-'Inputs'!$B$13)/'Inputs'!$B$14*SUM(E307:E362)</x:f>
        <x:v>860839.2756614743</x:v>
      </x:c>
      <x:c r="G362" s="78" t="n">
        <x:f>F362*'Inputs'!$F$44</x:f>
        <x:v>774755.3480953269</x:v>
      </x:c>
      <x:c r="H362" s="78" t="n">
        <x:f>U361</x:f>
        <x:v>116554232139.17735</x:v>
      </x:c>
      <x:c r="I362" s="78" t="n">
        <x:f>V361</x:f>
        <x:v>0.10165738297906066</x:v>
      </x:c>
      <x:c r="J362" s="79" t="n">
        <x:f>IF(H362&gt;0,I362/H362,0)</x:f>
        <x:v>8.721895474174771e-13</x:v>
      </x:c>
      <x:c r="K362" s="80" t="n">
        <x:f>(H362*J362+I362)*'Inputs'!$D$44*(1+'Inputs'!$G$44)^(B362/30)</x:f>
        <x:v>0.04066295319162427</x:v>
      </x:c>
      <x:c r="L362" s="80" t="n">
        <x:f>MAX(0,K362*'Inputs'!$E$44)</x:f>
        <x:v>0</x:v>
      </x:c>
      <x:c r="M362" s="80" t="n">
        <x:f>MAX(0,-K362*'Inputs'!$E$44)</x:f>
        <x:v>0.008132590638324853</x:v>
      </x:c>
      <x:c r="N362" s="78" t="n">
        <x:f>H362*(L362*(1-'Inputs'!$B$15))/(I362+L362*(1-'Inputs'!$B$15))</x:f>
        <x:v>0</x:v>
      </x:c>
      <x:c r="O362" s="78" t="n">
        <x:f>H362-N362</x:f>
        <x:v>116554232139.17735</x:v>
      </x:c>
      <x:c r="P362" s="78" t="n">
        <x:f>I362+L362*(1-'Inputs'!$B$17)</x:f>
        <x:v>0.10165738297906066</x:v>
      </x:c>
      <x:c r="Q362" s="78" t="n">
        <x:f>IF(J362&gt;0,M362/J362,0)</x:f>
        <x:v>0</x:v>
      </x:c>
      <x:c r="R362" s="78" t="n">
        <x:f>IF(B362='Inputs'!$H$44,'Inputs'!$B$27*'Inputs'!$I$44,0)</x:f>
        <x:v>0</x:v>
      </x:c>
      <x:c r="S362" s="78" t="n">
        <x:f>Q362+G362+R362</x:f>
        <x:v>774755.3480953269</x:v>
      </x:c>
      <x:c r="T362" s="78" t="n">
        <x:f>P362*(S362*(1-'Inputs'!$B$15))/(O362+S362*(1-'Inputs'!$B$15))</x:f>
        <x:v>6.6897177895148e-7</x:v>
      </x:c>
      <x:c r="U362" s="78" t="n">
        <x:f>O362+S362*(1-'Inputs'!$B$17)</x:f>
        <x:v>116555003776.79768</x:v>
      </x:c>
      <x:c r="V362" s="78" t="n">
        <x:f>P362-T362</x:f>
        <x:v>0.1016567140072817</x:v>
      </x:c>
      <x:c r="W362" s="79" t="n">
        <x:f>IF(U362&gt;0,V362/U362,0)</x:f>
        <x:v>8.721780336600036e-13</x:v>
      </x:c>
      <x:c r="X362" s="80" t="n">
        <x:f>W362*('Inputs'!$B$6-AC362)</x:f>
        <x:v>-0.0003579884186298621</x:v>
      </x:c>
      <x:c r="Y362" s="80" t="n">
        <x:f>2*V362</x:f>
        <x:v>0.2033134280145634</x:v>
      </x:c>
      <x:c r="Z362" s="80" t="n">
        <x:f>K362*'Inputs'!$B$16+(G362+R362)*J362*'Inputs'!$B$16</x:f>
        <x:v>0.0002439817735508441</x:v>
      </x:c>
      <x:c r="AA362" s="80" t="n">
        <x:f>K362*(1+'Inputs'!$E$44)/2*'Inputs'!$B$17</x:f>
        <x:v>0.00006545344578128656</x:v>
      </x:c>
      <x:c r="AB362" s="78" t="n">
        <x:f>(IF(J362&gt;0,K362*(1-'Inputs'!$E$44)/2/J362,0)+G362+R362)*'Inputs'!$B$17</x:f>
        <x:v>3117.7277589349173</x:v>
      </x:c>
      <x:c r="AC362" s="78" t="n">
        <x:f>AC361+AB362</x:f>
        <x:v>1410453376.2764022</x:v>
      </x:c>
      <x:c r="AD362" s="80" t="n">
        <x:f>Z362/(1+'Inputs'!$C$44)</x:f>
        <x:v>0.00019518541884067526</x:v>
      </x:c>
      <x:c r="AE362" s="80" t="n">
        <x:f>Z362-AD362</x:f>
        <x:v>0.00004879635471016883</x:v>
      </x:c>
      <x:c r="AF362" s="80" t="n">
        <x:f>D362*W362</x:f>
        <x:v>2.2256804202877993e-7</x:v>
      </x:c>
      <x:c r="AG362" s="80" t="n">
        <x:f>C362*W362</x:f>
        <x:v>5.193254314004779e-7</x:v>
      </x:c>
      <x:c r="AH362" s="80" t="n">
        <x:f>2*'Inputs'!$B$8*'Inputs'!$C$44</x:f>
        <x:v>1250</x:v>
      </x:c>
      <x:c r="AI362" s="81" t="n">
        <x:f>IF(AH362&gt;0,(AE362+AF362)/AH362*365,0)</x:f>
        <x:v>0.000014313525443641701</x:v>
      </x:c>
      <x:c r="AJ362" s="81" t="n">
        <x:f>IF('Inputs'!$B$44&gt;0,AG362/('Inputs'!$B$19*'Inputs'!$B$44)*365,0)</x:f>
        <x:v>1.895537824611744e-8</x:v>
      </x:c>
      <x:c r="AK362" s="81" t="n">
        <x:f>W362/MAX($W$4:W362)-1</x:f>
        <x:v>-0.9999999987182682</x:v>
      </x:c>
      <x:c r="AL362" s="83" t="n">
        <x:f>'Inputs'!$B$44</x:f>
        <x:v>1</x:v>
      </x:c>
      <x:c r="AM362" s="83" t="n">
        <x:f>'Inputs'!$C$44</x:f>
        <x:v>0.25</x:v>
      </x:c>
      <x:c r="AN362" s="83" t="n">
        <x:f>'Inputs'!$D$44</x:f>
        <x:v>0.2</x:v>
      </x:c>
      <x:c r="AO362" s="81" t="n">
        <x:f>'Inputs'!$E$44</x:f>
        <x:v>-0.2</x:v>
      </x:c>
    </x:row>
    <x:row r="363">
      <x:c r="A363" s="59" t="str">
        <x:v>No demand</x:v>
      </x:c>
      <x:c r="B363" s="59" t="n">
        <x:v>360</x:v>
      </x:c>
      <x:c r="C363" s="78" t="n">
        <x:f>(('Inputs'!$B$29*(3*360*'Inputs'!$B$12-360^2)/(2*'Inputs'!$B$12^2))-('Inputs'!$B$29*(3*359*'Inputs'!$B$12-359^2)/(2*'Inputs'!$B$12^2)))*'Inputs'!$B$44</x:f>
        <x:v>595110.0112591684</x:v>
      </x:c>
      <x:c r="D363" s="78" t="n">
        <x:f>IF('Inputs'!$C$44&gt;0,('Inputs'!$B$30*(3*360*'Inputs'!$B$12-360^2)/(2*'Inputs'!$B$12^2))-('Inputs'!$B$30*(3*359*'Inputs'!$B$12-359^2)/(2*'Inputs'!$B$12^2)),0)</x:f>
        <x:v>255047.14768248796</x:v>
      </x:c>
      <x:c r="E363" s="78" t="n">
        <x:f>C363+D363</x:f>
        <x:v>850157.1589416564</x:v>
      </x:c>
      <x:c r="F363" s="78" t="n">
        <x:f>'Inputs'!$B$13*E363+(1-'Inputs'!$B$13)/'Inputs'!$B$14*SUM(E308:E363)</x:f>
        <x:v>860374.8358040944</x:v>
      </x:c>
      <x:c r="G363" s="78" t="n">
        <x:f>F363*'Inputs'!$F$44</x:f>
        <x:v>774337.352223685</x:v>
      </x:c>
      <x:c r="H363" s="78" t="n">
        <x:f>U362</x:f>
        <x:v>116555003776.79768</x:v>
      </x:c>
      <x:c r="I363" s="78" t="n">
        <x:f>V362</x:f>
        <x:v>0.1016567140072817</x:v>
      </x:c>
      <x:c r="J363" s="79" t="n">
        <x:f>IF(H363&gt;0,I363/H363,0)</x:f>
        <x:v>8.721780336600036e-13</x:v>
      </x:c>
      <x:c r="K363" s="80" t="n">
        <x:f>(H363*J363+I363)*'Inputs'!$D$44*(1+'Inputs'!$G$44)^(B363/30)</x:f>
        <x:v>0.04066268560291268</x:v>
      </x:c>
      <x:c r="L363" s="80" t="n">
        <x:f>MAX(0,K363*'Inputs'!$E$44)</x:f>
        <x:v>0</x:v>
      </x:c>
      <x:c r="M363" s="80" t="n">
        <x:f>MAX(0,-K363*'Inputs'!$E$44)</x:f>
        <x:v>0.008132537120582537</x:v>
      </x:c>
      <x:c r="N363" s="78" t="n">
        <x:f>H363*(L363*(1-'Inputs'!$B$15))/(I363+L363*(1-'Inputs'!$B$15))</x:f>
        <x:v>0</x:v>
      </x:c>
      <x:c r="O363" s="78" t="n">
        <x:f>H363-N363</x:f>
        <x:v>116555003776.79768</x:v>
      </x:c>
      <x:c r="P363" s="78" t="n">
        <x:f>I363+L363*(1-'Inputs'!$B$17)</x:f>
        <x:v>0.1016567140072817</x:v>
      </x:c>
      <x:c r="Q363" s="78" t="n">
        <x:f>IF(J363&gt;0,M363/J363,0)</x:f>
        <x:v>0</x:v>
      </x:c>
      <x:c r="R363" s="78" t="n">
        <x:f>IF(B363='Inputs'!$H$44,'Inputs'!$B$27*'Inputs'!$I$44,0)</x:f>
        <x:v>0</x:v>
      </x:c>
      <x:c r="S363" s="78" t="n">
        <x:f>Q363+G363+R363</x:f>
        <x:v>774337.352223685</x:v>
      </x:c>
      <x:c r="T363" s="78" t="n">
        <x:f>P363*(S363*(1-'Inputs'!$B$15))/(O363+S363*(1-'Inputs'!$B$15))</x:f>
        <x:v>6.68602031496643e-7</x:v>
      </x:c>
      <x:c r="U363" s="78" t="n">
        <x:f>O363+S363*(1-'Inputs'!$B$17)</x:f>
        <x:v>116555774998.10422</x:v>
      </x:c>
      <x:c r="V363" s="78" t="n">
        <x:f>P363-T363</x:f>
        <x:v>0.1016560454052502</x:v>
      </x:c>
      <x:c r="W363" s="79" t="n">
        <x:f>IF(U363&gt;0,V363/U363,0)</x:f>
        <x:v>8.721665263424625e-13</x:v>
      </x:c>
      <x:c r="X363" s="80" t="n">
        <x:f>W363*('Inputs'!$B$6-AC363)</x:f>
        <x:v>-0.0003579864131232646</x:v>
      </x:c>
      <x:c r="Y363" s="80" t="n">
        <x:f>2*V363</x:f>
        <x:v>0.2033120908105004</x:v>
      </x:c>
      <x:c r="Z363" s="80" t="n">
        <x:f>K363*'Inputs'!$B$16+(G363+R363)*J363*'Inputs'!$B$16</x:f>
        <x:v>0.00024398016577765162</x:v>
      </x:c>
      <x:c r="AA363" s="80" t="n">
        <x:f>K363*(1+'Inputs'!$E$44)/2*'Inputs'!$B$17</x:f>
        <x:v>0.00006545301505499025</x:v>
      </x:c>
      <x:c r="AB363" s="78" t="n">
        <x:f>(IF(J363&gt;0,K363*(1-'Inputs'!$E$44)/2/J363,0)+G363+R363)*'Inputs'!$B$17</x:f>
        <x:v>3116.0456829926966</x:v>
      </x:c>
      <x:c r="AC363" s="78" t="n">
        <x:f>AC362+AB363</x:f>
        <x:v>1410456492.3220851</x:v>
      </x:c>
      <x:c r="AD363" s="80" t="n">
        <x:f>Z363/(1+'Inputs'!$C$44)</x:f>
        <x:v>0.00019518413262212129</x:v>
      </x:c>
      <x:c r="AE363" s="80" t="n">
        <x:f>Z363-AD363</x:f>
        <x:v>0.000048796033155530335</x:v>
      </x:c>
      <x:c r="AF363" s="80" t="n">
        <x:f>D363*W363</x:f>
        <x:v>2.2244358484778856e-7</x:v>
      </x:c>
      <x:c r="AG363" s="80" t="n">
        <x:f>C363*W363</x:f>
        <x:v>5.190350313115326e-7</x:v>
      </x:c>
      <x:c r="AH363" s="80" t="n">
        <x:f>2*'Inputs'!$B$8*'Inputs'!$C$44</x:f>
        <x:v>1250</x:v>
      </x:c>
      <x:c r="AI363" s="81" t="n">
        <x:f>IF(AH363&gt;0,(AE363+AF363)/AH363*365,0)</x:f>
        <x:v>0.000014313395208190413</x:v>
      </x:c>
      <x:c r="AJ363" s="81" t="n">
        <x:f>IF('Inputs'!$B$44&gt;0,AG363/('Inputs'!$B$19*'Inputs'!$B$44)*365,0)</x:f>
        <x:v>1.8944778642870942e-8</x:v>
      </x:c>
      <x:c r="AK363" s="81" t="n">
        <x:f>W363/MAX($W$4:W363)-1</x:f>
        <x:v>-0.999999998718285</x:v>
      </x:c>
      <x:c r="AL363" s="83" t="n">
        <x:f>'Inputs'!$B$44</x:f>
        <x:v>1</x:v>
      </x:c>
      <x:c r="AM363" s="83" t="n">
        <x:f>'Inputs'!$C$44</x:f>
        <x:v>0.25</x:v>
      </x:c>
      <x:c r="AN363" s="83" t="n">
        <x:f>'Inputs'!$D$44</x:f>
        <x:v>0.2</x:v>
      </x:c>
      <x:c r="AO363" s="81" t="n">
        <x:f>'Inputs'!$E$44</x:f>
        <x:v>-0.2</x:v>
      </x:c>
    </x:row>
    <x:row r="364">
      <x:c r="A364" s="59" t="str">
        <x:v>No demand</x:v>
      </x:c>
      <x:c r="B364" s="59" t="n">
        <x:v>361</x:v>
      </x:c>
      <x:c r="C364" s="78" t="n">
        <x:f>(('Inputs'!$B$29*(3*361*'Inputs'!$B$12-361^2)/(2*'Inputs'!$B$12^2))-('Inputs'!$B$29*(3*360*'Inputs'!$B$12-360^2)/(2*'Inputs'!$B$12^2)))*'Inputs'!$B$44</x:f>
        <x:v>594784.9033589661</x:v>
      </x:c>
      <x:c r="D364" s="78" t="n">
        <x:f>IF('Inputs'!$C$44&gt;0,('Inputs'!$B$30*(3*361*'Inputs'!$B$12-361^2)/(2*'Inputs'!$B$12^2))-('Inputs'!$B$30*(3*360*'Inputs'!$B$12-360^2)/(2*'Inputs'!$B$12^2)),0)</x:f>
        <x:v>254907.81572526693</x:v>
      </x:c>
      <x:c r="E364" s="78" t="n">
        <x:f>C364+D364</x:f>
        <x:v>849692.719084233</x:v>
      </x:c>
      <x:c r="F364" s="78" t="n">
        <x:f>'Inputs'!$B$13*E364+(1-'Inputs'!$B$13)/'Inputs'!$B$14*SUM(E309:E364)</x:f>
        <x:v>859910.395946702</x:v>
      </x:c>
      <x:c r="G364" s="78" t="n">
        <x:f>F364*'Inputs'!$F$44</x:f>
        <x:v>773919.3563520318</x:v>
      </x:c>
      <x:c r="H364" s="78" t="n">
        <x:f>U363</x:f>
        <x:v>116555774998.10422</x:v>
      </x:c>
      <x:c r="I364" s="78" t="n">
        <x:f>V363</x:f>
        <x:v>0.1016560454052502</x:v>
      </x:c>
      <x:c r="J364" s="79" t="n">
        <x:f>IF(H364&gt;0,I364/H364,0)</x:f>
        <x:v>8.721665263424625e-13</x:v>
      </x:c>
      <x:c r="K364" s="80" t="n">
        <x:f>(H364*J364+I364)*'Inputs'!$D$44*(1+'Inputs'!$G$44)^(B364/30)</x:f>
        <x:v>0.04066241816210008</x:v>
      </x:c>
      <x:c r="L364" s="80" t="n">
        <x:f>MAX(0,K364*'Inputs'!$E$44)</x:f>
        <x:v>0</x:v>
      </x:c>
      <x:c r="M364" s="80" t="n">
        <x:f>MAX(0,-K364*'Inputs'!$E$44)</x:f>
        <x:v>0.008132483632420017</x:v>
      </x:c>
      <x:c r="N364" s="78" t="n">
        <x:f>H364*(L364*(1-'Inputs'!$B$15))/(I364+L364*(1-'Inputs'!$B$15))</x:f>
        <x:v>0</x:v>
      </x:c>
      <x:c r="O364" s="78" t="n">
        <x:f>H364-N364</x:f>
        <x:v>116555774998.10422</x:v>
      </x:c>
      <x:c r="P364" s="78" t="n">
        <x:f>I364+L364*(1-'Inputs'!$B$17)</x:f>
        <x:v>0.1016560454052502</x:v>
      </x:c>
      <x:c r="Q364" s="78" t="n">
        <x:f>IF(J364&gt;0,M364/J364,0)</x:f>
        <x:v>0</x:v>
      </x:c>
      <x:c r="R364" s="78" t="n">
        <x:f>IF(B364='Inputs'!$H$44,'Inputs'!$B$27*'Inputs'!$I$44,0)</x:f>
        <x:v>0</x:v>
      </x:c>
      <x:c r="S364" s="78" t="n">
        <x:f>Q364+G364+R364</x:f>
        <x:v>773919.3563520318</x:v>
      </x:c>
      <x:c r="T364" s="78" t="n">
        <x:f>P364*(S364*(1-'Inputs'!$B$15))/(O364+S364*(1-'Inputs'!$B$15))</x:f>
        <x:v>6.682322985022963e-7</x:v>
      </x:c>
      <x:c r="U364" s="78" t="n">
        <x:f>O364+S364*(1-'Inputs'!$B$17)</x:f>
        <x:v>116556545803.09697</x:v>
      </x:c>
      <x:c r="V364" s="78" t="n">
        <x:f>P364-T364</x:f>
        <x:v>0.10165537717295169</x:v>
      </x:c>
      <x:c r="W364" s="79" t="n">
        <x:f>IF(U364&gt;0,V364/U364,0)</x:f>
        <x:v>8.721550254644784e-13</x:v>
      </x:c>
      <x:c r="X364" s="80" t="n">
        <x:f>W364*('Inputs'!$B$6-AC364)</x:f>
        <x:v>-0.00035798440872109976</x:v>
      </x:c>
      <x:c r="Y364" s="80" t="n">
        <x:f>2*V364</x:f>
        <x:v>0.20331075434590337</x:v>
      </x:c>
      <x:c r="Z364" s="80" t="n">
        <x:f>K364*'Inputs'!$B$16+(G364+R364)*J364*'Inputs'!$B$16</x:f>
        <x:v>0.00024397855889194068</x:v>
      </x:c>
      <x:c r="AA364" s="80" t="n">
        <x:f>K364*(1+'Inputs'!$E$44)/2*'Inputs'!$B$17</x:f>
        <x:v>0.0000654525845667607</x:v>
      </x:c>
      <x:c r="AB364" s="78" t="n">
        <x:f>(IF(J364&gt;0,K364*(1-'Inputs'!$E$44)/2/J364,0)+G364+R364)*'Inputs'!$B$17</x:f>
        <x:v>3114.36360705043</x:v>
      </x:c>
      <x:c r="AC364" s="78" t="n">
        <x:f>AC363+AB364</x:f>
        <x:v>1410459606.6856923</x:v>
      </x:c>
      <x:c r="AD364" s="80" t="n">
        <x:f>Z364/(1+'Inputs'!$C$44)</x:f>
        <x:v>0.00019518284711355255</x:v>
      </x:c>
      <x:c r="AE364" s="80" t="n">
        <x:f>Z364-AD364</x:f>
        <x:v>0.000048795711778388124</x:v>
      </x:c>
      <x:c r="AF364" s="80" t="n">
        <x:f>D364*W364</x:f>
        <x:v>2.2231913251496477e-7</x:v>
      </x:c>
      <x:c r="AG364" s="80" t="n">
        <x:f>C364*W364</x:f>
        <x:v>5.187446425349265e-7</x:v>
      </x:c>
      <x:c r="AH364" s="80" t="n">
        <x:f>2*'Inputs'!$B$8*'Inputs'!$C$44</x:f>
        <x:v>1250</x:v>
      </x:c>
      <x:c r="AI364" s="81" t="n">
        <x:f>IF(AH364&gt;0,(AE364+AF364)/AH364*365,0)</x:f>
        <x:v>0.000014313265025983701</x:v>
      </x:c>
      <x:c r="AJ364" s="81" t="n">
        <x:f>IF('Inputs'!$B$44&gt;0,AG364/('Inputs'!$B$19*'Inputs'!$B$44)*365,0)</x:f>
        <x:v>1.8934179452524818e-8</x:v>
      </x:c>
      <x:c r="AK364" s="81" t="n">
        <x:f>W364/MAX($W$4:W364)-1</x:f>
        <x:v>-0.9999999987183019</x:v>
      </x:c>
      <x:c r="AL364" s="83" t="n">
        <x:f>'Inputs'!$B$44</x:f>
        <x:v>1</x:v>
      </x:c>
      <x:c r="AM364" s="83" t="n">
        <x:f>'Inputs'!$C$44</x:f>
        <x:v>0.25</x:v>
      </x:c>
      <x:c r="AN364" s="83" t="n">
        <x:f>'Inputs'!$D$44</x:f>
        <x:v>0.2</x:v>
      </x:c>
      <x:c r="AO364" s="81" t="n">
        <x:f>'Inputs'!$E$44</x:f>
        <x:v>-0.2</x:v>
      </x:c>
    </x:row>
    <x:row r="365">
      <x:c r="A365" s="59" t="str">
        <x:v>No demand</x:v>
      </x:c>
      <x:c r="B365" s="59" t="n">
        <x:v>362</x:v>
      </x:c>
      <x:c r="C365" s="78" t="n">
        <x:f>(('Inputs'!$B$29*(3*362*'Inputs'!$B$12-362^2)/(2*'Inputs'!$B$12^2))-('Inputs'!$B$29*(3*361*'Inputs'!$B$12-361^2)/(2*'Inputs'!$B$12^2)))*'Inputs'!$B$44</x:f>
        <x:v>594459.7954588234</x:v>
      </x:c>
      <x:c r="D365" s="78" t="n">
        <x:f>IF('Inputs'!$C$44&gt;0,('Inputs'!$B$30*(3*362*'Inputs'!$B$12-362^2)/(2*'Inputs'!$B$12^2))-('Inputs'!$B$30*(3*361*'Inputs'!$B$12-361^2)/(2*'Inputs'!$B$12^2)),0)</x:f>
        <x:v>254768.4837680757</x:v>
      </x:c>
      <x:c r="E365" s="78" t="n">
        <x:f>C365+D365</x:f>
        <x:v>849228.2792268991</x:v>
      </x:c>
      <x:c r="F365" s="78" t="n">
        <x:f>'Inputs'!$B$13*E365+(1-'Inputs'!$B$13)/'Inputs'!$B$14*SUM(E310:E365)</x:f>
        <x:v>859445.9560893283</x:v>
      </x:c>
      <x:c r="G365" s="78" t="n">
        <x:f>F365*'Inputs'!$F$44</x:f>
        <x:v>773501.3604803955</x:v>
      </x:c>
      <x:c r="H365" s="78" t="n">
        <x:f>U364</x:f>
        <x:v>116556545803.09697</x:v>
      </x:c>
      <x:c r="I365" s="78" t="n">
        <x:f>V364</x:f>
        <x:v>0.10165537717295169</x:v>
      </x:c>
      <x:c r="J365" s="79" t="n">
        <x:f>IF(H365&gt;0,I365/H365,0)</x:f>
        <x:v>8.721550254644784e-13</x:v>
      </x:c>
      <x:c r="K365" s="80" t="n">
        <x:f>(H365*J365+I365)*'Inputs'!$D$44*(1+'Inputs'!$G$44)^(B365/30)</x:f>
        <x:v>0.04066215086918068</x:v>
      </x:c>
      <x:c r="L365" s="80" t="n">
        <x:f>MAX(0,K365*'Inputs'!$E$44)</x:f>
        <x:v>0</x:v>
      </x:c>
      <x:c r="M365" s="80" t="n">
        <x:f>MAX(0,-K365*'Inputs'!$E$44)</x:f>
        <x:v>0.008132430173836136</x:v>
      </x:c>
      <x:c r="N365" s="78" t="n">
        <x:f>H365*(L365*(1-'Inputs'!$B$15))/(I365+L365*(1-'Inputs'!$B$15))</x:f>
        <x:v>0</x:v>
      </x:c>
      <x:c r="O365" s="78" t="n">
        <x:f>H365-N365</x:f>
        <x:v>116556545803.09697</x:v>
      </x:c>
      <x:c r="P365" s="78" t="n">
        <x:f>I365+L365*(1-'Inputs'!$B$17)</x:f>
        <x:v>0.10165537717295169</x:v>
      </x:c>
      <x:c r="Q365" s="78" t="n">
        <x:f>IF(J365&gt;0,M365/J365,0)</x:f>
        <x:v>0</x:v>
      </x:c>
      <x:c r="R365" s="78" t="n">
        <x:f>IF(B365='Inputs'!$H$44,'Inputs'!$B$27*'Inputs'!$I$44,0)</x:f>
        <x:v>0</x:v>
      </x:c>
      <x:c r="S365" s="78" t="n">
        <x:f>Q365+G365+R365</x:f>
        <x:v>773501.3604803955</x:v>
      </x:c>
      <x:c r="T365" s="78" t="n">
        <x:f>P365*(S365*(1-'Inputs'!$B$15))/(O365+S365*(1-'Inputs'!$B$15))</x:f>
        <x:v>6.678625799601826e-7</x:v>
      </x:c>
      <x:c r="U365" s="78" t="n">
        <x:f>O365+S365*(1-'Inputs'!$B$17)</x:f>
        <x:v>116557316191.77592</x:v>
      </x:c>
      <x:c r="V365" s="78" t="n">
        <x:f>P365-T365</x:f>
        <x:v>0.10165470931037172</x:v>
      </x:c>
      <x:c r="W365" s="79" t="n">
        <x:f>IF(U365&gt;0,V365/U365,0)</x:f>
        <x:v>8.721435310256766e-13</x:v>
      </x:c>
      <x:c r="X365" s="80" t="n">
        <x:f>W365*('Inputs'!$B$6-AC365)</x:f>
        <x:v>-0.0003579824054233317</x:v>
      </x:c>
      <x:c r="Y365" s="80" t="n">
        <x:f>2*V365</x:f>
        <x:v>0.20330941862074345</x:v>
      </x:c>
      <x:c r="Z365" s="80" t="n">
        <x:f>K365*'Inputs'!$B$16+(G365+R365)*J365*'Inputs'!$B$16</x:f>
        <x:v>0.00024397695289367656</x:v>
      </x:c>
      <x:c r="AA365" s="80" t="n">
        <x:f>K365*(1+'Inputs'!$E$44)/2*'Inputs'!$B$17</x:f>
        <x:v>0.00006545215431658862</x:v>
      </x:c>
      <x:c r="AB365" s="78" t="n">
        <x:f>(IF(J365&gt;0,K365*(1-'Inputs'!$E$44)/2/J365,0)+G365+R365)*'Inputs'!$B$17</x:f>
        <x:v>3112.6815311082314</x:v>
      </x:c>
      <x:c r="AC365" s="78" t="n">
        <x:f>AC364+AB365</x:f>
        <x:v>1410462719.3672235</x:v>
      </x:c>
      <x:c r="AD365" s="80" t="n">
        <x:f>Z365/(1+'Inputs'!$C$44)</x:f>
        <x:v>0.00019518156231494125</x:v>
      </x:c>
      <x:c r="AE365" s="80" t="n">
        <x:f>Z365-AD365</x:f>
        <x:v>0.00004879539057873531</x:v>
      </x:c>
      <x:c r="AF365" s="80" t="n">
        <x:f>D365*W365</x:f>
        <x:v>2.2219468502754732e-7</x:v>
      </x:c>
      <x:c r="AG365" s="80" t="n">
        <x:f>C365*W365</x:f>
        <x:v>5.184542650642597e-7</x:v>
      </x:c>
      <x:c r="AH365" s="80" t="n">
        <x:f>2*'Inputs'!$B$8*'Inputs'!$C$44</x:f>
        <x:v>1250</x:v>
      </x:c>
      <x:c r="AI365" s="81" t="n">
        <x:f>IF(AH365&gt;0,(AE365+AF365)/AH365*365,0)</x:f>
        <x:v>0.000014313134897018753</x:v>
      </x:c>
      <x:c r="AJ365" s="81" t="n">
        <x:f>IF('Inputs'!$B$44&gt;0,AG365/('Inputs'!$B$19*'Inputs'!$B$44)*365,0)</x:f>
        <x:v>1.892358067484548e-8</x:v>
      </x:c>
      <x:c r="AK365" s="81" t="n">
        <x:f>W365/MAX($W$4:W365)-1</x:f>
        <x:v>-0.9999999987183188</x:v>
      </x:c>
      <x:c r="AL365" s="83" t="n">
        <x:f>'Inputs'!$B$44</x:f>
        <x:v>1</x:v>
      </x:c>
      <x:c r="AM365" s="83" t="n">
        <x:f>'Inputs'!$C$44</x:f>
        <x:v>0.25</x:v>
      </x:c>
      <x:c r="AN365" s="83" t="n">
        <x:f>'Inputs'!$D$44</x:f>
        <x:v>0.2</x:v>
      </x:c>
      <x:c r="AO365" s="81" t="n">
        <x:f>'Inputs'!$E$44</x:f>
        <x:v>-0.2</x:v>
      </x:c>
    </x:row>
    <x:row r="366">
      <x:c r="A366" s="59" t="str">
        <x:v>No demand</x:v>
      </x:c>
      <x:c r="B366" s="59" t="n">
        <x:v>363</x:v>
      </x:c>
      <x:c r="C366" s="78" t="n">
        <x:f>(('Inputs'!$B$29*(3*363*'Inputs'!$B$12-363^2)/(2*'Inputs'!$B$12^2))-('Inputs'!$B$29*(3*362*'Inputs'!$B$12-362^2)/(2*'Inputs'!$B$12^2)))*'Inputs'!$B$44</x:f>
        <x:v>594134.6875586212</x:v>
      </x:c>
      <x:c r="D366" s="78" t="n">
        <x:f>IF('Inputs'!$C$44&gt;0,('Inputs'!$B$30*(3*363*'Inputs'!$B$12-363^2)/(2*'Inputs'!$B$12^2))-('Inputs'!$B$30*(3*362*'Inputs'!$B$12-362^2)/(2*'Inputs'!$B$12^2)),0)</x:f>
        <x:v>254629.15181083977</x:v>
      </x:c>
      <x:c r="E366" s="78" t="n">
        <x:f>C366+D366</x:f>
        <x:v>848763.8393694609</x:v>
      </x:c>
      <x:c r="F366" s="78" t="n">
        <x:f>'Inputs'!$B$13*E366+(1-'Inputs'!$B$13)/'Inputs'!$B$14*SUM(E311:E366)</x:f>
        <x:v>858981.5162319329</x:v>
      </x:c>
      <x:c r="G366" s="78" t="n">
        <x:f>F366*'Inputs'!$F$44</x:f>
        <x:v>773083.3646087396</x:v>
      </x:c>
      <x:c r="H366" s="78" t="n">
        <x:f>U365</x:f>
        <x:v>116557316191.77592</x:v>
      </x:c>
      <x:c r="I366" s="78" t="n">
        <x:f>V365</x:f>
        <x:v>0.10165470931037172</x:v>
      </x:c>
      <x:c r="J366" s="79" t="n">
        <x:f>IF(H366&gt;0,I366/H366,0)</x:f>
        <x:v>8.721435310256766e-13</x:v>
      </x:c>
      <x:c r="K366" s="80" t="n">
        <x:f>(H366*J366+I366)*'Inputs'!$D$44*(1+'Inputs'!$G$44)^(B366/30)</x:f>
        <x:v>0.040661883724148695</x:v>
      </x:c>
      <x:c r="L366" s="80" t="n">
        <x:f>MAX(0,K366*'Inputs'!$E$44)</x:f>
        <x:v>0</x:v>
      </x:c>
      <x:c r="M366" s="80" t="n">
        <x:f>MAX(0,-K366*'Inputs'!$E$44)</x:f>
        <x:v>0.00813237674482974</x:v>
      </x:c>
      <x:c r="N366" s="78" t="n">
        <x:f>H366*(L366*(1-'Inputs'!$B$15))/(I366+L366*(1-'Inputs'!$B$15))</x:f>
        <x:v>0</x:v>
      </x:c>
      <x:c r="O366" s="78" t="n">
        <x:f>H366-N366</x:f>
        <x:v>116557316191.77592</x:v>
      </x:c>
      <x:c r="P366" s="78" t="n">
        <x:f>I366+L366*(1-'Inputs'!$B$17)</x:f>
        <x:v>0.10165470931037172</x:v>
      </x:c>
      <x:c r="Q366" s="78" t="n">
        <x:f>IF(J366&gt;0,M366/J366,0)</x:f>
        <x:v>0</x:v>
      </x:c>
      <x:c r="R366" s="78" t="n">
        <x:f>IF(B366='Inputs'!$H$44,'Inputs'!$B$27*'Inputs'!$I$44,0)</x:f>
        <x:v>0</x:v>
      </x:c>
      <x:c r="S366" s="78" t="n">
        <x:f>Q366+G366+R366</x:f>
        <x:v>773083.3646087396</x:v>
      </x:c>
      <x:c r="T366" s="78" t="n">
        <x:f>P366*(S366*(1-'Inputs'!$B$15))/(O366+S366*(1-'Inputs'!$B$15))</x:f>
        <x:v>6.674928758619895e-7</x:v>
      </x:c>
      <x:c r="U366" s="78" t="n">
        <x:f>O366+S366*(1-'Inputs'!$B$17)</x:f>
        <x:v>116558086164.14108</x:v>
      </x:c>
      <x:c r="V366" s="78" t="n">
        <x:f>P366-T366</x:f>
        <x:v>0.10165404181749586</x:v>
      </x:c>
      <x:c r="W366" s="79" t="n">
        <x:f>IF(U366&gt;0,V366/U366,0)</x:f>
        <x:v>8.721320430256822e-13</x:v>
      </x:c>
      <x:c r="X366" s="80" t="n">
        <x:f>W366*('Inputs'!$B$6-AC366)</x:f>
        <x:v>-0.00035798040322992464</x:v>
      </x:c>
      <x:c r="Y366" s="80" t="n">
        <x:f>2*V366</x:f>
        <x:v>0.20330808363499173</x:v>
      </x:c>
      <x:c r="Z366" s="80" t="n">
        <x:f>K366*'Inputs'!$B$16+(G366+R366)*J366*'Inputs'!$B$16</x:f>
        <x:v>0.0002439753477828245</x:v>
      </x:c>
      <x:c r="AA366" s="80" t="n">
        <x:f>K366*(1+'Inputs'!$E$44)/2*'Inputs'!$B$17</x:f>
        <x:v>0.0000654517243044647</x:v>
      </x:c>
      <x:c r="AB366" s="78" t="n">
        <x:f>(IF(J366&gt;0,K366*(1-'Inputs'!$E$44)/2/J366,0)+G366+R366)*'Inputs'!$B$17</x:f>
        <x:v>3110.9994551659543</x:v>
      </x:c>
      <x:c r="AC366" s="78" t="n">
        <x:f>AC365+AB366</x:f>
        <x:v>1410465830.3666787</x:v>
      </x:c>
      <x:c r="AD366" s="80" t="n">
        <x:f>Z366/(1+'Inputs'!$C$44)</x:f>
        <x:v>0.0001951802782262596</x:v>
      </x:c>
      <x:c r="AE366" s="80" t="n">
        <x:f>Z366-AD366</x:f>
        <x:v>0.000048795069556564904</x:v>
      </x:c>
      <x:c r="AF366" s="80" t="n">
        <x:f>D366*W366</x:f>
        <x:v>2.2207024238268428e-7</x:v>
      </x:c>
      <x:c r="AG366" s="80" t="n">
        <x:f>C366*W366</x:f>
        <x:v>5.181638988929257e-7</x:v>
      </x:c>
      <x:c r="AH366" s="80" t="n">
        <x:f>2*'Inputs'!$B$8*'Inputs'!$C$44</x:f>
        <x:v>1250</x:v>
      </x:c>
      <x:c r="AI366" s="81" t="n">
        <x:f>IF(AH366&gt;0,(AE366+AF366)/AH366*365,0)</x:f>
        <x:v>0.000014313004821292694</x:v>
      </x:c>
      <x:c r="AJ366" s="81" t="n">
        <x:f>IF('Inputs'!$B$44&gt;0,AG366/('Inputs'!$B$19*'Inputs'!$B$44)*365,0)</x:f>
        <x:v>1.891298230959179e-8</x:v>
      </x:c>
      <x:c r="AK366" s="81" t="n">
        <x:f>W366/MAX($W$4:W366)-1</x:f>
        <x:v>-0.9999999987183357</x:v>
      </x:c>
      <x:c r="AL366" s="83" t="n">
        <x:f>'Inputs'!$B$44</x:f>
        <x:v>1</x:v>
      </x:c>
      <x:c r="AM366" s="83" t="n">
        <x:f>'Inputs'!$C$44</x:f>
        <x:v>0.25</x:v>
      </x:c>
      <x:c r="AN366" s="83" t="n">
        <x:f>'Inputs'!$D$44</x:f>
        <x:v>0.2</x:v>
      </x:c>
      <x:c r="AO366" s="81" t="n">
        <x:f>'Inputs'!$E$44</x:f>
        <x:v>-0.2</x:v>
      </x:c>
    </x:row>
    <x:row r="367">
      <x:c r="A367" s="59" t="str">
        <x:v>No demand</x:v>
      </x:c>
      <x:c r="B367" s="59" t="n">
        <x:v>364</x:v>
      </x:c>
      <x:c r="C367" s="78" t="n">
        <x:f>(('Inputs'!$B$29*(3*364*'Inputs'!$B$12-364^2)/(2*'Inputs'!$B$12^2))-('Inputs'!$B$29*(3*363*'Inputs'!$B$12-363^2)/(2*'Inputs'!$B$12^2)))*'Inputs'!$B$44</x:f>
        <x:v>593809.5796584785</x:v>
      </x:c>
      <x:c r="D367" s="78" t="n">
        <x:f>IF('Inputs'!$C$44&gt;0,('Inputs'!$B$30*(3*364*'Inputs'!$B$12-364^2)/(2*'Inputs'!$B$12^2))-('Inputs'!$B$30*(3*363*'Inputs'!$B$12-363^2)/(2*'Inputs'!$B$12^2)),0)</x:f>
        <x:v>254489.81985363364</x:v>
      </x:c>
      <x:c r="E367" s="78" t="n">
        <x:f>C367+D367</x:f>
        <x:v>848299.3995121121</x:v>
      </x:c>
      <x:c r="F367" s="78" t="n">
        <x:f>'Inputs'!$B$13*E367+(1-'Inputs'!$B$13)/'Inputs'!$B$14*SUM(E312:E367)</x:f>
        <x:v>858517.0763745559</x:v>
      </x:c>
      <x:c r="G367" s="78" t="n">
        <x:f>F367*'Inputs'!$F$44</x:f>
        <x:v>772665.3687371004</x:v>
      </x:c>
      <x:c r="H367" s="78" t="n">
        <x:f>U366</x:f>
        <x:v>116558086164.14108</x:v>
      </x:c>
      <x:c r="I367" s="78" t="n">
        <x:f>V366</x:f>
        <x:v>0.10165404181749586</x:v>
      </x:c>
      <x:c r="J367" s="79" t="n">
        <x:f>IF(H367&gt;0,I367/H367,0)</x:f>
        <x:v>8.721320430256822e-13</x:v>
      </x:c>
      <x:c r="K367" s="80" t="n">
        <x:f>(H367*J367+I367)*'Inputs'!$D$44*(1+'Inputs'!$G$44)^(B367/30)</x:f>
        <x:v>0.04066161672699835</x:v>
      </x:c>
      <x:c r="L367" s="80" t="n">
        <x:f>MAX(0,K367*'Inputs'!$E$44)</x:f>
        <x:v>0</x:v>
      </x:c>
      <x:c r="M367" s="80" t="n">
        <x:f>MAX(0,-K367*'Inputs'!$E$44)</x:f>
        <x:v>0.00813232334539967</x:v>
      </x:c>
      <x:c r="N367" s="78" t="n">
        <x:f>H367*(L367*(1-'Inputs'!$B$15))/(I367+L367*(1-'Inputs'!$B$15))</x:f>
        <x:v>0</x:v>
      </x:c>
      <x:c r="O367" s="78" t="n">
        <x:f>H367-N367</x:f>
        <x:v>116558086164.14108</x:v>
      </x:c>
      <x:c r="P367" s="78" t="n">
        <x:f>I367+L367*(1-'Inputs'!$B$17)</x:f>
        <x:v>0.10165404181749586</x:v>
      </x:c>
      <x:c r="Q367" s="78" t="n">
        <x:f>IF(J367&gt;0,M367/J367,0)</x:f>
        <x:v>0</x:v>
      </x:c>
      <x:c r="R367" s="78" t="n">
        <x:f>IF(B367='Inputs'!$H$44,'Inputs'!$B$27*'Inputs'!$I$44,0)</x:f>
        <x:v>0</x:v>
      </x:c>
      <x:c r="S367" s="78" t="n">
        <x:f>Q367+G367+R367</x:f>
        <x:v>772665.3687371004</x:v>
      </x:c>
      <x:c r="T367" s="78" t="n">
        <x:f>P367*(S367*(1-'Inputs'!$B$15))/(O367+S367*(1-'Inputs'!$B$15))</x:f>
        <x:v>6.671231861994679e-7</x:v>
      </x:c>
      <x:c r="U367" s="78" t="n">
        <x:f>O367+S367*(1-'Inputs'!$B$17)</x:f>
        <x:v>116558855720.19244</x:v>
      </x:c>
      <x:c r="V367" s="78" t="n">
        <x:f>P367-T367</x:f>
        <x:v>0.10165337469430967</x:v>
      </x:c>
      <x:c r="W367" s="79" t="n">
        <x:f>IF(U367&gt;0,V367/U367,0)</x:f>
        <x:v>8.721205614641207e-13</x:v>
      </x:c>
      <x:c r="X367" s="80" t="n">
        <x:f>W367*('Inputs'!$B$6-AC367)</x:f>
        <x:v>-0.00035797840214084293</x:v>
      </x:c>
      <x:c r="Y367" s="80" t="n">
        <x:f>2*V367</x:f>
        <x:v>0.20330674938861934</x:v>
      </x:c>
      <x:c r="Z367" s="80" t="n">
        <x:f>K367*'Inputs'!$B$16+(G367+R367)*J367*'Inputs'!$B$16</x:f>
        <x:v>0.00024397374355934978</x:v>
      </x:c>
      <x:c r="AA367" s="80" t="n">
        <x:f>K367*(1+'Inputs'!$E$44)/2*'Inputs'!$B$17</x:f>
        <x:v>0.00006545129453037964</x:v>
      </x:c>
      <x:c r="AB367" s="78" t="n">
        <x:f>(IF(J367&gt;0,K367*(1-'Inputs'!$E$44)/2/J367,0)+G367+R367)*'Inputs'!$B$17</x:f>
        <x:v>3109.3173792237444</x:v>
      </x:c>
      <x:c r="AC367" s="78" t="n">
        <x:f>AC366+AB367</x:f>
        <x:v>1410468939.684058</x:v>
      </x:c>
      <x:c r="AD367" s="80" t="n">
        <x:f>Z367/(1+'Inputs'!$C$44)</x:f>
        <x:v>0.00019517899484747982</x:v>
      </x:c>
      <x:c r="AE367" s="80" t="n">
        <x:f>Z367-AD367</x:f>
        <x:v>0.00004879474871186996</x:v>
      </x:c>
      <x:c r="AF367" s="80" t="n">
        <x:f>D367*W367</x:f>
        <x:v>2.2194580457765392e-7</x:v>
      </x:c>
      <x:c r="AG367" s="80" t="n">
        <x:f>C367*W367</x:f>
        <x:v>5.178735440145258e-7</x:v>
      </x:c>
      <x:c r="AH367" s="80" t="n">
        <x:f>2*'Inputs'!$B$8*'Inputs'!$C$44</x:f>
        <x:v>1250</x:v>
      </x:c>
      <x:c r="AI367" s="81" t="n">
        <x:f>IF(AH367&gt;0,(AE367+AF367)/AH367*365,0)</x:f>
        <x:v>0.000014312874798802704</x:v>
      </x:c>
      <x:c r="AJ367" s="81" t="n">
        <x:f>IF('Inputs'!$B$44&gt;0,AG367/('Inputs'!$B$19*'Inputs'!$B$44)*365,0)</x:f>
        <x:v>1.890238435653019e-8</x:v>
      </x:c>
      <x:c r="AK367" s="81" t="n">
        <x:f>W367/MAX($W$4:W367)-1</x:f>
        <x:v>-0.9999999987183525</x:v>
      </x:c>
      <x:c r="AL367" s="83" t="n">
        <x:f>'Inputs'!$B$44</x:f>
        <x:v>1</x:v>
      </x:c>
      <x:c r="AM367" s="83" t="n">
        <x:f>'Inputs'!$C$44</x:f>
        <x:v>0.25</x:v>
      </x:c>
      <x:c r="AN367" s="83" t="n">
        <x:f>'Inputs'!$D$44</x:f>
        <x:v>0.2</x:v>
      </x:c>
      <x:c r="AO367" s="81" t="n">
        <x:f>'Inputs'!$E$44</x:f>
        <x:v>-0.2</x:v>
      </x:c>
    </x:row>
    <x:row r="368">
      <x:c r="A368" s="59" t="str">
        <x:v>No demand</x:v>
      </x:c>
      <x:c r="B368" s="59" t="n">
        <x:v>365</x:v>
      </x:c>
      <x:c r="C368" s="78" t="n">
        <x:f>(('Inputs'!$B$29*(3*365*'Inputs'!$B$12-365^2)/(2*'Inputs'!$B$12^2))-('Inputs'!$B$29*(3*364*'Inputs'!$B$12-364^2)/(2*'Inputs'!$B$12^2)))*'Inputs'!$B$44</x:f>
        <x:v>593484.471758306</x:v>
      </x:c>
      <x:c r="D368" s="78" t="n">
        <x:f>IF('Inputs'!$C$44&gt;0,('Inputs'!$B$30*(3*365*'Inputs'!$B$12-365^2)/(2*'Inputs'!$B$12^2))-('Inputs'!$B$30*(3*364*'Inputs'!$B$12-364^2)/(2*'Inputs'!$B$12^2)),0)</x:f>
        <x:v>254350.4878964126</x:v>
      </x:c>
      <x:c r="E368" s="78" t="n">
        <x:f>C368+D368</x:f>
        <x:v>847834.9596547186</x:v>
      </x:c>
      <x:c r="F368" s="78" t="n">
        <x:f>'Inputs'!$B$13*E368+(1-'Inputs'!$B$13)/'Inputs'!$B$14*SUM(E313:E368)</x:f>
        <x:v>858052.6365171699</x:v>
      </x:c>
      <x:c r="G368" s="78" t="n">
        <x:f>F368*'Inputs'!$F$44</x:f>
        <x:v>772247.3728654529</x:v>
      </x:c>
      <x:c r="H368" s="78" t="n">
        <x:f>U367</x:f>
        <x:v>116558855720.19244</x:v>
      </x:c>
      <x:c r="I368" s="78" t="n">
        <x:f>V367</x:f>
        <x:v>0.10165337469430967</x:v>
      </x:c>
      <x:c r="J368" s="79" t="n">
        <x:f>IF(H368&gt;0,I368/H368,0)</x:f>
        <x:v>8.721205614641207e-13</x:v>
      </x:c>
      <x:c r="K368" s="80" t="n">
        <x:f>(H368*J368+I368)*'Inputs'!$D$44*(1+'Inputs'!$G$44)^(B368/30)</x:f>
        <x:v>0.04066134987772387</x:v>
      </x:c>
      <x:c r="L368" s="80" t="n">
        <x:f>MAX(0,K368*'Inputs'!$E$44)</x:f>
        <x:v>0</x:v>
      </x:c>
      <x:c r="M368" s="80" t="n">
        <x:f>MAX(0,-K368*'Inputs'!$E$44)</x:f>
        <x:v>0.008132269975544774</x:v>
      </x:c>
      <x:c r="N368" s="78" t="n">
        <x:f>H368*(L368*(1-'Inputs'!$B$15))/(I368+L368*(1-'Inputs'!$B$15))</x:f>
        <x:v>0</x:v>
      </x:c>
      <x:c r="O368" s="78" t="n">
        <x:f>H368-N368</x:f>
        <x:v>116558855720.19244</x:v>
      </x:c>
      <x:c r="P368" s="78" t="n">
        <x:f>I368+L368*(1-'Inputs'!$B$17)</x:f>
        <x:v>0.10165337469430967</x:v>
      </x:c>
      <x:c r="Q368" s="78" t="n">
        <x:f>IF(J368&gt;0,M368/J368,0)</x:f>
        <x:v>0</x:v>
      </x:c>
      <x:c r="R368" s="78" t="n">
        <x:f>IF(B368='Inputs'!$H$44,'Inputs'!$B$27*'Inputs'!$I$44,0)</x:f>
        <x:v>0</x:v>
      </x:c>
      <x:c r="S368" s="78" t="n">
        <x:f>Q368+G368+R368</x:f>
        <x:v>772247.3728654529</x:v>
      </x:c>
      <x:c r="T368" s="78" t="n">
        <x:f>P368*(S368*(1-'Inputs'!$B$15))/(O368+S368*(1-'Inputs'!$B$15))</x:f>
        <x:v>6.667535109643168e-7</x:v>
      </x:c>
      <x:c r="U368" s="78" t="n">
        <x:f>O368+S368*(1-'Inputs'!$B$17)</x:f>
        <x:v>116559624859.93001</x:v>
      </x:c>
      <x:c r="V368" s="78" t="n">
        <x:f>P368-T368</x:f>
        <x:v>0.10165270794079871</x:v>
      </x:c>
      <x:c r="W368" s="79" t="n">
        <x:f>IF(U368&gt;0,V368/U368,0)</x:f>
        <x:v>8.721090863406177e-13</x:v>
      </x:c>
      <x:c r="X368" s="80" t="n">
        <x:f>W368*('Inputs'!$B$6-AC368)</x:f>
        <x:v>-0.0003579764021560509</x:v>
      </x:c>
      <x:c r="Y368" s="80" t="n">
        <x:f>2*V368</x:f>
        <x:v>0.20330541588159742</x:v>
      </x:c>
      <x:c r="Z368" s="80" t="n">
        <x:f>K368*'Inputs'!$B$16+(G368+R368)*J368*'Inputs'!$B$16</x:f>
        <x:v>0.0002439721402232177</x:v>
      </x:c>
      <x:c r="AA368" s="80" t="n">
        <x:f>K368*(1+'Inputs'!$E$44)/2*'Inputs'!$B$17</x:f>
        <x:v>0.00006545086499432415</x:v>
      </x:c>
      <x:c r="AB368" s="78" t="n">
        <x:f>(IF(J368&gt;0,K368*(1-'Inputs'!$E$44)/2/J368,0)+G368+R368)*'Inputs'!$B$17</x:f>
        <x:v>3107.635303281501</x:v>
      </x:c>
      <x:c r="AC368" s="78" t="n">
        <x:f>AC367+AB368</x:f>
        <x:v>1410472047.3193612</x:v>
      </x:c>
      <x:c r="AD368" s="80" t="n">
        <x:f>Z368/(1+'Inputs'!$C$44)</x:f>
        <x:v>0.00019517771217857416</x:v>
      </x:c>
      <x:c r="AE368" s="80" t="n">
        <x:f>Z368-AD368</x:f>
        <x:v>0.00004879442804464355</x:v>
      </x:c>
      <x:c r="AF368" s="80" t="n">
        <x:f>D368*W368</x:f>
        <x:v>2.2182137160963074e-7</x:v>
      </x:c>
      <x:c r="AG368" s="80" t="n">
        <x:f>C368*W368</x:f>
        <x:v>5.175832004224804e-7</x:v>
      </x:c>
      <x:c r="AH368" s="80" t="n">
        <x:f>2*'Inputs'!$B$8*'Inputs'!$C$44</x:f>
        <x:v>1250</x:v>
      </x:c>
      <x:c r="AI368" s="81" t="n">
        <x:f>IF(AH368&gt;0,(AE368+AF368)/AH368*365,0)</x:f>
        <x:v>0.000014312744829545928</x:v>
      </x:c>
      <x:c r="AJ368" s="81" t="n">
        <x:f>IF('Inputs'!$B$44&gt;0,AG368/('Inputs'!$B$19*'Inputs'!$B$44)*365,0)</x:f>
        <x:v>1.8891786815420535e-8</x:v>
      </x:c>
      <x:c r="AK368" s="81" t="n">
        <x:f>W368/MAX($W$4:W368)-1</x:f>
        <x:v>-0.9999999987183694</x:v>
      </x:c>
      <x:c r="AL368" s="83" t="n">
        <x:f>'Inputs'!$B$44</x:f>
        <x:v>1</x:v>
      </x:c>
      <x:c r="AM368" s="83" t="n">
        <x:f>'Inputs'!$C$44</x:f>
        <x:v>0.25</x:v>
      </x:c>
      <x:c r="AN368" s="83" t="n">
        <x:f>'Inputs'!$D$44</x:f>
        <x:v>0.2</x:v>
      </x:c>
      <x:c r="AO368" s="81" t="n">
        <x:f>'Inputs'!$E$44</x:f>
        <x:v>-0.2</x:v>
      </x:c>
    </x:row>
    <x:row r="369">
      <x:c r="A369" s="59" t="str">
        <x:v>Weak demand</x:v>
      </x:c>
      <x:c r="B369" s="59" t="n">
        <x:v>1</x:v>
      </x:c>
      <x:c r="C369" s="78" t="n">
        <x:f>(('Inputs'!$B$29*(3*1*'Inputs'!$B$12-1^2)/(2*'Inputs'!$B$12^2))-('Inputs'!$B$29*(3*0*'Inputs'!$B$12-0^2)/(2*'Inputs'!$B$12^2)))*'Inputs'!$B$45</x:f>
        <x:v>533867.8105648339</x:v>
      </x:c>
      <x:c r="D369" s="78" t="n">
        <x:f>IF('Inputs'!$C$45&gt;0,('Inputs'!$B$30*(3*1*'Inputs'!$B$12-1^2)/(2*'Inputs'!$B$12^2))-('Inputs'!$B$30*(3*0*'Inputs'!$B$12-0^2)/(2*'Inputs'!$B$12^2)),0)</x:f>
        <x:v>305067.32032276224</x:v>
      </x:c>
      <x:c r="E369" s="78" t="n">
        <x:f>C369+D369</x:f>
        <x:v>838935.1308875962</x:v>
      </x:c>
      <x:c r="F369" s="78" t="n">
        <x:f>'Inputs'!$B$13*E369+(1-'Inputs'!$B$13)/'Inputs'!$B$14*SUM(E369:E369)</x:f>
        <x:v>179771.81376162774</x:v>
      </x:c>
      <x:c r="G369" s="78" t="n">
        <x:f>F369*'Inputs'!$F$45</x:f>
        <x:v>125840.26963313941</x:v>
      </x:c>
      <x:c r="H369" s="78" t="n">
        <x:f>'Inputs'!$B$26*(1+'Inputs'!$C$45)</x:f>
        <x:v>4285714.285714285</x:v>
      </x:c>
      <x:c r="I369" s="78" t="n">
        <x:f>'Inputs'!$B$8*(1+'Inputs'!$C$45)</x:f>
        <x:v>3750</x:v>
      </x:c>
      <x:c r="J369" s="79" t="n">
        <x:f>IF(H369&gt;0,I369/H369,0)</x:f>
        <x:v>0.000875</x:v>
      </x:c>
      <x:c r="K369" s="80" t="n">
        <x:f>(H369*J369+I369)*'Inputs'!$D$45*(1+'Inputs'!$G$45)^(B369/30)</x:f>
        <x:v>3750</x:v>
      </x:c>
      <x:c r="L369" s="80" t="n">
        <x:f>MAX(0,K369*'Inputs'!$E$45)</x:f>
        <x:v>0</x:v>
      </x:c>
      <x:c r="M369" s="80" t="n">
        <x:f>MAX(0,-K369*'Inputs'!$E$45)</x:f>
        <x:v>187.5</x:v>
      </x:c>
      <x:c r="N369" s="78" t="n">
        <x:f>H369*(L369*(1-'Inputs'!$B$15))/(I369+L369*(1-'Inputs'!$B$15))</x:f>
        <x:v>0</x:v>
      </x:c>
      <x:c r="O369" s="78" t="n">
        <x:f>H369-N369</x:f>
        <x:v>4285714.285714285</x:v>
      </x:c>
      <x:c r="P369" s="78" t="n">
        <x:f>I369+L369*(1-'Inputs'!$B$17)</x:f>
        <x:v>3750</x:v>
      </x:c>
      <x:c r="Q369" s="78" t="n">
        <x:f>IF(J369&gt;0,M369/J369,0)</x:f>
        <x:v>214285.7142857143</x:v>
      </x:c>
      <x:c r="R369" s="78" t="n">
        <x:f>IF(B369='Inputs'!$H$45,'Inputs'!$B$27*'Inputs'!$I$45,0)</x:f>
        <x:v>0</x:v>
      </x:c>
      <x:c r="S369" s="78" t="n">
        <x:f>Q369+G369+R369</x:f>
        <x:v>340125.9839188537</x:v>
      </x:c>
      <x:c r="T369" s="78" t="n">
        <x:f>P369*(S369*(1-'Inputs'!$B$15))/(O369+S369*(1-'Inputs'!$B$15))</x:f>
        <x:v>273.1713090477382</x:v>
      </x:c>
      <x:c r="U369" s="78" t="n">
        <x:f>O369+S369*(1-'Inputs'!$B$17)</x:f>
        <x:v>4624471.553400066</x:v>
      </x:c>
      <x:c r="V369" s="78" t="n">
        <x:f>P369-T369</x:f>
        <x:v>3476.8286909522617</x:v>
      </x:c>
      <x:c r="W369" s="79" t="n">
        <x:f>IF(U369&gt;0,V369/U369,0)</x:f>
        <x:v>0.0007518326474288681</x:v>
      </x:c>
      <x:c r="X369" s="80" t="n">
        <x:f>W369*('Inputs'!$B$6-AC369)</x:f>
        <x:v>751825.4593633559</x:v>
      </x:c>
      <x:c r="Y369" s="80" t="n">
        <x:f>2*V369</x:f>
        <x:v>6953.657381904523</x:v>
      </x:c>
      <x:c r="Z369" s="80" t="n">
        <x:f>K369*'Inputs'!$B$16+(G369+R369)*J369*'Inputs'!$B$16</x:f>
        <x:v>23.160661415573983</x:v>
      </x:c>
      <x:c r="AA369" s="80" t="n">
        <x:f>K369*(1+'Inputs'!$E$45)/2*'Inputs'!$B$17</x:f>
        <x:v>7.168008048289739</x:v>
      </x:c>
      <x:c r="AB369" s="78" t="n">
        <x:f>(IF(J369&gt;0,K369*(1-'Inputs'!$E$45)/2/J369,0)+G369+R369)*'Inputs'!$B$17</x:f>
        <x:v>9560.725431119274</x:v>
      </x:c>
      <x:c r="AC369" s="78" t="n">
        <x:f>AB369</x:f>
        <x:v>9560.725431119274</x:v>
      </x:c>
      <x:c r="AD369" s="80" t="n">
        <x:f>Z369/(1+'Inputs'!$C$45)</x:f>
        <x:v>15.44044094371599</x:v>
      </x:c>
      <x:c r="AE369" s="80" t="n">
        <x:f>Z369-AD369</x:f>
        <x:v>7.720220471857994</x:v>
      </x:c>
      <x:c r="AF369" s="80" t="n">
        <x:f>D369*W369</x:f>
        <x:v>229.3595710822929</x:v>
      </x:c>
      <x:c r="AG369" s="80" t="n">
        <x:f>C369*W369</x:f>
        <x:v>401.37924939401256</x:v>
      </x:c>
      <x:c r="AH369" s="80" t="n">
        <x:f>2*'Inputs'!$B$8*'Inputs'!$C$45</x:f>
        <x:v>2500</x:v>
      </x:c>
      <x:c r="AI369" s="81" t="n">
        <x:f>IF(AH369&gt;0,(AE369+AF369)/AH369*365,0)</x:f>
        <x:v>34.61364956690603</x:v>
      </x:c>
      <x:c r="AJ369" s="81" t="n">
        <x:f>IF('Inputs'!$B$45&gt;0,AG369/('Inputs'!$B$19*'Inputs'!$B$45)*365,0)</x:f>
        <x:v>19.53379013717528</x:v>
      </x:c>
      <x:c r="AK369" s="81" t="n">
        <x:f>W369/MAX($W$369:W369)-1</x:f>
        <x:v>0</x:v>
      </x:c>
      <x:c r="AL369" s="83" t="n">
        <x:f>'Inputs'!$B$45</x:f>
        <x:v>0.75</x:v>
      </x:c>
      <x:c r="AM369" s="83" t="n">
        <x:f>'Inputs'!$C$45</x:f>
        <x:v>0.5</x:v>
      </x:c>
      <x:c r="AN369" s="83" t="n">
        <x:f>'Inputs'!$D$45</x:f>
        <x:v>0.5</x:v>
      </x:c>
      <x:c r="AO369" s="81" t="n">
        <x:f>'Inputs'!$E$45</x:f>
        <x:v>-0.05</x:v>
      </x:c>
    </x:row>
    <x:row r="370">
      <x:c r="A370" s="59" t="str">
        <x:v>Weak demand</x:v>
      </x:c>
      <x:c r="B370" s="59" t="n">
        <x:v>2</x:v>
      </x:c>
      <x:c r="C370" s="78" t="n">
        <x:f>(('Inputs'!$B$29*(3*2*'Inputs'!$B$12-2^2)/(2*'Inputs'!$B$12^2))-('Inputs'!$B$29*(3*1*'Inputs'!$B$12-1^2)/(2*'Inputs'!$B$12^2)))*'Inputs'!$B$45</x:f>
        <x:v>533623.9796397072</x:v>
      </x:c>
      <x:c r="D370" s="78" t="n">
        <x:f>IF('Inputs'!$C$45&gt;0,('Inputs'!$B$30*(3*2*'Inputs'!$B$12-2^2)/(2*'Inputs'!$B$12^2))-('Inputs'!$B$30*(3*1*'Inputs'!$B$12-1^2)/(2*'Inputs'!$B$12^2)),0)</x:f>
        <x:v>304927.98836554703</x:v>
      </x:c>
      <x:c r="E370" s="78" t="n">
        <x:f>C370+D370</x:f>
        <x:v>838551.9680052543</x:v>
      </x:c>
      <x:c r="F370" s="78" t="n">
        <x:f>'Inputs'!$B$13*E370+(1-'Inputs'!$B$13)/'Inputs'!$B$14*SUM(E369:E370)</x:f>
        <x:v>191674.49501380586</x:v>
      </x:c>
      <x:c r="G370" s="78" t="n">
        <x:f>F370*'Inputs'!$F$45</x:f>
        <x:v>134172.1465096641</x:v>
      </x:c>
      <x:c r="H370" s="78" t="n">
        <x:f>U369</x:f>
        <x:v>4624471.553400066</x:v>
      </x:c>
      <x:c r="I370" s="78" t="n">
        <x:f>V369</x:f>
        <x:v>3476.8286909522617</x:v>
      </x:c>
      <x:c r="J370" s="79" t="n">
        <x:f>IF(H370&gt;0,I370/H370,0)</x:f>
        <x:v>0.0007518326474288681</x:v>
      </x:c>
      <x:c r="K370" s="80" t="n">
        <x:f>(H370*J370+I370)*'Inputs'!$D$45*(1+'Inputs'!$G$45)^(B370/30)</x:f>
        <x:v>3476.8286909522617</x:v>
      </x:c>
      <x:c r="L370" s="80" t="n">
        <x:f>MAX(0,K370*'Inputs'!$E$45)</x:f>
        <x:v>0</x:v>
      </x:c>
      <x:c r="M370" s="80" t="n">
        <x:f>MAX(0,-K370*'Inputs'!$E$45)</x:f>
        <x:v>173.8414345476131</x:v>
      </x:c>
      <x:c r="N370" s="78" t="n">
        <x:f>H370*(L370*(1-'Inputs'!$B$15))/(I370+L370*(1-'Inputs'!$B$15))</x:f>
        <x:v>0</x:v>
      </x:c>
      <x:c r="O370" s="78" t="n">
        <x:f>H370-N370</x:f>
        <x:v>4624471.553400066</x:v>
      </x:c>
      <x:c r="P370" s="78" t="n">
        <x:f>I370+L370*(1-'Inputs'!$B$17)</x:f>
        <x:v>3476.8286909522617</x:v>
      </x:c>
      <x:c r="Q370" s="78" t="n">
        <x:f>IF(J370&gt;0,M370/J370,0)</x:f>
        <x:v>231223.5776700033</x:v>
      </x:c>
      <x:c r="R370" s="78" t="n">
        <x:f>IF(B370='Inputs'!$H$45,'Inputs'!$B$27*'Inputs'!$I$45,0)</x:f>
        <x:v>0</x:v>
      </x:c>
      <x:c r="S370" s="78" t="n">
        <x:f>Q370+G370+R370</x:f>
        <x:v>365395.7241796674</x:v>
      </x:c>
      <x:c r="T370" s="78" t="n">
        <x:f>P370*(S370*(1-'Inputs'!$B$15))/(O370+S370*(1-'Inputs'!$B$15))</x:f>
        <x:v>252.23833663019352</x:v>
      </x:c>
      <x:c r="U370" s="78" t="n">
        <x:f>O370+S370*(1-'Inputs'!$B$17)</x:f>
        <x:v>4988396.872251042</x:v>
      </x:c>
      <x:c r="V370" s="78" t="n">
        <x:f>P370-T370</x:f>
        <x:v>3224.5903543220684</x:v>
      </x:c>
      <x:c r="W370" s="79" t="n">
        <x:f>IF(U370&gt;0,V370/U370,0)</x:f>
        <x:v>0.0006464181653748319</x:v>
      </x:c>
      <x:c r="X370" s="80" t="n">
        <x:f>W370*('Inputs'!$B$6-AC370)</x:f>
        <x:v>646405.3206167223</x:v>
      </x:c>
      <x:c r="Y370" s="80" t="n">
        <x:f>2*V370</x:f>
        <x:v>6449.180708644137</x:v>
      </x:c>
      <x:c r="Z370" s="80" t="n">
        <x:f>K370*'Inputs'!$B$16+(G370+R370)*J370*'Inputs'!$B$16</x:f>
        <x:v>21.46622214644302</x:v>
      </x:c>
      <x:c r="AA370" s="80" t="n">
        <x:f>K370*(1+'Inputs'!$E$45)/2*'Inputs'!$B$17</x:f>
        <x:v>6.645849610472131</x:v>
      </x:c>
      <x:c r="AB370" s="78" t="n">
        <x:f>(IF(J370&gt;0,K370*(1-'Inputs'!$E$45)/2/J370,0)+G370+R370)*'Inputs'!$B$17</x:f>
        <x:v>10309.938479053115</x:v>
      </x:c>
      <x:c r="AC370" s="78" t="n">
        <x:f>AC369+AB370</x:f>
        <x:v>19870.66391017239</x:v>
      </x:c>
      <x:c r="AD370" s="80" t="n">
        <x:f>Z370/(1+'Inputs'!$C$45)</x:f>
        <x:v>14.310814764295346</x:v>
      </x:c>
      <x:c r="AE370" s="80" t="n">
        <x:f>Z370-AD370</x:f>
        <x:v>7.155407382147674</x:v>
      </x:c>
      <x:c r="AF370" s="80" t="n">
        <x:f>D370*W370</x:f>
        <x:v>197.110990810695</x:v>
      </x:c>
      <x:c r="AG370" s="80" t="n">
        <x:f>C370*W370</x:f>
        <x:v>344.94423391871624</x:v>
      </x:c>
      <x:c r="AH370" s="80" t="n">
        <x:f>2*'Inputs'!$B$8*'Inputs'!$C$45</x:f>
        <x:v>2500</x:v>
      </x:c>
      <x:c r="AI370" s="81" t="n">
        <x:f>IF(AH370&gt;0,(AE370+AF370)/AH370*365,0)</x:f>
        <x:v>29.822894136155032</x:v>
      </x:c>
      <x:c r="AJ370" s="81" t="n">
        <x:f>IF('Inputs'!$B$45&gt;0,AG370/('Inputs'!$B$19*'Inputs'!$B$45)*365,0)</x:f>
        <x:v>16.787286050710858</x:v>
      </x:c>
      <x:c r="AK370" s="81" t="n">
        <x:f>W370/MAX($W$369:W370)-1</x:f>
        <x:v>-0.14021003532439658</x:v>
      </x:c>
      <x:c r="AL370" s="83" t="n">
        <x:f>'Inputs'!$B$45</x:f>
        <x:v>0.75</x:v>
      </x:c>
      <x:c r="AM370" s="83" t="n">
        <x:f>'Inputs'!$C$45</x:f>
        <x:v>0.5</x:v>
      </x:c>
      <x:c r="AN370" s="83" t="n">
        <x:f>'Inputs'!$D$45</x:f>
        <x:v>0.5</x:v>
      </x:c>
      <x:c r="AO370" s="81" t="n">
        <x:f>'Inputs'!$E$45</x:f>
        <x:v>-0.05</x:v>
      </x:c>
    </x:row>
    <x:row r="371">
      <x:c r="A371" s="59" t="str">
        <x:v>Weak demand</x:v>
      </x:c>
      <x:c r="B371" s="59" t="n">
        <x:v>3</x:v>
      </x:c>
      <x:c r="C371" s="78" t="n">
        <x:f>(('Inputs'!$B$29*(3*3*'Inputs'!$B$12-3^2)/(2*'Inputs'!$B$12^2))-('Inputs'!$B$29*(3*2*'Inputs'!$B$12-2^2)/(2*'Inputs'!$B$12^2)))*'Inputs'!$B$45</x:f>
        <x:v>533380.1487145806</x:v>
      </x:c>
      <x:c r="D371" s="78" t="n">
        <x:f>IF('Inputs'!$C$45&gt;0,('Inputs'!$B$30*(3*3*'Inputs'!$B$12-3^2)/(2*'Inputs'!$B$12^2))-('Inputs'!$B$30*(3*2*'Inputs'!$B$12-2^2)/(2*'Inputs'!$B$12^2)),0)</x:f>
        <x:v>304788.6564083317</x:v>
      </x:c>
      <x:c r="E371" s="78" t="n">
        <x:f>C371+D371</x:f>
        <x:v>838168.8051229123</x:v>
      </x:c>
      <x:c r="F371" s="78" t="n">
        <x:f>'Inputs'!$B$13*E371+(1-'Inputs'!$B$13)/'Inputs'!$B$14*SUM(E369:E371)</x:f>
        <x:v>203571.70251052192</x:v>
      </x:c>
      <x:c r="G371" s="78" t="n">
        <x:f>F371*'Inputs'!$F$45</x:f>
        <x:v>142500.19175736533</x:v>
      </x:c>
      <x:c r="H371" s="78" t="n">
        <x:f>U370</x:f>
        <x:v>4988396.872251042</x:v>
      </x:c>
      <x:c r="I371" s="78" t="n">
        <x:f>V370</x:f>
        <x:v>3224.5903543220684</x:v>
      </x:c>
      <x:c r="J371" s="79" t="n">
        <x:f>IF(H371&gt;0,I371/H371,0)</x:f>
        <x:v>0.0006464181653748319</x:v>
      </x:c>
      <x:c r="K371" s="80" t="n">
        <x:f>(H371*J371+I371)*'Inputs'!$D$45*(1+'Inputs'!$G$45)^(B371/30)</x:f>
        <x:v>3224.5903543220684</x:v>
      </x:c>
      <x:c r="L371" s="80" t="n">
        <x:f>MAX(0,K371*'Inputs'!$E$45)</x:f>
        <x:v>0</x:v>
      </x:c>
      <x:c r="M371" s="80" t="n">
        <x:f>MAX(0,-K371*'Inputs'!$E$45)</x:f>
        <x:v>161.22951771610343</x:v>
      </x:c>
      <x:c r="N371" s="78" t="n">
        <x:f>H371*(L371*(1-'Inputs'!$B$15))/(I371+L371*(1-'Inputs'!$B$15))</x:f>
        <x:v>0</x:v>
      </x:c>
      <x:c r="O371" s="78" t="n">
        <x:f>H371-N371</x:f>
        <x:v>4988396.872251042</x:v>
      </x:c>
      <x:c r="P371" s="78" t="n">
        <x:f>I371+L371*(1-'Inputs'!$B$17)</x:f>
        <x:v>3224.5903543220684</x:v>
      </x:c>
      <x:c r="Q371" s="78" t="n">
        <x:f>IF(J371&gt;0,M371/J371,0)</x:f>
        <x:v>249419.8436125521</x:v>
      </x:c>
      <x:c r="R371" s="78" t="n">
        <x:f>IF(B371='Inputs'!$H$45,'Inputs'!$B$27*'Inputs'!$I$45,0)</x:f>
        <x:v>0</x:v>
      </x:c>
      <x:c r="S371" s="78" t="n">
        <x:f>Q371+G371+R371</x:f>
        <x:v>391920.0353699174</x:v>
      </x:c>
      <x:c r="T371" s="78" t="n">
        <x:f>P371*(S371*(1-'Inputs'!$B$15))/(O371+S371*(1-'Inputs'!$B$15))</x:f>
        <x:v>232.7104165621971</x:v>
      </x:c>
      <x:c r="U371" s="78" t="n">
        <x:f>O371+S371*(1-'Inputs'!$B$17)</x:f>
        <x:v>5378739.764621483</x:v>
      </x:c>
      <x:c r="V371" s="78" t="n">
        <x:f>P371-T371</x:f>
        <x:v>2991.879937759871</x:v>
      </x:c>
      <x:c r="W371" s="79" t="n">
        <x:f>IF(U371&gt;0,V371/U371,0)</x:f>
        <x:v>0.000556241809175986</x:v>
      </x:c>
      <x:c r="X371" s="80" t="n">
        <x:f>W371*('Inputs'!$B$6-AC371)</x:f>
        <x:v>556224.5751516109</x:v>
      </x:c>
      <x:c r="Y371" s="80" t="n">
        <x:f>2*V371</x:f>
        <x:v>5983.759875519742</x:v>
      </x:c>
      <x:c r="Z371" s="80" t="n">
        <x:f>K371*'Inputs'!$B$16+(G371+R371)*J371*'Inputs'!$B$16</x:f>
        <x:v>19.900230401060558</x:v>
      </x:c>
      <x:c r="AA371" s="80" t="n">
        <x:f>K371*(1+'Inputs'!$E$45)/2*'Inputs'!$B$17</x:f>
        <x:v>6.163703896591479</x:v>
      </x:c>
      <x:c r="AB371" s="78" t="n">
        <x:f>(IF(J371&gt;0,K371*(1-'Inputs'!$E$45)/2/J371,0)+G371+R371)*'Inputs'!$B$17</x:f>
        <x:v>11112.308047038883</x:v>
      </x:c>
      <x:c r="AC371" s="78" t="n">
        <x:f>AC370+AB371</x:f>
        <x:v>30982.971957211274</x:v>
      </x:c>
      <x:c r="AD371" s="80" t="n">
        <x:f>Z371/(1+'Inputs'!$C$45)</x:f>
        <x:v>13.266820267373705</x:v>
      </x:c>
      <x:c r="AE371" s="80" t="n">
        <x:f>Z371-AD371</x:f>
        <x:v>6.633410133686853</x:v>
      </x:c>
      <x:c r="AF371" s="80" t="n">
        <x:f>D371*W371</x:f>
        <x:v>169.53619365688843</x:v>
      </x:c>
      <x:c r="AG371" s="80" t="n">
        <x:f>C371*W371</x:f>
        <x:v>296.68833889955476</x:v>
      </x:c>
      <x:c r="AH371" s="80" t="n">
        <x:f>2*'Inputs'!$B$8*'Inputs'!$C$45</x:f>
        <x:v>2500</x:v>
      </x:c>
      <x:c r="AI371" s="81" t="n">
        <x:f>IF(AH371&gt;0,(AE371+AF371)/AH371*365,0)</x:f>
        <x:v>25.720762153423994</x:v>
      </x:c>
      <x:c r="AJ371" s="81" t="n">
        <x:f>IF('Inputs'!$B$45&gt;0,AG371/('Inputs'!$B$19*'Inputs'!$B$45)*365,0)</x:f>
        <x:v>14.438832493111665</x:v>
      </x:c>
      <x:c r="AK371" s="81" t="n">
        <x:f>W371/MAX($W$369:W371)-1</x:f>
        <x:v>-0.2601520949133659</x:v>
      </x:c>
      <x:c r="AL371" s="83" t="n">
        <x:f>'Inputs'!$B$45</x:f>
        <x:v>0.75</x:v>
      </x:c>
      <x:c r="AM371" s="83" t="n">
        <x:f>'Inputs'!$C$45</x:f>
        <x:v>0.5</x:v>
      </x:c>
      <x:c r="AN371" s="83" t="n">
        <x:f>'Inputs'!$D$45</x:f>
        <x:v>0.5</x:v>
      </x:c>
      <x:c r="AO371" s="81" t="n">
        <x:f>'Inputs'!$E$45</x:f>
        <x:v>-0.05</x:v>
      </x:c>
    </x:row>
    <x:row r="372">
      <x:c r="A372" s="59" t="str">
        <x:v>Weak demand</x:v>
      </x:c>
      <x:c r="B372" s="59" t="n">
        <x:v>4</x:v>
      </x:c>
      <x:c r="C372" s="78" t="n">
        <x:f>(('Inputs'!$B$29*(3*4*'Inputs'!$B$12-4^2)/(2*'Inputs'!$B$12^2))-('Inputs'!$B$29*(3*3*'Inputs'!$B$12-3^2)/(2*'Inputs'!$B$12^2)))*'Inputs'!$B$45</x:f>
        <x:v>533136.317789454</x:v>
      </x:c>
      <x:c r="D372" s="78" t="n">
        <x:f>IF('Inputs'!$C$45&gt;0,('Inputs'!$B$30*(3*4*'Inputs'!$B$12-4^2)/(2*'Inputs'!$B$12^2))-('Inputs'!$B$30*(3*3*'Inputs'!$B$12-3^2)/(2*'Inputs'!$B$12^2)),0)</x:f>
        <x:v>304649.3244511165</x:v>
      </x:c>
      <x:c r="E372" s="78" t="n">
        <x:f>C372+D372</x:f>
        <x:v>837785.6422405705</x:v>
      </x:c>
      <x:c r="F372" s="78" t="n">
        <x:f>'Inputs'!$B$13*E372+(1-'Inputs'!$B$13)/'Inputs'!$B$14*SUM(E369:E372)</x:f>
        <x:v>215463.43625177603</x:v>
      </x:c>
      <x:c r="G372" s="78" t="n">
        <x:f>F372*'Inputs'!$F$45</x:f>
        <x:v>150824.4053762432</x:v>
      </x:c>
      <x:c r="H372" s="78" t="n">
        <x:f>U371</x:f>
        <x:v>5378739.764621483</x:v>
      </x:c>
      <x:c r="I372" s="78" t="n">
        <x:f>V371</x:f>
        <x:v>2991.879937759871</x:v>
      </x:c>
      <x:c r="J372" s="79" t="n">
        <x:f>IF(H372&gt;0,I372/H372,0)</x:f>
        <x:v>0.000556241809175986</x:v>
      </x:c>
      <x:c r="K372" s="80" t="n">
        <x:f>(H372*J372+I372)*'Inputs'!$D$45*(1+'Inputs'!$G$45)^(B372/30)</x:f>
        <x:v>2991.879937759871</x:v>
      </x:c>
      <x:c r="L372" s="80" t="n">
        <x:f>MAX(0,K372*'Inputs'!$E$45)</x:f>
        <x:v>0</x:v>
      </x:c>
      <x:c r="M372" s="80" t="n">
        <x:f>MAX(0,-K372*'Inputs'!$E$45)</x:f>
        <x:v>149.59399688799357</x:v>
      </x:c>
      <x:c r="N372" s="78" t="n">
        <x:f>H372*(L372*(1-'Inputs'!$B$15))/(I372+L372*(1-'Inputs'!$B$15))</x:f>
        <x:v>0</x:v>
      </x:c>
      <x:c r="O372" s="78" t="n">
        <x:f>H372-N372</x:f>
        <x:v>5378739.764621483</x:v>
      </x:c>
      <x:c r="P372" s="78" t="n">
        <x:f>I372+L372*(1-'Inputs'!$B$17)</x:f>
        <x:v>2991.879937759871</x:v>
      </x:c>
      <x:c r="Q372" s="78" t="n">
        <x:f>IF(J372&gt;0,M372/J372,0)</x:f>
        <x:v>268936.9882310742</x:v>
      </x:c>
      <x:c r="R372" s="78" t="n">
        <x:f>IF(B372='Inputs'!$H$45,'Inputs'!$B$27*'Inputs'!$I$45,0)</x:f>
        <x:v>0</x:v>
      </x:c>
      <x:c r="S372" s="78" t="n">
        <x:f>Q372+G372+R372</x:f>
        <x:v>419761.39360731735</x:v>
      </x:c>
      <x:c r="T372" s="78" t="n">
        <x:f>P372*(S372*(1-'Inputs'!$B$15))/(O372+S372*(1-'Inputs'!$B$15))</x:f>
        <x:v>214.57573386584156</x:v>
      </x:c>
      <x:c r="U372" s="78" t="n">
        <x:f>O372+S372*(1-'Inputs'!$B$17)</x:f>
        <x:v>5796811.977570421</x:v>
      </x:c>
      <x:c r="V372" s="78" t="n">
        <x:f>P372-T372</x:f>
        <x:v>2777.30420389403</x:v>
      </x:c>
      <x:c r="W372" s="79" t="n">
        <x:f>IF(U372&gt;0,V372/U372,0)</x:f>
        <x:v>0.0004791088989327652</x:v>
      </x:c>
      <x:c r="X372" s="80" t="n">
        <x:f>W372*('Inputs'!$B$6-AC372)</x:f>
        <x:v>479088.3195545812</x:v>
      </x:c>
      <x:c r="Y372" s="80" t="n">
        <x:f>2*V372</x:f>
        <x:v>5554.60840778806</x:v>
      </x:c>
      <x:c r="Z372" s="80" t="n">
        <x:f>K372*'Inputs'!$B$16+(G372+R372)*J372*'Inputs'!$B$16</x:f>
        <x:v>18.454648667245472</x:v>
      </x:c>
      <x:c r="AA372" s="80" t="n">
        <x:f>K372*(1+'Inputs'!$E$45)/2*'Inputs'!$B$17</x:f>
        <x:v>5.718885192901162</x:v>
      </x:c>
      <x:c r="AB372" s="78" t="n">
        <x:f>(IF(J372&gt;0,K372*(1-'Inputs'!$E$45)/2/J372,0)+G372+R372)*'Inputs'!$B$17</x:f>
        <x:v>11970.473971036308</x:v>
      </x:c>
      <x:c r="AC372" s="78" t="n">
        <x:f>AC371+AB372</x:f>
        <x:v>42953.44592824758</x:v>
      </x:c>
      <x:c r="AD372" s="80" t="n">
        <x:f>Z372/(1+'Inputs'!$C$45)</x:f>
        <x:v>12.303099111496982</x:v>
      </x:c>
      <x:c r="AE372" s="80" t="n">
        <x:f>Z372-AD372</x:f>
        <x:v>6.15154955574849</x:v>
      </x:c>
      <x:c r="AF372" s="80" t="n">
        <x:f>D372*W372</x:f>
        <x:v>145.96020239838518</x:v>
      </x:c>
      <x:c r="AG372" s="80" t="n">
        <x:f>C372*W372</x:f>
        <x:v>255.43035419717413</x:v>
      </x:c>
      <x:c r="AH372" s="80" t="n">
        <x:f>2*'Inputs'!$B$8*'Inputs'!$C$45</x:f>
        <x:v>2500</x:v>
      </x:c>
      <x:c r="AI372" s="81" t="n">
        <x:f>IF(AH372&gt;0,(AE372+AF372)/AH372*365,0)</x:f>
        <x:v>22.208315785303515</x:v>
      </x:c>
      <x:c r="AJ372" s="81" t="n">
        <x:f>IF('Inputs'!$B$45&gt;0,AG372/('Inputs'!$B$19*'Inputs'!$B$45)*365,0)</x:f>
        <x:v>12.430943904262474</x:v>
      </x:c>
      <x:c r="AK372" s="81" t="n">
        <x:f>W372/MAX($W$369:W372)-1</x:f>
        <x:v>-0.36274528570788844</x:v>
      </x:c>
      <x:c r="AL372" s="83" t="n">
        <x:f>'Inputs'!$B$45</x:f>
        <x:v>0.75</x:v>
      </x:c>
      <x:c r="AM372" s="83" t="n">
        <x:f>'Inputs'!$C$45</x:f>
        <x:v>0.5</x:v>
      </x:c>
      <x:c r="AN372" s="83" t="n">
        <x:f>'Inputs'!$D$45</x:f>
        <x:v>0.5</x:v>
      </x:c>
      <x:c r="AO372" s="81" t="n">
        <x:f>'Inputs'!$E$45</x:f>
        <x:v>-0.05</x:v>
      </x:c>
    </x:row>
    <x:row r="373">
      <x:c r="A373" s="59" t="str">
        <x:v>Weak demand</x:v>
      </x:c>
      <x:c r="B373" s="59" t="n">
        <x:v>5</x:v>
      </x:c>
      <x:c r="C373" s="78" t="n">
        <x:f>(('Inputs'!$B$29*(3*5*'Inputs'!$B$12-5^2)/(2*'Inputs'!$B$12^2))-('Inputs'!$B$29*(3*4*'Inputs'!$B$12-4^2)/(2*'Inputs'!$B$12^2)))*'Inputs'!$B$45</x:f>
        <x:v>532892.4868643271</x:v>
      </x:c>
      <x:c r="D373" s="78" t="n">
        <x:f>IF('Inputs'!$C$45&gt;0,('Inputs'!$B$30*(3*5*'Inputs'!$B$12-5^2)/(2*'Inputs'!$B$12^2))-('Inputs'!$B$30*(3*4*'Inputs'!$B$12-4^2)/(2*'Inputs'!$B$12^2)),0)</x:f>
        <x:v>304509.9924939014</x:v>
      </x:c>
      <x:c r="E373" s="78" t="n">
        <x:f>C373+D373</x:f>
        <x:v>837402.4793582285</x:v>
      </x:c>
      <x:c r="F373" s="78" t="n">
        <x:f>'Inputs'!$B$13*E373+(1-'Inputs'!$B$13)/'Inputs'!$B$14*SUM(E369:E373)</x:f>
        <x:v>227349.69623756805</x:v>
      </x:c>
      <x:c r="G373" s="78" t="n">
        <x:f>F373*'Inputs'!$F$45</x:f>
        <x:v>159144.78736629762</x:v>
      </x:c>
      <x:c r="H373" s="78" t="n">
        <x:f>U372</x:f>
        <x:v>5796811.977570421</x:v>
      </x:c>
      <x:c r="I373" s="78" t="n">
        <x:f>V372</x:f>
        <x:v>2777.30420389403</x:v>
      </x:c>
      <x:c r="J373" s="79" t="n">
        <x:f>IF(H373&gt;0,I373/H373,0)</x:f>
        <x:v>0.0004791088989327652</x:v>
      </x:c>
      <x:c r="K373" s="80" t="n">
        <x:f>(H373*J373+I373)*'Inputs'!$D$45*(1+'Inputs'!$G$45)^(B373/30)</x:f>
        <x:v>2777.30420389403</x:v>
      </x:c>
      <x:c r="L373" s="80" t="n">
        <x:f>MAX(0,K373*'Inputs'!$E$45)</x:f>
        <x:v>0</x:v>
      </x:c>
      <x:c r="M373" s="80" t="n">
        <x:f>MAX(0,-K373*'Inputs'!$E$45)</x:f>
        <x:v>138.8652101947015</x:v>
      </x:c>
      <x:c r="N373" s="78" t="n">
        <x:f>H373*(L373*(1-'Inputs'!$B$15))/(I373+L373*(1-'Inputs'!$B$15))</x:f>
        <x:v>0</x:v>
      </x:c>
      <x:c r="O373" s="78" t="n">
        <x:f>H373-N373</x:f>
        <x:v>5796811.977570421</x:v>
      </x:c>
      <x:c r="P373" s="78" t="n">
        <x:f>I373+L373*(1-'Inputs'!$B$17)</x:f>
        <x:v>2777.30420389403</x:v>
      </x:c>
      <x:c r="Q373" s="78" t="n">
        <x:f>IF(J373&gt;0,M373/J373,0)</x:f>
        <x:v>289840.59887852106</x:v>
      </x:c>
      <x:c r="R373" s="78" t="n">
        <x:f>IF(B373='Inputs'!$H$45,'Inputs'!$B$27*'Inputs'!$I$45,0)</x:f>
        <x:v>0</x:v>
      </x:c>
      <x:c r="S373" s="78" t="n">
        <x:f>Q373+G373+R373</x:f>
        <x:v>448985.3862448187</x:v>
      </x:c>
      <x:c r="T373" s="78" t="n">
        <x:f>P373*(S373*(1-'Inputs'!$B$15))/(O373+S373*(1-'Inputs'!$B$15))</x:f>
        <x:v>197.7949826585311</x:v>
      </x:c>
      <x:c r="U373" s="78" t="n">
        <x:f>O373+S373*(1-'Inputs'!$B$17)</x:f>
        <x:v>6243990.58157683</x:v>
      </x:c>
      <x:c r="V373" s="78" t="n">
        <x:f>P373-T373</x:f>
        <x:v>2579.509221235499</x:v>
      </x:c>
      <x:c r="W373" s="79" t="n">
        <x:f>IF(U373&gt;0,V373/U373,0)</x:f>
        <x:v>0.00041311869189015994</x:v>
      </x:c>
      <x:c r="X373" s="80" t="n">
        <x:f>W373*('Inputs'!$B$6-AC373)</x:f>
        <x:v>413095.62307244167</x:v>
      </x:c>
      <x:c r="Y373" s="80" t="n">
        <x:f>2*V373</x:f>
        <x:v>5159.018442470998</x:v>
      </x:c>
      <x:c r="Z373" s="80" t="n">
        <x:f>K373*'Inputs'!$B$16+(G373+R373)*J373*'Inputs'!$B$16</x:f>
        <x:v>17.121311326439912</x:v>
      </x:c>
      <x:c r="AA373" s="80" t="n">
        <x:f>K373*(1+'Inputs'!$E$45)/2*'Inputs'!$B$17</x:f>
        <x:v>5.308730369616354</x:v>
      </x:c>
      <x:c r="AB373" s="78" t="n">
        <x:f>(IF(J373&gt;0,K373*(1-'Inputs'!$E$45)/2/J373,0)+G373+R373)*'Inputs'!$B$17</x:f>
        <x:v>12887.207547648972</x:v>
      </x:c>
      <x:c r="AC373" s="78" t="n">
        <x:f>AC372+AB373</x:f>
        <x:v>55840.65347589655</x:v>
      </x:c>
      <x:c r="AD373" s="80" t="n">
        <x:f>Z373/(1+'Inputs'!$C$45)</x:f>
        <x:v>11.414207550959942</x:v>
      </x:c>
      <x:c r="AE373" s="80" t="n">
        <x:f>Z373-AD373</x:f>
        <x:v>5.70710377547997</x:v>
      </x:c>
      <x:c r="AF373" s="80" t="n">
        <x:f>D373*W373</x:f>
        <x:v>125.79876976656297</x:v>
      </x:c>
      <x:c r="AG373" s="80" t="n">
        <x:f>C373*W373</x:f>
        <x:v>220.14784709148506</x:v>
      </x:c>
      <x:c r="AH373" s="80" t="n">
        <x:f>2*'Inputs'!$B$8*'Inputs'!$C$45</x:f>
        <x:v>2500</x:v>
      </x:c>
      <x:c r="AI373" s="81" t="n">
        <x:f>IF(AH373&gt;0,(AE373+AF373)/AH373*365,0)</x:f>
        <x:v>19.199857537138268</x:v>
      </x:c>
      <x:c r="AJ373" s="81" t="n">
        <x:f>IF('Inputs'!$B$45&gt;0,AG373/('Inputs'!$B$19*'Inputs'!$B$45)*365,0)</x:f>
        <x:v>10.713861891785607</x:v>
      </x:c>
      <x:c r="AK373" s="81" t="n">
        <x:f>W373/MAX($W$369:W373)-1</x:f>
        <x:v>-0.4505177537807765</x:v>
      </x:c>
      <x:c r="AL373" s="83" t="n">
        <x:f>'Inputs'!$B$45</x:f>
        <x:v>0.75</x:v>
      </x:c>
      <x:c r="AM373" s="83" t="n">
        <x:f>'Inputs'!$C$45</x:f>
        <x:v>0.5</x:v>
      </x:c>
      <x:c r="AN373" s="83" t="n">
        <x:f>'Inputs'!$D$45</x:f>
        <x:v>0.5</x:v>
      </x:c>
      <x:c r="AO373" s="81" t="n">
        <x:f>'Inputs'!$E$45</x:f>
        <x:v>-0.05</x:v>
      </x:c>
    </x:row>
    <x:row r="374">
      <x:c r="A374" s="59" t="str">
        <x:v>Weak demand</x:v>
      </x:c>
      <x:c r="B374" s="59" t="n">
        <x:v>6</x:v>
      </x:c>
      <x:c r="C374" s="78" t="n">
        <x:f>(('Inputs'!$B$29*(3*6*'Inputs'!$B$12-6^2)/(2*'Inputs'!$B$12^2))-('Inputs'!$B$29*(3*5*'Inputs'!$B$12-5^2)/(2*'Inputs'!$B$12^2)))*'Inputs'!$B$45</x:f>
        <x:v>532648.6559392009</x:v>
      </x:c>
      <x:c r="D374" s="78" t="n">
        <x:f>IF('Inputs'!$C$45&gt;0,('Inputs'!$B$30*(3*6*'Inputs'!$B$12-6^2)/(2*'Inputs'!$B$12^2))-('Inputs'!$B$30*(3*5*'Inputs'!$B$12-5^2)/(2*'Inputs'!$B$12^2)),0)</x:f>
        <x:v>304370.66053668596</x:v>
      </x:c>
      <x:c r="E374" s="78" t="n">
        <x:f>C374+D374</x:f>
        <x:v>837019.3164758869</x:v>
      </x:c>
      <x:c r="F374" s="78" t="n">
        <x:f>'Inputs'!$B$13*E374+(1-'Inputs'!$B$13)/'Inputs'!$B$14*SUM(E369:E374)</x:f>
        <x:v>239230.48246789808</x:v>
      </x:c>
      <x:c r="G374" s="78" t="n">
        <x:f>F374*'Inputs'!$F$45</x:f>
        <x:v>167461.33772752865</x:v>
      </x:c>
      <x:c r="H374" s="78" t="n">
        <x:f>U373</x:f>
        <x:v>6243990.58157683</x:v>
      </x:c>
      <x:c r="I374" s="78" t="n">
        <x:f>V373</x:f>
        <x:v>2579.509221235499</x:v>
      </x:c>
      <x:c r="J374" s="79" t="n">
        <x:f>IF(H374&gt;0,I374/H374,0)</x:f>
        <x:v>0.00041311869189015994</x:v>
      </x:c>
      <x:c r="K374" s="80" t="n">
        <x:f>(H374*J374+I374)*'Inputs'!$D$45*(1+'Inputs'!$G$45)^(B374/30)</x:f>
        <x:v>2579.509221235499</x:v>
      </x:c>
      <x:c r="L374" s="80" t="n">
        <x:f>MAX(0,K374*'Inputs'!$E$45)</x:f>
        <x:v>0</x:v>
      </x:c>
      <x:c r="M374" s="80" t="n">
        <x:f>MAX(0,-K374*'Inputs'!$E$45)</x:f>
        <x:v>128.97546106177495</x:v>
      </x:c>
      <x:c r="N374" s="78" t="n">
        <x:f>H374*(L374*(1-'Inputs'!$B$15))/(I374+L374*(1-'Inputs'!$B$15))</x:f>
        <x:v>0</x:v>
      </x:c>
      <x:c r="O374" s="78" t="n">
        <x:f>H374-N374</x:f>
        <x:v>6243990.58157683</x:v>
      </x:c>
      <x:c r="P374" s="78" t="n">
        <x:f>I374+L374*(1-'Inputs'!$B$17)</x:f>
        <x:v>2579.509221235499</x:v>
      </x:c>
      <x:c r="Q374" s="78" t="n">
        <x:f>IF(J374&gt;0,M374/J374,0)</x:f>
        <x:v>312199.5290788415</x:v>
      </x:c>
      <x:c r="R374" s="78" t="n">
        <x:f>IF(B374='Inputs'!$H$45,'Inputs'!$B$27*'Inputs'!$I$45,0)</x:f>
        <x:v>0</x:v>
      </x:c>
      <x:c r="S374" s="78" t="n">
        <x:f>Q374+G374+R374</x:f>
        <x:v>479660.86680637015</x:v>
      </x:c>
      <x:c r="T374" s="78" t="n">
        <x:f>P374*(S374*(1-'Inputs'!$B$15))/(O374+S374*(1-'Inputs'!$B$15))</x:f>
        <x:v>182.31034334339768</x:v>
      </x:c>
      <x:c r="U374" s="78" t="n">
        <x:f>O374+S374*(1-'Inputs'!$B$17)</x:f>
        <x:v>6721721.223567078</x:v>
      </x:c>
      <x:c r="V374" s="78" t="n">
        <x:f>P374-T374</x:f>
        <x:v>2397.1988778921013</x:v>
      </x:c>
      <x:c r="W374" s="79" t="n">
        <x:f>IF(U374&gt;0,V374/U374,0)</x:f>
        <x:v>0.0003566346770656397</x:v>
      </x:c>
      <x:c r="X374" s="80" t="n">
        <x:f>W374*('Inputs'!$B$6-AC374)</x:f>
        <x:v>356609.8174633206</x:v>
      </x:c>
      <x:c r="Y374" s="80" t="n">
        <x:f>2*V374</x:f>
        <x:v>4794.397755784203</x:v>
      </x:c>
      <x:c r="Z374" s="80" t="n">
        <x:f>K374*'Inputs'!$B$16+(G374+R374)*J374*'Inputs'!$B$16</x:f>
        <x:v>15.892143780118031</x:v>
      </x:c>
      <x:c r="AA374" s="80" t="n">
        <x:f>K374*(1+'Inputs'!$E$45)/2*'Inputs'!$B$17</x:f>
        <x:v>4.9306514289209735</x:v>
      </x:c>
      <x:c r="AB374" s="78" t="n">
        <x:f>(IF(J374&gt;0,K374*(1-'Inputs'!$E$45)/2/J374,0)+G374+R374)*'Inputs'!$B$17</x:f>
        <x:v>13865.418080705693</x:v>
      </x:c>
      <x:c r="AC374" s="78" t="n">
        <x:f>AC373+AB374</x:f>
        <x:v>69706.07155660224</x:v>
      </x:c>
      <x:c r="AD374" s="80" t="n">
        <x:f>Z374/(1+'Inputs'!$C$45)</x:f>
        <x:v>10.594762520078687</x:v>
      </x:c>
      <x:c r="AE374" s="80" t="n">
        <x:f>Z374-AD374</x:f>
        <x:v>5.297381260039344</x:v>
      </x:c>
      <x:c r="AF374" s="80" t="n">
        <x:f>D374*W374</x:f>
        <x:v>108.54913222875645</x:v>
      </x:c>
      <x:c r="AG374" s="80" t="n">
        <x:f>C374*W374</x:f>
        <x:v>189.96098140032393</x:v>
      </x:c>
      <x:c r="AH374" s="80" t="n">
        <x:f>2*'Inputs'!$B$8*'Inputs'!$C$45</x:f>
        <x:v>2500</x:v>
      </x:c>
      <x:c r="AI374" s="81" t="n">
        <x:f>IF(AH374&gt;0,(AE374+AF374)/AH374*365,0)</x:f>
        <x:v>16.621590969364185</x:v>
      </x:c>
      <x:c r="AJ374" s="81" t="n">
        <x:f>IF('Inputs'!$B$45&gt;0,AG374/('Inputs'!$B$19*'Inputs'!$B$45)*365,0)</x:f>
        <x:v>9.24476776148243</x:v>
      </x:c>
      <x:c r="AK374" s="81" t="n">
        <x:f>W374/MAX($W$369:W374)-1</x:f>
        <x:v>-0.5256461949540687</x:v>
      </x:c>
      <x:c r="AL374" s="83" t="n">
        <x:f>'Inputs'!$B$45</x:f>
        <x:v>0.75</x:v>
      </x:c>
      <x:c r="AM374" s="83" t="n">
        <x:f>'Inputs'!$C$45</x:f>
        <x:v>0.5</x:v>
      </x:c>
      <x:c r="AN374" s="83" t="n">
        <x:f>'Inputs'!$D$45</x:f>
        <x:v>0.5</x:v>
      </x:c>
      <x:c r="AO374" s="81" t="n">
        <x:f>'Inputs'!$E$45</x:f>
        <x:v>-0.05</x:v>
      </x:c>
    </x:row>
    <x:row r="375">
      <x:c r="A375" s="59" t="str">
        <x:v>Weak demand</x:v>
      </x:c>
      <x:c r="B375" s="59" t="n">
        <x:v>7</x:v>
      </x:c>
      <x:c r="C375" s="78" t="n">
        <x:f>(('Inputs'!$B$29*(3*7*'Inputs'!$B$12-7^2)/(2*'Inputs'!$B$12^2))-('Inputs'!$B$29*(3*6*'Inputs'!$B$12-6^2)/(2*'Inputs'!$B$12^2)))*'Inputs'!$B$45</x:f>
        <x:v>532404.8250140736</x:v>
      </x:c>
      <x:c r="D375" s="78" t="n">
        <x:f>IF('Inputs'!$C$45&gt;0,('Inputs'!$B$30*(3*7*'Inputs'!$B$12-7^2)/(2*'Inputs'!$B$12^2))-('Inputs'!$B$30*(3*6*'Inputs'!$B$12-6^2)/(2*'Inputs'!$B$12^2)),0)</x:f>
        <x:v>304231.32857947075</x:v>
      </x:c>
      <x:c r="E375" s="78" t="n">
        <x:f>C375+D375</x:f>
        <x:v>836636.1535935444</x:v>
      </x:c>
      <x:c r="F375" s="78" t="n">
        <x:f>'Inputs'!$B$13*E375+(1-'Inputs'!$B$13)/'Inputs'!$B$14*SUM(E369:E375)</x:f>
        <x:v>251105.79494276593</x:v>
      </x:c>
      <x:c r="G375" s="78" t="n">
        <x:f>F375*'Inputs'!$F$45</x:f>
        <x:v>175774.05645993614</x:v>
      </x:c>
      <x:c r="H375" s="78" t="n">
        <x:f>U374</x:f>
        <x:v>6721721.223567078</x:v>
      </x:c>
      <x:c r="I375" s="78" t="n">
        <x:f>V374</x:f>
        <x:v>2397.1988778921013</x:v>
      </x:c>
      <x:c r="J375" s="79" t="n">
        <x:f>IF(H375&gt;0,I375/H375,0)</x:f>
        <x:v>0.0003566346770656397</x:v>
      </x:c>
      <x:c r="K375" s="80" t="n">
        <x:f>(H375*J375+I375)*'Inputs'!$D$45*(1+'Inputs'!$G$45)^(B375/30)</x:f>
        <x:v>2397.1988778921013</x:v>
      </x:c>
      <x:c r="L375" s="80" t="n">
        <x:f>MAX(0,K375*'Inputs'!$E$45)</x:f>
        <x:v>0</x:v>
      </x:c>
      <x:c r="M375" s="80" t="n">
        <x:f>MAX(0,-K375*'Inputs'!$E$45)</x:f>
        <x:v>119.85994389460507</x:v>
      </x:c>
      <x:c r="N375" s="78" t="n">
        <x:f>H375*(L375*(1-'Inputs'!$B$15))/(I375+L375*(1-'Inputs'!$B$15))</x:f>
        <x:v>0</x:v>
      </x:c>
      <x:c r="O375" s="78" t="n">
        <x:f>H375-N375</x:f>
        <x:v>6721721.223567078</x:v>
      </x:c>
      <x:c r="P375" s="78" t="n">
        <x:f>I375+L375*(1-'Inputs'!$B$17)</x:f>
        <x:v>2397.1988778921013</x:v>
      </x:c>
      <x:c r="Q375" s="78" t="n">
        <x:f>IF(J375&gt;0,M375/J375,0)</x:f>
        <x:v>336086.0611783539</x:v>
      </x:c>
      <x:c r="R375" s="78" t="n">
        <x:f>IF(B375='Inputs'!$H$45,'Inputs'!$B$27*'Inputs'!$I$45,0)</x:f>
        <x:v>0</x:v>
      </x:c>
      <x:c r="S375" s="78" t="n">
        <x:f>Q375+G375+R375</x:f>
        <x:v>511860.11763829004</x:v>
      </x:c>
      <x:c r="T375" s="78" t="n">
        <x:f>P375*(S375*(1-'Inputs'!$B$15))/(O375+S375*(1-'Inputs'!$B$15))</x:f>
        <x:v>168.0523561277919</x:v>
      </x:c>
      <x:c r="U375" s="78" t="n">
        <x:f>O375+S375*(1-'Inputs'!$B$17)</x:f>
        <x:v>7231521.541939218</x:v>
      </x:c>
      <x:c r="V375" s="78" t="n">
        <x:f>P375-T375</x:f>
        <x:v>2229.1465217643095</x:v>
      </x:c>
      <x:c r="W375" s="79" t="n">
        <x:f>IF(U375&gt;0,V375/U375,0)</x:f>
        <x:v>0.00030825414939807225</x:v>
      </x:c>
      <x:c r="X375" s="80" t="n">
        <x:f>W375*('Inputs'!$B$6-AC375)</x:f>
        <x:v>308228.0667101727</x:v>
      </x:c>
      <x:c r="Y375" s="80" t="n">
        <x:f>2*V375</x:f>
        <x:v>4458.293043528619</x:v>
      </x:c>
      <x:c r="Z375" s="80" t="n">
        <x:f>K375*'Inputs'!$B$16+(G375+R375)*J375*'Inputs'!$B$16</x:f>
        <x:v>14.759316010525248</x:v>
      </x:c>
      <x:c r="AA375" s="80" t="n">
        <x:f>K375*(1+'Inputs'!$E$45)/2*'Inputs'!$B$17</x:f>
        <x:v>4.582170893355123</x:v>
      </x:c>
      <x:c r="AB375" s="78" t="n">
        <x:f>(IF(J375&gt;0,K375*(1-'Inputs'!$E$45)/2/J375,0)+G375+R375)*'Inputs'!$B$17</x:f>
        <x:v>14908.159753853733</x:v>
      </x:c>
      <x:c r="AC375" s="78" t="n">
        <x:f>AC374+AB375</x:f>
        <x:v>84614.23131045597</x:v>
      </x:c>
      <x:c r="AD375" s="80" t="n">
        <x:f>Z375/(1+'Inputs'!$C$45)</x:f>
        <x:v>9.839544007016832</x:v>
      </x:c>
      <x:c r="AE375" s="80" t="n">
        <x:f>Z375-AD375</x:f>
        <x:v>4.919772003508417</x:v>
      </x:c>
      <x:c r="AF375" s="80" t="n">
        <x:f>D375*W375</x:f>
        <x:v>93.78056941151019</x:v>
      </x:c>
      <x:c r="AG375" s="80" t="n">
        <x:f>C375*W375</x:f>
        <x:v>164.11599647014276</x:v>
      </x:c>
      <x:c r="AH375" s="80" t="n">
        <x:f>2*'Inputs'!$B$8*'Inputs'!$C$45</x:f>
        <x:v>2500</x:v>
      </x:c>
      <x:c r="AI375" s="81" t="n">
        <x:f>IF(AH375&gt;0,(AE375+AF375)/AH375*365,0)</x:f>
        <x:v>14.410249846592716</x:v>
      </x:c>
      <x:c r="AJ375" s="81" t="n">
        <x:f>IF('Inputs'!$B$45&gt;0,AG375/('Inputs'!$B$19*'Inputs'!$B$45)*365,0)</x:f>
        <x:v>7.986978494880281</x:v>
      </x:c>
      <x:c r="AK375" s="81" t="n">
        <x:f>W375/MAX($W$369:W375)-1</x:f>
        <x:v>-0.5899963237134677</x:v>
      </x:c>
      <x:c r="AL375" s="83" t="n">
        <x:f>'Inputs'!$B$45</x:f>
        <x:v>0.75</x:v>
      </x:c>
      <x:c r="AM375" s="83" t="n">
        <x:f>'Inputs'!$C$45</x:f>
        <x:v>0.5</x:v>
      </x:c>
      <x:c r="AN375" s="83" t="n">
        <x:f>'Inputs'!$D$45</x:f>
        <x:v>0.5</x:v>
      </x:c>
      <x:c r="AO375" s="81" t="n">
        <x:f>'Inputs'!$E$45</x:f>
        <x:v>-0.05</x:v>
      </x:c>
    </x:row>
    <x:row r="376">
      <x:c r="A376" s="59" t="str">
        <x:v>Weak demand</x:v>
      </x:c>
      <x:c r="B376" s="59" t="n">
        <x:v>8</x:v>
      </x:c>
      <x:c r="C376" s="78" t="n">
        <x:f>(('Inputs'!$B$29*(3*8*'Inputs'!$B$12-8^2)/(2*'Inputs'!$B$12^2))-('Inputs'!$B$29*(3*7*'Inputs'!$B$12-7^2)/(2*'Inputs'!$B$12^2)))*'Inputs'!$B$45</x:f>
        <x:v>532160.9940889471</x:v>
      </x:c>
      <x:c r="D376" s="78" t="n">
        <x:f>IF('Inputs'!$C$45&gt;0,('Inputs'!$B$30*(3*8*'Inputs'!$B$12-8^2)/(2*'Inputs'!$B$12^2))-('Inputs'!$B$30*(3*7*'Inputs'!$B$12-7^2)/(2*'Inputs'!$B$12^2)),0)</x:f>
        <x:v>304091.99662225554</x:v>
      </x:c>
      <x:c r="E376" s="78" t="n">
        <x:f>C376+D376</x:f>
        <x:v>836252.9907112026</x:v>
      </x:c>
      <x:c r="F376" s="78" t="n">
        <x:f>'Inputs'!$B$13*E376+(1-'Inputs'!$B$13)/'Inputs'!$B$14*SUM(E369:E376)</x:f>
        <x:v>262975.6336621719</x:v>
      </x:c>
      <x:c r="G376" s="78" t="n">
        <x:f>F376*'Inputs'!$F$45</x:f>
        <x:v>184082.94356352033</x:v>
      </x:c>
      <x:c r="H376" s="78" t="n">
        <x:f>U375</x:f>
        <x:v>7231521.541939218</x:v>
      </x:c>
      <x:c r="I376" s="78" t="n">
        <x:f>V375</x:f>
        <x:v>2229.1465217643095</x:v>
      </x:c>
      <x:c r="J376" s="79" t="n">
        <x:f>IF(H376&gt;0,I376/H376,0)</x:f>
        <x:v>0.00030825414939807225</x:v>
      </x:c>
      <x:c r="K376" s="80" t="n">
        <x:f>(H376*J376+I376)*'Inputs'!$D$45*(1+'Inputs'!$G$45)^(B376/30)</x:f>
        <x:v>2229.1465217643095</x:v>
      </x:c>
      <x:c r="L376" s="80" t="n">
        <x:f>MAX(0,K376*'Inputs'!$E$45)</x:f>
        <x:v>0</x:v>
      </x:c>
      <x:c r="M376" s="80" t="n">
        <x:f>MAX(0,-K376*'Inputs'!$E$45)</x:f>
        <x:v>111.45732608821548</x:v>
      </x:c>
      <x:c r="N376" s="78" t="n">
        <x:f>H376*(L376*(1-'Inputs'!$B$15))/(I376+L376*(1-'Inputs'!$B$15))</x:f>
        <x:v>0</x:v>
      </x:c>
      <x:c r="O376" s="78" t="n">
        <x:f>H376-N376</x:f>
        <x:v>7231521.541939218</x:v>
      </x:c>
      <x:c r="P376" s="78" t="n">
        <x:f>I376+L376*(1-'Inputs'!$B$17)</x:f>
        <x:v>2229.1465217643095</x:v>
      </x:c>
      <x:c r="Q376" s="78" t="n">
        <x:f>IF(J376&gt;0,M376/J376,0)</x:f>
        <x:v>361576.0770969609</x:v>
      </x:c>
      <x:c r="R376" s="78" t="n">
        <x:f>IF(B376='Inputs'!$H$45,'Inputs'!$B$27*'Inputs'!$I$45,0)</x:f>
        <x:v>0</x:v>
      </x:c>
      <x:c r="S376" s="78" t="n">
        <x:f>Q376+G376+R376</x:f>
        <x:v>545659.0206604812</x:v>
      </x:c>
      <x:c r="T376" s="78" t="n">
        <x:f>P376*(S376*(1-'Inputs'!$B$15))/(O376+S376*(1-'Inputs'!$B$15))</x:f>
        <x:v>154.94507694463147</x:v>
      </x:c>
      <x:c r="U376" s="78" t="n">
        <x:f>O376+S376*(1-'Inputs'!$B$17)</x:f>
        <x:v>7774984.751651367</x:v>
      </x:c>
      <x:c r="V376" s="78" t="n">
        <x:f>P376-T376</x:f>
        <x:v>2074.201444819678</x:v>
      </x:c>
      <x:c r="W376" s="79" t="n">
        <x:f>IF(U376&gt;0,V376/U376,0)</x:f>
        <x:v>0.00026677884408443734</x:v>
      </x:c>
      <x:c r="X376" s="80" t="n">
        <x:f>W376*('Inputs'!$B$6-AC376)</x:f>
        <x:v>266751.99736366025</x:v>
      </x:c>
      <x:c r="Y376" s="80" t="n">
        <x:f>2*V376</x:f>
        <x:v>4148.402889639356</x:v>
      </x:c>
      <x:c r="Z376" s="80" t="n">
        <x:f>K376*'Inputs'!$B$16+(G376+R376)*J376*'Inputs'!$B$16</x:f>
        <x:v>13.715345117707054</x:v>
      </x:c>
      <x:c r="AA376" s="80" t="n">
        <x:f>K376*(1+'Inputs'!$E$45)/2*'Inputs'!$B$17</x:f>
        <x:v>4.260944055686306</x:v>
      </x:c>
      <x:c r="AB376" s="78" t="n">
        <x:f>(IF(J376&gt;0,K376*(1-'Inputs'!$E$45)/2/J376,0)+G376+R376)*'Inputs'!$B$17</x:f>
        <x:v>16018.638845398837</x:v>
      </x:c>
      <x:c r="AC376" s="78" t="n">
        <x:f>AC375+AB376</x:f>
        <x:v>100632.8701558548</x:v>
      </x:c>
      <x:c r="AD376" s="80" t="n">
        <x:f>Z376/(1+'Inputs'!$C$45)</x:f>
        <x:v>9.143563411804703</x:v>
      </x:c>
      <x:c r="AE376" s="80" t="n">
        <x:f>Z376-AD376</x:f>
        <x:v>4.571781705902351</x:v>
      </x:c>
      <x:c r="AF376" s="80" t="n">
        <x:f>D376*W376</x:f>
        <x:v>81.12531135421396</x:v>
      </x:c>
      <x:c r="AG376" s="80" t="n">
        <x:f>C376*W376</x:f>
        <x:v>141.9692948698744</x:v>
      </x:c>
      <x:c r="AH376" s="80" t="n">
        <x:f>2*'Inputs'!$B$8*'Inputs'!$C$45</x:f>
        <x:v>2500</x:v>
      </x:c>
      <x:c r="AI376" s="81" t="n">
        <x:f>IF(AH376&gt;0,(AE376+AF376)/AH376*365,0)</x:f>
        <x:v>12.51177558677698</x:v>
      </x:c>
      <x:c r="AJ376" s="81" t="n">
        <x:f>IF('Inputs'!$B$45&gt;0,AG376/('Inputs'!$B$19*'Inputs'!$B$45)*365,0)</x:f>
        <x:v>6.909172350333888</x:v>
      </x:c>
      <x:c r="AK376" s="81" t="n">
        <x:f>W376/MAX($W$369:W376)-1</x:f>
        <x:v>-0.645161931984767</x:v>
      </x:c>
      <x:c r="AL376" s="83" t="n">
        <x:f>'Inputs'!$B$45</x:f>
        <x:v>0.75</x:v>
      </x:c>
      <x:c r="AM376" s="83" t="n">
        <x:f>'Inputs'!$C$45</x:f>
        <x:v>0.5</x:v>
      </x:c>
      <x:c r="AN376" s="83" t="n">
        <x:f>'Inputs'!$D$45</x:f>
        <x:v>0.5</x:v>
      </x:c>
      <x:c r="AO376" s="81" t="n">
        <x:f>'Inputs'!$E$45</x:f>
        <x:v>-0.05</x:v>
      </x:c>
    </x:row>
    <x:row r="377">
      <x:c r="A377" s="59" t="str">
        <x:v>Weak demand</x:v>
      </x:c>
      <x:c r="B377" s="59" t="n">
        <x:v>9</x:v>
      </x:c>
      <x:c r="C377" s="78" t="n">
        <x:f>(('Inputs'!$B$29*(3*9*'Inputs'!$B$12-9^2)/(2*'Inputs'!$B$12^2))-('Inputs'!$B$29*(3*8*'Inputs'!$B$12-8^2)/(2*'Inputs'!$B$12^2)))*'Inputs'!$B$45</x:f>
        <x:v>531917.1631638212</x:v>
      </x:c>
      <x:c r="D377" s="78" t="n">
        <x:f>IF('Inputs'!$C$45&gt;0,('Inputs'!$B$30*(3*9*'Inputs'!$B$12-9^2)/(2*'Inputs'!$B$12^2))-('Inputs'!$B$30*(3*8*'Inputs'!$B$12-8^2)/(2*'Inputs'!$B$12^2)),0)</x:f>
        <x:v>303952.66466504056</x:v>
      </x:c>
      <x:c r="E377" s="78" t="n">
        <x:f>C377+D377</x:f>
        <x:v>835869.8278288618</x:v>
      </x:c>
      <x:c r="F377" s="78" t="n">
        <x:f>'Inputs'!$B$13*E377+(1-'Inputs'!$B$13)/'Inputs'!$B$14*SUM(E369:E377)</x:f>
        <x:v>274839.9986261161</x:v>
      </x:c>
      <x:c r="G377" s="78" t="n">
        <x:f>F377*'Inputs'!$F$45</x:f>
        <x:v>192387.99903828124</x:v>
      </x:c>
      <x:c r="H377" s="78" t="n">
        <x:f>U376</x:f>
        <x:v>7774984.751651367</x:v>
      </x:c>
      <x:c r="I377" s="78" t="n">
        <x:f>V376</x:f>
        <x:v>2074.201444819678</x:v>
      </x:c>
      <x:c r="J377" s="79" t="n">
        <x:f>IF(H377&gt;0,I377/H377,0)</x:f>
        <x:v>0.00026677884408443734</x:v>
      </x:c>
      <x:c r="K377" s="80" t="n">
        <x:f>(H377*J377+I377)*'Inputs'!$D$45*(1+'Inputs'!$G$45)^(B377/30)</x:f>
        <x:v>2074.201444819678</x:v>
      </x:c>
      <x:c r="L377" s="80" t="n">
        <x:f>MAX(0,K377*'Inputs'!$E$45)</x:f>
        <x:v>0</x:v>
      </x:c>
      <x:c r="M377" s="80" t="n">
        <x:f>MAX(0,-K377*'Inputs'!$E$45)</x:f>
        <x:v>103.71007224098389</x:v>
      </x:c>
      <x:c r="N377" s="78" t="n">
        <x:f>H377*(L377*(1-'Inputs'!$B$15))/(I377+L377*(1-'Inputs'!$B$15))</x:f>
        <x:v>0</x:v>
      </x:c>
      <x:c r="O377" s="78" t="n">
        <x:f>H377-N377</x:f>
        <x:v>7774984.751651367</x:v>
      </x:c>
      <x:c r="P377" s="78" t="n">
        <x:f>I377+L377*(1-'Inputs'!$B$17)</x:f>
        <x:v>2074.201444819678</x:v>
      </x:c>
      <x:c r="Q377" s="78" t="n">
        <x:f>IF(J377&gt;0,M377/J377,0)</x:f>
        <x:v>388749.23758256837</x:v>
      </x:c>
      <x:c r="R377" s="78" t="n">
        <x:f>IF(B377='Inputs'!$H$45,'Inputs'!$B$27*'Inputs'!$I$45,0)</x:f>
        <x:v>0</x:v>
      </x:c>
      <x:c r="S377" s="78" t="n">
        <x:f>Q377+G377+R377</x:f>
        <x:v>581137.2366208496</x:v>
      </x:c>
      <x:c r="T377" s="78" t="n">
        <x:f>P377*(S377*(1-'Inputs'!$B$15))/(O377+S377*(1-'Inputs'!$B$15))</x:f>
        <x:v>142.9098621320722</x:v>
      </x:c>
      <x:c r="U377" s="78" t="n">
        <x:f>O377+S377*(1-'Inputs'!$B$17)</x:f>
        <x:v>8353783.4078431595</x:v>
      </x:c>
      <x:c r="V377" s="78" t="n">
        <x:f>P377-T377</x:f>
        <x:v>1931.2915826876056</x:v>
      </x:c>
      <x:c r="W377" s="79" t="n">
        <x:f>IF(U377&gt;0,V377/U377,0)</x:f>
        <x:v>0.0002311876533540915</x:v>
      </x:c>
      <x:c r="X377" s="80" t="n">
        <x:f>W377*('Inputs'!$B$6-AC377)</x:f>
        <x:v>231160.4117981898</x:v>
      </x:c>
      <x:c r="Y377" s="80" t="n">
        <x:f>2*V377</x:f>
        <x:v>3862.583165375211</x:v>
      </x:c>
      <x:c r="Z377" s="80" t="n">
        <x:f>K377*'Inputs'!$B$16+(G377+R377)*J377*'Inputs'!$B$16</x:f>
        <x:v>12.75315895691297</x:v>
      </x:c>
      <x:c r="AA377" s="80" t="n">
        <x:f>K377*(1+'Inputs'!$E$45)/2*'Inputs'!$B$17</x:f>
        <x:v>3.9647713733977747</x:v>
      </x:c>
      <x:c r="AB377" s="78" t="n">
        <x:f>(IF(J377&gt;0,K377*(1-'Inputs'!$E$45)/2/J377,0)+G377+R377)*'Inputs'!$B$17</x:f>
        <x:v>17200.221302435613</x:v>
      </x:c>
      <x:c r="AC377" s="78" t="n">
        <x:f>AC376+AB377</x:f>
        <x:v>117833.09145829042</x:v>
      </x:c>
      <x:c r="AD377" s="80" t="n">
        <x:f>Z377/(1+'Inputs'!$C$45)</x:f>
        <x:v>8.502105971275313</x:v>
      </x:c>
      <x:c r="AE377" s="80" t="n">
        <x:f>Z377-AD377</x:f>
        <x:v>4.251052985637656</x:v>
      </x:c>
      <x:c r="AF377" s="80" t="n">
        <x:f>D377*W377</x:f>
        <x:v>70.27010327463381</x:v>
      </x:c>
      <x:c r="AG377" s="80" t="n">
        <x:f>C377*W377</x:f>
        <x:v>122.97268073060923</x:v>
      </x:c>
      <x:c r="AH377" s="80" t="n">
        <x:f>2*'Inputs'!$B$8*'Inputs'!$C$45</x:f>
        <x:v>2500</x:v>
      </x:c>
      <x:c r="AI377" s="81" t="n">
        <x:f>IF(AH377&gt;0,(AE377+AF377)/AH377*365,0)</x:f>
        <x:v>10.880088813999635</x:v>
      </x:c>
      <x:c r="AJ377" s="81" t="n">
        <x:f>IF('Inputs'!$B$45&gt;0,AG377/('Inputs'!$B$19*'Inputs'!$B$45)*365,0)</x:f>
        <x:v>5.984670462222982</x:v>
      </x:c>
      <x:c r="AK377" s="81" t="n">
        <x:f>W377/MAX($W$369:W377)-1</x:f>
        <x:v>-0.6925011780950036</x:v>
      </x:c>
      <x:c r="AL377" s="83" t="n">
        <x:f>'Inputs'!$B$45</x:f>
        <x:v>0.75</x:v>
      </x:c>
      <x:c r="AM377" s="83" t="n">
        <x:f>'Inputs'!$C$45</x:f>
        <x:v>0.5</x:v>
      </x:c>
      <x:c r="AN377" s="83" t="n">
        <x:f>'Inputs'!$D$45</x:f>
        <x:v>0.5</x:v>
      </x:c>
      <x:c r="AO377" s="81" t="n">
        <x:f>'Inputs'!$E$45</x:f>
        <x:v>-0.05</x:v>
      </x:c>
    </x:row>
    <x:row r="378">
      <x:c r="A378" s="59" t="str">
        <x:v>Weak demand</x:v>
      </x:c>
      <x:c r="B378" s="59" t="n">
        <x:v>10</x:v>
      </x:c>
      <x:c r="C378" s="78" t="n">
        <x:f>(('Inputs'!$B$29*(3*10*'Inputs'!$B$12-10^2)/(2*'Inputs'!$B$12^2))-('Inputs'!$B$29*(3*9*'Inputs'!$B$12-9^2)/(2*'Inputs'!$B$12^2)))*'Inputs'!$B$45</x:f>
        <x:v>531673.332238694</x:v>
      </x:c>
      <x:c r="D378" s="78" t="n">
        <x:f>IF('Inputs'!$C$45&gt;0,('Inputs'!$B$30*(3*10*'Inputs'!$B$12-10^2)/(2*'Inputs'!$B$12^2))-('Inputs'!$B$30*(3*9*'Inputs'!$B$12-9^2)/(2*'Inputs'!$B$12^2)),0)</x:f>
        <x:v>303813.3327078251</x:v>
      </x:c>
      <x:c r="E378" s="78" t="n">
        <x:f>C378+D378</x:f>
        <x:v>835486.6649465191</x:v>
      </x:c>
      <x:c r="F378" s="78" t="n">
        <x:f>'Inputs'!$B$13*E378+(1-'Inputs'!$B$13)/'Inputs'!$B$14*SUM(E369:E378)</x:f>
        <x:v>286698.88983459777</x:v>
      </x:c>
      <x:c r="G378" s="78" t="n">
        <x:f>F378*'Inputs'!$F$45</x:f>
        <x:v>200689.2228842184</x:v>
      </x:c>
      <x:c r="H378" s="78" t="n">
        <x:f>U377</x:f>
        <x:v>8353783.4078431595</x:v>
      </x:c>
      <x:c r="I378" s="78" t="n">
        <x:f>V377</x:f>
        <x:v>1931.2915826876056</x:v>
      </x:c>
      <x:c r="J378" s="79" t="n">
        <x:f>IF(H378&gt;0,I378/H378,0)</x:f>
        <x:v>0.0002311876533540915</x:v>
      </x:c>
      <x:c r="K378" s="80" t="n">
        <x:f>(H378*J378+I378)*'Inputs'!$D$45*(1+'Inputs'!$G$45)^(B378/30)</x:f>
        <x:v>1931.2915826876056</x:v>
      </x:c>
      <x:c r="L378" s="80" t="n">
        <x:f>MAX(0,K378*'Inputs'!$E$45)</x:f>
        <x:v>0</x:v>
      </x:c>
      <x:c r="M378" s="80" t="n">
        <x:f>MAX(0,-K378*'Inputs'!$E$45)</x:f>
        <x:v>96.56457913438028</x:v>
      </x:c>
      <x:c r="N378" s="78" t="n">
        <x:f>H378*(L378*(1-'Inputs'!$B$15))/(I378+L378*(1-'Inputs'!$B$15))</x:f>
        <x:v>0</x:v>
      </x:c>
      <x:c r="O378" s="78" t="n">
        <x:f>H378-N378</x:f>
        <x:v>8353783.4078431595</x:v>
      </x:c>
      <x:c r="P378" s="78" t="n">
        <x:f>I378+L378*(1-'Inputs'!$B$17)</x:f>
        <x:v>1931.2915826876056</x:v>
      </x:c>
      <x:c r="Q378" s="78" t="n">
        <x:f>IF(J378&gt;0,M378/J378,0)</x:f>
        <x:v>417689.170392158</x:v>
      </x:c>
      <x:c r="R378" s="78" t="n">
        <x:f>IF(B378='Inputs'!$H$45,'Inputs'!$B$27*'Inputs'!$I$45,0)</x:f>
        <x:v>0</x:v>
      </x:c>
      <x:c r="S378" s="78" t="n">
        <x:f>Q378+G378+R378</x:f>
        <x:v>618378.3932763764</x:v>
      </x:c>
      <x:c r="T378" s="78" t="n">
        <x:f>P378*(S378*(1-'Inputs'!$B$15))/(O378+S378*(1-'Inputs'!$B$15))</x:f>
        <x:v>131.86807883374902</x:v>
      </x:c>
      <x:c r="U378" s="78" t="n">
        <x:f>O378+S378*(1-'Inputs'!$B$17)</x:f>
        <x:v>8969673.356881</x:v>
      </x:c>
      <x:c r="V378" s="78" t="n">
        <x:f>P378-T378</x:f>
        <x:v>1799.4235038538566</x:v>
      </x:c>
      <x:c r="W378" s="79" t="n">
        <x:f>IF(U378&gt;0,V378/U378,0)</x:f>
        <x:v>0.00020061193225876458</x:v>
      </x:c>
      <x:c r="X378" s="80" t="n">
        <x:f>W378*('Inputs'!$B$6-AC378)</x:f>
        <x:v>200584.59095237323</x:v>
      </x:c>
      <x:c r="Y378" s="80" t="n">
        <x:f>2*V378</x:f>
        <x:v>3598.847007707713</x:v>
      </x:c>
      <x:c r="Z378" s="80" t="n">
        <x:f>K378*'Inputs'!$B$16+(G378+R378)*J378*'Inputs'!$B$16</x:f>
        <x:v>11.866130719077987</x:v>
      </x:c>
      <x:c r="AA378" s="80" t="n">
        <x:f>K378*(1+'Inputs'!$E$45)/2*'Inputs'!$B$17</x:f>
        <x:v>3.691603628879729</x:v>
      </x:c>
      <x:c r="AB378" s="78" t="n">
        <x:f>(IF(J378&gt;0,K378*(1-'Inputs'!$E$45)/2/J378,0)+G378+R378)*'Inputs'!$B$17</x:f>
        <x:v>18456.440692160475</x:v>
      </x:c>
      <x:c r="AC378" s="78" t="n">
        <x:f>AC377+AB378</x:f>
        <x:v>136289.5321504509</x:v>
      </x:c>
      <x:c r="AD378" s="80" t="n">
        <x:f>Z378/(1+'Inputs'!$C$45)</x:f>
        <x:v>7.910753812718657</x:v>
      </x:c>
      <x:c r="AE378" s="80" t="n">
        <x:f>Z378-AD378</x:f>
        <x:v>3.955376906359329</x:v>
      </x:c>
      <x:c r="AF378" s="80" t="n">
        <x:f>D378*W378</x:f>
        <x:v>60.948579720491715</x:v>
      </x:c>
      <x:c r="AG378" s="80" t="n">
        <x:f>C378*W378</x:f>
        <x:v>106.6600145108605</x:v>
      </x:c>
      <x:c r="AH378" s="80" t="n">
        <x:f>2*'Inputs'!$B$8*'Inputs'!$C$45</x:f>
        <x:v>2500</x:v>
      </x:c>
      <x:c r="AI378" s="81" t="n">
        <x:f>IF(AH378&gt;0,(AE378+AF378)/AH378*365,0)</x:f>
        <x:v>9.475977667520253</x:v>
      </x:c>
      <x:c r="AJ378" s="81" t="n">
        <x:f>IF('Inputs'!$B$45&gt;0,AG378/('Inputs'!$B$19*'Inputs'!$B$45)*365,0)</x:f>
        <x:v>5.190787372861878</x:v>
      </x:c>
      <x:c r="AK378" s="81" t="n">
        <x:f>W378/MAX($W$369:W378)-1</x:f>
        <x:v>-0.733169432127188</x:v>
      </x:c>
      <x:c r="AL378" s="83" t="n">
        <x:f>'Inputs'!$B$45</x:f>
        <x:v>0.75</x:v>
      </x:c>
      <x:c r="AM378" s="83" t="n">
        <x:f>'Inputs'!$C$45</x:f>
        <x:v>0.5</x:v>
      </x:c>
      <x:c r="AN378" s="83" t="n">
        <x:f>'Inputs'!$D$45</x:f>
        <x:v>0.5</x:v>
      </x:c>
      <x:c r="AO378" s="81" t="n">
        <x:f>'Inputs'!$E$45</x:f>
        <x:v>-0.05</x:v>
      </x:c>
    </x:row>
    <x:row r="379">
      <x:c r="A379" s="59" t="str">
        <x:v>Weak demand</x:v>
      </x:c>
      <x:c r="B379" s="59" t="n">
        <x:v>11</x:v>
      </x:c>
      <x:c r="C379" s="78" t="n">
        <x:f>(('Inputs'!$B$29*(3*11*'Inputs'!$B$12-11^2)/(2*'Inputs'!$B$12^2))-('Inputs'!$B$29*(3*10*'Inputs'!$B$12-10^2)/(2*'Inputs'!$B$12^2)))*'Inputs'!$B$45</x:f>
        <x:v>531429.5013135667</x:v>
      </x:c>
      <x:c r="D379" s="78" t="n">
        <x:f>IF('Inputs'!$C$45&gt;0,('Inputs'!$B$30*(3*11*'Inputs'!$B$12-11^2)/(2*'Inputs'!$B$12^2))-('Inputs'!$B$30*(3*10*'Inputs'!$B$12-10^2)/(2*'Inputs'!$B$12^2)),0)</x:f>
        <x:v>303674.0007506097</x:v>
      </x:c>
      <x:c r="E379" s="78" t="n">
        <x:f>C379+D379</x:f>
        <x:v>835103.5020641764</x:v>
      </x:c>
      <x:c r="F379" s="78" t="n">
        <x:f>'Inputs'!$B$13*E379+(1-'Inputs'!$B$13)/'Inputs'!$B$14*SUM(E369:E379)</x:f>
        <x:v>298552.30728761747</x:v>
      </x:c>
      <x:c r="G379" s="78" t="n">
        <x:f>F379*'Inputs'!$F$45</x:f>
        <x:v>208986.61510133222</x:v>
      </x:c>
      <x:c r="H379" s="78" t="n">
        <x:f>U378</x:f>
        <x:v>8969673.356881</x:v>
      </x:c>
      <x:c r="I379" s="78" t="n">
        <x:f>V378</x:f>
        <x:v>1799.4235038538566</x:v>
      </x:c>
      <x:c r="J379" s="79" t="n">
        <x:f>IF(H379&gt;0,I379/H379,0)</x:f>
        <x:v>0.00020061193225876458</x:v>
      </x:c>
      <x:c r="K379" s="80" t="n">
        <x:f>(H379*J379+I379)*'Inputs'!$D$45*(1+'Inputs'!$G$45)^(B379/30)</x:f>
        <x:v>1799.4235038538566</x:v>
      </x:c>
      <x:c r="L379" s="80" t="n">
        <x:f>MAX(0,K379*'Inputs'!$E$45)</x:f>
        <x:v>0</x:v>
      </x:c>
      <x:c r="M379" s="80" t="n">
        <x:f>MAX(0,-K379*'Inputs'!$E$45)</x:f>
        <x:v>89.97117519269284</x:v>
      </x:c>
      <x:c r="N379" s="78" t="n">
        <x:f>H379*(L379*(1-'Inputs'!$B$15))/(I379+L379*(1-'Inputs'!$B$15))</x:f>
        <x:v>0</x:v>
      </x:c>
      <x:c r="O379" s="78" t="n">
        <x:f>H379-N379</x:f>
        <x:v>8969673.356881</x:v>
      </x:c>
      <x:c r="P379" s="78" t="n">
        <x:f>I379+L379*(1-'Inputs'!$B$17)</x:f>
        <x:v>1799.4235038538566</x:v>
      </x:c>
      <x:c r="Q379" s="78" t="n">
        <x:f>IF(J379&gt;0,M379/J379,0)</x:f>
        <x:v>448483.66784405004</x:v>
      </x:c>
      <x:c r="R379" s="78" t="n">
        <x:f>IF(B379='Inputs'!$H$45,'Inputs'!$B$27*'Inputs'!$I$45,0)</x:f>
        <x:v>0</x:v>
      </x:c>
      <x:c r="S379" s="78" t="n">
        <x:f>Q379+G379+R379</x:f>
        <x:v>657470.2829453823</x:v>
      </x:c>
      <x:c r="T379" s="78" t="n">
        <x:f>P379*(S379*(1-'Inputs'!$B$15))/(O379+S379*(1-'Inputs'!$B$15))</x:f>
        <x:v>121.74298766376236</x:v>
      </x:c>
      <x:c r="U379" s="78" t="n">
        <x:f>O379+S379*(1-'Inputs'!$B$17)</x:f>
        <x:v>9624497.884160606</x:v>
      </x:c>
      <x:c r="V379" s="78" t="n">
        <x:f>P379-T379</x:f>
        <x:v>1677.6805161900943</x:v>
      </x:c>
      <x:c r="W379" s="79" t="n">
        <x:f>IF(U379&gt;0,V379/U379,0)</x:f>
        <x:v>0.00017431356278347937</x:v>
      </x:c>
      <x:c r="X379" s="80" t="n">
        <x:f>W379*('Inputs'!$B$6-AC379)</x:f>
        <x:v>174286.35582869747</x:v>
      </x:c>
      <x:c r="Y379" s="80" t="n">
        <x:f>2*V379</x:f>
        <x:v>3355.3610323801886</x:v>
      </x:c>
      <x:c r="Z379" s="80" t="n">
        <x:f>K379*'Inputs'!$B$16+(G379+R379)*J379*'Inputs'!$B$16</x:f>
        <x:v>11.048092275153323</x:v>
      </x:c>
      <x:c r="AA379" s="80" t="n">
        <x:f>K379*(1+'Inputs'!$E$45)/2*'Inputs'!$B$17</x:f>
        <x:v>3.4395419087749772</x:v>
      </x:c>
      <x:c r="AB379" s="78" t="n">
        <x:f>(IF(J379&gt;0,K379*(1-'Inputs'!$E$45)/2/J379,0)+G379+R379)*'Inputs'!$B$17</x:f>
        <x:v>19791.00654915033</x:v>
      </x:c>
      <x:c r="AC379" s="78" t="n">
        <x:f>AC378+AB379</x:f>
        <x:v>156080.53869960122</x:v>
      </x:c>
      <x:c r="AD379" s="80" t="n">
        <x:f>Z379/(1+'Inputs'!$C$45)</x:f>
        <x:v>7.3653948501022155</x:v>
      </x:c>
      <x:c r="AE379" s="80" t="n">
        <x:f>Z379-AD379</x:f>
        <x:v>3.6826974250511073</x:v>
      </x:c>
      <x:c r="AF379" s="80" t="n">
        <x:f>D379*W379</x:f>
        <x:v>52.93449699555176</x:v>
      </x:c>
      <x:c r="AG379" s="80" t="n">
        <x:f>C379*W379</x:f>
        <x:v>92.63536974221554</x:v>
      </x:c>
      <x:c r="AH379" s="80" t="n">
        <x:f>2*'Inputs'!$B$8*'Inputs'!$C$45</x:f>
        <x:v>2500</x:v>
      </x:c>
      <x:c r="AI379" s="81" t="n">
        <x:f>IF(AH379&gt;0,(AE379+AF379)/AH379*365,0)</x:f>
        <x:v>8.26611038540802</x:v>
      </x:c>
      <x:c r="AJ379" s="81" t="n">
        <x:f>IF('Inputs'!$B$45&gt;0,AG379/('Inputs'!$B$19*'Inputs'!$B$45)*365,0)</x:f>
        <x:v>4.5082546607878236</x:v>
      </x:c>
      <x:c r="AK379" s="81" t="n">
        <x:f>W379/MAX($W$369:W379)-1</x:f>
        <x:v>-0.7681484524786197</x:v>
      </x:c>
      <x:c r="AL379" s="83" t="n">
        <x:f>'Inputs'!$B$45</x:f>
        <x:v>0.75</x:v>
      </x:c>
      <x:c r="AM379" s="83" t="n">
        <x:f>'Inputs'!$C$45</x:f>
        <x:v>0.5</x:v>
      </x:c>
      <x:c r="AN379" s="83" t="n">
        <x:f>'Inputs'!$D$45</x:f>
        <x:v>0.5</x:v>
      </x:c>
      <x:c r="AO379" s="81" t="n">
        <x:f>'Inputs'!$E$45</x:f>
        <x:v>-0.05</x:v>
      </x:c>
    </x:row>
    <x:row r="380">
      <x:c r="A380" s="59" t="str">
        <x:v>Weak demand</x:v>
      </x:c>
      <x:c r="B380" s="59" t="n">
        <x:v>12</x:v>
      </x:c>
      <x:c r="C380" s="78" t="n">
        <x:f>(('Inputs'!$B$29*(3*12*'Inputs'!$B$12-12^2)/(2*'Inputs'!$B$12^2))-('Inputs'!$B$29*(3*11*'Inputs'!$B$12-11^2)/(2*'Inputs'!$B$12^2)))*'Inputs'!$B$45</x:f>
        <x:v>531185.6703884408</x:v>
      </x:c>
      <x:c r="D380" s="78" t="n">
        <x:f>IF('Inputs'!$C$45&gt;0,('Inputs'!$B$30*(3*12*'Inputs'!$B$12-12^2)/(2*'Inputs'!$B$12^2))-('Inputs'!$B$30*(3*11*'Inputs'!$B$12-11^2)/(2*'Inputs'!$B$12^2)),0)</x:f>
        <x:v>303534.6687933947</x:v>
      </x:c>
      <x:c r="E380" s="78" t="n">
        <x:f>C380+D380</x:f>
        <x:v>834720.3391818355</x:v>
      </x:c>
      <x:c r="F380" s="78" t="n">
        <x:f>'Inputs'!$B$13*E380+(1-'Inputs'!$B$13)/'Inputs'!$B$14*SUM(E369:E380)</x:f>
        <x:v>310400.2509851755</x:v>
      </x:c>
      <x:c r="G380" s="78" t="n">
        <x:f>F380*'Inputs'!$F$45</x:f>
        <x:v>217280.17568962282</x:v>
      </x:c>
      <x:c r="H380" s="78" t="n">
        <x:f>U379</x:f>
        <x:v>9624497.884160606</x:v>
      </x:c>
      <x:c r="I380" s="78" t="n">
        <x:f>V379</x:f>
        <x:v>1677.6805161900943</x:v>
      </x:c>
      <x:c r="J380" s="79" t="n">
        <x:f>IF(H380&gt;0,I380/H380,0)</x:f>
        <x:v>0.00017431356278347937</x:v>
      </x:c>
      <x:c r="K380" s="80" t="n">
        <x:f>(H380*J380+I380)*'Inputs'!$D$45*(1+'Inputs'!$G$45)^(B380/30)</x:f>
        <x:v>1677.6805161900943</x:v>
      </x:c>
      <x:c r="L380" s="80" t="n">
        <x:f>MAX(0,K380*'Inputs'!$E$45)</x:f>
        <x:v>0</x:v>
      </x:c>
      <x:c r="M380" s="80" t="n">
        <x:f>MAX(0,-K380*'Inputs'!$E$45)</x:f>
        <x:v>83.88402580950472</x:v>
      </x:c>
      <x:c r="N380" s="78" t="n">
        <x:f>H380*(L380*(1-'Inputs'!$B$15))/(I380+L380*(1-'Inputs'!$B$15))</x:f>
        <x:v>0</x:v>
      </x:c>
      <x:c r="O380" s="78" t="n">
        <x:f>H380-N380</x:f>
        <x:v>9624497.884160606</x:v>
      </x:c>
      <x:c r="P380" s="78" t="n">
        <x:f>I380+L380*(1-'Inputs'!$B$17)</x:f>
        <x:v>1677.6805161900943</x:v>
      </x:c>
      <x:c r="Q380" s="78" t="n">
        <x:f>IF(J380&gt;0,M380/J380,0)</x:f>
        <x:v>481224.89420803037</x:v>
      </x:c>
      <x:c r="R380" s="78" t="n">
        <x:f>IF(B380='Inputs'!$H$45,'Inputs'!$B$27*'Inputs'!$I$45,0)</x:f>
        <x:v>0</x:v>
      </x:c>
      <x:c r="S380" s="78" t="n">
        <x:f>Q380+G380+R380</x:f>
        <x:v>698505.0698976532</x:v>
      </x:c>
      <x:c r="T380" s="78" t="n">
        <x:f>P380*(S380*(1-'Inputs'!$B$15))/(O380+S380*(1-'Inputs'!$B$15))</x:f>
        <x:v>112.46099741521694</x:v>
      </x:c>
      <x:c r="U380" s="78" t="n">
        <x:f>O380+S380*(1-'Inputs'!$B$17)</x:f>
        <x:v>10320192.06846511</x:v>
      </x:c>
      <x:c r="V380" s="78" t="n">
        <x:f>P380-T380</x:f>
        <x:v>1565.2195187748773</x:v>
      </x:c>
      <x:c r="W380" s="79" t="n">
        <x:f>IF(U380&gt;0,V380/U380,0)</x:f>
        <x:v>0.0001516657353265391</x:v>
      </x:c>
      <x:c r="X380" s="80" t="n">
        <x:f>W380*('Inputs'!$B$6-AC380)</x:f>
        <x:v>151638.84675829278</x:v>
      </x:c>
      <x:c r="Y380" s="80" t="n">
        <x:f>2*V380</x:f>
        <x:v>3130.4390375497546</x:v>
      </x:c>
      <x:c r="Z380" s="80" t="n">
        <x:f>K380*'Inputs'!$B$16+(G380+R380)*J380*'Inputs'!$B$16</x:f>
        <x:v>10.293332386420637</x:v>
      </x:c>
      <x:c r="AA380" s="80" t="n">
        <x:f>K380*(1+'Inputs'!$E$45)/2*'Inputs'!$B$17</x:f>
        <x:v>3.2068339846691947</x:v>
      </x:c>
      <x:c r="AB380" s="78" t="n">
        <x:f>(IF(J380&gt;0,K380*(1-'Inputs'!$E$45)/2/J380,0)+G380+R380)*'Inputs'!$B$17</x:f>
        <x:v>21207.81313832572</x:v>
      </x:c>
      <x:c r="AC380" s="78" t="n">
        <x:f>AC379+AB380</x:f>
        <x:v>177288.35183792695</x:v>
      </x:c>
      <x:c r="AD380" s="80" t="n">
        <x:f>Z380/(1+'Inputs'!$C$45)</x:f>
        <x:v>6.862221590947091</x:v>
      </x:c>
      <x:c r="AE380" s="80" t="n">
        <x:f>Z380-AD380</x:f>
        <x:v>3.431110795473546</x:v>
      </x:c>
      <x:c r="AF380" s="80" t="n">
        <x:f>D380*W380</x:f>
        <x:v>46.035808739647706</x:v>
      </x:c>
      <x:c r="AG380" s="80" t="n">
        <x:f>C380*W380</x:f>
        <x:v>80.5626652943835</x:v>
      </x:c>
      <x:c r="AH380" s="80" t="n">
        <x:f>2*'Inputs'!$B$8*'Inputs'!$C$45</x:f>
        <x:v>2500</x:v>
      </x:c>
      <x:c r="AI380" s="81" t="n">
        <x:f>IF(AH380&gt;0,(AE380+AF380)/AH380*365,0)</x:f>
        <x:v>7.222170252127702</x:v>
      </x:c>
      <x:c r="AJ380" s="81" t="n">
        <x:f>IF('Inputs'!$B$45&gt;0,AG380/('Inputs'!$B$19*'Inputs'!$B$45)*365,0)</x:f>
        <x:v>3.920716377659997</x:v>
      </x:c>
      <x:c r="AK380" s="81" t="n">
        <x:f>W380/MAX($W$369:W380)-1</x:f>
        <x:v>-0.7982719480921605</x:v>
      </x:c>
      <x:c r="AL380" s="83" t="n">
        <x:f>'Inputs'!$B$45</x:f>
        <x:v>0.75</x:v>
      </x:c>
      <x:c r="AM380" s="83" t="n">
        <x:f>'Inputs'!$C$45</x:f>
        <x:v>0.5</x:v>
      </x:c>
      <x:c r="AN380" s="83" t="n">
        <x:f>'Inputs'!$D$45</x:f>
        <x:v>0.5</x:v>
      </x:c>
      <x:c r="AO380" s="81" t="n">
        <x:f>'Inputs'!$E$45</x:f>
        <x:v>-0.05</x:v>
      </x:c>
    </x:row>
    <x:row r="381">
      <x:c r="A381" s="59" t="str">
        <x:v>Weak demand</x:v>
      </x:c>
      <x:c r="B381" s="59" t="n">
        <x:v>13</x:v>
      </x:c>
      <x:c r="C381" s="78" t="n">
        <x:f>(('Inputs'!$B$29*(3*13*'Inputs'!$B$12-13^2)/(2*'Inputs'!$B$12^2))-('Inputs'!$B$29*(3*12*'Inputs'!$B$12-12^2)/(2*'Inputs'!$B$12^2)))*'Inputs'!$B$45</x:f>
        <x:v>530941.8394633136</x:v>
      </x:c>
      <x:c r="D381" s="78" t="n">
        <x:f>IF('Inputs'!$C$45&gt;0,('Inputs'!$B$30*(3*13*'Inputs'!$B$12-13^2)/(2*'Inputs'!$B$12^2))-('Inputs'!$B$30*(3*12*'Inputs'!$B$12-12^2)/(2*'Inputs'!$B$12^2)),0)</x:f>
        <x:v>303395.3368361797</x:v>
      </x:c>
      <x:c r="E381" s="78" t="n">
        <x:f>C381+D381</x:f>
        <x:v>834337.1762994933</x:v>
      </x:c>
      <x:c r="F381" s="78" t="n">
        <x:f>'Inputs'!$B$13*E381+(1-'Inputs'!$B$13)/'Inputs'!$B$14*SUM(E369:E381)</x:f>
        <x:v>322242.72092727124</x:v>
      </x:c>
      <x:c r="G381" s="78" t="n">
        <x:f>F381*'Inputs'!$F$45</x:f>
        <x:v>225569.90464908985</x:v>
      </x:c>
      <x:c r="H381" s="78" t="n">
        <x:f>U380</x:f>
        <x:v>10320192.06846511</x:v>
      </x:c>
      <x:c r="I381" s="78" t="n">
        <x:f>V380</x:f>
        <x:v>1565.2195187748773</x:v>
      </x:c>
      <x:c r="J381" s="79" t="n">
        <x:f>IF(H381&gt;0,I381/H381,0)</x:f>
        <x:v>0.0001516657353265391</x:v>
      </x:c>
      <x:c r="K381" s="80" t="n">
        <x:f>(H381*J381+I381)*'Inputs'!$D$45*(1+'Inputs'!$G$45)^(B381/30)</x:f>
        <x:v>1565.2195187748775</x:v>
      </x:c>
      <x:c r="L381" s="80" t="n">
        <x:f>MAX(0,K381*'Inputs'!$E$45)</x:f>
        <x:v>0</x:v>
      </x:c>
      <x:c r="M381" s="80" t="n">
        <x:f>MAX(0,-K381*'Inputs'!$E$45)</x:f>
        <x:v>78.26097593874388</x:v>
      </x:c>
      <x:c r="N381" s="78" t="n">
        <x:f>H381*(L381*(1-'Inputs'!$B$15))/(I381+L381*(1-'Inputs'!$B$15))</x:f>
        <x:v>0</x:v>
      </x:c>
      <x:c r="O381" s="78" t="n">
        <x:f>H381-N381</x:f>
        <x:v>10320192.06846511</x:v>
      </x:c>
      <x:c r="P381" s="78" t="n">
        <x:f>I381+L381*(1-'Inputs'!$B$17)</x:f>
        <x:v>1565.2195187748773</x:v>
      </x:c>
      <x:c r="Q381" s="78" t="n">
        <x:f>IF(J381&gt;0,M381/J381,0)</x:f>
        <x:v>516009.60342325555</x:v>
      </x:c>
      <x:c r="R381" s="78" t="n">
        <x:f>IF(B381='Inputs'!$H$45,'Inputs'!$B$27*'Inputs'!$I$45,0)</x:f>
        <x:v>0</x:v>
      </x:c>
      <x:c r="S381" s="78" t="n">
        <x:f>Q381+G381+R381</x:f>
        <x:v>741579.5080723454</x:v>
      </x:c>
      <x:c r="T381" s="78" t="n">
        <x:f>P381*(S381*(1-'Inputs'!$B$15))/(O381+S381*(1-'Inputs'!$B$15))</x:f>
        <x:v>103.95245062388365</x:v>
      </x:c>
      <x:c r="U381" s="78" t="n">
        <x:f>O381+S381*(1-'Inputs'!$B$17)</x:f>
        <x:v>11058787.35316493</x:v>
      </x:c>
      <x:c r="V381" s="78" t="n">
        <x:f>P381-T381</x:f>
        <x:v>1461.2670681509937</x:v>
      </x:c>
      <x:c r="W381" s="79" t="n">
        <x:f>IF(U381&gt;0,V381/U381,0)</x:f>
        <x:v>0.00013213628415893101</x:v>
      </x:c>
      <x:c r="X381" s="80" t="n">
        <x:f>W381*('Inputs'!$B$6-AC381)</x:f>
        <x:v>132109.8569945296</x:v>
      </x:c>
      <x:c r="Y381" s="80" t="n">
        <x:f>2*V381</x:f>
        <x:v>2922.5341363019875</x:v>
      </x:c>
      <x:c r="Z381" s="80" t="n">
        <x:f>K381*'Inputs'!$B$16+(G381+R381)*J381*'Inputs'!$B$16</x:f>
        <x:v>9.596584465386114</x:v>
      </x:c>
      <x:c r="AA381" s="80" t="n">
        <x:f>K381*(1+'Inputs'!$E$45)/2*'Inputs'!$B$17</x:f>
        <x:v>2.991868295444937</x:v>
      </x:c>
      <x:c r="AB381" s="78" t="n">
        <x:f>(IF(J381&gt;0,K381*(1-'Inputs'!$E$45)/2/J381,0)+G381+R381)*'Inputs'!$B$17</x:f>
        <x:v>22710.94865429889</x:v>
      </x:c>
      <x:c r="AC381" s="78" t="n">
        <x:f>AC380+AB381</x:f>
        <x:v>199999.30049222586</x:v>
      </x:c>
      <x:c r="AD381" s="80" t="n">
        <x:f>Z381/(1+'Inputs'!$C$45)</x:f>
        <x:v>6.397722976924076</x:v>
      </x:c>
      <x:c r="AE381" s="80" t="n">
        <x:f>Z381-AD381</x:f>
        <x:v>3.198861488462038</x:v>
      </x:c>
      <x:c r="AF381" s="80" t="n">
        <x:f>D381*W381</x:f>
        <x:v>40.08953244068003</x:v>
      </x:c>
      <x:c r="AG381" s="80" t="n">
        <x:f>C381*W381</x:f>
        <x:v>70.15668177118994</x:v>
      </x:c>
      <x:c r="AH381" s="80" t="n">
        <x:f>2*'Inputs'!$B$8*'Inputs'!$C$45</x:f>
        <x:v>2500</x:v>
      </x:c>
      <x:c r="AI381" s="81" t="n">
        <x:f>IF(AH381&gt;0,(AE381+AF381)/AH381*365,0)</x:f>
        <x:v>6.320105513654742</x:v>
      </x:c>
      <x:c r="AJ381" s="81" t="n">
        <x:f>IF('Inputs'!$B$45&gt;0,AG381/('Inputs'!$B$19*'Inputs'!$B$45)*365,0)</x:f>
        <x:v>3.4142918461979104</x:v>
      </x:c>
      <x:c r="AK381" s="81" t="n">
        <x:f>W381/MAX($W$369:W381)-1</x:f>
        <x:v>-0.8242477436823032</x:v>
      </x:c>
      <x:c r="AL381" s="83" t="n">
        <x:f>'Inputs'!$B$45</x:f>
        <x:v>0.75</x:v>
      </x:c>
      <x:c r="AM381" s="83" t="n">
        <x:f>'Inputs'!$C$45</x:f>
        <x:v>0.5</x:v>
      </x:c>
      <x:c r="AN381" s="83" t="n">
        <x:f>'Inputs'!$D$45</x:f>
        <x:v>0.5</x:v>
      </x:c>
      <x:c r="AO381" s="81" t="n">
        <x:f>'Inputs'!$E$45</x:f>
        <x:v>-0.05</x:v>
      </x:c>
    </x:row>
    <x:row r="382">
      <x:c r="A382" s="59" t="str">
        <x:v>Weak demand</x:v>
      </x:c>
      <x:c r="B382" s="59" t="n">
        <x:v>14</x:v>
      </x:c>
      <x:c r="C382" s="78" t="n">
        <x:f>(('Inputs'!$B$29*(3*14*'Inputs'!$B$12-14^2)/(2*'Inputs'!$B$12^2))-('Inputs'!$B$29*(3*13*'Inputs'!$B$12-13^2)/(2*'Inputs'!$B$12^2)))*'Inputs'!$B$45</x:f>
        <x:v>530698.008538187</x:v>
      </x:c>
      <x:c r="D382" s="78" t="n">
        <x:f>IF('Inputs'!$C$45&gt;0,('Inputs'!$B$30*(3*14*'Inputs'!$B$12-14^2)/(2*'Inputs'!$B$12^2))-('Inputs'!$B$30*(3*13*'Inputs'!$B$12-13^2)/(2*'Inputs'!$B$12^2)),0)</x:f>
        <x:v>303256.0048789638</x:v>
      </x:c>
      <x:c r="E382" s="78" t="n">
        <x:f>C382+D382</x:f>
        <x:v>833954.0134171508</x:v>
      </x:c>
      <x:c r="F382" s="78" t="n">
        <x:f>'Inputs'!$B$13*E382+(1-'Inputs'!$B$13)/'Inputs'!$B$14*SUM(E369:E382)</x:f>
        <x:v>334079.7171139049</x:v>
      </x:c>
      <x:c r="G382" s="78" t="n">
        <x:f>F382*'Inputs'!$F$45</x:f>
        <x:v>233855.8019797334</x:v>
      </x:c>
      <x:c r="H382" s="78" t="n">
        <x:f>U381</x:f>
        <x:v>11058787.35316493</x:v>
      </x:c>
      <x:c r="I382" s="78" t="n">
        <x:f>V381</x:f>
        <x:v>1461.2670681509937</x:v>
      </x:c>
      <x:c r="J382" s="79" t="n">
        <x:f>IF(H382&gt;0,I382/H382,0)</x:f>
        <x:v>0.00013213628415893101</x:v>
      </x:c>
      <x:c r="K382" s="80" t="n">
        <x:f>(H382*J382+I382)*'Inputs'!$D$45*(1+'Inputs'!$G$45)^(B382/30)</x:f>
        <x:v>1461.2670681509937</x:v>
      </x:c>
      <x:c r="L382" s="80" t="n">
        <x:f>MAX(0,K382*'Inputs'!$E$45)</x:f>
        <x:v>0</x:v>
      </x:c>
      <x:c r="M382" s="80" t="n">
        <x:f>MAX(0,-K382*'Inputs'!$E$45)</x:f>
        <x:v>73.06335340754968</x:v>
      </x:c>
      <x:c r="N382" s="78" t="n">
        <x:f>H382*(L382*(1-'Inputs'!$B$15))/(I382+L382*(1-'Inputs'!$B$15))</x:f>
        <x:v>0</x:v>
      </x:c>
      <x:c r="O382" s="78" t="n">
        <x:f>H382-N382</x:f>
        <x:v>11058787.35316493</x:v>
      </x:c>
      <x:c r="P382" s="78" t="n">
        <x:f>I382+L382*(1-'Inputs'!$B$17)</x:f>
        <x:v>1461.2670681509937</x:v>
      </x:c>
      <x:c r="Q382" s="78" t="n">
        <x:f>IF(J382&gt;0,M382/J382,0)</x:f>
        <x:v>552939.3676582464</x:v>
      </x:c>
      <x:c r="R382" s="78" t="n">
        <x:f>IF(B382='Inputs'!$H$45,'Inputs'!$B$27*'Inputs'!$I$45,0)</x:f>
        <x:v>0</x:v>
      </x:c>
      <x:c r="S382" s="78" t="n">
        <x:f>Q382+G382+R382</x:f>
        <x:v>786795.1696379798</x:v>
      </x:c>
      <x:c r="T382" s="78" t="n">
        <x:f>P382*(S382*(1-'Inputs'!$B$15))/(O382+S382*(1-'Inputs'!$B$15))</x:f>
        <x:v>96.15206425425215</x:v>
      </x:c>
      <x:c r="U382" s="78" t="n">
        <x:f>O382+S382*(1-'Inputs'!$B$17)</x:f>
        <x:v>11842416.345057888</x:v>
      </x:c>
      <x:c r="V382" s="78" t="n">
        <x:f>P382-T382</x:f>
        <x:v>1365.1150038967417</x:v>
      </x:c>
      <x:c r="W382" s="79" t="n">
        <x:f>IF(U382&gt;0,V382/U382,0)</x:f>
        <x:v>0.00011527334997527218</x:v>
      </x:c>
      <x:c r="X382" s="80" t="n">
        <x:f>W382*('Inputs'!$B$6-AC382)</x:f>
        <x:v>115247.49370116019</x:v>
      </x:c>
      <x:c r="Y382" s="80" t="n">
        <x:f>2*V382</x:f>
        <x:v>2730.2300077934833</x:v>
      </x:c>
      <x:c r="Z382" s="80" t="n">
        <x:f>K382*'Inputs'!$B$16+(G382+R382)*J382*'Inputs'!$B$16</x:f>
        <x:v>8.953007429121616</x:v>
      </x:c>
      <x:c r="AA382" s="80" t="n">
        <x:f>K382*(1+'Inputs'!$E$45)/2*'Inputs'!$B$17</x:f>
        <x:v>2.7931664280552195</x:v>
      </x:c>
      <x:c r="AB382" s="78" t="n">
        <x:f>(IF(J382&gt;0,K382*(1-'Inputs'!$E$45)/2/J382,0)+G382+R382)*'Inputs'!$B$17</x:f>
        <x:v>24304.704878838318</x:v>
      </x:c>
      <x:c r="AC382" s="78" t="n">
        <x:f>AC381+AB382</x:f>
        <x:v>224304.00537106418</x:v>
      </x:c>
      <x:c r="AD382" s="80" t="n">
        <x:f>Z382/(1+'Inputs'!$C$45)</x:f>
        <x:v>5.968671619414411</x:v>
      </x:c>
      <x:c r="AE382" s="80" t="n">
        <x:f>Z382-AD382</x:f>
        <x:v>2.984335809707205</x:v>
      </x:c>
      <x:c r="AF382" s="80" t="n">
        <x:f>D382*W382</x:f>
        <x:v>34.95733558251565</x:v>
      </x:c>
      <x:c r="AG382" s="80" t="n">
        <x:f>C382*W382</x:f>
        <x:v>61.17533726940242</x:v>
      </x:c>
      <x:c r="AH382" s="80" t="n">
        <x:f>2*'Inputs'!$B$8*'Inputs'!$C$45</x:f>
        <x:v>2500</x:v>
      </x:c>
      <x:c r="AI382" s="81" t="n">
        <x:f>IF(AH382&gt;0,(AE382+AF382)/AH382*365,0)</x:f>
        <x:v>5.539484023264536</x:v>
      </x:c>
      <x:c r="AJ382" s="81" t="n">
        <x:f>IF('Inputs'!$B$45&gt;0,AG382/('Inputs'!$B$19*'Inputs'!$B$45)*365,0)</x:f>
        <x:v>2.9771997471109177</x:v>
      </x:c>
      <x:c r="AK382" s="81" t="n">
        <x:f>W382/MAX($W$369:W382)-1</x:f>
        <x:v>-0.8466768497357939</x:v>
      </x:c>
      <x:c r="AL382" s="83" t="n">
        <x:f>'Inputs'!$B$45</x:f>
        <x:v>0.75</x:v>
      </x:c>
      <x:c r="AM382" s="83" t="n">
        <x:f>'Inputs'!$C$45</x:f>
        <x:v>0.5</x:v>
      </x:c>
      <x:c r="AN382" s="83" t="n">
        <x:f>'Inputs'!$D$45</x:f>
        <x:v>0.5</x:v>
      </x:c>
      <x:c r="AO382" s="81" t="n">
        <x:f>'Inputs'!$E$45</x:f>
        <x:v>-0.05</x:v>
      </x:c>
    </x:row>
    <x:row r="383">
      <x:c r="A383" s="59" t="str">
        <x:v>Weak demand</x:v>
      </x:c>
      <x:c r="B383" s="59" t="n">
        <x:v>15</x:v>
      </x:c>
      <x:c r="C383" s="78" t="n">
        <x:f>(('Inputs'!$B$29*(3*15*'Inputs'!$B$12-15^2)/(2*'Inputs'!$B$12^2))-('Inputs'!$B$29*(3*14*'Inputs'!$B$12-14^2)/(2*'Inputs'!$B$12^2)))*'Inputs'!$B$45</x:f>
        <x:v>530454.1776130619</x:v>
      </x:c>
      <x:c r="D383" s="78" t="n">
        <x:f>IF('Inputs'!$C$45&gt;0,('Inputs'!$B$30*(3*15*'Inputs'!$B$12-15^2)/(2*'Inputs'!$B$12^2))-('Inputs'!$B$30*(3*14*'Inputs'!$B$12-14^2)/(2*'Inputs'!$B$12^2)),0)</x:f>
        <x:v>303116.67292174883</x:v>
      </x:c>
      <x:c r="E383" s="78" t="n">
        <x:f>C383+D383</x:f>
        <x:v>833570.8505348107</x:v>
      </x:c>
      <x:c r="F383" s="78" t="n">
        <x:f>'Inputs'!$B$13*E383+(1-'Inputs'!$B$13)/'Inputs'!$B$14*SUM(E369:E383)</x:f>
        <x:v>345911.239545077</x:v>
      </x:c>
      <x:c r="G383" s="78" t="n">
        <x:f>F383*'Inputs'!$F$45</x:f>
        <x:v>242137.8676815539</x:v>
      </x:c>
      <x:c r="H383" s="78" t="n">
        <x:f>U382</x:f>
        <x:v>11842416.345057888</x:v>
      </x:c>
      <x:c r="I383" s="78" t="n">
        <x:f>V382</x:f>
        <x:v>1365.1150038967417</x:v>
      </x:c>
      <x:c r="J383" s="79" t="n">
        <x:f>IF(H383&gt;0,I383/H383,0)</x:f>
        <x:v>0.00011527334997527218</x:v>
      </x:c>
      <x:c r="K383" s="80" t="n">
        <x:f>(H383*J383+I383)*'Inputs'!$D$45*(1+'Inputs'!$G$45)^(B383/30)</x:f>
        <x:v>1365.1150038967417</x:v>
      </x:c>
      <x:c r="L383" s="80" t="n">
        <x:f>MAX(0,K383*'Inputs'!$E$45)</x:f>
        <x:v>0</x:v>
      </x:c>
      <x:c r="M383" s="80" t="n">
        <x:f>MAX(0,-K383*'Inputs'!$E$45)</x:f>
        <x:v>68.25575019483709</x:v>
      </x:c>
      <x:c r="N383" s="78" t="n">
        <x:f>H383*(L383*(1-'Inputs'!$B$15))/(I383+L383*(1-'Inputs'!$B$15))</x:f>
        <x:v>0</x:v>
      </x:c>
      <x:c r="O383" s="78" t="n">
        <x:f>H383-N383</x:f>
        <x:v>11842416.345057888</x:v>
      </x:c>
      <x:c r="P383" s="78" t="n">
        <x:f>I383+L383*(1-'Inputs'!$B$17)</x:f>
        <x:v>1365.1150038967417</x:v>
      </x:c>
      <x:c r="Q383" s="78" t="n">
        <x:f>IF(J383&gt;0,M383/J383,0)</x:f>
        <x:v>592120.8172528945</x:v>
      </x:c>
      <x:c r="R383" s="78" t="n">
        <x:f>IF(B383='Inputs'!$H$45,'Inputs'!$B$27*'Inputs'!$I$45,0)</x:f>
        <x:v>0</x:v>
      </x:c>
      <x:c r="S383" s="78" t="n">
        <x:f>Q383+G383+R383</x:f>
        <x:v>834258.6849344485</x:v>
      </x:c>
      <x:c r="T383" s="78" t="n">
        <x:f>P383*(S383*(1-'Inputs'!$B$15))/(O383+S383*(1-'Inputs'!$B$15))</x:f>
        <x:v>88.9991214325999</x:v>
      </x:c>
      <x:c r="U383" s="78" t="n">
        <x:f>O383+S383*(1-'Inputs'!$B$17)</x:f>
        <x:v>12673317.85218576</x:v>
      </x:c>
      <x:c r="V383" s="78" t="n">
        <x:f>P383-T383</x:f>
        <x:v>1276.1158824641418</x:v>
      </x:c>
      <x:c r="W383" s="79" t="n">
        <x:f>IF(U383&gt;0,V383/U383,0)</x:f>
        <x:v>0.00010069311740998044</x:v>
      </x:c>
      <x:c r="X383" s="80" t="n">
        <x:f>W383*('Inputs'!$B$6-AC383)</x:f>
        <x:v>100667.91416509224</x:v>
      </x:c>
      <x:c r="Y383" s="80" t="n">
        <x:f>2*V383</x:f>
        <x:v>2552.2317649282836</x:v>
      </x:c>
      <x:c r="Z383" s="80" t="n">
        <x:f>K383*'Inputs'!$B$16+(G383+R383)*J383*'Inputs'!$B$16</x:f>
        <x:v>8.358162282361581</x:v>
      </x:c>
      <x:c r="AA383" s="80" t="n">
        <x:f>K383*(1+'Inputs'!$E$45)/2*'Inputs'!$B$17</x:f>
        <x:v>2.6093747559394456</x:v>
      </x:c>
      <x:c r="AB383" s="78" t="n">
        <x:f>(IF(J383&gt;0,K383*(1-'Inputs'!$E$45)/2/J383,0)+G383+R383)*'Inputs'!$B$17</x:f>
        <x:v>25993.587319263366</x:v>
      </x:c>
      <x:c r="AC383" s="78" t="n">
        <x:f>AC382+AB383</x:f>
        <x:v>250297.59269032755</x:v>
      </x:c>
      <x:c r="AD383" s="80" t="n">
        <x:f>Z383/(1+'Inputs'!$C$45)</x:f>
        <x:v>5.572108188241054</x:v>
      </x:c>
      <x:c r="AE383" s="80" t="n">
        <x:f>Z383-AD383</x:f>
        <x:v>2.7860540941205274</x:v>
      </x:c>
      <x:c r="AF383" s="80" t="n">
        <x:f>D383*W383</x:f>
        <x:v>30.521762735432294</x:v>
      </x:c>
      <x:c r="AG383" s="80" t="n">
        <x:f>C383*W383</x:f>
        <x:v>53.41308478700665</x:v>
      </x:c>
      <x:c r="AH383" s="80" t="n">
        <x:f>2*'Inputs'!$B$8*'Inputs'!$C$45</x:f>
        <x:v>2500</x:v>
      </x:c>
      <x:c r="AI383" s="81" t="n">
        <x:f>IF(AH383&gt;0,(AE383+AF383)/AH383*365,0)</x:f>
        <x:v>4.862941257114712</x:v>
      </x:c>
      <x:c r="AJ383" s="81" t="n">
        <x:f>IF('Inputs'!$B$45&gt;0,AG383/('Inputs'!$B$19*'Inputs'!$B$45)*365,0)</x:f>
        <x:v>2.599436792967657</x:v>
      </x:c>
      <x:c r="AK383" s="81" t="n">
        <x:f>W383/MAX($W$369:W383)-1</x:f>
        <x:v>-0.8660697726357951</x:v>
      </x:c>
      <x:c r="AL383" s="83" t="n">
        <x:f>'Inputs'!$B$45</x:f>
        <x:v>0.75</x:v>
      </x:c>
      <x:c r="AM383" s="83" t="n">
        <x:f>'Inputs'!$C$45</x:f>
        <x:v>0.5</x:v>
      </x:c>
      <x:c r="AN383" s="83" t="n">
        <x:f>'Inputs'!$D$45</x:f>
        <x:v>0.5</x:v>
      </x:c>
      <x:c r="AO383" s="81" t="n">
        <x:f>'Inputs'!$E$45</x:f>
        <x:v>-0.05</x:v>
      </x:c>
    </x:row>
    <x:row r="384">
      <x:c r="A384" s="59" t="str">
        <x:v>Weak demand</x:v>
      </x:c>
      <x:c r="B384" s="59" t="n">
        <x:v>16</x:v>
      </x:c>
      <x:c r="C384" s="78" t="n">
        <x:f>(('Inputs'!$B$29*(3*16*'Inputs'!$B$12-16^2)/(2*'Inputs'!$B$12^2))-('Inputs'!$B$29*(3*15*'Inputs'!$B$12-15^2)/(2*'Inputs'!$B$12^2)))*'Inputs'!$B$45</x:f>
        <x:v>530210.3466879339</x:v>
      </x:c>
      <x:c r="D384" s="78" t="n">
        <x:f>IF('Inputs'!$C$45&gt;0,('Inputs'!$B$30*(3*16*'Inputs'!$B$12-16^2)/(2*'Inputs'!$B$12^2))-('Inputs'!$B$30*(3*15*'Inputs'!$B$12-15^2)/(2*'Inputs'!$B$12^2)),0)</x:f>
        <x:v>302977.3409645343</x:v>
      </x:c>
      <x:c r="E384" s="78" t="n">
        <x:f>C384+D384</x:f>
        <x:v>833187.6876524682</x:v>
      </x:c>
      <x:c r="F384" s="78" t="n">
        <x:f>'Inputs'!$B$13*E384+(1-'Inputs'!$B$13)/'Inputs'!$B$14*SUM(E369:E384)</x:f>
        <x:v>357737.28822078666</x:v>
      </x:c>
      <x:c r="G384" s="78" t="n">
        <x:f>F384*'Inputs'!$F$45</x:f>
        <x:v>250416.10175455065</x:v>
      </x:c>
      <x:c r="H384" s="78" t="n">
        <x:f>U383</x:f>
        <x:v>12673317.85218576</x:v>
      </x:c>
      <x:c r="I384" s="78" t="n">
        <x:f>V383</x:f>
        <x:v>1276.1158824641418</x:v>
      </x:c>
      <x:c r="J384" s="79" t="n">
        <x:f>IF(H384&gt;0,I384/H384,0)</x:f>
        <x:v>0.00010069311740998044</x:v>
      </x:c>
      <x:c r="K384" s="80" t="n">
        <x:f>(H384*J384+I384)*'Inputs'!$D$45*(1+'Inputs'!$G$45)^(B384/30)</x:f>
        <x:v>1276.1158824641418</x:v>
      </x:c>
      <x:c r="L384" s="80" t="n">
        <x:f>MAX(0,K384*'Inputs'!$E$45)</x:f>
        <x:v>0</x:v>
      </x:c>
      <x:c r="M384" s="80" t="n">
        <x:f>MAX(0,-K384*'Inputs'!$E$45)</x:f>
        <x:v>63.80579412320709</x:v>
      </x:c>
      <x:c r="N384" s="78" t="n">
        <x:f>H384*(L384*(1-'Inputs'!$B$15))/(I384+L384*(1-'Inputs'!$B$15))</x:f>
        <x:v>0</x:v>
      </x:c>
      <x:c r="O384" s="78" t="n">
        <x:f>H384-N384</x:f>
        <x:v>12673317.85218576</x:v>
      </x:c>
      <x:c r="P384" s="78" t="n">
        <x:f>I384+L384*(1-'Inputs'!$B$17)</x:f>
        <x:v>1276.1158824641418</x:v>
      </x:c>
      <x:c r="Q384" s="78" t="n">
        <x:f>IF(J384&gt;0,M384/J384,0)</x:f>
        <x:v>633665.892609288</x:v>
      </x:c>
      <x:c r="R384" s="78" t="n">
        <x:f>IF(B384='Inputs'!$H$45,'Inputs'!$B$27*'Inputs'!$I$45,0)</x:f>
        <x:v>0</x:v>
      </x:c>
      <x:c r="S384" s="78" t="n">
        <x:f>Q384+G384+R384</x:f>
        <x:v>884081.9943638386</x:v>
      </x:c>
      <x:c r="T384" s="78" t="n">
        <x:f>P384*(S384*(1-'Inputs'!$B$15))/(O384+S384*(1-'Inputs'!$B$15))</x:f>
        <x:v>82.43748737196753</x:v>
      </x:c>
      <x:c r="U384" s="78" t="n">
        <x:f>O384+S384*(1-'Inputs'!$B$17)</x:f>
        <x:v>13553842.172528014</x:v>
      </x:c>
      <x:c r="V384" s="78" t="n">
        <x:f>P384-T384</x:f>
        <x:v>1193.6783950921742</x:v>
      </x:c>
      <x:c r="W384" s="79" t="n">
        <x:f>IF(U384&gt;0,V384/U384,0)</x:f>
        <x:v>0.00008806937397512382</x:v>
      </x:c>
      <x:c r="X384" s="80" t="n">
        <x:f>W384*('Inputs'!$B$6-AC384)</x:f>
        <x:v>88044.88365078277</x:v>
      </x:c>
      <x:c r="Y384" s="80" t="n">
        <x:f>2*V384</x:f>
        <x:v>2387.3567901843485</x:v>
      </x:c>
      <x:c r="Z384" s="80" t="n">
        <x:f>K384*'Inputs'!$B$16+(G384+R384)*J384*'Inputs'!$B$16</x:f>
        <x:v>7.8079863623967745</x:v>
      </x:c>
      <x:c r="AA384" s="80" t="n">
        <x:f>K384*(1+'Inputs'!$E$45)/2*'Inputs'!$B$17</x:f>
        <x:v>2.439255710947555</x:v>
      </x:c>
      <x:c r="AB384" s="78" t="n">
        <x:f>(IF(J384&gt;0,K384*(1-'Inputs'!$E$45)/2/J384,0)+G384+R384)*'Inputs'!$B$17</x:f>
        <x:v>27782.32585171861</x:v>
      </x:c>
      <x:c r="AC384" s="78" t="n">
        <x:f>AC383+AB384</x:f>
        <x:v>278079.91854204616</x:v>
      </x:c>
      <x:c r="AD384" s="80" t="n">
        <x:f>Z384/(1+'Inputs'!$C$45)</x:f>
        <x:v>5.205324241597849</x:v>
      </x:c>
      <x:c r="AE384" s="80" t="n">
        <x:f>Z384-AD384</x:f>
        <x:v>2.602662120798925</x:v>
      </x:c>
      <x:c r="AF384" s="80" t="n">
        <x:f>D384*W384</x:f>
        <x:v>26.683024747394175</x:v>
      </x:c>
      <x:c r="AG384" s="80" t="n">
        <x:f>C384*W384</x:f>
        <x:v>46.6952933079397</x:v>
      </x:c>
      <x:c r="AH384" s="80" t="n">
        <x:f>2*'Inputs'!$B$8*'Inputs'!$C$45</x:f>
        <x:v>2500</x:v>
      </x:c>
      <x:c r="AI384" s="81" t="n">
        <x:f>IF(AH384&gt;0,(AE384+AF384)/AH384*365,0)</x:f>
        <x:v>4.275710282756193</x:v>
      </x:c>
      <x:c r="AJ384" s="81" t="n">
        <x:f>IF('Inputs'!$B$45&gt;0,AG384/('Inputs'!$B$19*'Inputs'!$B$45)*365,0)</x:f>
        <x:v>2.272504274319732</x:v>
      </x:c>
      <x:c r="AK384" s="81" t="n">
        <x:f>W384/MAX($W$369:W384)-1</x:f>
        <x:v>-0.8828604021436085</x:v>
      </x:c>
      <x:c r="AL384" s="83" t="n">
        <x:f>'Inputs'!$B$45</x:f>
        <x:v>0.75</x:v>
      </x:c>
      <x:c r="AM384" s="83" t="n">
        <x:f>'Inputs'!$C$45</x:f>
        <x:v>0.5</x:v>
      </x:c>
      <x:c r="AN384" s="83" t="n">
        <x:f>'Inputs'!$D$45</x:f>
        <x:v>0.5</x:v>
      </x:c>
      <x:c r="AO384" s="81" t="n">
        <x:f>'Inputs'!$E$45</x:f>
        <x:v>-0.05</x:v>
      </x:c>
    </x:row>
    <x:row r="385">
      <x:c r="A385" s="59" t="str">
        <x:v>Weak demand</x:v>
      </x:c>
      <x:c r="B385" s="59" t="n">
        <x:v>17</x:v>
      </x:c>
      <x:c r="C385" s="78" t="n">
        <x:f>(('Inputs'!$B$29*(3*17*'Inputs'!$B$12-17^2)/(2*'Inputs'!$B$12^2))-('Inputs'!$B$29*(3*16*'Inputs'!$B$12-16^2)/(2*'Inputs'!$B$12^2)))*'Inputs'!$B$45</x:f>
        <x:v>529966.5157628073</x:v>
      </x:c>
      <x:c r="D385" s="78" t="n">
        <x:f>IF('Inputs'!$C$45&gt;0,('Inputs'!$B$30*(3*17*'Inputs'!$B$12-17^2)/(2*'Inputs'!$B$12^2))-('Inputs'!$B$30*(3*16*'Inputs'!$B$12-16^2)/(2*'Inputs'!$B$12^2)),0)</x:f>
        <x:v>302838.00900731795</x:v>
      </x:c>
      <x:c r="E385" s="78" t="n">
        <x:f>C385+D385</x:f>
        <x:v>832804.5247701253</x:v>
      </x:c>
      <x:c r="F385" s="78" t="n">
        <x:f>'Inputs'!$B$13*E385+(1-'Inputs'!$B$13)/'Inputs'!$B$14*SUM(E369:E385)</x:f>
        <x:v>369557.86314103415</x:v>
      </x:c>
      <x:c r="G385" s="78" t="n">
        <x:f>F385*'Inputs'!$F$45</x:f>
        <x:v>258690.50419872388</x:v>
      </x:c>
      <x:c r="H385" s="78" t="n">
        <x:f>U384</x:f>
        <x:v>13553842.172528014</x:v>
      </x:c>
      <x:c r="I385" s="78" t="n">
        <x:f>V384</x:f>
        <x:v>1193.6783950921742</x:v>
      </x:c>
      <x:c r="J385" s="79" t="n">
        <x:f>IF(H385&gt;0,I385/H385,0)</x:f>
        <x:v>0.00008806937397512382</x:v>
      </x:c>
      <x:c r="K385" s="80" t="n">
        <x:f>(H385*J385+I385)*'Inputs'!$D$45*(1+'Inputs'!$G$45)^(B385/30)</x:f>
        <x:v>1193.6783950921742</x:v>
      </x:c>
      <x:c r="L385" s="80" t="n">
        <x:f>MAX(0,K385*'Inputs'!$E$45)</x:f>
        <x:v>0</x:v>
      </x:c>
      <x:c r="M385" s="80" t="n">
        <x:f>MAX(0,-K385*'Inputs'!$E$45)</x:f>
        <x:v>59.683919754608716</x:v>
      </x:c>
      <x:c r="N385" s="78" t="n">
        <x:f>H385*(L385*(1-'Inputs'!$B$15))/(I385+L385*(1-'Inputs'!$B$15))</x:f>
        <x:v>0</x:v>
      </x:c>
      <x:c r="O385" s="78" t="n">
        <x:f>H385-N385</x:f>
        <x:v>13553842.172528014</x:v>
      </x:c>
      <x:c r="P385" s="78" t="n">
        <x:f>I385+L385*(1-'Inputs'!$B$17)</x:f>
        <x:v>1193.6783950921742</x:v>
      </x:c>
      <x:c r="Q385" s="78" t="n">
        <x:f>IF(J385&gt;0,M385/J385,0)</x:f>
        <x:v>677692.1086264007</x:v>
      </x:c>
      <x:c r="R385" s="78" t="n">
        <x:f>IF(B385='Inputs'!$H$45,'Inputs'!$B$27*'Inputs'!$I$45,0)</x:f>
        <x:v>0</x:v>
      </x:c>
      <x:c r="S385" s="78" t="n">
        <x:f>Q385+G385+R385</x:f>
        <x:v>936382.6128251245</x:v>
      </x:c>
      <x:c r="T385" s="78" t="n">
        <x:f>P385*(S385*(1-'Inputs'!$B$15))/(O385+S385*(1-'Inputs'!$B$15))</x:f>
        <x:v>76.41550461954363</x:v>
      </x:c>
      <x:c r="U385" s="78" t="n">
        <x:f>O385+S385*(1-'Inputs'!$B$17)</x:f>
        <x:v>14486456.646066116</x:v>
      </x:c>
      <x:c r="V385" s="78" t="n">
        <x:f>P385-T385</x:f>
        <x:v>1117.2628904726307</x:v>
      </x:c>
      <x:c r="W385" s="79" t="n">
        <x:f>IF(U385&gt;0,V385/U385,0)</x:f>
        <x:v>0.00007712464944117512</x:v>
      </x:c>
      <x:c r="X385" s="80" t="n">
        <x:f>W385*('Inputs'!$B$6-AC385)</x:f>
        <x:v>77100.91388264445</x:v>
      </x:c>
      <x:c r="Y385" s="80" t="n">
        <x:f>2*V385</x:f>
        <x:v>2234.5257809452614</x:v>
      </x:c>
      <x:c r="Z385" s="80" t="n">
        <x:f>K385*'Inputs'!$B$16+(G385+R385)*J385*'Inputs'!$B$16</x:f>
        <x:v>7.2987666351015905</x:v>
      </x:c>
      <x:c r="AA385" s="80" t="n">
        <x:f>K385*(1+'Inputs'!$E$45)/2*'Inputs'!$B$17</x:f>
        <x:v>2.2816790248240757</x:v>
      </x:c>
      <x:c r="AB385" s="78" t="n">
        <x:f>(IF(J385&gt;0,K385*(1-'Inputs'!$E$45)/2/J385,0)+G385+R385)*'Inputs'!$B$17</x:f>
        <x:v>29675.885894470546</x:v>
      </x:c>
      <x:c r="AC385" s="78" t="n">
        <x:f>AC384+AB385</x:f>
        <x:v>307755.8044365167</x:v>
      </x:c>
      <x:c r="AD385" s="80" t="n">
        <x:f>Z385/(1+'Inputs'!$C$45)</x:f>
        <x:v>4.86584442340106</x:v>
      </x:c>
      <x:c r="AE385" s="80" t="n">
        <x:f>Z385-AD385</x:f>
        <x:v>2.4329222117005305</x:v>
      </x:c>
      <x:c r="AF385" s="80" t="n">
        <x:f>D385*W385</x:f>
        <x:v>23.35627528215283</x:v>
      </x:c>
      <x:c r="AG385" s="80" t="n">
        <x:f>C385*W385</x:f>
        <x:v>40.87348174376752</x:v>
      </x:c>
      <x:c r="AH385" s="80" t="n">
        <x:f>2*'Inputs'!$B$8*'Inputs'!$C$45</x:f>
        <x:v>2500</x:v>
      </x:c>
      <x:c r="AI385" s="81" t="n">
        <x:f>IF(AH385&gt;0,(AE385+AF385)/AH385*365,0)</x:f>
        <x:v>3.76522283410259</x:v>
      </x:c>
      <x:c r="AJ385" s="81" t="n">
        <x:f>IF('Inputs'!$B$45&gt;0,AG385/('Inputs'!$B$19*'Inputs'!$B$45)*365,0)</x:f>
        <x:v>1.9891761115300193</x:v>
      </x:c>
      <x:c r="AK385" s="81" t="n">
        <x:f>W385/MAX($W$369:W385)-1</x:f>
        <x:v>-0.8974177967597876</x:v>
      </x:c>
      <x:c r="AL385" s="83" t="n">
        <x:f>'Inputs'!$B$45</x:f>
        <x:v>0.75</x:v>
      </x:c>
      <x:c r="AM385" s="83" t="n">
        <x:f>'Inputs'!$C$45</x:f>
        <x:v>0.5</x:v>
      </x:c>
      <x:c r="AN385" s="83" t="n">
        <x:f>'Inputs'!$D$45</x:f>
        <x:v>0.5</x:v>
      </x:c>
      <x:c r="AO385" s="81" t="n">
        <x:f>'Inputs'!$E$45</x:f>
        <x:v>-0.05</x:v>
      </x:c>
    </x:row>
    <x:row r="386">
      <x:c r="A386" s="59" t="str">
        <x:v>Weak demand</x:v>
      </x:c>
      <x:c r="B386" s="59" t="n">
        <x:v>18</x:v>
      </x:c>
      <x:c r="C386" s="78" t="n">
        <x:f>(('Inputs'!$B$29*(3*18*'Inputs'!$B$12-18^2)/(2*'Inputs'!$B$12^2))-('Inputs'!$B$29*(3*17*'Inputs'!$B$12-17^2)/(2*'Inputs'!$B$12^2)))*'Inputs'!$B$45</x:f>
        <x:v>529722.6848376794</x:v>
      </x:c>
      <x:c r="D386" s="78" t="n">
        <x:f>IF('Inputs'!$C$45&gt;0,('Inputs'!$B$30*(3*18*'Inputs'!$B$12-18^2)/(2*'Inputs'!$B$12^2))-('Inputs'!$B$30*(3*17*'Inputs'!$B$12-17^2)/(2*'Inputs'!$B$12^2)),0)</x:f>
        <x:v>302698.67705010343</x:v>
      </x:c>
      <x:c r="E386" s="78" t="n">
        <x:f>C386+D386</x:f>
        <x:v>832421.3618877828</x:v>
      </x:c>
      <x:c r="F386" s="78" t="n">
        <x:f>'Inputs'!$B$13*E386+(1-'Inputs'!$B$13)/'Inputs'!$B$14*SUM(E369:E386)</x:f>
        <x:v>381372.9643058197</x:v>
      </x:c>
      <x:c r="G386" s="78" t="n">
        <x:f>F386*'Inputs'!$F$45</x:f>
        <x:v>266961.0750140738</x:v>
      </x:c>
      <x:c r="H386" s="78" t="n">
        <x:f>U385</x:f>
        <x:v>14486456.646066116</x:v>
      </x:c>
      <x:c r="I386" s="78" t="n">
        <x:f>V385</x:f>
        <x:v>1117.2628904726307</x:v>
      </x:c>
      <x:c r="J386" s="79" t="n">
        <x:f>IF(H386&gt;0,I386/H386,0)</x:f>
        <x:v>0.00007712464944117512</x:v>
      </x:c>
      <x:c r="K386" s="80" t="n">
        <x:f>(H386*J386+I386)*'Inputs'!$D$45*(1+'Inputs'!$G$45)^(B386/30)</x:f>
        <x:v>1117.2628904726307</x:v>
      </x:c>
      <x:c r="L386" s="80" t="n">
        <x:f>MAX(0,K386*'Inputs'!$E$45)</x:f>
        <x:v>0</x:v>
      </x:c>
      <x:c r="M386" s="80" t="n">
        <x:f>MAX(0,-K386*'Inputs'!$E$45)</x:f>
        <x:v>55.86314452363154</x:v>
      </x:c>
      <x:c r="N386" s="78" t="n">
        <x:f>H386*(L386*(1-'Inputs'!$B$15))/(I386+L386*(1-'Inputs'!$B$15))</x:f>
        <x:v>0</x:v>
      </x:c>
      <x:c r="O386" s="78" t="n">
        <x:f>H386-N386</x:f>
        <x:v>14486456.646066116</x:v>
      </x:c>
      <x:c r="P386" s="78" t="n">
        <x:f>I386+L386*(1-'Inputs'!$B$17)</x:f>
        <x:v>1117.2628904726307</x:v>
      </x:c>
      <x:c r="Q386" s="78" t="n">
        <x:f>IF(J386&gt;0,M386/J386,0)</x:f>
        <x:v>724322.832303306</x:v>
      </x:c>
      <x:c r="R386" s="78" t="n">
        <x:f>IF(B386='Inputs'!$H$45,'Inputs'!$B$27*'Inputs'!$I$45,0)</x:f>
        <x:v>0</x:v>
      </x:c>
      <x:c r="S386" s="78" t="n">
        <x:f>Q386+G386+R386</x:f>
        <x:v>991283.9073173797</x:v>
      </x:c>
      <x:c r="T386" s="78" t="n">
        <x:f>P386*(S386*(1-'Inputs'!$B$15))/(O386+S386*(1-'Inputs'!$B$15))</x:f>
        <x:v>70.88580869816232</x:v>
      </x:c>
      <x:c r="U386" s="78" t="n">
        <x:f>O386+S386*(1-'Inputs'!$B$17)</x:f>
        <x:v>15473751.483333929</x:v>
      </x:c>
      <x:c r="V386" s="78" t="n">
        <x:f>P386-T386</x:f>
        <x:v>1046.3770817744685</x:v>
      </x:c>
      <x:c r="W386" s="79" t="n">
        <x:f>IF(U386&gt;0,V386/U386,0)</x:f>
        <x:v>0.00006762271469213354</x:v>
      </x:c>
      <x:c r="X386" s="80" t="n">
        <x:f>W386*('Inputs'!$B$6-AC386)</x:f>
        <x:v>67599.76115672835</x:v>
      </x:c>
      <x:c r="Y386" s="80" t="n">
        <x:f>2*V386</x:f>
        <x:v>2092.754163548937</x:v>
      </x:c>
      <x:c r="Z386" s="80" t="n">
        <x:f>K386*'Inputs'!$B$16+(G386+R386)*J386*'Inputs'!$B$16</x:f>
        <x:v>6.827113018785183</x:v>
      </x:c>
      <x:c r="AA386" s="80" t="n">
        <x:f>K386*(1+'Inputs'!$E$45)/2*'Inputs'!$B$17</x:f>
        <x:v>2.13561317092354</x:v>
      </x:c>
      <x:c r="AB386" s="78" t="n">
        <x:f>(IF(J386&gt;0,K386*(1-'Inputs'!$E$45)/2/J386,0)+G386+R386)*'Inputs'!$B$17</x:f>
        <x:v>31679.480137620867</x:v>
      </x:c>
      <x:c r="AC386" s="78" t="n">
        <x:f>AC385+AB386</x:f>
        <x:v>339435.2845741376</x:v>
      </x:c>
      <x:c r="AD386" s="80" t="n">
        <x:f>Z386/(1+'Inputs'!$C$45)</x:f>
        <x:v>4.551408679190122</x:v>
      </x:c>
      <x:c r="AE386" s="80" t="n">
        <x:f>Z386-AD386</x:f>
        <x:v>2.2757043395950607</x:v>
      </x:c>
      <x:c r="AF386" s="80" t="n">
        <x:f>D386*W386</x:f>
        <x:v>20.469306275845415</x:v>
      </x:c>
      <x:c r="AG386" s="80" t="n">
        <x:f>C386*W386</x:f>
        <x:v>35.821285982729364</x:v>
      </x:c>
      <x:c r="AH386" s="80" t="n">
        <x:f>2*'Inputs'!$B$8*'Inputs'!$C$45</x:f>
        <x:v>2500</x:v>
      </x:c>
      <x:c r="AI386" s="81" t="n">
        <x:f>IF(AH386&gt;0,(AE386+AF386)/AH386*365,0)</x:f>
        <x:v>3.3207715498543093</x:v>
      </x:c>
      <x:c r="AJ386" s="81" t="n">
        <x:f>IF('Inputs'!$B$45&gt;0,AG386/('Inputs'!$B$19*'Inputs'!$B$45)*365,0)</x:f>
        <x:v>1.7433025844928292</x:v>
      </x:c>
      <x:c r="AK386" s="81" t="n">
        <x:f>W386/MAX($W$369:W386)-1</x:f>
        <x:v>-0.9100561608711846</x:v>
      </x:c>
      <x:c r="AL386" s="83" t="n">
        <x:f>'Inputs'!$B$45</x:f>
        <x:v>0.75</x:v>
      </x:c>
      <x:c r="AM386" s="83" t="n">
        <x:f>'Inputs'!$C$45</x:f>
        <x:v>0.5</x:v>
      </x:c>
      <x:c r="AN386" s="83" t="n">
        <x:f>'Inputs'!$D$45</x:f>
        <x:v>0.5</x:v>
      </x:c>
      <x:c r="AO386" s="81" t="n">
        <x:f>'Inputs'!$E$45</x:f>
        <x:v>-0.05</x:v>
      </x:c>
    </x:row>
    <x:row r="387">
      <x:c r="A387" s="59" t="str">
        <x:v>Weak demand</x:v>
      </x:c>
      <x:c r="B387" s="59" t="n">
        <x:v>19</x:v>
      </x:c>
      <x:c r="C387" s="78" t="n">
        <x:f>(('Inputs'!$B$29*(3*19*'Inputs'!$B$12-19^2)/(2*'Inputs'!$B$12^2))-('Inputs'!$B$29*(3*18*'Inputs'!$B$12-18^2)/(2*'Inputs'!$B$12^2)))*'Inputs'!$B$45</x:f>
        <x:v>529478.8539125542</x:v>
      </x:c>
      <x:c r="D387" s="78" t="n">
        <x:f>IF('Inputs'!$C$45&gt;0,('Inputs'!$B$30*(3*19*'Inputs'!$B$12-19^2)/(2*'Inputs'!$B$12^2))-('Inputs'!$B$30*(3*18*'Inputs'!$B$12-18^2)/(2*'Inputs'!$B$12^2)),0)</x:f>
        <x:v>302559.345092888</x:v>
      </x:c>
      <x:c r="E387" s="78" t="n">
        <x:f>C387+D387</x:f>
        <x:v>832038.1990054422</x:v>
      </x:c>
      <x:c r="F387" s="78" t="n">
        <x:f>'Inputs'!$B$13*E387+(1-'Inputs'!$B$13)/'Inputs'!$B$14*SUM(E369:E387)</x:f>
        <x:v>393182.59171514364</x:v>
      </x:c>
      <x:c r="G387" s="78" t="n">
        <x:f>F387*'Inputs'!$F$45</x:f>
        <x:v>275227.81420060055</x:v>
      </x:c>
      <x:c r="H387" s="78" t="n">
        <x:f>U386</x:f>
        <x:v>15473751.483333929</x:v>
      </x:c>
      <x:c r="I387" s="78" t="n">
        <x:f>V386</x:f>
        <x:v>1046.3770817744685</x:v>
      </x:c>
      <x:c r="J387" s="79" t="n">
        <x:f>IF(H387&gt;0,I387/H387,0)</x:f>
        <x:v>0.00006762271469213354</x:v>
      </x:c>
      <x:c r="K387" s="80" t="n">
        <x:f>(H387*J387+I387)*'Inputs'!$D$45*(1+'Inputs'!$G$45)^(B387/30)</x:f>
        <x:v>1046.3770817744685</x:v>
      </x:c>
      <x:c r="L387" s="80" t="n">
        <x:f>MAX(0,K387*'Inputs'!$E$45)</x:f>
        <x:v>0</x:v>
      </x:c>
      <x:c r="M387" s="80" t="n">
        <x:f>MAX(0,-K387*'Inputs'!$E$45)</x:f>
        <x:v>52.31885408872343</x:v>
      </x:c>
      <x:c r="N387" s="78" t="n">
        <x:f>H387*(L387*(1-'Inputs'!$B$15))/(I387+L387*(1-'Inputs'!$B$15))</x:f>
        <x:v>0</x:v>
      </x:c>
      <x:c r="O387" s="78" t="n">
        <x:f>H387-N387</x:f>
        <x:v>15473751.483333929</x:v>
      </x:c>
      <x:c r="P387" s="78" t="n">
        <x:f>I387+L387*(1-'Inputs'!$B$17)</x:f>
        <x:v>1046.3770817744685</x:v>
      </x:c>
      <x:c r="Q387" s="78" t="n">
        <x:f>IF(J387&gt;0,M387/J387,0)</x:f>
        <x:v>773687.5741666965</x:v>
      </x:c>
      <x:c r="R387" s="78" t="n">
        <x:f>IF(B387='Inputs'!$H$45,'Inputs'!$B$27*'Inputs'!$I$45,0)</x:f>
        <x:v>0</x:v>
      </x:c>
      <x:c r="S387" s="78" t="n">
        <x:f>Q387+G387+R387</x:f>
        <x:v>1048915.3883672971</x:v>
      </x:c>
      <x:c r="T387" s="78" t="n">
        <x:f>P387*(S387*(1-'Inputs'!$B$15))/(O387+S387*(1-'Inputs'!$B$15))</x:f>
        <x:v>65.80509436405464</x:v>
      </x:c>
      <x:c r="U387" s="78" t="n">
        <x:f>O387+S387*(1-'Inputs'!$B$17)</x:f>
        <x:v>16518445.884222886</x:v>
      </x:c>
      <x:c r="V387" s="78" t="n">
        <x:f>P387-T387</x:f>
        <x:v>980.5719874104138</x:v>
      </x:c>
      <x:c r="W387" s="79" t="n">
        <x:f>IF(U387&gt;0,V387/U387,0)</x:f>
        <x:v>0.000059362242324925905</x:v>
      </x:c>
      <x:c r="X387" s="80" t="n">
        <x:f>W387*('Inputs'!$B$6-AC387)</x:f>
        <x:v>59340.08632576231</x:v>
      </x:c>
      <x:c r="Y387" s="80" t="n">
        <x:f>2*V387</x:f>
        <x:v>1961.1439748208277</x:v>
      </x:c>
      <x:c r="Z387" s="80" t="n">
        <x:f>K387*'Inputs'!$B$16+(G387+R387)*J387*'Inputs'!$B$16</x:f>
        <x:v>6.389932402376972</x:v>
      </x:c>
      <x:c r="AA387" s="80" t="n">
        <x:f>K387*(1+'Inputs'!$E$45)/2*'Inputs'!$B$17</x:f>
        <x:v>2.0001171583214186</x:v>
      </x:c>
      <x:c r="AB387" s="78" t="n">
        <x:f>(IF(J387&gt;0,K387*(1-'Inputs'!$E$45)/2/J387,0)+G387+R387)*'Inputs'!$B$17</x:f>
        <x:v>33798.58085694533</x:v>
      </x:c>
      <x:c r="AC387" s="78" t="n">
        <x:f>AC386+AB387</x:f>
        <x:v>373233.8654310829</x:v>
      </x:c>
      <x:c r="AD387" s="80" t="n">
        <x:f>Z387/(1+'Inputs'!$C$45)</x:f>
        <x:v>4.259954934917981</x:v>
      </x:c>
      <x:c r="AE387" s="80" t="n">
        <x:f>Z387-AD387</x:f>
        <x:v>2.129977467458991</x:v>
      </x:c>
      <x:c r="AF387" s="80" t="n">
        <x:f>D387*W387</x:f>
        <x:v>17.960601161074898</x:v>
      </x:c>
      <x:c r="AG387" s="80" t="n">
        <x:f>C387*W387</x:f>
        <x:v>31.431052031881087</x:v>
      </x:c>
      <x:c r="AH387" s="80" t="n">
        <x:f>2*'Inputs'!$B$8*'Inputs'!$C$45</x:f>
        <x:v>2500</x:v>
      </x:c>
      <x:c r="AI387" s="81" t="n">
        <x:f>IF(AH387&gt;0,(AE387+AF387)/AH387*365,0)</x:f>
        <x:v>2.933224479765948</x:v>
      </x:c>
      <x:c r="AJ387" s="81" t="n">
        <x:f>IF('Inputs'!$B$45&gt;0,AG387/('Inputs'!$B$19*'Inputs'!$B$45)*365,0)</x:f>
        <x:v>1.5296445322182128</x:v>
      </x:c>
      <x:c r="AK387" s="81" t="n">
        <x:f>W387/MAX($W$369:W387)-1</x:f>
        <x:v>-0.9210432766814077</x:v>
      </x:c>
      <x:c r="AL387" s="83" t="n">
        <x:f>'Inputs'!$B$45</x:f>
        <x:v>0.75</x:v>
      </x:c>
      <x:c r="AM387" s="83" t="n">
        <x:f>'Inputs'!$C$45</x:f>
        <x:v>0.5</x:v>
      </x:c>
      <x:c r="AN387" s="83" t="n">
        <x:f>'Inputs'!$D$45</x:f>
        <x:v>0.5</x:v>
      </x:c>
      <x:c r="AO387" s="81" t="n">
        <x:f>'Inputs'!$E$45</x:f>
        <x:v>-0.05</x:v>
      </x:c>
    </x:row>
    <x:row r="388">
      <x:c r="A388" s="59" t="str">
        <x:v>Weak demand</x:v>
      </x:c>
      <x:c r="B388" s="59" t="n">
        <x:v>20</x:v>
      </x:c>
      <x:c r="C388" s="78" t="n">
        <x:f>(('Inputs'!$B$29*(3*20*'Inputs'!$B$12-20^2)/(2*'Inputs'!$B$12^2))-('Inputs'!$B$29*(3*19*'Inputs'!$B$12-19^2)/(2*'Inputs'!$B$12^2)))*'Inputs'!$B$45</x:f>
        <x:v>529235.0229874277</x:v>
      </x:c>
      <x:c r="D388" s="78" t="n">
        <x:f>IF('Inputs'!$C$45&gt;0,('Inputs'!$B$30*(3*20*'Inputs'!$B$12-20^2)/(2*'Inputs'!$B$12^2))-('Inputs'!$B$30*(3*19*'Inputs'!$B$12-19^2)/(2*'Inputs'!$B$12^2)),0)</x:f>
        <x:v>302420.01313567255</x:v>
      </x:c>
      <x:c r="E388" s="78" t="n">
        <x:f>C388+D388</x:f>
        <x:v>831655.0361231002</x:v>
      </x:c>
      <x:c r="F388" s="78" t="n">
        <x:f>'Inputs'!$B$13*E388+(1-'Inputs'!$B$13)/'Inputs'!$B$14*SUM(E369:E388)</x:f>
        <x:v>404986.74536900525</x:v>
      </x:c>
      <x:c r="G388" s="78" t="n">
        <x:f>F388*'Inputs'!$F$45</x:f>
        <x:v>283490.72175830364</x:v>
      </x:c>
      <x:c r="H388" s="78" t="n">
        <x:f>U387</x:f>
        <x:v>16518445.884222886</x:v>
      </x:c>
      <x:c r="I388" s="78" t="n">
        <x:f>V387</x:f>
        <x:v>980.5719874104138</x:v>
      </x:c>
      <x:c r="J388" s="79" t="n">
        <x:f>IF(H388&gt;0,I388/H388,0)</x:f>
        <x:v>0.000059362242324925905</x:v>
      </x:c>
      <x:c r="K388" s="80" t="n">
        <x:f>(H388*J388+I388)*'Inputs'!$D$45*(1+'Inputs'!$G$45)^(B388/30)</x:f>
        <x:v>980.5719874104138</x:v>
      </x:c>
      <x:c r="L388" s="80" t="n">
        <x:f>MAX(0,K388*'Inputs'!$E$45)</x:f>
        <x:v>0</x:v>
      </x:c>
      <x:c r="M388" s="80" t="n">
        <x:f>MAX(0,-K388*'Inputs'!$E$45)</x:f>
        <x:v>49.028599370520695</x:v>
      </x:c>
      <x:c r="N388" s="78" t="n">
        <x:f>H388*(L388*(1-'Inputs'!$B$15))/(I388+L388*(1-'Inputs'!$B$15))</x:f>
        <x:v>0</x:v>
      </x:c>
      <x:c r="O388" s="78" t="n">
        <x:f>H388-N388</x:f>
        <x:v>16518445.884222886</x:v>
      </x:c>
      <x:c r="P388" s="78" t="n">
        <x:f>I388+L388*(1-'Inputs'!$B$17)</x:f>
        <x:v>980.5719874104138</x:v>
      </x:c>
      <x:c r="Q388" s="78" t="n">
        <x:f>IF(J388&gt;0,M388/J388,0)</x:f>
        <x:v>825922.2942111443</x:v>
      </x:c>
      <x:c r="R388" s="78" t="n">
        <x:f>IF(B388='Inputs'!$H$45,'Inputs'!$B$27*'Inputs'!$I$45,0)</x:f>
        <x:v>0</x:v>
      </x:c>
      <x:c r="S388" s="78" t="n">
        <x:f>Q388+G388+R388</x:f>
        <x:v>1109413.015969448</x:v>
      </x:c>
      <x:c r="T388" s="78" t="n">
        <x:f>P388*(S388*(1-'Inputs'!$B$15))/(O388+S388*(1-'Inputs'!$B$15))</x:f>
        <x:v>61.133854412410706</x:v>
      </x:c>
      <x:c r="U388" s="78" t="n">
        <x:f>O388+S388*(1-'Inputs'!$B$17)</x:f>
        <x:v>17623394.46149628</x:v>
      </x:c>
      <x:c r="V388" s="78" t="n">
        <x:f>P388-T388</x:f>
        <x:v>919.4381329980031</x:v>
      </x:c>
      <x:c r="W388" s="79" t="n">
        <x:f>IF(U388&gt;0,V388/U388,0)</x:f>
        <x:v>0.00005217145510797016</x:v>
      </x:c>
      <x:c r="X388" s="80" t="n">
        <x:f>W388*('Inputs'!$B$6-AC388)</x:f>
        <x:v>52150.1027505482</x:v>
      </x:c>
      <x:c r="Y388" s="80" t="n">
        <x:f>2*V388</x:f>
        <x:v>1838.8762659960062</x:v>
      </x:c>
      <x:c r="Z388" s="80" t="n">
        <x:f>K388*'Inputs'!$B$16+(G388+R388)*J388*'Inputs'!$B$16</x:f>
        <x:v>5.984403793993791</x:v>
      </x:c>
      <x:c r="AA388" s="80" t="n">
        <x:f>K388*(1+'Inputs'!$E$45)/2*'Inputs'!$B$17</x:f>
        <x:v>1.8743327727160828</x:v>
      </x:c>
      <x:c r="AB388" s="78" t="n">
        <x:f>(IF(J388&gt;0,K388*(1-'Inputs'!$E$45)/2/J388,0)+G388+R388)*'Inputs'!$B$17</x:f>
        <x:v>36038.93284094696</x:v>
      </x:c>
      <x:c r="AC388" s="78" t="n">
        <x:f>AC387+AB388</x:f>
        <x:v>409272.79827202985</x:v>
      </x:c>
      <x:c r="AD388" s="80" t="n">
        <x:f>Z388/(1+'Inputs'!$C$45)</x:f>
        <x:v>3.989602529329194</x:v>
      </x:c>
      <x:c r="AE388" s="80" t="n">
        <x:f>Z388-AD388</x:f>
        <x:v>1.9948012646645972</x:v>
      </x:c>
      <x:c r="AF388" s="80" t="n">
        <x:f>D388*W388</x:f>
        <x:v>15.777692139059488</x:v>
      </x:c>
      <x:c r="AG388" s="80" t="n">
        <x:f>C388*W388</x:f>
        <x:v>27.61096124335414</x:v>
      </x:c>
      <x:c r="AH388" s="80" t="n">
        <x:f>2*'Inputs'!$B$8*'Inputs'!$C$45</x:f>
        <x:v>2500</x:v>
      </x:c>
      <x:c r="AI388" s="81" t="n">
        <x:f>IF(AH388&gt;0,(AE388+AF388)/AH388*365,0)</x:f>
        <x:v>2.5947840369437163</x:v>
      </x:c>
      <x:c r="AJ388" s="81" t="n">
        <x:f>IF('Inputs'!$B$45&gt;0,AG388/('Inputs'!$B$19*'Inputs'!$B$45)*365,0)</x:f>
        <x:v>1.343733447176568</x:v>
      </x:c>
      <x:c r="AK388" s="81" t="n">
        <x:f>W388/MAX($W$369:W388)-1</x:f>
        <x:v>-0.9306076222063685</x:v>
      </x:c>
      <x:c r="AL388" s="83" t="n">
        <x:f>'Inputs'!$B$45</x:f>
        <x:v>0.75</x:v>
      </x:c>
      <x:c r="AM388" s="83" t="n">
        <x:f>'Inputs'!$C$45</x:f>
        <x:v>0.5</x:v>
      </x:c>
      <x:c r="AN388" s="83" t="n">
        <x:f>'Inputs'!$D$45</x:f>
        <x:v>0.5</x:v>
      </x:c>
      <x:c r="AO388" s="81" t="n">
        <x:f>'Inputs'!$E$45</x:f>
        <x:v>-0.05</x:v>
      </x:c>
    </x:row>
    <x:row r="389">
      <x:c r="A389" s="59" t="str">
        <x:v>Weak demand</x:v>
      </x:c>
      <x:c r="B389" s="59" t="n">
        <x:v>21</x:v>
      </x:c>
      <x:c r="C389" s="78" t="n">
        <x:f>(('Inputs'!$B$29*(3*21*'Inputs'!$B$12-21^2)/(2*'Inputs'!$B$12^2))-('Inputs'!$B$29*(3*20*'Inputs'!$B$12-20^2)/(2*'Inputs'!$B$12^2)))*'Inputs'!$B$45</x:f>
        <x:v>528991.1920623011</x:v>
      </x:c>
      <x:c r="D389" s="78" t="n">
        <x:f>IF('Inputs'!$C$45&gt;0,('Inputs'!$B$30*(3*21*'Inputs'!$B$12-21^2)/(2*'Inputs'!$B$12^2))-('Inputs'!$B$30*(3*20*'Inputs'!$B$12-20^2)/(2*'Inputs'!$B$12^2)),0)</x:f>
        <x:v>302280.6811784571</x:v>
      </x:c>
      <x:c r="E389" s="78" t="n">
        <x:f>C389+D389</x:f>
        <x:v>831271.8732407582</x:v>
      </x:c>
      <x:c r="F389" s="78" t="n">
        <x:f>'Inputs'!$B$13*E389+(1-'Inputs'!$B$13)/'Inputs'!$B$14*SUM(E369:E389)</x:f>
        <x:v>416785.4252674048</x:v>
      </x:c>
      <x:c r="G389" s="78" t="n">
        <x:f>F389*'Inputs'!$F$45</x:f>
        <x:v>291749.79768718337</x:v>
      </x:c>
      <x:c r="H389" s="78" t="n">
        <x:f>U388</x:f>
        <x:v>17623394.46149628</x:v>
      </x:c>
      <x:c r="I389" s="78" t="n">
        <x:f>V388</x:f>
        <x:v>919.4381329980031</x:v>
      </x:c>
      <x:c r="J389" s="79" t="n">
        <x:f>IF(H389&gt;0,I389/H389,0)</x:f>
        <x:v>0.00005217145510797016</x:v>
      </x:c>
      <x:c r="K389" s="80" t="n">
        <x:f>(H389*J389+I389)*'Inputs'!$D$45*(1+'Inputs'!$G$45)^(B389/30)</x:f>
        <x:v>919.4381329980031</x:v>
      </x:c>
      <x:c r="L389" s="80" t="n">
        <x:f>MAX(0,K389*'Inputs'!$E$45)</x:f>
        <x:v>0</x:v>
      </x:c>
      <x:c r="M389" s="80" t="n">
        <x:f>MAX(0,-K389*'Inputs'!$E$45)</x:f>
        <x:v>45.971906649900156</x:v>
      </x:c>
      <x:c r="N389" s="78" t="n">
        <x:f>H389*(L389*(1-'Inputs'!$B$15))/(I389+L389*(1-'Inputs'!$B$15))</x:f>
        <x:v>0</x:v>
      </x:c>
      <x:c r="O389" s="78" t="n">
        <x:f>H389-N389</x:f>
        <x:v>17623394.46149628</x:v>
      </x:c>
      <x:c r="P389" s="78" t="n">
        <x:f>I389+L389*(1-'Inputs'!$B$17)</x:f>
        <x:v>919.4381329980031</x:v>
      </x:c>
      <x:c r="Q389" s="78" t="n">
        <x:f>IF(J389&gt;0,M389/J389,0)</x:f>
        <x:v>881169.723074814</x:v>
      </x:c>
      <x:c r="R389" s="78" t="n">
        <x:f>IF(B389='Inputs'!$H$45,'Inputs'!$B$27*'Inputs'!$I$45,0)</x:f>
        <x:v>0</x:v>
      </x:c>
      <x:c r="S389" s="78" t="n">
        <x:f>Q389+G389+R389</x:f>
        <x:v>1172919.5207619974</x:v>
      </x:c>
      <x:c r="T389" s="78" t="n">
        <x:f>P389*(S389*(1-'Inputs'!$B$15))/(O389+S389*(1-'Inputs'!$B$15))</x:f>
        <x:v>56.836106684617825</x:v>
      </x:c>
      <x:c r="U389" s="78" t="n">
        <x:f>O389+S389*(1-'Inputs'!$B$17)</x:f>
        <x:v>18791593.9841868</x:v>
      </x:c>
      <x:c r="V389" s="78" t="n">
        <x:f>P389-T389</x:f>
        <x:v>862.6020263133853</x:v>
      </x:c>
      <x:c r="W389" s="79" t="n">
        <x:f>IF(U389&gt;0,V389/U389,0)</x:f>
        <x:v>0.000045903611318936984</x:v>
      </x:c>
      <x:c r="X389" s="80" t="n">
        <x:f>W389*('Inputs'!$B$6-AC389)</x:f>
        <x:v>45883.06121935979</x:v>
      </x:c>
      <x:c r="Y389" s="80" t="n">
        <x:f>2*V389</x:f>
        <x:v>1725.2040526267706</x:v>
      </x:c>
      <x:c r="Z389" s="80" t="n">
        <x:f>K389*'Inputs'!$B$16+(G389+R389)*J389*'Inputs'!$B$16</x:f>
        <x:v>5.607954866824796</x:v>
      </x:c>
      <x:c r="AA389" s="80" t="n">
        <x:f>K389*(1+'Inputs'!$E$45)/2*'Inputs'!$B$17</x:f>
        <x:v>1.7574773165957804</x:v>
      </x:c>
      <x:c r="AB389" s="78" t="n">
        <x:f>(IF(J389&gt;0,K389*(1-'Inputs'!$E$45)/2/J389,0)+G389+R389)*'Inputs'!$B$17</x:f>
        <x:v>38406.566961660894</x:v>
      </x:c>
      <x:c r="AC389" s="78" t="n">
        <x:f>AC388+AB389</x:f>
        <x:v>447679.3652336907</x:v>
      </x:c>
      <x:c r="AD389" s="80" t="n">
        <x:f>Z389/(1+'Inputs'!$C$45)</x:f>
        <x:v>3.7386365778831974</x:v>
      </x:c>
      <x:c r="AE389" s="80" t="n">
        <x:f>Z389-AD389</x:f>
        <x:v>1.869318288941599</x:v>
      </x:c>
      <x:c r="AF389" s="80" t="n">
        <x:f>D389*W389</x:f>
        <x:v>13.875774898039404</x:v>
      </x:c>
      <x:c r="AG389" s="80" t="n">
        <x:f>C389*W389</x:f>
        <x:v>24.282606071569013</x:v>
      </x:c>
      <x:c r="AH389" s="80" t="n">
        <x:f>2*'Inputs'!$B$8*'Inputs'!$C$45</x:f>
        <x:v>2500</x:v>
      </x:c>
      <x:c r="AI389" s="81" t="n">
        <x:f>IF(AH389&gt;0,(AE389+AF389)/AH389*365,0)</x:f>
        <x:v>2.2987836052992265</x:v>
      </x:c>
      <x:c r="AJ389" s="81" t="n">
        <x:f>IF('Inputs'!$B$45&gt;0,AG389/('Inputs'!$B$19*'Inputs'!$B$45)*365,0)</x:f>
        <x:v>1.1817534954830253</x:v>
      </x:c>
      <x:c r="AK389" s="81" t="n">
        <x:f>W389/MAX($W$369:W389)-1</x:f>
        <x:v>-0.9389443761508375</x:v>
      </x:c>
      <x:c r="AL389" s="83" t="n">
        <x:f>'Inputs'!$B$45</x:f>
        <x:v>0.75</x:v>
      </x:c>
      <x:c r="AM389" s="83" t="n">
        <x:f>'Inputs'!$C$45</x:f>
        <x:v>0.5</x:v>
      </x:c>
      <x:c r="AN389" s="83" t="n">
        <x:f>'Inputs'!$D$45</x:f>
        <x:v>0.5</x:v>
      </x:c>
      <x:c r="AO389" s="81" t="n">
        <x:f>'Inputs'!$E$45</x:f>
        <x:v>-0.05</x:v>
      </x:c>
    </x:row>
    <x:row r="390">
      <x:c r="A390" s="59" t="str">
        <x:v>Weak demand</x:v>
      </x:c>
      <x:c r="B390" s="59" t="n">
        <x:v>22</x:v>
      </x:c>
      <x:c r="C390" s="78" t="n">
        <x:f>(('Inputs'!$B$29*(3*22*'Inputs'!$B$12-22^2)/(2*'Inputs'!$B$12^2))-('Inputs'!$B$29*(3*21*'Inputs'!$B$12-21^2)/(2*'Inputs'!$B$12^2)))*'Inputs'!$B$45</x:f>
        <x:v>528747.3611371731</x:v>
      </x:c>
      <x:c r="D390" s="78" t="n">
        <x:f>IF('Inputs'!$C$45&gt;0,('Inputs'!$B$30*(3*22*'Inputs'!$B$12-22^2)/(2*'Inputs'!$B$12^2))-('Inputs'!$B$30*(3*21*'Inputs'!$B$12-21^2)/(2*'Inputs'!$B$12^2)),0)</x:f>
        <x:v>302141.3492212426</x:v>
      </x:c>
      <x:c r="E390" s="78" t="n">
        <x:f>C390+D390</x:f>
        <x:v>830888.7103584157</x:v>
      </x:c>
      <x:c r="F390" s="78" t="n">
        <x:f>'Inputs'!$B$13*E390+(1-'Inputs'!$B$13)/'Inputs'!$B$14*SUM(E369:E390)</x:f>
        <x:v>428578.63141034223</x:v>
      </x:c>
      <x:c r="G390" s="78" t="n">
        <x:f>F390*'Inputs'!$F$45</x:f>
        <x:v>300005.04198723956</x:v>
      </x:c>
      <x:c r="H390" s="78" t="n">
        <x:f>U389</x:f>
        <x:v>18791593.9841868</x:v>
      </x:c>
      <x:c r="I390" s="78" t="n">
        <x:f>V389</x:f>
        <x:v>862.6020263133853</x:v>
      </x:c>
      <x:c r="J390" s="79" t="n">
        <x:f>IF(H390&gt;0,I390/H390,0)</x:f>
        <x:v>0.000045903611318936984</x:v>
      </x:c>
      <x:c r="K390" s="80" t="n">
        <x:f>(H390*J390+I390)*'Inputs'!$D$45*(1+'Inputs'!$G$45)^(B390/30)</x:f>
        <x:v>862.6020263133853</x:v>
      </x:c>
      <x:c r="L390" s="80" t="n">
        <x:f>MAX(0,K390*'Inputs'!$E$45)</x:f>
        <x:v>0</x:v>
      </x:c>
      <x:c r="M390" s="80" t="n">
        <x:f>MAX(0,-K390*'Inputs'!$E$45)</x:f>
        <x:v>43.130101315669265</x:v>
      </x:c>
      <x:c r="N390" s="78" t="n">
        <x:f>H390*(L390*(1-'Inputs'!$B$15))/(I390+L390*(1-'Inputs'!$B$15))</x:f>
        <x:v>0</x:v>
      </x:c>
      <x:c r="O390" s="78" t="n">
        <x:f>H390-N390</x:f>
        <x:v>18791593.9841868</x:v>
      </x:c>
      <x:c r="P390" s="78" t="n">
        <x:f>I390+L390*(1-'Inputs'!$B$17)</x:f>
        <x:v>862.6020263133853</x:v>
      </x:c>
      <x:c r="Q390" s="78" t="n">
        <x:f>IF(J390&gt;0,M390/J390,0)</x:f>
        <x:v>939579.6992093399</x:v>
      </x:c>
      <x:c r="R390" s="78" t="n">
        <x:f>IF(B390='Inputs'!$H$45,'Inputs'!$B$27*'Inputs'!$I$45,0)</x:f>
        <x:v>0</x:v>
      </x:c>
      <x:c r="S390" s="78" t="n">
        <x:f>Q390+G390+R390</x:f>
        <x:v>1239584.7411965795</x:v>
      </x:c>
      <x:c r="T390" s="78" t="n">
        <x:f>P390*(S390*(1-'Inputs'!$B$15))/(O390+S390*(1-'Inputs'!$B$15))</x:f>
        <x:v>52.87912021927877</x:v>
      </x:c>
      <x:c r="U390" s="78" t="n">
        <x:f>O390+S390*(1-'Inputs'!$B$17)</x:f>
        <x:v>20026190.456807133</x:v>
      </x:c>
      <x:c r="V390" s="78" t="n">
        <x:f>P390-T390</x:f>
        <x:v>809.7229060941065</x:v>
      </x:c>
      <x:c r="W390" s="79" t="n">
        <x:f>IF(U390&gt;0,V390/U390,0)</x:f>
        <x:v>0.000040433197109581685</x:v>
      </x:c>
      <x:c r="X390" s="80" t="n">
        <x:f>W390*('Inputs'!$B$6-AC390)</x:f>
        <x:v>40413.441967841485</x:v>
      </x:c>
      <x:c r="Y390" s="80" t="n">
        <x:f>2*V390</x:f>
        <x:v>1619.445812188213</x:v>
      </x:c>
      <x:c r="Z390" s="80" t="n">
        <x:f>K390*'Inputs'!$B$16+(G390+R390)*J390*'Inputs'!$B$16</x:f>
        <x:v>5.258240046926933</x:v>
      </x:c>
      <x:c r="AA390" s="80" t="n">
        <x:f>K390*(1+'Inputs'!$E$45)/2*'Inputs'!$B$17</x:f>
        <x:v>1.6488368712227688</x:v>
      </x:c>
      <x:c r="AB390" s="78" t="n">
        <x:f>(IF(J390&gt;0,K390*(1-'Inputs'!$E$45)/2/J390,0)+G390+R390)*'Inputs'!$B$17</x:f>
        <x:v>40907.814421268864</x:v>
      </x:c>
      <x:c r="AC390" s="78" t="n">
        <x:f>AC389+AB390</x:f>
        <x:v>488587.1796549596</x:v>
      </x:c>
      <x:c r="AD390" s="80" t="n">
        <x:f>Z390/(1+'Inputs'!$C$45)</x:f>
        <x:v>3.5054933646179554</x:v>
      </x:c>
      <x:c r="AE390" s="80" t="n">
        <x:f>Z390-AD390</x:f>
        <x:v>1.752746682308978</x:v>
      </x:c>
      <x:c r="AF390" s="80" t="n">
        <x:f>D390*W390</x:f>
        <x:v>12.216540728017456</x:v>
      </x:c>
      <x:c r="AG390" s="80" t="n">
        <x:f>C390*W390</x:f>
        <x:v>21.378946274030493</x:v>
      </x:c>
      <x:c r="AH390" s="80" t="n">
        <x:f>2*'Inputs'!$B$8*'Inputs'!$C$45</x:f>
        <x:v>2500</x:v>
      </x:c>
      <x:c r="AI390" s="81" t="n">
        <x:f>IF(AH390&gt;0,(AE390+AF390)/AH390*365,0)</x:f>
        <x:v>2.0395159619076595</x:v>
      </x:c>
      <x:c r="AJ390" s="81" t="n">
        <x:f>IF('Inputs'!$B$45&gt;0,AG390/('Inputs'!$B$19*'Inputs'!$B$45)*365,0)</x:f>
        <x:v>1.0404420520028173</x:v>
      </x:c>
      <x:c r="AK390" s="81" t="n">
        <x:f>W390/MAX($W$369:W390)-1</x:f>
        <x:v>-0.9462204823801468</x:v>
      </x:c>
      <x:c r="AL390" s="83" t="n">
        <x:f>'Inputs'!$B$45</x:f>
        <x:v>0.75</x:v>
      </x:c>
      <x:c r="AM390" s="83" t="n">
        <x:f>'Inputs'!$C$45</x:f>
        <x:v>0.5</x:v>
      </x:c>
      <x:c r="AN390" s="83" t="n">
        <x:f>'Inputs'!$D$45</x:f>
        <x:v>0.5</x:v>
      </x:c>
      <x:c r="AO390" s="81" t="n">
        <x:f>'Inputs'!$E$45</x:f>
        <x:v>-0.05</x:v>
      </x:c>
    </x:row>
    <x:row r="391">
      <x:c r="A391" s="59" t="str">
        <x:v>Weak demand</x:v>
      </x:c>
      <x:c r="B391" s="59" t="n">
        <x:v>23</x:v>
      </x:c>
      <x:c r="C391" s="78" t="n">
        <x:f>(('Inputs'!$B$29*(3*23*'Inputs'!$B$12-23^2)/(2*'Inputs'!$B$12^2))-('Inputs'!$B$29*(3*22*'Inputs'!$B$12-22^2)/(2*'Inputs'!$B$12^2)))*'Inputs'!$B$45</x:f>
        <x:v>528503.530212048</x:v>
      </x:c>
      <x:c r="D391" s="78" t="n">
        <x:f>IF('Inputs'!$C$45&gt;0,('Inputs'!$B$30*(3*23*'Inputs'!$B$12-23^2)/(2*'Inputs'!$B$12^2))-('Inputs'!$B$30*(3*22*'Inputs'!$B$12-22^2)/(2*'Inputs'!$B$12^2)),0)</x:f>
        <x:v>302002.01726402715</x:v>
      </x:c>
      <x:c r="E391" s="78" t="n">
        <x:f>C391+D391</x:f>
        <x:v>830505.5474760751</x:v>
      </x:c>
      <x:c r="F391" s="78" t="n">
        <x:f>'Inputs'!$B$13*E391+(1-'Inputs'!$B$13)/'Inputs'!$B$14*SUM(E369:E391)</x:f>
        <x:v>440366.3637978181</x:v>
      </x:c>
      <x:c r="G391" s="78" t="n">
        <x:f>F391*'Inputs'!$F$45</x:f>
        <x:v>308256.4546584726</x:v>
      </x:c>
      <x:c r="H391" s="78" t="n">
        <x:f>U390</x:f>
        <x:v>20026190.456807133</x:v>
      </x:c>
      <x:c r="I391" s="78" t="n">
        <x:f>V390</x:f>
        <x:v>809.7229060941065</x:v>
      </x:c>
      <x:c r="J391" s="79" t="n">
        <x:f>IF(H391&gt;0,I391/H391,0)</x:f>
        <x:v>0.000040433197109581685</x:v>
      </x:c>
      <x:c r="K391" s="80" t="n">
        <x:f>(H391*J391+I391)*'Inputs'!$D$45*(1+'Inputs'!$G$45)^(B391/30)</x:f>
        <x:v>809.7229060941065</x:v>
      </x:c>
      <x:c r="L391" s="80" t="n">
        <x:f>MAX(0,K391*'Inputs'!$E$45)</x:f>
        <x:v>0</x:v>
      </x:c>
      <x:c r="M391" s="80" t="n">
        <x:f>MAX(0,-K391*'Inputs'!$E$45)</x:f>
        <x:v>40.48614530470533</x:v>
      </x:c>
      <x:c r="N391" s="78" t="n">
        <x:f>H391*(L391*(1-'Inputs'!$B$15))/(I391+L391*(1-'Inputs'!$B$15))</x:f>
        <x:v>0</x:v>
      </x:c>
      <x:c r="O391" s="78" t="n">
        <x:f>H391-N391</x:f>
        <x:v>20026190.456807133</x:v>
      </x:c>
      <x:c r="P391" s="78" t="n">
        <x:f>I391+L391*(1-'Inputs'!$B$17)</x:f>
        <x:v>809.7229060941065</x:v>
      </x:c>
      <x:c r="Q391" s="78" t="n">
        <x:f>IF(J391&gt;0,M391/J391,0)</x:f>
        <x:v>1001309.5228403568</x:v>
      </x:c>
      <x:c r="R391" s="78" t="n">
        <x:f>IF(B391='Inputs'!$H$45,'Inputs'!$B$27*'Inputs'!$I$45,0)</x:f>
        <x:v>0</x:v>
      </x:c>
      <x:c r="S391" s="78" t="n">
        <x:f>Q391+G391+R391</x:f>
        <x:v>1309565.9774988294</x:v>
      </x:c>
      <x:c r="T391" s="78" t="n">
        <x:f>P391*(S391*(1-'Inputs'!$B$15))/(O391+S391*(1-'Inputs'!$B$15))</x:f>
        <x:v>49.23314798432748</x:v>
      </x:c>
      <x:c r="U391" s="78" t="n">
        <x:f>O391+S391*(1-'Inputs'!$B$17)</x:f>
        <x:v>21330486.55109671</x:v>
      </x:c>
      <x:c r="V391" s="78" t="n">
        <x:f>P391-T391</x:f>
        <x:v>760.489758109779</x:v>
      </x:c>
      <x:c r="W391" s="79" t="n">
        <x:f>IF(U391&gt;0,V391/U391,0)</x:f>
        <x:v>0.00003565271501369847</x:v>
      </x:c>
      <x:c r="X391" s="80" t="n">
        <x:f>W391*('Inputs'!$B$6-AC391)</x:f>
        <x:v>35633.74290266698</x:v>
      </x:c>
      <x:c r="Y391" s="80" t="n">
        <x:f>2*V391</x:f>
        <x:v>1520.979516219558</x:v>
      </x:c>
      <x:c r="Z391" s="80" t="n">
        <x:f>K391*'Inputs'!$B$16+(G391+R391)*J391*'Inputs'!$B$16</x:f>
        <x:v>4.93312020051368</x:v>
      </x:c>
      <x:c r="AA391" s="80" t="n">
        <x:f>K391*(1+'Inputs'!$E$45)/2*'Inputs'!$B$17</x:f>
        <x:v>1.5477600820712298</x:v>
      </x:c>
      <x:c r="AB391" s="78" t="n">
        <x:f>(IF(J391&gt;0,K391*(1-'Inputs'!$E$45)/2/J391,0)+G391+R391)*'Inputs'!$B$17</x:f>
        <x:v>43549.321708177944</x:v>
      </x:c>
      <x:c r="AC391" s="78" t="n">
        <x:f>AC390+AB391</x:f>
        <x:v>532136.5013631375</x:v>
      </x:c>
      <x:c r="AD391" s="80" t="n">
        <x:f>Z391/(1+'Inputs'!$C$45)</x:f>
        <x:v>3.2887468003424534</x:v>
      </x:c>
      <x:c r="AE391" s="80" t="n">
        <x:f>Z391-AD391</x:f>
        <x:v>1.6443734001712267</x:v>
      </x:c>
      <x:c r="AF391" s="80" t="n">
        <x:f>D391*W391</x:f>
        <x:v>10.767191855076405</x:v>
      </x:c>
      <x:c r="AG391" s="80" t="n">
        <x:f>C391*W391</x:f>
        <x:v>18.842585746383723</x:v>
      </x:c>
      <x:c r="AH391" s="80" t="n">
        <x:f>2*'Inputs'!$B$8*'Inputs'!$C$45</x:f>
        <x:v>2500</x:v>
      </x:c>
      <x:c r="AI391" s="81" t="n">
        <x:f>IF(AH391&gt;0,(AE391+AF391)/AH391*365,0)</x:f>
        <x:v>1.812088527266154</x:v>
      </x:c>
      <x:c r="AJ391" s="81" t="n">
        <x:f>IF('Inputs'!$B$45&gt;0,AG391/('Inputs'!$B$19*'Inputs'!$B$45)*365,0)</x:f>
        <x:v>0.9170058396573411</x:v>
      </x:c>
      <x:c r="AK391" s="81" t="n">
        <x:f>W391/MAX($W$369:W391)-1</x:f>
        <x:v>-0.9525789214719202</x:v>
      </x:c>
      <x:c r="AL391" s="83" t="n">
        <x:f>'Inputs'!$B$45</x:f>
        <x:v>0.75</x:v>
      </x:c>
      <x:c r="AM391" s="83" t="n">
        <x:f>'Inputs'!$C$45</x:f>
        <x:v>0.5</x:v>
      </x:c>
      <x:c r="AN391" s="83" t="n">
        <x:f>'Inputs'!$D$45</x:f>
        <x:v>0.5</x:v>
      </x:c>
      <x:c r="AO391" s="81" t="n">
        <x:f>'Inputs'!$E$45</x:f>
        <x:v>-0.05</x:v>
      </x:c>
    </x:row>
    <x:row r="392">
      <x:c r="A392" s="59" t="str">
        <x:v>Weak demand</x:v>
      </x:c>
      <x:c r="B392" s="59" t="n">
        <x:v>24</x:v>
      </x:c>
      <x:c r="C392" s="78" t="n">
        <x:f>(('Inputs'!$B$29*(3*24*'Inputs'!$B$12-24^2)/(2*'Inputs'!$B$12^2))-('Inputs'!$B$29*(3*23*'Inputs'!$B$12-23^2)/(2*'Inputs'!$B$12^2)))*'Inputs'!$B$45</x:f>
        <x:v>528259.6992869214</x:v>
      </x:c>
      <x:c r="D392" s="78" t="n">
        <x:f>IF('Inputs'!$C$45&gt;0,('Inputs'!$B$30*(3*24*'Inputs'!$B$12-24^2)/(2*'Inputs'!$B$12^2))-('Inputs'!$B$30*(3*23*'Inputs'!$B$12-23^2)/(2*'Inputs'!$B$12^2)),0)</x:f>
        <x:v>301862.6853068117</x:v>
      </x:c>
      <x:c r="E392" s="78" t="n">
        <x:f>C392+D392</x:f>
        <x:v>830122.3845937331</x:v>
      </x:c>
      <x:c r="F392" s="78" t="n">
        <x:f>'Inputs'!$B$13*E392+(1-'Inputs'!$B$13)/'Inputs'!$B$14*SUM(E369:E392)</x:f>
        <x:v>452148.62242983154</x:v>
      </x:c>
      <x:c r="G392" s="78" t="n">
        <x:f>F392*'Inputs'!$F$45</x:f>
        <x:v>316504.035700882</x:v>
      </x:c>
      <x:c r="H392" s="78" t="n">
        <x:f>U391</x:f>
        <x:v>21330486.55109671</x:v>
      </x:c>
      <x:c r="I392" s="78" t="n">
        <x:f>V391</x:f>
        <x:v>760.489758109779</x:v>
      </x:c>
      <x:c r="J392" s="79" t="n">
        <x:f>IF(H392&gt;0,I392/H392,0)</x:f>
        <x:v>0.00003565271501369847</x:v>
      </x:c>
      <x:c r="K392" s="80" t="n">
        <x:f>(H392*J392+I392)*'Inputs'!$D$45*(1+'Inputs'!$G$45)^(B392/30)</x:f>
        <x:v>760.4897581097789</x:v>
      </x:c>
      <x:c r="L392" s="80" t="n">
        <x:f>MAX(0,K392*'Inputs'!$E$45)</x:f>
        <x:v>0</x:v>
      </x:c>
      <x:c r="M392" s="80" t="n">
        <x:f>MAX(0,-K392*'Inputs'!$E$45)</x:f>
        <x:v>38.02448790548895</x:v>
      </x:c>
      <x:c r="N392" s="78" t="n">
        <x:f>H392*(L392*(1-'Inputs'!$B$15))/(I392+L392*(1-'Inputs'!$B$15))</x:f>
        <x:v>0</x:v>
      </x:c>
      <x:c r="O392" s="78" t="n">
        <x:f>H392-N392</x:f>
        <x:v>21330486.55109671</x:v>
      </x:c>
      <x:c r="P392" s="78" t="n">
        <x:f>I392+L392*(1-'Inputs'!$B$17)</x:f>
        <x:v>760.489758109779</x:v>
      </x:c>
      <x:c r="Q392" s="78" t="n">
        <x:f>IF(J392&gt;0,M392/J392,0)</x:f>
        <x:v>1066524.3275548355</x:v>
      </x:c>
      <x:c r="R392" s="78" t="n">
        <x:f>IF(B392='Inputs'!$H$45,'Inputs'!$B$27*'Inputs'!$I$45,0)</x:f>
        <x:v>0</x:v>
      </x:c>
      <x:c r="S392" s="78" t="n">
        <x:f>Q392+G392+R392</x:f>
        <x:v>1383028.3632557176</x:v>
      </x:c>
      <x:c r="T392" s="78" t="n">
        <x:f>P392*(S392*(1-'Inputs'!$B$15))/(O392+S392*(1-'Inputs'!$B$15))</x:f>
        <x:v>45.87117104560276</x:v>
      </x:c>
      <x:c r="U392" s="78" t="n">
        <x:f>O392+S392*(1-'Inputs'!$B$17)</x:f>
        <x:v>22707949.407860454</x:v>
      </x:c>
      <x:c r="V392" s="78" t="n">
        <x:f>P392-T392</x:f>
        <x:v>714.6185870641763</x:v>
      </x:c>
      <x:c r="W392" s="79" t="n">
        <x:f>IF(U392&gt;0,V392/U392,0)</x:f>
        <x:v>0.00003146997442300131</x:v>
      </x:c>
      <x:c r="X392" s="80" t="n">
        <x:f>W392*('Inputs'!$B$6-AC392)</x:f>
        <x:v>31451.769843152662</x:v>
      </x:c>
      <x:c r="Y392" s="80" t="n">
        <x:f>2*V392</x:f>
        <x:v>1429.2371741283525</x:v>
      </x:c>
      <x:c r="Z392" s="80" t="n">
        <x:f>K392*'Inputs'!$B$16+(G392+R392)*J392*'Inputs'!$B$16</x:f>
        <x:v>4.630643917771847</x:v>
      </x:c>
      <x:c r="AA392" s="80" t="n">
        <x:f>K392*(1+'Inputs'!$E$45)/2*'Inputs'!$B$17</x:f>
        <x:v>1.4536524551394165</x:v>
      </x:c>
      <x:c r="AB392" s="78" t="n">
        <x:f>(IF(J392&gt;0,K392*(1-'Inputs'!$E$45)/2/J392,0)+G392+R392)*'Inputs'!$B$17</x:f>
        <x:v>46338.06629789399</x:v>
      </x:c>
      <x:c r="AC392" s="78" t="n">
        <x:f>AC391+AB392</x:f>
        <x:v>578474.5676610315</x:v>
      </x:c>
      <x:c r="AD392" s="80" t="n">
        <x:f>Z392/(1+'Inputs'!$C$45)</x:f>
        <x:v>3.087095945181231</x:v>
      </x:c>
      <x:c r="AE392" s="80" t="n">
        <x:f>Z392-AD392</x:f>
        <x:v>1.5435479725906158</x:v>
      </x:c>
      <x:c r="AF392" s="80" t="n">
        <x:f>D392*W392</x:f>
        <x:v>9.499610985863859</x:v>
      </x:c>
      <x:c r="AG392" s="80" t="n">
        <x:f>C392*W392</x:f>
        <x:v>16.624319225261782</x:v>
      </x:c>
      <x:c r="AH392" s="80" t="n">
        <x:f>2*'Inputs'!$B$8*'Inputs'!$C$45</x:f>
        <x:v>2500</x:v>
      </x:c>
      <x:c r="AI392" s="81" t="n">
        <x:f>IF(AH392&gt;0,(AE392+AF392)/AH392*365,0)</x:f>
        <x:v>1.6123012079343535</x:v>
      </x:c>
      <x:c r="AJ392" s="81" t="n">
        <x:f>IF('Inputs'!$B$45&gt;0,AG392/('Inputs'!$B$19*'Inputs'!$B$45)*365,0)</x:f>
        <x:v>0.8090502022960734</x:v>
      </x:c>
      <x:c r="AK392" s="81" t="n">
        <x:f>W392/MAX($W$369:W392)-1</x:f>
        <x:v>-0.9581423146086793</x:v>
      </x:c>
      <x:c r="AL392" s="83" t="n">
        <x:f>'Inputs'!$B$45</x:f>
        <x:v>0.75</x:v>
      </x:c>
      <x:c r="AM392" s="83" t="n">
        <x:f>'Inputs'!$C$45</x:f>
        <x:v>0.5</x:v>
      </x:c>
      <x:c r="AN392" s="83" t="n">
        <x:f>'Inputs'!$D$45</x:f>
        <x:v>0.5</x:v>
      </x:c>
      <x:c r="AO392" s="81" t="n">
        <x:f>'Inputs'!$E$45</x:f>
        <x:v>-0.05</x:v>
      </x:c>
    </x:row>
    <x:row r="393">
      <x:c r="A393" s="59" t="str">
        <x:v>Weak demand</x:v>
      </x:c>
      <x:c r="B393" s="59" t="n">
        <x:v>25</x:v>
      </x:c>
      <x:c r="C393" s="78" t="n">
        <x:f>(('Inputs'!$B$29*(3*25*'Inputs'!$B$12-25^2)/(2*'Inputs'!$B$12^2))-('Inputs'!$B$29*(3*24*'Inputs'!$B$12-24^2)/(2*'Inputs'!$B$12^2)))*'Inputs'!$B$45</x:f>
        <x:v>528015.8683617935</x:v>
      </x:c>
      <x:c r="D393" s="78" t="n">
        <x:f>IF('Inputs'!$C$45&gt;0,('Inputs'!$B$30*(3*25*'Inputs'!$B$12-25^2)/(2*'Inputs'!$B$12^2))-('Inputs'!$B$30*(3*24*'Inputs'!$B$12-24^2)/(2*'Inputs'!$B$12^2)),0)</x:f>
        <x:v>301723.35334959626</x:v>
      </x:c>
      <x:c r="E393" s="78" t="n">
        <x:f>C393+D393</x:f>
        <x:v>829739.2217113897</x:v>
      </x:c>
      <x:c r="F393" s="78" t="n">
        <x:f>'Inputs'!$B$13*E393+(1-'Inputs'!$B$13)/'Inputs'!$B$14*SUM(E369:E393)</x:f>
        <x:v>463925.4073063827</x:v>
      </x:c>
      <x:c r="G393" s="78" t="n">
        <x:f>F393*'Inputs'!$F$45</x:f>
        <x:v>324747.7851144679</x:v>
      </x:c>
      <x:c r="H393" s="78" t="n">
        <x:f>U392</x:f>
        <x:v>22707949.407860454</x:v>
      </x:c>
      <x:c r="I393" s="78" t="n">
        <x:f>V392</x:f>
        <x:v>714.6185870641763</x:v>
      </x:c>
      <x:c r="J393" s="79" t="n">
        <x:f>IF(H393&gt;0,I393/H393,0)</x:f>
        <x:v>0.00003146997442300131</x:v>
      </x:c>
      <x:c r="K393" s="80" t="n">
        <x:f>(H393*J393+I393)*'Inputs'!$D$45*(1+'Inputs'!$G$45)^(B393/30)</x:f>
        <x:v>714.6185870641763</x:v>
      </x:c>
      <x:c r="L393" s="80" t="n">
        <x:f>MAX(0,K393*'Inputs'!$E$45)</x:f>
        <x:v>0</x:v>
      </x:c>
      <x:c r="M393" s="80" t="n">
        <x:f>MAX(0,-K393*'Inputs'!$E$45)</x:f>
        <x:v>35.730929353208815</x:v>
      </x:c>
      <x:c r="N393" s="78" t="n">
        <x:f>H393*(L393*(1-'Inputs'!$B$15))/(I393+L393*(1-'Inputs'!$B$15))</x:f>
        <x:v>0</x:v>
      </x:c>
      <x:c r="O393" s="78" t="n">
        <x:f>H393-N393</x:f>
        <x:v>22707949.407860454</x:v>
      </x:c>
      <x:c r="P393" s="78" t="n">
        <x:f>I393+L393*(1-'Inputs'!$B$17)</x:f>
        <x:v>714.6185870641763</x:v>
      </x:c>
      <x:c r="Q393" s="78" t="n">
        <x:f>IF(J393&gt;0,M393/J393,0)</x:f>
        <x:v>1135397.4703930228</x:v>
      </x:c>
      <x:c r="R393" s="78" t="n">
        <x:f>IF(B393='Inputs'!$H$45,'Inputs'!$B$27*'Inputs'!$I$45,0)</x:f>
        <x:v>0</x:v>
      </x:c>
      <x:c r="S393" s="78" t="n">
        <x:f>Q393+G393+R393</x:f>
        <x:v>1460145.2555074906</x:v>
      </x:c>
      <x:c r="T393" s="78" t="n">
        <x:f>P393*(S393*(1-'Inputs'!$B$15))/(O393+S393*(1-'Inputs'!$B$15))</x:f>
        <x:v>42.768657145740704</x:v>
      </x:c>
      <x:c r="U393" s="78" t="n">
        <x:f>O393+S393*(1-'Inputs'!$B$17)</x:f>
        <x:v>24162218.827329684</x:v>
      </x:c>
      <x:c r="V393" s="78" t="n">
        <x:f>P393-T393</x:f>
        <x:v>671.8499299184356</x:v>
      </x:c>
      <x:c r="W393" s="79" t="n">
        <x:f>IF(U393&gt;0,V393/U393,0)</x:f>
        <x:v>0.000027805804372507036</x:v>
      </x:c>
      <x:c r="X393" s="80" t="n">
        <x:f>W393*('Inputs'!$B$6-AC393)</x:f>
        <x:v>27788.34911362356</x:v>
      </x:c>
      <x:c r="Y393" s="80" t="n">
        <x:f>2*V393</x:f>
        <x:v>1343.6998598368712</x:v>
      </x:c>
      <x:c r="Z393" s="80" t="n">
        <x:f>K393*'Inputs'!$B$16+(G393+R393)*J393*'Inputs'!$B$16</x:f>
        <x:v>4.34903034933393</x:v>
      </x:c>
      <x:c r="AA393" s="80" t="n">
        <x:f>K393*(1+'Inputs'!$E$45)/2*'Inputs'!$B$17</x:f>
        <x:v>1.3659711422755885</x:v>
      </x:c>
      <x:c r="AB393" s="78" t="n">
        <x:f>(IF(J393&gt;0,K393*(1-'Inputs'!$E$45)/2/J393,0)+G393+R393)*'Inputs'!$B$17</x:f>
        <x:v>49281.3731357795</x:v>
      </x:c>
      <x:c r="AC393" s="78" t="n">
        <x:f>AC392+AB393</x:f>
        <x:v>627755.940796811</x:v>
      </x:c>
      <x:c r="AD393" s="80" t="n">
        <x:f>Z393/(1+'Inputs'!$C$45)</x:f>
        <x:v>2.89935356622262</x:v>
      </x:c>
      <x:c r="AE393" s="80" t="n">
        <x:f>Z393-AD393</x:f>
        <x:v>1.4496767831113098</x:v>
      </x:c>
      <x:c r="AF393" s="80" t="n">
        <x:f>D393*W393</x:f>
        <x:v>8.38966053785569</x:v>
      </x:c>
      <x:c r="AG393" s="80" t="n">
        <x:f>C393*W393</x:f>
        <x:v>14.681905941247456</x:v>
      </x:c>
      <x:c r="AH393" s="80" t="n">
        <x:f>2*'Inputs'!$B$8*'Inputs'!$C$45</x:f>
        <x:v>2500</x:v>
      </x:c>
      <x:c r="AI393" s="81" t="n">
        <x:f>IF(AH393&gt;0,(AE393+AF393)/AH393*365,0)</x:f>
        <x:v>1.4365432488611818</x:v>
      </x:c>
      <x:c r="AJ393" s="81" t="n">
        <x:f>IF('Inputs'!$B$45&gt;0,AG393/('Inputs'!$B$19*'Inputs'!$B$45)*365,0)</x:f>
        <x:v>0.7145194224740428</x:v>
      </x:c>
      <x:c r="AK393" s="81" t="n">
        <x:f>W393/MAX($W$369:W393)-1</x:f>
        <x:v>-0.9630159657636604</x:v>
      </x:c>
      <x:c r="AL393" s="83" t="n">
        <x:f>'Inputs'!$B$45</x:f>
        <x:v>0.75</x:v>
      </x:c>
      <x:c r="AM393" s="83" t="n">
        <x:f>'Inputs'!$C$45</x:f>
        <x:v>0.5</x:v>
      </x:c>
      <x:c r="AN393" s="83" t="n">
        <x:f>'Inputs'!$D$45</x:f>
        <x:v>0.5</x:v>
      </x:c>
      <x:c r="AO393" s="81" t="n">
        <x:f>'Inputs'!$E$45</x:f>
        <x:v>-0.05</x:v>
      </x:c>
    </x:row>
    <x:row r="394">
      <x:c r="A394" s="59" t="str">
        <x:v>Weak demand</x:v>
      </x:c>
      <x:c r="B394" s="59" t="n">
        <x:v>26</x:v>
      </x:c>
      <x:c r="C394" s="78" t="n">
        <x:f>(('Inputs'!$B$29*(3*26*'Inputs'!$B$12-26^2)/(2*'Inputs'!$B$12^2))-('Inputs'!$B$29*(3*25*'Inputs'!$B$12-25^2)/(2*'Inputs'!$B$12^2)))*'Inputs'!$B$45</x:f>
        <x:v>527772.0374366669</x:v>
      </x:c>
      <x:c r="D394" s="78" t="n">
        <x:f>IF('Inputs'!$C$45&gt;0,('Inputs'!$B$30*(3*26*'Inputs'!$B$12-26^2)/(2*'Inputs'!$B$12^2))-('Inputs'!$B$30*(3*25*'Inputs'!$B$12-25^2)/(2*'Inputs'!$B$12^2)),0)</x:f>
        <x:v>301584.02139238175</x:v>
      </x:c>
      <x:c r="E394" s="78" t="n">
        <x:f>C394+D394</x:f>
        <x:v>829356.0588290486</x:v>
      </x:c>
      <x:c r="F394" s="78" t="n">
        <x:f>'Inputs'!$B$13*E394+(1-'Inputs'!$B$13)/'Inputs'!$B$14*SUM(E369:E394)</x:f>
        <x:v>475696.71842747234</x:v>
      </x:c>
      <x:c r="G394" s="78" t="n">
        <x:f>F394*'Inputs'!$F$45</x:f>
        <x:v>332987.70289923064</x:v>
      </x:c>
      <x:c r="H394" s="78" t="n">
        <x:f>U393</x:f>
        <x:v>24162218.827329684</x:v>
      </x:c>
      <x:c r="I394" s="78" t="n">
        <x:f>V393</x:f>
        <x:v>671.8499299184356</x:v>
      </x:c>
      <x:c r="J394" s="79" t="n">
        <x:f>IF(H394&gt;0,I394/H394,0)</x:f>
        <x:v>0.000027805804372507036</x:v>
      </x:c>
      <x:c r="K394" s="80" t="n">
        <x:f>(H394*J394+I394)*'Inputs'!$D$45*(1+'Inputs'!$G$45)^(B394/30)</x:f>
        <x:v>671.8499299184356</x:v>
      </x:c>
      <x:c r="L394" s="80" t="n">
        <x:f>MAX(0,K394*'Inputs'!$E$45)</x:f>
        <x:v>0</x:v>
      </x:c>
      <x:c r="M394" s="80" t="n">
        <x:f>MAX(0,-K394*'Inputs'!$E$45)</x:f>
        <x:v>33.59249649592178</x:v>
      </x:c>
      <x:c r="N394" s="78" t="n">
        <x:f>H394*(L394*(1-'Inputs'!$B$15))/(I394+L394*(1-'Inputs'!$B$15))</x:f>
        <x:v>0</x:v>
      </x:c>
      <x:c r="O394" s="78" t="n">
        <x:f>H394-N394</x:f>
        <x:v>24162218.827329684</x:v>
      </x:c>
      <x:c r="P394" s="78" t="n">
        <x:f>I394+L394*(1-'Inputs'!$B$17)</x:f>
        <x:v>671.8499299184356</x:v>
      </x:c>
      <x:c r="Q394" s="78" t="n">
        <x:f>IF(J394&gt;0,M394/J394,0)</x:f>
        <x:v>1208110.9413664842</x:v>
      </x:c>
      <x:c r="R394" s="78" t="n">
        <x:f>IF(B394='Inputs'!$H$45,'Inputs'!$B$27*'Inputs'!$I$45,0)</x:f>
        <x:v>0</x:v>
      </x:c>
      <x:c r="S394" s="78" t="n">
        <x:f>Q394+G394+R394</x:f>
        <x:v>1541098.6442657148</x:v>
      </x:c>
      <x:c r="T394" s="78" t="n">
        <x:f>P394*(S394*(1-'Inputs'!$B$15))/(O394+S394*(1-'Inputs'!$B$15))</x:f>
        <x:v>39.90333531377104</x:v>
      </x:c>
      <x:c r="U394" s="78" t="n">
        <x:f>O394+S394*(1-'Inputs'!$B$17)</x:f>
        <x:v>25697115.86739312</x:v>
      </x:c>
      <x:c r="V394" s="78" t="n">
        <x:f>P394-T394</x:f>
        <x:v>631.9465946046646</x:v>
      </x:c>
      <x:c r="W394" s="79" t="n">
        <x:f>IF(U394&gt;0,V394/U394,0)</x:f>
        <x:v>0.000024592121460857672</x:v>
      </x:c>
      <x:c r="X394" s="80" t="n">
        <x:f>W394*('Inputs'!$B$6-AC394)</x:f>
        <x:v>24575.395304720576</x:v>
      </x:c>
      <x:c r="Y394" s="80" t="n">
        <x:f>2*V394</x:f>
        <x:v>1263.8931892093292</x:v>
      </x:c>
      <x:c r="Z394" s="80" t="n">
        <x:f>K394*'Inputs'!$B$16+(G394+R394)*J394*'Inputs'!$B$16</x:f>
        <x:v>4.086653525062213</x:v>
      </x:c>
      <x:c r="AA394" s="80" t="n">
        <x:f>K394*(1+'Inputs'!$E$45)/2*'Inputs'!$B$17</x:f>
        <x:v>1.2842201879728647</x:v>
      </x:c>
      <x:c r="AB394" s="78" t="n">
        <x:f>(IF(J394&gt;0,K394*(1-'Inputs'!$E$45)/2/J394,0)+G394+R394)*'Inputs'!$B$17</x:f>
        <x:v>52386.93194063307</x:v>
      </x:c>
      <x:c r="AC394" s="78" t="n">
        <x:f>AC393+AB394</x:f>
        <x:v>680142.8727374441</x:v>
      </x:c>
      <x:c r="AD394" s="80" t="n">
        <x:f>Z394/(1+'Inputs'!$C$45)</x:f>
        <x:v>2.724435683374809</x:v>
      </x:c>
      <x:c r="AE394" s="80" t="n">
        <x:f>Z394-AD394</x:f>
        <x:v>1.3622178416874045</x:v>
      </x:c>
      <x:c r="AF394" s="80" t="n">
        <x:f>D394*W394</x:f>
        <x:v>7.416590884735351</x:v>
      </x:c>
      <x:c r="AG394" s="80" t="n">
        <x:f>C394*W394</x:f>
        <x:v>12.979034048286834</x:v>
      </x:c>
      <x:c r="AH394" s="80" t="n">
        <x:f>2*'Inputs'!$B$8*'Inputs'!$C$45</x:f>
        <x:v>2500</x:v>
      </x:c>
      <x:c r="AI394" s="81" t="n">
        <x:f>IF(AH394&gt;0,(AE394+AF394)/AH394*365,0)</x:f>
        <x:v>1.2817060740577224</x:v>
      </x:c>
      <x:c r="AJ394" s="81" t="n">
        <x:f>IF('Inputs'!$B$45&gt;0,AG394/('Inputs'!$B$19*'Inputs'!$B$45)*365,0)</x:f>
        <x:v>0.6316463236832925</x:v>
      </x:c>
      <x:c r="AK394" s="81" t="n">
        <x:f>W394/MAX($W$369:W394)-1</x:f>
        <x:v>-0.9672904315276035</x:v>
      </x:c>
      <x:c r="AL394" s="83" t="n">
        <x:f>'Inputs'!$B$45</x:f>
        <x:v>0.75</x:v>
      </x:c>
      <x:c r="AM394" s="83" t="n">
        <x:f>'Inputs'!$C$45</x:f>
        <x:v>0.5</x:v>
      </x:c>
      <x:c r="AN394" s="83" t="n">
        <x:f>'Inputs'!$D$45</x:f>
        <x:v>0.5</x:v>
      </x:c>
      <x:c r="AO394" s="81" t="n">
        <x:f>'Inputs'!$E$45</x:f>
        <x:v>-0.05</x:v>
      </x:c>
    </x:row>
    <x:row r="395">
      <x:c r="A395" s="59" t="str">
        <x:v>Weak demand</x:v>
      </x:c>
      <x:c r="B395" s="59" t="n">
        <x:v>27</x:v>
      </x:c>
      <x:c r="C395" s="78" t="n">
        <x:f>(('Inputs'!$B$29*(3*27*'Inputs'!$B$12-27^2)/(2*'Inputs'!$B$12^2))-('Inputs'!$B$29*(3*26*'Inputs'!$B$12-26^2)/(2*'Inputs'!$B$12^2)))*'Inputs'!$B$45</x:f>
        <x:v>527528.2065115403</x:v>
      </x:c>
      <x:c r="D395" s="78" t="n">
        <x:f>IF('Inputs'!$C$45&gt;0,('Inputs'!$B$30*(3*27*'Inputs'!$B$12-27^2)/(2*'Inputs'!$B$12^2))-('Inputs'!$B$30*(3*26*'Inputs'!$B$12-26^2)/(2*'Inputs'!$B$12^2)),0)</x:f>
        <x:v>301444.6894351663</x:v>
      </x:c>
      <x:c r="E395" s="78" t="n">
        <x:f>C395+D395</x:f>
        <x:v>828972.8959467066</x:v>
      </x:c>
      <x:c r="F395" s="78" t="n">
        <x:f>'Inputs'!$B$13*E395+(1-'Inputs'!$B$13)/'Inputs'!$B$14*SUM(E369:E395)</x:f>
        <x:v>487462.55579309975</x:v>
      </x:c>
      <x:c r="G395" s="78" t="n">
        <x:f>F395*'Inputs'!$F$45</x:f>
        <x:v>341223.7890551698</x:v>
      </x:c>
      <x:c r="H395" s="78" t="n">
        <x:f>U394</x:f>
        <x:v>25697115.86739312</x:v>
      </x:c>
      <x:c r="I395" s="78" t="n">
        <x:f>V394</x:f>
        <x:v>631.9465946046646</x:v>
      </x:c>
      <x:c r="J395" s="79" t="n">
        <x:f>IF(H395&gt;0,I395/H395,0)</x:f>
        <x:v>0.000024592121460857672</x:v>
      </x:c>
      <x:c r="K395" s="80" t="n">
        <x:f>(H395*J395+I395)*'Inputs'!$D$45*(1+'Inputs'!$G$45)^(B395/30)</x:f>
        <x:v>631.9465946046646</x:v>
      </x:c>
      <x:c r="L395" s="80" t="n">
        <x:f>MAX(0,K395*'Inputs'!$E$45)</x:f>
        <x:v>0</x:v>
      </x:c>
      <x:c r="M395" s="80" t="n">
        <x:f>MAX(0,-K395*'Inputs'!$E$45)</x:f>
        <x:v>31.59732973023323</x:v>
      </x:c>
      <x:c r="N395" s="78" t="n">
        <x:f>H395*(L395*(1-'Inputs'!$B$15))/(I395+L395*(1-'Inputs'!$B$15))</x:f>
        <x:v>0</x:v>
      </x:c>
      <x:c r="O395" s="78" t="n">
        <x:f>H395-N395</x:f>
        <x:v>25697115.86739312</x:v>
      </x:c>
      <x:c r="P395" s="78" t="n">
        <x:f>I395+L395*(1-'Inputs'!$B$17)</x:f>
        <x:v>631.9465946046646</x:v>
      </x:c>
      <x:c r="Q395" s="78" t="n">
        <x:f>IF(J395&gt;0,M395/J395,0)</x:f>
        <x:v>1284855.7933696562</x:v>
      </x:c>
      <x:c r="R395" s="78" t="n">
        <x:f>IF(B395='Inputs'!$H$45,'Inputs'!$B$27*'Inputs'!$I$45,0)</x:f>
        <x:v>0</x:v>
      </x:c>
      <x:c r="S395" s="78" t="n">
        <x:f>Q395+G395+R395</x:f>
        <x:v>1626079.582424826</x:v>
      </x:c>
      <x:c r="T395" s="78" t="n">
        <x:f>P395*(S395*(1-'Inputs'!$B$15))/(O395+S395*(1-'Inputs'!$B$15))</x:f>
        <x:v>37.2549871676667</x:v>
      </x:c>
      <x:c r="U395" s="78" t="n">
        <x:f>O395+S395*(1-'Inputs'!$B$17)</x:f>
        <x:v>27316651.870009396</x:v>
      </x:c>
      <x:c r="V395" s="78" t="n">
        <x:f>P395-T395</x:f>
        <x:v>594.6916074369979</x:v>
      </x:c>
      <x:c r="W395" s="79" t="n">
        <x:f>IF(U395&gt;0,V395/U395,0)</x:f>
        <x:v>0.00002177029638430551</x:v>
      </x:c>
      <x:c r="X395" s="80" t="n">
        <x:f>W395*('Inputs'!$B$6-AC395)</x:f>
        <x:v>21754.277676394155</x:v>
      </x:c>
      <x:c r="Y395" s="80" t="n">
        <x:f>2*V395</x:f>
        <x:v>1189.3832148739957</x:v>
      </x:c>
      <x:c r="Z395" s="80" t="n">
        <x:f>K395*'Inputs'!$B$16+(G395+R395)*J395*'Inputs'!$B$16</x:f>
        <x:v>3.8420280688226605</x:v>
      </x:c>
      <x:c r="AA395" s="80" t="n">
        <x:f>K395*(1+'Inputs'!$E$45)/2*'Inputs'!$B$17</x:f>
        <x:v>1.2079462069908076</x:v>
      </x:c>
      <x:c r="AB395" s="78" t="n">
        <x:f>(IF(J395&gt;0,K395*(1-'Inputs'!$E$45)/2/J395,0)+G395+R395)*'Inputs'!$B$17</x:f>
        <x:v>55662.81536996604</x:v>
      </x:c>
      <x:c r="AC395" s="78" t="n">
        <x:f>AC394+AB395</x:f>
        <x:v>735805.6881074102</x:v>
      </x:c>
      <x:c r="AD395" s="80" t="n">
        <x:f>Z395/(1+'Inputs'!$C$45)</x:f>
        <x:v>2.561352045881774</x:v>
      </x:c>
      <x:c r="AE395" s="80" t="n">
        <x:f>Z395-AD395</x:f>
        <x:v>1.2806760229408867</x:v>
      </x:c>
      <x:c r="AF395" s="80" t="n">
        <x:f>D395*W395</x:f>
        <x:v>6.562540232478498</x:v>
      </x:c>
      <x:c r="AG395" s="80" t="n">
        <x:f>C395*W395</x:f>
        <x:v>11.484445406837356</x:v>
      </x:c>
      <x:c r="AH395" s="80" t="n">
        <x:f>2*'Inputs'!$B$8*'Inputs'!$C$45</x:f>
        <x:v>2500</x:v>
      </x:c>
      <x:c r="AI395" s="81" t="n">
        <x:f>IF(AH395&gt;0,(AE395+AF395)/AH395*365,0)</x:f>
        <x:v>1.1451095732912302</x:v>
      </x:c>
      <x:c r="AJ395" s="81" t="n">
        <x:f>IF('Inputs'!$B$45&gt;0,AG395/('Inputs'!$B$19*'Inputs'!$B$45)*365,0)</x:f>
        <x:v>0.5589096764660847</x:v>
      </x:c>
      <x:c r="AK395" s="81" t="n">
        <x:f>W395/MAX($W$369:W395)-1</x:f>
        <x:v>-0.971043693754513</x:v>
      </x:c>
      <x:c r="AL395" s="83" t="n">
        <x:f>'Inputs'!$B$45</x:f>
        <x:v>0.75</x:v>
      </x:c>
      <x:c r="AM395" s="83" t="n">
        <x:f>'Inputs'!$C$45</x:f>
        <x:v>0.5</x:v>
      </x:c>
      <x:c r="AN395" s="83" t="n">
        <x:f>'Inputs'!$D$45</x:f>
        <x:v>0.5</x:v>
      </x:c>
      <x:c r="AO395" s="81" t="n">
        <x:f>'Inputs'!$E$45</x:f>
        <x:v>-0.05</x:v>
      </x:c>
    </x:row>
    <x:row r="396">
      <x:c r="A396" s="59" t="str">
        <x:v>Weak demand</x:v>
      </x:c>
      <x:c r="B396" s="59" t="n">
        <x:v>28</x:v>
      </x:c>
      <x:c r="C396" s="78" t="n">
        <x:f>(('Inputs'!$B$29*(3*28*'Inputs'!$B$12-28^2)/(2*'Inputs'!$B$12^2))-('Inputs'!$B$29*(3*27*'Inputs'!$B$12-27^2)/(2*'Inputs'!$B$12^2)))*'Inputs'!$B$45</x:f>
        <x:v>527284.3755864138</x:v>
      </x:c>
      <x:c r="D396" s="78" t="n">
        <x:f>IF('Inputs'!$C$45&gt;0,('Inputs'!$B$30*(3*28*'Inputs'!$B$12-28^2)/(2*'Inputs'!$B$12^2))-('Inputs'!$B$30*(3*27*'Inputs'!$B$12-27^2)/(2*'Inputs'!$B$12^2)),0)</x:f>
        <x:v>301305.35747795086</x:v>
      </x:c>
      <x:c r="E396" s="78" t="n">
        <x:f>C396+D396</x:f>
        <x:v>828589.7330643646</x:v>
      </x:c>
      <x:c r="F396" s="78" t="n">
        <x:f>'Inputs'!$B$13*E396+(1-'Inputs'!$B$13)/'Inputs'!$B$14*SUM(E369:E396)</x:f>
        <x:v>499222.9194032651</x:v>
      </x:c>
      <x:c r="G396" s="78" t="n">
        <x:f>F396*'Inputs'!$F$45</x:f>
        <x:v>349456.0435822856</x:v>
      </x:c>
      <x:c r="H396" s="78" t="n">
        <x:f>U395</x:f>
        <x:v>27316651.870009396</x:v>
      </x:c>
      <x:c r="I396" s="78" t="n">
        <x:f>V395</x:f>
        <x:v>594.6916074369979</x:v>
      </x:c>
      <x:c r="J396" s="79" t="n">
        <x:f>IF(H396&gt;0,I396/H396,0)</x:f>
        <x:v>0.00002177029638430551</x:v>
      </x:c>
      <x:c r="K396" s="80" t="n">
        <x:f>(H396*J396+I396)*'Inputs'!$D$45*(1+'Inputs'!$G$45)^(B396/30)</x:f>
        <x:v>594.6916074369979</x:v>
      </x:c>
      <x:c r="L396" s="80" t="n">
        <x:f>MAX(0,K396*'Inputs'!$E$45)</x:f>
        <x:v>0</x:v>
      </x:c>
      <x:c r="M396" s="80" t="n">
        <x:f>MAX(0,-K396*'Inputs'!$E$45)</x:f>
        <x:v>29.734580371849894</x:v>
      </x:c>
      <x:c r="N396" s="78" t="n">
        <x:f>H396*(L396*(1-'Inputs'!$B$15))/(I396+L396*(1-'Inputs'!$B$15))</x:f>
        <x:v>0</x:v>
      </x:c>
      <x:c r="O396" s="78" t="n">
        <x:f>H396-N396</x:f>
        <x:v>27316651.870009396</x:v>
      </x:c>
      <x:c r="P396" s="78" t="n">
        <x:f>I396+L396*(1-'Inputs'!$B$17)</x:f>
        <x:v>594.6916074369979</x:v>
      </x:c>
      <x:c r="Q396" s="78" t="n">
        <x:f>IF(J396&gt;0,M396/J396,0)</x:f>
        <x:v>1365832.5935004698</x:v>
      </x:c>
      <x:c r="R396" s="78" t="n">
        <x:f>IF(B396='Inputs'!$H$45,'Inputs'!$B$27*'Inputs'!$I$45,0)</x:f>
        <x:v>0</x:v>
      </x:c>
      <x:c r="S396" s="78" t="n">
        <x:f>Q396+G396+R396</x:f>
        <x:v>1715288.6370827553</x:v>
      </x:c>
      <x:c r="T396" s="78" t="n">
        <x:f>P396*(S396*(1-'Inputs'!$B$15))/(O396+S396*(1-'Inputs'!$B$15))</x:f>
        <x:v>34.80525490787664</x:v>
      </x:c>
      <x:c r="U396" s="78" t="n">
        <x:f>O396+S396*(1-'Inputs'!$B$17)</x:f>
        <x:v>29025037.93712401</x:v>
      </x:c>
      <x:c r="V396" s="78" t="n">
        <x:f>P396-T396</x:f>
        <x:v>559.8863525291213</x:v>
      </x:c>
      <x:c r="W396" s="79" t="n">
        <x:f>IF(U396&gt;0,V396/U396,0)</x:f>
        <x:v>0.000019289771601400996</x:v>
      </x:c>
      <x:c r="X396" s="80" t="n">
        <x:f>W396*('Inputs'!$B$6-AC396)</x:f>
        <x:v>19274.437714698593</x:v>
      </x:c>
      <x:c r="Y396" s="80" t="n">
        <x:f>2*V396</x:f>
        <x:v>1119.7727050582425</x:v>
      </x:c>
      <x:c r="Z396" s="80" t="n">
        <x:f>K396*'Inputs'!$B$16+(G396+R396)*J396*'Inputs'!$B$16</x:f>
        <x:v>3.613796214474426</x:v>
      </x:c>
      <x:c r="AA396" s="80" t="n">
        <x:f>K396*(1+'Inputs'!$E$45)/2*'Inputs'!$B$17</x:f>
        <x:v>1.13673446089567</x:v>
      </x:c>
      <x:c r="AB396" s="78" t="n">
        <x:f>(IF(J396&gt;0,K396*(1-'Inputs'!$E$45)/2/J396,0)+G396+R396)*'Inputs'!$B$17</x:f>
        <x:v>59117.498089888206</x:v>
      </x:c>
      <x:c r="AC396" s="78" t="n">
        <x:f>AC395+AB396</x:f>
        <x:v>794923.1861972985</x:v>
      </x:c>
      <x:c r="AD396" s="80" t="n">
        <x:f>Z396/(1+'Inputs'!$C$45)</x:f>
        <x:v>2.409197476316284</x:v>
      </x:c>
      <x:c r="AE396" s="80" t="n">
        <x:f>Z396-AD396</x:f>
        <x:v>1.204598738158142</x:v>
      </x:c>
      <x:c r="AF396" s="80" t="n">
        <x:f>D396*W396</x:f>
        <x:v>5.812111528028152</x:v>
      </x:c>
      <x:c r="AG396" s="80" t="n">
        <x:f>C396*W396</x:f>
        <x:v>10.171195174049261</x:v>
      </x:c>
      <x:c r="AH396" s="80" t="n">
        <x:f>2*'Inputs'!$B$8*'Inputs'!$C$45</x:f>
        <x:v>2500</x:v>
      </x:c>
      <x:c r="AI396" s="81" t="n">
        <x:f>IF(AH396&gt;0,(AE396+AF396)/AH396*365,0)</x:f>
        <x:v>1.024439698863199</x:v>
      </x:c>
      <x:c r="AJ396" s="81" t="n">
        <x:f>IF('Inputs'!$B$45&gt;0,AG396/('Inputs'!$B$19*'Inputs'!$B$45)*365,0)</x:f>
        <x:v>0.4949981651370641</x:v>
      </x:c>
      <x:c r="AK396" s="81" t="n">
        <x:f>W396/MAX($W$369:W396)-1</x:f>
        <x:v>-0.9743429981826827</x:v>
      </x:c>
      <x:c r="AL396" s="83" t="n">
        <x:f>'Inputs'!$B$45</x:f>
        <x:v>0.75</x:v>
      </x:c>
      <x:c r="AM396" s="83" t="n">
        <x:f>'Inputs'!$C$45</x:f>
        <x:v>0.5</x:v>
      </x:c>
      <x:c r="AN396" s="83" t="n">
        <x:f>'Inputs'!$D$45</x:f>
        <x:v>0.5</x:v>
      </x:c>
      <x:c r="AO396" s="81" t="n">
        <x:f>'Inputs'!$E$45</x:f>
        <x:v>-0.05</x:v>
      </x:c>
    </x:row>
    <x:row r="397">
      <x:c r="A397" s="59" t="str">
        <x:v>Weak demand</x:v>
      </x:c>
      <x:c r="B397" s="59" t="n">
        <x:v>29</x:v>
      </x:c>
      <x:c r="C397" s="78" t="n">
        <x:f>(('Inputs'!$B$29*(3*29*'Inputs'!$B$12-29^2)/(2*'Inputs'!$B$12^2))-('Inputs'!$B$29*(3*28*'Inputs'!$B$12-28^2)/(2*'Inputs'!$B$12^2)))*'Inputs'!$B$45</x:f>
        <x:v>527040.5446612872</x:v>
      </x:c>
      <x:c r="D397" s="78" t="n">
        <x:f>IF('Inputs'!$C$45&gt;0,('Inputs'!$B$30*(3*29*'Inputs'!$B$12-29^2)/(2*'Inputs'!$B$12^2))-('Inputs'!$B$30*(3*28*'Inputs'!$B$12-28^2)/(2*'Inputs'!$B$12^2)),0)</x:f>
        <x:v>301166.0255207345</x:v>
      </x:c>
      <x:c r="E397" s="78" t="n">
        <x:f>C397+D397</x:f>
        <x:v>828206.5701820217</x:v>
      </x:c>
      <x:c r="F397" s="78" t="n">
        <x:f>'Inputs'!$B$13*E397+(1-'Inputs'!$B$13)/'Inputs'!$B$14*SUM(E369:E397)</x:f>
        <x:v>510977.8092579683</x:v>
      </x:c>
      <x:c r="G397" s="78" t="n">
        <x:f>F397*'Inputs'!$F$45</x:f>
        <x:v>357684.46648057783</x:v>
      </x:c>
      <x:c r="H397" s="78" t="n">
        <x:f>U396</x:f>
        <x:v>29025037.93712401</x:v>
      </x:c>
      <x:c r="I397" s="78" t="n">
        <x:f>V396</x:f>
        <x:v>559.8863525291213</x:v>
      </x:c>
      <x:c r="J397" s="79" t="n">
        <x:f>IF(H397&gt;0,I397/H397,0)</x:f>
        <x:v>0.000019289771601400996</x:v>
      </x:c>
      <x:c r="K397" s="80" t="n">
        <x:f>(H397*J397+I397)*'Inputs'!$D$45*(1+'Inputs'!$G$45)^(B397/30)</x:f>
        <x:v>559.8863525291213</x:v>
      </x:c>
      <x:c r="L397" s="80" t="n">
        <x:f>MAX(0,K397*'Inputs'!$E$45)</x:f>
        <x:v>0</x:v>
      </x:c>
      <x:c r="M397" s="80" t="n">
        <x:f>MAX(0,-K397*'Inputs'!$E$45)</x:f>
        <x:v>27.994317626456066</x:v>
      </x:c>
      <x:c r="N397" s="78" t="n">
        <x:f>H397*(L397*(1-'Inputs'!$B$15))/(I397+L397*(1-'Inputs'!$B$15))</x:f>
        <x:v>0</x:v>
      </x:c>
      <x:c r="O397" s="78" t="n">
        <x:f>H397-N397</x:f>
        <x:v>29025037.93712401</x:v>
      </x:c>
      <x:c r="P397" s="78" t="n">
        <x:f>I397+L397*(1-'Inputs'!$B$17)</x:f>
        <x:v>559.8863525291213</x:v>
      </x:c>
      <x:c r="Q397" s="78" t="n">
        <x:f>IF(J397&gt;0,M397/J397,0)</x:f>
        <x:v>1451251.8968562006</x:v>
      </x:c>
      <x:c r="R397" s="78" t="n">
        <x:f>IF(B397='Inputs'!$H$45,'Inputs'!$B$27*'Inputs'!$I$45,0)</x:f>
        <x:v>0</x:v>
      </x:c>
      <x:c r="S397" s="78" t="n">
        <x:f>Q397+G397+R397</x:f>
        <x:v>1808936.3633367785</x:v>
      </x:c>
      <x:c r="T397" s="78" t="n">
        <x:f>P397*(S397*(1-'Inputs'!$B$15))/(O397+S397*(1-'Inputs'!$B$15))</x:f>
        <x:v>32.537465552494716</x:v>
      </x:c>
      <x:c r="U397" s="78" t="n">
        <x:f>O397+S397*(1-'Inputs'!$B$17)</x:f>
        <x:v>30826694.87847553</x:v>
      </x:c>
      <x:c r="V397" s="78" t="n">
        <x:f>P397-T397</x:f>
        <x:v>527.3488869766265</x:v>
      </x:c>
      <x:c r="W397" s="79" t="n">
        <x:f>IF(U397&gt;0,V397/U397,0)</x:f>
        <x:v>0.000017106890279854275</x:v>
      </x:c>
      <x:c r="X397" s="80" t="n">
        <x:f>W397*('Inputs'!$B$6-AC397)</x:f>
        <x:v>17092.21798980078</x:v>
      </x:c>
      <x:c r="Y397" s="80" t="n">
        <x:f>2*V397</x:f>
        <x:v>1054.697773953253</x:v>
      </x:c>
      <x:c r="Z397" s="80" t="n">
        <x:f>K397*'Inputs'!$B$16+(G397+R397)*J397*'Inputs'!$B$16</x:f>
        <x:v>3.4007160251574033</x:v>
      </x:c>
      <x:c r="AA397" s="80" t="n">
        <x:f>K397*(1+'Inputs'!$E$45)/2*'Inputs'!$B$17</x:f>
        <x:v>1.0702053016150206</x:v>
      </x:c>
      <x:c r="AB397" s="78" t="n">
        <x:f>(IF(J397&gt;0,K397*(1-'Inputs'!$E$45)/2/J397,0)+G397+R397)*'Inputs'!$B$17</x:f>
        <x:v>62759.87679465065</x:v>
      </x:c>
      <x:c r="AC397" s="78" t="n">
        <x:f>AC396+AB397</x:f>
        <x:v>857683.0629919491</x:v>
      </x:c>
      <x:c r="AD397" s="80" t="n">
        <x:f>Z397/(1+'Inputs'!$C$45)</x:f>
        <x:v>2.2671440167716024</x:v>
      </x:c>
      <x:c r="AE397" s="80" t="n">
        <x:f>Z397-AD397</x:f>
        <x:v>1.133572008385801</x:v>
      </x:c>
      <x:c r="AF397" s="80" t="n">
        <x:f>D397*W397</x:f>
        <x:v>5.152014154602997</x:v>
      </x:c>
      <x:c r="AG397" s="80" t="n">
        <x:f>C397*W397</x:f>
        <x:v>9.016024770555276</x:v>
      </x:c>
      <x:c r="AH397" s="80" t="n">
        <x:f>2*'Inputs'!$B$8*'Inputs'!$C$45</x:f>
        <x:v>2500</x:v>
      </x:c>
      <x:c r="AI397" s="81" t="n">
        <x:f>IF(AH397&gt;0,(AE397+AF397)/AH397*365,0)</x:f>
        <x:v>0.9176955797963644</x:v>
      </x:c>
      <x:c r="AJ397" s="81" t="n">
        <x:f>IF('Inputs'!$B$45&gt;0,AG397/('Inputs'!$B$19*'Inputs'!$B$45)*365,0)</x:f>
        <x:v>0.43877987216702347</x:v>
      </x:c>
      <x:c r="AK397" s="81" t="n">
        <x:f>W397/MAX($W$369:W397)-1</x:f>
        <x:v>-0.9772464120328417</x:v>
      </x:c>
      <x:c r="AL397" s="83" t="n">
        <x:f>'Inputs'!$B$45</x:f>
        <x:v>0.75</x:v>
      </x:c>
      <x:c r="AM397" s="83" t="n">
        <x:f>'Inputs'!$C$45</x:f>
        <x:v>0.5</x:v>
      </x:c>
      <x:c r="AN397" s="83" t="n">
        <x:f>'Inputs'!$D$45</x:f>
        <x:v>0.5</x:v>
      </x:c>
      <x:c r="AO397" s="81" t="n">
        <x:f>'Inputs'!$E$45</x:f>
        <x:v>-0.05</x:v>
      </x:c>
    </x:row>
    <x:row r="398">
      <x:c r="A398" s="59" t="str">
        <x:v>Weak demand</x:v>
      </x:c>
      <x:c r="B398" s="59" t="n">
        <x:v>30</x:v>
      </x:c>
      <x:c r="C398" s="78" t="n">
        <x:f>(('Inputs'!$B$29*(3*30*'Inputs'!$B$12-30^2)/(2*'Inputs'!$B$12^2))-('Inputs'!$B$29*(3*29*'Inputs'!$B$12-29^2)/(2*'Inputs'!$B$12^2)))*'Inputs'!$B$45</x:f>
        <x:v>526796.7137361607</x:v>
      </x:c>
      <x:c r="D398" s="78" t="n">
        <x:f>IF('Inputs'!$C$45&gt;0,('Inputs'!$B$30*(3*30*'Inputs'!$B$12-30^2)/(2*'Inputs'!$B$12^2))-('Inputs'!$B$30*(3*29*'Inputs'!$B$12-29^2)/(2*'Inputs'!$B$12^2)),0)</x:f>
        <x:v>301026.6935635209</x:v>
      </x:c>
      <x:c r="E398" s="78" t="n">
        <x:f>C398+D398</x:f>
        <x:v>827823.4072996816</x:v>
      </x:c>
      <x:c r="F398" s="78" t="n">
        <x:f>'Inputs'!$B$13*E398+(1-'Inputs'!$B$13)/'Inputs'!$B$14*SUM(E369:E398)</x:f>
        <x:v>522727.22535721003</x:v>
      </x:c>
      <x:c r="G398" s="78" t="n">
        <x:f>F398*'Inputs'!$F$45</x:f>
        <x:v>365909.057750047</x:v>
      </x:c>
      <x:c r="H398" s="78" t="n">
        <x:f>U397</x:f>
        <x:v>30826694.87847553</x:v>
      </x:c>
      <x:c r="I398" s="78" t="n">
        <x:f>V397</x:f>
        <x:v>527.3488869766265</x:v>
      </x:c>
      <x:c r="J398" s="79" t="n">
        <x:f>IF(H398&gt;0,I398/H398,0)</x:f>
        <x:v>0.000017106890279854275</x:v>
      </x:c>
      <x:c r="K398" s="80" t="n">
        <x:f>(H398*J398+I398)*'Inputs'!$D$45*(1+'Inputs'!$G$45)^(B398/30)</x:f>
        <x:v>527.3488869766265</x:v>
      </x:c>
      <x:c r="L398" s="80" t="n">
        <x:f>MAX(0,K398*'Inputs'!$E$45)</x:f>
        <x:v>0</x:v>
      </x:c>
      <x:c r="M398" s="80" t="n">
        <x:f>MAX(0,-K398*'Inputs'!$E$45)</x:f>
        <x:v>26.367444348831327</x:v>
      </x:c>
      <x:c r="N398" s="78" t="n">
        <x:f>H398*(L398*(1-'Inputs'!$B$15))/(I398+L398*(1-'Inputs'!$B$15))</x:f>
        <x:v>0</x:v>
      </x:c>
      <x:c r="O398" s="78" t="n">
        <x:f>H398-N398</x:f>
        <x:v>30826694.87847553</x:v>
      </x:c>
      <x:c r="P398" s="78" t="n">
        <x:f>I398+L398*(1-'Inputs'!$B$17)</x:f>
        <x:v>527.3488869766265</x:v>
      </x:c>
      <x:c r="Q398" s="78" t="n">
        <x:f>IF(J398&gt;0,M398/J398,0)</x:f>
        <x:v>1541334.7439237763</x:v>
      </x:c>
      <x:c r="R398" s="78" t="n">
        <x:f>IF(B398='Inputs'!$H$45,'Inputs'!$B$27*'Inputs'!$I$45,0)</x:f>
        <x:v>0</x:v>
      </x:c>
      <x:c r="S398" s="78" t="n">
        <x:f>Q398+G398+R398</x:f>
        <x:v>1907243.8016738233</x:v>
      </x:c>
      <x:c r="T398" s="78" t="n">
        <x:f>P398*(S398*(1-'Inputs'!$B$15))/(O398+S398*(1-'Inputs'!$B$15))</x:f>
        <x:v>30.43647067593188</x:v>
      </x:c>
      <x:c r="U398" s="78" t="n">
        <x:f>O398+S398*(1-'Inputs'!$B$17)</x:f>
        <x:v>32726263.654790502</x:v>
      </x:c>
      <x:c r="V398" s="78" t="n">
        <x:f>P398-T398</x:f>
        <x:v>496.91241630069464</x:v>
      </x:c>
      <x:c r="W398" s="79" t="n">
        <x:f>IF(U398&gt;0,V398/U398,0)</x:f>
        <x:v>0.000015183903104317749</x:v>
      </x:c>
      <x:c r="X398" s="80" t="n">
        <x:f>W398*('Inputs'!$B$6-AC398)</x:f>
        <x:v>15169.868890610316</x:v>
      </x:c>
      <x:c r="Y398" s="80" t="n">
        <x:f>2*V398</x:f>
        <x:v>993.8248326013893</x:v>
      </x:c>
      <x:c r="Z398" s="80" t="n">
        <x:f>K398*'Inputs'!$B$16+(G398+R398)*J398*'Inputs'!$B$16</x:f>
        <x:v>3.201650718479769</x:v>
      </x:c>
      <x:c r="AA398" s="80" t="n">
        <x:f>K398*(1+'Inputs'!$E$45)/2*'Inputs'!$B$17</x:f>
        <x:v>1.0080109509613586</x:v>
      </x:c>
      <x:c r="AB398" s="78" t="n">
        <x:f>(IF(J398&gt;0,K398*(1-'Inputs'!$E$45)/2/J398,0)+G398+R398)*'Inputs'!$B$17</x:f>
        <x:v>66599.29122313762</x:v>
      </x:c>
      <x:c r="AC398" s="78" t="n">
        <x:f>AC397+AB398</x:f>
        <x:v>924282.3542150868</x:v>
      </x:c>
      <x:c r="AD398" s="80" t="n">
        <x:f>Z398/(1+'Inputs'!$C$45)</x:f>
        <x:v>2.134433812319846</x:v>
      </x:c>
      <x:c r="AE398" s="80" t="n">
        <x:f>Z398-AD398</x:f>
        <x:v>1.0672169061599228</x:v>
      </x:c>
      <x:c r="AF398" s="80" t="n">
        <x:f>D398*W398</x:f>
        <x:v>4.5707601468816526</x:v>
      </x:c>
      <x:c r="AG398" s="80" t="n">
        <x:f>C398*W398</x:f>
        <x:v>7.998830257042878</x:v>
      </x:c>
      <x:c r="AH398" s="80" t="n">
        <x:f>2*'Inputs'!$B$8*'Inputs'!$C$45</x:f>
        <x:v>2500</x:v>
      </x:c>
      <x:c r="AI398" s="81" t="n">
        <x:f>IF(AH398&gt;0,(AE398+AF398)/AH398*365,0)</x:f>
        <x:v>0.8231446497440701</x:v>
      </x:c>
      <x:c r="AJ398" s="81" t="n">
        <x:f>IF('Inputs'!$B$45&gt;0,AG398/('Inputs'!$B$19*'Inputs'!$B$45)*365,0)</x:f>
        <x:v>0.3892764058427534</x:v>
      </x:c>
      <x:c r="AK398" s="81" t="n">
        <x:f>W398/MAX($W$369:W398)-1</x:f>
        <x:v>-0.9798041450364733</x:v>
      </x:c>
      <x:c r="AL398" s="83" t="n">
        <x:f>'Inputs'!$B$45</x:f>
        <x:v>0.75</x:v>
      </x:c>
      <x:c r="AM398" s="83" t="n">
        <x:f>'Inputs'!$C$45</x:f>
        <x:v>0.5</x:v>
      </x:c>
      <x:c r="AN398" s="83" t="n">
        <x:f>'Inputs'!$D$45</x:f>
        <x:v>0.5</x:v>
      </x:c>
      <x:c r="AO398" s="81" t="n">
        <x:f>'Inputs'!$E$45</x:f>
        <x:v>-0.05</x:v>
      </x:c>
    </x:row>
    <x:row r="399">
      <x:c r="A399" s="59" t="str">
        <x:v>Weak demand</x:v>
      </x:c>
      <x:c r="B399" s="59" t="n">
        <x:v>31</x:v>
      </x:c>
      <x:c r="C399" s="78" t="n">
        <x:f>(('Inputs'!$B$29*(3*31*'Inputs'!$B$12-31^2)/(2*'Inputs'!$B$12^2))-('Inputs'!$B$29*(3*30*'Inputs'!$B$12-30^2)/(2*'Inputs'!$B$12^2)))*'Inputs'!$B$45</x:f>
        <x:v>526552.8828110341</x:v>
      </x:c>
      <x:c r="D399" s="78" t="n">
        <x:f>IF('Inputs'!$C$45&gt;0,('Inputs'!$B$30*(3*31*'Inputs'!$B$12-31^2)/(2*'Inputs'!$B$12^2))-('Inputs'!$B$30*(3*30*'Inputs'!$B$12-30^2)/(2*'Inputs'!$B$12^2)),0)</x:f>
        <x:v>300887.36160630547</x:v>
      </x:c>
      <x:c r="E399" s="78" t="n">
        <x:f>C399+D399</x:f>
        <x:v>827440.2444173396</x:v>
      </x:c>
      <x:c r="F399" s="78" t="n">
        <x:f>'Inputs'!$B$13*E399+(1-'Inputs'!$B$13)/'Inputs'!$B$14*SUM(E369:E399)</x:f>
        <x:v>534471.1677009893</x:v>
      </x:c>
      <x:c r="G399" s="78" t="n">
        <x:f>F399*'Inputs'!$F$45</x:f>
        <x:v>374129.8173906925</x:v>
      </x:c>
      <x:c r="H399" s="78" t="n">
        <x:f>U398</x:f>
        <x:v>32726263.654790502</x:v>
      </x:c>
      <x:c r="I399" s="78" t="n">
        <x:f>V398</x:f>
        <x:v>496.91241630069464</x:v>
      </x:c>
      <x:c r="J399" s="79" t="n">
        <x:f>IF(H399&gt;0,I399/H399,0)</x:f>
        <x:v>0.000015183903104317749</x:v>
      </x:c>
      <x:c r="K399" s="80" t="n">
        <x:f>(H399*J399+I399)*'Inputs'!$D$45*(1+'Inputs'!$G$45)^(B399/30)</x:f>
        <x:v>496.91241630069464</x:v>
      </x:c>
      <x:c r="L399" s="80" t="n">
        <x:f>MAX(0,K399*'Inputs'!$E$45)</x:f>
        <x:v>0</x:v>
      </x:c>
      <x:c r="M399" s="80" t="n">
        <x:f>MAX(0,-K399*'Inputs'!$E$45)</x:f>
        <x:v>24.845620815034735</x:v>
      </x:c>
      <x:c r="N399" s="78" t="n">
        <x:f>H399*(L399*(1-'Inputs'!$B$15))/(I399+L399*(1-'Inputs'!$B$15))</x:f>
        <x:v>0</x:v>
      </x:c>
      <x:c r="O399" s="78" t="n">
        <x:f>H399-N399</x:f>
        <x:v>32726263.654790502</x:v>
      </x:c>
      <x:c r="P399" s="78" t="n">
        <x:f>I399+L399*(1-'Inputs'!$B$17)</x:f>
        <x:v>496.91241630069464</x:v>
      </x:c>
      <x:c r="Q399" s="78" t="n">
        <x:f>IF(J399&gt;0,M399/J399,0)</x:f>
        <x:v>1636313.1827395253</x:v>
      </x:c>
      <x:c r="R399" s="78" t="n">
        <x:f>IF(B399='Inputs'!$H$45,'Inputs'!$B$27*'Inputs'!$I$45,0)</x:f>
        <x:v>0</x:v>
      </x:c>
      <x:c r="S399" s="78" t="n">
        <x:f>Q399+G399+R399</x:f>
        <x:v>2010443.0001302178</x:v>
      </x:c>
      <x:c r="T399" s="78" t="n">
        <x:f>P399*(S399*(1-'Inputs'!$B$15))/(O399+S399*(1-'Inputs'!$B$15))</x:f>
        <x:v>28.48850073897244</x:v>
      </x:c>
      <x:c r="U399" s="78" t="n">
        <x:f>O399+S399*(1-'Inputs'!$B$17)</x:f>
        <x:v>34728616.34103689</x:v>
      </x:c>
      <x:c r="V399" s="78" t="n">
        <x:f>P399-T399</x:f>
        <x:v>468.4239155617222</x:v>
      </x:c>
      <x:c r="W399" s="79" t="n">
        <x:f>IF(U399&gt;0,V399/U399,0)</x:f>
        <x:v>0.000013488124921585529</x:v>
      </x:c>
      <x:c r="X399" s="80" t="n">
        <x:f>W399*('Inputs'!$B$6-AC399)</x:f>
        <x:v>13474.705209776464</x:v>
      </x:c>
      <x:c r="Y399" s="80" t="n">
        <x:f>2*V399</x:f>
        <x:v>936.8478311234444</x:v>
      </x:c>
      <x:c r="Z399" s="80" t="n">
        <x:f>K399*'Inputs'!$B$16+(G399+R399)*J399*'Inputs'!$B$16</x:f>
        <x:v>3.015559003178346</x:v>
      </x:c>
      <x:c r="AA399" s="80" t="n">
        <x:f>K399*(1+'Inputs'!$E$45)/2*'Inputs'!$B$17</x:f>
        <x:v>0.9498325864902615</x:v>
      </x:c>
      <x:c r="AB399" s="78" t="n">
        <x:f>(IF(J399&gt;0,K399*(1-'Inputs'!$E$45)/2/J399,0)+G399+R399)*'Inputs'!$B$17</x:f>
        <x:v>70645.54622195456</x:v>
      </x:c>
      <x:c r="AC399" s="78" t="n">
        <x:f>AC398+AB399</x:f>
        <x:v>994927.9004370413</x:v>
      </x:c>
      <x:c r="AD399" s="80" t="n">
        <x:f>Z399/(1+'Inputs'!$C$45)</x:f>
        <x:v>2.010372668785564</x:v>
      </x:c>
      <x:c r="AE399" s="80" t="n">
        <x:f>Z399-AD399</x:f>
        <x:v>1.005186334392782</x:v>
      </x:c>
      <x:c r="AF399" s="80" t="n">
        <x:f>D399*W399</x:f>
        <x:v>4.058406320672126</x:v>
      </x:c>
      <x:c r="AG399" s="80" t="n">
        <x:f>C399*W399</x:f>
        <x:v>7.102211061176214</x:v>
      </x:c>
      <x:c r="AH399" s="80" t="n">
        <x:f>2*'Inputs'!$B$8*'Inputs'!$C$45</x:f>
        <x:v>2500</x:v>
      </x:c>
      <x:c r="AI399" s="81" t="n">
        <x:f>IF(AH399&gt;0,(AE399+AF399)/AH399*365,0)</x:f>
        <x:v>0.7392845276394765</x:v>
      </x:c>
      <x:c r="AJ399" s="81" t="n">
        <x:f>IF('Inputs'!$B$45&gt;0,AG399/('Inputs'!$B$19*'Inputs'!$B$45)*365,0)</x:f>
        <x:v>0.34564093831057574</x:v>
      </x:c>
      <x:c r="AK399" s="81" t="n">
        <x:f>W399/MAX($W$369:W399)-1</x:f>
        <x:v>-0.9820596711678956</x:v>
      </x:c>
      <x:c r="AL399" s="83" t="n">
        <x:f>'Inputs'!$B$45</x:f>
        <x:v>0.75</x:v>
      </x:c>
      <x:c r="AM399" s="83" t="n">
        <x:f>'Inputs'!$C$45</x:f>
        <x:v>0.5</x:v>
      </x:c>
      <x:c r="AN399" s="83" t="n">
        <x:f>'Inputs'!$D$45</x:f>
        <x:v>0.5</x:v>
      </x:c>
      <x:c r="AO399" s="81" t="n">
        <x:f>'Inputs'!$E$45</x:f>
        <x:v>-0.05</x:v>
      </x:c>
    </x:row>
    <x:row r="400">
      <x:c r="A400" s="59" t="str">
        <x:v>Weak demand</x:v>
      </x:c>
      <x:c r="B400" s="59" t="n">
        <x:v>32</x:v>
      </x:c>
      <x:c r="C400" s="78" t="n">
        <x:f>(('Inputs'!$B$29*(3*32*'Inputs'!$B$12-32^2)/(2*'Inputs'!$B$12^2))-('Inputs'!$B$29*(3*31*'Inputs'!$B$12-31^2)/(2*'Inputs'!$B$12^2)))*'Inputs'!$B$45</x:f>
        <x:v>526309.0518859075</x:v>
      </x:c>
      <x:c r="D400" s="78" t="n">
        <x:f>IF('Inputs'!$C$45&gt;0,('Inputs'!$B$30*(3*32*'Inputs'!$B$12-32^2)/(2*'Inputs'!$B$12^2))-('Inputs'!$B$30*(3*31*'Inputs'!$B$12-31^2)/(2*'Inputs'!$B$12^2)),0)</x:f>
        <x:v>300748.02964909</x:v>
      </x:c>
      <x:c r="E400" s="78" t="n">
        <x:f>C400+D400</x:f>
        <x:v>827057.0815349976</x:v>
      </x:c>
      <x:c r="F400" s="78" t="n">
        <x:f>'Inputs'!$B$13*E400+(1-'Inputs'!$B$13)/'Inputs'!$B$14*SUM(E369:E400)</x:f>
        <x:v>546209.6362893066</x:v>
      </x:c>
      <x:c r="G400" s="78" t="n">
        <x:f>F400*'Inputs'!$F$45</x:f>
        <x:v>382346.7454025146</x:v>
      </x:c>
      <x:c r="H400" s="78" t="n">
        <x:f>U399</x:f>
        <x:v>34728616.34103689</x:v>
      </x:c>
      <x:c r="I400" s="78" t="n">
        <x:f>V399</x:f>
        <x:v>468.4239155617222</x:v>
      </x:c>
      <x:c r="J400" s="79" t="n">
        <x:f>IF(H400&gt;0,I400/H400,0)</x:f>
        <x:v>0.000013488124921585529</x:v>
      </x:c>
      <x:c r="K400" s="80" t="n">
        <x:f>(H400*J400+I400)*'Inputs'!$D$45*(1+'Inputs'!$G$45)^(B400/30)</x:f>
        <x:v>468.4239155617222</x:v>
      </x:c>
      <x:c r="L400" s="80" t="n">
        <x:f>MAX(0,K400*'Inputs'!$E$45)</x:f>
        <x:v>0</x:v>
      </x:c>
      <x:c r="M400" s="80" t="n">
        <x:f>MAX(0,-K400*'Inputs'!$E$45)</x:f>
        <x:v>23.421195778086112</x:v>
      </x:c>
      <x:c r="N400" s="78" t="n">
        <x:f>H400*(L400*(1-'Inputs'!$B$15))/(I400+L400*(1-'Inputs'!$B$15))</x:f>
        <x:v>0</x:v>
      </x:c>
      <x:c r="O400" s="78" t="n">
        <x:f>H400-N400</x:f>
        <x:v>34728616.34103689</x:v>
      </x:c>
      <x:c r="P400" s="78" t="n">
        <x:f>I400+L400*(1-'Inputs'!$B$17)</x:f>
        <x:v>468.4239155617222</x:v>
      </x:c>
      <x:c r="Q400" s="78" t="n">
        <x:f>IF(J400&gt;0,M400/J400,0)</x:f>
        <x:v>1736430.817051845</x:v>
      </x:c>
      <x:c r="R400" s="78" t="n">
        <x:f>IF(B400='Inputs'!$H$45,'Inputs'!$B$27*'Inputs'!$I$45,0)</x:f>
        <x:v>0</x:v>
      </x:c>
      <x:c r="S400" s="78" t="n">
        <x:f>Q400+G400+R400</x:f>
        <x:v>2118777.5624543596</x:v>
      </x:c>
      <x:c r="T400" s="78" t="n">
        <x:f>P400*(S400*(1-'Inputs'!$B$15))/(O400+S400*(1-'Inputs'!$B$15))</x:f>
        <x:v>26.681033006155584</x:v>
      </x:c>
      <x:c r="U400" s="78" t="n">
        <x:f>O400+S400*(1-'Inputs'!$B$17)</x:f>
        <x:v>36838867.635634296</x:v>
      </x:c>
      <x:c r="V400" s="78" t="n">
        <x:f>P400-T400</x:f>
        <x:v>441.7428825555666</x:v>
      </x:c>
      <x:c r="W400" s="79" t="n">
        <x:f>IF(U400&gt;0,V400/U400,0)</x:f>
        <x:v>0.000011991217724843096</x:v>
      </x:c>
      <x:c r="X400" s="80" t="n">
        <x:f>W400*('Inputs'!$B$6-AC400)</x:f>
        <x:v>11978.389078420425</x:v>
      </x:c>
      <x:c r="Y400" s="80" t="n">
        <x:f>2*V400</x:f>
        <x:v>883.4857651111332</x:v>
      </x:c>
      <x:c r="Z400" s="80" t="n">
        <x:f>K400*'Inputs'!$B$16+(G400+R400)*J400*'Inputs'!$B$16</x:f>
        <x:v>2.8414863373624377</x:v>
      </x:c>
      <x:c r="AA400" s="80" t="n">
        <x:f>K400*(1+'Inputs'!$E$45)/2*'Inputs'!$B$17</x:f>
        <x:v>0.8953777058020846</x:v>
      </x:c>
      <x:c r="AB400" s="78" t="n">
        <x:f>(IF(J400&gt;0,K400*(1-'Inputs'!$E$45)/2/J400,0)+G400+R400)*'Inputs'!$B$17</x:f>
        <x:v>74908.93490723094</x:v>
      </x:c>
      <x:c r="AC400" s="78" t="n">
        <x:f>AC399+AB400</x:f>
        <x:v>1069836.8353442722</x:v>
      </x:c>
      <x:c r="AD400" s="80" t="n">
        <x:f>Z400/(1+'Inputs'!$C$45)</x:f>
        <x:v>1.8943242249082919</x:v>
      </x:c>
      <x:c r="AE400" s="80" t="n">
        <x:f>Z400-AD400</x:f>
        <x:v>0.9471621124541458</x:v>
      </x:c>
      <x:c r="AF400" s="80" t="n">
        <x:f>D400*W400</x:f>
        <x:v>3.6063351038398053</x:v>
      </x:c>
      <x:c r="AG400" s="80" t="n">
        <x:f>C400*W400</x:f>
        <x:v>6.3110864317196596</x:v>
      </x:c>
      <x:c r="AH400" s="80" t="n">
        <x:f>2*'Inputs'!$B$8*'Inputs'!$C$45</x:f>
        <x:v>2500</x:v>
      </x:c>
      <x:c r="AI400" s="81" t="n">
        <x:f>IF(AH400&gt;0,(AE400+AF400)/AH400*365,0)</x:f>
        <x:v>0.6648105935789168</x:v>
      </x:c>
      <x:c r="AJ400" s="81" t="n">
        <x:f>IF('Inputs'!$B$45&gt;0,AG400/('Inputs'!$B$19*'Inputs'!$B$45)*365,0)</x:f>
        <x:v>0.30713953967702345</x:v>
      </x:c>
      <x:c r="AK400" s="81" t="n">
        <x:f>W400/MAX($W$369:W400)-1</x:f>
        <x:v>-0.9840506823348908</x:v>
      </x:c>
      <x:c r="AL400" s="83" t="n">
        <x:f>'Inputs'!$B$45</x:f>
        <x:v>0.75</x:v>
      </x:c>
      <x:c r="AM400" s="83" t="n">
        <x:f>'Inputs'!$C$45</x:f>
        <x:v>0.5</x:v>
      </x:c>
      <x:c r="AN400" s="83" t="n">
        <x:f>'Inputs'!$D$45</x:f>
        <x:v>0.5</x:v>
      </x:c>
      <x:c r="AO400" s="81" t="n">
        <x:f>'Inputs'!$E$45</x:f>
        <x:v>-0.05</x:v>
      </x:c>
    </x:row>
    <x:row r="401">
      <x:c r="A401" s="59" t="str">
        <x:v>Weak demand</x:v>
      </x:c>
      <x:c r="B401" s="59" t="n">
        <x:v>33</x:v>
      </x:c>
      <x:c r="C401" s="78" t="n">
        <x:f>(('Inputs'!$B$29*(3*33*'Inputs'!$B$12-33^2)/(2*'Inputs'!$B$12^2))-('Inputs'!$B$29*(3*32*'Inputs'!$B$12-32^2)/(2*'Inputs'!$B$12^2)))*'Inputs'!$B$45</x:f>
        <x:v>526065.220960781</x:v>
      </x:c>
      <x:c r="D401" s="78" t="n">
        <x:f>IF('Inputs'!$C$45&gt;0,('Inputs'!$B$30*(3*33*'Inputs'!$B$12-33^2)/(2*'Inputs'!$B$12^2))-('Inputs'!$B$30*(3*32*'Inputs'!$B$12-32^2)/(2*'Inputs'!$B$12^2)),0)</x:f>
        <x:v>300608.6976918746</x:v>
      </x:c>
      <x:c r="E401" s="78" t="n">
        <x:f>C401+D401</x:f>
        <x:v>826673.9186526556</x:v>
      </x:c>
      <x:c r="F401" s="78" t="n">
        <x:f>'Inputs'!$B$13*E401+(1-'Inputs'!$B$13)/'Inputs'!$B$14*SUM(E369:E401)</x:f>
        <x:v>557942.6311221619</x:v>
      </x:c>
      <x:c r="G401" s="78" t="n">
        <x:f>F401*'Inputs'!$F$45</x:f>
        <x:v>390559.8417855133</x:v>
      </x:c>
      <x:c r="H401" s="78" t="n">
        <x:f>U400</x:f>
        <x:v>36838867.635634296</x:v>
      </x:c>
      <x:c r="I401" s="78" t="n">
        <x:f>V400</x:f>
        <x:v>441.7428825555666</x:v>
      </x:c>
      <x:c r="J401" s="79" t="n">
        <x:f>IF(H401&gt;0,I401/H401,0)</x:f>
        <x:v>0.000011991217724843096</x:v>
      </x:c>
      <x:c r="K401" s="80" t="n">
        <x:f>(H401*J401+I401)*'Inputs'!$D$45*(1+'Inputs'!$G$45)^(B401/30)</x:f>
        <x:v>441.74288255556667</x:v>
      </x:c>
      <x:c r="L401" s="80" t="n">
        <x:f>MAX(0,K401*'Inputs'!$E$45)</x:f>
        <x:v>0</x:v>
      </x:c>
      <x:c r="M401" s="80" t="n">
        <x:f>MAX(0,-K401*'Inputs'!$E$45)</x:f>
        <x:v>22.087144127778334</x:v>
      </x:c>
      <x:c r="N401" s="78" t="n">
        <x:f>H401*(L401*(1-'Inputs'!$B$15))/(I401+L401*(1-'Inputs'!$B$15))</x:f>
        <x:v>0</x:v>
      </x:c>
      <x:c r="O401" s="78" t="n">
        <x:f>H401-N401</x:f>
        <x:v>36838867.635634296</x:v>
      </x:c>
      <x:c r="P401" s="78" t="n">
        <x:f>I401+L401*(1-'Inputs'!$B$17)</x:f>
        <x:v>441.7428825555666</x:v>
      </x:c>
      <x:c r="Q401" s="78" t="n">
        <x:f>IF(J401&gt;0,M401/J401,0)</x:f>
        <x:v>1841943.381781715</x:v>
      </x:c>
      <x:c r="R401" s="78" t="n">
        <x:f>IF(B401='Inputs'!$H$45,'Inputs'!$B$27*'Inputs'!$I$45,0)</x:f>
        <x:v>0</x:v>
      </x:c>
      <x:c r="S401" s="78" t="n">
        <x:f>Q401+G401+R401</x:f>
        <x:v>2232503.2235672283</x:v>
      </x:c>
      <x:c r="T401" s="78" t="n">
        <x:f>P401*(S401*(1-'Inputs'!$B$15))/(O401+S401*(1-'Inputs'!$B$15))</x:f>
        <x:v>25.00267201218094</x:v>
      </x:c>
      <x:c r="U401" s="78" t="n">
        <x:f>O401+S401*(1-'Inputs'!$B$17)</x:f>
        <x:v>39062386.9428089</x:v>
      </x:c>
      <x:c r="V401" s="78" t="n">
        <x:f>P401-T401</x:f>
        <x:v>416.7402105433857</x:v>
      </x:c>
      <x:c r="W401" s="79" t="n">
        <x:f>IF(U401&gt;0,V401/U401,0)</x:f>
        <x:v>0.000010668580267599457</x:v>
      </x:c>
      <x:c r="X401" s="80" t="n">
        <x:f>W401*('Inputs'!$B$6-AC401)</x:f>
        <x:v>10656.319539369482</x:v>
      </x:c>
      <x:c r="Y401" s="80" t="n">
        <x:f>2*V401</x:f>
        <x:v>833.4804210867713</x:v>
      </x:c>
      <x:c r="Z401" s="80" t="n">
        <x:f>K401*'Inputs'!$B$16+(G401+R401)*J401*'Inputs'!$B$16</x:f>
        <x:v>2.6785570239179823</x:v>
      </x:c>
      <x:c r="AA401" s="80" t="n">
        <x:f>K401*(1+'Inputs'!$E$45)/2*'Inputs'!$B$17</x:f>
        <x:v>0.8443777433154696</x:v>
      </x:c>
      <x:c r="AB401" s="78" t="n">
        <x:f>(IF(J401&gt;0,K401*(1-'Inputs'!$E$45)/2/J401,0)+G401+R401)*'Inputs'!$B$17</x:f>
        <x:v>79400.26297985321</x:v>
      </x:c>
      <x:c r="AC401" s="78" t="n">
        <x:f>AC400+AB401</x:f>
        <x:v>1149237.0983241254</x:v>
      </x:c>
      <x:c r="AD401" s="80" t="n">
        <x:f>Z401/(1+'Inputs'!$C$45)</x:f>
        <x:v>1.7857046826119882</x:v>
      </x:c>
      <x:c r="AE401" s="80" t="n">
        <x:f>Z401-AD401</x:f>
        <x:v>0.8928523413059941</x:v>
      </x:c>
      <x:c r="AF401" s="80" t="n">
        <x:f>D401*W401</x:f>
        <x:v>3.2070680204643036</x:v>
      </x:c>
      <x:c r="AG401" s="80" t="n">
        <x:f>C401*W401</x:f>
        <x:v>5.612369035812536</x:v>
      </x:c>
      <x:c r="AH401" s="80" t="n">
        <x:f>2*'Inputs'!$B$8*'Inputs'!$C$45</x:f>
        <x:v>2500</x:v>
      </x:c>
      <x:c r="AI401" s="81" t="n">
        <x:f>IF(AH401&gt;0,(AE401+AF401)/AH401*365,0)</x:f>
        <x:v>0.5985883728184636</x:v>
      </x:c>
      <x:c r="AJ401" s="81" t="n">
        <x:f>IF('Inputs'!$B$45&gt;0,AG401/('Inputs'!$B$19*'Inputs'!$B$45)*365,0)</x:f>
        <x:v>0.2731352930762101</x:v>
      </x:c>
      <x:c r="AK401" s="81" t="n">
        <x:f>W401/MAX($W$369:W401)-1</x:f>
        <x:v>-0.9858099002429809</x:v>
      </x:c>
      <x:c r="AL401" s="83" t="n">
        <x:f>'Inputs'!$B$45</x:f>
        <x:v>0.75</x:v>
      </x:c>
      <x:c r="AM401" s="83" t="n">
        <x:f>'Inputs'!$C$45</x:f>
        <x:v>0.5</x:v>
      </x:c>
      <x:c r="AN401" s="83" t="n">
        <x:f>'Inputs'!$D$45</x:f>
        <x:v>0.5</x:v>
      </x:c>
      <x:c r="AO401" s="81" t="n">
        <x:f>'Inputs'!$E$45</x:f>
        <x:v>-0.05</x:v>
      </x:c>
    </x:row>
    <x:row r="402">
      <x:c r="A402" s="59" t="str">
        <x:v>Weak demand</x:v>
      </x:c>
      <x:c r="B402" s="59" t="n">
        <x:v>34</x:v>
      </x:c>
      <x:c r="C402" s="78" t="n">
        <x:f>(('Inputs'!$B$29*(3*34*'Inputs'!$B$12-34^2)/(2*'Inputs'!$B$12^2))-('Inputs'!$B$29*(3*33*'Inputs'!$B$12-33^2)/(2*'Inputs'!$B$12^2)))*'Inputs'!$B$45</x:f>
        <x:v>525821.3900356544</x:v>
      </x:c>
      <x:c r="D402" s="78" t="n">
        <x:f>IF('Inputs'!$C$45&gt;0,('Inputs'!$B$30*(3*34*'Inputs'!$B$12-34^2)/(2*'Inputs'!$B$12^2))-('Inputs'!$B$30*(3*33*'Inputs'!$B$12-33^2)/(2*'Inputs'!$B$12^2)),0)</x:f>
        <x:v>300469.36573465914</x:v>
      </x:c>
      <x:c r="E402" s="78" t="n">
        <x:f>C402+D402</x:f>
        <x:v>826290.7557703136</x:v>
      </x:c>
      <x:c r="F402" s="78" t="n">
        <x:f>'Inputs'!$B$13*E402+(1-'Inputs'!$B$13)/'Inputs'!$B$14*SUM(E369:E402)</x:f>
        <x:v>569670.1521995551</x:v>
      </x:c>
      <x:c r="G402" s="78" t="n">
        <x:f>F402*'Inputs'!$F$45</x:f>
        <x:v>398769.10653968854</x:v>
      </x:c>
      <x:c r="H402" s="78" t="n">
        <x:f>U401</x:f>
        <x:v>39062386.9428089</x:v>
      </x:c>
      <x:c r="I402" s="78" t="n">
        <x:f>V401</x:f>
        <x:v>416.7402105433857</x:v>
      </x:c>
      <x:c r="J402" s="79" t="n">
        <x:f>IF(H402&gt;0,I402/H402,0)</x:f>
        <x:v>0.000010668580267599457</x:v>
      </x:c>
      <x:c r="K402" s="80" t="n">
        <x:f>(H402*J402+I402)*'Inputs'!$D$45*(1+'Inputs'!$G$45)^(B402/30)</x:f>
        <x:v>416.7402105433857</x:v>
      </x:c>
      <x:c r="L402" s="80" t="n">
        <x:f>MAX(0,K402*'Inputs'!$E$45)</x:f>
        <x:v>0</x:v>
      </x:c>
      <x:c r="M402" s="80" t="n">
        <x:f>MAX(0,-K402*'Inputs'!$E$45)</x:f>
        <x:v>20.837010527169284</x:v>
      </x:c>
      <x:c r="N402" s="78" t="n">
        <x:f>H402*(L402*(1-'Inputs'!$B$15))/(I402+L402*(1-'Inputs'!$B$15))</x:f>
        <x:v>0</x:v>
      </x:c>
      <x:c r="O402" s="78" t="n">
        <x:f>H402-N402</x:f>
        <x:v>39062386.9428089</x:v>
      </x:c>
      <x:c r="P402" s="78" t="n">
        <x:f>I402+L402*(1-'Inputs'!$B$17)</x:f>
        <x:v>416.7402105433857</x:v>
      </x:c>
      <x:c r="Q402" s="78" t="n">
        <x:f>IF(J402&gt;0,M402/J402,0)</x:f>
        <x:v>1953119.347140445</x:v>
      </x:c>
      <x:c r="R402" s="78" t="n">
        <x:f>IF(B402='Inputs'!$H$45,'Inputs'!$B$27*'Inputs'!$I$45,0)</x:f>
        <x:v>0</x:v>
      </x:c>
      <x:c r="S402" s="78" t="n">
        <x:f>Q402+G402+R402</x:f>
        <x:v>2351888.4536801334</x:v>
      </x:c>
      <x:c r="T402" s="78" t="n">
        <x:f>P402*(S402*(1-'Inputs'!$B$15))/(O402+S402*(1-'Inputs'!$B$15))</x:f>
        <x:v>23.443041544490924</x:v>
      </x:c>
      <x:c r="U402" s="78" t="n">
        <x:f>O402+S402*(1-'Inputs'!$B$17)</x:f>
        <x:v>41404811.056635186</x:v>
      </x:c>
      <x:c r="V402" s="78" t="n">
        <x:f>P402-T402</x:f>
        <x:v>393.29716899889473</x:v>
      </x:c>
      <x:c r="W402" s="79" t="n">
        <x:f>IF(U402&gt;0,V402/U402,0)</x:f>
        <x:v>0.00000949882776812885</x:v>
      </x:c>
      <x:c r="X402" s="80" t="n">
        <x:f>W402*('Inputs'!$B$6-AC402)</x:f>
        <x:v>9487.112218182629</x:v>
      </x:c>
      <x:c r="Y402" s="80" t="n">
        <x:f>2*V402</x:f>
        <x:v>786.5943379977895</x:v>
      </x:c>
      <x:c r="Z402" s="80" t="n">
        <x:f>K402*'Inputs'!$B$16+(G402+R402)*J402*'Inputs'!$B$16</x:f>
        <x:v>2.5259670645884595</x:v>
      </x:c>
      <x:c r="AA402" s="80" t="n">
        <x:f>K402*(1+'Inputs'!$E$45)/2*'Inputs'!$B$17</x:f>
        <x:v>0.7965859155255863</x:v>
      </x:c>
      <x:c r="AB402" s="78" t="n">
        <x:f>(IF(J402&gt;0,K402*(1-'Inputs'!$E$45)/2/J402,0)+G402+R402)*'Inputs'!$B$17</x:f>
        <x:v>84130.87425156686</x:v>
      </x:c>
      <x:c r="AC402" s="78" t="n">
        <x:f>AC401+AB402</x:f>
        <x:v>1233367.9725756922</x:v>
      </x:c>
      <x:c r="AD402" s="80" t="n">
        <x:f>Z402/(1+'Inputs'!$C$45)</x:f>
        <x:v>1.683978043058973</x:v>
      </x:c>
      <x:c r="AE402" s="80" t="n">
        <x:f>Z402-AD402</x:f>
        <x:v>0.8419890215294865</x:v>
      </x:c>
      <x:c r="AF402" s="80" t="n">
        <x:f>D402*W402</x:f>
        <x:v>2.8541067547124435</x:v>
      </x:c>
      <x:c r="AG402" s="80" t="n">
        <x:f>C402*W402</x:f>
        <x:v>4.994686820746785</x:v>
      </x:c>
      <x:c r="AH402" s="80" t="n">
        <x:f>2*'Inputs'!$B$8*'Inputs'!$C$45</x:f>
        <x:v>2500</x:v>
      </x:c>
      <x:c r="AI402" s="81" t="n">
        <x:f>IF(AH402&gt;0,(AE402+AF402)/AH402*365,0)</x:f>
        <x:v>0.5396299833313218</x:v>
      </x:c>
      <x:c r="AJ402" s="81" t="n">
        <x:f>IF('Inputs'!$B$45&gt;0,AG402/('Inputs'!$B$19*'Inputs'!$B$45)*365,0)</x:f>
        <x:v>0.24307475860967687</x:v>
      </x:c>
      <x:c r="AK402" s="81" t="n">
        <x:f>W402/MAX($W$369:W402)-1</x:f>
        <x:v>-0.987365768431827</x:v>
      </x:c>
      <x:c r="AL402" s="83" t="n">
        <x:f>'Inputs'!$B$45</x:f>
        <x:v>0.75</x:v>
      </x:c>
      <x:c r="AM402" s="83" t="n">
        <x:f>'Inputs'!$C$45</x:f>
        <x:v>0.5</x:v>
      </x:c>
      <x:c r="AN402" s="83" t="n">
        <x:f>'Inputs'!$D$45</x:f>
        <x:v>0.5</x:v>
      </x:c>
      <x:c r="AO402" s="81" t="n">
        <x:f>'Inputs'!$E$45</x:f>
        <x:v>-0.05</x:v>
      </x:c>
    </x:row>
    <x:row r="403">
      <x:c r="A403" s="59" t="str">
        <x:v>Weak demand</x:v>
      </x:c>
      <x:c r="B403" s="59" t="n">
        <x:v>35</x:v>
      </x:c>
      <x:c r="C403" s="78" t="n">
        <x:f>(('Inputs'!$B$29*(3*35*'Inputs'!$B$12-35^2)/(2*'Inputs'!$B$12^2))-('Inputs'!$B$29*(3*34*'Inputs'!$B$12-34^2)/(2*'Inputs'!$B$12^2)))*'Inputs'!$B$45</x:f>
        <x:v>525577.5591105251</x:v>
      </x:c>
      <x:c r="D403" s="78" t="n">
        <x:f>IF('Inputs'!$C$45&gt;0,('Inputs'!$B$30*(3*35*'Inputs'!$B$12-35^2)/(2*'Inputs'!$B$12^2))-('Inputs'!$B$30*(3*34*'Inputs'!$B$12-34^2)/(2*'Inputs'!$B$12^2)),0)</x:f>
        <x:v>300330.0337774437</x:v>
      </x:c>
      <x:c r="E403" s="78" t="n">
        <x:f>C403+D403</x:f>
        <x:v>825907.5928879688</x:v>
      </x:c>
      <x:c r="F403" s="78" t="n">
        <x:f>'Inputs'!$B$13*E403+(1-'Inputs'!$B$13)/'Inputs'!$B$14*SUM(E369:E403)</x:f>
        <x:v>581392.1995214857</x:v>
      </x:c>
      <x:c r="G403" s="78" t="n">
        <x:f>F403*'Inputs'!$F$45</x:f>
        <x:v>406974.53966504</x:v>
      </x:c>
      <x:c r="H403" s="78" t="n">
        <x:f>U402</x:f>
        <x:v>41404811.056635186</x:v>
      </x:c>
      <x:c r="I403" s="78" t="n">
        <x:f>V402</x:f>
        <x:v>393.29716899889473</x:v>
      </x:c>
      <x:c r="J403" s="79" t="n">
        <x:f>IF(H403&gt;0,I403/H403,0)</x:f>
        <x:v>0.00000949882776812885</x:v>
      </x:c>
      <x:c r="K403" s="80" t="n">
        <x:f>(H403*J403+I403)*'Inputs'!$D$45*(1+'Inputs'!$G$45)^(B403/30)</x:f>
        <x:v>393.29716899889473</x:v>
      </x:c>
      <x:c r="L403" s="80" t="n">
        <x:f>MAX(0,K403*'Inputs'!$E$45)</x:f>
        <x:v>0</x:v>
      </x:c>
      <x:c r="M403" s="80" t="n">
        <x:f>MAX(0,-K403*'Inputs'!$E$45)</x:f>
        <x:v>19.664858449944738</x:v>
      </x:c>
      <x:c r="N403" s="78" t="n">
        <x:f>H403*(L403*(1-'Inputs'!$B$15))/(I403+L403*(1-'Inputs'!$B$15))</x:f>
        <x:v>0</x:v>
      </x:c>
      <x:c r="O403" s="78" t="n">
        <x:f>H403-N403</x:f>
        <x:v>41404811.056635186</x:v>
      </x:c>
      <x:c r="P403" s="78" t="n">
        <x:f>I403+L403*(1-'Inputs'!$B$17)</x:f>
        <x:v>393.29716899889473</x:v>
      </x:c>
      <x:c r="Q403" s="78" t="n">
        <x:f>IF(J403&gt;0,M403/J403,0)</x:f>
        <x:v>2070240.5528317594</x:v>
      </x:c>
      <x:c r="R403" s="78" t="n">
        <x:f>IF(B403='Inputs'!$H$45,'Inputs'!$B$27*'Inputs'!$I$45,0)</x:f>
        <x:v>0</x:v>
      </x:c>
      <x:c r="S403" s="78" t="n">
        <x:f>Q403+G403+R403</x:f>
        <x:v>2477215.0924967993</x:v>
      </x:c>
      <x:c r="T403" s="78" t="n">
        <x:f>P403*(S403*(1-'Inputs'!$B$15))/(O403+S403*(1-'Inputs'!$B$15))</x:f>
        <x:v>21.99268714112734</x:v>
      </x:c>
      <x:c r="U403" s="78" t="n">
        <x:f>O403+S403*(1-'Inputs'!$B$17)</x:f>
        <x:v>43872057.476727575</x:v>
      </x:c>
      <x:c r="V403" s="78" t="n">
        <x:f>P403-T403</x:f>
        <x:v>371.30448185776737</x:v>
      </x:c>
      <x:c r="W403" s="79" t="n">
        <x:f>IF(U403&gt;0,V403/U403,0)</x:f>
        <x:v>0.000008463347816653686</x:v>
      </x:c>
      <x:c r="X403" s="80" t="n">
        <x:f>W403*('Inputs'!$B$6-AC403)</x:f>
        <x:v>8452.15520293179</x:v>
      </x:c>
      <x:c r="Y403" s="80" t="n">
        <x:f>2*V403</x:f>
        <x:v>742.6089637155347</x:v>
      </x:c>
      <x:c r="Z403" s="80" t="n">
        <x:f>K403*'Inputs'!$B$16+(G403+R403)*J403*'Inputs'!$B$16</x:f>
        <x:v>2.382977700343119</x:v>
      </x:c>
      <x:c r="AA403" s="80" t="n">
        <x:f>K403*(1+'Inputs'!$E$45)/2*'Inputs'!$B$17</x:f>
        <x:v>0.7517752727343059</x:v>
      </x:c>
      <x:c r="AB403" s="78" t="n">
        <x:f>(IF(J403&gt;0,K403*(1-'Inputs'!$E$45)/2/J403,0)+G403+R403)*'Inputs'!$B$17</x:f>
        <x:v>89112.67744224754</x:v>
      </x:c>
      <x:c r="AC403" s="78" t="n">
        <x:f>AC402+AB403</x:f>
        <x:v>1322480.6500179397</x:v>
      </x:c>
      <x:c r="AD403" s="80" t="n">
        <x:f>Z403/(1+'Inputs'!$C$45)</x:f>
        <x:v>1.588651800228746</x:v>
      </x:c>
      <x:c r="AE403" s="80" t="n">
        <x:f>Z403-AD403</x:f>
        <x:v>0.794325900114373</x:v>
      </x:c>
      <x:c r="AF403" s="80" t="n">
        <x:f>D403*W403</x:f>
        <x:v>2.541797535645856</x:v>
      </x:c>
      <x:c r="AG403" s="80" t="n">
        <x:f>C403*W403</x:f>
        <x:v>4.4481456873802365</x:v>
      </x:c>
      <x:c r="AH403" s="80" t="n">
        <x:f>2*'Inputs'!$B$8*'Inputs'!$C$45</x:f>
        <x:v>2500</x:v>
      </x:c>
      <x:c r="AI403" s="81" t="n">
        <x:f>IF(AH403&gt;0,(AE403+AF403)/AH403*365,0)</x:f>
        <x:v>0.4870740216209934</x:v>
      </x:c>
      <x:c r="AJ403" s="81" t="n">
        <x:f>IF('Inputs'!$B$45&gt;0,AG403/('Inputs'!$B$19*'Inputs'!$B$45)*365,0)</x:f>
        <x:v>0.21647642345250487</x:v>
      </x:c>
      <x:c r="AK403" s="81" t="n">
        <x:f>W403/MAX($W$369:W403)-1</x:f>
        <x:v>-0.9887430429556407</x:v>
      </x:c>
      <x:c r="AL403" s="83" t="n">
        <x:f>'Inputs'!$B$45</x:f>
        <x:v>0.75</x:v>
      </x:c>
      <x:c r="AM403" s="83" t="n">
        <x:f>'Inputs'!$C$45</x:f>
        <x:v>0.5</x:v>
      </x:c>
      <x:c r="AN403" s="83" t="n">
        <x:f>'Inputs'!$D$45</x:f>
        <x:v>0.5</x:v>
      </x:c>
      <x:c r="AO403" s="81" t="n">
        <x:f>'Inputs'!$E$45</x:f>
        <x:v>-0.05</x:v>
      </x:c>
    </x:row>
    <x:row r="404">
      <x:c r="A404" s="59" t="str">
        <x:v>Weak demand</x:v>
      </x:c>
      <x:c r="B404" s="59" t="n">
        <x:v>36</x:v>
      </x:c>
      <x:c r="C404" s="78" t="n">
        <x:f>(('Inputs'!$B$29*(3*36*'Inputs'!$B$12-36^2)/(2*'Inputs'!$B$12^2))-('Inputs'!$B$29*(3*35*'Inputs'!$B$12-35^2)/(2*'Inputs'!$B$12^2)))*'Inputs'!$B$45</x:f>
        <x:v>525333.7281854013</x:v>
      </x:c>
      <x:c r="D404" s="78" t="n">
        <x:f>IF('Inputs'!$C$45&gt;0,('Inputs'!$B$30*(3*36*'Inputs'!$B$12-36^2)/(2*'Inputs'!$B$12^2))-('Inputs'!$B$30*(3*35*'Inputs'!$B$12-35^2)/(2*'Inputs'!$B$12^2)),0)</x:f>
        <x:v>300190.7018202301</x:v>
      </x:c>
      <x:c r="E404" s="78" t="n">
        <x:f>C404+D404</x:f>
        <x:v>825524.4300056314</x:v>
      </x:c>
      <x:c r="F404" s="78" t="n">
        <x:f>'Inputs'!$B$13*E404+(1-'Inputs'!$B$13)/'Inputs'!$B$14*SUM(E369:E404)</x:f>
        <x:v>593108.7730879558</x:v>
      </x:c>
      <x:c r="G404" s="78" t="n">
        <x:f>F404*'Inputs'!$F$45</x:f>
        <x:v>415176.14116156904</x:v>
      </x:c>
      <x:c r="H404" s="78" t="n">
        <x:f>U403</x:f>
        <x:v>43872057.476727575</x:v>
      </x:c>
      <x:c r="I404" s="78" t="n">
        <x:f>V403</x:f>
        <x:v>371.30448185776737</x:v>
      </x:c>
      <x:c r="J404" s="79" t="n">
        <x:f>IF(H404&gt;0,I404/H404,0)</x:f>
        <x:v>0.000008463347816653686</x:v>
      </x:c>
      <x:c r="K404" s="80" t="n">
        <x:f>(H404*J404+I404)*'Inputs'!$D$45*(1+'Inputs'!$G$45)^(B404/30)</x:f>
        <x:v>371.30448185776737</x:v>
      </x:c>
      <x:c r="L404" s="80" t="n">
        <x:f>MAX(0,K404*'Inputs'!$E$45)</x:f>
        <x:v>0</x:v>
      </x:c>
      <x:c r="M404" s="80" t="n">
        <x:f>MAX(0,-K404*'Inputs'!$E$45)</x:f>
        <x:v>18.565224092888368</x:v>
      </x:c>
      <x:c r="N404" s="78" t="n">
        <x:f>H404*(L404*(1-'Inputs'!$B$15))/(I404+L404*(1-'Inputs'!$B$15))</x:f>
        <x:v>0</x:v>
      </x:c>
      <x:c r="O404" s="78" t="n">
        <x:f>H404-N404</x:f>
        <x:v>43872057.476727575</x:v>
      </x:c>
      <x:c r="P404" s="78" t="n">
        <x:f>I404+L404*(1-'Inputs'!$B$17)</x:f>
        <x:v>371.30448185776737</x:v>
      </x:c>
      <x:c r="Q404" s="78" t="n">
        <x:f>IF(J404&gt;0,M404/J404,0)</x:f>
        <x:v>2193602.8738363786</x:v>
      </x:c>
      <x:c r="R404" s="78" t="n">
        <x:f>IF(B404='Inputs'!$H$45,'Inputs'!$B$27*'Inputs'!$I$45,0)</x:f>
        <x:v>0</x:v>
      </x:c>
      <x:c r="S404" s="78" t="n">
        <x:f>Q404+G404+R404</x:f>
        <x:v>2608779.0149979475</x:v>
      </x:c>
      <x:c r="T404" s="78" t="n">
        <x:f>P404*(S404*(1-'Inputs'!$B$15))/(O404+S404*(1-'Inputs'!$B$15))</x:f>
        <x:v>20.642988151785087</x:v>
      </x:c>
      <x:c r="U404" s="78" t="n">
        <x:f>O404+S404*(1-'Inputs'!$B$17)</x:f>
        <x:v>46470338.387037404</x:v>
      </x:c>
      <x:c r="V404" s="78" t="n">
        <x:f>P404-T404</x:f>
        <x:v>350.6614937059823</x:v>
      </x:c>
      <x:c r="W404" s="79" t="n">
        <x:f>IF(U404&gt;0,V404/U404,0)</x:f>
        <x:v>0.000007545920814809411</x:v>
      </x:c>
      <x:c r="X404" s="80" t="n">
        <x:f>W404*('Inputs'!$B$6-AC404)</x:f>
        <x:v>7535.229461233672</x:v>
      </x:c>
      <x:c r="Y404" s="80" t="n">
        <x:f>2*V404</x:f>
        <x:v>701.3229874119646</x:v>
      </x:c>
      <x:c r="Z404" s="80" t="n">
        <x:f>K404*'Inputs'!$B$16+(G404+R404)*J404*'Inputs'!$B$16</x:f>
        <x:v>2.248909571673563</x:v>
      </x:c>
      <x:c r="AA404" s="80" t="n">
        <x:f>K404*(1+'Inputs'!$E$45)/2*'Inputs'!$B$17</x:f>
        <x:v>0.709736937152674</x:v>
      </x:c>
      <x:c r="AB404" s="78" t="n">
        <x:f>(IF(J404&gt;0,K404*(1-'Inputs'!$E$45)/2/J404,0)+G404+R404)*'Inputs'!$B$17</x:f>
        <x:v>94358.17431164406</x:v>
      </x:c>
      <x:c r="AC404" s="78" t="n">
        <x:f>AC403+AB404</x:f>
        <x:v>1416838.824329584</x:v>
      </x:c>
      <x:c r="AD404" s="80" t="n">
        <x:f>Z404/(1+'Inputs'!$C$45)</x:f>
        <x:v>1.4992730477823752</x:v>
      </x:c>
      <x:c r="AE404" s="80" t="n">
        <x:f>Z404-AD404</x:f>
        <x:v>0.7496365238911877</x:v>
      </x:c>
      <x:c r="AF404" s="80" t="n">
        <x:f>D404*W404</x:f>
        <x:v>2.2652152652775195</x:v>
      </x:c>
      <x:c r="AG404" s="80" t="n">
        <x:f>C404*W404</x:f>
        <x:v>3.9641267142356487</x:v>
      </x:c>
      <x:c r="AH404" s="80" t="n">
        <x:f>2*'Inputs'!$B$8*'Inputs'!$C$45</x:f>
        <x:v>2500</x:v>
      </x:c>
      <x:c r="AI404" s="81" t="n">
        <x:f>IF(AH404&gt;0,(AE404+AF404)/AH404*365,0)</x:f>
        <x:v>0.4401683612186313</x:v>
      </x:c>
      <x:c r="AJ404" s="81" t="n">
        <x:f>IF('Inputs'!$B$45&gt;0,AG404/('Inputs'!$B$19*'Inputs'!$B$45)*365,0)</x:f>
        <x:v>0.19292083342613492</x:v>
      </x:c>
      <x:c r="AK404" s="81" t="n">
        <x:f>W404/MAX($W$369:W404)-1</x:f>
        <x:v>-0.9899632972302878</x:v>
      </x:c>
      <x:c r="AL404" s="83" t="n">
        <x:f>'Inputs'!$B$45</x:f>
        <x:v>0.75</x:v>
      </x:c>
      <x:c r="AM404" s="83" t="n">
        <x:f>'Inputs'!$C$45</x:f>
        <x:v>0.5</x:v>
      </x:c>
      <x:c r="AN404" s="83" t="n">
        <x:f>'Inputs'!$D$45</x:f>
        <x:v>0.5</x:v>
      </x:c>
      <x:c r="AO404" s="81" t="n">
        <x:f>'Inputs'!$E$45</x:f>
        <x:v>-0.05</x:v>
      </x:c>
    </x:row>
    <x:row r="405">
      <x:c r="A405" s="59" t="str">
        <x:v>Weak demand</x:v>
      </x:c>
      <x:c r="B405" s="59" t="n">
        <x:v>37</x:v>
      </x:c>
      <x:c r="C405" s="78" t="n">
        <x:f>(('Inputs'!$B$29*(3*37*'Inputs'!$B$12-37^2)/(2*'Inputs'!$B$12^2))-('Inputs'!$B$29*(3*36*'Inputs'!$B$12-36^2)/(2*'Inputs'!$B$12^2)))*'Inputs'!$B$45</x:f>
        <x:v>525089.8972602747</x:v>
      </x:c>
      <x:c r="D405" s="78" t="n">
        <x:f>IF('Inputs'!$C$45&gt;0,('Inputs'!$B$30*(3*37*'Inputs'!$B$12-37^2)/(2*'Inputs'!$B$12^2))-('Inputs'!$B$30*(3*36*'Inputs'!$B$12-36^2)/(2*'Inputs'!$B$12^2)),0)</x:f>
        <x:v>300051.3698630128</x:v>
      </x:c>
      <x:c r="E405" s="78" t="n">
        <x:f>C405+D405</x:f>
        <x:v>825141.2671232875</x:v>
      </x:c>
      <x:c r="F405" s="78" t="n">
        <x:f>'Inputs'!$B$13*E405+(1-'Inputs'!$B$13)/'Inputs'!$B$14*SUM(E369:E405)</x:f>
        <x:v>604819.8728989626</x:v>
      </x:c>
      <x:c r="G405" s="78" t="n">
        <x:f>F405*'Inputs'!$F$45</x:f>
        <x:v>423373.91102927376</x:v>
      </x:c>
      <x:c r="H405" s="78" t="n">
        <x:f>U404</x:f>
        <x:v>46470338.387037404</x:v>
      </x:c>
      <x:c r="I405" s="78" t="n">
        <x:f>V404</x:f>
        <x:v>350.6614937059823</x:v>
      </x:c>
      <x:c r="J405" s="79" t="n">
        <x:f>IF(H405&gt;0,I405/H405,0)</x:f>
        <x:v>0.000007545920814809411</x:v>
      </x:c>
      <x:c r="K405" s="80" t="n">
        <x:f>(H405*J405+I405)*'Inputs'!$D$45*(1+'Inputs'!$G$45)^(B405/30)</x:f>
        <x:v>350.6614937059823</x:v>
      </x:c>
      <x:c r="L405" s="80" t="n">
        <x:f>MAX(0,K405*'Inputs'!$E$45)</x:f>
        <x:v>0</x:v>
      </x:c>
      <x:c r="M405" s="80" t="n">
        <x:f>MAX(0,-K405*'Inputs'!$E$45)</x:f>
        <x:v>17.533074685299116</x:v>
      </x:c>
      <x:c r="N405" s="78" t="n">
        <x:f>H405*(L405*(1-'Inputs'!$B$15))/(I405+L405*(1-'Inputs'!$B$15))</x:f>
        <x:v>0</x:v>
      </x:c>
      <x:c r="O405" s="78" t="n">
        <x:f>H405-N405</x:f>
        <x:v>46470338.387037404</x:v>
      </x:c>
      <x:c r="P405" s="78" t="n">
        <x:f>I405+L405*(1-'Inputs'!$B$17)</x:f>
        <x:v>350.6614937059823</x:v>
      </x:c>
      <x:c r="Q405" s="78" t="n">
        <x:f>IF(J405&gt;0,M405/J405,0)</x:f>
        <x:v>2323516.91935187</x:v>
      </x:c>
      <x:c r="R405" s="78" t="n">
        <x:f>IF(B405='Inputs'!$H$45,'Inputs'!$B$27*'Inputs'!$I$45,0)</x:f>
        <x:v>0</x:v>
      </x:c>
      <x:c r="S405" s="78" t="n">
        <x:f>Q405+G405+R405</x:f>
        <x:v>2746890.830381144</x:v>
      </x:c>
      <x:c r="T405" s="78" t="n">
        <x:f>P405*(S405*(1-'Inputs'!$B$15))/(O405+S405*(1-'Inputs'!$B$15))</x:f>
        <x:v>19.38607846876887</x:v>
      </x:c>
      <x:c r="U405" s="78" t="n">
        <x:f>O405+S405*(1-'Inputs'!$B$17)</x:f>
        <x:v>49206175.330777176</x:v>
      </x:c>
      <x:c r="V405" s="78" t="n">
        <x:f>P405-T405</x:f>
        <x:v>331.27541523721345</x:v>
      </x:c>
      <x:c r="W405" s="79" t="n">
        <x:f>IF(U405&gt;0,V405/U405,0)</x:f>
        <x:v>0.000006732395131511254</x:v>
      </x:c>
      <x:c r="X405" s="80" t="n">
        <x:f>W405*('Inputs'!$B$6-AC405)</x:f>
        <x:v>6722.183977789032</x:v>
      </x:c>
      <x:c r="Y405" s="80" t="n">
        <x:f>2*V405</x:f>
        <x:v>662.5508304744269</x:v>
      </x:c>
      <x:c r="Z405" s="80" t="n">
        <x:f>K405*'Inputs'!$B$16+(G405+R405)*J405*'Inputs'!$B$16</x:f>
        <x:v>2.123137438281992</x:v>
      </x:c>
      <x:c r="AA405" s="80" t="n">
        <x:f>K405*(1+'Inputs'!$E$45)/2*'Inputs'!$B$17</x:f>
        <x:v>0.670278509095942</x:v>
      </x:c>
      <x:c r="AB405" s="78" t="n">
        <x:f>(IF(J405&gt;0,K405*(1-'Inputs'!$E$45)/2/J405,0)+G405+R405)*'Inputs'!$B$17</x:f>
        <x:v>99880.48919204794</x:v>
      </x:c>
      <x:c r="AC405" s="78" t="n">
        <x:f>AC404+AB405</x:f>
        <x:v>1516719.3135216318</x:v>
      </x:c>
      <x:c r="AD405" s="80" t="n">
        <x:f>Z405/(1+'Inputs'!$C$45)</x:f>
        <x:v>1.4154249588546612</x:v>
      </x:c>
      <x:c r="AE405" s="80" t="n">
        <x:f>Z405-AD405</x:f>
        <x:v>0.7077124794273306</x:v>
      </x:c>
      <x:c r="AF405" s="80" t="n">
        <x:f>D405*W405</x:f>
        <x:v>2.0200643816690302</x:v>
      </x:c>
      <x:c r="AG405" s="80" t="n">
        <x:f>C405*W405</x:f>
        <x:v>3.5351126679208185</x:v>
      </x:c>
      <x:c r="AH405" s="80" t="n">
        <x:f>2*'Inputs'!$B$8*'Inputs'!$C$45</x:f>
        <x:v>2500</x:v>
      </x:c>
      <x:c r="AI405" s="81" t="n">
        <x:f>IF(AH405&gt;0,(AE405+AF405)/AH405*365,0)</x:f>
        <x:v>0.3982554217200687</x:v>
      </x:c>
      <x:c r="AJ405" s="81" t="n">
        <x:f>IF('Inputs'!$B$45&gt;0,AG405/('Inputs'!$B$19*'Inputs'!$B$45)*365,0)</x:f>
        <x:v>0.17204214983881316</x:v>
      </x:c>
      <x:c r="AK405" s="81" t="n">
        <x:f>W405/MAX($W$369:W405)-1</x:f>
        <x:v>-0.9910453541030243</x:v>
      </x:c>
      <x:c r="AL405" s="83" t="n">
        <x:f>'Inputs'!$B$45</x:f>
        <x:v>0.75</x:v>
      </x:c>
      <x:c r="AM405" s="83" t="n">
        <x:f>'Inputs'!$C$45</x:f>
        <x:v>0.5</x:v>
      </x:c>
      <x:c r="AN405" s="83" t="n">
        <x:f>'Inputs'!$D$45</x:f>
        <x:v>0.5</x:v>
      </x:c>
      <x:c r="AO405" s="81" t="n">
        <x:f>'Inputs'!$E$45</x:f>
        <x:v>-0.05</x:v>
      </x:c>
    </x:row>
    <x:row r="406">
      <x:c r="A406" s="59" t="str">
        <x:v>Weak demand</x:v>
      </x:c>
      <x:c r="B406" s="59" t="n">
        <x:v>38</x:v>
      </x:c>
      <x:c r="C406" s="78" t="n">
        <x:f>(('Inputs'!$B$29*(3*38*'Inputs'!$B$12-38^2)/(2*'Inputs'!$B$12^2))-('Inputs'!$B$29*(3*37*'Inputs'!$B$12-37^2)/(2*'Inputs'!$B$12^2)))*'Inputs'!$B$45</x:f>
        <x:v>524846.0663351482</x:v>
      </x:c>
      <x:c r="D406" s="78" t="n">
        <x:f>IF('Inputs'!$C$45&gt;0,('Inputs'!$B$30*(3*38*'Inputs'!$B$12-38^2)/(2*'Inputs'!$B$12^2))-('Inputs'!$B$30*(3*37*'Inputs'!$B$12-37^2)/(2*'Inputs'!$B$12^2)),0)</x:f>
        <x:v>299912.0379057992</x:v>
      </x:c>
      <x:c r="E406" s="78" t="n">
        <x:f>C406+D406</x:f>
        <x:v>824758.1042409474</x:v>
      </x:c>
      <x:c r="F406" s="78" t="n">
        <x:f>'Inputs'!$B$13*E406+(1-'Inputs'!$B$13)/'Inputs'!$B$14*SUM(E369:E406)</x:f>
        <x:v>616525.4989545081</x:v>
      </x:c>
      <x:c r="G406" s="78" t="n">
        <x:f>F406*'Inputs'!$F$45</x:f>
        <x:v>431567.84926815564</x:v>
      </x:c>
      <x:c r="H406" s="78" t="n">
        <x:f>U405</x:f>
        <x:v>49206175.330777176</x:v>
      </x:c>
      <x:c r="I406" s="78" t="n">
        <x:f>V405</x:f>
        <x:v>331.27541523721345</x:v>
      </x:c>
      <x:c r="J406" s="79" t="n">
        <x:f>IF(H406&gt;0,I406/H406,0)</x:f>
        <x:v>0.000006732395131511254</x:v>
      </x:c>
      <x:c r="K406" s="80" t="n">
        <x:f>(H406*J406+I406)*'Inputs'!$D$45*(1+'Inputs'!$G$45)^(B406/30)</x:f>
        <x:v>331.27541523721345</x:v>
      </x:c>
      <x:c r="L406" s="80" t="n">
        <x:f>MAX(0,K406*'Inputs'!$E$45)</x:f>
        <x:v>0</x:v>
      </x:c>
      <x:c r="M406" s="80" t="n">
        <x:f>MAX(0,-K406*'Inputs'!$E$45)</x:f>
        <x:v>16.563770761860674</x:v>
      </x:c>
      <x:c r="N406" s="78" t="n">
        <x:f>H406*(L406*(1-'Inputs'!$B$15))/(I406+L406*(1-'Inputs'!$B$15))</x:f>
        <x:v>0</x:v>
      </x:c>
      <x:c r="O406" s="78" t="n">
        <x:f>H406-N406</x:f>
        <x:v>49206175.330777176</x:v>
      </x:c>
      <x:c r="P406" s="78" t="n">
        <x:f>I406+L406*(1-'Inputs'!$B$17)</x:f>
        <x:v>331.27541523721345</x:v>
      </x:c>
      <x:c r="Q406" s="78" t="n">
        <x:f>IF(J406&gt;0,M406/J406,0)</x:f>
        <x:v>2460308.7665388593</x:v>
      </x:c>
      <x:c r="R406" s="78" t="n">
        <x:f>IF(B406='Inputs'!$H$45,'Inputs'!$B$27*'Inputs'!$I$45,0)</x:f>
        <x:v>0</x:v>
      </x:c>
      <x:c r="S406" s="78" t="n">
        <x:f>Q406+G406+R406</x:f>
        <x:v>2891876.615807015</x:v>
      </x:c>
      <x:c r="T406" s="78" t="n">
        <x:f>P406*(S406*(1-'Inputs'!$B$15))/(O406+S406*(1-'Inputs'!$B$15))</x:f>
        <x:v>18.2147750983807</x:v>
      </x:c>
      <x:c r="U406" s="78" t="n">
        <x:f>O406+S406*(1-'Inputs'!$B$17)</x:f>
        <x:v>52086414.61613829</x:v>
      </x:c>
      <x:c r="V406" s="78" t="n">
        <x:f>P406-T406</x:f>
        <x:v>313.06064013883275</x:v>
      </x:c>
      <x:c r="W406" s="79" t="n">
        <x:f>IF(U406&gt;0,V406/U406,0)</x:f>
        <x:v>0.000006010408711100554</x:v>
      </x:c>
      <x:c r="X406" s="80" t="n">
        <x:f>W406*('Inputs'!$B$6-AC406)</x:f>
        <x:v>6000.657347594253</x:v>
      </x:c>
      <x:c r="Y406" s="80" t="n">
        <x:f>2*V406</x:f>
        <x:v>626.1212802776655</x:v>
      </x:c>
      <x:c r="Z406" s="80" t="n">
        <x:f>K406*'Inputs'!$B$16+(G406+R406)*J406*'Inputs'!$B$16</x:f>
        <x:v>2.005085403147259</x:v>
      </x:c>
      <x:c r="AA406" s="80" t="n">
        <x:f>K406*(1+'Inputs'!$E$45)/2*'Inputs'!$B$17</x:f>
        <x:v>0.633222624698899</x:v>
      </x:c>
      <x:c r="AB406" s="78" t="n">
        <x:f>(IF(J406&gt;0,K406*(1-'Inputs'!$E$45)/2/J406,0)+G406+R406)*'Inputs'!$B$17</x:f>
        <x:v>105693.39999165463</x:v>
      </x:c>
      <x:c r="AC406" s="78" t="n">
        <x:f>AC405+AB406</x:f>
        <x:v>1622412.7135132863</x:v>
      </x:c>
      <x:c r="AD406" s="80" t="n">
        <x:f>Z406/(1+'Inputs'!$C$45)</x:f>
        <x:v>1.3367236020981725</x:v>
      </x:c>
      <x:c r="AE406" s="80" t="n">
        <x:f>Z406-AD406</x:f>
        <x:v>0.6683618010490864</x:v>
      </x:c>
      <x:c r="AF406" s="80" t="n">
        <x:f>D406*W406</x:f>
        <x:v>1.8025939251929353</x:v>
      </x:c>
      <x:c r="AG406" s="80" t="n">
        <x:f>C406*W406</x:f>
        <x:v>3.1545393690876335</x:v>
      </x:c>
      <x:c r="AH406" s="80" t="n">
        <x:f>2*'Inputs'!$B$8*'Inputs'!$C$45</x:f>
        <x:v>2500</x:v>
      </x:c>
      <x:c r="AI406" s="81" t="n">
        <x:f>IF(AH406&gt;0,(AE406+AF406)/AH406*365,0)</x:f>
        <x:v>0.36075953603133515</x:v>
      </x:c>
      <x:c r="AJ406" s="81" t="n">
        <x:f>IF('Inputs'!$B$45&gt;0,AG406/('Inputs'!$B$19*'Inputs'!$B$45)*365,0)</x:f>
        <x:v>0.15352091596226483</x:v>
      </x:c>
      <x:c r="AK406" s="81" t="n">
        <x:f>W406/MAX($W$369:W406)-1</x:f>
        <x:v>-0.9920056561368343</x:v>
      </x:c>
      <x:c r="AL406" s="83" t="n">
        <x:f>'Inputs'!$B$45</x:f>
        <x:v>0.75</x:v>
      </x:c>
      <x:c r="AM406" s="83" t="n">
        <x:f>'Inputs'!$C$45</x:f>
        <x:v>0.5</x:v>
      </x:c>
      <x:c r="AN406" s="83" t="n">
        <x:f>'Inputs'!$D$45</x:f>
        <x:v>0.5</x:v>
      </x:c>
      <x:c r="AO406" s="81" t="n">
        <x:f>'Inputs'!$E$45</x:f>
        <x:v>-0.05</x:v>
      </x:c>
    </x:row>
    <x:row r="407">
      <x:c r="A407" s="59" t="str">
        <x:v>Weak demand</x:v>
      </x:c>
      <x:c r="B407" s="59" t="n">
        <x:v>39</x:v>
      </x:c>
      <x:c r="C407" s="78" t="n">
        <x:f>(('Inputs'!$B$29*(3*39*'Inputs'!$B$12-39^2)/(2*'Inputs'!$B$12^2))-('Inputs'!$B$29*(3*38*'Inputs'!$B$12-38^2)/(2*'Inputs'!$B$12^2)))*'Inputs'!$B$45</x:f>
        <x:v>524602.2354100188</x:v>
      </x:c>
      <x:c r="D407" s="78" t="n">
        <x:f>IF('Inputs'!$C$45&gt;0,('Inputs'!$B$30*(3*39*'Inputs'!$B$12-39^2)/(2*'Inputs'!$B$12^2))-('Inputs'!$B$30*(3*38*'Inputs'!$B$12-38^2)/(2*'Inputs'!$B$12^2)),0)</x:f>
        <x:v>299772.7059485819</x:v>
      </x:c>
      <x:c r="E407" s="78" t="n">
        <x:f>C407+D407</x:f>
        <x:v>824374.9413586007</x:v>
      </x:c>
      <x:c r="F407" s="78" t="n">
        <x:f>'Inputs'!$B$13*E407+(1-'Inputs'!$B$13)/'Inputs'!$B$14*SUM(E369:E407)</x:f>
        <x:v>628225.6512545901</x:v>
      </x:c>
      <x:c r="G407" s="78" t="n">
        <x:f>F407*'Inputs'!$F$45</x:f>
        <x:v>439757.95587821305</x:v>
      </x:c>
      <x:c r="H407" s="78" t="n">
        <x:f>U406</x:f>
        <x:v>52086414.61613829</x:v>
      </x:c>
      <x:c r="I407" s="78" t="n">
        <x:f>V406</x:f>
        <x:v>313.06064013883275</x:v>
      </x:c>
      <x:c r="J407" s="79" t="n">
        <x:f>IF(H407&gt;0,I407/H407,0)</x:f>
        <x:v>0.000006010408711100554</x:v>
      </x:c>
      <x:c r="K407" s="80" t="n">
        <x:f>(H407*J407+I407)*'Inputs'!$D$45*(1+'Inputs'!$G$45)^(B407/30)</x:f>
        <x:v>313.06064013883275</x:v>
      </x:c>
      <x:c r="L407" s="80" t="n">
        <x:f>MAX(0,K407*'Inputs'!$E$45)</x:f>
        <x:v>0</x:v>
      </x:c>
      <x:c r="M407" s="80" t="n">
        <x:f>MAX(0,-K407*'Inputs'!$E$45)</x:f>
        <x:v>15.653032006941638</x:v>
      </x:c>
      <x:c r="N407" s="78" t="n">
        <x:f>H407*(L407*(1-'Inputs'!$B$15))/(I407+L407*(1-'Inputs'!$B$15))</x:f>
        <x:v>0</x:v>
      </x:c>
      <x:c r="O407" s="78" t="n">
        <x:f>H407-N407</x:f>
        <x:v>52086414.61613829</x:v>
      </x:c>
      <x:c r="P407" s="78" t="n">
        <x:f>I407+L407*(1-'Inputs'!$B$17)</x:f>
        <x:v>313.06064013883275</x:v>
      </x:c>
      <x:c r="Q407" s="78" t="n">
        <x:f>IF(J407&gt;0,M407/J407,0)</x:f>
        <x:v>2604320.730806914</x:v>
      </x:c>
      <x:c r="R407" s="78" t="n">
        <x:f>IF(B407='Inputs'!$H$45,'Inputs'!$B$27*'Inputs'!$I$45,0)</x:f>
        <x:v>0</x:v>
      </x:c>
      <x:c r="S407" s="78" t="n">
        <x:f>Q407+G407+R407</x:f>
        <x:v>3044078.686685127</x:v>
      </x:c>
      <x:c r="T407" s="78" t="n">
        <x:f>P407*(S407*(1-'Inputs'!$B$15))/(O407+S407*(1-'Inputs'!$B$15))</x:f>
        <x:v>17.1225138086854</x:v>
      </x:c>
      <x:c r="U407" s="78" t="n">
        <x:f>O407+S407*(1-'Inputs'!$B$17)</x:f>
        <x:v>55118243.4891949</x:v>
      </x:c>
      <x:c r="V407" s="78" t="n">
        <x:f>P407-T407</x:f>
        <x:v>295.9381263301473</x:v>
      </x:c>
      <x:c r="W407" s="79" t="n">
        <x:f>IF(U407&gt;0,V407/U407,0)</x:f>
        <x:v>0.00000536915016873064</x:v>
      </x:c>
      <x:c r="X407" s="80" t="n">
        <x:f>W407*('Inputs'!$B$6-AC407)</x:f>
        <x:v>5359.838859196046</x:v>
      </x:c>
      <x:c r="Y407" s="80" t="n">
        <x:f>2*V407</x:f>
        <x:v>591.8762526602947</x:v>
      </x:c>
      <x:c r="Z407" s="80" t="n">
        <x:f>K407*'Inputs'!$B$16+(G407+R407)*J407*'Inputs'!$B$16</x:f>
        <x:v>1.8942225911257138</x:v>
      </x:c>
      <x:c r="AA407" s="80" t="n">
        <x:f>K407*(1+'Inputs'!$E$45)/2*'Inputs'!$B$17</x:f>
        <x:v>0.5984056501647709</x:v>
      </x:c>
      <x:c r="AB407" s="78" t="n">
        <x:f>(IF(J407&gt;0,K407*(1-'Inputs'!$E$45)/2/J407,0)+G407+R407)*'Inputs'!$B$17</x:f>
        <x:v>111811.37074185439</x:v>
      </x:c>
      <x:c r="AC407" s="78" t="n">
        <x:f>AC406+AB407</x:f>
        <x:v>1734224.0842551407</x:v>
      </x:c>
      <x:c r="AD407" s="80" t="n">
        <x:f>Z407/(1+'Inputs'!$C$45)</x:f>
        <x:v>1.2628150607504758</x:v>
      </x:c>
      <x:c r="AE407" s="80" t="n">
        <x:f>Z407-AD407</x:f>
        <x:v>0.631407530375238</x:v>
      </x:c>
      <x:c r="AF407" s="80" t="n">
        <x:f>D407*W407</x:f>
        <x:v>1.6095246747246692</x:v>
      </x:c>
      <x:c r="AG407" s="80" t="n">
        <x:f>C407*W407</x:f>
        <x:v>2.8166681807681737</x:v>
      </x:c>
      <x:c r="AH407" s="80" t="n">
        <x:f>2*'Inputs'!$B$8*'Inputs'!$C$45</x:f>
        <x:v>2500</x:v>
      </x:c>
      <x:c r="AI407" s="81" t="n">
        <x:f>IF(AH407&gt;0,(AE407+AF407)/AH407*365,0)</x:f>
        <x:v>0.32717610194458646</x:v>
      </x:c>
      <x:c r="AJ407" s="81" t="n">
        <x:f>IF('Inputs'!$B$45&gt;0,AG407/('Inputs'!$B$19*'Inputs'!$B$45)*365,0)</x:f>
        <x:v>0.13707785146405113</x:v>
      </x:c>
      <x:c r="AK407" s="81" t="n">
        <x:f>W407/MAX($W$369:W407)-1</x:f>
        <x:v>-0.9928585833734513</x:v>
      </x:c>
      <x:c r="AL407" s="83" t="n">
        <x:f>'Inputs'!$B$45</x:f>
        <x:v>0.75</x:v>
      </x:c>
      <x:c r="AM407" s="83" t="n">
        <x:f>'Inputs'!$C$45</x:f>
        <x:v>0.5</x:v>
      </x:c>
      <x:c r="AN407" s="83" t="n">
        <x:f>'Inputs'!$D$45</x:f>
        <x:v>0.5</x:v>
      </x:c>
      <x:c r="AO407" s="81" t="n">
        <x:f>'Inputs'!$E$45</x:f>
        <x:v>-0.05</x:v>
      </x:c>
    </x:row>
    <x:row r="408">
      <x:c r="A408" s="59" t="str">
        <x:v>Weak demand</x:v>
      </x:c>
      <x:c r="B408" s="59" t="n">
        <x:v>40</x:v>
      </x:c>
      <x:c r="C408" s="78" t="n">
        <x:f>(('Inputs'!$B$29*(3*40*'Inputs'!$B$12-40^2)/(2*'Inputs'!$B$12^2))-('Inputs'!$B$29*(3*39*'Inputs'!$B$12-39^2)/(2*'Inputs'!$B$12^2)))*'Inputs'!$B$45</x:f>
        <x:v>524358.404484895</x:v>
      </x:c>
      <x:c r="D408" s="78" t="n">
        <x:f>IF('Inputs'!$C$45&gt;0,('Inputs'!$B$30*(3*40*'Inputs'!$B$12-40^2)/(2*'Inputs'!$B$12^2))-('Inputs'!$B$30*(3*39*'Inputs'!$B$12-39^2)/(2*'Inputs'!$B$12^2)),0)</x:f>
        <x:v>299633.37399136834</x:v>
      </x:c>
      <x:c r="E408" s="78" t="n">
        <x:f>C408+D408</x:f>
        <x:v>823991.7784762634</x:v>
      </x:c>
      <x:c r="F408" s="78" t="n">
        <x:f>'Inputs'!$B$13*E408+(1-'Inputs'!$B$13)/'Inputs'!$B$14*SUM(E369:E408)</x:f>
        <x:v>639920.3297992122</x:v>
      </x:c>
      <x:c r="G408" s="78" t="n">
        <x:f>F408*'Inputs'!$F$45</x:f>
        <x:v>447944.2308594485</x:v>
      </x:c>
      <x:c r="H408" s="78" t="n">
        <x:f>U407</x:f>
        <x:v>55118243.4891949</x:v>
      </x:c>
      <x:c r="I408" s="78" t="n">
        <x:f>V407</x:f>
        <x:v>295.9381263301473</x:v>
      </x:c>
      <x:c r="J408" s="79" t="n">
        <x:f>IF(H408&gt;0,I408/H408,0)</x:f>
        <x:v>0.00000536915016873064</x:v>
      </x:c>
      <x:c r="K408" s="80" t="n">
        <x:f>(H408*J408+I408)*'Inputs'!$D$45*(1+'Inputs'!$G$45)^(B408/30)</x:f>
        <x:v>295.9381263301473</x:v>
      </x:c>
      <x:c r="L408" s="80" t="n">
        <x:f>MAX(0,K408*'Inputs'!$E$45)</x:f>
        <x:v>0</x:v>
      </x:c>
      <x:c r="M408" s="80" t="n">
        <x:f>MAX(0,-K408*'Inputs'!$E$45)</x:f>
        <x:v>14.796906316507368</x:v>
      </x:c>
      <x:c r="N408" s="78" t="n">
        <x:f>H408*(L408*(1-'Inputs'!$B$15))/(I408+L408*(1-'Inputs'!$B$15))</x:f>
        <x:v>0</x:v>
      </x:c>
      <x:c r="O408" s="78" t="n">
        <x:f>H408-N408</x:f>
        <x:v>55118243.4891949</x:v>
      </x:c>
      <x:c r="P408" s="78" t="n">
        <x:f>I408+L408*(1-'Inputs'!$B$17)</x:f>
        <x:v>295.9381263301473</x:v>
      </x:c>
      <x:c r="Q408" s="78" t="n">
        <x:f>IF(J408&gt;0,M408/J408,0)</x:f>
        <x:v>2755912.174459745</x:v>
      </x:c>
      <x:c r="R408" s="78" t="n">
        <x:f>IF(B408='Inputs'!$H$45,'Inputs'!$B$27*'Inputs'!$I$45,0)</x:f>
        <x:v>0</x:v>
      </x:c>
      <x:c r="S408" s="78" t="n">
        <x:f>Q408+G408+R408</x:f>
        <x:v>3203856.405319194</x:v>
      </x:c>
      <x:c r="T408" s="78" t="n">
        <x:f>P408*(S408*(1-'Inputs'!$B$15))/(O408+S408*(1-'Inputs'!$B$15))</x:f>
        <x:v>16.10329115427217</x:v>
      </x:c>
      <x:c r="U408" s="78" t="n">
        <x:f>O408+S408*(1-'Inputs'!$B$17)</x:f>
        <x:v>58309207.11219893</x:v>
      </x:c>
      <x:c r="V408" s="78" t="n">
        <x:f>P408-T408</x:f>
        <x:v>279.8348351758751</x:v>
      </x:c>
      <x:c r="W408" s="79" t="n">
        <x:f>IF(U408&gt;0,V408/U408,0)</x:f>
        <x:v>0.000004799153496246575</x:v>
      </x:c>
      <x:c r="X408" s="80" t="n">
        <x:f>W408*('Inputs'!$B$6-AC408)</x:f>
        <x:v>4790.263190756392</x:v>
      </x:c>
      <x:c r="Y408" s="80" t="n">
        <x:f>2*V408</x:f>
        <x:v>559.6696703517503</x:v>
      </x:c>
      <x:c r="Z408" s="80" t="n">
        <x:f>K408*'Inputs'!$B$16+(G408+R408)*J408*'Inputs'!$B$16</x:f>
        <x:v>1.7900592370370896</x:v>
      </x:c>
      <x:c r="AA408" s="80" t="n">
        <x:f>K408*(1+'Inputs'!$E$45)/2*'Inputs'!$B$17</x:f>
        <x:v>0.5656764990214084</x:v>
      </x:c>
      <x:c r="AB408" s="78" t="n">
        <x:f>(IF(J408&gt;0,K408*(1-'Inputs'!$E$45)/2/J408,0)+G408+R408)*'Inputs'!$B$17</x:f>
        <x:v>118249.58576533913</x:v>
      </x:c>
      <x:c r="AC408" s="78" t="n">
        <x:f>AC407+AB408</x:f>
        <x:v>1852473.67002048</x:v>
      </x:c>
      <x:c r="AD408" s="80" t="n">
        <x:f>Z408/(1+'Inputs'!$C$45)</x:f>
        <x:v>1.193372824691393</x:v>
      </x:c>
      <x:c r="AE408" s="80" t="n">
        <x:f>Z408-AD408</x:f>
        <x:v>0.5966864123456965</x:v>
      </x:c>
      <x:c r="AF408" s="80" t="n">
        <x:f>D408*W408</x:f>
        <x:v>1.437986554382833</x:v>
      </x:c>
      <x:c r="AG408" s="80" t="n">
        <x:f>C408*W408</x:f>
        <x:v>2.51647647016996</x:v>
      </x:c>
      <x:c r="AH408" s="80" t="n">
        <x:f>2*'Inputs'!$B$8*'Inputs'!$C$45</x:f>
        <x:v>2500</x:v>
      </x:c>
      <x:c r="AI408" s="81" t="n">
        <x:f>IF(AH408&gt;0,(AE408+AF408)/AH408*365,0)</x:f>
        <x:v>0.29706225314236534</x:v>
      </x:c>
      <x:c r="AJ408" s="81" t="n">
        <x:f>IF('Inputs'!$B$45&gt;0,AG408/('Inputs'!$B$19*'Inputs'!$B$45)*365,0)</x:f>
        <x:v>0.12246852154827138</x:v>
      </x:c>
      <x:c r="AK408" s="81" t="n">
        <x:f>W408/MAX($W$369:W408)-1</x:f>
        <x:v>-0.9936167263916261</x:v>
      </x:c>
      <x:c r="AL408" s="83" t="n">
        <x:f>'Inputs'!$B$45</x:f>
        <x:v>0.75</x:v>
      </x:c>
      <x:c r="AM408" s="83" t="n">
        <x:f>'Inputs'!$C$45</x:f>
        <x:v>0.5</x:v>
      </x:c>
      <x:c r="AN408" s="83" t="n">
        <x:f>'Inputs'!$D$45</x:f>
        <x:v>0.5</x:v>
      </x:c>
      <x:c r="AO408" s="81" t="n">
        <x:f>'Inputs'!$E$45</x:f>
        <x:v>-0.05</x:v>
      </x:c>
    </x:row>
    <x:row r="409">
      <x:c r="A409" s="59" t="str">
        <x:v>Weak demand</x:v>
      </x:c>
      <x:c r="B409" s="59" t="n">
        <x:v>41</x:v>
      </x:c>
      <x:c r="C409" s="78" t="n">
        <x:f>(('Inputs'!$B$29*(3*41*'Inputs'!$B$12-41^2)/(2*'Inputs'!$B$12^2))-('Inputs'!$B$29*(3*40*'Inputs'!$B$12-40^2)/(2*'Inputs'!$B$12^2)))*'Inputs'!$B$45</x:f>
        <x:v>524114.5735597685</x:v>
      </x:c>
      <x:c r="D409" s="78" t="n">
        <x:f>IF('Inputs'!$C$45&gt;0,('Inputs'!$B$30*(3*41*'Inputs'!$B$12-41^2)/(2*'Inputs'!$B$12^2))-('Inputs'!$B$30*(3*40*'Inputs'!$B$12-40^2)/(2*'Inputs'!$B$12^2)),0)</x:f>
        <x:v>299494.0420341529</x:v>
      </x:c>
      <x:c r="E409" s="78" t="n">
        <x:f>C409+D409</x:f>
        <x:v>823608.6155939214</x:v>
      </x:c>
      <x:c r="F409" s="78" t="n">
        <x:f>'Inputs'!$B$13*E409+(1-'Inputs'!$B$13)/'Inputs'!$B$14*SUM(E369:E409)</x:f>
        <x:v>651609.5345883712</x:v>
      </x:c>
      <x:c r="G409" s="78" t="n">
        <x:f>F409*'Inputs'!$F$45</x:f>
        <x:v>456126.6742118598</x:v>
      </x:c>
      <x:c r="H409" s="78" t="n">
        <x:f>U408</x:f>
        <x:v>58309207.11219893</x:v>
      </x:c>
      <x:c r="I409" s="78" t="n">
        <x:f>V408</x:f>
        <x:v>279.8348351758751</x:v>
      </x:c>
      <x:c r="J409" s="79" t="n">
        <x:f>IF(H409&gt;0,I409/H409,0)</x:f>
        <x:v>0.000004799153496246575</x:v>
      </x:c>
      <x:c r="K409" s="80" t="n">
        <x:f>(H409*J409+I409)*'Inputs'!$D$45*(1+'Inputs'!$G$45)^(B409/30)</x:f>
        <x:v>279.8348351758751</x:v>
      </x:c>
      <x:c r="L409" s="80" t="n">
        <x:f>MAX(0,K409*'Inputs'!$E$45)</x:f>
        <x:v>0</x:v>
      </x:c>
      <x:c r="M409" s="80" t="n">
        <x:f>MAX(0,-K409*'Inputs'!$E$45)</x:f>
        <x:v>13.991741758793758</x:v>
      </x:c>
      <x:c r="N409" s="78" t="n">
        <x:f>H409*(L409*(1-'Inputs'!$B$15))/(I409+L409*(1-'Inputs'!$B$15))</x:f>
        <x:v>0</x:v>
      </x:c>
      <x:c r="O409" s="78" t="n">
        <x:f>H409-N409</x:f>
        <x:v>58309207.11219893</x:v>
      </x:c>
      <x:c r="P409" s="78" t="n">
        <x:f>I409+L409*(1-'Inputs'!$B$17)</x:f>
        <x:v>279.8348351758751</x:v>
      </x:c>
      <x:c r="Q409" s="78" t="n">
        <x:f>IF(J409&gt;0,M409/J409,0)</x:f>
        <x:v>2915460.3556099464</x:v>
      </x:c>
      <x:c r="R409" s="78" t="n">
        <x:f>IF(B409='Inputs'!$H$45,'Inputs'!$B$27*'Inputs'!$I$45,0)</x:f>
        <x:v>0</x:v>
      </x:c>
      <x:c r="S409" s="78" t="n">
        <x:f>Q409+G409+R409</x:f>
        <x:v>3371587.029821806</x:v>
      </x:c>
      <x:c r="T409" s="78" t="n">
        <x:f>P409*(S409*(1-'Inputs'!$B$15))/(O409+S409*(1-'Inputs'!$B$15))</x:f>
        <x:v>15.151612240997963</x:v>
      </x:c>
      <x:c r="U409" s="78" t="n">
        <x:f>O409+S409*(1-'Inputs'!$B$17)</x:f>
        <x:v>61667226.38737356</x:v>
      </x:c>
      <x:c r="V409" s="78" t="n">
        <x:f>P409-T409</x:f>
        <x:v>264.68322293487716</x:v>
      </x:c>
      <x:c r="W409" s="79" t="n">
        <x:f>IF(U409&gt;0,V409/U409,0)</x:f>
        <x:v>0.000004292121414253704</x:v>
      </x:c>
      <x:c r="X409" s="80" t="n">
        <x:f>W409*('Inputs'!$B$6-AC409)</x:f>
        <x:v>4283.633754219612</x:v>
      </x:c>
      <x:c r="Y409" s="80" t="n">
        <x:f>2*V409</x:f>
        <x:v>529.3664458697543</x:v>
      </x:c>
      <x:c r="Z409" s="80" t="n">
        <x:f>K409*'Inputs'!$B$16+(G409+R409)*J409*'Inputs'!$B$16</x:f>
        <x:v>1.6921431425949018</x:v>
      </x:c>
      <x:c r="AA409" s="80" t="n">
        <x:f>K409*(1+'Inputs'!$E$45)/2*'Inputs'!$B$17</x:f>
        <x:v>0.5348955601953348</x:v>
      </x:c>
      <x:c r="AB409" s="78" t="n">
        <x:f>(IF(J409&gt;0,K409*(1-'Inputs'!$E$45)/2/J409,0)+G409+R409)*'Inputs'!$B$17</x:f>
        <x:v>125023.98554573962</x:v>
      </x:c>
      <x:c r="AC409" s="78" t="n">
        <x:f>AC408+AB409</x:f>
        <x:v>1977497.6555662195</x:v>
      </x:c>
      <x:c r="AD409" s="80" t="n">
        <x:f>Z409/(1+'Inputs'!$C$45)</x:f>
        <x:v>1.1280954283966012</x:v>
      </x:c>
      <x:c r="AE409" s="80" t="n">
        <x:f>Z409-AD409</x:f>
        <x:v>0.5640477141983007</x:v>
      </x:c>
      <x:c r="AF409" s="80" t="n">
        <x:f>D409*W409</x:f>
        <x:v>1.2854647912561865</x:v>
      </x:c>
      <x:c r="AG409" s="80" t="n">
        <x:f>C409*W409</x:f>
        <x:v>2.2495633846983307</x:v>
      </x:c>
      <x:c r="AH409" s="80" t="n">
        <x:f>2*'Inputs'!$B$8*'Inputs'!$C$45</x:f>
        <x:v>2500</x:v>
      </x:c>
      <x:c r="AI409" s="81" t="n">
        <x:f>IF(AH409&gt;0,(AE409+AF409)/AH409*365,0)</x:f>
        <x:v>0.2700288257963551</x:v>
      </x:c>
      <x:c r="AJ409" s="81" t="n">
        <x:f>IF('Inputs'!$B$45&gt;0,AG409/('Inputs'!$B$19*'Inputs'!$B$45)*365,0)</x:f>
        <x:v>0.10947875138865208</x:v>
      </x:c>
      <x:c r="AK409" s="81" t="n">
        <x:f>W409/MAX($W$369:W409)-1</x:f>
        <x:v>-0.9942911212635791</x:v>
      </x:c>
      <x:c r="AL409" s="83" t="n">
        <x:f>'Inputs'!$B$45</x:f>
        <x:v>0.75</x:v>
      </x:c>
      <x:c r="AM409" s="83" t="n">
        <x:f>'Inputs'!$C$45</x:f>
        <x:v>0.5</x:v>
      </x:c>
      <x:c r="AN409" s="83" t="n">
        <x:f>'Inputs'!$D$45</x:f>
        <x:v>0.5</x:v>
      </x:c>
      <x:c r="AO409" s="81" t="n">
        <x:f>'Inputs'!$E$45</x:f>
        <x:v>-0.05</x:v>
      </x:c>
    </x:row>
    <x:row r="410">
      <x:c r="A410" s="59" t="str">
        <x:v>Weak demand</x:v>
      </x:c>
      <x:c r="B410" s="59" t="n">
        <x:v>42</x:v>
      </x:c>
      <x:c r="C410" s="78" t="n">
        <x:f>(('Inputs'!$B$29*(3*42*'Inputs'!$B$12-42^2)/(2*'Inputs'!$B$12^2))-('Inputs'!$B$29*(3*41*'Inputs'!$B$12-41^2)/(2*'Inputs'!$B$12^2)))*'Inputs'!$B$45</x:f>
        <x:v>523870.74263463914</x:v>
      </x:c>
      <x:c r="D410" s="78" t="n">
        <x:f>IF('Inputs'!$C$45&gt;0,('Inputs'!$B$30*(3*42*'Inputs'!$B$12-42^2)/(2*'Inputs'!$B$12^2))-('Inputs'!$B$30*(3*41*'Inputs'!$B$12-41^2)/(2*'Inputs'!$B$12^2)),0)</x:f>
        <x:v>299354.71007693745</x:v>
      </x:c>
      <x:c r="E410" s="78" t="n">
        <x:f>C410+D410</x:f>
        <x:v>823225.4527115766</x:v>
      </x:c>
      <x:c r="F410" s="78" t="n">
        <x:f>'Inputs'!$B$13*E410+(1-'Inputs'!$B$13)/'Inputs'!$B$14*SUM(E369:E410)</x:f>
        <x:v>663293.2656220675</x:v>
      </x:c>
      <x:c r="G410" s="78" t="n">
        <x:f>F410*'Inputs'!$F$45</x:f>
        <x:v>464305.2859354472</x:v>
      </x:c>
      <x:c r="H410" s="78" t="n">
        <x:f>U409</x:f>
        <x:v>61667226.38737356</x:v>
      </x:c>
      <x:c r="I410" s="78" t="n">
        <x:f>V409</x:f>
        <x:v>264.68322293487716</x:v>
      </x:c>
      <x:c r="J410" s="79" t="n">
        <x:f>IF(H410&gt;0,I410/H410,0)</x:f>
        <x:v>0.000004292121414253704</x:v>
      </x:c>
      <x:c r="K410" s="80" t="n">
        <x:f>(H410*J410+I410)*'Inputs'!$D$45*(1+'Inputs'!$G$45)^(B410/30)</x:f>
        <x:v>264.68322293487716</x:v>
      </x:c>
      <x:c r="L410" s="80" t="n">
        <x:f>MAX(0,K410*'Inputs'!$E$45)</x:f>
        <x:v>0</x:v>
      </x:c>
      <x:c r="M410" s="80" t="n">
        <x:f>MAX(0,-K410*'Inputs'!$E$45)</x:f>
        <x:v>13.234161146743858</x:v>
      </x:c>
      <x:c r="N410" s="78" t="n">
        <x:f>H410*(L410*(1-'Inputs'!$B$15))/(I410+L410*(1-'Inputs'!$B$15))</x:f>
        <x:v>0</x:v>
      </x:c>
      <x:c r="O410" s="78" t="n">
        <x:f>H410-N410</x:f>
        <x:v>61667226.38737356</x:v>
      </x:c>
      <x:c r="P410" s="78" t="n">
        <x:f>I410+L410*(1-'Inputs'!$B$17)</x:f>
        <x:v>264.68322293487716</x:v>
      </x:c>
      <x:c r="Q410" s="78" t="n">
        <x:f>IF(J410&gt;0,M410/J410,0)</x:f>
        <x:v>3083361.319368678</x:v>
      </x:c>
      <x:c r="R410" s="78" t="n">
        <x:f>IF(B410='Inputs'!$H$45,'Inputs'!$B$27*'Inputs'!$I$45,0)</x:f>
        <x:v>0</x:v>
      </x:c>
      <x:c r="S410" s="78" t="n">
        <x:f>Q410+G410+R410</x:f>
        <x:v>3547666.605304125</x:v>
      </x:c>
      <x:c r="T410" s="78" t="n">
        <x:f>P410*(S410*(1-'Inputs'!$B$15))/(O410+S410*(1-'Inputs'!$B$15))</x:f>
        <x:v>14.26244365279311</x:v>
      </x:c>
      <x:c r="U410" s="78" t="n">
        <x:f>O410+S410*(1-'Inputs'!$B$17)</x:f>
        <x:v>65200616.66831026</x:v>
      </x:c>
      <x:c r="V410" s="78" t="n">
        <x:f>P410-T410</x:f>
        <x:v>250.42077928208406</x:v>
      </x:c>
      <x:c r="W410" s="79" t="n">
        <x:f>IF(U410&gt;0,V410/U410,0)</x:f>
        <x:v>0.00000384077317176353</x:v>
      </x:c>
      <x:c r="X410" s="80" t="n">
        <x:f>W410*('Inputs'!$B$6-AC410)</x:f>
        <x:v>3832.670488636316</x:v>
      </x:c>
      <x:c r="Y410" s="80" t="n">
        <x:f>2*V410</x:f>
        <x:v>500.8415585641681</x:v>
      </x:c>
      <x:c r="Z410" s="80" t="n">
        <x:f>K410*'Inputs'!$B$16+(G410+R410)*J410*'Inputs'!$B$16</x:f>
        <x:v>1.6000564655723513</x:v>
      </x:c>
      <x:c r="AA410" s="80" t="n">
        <x:f>K410*(1+'Inputs'!$E$45)/2*'Inputs'!$B$17</x:f>
        <x:v>0.5059337259318578</x:v>
      </x:c>
      <x:c r="AB410" s="78" t="n">
        <x:f>(IF(J410&gt;0,K410*(1-'Inputs'!$E$45)/2/J410,0)+G410+R410)*'Inputs'!$B$17</x:f>
        <x:v>132151.30438352746</x:v>
      </x:c>
      <x:c r="AC410" s="78" t="n">
        <x:f>AC409+AB410</x:f>
        <x:v>2109648.9599497467</x:v>
      </x:c>
      <x:c r="AD410" s="80" t="n">
        <x:f>Z410/(1+'Inputs'!$C$45)</x:f>
        <x:v>1.0667043103815674</x:v>
      </x:c>
      <x:c r="AE410" s="80" t="n">
        <x:f>Z410-AD410</x:f>
        <x:v>0.5333521551907838</x:v>
      </x:c>
      <x:c r="AF410" s="80" t="n">
        <x:f>D410*W410</x:f>
        <x:v>1.149753539304551</x:v>
      </x:c>
      <x:c r="AG410" s="80" t="n">
        <x:f>C410*W410</x:f>
        <x:v>2.012068693782959</x:v>
      </x:c>
      <x:c r="AH410" s="80" t="n">
        <x:f>2*'Inputs'!$B$8*'Inputs'!$C$45</x:f>
        <x:v>2500</x:v>
      </x:c>
      <x:c r="AI410" s="81" t="n">
        <x:f>IF(AH410&gt;0,(AE410+AF410)/AH410*365,0)</x:f>
        <x:v>0.2457334313963189</x:v>
      </x:c>
      <x:c r="AJ410" s="81" t="n">
        <x:f>IF('Inputs'!$B$45&gt;0,AG410/('Inputs'!$B$19*'Inputs'!$B$45)*365,0)</x:f>
        <x:v>0.09792067643077067</x:v>
      </x:c>
      <x:c r="AK410" s="81" t="n">
        <x:f>W410/MAX($W$369:W410)-1</x:f>
        <x:v>-0.9948914519941395</x:v>
      </x:c>
      <x:c r="AL410" s="83" t="n">
        <x:f>'Inputs'!$B$45</x:f>
        <x:v>0.75</x:v>
      </x:c>
      <x:c r="AM410" s="83" t="n">
        <x:f>'Inputs'!$C$45</x:f>
        <x:v>0.5</x:v>
      </x:c>
      <x:c r="AN410" s="83" t="n">
        <x:f>'Inputs'!$D$45</x:f>
        <x:v>0.5</x:v>
      </x:c>
      <x:c r="AO410" s="81" t="n">
        <x:f>'Inputs'!$E$45</x:f>
        <x:v>-0.05</x:v>
      </x:c>
    </x:row>
    <x:row r="411">
      <x:c r="A411" s="59" t="str">
        <x:v>Weak demand</x:v>
      </x:c>
      <x:c r="B411" s="59" t="n">
        <x:v>43</x:v>
      </x:c>
      <x:c r="C411" s="78" t="n">
        <x:f>(('Inputs'!$B$29*(3*43*'Inputs'!$B$12-43^2)/(2*'Inputs'!$B$12^2))-('Inputs'!$B$29*(3*42*'Inputs'!$B$12-42^2)/(2*'Inputs'!$B$12^2)))*'Inputs'!$B$45</x:f>
        <x:v>523626.9117095154</x:v>
      </x:c>
      <x:c r="D411" s="78" t="n">
        <x:f>IF('Inputs'!$C$45&gt;0,('Inputs'!$B$30*(3*43*'Inputs'!$B$12-43^2)/(2*'Inputs'!$B$12^2))-('Inputs'!$B$30*(3*42*'Inputs'!$B$12-42^2)/(2*'Inputs'!$B$12^2)),0)</x:f>
        <x:v>299215.378119722</x:v>
      </x:c>
      <x:c r="E411" s="78" t="n">
        <x:f>C411+D411</x:f>
        <x:v>822842.2898292374</x:v>
      </x:c>
      <x:c r="F411" s="78" t="n">
        <x:f>'Inputs'!$B$13*E411+(1-'Inputs'!$B$13)/'Inputs'!$B$14*SUM(E369:E411)</x:f>
        <x:v>674971.5229003031</x:v>
      </x:c>
      <x:c r="G411" s="78" t="n">
        <x:f>F411*'Inputs'!$F$45</x:f>
        <x:v>472480.06603021215</x:v>
      </x:c>
      <x:c r="H411" s="78" t="n">
        <x:f>U410</x:f>
        <x:v>65200616.66831026</x:v>
      </x:c>
      <x:c r="I411" s="78" t="n">
        <x:f>V410</x:f>
        <x:v>250.42077928208406</x:v>
      </x:c>
      <x:c r="J411" s="79" t="n">
        <x:f>IF(H411&gt;0,I411/H411,0)</x:f>
        <x:v>0.00000384077317176353</x:v>
      </x:c>
      <x:c r="K411" s="80" t="n">
        <x:f>(H411*J411+I411)*'Inputs'!$D$45*(1+'Inputs'!$G$45)^(B411/30)</x:f>
        <x:v>250.42077928208408</x:v>
      </x:c>
      <x:c r="L411" s="80" t="n">
        <x:f>MAX(0,K411*'Inputs'!$E$45)</x:f>
        <x:v>0</x:v>
      </x:c>
      <x:c r="M411" s="80" t="n">
        <x:f>MAX(0,-K411*'Inputs'!$E$45)</x:f>
        <x:v>12.521038964104205</x:v>
      </x:c>
      <x:c r="N411" s="78" t="n">
        <x:f>H411*(L411*(1-'Inputs'!$B$15))/(I411+L411*(1-'Inputs'!$B$15))</x:f>
        <x:v>0</x:v>
      </x:c>
      <x:c r="O411" s="78" t="n">
        <x:f>H411-N411</x:f>
        <x:v>65200616.66831026</x:v>
      </x:c>
      <x:c r="P411" s="78" t="n">
        <x:f>I411+L411*(1-'Inputs'!$B$17)</x:f>
        <x:v>250.42077928208406</x:v>
      </x:c>
      <x:c r="Q411" s="78" t="n">
        <x:f>IF(J411&gt;0,M411/J411,0)</x:f>
        <x:v>3260030.8334155134</x:v>
      </x:c>
      <x:c r="R411" s="78" t="n">
        <x:f>IF(B411='Inputs'!$H$45,'Inputs'!$B$27*'Inputs'!$I$45,0)</x:f>
        <x:v>0</x:v>
      </x:c>
      <x:c r="S411" s="78" t="n">
        <x:f>Q411+G411+R411</x:f>
        <x:v>3732510.8994457256</x:v>
      </x:c>
      <x:c r="T411" s="78" t="n">
        <x:f>P411*(S411*(1-'Inputs'!$B$15))/(O411+S411*(1-'Inputs'!$B$15))</x:f>
        <x:v>13.431171017868197</x:v>
      </x:c>
      <x:c r="U411" s="78" t="n">
        <x:f>O411+S411*(1-'Inputs'!$B$17)</x:f>
        <x:v>68918107.40317069</x:v>
      </x:c>
      <x:c r="V411" s="78" t="n">
        <x:f>P411-T411</x:f>
        <x:v>236.98960826421586</x:v>
      </x:c>
      <x:c r="W411" s="79" t="n">
        <x:f>IF(U411&gt;0,V411/U411,0)</x:f>
        <x:v>0.000003438713237985882</x:v>
      </x:c>
      <x:c r="X411" s="80" t="n">
        <x:f>W411*('Inputs'!$B$6-AC411)</x:f>
        <x:v>3430.97854693682</x:v>
      </x:c>
      <x:c r="Y411" s="80" t="n">
        <x:f>2*V411</x:f>
        <x:v>473.9792165284317</x:v>
      </x:c>
      <x:c r="Z411" s="80" t="n">
        <x:f>K411*'Inputs'!$B$16+(G411+R411)*J411*'Inputs'!$B$16</x:f>
        <x:v>1.513412808263316</x:v>
      </x:c>
      <x:c r="AA411" s="80" t="n">
        <x:f>K411*(1+'Inputs'!$E$45)/2*'Inputs'!$B$17</x:f>
        <x:v>0.47867150969412453</x:v>
      </x:c>
      <x:c r="AB411" s="78" t="n">
        <x:f>(IF(J411&gt;0,K411*(1-'Inputs'!$E$45)/2/J411,0)+G411+R411)*'Inputs'!$B$17</x:f>
        <x:v>139649.10992713523</x:v>
      </x:c>
      <x:c r="AC411" s="78" t="n">
        <x:f>AC410+AB411</x:f>
        <x:v>2249298.069876882</x:v>
      </x:c>
      <x:c r="AD411" s="80" t="n">
        <x:f>Z411/(1+'Inputs'!$C$45)</x:f>
        <x:v>1.008941872175544</x:v>
      </x:c>
      <x:c r="AE411" s="80" t="n">
        <x:f>Z411-AD411</x:f>
        <x:v>0.5044709360877719</x:v>
      </x:c>
      <x:c r="AF411" s="80" t="n">
        <x:f>D411*W411</x:f>
        <x:v>1.0289158817492392</x:v>
      </x:c>
      <x:c r="AG411" s="80" t="n">
        <x:f>C411*W411</x:f>
        <x:v>1.800602793061175</x:v>
      </x:c>
      <x:c r="AH411" s="80" t="n">
        <x:f>2*'Inputs'!$B$8*'Inputs'!$C$45</x:f>
        <x:v>2500</x:v>
      </x:c>
      <x:c r="AI411" s="81" t="n">
        <x:f>IF(AH411&gt;0,(AE411+AF411)/AH411*365,0)</x:f>
        <x:v>0.22387447540420363</x:v>
      </x:c>
      <x:c r="AJ411" s="81" t="n">
        <x:f>IF('Inputs'!$B$45&gt;0,AG411/('Inputs'!$B$19*'Inputs'!$B$45)*365,0)</x:f>
        <x:v>0.08762933592897718</x:v>
      </x:c>
      <x:c r="AK411" s="81" t="n">
        <x:f>W411/MAX($W$369:W411)-1</x:f>
        <x:v>-0.9954262251715915</x:v>
      </x:c>
      <x:c r="AL411" s="83" t="n">
        <x:f>'Inputs'!$B$45</x:f>
        <x:v>0.75</x:v>
      </x:c>
      <x:c r="AM411" s="83" t="n">
        <x:f>'Inputs'!$C$45</x:f>
        <x:v>0.5</x:v>
      </x:c>
      <x:c r="AN411" s="83" t="n">
        <x:f>'Inputs'!$D$45</x:f>
        <x:v>0.5</x:v>
      </x:c>
      <x:c r="AO411" s="81" t="n">
        <x:f>'Inputs'!$E$45</x:f>
        <x:v>-0.05</x:v>
      </x:c>
    </x:row>
    <x:row r="412">
      <x:c r="A412" s="59" t="str">
        <x:v>Weak demand</x:v>
      </x:c>
      <x:c r="B412" s="59" t="n">
        <x:v>44</x:v>
      </x:c>
      <x:c r="C412" s="78" t="n">
        <x:f>(('Inputs'!$B$29*(3*44*'Inputs'!$B$12-44^2)/(2*'Inputs'!$B$12^2))-('Inputs'!$B$29*(3*43*'Inputs'!$B$12-43^2)/(2*'Inputs'!$B$12^2)))*'Inputs'!$B$45</x:f>
        <x:v>523383.080784386</x:v>
      </x:c>
      <x:c r="D412" s="78" t="n">
        <x:f>IF('Inputs'!$C$45&gt;0,('Inputs'!$B$30*(3*44*'Inputs'!$B$12-44^2)/(2*'Inputs'!$B$12^2))-('Inputs'!$B$30*(3*43*'Inputs'!$B$12-43^2)/(2*'Inputs'!$B$12^2)),0)</x:f>
        <x:v>299076.0461625084</x:v>
      </x:c>
      <x:c r="E412" s="78" t="n">
        <x:f>C412+D412</x:f>
        <x:v>822459.1269468945</x:v>
      </x:c>
      <x:c r="F412" s="78" t="n">
        <x:f>'Inputs'!$B$13*E412+(1-'Inputs'!$B$13)/'Inputs'!$B$14*SUM(E369:E412)</x:f>
        <x:v>686644.306423076</x:v>
      </x:c>
      <x:c r="G412" s="78" t="n">
        <x:f>F412*'Inputs'!$F$45</x:f>
        <x:v>480651.01449615316</x:v>
      </x:c>
      <x:c r="H412" s="78" t="n">
        <x:f>U411</x:f>
        <x:v>68918107.40317069</x:v>
      </x:c>
      <x:c r="I412" s="78" t="n">
        <x:f>V411</x:f>
        <x:v>236.98960826421586</x:v>
      </x:c>
      <x:c r="J412" s="79" t="n">
        <x:f>IF(H412&gt;0,I412/H412,0)</x:f>
        <x:v>0.000003438713237985882</x:v>
      </x:c>
      <x:c r="K412" s="80" t="n">
        <x:f>(H412*J412+I412)*'Inputs'!$D$45*(1+'Inputs'!$G$45)^(B412/30)</x:f>
        <x:v>236.98960826421586</x:v>
      </x:c>
      <x:c r="L412" s="80" t="n">
        <x:f>MAX(0,K412*'Inputs'!$E$45)</x:f>
        <x:v>0</x:v>
      </x:c>
      <x:c r="M412" s="80" t="n">
        <x:f>MAX(0,-K412*'Inputs'!$E$45)</x:f>
        <x:v>11.849480413210793</x:v>
      </x:c>
      <x:c r="N412" s="78" t="n">
        <x:f>H412*(L412*(1-'Inputs'!$B$15))/(I412+L412*(1-'Inputs'!$B$15))</x:f>
        <x:v>0</x:v>
      </x:c>
      <x:c r="O412" s="78" t="n">
        <x:f>H412-N412</x:f>
        <x:v>68918107.40317069</x:v>
      </x:c>
      <x:c r="P412" s="78" t="n">
        <x:f>I412+L412*(1-'Inputs'!$B$17)</x:f>
        <x:v>236.98960826421586</x:v>
      </x:c>
      <x:c r="Q412" s="78" t="n">
        <x:f>IF(J412&gt;0,M412/J412,0)</x:f>
        <x:v>3445905.3701585345</x:v>
      </x:c>
      <x:c r="R412" s="78" t="n">
        <x:f>IF(B412='Inputs'!$H$45,'Inputs'!$B$27*'Inputs'!$I$45,0)</x:f>
        <x:v>0</x:v>
      </x:c>
      <x:c r="S412" s="78" t="n">
        <x:f>Q412+G412+R412</x:f>
        <x:v>3926556.3846546877</x:v>
      </x:c>
      <x:c r="T412" s="78" t="n">
        <x:f>P412*(S412*(1-'Inputs'!$B$15))/(O412+S412*(1-'Inputs'!$B$15))</x:f>
        <x:v>12.653560742821208</x:v>
      </x:c>
      <x:c r="U412" s="78" t="n">
        <x:f>O412+S412*(1-'Inputs'!$B$17)</x:f>
        <x:v>72828862.75609638</x:v>
      </x:c>
      <x:c r="V412" s="78" t="n">
        <x:f>P412-T412</x:f>
        <x:v>224.33604752139465</x:v>
      </x:c>
      <x:c r="W412" s="79" t="n">
        <x:f>IF(U412&gt;0,V412/U412,0)</x:f>
        <x:v>0.000003080317871675346</x:v>
      </x:c>
      <x:c r="X412" s="80" t="n">
        <x:f>W412*('Inputs'!$B$6-AC412)</x:f>
        <x:v>3072.934861332921</x:v>
      </x:c>
      <x:c r="Y412" s="80" t="n">
        <x:f>2*V412</x:f>
        <x:v>448.6720950427893</x:v>
      </x:c>
      <x:c r="Z412" s="80" t="n">
        <x:f>K412*'Inputs'!$B$16+(G412+R412)*J412*'Inputs'!$B$16</x:f>
        <x:v>1.4318545756236907</x:v>
      </x:c>
      <x:c r="AA412" s="80" t="n">
        <x:f>K412*(1+'Inputs'!$E$45)/2*'Inputs'!$B$17</x:f>
        <x:v>0.45299824517304843</x:v>
      </x:c>
      <x:c r="AB412" s="78" t="n">
        <x:f>(IF(J412&gt;0,K412*(1-'Inputs'!$E$45)/2/J412,0)+G412+R412)*'Inputs'!$B$17</x:f>
        <x:v>147535.84467267917</x:v>
      </x:c>
      <x:c r="AC412" s="78" t="n">
        <x:f>AC411+AB412</x:f>
        <x:v>2396833.9145495608</x:v>
      </x:c>
      <x:c r="AD412" s="80" t="n">
        <x:f>Z412/(1+'Inputs'!$C$45)</x:f>
        <x:v>0.9545697170824604</x:v>
      </x:c>
      <x:c r="AE412" s="80" t="n">
        <x:f>Z412-AD412</x:f>
        <x:v>0.47728485854123026</x:v>
      </x:c>
      <x:c r="AF412" s="80" t="n">
        <x:f>D412*W412</x:f>
        <x:v>0.9212492899843754</x:v>
      </x:c>
      <x:c r="AG412" s="80" t="n">
        <x:f>C412*W412</x:f>
        <x:v>1.6121862574726455</x:v>
      </x:c>
      <x:c r="AH412" s="80" t="n">
        <x:f>2*'Inputs'!$B$8*'Inputs'!$C$45</x:f>
        <x:v>2500</x:v>
      </x:c>
      <x:c r="AI412" s="81" t="n">
        <x:f>IF(AH412&gt;0,(AE412+AF412)/AH412*365,0)</x:f>
        <x:v>0.20418598568473842</x:v>
      </x:c>
      <x:c r="AJ412" s="81" t="n">
        <x:f>IF('Inputs'!$B$45&gt;0,AG412/('Inputs'!$B$19*'Inputs'!$B$45)*365,0)</x:f>
        <x:v>0.07845973119700209</x:v>
      </x:c>
      <x:c r="AK412" s="81" t="n">
        <x:f>W412/MAX($W$369:W412)-1</x:f>
        <x:v>-0.9959029208398844</x:v>
      </x:c>
      <x:c r="AL412" s="83" t="n">
        <x:f>'Inputs'!$B$45</x:f>
        <x:v>0.75</x:v>
      </x:c>
      <x:c r="AM412" s="83" t="n">
        <x:f>'Inputs'!$C$45</x:f>
        <x:v>0.5</x:v>
      </x:c>
      <x:c r="AN412" s="83" t="n">
        <x:f>'Inputs'!$D$45</x:f>
        <x:v>0.5</x:v>
      </x:c>
      <x:c r="AO412" s="81" t="n">
        <x:f>'Inputs'!$E$45</x:f>
        <x:v>-0.05</x:v>
      </x:c>
    </x:row>
    <x:row r="413">
      <x:c r="A413" s="59" t="str">
        <x:v>Weak demand</x:v>
      </x:c>
      <x:c r="B413" s="59" t="n">
        <x:v>45</x:v>
      </x:c>
      <x:c r="C413" s="78" t="n">
        <x:f>(('Inputs'!$B$29*(3*45*'Inputs'!$B$12-45^2)/(2*'Inputs'!$B$12^2))-('Inputs'!$B$29*(3*44*'Inputs'!$B$12-44^2)/(2*'Inputs'!$B$12^2)))*'Inputs'!$B$45</x:f>
        <x:v>523139.24985925946</x:v>
      </x:c>
      <x:c r="D413" s="78" t="n">
        <x:f>IF('Inputs'!$C$45&gt;0,('Inputs'!$B$30*(3*45*'Inputs'!$B$12-45^2)/(2*'Inputs'!$B$12^2))-('Inputs'!$B$30*(3*44*'Inputs'!$B$12-44^2)/(2*'Inputs'!$B$12^2)),0)</x:f>
        <x:v>298936.7142052911</x:v>
      </x:c>
      <x:c r="E413" s="78" t="n">
        <x:f>C413+D413</x:f>
        <x:v>822075.9640645506</x:v>
      </x:c>
      <x:c r="F413" s="78" t="n">
        <x:f>'Inputs'!$B$13*E413+(1-'Inputs'!$B$13)/'Inputs'!$B$14*SUM(E369:E413)</x:f>
        <x:v>698311.6161903865</x:v>
      </x:c>
      <x:c r="G413" s="78" t="n">
        <x:f>F413*'Inputs'!$F$45</x:f>
        <x:v>488818.1313332705</x:v>
      </x:c>
      <x:c r="H413" s="78" t="n">
        <x:f>U412</x:f>
        <x:v>72828862.75609638</x:v>
      </x:c>
      <x:c r="I413" s="78" t="n">
        <x:f>V412</x:f>
        <x:v>224.33604752139465</x:v>
      </x:c>
      <x:c r="J413" s="79" t="n">
        <x:f>IF(H413&gt;0,I413/H413,0)</x:f>
        <x:v>0.000003080317871675346</x:v>
      </x:c>
      <x:c r="K413" s="80" t="n">
        <x:f>(H413*J413+I413)*'Inputs'!$D$45*(1+'Inputs'!$G$45)^(B413/30)</x:f>
        <x:v>224.33604752139465</x:v>
      </x:c>
      <x:c r="L413" s="80" t="n">
        <x:f>MAX(0,K413*'Inputs'!$E$45)</x:f>
        <x:v>0</x:v>
      </x:c>
      <x:c r="M413" s="80" t="n">
        <x:f>MAX(0,-K413*'Inputs'!$E$45)</x:f>
        <x:v>11.216802376069733</x:v>
      </x:c>
      <x:c r="N413" s="78" t="n">
        <x:f>H413*(L413*(1-'Inputs'!$B$15))/(I413+L413*(1-'Inputs'!$B$15))</x:f>
        <x:v>0</x:v>
      </x:c>
      <x:c r="O413" s="78" t="n">
        <x:f>H413-N413</x:f>
        <x:v>72828862.75609638</x:v>
      </x:c>
      <x:c r="P413" s="78" t="n">
        <x:f>I413+L413*(1-'Inputs'!$B$17)</x:f>
        <x:v>224.33604752139465</x:v>
      </x:c>
      <x:c r="Q413" s="78" t="n">
        <x:f>IF(J413&gt;0,M413/J413,0)</x:f>
        <x:v>3641443.137804819</x:v>
      </x:c>
      <x:c r="R413" s="78" t="n">
        <x:f>IF(B413='Inputs'!$H$45,'Inputs'!$B$27*'Inputs'!$I$45,0)</x:f>
        <x:v>0</x:v>
      </x:c>
      <x:c r="S413" s="78" t="n">
        <x:f>Q413+G413+R413</x:f>
        <x:v>4130261.2691380894</x:v>
      </x:c>
      <x:c r="T413" s="78" t="n">
        <x:f>P413*(S413*(1-'Inputs'!$B$15))/(O413+S413*(1-'Inputs'!$B$15))</x:f>
        <x:v>11.92572549014059</x:v>
      </x:c>
      <x:c r="U413" s="78" t="n">
        <x:f>O413+S413*(1-'Inputs'!$B$17)</x:f>
        <x:v>76942503.25553975</x:v>
      </x:c>
      <x:c r="V413" s="78" t="n">
        <x:f>P413-T413</x:f>
        <x:v>212.41032203125405</x:v>
      </x:c>
      <x:c r="W413" s="79" t="n">
        <x:f>IF(U413&gt;0,V413/U413,0)</x:f>
        <x:v>0.000002760637008725874</x:v>
      </x:c>
      <x:c r="X413" s="80" t="n">
        <x:f>W413*('Inputs'!$B$6-AC413)</x:f>
        <x:v>2753.5900278520717</x:v>
      </x:c>
      <x:c r="Y413" s="80" t="n">
        <x:f>2*V413</x:f>
        <x:v>424.8206440625081</x:v>
      </x:c>
      <x:c r="Z413" s="80" t="n">
        <x:f>K413*'Inputs'!$B$16+(G413+R413)*J413*'Inputs'!$B$16</x:f>
        <x:v>1.3550505764840368</x:v>
      </x:c>
      <x:c r="AA413" s="80" t="n">
        <x:f>K413*(1+'Inputs'!$E$45)/2*'Inputs'!$B$17</x:f>
        <x:v>0.42881135844129764</x:v>
      </x:c>
      <x:c r="AB413" s="78" t="n">
        <x:f>(IF(J413&gt;0,K413*(1-'Inputs'!$E$45)/2/J413,0)+G413+R413)*'Inputs'!$B$17</x:f>
        <x:v>155830.8695303174</x:v>
      </x:c>
      <x:c r="AC413" s="78" t="n">
        <x:f>AC412+AB413</x:f>
        <x:v>2552664.784079878</x:v>
      </x:c>
      <x:c r="AD413" s="80" t="n">
        <x:f>Z413/(1+'Inputs'!$C$45)</x:f>
        <x:v>0.9033670509893579</x:v>
      </x:c>
      <x:c r="AE413" s="80" t="n">
        <x:f>Z413-AD413</x:f>
        <x:v>0.45168352549467894</x:v>
      </x:c>
      <x:c r="AF413" s="80" t="n">
        <x:f>D413*W413</x:f>
        <x:v>0.8252557565020364</x:v>
      </x:c>
      <x:c r="AG413" s="80" t="n">
        <x:f>C413*W413</x:f>
        <x:v>1.4441975738785637</x:v>
      </x:c>
      <x:c r="AH413" s="80" t="n">
        <x:f>2*'Inputs'!$B$8*'Inputs'!$C$45</x:f>
        <x:v>2500</x:v>
      </x:c>
      <x:c r="AI413" s="81" t="n">
        <x:f>IF(AH413&gt;0,(AE413+AF413)/AH413*365,0)</x:f>
        <x:v>0.18643313517152044</x:v>
      </x:c>
      <x:c r="AJ413" s="81" t="n">
        <x:f>IF('Inputs'!$B$45&gt;0,AG413/('Inputs'!$B$19*'Inputs'!$B$45)*365,0)</x:f>
        <x:v>0.07028428192875677</x:v>
      </x:c>
      <x:c r="AK413" s="81" t="n">
        <x:f>W413/MAX($W$369:W413)-1</x:f>
        <x:v>-0.9963281229962988</x:v>
      </x:c>
      <x:c r="AL413" s="83" t="n">
        <x:f>'Inputs'!$B$45</x:f>
        <x:v>0.75</x:v>
      </x:c>
      <x:c r="AM413" s="83" t="n">
        <x:f>'Inputs'!$C$45</x:f>
        <x:v>0.5</x:v>
      </x:c>
      <x:c r="AN413" s="83" t="n">
        <x:f>'Inputs'!$D$45</x:f>
        <x:v>0.5</x:v>
      </x:c>
      <x:c r="AO413" s="81" t="n">
        <x:f>'Inputs'!$E$45</x:f>
        <x:v>-0.05</x:v>
      </x:c>
    </x:row>
    <x:row r="414">
      <x:c r="A414" s="59" t="str">
        <x:v>Weak demand</x:v>
      </x:c>
      <x:c r="B414" s="59" t="n">
        <x:v>46</x:v>
      </x:c>
      <x:c r="C414" s="78" t="n">
        <x:f>(('Inputs'!$B$29*(3*46*'Inputs'!$B$12-46^2)/(2*'Inputs'!$B$12^2))-('Inputs'!$B$29*(3*45*'Inputs'!$B$12-45^2)/(2*'Inputs'!$B$12^2)))*'Inputs'!$B$45</x:f>
        <x:v>522895.4189341357</x:v>
      </x:c>
      <x:c r="D414" s="78" t="n">
        <x:f>IF('Inputs'!$C$45&gt;0,('Inputs'!$B$30*(3*46*'Inputs'!$B$12-46^2)/(2*'Inputs'!$B$12^2))-('Inputs'!$B$30*(3*45*'Inputs'!$B$12-45^2)/(2*'Inputs'!$B$12^2)),0)</x:f>
        <x:v>298797.3822480757</x:v>
      </x:c>
      <x:c r="E414" s="78" t="n">
        <x:f>C414+D414</x:f>
        <x:v>821692.8011822114</x:v>
      </x:c>
      <x:c r="F414" s="78" t="n">
        <x:f>'Inputs'!$B$13*E414+(1-'Inputs'!$B$13)/'Inputs'!$B$14*SUM(E369:E414)</x:f>
        <x:v>709973.4522022359</x:v>
      </x:c>
      <x:c r="G414" s="78" t="n">
        <x:f>F414*'Inputs'!$F$45</x:f>
        <x:v>496981.4165415651</x:v>
      </x:c>
      <x:c r="H414" s="78" t="n">
        <x:f>U413</x:f>
        <x:v>76942503.25553975</x:v>
      </x:c>
      <x:c r="I414" s="78" t="n">
        <x:f>V413</x:f>
        <x:v>212.41032203125405</x:v>
      </x:c>
      <x:c r="J414" s="79" t="n">
        <x:f>IF(H414&gt;0,I414/H414,0)</x:f>
        <x:v>0.000002760637008725874</x:v>
      </x:c>
      <x:c r="K414" s="80" t="n">
        <x:f>(H414*J414+I414)*'Inputs'!$D$45*(1+'Inputs'!$G$45)^(B414/30)</x:f>
        <x:v>212.41032203125405</x:v>
      </x:c>
      <x:c r="L414" s="80" t="n">
        <x:f>MAX(0,K414*'Inputs'!$E$45)</x:f>
        <x:v>0</x:v>
      </x:c>
      <x:c r="M414" s="80" t="n">
        <x:f>MAX(0,-K414*'Inputs'!$E$45)</x:f>
        <x:v>10.620516101562703</x:v>
      </x:c>
      <x:c r="N414" s="78" t="n">
        <x:f>H414*(L414*(1-'Inputs'!$B$15))/(I414+L414*(1-'Inputs'!$B$15))</x:f>
        <x:v>0</x:v>
      </x:c>
      <x:c r="O414" s="78" t="n">
        <x:f>H414-N414</x:f>
        <x:v>76942503.25553975</x:v>
      </x:c>
      <x:c r="P414" s="78" t="n">
        <x:f>I414+L414*(1-'Inputs'!$B$17)</x:f>
        <x:v>212.41032203125405</x:v>
      </x:c>
      <x:c r="Q414" s="78" t="n">
        <x:f>IF(J414&gt;0,M414/J414,0)</x:f>
        <x:v>3847125.162776987</x:v>
      </x:c>
      <x:c r="R414" s="78" t="n">
        <x:f>IF(B414='Inputs'!$H$45,'Inputs'!$B$27*'Inputs'!$I$45,0)</x:f>
        <x:v>0</x:v>
      </x:c>
      <x:c r="S414" s="78" t="n">
        <x:f>Q414+G414+R414</x:f>
        <x:v>4344106.579318552</x:v>
      </x:c>
      <x:c r="T414" s="78" t="n">
        <x:f>P414*(S414*(1-'Inputs'!$B$15))/(O414+S414*(1-'Inputs'!$B$15))</x:f>
        <x:v>11.244093017510002</x:v>
      </x:c>
      <x:c r="U414" s="78" t="n">
        <x:f>O414+S414*(1-'Inputs'!$B$17)</x:f>
        <x:v>81269128.52065581</x:v>
      </x:c>
      <x:c r="V414" s="78" t="n">
        <x:f>P414-T414</x:f>
        <x:v>201.16622901374404</x:v>
      </x:c>
      <x:c r="W414" s="79" t="n">
        <x:f>IF(U414&gt;0,V414/U414,0)</x:f>
        <x:v>0.000002475309292416179</x:v>
      </x:c>
      <x:c r="X414" s="80" t="n">
        <x:f>W414*('Inputs'!$B$6-AC414)</x:f>
        <x:v>2468.5833342490996</x:v>
      </x:c>
      <x:c r="Y414" s="80" t="n">
        <x:f>2*V414</x:f>
        <x:v>402.3324580274881</x:v>
      </x:c>
      <x:c r="Z414" s="80" t="n">
        <x:f>K414*'Inputs'!$B$16+(G414+R414)*J414*'Inputs'!$B$16</x:f>
        <x:v>1.2826938439344462</x:v>
      </x:c>
      <x:c r="AA414" s="80" t="n">
        <x:f>K414*(1+'Inputs'!$E$45)/2*'Inputs'!$B$17</x:f>
        <x:v>0.40601570609595844</x:v>
      </x:c>
      <x:c r="AB414" s="78" t="n">
        <x:f>(IF(J414&gt;0,K414*(1-'Inputs'!$E$45)/2/J414,0)+G414+R414)*'Inputs'!$B$17</x:f>
        <x:v>164554.5095601607</x:v>
      </x:c>
      <x:c r="AC414" s="78" t="n">
        <x:f>AC413+AB414</x:f>
        <x:v>2717219.293640039</x:v>
      </x:c>
      <x:c r="AD414" s="80" t="n">
        <x:f>Z414/(1+'Inputs'!$C$45)</x:f>
        <x:v>0.8551292292896308</x:v>
      </x:c>
      <x:c r="AE414" s="80" t="n">
        <x:f>Z414-AD414</x:f>
        <x:v>0.42756461464481543</x:v>
      </x:c>
      <x:c r="AF414" s="80" t="n">
        <x:f>D414*W414</x:f>
        <x:v>0.7396159368282909</x:v>
      </x:c>
      <x:c r="AG414" s="80" t="n">
        <x:f>C414*W414</x:f>
        <x:v>1.294327889449517</x:v>
      </x:c>
      <x:c r="AH414" s="80" t="n">
        <x:f>2*'Inputs'!$B$8*'Inputs'!$C$45</x:f>
        <x:v>2500</x:v>
      </x:c>
      <x:c r="AI414" s="81" t="n">
        <x:f>IF(AH414&gt;0,(AE414+AF414)/AH414*365,0)</x:f>
        <x:v>0.17040836051507355</x:v>
      </x:c>
      <x:c r="AJ414" s="81" t="n">
        <x:f>IF('Inputs'!$B$45&gt;0,AG414/('Inputs'!$B$19*'Inputs'!$B$45)*365,0)</x:f>
        <x:v>0.06299062395320983</x:v>
      </x:c>
      <x:c r="AK414" s="81" t="n">
        <x:f>W414/MAX($W$369:W414)-1</x:f>
        <x:v>-0.9967076326082922</x:v>
      </x:c>
      <x:c r="AL414" s="83" t="n">
        <x:f>'Inputs'!$B$45</x:f>
        <x:v>0.75</x:v>
      </x:c>
      <x:c r="AM414" s="83" t="n">
        <x:f>'Inputs'!$C$45</x:f>
        <x:v>0.5</x:v>
      </x:c>
      <x:c r="AN414" s="83" t="n">
        <x:f>'Inputs'!$D$45</x:f>
        <x:v>0.5</x:v>
      </x:c>
      <x:c r="AO414" s="81" t="n">
        <x:f>'Inputs'!$E$45</x:f>
        <x:v>-0.05</x:v>
      </x:c>
    </x:row>
    <x:row r="415">
      <x:c r="A415" s="59" t="str">
        <x:v>Weak demand</x:v>
      </x:c>
      <x:c r="B415" s="59" t="n">
        <x:v>47</x:v>
      </x:c>
      <x:c r="C415" s="78" t="n">
        <x:f>(('Inputs'!$B$29*(3*47*'Inputs'!$B$12-47^2)/(2*'Inputs'!$B$12^2))-('Inputs'!$B$29*(3*46*'Inputs'!$B$12-46^2)/(2*'Inputs'!$B$12^2)))*'Inputs'!$B$45</x:f>
        <x:v>522651.58800900634</x:v>
      </x:c>
      <x:c r="D415" s="78" t="n">
        <x:f>IF('Inputs'!$C$45&gt;0,('Inputs'!$B$30*(3*47*'Inputs'!$B$12-47^2)/(2*'Inputs'!$B$12^2))-('Inputs'!$B$30*(3*46*'Inputs'!$B$12-46^2)/(2*'Inputs'!$B$12^2)),0)</x:f>
        <x:v>298658.0502908621</x:v>
      </x:c>
      <x:c r="E415" s="78" t="n">
        <x:f>C415+D415</x:f>
        <x:v>821309.6382998684</x:v>
      </x:c>
      <x:c r="F415" s="78" t="n">
        <x:f>'Inputs'!$B$13*E415+(1-'Inputs'!$B$13)/'Inputs'!$B$14*SUM(E369:E415)</x:f>
        <x:v>721629.8144586226</x:v>
      </x:c>
      <x:c r="G415" s="78" t="n">
        <x:f>F415*'Inputs'!$F$45</x:f>
        <x:v>505140.8701210358</x:v>
      </x:c>
      <x:c r="H415" s="78" t="n">
        <x:f>U414</x:f>
        <x:v>81269128.52065581</x:v>
      </x:c>
      <x:c r="I415" s="78" t="n">
        <x:f>V414</x:f>
        <x:v>201.16622901374404</x:v>
      </x:c>
      <x:c r="J415" s="79" t="n">
        <x:f>IF(H415&gt;0,I415/H415,0)</x:f>
        <x:v>0.000002475309292416179</x:v>
      </x:c>
      <x:c r="K415" s="80" t="n">
        <x:f>(H415*J415+I415)*'Inputs'!$D$45*(1+'Inputs'!$G$45)^(B415/30)</x:f>
        <x:v>201.16622901374404</x:v>
      </x:c>
      <x:c r="L415" s="80" t="n">
        <x:f>MAX(0,K415*'Inputs'!$E$45)</x:f>
        <x:v>0</x:v>
      </x:c>
      <x:c r="M415" s="80" t="n">
        <x:f>MAX(0,-K415*'Inputs'!$E$45)</x:f>
        <x:v>10.058311450687203</x:v>
      </x:c>
      <x:c r="N415" s="78" t="n">
        <x:f>H415*(L415*(1-'Inputs'!$B$15))/(I415+L415*(1-'Inputs'!$B$15))</x:f>
        <x:v>0</x:v>
      </x:c>
      <x:c r="O415" s="78" t="n">
        <x:f>H415-N415</x:f>
        <x:v>81269128.52065581</x:v>
      </x:c>
      <x:c r="P415" s="78" t="n">
        <x:f>I415+L415*(1-'Inputs'!$B$17)</x:f>
        <x:v>201.16622901374404</x:v>
      </x:c>
      <x:c r="Q415" s="78" t="n">
        <x:f>IF(J415&gt;0,M415/J415,0)</x:f>
        <x:v>4063456.4260327904</x:v>
      </x:c>
      <x:c r="R415" s="78" t="n">
        <x:f>IF(B415='Inputs'!$H$45,'Inputs'!$B$27*'Inputs'!$I$45,0)</x:f>
        <x:v>0</x:v>
      </x:c>
      <x:c r="S415" s="78" t="n">
        <x:f>Q415+G415+R415</x:f>
        <x:v>4568597.296153827</x:v>
      </x:c>
      <x:c r="T415" s="78" t="n">
        <x:f>P415*(S415*(1-'Inputs'!$B$15))/(O415+S415*(1-'Inputs'!$B$15))</x:f>
        <x:v>10.605378036309732</x:v>
      </x:c>
      <x:c r="U415" s="78" t="n">
        <x:f>O415+S415*(1-'Inputs'!$B$17)</x:f>
        <x:v>85819341.11944081</x:v>
      </x:c>
      <x:c r="V415" s="78" t="n">
        <x:f>P415-T415</x:f>
        <x:v>190.5608509774343</x:v>
      </x:c>
      <x:c r="W415" s="79" t="n">
        <x:f>IF(U415&gt;0,V415/U415,0)</x:f>
        <x:v>0.00000222048839447762</x:v>
      </x:c>
      <x:c r="X415" s="80" t="n">
        <x:f>W415*('Inputs'!$B$6-AC415)</x:f>
        <x:v>2214.0690793365875</x:v>
      </x:c>
      <x:c r="Y415" s="80" t="n">
        <x:f>2*V415</x:f>
        <x:v>381.1217019548686</x:v>
      </x:c>
      <x:c r="Z415" s="80" t="n">
        <x:f>K415*'Inputs'!$B$16+(G415+R415)*J415*'Inputs'!$B$16</x:f>
        <x:v>1.214499653421203</x:v>
      </x:c>
      <x:c r="AA415" s="80" t="n">
        <x:f>K415*(1+'Inputs'!$E$45)/2*'Inputs'!$B$17</x:f>
        <x:v>0.3845229729638971</x:v>
      </x:c>
      <x:c r="AB415" s="78" t="n">
        <x:f>(IF(J415&gt;0,K415*(1-'Inputs'!$E$45)/2/J415,0)+G415+R415)*'Inputs'!$B$17</x:f>
        <x:v>173728.101985776</x:v>
      </x:c>
      <x:c r="AC415" s="78" t="n">
        <x:f>AC414+AB415</x:f>
        <x:v>2890947.395625815</x:v>
      </x:c>
      <x:c r="AD415" s="80" t="n">
        <x:f>Z415/(1+'Inputs'!$C$45)</x:f>
        <x:v>0.8096664356141353</x:v>
      </x:c>
      <x:c r="AE415" s="80" t="n">
        <x:f>Z415-AD415</x:f>
        <x:v>0.4048332178070676</x:v>
      </x:c>
      <x:c r="AF415" s="80" t="n">
        <x:f>D415*W415</x:f>
        <x:v>0.6631667345881727</x:v>
      </x:c>
      <x:c r="AG415" s="80" t="n">
        <x:f>C415*W415</x:f>
        <x:v>1.160541785529297</x:v>
      </x:c>
      <x:c r="AH415" s="80" t="n">
        <x:f>2*'Inputs'!$B$8*'Inputs'!$C$45</x:f>
        <x:v>2500</x:v>
      </x:c>
      <x:c r="AI415" s="81" t="n">
        <x:f>IF(AH415&gt;0,(AE415+AF415)/AH415*365,0)</x:f>
        <x:v>0.1559279930497051</x:v>
      </x:c>
      <x:c r="AJ415" s="81" t="n">
        <x:f>IF('Inputs'!$B$45&gt;0,AG415/('Inputs'!$B$19*'Inputs'!$B$45)*365,0)</x:f>
        <x:v>0.056479700229092454</x:v>
      </x:c>
      <x:c r="AK415" s="81" t="n">
        <x:f>W415/MAX($W$369:W415)-1</x:f>
        <x:v>-0.9970465656126116</x:v>
      </x:c>
      <x:c r="AL415" s="83" t="n">
        <x:f>'Inputs'!$B$45</x:f>
        <x:v>0.75</x:v>
      </x:c>
      <x:c r="AM415" s="83" t="n">
        <x:f>'Inputs'!$C$45</x:f>
        <x:v>0.5</x:v>
      </x:c>
      <x:c r="AN415" s="83" t="n">
        <x:f>'Inputs'!$D$45</x:f>
        <x:v>0.5</x:v>
      </x:c>
      <x:c r="AO415" s="81" t="n">
        <x:f>'Inputs'!$E$45</x:f>
        <x:v>-0.05</x:v>
      </x:c>
    </x:row>
    <x:row r="416">
      <x:c r="A416" s="59" t="str">
        <x:v>Weak demand</x:v>
      </x:c>
      <x:c r="B416" s="59" t="n">
        <x:v>48</x:v>
      </x:c>
      <x:c r="C416" s="78" t="n">
        <x:f>(('Inputs'!$B$29*(3*48*'Inputs'!$B$12-48^2)/(2*'Inputs'!$B$12^2))-('Inputs'!$B$29*(3*47*'Inputs'!$B$12-47^2)/(2*'Inputs'!$B$12^2)))*'Inputs'!$B$45</x:f>
        <x:v>522407.7570838826</x:v>
      </x:c>
      <x:c r="D416" s="78" t="n">
        <x:f>IF('Inputs'!$C$45&gt;0,('Inputs'!$B$30*(3*48*'Inputs'!$B$12-48^2)/(2*'Inputs'!$B$12^2))-('Inputs'!$B$30*(3*47*'Inputs'!$B$12-47^2)/(2*'Inputs'!$B$12^2)),0)</x:f>
        <x:v>298518.71833364666</x:v>
      </x:c>
      <x:c r="E416" s="78" t="n">
        <x:f>C416+D416</x:f>
        <x:v>820926.4754175292</x:v>
      </x:c>
      <x:c r="F416" s="78" t="n">
        <x:f>'Inputs'!$B$13*E416+(1-'Inputs'!$B$13)/'Inputs'!$B$14*SUM(E369:E416)</x:f>
        <x:v>733280.702959548</x:v>
      </x:c>
      <x:c r="G416" s="78" t="n">
        <x:f>F416*'Inputs'!$F$45</x:f>
        <x:v>513296.4920716836</x:v>
      </x:c>
      <x:c r="H416" s="78" t="n">
        <x:f>U415</x:f>
        <x:v>85819341.11944081</x:v>
      </x:c>
      <x:c r="I416" s="78" t="n">
        <x:f>V415</x:f>
        <x:v>190.5608509774343</x:v>
      </x:c>
      <x:c r="J416" s="79" t="n">
        <x:f>IF(H416&gt;0,I416/H416,0)</x:f>
        <x:v>0.00000222048839447762</x:v>
      </x:c>
      <x:c r="K416" s="80" t="n">
        <x:f>(H416*J416+I416)*'Inputs'!$D$45*(1+'Inputs'!$G$45)^(B416/30)</x:f>
        <x:v>190.5608509774343</x:v>
      </x:c>
      <x:c r="L416" s="80" t="n">
        <x:f>MAX(0,K416*'Inputs'!$E$45)</x:f>
        <x:v>0</x:v>
      </x:c>
      <x:c r="M416" s="80" t="n">
        <x:f>MAX(0,-K416*'Inputs'!$E$45)</x:f>
        <x:v>9.528042548871715</x:v>
      </x:c>
      <x:c r="N416" s="78" t="n">
        <x:f>H416*(L416*(1-'Inputs'!$B$15))/(I416+L416*(1-'Inputs'!$B$15))</x:f>
        <x:v>0</x:v>
      </x:c>
      <x:c r="O416" s="78" t="n">
        <x:f>H416-N416</x:f>
        <x:v>85819341.11944081</x:v>
      </x:c>
      <x:c r="P416" s="78" t="n">
        <x:f>I416+L416*(1-'Inputs'!$B$17)</x:f>
        <x:v>190.5608509774343</x:v>
      </x:c>
      <x:c r="Q416" s="78" t="n">
        <x:f>IF(J416&gt;0,M416/J416,0)</x:f>
        <x:v>4290967.05597204</x:v>
      </x:c>
      <x:c r="R416" s="78" t="n">
        <x:f>IF(B416='Inputs'!$H$45,'Inputs'!$B$27*'Inputs'!$I$45,0)</x:f>
        <x:v>0</x:v>
      </x:c>
      <x:c r="S416" s="78" t="n">
        <x:f>Q416+G416+R416</x:f>
        <x:v>4804263.548043723</x:v>
      </x:c>
      <x:c r="T416" s="78" t="n">
        <x:f>P416*(S416*(1-'Inputs'!$B$15))/(O416+S416*(1-'Inputs'!$B$15))</x:f>
        <x:v>10.00655678199908</x:v>
      </x:c>
      <x:c r="U416" s="78" t="n">
        <x:f>O416+S416*(1-'Inputs'!$B$17)</x:f>
        <x:v>90604271.61497732</x:v>
      </x:c>
      <x:c r="V416" s="78" t="n">
        <x:f>P416-T416</x:f>
        <x:v>180.55429419543523</x:v>
      </x:c>
      <x:c r="W416" s="79" t="n">
        <x:f>IF(U416&gt;0,V416/U416,0)</x:f>
        <x:v>0.0000019927790486821677</x:v>
      </x:c>
      <x:c r="X416" s="80" t="n">
        <x:f>W416*('Inputs'!$B$6-AC416)</x:f>
        <x:v>1986.6526053231885</x:v>
      </x:c>
      <x:c r="Y416" s="80" t="n">
        <x:f>2*V416</x:f>
        <x:v>361.10858839087047</x:v>
      </x:c>
      <x:c r="Z416" s="80" t="n">
        <x:f>K416*'Inputs'!$B$16+(G416+R416)*J416*'Inputs'!$B$16</x:f>
        <x:v>1.1502037192860335</x:v>
      </x:c>
      <x:c r="AA416" s="80" t="n">
        <x:f>K416*(1+'Inputs'!$E$45)/2*'Inputs'!$B$17</x:f>
        <x:v>0.36425112359871753</x:v>
      </x:c>
      <x:c r="AB416" s="78" t="n">
        <x:f>(IF(J416&gt;0,K416*(1-'Inputs'!$E$45)/2/J416,0)+G416+R416)*'Inputs'!$B$17</x:f>
        <x:v>183374.04659870468</x:v>
      </x:c>
      <x:c r="AC416" s="78" t="n">
        <x:f>AC415+AB416</x:f>
        <x:v>3074321.4422245193</x:v>
      </x:c>
      <x:c r="AD416" s="80" t="n">
        <x:f>Z416/(1+'Inputs'!$C$45)</x:f>
        <x:v>0.7668024795240224</x:v>
      </x:c>
      <x:c r="AE416" s="80" t="n">
        <x:f>Z416-AD416</x:f>
        <x:v>0.3834012397620111</x:v>
      </x:c>
      <x:c r="AF416" s="80" t="n">
        <x:f>D416*W416</x:f>
        <x:v>0.5948818475347444</x:v>
      </x:c>
      <x:c r="AG416" s="80" t="n">
        <x:f>C416*W416</x:f>
        <x:v>1.0410432331858046</x:v>
      </x:c>
      <x:c r="AH416" s="80" t="n">
        <x:f>2*'Inputs'!$B$8*'Inputs'!$C$45</x:f>
        <x:v>2500</x:v>
      </x:c>
      <x:c r="AI416" s="81" t="n">
        <x:f>IF(AH416&gt;0,(AE416+AF416)/AH416*365,0)</x:f>
        <x:v>0.1428293307453263</x:v>
      </x:c>
      <x:c r="AJ416" s="81" t="n">
        <x:f>IF('Inputs'!$B$45&gt;0,AG416/('Inputs'!$B$19*'Inputs'!$B$45)*365,0)</x:f>
        <x:v>0.05066410401504249</x:v>
      </x:c>
      <x:c r="AK416" s="81" t="n">
        <x:f>W416/MAX($W$369:W416)-1</x:f>
        <x:v>-0.9973494379959461</x:v>
      </x:c>
      <x:c r="AL416" s="83" t="n">
        <x:f>'Inputs'!$B$45</x:f>
        <x:v>0.75</x:v>
      </x:c>
      <x:c r="AM416" s="83" t="n">
        <x:f>'Inputs'!$C$45</x:f>
        <x:v>0.5</x:v>
      </x:c>
      <x:c r="AN416" s="83" t="n">
        <x:f>'Inputs'!$D$45</x:f>
        <x:v>0.5</x:v>
      </x:c>
      <x:c r="AO416" s="81" t="n">
        <x:f>'Inputs'!$E$45</x:f>
        <x:v>-0.05</x:v>
      </x:c>
    </x:row>
    <x:row r="417">
      <x:c r="A417" s="59" t="str">
        <x:v>Weak demand</x:v>
      </x:c>
      <x:c r="B417" s="59" t="n">
        <x:v>49</x:v>
      </x:c>
      <x:c r="C417" s="78" t="n">
        <x:f>(('Inputs'!$B$29*(3*49*'Inputs'!$B$12-49^2)/(2*'Inputs'!$B$12^2))-('Inputs'!$B$29*(3*48*'Inputs'!$B$12-48^2)/(2*'Inputs'!$B$12^2)))*'Inputs'!$B$45</x:f>
        <x:v>522163.92615875043</x:v>
      </x:c>
      <x:c r="D417" s="78" t="n">
        <x:f>IF('Inputs'!$C$45&gt;0,('Inputs'!$B$30*(3*49*'Inputs'!$B$12-49^2)/(2*'Inputs'!$B$12^2))-('Inputs'!$B$30*(3*48*'Inputs'!$B$12-48^2)/(2*'Inputs'!$B$12^2)),0)</x:f>
        <x:v>298379.3863764312</x:v>
      </x:c>
      <x:c r="E417" s="78" t="n">
        <x:f>C417+D417</x:f>
        <x:v>820543.3125351816</x:v>
      </x:c>
      <x:c r="F417" s="78" t="n">
        <x:f>'Inputs'!$B$13*E417+(1-'Inputs'!$B$13)/'Inputs'!$B$14*SUM(E369:E417)</x:f>
        <x:v>744926.1177050098</x:v>
      </x:c>
      <x:c r="G417" s="78" t="n">
        <x:f>F417*'Inputs'!$F$45</x:f>
        <x:v>521448.2823935068</x:v>
      </x:c>
      <x:c r="H417" s="78" t="n">
        <x:f>U416</x:f>
        <x:v>90604271.61497732</x:v>
      </x:c>
      <x:c r="I417" s="78" t="n">
        <x:f>V416</x:f>
        <x:v>180.55429419543523</x:v>
      </x:c>
      <x:c r="J417" s="79" t="n">
        <x:f>IF(H417&gt;0,I417/H417,0)</x:f>
        <x:v>0.0000019927790486821677</x:v>
      </x:c>
      <x:c r="K417" s="80" t="n">
        <x:f>(H417*J417+I417)*'Inputs'!$D$45*(1+'Inputs'!$G$45)^(B417/30)</x:f>
        <x:v>180.55429419543523</x:v>
      </x:c>
      <x:c r="L417" s="80" t="n">
        <x:f>MAX(0,K417*'Inputs'!$E$45)</x:f>
        <x:v>0</x:v>
      </x:c>
      <x:c r="M417" s="80" t="n">
        <x:f>MAX(0,-K417*'Inputs'!$E$45)</x:f>
        <x:v>9.027714709771763</x:v>
      </x:c>
      <x:c r="N417" s="78" t="n">
        <x:f>H417*(L417*(1-'Inputs'!$B$15))/(I417+L417*(1-'Inputs'!$B$15))</x:f>
        <x:v>0</x:v>
      </x:c>
      <x:c r="O417" s="78" t="n">
        <x:f>H417-N417</x:f>
        <x:v>90604271.61497732</x:v>
      </x:c>
      <x:c r="P417" s="78" t="n">
        <x:f>I417+L417*(1-'Inputs'!$B$17)</x:f>
        <x:v>180.55429419543523</x:v>
      </x:c>
      <x:c r="Q417" s="78" t="n">
        <x:f>IF(J417&gt;0,M417/J417,0)</x:f>
        <x:v>4530213.580748866</x:v>
      </x:c>
      <x:c r="R417" s="78" t="n">
        <x:f>IF(B417='Inputs'!$H$45,'Inputs'!$B$27*'Inputs'!$I$45,0)</x:f>
        <x:v>0</x:v>
      </x:c>
      <x:c r="S417" s="78" t="n">
        <x:f>Q417+G417+R417</x:f>
        <x:v>5051661.863142373</x:v>
      </x:c>
      <x:c r="T417" s="78" t="n">
        <x:f>P417*(S417*(1-'Inputs'!$B$15))/(O417+S417*(1-'Inputs'!$B$15))</x:f>
        <x:v>9.44484402090567</x:v>
      </x:c>
      <x:c r="U417" s="78" t="n">
        <x:f>O417+S417*(1-'Inputs'!$B$17)</x:f>
        <x:v>95635604.85895212</x:v>
      </x:c>
      <x:c r="V417" s="78" t="n">
        <x:f>P417-T417</x:f>
        <x:v>171.10945017452957</x:v>
      </x:c>
      <x:c r="W417" s="79" t="n">
        <x:f>IF(U417&gt;0,V417/U417,0)</x:f>
        <x:v>0.0000017891814500142475</x:v>
      </x:c>
      <x:c r="X417" s="80" t="n">
        <x:f>W417*('Inputs'!$B$6-AC417)</x:f>
        <x:v>1783.3346961338168</x:v>
      </x:c>
      <x:c r="Y417" s="80" t="n">
        <x:f>2*V417</x:f>
        <x:v>342.21890034905914</x:v>
      </x:c>
      <x:c r="Z417" s="80" t="n">
        <x:f>K417*'Inputs'!$B$16+(G417+R417)*J417*'Inputs'!$B$16</x:f>
        <x:v>1.0895605524453618</x:v>
      </x:c>
      <x:c r="AA417" s="80" t="n">
        <x:f>K417*(1+'Inputs'!$E$45)/2*'Inputs'!$B$17</x:f>
        <x:v>0.3451239023856408</x:v>
      </x:c>
      <x:c r="AB417" s="78" t="n">
        <x:f>(IF(J417&gt;0,K417*(1-'Inputs'!$E$45)/2/J417,0)+G417+R417)*'Inputs'!$B$17</x:f>
        <x:v>193515.8586730648</x:v>
      </x:c>
      <x:c r="AC417" s="78" t="n">
        <x:f>AC416+AB417</x:f>
        <x:v>3267837.3008975843</x:v>
      </x:c>
      <x:c r="AD417" s="80" t="n">
        <x:f>Z417/(1+'Inputs'!$C$45)</x:f>
        <x:v>0.7263737016302412</x:v>
      </x:c>
      <x:c r="AE417" s="80" t="n">
        <x:f>Z417-AD417</x:f>
        <x:v>0.3631868508151206</x:v>
      </x:c>
      <x:c r="AF417" s="80" t="n">
        <x:f>D417*W417</x:f>
        <x:v>0.5338548631713446</x:v>
      </x:c>
      <x:c r="AG417" s="80" t="n">
        <x:f>C417*W417</x:f>
        <x:v>0.9342460105498456</x:v>
      </x:c>
      <x:c r="AH417" s="80" t="n">
        <x:f>2*'Inputs'!$B$8*'Inputs'!$C$45</x:f>
        <x:v>2500</x:v>
      </x:c>
      <x:c r="AI417" s="81" t="n">
        <x:f>IF(AH417&gt;0,(AE417+AF417)/AH417*365,0)</x:f>
        <x:v>0.1309680902420239</x:v>
      </x:c>
      <x:c r="AJ417" s="81" t="n">
        <x:f>IF('Inputs'!$B$45&gt;0,AG417/('Inputs'!$B$19*'Inputs'!$B$45)*365,0)</x:f>
        <x:v>0.04546663918009248</x:v>
      </x:c>
      <x:c r="AK417" s="81" t="n">
        <x:f>W417/MAX($W$369:W417)-1</x:f>
        <x:v>-0.9976202397486555</x:v>
      </x:c>
      <x:c r="AL417" s="83" t="n">
        <x:f>'Inputs'!$B$45</x:f>
        <x:v>0.75</x:v>
      </x:c>
      <x:c r="AM417" s="83" t="n">
        <x:f>'Inputs'!$C$45</x:f>
        <x:v>0.5</x:v>
      </x:c>
      <x:c r="AN417" s="83" t="n">
        <x:f>'Inputs'!$D$45</x:f>
        <x:v>0.5</x:v>
      </x:c>
      <x:c r="AO417" s="81" t="n">
        <x:f>'Inputs'!$E$45</x:f>
        <x:v>-0.05</x:v>
      </x:c>
    </x:row>
    <x:row r="418">
      <x:c r="A418" s="59" t="str">
        <x:v>Weak demand</x:v>
      </x:c>
      <x:c r="B418" s="59" t="n">
        <x:v>50</x:v>
      </x:c>
      <x:c r="C418" s="78" t="n">
        <x:f>(('Inputs'!$B$29*(3*50*'Inputs'!$B$12-50^2)/(2*'Inputs'!$B$12^2))-('Inputs'!$B$29*(3*49*'Inputs'!$B$12-49^2)/(2*'Inputs'!$B$12^2)))*'Inputs'!$B$45</x:f>
        <x:v>521920.09523362666</x:v>
      </x:c>
      <x:c r="D418" s="78" t="n">
        <x:f>IF('Inputs'!$C$45&gt;0,('Inputs'!$B$30*(3*50*'Inputs'!$B$12-50^2)/(2*'Inputs'!$B$12^2))-('Inputs'!$B$30*(3*49*'Inputs'!$B$12-49^2)/(2*'Inputs'!$B$12^2)),0)</x:f>
        <x:v>298240.0544192139</x:v>
      </x:c>
      <x:c r="E418" s="78" t="n">
        <x:f>C418+D418</x:f>
        <x:v>820160.1496528406</x:v>
      </x:c>
      <x:c r="F418" s="78" t="n">
        <x:f>'Inputs'!$B$13*E418+(1-'Inputs'!$B$13)/'Inputs'!$B$14*SUM(E369:E418)</x:f>
        <x:v>756566.0586950106</x:v>
      </x:c>
      <x:c r="G418" s="78" t="n">
        <x:f>F418*'Inputs'!$F$45</x:f>
        <x:v>529596.2410865074</x:v>
      </x:c>
      <x:c r="H418" s="78" t="n">
        <x:f>U417</x:f>
        <x:v>95635604.85895212</x:v>
      </x:c>
      <x:c r="I418" s="78" t="n">
        <x:f>V417</x:f>
        <x:v>171.10945017452957</x:v>
      </x:c>
      <x:c r="J418" s="79" t="n">
        <x:f>IF(H418&gt;0,I418/H418,0)</x:f>
        <x:v>0.0000017891814500142475</x:v>
      </x:c>
      <x:c r="K418" s="80" t="n">
        <x:f>(H418*J418+I418)*'Inputs'!$D$45*(1+'Inputs'!$G$45)^(B418/30)</x:f>
        <x:v>171.10945017452957</x:v>
      </x:c>
      <x:c r="L418" s="80" t="n">
        <x:f>MAX(0,K418*'Inputs'!$E$45)</x:f>
        <x:v>0</x:v>
      </x:c>
      <x:c r="M418" s="80" t="n">
        <x:f>MAX(0,-K418*'Inputs'!$E$45)</x:f>
        <x:v>8.55547250872648</x:v>
      </x:c>
      <x:c r="N418" s="78" t="n">
        <x:f>H418*(L418*(1-'Inputs'!$B$15))/(I418+L418*(1-'Inputs'!$B$15))</x:f>
        <x:v>0</x:v>
      </x:c>
      <x:c r="O418" s="78" t="n">
        <x:f>H418-N418</x:f>
        <x:v>95635604.85895212</x:v>
      </x:c>
      <x:c r="P418" s="78" t="n">
        <x:f>I418+L418*(1-'Inputs'!$B$17)</x:f>
        <x:v>171.10945017452957</x:v>
      </x:c>
      <x:c r="Q418" s="78" t="n">
        <x:f>IF(J418&gt;0,M418/J418,0)</x:f>
        <x:v>4781780.242947606</x:v>
      </x:c>
      <x:c r="R418" s="78" t="n">
        <x:f>IF(B418='Inputs'!$H$45,'Inputs'!$B$27*'Inputs'!$I$45,0)</x:f>
        <x:v>0</x:v>
      </x:c>
      <x:c r="S418" s="78" t="n">
        <x:f>Q418+G418+R418</x:f>
        <x:v>5311376.484034114</x:v>
      </x:c>
      <x:c r="T418" s="78" t="n">
        <x:f>P418*(S418*(1-'Inputs'!$B$15))/(O418+S418*(1-'Inputs'!$B$15))</x:f>
        <x:v>8.917672246606998</x:v>
      </x:c>
      <x:c r="U418" s="78" t="n">
        <x:f>O418+S418*(1-'Inputs'!$B$17)</x:f>
        <x:v>100925607.59455954</x:v>
      </x:c>
      <x:c r="V418" s="78" t="n">
        <x:f>P418-T418</x:f>
        <x:v>162.19177792792257</x:v>
      </x:c>
      <x:c r="W418" s="79" t="n">
        <x:f>IF(U418&gt;0,V418/U418,0)</x:f>
        <x:v>0.0000016070428684411073</x:v>
      </x:c>
      <x:c r="X418" s="80" t="n">
        <x:f>W418*('Inputs'!$B$6-AC418)</x:f>
        <x:v>1601.463190651876</x:v>
      </x:c>
      <x:c r="Y418" s="80" t="n">
        <x:f>2*V418</x:f>
        <x:v>324.38355585584515</x:v>
      </x:c>
      <x:c r="Z418" s="80" t="n">
        <x:f>K418*'Inputs'!$B$16+(G418+R418)*J418*'Inputs'!$B$16</x:f>
        <x:v>1.032341963670473</x:v>
      </x:c>
      <x:c r="AA418" s="80" t="n">
        <x:f>K418*(1+'Inputs'!$E$45)/2*'Inputs'!$B$17</x:f>
        <x:v>0.3270703775971893</x:v>
      </x:c>
      <x:c r="AB418" s="78" t="n">
        <x:f>(IF(J418&gt;0,K418*(1-'Inputs'!$E$45)/2/J418,0)+G418+R418)*'Inputs'!$B$17</x:f>
        <x:v>204178.22451523694</x:v>
      </x:c>
      <x:c r="AC418" s="78" t="n">
        <x:f>AC417+AB418</x:f>
        <x:v>3472015.525412821</x:v>
      </x:c>
      <x:c r="AD418" s="80" t="n">
        <x:f>Z418/(1+'Inputs'!$C$45)</x:f>
        <x:v>0.6882279757803152</x:v>
      </x:c>
      <x:c r="AE418" s="80" t="n">
        <x:f>Z418-AD418</x:f>
        <x:v>0.3441139878901577</x:v>
      </x:c>
      <x:c r="AF418" s="80" t="n">
        <x:f>D418*W418</x:f>
        <x:v>0.4792845525378855</x:v>
      </x:c>
      <x:c r="AG418" s="80" t="n">
        <x:f>C418*W418</x:f>
        <x:v>0.8387479669413033</x:v>
      </x:c>
      <x:c r="AH418" s="80" t="n">
        <x:f>2*'Inputs'!$B$8*'Inputs'!$C$45</x:f>
        <x:v>2500</x:v>
      </x:c>
      <x:c r="AI418" s="81" t="n">
        <x:f>IF(AH418&gt;0,(AE418+AF418)/AH418*365,0)</x:f>
        <x:v>0.1202161869024943</x:v>
      </x:c>
      <x:c r="AJ418" s="81" t="n">
        <x:f>IF('Inputs'!$B$45&gt;0,AG418/('Inputs'!$B$19*'Inputs'!$B$45)*365,0)</x:f>
        <x:v>0.040819067724476764</x:v>
      </x:c>
      <x:c r="AK418" s="81" t="n">
        <x:f>W418/MAX($W$369:W418)-1</x:f>
        <x:v>-0.997862499222484</x:v>
      </x:c>
      <x:c r="AL418" s="83" t="n">
        <x:f>'Inputs'!$B$45</x:f>
        <x:v>0.75</x:v>
      </x:c>
      <x:c r="AM418" s="83" t="n">
        <x:f>'Inputs'!$C$45</x:f>
        <x:v>0.5</x:v>
      </x:c>
      <x:c r="AN418" s="83" t="n">
        <x:f>'Inputs'!$D$45</x:f>
        <x:v>0.5</x:v>
      </x:c>
      <x:c r="AO418" s="81" t="n">
        <x:f>'Inputs'!$E$45</x:f>
        <x:v>-0.05</x:v>
      </x:c>
    </x:row>
    <x:row r="419">
      <x:c r="A419" s="59" t="str">
        <x:v>Weak demand</x:v>
      </x:c>
      <x:c r="B419" s="59" t="n">
        <x:v>51</x:v>
      </x:c>
      <x:c r="C419" s="78" t="n">
        <x:f>(('Inputs'!$B$29*(3*51*'Inputs'!$B$12-51^2)/(2*'Inputs'!$B$12^2))-('Inputs'!$B$29*(3*50*'Inputs'!$B$12-50^2)/(2*'Inputs'!$B$12^2)))*'Inputs'!$B$45</x:f>
        <x:v>521676.2643085029</x:v>
      </x:c>
      <x:c r="D419" s="78" t="n">
        <x:f>IF('Inputs'!$C$45&gt;0,('Inputs'!$B$30*(3*51*'Inputs'!$B$12-51^2)/(2*'Inputs'!$B$12^2))-('Inputs'!$B$30*(3*50*'Inputs'!$B$12-50^2)/(2*'Inputs'!$B$12^2)),0)</x:f>
        <x:v>298100.7224620003</x:v>
      </x:c>
      <x:c r="E419" s="78" t="n">
        <x:f>C419+D419</x:f>
        <x:v>819776.9867705032</x:v>
      </x:c>
      <x:c r="F419" s="78" t="n">
        <x:f>'Inputs'!$B$13*E419+(1-'Inputs'!$B$13)/'Inputs'!$B$14*SUM(E369:E419)</x:f>
        <x:v>768200.5259295504</x:v>
      </x:c>
      <x:c r="G419" s="78" t="n">
        <x:f>F419*'Inputs'!$F$45</x:f>
        <x:v>537740.3681506852</x:v>
      </x:c>
      <x:c r="H419" s="78" t="n">
        <x:f>U418</x:f>
        <x:v>100925607.59455954</x:v>
      </x:c>
      <x:c r="I419" s="78" t="n">
        <x:f>V418</x:f>
        <x:v>162.19177792792257</x:v>
      </x:c>
      <x:c r="J419" s="79" t="n">
        <x:f>IF(H419&gt;0,I419/H419,0)</x:f>
        <x:v>0.0000016070428684411073</x:v>
      </x:c>
      <x:c r="K419" s="80" t="n">
        <x:f>(H419*J419+I419)*'Inputs'!$D$45*(1+'Inputs'!$G$45)^(B419/30)</x:f>
        <x:v>162.19177792792257</x:v>
      </x:c>
      <x:c r="L419" s="80" t="n">
        <x:f>MAX(0,K419*'Inputs'!$E$45)</x:f>
        <x:v>0</x:v>
      </x:c>
      <x:c r="M419" s="80" t="n">
        <x:f>MAX(0,-K419*'Inputs'!$E$45)</x:f>
        <x:v>8.10958889639613</x:v>
      </x:c>
      <x:c r="N419" s="78" t="n">
        <x:f>H419*(L419*(1-'Inputs'!$B$15))/(I419+L419*(1-'Inputs'!$B$15))</x:f>
        <x:v>0</x:v>
      </x:c>
      <x:c r="O419" s="78" t="n">
        <x:f>H419-N419</x:f>
        <x:v>100925607.59455954</x:v>
      </x:c>
      <x:c r="P419" s="78" t="n">
        <x:f>I419+L419*(1-'Inputs'!$B$17)</x:f>
        <x:v>162.19177792792257</x:v>
      </x:c>
      <x:c r="Q419" s="78" t="n">
        <x:f>IF(J419&gt;0,M419/J419,0)</x:f>
        <x:v>5046280.379727977</x:v>
      </x:c>
      <x:c r="R419" s="78" t="n">
        <x:f>IF(B419='Inputs'!$H$45,'Inputs'!$B$27*'Inputs'!$I$45,0)</x:f>
        <x:v>0</x:v>
      </x:c>
      <x:c r="S419" s="78" t="n">
        <x:f>Q419+G419+R419</x:f>
        <x:v>5584020.747878662</x:v>
      </x:c>
      <x:c r="T419" s="78" t="n">
        <x:f>P419*(S419*(1-'Inputs'!$B$15))/(O419+S419*(1-'Inputs'!$B$15))</x:f>
        <x:v>8.422672844833672</x:v>
      </x:c>
      <x:c r="U419" s="78" t="n">
        <x:f>O419+S419*(1-'Inputs'!$B$17)</x:f>
        <x:v>106487157.43399604</x:v>
      </x:c>
      <x:c r="V419" s="78" t="n">
        <x:f>P419-T419</x:f>
        <x:v>153.7691050830889</x:v>
      </x:c>
      <x:c r="W419" s="79" t="n">
        <x:f>IF(U419&gt;0,V419/U419,0)</x:f>
        <x:v>0.0000014440154924634894</x:v>
      </x:c>
      <x:c r="X419" s="80" t="n">
        <x:f>W419*('Inputs'!$B$6-AC419)</x:f>
        <x:v>1438.6908260035211</x:v>
      </x:c>
      <x:c r="Y419" s="80" t="n">
        <x:f>2*V419</x:f>
        <x:v>307.5382101661778</x:v>
      </x:c>
      <x:c r="Z419" s="80" t="n">
        <x:f>K419*'Inputs'!$B$16+(G419+R419)*J419*'Inputs'!$B$16</x:f>
        <x:v>0.9783356985097922</x:v>
      </x:c>
      <x:c r="AA419" s="80" t="n">
        <x:f>K419*(1+'Inputs'!$E$45)/2*'Inputs'!$B$17</x:f>
        <x:v>0.31002452521433893</x:v>
      </x:c>
      <x:c r="AB419" s="78" t="n">
        <x:f>(IF(J419&gt;0,K419*(1-'Inputs'!$E$45)/2/J419,0)+G419+R419)*'Inputs'!$B$17</x:f>
        <x:v>215387.05977985697</x:v>
      </x:c>
      <x:c r="AC419" s="78" t="n">
        <x:f>AC418+AB419</x:f>
        <x:v>3687402.585192678</x:v>
      </x:c>
      <x:c r="AD419" s="80" t="n">
        <x:f>Z419/(1+'Inputs'!$C$45)</x:f>
        <x:v>0.6522237990065282</x:v>
      </x:c>
      <x:c r="AE419" s="80" t="n">
        <x:f>Z419-AD419</x:f>
        <x:v>0.326111899503264</x:v>
      </x:c>
      <x:c r="AF419" s="80" t="n">
        <x:f>D419*W419</x:f>
        <x:v>0.43046206154968736</x:v>
      </x:c>
      <x:c r="AG419" s="80" t="n">
        <x:f>C419*W419</x:f>
        <x:v>0.7533086077119563</x:v>
      </x:c>
      <x:c r="AH419" s="80" t="n">
        <x:f>2*'Inputs'!$B$8*'Inputs'!$C$45</x:f>
        <x:v>2500</x:v>
      </x:c>
      <x:c r="AI419" s="81" t="n">
        <x:f>IF(AH419&gt;0,(AE419+AF419)/AH419*365,0)</x:f>
        <x:v>0.1104597983137309</x:v>
      </x:c>
      <x:c r="AJ419" s="81" t="n">
        <x:f>IF('Inputs'!$B$45&gt;0,AG419/('Inputs'!$B$19*'Inputs'!$B$45)*365,0)</x:f>
        <x:v>0.03666101890864854</x:v>
      </x:c>
      <x:c r="AK419" s="81" t="n">
        <x:f>W419/MAX($W$369:W419)-1</x:f>
        <x:v>-0.9980793392021459</x:v>
      </x:c>
      <x:c r="AL419" s="83" t="n">
        <x:f>'Inputs'!$B$45</x:f>
        <x:v>0.75</x:v>
      </x:c>
      <x:c r="AM419" s="83" t="n">
        <x:f>'Inputs'!$C$45</x:f>
        <x:v>0.5</x:v>
      </x:c>
      <x:c r="AN419" s="83" t="n">
        <x:f>'Inputs'!$D$45</x:f>
        <x:v>0.5</x:v>
      </x:c>
      <x:c r="AO419" s="81" t="n">
        <x:f>'Inputs'!$E$45</x:f>
        <x:v>-0.05</x:v>
      </x:c>
    </x:row>
    <x:row r="420">
      <x:c r="A420" s="59" t="str">
        <x:v>Weak demand</x:v>
      </x:c>
      <x:c r="B420" s="59" t="n">
        <x:v>52</x:v>
      </x:c>
      <x:c r="C420" s="78" t="n">
        <x:f>(('Inputs'!$B$29*(3*52*'Inputs'!$B$12-52^2)/(2*'Inputs'!$B$12^2))-('Inputs'!$B$29*(3*51*'Inputs'!$B$12-51^2)/(2*'Inputs'!$B$12^2)))*'Inputs'!$B$45</x:f>
        <x:v>521432.43338337354</x:v>
      </x:c>
      <x:c r="D420" s="78" t="n">
        <x:f>IF('Inputs'!$C$45&gt;0,('Inputs'!$B$30*(3*52*'Inputs'!$B$12-52^2)/(2*'Inputs'!$B$12^2))-('Inputs'!$B$30*(3*51*'Inputs'!$B$12-51^2)/(2*'Inputs'!$B$12^2)),0)</x:f>
        <x:v>297961.39050478674</x:v>
      </x:c>
      <x:c r="E420" s="78" t="n">
        <x:f>C420+D420</x:f>
        <x:v>819393.8238881603</x:v>
      </x:c>
      <x:c r="F420" s="78" t="n">
        <x:f>'Inputs'!$B$13*E420+(1-'Inputs'!$B$13)/'Inputs'!$B$14*SUM(E369:E420)</x:f>
        <x:v>779829.519408627</x:v>
      </x:c>
      <x:c r="G420" s="78" t="n">
        <x:f>F420*'Inputs'!$F$45</x:f>
        <x:v>545880.6635860389</x:v>
      </x:c>
      <x:c r="H420" s="78" t="n">
        <x:f>U419</x:f>
        <x:v>106487157.43399604</x:v>
      </x:c>
      <x:c r="I420" s="78" t="n">
        <x:f>V419</x:f>
        <x:v>153.7691050830889</x:v>
      </x:c>
      <x:c r="J420" s="79" t="n">
        <x:f>IF(H420&gt;0,I420/H420,0)</x:f>
        <x:v>0.0000014440154924634894</x:v>
      </x:c>
      <x:c r="K420" s="80" t="n">
        <x:f>(H420*J420+I420)*'Inputs'!$D$45*(1+'Inputs'!$G$45)^(B420/30)</x:f>
        <x:v>153.7691050830889</x:v>
      </x:c>
      <x:c r="L420" s="80" t="n">
        <x:f>MAX(0,K420*'Inputs'!$E$45)</x:f>
        <x:v>0</x:v>
      </x:c>
      <x:c r="M420" s="80" t="n">
        <x:f>MAX(0,-K420*'Inputs'!$E$45)</x:f>
        <x:v>7.688455254154445</x:v>
      </x:c>
      <x:c r="N420" s="78" t="n">
        <x:f>H420*(L420*(1-'Inputs'!$B$15))/(I420+L420*(1-'Inputs'!$B$15))</x:f>
        <x:v>0</x:v>
      </x:c>
      <x:c r="O420" s="78" t="n">
        <x:f>H420-N420</x:f>
        <x:v>106487157.43399604</x:v>
      </x:c>
      <x:c r="P420" s="78" t="n">
        <x:f>I420+L420*(1-'Inputs'!$B$17)</x:f>
        <x:v>153.7691050830889</x:v>
      </x:c>
      <x:c r="Q420" s="78" t="n">
        <x:f>IF(J420&gt;0,M420/J420,0)</x:f>
        <x:v>5324357.871699802</x:v>
      </x:c>
      <x:c r="R420" s="78" t="n">
        <x:f>IF(B420='Inputs'!$H$45,'Inputs'!$B$27*'Inputs'!$I$45,0)</x:f>
        <x:v>0</x:v>
      </x:c>
      <x:c r="S420" s="78" t="n">
        <x:f>Q420+G420+R420</x:f>
        <x:v>5870238.535285841</x:v>
      </x:c>
      <x:c r="T420" s="78" t="n">
        <x:f>P420*(S420*(1-'Inputs'!$B$15))/(O420+S420*(1-'Inputs'!$B$15))</x:f>
        <x:v>7.957659028912355</x:v>
      </x:c>
      <x:c r="U420" s="78" t="n">
        <x:f>O420+S420*(1-'Inputs'!$B$17)</x:f>
        <x:v>112333773.27899903</x:v>
      </x:c>
      <x:c r="V420" s="78" t="n">
        <x:f>P420-T420</x:f>
        <x:v>145.81144605417654</x:v>
      </x:c>
      <x:c r="W420" s="79" t="n">
        <x:f>IF(U420&gt;0,V420/U420,0)</x:f>
        <x:v>0.000001298019658718579</x:v>
      </x:c>
      <x:c r="X420" s="80" t="n">
        <x:f>W420*('Inputs'!$B$6-AC420)</x:f>
        <x:v>1292.938467104771</x:v>
      </x:c>
      <x:c r="Y420" s="80" t="n">
        <x:f>2*V420</x:f>
        <x:v>291.6228921083531</x:v>
      </x:c>
      <x:c r="Z420" s="80" t="n">
        <x:f>K420*'Inputs'!$B$16+(G420+R420)*J420*'Inputs'!$B$16</x:f>
        <x:v>0.9273441913100604</x:v>
      </x:c>
      <x:c r="AA420" s="80" t="n">
        <x:f>K420*(1+'Inputs'!$E$45)/2*'Inputs'!$B$17</x:f>
        <x:v>0.2939248487503711</x:v>
      </x:c>
      <x:c r="AB420" s="78" t="n">
        <x:f>(IF(J420&gt;0,K420*(1-'Inputs'!$E$45)/2/J420,0)+G420+R420)*'Inputs'!$B$17</x:f>
        <x:v>227169.5706898751</x:v>
      </x:c>
      <x:c r="AC420" s="78" t="n">
        <x:f>AC419+AB420</x:f>
        <x:v>3914572.155882553</x:v>
      </x:c>
      <x:c r="AD420" s="80" t="n">
        <x:f>Z420/(1+'Inputs'!$C$45)</x:f>
        <x:v>0.6182294608733736</x:v>
      </x:c>
      <x:c r="AE420" s="80" t="n">
        <x:f>Z420-AD420</x:f>
        <x:v>0.3091147304366868</x:v>
      </x:c>
      <x:c r="AF420" s="80" t="n">
        <x:f>D420*W420</x:f>
        <x:v>0.3867597424143365</x:v>
      </x:c>
      <x:c r="AG420" s="80" t="n">
        <x:f>C420*W420</x:f>
        <x:v>0.6768295492250846</x:v>
      </x:c>
      <x:c r="AH420" s="80" t="n">
        <x:f>2*'Inputs'!$B$8*'Inputs'!$C$45</x:f>
        <x:v>2500</x:v>
      </x:c>
      <x:c r="AI420" s="81" t="n">
        <x:f>IF(AH420&gt;0,(AE420+AF420)/AH420*365,0)</x:f>
        <x:v>0.1015976730362494</x:v>
      </x:c>
      <x:c r="AJ420" s="81" t="n">
        <x:f>IF('Inputs'!$B$45&gt;0,AG420/('Inputs'!$B$19*'Inputs'!$B$45)*365,0)</x:f>
        <x:v>0.03293903806228745</x:v>
      </x:c>
      <x:c r="AK420" s="81" t="n">
        <x:f>W420/MAX($W$369:W420)-1</x:f>
        <x:v>-0.998273525813015</x:v>
      </x:c>
      <x:c r="AL420" s="83" t="n">
        <x:f>'Inputs'!$B$45</x:f>
        <x:v>0.75</x:v>
      </x:c>
      <x:c r="AM420" s="83" t="n">
        <x:f>'Inputs'!$C$45</x:f>
        <x:v>0.5</x:v>
      </x:c>
      <x:c r="AN420" s="83" t="n">
        <x:f>'Inputs'!$D$45</x:f>
        <x:v>0.5</x:v>
      </x:c>
      <x:c r="AO420" s="81" t="n">
        <x:f>'Inputs'!$E$45</x:f>
        <x:v>-0.05</x:v>
      </x:c>
    </x:row>
    <x:row r="421">
      <x:c r="A421" s="59" t="str">
        <x:v>Weak demand</x:v>
      </x:c>
      <x:c r="B421" s="59" t="n">
        <x:v>53</x:v>
      </x:c>
      <x:c r="C421" s="78" t="n">
        <x:f>(('Inputs'!$B$29*(3*53*'Inputs'!$B$12-53^2)/(2*'Inputs'!$B$12^2))-('Inputs'!$B$29*(3*52*'Inputs'!$B$12-52^2)/(2*'Inputs'!$B$12^2)))*'Inputs'!$B$45</x:f>
        <x:v>521188.6024582498</x:v>
      </x:c>
      <x:c r="D421" s="78" t="n">
        <x:f>IF('Inputs'!$C$45&gt;0,('Inputs'!$B$30*(3*53*'Inputs'!$B$12-53^2)/(2*'Inputs'!$B$12^2))-('Inputs'!$B$30*(3*52*'Inputs'!$B$12-52^2)/(2*'Inputs'!$B$12^2)),0)</x:f>
        <x:v>297822.05854756944</x:v>
      </x:c>
      <x:c r="E421" s="78" t="n">
        <x:f>C421+D421</x:f>
        <x:v>819010.6610058192</x:v>
      </x:c>
      <x:c r="F421" s="78" t="n">
        <x:f>'Inputs'!$B$13*E421+(1-'Inputs'!$B$13)/'Inputs'!$B$14*SUM(E369:E421)</x:f>
        <x:v>791453.0391322419</x:v>
      </x:c>
      <x:c r="G421" s="78" t="n">
        <x:f>F421*'Inputs'!$F$45</x:f>
        <x:v>554017.1273925692</x:v>
      </x:c>
      <x:c r="H421" s="78" t="n">
        <x:f>U420</x:f>
        <x:v>112333773.27899903</x:v>
      </x:c>
      <x:c r="I421" s="78" t="n">
        <x:f>V420</x:f>
        <x:v>145.81144605417654</x:v>
      </x:c>
      <x:c r="J421" s="79" t="n">
        <x:f>IF(H421&gt;0,I421/H421,0)</x:f>
        <x:v>0.000001298019658718579</x:v>
      </x:c>
      <x:c r="K421" s="80" t="n">
        <x:f>(H421*J421+I421)*'Inputs'!$D$45*(1+'Inputs'!$G$45)^(B421/30)</x:f>
        <x:v>145.81144605417654</x:v>
      </x:c>
      <x:c r="L421" s="80" t="n">
        <x:f>MAX(0,K421*'Inputs'!$E$45)</x:f>
        <x:v>0</x:v>
      </x:c>
      <x:c r="M421" s="80" t="n">
        <x:f>MAX(0,-K421*'Inputs'!$E$45)</x:f>
        <x:v>7.290572302708828</x:v>
      </x:c>
      <x:c r="N421" s="78" t="n">
        <x:f>H421*(L421*(1-'Inputs'!$B$15))/(I421+L421*(1-'Inputs'!$B$15))</x:f>
        <x:v>0</x:v>
      </x:c>
      <x:c r="O421" s="78" t="n">
        <x:f>H421-N421</x:f>
        <x:v>112333773.27899903</x:v>
      </x:c>
      <x:c r="P421" s="78" t="n">
        <x:f>I421+L421*(1-'Inputs'!$B$17)</x:f>
        <x:v>145.81144605417654</x:v>
      </x:c>
      <x:c r="Q421" s="78" t="n">
        <x:f>IF(J421&gt;0,M421/J421,0)</x:f>
        <x:v>5616688.6639499515</x:v>
      </x:c>
      <x:c r="R421" s="78" t="n">
        <x:f>IF(B421='Inputs'!$H$45,'Inputs'!$B$27*'Inputs'!$I$45,0)</x:f>
        <x:v>0</x:v>
      </x:c>
      <x:c r="S421" s="78" t="n">
        <x:f>Q421+G421+R421</x:f>
        <x:v>6170705.791342521</x:v>
      </x:c>
      <x:c r="T421" s="78" t="n">
        <x:f>P421*(S421*(1-'Inputs'!$B$15))/(O421+S421*(1-'Inputs'!$B$15))</x:f>
        <x:v>7.520610368448337</x:v>
      </x:c>
      <x:c r="U421" s="78" t="n">
        <x:f>O421+S421*(1-'Inputs'!$B$17)</x:f>
        <x:v>118479647.25629188</x:v>
      </x:c>
      <x:c r="V421" s="78" t="n">
        <x:f>P421-T421</x:f>
        <x:v>138.2908356857282</x:v>
      </x:c>
      <x:c r="W421" s="79" t="n">
        <x:f>IF(U421&gt;0,V421/U421,0)</x:f>
        <x:v>0.0000011672117438582622</x:v>
      </x:c>
      <x:c r="X421" s="80" t="n">
        <x:f>W421*('Inputs'!$B$6-AC421)</x:f>
        <x:v>1162.3629986521175</x:v>
      </x:c>
      <x:c r="Y421" s="80" t="n">
        <x:f>2*V421</x:f>
        <x:v>276.5816713714564</x:v>
      </x:c>
      <x:c r="Z421" s="80" t="n">
        <x:f>K421*'Inputs'!$B$16+(G421+R421)*J421*'Inputs'!$B$16</x:f>
        <x:v>0.8791834270607933</x:v>
      </x:c>
      <x:c r="AA421" s="80" t="n">
        <x:f>K421*(1+'Inputs'!$E$45)/2*'Inputs'!$B$17</x:f>
        <x:v>0.278714031693094</x:v>
      </x:c>
      <x:c r="AB421" s="78" t="n">
        <x:f>(IF(J421&gt;0,K421*(1-'Inputs'!$E$45)/2/J421,0)+G421+R421)*'Inputs'!$B$17</x:f>
        <x:v>239554.31830530005</x:v>
      </x:c>
      <x:c r="AC421" s="78" t="n">
        <x:f>AC420+AB421</x:f>
        <x:v>4154126.4741878533</x:v>
      </x:c>
      <x:c r="AD421" s="80" t="n">
        <x:f>Z421/(1+'Inputs'!$C$45)</x:f>
        <x:v>0.5861222847071955</x:v>
      </x:c>
      <x:c r="AE421" s="80" t="n">
        <x:f>Z421-AD421</x:f>
        <x:v>0.2930611423535978</x:v>
      </x:c>
      <x:c r="AF421" s="80" t="n">
        <x:f>D421*W421</x:f>
        <x:v>0.34762140431676597</x:v>
      </x:c>
      <x:c r="AG421" s="80" t="n">
        <x:f>C421*W421</x:f>
        <x:v>0.6083374575543443</x:v>
      </x:c>
      <x:c r="AH421" s="80" t="n">
        <x:f>2*'Inputs'!$B$8*'Inputs'!$C$45</x:f>
        <x:v>2500</x:v>
      </x:c>
      <x:c r="AI421" s="81" t="n">
        <x:f>IF(AH421&gt;0,(AE421+AF421)/AH421*365,0)</x:f>
        <x:v>0.09353965181387312</x:v>
      </x:c>
      <x:c r="AJ421" s="81" t="n">
        <x:f>IF('Inputs'!$B$45&gt;0,AG421/('Inputs'!$B$19*'Inputs'!$B$45)*365,0)</x:f>
        <x:v>0.029605756267644754</x:v>
      </x:c>
      <x:c r="AK421" s="81" t="n">
        <x:f>W421/MAX($W$369:W421)-1</x:f>
        <x:v>-0.9984475112275984</x:v>
      </x:c>
      <x:c r="AL421" s="83" t="n">
        <x:f>'Inputs'!$B$45</x:f>
        <x:v>0.75</x:v>
      </x:c>
      <x:c r="AM421" s="83" t="n">
        <x:f>'Inputs'!$C$45</x:f>
        <x:v>0.5</x:v>
      </x:c>
      <x:c r="AN421" s="83" t="n">
        <x:f>'Inputs'!$D$45</x:f>
        <x:v>0.5</x:v>
      </x:c>
      <x:c r="AO421" s="81" t="n">
        <x:f>'Inputs'!$E$45</x:f>
        <x:v>-0.05</x:v>
      </x:c>
    </x:row>
    <x:row r="422">
      <x:c r="A422" s="59" t="str">
        <x:v>Weak demand</x:v>
      </x:c>
      <x:c r="B422" s="59" t="n">
        <x:v>54</x:v>
      </x:c>
      <x:c r="C422" s="78" t="n">
        <x:f>(('Inputs'!$B$29*(3*54*'Inputs'!$B$12-54^2)/(2*'Inputs'!$B$12^2))-('Inputs'!$B$29*(3*53*'Inputs'!$B$12-53^2)/(2*'Inputs'!$B$12^2)))*'Inputs'!$B$45</x:f>
        <x:v>520944.7715331204</x:v>
      </x:c>
      <x:c r="D422" s="78" t="n">
        <x:f>IF('Inputs'!$C$45&gt;0,('Inputs'!$B$30*(3*54*'Inputs'!$B$12-54^2)/(2*'Inputs'!$B$12^2))-('Inputs'!$B$30*(3*53*'Inputs'!$B$12-53^2)/(2*'Inputs'!$B$12^2)),0)</x:f>
        <x:v>297682.726590354</x:v>
      </x:c>
      <x:c r="E422" s="78" t="n">
        <x:f>C422+D422</x:f>
        <x:v>818627.4981234744</x:v>
      </x:c>
      <x:c r="F422" s="78" t="n">
        <x:f>'Inputs'!$B$13*E422+(1-'Inputs'!$B$13)/'Inputs'!$B$14*SUM(E369:E422)</x:f>
        <x:v>803071.085100394</x:v>
      </x:c>
      <x:c r="G422" s="78" t="n">
        <x:f>F422*'Inputs'!$F$45</x:f>
        <x:v>562149.7595702758</x:v>
      </x:c>
      <x:c r="H422" s="78" t="n">
        <x:f>U421</x:f>
        <x:v>118479647.25629188</x:v>
      </x:c>
      <x:c r="I422" s="78" t="n">
        <x:f>V421</x:f>
        <x:v>138.2908356857282</x:v>
      </x:c>
      <x:c r="J422" s="79" t="n">
        <x:f>IF(H422&gt;0,I422/H422,0)</x:f>
        <x:v>0.0000011672117438582622</x:v>
      </x:c>
      <x:c r="K422" s="80" t="n">
        <x:f>(H422*J422+I422)*'Inputs'!$D$45*(1+'Inputs'!$G$45)^(B422/30)</x:f>
        <x:v>138.2908356857282</x:v>
      </x:c>
      <x:c r="L422" s="80" t="n">
        <x:f>MAX(0,K422*'Inputs'!$E$45)</x:f>
        <x:v>0</x:v>
      </x:c>
      <x:c r="M422" s="80" t="n">
        <x:f>MAX(0,-K422*'Inputs'!$E$45)</x:f>
        <x:v>6.914541784286411</x:v>
      </x:c>
      <x:c r="N422" s="78" t="n">
        <x:f>H422*(L422*(1-'Inputs'!$B$15))/(I422+L422*(1-'Inputs'!$B$15))</x:f>
        <x:v>0</x:v>
      </x:c>
      <x:c r="O422" s="78" t="n">
        <x:f>H422-N422</x:f>
        <x:v>118479647.25629188</x:v>
      </x:c>
      <x:c r="P422" s="78" t="n">
        <x:f>I422+L422*(1-'Inputs'!$B$17)</x:f>
        <x:v>138.2908356857282</x:v>
      </x:c>
      <x:c r="Q422" s="78" t="n">
        <x:f>IF(J422&gt;0,M422/J422,0)</x:f>
        <x:v>5923982.362814594</x:v>
      </x:c>
      <x:c r="R422" s="78" t="n">
        <x:f>IF(B422='Inputs'!$H$45,'Inputs'!$B$27*'Inputs'!$I$45,0)</x:f>
        <x:v>0</x:v>
      </x:c>
      <x:c r="S422" s="78" t="n">
        <x:f>Q422+G422+R422</x:f>
        <x:v>6486132.1223848695</x:v>
      </x:c>
      <x:c r="T422" s="78" t="n">
        <x:f>P422*(S422*(1-'Inputs'!$B$15))/(O422+S422*(1-'Inputs'!$B$15))</x:f>
        <x:v>7.109658752455707</x:v>
      </x:c>
      <x:c r="U422" s="78" t="n">
        <x:f>O422+S422*(1-'Inputs'!$B$17)</x:f>
        <x:v>124939678.2433754</x:v>
      </x:c>
      <x:c r="V422" s="78" t="n">
        <x:f>P422-T422</x:f>
        <x:v>131.1811769332725</x:v>
      </x:c>
      <x:c r="W422" s="79" t="n">
        <x:f>IF(U422&gt;0,V422/U422,0)</x:f>
        <x:v>0.000001049956097035395</x:v>
      </x:c>
      <x:c r="X422" s="80" t="n">
        <x:f>W422*('Inputs'!$B$6-AC422)</x:f>
        <x:v>1045.3292578543014</x:v>
      </x:c>
      <x:c r="Y422" s="80" t="n">
        <x:f>2*V422</x:f>
        <x:v>262.362353866545</x:v>
      </x:c>
      <x:c r="Z422" s="80" t="n">
        <x:f>K422*'Inputs'!$B$16+(G422+R422)*J422*'Inputs'!$B$16</x:f>
        <x:v>0.8336819009214345</x:v>
      </x:c>
      <x:c r="AA422" s="80" t="n">
        <x:f>K422*(1+'Inputs'!$E$45)/2*'Inputs'!$B$17</x:f>
        <x:v>0.2643386195200036</x:v>
      </x:c>
      <x:c r="AB422" s="78" t="n">
        <x:f>(IF(J422&gt;0,K422*(1-'Inputs'!$E$45)/2/J422,0)+G422+R422)*'Inputs'!$B$17</x:f>
        <x:v>252571.2859924488</x:v>
      </x:c>
      <x:c r="AC422" s="78" t="n">
        <x:f>AC421+AB422</x:f>
        <x:v>4406697.760180302</x:v>
      </x:c>
      <x:c r="AD422" s="80" t="n">
        <x:f>Z422/(1+'Inputs'!$C$45)</x:f>
        <x:v>0.5557879339476229</x:v>
      </x:c>
      <x:c r="AE422" s="80" t="n">
        <x:f>Z422-AD422</x:f>
        <x:v>0.2778939669738115</x:v>
      </x:c>
      <x:c r="AF422" s="80" t="n">
        <x:f>D422*W422</x:f>
        <x:v>0.31255379376566267</x:v>
      </x:c>
      <x:c r="AG422" s="80" t="n">
        <x:f>C422*W422</x:f>
        <x:v>0.5469691390899106</x:v>
      </x:c>
      <x:c r="AH422" s="80" t="n">
        <x:f>2*'Inputs'!$B$8*'Inputs'!$C$45</x:f>
        <x:v>2500</x:v>
      </x:c>
      <x:c r="AI422" s="81" t="n">
        <x:f>IF(AH422&gt;0,(AE422+AF422)/AH422*365,0)</x:f>
        <x:v>0.08620537306796323</x:v>
      </x:c>
      <x:c r="AJ422" s="81" t="n">
        <x:f>IF('Inputs'!$B$45&gt;0,AG422/('Inputs'!$B$19*'Inputs'!$B$45)*365,0)</x:f>
        <x:v>0.026619164769042317</x:v>
      </x:c>
      <x:c r="AK422" s="81" t="n">
        <x:f>W422/MAX($W$369:W422)-1</x:f>
        <x:v>-0.9986034709976668</x:v>
      </x:c>
      <x:c r="AL422" s="83" t="n">
        <x:f>'Inputs'!$B$45</x:f>
        <x:v>0.75</x:v>
      </x:c>
      <x:c r="AM422" s="83" t="n">
        <x:f>'Inputs'!$C$45</x:f>
        <x:v>0.5</x:v>
      </x:c>
      <x:c r="AN422" s="83" t="n">
        <x:f>'Inputs'!$D$45</x:f>
        <x:v>0.5</x:v>
      </x:c>
      <x:c r="AO422" s="81" t="n">
        <x:f>'Inputs'!$E$45</x:f>
        <x:v>-0.05</x:v>
      </x:c>
    </x:row>
    <x:row r="423">
      <x:c r="A423" s="59" t="str">
        <x:v>Weak demand</x:v>
      </x:c>
      <x:c r="B423" s="59" t="n">
        <x:v>55</x:v>
      </x:c>
      <x:c r="C423" s="78" t="n">
        <x:f>(('Inputs'!$B$29*(3*55*'Inputs'!$B$12-55^2)/(2*'Inputs'!$B$12^2))-('Inputs'!$B$29*(3*54*'Inputs'!$B$12-54^2)/(2*'Inputs'!$B$12^2)))*'Inputs'!$B$45</x:f>
        <x:v>520700.94060799107</x:v>
      </x:c>
      <x:c r="D423" s="78" t="n">
        <x:f>IF('Inputs'!$C$45&gt;0,('Inputs'!$B$30*(3*55*'Inputs'!$B$12-55^2)/(2*'Inputs'!$B$12^2))-('Inputs'!$B$30*(3*54*'Inputs'!$B$12-54^2)/(2*'Inputs'!$B$12^2)),0)</x:f>
        <x:v>297543.3946331404</x:v>
      </x:c>
      <x:c r="E423" s="78" t="n">
        <x:f>C423+D423</x:f>
        <x:v>818244.3352411315</x:v>
      </x:c>
      <x:c r="F423" s="78" t="n">
        <x:f>'Inputs'!$B$13*E423+(1-'Inputs'!$B$13)/'Inputs'!$B$14*SUM(E369:E423)</x:f>
        <x:v>814683.6573130843</x:v>
      </x:c>
      <x:c r="G423" s="78" t="n">
        <x:f>F423*'Inputs'!$F$45</x:f>
        <x:v>570278.560119159</x:v>
      </x:c>
      <x:c r="H423" s="78" t="n">
        <x:f>U422</x:f>
        <x:v>124939678.2433754</x:v>
      </x:c>
      <x:c r="I423" s="78" t="n">
        <x:f>V422</x:f>
        <x:v>131.1811769332725</x:v>
      </x:c>
      <x:c r="J423" s="79" t="n">
        <x:f>IF(H423&gt;0,I423/H423,0)</x:f>
        <x:v>0.000001049956097035395</x:v>
      </x:c>
      <x:c r="K423" s="80" t="n">
        <x:f>(H423*J423+I423)*'Inputs'!$D$45*(1+'Inputs'!$G$45)^(B423/30)</x:f>
        <x:v>131.1811769332725</x:v>
      </x:c>
      <x:c r="L423" s="80" t="n">
        <x:f>MAX(0,K423*'Inputs'!$E$45)</x:f>
        <x:v>0</x:v>
      </x:c>
      <x:c r="M423" s="80" t="n">
        <x:f>MAX(0,-K423*'Inputs'!$E$45)</x:f>
        <x:v>6.559058846663625</x:v>
      </x:c>
      <x:c r="N423" s="78" t="n">
        <x:f>H423*(L423*(1-'Inputs'!$B$15))/(I423+L423*(1-'Inputs'!$B$15))</x:f>
        <x:v>0</x:v>
      </x:c>
      <x:c r="O423" s="78" t="n">
        <x:f>H423-N423</x:f>
        <x:v>124939678.2433754</x:v>
      </x:c>
      <x:c r="P423" s="78" t="n">
        <x:f>I423+L423*(1-'Inputs'!$B$17)</x:f>
        <x:v>131.1811769332725</x:v>
      </x:c>
      <x:c r="Q423" s="78" t="n">
        <x:f>IF(J423&gt;0,M423/J423,0)</x:f>
        <x:v>6246983.91216877</x:v>
      </x:c>
      <x:c r="R423" s="78" t="n">
        <x:f>IF(B423='Inputs'!$H$45,'Inputs'!$B$27*'Inputs'!$I$45,0)</x:f>
        <x:v>0</x:v>
      </x:c>
      <x:c r="S423" s="78" t="n">
        <x:f>Q423+G423+R423</x:f>
        <x:v>6817262.472287929</x:v>
      </x:c>
      <x:c r="T423" s="78" t="n">
        <x:f>P423*(S423*(1-'Inputs'!$B$15))/(O423+S423*(1-'Inputs'!$B$15))</x:f>
        <x:v>6.723075644694195</x:v>
      </x:c>
      <x:c r="U423" s="78" t="n">
        <x:f>O423+S423*(1-'Inputs'!$B$17)</x:f>
        <x:v>131729507.06386338</x:v>
      </x:c>
      <x:c r="V423" s="78" t="n">
        <x:f>P423-T423</x:f>
        <x:v>124.4581012885783</x:v>
      </x:c>
      <x:c r="W423" s="79" t="n">
        <x:f>IF(U423&gt;0,V423/U423,0)</x:f>
        <x:v>9.448004783638957e-7</x:v>
      </x:c>
      <x:c r="X423" s="80" t="n">
        <x:f>W423*('Inputs'!$B$6-AC423)</x:f>
        <x:v>940.3854732421079</x:v>
      </x:c>
      <x:c r="Y423" s="80" t="n">
        <x:f>2*V423</x:f>
        <x:v>248.9162025771566</x:v>
      </x:c>
      <x:c r="Z423" s="80" t="n">
        <x:f>K423*'Inputs'!$B$16+(G423+R423)*J423*'Inputs'!$B$16</x:f>
        <x:v>0.7906796663068691</x:v>
      </x:c>
      <x:c r="AA423" s="80" t="n">
        <x:f>K423*(1+'Inputs'!$E$45)/2*'Inputs'!$B$17</x:f>
        <x:v>0.25074872854448466</x:v>
      </x:c>
      <x:c r="AB423" s="78" t="n">
        <x:f>(IF(J423&gt;0,K423*(1-'Inputs'!$E$45)/2/J423,0)+G423+R423)*'Inputs'!$B$17</x:f>
        <x:v>266251.9502530835</x:v>
      </x:c>
      <x:c r="AC423" s="78" t="n">
        <x:f>AC422+AB423</x:f>
        <x:v>4672949.710433385</x:v>
      </x:c>
      <x:c r="AD423" s="80" t="n">
        <x:f>Z423/(1+'Inputs'!$C$45)</x:f>
        <x:v>0.5271197775379127</x:v>
      </x:c>
      <x:c r="AE423" s="80" t="n">
        <x:f>Z423-AD423</x:f>
        <x:v>0.2635598887689564</x:v>
      </x:c>
      <x:c r="AF423" s="80" t="n">
        <x:f>D423*W423</x:f>
        <x:v>0.28111914158340845</x:v>
      </x:c>
      <x:c r="AG423" s="80" t="n">
        <x:f>C423*W423</x:f>
        <x:v>0.4919584977709604</x:v>
      </x:c>
      <x:c r="AH423" s="80" t="n">
        <x:f>2*'Inputs'!$B$8*'Inputs'!$C$45</x:f>
        <x:v>2500</x:v>
      </x:c>
      <x:c r="AI423" s="81" t="n">
        <x:f>IF(AH423&gt;0,(AE423+AF423)/AH423*365,0)</x:f>
        <x:v>0.07952313843144526</x:v>
      </x:c>
      <x:c r="AJ423" s="81" t="n">
        <x:f>IF('Inputs'!$B$45&gt;0,AG423/('Inputs'!$B$19*'Inputs'!$B$45)*365,0)</x:f>
        <x:v>0.023941980224853405</x:v>
      </x:c>
      <x:c r="AK423" s="81" t="n">
        <x:f>W423/MAX($W$369:W423)-1</x:f>
        <x:v>-0.9987433367231459</x:v>
      </x:c>
      <x:c r="AL423" s="83" t="n">
        <x:f>'Inputs'!$B$45</x:f>
        <x:v>0.75</x:v>
      </x:c>
      <x:c r="AM423" s="83" t="n">
        <x:f>'Inputs'!$C$45</x:f>
        <x:v>0.5</x:v>
      </x:c>
      <x:c r="AN423" s="83" t="n">
        <x:f>'Inputs'!$D$45</x:f>
        <x:v>0.5</x:v>
      </x:c>
      <x:c r="AO423" s="81" t="n">
        <x:f>'Inputs'!$E$45</x:f>
        <x:v>-0.05</x:v>
      </x:c>
    </x:row>
    <x:row r="424">
      <x:c r="A424" s="59" t="str">
        <x:v>Weak demand</x:v>
      </x:c>
      <x:c r="B424" s="59" t="n">
        <x:v>56</x:v>
      </x:c>
      <x:c r="C424" s="78" t="n">
        <x:f>(('Inputs'!$B$29*(3*56*'Inputs'!$B$12-56^2)/(2*'Inputs'!$B$12^2))-('Inputs'!$B$29*(3*55*'Inputs'!$B$12-55^2)/(2*'Inputs'!$B$12^2)))*'Inputs'!$B$45</x:f>
        <x:v>520457.1096828673</x:v>
      </x:c>
      <x:c r="D424" s="78" t="n">
        <x:f>IF('Inputs'!$C$45&gt;0,('Inputs'!$B$30*(3*56*'Inputs'!$B$12-56^2)/(2*'Inputs'!$B$12^2))-('Inputs'!$B$30*(3*55*'Inputs'!$B$12-55^2)/(2*'Inputs'!$B$12^2)),0)</x:f>
        <x:v>297404.0626759231</x:v>
      </x:c>
      <x:c r="E424" s="78" t="n">
        <x:f>C424+D424</x:f>
        <x:v>817861.1723587904</x:v>
      </x:c>
      <x:c r="F424" s="78" t="n">
        <x:f>'Inputs'!$B$13*E424+(1-'Inputs'!$B$13)/'Inputs'!$B$14*SUM(E369:E424)</x:f>
        <x:v>826290.7557703132</x:v>
      </x:c>
      <x:c r="G424" s="78" t="n">
        <x:f>F424*'Inputs'!$F$45</x:f>
        <x:v>578403.5290392193</x:v>
      </x:c>
      <x:c r="H424" s="78" t="n">
        <x:f>U423</x:f>
        <x:v>131729507.06386338</x:v>
      </x:c>
      <x:c r="I424" s="78" t="n">
        <x:f>V423</x:f>
        <x:v>124.4581012885783</x:v>
      </x:c>
      <x:c r="J424" s="79" t="n">
        <x:f>IF(H424&gt;0,I424/H424,0)</x:f>
        <x:v>9.448004783638957e-7</x:v>
      </x:c>
      <x:c r="K424" s="80" t="n">
        <x:f>(H424*J424+I424)*'Inputs'!$D$45*(1+'Inputs'!$G$45)^(B424/30)</x:f>
        <x:v>124.4581012885783</x:v>
      </x:c>
      <x:c r="L424" s="80" t="n">
        <x:f>MAX(0,K424*'Inputs'!$E$45)</x:f>
        <x:v>0</x:v>
      </x:c>
      <x:c r="M424" s="80" t="n">
        <x:f>MAX(0,-K424*'Inputs'!$E$45)</x:f>
        <x:v>6.2229050644289154</x:v>
      </x:c>
      <x:c r="N424" s="78" t="n">
        <x:f>H424*(L424*(1-'Inputs'!$B$15))/(I424+L424*(1-'Inputs'!$B$15))</x:f>
        <x:v>0</x:v>
      </x:c>
      <x:c r="O424" s="78" t="n">
        <x:f>H424-N424</x:f>
        <x:v>131729507.06386338</x:v>
      </x:c>
      <x:c r="P424" s="78" t="n">
        <x:f>I424+L424*(1-'Inputs'!$B$17)</x:f>
        <x:v>124.4581012885783</x:v>
      </x:c>
      <x:c r="Q424" s="78" t="n">
        <x:f>IF(J424&gt;0,M424/J424,0)</x:f>
        <x:v>6586475.353193169</x:v>
      </x:c>
      <x:c r="R424" s="78" t="n">
        <x:f>IF(B424='Inputs'!$H$45,'Inputs'!$B$27*'Inputs'!$I$45,0)</x:f>
        <x:v>0</x:v>
      </x:c>
      <x:c r="S424" s="78" t="n">
        <x:f>Q424+G424+R424</x:f>
        <x:v>7164878.8822323885</x:v>
      </x:c>
      <x:c r="T424" s="78" t="n">
        <x:f>P424*(S424*(1-'Inputs'!$B$15))/(O424+S424*(1-'Inputs'!$B$15))</x:f>
        <x:v>6.359260503765164</x:v>
      </x:c>
      <x:c r="U424" s="78" t="n">
        <x:f>O424+S424*(1-'Inputs'!$B$17)</x:f>
        <x:v>138865553.43550327</x:v>
      </x:c>
      <x:c r="V424" s="78" t="n">
        <x:f>P424-T424</x:f>
        <x:v>118.09884078481315</x:v>
      </x:c>
      <x:c r="W424" s="79" t="n">
        <x:f>IF(U424&gt;0,V424/U424,0)</x:f>
        <x:v>8.504545429955361e-7</x:v>
      </x:c>
      <x:c r="X424" s="80" t="n">
        <x:f>W424*('Inputs'!$B$6-AC424)</x:f>
        <x:v>846.2417491751821</x:v>
      </x:c>
      <x:c r="Y424" s="80" t="n">
        <x:f>2*V424</x:f>
        <x:v>236.1976815696263</x:v>
      </x:c>
      <x:c r="Z424" s="80" t="n">
        <x:f>K424*'Inputs'!$B$16+(G424+R424)*J424*'Inputs'!$B$16</x:f>
        <x:v>0.7500274633170116</x:v>
      </x:c>
      <x:c r="AA424" s="80" t="n">
        <x:f>K424*(1+'Inputs'!$E$45)/2*'Inputs'!$B$17</x:f>
        <x:v>0.23789777912303703</x:v>
      </x:c>
      <x:c r="AB424" s="78" t="n">
        <x:f>(IF(J424&gt;0,K424*(1-'Inputs'!$E$45)/2/J424,0)+G424+R424)*'Inputs'!$B$17</x:f>
        <x:v>280629.35508075455</x:v>
      </x:c>
      <x:c r="AC424" s="78" t="n">
        <x:f>AC423+AB424</x:f>
        <x:v>4953579.06551414</x:v>
      </x:c>
      <x:c r="AD424" s="80" t="n">
        <x:f>Z424/(1+'Inputs'!$C$45)</x:f>
        <x:v>0.5000183088780078</x:v>
      </x:c>
      <x:c r="AE424" s="80" t="n">
        <x:f>Z424-AD424</x:f>
        <x:v>0.25000915443900384</x:v>
      </x:c>
      <x:c r="AF424" s="80" t="n">
        <x:f>D424*W424</x:f>
        <x:v>0.252928636208068</x:v>
      </x:c>
      <x:c r="AG424" s="80" t="n">
        <x:f>C424*W424</x:f>
        <x:v>0.4426251133641205</x:v>
      </x:c>
      <x:c r="AH424" s="80" t="n">
        <x:f>2*'Inputs'!$B$8*'Inputs'!$C$45</x:f>
        <x:v>2500</x:v>
      </x:c>
      <x:c r="AI424" s="81" t="n">
        <x:f>IF(AH424&gt;0,(AE424+AF424)/AH424*365,0)</x:f>
        <x:v>0.07342891743447248</x:v>
      </x:c>
      <x:c r="AJ424" s="81" t="n">
        <x:f>IF('Inputs'!$B$45&gt;0,AG424/('Inputs'!$B$19*'Inputs'!$B$45)*365,0)</x:f>
        <x:v>0.021541088850387198</x:v>
      </x:c>
      <x:c r="AK424" s="81" t="n">
        <x:f>W424/MAX($W$369:W424)-1</x:f>
        <x:v>-0.9988688246700859</x:v>
      </x:c>
      <x:c r="AL424" s="83" t="n">
        <x:f>'Inputs'!$B$45</x:f>
        <x:v>0.75</x:v>
      </x:c>
      <x:c r="AM424" s="83" t="n">
        <x:f>'Inputs'!$C$45</x:f>
        <x:v>0.5</x:v>
      </x:c>
      <x:c r="AN424" s="83" t="n">
        <x:f>'Inputs'!$D$45</x:f>
        <x:v>0.5</x:v>
      </x:c>
      <x:c r="AO424" s="81" t="n">
        <x:f>'Inputs'!$E$45</x:f>
        <x:v>-0.05</x:v>
      </x:c>
    </x:row>
    <x:row r="425">
      <x:c r="A425" s="59" t="str">
        <x:v>Weak demand</x:v>
      </x:c>
      <x:c r="B425" s="59" t="n">
        <x:v>57</x:v>
      </x:c>
      <x:c r="C425" s="78" t="n">
        <x:f>(('Inputs'!$B$29*(3*57*'Inputs'!$B$12-57^2)/(2*'Inputs'!$B$12^2))-('Inputs'!$B$29*(3*56*'Inputs'!$B$12-56^2)/(2*'Inputs'!$B$12^2)))*'Inputs'!$B$45</x:f>
        <x:v>520213.27875774354</x:v>
      </x:c>
      <x:c r="D425" s="78" t="n">
        <x:f>IF('Inputs'!$C$45&gt;0,('Inputs'!$B$30*(3*57*'Inputs'!$B$12-57^2)/(2*'Inputs'!$B$12^2))-('Inputs'!$B$30*(3*56*'Inputs'!$B$12-56^2)/(2*'Inputs'!$B$12^2)),0)</x:f>
        <x:v>297264.7307187095</x:v>
      </x:c>
      <x:c r="E425" s="78" t="n">
        <x:f>C425+D425</x:f>
        <x:v>817478.0094764531</x:v>
      </x:c>
      <x:c r="F425" s="78" t="n">
        <x:f>'Inputs'!$B$13*E425+(1-'Inputs'!$B$13)/'Inputs'!$B$14*SUM(E370:E425)</x:f>
        <x:v>825907.5928879724</x:v>
      </x:c>
      <x:c r="G425" s="78" t="n">
        <x:f>F425*'Inputs'!$F$45</x:f>
        <x:v>578135.3150215807</x:v>
      </x:c>
      <x:c r="H425" s="78" t="n">
        <x:f>U424</x:f>
        <x:v>138865553.43550327</x:v>
      </x:c>
      <x:c r="I425" s="78" t="n">
        <x:f>V424</x:f>
        <x:v>118.09884078481315</x:v>
      </x:c>
      <x:c r="J425" s="79" t="n">
        <x:f>IF(H425&gt;0,I425/H425,0)</x:f>
        <x:v>8.504545429955361e-7</x:v>
      </x:c>
      <x:c r="K425" s="80" t="n">
        <x:f>(H425*J425+I425)*'Inputs'!$D$45*(1+'Inputs'!$G$45)^(B425/30)</x:f>
        <x:v>118.09884078481315</x:v>
      </x:c>
      <x:c r="L425" s="80" t="n">
        <x:f>MAX(0,K425*'Inputs'!$E$45)</x:f>
        <x:v>0</x:v>
      </x:c>
      <x:c r="M425" s="80" t="n">
        <x:f>MAX(0,-K425*'Inputs'!$E$45)</x:f>
        <x:v>5.904942039240658</x:v>
      </x:c>
      <x:c r="N425" s="78" t="n">
        <x:f>H425*(L425*(1-'Inputs'!$B$15))/(I425+L425*(1-'Inputs'!$B$15))</x:f>
        <x:v>0</x:v>
      </x:c>
      <x:c r="O425" s="78" t="n">
        <x:f>H425-N425</x:f>
        <x:v>138865553.43550327</x:v>
      </x:c>
      <x:c r="P425" s="78" t="n">
        <x:f>I425+L425*(1-'Inputs'!$B$17)</x:f>
        <x:v>118.09884078481315</x:v>
      </x:c>
      <x:c r="Q425" s="78" t="n">
        <x:f>IF(J425&gt;0,M425/J425,0)</x:f>
        <x:v>6943277.671775165</x:v>
      </x:c>
      <x:c r="R425" s="78" t="n">
        <x:f>IF(B425='Inputs'!$H$45,'Inputs'!$B$27*'Inputs'!$I$45,0)</x:f>
        <x:v>0</x:v>
      </x:c>
      <x:c r="S425" s="78" t="n">
        <x:f>Q425+G425+R425</x:f>
        <x:v>7521412.986796746</x:v>
      </x:c>
      <x:c r="T425" s="78" t="n">
        <x:f>P425*(S425*(1-'Inputs'!$B$15))/(O425+S425*(1-'Inputs'!$B$15))</x:f>
        <x:v>6.010367858207763</x:v>
      </x:c>
      <x:c r="U425" s="78" t="n">
        <x:f>O425+S425*(1-'Inputs'!$B$17)</x:f>
        <x:v>146356699.16681996</x:v>
      </x:c>
      <x:c r="V425" s="78" t="n">
        <x:f>P425-T425</x:f>
        <x:v>112.08847292660539</x:v>
      </x:c>
      <x:c r="W425" s="79" t="n">
        <x:f>IF(U425&gt;0,V425/U425,0)</x:f>
        <x:v>7.658581640929532e-7</x:v>
      </x:c>
      <x:c r="X425" s="80" t="n">
        <x:f>W425*('Inputs'!$B$6-AC425)</x:f>
        <x:v>761.8379574722331</x:v>
      </x:c>
      <x:c r="Y425" s="80" t="n">
        <x:f>2*V425</x:f>
        <x:v>224.17694585321078</x:v>
      </x:c>
      <x:c r="Z425" s="80" t="n">
        <x:f>K425*'Inputs'!$B$16+(G425+R425)*J425*'Inputs'!$B$16</x:f>
        <x:v>0.7115431115396366</x:v>
      </x:c>
      <x:c r="AA425" s="80" t="n">
        <x:f>K425*(1+'Inputs'!$E$45)/2*'Inputs'!$B$17</x:f>
        <x:v>0.22574225099712775</x:v>
      </x:c>
      <x:c r="AB425" s="78" t="n">
        <x:f>(IF(J425&gt;0,K425*(1-'Inputs'!$E$45)/2/J425,0)+G425+R425)*'Inputs'!$B$17</x:f>
        <x:v>295704.4300549731</x:v>
      </x:c>
      <x:c r="AC425" s="78" t="n">
        <x:f>AC424+AB425</x:f>
        <x:v>5249283.495569113</x:v>
      </x:c>
      <x:c r="AD425" s="80" t="n">
        <x:f>Z425/(1+'Inputs'!$C$45)</x:f>
        <x:v>0.4743620743597577</x:v>
      </x:c>
      <x:c r="AE425" s="80" t="n">
        <x:f>Z425-AD425</x:f>
        <x:v>0.23718103717987887</x:v>
      </x:c>
      <x:c r="AF425" s="80" t="n">
        <x:f>D425*W425</x:f>
        <x:v>0.227662620917817</x:v>
      </x:c>
      <x:c r="AG425" s="80" t="n">
        <x:f>C425*W425</x:f>
        <x:v>0.39840958660618114</x:v>
      </x:c>
      <x:c r="AH425" s="80" t="n">
        <x:f>2*'Inputs'!$B$8*'Inputs'!$C$45</x:f>
        <x:v>2500</x:v>
      </x:c>
      <x:c r="AI425" s="81" t="n">
        <x:f>IF(AH425&gt;0,(AE425+AF425)/AH425*365,0)</x:f>
        <x:v>0.0678671740822636</x:v>
      </x:c>
      <x:c r="AJ425" s="81" t="n">
        <x:f>IF('Inputs'!$B$45&gt;0,AG425/('Inputs'!$B$19*'Inputs'!$B$45)*365,0)</x:f>
        <x:v>0.019389266548167482</x:v>
      </x:c>
      <x:c r="AK425" s="81" t="n">
        <x:f>W425/MAX($W$369:W425)-1</x:f>
        <x:v>-0.9989813448954205</x:v>
      </x:c>
      <x:c r="AL425" s="83" t="n">
        <x:f>'Inputs'!$B$45</x:f>
        <x:v>0.75</x:v>
      </x:c>
      <x:c r="AM425" s="83" t="n">
        <x:f>'Inputs'!$C$45</x:f>
        <x:v>0.5</x:v>
      </x:c>
      <x:c r="AN425" s="83" t="n">
        <x:f>'Inputs'!$D$45</x:f>
        <x:v>0.5</x:v>
      </x:c>
      <x:c r="AO425" s="81" t="n">
        <x:f>'Inputs'!$E$45</x:f>
        <x:v>-0.05</x:v>
      </x:c>
    </x:row>
    <x:row r="426">
      <x:c r="A426" s="59" t="str">
        <x:v>Weak demand</x:v>
      </x:c>
      <x:c r="B426" s="59" t="n">
        <x:v>58</x:v>
      </x:c>
      <x:c r="C426" s="78" t="n">
        <x:f>(('Inputs'!$B$29*(3*58*'Inputs'!$B$12-58^2)/(2*'Inputs'!$B$12^2))-('Inputs'!$B$29*(3*57*'Inputs'!$B$12-57^2)/(2*'Inputs'!$B$12^2)))*'Inputs'!$B$45</x:f>
        <x:v>519969.4478326142</x:v>
      </x:c>
      <x:c r="D426" s="78" t="n">
        <x:f>IF('Inputs'!$C$45&gt;0,('Inputs'!$B$30*(3*58*'Inputs'!$B$12-58^2)/(2*'Inputs'!$B$12^2))-('Inputs'!$B$30*(3*57*'Inputs'!$B$12-57^2)/(2*'Inputs'!$B$12^2)),0)</x:f>
        <x:v>297125.3987614922</x:v>
      </x:c>
      <x:c r="E426" s="78" t="n">
        <x:f>C426+D426</x:f>
        <x:v>817094.8465941064</x:v>
      </x:c>
      <x:c r="F426" s="78" t="n">
        <x:f>'Inputs'!$B$13*E426+(1-'Inputs'!$B$13)/'Inputs'!$B$14*SUM(E371:E426)</x:f>
        <x:v>825524.4300056295</x:v>
      </x:c>
      <x:c r="G426" s="78" t="n">
        <x:f>F426*'Inputs'!$F$45</x:f>
        <x:v>577867.1010039407</x:v>
      </x:c>
      <x:c r="H426" s="78" t="n">
        <x:f>U425</x:f>
        <x:v>146356699.16681996</x:v>
      </x:c>
      <x:c r="I426" s="78" t="n">
        <x:f>V425</x:f>
        <x:v>112.08847292660539</x:v>
      </x:c>
      <x:c r="J426" s="79" t="n">
        <x:f>IF(H426&gt;0,I426/H426,0)</x:f>
        <x:v>7.658581640929532e-7</x:v>
      </x:c>
      <x:c r="K426" s="80" t="n">
        <x:f>(H426*J426+I426)*'Inputs'!$D$45*(1+'Inputs'!$G$45)^(B426/30)</x:f>
        <x:v>112.08847292660539</x:v>
      </x:c>
      <x:c r="L426" s="80" t="n">
        <x:f>MAX(0,K426*'Inputs'!$E$45)</x:f>
        <x:v>0</x:v>
      </x:c>
      <x:c r="M426" s="80" t="n">
        <x:f>MAX(0,-K426*'Inputs'!$E$45)</x:f>
        <x:v>5.60442364633027</x:v>
      </x:c>
      <x:c r="N426" s="78" t="n">
        <x:f>H426*(L426*(1-'Inputs'!$B$15))/(I426+L426*(1-'Inputs'!$B$15))</x:f>
        <x:v>0</x:v>
      </x:c>
      <x:c r="O426" s="78" t="n">
        <x:f>H426-N426</x:f>
        <x:v>146356699.16681996</x:v>
      </x:c>
      <x:c r="P426" s="78" t="n">
        <x:f>I426+L426*(1-'Inputs'!$B$17)</x:f>
        <x:v>112.08847292660539</x:v>
      </x:c>
      <x:c r="Q426" s="78" t="n">
        <x:f>IF(J426&gt;0,M426/J426,0)</x:f>
        <x:v>7317834.958340999</x:v>
      </x:c>
      <x:c r="R426" s="78" t="n">
        <x:f>IF(B426='Inputs'!$H$45,'Inputs'!$B$27*'Inputs'!$I$45,0)</x:f>
        <x:v>0</x:v>
      </x:c>
      <x:c r="S426" s="78" t="n">
        <x:f>Q426+G426+R426</x:f>
        <x:v>7895702.05934494</x:v>
      </x:c>
      <x:c r="T426" s="78" t="n">
        <x:f>P426*(S426*(1-'Inputs'!$B$15))/(O426+S426*(1-'Inputs'!$B$15))</x:f>
        <x:v>5.6829956622232025</x:v>
      </x:c>
      <x:c r="U426" s="78" t="n">
        <x:f>O426+S426*(1-'Inputs'!$B$17)</x:f>
        <x:v>154220627.77723393</x:v>
      </x:c>
      <x:c r="V426" s="78" t="n">
        <x:f>P426-T426</x:f>
        <x:v>106.40547726438218</x:v>
      </x:c>
      <x:c r="W426" s="79" t="n">
        <x:f>IF(U426&gt;0,V426/U426,0)</x:f>
        <x:v>6.899561932667076e-7</x:v>
      </x:c>
      <x:c r="X426" s="80" t="n">
        <x:f>W426*('Inputs'!$B$6-AC426)</x:f>
        <x:v>686.1194757525147</x:v>
      </x:c>
      <x:c r="Y426" s="80" t="n">
        <x:f>2*V426</x:f>
        <x:v>212.81095452876437</x:v>
      </x:c>
      <x:c r="Z426" s="80" t="n">
        <x:f>K426*'Inputs'!$B$16+(G426+R426)*J426*'Inputs'!$B$16</x:f>
        <x:v>0.6751862229820199</x:v>
      </x:c>
      <x:c r="AA426" s="80" t="n">
        <x:f>K426*(1+'Inputs'!$E$45)/2*'Inputs'!$B$17</x:f>
        <x:v>0.2142536202822437</x:v>
      </x:c>
      <x:c r="AB426" s="78" t="n">
        <x:f>(IF(J426&gt;0,K426*(1-'Inputs'!$E$45)/2/J426,0)+G426+R426)*'Inputs'!$B$17</x:f>
        <x:v>311529.71494400175</x:v>
      </x:c>
      <x:c r="AC426" s="78" t="n">
        <x:f>AC425+AB426</x:f>
        <x:v>5560813.210513115</x:v>
      </x:c>
      <x:c r="AD426" s="80" t="n">
        <x:f>Z426/(1+'Inputs'!$C$45)</x:f>
        <x:v>0.4501241486546799</x:v>
      </x:c>
      <x:c r="AE426" s="80" t="n">
        <x:f>Z426-AD426</x:f>
        <x:v>0.22506207432734</x:v>
      </x:c>
      <x:c r="AF426" s="80" t="n">
        <x:f>D426*W426</x:f>
        <x:v>0.20500350905233167</x:v>
      </x:c>
      <x:c r="AG426" s="80" t="n">
        <x:f>C426*W426</x:f>
        <x:v>0.35875614084158236</x:v>
      </x:c>
      <x:c r="AH426" s="80" t="n">
        <x:f>2*'Inputs'!$B$8*'Inputs'!$C$45</x:f>
        <x:v>2500</x:v>
      </x:c>
      <x:c r="AI426" s="81" t="n">
        <x:f>IF(AH426&gt;0,(AE426+AF426)/AH426*365,0)</x:f>
        <x:v>0.06278957517343206</x:v>
      </x:c>
      <x:c r="AJ426" s="81" t="n">
        <x:f>IF('Inputs'!$B$45&gt;0,AG426/('Inputs'!$B$19*'Inputs'!$B$45)*365,0)</x:f>
        <x:v>0.017459465520957007</x:v>
      </x:c>
      <x:c r="AK426" s="81" t="n">
        <x:f>W426/MAX($W$369:W426)-1</x:f>
        <x:v>-0.9990823008343329</x:v>
      </x:c>
      <x:c r="AL426" s="83" t="n">
        <x:f>'Inputs'!$B$45</x:f>
        <x:v>0.75</x:v>
      </x:c>
      <x:c r="AM426" s="83" t="n">
        <x:f>'Inputs'!$C$45</x:f>
        <x:v>0.5</x:v>
      </x:c>
      <x:c r="AN426" s="83" t="n">
        <x:f>'Inputs'!$D$45</x:f>
        <x:v>0.5</x:v>
      </x:c>
      <x:c r="AO426" s="81" t="n">
        <x:f>'Inputs'!$E$45</x:f>
        <x:v>-0.05</x:v>
      </x:c>
    </x:row>
    <x:row r="427">
      <x:c r="A427" s="59" t="str">
        <x:v>Weak demand</x:v>
      </x:c>
      <x:c r="B427" s="59" t="n">
        <x:v>59</x:v>
      </x:c>
      <x:c r="C427" s="78" t="n">
        <x:f>(('Inputs'!$B$29*(3*59*'Inputs'!$B$12-59^2)/(2*'Inputs'!$B$12^2))-('Inputs'!$B$29*(3*58*'Inputs'!$B$12-58^2)/(2*'Inputs'!$B$12^2)))*'Inputs'!$B$45</x:f>
        <x:v>519725.61690748483</x:v>
      </x:c>
      <x:c r="D427" s="78" t="n">
        <x:f>IF('Inputs'!$C$45&gt;0,('Inputs'!$B$30*(3*59*'Inputs'!$B$12-59^2)/(2*'Inputs'!$B$12^2))-('Inputs'!$B$30*(3*58*'Inputs'!$B$12-58^2)/(2*'Inputs'!$B$12^2)),0)</x:f>
        <x:v>296986.06680427864</x:v>
      </x:c>
      <x:c r="E427" s="78" t="n">
        <x:f>C427+D427</x:f>
        <x:v>816711.6837117635</x:v>
      </x:c>
      <x:c r="F427" s="78" t="n">
        <x:f>'Inputs'!$B$13*E427+(1-'Inputs'!$B$13)/'Inputs'!$B$14*SUM(E372:E427)</x:f>
        <x:v>825141.2671232874</x:v>
      </x:c>
      <x:c r="G427" s="78" t="n">
        <x:f>F427*'Inputs'!$F$45</x:f>
        <x:v>577598.8869863012</x:v>
      </x:c>
      <x:c r="H427" s="78" t="n">
        <x:f>U426</x:f>
        <x:v>154220627.77723393</x:v>
      </x:c>
      <x:c r="I427" s="78" t="n">
        <x:f>V426</x:f>
        <x:v>106.40547726438218</x:v>
      </x:c>
      <x:c r="J427" s="79" t="n">
        <x:f>IF(H427&gt;0,I427/H427,0)</x:f>
        <x:v>6.899561932667076e-7</x:v>
      </x:c>
      <x:c r="K427" s="80" t="n">
        <x:f>(H427*J427+I427)*'Inputs'!$D$45*(1+'Inputs'!$G$45)^(B427/30)</x:f>
        <x:v>106.40547726438218</x:v>
      </x:c>
      <x:c r="L427" s="80" t="n">
        <x:f>MAX(0,K427*'Inputs'!$E$45)</x:f>
        <x:v>0</x:v>
      </x:c>
      <x:c r="M427" s="80" t="n">
        <x:f>MAX(0,-K427*'Inputs'!$E$45)</x:f>
        <x:v>5.32027386321911</x:v>
      </x:c>
      <x:c r="N427" s="78" t="n">
        <x:f>H427*(L427*(1-'Inputs'!$B$15))/(I427+L427*(1-'Inputs'!$B$15))</x:f>
        <x:v>0</x:v>
      </x:c>
      <x:c r="O427" s="78" t="n">
        <x:f>H427-N427</x:f>
        <x:v>154220627.77723393</x:v>
      </x:c>
      <x:c r="P427" s="78" t="n">
        <x:f>I427+L427*(1-'Inputs'!$B$17)</x:f>
        <x:v>106.40547726438218</x:v>
      </x:c>
      <x:c r="Q427" s="78" t="n">
        <x:f>IF(J427&gt;0,M427/J427,0)</x:f>
        <x:v>7711031.388861697</x:v>
      </x:c>
      <x:c r="R427" s="78" t="n">
        <x:f>IF(B427='Inputs'!$H$45,'Inputs'!$B$27*'Inputs'!$I$45,0)</x:f>
        <x:v>0</x:v>
      </x:c>
      <x:c r="S427" s="78" t="n">
        <x:f>Q427+G427+R427</x:f>
        <x:v>8288630.275847998</x:v>
      </x:c>
      <x:c r="T427" s="78" t="n">
        <x:f>P427*(S427*(1-'Inputs'!$B$15))/(O427+S427*(1-'Inputs'!$B$15))</x:f>
        <x:v>5.37558091310489</x:v>
      </x:c>
      <x:c r="U427" s="78" t="n">
        <x:f>O427+S427*(1-'Inputs'!$B$17)</x:f>
        <x:v>162475903.40408456</x:v>
      </x:c>
      <x:c r="V427" s="78" t="n">
        <x:f>P427-T427</x:f>
        <x:v>101.0298963512773</x:v>
      </x:c>
      <x:c r="W427" s="79" t="n">
        <x:f>IF(U427&gt;0,V427/U427,0)</x:f>
        <x:v>6.218146459540625e-7</x:v>
      </x:c>
      <x:c r="X427" s="80" t="n">
        <x:f>W427*('Inputs'!$B$6-AC427)</x:f>
        <x:v>618.1528070008014</x:v>
      </x:c>
      <x:c r="Y427" s="80" t="n">
        <x:f>2*V427</x:f>
        <x:v>202.0597927025546</x:v>
      </x:c>
      <x:c r="Z427" s="80" t="n">
        <x:f>K427*'Inputs'!$B$16+(G427+R427)*J427*'Inputs'!$B$16</x:f>
        <x:v>0.6408239711620941</x:v>
      </x:c>
      <x:c r="AA427" s="80" t="n">
        <x:f>K427*(1+'Inputs'!$E$45)/2*'Inputs'!$B$17</x:f>
        <x:v>0.20339075131018727</x:v>
      </x:c>
      <x:c r="AB427" s="78" t="n">
        <x:f>(IF(J427&gt;0,K427*(1-'Inputs'!$E$45)/2/J427,0)+G427+R427)*'Inputs'!$B$17</x:f>
        <x:v>328142.569295912</x:v>
      </x:c>
      <x:c r="AC427" s="78" t="n">
        <x:f>AC426+AB427</x:f>
        <x:v>5888955.779809027</x:v>
      </x:c>
      <x:c r="AD427" s="80" t="n">
        <x:f>Z427/(1+'Inputs'!$C$45)</x:f>
        <x:v>0.4272159807747294</x:v>
      </x:c>
      <x:c r="AE427" s="80" t="n">
        <x:f>Z427-AD427</x:f>
        <x:v>0.21360799038736472</x:v>
      </x:c>
      <x:c r="AF427" s="80" t="n">
        <x:f>D427*W427</x:f>
        <x:v>0.1846702859831921</x:v>
      </x:c>
      <x:c r="AG427" s="80" t="n">
        <x:f>C427*W427</x:f>
        <x:v>0.32317300047058445</x:v>
      </x:c>
      <x:c r="AH427" s="80" t="n">
        <x:f>2*'Inputs'!$B$8*'Inputs'!$C$45</x:f>
        <x:v>2500</x:v>
      </x:c>
      <x:c r="AI427" s="81" t="n">
        <x:f>IF(AH427&gt;0,(AE427+AF427)/AH427*365,0)</x:f>
        <x:v>0.058148628350101296</x:v>
      </x:c>
      <x:c r="AJ427" s="81" t="n">
        <x:f>IF('Inputs'!$B$45&gt;0,AG427/('Inputs'!$B$19*'Inputs'!$B$45)*365,0)</x:f>
        <x:v>0.01572775268956844</x:v>
      </x:c>
      <x:c r="AK427" s="81" t="n">
        <x:f>W427/MAX($W$369:W427)-1</x:f>
        <x:v>-0.9991729347640322</x:v>
      </x:c>
      <x:c r="AL427" s="83" t="n">
        <x:f>'Inputs'!$B$45</x:f>
        <x:v>0.75</x:v>
      </x:c>
      <x:c r="AM427" s="83" t="n">
        <x:f>'Inputs'!$C$45</x:f>
        <x:v>0.5</x:v>
      </x:c>
      <x:c r="AN427" s="83" t="n">
        <x:f>'Inputs'!$D$45</x:f>
        <x:v>0.5</x:v>
      </x:c>
      <x:c r="AO427" s="81" t="n">
        <x:f>'Inputs'!$E$45</x:f>
        <x:v>-0.05</x:v>
      </x:c>
    </x:row>
    <x:row r="428">
      <x:c r="A428" s="59" t="str">
        <x:v>Weak demand</x:v>
      </x:c>
      <x:c r="B428" s="59" t="n">
        <x:v>60</x:v>
      </x:c>
      <x:c r="C428" s="78" t="n">
        <x:f>(('Inputs'!$B$29*(3*60*'Inputs'!$B$12-60^2)/(2*'Inputs'!$B$12^2))-('Inputs'!$B$29*(3*59*'Inputs'!$B$12-59^2)/(2*'Inputs'!$B$12^2)))*'Inputs'!$B$45</x:f>
        <x:v>519481.78598236106</x:v>
      </x:c>
      <x:c r="D428" s="78" t="n">
        <x:f>IF('Inputs'!$C$45&gt;0,('Inputs'!$B$30*(3*60*'Inputs'!$B$12-60^2)/(2*'Inputs'!$B$12^2))-('Inputs'!$B$30*(3*59*'Inputs'!$B$12-59^2)/(2*'Inputs'!$B$12^2)),0)</x:f>
        <x:v>296846.73484706506</x:v>
      </x:c>
      <x:c r="E428" s="78" t="n">
        <x:f>C428+D428</x:f>
        <x:v>816328.5208294261</x:v>
      </x:c>
      <x:c r="F428" s="78" t="n">
        <x:f>'Inputs'!$B$13*E428+(1-'Inputs'!$B$13)/'Inputs'!$B$14*SUM(E373:E428)</x:f>
        <x:v>824758.1042409465</x:v>
      </x:c>
      <x:c r="G428" s="78" t="n">
        <x:f>F428*'Inputs'!$F$45</x:f>
        <x:v>577330.6729686625</x:v>
      </x:c>
      <x:c r="H428" s="78" t="n">
        <x:f>U427</x:f>
        <x:v>162475903.40408456</x:v>
      </x:c>
      <x:c r="I428" s="78" t="n">
        <x:f>V427</x:f>
        <x:v>101.0298963512773</x:v>
      </x:c>
      <x:c r="J428" s="79" t="n">
        <x:f>IF(H428&gt;0,I428/H428,0)</x:f>
        <x:v>6.218146459540625e-7</x:v>
      </x:c>
      <x:c r="K428" s="80" t="n">
        <x:f>(H428*J428+I428)*'Inputs'!$D$45*(1+'Inputs'!$G$45)^(B428/30)</x:f>
        <x:v>101.0298963512773</x:v>
      </x:c>
      <x:c r="L428" s="80" t="n">
        <x:f>MAX(0,K428*'Inputs'!$E$45)</x:f>
        <x:v>0</x:v>
      </x:c>
      <x:c r="M428" s="80" t="n">
        <x:f>MAX(0,-K428*'Inputs'!$E$45)</x:f>
        <x:v>5.051494817563865</x:v>
      </x:c>
      <x:c r="N428" s="78" t="n">
        <x:f>H428*(L428*(1-'Inputs'!$B$15))/(I428+L428*(1-'Inputs'!$B$15))</x:f>
        <x:v>0</x:v>
      </x:c>
      <x:c r="O428" s="78" t="n">
        <x:f>H428-N428</x:f>
        <x:v>162475903.40408456</x:v>
      </x:c>
      <x:c r="P428" s="78" t="n">
        <x:f>I428+L428*(1-'Inputs'!$B$17)</x:f>
        <x:v>101.0298963512773</x:v>
      </x:c>
      <x:c r="Q428" s="78" t="n">
        <x:f>IF(J428&gt;0,M428/J428,0)</x:f>
        <x:v>8123795.170204228</x:v>
      </x:c>
      <x:c r="R428" s="78" t="n">
        <x:f>IF(B428='Inputs'!$H$45,'Inputs'!$B$27*'Inputs'!$I$45,0)</x:f>
        <x:v>0</x:v>
      </x:c>
      <x:c r="S428" s="78" t="n">
        <x:f>Q428+G428+R428</x:f>
        <x:v>8701125.843172891</x:v>
      </x:c>
      <x:c r="T428" s="78" t="n">
        <x:f>P428*(S428*(1-'Inputs'!$B$15))/(O428+S428*(1-'Inputs'!$B$15))</x:f>
        <x:v>5.086697131046335</x:v>
      </x:c>
      <x:c r="U428" s="78" t="n">
        <x:f>O428+S428*(1-'Inputs'!$B$17)</x:f>
        <x:v>171142014.65633926</x:v>
      </x:c>
      <x:c r="V428" s="78" t="n">
        <x:f>P428-T428</x:f>
        <x:v>95.94319922023097</x:v>
      </x:c>
      <x:c r="W428" s="79" t="n">
        <x:f>IF(U428&gt;0,V428/U428,0)</x:f>
        <x:v>5.606057601512355e-7</x:v>
      </x:c>
      <x:c r="X428" s="80" t="n">
        <x:f>W428*('Inputs'!$B$6-AC428)</x:f>
        <x:v>557.1106422405182</x:v>
      </x:c>
      <x:c r="Y428" s="80" t="n">
        <x:f>2*V428</x:f>
        <x:v>191.88639844046193</x:v>
      </x:c>
      <x:c r="Z428" s="80" t="n">
        <x:f>K428*'Inputs'!$B$16+(G428+R428)*J428*'Inputs'!$B$16</x:f>
        <x:v>0.6083333341157264</x:v>
      </x:c>
      <x:c r="AA428" s="80" t="n">
        <x:f>K428*(1+'Inputs'!$E$45)/2*'Inputs'!$B$17</x:f>
        <x:v>0.19311549604368902</x:v>
      </x:c>
      <x:c r="AB428" s="78" t="n">
        <x:f>(IF(J428&gt;0,K428*(1-'Inputs'!$E$45)/2/J428,0)+G428+R428)*'Inputs'!$B$17</x:f>
        <x:v>345582.21311916725</x:v>
      </x:c>
      <x:c r="AC428" s="78" t="n">
        <x:f>AC427+AB428</x:f>
        <x:v>6234537.992928194</x:v>
      </x:c>
      <x:c r="AD428" s="80" t="n">
        <x:f>Z428/(1+'Inputs'!$C$45)</x:f>
        <x:v>0.40555555607715094</x:v>
      </x:c>
      <x:c r="AE428" s="80" t="n">
        <x:f>Z428-AD428</x:f>
        <x:v>0.2027777780385755</x:v>
      </x:c>
      <x:c r="AF428" s="80" t="n">
        <x:f>D428*W428</x:f>
        <x:v>0.16641398943735117</x:v>
      </x:c>
      <x:c r="AG428" s="80" t="n">
        <x:f>C428*W428</x:f>
        <x:v>0.29122448151536295</x:v>
      </x:c>
      <x:c r="AH428" s="80" t="n">
        <x:f>2*'Inputs'!$B$8*'Inputs'!$C$45</x:f>
        <x:v>2500</x:v>
      </x:c>
      <x:c r="AI428" s="81" t="n">
        <x:f>IF(AH428&gt;0,(AE428+AF428)/AH428*365,0)</x:f>
        <x:v>0.053901998051485295</x:v>
      </x:c>
      <x:c r="AJ428" s="81" t="n">
        <x:f>IF('Inputs'!$B$45&gt;0,AG428/('Inputs'!$B$19*'Inputs'!$B$45)*365,0)</x:f>
        <x:v>0.014172924767080998</x:v>
      </x:c>
      <x:c r="AK428" s="81" t="n">
        <x:f>W428/MAX($W$369:W428)-1</x:f>
        <x:v>-0.999254347676882</x:v>
      </x:c>
      <x:c r="AL428" s="83" t="n">
        <x:f>'Inputs'!$B$45</x:f>
        <x:v>0.75</x:v>
      </x:c>
      <x:c r="AM428" s="83" t="n">
        <x:f>'Inputs'!$C$45</x:f>
        <x:v>0.5</x:v>
      </x:c>
      <x:c r="AN428" s="83" t="n">
        <x:f>'Inputs'!$D$45</x:f>
        <x:v>0.5</x:v>
      </x:c>
      <x:c r="AO428" s="81" t="n">
        <x:f>'Inputs'!$E$45</x:f>
        <x:v>-0.05</x:v>
      </x:c>
    </x:row>
    <x:row r="429">
      <x:c r="A429" s="59" t="str">
        <x:v>Weak demand</x:v>
      </x:c>
      <x:c r="B429" s="59" t="n">
        <x:v>61</x:v>
      </x:c>
      <x:c r="C429" s="78" t="n">
        <x:f>(('Inputs'!$B$29*(3*61*'Inputs'!$B$12-61^2)/(2*'Inputs'!$B$12^2))-('Inputs'!$B$29*(3*60*'Inputs'!$B$12-60^2)/(2*'Inputs'!$B$12^2)))*'Inputs'!$B$45</x:f>
        <x:v>519237.9550572373</x:v>
      </x:c>
      <x:c r="D429" s="78" t="n">
        <x:f>IF('Inputs'!$C$45&gt;0,('Inputs'!$B$30*(3*61*'Inputs'!$B$12-61^2)/(2*'Inputs'!$B$12^2))-('Inputs'!$B$30*(3*60*'Inputs'!$B$12-60^2)/(2*'Inputs'!$B$12^2)),0)</x:f>
        <x:v>296707.40288984776</x:v>
      </x:c>
      <x:c r="E429" s="78" t="n">
        <x:f>C429+D429</x:f>
        <x:v>815945.357947085</x:v>
      </x:c>
      <x:c r="F429" s="78" t="n">
        <x:f>'Inputs'!$B$13*E429+(1-'Inputs'!$B$13)/'Inputs'!$B$14*SUM(E374:E429)</x:f>
        <x:v>824374.9413586046</x:v>
      </x:c>
      <x:c r="G429" s="78" t="n">
        <x:f>F429*'Inputs'!$F$45</x:f>
        <x:v>577062.4589510232</x:v>
      </x:c>
      <x:c r="H429" s="78" t="n">
        <x:f>U428</x:f>
        <x:v>171142014.65633926</x:v>
      </x:c>
      <x:c r="I429" s="78" t="n">
        <x:f>V428</x:f>
        <x:v>95.94319922023097</x:v>
      </x:c>
      <x:c r="J429" s="79" t="n">
        <x:f>IF(H429&gt;0,I429/H429,0)</x:f>
        <x:v>5.606057601512355e-7</x:v>
      </x:c>
      <x:c r="K429" s="80" t="n">
        <x:f>(H429*J429+I429)*'Inputs'!$D$45*(1+'Inputs'!$G$45)^(B429/30)</x:f>
        <x:v>95.94319922023097</x:v>
      </x:c>
      <x:c r="L429" s="80" t="n">
        <x:f>MAX(0,K429*'Inputs'!$E$45)</x:f>
        <x:v>0</x:v>
      </x:c>
      <x:c r="M429" s="80" t="n">
        <x:f>MAX(0,-K429*'Inputs'!$E$45)</x:f>
        <x:v>4.797159961011548</x:v>
      </x:c>
      <x:c r="N429" s="78" t="n">
        <x:f>H429*(L429*(1-'Inputs'!$B$15))/(I429+L429*(1-'Inputs'!$B$15))</x:f>
        <x:v>0</x:v>
      </x:c>
      <x:c r="O429" s="78" t="n">
        <x:f>H429-N429</x:f>
        <x:v>171142014.65633926</x:v>
      </x:c>
      <x:c r="P429" s="78" t="n">
        <x:f>I429+L429*(1-'Inputs'!$B$17)</x:f>
        <x:v>95.94319922023097</x:v>
      </x:c>
      <x:c r="Q429" s="78" t="n">
        <x:f>IF(J429&gt;0,M429/J429,0)</x:f>
        <x:v>8557100.732816963</x:v>
      </x:c>
      <x:c r="R429" s="78" t="n">
        <x:f>IF(B429='Inputs'!$H$45,'Inputs'!$B$27*'Inputs'!$I$45,0)</x:f>
        <x:v>0</x:v>
      </x:c>
      <x:c r="S429" s="78" t="n">
        <x:f>Q429+G429+R429</x:f>
        <x:v>9134163.191767985</x:v>
      </x:c>
      <x:c r="T429" s="78" t="n">
        <x:f>P429*(S429*(1-'Inputs'!$B$15))/(O429+S429*(1-'Inputs'!$B$15))</x:f>
        <x:v>4.815040203431748</x:v>
      </x:c>
      <x:c r="U429" s="78" t="n">
        <x:f>O429+S429*(1-'Inputs'!$B$17)</x:f>
        <x:v>180239420.65216452</x:v>
      </x:c>
      <x:c r="V429" s="78" t="n">
        <x:f>P429-T429</x:f>
        <x:v>91.12815901679922</x:v>
      </x:c>
      <x:c r="W429" s="79" t="n">
        <x:f>IF(U429&gt;0,V429/U429,0)</x:f>
        <x:v>5.055950506668745e-7</x:v>
      </x:c>
      <x:c r="X429" s="80" t="n">
        <x:f>W429*('Inputs'!$B$6-AC429)</x:f>
        <x:v>502.2589182227123</x:v>
      </x:c>
      <x:c r="Y429" s="80" t="n">
        <x:f>2*V429</x:f>
        <x:v>182.25631803359843</x:v>
      </x:c>
      <x:c r="Z429" s="80" t="n">
        <x:f>K429*'Inputs'!$B$16+(G429+R429)*J429*'Inputs'!$B$16</x:f>
        <x:v>0.5776002225521156</x:v>
      </x:c>
      <x:c r="AA429" s="80" t="n">
        <x:f>K429*(1+'Inputs'!$E$45)/2*'Inputs'!$B$17</x:f>
        <x:v>0.18339243311714168</x:v>
      </x:c>
      <x:c r="AB429" s="78" t="n">
        <x:f>(IF(J429&gt;0,K429*(1-'Inputs'!$E$45)/2/J429,0)+G429+R429)*'Inputs'!$B$17</x:f>
        <x:v>363889.81953130447</x:v>
      </x:c>
      <x:c r="AC429" s="78" t="n">
        <x:f>AC428+AB429</x:f>
        <x:v>6598427.812459499</x:v>
      </x:c>
      <x:c r="AD429" s="80" t="n">
        <x:f>Z429/(1+'Inputs'!$C$45)</x:f>
        <x:v>0.38506681503474377</x:v>
      </x:c>
      <x:c r="AE429" s="80" t="n">
        <x:f>Z429-AD429</x:f>
        <x:v>0.19253340751737186</x:v>
      </x:c>
      <x:c r="AF429" s="80" t="n">
        <x:f>D429*W429</x:f>
        <x:v>0.15001379439732931</x:v>
      </x:c>
      <x:c r="AG429" s="80" t="n">
        <x:f>C429*W429</x:f>
        <x:v>0.26252414019532816</x:v>
      </x:c>
      <x:c r="AH429" s="80" t="n">
        <x:f>2*'Inputs'!$B$8*'Inputs'!$C$45</x:f>
        <x:v>2500</x:v>
      </x:c>
      <x:c r="AI429" s="81" t="n">
        <x:f>IF(AH429&gt;0,(AE429+AF429)/AH429*365,0)</x:f>
        <x:v>0.050011891479546364</x:v>
      </x:c>
      <x:c r="AJ429" s="81" t="n">
        <x:f>IF('Inputs'!$B$45&gt;0,AG429/('Inputs'!$B$19*'Inputs'!$B$45)*365,0)</x:f>
        <x:v>0.012776174822839303</x:v>
      </x:c>
      <x:c r="AK429" s="81" t="n">
        <x:f>W429/MAX($W$369:W429)-1</x:f>
        <x:v>-0.9993275164993222</x:v>
      </x:c>
      <x:c r="AL429" s="83" t="n">
        <x:f>'Inputs'!$B$45</x:f>
        <x:v>0.75</x:v>
      </x:c>
      <x:c r="AM429" s="83" t="n">
        <x:f>'Inputs'!$C$45</x:f>
        <x:v>0.5</x:v>
      </x:c>
      <x:c r="AN429" s="83" t="n">
        <x:f>'Inputs'!$D$45</x:f>
        <x:v>0.5</x:v>
      </x:c>
      <x:c r="AO429" s="81" t="n">
        <x:f>'Inputs'!$E$45</x:f>
        <x:v>-0.05</x:v>
      </x:c>
    </x:row>
    <x:row r="430">
      <x:c r="A430" s="59" t="str">
        <x:v>Weak demand</x:v>
      </x:c>
      <x:c r="B430" s="59" t="n">
        <x:v>62</x:v>
      </x:c>
      <x:c r="C430" s="78" t="n">
        <x:f>(('Inputs'!$B$29*(3*62*'Inputs'!$B$12-62^2)/(2*'Inputs'!$B$12^2))-('Inputs'!$B$29*(3*61*'Inputs'!$B$12-61^2)/(2*'Inputs'!$B$12^2)))*'Inputs'!$B$45</x:f>
        <x:v>518994.12413210236</x:v>
      </x:c>
      <x:c r="D430" s="78" t="n">
        <x:f>IF('Inputs'!$C$45&gt;0,('Inputs'!$B$30*(3*62*'Inputs'!$B$12-62^2)/(2*'Inputs'!$B$12^2))-('Inputs'!$B$30*(3*61*'Inputs'!$B$12-61^2)/(2*'Inputs'!$B$12^2)),0)</x:f>
        <x:v>296568.0709326342</x:v>
      </x:c>
      <x:c r="E430" s="78" t="n">
        <x:f>C430+D430</x:f>
        <x:v>815562.1950647365</x:v>
      </x:c>
      <x:c r="F430" s="78" t="n">
        <x:f>'Inputs'!$B$13*E430+(1-'Inputs'!$B$13)/'Inputs'!$B$14*SUM(E375:E430)</x:f>
        <x:v>823991.7784762613</x:v>
      </x:c>
      <x:c r="G430" s="78" t="n">
        <x:f>F430*'Inputs'!$F$45</x:f>
        <x:v>576794.2449333828</x:v>
      </x:c>
      <x:c r="H430" s="78" t="n">
        <x:f>U429</x:f>
        <x:v>180239420.65216452</x:v>
      </x:c>
      <x:c r="I430" s="78" t="n">
        <x:f>V429</x:f>
        <x:v>91.12815901679922</x:v>
      </x:c>
      <x:c r="J430" s="79" t="n">
        <x:f>IF(H430&gt;0,I430/H430,0)</x:f>
        <x:v>5.055950506668745e-7</x:v>
      </x:c>
      <x:c r="K430" s="80" t="n">
        <x:f>(H430*J430+I430)*'Inputs'!$D$45*(1+'Inputs'!$G$45)^(B430/30)</x:f>
        <x:v>91.12815901679922</x:v>
      </x:c>
      <x:c r="L430" s="80" t="n">
        <x:f>MAX(0,K430*'Inputs'!$E$45)</x:f>
        <x:v>0</x:v>
      </x:c>
      <x:c r="M430" s="80" t="n">
        <x:f>MAX(0,-K430*'Inputs'!$E$45)</x:f>
        <x:v>4.556407950839961</x:v>
      </x:c>
      <x:c r="N430" s="78" t="n">
        <x:f>H430*(L430*(1-'Inputs'!$B$15))/(I430+L430*(1-'Inputs'!$B$15))</x:f>
        <x:v>0</x:v>
      </x:c>
      <x:c r="O430" s="78" t="n">
        <x:f>H430-N430</x:f>
        <x:v>180239420.65216452</x:v>
      </x:c>
      <x:c r="P430" s="78" t="n">
        <x:f>I430+L430*(1-'Inputs'!$B$17)</x:f>
        <x:v>91.12815901679922</x:v>
      </x:c>
      <x:c r="Q430" s="78" t="n">
        <x:f>IF(J430&gt;0,M430/J430,0)</x:f>
        <x:v>9011971.032608226</x:v>
      </x:c>
      <x:c r="R430" s="78" t="n">
        <x:f>IF(B430='Inputs'!$H$45,'Inputs'!$B$27*'Inputs'!$I$45,0)</x:f>
        <x:v>0</x:v>
      </x:c>
      <x:c r="S430" s="78" t="n">
        <x:f>Q430+G430+R430</x:f>
        <x:v>9588765.27754161</x:v>
      </x:c>
      <x:c r="T430" s="78" t="n">
        <x:f>P430*(S430*(1-'Inputs'!$B$15))/(O430+S430*(1-'Inputs'!$B$15))</x:f>
        <x:v>4.559415922185618</x:v>
      </x:c>
      <x:c r="U430" s="78" t="n">
        <x:f>O430+S430*(1-'Inputs'!$B$17)</x:f>
        <x:v>189789599.3491124</x:v>
      </x:c>
      <x:c r="V430" s="78" t="n">
        <x:f>P430-T430</x:f>
        <x:v>86.5687430946136</x:v>
      </x:c>
      <x:c r="W430" s="79" t="n">
        <x:f>IF(U430&gt;0,V430/U430,0)</x:f>
        <x:v>4.561300692530202e-7</x:v>
      </x:c>
      <x:c r="X430" s="80" t="n">
        <x:f>W430*('Inputs'!$B$6-AC430)</x:f>
        <x:v>452.94558056022925</x:v>
      </x:c>
      <x:c r="Y430" s="80" t="n">
        <x:f>2*V430</x:f>
        <x:v>173.1374861892272</x:v>
      </x:c>
      <x:c r="Z430" s="80" t="n">
        <x:f>K430*'Inputs'!$B$16+(G430+R430)*J430*'Inputs'!$B$16</x:f>
        <x:v>0.548518699993744</x:v>
      </x:c>
      <x:c r="AA430" s="80" t="n">
        <x:f>K430*(1+'Inputs'!$E$45)/2*'Inputs'!$B$17</x:f>
        <x:v>0.1741886339355317</x:v>
      </x:c>
      <x:c r="AB430" s="78" t="n">
        <x:f>(IF(J430&gt;0,K430*(1-'Inputs'!$E$45)/2/J430,0)+G430+R430)*'Inputs'!$B$17</x:f>
        <x:v>383108.6120214075</x:v>
      </x:c>
      <x:c r="AC430" s="78" t="n">
        <x:f>AC429+AB430</x:f>
        <x:v>6981536.424480906</x:v>
      </x:c>
      <x:c r="AD430" s="80" t="n">
        <x:f>Z430/(1+'Inputs'!$C$45)</x:f>
        <x:v>0.3656791333291627</x:v>
      </x:c>
      <x:c r="AE430" s="80" t="n">
        <x:f>Z430-AD430</x:f>
        <x:v>0.18283956666458134</x:v>
      </x:c>
      <x:c r="AF430" s="80" t="n">
        <x:f>D430*W430</x:f>
        <x:v>0.13527361473273702</x:v>
      </x:c>
      <x:c r="AG430" s="80" t="n">
        <x:f>C430*W430</x:f>
        <x:v>0.2367288257822864</x:v>
      </x:c>
      <x:c r="AH430" s="80" t="n">
        <x:f>2*'Inputs'!$B$8*'Inputs'!$C$45</x:f>
        <x:v>2500</x:v>
      </x:c>
      <x:c r="AI430" s="81" t="n">
        <x:f>IF(AH430&gt;0,(AE430+AF430)/AH430*365,0)</x:f>
        <x:v>0.04644452448400848</x:v>
      </x:c>
      <x:c r="AJ430" s="81" t="n">
        <x:f>IF('Inputs'!$B$45&gt;0,AG430/('Inputs'!$B$19*'Inputs'!$B$45)*365,0)</x:f>
        <x:v>0.011520802854737939</x:v>
      </x:c>
      <x:c r="AK430" s="81" t="n">
        <x:f>W430/MAX($W$369:W430)-1</x:f>
        <x:v>-0.9993933090418288</x:v>
      </x:c>
      <x:c r="AL430" s="83" t="n">
        <x:f>'Inputs'!$B$45</x:f>
        <x:v>0.75</x:v>
      </x:c>
      <x:c r="AM430" s="83" t="n">
        <x:f>'Inputs'!$C$45</x:f>
        <x:v>0.5</x:v>
      </x:c>
      <x:c r="AN430" s="83" t="n">
        <x:f>'Inputs'!$D$45</x:f>
        <x:v>0.5</x:v>
      </x:c>
      <x:c r="AO430" s="81" t="n">
        <x:f>'Inputs'!$E$45</x:f>
        <x:v>-0.05</x:v>
      </x:c>
    </x:row>
    <x:row r="431">
      <x:c r="A431" s="59" t="str">
        <x:v>Weak demand</x:v>
      </x:c>
      <x:c r="B431" s="59" t="n">
        <x:v>63</x:v>
      </x:c>
      <x:c r="C431" s="78" t="n">
        <x:f>(('Inputs'!$B$29*(3*63*'Inputs'!$B$12-63^2)/(2*'Inputs'!$B$12^2))-('Inputs'!$B$29*(3*62*'Inputs'!$B$12-62^2)/(2*'Inputs'!$B$12^2)))*'Inputs'!$B$45</x:f>
        <x:v>518750.2932069842</x:v>
      </x:c>
      <x:c r="D431" s="78" t="n">
        <x:f>IF('Inputs'!$C$45&gt;0,('Inputs'!$B$30*(3*63*'Inputs'!$B$12-63^2)/(2*'Inputs'!$B$12^2))-('Inputs'!$B$30*(3*62*'Inputs'!$B$12-62^2)/(2*'Inputs'!$B$12^2)),0)</x:f>
        <x:v>296428.73897541687</x:v>
      </x:c>
      <x:c r="E431" s="78" t="n">
        <x:f>C431+D431</x:f>
        <x:v>815179.032182401</x:v>
      </x:c>
      <x:c r="F431" s="78" t="n">
        <x:f>'Inputs'!$B$13*E431+(1-'Inputs'!$B$13)/'Inputs'!$B$14*SUM(E376:E431)</x:f>
        <x:v>823608.6155939207</x:v>
      </x:c>
      <x:c r="G431" s="78" t="n">
        <x:f>F431*'Inputs'!$F$45</x:f>
        <x:v>576526.0309157445</x:v>
      </x:c>
      <x:c r="H431" s="78" t="n">
        <x:f>U430</x:f>
        <x:v>189789599.3491124</x:v>
      </x:c>
      <x:c r="I431" s="78" t="n">
        <x:f>V430</x:f>
        <x:v>86.5687430946136</x:v>
      </x:c>
      <x:c r="J431" s="79" t="n">
        <x:f>IF(H431&gt;0,I431/H431,0)</x:f>
        <x:v>4.561300692530202e-7</x:v>
      </x:c>
      <x:c r="K431" s="80" t="n">
        <x:f>(H431*J431+I431)*'Inputs'!$D$45*(1+'Inputs'!$G$45)^(B431/30)</x:f>
        <x:v>86.5687430946136</x:v>
      </x:c>
      <x:c r="L431" s="80" t="n">
        <x:f>MAX(0,K431*'Inputs'!$E$45)</x:f>
        <x:v>0</x:v>
      </x:c>
      <x:c r="M431" s="80" t="n">
        <x:f>MAX(0,-K431*'Inputs'!$E$45)</x:f>
        <x:v>4.32843715473068</x:v>
      </x:c>
      <x:c r="N431" s="78" t="n">
        <x:f>H431*(L431*(1-'Inputs'!$B$15))/(I431+L431*(1-'Inputs'!$B$15))</x:f>
        <x:v>0</x:v>
      </x:c>
      <x:c r="O431" s="78" t="n">
        <x:f>H431-N431</x:f>
        <x:v>189789599.3491124</x:v>
      </x:c>
      <x:c r="P431" s="78" t="n">
        <x:f>I431+L431*(1-'Inputs'!$B$17)</x:f>
        <x:v>86.5687430946136</x:v>
      </x:c>
      <x:c r="Q431" s="78" t="n">
        <x:f>IF(J431&gt;0,M431/J431,0)</x:f>
        <x:v>9489479.96745562</x:v>
      </x:c>
      <x:c r="R431" s="78" t="n">
        <x:f>IF(B431='Inputs'!$H$45,'Inputs'!$B$27*'Inputs'!$I$45,0)</x:f>
        <x:v>0</x:v>
      </x:c>
      <x:c r="S431" s="78" t="n">
        <x:f>Q431+G431+R431</x:f>
        <x:v>10066005.998371365</x:v>
      </x:c>
      <x:c r="T431" s="78" t="n">
        <x:f>P431*(S431*(1-'Inputs'!$B$15))/(O431+S431*(1-'Inputs'!$B$15))</x:f>
        <x:v>4.318728986396791</x:v>
      </x:c>
      <x:c r="U431" s="78" t="n">
        <x:f>O431+S431*(1-'Inputs'!$B$17)</x:f>
        <x:v>199815098.28109193</x:v>
      </x:c>
      <x:c r="V431" s="78" t="n">
        <x:f>P431-T431</x:f>
        <x:v>82.2500141082168</x:v>
      </x:c>
      <x:c r="W431" s="79" t="n">
        <x:f>IF(U431&gt;0,V431/U431,0)</x:f>
        <x:v>4.116306265931454e-7</x:v>
      </x:c>
      <x:c r="X431" s="80" t="n">
        <x:f>W431*('Inputs'!$B$6-AC431)</x:f>
        <x:v>408.590808348305</x:v>
      </x:c>
      <x:c r="Y431" s="80" t="n">
        <x:f>2*V431</x:f>
        <x:v>164.5000282164336</x:v>
      </x:c>
      <x:c r="Z431" s="80" t="n">
        <x:f>K431*'Inputs'!$B$16+(G431+R431)*J431*'Inputs'!$B$16</x:f>
        <x:v>0.5209902837181282</x:v>
      </x:c>
      <x:c r="AA431" s="80" t="n">
        <x:f>K431*(1+'Inputs'!$E$45)/2*'Inputs'!$B$17</x:f>
        <x:v>0.16547345259533788</x:v>
      </x:c>
      <x:c r="AB431" s="78" t="n">
        <x:f>(IF(J431&gt;0,K431*(1-'Inputs'!$E$45)/2/J431,0)+G431+R431)*'Inputs'!$B$17</x:f>
        <x:v>403283.96655613586</x:v>
      </x:c>
      <x:c r="AC431" s="78" t="n">
        <x:f>AC430+AB431</x:f>
        <x:v>7384820.391037041</x:v>
      </x:c>
      <x:c r="AD431" s="80" t="n">
        <x:f>Z431/(1+'Inputs'!$C$45)</x:f>
        <x:v>0.34732685581208544</x:v>
      </x:c>
      <x:c r="AE431" s="80" t="n">
        <x:f>Z431-AD431</x:f>
        <x:v>0.17366342790604272</x:v>
      </x:c>
      <x:c r="AF431" s="80" t="n">
        <x:f>D431*W431</x:f>
        <x:v>0.12201914756466678</x:v>
      </x:c>
      <x:c r="AG431" s="80" t="n">
        <x:f>C431*W431</x:f>
        <x:v>0.2135335082381688</x:v>
      </x:c>
      <x:c r="AH431" s="80" t="n">
        <x:f>2*'Inputs'!$B$8*'Inputs'!$C$45</x:f>
        <x:v>2500</x:v>
      </x:c>
      <x:c r="AI431" s="81" t="n">
        <x:f>IF(AH431&gt;0,(AE431+AF431)/AH431*365,0)</x:f>
        <x:v>0.04316965601872359</x:v>
      </x:c>
      <x:c r="AJ431" s="81" t="n">
        <x:f>IF('Inputs'!$B$45&gt;0,AG431/('Inputs'!$B$19*'Inputs'!$B$45)*365,0)</x:f>
        <x:v>0.010391964067590881</x:v>
      </x:c>
      <x:c r="AK431" s="81" t="n">
        <x:f>W431/MAX($W$369:W431)-1</x:f>
        <x:v>-0.9994524970044851</x:v>
      </x:c>
      <x:c r="AL431" s="83" t="n">
        <x:f>'Inputs'!$B$45</x:f>
        <x:v>0.75</x:v>
      </x:c>
      <x:c r="AM431" s="83" t="n">
        <x:f>'Inputs'!$C$45</x:f>
        <x:v>0.5</x:v>
      </x:c>
      <x:c r="AN431" s="83" t="n">
        <x:f>'Inputs'!$D$45</x:f>
        <x:v>0.5</x:v>
      </x:c>
      <x:c r="AO431" s="81" t="n">
        <x:f>'Inputs'!$E$45</x:f>
        <x:v>-0.05</x:v>
      </x:c>
    </x:row>
    <x:row r="432">
      <x:c r="A432" s="59" t="str">
        <x:v>Weak demand</x:v>
      </x:c>
      <x:c r="B432" s="59" t="n">
        <x:v>64</x:v>
      </x:c>
      <x:c r="C432" s="78" t="n">
        <x:f>(('Inputs'!$B$29*(3*64*'Inputs'!$B$12-64^2)/(2*'Inputs'!$B$12^2))-('Inputs'!$B$29*(3*63*'Inputs'!$B$12-63^2)/(2*'Inputs'!$B$12^2)))*'Inputs'!$B$45</x:f>
        <x:v>518506.4622818548</x:v>
      </x:c>
      <x:c r="D432" s="78" t="n">
        <x:f>IF('Inputs'!$C$45&gt;0,('Inputs'!$B$30*(3*64*'Inputs'!$B$12-64^2)/(2*'Inputs'!$B$12^2))-('Inputs'!$B$30*(3*63*'Inputs'!$B$12-63^2)/(2*'Inputs'!$B$12^2)),0)</x:f>
        <x:v>296289.40701819956</x:v>
      </x:c>
      <x:c r="E432" s="78" t="n">
        <x:f>C432+D432</x:f>
        <x:v>814795.8693000544</x:v>
      </x:c>
      <x:c r="F432" s="78" t="n">
        <x:f>'Inputs'!$B$13*E432+(1-'Inputs'!$B$13)/'Inputs'!$B$14*SUM(E377:E432)</x:f>
        <x:v>823225.4527115779</x:v>
      </x:c>
      <x:c r="G432" s="78" t="n">
        <x:f>F432*'Inputs'!$F$45</x:f>
        <x:v>576257.8168981045</x:v>
      </x:c>
      <x:c r="H432" s="78" t="n">
        <x:f>U431</x:f>
        <x:v>199815098.28109193</x:v>
      </x:c>
      <x:c r="I432" s="78" t="n">
        <x:f>V431</x:f>
        <x:v>82.2500141082168</x:v>
      </x:c>
      <x:c r="J432" s="79" t="n">
        <x:f>IF(H432&gt;0,I432/H432,0)</x:f>
        <x:v>4.116306265931454e-7</x:v>
      </x:c>
      <x:c r="K432" s="80" t="n">
        <x:f>(H432*J432+I432)*'Inputs'!$D$45*(1+'Inputs'!$G$45)^(B432/30)</x:f>
        <x:v>82.2500141082168</x:v>
      </x:c>
      <x:c r="L432" s="80" t="n">
        <x:f>MAX(0,K432*'Inputs'!$E$45)</x:f>
        <x:v>0</x:v>
      </x:c>
      <x:c r="M432" s="80" t="n">
        <x:f>MAX(0,-K432*'Inputs'!$E$45)</x:f>
        <x:v>4.112500705410841</x:v>
      </x:c>
      <x:c r="N432" s="78" t="n">
        <x:f>H432*(L432*(1-'Inputs'!$B$15))/(I432+L432*(1-'Inputs'!$B$15))</x:f>
        <x:v>0</x:v>
      </x:c>
      <x:c r="O432" s="78" t="n">
        <x:f>H432-N432</x:f>
        <x:v>199815098.28109193</x:v>
      </x:c>
      <x:c r="P432" s="78" t="n">
        <x:f>I432+L432*(1-'Inputs'!$B$17)</x:f>
        <x:v>82.2500141082168</x:v>
      </x:c>
      <x:c r="Q432" s="78" t="n">
        <x:f>IF(J432&gt;0,M432/J432,0)</x:f>
        <x:v>9990754.914054599</x:v>
      </x:c>
      <x:c r="R432" s="78" t="n">
        <x:f>IF(B432='Inputs'!$H$45,'Inputs'!$B$27*'Inputs'!$I$45,0)</x:f>
        <x:v>0</x:v>
      </x:c>
      <x:c r="S432" s="78" t="n">
        <x:f>Q432+G432+R432</x:f>
        <x:v>10567012.730952702</x:v>
      </x:c>
      <x:c r="T432" s="78" t="n">
        <x:f>P432*(S432*(1-'Inputs'!$B$15))/(O432+S432*(1-'Inputs'!$B$15))</x:f>
        <x:v>4.091973276322484</x:v>
      </x:c>
      <x:c r="U432" s="78" t="n">
        <x:f>O432+S432*(1-'Inputs'!$B$17)</x:f>
        <x:v>210339587.82198045</x:v>
      </x:c>
      <x:c r="V432" s="78" t="n">
        <x:f>P432-T432</x:f>
        <x:v>78.15804083189431</x:v>
      </x:c>
      <x:c r="W432" s="79" t="n">
        <x:f>IF(U432&gt;0,V432/U432,0)</x:f>
        <x:v>3.715802699872307e-7</x:v>
      </x:c>
      <x:c r="X432" s="80" t="n">
        <x:f>W432*('Inputs'!$B$6-AC432)</x:f>
        <x:v>368.6784941636175</x:v>
      </x:c>
      <x:c r="Y432" s="80" t="n">
        <x:f>2*V432</x:f>
        <x:v>156.31608166378862</x:v>
      </x:c>
      <x:c r="Z432" s="80" t="n">
        <x:f>K432*'Inputs'!$B$16+(G432+R432)*J432*'Inputs'!$B$16</x:f>
        <x:v>0.49492331684679464</x:v>
      </x:c>
      <x:c r="AA432" s="80" t="n">
        <x:f>K432*(1+'Inputs'!$E$45)/2*'Inputs'!$B$17</x:f>
        <x:v>0.15721833682657138</x:v>
      </x:c>
      <x:c r="AB432" s="78" t="n">
        <x:f>(IF(J432&gt;0,K432*(1-'Inputs'!$E$45)/2/J432,0)+G432+R432)*'Inputs'!$B$17</x:f>
        <x:v>424463.5187705086</x:v>
      </x:c>
      <x:c r="AC432" s="78" t="n">
        <x:f>AC431+AB432</x:f>
        <x:v>7809283.90980755</x:v>
      </x:c>
      <x:c r="AD432" s="80" t="n">
        <x:f>Z432/(1+'Inputs'!$C$45)</x:f>
        <x:v>0.3299488778978631</x:v>
      </x:c>
      <x:c r="AE432" s="80" t="n">
        <x:f>Z432-AD432</x:f>
        <x:v>0.16497443894893155</x:v>
      </x:c>
      <x:c r="AF432" s="80" t="n">
        <x:f>D432*W432</x:f>
        <x:v>0.11009529785417907</x:v>
      </x:c>
      <x:c r="AG432" s="80" t="n">
        <x:f>C432*W432</x:f>
        <x:v>0.19266677124481546</x:v>
      </x:c>
      <x:c r="AH432" s="80" t="n">
        <x:f>2*'Inputs'!$B$8*'Inputs'!$C$45</x:f>
        <x:v>2500</x:v>
      </x:c>
      <x:c r="AI432" s="81" t="n">
        <x:f>IF(AH432&gt;0,(AE432+AF432)/AH432*365,0)</x:f>
        <x:v>0.040160181573254156</x:v>
      </x:c>
      <x:c r="AJ432" s="81" t="n">
        <x:f>IF('Inputs'!$B$45&gt;0,AG432/('Inputs'!$B$19*'Inputs'!$B$45)*365,0)</x:f>
        <x:v>0.009376449533914352</x:v>
      </x:c>
      <x:c r="AK432" s="81" t="n">
        <x:f>W432/MAX($W$369:W432)-1</x:f>
        <x:v>-0.9995057673123694</x:v>
      </x:c>
      <x:c r="AL432" s="83" t="n">
        <x:f>'Inputs'!$B$45</x:f>
        <x:v>0.75</x:v>
      </x:c>
      <x:c r="AM432" s="83" t="n">
        <x:f>'Inputs'!$C$45</x:f>
        <x:v>0.5</x:v>
      </x:c>
      <x:c r="AN432" s="83" t="n">
        <x:f>'Inputs'!$D$45</x:f>
        <x:v>0.5</x:v>
      </x:c>
      <x:c r="AO432" s="81" t="n">
        <x:f>'Inputs'!$E$45</x:f>
        <x:v>-0.05</x:v>
      </x:c>
    </x:row>
    <x:row r="433">
      <x:c r="A433" s="59" t="str">
        <x:v>Weak demand</x:v>
      </x:c>
      <x:c r="B433" s="59" t="n">
        <x:v>65</x:v>
      </x:c>
      <x:c r="C433" s="78" t="n">
        <x:f>(('Inputs'!$B$29*(3*65*'Inputs'!$B$12-65^2)/(2*'Inputs'!$B$12^2))-('Inputs'!$B$29*(3*64*'Inputs'!$B$12-64^2)/(2*'Inputs'!$B$12^2)))*'Inputs'!$B$45</x:f>
        <x:v>518262.63135672547</x:v>
      </x:c>
      <x:c r="D433" s="78" t="n">
        <x:f>IF('Inputs'!$C$45&gt;0,('Inputs'!$B$30*(3*65*'Inputs'!$B$12-65^2)/(2*'Inputs'!$B$12^2))-('Inputs'!$B$30*(3*64*'Inputs'!$B$12-64^2)/(2*'Inputs'!$B$12^2)),0)</x:f>
        <x:v>296150.0750609897</x:v>
      </x:c>
      <x:c r="E433" s="78" t="n">
        <x:f>C433+D433</x:f>
        <x:v>814412.7064177152</x:v>
      </x:c>
      <x:c r="F433" s="78" t="n">
        <x:f>'Inputs'!$B$13*E433+(1-'Inputs'!$B$13)/'Inputs'!$B$14*SUM(E378:E433)</x:f>
        <x:v>822842.2898292365</x:v>
      </x:c>
      <x:c r="G433" s="78" t="n">
        <x:f>F433*'Inputs'!$F$45</x:f>
        <x:v>575989.6028804654</x:v>
      </x:c>
      <x:c r="H433" s="78" t="n">
        <x:f>U432</x:f>
        <x:v>210339587.82198045</x:v>
      </x:c>
      <x:c r="I433" s="78" t="n">
        <x:f>V432</x:f>
        <x:v>78.15804083189431</x:v>
      </x:c>
      <x:c r="J433" s="79" t="n">
        <x:f>IF(H433&gt;0,I433/H433,0)</x:f>
        <x:v>3.715802699872307e-7</x:v>
      </x:c>
      <x:c r="K433" s="80" t="n">
        <x:f>(H433*J433+I433)*'Inputs'!$D$45*(1+'Inputs'!$G$45)^(B433/30)</x:f>
        <x:v>78.15804083189431</x:v>
      </x:c>
      <x:c r="L433" s="80" t="n">
        <x:f>MAX(0,K433*'Inputs'!$E$45)</x:f>
        <x:v>0</x:v>
      </x:c>
      <x:c r="M433" s="80" t="n">
        <x:f>MAX(0,-K433*'Inputs'!$E$45)</x:f>
        <x:v>3.9079020415947157</x:v>
      </x:c>
      <x:c r="N433" s="78" t="n">
        <x:f>H433*(L433*(1-'Inputs'!$B$15))/(I433+L433*(1-'Inputs'!$B$15))</x:f>
        <x:v>0</x:v>
      </x:c>
      <x:c r="O433" s="78" t="n">
        <x:f>H433-N433</x:f>
        <x:v>210339587.82198045</x:v>
      </x:c>
      <x:c r="P433" s="78" t="n">
        <x:f>I433+L433*(1-'Inputs'!$B$17)</x:f>
        <x:v>78.15804083189431</x:v>
      </x:c>
      <x:c r="Q433" s="78" t="n">
        <x:f>IF(J433&gt;0,M433/J433,0)</x:f>
        <x:v>10516979.391099023</x:v>
      </x:c>
      <x:c r="R433" s="78" t="n">
        <x:f>IF(B433='Inputs'!$H$45,'Inputs'!$B$27*'Inputs'!$I$45,0)</x:f>
        <x:v>0</x:v>
      </x:c>
      <x:c r="S433" s="78" t="n">
        <x:f>Q433+G433+R433</x:f>
        <x:v>11092968.993979488</x:v>
      </x:c>
      <x:c r="T433" s="78" t="n">
        <x:f>P433*(S433*(1-'Inputs'!$B$15))/(O433+S433*(1-'Inputs'!$B$15))</x:f>
        <x:v>3.8782232332580326</x:v>
      </x:c>
      <x:c r="U433" s="78" t="n">
        <x:f>O433+S433*(1-'Inputs'!$B$17)</x:f>
        <x:v>221387917.10169846</x:v>
      </x:c>
      <x:c r="V433" s="78" t="n">
        <x:f>P433-T433</x:f>
        <x:v>74.27981759863628</x:v>
      </x:c>
      <x:c r="W433" s="79" t="n">
        <x:f>IF(U433&gt;0,V433/U433,0)</x:f>
        <x:v>3.3551884208980806e-7</x:v>
      </x:c>
      <x:c r="X433" s="80" t="n">
        <x:f>W433*('Inputs'!$B$6-AC433)</x:f>
        <x:v>332.748804841864</x:v>
      </x:c>
      <x:c r="Y433" s="80" t="n">
        <x:f>2*V433</x:f>
        <x:v>148.55963519727257</x:v>
      </x:c>
      <x:c r="Z433" s="80" t="n">
        <x:f>K433*'Inputs'!$B$16+(G433+R433)*J433*'Inputs'!$B$16</x:f>
        <x:v>0.47023240322425486</x:v>
      </x:c>
      <x:c r="AA433" s="80" t="n">
        <x:f>K433*(1+'Inputs'!$E$45)/2*'Inputs'!$B$17</x:f>
        <x:v>0.1493966575257537</x:v>
      </x:c>
      <x:c r="AB433" s="78" t="n">
        <x:f>(IF(J433&gt;0,K433*(1-'Inputs'!$E$45)/2/J433,0)+G433+R433)*'Inputs'!$B$17</x:f>
        <x:v>446697.27649666084</x:v>
      </x:c>
      <x:c r="AC433" s="78" t="n">
        <x:f>AC432+AB433</x:f>
        <x:v>8255981.186304211</x:v>
      </x:c>
      <x:c r="AD433" s="80" t="n">
        <x:f>Z433/(1+'Inputs'!$C$45)</x:f>
        <x:v>0.3134882688161699</x:v>
      </x:c>
      <x:c r="AE433" s="80" t="n">
        <x:f>Z433-AD433</x:f>
        <x:v>0.15674413440808493</x:v>
      </x:c>
      <x:c r="AF433" s="80" t="n">
        <x:f>D433*W433</x:f>
        <x:v>0.09936393026927301</x:v>
      </x:c>
      <x:c r="AG433" s="80" t="n">
        <x:f>C433*W433</x:f>
        <x:v>0.17388687797122557</x:v>
      </x:c>
      <x:c r="AH433" s="80" t="n">
        <x:f>2*'Inputs'!$B$8*'Inputs'!$C$45</x:f>
        <x:v>2500</x:v>
      </x:c>
      <x:c r="AI433" s="81" t="n">
        <x:f>IF(AH433&gt;0,(AE433+AF433)/AH433*365,0)</x:f>
        <x:v>0.03739177744289426</x:v>
      </x:c>
      <x:c r="AJ433" s="81" t="n">
        <x:f>IF('Inputs'!$B$45&gt;0,AG433/('Inputs'!$B$19*'Inputs'!$B$45)*365,0)</x:f>
        <x:v>0.008462494727932979</x:v>
      </x:c>
      <x:c r="AK433" s="81" t="n">
        <x:f>W433/MAX($W$369:W433)-1</x:f>
        <x:v>-0.9995537320130521</x:v>
      </x:c>
      <x:c r="AL433" s="83" t="n">
        <x:f>'Inputs'!$B$45</x:f>
        <x:v>0.75</x:v>
      </x:c>
      <x:c r="AM433" s="83" t="n">
        <x:f>'Inputs'!$C$45</x:f>
        <x:v>0.5</x:v>
      </x:c>
      <x:c r="AN433" s="83" t="n">
        <x:f>'Inputs'!$D$45</x:f>
        <x:v>0.5</x:v>
      </x:c>
      <x:c r="AO433" s="81" t="n">
        <x:f>'Inputs'!$E$45</x:f>
        <x:v>-0.05</x:v>
      </x:c>
    </x:row>
    <x:row r="434">
      <x:c r="A434" s="59" t="str">
        <x:v>Weak demand</x:v>
      </x:c>
      <x:c r="B434" s="59" t="n">
        <x:v>66</x:v>
      </x:c>
      <x:c r="C434" s="78" t="n">
        <x:f>(('Inputs'!$B$29*(3*66*'Inputs'!$B$12-66^2)/(2*'Inputs'!$B$12^2))-('Inputs'!$B$29*(3*65*'Inputs'!$B$12-65^2)/(2*'Inputs'!$B$12^2)))*'Inputs'!$B$45</x:f>
        <x:v>518018.8004316017</x:v>
      </x:c>
      <x:c r="D434" s="78" t="n">
        <x:f>IF('Inputs'!$C$45&gt;0,('Inputs'!$B$30*(3*66*'Inputs'!$B$12-66^2)/(2*'Inputs'!$B$12^2))-('Inputs'!$B$30*(3*65*'Inputs'!$B$12-65^2)/(2*'Inputs'!$B$12^2)),0)</x:f>
        <x:v>296010.7431037724</x:v>
      </x:c>
      <x:c r="E434" s="78" t="n">
        <x:f>C434+D434</x:f>
        <x:v>814029.5435353741</x:v>
      </x:c>
      <x:c r="F434" s="78" t="n">
        <x:f>'Inputs'!$B$13*E434+(1-'Inputs'!$B$13)/'Inputs'!$B$14*SUM(E379:E434)</x:f>
        <x:v>822459.1269468948</x:v>
      </x:c>
      <x:c r="G434" s="78" t="n">
        <x:f>F434*'Inputs'!$F$45</x:f>
        <x:v>575721.3888628263</x:v>
      </x:c>
      <x:c r="H434" s="78" t="n">
        <x:f>U433</x:f>
        <x:v>221387917.10169846</x:v>
      </x:c>
      <x:c r="I434" s="78" t="n">
        <x:f>V433</x:f>
        <x:v>74.27981759863628</x:v>
      </x:c>
      <x:c r="J434" s="79" t="n">
        <x:f>IF(H434&gt;0,I434/H434,0)</x:f>
        <x:v>3.3551884208980806e-7</x:v>
      </x:c>
      <x:c r="K434" s="80" t="n">
        <x:f>(H434*J434+I434)*'Inputs'!$D$45*(1+'Inputs'!$G$45)^(B434/30)</x:f>
        <x:v>74.27981759863628</x:v>
      </x:c>
      <x:c r="L434" s="80" t="n">
        <x:f>MAX(0,K434*'Inputs'!$E$45)</x:f>
        <x:v>0</x:v>
      </x:c>
      <x:c r="M434" s="80" t="n">
        <x:f>MAX(0,-K434*'Inputs'!$E$45)</x:f>
        <x:v>3.7139908799318144</x:v>
      </x:c>
      <x:c r="N434" s="78" t="n">
        <x:f>H434*(L434*(1-'Inputs'!$B$15))/(I434+L434*(1-'Inputs'!$B$15))</x:f>
        <x:v>0</x:v>
      </x:c>
      <x:c r="O434" s="78" t="n">
        <x:f>H434-N434</x:f>
        <x:v>221387917.10169846</x:v>
      </x:c>
      <x:c r="P434" s="78" t="n">
        <x:f>I434+L434*(1-'Inputs'!$B$17)</x:f>
        <x:v>74.27981759863628</x:v>
      </x:c>
      <x:c r="Q434" s="78" t="n">
        <x:f>IF(J434&gt;0,M434/J434,0)</x:f>
        <x:v>11069395.855084924</x:v>
      </x:c>
      <x:c r="R434" s="78" t="n">
        <x:f>IF(B434='Inputs'!$H$45,'Inputs'!$B$27*'Inputs'!$I$45,0)</x:f>
        <x:v>0</x:v>
      </x:c>
      <x:c r="S434" s="78" t="n">
        <x:f>Q434+G434+R434</x:f>
        <x:v>11645117.24394775</x:v>
      </x:c>
      <x:c r="T434" s="78" t="n">
        <x:f>P434*(S434*(1-'Inputs'!$B$15))/(O434+S434*(1-'Inputs'!$B$15))</x:f>
        <x:v>3.6766262035984134</x:v>
      </x:c>
      <x:c r="U434" s="78" t="n">
        <x:f>O434+S434*(1-'Inputs'!$B$17)</x:f>
        <x:v>232986172.70683756</x:v>
      </x:c>
      <x:c r="V434" s="78" t="n">
        <x:f>P434-T434</x:f>
        <x:v>70.60319139503787</x:v>
      </x:c>
      <x:c r="W434" s="79" t="n">
        <x:f>IF(U434&gt;0,V434/U434,0)</x:f>
        <x:v>3.030359723702429e-7</x:v>
      </x:c>
      <x:c r="X434" s="80" t="n">
        <x:f>W434*('Inputs'!$B$6-AC434)</x:f>
        <x:v>300.3916747406266</x:v>
      </x:c>
      <x:c r="Y434" s="80" t="n">
        <x:f>2*V434</x:f>
        <x:v>141.20638279007574</x:v>
      </x:c>
      <x:c r="Z434" s="80" t="n">
        <x:f>K434*'Inputs'!$B$16+(G434+R434)*J434*'Inputs'!$B$16</x:f>
        <x:v>0.4468378978343633</x:v>
      </x:c>
      <x:c r="AA434" s="80" t="n">
        <x:f>K434*(1+'Inputs'!$E$45)/2*'Inputs'!$B$17</x:f>
        <x:v>0.141983554766005</x:v>
      </x:c>
      <x:c r="AB434" s="78" t="n">
        <x:f>(IF(J434&gt;0,K434*(1-'Inputs'!$E$45)/2/J434,0)+G434+R434)*'Inputs'!$B$17</x:f>
        <x:v>470037.73789639655</x:v>
      </x:c>
      <x:c r="AC434" s="78" t="n">
        <x:f>AC433+AB434</x:f>
        <x:v>8726018.924200607</x:v>
      </x:c>
      <x:c r="AD434" s="80" t="n">
        <x:f>Z434/(1+'Inputs'!$C$45)</x:f>
        <x:v>0.2978919318895755</x:v>
      </x:c>
      <x:c r="AE434" s="80" t="n">
        <x:f>Z434-AD434</x:f>
        <x:v>0.14894596594478776</x:v>
      </x:c>
      <x:c r="AF434" s="80" t="n">
        <x:f>D434*W434</x:f>
        <x:v>0.08970190336848985</x:v>
      </x:c>
      <x:c r="AG434" s="80" t="n">
        <x:f>C434*W434</x:f>
        <x:v>0.15697833089485724</x:v>
      </x:c>
      <x:c r="AH434" s="80" t="n">
        <x:f>2*'Inputs'!$B$8*'Inputs'!$C$45</x:f>
        <x:v>2500</x:v>
      </x:c>
      <x:c r="AI434" s="81" t="n">
        <x:f>IF(AH434&gt;0,(AE434+AF434)/AH434*365,0)</x:f>
        <x:v>0.034842588919738536</x:v>
      </x:c>
      <x:c r="AJ434" s="81" t="n">
        <x:f>IF('Inputs'!$B$45&gt;0,AG434/('Inputs'!$B$19*'Inputs'!$B$45)*365,0)</x:f>
        <x:v>0.00763961210354972</x:v>
      </x:c>
      <x:c r="AK434" s="81" t="n">
        <x:f>W434/MAX($W$369:W434)-1</x:f>
        <x:v>-0.9995969369334964</x:v>
      </x:c>
      <x:c r="AL434" s="83" t="n">
        <x:f>'Inputs'!$B$45</x:f>
        <x:v>0.75</x:v>
      </x:c>
      <x:c r="AM434" s="83" t="n">
        <x:f>'Inputs'!$C$45</x:f>
        <x:v>0.5</x:v>
      </x:c>
      <x:c r="AN434" s="83" t="n">
        <x:f>'Inputs'!$D$45</x:f>
        <x:v>0.5</x:v>
      </x:c>
      <x:c r="AO434" s="81" t="n">
        <x:f>'Inputs'!$E$45</x:f>
        <x:v>-0.05</x:v>
      </x:c>
    </x:row>
    <x:row r="435">
      <x:c r="A435" s="59" t="str">
        <x:v>Weak demand</x:v>
      </x:c>
      <x:c r="B435" s="59" t="n">
        <x:v>67</x:v>
      </x:c>
      <x:c r="C435" s="78" t="n">
        <x:f>(('Inputs'!$B$29*(3*67*'Inputs'!$B$12-67^2)/(2*'Inputs'!$B$12^2))-('Inputs'!$B$29*(3*66*'Inputs'!$B$12-66^2)/(2*'Inputs'!$B$12^2)))*'Inputs'!$B$45</x:f>
        <x:v>517774.96950647235</x:v>
      </x:c>
      <x:c r="D435" s="78" t="n">
        <x:f>IF('Inputs'!$C$45&gt;0,('Inputs'!$B$30*(3*67*'Inputs'!$B$12-67^2)/(2*'Inputs'!$B$12^2))-('Inputs'!$B$30*(3*66*'Inputs'!$B$12-66^2)/(2*'Inputs'!$B$12^2)),0)</x:f>
        <x:v>295871.4111465551</x:v>
      </x:c>
      <x:c r="E435" s="78" t="n">
        <x:f>C435+D435</x:f>
        <x:v>813646.3806530274</x:v>
      </x:c>
      <x:c r="F435" s="78" t="n">
        <x:f>'Inputs'!$B$13*E435+(1-'Inputs'!$B$13)/'Inputs'!$B$14*SUM(E380:E435)</x:f>
        <x:v>822075.9640645519</x:v>
      </x:c>
      <x:c r="G435" s="78" t="n">
        <x:f>F435*'Inputs'!$F$45</x:f>
        <x:v>575453.1748451863</x:v>
      </x:c>
      <x:c r="H435" s="78" t="n">
        <x:f>U434</x:f>
        <x:v>232986172.70683756</x:v>
      </x:c>
      <x:c r="I435" s="78" t="n">
        <x:f>V434</x:f>
        <x:v>70.60319139503787</x:v>
      </x:c>
      <x:c r="J435" s="79" t="n">
        <x:f>IF(H435&gt;0,I435/H435,0)</x:f>
        <x:v>3.030359723702429e-7</x:v>
      </x:c>
      <x:c r="K435" s="80" t="n">
        <x:f>(H435*J435+I435)*'Inputs'!$D$45*(1+'Inputs'!$G$45)^(B435/30)</x:f>
        <x:v>70.60319139503787</x:v>
      </x:c>
      <x:c r="L435" s="80" t="n">
        <x:f>MAX(0,K435*'Inputs'!$E$45)</x:f>
        <x:v>0</x:v>
      </x:c>
      <x:c r="M435" s="80" t="n">
        <x:f>MAX(0,-K435*'Inputs'!$E$45)</x:f>
        <x:v>3.5301595697518935</x:v>
      </x:c>
      <x:c r="N435" s="78" t="n">
        <x:f>H435*(L435*(1-'Inputs'!$B$15))/(I435+L435*(1-'Inputs'!$B$15))</x:f>
        <x:v>0</x:v>
      </x:c>
      <x:c r="O435" s="78" t="n">
        <x:f>H435-N435</x:f>
        <x:v>232986172.70683756</x:v>
      </x:c>
      <x:c r="P435" s="78" t="n">
        <x:f>I435+L435*(1-'Inputs'!$B$17)</x:f>
        <x:v>70.60319139503787</x:v>
      </x:c>
      <x:c r="Q435" s="78" t="n">
        <x:f>IF(J435&gt;0,M435/J435,0)</x:f>
        <x:v>11649308.635341877</x:v>
      </x:c>
      <x:c r="R435" s="78" t="n">
        <x:f>IF(B435='Inputs'!$H$45,'Inputs'!$B$27*'Inputs'!$I$45,0)</x:f>
        <x:v>0</x:v>
      </x:c>
      <x:c r="S435" s="78" t="n">
        <x:f>Q435+G435+R435</x:f>
        <x:v>12224761.810187064</x:v>
      </x:c>
      <x:c r="T435" s="78" t="n">
        <x:f>P435*(S435*(1-'Inputs'!$B$15))/(O435+S435*(1-'Inputs'!$B$15))</x:f>
        <x:v>3.486395625504119</x:v>
      </x:c>
      <x:c r="U435" s="78" t="n">
        <x:f>O435+S435*(1-'Inputs'!$B$17)</x:f>
        <x:v>245161740.30450878</x:v>
      </x:c>
      <x:c r="V435" s="78" t="n">
        <x:f>P435-T435</x:f>
        <x:v>67.11679576953375</x:v>
      </x:c>
      <x:c r="W435" s="79" t="n">
        <x:f>IF(U435&gt;0,V435/U435,0)</x:f>
        <x:v>2.7376537499762317e-7</x:v>
      </x:c>
      <x:c r="X435" s="80" t="n">
        <x:f>W435*('Inputs'!$B$6-AC435)</x:f>
        <x:v>271.24110522181473</x:v>
      </x:c>
      <x:c r="Y435" s="80" t="n">
        <x:f>2*V435</x:f>
        <x:v>134.2335915390675</x:v>
      </x:c>
      <x:c r="Z435" s="80" t="n">
        <x:f>K435*'Inputs'!$B$16+(G435+R435)*J435*'Inputs'!$B$16</x:f>
        <x:v>0.42466544644458376</x:v>
      </x:c>
      <x:c r="AA435" s="80" t="n">
        <x:f>K435*(1+'Inputs'!$E$45)/2*'Inputs'!$B$17</x:f>
        <x:v>0.13495579844121927</x:v>
      </x:c>
      <x:c r="AB435" s="78" t="n">
        <x:f>(IF(J435&gt;0,K435*(1-'Inputs'!$E$45)/2/J435,0)+G435+R435)*'Inputs'!$B$17</x:f>
        <x:v>494540.0154765993</x:v>
      </x:c>
      <x:c r="AC435" s="78" t="n">
        <x:f>AC434+AB435</x:f>
        <x:v>9220558.939677207</x:v>
      </x:c>
      <x:c r="AD435" s="80" t="n">
        <x:f>Z435/(1+'Inputs'!$C$45)</x:f>
        <x:v>0.2831102976297225</x:v>
      </x:c>
      <x:c r="AE435" s="80" t="n">
        <x:f>Z435-AD435</x:f>
        <x:v>0.14155514881486125</x:v>
      </x:c>
      <x:c r="AF435" s="80" t="n">
        <x:f>D435*W435</x:f>
        <x:v>0.0809993478236126</x:v>
      </x:c>
      <x:c r="AG435" s="80" t="n">
        <x:f>C435*W435</x:f>
        <x:v>0.1417488586913223</x:v>
      </x:c>
      <x:c r="AH435" s="80" t="n">
        <x:f>2*'Inputs'!$B$8*'Inputs'!$C$45</x:f>
        <x:v>2500</x:v>
      </x:c>
      <x:c r="AI435" s="81" t="n">
        <x:f>IF(AH435&gt;0,(AE435+AF435)/AH435*365,0)</x:f>
        <x:v>0.032492956509217186</x:v>
      </x:c>
      <x:c r="AJ435" s="81" t="n">
        <x:f>IF('Inputs'!$B$45&gt;0,AG435/('Inputs'!$B$19*'Inputs'!$B$45)*365,0)</x:f>
        <x:v>0.006898444456311019</x:v>
      </x:c>
      <x:c r="AK435" s="81" t="n">
        <x:f>W435/MAX($W$369:W435)-1</x:f>
        <x:v>-0.9996358692643451</x:v>
      </x:c>
      <x:c r="AL435" s="83" t="n">
        <x:f>'Inputs'!$B$45</x:f>
        <x:v>0.75</x:v>
      </x:c>
      <x:c r="AM435" s="83" t="n">
        <x:f>'Inputs'!$C$45</x:f>
        <x:v>0.5</x:v>
      </x:c>
      <x:c r="AN435" s="83" t="n">
        <x:f>'Inputs'!$D$45</x:f>
        <x:v>0.5</x:v>
      </x:c>
      <x:c r="AO435" s="81" t="n">
        <x:f>'Inputs'!$E$45</x:f>
        <x:v>-0.05</x:v>
      </x:c>
    </x:row>
    <x:row r="436">
      <x:c r="A436" s="59" t="str">
        <x:v>Weak demand</x:v>
      </x:c>
      <x:c r="B436" s="59" t="n">
        <x:v>68</x:v>
      </x:c>
      <x:c r="C436" s="78" t="n">
        <x:f>(('Inputs'!$B$29*(3*68*'Inputs'!$B$12-68^2)/(2*'Inputs'!$B$12^2))-('Inputs'!$B$29*(3*67*'Inputs'!$B$12-67^2)/(2*'Inputs'!$B$12^2)))*'Inputs'!$B$45</x:f>
        <x:v>517531.1385813486</x:v>
      </x:c>
      <x:c r="D436" s="78" t="n">
        <x:f>IF('Inputs'!$C$45&gt;0,('Inputs'!$B$30*(3*68*'Inputs'!$B$12-68^2)/(2*'Inputs'!$B$12^2))-('Inputs'!$B$30*(3*67*'Inputs'!$B$12-67^2)/(2*'Inputs'!$B$12^2)),0)</x:f>
        <x:v>295732.0791893415</x:v>
      </x:c>
      <x:c r="E436" s="78" t="n">
        <x:f>C436+D436</x:f>
        <x:v>813263.2177706901</x:v>
      </x:c>
      <x:c r="F436" s="78" t="n">
        <x:f>'Inputs'!$B$13*E436+(1-'Inputs'!$B$13)/'Inputs'!$B$14*SUM(E381:E436)</x:f>
        <x:v>821692.8011822108</x:v>
      </x:c>
      <x:c r="G436" s="78" t="n">
        <x:f>F436*'Inputs'!$F$45</x:f>
        <x:v>575184.9608275475</x:v>
      </x:c>
      <x:c r="H436" s="78" t="n">
        <x:f>U435</x:f>
        <x:v>245161740.30450878</x:v>
      </x:c>
      <x:c r="I436" s="78" t="n">
        <x:f>V435</x:f>
        <x:v>67.11679576953375</x:v>
      </x:c>
      <x:c r="J436" s="79" t="n">
        <x:f>IF(H436&gt;0,I436/H436,0)</x:f>
        <x:v>2.7376537499762317e-7</x:v>
      </x:c>
      <x:c r="K436" s="80" t="n">
        <x:f>(H436*J436+I436)*'Inputs'!$D$45*(1+'Inputs'!$G$45)^(B436/30)</x:f>
        <x:v>67.11679576953375</x:v>
      </x:c>
      <x:c r="L436" s="80" t="n">
        <x:f>MAX(0,K436*'Inputs'!$E$45)</x:f>
        <x:v>0</x:v>
      </x:c>
      <x:c r="M436" s="80" t="n">
        <x:f>MAX(0,-K436*'Inputs'!$E$45)</x:f>
        <x:v>3.355839788476688</x:v>
      </x:c>
      <x:c r="N436" s="78" t="n">
        <x:f>H436*(L436*(1-'Inputs'!$B$15))/(I436+L436*(1-'Inputs'!$B$15))</x:f>
        <x:v>0</x:v>
      </x:c>
      <x:c r="O436" s="78" t="n">
        <x:f>H436-N436</x:f>
        <x:v>245161740.30450878</x:v>
      </x:c>
      <x:c r="P436" s="78" t="n">
        <x:f>I436+L436*(1-'Inputs'!$B$17)</x:f>
        <x:v>67.11679576953375</x:v>
      </x:c>
      <x:c r="Q436" s="78" t="n">
        <x:f>IF(J436&gt;0,M436/J436,0)</x:f>
        <x:v>12258087.01522544</x:v>
      </x:c>
      <x:c r="R436" s="78" t="n">
        <x:f>IF(B436='Inputs'!$H$45,'Inputs'!$B$27*'Inputs'!$I$45,0)</x:f>
        <x:v>0</x:v>
      </x:c>
      <x:c r="S436" s="78" t="n">
        <x:f>Q436+G436+R436</x:f>
        <x:v>12833271.976052988</x:v>
      </x:c>
      <x:c r="T436" s="78" t="n">
        <x:f>P436*(S436*(1-'Inputs'!$B$15))/(O436+S436*(1-'Inputs'!$B$15))</x:f>
        <x:v>3.3068049535568442</x:v>
      </x:c>
      <x:c r="U436" s="78" t="n">
        <x:f>O436+S436*(1-'Inputs'!$B$17)</x:f>
        <x:v>257943369.3349841</x:v>
      </x:c>
      <x:c r="V436" s="78" t="n">
        <x:f>P436-T436</x:f>
        <x:v>63.80999081597691</x:v>
      </x:c>
      <x:c r="W436" s="79" t="n">
        <x:f>IF(U436&gt;0,V436/U436,0)</x:f>
        <x:v>2.4737984535322015e-7</x:v>
      </x:c>
      <x:c r="X436" s="80" t="n">
        <x:f>W436*('Inputs'!$B$6-AC436)</x:f>
        <x:v>244.97016258389093</x:v>
      </x:c>
      <x:c r="Y436" s="80" t="n">
        <x:f>2*V436</x:f>
        <x:v>127.61998163195382</x:v>
      </x:c>
      <x:c r="Z436" s="80" t="n">
        <x:f>K436*'Inputs'!$B$16+(G436+R436)*J436*'Inputs'!$B$16</x:f>
        <x:v>0.40364556897616616</x:v>
      </x:c>
      <x:c r="AA436" s="80" t="n">
        <x:f>K436*(1+'Inputs'!$E$45)/2*'Inputs'!$B$17</x:f>
        <x:v>0.12829166193371644</x:v>
      </x:c>
      <x:c r="AB436" s="78" t="n">
        <x:f>(IF(J436&gt;0,K436*(1-'Inputs'!$E$45)/2/J436,0)+G436+R436)*'Inputs'!$B$17</x:f>
        <x:v>520261.9662804614</x:v>
      </x:c>
      <x:c r="AC436" s="78" t="n">
        <x:f>AC435+AB436</x:f>
        <x:v>9740820.905957669</x:v>
      </x:c>
      <x:c r="AD436" s="80" t="n">
        <x:f>Z436/(1+'Inputs'!$C$45)</x:f>
        <x:v>0.26909704598411077</x:v>
      </x:c>
      <x:c r="AE436" s="80" t="n">
        <x:f>Z436-AD436</x:f>
        <x:v>0.13454852299205539</x:v>
      </x:c>
      <x:c r="AF436" s="80" t="n">
        <x:f>D436*W436</x:f>
        <x:v>0.07315815601584556</x:v>
      </x:c>
      <x:c r="AG436" s="80" t="n">
        <x:f>C436*W436</x:f>
        <x:v>0.12802677302772997</x:v>
      </x:c>
      <x:c r="AH436" s="80" t="n">
        <x:f>2*'Inputs'!$B$8*'Inputs'!$C$45</x:f>
        <x:v>2500</x:v>
      </x:c>
      <x:c r="AI436" s="81" t="n">
        <x:f>IF(AH436&gt;0,(AE436+AF436)/AH436*365,0)</x:f>
        <x:v>0.03032517513515354</x:v>
      </x:c>
      <x:c r="AJ436" s="81" t="n">
        <x:f>IF('Inputs'!$B$45&gt;0,AG436/('Inputs'!$B$19*'Inputs'!$B$45)*365,0)</x:f>
        <x:v>0.006230636287349525</x:v>
      </x:c>
      <x:c r="AK436" s="81" t="n">
        <x:f>W436/MAX($W$369:W436)-1</x:f>
        <x:v>-0.9996709642149763</x:v>
      </x:c>
      <x:c r="AL436" s="83" t="n">
        <x:f>'Inputs'!$B$45</x:f>
        <x:v>0.75</x:v>
      </x:c>
      <x:c r="AM436" s="83" t="n">
        <x:f>'Inputs'!$C$45</x:f>
        <x:v>0.5</x:v>
      </x:c>
      <x:c r="AN436" s="83" t="n">
        <x:f>'Inputs'!$D$45</x:f>
        <x:v>0.5</x:v>
      </x:c>
      <x:c r="AO436" s="81" t="n">
        <x:f>'Inputs'!$E$45</x:f>
        <x:v>-0.05</x:v>
      </x:c>
    </x:row>
    <x:row r="437">
      <x:c r="A437" s="59" t="str">
        <x:v>Weak demand</x:v>
      </x:c>
      <x:c r="B437" s="59" t="n">
        <x:v>69</x:v>
      </x:c>
      <x:c r="C437" s="78" t="n">
        <x:f>(('Inputs'!$B$29*(3*69*'Inputs'!$B$12-69^2)/(2*'Inputs'!$B$12^2))-('Inputs'!$B$29*(3*68*'Inputs'!$B$12-68^2)/(2*'Inputs'!$B$12^2)))*'Inputs'!$B$45</x:f>
        <x:v>517287.3076562192</x:v>
      </x:c>
      <x:c r="D437" s="78" t="n">
        <x:f>IF('Inputs'!$C$45&gt;0,('Inputs'!$B$30*(3*69*'Inputs'!$B$12-69^2)/(2*'Inputs'!$B$12^2))-('Inputs'!$B$30*(3*68*'Inputs'!$B$12-68^2)/(2*'Inputs'!$B$12^2)),0)</x:f>
        <x:v>295592.7472321242</x:v>
      </x:c>
      <x:c r="E437" s="78" t="n">
        <x:f>C437+D437</x:f>
        <x:v>812880.0548883434</x:v>
      </x:c>
      <x:c r="F437" s="78" t="n">
        <x:f>'Inputs'!$B$13*E437+(1-'Inputs'!$B$13)/'Inputs'!$B$14*SUM(E382:E437)</x:f>
        <x:v>821309.6382998681</x:v>
      </x:c>
      <x:c r="G437" s="78" t="n">
        <x:f>F437*'Inputs'!$F$45</x:f>
        <x:v>574916.7468099076</x:v>
      </x:c>
      <x:c r="H437" s="78" t="n">
        <x:f>U436</x:f>
        <x:v>257943369.3349841</x:v>
      </x:c>
      <x:c r="I437" s="78" t="n">
        <x:f>V436</x:f>
        <x:v>63.80999081597691</x:v>
      </x:c>
      <x:c r="J437" s="79" t="n">
        <x:f>IF(H437&gt;0,I437/H437,0)</x:f>
        <x:v>2.4737984535322015e-7</x:v>
      </x:c>
      <x:c r="K437" s="80" t="n">
        <x:f>(H437*J437+I437)*'Inputs'!$D$45*(1+'Inputs'!$G$45)^(B437/30)</x:f>
        <x:v>63.80999081597692</x:v>
      </x:c>
      <x:c r="L437" s="80" t="n">
        <x:f>MAX(0,K437*'Inputs'!$E$45)</x:f>
        <x:v>0</x:v>
      </x:c>
      <x:c r="M437" s="80" t="n">
        <x:f>MAX(0,-K437*'Inputs'!$E$45)</x:f>
        <x:v>3.190499540798846</x:v>
      </x:c>
      <x:c r="N437" s="78" t="n">
        <x:f>H437*(L437*(1-'Inputs'!$B$15))/(I437+L437*(1-'Inputs'!$B$15))</x:f>
        <x:v>0</x:v>
      </x:c>
      <x:c r="O437" s="78" t="n">
        <x:f>H437-N437</x:f>
        <x:v>257943369.3349841</x:v>
      </x:c>
      <x:c r="P437" s="78" t="n">
        <x:f>I437+L437*(1-'Inputs'!$B$17)</x:f>
        <x:v>63.80999081597691</x:v>
      </x:c>
      <x:c r="Q437" s="78" t="n">
        <x:f>IF(J437&gt;0,M437/J437,0)</x:f>
        <x:v>12897168.466749206</x:v>
      </x:c>
      <x:c r="R437" s="78" t="n">
        <x:f>IF(B437='Inputs'!$H$45,'Inputs'!$B$27*'Inputs'!$I$45,0)</x:f>
        <x:v>0</x:v>
      </x:c>
      <x:c r="S437" s="78" t="n">
        <x:f>Q437+G437+R437</x:f>
        <x:v>13472085.213559113</x:v>
      </x:c>
      <x:c r="T437" s="78" t="n">
        <x:f>P437*(S437*(1-'Inputs'!$B$15))/(O437+S437*(1-'Inputs'!$B$15))</x:f>
        <x:v>3.1371822311723667</x:v>
      </x:c>
      <x:c r="U437" s="78" t="n">
        <x:f>O437+S437*(1-'Inputs'!$B$17)</x:f>
        <x:v>271361240.92595345</x:v>
      </x:c>
      <x:c r="V437" s="78" t="n">
        <x:f>P437-T437</x:f>
        <x:v>60.67280858480454</x:v>
      </x:c>
      <x:c r="W437" s="79" t="n">
        <x:f>IF(U437&gt;0,V437/U437,0)</x:f>
        <x:v>2.2358686294982111e-7</x:v>
      </x:c>
      <x:c r="X437" s="80" t="n">
        <x:f>W437*('Inputs'!$B$6-AC437)</x:f>
        <x:v>221.28658224647447</x:v>
      </x:c>
      <x:c r="Y437" s="80" t="n">
        <x:f>2*V437</x:f>
        <x:v>121.34561716960908</x:v>
      </x:c>
      <x:c r="Z437" s="80" t="n">
        <x:f>K437*'Inputs'!$B$16+(G437+R437)*J437*'Inputs'!$B$16</x:f>
        <x:v>0.3837132817913624</x:v>
      </x:c>
      <x:c r="AA437" s="80" t="n">
        <x:f>K437*(1+'Inputs'!$E$45)/2*'Inputs'!$B$17</x:f>
        <x:v>0.1219708073947245</x:v>
      </x:c>
      <x:c r="AB437" s="78" t="n">
        <x:f>(IF(J437&gt;0,K437*(1-'Inputs'!$E$45)/2/J437,0)+G437+R437)*'Inputs'!$B$17</x:f>
        <x:v>547264.3285620788</x:v>
      </x:c>
      <x:c r="AC437" s="78" t="n">
        <x:f>AC436+AB437</x:f>
        <x:v>10288085.234519748</x:v>
      </x:c>
      <x:c r="AD437" s="80" t="n">
        <x:f>Z437/(1+'Inputs'!$C$45)</x:f>
        <x:v>0.2558088545275749</x:v>
      </x:c>
      <x:c r="AE437" s="80" t="n">
        <x:f>Z437-AD437</x:f>
        <x:v>0.12790442726378748</x:v>
      </x:c>
      <x:c r="AF437" s="80" t="n">
        <x:f>D437*W437</x:f>
        <x:v>0.06609065506435007</x:v>
      </x:c>
      <x:c r="AG437" s="80" t="n">
        <x:f>C437*W437</x:f>
        <x:v>0.11565864636261304</x:v>
      </x:c>
      <x:c r="AH437" s="80" t="n">
        <x:f>2*'Inputs'!$B$8*'Inputs'!$C$45</x:f>
        <x:v>2500</x:v>
      </x:c>
      <x:c r="AI437" s="81" t="n">
        <x:f>IF(AH437&gt;0,(AE437+AF437)/AH437*365,0)</x:f>
        <x:v>0.028323282019908084</x:v>
      </x:c>
      <x:c r="AJ437" s="81" t="n">
        <x:f>IF('Inputs'!$B$45&gt;0,AG437/('Inputs'!$B$19*'Inputs'!$B$45)*365,0)</x:f>
        <x:v>0.005628720789647168</x:v>
      </x:c>
      <x:c r="AK437" s="81" t="n">
        <x:f>W437/MAX($W$369:W437)-1</x:f>
        <x:v>-0.9997026108619858</x:v>
      </x:c>
      <x:c r="AL437" s="83" t="n">
        <x:f>'Inputs'!$B$45</x:f>
        <x:v>0.75</x:v>
      </x:c>
      <x:c r="AM437" s="83" t="n">
        <x:f>'Inputs'!$C$45</x:f>
        <x:v>0.5</x:v>
      </x:c>
      <x:c r="AN437" s="83" t="n">
        <x:f>'Inputs'!$D$45</x:f>
        <x:v>0.5</x:v>
      </x:c>
      <x:c r="AO437" s="81" t="n">
        <x:f>'Inputs'!$E$45</x:f>
        <x:v>-0.05</x:v>
      </x:c>
    </x:row>
    <x:row r="438">
      <x:c r="A438" s="59" t="str">
        <x:v>Weak demand</x:v>
      </x:c>
      <x:c r="B438" s="59" t="n">
        <x:v>70</x:v>
      </x:c>
      <x:c r="C438" s="78" t="n">
        <x:f>(('Inputs'!$B$29*(3*70*'Inputs'!$B$12-70^2)/(2*'Inputs'!$B$12^2))-('Inputs'!$B$29*(3*69*'Inputs'!$B$12-69^2)/(2*'Inputs'!$B$12^2)))*'Inputs'!$B$45</x:f>
        <x:v>517043.47673109546</x:v>
      </x:c>
      <x:c r="D438" s="78" t="n">
        <x:f>IF('Inputs'!$C$45&gt;0,('Inputs'!$B$30*(3*70*'Inputs'!$B$12-70^2)/(2*'Inputs'!$B$12^2))-('Inputs'!$B$30*(3*69*'Inputs'!$B$12-69^2)/(2*'Inputs'!$B$12^2)),0)</x:f>
        <x:v>295453.4152749106</x:v>
      </x:c>
      <x:c r="E438" s="78" t="n">
        <x:f>C438+D438</x:f>
        <x:v>812496.8920060061</x:v>
      </x:c>
      <x:c r="F438" s="78" t="n">
        <x:f>'Inputs'!$B$13*E438+(1-'Inputs'!$B$13)/'Inputs'!$B$14*SUM(E383:E438)</x:f>
        <x:v>820926.4754175271</x:v>
      </x:c>
      <x:c r="G438" s="78" t="n">
        <x:f>F438*'Inputs'!$F$45</x:f>
        <x:v>574648.5327922689</x:v>
      </x:c>
      <x:c r="H438" s="78" t="n">
        <x:f>U437</x:f>
        <x:v>271361240.92595345</x:v>
      </x:c>
      <x:c r="I438" s="78" t="n">
        <x:f>V437</x:f>
        <x:v>60.67280858480454</x:v>
      </x:c>
      <x:c r="J438" s="79" t="n">
        <x:f>IF(H438&gt;0,I438/H438,0)</x:f>
        <x:v>2.2358686294982111e-7</x:v>
      </x:c>
      <x:c r="K438" s="80" t="n">
        <x:f>(H438*J438+I438)*'Inputs'!$D$45*(1+'Inputs'!$G$45)^(B438/30)</x:f>
        <x:v>60.67280858480454</x:v>
      </x:c>
      <x:c r="L438" s="80" t="n">
        <x:f>MAX(0,K438*'Inputs'!$E$45)</x:f>
        <x:v>0</x:v>
      </x:c>
      <x:c r="M438" s="80" t="n">
        <x:f>MAX(0,-K438*'Inputs'!$E$45)</x:f>
        <x:v>3.0336404292402275</x:v>
      </x:c>
      <x:c r="N438" s="78" t="n">
        <x:f>H438*(L438*(1-'Inputs'!$B$15))/(I438+L438*(1-'Inputs'!$B$15))</x:f>
        <x:v>0</x:v>
      </x:c>
      <x:c r="O438" s="78" t="n">
        <x:f>H438-N438</x:f>
        <x:v>271361240.92595345</x:v>
      </x:c>
      <x:c r="P438" s="78" t="n">
        <x:f>I438+L438*(1-'Inputs'!$B$17)</x:f>
        <x:v>60.67280858480454</x:v>
      </x:c>
      <x:c r="Q438" s="78" t="n">
        <x:f>IF(J438&gt;0,M438/J438,0)</x:f>
        <x:v>13568062.046297673</x:v>
      </x:c>
      <x:c r="R438" s="78" t="n">
        <x:f>IF(B438='Inputs'!$H$45,'Inputs'!$B$27*'Inputs'!$I$45,0)</x:f>
        <x:v>0</x:v>
      </x:c>
      <x:c r="S438" s="78" t="n">
        <x:f>Q438+G438+R438</x:f>
        <x:v>14142710.579089941</x:v>
      </x:c>
      <x:c r="T438" s="78" t="n">
        <x:f>P438*(S438*(1-'Inputs'!$B$15))/(O438+S438*(1-'Inputs'!$B$15))</x:f>
        <x:v>2.9769052327576246</x:v>
      </x:c>
      <x:c r="U438" s="78" t="n">
        <x:f>O438+S438*(1-'Inputs'!$B$17)</x:f>
        <x:v>285447039.1888297</x:v>
      </x:c>
      <x:c r="V438" s="78" t="n">
        <x:f>P438-T438</x:f>
        <x:v>57.69590335204692</x:v>
      </x:c>
      <x:c r="W438" s="79" t="n">
        <x:f>IF(U438&gt;0,V438/U438,0)</x:f>
        <x:v>2.0212472168569163e-7</x:v>
      </x:c>
      <x:c r="X438" s="80" t="n">
        <x:f>W438*('Inputs'!$B$6-AC438)</x:f>
        <x:v>199.92890013504424</x:v>
      </x:c>
      <x:c r="Y438" s="80" t="n">
        <x:f>2*V438</x:f>
        <x:v>115.39180670409384</x:v>
      </x:c>
      <x:c r="Z438" s="80" t="n">
        <x:f>K438*'Inputs'!$B$16+(G438+R438)*J438*'Inputs'!$B$16</x:f>
        <x:v>0.3648077546853017</x:v>
      </x:c>
      <x:c r="AA438" s="80" t="n">
        <x:f>K438*(1+'Inputs'!$E$45)/2*'Inputs'!$B$17</x:f>
        <x:v>0.1159741813995258</x:v>
      </x:c>
      <x:c r="AB438" s="78" t="n">
        <x:f>(IF(J438&gt;0,K438*(1-'Inputs'!$E$45)/2/J438,0)+G438+R438)*'Inputs'!$B$17</x:f>
        <x:v>575610.865267275</x:v>
      </x:c>
      <x:c r="AC438" s="78" t="n">
        <x:f>AC437+AB438</x:f>
        <x:v>10863696.099787023</x:v>
      </x:c>
      <x:c r="AD438" s="80" t="n">
        <x:f>Z438/(1+'Inputs'!$C$45)</x:f>
        <x:v>0.24320516979020113</x:v>
      </x:c>
      <x:c r="AE438" s="80" t="n">
        <x:f>Z438-AD438</x:f>
        <x:v>0.12160258489510056</x:v>
      </x:c>
      <x:c r="AF438" s="80" t="n">
        <x:f>D438*W438</x:f>
        <x:v>0.059718439333528384</x:v>
      </x:c>
      <x:c r="AG438" s="80" t="n">
        <x:f>C438*W438</x:f>
        <x:v>0.10450726883367505</x:v>
      </x:c>
      <x:c r="AH438" s="80" t="n">
        <x:f>2*'Inputs'!$B$8*'Inputs'!$C$45</x:f>
        <x:v>2500</x:v>
      </x:c>
      <x:c r="AI438" s="81" t="n">
        <x:f>IF(AH438&gt;0,(AE438+AF438)/AH438*365,0)</x:f>
        <x:v>0.026472869537379824</x:v>
      </x:c>
      <x:c r="AJ438" s="81" t="n">
        <x:f>IF('Inputs'!$B$45&gt;0,AG438/('Inputs'!$B$19*'Inputs'!$B$45)*365,0)</x:f>
        <x:v>0.005086020416572186</x:v>
      </x:c>
      <x:c r="AK438" s="81" t="n">
        <x:f>W438/MAX($W$369:W438)-1</x:f>
        <x:v>-0.999731157296272</x:v>
      </x:c>
      <x:c r="AL438" s="83" t="n">
        <x:f>'Inputs'!$B$45</x:f>
        <x:v>0.75</x:v>
      </x:c>
      <x:c r="AM438" s="83" t="n">
        <x:f>'Inputs'!$C$45</x:f>
        <x:v>0.5</x:v>
      </x:c>
      <x:c r="AN438" s="83" t="n">
        <x:f>'Inputs'!$D$45</x:f>
        <x:v>0.5</x:v>
      </x:c>
      <x:c r="AO438" s="81" t="n">
        <x:f>'Inputs'!$E$45</x:f>
        <x:v>-0.05</x:v>
      </x:c>
    </x:row>
    <x:row r="439">
      <x:c r="A439" s="59" t="str">
        <x:v>Weak demand</x:v>
      </x:c>
      <x:c r="B439" s="59" t="n">
        <x:v>71</x:v>
      </x:c>
      <x:c r="C439" s="78" t="n">
        <x:f>(('Inputs'!$B$29*(3*71*'Inputs'!$B$12-71^2)/(2*'Inputs'!$B$12^2))-('Inputs'!$B$29*(3*70*'Inputs'!$B$12-70^2)/(2*'Inputs'!$B$12^2)))*'Inputs'!$B$45</x:f>
        <x:v>516799.6458059661</x:v>
      </x:c>
      <x:c r="D439" s="78" t="n">
        <x:f>IF('Inputs'!$C$45&gt;0,('Inputs'!$B$30*(3*71*'Inputs'!$B$12-71^2)/(2*'Inputs'!$B$12^2))-('Inputs'!$B$30*(3*70*'Inputs'!$B$12-70^2)/(2*'Inputs'!$B$12^2)),0)</x:f>
        <x:v>295314.08331769705</x:v>
      </x:c>
      <x:c r="E439" s="78" t="n">
        <x:f>C439+D439</x:f>
        <x:v>812113.7291236632</x:v>
      </x:c>
      <x:c r="F439" s="78" t="n">
        <x:f>'Inputs'!$B$13*E439+(1-'Inputs'!$B$13)/'Inputs'!$B$14*SUM(E384:E439)</x:f>
        <x:v>820543.3125351849</x:v>
      </x:c>
      <x:c r="G439" s="78" t="n">
        <x:f>F439*'Inputs'!$F$45</x:f>
        <x:v>574380.3187746294</x:v>
      </x:c>
      <x:c r="H439" s="78" t="n">
        <x:f>U438</x:f>
        <x:v>285447039.1888297</x:v>
      </x:c>
      <x:c r="I439" s="78" t="n">
        <x:f>V438</x:f>
        <x:v>57.69590335204692</x:v>
      </x:c>
      <x:c r="J439" s="79" t="n">
        <x:f>IF(H439&gt;0,I439/H439,0)</x:f>
        <x:v>2.0212472168569163e-7</x:v>
      </x:c>
      <x:c r="K439" s="80" t="n">
        <x:f>(H439*J439+I439)*'Inputs'!$D$45*(1+'Inputs'!$G$45)^(B439/30)</x:f>
        <x:v>57.69590335204692</x:v>
      </x:c>
      <x:c r="L439" s="80" t="n">
        <x:f>MAX(0,K439*'Inputs'!$E$45)</x:f>
        <x:v>0</x:v>
      </x:c>
      <x:c r="M439" s="80" t="n">
        <x:f>MAX(0,-K439*'Inputs'!$E$45)</x:f>
        <x:v>2.884795167602346</x:v>
      </x:c>
      <x:c r="N439" s="78" t="n">
        <x:f>H439*(L439*(1-'Inputs'!$B$15))/(I439+L439*(1-'Inputs'!$B$15))</x:f>
        <x:v>0</x:v>
      </x:c>
      <x:c r="O439" s="78" t="n">
        <x:f>H439-N439</x:f>
        <x:v>285447039.1888297</x:v>
      </x:c>
      <x:c r="P439" s="78" t="n">
        <x:f>I439+L439*(1-'Inputs'!$B$17)</x:f>
        <x:v>57.69590335204692</x:v>
      </x:c>
      <x:c r="Q439" s="78" t="n">
        <x:f>IF(J439&gt;0,M439/J439,0)</x:f>
        <x:v>14272351.959441487</x:v>
      </x:c>
      <x:c r="R439" s="78" t="n">
        <x:f>IF(B439='Inputs'!$H$45,'Inputs'!$B$27*'Inputs'!$I$45,0)</x:f>
        <x:v>0</x:v>
      </x:c>
      <x:c r="S439" s="78" t="n">
        <x:f>Q439+G439+R439</x:f>
        <x:v>14846732.278216116</x:v>
      </x:c>
      <x:c r="T439" s="78" t="n">
        <x:f>P439*(S439*(1-'Inputs'!$B$15))/(O439+S439*(1-'Inputs'!$B$15))</x:f>
        <x:v>2.8253971080083713</x:v>
      </x:c>
      <x:c r="U439" s="78" t="n">
        <x:f>O439+S439*(1-'Inputs'!$B$17)</x:f>
        <x:v>300234026.06552386</x:v>
      </x:c>
      <x:c r="V439" s="78" t="n">
        <x:f>P439-T439</x:f>
        <x:v>54.870506244038545</x:v>
      </x:c>
      <x:c r="W439" s="79" t="n">
        <x:f>IF(U439&gt;0,V439/U439,0)</x:f>
        <x:v>1.827591194878873e-7</x:v>
      </x:c>
      <x:c r="X439" s="80" t="n">
        <x:f>W439*('Inputs'!$B$6-AC439)</x:f>
        <x:v>180.66304333760135</x:v>
      </x:c>
      <x:c r="Y439" s="80" t="n">
        <x:f>2*V439</x:f>
        <x:v>109.74101248807709</x:v>
      </x:c>
      <x:c r="Z439" s="80" t="n">
        <x:f>K439*'Inputs'!$B$16+(G439+R439)*J439*'Inputs'!$B$16</x:f>
        <x:v>0.3468719988847259</x:v>
      </x:c>
      <x:c r="AA439" s="80" t="n">
        <x:f>K439*(1+'Inputs'!$E$45)/2*'Inputs'!$B$17</x:f>
        <x:v>0.11028391988821847</x:v>
      </x:c>
      <x:c r="AB439" s="78" t="n">
        <x:f>(IF(J439&gt;0,K439*(1-'Inputs'!$E$45)/2/J439,0)+G439+R439)*'Inputs'!$B$17</x:f>
        <x:v>605368.5146595986</x:v>
      </x:c>
      <x:c r="AC439" s="78" t="n">
        <x:f>AC438+AB439</x:f>
        <x:v>11469064.614446621</x:v>
      </x:c>
      <x:c r="AD439" s="80" t="n">
        <x:f>Z439/(1+'Inputs'!$C$45)</x:f>
        <x:v>0.23124799925648395</x:v>
      </x:c>
      <x:c r="AE439" s="80" t="n">
        <x:f>Z439-AD439</x:f>
        <x:v>0.11562399962824196</x:v>
      </x:c>
      <x:c r="AF439" s="80" t="n">
        <x:f>D439*W439</x:f>
        <x:v>0.0539713418395149</x:v>
      </x:c>
      <x:c r="AG439" s="80" t="n">
        <x:f>C439*W439</x:f>
        <x:v>0.0944498482191504</x:v>
      </x:c>
      <x:c r="AH439" s="80" t="n">
        <x:f>2*'Inputs'!$B$8*'Inputs'!$C$45</x:f>
        <x:v>2500</x:v>
      </x:c>
      <x:c r="AI439" s="81" t="n">
        <x:f>IF(AH439&gt;0,(AE439+AF439)/AH439*365,0)</x:f>
        <x:v>0.024760919854292504</x:v>
      </x:c>
      <x:c r="AJ439" s="81" t="n">
        <x:f>IF('Inputs'!$B$45&gt;0,AG439/('Inputs'!$B$19*'Inputs'!$B$45)*365,0)</x:f>
        <x:v>0.004596559279998653</x:v>
      </x:c>
      <x:c r="AK439" s="81" t="n">
        <x:f>W439/MAX($W$369:W439)-1</x:f>
        <x:v>-0.9997569151590944</x:v>
      </x:c>
      <x:c r="AL439" s="83" t="n">
        <x:f>'Inputs'!$B$45</x:f>
        <x:v>0.75</x:v>
      </x:c>
      <x:c r="AM439" s="83" t="n">
        <x:f>'Inputs'!$C$45</x:f>
        <x:v>0.5</x:v>
      </x:c>
      <x:c r="AN439" s="83" t="n">
        <x:f>'Inputs'!$D$45</x:f>
        <x:v>0.5</x:v>
      </x:c>
      <x:c r="AO439" s="81" t="n">
        <x:f>'Inputs'!$E$45</x:f>
        <x:v>-0.05</x:v>
      </x:c>
    </x:row>
    <x:row r="440">
      <x:c r="A440" s="59" t="str">
        <x:v>Weak demand</x:v>
      </x:c>
      <x:c r="B440" s="59" t="n">
        <x:v>72</x:v>
      </x:c>
      <x:c r="C440" s="78" t="n">
        <x:f>(('Inputs'!$B$29*(3*72*'Inputs'!$B$12-72^2)/(2*'Inputs'!$B$12^2))-('Inputs'!$B$29*(3*71*'Inputs'!$B$12-71^2)/(2*'Inputs'!$B$12^2)))*'Inputs'!$B$45</x:f>
        <x:v>516555.81488084234</x:v>
      </x:c>
      <x:c r="D440" s="78" t="n">
        <x:f>IF('Inputs'!$C$45&gt;0,('Inputs'!$B$30*(3*72*'Inputs'!$B$12-72^2)/(2*'Inputs'!$B$12^2))-('Inputs'!$B$30*(3*71*'Inputs'!$B$12-71^2)/(2*'Inputs'!$B$12^2)),0)</x:f>
        <x:v>295174.75136047974</x:v>
      </x:c>
      <x:c r="E440" s="78" t="n">
        <x:f>C440+D440</x:f>
        <x:v>811730.5662413221</x:v>
      </x:c>
      <x:c r="F440" s="78" t="n">
        <x:f>'Inputs'!$B$13*E440+(1-'Inputs'!$B$13)/'Inputs'!$B$14*SUM(E385:E440)</x:f>
        <x:v>820160.1496528432</x:v>
      </x:c>
      <x:c r="G440" s="78" t="n">
        <x:f>F440*'Inputs'!$F$45</x:f>
        <x:v>574112.1047569902</x:v>
      </x:c>
      <x:c r="H440" s="78" t="n">
        <x:f>U439</x:f>
        <x:v>300234026.06552386</x:v>
      </x:c>
      <x:c r="I440" s="78" t="n">
        <x:f>V439</x:f>
        <x:v>54.870506244038545</x:v>
      </x:c>
      <x:c r="J440" s="79" t="n">
        <x:f>IF(H440&gt;0,I440/H440,0)</x:f>
        <x:v>1.827591194878873e-7</x:v>
      </x:c>
      <x:c r="K440" s="80" t="n">
        <x:f>(H440*J440+I440)*'Inputs'!$D$45*(1+'Inputs'!$G$45)^(B440/30)</x:f>
        <x:v>54.87050624403855</x:v>
      </x:c>
      <x:c r="L440" s="80" t="n">
        <x:f>MAX(0,K440*'Inputs'!$E$45)</x:f>
        <x:v>0</x:v>
      </x:c>
      <x:c r="M440" s="80" t="n">
        <x:f>MAX(0,-K440*'Inputs'!$E$45)</x:f>
        <x:v>2.743525312201928</x:v>
      </x:c>
      <x:c r="N440" s="78" t="n">
        <x:f>H440*(L440*(1-'Inputs'!$B$15))/(I440+L440*(1-'Inputs'!$B$15))</x:f>
        <x:v>0</x:v>
      </x:c>
      <x:c r="O440" s="78" t="n">
        <x:f>H440-N440</x:f>
        <x:v>300234026.06552386</x:v>
      </x:c>
      <x:c r="P440" s="78" t="n">
        <x:f>I440+L440*(1-'Inputs'!$B$17)</x:f>
        <x:v>54.870506244038545</x:v>
      </x:c>
      <x:c r="Q440" s="78" t="n">
        <x:f>IF(J440&gt;0,M440/J440,0)</x:f>
        <x:v>15011701.303276196</x:v>
      </x:c>
      <x:c r="R440" s="78" t="n">
        <x:f>IF(B440='Inputs'!$H$45,'Inputs'!$B$27*'Inputs'!$I$45,0)</x:f>
        <x:v>0</x:v>
      </x:c>
      <x:c r="S440" s="78" t="n">
        <x:f>Q440+G440+R440</x:f>
        <x:v>15585813.408033187</x:v>
      </x:c>
      <x:c r="T440" s="78" t="n">
        <x:f>P440*(S440*(1-'Inputs'!$B$15))/(O440+S440*(1-'Inputs'!$B$15))</x:f>
        <x:v>2.6821224696337698</x:v>
      </x:c>
      <x:c r="U440" s="78" t="n">
        <x:f>O440+S440*(1-'Inputs'!$B$17)</x:f>
        <x:v>315757119.90249854</x:v>
      </x:c>
      <x:c r="V440" s="78" t="n">
        <x:f>P440-T440</x:f>
        <x:v>52.18838377440478</x:v>
      </x:c>
      <x:c r="W440" s="79" t="n">
        <x:f>IF(U440&gt;0,V440/U440,0)</x:f>
        <x:v>1.652801488388285e-7</x:v>
      </x:c>
      <x:c r="X440" s="80" t="n">
        <x:f>W440*('Inputs'!$B$6-AC440)</x:f>
        <x:v>163.27932154195133</x:v>
      </x:c>
      <x:c r="Y440" s="80" t="n">
        <x:f>2*V440</x:f>
        <x:v>104.37676754880955</x:v>
      </x:c>
      <x:c r="Z440" s="80" t="n">
        <x:f>K440*'Inputs'!$B$16+(G440+R440)*J440*'Inputs'!$B$16</x:f>
        <x:v>0.32985258280074764</x:v>
      </x:c>
      <x:c r="AA440" s="80" t="n">
        <x:f>K440*(1+'Inputs'!$E$45)/2*'Inputs'!$B$17</x:f>
        <x:v>0.10488326143226685</x:v>
      </x:c>
      <x:c r="AB440" s="78" t="n">
        <x:f>(IF(J440&gt;0,K440*(1-'Inputs'!$E$45)/2/J440,0)+G440+R440)*'Inputs'!$B$17</x:f>
        <x:v>636607.5484473121</x:v>
      </x:c>
      <x:c r="AC440" s="78" t="n">
        <x:f>AC439+AB440</x:f>
        <x:v>12105672.162893934</x:v>
      </x:c>
      <x:c r="AD440" s="80" t="n">
        <x:f>Z440/(1+'Inputs'!$C$45)</x:f>
        <x:v>0.21990172186716508</x:v>
      </x:c>
      <x:c r="AE440" s="80" t="n">
        <x:f>Z440-AD440</x:f>
        <x:v>0.10995086093358256</x:v>
      </x:c>
      <x:c r="AF440" s="80" t="n">
        <x:f>D440*W440</x:f>
        <x:v>0.04878652683832429</x:v>
      </x:c>
      <x:c r="AG440" s="80" t="n">
        <x:f>C440*W440</x:f>
        <x:v>0.08537642196706796</x:v>
      </x:c>
      <x:c r="AH440" s="80" t="n">
        <x:f>2*'Inputs'!$B$8*'Inputs'!$C$45</x:f>
        <x:v>2500</x:v>
      </x:c>
      <x:c r="AI440" s="81" t="n">
        <x:f>IF(AH440&gt;0,(AE440+AF440)/AH440*365,0)</x:f>
        <x:v>0.023175658614698398</x:v>
      </x:c>
      <x:c r="AJ440" s="81" t="n">
        <x:f>IF('Inputs'!$B$45&gt;0,AG440/('Inputs'!$B$19*'Inputs'!$B$45)*365,0)</x:f>
        <x:v>0.0041549858690639735</x:v>
      </x:c>
      <x:c r="AK440" s="81" t="n">
        <x:f>W440/MAX($W$369:W440)-1</x:f>
        <x:v>-0.9997801636449227</x:v>
      </x:c>
      <x:c r="AL440" s="83" t="n">
        <x:f>'Inputs'!$B$45</x:f>
        <x:v>0.75</x:v>
      </x:c>
      <x:c r="AM440" s="83" t="n">
        <x:f>'Inputs'!$C$45</x:f>
        <x:v>0.5</x:v>
      </x:c>
      <x:c r="AN440" s="83" t="n">
        <x:f>'Inputs'!$D$45</x:f>
        <x:v>0.5</x:v>
      </x:c>
      <x:c r="AO440" s="81" t="n">
        <x:f>'Inputs'!$E$45</x:f>
        <x:v>-0.05</x:v>
      </x:c>
    </x:row>
    <x:row r="441">
      <x:c r="A441" s="59" t="str">
        <x:v>Weak demand</x:v>
      </x:c>
      <x:c r="B441" s="59" t="n">
        <x:v>73</x:v>
      </x:c>
      <x:c r="C441" s="78" t="n">
        <x:f>(('Inputs'!$B$29*(3*73*'Inputs'!$B$12-73^2)/(2*'Inputs'!$B$12^2))-('Inputs'!$B$29*(3*72*'Inputs'!$B$12-72^2)/(2*'Inputs'!$B$12^2)))*'Inputs'!$B$45</x:f>
        <x:v>516311.983955713</x:v>
      </x:c>
      <x:c r="D441" s="78" t="n">
        <x:f>IF('Inputs'!$C$45&gt;0,('Inputs'!$B$30*(3*73*'Inputs'!$B$12-73^2)/(2*'Inputs'!$B$12^2))-('Inputs'!$B$30*(3*72*'Inputs'!$B$12-72^2)/(2*'Inputs'!$B$12^2)),0)</x:f>
        <x:v>295035.41940326616</x:v>
      </x:c>
      <x:c r="E441" s="78" t="n">
        <x:f>C441+D441</x:f>
        <x:v>811347.4033589792</x:v>
      </x:c>
      <x:c r="F441" s="78" t="n">
        <x:f>'Inputs'!$B$13*E441+(1-'Inputs'!$B$13)/'Inputs'!$B$14*SUM(E386:E441)</x:f>
        <x:v>819776.9867705011</x:v>
      </x:c>
      <x:c r="G441" s="78" t="n">
        <x:f>F441*'Inputs'!$F$45</x:f>
        <x:v>573843.8907393507</x:v>
      </x:c>
      <x:c r="H441" s="78" t="n">
        <x:f>U440</x:f>
        <x:v>315757119.90249854</x:v>
      </x:c>
      <x:c r="I441" s="78" t="n">
        <x:f>V440</x:f>
        <x:v>52.18838377440478</x:v>
      </x:c>
      <x:c r="J441" s="79" t="n">
        <x:f>IF(H441&gt;0,I441/H441,0)</x:f>
        <x:v>1.652801488388285e-7</x:v>
      </x:c>
      <x:c r="K441" s="80" t="n">
        <x:f>(H441*J441+I441)*'Inputs'!$D$45*(1+'Inputs'!$G$45)^(B441/30)</x:f>
        <x:v>52.18838377440478</x:v>
      </x:c>
      <x:c r="L441" s="80" t="n">
        <x:f>MAX(0,K441*'Inputs'!$E$45)</x:f>
        <x:v>0</x:v>
      </x:c>
      <x:c r="M441" s="80" t="n">
        <x:f>MAX(0,-K441*'Inputs'!$E$45)</x:f>
        <x:v>2.609419188720239</x:v>
      </x:c>
      <x:c r="N441" s="78" t="n">
        <x:f>H441*(L441*(1-'Inputs'!$B$15))/(I441+L441*(1-'Inputs'!$B$15))</x:f>
        <x:v>0</x:v>
      </x:c>
      <x:c r="O441" s="78" t="n">
        <x:f>H441-N441</x:f>
        <x:v>315757119.90249854</x:v>
      </x:c>
      <x:c r="P441" s="78" t="n">
        <x:f>I441+L441*(1-'Inputs'!$B$17)</x:f>
        <x:v>52.18838377440478</x:v>
      </x:c>
      <x:c r="Q441" s="78" t="n">
        <x:f>IF(J441&gt;0,M441/J441,0)</x:f>
        <x:v>15787855.995124929</x:v>
      </x:c>
      <x:c r="R441" s="78" t="n">
        <x:f>IF(B441='Inputs'!$H$45,'Inputs'!$B$27*'Inputs'!$I$45,0)</x:f>
        <x:v>0</x:v>
      </x:c>
      <x:c r="S441" s="78" t="n">
        <x:f>Q441+G441+R441</x:f>
        <x:v>16361699.88586428</x:v>
      </x:c>
      <x:c r="T441" s="78" t="n">
        <x:f>P441*(S441*(1-'Inputs'!$B$15))/(O441+S441*(1-'Inputs'!$B$15))</x:f>
        <x:v>2.5465838734050927</x:v>
      </x:c>
      <x:c r="U441" s="78" t="n">
        <x:f>O441+S441*(1-'Inputs'!$B$17)</x:f>
        <x:v>332052977.9377155</x:v>
      </x:c>
      <x:c r="V441" s="78" t="n">
        <x:f>P441-T441</x:f>
        <x:v>49.641799900999686</x:v>
      </x:c>
      <x:c r="W441" s="79" t="n">
        <x:f>IF(U441&gt;0,V441/U441,0)</x:f>
        <x:v>1.4949963770633973e-7</x:v>
      </x:c>
      <x:c r="X441" s="80" t="n">
        <x:f>W441*('Inputs'!$B$6-AC441)</x:f>
        <x:v>147.58976878651652</x:v>
      </x:c>
      <x:c r="Y441" s="80" t="n">
        <x:f>2*V441</x:f>
        <x:v>99.28359980199937</x:v>
      </x:c>
      <x:c r="Z441" s="80" t="n">
        <x:f>K441*'Inputs'!$B$16+(G441+R441)*J441*'Inputs'!$B$16</x:f>
        <x:v>0.3136993726684586</x:v>
      </x:c>
      <x:c r="AA441" s="80" t="n">
        <x:f>K441*(1+'Inputs'!$E$45)/2*'Inputs'!$B$17</x:f>
        <x:v>0.09975646797924455</x:v>
      </x:c>
      <x:c r="AB441" s="78" t="n">
        <x:f>(IF(J441&gt;0,K441*(1-'Inputs'!$E$45)/2/J441,0)+G441+R441)*'Inputs'!$B$17</x:f>
        <x:v>669401.7377849139</x:v>
      </x:c>
      <x:c r="AC441" s="78" t="n">
        <x:f>AC440+AB441</x:f>
        <x:v>12775073.900678849</x:v>
      </x:c>
      <x:c r="AD441" s="80" t="n">
        <x:f>Z441/(1+'Inputs'!$C$45)</x:f>
        <x:v>0.20913291511230572</x:v>
      </x:c>
      <x:c r="AE441" s="80" t="n">
        <x:f>Z441-AD441</x:f>
        <x:v>0.10456645755615288</x:v>
      </x:c>
      <x:c r="AF441" s="80" t="n">
        <x:f>D441*W441</x:f>
        <x:v>0.04410768831132628</x:v>
      </x:c>
      <x:c r="AG441" s="80" t="n">
        <x:f>C441*W441</x:f>
        <x:v>0.07718845454482058</x:v>
      </x:c>
      <x:c r="AH441" s="80" t="n">
        <x:f>2*'Inputs'!$B$8*'Inputs'!$C$45</x:f>
        <x:v>2500</x:v>
      </x:c>
      <x:c r="AI441" s="81" t="n">
        <x:f>IF(AH441&gt;0,(AE441+AF441)/AH441*365,0)</x:f>
        <x:v>0.021706425296651954</x:v>
      </x:c>
      <x:c r="AJ441" s="81" t="n">
        <x:f>IF('Inputs'!$B$45&gt;0,AG441/('Inputs'!$B$19*'Inputs'!$B$45)*365,0)</x:f>
        <x:v>0.003756504787847935</x:v>
      </x:c>
      <x:c r="AK441" s="81" t="n">
        <x:f>W441/MAX($W$369:W441)-1</x:f>
        <x:v>-0.9998011530382225</x:v>
      </x:c>
      <x:c r="AL441" s="83" t="n">
        <x:f>'Inputs'!$B$45</x:f>
        <x:v>0.75</x:v>
      </x:c>
      <x:c r="AM441" s="83" t="n">
        <x:f>'Inputs'!$C$45</x:f>
        <x:v>0.5</x:v>
      </x:c>
      <x:c r="AN441" s="83" t="n">
        <x:f>'Inputs'!$D$45</x:f>
        <x:v>0.5</x:v>
      </x:c>
      <x:c r="AO441" s="81" t="n">
        <x:f>'Inputs'!$E$45</x:f>
        <x:v>-0.05</x:v>
      </x:c>
    </x:row>
    <x:row r="442">
      <x:c r="A442" s="59" t="str">
        <x:v>Weak demand</x:v>
      </x:c>
      <x:c r="B442" s="59" t="n">
        <x:v>74</x:v>
      </x:c>
      <x:c r="C442" s="78" t="n">
        <x:f>(('Inputs'!$B$29*(3*74*'Inputs'!$B$12-74^2)/(2*'Inputs'!$B$12^2))-('Inputs'!$B$29*(3*73*'Inputs'!$B$12-73^2)/(2*'Inputs'!$B$12^2)))*'Inputs'!$B$45</x:f>
        <x:v>516068.1530305892</x:v>
      </x:c>
      <x:c r="D442" s="78" t="n">
        <x:f>IF('Inputs'!$C$45&gt;0,('Inputs'!$B$30*(3*74*'Inputs'!$B$12-74^2)/(2*'Inputs'!$B$12^2))-('Inputs'!$B$30*(3*73*'Inputs'!$B$12-73^2)/(2*'Inputs'!$B$12^2)),0)</x:f>
        <x:v>294896.08744604886</x:v>
      </x:c>
      <x:c r="E442" s="78" t="n">
        <x:f>C442+D442</x:f>
        <x:v>810964.2404766381</x:v>
      </x:c>
      <x:c r="F442" s="78" t="n">
        <x:f>'Inputs'!$B$13*E442+(1-'Inputs'!$B$13)/'Inputs'!$B$14*SUM(E387:E442)</x:f>
        <x:v>819393.8238881595</x:v>
      </x:c>
      <x:c r="G442" s="78" t="n">
        <x:f>F442*'Inputs'!$F$45</x:f>
        <x:v>573575.6767217116</x:v>
      </x:c>
      <x:c r="H442" s="78" t="n">
        <x:f>U441</x:f>
        <x:v>332052977.9377155</x:v>
      </x:c>
      <x:c r="I442" s="78" t="n">
        <x:f>V441</x:f>
        <x:v>49.641799900999686</x:v>
      </x:c>
      <x:c r="J442" s="79" t="n">
        <x:f>IF(H442&gt;0,I442/H442,0)</x:f>
        <x:v>1.4949963770633973e-7</x:v>
      </x:c>
      <x:c r="K442" s="80" t="n">
        <x:f>(H442*J442+I442)*'Inputs'!$D$45*(1+'Inputs'!$G$45)^(B442/30)</x:f>
        <x:v>49.641799900999686</x:v>
      </x:c>
      <x:c r="L442" s="80" t="n">
        <x:f>MAX(0,K442*'Inputs'!$E$45)</x:f>
        <x:v>0</x:v>
      </x:c>
      <x:c r="M442" s="80" t="n">
        <x:f>MAX(0,-K442*'Inputs'!$E$45)</x:f>
        <x:v>2.4820899950499844</x:v>
      </x:c>
      <x:c r="N442" s="78" t="n">
        <x:f>H442*(L442*(1-'Inputs'!$B$15))/(I442+L442*(1-'Inputs'!$B$15))</x:f>
        <x:v>0</x:v>
      </x:c>
      <x:c r="O442" s="78" t="n">
        <x:f>H442-N442</x:f>
        <x:v>332052977.9377155</x:v>
      </x:c>
      <x:c r="P442" s="78" t="n">
        <x:f>I442+L442*(1-'Inputs'!$B$17)</x:f>
        <x:v>49.641799900999686</x:v>
      </x:c>
      <x:c r="Q442" s="78" t="n">
        <x:f>IF(J442&gt;0,M442/J442,0)</x:f>
        <x:v>16602648.896885775</x:v>
      </x:c>
      <x:c r="R442" s="78" t="n">
        <x:f>IF(B442='Inputs'!$H$45,'Inputs'!$B$27*'Inputs'!$I$45,0)</x:f>
        <x:v>0</x:v>
      </x:c>
      <x:c r="S442" s="78" t="n">
        <x:f>Q442+G442+R442</x:f>
        <x:v>17176224.573607486</x:v>
      </x:c>
      <x:c r="T442" s="78" t="n">
        <x:f>P442*(S442*(1-'Inputs'!$B$15))/(O442+S442*(1-'Inputs'!$B$15))</x:f>
        <x:v>2.41831864595697</x:v>
      </x:c>
      <x:c r="U442" s="78" t="n">
        <x:f>O442+S442*(1-'Inputs'!$B$17)</x:f>
        <x:v>349160082.8953326</x:v>
      </x:c>
      <x:c r="V442" s="78" t="n">
        <x:f>P442-T442</x:f>
        <x:v>47.223481255042714</x:v>
      </x:c>
      <x:c r="W442" s="79" t="n">
        <x:f>IF(U442&gt;0,V442/U442,0)</x:f>
        <x:v>1.3524879723779553e-7</x:v>
      </x:c>
      <x:c r="X442" s="80" t="n">
        <x:f>W442*('Inputs'!$B$6-AC442)</x:f>
        <x:v>133.42579189629316</x:v>
      </x:c>
      <x:c r="Y442" s="80" t="n">
        <x:f>2*V442</x:f>
        <x:v>94.44696251008543</x:v>
      </x:c>
      <x:c r="Z442" s="80" t="n">
        <x:f>K442*'Inputs'!$B$16+(G442+R442)*J442*'Inputs'!$B$16</x:f>
        <x:v>0.2983652955412005</x:v>
      </x:c>
      <x:c r="AA442" s="80" t="n">
        <x:f>K442*(1+'Inputs'!$E$45)/2*'Inputs'!$B$17</x:f>
        <x:v>0.09488875232585453</x:v>
      </x:c>
      <x:c r="AB442" s="78" t="n">
        <x:f>(IF(J442&gt;0,K442*(1-'Inputs'!$E$45)/2/J442,0)+G442+R442)*'Inputs'!$B$17</x:f>
        <x:v>703828.5275413375</x:v>
      </x:c>
      <x:c r="AC442" s="78" t="n">
        <x:f>AC441+AB442</x:f>
        <x:v>13478902.428220186</x:v>
      </x:c>
      <x:c r="AD442" s="80" t="n">
        <x:f>Z442/(1+'Inputs'!$C$45)</x:f>
        <x:v>0.198910197027467</x:v>
      </x:c>
      <x:c r="AE442" s="80" t="n">
        <x:f>Z442-AD442</x:f>
        <x:v>0.09945509851373349</x:v>
      </x:c>
      <x:c r="AF442" s="80" t="n">
        <x:f>D442*W442</x:f>
        <x:v>0.03988434113720988</x:v>
      </x:c>
      <x:c r="AG442" s="80" t="n">
        <x:f>C442*W442</x:f>
        <x:v>0.0697975969901178</x:v>
      </x:c>
      <x:c r="AH442" s="80" t="n">
        <x:f>2*'Inputs'!$B$8*'Inputs'!$C$45</x:f>
        <x:v>2500</x:v>
      </x:c>
      <x:c r="AI442" s="81" t="n">
        <x:f>IF(AH442&gt;0,(AE442+AF442)/AH442*365,0)</x:f>
        <x:v>0.02034355818903773</x:v>
      </x:c>
      <x:c r="AJ442" s="81" t="n">
        <x:f>IF('Inputs'!$B$45&gt;0,AG442/('Inputs'!$B$19*'Inputs'!$B$45)*365,0)</x:f>
        <x:v>0.0033968163868523995</x:v>
      </x:c>
      <x:c r="AK442" s="81" t="n">
        <x:f>W442/MAX($W$369:W442)-1</x:f>
        <x:v>-0.9998201078422169</x:v>
      </x:c>
      <x:c r="AL442" s="83" t="n">
        <x:f>'Inputs'!$B$45</x:f>
        <x:v>0.75</x:v>
      </x:c>
      <x:c r="AM442" s="83" t="n">
        <x:f>'Inputs'!$C$45</x:f>
        <x:v>0.5</x:v>
      </x:c>
      <x:c r="AN442" s="83" t="n">
        <x:f>'Inputs'!$D$45</x:f>
        <x:v>0.5</x:v>
      </x:c>
      <x:c r="AO442" s="81" t="n">
        <x:f>'Inputs'!$E$45</x:f>
        <x:v>-0.05</x:v>
      </x:c>
    </x:row>
    <x:row r="443">
      <x:c r="A443" s="59" t="str">
        <x:v>Weak demand</x:v>
      </x:c>
      <x:c r="B443" s="59" t="n">
        <x:v>75</x:v>
      </x:c>
      <x:c r="C443" s="78" t="n">
        <x:f>(('Inputs'!$B$29*(3*75*'Inputs'!$B$12-75^2)/(2*'Inputs'!$B$12^2))-('Inputs'!$B$29*(3*74*'Inputs'!$B$12-74^2)/(2*'Inputs'!$B$12^2)))*'Inputs'!$B$45</x:f>
        <x:v>515824.32210545987</x:v>
      </x:c>
      <x:c r="D443" s="78" t="n">
        <x:f>IF('Inputs'!$C$45&gt;0,('Inputs'!$B$30*(3*75*'Inputs'!$B$12-75^2)/(2*'Inputs'!$B$12^2))-('Inputs'!$B$30*(3*74*'Inputs'!$B$12-74^2)/(2*'Inputs'!$B$12^2)),0)</x:f>
        <x:v>294756.7554888353</x:v>
      </x:c>
      <x:c r="E443" s="78" t="n">
        <x:f>C443+D443</x:f>
        <x:v>810581.0775942951</x:v>
      </x:c>
      <x:c r="F443" s="78" t="n">
        <x:f>'Inputs'!$B$13*E443+(1-'Inputs'!$B$13)/'Inputs'!$B$14*SUM(E388:E443)</x:f>
        <x:v>819010.6610058174</x:v>
      </x:c>
      <x:c r="G443" s="78" t="n">
        <x:f>F443*'Inputs'!$F$45</x:f>
        <x:v>573307.4627040721</x:v>
      </x:c>
      <x:c r="H443" s="78" t="n">
        <x:f>U442</x:f>
        <x:v>349160082.8953326</x:v>
      </x:c>
      <x:c r="I443" s="78" t="n">
        <x:f>V442</x:f>
        <x:v>47.223481255042714</x:v>
      </x:c>
      <x:c r="J443" s="79" t="n">
        <x:f>IF(H443&gt;0,I443/H443,0)</x:f>
        <x:v>1.3524879723779553e-7</x:v>
      </x:c>
      <x:c r="K443" s="80" t="n">
        <x:f>(H443*J443+I443)*'Inputs'!$D$45*(1+'Inputs'!$G$45)^(B443/30)</x:f>
        <x:v>47.223481255042714</x:v>
      </x:c>
      <x:c r="L443" s="80" t="n">
        <x:f>MAX(0,K443*'Inputs'!$E$45)</x:f>
        <x:v>0</x:v>
      </x:c>
      <x:c r="M443" s="80" t="n">
        <x:f>MAX(0,-K443*'Inputs'!$E$45)</x:f>
        <x:v>2.3611740627521356</x:v>
      </x:c>
      <x:c r="N443" s="78" t="n">
        <x:f>H443*(L443*(1-'Inputs'!$B$15))/(I443+L443*(1-'Inputs'!$B$15))</x:f>
        <x:v>0</x:v>
      </x:c>
      <x:c r="O443" s="78" t="n">
        <x:f>H443-N443</x:f>
        <x:v>349160082.8953326</x:v>
      </x:c>
      <x:c r="P443" s="78" t="n">
        <x:f>I443+L443*(1-'Inputs'!$B$17)</x:f>
        <x:v>47.223481255042714</x:v>
      </x:c>
      <x:c r="Q443" s="78" t="n">
        <x:f>IF(J443&gt;0,M443/J443,0)</x:f>
        <x:v>17458004.14476663</x:v>
      </x:c>
      <x:c r="R443" s="78" t="n">
        <x:f>IF(B443='Inputs'!$H$45,'Inputs'!$B$27*'Inputs'!$I$45,0)</x:f>
        <x:v>0</x:v>
      </x:c>
      <x:c r="S443" s="78" t="n">
        <x:f>Q443+G443+R443</x:f>
        <x:v>18031311.607470702</x:v>
      </x:c>
      <x:c r="T443" s="78" t="n">
        <x:f>P443*(S443*(1-'Inputs'!$B$15))/(O443+S443*(1-'Inputs'!$B$15))</x:f>
        <x:v>2.2968960213873193</x:v>
      </x:c>
      <x:c r="U443" s="78" t="n">
        <x:f>O443+S443*(1-'Inputs'!$B$17)</x:f>
        <x:v>367118833.89271283</x:v>
      </x:c>
      <x:c r="V443" s="78" t="n">
        <x:f>P443-T443</x:f>
        <x:v>44.926585233655395</x:v>
      </x:c>
      <x:c r="W443" s="79" t="n">
        <x:f>IF(U443&gt;0,V443/U443,0)</x:f>
        <x:v>1.2237613842166643e-7</x:v>
      </x:c>
      <x:c r="X443" s="80" t="n">
        <x:f>W443*('Inputs'!$B$6-AC443)</x:f>
        <x:v>120.63608781673614</x:v>
      </x:c>
      <x:c r="Y443" s="80" t="n">
        <x:f>2*V443</x:f>
        <x:v>89.85317046731079</x:v>
      </x:c>
      <x:c r="Z443" s="80" t="n">
        <x:f>K443*'Inputs'!$B$16+(G443+R443)*J443*'Inputs'!$B$16</x:f>
        <x:v>0.28380612239892533</x:v>
      </x:c>
      <x:c r="AA443" s="80" t="n">
        <x:f>K443*(1+'Inputs'!$E$45)/2*'Inputs'!$B$17</x:f>
        <x:v>0.09026621165450821</x:v>
      </x:c>
      <x:c r="AB443" s="78" t="n">
        <x:f>(IF(J443&gt;0,K443*(1-'Inputs'!$E$45)/2/J443,0)+G443+R443)*'Inputs'!$B$17</x:f>
        <x:v>739969.2192464937</x:v>
      </x:c>
      <x:c r="AC443" s="78" t="n">
        <x:f>AC442+AB443</x:f>
        <x:v>14218871.64746668</x:v>
      </x:c>
      <x:c r="AD443" s="80" t="n">
        <x:f>Z443/(1+'Inputs'!$C$45)</x:f>
        <x:v>0.18920408159928356</x:v>
      </x:c>
      <x:c r="AE443" s="80" t="n">
        <x:f>Z443-AD443</x:f>
        <x:v>0.09460204079964177</x:v>
      </x:c>
      <x:c r="AF443" s="80" t="n">
        <x:f>D443*W443</x:f>
        <x:v>0.03607119351042299</x:v>
      </x:c>
      <x:c r="AG443" s="80" t="n">
        <x:f>C443*W443</x:f>
        <x:v>0.06312458864324001</x:v>
      </x:c>
      <x:c r="AH443" s="80" t="n">
        <x:f>2*'Inputs'!$B$8*'Inputs'!$C$45</x:f>
        <x:v>2500</x:v>
      </x:c>
      <x:c r="AI443" s="81" t="n">
        <x:f>IF(AH443&gt;0,(AE443+AF443)/AH443*365,0)</x:f>
        <x:v>0.019078292209269453</x:v>
      </x:c>
      <x:c r="AJ443" s="81" t="n">
        <x:f>IF('Inputs'!$B$45&gt;0,AG443/('Inputs'!$B$19*'Inputs'!$B$45)*365,0)</x:f>
        <x:v>0.003072063313971014</x:v>
      </x:c>
      <x:c r="AK443" s="81" t="n">
        <x:f>W443/MAX($W$369:W443)-1</x:f>
        <x:v>-0.9998372295499003</x:v>
      </x:c>
      <x:c r="AL443" s="83" t="n">
        <x:f>'Inputs'!$B$45</x:f>
        <x:v>0.75</x:v>
      </x:c>
      <x:c r="AM443" s="83" t="n">
        <x:f>'Inputs'!$C$45</x:f>
        <x:v>0.5</x:v>
      </x:c>
      <x:c r="AN443" s="83" t="n">
        <x:f>'Inputs'!$D$45</x:f>
        <x:v>0.5</x:v>
      </x:c>
      <x:c r="AO443" s="81" t="n">
        <x:f>'Inputs'!$E$45</x:f>
        <x:v>-0.05</x:v>
      </x:c>
    </x:row>
    <x:row r="444">
      <x:c r="A444" s="59" t="str">
        <x:v>Weak demand</x:v>
      </x:c>
      <x:c r="B444" s="59" t="n">
        <x:v>76</x:v>
      </x:c>
      <x:c r="C444" s="78" t="n">
        <x:f>(('Inputs'!$B$29*(3*76*'Inputs'!$B$12-76^2)/(2*'Inputs'!$B$12^2))-('Inputs'!$B$29*(3*75*'Inputs'!$B$12-75^2)/(2*'Inputs'!$B$12^2)))*'Inputs'!$B$45</x:f>
        <x:v>515580.4911803305</x:v>
      </x:c>
      <x:c r="D444" s="78" t="n">
        <x:f>IF('Inputs'!$C$45&gt;0,('Inputs'!$B$30*(3*76*'Inputs'!$B$12-76^2)/(2*'Inputs'!$B$12^2))-('Inputs'!$B$30*(3*75*'Inputs'!$B$12-75^2)/(2*'Inputs'!$B$12^2)),0)</x:f>
        <x:v>294617.4235316217</x:v>
      </x:c>
      <x:c r="E444" s="78" t="n">
        <x:f>C444+D444</x:f>
        <x:v>810197.9147119522</x:v>
      </x:c>
      <x:c r="F444" s="78" t="n">
        <x:f>'Inputs'!$B$13*E444+(1-'Inputs'!$B$13)/'Inputs'!$B$14*SUM(E389:E444)</x:f>
        <x:v>818627.4981234754</x:v>
      </x:c>
      <x:c r="G444" s="78" t="n">
        <x:f>F444*'Inputs'!$F$45</x:f>
        <x:v>573039.2486864327</x:v>
      </x:c>
      <x:c r="H444" s="78" t="n">
        <x:f>U443</x:f>
        <x:v>367118833.89271283</x:v>
      </x:c>
      <x:c r="I444" s="78" t="n">
        <x:f>V443</x:f>
        <x:v>44.926585233655395</x:v>
      </x:c>
      <x:c r="J444" s="79" t="n">
        <x:f>IF(H444&gt;0,I444/H444,0)</x:f>
        <x:v>1.2237613842166643e-7</x:v>
      </x:c>
      <x:c r="K444" s="80" t="n">
        <x:f>(H444*J444+I444)*'Inputs'!$D$45*(1+'Inputs'!$G$45)^(B444/30)</x:f>
        <x:v>44.92658523365539</x:v>
      </x:c>
      <x:c r="L444" s="80" t="n">
        <x:f>MAX(0,K444*'Inputs'!$E$45)</x:f>
        <x:v>0</x:v>
      </x:c>
      <x:c r="M444" s="80" t="n">
        <x:f>MAX(0,-K444*'Inputs'!$E$45)</x:f>
        <x:v>2.2463292616827695</x:v>
      </x:c>
      <x:c r="N444" s="78" t="n">
        <x:f>H444*(L444*(1-'Inputs'!$B$15))/(I444+L444*(1-'Inputs'!$B$15))</x:f>
        <x:v>0</x:v>
      </x:c>
      <x:c r="O444" s="78" t="n">
        <x:f>H444-N444</x:f>
        <x:v>367118833.89271283</x:v>
      </x:c>
      <x:c r="P444" s="78" t="n">
        <x:f>I444+L444*(1-'Inputs'!$B$17)</x:f>
        <x:v>44.926585233655395</x:v>
      </x:c>
      <x:c r="Q444" s="78" t="n">
        <x:f>IF(J444&gt;0,M444/J444,0)</x:f>
        <x:v>18355941.69463564</x:v>
      </x:c>
      <x:c r="R444" s="78" t="n">
        <x:f>IF(B444='Inputs'!$H$45,'Inputs'!$B$27*'Inputs'!$I$45,0)</x:f>
        <x:v>0</x:v>
      </x:c>
      <x:c r="S444" s="78" t="n">
        <x:f>Q444+G444+R444</x:f>
        <x:v>18928980.943322074</x:v>
      </x:c>
      <x:c r="T444" s="78" t="n">
        <x:f>P444*(S444*(1-'Inputs'!$B$15))/(O444+S444*(1-'Inputs'!$B$15))</x:f>
        <x:v>2.181914552544851</x:v>
      </x:c>
      <x:c r="U444" s="78" t="n">
        <x:f>O444+S444*(1-'Inputs'!$B$17)</x:f>
        <x:v>385971641.87449235</x:v>
      </x:c>
      <x:c r="V444" s="78" t="n">
        <x:f>P444-T444</x:f>
        <x:v>42.74467068111054</x:v>
      </x:c>
      <x:c r="W444" s="79" t="n">
        <x:f>IF(U444&gt;0,V444/U444,0)</x:f>
        <x:v>1.1074562492083283e-7</x:v>
      </x:c>
      <x:c r="X444" s="80" t="n">
        <x:f>W444*('Inputs'!$B$6-AC444)</x:f>
        <x:v>109.0847970581605</x:v>
      </x:c>
      <x:c r="Y444" s="80" t="n">
        <x:f>2*V444</x:f>
        <x:v>85.48934136222108</x:v>
      </x:c>
      <x:c r="Z444" s="80" t="n">
        <x:f>K444*'Inputs'!$B$16+(G444+R444)*J444*'Inputs'!$B$16</x:f>
        <x:v>0.26998026938444214</x:v>
      </x:c>
      <x:c r="AA444" s="80" t="n">
        <x:f>K444*(1+'Inputs'!$E$45)/2*'Inputs'!$B$17</x:f>
        <x:v>0.08587576654320446</x:v>
      </x:c>
      <x:c r="AB444" s="78" t="n">
        <x:f>(IF(J444&gt;0,K444*(1-'Inputs'!$E$45)/2/J444,0)+G444+R444)*'Inputs'!$B$17</x:f>
        <x:v>777909.1631483327</x:v>
      </x:c>
      <x:c r="AC444" s="78" t="n">
        <x:f>AC443+AB444</x:f>
        <x:v>14996780.810615012</x:v>
      </x:c>
      <x:c r="AD444" s="80" t="n">
        <x:f>Z444/(1+'Inputs'!$C$45)</x:f>
        <x:v>0.17998684625629477</x:v>
      </x:c>
      <x:c r="AE444" s="80" t="n">
        <x:f>Z444-AD444</x:f>
        <x:v>0.08999342312814737</x:v>
      </x:c>
      <x:c r="AF444" s="80" t="n">
        <x:f>D444*W444</x:f>
        <x:v>0.03262759068157512</x:v>
      </x:c>
      <x:c r="AG444" s="80" t="n">
        <x:f>C444*W444</x:f>
        <x:v>0.057098283692755644</x:v>
      </x:c>
      <x:c r="AH444" s="80" t="n">
        <x:f>2*'Inputs'!$B$8*'Inputs'!$C$45</x:f>
        <x:v>2500</x:v>
      </x:c>
      <x:c r="AI444" s="81" t="n">
        <x:f>IF(AH444&gt;0,(AE444+AF444)/AH444*365,0)</x:f>
        <x:v>0.017902668016219484</x:v>
      </x:c>
      <x:c r="AJ444" s="81" t="n">
        <x:f>IF('Inputs'!$B$45&gt;0,AG444/('Inputs'!$B$19*'Inputs'!$B$45)*365,0)</x:f>
        <x:v>0.002778783139714108</x:v>
      </x:c>
      <x:c r="AK444" s="81" t="n">
        <x:f>W444/MAX($W$369:W444)-1</x:f>
        <x:v>-0.9998526991009242</x:v>
      </x:c>
      <x:c r="AL444" s="83" t="n">
        <x:f>'Inputs'!$B$45</x:f>
        <x:v>0.75</x:v>
      </x:c>
      <x:c r="AM444" s="83" t="n">
        <x:f>'Inputs'!$C$45</x:f>
        <x:v>0.5</x:v>
      </x:c>
      <x:c r="AN444" s="83" t="n">
        <x:f>'Inputs'!$D$45</x:f>
        <x:v>0.5</x:v>
      </x:c>
      <x:c r="AO444" s="81" t="n">
        <x:f>'Inputs'!$E$45</x:f>
        <x:v>-0.05</x:v>
      </x:c>
    </x:row>
    <x:row r="445">
      <x:c r="A445" s="59" t="str">
        <x:v>Weak demand</x:v>
      </x:c>
      <x:c r="B445" s="59" t="n">
        <x:v>77</x:v>
      </x:c>
      <x:c r="C445" s="78" t="n">
        <x:f>(('Inputs'!$B$29*(3*77*'Inputs'!$B$12-77^2)/(2*'Inputs'!$B$12^2))-('Inputs'!$B$29*(3*76*'Inputs'!$B$12-76^2)/(2*'Inputs'!$B$12^2)))*'Inputs'!$B$45</x:f>
        <x:v>515336.66025521234</x:v>
      </x:c>
      <x:c r="D445" s="78" t="n">
        <x:f>IF('Inputs'!$C$45&gt;0,('Inputs'!$B$30*(3*77*'Inputs'!$B$12-77^2)/(2*'Inputs'!$B$12^2))-('Inputs'!$B$30*(3*76*'Inputs'!$B$12-76^2)/(2*'Inputs'!$B$12^2)),0)</x:f>
        <x:v>294478.09157440066</x:v>
      </x:c>
      <x:c r="E445" s="78" t="n">
        <x:f>C445+D445</x:f>
        <x:v>809814.751829613</x:v>
      </x:c>
      <x:c r="F445" s="78" t="n">
        <x:f>'Inputs'!$B$13*E445+(1-'Inputs'!$B$13)/'Inputs'!$B$14*SUM(E390:E445)</x:f>
        <x:v>818244.3352411338</x:v>
      </x:c>
      <x:c r="G445" s="78" t="n">
        <x:f>F445*'Inputs'!$F$45</x:f>
        <x:v>572771.0346687937</x:v>
      </x:c>
      <x:c r="H445" s="78" t="n">
        <x:f>U444</x:f>
        <x:v>385971641.87449235</x:v>
      </x:c>
      <x:c r="I445" s="78" t="n">
        <x:f>V444</x:f>
        <x:v>42.74467068111054</x:v>
      </x:c>
      <x:c r="J445" s="79" t="n">
        <x:f>IF(H445&gt;0,I445/H445,0)</x:f>
        <x:v>1.1074562492083283e-7</x:v>
      </x:c>
      <x:c r="K445" s="80" t="n">
        <x:f>(H445*J445+I445)*'Inputs'!$D$45*(1+'Inputs'!$G$45)^(B445/30)</x:f>
        <x:v>42.74467068111054</x:v>
      </x:c>
      <x:c r="L445" s="80" t="n">
        <x:f>MAX(0,K445*'Inputs'!$E$45)</x:f>
        <x:v>0</x:v>
      </x:c>
      <x:c r="M445" s="80" t="n">
        <x:f>MAX(0,-K445*'Inputs'!$E$45)</x:f>
        <x:v>2.137233534055527</x:v>
      </x:c>
      <x:c r="N445" s="78" t="n">
        <x:f>H445*(L445*(1-'Inputs'!$B$15))/(I445+L445*(1-'Inputs'!$B$15))</x:f>
        <x:v>0</x:v>
      </x:c>
      <x:c r="O445" s="78" t="n">
        <x:f>H445-N445</x:f>
        <x:v>385971641.87449235</x:v>
      </x:c>
      <x:c r="P445" s="78" t="n">
        <x:f>I445+L445*(1-'Inputs'!$B$17)</x:f>
        <x:v>42.74467068111054</x:v>
      </x:c>
      <x:c r="Q445" s="78" t="n">
        <x:f>IF(J445&gt;0,M445/J445,0)</x:f>
        <x:v>19298582.093724616</x:v>
      </x:c>
      <x:c r="R445" s="78" t="n">
        <x:f>IF(B445='Inputs'!$H$45,'Inputs'!$B$27*'Inputs'!$I$45,0)</x:f>
        <x:v>0</x:v>
      </x:c>
      <x:c r="S445" s="78" t="n">
        <x:f>Q445+G445+R445</x:f>
        <x:v>19871353.128393408</x:v>
      </x:c>
      <x:c r="T445" s="78" t="n">
        <x:f>P445*(S445*(1-'Inputs'!$B$15))/(O445+S445*(1-'Inputs'!$B$15))</x:f>
        <x:v>2.0729997670766847</x:v>
      </x:c>
      <x:c r="U445" s="78" t="n">
        <x:f>O445+S445*(1-'Inputs'!$B$17)</x:f>
        <x:v>405763029.79914975</x:v>
      </x:c>
      <x:c r="V445" s="78" t="n">
        <x:f>P445-T445</x:f>
        <x:v>40.671670914033854</x:v>
      </x:c>
      <x:c r="W445" s="79" t="n">
        <x:f>IF(U445&gt;0,V445/U445,0)</x:f>
        <x:v>1.002350335716048e-7</x:v>
      </x:c>
      <x:c r="X445" s="80" t="n">
        <x:f>W445*('Inputs'!$B$6-AC445)</x:f>
        <x:v>98.64986475173006</x:v>
      </x:c>
      <x:c r="Y445" s="80" t="n">
        <x:f>2*V445</x:f>
        <x:v>81.34334182806771</x:v>
      </x:c>
      <x:c r="Z445" s="80" t="n">
        <x:f>K445*'Inputs'!$B$16+(G445+R445)*J445*'Inputs'!$B$16</x:f>
        <x:v>0.2568486154036889</x:v>
      </x:c>
      <x:c r="AA445" s="80" t="n">
        <x:f>K445*(1+'Inputs'!$E$45)/2*'Inputs'!$B$17</x:f>
        <x:v>0.08170510492365193</x:v>
      </x:c>
      <x:c r="AB445" s="78" t="n">
        <x:f>(IF(J445&gt;0,K445*(1-'Inputs'!$E$45)/2/J445,0)+G445+R445)*'Inputs'!$B$17</x:f>
        <x:v>817737.959834114</x:v>
      </x:c>
      <x:c r="AC445" s="78" t="n">
        <x:f>AC444+AB445</x:f>
        <x:v>15814518.770449126</x:v>
      </x:c>
      <x:c r="AD445" s="80" t="n">
        <x:f>Z445/(1+'Inputs'!$C$45)</x:f>
        <x:v>0.17123241026912595</x:v>
      </x:c>
      <x:c r="AE445" s="80" t="n">
        <x:f>Z445-AD445</x:f>
        <x:v>0.08561620513456297</x:v>
      </x:c>
      <x:c r="AF445" s="80" t="n">
        <x:f>D445*W445</x:f>
        <x:v>0.029517021395062164</x:v>
      </x:c>
      <x:c r="AG445" s="80" t="n">
        <x:f>C445*W445</x:f>
        <x:v>0.05165478744135991</x:v>
      </x:c>
      <x:c r="AH445" s="80" t="n">
        <x:f>2*'Inputs'!$B$8*'Inputs'!$C$45</x:f>
        <x:v>2500</x:v>
      </x:c>
      <x:c r="AI445" s="81" t="n">
        <x:f>IF(AH445&gt;0,(AE445+AF445)/AH445*365,0)</x:f>
        <x:v>0.01680945107332527</x:v>
      </x:c>
      <x:c r="AJ445" s="81" t="n">
        <x:f>IF('Inputs'!$B$45&gt;0,AG445/('Inputs'!$B$19*'Inputs'!$B$45)*365,0)</x:f>
        <x:v>0.002513866322146182</x:v>
      </x:c>
      <x:c r="AK445" s="81" t="n">
        <x:f>W445/MAX($W$369:W445)-1</x:f>
        <x:v>-0.9998666790622696</x:v>
      </x:c>
      <x:c r="AL445" s="83" t="n">
        <x:f>'Inputs'!$B$45</x:f>
        <x:v>0.75</x:v>
      </x:c>
      <x:c r="AM445" s="83" t="n">
        <x:f>'Inputs'!$C$45</x:f>
        <x:v>0.5</x:v>
      </x:c>
      <x:c r="AN445" s="83" t="n">
        <x:f>'Inputs'!$D$45</x:f>
        <x:v>0.5</x:v>
      </x:c>
      <x:c r="AO445" s="81" t="n">
        <x:f>'Inputs'!$E$45</x:f>
        <x:v>-0.05</x:v>
      </x:c>
    </x:row>
    <x:row r="446">
      <x:c r="A446" s="59" t="str">
        <x:v>Weak demand</x:v>
      </x:c>
      <x:c r="B446" s="59" t="n">
        <x:v>78</x:v>
      </x:c>
      <x:c r="C446" s="78" t="n">
        <x:f>(('Inputs'!$B$29*(3*78*'Inputs'!$B$12-78^2)/(2*'Inputs'!$B$12^2))-('Inputs'!$B$29*(3*77*'Inputs'!$B$12-77^2)/(2*'Inputs'!$B$12^2)))*'Inputs'!$B$45</x:f>
        <x:v>515092.8293300774</x:v>
      </x:c>
      <x:c r="D446" s="78" t="n">
        <x:f>IF('Inputs'!$C$45&gt;0,('Inputs'!$B$30*(3*78*'Inputs'!$B$12-78^2)/(2*'Inputs'!$B$12^2))-('Inputs'!$B$30*(3*77*'Inputs'!$B$12-77^2)/(2*'Inputs'!$B$12^2)),0)</x:f>
        <x:v>294338.7596171908</x:v>
      </x:c>
      <x:c r="E446" s="78" t="n">
        <x:f>C446+D446</x:f>
        <x:v>809431.5889472682</x:v>
      </x:c>
      <x:c r="F446" s="78" t="n">
        <x:f>'Inputs'!$B$13*E446+(1-'Inputs'!$B$13)/'Inputs'!$B$14*SUM(E391:E446)</x:f>
        <x:v>817861.1723587913</x:v>
      </x:c>
      <x:c r="G446" s="78" t="n">
        <x:f>F446*'Inputs'!$F$45</x:f>
        <x:v>572502.8206511539</x:v>
      </x:c>
      <x:c r="H446" s="78" t="n">
        <x:f>U445</x:f>
        <x:v>405763029.79914975</x:v>
      </x:c>
      <x:c r="I446" s="78" t="n">
        <x:f>V445</x:f>
        <x:v>40.671670914033854</x:v>
      </x:c>
      <x:c r="J446" s="79" t="n">
        <x:f>IF(H446&gt;0,I446/H446,0)</x:f>
        <x:v>1.002350335716048e-7</x:v>
      </x:c>
      <x:c r="K446" s="80" t="n">
        <x:f>(H446*J446+I446)*'Inputs'!$D$45*(1+'Inputs'!$G$45)^(B446/30)</x:f>
        <x:v>40.671670914033854</x:v>
      </x:c>
      <x:c r="L446" s="80" t="n">
        <x:f>MAX(0,K446*'Inputs'!$E$45)</x:f>
        <x:v>0</x:v>
      </x:c>
      <x:c r="M446" s="80" t="n">
        <x:f>MAX(0,-K446*'Inputs'!$E$45)</x:f>
        <x:v>2.033583545701693</x:v>
      </x:c>
      <x:c r="N446" s="78" t="n">
        <x:f>H446*(L446*(1-'Inputs'!$B$15))/(I446+L446*(1-'Inputs'!$B$15))</x:f>
        <x:v>0</x:v>
      </x:c>
      <x:c r="O446" s="78" t="n">
        <x:f>H446-N446</x:f>
        <x:v>405763029.79914975</x:v>
      </x:c>
      <x:c r="P446" s="78" t="n">
        <x:f>I446+L446*(1-'Inputs'!$B$17)</x:f>
        <x:v>40.671670914033854</x:v>
      </x:c>
      <x:c r="Q446" s="78" t="n">
        <x:f>IF(J446&gt;0,M446/J446,0)</x:f>
        <x:v>20288151.48995749</x:v>
      </x:c>
      <x:c r="R446" s="78" t="n">
        <x:f>IF(B446='Inputs'!$H$45,'Inputs'!$B$27*'Inputs'!$I$45,0)</x:f>
        <x:v>0</x:v>
      </x:c>
      <x:c r="S446" s="78" t="n">
        <x:f>Q446+G446+R446</x:f>
        <x:v>20860654.310608644</x:v>
      </x:c>
      <x:c r="T446" s="78" t="n">
        <x:f>P446*(S446*(1-'Inputs'!$B$15))/(O446+S446*(1-'Inputs'!$B$15))</x:f>
        <x:v>1.969802041930564</x:v>
      </x:c>
      <x:c r="U446" s="78" t="n">
        <x:f>O446+S446*(1-'Inputs'!$B$17)</x:f>
        <x:v>426539737.8147459</x:v>
      </x:c>
      <x:c r="V446" s="78" t="n">
        <x:f>P446-T446</x:f>
        <x:v>38.70186887210329</x:v>
      </x:c>
      <x:c r="W446" s="79" t="n">
        <x:f>IF(U446&gt;0,V446/U446,0)</x:f>
        <x:v>9.073449772905386e-8</x:v>
      </x:c>
      <x:c r="X446" s="80" t="n">
        <x:f>W446*('Inputs'!$B$6-AC446)</x:f>
        <x:v>89.22158450383814</x:v>
      </x:c>
      <x:c r="Y446" s="80" t="n">
        <x:f>2*V446</x:f>
        <x:v>77.40373774420658</x:v>
      </x:c>
      <x:c r="Z446" s="80" t="n">
        <x:f>K446*'Inputs'!$B$16+(G446+R446)*J446*'Inputs'!$B$16</x:f>
        <x:v>0.24437433452088997</x:v>
      </x:c>
      <x:c r="AA446" s="80" t="n">
        <x:f>K446*(1+'Inputs'!$E$45)/2*'Inputs'!$B$17</x:f>
        <x:v>0.07774263051978302</x:v>
      </x:c>
      <x:c r="AB446" s="78" t="n">
        <x:f>(IF(J446&gt;0,K446*(1-'Inputs'!$E$45)/2/J446,0)+G446+R446)*'Inputs'!$B$17</x:f>
        <x:v>859549.6718921722</x:v>
      </x:c>
      <x:c r="AC446" s="78" t="n">
        <x:f>AC445+AB446</x:f>
        <x:v>16674068.442341298</x:v>
      </x:c>
      <x:c r="AD446" s="80" t="n">
        <x:f>Z446/(1+'Inputs'!$C$45)</x:f>
        <x:v>0.16291622301392664</x:v>
      </x:c>
      <x:c r="AE446" s="80" t="n">
        <x:f>Z446-AD446</x:f>
        <x:v>0.08145811150696333</x:v>
      </x:c>
      <x:c r="AF446" s="80" t="n">
        <x:f>D446*W446</x:f>
        <x:v>0.02670667951605853</x:v>
      </x:c>
      <x:c r="AG446" s="80" t="n">
        <x:f>C446*W446</x:f>
        <x:v>0.046736689153101835</x:v>
      </x:c>
      <x:c r="AH446" s="80" t="n">
        <x:f>2*'Inputs'!$B$8*'Inputs'!$C$45</x:f>
        <x:v>2500</x:v>
      </x:c>
      <x:c r="AI446" s="81" t="n">
        <x:f>IF(AH446&gt;0,(AE446+AF446)/AH446*365,0)</x:f>
        <x:v>0.01579205948936119</x:v>
      </x:c>
      <x:c r="AJ446" s="81" t="n">
        <x:f>IF('Inputs'!$B$45&gt;0,AG446/('Inputs'!$B$19*'Inputs'!$B$45)*365,0)</x:f>
        <x:v>0.0022745188721176226</x:v>
      </x:c>
      <x:c r="AK446" s="81" t="n">
        <x:f>W446/MAX($W$369:W446)-1</x:f>
        <x:v>-0.9998793155657189</x:v>
      </x:c>
      <x:c r="AL446" s="83" t="n">
        <x:f>'Inputs'!$B$45</x:f>
        <x:v>0.75</x:v>
      </x:c>
      <x:c r="AM446" s="83" t="n">
        <x:f>'Inputs'!$C$45</x:f>
        <x:v>0.5</x:v>
      </x:c>
      <x:c r="AN446" s="83" t="n">
        <x:f>'Inputs'!$D$45</x:f>
        <x:v>0.5</x:v>
      </x:c>
      <x:c r="AO446" s="81" t="n">
        <x:f>'Inputs'!$E$45</x:f>
        <x:v>-0.05</x:v>
      </x:c>
    </x:row>
    <x:row r="447">
      <x:c r="A447" s="59" t="str">
        <x:v>Weak demand</x:v>
      </x:c>
      <x:c r="B447" s="59" t="n">
        <x:v>79</x:v>
      </x:c>
      <x:c r="C447" s="78" t="n">
        <x:f>(('Inputs'!$B$29*(3*79*'Inputs'!$B$12-79^2)/(2*'Inputs'!$B$12^2))-('Inputs'!$B$29*(3*78*'Inputs'!$B$12-78^2)/(2*'Inputs'!$B$12^2)))*'Inputs'!$B$45</x:f>
        <x:v>514848.9984049536</x:v>
      </x:c>
      <x:c r="D447" s="78" t="n">
        <x:f>IF('Inputs'!$C$45&gt;0,('Inputs'!$B$30*(3*79*'Inputs'!$B$12-79^2)/(2*'Inputs'!$B$12^2))-('Inputs'!$B$30*(3*78*'Inputs'!$B$12-78^2)/(2*'Inputs'!$B$12^2)),0)</x:f>
        <x:v>294199.4276599735</x:v>
      </x:c>
      <x:c r="E447" s="78" t="n">
        <x:f>C447+D447</x:f>
        <x:v>809048.4260649271</x:v>
      </x:c>
      <x:c r="F447" s="78" t="n">
        <x:f>'Inputs'!$B$13*E447+(1-'Inputs'!$B$13)/'Inputs'!$B$14*SUM(E392:E447)</x:f>
        <x:v>817478.0094764493</x:v>
      </x:c>
      <x:c r="G447" s="78" t="n">
        <x:f>F447*'Inputs'!$F$45</x:f>
        <x:v>572234.6066335145</x:v>
      </x:c>
      <x:c r="H447" s="78" t="n">
        <x:f>U446</x:f>
        <x:v>426539737.8147459</x:v>
      </x:c>
      <x:c r="I447" s="78" t="n">
        <x:f>V446</x:f>
        <x:v>38.70186887210329</x:v>
      </x:c>
      <x:c r="J447" s="79" t="n">
        <x:f>IF(H447&gt;0,I447/H447,0)</x:f>
        <x:v>9.073449772905386e-8</x:v>
      </x:c>
      <x:c r="K447" s="80" t="n">
        <x:f>(H447*J447+I447)*'Inputs'!$D$45*(1+'Inputs'!$G$45)^(B447/30)</x:f>
        <x:v>38.70186887210329</x:v>
      </x:c>
      <x:c r="L447" s="80" t="n">
        <x:f>MAX(0,K447*'Inputs'!$E$45)</x:f>
        <x:v>0</x:v>
      </x:c>
      <x:c r="M447" s="80" t="n">
        <x:f>MAX(0,-K447*'Inputs'!$E$45)</x:f>
        <x:v>1.9350934436051646</x:v>
      </x:c>
      <x:c r="N447" s="78" t="n">
        <x:f>H447*(L447*(1-'Inputs'!$B$15))/(I447+L447*(1-'Inputs'!$B$15))</x:f>
        <x:v>0</x:v>
      </x:c>
      <x:c r="O447" s="78" t="n">
        <x:f>H447-N447</x:f>
        <x:v>426539737.8147459</x:v>
      </x:c>
      <x:c r="P447" s="78" t="n">
        <x:f>I447+L447*(1-'Inputs'!$B$17)</x:f>
        <x:v>38.70186887210329</x:v>
      </x:c>
      <x:c r="Q447" s="78" t="n">
        <x:f>IF(J447&gt;0,M447/J447,0)</x:f>
        <x:v>21326986.890737295</x:v>
      </x:c>
      <x:c r="R447" s="78" t="n">
        <x:f>IF(B447='Inputs'!$H$45,'Inputs'!$B$27*'Inputs'!$I$45,0)</x:f>
        <x:v>0</x:v>
      </x:c>
      <x:c r="S447" s="78" t="n">
        <x:f>Q447+G447+R447</x:f>
        <x:v>21899221.49737081</x:v>
      </x:c>
      <x:c r="T447" s="78" t="n">
        <x:f>P447*(S447*(1-'Inputs'!$B$15))/(O447+S447*(1-'Inputs'!$B$15))</x:f>
        <x:v>1.8719946731480963</x:v>
      </x:c>
      <x:c r="U447" s="78" t="n">
        <x:f>O447+S447*(1-'Inputs'!$B$17)</x:f>
        <x:v>448350833.67228824</x:v>
      </x:c>
      <x:c r="V447" s="78" t="n">
        <x:f>P447-T447</x:f>
        <x:v>36.829874198955196</x:v>
      </x:c>
      <x:c r="W447" s="79" t="n">
        <x:f>IF(U447&gt;0,V447/U447,0)</x:f>
        <x:v>8.214521181391434e-8</x:v>
      </x:c>
      <x:c r="X447" s="80" t="n">
        <x:f>W447*('Inputs'!$B$6-AC447)</x:f>
        <x:v>80.70130340953365</x:v>
      </x:c>
      <x:c r="Y447" s="80" t="n">
        <x:f>2*V447</x:f>
        <x:v>73.65974839791039</x:v>
      </x:c>
      <x:c r="Z447" s="80" t="n">
        <x:f>K447*'Inputs'!$B$16+(G447+R447)*J447*'Inputs'!$B$16</x:f>
        <x:v>0.2325227417503162</x:v>
      </x:c>
      <x:c r="AA447" s="80" t="n">
        <x:f>K447*(1+'Inputs'!$E$45)/2*'Inputs'!$B$17</x:f>
        <x:v>0.07397741534909079</x:v>
      </x:c>
      <x:c r="AB447" s="78" t="n">
        <x:f>(IF(J447&gt;0,K447*(1-'Inputs'!$E$45)/2/J447,0)+G447+R447)*'Inputs'!$B$17</x:f>
        <x:v>903443.0461141857</x:v>
      </x:c>
      <x:c r="AC447" s="78" t="n">
        <x:f>AC446+AB447</x:f>
        <x:v>17577511.48845548</x:v>
      </x:c>
      <x:c r="AD447" s="80" t="n">
        <x:f>Z447/(1+'Inputs'!$C$45)</x:f>
        <x:v>0.15501516116687747</x:v>
      </x:c>
      <x:c r="AE447" s="80" t="n">
        <x:f>Z447-AD447</x:f>
        <x:v>0.07750758058343873</x:v>
      </x:c>
      <x:c r="AF447" s="80" t="n">
        <x:f>D447*W447</x:f>
        <x:v>0.024167074300660892</x:v>
      </x:c>
      <x:c r="AG447" s="80" t="n">
        <x:f>C447*W447</x:f>
        <x:v>0.04229238002615656</x:v>
      </x:c>
      <x:c r="AH447" s="80" t="n">
        <x:f>2*'Inputs'!$B$8*'Inputs'!$C$45</x:f>
        <x:v>2500</x:v>
      </x:c>
      <x:c r="AI447" s="81" t="n">
        <x:f>IF(AH447&gt;0,(AE447+AF447)/AH447*365,0)</x:f>
        <x:v>0.014844499613078545</x:v>
      </x:c>
      <x:c r="AJ447" s="81" t="n">
        <x:f>IF('Inputs'!$B$45&gt;0,AG447/('Inputs'!$B$19*'Inputs'!$B$45)*365,0)</x:f>
        <x:v>0.0020582291612729524</x:v>
      </x:c>
      <x:c r="AK447" s="81" t="n">
        <x:f>W447/MAX($W$369:W447)-1</x:f>
        <x:v>-0.9998907400309167</x:v>
      </x:c>
      <x:c r="AL447" s="83" t="n">
        <x:f>'Inputs'!$B$45</x:f>
        <x:v>0.75</x:v>
      </x:c>
      <x:c r="AM447" s="83" t="n">
        <x:f>'Inputs'!$C$45</x:f>
        <x:v>0.5</x:v>
      </x:c>
      <x:c r="AN447" s="83" t="n">
        <x:f>'Inputs'!$D$45</x:f>
        <x:v>0.5</x:v>
      </x:c>
      <x:c r="AO447" s="81" t="n">
        <x:f>'Inputs'!$E$45</x:f>
        <x:v>-0.05</x:v>
      </x:c>
    </x:row>
    <x:row r="448">
      <x:c r="A448" s="59" t="str">
        <x:v>Weak demand</x:v>
      </x:c>
      <x:c r="B448" s="59" t="n">
        <x:v>80</x:v>
      </x:c>
      <x:c r="C448" s="78" t="n">
        <x:f>(('Inputs'!$B$29*(3*80*'Inputs'!$B$12-80^2)/(2*'Inputs'!$B$12^2))-('Inputs'!$B$29*(3*79*'Inputs'!$B$12-79^2)/(2*'Inputs'!$B$12^2)))*'Inputs'!$B$45</x:f>
        <x:v>514605.16747982986</x:v>
      </x:c>
      <x:c r="D448" s="78" t="n">
        <x:f>IF('Inputs'!$C$45&gt;0,('Inputs'!$B$30*(3*80*'Inputs'!$B$12-80^2)/(2*'Inputs'!$B$12^2))-('Inputs'!$B$30*(3*79*'Inputs'!$B$12-79^2)/(2*'Inputs'!$B$12^2)),0)</x:f>
        <x:v>294060.0957027599</x:v>
      </x:c>
      <x:c r="E448" s="78" t="n">
        <x:f>C448+D448</x:f>
        <x:v>808665.2631825898</x:v>
      </x:c>
      <x:c r="F448" s="78" t="n">
        <x:f>'Inputs'!$B$13*E448+(1-'Inputs'!$B$13)/'Inputs'!$B$14*SUM(E393:E448)</x:f>
        <x:v>817094.8465941085</x:v>
      </x:c>
      <x:c r="G448" s="78" t="n">
        <x:f>F448*'Inputs'!$F$45</x:f>
        <x:v>571966.3926158759</x:v>
      </x:c>
      <x:c r="H448" s="78" t="n">
        <x:f>U447</x:f>
        <x:v>448350833.67228824</x:v>
      </x:c>
      <x:c r="I448" s="78" t="n">
        <x:f>V447</x:f>
        <x:v>36.829874198955196</x:v>
      </x:c>
      <x:c r="J448" s="79" t="n">
        <x:f>IF(H448&gt;0,I448/H448,0)</x:f>
        <x:v>8.214521181391434e-8</x:v>
      </x:c>
      <x:c r="K448" s="80" t="n">
        <x:f>(H448*J448+I448)*'Inputs'!$D$45*(1+'Inputs'!$G$45)^(B448/30)</x:f>
        <x:v>36.829874198955196</x:v>
      </x:c>
      <x:c r="L448" s="80" t="n">
        <x:f>MAX(0,K448*'Inputs'!$E$45)</x:f>
        <x:v>0</x:v>
      </x:c>
      <x:c r="M448" s="80" t="n">
        <x:f>MAX(0,-K448*'Inputs'!$E$45)</x:f>
        <x:v>1.84149370994776</x:v>
      </x:c>
      <x:c r="N448" s="78" t="n">
        <x:f>H448*(L448*(1-'Inputs'!$B$15))/(I448+L448*(1-'Inputs'!$B$15))</x:f>
        <x:v>0</x:v>
      </x:c>
      <x:c r="O448" s="78" t="n">
        <x:f>H448-N448</x:f>
        <x:v>448350833.67228824</x:v>
      </x:c>
      <x:c r="P448" s="78" t="n">
        <x:f>I448+L448*(1-'Inputs'!$B$17)</x:f>
        <x:v>36.829874198955196</x:v>
      </x:c>
      <x:c r="Q448" s="78" t="n">
        <x:f>IF(J448&gt;0,M448/J448,0)</x:f>
        <x:v>22417541.683614414</x:v>
      </x:c>
      <x:c r="R448" s="78" t="n">
        <x:f>IF(B448='Inputs'!$H$45,'Inputs'!$B$27*'Inputs'!$I$45,0)</x:f>
        <x:v>0</x:v>
      </x:c>
      <x:c r="S448" s="78" t="n">
        <x:f>Q448+G448+R448</x:f>
        <x:v>22989508.07623029</x:v>
      </x:c>
      <x:c r="T448" s="78" t="n">
        <x:f>P448*(S448*(1-'Inputs'!$B$15))/(O448+S448*(1-'Inputs'!$B$15))</x:f>
        <x:v>1.7792721205164528</x:v>
      </x:c>
      <x:c r="U448" s="78" t="n">
        <x:f>O448+S448*(1-'Inputs'!$B$17)</x:f>
        <x:v>471247828.6375478</x:v>
      </x:c>
      <x:c r="V448" s="78" t="n">
        <x:f>P448-T448</x:f>
        <x:v>35.05060207843874</x:v>
      </x:c>
      <x:c r="W448" s="79" t="n">
        <x:f>IF(U448&gt;0,V448/U448,0)</x:f>
        <x:v>7.437827815520252e-8</x:v>
      </x:c>
      <x:c r="X448" s="80" t="n">
        <x:f>W448*('Inputs'!$B$6-AC448)</x:f>
        <x:v>73.00026932384277</x:v>
      </x:c>
      <x:c r="Y448" s="80" t="n">
        <x:f>2*V448</x:f>
        <x:v>70.10120415687749</x:v>
      </x:c>
      <x:c r="Z448" s="80" t="n">
        <x:f>K448*'Inputs'!$B$16+(G448+R448)*J448*'Inputs'!$B$16</x:f>
        <x:v>0.2212611509965624</x:v>
      </x:c>
      <x:c r="AA448" s="80" t="n">
        <x:f>K448*(1+'Inputs'!$E$45)/2*'Inputs'!$B$17</x:f>
        <x:v>0.07039915591349585</x:v>
      </x:c>
      <x:c r="AB448" s="78" t="n">
        <x:f>(IF(J448&gt;0,K448*(1-'Inputs'!$E$45)/2/J448,0)+G448+R448)*'Inputs'!$B$17</x:f>
        <x:v>949521.746762846</x:v>
      </x:c>
      <x:c r="AC448" s="78" t="n">
        <x:f>AC447+AB448</x:f>
        <x:v>18527033.235218327</x:v>
      </x:c>
      <x:c r="AD448" s="80" t="n">
        <x:f>Z448/(1+'Inputs'!$C$45)</x:f>
        <x:v>0.14750743399770827</x:v>
      </x:c>
      <x:c r="AE448" s="80" t="n">
        <x:f>Z448-AD448</x:f>
        <x:v>0.07375371699885414</x:v>
      </x:c>
      <x:c r="AF448" s="80" t="n">
        <x:f>D448*W448</x:f>
        <x:v>0.02187168359252535</x:v>
      </x:c>
      <x:c r="AG448" s="80" t="n">
        <x:f>C448*W448</x:f>
        <x:v>0.03827544628691936</x:v>
      </x:c>
      <x:c r="AH448" s="80" t="n">
        <x:f>2*'Inputs'!$B$8*'Inputs'!$C$45</x:f>
        <x:v>2500</x:v>
      </x:c>
      <x:c r="AI448" s="81" t="n">
        <x:f>IF(AH448&gt;0,(AE448+AF448)/AH448*365,0)</x:f>
        <x:v>0.013961308486341403</x:v>
      </x:c>
      <x:c r="AJ448" s="81" t="n">
        <x:f>IF('Inputs'!$B$45&gt;0,AG448/('Inputs'!$B$19*'Inputs'!$B$45)*365,0)</x:f>
        <x:v>0.0018627383859634089</x:v>
      </x:c>
      <x:c r="AK448" s="81" t="n">
        <x:f>W448/MAX($W$369:W448)-1</x:f>
        <x:v>-0.9999010706991648</x:v>
      </x:c>
      <x:c r="AL448" s="83" t="n">
        <x:f>'Inputs'!$B$45</x:f>
        <x:v>0.75</x:v>
      </x:c>
      <x:c r="AM448" s="83" t="n">
        <x:f>'Inputs'!$C$45</x:f>
        <x:v>0.5</x:v>
      </x:c>
      <x:c r="AN448" s="83" t="n">
        <x:f>'Inputs'!$D$45</x:f>
        <x:v>0.5</x:v>
      </x:c>
      <x:c r="AO448" s="81" t="n">
        <x:f>'Inputs'!$E$45</x:f>
        <x:v>-0.05</x:v>
      </x:c>
    </x:row>
    <x:row r="449">
      <x:c r="A449" s="59" t="str">
        <x:v>Weak demand</x:v>
      </x:c>
      <x:c r="B449" s="59" t="n">
        <x:v>81</x:v>
      </x:c>
      <x:c r="C449" s="78" t="n">
        <x:f>(('Inputs'!$B$29*(3*81*'Inputs'!$B$12-81^2)/(2*'Inputs'!$B$12^2))-('Inputs'!$B$29*(3*80*'Inputs'!$B$12-80^2)/(2*'Inputs'!$B$12^2)))*'Inputs'!$B$45</x:f>
        <x:v>514361.3365547005</x:v>
      </x:c>
      <x:c r="D449" s="78" t="n">
        <x:f>IF('Inputs'!$C$45&gt;0,('Inputs'!$B$30*(3*81*'Inputs'!$B$12-81^2)/(2*'Inputs'!$B$12^2))-('Inputs'!$B$30*(3*80*'Inputs'!$B$12-80^2)/(2*'Inputs'!$B$12^2)),0)</x:f>
        <x:v>293920.7637455426</x:v>
      </x:c>
      <x:c r="E449" s="78" t="n">
        <x:f>C449+D449</x:f>
        <x:v>808282.1003002431</x:v>
      </x:c>
      <x:c r="F449" s="78" t="n">
        <x:f>'Inputs'!$B$13*E449+(1-'Inputs'!$B$13)/'Inputs'!$B$14*SUM(E394:E449)</x:f>
        <x:v>816711.6837117656</x:v>
      </x:c>
      <x:c r="G449" s="78" t="n">
        <x:f>F449*'Inputs'!$F$45</x:f>
        <x:v>571698.1785982358</x:v>
      </x:c>
      <x:c r="H449" s="78" t="n">
        <x:f>U448</x:f>
        <x:v>471247828.6375478</x:v>
      </x:c>
      <x:c r="I449" s="78" t="n">
        <x:f>V448</x:f>
        <x:v>35.05060207843874</x:v>
      </x:c>
      <x:c r="J449" s="79" t="n">
        <x:f>IF(H449&gt;0,I449/H449,0)</x:f>
        <x:v>7.437827815520252e-8</x:v>
      </x:c>
      <x:c r="K449" s="80" t="n">
        <x:f>(H449*J449+I449)*'Inputs'!$D$45*(1+'Inputs'!$G$45)^(B449/30)</x:f>
        <x:v>35.05060207843874</x:v>
      </x:c>
      <x:c r="L449" s="80" t="n">
        <x:f>MAX(0,K449*'Inputs'!$E$45)</x:f>
        <x:v>0</x:v>
      </x:c>
      <x:c r="M449" s="80" t="n">
        <x:f>MAX(0,-K449*'Inputs'!$E$45)</x:f>
        <x:v>1.7525301039219372</x:v>
      </x:c>
      <x:c r="N449" s="78" t="n">
        <x:f>H449*(L449*(1-'Inputs'!$B$15))/(I449+L449*(1-'Inputs'!$B$15))</x:f>
        <x:v>0</x:v>
      </x:c>
      <x:c r="O449" s="78" t="n">
        <x:f>H449-N449</x:f>
        <x:v>471247828.6375478</x:v>
      </x:c>
      <x:c r="P449" s="78" t="n">
        <x:f>I449+L449*(1-'Inputs'!$B$17)</x:f>
        <x:v>35.05060207843874</x:v>
      </x:c>
      <x:c r="Q449" s="78" t="n">
        <x:f>IF(J449&gt;0,M449/J449,0)</x:f>
        <x:v>23562391.431877393</x:v>
      </x:c>
      <x:c r="R449" s="78" t="n">
        <x:f>IF(B449='Inputs'!$H$45,'Inputs'!$B$27*'Inputs'!$I$45,0)</x:f>
        <x:v>0</x:v>
      </x:c>
      <x:c r="S449" s="78" t="n">
        <x:f>Q449+G449+R449</x:f>
        <x:v>24134089.61047563</x:v>
      </x:c>
      <x:c r="T449" s="78" t="n">
        <x:f>P449*(S449*(1-'Inputs'!$B$15))/(O449+S449*(1-'Inputs'!$B$15))</x:f>
        <x:v>1.691348409024303</x:v>
      </x:c>
      <x:c r="U449" s="78" t="n">
        <x:f>O449+S449*(1-'Inputs'!$B$17)</x:f>
        <x:v>495284799.17514426</x:v>
      </x:c>
      <x:c r="V449" s="78" t="n">
        <x:f>P449-T449</x:f>
        <x:v>33.35925366941444</x:v>
      </x:c>
      <x:c r="W449" s="79" t="n">
        <x:f>IF(U449&gt;0,V449/U449,0)</x:f>
        <x:v>6.735367958994807e-8</x:v>
      </x:c>
      <x:c r="X449" s="80" t="n">
        <x:f>W449*('Inputs'!$B$6-AC449)</x:f>
        <x:v>66.0386038564872</x:v>
      </x:c>
      <x:c r="Y449" s="80" t="n">
        <x:f>2*V449</x:f>
        <x:v>66.71850733882889</x:v>
      </x:c>
      <x:c r="Z449" s="80" t="n">
        <x:f>K449*'Inputs'!$B$16+(G449+R449)*J449*'Inputs'!$B$16</x:f>
        <x:v>0.21055874402752406</x:v>
      </x:c>
      <x:c r="AA449" s="80" t="n">
        <x:f>K449*(1+'Inputs'!$E$45)/2*'Inputs'!$B$17</x:f>
        <x:v>0.06699813274550664</x:v>
      </x:c>
      <x:c r="AB449" s="78" t="n">
        <x:f>(IF(J449&gt;0,K449*(1-'Inputs'!$E$45)/2/J449,0)+G449+R449)*'Inputs'!$B$17</x:f>
        <x:v>997894.6004559795</x:v>
      </x:c>
      <x:c r="AC449" s="78" t="n">
        <x:f>AC448+AB449</x:f>
        <x:v>19524927.83567431</x:v>
      </x:c>
      <x:c r="AD449" s="80" t="n">
        <x:f>Z449/(1+'Inputs'!$C$45)</x:f>
        <x:v>0.14037249601834936</x:v>
      </x:c>
      <x:c r="AE449" s="80" t="n">
        <x:f>Z449-AD449</x:f>
        <x:v>0.0701862480091747</x:v>
      </x:c>
      <x:c r="AF449" s="80" t="n">
        <x:f>D449*W449</x:f>
        <x:v>0.0197966449461501</x:v>
      </x:c>
      <x:c r="AG449" s="80" t="n">
        <x:f>C449*W449</x:f>
        <x:v>0.03464412865576274</x:v>
      </x:c>
      <x:c r="AH449" s="80" t="n">
        <x:f>2*'Inputs'!$B$8*'Inputs'!$C$45</x:f>
        <x:v>2500</x:v>
      </x:c>
      <x:c r="AI449" s="81" t="n">
        <x:f>IF(AH449&gt;0,(AE449+AF449)/AH449*365,0)</x:f>
        <x:v>0.01313750237147742</x:v>
      </x:c>
      <x:c r="AJ449" s="81" t="n">
        <x:f>IF('Inputs'!$B$45&gt;0,AG449/('Inputs'!$B$19*'Inputs'!$B$45)*365,0)</x:f>
        <x:v>0.00168601426124712</x:v>
      </x:c>
      <x:c r="AK449" s="81" t="n">
        <x:f>W449/MAX($W$369:W449)-1</x:f>
        <x:v>-0.9999104139999503</x:v>
      </x:c>
      <x:c r="AL449" s="83" t="n">
        <x:f>'Inputs'!$B$45</x:f>
        <x:v>0.75</x:v>
      </x:c>
      <x:c r="AM449" s="83" t="n">
        <x:f>'Inputs'!$C$45</x:f>
        <x:v>0.5</x:v>
      </x:c>
      <x:c r="AN449" s="83" t="n">
        <x:f>'Inputs'!$D$45</x:f>
        <x:v>0.5</x:v>
      </x:c>
      <x:c r="AO449" s="81" t="n">
        <x:f>'Inputs'!$E$45</x:f>
        <x:v>-0.05</x:v>
      </x:c>
    </x:row>
    <x:row r="450">
      <x:c r="A450" s="59" t="str">
        <x:v>Weak demand</x:v>
      </x:c>
      <x:c r="B450" s="59" t="n">
        <x:v>82</x:v>
      </x:c>
      <x:c r="C450" s="78" t="n">
        <x:f>(('Inputs'!$B$29*(3*82*'Inputs'!$B$12-82^2)/(2*'Inputs'!$B$12^2))-('Inputs'!$B$29*(3*81*'Inputs'!$B$12-81^2)/(2*'Inputs'!$B$12^2)))*'Inputs'!$B$45</x:f>
        <x:v>514117.50562957115</x:v>
      </x:c>
      <x:c r="D450" s="78" t="n">
        <x:f>IF('Inputs'!$C$45&gt;0,('Inputs'!$B$30*(3*82*'Inputs'!$B$12-82^2)/(2*'Inputs'!$B$12^2))-('Inputs'!$B$30*(3*81*'Inputs'!$B$12-81^2)/(2*'Inputs'!$B$12^2)),0)</x:f>
        <x:v>293781.43178832904</x:v>
      </x:c>
      <x:c r="E450" s="78" t="n">
        <x:f>C450+D450</x:f>
        <x:v>807898.9374179002</x:v>
      </x:c>
      <x:c r="F450" s="78" t="n">
        <x:f>'Inputs'!$B$13*E450+(1-'Inputs'!$B$13)/'Inputs'!$B$14*SUM(E395:E450)</x:f>
        <x:v>816328.5208294237</x:v>
      </x:c>
      <x:c r="G450" s="78" t="n">
        <x:f>F450*'Inputs'!$F$45</x:f>
        <x:v>571429.9645805965</x:v>
      </x:c>
      <x:c r="H450" s="78" t="n">
        <x:f>U449</x:f>
        <x:v>495284799.17514426</x:v>
      </x:c>
      <x:c r="I450" s="78" t="n">
        <x:f>V449</x:f>
        <x:v>33.35925366941444</x:v>
      </x:c>
      <x:c r="J450" s="79" t="n">
        <x:f>IF(H450&gt;0,I450/H450,0)</x:f>
        <x:v>6.735367958994807e-8</x:v>
      </x:c>
      <x:c r="K450" s="80" t="n">
        <x:f>(H450*J450+I450)*'Inputs'!$D$45*(1+'Inputs'!$G$45)^(B450/30)</x:f>
        <x:v>33.35925366941444</x:v>
      </x:c>
      <x:c r="L450" s="80" t="n">
        <x:f>MAX(0,K450*'Inputs'!$E$45)</x:f>
        <x:v>0</x:v>
      </x:c>
      <x:c r="M450" s="80" t="n">
        <x:f>MAX(0,-K450*'Inputs'!$E$45)</x:f>
        <x:v>1.6679626834707222</x:v>
      </x:c>
      <x:c r="N450" s="78" t="n">
        <x:f>H450*(L450*(1-'Inputs'!$B$15))/(I450+L450*(1-'Inputs'!$B$15))</x:f>
        <x:v>0</x:v>
      </x:c>
      <x:c r="O450" s="78" t="n">
        <x:f>H450-N450</x:f>
        <x:v>495284799.17514426</x:v>
      </x:c>
      <x:c r="P450" s="78" t="n">
        <x:f>I450+L450*(1-'Inputs'!$B$17)</x:f>
        <x:v>33.35925366941444</x:v>
      </x:c>
      <x:c r="Q450" s="78" t="n">
        <x:f>IF(J450&gt;0,M450/J450,0)</x:f>
        <x:v>24764239.958757214</x:v>
      </x:c>
      <x:c r="R450" s="78" t="n">
        <x:f>IF(B450='Inputs'!$H$45,'Inputs'!$B$27*'Inputs'!$I$45,0)</x:f>
        <x:v>0</x:v>
      </x:c>
      <x:c r="S450" s="78" t="n">
        <x:f>Q450+G450+R450</x:f>
        <x:v>25335669.92333781</x:v>
      </x:c>
      <x:c r="T450" s="78" t="n">
        <x:f>P450*(S450*(1-'Inputs'!$B$15))/(O450+S450*(1-'Inputs'!$B$15))</x:f>
        <x:v>1.6079556711428642</x:v>
      </x:c>
      <x:c r="U450" s="78" t="n">
        <x:f>O450+S450*(1-'Inputs'!$B$17)</x:f>
        <x:v>520518514.69235194</x:v>
      </x:c>
      <x:c r="V450" s="78" t="n">
        <x:f>P450-T450</x:f>
        <x:v>31.75129799827158</x:v>
      </x:c>
      <x:c r="W450" s="79" t="n">
        <x:f>IF(U450&gt;0,V450/U450,0)</x:f>
        <x:v>6.09993633310775e-8</x:v>
      </x:c>
      <x:c r="X450" s="80" t="n">
        <x:f>W450*('Inputs'!$B$6-AC450)</x:f>
        <x:v>59.74438660462748</x:v>
      </x:c>
      <x:c r="Y450" s="80" t="n">
        <x:f>2*V450</x:f>
        <x:v>63.50259599654316</x:v>
      </x:c>
      <x:c r="Z450" s="80" t="n">
        <x:f>K450*'Inputs'!$B$16+(G450+R450)*J450*'Inputs'!$B$16</x:f>
        <x:v>0.2003864494809414</x:v>
      </x:c>
      <x:c r="AA450" s="80" t="n">
        <x:f>K450*(1+'Inputs'!$E$45)/2*'Inputs'!$B$17</x:f>
        <x:v>0.06376517300994713</x:v>
      </x:c>
      <x:c r="AB450" s="78" t="n">
        <x:f>(IF(J450&gt;0,K450*(1-'Inputs'!$E$45)/2/J450,0)+G450+R450)*'Inputs'!$B$17</x:f>
        <x:v>1048675.8532455992</x:v>
      </x:c>
      <x:c r="AC450" s="78" t="n">
        <x:f>AC449+AB450</x:f>
        <x:v>20573603.68891991</x:v>
      </x:c>
      <x:c r="AD450" s="80" t="n">
        <x:f>Z450/(1+'Inputs'!$C$45)</x:f>
        <x:v>0.13359096632062759</x:v>
      </x:c>
      <x:c r="AE450" s="80" t="n">
        <x:f>Z450-AD450</x:f>
        <x:v>0.0667954831603138</x:v>
      </x:c>
      <x:c r="AF450" s="80" t="n">
        <x:f>D450*W450</x:f>
        <x:v>0.017920480297580445</x:v>
      </x:c>
      <x:c r="AG450" s="80" t="n">
        <x:f>C450*W450</x:f>
        <x:v>0.031360840520765494</x:v>
      </x:c>
      <x:c r="AH450" s="80" t="n">
        <x:f>2*'Inputs'!$B$8*'Inputs'!$C$45</x:f>
        <x:v>2500</x:v>
      </x:c>
      <x:c r="AI450" s="81" t="n">
        <x:f>IF(AH450&gt;0,(AE450+AF450)/AH450*365,0)</x:f>
        <x:v>0.012368530664852563</x:v>
      </x:c>
      <x:c r="AJ450" s="81" t="n">
        <x:f>IF('Inputs'!$B$45&gt;0,AG450/('Inputs'!$B$19*'Inputs'!$B$45)*365,0)</x:f>
        <x:v>0.0015262275720105876</x:v>
      </x:c>
      <x:c r="AK450" s="81" t="n">
        <x:f>W450/MAX($W$369:W450)-1</x:f>
        <x:v>-0.9999188657694772</x:v>
      </x:c>
      <x:c r="AL450" s="83" t="n">
        <x:f>'Inputs'!$B$45</x:f>
        <x:v>0.75</x:v>
      </x:c>
      <x:c r="AM450" s="83" t="n">
        <x:f>'Inputs'!$C$45</x:f>
        <x:v>0.5</x:v>
      </x:c>
      <x:c r="AN450" s="83" t="n">
        <x:f>'Inputs'!$D$45</x:f>
        <x:v>0.5</x:v>
      </x:c>
      <x:c r="AO450" s="81" t="n">
        <x:f>'Inputs'!$E$45</x:f>
        <x:v>-0.05</x:v>
      </x:c>
    </x:row>
    <x:row r="451">
      <x:c r="A451" s="59" t="str">
        <x:v>Weak demand</x:v>
      </x:c>
      <x:c r="B451" s="59" t="n">
        <x:v>83</x:v>
      </x:c>
      <x:c r="C451" s="78" t="n">
        <x:f>(('Inputs'!$B$29*(3*83*'Inputs'!$B$12-83^2)/(2*'Inputs'!$B$12^2))-('Inputs'!$B$29*(3*82*'Inputs'!$B$12-82^2)/(2*'Inputs'!$B$12^2)))*'Inputs'!$B$45</x:f>
        <x:v>513873.6747044474</x:v>
      </x:c>
      <x:c r="D451" s="78" t="n">
        <x:f>IF('Inputs'!$C$45&gt;0,('Inputs'!$B$30*(3*83*'Inputs'!$B$12-83^2)/(2*'Inputs'!$B$12^2))-('Inputs'!$B$30*(3*82*'Inputs'!$B$12-82^2)/(2*'Inputs'!$B$12^2)),0)</x:f>
        <x:v>293642.09983111173</x:v>
      </x:c>
      <x:c r="E451" s="78" t="n">
        <x:f>C451+D451</x:f>
        <x:v>807515.7745355591</x:v>
      </x:c>
      <x:c r="F451" s="78" t="n">
        <x:f>'Inputs'!$B$13*E451+(1-'Inputs'!$B$13)/'Inputs'!$B$14*SUM(E396:E451)</x:f>
        <x:v>815945.3579470818</x:v>
      </x:c>
      <x:c r="G451" s="78" t="n">
        <x:f>F451*'Inputs'!$F$45</x:f>
        <x:v>571161.7505629573</x:v>
      </x:c>
      <x:c r="H451" s="78" t="n">
        <x:f>U450</x:f>
        <x:v>520518514.69235194</x:v>
      </x:c>
      <x:c r="I451" s="78" t="n">
        <x:f>V450</x:f>
        <x:v>31.75129799827158</x:v>
      </x:c>
      <x:c r="J451" s="79" t="n">
        <x:f>IF(H451&gt;0,I451/H451,0)</x:f>
        <x:v>6.09993633310775e-8</x:v>
      </x:c>
      <x:c r="K451" s="80" t="n">
        <x:f>(H451*J451+I451)*'Inputs'!$D$45*(1+'Inputs'!$G$45)^(B451/30)</x:f>
        <x:v>31.75129799827158</x:v>
      </x:c>
      <x:c r="L451" s="80" t="n">
        <x:f>MAX(0,K451*'Inputs'!$E$45)</x:f>
        <x:v>0</x:v>
      </x:c>
      <x:c r="M451" s="80" t="n">
        <x:f>MAX(0,-K451*'Inputs'!$E$45)</x:f>
        <x:v>1.587564899913579</x:v>
      </x:c>
      <x:c r="N451" s="78" t="n">
        <x:f>H451*(L451*(1-'Inputs'!$B$15))/(I451+L451*(1-'Inputs'!$B$15))</x:f>
        <x:v>0</x:v>
      </x:c>
      <x:c r="O451" s="78" t="n">
        <x:f>H451-N451</x:f>
        <x:v>520518514.69235194</x:v>
      </x:c>
      <x:c r="P451" s="78" t="n">
        <x:f>I451+L451*(1-'Inputs'!$B$17)</x:f>
        <x:v>31.75129799827158</x:v>
      </x:c>
      <x:c r="Q451" s="78" t="n">
        <x:f>IF(J451&gt;0,M451/J451,0)</x:f>
        <x:v>26025925.7346176</x:v>
      </x:c>
      <x:c r="R451" s="78" t="n">
        <x:f>IF(B451='Inputs'!$H$45,'Inputs'!$B$27*'Inputs'!$I$45,0)</x:f>
        <x:v>0</x:v>
      </x:c>
      <x:c r="S451" s="78" t="n">
        <x:f>Q451+G451+R451</x:f>
        <x:v>26597087.485180557</x:v>
      </x:c>
      <x:c r="T451" s="78" t="n">
        <x:f>P451*(S451*(1-'Inputs'!$B$15))/(O451+S451*(1-'Inputs'!$B$15))</x:f>
        <x:v>1.5288428157667269</x:v>
      </x:c>
      <x:c r="U451" s="78" t="n">
        <x:f>O451+S451*(1-'Inputs'!$B$17)</x:f>
        <x:v>547008571.644393</x:v>
      </x:c>
      <x:c r="V451" s="78" t="n">
        <x:f>P451-T451</x:f>
        <x:v>30.222455182504852</x:v>
      </x:c>
      <x:c r="W451" s="79" t="n">
        <x:f>IF(U451&gt;0,V451/U451,0)</x:f>
        <x:v>5.525042339218094e-8</x:v>
      </x:c>
      <x:c r="X451" s="80" t="n">
        <x:f>W451*('Inputs'!$B$6-AC451)</x:f>
        <x:v>54.052837915505584</x:v>
      </x:c>
      <x:c r="Y451" s="80" t="n">
        <x:f>2*V451</x:f>
        <x:v>60.444910365009704</x:v>
      </x:c>
      <x:c r="Z451" s="80" t="n">
        <x:f>K451*'Inputs'!$B$16+(G451+R451)*J451*'Inputs'!$B$16</x:f>
        <x:v>0.1907168310084899</x:v>
      </x:c>
      <x:c r="AA451" s="80" t="n">
        <x:f>K451*(1+'Inputs'!$E$45)/2*'Inputs'!$B$17</x:f>
        <x:v>0.06069161589206841</x:v>
      </x:c>
      <x:c r="AB451" s="78" t="n">
        <x:f>(IF(J451&gt;0,K451*(1-'Inputs'!$E$45)/2/J451,0)+G451+R451)*'Inputs'!$B$17</x:f>
        <x:v>1101985.440499186</x:v>
      </x:c>
      <x:c r="AC451" s="78" t="n">
        <x:f>AC450+AB451</x:f>
        <x:v>21675589.129419096</x:v>
      </x:c>
      <x:c r="AD451" s="80" t="n">
        <x:f>Z451/(1+'Inputs'!$C$45)</x:f>
        <x:v>0.12714455400565994</x:v>
      </x:c>
      <x:c r="AE451" s="80" t="n">
        <x:f>Z451-AD451</x:f>
        <x:v>0.06357227700282997</x:v>
      </x:c>
      <x:c r="AF451" s="80" t="n">
        <x:f>D451*W451</x:f>
        <x:v>0.016223850341437987</x:v>
      </x:c>
      <x:c r="AG451" s="80" t="n">
        <x:f>C451*W451</x:f>
        <x:v>0.028391738097516578</x:v>
      </x:c>
      <x:c r="AH451" s="80" t="n">
        <x:f>2*'Inputs'!$B$8*'Inputs'!$C$45</x:f>
        <x:v>2500</x:v>
      </x:c>
      <x:c r="AI451" s="81" t="n">
        <x:f>IF(AH451&gt;0,(AE451+AF451)/AH451*365,0)</x:f>
        <x:v>0.011650234592263121</x:v>
      </x:c>
      <x:c r="AJ451" s="81" t="n">
        <x:f>IF('Inputs'!$B$45&gt;0,AG451/('Inputs'!$B$19*'Inputs'!$B$45)*365,0)</x:f>
        <x:v>0.00138173125407914</x:v>
      </x:c>
      <x:c r="AK451" s="81" t="n">
        <x:f>W451/MAX($W$369:W451)-1</x:f>
        <x:v>-0.9999265123381099</x:v>
      </x:c>
      <x:c r="AL451" s="83" t="n">
        <x:f>'Inputs'!$B$45</x:f>
        <x:v>0.75</x:v>
      </x:c>
      <x:c r="AM451" s="83" t="n">
        <x:f>'Inputs'!$C$45</x:f>
        <x:v>0.5</x:v>
      </x:c>
      <x:c r="AN451" s="83" t="n">
        <x:f>'Inputs'!$D$45</x:f>
        <x:v>0.5</x:v>
      </x:c>
      <x:c r="AO451" s="81" t="n">
        <x:f>'Inputs'!$E$45</x:f>
        <x:v>-0.05</x:v>
      </x:c>
    </x:row>
    <x:row r="452">
      <x:c r="A452" s="59" t="str">
        <x:v>Weak demand</x:v>
      </x:c>
      <x:c r="B452" s="59" t="n">
        <x:v>84</x:v>
      </x:c>
      <x:c r="C452" s="78" t="n">
        <x:f>(('Inputs'!$B$29*(3*84*'Inputs'!$B$12-84^2)/(2*'Inputs'!$B$12^2))-('Inputs'!$B$29*(3*83*'Inputs'!$B$12-83^2)/(2*'Inputs'!$B$12^2)))*'Inputs'!$B$45</x:f>
        <x:v>513629.8437793236</x:v>
      </x:c>
      <x:c r="D452" s="78" t="n">
        <x:f>IF('Inputs'!$C$45&gt;0,('Inputs'!$B$30*(3*84*'Inputs'!$B$12-84^2)/(2*'Inputs'!$B$12^2))-('Inputs'!$B$30*(3*83*'Inputs'!$B$12-83^2)/(2*'Inputs'!$B$12^2)),0)</x:f>
        <x:v>293502.76787389815</x:v>
      </x:c>
      <x:c r="E452" s="78" t="n">
        <x:f>C452+D452</x:f>
        <x:v>807132.6116532218</x:v>
      </x:c>
      <x:c r="F452" s="78" t="n">
        <x:f>'Inputs'!$B$13*E452+(1-'Inputs'!$B$13)/'Inputs'!$B$14*SUM(E397:E452)</x:f>
        <x:v>815562.195064741</x:v>
      </x:c>
      <x:c r="G452" s="78" t="n">
        <x:f>F452*'Inputs'!$F$45</x:f>
        <x:v>570893.5365453187</x:v>
      </x:c>
      <x:c r="H452" s="78" t="n">
        <x:f>U451</x:f>
        <x:v>547008571.644393</x:v>
      </x:c>
      <x:c r="I452" s="78" t="n">
        <x:f>V451</x:f>
        <x:v>30.222455182504852</x:v>
      </x:c>
      <x:c r="J452" s="79" t="n">
        <x:f>IF(H452&gt;0,I452/H452,0)</x:f>
        <x:v>5.525042339218094e-8</x:v>
      </x:c>
      <x:c r="K452" s="80" t="n">
        <x:f>(H452*J452+I452)*'Inputs'!$D$45*(1+'Inputs'!$G$45)^(B452/30)</x:f>
        <x:v>30.222455182504852</x:v>
      </x:c>
      <x:c r="L452" s="80" t="n">
        <x:f>MAX(0,K452*'Inputs'!$E$45)</x:f>
        <x:v>0</x:v>
      </x:c>
      <x:c r="M452" s="80" t="n">
        <x:f>MAX(0,-K452*'Inputs'!$E$45)</x:f>
        <x:v>1.5111227591252427</x:v>
      </x:c>
      <x:c r="N452" s="78" t="n">
        <x:f>H452*(L452*(1-'Inputs'!$B$15))/(I452+L452*(1-'Inputs'!$B$15))</x:f>
        <x:v>0</x:v>
      </x:c>
      <x:c r="O452" s="78" t="n">
        <x:f>H452-N452</x:f>
        <x:v>547008571.644393</x:v>
      </x:c>
      <x:c r="P452" s="78" t="n">
        <x:f>I452+L452*(1-'Inputs'!$B$17)</x:f>
        <x:v>30.222455182504852</x:v>
      </x:c>
      <x:c r="Q452" s="78" t="n">
        <x:f>IF(J452&gt;0,M452/J452,0)</x:f>
        <x:v>27350428.58221965</x:v>
      </x:c>
      <x:c r="R452" s="78" t="n">
        <x:f>IF(B452='Inputs'!$H$45,'Inputs'!$B$27*'Inputs'!$I$45,0)</x:f>
        <x:v>0</x:v>
      </x:c>
      <x:c r="S452" s="78" t="n">
        <x:f>Q452+G452+R452</x:f>
        <x:v>27921322.118764967</x:v>
      </x:c>
      <x:c r="T452" s="78" t="n">
        <x:f>P452*(S452*(1-'Inputs'!$B$15))/(O452+S452*(1-'Inputs'!$B$15))</x:f>
        <x:v>1.453774311237301</x:v>
      </x:c>
      <x:c r="U452" s="78" t="n">
        <x:f>O452+S452*(1-'Inputs'!$B$17)</x:f>
        <x:v>574817534.318012</x:v>
      </x:c>
      <x:c r="V452" s="78" t="n">
        <x:f>P452-T452</x:f>
        <x:v>28.768680871267552</x:v>
      </x:c>
      <x:c r="W452" s="79" t="n">
        <x:f>IF(U452&gt;0,V452/U452,0)</x:f>
        <x:v>5.0048370402270245e-8</x:v>
      </x:c>
      <x:c r="X452" s="80" t="n">
        <x:f>W452*('Inputs'!$B$6-AC452)</x:f>
        <x:v>48.90558901485061</x:v>
      </x:c>
      <x:c r="Y452" s="80" t="n">
        <x:f>2*V452</x:f>
        <x:v>57.537361742535104</x:v>
      </x:c>
      <x:c r="Z452" s="80" t="n">
        <x:f>K452*'Inputs'!$B$16+(G452+R452)*J452*'Inputs'!$B$16</x:f>
        <x:v>0.18152398375266504</x:v>
      </x:c>
      <x:c r="AA452" s="80" t="n">
        <x:f>K452*(1+'Inputs'!$E$45)/2*'Inputs'!$B$17</x:f>
        <x:v>0.057769280529938856</x:v>
      </x:c>
      <x:c r="AB452" s="78" t="n">
        <x:f>(IF(J452&gt;0,K452*(1-'Inputs'!$E$45)/2/J452,0)+G452+R452)*'Inputs'!$B$17</x:f>
        <x:v>1157949.270220731</x:v>
      </x:c>
      <x:c r="AC452" s="78" t="n">
        <x:f>AC451+AB452</x:f>
        <x:v>22833538.399639826</x:v>
      </x:c>
      <x:c r="AD452" s="80" t="n">
        <x:f>Z452/(1+'Inputs'!$C$45)</x:f>
        <x:v>0.12101598916844336</x:v>
      </x:c>
      <x:c r="AE452" s="80" t="n">
        <x:f>Z452-AD452</x:f>
        <x:v>0.06050799458422168</x:v>
      </x:c>
      <x:c r="AF452" s="80" t="n">
        <x:f>D452*W452</x:f>
        <x:v>0.014689335240644398</x:v>
      </x:c>
      <x:c r="AG452" s="80" t="n">
        <x:f>C452*W452</x:f>
        <x:v>0.02570633667112779</x:v>
      </x:c>
      <x:c r="AH452" s="80" t="n">
        <x:f>2*'Inputs'!$B$8*'Inputs'!$C$45</x:f>
        <x:v>2500</x:v>
      </x:c>
      <x:c r="AI452" s="81" t="n">
        <x:f>IF(AH452&gt;0,(AE452+AF452)/AH452*365,0)</x:f>
        <x:v>0.010978810154430446</x:v>
      </x:c>
      <x:c r="AJ452" s="81" t="n">
        <x:f>IF('Inputs'!$B$45&gt;0,AG452/('Inputs'!$B$19*'Inputs'!$B$45)*365,0)</x:f>
        <x:v>0.0012510417179948858</x:v>
      </x:c>
      <x:c r="AK452" s="81" t="n">
        <x:f>W452/MAX($W$369:W452)-1</x:f>
        <x:v>-0.9999334315015803</x:v>
      </x:c>
      <x:c r="AL452" s="83" t="n">
        <x:f>'Inputs'!$B$45</x:f>
        <x:v>0.75</x:v>
      </x:c>
      <x:c r="AM452" s="83" t="n">
        <x:f>'Inputs'!$C$45</x:f>
        <x:v>0.5</x:v>
      </x:c>
      <x:c r="AN452" s="83" t="n">
        <x:f>'Inputs'!$D$45</x:f>
        <x:v>0.5</x:v>
      </x:c>
      <x:c r="AO452" s="81" t="n">
        <x:f>'Inputs'!$E$45</x:f>
        <x:v>-0.05</x:v>
      </x:c>
    </x:row>
    <x:row r="453">
      <x:c r="A453" s="59" t="str">
        <x:v>Weak demand</x:v>
      </x:c>
      <x:c r="B453" s="59" t="n">
        <x:v>85</x:v>
      </x:c>
      <x:c r="C453" s="78" t="n">
        <x:f>(('Inputs'!$B$29*(3*85*'Inputs'!$B$12-85^2)/(2*'Inputs'!$B$12^2))-('Inputs'!$B$29*(3*84*'Inputs'!$B$12-84^2)/(2*'Inputs'!$B$12^2)))*'Inputs'!$B$45</x:f>
        <x:v>513386.01285419427</x:v>
      </x:c>
      <x:c r="D453" s="78" t="n">
        <x:f>IF('Inputs'!$C$45&gt;0,('Inputs'!$B$30*(3*85*'Inputs'!$B$12-85^2)/(2*'Inputs'!$B$12^2))-('Inputs'!$B$30*(3*84*'Inputs'!$B$12-84^2)/(2*'Inputs'!$B$12^2)),0)</x:f>
        <x:v>293363.43591668084</x:v>
      </x:c>
      <x:c r="E453" s="78" t="n">
        <x:f>C453+D453</x:f>
        <x:v>806749.4487708751</x:v>
      </x:c>
      <x:c r="F453" s="78" t="n">
        <x:f>'Inputs'!$B$13*E453+(1-'Inputs'!$B$13)/'Inputs'!$B$14*SUM(E398:E453)</x:f>
        <x:v>815179.032182398</x:v>
      </x:c>
      <x:c r="G453" s="78" t="n">
        <x:f>F453*'Inputs'!$F$45</x:f>
        <x:v>570625.3225276786</x:v>
      </x:c>
      <x:c r="H453" s="78" t="n">
        <x:f>U452</x:f>
        <x:v>574817534.318012</x:v>
      </x:c>
      <x:c r="I453" s="78" t="n">
        <x:f>V452</x:f>
        <x:v>28.768680871267552</x:v>
      </x:c>
      <x:c r="J453" s="79" t="n">
        <x:f>IF(H453&gt;0,I453/H453,0)</x:f>
        <x:v>5.0048370402270245e-8</x:v>
      </x:c>
      <x:c r="K453" s="80" t="n">
        <x:f>(H453*J453+I453)*'Inputs'!$D$45*(1+'Inputs'!$G$45)^(B453/30)</x:f>
        <x:v>28.768680871267552</x:v>
      </x:c>
      <x:c r="L453" s="80" t="n">
        <x:f>MAX(0,K453*'Inputs'!$E$45)</x:f>
        <x:v>0</x:v>
      </x:c>
      <x:c r="M453" s="80" t="n">
        <x:f>MAX(0,-K453*'Inputs'!$E$45)</x:f>
        <x:v>1.4384340435633778</x:v>
      </x:c>
      <x:c r="N453" s="78" t="n">
        <x:f>H453*(L453*(1-'Inputs'!$B$15))/(I453+L453*(1-'Inputs'!$B$15))</x:f>
        <x:v>0</x:v>
      </x:c>
      <x:c r="O453" s="78" t="n">
        <x:f>H453-N453</x:f>
        <x:v>574817534.318012</x:v>
      </x:c>
      <x:c r="P453" s="78" t="n">
        <x:f>I453+L453*(1-'Inputs'!$B$17)</x:f>
        <x:v>28.768680871267552</x:v>
      </x:c>
      <x:c r="Q453" s="78" t="n">
        <x:f>IF(J453&gt;0,M453/J453,0)</x:f>
        <x:v>28740876.715900604</x:v>
      </x:c>
      <x:c r="R453" s="78" t="n">
        <x:f>IF(B453='Inputs'!$H$45,'Inputs'!$B$27*'Inputs'!$I$45,0)</x:f>
        <x:v>0</x:v>
      </x:c>
      <x:c r="S453" s="78" t="n">
        <x:f>Q453+G453+R453</x:f>
        <x:v>29311502.03842828</x:v>
      </x:c>
      <x:c r="T453" s="78" t="n">
        <x:f>P453*(S453*(1-'Inputs'!$B$15))/(O453+S453*(1-'Inputs'!$B$15))</x:f>
        <x:v>1.3825290712647647</x:v>
      </x:c>
      <x:c r="U453" s="78" t="n">
        <x:f>O453+S453*(1-'Inputs'!$B$17)</x:f>
        <x:v>604011082.6259034</x:v>
      </x:c>
      <x:c r="V453" s="78" t="n">
        <x:f>P453-T453</x:f>
        <x:v>27.386151800002786</x:v>
      </x:c>
      <x:c r="W453" s="79" t="n">
        <x:f>IF(U453&gt;0,V453/U453,0)</x:f>
        <x:v>4.5340478987476636e-8</x:v>
      </x:c>
      <x:c r="X453" s="80" t="n">
        <x:f>W453*('Inputs'!$B$6-AC453)</x:f>
        <x:v>44.250029680415594</x:v>
      </x:c>
      <x:c r="Y453" s="80" t="n">
        <x:f>2*V453</x:f>
        <x:v>54.77230360000557</x:v>
      </x:c>
      <x:c r="Z453" s="80" t="n">
        <x:f>K453*'Inputs'!$B$16+(G453+R453)*J453*'Inputs'!$B$16</x:f>
        <x:v>0.172783438432622</x:v>
      </x:c>
      <x:c r="AA453" s="80" t="n">
        <x:f>K453*(1+'Inputs'!$E$45)/2*'Inputs'!$B$17</x:f>
        <x:v>0.05499043627304663</x:v>
      </x:c>
      <x:c r="AB453" s="78" t="n">
        <x:f>(IF(J453&gt;0,K453*(1-'Inputs'!$E$45)/2/J453,0)+G453+R453)*'Inputs'!$B$17</x:f>
        <x:v>1216699.5204808211</x:v>
      </x:c>
      <x:c r="AC453" s="78" t="n">
        <x:f>AC452+AB453</x:f>
        <x:v>24050237.92012065</x:v>
      </x:c>
      <x:c r="AD453" s="80" t="n">
        <x:f>Z453/(1+'Inputs'!$C$45)</x:f>
        <x:v>0.11518895895508134</x:v>
      </x:c>
      <x:c r="AE453" s="80" t="n">
        <x:f>Z453-AD453</x:f>
        <x:v>0.057594479477540664</x:v>
      </x:c>
      <x:c r="AF453" s="80" t="n">
        <x:f>D453*W453</x:f>
        <x:v>0.013301238701874217</x:v>
      </x:c>
      <x:c r="AG453" s="80" t="n">
        <x:f>C453*W453</x:f>
        <x:v>0.023277167728280004</x:v>
      </x:c>
      <x:c r="AH453" s="80" t="n">
        <x:f>2*'Inputs'!$B$8*'Inputs'!$C$45</x:f>
        <x:v>2500</x:v>
      </x:c>
      <x:c r="AI453" s="81" t="n">
        <x:f>IF(AH453&gt;0,(AE453+AF453)/AH453*365,0)</x:f>
        <x:v>0.010350774854194573</x:v>
      </x:c>
      <x:c r="AJ453" s="81" t="n">
        <x:f>IF('Inputs'!$B$45&gt;0,AG453/('Inputs'!$B$19*'Inputs'!$B$45)*365,0)</x:f>
        <x:v>0.0011328221627762934</x:v>
      </x:c>
      <x:c r="AK453" s="81" t="n">
        <x:f>W453/MAX($W$369:W453)-1</x:f>
        <x:v>-0.9999396933890241</x:v>
      </x:c>
      <x:c r="AL453" s="83" t="n">
        <x:f>'Inputs'!$B$45</x:f>
        <x:v>0.75</x:v>
      </x:c>
      <x:c r="AM453" s="83" t="n">
        <x:f>'Inputs'!$C$45</x:f>
        <x:v>0.5</x:v>
      </x:c>
      <x:c r="AN453" s="83" t="n">
        <x:f>'Inputs'!$D$45</x:f>
        <x:v>0.5</x:v>
      </x:c>
      <x:c r="AO453" s="81" t="n">
        <x:f>'Inputs'!$E$45</x:f>
        <x:v>-0.05</x:v>
      </x:c>
    </x:row>
    <x:row r="454">
      <x:c r="A454" s="59" t="str">
        <x:v>Weak demand</x:v>
      </x:c>
      <x:c r="B454" s="59" t="n">
        <x:v>86</x:v>
      </x:c>
      <x:c r="C454" s="78" t="n">
        <x:f>(('Inputs'!$B$29*(3*86*'Inputs'!$B$12-86^2)/(2*'Inputs'!$B$12^2))-('Inputs'!$B$29*(3*85*'Inputs'!$B$12-85^2)/(2*'Inputs'!$B$12^2)))*'Inputs'!$B$45</x:f>
        <x:v>513142.1819290649</x:v>
      </x:c>
      <x:c r="D454" s="78" t="n">
        <x:f>IF('Inputs'!$C$45&gt;0,('Inputs'!$B$30*(3*86*'Inputs'!$B$12-86^2)/(2*'Inputs'!$B$12^2))-('Inputs'!$B$30*(3*85*'Inputs'!$B$12-85^2)/(2*'Inputs'!$B$12^2)),0)</x:f>
        <x:v>293224.10395946726</x:v>
      </x:c>
      <x:c r="E454" s="78" t="n">
        <x:f>C454+D454</x:f>
        <x:v>806366.2858885322</x:v>
      </x:c>
      <x:c r="F454" s="78" t="n">
        <x:f>'Inputs'!$B$13*E454+(1-'Inputs'!$B$13)/'Inputs'!$B$14*SUM(E399:E454)</x:f>
        <x:v>814795.8693000558</x:v>
      </x:c>
      <x:c r="G454" s="78" t="n">
        <x:f>F454*'Inputs'!$F$45</x:f>
        <x:v>570357.108510039</x:v>
      </x:c>
      <x:c r="H454" s="78" t="n">
        <x:f>U453</x:f>
        <x:v>604011082.6259034</x:v>
      </x:c>
      <x:c r="I454" s="78" t="n">
        <x:f>V453</x:f>
        <x:v>27.386151800002786</x:v>
      </x:c>
      <x:c r="J454" s="79" t="n">
        <x:f>IF(H454&gt;0,I454/H454,0)</x:f>
        <x:v>4.5340478987476636e-8</x:v>
      </x:c>
      <x:c r="K454" s="80" t="n">
        <x:f>(H454*J454+I454)*'Inputs'!$D$45*(1+'Inputs'!$G$45)^(B454/30)</x:f>
        <x:v>27.386151800002786</x:v>
      </x:c>
      <x:c r="L454" s="80" t="n">
        <x:f>MAX(0,K454*'Inputs'!$E$45)</x:f>
        <x:v>0</x:v>
      </x:c>
      <x:c r="M454" s="80" t="n">
        <x:f>MAX(0,-K454*'Inputs'!$E$45)</x:f>
        <x:v>1.3693075900001395</x:v>
      </x:c>
      <x:c r="N454" s="78" t="n">
        <x:f>H454*(L454*(1-'Inputs'!$B$15))/(I454+L454*(1-'Inputs'!$B$15))</x:f>
        <x:v>0</x:v>
      </x:c>
      <x:c r="O454" s="78" t="n">
        <x:f>H454-N454</x:f>
        <x:v>604011082.6259034</x:v>
      </x:c>
      <x:c r="P454" s="78" t="n">
        <x:f>I454+L454*(1-'Inputs'!$B$17)</x:f>
        <x:v>27.386151800002786</x:v>
      </x:c>
      <x:c r="Q454" s="78" t="n">
        <x:f>IF(J454&gt;0,M454/J454,0)</x:f>
        <x:v>30200554.13129517</x:v>
      </x:c>
      <x:c r="R454" s="78" t="n">
        <x:f>IF(B454='Inputs'!$H$45,'Inputs'!$B$27*'Inputs'!$I$45,0)</x:f>
        <x:v>0</x:v>
      </x:c>
      <x:c r="S454" s="78" t="n">
        <x:f>Q454+G454+R454</x:f>
        <x:v>30770911.23980521</x:v>
      </x:c>
      <x:c r="T454" s="78" t="n">
        <x:f>P454*(S454*(1-'Inputs'!$B$15))/(O454+S454*(1-'Inputs'!$B$15))</x:f>
        <x:v>1.3148994337882616</x:v>
      </x:c>
      <x:c r="U454" s="78" t="n">
        <x:f>O454+S454*(1-'Inputs'!$B$17)</x:f>
        <x:v>634658167.2611219</x:v>
      </x:c>
      <x:c r="V454" s="78" t="n">
        <x:f>P454-T454</x:f>
        <x:v>26.071252366214523</x:v>
      </x:c>
      <x:c r="W454" s="79" t="n">
        <x:f>IF(U454&gt;0,V454/U454,0)</x:f>
        <x:v>4.107920406779835e-8</x:v>
      </x:c>
      <x:c r="X454" s="80" t="n">
        <x:f>W454*('Inputs'!$B$6-AC454)</x:f>
        <x:v>40.038724810884275</x:v>
      </x:c>
      <x:c r="Y454" s="80" t="n">
        <x:f>2*V454</x:f>
        <x:v>52.142504732429046</x:v>
      </x:c>
      <x:c r="Z454" s="80" t="n">
        <x:f>K454*'Inputs'!$B$16+(G454+R454)*J454*'Inputs'!$B$16</x:f>
        <x:v>0.16447207238697928</x:v>
      </x:c>
      <x:c r="AA454" s="80" t="n">
        <x:f>K454*(1+'Inputs'!$E$45)/2*'Inputs'!$B$17</x:f>
        <x:v>0.052347775070427864</x:v>
      </x:c>
      <x:c r="AB454" s="78" t="n">
        <x:f>(IF(J454&gt;0,K454*(1-'Inputs'!$E$45)/2/J454,0)+G454+R454)*'Inputs'!$B$17</x:f>
        <x:v>1278374.9516583877</x:v>
      </x:c>
      <x:c r="AC454" s="78" t="n">
        <x:f>AC453+AB454</x:f>
        <x:v>25328612.871779036</x:v>
      </x:c>
      <x:c r="AD454" s="80" t="n">
        <x:f>Z454/(1+'Inputs'!$C$45)</x:f>
        <x:v>0.10964804825798619</x:v>
      </x:c>
      <x:c r="AE454" s="80" t="n">
        <x:f>Z454-AD454</x:f>
        <x:v>0.05482402412899309</x:v>
      </x:c>
      <x:c r="AF454" s="80" t="n">
        <x:f>D454*W454</x:f>
        <x:v>0.012045412804148274</x:v>
      </x:c>
      <x:c r="AG454" s="80" t="n">
        <x:f>C454*W454</x:f>
        <x:v>0.021079472407259364</x:v>
      </x:c>
      <x:c r="AH454" s="80" t="n">
        <x:f>2*'Inputs'!$B$8*'Inputs'!$C$45</x:f>
        <x:v>2500</x:v>
      </x:c>
      <x:c r="AI454" s="81" t="n">
        <x:f>IF(AH454&gt;0,(AE454+AF454)/AH454*365,0)</x:f>
        <x:v>0.00976293779223864</x:v>
      </x:c>
      <x:c r="AJ454" s="81" t="n">
        <x:f>IF('Inputs'!$B$45&gt;0,AG454/('Inputs'!$B$19*'Inputs'!$B$45)*365,0)</x:f>
        <x:v>0.001025867657153289</x:v>
      </x:c>
      <x:c r="AK454" s="81" t="n">
        <x:f>W454/MAX($W$369:W454)-1</x:f>
        <x:v>-0.9999453612393552</x:v>
      </x:c>
      <x:c r="AL454" s="83" t="n">
        <x:f>'Inputs'!$B$45</x:f>
        <x:v>0.75</x:v>
      </x:c>
      <x:c r="AM454" s="83" t="n">
        <x:f>'Inputs'!$C$45</x:f>
        <x:v>0.5</x:v>
      </x:c>
      <x:c r="AN454" s="83" t="n">
        <x:f>'Inputs'!$D$45</x:f>
        <x:v>0.5</x:v>
      </x:c>
      <x:c r="AO454" s="81" t="n">
        <x:f>'Inputs'!$E$45</x:f>
        <x:v>-0.05</x:v>
      </x:c>
    </x:row>
    <x:row r="455">
      <x:c r="A455" s="59" t="str">
        <x:v>Weak demand</x:v>
      </x:c>
      <x:c r="B455" s="59" t="n">
        <x:v>87</x:v>
      </x:c>
      <x:c r="C455" s="78" t="n">
        <x:f>(('Inputs'!$B$29*(3*87*'Inputs'!$B$12-87^2)/(2*'Inputs'!$B$12^2))-('Inputs'!$B$29*(3*86*'Inputs'!$B$12-86^2)/(2*'Inputs'!$B$12^2)))*'Inputs'!$B$45</x:f>
        <x:v>512898.35100394115</x:v>
      </x:c>
      <x:c r="D455" s="78" t="n">
        <x:f>IF('Inputs'!$C$45&gt;0,('Inputs'!$B$30*(3*87*'Inputs'!$B$12-87^2)/(2*'Inputs'!$B$12^2))-('Inputs'!$B$30*(3*86*'Inputs'!$B$12-86^2)/(2*'Inputs'!$B$12^2)),0)</x:f>
        <x:v>293084.7720022537</x:v>
      </x:c>
      <x:c r="E455" s="78" t="n">
        <x:f>C455+D455</x:f>
        <x:v>805983.1230061948</x:v>
      </x:c>
      <x:c r="F455" s="78" t="n">
        <x:f>'Inputs'!$B$13*E455+(1-'Inputs'!$B$13)/'Inputs'!$B$14*SUM(E400:E455)</x:f>
        <x:v>814412.7064177148</x:v>
      </x:c>
      <x:c r="G455" s="78" t="n">
        <x:f>F455*'Inputs'!$F$45</x:f>
        <x:v>570088.8944924003</x:v>
      </x:c>
      <x:c r="H455" s="78" t="n">
        <x:f>U454</x:f>
        <x:v>634658167.2611219</x:v>
      </x:c>
      <x:c r="I455" s="78" t="n">
        <x:f>V454</x:f>
        <x:v>26.071252366214523</x:v>
      </x:c>
      <x:c r="J455" s="79" t="n">
        <x:f>IF(H455&gt;0,I455/H455,0)</x:f>
        <x:v>4.107920406779835e-8</x:v>
      </x:c>
      <x:c r="K455" s="80" t="n">
        <x:f>(H455*J455+I455)*'Inputs'!$D$45*(1+'Inputs'!$G$45)^(B455/30)</x:f>
        <x:v>26.071252366214523</x:v>
      </x:c>
      <x:c r="L455" s="80" t="n">
        <x:f>MAX(0,K455*'Inputs'!$E$45)</x:f>
        <x:v>0</x:v>
      </x:c>
      <x:c r="M455" s="80" t="n">
        <x:f>MAX(0,-K455*'Inputs'!$E$45)</x:f>
        <x:v>1.3035626183107263</x:v>
      </x:c>
      <x:c r="N455" s="78" t="n">
        <x:f>H455*(L455*(1-'Inputs'!$B$15))/(I455+L455*(1-'Inputs'!$B$15))</x:f>
        <x:v>0</x:v>
      </x:c>
      <x:c r="O455" s="78" t="n">
        <x:f>H455-N455</x:f>
        <x:v>634658167.2611219</x:v>
      </x:c>
      <x:c r="P455" s="78" t="n">
        <x:f>I455+L455*(1-'Inputs'!$B$17)</x:f>
        <x:v>26.071252366214523</x:v>
      </x:c>
      <x:c r="Q455" s="78" t="n">
        <x:f>IF(J455&gt;0,M455/J455,0)</x:f>
        <x:v>31732908.363056097</x:v>
      </x:c>
      <x:c r="R455" s="78" t="n">
        <x:f>IF(B455='Inputs'!$H$45,'Inputs'!$B$27*'Inputs'!$I$45,0)</x:f>
        <x:v>0</x:v>
      </x:c>
      <x:c r="S455" s="78" t="n">
        <x:f>Q455+G455+R455</x:f>
        <x:v>32302997.257548496</x:v>
      </x:c>
      <x:c r="T455" s="78" t="n">
        <x:f>P455*(S455*(1-'Inputs'!$B$15))/(O455+S455*(1-'Inputs'!$B$15))</x:f>
        <x:v>1.2506902238911224</x:v>
      </x:c>
      <x:c r="U455" s="78" t="n">
        <x:f>O455+S455*(1-'Inputs'!$B$17)</x:f>
        <x:v>666831172.5779961</x:v>
      </x:c>
      <x:c r="V455" s="78" t="n">
        <x:f>P455-T455</x:f>
        <x:v>24.8205621423234</x:v>
      </x:c>
      <x:c r="W455" s="79" t="n">
        <x:f>IF(U455&gt;0,V455/U455,0)</x:f>
        <x:v>3.722165843922099e-8</x:v>
      </x:c>
      <x:c r="X455" s="80" t="n">
        <x:f>W455*('Inputs'!$B$6-AC455)</x:f>
        <x:v>36.22889226234533</x:v>
      </x:c>
      <x:c r="Y455" s="80" t="n">
        <x:f>2*V455</x:f>
        <x:v>49.6411242846468</x:v>
      </x:c>
      <x:c r="Z455" s="80" t="n">
        <x:f>K455*'Inputs'!$B$16+(G455+R455)*J455*'Inputs'!$B$16</x:f>
        <x:v>0.156568026985489</x:v>
      </x:c>
      <x:c r="AA455" s="80" t="n">
        <x:f>K455*(1+'Inputs'!$E$45)/2*'Inputs'!$B$17</x:f>
        <x:v>0.04983438581067162</x:v>
      </x:c>
      <x:c r="AB455" s="78" t="n">
        <x:f>(IF(J455&gt;0,K455*(1-'Inputs'!$E$45)/2/J455,0)+G455+R455)*'Inputs'!$B$17</x:f>
        <x:v>1343121.234231716</x:v>
      </x:c>
      <x:c r="AC455" s="78" t="n">
        <x:f>AC454+AB455</x:f>
        <x:v>26671734.10601075</x:v>
      </x:c>
      <x:c r="AD455" s="80" t="n">
        <x:f>Z455/(1+'Inputs'!$C$45)</x:f>
        <x:v>0.10437868465699267</x:v>
      </x:c>
      <x:c r="AE455" s="80" t="n">
        <x:f>Z455-AD455</x:f>
        <x:v>0.05218934232849633</x:v>
      </x:c>
      <x:c r="AF455" s="80" t="n">
        <x:f>D455*W455</x:f>
        <x:v>0.010909101277204845</x:v>
      </x:c>
      <x:c r="AG455" s="80" t="n">
        <x:f>C455*W455</x:f>
        <x:v>0.019090927235108378</x:v>
      </x:c>
      <x:c r="AH455" s="80" t="n">
        <x:f>2*'Inputs'!$B$8*'Inputs'!$C$45</x:f>
        <x:v>2500</x:v>
      </x:c>
      <x:c r="AI455" s="81" t="n">
        <x:f>IF(AH455&gt;0,(AE455+AF455)/AH455*365,0)</x:f>
        <x:v>0.009212372766432372</x:v>
      </x:c>
      <x:c r="AJ455" s="81" t="n">
        <x:f>IF('Inputs'!$B$45&gt;0,AG455/('Inputs'!$B$19*'Inputs'!$B$45)*365,0)</x:f>
        <x:v>0.0009290917921086078</x:v>
      </x:c>
      <x:c r="AK455" s="81" t="n">
        <x:f>W455/MAX($W$369:W455)-1</x:f>
        <x:v>-0.9999504920961247</x:v>
      </x:c>
      <x:c r="AL455" s="83" t="n">
        <x:f>'Inputs'!$B$45</x:f>
        <x:v>0.75</x:v>
      </x:c>
      <x:c r="AM455" s="83" t="n">
        <x:f>'Inputs'!$C$45</x:f>
        <x:v>0.5</x:v>
      </x:c>
      <x:c r="AN455" s="83" t="n">
        <x:f>'Inputs'!$D$45</x:f>
        <x:v>0.5</x:v>
      </x:c>
      <x:c r="AO455" s="81" t="n">
        <x:f>'Inputs'!$E$45</x:f>
        <x:v>-0.05</x:v>
      </x:c>
    </x:row>
    <x:row r="456">
      <x:c r="A456" s="59" t="str">
        <x:v>Weak demand</x:v>
      </x:c>
      <x:c r="B456" s="59" t="n">
        <x:v>88</x:v>
      </x:c>
      <x:c r="C456" s="78" t="n">
        <x:f>(('Inputs'!$B$29*(3*88*'Inputs'!$B$12-88^2)/(2*'Inputs'!$B$12^2))-('Inputs'!$B$29*(3*87*'Inputs'!$B$12-87^2)/(2*'Inputs'!$B$12^2)))*'Inputs'!$B$45</x:f>
        <x:v>512654.5200788118</x:v>
      </x:c>
      <x:c r="D456" s="78" t="n">
        <x:f>IF('Inputs'!$C$45&gt;0,('Inputs'!$B$30*(3*88*'Inputs'!$B$12-88^2)/(2*'Inputs'!$B$12^2))-('Inputs'!$B$30*(3*87*'Inputs'!$B$12-87^2)/(2*'Inputs'!$B$12^2)),0)</x:f>
        <x:v>292945.4400450364</x:v>
      </x:c>
      <x:c r="E456" s="78" t="n">
        <x:f>C456+D456</x:f>
        <x:v>805599.9601238482</x:v>
      </x:c>
      <x:c r="F456" s="78" t="n">
        <x:f>'Inputs'!$B$13*E456+(1-'Inputs'!$B$13)/'Inputs'!$B$14*SUM(E401:E456)</x:f>
        <x:v>814029.5435353721</x:v>
      </x:c>
      <x:c r="G456" s="78" t="n">
        <x:f>F456*'Inputs'!$F$45</x:f>
        <x:v>569820.6804747605</x:v>
      </x:c>
      <x:c r="H456" s="78" t="n">
        <x:f>U455</x:f>
        <x:v>666831172.5779961</x:v>
      </x:c>
      <x:c r="I456" s="78" t="n">
        <x:f>V455</x:f>
        <x:v>24.8205621423234</x:v>
      </x:c>
      <x:c r="J456" s="79" t="n">
        <x:f>IF(H456&gt;0,I456/H456,0)</x:f>
        <x:v>3.722165843922099e-8</x:v>
      </x:c>
      <x:c r="K456" s="80" t="n">
        <x:f>(H456*J456+I456)*'Inputs'!$D$45*(1+'Inputs'!$G$45)^(B456/30)</x:f>
        <x:v>24.8205621423234</x:v>
      </x:c>
      <x:c r="L456" s="80" t="n">
        <x:f>MAX(0,K456*'Inputs'!$E$45)</x:f>
        <x:v>0</x:v>
      </x:c>
      <x:c r="M456" s="80" t="n">
        <x:f>MAX(0,-K456*'Inputs'!$E$45)</x:f>
        <x:v>1.2410281071161702</x:v>
      </x:c>
      <x:c r="N456" s="78" t="n">
        <x:f>H456*(L456*(1-'Inputs'!$B$15))/(I456+L456*(1-'Inputs'!$B$15))</x:f>
        <x:v>0</x:v>
      </x:c>
      <x:c r="O456" s="78" t="n">
        <x:f>H456-N456</x:f>
        <x:v>666831172.5779961</x:v>
      </x:c>
      <x:c r="P456" s="78" t="n">
        <x:f>I456+L456*(1-'Inputs'!$B$17)</x:f>
        <x:v>24.8205621423234</x:v>
      </x:c>
      <x:c r="Q456" s="78" t="n">
        <x:f>IF(J456&gt;0,M456/J456,0)</x:f>
        <x:v>33341558.628899813</x:v>
      </x:c>
      <x:c r="R456" s="78" t="n">
        <x:f>IF(B456='Inputs'!$H$45,'Inputs'!$B$27*'Inputs'!$I$45,0)</x:f>
        <x:v>0</x:v>
      </x:c>
      <x:c r="S456" s="78" t="n">
        <x:f>Q456+G456+R456</x:f>
        <x:v>33911379.30937457</x:v>
      </x:c>
      <x:c r="T456" s="78" t="n">
        <x:f>P456*(S456*(1-'Inputs'!$B$15))/(O456+S456*(1-'Inputs'!$B$15))</x:f>
        <x:v>1.1897178928371654</x:v>
      </x:c>
      <x:c r="U456" s="78" t="n">
        <x:f>O456+S456*(1-'Inputs'!$B$17)</x:f>
        <x:v>700606087.5843148</x:v>
      </x:c>
      <x:c r="V456" s="78" t="n">
        <x:f>P456-T456</x:f>
        <x:v>23.630844249486234</x:v>
      </x:c>
      <x:c r="W456" s="79" t="n">
        <x:f>IF(U456&gt;0,V456/U456,0)</x:f>
        <x:v>3.372914490504247e-8</x:v>
      </x:c>
      <x:c r="X456" s="80" t="n">
        <x:f>W456*('Inputs'!$B$6-AC456)</x:f>
        <x:v>32.781935217819836</x:v>
      </x:c>
      <x:c r="Y456" s="80" t="n">
        <x:f>2*V456</x:f>
        <x:v>47.26168849897247</x:v>
      </x:c>
      <x:c r="Z456" s="80" t="n">
        <x:f>K456*'Inputs'!$B$16+(G456+R456)*J456*'Inputs'!$B$16</x:f>
        <x:v>0.14905063087838183</x:v>
      </x:c>
      <x:c r="AA456" s="80" t="n">
        <x:f>K456*(1+'Inputs'!$E$45)/2*'Inputs'!$B$17</x:f>
        <x:v>0.04744373045313326</x:v>
      </x:c>
      <x:c r="AB456" s="78" t="n">
        <x:f>(IF(J456&gt;0,K456*(1-'Inputs'!$E$45)/2/J456,0)+G456+R456)*'Inputs'!$B$17</x:f>
        <x:v>1411091.2928930495</x:v>
      </x:c>
      <x:c r="AC456" s="78" t="n">
        <x:f>AC455+AB456</x:f>
        <x:v>28082825.3989038</x:v>
      </x:c>
      <x:c r="AD456" s="80" t="n">
        <x:f>Z456/(1+'Inputs'!$C$45)</x:f>
        <x:v>0.09936708725225456</x:v>
      </x:c>
      <x:c r="AE456" s="80" t="n">
        <x:f>Z456-AD456</x:f>
        <x:v>0.04968354362612727</x:v>
      </x:c>
      <x:c r="AF456" s="80" t="n">
        <x:f>D456*W456</x:f>
        <x:v>0.009880799196550464</x:v>
      </x:c>
      <x:c r="AG456" s="80" t="n">
        <x:f>C456*W456</x:f>
        <x:v>0.01729139859396325</x:v>
      </x:c>
      <x:c r="AH456" s="80" t="n">
        <x:f>2*'Inputs'!$B$8*'Inputs'!$C$45</x:f>
        <x:v>2500</x:v>
      </x:c>
      <x:c r="AI456" s="81" t="n">
        <x:f>IF(AH456&gt;0,(AE456+AF456)/AH456*365,0)</x:f>
        <x:v>0.00869639405211095</x:v>
      </x:c>
      <x:c r="AJ456" s="81" t="n">
        <x:f>IF('Inputs'!$B$45&gt;0,AG456/('Inputs'!$B$19*'Inputs'!$B$45)*365,0)</x:f>
        <x:v>0.0008415147315728783</x:v>
      </x:c>
      <x:c r="AK456" s="81" t="n">
        <x:f>W456/MAX($W$369:W456)-1</x:f>
        <x:v>-0.9999551374298251</x:v>
      </x:c>
      <x:c r="AL456" s="83" t="n">
        <x:f>'Inputs'!$B$45</x:f>
        <x:v>0.75</x:v>
      </x:c>
      <x:c r="AM456" s="83" t="n">
        <x:f>'Inputs'!$C$45</x:f>
        <x:v>0.5</x:v>
      </x:c>
      <x:c r="AN456" s="83" t="n">
        <x:f>'Inputs'!$D$45</x:f>
        <x:v>0.5</x:v>
      </x:c>
      <x:c r="AO456" s="81" t="n">
        <x:f>'Inputs'!$E$45</x:f>
        <x:v>-0.05</x:v>
      </x:c>
    </x:row>
    <x:row r="457">
      <x:c r="A457" s="59" t="str">
        <x:v>Weak demand</x:v>
      </x:c>
      <x:c r="B457" s="59" t="n">
        <x:v>89</x:v>
      </x:c>
      <x:c r="C457" s="78" t="n">
        <x:f>(('Inputs'!$B$29*(3*89*'Inputs'!$B$12-89^2)/(2*'Inputs'!$B$12^2))-('Inputs'!$B$29*(3*88*'Inputs'!$B$12-88^2)/(2*'Inputs'!$B$12^2)))*'Inputs'!$B$45</x:f>
        <x:v>512410.689153688</x:v>
      </x:c>
      <x:c r="D457" s="78" t="n">
        <x:f>IF('Inputs'!$C$45&gt;0,('Inputs'!$B$30*(3*89*'Inputs'!$B$12-89^2)/(2*'Inputs'!$B$12^2))-('Inputs'!$B$30*(3*88*'Inputs'!$B$12-88^2)/(2*'Inputs'!$B$12^2)),0)</x:f>
        <x:v>292806.10808781907</x:v>
      </x:c>
      <x:c r="E457" s="78" t="n">
        <x:f>C457+D457</x:f>
        <x:v>805216.7972415071</x:v>
      </x:c>
      <x:c r="F457" s="78" t="n">
        <x:f>'Inputs'!$B$13*E457+(1-'Inputs'!$B$13)/'Inputs'!$B$14*SUM(E402:E457)</x:f>
        <x:v>813646.3806530302</x:v>
      </x:c>
      <x:c r="G457" s="78" t="n">
        <x:f>F457*'Inputs'!$F$45</x:f>
        <x:v>569552.4664571211</x:v>
      </x:c>
      <x:c r="H457" s="78" t="n">
        <x:f>U456</x:f>
        <x:v>700606087.5843148</x:v>
      </x:c>
      <x:c r="I457" s="78" t="n">
        <x:f>V456</x:f>
        <x:v>23.630844249486234</x:v>
      </x:c>
      <x:c r="J457" s="79" t="n">
        <x:f>IF(H457&gt;0,I457/H457,0)</x:f>
        <x:v>3.372914490504247e-8</x:v>
      </x:c>
      <x:c r="K457" s="80" t="n">
        <x:f>(H457*J457+I457)*'Inputs'!$D$45*(1+'Inputs'!$G$45)^(B457/30)</x:f>
        <x:v>23.63084424948623</x:v>
      </x:c>
      <x:c r="L457" s="80" t="n">
        <x:f>MAX(0,K457*'Inputs'!$E$45)</x:f>
        <x:v>0</x:v>
      </x:c>
      <x:c r="M457" s="80" t="n">
        <x:f>MAX(0,-K457*'Inputs'!$E$45)</x:f>
        <x:v>1.1815422124743116</x:v>
      </x:c>
      <x:c r="N457" s="78" t="n">
        <x:f>H457*(L457*(1-'Inputs'!$B$15))/(I457+L457*(1-'Inputs'!$B$15))</x:f>
        <x:v>0</x:v>
      </x:c>
      <x:c r="O457" s="78" t="n">
        <x:f>H457-N457</x:f>
        <x:v>700606087.5843148</x:v>
      </x:c>
      <x:c r="P457" s="78" t="n">
        <x:f>I457+L457*(1-'Inputs'!$B$17)</x:f>
        <x:v>23.630844249486234</x:v>
      </x:c>
      <x:c r="Q457" s="78" t="n">
        <x:f>IF(J457&gt;0,M457/J457,0)</x:f>
        <x:v>35030304.37921574</x:v>
      </x:c>
      <x:c r="R457" s="78" t="n">
        <x:f>IF(B457='Inputs'!$H$45,'Inputs'!$B$27*'Inputs'!$I$45,0)</x:f>
        <x:v>0</x:v>
      </x:c>
      <x:c r="S457" s="78" t="n">
        <x:f>Q457+G457+R457</x:f>
        <x:v>35599856.84567286</x:v>
      </x:c>
      <x:c r="T457" s="78" t="n">
        <x:f>P457*(S457*(1-'Inputs'!$B$15))/(O457+S457*(1-'Inputs'!$B$15))</x:f>
        <x:v>1.131809726132101</x:v>
      </x:c>
      <x:c r="U457" s="78" t="n">
        <x:f>O457+S457*(1-'Inputs'!$B$17)</x:f>
        <x:v>736062685.4487174</x:v>
      </x:c>
      <x:c r="V457" s="78" t="n">
        <x:f>P457-T457</x:f>
        <x:v>22.499034523354133</x:v>
      </x:c>
      <x:c r="W457" s="79" t="n">
        <x:f>IF(U457&gt;0,V457/U457,0)</x:f>
        <x:v>3.0566737002349614e-8</x:v>
      </x:c>
      <x:c r="X457" s="80" t="n">
        <x:f>W457*('Inputs'!$B$6-AC457)</x:f>
        <x:v>29.663023137250512</x:v>
      </x:c>
      <x:c r="Y457" s="80" t="n">
        <x:f>2*V457</x:f>
        <x:v>44.99806904670827</x:v>
      </x:c>
      <x:c r="Z457" s="80" t="n">
        <x:f>K457*'Inputs'!$B$16+(G457+R457)*J457*'Inputs'!$B$16</x:f>
        <x:v>0.14190032860295032</x:v>
      </x:c>
      <x:c r="AA457" s="80" t="n">
        <x:f>K457*(1+'Inputs'!$E$45)/2*'Inputs'!$B$17</x:f>
        <x:v>0.045169621804852955</x:v>
      </x:c>
      <x:c r="AB457" s="78" t="n">
        <x:f>(IF(J457&gt;0,K457*(1-'Inputs'!$E$45)/2/J457,0)+G457+R457)*'Inputs'!$B$17</x:f>
        <x:v>1482445.667799688</x:v>
      </x:c>
      <x:c r="AC457" s="78" t="n">
        <x:f>AC456+AB457</x:f>
        <x:v>29565271.066703487</x:v>
      </x:c>
      <x:c r="AD457" s="80" t="n">
        <x:f>Z457/(1+'Inputs'!$C$45)</x:f>
        <x:v>0.09460021906863354</x:v>
      </x:c>
      <x:c r="AE457" s="80" t="n">
        <x:f>Z457-AD457</x:f>
        <x:v>0.04730010953431678</x:v>
      </x:c>
      <x:c r="AF457" s="80" t="n">
        <x:f>D457*W457</x:f>
        <x:v>0.00895012729860192</x:v>
      </x:c>
      <x:c r="AG457" s="80" t="n">
        <x:f>C457*W457</x:f>
        <x:v>0.0156627227725535</x:v>
      </x:c>
      <x:c r="AH457" s="80" t="n">
        <x:f>2*'Inputs'!$B$8*'Inputs'!$C$45</x:f>
        <x:v>2500</x:v>
      </x:c>
      <x:c r="AI457" s="81" t="n">
        <x:f>IF(AH457&gt;0,(AE457+AF457)/AH457*365,0)</x:f>
        <x:v>0.00821253457760613</x:v>
      </x:c>
      <x:c r="AJ457" s="81" t="n">
        <x:f>IF('Inputs'!$B$45&gt;0,AG457/('Inputs'!$B$19*'Inputs'!$B$45)*365,0)</x:f>
        <x:v>0.0007622525082642705</x:v>
      </x:c>
      <x:c r="AK457" s="81" t="n">
        <x:f>W457/MAX($W$369:W457)-1</x:f>
        <x:v>-0.9999593436955593</x:v>
      </x:c>
      <x:c r="AL457" s="83" t="n">
        <x:f>'Inputs'!$B$45</x:f>
        <x:v>0.75</x:v>
      </x:c>
      <x:c r="AM457" s="83" t="n">
        <x:f>'Inputs'!$C$45</x:f>
        <x:v>0.5</x:v>
      </x:c>
      <x:c r="AN457" s="83" t="n">
        <x:f>'Inputs'!$D$45</x:f>
        <x:v>0.5</x:v>
      </x:c>
      <x:c r="AO457" s="81" t="n">
        <x:f>'Inputs'!$E$45</x:f>
        <x:v>-0.05</x:v>
      </x:c>
    </x:row>
    <x:row r="458">
      <x:c r="A458" s="59" t="str">
        <x:v>Weak demand</x:v>
      </x:c>
      <x:c r="B458" s="59" t="n">
        <x:v>90</x:v>
      </x:c>
      <x:c r="C458" s="78" t="n">
        <x:f>(('Inputs'!$B$29*(3*90*'Inputs'!$B$12-90^2)/(2*'Inputs'!$B$12^2))-('Inputs'!$B$29*(3*89*'Inputs'!$B$12-89^2)/(2*'Inputs'!$B$12^2)))*'Inputs'!$B$45</x:f>
        <x:v>512166.85822856426</x:v>
      </x:c>
      <x:c r="D458" s="78" t="n">
        <x:f>IF('Inputs'!$C$45&gt;0,('Inputs'!$B$30*(3*90*'Inputs'!$B$12-90^2)/(2*'Inputs'!$B$12^2))-('Inputs'!$B$30*(3*89*'Inputs'!$B$12-89^2)/(2*'Inputs'!$B$12^2)),0)</x:f>
        <x:v>292666.7761306055</x:v>
      </x:c>
      <x:c r="E458" s="78" t="n">
        <x:f>C458+D458</x:f>
        <x:v>804833.6343591698</x:v>
      </x:c>
      <x:c r="F458" s="78" t="n">
        <x:f>'Inputs'!$B$13*E458+(1-'Inputs'!$B$13)/'Inputs'!$B$14*SUM(E403:E458)</x:f>
        <x:v>813263.2177706892</x:v>
      </x:c>
      <x:c r="G458" s="78" t="n">
        <x:f>F458*'Inputs'!$F$45</x:f>
        <x:v>569284.2524394824</x:v>
      </x:c>
      <x:c r="H458" s="78" t="n">
        <x:f>U457</x:f>
        <x:v>736062685.4487174</x:v>
      </x:c>
      <x:c r="I458" s="78" t="n">
        <x:f>V457</x:f>
        <x:v>22.499034523354133</x:v>
      </x:c>
      <x:c r="J458" s="79" t="n">
        <x:f>IF(H458&gt;0,I458/H458,0)</x:f>
        <x:v>3.0566737002349614e-8</x:v>
      </x:c>
      <x:c r="K458" s="80" t="n">
        <x:f>(H458*J458+I458)*'Inputs'!$D$45*(1+'Inputs'!$G$45)^(B458/30)</x:f>
        <x:v>22.499034523354133</x:v>
      </x:c>
      <x:c r="L458" s="80" t="n">
        <x:f>MAX(0,K458*'Inputs'!$E$45)</x:f>
        <x:v>0</x:v>
      </x:c>
      <x:c r="M458" s="80" t="n">
        <x:f>MAX(0,-K458*'Inputs'!$E$45)</x:f>
        <x:v>1.1249517261677067</x:v>
      </x:c>
      <x:c r="N458" s="78" t="n">
        <x:f>H458*(L458*(1-'Inputs'!$B$15))/(I458+L458*(1-'Inputs'!$B$15))</x:f>
        <x:v>0</x:v>
      </x:c>
      <x:c r="O458" s="78" t="n">
        <x:f>H458-N458</x:f>
        <x:v>736062685.4487174</x:v>
      </x:c>
      <x:c r="P458" s="78" t="n">
        <x:f>I458+L458*(1-'Inputs'!$B$17)</x:f>
        <x:v>22.499034523354133</x:v>
      </x:c>
      <x:c r="Q458" s="78" t="n">
        <x:f>IF(J458&gt;0,M458/J458,0)</x:f>
        <x:v>36803134.27243587</x:v>
      </x:c>
      <x:c r="R458" s="78" t="n">
        <x:f>IF(B458='Inputs'!$H$45,'Inputs'!$B$27*'Inputs'!$I$45,0)</x:f>
        <x:v>0</x:v>
      </x:c>
      <x:c r="S458" s="78" t="n">
        <x:f>Q458+G458+R458</x:f>
        <x:v>37372418.52487535</x:v>
      </x:c>
      <x:c r="T458" s="78" t="n">
        <x:f>P458*(S458*(1-'Inputs'!$B$15))/(O458+S458*(1-'Inputs'!$B$15))</x:f>
        <x:v>1.0768031142549093</x:v>
      </x:c>
      <x:c r="U458" s="78" t="n">
        <x:f>O458+S458*(1-'Inputs'!$B$17)</x:f>
        <x:v>773284711.9473357</x:v>
      </x:c>
      <x:c r="V458" s="78" t="n">
        <x:f>P458-T458</x:f>
        <x:v>21.422231409099226</x:v>
      </x:c>
      <x:c r="W458" s="79" t="n">
        <x:f>IF(U458&gt;0,V458/U458,0)</x:f>
        <x:v>2.7702903055140418e-8</x:v>
      </x:c>
      <x:c r="X458" s="80" t="n">
        <x:f>W458*('Inputs'!$B$6-AC458)</x:f>
        <x:v>26.840716020740583</x:v>
      </x:c>
      <x:c r="Y458" s="80" t="n">
        <x:f>2*V458</x:f>
        <x:v>42.84446281819845</x:v>
      </x:c>
      <x:c r="Z458" s="80" t="n">
        <x:f>K458*'Inputs'!$B$16+(G458+R458)*J458*'Inputs'!$B$16</x:f>
        <x:v>0.1350986141122682</x:v>
      </x:c>
      <x:c r="AA458" s="80" t="n">
        <x:f>K458*(1+'Inputs'!$E$45)/2*'Inputs'!$B$17</x:f>
        <x:v>0.0430062028112403</x:v>
      </x:c>
      <x:c r="AB458" s="78" t="n">
        <x:f>(IF(J458&gt;0,K458*(1-'Inputs'!$E$45)/2/J458,0)+G458+R458)*'Inputs'!$B$17</x:f>
        <x:v>1557352.8938149544</x:v>
      </x:c>
      <x:c r="AC458" s="78" t="n">
        <x:f>AC457+AB458</x:f>
        <x:v>31122623.960518442</x:v>
      </x:c>
      <x:c r="AD458" s="80" t="n">
        <x:f>Z458/(1+'Inputs'!$C$45)</x:f>
        <x:v>0.09006574274151213</x:v>
      </x:c>
      <x:c r="AE458" s="80" t="n">
        <x:f>Z458-AD458</x:f>
        <x:v>0.04503287137075607</x:v>
      </x:c>
      <x:c r="AF458" s="80" t="n">
        <x:f>D458*W458</x:f>
        <x:v>0.008107719326606647</x:v>
      </x:c>
      <x:c r="AG458" s="80" t="n">
        <x:f>C458*W458</x:f>
        <x:v>0.014188508821561762</x:v>
      </x:c>
      <x:c r="AH458" s="80" t="n">
        <x:f>2*'Inputs'!$B$8*'Inputs'!$C$45</x:f>
        <x:v>2500</x:v>
      </x:c>
      <x:c r="AI458" s="81" t="n">
        <x:f>IF(AH458&gt;0,(AE458+AF458)/AH458*365,0)</x:f>
        <x:v>0.007758526241814955</x:v>
      </x:c>
      <x:c r="AJ458" s="81" t="n">
        <x:f>IF('Inputs'!$B$45&gt;0,AG458/('Inputs'!$B$19*'Inputs'!$B$45)*365,0)</x:f>
        <x:v>0.0006905074293160057</x:v>
      </x:c>
      <x:c r="AK458" s="81" t="n">
        <x:f>W458/MAX($W$369:W458)-1</x:f>
        <x:v>-0.9999631528330808</x:v>
      </x:c>
      <x:c r="AL458" s="83" t="n">
        <x:f>'Inputs'!$B$45</x:f>
        <x:v>0.75</x:v>
      </x:c>
      <x:c r="AM458" s="83" t="n">
        <x:f>'Inputs'!$C$45</x:f>
        <x:v>0.5</x:v>
      </x:c>
      <x:c r="AN458" s="83" t="n">
        <x:f>'Inputs'!$D$45</x:f>
        <x:v>0.5</x:v>
      </x:c>
      <x:c r="AO458" s="81" t="n">
        <x:f>'Inputs'!$E$45</x:f>
        <x:v>-0.05</x:v>
      </x:c>
    </x:row>
    <x:row r="459">
      <x:c r="A459" s="59" t="str">
        <x:v>Weak demand</x:v>
      </x:c>
      <x:c r="B459" s="59" t="n">
        <x:v>91</x:v>
      </x:c>
      <x:c r="C459" s="78" t="n">
        <x:f>(('Inputs'!$B$29*(3*91*'Inputs'!$B$12-91^2)/(2*'Inputs'!$B$12^2))-('Inputs'!$B$29*(3*90*'Inputs'!$B$12-90^2)/(2*'Inputs'!$B$12^2)))*'Inputs'!$B$45</x:f>
        <x:v>511923.0273034349</x:v>
      </x:c>
      <x:c r="D459" s="78" t="n">
        <x:f>IF('Inputs'!$C$45&gt;0,('Inputs'!$B$30*(3*91*'Inputs'!$B$12-91^2)/(2*'Inputs'!$B$12^2))-('Inputs'!$B$30*(3*90*'Inputs'!$B$12-90^2)/(2*'Inputs'!$B$12^2)),0)</x:f>
        <x:v>292527.4441733919</x:v>
      </x:c>
      <x:c r="E459" s="78" t="n">
        <x:f>C459+D459</x:f>
        <x:v>804450.4714768268</x:v>
      </x:c>
      <x:c r="F459" s="78" t="n">
        <x:f>'Inputs'!$B$13*E459+(1-'Inputs'!$B$13)/'Inputs'!$B$14*SUM(E404:E459)</x:f>
        <x:v>812880.0548883472</x:v>
      </x:c>
      <x:c r="G459" s="78" t="n">
        <x:f>F459*'Inputs'!$F$45</x:f>
        <x:v>569016.038421843</x:v>
      </x:c>
      <x:c r="H459" s="78" t="n">
        <x:f>U458</x:f>
        <x:v>773284711.9473357</x:v>
      </x:c>
      <x:c r="I459" s="78" t="n">
        <x:f>V458</x:f>
        <x:v>21.422231409099226</x:v>
      </x:c>
      <x:c r="J459" s="79" t="n">
        <x:f>IF(H459&gt;0,I459/H459,0)</x:f>
        <x:v>2.7702903055140418e-8</x:v>
      </x:c>
      <x:c r="K459" s="80" t="n">
        <x:f>(H459*J459+I459)*'Inputs'!$D$45*(1+'Inputs'!$G$45)^(B459/30)</x:f>
        <x:v>21.422231409099226</x:v>
      </x:c>
      <x:c r="L459" s="80" t="n">
        <x:f>MAX(0,K459*'Inputs'!$E$45)</x:f>
        <x:v>0</x:v>
      </x:c>
      <x:c r="M459" s="80" t="n">
        <x:f>MAX(0,-K459*'Inputs'!$E$45)</x:f>
        <x:v>1.0711115704549614</x:v>
      </x:c>
      <x:c r="N459" s="78" t="n">
        <x:f>H459*(L459*(1-'Inputs'!$B$15))/(I459+L459*(1-'Inputs'!$B$15))</x:f>
        <x:v>0</x:v>
      </x:c>
      <x:c r="O459" s="78" t="n">
        <x:f>H459-N459</x:f>
        <x:v>773284711.9473357</x:v>
      </x:c>
      <x:c r="P459" s="78" t="n">
        <x:f>I459+L459*(1-'Inputs'!$B$17)</x:f>
        <x:v>21.422231409099226</x:v>
      </x:c>
      <x:c r="Q459" s="78" t="n">
        <x:f>IF(J459&gt;0,M459/J459,0)</x:f>
        <x:v>38664235.597366795</x:v>
      </x:c>
      <x:c r="R459" s="78" t="n">
        <x:f>IF(B459='Inputs'!$H$45,'Inputs'!$B$27*'Inputs'!$I$45,0)</x:f>
        <x:v>0</x:v>
      </x:c>
      <x:c r="S459" s="78" t="n">
        <x:f>Q459+G459+R459</x:f>
        <x:v>39233251.635788634</x:v>
      </x:c>
      <x:c r="T459" s="78" t="n">
        <x:f>P459*(S459*(1-'Inputs'!$B$15))/(O459+S459*(1-'Inputs'!$B$15))</x:f>
        <x:v>1.0245448803599535</x:v>
      </x:c>
      <x:c r="U459" s="78" t="n">
        <x:f>O459+S459*(1-'Inputs'!$B$17)</x:f>
        <x:v>812360083.2948515</x:v>
      </x:c>
      <x:c r="V459" s="78" t="n">
        <x:f>P459-T459</x:f>
        <x:v>20.39768652873927</x:v>
      </x:c>
      <x:c r="W459" s="79" t="n">
        <x:f>IF(U459&gt;0,V459/U459,0)</x:f>
        <x:v>2.510916888728492e-8</x:v>
      </x:c>
      <x:c r="X459" s="80" t="n">
        <x:f>W459*('Inputs'!$B$6-AC459)</x:f>
        <x:v>24.286627319382085</x:v>
      </x:c>
      <x:c r="Y459" s="80" t="n">
        <x:f>2*V459</x:f>
        <x:v>40.79537305747854</x:v>
      </x:c>
      <x:c r="Z459" s="80" t="n">
        <x:f>K459*'Inputs'!$B$16+(G459+R459)*J459*'Inputs'!$B$16</x:f>
        <x:v>0.1286279688314907</x:v>
      </x:c>
      <x:c r="AA459" s="80" t="n">
        <x:f>K459*(1+'Inputs'!$E$45)/2*'Inputs'!$B$17</x:f>
        <x:v>0.04094792724073293</x:v>
      </x:c>
      <x:c r="AB459" s="78" t="n">
        <x:f>(IF(J459&gt;0,K459*(1-'Inputs'!$E$45)/2/J459,0)+G459+R459)*'Inputs'!$B$17</x:f>
        <x:v>1635989.8986349024</x:v>
      </x:c>
      <x:c r="AC459" s="78" t="n">
        <x:f>AC458+AB459</x:f>
        <x:v>32758613.859153345</x:v>
      </x:c>
      <x:c r="AD459" s="80" t="n">
        <x:f>Z459/(1+'Inputs'!$C$45)</x:f>
        <x:v>0.0857519792209938</x:v>
      </x:c>
      <x:c r="AE459" s="80" t="n">
        <x:f>Z459-AD459</x:f>
        <x:v>0.04287598961049689</x:v>
      </x:c>
      <x:c r="AF459" s="80" t="n">
        <x:f>D459*W459</x:f>
        <x:v>0.007345120999915508</x:v>
      </x:c>
      <x:c r="AG459" s="80" t="n">
        <x:f>C459*W459</x:f>
        <x:v>0.012853961749852117</x:v>
      </x:c>
      <x:c r="AH459" s="80" t="n">
        <x:f>2*'Inputs'!$B$8*'Inputs'!$C$45</x:f>
        <x:v>2500</x:v>
      </x:c>
      <x:c r="AI459" s="81" t="n">
        <x:f>IF(AH459&gt;0,(AE459+AF459)/AH459*365,0)</x:f>
        <x:v>0.007332282149120211</x:v>
      </x:c>
      <x:c r="AJ459" s="81" t="n">
        <x:f>IF('Inputs'!$B$45&gt;0,AG459/('Inputs'!$B$19*'Inputs'!$B$45)*365,0)</x:f>
        <x:v>0.0006255594718261364</x:v>
      </x:c>
      <x:c r="AK459" s="81" t="n">
        <x:f>W459/MAX($W$369:W459)-1</x:f>
        <x:v>-0.9999666027154139</x:v>
      </x:c>
      <x:c r="AL459" s="83" t="n">
        <x:f>'Inputs'!$B$45</x:f>
        <x:v>0.75</x:v>
      </x:c>
      <x:c r="AM459" s="83" t="n">
        <x:f>'Inputs'!$C$45</x:f>
        <x:v>0.5</x:v>
      </x:c>
      <x:c r="AN459" s="83" t="n">
        <x:f>'Inputs'!$D$45</x:f>
        <x:v>0.5</x:v>
      </x:c>
      <x:c r="AO459" s="81" t="n">
        <x:f>'Inputs'!$E$45</x:f>
        <x:v>-0.05</x:v>
      </x:c>
    </x:row>
    <x:row r="460">
      <x:c r="A460" s="59" t="str">
        <x:v>Weak demand</x:v>
      </x:c>
      <x:c r="B460" s="59" t="n">
        <x:v>92</x:v>
      </x:c>
      <x:c r="C460" s="78" t="n">
        <x:f>(('Inputs'!$B$29*(3*92*'Inputs'!$B$12-92^2)/(2*'Inputs'!$B$12^2))-('Inputs'!$B$29*(3*91*'Inputs'!$B$12-91^2)/(2*'Inputs'!$B$12^2)))*'Inputs'!$B$45</x:f>
        <x:v>511679.19637830555</x:v>
      </x:c>
      <x:c r="D460" s="78" t="n">
        <x:f>IF('Inputs'!$C$45&gt;0,('Inputs'!$B$30*(3*92*'Inputs'!$B$12-92^2)/(2*'Inputs'!$B$12^2))-('Inputs'!$B$30*(3*91*'Inputs'!$B$12-91^2)/(2*'Inputs'!$B$12^2)),0)</x:f>
        <x:v>292388.1122161746</x:v>
      </x:c>
      <x:c r="E460" s="78" t="n">
        <x:f>C460+D460</x:f>
        <x:v>804067.3085944802</x:v>
      </x:c>
      <x:c r="F460" s="78" t="n">
        <x:f>'Inputs'!$B$13*E460+(1-'Inputs'!$B$13)/'Inputs'!$B$14*SUM(E405:E460)</x:f>
        <x:v>812496.8920060043</x:v>
      </x:c>
      <x:c r="G460" s="78" t="n">
        <x:f>F460*'Inputs'!$F$45</x:f>
        <x:v>568747.824404203</x:v>
      </x:c>
      <x:c r="H460" s="78" t="n">
        <x:f>U459</x:f>
        <x:v>812360083.2948515</x:v>
      </x:c>
      <x:c r="I460" s="78" t="n">
        <x:f>V459</x:f>
        <x:v>20.39768652873927</x:v>
      </x:c>
      <x:c r="J460" s="79" t="n">
        <x:f>IF(H460&gt;0,I460/H460,0)</x:f>
        <x:v>2.510916888728492e-8</x:v>
      </x:c>
      <x:c r="K460" s="80" t="n">
        <x:f>(H460*J460+I460)*'Inputs'!$D$45*(1+'Inputs'!$G$45)^(B460/30)</x:f>
        <x:v>20.39768652873927</x:v>
      </x:c>
      <x:c r="L460" s="80" t="n">
        <x:f>MAX(0,K460*'Inputs'!$E$45)</x:f>
        <x:v>0</x:v>
      </x:c>
      <x:c r="M460" s="80" t="n">
        <x:f>MAX(0,-K460*'Inputs'!$E$45)</x:f>
        <x:v>1.0198843264369637</x:v>
      </x:c>
      <x:c r="N460" s="78" t="n">
        <x:f>H460*(L460*(1-'Inputs'!$B$15))/(I460+L460*(1-'Inputs'!$B$15))</x:f>
        <x:v>0</x:v>
      </x:c>
      <x:c r="O460" s="78" t="n">
        <x:f>H460-N460</x:f>
        <x:v>812360083.2948515</x:v>
      </x:c>
      <x:c r="P460" s="78" t="n">
        <x:f>I460+L460*(1-'Inputs'!$B$17)</x:f>
        <x:v>20.39768652873927</x:v>
      </x:c>
      <x:c r="Q460" s="78" t="n">
        <x:f>IF(J460&gt;0,M460/J460,0)</x:f>
        <x:v>40618004.16474258</x:v>
      </x:c>
      <x:c r="R460" s="78" t="n">
        <x:f>IF(B460='Inputs'!$H$45,'Inputs'!$B$27*'Inputs'!$I$45,0)</x:f>
        <x:v>0</x:v>
      </x:c>
      <x:c r="S460" s="78" t="n">
        <x:f>Q460+G460+R460</x:f>
        <x:v>41186751.989146784</x:v>
      </x:c>
      <x:c r="T460" s="78" t="n">
        <x:f>P460*(S460*(1-'Inputs'!$B$15))/(O460+S460*(1-'Inputs'!$B$15))</x:f>
        <x:v>0.9748906598321488</x:v>
      </x:c>
      <x:c r="U460" s="78" t="n">
        <x:f>O460+S460*(1-'Inputs'!$B$17)</x:f>
        <x:v>853381093.8273015</x:v>
      </x:c>
      <x:c r="V460" s="78" t="n">
        <x:f>P460-T460</x:f>
        <x:v>19.422795868907123</x:v>
      </x:c>
      <x:c r="W460" s="79" t="n">
        <x:f>IF(U460&gt;0,V460/U460,0)</x:f>
        <x:v>2.2759815057301597e-8</x:v>
      </x:c>
      <x:c r="X460" s="80" t="n">
        <x:f>W460*('Inputs'!$B$6-AC460)</x:f>
        <x:v>21.97512135666951</x:v>
      </x:c>
      <x:c r="Y460" s="80" t="n">
        <x:f>2*V460</x:f>
        <x:v>38.845591737814246</x:v>
      </x:c>
      <x:c r="Z460" s="80" t="n">
        <x:f>K460*'Inputs'!$B$16+(G460+R460)*J460*'Inputs'!$B$16</x:f>
        <x:v>0.12247180388349908</x:v>
      </x:c>
      <x:c r="AA460" s="80" t="n">
        <x:f>K460*(1+'Inputs'!$E$45)/2*'Inputs'!$B$17</x:f>
        <x:v>0.038989541654531806</x:v>
      </x:c>
      <x:c r="AB460" s="78" t="n">
        <x:f>(IF(J460&gt;0,K460*(1-'Inputs'!$E$45)/2/J460,0)+G460+R460)*'Inputs'!$B$17</x:f>
        <x:v>1718542.4207412526</x:v>
      </x:c>
      <x:c r="AC460" s="78" t="n">
        <x:f>AC459+AB460</x:f>
        <x:v>34477156.2798946</x:v>
      </x:c>
      <x:c r="AD460" s="80" t="n">
        <x:f>Z460/(1+'Inputs'!$C$45)</x:f>
        <x:v>0.08164786925566606</x:v>
      </x:c>
      <x:c r="AE460" s="80" t="n">
        <x:f>Z460-AD460</x:f>
        <x:v>0.04082393462783303</x:v>
      </x:c>
      <x:c r="AF460" s="80" t="n">
        <x:f>D460*W460</x:f>
        <x:v>0.00665469935899368</x:v>
      </x:c>
      <x:c r="AG460" s="80" t="n">
        <x:f>C460*W460</x:f>
        <x:v>0.01164572387823894</x:v>
      </x:c>
      <x:c r="AH460" s="80" t="n">
        <x:f>2*'Inputs'!$B$8*'Inputs'!$C$45</x:f>
        <x:v>2500</x:v>
      </x:c>
      <x:c r="AI460" s="81" t="n">
        <x:f>IF(AH460&gt;0,(AE460+AF460)/AH460*365,0)</x:f>
        <x:v>0.006931880562076699</x:v>
      </x:c>
      <x:c r="AJ460" s="81" t="n">
        <x:f>IF('Inputs'!$B$45&gt;0,AG460/('Inputs'!$B$19*'Inputs'!$B$45)*365,0)</x:f>
        <x:v>0.0005667585620742951</x:v>
      </x:c>
      <x:c r="AK460" s="81" t="n">
        <x:f>W460/MAX($W$369:W460)-1</x:f>
        <x:v>-0.9999697275515567</x:v>
      </x:c>
      <x:c r="AL460" s="83" t="n">
        <x:f>'Inputs'!$B$45</x:f>
        <x:v>0.75</x:v>
      </x:c>
      <x:c r="AM460" s="83" t="n">
        <x:f>'Inputs'!$C$45</x:f>
        <x:v>0.5</x:v>
      </x:c>
      <x:c r="AN460" s="83" t="n">
        <x:f>'Inputs'!$D$45</x:f>
        <x:v>0.5</x:v>
      </x:c>
      <x:c r="AO460" s="81" t="n">
        <x:f>'Inputs'!$E$45</x:f>
        <x:v>-0.05</x:v>
      </x:c>
    </x:row>
    <x:row r="461">
      <x:c r="A461" s="59" t="str">
        <x:v>Weak demand</x:v>
      </x:c>
      <x:c r="B461" s="59" t="n">
        <x:v>93</x:v>
      </x:c>
      <x:c r="C461" s="78" t="n">
        <x:f>(('Inputs'!$B$29*(3*93*'Inputs'!$B$12-93^2)/(2*'Inputs'!$B$12^2))-('Inputs'!$B$29*(3*92*'Inputs'!$B$12-92^2)/(2*'Inputs'!$B$12^2)))*'Inputs'!$B$45</x:f>
        <x:v>511435.3654531818</x:v>
      </x:c>
      <x:c r="D461" s="78" t="n">
        <x:f>IF('Inputs'!$C$45&gt;0,('Inputs'!$B$30*(3*93*'Inputs'!$B$12-93^2)/(2*'Inputs'!$B$12^2))-('Inputs'!$B$30*(3*92*'Inputs'!$B$12-92^2)/(2*'Inputs'!$B$12^2)),0)</x:f>
        <x:v>292248.780258961</x:v>
      </x:c>
      <x:c r="E461" s="78" t="n">
        <x:f>C461+D461</x:f>
        <x:v>803684.1457121428</x:v>
      </x:c>
      <x:c r="F461" s="78" t="n">
        <x:f>'Inputs'!$B$13*E461+(1-'Inputs'!$B$13)/'Inputs'!$B$14*SUM(E406:E461)</x:f>
        <x:v>812113.7291236635</x:v>
      </x:c>
      <x:c r="G461" s="78" t="n">
        <x:f>F461*'Inputs'!$F$45</x:f>
        <x:v>568479.6103865644</x:v>
      </x:c>
      <x:c r="H461" s="78" t="n">
        <x:f>U460</x:f>
        <x:v>853381093.8273015</x:v>
      </x:c>
      <x:c r="I461" s="78" t="n">
        <x:f>V460</x:f>
        <x:v>19.422795868907123</x:v>
      </x:c>
      <x:c r="J461" s="79" t="n">
        <x:f>IF(H461&gt;0,I461/H461,0)</x:f>
        <x:v>2.2759815057301597e-8</x:v>
      </x:c>
      <x:c r="K461" s="80" t="n">
        <x:f>(H461*J461+I461)*'Inputs'!$D$45*(1+'Inputs'!$G$45)^(B461/30)</x:f>
        <x:v>19.422795868907123</x:v>
      </x:c>
      <x:c r="L461" s="80" t="n">
        <x:f>MAX(0,K461*'Inputs'!$E$45)</x:f>
        <x:v>0</x:v>
      </x:c>
      <x:c r="M461" s="80" t="n">
        <x:f>MAX(0,-K461*'Inputs'!$E$45)</x:f>
        <x:v>0.9711397934453562</x:v>
      </x:c>
      <x:c r="N461" s="78" t="n">
        <x:f>H461*(L461*(1-'Inputs'!$B$15))/(I461+L461*(1-'Inputs'!$B$15))</x:f>
        <x:v>0</x:v>
      </x:c>
      <x:c r="O461" s="78" t="n">
        <x:f>H461-N461</x:f>
        <x:v>853381093.8273015</x:v>
      </x:c>
      <x:c r="P461" s="78" t="n">
        <x:f>I461+L461*(1-'Inputs'!$B$17)</x:f>
        <x:v>19.422795868907123</x:v>
      </x:c>
      <x:c r="Q461" s="78" t="n">
        <x:f>IF(J461&gt;0,M461/J461,0)</x:f>
        <x:v>42669054.69136507</x:v>
      </x:c>
      <x:c r="R461" s="78" t="n">
        <x:f>IF(B461='Inputs'!$H$45,'Inputs'!$B$27*'Inputs'!$I$45,0)</x:f>
        <x:v>0</x:v>
      </x:c>
      <x:c r="S461" s="78" t="n">
        <x:f>Q461+G461+R461</x:f>
        <x:v>43237534.301751636</x:v>
      </x:c>
      <x:c r="T461" s="78" t="n">
        <x:f>P461*(S461*(1-'Inputs'!$B$15))/(O461+S461*(1-'Inputs'!$B$15))</x:f>
        <x:v>0.927704327093834</x:v>
      </x:c>
      <x:c r="U461" s="78" t="n">
        <x:f>O461+S461*(1-'Inputs'!$B$17)</x:f>
        <x:v>896444634.0272353</x:v>
      </x:c>
      <x:c r="V461" s="78" t="n">
        <x:f>P461-T461</x:f>
        <x:v>18.495091541813288</x:v>
      </x:c>
      <x:c r="W461" s="79" t="n">
        <x:f>IF(U461&gt;0,V461/U461,0)</x:f>
        <x:v>2.063160494220927e-8</x:v>
      </x:c>
      <x:c r="X461" s="80" t="n">
        <x:f>W461*('Inputs'!$B$6-AC461)</x:f>
        <x:v>19.883041588665552</x:v>
      </x:c>
      <x:c r="Y461" s="80" t="n">
        <x:f>2*V461</x:f>
        <x:v>36.990183083626576</x:v>
      </x:c>
      <x:c r="Z461" s="80" t="n">
        <x:f>K461*'Inputs'!$B$16+(G461+R461)*J461*'Inputs'!$B$16</x:f>
        <x:v>0.11661440615822022</x:v>
      </x:c>
      <x:c r="AA461" s="80" t="n">
        <x:f>K461*(1+'Inputs'!$E$45)/2*'Inputs'!$B$17</x:f>
        <x:v>0.03712606856229732</x:v>
      </x:c>
      <x:c r="AB461" s="78" t="n">
        <x:f>(IF(J461&gt;0,K461*(1-'Inputs'!$E$45)/2/J461,0)+G461+R461)*'Inputs'!$B$17</x:f>
        <x:v>1805205.4481678866</x:v>
      </x:c>
      <x:c r="AC461" s="78" t="n">
        <x:f>AC460+AB461</x:f>
        <x:v>36282361.72806248</x:v>
      </x:c>
      <x:c r="AD461" s="80" t="n">
        <x:f>Z461/(1+'Inputs'!$C$45)</x:f>
        <x:v>0.07774293743881348</x:v>
      </x:c>
      <x:c r="AE461" s="80" t="n">
        <x:f>Z461-AD461</x:f>
        <x:v>0.038871468719406735</x:v>
      </x:c>
      <x:c r="AF461" s="80" t="n">
        <x:f>D461*W461</x:f>
        <x:v>0.006029561379145411</x:v>
      </x:c>
      <x:c r="AG461" s="80" t="n">
        <x:f>C461*W461</x:f>
        <x:v>0.01055173241350447</x:v>
      </x:c>
      <x:c r="AH461" s="80" t="n">
        <x:f>2*'Inputs'!$B$8*'Inputs'!$C$45</x:f>
        <x:v>2500</x:v>
      </x:c>
      <x:c r="AI461" s="81" t="n">
        <x:f>IF(AH461&gt;0,(AE461+AF461)/AH461*365,0)</x:f>
        <x:v>0.006555550394388614</x:v>
      </x:c>
      <x:c r="AJ461" s="81" t="n">
        <x:f>IF('Inputs'!$B$45&gt;0,AG461/('Inputs'!$B$19*'Inputs'!$B$45)*365,0)</x:f>
        <x:v>0.0005135176441238842</x:v>
      </x:c>
      <x:c r="AK461" s="81" t="n">
        <x:f>W461/MAX($W$369:W461)-1</x:f>
        <x:v>-0.9999725582481517</x:v>
      </x:c>
      <x:c r="AL461" s="83" t="n">
        <x:f>'Inputs'!$B$45</x:f>
        <x:v>0.75</x:v>
      </x:c>
      <x:c r="AM461" s="83" t="n">
        <x:f>'Inputs'!$C$45</x:f>
        <x:v>0.5</x:v>
      </x:c>
      <x:c r="AN461" s="83" t="n">
        <x:f>'Inputs'!$D$45</x:f>
        <x:v>0.5</x:v>
      </x:c>
      <x:c r="AO461" s="81" t="n">
        <x:f>'Inputs'!$E$45</x:f>
        <x:v>-0.05</x:v>
      </x:c>
    </x:row>
    <x:row r="462">
      <x:c r="A462" s="59" t="str">
        <x:v>Weak demand</x:v>
      </x:c>
      <x:c r="B462" s="59" t="n">
        <x:v>94</x:v>
      </x:c>
      <x:c r="C462" s="78" t="n">
        <x:f>(('Inputs'!$B$29*(3*94*'Inputs'!$B$12-94^2)/(2*'Inputs'!$B$12^2))-('Inputs'!$B$29*(3*93*'Inputs'!$B$12-93^2)/(2*'Inputs'!$B$12^2)))*'Inputs'!$B$45</x:f>
        <x:v>511191.53452805243</x:v>
      </x:c>
      <x:c r="D462" s="78" t="n">
        <x:f>IF('Inputs'!$C$45&gt;0,('Inputs'!$B$30*(3*94*'Inputs'!$B$12-94^2)/(2*'Inputs'!$B$12^2))-('Inputs'!$B$30*(3*93*'Inputs'!$B$12-93^2)/(2*'Inputs'!$B$12^2)),0)</x:f>
        <x:v>292109.44830174744</x:v>
      </x:c>
      <x:c r="E462" s="78" t="n">
        <x:f>C462+D462</x:f>
        <x:v>803300.9828297999</x:v>
      </x:c>
      <x:c r="F462" s="78" t="n">
        <x:f>'Inputs'!$B$13*E462+(1-'Inputs'!$B$13)/'Inputs'!$B$14*SUM(E407:E462)</x:f>
        <x:v>811730.5662413215</x:v>
      </x:c>
      <x:c r="G462" s="78" t="n">
        <x:f>F462*'Inputs'!$F$45</x:f>
        <x:v>568211.396368925</x:v>
      </x:c>
      <x:c r="H462" s="78" t="n">
        <x:f>U461</x:f>
        <x:v>896444634.0272353</x:v>
      </x:c>
      <x:c r="I462" s="78" t="n">
        <x:f>V461</x:f>
        <x:v>18.495091541813288</x:v>
      </x:c>
      <x:c r="J462" s="79" t="n">
        <x:f>IF(H462&gt;0,I462/H462,0)</x:f>
        <x:v>2.063160494220927e-8</x:v>
      </x:c>
      <x:c r="K462" s="80" t="n">
        <x:f>(H462*J462+I462)*'Inputs'!$D$45*(1+'Inputs'!$G$45)^(B462/30)</x:f>
        <x:v>18.495091541813288</x:v>
      </x:c>
      <x:c r="L462" s="80" t="n">
        <x:f>MAX(0,K462*'Inputs'!$E$45)</x:f>
        <x:v>0</x:v>
      </x:c>
      <x:c r="M462" s="80" t="n">
        <x:f>MAX(0,-K462*'Inputs'!$E$45)</x:f>
        <x:v>0.9247545770906644</x:v>
      </x:c>
      <x:c r="N462" s="78" t="n">
        <x:f>H462*(L462*(1-'Inputs'!$B$15))/(I462+L462*(1-'Inputs'!$B$15))</x:f>
        <x:v>0</x:v>
      </x:c>
      <x:c r="O462" s="78" t="n">
        <x:f>H462-N462</x:f>
        <x:v>896444634.0272353</x:v>
      </x:c>
      <x:c r="P462" s="78" t="n">
        <x:f>I462+L462*(1-'Inputs'!$B$17)</x:f>
        <x:v>18.495091541813288</x:v>
      </x:c>
      <x:c r="Q462" s="78" t="n">
        <x:f>IF(J462&gt;0,M462/J462,0)</x:f>
        <x:v>44822231.70136177</x:v>
      </x:c>
      <x:c r="R462" s="78" t="n">
        <x:f>IF(B462='Inputs'!$H$45,'Inputs'!$B$27*'Inputs'!$I$45,0)</x:f>
        <x:v>0</x:v>
      </x:c>
      <x:c r="S462" s="78" t="n">
        <x:f>Q462+G462+R462</x:f>
        <x:v>45390443.097730696</x:v>
      </x:c>
      <x:c r="T462" s="78" t="n">
        <x:f>P462*(S462*(1-'Inputs'!$B$15))/(O462+S462*(1-'Inputs'!$B$15))</x:f>
        <x:v>0.8828574655210368</x:v>
      </x:c>
      <x:c r="U462" s="78" t="n">
        <x:f>O462+S462*(1-'Inputs'!$B$17)</x:f>
        <x:v>941652419.4062629</x:v>
      </x:c>
      <x:c r="V462" s="78" t="n">
        <x:f>P462-T462</x:f>
        <x:v>17.61223407629225</x:v>
      </x:c>
      <x:c r="W462" s="79" t="n">
        <x:f>IF(U462&gt;0,V462/U462,0)</x:f>
        <x:v>1.870354040761371e-8</x:v>
      </x:c>
      <x:c r="X462" s="80" t="n">
        <x:f>W462*('Inputs'!$B$6-AC462)</x:f>
        <x:v>17.989466440886606</x:v>
      </x:c>
      <x:c r="Y462" s="80" t="n">
        <x:f>2*V462</x:f>
        <x:v>35.2244681525845</x:v>
      </x:c>
      <x:c r="Z462" s="80" t="n">
        <x:f>K462*'Inputs'!$B$16+(G462+R462)*J462*'Inputs'!$B$16</x:f>
        <x:v>0.111040887929201</x:v>
      </x:c>
      <x:c r="AA462" s="80" t="n">
        <x:f>K462*(1+'Inputs'!$E$45)/2*'Inputs'!$B$17</x:f>
        <x:v>0.035352790673486165</x:v>
      </x:c>
      <x:c r="AB462" s="78" t="n">
        <x:f>(IF(J462&gt;0,K462*(1-'Inputs'!$E$45)/2/J462,0)+G462+R462)*'Inputs'!$B$17</x:f>
        <x:v>1896183.6791173744</x:v>
      </x:c>
      <x:c r="AC462" s="78" t="n">
        <x:f>AC461+AB462</x:f>
        <x:v>38178545.407179855</x:v>
      </x:c>
      <x:c r="AD462" s="80" t="n">
        <x:f>Z462/(1+'Inputs'!$C$45)</x:f>
        <x:v>0.07402725861946734</x:v>
      </x:c>
      <x:c r="AE462" s="80" t="n">
        <x:f>Z462-AD462</x:f>
        <x:v>0.03701362930973366</x:v>
      </x:c>
      <x:c r="AF462" s="80" t="n">
        <x:f>D462*W462</x:f>
        <x:v>0.005463480869757481</x:v>
      </x:c>
      <x:c r="AG462" s="80" t="n">
        <x:f>C462*W462</x:f>
        <x:v>0.009561091522075488</x:v>
      </x:c>
      <x:c r="AH462" s="80" t="n">
        <x:f>2*'Inputs'!$B$8*'Inputs'!$C$45</x:f>
        <x:v>2500</x:v>
      </x:c>
      <x:c r="AI462" s="81" t="n">
        <x:f>IF(AH462&gt;0,(AE462+AF462)/AH462*365,0)</x:f>
        <x:v>0.006201658086205707</x:v>
      </x:c>
      <x:c r="AJ462" s="81" t="n">
        <x:f>IF('Inputs'!$B$45&gt;0,AG462/('Inputs'!$B$19*'Inputs'!$B$45)*365,0)</x:f>
        <x:v>0.00046530645407434043</x:v>
      </x:c>
      <x:c r="AK462" s="81" t="n">
        <x:f>W462/MAX($W$369:W462)-1</x:f>
        <x:v>-0.9999751227344654</x:v>
      </x:c>
      <x:c r="AL462" s="83" t="n">
        <x:f>'Inputs'!$B$45</x:f>
        <x:v>0.75</x:v>
      </x:c>
      <x:c r="AM462" s="83" t="n">
        <x:f>'Inputs'!$C$45</x:f>
        <x:v>0.5</x:v>
      </x:c>
      <x:c r="AN462" s="83" t="n">
        <x:f>'Inputs'!$D$45</x:f>
        <x:v>0.5</x:v>
      </x:c>
      <x:c r="AO462" s="81" t="n">
        <x:f>'Inputs'!$E$45</x:f>
        <x:v>-0.05</x:v>
      </x:c>
    </x:row>
    <x:row r="463">
      <x:c r="A463" s="59" t="str">
        <x:v>Weak demand</x:v>
      </x:c>
      <x:c r="B463" s="59" t="n">
        <x:v>95</x:v>
      </x:c>
      <x:c r="C463" s="78" t="n">
        <x:f>(('Inputs'!$B$29*(3*95*'Inputs'!$B$12-95^2)/(2*'Inputs'!$B$12^2))-('Inputs'!$B$29*(3*94*'Inputs'!$B$12-94^2)/(2*'Inputs'!$B$12^2)))*'Inputs'!$B$45</x:f>
        <x:v>510947.70360292867</x:v>
      </x:c>
      <x:c r="D463" s="78" t="n">
        <x:f>IF('Inputs'!$C$45&gt;0,('Inputs'!$B$30*(3*95*'Inputs'!$B$12-95^2)/(2*'Inputs'!$B$12^2))-('Inputs'!$B$30*(3*94*'Inputs'!$B$12-94^2)/(2*'Inputs'!$B$12^2)),0)</x:f>
        <x:v>291970.11634453014</x:v>
      </x:c>
      <x:c r="E463" s="78" t="n">
        <x:f>C463+D463</x:f>
        <x:v>802917.8199474588</x:v>
      </x:c>
      <x:c r="F463" s="78" t="n">
        <x:f>'Inputs'!$B$13*E463+(1-'Inputs'!$B$13)/'Inputs'!$B$14*SUM(E408:E463)</x:f>
        <x:v>811347.4033589797</x:v>
      </x:c>
      <x:c r="G463" s="78" t="n">
        <x:f>F463*'Inputs'!$F$45</x:f>
        <x:v>567943.1823512858</x:v>
      </x:c>
      <x:c r="H463" s="78" t="n">
        <x:f>U462</x:f>
        <x:v>941652419.4062629</x:v>
      </x:c>
      <x:c r="I463" s="78" t="n">
        <x:f>V462</x:f>
        <x:v>17.61223407629225</x:v>
      </x:c>
      <x:c r="J463" s="79" t="n">
        <x:f>IF(H463&gt;0,I463/H463,0)</x:f>
        <x:v>1.870354040761371e-8</x:v>
      </x:c>
      <x:c r="K463" s="80" t="n">
        <x:f>(H463*J463+I463)*'Inputs'!$D$45*(1+'Inputs'!$G$45)^(B463/30)</x:f>
        <x:v>17.61223407629225</x:v>
      </x:c>
      <x:c r="L463" s="80" t="n">
        <x:f>MAX(0,K463*'Inputs'!$E$45)</x:f>
        <x:v>0</x:v>
      </x:c>
      <x:c r="M463" s="80" t="n">
        <x:f>MAX(0,-K463*'Inputs'!$E$45)</x:f>
        <x:v>0.8806117038146125</x:v>
      </x:c>
      <x:c r="N463" s="78" t="n">
        <x:f>H463*(L463*(1-'Inputs'!$B$15))/(I463+L463*(1-'Inputs'!$B$15))</x:f>
        <x:v>0</x:v>
      </x:c>
      <x:c r="O463" s="78" t="n">
        <x:f>H463-N463</x:f>
        <x:v>941652419.4062629</x:v>
      </x:c>
      <x:c r="P463" s="78" t="n">
        <x:f>I463+L463*(1-'Inputs'!$B$17)</x:f>
        <x:v>17.61223407629225</x:v>
      </x:c>
      <x:c r="Q463" s="78" t="n">
        <x:f>IF(J463&gt;0,M463/J463,0)</x:f>
        <x:v>47082620.97031315</x:v>
      </x:c>
      <x:c r="R463" s="78" t="n">
        <x:f>IF(B463='Inputs'!$H$45,'Inputs'!$B$27*'Inputs'!$I$45,0)</x:f>
        <x:v>0</x:v>
      </x:c>
      <x:c r="S463" s="78" t="n">
        <x:f>Q463+G463+R463</x:f>
        <x:v>47650564.15266443</x:v>
      </x:c>
      <x:c r="T463" s="78" t="n">
        <x:f>P463*(S463*(1-'Inputs'!$B$15))/(O463+S463*(1-'Inputs'!$B$15))</x:f>
        <x:v>0.8402288767355072</x:v>
      </x:c>
      <x:c r="U463" s="78" t="n">
        <x:f>O463+S463*(1-'Inputs'!$B$17)</x:f>
        <x:v>989111230.7856772</x:v>
      </x:c>
      <x:c r="V463" s="78" t="n">
        <x:f>P463-T463</x:f>
        <x:v>16.77200519955674</x:v>
      </x:c>
      <x:c r="W463" s="79" t="n">
        <x:f>IF(U463&gt;0,V463/U463,0)</x:f>
        <x:v>1.6956642162716415e-8</x:v>
      </x:c>
      <x:c r="X463" s="80" t="n">
        <x:f>W463*('Inputs'!$B$6-AC463)</x:f>
        <x:v>16.275489821317972</x:v>
      </x:c>
      <x:c r="Y463" s="80" t="n">
        <x:f>2*V463</x:f>
        <x:v>33.54401039911348</x:v>
      </x:c>
      <x:c r="Z463" s="80" t="n">
        <x:f>K463*'Inputs'!$B$16+(G463+R463)*J463*'Inputs'!$B$16</x:f>
        <x:v>0.10573713974731552</x:v>
      </x:c>
      <x:c r="AA463" s="80" t="n">
        <x:f>K463*(1+'Inputs'!$E$45)/2*'Inputs'!$B$17</x:f>
        <x:v>0.03366523616192684</x:v>
      </x:c>
      <x:c r="AB463" s="78" t="n">
        <x:f>(IF(J463&gt;0,K463*(1-'Inputs'!$E$45)/2/J463,0)+G463+R463)*'Inputs'!$B$17</x:f>
        <x:v>1991692.005515651</x:v>
      </x:c>
      <x:c r="AC463" s="78" t="n">
        <x:f>AC462+AB463</x:f>
        <x:v>40170237.412695505</x:v>
      </x:c>
      <x:c r="AD463" s="80" t="n">
        <x:f>Z463/(1+'Inputs'!$C$45)</x:f>
        <x:v>0.07049142649821034</x:v>
      </x:c>
      <x:c r="AE463" s="80" t="n">
        <x:f>Z463-AD463</x:f>
        <x:v>0.03524571324910518</x:v>
      </x:c>
      <x:c r="AF463" s="80" t="n">
        <x:f>D463*W463</x:f>
        <x:v>0.004950832785060877</x:v>
      </x:c>
      <x:c r="AG463" s="80" t="n">
        <x:f>C463*W463</x:f>
        <x:v>0.00866395737385655</x:v>
      </x:c>
      <x:c r="AH463" s="80" t="n">
        <x:f>2*'Inputs'!$B$8*'Inputs'!$C$45</x:f>
        <x:v>2500</x:v>
      </x:c>
      <x:c r="AI463" s="81" t="n">
        <x:f>IF(AH463&gt;0,(AE463+AF463)/AH463*365,0)</x:f>
        <x:v>0.005868695720988245</x:v>
      </x:c>
      <x:c r="AJ463" s="81" t="n">
        <x:f>IF('Inputs'!$B$45&gt;0,AG463/('Inputs'!$B$19*'Inputs'!$B$45)*365,0)</x:f>
        <x:v>0.0004216459255276854</x:v>
      </x:c>
      <x:c r="AK463" s="81" t="n">
        <x:f>W463/MAX($W$369:W463)-1</x:f>
        <x:v>-0.9999774462545346</x:v>
      </x:c>
      <x:c r="AL463" s="83" t="n">
        <x:f>'Inputs'!$B$45</x:f>
        <x:v>0.75</x:v>
      </x:c>
      <x:c r="AM463" s="83" t="n">
        <x:f>'Inputs'!$C$45</x:f>
        <x:v>0.5</x:v>
      </x:c>
      <x:c r="AN463" s="83" t="n">
        <x:f>'Inputs'!$D$45</x:f>
        <x:v>0.5</x:v>
      </x:c>
      <x:c r="AO463" s="81" t="n">
        <x:f>'Inputs'!$E$45</x:f>
        <x:v>-0.05</x:v>
      </x:c>
    </x:row>
    <x:row r="464">
      <x:c r="A464" s="59" t="str">
        <x:v>Weak demand</x:v>
      </x:c>
      <x:c r="B464" s="59" t="n">
        <x:v>96</x:v>
      </x:c>
      <x:c r="C464" s="78" t="n">
        <x:f>(('Inputs'!$B$29*(3*96*'Inputs'!$B$12-96^2)/(2*'Inputs'!$B$12^2))-('Inputs'!$B$29*(3*95*'Inputs'!$B$12-95^2)/(2*'Inputs'!$B$12^2)))*'Inputs'!$B$45</x:f>
        <x:v>510703.8726777993</x:v>
      </x:c>
      <x:c r="D464" s="78" t="n">
        <x:f>IF('Inputs'!$C$45&gt;0,('Inputs'!$B$30*(3*96*'Inputs'!$B$12-96^2)/(2*'Inputs'!$B$12^2))-('Inputs'!$B$30*(3*95*'Inputs'!$B$12-95^2)/(2*'Inputs'!$B$12^2)),0)</x:f>
        <x:v>291830.78438731283</x:v>
      </x:c>
      <x:c r="E464" s="78" t="n">
        <x:f>C464+D464</x:f>
        <x:v>802534.6570651121</x:v>
      </x:c>
      <x:c r="F464" s="78" t="n">
        <x:f>'Inputs'!$B$13*E464+(1-'Inputs'!$B$13)/'Inputs'!$B$14*SUM(E409:E464)</x:f>
        <x:v>810964.240476637</x:v>
      </x:c>
      <x:c r="G464" s="78" t="n">
        <x:f>F464*'Inputs'!$F$45</x:f>
        <x:v>567674.9683336458</x:v>
      </x:c>
      <x:c r="H464" s="78" t="n">
        <x:f>U463</x:f>
        <x:v>989111230.7856772</x:v>
      </x:c>
      <x:c r="I464" s="78" t="n">
        <x:f>V463</x:f>
        <x:v>16.77200519955674</x:v>
      </x:c>
      <x:c r="J464" s="79" t="n">
        <x:f>IF(H464&gt;0,I464/H464,0)</x:f>
        <x:v>1.6956642162716415e-8</x:v>
      </x:c>
      <x:c r="K464" s="80" t="n">
        <x:f>(H464*J464+I464)*'Inputs'!$D$45*(1+'Inputs'!$G$45)^(B464/30)</x:f>
        <x:v>16.77200519955674</x:v>
      </x:c>
      <x:c r="L464" s="80" t="n">
        <x:f>MAX(0,K464*'Inputs'!$E$45)</x:f>
        <x:v>0</x:v>
      </x:c>
      <x:c r="M464" s="80" t="n">
        <x:f>MAX(0,-K464*'Inputs'!$E$45)</x:f>
        <x:v>0.838600259977837</x:v>
      </x:c>
      <x:c r="N464" s="78" t="n">
        <x:f>H464*(L464*(1-'Inputs'!$B$15))/(I464+L464*(1-'Inputs'!$B$15))</x:f>
        <x:v>0</x:v>
      </x:c>
      <x:c r="O464" s="78" t="n">
        <x:f>H464-N464</x:f>
        <x:v>989111230.7856772</x:v>
      </x:c>
      <x:c r="P464" s="78" t="n">
        <x:f>I464+L464*(1-'Inputs'!$B$17)</x:f>
        <x:v>16.77200519955674</x:v>
      </x:c>
      <x:c r="Q464" s="78" t="n">
        <x:f>IF(J464&gt;0,M464/J464,0)</x:f>
        <x:v>49455561.539283864</x:v>
      </x:c>
      <x:c r="R464" s="78" t="n">
        <x:f>IF(B464='Inputs'!$H$45,'Inputs'!$B$27*'Inputs'!$I$45,0)</x:f>
        <x:v>0</x:v>
      </x:c>
      <x:c r="S464" s="78" t="n">
        <x:f>Q464+G464+R464</x:f>
        <x:v>50023236.50761751</x:v>
      </x:c>
      <x:c r="T464" s="78" t="n">
        <x:f>P464*(S464*(1-'Inputs'!$B$15))/(O464+S464*(1-'Inputs'!$B$15))</x:f>
        <x:v>0.7997041259031649</x:v>
      </x:c>
      <x:c r="U464" s="78" t="n">
        <x:f>O464+S464*(1-'Inputs'!$B$17)</x:f>
        <x:v>1038933166.5427611</x:v>
      </x:c>
      <x:c r="V464" s="78" t="n">
        <x:f>P464-T464</x:f>
        <x:v>15.972301073653576</x:v>
      </x:c>
      <x:c r="W464" s="79" t="n">
        <x:f>IF(U464&gt;0,V464/U464,0)</x:f>
        <x:v>1.537375221815693e-8</x:v>
      </x:c>
      <x:c r="X464" s="80" t="n">
        <x:f>W464*('Inputs'!$B$6-AC464)</x:f>
        <x:v>14.724023728116899</x:v>
      </x:c>
      <x:c r="Y464" s="80" t="n">
        <x:f>2*V464</x:f>
        <x:v>31.94460214730715</x:v>
      </x:c>
      <x:c r="Z464" s="80" t="n">
        <x:f>K464*'Inputs'!$B$16+(G464+R464)*J464*'Inputs'!$B$16</x:f>
        <x:v>0.10068978636515703</x:v>
      </x:c>
      <x:c r="AA464" s="80" t="n">
        <x:f>K464*(1+'Inputs'!$E$45)/2*'Inputs'!$B$17</x:f>
        <x:v>0.03205916486836802</x:v>
      </x:c>
      <x:c r="AB464" s="78" t="n">
        <x:f>(IF(J464&gt;0,K464*(1-'Inputs'!$E$45)/2/J464,0)+G464+R464)*'Inputs'!$B$17</x:f>
        <x:v>2091956.02064714</x:v>
      </x:c>
      <x:c r="AC464" s="78" t="n">
        <x:f>AC463+AB464</x:f>
        <x:v>42262193.43334264</x:v>
      </x:c>
      <x:c r="AD464" s="80" t="n">
        <x:f>Z464/(1+'Inputs'!$C$45)</x:f>
        <x:v>0.06712652424343803</x:v>
      </x:c>
      <x:c r="AE464" s="80" t="n">
        <x:f>Z464-AD464</x:f>
        <x:v>0.033563262121719006</x:v>
      </x:c>
      <x:c r="AF464" s="80" t="n">
        <x:f>D464*W464</x:f>
        <x:v>0.004486534168800927</x:v>
      </x:c>
      <x:c r="AG464" s="80" t="n">
        <x:f>C464*W464</x:f>
        <x:v>0.00785143479540165</x:v>
      </x:c>
      <x:c r="AH464" s="80" t="n">
        <x:f>2*'Inputs'!$B$8*'Inputs'!$C$45</x:f>
        <x:v>2500</x:v>
      </x:c>
      <x:c r="AI464" s="81" t="n">
        <x:f>IF(AH464&gt;0,(AE464+AF464)/AH464*365,0)</x:f>
        <x:v>0.0055552702584159095</x:v>
      </x:c>
      <x:c r="AJ464" s="81" t="n">
        <x:f>IF('Inputs'!$B$45&gt;0,AG464/('Inputs'!$B$19*'Inputs'!$B$45)*365,0)</x:f>
        <x:v>0.00038210316004288027</x:v>
      </x:c>
      <x:c r="AK464" s="81" t="n">
        <x:f>W464/MAX($W$369:W464)-1</x:f>
        <x:v>-0.9999795516299129</x:v>
      </x:c>
      <x:c r="AL464" s="83" t="n">
        <x:f>'Inputs'!$B$45</x:f>
        <x:v>0.75</x:v>
      </x:c>
      <x:c r="AM464" s="83" t="n">
        <x:f>'Inputs'!$C$45</x:f>
        <x:v>0.5</x:v>
      </x:c>
      <x:c r="AN464" s="83" t="n">
        <x:f>'Inputs'!$D$45</x:f>
        <x:v>0.5</x:v>
      </x:c>
      <x:c r="AO464" s="81" t="n">
        <x:f>'Inputs'!$E$45</x:f>
        <x:v>-0.05</x:v>
      </x:c>
    </x:row>
    <x:row r="465">
      <x:c r="A465" s="59" t="str">
        <x:v>Weak demand</x:v>
      </x:c>
      <x:c r="B465" s="59" t="n">
        <x:v>97</x:v>
      </x:c>
      <x:c r="C465" s="78" t="n">
        <x:f>(('Inputs'!$B$29*(3*97*'Inputs'!$B$12-97^2)/(2*'Inputs'!$B$12^2))-('Inputs'!$B$29*(3*96*'Inputs'!$B$12-96^2)/(2*'Inputs'!$B$12^2)))*'Inputs'!$B$45</x:f>
        <x:v>510460.04175266996</x:v>
      </x:c>
      <x:c r="D465" s="78" t="n">
        <x:f>IF('Inputs'!$C$45&gt;0,('Inputs'!$B$30*(3*97*'Inputs'!$B$12-97^2)/(2*'Inputs'!$B$12^2))-('Inputs'!$B$30*(3*96*'Inputs'!$B$12-96^2)/(2*'Inputs'!$B$12^2)),0)</x:f>
        <x:v>291691.45243009925</x:v>
      </x:c>
      <x:c r="E465" s="78" t="n">
        <x:f>C465+D465</x:f>
        <x:v>802151.4941827692</x:v>
      </x:c>
      <x:c r="F465" s="78" t="n">
        <x:f>'Inputs'!$B$13*E465+(1-'Inputs'!$B$13)/'Inputs'!$B$14*SUM(E410:E465)</x:f>
        <x:v>810581.0775942947</x:v>
      </x:c>
      <x:c r="G465" s="78" t="n">
        <x:f>F465*'Inputs'!$F$45</x:f>
        <x:v>567406.7543160062</x:v>
      </x:c>
      <x:c r="H465" s="78" t="n">
        <x:f>U464</x:f>
        <x:v>1038933166.5427611</x:v>
      </x:c>
      <x:c r="I465" s="78" t="n">
        <x:f>V464</x:f>
        <x:v>15.972301073653576</x:v>
      </x:c>
      <x:c r="J465" s="79" t="n">
        <x:f>IF(H465&gt;0,I465/H465,0)</x:f>
        <x:v>1.537375221815693e-8</x:v>
      </x:c>
      <x:c r="K465" s="80" t="n">
        <x:f>(H465*J465+I465)*'Inputs'!$D$45*(1+'Inputs'!$G$45)^(B465/30)</x:f>
        <x:v>15.972301073653576</x:v>
      </x:c>
      <x:c r="L465" s="80" t="n">
        <x:f>MAX(0,K465*'Inputs'!$E$45)</x:f>
        <x:v>0</x:v>
      </x:c>
      <x:c r="M465" s="80" t="n">
        <x:f>MAX(0,-K465*'Inputs'!$E$45)</x:f>
        <x:v>0.7986150536826788</x:v>
      </x:c>
      <x:c r="N465" s="78" t="n">
        <x:f>H465*(L465*(1-'Inputs'!$B$15))/(I465+L465*(1-'Inputs'!$B$15))</x:f>
        <x:v>0</x:v>
      </x:c>
      <x:c r="O465" s="78" t="n">
        <x:f>H465-N465</x:f>
        <x:v>1038933166.5427611</x:v>
      </x:c>
      <x:c r="P465" s="78" t="n">
        <x:f>I465+L465*(1-'Inputs'!$B$17)</x:f>
        <x:v>15.972301073653576</x:v>
      </x:c>
      <x:c r="Q465" s="78" t="n">
        <x:f>IF(J465&gt;0,M465/J465,0)</x:f>
        <x:v>51946658.32713806</x:v>
      </x:c>
      <x:c r="R465" s="78" t="n">
        <x:f>IF(B465='Inputs'!$H$45,'Inputs'!$B$27*'Inputs'!$I$45,0)</x:f>
        <x:v>0</x:v>
      </x:c>
      <x:c r="S465" s="78" t="n">
        <x:f>Q465+G465+R465</x:f>
        <x:v>52514065.08145407</x:v>
      </x:c>
      <x:c r="T465" s="78" t="n">
        <x:f>P465*(S465*(1-'Inputs'!$B$15))/(O465+S465*(1-'Inputs'!$B$15))</x:f>
        <x:v>0.7611751199947469</x:v>
      </x:c>
      <x:c r="U465" s="78" t="n">
        <x:f>O465+S465*(1-'Inputs'!$B$17)</x:f>
        <x:v>1091235907.4186559</x:v>
      </x:c>
      <x:c r="V465" s="78" t="n">
        <x:f>P465-T465</x:f>
        <x:v>15.21112595365883</x:v>
      </x:c>
      <x:c r="W465" s="79" t="n">
        <x:f>IF(U465&gt;0,V465/U465,0)</x:f>
        <x:v>1.393935614677591e-8</x:v>
      </x:c>
      <x:c r="X465" s="80" t="n">
        <x:f>W465*('Inputs'!$B$6-AC465)</x:f>
        <x:v>13.31962065267115</x:v>
      </x:c>
      <x:c r="Y465" s="80" t="n">
        <x:f>2*V465</x:f>
        <x:v>30.42225190731766</x:v>
      </x:c>
      <x:c r="Z465" s="80" t="n">
        <x:f>K465*'Inputs'!$B$16+(G465+R465)*J465*'Inputs'!$B$16</x:f>
        <x:v>0.09588614546700804</x:v>
      </x:c>
      <x:c r="AA465" s="80" t="n">
        <x:f>K465*(1+'Inputs'!$E$45)/2*'Inputs'!$B$17</x:f>
        <x:v>0.030530555372174844</x:v>
      </x:c>
      <x:c r="AB465" s="78" t="n">
        <x:f>(IF(J465&gt;0,K465*(1-'Inputs'!$E$45)/2/J465,0)+G465+R465)*'Inputs'!$B$17</x:f>
        <x:v>2197212.552069479</x:v>
      </x:c>
      <x:c r="AC465" s="78" t="n">
        <x:f>AC464+AB465</x:f>
        <x:v>44459405.98541212</x:v>
      </x:c>
      <x:c r="AD465" s="80" t="n">
        <x:f>Z465/(1+'Inputs'!$C$45)</x:f>
        <x:v>0.06392409697800536</x:v>
      </x:c>
      <x:c r="AE465" s="80" t="n">
        <x:f>Z465-AD465</x:f>
        <x:v>0.03196204848900268</x:v>
      </x:c>
      <x:c r="AF465" s="80" t="n">
        <x:f>D465*W465</x:f>
        <x:v>0.004065991040393497</x:v>
      </x:c>
      <x:c r="AG465" s="80" t="n">
        <x:f>C465*W465</x:f>
        <x:v>0.007115484320688568</x:v>
      </x:c>
      <x:c r="AH465" s="80" t="n">
        <x:f>2*'Inputs'!$B$8*'Inputs'!$C$45</x:f>
        <x:v>2500</x:v>
      </x:c>
      <x:c r="AI465" s="81" t="n">
        <x:f>IF(AH465&gt;0,(AE465+AF465)/AH465*365,0)</x:f>
        <x:v>0.005260093771291842</x:v>
      </x:c>
      <x:c r="AJ465" s="81" t="n">
        <x:f>IF('Inputs'!$B$45&gt;0,AG465/('Inputs'!$B$19*'Inputs'!$B$45)*365,0)</x:f>
        <x:v>0.00034628690360684366</x:v>
      </x:c>
      <x:c r="AK465" s="81" t="n">
        <x:f>W465/MAX($W$369:W465)-1</x:f>
        <x:v>-0.9999814594960801</x:v>
      </x:c>
      <x:c r="AL465" s="83" t="n">
        <x:f>'Inputs'!$B$45</x:f>
        <x:v>0.75</x:v>
      </x:c>
      <x:c r="AM465" s="83" t="n">
        <x:f>'Inputs'!$C$45</x:f>
        <x:v>0.5</x:v>
      </x:c>
      <x:c r="AN465" s="83" t="n">
        <x:f>'Inputs'!$D$45</x:f>
        <x:v>0.5</x:v>
      </x:c>
      <x:c r="AO465" s="81" t="n">
        <x:f>'Inputs'!$E$45</x:f>
        <x:v>-0.05</x:v>
      </x:c>
    </x:row>
    <x:row r="466">
      <x:c r="A466" s="59" t="str">
        <x:v>Weak demand</x:v>
      </x:c>
      <x:c r="B466" s="59" t="n">
        <x:v>98</x:v>
      </x:c>
      <x:c r="C466" s="78" t="n">
        <x:f>(('Inputs'!$B$29*(3*98*'Inputs'!$B$12-98^2)/(2*'Inputs'!$B$12^2))-('Inputs'!$B$29*(3*97*'Inputs'!$B$12-97^2)/(2*'Inputs'!$B$12^2)))*'Inputs'!$B$45</x:f>
        <x:v>510216.2108275518</x:v>
      </x:c>
      <x:c r="D466" s="78" t="n">
        <x:f>IF('Inputs'!$C$45&gt;0,('Inputs'!$B$30*(3*98*'Inputs'!$B$12-98^2)/(2*'Inputs'!$B$12^2))-('Inputs'!$B$30*(3*97*'Inputs'!$B$12-97^2)/(2*'Inputs'!$B$12^2)),0)</x:f>
        <x:v>291552.12047288567</x:v>
      </x:c>
      <x:c r="E466" s="78" t="n">
        <x:f>C466+D466</x:f>
        <x:v>801768.3313004375</x:v>
      </x:c>
      <x:c r="F466" s="78" t="n">
        <x:f>'Inputs'!$B$13*E466+(1-'Inputs'!$B$13)/'Inputs'!$B$14*SUM(E411:E466)</x:f>
        <x:v>810197.9147119549</x:v>
      </x:c>
      <x:c r="G466" s="78" t="n">
        <x:f>F466*'Inputs'!$F$45</x:f>
        <x:v>567138.5402983684</x:v>
      </x:c>
      <x:c r="H466" s="78" t="n">
        <x:f>U465</x:f>
        <x:v>1091235907.4186559</x:v>
      </x:c>
      <x:c r="I466" s="78" t="n">
        <x:f>V465</x:f>
        <x:v>15.21112595365883</x:v>
      </x:c>
      <x:c r="J466" s="79" t="n">
        <x:f>IF(H466&gt;0,I466/H466,0)</x:f>
        <x:v>1.393935614677591e-8</x:v>
      </x:c>
      <x:c r="K466" s="80" t="n">
        <x:f>(H466*J466+I466)*'Inputs'!$D$45*(1+'Inputs'!$G$45)^(B466/30)</x:f>
        <x:v>15.21112595365883</x:v>
      </x:c>
      <x:c r="L466" s="80" t="n">
        <x:f>MAX(0,K466*'Inputs'!$E$45)</x:f>
        <x:v>0</x:v>
      </x:c>
      <x:c r="M466" s="80" t="n">
        <x:f>MAX(0,-K466*'Inputs'!$E$45)</x:f>
        <x:v>0.7605562976829415</x:v>
      </x:c>
      <x:c r="N466" s="78" t="n">
        <x:f>H466*(L466*(1-'Inputs'!$B$15))/(I466+L466*(1-'Inputs'!$B$15))</x:f>
        <x:v>0</x:v>
      </x:c>
      <x:c r="O466" s="78" t="n">
        <x:f>H466-N466</x:f>
        <x:v>1091235907.4186559</x:v>
      </x:c>
      <x:c r="P466" s="78" t="n">
        <x:f>I466+L466*(1-'Inputs'!$B$17)</x:f>
        <x:v>15.21112595365883</x:v>
      </x:c>
      <x:c r="Q466" s="78" t="n">
        <x:f>IF(J466&gt;0,M466/J466,0)</x:f>
        <x:v>54561795.3709328</x:v>
      </x:c>
      <x:c r="R466" s="78" t="n">
        <x:f>IF(B466='Inputs'!$H$45,'Inputs'!$B$27*'Inputs'!$I$45,0)</x:f>
        <x:v>0</x:v>
      </x:c>
      <x:c r="S466" s="78" t="n">
        <x:f>Q466+G466+R466</x:f>
        <x:v>55128933.91123117</x:v>
      </x:c>
      <x:c r="T466" s="78" t="n">
        <x:f>P466*(S466*(1-'Inputs'!$B$15))/(O466+S466*(1-'Inputs'!$B$15))</x:f>
        <x:v>0.7245397162549952</x:v>
      </x:c>
      <x:c r="U466" s="78" t="n">
        <x:f>O466+S466*(1-'Inputs'!$B$17)</x:f>
        <x:v>1146142994.5133429</x:v>
      </x:c>
      <x:c r="V466" s="78" t="n">
        <x:f>P466-T466</x:f>
        <x:v>14.486586237403834</x:v>
      </x:c>
      <x:c r="W466" s="79" t="n">
        <x:f>IF(U466&gt;0,V466/U466,0)</x:f>
        <x:v>1.2639423097076033e-8</x:v>
      </x:c>
      <x:c r="X466" s="80" t="n">
        <x:f>W466*('Inputs'!$B$6-AC466)</x:f>
        <x:v>12.048313728312225</x:v>
      </x:c>
      <x:c r="Y466" s="80" t="n">
        <x:f>2*V466</x:f>
        <x:v>28.97317247480767</x:v>
      </x:c>
      <x:c r="Z466" s="80" t="n">
        <x:f>K466*'Inputs'!$B$16+(G466+R466)*J466*'Inputs'!$B$16</x:f>
        <x:v>0.09131418899853966</x:v>
      </x:c>
      <x:c r="AA466" s="80" t="n">
        <x:f>K466*(1+'Inputs'!$E$45)/2*'Inputs'!$B$17</x:f>
        <x:v>0.029075592869166778</x:v>
      </x:c>
      <x:c r="AB466" s="78" t="n">
        <x:f>(IF(J466&gt;0,K466*(1-'Inputs'!$E$45)/2/J466,0)+G466+R466)*'Inputs'!$B$17</x:f>
        <x:v>2307710.2210667715</x:v>
      </x:c>
      <x:c r="AC466" s="78" t="n">
        <x:f>AC465+AB466</x:f>
        <x:v>46767116.206478894</x:v>
      </x:c>
      <x:c r="AD466" s="80" t="n">
        <x:f>Z466/(1+'Inputs'!$C$45)</x:f>
        <x:v>0.06087612599902644</x:v>
      </x:c>
      <x:c r="AE466" s="80" t="n">
        <x:f>Z466-AD466</x:f>
        <x:v>0.030438062999513217</x:v>
      </x:c>
      <x:c r="AF466" s="80" t="n">
        <x:f>D466*W466</x:f>
        <x:v>0.0036850506055064853</x:v>
      </x:c>
      <x:c r="AG466" s="80" t="n">
        <x:f>C466*W466</x:f>
        <x:v>0.006448838559636373</x:v>
      </x:c>
      <x:c r="AH466" s="80" t="n">
        <x:f>2*'Inputs'!$B$8*'Inputs'!$C$45</x:f>
        <x:v>2500</x:v>
      </x:c>
      <x:c r="AI466" s="81" t="n">
        <x:f>IF(AH466&gt;0,(AE466+AF466)/AH466*365,0)</x:f>
        <x:v>0.0049819745863328765</x:v>
      </x:c>
      <x:c r="AJ466" s="81" t="n">
        <x:f>IF('Inputs'!$B$45&gt;0,AG466/('Inputs'!$B$19*'Inputs'!$B$45)*365,0)</x:f>
        <x:v>0.00031384347656897017</x:v>
      </x:c>
      <x:c r="AK466" s="81" t="n">
        <x:f>W466/MAX($W$369:W466)-1</x:f>
        <x:v>-0.9999831885152364</x:v>
      </x:c>
      <x:c r="AL466" s="83" t="n">
        <x:f>'Inputs'!$B$45</x:f>
        <x:v>0.75</x:v>
      </x:c>
      <x:c r="AM466" s="83" t="n">
        <x:f>'Inputs'!$C$45</x:f>
        <x:v>0.5</x:v>
      </x:c>
      <x:c r="AN466" s="83" t="n">
        <x:f>'Inputs'!$D$45</x:f>
        <x:v>0.5</x:v>
      </x:c>
      <x:c r="AO466" s="81" t="n">
        <x:f>'Inputs'!$E$45</x:f>
        <x:v>-0.05</x:v>
      </x:c>
    </x:row>
    <x:row r="467">
      <x:c r="A467" s="59" t="str">
        <x:v>Weak demand</x:v>
      </x:c>
      <x:c r="B467" s="59" t="n">
        <x:v>99</x:v>
      </x:c>
      <x:c r="C467" s="78" t="n">
        <x:f>(('Inputs'!$B$29*(3*99*'Inputs'!$B$12-99^2)/(2*'Inputs'!$B$12^2))-('Inputs'!$B$29*(3*98*'Inputs'!$B$12-98^2)/(2*'Inputs'!$B$12^2)))*'Inputs'!$B$45</x:f>
        <x:v>509972.3799024224</x:v>
      </x:c>
      <x:c r="D467" s="78" t="n">
        <x:f>IF('Inputs'!$C$45&gt;0,('Inputs'!$B$30*(3*99*'Inputs'!$B$12-99^2)/(2*'Inputs'!$B$12^2))-('Inputs'!$B$30*(3*98*'Inputs'!$B$12-98^2)/(2*'Inputs'!$B$12^2)),0)</x:f>
        <x:v>291412.78851566836</x:v>
      </x:c>
      <x:c r="E467" s="78" t="n">
        <x:f>C467+D467</x:f>
        <x:v>801385.1684180908</x:v>
      </x:c>
      <x:c r="F467" s="78" t="n">
        <x:f>'Inputs'!$B$13*E467+(1-'Inputs'!$B$13)/'Inputs'!$B$14*SUM(E412:E467)</x:f>
        <x:v>809814.7518296121</x:v>
      </x:c>
      <x:c r="G467" s="78" t="n">
        <x:f>F467*'Inputs'!$F$45</x:f>
        <x:v>566870.3262807284</x:v>
      </x:c>
      <x:c r="H467" s="78" t="n">
        <x:f>U466</x:f>
        <x:v>1146142994.5133429</x:v>
      </x:c>
      <x:c r="I467" s="78" t="n">
        <x:f>V466</x:f>
        <x:v>14.486586237403834</x:v>
      </x:c>
      <x:c r="J467" s="79" t="n">
        <x:f>IF(H467&gt;0,I467/H467,0)</x:f>
        <x:v>1.2639423097076033e-8</x:v>
      </x:c>
      <x:c r="K467" s="80" t="n">
        <x:f>(H467*J467+I467)*'Inputs'!$D$45*(1+'Inputs'!$G$45)^(B467/30)</x:f>
        <x:v>14.486586237403834</x:v>
      </x:c>
      <x:c r="L467" s="80" t="n">
        <x:f>MAX(0,K467*'Inputs'!$E$45)</x:f>
        <x:v>0</x:v>
      </x:c>
      <x:c r="M467" s="80" t="n">
        <x:f>MAX(0,-K467*'Inputs'!$E$45)</x:f>
        <x:v>0.7243293118701918</x:v>
      </x:c>
      <x:c r="N467" s="78" t="n">
        <x:f>H467*(L467*(1-'Inputs'!$B$15))/(I467+L467*(1-'Inputs'!$B$15))</x:f>
        <x:v>0</x:v>
      </x:c>
      <x:c r="O467" s="78" t="n">
        <x:f>H467-N467</x:f>
        <x:v>1146142994.5133429</x:v>
      </x:c>
      <x:c r="P467" s="78" t="n">
        <x:f>I467+L467*(1-'Inputs'!$B$17)</x:f>
        <x:v>14.486586237403834</x:v>
      </x:c>
      <x:c r="Q467" s="78" t="n">
        <x:f>IF(J467&gt;0,M467/J467,0)</x:f>
        <x:v>57307149.72566715</x:v>
      </x:c>
      <x:c r="R467" s="78" t="n">
        <x:f>IF(B467='Inputs'!$H$45,'Inputs'!$B$27*'Inputs'!$I$45,0)</x:f>
        <x:v>0</x:v>
      </x:c>
      <x:c r="S467" s="78" t="n">
        <x:f>Q467+G467+R467</x:f>
        <x:v>57874020.05194788</x:v>
      </x:c>
      <x:c r="T467" s="78" t="n">
        <x:f>P467*(S467*(1-'Inputs'!$B$15))/(O467+S467*(1-'Inputs'!$B$15))</x:f>
        <x:v>0.6897013583866791</x:v>
      </x:c>
      <x:c r="U467" s="78" t="n">
        <x:f>O467+S467*(1-'Inputs'!$B$17)</x:f>
        <x:v>1203784121.1244378</x:v>
      </x:c>
      <x:c r="V467" s="78" t="n">
        <x:f>P467-T467</x:f>
        <x:v>13.796884879017155</x:v>
      </x:c>
      <x:c r="W467" s="79" t="n">
        <x:f>IF(U467&gt;0,V467/U467,0)</x:f>
        <x:v>1.14612617303256e-8</x:v>
      </x:c>
      <x:c r="X467" s="80" t="n">
        <x:f>W467*('Inputs'!$B$6-AC467)</x:f>
        <x:v>10.897472796098771</x:v>
      </x:c>
      <x:c r="Y467" s="80" t="n">
        <x:f>2*V467</x:f>
        <x:v>27.59376975803431</x:v>
      </x:c>
      <x:c r="Z467" s="80" t="n">
        <x:f>K467*'Inputs'!$B$16+(G467+R467)*J467*'Inputs'!$B$16</x:f>
        <x:v>0.08696250690779325</x:v>
      </x:c>
      <x:c r="AA467" s="80" t="n">
        <x:f>K467*(1+'Inputs'!$E$45)/2*'Inputs'!$B$17</x:f>
        <x:v>0.02769065779785441</x:v>
      </x:c>
      <x:c r="AB467" s="78" t="n">
        <x:f>(IF(J467&gt;0,K467*(1-'Inputs'!$E$45)/2/J467,0)+G467+R467)*'Inputs'!$B$17</x:f>
        <x:v>2423710.0299629206</x:v>
      </x:c>
      <x:c r="AC467" s="78" t="n">
        <x:f>AC466+AB467</x:f>
        <x:v>49190826.23644181</x:v>
      </x:c>
      <x:c r="AD467" s="80" t="n">
        <x:f>Z467/(1+'Inputs'!$C$45)</x:f>
        <x:v>0.0579750046051955</x:v>
      </x:c>
      <x:c r="AE467" s="80" t="n">
        <x:f>Z467-AD467</x:f>
        <x:v>0.02898750230259775</x:v>
      </x:c>
      <x:c r="AF467" s="80" t="n">
        <x:f>D467*W467</x:f>
        <x:v>0.003339958240742097</x:v>
      </x:c>
      <x:c r="AG467" s="80" t="n">
        <x:f>C467*W467</x:f>
        <x:v>0.005844926921298702</x:v>
      </x:c>
      <x:c r="AH467" s="80" t="n">
        <x:f>2*'Inputs'!$B$8*'Inputs'!$C$45</x:f>
        <x:v>2500</x:v>
      </x:c>
      <x:c r="AI467" s="81" t="n">
        <x:f>IF(AH467&gt;0,(AE467+AF467)/AH467*365,0)</x:f>
        <x:v>0.004719809239327618</x:v>
      </x:c>
      <x:c r="AJ467" s="81" t="n">
        <x:f>IF('Inputs'!$B$45&gt;0,AG467/('Inputs'!$B$19*'Inputs'!$B$45)*365,0)</x:f>
        <x:v>0.00028445311016987013</x:v>
      </x:c>
      <x:c r="AK467" s="81" t="n">
        <x:f>W467/MAX($W$369:W467)-1</x:f>
        <x:v>-0.9999847555679185</x:v>
      </x:c>
      <x:c r="AL467" s="83" t="n">
        <x:f>'Inputs'!$B$45</x:f>
        <x:v>0.75</x:v>
      </x:c>
      <x:c r="AM467" s="83" t="n">
        <x:f>'Inputs'!$C$45</x:f>
        <x:v>0.5</x:v>
      </x:c>
      <x:c r="AN467" s="83" t="n">
        <x:f>'Inputs'!$D$45</x:f>
        <x:v>0.5</x:v>
      </x:c>
      <x:c r="AO467" s="81" t="n">
        <x:f>'Inputs'!$E$45</x:f>
        <x:v>-0.05</x:v>
      </x:c>
    </x:row>
    <x:row r="468">
      <x:c r="A468" s="59" t="str">
        <x:v>Weak demand</x:v>
      </x:c>
      <x:c r="B468" s="59" t="n">
        <x:v>100</x:v>
      </x:c>
      <x:c r="C468" s="78" t="n">
        <x:f>(('Inputs'!$B$29*(3*100*'Inputs'!$B$12-100^2)/(2*'Inputs'!$B$12^2))-('Inputs'!$B$29*(3*99*'Inputs'!$B$12-99^2)/(2*'Inputs'!$B$12^2)))*'Inputs'!$B$45</x:f>
        <x:v>509728.5489772931</x:v>
      </x:c>
      <x:c r="D468" s="78" t="n">
        <x:f>IF('Inputs'!$C$45&gt;0,('Inputs'!$B$30*(3*100*'Inputs'!$B$12-100^2)/(2*'Inputs'!$B$12^2))-('Inputs'!$B$30*(3*99*'Inputs'!$B$12-99^2)/(2*'Inputs'!$B$12^2)),0)</x:f>
        <x:v>291273.4565584548</x:v>
      </x:c>
      <x:c r="E468" s="78" t="n">
        <x:f>C468+D468</x:f>
        <x:v>801002.0055357479</x:v>
      </x:c>
      <x:c r="F468" s="78" t="n">
        <x:f>'Inputs'!$B$13*E468+(1-'Inputs'!$B$13)/'Inputs'!$B$14*SUM(E413:E468)</x:f>
        <x:v>809431.5889472698</x:v>
      </x:c>
      <x:c r="G468" s="78" t="n">
        <x:f>F468*'Inputs'!$F$45</x:f>
        <x:v>566602.1122630888</x:v>
      </x:c>
      <x:c r="H468" s="78" t="n">
        <x:f>U467</x:f>
        <x:v>1203784121.1244378</x:v>
      </x:c>
      <x:c r="I468" s="78" t="n">
        <x:f>V467</x:f>
        <x:v>13.796884879017155</x:v>
      </x:c>
      <x:c r="J468" s="79" t="n">
        <x:f>IF(H468&gt;0,I468/H468,0)</x:f>
        <x:v>1.14612617303256e-8</x:v>
      </x:c>
      <x:c r="K468" s="80" t="n">
        <x:f>(H468*J468+I468)*'Inputs'!$D$45*(1+'Inputs'!$G$45)^(B468/30)</x:f>
        <x:v>13.796884879017155</x:v>
      </x:c>
      <x:c r="L468" s="80" t="n">
        <x:f>MAX(0,K468*'Inputs'!$E$45)</x:f>
        <x:v>0</x:v>
      </x:c>
      <x:c r="M468" s="80" t="n">
        <x:f>MAX(0,-K468*'Inputs'!$E$45)</x:f>
        <x:v>0.6898442439508577</x:v>
      </x:c>
      <x:c r="N468" s="78" t="n">
        <x:f>H468*(L468*(1-'Inputs'!$B$15))/(I468+L468*(1-'Inputs'!$B$15))</x:f>
        <x:v>0</x:v>
      </x:c>
      <x:c r="O468" s="78" t="n">
        <x:f>H468-N468</x:f>
        <x:v>1203784121.1244378</x:v>
      </x:c>
      <x:c r="P468" s="78" t="n">
        <x:f>I468+L468*(1-'Inputs'!$B$17)</x:f>
        <x:v>13.796884879017155</x:v>
      </x:c>
      <x:c r="Q468" s="78" t="n">
        <x:f>IF(J468&gt;0,M468/J468,0)</x:f>
        <x:v>60189206.056221895</x:v>
      </x:c>
      <x:c r="R468" s="78" t="n">
        <x:f>IF(B468='Inputs'!$H$45,'Inputs'!$B$27*'Inputs'!$I$45,0)</x:f>
        <x:v>0</x:v>
      </x:c>
      <x:c r="S468" s="78" t="n">
        <x:f>Q468+G468+R468</x:f>
        <x:v>60755808.168484986</x:v>
      </x:c>
      <x:c r="T468" s="78" t="n">
        <x:f>P468*(S468*(1-'Inputs'!$B$15))/(O468+S468*(1-'Inputs'!$B$15))</x:f>
        <x:v>0.6565687381886217</x:v>
      </x:c>
      <x:c r="U468" s="78" t="n">
        <x:f>O468+S468*(1-'Inputs'!$B$17)</x:f>
        <x:v>1264295439.1192067</x:v>
      </x:c>
      <x:c r="V468" s="78" t="n">
        <x:f>P468-T468</x:f>
        <x:v>13.140316140828533</x:v>
      </x:c>
      <x:c r="W468" s="79" t="n">
        <x:f>IF(U468&gt;0,V468/U468,0)</x:f>
        <x:v>1.039339044834565e-8</x:v>
      </x:c>
      <x:c r="X468" s="80" t="n">
        <x:f>W468*('Inputs'!$B$6-AC468)</x:f>
        <x:v>9.85567475513635</x:v>
      </x:c>
      <x:c r="Y468" s="80" t="n">
        <x:f>2*V468</x:f>
        <x:v>26.280632281657066</x:v>
      </x:c>
      <x:c r="Z468" s="80" t="n">
        <x:f>K468*'Inputs'!$B$16+(G468+R468)*J468*'Inputs'!$B$16</x:f>
        <x:v>0.08282027312473655</x:v>
      </x:c>
      <x:c r="AA468" s="80" t="n">
        <x:f>K468*(1+'Inputs'!$E$45)/2*'Inputs'!$B$17</x:f>
        <x:v>0.02637231516109919</x:v>
      </x:c>
      <x:c r="AB468" s="78" t="n">
        <x:f>(IF(J468&gt;0,K468*(1-'Inputs'!$E$45)/2/J468,0)+G468+R468)*'Inputs'!$B$17</x:f>
        <x:v>2545485.978682467</x:v>
      </x:c>
      <x:c r="AC468" s="78" t="n">
        <x:f>AC467+AB468</x:f>
        <x:v>51736312.21512428</x:v>
      </x:c>
      <x:c r="AD468" s="80" t="n">
        <x:f>Z468/(1+'Inputs'!$C$45)</x:f>
        <x:v>0.055213515416491034</x:v>
      </x:c>
      <x:c r="AE468" s="80" t="n">
        <x:f>Z468-AD468</x:f>
        <x:v>0.02760675770824552</x:v>
      </x:c>
      <x:c r="AF468" s="80" t="n">
        <x:f>D468*W468</x:f>
        <x:v>0.0030273187612512658</x:v>
      </x:c>
      <x:c r="AG468" s="80" t="n">
        <x:f>C468*W468</x:f>
        <x:v>0.005297807832189686</x:v>
      </x:c>
      <x:c r="AH468" s="80" t="n">
        <x:f>2*'Inputs'!$B$8*'Inputs'!$C$45</x:f>
        <x:v>2500</x:v>
      </x:c>
      <x:c r="AI468" s="81" t="n">
        <x:f>IF(AH468&gt;0,(AE468+AF468)/AH468*365,0)</x:f>
        <x:v>0.004472575164546531</x:v>
      </x:c>
      <x:c r="AJ468" s="81" t="n">
        <x:f>IF('Inputs'!$B$45&gt;0,AG468/('Inputs'!$B$19*'Inputs'!$B$45)*365,0)</x:f>
        <x:v>0.00025782664783323135</x:v>
      </x:c>
      <x:c r="AK468" s="81" t="n">
        <x:f>W468/MAX($W$369:W468)-1</x:f>
        <x:v>-0.999986175925608</x:v>
      </x:c>
      <x:c r="AL468" s="83" t="n">
        <x:f>'Inputs'!$B$45</x:f>
        <x:v>0.75</x:v>
      </x:c>
      <x:c r="AM468" s="83" t="n">
        <x:f>'Inputs'!$C$45</x:f>
        <x:v>0.5</x:v>
      </x:c>
      <x:c r="AN468" s="83" t="n">
        <x:f>'Inputs'!$D$45</x:f>
        <x:v>0.5</x:v>
      </x:c>
      <x:c r="AO468" s="81" t="n">
        <x:f>'Inputs'!$E$45</x:f>
        <x:v>-0.05</x:v>
      </x:c>
    </x:row>
    <x:row r="469">
      <x:c r="A469" s="59" t="str">
        <x:v>Weak demand</x:v>
      </x:c>
      <x:c r="B469" s="59" t="n">
        <x:v>101</x:v>
      </x:c>
      <x:c r="C469" s="78" t="n">
        <x:f>(('Inputs'!$B$29*(3*101*'Inputs'!$B$12-101^2)/(2*'Inputs'!$B$12^2))-('Inputs'!$B$29*(3*100*'Inputs'!$B$12-100^2)/(2*'Inputs'!$B$12^2)))*'Inputs'!$B$45</x:f>
        <x:v>509484.7180521637</x:v>
      </x:c>
      <x:c r="D469" s="78" t="n">
        <x:f>IF('Inputs'!$C$45&gt;0,('Inputs'!$B$30*(3*101*'Inputs'!$B$12-101^2)/(2*'Inputs'!$B$12^2))-('Inputs'!$B$30*(3*100*'Inputs'!$B$12-100^2)/(2*'Inputs'!$B$12^2)),0)</x:f>
        <x:v>291134.1246012375</x:v>
      </x:c>
      <x:c r="E469" s="78" t="n">
        <x:f>C469+D469</x:f>
        <x:v>800618.8426534012</x:v>
      </x:c>
      <x:c r="F469" s="78" t="n">
        <x:f>'Inputs'!$B$13*E469+(1-'Inputs'!$B$13)/'Inputs'!$B$14*SUM(E414:E469)</x:f>
        <x:v>809048.4260649271</x:v>
      </x:c>
      <x:c r="G469" s="78" t="n">
        <x:f>F469*'Inputs'!$F$45</x:f>
        <x:v>566333.898245449</x:v>
      </x:c>
      <x:c r="H469" s="78" t="n">
        <x:f>U468</x:f>
        <x:v>1264295439.1192067</x:v>
      </x:c>
      <x:c r="I469" s="78" t="n">
        <x:f>V468</x:f>
        <x:v>13.140316140828533</x:v>
      </x:c>
      <x:c r="J469" s="79" t="n">
        <x:f>IF(H469&gt;0,I469/H469,0)</x:f>
        <x:v>1.039339044834565e-8</x:v>
      </x:c>
      <x:c r="K469" s="80" t="n">
        <x:f>(H469*J469+I469)*'Inputs'!$D$45*(1+'Inputs'!$G$45)^(B469/30)</x:f>
        <x:v>13.140316140828533</x:v>
      </x:c>
      <x:c r="L469" s="80" t="n">
        <x:f>MAX(0,K469*'Inputs'!$E$45)</x:f>
        <x:v>0</x:v>
      </x:c>
      <x:c r="M469" s="80" t="n">
        <x:f>MAX(0,-K469*'Inputs'!$E$45)</x:f>
        <x:v>0.6570158070414267</x:v>
      </x:c>
      <x:c r="N469" s="78" t="n">
        <x:f>H469*(L469*(1-'Inputs'!$B$15))/(I469+L469*(1-'Inputs'!$B$15))</x:f>
        <x:v>0</x:v>
      </x:c>
      <x:c r="O469" s="78" t="n">
        <x:f>H469-N469</x:f>
        <x:v>1264295439.1192067</x:v>
      </x:c>
      <x:c r="P469" s="78" t="n">
        <x:f>I469+L469*(1-'Inputs'!$B$17)</x:f>
        <x:v>13.140316140828533</x:v>
      </x:c>
      <x:c r="Q469" s="78" t="n">
        <x:f>IF(J469&gt;0,M469/J469,0)</x:f>
        <x:v>63214771.95596034</x:v>
      </x:c>
      <x:c r="R469" s="78" t="n">
        <x:f>IF(B469='Inputs'!$H$45,'Inputs'!$B$27*'Inputs'!$I$45,0)</x:f>
        <x:v>0</x:v>
      </x:c>
      <x:c r="S469" s="78" t="n">
        <x:f>Q469+G469+R469</x:f>
        <x:v>63781105.85420579</x:v>
      </x:c>
      <x:c r="T469" s="78" t="n">
        <x:f>P469*(S469*(1-'Inputs'!$B$15))/(O469+S469*(1-'Inputs'!$B$15))</x:f>
        <x:v>0.6250554805957358</x:v>
      </x:c>
      <x:c r="U469" s="78" t="n">
        <x:f>O469+S469*(1-'Inputs'!$B$17)</x:f>
        <x:v>1327819880.5635364</x:v>
      </x:c>
      <x:c r="V469" s="78" t="n">
        <x:f>P469-T469</x:f>
        <x:v>12.515260660232798</x:v>
      </x:c>
      <x:c r="W469" s="79" t="n">
        <x:f>IF(U469&gt;0,V469/U469,0)</x:f>
        <x:v>9.425420453052134e-9</x:v>
      </x:c>
      <x:c r="X469" s="80" t="n">
        <x:f>W469*('Inputs'!$B$6-AC469)</x:f>
        <x:v>8.91258673889051</x:v>
      </x:c>
      <x:c r="Y469" s="80" t="n">
        <x:f>2*V469</x:f>
        <x:v>25.030521320465596</x:v>
      </x:c>
      <x:c r="Z469" s="80" t="n">
        <x:f>K469*'Inputs'!$B$16+(G469+R469)*J469*'Inputs'!$B$16</x:f>
        <x:v>0.07887721362094278</x:v>
      </x:c>
      <x:c r="AA469" s="80" t="n">
        <x:f>K469*(1+'Inputs'!$E$45)/2*'Inputs'!$B$17</x:f>
        <x:v>0.025117304494541463</x:v>
      </x:c>
      <x:c r="AB469" s="78" t="n">
        <x:f>(IF(J469&gt;0,K469*(1-'Inputs'!$E$45)/2/J469,0)+G469+R469)*'Inputs'!$B$17</x:f>
        <x:v>2673325.712015409</x:v>
      </x:c>
      <x:c r="AC469" s="78" t="n">
        <x:f>AC468+AB469</x:f>
        <x:v>54409637.927139685</x:v>
      </x:c>
      <x:c r="AD469" s="80" t="n">
        <x:f>Z469/(1+'Inputs'!$C$45)</x:f>
        <x:v>0.05258480908062852</x:v>
      </x:c>
      <x:c r="AE469" s="80" t="n">
        <x:f>Z469-AD469</x:f>
        <x:v>0.026292404540314264</x:v>
      </x:c>
      <x:c r="AF469" s="80" t="n">
        <x:f>D469*W469</x:f>
        <x:v>0.0027440615325979322</x:v>
      </x:c>
      <x:c r="AG469" s="80" t="n">
        <x:f>C469*W469</x:f>
        <x:v>0.004802107682046364</x:v>
      </x:c>
      <x:c r="AH469" s="80" t="n">
        <x:f>2*'Inputs'!$B$8*'Inputs'!$C$45</x:f>
        <x:v>2500</x:v>
      </x:c>
      <x:c r="AI469" s="81" t="n">
        <x:f>IF(AH469&gt;0,(AE469+AF469)/AH469*365,0)</x:f>
        <x:v>0.004239324046645181</x:v>
      </x:c>
      <x:c r="AJ469" s="81" t="n">
        <x:f>IF('Inputs'!$B$45&gt;0,AG469/('Inputs'!$B$19*'Inputs'!$B$45)*365,0)</x:f>
        <x:v>0.0002337025738595897</x:v>
      </x:c>
      <x:c r="AK469" s="81" t="n">
        <x:f>W469/MAX($W$369:W469)-1</x:f>
        <x:v>-0.999987463406271</x:v>
      </x:c>
      <x:c r="AL469" s="83" t="n">
        <x:f>'Inputs'!$B$45</x:f>
        <x:v>0.75</x:v>
      </x:c>
      <x:c r="AM469" s="83" t="n">
        <x:f>'Inputs'!$C$45</x:f>
        <x:v>0.5</x:v>
      </x:c>
      <x:c r="AN469" s="83" t="n">
        <x:f>'Inputs'!$D$45</x:f>
        <x:v>0.5</x:v>
      </x:c>
      <x:c r="AO469" s="81" t="n">
        <x:f>'Inputs'!$E$45</x:f>
        <x:v>-0.05</x:v>
      </x:c>
    </x:row>
    <x:row r="470">
      <x:c r="A470" s="59" t="str">
        <x:v>Weak demand</x:v>
      </x:c>
      <x:c r="B470" s="59" t="n">
        <x:v>102</x:v>
      </x:c>
      <x:c r="C470" s="78" t="n">
        <x:f>(('Inputs'!$B$29*(3*102*'Inputs'!$B$12-102^2)/(2*'Inputs'!$B$12^2))-('Inputs'!$B$29*(3*101*'Inputs'!$B$12-101^2)/(2*'Inputs'!$B$12^2)))*'Inputs'!$B$45</x:f>
        <x:v>509240.88712704554</x:v>
      </x:c>
      <x:c r="D470" s="78" t="n">
        <x:f>IF('Inputs'!$C$45&gt;0,('Inputs'!$B$30*(3*102*'Inputs'!$B$12-102^2)/(2*'Inputs'!$B$12^2))-('Inputs'!$B$30*(3*101*'Inputs'!$B$12-101^2)/(2*'Inputs'!$B$12^2)),0)</x:f>
        <x:v>290994.7926440239</x:v>
      </x:c>
      <x:c r="E470" s="78" t="n">
        <x:f>C470+D470</x:f>
        <x:v>800235.6797710694</x:v>
      </x:c>
      <x:c r="F470" s="78" t="n">
        <x:f>'Inputs'!$B$13*E470+(1-'Inputs'!$B$13)/'Inputs'!$B$14*SUM(E415:E470)</x:f>
        <x:v>808665.2631825872</x:v>
      </x:c>
      <x:c r="G470" s="78" t="n">
        <x:f>F470*'Inputs'!$F$45</x:f>
        <x:v>566065.684227811</x:v>
      </x:c>
      <x:c r="H470" s="78" t="n">
        <x:f>U469</x:f>
        <x:v>1327819880.5635364</x:v>
      </x:c>
      <x:c r="I470" s="78" t="n">
        <x:f>V469</x:f>
        <x:v>12.515260660232798</x:v>
      </x:c>
      <x:c r="J470" s="79" t="n">
        <x:f>IF(H470&gt;0,I470/H470,0)</x:f>
        <x:v>9.425420453052134e-9</x:v>
      </x:c>
      <x:c r="K470" s="80" t="n">
        <x:f>(H470*J470+I470)*'Inputs'!$D$45*(1+'Inputs'!$G$45)^(B470/30)</x:f>
        <x:v>12.515260660232798</x:v>
      </x:c>
      <x:c r="L470" s="80" t="n">
        <x:f>MAX(0,K470*'Inputs'!$E$45)</x:f>
        <x:v>0</x:v>
      </x:c>
      <x:c r="M470" s="80" t="n">
        <x:f>MAX(0,-K470*'Inputs'!$E$45)</x:f>
        <x:v>0.6257630330116399</x:v>
      </x:c>
      <x:c r="N470" s="78" t="n">
        <x:f>H470*(L470*(1-'Inputs'!$B$15))/(I470+L470*(1-'Inputs'!$B$15))</x:f>
        <x:v>0</x:v>
      </x:c>
      <x:c r="O470" s="78" t="n">
        <x:f>H470-N470</x:f>
        <x:v>1327819880.5635364</x:v>
      </x:c>
      <x:c r="P470" s="78" t="n">
        <x:f>I470+L470*(1-'Inputs'!$B$17)</x:f>
        <x:v>12.515260660232798</x:v>
      </x:c>
      <x:c r="Q470" s="78" t="n">
        <x:f>IF(J470&gt;0,M470/J470,0)</x:f>
        <x:v>66390994.02817683</x:v>
      </x:c>
      <x:c r="R470" s="78" t="n">
        <x:f>IF(B470='Inputs'!$H$45,'Inputs'!$B$27*'Inputs'!$I$45,0)</x:f>
        <x:v>0</x:v>
      </x:c>
      <x:c r="S470" s="78" t="n">
        <x:f>Q470+G470+R470</x:f>
        <x:v>66957059.71240464</x:v>
      </x:c>
      <x:c r="T470" s="78" t="n">
        <x:f>P470*(S470*(1-'Inputs'!$B$15))/(O470+S470*(1-'Inputs'!$B$15))</x:f>
        <x:v>0.5950798502565915</x:v>
      </x:c>
      <x:c r="U470" s="78" t="n">
        <x:f>O470+S470*(1-'Inputs'!$B$17)</x:f>
        <x:v>1394507495.3676417</x:v>
      </x:c>
      <x:c r="V470" s="78" t="n">
        <x:f>P470-T470</x:f>
        <x:v>11.920180809976205</x:v>
      </x:c>
      <x:c r="W470" s="79" t="n">
        <x:f>IF(U470&gt;0,V470/U470,0)</x:f>
        <x:v>8.547950333414036e-9</x:v>
      </x:c>
      <x:c r="X470" s="80" t="n">
        <x:f>W470*('Inputs'!$B$6-AC470)</x:f>
        <x:v>8.05886081350426</x:v>
      </x:c>
      <x:c r="Y470" s="80" t="n">
        <x:f>2*V470</x:f>
        <x:v>23.84036161995241</x:v>
      </x:c>
      <x:c r="Z470" s="80" t="n">
        <x:f>K470*'Inputs'!$B$16+(G470+R470)*J470*'Inputs'!$B$16</x:f>
        <x:v>0.07512357640386413</x:v>
      </x:c>
      <x:c r="AA470" s="80" t="n">
        <x:f>K470*(1+'Inputs'!$E$45)/2*'Inputs'!$B$17</x:f>
        <x:v>0.023922530437064705</x:v>
      </x:c>
      <x:c r="AB470" s="78" t="n">
        <x:f>(IF(J470&gt;0,K470*(1-'Inputs'!$E$45)/2/J470,0)+G470+R470)*'Inputs'!$B$17</x:f>
        <x:v>2807531.1991150286</x:v>
      </x:c>
      <x:c r="AC470" s="78" t="n">
        <x:f>AC469+AB470</x:f>
        <x:v>57217169.126254715</x:v>
      </x:c>
      <x:c r="AD470" s="80" t="n">
        <x:f>Z470/(1+'Inputs'!$C$45)</x:f>
        <x:v>0.050082384269242754</x:v>
      </x:c>
      <x:c r="AE470" s="80" t="n">
        <x:f>Z470-AD470</x:f>
        <x:v>0.02504119213462138</x:v>
      </x:c>
      <x:c r="AF470" s="80" t="n">
        <x:f>D470*W470</x:f>
        <x:v>0.0024874090348032322</x:v>
      </x:c>
      <x:c r="AG470" s="80" t="n">
        <x:f>C470*W470</x:f>
        <x:v>0.004352965810905688</x:v>
      </x:c>
      <x:c r="AH470" s="80" t="n">
        <x:f>2*'Inputs'!$B$8*'Inputs'!$C$45</x:f>
        <x:v>2500</x:v>
      </x:c>
      <x:c r="AI470" s="81" t="n">
        <x:f>IF(AH470&gt;0,(AE470+AF470)/AH470*365,0)</x:f>
        <x:v>0.004019175770735994</x:v>
      </x:c>
      <x:c r="AJ470" s="81" t="n">
        <x:f>IF('Inputs'!$B$45&gt;0,AG470/('Inputs'!$B$19*'Inputs'!$B$45)*365,0)</x:f>
        <x:v>0.0002118443361307435</x:v>
      </x:c>
      <x:c r="AK470" s="81" t="n">
        <x:f>W470/MAX($W$369:W470)-1</x:f>
        <x:v>-0.9999886305145664</x:v>
      </x:c>
      <x:c r="AL470" s="83" t="n">
        <x:f>'Inputs'!$B$45</x:f>
        <x:v>0.75</x:v>
      </x:c>
      <x:c r="AM470" s="83" t="n">
        <x:f>'Inputs'!$C$45</x:f>
        <x:v>0.5</x:v>
      </x:c>
      <x:c r="AN470" s="83" t="n">
        <x:f>'Inputs'!$D$45</x:f>
        <x:v>0.5</x:v>
      </x:c>
      <x:c r="AO470" s="81" t="n">
        <x:f>'Inputs'!$E$45</x:f>
        <x:v>-0.05</x:v>
      </x:c>
    </x:row>
    <x:row r="471">
      <x:c r="A471" s="59" t="str">
        <x:v>Weak demand</x:v>
      </x:c>
      <x:c r="B471" s="59" t="n">
        <x:v>103</x:v>
      </x:c>
      <x:c r="C471" s="78" t="n">
        <x:f>(('Inputs'!$B$29*(3*103*'Inputs'!$B$12-103^2)/(2*'Inputs'!$B$12^2))-('Inputs'!$B$29*(3*102*'Inputs'!$B$12-102^2)/(2*'Inputs'!$B$12^2)))*'Inputs'!$B$45</x:f>
        <x:v>508997.0562019162</x:v>
      </x:c>
      <x:c r="D471" s="78" t="n">
        <x:f>IF('Inputs'!$C$45&gt;0,('Inputs'!$B$30*(3*103*'Inputs'!$B$12-103^2)/(2*'Inputs'!$B$12^2))-('Inputs'!$B$30*(3*102*'Inputs'!$B$12-102^2)/(2*'Inputs'!$B$12^2)),0)</x:f>
        <x:v>290855.4606868066</x:v>
      </x:c>
      <x:c r="E471" s="78" t="n">
        <x:f>C471+D471</x:f>
        <x:v>799852.5168887228</x:v>
      </x:c>
      <x:c r="F471" s="78" t="n">
        <x:f>'Inputs'!$B$13*E471+(1-'Inputs'!$B$13)/'Inputs'!$B$14*SUM(E416:E471)</x:f>
        <x:v>808282.1003002444</x:v>
      </x:c>
      <x:c r="G471" s="78" t="n">
        <x:f>F471*'Inputs'!$F$45</x:f>
        <x:v>565797.4702101711</x:v>
      </x:c>
      <x:c r="H471" s="78" t="n">
        <x:f>U470</x:f>
        <x:v>1394507495.3676417</x:v>
      </x:c>
      <x:c r="I471" s="78" t="n">
        <x:f>V470</x:f>
        <x:v>11.920180809976205</x:v>
      </x:c>
      <x:c r="J471" s="79" t="n">
        <x:f>IF(H471&gt;0,I471/H471,0)</x:f>
        <x:v>8.547950333414036e-9</x:v>
      </x:c>
      <x:c r="K471" s="80" t="n">
        <x:f>(H471*J471+I471)*'Inputs'!$D$45*(1+'Inputs'!$G$45)^(B471/30)</x:f>
        <x:v>11.920180809976205</x:v>
      </x:c>
      <x:c r="L471" s="80" t="n">
        <x:f>MAX(0,K471*'Inputs'!$E$45)</x:f>
        <x:v>0</x:v>
      </x:c>
      <x:c r="M471" s="80" t="n">
        <x:f>MAX(0,-K471*'Inputs'!$E$45)</x:f>
        <x:v>0.5960090404988103</x:v>
      </x:c>
      <x:c r="N471" s="78" t="n">
        <x:f>H471*(L471*(1-'Inputs'!$B$15))/(I471+L471*(1-'Inputs'!$B$15))</x:f>
        <x:v>0</x:v>
      </x:c>
      <x:c r="O471" s="78" t="n">
        <x:f>H471-N471</x:f>
        <x:v>1394507495.3676417</x:v>
      </x:c>
      <x:c r="P471" s="78" t="n">
        <x:f>I471+L471*(1-'Inputs'!$B$17)</x:f>
        <x:v>11.920180809976205</x:v>
      </x:c>
      <x:c r="Q471" s="78" t="n">
        <x:f>IF(J471&gt;0,M471/J471,0)</x:f>
        <x:v>69725374.76838209</x:v>
      </x:c>
      <x:c r="R471" s="78" t="n">
        <x:f>IF(B471='Inputs'!$H$45,'Inputs'!$B$27*'Inputs'!$I$45,0)</x:f>
        <x:v>0</x:v>
      </x:c>
      <x:c r="S471" s="78" t="n">
        <x:f>Q471+G471+R471</x:f>
        <x:v>70291172.23859225</x:v>
      </x:c>
      <x:c r="T471" s="78" t="n">
        <x:f>P471*(S471*(1-'Inputs'!$B$15))/(O471+S471*(1-'Inputs'!$B$15))</x:f>
        <x:v>0.5665644779525713</x:v>
      </x:c>
      <x:c r="U471" s="78" t="n">
        <x:f>O471+S471*(1-'Inputs'!$B$17)</x:f>
        <x:v>1464515805.7461188</x:v>
      </x:c>
      <x:c r="V471" s="78" t="n">
        <x:f>P471-T471</x:f>
        <x:v>11.353616332023634</x:v>
      </x:c>
      <x:c r="W471" s="79" t="n">
        <x:f>IF(U471&gt;0,V471/U471,0)</x:f>
        <x:v>7.752471012929334e-9</x:v>
      </x:c>
      <x:c r="X471" s="80" t="n">
        <x:f>W471*('Inputs'!$B$6-AC471)</x:f>
        <x:v>7.286039031540632</x:v>
      </x:c>
      <x:c r="Y471" s="80" t="n">
        <x:f>2*V471</x:f>
        <x:v>22.707232664047268</x:v>
      </x:c>
      <x:c r="Z471" s="80" t="n">
        <x:f>K471*'Inputs'!$B$16+(G471+R471)*J471*'Inputs'!$B$16</x:f>
        <x:v>0.07155010331190201</x:v>
      </x:c>
      <x:c r="AA471" s="80" t="n">
        <x:f>K471*(1+'Inputs'!$E$45)/2*'Inputs'!$B$17</x:f>
        <x:v>0.022785053862127556</x:v>
      </x:c>
      <x:c r="AB471" s="78" t="n">
        <x:f>(IF(J471&gt;0,K471*(1-'Inputs'!$E$45)/2/J471,0)+G471+R471)*'Inputs'!$B$17</x:f>
        <x:v>2948419.446833892</x:v>
      </x:c>
      <x:c r="AC471" s="78" t="n">
        <x:f>AC470+AB471</x:f>
        <x:v>60165588.57308861</x:v>
      </x:c>
      <x:c r="AD471" s="80" t="n">
        <x:f>Z471/(1+'Inputs'!$C$45)</x:f>
        <x:v>0.04770006887460134</x:v>
      </x:c>
      <x:c r="AE471" s="80" t="n">
        <x:f>Z471-AD471</x:f>
        <x:v>0.023850034437300667</x:v>
      </x:c>
      <x:c r="AF471" s="80" t="n">
        <x:f>D471*W471</x:f>
        <x:v>0.0022548485279266757</x:v>
      </x:c>
      <x:c r="AG471" s="80" t="n">
        <x:f>C471*W471</x:f>
        <x:v>0.003945984923871718</x:v>
      </x:c>
      <x:c r="AH471" s="80" t="n">
        <x:f>2*'Inputs'!$B$8*'Inputs'!$C$45</x:f>
        <x:v>2500</x:v>
      </x:c>
      <x:c r="AI471" s="81" t="n">
        <x:f>IF(AH471&gt;0,(AE471+AF471)/AH471*365,0)</x:f>
        <x:v>0.003811312912923192</x:v>
      </x:c>
      <x:c r="AJ471" s="81" t="n">
        <x:f>IF('Inputs'!$B$45&gt;0,AG471/('Inputs'!$B$19*'Inputs'!$B$45)*365,0)</x:f>
        <x:v>0.00019203793296175694</x:v>
      </x:c>
      <x:c r="AK471" s="81" t="n">
        <x:f>W471/MAX($W$369:W471)-1</x:f>
        <x:v>-0.9999896885682745</x:v>
      </x:c>
      <x:c r="AL471" s="83" t="n">
        <x:f>'Inputs'!$B$45</x:f>
        <x:v>0.75</x:v>
      </x:c>
      <x:c r="AM471" s="83" t="n">
        <x:f>'Inputs'!$C$45</x:f>
        <x:v>0.5</x:v>
      </x:c>
      <x:c r="AN471" s="83" t="n">
        <x:f>'Inputs'!$D$45</x:f>
        <x:v>0.5</x:v>
      </x:c>
      <x:c r="AO471" s="81" t="n">
        <x:f>'Inputs'!$E$45</x:f>
        <x:v>-0.05</x:v>
      </x:c>
    </x:row>
    <x:row r="472">
      <x:c r="A472" s="59" t="str">
        <x:v>Weak demand</x:v>
      </x:c>
      <x:c r="B472" s="59" t="n">
        <x:v>104</x:v>
      </x:c>
      <x:c r="C472" s="78" t="n">
        <x:f>(('Inputs'!$B$29*(3*104*'Inputs'!$B$12-104^2)/(2*'Inputs'!$B$12^2))-('Inputs'!$B$29*(3*103*'Inputs'!$B$12-103^2)/(2*'Inputs'!$B$12^2)))*'Inputs'!$B$45</x:f>
        <x:v>508753.22527678683</x:v>
      </x:c>
      <x:c r="D472" s="78" t="n">
        <x:f>IF('Inputs'!$C$45&gt;0,('Inputs'!$B$30*(3*104*'Inputs'!$B$12-104^2)/(2*'Inputs'!$B$12^2))-('Inputs'!$B$30*(3*103*'Inputs'!$B$12-103^2)/(2*'Inputs'!$B$12^2)),0)</x:f>
        <x:v>290716.128729593</x:v>
      </x:c>
      <x:c r="E472" s="78" t="n">
        <x:f>C472+D472</x:f>
        <x:v>799469.3540063798</x:v>
      </x:c>
      <x:c r="F472" s="78" t="n">
        <x:f>'Inputs'!$B$13*E472+(1-'Inputs'!$B$13)/'Inputs'!$B$14*SUM(E417:E472)</x:f>
        <x:v>807898.9374179023</x:v>
      </x:c>
      <x:c r="G472" s="78" t="n">
        <x:f>F472*'Inputs'!$F$45</x:f>
        <x:v>565529.2561925316</x:v>
      </x:c>
      <x:c r="H472" s="78" t="n">
        <x:f>U471</x:f>
        <x:v>1464515805.7461188</x:v>
      </x:c>
      <x:c r="I472" s="78" t="n">
        <x:f>V471</x:f>
        <x:v>11.353616332023634</x:v>
      </x:c>
      <x:c r="J472" s="79" t="n">
        <x:f>IF(H472&gt;0,I472/H472,0)</x:f>
        <x:v>7.752471012929334e-9</x:v>
      </x:c>
      <x:c r="K472" s="80" t="n">
        <x:f>(H472*J472+I472)*'Inputs'!$D$45*(1+'Inputs'!$G$45)^(B472/30)</x:f>
        <x:v>11.353616332023634</x:v>
      </x:c>
      <x:c r="L472" s="80" t="n">
        <x:f>MAX(0,K472*'Inputs'!$E$45)</x:f>
        <x:v>0</x:v>
      </x:c>
      <x:c r="M472" s="80" t="n">
        <x:f>MAX(0,-K472*'Inputs'!$E$45)</x:f>
        <x:v>0.5676808166011817</x:v>
      </x:c>
      <x:c r="N472" s="78" t="n">
        <x:f>H472*(L472*(1-'Inputs'!$B$15))/(I472+L472*(1-'Inputs'!$B$15))</x:f>
        <x:v>0</x:v>
      </x:c>
      <x:c r="O472" s="78" t="n">
        <x:f>H472-N472</x:f>
        <x:v>1464515805.7461188</x:v>
      </x:c>
      <x:c r="P472" s="78" t="n">
        <x:f>I472+L472*(1-'Inputs'!$B$17)</x:f>
        <x:v>11.353616332023634</x:v>
      </x:c>
      <x:c r="Q472" s="78" t="n">
        <x:f>IF(J472&gt;0,M472/J472,0)</x:f>
        <x:v>73225790.28730595</x:v>
      </x:c>
      <x:c r="R472" s="78" t="n">
        <x:f>IF(B472='Inputs'!$H$45,'Inputs'!$B$27*'Inputs'!$I$45,0)</x:f>
        <x:v>0</x:v>
      </x:c>
      <x:c r="S472" s="78" t="n">
        <x:f>Q472+G472+R472</x:f>
        <x:v>73791319.54349849</x:v>
      </x:c>
      <x:c r="T472" s="78" t="n">
        <x:f>P472*(S472*(1-'Inputs'!$B$15))/(O472+S472*(1-'Inputs'!$B$15))</x:f>
        <x:v>0.5394361053143457</x:v>
      </x:c>
      <x:c r="U472" s="78" t="n">
        <x:f>O472+S472*(1-'Inputs'!$B$17)</x:f>
        <x:v>1538010178.3296838</x:v>
      </x:c>
      <x:c r="V472" s="78" t="n">
        <x:f>P472-T472</x:f>
        <x:v>10.814180226709288</x:v>
      </x:c>
      <x:c r="W472" s="79" t="n">
        <x:f>IF(U472&gt;0,V472/U472,0)</x:f>
        <x:v>7.031280013018997e-9</x:v>
      </x:c>
      <x:c r="X472" s="80" t="n">
        <x:f>W472*('Inputs'!$B$6-AC472)</x:f>
        <x:v>6.586467796841906</x:v>
      </x:c>
      <x:c r="Y472" s="80" t="n">
        <x:f>2*V472</x:f>
        <x:v>21.628360453418576</x:v>
      </x:c>
      <x:c r="Z472" s="80" t="n">
        <x:f>K472*'Inputs'!$B$16+(G472+R472)*J472*'Inputs'!$B$16</x:f>
        <x:v>0.06814800348713539</x:v>
      </x:c>
      <x:c r="AA472" s="80" t="n">
        <x:f>K472*(1+'Inputs'!$E$45)/2*'Inputs'!$B$17</x:f>
        <x:v>0.021702083532037127</x:v>
      </x:c>
      <x:c r="AB472" s="78" t="n">
        <x:f>(IF(J472&gt;0,K472*(1-'Inputs'!$E$45)/2/J472,0)+G472+R472)*'Inputs'!$B$17</x:f>
        <x:v>3096323.248583119</x:v>
      </x:c>
      <x:c r="AC472" s="78" t="n">
        <x:f>AC471+AB472</x:f>
        <x:v>63261911.821671724</x:v>
      </x:c>
      <x:c r="AD472" s="80" t="n">
        <x:f>Z472/(1+'Inputs'!$C$45)</x:f>
        <x:v>0.04543200232475692</x:v>
      </x:c>
      <x:c r="AE472" s="80" t="n">
        <x:f>Z472-AD472</x:f>
        <x:v>0.022716001162378464</x:v>
      </x:c>
      <x:c r="AF472" s="80" t="n">
        <x:f>D472*W472</x:f>
        <x:v>0.002044106505398645</x:v>
      </x:c>
      <x:c r="AG472" s="80" t="n">
        <x:f>C472*W472</x:f>
        <x:v>0.003577186384447622</x:v>
      </x:c>
      <x:c r="AH472" s="80" t="n">
        <x:f>2*'Inputs'!$B$8*'Inputs'!$C$45</x:f>
        <x:v>2500</x:v>
      </x:c>
      <x:c r="AI472" s="81" t="n">
        <x:f>IF(AH472&gt;0,(AE472+AF472)/AH472*365,0)</x:f>
        <x:v>0.003614975719495458</x:v>
      </x:c>
      <x:c r="AJ472" s="81" t="n">
        <x:f>IF('Inputs'!$B$45&gt;0,AG472/('Inputs'!$B$19*'Inputs'!$B$45)*365,0)</x:f>
        <x:v>0.00017408973737645096</x:v>
      </x:c>
      <x:c r="AK472" s="81" t="n">
        <x:f>W472/MAX($W$369:W472)-1</x:f>
        <x:v>-0.9999906478123329</x:v>
      </x:c>
      <x:c r="AL472" s="83" t="n">
        <x:f>'Inputs'!$B$45</x:f>
        <x:v>0.75</x:v>
      </x:c>
      <x:c r="AM472" s="83" t="n">
        <x:f>'Inputs'!$C$45</x:f>
        <x:v>0.5</x:v>
      </x:c>
      <x:c r="AN472" s="83" t="n">
        <x:f>'Inputs'!$D$45</x:f>
        <x:v>0.5</x:v>
      </x:c>
      <x:c r="AO472" s="81" t="n">
        <x:f>'Inputs'!$E$45</x:f>
        <x:v>-0.05</x:v>
      </x:c>
    </x:row>
    <x:row r="473">
      <x:c r="A473" s="59" t="str">
        <x:v>Weak demand</x:v>
      </x:c>
      <x:c r="B473" s="59" t="n">
        <x:v>105</x:v>
      </x:c>
      <x:c r="C473" s="78" t="n">
        <x:f>(('Inputs'!$B$29*(3*105*'Inputs'!$B$12-105^2)/(2*'Inputs'!$B$12^2))-('Inputs'!$B$29*(3*104*'Inputs'!$B$12-104^2)/(2*'Inputs'!$B$12^2)))*'Inputs'!$B$45</x:f>
        <x:v>508509.3943516575</x:v>
      </x:c>
      <x:c r="D473" s="78" t="n">
        <x:f>IF('Inputs'!$C$45&gt;0,('Inputs'!$B$30*(3*105*'Inputs'!$B$12-105^2)/(2*'Inputs'!$B$12^2))-('Inputs'!$B$30*(3*104*'Inputs'!$B$12-104^2)/(2*'Inputs'!$B$12^2)),0)</x:f>
        <x:v>290576.7967723794</x:v>
      </x:c>
      <x:c r="E473" s="78" t="n">
        <x:f>C473+D473</x:f>
        <x:v>799086.1911240369</x:v>
      </x:c>
      <x:c r="F473" s="78" t="n">
        <x:f>'Inputs'!$B$13*E473+(1-'Inputs'!$B$13)/'Inputs'!$B$14*SUM(E418:E473)</x:f>
        <x:v>807515.7745355603</x:v>
      </x:c>
      <x:c r="G473" s="78" t="n">
        <x:f>F473*'Inputs'!$F$45</x:f>
        <x:v>565261.0421748922</x:v>
      </x:c>
      <x:c r="H473" s="78" t="n">
        <x:f>U472</x:f>
        <x:v>1538010178.3296838</x:v>
      </x:c>
      <x:c r="I473" s="78" t="n">
        <x:f>V472</x:f>
        <x:v>10.814180226709288</x:v>
      </x:c>
      <x:c r="J473" s="79" t="n">
        <x:f>IF(H473&gt;0,I473/H473,0)</x:f>
        <x:v>7.031280013018997e-9</x:v>
      </x:c>
      <x:c r="K473" s="80" t="n">
        <x:f>(H473*J473+I473)*'Inputs'!$D$45*(1+'Inputs'!$G$45)^(B473/30)</x:f>
        <x:v>10.814180226709288</x:v>
      </x:c>
      <x:c r="L473" s="80" t="n">
        <x:f>MAX(0,K473*'Inputs'!$E$45)</x:f>
        <x:v>0</x:v>
      </x:c>
      <x:c r="M473" s="80" t="n">
        <x:f>MAX(0,-K473*'Inputs'!$E$45)</x:f>
        <x:v>0.5407090113354645</x:v>
      </x:c>
      <x:c r="N473" s="78" t="n">
        <x:f>H473*(L473*(1-'Inputs'!$B$15))/(I473+L473*(1-'Inputs'!$B$15))</x:f>
        <x:v>0</x:v>
      </x:c>
      <x:c r="O473" s="78" t="n">
        <x:f>H473-N473</x:f>
        <x:v>1538010178.3296838</x:v>
      </x:c>
      <x:c r="P473" s="78" t="n">
        <x:f>I473+L473*(1-'Inputs'!$B$17)</x:f>
        <x:v>10.814180226709288</x:v>
      </x:c>
      <x:c r="Q473" s="78" t="n">
        <x:f>IF(J473&gt;0,M473/J473,0)</x:f>
        <x:v>76900508.91648419</x:v>
      </x:c>
      <x:c r="R473" s="78" t="n">
        <x:f>IF(B473='Inputs'!$H$45,'Inputs'!$B$27*'Inputs'!$I$45,0)</x:f>
        <x:v>0</x:v>
      </x:c>
      <x:c r="S473" s="78" t="n">
        <x:f>Q473+G473+R473</x:f>
        <x:v>77465769.95865908</x:v>
      </x:c>
      <x:c r="T473" s="78" t="n">
        <x:f>P473*(S473*(1-'Inputs'!$B$15))/(O473+S473*(1-'Inputs'!$B$15))</x:f>
        <x:v>0.5136253464280095</x:v>
      </x:c>
      <x:c r="U473" s="78" t="n">
        <x:f>O473+S473*(1-'Inputs'!$B$17)</x:f>
        <x:v>1615164214.8076239</x:v>
      </x:c>
      <x:c r="V473" s="78" t="n">
        <x:f>P473-T473</x:f>
        <x:v>10.300554880281279</x:v>
      </x:c>
      <x:c r="W473" s="79" t="n">
        <x:f>IF(U473&gt;0,V473/U473,0)</x:f>
        <x:v>6.3774040966528835e-9</x:v>
      </x:c>
      <x:c r="X473" s="80" t="n">
        <x:f>W473*('Inputs'!$B$6-AC473)</x:f>
        <x:v>5.953220605086053</x:v>
      </x:c>
      <x:c r="Y473" s="80" t="n">
        <x:f>2*V473</x:f>
        <x:v>20.601109760562558</x:v>
      </x:c>
      <x:c r="Z473" s="80" t="n">
        <x:f>K473*'Inputs'!$B$16+(G473+R473)*J473*'Inputs'!$B$16</x:f>
        <x:v>0.06490892841226362</x:v>
      </x:c>
      <x:c r="AA473" s="80" t="n">
        <x:f>K473*(1+'Inputs'!$E$45)/2*'Inputs'!$B$17</x:f>
        <x:v>0.02067096824018878</x:v>
      </x:c>
      <x:c r="AB473" s="78" t="n">
        <x:f>(IF(J473&gt;0,K473*(1-'Inputs'!$E$45)/2/J473,0)+G473+R473)*'Inputs'!$B$17</x:f>
        <x:v>3251591.97048394</x:v>
      </x:c>
      <x:c r="AC473" s="78" t="n">
        <x:f>AC472+AB473</x:f>
        <x:v>66513503.79215567</x:v>
      </x:c>
      <x:c r="AD473" s="80" t="n">
        <x:f>Z473/(1+'Inputs'!$C$45)</x:f>
        <x:v>0.04327261894150908</x:v>
      </x:c>
      <x:c r="AE473" s="80" t="n">
        <x:f>Z473-AD473</x:f>
        <x:v>0.02163630947075454</x:v>
      </x:c>
      <x:c r="AF473" s="80" t="n">
        <x:f>D473*W473</x:f>
        <x:v>0.001853125654128445</x:v>
      </x:c>
      <x:c r="AG473" s="80" t="n">
        <x:f>C473*W473</x:f>
        <x:v>0.003242969894724737</x:v>
      </x:c>
      <x:c r="AH473" s="80" t="n">
        <x:f>2*'Inputs'!$B$8*'Inputs'!$C$45</x:f>
        <x:v>2500</x:v>
      </x:c>
      <x:c r="AI473" s="81" t="n">
        <x:f>IF(AH473&gt;0,(AE473+AF473)/AH473*365,0)</x:f>
        <x:v>0.0034294575282329156</x:v>
      </x:c>
      <x:c r="AJ473" s="81" t="n">
        <x:f>IF('Inputs'!$B$45&gt;0,AG473/('Inputs'!$B$19*'Inputs'!$B$45)*365,0)</x:f>
        <x:v>0.00015782453487660385</x:v>
      </x:c>
      <x:c r="AK473" s="81" t="n">
        <x:f>W473/MAX($W$369:W473)-1</x:f>
        <x:v>-0.9999915175217271</x:v>
      </x:c>
      <x:c r="AL473" s="83" t="n">
        <x:f>'Inputs'!$B$45</x:f>
        <x:v>0.75</x:v>
      </x:c>
      <x:c r="AM473" s="83" t="n">
        <x:f>'Inputs'!$C$45</x:f>
        <x:v>0.5</x:v>
      </x:c>
      <x:c r="AN473" s="83" t="n">
        <x:f>'Inputs'!$D$45</x:f>
        <x:v>0.5</x:v>
      </x:c>
      <x:c r="AO473" s="81" t="n">
        <x:f>'Inputs'!$E$45</x:f>
        <x:v>-0.05</x:v>
      </x:c>
    </x:row>
    <x:row r="474">
      <x:c r="A474" s="59" t="str">
        <x:v>Weak demand</x:v>
      </x:c>
      <x:c r="B474" s="59" t="n">
        <x:v>106</x:v>
      </x:c>
      <x:c r="C474" s="78" t="n">
        <x:f>(('Inputs'!$B$29*(3*106*'Inputs'!$B$12-106^2)/(2*'Inputs'!$B$12^2))-('Inputs'!$B$29*(3*105*'Inputs'!$B$12-105^2)/(2*'Inputs'!$B$12^2)))*'Inputs'!$B$45</x:f>
        <x:v>508265.5634265281</x:v>
      </x:c>
      <x:c r="D474" s="78" t="n">
        <x:f>IF('Inputs'!$C$45&gt;0,('Inputs'!$B$30*(3*106*'Inputs'!$B$12-106^2)/(2*'Inputs'!$B$12^2))-('Inputs'!$B$30*(3*105*'Inputs'!$B$12-105^2)/(2*'Inputs'!$B$12^2)),0)</x:f>
        <x:v>290437.4648151621</x:v>
      </x:c>
      <x:c r="E474" s="78" t="n">
        <x:f>C474+D474</x:f>
        <x:v>798703.0282416902</x:v>
      </x:c>
      <x:c r="F474" s="78" t="n">
        <x:f>'Inputs'!$B$13*E474+(1-'Inputs'!$B$13)/'Inputs'!$B$14*SUM(E419:E474)</x:f>
        <x:v>807132.6116532175</x:v>
      </x:c>
      <x:c r="G474" s="78" t="n">
        <x:f>F474*'Inputs'!$F$45</x:f>
        <x:v>564992.8281572522</x:v>
      </x:c>
      <x:c r="H474" s="78" t="n">
        <x:f>U473</x:f>
        <x:v>1615164214.8076239</x:v>
      </x:c>
      <x:c r="I474" s="78" t="n">
        <x:f>V473</x:f>
        <x:v>10.300554880281279</x:v>
      </x:c>
      <x:c r="J474" s="79" t="n">
        <x:f>IF(H474&gt;0,I474/H474,0)</x:f>
        <x:v>6.3774040966528835e-9</x:v>
      </x:c>
      <x:c r="K474" s="80" t="n">
        <x:f>(H474*J474+I474)*'Inputs'!$D$45*(1+'Inputs'!$G$45)^(B474/30)</x:f>
        <x:v>10.300554880281279</x:v>
      </x:c>
      <x:c r="L474" s="80" t="n">
        <x:f>MAX(0,K474*'Inputs'!$E$45)</x:f>
        <x:v>0</x:v>
      </x:c>
      <x:c r="M474" s="80" t="n">
        <x:f>MAX(0,-K474*'Inputs'!$E$45)</x:f>
        <x:v>0.5150277440140639</x:v>
      </x:c>
      <x:c r="N474" s="78" t="n">
        <x:f>H474*(L474*(1-'Inputs'!$B$15))/(I474+L474*(1-'Inputs'!$B$15))</x:f>
        <x:v>0</x:v>
      </x:c>
      <x:c r="O474" s="78" t="n">
        <x:f>H474-N474</x:f>
        <x:v>1615164214.8076239</x:v>
      </x:c>
      <x:c r="P474" s="78" t="n">
        <x:f>I474+L474*(1-'Inputs'!$B$17)</x:f>
        <x:v>10.300554880281279</x:v>
      </x:c>
      <x:c r="Q474" s="78" t="n">
        <x:f>IF(J474&gt;0,M474/J474,0)</x:f>
        <x:v>80758210.7403812</x:v>
      </x:c>
      <x:c r="R474" s="78" t="n">
        <x:f>IF(B474='Inputs'!$H$45,'Inputs'!$B$27*'Inputs'!$I$45,0)</x:f>
        <x:v>0</x:v>
      </x:c>
      <x:c r="S474" s="78" t="n">
        <x:f>Q474+G474+R474</x:f>
        <x:v>81323203.56853844</x:v>
      </x:c>
      <x:c r="T474" s="78" t="n">
        <x:f>P474*(S474*(1-'Inputs'!$B$15))/(O474+S474*(1-'Inputs'!$B$15))</x:f>
        <x:v>0.4890664650464405</x:v>
      </x:c>
      <x:c r="U474" s="78" t="n">
        <x:f>O474+S474*(1-'Inputs'!$B$17)</x:f>
        <x:v>1696160162.023774</x:v>
      </x:c>
      <x:c r="V474" s="78" t="n">
        <x:f>P474-T474</x:f>
        <x:v>9.81148841523484</x:v>
      </x:c>
      <x:c r="W474" s="79" t="n">
        <x:f>IF(U474&gt;0,V474/U474,0)</x:f>
        <x:v>5.784529453591375e-9</x:v>
      </x:c>
      <x:c r="X474" s="80" t="n">
        <x:f>W474*('Inputs'!$B$6-AC474)</x:f>
        <x:v>5.380028321669241</x:v>
      </x:c>
      <x:c r="Y474" s="80" t="n">
        <x:f>2*V474</x:f>
        <x:v>19.62297683046968</x:v>
      </x:c>
      <x:c r="Z474" s="80" t="n">
        <x:f>K474*'Inputs'!$B$16+(G474+R474)*J474*'Inputs'!$B$16</x:f>
        <x:v>0.061824948407148896</x:v>
      </x:c>
      <x:c r="AA474" s="80" t="n">
        <x:f>K474*(1+'Inputs'!$E$45)/2*'Inputs'!$B$17</x:f>
        <x:v>0.01968918940898836</x:v>
      </x:c>
      <x:c r="AB474" s="78" t="n">
        <x:f>(IF(J474&gt;0,K474*(1-'Inputs'!$E$45)/2/J474,0)+G474+R474)*'Inputs'!$B$17</x:f>
        <x:v>3414592.376668652</x:v>
      </x:c>
      <x:c r="AC474" s="78" t="n">
        <x:f>AC473+AB474</x:f>
        <x:v>69928096.16882432</x:v>
      </x:c>
      <x:c r="AD474" s="80" t="n">
        <x:f>Z474/(1+'Inputs'!$C$45)</x:f>
        <x:v>0.041216632271432595</x:v>
      </x:c>
      <x:c r="AE474" s="80" t="n">
        <x:f>Z474-AD474</x:f>
        <x:v>0.0206083161357163</x:v>
      </x:c>
      <x:c r="AF474" s="80" t="n">
        <x:f>D474*W474</x:f>
        <x:v>0.0016800440696497138</x:v>
      </x:c>
      <x:c r="AG474" s="80" t="n">
        <x:f>C474*W474</x:f>
        <x:v>0.0029400771218869672</x:v>
      </x:c>
      <x:c r="AH474" s="80" t="n">
        <x:f>2*'Inputs'!$B$8*'Inputs'!$C$45</x:f>
        <x:v>2500</x:v>
      </x:c>
      <x:c r="AI474" s="81" t="n">
        <x:f>IF(AH474&gt;0,(AE474+AF474)/AH474*365,0)</x:f>
        <x:v>0.0032541005899834386</x:v>
      </x:c>
      <x:c r="AJ474" s="81" t="n">
        <x:f>IF('Inputs'!$B$45&gt;0,AG474/('Inputs'!$B$19*'Inputs'!$B$45)*365,0)</x:f>
        <x:v>0.00014308375326516575</x:v>
      </x:c>
      <x:c r="AK474" s="81" t="n">
        <x:f>W474/MAX($W$369:W474)-1</x:f>
        <x:v>-0.9999923060943504</x:v>
      </x:c>
      <x:c r="AL474" s="83" t="n">
        <x:f>'Inputs'!$B$45</x:f>
        <x:v>0.75</x:v>
      </x:c>
      <x:c r="AM474" s="83" t="n">
        <x:f>'Inputs'!$C$45</x:f>
        <x:v>0.5</x:v>
      </x:c>
      <x:c r="AN474" s="83" t="n">
        <x:f>'Inputs'!$D$45</x:f>
        <x:v>0.5</x:v>
      </x:c>
      <x:c r="AO474" s="81" t="n">
        <x:f>'Inputs'!$E$45</x:f>
        <x:v>-0.05</x:v>
      </x:c>
    </x:row>
    <x:row r="475">
      <x:c r="A475" s="59" t="str">
        <x:v>Weak demand</x:v>
      </x:c>
      <x:c r="B475" s="59" t="n">
        <x:v>107</x:v>
      </x:c>
      <x:c r="C475" s="78" t="n">
        <x:f>(('Inputs'!$B$29*(3*107*'Inputs'!$B$12-107^2)/(2*'Inputs'!$B$12^2))-('Inputs'!$B$29*(3*106*'Inputs'!$B$12-106^2)/(2*'Inputs'!$B$12^2)))*'Inputs'!$B$45</x:f>
        <x:v>508021.73250140995</x:v>
      </x:c>
      <x:c r="D475" s="78" t="n">
        <x:f>IF('Inputs'!$C$45&gt;0,('Inputs'!$B$30*(3*107*'Inputs'!$B$12-107^2)/(2*'Inputs'!$B$12^2))-('Inputs'!$B$30*(3*106*'Inputs'!$B$12-106^2)/(2*'Inputs'!$B$12^2)),0)</x:f>
        <x:v>290298.1328579448</x:v>
      </x:c>
      <x:c r="E475" s="78" t="n">
        <x:f>C475+D475</x:f>
        <x:v>798319.8653593548</x:v>
      </x:c>
      <x:c r="F475" s="78" t="n">
        <x:f>'Inputs'!$B$13*E475+(1-'Inputs'!$B$13)/'Inputs'!$B$14*SUM(E420:E475)</x:f>
        <x:v>806749.4487708766</x:v>
      </x:c>
      <x:c r="G475" s="78" t="n">
        <x:f>F475*'Inputs'!$F$45</x:f>
        <x:v>564724.6141396136</x:v>
      </x:c>
      <x:c r="H475" s="78" t="n">
        <x:f>U474</x:f>
        <x:v>1696160162.023774</x:v>
      </x:c>
      <x:c r="I475" s="78" t="n">
        <x:f>V474</x:f>
        <x:v>9.81148841523484</x:v>
      </x:c>
      <x:c r="J475" s="79" t="n">
        <x:f>IF(H475&gt;0,I475/H475,0)</x:f>
        <x:v>5.784529453591375e-9</x:v>
      </x:c>
      <x:c r="K475" s="80" t="n">
        <x:f>(H475*J475+I475)*'Inputs'!$D$45*(1+'Inputs'!$G$45)^(B475/30)</x:f>
        <x:v>9.81148841523484</x:v>
      </x:c>
      <x:c r="L475" s="80" t="n">
        <x:f>MAX(0,K475*'Inputs'!$E$45)</x:f>
        <x:v>0</x:v>
      </x:c>
      <x:c r="M475" s="80" t="n">
        <x:f>MAX(0,-K475*'Inputs'!$E$45)</x:f>
        <x:v>0.49057442076174196</x:v>
      </x:c>
      <x:c r="N475" s="78" t="n">
        <x:f>H475*(L475*(1-'Inputs'!$B$15))/(I475+L475*(1-'Inputs'!$B$15))</x:f>
        <x:v>0</x:v>
      </x:c>
      <x:c r="O475" s="78" t="n">
        <x:f>H475-N475</x:f>
        <x:v>1696160162.023774</x:v>
      </x:c>
      <x:c r="P475" s="78" t="n">
        <x:f>I475+L475*(1-'Inputs'!$B$17)</x:f>
        <x:v>9.81148841523484</x:v>
      </x:c>
      <x:c r="Q475" s="78" t="n">
        <x:f>IF(J475&gt;0,M475/J475,0)</x:f>
        <x:v>84808008.1011887</x:v>
      </x:c>
      <x:c r="R475" s="78" t="n">
        <x:f>IF(B475='Inputs'!$H$45,'Inputs'!$B$27*'Inputs'!$I$45,0)</x:f>
        <x:v>0</x:v>
      </x:c>
      <x:c r="S475" s="78" t="n">
        <x:f>Q475+G475+R475</x:f>
        <x:v>85372732.71532832</x:v>
      </x:c>
      <x:c r="T475" s="78" t="n">
        <x:f>P475*(S475*(1-'Inputs'!$B$15))/(O475+S475*(1-'Inputs'!$B$15))</x:f>
        <x:v>0.46569716623264507</x:v>
      </x:c>
      <x:c r="U475" s="78" t="n">
        <x:f>O475+S475*(1-'Inputs'!$B$17)</x:f>
        <x:v>1781189342.494775</x:v>
      </x:c>
      <x:c r="V475" s="78" t="n">
        <x:f>P475-T475</x:f>
        <x:v>9.345791249002193</x:v>
      </x:c>
      <x:c r="W475" s="79" t="n">
        <x:f>IF(U475&gt;0,V475/U475,0)</x:f>
        <x:v>5.246938675206905e-9</x:v>
      </x:c>
      <x:c r="X475" s="80" t="n">
        <x:f>W475*('Inputs'!$B$6-AC475)</x:f>
        <x:v>4.86121624510417</x:v>
      </x:c>
      <x:c r="Y475" s="80" t="n">
        <x:f>2*V475</x:f>
        <x:v>18.691582498004387</x:v>
      </x:c>
      <x:c r="Z475" s="80" t="n">
        <x:f>K475*'Inputs'!$B$16+(G475+R475)*J475*'Inputs'!$B$16</x:f>
        <x:v>0.05888853048839099</x:v>
      </x:c>
      <x:c r="AA475" s="80" t="n">
        <x:f>K475*(1+'Inputs'!$E$45)/2*'Inputs'!$B$17</x:f>
        <x:v>0.018754354113627962</x:v>
      </x:c>
      <x:c r="AB475" s="78" t="n">
        <x:f>(IF(J475&gt;0,K475*(1-'Inputs'!$E$45)/2/J475,0)+G475+R475)*'Inputs'!$B$17</x:f>
        <x:v>3585709.4956805673</x:v>
      </x:c>
      <x:c r="AC475" s="78" t="n">
        <x:f>AC474+AB475</x:f>
        <x:v>73513805.66450489</x:v>
      </x:c>
      <x:c r="AD475" s="80" t="n">
        <x:f>Z475/(1+'Inputs'!$C$45)</x:f>
        <x:v>0.039259020325593995</x:v>
      </x:c>
      <x:c r="AE475" s="80" t="n">
        <x:f>Z475-AD475</x:f>
        <x:v>0.019629510162796994</x:v>
      </x:c>
      <x:c r="AF475" s="80" t="n">
        <x:f>D475*W475</x:f>
        <x:v>0.001523176500632703</x:v>
      </x:c>
      <x:c r="AG475" s="80" t="n">
        <x:f>C475*W475</x:f>
        <x:v>0.0026655588761072646</x:v>
      </x:c>
      <x:c r="AH475" s="80" t="n">
        <x:f>2*'Inputs'!$B$8*'Inputs'!$C$45</x:f>
        <x:v>2500</x:v>
      </x:c>
      <x:c r="AI475" s="81" t="n">
        <x:f>IF(AH475&gt;0,(AE475+AF475)/AH475*365,0)</x:f>
        <x:v>0.0030882922528607357</x:v>
      </x:c>
      <x:c r="AJ475" s="81" t="n">
        <x:f>IF('Inputs'!$B$45&gt;0,AG475/('Inputs'!$B$19*'Inputs'!$B$45)*365,0)</x:f>
        <x:v>0.00012972386530388688</x:v>
      </x:c>
      <x:c r="AK475" s="81" t="n">
        <x:f>W475/MAX($W$369:W475)-1</x:f>
        <x:v>-0.9999930211348321</x:v>
      </x:c>
      <x:c r="AL475" s="83" t="n">
        <x:f>'Inputs'!$B$45</x:f>
        <x:v>0.75</x:v>
      </x:c>
      <x:c r="AM475" s="83" t="n">
        <x:f>'Inputs'!$C$45</x:f>
        <x:v>0.5</x:v>
      </x:c>
      <x:c r="AN475" s="83" t="n">
        <x:f>'Inputs'!$D$45</x:f>
        <x:v>0.5</x:v>
      </x:c>
      <x:c r="AO475" s="81" t="n">
        <x:f>'Inputs'!$E$45</x:f>
        <x:v>-0.05</x:v>
      </x:c>
    </x:row>
    <x:row r="476">
      <x:c r="A476" s="59" t="str">
        <x:v>Weak demand</x:v>
      </x:c>
      <x:c r="B476" s="59" t="n">
        <x:v>108</x:v>
      </x:c>
      <x:c r="C476" s="78" t="n">
        <x:f>(('Inputs'!$B$29*(3*108*'Inputs'!$B$12-108^2)/(2*'Inputs'!$B$12^2))-('Inputs'!$B$29*(3*107*'Inputs'!$B$12-107^2)/(2*'Inputs'!$B$12^2)))*'Inputs'!$B$45</x:f>
        <x:v>507777.9015762806</x:v>
      </x:c>
      <x:c r="D476" s="78" t="n">
        <x:f>IF('Inputs'!$C$45&gt;0,('Inputs'!$B$30*(3*108*'Inputs'!$B$12-108^2)/(2*'Inputs'!$B$12^2))-('Inputs'!$B$30*(3*107*'Inputs'!$B$12-107^2)/(2*'Inputs'!$B$12^2)),0)</x:f>
        <x:v>290158.80090073124</x:v>
      </x:c>
      <x:c r="E476" s="78" t="n">
        <x:f>C476+D476</x:f>
        <x:v>797936.7024770118</x:v>
      </x:c>
      <x:c r="F476" s="78" t="n">
        <x:f>'Inputs'!$B$13*E476+(1-'Inputs'!$B$13)/'Inputs'!$B$14*SUM(E421:E476)</x:f>
        <x:v>806366.2858885345</x:v>
      </x:c>
      <x:c r="G476" s="78" t="n">
        <x:f>F476*'Inputs'!$F$45</x:f>
        <x:v>564456.4001219741</x:v>
      </x:c>
      <x:c r="H476" s="78" t="n">
        <x:f>U475</x:f>
        <x:v>1781189342.494775</x:v>
      </x:c>
      <x:c r="I476" s="78" t="n">
        <x:f>V475</x:f>
        <x:v>9.345791249002193</x:v>
      </x:c>
      <x:c r="J476" s="79" t="n">
        <x:f>IF(H476&gt;0,I476/H476,0)</x:f>
        <x:v>5.246938675206905e-9</x:v>
      </x:c>
      <x:c r="K476" s="80" t="n">
        <x:f>(H476*J476+I476)*'Inputs'!$D$45*(1+'Inputs'!$G$45)^(B476/30)</x:f>
        <x:v>9.345791249002193</x:v>
      </x:c>
      <x:c r="L476" s="80" t="n">
        <x:f>MAX(0,K476*'Inputs'!$E$45)</x:f>
        <x:v>0</x:v>
      </x:c>
      <x:c r="M476" s="80" t="n">
        <x:f>MAX(0,-K476*'Inputs'!$E$45)</x:f>
        <x:v>0.46728956245010966</x:v>
      </x:c>
      <x:c r="N476" s="78" t="n">
        <x:f>H476*(L476*(1-'Inputs'!$B$15))/(I476+L476*(1-'Inputs'!$B$15))</x:f>
        <x:v>0</x:v>
      </x:c>
      <x:c r="O476" s="78" t="n">
        <x:f>H476-N476</x:f>
        <x:v>1781189342.494775</x:v>
      </x:c>
      <x:c r="P476" s="78" t="n">
        <x:f>I476+L476*(1-'Inputs'!$B$17)</x:f>
        <x:v>9.345791249002193</x:v>
      </x:c>
      <x:c r="Q476" s="78" t="n">
        <x:f>IF(J476&gt;0,M476/J476,0)</x:f>
        <x:v>89059467.12473875</x:v>
      </x:c>
      <x:c r="R476" s="78" t="n">
        <x:f>IF(B476='Inputs'!$H$45,'Inputs'!$B$27*'Inputs'!$I$45,0)</x:f>
        <x:v>0</x:v>
      </x:c>
      <x:c r="S476" s="78" t="n">
        <x:f>Q476+G476+R476</x:f>
        <x:v>89623923.52486072</x:v>
      </x:c>
      <x:c r="T476" s="78" t="n">
        <x:f>P476*(S476*(1-'Inputs'!$B$15))/(O476+S476*(1-'Inputs'!$B$15))</x:f>
        <x:v>0.44345840136237324</x:v>
      </x:c>
      <x:c r="U476" s="78" t="n">
        <x:f>O476+S476*(1-'Inputs'!$B$17)</x:f>
        <x:v>1870452606.3676243</x:v>
      </x:c>
      <x:c r="V476" s="78" t="n">
        <x:f>P476-T476</x:f>
        <x:v>8.90233284763982</x:v>
      </x:c>
      <x:c r="W476" s="79" t="n">
        <x:f>IF(U476&gt;0,V476/U476,0)</x:f>
        <x:v>4.759453844130242e-9</x:v>
      </x:c>
      <x:c r="X476" s="80" t="n">
        <x:f>W476*('Inputs'!$B$6-AC476)</x:f>
        <x:v>4.391647281387432</x:v>
      </x:c>
      <x:c r="Y476" s="80" t="n">
        <x:f>2*V476</x:f>
        <x:v>17.80466569527964</x:v>
      </x:c>
      <x:c r="Z476" s="80" t="n">
        <x:f>K476*'Inputs'!$B$16+(G476+R476)*J476*'Inputs'!$B$16</x:f>
        <x:v>0.05609251750271076</x:v>
      </x:c>
      <x:c r="AA476" s="80" t="n">
        <x:f>K476*(1+'Inputs'!$E$45)/2*'Inputs'!$B$17</x:f>
        <x:v>0.01786418850412894</x:v>
      </x:c>
      <x:c r="AB476" s="78" t="n">
        <x:f>(IF(J476&gt;0,K476*(1-'Inputs'!$E$45)/2/J476,0)+G476+R476)*'Inputs'!$B$17</x:f>
        <x:v>3765347.530019634</x:v>
      </x:c>
      <x:c r="AC476" s="78" t="n">
        <x:f>AC475+AB476</x:f>
        <x:v>77279153.19452453</x:v>
      </x:c>
      <x:c r="AD476" s="80" t="n">
        <x:f>Z476/(1+'Inputs'!$C$45)</x:f>
        <x:v>0.037395011668473845</x:v>
      </x:c>
      <x:c r="AE476" s="80" t="n">
        <x:f>Z476-AD476</x:f>
        <x:v>0.01869750583423692</x:v>
      </x:c>
      <x:c r="AF476" s="80" t="n">
        <x:f>D476*W476</x:f>
        <x:v>0.0013809974203552067</x:v>
      </x:c>
      <x:c r="AG476" s="80" t="n">
        <x:f>C476*W476</x:f>
        <x:v>0.0024167454856216164</x:v>
      </x:c>
      <x:c r="AH476" s="80" t="n">
        <x:f>2*'Inputs'!$B$8*'Inputs'!$C$45</x:f>
        <x:v>2500</x:v>
      </x:c>
      <x:c r="AI476" s="81" t="n">
        <x:f>IF(AH476&gt;0,(AE476+AF476)/AH476*365,0)</x:f>
        <x:v>0.0029314614751704505</x:v>
      </x:c>
      <x:c r="AJ476" s="81" t="n">
        <x:f>IF('Inputs'!$B$45&gt;0,AG476/('Inputs'!$B$19*'Inputs'!$B$45)*365,0)</x:f>
        <x:v>0.00011761494696691867</x:v>
      </x:c>
      <x:c r="AK476" s="81" t="n">
        <x:f>W476/MAX($W$369:W476)-1</x:f>
        <x:v>-0.9999936695302334</x:v>
      </x:c>
      <x:c r="AL476" s="83" t="n">
        <x:f>'Inputs'!$B$45</x:f>
        <x:v>0.75</x:v>
      </x:c>
      <x:c r="AM476" s="83" t="n">
        <x:f>'Inputs'!$C$45</x:f>
        <x:v>0.5</x:v>
      </x:c>
      <x:c r="AN476" s="83" t="n">
        <x:f>'Inputs'!$D$45</x:f>
        <x:v>0.5</x:v>
      </x:c>
      <x:c r="AO476" s="81" t="n">
        <x:f>'Inputs'!$E$45</x:f>
        <x:v>-0.05</x:v>
      </x:c>
    </x:row>
    <x:row r="477">
      <x:c r="A477" s="59" t="str">
        <x:v>Weak demand</x:v>
      </x:c>
      <x:c r="B477" s="59" t="n">
        <x:v>109</x:v>
      </x:c>
      <x:c r="C477" s="78" t="n">
        <x:f>(('Inputs'!$B$29*(3*109*'Inputs'!$B$12-109^2)/(2*'Inputs'!$B$12^2))-('Inputs'!$B$29*(3*108*'Inputs'!$B$12-108^2)/(2*'Inputs'!$B$12^2)))*'Inputs'!$B$45</x:f>
        <x:v>507534.0706511624</x:v>
      </x:c>
      <x:c r="D477" s="78" t="n">
        <x:f>IF('Inputs'!$C$45&gt;0,('Inputs'!$B$30*(3*109*'Inputs'!$B$12-109^2)/(2*'Inputs'!$B$12^2))-('Inputs'!$B$30*(3*108*'Inputs'!$B$12-108^2)/(2*'Inputs'!$B$12^2)),0)</x:f>
        <x:v>290019.46894351766</x:v>
      </x:c>
      <x:c r="E477" s="78" t="n">
        <x:f>C477+D477</x:f>
        <x:v>797553.5395946801</x:v>
      </x:c>
      <x:c r="F477" s="78" t="n">
        <x:f>'Inputs'!$B$13*E477+(1-'Inputs'!$B$13)/'Inputs'!$B$14*SUM(E422:E477)</x:f>
        <x:v>805983.1230061947</x:v>
      </x:c>
      <x:c r="G477" s="78" t="n">
        <x:f>F477*'Inputs'!$F$45</x:f>
        <x:v>564188.1861043363</x:v>
      </x:c>
      <x:c r="H477" s="78" t="n">
        <x:f>U476</x:f>
        <x:v>1870452606.3676243</x:v>
      </x:c>
      <x:c r="I477" s="78" t="n">
        <x:f>V476</x:f>
        <x:v>8.90233284763982</x:v>
      </x:c>
      <x:c r="J477" s="79" t="n">
        <x:f>IF(H477&gt;0,I477/H477,0)</x:f>
        <x:v>4.759453844130242e-9</x:v>
      </x:c>
      <x:c r="K477" s="80" t="n">
        <x:f>(H477*J477+I477)*'Inputs'!$D$45*(1+'Inputs'!$G$45)^(B477/30)</x:f>
        <x:v>8.90233284763982</x:v>
      </x:c>
      <x:c r="L477" s="80" t="n">
        <x:f>MAX(0,K477*'Inputs'!$E$45)</x:f>
        <x:v>0</x:v>
      </x:c>
      <x:c r="M477" s="80" t="n">
        <x:f>MAX(0,-K477*'Inputs'!$E$45)</x:f>
        <x:v>0.445116642381991</x:v>
      </x:c>
      <x:c r="N477" s="78" t="n">
        <x:f>H477*(L477*(1-'Inputs'!$B$15))/(I477+L477*(1-'Inputs'!$B$15))</x:f>
        <x:v>0</x:v>
      </x:c>
      <x:c r="O477" s="78" t="n">
        <x:f>H477-N477</x:f>
        <x:v>1870452606.3676243</x:v>
      </x:c>
      <x:c r="P477" s="78" t="n">
        <x:f>I477+L477*(1-'Inputs'!$B$17)</x:f>
        <x:v>8.90233284763982</x:v>
      </x:c>
      <x:c r="Q477" s="78" t="n">
        <x:f>IF(J477&gt;0,M477/J477,0)</x:f>
        <x:v>93522630.31838122</x:v>
      </x:c>
      <x:c r="R477" s="78" t="n">
        <x:f>IF(B477='Inputs'!$H$45,'Inputs'!$B$27*'Inputs'!$I$45,0)</x:f>
        <x:v>0</x:v>
      </x:c>
      <x:c r="S477" s="78" t="n">
        <x:f>Q477+G477+R477</x:f>
        <x:v>94086818.50448556</x:v>
      </x:c>
      <x:c r="T477" s="78" t="n">
        <x:f>P477*(S477*(1-'Inputs'!$B$15))/(O477+S477*(1-'Inputs'!$B$15))</x:f>
        <x:v>0.42229418550419845</x:v>
      </x:c>
      <x:c r="U477" s="78" t="n">
        <x:f>O477+S477*(1-'Inputs'!$B$17)</x:f>
        <x:v>1964160805.8841643</x:v>
      </x:c>
      <x:c r="V477" s="78" t="n">
        <x:f>P477-T477</x:f>
        <x:v>8.480038662135621</x:v>
      </x:c>
      <x:c r="W477" s="79" t="n">
        <x:f>IF(U477&gt;0,V477/U477,0)</x:f>
        <x:v>4.317385132994925e-9</x:v>
      </x:c>
      <x:c r="X477" s="80" t="n">
        <x:f>W477*('Inputs'!$B$6-AC477)</x:f>
        <x:v>3.9666706238022216</x:v>
      </x:c>
      <x:c r="Y477" s="80" t="n">
        <x:f>2*V477</x:f>
        <x:v>16.960077324271243</x:v>
      </x:c>
      <x:c r="Z477" s="80" t="n">
        <x:f>K477*'Inputs'!$B$16+(G477+R477)*J477*'Inputs'!$B$16</x:f>
        <x:v>0.05343010845162592</x:v>
      </x:c>
      <x:c r="AA477" s="80" t="n">
        <x:f>K477*(1+'Inputs'!$E$45)/2*'Inputs'!$B$17</x:f>
        <x:v>0.017016531600116354</x:v>
      </x:c>
      <x:c r="AB477" s="78" t="n">
        <x:f>(IF(J477&gt;0,K477*(1-'Inputs'!$E$45)/2/J477,0)+G477+R477)*'Inputs'!$B$17</x:f>
        <x:v>3953930.810982323</x:v>
      </x:c>
      <x:c r="AC477" s="78" t="n">
        <x:f>AC476+AB477</x:f>
        <x:v>81233084.00550684</x:v>
      </x:c>
      <x:c r="AD477" s="80" t="n">
        <x:f>Z477/(1+'Inputs'!$C$45)</x:f>
        <x:v>0.035620072301083945</x:v>
      </x:c>
      <x:c r="AE477" s="80" t="n">
        <x:f>Z477-AD477</x:f>
        <x:v>0.017810036150541976</x:v>
      </x:c>
      <x:c r="AF477" s="80" t="n">
        <x:f>D477*W477</x:f>
        <x:v>0.0012521257434958263</x:v>
      </x:c>
      <x:c r="AG477" s="80" t="n">
        <x:f>C477*W477</x:f>
        <x:v>0.0021912200511177244</x:v>
      </x:c>
      <x:c r="AH477" s="80" t="n">
        <x:f>2*'Inputs'!$B$8*'Inputs'!$C$45</x:f>
        <x:v>2500</x:v>
      </x:c>
      <x:c r="AI477" s="81" t="n">
        <x:f>IF(AH477&gt;0,(AE477+AF477)/AH477*365,0)</x:f>
        <x:v>0.0027830756365295195</x:v>
      </x:c>
      <x:c r="AJ477" s="81" t="n">
        <x:f>IF('Inputs'!$B$45&gt;0,AG477/('Inputs'!$B$19*'Inputs'!$B$45)*365,0)</x:f>
        <x:v>0.00010663937582106258</x:v>
      </x:c>
      <x:c r="AK477" s="81" t="n">
        <x:f>W477/MAX($W$369:W477)-1</x:f>
        <x:v>-0.9999942575184149</x:v>
      </x:c>
      <x:c r="AL477" s="83" t="n">
        <x:f>'Inputs'!$B$45</x:f>
        <x:v>0.75</x:v>
      </x:c>
      <x:c r="AM477" s="83" t="n">
        <x:f>'Inputs'!$C$45</x:f>
        <x:v>0.5</x:v>
      </x:c>
      <x:c r="AN477" s="83" t="n">
        <x:f>'Inputs'!$D$45</x:f>
        <x:v>0.5</x:v>
      </x:c>
      <x:c r="AO477" s="81" t="n">
        <x:f>'Inputs'!$E$45</x:f>
        <x:v>-0.05</x:v>
      </x:c>
    </x:row>
    <x:row r="478">
      <x:c r="A478" s="59" t="str">
        <x:v>Weak demand</x:v>
      </x:c>
      <x:c r="B478" s="59" t="n">
        <x:v>110</x:v>
      </x:c>
      <x:c r="C478" s="78" t="n">
        <x:f>(('Inputs'!$B$29*(3*110*'Inputs'!$B$12-110^2)/(2*'Inputs'!$B$12^2))-('Inputs'!$B$29*(3*109*'Inputs'!$B$12-109^2)/(2*'Inputs'!$B$12^2)))*'Inputs'!$B$45</x:f>
        <x:v>507290.2397260219</x:v>
      </x:c>
      <x:c r="D478" s="78" t="n">
        <x:f>IF('Inputs'!$C$45&gt;0,('Inputs'!$B$30*(3*110*'Inputs'!$B$12-110^2)/(2*'Inputs'!$B$12^2))-('Inputs'!$B$30*(3*109*'Inputs'!$B$12-109^2)/(2*'Inputs'!$B$12^2)),0)</x:f>
        <x:v>289880.13698630035</x:v>
      </x:c>
      <x:c r="E478" s="78" t="n">
        <x:f>C478+D478</x:f>
        <x:v>797170.3767123222</x:v>
      </x:c>
      <x:c r="F478" s="78" t="n">
        <x:f>'Inputs'!$B$13*E478+(1-'Inputs'!$B$13)/'Inputs'!$B$14*SUM(E423:E478)</x:f>
        <x:v>805599.9601238495</x:v>
      </x:c>
      <x:c r="G478" s="78" t="n">
        <x:f>F478*'Inputs'!$F$45</x:f>
        <x:v>563919.9720866946</x:v>
      </x:c>
      <x:c r="H478" s="78" t="n">
        <x:f>U477</x:f>
        <x:v>1964160805.8841643</x:v>
      </x:c>
      <x:c r="I478" s="78" t="n">
        <x:f>V477</x:f>
        <x:v>8.480038662135621</x:v>
      </x:c>
      <x:c r="J478" s="79" t="n">
        <x:f>IF(H478&gt;0,I478/H478,0)</x:f>
        <x:v>4.317385132994925e-9</x:v>
      </x:c>
      <x:c r="K478" s="80" t="n">
        <x:f>(H478*J478+I478)*'Inputs'!$D$45*(1+'Inputs'!$G$45)^(B478/30)</x:f>
        <x:v>8.480038662135621</x:v>
      </x:c>
      <x:c r="L478" s="80" t="n">
        <x:f>MAX(0,K478*'Inputs'!$E$45)</x:f>
        <x:v>0</x:v>
      </x:c>
      <x:c r="M478" s="80" t="n">
        <x:f>MAX(0,-K478*'Inputs'!$E$45)</x:f>
        <x:v>0.4240019331067811</x:v>
      </x:c>
      <x:c r="N478" s="78" t="n">
        <x:f>H478*(L478*(1-'Inputs'!$B$15))/(I478+L478*(1-'Inputs'!$B$15))</x:f>
        <x:v>0</x:v>
      </x:c>
      <x:c r="O478" s="78" t="n">
        <x:f>H478-N478</x:f>
        <x:v>1964160805.8841643</x:v>
      </x:c>
      <x:c r="P478" s="78" t="n">
        <x:f>I478+L478*(1-'Inputs'!$B$17)</x:f>
        <x:v>8.480038662135621</x:v>
      </x:c>
      <x:c r="Q478" s="78" t="n">
        <x:f>IF(J478&gt;0,M478/J478,0)</x:f>
        <x:v>98208040.29420823</x:v>
      </x:c>
      <x:c r="R478" s="78" t="n">
        <x:f>IF(B478='Inputs'!$H$45,'Inputs'!$B$27*'Inputs'!$I$45,0)</x:f>
        <x:v>0</x:v>
      </x:c>
      <x:c r="S478" s="78" t="n">
        <x:f>Q478+G478+R478</x:f>
        <x:v>98771960.26629493</x:v>
      </x:c>
      <x:c r="T478" s="78" t="n">
        <x:f>P478*(S478*(1-'Inputs'!$B$15))/(O478+S478*(1-'Inputs'!$B$15))</x:f>
        <x:v>0.4021514262775732</x:v>
      </x:c>
      <x:c r="U478" s="78" t="n">
        <x:f>O478+S478*(1-'Inputs'!$B$17)</x:f>
        <x:v>2062535293.4733312</x:v>
      </x:c>
      <x:c r="V478" s="78" t="n">
        <x:f>P478-T478</x:f>
        <x:v>8.077887235858048</x:v>
      </x:c>
      <x:c r="W478" s="79" t="n">
        <x:f>IF(U478&gt;0,V478/U478,0)</x:f>
        <x:v>3.916484368252822e-9</x:v>
      </x:c>
      <x:c r="X478" s="80" t="n">
        <x:f>W478*('Inputs'!$B$6-AC478)</x:f>
        <x:v>3.5820753943084944</x:v>
      </x:c>
      <x:c r="Y478" s="80" t="n">
        <x:f>2*V478</x:f>
        <x:v>16.155774471716096</x:v>
      </x:c>
      <x:c r="Z478" s="80" t="n">
        <x:f>K478*'Inputs'!$B$16+(G478+R478)*J478*'Inputs'!$B$16</x:f>
        <x:v>0.05089483993103584</x:v>
      </x:c>
      <x:c r="AA478" s="80" t="n">
        <x:f>K478*(1+'Inputs'!$E$45)/2*'Inputs'!$B$17</x:f>
        <x:v>0.016209329434665676</x:v>
      </x:c>
      <x:c r="AB478" s="78" t="n">
        <x:f>(IF(J478&gt;0,K478*(1-'Inputs'!$E$45)/2/J478,0)+G478+R478)*'Inputs'!$B$17</x:f>
        <x:v>4151904.801051401</x:v>
      </x:c>
      <x:c r="AC478" s="78" t="n">
        <x:f>AC477+AB478</x:f>
        <x:v>85384988.80655825</x:v>
      </x:c>
      <x:c r="AD478" s="80" t="n">
        <x:f>Z478/(1+'Inputs'!$C$45)</x:f>
        <x:v>0.03392989328735723</x:v>
      </x:c>
      <x:c r="AE478" s="80" t="n">
        <x:f>Z478-AD478</x:f>
        <x:v>0.016964946643678612</x:v>
      </x:c>
      <x:c r="AF478" s="80" t="n">
        <x:f>D478*W478</x:f>
        <x:v>0.001135311025173832</x:v>
      </x:c>
      <x:c r="AG478" s="80" t="n">
        <x:f>C478*W478</x:f>
        <x:v>0.0019867942940541916</x:v>
      </x:c>
      <x:c r="AH478" s="80" t="n">
        <x:f>2*'Inputs'!$B$8*'Inputs'!$C$45</x:f>
        <x:v>2500</x:v>
      </x:c>
      <x:c r="AI478" s="81" t="n">
        <x:f>IF(AH478&gt;0,(AE478+AF478)/AH478*365,0)</x:f>
        <x:v>0.0026426376196524567</x:v>
      </x:c>
      <x:c r="AJ478" s="81" t="n">
        <x:f>IF('Inputs'!$B$45&gt;0,AG478/('Inputs'!$B$19*'Inputs'!$B$45)*365,0)</x:f>
        <x:v>0.00009669065564397066</x:v>
      </x:c>
      <x:c r="AK478" s="81" t="n">
        <x:f>W478/MAX($W$369:W478)-1</x:f>
        <x:v>-0.999994790749801</x:v>
      </x:c>
      <x:c r="AL478" s="83" t="n">
        <x:f>'Inputs'!$B$45</x:f>
        <x:v>0.75</x:v>
      </x:c>
      <x:c r="AM478" s="83" t="n">
        <x:f>'Inputs'!$C$45</x:f>
        <x:v>0.5</x:v>
      </x:c>
      <x:c r="AN478" s="83" t="n">
        <x:f>'Inputs'!$D$45</x:f>
        <x:v>0.5</x:v>
      </x:c>
      <x:c r="AO478" s="81" t="n">
        <x:f>'Inputs'!$E$45</x:f>
        <x:v>-0.05</x:v>
      </x:c>
    </x:row>
    <x:row r="479">
      <x:c r="A479" s="59" t="str">
        <x:v>Weak demand</x:v>
      </x:c>
      <x:c r="B479" s="59" t="n">
        <x:v>111</x:v>
      </x:c>
      <x:c r="C479" s="78" t="n">
        <x:f>(('Inputs'!$B$29*(3*111*'Inputs'!$B$12-111^2)/(2*'Inputs'!$B$12^2))-('Inputs'!$B$29*(3*110*'Inputs'!$B$12-110^2)/(2*'Inputs'!$B$12^2)))*'Inputs'!$B$45</x:f>
        <x:v>507046.4088009037</x:v>
      </x:c>
      <x:c r="D479" s="78" t="n">
        <x:f>IF('Inputs'!$C$45&gt;0,('Inputs'!$B$30*(3*111*'Inputs'!$B$12-111^2)/(2*'Inputs'!$B$12^2))-('Inputs'!$B$30*(3*110*'Inputs'!$B$12-110^2)/(2*'Inputs'!$B$12^2)),0)</x:f>
        <x:v>289740.80502908677</x:v>
      </x:c>
      <x:c r="E479" s="78" t="n">
        <x:f>C479+D479</x:f>
        <x:v>796787.2138299905</x:v>
      </x:c>
      <x:c r="F479" s="78" t="n">
        <x:f>'Inputs'!$B$13*E479+(1-'Inputs'!$B$13)/'Inputs'!$B$14*SUM(E424:E479)</x:f>
        <x:v>805216.7972415098</x:v>
      </x:c>
      <x:c r="G479" s="78" t="n">
        <x:f>F479*'Inputs'!$F$45</x:f>
        <x:v>563651.7580690568</x:v>
      </x:c>
      <x:c r="H479" s="78" t="n">
        <x:f>U478</x:f>
        <x:v>2062535293.4733312</x:v>
      </x:c>
      <x:c r="I479" s="78" t="n">
        <x:f>V478</x:f>
        <x:v>8.077887235858048</x:v>
      </x:c>
      <x:c r="J479" s="79" t="n">
        <x:f>IF(H479&gt;0,I479/H479,0)</x:f>
        <x:v>3.916484368252822e-9</x:v>
      </x:c>
      <x:c r="K479" s="80" t="n">
        <x:f>(H479*J479+I479)*'Inputs'!$D$45*(1+'Inputs'!$G$45)^(B479/30)</x:f>
        <x:v>8.077887235858048</x:v>
      </x:c>
      <x:c r="L479" s="80" t="n">
        <x:f>MAX(0,K479*'Inputs'!$E$45)</x:f>
        <x:v>0</x:v>
      </x:c>
      <x:c r="M479" s="80" t="n">
        <x:f>MAX(0,-K479*'Inputs'!$E$45)</x:f>
        <x:v>0.40389436179290245</x:v>
      </x:c>
      <x:c r="N479" s="78" t="n">
        <x:f>H479*(L479*(1-'Inputs'!$B$15))/(I479+L479*(1-'Inputs'!$B$15))</x:f>
        <x:v>0</x:v>
      </x:c>
      <x:c r="O479" s="78" t="n">
        <x:f>H479-N479</x:f>
        <x:v>2062535293.4733312</x:v>
      </x:c>
      <x:c r="P479" s="78" t="n">
        <x:f>I479+L479*(1-'Inputs'!$B$17)</x:f>
        <x:v>8.077887235858048</x:v>
      </x:c>
      <x:c r="Q479" s="78" t="n">
        <x:f>IF(J479&gt;0,M479/J479,0)</x:f>
        <x:v>103126764.67366657</x:v>
      </x:c>
      <x:c r="R479" s="78" t="n">
        <x:f>IF(B479='Inputs'!$H$45,'Inputs'!$B$27*'Inputs'!$I$45,0)</x:f>
        <x:v>0</x:v>
      </x:c>
      <x:c r="S479" s="78" t="n">
        <x:f>Q479+G479+R479</x:f>
        <x:v>103690416.43173562</x:v>
      </x:c>
      <x:c r="T479" s="78" t="n">
        <x:f>P479*(S479*(1-'Inputs'!$B$15))/(O479+S479*(1-'Inputs'!$B$15))</x:f>
        <x:v>0.38297976336400075</x:v>
      </x:c>
      <x:c r="U479" s="78" t="n">
        <x:f>O479+S479*(1-'Inputs'!$B$17)</x:f>
        <x:v>2165808444.647796</x:v>
      </x:c>
      <x:c r="V479" s="78" t="n">
        <x:f>P479-T479</x:f>
        <x:v>7.694907472494047</x:v>
      </x:c>
      <x:c r="W479" s="79" t="n">
        <x:f>IF(U479&gt;0,V479/U479,0)</x:f>
        <x:v>3.5529030702183792e-9</x:v>
      </x:c>
      <x:c r="X479" s="80" t="n">
        <x:f>W479*('Inputs'!$B$6-AC479)</x:f>
        <x:v>3.234048757844905</x:v>
      </x:c>
      <x:c r="Y479" s="80" t="n">
        <x:f>2*V479</x:f>
        <x:v>15.389814944988094</x:v>
      </x:c>
      <x:c r="Z479" s="80" t="n">
        <x:f>K479*'Inputs'!$B$16+(G479+R479)*J479*'Inputs'!$B$16</x:f>
        <x:v>0.048480568614945985</x:v>
      </x:c>
      <x:c r="AA479" s="80" t="n">
        <x:f>K479*(1+'Inputs'!$E$45)/2*'Inputs'!$B$17</x:f>
        <x:v>0.015440629525281985</x:v>
      </x:c>
      <x:c r="AB479" s="78" t="n">
        <x:f>(IF(J479&gt;0,K479*(1-'Inputs'!$E$45)/2/J479,0)+G479+R479)*'Inputs'!$B$17</x:f>
        <x:v>4359737.146203494</x:v>
      </x:c>
      <x:c r="AC479" s="78" t="n">
        <x:f>AC478+AB479</x:f>
        <x:v>89744725.95276174</x:v>
      </x:c>
      <x:c r="AD479" s="80" t="n">
        <x:f>Z479/(1+'Inputs'!$C$45)</x:f>
        <x:v>0.032320379076630656</x:v>
      </x:c>
      <x:c r="AE479" s="80" t="n">
        <x:f>Z479-AD479</x:f>
        <x:v>0.016160189538315328</x:v>
      </x:c>
      <x:c r="AF479" s="80" t="n">
        <x:f>D479*W479</x:f>
        <x:v>0.0010294209957553873</x:v>
      </x:c>
      <x:c r="AG479" s="80" t="n">
        <x:f>C479*W479</x:f>
        <x:v>0.0018014867425719342</x:v>
      </x:c>
      <x:c r="AH479" s="80" t="n">
        <x:f>2*'Inputs'!$B$8*'Inputs'!$C$45</x:f>
        <x:v>2500</x:v>
      </x:c>
      <x:c r="AI479" s="81" t="n">
        <x:f>IF(AH479&gt;0,(AE479+AF479)/AH479*365,0)</x:f>
        <x:v>0.0025096831379743246</x:v>
      </x:c>
      <x:c r="AJ479" s="81" t="n">
        <x:f>IF('Inputs'!$B$45&gt;0,AG479/('Inputs'!$B$19*'Inputs'!$B$45)*365,0)</x:f>
        <x:v>0.00008767235480516746</x:v>
      </x:c>
      <x:c r="AK479" s="81" t="n">
        <x:f>W479/MAX($W$369:W479)-1</x:f>
        <x:v>-0.9999952743431901</x:v>
      </x:c>
      <x:c r="AL479" s="83" t="n">
        <x:f>'Inputs'!$B$45</x:f>
        <x:v>0.75</x:v>
      </x:c>
      <x:c r="AM479" s="83" t="n">
        <x:f>'Inputs'!$C$45</x:f>
        <x:v>0.5</x:v>
      </x:c>
      <x:c r="AN479" s="83" t="n">
        <x:f>'Inputs'!$D$45</x:f>
        <x:v>0.5</x:v>
      </x:c>
      <x:c r="AO479" s="81" t="n">
        <x:f>'Inputs'!$E$45</x:f>
        <x:v>-0.05</x:v>
      </x:c>
    </x:row>
    <x:row r="480">
      <x:c r="A480" s="59" t="str">
        <x:v>Weak demand</x:v>
      </x:c>
      <x:c r="B480" s="59" t="n">
        <x:v>112</x:v>
      </x:c>
      <x:c r="C480" s="78" t="n">
        <x:f>(('Inputs'!$B$29*(3*112*'Inputs'!$B$12-112^2)/(2*'Inputs'!$B$12^2))-('Inputs'!$B$29*(3*111*'Inputs'!$B$12-111^2)/(2*'Inputs'!$B$12^2)))*'Inputs'!$B$45</x:f>
        <x:v>506802.57787577435</x:v>
      </x:c>
      <x:c r="D480" s="78" t="n">
        <x:f>IF('Inputs'!$C$45&gt;0,('Inputs'!$B$30*(3*112*'Inputs'!$B$12-112^2)/(2*'Inputs'!$B$12^2))-('Inputs'!$B$30*(3*111*'Inputs'!$B$12-111^2)/(2*'Inputs'!$B$12^2)),0)</x:f>
        <x:v>289601.4730718732</x:v>
      </x:c>
      <x:c r="E480" s="78" t="n">
        <x:f>C480+D480</x:f>
        <x:v>796404.0509476475</x:v>
      </x:c>
      <x:c r="F480" s="78" t="n">
        <x:f>'Inputs'!$B$13*E480+(1-'Inputs'!$B$13)/'Inputs'!$B$14*SUM(E425:E480)</x:f>
        <x:v>804833.6343591678</x:v>
      </x:c>
      <x:c r="G480" s="78" t="n">
        <x:f>F480*'Inputs'!$F$45</x:f>
        <x:v>563383.5440514174</x:v>
      </x:c>
      <x:c r="H480" s="78" t="n">
        <x:f>U479</x:f>
        <x:v>2165808444.647796</x:v>
      </x:c>
      <x:c r="I480" s="78" t="n">
        <x:f>V479</x:f>
        <x:v>7.694907472494047</x:v>
      </x:c>
      <x:c r="J480" s="79" t="n">
        <x:f>IF(H480&gt;0,I480/H480,0)</x:f>
        <x:v>3.5529030702183792e-9</x:v>
      </x:c>
      <x:c r="K480" s="80" t="n">
        <x:f>(H480*J480+I480)*'Inputs'!$D$45*(1+'Inputs'!$G$45)^(B480/30)</x:f>
        <x:v>7.694907472494047</x:v>
      </x:c>
      <x:c r="L480" s="80" t="n">
        <x:f>MAX(0,K480*'Inputs'!$E$45)</x:f>
        <x:v>0</x:v>
      </x:c>
      <x:c r="M480" s="80" t="n">
        <x:f>MAX(0,-K480*'Inputs'!$E$45)</x:f>
        <x:v>0.3847453736247024</x:v>
      </x:c>
      <x:c r="N480" s="78" t="n">
        <x:f>H480*(L480*(1-'Inputs'!$B$15))/(I480+L480*(1-'Inputs'!$B$15))</x:f>
        <x:v>0</x:v>
      </x:c>
      <x:c r="O480" s="78" t="n">
        <x:f>H480-N480</x:f>
        <x:v>2165808444.647796</x:v>
      </x:c>
      <x:c r="P480" s="78" t="n">
        <x:f>I480+L480*(1-'Inputs'!$B$17)</x:f>
        <x:v>7.694907472494047</x:v>
      </x:c>
      <x:c r="Q480" s="78" t="n">
        <x:f>IF(J480&gt;0,M480/J480,0)</x:f>
        <x:v>108290422.23238981</x:v>
      </x:c>
      <x:c r="R480" s="78" t="n">
        <x:f>IF(B480='Inputs'!$H$45,'Inputs'!$B$27*'Inputs'!$I$45,0)</x:f>
        <x:v>0</x:v>
      </x:c>
      <x:c r="S480" s="78" t="n">
        <x:f>Q480+G480+R480</x:f>
        <x:v>108853805.77644123</x:v>
      </x:c>
      <x:c r="T480" s="78" t="n">
        <x:f>P480*(S480*(1-'Inputs'!$B$15))/(O480+S480*(1-'Inputs'!$B$15))</x:f>
        <x:v>0.3647314179141527</x:v>
      </x:c>
      <x:c r="U480" s="78" t="n">
        <x:f>O480+S480*(1-'Inputs'!$B$17)</x:f>
        <x:v>2274224206.9402275</x:v>
      </x:c>
      <x:c r="V480" s="78" t="n">
        <x:f>P480-T480</x:f>
        <x:v>7.330176054579894</x:v>
      </x:c>
      <x:c r="W480" s="79" t="n">
        <x:f>IF(U480&gt;0,V480/U480,0)</x:f>
        <x:v>3.2231545298878046e-9</x:v>
      </x:c>
      <x:c r="X480" s="80" t="n">
        <x:f>W480*('Inputs'!$B$6-AC480)</x:f>
        <x:v>2.9191380702444065</x:v>
      </x:c>
      <x:c r="Y480" s="80" t="n">
        <x:f>2*V480</x:f>
        <x:v>14.660352109159788</x:v>
      </x:c>
      <x:c r="Z480" s="80" t="n">
        <x:f>K480*'Inputs'!$B$16+(G480+R480)*J480*'Inputs'!$B$16</x:f>
        <x:v>0.046181454717704504</x:v>
      </x:c>
      <x:c r="AA480" s="80" t="n">
        <x:f>K480*(1+'Inputs'!$E$45)/2*'Inputs'!$B$17</x:f>
        <x:v>0.014708575651648582</x:v>
      </x:c>
      <x:c r="AB480" s="78" t="n">
        <x:f>(IF(J480&gt;0,K480*(1-'Inputs'!$E$45)/2/J480,0)+G480+R480)*'Inputs'!$B$17</x:f>
        <x:v>4577918.7806203</x:v>
      </x:c>
      <x:c r="AC480" s="78" t="n">
        <x:f>AC479+AB480</x:f>
        <x:v>94322644.73338205</x:v>
      </x:c>
      <x:c r="AD480" s="80" t="n">
        <x:f>Z480/(1+'Inputs'!$C$45)</x:f>
        <x:v>0.03078763647846967</x:v>
      </x:c>
      <x:c r="AE480" s="80" t="n">
        <x:f>Z480-AD480</x:f>
        <x:v>0.015393818239234833</x:v>
      </x:c>
      <x:c r="AF480" s="80" t="n">
        <x:f>D480*W480</x:f>
        <x:v>0.0009334302997937891</x:v>
      </x:c>
      <x:c r="AG480" s="80" t="n">
        <x:f>C480*W480</x:f>
        <x:v>0.001633503024639119</x:v>
      </x:c>
      <x:c r="AH480" s="80" t="n">
        <x:f>2*'Inputs'!$B$8*'Inputs'!$C$45</x:f>
        <x:v>2500</x:v>
      </x:c>
      <x:c r="AI480" s="81" t="n">
        <x:f>IF(AH480&gt;0,(AE480+AF480)/AH480*365,0)</x:f>
        <x:v>0.002383778286698179</x:v>
      </x:c>
      <x:c r="AJ480" s="81" t="n">
        <x:f>IF('Inputs'!$B$45&gt;0,AG480/('Inputs'!$B$19*'Inputs'!$B$45)*365,0)</x:f>
        <x:v>0.00007949714719910379</x:v>
      </x:c>
      <x:c r="AK480" s="81" t="n">
        <x:f>W480/MAX($W$369:W480)-1</x:f>
        <x:v>-0.9999957129361954</x:v>
      </x:c>
      <x:c r="AL480" s="83" t="n">
        <x:f>'Inputs'!$B$45</x:f>
        <x:v>0.75</x:v>
      </x:c>
      <x:c r="AM480" s="83" t="n">
        <x:f>'Inputs'!$C$45</x:f>
        <x:v>0.5</x:v>
      </x:c>
      <x:c r="AN480" s="83" t="n">
        <x:f>'Inputs'!$D$45</x:f>
        <x:v>0.5</x:v>
      </x:c>
      <x:c r="AO480" s="81" t="n">
        <x:f>'Inputs'!$E$45</x:f>
        <x:v>-0.05</x:v>
      </x:c>
    </x:row>
    <x:row r="481">
      <x:c r="A481" s="59" t="str">
        <x:v>Weak demand</x:v>
      </x:c>
      <x:c r="B481" s="59" t="n">
        <x:v>113</x:v>
      </x:c>
      <x:c r="C481" s="78" t="n">
        <x:f>(('Inputs'!$B$29*(3*113*'Inputs'!$B$12-113^2)/(2*'Inputs'!$B$12^2))-('Inputs'!$B$29*(3*112*'Inputs'!$B$12-112^2)/(2*'Inputs'!$B$12^2)))*'Inputs'!$B$45</x:f>
        <x:v>506558.746950645</x:v>
      </x:c>
      <x:c r="D481" s="78" t="n">
        <x:f>IF('Inputs'!$C$45&gt;0,('Inputs'!$B$30*(3*113*'Inputs'!$B$12-113^2)/(2*'Inputs'!$B$12^2))-('Inputs'!$B$30*(3*112*'Inputs'!$B$12-112^2)/(2*'Inputs'!$B$12^2)),0)</x:f>
        <x:v>289462.14111465216</x:v>
      </x:c>
      <x:c r="E481" s="78" t="n">
        <x:f>C481+D481</x:f>
        <x:v>796020.8880652972</x:v>
      </x:c>
      <x:c r="F481" s="78" t="n">
        <x:f>'Inputs'!$B$13*E481+(1-'Inputs'!$B$13)/'Inputs'!$B$14*SUM(E426:E481)</x:f>
        <x:v>804450.4714768239</x:v>
      </x:c>
      <x:c r="G481" s="78" t="n">
        <x:f>F481*'Inputs'!$F$45</x:f>
        <x:v>563115.3300337767</x:v>
      </x:c>
      <x:c r="H481" s="78" t="n">
        <x:f>U480</x:f>
        <x:v>2274224206.9402275</x:v>
      </x:c>
      <x:c r="I481" s="78" t="n">
        <x:f>V480</x:f>
        <x:v>7.330176054579894</x:v>
      </x:c>
      <x:c r="J481" s="79" t="n">
        <x:f>IF(H481&gt;0,I481/H481,0)</x:f>
        <x:v>3.2231545298878046e-9</x:v>
      </x:c>
      <x:c r="K481" s="80" t="n">
        <x:f>(H481*J481+I481)*'Inputs'!$D$45*(1+'Inputs'!$G$45)^(B481/30)</x:f>
        <x:v>7.330176054579894</x:v>
      </x:c>
      <x:c r="L481" s="80" t="n">
        <x:f>MAX(0,K481*'Inputs'!$E$45)</x:f>
        <x:v>0</x:v>
      </x:c>
      <x:c r="M481" s="80" t="n">
        <x:f>MAX(0,-K481*'Inputs'!$E$45)</x:f>
        <x:v>0.3665088027289947</x:v>
      </x:c>
      <x:c r="N481" s="78" t="n">
        <x:f>H481*(L481*(1-'Inputs'!$B$15))/(I481+L481*(1-'Inputs'!$B$15))</x:f>
        <x:v>0</x:v>
      </x:c>
      <x:c r="O481" s="78" t="n">
        <x:f>H481-N481</x:f>
        <x:v>2274224206.9402275</x:v>
      </x:c>
      <x:c r="P481" s="78" t="n">
        <x:f>I481+L481*(1-'Inputs'!$B$17)</x:f>
        <x:v>7.330176054579894</x:v>
      </x:c>
      <x:c r="Q481" s="78" t="n">
        <x:f>IF(J481&gt;0,M481/J481,0)</x:f>
        <x:v>113711210.34701137</x:v>
      </x:c>
      <x:c r="R481" s="78" t="n">
        <x:f>IF(B481='Inputs'!$H$45,'Inputs'!$B$27*'Inputs'!$I$45,0)</x:f>
        <x:v>0</x:v>
      </x:c>
      <x:c r="S481" s="78" t="n">
        <x:f>Q481+G481+R481</x:f>
        <x:v>114274325.67704515</x:v>
      </x:c>
      <x:c r="T481" s="78" t="n">
        <x:f>P481*(S481*(1-'Inputs'!$B$15))/(O481+S481*(1-'Inputs'!$B$15))</x:f>
        <x:v>0.34736105115524735</x:v>
      </x:c>
      <x:c r="U481" s="78" t="n">
        <x:f>O481+S481*(1-'Inputs'!$B$17)</x:f>
        <x:v>2388038676.175916</x:v>
      </x:c>
      <x:c r="V481" s="78" t="n">
        <x:f>P481-T481</x:f>
        <x:v>6.982815003424647</x:v>
      </x:c>
      <x:c r="W481" s="79" t="n">
        <x:f>IF(U481&gt;0,V481/U481,0)</x:f>
        <x:v>2.924079527307561e-9</x:v>
      </x:c>
      <x:c r="X481" s="80" t="n">
        <x:f>W481*('Inputs'!$B$6-AC481)</x:f>
        <x:v>2.6342166646835112</x:v>
      </x:c>
      <x:c r="Y481" s="80" t="n">
        <x:f>2*V481</x:f>
        <x:v>13.965630006849294</x:v>
      </x:c>
      <x:c r="Z481" s="80" t="n">
        <x:f>K481*'Inputs'!$B$16+(G481+R481)*J481*'Inputs'!$B$16</x:f>
        <x:v>0.043991946373840456</x:v>
      </x:c>
      <x:c r="AA481" s="80" t="n">
        <x:f>K481*(1+'Inputs'!$E$45)/2*'Inputs'!$B$17</x:f>
        <x:v>0.014011402921229175</x:v>
      </x:c>
      <x:c r="AB481" s="78" t="n">
        <x:f>(IF(J481&gt;0,K481*(1-'Inputs'!$E$45)/2/J481,0)+G481+R481)*'Inputs'!$B$17</x:f>
        <x:v>4806965.086413092</x:v>
      </x:c>
      <x:c r="AC481" s="78" t="n">
        <x:f>AC480+AB481</x:f>
        <x:v>99129609.81979513</x:v>
      </x:c>
      <x:c r="AD481" s="80" t="n">
        <x:f>Z481/(1+'Inputs'!$C$45)</x:f>
        <x:v>0.02932796424922697</x:v>
      </x:c>
      <x:c r="AE481" s="80" t="n">
        <x:f>Z481-AD481</x:f>
        <x:v>0.014663982124613485</x:v>
      </x:c>
      <x:c r="AF481" s="80" t="n">
        <x:f>D481*W481</x:f>
        <x:v>0.0008464103207639665</x:v>
      </x:c>
      <x:c r="AG481" s="80" t="n">
        <x:f>C481*W481</x:f>
        <x:v>0.0014812180613369523</x:v>
      </x:c>
      <x:c r="AH481" s="80" t="n">
        <x:f>2*'Inputs'!$B$8*'Inputs'!$C$45</x:f>
        <x:v>2500</x:v>
      </x:c>
      <x:c r="AI481" s="81" t="n">
        <x:f>IF(AH481&gt;0,(AE481+AF481)/AH481*365,0)</x:f>
        <x:v>0.002264517297025108</x:v>
      </x:c>
      <x:c r="AJ481" s="81" t="n">
        <x:f>IF('Inputs'!$B$45&gt;0,AG481/('Inputs'!$B$19*'Inputs'!$B$45)*365,0)</x:f>
        <x:v>0.00007208594565173167</x:v>
      </x:c>
      <x:c r="AK481" s="81" t="n">
        <x:f>W481/MAX($W$369:W481)-1</x:f>
        <x:v>-0.9999961107308424</x:v>
      </x:c>
      <x:c r="AL481" s="83" t="n">
        <x:f>'Inputs'!$B$45</x:f>
        <x:v>0.75</x:v>
      </x:c>
      <x:c r="AM481" s="83" t="n">
        <x:f>'Inputs'!$C$45</x:f>
        <x:v>0.5</x:v>
      </x:c>
      <x:c r="AN481" s="83" t="n">
        <x:f>'Inputs'!$D$45</x:f>
        <x:v>0.5</x:v>
      </x:c>
      <x:c r="AO481" s="81" t="n">
        <x:f>'Inputs'!$E$45</x:f>
        <x:v>-0.05</x:v>
      </x:c>
    </x:row>
    <x:row r="482">
      <x:c r="A482" s="59" t="str">
        <x:v>Weak demand</x:v>
      </x:c>
      <x:c r="B482" s="59" t="n">
        <x:v>114</x:v>
      </x:c>
      <x:c r="C482" s="78" t="n">
        <x:f>(('Inputs'!$B$29*(3*114*'Inputs'!$B$12-114^2)/(2*'Inputs'!$B$12^2))-('Inputs'!$B$29*(3*113*'Inputs'!$B$12-113^2)/(2*'Inputs'!$B$12^2)))*'Inputs'!$B$45</x:f>
        <x:v>506314.91602551565</x:v>
      </x:c>
      <x:c r="D482" s="78" t="n">
        <x:f>IF('Inputs'!$C$45&gt;0,('Inputs'!$B$30*(3*114*'Inputs'!$B$12-114^2)/(2*'Inputs'!$B$12^2))-('Inputs'!$B$30*(3*113*'Inputs'!$B$12-113^2)/(2*'Inputs'!$B$12^2)),0)</x:f>
        <x:v>289322.8091574386</x:v>
      </x:c>
      <x:c r="E482" s="78" t="n">
        <x:f>C482+D482</x:f>
        <x:v>795637.7251829542</x:v>
      </x:c>
      <x:c r="F482" s="78" t="n">
        <x:f>'Inputs'!$B$13*E482+(1-'Inputs'!$B$13)/'Inputs'!$B$14*SUM(E427:E482)</x:f>
        <x:v>804067.3085944817</x:v>
      </x:c>
      <x:c r="G482" s="78" t="n">
        <x:f>F482*'Inputs'!$F$45</x:f>
        <x:v>562847.1160161372</x:v>
      </x:c>
      <x:c r="H482" s="78" t="n">
        <x:f>U481</x:f>
        <x:v>2388038676.175916</x:v>
      </x:c>
      <x:c r="I482" s="78" t="n">
        <x:f>V481</x:f>
        <x:v>6.982815003424647</x:v>
      </x:c>
      <x:c r="J482" s="79" t="n">
        <x:f>IF(H482&gt;0,I482/H482,0)</x:f>
        <x:v>2.924079527307561e-9</x:v>
      </x:c>
      <x:c r="K482" s="80" t="n">
        <x:f>(H482*J482+I482)*'Inputs'!$D$45*(1+'Inputs'!$G$45)^(B482/30)</x:f>
        <x:v>6.982815003424647</x:v>
      </x:c>
      <x:c r="L482" s="80" t="n">
        <x:f>MAX(0,K482*'Inputs'!$E$45)</x:f>
        <x:v>0</x:v>
      </x:c>
      <x:c r="M482" s="80" t="n">
        <x:f>MAX(0,-K482*'Inputs'!$E$45)</x:f>
        <x:v>0.34914075017123236</x:v>
      </x:c>
      <x:c r="N482" s="78" t="n">
        <x:f>H482*(L482*(1-'Inputs'!$B$15))/(I482+L482*(1-'Inputs'!$B$15))</x:f>
        <x:v>0</x:v>
      </x:c>
      <x:c r="O482" s="78" t="n">
        <x:f>H482-N482</x:f>
        <x:v>2388038676.175916</x:v>
      </x:c>
      <x:c r="P482" s="78" t="n">
        <x:f>I482+L482*(1-'Inputs'!$B$17)</x:f>
        <x:v>6.982815003424647</x:v>
      </x:c>
      <x:c r="Q482" s="78" t="n">
        <x:f>IF(J482&gt;0,M482/J482,0)</x:f>
        <x:v>119401933.80879582</x:v>
      </x:c>
      <x:c r="R482" s="78" t="n">
        <x:f>IF(B482='Inputs'!$H$45,'Inputs'!$B$27*'Inputs'!$I$45,0)</x:f>
        <x:v>0</x:v>
      </x:c>
      <x:c r="S482" s="78" t="n">
        <x:f>Q482+G482+R482</x:f>
        <x:v>119964780.92481196</x:v>
      </x:c>
      <x:c r="T482" s="78" t="n">
        <x:f>P482*(S482*(1-'Inputs'!$B$15))/(O482+S482*(1-'Inputs'!$B$15))</x:f>
        <x:v>0.3308256315588898</x:v>
      </x:c>
      <x:c r="U482" s="78" t="n">
        <x:f>O482+S482*(1-'Inputs'!$B$17)</x:f>
        <x:v>2507520701.443083</x:v>
      </x:c>
      <x:c r="V482" s="78" t="n">
        <x:f>P482-T482</x:f>
        <x:v>6.651989371865757</x:v>
      </x:c>
      <x:c r="W482" s="79" t="n">
        <x:f>IF(U482&gt;0,V482/U482,0)</x:f>
        <x:v>2.65281533589634e-9</x:v>
      </x:c>
      <x:c r="X482" s="80" t="n">
        <x:f>W482*('Inputs'!$B$6-AC482)</x:f>
        <x:v>2.376452921205975</x:v>
      </x:c>
      <x:c r="Y482" s="80" t="n">
        <x:f>2*V482</x:f>
        <x:v>13.303978743731514</x:v>
      </x:c>
      <x:c r="Z482" s="80" t="n">
        <x:f>K482*'Inputs'!$B$16+(G482+R482)*J482*'Inputs'!$B$16</x:f>
        <x:v>0.04190676487892157</x:v>
      </x:c>
      <x:c r="AA482" s="80" t="n">
        <x:f>K482*(1+'Inputs'!$E$45)/2*'Inputs'!$B$17</x:f>
        <x:v>0.013347433105137654</x:v>
      </x:c>
      <x:c r="AB482" s="78" t="n">
        <x:f>(IF(J482&gt;0,K482*(1-'Inputs'!$E$45)/2/J482,0)+G482+R482)*'Inputs'!$B$17</x:f>
        <x:v>5047417.11110009</x:v>
      </x:c>
      <x:c r="AC482" s="78" t="n">
        <x:f>AC481+AB482</x:f>
        <x:v>104177026.93089522</x:v>
      </x:c>
      <x:c r="AD482" s="80" t="n">
        <x:f>Z482/(1+'Inputs'!$C$45)</x:f>
        <x:v>0.027937843252614378</x:v>
      </x:c>
      <x:c r="AE482" s="80" t="n">
        <x:f>Z482-AD482</x:f>
        <x:v>0.013968921626307189</x:v>
      </x:c>
      <x:c r="AF482" s="80" t="n">
        <x:f>D482*W482</x:f>
        <x:v>0.000767519985157463</x:v>
      </x:c>
      <x:c r="AG482" s="80" t="n">
        <x:f>C482*W482</x:f>
        <x:v>0.0013431599740255553</x:v>
      </x:c>
      <x:c r="AH482" s="80" t="n">
        <x:f>2*'Inputs'!$B$8*'Inputs'!$C$45</x:f>
        <x:v>2500</x:v>
      </x:c>
      <x:c r="AI482" s="81" t="n">
        <x:f>IF(AH482&gt;0,(AE482+AF482)/AH482*365,0)</x:f>
        <x:v>0.0021515204752738395</x:v>
      </x:c>
      <x:c r="AJ482" s="81" t="n">
        <x:f>IF('Inputs'!$B$45&gt;0,AG482/('Inputs'!$B$19*'Inputs'!$B$45)*365,0)</x:f>
        <x:v>0.00006536711873591036</x:v>
      </x:c>
      <x:c r="AK482" s="81" t="n">
        <x:f>W482/MAX($W$369:W482)-1</x:f>
        <x:v>-0.9999964715347958</x:v>
      </x:c>
      <x:c r="AL482" s="83" t="n">
        <x:f>'Inputs'!$B$45</x:f>
        <x:v>0.75</x:v>
      </x:c>
      <x:c r="AM482" s="83" t="n">
        <x:f>'Inputs'!$C$45</x:f>
        <x:v>0.5</x:v>
      </x:c>
      <x:c r="AN482" s="83" t="n">
        <x:f>'Inputs'!$D$45</x:f>
        <x:v>0.5</x:v>
      </x:c>
      <x:c r="AO482" s="81" t="n">
        <x:f>'Inputs'!$E$45</x:f>
        <x:v>-0.05</x:v>
      </x:c>
    </x:row>
    <x:row r="483">
      <x:c r="A483" s="59" t="str">
        <x:v>Weak demand</x:v>
      </x:c>
      <x:c r="B483" s="59" t="n">
        <x:v>115</x:v>
      </x:c>
      <x:c r="C483" s="78" t="n">
        <x:f>(('Inputs'!$B$29*(3*115*'Inputs'!$B$12-115^2)/(2*'Inputs'!$B$12^2))-('Inputs'!$B$29*(3*114*'Inputs'!$B$12-114^2)/(2*'Inputs'!$B$12^2)))*'Inputs'!$B$45</x:f>
        <x:v>506071.08510039747</x:v>
      </x:c>
      <x:c r="D483" s="78" t="n">
        <x:f>IF('Inputs'!$C$45&gt;0,('Inputs'!$B$30*(3*115*'Inputs'!$B$12-115^2)/(2*'Inputs'!$B$12^2))-('Inputs'!$B$30*(3*114*'Inputs'!$B$12-114^2)/(2*'Inputs'!$B$12^2)),0)</x:f>
        <x:v>289183.47720023245</x:v>
      </x:c>
      <x:c r="E483" s="78" t="n">
        <x:f>C483+D483</x:f>
        <x:v>795254.5623006299</x:v>
      </x:c>
      <x:c r="F483" s="78" t="n">
        <x:f>'Inputs'!$B$13*E483+(1-'Inputs'!$B$13)/'Inputs'!$B$14*SUM(E428:E483)</x:f>
        <x:v>803684.1457121434</x:v>
      </x:c>
      <x:c r="G483" s="78" t="n">
        <x:f>F483*'Inputs'!$F$45</x:f>
        <x:v>562578.9019985003</x:v>
      </x:c>
      <x:c r="H483" s="78" t="n">
        <x:f>U482</x:f>
        <x:v>2507520701.443083</x:v>
      </x:c>
      <x:c r="I483" s="78" t="n">
        <x:f>V482</x:f>
        <x:v>6.651989371865757</x:v>
      </x:c>
      <x:c r="J483" s="79" t="n">
        <x:f>IF(H483&gt;0,I483/H483,0)</x:f>
        <x:v>2.65281533589634e-9</x:v>
      </x:c>
      <x:c r="K483" s="80" t="n">
        <x:f>(H483*J483+I483)*'Inputs'!$D$45*(1+'Inputs'!$G$45)^(B483/30)</x:f>
        <x:v>6.651989371865757</x:v>
      </x:c>
      <x:c r="L483" s="80" t="n">
        <x:f>MAX(0,K483*'Inputs'!$E$45)</x:f>
        <x:v>0</x:v>
      </x:c>
      <x:c r="M483" s="80" t="n">
        <x:f>MAX(0,-K483*'Inputs'!$E$45)</x:f>
        <x:v>0.3325994685932879</x:v>
      </x:c>
      <x:c r="N483" s="78" t="n">
        <x:f>H483*(L483*(1-'Inputs'!$B$15))/(I483+L483*(1-'Inputs'!$B$15))</x:f>
        <x:v>0</x:v>
      </x:c>
      <x:c r="O483" s="78" t="n">
        <x:f>H483-N483</x:f>
        <x:v>2507520701.443083</x:v>
      </x:c>
      <x:c r="P483" s="78" t="n">
        <x:f>I483+L483*(1-'Inputs'!$B$17)</x:f>
        <x:v>6.651989371865757</x:v>
      </x:c>
      <x:c r="Q483" s="78" t="n">
        <x:f>IF(J483&gt;0,M483/J483,0)</x:f>
        <x:v>125376035.07215413</x:v>
      </x:c>
      <x:c r="R483" s="78" t="n">
        <x:f>IF(B483='Inputs'!$H$45,'Inputs'!$B$27*'Inputs'!$I$45,0)</x:f>
        <x:v>0</x:v>
      </x:c>
      <x:c r="S483" s="78" t="n">
        <x:f>Q483+G483+R483</x:f>
        <x:v>125938613.97415264</x:v>
      </x:c>
      <x:c r="T483" s="78" t="n">
        <x:f>P483*(S483*(1-'Inputs'!$B$15))/(O483+S483*(1-'Inputs'!$B$15))</x:f>
        <x:v>0.3150843099804286</x:v>
      </x:c>
      <x:c r="U483" s="78" t="n">
        <x:f>O483+S483*(1-'Inputs'!$B$17)</x:f>
        <x:v>2632952520.1899753</x:v>
      </x:c>
      <x:c r="V483" s="78" t="n">
        <x:f>P483-T483</x:f>
        <x:v>6.336905061885329</x:v>
      </x:c>
      <x:c r="W483" s="79" t="n">
        <x:f>IF(U483&gt;0,V483/U483,0)</x:f>
        <x:v>2.406767692654064e-9</x:v>
      </x:c>
      <x:c r="X483" s="80" t="n">
        <x:f>W483*('Inputs'!$B$6-AC483)</x:f>
        <x:v>2.1432822993828275</x:v>
      </x:c>
      <x:c r="Y483" s="80" t="n">
        <x:f>2*V483</x:f>
        <x:v>12.673810123770657</x:v>
      </x:c>
      <x:c r="Z483" s="80" t="n">
        <x:f>K483*'Inputs'!$B$16+(G483+R483)*J483*'Inputs'!$B$16</x:f>
        <x:v>0.039920890738827784</x:v>
      </x:c>
      <x:c r="AA483" s="80" t="n">
        <x:f>K483*(1+'Inputs'!$E$45)/2*'Inputs'!$B$17</x:f>
        <x:v>0.012715070227912415</x:v>
      </x:c>
      <x:c r="AB483" s="78" t="n">
        <x:f>(IF(J483&gt;0,K483*(1-'Inputs'!$E$45)/2/J483,0)+G483+R483)*'Inputs'!$B$17</x:f>
        <x:v>5299842.845712745</x:v>
      </x:c>
      <x:c r="AC483" s="78" t="n">
        <x:f>AC482+AB483</x:f>
        <x:v>109476869.77660798</x:v>
      </x:c>
      <x:c r="AD483" s="80" t="n">
        <x:f>Z483/(1+'Inputs'!$C$45)</x:f>
        <x:v>0.026613927159218523</x:v>
      </x:c>
      <x:c r="AE483" s="80" t="n">
        <x:f>Z483-AD483</x:f>
        <x:v>0.013306963579609261</x:v>
      </x:c>
      <x:c r="AF483" s="80" t="n">
        <x:f>D483*W483</x:f>
        <x:v>0.0006959974501748825</x:v>
      </x:c>
      <x:c r="AG483" s="80" t="n">
        <x:f>C483*W483</x:f>
        <x:v>0.001217995537806022</x:v>
      </x:c>
      <x:c r="AH483" s="80" t="n">
        <x:f>2*'Inputs'!$B$8*'Inputs'!$C$45</x:f>
        <x:v>2500</x:v>
      </x:c>
      <x:c r="AI483" s="81" t="n">
        <x:f>IF(AH483&gt;0,(AE483+AF483)/AH483*365,0)</x:f>
        <x:v>0.002044432310348485</x:v>
      </x:c>
      <x:c r="AJ483" s="81" t="n">
        <x:f>IF('Inputs'!$B$45&gt;0,AG483/('Inputs'!$B$19*'Inputs'!$B$45)*365,0)</x:f>
        <x:v>0.00005927578283989307</x:v>
      </x:c>
      <x:c r="AK483" s="81" t="n">
        <x:f>W483/MAX($W$369:W483)-1</x:f>
        <x:v>-0.999996798798641</x:v>
      </x:c>
      <x:c r="AL483" s="83" t="n">
        <x:f>'Inputs'!$B$45</x:f>
        <x:v>0.75</x:v>
      </x:c>
      <x:c r="AM483" s="83" t="n">
        <x:f>'Inputs'!$C$45</x:f>
        <x:v>0.5</x:v>
      </x:c>
      <x:c r="AN483" s="83" t="n">
        <x:f>'Inputs'!$D$45</x:f>
        <x:v>0.5</x:v>
      </x:c>
      <x:c r="AO483" s="81" t="n">
        <x:f>'Inputs'!$E$45</x:f>
        <x:v>-0.05</x:v>
      </x:c>
    </x:row>
    <x:row r="484">
      <x:c r="A484" s="59" t="str">
        <x:v>Weak demand</x:v>
      </x:c>
      <x:c r="B484" s="59" t="n">
        <x:v>116</x:v>
      </x:c>
      <x:c r="C484" s="78" t="n">
        <x:f>(('Inputs'!$B$29*(3*116*'Inputs'!$B$12-116^2)/(2*'Inputs'!$B$12^2))-('Inputs'!$B$29*(3*115*'Inputs'!$B$12-115^2)/(2*'Inputs'!$B$12^2)))*'Inputs'!$B$45</x:f>
        <x:v>505827.2541752681</x:v>
      </x:c>
      <x:c r="D484" s="78" t="n">
        <x:f>IF('Inputs'!$C$45&gt;0,('Inputs'!$B$30*(3*116*'Inputs'!$B$12-116^2)/(2*'Inputs'!$B$12^2))-('Inputs'!$B$30*(3*115*'Inputs'!$B$12-115^2)/(2*'Inputs'!$B$12^2)),0)</x:f>
        <x:v>289044.14524300396</x:v>
      </x:c>
      <x:c r="E484" s="78" t="n">
        <x:f>C484+D484</x:f>
        <x:v>794871.3994182721</x:v>
      </x:c>
      <x:c r="F484" s="78" t="n">
        <x:f>'Inputs'!$B$13*E484+(1-'Inputs'!$B$13)/'Inputs'!$B$14*SUM(E429:E484)</x:f>
        <x:v>803300.9828297982</x:v>
      </x:c>
      <x:c r="G484" s="78" t="n">
        <x:f>F484*'Inputs'!$F$45</x:f>
        <x:v>562310.6879808587</x:v>
      </x:c>
      <x:c r="H484" s="78" t="n">
        <x:f>U483</x:f>
        <x:v>2632952520.1899753</x:v>
      </x:c>
      <x:c r="I484" s="78" t="n">
        <x:f>V483</x:f>
        <x:v>6.336905061885329</x:v>
      </x:c>
      <x:c r="J484" s="79" t="n">
        <x:f>IF(H484&gt;0,I484/H484,0)</x:f>
        <x:v>2.406767692654064e-9</x:v>
      </x:c>
      <x:c r="K484" s="80" t="n">
        <x:f>(H484*J484+I484)*'Inputs'!$D$45*(1+'Inputs'!$G$45)^(B484/30)</x:f>
        <x:v>6.336905061885329</x:v>
      </x:c>
      <x:c r="L484" s="80" t="n">
        <x:f>MAX(0,K484*'Inputs'!$E$45)</x:f>
        <x:v>0</x:v>
      </x:c>
      <x:c r="M484" s="80" t="n">
        <x:f>MAX(0,-K484*'Inputs'!$E$45)</x:f>
        <x:v>0.3168452530942665</x:v>
      </x:c>
      <x:c r="N484" s="78" t="n">
        <x:f>H484*(L484*(1-'Inputs'!$B$15))/(I484+L484*(1-'Inputs'!$B$15))</x:f>
        <x:v>0</x:v>
      </x:c>
      <x:c r="O484" s="78" t="n">
        <x:f>H484-N484</x:f>
        <x:v>2632952520.1899753</x:v>
      </x:c>
      <x:c r="P484" s="78" t="n">
        <x:f>I484+L484*(1-'Inputs'!$B$17)</x:f>
        <x:v>6.336905061885329</x:v>
      </x:c>
      <x:c r="Q484" s="78" t="n">
        <x:f>IF(J484&gt;0,M484/J484,0)</x:f>
        <x:v>131647626.00949878</x:v>
      </x:c>
      <x:c r="R484" s="78" t="n">
        <x:f>IF(B484='Inputs'!$H$45,'Inputs'!$B$27*'Inputs'!$I$45,0)</x:f>
        <x:v>0</x:v>
      </x:c>
      <x:c r="S484" s="78" t="n">
        <x:f>Q484+G484+R484</x:f>
        <x:v>132209936.69747964</x:v>
      </x:c>
      <x:c r="T484" s="78" t="n">
        <x:f>P484*(S484*(1-'Inputs'!$B$15))/(O484+S484*(1-'Inputs'!$B$15))</x:f>
        <x:v>0.3000983022271949</x:v>
      </x:c>
      <x:c r="U484" s="78" t="n">
        <x:f>O484+S484*(1-'Inputs'!$B$17)</x:f>
        <x:v>2764630424.9490347</x:v>
      </x:c>
      <x:c r="V484" s="78" t="n">
        <x:f>P484-T484</x:f>
        <x:v>6.036806759658134</x:v>
      </x:c>
      <x:c r="W484" s="79" t="n">
        <x:f>IF(U484&gt;0,V484/U484,0)</x:f>
        <x:v>2.1835854460617175e-9</x:v>
      </x:c>
      <x:c r="X484" s="80" t="n">
        <x:f>W484*('Inputs'!$B$6-AC484)</x:f>
        <x:v>1.9323820460335206</x:v>
      </x:c>
      <x:c r="Y484" s="80" t="n">
        <x:f>2*V484</x:f>
        <x:v>12.073613519316268</x:v>
      </x:c>
      <x:c r="Z484" s="80" t="n">
        <x:f>K484*'Inputs'!$B$16+(G484+R484)*J484*'Inputs'!$B$16</x:f>
        <x:v>0.03802955047849437</x:v>
      </x:c>
      <x:c r="AA484" s="80" t="n">
        <x:f>K484*(1+'Inputs'!$E$45)/2*'Inputs'!$B$17</x:f>
        <x:v>0.012112796395957871</x:v>
      </x:c>
      <x:c r="AB484" s="78" t="n">
        <x:f>(IF(J484&gt;0,K484*(1-'Inputs'!$E$45)/2/J484,0)+G484+R484)*'Inputs'!$B$17</x:f>
        <x:v>5564838.566550174</x:v>
      </x:c>
      <x:c r="AC484" s="78" t="n">
        <x:f>AC483+AB484</x:f>
        <x:v>115041708.34315816</x:v>
      </x:c>
      <x:c r="AD484" s="80" t="n">
        <x:f>Z484/(1+'Inputs'!$C$45)</x:f>
        <x:v>0.02535303365232958</x:v>
      </x:c>
      <x:c r="AE484" s="80" t="n">
        <x:f>Z484-AD484</x:f>
        <x:v>0.012676516826164792</x:v>
      </x:c>
      <x:c r="AF484" s="80" t="n">
        <x:f>D484*W484</x:f>
        <x:v>0.0006311525888219727</x:v>
      </x:c>
      <x:c r="AG484" s="80" t="n">
        <x:f>C484*W484</x:f>
        <x:v>0.0011045170304384766</x:v>
      </x:c>
      <x:c r="AH484" s="80" t="n">
        <x:f>2*'Inputs'!$B$8*'Inputs'!$C$45</x:f>
        <x:v>2500</x:v>
      </x:c>
      <x:c r="AI484" s="81" t="n">
        <x:f>IF(AH484&gt;0,(AE484+AF484)/AH484*365,0)</x:f>
        <x:v>0.0019429197345880677</x:v>
      </x:c>
      <x:c r="AJ484" s="81" t="n">
        <x:f>IF('Inputs'!$B$45&gt;0,AG484/('Inputs'!$B$19*'Inputs'!$B$45)*365,0)</x:f>
        <x:v>0.000053753162148005856</x:v>
      </x:c>
      <x:c r="AK484" s="81" t="n">
        <x:f>W484/MAX($W$369:W484)-1</x:f>
        <x:v>-0.9999970956496056</x:v>
      </x:c>
      <x:c r="AL484" s="83" t="n">
        <x:f>'Inputs'!$B$45</x:f>
        <x:v>0.75</x:v>
      </x:c>
      <x:c r="AM484" s="83" t="n">
        <x:f>'Inputs'!$C$45</x:f>
        <x:v>0.5</x:v>
      </x:c>
      <x:c r="AN484" s="83" t="n">
        <x:f>'Inputs'!$D$45</x:f>
        <x:v>0.5</x:v>
      </x:c>
      <x:c r="AO484" s="81" t="n">
        <x:f>'Inputs'!$E$45</x:f>
        <x:v>-0.05</x:v>
      </x:c>
    </x:row>
    <x:row r="485">
      <x:c r="A485" s="59" t="str">
        <x:v>Weak demand</x:v>
      </x:c>
      <x:c r="B485" s="59" t="n">
        <x:v>117</x:v>
      </x:c>
      <x:c r="C485" s="78" t="n">
        <x:f>(('Inputs'!$B$29*(3*117*'Inputs'!$B$12-117^2)/(2*'Inputs'!$B$12^2))-('Inputs'!$B$29*(3*116*'Inputs'!$B$12-116^2)/(2*'Inputs'!$B$12^2)))*'Inputs'!$B$45</x:f>
        <x:v>505583.42325013876</x:v>
      </x:c>
      <x:c r="D485" s="78" t="n">
        <x:f>IF('Inputs'!$C$45&gt;0,('Inputs'!$B$30*(3*117*'Inputs'!$B$12-117^2)/(2*'Inputs'!$B$12^2))-('Inputs'!$B$30*(3*116*'Inputs'!$B$12-116^2)/(2*'Inputs'!$B$12^2)),0)</x:f>
        <x:v>288904.81328579783</x:v>
      </x:c>
      <x:c r="E485" s="78" t="n">
        <x:f>C485+D485</x:f>
        <x:v>794488.2365359366</x:v>
      </x:c>
      <x:c r="F485" s="78" t="n">
        <x:f>'Inputs'!$B$13*E485+(1-'Inputs'!$B$13)/'Inputs'!$B$14*SUM(E430:E485)</x:f>
        <x:v>802917.8199474574</x:v>
      </x:c>
      <x:c r="G485" s="78" t="n">
        <x:f>F485*'Inputs'!$F$45</x:f>
        <x:v>562042.4739632201</x:v>
      </x:c>
      <x:c r="H485" s="78" t="n">
        <x:f>U484</x:f>
        <x:v>2764630424.9490347</x:v>
      </x:c>
      <x:c r="I485" s="78" t="n">
        <x:f>V484</x:f>
        <x:v>6.036806759658134</x:v>
      </x:c>
      <x:c r="J485" s="79" t="n">
        <x:f>IF(H485&gt;0,I485/H485,0)</x:f>
        <x:v>2.1835854460617175e-9</x:v>
      </x:c>
      <x:c r="K485" s="80" t="n">
        <x:f>(H485*J485+I485)*'Inputs'!$D$45*(1+'Inputs'!$G$45)^(B485/30)</x:f>
        <x:v>6.036806759658134</x:v>
      </x:c>
      <x:c r="L485" s="80" t="n">
        <x:f>MAX(0,K485*'Inputs'!$E$45)</x:f>
        <x:v>0</x:v>
      </x:c>
      <x:c r="M485" s="80" t="n">
        <x:f>MAX(0,-K485*'Inputs'!$E$45)</x:f>
        <x:v>0.3018403379829067</x:v>
      </x:c>
      <x:c r="N485" s="78" t="n">
        <x:f>H485*(L485*(1-'Inputs'!$B$15))/(I485+L485*(1-'Inputs'!$B$15))</x:f>
        <x:v>0</x:v>
      </x:c>
      <x:c r="O485" s="78" t="n">
        <x:f>H485-N485</x:f>
        <x:v>2764630424.9490347</x:v>
      </x:c>
      <x:c r="P485" s="78" t="n">
        <x:f>I485+L485*(1-'Inputs'!$B$17)</x:f>
        <x:v>6.036806759658134</x:v>
      </x:c>
      <x:c r="Q485" s="78" t="n">
        <x:f>IF(J485&gt;0,M485/J485,0)</x:f>
        <x:v>138231521.24745175</x:v>
      </x:c>
      <x:c r="R485" s="78" t="n">
        <x:f>IF(B485='Inputs'!$H$45,'Inputs'!$B$27*'Inputs'!$I$45,0)</x:f>
        <x:v>0</x:v>
      </x:c>
      <x:c r="S485" s="78" t="n">
        <x:f>Q485+G485+R485</x:f>
        <x:v>138793563.72141498</x:v>
      </x:c>
      <x:c r="T485" s="78" t="n">
        <x:f>P485*(S485*(1-'Inputs'!$B$15))/(O485+S485*(1-'Inputs'!$B$15))</x:f>
        <x:v>0.28583077855520883</x:v>
      </x:c>
      <x:c r="U485" s="78" t="n">
        <x:f>O485+S485*(1-'Inputs'!$B$17)</x:f>
        <x:v>2902865463.26312</x:v>
      </x:c>
      <x:c r="V485" s="78" t="n">
        <x:f>P485-T485</x:f>
        <x:v>5.7509759811029255</x:v>
      </x:c>
      <x:c r="W485" s="79" t="n">
        <x:f>IF(U485&gt;0,V485/U485,0)</x:f>
        <x:v>1.9811376220785082e-9</x:v>
      </x:c>
      <x:c r="X485" s="80" t="n">
        <x:f>W485*('Inputs'!$B$6-AC485)</x:f>
        <x:v>1.7416483185288563</x:v>
      </x:c>
      <x:c r="Y485" s="80" t="n">
        <x:f>2*V485</x:f>
        <x:v>11.501951962205851</x:v>
      </x:c>
      <x:c r="Z485" s="80" t="n">
        <x:f>K485*'Inputs'!$B$16+(G485+R485)*J485*'Inputs'!$B$16</x:f>
        <x:v>0.03622820416454609</x:v>
      </x:c>
      <x:c r="AA485" s="80" t="n">
        <x:f>K485*(1+'Inputs'!$E$45)/2*'Inputs'!$B$17</x:f>
        <x:v>0.011539167850453174</x:v>
      </x:c>
      <x:c r="AB485" s="78" t="n">
        <x:f>(IF(J485&gt;0,K485*(1-'Inputs'!$E$45)/2/J485,0)+G485+R485)*'Inputs'!$B$17</x:f>
        <x:v>5843030.243751336</x:v>
      </x:c>
      <x:c r="AC485" s="78" t="n">
        <x:f>AC484+AB485</x:f>
        <x:v>120884738.58690949</x:v>
      </x:c>
      <x:c r="AD485" s="80" t="n">
        <x:f>Z485/(1+'Inputs'!$C$45)</x:f>
        <x:v>0.024152136109697395</x:v>
      </x:c>
      <x:c r="AE485" s="80" t="n">
        <x:f>Z485-AD485</x:f>
        <x:v>0.012076068054848697</x:v>
      </x:c>
      <x:c r="AF485" s="80" t="n">
        <x:f>D485*W485</x:f>
        <x:v>0.0005723601948000609</x:v>
      </x:c>
      <x:c r="AG485" s="80" t="n">
        <x:f>C485*W485</x:f>
        <x:v>0.0010016303409000919</x:v>
      </x:c>
      <x:c r="AH485" s="80" t="n">
        <x:f>2*'Inputs'!$B$8*'Inputs'!$C$45</x:f>
        <x:v>2500</x:v>
      </x:c>
      <x:c r="AI485" s="81" t="n">
        <x:f>IF(AH485&gt;0,(AE485+AF485)/AH485*365,0)</x:f>
        <x:v>0.0018466705244487187</x:v>
      </x:c>
      <x:c r="AJ485" s="81" t="n">
        <x:f>IF('Inputs'!$B$45&gt;0,AG485/('Inputs'!$B$19*'Inputs'!$B$45)*365,0)</x:f>
        <x:v>0.00004874600992380447</x:v>
      </x:c>
      <x:c r="AK485" s="81" t="n">
        <x:f>W485/MAX($W$369:W485)-1</x:f>
        <x:v>-0.9999973649220623</x:v>
      </x:c>
      <x:c r="AL485" s="83" t="n">
        <x:f>'Inputs'!$B$45</x:f>
        <x:v>0.75</x:v>
      </x:c>
      <x:c r="AM485" s="83" t="n">
        <x:f>'Inputs'!$C$45</x:f>
        <x:v>0.5</x:v>
      </x:c>
      <x:c r="AN485" s="83" t="n">
        <x:f>'Inputs'!$D$45</x:f>
        <x:v>0.5</x:v>
      </x:c>
      <x:c r="AO485" s="81" t="n">
        <x:f>'Inputs'!$E$45</x:f>
        <x:v>-0.05</x:v>
      </x:c>
    </x:row>
    <x:row r="486">
      <x:c r="A486" s="59" t="str">
        <x:v>Weak demand</x:v>
      </x:c>
      <x:c r="B486" s="59" t="n">
        <x:v>118</x:v>
      </x:c>
      <x:c r="C486" s="78" t="n">
        <x:f>(('Inputs'!$B$29*(3*118*'Inputs'!$B$12-118^2)/(2*'Inputs'!$B$12^2))-('Inputs'!$B$29*(3*117*'Inputs'!$B$12-117^2)/(2*'Inputs'!$B$12^2)))*'Inputs'!$B$45</x:f>
        <x:v>505339.5923250206</x:v>
      </x:c>
      <x:c r="D486" s="78" t="n">
        <x:f>IF('Inputs'!$C$45&gt;0,('Inputs'!$B$30*(3*118*'Inputs'!$B$12-118^2)/(2*'Inputs'!$B$12^2))-('Inputs'!$B$30*(3*117*'Inputs'!$B$12-117^2)/(2*'Inputs'!$B$12^2)),0)</x:f>
        <x:v>288765.4813285768</x:v>
      </x:c>
      <x:c r="E486" s="78" t="n">
        <x:f>C486+D486</x:f>
        <x:v>794105.0736535974</x:v>
      </x:c>
      <x:c r="F486" s="78" t="n">
        <x:f>'Inputs'!$B$13*E486+(1-'Inputs'!$B$13)/'Inputs'!$B$14*SUM(E431:E486)</x:f>
        <x:v>802534.6570651162</x:v>
      </x:c>
      <x:c r="G486" s="78" t="n">
        <x:f>F486*'Inputs'!$F$45</x:f>
        <x:v>561774.2599455813</x:v>
      </x:c>
      <x:c r="H486" s="78" t="n">
        <x:f>U485</x:f>
        <x:v>2902865463.26312</x:v>
      </x:c>
      <x:c r="I486" s="78" t="n">
        <x:f>V485</x:f>
        <x:v>5.7509759811029255</x:v>
      </x:c>
      <x:c r="J486" s="79" t="n">
        <x:f>IF(H486&gt;0,I486/H486,0)</x:f>
        <x:v>1.9811376220785082e-9</x:v>
      </x:c>
      <x:c r="K486" s="80" t="n">
        <x:f>(H486*J486+I486)*'Inputs'!$D$45*(1+'Inputs'!$G$45)^(B486/30)</x:f>
        <x:v>5.7509759811029255</x:v>
      </x:c>
      <x:c r="L486" s="80" t="n">
        <x:f>MAX(0,K486*'Inputs'!$E$45)</x:f>
        <x:v>0</x:v>
      </x:c>
      <x:c r="M486" s="80" t="n">
        <x:f>MAX(0,-K486*'Inputs'!$E$45)</x:f>
        <x:v>0.2875487990551463</x:v>
      </x:c>
      <x:c r="N486" s="78" t="n">
        <x:f>H486*(L486*(1-'Inputs'!$B$15))/(I486+L486*(1-'Inputs'!$B$15))</x:f>
        <x:v>0</x:v>
      </x:c>
      <x:c r="O486" s="78" t="n">
        <x:f>H486-N486</x:f>
        <x:v>2902865463.26312</x:v>
      </x:c>
      <x:c r="P486" s="78" t="n">
        <x:f>I486+L486*(1-'Inputs'!$B$17)</x:f>
        <x:v>5.7509759811029255</x:v>
      </x:c>
      <x:c r="Q486" s="78" t="n">
        <x:f>IF(J486&gt;0,M486/J486,0)</x:f>
        <x:v>145143273.16315603</x:v>
      </x:c>
      <x:c r="R486" s="78" t="n">
        <x:f>IF(B486='Inputs'!$H$45,'Inputs'!$B$27*'Inputs'!$I$45,0)</x:f>
        <x:v>0</x:v>
      </x:c>
      <x:c r="S486" s="78" t="n">
        <x:f>Q486+G486+R486</x:f>
        <x:v>145705047.4231016</x:v>
      </x:c>
      <x:c r="T486" s="78" t="n">
        <x:f>P486*(S486*(1-'Inputs'!$B$15))/(O486+S486*(1-'Inputs'!$B$15))</x:f>
        <x:v>0.27224675963245853</x:v>
      </x:c>
      <x:c r="U486" s="78" t="n">
        <x:f>O486+S486*(1-'Inputs'!$B$17)</x:f>
        <x:v>3047984172.4672155</x:v>
      </x:c>
      <x:c r="V486" s="78" t="n">
        <x:f>P486-T486</x:f>
        <x:v>5.478729221470467</x:v>
      </x:c>
      <x:c r="W486" s="79" t="n">
        <x:f>IF(U486&gt;0,V486/U486,0)</x:f>
        <x:v>1.797492674325689e-9</x:v>
      </x:c>
      <x:c r="X486" s="80" t="n">
        <x:f>W486*('Inputs'!$B$6-AC486)</x:f>
        <x:v>1.5691754898730323</x:v>
      </x:c>
      <x:c r="Y486" s="80" t="n">
        <x:f>2*V486</x:f>
        <x:v>10.957458442940935</x:v>
      </x:c>
      <x:c r="Z486" s="80" t="n">
        <x:f>K486*'Inputs'!$B$16+(G486+R486)*J486*'Inputs'!$B$16</x:f>
        <x:v>0.034512533599346515</x:v>
      </x:c>
      <x:c r="AA486" s="80" t="n">
        <x:f>K486*(1+'Inputs'!$E$45)/2*'Inputs'!$B$17</x:f>
        <x:v>0.010992811231484465</x:v>
      </x:c>
      <x:c r="AB486" s="78" t="n">
        <x:f>(IF(J486&gt;0,K486*(1-'Inputs'!$E$45)/2/J486,0)+G486+R486)*'Inputs'!$B$17</x:f>
        <x:v>6135075.020012411</x:v>
      </x:c>
      <x:c r="AC486" s="78" t="n">
        <x:f>AC485+AB486</x:f>
        <x:v>127019813.6069219</x:v>
      </x:c>
      <x:c r="AD486" s="80" t="n">
        <x:f>Z486/(1+'Inputs'!$C$45)</x:f>
        <x:v>0.023008355732897678</x:v>
      </x:c>
      <x:c r="AE486" s="80" t="n">
        <x:f>Z486-AD486</x:f>
        <x:v>0.011504177866448837</x:v>
      </x:c>
      <x:c r="AF486" s="80" t="n">
        <x:f>D486*W486</x:f>
        <x:v>0.0005190538372862484</x:v>
      </x:c>
      <x:c r="AG486" s="80" t="n">
        <x:f>C486*W486</x:f>
        <x:v>0.0009083442152509547</x:v>
      </x:c>
      <x:c r="AH486" s="80" t="n">
        <x:f>2*'Inputs'!$B$8*'Inputs'!$C$45</x:f>
        <x:v>2500</x:v>
      </x:c>
      <x:c r="AI486" s="81" t="n">
        <x:f>IF(AH486&gt;0,(AE486+AF486)/AH486*365,0)</x:f>
        <x:v>0.0017553918287453226</x:v>
      </x:c>
      <x:c r="AJ486" s="81" t="n">
        <x:f>IF('Inputs'!$B$45&gt;0,AG486/('Inputs'!$B$19*'Inputs'!$B$45)*365,0)</x:f>
        <x:v>0.000044206085142213134</x:v>
      </x:c>
      <x:c r="AK486" s="81" t="n">
        <x:f>W486/MAX($W$369:W486)-1</x:f>
        <x:v>-0.9999976091851286</x:v>
      </x:c>
      <x:c r="AL486" s="83" t="n">
        <x:f>'Inputs'!$B$45</x:f>
        <x:v>0.75</x:v>
      </x:c>
      <x:c r="AM486" s="83" t="n">
        <x:f>'Inputs'!$C$45</x:f>
        <x:v>0.5</x:v>
      </x:c>
      <x:c r="AN486" s="83" t="n">
        <x:f>'Inputs'!$D$45</x:f>
        <x:v>0.5</x:v>
      </x:c>
      <x:c r="AO486" s="81" t="n">
        <x:f>'Inputs'!$E$45</x:f>
        <x:v>-0.05</x:v>
      </x:c>
    </x:row>
    <x:row r="487">
      <x:c r="A487" s="59" t="str">
        <x:v>Weak demand</x:v>
      </x:c>
      <x:c r="B487" s="59" t="n">
        <x:v>119</x:v>
      </x:c>
      <x:c r="C487" s="78" t="n">
        <x:f>(('Inputs'!$B$29*(3*119*'Inputs'!$B$12-119^2)/(2*'Inputs'!$B$12^2))-('Inputs'!$B$29*(3*118*'Inputs'!$B$12-118^2)/(2*'Inputs'!$B$12^2)))*'Inputs'!$B$45</x:f>
        <x:v>505095.76139988005</x:v>
      </x:c>
      <x:c r="D487" s="78" t="n">
        <x:f>IF('Inputs'!$C$45&gt;0,('Inputs'!$B$30*(3*119*'Inputs'!$B$12-119^2)/(2*'Inputs'!$B$12^2))-('Inputs'!$B$30*(3*118*'Inputs'!$B$12-118^2)/(2*'Inputs'!$B$12^2)),0)</x:f>
        <x:v>288626.1493713632</x:v>
      </x:c>
      <x:c r="E487" s="78" t="n">
        <x:f>C487+D487</x:f>
        <x:v>793721.9107712433</x:v>
      </x:c>
      <x:c r="F487" s="78" t="n">
        <x:f>'Inputs'!$B$13*E487+(1-'Inputs'!$B$13)/'Inputs'!$B$14*SUM(E432:E487)</x:f>
        <x:v>802151.4941827717</x:v>
      </x:c>
      <x:c r="G487" s="78" t="n">
        <x:f>F487*'Inputs'!$F$45</x:f>
        <x:v>561506.0459279402</x:v>
      </x:c>
      <x:c r="H487" s="78" t="n">
        <x:f>U486</x:f>
        <x:v>3047984172.4672155</x:v>
      </x:c>
      <x:c r="I487" s="78" t="n">
        <x:f>V486</x:f>
        <x:v>5.478729221470467</x:v>
      </x:c>
      <x:c r="J487" s="79" t="n">
        <x:f>IF(H487&gt;0,I487/H487,0)</x:f>
        <x:v>1.797492674325689e-9</x:v>
      </x:c>
      <x:c r="K487" s="80" t="n">
        <x:f>(H487*J487+I487)*'Inputs'!$D$45*(1+'Inputs'!$G$45)^(B487/30)</x:f>
        <x:v>5.478729221470467</x:v>
      </x:c>
      <x:c r="L487" s="80" t="n">
        <x:f>MAX(0,K487*'Inputs'!$E$45)</x:f>
        <x:v>0</x:v>
      </x:c>
      <x:c r="M487" s="80" t="n">
        <x:f>MAX(0,-K487*'Inputs'!$E$45)</x:f>
        <x:v>0.2739364610735234</x:v>
      </x:c>
      <x:c r="N487" s="78" t="n">
        <x:f>H487*(L487*(1-'Inputs'!$B$15))/(I487+L487*(1-'Inputs'!$B$15))</x:f>
        <x:v>0</x:v>
      </x:c>
      <x:c r="O487" s="78" t="n">
        <x:f>H487-N487</x:f>
        <x:v>3047984172.4672155</x:v>
      </x:c>
      <x:c r="P487" s="78" t="n">
        <x:f>I487+L487*(1-'Inputs'!$B$17)</x:f>
        <x:v>5.478729221470467</x:v>
      </x:c>
      <x:c r="Q487" s="78" t="n">
        <x:f>IF(J487&gt;0,M487/J487,0)</x:f>
        <x:v>152399208.62336078</x:v>
      </x:c>
      <x:c r="R487" s="78" t="n">
        <x:f>IF(B487='Inputs'!$H$45,'Inputs'!$B$27*'Inputs'!$I$45,0)</x:f>
        <x:v>0</x:v>
      </x:c>
      <x:c r="S487" s="78" t="n">
        <x:f>Q487+G487+R487</x:f>
        <x:v>152960714.66928872</x:v>
      </x:c>
      <x:c r="T487" s="78" t="n">
        <x:f>P487*(S487*(1-'Inputs'!$B$15))/(O487+S487*(1-'Inputs'!$B$15))</x:f>
        <x:v>0.25931301854203936</x:v>
      </x:c>
      <x:c r="U487" s="78" t="n">
        <x:f>O487+S487*(1-'Inputs'!$B$17)</x:f>
        <x:v>3200329351.0613766</x:v>
      </x:c>
      <x:c r="V487" s="78" t="n">
        <x:f>P487-T487</x:f>
        <x:v>5.219416202928428</x:v>
      </x:c>
      <x:c r="W487" s="79" t="n">
        <x:f>IF(U487&gt;0,V487/U487,0)</x:f>
        <x:v>1.6308997076183516e-9</x:v>
      </x:c>
      <x:c r="X487" s="80" t="n">
        <x:f>W487*('Inputs'!$B$6-AC487)</x:f>
        <x:v>1.413237424828426</x:v>
      </x:c>
      <x:c r="Y487" s="80" t="n">
        <x:f>2*V487</x:f>
        <x:v>10.438832405856855</x:v>
      </x:c>
      <x:c r="Z487" s="80" t="n">
        <x:f>K487*'Inputs'!$B$16+(G487+R487)*J487*'Inputs'!$B$16</x:f>
        <x:v>0.03287843114684767</x:v>
      </x:c>
      <x:c r="AA487" s="80" t="n">
        <x:f>K487*(1+'Inputs'!$E$45)/2*'Inputs'!$B$17</x:f>
        <x:v>0.01047242004104013</x:v>
      </x:c>
      <x:c r="AB487" s="78" t="n">
        <x:f>(IF(J487&gt;0,K487*(1-'Inputs'!$E$45)/2/J487,0)+G487+R487)*'Inputs'!$B$17</x:f>
        <x:v>6441662.76294252</x:v>
      </x:c>
      <x:c r="AC487" s="78" t="n">
        <x:f>AC486+AB487</x:f>
        <x:v>133461476.36986442</x:v>
      </x:c>
      <x:c r="AD487" s="80" t="n">
        <x:f>Z487/(1+'Inputs'!$C$45)</x:f>
        <x:v>0.021918954097898447</x:v>
      </x:c>
      <x:c r="AE487" s="80" t="n">
        <x:f>Z487-AD487</x:f>
        <x:v>0.010959477048949225</x:v>
      </x:c>
      <x:c r="AF487" s="80" t="n">
        <x:f>D487*W487</x:f>
        <x:v>0.0004707203026207669</x:v>
      </x:c>
      <x:c r="AG487" s="80" t="n">
        <x:f>C487*W487</x:f>
        <x:v>0.000823760529586333</x:v>
      </x:c>
      <x:c r="AH487" s="80" t="n">
        <x:f>2*'Inputs'!$B$8*'Inputs'!$C$45</x:f>
        <x:v>2500</x:v>
      </x:c>
      <x:c r="AI487" s="81" t="n">
        <x:f>IF(AH487&gt;0,(AE487+AF487)/AH487*365,0)</x:f>
        <x:v>0.0016688088133292186</x:v>
      </x:c>
      <x:c r="AJ487" s="81" t="n">
        <x:f>IF('Inputs'!$B$45&gt;0,AG487/('Inputs'!$B$19*'Inputs'!$B$45)*365,0)</x:f>
        <x:v>0.00004008967910653487</x:v>
      </x:c>
      <x:c r="AK487" s="81" t="n">
        <x:f>W487/MAX($W$369:W487)-1</x:f>
        <x:v>-0.9999978307676407</x:v>
      </x:c>
      <x:c r="AL487" s="83" t="n">
        <x:f>'Inputs'!$B$45</x:f>
        <x:v>0.75</x:v>
      </x:c>
      <x:c r="AM487" s="83" t="n">
        <x:f>'Inputs'!$C$45</x:f>
        <x:v>0.5</x:v>
      </x:c>
      <x:c r="AN487" s="83" t="n">
        <x:f>'Inputs'!$D$45</x:f>
        <x:v>0.5</x:v>
      </x:c>
      <x:c r="AO487" s="81" t="n">
        <x:f>'Inputs'!$E$45</x:f>
        <x:v>-0.05</x:v>
      </x:c>
    </x:row>
    <x:row r="488">
      <x:c r="A488" s="59" t="str">
        <x:v>Weak demand</x:v>
      </x:c>
      <x:c r="B488" s="59" t="n">
        <x:v>120</x:v>
      </x:c>
      <x:c r="C488" s="78" t="n">
        <x:f>(('Inputs'!$B$29*(3*120*'Inputs'!$B$12-120^2)/(2*'Inputs'!$B$12^2))-('Inputs'!$B$29*(3*119*'Inputs'!$B$12-119^2)/(2*'Inputs'!$B$12^2)))*'Inputs'!$B$45</x:f>
        <x:v>504851.9304747619</x:v>
      </x:c>
      <x:c r="D488" s="78" t="n">
        <x:f>IF('Inputs'!$C$45&gt;0,('Inputs'!$B$30*(3*120*'Inputs'!$B$12-120^2)/(2*'Inputs'!$B$12^2))-('Inputs'!$B$30*(3*119*'Inputs'!$B$12-119^2)/(2*'Inputs'!$B$12^2)),0)</x:f>
        <x:v>288486.81741414964</x:v>
      </x:c>
      <x:c r="E488" s="78" t="n">
        <x:f>C488+D488</x:f>
        <x:v>793338.7478889115</x:v>
      </x:c>
      <x:c r="F488" s="78" t="n">
        <x:f>'Inputs'!$B$13*E488+(1-'Inputs'!$B$13)/'Inputs'!$B$14*SUM(E433:E488)</x:f>
        <x:v>801768.3313004319</x:v>
      </x:c>
      <x:c r="G488" s="78" t="n">
        <x:f>F488*'Inputs'!$F$45</x:f>
        <x:v>561237.8319103023</x:v>
      </x:c>
      <x:c r="H488" s="78" t="n">
        <x:f>U487</x:f>
        <x:v>3200329351.0613766</x:v>
      </x:c>
      <x:c r="I488" s="78" t="n">
        <x:f>V487</x:f>
        <x:v>5.219416202928428</x:v>
      </x:c>
      <x:c r="J488" s="79" t="n">
        <x:f>IF(H488&gt;0,I488/H488,0)</x:f>
        <x:v>1.6308997076183516e-9</x:v>
      </x:c>
      <x:c r="K488" s="80" t="n">
        <x:f>(H488*J488+I488)*'Inputs'!$D$45*(1+'Inputs'!$G$45)^(B488/30)</x:f>
        <x:v>5.219416202928428</x:v>
      </x:c>
      <x:c r="L488" s="80" t="n">
        <x:f>MAX(0,K488*'Inputs'!$E$45)</x:f>
        <x:v>0</x:v>
      </x:c>
      <x:c r="M488" s="80" t="n">
        <x:f>MAX(0,-K488*'Inputs'!$E$45)</x:f>
        <x:v>0.2609708101464214</x:v>
      </x:c>
      <x:c r="N488" s="78" t="n">
        <x:f>H488*(L488*(1-'Inputs'!$B$15))/(I488+L488*(1-'Inputs'!$B$15))</x:f>
        <x:v>0</x:v>
      </x:c>
      <x:c r="O488" s="78" t="n">
        <x:f>H488-N488</x:f>
        <x:v>3200329351.0613766</x:v>
      </x:c>
      <x:c r="P488" s="78" t="n">
        <x:f>I488+L488*(1-'Inputs'!$B$17)</x:f>
        <x:v>5.219416202928428</x:v>
      </x:c>
      <x:c r="Q488" s="78" t="n">
        <x:f>IF(J488&gt;0,M488/J488,0)</x:f>
        <x:v>160016467.55306882</x:v>
      </x:c>
      <x:c r="R488" s="78" t="n">
        <x:f>IF(B488='Inputs'!$H$45,'Inputs'!$B$27*'Inputs'!$I$45,0)</x:f>
        <x:v>0</x:v>
      </x:c>
      <x:c r="S488" s="78" t="n">
        <x:f>Q488+G488+R488</x:f>
        <x:v>160577705.38497913</x:v>
      </x:c>
      <x:c r="T488" s="78" t="n">
        <x:f>P488*(S488*(1-'Inputs'!$B$15))/(O488+S488*(1-'Inputs'!$B$15))</x:f>
        <x:v>0.24699798843059503</x:v>
      </x:c>
      <x:c r="U488" s="78" t="n">
        <x:f>O488+S488*(1-'Inputs'!$B$17)</x:f>
        <x:v>3360260868.4971204</x:v>
      </x:c>
      <x:c r="V488" s="78" t="n">
        <x:f>P488-T488</x:f>
        <x:v>4.972418214497833</x:v>
      </x:c>
      <x:c r="W488" s="79" t="n">
        <x:f>IF(U488&gt;0,V488/U488,0)</x:f>
        <x:v>1.4797714847424187e-9</x:v>
      </x:c>
      <x:c r="X488" s="80" t="n">
        <x:f>W488*('Inputs'!$B$6-AC488)</x:f>
        <x:v>1.2722705370774645</x:v>
      </x:c>
      <x:c r="Y488" s="80" t="n">
        <x:f>2*V488</x:f>
        <x:v>9.944836428995666</x:v>
      </x:c>
      <x:c r="Z488" s="80" t="n">
        <x:f>K488*'Inputs'!$B$16+(G488+R488)*J488*'Inputs'!$B$16</x:f>
        <x:v>0.031321989153266366</x:v>
      </x:c>
      <x:c r="AA488" s="80" t="n">
        <x:f>K488*(1+'Inputs'!$E$45)/2*'Inputs'!$B$17</x:f>
        <x:v>0.009976751293323958</x:v>
      </x:c>
      <x:c r="AB488" s="78" t="n">
        <x:f>(IF(J488&gt;0,K488*(1-'Inputs'!$E$45)/2/J488,0)+G488+R488)*'Inputs'!$B$17</x:f>
        <x:v>6763517.694724882</x:v>
      </x:c>
      <x:c r="AC488" s="78" t="n">
        <x:f>AC487+AB488</x:f>
        <x:v>140224994.0645893</x:v>
      </x:c>
      <x:c r="AD488" s="80" t="n">
        <x:f>Z488/(1+'Inputs'!$C$45)</x:f>
        <x:v>0.020881326102177578</x:v>
      </x:c>
      <x:c r="AE488" s="80" t="n">
        <x:f>Z488-AD488</x:f>
        <x:v>0.010440663051088789</x:v>
      </x:c>
      <x:c r="AF488" s="80" t="n">
        <x:f>D488*W488</x:f>
        <x:v>0.00042689456613355126</x:v>
      </x:c>
      <x:c r="AG488" s="80" t="n">
        <x:f>C488*W488</x:f>
        <x:v>0.0007470654907337147</x:v>
      </x:c>
      <x:c r="AH488" s="80" t="n">
        <x:f>2*'Inputs'!$B$8*'Inputs'!$C$45</x:f>
        <x:v>2500</x:v>
      </x:c>
      <x:c r="AI488" s="81" t="n">
        <x:f>IF(AH488&gt;0,(AE488+AF488)/AH488*365,0)</x:f>
        <x:v>0.0015866634121144618</x:v>
      </x:c>
      <x:c r="AJ488" s="81" t="n">
        <x:f>IF('Inputs'!$B$45&gt;0,AG488/('Inputs'!$B$19*'Inputs'!$B$45)*365,0)</x:f>
        <x:v>0.00003635718721570745</x:v>
      </x:c>
      <x:c r="AK488" s="81" t="n">
        <x:f>W488/MAX($W$369:W488)-1</x:f>
        <x:v>-0.9999980317807563</x:v>
      </x:c>
      <x:c r="AL488" s="83" t="n">
        <x:f>'Inputs'!$B$45</x:f>
        <x:v>0.75</x:v>
      </x:c>
      <x:c r="AM488" s="83" t="n">
        <x:f>'Inputs'!$C$45</x:f>
        <x:v>0.5</x:v>
      </x:c>
      <x:c r="AN488" s="83" t="n">
        <x:f>'Inputs'!$D$45</x:f>
        <x:v>0.5</x:v>
      </x:c>
      <x:c r="AO488" s="81" t="n">
        <x:f>'Inputs'!$E$45</x:f>
        <x:v>-0.05</x:v>
      </x:c>
    </x:row>
    <x:row r="489">
      <x:c r="A489" s="59" t="str">
        <x:v>Weak demand</x:v>
      </x:c>
      <x:c r="B489" s="59" t="n">
        <x:v>121</x:v>
      </x:c>
      <x:c r="C489" s="78" t="n">
        <x:f>(('Inputs'!$B$29*(3*121*'Inputs'!$B$12-121^2)/(2*'Inputs'!$B$12^2))-('Inputs'!$B$29*(3*120*'Inputs'!$B$12-120^2)/(2*'Inputs'!$B$12^2)))*'Inputs'!$B$45</x:f>
        <x:v>504608.0995496325</x:v>
      </x:c>
      <x:c r="D489" s="78" t="n">
        <x:f>IF('Inputs'!$C$45&gt;0,('Inputs'!$B$30*(3*121*'Inputs'!$B$12-121^2)/(2*'Inputs'!$B$12^2))-('Inputs'!$B$30*(3*120*'Inputs'!$B$12-120^2)/(2*'Inputs'!$B$12^2)),0)</x:f>
        <x:v>288347.48545693606</x:v>
      </x:c>
      <x:c r="E489" s="78" t="n">
        <x:f>C489+D489</x:f>
        <x:v>792955.5850065686</x:v>
      </x:c>
      <x:c r="F489" s="78" t="n">
        <x:f>'Inputs'!$B$13*E489+(1-'Inputs'!$B$13)/'Inputs'!$B$14*SUM(E434:E489)</x:f>
        <x:v>801385.1684180897</x:v>
      </x:c>
      <x:c r="G489" s="78" t="n">
        <x:f>F489*'Inputs'!$F$45</x:f>
        <x:v>560969.6178926628</x:v>
      </x:c>
      <x:c r="H489" s="78" t="n">
        <x:f>U488</x:f>
        <x:v>3360260868.4971204</x:v>
      </x:c>
      <x:c r="I489" s="78" t="n">
        <x:f>V488</x:f>
        <x:v>4.972418214497833</x:v>
      </x:c>
      <x:c r="J489" s="79" t="n">
        <x:f>IF(H489&gt;0,I489/H489,0)</x:f>
        <x:v>1.4797714847424187e-9</x:v>
      </x:c>
      <x:c r="K489" s="80" t="n">
        <x:f>(H489*J489+I489)*'Inputs'!$D$45*(1+'Inputs'!$G$45)^(B489/30)</x:f>
        <x:v>4.972418214497833</x:v>
      </x:c>
      <x:c r="L489" s="80" t="n">
        <x:f>MAX(0,K489*'Inputs'!$E$45)</x:f>
        <x:v>0</x:v>
      </x:c>
      <x:c r="M489" s="80" t="n">
        <x:f>MAX(0,-K489*'Inputs'!$E$45)</x:f>
        <x:v>0.24862091072489167</x:v>
      </x:c>
      <x:c r="N489" s="78" t="n">
        <x:f>H489*(L489*(1-'Inputs'!$B$15))/(I489+L489*(1-'Inputs'!$B$15))</x:f>
        <x:v>0</x:v>
      </x:c>
      <x:c r="O489" s="78" t="n">
        <x:f>H489-N489</x:f>
        <x:v>3360260868.4971204</x:v>
      </x:c>
      <x:c r="P489" s="78" t="n">
        <x:f>I489+L489*(1-'Inputs'!$B$17)</x:f>
        <x:v>4.972418214497833</x:v>
      </x:c>
      <x:c r="Q489" s="78" t="n">
        <x:f>IF(J489&gt;0,M489/J489,0)</x:f>
        <x:v>168013043.42485604</x:v>
      </x:c>
      <x:c r="R489" s="78" t="n">
        <x:f>IF(B489='Inputs'!$H$45,'Inputs'!$B$27*'Inputs'!$I$45,0)</x:f>
        <x:v>0</x:v>
      </x:c>
      <x:c r="S489" s="78" t="n">
        <x:f>Q489+G489+R489</x:f>
        <x:v>168574013.0427487</x:v>
      </x:c>
      <x:c r="T489" s="78" t="n">
        <x:f>P489*(S489*(1-'Inputs'!$B$15))/(O489+S489*(1-'Inputs'!$B$15))</x:f>
        <x:v>0.23527167543692515</x:v>
      </x:c>
      <x:c r="U489" s="78" t="n">
        <x:f>O489+S489*(1-'Inputs'!$B$17)</x:f>
        <x:v>3528156515.2902</x:v>
      </x:c>
      <x:c r="V489" s="78" t="n">
        <x:f>P489-T489</x:f>
        <x:v>4.737146539060908</x:v>
      </x:c>
      <x:c r="W489" s="79" t="n">
        <x:f>IF(U489&gt;0,V489/U489,0)</x:f>
        <x:v>1.3426690450186178e-9</x:v>
      </x:c>
      <x:c r="X489" s="80" t="n">
        <x:f>W489*('Inputs'!$B$6-AC489)</x:f>
        <x:v>1.144858456055674</x:v>
      </x:c>
      <x:c r="Y489" s="80" t="n">
        <x:f>2*V489</x:f>
        <x:v>9.474293078121816</x:v>
      </x:c>
      <x:c r="Z489" s="80" t="n">
        <x:f>K489*'Inputs'!$B$16+(G489+R489)*J489*'Inputs'!$B$16</x:f>
        <x:v>0.029839489928053187</x:v>
      </x:c>
      <x:c r="AA489" s="80" t="n">
        <x:f>K489*(1+'Inputs'!$E$45)/2*'Inputs'!$B$17</x:f>
        <x:v>0.009504622341595456</x:v>
      </x:c>
      <x:c r="AB489" s="78" t="n">
        <x:f>(IF(J489&gt;0,K489*(1-'Inputs'!$E$45)/2/J489,0)+G489+R489)*'Inputs'!$B$17</x:f>
        <x:v>7101400.102933124</x:v>
      </x:c>
      <x:c r="AC489" s="78" t="n">
        <x:f>AC488+AB489</x:f>
        <x:v>147326394.16752243</x:v>
      </x:c>
      <x:c r="AD489" s="80" t="n">
        <x:f>Z489/(1+'Inputs'!$C$45)</x:f>
        <x:v>0.019892993285368792</x:v>
      </x:c>
      <x:c r="AE489" s="80" t="n">
        <x:f>Z489-AD489</x:f>
        <x:v>0.009946496642684394</x:v>
      </x:c>
      <x:c r="AF489" s="80" t="n">
        <x:f>D489*W489</x:f>
        <x:v>0.00038715524293198413</x:v>
      </x:c>
      <x:c r="AG489" s="80" t="n">
        <x:f>C489*W489</x:f>
        <x:v>0.0006775216751309647</x:v>
      </x:c>
      <x:c r="AH489" s="80" t="n">
        <x:f>2*'Inputs'!$B$8*'Inputs'!$C$45</x:f>
        <x:v>2500</x:v>
      </x:c>
      <x:c r="AI489" s="81" t="n">
        <x:f>IF(AH489&gt;0,(AE489+AF489)/AH489*365,0)</x:f>
        <x:v>0.0015087131752999912</x:v>
      </x:c>
      <x:c r="AJ489" s="81" t="n">
        <x:f>IF('Inputs'!$B$45&gt;0,AG489/('Inputs'!$B$19*'Inputs'!$B$45)*365,0)</x:f>
        <x:v>0.000032972721523040285</x:v>
      </x:c>
      <x:c r="AK489" s="81" t="n">
        <x:f>W489/MAX($W$369:W489)-1</x:f>
        <x:v>-0.9999982141384128</x:v>
      </x:c>
      <x:c r="AL489" s="83" t="n">
        <x:f>'Inputs'!$B$45</x:f>
        <x:v>0.75</x:v>
      </x:c>
      <x:c r="AM489" s="83" t="n">
        <x:f>'Inputs'!$C$45</x:f>
        <x:v>0.5</x:v>
      </x:c>
      <x:c r="AN489" s="83" t="n">
        <x:f>'Inputs'!$D$45</x:f>
        <x:v>0.5</x:v>
      </x:c>
      <x:c r="AO489" s="81" t="n">
        <x:f>'Inputs'!$E$45</x:f>
        <x:v>-0.05</x:v>
      </x:c>
    </x:row>
    <x:row r="490">
      <x:c r="A490" s="59" t="str">
        <x:v>Weak demand</x:v>
      </x:c>
      <x:c r="B490" s="59" t="n">
        <x:v>122</x:v>
      </x:c>
      <x:c r="C490" s="78" t="n">
        <x:f>(('Inputs'!$B$29*(3*122*'Inputs'!$B$12-122^2)/(2*'Inputs'!$B$12^2))-('Inputs'!$B$29*(3*121*'Inputs'!$B$12-121^2)/(2*'Inputs'!$B$12^2)))*'Inputs'!$B$45</x:f>
        <x:v>504364.26862451434</x:v>
      </x:c>
      <x:c r="D490" s="78" t="n">
        <x:f>IF('Inputs'!$C$45&gt;0,('Inputs'!$B$30*(3*122*'Inputs'!$B$12-122^2)/(2*'Inputs'!$B$12^2))-('Inputs'!$B$30*(3*121*'Inputs'!$B$12-121^2)/(2*'Inputs'!$B$12^2)),0)</x:f>
        <x:v>288208.15349971503</x:v>
      </x:c>
      <x:c r="E490" s="78" t="n">
        <x:f>C490+D490</x:f>
        <x:v>792572.4221242294</x:v>
      </x:c>
      <x:c r="F490" s="78" t="n">
        <x:f>'Inputs'!$B$13*E490+(1-'Inputs'!$B$13)/'Inputs'!$B$14*SUM(E435:E490)</x:f>
        <x:v>801002.0055357483</x:v>
      </x:c>
      <x:c r="G490" s="78" t="n">
        <x:f>F490*'Inputs'!$F$45</x:f>
        <x:v>560701.4038750238</x:v>
      </x:c>
      <x:c r="H490" s="78" t="n">
        <x:f>U489</x:f>
        <x:v>3528156515.2902</x:v>
      </x:c>
      <x:c r="I490" s="78" t="n">
        <x:f>V489</x:f>
        <x:v>4.737146539060908</x:v>
      </x:c>
      <x:c r="J490" s="79" t="n">
        <x:f>IF(H490&gt;0,I490/H490,0)</x:f>
        <x:v>1.3426690450186178e-9</x:v>
      </x:c>
      <x:c r="K490" s="80" t="n">
        <x:f>(H490*J490+I490)*'Inputs'!$D$45*(1+'Inputs'!$G$45)^(B490/30)</x:f>
        <x:v>4.737146539060908</x:v>
      </x:c>
      <x:c r="L490" s="80" t="n">
        <x:f>MAX(0,K490*'Inputs'!$E$45)</x:f>
        <x:v>0</x:v>
      </x:c>
      <x:c r="M490" s="80" t="n">
        <x:f>MAX(0,-K490*'Inputs'!$E$45)</x:f>
        <x:v>0.2368573269530454</x:v>
      </x:c>
      <x:c r="N490" s="78" t="n">
        <x:f>H490*(L490*(1-'Inputs'!$B$15))/(I490+L490*(1-'Inputs'!$B$15))</x:f>
        <x:v>0</x:v>
      </x:c>
      <x:c r="O490" s="78" t="n">
        <x:f>H490-N490</x:f>
        <x:v>3528156515.2902</x:v>
      </x:c>
      <x:c r="P490" s="78" t="n">
        <x:f>I490+L490*(1-'Inputs'!$B$17)</x:f>
        <x:v>4.737146539060908</x:v>
      </x:c>
      <x:c r="Q490" s="78" t="n">
        <x:f>IF(J490&gt;0,M490/J490,0)</x:f>
        <x:v>176407825.76451004</x:v>
      </x:c>
      <x:c r="R490" s="78" t="n">
        <x:f>IF(B490='Inputs'!$H$45,'Inputs'!$B$27*'Inputs'!$I$45,0)</x:f>
        <x:v>0</x:v>
      </x:c>
      <x:c r="S490" s="78" t="n">
        <x:f>Q490+G490+R490</x:f>
        <x:v>176968527.16838506</x:v>
      </x:c>
      <x:c r="T490" s="78" t="n">
        <x:f>P490*(S490*(1-'Inputs'!$B$15))/(O490+S490*(1-'Inputs'!$B$15))</x:f>
        <x:v>0.2241055765625658</x:v>
      </x:c>
      <x:c r="U490" s="78" t="n">
        <x:f>O490+S490*(1-'Inputs'!$B$17)</x:f>
        <x:v>3704412895.467968</x:v>
      </x:c>
      <x:c r="V490" s="78" t="n">
        <x:f>P490-T490</x:f>
        <x:v>4.5130409624983425</x:v>
      </x:c>
      <x:c r="W490" s="79" t="n">
        <x:f>IF(U490&gt;0,V490/U490,0)</x:f>
        <x:v>1.2182877799663374e-9</x:v>
      </x:c>
      <x:c r="X490" s="80" t="n">
        <x:f>W490*('Inputs'!$B$6-AC490)</x:f>
        <x:v>1.0297181488566816</x:v>
      </x:c>
      <x:c r="Y490" s="80" t="n">
        <x:f>2*V490</x:f>
        <x:v>9.026081924996685</x:v>
      </x:c>
      <x:c r="Z490" s="80" t="n">
        <x:f>K490*'Inputs'!$B$16+(G490+R490)*J490*'Inputs'!$B$16</x:f>
        <x:v>0.02842739625287634</x:v>
      </x:c>
      <x:c r="AA490" s="80" t="n">
        <x:f>K490*(1+'Inputs'!$E$45)/2*'Inputs'!$B$17</x:f>
        <x:v>0.009054907871444392</x:v>
      </x:c>
      <x:c r="AB490" s="78" t="n">
        <x:f>(IF(J490&gt;0,K490*(1-'Inputs'!$E$45)/2/J490,0)+G490+R490)*'Inputs'!$B$17</x:f>
        <x:v>7456108.136544188</x:v>
      </x:c>
      <x:c r="AC490" s="78" t="n">
        <x:f>AC489+AB490</x:f>
        <x:v>154782502.30406663</x:v>
      </x:c>
      <x:c r="AD490" s="80" t="n">
        <x:f>Z490/(1+'Inputs'!$C$45)</x:f>
        <x:v>0.01895159750191756</x:v>
      </x:c>
      <x:c r="AE490" s="80" t="n">
        <x:f>Z490-AD490</x:f>
        <x:v>0.009475798750958778</x:v>
      </x:c>
      <x:c r="AF490" s="80" t="n">
        <x:f>D490*W490</x:f>
        <x:v>0.0003511204714953652</x:v>
      </x:c>
      <x:c r="AG490" s="80" t="n">
        <x:f>C490*W490</x:f>
        <x:v>0.0006144608251169051</x:v>
      </x:c>
      <x:c r="AH490" s="80" t="n">
        <x:f>2*'Inputs'!$B$8*'Inputs'!$C$45</x:f>
        <x:v>2500</x:v>
      </x:c>
      <x:c r="AI490" s="81" t="n">
        <x:f>IF(AH490&gt;0,(AE490+AF490)/AH490*365,0)</x:f>
        <x:v>0.0014347302064783049</x:v>
      </x:c>
      <x:c r="AJ490" s="81" t="n">
        <x:f>IF('Inputs'!$B$45&gt;0,AG490/('Inputs'!$B$19*'Inputs'!$B$45)*365,0)</x:f>
        <x:v>0.00002990376015568938</x:v>
      </x:c>
      <x:c r="AK490" s="81" t="n">
        <x:f>W490/MAX($W$369:W490)-1</x:f>
        <x:v>-0.9999983795758483</x:v>
      </x:c>
      <x:c r="AL490" s="83" t="n">
        <x:f>'Inputs'!$B$45</x:f>
        <x:v>0.75</x:v>
      </x:c>
      <x:c r="AM490" s="83" t="n">
        <x:f>'Inputs'!$C$45</x:f>
        <x:v>0.5</x:v>
      </x:c>
      <x:c r="AN490" s="83" t="n">
        <x:f>'Inputs'!$D$45</x:f>
        <x:v>0.5</x:v>
      </x:c>
      <x:c r="AO490" s="81" t="n">
        <x:f>'Inputs'!$E$45</x:f>
        <x:v>-0.05</x:v>
      </x:c>
    </x:row>
    <x:row r="491">
      <x:c r="A491" s="59" t="str">
        <x:v>Weak demand</x:v>
      </x:c>
      <x:c r="B491" s="59" t="n">
        <x:v>123</x:v>
      </x:c>
      <x:c r="C491" s="78" t="n">
        <x:f>(('Inputs'!$B$29*(3*123*'Inputs'!$B$12-123^2)/(2*'Inputs'!$B$12^2))-('Inputs'!$B$29*(3*122*'Inputs'!$B$12-122^2)/(2*'Inputs'!$B$12^2)))*'Inputs'!$B$45</x:f>
        <x:v>504120.4376993738</x:v>
      </x:c>
      <x:c r="D491" s="78" t="n">
        <x:f>IF('Inputs'!$C$45&gt;0,('Inputs'!$B$30*(3*123*'Inputs'!$B$12-123^2)/(2*'Inputs'!$B$12^2))-('Inputs'!$B$30*(3*122*'Inputs'!$B$12-122^2)/(2*'Inputs'!$B$12^2)),0)</x:f>
        <x:v>288068.8215425089</x:v>
      </x:c>
      <x:c r="E491" s="78" t="n">
        <x:f>C491+D491</x:f>
        <x:v>792189.2592418827</x:v>
      </x:c>
      <x:c r="F491" s="78" t="n">
        <x:f>'Inputs'!$B$13*E491+(1-'Inputs'!$B$13)/'Inputs'!$B$14*SUM(E436:E491)</x:f>
        <x:v>800618.8426534056</x:v>
      </x:c>
      <x:c r="G491" s="78" t="n">
        <x:f>F491*'Inputs'!$F$45</x:f>
        <x:v>560433.1898573838</x:v>
      </x:c>
      <x:c r="H491" s="78" t="n">
        <x:f>U490</x:f>
        <x:v>3704412895.467968</x:v>
      </x:c>
      <x:c r="I491" s="78" t="n">
        <x:f>V490</x:f>
        <x:v>4.5130409624983425</x:v>
      </x:c>
      <x:c r="J491" s="79" t="n">
        <x:f>IF(H491&gt;0,I491/H491,0)</x:f>
        <x:v>1.2182877799663374e-9</x:v>
      </x:c>
      <x:c r="K491" s="80" t="n">
        <x:f>(H491*J491+I491)*'Inputs'!$D$45*(1+'Inputs'!$G$45)^(B491/30)</x:f>
        <x:v>4.5130409624983425</x:v>
      </x:c>
      <x:c r="L491" s="80" t="n">
        <x:f>MAX(0,K491*'Inputs'!$E$45)</x:f>
        <x:v>0</x:v>
      </x:c>
      <x:c r="M491" s="80" t="n">
        <x:f>MAX(0,-K491*'Inputs'!$E$45)</x:f>
        <x:v>0.22565204812491713</x:v>
      </x:c>
      <x:c r="N491" s="78" t="n">
        <x:f>H491*(L491*(1-'Inputs'!$B$15))/(I491+L491*(1-'Inputs'!$B$15))</x:f>
        <x:v>0</x:v>
      </x:c>
      <x:c r="O491" s="78" t="n">
        <x:f>H491-N491</x:f>
        <x:v>3704412895.467968</x:v>
      </x:c>
      <x:c r="P491" s="78" t="n">
        <x:f>I491+L491*(1-'Inputs'!$B$17)</x:f>
        <x:v>4.5130409624983425</x:v>
      </x:c>
      <x:c r="Q491" s="78" t="n">
        <x:f>IF(J491&gt;0,M491/J491,0)</x:f>
        <x:v>185220644.7733984</x:v>
      </x:c>
      <x:c r="R491" s="78" t="n">
        <x:f>IF(B491='Inputs'!$H$45,'Inputs'!$B$27*'Inputs'!$I$45,0)</x:f>
        <x:v>0</x:v>
      </x:c>
      <x:c r="S491" s="78" t="n">
        <x:f>Q491+G491+R491</x:f>
        <x:v>185781077.9632558</x:v>
      </x:c>
      <x:c r="T491" s="78" t="n">
        <x:f>P491*(S491*(1-'Inputs'!$B$15))/(O491+S491*(1-'Inputs'!$B$15))</x:f>
        <x:v>0.2134726021708413</x:v>
      </x:c>
      <x:c r="U491" s="78" t="n">
        <x:f>O491+S491*(1-'Inputs'!$B$17)</x:f>
        <x:v>3889446363.459541</x:v>
      </x:c>
      <x:c r="V491" s="78" t="n">
        <x:f>P491-T491</x:f>
        <x:v>4.299568360327501</x:v>
      </x:c>
      <x:c r="W491" s="79" t="n">
        <x:f>IF(U491&gt;0,V491/U491,0)</x:f>
        <x:v>1.1054448264722102e-9</x:v>
      </x:c>
      <x:c r="X491" s="80" t="n">
        <x:f>W491*('Inputs'!$B$6-AC491)</x:f>
        <x:v>0.9256873576977663</x:v>
      </x:c>
      <x:c r="Y491" s="80" t="n">
        <x:f>2*V491</x:f>
        <x:v>8.599136720655002</x:v>
      </x:c>
      <x:c r="Z491" s="80" t="n">
        <x:f>K491*'Inputs'!$B$16+(G491+R491)*J491*'Inputs'!$B$16</x:f>
        <x:v>0.0270823423884302</x:v>
      </x:c>
      <x:c r="AA491" s="80" t="n">
        <x:f>K491*(1+'Inputs'!$E$45)/2*'Inputs'!$B$17</x:f>
        <x:v>0.00862653705105317</x:v>
      </x:c>
      <x:c r="AB491" s="78" t="n">
        <x:f>(IF(J491&gt;0,K491*(1-'Inputs'!$E$45)/2/J491,0)+G491+R491)*'Inputs'!$B$17</x:f>
        <x:v>7828479.691390506</x:v>
      </x:c>
      <x:c r="AC491" s="78" t="n">
        <x:f>AC490+AB491</x:f>
        <x:v>162610981.99545714</x:v>
      </x:c>
      <x:c r="AD491" s="80" t="n">
        <x:f>Z491/(1+'Inputs'!$C$45)</x:f>
        <x:v>0.018054894925620135</x:v>
      </x:c>
      <x:c r="AE491" s="80" t="n">
        <x:f>Z491-AD491</x:f>
        <x:v>0.009027447462810066</x:v>
      </x:c>
      <x:c r="AF491" s="80" t="n">
        <x:f>D491*W491</x:f>
        <x:v>0.00031844418844211285</x:v>
      </x:c>
      <x:c r="AG491" s="80" t="n">
        <x:f>C491*W491</x:f>
        <x:v>0.000557277329773679</x:v>
      </x:c>
      <x:c r="AH491" s="80" t="n">
        <x:f>2*'Inputs'!$B$8*'Inputs'!$C$45</x:f>
        <x:v>2500</x:v>
      </x:c>
      <x:c r="AI491" s="81" t="n">
        <x:f>IF(AH491&gt;0,(AE491+AF491)/AH491*365,0)</x:f>
        <x:v>0.0013645001810828183</x:v>
      </x:c>
      <x:c r="AJ491" s="81" t="n">
        <x:f>IF('Inputs'!$B$45&gt;0,AG491/('Inputs'!$B$19*'Inputs'!$B$45)*365,0)</x:f>
        <x:v>0.00002712083004898571</x:v>
      </x:c>
      <x:c r="AK491" s="81" t="n">
        <x:f>W491/MAX($W$369:W491)-1</x:f>
        <x:v>-0.9999985296663689</x:v>
      </x:c>
      <x:c r="AL491" s="83" t="n">
        <x:f>'Inputs'!$B$45</x:f>
        <x:v>0.75</x:v>
      </x:c>
      <x:c r="AM491" s="83" t="n">
        <x:f>'Inputs'!$C$45</x:f>
        <x:v>0.5</x:v>
      </x:c>
      <x:c r="AN491" s="83" t="n">
        <x:f>'Inputs'!$D$45</x:f>
        <x:v>0.5</x:v>
      </x:c>
      <x:c r="AO491" s="81" t="n">
        <x:f>'Inputs'!$E$45</x:f>
        <x:v>-0.05</x:v>
      </x:c>
    </x:row>
    <x:row r="492">
      <x:c r="A492" s="59" t="str">
        <x:v>Weak demand</x:v>
      </x:c>
      <x:c r="B492" s="59" t="n">
        <x:v>124</x:v>
      </x:c>
      <x:c r="C492" s="78" t="n">
        <x:f>(('Inputs'!$B$29*(3*124*'Inputs'!$B$12-124^2)/(2*'Inputs'!$B$12^2))-('Inputs'!$B$29*(3*123*'Inputs'!$B$12-123^2)/(2*'Inputs'!$B$12^2)))*'Inputs'!$B$45</x:f>
        <x:v>503876.60677425563</x:v>
      </x:c>
      <x:c r="D492" s="78" t="n">
        <x:f>IF('Inputs'!$C$45&gt;0,('Inputs'!$B$30*(3*124*'Inputs'!$B$12-124^2)/(2*'Inputs'!$B$12^2))-('Inputs'!$B$30*(3*123*'Inputs'!$B$12-123^2)/(2*'Inputs'!$B$12^2)),0)</x:f>
        <x:v>287929.48958528787</x:v>
      </x:c>
      <x:c r="E492" s="78" t="n">
        <x:f>C492+D492</x:f>
        <x:v>791806.0963595435</x:v>
      </x:c>
      <x:c r="F492" s="78" t="n">
        <x:f>'Inputs'!$B$13*E492+(1-'Inputs'!$B$13)/'Inputs'!$B$14*SUM(E437:E492)</x:f>
        <x:v>800235.6797710644</x:v>
      </x:c>
      <x:c r="G492" s="78" t="n">
        <x:f>F492*'Inputs'!$F$45</x:f>
        <x:v>560164.975839745</x:v>
      </x:c>
      <x:c r="H492" s="78" t="n">
        <x:f>U491</x:f>
        <x:v>3889446363.459541</x:v>
      </x:c>
      <x:c r="I492" s="78" t="n">
        <x:f>V491</x:f>
        <x:v>4.299568360327501</x:v>
      </x:c>
      <x:c r="J492" s="79" t="n">
        <x:f>IF(H492&gt;0,I492/H492,0)</x:f>
        <x:v>1.1054448264722102e-9</x:v>
      </x:c>
      <x:c r="K492" s="80" t="n">
        <x:f>(H492*J492+I492)*'Inputs'!$D$45*(1+'Inputs'!$G$45)^(B492/30)</x:f>
        <x:v>4.299568360327501</x:v>
      </x:c>
      <x:c r="L492" s="80" t="n">
        <x:f>MAX(0,K492*'Inputs'!$E$45)</x:f>
        <x:v>0</x:v>
      </x:c>
      <x:c r="M492" s="80" t="n">
        <x:f>MAX(0,-K492*'Inputs'!$E$45)</x:f>
        <x:v>0.21497841801637507</x:v>
      </x:c>
      <x:c r="N492" s="78" t="n">
        <x:f>H492*(L492*(1-'Inputs'!$B$15))/(I492+L492*(1-'Inputs'!$B$15))</x:f>
        <x:v>0</x:v>
      </x:c>
      <x:c r="O492" s="78" t="n">
        <x:f>H492-N492</x:f>
        <x:v>3889446363.459541</x:v>
      </x:c>
      <x:c r="P492" s="78" t="n">
        <x:f>I492+L492*(1-'Inputs'!$B$17)</x:f>
        <x:v>4.299568360327501</x:v>
      </x:c>
      <x:c r="Q492" s="78" t="n">
        <x:f>IF(J492&gt;0,M492/J492,0)</x:f>
        <x:v>194472318.17297706</x:v>
      </x:c>
      <x:c r="R492" s="78" t="n">
        <x:f>IF(B492='Inputs'!$H$45,'Inputs'!$B$27*'Inputs'!$I$45,0)</x:f>
        <x:v>0</x:v>
      </x:c>
      <x:c r="S492" s="78" t="n">
        <x:f>Q492+G492+R492</x:f>
        <x:v>195032483.1488168</x:v>
      </x:c>
      <x:c r="T492" s="78" t="n">
        <x:f>P492*(S492*(1-'Inputs'!$B$15))/(O492+S492*(1-'Inputs'!$B$15))</x:f>
        <x:v>0.20334700282353704</x:v>
      </x:c>
      <x:c r="U492" s="78" t="n">
        <x:f>O492+S492*(1-'Inputs'!$B$17)</x:f>
        <x:v>4083694007.641964</x:v>
      </x:c>
      <x:c r="V492" s="78" t="n">
        <x:f>P492-T492</x:f>
        <x:v>4.096221357503964</x:v>
      </x:c>
      <x:c r="W492" s="79" t="n">
        <x:f>IF(U492&gt;0,V492/U492,0)</x:f>
        <x:v>1.0030676514544325e-9</x:v>
      </x:c>
      <x:c r="X492" s="80" t="n">
        <x:f>W492*('Inputs'!$B$6-AC492)</x:f>
        <x:v>0.8317132270168913</x:v>
      </x:c>
      <x:c r="Y492" s="80" t="n">
        <x:f>2*V492</x:f>
        <x:v>8.192442715007928</x:v>
      </x:c>
      <x:c r="Z492" s="80" t="n">
        <x:f>K492*'Inputs'!$B$16+(G492+R492)*J492*'Inputs'!$B$16</x:f>
        <x:v>0.025801125550812085</x:v>
      </x:c>
      <x:c r="AA492" s="80" t="n">
        <x:f>K492*(1+'Inputs'!$E$45)/2*'Inputs'!$B$17</x:f>
        <x:v>0.00821849082959985</x:v>
      </x:c>
      <x:c r="AB492" s="78" t="n">
        <x:f>(IF(J492&gt;0,K492*(1-'Inputs'!$E$45)/2/J492,0)+G492+R492)*'Inputs'!$B$17</x:f>
        <x:v>8219394.389505429</x:v>
      </x:c>
      <x:c r="AC492" s="78" t="n">
        <x:f>AC491+AB492</x:f>
        <x:v>170830376.38496256</x:v>
      </x:c>
      <x:c r="AD492" s="80" t="n">
        <x:f>Z492/(1+'Inputs'!$C$45)</x:f>
        <x:v>0.017200750367208056</x:v>
      </x:c>
      <x:c r="AE492" s="80" t="n">
        <x:f>Z492-AD492</x:f>
        <x:v>0.008600375183604028</x:v>
      </x:c>
      <x:c r="AF492" s="80" t="n">
        <x:f>D492*W492</x:f>
        <x:v>0.00028881275690278817</x:v>
      </x:c>
      <x:c r="AG492" s="80" t="n">
        <x:f>C492*W492</x:f>
        <x:v>0.0005054223245798811</x:v>
      </x:c>
      <x:c r="AH492" s="80" t="n">
        <x:f>2*'Inputs'!$B$8*'Inputs'!$C$45</x:f>
        <x:v>2500</x:v>
      </x:c>
      <x:c r="AI492" s="81" t="n">
        <x:f>IF(AH492&gt;0,(AE492+AF492)/AH492*365,0)</x:f>
        <x:v>0.0012978214393139951</x:v>
      </x:c>
      <x:c r="AJ492" s="81" t="n">
        <x:f>IF('Inputs'!$B$45&gt;0,AG492/('Inputs'!$B$19*'Inputs'!$B$45)*365,0)</x:f>
        <x:v>0.00002459721979622088</x:v>
      </x:c>
      <x:c r="AK492" s="81" t="n">
        <x:f>W492/MAX($W$369:W492)-1</x:f>
        <x:v>-0.9999986658365331</x:v>
      </x:c>
      <x:c r="AL492" s="83" t="n">
        <x:f>'Inputs'!$B$45</x:f>
        <x:v>0.75</x:v>
      </x:c>
      <x:c r="AM492" s="83" t="n">
        <x:f>'Inputs'!$C$45</x:f>
        <x:v>0.5</x:v>
      </x:c>
      <x:c r="AN492" s="83" t="n">
        <x:f>'Inputs'!$D$45</x:f>
        <x:v>0.5</x:v>
      </x:c>
      <x:c r="AO492" s="81" t="n">
        <x:f>'Inputs'!$E$45</x:f>
        <x:v>-0.05</x:v>
      </x:c>
    </x:row>
    <x:row r="493">
      <x:c r="A493" s="59" t="str">
        <x:v>Weak demand</x:v>
      </x:c>
      <x:c r="B493" s="59" t="n">
        <x:v>125</x:v>
      </x:c>
      <x:c r="C493" s="78" t="n">
        <x:f>(('Inputs'!$B$29*(3*125*'Inputs'!$B$12-125^2)/(2*'Inputs'!$B$12^2))-('Inputs'!$B$29*(3*124*'Inputs'!$B$12-124^2)/(2*'Inputs'!$B$12^2)))*'Inputs'!$B$45</x:f>
        <x:v>503632.7758491263</x:v>
      </x:c>
      <x:c r="D493" s="78" t="n">
        <x:f>IF('Inputs'!$C$45&gt;0,('Inputs'!$B$30*(3*125*'Inputs'!$B$12-125^2)/(2*'Inputs'!$B$12^2))-('Inputs'!$B$30*(3*124*'Inputs'!$B$12-124^2)/(2*'Inputs'!$B$12^2)),0)</x:f>
        <x:v>287790.1576280743</x:v>
      </x:c>
      <x:c r="E493" s="78" t="n">
        <x:f>C493+D493</x:f>
        <x:v>791422.9334772006</x:v>
      </x:c>
      <x:c r="F493" s="78" t="n">
        <x:f>'Inputs'!$B$13*E493+(1-'Inputs'!$B$13)/'Inputs'!$B$14*SUM(E438:E493)</x:f>
        <x:v>799852.5168887222</x:v>
      </x:c>
      <x:c r="G493" s="78" t="n">
        <x:f>F493*'Inputs'!$F$45</x:f>
        <x:v>559896.7618221055</x:v>
      </x:c>
      <x:c r="H493" s="78" t="n">
        <x:f>U492</x:f>
        <x:v>4083694007.641964</x:v>
      </x:c>
      <x:c r="I493" s="78" t="n">
        <x:f>V492</x:f>
        <x:v>4.096221357503964</x:v>
      </x:c>
      <x:c r="J493" s="79" t="n">
        <x:f>IF(H493&gt;0,I493/H493,0)</x:f>
        <x:v>1.0030676514544325e-9</x:v>
      </x:c>
      <x:c r="K493" s="80" t="n">
        <x:f>(H493*J493+I493)*'Inputs'!$D$45*(1+'Inputs'!$G$45)^(B493/30)</x:f>
        <x:v>4.096221357503964</x:v>
      </x:c>
      <x:c r="L493" s="80" t="n">
        <x:f>MAX(0,K493*'Inputs'!$E$45)</x:f>
        <x:v>0</x:v>
      </x:c>
      <x:c r="M493" s="80" t="n">
        <x:f>MAX(0,-K493*'Inputs'!$E$45)</x:f>
        <x:v>0.2048110678751982</x:v>
      </x:c>
      <x:c r="N493" s="78" t="n">
        <x:f>H493*(L493*(1-'Inputs'!$B$15))/(I493+L493*(1-'Inputs'!$B$15))</x:f>
        <x:v>0</x:v>
      </x:c>
      <x:c r="O493" s="78" t="n">
        <x:f>H493-N493</x:f>
        <x:v>4083694007.641964</x:v>
      </x:c>
      <x:c r="P493" s="78" t="n">
        <x:f>I493+L493*(1-'Inputs'!$B$17)</x:f>
        <x:v>4.096221357503964</x:v>
      </x:c>
      <x:c r="Q493" s="78" t="n">
        <x:f>IF(J493&gt;0,M493/J493,0)</x:f>
        <x:v>204184700.3820982</x:v>
      </x:c>
      <x:c r="R493" s="78" t="n">
        <x:f>IF(B493='Inputs'!$H$45,'Inputs'!$B$27*'Inputs'!$I$45,0)</x:f>
        <x:v>0</x:v>
      </x:c>
      <x:c r="S493" s="78" t="n">
        <x:f>Q493+G493+R493</x:f>
        <x:v>204744597.1439203</x:v>
      </x:c>
      <x:c r="T493" s="78" t="n">
        <x:f>P493*(S493*(1-'Inputs'!$B$15))/(O493+S493*(1-'Inputs'!$B$15))</x:f>
        <x:v>0.1937043001851408</x:v>
      </x:c>
      <x:c r="U493" s="78" t="n">
        <x:f>O493+S493*(1-'Inputs'!$B$17)</x:f>
        <x:v>4287614682.865788</x:v>
      </x:c>
      <x:c r="V493" s="78" t="n">
        <x:f>P493-T493</x:f>
        <x:v>3.9025170573188235</x:v>
      </x:c>
      <x:c r="W493" s="79" t="n">
        <x:f>IF(U493&gt;0,V493/U493,0)</x:f>
        <x:v>9.101837142488816e-10</x:v>
      </x:c>
      <x:c r="X493" s="80" t="n">
        <x:f>W493*('Inputs'!$B$6-AC493)</x:f>
        <x:v>0.7468420065036249</x:v>
      </x:c>
      <x:c r="Y493" s="80" t="n">
        <x:f>2*V493</x:f>
        <x:v>7.805034114637647</x:v>
      </x:c>
      <x:c r="Z493" s="80" t="n">
        <x:f>K493*'Inputs'!$B$16+(G493+R493)*J493*'Inputs'!$B$16</x:f>
        <x:v>0.02458069783100341</x:v>
      </x:c>
      <x:c r="AA493" s="80" t="n">
        <x:f>K493*(1+'Inputs'!$E$45)/2*'Inputs'!$B$17</x:f>
        <x:v>0.007829799375510597</x:v>
      </x:c>
      <x:c r="AB493" s="78" t="n">
        <x:f>(IF(J493&gt;0,K493*(1-'Inputs'!$E$45)/2/J493,0)+G493+R493)*'Inputs'!$B$17</x:f>
        <x:v>8629775.65703764</x:v>
      </x:c>
      <x:c r="AC493" s="78" t="n">
        <x:f>AC492+AB493</x:f>
        <x:v>179460152.0420002</x:v>
      </x:c>
      <x:c r="AD493" s="80" t="n">
        <x:f>Z493/(1+'Inputs'!$C$45)</x:f>
        <x:v>0.016387131887335607</x:v>
      </x:c>
      <x:c r="AE493" s="80" t="n">
        <x:f>Z493-AD493</x:f>
        <x:v>0.008193565943667803</x:v>
      </x:c>
      <x:c r="AF493" s="80" t="n">
        <x:f>D493*W493</x:f>
        <x:v>0.00026194191459419174</x:v>
      </x:c>
      <x:c r="AG493" s="80" t="n">
        <x:f>C493*W493</x:f>
        <x:v>0.0004583983505398322</x:v>
      </x:c>
      <x:c r="AH493" s="80" t="n">
        <x:f>2*'Inputs'!$B$8*'Inputs'!$C$45</x:f>
        <x:v>2500</x:v>
      </x:c>
      <x:c r="AI493" s="81" t="n">
        <x:f>IF(AH493&gt;0,(AE493+AF493)/AH493*365,0)</x:f>
        <x:v>0.0012345041473062514</x:v>
      </x:c>
      <x:c r="AJ493" s="81" t="n">
        <x:f>IF('Inputs'!$B$45&gt;0,AG493/('Inputs'!$B$19*'Inputs'!$B$45)*365,0)</x:f>
        <x:v>0.00002230871972627183</x:v>
      </x:c>
      <x:c r="AK493" s="81" t="n">
        <x:f>W493/MAX($W$369:W493)-1</x:f>
        <x:v>-0.9999987893799007</x:v>
      </x:c>
      <x:c r="AL493" s="83" t="n">
        <x:f>'Inputs'!$B$45</x:f>
        <x:v>0.75</x:v>
      </x:c>
      <x:c r="AM493" s="83" t="n">
        <x:f>'Inputs'!$C$45</x:f>
        <x:v>0.5</x:v>
      </x:c>
      <x:c r="AN493" s="83" t="n">
        <x:f>'Inputs'!$D$45</x:f>
        <x:v>0.5</x:v>
      </x:c>
      <x:c r="AO493" s="81" t="n">
        <x:f>'Inputs'!$E$45</x:f>
        <x:v>-0.05</x:v>
      </x:c>
    </x:row>
    <x:row r="494">
      <x:c r="A494" s="59" t="str">
        <x:v>Weak demand</x:v>
      </x:c>
      <x:c r="B494" s="59" t="n">
        <x:v>126</x:v>
      </x:c>
      <x:c r="C494" s="78" t="n">
        <x:f>(('Inputs'!$B$29*(3*126*'Inputs'!$B$12-126^2)/(2*'Inputs'!$B$12^2))-('Inputs'!$B$29*(3*125*'Inputs'!$B$12-125^2)/(2*'Inputs'!$B$12^2)))*'Inputs'!$B$45</x:f>
        <x:v>503388.9449240081</x:v>
      </x:c>
      <x:c r="D494" s="78" t="n">
        <x:f>IF('Inputs'!$C$45&gt;0,('Inputs'!$B$30*(3*126*'Inputs'!$B$12-126^2)/(2*'Inputs'!$B$12^2))-('Inputs'!$B$30*(3*125*'Inputs'!$B$12-125^2)/(2*'Inputs'!$B$12^2)),0)</x:f>
        <x:v>287650.82567085326</x:v>
      </x:c>
      <x:c r="E494" s="78" t="n">
        <x:f>C494+D494</x:f>
        <x:v>791039.7705948614</x:v>
      </x:c>
      <x:c r="F494" s="78" t="n">
        <x:f>'Inputs'!$B$13*E494+(1-'Inputs'!$B$13)/'Inputs'!$B$14*SUM(E439:E494)</x:f>
        <x:v>799469.3540063809</x:v>
      </x:c>
      <x:c r="G494" s="78" t="n">
        <x:f>F494*'Inputs'!$F$45</x:f>
        <x:v>559628.5478044666</x:v>
      </x:c>
      <x:c r="H494" s="78" t="n">
        <x:f>U493</x:f>
        <x:v>4287614682.865788</x:v>
      </x:c>
      <x:c r="I494" s="78" t="n">
        <x:f>V493</x:f>
        <x:v>3.9025170573188235</x:v>
      </x:c>
      <x:c r="J494" s="79" t="n">
        <x:f>IF(H494&gt;0,I494/H494,0)</x:f>
        <x:v>9.101837142488816e-10</x:v>
      </x:c>
      <x:c r="K494" s="80" t="n">
        <x:f>(H494*J494+I494)*'Inputs'!$D$45*(1+'Inputs'!$G$45)^(B494/30)</x:f>
        <x:v>3.9025170573188235</x:v>
      </x:c>
      <x:c r="L494" s="80" t="n">
        <x:f>MAX(0,K494*'Inputs'!$E$45)</x:f>
        <x:v>0</x:v>
      </x:c>
      <x:c r="M494" s="80" t="n">
        <x:f>MAX(0,-K494*'Inputs'!$E$45)</x:f>
        <x:v>0.1951258528659412</x:v>
      </x:c>
      <x:c r="N494" s="78" t="n">
        <x:f>H494*(L494*(1-'Inputs'!$B$15))/(I494+L494*(1-'Inputs'!$B$15))</x:f>
        <x:v>0</x:v>
      </x:c>
      <x:c r="O494" s="78" t="n">
        <x:f>H494-N494</x:f>
        <x:v>4287614682.865788</x:v>
      </x:c>
      <x:c r="P494" s="78" t="n">
        <x:f>I494+L494*(1-'Inputs'!$B$17)</x:f>
        <x:v>3.9025170573188235</x:v>
      </x:c>
      <x:c r="Q494" s="78" t="n">
        <x:f>IF(J494&gt;0,M494/J494,0)</x:f>
        <x:v>214380734.14328942</x:v>
      </x:c>
      <x:c r="R494" s="78" t="n">
        <x:f>IF(B494='Inputs'!$H$45,'Inputs'!$B$27*'Inputs'!$I$45,0)</x:f>
        <x:v>0</x:v>
      </x:c>
      <x:c r="S494" s="78" t="n">
        <x:f>Q494+G494+R494</x:f>
        <x:v>214940362.6910939</x:v>
      </x:c>
      <x:c r="T494" s="78" t="n">
        <x:f>P494*(S494*(1-'Inputs'!$B$15))/(O494+S494*(1-'Inputs'!$B$15))</x:f>
        <x:v>0.18452122174371038</x:v>
      </x:c>
      <x:c r="U494" s="78" t="n">
        <x:f>O494+S494*(1-'Inputs'!$B$17)</x:f>
        <x:v>4501690094.399171</x:v>
      </x:c>
      <x:c r="V494" s="78" t="n">
        <x:f>P494-T494</x:f>
        <x:v>3.7179958355751133</x:v>
      </x:c>
      <x:c r="W494" s="79" t="n">
        <x:f>IF(U494&gt;0,V494/U494,0)</x:f>
        <x:v>8.259111039653529e-10</x:v>
      </x:c>
      <x:c r="X494" s="80" t="n">
        <x:f>W494*('Inputs'!$B$6-AC494)</x:f>
        <x:v>0.6702097273852741</x:v>
      </x:c>
      <x:c r="Y494" s="80" t="n">
        <x:f>2*V494</x:f>
        <x:v>7.4359916711502265</x:v>
      </x:c>
      <x:c r="Z494" s="80" t="n">
        <x:f>K494*'Inputs'!$B$16+(G494+R494)*J494*'Inputs'!$B$16</x:f>
        <x:v>0.023418158532654384</x:v>
      </x:c>
      <x:c r="AA494" s="80" t="n">
        <x:f>K494*(1+'Inputs'!$E$45)/2*'Inputs'!$B$17</x:f>
        <x:v>0.007459539646786484</x:v>
      </x:c>
      <x:c r="AB494" s="78" t="n">
        <x:f>(IF(J494&gt;0,K494*(1-'Inputs'!$E$45)/2/J494,0)+G494+R494)*'Inputs'!$B$17</x:f>
        <x:v>9060592.905643232</x:v>
      </x:c>
      <x:c r="AC494" s="78" t="n">
        <x:f>AC493+AB494</x:f>
        <x:v>188520744.94764343</x:v>
      </x:c>
      <x:c r="AD494" s="80" t="n">
        <x:f>Z494/(1+'Inputs'!$C$45)</x:f>
        <x:v>0.015612105688436255</x:v>
      </x:c>
      <x:c r="AE494" s="80" t="n">
        <x:f>Z494-AD494</x:f>
        <x:v>0.0078060528442181285</x:v>
      </x:c>
      <x:c r="AF494" s="80" t="n">
        <x:f>D494*W494</x:f>
        <x:v>0.0002375740109863597</x:v>
      </x:c>
      <x:c r="AG494" s="80" t="n">
        <x:f>C494*W494</x:f>
        <x:v>0.0004157545192261418</x:v>
      </x:c>
      <x:c r="AH494" s="80" t="n">
        <x:f>2*'Inputs'!$B$8*'Inputs'!$C$45</x:f>
        <x:v>2500</x:v>
      </x:c>
      <x:c r="AI494" s="81" t="n">
        <x:f>IF(AH494&gt;0,(AE494+AF494)/AH494*365,0)</x:f>
        <x:v>0.0011743695208598552</x:v>
      </x:c>
      <x:c r="AJ494" s="81" t="n">
        <x:f>IF('Inputs'!$B$45&gt;0,AG494/('Inputs'!$B$19*'Inputs'!$B$45)*365,0)</x:f>
        <x:v>0.000020233386602338902</x:v>
      </x:c>
      <x:c r="AK494" s="81" t="n">
        <x:f>W494/MAX($W$369:W494)-1</x:f>
        <x:v>-0.9999989014694869</x:v>
      </x:c>
      <x:c r="AL494" s="83" t="n">
        <x:f>'Inputs'!$B$45</x:f>
        <x:v>0.75</x:v>
      </x:c>
      <x:c r="AM494" s="83" t="n">
        <x:f>'Inputs'!$C$45</x:f>
        <x:v>0.5</x:v>
      </x:c>
      <x:c r="AN494" s="83" t="n">
        <x:f>'Inputs'!$D$45</x:f>
        <x:v>0.5</x:v>
      </x:c>
      <x:c r="AO494" s="81" t="n">
        <x:f>'Inputs'!$E$45</x:f>
        <x:v>-0.05</x:v>
      </x:c>
    </x:row>
    <x:row r="495">
      <x:c r="A495" s="59" t="str">
        <x:v>Weak demand</x:v>
      </x:c>
      <x:c r="B495" s="59" t="n">
        <x:v>127</x:v>
      </x:c>
      <x:c r="C495" s="78" t="n">
        <x:f>(('Inputs'!$B$29*(3*127*'Inputs'!$B$12-127^2)/(2*'Inputs'!$B$12^2))-('Inputs'!$B$29*(3*126*'Inputs'!$B$12-126^2)/(2*'Inputs'!$B$12^2)))*'Inputs'!$B$45</x:f>
        <x:v>503145.1139988676</x:v>
      </x:c>
      <x:c r="D495" s="78" t="n">
        <x:f>IF('Inputs'!$C$45&gt;0,('Inputs'!$B$30*(3*127*'Inputs'!$B$12-127^2)/(2*'Inputs'!$B$12^2))-('Inputs'!$B$30*(3*126*'Inputs'!$B$12-126^2)/(2*'Inputs'!$B$12^2)),0)</x:f>
        <x:v>287511.4937136397</x:v>
      </x:c>
      <x:c r="E495" s="78" t="n">
        <x:f>C495+D495</x:f>
        <x:v>790656.6077125072</x:v>
      </x:c>
      <x:c r="F495" s="78" t="n">
        <x:f>'Inputs'!$B$13*E495+(1-'Inputs'!$B$13)/'Inputs'!$B$14*SUM(E440:E495)</x:f>
        <x:v>799086.1911240366</x:v>
      </x:c>
      <x:c r="G495" s="78" t="n">
        <x:f>F495*'Inputs'!$F$45</x:f>
        <x:v>559360.3337868255</x:v>
      </x:c>
      <x:c r="H495" s="78" t="n">
        <x:f>U494</x:f>
        <x:v>4501690094.399171</x:v>
      </x:c>
      <x:c r="I495" s="78" t="n">
        <x:f>V494</x:f>
        <x:v>3.7179958355751133</x:v>
      </x:c>
      <x:c r="J495" s="79" t="n">
        <x:f>IF(H495&gt;0,I495/H495,0)</x:f>
        <x:v>8.259111039653529e-10</x:v>
      </x:c>
      <x:c r="K495" s="80" t="n">
        <x:f>(H495*J495+I495)*'Inputs'!$D$45*(1+'Inputs'!$G$45)^(B495/30)</x:f>
        <x:v>3.7179958355751133</x:v>
      </x:c>
      <x:c r="L495" s="80" t="n">
        <x:f>MAX(0,K495*'Inputs'!$E$45)</x:f>
        <x:v>0</x:v>
      </x:c>
      <x:c r="M495" s="80" t="n">
        <x:f>MAX(0,-K495*'Inputs'!$E$45)</x:f>
        <x:v>0.18589979177875568</x:v>
      </x:c>
      <x:c r="N495" s="78" t="n">
        <x:f>H495*(L495*(1-'Inputs'!$B$15))/(I495+L495*(1-'Inputs'!$B$15))</x:f>
        <x:v>0</x:v>
      </x:c>
      <x:c r="O495" s="78" t="n">
        <x:f>H495-N495</x:f>
        <x:v>4501690094.399171</x:v>
      </x:c>
      <x:c r="P495" s="78" t="n">
        <x:f>I495+L495*(1-'Inputs'!$B$17)</x:f>
        <x:v>3.7179958355751133</x:v>
      </x:c>
      <x:c r="Q495" s="78" t="n">
        <x:f>IF(J495&gt;0,M495/J495,0)</x:f>
        <x:v>225084504.71995857</x:v>
      </x:c>
      <x:c r="R495" s="78" t="n">
        <x:f>IF(B495='Inputs'!$H$45,'Inputs'!$B$27*'Inputs'!$I$45,0)</x:f>
        <x:v>0</x:v>
      </x:c>
      <x:c r="S495" s="78" t="n">
        <x:f>Q495+G495+R495</x:f>
        <x:v>225643865.0537454</x:v>
      </x:c>
      <x:c r="T495" s="78" t="n">
        <x:f>P495*(S495*(1-'Inputs'!$B$15))/(O495+S495*(1-'Inputs'!$B$15))</x:f>
        <x:v>0.1757756391150024</x:v>
      </x:c>
      <x:c r="U495" s="78" t="n">
        <x:f>O495+S495*(1-'Inputs'!$B$17)</x:f>
        <x:v>4726425935.85109</x:v>
      </x:c>
      <x:c r="V495" s="78" t="n">
        <x:f>P495-T495</x:f>
        <x:v>3.5422201964601108</x:v>
      </x:c>
      <x:c r="W495" s="79" t="n">
        <x:f>IF(U495&gt;0,V495/U495,0)</x:f>
        <x:v>7.494500589952143e-10</x:v>
      </x:c>
      <x:c r="X495" s="80" t="n">
        <x:f>W495*('Inputs'!$B$6-AC495)</x:f>
        <x:v>0.6010337592193888</x:v>
      </x:c>
      <x:c r="Y495" s="80" t="n">
        <x:f>2*V495</x:f>
        <x:v>7.0844403929202215</x:v>
      </x:c>
      <x:c r="Z495" s="80" t="n">
        <x:f>K495*'Inputs'!$B$16+(G495+R495)*J495*'Inputs'!$B$16</x:f>
        <x:v>0.022310746904915434</x:v>
      </x:c>
      <x:c r="AA495" s="80" t="n">
        <x:f>K495*(1+'Inputs'!$E$45)/2*'Inputs'!$B$17</x:f>
        <x:v>0.007106833086109371</x:v>
      </x:c>
      <x:c r="AB495" s="78" t="n">
        <x:f>(IF(J495&gt;0,K495*(1-'Inputs'!$E$45)/2/J495,0)+G495+R495)*'Inputs'!$B$17</x:f>
        <x:v>9512863.82250846</x:v>
      </x:c>
      <x:c r="AC495" s="78" t="n">
        <x:f>AC494+AB495</x:f>
        <x:v>198033608.77015188</x:v>
      </x:c>
      <x:c r="AD495" s="80" t="n">
        <x:f>Z495/(1+'Inputs'!$C$45)</x:f>
        <x:v>0.014873831269943622</x:v>
      </x:c>
      <x:c r="AE495" s="80" t="n">
        <x:f>Z495-AD495</x:f>
        <x:v>0.007436915634971812</x:v>
      </x:c>
      <x:c r="AF495" s="80" t="n">
        <x:f>D495*W495</x:f>
        <x:v>0.00021547550592548943</x:v>
      </x:c>
      <x:c r="AG495" s="80" t="n">
        <x:f>C495*W495</x:f>
        <x:v>0.0003770821353696051</x:v>
      </x:c>
      <x:c r="AH495" s="80" t="n">
        <x:f>2*'Inputs'!$B$8*'Inputs'!$C$45</x:f>
        <x:v>2500</x:v>
      </x:c>
      <x:c r="AI495" s="81" t="n">
        <x:f>IF(AH495&gt;0,(AE495+AF495)/AH495*365,0)</x:f>
        <x:v>0.001117249106571006</x:v>
      </x:c>
      <x:c r="AJ495" s="81" t="n">
        <x:f>IF('Inputs'!$B$45&gt;0,AG495/('Inputs'!$B$19*'Inputs'!$B$45)*365,0)</x:f>
        <x:v>0.00001835133058798745</x:v>
      </x:c>
      <x:c r="AK495" s="81" t="n">
        <x:f>W495/MAX($W$369:W495)-1</x:f>
        <x:v>-0.9999990031690409</x:v>
      </x:c>
      <x:c r="AL495" s="83" t="n">
        <x:f>'Inputs'!$B$45</x:f>
        <x:v>0.75</x:v>
      </x:c>
      <x:c r="AM495" s="83" t="n">
        <x:f>'Inputs'!$C$45</x:f>
        <x:v>0.5</x:v>
      </x:c>
      <x:c r="AN495" s="83" t="n">
        <x:f>'Inputs'!$D$45</x:f>
        <x:v>0.5</x:v>
      </x:c>
      <x:c r="AO495" s="81" t="n">
        <x:f>'Inputs'!$E$45</x:f>
        <x:v>-0.05</x:v>
      </x:c>
    </x:row>
    <x:row r="496">
      <x:c r="A496" s="59" t="str">
        <x:v>Weak demand</x:v>
      </x:c>
      <x:c r="B496" s="59" t="n">
        <x:v>128</x:v>
      </x:c>
      <x:c r="C496" s="78" t="n">
        <x:f>(('Inputs'!$B$29*(3*128*'Inputs'!$B$12-128^2)/(2*'Inputs'!$B$12^2))-('Inputs'!$B$29*(3*127*'Inputs'!$B$12-127^2)/(2*'Inputs'!$B$12^2)))*'Inputs'!$B$45</x:f>
        <x:v>502901.2830737494</x:v>
      </x:c>
      <x:c r="D496" s="78" t="n">
        <x:f>IF('Inputs'!$C$45&gt;0,('Inputs'!$B$30*(3*128*'Inputs'!$B$12-128^2)/(2*'Inputs'!$B$12^2))-('Inputs'!$B$30*(3*127*'Inputs'!$B$12-127^2)/(2*'Inputs'!$B$12^2)),0)</x:f>
        <x:v>287372.16175643355</x:v>
      </x:c>
      <x:c r="E496" s="78" t="n">
        <x:f>C496+D496</x:f>
        <x:v>790273.4448301829</x:v>
      </x:c>
      <x:c r="F496" s="78" t="n">
        <x:f>'Inputs'!$B$13*E496+(1-'Inputs'!$B$13)/'Inputs'!$B$14*SUM(E441:E496)</x:f>
        <x:v>798703.0282416982</x:v>
      </x:c>
      <x:c r="G496" s="78" t="n">
        <x:f>F496*'Inputs'!$F$45</x:f>
        <x:v>559092.1197691887</x:v>
      </x:c>
      <x:c r="H496" s="78" t="n">
        <x:f>U495</x:f>
        <x:v>4726425935.85109</x:v>
      </x:c>
      <x:c r="I496" s="78" t="n">
        <x:f>V495</x:f>
        <x:v>3.5422201964601108</x:v>
      </x:c>
      <x:c r="J496" s="79" t="n">
        <x:f>IF(H496&gt;0,I496/H496,0)</x:f>
        <x:v>7.494500589952143e-10</x:v>
      </x:c>
      <x:c r="K496" s="80" t="n">
        <x:f>(H496*J496+I496)*'Inputs'!$D$45*(1+'Inputs'!$G$45)^(B496/30)</x:f>
        <x:v>3.5422201964601108</x:v>
      </x:c>
      <x:c r="L496" s="80" t="n">
        <x:f>MAX(0,K496*'Inputs'!$E$45)</x:f>
        <x:v>0</x:v>
      </x:c>
      <x:c r="M496" s="80" t="n">
        <x:f>MAX(0,-K496*'Inputs'!$E$45)</x:f>
        <x:v>0.17711100982300554</x:v>
      </x:c>
      <x:c r="N496" s="78" t="n">
        <x:f>H496*(L496*(1-'Inputs'!$B$15))/(I496+L496*(1-'Inputs'!$B$15))</x:f>
        <x:v>0</x:v>
      </x:c>
      <x:c r="O496" s="78" t="n">
        <x:f>H496-N496</x:f>
        <x:v>4726425935.85109</x:v>
      </x:c>
      <x:c r="P496" s="78" t="n">
        <x:f>I496+L496*(1-'Inputs'!$B$17)</x:f>
        <x:v>3.5422201964601108</x:v>
      </x:c>
      <x:c r="Q496" s="78" t="n">
        <x:f>IF(J496&gt;0,M496/J496,0)</x:f>
        <x:v>236321296.79255453</x:v>
      </x:c>
      <x:c r="R496" s="78" t="n">
        <x:f>IF(B496='Inputs'!$H$45,'Inputs'!$B$27*'Inputs'!$I$45,0)</x:f>
        <x:v>0</x:v>
      </x:c>
      <x:c r="S496" s="78" t="n">
        <x:f>Q496+G496+R496</x:f>
        <x:v>236880388.9123237</x:v>
      </x:c>
      <x:c r="T496" s="78" t="n">
        <x:f>P496*(S496*(1-'Inputs'!$B$15))/(O496+S496*(1-'Inputs'!$B$15))</x:f>
        <x:v>0.1674465097126755</x:v>
      </x:c>
      <x:c r="U496" s="78" t="n">
        <x:f>O496+S496*(1-'Inputs'!$B$17)</x:f>
        <x:v>4962353083.761755</x:v>
      </x:c>
      <x:c r="V496" s="78" t="n">
        <x:f>P496-T496</x:f>
        <x:v>3.374773686747435</x:v>
      </x:c>
      <x:c r="W496" s="79" t="n">
        <x:f>IF(U496&gt;0,V496/U496,0)</x:f>
        <x:v>6.800752848060458e-10</x:v>
      </x:c>
      <x:c r="X496" s="80" t="n">
        <x:f>W496*('Inputs'!$B$6-AC496)</x:f>
        <x:v>0.5386051633951119</x:v>
      </x:c>
      <x:c r="Y496" s="80" t="n">
        <x:f>2*V496</x:f>
        <x:v>6.74954737349487</x:v>
      </x:c>
      <x:c r="Z496" s="80" t="n">
        <x:f>K496*'Inputs'!$B$16+(G496+R496)*J496*'Inputs'!$B$16</x:f>
        <x:v>0.021255835248493532</x:v>
      </x:c>
      <x:c r="AA496" s="80" t="n">
        <x:f>K496*(1+'Inputs'!$E$45)/2*'Inputs'!$B$17</x:f>
        <x:v>0.006770843433877476</x:v>
      </x:c>
      <x:c r="AB496" s="78" t="n">
        <x:f>(IF(J496&gt;0,K496*(1-'Inputs'!$E$45)/2/J496,0)+G496+R496)*'Inputs'!$B$17</x:f>
        <x:v>9987656.774412844</x:v>
      </x:c>
      <x:c r="AC496" s="78" t="n">
        <x:f>AC495+AB496</x:f>
        <x:v>208021265.54456472</x:v>
      </x:c>
      <x:c r="AD496" s="80" t="n">
        <x:f>Z496/(1+'Inputs'!$C$45)</x:f>
        <x:v>0.01417055683232902</x:v>
      </x:c>
      <x:c r="AE496" s="80" t="n">
        <x:f>Z496-AD496</x:f>
        <x:v>0.007085278416164511</x:v>
      </x:c>
      <x:c r="AF496" s="80" t="n">
        <x:f>D496*W496</x:f>
        <x:v>0.0001954347047518356</x:v>
      </x:c>
      <x:c r="AG496" s="80" t="n">
        <x:f>C496*W496</x:f>
        <x:v>0.00034201073331570597</x:v>
      </x:c>
      <x:c r="AH496" s="80" t="n">
        <x:f>2*'Inputs'!$B$8*'Inputs'!$C$45</x:f>
        <x:v>2500</x:v>
      </x:c>
      <x:c r="AI496" s="81" t="n">
        <x:f>IF(AH496&gt;0,(AE496+AF496)/AH496*365,0)</x:f>
        <x:v>0.0010629841156537866</x:v>
      </x:c>
      <x:c r="AJ496" s="81" t="n">
        <x:f>IF('Inputs'!$B$45&gt;0,AG496/('Inputs'!$B$19*'Inputs'!$B$45)*365,0)</x:f>
        <x:v>0.000016644522354697693</x:v>
      </x:c>
      <x:c r="AK496" s="81" t="n">
        <x:f>W496/MAX($W$369:W496)-1</x:f>
        <x:v>-0.999999095443265</x:v>
      </x:c>
      <x:c r="AL496" s="83" t="n">
        <x:f>'Inputs'!$B$45</x:f>
        <x:v>0.75</x:v>
      </x:c>
      <x:c r="AM496" s="83" t="n">
        <x:f>'Inputs'!$C$45</x:f>
        <x:v>0.5</x:v>
      </x:c>
      <x:c r="AN496" s="83" t="n">
        <x:f>'Inputs'!$D$45</x:f>
        <x:v>0.5</x:v>
      </x:c>
      <x:c r="AO496" s="81" t="n">
        <x:f>'Inputs'!$E$45</x:f>
        <x:v>-0.05</x:v>
      </x:c>
    </x:row>
    <x:row r="497">
      <x:c r="A497" s="59" t="str">
        <x:v>Weak demand</x:v>
      </x:c>
      <x:c r="B497" s="59" t="n">
        <x:v>129</x:v>
      </x:c>
      <x:c r="C497" s="78" t="n">
        <x:f>(('Inputs'!$B$29*(3*129*'Inputs'!$B$12-129^2)/(2*'Inputs'!$B$12^2))-('Inputs'!$B$29*(3*128*'Inputs'!$B$12-128^2)/(2*'Inputs'!$B$12^2)))*'Inputs'!$B$45</x:f>
        <x:v>502657.45214862004</x:v>
      </x:c>
      <x:c r="D497" s="78" t="n">
        <x:f>IF('Inputs'!$C$45&gt;0,('Inputs'!$B$30*(3*129*'Inputs'!$B$12-129^2)/(2*'Inputs'!$B$12^2))-('Inputs'!$B$30*(3*128*'Inputs'!$B$12-128^2)/(2*'Inputs'!$B$12^2)),0)</x:f>
        <x:v>287232.8297992125</x:v>
      </x:c>
      <x:c r="E497" s="78" t="n">
        <x:f>C497+D497</x:f>
        <x:v>789890.2819478326</x:v>
      </x:c>
      <x:c r="F497" s="78" t="n">
        <x:f>'Inputs'!$B$13*E497+(1-'Inputs'!$B$13)/'Inputs'!$B$14*SUM(E442:E497)</x:f>
        <x:v>798319.8653593546</x:v>
      </x:c>
      <x:c r="G497" s="78" t="n">
        <x:f>F497*'Inputs'!$F$45</x:f>
        <x:v>558823.9057515482</x:v>
      </x:c>
      <x:c r="H497" s="78" t="n">
        <x:f>U496</x:f>
        <x:v>4962353083.761755</x:v>
      </x:c>
      <x:c r="I497" s="78" t="n">
        <x:f>V496</x:f>
        <x:v>3.374773686747435</x:v>
      </x:c>
      <x:c r="J497" s="79" t="n">
        <x:f>IF(H497&gt;0,I497/H497,0)</x:f>
        <x:v>6.800752848060458e-10</x:v>
      </x:c>
      <x:c r="K497" s="80" t="n">
        <x:f>(H497*J497+I497)*'Inputs'!$D$45*(1+'Inputs'!$G$45)^(B497/30)</x:f>
        <x:v>3.374773686747435</x:v>
      </x:c>
      <x:c r="L497" s="80" t="n">
        <x:f>MAX(0,K497*'Inputs'!$E$45)</x:f>
        <x:v>0</x:v>
      </x:c>
      <x:c r="M497" s="80" t="n">
        <x:f>MAX(0,-K497*'Inputs'!$E$45)</x:f>
        <x:v>0.16873868433737177</x:v>
      </x:c>
      <x:c r="N497" s="78" t="n">
        <x:f>H497*(L497*(1-'Inputs'!$B$15))/(I497+L497*(1-'Inputs'!$B$15))</x:f>
        <x:v>0</x:v>
      </x:c>
      <x:c r="O497" s="78" t="n">
        <x:f>H497-N497</x:f>
        <x:v>4962353083.761755</x:v>
      </x:c>
      <x:c r="P497" s="78" t="n">
        <x:f>I497+L497*(1-'Inputs'!$B$17)</x:f>
        <x:v>3.374773686747435</x:v>
      </x:c>
      <x:c r="Q497" s="78" t="n">
        <x:f>IF(J497&gt;0,M497/J497,0)</x:f>
        <x:v>248117654.18808776</x:v>
      </x:c>
      <x:c r="R497" s="78" t="n">
        <x:f>IF(B497='Inputs'!$H$45,'Inputs'!$B$27*'Inputs'!$I$45,0)</x:f>
        <x:v>0</x:v>
      </x:c>
      <x:c r="S497" s="78" t="n">
        <x:f>Q497+G497+R497</x:f>
        <x:v>248676478.09383932</x:v>
      </x:c>
      <x:c r="T497" s="78" t="n">
        <x:f>P497*(S497*(1-'Inputs'!$B$15))/(O497+S497*(1-'Inputs'!$B$15))</x:f>
        <x:v>0.15951382158228702</x:v>
      </x:c>
      <x:c r="U497" s="78" t="n">
        <x:f>O497+S497*(1-'Inputs'!$B$17)</x:f>
        <x:v>5210028851.6821785</x:v>
      </x:c>
      <x:c r="V497" s="78" t="n">
        <x:f>P497-T497</x:f>
        <x:v>3.215259865165148</x:v>
      </x:c>
      <x:c r="W497" s="79" t="n">
        <x:f>IF(U497&gt;0,V497/U497,0)</x:f>
        <x:v>6.171289942333096e-10</x:v>
      </x:c>
      <x:c r="X497" s="80" t="n">
        <x:f>W497*('Inputs'!$B$6-AC497)</x:f>
        <x:v>0.4822817676175397</x:v>
      </x:c>
      <x:c r="Y497" s="80" t="n">
        <x:f>2*V497</x:f>
        <x:v>6.430519730330296</x:v>
      </x:c>
      <x:c r="Z497" s="80" t="n">
        <x:f>K497*'Inputs'!$B$16+(G497+R497)*J497*'Inputs'!$B$16</x:f>
        <x:v>0.020250922374445774</x:v>
      </x:c>
      <x:c r="AA497" s="80" t="n">
        <x:f>K497*(1+'Inputs'!$E$45)/2*'Inputs'!$B$17</x:f>
        <x:v>0.0064507746527365465</x:v>
      </x:c>
      <x:c r="AB497" s="78" t="n">
        <x:f>(IF(J497&gt;0,K497*(1-'Inputs'!$E$45)/2/J497,0)+G497+R497)*'Inputs'!$B$17</x:f>
        <x:v>10486093.331511766</x:v>
      </x:c>
      <x:c r="AC497" s="78" t="n">
        <x:f>AC496+AB497</x:f>
        <x:v>218507358.8760765</x:v>
      </x:c>
      <x:c r="AD497" s="80" t="n">
        <x:f>Z497/(1+'Inputs'!$C$45)</x:f>
        <x:v>0.013500614916297183</x:v>
      </x:c>
      <x:c r="AE497" s="80" t="n">
        <x:f>Z497-AD497</x:f>
        <x:v>0.006750307458148591</x:v>
      </x:c>
      <x:c r="AF497" s="80" t="n">
        <x:f>D497*W497</x:f>
        <x:v>0.00017725970736477543</x:v>
      </x:c>
      <x:c r="AG497" s="80" t="n">
        <x:f>C497*W497</x:f>
        <x:v>0.00031020448788835587</x:v>
      </x:c>
      <x:c r="AH497" s="80" t="n">
        <x:f>2*'Inputs'!$B$8*'Inputs'!$C$45</x:f>
        <x:v>2500</x:v>
      </x:c>
      <x:c r="AI497" s="81" t="n">
        <x:f>IF(AH497&gt;0,(AE497+AF497)/AH497*365,0)</x:f>
        <x:v>0.0010114248061649513</x:v>
      </x:c>
      <x:c r="AJ497" s="81" t="n">
        <x:f>IF('Inputs'!$B$45&gt;0,AG497/('Inputs'!$B$19*'Inputs'!$B$45)*365,0)</x:f>
        <x:v>0.000015096618410566652</x:v>
      </x:c>
      <x:c r="AK497" s="81" t="n">
        <x:f>W497/MAX($W$369:W497)-1</x:f>
        <x:v>-0.9999991791670708</x:v>
      </x:c>
      <x:c r="AL497" s="83" t="n">
        <x:f>'Inputs'!$B$45</x:f>
        <x:v>0.75</x:v>
      </x:c>
      <x:c r="AM497" s="83" t="n">
        <x:f>'Inputs'!$C$45</x:f>
        <x:v>0.5</x:v>
      </x:c>
      <x:c r="AN497" s="83" t="n">
        <x:f>'Inputs'!$D$45</x:f>
        <x:v>0.5</x:v>
      </x:c>
      <x:c r="AO497" s="81" t="n">
        <x:f>'Inputs'!$E$45</x:f>
        <x:v>-0.05</x:v>
      </x:c>
    </x:row>
    <x:row r="498">
      <x:c r="A498" s="59" t="str">
        <x:v>Weak demand</x:v>
      </x:c>
      <x:c r="B498" s="59" t="n">
        <x:v>130</x:v>
      </x:c>
      <x:c r="C498" s="78" t="n">
        <x:f>(('Inputs'!$B$29*(3*130*'Inputs'!$B$12-130^2)/(2*'Inputs'!$B$12^2))-('Inputs'!$B$29*(3*129*'Inputs'!$B$12-129^2)/(2*'Inputs'!$B$12^2)))*'Inputs'!$B$45</x:f>
        <x:v>502413.6212234907</x:v>
      </x:c>
      <x:c r="D498" s="78" t="n">
        <x:f>IF('Inputs'!$C$45&gt;0,('Inputs'!$B$30*(3*130*'Inputs'!$B$12-130^2)/(2*'Inputs'!$B$12^2))-('Inputs'!$B$30*(3*129*'Inputs'!$B$12-129^2)/(2*'Inputs'!$B$12^2)),0)</x:f>
        <x:v>287093.4978419915</x:v>
      </x:c>
      <x:c r="E498" s="78" t="n">
        <x:f>C498+D498</x:f>
        <x:v>789507.1190654822</x:v>
      </x:c>
      <x:c r="F498" s="78" t="n">
        <x:f>'Inputs'!$B$13*E498+(1-'Inputs'!$B$13)/'Inputs'!$B$14*SUM(E443:E498)</x:f>
        <x:v>797936.7024770109</x:v>
      </x:c>
      <x:c r="G498" s="78" t="n">
        <x:f>F498*'Inputs'!$F$45</x:f>
        <x:v>558555.6917339076</x:v>
      </x:c>
      <x:c r="H498" s="78" t="n">
        <x:f>U497</x:f>
        <x:v>5210028851.6821785</x:v>
      </x:c>
      <x:c r="I498" s="78" t="n">
        <x:f>V497</x:f>
        <x:v>3.215259865165148</x:v>
      </x:c>
      <x:c r="J498" s="79" t="n">
        <x:f>IF(H498&gt;0,I498/H498,0)</x:f>
        <x:v>6.171289942333096e-10</x:v>
      </x:c>
      <x:c r="K498" s="80" t="n">
        <x:f>(H498*J498+I498)*'Inputs'!$D$45*(1+'Inputs'!$G$45)^(B498/30)</x:f>
        <x:v>3.215259865165148</x:v>
      </x:c>
      <x:c r="L498" s="80" t="n">
        <x:f>MAX(0,K498*'Inputs'!$E$45)</x:f>
        <x:v>0</x:v>
      </x:c>
      <x:c r="M498" s="80" t="n">
        <x:f>MAX(0,-K498*'Inputs'!$E$45)</x:f>
        <x:v>0.1607629932582574</x:v>
      </x:c>
      <x:c r="N498" s="78" t="n">
        <x:f>H498*(L498*(1-'Inputs'!$B$15))/(I498+L498*(1-'Inputs'!$B$15))</x:f>
        <x:v>0</x:v>
      </x:c>
      <x:c r="O498" s="78" t="n">
        <x:f>H498-N498</x:f>
        <x:v>5210028851.6821785</x:v>
      </x:c>
      <x:c r="P498" s="78" t="n">
        <x:f>I498+L498*(1-'Inputs'!$B$17)</x:f>
        <x:v>3.215259865165148</x:v>
      </x:c>
      <x:c r="Q498" s="78" t="n">
        <x:f>IF(J498&gt;0,M498/J498,0)</x:f>
        <x:v>260501442.58410895</x:v>
      </x:c>
      <x:c r="R498" s="78" t="n">
        <x:f>IF(B498='Inputs'!$H$45,'Inputs'!$B$27*'Inputs'!$I$45,0)</x:f>
        <x:v>0</x:v>
      </x:c>
      <x:c r="S498" s="78" t="n">
        <x:f>Q498+G498+R498</x:f>
        <x:v>261059998.27584285</x:v>
      </x:c>
      <x:c r="T498" s="78" t="n">
        <x:f>P498*(S498*(1-'Inputs'!$B$15))/(O498+S498*(1-'Inputs'!$B$15))</x:f>
        <x:v>0.15195854121054522</x:v>
      </x:c>
      <x:c r="U498" s="78" t="n">
        <x:f>O498+S498*(1-'Inputs'!$B$17)</x:f>
        <x:v>5470038306.705402</x:v>
      </x:c>
      <x:c r="V498" s="78" t="n">
        <x:f>P498-T498</x:f>
        <x:v>3.0633013239546028</x:v>
      </x:c>
      <x:c r="W498" s="79" t="n">
        <x:f>IF(U498&gt;0,V498/U498,0)</x:f>
        <x:v>5.600146017623825e-10</x:v>
      </x:c>
      <x:c r="X498" s="80" t="n">
        <x:f>W498*('Inputs'!$B$6-AC498)</x:f>
        <x:v>0.43148189292991224</x:v>
      </x:c>
      <x:c r="Y498" s="80" t="n">
        <x:f>2*V498</x:f>
        <x:v>6.1266026479092055</x:v>
      </x:c>
      <x:c r="Z498" s="80" t="n">
        <x:f>K498*'Inputs'!$B$16+(G498+R498)*J498*'Inputs'!$B$16</x:f>
        <x:v>0.019293627396464466</x:v>
      </x:c>
      <x:c r="AA498" s="80" t="n">
        <x:f>K498*(1+'Inputs'!$E$45)/2*'Inputs'!$B$17</x:f>
        <x:v>0.006145868957559137</x:v>
      </x:c>
      <x:c r="AB498" s="78" t="n">
        <x:f>(IF(J498&gt;0,K498*(1-'Inputs'!$E$45)/2/J498,0)+G498+R498)*'Inputs'!$B$17</x:f>
        <x:v>11009350.916800315</x:v>
      </x:c>
      <x:c r="AC498" s="78" t="n">
        <x:f>AC497+AB498</x:f>
        <x:v>229516709.7928768</x:v>
      </x:c>
      <x:c r="AD498" s="80" t="n">
        <x:f>Z498/(1+'Inputs'!$C$45)</x:f>
        <x:v>0.012862418264309644</x:v>
      </x:c>
      <x:c r="AE498" s="80" t="n">
        <x:f>Z498-AD498</x:f>
        <x:v>0.006431209132154822</x:v>
      </x:c>
      <x:c r="AF498" s="80" t="n">
        <x:f>D498*W498</x:f>
        <x:v>0.00016077655086255228</x:v>
      </x:c>
      <x:c r="AG498" s="80" t="n">
        <x:f>C498*W498</x:f>
        <x:v>0.0002813589640094696</x:v>
      </x:c>
      <x:c r="AH498" s="80" t="n">
        <x:f>2*'Inputs'!$B$8*'Inputs'!$C$45</x:f>
        <x:v>2500</x:v>
      </x:c>
      <x:c r="AI498" s="81" t="n">
        <x:f>IF(AH498&gt;0,(AE498+AF498)/AH498*365,0)</x:f>
        <x:v>0.0009624299097205366</x:v>
      </x:c>
      <x:c r="AJ498" s="81" t="n">
        <x:f>IF('Inputs'!$B$45&gt;0,AG498/('Inputs'!$B$19*'Inputs'!$B$45)*365,0)</x:f>
        <x:v>0.00001369280291512752</x:v>
      </x:c>
      <x:c r="AK498" s="81" t="n">
        <x:f>W498/MAX($W$369:W498)-1</x:f>
        <x:v>-0.9999992551339667</x:v>
      </x:c>
      <x:c r="AL498" s="83" t="n">
        <x:f>'Inputs'!$B$45</x:f>
        <x:v>0.75</x:v>
      </x:c>
      <x:c r="AM498" s="83" t="n">
        <x:f>'Inputs'!$C$45</x:f>
        <x:v>0.5</x:v>
      </x:c>
      <x:c r="AN498" s="83" t="n">
        <x:f>'Inputs'!$D$45</x:f>
        <x:v>0.5</x:v>
      </x:c>
      <x:c r="AO498" s="81" t="n">
        <x:f>'Inputs'!$E$45</x:f>
        <x:v>-0.05</x:v>
      </x:c>
    </x:row>
    <x:row r="499">
      <x:c r="A499" s="59" t="str">
        <x:v>Weak demand</x:v>
      </x:c>
      <x:c r="B499" s="59" t="n">
        <x:v>131</x:v>
      </x:c>
      <x:c r="C499" s="78" t="n">
        <x:f>(('Inputs'!$B$29*(3*131*'Inputs'!$B$12-131^2)/(2*'Inputs'!$B$12^2))-('Inputs'!$B$29*(3*130*'Inputs'!$B$12-130^2)/(2*'Inputs'!$B$12^2)))*'Inputs'!$B$45</x:f>
        <x:v>502169.7902983725</x:v>
      </x:c>
      <x:c r="D499" s="78" t="n">
        <x:f>IF('Inputs'!$C$45&gt;0,('Inputs'!$B$30*(3*131*'Inputs'!$B$12-131^2)/(2*'Inputs'!$B$12^2))-('Inputs'!$B$30*(3*130*'Inputs'!$B$12-130^2)/(2*'Inputs'!$B$12^2)),0)</x:f>
        <x:v>286954.16588478535</x:v>
      </x:c>
      <x:c r="E499" s="78" t="n">
        <x:f>C499+D499</x:f>
        <x:v>789123.9561831579</x:v>
      </x:c>
      <x:c r="F499" s="78" t="n">
        <x:f>'Inputs'!$B$13*E499+(1-'Inputs'!$B$13)/'Inputs'!$B$14*SUM(E444:E499)</x:f>
        <x:v>797553.5395946726</x:v>
      </x:c>
      <x:c r="G499" s="78" t="n">
        <x:f>F499*'Inputs'!$F$45</x:f>
        <x:v>558287.4777162708</x:v>
      </x:c>
      <x:c r="H499" s="78" t="n">
        <x:f>U498</x:f>
        <x:v>5470038306.705402</x:v>
      </x:c>
      <x:c r="I499" s="78" t="n">
        <x:f>V498</x:f>
        <x:v>3.0633013239546028</x:v>
      </x:c>
      <x:c r="J499" s="79" t="n">
        <x:f>IF(H499&gt;0,I499/H499,0)</x:f>
        <x:v>5.600146017623825e-10</x:v>
      </x:c>
      <x:c r="K499" s="80" t="n">
        <x:f>(H499*J499+I499)*'Inputs'!$D$45*(1+'Inputs'!$G$45)^(B499/30)</x:f>
        <x:v>3.0633013239546028</x:v>
      </x:c>
      <x:c r="L499" s="80" t="n">
        <x:f>MAX(0,K499*'Inputs'!$E$45)</x:f>
        <x:v>0</x:v>
      </x:c>
      <x:c r="M499" s="80" t="n">
        <x:f>MAX(0,-K499*'Inputs'!$E$45)</x:f>
        <x:v>0.15316506619773015</x:v>
      </x:c>
      <x:c r="N499" s="78" t="n">
        <x:f>H499*(L499*(1-'Inputs'!$B$15))/(I499+L499*(1-'Inputs'!$B$15))</x:f>
        <x:v>0</x:v>
      </x:c>
      <x:c r="O499" s="78" t="n">
        <x:f>H499-N499</x:f>
        <x:v>5470038306.705402</x:v>
      </x:c>
      <x:c r="P499" s="78" t="n">
        <x:f>I499+L499*(1-'Inputs'!$B$17)</x:f>
        <x:v>3.0633013239546028</x:v>
      </x:c>
      <x:c r="Q499" s="78" t="n">
        <x:f>IF(J499&gt;0,M499/J499,0)</x:f>
        <x:v>273501915.33527017</x:v>
      </x:c>
      <x:c r="R499" s="78" t="n">
        <x:f>IF(B499='Inputs'!$H$45,'Inputs'!$B$27*'Inputs'!$I$45,0)</x:f>
        <x:v>0</x:v>
      </x:c>
      <x:c r="S499" s="78" t="n">
        <x:f>Q499+G499+R499</x:f>
        <x:v>274060202.81298643</x:v>
      </x:c>
      <x:c r="T499" s="78" t="n">
        <x:f>P499*(S499*(1-'Inputs'!$B$15))/(O499+S499*(1-'Inputs'!$B$15))</x:f>
        <x:v>0.14476256413396146</x:v>
      </x:c>
      <x:c r="U499" s="78" t="n">
        <x:f>O499+S499*(1-'Inputs'!$B$17)</x:f>
        <x:v>5742995651.559382</x:v>
      </x:c>
      <x:c r="V499" s="78" t="n">
        <x:f>P499-T499</x:f>
        <x:v>2.9185387598206414</x:v>
      </x:c>
      <x:c r="W499" s="79" t="n">
        <x:f>IF(U499&gt;0,V499/U499,0)</x:f>
        <x:v>5.081910098657619e-10</x:v>
      </x:c>
      <x:c r="X499" s="80" t="n">
        <x:f>W499*('Inputs'!$B$6-AC499)</x:f>
        <x:v>0.3856786713974317</x:v>
      </x:c>
      <x:c r="Y499" s="80" t="n">
        <x:f>2*V499</x:f>
        <x:v>5.837077519641283</x:v>
      </x:c>
      <x:c r="Z499" s="80" t="n">
        <x:f>K499*'Inputs'!$B$16+(G499+R499)*J499*'Inputs'!$B$16</x:f>
        <x:v>0.01838168383856463</x:v>
      </x:c>
      <x:c r="AA499" s="80" t="n">
        <x:f>K499*(1+'Inputs'!$E$45)/2*'Inputs'!$B$17</x:f>
        <x:v>0.005855404945184855</x:v>
      </x:c>
      <x:c r="AB499" s="78" t="n">
        <x:f>(IF(J499&gt;0,K499*(1-'Inputs'!$E$45)/2/J499,0)+G499+R499)*'Inputs'!$B$17</x:f>
        <x:v>11558665.587517317</x:v>
      </x:c>
      <x:c r="AC499" s="78" t="n">
        <x:f>AC498+AB499</x:f>
        <x:v>241075375.38039413</x:v>
      </x:c>
      <x:c r="AD499" s="80" t="n">
        <x:f>Z499/(1+'Inputs'!$C$45)</x:f>
        <x:v>0.01225445589237642</x:v>
      </x:c>
      <x:c r="AE499" s="80" t="n">
        <x:f>Z499-AD499</x:f>
        <x:v>0.00612722794618821</x:v>
      </x:c>
      <x:c r="AF499" s="80" t="n">
        <x:f>D499*W499</x:f>
        <x:v>0.00014582752734617642</x:v>
      </x:c>
      <x:c r="AG499" s="80" t="n">
        <x:f>C499*W499</x:f>
        <x:v>0.0002551981728558078</x:v>
      </x:c>
      <x:c r="AH499" s="80" t="n">
        <x:f>2*'Inputs'!$B$8*'Inputs'!$C$45</x:f>
        <x:v>2500</x:v>
      </x:c>
      <x:c r="AI499" s="81" t="n">
        <x:f>IF(AH499&gt;0,(AE499+AF499)/AH499*365,0)</x:f>
        <x:v>0.0009158660991360205</x:v>
      </x:c>
      <x:c r="AJ499" s="81" t="n">
        <x:f>IF('Inputs'!$B$45&gt;0,AG499/('Inputs'!$B$19*'Inputs'!$B$45)*365,0)</x:f>
        <x:v>0.00001241964441231598</x:v>
      </x:c>
      <x:c r="AK499" s="81" t="n">
        <x:f>W499/MAX($W$369:W499)-1</x:f>
        <x:v>-0.9999993240636575</x:v>
      </x:c>
      <x:c r="AL499" s="83" t="n">
        <x:f>'Inputs'!$B$45</x:f>
        <x:v>0.75</x:v>
      </x:c>
      <x:c r="AM499" s="83" t="n">
        <x:f>'Inputs'!$C$45</x:f>
        <x:v>0.5</x:v>
      </x:c>
      <x:c r="AN499" s="83" t="n">
        <x:f>'Inputs'!$D$45</x:f>
        <x:v>0.5</x:v>
      </x:c>
      <x:c r="AO499" s="81" t="n">
        <x:f>'Inputs'!$E$45</x:f>
        <x:v>-0.05</x:v>
      </x:c>
    </x:row>
    <x:row r="500">
      <x:c r="A500" s="59" t="str">
        <x:v>Weak demand</x:v>
      </x:c>
      <x:c r="B500" s="59" t="n">
        <x:v>132</x:v>
      </x:c>
      <x:c r="C500" s="78" t="n">
        <x:f>(('Inputs'!$B$29*(3*132*'Inputs'!$B$12-132^2)/(2*'Inputs'!$B$12^2))-('Inputs'!$B$29*(3*131*'Inputs'!$B$12-131^2)/(2*'Inputs'!$B$12^2)))*'Inputs'!$B$45</x:f>
        <x:v>501925.95937324315</x:v>
      </x:c>
      <x:c r="D500" s="78" t="n">
        <x:f>IF('Inputs'!$C$45&gt;0,('Inputs'!$B$30*(3*132*'Inputs'!$B$12-132^2)/(2*'Inputs'!$B$12^2))-('Inputs'!$B$30*(3*131*'Inputs'!$B$12-131^2)/(2*'Inputs'!$B$12^2)),0)</x:f>
        <x:v>286814.8339275643</x:v>
      </x:c>
      <x:c r="E500" s="78" t="n">
        <x:f>C500+D500</x:f>
        <x:v>788740.7933008075</x:v>
      </x:c>
      <x:c r="F500" s="78" t="n">
        <x:f>'Inputs'!$B$13*E500+(1-'Inputs'!$B$13)/'Inputs'!$B$14*SUM(E445:E500)</x:f>
        <x:v>797170.376712329</x:v>
      </x:c>
      <x:c r="G500" s="78" t="n">
        <x:f>F500*'Inputs'!$F$45</x:f>
        <x:v>558019.2636986303</x:v>
      </x:c>
      <x:c r="H500" s="78" t="n">
        <x:f>U499</x:f>
        <x:v>5742995651.559382</x:v>
      </x:c>
      <x:c r="I500" s="78" t="n">
        <x:f>V499</x:f>
        <x:v>2.9185387598206414</x:v>
      </x:c>
      <x:c r="J500" s="79" t="n">
        <x:f>IF(H500&gt;0,I500/H500,0)</x:f>
        <x:v>5.081910098657619e-10</x:v>
      </x:c>
      <x:c r="K500" s="80" t="n">
        <x:f>(H500*J500+I500)*'Inputs'!$D$45*(1+'Inputs'!$G$45)^(B500/30)</x:f>
        <x:v>2.9185387598206414</x:v>
      </x:c>
      <x:c r="L500" s="80" t="n">
        <x:f>MAX(0,K500*'Inputs'!$E$45)</x:f>
        <x:v>0</x:v>
      </x:c>
      <x:c r="M500" s="80" t="n">
        <x:f>MAX(0,-K500*'Inputs'!$E$45)</x:f>
        <x:v>0.14592693799103207</x:v>
      </x:c>
      <x:c r="N500" s="78" t="n">
        <x:f>H500*(L500*(1-'Inputs'!$B$15))/(I500+L500*(1-'Inputs'!$B$15))</x:f>
        <x:v>0</x:v>
      </x:c>
      <x:c r="O500" s="78" t="n">
        <x:f>H500-N500</x:f>
        <x:v>5742995651.559382</x:v>
      </x:c>
      <x:c r="P500" s="78" t="n">
        <x:f>I500+L500*(1-'Inputs'!$B$17)</x:f>
        <x:v>2.9185387598206414</x:v>
      </x:c>
      <x:c r="Q500" s="78" t="n">
        <x:f>IF(J500&gt;0,M500/J500,0)</x:f>
        <x:v>287149782.57796913</x:v>
      </x:c>
      <x:c r="R500" s="78" t="n">
        <x:f>IF(B500='Inputs'!$H$45,'Inputs'!$B$27*'Inputs'!$I$45,0)</x:f>
        <x:v>0</x:v>
      </x:c>
      <x:c r="S500" s="78" t="n">
        <x:f>Q500+G500+R500</x:f>
        <x:v>287707801.8416678</x:v>
      </x:c>
      <x:c r="T500" s="78" t="n">
        <x:f>P500*(S500*(1-'Inputs'!$B$15))/(O500+S500*(1-'Inputs'!$B$15))</x:f>
        <x:v>0.13790866818275904</x:v>
      </x:c>
      <x:c r="U500" s="78" t="n">
        <x:f>O500+S500*(1-'Inputs'!$B$17)</x:f>
        <x:v>6029545675.526436</x:v>
      </x:c>
      <x:c r="V500" s="78" t="n">
        <x:f>P500-T500</x:f>
        <x:v>2.7806300916378826</x:v>
      </x:c>
      <x:c r="W500" s="79" t="n">
        <x:f>IF(U500&gt;0,V500/U500,0)</x:f>
        <x:v>4.6116743139110686e-10</x:v>
      </x:c>
      <x:c r="X500" s="80" t="n">
        <x:f>W500*('Inputs'!$B$6-AC500)</x:f>
        <x:v>0.34439489850498795</x:v>
      </x:c>
      <x:c r="Y500" s="80" t="n">
        <x:f>2*V500</x:f>
        <x:v>5.561260183275765</x:v>
      </x:c>
      <x:c r="Z500" s="80" t="n">
        <x:f>K500*'Inputs'!$B$16+(G500+R500)*J500*'Inputs'!$B$16</x:f>
        <x:v>0.01751293404116271</x:v>
      </x:c>
      <x:c r="AA500" s="80" t="n">
        <x:f>K500*(1+'Inputs'!$E$45)/2*'Inputs'!$B$17</x:f>
        <x:v>0.0055786958185706425</x:v>
      </x:c>
      <x:c r="AB500" s="78" t="n">
        <x:f>(IF(J500&gt;0,K500*(1-'Inputs'!$E$45)/2/J500,0)+G500+R500)*'Inputs'!$B$17</x:f>
        <x:v>12135334.955059856</x:v>
      </x:c>
      <x:c r="AC500" s="78" t="n">
        <x:f>AC499+AB500</x:f>
        <x:v>253210710.335454</x:v>
      </x:c>
      <x:c r="AD500" s="80" t="n">
        <x:f>Z500/(1+'Inputs'!$C$45)</x:f>
        <x:v>0.011675289360775139</x:v>
      </x:c>
      <x:c r="AE500" s="80" t="n">
        <x:f>Z500-AD500</x:f>
        <x:v>0.00583764468038757</x:v>
      </x:c>
      <x:c r="AF500" s="80" t="n">
        <x:f>D500*W500</x:f>
        <x:v>0.00013226966024724172</x:v>
      </x:c>
      <x:c r="AG500" s="80" t="n">
        <x:f>C500*W500</x:f>
        <x:v>0.0002314719054326756</x:v>
      </x:c>
      <x:c r="AH500" s="80" t="n">
        <x:f>2*'Inputs'!$B$8*'Inputs'!$C$45</x:f>
        <x:v>2500</x:v>
      </x:c>
      <x:c r="AI500" s="81" t="n">
        <x:f>IF(AH500&gt;0,(AE500+AF500)/AH500*365,0)</x:f>
        <x:v>0.0008716074937326826</x:v>
      </x:c>
      <x:c r="AJ500" s="81" t="n">
        <x:f>IF('Inputs'!$B$45&gt;0,AG500/('Inputs'!$B$19*'Inputs'!$B$45)*365,0)</x:f>
        <x:v>0.000011264966064390213</x:v>
      </x:c>
      <x:c r="AK500" s="81" t="n">
        <x:f>W500/MAX($W$369:W500)-1</x:f>
        <x:v>-0.999999386608931</x:v>
      </x:c>
      <x:c r="AL500" s="83" t="n">
        <x:f>'Inputs'!$B$45</x:f>
        <x:v>0.75</x:v>
      </x:c>
      <x:c r="AM500" s="83" t="n">
        <x:f>'Inputs'!$C$45</x:f>
        <x:v>0.5</x:v>
      </x:c>
      <x:c r="AN500" s="83" t="n">
        <x:f>'Inputs'!$D$45</x:f>
        <x:v>0.5</x:v>
      </x:c>
      <x:c r="AO500" s="81" t="n">
        <x:f>'Inputs'!$E$45</x:f>
        <x:v>-0.05</x:v>
      </x:c>
    </x:row>
    <x:row r="501">
      <x:c r="A501" s="59" t="str">
        <x:v>Weak demand</x:v>
      </x:c>
      <x:c r="B501" s="59" t="n">
        <x:v>133</x:v>
      </x:c>
      <x:c r="C501" s="78" t="n">
        <x:f>(('Inputs'!$B$29*(3*133*'Inputs'!$B$12-133^2)/(2*'Inputs'!$B$12^2))-('Inputs'!$B$29*(3*132*'Inputs'!$B$12-132^2)/(2*'Inputs'!$B$12^2)))*'Inputs'!$B$45</x:f>
        <x:v>501682.1284481138</x:v>
      </x:c>
      <x:c r="D501" s="78" t="n">
        <x:f>IF('Inputs'!$C$45&gt;0,('Inputs'!$B$30*(3*133*'Inputs'!$B$12-133^2)/(2*'Inputs'!$B$12^2))-('Inputs'!$B$30*(3*132*'Inputs'!$B$12-132^2)/(2*'Inputs'!$B$12^2)),0)</x:f>
        <x:v>286675.50197035074</x:v>
      </x:c>
      <x:c r="E501" s="78" t="n">
        <x:f>C501+D501</x:f>
        <x:v>788357.6304184645</x:v>
      </x:c>
      <x:c r="F501" s="78" t="n">
        <x:f>'Inputs'!$B$13*E501+(1-'Inputs'!$B$13)/'Inputs'!$B$14*SUM(E446:E501)</x:f>
        <x:v>796787.2138299869</x:v>
      </x:c>
      <x:c r="G501" s="78" t="n">
        <x:f>F501*'Inputs'!$F$45</x:f>
        <x:v>557751.0496809907</x:v>
      </x:c>
      <x:c r="H501" s="78" t="n">
        <x:f>U500</x:f>
        <x:v>6029545675.526436</x:v>
      </x:c>
      <x:c r="I501" s="78" t="n">
        <x:f>V500</x:f>
        <x:v>2.7806300916378826</x:v>
      </x:c>
      <x:c r="J501" s="79" t="n">
        <x:f>IF(H501&gt;0,I501/H501,0)</x:f>
        <x:v>4.6116743139110686e-10</x:v>
      </x:c>
      <x:c r="K501" s="80" t="n">
        <x:f>(H501*J501+I501)*'Inputs'!$D$45*(1+'Inputs'!$G$45)^(B501/30)</x:f>
        <x:v>2.7806300916378826</x:v>
      </x:c>
      <x:c r="L501" s="80" t="n">
        <x:f>MAX(0,K501*'Inputs'!$E$45)</x:f>
        <x:v>0</x:v>
      </x:c>
      <x:c r="M501" s="80" t="n">
        <x:f>MAX(0,-K501*'Inputs'!$E$45)</x:f>
        <x:v>0.13903150458189414</x:v>
      </x:c>
      <x:c r="N501" s="78" t="n">
        <x:f>H501*(L501*(1-'Inputs'!$B$15))/(I501+L501*(1-'Inputs'!$B$15))</x:f>
        <x:v>0</x:v>
      </x:c>
      <x:c r="O501" s="78" t="n">
        <x:f>H501-N501</x:f>
        <x:v>6029545675.526436</x:v>
      </x:c>
      <x:c r="P501" s="78" t="n">
        <x:f>I501+L501*(1-'Inputs'!$B$17)</x:f>
        <x:v>2.7806300916378826</x:v>
      </x:c>
      <x:c r="Q501" s="78" t="n">
        <x:f>IF(J501&gt;0,M501/J501,0)</x:f>
        <x:v>301477283.7763218</x:v>
      </x:c>
      <x:c r="R501" s="78" t="n">
        <x:f>IF(B501='Inputs'!$H$45,'Inputs'!$B$27*'Inputs'!$I$45,0)</x:f>
        <x:v>0</x:v>
      </x:c>
      <x:c r="S501" s="78" t="n">
        <x:f>Q501+G501+R501</x:f>
        <x:v>302035034.82600284</x:v>
      </x:c>
      <x:c r="T501" s="78" t="n">
        <x:f>P501*(S501*(1-'Inputs'!$B$15))/(O501+S501*(1-'Inputs'!$B$15))</x:f>
        <x:v>0.13138046920672325</x:v>
      </x:c>
      <x:c r="U501" s="78" t="n">
        <x:f>O501+S501*(1-'Inputs'!$B$17)</x:f>
        <x:v>6330365277.61672</x:v>
      </x:c>
      <x:c r="V501" s="78" t="n">
        <x:f>P501-T501</x:f>
        <x:v>2.6492496224311592</x:v>
      </x:c>
      <x:c r="W501" s="79" t="n">
        <x:f>IF(U501&gt;0,V501/U501,0)</x:f>
        <x:v>4.184986973498248e-10</x:v>
      </x:c>
      <x:c r="X501" s="80" t="n">
        <x:f>W501*('Inputs'!$B$6-AC501)</x:f>
        <x:v>0.3071983696728631</x:v>
      </x:c>
      <x:c r="Y501" s="80" t="n">
        <x:f>2*V501</x:f>
        <x:v>5.2984992448623185</x:v>
      </x:c>
      <x:c r="Z501" s="80" t="n">
        <x:f>K501*'Inputs'!$B$16+(G501+R501)*J501*'Inputs'!$B$16</x:f>
        <x:v>0.01668532384954092</x:v>
      </x:c>
      <x:c r="AA501" s="80" t="n">
        <x:f>K501*(1+'Inputs'!$E$45)/2*'Inputs'!$B$17</x:f>
        <x:v>0.00531508770031386</x:v>
      </x:c>
      <x:c r="AB501" s="78" t="n">
        <x:f>(IF(J501&gt;0,K501*(1-'Inputs'!$E$45)/2/J501,0)+G501+R501)*'Inputs'!$B$17</x:f>
        <x:v>12740721.250306077</x:v>
      </x:c>
      <x:c r="AC501" s="78" t="n">
        <x:f>AC500+AB501</x:f>
        <x:v>265951431.58576006</x:v>
      </x:c>
      <x:c r="AD501" s="80" t="n">
        <x:f>Z501/(1+'Inputs'!$C$45)</x:f>
        <x:v>0.01112354923302728</x:v>
      </x:c>
      <x:c r="AE501" s="80" t="n">
        <x:f>Z501-AD501</x:f>
        <x:v>0.005561774616513639</x:v>
      </x:c>
      <x:c r="AF501" s="80" t="n">
        <x:f>D501*W501</x:f>
        <x:v>0.00011997332413669891</x:v>
      </x:c>
      <x:c r="AG501" s="80" t="n">
        <x:f>C501*W501</x:f>
        <x:v>0.0002099533172392231</x:v>
      </x:c>
      <x:c r="AH501" s="80" t="n">
        <x:f>2*'Inputs'!$B$8*'Inputs'!$C$45</x:f>
        <x:v>2500</x:v>
      </x:c>
      <x:c r="AI501" s="81" t="n">
        <x:f>IF(AH501&gt;0,(AE501+AF501)/AH501*365,0)</x:f>
        <x:v>0.0008295351993349493</x:v>
      </x:c>
      <x:c r="AJ501" s="81" t="n">
        <x:f>IF('Inputs'!$B$45&gt;0,AG501/('Inputs'!$B$19*'Inputs'!$B$45)*365,0)</x:f>
        <x:v>0.00001021772810564219</x:v>
      </x:c>
      <x:c r="AK501" s="81" t="n">
        <x:f>W501/MAX($W$369:W501)-1</x:f>
        <x:v>-0.9999994433618987</x:v>
      </x:c>
      <x:c r="AL501" s="83" t="n">
        <x:f>'Inputs'!$B$45</x:f>
        <x:v>0.75</x:v>
      </x:c>
      <x:c r="AM501" s="83" t="n">
        <x:f>'Inputs'!$C$45</x:f>
        <x:v>0.5</x:v>
      </x:c>
      <x:c r="AN501" s="83" t="n">
        <x:f>'Inputs'!$D$45</x:f>
        <x:v>0.5</x:v>
      </x:c>
      <x:c r="AO501" s="81" t="n">
        <x:f>'Inputs'!$E$45</x:f>
        <x:v>-0.05</x:v>
      </x:c>
    </x:row>
    <x:row r="502">
      <x:c r="A502" s="59" t="str">
        <x:v>Weak demand</x:v>
      </x:c>
      <x:c r="B502" s="59" t="n">
        <x:v>134</x:v>
      </x:c>
      <x:c r="C502" s="78" t="n">
        <x:f>(('Inputs'!$B$29*(3*134*'Inputs'!$B$12-134^2)/(2*'Inputs'!$B$12^2))-('Inputs'!$B$29*(3*133*'Inputs'!$B$12-133^2)/(2*'Inputs'!$B$12^2)))*'Inputs'!$B$45</x:f>
        <x:v>501438.29752298445</x:v>
      </x:c>
      <x:c r="D502" s="78" t="n">
        <x:f>IF('Inputs'!$C$45&gt;0,('Inputs'!$B$30*(3*134*'Inputs'!$B$12-134^2)/(2*'Inputs'!$B$12^2))-('Inputs'!$B$30*(3*133*'Inputs'!$B$12-133^2)/(2*'Inputs'!$B$12^2)),0)</x:f>
        <x:v>286536.17001313716</x:v>
      </x:c>
      <x:c r="E502" s="78" t="n">
        <x:f>C502+D502</x:f>
        <x:v>787974.4675361216</x:v>
      </x:c>
      <x:c r="F502" s="78" t="n">
        <x:f>'Inputs'!$B$13*E502+(1-'Inputs'!$B$13)/'Inputs'!$B$14*SUM(E447:E502)</x:f>
        <x:v>796404.0509476447</x:v>
      </x:c>
      <x:c r="G502" s="78" t="n">
        <x:f>F502*'Inputs'!$F$45</x:f>
        <x:v>557482.8356633512</x:v>
      </x:c>
      <x:c r="H502" s="78" t="n">
        <x:f>U501</x:f>
        <x:v>6330365277.61672</x:v>
      </x:c>
      <x:c r="I502" s="78" t="n">
        <x:f>V501</x:f>
        <x:v>2.6492496224311592</x:v>
      </x:c>
      <x:c r="J502" s="79" t="n">
        <x:f>IF(H502&gt;0,I502/H502,0)</x:f>
        <x:v>4.184986973498248e-10</x:v>
      </x:c>
      <x:c r="K502" s="80" t="n">
        <x:f>(H502*J502+I502)*'Inputs'!$D$45*(1+'Inputs'!$G$45)^(B502/30)</x:f>
        <x:v>2.6492496224311592</x:v>
      </x:c>
      <x:c r="L502" s="80" t="n">
        <x:f>MAX(0,K502*'Inputs'!$E$45)</x:f>
        <x:v>0</x:v>
      </x:c>
      <x:c r="M502" s="80" t="n">
        <x:f>MAX(0,-K502*'Inputs'!$E$45)</x:f>
        <x:v>0.13246248112155798</x:v>
      </x:c>
      <x:c r="N502" s="78" t="n">
        <x:f>H502*(L502*(1-'Inputs'!$B$15))/(I502+L502*(1-'Inputs'!$B$15))</x:f>
        <x:v>0</x:v>
      </x:c>
      <x:c r="O502" s="78" t="n">
        <x:f>H502-N502</x:f>
        <x:v>6330365277.61672</x:v>
      </x:c>
      <x:c r="P502" s="78" t="n">
        <x:f>I502+L502*(1-'Inputs'!$B$17)</x:f>
        <x:v>2.6492496224311592</x:v>
      </x:c>
      <x:c r="Q502" s="78" t="n">
        <x:f>IF(J502&gt;0,M502/J502,0)</x:f>
        <x:v>316518263.88083607</x:v>
      </x:c>
      <x:c r="R502" s="78" t="n">
        <x:f>IF(B502='Inputs'!$H$45,'Inputs'!$B$27*'Inputs'!$I$45,0)</x:f>
        <x:v>0</x:v>
      </x:c>
      <x:c r="S502" s="78" t="n">
        <x:f>Q502+G502+R502</x:f>
        <x:v>317075746.71649945</x:v>
      </x:c>
      <x:c r="T502" s="78" t="n">
        <x:f>P502*(S502*(1-'Inputs'!$B$15))/(O502+S502*(1-'Inputs'!$B$15))</x:f>
        <x:v>0.1251623791396897</x:v>
      </x:c>
      <x:c r="U502" s="78" t="n">
        <x:f>O502+S502*(1-'Inputs'!$B$17)</x:f>
        <x:v>6646165065.593918</x:v>
      </x:c>
      <x:c r="V502" s="78" t="n">
        <x:f>P502-T502</x:f>
        <x:v>2.5240872432914694</x:v>
      </x:c>
      <x:c r="W502" s="79" t="n">
        <x:f>IF(U502&gt;0,V502/U502,0)</x:f>
        <x:v>3.7978100429046607e-10</x:v>
      </x:c>
      <x:c r="X502" s="80" t="n">
        <x:f>W502*('Inputs'!$B$6-AC502)</x:f>
        <x:v>0.27369765512689</x:v>
      </x:c>
      <x:c r="Y502" s="80" t="n">
        <x:f>2*V502</x:f>
        <x:v>5.048174486582939</x:v>
      </x:c>
      <x:c r="Z502" s="80" t="n">
        <x:f>K502*'Inputs'!$B$16+(G502+R502)*J502*'Inputs'!$B$16</x:f>
        <x:v>0.015896897569630076</x:v>
      </x:c>
      <x:c r="AA502" s="80" t="n">
        <x:f>K502*(1+'Inputs'!$E$45)/2*'Inputs'!$B$17</x:f>
        <x:v>0.005063958030804027</x:v>
      </x:c>
      <x:c r="AB502" s="78" t="n">
        <x:f>(IF(J502&gt;0,K502*(1-'Inputs'!$E$45)/2/J502,0)+G502+R502)*'Inputs'!$B$17</x:f>
        <x:v>13376254.54158729</x:v>
      </x:c>
      <x:c r="AC502" s="78" t="n">
        <x:f>AC501+AB502</x:f>
        <x:v>279327686.12734735</x:v>
      </x:c>
      <x:c r="AD502" s="80" t="n">
        <x:f>Z502/(1+'Inputs'!$C$45)</x:f>
        <x:v>0.010597931713086718</x:v>
      </x:c>
      <x:c r="AE502" s="80" t="n">
        <x:f>Z502-AD502</x:f>
        <x:v>0.005298965856543358</x:v>
      </x:c>
      <x:c r="AF502" s="80" t="n">
        <x:f>D502*W502</x:f>
        <x:v>0.00010882099441313297</x:v>
      </x:c>
      <x:c r="AG502" s="80" t="n">
        <x:f>C502*W502</x:f>
        <x:v>0.00019043674022298056</x:v>
      </x:c>
      <x:c r="AH502" s="80" t="n">
        <x:f>2*'Inputs'!$B$8*'Inputs'!$C$45</x:f>
        <x:v>2500</x:v>
      </x:c>
      <x:c r="AI502" s="81" t="n">
        <x:f>IF(AH502&gt;0,(AE502+AF502)/AH502*365,0)</x:f>
        <x:v>0.0007895368802396477</x:v>
      </x:c>
      <x:c r="AJ502" s="81" t="n">
        <x:f>IF('Inputs'!$B$45&gt;0,AG502/('Inputs'!$B$19*'Inputs'!$B$45)*365,0)</x:f>
        <x:v>0.000009267921357518386</x:v>
      </x:c>
      <x:c r="AK502" s="81" t="n">
        <x:f>W502/MAX($W$369:W502)-1</x:f>
        <x:v>-0.9999994948596531</x:v>
      </x:c>
      <x:c r="AL502" s="83" t="n">
        <x:f>'Inputs'!$B$45</x:f>
        <x:v>0.75</x:v>
      </x:c>
      <x:c r="AM502" s="83" t="n">
        <x:f>'Inputs'!$C$45</x:f>
        <x:v>0.5</x:v>
      </x:c>
      <x:c r="AN502" s="83" t="n">
        <x:f>'Inputs'!$D$45</x:f>
        <x:v>0.5</x:v>
      </x:c>
      <x:c r="AO502" s="81" t="n">
        <x:f>'Inputs'!$E$45</x:f>
        <x:v>-0.05</x:v>
      </x:c>
    </x:row>
    <x:row r="503">
      <x:c r="A503" s="59" t="str">
        <x:v>Weak demand</x:v>
      </x:c>
      <x:c r="B503" s="59" t="n">
        <x:v>135</x:v>
      </x:c>
      <x:c r="C503" s="78" t="n">
        <x:f>(('Inputs'!$B$29*(3*135*'Inputs'!$B$12-135^2)/(2*'Inputs'!$B$12^2))-('Inputs'!$B$29*(3*134*'Inputs'!$B$12-134^2)/(2*'Inputs'!$B$12^2)))*'Inputs'!$B$45</x:f>
        <x:v>501194.46659786627</x:v>
      </x:c>
      <x:c r="D503" s="78" t="n">
        <x:f>IF('Inputs'!$C$45&gt;0,('Inputs'!$B$30*(3*135*'Inputs'!$B$12-135^2)/(2*'Inputs'!$B$12^2))-('Inputs'!$B$30*(3*134*'Inputs'!$B$12-134^2)/(2*'Inputs'!$B$12^2)),0)</x:f>
        <x:v>286396.83805591613</x:v>
      </x:c>
      <x:c r="E503" s="78" t="n">
        <x:f>C503+D503</x:f>
        <x:v>787591.3046537824</x:v>
      </x:c>
      <x:c r="F503" s="78" t="n">
        <x:f>'Inputs'!$B$13*E503+(1-'Inputs'!$B$13)/'Inputs'!$B$14*SUM(E448:E503)</x:f>
        <x:v>796020.8880653036</x:v>
      </x:c>
      <x:c r="G503" s="78" t="n">
        <x:f>F503*'Inputs'!$F$45</x:f>
        <x:v>557214.6216457124</x:v>
      </x:c>
      <x:c r="H503" s="78" t="n">
        <x:f>U502</x:f>
        <x:v>6646165065.593918</x:v>
      </x:c>
      <x:c r="I503" s="78" t="n">
        <x:f>V502</x:f>
        <x:v>2.5240872432914694</x:v>
      </x:c>
      <x:c r="J503" s="79" t="n">
        <x:f>IF(H503&gt;0,I503/H503,0)</x:f>
        <x:v>3.7978100429046607e-10</x:v>
      </x:c>
      <x:c r="K503" s="80" t="n">
        <x:f>(H503*J503+I503)*'Inputs'!$D$45*(1+'Inputs'!$G$45)^(B503/30)</x:f>
        <x:v>2.5240872432914694</x:v>
      </x:c>
      <x:c r="L503" s="80" t="n">
        <x:f>MAX(0,K503*'Inputs'!$E$45)</x:f>
        <x:v>0</x:v>
      </x:c>
      <x:c r="M503" s="80" t="n">
        <x:f>MAX(0,-K503*'Inputs'!$E$45)</x:f>
        <x:v>0.12620436216457348</x:v>
      </x:c>
      <x:c r="N503" s="78" t="n">
        <x:f>H503*(L503*(1-'Inputs'!$B$15))/(I503+L503*(1-'Inputs'!$B$15))</x:f>
        <x:v>0</x:v>
      </x:c>
      <x:c r="O503" s="78" t="n">
        <x:f>H503-N503</x:f>
        <x:v>6646165065.593918</x:v>
      </x:c>
      <x:c r="P503" s="78" t="n">
        <x:f>I503+L503*(1-'Inputs'!$B$17)</x:f>
        <x:v>2.5240872432914694</x:v>
      </x:c>
      <x:c r="Q503" s="78" t="n">
        <x:f>IF(J503&gt;0,M503/J503,0)</x:f>
        <x:v>332308253.2796959</x:v>
      </x:c>
      <x:c r="R503" s="78" t="n">
        <x:f>IF(B503='Inputs'!$H$45,'Inputs'!$B$27*'Inputs'!$I$45,0)</x:f>
        <x:v>0</x:v>
      </x:c>
      <x:c r="S503" s="78" t="n">
        <x:f>Q503+G503+R503</x:f>
        <x:v>332865467.9013416</x:v>
      </x:c>
      <x:c r="T503" s="78" t="n">
        <x:f>P503*(S503*(1-'Inputs'!$B$15))/(O503+S503*(1-'Inputs'!$B$15))</x:f>
        <x:v>0.11923956626864228</x:v>
      </x:c>
      <x:c r="U503" s="78" t="n">
        <x:f>O503+S503*(1-'Inputs'!$B$17)</x:f>
        <x:v>6977691034.6304655</x:v>
      </x:c>
      <x:c r="V503" s="78" t="n">
        <x:f>P503-T503</x:f>
        <x:v>2.4048476770228273</x:v>
      </x:c>
      <x:c r="W503" s="79" t="n">
        <x:f>IF(U503&gt;0,V503/U503,0)</x:f>
        <x:v>3.4464805980767915e-10</x:v>
      </x:c>
      <x:c r="X503" s="80" t="n">
        <x:f>W503*('Inputs'!$B$6-AC503)</x:f>
        <x:v>0.24353827172397252</x:v>
      </x:c>
      <x:c r="Y503" s="80" t="n">
        <x:f>2*V503</x:f>
        <x:v>4.809695354045655</x:v>
      </x:c>
      <x:c r="Z503" s="80" t="n">
        <x:f>K503*'Inputs'!$B$16+(G503+R503)*J503*'Inputs'!$B$16</x:f>
        <x:v>0.0151457931769205</x:v>
      </x:c>
      <x:c r="AA503" s="80" t="n">
        <x:f>K503*(1+'Inputs'!$E$45)/2*'Inputs'!$B$17</x:f>
        <x:v>0.00482471404653299</x:v>
      </x:c>
      <x:c r="AB503" s="78" t="n">
        <x:f>(IF(J503&gt;0,K503*(1-'Inputs'!$E$45)/2/J503,0)+G503+R503)*'Inputs'!$B$17</x:f>
        <x:v>14043436.112911278</x:v>
      </x:c>
      <x:c r="AC503" s="78" t="n">
        <x:f>AC502+AB503</x:f>
        <x:v>293371122.24025863</x:v>
      </x:c>
      <x:c r="AD503" s="80" t="n">
        <x:f>Z503/(1+'Inputs'!$C$45)</x:f>
        <x:v>0.010097195451280334</x:v>
      </x:c>
      <x:c r="AE503" s="80" t="n">
        <x:f>Z503-AD503</x:f>
        <x:v>0.005048597725640166</x:v>
      </x:c>
      <x:c r="AF503" s="80" t="n">
        <x:f>D503*W503</x:f>
        <x:v>0.00009870611457102559</x:v>
      </x:c>
      <x:c r="AG503" s="80" t="n">
        <x:f>C503*W503</x:f>
        <x:v>0.00017273570049929925</x:v>
      </x:c>
      <x:c r="AH503" s="80" t="n">
        <x:f>2*'Inputs'!$B$8*'Inputs'!$C$45</x:f>
        <x:v>2500</x:v>
      </x:c>
      <x:c r="AI503" s="81" t="n">
        <x:f>IF(AH503&gt;0,(AE503+AF503)/AH503*365,0)</x:f>
        <x:v>0.000751506360670834</x:v>
      </x:c>
      <x:c r="AJ503" s="81" t="n">
        <x:f>IF('Inputs'!$B$45&gt;0,AG503/('Inputs'!$B$19*'Inputs'!$B$45)*365,0)</x:f>
        <x:v>0.000008406470757632563</x:v>
      </x:c>
      <x:c r="AK503" s="81" t="n">
        <x:f>W503/MAX($W$369:W503)-1</x:f>
        <x:v>-0.9999995415893936</x:v>
      </x:c>
      <x:c r="AL503" s="83" t="n">
        <x:f>'Inputs'!$B$45</x:f>
        <x:v>0.75</x:v>
      </x:c>
      <x:c r="AM503" s="83" t="n">
        <x:f>'Inputs'!$C$45</x:f>
        <x:v>0.5</x:v>
      </x:c>
      <x:c r="AN503" s="83" t="n">
        <x:f>'Inputs'!$D$45</x:f>
        <x:v>0.5</x:v>
      </x:c>
      <x:c r="AO503" s="81" t="n">
        <x:f>'Inputs'!$E$45</x:f>
        <x:v>-0.05</x:v>
      </x:c>
    </x:row>
    <x:row r="504">
      <x:c r="A504" s="59" t="str">
        <x:v>Weak demand</x:v>
      </x:c>
      <x:c r="B504" s="59" t="n">
        <x:v>136</x:v>
      </x:c>
      <x:c r="C504" s="78" t="n">
        <x:f>(('Inputs'!$B$29*(3*136*'Inputs'!$B$12-136^2)/(2*'Inputs'!$B$12^2))-('Inputs'!$B$29*(3*135*'Inputs'!$B$12-135^2)/(2*'Inputs'!$B$12^2)))*'Inputs'!$B$45</x:f>
        <x:v>500950.63567272574</x:v>
      </x:c>
      <x:c r="D504" s="78" t="n">
        <x:f>IF('Inputs'!$C$45&gt;0,('Inputs'!$B$30*(3*136*'Inputs'!$B$12-136^2)/(2*'Inputs'!$B$12^2))-('Inputs'!$B$30*(3*135*'Inputs'!$B$12-135^2)/(2*'Inputs'!$B$12^2)),0)</x:f>
        <x:v>286257.50609871</x:v>
      </x:c>
      <x:c r="E504" s="78" t="n">
        <x:f>C504+D504</x:f>
        <x:v>787208.1417714357</x:v>
      </x:c>
      <x:c r="F504" s="78" t="n">
        <x:f>'Inputs'!$B$13*E504+(1-'Inputs'!$B$13)/'Inputs'!$B$14*SUM(E449:E504)</x:f>
        <x:v>795637.7251829605</x:v>
      </x:c>
      <x:c r="G504" s="78" t="n">
        <x:f>F504*'Inputs'!$F$45</x:f>
        <x:v>556946.4076280723</x:v>
      </x:c>
      <x:c r="H504" s="78" t="n">
        <x:f>U503</x:f>
        <x:v>6977691034.6304655</x:v>
      </x:c>
      <x:c r="I504" s="78" t="n">
        <x:f>V503</x:f>
        <x:v>2.4048476770228273</x:v>
      </x:c>
      <x:c r="J504" s="79" t="n">
        <x:f>IF(H504&gt;0,I504/H504,0)</x:f>
        <x:v>3.4464805980767915e-10</x:v>
      </x:c>
      <x:c r="K504" s="80" t="n">
        <x:f>(H504*J504+I504)*'Inputs'!$D$45*(1+'Inputs'!$G$45)^(B504/30)</x:f>
        <x:v>2.4048476770228273</x:v>
      </x:c>
      <x:c r="L504" s="80" t="n">
        <x:f>MAX(0,K504*'Inputs'!$E$45)</x:f>
        <x:v>0</x:v>
      </x:c>
      <x:c r="M504" s="80" t="n">
        <x:f>MAX(0,-K504*'Inputs'!$E$45)</x:f>
        <x:v>0.12024238385114137</x:v>
      </x:c>
      <x:c r="N504" s="78" t="n">
        <x:f>H504*(L504*(1-'Inputs'!$B$15))/(I504+L504*(1-'Inputs'!$B$15))</x:f>
        <x:v>0</x:v>
      </x:c>
      <x:c r="O504" s="78" t="n">
        <x:f>H504-N504</x:f>
        <x:v>6977691034.6304655</x:v>
      </x:c>
      <x:c r="P504" s="78" t="n">
        <x:f>I504+L504*(1-'Inputs'!$B$17)</x:f>
        <x:v>2.4048476770228273</x:v>
      </x:c>
      <x:c r="Q504" s="78" t="n">
        <x:f>IF(J504&gt;0,M504/J504,0)</x:f>
        <x:v>348884551.7315233</x:v>
      </x:c>
      <x:c r="R504" s="78" t="n">
        <x:f>IF(B504='Inputs'!$H$45,'Inputs'!$B$27*'Inputs'!$I$45,0)</x:f>
        <x:v>0</x:v>
      </x:c>
      <x:c r="S504" s="78" t="n">
        <x:f>Q504+G504+R504</x:f>
        <x:v>349441498.13915133</x:v>
      </x:c>
      <x:c r="T504" s="78" t="n">
        <x:f>P504*(S504*(1-'Inputs'!$B$15))/(O504+S504*(1-'Inputs'!$B$15))</x:f>
        <x:v>0.11359791758198105</x:v>
      </x:c>
      <x:c r="U504" s="78" t="n">
        <x:f>O504+S504*(1-'Inputs'!$B$17)</x:f>
        <x:v>7325726329.557789</x:v>
      </x:c>
      <x:c r="V504" s="78" t="n">
        <x:f>P504-T504</x:f>
        <x:v>2.2912497594408463</x:v>
      </x:c>
      <x:c r="W504" s="79" t="n">
        <x:f>IF(U504&gt;0,V504/U504,0)</x:f>
        <x:v>3.1276758868211167e-10</x:v>
      </x:c>
      <x:c r="X504" s="80" t="n">
        <x:f>W504*('Inputs'!$B$6-AC504)</x:f>
        <x:v>0.2163992142765528</x:v>
      </x:c>
      <x:c r="Y504" s="80" t="n">
        <x:f>2*V504</x:f>
        <x:v>4.582499518881693</x:v>
      </x:c>
      <x:c r="Z504" s="80" t="n">
        <x:f>K504*'Inputs'!$B$16+(G504+R504)*J504*'Inputs'!$B$16</x:f>
        <x:v>0.0144302377651298</x:v>
      </x:c>
      <x:c r="AA504" s="80" t="n">
        <x:f>K504*(1+'Inputs'!$E$45)/2*'Inputs'!$B$17</x:f>
        <x:v>0.004596791334349469</x:v>
      </x:c>
      <x:c r="AB504" s="78" t="n">
        <x:f>(IF(J504&gt;0,K504*(1-'Inputs'!$E$45)/2/J504,0)+G504+R504)*'Inputs'!$B$17</x:f>
        <x:v>14743842.010416994</x:v>
      </x:c>
      <x:c r="AC504" s="78" t="n">
        <x:f>AC503+AB504</x:f>
        <x:v>308114964.2506756</x:v>
      </x:c>
      <x:c r="AD504" s="80" t="n">
        <x:f>Z504/(1+'Inputs'!$C$45)</x:f>
        <x:v>0.009620158510086534</x:v>
      </x:c>
      <x:c r="AE504" s="80" t="n">
        <x:f>Z504-AD504</x:f>
        <x:v>0.004810079255043266</x:v>
      </x:c>
      <x:c r="AF504" s="80" t="n">
        <x:f>D504*W504</x:f>
        <x:v>0.0000895320699246484</x:v>
      </x:c>
      <x:c r="AG504" s="80" t="n">
        <x:f>C504*W504</x:f>
        <x:v>0.00015668112236812945</x:v>
      </x:c>
      <x:c r="AH504" s="80" t="n">
        <x:f>2*'Inputs'!$B$8*'Inputs'!$C$45</x:f>
        <x:v>2500</x:v>
      </x:c>
      <x:c r="AI504" s="81" t="n">
        <x:f>IF(AH504&gt;0,(AE504+AF504)/AH504*365,0)</x:f>
        <x:v>0.0007153432534453154</x:v>
      </x:c>
      <x:c r="AJ504" s="81" t="n">
        <x:f>IF('Inputs'!$B$45&gt;0,AG504/('Inputs'!$B$19*'Inputs'!$B$45)*365,0)</x:f>
        <x:v>0.000007625147955248966</x:v>
      </x:c>
      <x:c r="AK504" s="81" t="n">
        <x:f>W504/MAX($W$369:W504)-1</x:f>
        <x:v>-0.9999995839930738</x:v>
      </x:c>
      <x:c r="AL504" s="83" t="n">
        <x:f>'Inputs'!$B$45</x:f>
        <x:v>0.75</x:v>
      </x:c>
      <x:c r="AM504" s="83" t="n">
        <x:f>'Inputs'!$C$45</x:f>
        <x:v>0.5</x:v>
      </x:c>
      <x:c r="AN504" s="83" t="n">
        <x:f>'Inputs'!$D$45</x:f>
        <x:v>0.5</x:v>
      </x:c>
      <x:c r="AO504" s="81" t="n">
        <x:f>'Inputs'!$E$45</x:f>
        <x:v>-0.05</x:v>
      </x:c>
    </x:row>
    <x:row r="505">
      <x:c r="A505" s="59" t="str">
        <x:v>Weak demand</x:v>
      </x:c>
      <x:c r="B505" s="59" t="n">
        <x:v>137</x:v>
      </x:c>
      <x:c r="C505" s="78" t="n">
        <x:f>(('Inputs'!$B$29*(3*137*'Inputs'!$B$12-137^2)/(2*'Inputs'!$B$12^2))-('Inputs'!$B$29*(3*136*'Inputs'!$B$12-136^2)/(2*'Inputs'!$B$12^2)))*'Inputs'!$B$45</x:f>
        <x:v>500706.80474760756</x:v>
      </x:c>
      <x:c r="D505" s="78" t="n">
        <x:f>IF('Inputs'!$C$45&gt;0,('Inputs'!$B$30*(3*137*'Inputs'!$B$12-137^2)/(2*'Inputs'!$B$12^2))-('Inputs'!$B$30*(3*136*'Inputs'!$B$12-136^2)/(2*'Inputs'!$B$12^2)),0)</x:f>
        <x:v>286118.17414148897</x:v>
      </x:c>
      <x:c r="E505" s="78" t="n">
        <x:f>C505+D505</x:f>
        <x:v>786824.9788890965</x:v>
      </x:c>
      <x:c r="F505" s="78" t="n">
        <x:f>'Inputs'!$B$13*E505+(1-'Inputs'!$B$13)/'Inputs'!$B$14*SUM(E450:E505)</x:f>
        <x:v>795254.562300619</x:v>
      </x:c>
      <x:c r="G505" s="78" t="n">
        <x:f>F505*'Inputs'!$F$45</x:f>
        <x:v>556678.1936104333</x:v>
      </x:c>
      <x:c r="H505" s="78" t="n">
        <x:f>U504</x:f>
        <x:v>7325726329.557789</x:v>
      </x:c>
      <x:c r="I505" s="78" t="n">
        <x:f>V504</x:f>
        <x:v>2.2912497594408463</x:v>
      </x:c>
      <x:c r="J505" s="79" t="n">
        <x:f>IF(H505&gt;0,I505/H505,0)</x:f>
        <x:v>3.1276758868211167e-10</x:v>
      </x:c>
      <x:c r="K505" s="80" t="n">
        <x:f>(H505*J505+I505)*'Inputs'!$D$45*(1+'Inputs'!$G$45)^(B505/30)</x:f>
        <x:v>2.2912497594408463</x:v>
      </x:c>
      <x:c r="L505" s="80" t="n">
        <x:f>MAX(0,K505*'Inputs'!$E$45)</x:f>
        <x:v>0</x:v>
      </x:c>
      <x:c r="M505" s="80" t="n">
        <x:f>MAX(0,-K505*'Inputs'!$E$45)</x:f>
        <x:v>0.11456248797204233</x:v>
      </x:c>
      <x:c r="N505" s="78" t="n">
        <x:f>H505*(L505*(1-'Inputs'!$B$15))/(I505+L505*(1-'Inputs'!$B$15))</x:f>
        <x:v>0</x:v>
      </x:c>
      <x:c r="O505" s="78" t="n">
        <x:f>H505-N505</x:f>
        <x:v>7325726329.557789</x:v>
      </x:c>
      <x:c r="P505" s="78" t="n">
        <x:f>I505+L505*(1-'Inputs'!$B$17)</x:f>
        <x:v>2.2912497594408463</x:v>
      </x:c>
      <x:c r="Q505" s="78" t="n">
        <x:f>IF(J505&gt;0,M505/J505,0)</x:f>
        <x:v>366286316.4778895</x:v>
      </x:c>
      <x:c r="R505" s="78" t="n">
        <x:f>IF(B505='Inputs'!$H$45,'Inputs'!$B$27*'Inputs'!$I$45,0)</x:f>
        <x:v>0</x:v>
      </x:c>
      <x:c r="S505" s="78" t="n">
        <x:f>Q505+G505+R505</x:f>
        <x:v>366842994.6714999</x:v>
      </x:c>
      <x:c r="T505" s="78" t="n">
        <x:f>P505*(S505*(1-'Inputs'!$B$15))/(O505+S505*(1-'Inputs'!$B$15))</x:f>
        <x:v>0.10822400307948568</x:v>
      </x:c>
      <x:c r="U505" s="78" t="n">
        <x:f>O505+S505*(1-'Inputs'!$B$17)</x:f>
        <x:v>7691093094.874474</x:v>
      </x:c>
      <x:c r="V505" s="78" t="n">
        <x:f>P505-T505</x:f>
        <x:v>2.1830257563613604</x:v>
      </x:c>
      <x:c r="W505" s="79" t="n">
        <x:f>IF(U505&gt;0,V505/U505,0)</x:f>
        <x:v>2.838381657109547e-10</x:v>
      </x:c>
      <x:c r="X505" s="80" t="n">
        <x:f>W505*('Inputs'!$B$6-AC505)</x:f>
        <x:v>0.1919898124820372</x:v>
      </x:c>
      <x:c r="Y505" s="80" t="n">
        <x:f>2*V505</x:f>
        <x:v>4.366051512722721</x:v>
      </x:c>
      <x:c r="Z505" s="80" t="n">
        <x:f>K505*'Inputs'!$B$16+(G505+R505)*J505*'Inputs'!$B$16</x:f>
        <x:v>0.013748543222022803</x:v>
      </x:c>
      <x:c r="AA505" s="80" t="n">
        <x:f>K505*(1+'Inputs'!$E$45)/2*'Inputs'!$B$17</x:f>
        <x:v>0.00437965245768371</x:v>
      </x:c>
      <x:c r="AB505" s="78" t="n">
        <x:f>(IF(J505&gt;0,K505*(1-'Inputs'!$E$45)/2/J505,0)+G505+R505)*'Inputs'!$B$17</x:f>
        <x:v>15479126.765438434</x:v>
      </x:c>
      <x:c r="AC505" s="78" t="n">
        <x:f>AC504+AB505</x:f>
        <x:v>323594091.01611406</x:v>
      </x:c>
      <x:c r="AD505" s="80" t="n">
        <x:f>Z505/(1+'Inputs'!$C$45)</x:f>
        <x:v>0.009165695481348535</x:v>
      </x:c>
      <x:c r="AE505" s="80" t="n">
        <x:f>Z505-AD505</x:f>
        <x:v>0.004582847740674268</x:v>
      </x:c>
      <x:c r="AF505" s="80" t="n">
        <x:f>D505*W505</x:f>
        <x:v>0.00008121125772488774</x:v>
      </x:c>
      <x:c r="AG505" s="80" t="n">
        <x:f>C505*W505</x:f>
        <x:v>0.0001421197010185541</x:v>
      </x:c>
      <x:c r="AH505" s="80" t="n">
        <x:f>2*'Inputs'!$B$8*'Inputs'!$C$45</x:f>
        <x:v>2500</x:v>
      </x:c>
      <x:c r="AI505" s="81" t="n">
        <x:f>IF(AH505&gt;0,(AE505+AF505)/AH505*365,0)</x:f>
        <x:v>0.0006809526137662767</x:v>
      </x:c>
      <x:c r="AJ505" s="81" t="n">
        <x:f>IF('Inputs'!$B$45&gt;0,AG505/('Inputs'!$B$19*'Inputs'!$B$45)*365,0)</x:f>
        <x:v>0.000006916492116236299</x:v>
      </x:c>
      <x:c r="AK505" s="81" t="n">
        <x:f>W505/MAX($W$369:W505)-1</x:f>
        <x:v>-0.9999996224716143</x:v>
      </x:c>
      <x:c r="AL505" s="83" t="n">
        <x:f>'Inputs'!$B$45</x:f>
        <x:v>0.75</x:v>
      </x:c>
      <x:c r="AM505" s="83" t="n">
        <x:f>'Inputs'!$C$45</x:f>
        <x:v>0.5</x:v>
      </x:c>
      <x:c r="AN505" s="83" t="n">
        <x:f>'Inputs'!$D$45</x:f>
        <x:v>0.5</x:v>
      </x:c>
      <x:c r="AO505" s="81" t="n">
        <x:f>'Inputs'!$E$45</x:f>
        <x:v>-0.05</x:v>
      </x:c>
    </x:row>
    <x:row r="506">
      <x:c r="A506" s="59" t="str">
        <x:v>Weak demand</x:v>
      </x:c>
      <x:c r="B506" s="59" t="n">
        <x:v>138</x:v>
      </x:c>
      <x:c r="C506" s="78" t="n">
        <x:f>(('Inputs'!$B$29*(3*138*'Inputs'!$B$12-138^2)/(2*'Inputs'!$B$12^2))-('Inputs'!$B$29*(3*137*'Inputs'!$B$12-137^2)/(2*'Inputs'!$B$12^2)))*'Inputs'!$B$45</x:f>
        <x:v>500462.9738224894</x:v>
      </x:c>
      <x:c r="D506" s="78" t="n">
        <x:f>IF('Inputs'!$C$45&gt;0,('Inputs'!$B$30*(3*138*'Inputs'!$B$12-138^2)/(2*'Inputs'!$B$12^2))-('Inputs'!$B$30*(3*137*'Inputs'!$B$12-137^2)/(2*'Inputs'!$B$12^2)),0)</x:f>
        <x:v>285978.8421842754</x:v>
      </x:c>
      <x:c r="E506" s="78" t="n">
        <x:f>C506+D506</x:f>
        <x:v>786441.8160067648</x:v>
      </x:c>
      <x:c r="F506" s="78" t="n">
        <x:f>'Inputs'!$B$13*E506+(1-'Inputs'!$B$13)/'Inputs'!$B$14*SUM(E451:E506)</x:f>
        <x:v>794871.3994182794</x:v>
      </x:c>
      <x:c r="G506" s="78" t="n">
        <x:f>F506*'Inputs'!$F$45</x:f>
        <x:v>556409.9795927956</x:v>
      </x:c>
      <x:c r="H506" s="78" t="n">
        <x:f>U505</x:f>
        <x:v>7691093094.874474</x:v>
      </x:c>
      <x:c r="I506" s="78" t="n">
        <x:f>V505</x:f>
        <x:v>2.1830257563613604</x:v>
      </x:c>
      <x:c r="J506" s="79" t="n">
        <x:f>IF(H506&gt;0,I506/H506,0)</x:f>
        <x:v>2.838381657109547e-10</x:v>
      </x:c>
      <x:c r="K506" s="80" t="n">
        <x:f>(H506*J506+I506)*'Inputs'!$D$45*(1+'Inputs'!$G$45)^(B506/30)</x:f>
        <x:v>2.1830257563613604</x:v>
      </x:c>
      <x:c r="L506" s="80" t="n">
        <x:f>MAX(0,K506*'Inputs'!$E$45)</x:f>
        <x:v>0</x:v>
      </x:c>
      <x:c r="M506" s="80" t="n">
        <x:f>MAX(0,-K506*'Inputs'!$E$45)</x:f>
        <x:v>0.10915128781806803</x:v>
      </x:c>
      <x:c r="N506" s="78" t="n">
        <x:f>H506*(L506*(1-'Inputs'!$B$15))/(I506+L506*(1-'Inputs'!$B$15))</x:f>
        <x:v>0</x:v>
      </x:c>
      <x:c r="O506" s="78" t="n">
        <x:f>H506-N506</x:f>
        <x:v>7691093094.874474</x:v>
      </x:c>
      <x:c r="P506" s="78" t="n">
        <x:f>I506+L506*(1-'Inputs'!$B$17)</x:f>
        <x:v>2.1830257563613604</x:v>
      </x:c>
      <x:c r="Q506" s="78" t="n">
        <x:f>IF(J506&gt;0,M506/J506,0)</x:f>
        <x:v>384554654.7437237</x:v>
      </x:c>
      <x:c r="R506" s="78" t="n">
        <x:f>IF(B506='Inputs'!$H$45,'Inputs'!$B$27*'Inputs'!$I$45,0)</x:f>
        <x:v>0</x:v>
      </x:c>
      <x:c r="S506" s="78" t="n">
        <x:f>Q506+G506+R506</x:f>
        <x:v>385111064.7233165</x:v>
      </x:c>
      <x:c r="T506" s="78" t="n">
        <x:f>P506*(S506*(1-'Inputs'!$B$15))/(O506+S506*(1-'Inputs'!$B$15))</x:f>
        <x:v>0.10310504193389337</x:v>
      </x:c>
      <x:c r="U506" s="78" t="n">
        <x:f>O506+S506*(1-'Inputs'!$B$17)</x:f>
        <x:v>8074654416.882606</x:v>
      </x:c>
      <x:c r="V506" s="78" t="n">
        <x:f>P506-T506</x:f>
        <x:v>2.079920714427467</x:v>
      </x:c>
      <x:c r="W506" s="79" t="n">
        <x:f>IF(U506&gt;0,V506/U506,0)</x:f>
        <x:v>2.5758634451014255e-10</x:v>
      </x:c>
      <x:c r="X506" s="80" t="n">
        <x:f>W506*('Inputs'!$B$6-AC506)</x:f>
        <x:v>0.17004688278271213</x:v>
      </x:c>
      <x:c r="Y506" s="80" t="n">
        <x:f>2*V506</x:f>
        <x:v>4.159841428854934</x:v>
      </x:c>
      <x:c r="Z506" s="80" t="n">
        <x:f>K506*'Inputs'!$B$16+(G506+R506)*J506*'Inputs'!$B$16</x:f>
        <x:v>0.01309910212049611</x:v>
      </x:c>
      <x:c r="AA506" s="80" t="n">
        <x:f>K506*(1+'Inputs'!$E$45)/2*'Inputs'!$B$17</x:f>
        <x:v>0.00417278565099254</x:v>
      </x:c>
      <x:c r="AB506" s="78" t="n">
        <x:f>(IF(J506&gt;0,K506*(1-'Inputs'!$E$45)/2/J506,0)+G506+R506)*'Inputs'!$B$17</x:f>
        <x:v>16251027.302972605</x:v>
      </x:c>
      <x:c r="AC506" s="78" t="n">
        <x:f>AC505+AB506</x:f>
        <x:v>339845118.3190867</x:v>
      </x:c>
      <x:c r="AD506" s="80" t="n">
        <x:f>Z506/(1+'Inputs'!$C$45)</x:f>
        <x:v>0.008732734746997406</x:v>
      </x:c>
      <x:c r="AE506" s="80" t="n">
        <x:f>Z506-AD506</x:f>
        <x:v>0.004366367373498704</x:v>
      </x:c>
      <x:c r="AF506" s="80" t="n">
        <x:f>D506*W506</x:f>
        <x:v>0.00007366424456549045</x:v>
      </x:c>
      <x:c r="AG506" s="80" t="n">
        <x:f>C506*W506</x:f>
        <x:v>0.0001289124279896102</x:v>
      </x:c>
      <x:c r="AH506" s="80" t="n">
        <x:f>2*'Inputs'!$B$8*'Inputs'!$C$45</x:f>
        <x:v>2500</x:v>
      </x:c>
      <x:c r="AI506" s="81" t="n">
        <x:f>IF(AH506&gt;0,(AE506+AF506)/AH506*365,0)</x:f>
        <x:v>0.0006482446162373723</x:v>
      </x:c>
      <x:c r="AJ506" s="81" t="n">
        <x:f>IF('Inputs'!$B$45&gt;0,AG506/('Inputs'!$B$19*'Inputs'!$B$45)*365,0)</x:f>
        <x:v>0.00000627373816216103</x:v>
      </x:c>
      <x:c r="AK506" s="81" t="n">
        <x:f>W506/MAX($W$369:W506)-1</x:f>
        <x:v>-0.9999996573887215</x:v>
      </x:c>
      <x:c r="AL506" s="83" t="n">
        <x:f>'Inputs'!$B$45</x:f>
        <x:v>0.75</x:v>
      </x:c>
      <x:c r="AM506" s="83" t="n">
        <x:f>'Inputs'!$C$45</x:f>
        <x:v>0.5</x:v>
      </x:c>
      <x:c r="AN506" s="83" t="n">
        <x:f>'Inputs'!$D$45</x:f>
        <x:v>0.5</x:v>
      </x:c>
      <x:c r="AO506" s="81" t="n">
        <x:f>'Inputs'!$E$45</x:f>
        <x:v>-0.05</x:v>
      </x:c>
    </x:row>
    <x:row r="507">
      <x:c r="A507" s="59" t="str">
        <x:v>Weak demand</x:v>
      </x:c>
      <x:c r="B507" s="59" t="n">
        <x:v>139</x:v>
      </x:c>
      <x:c r="C507" s="78" t="n">
        <x:f>(('Inputs'!$B$29*(3*139*'Inputs'!$B$12-139^2)/(2*'Inputs'!$B$12^2))-('Inputs'!$B$29*(3*138*'Inputs'!$B$12-138^2)/(2*'Inputs'!$B$12^2)))*'Inputs'!$B$45</x:f>
        <x:v>500219.14289734885</x:v>
      </x:c>
      <x:c r="D507" s="78" t="n">
        <x:f>IF('Inputs'!$C$45&gt;0,('Inputs'!$B$30*(3*139*'Inputs'!$B$12-139^2)/(2*'Inputs'!$B$12^2))-('Inputs'!$B$30*(3*138*'Inputs'!$B$12-138^2)/(2*'Inputs'!$B$12^2)),0)</x:f>
        <x:v>285839.51022705436</x:v>
      </x:c>
      <x:c r="E507" s="78" t="n">
        <x:f>C507+D507</x:f>
        <x:v>786058.6531244032</x:v>
      </x:c>
      <x:c r="F507" s="78" t="n">
        <x:f>'Inputs'!$B$13*E507+(1-'Inputs'!$B$13)/'Inputs'!$B$14*SUM(E452:E507)</x:f>
        <x:v>794488.2365359333</x:v>
      </x:c>
      <x:c r="G507" s="78" t="n">
        <x:f>F507*'Inputs'!$F$45</x:f>
        <x:v>556141.7655751533</x:v>
      </x:c>
      <x:c r="H507" s="78" t="n">
        <x:f>U506</x:f>
        <x:v>8074654416.882606</x:v>
      </x:c>
      <x:c r="I507" s="78" t="n">
        <x:f>V506</x:f>
        <x:v>2.079920714427467</x:v>
      </x:c>
      <x:c r="J507" s="79" t="n">
        <x:f>IF(H507&gt;0,I507/H507,0)</x:f>
        <x:v>2.5758634451014255e-10</x:v>
      </x:c>
      <x:c r="K507" s="80" t="n">
        <x:f>(H507*J507+I507)*'Inputs'!$D$45*(1+'Inputs'!$G$45)^(B507/30)</x:f>
        <x:v>2.079920714427467</x:v>
      </x:c>
      <x:c r="L507" s="80" t="n">
        <x:f>MAX(0,K507*'Inputs'!$E$45)</x:f>
        <x:v>0</x:v>
      </x:c>
      <x:c r="M507" s="80" t="n">
        <x:f>MAX(0,-K507*'Inputs'!$E$45)</x:f>
        <x:v>0.10399603572137335</x:v>
      </x:c>
      <x:c r="N507" s="78" t="n">
        <x:f>H507*(L507*(1-'Inputs'!$B$15))/(I507+L507*(1-'Inputs'!$B$15))</x:f>
        <x:v>0</x:v>
      </x:c>
      <x:c r="O507" s="78" t="n">
        <x:f>H507-N507</x:f>
        <x:v>8074654416.882606</x:v>
      </x:c>
      <x:c r="P507" s="78" t="n">
        <x:f>I507+L507*(1-'Inputs'!$B$17)</x:f>
        <x:v>2.079920714427467</x:v>
      </x:c>
      <x:c r="Q507" s="78" t="n">
        <x:f>IF(J507&gt;0,M507/J507,0)</x:f>
        <x:v>403732720.8441303</x:v>
      </x:c>
      <x:c r="R507" s="78" t="n">
        <x:f>IF(B507='Inputs'!$H$45,'Inputs'!$B$27*'Inputs'!$I$45,0)</x:f>
        <x:v>0</x:v>
      </x:c>
      <x:c r="S507" s="78" t="n">
        <x:f>Q507+G507+R507</x:f>
        <x:v>404288862.60970545</x:v>
      </x:c>
      <x:c r="T507" s="78" t="n">
        <x:f>P507*(S507*(1-'Inputs'!$B$15))/(O507+S507*(1-'Inputs'!$B$15))</x:f>
        <x:v>0.09822887040087286</x:v>
      </x:c>
      <x:c r="U507" s="78" t="n">
        <x:f>O507+S507*(1-'Inputs'!$B$17)</x:f>
        <x:v>8477316362.540159</x:v>
      </x:c>
      <x:c r="V507" s="78" t="n">
        <x:f>P507-T507</x:f>
        <x:v>1.981691844026594</x:v>
      </x:c>
      <x:c r="W507" s="79" t="n">
        <x:f>IF(U507&gt;0,V507/U507,0)</x:f>
        <x:v>2.337640544811278e-10</x:v>
      </x:c>
      <x:c r="X507" s="80" t="n">
        <x:f>W507*('Inputs'!$B$6-AC507)</x:f>
        <x:v>0.15033214739186</x:v>
      </x:c>
      <x:c r="Y507" s="80" t="n">
        <x:f>2*V507</x:f>
        <x:v>3.963383688053188</x:v>
      </x:c>
      <x:c r="Z507" s="80" t="n">
        <x:f>K507*'Inputs'!$B$16+(G507+R507)*J507*'Inputs'!$B$16</x:f>
        <x:v>0.012480383813711346</x:v>
      </x:c>
      <x:c r="AA507" s="80" t="n">
        <x:f>K507*(1+'Inputs'!$E$45)/2*'Inputs'!$B$17</x:f>
        <x:v>0.003975703578885501</x:v>
      </x:c>
      <x:c r="AB507" s="78" t="n">
        <x:f>(IF(J507&gt;0,K507*(1-'Inputs'!$E$45)/2/J507,0)+G507+R507)*'Inputs'!$B$17</x:f>
        <x:v>17061367.04478448</x:v>
      </x:c>
      <x:c r="AC507" s="78" t="n">
        <x:f>AC506+AB507</x:f>
        <x:v>356906485.36387116</x:v>
      </x:c>
      <x:c r="AD507" s="80" t="n">
        <x:f>Z507/(1+'Inputs'!$C$45)</x:f>
        <x:v>0.008320255875807564</x:v>
      </x:c>
      <x:c r="AE507" s="80" t="n">
        <x:f>Z507-AD507</x:f>
        <x:v>0.004160127937903782</x:v>
      </x:c>
      <x:c r="AF507" s="80" t="n">
        <x:f>D507*W507</x:f>
        <x:v>0.00006681900284157603</x:v>
      </x:c>
      <x:c r="AG507" s="80" t="n">
        <x:f>C507*W507</x:f>
        <x:v>0.0001169332549727589</x:v>
      </x:c>
      <x:c r="AH507" s="80" t="n">
        <x:f>2*'Inputs'!$B$8*'Inputs'!$C$45</x:f>
        <x:v>2500</x:v>
      </x:c>
      <x:c r="AI507" s="81" t="n">
        <x:f>IF(AH507&gt;0,(AE507+AF507)/AH507*365,0)</x:f>
        <x:v>0.0006171342533488223</x:v>
      </x:c>
      <x:c r="AJ507" s="81" t="n">
        <x:f>IF('Inputs'!$B$45&gt;0,AG507/('Inputs'!$B$19*'Inputs'!$B$45)*365,0)</x:f>
        <x:v>0.0000056907517420076</x:v>
      </x:c>
      <x:c r="AK507" s="81" t="n">
        <x:f>W507/MAX($W$369:W507)-1</x:f>
        <x:v>-0.9999996890743501</x:v>
      </x:c>
      <x:c r="AL507" s="83" t="n">
        <x:f>'Inputs'!$B$45</x:f>
        <x:v>0.75</x:v>
      </x:c>
      <x:c r="AM507" s="83" t="n">
        <x:f>'Inputs'!$C$45</x:f>
        <x:v>0.5</x:v>
      </x:c>
      <x:c r="AN507" s="83" t="n">
        <x:f>'Inputs'!$D$45</x:f>
        <x:v>0.5</x:v>
      </x:c>
      <x:c r="AO507" s="81" t="n">
        <x:f>'Inputs'!$E$45</x:f>
        <x:v>-0.05</x:v>
      </x:c>
    </x:row>
    <x:row r="508">
      <x:c r="A508" s="59" t="str">
        <x:v>Weak demand</x:v>
      </x:c>
      <x:c r="B508" s="59" t="n">
        <x:v>140</x:v>
      </x:c>
      <x:c r="C508" s="78" t="n">
        <x:f>(('Inputs'!$B$29*(3*140*'Inputs'!$B$12-140^2)/(2*'Inputs'!$B$12^2))-('Inputs'!$B$29*(3*139*'Inputs'!$B$12-139^2)/(2*'Inputs'!$B$12^2)))*'Inputs'!$B$45</x:f>
        <x:v>499975.3119722307</x:v>
      </x:c>
      <x:c r="D508" s="78" t="n">
        <x:f>IF('Inputs'!$C$45&gt;0,('Inputs'!$B$30*(3*140*'Inputs'!$B$12-140^2)/(2*'Inputs'!$B$12^2))-('Inputs'!$B$30*(3*139*'Inputs'!$B$12-139^2)/(2*'Inputs'!$B$12^2)),0)</x:f>
        <x:v>285700.1782698482</x:v>
      </x:c>
      <x:c r="E508" s="78" t="n">
        <x:f>C508+D508</x:f>
        <x:v>785675.4902420789</x:v>
      </x:c>
      <x:c r="F508" s="78" t="n">
        <x:f>'Inputs'!$B$13*E508+(1-'Inputs'!$B$13)/'Inputs'!$B$14*SUM(E453:E508)</x:f>
        <x:v>794105.0736535953</x:v>
      </x:c>
      <x:c r="G508" s="78" t="n">
        <x:f>F508*'Inputs'!$F$45</x:f>
        <x:v>555873.5515575167</x:v>
      </x:c>
      <x:c r="H508" s="78" t="n">
        <x:f>U507</x:f>
        <x:v>8477316362.540159</x:v>
      </x:c>
      <x:c r="I508" s="78" t="n">
        <x:f>V507</x:f>
        <x:v>1.981691844026594</x:v>
      </x:c>
      <x:c r="J508" s="79" t="n">
        <x:f>IF(H508&gt;0,I508/H508,0)</x:f>
        <x:v>2.337640544811278e-10</x:v>
      </x:c>
      <x:c r="K508" s="80" t="n">
        <x:f>(H508*J508+I508)*'Inputs'!$D$45*(1+'Inputs'!$G$45)^(B508/30)</x:f>
        <x:v>1.981691844026594</x:v>
      </x:c>
      <x:c r="L508" s="80" t="n">
        <x:f>MAX(0,K508*'Inputs'!$E$45)</x:f>
        <x:v>0</x:v>
      </x:c>
      <x:c r="M508" s="80" t="n">
        <x:f>MAX(0,-K508*'Inputs'!$E$45)</x:f>
        <x:v>0.0990845922013297</x:v>
      </x:c>
      <x:c r="N508" s="78" t="n">
        <x:f>H508*(L508*(1-'Inputs'!$B$15))/(I508+L508*(1-'Inputs'!$B$15))</x:f>
        <x:v>0</x:v>
      </x:c>
      <x:c r="O508" s="78" t="n">
        <x:f>H508-N508</x:f>
        <x:v>8477316362.540159</x:v>
      </x:c>
      <x:c r="P508" s="78" t="n">
        <x:f>I508+L508*(1-'Inputs'!$B$17)</x:f>
        <x:v>1.981691844026594</x:v>
      </x:c>
      <x:c r="Q508" s="78" t="n">
        <x:f>IF(J508&gt;0,M508/J508,0)</x:f>
        <x:v>423865818.12700796</x:v>
      </x:c>
      <x:c r="R508" s="78" t="n">
        <x:f>IF(B508='Inputs'!$H$45,'Inputs'!$B$27*'Inputs'!$I$45,0)</x:f>
        <x:v>0</x:v>
      </x:c>
      <x:c r="S508" s="78" t="n">
        <x:f>Q508+G508+R508</x:f>
        <x:v>424421691.6785655</x:v>
      </x:c>
      <x:c r="T508" s="78" t="n">
        <x:f>P508*(S508*(1-'Inputs'!$B$15))/(O508+S508*(1-'Inputs'!$B$15))</x:f>
        <x:v>0.09358391138055615</x:v>
      </x:c>
      <x:c r="U508" s="78" t="n">
        <x:f>O508+S508*(1-'Inputs'!$B$17)</x:f>
        <x:v>8900030119.845772</x:v>
      </x:c>
      <x:c r="V508" s="78" t="n">
        <x:f>P508-T508</x:f>
        <x:v>1.888107932646038</x:v>
      </x:c>
      <x:c r="W508" s="79" t="n">
        <x:f>IF(U508&gt;0,V508/U508,0)</x:f>
        <x:v>2.1214624076786348e-10</x:v>
      </x:c>
      <x:c r="X508" s="80" t="n">
        <x:f>W508*('Inputs'!$B$6-AC508)</x:f>
        <x:v>0.13262989535283717</x:v>
      </x:c>
      <x:c r="Y508" s="80" t="n">
        <x:f>2*V508</x:f>
        <x:v>3.776215865292076</x:v>
      </x:c>
      <x:c r="Z508" s="80" t="n">
        <x:f>K508*'Inputs'!$B$16+(G508+R508)*J508*'Inputs'!$B$16</x:f>
        <x:v>0.01189093072369071</x:v>
      </x:c>
      <x:c r="AA508" s="80" t="n">
        <x:f>K508*(1+'Inputs'!$E$45)/2*'Inputs'!$B$17</x:f>
        <x:v>0.0037879421565900693</x:v>
      </x:c>
      <x:c r="AB508" s="78" t="n">
        <x:f>(IF(J508&gt;0,K508*(1-'Inputs'!$E$45)/2/J508,0)+G508+R508)*'Inputs'!$B$17</x:f>
        <x:v>17912060.216841616</x:v>
      </x:c>
      <x:c r="AC508" s="78" t="n">
        <x:f>AC507+AB508</x:f>
        <x:v>374818545.5807128</x:v>
      </x:c>
      <x:c r="AD508" s="80" t="n">
        <x:f>Z508/(1+'Inputs'!$C$45)</x:f>
        <x:v>0.007927287149127141</x:v>
      </x:c>
      <x:c r="AE508" s="80" t="n">
        <x:f>Z508-AD508</x:f>
        <x:v>0.00396364357456357</x:v>
      </x:c>
      <x:c r="AF508" s="80" t="n">
        <x:f>D508*W508</x:f>
        <x:v>0.00006061021880665674</x:v>
      </x:c>
      <x:c r="AG508" s="80" t="n">
        <x:f>C508*W508</x:f>
        <x:v>0.00010606788291164851</x:v>
      </x:c>
      <x:c r="AH508" s="80" t="n">
        <x:f>2*'Inputs'!$B$8*'Inputs'!$C$45</x:f>
        <x:v>2500</x:v>
      </x:c>
      <x:c r="AI508" s="81" t="n">
        <x:f>IF(AH508&gt;0,(AE508+AF508)/AH508*365,0)</x:f>
        <x:v>0.0005875410538320531</x:v>
      </x:c>
      <x:c r="AJ508" s="81" t="n">
        <x:f>IF('Inputs'!$B$45&gt;0,AG508/('Inputs'!$B$19*'Inputs'!$B$45)*365,0)</x:f>
        <x:v>0.000005161970301700227</x:v>
      </x:c>
      <x:c r="AK508" s="81" t="n">
        <x:f>W508/MAX($W$369:W508)-1</x:f>
        <x:v>-0.9999997178278418</x:v>
      </x:c>
      <x:c r="AL508" s="83" t="n">
        <x:f>'Inputs'!$B$45</x:f>
        <x:v>0.75</x:v>
      </x:c>
      <x:c r="AM508" s="83" t="n">
        <x:f>'Inputs'!$C$45</x:f>
        <x:v>0.5</x:v>
      </x:c>
      <x:c r="AN508" s="83" t="n">
        <x:f>'Inputs'!$D$45</x:f>
        <x:v>0.5</x:v>
      </x:c>
      <x:c r="AO508" s="81" t="n">
        <x:f>'Inputs'!$E$45</x:f>
        <x:v>-0.05</x:v>
      </x:c>
    </x:row>
    <x:row r="509">
      <x:c r="A509" s="59" t="str">
        <x:v>Weak demand</x:v>
      </x:c>
      <x:c r="B509" s="59" t="n">
        <x:v>141</x:v>
      </x:c>
      <x:c r="C509" s="78" t="n">
        <x:f>(('Inputs'!$B$29*(3*141*'Inputs'!$B$12-141^2)/(2*'Inputs'!$B$12^2))-('Inputs'!$B$29*(3*140*'Inputs'!$B$12-140^2)/(2*'Inputs'!$B$12^2)))*'Inputs'!$B$45</x:f>
        <x:v>499731.4810471013</x:v>
      </x:c>
      <x:c r="D509" s="78" t="n">
        <x:f>IF('Inputs'!$C$45&gt;0,('Inputs'!$B$30*(3*141*'Inputs'!$B$12-141^2)/(2*'Inputs'!$B$12^2))-('Inputs'!$B$30*(3*140*'Inputs'!$B$12-140^2)/(2*'Inputs'!$B$12^2)),0)</x:f>
        <x:v>285560.8463126272</x:v>
      </x:c>
      <x:c r="E509" s="78" t="n">
        <x:f>C509+D509</x:f>
        <x:v>785292.3273597285</x:v>
      </x:c>
      <x:c r="F509" s="78" t="n">
        <x:f>'Inputs'!$B$13*E509+(1-'Inputs'!$B$13)/'Inputs'!$B$14*SUM(E454:E509)</x:f>
        <x:v>793721.9107712515</x:v>
      </x:c>
      <x:c r="G509" s="78" t="n">
        <x:f>F509*'Inputs'!$F$45</x:f>
        <x:v>555605.337539876</x:v>
      </x:c>
      <x:c r="H509" s="78" t="n">
        <x:f>U508</x:f>
        <x:v>8900030119.845772</x:v>
      </x:c>
      <x:c r="I509" s="78" t="n">
        <x:f>V508</x:f>
        <x:v>1.888107932646038</x:v>
      </x:c>
      <x:c r="J509" s="79" t="n">
        <x:f>IF(H509&gt;0,I509/H509,0)</x:f>
        <x:v>2.1214624076786348e-10</x:v>
      </x:c>
      <x:c r="K509" s="80" t="n">
        <x:f>(H509*J509+I509)*'Inputs'!$D$45*(1+'Inputs'!$G$45)^(B509/30)</x:f>
        <x:v>1.888107932646038</x:v>
      </x:c>
      <x:c r="L509" s="80" t="n">
        <x:f>MAX(0,K509*'Inputs'!$E$45)</x:f>
        <x:v>0</x:v>
      </x:c>
      <x:c r="M509" s="80" t="n">
        <x:f>MAX(0,-K509*'Inputs'!$E$45)</x:f>
        <x:v>0.09440539663230191</x:v>
      </x:c>
      <x:c r="N509" s="78" t="n">
        <x:f>H509*(L509*(1-'Inputs'!$B$15))/(I509+L509*(1-'Inputs'!$B$15))</x:f>
        <x:v>0</x:v>
      </x:c>
      <x:c r="O509" s="78" t="n">
        <x:f>H509-N509</x:f>
        <x:v>8900030119.845772</x:v>
      </x:c>
      <x:c r="P509" s="78" t="n">
        <x:f>I509+L509*(1-'Inputs'!$B$17)</x:f>
        <x:v>1.888107932646038</x:v>
      </x:c>
      <x:c r="Q509" s="78" t="n">
        <x:f>IF(J509&gt;0,M509/J509,0)</x:f>
        <x:v>445001505.99228865</x:v>
      </x:c>
      <x:c r="R509" s="78" t="n">
        <x:f>IF(B509='Inputs'!$H$45,'Inputs'!$B$27*'Inputs'!$I$45,0)</x:f>
        <x:v>0</x:v>
      </x:c>
      <x:c r="S509" s="78" t="n">
        <x:f>Q509+G509+R509</x:f>
        <x:v>445557111.3298285</x:v>
      </x:c>
      <x:c r="T509" s="78" t="n">
        <x:f>P509*(S509*(1-'Inputs'!$B$15))/(O509+S509*(1-'Inputs'!$B$15))</x:f>
        <x:v>0.08915914553972373</x:v>
      </x:c>
      <x:c r="U509" s="78" t="n">
        <x:f>O509+S509*(1-'Inputs'!$B$17)</x:f>
        <x:v>9343794244.8121</x:v>
      </x:c>
      <x:c r="V509" s="78" t="n">
        <x:f>P509-T509</x:f>
        <x:v>1.7989487871063141</x:v>
      </x:c>
      <x:c r="W509" s="79" t="n">
        <x:f>IF(U509&gt;0,V509/U509,0)</x:f>
        <x:v>1.925287244103362e-10</x:v>
      </x:c>
      <x:c r="X509" s="80" t="n">
        <x:f>W509*('Inputs'!$B$6-AC509)</x:f>
        <x:v>0.1167448628769987</x:v>
      </x:c>
      <x:c r="Y509" s="80" t="n">
        <x:f>2*V509</x:f>
        <x:v>3.5978975742126282</x:v>
      </x:c>
      <x:c r="Z509" s="80" t="n">
        <x:f>K509*'Inputs'!$B$16+(G509+R509)*J509*'Inputs'!$B$16</x:f>
        <x:v>0.011329354813378486</x:v>
      </x:c>
      <x:c r="AA509" s="80" t="n">
        <x:f>K509*(1+'Inputs'!$E$45)/2*'Inputs'!$B$17</x:f>
        <x:v>0.003609059428599067</x:v>
      </x:c>
      <x:c r="AB509" s="78" t="n">
        <x:f>(IF(J509&gt;0,K509*(1-'Inputs'!$E$45)/2/J509,0)+G509+R509)*'Inputs'!$B$17</x:f>
        <x:v>18805116.371253803</x:v>
      </x:c>
      <x:c r="AC509" s="78" t="n">
        <x:f>AC508+AB509</x:f>
        <x:v>393623661.9519666</x:v>
      </x:c>
      <x:c r="AD509" s="80" t="n">
        <x:f>Z509/(1+'Inputs'!$C$45)</x:f>
        <x:v>0.00755290320891899</x:v>
      </x:c>
      <x:c r="AE509" s="80" t="n">
        <x:f>Z509-AD509</x:f>
        <x:v>0.0037764516044594956</x:v>
      </x:c>
      <x:c r="AF509" s="80" t="n">
        <x:f>D509*W509</x:f>
        <x:v>0.00005497866548210617</x:v>
      </x:c>
      <x:c r="AG509" s="80" t="n">
        <x:f>C509*W509</x:f>
        <x:v>0.00009621266459368651</x:v>
      </x:c>
      <x:c r="AH509" s="80" t="n">
        <x:f>2*'Inputs'!$B$8*'Inputs'!$C$45</x:f>
        <x:v>2500</x:v>
      </x:c>
      <x:c r="AI509" s="81" t="n">
        <x:f>IF(AH509&gt;0,(AE509+AF509)/AH509*365,0)</x:f>
        <x:v>0.0005593888194114739</x:v>
      </x:c>
      <x:c r="AJ509" s="81" t="n">
        <x:f>IF('Inputs'!$B$45&gt;0,AG509/('Inputs'!$B$19*'Inputs'!$B$45)*365,0)</x:f>
        <x:v>0.000004682349676892743</x:v>
      </x:c>
      <x:c r="AK509" s="81" t="n">
        <x:f>W509/MAX($W$369:W509)-1</x:f>
        <x:v>-0.9999997439207714</x:v>
      </x:c>
      <x:c r="AL509" s="83" t="n">
        <x:f>'Inputs'!$B$45</x:f>
        <x:v>0.75</x:v>
      </x:c>
      <x:c r="AM509" s="83" t="n">
        <x:f>'Inputs'!$C$45</x:f>
        <x:v>0.5</x:v>
      </x:c>
      <x:c r="AN509" s="83" t="n">
        <x:f>'Inputs'!$D$45</x:f>
        <x:v>0.5</x:v>
      </x:c>
      <x:c r="AO509" s="81" t="n">
        <x:f>'Inputs'!$E$45</x:f>
        <x:v>-0.05</x:v>
      </x:c>
    </x:row>
    <x:row r="510">
      <x:c r="A510" s="59" t="str">
        <x:v>Weak demand</x:v>
      </x:c>
      <x:c r="B510" s="59" t="n">
        <x:v>142</x:v>
      </x:c>
      <x:c r="C510" s="78" t="n">
        <x:f>(('Inputs'!$B$29*(3*142*'Inputs'!$B$12-142^2)/(2*'Inputs'!$B$12^2))-('Inputs'!$B$29*(3*141*'Inputs'!$B$12-141^2)/(2*'Inputs'!$B$12^2)))*'Inputs'!$B$45</x:f>
        <x:v>499487.65012197196</x:v>
      </x:c>
      <x:c r="D510" s="78" t="n">
        <x:f>IF('Inputs'!$C$45&gt;0,('Inputs'!$B$30*(3*142*'Inputs'!$B$12-142^2)/(2*'Inputs'!$B$12^2))-('Inputs'!$B$30*(3*141*'Inputs'!$B$12-141^2)/(2*'Inputs'!$B$12^2)),0)</x:f>
        <x:v>285421.5143554136</x:v>
      </x:c>
      <x:c r="E510" s="78" t="n">
        <x:f>C510+D510</x:f>
        <x:v>784909.1644773856</x:v>
      </x:c>
      <x:c r="F510" s="78" t="n">
        <x:f>'Inputs'!$B$13*E510+(1-'Inputs'!$B$13)/'Inputs'!$B$14*SUM(E455:E510)</x:f>
        <x:v>793338.7478889094</x:v>
      </x:c>
      <x:c r="G510" s="78" t="n">
        <x:f>F510*'Inputs'!$F$45</x:f>
        <x:v>555337.1235222366</x:v>
      </x:c>
      <x:c r="H510" s="78" t="n">
        <x:f>U509</x:f>
        <x:v>9343794244.8121</x:v>
      </x:c>
      <x:c r="I510" s="78" t="n">
        <x:f>V509</x:f>
        <x:v>1.7989487871063141</x:v>
      </x:c>
      <x:c r="J510" s="79" t="n">
        <x:f>IF(H510&gt;0,I510/H510,0)</x:f>
        <x:v>1.925287244103362e-10</x:v>
      </x:c>
      <x:c r="K510" s="80" t="n">
        <x:f>(H510*J510+I510)*'Inputs'!$D$45*(1+'Inputs'!$G$45)^(B510/30)</x:f>
        <x:v>1.7989487871063141</x:v>
      </x:c>
      <x:c r="L510" s="80" t="n">
        <x:f>MAX(0,K510*'Inputs'!$E$45)</x:f>
        <x:v>0</x:v>
      </x:c>
      <x:c r="M510" s="80" t="n">
        <x:f>MAX(0,-K510*'Inputs'!$E$45)</x:f>
        <x:v>0.08994743935531571</x:v>
      </x:c>
      <x:c r="N510" s="78" t="n">
        <x:f>H510*(L510*(1-'Inputs'!$B$15))/(I510+L510*(1-'Inputs'!$B$15))</x:f>
        <x:v>0</x:v>
      </x:c>
      <x:c r="O510" s="78" t="n">
        <x:f>H510-N510</x:f>
        <x:v>9343794244.8121</x:v>
      </x:c>
      <x:c r="P510" s="78" t="n">
        <x:f>I510+L510*(1-'Inputs'!$B$17)</x:f>
        <x:v>1.7989487871063141</x:v>
      </x:c>
      <x:c r="Q510" s="78" t="n">
        <x:f>IF(J510&gt;0,M510/J510,0)</x:f>
        <x:v>467189712.240605</x:v>
      </x:c>
      <x:c r="R510" s="78" t="n">
        <x:f>IF(B510='Inputs'!$H$45,'Inputs'!$B$27*'Inputs'!$I$45,0)</x:f>
        <x:v>0</x:v>
      </x:c>
      <x:c r="S510" s="78" t="n">
        <x:f>Q510+G510+R510</x:f>
        <x:v>467745049.3641272</x:v>
      </x:c>
      <x:c r="T510" s="78" t="n">
        <x:f>P510*(S510*(1-'Inputs'!$B$15))/(O510+S510*(1-'Inputs'!$B$15))</x:f>
        <x:v>0.08494408390926002</x:v>
      </x:c>
      <x:c r="U510" s="78" t="n">
        <x:f>O510+S510*(1-'Inputs'!$B$17)</x:f>
        <x:v>9809657020.335728</x:v>
      </x:c>
      <x:c r="V510" s="78" t="n">
        <x:f>P510-T510</x:f>
        <x:v>1.714004703197054</x:v>
      </x:c>
      <x:c r="W510" s="79" t="n">
        <x:f>IF(U510&gt;0,V510/U510,0)</x:f>
        <x:v>1.747262620542052e-10</x:v>
      </x:c>
      <x:c r="X510" s="80" t="n">
        <x:f>W510*('Inputs'!$B$6-AC510)</x:f>
        <x:v>0.1025003123580284</x:v>
      </x:c>
      <x:c r="Y510" s="80" t="n">
        <x:f>2*V510</x:f>
        <x:v>3.428009406394108</x:v>
      </x:c>
      <x:c r="Z510" s="80" t="n">
        <x:f>K510*'Inputs'!$B$16+(G510+R510)*J510*'Inputs'!$B$16</x:f>
        <x:v>0.01079433423272594</x:v>
      </x:c>
      <x:c r="AA510" s="80" t="n">
        <x:f>K510*(1+'Inputs'!$E$45)/2*'Inputs'!$B$17</x:f>
        <x:v>0.0034386345025171</x:v>
      </x:c>
      <x:c r="AB510" s="78" t="n">
        <x:f>(IF(J510&gt;0,K510*(1-'Inputs'!$E$45)/2/J510,0)+G510+R510)*'Inputs'!$B$17</x:f>
        <x:v>19742645.133399896</x:v>
      </x:c>
      <x:c r="AC510" s="78" t="n">
        <x:f>AC509+AB510</x:f>
        <x:v>413366307.0853665</x:v>
      </x:c>
      <x:c r="AD510" s="80" t="n">
        <x:f>Z510/(1+'Inputs'!$C$45)</x:f>
        <x:v>0.007196222821817293</x:v>
      </x:c>
      <x:c r="AE510" s="80" t="n">
        <x:f>Z510-AD510</x:f>
        <x:v>0.0035981114109086467</x:v>
      </x:c>
      <x:c r="AF510" s="80" t="n">
        <x:f>D510*W510</x:f>
        <x:v>0.00004987063431317209</x:v>
      </x:c>
      <x:c r="AG510" s="80" t="n">
        <x:f>C510*W510</x:f>
        <x:v>0.00008727361004805083</x:v>
      </x:c>
      <x:c r="AH510" s="80" t="n">
        <x:f>2*'Inputs'!$B$8*'Inputs'!$C$45</x:f>
        <x:v>2500</x:v>
      </x:c>
      <x:c r="AI510" s="81" t="n">
        <x:f>IF(AH510&gt;0,(AE510+AF510)/AH510*365,0)</x:f>
        <x:v>0.0005326053786023856</x:v>
      </x:c>
      <x:c r="AJ510" s="81" t="n">
        <x:f>IF('Inputs'!$B$45&gt;0,AG510/('Inputs'!$B$19*'Inputs'!$B$45)*365,0)</x:f>
        <x:v>0.00000424731568900514</x:v>
      </x:c>
      <x:c r="AK510" s="81" t="n">
        <x:f>W510/MAX($W$369:W510)-1</x:f>
        <x:v>-0.9999997675995281</x:v>
      </x:c>
      <x:c r="AL510" s="83" t="n">
        <x:f>'Inputs'!$B$45</x:f>
        <x:v>0.75</x:v>
      </x:c>
      <x:c r="AM510" s="83" t="n">
        <x:f>'Inputs'!$C$45</x:f>
        <x:v>0.5</x:v>
      </x:c>
      <x:c r="AN510" s="83" t="n">
        <x:f>'Inputs'!$D$45</x:f>
        <x:v>0.5</x:v>
      </x:c>
      <x:c r="AO510" s="81" t="n">
        <x:f>'Inputs'!$E$45</x:f>
        <x:v>-0.05</x:v>
      </x:c>
    </x:row>
    <x:row r="511">
      <x:c r="A511" s="59" t="str">
        <x:v>Weak demand</x:v>
      </x:c>
      <x:c r="B511" s="59" t="n">
        <x:v>143</x:v>
      </x:c>
      <x:c r="C511" s="78" t="n">
        <x:f>(('Inputs'!$B$29*(3*143*'Inputs'!$B$12-143^2)/(2*'Inputs'!$B$12^2))-('Inputs'!$B$29*(3*142*'Inputs'!$B$12-142^2)/(2*'Inputs'!$B$12^2)))*'Inputs'!$B$45</x:f>
        <x:v>499243.8191968426</x:v>
      </x:c>
      <x:c r="D511" s="78" t="n">
        <x:f>IF('Inputs'!$C$45&gt;0,('Inputs'!$B$30*(3*143*'Inputs'!$B$12-143^2)/(2*'Inputs'!$B$12^2))-('Inputs'!$B$30*(3*142*'Inputs'!$B$12-142^2)/(2*'Inputs'!$B$12^2)),0)</x:f>
        <x:v>285282.18239820004</x:v>
      </x:c>
      <x:c r="E511" s="78" t="n">
        <x:f>C511+D511</x:f>
        <x:v>784526.0015950426</x:v>
      </x:c>
      <x:c r="F511" s="78" t="n">
        <x:f>'Inputs'!$B$13*E511+(1-'Inputs'!$B$13)/'Inputs'!$B$14*SUM(E456:E511)</x:f>
        <x:v>792955.5850065672</x:v>
      </x:c>
      <x:c r="G511" s="78" t="n">
        <x:f>F511*'Inputs'!$F$45</x:f>
        <x:v>555068.909504597</x:v>
      </x:c>
      <x:c r="H511" s="78" t="n">
        <x:f>U510</x:f>
        <x:v>9809657020.335728</x:v>
      </x:c>
      <x:c r="I511" s="78" t="n">
        <x:f>V510</x:f>
        <x:v>1.714004703197054</x:v>
      </x:c>
      <x:c r="J511" s="79" t="n">
        <x:f>IF(H511&gt;0,I511/H511,0)</x:f>
        <x:v>1.747262620542052e-10</x:v>
      </x:c>
      <x:c r="K511" s="80" t="n">
        <x:f>(H511*J511+I511)*'Inputs'!$D$45*(1+'Inputs'!$G$45)^(B511/30)</x:f>
        <x:v>1.714004703197054</x:v>
      </x:c>
      <x:c r="L511" s="80" t="n">
        <x:f>MAX(0,K511*'Inputs'!$E$45)</x:f>
        <x:v>0</x:v>
      </x:c>
      <x:c r="M511" s="80" t="n">
        <x:f>MAX(0,-K511*'Inputs'!$E$45)</x:f>
        <x:v>0.0857002351598527</x:v>
      </x:c>
      <x:c r="N511" s="78" t="n">
        <x:f>H511*(L511*(1-'Inputs'!$B$15))/(I511+L511*(1-'Inputs'!$B$15))</x:f>
        <x:v>0</x:v>
      </x:c>
      <x:c r="O511" s="78" t="n">
        <x:f>H511-N511</x:f>
        <x:v>9809657020.335728</x:v>
      </x:c>
      <x:c r="P511" s="78" t="n">
        <x:f>I511+L511*(1-'Inputs'!$B$17)</x:f>
        <x:v>1.714004703197054</x:v>
      </x:c>
      <x:c r="Q511" s="78" t="n">
        <x:f>IF(J511&gt;0,M511/J511,0)</x:f>
        <x:v>490482851.01678634</x:v>
      </x:c>
      <x:c r="R511" s="78" t="n">
        <x:f>IF(B511='Inputs'!$H$45,'Inputs'!$B$27*'Inputs'!$I$45,0)</x:f>
        <x:v>0</x:v>
      </x:c>
      <x:c r="S511" s="78" t="n">
        <x:f>Q511+G511+R511</x:f>
        <x:v>491037919.9262909</x:v>
      </x:c>
      <x:c r="T511" s="78" t="n">
        <x:f>P511*(S511*(1-'Inputs'!$B$15))/(O511+S511*(1-'Inputs'!$B$15))</x:f>
        <x:v>0.08092874187664004</x:v>
      </x:c>
      <x:c r="U511" s="78" t="n">
        <x:f>O511+S511*(1-'Inputs'!$B$17)</x:f>
        <x:v>10298718932.535957</x:v>
      </x:c>
      <x:c r="V511" s="78" t="n">
        <x:f>P511-T511</x:f>
        <x:v>1.633075961320414</x:v>
      </x:c>
      <x:c r="W511" s="79" t="n">
        <x:f>IF(U511&gt;0,V511/U511,0)</x:f>
        <x:v>1.5857078652386189e-10</x:v>
      </x:c>
      <x:c r="X511" s="80" t="n">
        <x:f>W511*('Inputs'!$B$6-AC511)</x:f>
        <x:v>0.08973629140652246</x:v>
      </x:c>
      <x:c r="Y511" s="80" t="n">
        <x:f>2*V511</x:f>
        <x:v>3.266151922640828</x:v>
      </x:c>
      <x:c r="Z511" s="80" t="n">
        <x:f>K511*'Inputs'!$B$16+(G511+R511)*J511*'Inputs'!$B$16</x:f>
        <x:v>0.010284610129876765</x:v>
      </x:c>
      <x:c r="AA511" s="80" t="n">
        <x:f>K511*(1+'Inputs'!$E$45)/2*'Inputs'!$B$17</x:f>
        <x:v>0.0032762665352861196</x:v>
      </x:c>
      <x:c r="AB511" s="78" t="n">
        <x:f>(IF(J511&gt;0,K511*(1-'Inputs'!$E$45)/2/J511,0)+G511+R511)*'Inputs'!$B$17</x:f>
        <x:v>20726861.185455784</x:v>
      </x:c>
      <x:c r="AC511" s="78" t="n">
        <x:f>AC510+AB511</x:f>
        <x:v>434093168.2708223</x:v>
      </x:c>
      <x:c r="AD511" s="80" t="n">
        <x:f>Z511/(1+'Inputs'!$C$45)</x:f>
        <x:v>0.0068564067532511765</x:v>
      </x:c>
      <x:c r="AE511" s="80" t="n">
        <x:f>Z511-AD511</x:f>
        <x:v>0.0034282033766255887</x:v>
      </x:c>
      <x:c r="AF511" s="80" t="n">
        <x:f>D511*W511</x:f>
        <x:v>0.00004523742004412641</x:v>
      </x:c>
      <x:c r="AG511" s="80" t="n">
        <x:f>C511*W511</x:f>
        <x:v>0.00007916548507722003</x:v>
      </x:c>
      <x:c r="AH511" s="80" t="n">
        <x:f>2*'Inputs'!$B$8*'Inputs'!$C$45</x:f>
        <x:v>2500</x:v>
      </x:c>
      <x:c r="AI511" s="81" t="n">
        <x:f>IF(AH511&gt;0,(AE511+AF511)/AH511*365,0)</x:f>
        <x:v>0.0005071223563137783</x:v>
      </x:c>
      <x:c r="AJ511" s="81" t="n">
        <x:f>IF('Inputs'!$B$45&gt;0,AG511/('Inputs'!$B$19*'Inputs'!$B$45)*365,0)</x:f>
        <x:v>0.000003852720273758042</x:v>
      </x:c>
      <x:c r="AK511" s="81" t="n">
        <x:f>W511/MAX($W$369:W511)-1</x:f>
        <x:v>-0.9999997890876553</x:v>
      </x:c>
      <x:c r="AL511" s="83" t="n">
        <x:f>'Inputs'!$B$45</x:f>
        <x:v>0.75</x:v>
      </x:c>
      <x:c r="AM511" s="83" t="n">
        <x:f>'Inputs'!$C$45</x:f>
        <x:v>0.5</x:v>
      </x:c>
      <x:c r="AN511" s="83" t="n">
        <x:f>'Inputs'!$D$45</x:f>
        <x:v>0.5</x:v>
      </x:c>
      <x:c r="AO511" s="81" t="n">
        <x:f>'Inputs'!$E$45</x:f>
        <x:v>-0.05</x:v>
      </x:c>
    </x:row>
    <x:row r="512">
      <x:c r="A512" s="59" t="str">
        <x:v>Weak demand</x:v>
      </x:c>
      <x:c r="B512" s="59" t="n">
        <x:v>144</x:v>
      </x:c>
      <x:c r="C512" s="78" t="n">
        <x:f>(('Inputs'!$B$29*(3*144*'Inputs'!$B$12-144^2)/(2*'Inputs'!$B$12^2))-('Inputs'!$B$29*(3*143*'Inputs'!$B$12-143^2)/(2*'Inputs'!$B$12^2)))*'Inputs'!$B$45</x:f>
        <x:v>498999.98827172443</x:v>
      </x:c>
      <x:c r="D512" s="78" t="n">
        <x:f>IF('Inputs'!$C$45&gt;0,('Inputs'!$B$30*(3*144*'Inputs'!$B$12-144^2)/(2*'Inputs'!$B$12^2))-('Inputs'!$B$30*(3*143*'Inputs'!$B$12-143^2)/(2*'Inputs'!$B$12^2)),0)</x:f>
        <x:v>285142.85044098645</x:v>
      </x:c>
      <x:c r="E512" s="78" t="n">
        <x:f>C512+D512</x:f>
        <x:v>784142.8387127109</x:v>
      </x:c>
      <x:c r="F512" s="78" t="n">
        <x:f>'Inputs'!$B$13*E512+(1-'Inputs'!$B$13)/'Inputs'!$B$14*SUM(E457:E512)</x:f>
        <x:v>792572.4221242275</x:v>
      </x:c>
      <x:c r="G512" s="78" t="n">
        <x:f>F512*'Inputs'!$F$45</x:f>
        <x:v>554800.6954869592</x:v>
      </x:c>
      <x:c r="H512" s="78" t="n">
        <x:f>U511</x:f>
        <x:v>10298718932.535957</x:v>
      </x:c>
      <x:c r="I512" s="78" t="n">
        <x:f>V511</x:f>
        <x:v>1.633075961320414</x:v>
      </x:c>
      <x:c r="J512" s="79" t="n">
        <x:f>IF(H512&gt;0,I512/H512,0)</x:f>
        <x:v>1.5857078652386189e-10</x:v>
      </x:c>
      <x:c r="K512" s="80" t="n">
        <x:f>(H512*J512+I512)*'Inputs'!$D$45*(1+'Inputs'!$G$45)^(B512/30)</x:f>
        <x:v>1.633075961320414</x:v>
      </x:c>
      <x:c r="L512" s="80" t="n">
        <x:f>MAX(0,K512*'Inputs'!$E$45)</x:f>
        <x:v>0</x:v>
      </x:c>
      <x:c r="M512" s="80" t="n">
        <x:f>MAX(0,-K512*'Inputs'!$E$45)</x:f>
        <x:v>0.0816537980660207</x:v>
      </x:c>
      <x:c r="N512" s="78" t="n">
        <x:f>H512*(L512*(1-'Inputs'!$B$15))/(I512+L512*(1-'Inputs'!$B$15))</x:f>
        <x:v>0</x:v>
      </x:c>
      <x:c r="O512" s="78" t="n">
        <x:f>H512-N512</x:f>
        <x:v>10298718932.535957</x:v>
      </x:c>
      <x:c r="P512" s="78" t="n">
        <x:f>I512+L512*(1-'Inputs'!$B$17)</x:f>
        <x:v>1.633075961320414</x:v>
      </x:c>
      <x:c r="Q512" s="78" t="n">
        <x:f>IF(J512&gt;0,M512/J512,0)</x:f>
        <x:v>514935946.62679785</x:v>
      </x:c>
      <x:c r="R512" s="78" t="n">
        <x:f>IF(B512='Inputs'!$H$45,'Inputs'!$B$27*'Inputs'!$I$45,0)</x:f>
        <x:v>0</x:v>
      </x:c>
      <x:c r="S512" s="78" t="n">
        <x:f>Q512+G512+R512</x:f>
        <x:v>515490747.3222848</x:v>
      </x:c>
      <x:c r="T512" s="78" t="n">
        <x:f>P512*(S512*(1-'Inputs'!$B$15))/(O512+S512*(1-'Inputs'!$B$15))</x:f>
        <x:v>0.0771036144980024</x:v>
      </x:c>
      <x:c r="U512" s="78" t="n">
        <x:f>O512+S512*(1-'Inputs'!$B$17)</x:f>
        <x:v>10812135270.412277</x:v>
      </x:c>
      <x:c r="V512" s="78" t="n">
        <x:f>P512-T512</x:f>
        <x:v>1.5559723468224116</x:v>
      </x:c>
      <x:c r="W512" s="79" t="n">
        <x:f>IF(U512&gt;0,V512/U512,0)</x:f>
        <x:v>1.4390981132842234e-10</x:v>
      </x:c>
      <x:c r="X512" s="80" t="n">
        <x:f>W512*('Inputs'!$B$6-AC512)</x:f>
        <x:v>0.07830805500945064</x:v>
      </x:c>
      <x:c r="Y512" s="80" t="n">
        <x:f>2*V512</x:f>
        <x:v>3.111944693644823</x:v>
      </x:c>
      <x:c r="Z512" s="80" t="n">
        <x:f>K512*'Inputs'!$B$16+(G512+R512)*J512*'Inputs'!$B$16</x:f>
        <x:v>0.009798983619018369</x:v>
      </x:c>
      <x:c r="AA512" s="80" t="n">
        <x:f>K512*(1+'Inputs'!$E$45)/2*'Inputs'!$B$17</x:f>
        <x:v>0.0031215737691235278</x:v>
      </x:c>
      <x:c r="AB512" s="78" t="n">
        <x:f>(IF(J512&gt;0,K512*(1-'Inputs'!$E$45)/2/J512,0)+G512+R512)*'Inputs'!$B$17</x:f>
        <x:v>21760089.498096038</x:v>
      </x:c>
      <x:c r="AC512" s="78" t="n">
        <x:f>AC511+AB512</x:f>
        <x:v>455853257.76891834</x:v>
      </x:c>
      <x:c r="AD512" s="80" t="n">
        <x:f>Z512/(1+'Inputs'!$C$45)</x:f>
        <x:v>0.006532655746012246</x:v>
      </x:c>
      <x:c r="AE512" s="80" t="n">
        <x:f>Z512-AD512</x:f>
        <x:v>0.0032663278730061225</x:v>
      </x:c>
      <x:c r="AF512" s="80" t="n">
        <x:f>D512*W512</x:f>
        <x:v>0.00004103485380861091</x:v>
      </x:c>
      <x:c r="AG512" s="80" t="n">
        <x:f>C512*W512</x:f>
        <x:v>0.00007181099416506882</x:v>
      </x:c>
      <x:c r="AH512" s="80" t="n">
        <x:f>2*'Inputs'!$B$8*'Inputs'!$C$45</x:f>
        <x:v>2500</x:v>
      </x:c>
      <x:c r="AI512" s="81" t="n">
        <x:f>IF(AH512&gt;0,(AE512+AF512)/AH512*365,0)</x:f>
        <x:v>0.0004828749581149511</x:v>
      </x:c>
      <x:c r="AJ512" s="81" t="n">
        <x:f>IF('Inputs'!$B$45&gt;0,AG512/('Inputs'!$B$19*'Inputs'!$B$45)*365,0)</x:f>
        <x:v>0.0000034948017160333497</x:v>
      </x:c>
      <x:c r="AK512" s="81" t="n">
        <x:f>W512/MAX($W$369:W512)-1</x:f>
        <x:v>-0.9999998085879725</x:v>
      </x:c>
      <x:c r="AL512" s="83" t="n">
        <x:f>'Inputs'!$B$45</x:f>
        <x:v>0.75</x:v>
      </x:c>
      <x:c r="AM512" s="83" t="n">
        <x:f>'Inputs'!$C$45</x:f>
        <x:v>0.5</x:v>
      </x:c>
      <x:c r="AN512" s="83" t="n">
        <x:f>'Inputs'!$D$45</x:f>
        <x:v>0.5</x:v>
      </x:c>
      <x:c r="AO512" s="81" t="n">
        <x:f>'Inputs'!$E$45</x:f>
        <x:v>-0.05</x:v>
      </x:c>
    </x:row>
    <x:row r="513">
      <x:c r="A513" s="59" t="str">
        <x:v>Weak demand</x:v>
      </x:c>
      <x:c r="B513" s="59" t="n">
        <x:v>145</x:v>
      </x:c>
      <x:c r="C513" s="78" t="n">
        <x:f>(('Inputs'!$B$29*(3*145*'Inputs'!$B$12-145^2)/(2*'Inputs'!$B$12^2))-('Inputs'!$B$29*(3*144*'Inputs'!$B$12-144^2)/(2*'Inputs'!$B$12^2)))*'Inputs'!$B$45</x:f>
        <x:v>498756.1573465951</x:v>
      </x:c>
      <x:c r="D513" s="78" t="n">
        <x:f>IF('Inputs'!$C$45&gt;0,('Inputs'!$B$30*(3*145*'Inputs'!$B$12-145^2)/(2*'Inputs'!$B$12^2))-('Inputs'!$B$30*(3*144*'Inputs'!$B$12-144^2)/(2*'Inputs'!$B$12^2)),0)</x:f>
        <x:v>285003.5184837654</x:v>
      </x:c>
      <x:c r="E513" s="78" t="n">
        <x:f>C513+D513</x:f>
        <x:v>783759.6758303605</x:v>
      </x:c>
      <x:c r="F513" s="78" t="n">
        <x:f>'Inputs'!$B$13*E513+(1-'Inputs'!$B$13)/'Inputs'!$B$14*SUM(E458:E513)</x:f>
        <x:v>792189.2592418839</x:v>
      </x:c>
      <x:c r="G513" s="78" t="n">
        <x:f>F513*'Inputs'!$F$45</x:f>
        <x:v>554532.4814693186</x:v>
      </x:c>
      <x:c r="H513" s="78" t="n">
        <x:f>U512</x:f>
        <x:v>10812135270.412277</x:v>
      </x:c>
      <x:c r="I513" s="78" t="n">
        <x:f>V512</x:f>
        <x:v>1.5559723468224116</x:v>
      </x:c>
      <x:c r="J513" s="79" t="n">
        <x:f>IF(H513&gt;0,I513/H513,0)</x:f>
        <x:v>1.4390981132842234e-10</x:v>
      </x:c>
      <x:c r="K513" s="80" t="n">
        <x:f>(H513*J513+I513)*'Inputs'!$D$45*(1+'Inputs'!$G$45)^(B513/30)</x:f>
        <x:v>1.5559723468224116</x:v>
      </x:c>
      <x:c r="L513" s="80" t="n">
        <x:f>MAX(0,K513*'Inputs'!$E$45)</x:f>
        <x:v>0</x:v>
      </x:c>
      <x:c r="M513" s="80" t="n">
        <x:f>MAX(0,-K513*'Inputs'!$E$45)</x:f>
        <x:v>0.07779861734112059</x:v>
      </x:c>
      <x:c r="N513" s="78" t="n">
        <x:f>H513*(L513*(1-'Inputs'!$B$15))/(I513+L513*(1-'Inputs'!$B$15))</x:f>
        <x:v>0</x:v>
      </x:c>
      <x:c r="O513" s="78" t="n">
        <x:f>H513-N513</x:f>
        <x:v>10812135270.412277</x:v>
      </x:c>
      <x:c r="P513" s="78" t="n">
        <x:f>I513+L513*(1-'Inputs'!$B$17)</x:f>
        <x:v>1.5559723468224116</x:v>
      </x:c>
      <x:c r="Q513" s="78" t="n">
        <x:f>IF(J513&gt;0,M513/J513,0)</x:f>
        <x:v>540606763.520614</x:v>
      </x:c>
      <x:c r="R513" s="78" t="n">
        <x:f>IF(B513='Inputs'!$H$45,'Inputs'!$B$27*'Inputs'!$I$45,0)</x:f>
        <x:v>0</x:v>
      </x:c>
      <x:c r="S513" s="78" t="n">
        <x:f>Q513+G513+R513</x:f>
        <x:v>541161296.0020833</x:v>
      </x:c>
      <x:c r="T513" s="78" t="n">
        <x:f>P513*(S513*(1-'Inputs'!$B$15))/(O513+S513*(1-'Inputs'!$B$15))</x:f>
        <x:v>0.07345965305883424</x:v>
      </x:c>
      <x:c r="U513" s="78" t="n">
        <x:f>O513+S513*(1-'Inputs'!$B$17)</x:f>
        <x:v>11351118854.961636</x:v>
      </x:c>
      <x:c r="V513" s="78" t="n">
        <x:f>P513-T513</x:f>
        <x:v>1.4825126937635773</x:v>
      </x:c>
      <x:c r="W513" s="79" t="n">
        <x:f>IF(U513&gt;0,V513/U513,0)</x:f>
        <x:v>1.306049837647117e-10</x:v>
      </x:c>
      <x:c r="X513" s="80" t="n">
        <x:f>W513*('Inputs'!$B$6-AC513)</x:f>
        <x:v>0.06808463551230023</x:v>
      </x:c>
      <x:c r="Y513" s="80" t="n">
        <x:f>2*V513</x:f>
        <x:v>2.9650253875271546</x:v>
      </x:c>
      <x:c r="Z513" s="80" t="n">
        <x:f>K513*'Inputs'!$B$16+(G513+R513)*J513*'Inputs'!$B$16</x:f>
        <x:v>0.009336312896923172</x:v>
      </x:c>
      <x:c r="AA513" s="80" t="n">
        <x:f>K513*(1+'Inputs'!$E$45)/2*'Inputs'!$B$17</x:f>
        <x:v>0.002974192614650485</x:v>
      </x:c>
      <x:c r="AB513" s="78" t="n">
        <x:f>(IF(J513&gt;0,K513*(1-'Inputs'!$E$45)/2/J513,0)+G513+R513)*'Inputs'!$B$17</x:f>
        <x:v>22844770.82272803</x:v>
      </x:c>
      <x:c r="AC513" s="78" t="n">
        <x:f>AC512+AB513</x:f>
        <x:v>478698028.5916464</x:v>
      </x:c>
      <x:c r="AD513" s="80" t="n">
        <x:f>Z513/(1+'Inputs'!$C$45)</x:f>
        <x:v>0.006224208597948782</x:v>
      </x:c>
      <x:c r="AE513" s="80" t="n">
        <x:f>Z513-AD513</x:f>
        <x:v>0.0031121042989743905</x:v>
      </x:c>
      <x:c r="AF513" s="80" t="n">
        <x:f>D513*W513</x:f>
        <x:v>0.00003722287990445789</x:v>
      </x:c>
      <x:c r="AG513" s="80" t="n">
        <x:f>C513*W513</x:f>
        <x:v>0.00006514003983280204</x:v>
      </x:c>
      <x:c r="AH513" s="80" t="n">
        <x:f>2*'Inputs'!$B$8*'Inputs'!$C$45</x:f>
        <x:v>2500</x:v>
      </x:c>
      <x:c r="AI513" s="81" t="n">
        <x:f>IF(AH513&gt;0,(AE513+AF513)/AH513*365,0)</x:f>
        <x:v>0.0004598017681163119</x:v>
      </x:c>
      <x:c r="AJ513" s="81" t="n">
        <x:f>IF('Inputs'!$B$45&gt;0,AG513/('Inputs'!$B$19*'Inputs'!$B$45)*365,0)</x:f>
        <x:v>0.0000031701486051963663</x:v>
      </x:c>
      <x:c r="AK513" s="81" t="n">
        <x:f>W513/MAX($W$369:W513)-1</x:f>
        <x:v>-0.9999998262845007</x:v>
      </x:c>
      <x:c r="AL513" s="83" t="n">
        <x:f>'Inputs'!$B$45</x:f>
        <x:v>0.75</x:v>
      </x:c>
      <x:c r="AM513" s="83" t="n">
        <x:f>'Inputs'!$C$45</x:f>
        <x:v>0.5</x:v>
      </x:c>
      <x:c r="AN513" s="83" t="n">
        <x:f>'Inputs'!$D$45</x:f>
        <x:v>0.5</x:v>
      </x:c>
      <x:c r="AO513" s="81" t="n">
        <x:f>'Inputs'!$E$45</x:f>
        <x:v>-0.05</x:v>
      </x:c>
    </x:row>
    <x:row r="514">
      <x:c r="A514" s="59" t="str">
        <x:v>Weak demand</x:v>
      </x:c>
      <x:c r="B514" s="59" t="n">
        <x:v>146</x:v>
      </x:c>
      <x:c r="C514" s="78" t="n">
        <x:f>(('Inputs'!$B$29*(3*146*'Inputs'!$B$12-146^2)/(2*'Inputs'!$B$12^2))-('Inputs'!$B$29*(3*145*'Inputs'!$B$12-145^2)/(2*'Inputs'!$B$12^2)))*'Inputs'!$B$45</x:f>
        <x:v>498512.3264214657</x:v>
      </x:c>
      <x:c r="D514" s="78" t="n">
        <x:f>IF('Inputs'!$C$45&gt;0,('Inputs'!$B$30*(3*146*'Inputs'!$B$12-146^2)/(2*'Inputs'!$B$12^2))-('Inputs'!$B$30*(3*145*'Inputs'!$B$12-145^2)/(2*'Inputs'!$B$12^2)),0)</x:f>
        <x:v>284864.18652655184</x:v>
      </x:c>
      <x:c r="E514" s="78" t="n">
        <x:f>C514+D514</x:f>
        <x:v>783376.5129480176</x:v>
      </x:c>
      <x:c r="F514" s="78" t="n">
        <x:f>'Inputs'!$B$13*E514+(1-'Inputs'!$B$13)/'Inputs'!$B$14*SUM(E459:E514)</x:f>
        <x:v>791806.0963595419</x:v>
      </x:c>
      <x:c r="G514" s="78" t="n">
        <x:f>F514*'Inputs'!$F$45</x:f>
        <x:v>554264.2674516792</x:v>
      </x:c>
      <x:c r="H514" s="78" t="n">
        <x:f>U513</x:f>
        <x:v>11351118854.961636</x:v>
      </x:c>
      <x:c r="I514" s="78" t="n">
        <x:f>V513</x:f>
        <x:v>1.4825126937635773</x:v>
      </x:c>
      <x:c r="J514" s="79" t="n">
        <x:f>IF(H514&gt;0,I514/H514,0)</x:f>
        <x:v>1.306049837647117e-10</x:v>
      </x:c>
      <x:c r="K514" s="80" t="n">
        <x:f>(H514*J514+I514)*'Inputs'!$D$45*(1+'Inputs'!$G$45)^(B514/30)</x:f>
        <x:v>1.4825126937635773</x:v>
      </x:c>
      <x:c r="L514" s="80" t="n">
        <x:f>MAX(0,K514*'Inputs'!$E$45)</x:f>
        <x:v>0</x:v>
      </x:c>
      <x:c r="M514" s="80" t="n">
        <x:f>MAX(0,-K514*'Inputs'!$E$45)</x:f>
        <x:v>0.07412563468817887</x:v>
      </x:c>
      <x:c r="N514" s="78" t="n">
        <x:f>H514*(L514*(1-'Inputs'!$B$15))/(I514+L514*(1-'Inputs'!$B$15))</x:f>
        <x:v>0</x:v>
      </x:c>
      <x:c r="O514" s="78" t="n">
        <x:f>H514-N514</x:f>
        <x:v>11351118854.961636</x:v>
      </x:c>
      <x:c r="P514" s="78" t="n">
        <x:f>I514+L514*(1-'Inputs'!$B$17)</x:f>
        <x:v>1.4825126937635773</x:v>
      </x:c>
      <x:c r="Q514" s="78" t="n">
        <x:f>IF(J514&gt;0,M514/J514,0)</x:f>
        <x:v>567555942.7480818</x:v>
      </x:c>
      <x:c r="R514" s="78" t="n">
        <x:f>IF(B514='Inputs'!$H$45,'Inputs'!$B$27*'Inputs'!$I$45,0)</x:f>
        <x:v>0</x:v>
      </x:c>
      <x:c r="S514" s="78" t="n">
        <x:f>Q514+G514+R514</x:f>
        <x:v>568110207.0155334</x:v>
      </x:c>
      <x:c r="T514" s="78" t="n">
        <x:f>P514*(S514*(1-'Inputs'!$B$15))/(O514+S514*(1-'Inputs'!$B$15))</x:f>
        <x:v>0.06998824281646811</x:v>
      </x:c>
      <x:c r="U514" s="78" t="n">
        <x:f>O514+S514*(1-'Inputs'!$B$17)</x:f>
        <x:v>11916942904.20246</x:v>
      </x:c>
      <x:c r="V514" s="78" t="n">
        <x:f>P514-T514</x:f>
        <x:v>1.412524450947109</x:v>
      </x:c>
      <x:c r="W514" s="79" t="n">
        <x:f>IF(U514&gt;0,V514/U514,0)</x:f>
        <x:v>1.185307727243527e-10</x:v>
      </x:c>
      <x:c r="X514" s="80" t="n">
        <x:f>W514*('Inputs'!$B$6-AC514)</x:f>
        <x:v>0.05894754656344541</x:v>
      </x:c>
      <x:c r="Y514" s="80" t="n">
        <x:f>2*V514</x:f>
        <x:v>2.825048901894218</x:v>
      </x:c>
      <x:c r="Z514" s="80" t="n">
        <x:f>K514*'Inputs'!$B$16+(G514+R514)*J514*'Inputs'!$B$16</x:f>
        <x:v>0.008895510500635376</x:v>
      </x:c>
      <x:c r="AA514" s="80" t="n">
        <x:f>K514*(1+'Inputs'!$E$45)/2*'Inputs'!$B$17</x:f>
        <x:v>0.0028337767788237395</x:v>
      </x:c>
      <x:c r="AB514" s="78" t="n">
        <x:f>(IF(J514&gt;0,K514*(1-'Inputs'!$E$45)/2/J514,0)+G514+R514)*'Inputs'!$B$17</x:f>
        <x:v>23983467.457232635</x:v>
      </x:c>
      <x:c r="AC514" s="78" t="n">
        <x:f>AC513+AB514</x:f>
        <x:v>502681496.048879</x:v>
      </x:c>
      <x:c r="AD514" s="80" t="n">
        <x:f>Z514/(1+'Inputs'!$C$45)</x:f>
        <x:v>0.005930340333756917</x:v>
      </x:c>
      <x:c r="AE514" s="80" t="n">
        <x:f>Z514-AD514</x:f>
        <x:v>0.0029651701668784586</x:v>
      </x:c>
      <x:c r="AF514" s="80" t="n">
        <x:f>D514*W514</x:f>
        <x:v>0.00003376517215048633</x:v>
      </x:c>
      <x:c r="AG514" s="80" t="n">
        <x:f>C514*W514</x:f>
        <x:v>0.00005908905126335107</x:v>
      </x:c>
      <x:c r="AH514" s="80" t="n">
        <x:f>2*'Inputs'!$B$8*'Inputs'!$C$45</x:f>
        <x:v>2500</x:v>
      </x:c>
      <x:c r="AI514" s="81" t="n">
        <x:f>IF(AH514&gt;0,(AE514+AF514)/AH514*365,0)</x:f>
        <x:v>0.0004378445594982259</x:v>
      </x:c>
      <x:c r="AJ514" s="81" t="n">
        <x:f>IF('Inputs'!$B$45&gt;0,AG514/('Inputs'!$B$19*'Inputs'!$B$45)*365,0)</x:f>
        <x:v>0.0000028756671614830854</x:v>
      </x:c>
      <x:c r="AK514" s="81" t="n">
        <x:f>W514/MAX($W$369:W514)-1</x:f>
        <x:v>-0.9999998423442064</x:v>
      </x:c>
      <x:c r="AL514" s="83" t="n">
        <x:f>'Inputs'!$B$45</x:f>
        <x:v>0.75</x:v>
      </x:c>
      <x:c r="AM514" s="83" t="n">
        <x:f>'Inputs'!$C$45</x:f>
        <x:v>0.5</x:v>
      </x:c>
      <x:c r="AN514" s="83" t="n">
        <x:f>'Inputs'!$D$45</x:f>
        <x:v>0.5</x:v>
      </x:c>
      <x:c r="AO514" s="81" t="n">
        <x:f>'Inputs'!$E$45</x:f>
        <x:v>-0.05</x:v>
      </x:c>
    </x:row>
    <x:row r="515">
      <x:c r="A515" s="59" t="str">
        <x:v>Weak demand</x:v>
      </x:c>
      <x:c r="B515" s="59" t="n">
        <x:v>147</x:v>
      </x:c>
      <x:c r="C515" s="78" t="n">
        <x:f>(('Inputs'!$B$29*(3*147*'Inputs'!$B$12-147^2)/(2*'Inputs'!$B$12^2))-('Inputs'!$B$29*(3*146*'Inputs'!$B$12-146^2)/(2*'Inputs'!$B$12^2)))*'Inputs'!$B$45</x:f>
        <x:v>498268.49549633637</x:v>
      </x:c>
      <x:c r="D515" s="78" t="n">
        <x:f>IF('Inputs'!$C$45&gt;0,('Inputs'!$B$30*(3*147*'Inputs'!$B$12-147^2)/(2*'Inputs'!$B$12^2))-('Inputs'!$B$30*(3*146*'Inputs'!$B$12-146^2)/(2*'Inputs'!$B$12^2)),0)</x:f>
        <x:v>284724.85456933826</x:v>
      </x:c>
      <x:c r="E515" s="78" t="n">
        <x:f>C515+D515</x:f>
        <x:v>782993.3500656746</x:v>
      </x:c>
      <x:c r="F515" s="78" t="n">
        <x:f>'Inputs'!$B$13*E515+(1-'Inputs'!$B$13)/'Inputs'!$B$14*SUM(E460:E515)</x:f>
        <x:v>791422.9334771996</x:v>
      </x:c>
      <x:c r="G515" s="78" t="n">
        <x:f>F515*'Inputs'!$F$45</x:f>
        <x:v>553996.0534340397</x:v>
      </x:c>
      <x:c r="H515" s="78" t="n">
        <x:f>U514</x:f>
        <x:v>11916942904.20246</x:v>
      </x:c>
      <x:c r="I515" s="78" t="n">
        <x:f>V514</x:f>
        <x:v>1.412524450947109</x:v>
      </x:c>
      <x:c r="J515" s="79" t="n">
        <x:f>IF(H515&gt;0,I515/H515,0)</x:f>
        <x:v>1.185307727243527e-10</x:v>
      </x:c>
      <x:c r="K515" s="80" t="n">
        <x:f>(H515*J515+I515)*'Inputs'!$D$45*(1+'Inputs'!$G$45)^(B515/30)</x:f>
        <x:v>1.412524450947109</x:v>
      </x:c>
      <x:c r="L515" s="80" t="n">
        <x:f>MAX(0,K515*'Inputs'!$E$45)</x:f>
        <x:v>0</x:v>
      </x:c>
      <x:c r="M515" s="80" t="n">
        <x:f>MAX(0,-K515*'Inputs'!$E$45)</x:f>
        <x:v>0.07062622254735546</x:v>
      </x:c>
      <x:c r="N515" s="78" t="n">
        <x:f>H515*(L515*(1-'Inputs'!$B$15))/(I515+L515*(1-'Inputs'!$B$15))</x:f>
        <x:v>0</x:v>
      </x:c>
      <x:c r="O515" s="78" t="n">
        <x:f>H515-N515</x:f>
        <x:v>11916942904.20246</x:v>
      </x:c>
      <x:c r="P515" s="78" t="n">
        <x:f>I515+L515*(1-'Inputs'!$B$17)</x:f>
        <x:v>1.412524450947109</x:v>
      </x:c>
      <x:c r="Q515" s="78" t="n">
        <x:f>IF(J515&gt;0,M515/J515,0)</x:f>
        <x:v>595847145.210123</x:v>
      </x:c>
      <x:c r="R515" s="78" t="n">
        <x:f>IF(B515='Inputs'!$H$45,'Inputs'!$B$27*'Inputs'!$I$45,0)</x:f>
        <x:v>0</x:v>
      </x:c>
      <x:c r="S515" s="78" t="n">
        <x:f>Q515+G515+R515</x:f>
        <x:v>596401141.263557</x:v>
      </x:c>
      <x:c r="T515" s="78" t="n">
        <x:f>P515*(S515*(1-'Inputs'!$B$15))/(O515+S515*(1-'Inputs'!$B$15))</x:f>
        <x:v>0.06668118186148818</x:v>
      </x:c>
      <x:c r="U515" s="78" t="n">
        <x:f>O515+S515*(1-'Inputs'!$B$17)</x:f>
        <x:v>12510944040.873405</x:v>
      </x:c>
      <x:c r="V515" s="78" t="n">
        <x:f>P515-T515</x:f>
        <x:v>1.345843269085621</x:v>
      </x:c>
      <x:c r="W515" s="79" t="n">
        <x:f>IF(U515&gt;0,V515/U515,0)</x:f>
        <x:v>1.0757327861820297e-10</x:v>
      </x:c>
      <x:c r="X515" s="80" t="n">
        <x:f>W515*('Inputs'!$B$6-AC515)</x:f>
        <x:v>0.050789608465147254</x:v>
      </x:c>
      <x:c r="Y515" s="80" t="n">
        <x:f>2*V515</x:f>
        <x:v>2.691686538171242</x:v>
      </x:c>
      <x:c r="Z515" s="80" t="n">
        <x:f>K515*'Inputs'!$B$16+(G515+R515)*J515*'Inputs'!$B$16</x:f>
        <x:v>0.008475540699164452</x:v>
      </x:c>
      <x:c r="AA515" s="80" t="n">
        <x:f>K515*(1+'Inputs'!$E$45)/2*'Inputs'!$B$17</x:f>
        <x:v>0.002699996435411979</x:v>
      </x:c>
      <x:c r="AB515" s="78" t="n">
        <x:f>(IF(J515&gt;0,K515*(1-'Inputs'!$E$45)/2/J515,0)+G515+R515)*'Inputs'!$B$17</x:f>
        <x:v>25178869.298831895</x:v>
      </x:c>
      <x:c r="AC515" s="78" t="n">
        <x:f>AC514+AB515</x:f>
        <x:v>527860365.3477109</x:v>
      </x:c>
      <x:c r="AD515" s="80" t="n">
        <x:f>Z515/(1+'Inputs'!$C$45)</x:f>
        <x:v>0.0056503604661096345</x:v>
      </x:c>
      <x:c r="AE515" s="80" t="n">
        <x:f>Z515-AD515</x:f>
        <x:v>0.0028251802330548177</x:v>
      </x:c>
      <x:c r="AF515" s="80" t="n">
        <x:f>D515*W515</x:f>
        <x:v>0.000030628786110114746</x:v>
      </x:c>
      <x:c r="AG515" s="80" t="n">
        <x:f>C515*W515</x:f>
        <x:v>0.000053600375692700205</x:v>
      </x:c>
      <x:c r="AH515" s="80" t="n">
        <x:f>2*'Inputs'!$B$8*'Inputs'!$C$45</x:f>
        <x:v>2500</x:v>
      </x:c>
      <x:c r="AI515" s="81" t="n">
        <x:f>IF(AH515&gt;0,(AE515+AF515)/AH515*365,0)</x:f>
        <x:v>0.0004169481167980802</x:v>
      </x:c>
      <x:c r="AJ515" s="81" t="n">
        <x:f>IF('Inputs'!$B$45&gt;0,AG515/('Inputs'!$B$19*'Inputs'!$B$45)*365,0)</x:f>
        <x:v>0.0000026085516170447433</x:v>
      </x:c>
      <x:c r="AK515" s="81" t="n">
        <x:f>W515/MAX($W$369:W515)-1</x:f>
        <x:v>-0.9999998569185855</x:v>
      </x:c>
      <x:c r="AL515" s="83" t="n">
        <x:f>'Inputs'!$B$45</x:f>
        <x:v>0.75</x:v>
      </x:c>
      <x:c r="AM515" s="83" t="n">
        <x:f>'Inputs'!$C$45</x:f>
        <x:v>0.5</x:v>
      </x:c>
      <x:c r="AN515" s="83" t="n">
        <x:f>'Inputs'!$D$45</x:f>
        <x:v>0.5</x:v>
      </x:c>
      <x:c r="AO515" s="81" t="n">
        <x:f>'Inputs'!$E$45</x:f>
        <x:v>-0.05</x:v>
      </x:c>
    </x:row>
    <x:row r="516">
      <x:c r="A516" s="59" t="str">
        <x:v>Weak demand</x:v>
      </x:c>
      <x:c r="B516" s="59" t="n">
        <x:v>148</x:v>
      </x:c>
      <x:c r="C516" s="78" t="n">
        <x:f>(('Inputs'!$B$29*(3*148*'Inputs'!$B$12-148^2)/(2*'Inputs'!$B$12^2))-('Inputs'!$B$29*(3*147*'Inputs'!$B$12-147^2)/(2*'Inputs'!$B$12^2)))*'Inputs'!$B$45</x:f>
        <x:v>498024.6645712182</x:v>
      </x:c>
      <x:c r="D516" s="78" t="n">
        <x:f>IF('Inputs'!$C$45&gt;0,('Inputs'!$B$30*(3*148*'Inputs'!$B$12-148^2)/(2*'Inputs'!$B$12^2))-('Inputs'!$B$30*(3*147*'Inputs'!$B$12-147^2)/(2*'Inputs'!$B$12^2)),0)</x:f>
        <x:v>284585.5226121247</x:v>
      </x:c>
      <x:c r="E516" s="78" t="n">
        <x:f>C516+D516</x:f>
        <x:v>782610.1871833429</x:v>
      </x:c>
      <x:c r="F516" s="78" t="n">
        <x:f>'Inputs'!$B$13*E516+(1-'Inputs'!$B$13)/'Inputs'!$B$14*SUM(E461:E516)</x:f>
        <x:v>791039.77059486</x:v>
      </x:c>
      <x:c r="G516" s="78" t="n">
        <x:f>F516*'Inputs'!$F$45</x:f>
        <x:v>553727.8394164019</x:v>
      </x:c>
      <x:c r="H516" s="78" t="n">
        <x:f>U515</x:f>
        <x:v>12510944040.873405</x:v>
      </x:c>
      <x:c r="I516" s="78" t="n">
        <x:f>V515</x:f>
        <x:v>1.345843269085621</x:v>
      </x:c>
      <x:c r="J516" s="79" t="n">
        <x:f>IF(H516&gt;0,I516/H516,0)</x:f>
        <x:v>1.0757327861820297e-10</x:v>
      </x:c>
      <x:c r="K516" s="80" t="n">
        <x:f>(H516*J516+I516)*'Inputs'!$D$45*(1+'Inputs'!$G$45)^(B516/30)</x:f>
        <x:v>1.345843269085621</x:v>
      </x:c>
      <x:c r="L516" s="80" t="n">
        <x:f>MAX(0,K516*'Inputs'!$E$45)</x:f>
        <x:v>0</x:v>
      </x:c>
      <x:c r="M516" s="80" t="n">
        <x:f>MAX(0,-K516*'Inputs'!$E$45)</x:f>
        <x:v>0.06729216345428106</x:v>
      </x:c>
      <x:c r="N516" s="78" t="n">
        <x:f>H516*(L516*(1-'Inputs'!$B$15))/(I516+L516*(1-'Inputs'!$B$15))</x:f>
        <x:v>0</x:v>
      </x:c>
      <x:c r="O516" s="78" t="n">
        <x:f>H516-N516</x:f>
        <x:v>12510944040.873405</x:v>
      </x:c>
      <x:c r="P516" s="78" t="n">
        <x:f>I516+L516*(1-'Inputs'!$B$17)</x:f>
        <x:v>1.345843269085621</x:v>
      </x:c>
      <x:c r="Q516" s="78" t="n">
        <x:f>IF(J516&gt;0,M516/J516,0)</x:f>
        <x:v>625547202.0436704</x:v>
      </x:c>
      <x:c r="R516" s="78" t="n">
        <x:f>IF(B516='Inputs'!$H$45,'Inputs'!$B$27*'Inputs'!$I$45,0)</x:f>
        <x:v>0</x:v>
      </x:c>
      <x:c r="S516" s="78" t="n">
        <x:f>Q516+G516+R516</x:f>
        <x:v>626100929.8830868</x:v>
      </x:c>
      <x:c r="T516" s="78" t="n">
        <x:f>P516*(S516*(1-'Inputs'!$B$15))/(O516+S516*(1-'Inputs'!$B$15))</x:f>
        <x:v>0.06353066103878542</x:v>
      </x:c>
      <x:c r="U516" s="78" t="n">
        <x:f>O516+S516*(1-'Inputs'!$B$17)</x:f>
        <x:v>13134525449.911892</x:v>
      </x:c>
      <x:c r="V516" s="78" t="n">
        <x:f>P516-T516</x:f>
        <x:v>1.2823126080468357</x:v>
      </x:c>
      <x:c r="W516" s="79" t="n">
        <x:f>IF(U516&gt;0,V516/U516,0)</x:f>
        <x:v>9.762915401373999e-11</x:v>
      </x:c>
      <x:c r="X516" s="80" t="n">
        <x:f>W516*('Inputs'!$B$6-AC516)</x:f>
        <x:v>0.04351388355672299</x:v>
      </x:c>
      <x:c r="Y516" s="80" t="n">
        <x:f>2*V516</x:f>
        <x:v>2.5646252160936713</x:v>
      </x:c>
      <x:c r="Z516" s="80" t="n">
        <x:f>K516*'Inputs'!$B$16+(G516+R516)*J516*'Inputs'!$B$16</x:f>
        <x:v>0.008075417012428617</x:v>
      </x:c>
      <x:c r="AA516" s="80" t="n">
        <x:f>K516*(1+'Inputs'!$E$45)/2*'Inputs'!$B$17</x:f>
        <x:v>0.0025725374358779476</x:v>
      </x:c>
      <x:c r="AB516" s="78" t="n">
        <x:f>(IF(J516&gt;0,K516*(1-'Inputs'!$E$45)/2/J516,0)+G516+R516)*'Inputs'!$B$17</x:f>
        <x:v>26433800.198382113</x:v>
      </x:c>
      <x:c r="AC516" s="78" t="n">
        <x:f>AC515+AB516</x:f>
        <x:v>554294165.546093</x:v>
      </x:c>
      <x:c r="AD516" s="80" t="n">
        <x:f>Z516/(1+'Inputs'!$C$45)</x:f>
        <x:v>0.005383611341619078</x:v>
      </x:c>
      <x:c r="AE516" s="80" t="n">
        <x:f>Z516-AD516</x:f>
        <x:v>0.0026918056708095392</x:v>
      </x:c>
      <x:c r="AF516" s="80" t="n">
        <x:f>D516*W516</x:f>
        <x:v>0.000027783843817179807</x:v>
      </x:c>
      <x:c r="AG516" s="80" t="n">
        <x:f>C516*W516</x:f>
        <x:v>0.00004862172668006466</x:v>
      </x:c>
      <x:c r="AH516" s="80" t="n">
        <x:f>2*'Inputs'!$B$8*'Inputs'!$C$45</x:f>
        <x:v>2500</x:v>
      </x:c>
      <x:c r="AI516" s="81" t="n">
        <x:f>IF(AH516&gt;0,(AE516+AF516)/AH516*365,0)</x:f>
        <x:v>0.000397060069135501</x:v>
      </x:c>
      <x:c r="AJ516" s="81" t="n">
        <x:f>IF('Inputs'!$B$45&gt;0,AG516/('Inputs'!$B$19*'Inputs'!$B$45)*365,0)</x:f>
        <x:v>0.0000023662573650964804</x:v>
      </x:c>
      <x:c r="AK516" s="81" t="n">
        <x:f>W516/MAX($W$369:W516)-1</x:f>
        <x:v>-0.999999870145099</x:v>
      </x:c>
      <x:c r="AL516" s="83" t="n">
        <x:f>'Inputs'!$B$45</x:f>
        <x:v>0.75</x:v>
      </x:c>
      <x:c r="AM516" s="83" t="n">
        <x:f>'Inputs'!$C$45</x:f>
        <x:v>0.5</x:v>
      </x:c>
      <x:c r="AN516" s="83" t="n">
        <x:f>'Inputs'!$D$45</x:f>
        <x:v>0.5</x:v>
      </x:c>
      <x:c r="AO516" s="81" t="n">
        <x:f>'Inputs'!$E$45</x:f>
        <x:v>-0.05</x:v>
      </x:c>
    </x:row>
    <x:row r="517">
      <x:c r="A517" s="59" t="str">
        <x:v>Weak demand</x:v>
      </x:c>
      <x:c r="B517" s="59" t="n">
        <x:v>149</x:v>
      </x:c>
      <x:c r="C517" s="78" t="n">
        <x:f>(('Inputs'!$B$29*(3*149*'Inputs'!$B$12-149^2)/(2*'Inputs'!$B$12^2))-('Inputs'!$B$29*(3*148*'Inputs'!$B$12-148^2)/(2*'Inputs'!$B$12^2)))*'Inputs'!$B$45</x:f>
        <x:v>497780.83364608884</x:v>
      </x:c>
      <x:c r="D517" s="78" t="n">
        <x:f>IF('Inputs'!$C$45&gt;0,('Inputs'!$B$30*(3*149*'Inputs'!$B$12-149^2)/(2*'Inputs'!$B$12^2))-('Inputs'!$B$30*(3*148*'Inputs'!$B$12-148^2)/(2*'Inputs'!$B$12^2)),0)</x:f>
        <x:v>284446.19065490365</x:v>
      </x:c>
      <x:c r="E517" s="78" t="n">
        <x:f>C517+D517</x:f>
        <x:v>782227.0243009925</x:v>
      </x:c>
      <x:c r="F517" s="78" t="n">
        <x:f>'Inputs'!$B$13*E517+(1-'Inputs'!$B$13)/'Inputs'!$B$14*SUM(E462:E517)</x:f>
        <x:v>790656.6077125163</x:v>
      </x:c>
      <x:c r="G517" s="78" t="n">
        <x:f>F517*'Inputs'!$F$45</x:f>
        <x:v>553459.6253987614</x:v>
      </x:c>
      <x:c r="H517" s="78" t="n">
        <x:f>U516</x:f>
        <x:v>13134525449.911892</x:v>
      </x:c>
      <x:c r="I517" s="78" t="n">
        <x:f>V516</x:f>
        <x:v>1.2823126080468357</x:v>
      </x:c>
      <x:c r="J517" s="79" t="n">
        <x:f>IF(H517&gt;0,I517/H517,0)</x:f>
        <x:v>9.762915401373999e-11</x:v>
      </x:c>
      <x:c r="K517" s="80" t="n">
        <x:f>(H517*J517+I517)*'Inputs'!$D$45*(1+'Inputs'!$G$45)^(B517/30)</x:f>
        <x:v>1.2823126080468357</x:v>
      </x:c>
      <x:c r="L517" s="80" t="n">
        <x:f>MAX(0,K517*'Inputs'!$E$45)</x:f>
        <x:v>0</x:v>
      </x:c>
      <x:c r="M517" s="80" t="n">
        <x:f>MAX(0,-K517*'Inputs'!$E$45)</x:f>
        <x:v>0.06411563040234179</x:v>
      </x:c>
      <x:c r="N517" s="78" t="n">
        <x:f>H517*(L517*(1-'Inputs'!$B$15))/(I517+L517*(1-'Inputs'!$B$15))</x:f>
        <x:v>0</x:v>
      </x:c>
      <x:c r="O517" s="78" t="n">
        <x:f>H517-N517</x:f>
        <x:v>13134525449.911892</x:v>
      </x:c>
      <x:c r="P517" s="78" t="n">
        <x:f>I517+L517*(1-'Inputs'!$B$17)</x:f>
        <x:v>1.2823126080468357</x:v>
      </x:c>
      <x:c r="Q517" s="78" t="n">
        <x:f>IF(J517&gt;0,M517/J517,0)</x:f>
        <x:v>656726272.4955947</x:v>
      </x:c>
      <x:c r="R517" s="78" t="n">
        <x:f>IF(B517='Inputs'!$H$45,'Inputs'!$B$27*'Inputs'!$I$45,0)</x:f>
        <x:v>0</x:v>
      </x:c>
      <x:c r="S517" s="78" t="n">
        <x:f>Q517+G517+R517</x:f>
        <x:v>657279732.1209935</x:v>
      </x:c>
      <x:c r="T517" s="78" t="n">
        <x:f>P517*(S517*(1-'Inputs'!$B$15))/(O517+S517*(1-'Inputs'!$B$15))</x:f>
        <x:v>0.06052924487240879</x:v>
      </x:c>
      <x:c r="U517" s="78" t="n">
        <x:f>O517+S517*(1-'Inputs'!$B$17)</x:f>
        <x:v>13789160193.171232</x:v>
      </x:c>
      <x:c r="V517" s="78" t="n">
        <x:f>P517-T517</x:f>
        <x:v>1.2217833631744268</x:v>
      </x:c>
      <x:c r="W517" s="79" t="n">
        <x:f>IF(U517&gt;0,V517/U517,0)</x:f>
        <x:v>8.860462465143361e-11</x:v>
      </x:c>
      <x:c r="X517" s="80" t="n">
        <x:f>W517*('Inputs'!$B$6-AC517)</x:f>
        <x:v>0.03703271132468592</x:v>
      </x:c>
      <x:c r="Y517" s="80" t="n">
        <x:f>2*V517</x:f>
        <x:v>2.4435667263488536</x:v>
      </x:c>
      <x:c r="Z517" s="80" t="n">
        <x:f>K517*'Inputs'!$B$16+(G517+R517)*J517*'Inputs'!$B$16</x:f>
        <x:v>0.007694199851051065</x:v>
      </x:c>
      <x:c r="AA517" s="80" t="n">
        <x:f>K517*(1+'Inputs'!$E$45)/2*'Inputs'!$B$17</x:f>
        <x:v>0.002451100558640833</x:v>
      </x:c>
      <x:c r="AB517" s="78" t="n">
        <x:f>(IF(J517&gt;0,K517*(1-'Inputs'!$E$45)/2/J517,0)+G517+R517)*'Inputs'!$B$17</x:f>
        <x:v>27751224.631103188</x:v>
      </x:c>
      <x:c r="AC517" s="78" t="n">
        <x:f>AC516+AB517</x:f>
        <x:v>582045390.1771961</x:v>
      </x:c>
      <x:c r="AD517" s="80" t="n">
        <x:f>Z517/(1+'Inputs'!$C$45)</x:f>
        <x:v>0.005129466567367377</x:v>
      </x:c>
      <x:c r="AE517" s="80" t="n">
        <x:f>Z517-AD517</x:f>
        <x:v>0.002564733283683688</x:v>
      </x:c>
      <x:c r="AF517" s="80" t="n">
        <x:f>D517*W517</x:f>
        <x:v>0.00002520324795650786</x:v>
      </x:c>
      <x:c r="AG517" s="80" t="n">
        <x:f>C517*W517</x:f>
        <x:v>0.00004410568392388942</x:v>
      </x:c>
      <x:c r="AH517" s="80" t="n">
        <x:f>2*'Inputs'!$B$8*'Inputs'!$C$45</x:f>
        <x:v>2500</x:v>
      </x:c>
      <x:c r="AI517" s="81" t="n">
        <x:f>IF(AH517&gt;0,(AE517+AF517)/AH517*365,0)</x:f>
        <x:v>0.0003781307336194686</x:v>
      </x:c>
      <x:c r="AJ517" s="81" t="n">
        <x:f>IF('Inputs'!$B$45&gt;0,AG517/('Inputs'!$B$19*'Inputs'!$B$45)*365,0)</x:f>
        <x:v>0.000002146476617629285</x:v>
      </x:c>
      <x:c r="AK517" s="81" t="n">
        <x:f>W517/MAX($W$369:W517)-1</x:f>
        <x:v>-0.9999998821484742</x:v>
      </x:c>
      <x:c r="AL517" s="83" t="n">
        <x:f>'Inputs'!$B$45</x:f>
        <x:v>0.75</x:v>
      </x:c>
      <x:c r="AM517" s="83" t="n">
        <x:f>'Inputs'!$C$45</x:f>
        <x:v>0.5</x:v>
      </x:c>
      <x:c r="AN517" s="83" t="n">
        <x:f>'Inputs'!$D$45</x:f>
        <x:v>0.5</x:v>
      </x:c>
      <x:c r="AO517" s="81" t="n">
        <x:f>'Inputs'!$E$45</x:f>
        <x:v>-0.05</x:v>
      </x:c>
    </x:row>
    <x:row r="518">
      <x:c r="A518" s="59" t="str">
        <x:v>Weak demand</x:v>
      </x:c>
      <x:c r="B518" s="59" t="n">
        <x:v>150</x:v>
      </x:c>
      <x:c r="C518" s="78" t="n">
        <x:f>(('Inputs'!$B$29*(3*150*'Inputs'!$B$12-150^2)/(2*'Inputs'!$B$12^2))-('Inputs'!$B$29*(3*149*'Inputs'!$B$12-149^2)/(2*'Inputs'!$B$12^2)))*'Inputs'!$B$45</x:f>
        <x:v>497537.0027209595</x:v>
      </x:c>
      <x:c r="D518" s="78" t="n">
        <x:f>IF('Inputs'!$C$45&gt;0,('Inputs'!$B$30*(3*150*'Inputs'!$B$12-150^2)/(2*'Inputs'!$B$12^2))-('Inputs'!$B$30*(3*149*'Inputs'!$B$12-149^2)/(2*'Inputs'!$B$12^2)),0)</x:f>
        <x:v>284306.85869769007</x:v>
      </x:c>
      <x:c r="E518" s="78" t="n">
        <x:f>C518+D518</x:f>
        <x:v>781843.8614186496</x:v>
      </x:c>
      <x:c r="F518" s="78" t="n">
        <x:f>'Inputs'!$B$13*E518+(1-'Inputs'!$B$13)/'Inputs'!$B$14*SUM(E463:E518)</x:f>
        <x:v>790273.4448301741</x:v>
      </x:c>
      <x:c r="G518" s="78" t="n">
        <x:f>F518*'Inputs'!$F$45</x:f>
        <x:v>553191.4113811218</x:v>
      </x:c>
      <x:c r="H518" s="78" t="n">
        <x:f>U517</x:f>
        <x:v>13789160193.171232</x:v>
      </x:c>
      <x:c r="I518" s="78" t="n">
        <x:f>V517</x:f>
        <x:v>1.2217833631744268</x:v>
      </x:c>
      <x:c r="J518" s="79" t="n">
        <x:f>IF(H518&gt;0,I518/H518,0)</x:f>
        <x:v>8.860462465143361e-11</x:v>
      </x:c>
      <x:c r="K518" s="80" t="n">
        <x:f>(H518*J518+I518)*'Inputs'!$D$45*(1+'Inputs'!$G$45)^(B518/30)</x:f>
        <x:v>1.2217833631744268</x:v>
      </x:c>
      <x:c r="L518" s="80" t="n">
        <x:f>MAX(0,K518*'Inputs'!$E$45)</x:f>
        <x:v>0</x:v>
      </x:c>
      <x:c r="M518" s="80" t="n">
        <x:f>MAX(0,-K518*'Inputs'!$E$45)</x:f>
        <x:v>0.06108916815872134</x:v>
      </x:c>
      <x:c r="N518" s="78" t="n">
        <x:f>H518*(L518*(1-'Inputs'!$B$15))/(I518+L518*(1-'Inputs'!$B$15))</x:f>
        <x:v>0</x:v>
      </x:c>
      <x:c r="O518" s="78" t="n">
        <x:f>H518-N518</x:f>
        <x:v>13789160193.171232</x:v>
      </x:c>
      <x:c r="P518" s="78" t="n">
        <x:f>I518+L518*(1-'Inputs'!$B$17)</x:f>
        <x:v>1.2217833631744268</x:v>
      </x:c>
      <x:c r="Q518" s="78" t="n">
        <x:f>IF(J518&gt;0,M518/J518,0)</x:f>
        <x:v>689458009.6585616</x:v>
      </x:c>
      <x:c r="R518" s="78" t="n">
        <x:f>IF(B518='Inputs'!$H$45,'Inputs'!$B$27*'Inputs'!$I$45,0)</x:f>
        <x:v>0</x:v>
      </x:c>
      <x:c r="S518" s="78" t="n">
        <x:f>Q518+G518+R518</x:f>
        <x:v>690011201.0699427</x:v>
      </x:c>
      <x:c r="T518" s="78" t="n">
        <x:f>P518*(S518*(1-'Inputs'!$B$15))/(O518+S518*(1-'Inputs'!$B$15))</x:f>
        <x:v>0.05766985344154746</x:v>
      </x:c>
      <x:c r="U518" s="78" t="n">
        <x:f>O518+S518*(1-'Inputs'!$B$17)</x:f>
        <x:v>14476394689.206688</x:v>
      </x:c>
      <x:c r="V518" s="78" t="n">
        <x:f>P518-T518</x:f>
        <x:v>1.1641135097328794</x:v>
      </x:c>
      <x:c r="W518" s="79" t="n">
        <x:f>IF(U518&gt;0,V518/U518,0)</x:f>
        <x:v>8.041460147538111e-11</x:v>
      </x:c>
      <x:c r="X518" s="80" t="n">
        <x:f>W518*('Inputs'!$B$6-AC518)</x:f>
        <x:v>0.03126683390275647</x:v>
      </x:c>
      <x:c r="Y518" s="80" t="n">
        <x:f>2*V518</x:f>
        <x:v>2.328227019465759</x:v>
      </x:c>
      <x:c r="Z518" s="80" t="n">
        <x:f>K518*'Inputs'!$B$16+(G518+R518)*J518*'Inputs'!$B$16</x:f>
        <x:v>0.007330994270950756</x:v>
      </x:c>
      <x:c r="AA518" s="80" t="n">
        <x:f>K518*(1+'Inputs'!$E$45)/2*'Inputs'!$B$17</x:f>
        <x:v>0.0023354007948002123</x:v>
      </x:c>
      <x:c r="AB518" s="78" t="n">
        <x:f>(IF(J518&gt;0,K518*(1-'Inputs'!$E$45)/2/J518,0)+G518+R518)*'Inputs'!$B$17</x:f>
        <x:v>29134254.699502125</x:v>
      </x:c>
      <x:c r="AC518" s="78" t="n">
        <x:f>AC517+AB518</x:f>
        <x:v>611179644.8766983</x:v>
      </x:c>
      <x:c r="AD518" s="80" t="n">
        <x:f>Z518/(1+'Inputs'!$C$45)</x:f>
        <x:v>0.004887329513967171</x:v>
      </x:c>
      <x:c r="AE518" s="80" t="n">
        <x:f>Z518-AD518</x:f>
        <x:v>0.002443664756983585</x:v>
      </x:c>
      <x:c r="AF518" s="80" t="n">
        <x:f>D518*W518</x:f>
        <x:v>0.000022862422738892237</x:v>
      </x:c>
      <x:c r="AG518" s="80" t="n">
        <x:f>C518*W518</x:f>
        <x:v>0.00004000923979306156</x:v>
      </x:c>
      <x:c r="AH518" s="80" t="n">
        <x:f>2*'Inputs'!$B$8*'Inputs'!$C$45</x:f>
        <x:v>2500</x:v>
      </x:c>
      <x:c r="AI518" s="81" t="n">
        <x:f>IF(AH518&gt;0,(AE518+AF518)/AH518*365,0)</x:f>
        <x:v>0.0003601129682394817</x:v>
      </x:c>
      <x:c r="AJ518" s="81" t="n">
        <x:f>IF('Inputs'!$B$45&gt;0,AG518/('Inputs'!$B$19*'Inputs'!$B$45)*365,0)</x:f>
        <x:v>0.0000019471163365956627</x:v>
      </x:c>
      <x:c r="AK518" s="81" t="n">
        <x:f>W518/MAX($W$369:W518)-1</x:f>
        <x:v>-0.9999998930418867</x:v>
      </x:c>
      <x:c r="AL518" s="83" t="n">
        <x:f>'Inputs'!$B$45</x:f>
        <x:v>0.75</x:v>
      </x:c>
      <x:c r="AM518" s="83" t="n">
        <x:f>'Inputs'!$C$45</x:f>
        <x:v>0.5</x:v>
      </x:c>
      <x:c r="AN518" s="83" t="n">
        <x:f>'Inputs'!$D$45</x:f>
        <x:v>0.5</x:v>
      </x:c>
      <x:c r="AO518" s="81" t="n">
        <x:f>'Inputs'!$E$45</x:f>
        <x:v>-0.05</x:v>
      </x:c>
    </x:row>
    <x:row r="519">
      <x:c r="A519" s="59" t="str">
        <x:v>Weak demand</x:v>
      </x:c>
      <x:c r="B519" s="59" t="n">
        <x:v>151</x:v>
      </x:c>
      <x:c r="C519" s="78" t="n">
        <x:f>(('Inputs'!$B$29*(3*151*'Inputs'!$B$12-151^2)/(2*'Inputs'!$B$12^2))-('Inputs'!$B$29*(3*150*'Inputs'!$B$12-150^2)/(2*'Inputs'!$B$12^2)))*'Inputs'!$B$45</x:f>
        <x:v>497293.17179583013</x:v>
      </x:c>
      <x:c r="D519" s="78" t="n">
        <x:f>IF('Inputs'!$C$45&gt;0,('Inputs'!$B$30*(3*151*'Inputs'!$B$12-151^2)/(2*'Inputs'!$B$12^2))-('Inputs'!$B$30*(3*150*'Inputs'!$B$12-150^2)/(2*'Inputs'!$B$12^2)),0)</x:f>
        <x:v>284167.5267404765</x:v>
      </x:c>
      <x:c r="E519" s="78" t="n">
        <x:f>C519+D519</x:f>
        <x:v>781460.6985363066</x:v>
      </x:c>
      <x:c r="F519" s="78" t="n">
        <x:f>'Inputs'!$B$13*E519+(1-'Inputs'!$B$13)/'Inputs'!$B$14*SUM(E464:E519)</x:f>
        <x:v>789890.281947832</x:v>
      </x:c>
      <x:c r="G519" s="78" t="n">
        <x:f>F519*'Inputs'!$F$45</x:f>
        <x:v>552923.1973634823</x:v>
      </x:c>
      <x:c r="H519" s="78" t="n">
        <x:f>U518</x:f>
        <x:v>14476394689.206688</x:v>
      </x:c>
      <x:c r="I519" s="78" t="n">
        <x:f>V518</x:f>
        <x:v>1.1641135097328794</x:v>
      </x:c>
      <x:c r="J519" s="79" t="n">
        <x:f>IF(H519&gt;0,I519/H519,0)</x:f>
        <x:v>8.041460147538111e-11</x:v>
      </x:c>
      <x:c r="K519" s="80" t="n">
        <x:f>(H519*J519+I519)*'Inputs'!$D$45*(1+'Inputs'!$G$45)^(B519/30)</x:f>
        <x:v>1.1641135097328794</x:v>
      </x:c>
      <x:c r="L519" s="80" t="n">
        <x:f>MAX(0,K519*'Inputs'!$E$45)</x:f>
        <x:v>0</x:v>
      </x:c>
      <x:c r="M519" s="80" t="n">
        <x:f>MAX(0,-K519*'Inputs'!$E$45)</x:f>
        <x:v>0.058205675486643974</x:v>
      </x:c>
      <x:c r="N519" s="78" t="n">
        <x:f>H519*(L519*(1-'Inputs'!$B$15))/(I519+L519*(1-'Inputs'!$B$15))</x:f>
        <x:v>0</x:v>
      </x:c>
      <x:c r="O519" s="78" t="n">
        <x:f>H519-N519</x:f>
        <x:v>14476394689.206688</x:v>
      </x:c>
      <x:c r="P519" s="78" t="n">
        <x:f>I519+L519*(1-'Inputs'!$B$17)</x:f>
        <x:v>1.1641135097328794</x:v>
      </x:c>
      <x:c r="Q519" s="78" t="n">
        <x:f>IF(J519&gt;0,M519/J519,0)</x:f>
        <x:v>723819734.4603344</x:v>
      </x:c>
      <x:c r="R519" s="78" t="n">
        <x:f>IF(B519='Inputs'!$H$45,'Inputs'!$B$27*'Inputs'!$I$45,0)</x:f>
        <x:v>0</x:v>
      </x:c>
      <x:c r="S519" s="78" t="n">
        <x:f>Q519+G519+R519</x:f>
        <x:v>724372657.6576979</x:v>
      </x:c>
      <x:c r="T519" s="78" t="n">
        <x:f>P519*(S519*(1-'Inputs'!$B$15))/(O519+S519*(1-'Inputs'!$B$15))</x:f>
        <x:v>0.05494574515796343</x:v>
      </x:c>
      <x:c r="U519" s="78" t="n">
        <x:f>O519+S519*(1-'Inputs'!$B$17)</x:f>
        <x:v>15197852366.350674</x:v>
      </x:c>
      <x:c r="V519" s="78" t="n">
        <x:f>P519-T519</x:f>
        <x:v>1.109167764574916</x:v>
      </x:c>
      <x:c r="W519" s="79" t="n">
        <x:f>IF(U519&gt;0,V519/U519,0)</x:f>
        <x:v>7.29818751911755e-11</x:v>
      </x:c>
      <x:c r="X519" s="80" t="n">
        <x:f>W519*('Inputs'!$B$6-AC519)</x:f>
        <x:v>0.02614460350124697</x:v>
      </x:c>
      <x:c r="Y519" s="80" t="n">
        <x:f>2*V519</x:f>
        <x:v>2.218335529149832</x:v>
      </x:c>
      <x:c r="Z519" s="80" t="n">
        <x:f>K519*'Inputs'!$B$16+(G519+R519)*J519*'Inputs'!$B$16</x:f>
        <x:v>0.006984947836988652</x:v>
      </x:c>
      <x:c r="AA519" s="80" t="n">
        <x:f>K519*(1+'Inputs'!$E$45)/2*'Inputs'!$B$17</x:f>
        <x:v>0.002225166668503492</x:v>
      </x:c>
      <x:c r="AB519" s="78" t="n">
        <x:f>(IF(J519&gt;0,K519*(1-'Inputs'!$E$45)/2/J519,0)+G519+R519)*'Inputs'!$B$17</x:f>
        <x:v>30586157.485033706</x:v>
      </x:c>
      <x:c r="AC519" s="78" t="n">
        <x:f>AC518+AB519</x:f>
        <x:v>641765802.361732</x:v>
      </x:c>
      <x:c r="AD519" s="80" t="n">
        <x:f>Z519/(1+'Inputs'!$C$45)</x:f>
        <x:v>0.004656631891325768</x:v>
      </x:c>
      <x:c r="AE519" s="80" t="n">
        <x:f>Z519-AD519</x:f>
        <x:v>0.002328315945662884</x:v>
      </x:c>
      <x:c r="AF519" s="80" t="n">
        <x:f>D519*W519</x:f>
        <x:v>0.00002073907896995848</x:v>
      </x:c>
      <x:c r="AG519" s="80" t="n">
        <x:f>C519*W519</x:f>
        <x:v>0.00003629338819742707</x:v>
      </x:c>
      <x:c r="AH519" s="80" t="n">
        <x:f>2*'Inputs'!$B$8*'Inputs'!$C$45</x:f>
        <x:v>2500</x:v>
      </x:c>
      <x:c r="AI519" s="81" t="n">
        <x:f>IF(AH519&gt;0,(AE519+AF519)/AH519*365,0)</x:f>
        <x:v>0.000342962033596395</x:v>
      </x:c>
      <x:c r="AJ519" s="81" t="n">
        <x:f>IF('Inputs'!$B$45&gt;0,AG519/('Inputs'!$B$19*'Inputs'!$B$45)*365,0)</x:f>
        <x:v>0.0000017662782256081174</x:v>
      </x:c>
      <x:c r="AK519" s="81" t="n">
        <x:f>W519/MAX($W$369:W519)-1</x:f>
        <x:v>-0.9999999029280313</x:v>
      </x:c>
      <x:c r="AL519" s="83" t="n">
        <x:f>'Inputs'!$B$45</x:f>
        <x:v>0.75</x:v>
      </x:c>
      <x:c r="AM519" s="83" t="n">
        <x:f>'Inputs'!$C$45</x:f>
        <x:v>0.5</x:v>
      </x:c>
      <x:c r="AN519" s="83" t="n">
        <x:f>'Inputs'!$D$45</x:f>
        <x:v>0.5</x:v>
      </x:c>
      <x:c r="AO519" s="81" t="n">
        <x:f>'Inputs'!$E$45</x:f>
        <x:v>-0.05</x:v>
      </x:c>
    </x:row>
    <x:row r="520">
      <x:c r="A520" s="59" t="str">
        <x:v>Weak demand</x:v>
      </x:c>
      <x:c r="B520" s="59" t="n">
        <x:v>152</x:v>
      </x:c>
      <x:c r="C520" s="78" t="n">
        <x:f>(('Inputs'!$B$29*(3*152*'Inputs'!$B$12-152^2)/(2*'Inputs'!$B$12^2))-('Inputs'!$B$29*(3*151*'Inputs'!$B$12-151^2)/(2*'Inputs'!$B$12^2)))*'Inputs'!$B$45</x:f>
        <x:v>497049.34087071195</x:v>
      </x:c>
      <x:c r="D520" s="78" t="n">
        <x:f>IF('Inputs'!$C$45&gt;0,('Inputs'!$B$30*(3*152*'Inputs'!$B$12-152^2)/(2*'Inputs'!$B$12^2))-('Inputs'!$B$30*(3*151*'Inputs'!$B$12-151^2)/(2*'Inputs'!$B$12^2)),0)</x:f>
        <x:v>284028.1947832629</x:v>
      </x:c>
      <x:c r="E520" s="78" t="n">
        <x:f>C520+D520</x:f>
        <x:v>781077.5356539749</x:v>
      </x:c>
      <x:c r="F520" s="78" t="n">
        <x:f>'Inputs'!$B$13*E520+(1-'Inputs'!$B$13)/'Inputs'!$B$14*SUM(E465:E520)</x:f>
        <x:v>789507.119065492</x:v>
      </x:c>
      <x:c r="G520" s="78" t="n">
        <x:f>F520*'Inputs'!$F$45</x:f>
        <x:v>552654.9833458443</x:v>
      </x:c>
      <x:c r="H520" s="78" t="n">
        <x:f>U519</x:f>
        <x:v>15197852366.350674</x:v>
      </x:c>
      <x:c r="I520" s="78" t="n">
        <x:f>V519</x:f>
        <x:v>1.109167764574916</x:v>
      </x:c>
      <x:c r="J520" s="79" t="n">
        <x:f>IF(H520&gt;0,I520/H520,0)</x:f>
        <x:v>7.29818751911755e-11</x:v>
      </x:c>
      <x:c r="K520" s="80" t="n">
        <x:f>(H520*J520+I520)*'Inputs'!$D$45*(1+'Inputs'!$G$45)^(B520/30)</x:f>
        <x:v>1.109167764574916</x:v>
      </x:c>
      <x:c r="L520" s="80" t="n">
        <x:f>MAX(0,K520*'Inputs'!$E$45)</x:f>
        <x:v>0</x:v>
      </x:c>
      <x:c r="M520" s="80" t="n">
        <x:f>MAX(0,-K520*'Inputs'!$E$45)</x:f>
        <x:v>0.055458388228745804</x:v>
      </x:c>
      <x:c r="N520" s="78" t="n">
        <x:f>H520*(L520*(1-'Inputs'!$B$15))/(I520+L520*(1-'Inputs'!$B$15))</x:f>
        <x:v>0</x:v>
      </x:c>
      <x:c r="O520" s="78" t="n">
        <x:f>H520-N520</x:f>
        <x:v>15197852366.350674</x:v>
      </x:c>
      <x:c r="P520" s="78" t="n">
        <x:f>I520+L520*(1-'Inputs'!$B$17)</x:f>
        <x:v>1.109167764574916</x:v>
      </x:c>
      <x:c r="Q520" s="78" t="n">
        <x:f>IF(J520&gt;0,M520/J520,0)</x:f>
        <x:v>759892618.3175337</x:v>
      </x:c>
      <x:c r="R520" s="78" t="n">
        <x:f>IF(B520='Inputs'!$H$45,'Inputs'!$B$27*'Inputs'!$I$45,0)</x:f>
        <x:v>0</x:v>
      </x:c>
      <x:c r="S520" s="78" t="n">
        <x:f>Q520+G520+R520</x:f>
        <x:v>760445273.3008796</x:v>
      </x:c>
      <x:c r="T520" s="78" t="n">
        <x:f>P520*(S520*(1-'Inputs'!$B$15))/(O520+S520*(1-'Inputs'!$B$15))</x:f>
        <x:v>0.05235050039799094</x:v>
      </x:c>
      <x:c r="U520" s="78" t="n">
        <x:f>O520+S520*(1-'Inputs'!$B$17)</x:f>
        <x:v>15955237497.70668</x:v>
      </x:c>
      <x:c r="V520" s="78" t="n">
        <x:f>P520-T520</x:f>
        <x:v>1.0568172641769251</x:v>
      </x:c>
      <x:c r="W520" s="79" t="n">
        <x:f>IF(U520&gt;0,V520/U520,0)</x:f>
        <x:v>6.623638565886759e-11</x:v>
      </x:c>
      <x:c r="X520" s="80" t="n">
        <x:f>W520*('Inputs'!$B$6-AC520)</x:f>
        <x:v>0.021601264099157337</x:v>
      </x:c>
      <x:c r="Y520" s="80" t="n">
        <x:f>2*V520</x:f>
        <x:v>2.1136345283538502</x:v>
      </x:c>
      <x:c r="Z520" s="80" t="n">
        <x:f>K520*'Inputs'!$B$16+(G520+R520)*J520*'Inputs'!$B$16</x:f>
        <x:v>0.0066552485902316065</x:v>
      </x:c>
      <x:c r="AA520" s="80" t="n">
        <x:f>K520*(1+'Inputs'!$E$45)/2*'Inputs'!$B$17</x:f>
        <x:v>0.002120139590233743</x:v>
      </x:c>
      <x:c r="AB520" s="78" t="n">
        <x:f>(IF(J520&gt;0,K520*(1-'Inputs'!$E$45)/2/J520,0)+G520+R520)*'Inputs'!$B$17</x:f>
        <x:v>32110362.765864994</x:v>
      </x:c>
      <x:c r="AC520" s="78" t="n">
        <x:f>AC519+AB520</x:f>
        <x:v>673876165.127597</x:v>
      </x:c>
      <x:c r="AD520" s="80" t="n">
        <x:f>Z520/(1+'Inputs'!$C$45)</x:f>
        <x:v>0.004436832393487738</x:v>
      </x:c>
      <x:c r="AE520" s="80" t="n">
        <x:f>Z520-AD520</x:f>
        <x:v>0.0022184161967438686</x:v>
      </x:c>
      <x:c r="AF520" s="80" t="n">
        <x:f>D520*W520</x:f>
        <x:v>0.000018813001047656164</x:v>
      </x:c>
      <x:c r="AG520" s="80" t="n">
        <x:f>C520*W520</x:f>
        <x:v>0.000032922751833398416</x:v>
      </x:c>
      <x:c r="AH520" s="80" t="n">
        <x:f>2*'Inputs'!$B$8*'Inputs'!$C$45</x:f>
        <x:v>2500</x:v>
      </x:c>
      <x:c r="AI520" s="81" t="n">
        <x:f>IF(AH520&gt;0,(AE520+AF520)/AH520*365,0)</x:f>
        <x:v>0.00032663546287756265</x:v>
      </x:c>
      <x:c r="AJ520" s="81" t="n">
        <x:f>IF('Inputs'!$B$45&gt;0,AG520/('Inputs'!$B$19*'Inputs'!$B$45)*365,0)</x:f>
        <x:v>0.0000016022405892253896</x:v>
      </x:c>
      <x:c r="AK520" s="81" t="n">
        <x:f>W520/MAX($W$369:W520)-1</x:f>
        <x:v>-0.9999999119000939</x:v>
      </x:c>
      <x:c r="AL520" s="83" t="n">
        <x:f>'Inputs'!$B$45</x:f>
        <x:v>0.75</x:v>
      </x:c>
      <x:c r="AM520" s="83" t="n">
        <x:f>'Inputs'!$C$45</x:f>
        <x:v>0.5</x:v>
      </x:c>
      <x:c r="AN520" s="83" t="n">
        <x:f>'Inputs'!$D$45</x:f>
        <x:v>0.5</x:v>
      </x:c>
      <x:c r="AO520" s="81" t="n">
        <x:f>'Inputs'!$E$45</x:f>
        <x:v>-0.05</x:v>
      </x:c>
    </x:row>
    <x:row r="521">
      <x:c r="A521" s="59" t="str">
        <x:v>Weak demand</x:v>
      </x:c>
      <x:c r="B521" s="59" t="n">
        <x:v>153</x:v>
      </x:c>
      <x:c r="C521" s="78" t="n">
        <x:f>(('Inputs'!$B$29*(3*153*'Inputs'!$B$12-153^2)/(2*'Inputs'!$B$12^2))-('Inputs'!$B$29*(3*152*'Inputs'!$B$12-152^2)/(2*'Inputs'!$B$12^2)))*'Inputs'!$B$45</x:f>
        <x:v>496805.5099455826</x:v>
      </x:c>
      <x:c r="D521" s="78" t="n">
        <x:f>IF('Inputs'!$C$45&gt;0,('Inputs'!$B$30*(3*153*'Inputs'!$B$12-153^2)/(2*'Inputs'!$B$12^2))-('Inputs'!$B$30*(3*152*'Inputs'!$B$12-152^2)/(2*'Inputs'!$B$12^2)),0)</x:f>
        <x:v>283888.8628260493</x:v>
      </x:c>
      <x:c r="E521" s="78" t="n">
        <x:f>C521+D521</x:f>
        <x:v>780694.3727716319</x:v>
      </x:c>
      <x:c r="F521" s="78" t="n">
        <x:f>'Inputs'!$B$13*E521+(1-'Inputs'!$B$13)/'Inputs'!$B$14*SUM(E466:E521)</x:f>
        <x:v>789123.9561831502</x:v>
      </x:c>
      <x:c r="G521" s="78" t="n">
        <x:f>F521*'Inputs'!$F$45</x:f>
        <x:v>552386.769328205</x:v>
      </x:c>
      <x:c r="H521" s="78" t="n">
        <x:f>U520</x:f>
        <x:v>15955237497.70668</x:v>
      </x:c>
      <x:c r="I521" s="78" t="n">
        <x:f>V520</x:f>
        <x:v>1.0568172641769251</x:v>
      </x:c>
      <x:c r="J521" s="79" t="n">
        <x:f>IF(H521&gt;0,I521/H521,0)</x:f>
        <x:v>6.623638565886759e-11</x:v>
      </x:c>
      <x:c r="K521" s="80" t="n">
        <x:f>(H521*J521+I521)*'Inputs'!$D$45*(1+'Inputs'!$G$45)^(B521/30)</x:f>
        <x:v>1.0568172641769251</x:v>
      </x:c>
      <x:c r="L521" s="80" t="n">
        <x:f>MAX(0,K521*'Inputs'!$E$45)</x:f>
        <x:v>0</x:v>
      </x:c>
      <x:c r="M521" s="80" t="n">
        <x:f>MAX(0,-K521*'Inputs'!$E$45)</x:f>
        <x:v>0.05284086320884626</x:v>
      </x:c>
      <x:c r="N521" s="78" t="n">
        <x:f>H521*(L521*(1-'Inputs'!$B$15))/(I521+L521*(1-'Inputs'!$B$15))</x:f>
        <x:v>0</x:v>
      </x:c>
      <x:c r="O521" s="78" t="n">
        <x:f>H521-N521</x:f>
        <x:v>15955237497.70668</x:v>
      </x:c>
      <x:c r="P521" s="78" t="n">
        <x:f>I521+L521*(1-'Inputs'!$B$17)</x:f>
        <x:v>1.0568172641769251</x:v>
      </x:c>
      <x:c r="Q521" s="78" t="n">
        <x:f>IF(J521&gt;0,M521/J521,0)</x:f>
        <x:v>797761874.885334</x:v>
      </x:c>
      <x:c r="R521" s="78" t="n">
        <x:f>IF(B521='Inputs'!$H$45,'Inputs'!$B$27*'Inputs'!$I$45,0)</x:f>
        <x:v>0</x:v>
      </x:c>
      <x:c r="S521" s="78" t="n">
        <x:f>Q521+G521+R521</x:f>
        <x:v>798314261.6546623</x:v>
      </x:c>
      <x:c r="T521" s="78" t="n">
        <x:f>P521*(S521*(1-'Inputs'!$B$15))/(O521+S521*(1-'Inputs'!$B$15))</x:f>
        <x:v>0.049878005944841555</x:v>
      </x:c>
      <x:c r="U521" s="78" t="n">
        <x:f>O521+S521*(1-'Inputs'!$B$17)</x:f>
        <x:v>16750339227.121284</x:v>
      </x:c>
      <x:c r="V521" s="78" t="n">
        <x:f>P521-T521</x:f>
        <x:v>1.0069392582320835</x:v>
      </x:c>
      <x:c r="W521" s="79" t="n">
        <x:f>IF(U521&gt;0,V521/U521,0)</x:f>
        <x:v>6.011455914884992e-11</x:v>
      </x:c>
      <x:c r="X521" s="80" t="n">
        <x:f>W521*('Inputs'!$B$6-AC521)</x:f>
        <x:v>0.017578300451269607</x:v>
      </x:c>
      <x:c r="Y521" s="80" t="n">
        <x:f>2*V521</x:f>
        <x:v>2.013878516464167</x:v>
      </x:c>
      <x:c r="Z521" s="80" t="n">
        <x:f>K521*'Inputs'!$B$16+(G521+R521)*J521*'Inputs'!$B$16</x:f>
        <x:v>0.006341123113680067</x:v>
      </x:c>
      <x:c r="AA521" s="80" t="n">
        <x:f>K521*(1+'Inputs'!$E$45)/2*'Inputs'!$B$17</x:f>
        <x:v>0.0020200732413844643</x:v>
      </x:c>
      <x:c r="AB521" s="78" t="n">
        <x:f>(IF(J521&gt;0,K521*(1-'Inputs'!$E$45)/2/J521,0)+G521+R521)*'Inputs'!$B$17</x:f>
        <x:v>33710471.1189752</x:v>
      </x:c>
      <x:c r="AC521" s="78" t="n">
        <x:f>AC520+AB521</x:f>
        <x:v>707586636.2465721</x:v>
      </x:c>
      <x:c r="AD521" s="80" t="n">
        <x:f>Z521/(1+'Inputs'!$C$45)</x:f>
        <x:v>0.004227415409120044</x:v>
      </x:c>
      <x:c r="AE521" s="80" t="n">
        <x:f>Z521-AD521</x:f>
        <x:v>0.0021137077045600226</x:v>
      </x:c>
      <x:c r="AF521" s="80" t="n">
        <x:f>D521*W521</x:f>
        <x:v>0.000017065853836056285</x:v>
      </x:c>
      <x:c r="AG521" s="80" t="n">
        <x:f>C521*W521</x:f>
        <x:v>0.000029865244213098274</x:v>
      </x:c>
      <x:c r="AH521" s="80" t="n">
        <x:f>2*'Inputs'!$B$8*'Inputs'!$C$45</x:f>
        <x:v>2500</x:v>
      </x:c>
      <x:c r="AI521" s="81" t="n">
        <x:f>IF(AH521&gt;0,(AE521+AF521)/AH521*365,0)</x:f>
        <x:v>0.0003110929395258275</x:v>
      </x:c>
      <x:c r="AJ521" s="81" t="n">
        <x:f>IF('Inputs'!$B$45&gt;0,AG521/('Inputs'!$B$19*'Inputs'!$B$45)*365,0)</x:f>
        <x:v>0.0000014534418850374492</x:v>
      </x:c>
      <x:c r="AK521" s="81" t="n">
        <x:f>W521/MAX($W$369:W521)-1</x:f>
        <x:v>-0.9999999200426327</x:v>
      </x:c>
      <x:c r="AL521" s="83" t="n">
        <x:f>'Inputs'!$B$45</x:f>
        <x:v>0.75</x:v>
      </x:c>
      <x:c r="AM521" s="83" t="n">
        <x:f>'Inputs'!$C$45</x:f>
        <x:v>0.5</x:v>
      </x:c>
      <x:c r="AN521" s="83" t="n">
        <x:f>'Inputs'!$D$45</x:f>
        <x:v>0.5</x:v>
      </x:c>
      <x:c r="AO521" s="81" t="n">
        <x:f>'Inputs'!$E$45</x:f>
        <x:v>-0.05</x:v>
      </x:c>
    </x:row>
    <x:row r="522">
      <x:c r="A522" s="59" t="str">
        <x:v>Weak demand</x:v>
      </x:c>
      <x:c r="B522" s="59" t="n">
        <x:v>154</x:v>
      </x:c>
      <x:c r="C522" s="78" t="n">
        <x:f>(('Inputs'!$B$29*(3*154*'Inputs'!$B$12-154^2)/(2*'Inputs'!$B$12^2))-('Inputs'!$B$29*(3*153*'Inputs'!$B$12-153^2)/(2*'Inputs'!$B$12^2)))*'Inputs'!$B$45</x:f>
        <x:v>496561.67902045324</x:v>
      </x:c>
      <x:c r="D522" s="78" t="n">
        <x:f>IF('Inputs'!$C$45&gt;0,('Inputs'!$B$30*(3*154*'Inputs'!$B$12-154^2)/(2*'Inputs'!$B$12^2))-('Inputs'!$B$30*(3*153*'Inputs'!$B$12-153^2)/(2*'Inputs'!$B$12^2)),0)</x:f>
        <x:v>283749.5308688283</x:v>
      </x:c>
      <x:c r="E522" s="78" t="n">
        <x:f>C522+D522</x:f>
        <x:v>780311.2098892815</x:v>
      </x:c>
      <x:c r="F522" s="78" t="n">
        <x:f>'Inputs'!$B$13*E522+(1-'Inputs'!$B$13)/'Inputs'!$B$14*SUM(E467:E522)</x:f>
        <x:v>788740.7933008063</x:v>
      </x:c>
      <x:c r="G522" s="78" t="n">
        <x:f>F522*'Inputs'!$F$45</x:f>
        <x:v>552118.5553105643</x:v>
      </x:c>
      <x:c r="H522" s="78" t="n">
        <x:f>U521</x:f>
        <x:v>16750339227.121284</x:v>
      </x:c>
      <x:c r="I522" s="78" t="n">
        <x:f>V521</x:f>
        <x:v>1.0069392582320835</x:v>
      </x:c>
      <x:c r="J522" s="79" t="n">
        <x:f>IF(H522&gt;0,I522/H522,0)</x:f>
        <x:v>6.011455914884992e-11</x:v>
      </x:c>
      <x:c r="K522" s="80" t="n">
        <x:f>(H522*J522+I522)*'Inputs'!$D$45*(1+'Inputs'!$G$45)^(B522/30)</x:f>
        <x:v>1.0069392582320835</x:v>
      </x:c>
      <x:c r="L522" s="80" t="n">
        <x:f>MAX(0,K522*'Inputs'!$E$45)</x:f>
        <x:v>0</x:v>
      </x:c>
      <x:c r="M522" s="80" t="n">
        <x:f>MAX(0,-K522*'Inputs'!$E$45)</x:f>
        <x:v>0.050346962911604176</x:v>
      </x:c>
      <x:c r="N522" s="78" t="n">
        <x:f>H522*(L522*(1-'Inputs'!$B$15))/(I522+L522*(1-'Inputs'!$B$15))</x:f>
        <x:v>0</x:v>
      </x:c>
      <x:c r="O522" s="78" t="n">
        <x:f>H522-N522</x:f>
        <x:v>16750339227.121284</x:v>
      </x:c>
      <x:c r="P522" s="78" t="n">
        <x:f>I522+L522*(1-'Inputs'!$B$17)</x:f>
        <x:v>1.0069392582320835</x:v>
      </x:c>
      <x:c r="Q522" s="78" t="n">
        <x:f>IF(J522&gt;0,M522/J522,0)</x:f>
        <x:v>837516961.3560642</x:v>
      </x:c>
      <x:c r="R522" s="78" t="n">
        <x:f>IF(B522='Inputs'!$H$45,'Inputs'!$B$27*'Inputs'!$I$45,0)</x:f>
        <x:v>0</x:v>
      </x:c>
      <x:c r="S522" s="78" t="n">
        <x:f>Q522+G522+R522</x:f>
        <x:v>838069079.9113748</x:v>
      </x:c>
      <x:c r="T522" s="78" t="n">
        <x:f>P522*(S522*(1-'Inputs'!$B$15))/(O522+S522*(1-'Inputs'!$B$15))</x:f>
        <x:v>0.047522440199412125</x:v>
      </x:c>
      <x:c r="U522" s="78" t="n">
        <x:f>O522+S522*(1-'Inputs'!$B$17)</x:f>
        <x:v>17585035795.644688</x:v>
      </x:c>
      <x:c r="V522" s="78" t="n">
        <x:f>P522-T522</x:f>
        <x:v>0.9594168180326714</x:v>
      </x:c>
      <x:c r="W522" s="79" t="n">
        <x:f>IF(U522&gt;0,V522/U522,0)</x:f>
        <x:v>5.4558707140663976e-11</x:v>
      </x:c>
      <x:c r="X522" s="80" t="n">
        <x:f>W522*('Inputs'!$B$6-AC522)</x:f>
        <x:v>0.014022848113723051</x:v>
      </x:c>
      <x:c r="Y522" s="80" t="n">
        <x:f>2*V522</x:f>
        <x:v>1.9188336360653429</x:v>
      </x:c>
      <x:c r="Z522" s="80" t="n">
        <x:f>K522*'Inputs'!$B$16+(G522+R522)*J522*'Inputs'!$B$16</x:f>
        <x:v>0.006041834691573804</x:v>
      </x:c>
      <x:c r="AA522" s="80" t="n">
        <x:f>K522*(1+'Inputs'!$E$45)/2*'Inputs'!$B$17</x:f>
        <x:v>0.0019247329885723932</x:v>
      </x:c>
      <x:c r="AB522" s="78" t="n">
        <x:f>(IF(J522&gt;0,K522*(1-'Inputs'!$E$45)/2/J522,0)+G522+R522)*'Inputs'!$B$17</x:f>
        <x:v>35390262.425730325</x:v>
      </x:c>
      <x:c r="AC522" s="78" t="n">
        <x:f>AC521+AB522</x:f>
        <x:v>742976898.6723025</x:v>
      </x:c>
      <x:c r="AD522" s="80" t="n">
        <x:f>Z522/(1+'Inputs'!$C$45)</x:f>
        <x:v>0.004027889794382536</x:v>
      </x:c>
      <x:c r="AE522" s="80" t="n">
        <x:f>Z522-AD522</x:f>
        <x:v>0.0020139448971912676</x:v>
      </x:c>
      <x:c r="AF522" s="80" t="n">
        <x:f>D522*W522</x:f>
        <x:v>0.000015481007555973194</x:v>
      </x:c>
      <x:c r="AG522" s="80" t="n">
        <x:f>C522*W522</x:f>
        <x:v>0.000027091763222953294</x:v>
      </x:c>
      <x:c r="AH522" s="80" t="n">
        <x:f>2*'Inputs'!$B$8*'Inputs'!$C$45</x:f>
        <x:v>2500</x:v>
      </x:c>
      <x:c r="AI522" s="81" t="n">
        <x:f>IF(AH522&gt;0,(AE522+AF522)/AH522*365,0)</x:f>
        <x:v>0.00029629618209309715</x:v>
      </x:c>
      <x:c r="AJ522" s="81" t="n">
        <x:f>IF('Inputs'!$B$45&gt;0,AG522/('Inputs'!$B$19*'Inputs'!$B$45)*365,0)</x:f>
        <x:v>0.000001318465810183727</x:v>
      </x:c>
      <x:c r="AK522" s="81" t="n">
        <x:f>W522/MAX($W$369:W522)-1</x:f>
        <x:v>-0.9999999274323783</x:v>
      </x:c>
      <x:c r="AL522" s="83" t="n">
        <x:f>'Inputs'!$B$45</x:f>
        <x:v>0.75</x:v>
      </x:c>
      <x:c r="AM522" s="83" t="n">
        <x:f>'Inputs'!$C$45</x:f>
        <x:v>0.5</x:v>
      </x:c>
      <x:c r="AN522" s="83" t="n">
        <x:f>'Inputs'!$D$45</x:f>
        <x:v>0.5</x:v>
      </x:c>
      <x:c r="AO522" s="81" t="n">
        <x:f>'Inputs'!$E$45</x:f>
        <x:v>-0.05</x:v>
      </x:c>
    </x:row>
    <x:row r="523">
      <x:c r="A523" s="59" t="str">
        <x:v>Weak demand</x:v>
      </x:c>
      <x:c r="B523" s="59" t="n">
        <x:v>155</x:v>
      </x:c>
      <x:c r="C523" s="78" t="n">
        <x:f>(('Inputs'!$B$29*(3*155*'Inputs'!$B$12-155^2)/(2*'Inputs'!$B$12^2))-('Inputs'!$B$29*(3*154*'Inputs'!$B$12-154^2)/(2*'Inputs'!$B$12^2)))*'Inputs'!$B$45</x:f>
        <x:v>496317.8480953239</x:v>
      </x:c>
      <x:c r="D523" s="78" t="n">
        <x:f>IF('Inputs'!$C$45&gt;0,('Inputs'!$B$30*(3*155*'Inputs'!$B$12-155^2)/(2*'Inputs'!$B$12^2))-('Inputs'!$B$30*(3*154*'Inputs'!$B$12-154^2)/(2*'Inputs'!$B$12^2)),0)</x:f>
        <x:v>283610.1989116147</x:v>
      </x:c>
      <x:c r="E523" s="78" t="n">
        <x:f>C523+D523</x:f>
        <x:v>779928.0470069386</x:v>
      </x:c>
      <x:c r="F523" s="78" t="n">
        <x:f>'Inputs'!$B$13*E523+(1-'Inputs'!$B$13)/'Inputs'!$B$14*SUM(E468:E523)</x:f>
        <x:v>788357.6304184641</x:v>
      </x:c>
      <x:c r="G523" s="78" t="n">
        <x:f>F523*'Inputs'!$F$45</x:f>
        <x:v>551850.3412929248</x:v>
      </x:c>
      <x:c r="H523" s="78" t="n">
        <x:f>U522</x:f>
        <x:v>17585035795.644688</x:v>
      </x:c>
      <x:c r="I523" s="78" t="n">
        <x:f>V522</x:f>
        <x:v>0.9594168180326714</x:v>
      </x:c>
      <x:c r="J523" s="79" t="n">
        <x:f>IF(H523&gt;0,I523/H523,0)</x:f>
        <x:v>5.4558707140663976e-11</x:v>
      </x:c>
      <x:c r="K523" s="80" t="n">
        <x:f>(H523*J523+I523)*'Inputs'!$D$45*(1+'Inputs'!$G$45)^(B523/30)</x:f>
        <x:v>0.9594168180326714</x:v>
      </x:c>
      <x:c r="L523" s="80" t="n">
        <x:f>MAX(0,K523*'Inputs'!$E$45)</x:f>
        <x:v>0</x:v>
      </x:c>
      <x:c r="M523" s="80" t="n">
        <x:f>MAX(0,-K523*'Inputs'!$E$45)</x:f>
        <x:v>0.047970840901633574</x:v>
      </x:c>
      <x:c r="N523" s="78" t="n">
        <x:f>H523*(L523*(1-'Inputs'!$B$15))/(I523+L523*(1-'Inputs'!$B$15))</x:f>
        <x:v>0</x:v>
      </x:c>
      <x:c r="O523" s="78" t="n">
        <x:f>H523-N523</x:f>
        <x:v>17585035795.644688</x:v>
      </x:c>
      <x:c r="P523" s="78" t="n">
        <x:f>I523+L523*(1-'Inputs'!$B$17)</x:f>
        <x:v>0.9594168180326714</x:v>
      </x:c>
      <x:c r="Q523" s="78" t="n">
        <x:f>IF(J523&gt;0,M523/J523,0)</x:f>
        <x:v>879251789.7822344</x:v>
      </x:c>
      <x:c r="R523" s="78" t="n">
        <x:f>IF(B523='Inputs'!$H$45,'Inputs'!$B$27*'Inputs'!$I$45,0)</x:f>
        <x:v>0</x:v>
      </x:c>
      <x:c r="S523" s="78" t="n">
        <x:f>Q523+G523+R523</x:f>
        <x:v>879803640.1235274</x:v>
      </x:c>
      <x:c r="T523" s="78" t="n">
        <x:f>P523*(S523*(1-'Inputs'!$B$15))/(O523+S523*(1-'Inputs'!$B$15))</x:f>
        <x:v>0.045278259120101964</x:v>
      </x:c>
      <x:c r="U523" s="78" t="n">
        <x:f>O523+S523*(1-'Inputs'!$B$17)</x:f>
        <x:v>18461298978.463894</x:v>
      </x:c>
      <x:c r="V523" s="78" t="n">
        <x:f>P523-T523</x:f>
        <x:v>0.9141385589125695</x:v>
      </x:c>
      <x:c r="W523" s="79" t="n">
        <x:f>IF(U523&gt;0,V523/U523,0)</x:f>
        <x:v>4.951648093554856e-11</x:v>
      </x:c>
      <x:c r="X523" s="80" t="n">
        <x:f>W523*('Inputs'!$B$6-AC523)</x:f>
        <x:v>0.01088715878142354</x:v>
      </x:c>
      <x:c r="Y523" s="80" t="n">
        <x:f>2*V523</x:f>
        <x:v>1.828277117825139</x:v>
      </x:c>
      <x:c r="Z523" s="80" t="n">
        <x:f>K523*'Inputs'!$B$16+(G523+R523)*J523*'Inputs'!$B$16</x:f>
        <x:v>0.005756681557642964</x:v>
      </x:c>
      <x:c r="AA523" s="80" t="n">
        <x:f>K523*(1+'Inputs'!$E$45)/2*'Inputs'!$B$17</x:f>
        <x:v>0.001833895326219392</x:v>
      </x:c>
      <x:c r="AB523" s="78" t="n">
        <x:f>(IF(J523&gt;0,K523*(1-'Inputs'!$E$45)/2/J523,0)+G523+R523)*'Inputs'!$B$17</x:f>
        <x:v>37153704.801025175</x:v>
      </x:c>
      <x:c r="AC523" s="78" t="n">
        <x:f>AC522+AB523</x:f>
        <x:v>780130603.4733276</x:v>
      </x:c>
      <x:c r="AD523" s="80" t="n">
        <x:f>Z523/(1+'Inputs'!$C$45)</x:f>
        <x:v>0.0038377877050953095</x:v>
      </x:c>
      <x:c r="AE523" s="80" t="n">
        <x:f>Z523-AD523</x:f>
        <x:v>0.001918893852547655</x:v>
      </x:c>
      <x:c r="AF523" s="80" t="n">
        <x:f>D523*W523</x:f>
        <x:v>0.000014043379007534105</x:v>
      </x:c>
      <x:c r="AG523" s="80" t="n">
        <x:f>C523*W523</x:f>
        <x:v>0.00002457591326318459</x:v>
      </x:c>
      <x:c r="AH523" s="80" t="n">
        <x:f>2*'Inputs'!$B$8*'Inputs'!$C$45</x:f>
        <x:v>2500</x:v>
      </x:c>
      <x:c r="AI523" s="81" t="n">
        <x:f>IF(AH523&gt;0,(AE523+AF523)/AH523*365,0)</x:f>
        <x:v>0.0002822088358070576</x:v>
      </x:c>
      <x:c r="AJ523" s="81" t="n">
        <x:f>IF('Inputs'!$B$45&gt;0,AG523/('Inputs'!$B$19*'Inputs'!$B$45)*365,0)</x:f>
        <x:v>0.0000011960277788083168</x:v>
      </x:c>
      <x:c r="AK523" s="81" t="n">
        <x:f>W523/MAX($W$369:W523)-1</x:f>
        <x:v>-0.9999999341389588</x:v>
      </x:c>
      <x:c r="AL523" s="83" t="n">
        <x:f>'Inputs'!$B$45</x:f>
        <x:v>0.75</x:v>
      </x:c>
      <x:c r="AM523" s="83" t="n">
        <x:f>'Inputs'!$C$45</x:f>
        <x:v>0.5</x:v>
      </x:c>
      <x:c r="AN523" s="83" t="n">
        <x:f>'Inputs'!$D$45</x:f>
        <x:v>0.5</x:v>
      </x:c>
      <x:c r="AO523" s="81" t="n">
        <x:f>'Inputs'!$E$45</x:f>
        <x:v>-0.05</x:v>
      </x:c>
    </x:row>
    <x:row r="524">
      <x:c r="A524" s="59" t="str">
        <x:v>Weak demand</x:v>
      </x:c>
      <x:c r="B524" s="59" t="n">
        <x:v>156</x:v>
      </x:c>
      <x:c r="C524" s="78" t="n">
        <x:f>(('Inputs'!$B$29*(3*156*'Inputs'!$B$12-156^2)/(2*'Inputs'!$B$12^2))-('Inputs'!$B$29*(3*155*'Inputs'!$B$12-155^2)/(2*'Inputs'!$B$12^2)))*'Inputs'!$B$45</x:f>
        <x:v>496074.0171702057</x:v>
      </x:c>
      <x:c r="D524" s="78" t="n">
        <x:f>IF('Inputs'!$C$45&gt;0,('Inputs'!$B$30*(3*156*'Inputs'!$B$12-156^2)/(2*'Inputs'!$B$12^2))-('Inputs'!$B$30*(3*155*'Inputs'!$B$12-155^2)/(2*'Inputs'!$B$12^2)),0)</x:f>
        <x:v>283470.86695440114</x:v>
      </x:c>
      <x:c r="E524" s="78" t="n">
        <x:f>C524+D524</x:f>
        <x:v>779544.8841246068</x:v>
      </x:c>
      <x:c r="F524" s="78" t="n">
        <x:f>'Inputs'!$B$13*E524+(1-'Inputs'!$B$13)/'Inputs'!$B$14*SUM(E469:E524)</x:f>
        <x:v>787974.4675361242</x:v>
      </x:c>
      <x:c r="G524" s="78" t="n">
        <x:f>F524*'Inputs'!$F$45</x:f>
        <x:v>551582.1272752868</x:v>
      </x:c>
      <x:c r="H524" s="78" t="n">
        <x:f>U523</x:f>
        <x:v>18461298978.463894</x:v>
      </x:c>
      <x:c r="I524" s="78" t="n">
        <x:f>V523</x:f>
        <x:v>0.9141385589125695</x:v>
      </x:c>
      <x:c r="J524" s="79" t="n">
        <x:f>IF(H524&gt;0,I524/H524,0)</x:f>
        <x:v>4.951648093554856e-11</x:v>
      </x:c>
      <x:c r="K524" s="80" t="n">
        <x:f>(H524*J524+I524)*'Inputs'!$D$45*(1+'Inputs'!$G$45)^(B524/30)</x:f>
        <x:v>0.9141385589125695</x:v>
      </x:c>
      <x:c r="L524" s="80" t="n">
        <x:f>MAX(0,K524*'Inputs'!$E$45)</x:f>
        <x:v>0</x:v>
      </x:c>
      <x:c r="M524" s="80" t="n">
        <x:f>MAX(0,-K524*'Inputs'!$E$45)</x:f>
        <x:v>0.04570692794562847</x:v>
      </x:c>
      <x:c r="N524" s="78" t="n">
        <x:f>H524*(L524*(1-'Inputs'!$B$15))/(I524+L524*(1-'Inputs'!$B$15))</x:f>
        <x:v>0</x:v>
      </x:c>
      <x:c r="O524" s="78" t="n">
        <x:f>H524-N524</x:f>
        <x:v>18461298978.463894</x:v>
      </x:c>
      <x:c r="P524" s="78" t="n">
        <x:f>I524+L524*(1-'Inputs'!$B$17)</x:f>
        <x:v>0.9141385589125695</x:v>
      </x:c>
      <x:c r="Q524" s="78" t="n">
        <x:f>IF(J524&gt;0,M524/J524,0)</x:f>
        <x:v>923064948.9231946</x:v>
      </x:c>
      <x:c r="R524" s="78" t="n">
        <x:f>IF(B524='Inputs'!$H$45,'Inputs'!$B$27*'Inputs'!$I$45,0)</x:f>
        <x:v>0</x:v>
      </x:c>
      <x:c r="S524" s="78" t="n">
        <x:f>Q524+G524+R524</x:f>
        <x:v>923616531.0504699</x:v>
      </x:c>
      <x:c r="T524" s="78" t="n">
        <x:f>P524*(S524*(1-'Inputs'!$B$15))/(O524+S524*(1-'Inputs'!$B$15))</x:f>
        <x:v>0.043140182854312495</x:v>
      </x:c>
      <x:c r="U524" s="78" t="n">
        <x:f>O524+S524*(1-'Inputs'!$B$17)</x:f>
        <x:v>19381198742.789814</x:v>
      </x:c>
      <x:c r="V524" s="78" t="n">
        <x:f>P524-T524</x:f>
        <x:v>0.8709983760582569</x:v>
      </x:c>
      <x:c r="W524" s="79" t="n">
        <x:f>IF(U524&gt;0,V524/U524,0)</x:f>
        <x:v>4.4940376888828166e-11</x:v>
      </x:c>
      <x:c r="X524" s="80" t="n">
        <x:f>W524*('Inputs'!$B$6-AC524)</x:f>
        <x:v>0.008128115765011863</x:v>
      </x:c>
      <x:c r="Y524" s="80" t="n">
        <x:f>2*V524</x:f>
        <x:v>1.7419967521165138</x:v>
      </x:c>
      <x:c r="Z524" s="80" t="n">
        <x:f>K524*'Inputs'!$B$16+(G524+R524)*J524*'Inputs'!$B$16</x:f>
        <x:v>0.005484995227910755</x:v>
      </x:c>
      <x:c r="AA524" s="80" t="n">
        <x:f>K524*(1+'Inputs'!$E$45)/2*'Inputs'!$B$17</x:f>
        <x:v>0.0017473473460099418</x:v>
      </x:c>
      <x:c r="AB524" s="78" t="n">
        <x:f>(IF(J524&gt;0,K524*(1-'Inputs'!$E$45)/2/J524,0)+G524+R524)*'Inputs'!$B$17</x:f>
        <x:v>39004963.9670858</x:v>
      </x:c>
      <x:c r="AC524" s="78" t="n">
        <x:f>AC523+AB524</x:f>
        <x:v>819135567.4404135</x:v>
      </x:c>
      <x:c r="AD524" s="80" t="n">
        <x:f>Z524/(1+'Inputs'!$C$45)</x:f>
        <x:v>0.0036566634852738364</x:v>
      </x:c>
      <x:c r="AE524" s="80" t="n">
        <x:f>Z524-AD524</x:f>
        <x:v>0.0018283317426369184</x:v>
      </x:c>
      <x:c r="AF524" s="80" t="n">
        <x:f>D524*W524</x:f>
        <x:v>0.000012739287597933652</x:v>
      </x:c>
      <x:c r="AG524" s="80" t="n">
        <x:f>C524*W524</x:f>
        <x:v>0.00002229375329638406</x:v>
      </x:c>
      <x:c r="AH524" s="80" t="n">
        <x:f>2*'Inputs'!$B$8*'Inputs'!$C$45</x:f>
        <x:v>2500</x:v>
      </x:c>
      <x:c r="AI524" s="81" t="n">
        <x:f>IF(AH524&gt;0,(AE524+AF524)/AH524*365,0)</x:f>
        <x:v>0.0002687963704142884</x:v>
      </x:c>
      <x:c r="AJ524" s="81" t="n">
        <x:f>IF('Inputs'!$B$45&gt;0,AG524/('Inputs'!$B$19*'Inputs'!$B$45)*365,0)</x:f>
        <x:v>0.0000010849626604240241</x:v>
      </x:c>
      <x:c r="AK524" s="81" t="n">
        <x:f>W524/MAX($W$369:W524)-1</x:f>
        <x:v>-0.9999999402255582</x:v>
      </x:c>
      <x:c r="AL524" s="83" t="n">
        <x:f>'Inputs'!$B$45</x:f>
        <x:v>0.75</x:v>
      </x:c>
      <x:c r="AM524" s="83" t="n">
        <x:f>'Inputs'!$C$45</x:f>
        <x:v>0.5</x:v>
      </x:c>
      <x:c r="AN524" s="83" t="n">
        <x:f>'Inputs'!$D$45</x:f>
        <x:v>0.5</x:v>
      </x:c>
      <x:c r="AO524" s="81" t="n">
        <x:f>'Inputs'!$E$45</x:f>
        <x:v>-0.05</x:v>
      </x:c>
    </x:row>
    <x:row r="525">
      <x:c r="A525" s="59" t="str">
        <x:v>Weak demand</x:v>
      </x:c>
      <x:c r="B525" s="59" t="n">
        <x:v>157</x:v>
      </x:c>
      <x:c r="C525" s="78" t="n">
        <x:f>(('Inputs'!$B$29*(3*157*'Inputs'!$B$12-157^2)/(2*'Inputs'!$B$12^2))-('Inputs'!$B$29*(3*156*'Inputs'!$B$12-156^2)/(2*'Inputs'!$B$12^2)))*'Inputs'!$B$45</x:f>
        <x:v>495830.18624507636</x:v>
      </x:c>
      <x:c r="D525" s="78" t="n">
        <x:f>IF('Inputs'!$C$45&gt;0,('Inputs'!$B$30*(3*157*'Inputs'!$B$12-157^2)/(2*'Inputs'!$B$12^2))-('Inputs'!$B$30*(3*156*'Inputs'!$B$12-156^2)/(2*'Inputs'!$B$12^2)),0)</x:f>
        <x:v>283331.53499718755</x:v>
      </x:c>
      <x:c r="E525" s="78" t="n">
        <x:f>C525+D525</x:f>
        <x:v>779161.7212422639</x:v>
      </x:c>
      <x:c r="F525" s="78" t="n">
        <x:f>'Inputs'!$B$13*E525+(1-'Inputs'!$B$13)/'Inputs'!$B$14*SUM(E470:E525)</x:f>
        <x:v>787591.3046537824</x:v>
      </x:c>
      <x:c r="G525" s="78" t="n">
        <x:f>F525*'Inputs'!$F$45</x:f>
        <x:v>551313.9132576477</x:v>
      </x:c>
      <x:c r="H525" s="78" t="n">
        <x:f>U524</x:f>
        <x:v>19381198742.789814</x:v>
      </x:c>
      <x:c r="I525" s="78" t="n">
        <x:f>V524</x:f>
        <x:v>0.8709983760582569</x:v>
      </x:c>
      <x:c r="J525" s="79" t="n">
        <x:f>IF(H525&gt;0,I525/H525,0)</x:f>
        <x:v>4.4940376888828166e-11</x:v>
      </x:c>
      <x:c r="K525" s="80" t="n">
        <x:f>(H525*J525+I525)*'Inputs'!$D$45*(1+'Inputs'!$G$45)^(B525/30)</x:f>
        <x:v>0.8709983760582569</x:v>
      </x:c>
      <x:c r="L525" s="80" t="n">
        <x:f>MAX(0,K525*'Inputs'!$E$45)</x:f>
        <x:v>0</x:v>
      </x:c>
      <x:c r="M525" s="80" t="n">
        <x:f>MAX(0,-K525*'Inputs'!$E$45)</x:f>
        <x:v>0.04354991880291285</x:v>
      </x:c>
      <x:c r="N525" s="78" t="n">
        <x:f>H525*(L525*(1-'Inputs'!$B$15))/(I525+L525*(1-'Inputs'!$B$15))</x:f>
        <x:v>0</x:v>
      </x:c>
      <x:c r="O525" s="78" t="n">
        <x:f>H525-N525</x:f>
        <x:v>19381198742.789814</x:v>
      </x:c>
      <x:c r="P525" s="78" t="n">
        <x:f>I525+L525*(1-'Inputs'!$B$17)</x:f>
        <x:v>0.8709983760582569</x:v>
      </x:c>
      <x:c r="Q525" s="78" t="n">
        <x:f>IF(J525&gt;0,M525/J525,0)</x:f>
        <x:v>969059937.1394908</x:v>
      </x:c>
      <x:c r="R525" s="78" t="n">
        <x:f>IF(B525='Inputs'!$H$45,'Inputs'!$B$27*'Inputs'!$I$45,0)</x:f>
        <x:v>0</x:v>
      </x:c>
      <x:c r="S525" s="78" t="n">
        <x:f>Q525+G525+R525</x:f>
        <x:v>969611251.0527484</x:v>
      </x:c>
      <x:c r="T525" s="78" t="n">
        <x:f>P525*(S525*(1-'Inputs'!$B$15))/(O525+S525*(1-'Inputs'!$B$15))</x:f>
        <x:v>0.04110318302633977</x:v>
      </x:c>
      <x:c r="U525" s="78" t="n">
        <x:f>O525+S525*(1-'Inputs'!$B$17)</x:f>
        <x:v>20346908137.701504</x:v>
      </x:c>
      <x:c r="V525" s="78" t="n">
        <x:f>P525-T525</x:f>
        <x:v>0.8298951930319172</x:v>
      </x:c>
      <x:c r="W525" s="79" t="n">
        <x:f>IF(U525&gt;0,V525/U525,0)</x:f>
        <x:v>4.078728755324624e-11</x:v>
      </x:c>
      <x:c r="X525" s="80" t="n">
        <x:f>W525*('Inputs'!$B$6-AC525)</x:f>
        <x:v>0.005706794919245369</x:v>
      </x:c>
      <x:c r="Y525" s="80" t="n">
        <x:f>2*V525</x:f>
        <x:v>1.6597903860638343</x:v>
      </x:c>
      <x:c r="Z525" s="80" t="n">
        <x:f>K525*'Inputs'!$B$16+(G525+R525)*J525*'Inputs'!$B$16</x:f>
        <x:v>0.005226138913879816</x:v>
      </x:c>
      <x:c r="AA525" s="80" t="n">
        <x:f>K525*(1+'Inputs'!$E$45)/2*'Inputs'!$B$17</x:f>
        <x:v>0.0016648862319021008</x:v>
      </x:c>
      <x:c r="AB525" s="78" t="n">
        <x:f>(IF(J525&gt;0,K525*(1-'Inputs'!$E$45)/2/J525,0)+G525+R525)*'Inputs'!$B$17</x:f>
        <x:v>40948413.094076104</x:v>
      </x:c>
      <x:c r="AC525" s="78" t="n">
        <x:f>AC524+AB525</x:f>
        <x:v>860083980.5344896</x:v>
      </x:c>
      <x:c r="AD525" s="80" t="n">
        <x:f>Z525/(1+'Inputs'!$C$45)</x:f>
        <x:v>0.003484092609253211</x:v>
      </x:c>
      <x:c r="AE525" s="80" t="n">
        <x:f>Z525-AD525</x:f>
        <x:v>0.0017420463046266053</x:v>
      </x:c>
      <x:c r="AF525" s="80" t="n">
        <x:f>D525*W525</x:f>
        <x:v>0.00001155632479083294</x:v>
      </x:c>
      <x:c r="AG525" s="80" t="n">
        <x:f>C525*W525</x:f>
        <x:v>0.000020223568383957568</x:v>
      </x:c>
      <x:c r="AH525" s="80" t="n">
        <x:f>2*'Inputs'!$B$8*'Inputs'!$C$45</x:f>
        <x:v>2500</x:v>
      </x:c>
      <x:c r="AI525" s="81" t="n">
        <x:f>IF(AH525&gt;0,(AE525+AF525)/AH525*365,0)</x:f>
        <x:v>0.000256025983894946</x:v>
      </x:c>
      <x:c r="AJ525" s="81" t="n">
        <x:f>IF('Inputs'!$B$45&gt;0,AG525/('Inputs'!$B$19*'Inputs'!$B$45)*365,0)</x:f>
        <x:v>9.842136613526015e-7</x:v>
      </x:c>
      <x:c r="AK525" s="81" t="n">
        <x:f>W525/MAX($W$369:W525)-1</x:f>
        <x:v>-0.9999999457495126</x:v>
      </x:c>
      <x:c r="AL525" s="83" t="n">
        <x:f>'Inputs'!$B$45</x:f>
        <x:v>0.75</x:v>
      </x:c>
      <x:c r="AM525" s="83" t="n">
        <x:f>'Inputs'!$C$45</x:f>
        <x:v>0.5</x:v>
      </x:c>
      <x:c r="AN525" s="83" t="n">
        <x:f>'Inputs'!$D$45</x:f>
        <x:v>0.5</x:v>
      </x:c>
      <x:c r="AO525" s="81" t="n">
        <x:f>'Inputs'!$E$45</x:f>
        <x:v>-0.05</x:v>
      </x:c>
    </x:row>
    <x:row r="526">
      <x:c r="A526" s="59" t="str">
        <x:v>Weak demand</x:v>
      </x:c>
      <x:c r="B526" s="59" t="n">
        <x:v>158</x:v>
      </x:c>
      <x:c r="C526" s="78" t="n">
        <x:f>(('Inputs'!$B$29*(3*158*'Inputs'!$B$12-158^2)/(2*'Inputs'!$B$12^2))-('Inputs'!$B$29*(3*157*'Inputs'!$B$12-157^2)/(2*'Inputs'!$B$12^2)))*'Inputs'!$B$45</x:f>
        <x:v>495586.355319947</x:v>
      </x:c>
      <x:c r="D526" s="78" t="n">
        <x:f>IF('Inputs'!$C$45&gt;0,('Inputs'!$B$30*(3*158*'Inputs'!$B$12-158^2)/(2*'Inputs'!$B$12^2))-('Inputs'!$B$30*(3*157*'Inputs'!$B$12-157^2)/(2*'Inputs'!$B$12^2)),0)</x:f>
        <x:v>283192.2030399665</x:v>
      </x:c>
      <x:c r="E526" s="78" t="n">
        <x:f>C526+D526</x:f>
        <x:v>778778.5583599135</x:v>
      </x:c>
      <x:c r="F526" s="78" t="n">
        <x:f>'Inputs'!$B$13*E526+(1-'Inputs'!$B$13)/'Inputs'!$B$14*SUM(E471:E526)</x:f>
        <x:v>787208.1417714385</x:v>
      </x:c>
      <x:c r="G526" s="78" t="n">
        <x:f>F526*'Inputs'!$F$45</x:f>
        <x:v>551045.699240007</x:v>
      </x:c>
      <x:c r="H526" s="78" t="n">
        <x:f>U525</x:f>
        <x:v>20346908137.701504</x:v>
      </x:c>
      <x:c r="I526" s="78" t="n">
        <x:f>V525</x:f>
        <x:v>0.8298951930319172</x:v>
      </x:c>
      <x:c r="J526" s="79" t="n">
        <x:f>IF(H526&gt;0,I526/H526,0)</x:f>
        <x:v>4.078728755324624e-11</x:v>
      </x:c>
      <x:c r="K526" s="80" t="n">
        <x:f>(H526*J526+I526)*'Inputs'!$D$45*(1+'Inputs'!$G$45)^(B526/30)</x:f>
        <x:v>0.8298951930319172</x:v>
      </x:c>
      <x:c r="L526" s="80" t="n">
        <x:f>MAX(0,K526*'Inputs'!$E$45)</x:f>
        <x:v>0</x:v>
      </x:c>
      <x:c r="M526" s="80" t="n">
        <x:f>MAX(0,-K526*'Inputs'!$E$45)</x:f>
        <x:v>0.04149475965159586</x:v>
      </x:c>
      <x:c r="N526" s="78" t="n">
        <x:f>H526*(L526*(1-'Inputs'!$B$15))/(I526+L526*(1-'Inputs'!$B$15))</x:f>
        <x:v>0</x:v>
      </x:c>
      <x:c r="O526" s="78" t="n">
        <x:f>H526-N526</x:f>
        <x:v>20346908137.701504</x:v>
      </x:c>
      <x:c r="P526" s="78" t="n">
        <x:f>I526+L526*(1-'Inputs'!$B$17)</x:f>
        <x:v>0.8298951930319172</x:v>
      </x:c>
      <x:c r="Q526" s="78" t="n">
        <x:f>IF(J526&gt;0,M526/J526,0)</x:f>
        <x:v>1017345406.8850752</x:v>
      </x:c>
      <x:c r="R526" s="78" t="n">
        <x:f>IF(B526='Inputs'!$H$45,'Inputs'!$B$27*'Inputs'!$I$45,0)</x:f>
        <x:v>0</x:v>
      </x:c>
      <x:c r="S526" s="78" t="n">
        <x:f>Q526+G526+R526</x:f>
        <x:v>1017896452.5843152</x:v>
      </x:c>
      <x:c r="T526" s="78" t="n">
        <x:f>P526*(S526*(1-'Inputs'!$B$15))/(O526+S526*(1-'Inputs'!$B$15))</x:f>
        <x:v>0.03916247064828428</x:v>
      </x:c>
      <x:c r="U526" s="78" t="n">
        <x:f>O526+S526*(1-'Inputs'!$B$17)</x:f>
        <x:v>21360708427.49876</x:v>
      </x:c>
      <x:c r="V526" s="78" t="n">
        <x:f>P526-T526</x:f>
        <x:v>0.7907327223836329</x:v>
      </x:c>
      <x:c r="W526" s="79" t="n">
        <x:f>IF(U526&gt;0,V526/U526,0)</x:f>
        <x:v>3.701809446383722e-11</x:v>
      </x:c>
      <x:c r="X526" s="80" t="n">
        <x:f>W526*('Inputs'!$B$6-AC526)</x:f>
        <x:v>0.0035880667732918854</x:v>
      </x:c>
      <x:c r="Y526" s="80" t="n">
        <x:f>2*V526</x:f>
        <x:v>1.5814654447672658</x:v>
      </x:c>
      <x:c r="Z526" s="80" t="n">
        <x:f>K526*'Inputs'!$B$16+(G526+R526)*J526*'Inputs'!$B$16</x:f>
        <x:v>0.0049795060121478425</x:v>
      </x:c>
      <x:c r="AA526" s="80" t="n">
        <x:f>K526*(1+'Inputs'!$E$45)/2*'Inputs'!$B$17</x:f>
        <x:v>0.0015863187794372662</x:v>
      </x:c>
      <x:c r="AB526" s="78" t="n">
        <x:f>(IF(J526&gt;0,K526*(1-'Inputs'!$E$45)/2/J526,0)+G526+R526)*'Inputs'!$B$17</x:f>
        <x:v>42988643.13075465</x:v>
      </x:c>
      <x:c r="AC526" s="78" t="n">
        <x:f>AC525+AB526</x:f>
        <x:v>903072623.6652443</x:v>
      </x:c>
      <x:c r="AD526" s="80" t="n">
        <x:f>Z526/(1+'Inputs'!$C$45)</x:f>
        <x:v>0.0033196706747652283</x:v>
      </x:c>
      <x:c r="AE526" s="80" t="n">
        <x:f>Z526-AD526</x:f>
        <x:v>0.0016598353373826142</x:v>
      </x:c>
      <x:c r="AF526" s="80" t="n">
        <x:f>D526*W526</x:f>
        <x:v>0.000010483235723555651</x:v>
      </x:c>
      <x:c r="AG526" s="80" t="n">
        <x:f>C526*W526</x:f>
        <x:v>0.000018345662516222596</x:v>
      </x:c>
      <x:c r="AH526" s="80" t="n">
        <x:f>2*'Inputs'!$B$8*'Inputs'!$C$45</x:f>
        <x:v>2500</x:v>
      </x:c>
      <x:c r="AI526" s="81" t="n">
        <x:f>IF(AH526&gt;0,(AE526+AF526)/AH526*365,0)</x:f>
        <x:v>0.0002438665116735008</x:v>
      </x:c>
      <x:c r="AJ526" s="81" t="n">
        <x:f>IF('Inputs'!$B$45&gt;0,AG526/('Inputs'!$B$19*'Inputs'!$B$45)*365,0)</x:f>
        <x:v>8.928222424561663e-7</x:v>
      </x:c>
      <x:c r="AK526" s="81" t="n">
        <x:f>W526/MAX($W$369:W526)-1</x:f>
        <x:v>-0.9999999507628532</x:v>
      </x:c>
      <x:c r="AL526" s="83" t="n">
        <x:f>'Inputs'!$B$45</x:f>
        <x:v>0.75</x:v>
      </x:c>
      <x:c r="AM526" s="83" t="n">
        <x:f>'Inputs'!$C$45</x:f>
        <x:v>0.5</x:v>
      </x:c>
      <x:c r="AN526" s="83" t="n">
        <x:f>'Inputs'!$D$45</x:f>
        <x:v>0.5</x:v>
      </x:c>
      <x:c r="AO526" s="81" t="n">
        <x:f>'Inputs'!$E$45</x:f>
        <x:v>-0.05</x:v>
      </x:c>
    </x:row>
    <x:row r="527">
      <x:c r="A527" s="59" t="str">
        <x:v>Weak demand</x:v>
      </x:c>
      <x:c r="B527" s="59" t="n">
        <x:v>159</x:v>
      </x:c>
      <x:c r="C527" s="78" t="n">
        <x:f>(('Inputs'!$B$29*(3*159*'Inputs'!$B$12-159^2)/(2*'Inputs'!$B$12^2))-('Inputs'!$B$29*(3*158*'Inputs'!$B$12-158^2)/(2*'Inputs'!$B$12^2)))*'Inputs'!$B$45</x:f>
        <x:v>495342.52439481765</x:v>
      </x:c>
      <x:c r="D527" s="78" t="n">
        <x:f>IF('Inputs'!$C$45&gt;0,('Inputs'!$B$30*(3*159*'Inputs'!$B$12-159^2)/(2*'Inputs'!$B$12^2))-('Inputs'!$B$30*(3*158*'Inputs'!$B$12-158^2)/(2*'Inputs'!$B$12^2)),0)</x:f>
        <x:v>283052.87108275294</x:v>
      </x:c>
      <x:c r="E527" s="78" t="n">
        <x:f>C527+D527</x:f>
        <x:v>778395.3954775706</x:v>
      </x:c>
      <x:c r="F527" s="78" t="n">
        <x:f>'Inputs'!$B$13*E527+(1-'Inputs'!$B$13)/'Inputs'!$B$14*SUM(E472:E527)</x:f>
        <x:v>786824.9788890963</x:v>
      </x:c>
      <x:c r="G527" s="78" t="n">
        <x:f>F527*'Inputs'!$F$45</x:f>
        <x:v>550777.4852223673</x:v>
      </x:c>
      <x:c r="H527" s="78" t="n">
        <x:f>U526</x:f>
        <x:v>21360708427.49876</x:v>
      </x:c>
      <x:c r="I527" s="78" t="n">
        <x:f>V526</x:f>
        <x:v>0.7907327223836329</x:v>
      </x:c>
      <x:c r="J527" s="79" t="n">
        <x:f>IF(H527&gt;0,I527/H527,0)</x:f>
        <x:v>3.701809446383722e-11</x:v>
      </x:c>
      <x:c r="K527" s="80" t="n">
        <x:f>(H527*J527+I527)*'Inputs'!$D$45*(1+'Inputs'!$G$45)^(B527/30)</x:f>
        <x:v>0.7907327223836329</x:v>
      </x:c>
      <x:c r="L527" s="80" t="n">
        <x:f>MAX(0,K527*'Inputs'!$E$45)</x:f>
        <x:v>0</x:v>
      </x:c>
      <x:c r="M527" s="80" t="n">
        <x:f>MAX(0,-K527*'Inputs'!$E$45)</x:f>
        <x:v>0.03953663611918165</x:v>
      </x:c>
      <x:c r="N527" s="78" t="n">
        <x:f>H527*(L527*(1-'Inputs'!$B$15))/(I527+L527*(1-'Inputs'!$B$15))</x:f>
        <x:v>0</x:v>
      </x:c>
      <x:c r="O527" s="78" t="n">
        <x:f>H527-N527</x:f>
        <x:v>21360708427.49876</x:v>
      </x:c>
      <x:c r="P527" s="78" t="n">
        <x:f>I527+L527*(1-'Inputs'!$B$17)</x:f>
        <x:v>0.7907327223836329</x:v>
      </x:c>
      <x:c r="Q527" s="78" t="n">
        <x:f>IF(J527&gt;0,M527/J527,0)</x:f>
        <x:v>1068035421.3749381</x:v>
      </x:c>
      <x:c r="R527" s="78" t="n">
        <x:f>IF(B527='Inputs'!$H$45,'Inputs'!$B$27*'Inputs'!$I$45,0)</x:f>
        <x:v>0</x:v>
      </x:c>
      <x:c r="S527" s="78" t="n">
        <x:f>Q527+G527+R527</x:f>
        <x:v>1068586198.8601605</x:v>
      </x:c>
      <x:c r="T527" s="78" t="n">
        <x:f>P527*(S527*(1-'Inputs'!$B$15))/(O527+S527*(1-'Inputs'!$B$15))</x:f>
        <x:v>0.03731348462240341</x:v>
      </x:c>
      <x:c r="U527" s="78" t="n">
        <x:f>O527+S527*(1-'Inputs'!$B$17)</x:f>
        <x:v>22424994480.689465</x:v>
      </x:c>
      <x:c r="V527" s="78" t="n">
        <x:f>P527-T527</x:f>
        <x:v>0.7534192377612295</x:v>
      </x:c>
      <x:c r="W527" s="79" t="n">
        <x:f>IF(U527&gt;0,V527/U527,0)</x:f>
        <x:v>3.359729869320643e-11</x:v>
      </x:c>
      <x:c r="X527" s="80" t="n">
        <x:f>W527*('Inputs'!$B$6-AC527)</x:f>
        <x:v>0.0017402360108965966</x:v>
      </x:c>
      <x:c r="Y527" s="80" t="n">
        <x:f>2*V527</x:f>
        <x:v>1.506838475522459</x:v>
      </x:c>
      <x:c r="Z527" s="80" t="n">
        <x:f>K527*'Inputs'!$B$16+(G527+R527)*J527*'Inputs'!$B$16</x:f>
        <x:v>0.004744518666699657</x:v>
      </x:c>
      <x:c r="AA527" s="80" t="n">
        <x:f>K527*(1+'Inputs'!$E$45)/2*'Inputs'!$B$17</x:f>
        <x:v>0.0015114609381578496</x:v>
      </x:c>
      <x:c r="AB527" s="78" t="n">
        <x:f>(IF(J527&gt;0,K527*(1-'Inputs'!$E$45)/2/J527,0)+G527+R527)*'Inputs'!$B$17</x:f>
        <x:v>45130473.649585806</x:v>
      </x:c>
      <x:c r="AC527" s="78" t="n">
        <x:f>AC526+AB527</x:f>
        <x:v>948203097.3148302</x:v>
      </x:c>
      <x:c r="AD527" s="80" t="n">
        <x:f>Z527/(1+'Inputs'!$C$45)</x:f>
        <x:v>0.003163012444466438</x:v>
      </x:c>
      <x:c r="AE527" s="80" t="n">
        <x:f>Z527-AD527</x:f>
        <x:v>0.0015815062222332191</x:v>
      </x:c>
      <x:c r="AF527" s="80" t="n">
        <x:f>D527*W527</x:f>
        <x:v>0.000009509811855736904</x:v>
      </x:c>
      <x:c r="AG527" s="80" t="n">
        <x:f>C527*W527</x:f>
        <x:v>0.000016642170747539582</x:v>
      </x:c>
      <x:c r="AH527" s="80" t="n">
        <x:f>2*'Inputs'!$B$8*'Inputs'!$C$45</x:f>
        <x:v>2500</x:v>
      </x:c>
      <x:c r="AI527" s="81" t="n">
        <x:f>IF(AH527&gt;0,(AE527+AF527)/AH527*365,0)</x:f>
        <x:v>0.0002322883409769876</x:v>
      </x:c>
      <x:c r="AJ527" s="81" t="n">
        <x:f>IF('Inputs'!$B$45&gt;0,AG527/('Inputs'!$B$19*'Inputs'!$B$45)*365,0)</x:f>
        <x:v>8.099189763802596e-7</x:v>
      </x:c>
      <x:c r="AK527" s="81" t="n">
        <x:f>W527/MAX($W$369:W527)-1</x:f>
        <x:v>-0.9999999553127963</x:v>
      </x:c>
      <x:c r="AL527" s="83" t="n">
        <x:f>'Inputs'!$B$45</x:f>
        <x:v>0.75</x:v>
      </x:c>
      <x:c r="AM527" s="83" t="n">
        <x:f>'Inputs'!$C$45</x:f>
        <x:v>0.5</x:v>
      </x:c>
      <x:c r="AN527" s="83" t="n">
        <x:f>'Inputs'!$D$45</x:f>
        <x:v>0.5</x:v>
      </x:c>
      <x:c r="AO527" s="81" t="n">
        <x:f>'Inputs'!$E$45</x:f>
        <x:v>-0.05</x:v>
      </x:c>
    </x:row>
    <x:row r="528">
      <x:c r="A528" s="59" t="str">
        <x:v>Weak demand</x:v>
      </x:c>
      <x:c r="B528" s="59" t="n">
        <x:v>160</x:v>
      </x:c>
      <x:c r="C528" s="78" t="n">
        <x:f>(('Inputs'!$B$29*(3*160*'Inputs'!$B$12-160^2)/(2*'Inputs'!$B$12^2))-('Inputs'!$B$29*(3*159*'Inputs'!$B$12-159^2)/(2*'Inputs'!$B$12^2)))*'Inputs'!$B$45</x:f>
        <x:v>495098.6934696883</x:v>
      </x:c>
      <x:c r="D528" s="78" t="n">
        <x:f>IF('Inputs'!$C$45&gt;0,('Inputs'!$B$30*(3*160*'Inputs'!$B$12-160^2)/(2*'Inputs'!$B$12^2))-('Inputs'!$B$30*(3*159*'Inputs'!$B$12-159^2)/(2*'Inputs'!$B$12^2)),0)</x:f>
        <x:v>282913.53912553936</x:v>
      </x:c>
      <x:c r="E528" s="78" t="n">
        <x:f>C528+D528</x:f>
        <x:v>778012.2325952277</x:v>
      </x:c>
      <x:c r="F528" s="78" t="n">
        <x:f>'Inputs'!$B$13*E528+(1-'Inputs'!$B$13)/'Inputs'!$B$14*SUM(E473:E528)</x:f>
        <x:v>786441.8160067541</x:v>
      </x:c>
      <x:c r="G528" s="78" t="n">
        <x:f>F528*'Inputs'!$F$45</x:f>
        <x:v>550509.2712047278</x:v>
      </x:c>
      <x:c r="H528" s="78" t="n">
        <x:f>U527</x:f>
        <x:v>22424994480.689465</x:v>
      </x:c>
      <x:c r="I528" s="78" t="n">
        <x:f>V527</x:f>
        <x:v>0.7534192377612295</x:v>
      </x:c>
      <x:c r="J528" s="79" t="n">
        <x:f>IF(H528&gt;0,I528/H528,0)</x:f>
        <x:v>3.359729869320643e-11</x:v>
      </x:c>
      <x:c r="K528" s="80" t="n">
        <x:f>(H528*J528+I528)*'Inputs'!$D$45*(1+'Inputs'!$G$45)^(B528/30)</x:f>
        <x:v>0.7534192377612295</x:v>
      </x:c>
      <x:c r="L528" s="80" t="n">
        <x:f>MAX(0,K528*'Inputs'!$E$45)</x:f>
        <x:v>0</x:v>
      </x:c>
      <x:c r="M528" s="80" t="n">
        <x:f>MAX(0,-K528*'Inputs'!$E$45)</x:f>
        <x:v>0.03767096188806148</x:v>
      </x:c>
      <x:c r="N528" s="78" t="n">
        <x:f>H528*(L528*(1-'Inputs'!$B$15))/(I528+L528*(1-'Inputs'!$B$15))</x:f>
        <x:v>0</x:v>
      </x:c>
      <x:c r="O528" s="78" t="n">
        <x:f>H528-N528</x:f>
        <x:v>22424994480.689465</x:v>
      </x:c>
      <x:c r="P528" s="78" t="n">
        <x:f>I528+L528*(1-'Inputs'!$B$17)</x:f>
        <x:v>0.7534192377612295</x:v>
      </x:c>
      <x:c r="Q528" s="78" t="n">
        <x:f>IF(J528&gt;0,M528/J528,0)</x:f>
        <x:v>1121249724.0344734</x:v>
      </x:c>
      <x:c r="R528" s="78" t="n">
        <x:f>IF(B528='Inputs'!$H$45,'Inputs'!$B$27*'Inputs'!$I$45,0)</x:f>
        <x:v>0</x:v>
      </x:c>
      <x:c r="S528" s="78" t="n">
        <x:f>Q528+G528+R528</x:f>
        <x:v>1121800233.3056781</x:v>
      </x:c>
      <x:c r="T528" s="78" t="n">
        <x:f>P528*(S528*(1-'Inputs'!$B$15))/(O528+S528*(1-'Inputs'!$B$15))</x:f>
        <x:v>0.03555188080502608</x:v>
      </x:c>
      <x:c r="U528" s="78" t="n">
        <x:f>O528+S528*(1-'Inputs'!$B$17)</x:f>
        <x:v>23542280427.342003</x:v>
      </x:c>
      <x:c r="V528" s="78" t="n">
        <x:f>P528-T528</x:f>
        <x:v>0.7178673569562035</x:v>
      </x:c>
      <x:c r="W528" s="79" t="n">
        <x:f>IF(U528&gt;0,V528/U528,0)</x:f>
        <x:v>3.049268566703812e-11</x:v>
      </x:c>
      <x:c r="X528" s="80" t="n">
        <x:f>W528*('Inputs'!$B$6-AC528)</x:f>
        <x:v>0.00013471480855113623</x:v>
      </x:c>
      <x:c r="Y528" s="80" t="n">
        <x:f>2*V528</x:f>
        <x:v>1.435734713912407</x:v>
      </x:c>
      <x:c r="Z528" s="80" t="n">
        <x:f>K528*'Inputs'!$B$16+(G528+R528)*J528*'Inputs'!$B$16</x:f>
        <x:v>0.004520626400313885</x:v>
      </x:c>
      <x:c r="AA528" s="80" t="n">
        <x:f>K528*(1+'Inputs'!$E$45)/2*'Inputs'!$B$17</x:f>
        <x:v>0.0014401373760023503</x:v>
      </x:c>
      <x:c r="AB528" s="78" t="n">
        <x:f>(IF(J528&gt;0,K528*(1-'Inputs'!$E$45)/2/J528,0)+G528+R528)*'Inputs'!$B$17</x:f>
        <x:v>47378964.23192424</x:v>
      </x:c>
      <x:c r="AC528" s="78" t="n">
        <x:f>AC527+AB528</x:f>
        <x:v>995582061.5467545</x:v>
      </x:c>
      <x:c r="AD528" s="80" t="n">
        <x:f>Z528/(1+'Inputs'!$C$45)</x:f>
        <x:v>0.00301375093354259</x:v>
      </x:c>
      <x:c r="AE528" s="80" t="n">
        <x:f>Z528-AD528</x:f>
        <x:v>0.0015068754667712952</x:v>
      </x:c>
      <x:c r="AF528" s="80" t="n">
        <x:f>D528*W528</x:f>
        <x:v>0.000008626793619504362</x:v>
      </x:c>
      <x:c r="AG528" s="80" t="n">
        <x:f>C528*W528</x:f>
        <x:v>0.000015096888834132463</x:v>
      </x:c>
      <x:c r="AH528" s="80" t="n">
        <x:f>2*'Inputs'!$B$8*'Inputs'!$C$45</x:f>
        <x:v>2500</x:v>
      </x:c>
      <x:c r="AI528" s="81" t="n">
        <x:f>IF(AH528&gt;0,(AE528+AF528)/AH528*365,0)</x:f>
        <x:v>0.00022126333001705673</x:v>
      </x:c>
      <x:c r="AJ528" s="81" t="n">
        <x:f>IF('Inputs'!$B$45&gt;0,AG528/('Inputs'!$B$19*'Inputs'!$B$45)*365,0)</x:f>
        <x:v>7.347152565944466e-7</x:v>
      </x:c>
      <x:c r="AK528" s="81" t="n">
        <x:f>W528/MAX($W$369:W528)-1</x:f>
        <x:v>-0.99999995944219</x:v>
      </x:c>
      <x:c r="AL528" s="83" t="n">
        <x:f>'Inputs'!$B$45</x:f>
        <x:v>0.75</x:v>
      </x:c>
      <x:c r="AM528" s="83" t="n">
        <x:f>'Inputs'!$C$45</x:f>
        <x:v>0.5</x:v>
      </x:c>
      <x:c r="AN528" s="83" t="n">
        <x:f>'Inputs'!$D$45</x:f>
        <x:v>0.5</x:v>
      </x:c>
      <x:c r="AO528" s="81" t="n">
        <x:f>'Inputs'!$E$45</x:f>
        <x:v>-0.05</x:v>
      </x:c>
    </x:row>
    <x:row r="529">
      <x:c r="A529" s="59" t="str">
        <x:v>Weak demand</x:v>
      </x:c>
      <x:c r="B529" s="59" t="n">
        <x:v>161</x:v>
      </x:c>
      <x:c r="C529" s="78" t="n">
        <x:f>(('Inputs'!$B$29*(3*161*'Inputs'!$B$12-161^2)/(2*'Inputs'!$B$12^2))-('Inputs'!$B$29*(3*160*'Inputs'!$B$12-160^2)/(2*'Inputs'!$B$12^2)))*'Inputs'!$B$45</x:f>
        <x:v>494854.8625445701</x:v>
      </x:c>
      <x:c r="D529" s="78" t="n">
        <x:f>IF('Inputs'!$C$45&gt;0,('Inputs'!$B$30*(3*161*'Inputs'!$B$12-161^2)/(2*'Inputs'!$B$12^2))-('Inputs'!$B$30*(3*160*'Inputs'!$B$12-160^2)/(2*'Inputs'!$B$12^2)),0)</x:f>
        <x:v>282774.2071683258</x:v>
      </x:c>
      <x:c r="E529" s="78" t="n">
        <x:f>C529+D529</x:f>
        <x:v>777629.0697128959</x:v>
      </x:c>
      <x:c r="F529" s="78" t="n">
        <x:f>'Inputs'!$B$13*E529+(1-'Inputs'!$B$13)/'Inputs'!$B$14*SUM(E474:E529)</x:f>
        <x:v>786058.6531244144</x:v>
      </x:c>
      <x:c r="G529" s="78" t="n">
        <x:f>F529*'Inputs'!$F$45</x:f>
        <x:v>550241.05718709</x:v>
      </x:c>
      <x:c r="H529" s="78" t="n">
        <x:f>U528</x:f>
        <x:v>23542280427.342003</x:v>
      </x:c>
      <x:c r="I529" s="78" t="n">
        <x:f>V528</x:f>
        <x:v>0.7178673569562035</x:v>
      </x:c>
      <x:c r="J529" s="79" t="n">
        <x:f>IF(H529&gt;0,I529/H529,0)</x:f>
        <x:v>3.049268566703812e-11</x:v>
      </x:c>
      <x:c r="K529" s="80" t="n">
        <x:f>(H529*J529+I529)*'Inputs'!$D$45*(1+'Inputs'!$G$45)^(B529/30)</x:f>
        <x:v>0.7178673569562035</x:v>
      </x:c>
      <x:c r="L529" s="80" t="n">
        <x:f>MAX(0,K529*'Inputs'!$E$45)</x:f>
        <x:v>0</x:v>
      </x:c>
      <x:c r="M529" s="80" t="n">
        <x:f>MAX(0,-K529*'Inputs'!$E$45)</x:f>
        <x:v>0.03589336784781018</x:v>
      </x:c>
      <x:c r="N529" s="78" t="n">
        <x:f>H529*(L529*(1-'Inputs'!$B$15))/(I529+L529*(1-'Inputs'!$B$15))</x:f>
        <x:v>0</x:v>
      </x:c>
      <x:c r="O529" s="78" t="n">
        <x:f>H529-N529</x:f>
        <x:v>23542280427.342003</x:v>
      </x:c>
      <x:c r="P529" s="78" t="n">
        <x:f>I529+L529*(1-'Inputs'!$B$17)</x:f>
        <x:v>0.7178673569562035</x:v>
      </x:c>
      <x:c r="Q529" s="78" t="n">
        <x:f>IF(J529&gt;0,M529/J529,0)</x:f>
        <x:v>1177114021.3671002</x:v>
      </x:c>
      <x:c r="R529" s="78" t="n">
        <x:f>IF(B529='Inputs'!$H$45,'Inputs'!$B$27*'Inputs'!$I$45,0)</x:f>
        <x:v>0</x:v>
      </x:c>
      <x:c r="S529" s="78" t="n">
        <x:f>Q529+G529+R529</x:f>
        <x:v>1177664262.4242873</x:v>
      </x:c>
      <x:c r="T529" s="78" t="n">
        <x:f>P529*(S529*(1-'Inputs'!$B$15))/(O529+S529*(1-'Inputs'!$B$15))</x:f>
        <x:v>0.03387352160374456</x:v>
      </x:c>
      <x:c r="U529" s="78" t="n">
        <x:f>O529+S529*(1-'Inputs'!$B$17)</x:f>
        <x:v>24715205598.166996</x:v>
      </x:c>
      <x:c r="V529" s="78" t="n">
        <x:f>P529-T529</x:f>
        <x:v>0.683993835352459</x:v>
      </x:c>
      <x:c r="W529" s="79" t="n">
        <x:f>IF(U529&gt;0,V529/U529,0)</x:f>
        <x:v>2.7675021056801866e-11</x:v>
      </x:c>
      <x:c r="X529" s="80" t="n">
        <x:f>W529*('Inputs'!$B$6-AC529)</x:f>
        <x:v>-0.00125427313381017</x:v>
      </x:c>
      <x:c r="Y529" s="80" t="n">
        <x:f>2*V529</x:f>
        <x:v>1.367987670704918</x:v>
      </x:c>
      <x:c r="Z529" s="80" t="n">
        <x:f>K529*'Inputs'!$B$16+(G529+R529)*J529*'Inputs'!$B$16</x:f>
        <x:v>0.004307304811702809</x:v>
      </x:c>
      <x:c r="AA529" s="80" t="n">
        <x:f>K529*(1+'Inputs'!$E$45)/2*'Inputs'!$B$17</x:f>
        <x:v>0.0013721810646044133</x:v>
      </x:c>
      <x:c r="AB529" s="78" t="n">
        <x:f>(IF(J529&gt;0,K529*(1-'Inputs'!$E$45)/2/J529,0)+G529+R529)*'Inputs'!$B$17</x:f>
        <x:v>49739426.42016797</x:v>
      </x:c>
      <x:c r="AC529" s="78" t="n">
        <x:f>AC528+AB529</x:f>
        <x:v>1045321487.9669224</x:v>
      </x:c>
      <x:c r="AD529" s="80" t="n">
        <x:f>Z529/(1+'Inputs'!$C$45)</x:f>
        <x:v>0.0028715365411352057</x:v>
      </x:c>
      <x:c r="AE529" s="80" t="n">
        <x:f>Z529-AD529</x:f>
        <x:v>0.001435768270567603</x:v>
      </x:c>
      <x:c r="AF529" s="80" t="n">
        <x:f>D529*W529</x:f>
        <x:v>0.000007825782137703869</x:v>
      </x:c>
      <x:c r="AG529" s="80" t="n">
        <x:f>C529*W529</x:f>
        <x:v>0.00001369511874098177</x:v>
      </x:c>
      <x:c r="AH529" s="80" t="n">
        <x:f>2*'Inputs'!$B$8*'Inputs'!$C$45</x:f>
        <x:v>2500</x:v>
      </x:c>
      <x:c r="AI529" s="81" t="n">
        <x:f>IF(AH529&gt;0,(AE529+AF529)/AH529*365,0)</x:f>
        <x:v>0.00021076473169497482</x:v>
      </x:c>
      <x:c r="AJ529" s="81" t="n">
        <x:f>IF('Inputs'!$B$45&gt;0,AG529/('Inputs'!$B$19*'Inputs'!$B$45)*365,0)</x:f>
        <x:v>6.664957787277795e-7</x:v>
      </x:c>
      <x:c r="AK529" s="81" t="n">
        <x:f>W529/MAX($W$369:W529)-1</x:f>
        <x:v>-0.9999999631899185</x:v>
      </x:c>
      <x:c r="AL529" s="83" t="n">
        <x:f>'Inputs'!$B$45</x:f>
        <x:v>0.75</x:v>
      </x:c>
      <x:c r="AM529" s="83" t="n">
        <x:f>'Inputs'!$C$45</x:f>
        <x:v>0.5</x:v>
      </x:c>
      <x:c r="AN529" s="83" t="n">
        <x:f>'Inputs'!$D$45</x:f>
        <x:v>0.5</x:v>
      </x:c>
      <x:c r="AO529" s="81" t="n">
        <x:f>'Inputs'!$E$45</x:f>
        <x:v>-0.05</x:v>
      </x:c>
    </x:row>
    <x:row r="530">
      <x:c r="A530" s="59" t="str">
        <x:v>Weak demand</x:v>
      </x:c>
      <x:c r="B530" s="59" t="n">
        <x:v>162</x:v>
      </x:c>
      <x:c r="C530" s="78" t="n">
        <x:f>(('Inputs'!$B$29*(3*162*'Inputs'!$B$12-162^2)/(2*'Inputs'!$B$12^2))-('Inputs'!$B$29*(3*161*'Inputs'!$B$12-161^2)/(2*'Inputs'!$B$12^2)))*'Inputs'!$B$45</x:f>
        <x:v>494611.03161944076</x:v>
      </x:c>
      <x:c r="D530" s="78" t="n">
        <x:f>IF('Inputs'!$C$45&gt;0,('Inputs'!$B$30*(3*162*'Inputs'!$B$12-162^2)/(2*'Inputs'!$B$12^2))-('Inputs'!$B$30*(3*161*'Inputs'!$B$12-161^2)/(2*'Inputs'!$B$12^2)),0)</x:f>
        <x:v>282634.8752111122</x:v>
      </x:c>
      <x:c r="E530" s="78" t="n">
        <x:f>C530+D530</x:f>
        <x:v>777245.906830553</x:v>
      </x:c>
      <x:c r="F530" s="78" t="n">
        <x:f>'Inputs'!$B$13*E530+(1-'Inputs'!$B$13)/'Inputs'!$B$14*SUM(E475:E530)</x:f>
        <x:v>785675.4902420725</x:v>
      </x:c>
      <x:c r="G530" s="78" t="n">
        <x:f>F530*'Inputs'!$F$45</x:f>
        <x:v>549972.8431694508</x:v>
      </x:c>
      <x:c r="H530" s="78" t="n">
        <x:f>U529</x:f>
        <x:v>24715205598.166996</x:v>
      </x:c>
      <x:c r="I530" s="78" t="n">
        <x:f>V529</x:f>
        <x:v>0.683993835352459</x:v>
      </x:c>
      <x:c r="J530" s="79" t="n">
        <x:f>IF(H530&gt;0,I530/H530,0)</x:f>
        <x:v>2.7675021056801866e-11</x:v>
      </x:c>
      <x:c r="K530" s="80" t="n">
        <x:f>(H530*J530+I530)*'Inputs'!$D$45*(1+'Inputs'!$G$45)^(B530/30)</x:f>
        <x:v>0.683993835352459</x:v>
      </x:c>
      <x:c r="L530" s="80" t="n">
        <x:f>MAX(0,K530*'Inputs'!$E$45)</x:f>
        <x:v>0</x:v>
      </x:c>
      <x:c r="M530" s="80" t="n">
        <x:f>MAX(0,-K530*'Inputs'!$E$45)</x:f>
        <x:v>0.03419969176762295</x:v>
      </x:c>
      <x:c r="N530" s="78" t="n">
        <x:f>H530*(L530*(1-'Inputs'!$B$15))/(I530+L530*(1-'Inputs'!$B$15))</x:f>
        <x:v>0</x:v>
      </x:c>
      <x:c r="O530" s="78" t="n">
        <x:f>H530-N530</x:f>
        <x:v>24715205598.166996</x:v>
      </x:c>
      <x:c r="P530" s="78" t="n">
        <x:f>I530+L530*(1-'Inputs'!$B$17)</x:f>
        <x:v>0.683993835352459</x:v>
      </x:c>
      <x:c r="Q530" s="78" t="n">
        <x:f>IF(J530&gt;0,M530/J530,0)</x:f>
        <x:v>1235760279.9083498</x:v>
      </x:c>
      <x:c r="R530" s="78" t="n">
        <x:f>IF(B530='Inputs'!$H$45,'Inputs'!$B$27*'Inputs'!$I$45,0)</x:f>
        <x:v>0</x:v>
      </x:c>
      <x:c r="S530" s="78" t="n">
        <x:f>Q530+G530+R530</x:f>
        <x:v>1236310252.7515192</x:v>
      </x:c>
      <x:c r="T530" s="78" t="n">
        <x:f>P530*(S530*(1-'Inputs'!$B$15))/(O530+S530*(1-'Inputs'!$B$15))</x:f>
        <x:v>0.03227446608110045</x:v>
      </x:c>
      <x:c r="U530" s="78" t="n">
        <x:f>O530+S530*(1-'Inputs'!$B$17)</x:f>
        <x:v>25946540759.358147</x:v>
      </x:c>
      <x:c r="V530" s="78" t="n">
        <x:f>P530-T530</x:f>
        <x:v>0.6517193692713585</x:v>
      </x:c>
      <x:c r="W530" s="79" t="n">
        <x:f>IF(U530&gt;0,V530/U530,0)</x:f>
        <x:v>2.511777486315985e-11</x:v>
      </x:c>
      <x:c r="X530" s="80" t="n">
        <x:f>W530*('Inputs'!$B$6-AC530)</x:f>
        <x:v>-0.0024499607392550957</x:v>
      </x:c>
      <x:c r="Y530" s="80" t="n">
        <x:f>2*V530</x:f>
        <x:v>1.303438738542717</x:v>
      </x:c>
      <x:c r="Z530" s="80" t="n">
        <x:f>K530*'Inputs'!$B$16+(G530+R530)*J530*'Inputs'!$B$16</x:f>
        <x:v>0.004104054335174846</x:v>
      </x:c>
      <x:c r="AA530" s="80" t="n">
        <x:f>K530*(1+'Inputs'!$E$45)/2*'Inputs'!$B$17</x:f>
        <x:v>0.0013074328844765314</x:v>
      </x:c>
      <x:c r="AB530" s="78" t="n">
        <x:f>(IF(J530&gt;0,K530*(1-'Inputs'!$E$45)/2/J530,0)+G530+R530)*'Inputs'!$B$17</x:f>
        <x:v>52217436.265114054</x:v>
      </x:c>
      <x:c r="AC530" s="78" t="n">
        <x:f>AC529+AB530</x:f>
        <x:v>1097538924.2320364</x:v>
      </x:c>
      <x:c r="AD530" s="80" t="n">
        <x:f>Z530/(1+'Inputs'!$C$45)</x:f>
        <x:v>0.0027360362234498978</x:v>
      </x:c>
      <x:c r="AE530" s="80" t="n">
        <x:f>Z530-AD530</x:f>
        <x:v>0.0013680181117249487</x:v>
      </x:c>
      <x:c r="AF530" s="80" t="n">
        <x:f>D530*W530</x:f>
        <x:v>0.0000070991591640299945</x:v>
      </x:c>
      <x:c r="AG530" s="80" t="n">
        <x:f>C530*W530</x:f>
        <x:v>0.00001242352853705235</x:v>
      </x:c>
      <x:c r="AH530" s="80" t="n">
        <x:f>2*'Inputs'!$B$8*'Inputs'!$C$45</x:f>
        <x:v>2500</x:v>
      </x:c>
      <x:c r="AI530" s="81" t="n">
        <x:f>IF(AH530&gt;0,(AE530+AF530)/AH530*365,0)</x:f>
        <x:v>0.00020076712154979087</x:v>
      </x:c>
      <x:c r="AJ530" s="81" t="n">
        <x:f>IF('Inputs'!$B$45&gt;0,AG530/('Inputs'!$B$19*'Inputs'!$B$45)*365,0)</x:f>
        <x:v>6.046117221365477e-7</x:v>
      </x:c>
      <x:c r="AK530" s="81" t="n">
        <x:f>W530/MAX($W$369:W530)-1</x:f>
        <x:v>-0.9999999665912688</x:v>
      </x:c>
      <x:c r="AL530" s="83" t="n">
        <x:f>'Inputs'!$B$45</x:f>
        <x:v>0.75</x:v>
      </x:c>
      <x:c r="AM530" s="83" t="n">
        <x:f>'Inputs'!$C$45</x:f>
        <x:v>0.5</x:v>
      </x:c>
      <x:c r="AN530" s="83" t="n">
        <x:f>'Inputs'!$D$45</x:f>
        <x:v>0.5</x:v>
      </x:c>
      <x:c r="AO530" s="81" t="n">
        <x:f>'Inputs'!$E$45</x:f>
        <x:v>-0.05</x:v>
      </x:c>
    </x:row>
    <x:row r="531">
      <x:c r="A531" s="59" t="str">
        <x:v>Weak demand</x:v>
      </x:c>
      <x:c r="B531" s="59" t="n">
        <x:v>163</x:v>
      </x:c>
      <x:c r="C531" s="78" t="n">
        <x:f>(('Inputs'!$B$29*(3*163*'Inputs'!$B$12-163^2)/(2*'Inputs'!$B$12^2))-('Inputs'!$B$29*(3*162*'Inputs'!$B$12-162^2)/(2*'Inputs'!$B$12^2)))*'Inputs'!$B$45</x:f>
        <x:v>494367.2006943114</x:v>
      </x:c>
      <x:c r="D531" s="78" t="n">
        <x:f>IF('Inputs'!$C$45&gt;0,('Inputs'!$B$30*(3*163*'Inputs'!$B$12-163^2)/(2*'Inputs'!$B$12^2))-('Inputs'!$B$30*(3*162*'Inputs'!$B$12-162^2)/(2*'Inputs'!$B$12^2)),0)</x:f>
        <x:v>282495.54325389117</x:v>
      </x:c>
      <x:c r="E531" s="78" t="n">
        <x:f>C531+D531</x:f>
        <x:v>776862.7439482026</x:v>
      </x:c>
      <x:c r="F531" s="78" t="n">
        <x:f>'Inputs'!$B$13*E531+(1-'Inputs'!$B$13)/'Inputs'!$B$14*SUM(E476:E531)</x:f>
        <x:v>785292.3273597287</x:v>
      </x:c>
      <x:c r="G531" s="78" t="n">
        <x:f>F531*'Inputs'!$F$45</x:f>
        <x:v>549704.6291518101</x:v>
      </x:c>
      <x:c r="H531" s="78" t="n">
        <x:f>U530</x:f>
        <x:v>25946540759.358147</x:v>
      </x:c>
      <x:c r="I531" s="78" t="n">
        <x:f>V530</x:f>
        <x:v>0.6517193692713585</x:v>
      </x:c>
      <x:c r="J531" s="79" t="n">
        <x:f>IF(H531&gt;0,I531/H531,0)</x:f>
        <x:v>2.511777486315985e-11</x:v>
      </x:c>
      <x:c r="K531" s="80" t="n">
        <x:f>(H531*J531+I531)*'Inputs'!$D$45*(1+'Inputs'!$G$45)^(B531/30)</x:f>
        <x:v>0.6517193692713585</x:v>
      </x:c>
      <x:c r="L531" s="80" t="n">
        <x:f>MAX(0,K531*'Inputs'!$E$45)</x:f>
        <x:v>0</x:v>
      </x:c>
      <x:c r="M531" s="80" t="n">
        <x:f>MAX(0,-K531*'Inputs'!$E$45)</x:f>
        <x:v>0.03258596846356793</x:v>
      </x:c>
      <x:c r="N531" s="78" t="n">
        <x:f>H531*(L531*(1-'Inputs'!$B$15))/(I531+L531*(1-'Inputs'!$B$15))</x:f>
        <x:v>0</x:v>
      </x:c>
      <x:c r="O531" s="78" t="n">
        <x:f>H531-N531</x:f>
        <x:v>25946540759.358147</x:v>
      </x:c>
      <x:c r="P531" s="78" t="n">
        <x:f>I531+L531*(1-'Inputs'!$B$17)</x:f>
        <x:v>0.6517193692713585</x:v>
      </x:c>
      <x:c r="Q531" s="78" t="n">
        <x:f>IF(J531&gt;0,M531/J531,0)</x:f>
        <x:v>1297327037.9679074</x:v>
      </x:c>
      <x:c r="R531" s="78" t="n">
        <x:f>IF(B531='Inputs'!$H$45,'Inputs'!$B$27*'Inputs'!$I$45,0)</x:f>
        <x:v>0</x:v>
      </x:c>
      <x:c r="S531" s="78" t="n">
        <x:f>Q531+G531+R531</x:f>
        <x:v>1297876742.5970592</x:v>
      </x:c>
      <x:c r="T531" s="78" t="n">
        <x:f>P531*(S531*(1-'Inputs'!$B$15))/(O531+S531*(1-'Inputs'!$B$15))</x:f>
        <x:v>0.03075096053939818</x:v>
      </x:c>
      <x:c r="U531" s="78" t="n">
        <x:f>O531+S531*(1-'Inputs'!$B$17)</x:f>
        <x:v>27239194657.92061</x:v>
      </x:c>
      <x:c r="V531" s="78" t="n">
        <x:f>P531-T531</x:f>
        <x:v>0.6209684087319604</x:v>
      </x:c>
      <x:c r="W531" s="79" t="n">
        <x:f>IF(U531&gt;0,V531/U531,0)</x:f>
        <x:v>2.2796871072375675e-11</x:v>
      </x:c>
      <x:c r="X531" s="80" t="n">
        <x:f>W531*('Inputs'!$B$6-AC531)</x:f>
        <x:v>-0.003473280479007678</x:v>
      </x:c>
      <x:c r="Y531" s="80" t="n">
        <x:f>2*V531</x:f>
        <x:v>1.2419368174639207</x:v>
      </x:c>
      <x:c r="Z531" s="80" t="n">
        <x:f>K531*'Inputs'!$B$16+(G531+R531)*J531*'Inputs'!$B$16</x:f>
        <x:v>0.003910399059770849</x:v>
      </x:c>
      <x:c r="AA531" s="80" t="n">
        <x:f>K531*(1+'Inputs'!$E$45)/2*'Inputs'!$B$17</x:f>
        <x:v>0.0012457412491102427</x:v>
      </x:c>
      <x:c r="AB531" s="78" t="n">
        <x:f>(IF(J531&gt;0,K531*(1-'Inputs'!$E$45)/2/J531,0)+G531+R531)*'Inputs'!$B$17</x:f>
        <x:v>54818847.49815767</x:v>
      </x:c>
      <x:c r="AC531" s="78" t="n">
        <x:f>AC530+AB531</x:f>
        <x:v>1152357771.730194</x:v>
      </x:c>
      <x:c r="AD531" s="80" t="n">
        <x:f>Z531/(1+'Inputs'!$C$45)</x:f>
        <x:v>0.002606932706513899</x:v>
      </x:c>
      <x:c r="AE531" s="80" t="n">
        <x:f>Z531-AD531</x:f>
        <x:v>0.0013034663532569498</x:v>
      </x:c>
      <x:c r="AF531" s="80" t="n">
        <x:f>D531*W531</x:f>
        <x:v>0.0000064400144780796825</x:v>
      </x:c>
      <x:c r="AG531" s="80" t="n">
        <x:f>C531*W531</x:f>
        <x:v>0.000011270025336639488</x:v>
      </x:c>
      <x:c r="AH531" s="80" t="n">
        <x:f>2*'Inputs'!$B$8*'Inputs'!$C$45</x:f>
        <x:v>2500</x:v>
      </x:c>
      <x:c r="AI531" s="81" t="n">
        <x:f>IF(AH531&gt;0,(AE531+AF531)/AH531*365,0)</x:f>
        <x:v>0.00019124632968931432</x:v>
      </x:c>
      <x:c r="AJ531" s="81" t="n">
        <x:f>IF('Inputs'!$B$45&gt;0,AG531/('Inputs'!$B$19*'Inputs'!$B$45)*365,0)</x:f>
        <x:v>5.484745663831218e-7</x:v>
      </x:c>
      <x:c r="AK531" s="81" t="n">
        <x:f>W531/MAX($W$369:W531)-1</x:f>
        <x:v>-0.999999969678264</x:v>
      </x:c>
      <x:c r="AL531" s="83" t="n">
        <x:f>'Inputs'!$B$45</x:f>
        <x:v>0.75</x:v>
      </x:c>
      <x:c r="AM531" s="83" t="n">
        <x:f>'Inputs'!$C$45</x:f>
        <x:v>0.5</x:v>
      </x:c>
      <x:c r="AN531" s="83" t="n">
        <x:f>'Inputs'!$D$45</x:f>
        <x:v>0.5</x:v>
      </x:c>
      <x:c r="AO531" s="81" t="n">
        <x:f>'Inputs'!$E$45</x:f>
        <x:v>-0.05</x:v>
      </x:c>
    </x:row>
    <x:row r="532">
      <x:c r="A532" s="59" t="str">
        <x:v>Weak demand</x:v>
      </x:c>
      <x:c r="B532" s="59" t="n">
        <x:v>164</x:v>
      </x:c>
      <x:c r="C532" s="78" t="n">
        <x:f>(('Inputs'!$B$29*(3*164*'Inputs'!$B$12-164^2)/(2*'Inputs'!$B$12^2))-('Inputs'!$B$29*(3*163*'Inputs'!$B$12-163^2)/(2*'Inputs'!$B$12^2)))*'Inputs'!$B$45</x:f>
        <x:v>494123.36976919323</x:v>
      </x:c>
      <x:c r="D532" s="78" t="n">
        <x:f>IF('Inputs'!$C$45&gt;0,('Inputs'!$B$30*(3*164*'Inputs'!$B$12-164^2)/(2*'Inputs'!$B$12^2))-('Inputs'!$B$30*(3*163*'Inputs'!$B$12-163^2)/(2*'Inputs'!$B$12^2)),0)</x:f>
        <x:v>282356.2112966776</x:v>
      </x:c>
      <x:c r="E532" s="78" t="n">
        <x:f>C532+D532</x:f>
        <x:v>776479.5810658708</x:v>
      </x:c>
      <x:c r="F532" s="78" t="n">
        <x:f>'Inputs'!$B$13*E532+(1-'Inputs'!$B$13)/'Inputs'!$B$14*SUM(E477:E532)</x:f>
        <x:v>784909.1644773888</x:v>
      </x:c>
      <x:c r="G532" s="78" t="n">
        <x:f>F532*'Inputs'!$F$45</x:f>
        <x:v>549436.4151341722</x:v>
      </x:c>
      <x:c r="H532" s="78" t="n">
        <x:f>U531</x:f>
        <x:v>27239194657.92061</x:v>
      </x:c>
      <x:c r="I532" s="78" t="n">
        <x:f>V531</x:f>
        <x:v>0.6209684087319604</x:v>
      </x:c>
      <x:c r="J532" s="79" t="n">
        <x:f>IF(H532&gt;0,I532/H532,0)</x:f>
        <x:v>2.2796871072375675e-11</x:v>
      </x:c>
      <x:c r="K532" s="80" t="n">
        <x:f>(H532*J532+I532)*'Inputs'!$D$45*(1+'Inputs'!$G$45)^(B532/30)</x:f>
        <x:v>0.6209684087319604</x:v>
      </x:c>
      <x:c r="L532" s="80" t="n">
        <x:f>MAX(0,K532*'Inputs'!$E$45)</x:f>
        <x:v>0</x:v>
      </x:c>
      <x:c r="M532" s="80" t="n">
        <x:f>MAX(0,-K532*'Inputs'!$E$45)</x:f>
        <x:v>0.03104842043659802</x:v>
      </x:c>
      <x:c r="N532" s="78" t="n">
        <x:f>H532*(L532*(1-'Inputs'!$B$15))/(I532+L532*(1-'Inputs'!$B$15))</x:f>
        <x:v>0</x:v>
      </x:c>
      <x:c r="O532" s="78" t="n">
        <x:f>H532-N532</x:f>
        <x:v>27239194657.92061</x:v>
      </x:c>
      <x:c r="P532" s="78" t="n">
        <x:f>I532+L532*(1-'Inputs'!$B$17)</x:f>
        <x:v>0.6209684087319604</x:v>
      </x:c>
      <x:c r="Q532" s="78" t="n">
        <x:f>IF(J532&gt;0,M532/J532,0)</x:f>
        <x:v>1361959732.8960304</x:v>
      </x:c>
      <x:c r="R532" s="78" t="n">
        <x:f>IF(B532='Inputs'!$H$45,'Inputs'!$B$27*'Inputs'!$I$45,0)</x:f>
        <x:v>0</x:v>
      </x:c>
      <x:c r="S532" s="78" t="n">
        <x:f>Q532+G532+R532</x:f>
        <x:v>1362509169.3111646</x:v>
      </x:c>
      <x:c r="T532" s="78" t="n">
        <x:f>P532*(S532*(1-'Inputs'!$B$15))/(O532+S532*(1-'Inputs'!$B$15))</x:f>
        <x:v>0.02929942956261338</x:v>
      </x:c>
      <x:c r="U532" s="78" t="n">
        <x:f>O532+S532*(1-'Inputs'!$B$17)</x:f>
        <x:v>28596220892.94883</x:v>
      </x:c>
      <x:c r="V532" s="78" t="n">
        <x:f>P532-T532</x:f>
        <x:v>0.591668979169347</x:v>
      </x:c>
      <x:c r="W532" s="79" t="n">
        <x:f>IF(U532&gt;0,V532/U532,0)</x:f>
        <x:v>2.0690460511697858e-11</x:v>
      </x:c>
      <x:c r="X532" s="80" t="n">
        <x:f>W532*('Inputs'!$B$6-AC532)</x:f>
        <x:v>-0.004343084434879467</x:v>
      </x:c>
      <x:c r="Y532" s="80" t="n">
        <x:f>2*V532</x:f>
        <x:v>1.183337958338694</x:v>
      </x:c>
      <x:c r="Z532" s="80" t="n">
        <x:f>K532*'Inputs'!$B$16+(G532+R532)*J532*'Inputs'!$B$16</x:f>
        <x:v>0.003725885604978472</x:v>
      </x:c>
      <x:c r="AA532" s="80" t="n">
        <x:f>K532*(1+'Inputs'!$E$45)/2*'Inputs'!$B$17</x:f>
        <x:v>0.0011869617470731636</x:v>
      </x:c>
      <x:c r="AB532" s="78" t="n">
        <x:f>(IF(J532&gt;0,K532*(1-'Inputs'!$E$45)/2/J532,0)+G532+R532)*'Inputs'!$B$17</x:f>
        <x:v>57549805.359450534</x:v>
      </x:c>
      <x:c r="AC532" s="78" t="n">
        <x:f>AC531+AB532</x:f>
        <x:v>1209907577.0896447</x:v>
      </x:c>
      <x:c r="AD532" s="80" t="n">
        <x:f>Z532/(1+'Inputs'!$C$45)</x:f>
        <x:v>0.0024839237366523145</x:v>
      </x:c>
      <x:c r="AE532" s="80" t="n">
        <x:f>Z532-AD532</x:f>
        <x:v>0.0012419618683261573</x:v>
      </x:c>
      <x:c r="AF532" s="80" t="n">
        <x:f>D532*W532</x:f>
        <x:v>0.000005842080040066524</x:v>
      </x:c>
      <x:c r="AG532" s="80" t="n">
        <x:f>C532*W532</x:f>
        <x:v>0.000010223640070116572</x:v>
      </x:c>
      <x:c r="AH532" s="80" t="n">
        <x:f>2*'Inputs'!$B$8*'Inputs'!$C$45</x:f>
        <x:v>2500</x:v>
      </x:c>
      <x:c r="AI532" s="81" t="n">
        <x:f>IF(AH532&gt;0,(AE532+AF532)/AH532*365,0)</x:f>
        <x:v>0.0001821793764614687</x:v>
      </x:c>
      <x:c r="AJ532" s="81" t="n">
        <x:f>IF('Inputs'!$B$45&gt;0,AG532/('Inputs'!$B$19*'Inputs'!$B$45)*365,0)</x:f>
        <x:v>4.975504834123398e-7</x:v>
      </x:c>
      <x:c r="AK532" s="81" t="n">
        <x:f>W532/MAX($W$369:W532)-1</x:f>
        <x:v>-0.9999999724799653</x:v>
      </x:c>
      <x:c r="AL532" s="83" t="n">
        <x:f>'Inputs'!$B$45</x:f>
        <x:v>0.75</x:v>
      </x:c>
      <x:c r="AM532" s="83" t="n">
        <x:f>'Inputs'!$C$45</x:f>
        <x:v>0.5</x:v>
      </x:c>
      <x:c r="AN532" s="83" t="n">
        <x:f>'Inputs'!$D$45</x:f>
        <x:v>0.5</x:v>
      </x:c>
      <x:c r="AO532" s="81" t="n">
        <x:f>'Inputs'!$E$45</x:f>
        <x:v>-0.05</x:v>
      </x:c>
    </x:row>
    <x:row r="533">
      <x:c r="A533" s="59" t="str">
        <x:v>Weak demand</x:v>
      </x:c>
      <x:c r="B533" s="59" t="n">
        <x:v>165</x:v>
      </x:c>
      <x:c r="C533" s="78" t="n">
        <x:f>(('Inputs'!$B$29*(3*165*'Inputs'!$B$12-165^2)/(2*'Inputs'!$B$12^2))-('Inputs'!$B$29*(3*164*'Inputs'!$B$12-164^2)/(2*'Inputs'!$B$12^2)))*'Inputs'!$B$45</x:f>
        <x:v>493879.5388440639</x:v>
      </x:c>
      <x:c r="D533" s="78" t="n">
        <x:f>IF('Inputs'!$C$45&gt;0,('Inputs'!$B$30*(3*165*'Inputs'!$B$12-165^2)/(2*'Inputs'!$B$12^2))-('Inputs'!$B$30*(3*164*'Inputs'!$B$12-164^2)/(2*'Inputs'!$B$12^2)),0)</x:f>
        <x:v>282216.879339464</x:v>
      </x:c>
      <x:c r="E533" s="78" t="n">
        <x:f>C533+D533</x:f>
        <x:v>776096.4181835279</x:v>
      </x:c>
      <x:c r="F533" s="78" t="n">
        <x:f>'Inputs'!$B$13*E533+(1-'Inputs'!$B$13)/'Inputs'!$B$14*SUM(E478:E533)</x:f>
        <x:v>784526.0015950467</x:v>
      </x:c>
      <x:c r="G533" s="78" t="n">
        <x:f>F533*'Inputs'!$F$45</x:f>
        <x:v>549168.2011165327</x:v>
      </x:c>
      <x:c r="H533" s="78" t="n">
        <x:f>U532</x:f>
        <x:v>28596220892.94883</x:v>
      </x:c>
      <x:c r="I533" s="78" t="n">
        <x:f>V532</x:f>
        <x:v>0.591668979169347</x:v>
      </x:c>
      <x:c r="J533" s="79" t="n">
        <x:f>IF(H533&gt;0,I533/H533,0)</x:f>
        <x:v>2.0690460511697858e-11</x:v>
      </x:c>
      <x:c r="K533" s="80" t="n">
        <x:f>(H533*J533+I533)*'Inputs'!$D$45*(1+'Inputs'!$G$45)^(B533/30)</x:f>
        <x:v>0.591668979169347</x:v>
      </x:c>
      <x:c r="L533" s="80" t="n">
        <x:f>MAX(0,K533*'Inputs'!$E$45)</x:f>
        <x:v>0</x:v>
      </x:c>
      <x:c r="M533" s="80" t="n">
        <x:f>MAX(0,-K533*'Inputs'!$E$45)</x:f>
        <x:v>0.029583448958467352</x:v>
      </x:c>
      <x:c r="N533" s="78" t="n">
        <x:f>H533*(L533*(1-'Inputs'!$B$15))/(I533+L533*(1-'Inputs'!$B$15))</x:f>
        <x:v>0</x:v>
      </x:c>
      <x:c r="O533" s="78" t="n">
        <x:f>H533-N533</x:f>
        <x:v>28596220892.94883</x:v>
      </x:c>
      <x:c r="P533" s="78" t="n">
        <x:f>I533+L533*(1-'Inputs'!$B$17)</x:f>
        <x:v>0.591668979169347</x:v>
      </x:c>
      <x:c r="Q533" s="78" t="n">
        <x:f>IF(J533&gt;0,M533/J533,0)</x:f>
        <x:v>1429811044.6474416</x:v>
      </x:c>
      <x:c r="R533" s="78" t="n">
        <x:f>IF(B533='Inputs'!$H$45,'Inputs'!$B$27*'Inputs'!$I$45,0)</x:f>
        <x:v>0</x:v>
      </x:c>
      <x:c r="S533" s="78" t="n">
        <x:f>Q533+G533+R533</x:f>
        <x:v>1430360212.8485582</x:v>
      </x:c>
      <x:c r="T533" s="78" t="n">
        <x:f>P533*(S533*(1-'Inputs'!$B$15))/(O533+S533*(1-'Inputs'!$B$15))</x:f>
        <x:v>0.027916467492622908</x:v>
      </x:c>
      <x:c r="U533" s="78" t="n">
        <x:f>O533+S533*(1-'Inputs'!$B$17)</x:f>
        <x:v>30020825129.085724</x:v>
      </x:c>
      <x:c r="V533" s="78" t="n">
        <x:f>P533-T533</x:f>
        <x:v>0.5637525116767241</x:v>
      </x:c>
      <x:c r="W533" s="79" t="n">
        <x:f>IF(U533&gt;0,V533/U533,0)</x:f>
        <x:v>1.8778714750599297e-11</x:v>
      </x:c>
      <x:c r="X533" s="80" t="n">
        <x:f>W533*('Inputs'!$B$6-AC533)</x:f>
        <x:v>-0.00507634363728364</x:v>
      </x:c>
      <x:c r="Y533" s="80" t="n">
        <x:f>2*V533</x:f>
        <x:v>1.1275050233534483</x:v>
      </x:c>
      <x:c r="Z533" s="80" t="n">
        <x:f>K533*'Inputs'!$B$16+(G533+R533)*J533*'Inputs'!$B$16</x:f>
        <x:v>0.003550082050273959</x:v>
      </x:c>
      <x:c r="AA533" s="80" t="n">
        <x:f>K533*(1+'Inputs'!$E$45)/2*'Inputs'!$B$17</x:f>
        <x:v>0.001130956801229134</x:v>
      </x:c>
      <x:c r="AB533" s="78" t="n">
        <x:f>(IF(J533&gt;0,K533*(1-'Inputs'!$E$45)/2/J533,0)+G533+R533)*'Inputs'!$B$17</x:f>
        <x:v>60416761.11468513</x:v>
      </x:c>
      <x:c r="AC533" s="78" t="n">
        <x:f>AC532+AB533</x:f>
        <x:v>1270324338.2043297</x:v>
      </x:c>
      <x:c r="AD533" s="80" t="n">
        <x:f>Z533/(1+'Inputs'!$C$45)</x:f>
        <x:v>0.002366721366849306</x:v>
      </x:c>
      <x:c r="AE533" s="80" t="n">
        <x:f>Z533-AD533</x:f>
        <x:v>0.0011833606834246529</x:v>
      </x:c>
      <x:c r="AF533" s="80" t="n">
        <x:f>D533*W533</x:f>
        <x:v>0.000005299670274920094</x:v>
      </x:c>
      <x:c r="AG533" s="80" t="n">
        <x:f>C533*W533</x:f>
        <x:v>0.000009274422981110201</x:v>
      </x:c>
      <x:c r="AH533" s="80" t="n">
        <x:f>2*'Inputs'!$B$8*'Inputs'!$C$45</x:f>
        <x:v>2500</x:v>
      </x:c>
      <x:c r="AI533" s="81" t="n">
        <x:f>IF(AH533&gt;0,(AE533+AF533)/AH533*365,0)</x:f>
        <x:v>0.00017354441164013764</x:v>
      </x:c>
      <x:c r="AJ533" s="81" t="n">
        <x:f>IF('Inputs'!$B$45&gt;0,AG533/('Inputs'!$B$19*'Inputs'!$B$45)*365,0)</x:f>
        <x:v>4.5135525174736313e-7</x:v>
      </x:c>
      <x:c r="AK533" s="81" t="n">
        <x:f>W533/MAX($W$369:W533)-1</x:f>
        <x:v>-0.9999999750227463</x:v>
      </x:c>
      <x:c r="AL533" s="83" t="n">
        <x:f>'Inputs'!$B$45</x:f>
        <x:v>0.75</x:v>
      </x:c>
      <x:c r="AM533" s="83" t="n">
        <x:f>'Inputs'!$C$45</x:f>
        <x:v>0.5</x:v>
      </x:c>
      <x:c r="AN533" s="83" t="n">
        <x:f>'Inputs'!$D$45</x:f>
        <x:v>0.5</x:v>
      </x:c>
      <x:c r="AO533" s="81" t="n">
        <x:f>'Inputs'!$E$45</x:f>
        <x:v>-0.05</x:v>
      </x:c>
    </x:row>
    <x:row r="534">
      <x:c r="A534" s="59" t="str">
        <x:v>Weak demand</x:v>
      </x:c>
      <x:c r="B534" s="59" t="n">
        <x:v>166</x:v>
      </x:c>
      <x:c r="C534" s="78" t="n">
        <x:f>(('Inputs'!$B$29*(3*166*'Inputs'!$B$12-166^2)/(2*'Inputs'!$B$12^2))-('Inputs'!$B$29*(3*165*'Inputs'!$B$12-165^2)/(2*'Inputs'!$B$12^2)))*'Inputs'!$B$45</x:f>
        <x:v>493635.7079189345</x:v>
      </x:c>
      <x:c r="D534" s="78" t="n">
        <x:f>IF('Inputs'!$C$45&gt;0,('Inputs'!$B$30*(3*166*'Inputs'!$B$12-166^2)/(2*'Inputs'!$B$12^2))-('Inputs'!$B$30*(3*165*'Inputs'!$B$12-165^2)/(2*'Inputs'!$B$12^2)),0)</x:f>
        <x:v>282077.5473822504</x:v>
      </x:c>
      <x:c r="E534" s="78" t="n">
        <x:f>C534+D534</x:f>
        <x:v>775713.255301185</x:v>
      </x:c>
      <x:c r="F534" s="78" t="n">
        <x:f>'Inputs'!$B$13*E534+(1-'Inputs'!$B$13)/'Inputs'!$B$14*SUM(E479:E534)</x:f>
        <x:v>784142.8387127047</x:v>
      </x:c>
      <x:c r="G534" s="78" t="n">
        <x:f>F534*'Inputs'!$F$45</x:f>
        <x:v>548899.9870988933</x:v>
      </x:c>
      <x:c r="H534" s="78" t="n">
        <x:f>U533</x:f>
        <x:v>30020825129.085724</x:v>
      </x:c>
      <x:c r="I534" s="78" t="n">
        <x:f>V533</x:f>
        <x:v>0.5637525116767241</x:v>
      </x:c>
      <x:c r="J534" s="79" t="n">
        <x:f>IF(H534&gt;0,I534/H534,0)</x:f>
        <x:v>1.8778714750599297e-11</x:v>
      </x:c>
      <x:c r="K534" s="80" t="n">
        <x:f>(H534*J534+I534)*'Inputs'!$D$45*(1+'Inputs'!$G$45)^(B534/30)</x:f>
        <x:v>0.5637525116767241</x:v>
      </x:c>
      <x:c r="L534" s="80" t="n">
        <x:f>MAX(0,K534*'Inputs'!$E$45)</x:f>
        <x:v>0</x:v>
      </x:c>
      <x:c r="M534" s="80" t="n">
        <x:f>MAX(0,-K534*'Inputs'!$E$45)</x:f>
        <x:v>0.02818762558383621</x:v>
      </x:c>
      <x:c r="N534" s="78" t="n">
        <x:f>H534*(L534*(1-'Inputs'!$B$15))/(I534+L534*(1-'Inputs'!$B$15))</x:f>
        <x:v>0</x:v>
      </x:c>
      <x:c r="O534" s="78" t="n">
        <x:f>H534-N534</x:f>
        <x:v>30020825129.085724</x:v>
      </x:c>
      <x:c r="P534" s="78" t="n">
        <x:f>I534+L534*(1-'Inputs'!$B$17)</x:f>
        <x:v>0.5637525116767241</x:v>
      </x:c>
      <x:c r="Q534" s="78" t="n">
        <x:f>IF(J534&gt;0,M534/J534,0)</x:f>
        <x:v>1501041256.4542863</x:v>
      </x:c>
      <x:c r="R534" s="78" t="n">
        <x:f>IF(B534='Inputs'!$H$45,'Inputs'!$B$27*'Inputs'!$I$45,0)</x:f>
        <x:v>0</x:v>
      </x:c>
      <x:c r="S534" s="78" t="n">
        <x:f>Q534+G534+R534</x:f>
        <x:v>1501590156.4413853</x:v>
      </x:c>
      <x:c r="T534" s="78" t="n">
        <x:f>P534*(S534*(1-'Inputs'!$B$15))/(O534+S534*(1-'Inputs'!$B$15))</x:f>
        <x:v>0.026598830318170306</x:v>
      </x:c>
      <x:c r="U534" s="78" t="n">
        <x:f>O534+S534*(1-'Inputs'!$B$17)</x:f>
        <x:v>31516372669.2034</x:v>
      </x:c>
      <x:c r="V534" s="78" t="n">
        <x:f>P534-T534</x:f>
        <x:v>0.5371536813585538</x:v>
      </x:c>
      <x:c r="W534" s="79" t="n">
        <x:f>IF(U534&gt;0,V534/U534,0)</x:f>
        <x:v>1.704363909503583e-11</x:v>
      </x:c>
      <x:c r="X534" s="80" t="n">
        <x:f>W534*('Inputs'!$B$6-AC534)</x:f>
        <x:v>-0.005688328617477401</x:v>
      </x:c>
      <x:c r="Y534" s="80" t="n">
        <x:f>2*V534</x:f>
        <x:v>1.0743073627171076</x:v>
      </x:c>
      <x:c r="Z534" s="80" t="n">
        <x:f>K534*'Inputs'!$B$16+(G534+R534)*J534*'Inputs'!$B$16</x:f>
        <x:v>0.003382576915878051</x:v>
      </x:c>
      <x:c r="AA534" s="80" t="n">
        <x:f>K534*(1+'Inputs'!$E$45)/2*'Inputs'!$B$17</x:f>
        <x:v>0.0010775953442512835</x:v>
      </x:c>
      <x:c r="AB534" s="78" t="n">
        <x:f>(IF(J534&gt;0,K534*(1-'Inputs'!$E$45)/2/J534,0)+G534+R534)*'Inputs'!$B$17</x:f>
        <x:v>63426487.294797204</x:v>
      </x:c>
      <x:c r="AC534" s="78" t="n">
        <x:f>AC533+AB534</x:f>
        <x:v>1333750825.499127</x:v>
      </x:c>
      <x:c r="AD534" s="80" t="n">
        <x:f>Z534/(1+'Inputs'!$C$45)</x:f>
        <x:v>0.002255051277252034</x:v>
      </x:c>
      <x:c r="AE534" s="80" t="n">
        <x:f>Z534-AD534</x:f>
        <x:v>0.001127525638626017</x:v>
      </x:c>
      <x:c r="AF534" s="80" t="n">
        <x:f>D534*W534</x:f>
        <x:v>0.000004807627914395945</x:v>
      </x:c>
      <x:c r="AG534" s="80" t="n">
        <x:f>C534*W534</x:f>
        <x:v>0.000008413348850192842</x:v>
      </x:c>
      <x:c r="AH534" s="80" t="n">
        <x:f>2*'Inputs'!$B$8*'Inputs'!$C$45</x:f>
        <x:v>2500</x:v>
      </x:c>
      <x:c r="AI534" s="81" t="n">
        <x:f>IF(AH534&gt;0,(AE534+AF534)/AH534*365,0)</x:f>
        <x:v>0.0001653206569149003</x:v>
      </x:c>
      <x:c r="AJ534" s="81" t="n">
        <x:f>IF('Inputs'!$B$45&gt;0,AG534/('Inputs'!$B$19*'Inputs'!$B$45)*365,0)</x:f>
        <x:v>4.094496440427183e-7</x:v>
      </x:c>
      <x:c r="AK534" s="81" t="n">
        <x:f>W534/MAX($W$369:W534)-1</x:f>
        <x:v>-0.9999999773305414</x:v>
      </x:c>
      <x:c r="AL534" s="83" t="n">
        <x:f>'Inputs'!$B$45</x:f>
        <x:v>0.75</x:v>
      </x:c>
      <x:c r="AM534" s="83" t="n">
        <x:f>'Inputs'!$C$45</x:f>
        <x:v>0.5</x:v>
      </x:c>
      <x:c r="AN534" s="83" t="n">
        <x:f>'Inputs'!$D$45</x:f>
        <x:v>0.5</x:v>
      </x:c>
      <x:c r="AO534" s="81" t="n">
        <x:f>'Inputs'!$E$45</x:f>
        <x:v>-0.05</x:v>
      </x:c>
    </x:row>
    <x:row r="535">
      <x:c r="A535" s="59" t="str">
        <x:v>Weak demand</x:v>
      </x:c>
      <x:c r="B535" s="59" t="n">
        <x:v>167</x:v>
      </x:c>
      <x:c r="C535" s="78" t="n">
        <x:f>(('Inputs'!$B$29*(3*167*'Inputs'!$B$12-167^2)/(2*'Inputs'!$B$12^2))-('Inputs'!$B$29*(3*166*'Inputs'!$B$12-166^2)/(2*'Inputs'!$B$12^2)))*'Inputs'!$B$45</x:f>
        <x:v>493391.87699380517</x:v>
      </x:c>
      <x:c r="D535" s="78" t="n">
        <x:f>IF('Inputs'!$C$45&gt;0,('Inputs'!$B$30*(3*167*'Inputs'!$B$12-167^2)/(2*'Inputs'!$B$12^2))-('Inputs'!$B$30*(3*166*'Inputs'!$B$12-166^2)/(2*'Inputs'!$B$12^2)),0)</x:f>
        <x:v>281938.2154250294</x:v>
      </x:c>
      <x:c r="E535" s="78" t="n">
        <x:f>C535+D535</x:f>
        <x:v>775330.0924188346</x:v>
      </x:c>
      <x:c r="F535" s="78" t="n">
        <x:f>'Inputs'!$B$13*E535+(1-'Inputs'!$B$13)/'Inputs'!$B$14*SUM(E480:E535)</x:f>
        <x:v>783759.675830361</x:v>
      </x:c>
      <x:c r="G535" s="78" t="n">
        <x:f>F535*'Inputs'!$F$45</x:f>
        <x:v>548631.7730812527</x:v>
      </x:c>
      <x:c r="H535" s="78" t="n">
        <x:f>U534</x:f>
        <x:v>31516372669.2034</x:v>
      </x:c>
      <x:c r="I535" s="78" t="n">
        <x:f>V534</x:f>
        <x:v>0.5371536813585538</x:v>
      </x:c>
      <x:c r="J535" s="79" t="n">
        <x:f>IF(H535&gt;0,I535/H535,0)</x:f>
        <x:v>1.704363909503583e-11</x:v>
      </x:c>
      <x:c r="K535" s="80" t="n">
        <x:f>(H535*J535+I535)*'Inputs'!$D$45*(1+'Inputs'!$G$45)^(B535/30)</x:f>
        <x:v>0.5371536813585538</x:v>
      </x:c>
      <x:c r="L535" s="80" t="n">
        <x:f>MAX(0,K535*'Inputs'!$E$45)</x:f>
        <x:v>0</x:v>
      </x:c>
      <x:c r="M535" s="80" t="n">
        <x:f>MAX(0,-K535*'Inputs'!$E$45)</x:f>
        <x:v>0.02685768406792769</x:v>
      </x:c>
      <x:c r="N535" s="78" t="n">
        <x:f>H535*(L535*(1-'Inputs'!$B$15))/(I535+L535*(1-'Inputs'!$B$15))</x:f>
        <x:v>0</x:v>
      </x:c>
      <x:c r="O535" s="78" t="n">
        <x:f>H535-N535</x:f>
        <x:v>31516372669.2034</x:v>
      </x:c>
      <x:c r="P535" s="78" t="n">
        <x:f>I535+L535*(1-'Inputs'!$B$17)</x:f>
        <x:v>0.5371536813585538</x:v>
      </x:c>
      <x:c r="Q535" s="78" t="n">
        <x:f>IF(J535&gt;0,M535/J535,0)</x:f>
        <x:v>1575818633.46017</x:v>
      </x:c>
      <x:c r="R535" s="78" t="n">
        <x:f>IF(B535='Inputs'!$H$45,'Inputs'!$B$27*'Inputs'!$I$45,0)</x:f>
        <x:v>0</x:v>
      </x:c>
      <x:c r="S535" s="78" t="n">
        <x:f>Q535+G535+R535</x:f>
        <x:v>1576367265.2332513</x:v>
      </x:c>
      <x:c r="T535" s="78" t="n">
        <x:f>P535*(S535*(1-'Inputs'!$B$15))/(O535+S535*(1-'Inputs'!$B$15))</x:f>
        <x:v>0.025343427956101946</x:v>
      </x:c>
      <x:c r="U535" s="78" t="n">
        <x:f>O535+S535*(1-'Inputs'!$B$17)</x:f>
        <x:v>33086396404.194263</x:v>
      </x:c>
      <x:c r="V535" s="78" t="n">
        <x:f>P535-T535</x:f>
        <x:v>0.5118102534024519</x:v>
      </x:c>
      <x:c r="W535" s="79" t="n">
        <x:f>IF(U535&gt;0,V535/U535,0)</x:f>
        <x:v>1.5468902903477612e-11</x:v>
      </x:c>
      <x:c r="X535" s="80" t="n">
        <x:f>W535*('Inputs'!$B$6-AC535)</x:f>
        <x:v>-0.006192772931684923</x:v>
      </x:c>
      <x:c r="Y535" s="80" t="n">
        <x:f>2*V535</x:f>
        <x:v>1.0236205068049038</x:v>
      </x:c>
      <x:c r="Z535" s="80" t="n">
        <x:f>K535*'Inputs'!$B$16+(G535+R535)*J535*'Inputs'!$B$16</x:f>
        <x:v>0.0032229781922429412</x:v>
      </x:c>
      <x:c r="AA535" s="80" t="n">
        <x:f>K535*(1+'Inputs'!$E$45)/2*'Inputs'!$B$17</x:f>
        <x:v>0.0010267525096390867</x:v>
      </x:c>
      <x:c r="AB535" s="78" t="n">
        <x:f>(IF(J535&gt;0,K535*(1-'Inputs'!$E$45)/2/J535,0)+G535+R535)*'Inputs'!$B$17</x:f>
        <x:v>66586093.69458699</x:v>
      </x:c>
      <x:c r="AC535" s="78" t="n">
        <x:f>AC534+AB535</x:f>
        <x:v>1400336919.193714</x:v>
      </x:c>
      <x:c r="AD535" s="80" t="n">
        <x:f>Z535/(1+'Inputs'!$C$45)</x:f>
        <x:v>0.0021486521281619607</x:v>
      </x:c>
      <x:c r="AE535" s="80" t="n">
        <x:f>Z535-AD535</x:f>
        <x:v>0.0010743260640809806</x:v>
      </x:c>
      <x:c r="AF535" s="80" t="n">
        <x:f>D535*W535</x:f>
        <x:v>0.000004361274879189534</x:v>
      </x:c>
      <x:c r="AG535" s="80" t="n">
        <x:f>C535*W535</x:f>
        <x:v>0.000007632231038581742</x:v>
      </x:c>
      <x:c r="AH535" s="80" t="n">
        <x:f>2*'Inputs'!$B$8*'Inputs'!$C$45</x:f>
        <x:v>2500</x:v>
      </x:c>
      <x:c r="AI535" s="81" t="n">
        <x:f>IF(AH535&gt;0,(AE535+AF535)/AH535*365,0)</x:f>
        <x:v>0.00015748835148818484</x:v>
      </x:c>
      <x:c r="AJ535" s="81" t="n">
        <x:f>IF('Inputs'!$B$45&gt;0,AG535/('Inputs'!$B$19*'Inputs'!$B$45)*365,0)</x:f>
        <x:v>3.7143524387764477e-7</x:v>
      </x:c>
      <x:c r="AK535" s="81" t="n">
        <x:f>W535/MAX($W$369:W535)-1</x:f>
        <x:v>-0.9999999794250716</x:v>
      </x:c>
      <x:c r="AL535" s="83" t="n">
        <x:f>'Inputs'!$B$45</x:f>
        <x:v>0.75</x:v>
      </x:c>
      <x:c r="AM535" s="83" t="n">
        <x:f>'Inputs'!$C$45</x:f>
        <x:v>0.5</x:v>
      </x:c>
      <x:c r="AN535" s="83" t="n">
        <x:f>'Inputs'!$D$45</x:f>
        <x:v>0.5</x:v>
      </x:c>
      <x:c r="AO535" s="81" t="n">
        <x:f>'Inputs'!$E$45</x:f>
        <x:v>-0.05</x:v>
      </x:c>
    </x:row>
    <x:row r="536">
      <x:c r="A536" s="59" t="str">
        <x:v>Weak demand</x:v>
      </x:c>
      <x:c r="B536" s="59" t="n">
        <x:v>168</x:v>
      </x:c>
      <x:c r="C536" s="78" t="n">
        <x:f>(('Inputs'!$B$29*(3*168*'Inputs'!$B$12-168^2)/(2*'Inputs'!$B$12^2))-('Inputs'!$B$29*(3*167*'Inputs'!$B$12-167^2)/(2*'Inputs'!$B$12^2)))*'Inputs'!$B$45</x:f>
        <x:v>493148.0460686758</x:v>
      </x:c>
      <x:c r="D536" s="78" t="n">
        <x:f>IF('Inputs'!$C$45&gt;0,('Inputs'!$B$30*(3*168*'Inputs'!$B$12-168^2)/(2*'Inputs'!$B$12^2))-('Inputs'!$B$30*(3*167*'Inputs'!$B$12-167^2)/(2*'Inputs'!$B$12^2)),0)</x:f>
        <x:v>281798.88346782327</x:v>
      </x:c>
      <x:c r="E536" s="78" t="n">
        <x:f>C536+D536</x:f>
        <x:v>774946.9295364991</x:v>
      </x:c>
      <x:c r="F536" s="78" t="n">
        <x:f>'Inputs'!$B$13*E536+(1-'Inputs'!$B$13)/'Inputs'!$B$14*SUM(E481:E536)</x:f>
        <x:v>783376.5129480205</x:v>
      </x:c>
      <x:c r="G536" s="78" t="n">
        <x:f>F536*'Inputs'!$F$45</x:f>
        <x:v>548363.5590636143</x:v>
      </x:c>
      <x:c r="H536" s="78" t="n">
        <x:f>U535</x:f>
        <x:v>33086396404.194263</x:v>
      </x:c>
      <x:c r="I536" s="78" t="n">
        <x:f>V535</x:f>
        <x:v>0.5118102534024519</x:v>
      </x:c>
      <x:c r="J536" s="79" t="n">
        <x:f>IF(H536&gt;0,I536/H536,0)</x:f>
        <x:v>1.5468902903477612e-11</x:v>
      </x:c>
      <x:c r="K536" s="80" t="n">
        <x:f>(H536*J536+I536)*'Inputs'!$D$45*(1+'Inputs'!$G$45)^(B536/30)</x:f>
        <x:v>0.5118102534024519</x:v>
      </x:c>
      <x:c r="L536" s="80" t="n">
        <x:f>MAX(0,K536*'Inputs'!$E$45)</x:f>
        <x:v>0</x:v>
      </x:c>
      <x:c r="M536" s="80" t="n">
        <x:f>MAX(0,-K536*'Inputs'!$E$45)</x:f>
        <x:v>0.025590512670122596</x:v>
      </x:c>
      <x:c r="N536" s="78" t="n">
        <x:f>H536*(L536*(1-'Inputs'!$B$15))/(I536+L536*(1-'Inputs'!$B$15))</x:f>
        <x:v>0</x:v>
      </x:c>
      <x:c r="O536" s="78" t="n">
        <x:f>H536-N536</x:f>
        <x:v>33086396404.194263</x:v>
      </x:c>
      <x:c r="P536" s="78" t="n">
        <x:f>I536+L536*(1-'Inputs'!$B$17)</x:f>
        <x:v>0.5118102534024519</x:v>
      </x:c>
      <x:c r="Q536" s="78" t="n">
        <x:f>IF(J536&gt;0,M536/J536,0)</x:f>
        <x:v>1654319820.2097132</x:v>
      </x:c>
      <x:c r="R536" s="78" t="n">
        <x:f>IF(B536='Inputs'!$H$45,'Inputs'!$B$27*'Inputs'!$I$45,0)</x:f>
        <x:v>0</x:v>
      </x:c>
      <x:c r="S536" s="78" t="n">
        <x:f>Q536+G536+R536</x:f>
        <x:v>1654868183.768777</x:v>
      </x:c>
      <x:c r="T536" s="78" t="n">
        <x:f>P536*(S536*(1-'Inputs'!$B$15))/(O536+S536*(1-'Inputs'!$B$15))</x:f>
        <x:v>0.02414731690546729</x:v>
      </x:c>
      <x:c r="U536" s="78" t="n">
        <x:f>O536+S536*(1-'Inputs'!$B$17)</x:f>
        <x:v>34734605158.6521</x:v>
      </x:c>
      <x:c r="V536" s="78" t="n">
        <x:f>P536-T536</x:f>
        <x:v>0.4876629364969846</x:v>
      </x:c>
      <x:c r="W536" s="79" t="n">
        <x:f>IF(U536&gt;0,V536/U536,0)</x:f>
        <x:v>1.4039685618119424e-11</x:v>
      </x:c>
      <x:c r="X536" s="80" t="n">
        <x:f>W536*('Inputs'!$B$6-AC536)</x:f>
        <x:v>-0.0066020212506751955</x:v>
      </x:c>
      <x:c r="Y536" s="80" t="n">
        <x:f>2*V536</x:f>
        <x:v>0.9753258729939692</x:v>
      </x:c>
      <x:c r="Z536" s="80" t="n">
        <x:f>K536*'Inputs'!$B$16+(G536+R536)*J536*'Inputs'!$B$16</x:f>
        <x:v>0.0030709124159106174</x:v>
      </x:c>
      <x:c r="AA536" s="80" t="n">
        <x:f>K536*(1+'Inputs'!$E$45)/2*'Inputs'!$B$17</x:f>
        <x:v>0.0009783093374895963</x:v>
      </x:c>
      <x:c r="AB536" s="78" t="n">
        <x:f>(IF(J536&gt;0,K536*(1-'Inputs'!$E$45)/2/J536,0)+G536+R536)*'Inputs'!$B$17</x:f>
        <x:v>69903044.16805252</x:v>
      </x:c>
      <x:c r="AC536" s="78" t="n">
        <x:f>AC535+AB536</x:f>
        <x:v>1470239963.3617663</x:v>
      </x:c>
      <x:c r="AD536" s="80" t="n">
        <x:f>Z536/(1+'Inputs'!$C$45)</x:f>
        <x:v>0.0020472749439404115</x:v>
      </x:c>
      <x:c r="AE536" s="80" t="n">
        <x:f>Z536-AD536</x:f>
        <x:v>0.001023637471970206</x:v>
      </x:c>
      <x:c r="AF536" s="80" t="n">
        <x:f>D536*W536</x:f>
        <x:v>0.0000039563677314253095</x:v>
      </x:c>
      <x:c r="AG536" s="80" t="n">
        <x:f>C536*W536</x:f>
        <x:v>0.000006923643529994083</x:v>
      </x:c>
      <x:c r="AH536" s="80" t="n">
        <x:f>2*'Inputs'!$B$8*'Inputs'!$C$45</x:f>
        <x:v>2500</x:v>
      </x:c>
      <x:c r="AI536" s="81" t="n">
        <x:f>IF(AH536&gt;0,(AE536+AF536)/AH536*365,0)</x:f>
        <x:v>0.00015002870059643817</x:v>
      </x:c>
      <x:c r="AJ536" s="81" t="n">
        <x:f>IF('Inputs'!$B$45&gt;0,AG536/('Inputs'!$B$19*'Inputs'!$B$45)*365,0)</x:f>
        <x:v>3.369506517930454e-7</x:v>
      </x:c>
      <x:c r="AK536" s="81" t="n">
        <x:f>W536/MAX($W$369:W536)-1</x:f>
        <x:v>-0.9999999813260495</x:v>
      </x:c>
      <x:c r="AL536" s="83" t="n">
        <x:f>'Inputs'!$B$45</x:f>
        <x:v>0.75</x:v>
      </x:c>
      <x:c r="AM536" s="83" t="n">
        <x:f>'Inputs'!$C$45</x:f>
        <x:v>0.5</x:v>
      </x:c>
      <x:c r="AN536" s="83" t="n">
        <x:f>'Inputs'!$D$45</x:f>
        <x:v>0.5</x:v>
      </x:c>
      <x:c r="AO536" s="81" t="n">
        <x:f>'Inputs'!$E$45</x:f>
        <x:v>-0.05</x:v>
      </x:c>
    </x:row>
    <x:row r="537">
      <x:c r="A537" s="59" t="str">
        <x:v>Weak demand</x:v>
      </x:c>
      <x:c r="B537" s="59" t="n">
        <x:v>169</x:v>
      </x:c>
      <x:c r="C537" s="78" t="n">
        <x:f>(('Inputs'!$B$29*(3*169*'Inputs'!$B$12-169^2)/(2*'Inputs'!$B$12^2))-('Inputs'!$B$29*(3*168*'Inputs'!$B$12-168^2)/(2*'Inputs'!$B$12^2)))*'Inputs'!$B$45</x:f>
        <x:v>492904.21514355764</x:v>
      </x:c>
      <x:c r="D537" s="78" t="n">
        <x:f>IF('Inputs'!$C$45&gt;0,('Inputs'!$B$30*(3*169*'Inputs'!$B$12-169^2)/(2*'Inputs'!$B$12^2))-('Inputs'!$B$30*(3*168*'Inputs'!$B$12-168^2)/(2*'Inputs'!$B$12^2)),0)</x:f>
        <x:v>281659.55151060224</x:v>
      </x:c>
      <x:c r="E537" s="78" t="n">
        <x:f>C537+D537</x:f>
        <x:v>774563.7666541599</x:v>
      </x:c>
      <x:c r="F537" s="78" t="n">
        <x:f>'Inputs'!$B$13*E537+(1-'Inputs'!$B$13)/'Inputs'!$B$14*SUM(E482:E537)</x:f>
        <x:v>782993.3500656792</x:v>
      </x:c>
      <x:c r="G537" s="78" t="n">
        <x:f>F537*'Inputs'!$F$45</x:f>
        <x:v>548095.3450459754</x:v>
      </x:c>
      <x:c r="H537" s="78" t="n">
        <x:f>U536</x:f>
        <x:v>34734605158.6521</x:v>
      </x:c>
      <x:c r="I537" s="78" t="n">
        <x:f>V536</x:f>
        <x:v>0.4876629364969846</x:v>
      </x:c>
      <x:c r="J537" s="79" t="n">
        <x:f>IF(H537&gt;0,I537/H537,0)</x:f>
        <x:v>1.4039685618119424e-11</x:v>
      </x:c>
      <x:c r="K537" s="80" t="n">
        <x:f>(H537*J537+I537)*'Inputs'!$D$45*(1+'Inputs'!$G$45)^(B537/30)</x:f>
        <x:v>0.4876629364969846</x:v>
      </x:c>
      <x:c r="L537" s="80" t="n">
        <x:f>MAX(0,K537*'Inputs'!$E$45)</x:f>
        <x:v>0</x:v>
      </x:c>
      <x:c r="M537" s="80" t="n">
        <x:f>MAX(0,-K537*'Inputs'!$E$45)</x:f>
        <x:v>0.024383146824849232</x:v>
      </x:c>
      <x:c r="N537" s="78" t="n">
        <x:f>H537*(L537*(1-'Inputs'!$B$15))/(I537+L537*(1-'Inputs'!$B$15))</x:f>
        <x:v>0</x:v>
      </x:c>
      <x:c r="O537" s="78" t="n">
        <x:f>H537-N537</x:f>
        <x:v>34734605158.6521</x:v>
      </x:c>
      <x:c r="P537" s="78" t="n">
        <x:f>I537+L537*(1-'Inputs'!$B$17)</x:f>
        <x:v>0.4876629364969846</x:v>
      </x:c>
      <x:c r="Q537" s="78" t="n">
        <x:f>IF(J537&gt;0,M537/J537,0)</x:f>
        <x:v>1736730257.932605</x:v>
      </x:c>
      <x:c r="R537" s="78" t="n">
        <x:f>IF(B537='Inputs'!$H$45,'Inputs'!$B$27*'Inputs'!$I$45,0)</x:f>
        <x:v>0</x:v>
      </x:c>
      <x:c r="S537" s="78" t="n">
        <x:f>Q537+G537+R537</x:f>
        <x:v>1737278353.277651</x:v>
      </x:c>
      <x:c r="T537" s="78" t="n">
        <x:f>P537*(S537*(1-'Inputs'!$B$15))/(O537+S537*(1-'Inputs'!$B$15))</x:f>
        <x:v>0.02300769325607643</x:v>
      </x:c>
      <x:c r="U537" s="78" t="n">
        <x:f>O537+S537*(1-'Inputs'!$B$17)</x:f>
        <x:v>36464892452.15801</x:v>
      </x:c>
      <x:c r="V537" s="78" t="n">
        <x:f>P537-T537</x:f>
        <x:v>0.4646552432409082</x:v>
      </x:c>
      <x:c r="W537" s="79" t="n">
        <x:f>IF(U537&gt;0,V537/U537,0)</x:f>
        <x:v>1.2742537053976959e-11</x:v>
      </x:c>
      <x:c r="X537" s="80" t="n">
        <x:f>W537*('Inputs'!$B$6-AC537)</x:f>
        <x:v>-0.006927163459620088</x:v>
      </x:c>
      <x:c r="Y537" s="80" t="n">
        <x:f>2*V537</x:f>
        <x:v>0.9293104864818164</x:v>
      </x:c>
      <x:c r="Z537" s="80" t="n">
        <x:f>K537*'Inputs'!$B$16+(G537+R537)*J537*'Inputs'!$B$16</x:f>
        <x:v>0.0029260237894999067</x:v>
      </x:c>
      <x:c r="AA537" s="80" t="n">
        <x:f>K537*(1+'Inputs'!$E$45)/2*'Inputs'!$B$17</x:f>
        <x:v>0.0009321524943101316</x:v>
      </x:c>
      <x:c r="AB537" s="78" t="n">
        <x:f>(IF(J537&gt;0,K537*(1-'Inputs'!$E$45)/2/J537,0)+G537+R537)*'Inputs'!$B$17</x:f>
        <x:v>73385174.26011027</x:v>
      </x:c>
      <x:c r="AC537" s="78" t="n">
        <x:f>AC536+AB537</x:f>
        <x:v>1543625137.6218767</x:v>
      </x:c>
      <x:c r="AD537" s="80" t="n">
        <x:f>Z537/(1+'Inputs'!$C$45)</x:f>
        <x:v>0.001950682526333271</x:v>
      </x:c>
      <x:c r="AE537" s="80" t="n">
        <x:f>Z537-AD537</x:f>
        <x:v>0.0009753412631666356</x:v>
      </x:c>
      <x:c r="AF537" s="80" t="n">
        <x:f>D537*W537</x:f>
        <x:v>0.000003589057271730381</x:v>
      </x:c>
      <x:c r="AG537" s="80" t="n">
        <x:f>C537*W537</x:f>
        <x:v>0.000006280850225528214</x:v>
      </x:c>
      <x:c r="AH537" s="80" t="n">
        <x:f>2*'Inputs'!$B$8*'Inputs'!$C$45</x:f>
        <x:v>2500</x:v>
      </x:c>
      <x:c r="AI537" s="81" t="n">
        <x:f>IF(AH537&gt;0,(AE537+AF537)/AH537*365,0)</x:f>
        <x:v>0.00014292382678400144</x:v>
      </x:c>
      <x:c r="AJ537" s="81" t="n">
        <x:f>IF('Inputs'!$B$45&gt;0,AG537/('Inputs'!$B$19*'Inputs'!$B$45)*365,0)</x:f>
        <x:v>3.056680443090397e-7</x:v>
      </x:c>
      <x:c r="AK537" s="81" t="n">
        <x:f>W537/MAX($W$369:W537)-1</x:f>
        <x:v>-0.9999999830513651</x:v>
      </x:c>
      <x:c r="AL537" s="83" t="n">
        <x:f>'Inputs'!$B$45</x:f>
        <x:v>0.75</x:v>
      </x:c>
      <x:c r="AM537" s="83" t="n">
        <x:f>'Inputs'!$C$45</x:f>
        <x:v>0.5</x:v>
      </x:c>
      <x:c r="AN537" s="83" t="n">
        <x:f>'Inputs'!$D$45</x:f>
        <x:v>0.5</x:v>
      </x:c>
      <x:c r="AO537" s="81" t="n">
        <x:f>'Inputs'!$E$45</x:f>
        <x:v>-0.05</x:v>
      </x:c>
    </x:row>
    <x:row r="538">
      <x:c r="A538" s="59" t="str">
        <x:v>Weak demand</x:v>
      </x:c>
      <x:c r="B538" s="59" t="n">
        <x:v>170</x:v>
      </x:c>
      <x:c r="C538" s="78" t="n">
        <x:f>(('Inputs'!$B$29*(3*170*'Inputs'!$B$12-170^2)/(2*'Inputs'!$B$12^2))-('Inputs'!$B$29*(3*169*'Inputs'!$B$12-169^2)/(2*'Inputs'!$B$12^2)))*'Inputs'!$B$45</x:f>
        <x:v>492660.3842184283</x:v>
      </x:c>
      <x:c r="D538" s="78" t="n">
        <x:f>IF('Inputs'!$C$45&gt;0,('Inputs'!$B$30*(3*170*'Inputs'!$B$12-170^2)/(2*'Inputs'!$B$12^2))-('Inputs'!$B$30*(3*169*'Inputs'!$B$12-169^2)/(2*'Inputs'!$B$12^2)),0)</x:f>
        <x:v>281520.2195533812</x:v>
      </x:c>
      <x:c r="E538" s="78" t="n">
        <x:f>C538+D538</x:f>
        <x:v>774180.6037718095</x:v>
      </x:c>
      <x:c r="F538" s="78" t="n">
        <x:f>'Inputs'!$B$13*E538+(1-'Inputs'!$B$13)/'Inputs'!$B$14*SUM(E483:E538)</x:f>
        <x:v>782610.1871833357</x:v>
      </x:c>
      <x:c r="G538" s="78" t="n">
        <x:f>F538*'Inputs'!$F$45</x:f>
        <x:v>547827.131028335</x:v>
      </x:c>
      <x:c r="H538" s="78" t="n">
        <x:f>U537</x:f>
        <x:v>36464892452.15801</x:v>
      </x:c>
      <x:c r="I538" s="78" t="n">
        <x:f>V537</x:f>
        <x:v>0.4646552432409082</x:v>
      </x:c>
      <x:c r="J538" s="79" t="n">
        <x:f>IF(H538&gt;0,I538/H538,0)</x:f>
        <x:v>1.2742537053976959e-11</x:v>
      </x:c>
      <x:c r="K538" s="80" t="n">
        <x:f>(H538*J538+I538)*'Inputs'!$D$45*(1+'Inputs'!$G$45)^(B538/30)</x:f>
        <x:v>0.4646552432409082</x:v>
      </x:c>
      <x:c r="L538" s="80" t="n">
        <x:f>MAX(0,K538*'Inputs'!$E$45)</x:f>
        <x:v>0</x:v>
      </x:c>
      <x:c r="M538" s="80" t="n">
        <x:f>MAX(0,-K538*'Inputs'!$E$45)</x:f>
        <x:v>0.02323276216204541</x:v>
      </x:c>
      <x:c r="N538" s="78" t="n">
        <x:f>H538*(L538*(1-'Inputs'!$B$15))/(I538+L538*(1-'Inputs'!$B$15))</x:f>
        <x:v>0</x:v>
      </x:c>
      <x:c r="O538" s="78" t="n">
        <x:f>H538-N538</x:f>
        <x:v>36464892452.15801</x:v>
      </x:c>
      <x:c r="P538" s="78" t="n">
        <x:f>I538+L538*(1-'Inputs'!$B$17)</x:f>
        <x:v>0.4646552432409082</x:v>
      </x:c>
      <x:c r="Q538" s="78" t="n">
        <x:f>IF(J538&gt;0,M538/J538,0)</x:f>
        <x:v>1823244622.6079006</x:v>
      </x:c>
      <x:c r="R538" s="78" t="n">
        <x:f>IF(B538='Inputs'!$H$45,'Inputs'!$B$27*'Inputs'!$I$45,0)</x:f>
        <x:v>0</x:v>
      </x:c>
      <x:c r="S538" s="78" t="n">
        <x:f>Q538+G538+R538</x:f>
        <x:v>1823792449.738929</x:v>
      </x:c>
      <x:c r="T538" s="78" t="n">
        <x:f>P538*(S538*(1-'Inputs'!$B$15))/(O538+S538*(1-'Inputs'!$B$15))</x:f>
        <x:v>0.021921886034053234</x:v>
      </x:c>
      <x:c r="U538" s="78" t="n">
        <x:f>O538+S538*(1-'Inputs'!$B$17)</x:f>
        <x:v>38281345696.86781</x:v>
      </x:c>
      <x:c r="V538" s="78" t="n">
        <x:f>P538-T538</x:f>
        <x:v>0.4427333572068549</x:v>
      </x:c>
      <x:c r="W538" s="79" t="n">
        <x:f>IF(U538&gt;0,V538/U538,0)</x:f>
        <x:v>1.1565250623963292e-11</x:v>
      </x:c>
      <x:c r="X538" s="80" t="n">
        <x:f>W538*('Inputs'!$B$6-AC538)</x:f>
        <x:v>-0.00717815607820118</x:v>
      </x:c>
      <x:c r="Y538" s="80" t="n">
        <x:f>2*V538</x:f>
        <x:v>0.8854667144137098</x:v>
      </x:c>
      <x:c r="Z538" s="80" t="n">
        <x:f>K538*'Inputs'!$B$16+(G538+R538)*J538*'Inputs'!$B$16</x:f>
        <x:v>0.002787973343690547</x:v>
      </x:c>
      <x:c r="AA538" s="80" t="n">
        <x:f>K538*(1+'Inputs'!$E$45)/2*'Inputs'!$B$17</x:f>
        <x:v>0.0008881740061948949</x:v>
      </x:c>
      <x:c r="AB538" s="78" t="n">
        <x:f>(IF(J538&gt;0,K538*(1-'Inputs'!$E$45)/2/J538,0)+G538+R538)*'Inputs'!$B$17</x:f>
        <x:v>77040709.71635407</x:v>
      </x:c>
      <x:c r="AC538" s="78" t="n">
        <x:f>AC537+AB538</x:f>
        <x:v>1620665847.3382308</x:v>
      </x:c>
      <x:c r="AD538" s="80" t="n">
        <x:f>Z538/(1+'Inputs'!$C$45)</x:f>
        <x:v>0.001858648895793698</x:v>
      </x:c>
      <x:c r="AE538" s="80" t="n">
        <x:f>Z538-AD538</x:f>
        <x:v>0.000929324447896849</x:v>
      </x:c>
      <x:c r="AF538" s="80" t="n">
        <x:f>D538*W538</x:f>
        <x:v>0.0000032558518948480246</x:v>
      </x:c>
      <x:c r="AG538" s="80" t="n">
        <x:f>C538*W538</x:f>
        <x:v>0.000005697740815984173</x:v>
      </x:c>
      <x:c r="AH538" s="80" t="n">
        <x:f>2*'Inputs'!$B$8*'Inputs'!$C$45</x:f>
        <x:v>2500</x:v>
      </x:c>
      <x:c r="AI538" s="81" t="n">
        <x:f>IF(AH538&gt;0,(AE538+AF538)/AH538*365,0)</x:f>
        <x:v>0.00013615672376958776</x:v>
      </x:c>
      <x:c r="AJ538" s="81" t="n">
        <x:f>IF('Inputs'!$B$45&gt;0,AG538/('Inputs'!$B$19*'Inputs'!$B$45)*365,0)</x:f>
        <x:v>2.7729005304456304e-7</x:v>
      </x:c>
      <x:c r="AK538" s="81" t="n">
        <x:f>W538/MAX($W$369:W538)-1</x:f>
        <x:v>-0.999999984617254</x:v>
      </x:c>
      <x:c r="AL538" s="83" t="n">
        <x:f>'Inputs'!$B$45</x:f>
        <x:v>0.75</x:v>
      </x:c>
      <x:c r="AM538" s="83" t="n">
        <x:f>'Inputs'!$C$45</x:f>
        <x:v>0.5</x:v>
      </x:c>
      <x:c r="AN538" s="83" t="n">
        <x:f>'Inputs'!$D$45</x:f>
        <x:v>0.5</x:v>
      </x:c>
      <x:c r="AO538" s="81" t="n">
        <x:f>'Inputs'!$E$45</x:f>
        <x:v>-0.05</x:v>
      </x:c>
    </x:row>
    <x:row r="539">
      <x:c r="A539" s="59" t="str">
        <x:v>Weak demand</x:v>
      </x:c>
      <x:c r="B539" s="59" t="n">
        <x:v>171</x:v>
      </x:c>
      <x:c r="C539" s="78" t="n">
        <x:f>(('Inputs'!$B$29*(3*171*'Inputs'!$B$12-171^2)/(2*'Inputs'!$B$12^2))-('Inputs'!$B$29*(3*170*'Inputs'!$B$12-170^2)/(2*'Inputs'!$B$12^2)))*'Inputs'!$B$45</x:f>
        <x:v>492416.55329329893</x:v>
      </x:c>
      <x:c r="D539" s="78" t="n">
        <x:f>IF('Inputs'!$C$45&gt;0,('Inputs'!$B$30*(3*171*'Inputs'!$B$12-171^2)/(2*'Inputs'!$B$12^2))-('Inputs'!$B$30*(3*170*'Inputs'!$B$12-170^2)/(2*'Inputs'!$B$12^2)),0)</x:f>
        <x:v>281380.8875961751</x:v>
      </x:c>
      <x:c r="E539" s="78" t="n">
        <x:f>C539+D539</x:f>
        <x:v>773797.440889474</x:v>
      </x:c>
      <x:c r="F539" s="78" t="n">
        <x:f>'Inputs'!$B$13*E539+(1-'Inputs'!$B$13)/'Inputs'!$B$14*SUM(E484:E539)</x:f>
        <x:v>782227.0243009948</x:v>
      </x:c>
      <x:c r="G539" s="78" t="n">
        <x:f>F539*'Inputs'!$F$45</x:f>
        <x:v>547558.9170106964</x:v>
      </x:c>
      <x:c r="H539" s="78" t="n">
        <x:f>U538</x:f>
        <x:v>38281345696.86781</x:v>
      </x:c>
      <x:c r="I539" s="78" t="n">
        <x:f>V538</x:f>
        <x:v>0.4427333572068549</x:v>
      </x:c>
      <x:c r="J539" s="79" t="n">
        <x:f>IF(H539&gt;0,I539/H539,0)</x:f>
        <x:v>1.1565250623963292e-11</x:v>
      </x:c>
      <x:c r="K539" s="80" t="n">
        <x:f>(H539*J539+I539)*'Inputs'!$D$45*(1+'Inputs'!$G$45)^(B539/30)</x:f>
        <x:v>0.4427333572068549</x:v>
      </x:c>
      <x:c r="L539" s="80" t="n">
        <x:f>MAX(0,K539*'Inputs'!$E$45)</x:f>
        <x:v>0</x:v>
      </x:c>
      <x:c r="M539" s="80" t="n">
        <x:f>MAX(0,-K539*'Inputs'!$E$45)</x:f>
        <x:v>0.022136667860342747</x:v>
      </x:c>
      <x:c r="N539" s="78" t="n">
        <x:f>H539*(L539*(1-'Inputs'!$B$15))/(I539+L539*(1-'Inputs'!$B$15))</x:f>
        <x:v>0</x:v>
      </x:c>
      <x:c r="O539" s="78" t="n">
        <x:f>H539-N539</x:f>
        <x:v>38281345696.86781</x:v>
      </x:c>
      <x:c r="P539" s="78" t="n">
        <x:f>I539+L539*(1-'Inputs'!$B$17)</x:f>
        <x:v>0.4427333572068549</x:v>
      </x:c>
      <x:c r="Q539" s="78" t="n">
        <x:f>IF(J539&gt;0,M539/J539,0)</x:f>
        <x:v>1914067284.8433907</x:v>
      </x:c>
      <x:c r="R539" s="78" t="n">
        <x:f>IF(B539='Inputs'!$H$45,'Inputs'!$B$27*'Inputs'!$I$45,0)</x:f>
        <x:v>0</x:v>
      </x:c>
      <x:c r="S539" s="78" t="n">
        <x:f>Q539+G539+R539</x:f>
        <x:v>1914614843.7604015</x:v>
      </x:c>
      <x:c r="T539" s="78" t="n">
        <x:f>P539*(S539*(1-'Inputs'!$B$15))/(O539+S539*(1-'Inputs'!$B$15))</x:f>
        <x:v>0.020887350867814868</x:v>
      </x:c>
      <x:c r="U539" s="78" t="n">
        <x:f>O539+S539*(1-'Inputs'!$B$17)</x:f>
        <x:v>40188255853.128174</x:v>
      </x:c>
      <x:c r="V539" s="78" t="n">
        <x:f>P539-T539</x:f>
        <x:v>0.42184600633904007</x:v>
      </x:c>
      <x:c r="W539" s="79" t="n">
        <x:f>IF(U539&gt;0,V539/U539,0)</x:f>
        <x:v>1.0496748300814961e-11</x:v>
      </x:c>
      <x:c r="X539" s="80" t="n">
        <x:f>W539*('Inputs'!$B$6-AC539)</x:f>
        <x:v>-0.0073639321886681255</x:v>
      </x:c>
      <x:c r="Y539" s="80" t="n">
        <x:f>2*V539</x:f>
        <x:v>0.8436920126780801</x:v>
      </x:c>
      <x:c r="Z539" s="80" t="n">
        <x:f>K539*'Inputs'!$B$16+(G539+R539)*J539*'Inputs'!$B$16</x:f>
        <x:v>0.0026564381391777693</x:v>
      </x:c>
      <x:c r="AA539" s="80" t="n">
        <x:f>K539*(1+'Inputs'!$E$45)/2*'Inputs'!$B$17</x:f>
        <x:v>0.0008462710047213525</x:v>
      </x:c>
      <x:c r="AB539" s="78" t="n">
        <x:f>(IF(J539&gt;0,K539*(1-'Inputs'!$E$45)/2/J539,0)+G539+R539)*'Inputs'!$B$17</x:f>
        <x:v>80878285.91457792</x:v>
      </x:c>
      <x:c r="AC539" s="78" t="n">
        <x:f>AC538+AB539</x:f>
        <x:v>1701544133.2528088</x:v>
      </x:c>
      <x:c r="AD539" s="80" t="n">
        <x:f>Z539/(1+'Inputs'!$C$45)</x:f>
        <x:v>0.0017709587594518462</x:v>
      </x:c>
      <x:c r="AE539" s="80" t="n">
        <x:f>Z539-AD539</x:f>
        <x:v>0.000885479379725923</x:v>
      </x:c>
      <x:c r="AF539" s="80" t="n">
        <x:f>D539*W539</x:f>
        <x:v>0.0000029535843537569564</x:v>
      </x:c>
      <x:c r="AG539" s="80" t="n">
        <x:f>C539*W539</x:f>
        <x:v>0.000005168772619074595</x:v>
      </x:c>
      <x:c r="AH539" s="80" t="n">
        <x:f>2*'Inputs'!$B$8*'Inputs'!$C$45</x:f>
        <x:v>2500</x:v>
      </x:c>
      <x:c r="AI539" s="81" t="n">
        <x:f>IF(AH539&gt;0,(AE539+AF539)/AH539*365,0)</x:f>
        <x:v>0.00012971121275563328</x:v>
      </x:c>
      <x:c r="AJ539" s="81" t="n">
        <x:f>IF('Inputs'!$B$45&gt;0,AG539/('Inputs'!$B$19*'Inputs'!$B$45)*365,0)</x:f>
        <x:v>2.5154693412829695e-7</x:v>
      </x:c>
      <x:c r="AK539" s="81" t="n">
        <x:f>W539/MAX($W$369:W539)-1</x:f>
        <x:v>-0.9999999860384511</x:v>
      </x:c>
      <x:c r="AL539" s="83" t="n">
        <x:f>'Inputs'!$B$45</x:f>
        <x:v>0.75</x:v>
      </x:c>
      <x:c r="AM539" s="83" t="n">
        <x:f>'Inputs'!$C$45</x:f>
        <x:v>0.5</x:v>
      </x:c>
      <x:c r="AN539" s="83" t="n">
        <x:f>'Inputs'!$D$45</x:f>
        <x:v>0.5</x:v>
      </x:c>
      <x:c r="AO539" s="81" t="n">
        <x:f>'Inputs'!$E$45</x:f>
        <x:v>-0.05</x:v>
      </x:c>
    </x:row>
    <x:row r="540">
      <x:c r="A540" s="59" t="str">
        <x:v>Weak demand</x:v>
      </x:c>
      <x:c r="B540" s="59" t="n">
        <x:v>172</x:v>
      </x:c>
      <x:c r="C540" s="78" t="n">
        <x:f>(('Inputs'!$B$29*(3*172*'Inputs'!$B$12-172^2)/(2*'Inputs'!$B$12^2))-('Inputs'!$B$29*(3*171*'Inputs'!$B$12-171^2)/(2*'Inputs'!$B$12^2)))*'Inputs'!$B$45</x:f>
        <x:v>492172.7223681696</x:v>
      </x:c>
      <x:c r="D540" s="78" t="n">
        <x:f>IF('Inputs'!$C$45&gt;0,('Inputs'!$B$30*(3*172*'Inputs'!$B$12-172^2)/(2*'Inputs'!$B$12^2))-('Inputs'!$B$30*(3*171*'Inputs'!$B$12-171^2)/(2*'Inputs'!$B$12^2)),0)</x:f>
        <x:v>281241.55563895404</x:v>
      </x:c>
      <x:c r="E540" s="78" t="n">
        <x:f>C540+D540</x:f>
        <x:v>773414.2780071236</x:v>
      </x:c>
      <x:c r="F540" s="78" t="n">
        <x:f>'Inputs'!$B$13*E540+(1-'Inputs'!$B$13)/'Inputs'!$B$14*SUM(E485:E540)</x:f>
        <x:v>781843.8614186512</x:v>
      </x:c>
      <x:c r="G540" s="78" t="n">
        <x:f>F540*'Inputs'!$F$45</x:f>
        <x:v>547290.7029930558</x:v>
      </x:c>
      <x:c r="H540" s="78" t="n">
        <x:f>U539</x:f>
        <x:v>40188255853.128174</x:v>
      </x:c>
      <x:c r="I540" s="78" t="n">
        <x:f>V539</x:f>
        <x:v>0.42184600633904007</x:v>
      </x:c>
      <x:c r="J540" s="79" t="n">
        <x:f>IF(H540&gt;0,I540/H540,0)</x:f>
        <x:v>1.0496748300814961e-11</x:v>
      </x:c>
      <x:c r="K540" s="80" t="n">
        <x:f>(H540*J540+I540)*'Inputs'!$D$45*(1+'Inputs'!$G$45)^(B540/30)</x:f>
        <x:v>0.42184600633904007</x:v>
      </x:c>
      <x:c r="L540" s="80" t="n">
        <x:f>MAX(0,K540*'Inputs'!$E$45)</x:f>
        <x:v>0</x:v>
      </x:c>
      <x:c r="M540" s="80" t="n">
        <x:f>MAX(0,-K540*'Inputs'!$E$45)</x:f>
        <x:v>0.021092300316952004</x:v>
      </x:c>
      <x:c r="N540" s="78" t="n">
        <x:f>H540*(L540*(1-'Inputs'!$B$15))/(I540+L540*(1-'Inputs'!$B$15))</x:f>
        <x:v>0</x:v>
      </x:c>
      <x:c r="O540" s="78" t="n">
        <x:f>H540-N540</x:f>
        <x:v>40188255853.128174</x:v>
      </x:c>
      <x:c r="P540" s="78" t="n">
        <x:f>I540+L540*(1-'Inputs'!$B$17)</x:f>
        <x:v>0.42184600633904007</x:v>
      </x:c>
      <x:c r="Q540" s="78" t="n">
        <x:f>IF(J540&gt;0,M540/J540,0)</x:f>
        <x:v>2009412792.6564088</x:v>
      </x:c>
      <x:c r="R540" s="78" t="n">
        <x:f>IF(B540='Inputs'!$H$45,'Inputs'!$B$27*'Inputs'!$I$45,0)</x:f>
        <x:v>0</x:v>
      </x:c>
      <x:c r="S540" s="78" t="n">
        <x:f>Q540+G540+R540</x:f>
        <x:v>2009960083.359402</x:v>
      </x:c>
      <x:c r="T540" s="78" t="n">
        <x:f>P540*(S540*(1-'Inputs'!$B$15))/(O540+S540*(1-'Inputs'!$B$15))</x:f>
        <x:v>0.019901663958753264</x:v>
      </x:c>
      <x:c r="U540" s="78" t="n">
        <x:f>O540+S540*(1-'Inputs'!$B$17)</x:f>
        <x:v>42190127565.93079</x:v>
      </x:c>
      <x:c r="V540" s="78" t="n">
        <x:f>P540-T540</x:f>
        <x:v>0.4019443423802868</x:v>
      </x:c>
      <x:c r="W540" s="79" t="n">
        <x:f>IF(U540&gt;0,V540/U540,0)</x:f>
        <x:v>9.526976228080035e-12</x:v>
      </x:c>
      <x:c r="X540" s="80" t="n">
        <x:f>W540*('Inputs'!$B$6-AC540)</x:f>
        <x:v>-0.007492500948697661</x:v>
      </x:c>
      <x:c r="Y540" s="80" t="n">
        <x:f>2*V540</x:f>
        <x:v>0.8038886847605736</x:v>
      </x:c>
      <x:c r="Z540" s="80" t="n">
        <x:f>K540*'Inputs'!$B$16+(G540+R540)*J540*'Inputs'!$B$16</x:f>
        <x:v>0.0025311105066707805</x:v>
      </x:c>
      <x:c r="AA540" s="80" t="n">
        <x:f>K540*(1+'Inputs'!$E$45)/2*'Inputs'!$B$17</x:f>
        <x:v>0.0008063454849538995</x:v>
      </x:c>
      <x:c r="AB540" s="78" t="n">
        <x:f>(IF(J540&gt;0,K540*(1-'Inputs'!$E$45)/2/J540,0)+G540+R540)*'Inputs'!$B$17</x:f>
        <x:v>84906968.26396494</x:v>
      </x:c>
      <x:c r="AC540" s="78" t="n">
        <x:f>AC539+AB540</x:f>
        <x:v>1786451101.5167737</x:v>
      </x:c>
      <x:c r="AD540" s="80" t="n">
        <x:f>Z540/(1+'Inputs'!$C$45)</x:f>
        <x:v>0.001687407004447187</x:v>
      </x:c>
      <x:c r="AE540" s="80" t="n">
        <x:f>Z540-AD540</x:f>
        <x:v>0.0008437035022235936</x:v>
      </x:c>
      <x:c r="AF540" s="80" t="n">
        <x:f>D540*W540</x:f>
        <x:v>0.0000026793816149205636</x:v>
      </x:c>
      <x:c r="AG540" s="80" t="n">
        <x:f>C540*W540</x:f>
        <x:v>0.000004688917826110986</x:v>
      </x:c>
      <x:c r="AH540" s="80" t="n">
        <x:f>2*'Inputs'!$B$8*'Inputs'!$C$45</x:f>
        <x:v>2500</x:v>
      </x:c>
      <x:c r="AI540" s="81" t="n">
        <x:f>IF(AH540&gt;0,(AE540+AF540)/AH540*365,0)</x:f>
        <x:v>0.00012357190104042305</x:v>
      </x:c>
      <x:c r="AJ540" s="81" t="n">
        <x:f>IF('Inputs'!$B$45&gt;0,AG540/('Inputs'!$B$19*'Inputs'!$B$45)*365,0)</x:f>
        <x:v>2.2819400087073466e-7</x:v>
      </x:c>
      <x:c r="AK540" s="81" t="n">
        <x:f>W540/MAX($W$369:W540)-1</x:f>
        <x:v>-0.9999999873283286</x:v>
      </x:c>
      <x:c r="AL540" s="83" t="n">
        <x:f>'Inputs'!$B$45</x:f>
        <x:v>0.75</x:v>
      </x:c>
      <x:c r="AM540" s="83" t="n">
        <x:f>'Inputs'!$C$45</x:f>
        <x:v>0.5</x:v>
      </x:c>
      <x:c r="AN540" s="83" t="n">
        <x:f>'Inputs'!$D$45</x:f>
        <x:v>0.5</x:v>
      </x:c>
      <x:c r="AO540" s="81" t="n">
        <x:f>'Inputs'!$E$45</x:f>
        <x:v>-0.05</x:v>
      </x:c>
    </x:row>
    <x:row r="541">
      <x:c r="A541" s="59" t="str">
        <x:v>Weak demand</x:v>
      </x:c>
      <x:c r="B541" s="59" t="n">
        <x:v>173</x:v>
      </x:c>
      <x:c r="C541" s="78" t="n">
        <x:f>(('Inputs'!$B$29*(3*173*'Inputs'!$B$12-173^2)/(2*'Inputs'!$B$12^2))-('Inputs'!$B$29*(3*172*'Inputs'!$B$12-172^2)/(2*'Inputs'!$B$12^2)))*'Inputs'!$B$45</x:f>
        <x:v>491928.8914430514</x:v>
      </x:c>
      <x:c r="D541" s="78" t="n">
        <x:f>IF('Inputs'!$C$45&gt;0,('Inputs'!$B$30*(3*173*'Inputs'!$B$12-173^2)/(2*'Inputs'!$B$12^2))-('Inputs'!$B$30*(3*172*'Inputs'!$B$12-172^2)/(2*'Inputs'!$B$12^2)),0)</x:f>
        <x:v>281102.2236817479</x:v>
      </x:c>
      <x:c r="E541" s="78" t="n">
        <x:f>C541+D541</x:f>
        <x:v>773031.1151247993</x:v>
      </x:c>
      <x:c r="F541" s="78" t="n">
        <x:f>'Inputs'!$B$13*E541+(1-'Inputs'!$B$13)/'Inputs'!$B$14*SUM(E486:E541)</x:f>
        <x:v>781460.698536313</x:v>
      </x:c>
      <x:c r="G541" s="78" t="n">
        <x:f>F541*'Inputs'!$F$45</x:f>
        <x:v>547022.4889754191</x:v>
      </x:c>
      <x:c r="H541" s="78" t="n">
        <x:f>U540</x:f>
        <x:v>42190127565.93079</x:v>
      </x:c>
      <x:c r="I541" s="78" t="n">
        <x:f>V540</x:f>
        <x:v>0.4019443423802868</x:v>
      </x:c>
      <x:c r="J541" s="79" t="n">
        <x:f>IF(H541&gt;0,I541/H541,0)</x:f>
        <x:v>9.526976228080035e-12</x:v>
      </x:c>
      <x:c r="K541" s="80" t="n">
        <x:f>(H541*J541+I541)*'Inputs'!$D$45*(1+'Inputs'!$G$45)^(B541/30)</x:f>
        <x:v>0.40194434238028687</x:v>
      </x:c>
      <x:c r="L541" s="80" t="n">
        <x:f>MAX(0,K541*'Inputs'!$E$45)</x:f>
        <x:v>0</x:v>
      </x:c>
      <x:c r="M541" s="80" t="n">
        <x:f>MAX(0,-K541*'Inputs'!$E$45)</x:f>
        <x:v>0.020097217119014344</x:v>
      </x:c>
      <x:c r="N541" s="78" t="n">
        <x:f>H541*(L541*(1-'Inputs'!$B$15))/(I541+L541*(1-'Inputs'!$B$15))</x:f>
        <x:v>0</x:v>
      </x:c>
      <x:c r="O541" s="78" t="n">
        <x:f>H541-N541</x:f>
        <x:v>42190127565.93079</x:v>
      </x:c>
      <x:c r="P541" s="78" t="n">
        <x:f>I541+L541*(1-'Inputs'!$B$17)</x:f>
        <x:v>0.4019443423802868</x:v>
      </x:c>
      <x:c r="Q541" s="78" t="n">
        <x:f>IF(J541&gt;0,M541/J541,0)</x:f>
        <x:v>2109506378.2965398</x:v>
      </x:c>
      <x:c r="R541" s="78" t="n">
        <x:f>IF(B541='Inputs'!$H$45,'Inputs'!$B$27*'Inputs'!$I$45,0)</x:f>
        <x:v>0</x:v>
      </x:c>
      <x:c r="S541" s="78" t="n">
        <x:f>Q541+G541+R541</x:f>
        <x:v>2110053400.7855153</x:v>
      </x:c>
      <x:c r="T541" s="78" t="n">
        <x:f>P541*(S541*(1-'Inputs'!$B$15))/(O541+S541*(1-'Inputs'!$B$15))</x:f>
        <x:v>0.018962516341692746</x:v>
      </x:c>
      <x:c r="U541" s="78" t="n">
        <x:f>O541+S541*(1-'Inputs'!$B$17)</x:f>
        <x:v>44291689806.149765</x:v>
      </x:c>
      <x:c r="V541" s="78" t="n">
        <x:f>P541-T541</x:f>
        <x:v>0.38298182603859404</x:v>
      </x:c>
      <x:c r="W541" s="79" t="n">
        <x:f>IF(U541&gt;0,V541/U541,0)</x:f>
        <x:v>8.64680999335948e-12</x:v>
      </x:c>
      <x:c r="X541" s="80" t="n">
        <x:f>W541*('Inputs'!$B$6-AC541)</x:f>
        <x:v>-0.0075710376653931885</x:v>
      </x:c>
      <x:c r="Y541" s="80" t="n">
        <x:f>2*V541</x:f>
        <x:v>0.7659636520771881</x:v>
      </x:c>
      <x:c r="Z541" s="80" t="n">
        <x:f>K541*'Inputs'!$B$16+(G541+R541)*J541*'Inputs'!$B$16</x:f>
        <x:v>0.0024116973231032134</x:v>
      </x:c>
      <x:c r="AA541" s="80" t="n">
        <x:f>K541*(1+'Inputs'!$E$45)/2*'Inputs'!$B$17</x:f>
        <x:v>0.0007683040749723794</x:v>
      </x:c>
      <x:c r="AB541" s="78" t="n">
        <x:f>(IF(J541&gt;0,K541*(1-'Inputs'!$E$45)/2/J541,0)+G541+R541)*'Inputs'!$B$17</x:f>
        <x:v>89136273.62013137</x:v>
      </x:c>
      <x:c r="AC541" s="78" t="n">
        <x:f>AC540+AB541</x:f>
        <x:v>1875587375.1369052</x:v>
      </x:c>
      <x:c r="AD541" s="80" t="n">
        <x:f>Z541/(1+'Inputs'!$C$45)</x:f>
        <x:v>0.0016077982154021422</x:v>
      </x:c>
      <x:c r="AE541" s="80" t="n">
        <x:f>Z541-AD541</x:f>
        <x:v>0.0008038991077010712</x:v>
      </x:c>
      <x:c r="AF541" s="80" t="n">
        <x:f>D541*W541</x:f>
        <x:v>0.0000024306375168869098</x:v>
      </x:c>
      <x:c r="AG541" s="80" t="n">
        <x:f>C541*W541</x:f>
        <x:v>0.000004253615654552028</x:v>
      </x:c>
      <x:c r="AH541" s="80" t="n">
        <x:f>2*'Inputs'!$B$8*'Inputs'!$C$45</x:f>
        <x:v>2500</x:v>
      </x:c>
      <x:c r="AI541" s="81" t="n">
        <x:f>IF(AH541&gt;0,(AE541+AF541)/AH541*365,0)</x:f>
        <x:v>0.0001177241428018219</x:v>
      </x:c>
      <x:c r="AJ541" s="81" t="n">
        <x:f>IF('Inputs'!$B$45&gt;0,AG541/('Inputs'!$B$19*'Inputs'!$B$45)*365,0)</x:f>
        <x:v>2.0700929518819869e-7</x:v>
      </x:c>
      <x:c r="AK541" s="81" t="n">
        <x:f>W541/MAX($W$369:W541)-1</x:f>
        <x:v>-0.9999999884990229</x:v>
      </x:c>
      <x:c r="AL541" s="83" t="n">
        <x:f>'Inputs'!$B$45</x:f>
        <x:v>0.75</x:v>
      </x:c>
      <x:c r="AM541" s="83" t="n">
        <x:f>'Inputs'!$C$45</x:f>
        <x:v>0.5</x:v>
      </x:c>
      <x:c r="AN541" s="83" t="n">
        <x:f>'Inputs'!$D$45</x:f>
        <x:v>0.5</x:v>
      </x:c>
      <x:c r="AO541" s="81" t="n">
        <x:f>'Inputs'!$E$45</x:f>
        <x:v>-0.05</x:v>
      </x:c>
    </x:row>
    <x:row r="542">
      <x:c r="A542" s="59" t="str">
        <x:v>Weak demand</x:v>
      </x:c>
      <x:c r="B542" s="59" t="n">
        <x:v>174</x:v>
      </x:c>
      <x:c r="C542" s="78" t="n">
        <x:f>(('Inputs'!$B$29*(3*174*'Inputs'!$B$12-174^2)/(2*'Inputs'!$B$12^2))-('Inputs'!$B$29*(3*173*'Inputs'!$B$12-173^2)/(2*'Inputs'!$B$12^2)))*'Inputs'!$B$45</x:f>
        <x:v>491685.06051792204</x:v>
      </x:c>
      <x:c r="D542" s="78" t="n">
        <x:f>IF('Inputs'!$C$45&gt;0,('Inputs'!$B$30*(3*174*'Inputs'!$B$12-174^2)/(2*'Inputs'!$B$12^2))-('Inputs'!$B$30*(3*173*'Inputs'!$B$12-173^2)/(2*'Inputs'!$B$12^2)),0)</x:f>
        <x:v>280962.89172451943</x:v>
      </x:c>
      <x:c r="E542" s="78" t="n">
        <x:f>C542+D542</x:f>
        <x:v>772647.9522424415</x:v>
      </x:c>
      <x:c r="F542" s="78" t="n">
        <x:f>'Inputs'!$B$13*E542+(1-'Inputs'!$B$13)/'Inputs'!$B$14*SUM(E487:E542)</x:f>
        <x:v>781077.5356539679</x:v>
      </x:c>
      <x:c r="G542" s="78" t="n">
        <x:f>F542*'Inputs'!$F$45</x:f>
        <x:v>546754.2749577775</x:v>
      </x:c>
      <x:c r="H542" s="78" t="n">
        <x:f>U541</x:f>
        <x:v>44291689806.149765</x:v>
      </x:c>
      <x:c r="I542" s="78" t="n">
        <x:f>V541</x:f>
        <x:v>0.38298182603859404</x:v>
      </x:c>
      <x:c r="J542" s="79" t="n">
        <x:f>IF(H542&gt;0,I542/H542,0)</x:f>
        <x:v>8.64680999335948e-12</x:v>
      </x:c>
      <x:c r="K542" s="80" t="n">
        <x:f>(H542*J542+I542)*'Inputs'!$D$45*(1+'Inputs'!$G$45)^(B542/30)</x:f>
        <x:v>0.38298182603859404</x:v>
      </x:c>
      <x:c r="L542" s="80" t="n">
        <x:f>MAX(0,K542*'Inputs'!$E$45)</x:f>
        <x:v>0</x:v>
      </x:c>
      <x:c r="M542" s="80" t="n">
        <x:f>MAX(0,-K542*'Inputs'!$E$45)</x:f>
        <x:v>0.019149091301929703</x:v>
      </x:c>
      <x:c r="N542" s="78" t="n">
        <x:f>H542*(L542*(1-'Inputs'!$B$15))/(I542+L542*(1-'Inputs'!$B$15))</x:f>
        <x:v>0</x:v>
      </x:c>
      <x:c r="O542" s="78" t="n">
        <x:f>H542-N542</x:f>
        <x:v>44291689806.149765</x:v>
      </x:c>
      <x:c r="P542" s="78" t="n">
        <x:f>I542+L542*(1-'Inputs'!$B$17)</x:f>
        <x:v>0.38298182603859404</x:v>
      </x:c>
      <x:c r="Q542" s="78" t="n">
        <x:f>IF(J542&gt;0,M542/J542,0)</x:f>
        <x:v>2214584490.3074884</x:v>
      </x:c>
      <x:c r="R542" s="78" t="n">
        <x:f>IF(B542='Inputs'!$H$45,'Inputs'!$B$27*'Inputs'!$I$45,0)</x:f>
        <x:v>0</x:v>
      </x:c>
      <x:c r="S542" s="78" t="n">
        <x:f>Q542+G542+R542</x:f>
        <x:v>2215131244.582446</x:v>
      </x:c>
      <x:c r="T542" s="78" t="n">
        <x:f>P542*(S542*(1-'Inputs'!$B$15))/(O542+S542*(1-'Inputs'!$B$15))</x:f>
        <x:v>0.018067708420953416</x:v>
      </x:c>
      <x:c r="U542" s="78" t="n">
        <x:f>O542+S542*(1-'Inputs'!$B$17)</x:f>
        <x:v>46497907041.699684</x:v>
      </x:c>
      <x:c r="V542" s="78" t="n">
        <x:f>P542-T542</x:f>
        <x:v>0.36491411761764064</x:v>
      </x:c>
      <x:c r="W542" s="79" t="n">
        <x:f>IF(U542&gt;0,V542/U542,0)</x:f>
        <x:v>7.847968668576476e-12</x:v>
      </x:c>
      <x:c r="X542" s="80" t="n">
        <x:f>W542*('Inputs'!$B$6-AC542)</x:f>
        <x:v>-0.007605965315632608</x:v>
      </x:c>
      <x:c r="Y542" s="80" t="n">
        <x:f>2*V542</x:f>
        <x:v>0.7298282352352813</x:v>
      </x:c>
      <x:c r="Z542" s="80" t="n">
        <x:f>K542*'Inputs'!$B$16+(G542+R542)*J542*'Inputs'!$B$16</x:f>
        <x:v>0.002297919322313536</x:v>
      </x:c>
      <x:c r="AA542" s="80" t="n">
        <x:f>K542*(1+'Inputs'!$E$45)/2*'Inputs'!$B$17</x:f>
        <x:v>0.0007320578163715581</x:v>
      </x:c>
      <x:c r="AB542" s="78" t="n">
        <x:f>(IF(J542&gt;0,K542*(1-'Inputs'!$E$45)/2/J542,0)+G542+R542)*'Inputs'!$B$17</x:f>
        <x:v>93576192.76661405</x:v>
      </x:c>
      <x:c r="AC542" s="78" t="n">
        <x:f>AC541+AB542</x:f>
        <x:v>1969163567.9035192</x:v>
      </x:c>
      <x:c r="AD542" s="80" t="n">
        <x:f>Z542/(1+'Inputs'!$C$45)</x:f>
        <x:v>0.0015319462148756906</x:v>
      </x:c>
      <x:c r="AE542" s="80" t="n">
        <x:f>Z542-AD542</x:f>
        <x:v>0.0007659731074378454</x:v>
      </x:c>
      <x:c r="AF542" s="80" t="n">
        <x:f>D542*W542</x:f>
        <x:v>0.0000022049879712866734</x:v>
      </x:c>
      <x:c r="AG542" s="80" t="n">
        <x:f>C542*W542</x:f>
        <x:v>0.000003858728949751781</x:v>
      </x:c>
      <x:c r="AH542" s="80" t="n">
        <x:f>2*'Inputs'!$B$8*'Inputs'!$C$45</x:f>
        <x:v>2500</x:v>
      </x:c>
      <x:c r="AI542" s="81" t="n">
        <x:f>IF(AH542&gt;0,(AE542+AF542)/AH542*365,0)</x:f>
        <x:v>0.00011215400192973328</x:v>
      </x:c>
      <x:c r="AJ542" s="81" t="n">
        <x:f>IF('Inputs'!$B$45&gt;0,AG542/('Inputs'!$B$19*'Inputs'!$B$45)*365,0)</x:f>
        <x:v>1.8779147555458664e-7</x:v>
      </x:c>
      <x:c r="AK542" s="81" t="n">
        <x:f>W542/MAX($W$369:W542)-1</x:f>
        <x:v>-0.9999999895615485</x:v>
      </x:c>
      <x:c r="AL542" s="83" t="n">
        <x:f>'Inputs'!$B$45</x:f>
        <x:v>0.75</x:v>
      </x:c>
      <x:c r="AM542" s="83" t="n">
        <x:f>'Inputs'!$C$45</x:f>
        <x:v>0.5</x:v>
      </x:c>
      <x:c r="AN542" s="83" t="n">
        <x:f>'Inputs'!$D$45</x:f>
        <x:v>0.5</x:v>
      </x:c>
      <x:c r="AO542" s="81" t="n">
        <x:f>'Inputs'!$E$45</x:f>
        <x:v>-0.05</x:v>
      </x:c>
    </x:row>
    <x:row r="543">
      <x:c r="A543" s="59" t="str">
        <x:v>Weak demand</x:v>
      </x:c>
      <x:c r="B543" s="59" t="n">
        <x:v>175</x:v>
      </x:c>
      <x:c r="C543" s="78" t="n">
        <x:f>(('Inputs'!$B$29*(3*175*'Inputs'!$B$12-175^2)/(2*'Inputs'!$B$12^2))-('Inputs'!$B$29*(3*174*'Inputs'!$B$12-174^2)/(2*'Inputs'!$B$12^2)))*'Inputs'!$B$45</x:f>
        <x:v>491441.2295927927</x:v>
      </x:c>
      <x:c r="D543" s="78" t="n">
        <x:f>IF('Inputs'!$C$45&gt;0,('Inputs'!$B$30*(3*175*'Inputs'!$B$12-175^2)/(2*'Inputs'!$B$12^2))-('Inputs'!$B$30*(3*174*'Inputs'!$B$12-174^2)/(2*'Inputs'!$B$12^2)),0)</x:f>
        <x:v>280823.5597673133</x:v>
      </x:c>
      <x:c r="E543" s="78" t="n">
        <x:f>C543+D543</x:f>
        <x:v>772264.789360106</x:v>
      </x:c>
      <x:c r="F543" s="78" t="n">
        <x:f>'Inputs'!$B$13*E543+(1-'Inputs'!$B$13)/'Inputs'!$B$14*SUM(E488:E543)</x:f>
        <x:v>780694.3727716273</x:v>
      </x:c>
      <x:c r="G543" s="78" t="n">
        <x:f>F543*'Inputs'!$F$45</x:f>
        <x:v>546486.0609401391</x:v>
      </x:c>
      <x:c r="H543" s="78" t="n">
        <x:f>U542</x:f>
        <x:v>46497907041.699684</x:v>
      </x:c>
      <x:c r="I543" s="78" t="n">
        <x:f>V542</x:f>
        <x:v>0.36491411761764064</x:v>
      </x:c>
      <x:c r="J543" s="79" t="n">
        <x:f>IF(H543&gt;0,I543/H543,0)</x:f>
        <x:v>7.847968668576476e-12</x:v>
      </x:c>
      <x:c r="K543" s="80" t="n">
        <x:f>(H543*J543+I543)*'Inputs'!$D$45*(1+'Inputs'!$G$45)^(B543/30)</x:f>
        <x:v>0.3649141176176406</x:v>
      </x:c>
      <x:c r="L543" s="80" t="n">
        <x:f>MAX(0,K543*'Inputs'!$E$45)</x:f>
        <x:v>0</x:v>
      </x:c>
      <x:c r="M543" s="80" t="n">
        <x:f>MAX(0,-K543*'Inputs'!$E$45)</x:f>
        <x:v>0.01824570588088203</x:v>
      </x:c>
      <x:c r="N543" s="78" t="n">
        <x:f>H543*(L543*(1-'Inputs'!$B$15))/(I543+L543*(1-'Inputs'!$B$15))</x:f>
        <x:v>0</x:v>
      </x:c>
      <x:c r="O543" s="78" t="n">
        <x:f>H543-N543</x:f>
        <x:v>46497907041.699684</x:v>
      </x:c>
      <x:c r="P543" s="78" t="n">
        <x:f>I543+L543*(1-'Inputs'!$B$17)</x:f>
        <x:v>0.36491411761764064</x:v>
      </x:c>
      <x:c r="Q543" s="78" t="n">
        <x:f>IF(J543&gt;0,M543/J543,0)</x:f>
        <x:v>2324895352.0849843</x:v>
      </x:c>
      <x:c r="R543" s="78" t="n">
        <x:f>IF(B543='Inputs'!$H$45,'Inputs'!$B$27*'Inputs'!$I$45,0)</x:f>
        <x:v>0</x:v>
      </x:c>
      <x:c r="S543" s="78" t="n">
        <x:f>Q543+G543+R543</x:f>
        <x:v>2325441838.1459246</x:v>
      </x:c>
      <x:c r="T543" s="78" t="n">
        <x:f>P543*(S543*(1-'Inputs'!$B$15))/(O543+S543*(1-'Inputs'!$B$15))</x:f>
        <x:v>0.017215144768565623</x:v>
      </x:c>
      <x:c r="U543" s="78" t="n">
        <x:f>O543+S543*(1-'Inputs'!$B$17)</x:f>
        <x:v>48813990965.003975</x:v>
      </x:c>
      <x:c r="V543" s="78" t="n">
        <x:f>P543-T543</x:f>
        <x:v>0.347698972849075</x:v>
      </x:c>
      <x:c r="W543" s="79" t="n">
        <x:f>IF(U543&gt;0,V543/U543,0)</x:f>
        <x:v>7.122936805112893e-12</x:v>
      </x:c>
      <x:c r="X543" s="80" t="n">
        <x:f>W543*('Inputs'!$B$6-AC543)</x:f>
        <x:v>-0.007603028315340172</x:v>
      </x:c>
      <x:c r="Y543" s="80" t="n">
        <x:f>2*V543</x:f>
        <x:v>0.69539794569815</x:v>
      </x:c>
      <x:c r="Z543" s="80" t="n">
        <x:f>K543*'Inputs'!$B$16+(G543+R543)*J543*'Inputs'!$B$16</x:f>
        <x:v>0.002189510438538748</x:v>
      </x:c>
      <x:c r="AA543" s="80" t="n">
        <x:f>K543*(1+'Inputs'!$E$45)/2*'Inputs'!$B$17</x:f>
        <x:v>0.0006975219552047456</x:v>
      </x:c>
      <x:c r="AB543" s="78" t="n">
        <x:f>(IF(J543&gt;0,K543*(1-'Inputs'!$E$45)/2/J543,0)+G543+R543)*'Inputs'!$B$17</x:f>
        <x:v>98237214.01590855</x:v>
      </x:c>
      <x:c r="AC543" s="78" t="n">
        <x:f>AC542+AB543</x:f>
        <x:v>2067400781.9194276</x:v>
      </x:c>
      <x:c r="AD543" s="80" t="n">
        <x:f>Z543/(1+'Inputs'!$C$45)</x:f>
        <x:v>0.0014596736256924986</x:v>
      </x:c>
      <x:c r="AE543" s="80" t="n">
        <x:f>Z543-AD543</x:f>
        <x:v>0.0007298368128462493</x:v>
      </x:c>
      <x:c r="AF543" s="80" t="n">
        <x:f>D543*W543</x:f>
        <x:v>0.000002000288469609416</x:v>
      </x:c>
      <x:c r="AG543" s="80" t="n">
        <x:f>C543*W543</x:f>
        <x:v>0.0000035005048218164388</x:v>
      </x:c>
      <x:c r="AH543" s="80" t="n">
        <x:f>2*'Inputs'!$B$8*'Inputs'!$C$45</x:f>
        <x:v>2500</x:v>
      </x:c>
      <x:c r="AI543" s="81" t="n">
        <x:f>IF(AH543&gt;0,(AE543+AF543)/AH543*365,0)</x:f>
        <x:v>0.00010684821679211538</x:v>
      </x:c>
      <x:c r="AJ543" s="81" t="n">
        <x:f>IF('Inputs'!$B$45&gt;0,AG543/('Inputs'!$B$19*'Inputs'!$B$45)*365,0)</x:f>
        <x:v>1.7035790132840003e-7</x:v>
      </x:c>
      <x:c r="AK543" s="81" t="n">
        <x:f>W543/MAX($W$369:W543)-1</x:f>
        <x:v>-0.9999999905259012</x:v>
      </x:c>
      <x:c r="AL543" s="83" t="n">
        <x:f>'Inputs'!$B$45</x:f>
        <x:v>0.75</x:v>
      </x:c>
      <x:c r="AM543" s="83" t="n">
        <x:f>'Inputs'!$C$45</x:f>
        <x:v>0.5</x:v>
      </x:c>
      <x:c r="AN543" s="83" t="n">
        <x:f>'Inputs'!$D$45</x:f>
        <x:v>0.5</x:v>
      </x:c>
      <x:c r="AO543" s="81" t="n">
        <x:f>'Inputs'!$E$45</x:f>
        <x:v>-0.05</x:v>
      </x:c>
    </x:row>
    <x:row r="544">
      <x:c r="A544" s="59" t="str">
        <x:v>Weak demand</x:v>
      </x:c>
      <x:c r="B544" s="59" t="n">
        <x:v>176</x:v>
      </x:c>
      <x:c r="C544" s="78" t="n">
        <x:f>(('Inputs'!$B$29*(3*176*'Inputs'!$B$12-176^2)/(2*'Inputs'!$B$12^2))-('Inputs'!$B$29*(3*175*'Inputs'!$B$12-175^2)/(2*'Inputs'!$B$12^2)))*'Inputs'!$B$45</x:f>
        <x:v>491197.39866766334</x:v>
      </x:c>
      <x:c r="D544" s="78" t="n">
        <x:f>IF('Inputs'!$C$45&gt;0,('Inputs'!$B$30*(3*176*'Inputs'!$B$12-176^2)/(2*'Inputs'!$B$12^2))-('Inputs'!$B$30*(3*175*'Inputs'!$B$12-175^2)/(2*'Inputs'!$B$12^2)),0)</x:f>
        <x:v>280684.2278100997</x:v>
      </x:c>
      <x:c r="E544" s="78" t="n">
        <x:f>C544+D544</x:f>
        <x:v>771881.626477763</x:v>
      </x:c>
      <x:c r="F544" s="78" t="n">
        <x:f>'Inputs'!$B$13*E544+(1-'Inputs'!$B$13)/'Inputs'!$B$14*SUM(E489:E544)</x:f>
        <x:v>780311.2098892851</x:v>
      </x:c>
      <x:c r="G544" s="78" t="n">
        <x:f>F544*'Inputs'!$F$45</x:f>
        <x:v>546217.8469224996</x:v>
      </x:c>
      <x:c r="H544" s="78" t="n">
        <x:f>U543</x:f>
        <x:v>48813990965.003975</x:v>
      </x:c>
      <x:c r="I544" s="78" t="n">
        <x:f>V543</x:f>
        <x:v>0.347698972849075</x:v>
      </x:c>
      <x:c r="J544" s="79" t="n">
        <x:f>IF(H544&gt;0,I544/H544,0)</x:f>
        <x:v>7.122936805112893e-12</x:v>
      </x:c>
      <x:c r="K544" s="80" t="n">
        <x:f>(H544*J544+I544)*'Inputs'!$D$45*(1+'Inputs'!$G$45)^(B544/30)</x:f>
        <x:v>0.347698972849075</x:v>
      </x:c>
      <x:c r="L544" s="80" t="n">
        <x:f>MAX(0,K544*'Inputs'!$E$45)</x:f>
        <x:v>0</x:v>
      </x:c>
      <x:c r="M544" s="80" t="n">
        <x:f>MAX(0,-K544*'Inputs'!$E$45)</x:f>
        <x:v>0.01738494864245375</x:v>
      </x:c>
      <x:c r="N544" s="78" t="n">
        <x:f>H544*(L544*(1-'Inputs'!$B$15))/(I544+L544*(1-'Inputs'!$B$15))</x:f>
        <x:v>0</x:v>
      </x:c>
      <x:c r="O544" s="78" t="n">
        <x:f>H544-N544</x:f>
        <x:v>48813990965.003975</x:v>
      </x:c>
      <x:c r="P544" s="78" t="n">
        <x:f>I544+L544*(1-'Inputs'!$B$17)</x:f>
        <x:v>0.347698972849075</x:v>
      </x:c>
      <x:c r="Q544" s="78" t="n">
        <x:f>IF(J544&gt;0,M544/J544,0)</x:f>
        <x:v>2440699548.2501984</x:v>
      </x:c>
      <x:c r="R544" s="78" t="n">
        <x:f>IF(B544='Inputs'!$H$45,'Inputs'!$B$27*'Inputs'!$I$45,0)</x:f>
        <x:v>0</x:v>
      </x:c>
      <x:c r="S544" s="78" t="n">
        <x:f>Q544+G544+R544</x:f>
        <x:v>2441245766.097121</x:v>
      </x:c>
      <x:c r="T544" s="78" t="n">
        <x:f>P544*(S544*(1-'Inputs'!$B$15))/(O544+S544*(1-'Inputs'!$B$15))</x:f>
        <x:v>0.01640282917185734</x:v>
      </x:c>
      <x:c r="U544" s="78" t="n">
        <x:f>O544+S544*(1-'Inputs'!$B$17)</x:f>
        <x:v>51245412804.47696</x:v>
      </x:c>
      <x:c r="V544" s="78" t="n">
        <x:f>P544-T544</x:f>
        <x:v>0.3312961436772177</x:v>
      </x:c>
      <x:c r="W544" s="79" t="n">
        <x:f>IF(U544&gt;0,V544/U544,0)</x:f>
        <x:v>6.464893646993407e-12</x:v>
      </x:c>
      <x:c r="X544" s="80" t="n">
        <x:f>W544*('Inputs'!$B$6-AC544)</x:f>
        <x:v>-0.0075673592653323915</x:v>
      </x:c>
      <x:c r="Y544" s="80" t="n">
        <x:f>2*V544</x:f>
        <x:v>0.6625922873544354</x:v>
      </x:c>
      <x:c r="Z544" s="80" t="n">
        <x:f>K544*'Inputs'!$B$16+(G544+R544)*J544*'Inputs'!$B$16</x:f>
        <x:v>0.002086217181145683</x:v>
      </x:c>
      <x:c r="AA544" s="80" t="n">
        <x:f>K544*(1+'Inputs'!$E$45)/2*'Inputs'!$B$17</x:f>
        <x:v>0.0006646157428704654</x:v>
      </x:c>
      <x:c r="AB544" s="78" t="n">
        <x:f>(IF(J544&gt;0,K544*(1-'Inputs'!$E$45)/2/J544,0)+G544+R544)*'Inputs'!$B$17</x:f>
        <x:v>103130347.98581092</x:v>
      </x:c>
      <x:c r="AC544" s="78" t="n">
        <x:f>AC543+AB544</x:f>
        <x:v>2170531129.9052386</x:v>
      </x:c>
      <x:c r="AD544" s="80" t="n">
        <x:f>Z544/(1+'Inputs'!$C$45)</x:f>
        <x:v>0.0013908114540971221</x:v>
      </x:c>
      <x:c r="AE544" s="80" t="n">
        <x:f>Z544-AD544</x:f>
        <x:v>0.000695405727048561</x:v>
      </x:c>
      <x:c r="AF544" s="80" t="n">
        <x:f>D544*W544</x:f>
        <x:v>0.000001814593681180764</x:v>
      </x:c>
      <x:c r="AG544" s="80" t="n">
        <x:f>C544*W544</x:f>
        <x:v>0.0000031755389420662646</x:v>
      </x:c>
      <x:c r="AH544" s="80" t="n">
        <x:f>2*'Inputs'!$B$8*'Inputs'!$C$45</x:f>
        <x:v>2500</x:v>
      </x:c>
      <x:c r="AI544" s="81" t="n">
        <x:f>IF(AH544&gt;0,(AE544+AF544)/AH544*365,0)</x:f>
        <x:v>0.00010179416682654228</x:v>
      </x:c>
      <x:c r="AJ544" s="81" t="n">
        <x:f>IF('Inputs'!$B$45&gt;0,AG544/('Inputs'!$B$19*'Inputs'!$B$45)*365,0)</x:f>
        <x:v>1.5454289518055823e-7</x:v>
      </x:c>
      <x:c r="AK544" s="81" t="n">
        <x:f>W544/MAX($W$369:W544)-1</x:f>
        <x:v>-0.9999999914011534</x:v>
      </x:c>
      <x:c r="AL544" s="83" t="n">
        <x:f>'Inputs'!$B$45</x:f>
        <x:v>0.75</x:v>
      </x:c>
      <x:c r="AM544" s="83" t="n">
        <x:f>'Inputs'!$C$45</x:f>
        <x:v>0.5</x:v>
      </x:c>
      <x:c r="AN544" s="83" t="n">
        <x:f>'Inputs'!$D$45</x:f>
        <x:v>0.5</x:v>
      </x:c>
      <x:c r="AO544" s="81" t="n">
        <x:f>'Inputs'!$E$45</x:f>
        <x:v>-0.05</x:v>
      </x:c>
    </x:row>
    <x:row r="545">
      <x:c r="A545" s="59" t="str">
        <x:v>Weak demand</x:v>
      </x:c>
      <x:c r="B545" s="59" t="n">
        <x:v>177</x:v>
      </x:c>
      <x:c r="C545" s="78" t="n">
        <x:f>(('Inputs'!$B$29*(3*177*'Inputs'!$B$12-177^2)/(2*'Inputs'!$B$12^2))-('Inputs'!$B$29*(3*176*'Inputs'!$B$12-176^2)/(2*'Inputs'!$B$12^2)))*'Inputs'!$B$45</x:f>
        <x:v>490953.56774254516</x:v>
      </x:c>
      <x:c r="D545" s="78" t="n">
        <x:f>IF('Inputs'!$C$45&gt;0,('Inputs'!$B$30*(3*177*'Inputs'!$B$12-177^2)/(2*'Inputs'!$B$12^2))-('Inputs'!$B$30*(3*176*'Inputs'!$B$12-176^2)/(2*'Inputs'!$B$12^2)),0)</x:f>
        <x:v>280544.8958528787</x:v>
      </x:c>
      <x:c r="E545" s="78" t="n">
        <x:f>C545+D545</x:f>
        <x:v>771498.4635954238</x:v>
      </x:c>
      <x:c r="F545" s="78" t="n">
        <x:f>'Inputs'!$B$13*E545+(1-'Inputs'!$B$13)/'Inputs'!$B$14*SUM(E490:E545)</x:f>
        <x:v>779928.0470069436</x:v>
      </x:c>
      <x:c r="G545" s="78" t="n">
        <x:f>F545*'Inputs'!$F$45</x:f>
        <x:v>545949.6329048605</x:v>
      </x:c>
      <x:c r="H545" s="78" t="n">
        <x:f>U544</x:f>
        <x:v>51245412804.47696</x:v>
      </x:c>
      <x:c r="I545" s="78" t="n">
        <x:f>V544</x:f>
        <x:v>0.3312961436772177</x:v>
      </x:c>
      <x:c r="J545" s="79" t="n">
        <x:f>IF(H545&gt;0,I545/H545,0)</x:f>
        <x:v>6.464893646993407e-12</x:v>
      </x:c>
      <x:c r="K545" s="80" t="n">
        <x:f>(H545*J545+I545)*'Inputs'!$D$45*(1+'Inputs'!$G$45)^(B545/30)</x:f>
        <x:v>0.3312961436772177</x:v>
      </x:c>
      <x:c r="L545" s="80" t="n">
        <x:f>MAX(0,K545*'Inputs'!$E$45)</x:f>
        <x:v>0</x:v>
      </x:c>
      <x:c r="M545" s="80" t="n">
        <x:f>MAX(0,-K545*'Inputs'!$E$45)</x:f>
        <x:v>0.016564807183860886</x:v>
      </x:c>
      <x:c r="N545" s="78" t="n">
        <x:f>H545*(L545*(1-'Inputs'!$B$15))/(I545+L545*(1-'Inputs'!$B$15))</x:f>
        <x:v>0</x:v>
      </x:c>
      <x:c r="O545" s="78" t="n">
        <x:f>H545-N545</x:f>
        <x:v>51245412804.47696</x:v>
      </x:c>
      <x:c r="P545" s="78" t="n">
        <x:f>I545+L545*(1-'Inputs'!$B$17)</x:f>
        <x:v>0.3312961436772177</x:v>
      </x:c>
      <x:c r="Q545" s="78" t="n">
        <x:f>IF(J545&gt;0,M545/J545,0)</x:f>
        <x:v>2562270640.223848</x:v>
      </x:c>
      <x:c r="R545" s="78" t="n">
        <x:f>IF(B545='Inputs'!$H$45,'Inputs'!$B$27*'Inputs'!$I$45,0)</x:f>
        <x:v>0</x:v>
      </x:c>
      <x:c r="S545" s="78" t="n">
        <x:f>Q545+G545+R545</x:f>
        <x:v>2562816589.856753</x:v>
      </x:c>
      <x:c r="T545" s="78" t="n">
        <x:f>P545*(S545*(1-'Inputs'!$B$15))/(O545+S545*(1-'Inputs'!$B$15))</x:f>
        <x:v>0.0156288599182781</x:v>
      </x:c>
      <x:c r="U545" s="78" t="n">
        <x:f>O545+S545*(1-'Inputs'!$B$17)</x:f>
        <x:v>53797916249.1029</x:v>
      </x:c>
      <x:c r="V545" s="78" t="n">
        <x:f>P545-T545</x:f>
        <x:v>0.3156672837589396</x:v>
      </x:c>
      <x:c r="W545" s="79" t="n">
        <x:f>IF(U545&gt;0,V545/U545,0)</x:f>
        <x:v>5.86764889363542e-12</x:v>
      </x:c>
      <x:c r="X545" s="80" t="n">
        <x:f>W545*('Inputs'!$B$6-AC545)</x:f>
        <x:v>-0.0075035393334486646</x:v>
      </x:c>
      <x:c r="Y545" s="80" t="n">
        <x:f>2*V545</x:f>
        <x:v>0.6313345675178792</x:v>
      </x:c>
      <x:c r="Z545" s="80" t="n">
        <x:f>K545*'Inputs'!$B$16+(G545+R545)*J545*'Inputs'!$B$16</x:f>
        <x:v>0.0019877980391011865</x:v>
      </x:c>
      <x:c r="AA545" s="80" t="n">
        <x:f>K545*(1+'Inputs'!$E$45)/2*'Inputs'!$B$17</x:f>
        <x:v>0.0006332622464655067</x:v>
      </x:c>
      <x:c r="AB545" s="78" t="n">
        <x:f>(IF(J545&gt;0,K545*(1-'Inputs'!$E$45)/2/J545,0)+G545+R545)*'Inputs'!$B$17</x:f>
        <x:v>108267153.60959078</x:v>
      </x:c>
      <x:c r="AC545" s="78" t="n">
        <x:f>AC544+AB545</x:f>
        <x:v>2278798283.5148296</x:v>
      </x:c>
      <x:c r="AD545" s="80" t="n">
        <x:f>Z545/(1+'Inputs'!$C$45)</x:f>
        <x:v>0.0013251986927341243</x:v>
      </x:c>
      <x:c r="AE545" s="80" t="n">
        <x:f>Z545-AD545</x:f>
        <x:v>0.0006625993463670622</x:v>
      </x:c>
      <x:c r="AF545" s="80" t="n">
        <x:f>D545*W545</x:f>
        <x:v>0.0000016461389477662077</x:v>
      </x:c>
      <x:c r="AG545" s="80" t="n">
        <x:f>C545*W545</x:f>
        <x:v>0.0000028807431585909074</x:v>
      </x:c>
      <x:c r="AH545" s="80" t="n">
        <x:f>2*'Inputs'!$B$8*'Inputs'!$C$45</x:f>
        <x:v>2500</x:v>
      </x:c>
      <x:c r="AI545" s="81" t="n">
        <x:f>IF(AH545&gt;0,(AE545+AF545)/AH545*365,0)</x:f>
        <x:v>0.00009697984085596496</x:v>
      </x:c>
      <x:c r="AJ545" s="81" t="n">
        <x:f>IF('Inputs'!$B$45&gt;0,AG545/('Inputs'!$B$19*'Inputs'!$B$45)*365,0)</x:f>
        <x:v>1.4019616705142415e-7</x:v>
      </x:c>
      <x:c r="AK545" s="81" t="n">
        <x:f>W545/MAX($W$369:W545)-1</x:f>
        <x:v>-0.9999999921955386</x:v>
      </x:c>
      <x:c r="AL545" s="83" t="n">
        <x:f>'Inputs'!$B$45</x:f>
        <x:v>0.75</x:v>
      </x:c>
      <x:c r="AM545" s="83" t="n">
        <x:f>'Inputs'!$C$45</x:f>
        <x:v>0.5</x:v>
      </x:c>
      <x:c r="AN545" s="83" t="n">
        <x:f>'Inputs'!$D$45</x:f>
        <x:v>0.5</x:v>
      </x:c>
      <x:c r="AO545" s="81" t="n">
        <x:f>'Inputs'!$E$45</x:f>
        <x:v>-0.05</x:v>
      </x:c>
    </x:row>
    <x:row r="546">
      <x:c r="A546" s="59" t="str">
        <x:v>Weak demand</x:v>
      </x:c>
      <x:c r="B546" s="59" t="n">
        <x:v>178</x:v>
      </x:c>
      <x:c r="C546" s="78" t="n">
        <x:f>(('Inputs'!$B$29*(3*178*'Inputs'!$B$12-178^2)/(2*'Inputs'!$B$12^2))-('Inputs'!$B$29*(3*177*'Inputs'!$B$12-177^2)/(2*'Inputs'!$B$12^2)))*'Inputs'!$B$45</x:f>
        <x:v>490709.7368174158</x:v>
      </x:c>
      <x:c r="D546" s="78" t="n">
        <x:f>IF('Inputs'!$C$45&gt;0,('Inputs'!$B$30*(3*178*'Inputs'!$B$12-178^2)/(2*'Inputs'!$B$12^2))-('Inputs'!$B$30*(3*177*'Inputs'!$B$12-177^2)/(2*'Inputs'!$B$12^2)),0)</x:f>
        <x:v>280405.5638956651</x:v>
      </x:c>
      <x:c r="E546" s="78" t="n">
        <x:f>C546+D546</x:f>
        <x:v>771115.3007130809</x:v>
      </x:c>
      <x:c r="F546" s="78" t="n">
        <x:f>'Inputs'!$B$13*E546+(1-'Inputs'!$B$13)/'Inputs'!$B$14*SUM(E491:E546)</x:f>
        <x:v>779544.8841246015</x:v>
      </x:c>
      <x:c r="G546" s="78" t="n">
        <x:f>F546*'Inputs'!$F$45</x:f>
        <x:v>545681.418887221</x:v>
      </x:c>
      <x:c r="H546" s="78" t="n">
        <x:f>U545</x:f>
        <x:v>53797916249.1029</x:v>
      </x:c>
      <x:c r="I546" s="78" t="n">
        <x:f>V545</x:f>
        <x:v>0.3156672837589396</x:v>
      </x:c>
      <x:c r="J546" s="79" t="n">
        <x:f>IF(H546&gt;0,I546/H546,0)</x:f>
        <x:v>5.86764889363542e-12</x:v>
      </x:c>
      <x:c r="K546" s="80" t="n">
        <x:f>(H546*J546+I546)*'Inputs'!$D$45*(1+'Inputs'!$G$45)^(B546/30)</x:f>
        <x:v>0.3156672837589396</x:v>
      </x:c>
      <x:c r="L546" s="80" t="n">
        <x:f>MAX(0,K546*'Inputs'!$E$45)</x:f>
        <x:v>0</x:v>
      </x:c>
      <x:c r="M546" s="80" t="n">
        <x:f>MAX(0,-K546*'Inputs'!$E$45)</x:f>
        <x:v>0.015783364187946982</x:v>
      </x:c>
      <x:c r="N546" s="78" t="n">
        <x:f>H546*(L546*(1-'Inputs'!$B$15))/(I546+L546*(1-'Inputs'!$B$15))</x:f>
        <x:v>0</x:v>
      </x:c>
      <x:c r="O546" s="78" t="n">
        <x:f>H546-N546</x:f>
        <x:v>53797916249.1029</x:v>
      </x:c>
      <x:c r="P546" s="78" t="n">
        <x:f>I546+L546*(1-'Inputs'!$B$17)</x:f>
        <x:v>0.3156672837589396</x:v>
      </x:c>
      <x:c r="Q546" s="78" t="n">
        <x:f>IF(J546&gt;0,M546/J546,0)</x:f>
        <x:v>2689895812.4551454</x:v>
      </x:c>
      <x:c r="R546" s="78" t="n">
        <x:f>IF(B546='Inputs'!$H$45,'Inputs'!$B$27*'Inputs'!$I$45,0)</x:f>
        <x:v>0</x:v>
      </x:c>
      <x:c r="S546" s="78" t="n">
        <x:f>Q546+G546+R546</x:f>
        <x:v>2690441493.8740325</x:v>
      </x:c>
      <x:c r="T546" s="78" t="n">
        <x:f>P546*(S546*(1-'Inputs'!$B$15))/(O546+S546*(1-'Inputs'!$B$15))</x:f>
        <x:v>0.01489142530592983</x:v>
      </x:c>
      <x:c r="U546" s="78" t="n">
        <x:f>O546+S546*(1-'Inputs'!$B$17)</x:f>
        <x:v>56477531016.64343</x:v>
      </x:c>
      <x:c r="V546" s="78" t="n">
        <x:f>P546-T546</x:f>
        <x:v>0.30077585845300975</x:v>
      </x:c>
      <x:c r="W546" s="79" t="n">
        <x:f>IF(U546&gt;0,V546/U546,0)</x:f>
        <x:v>5.325584405670526e-12</x:v>
      </x:c>
      <x:c r="X546" s="80" t="n">
        <x:f>W546*('Inputs'!$B$6-AC546)</x:f>
        <x:v>-0.007415652871071917</x:v>
      </x:c>
      <x:c r="Y546" s="80" t="n">
        <x:f>2*V546</x:f>
        <x:v>0.6015517169060195</x:v>
      </x:c>
      <x:c r="Z546" s="80" t="n">
        <x:f>K546*'Inputs'!$B$16+(G546+R546)*J546*'Inputs'!$B$16</x:f>
        <x:v>0.0018940229137554805</x:v>
      </x:c>
      <x:c r="AA546" s="80" t="n">
        <x:f>K546*(1+'Inputs'!$E$45)/2*'Inputs'!$B$17</x:f>
        <x:v>0.0006033881681508905</x:v>
      </x:c>
      <x:c r="AB546" s="78" t="n">
        <x:f>(IF(J546&gt;0,K546*(1-'Inputs'!$E$45)/2/J546,0)+G546+R546)*'Inputs'!$B$17</x:f>
        <x:v>113659765.4414403</x:v>
      </x:c>
      <x:c r="AC546" s="78" t="n">
        <x:f>AC545+AB546</x:f>
        <x:v>2392458048.9562697</x:v>
      </x:c>
      <x:c r="AD546" s="80" t="n">
        <x:f>Z546/(1+'Inputs'!$C$45)</x:f>
        <x:v>0.0012626819425036538</x:v>
      </x:c>
      <x:c r="AE546" s="80" t="n">
        <x:f>Z546-AD546</x:f>
        <x:v>0.0006313409712518268</x:v>
      </x:c>
      <x:c r="AF546" s="80" t="n">
        <x:f>D546*W546</x:f>
        <x:v>0.0000014933234983460046</x:v>
      </x:c>
      <x:c r="AG546" s="80" t="n">
        <x:f>C546*W546</x:f>
        <x:v>0.0000026133161221055177</x:v>
      </x:c>
      <x:c r="AH546" s="80" t="n">
        <x:f>2*'Inputs'!$B$8*'Inputs'!$C$45</x:f>
        <x:v>2500</x:v>
      </x:c>
      <x:c r="AI546" s="81" t="n">
        <x:f>IF(AH546&gt;0,(AE546+AF546)/AH546*365,0)</x:f>
        <x:v>0.00009239380703352523</x:v>
      </x:c>
      <x:c r="AJ546" s="81" t="n">
        <x:f>IF('Inputs'!$B$45&gt;0,AG546/('Inputs'!$B$19*'Inputs'!$B$45)*365,0)</x:f>
        <x:v>1.271813846091352e-7</x:v>
      </x:c>
      <x:c r="AK546" s="81" t="n">
        <x:f>W546/MAX($W$369:W546)-1</x:f>
        <x:v>-0.9999999929165294</x:v>
      </x:c>
      <x:c r="AL546" s="83" t="n">
        <x:f>'Inputs'!$B$45</x:f>
        <x:v>0.75</x:v>
      </x:c>
      <x:c r="AM546" s="83" t="n">
        <x:f>'Inputs'!$C$45</x:f>
        <x:v>0.5</x:v>
      </x:c>
      <x:c r="AN546" s="83" t="n">
        <x:f>'Inputs'!$D$45</x:f>
        <x:v>0.5</x:v>
      </x:c>
      <x:c r="AO546" s="81" t="n">
        <x:f>'Inputs'!$E$45</x:f>
        <x:v>-0.05</x:v>
      </x:c>
    </x:row>
    <x:row r="547">
      <x:c r="A547" s="59" t="str">
        <x:v>Weak demand</x:v>
      </x:c>
      <x:c r="B547" s="59" t="n">
        <x:v>179</x:v>
      </x:c>
      <x:c r="C547" s="78" t="n">
        <x:f>(('Inputs'!$B$29*(3*179*'Inputs'!$B$12-179^2)/(2*'Inputs'!$B$12^2))-('Inputs'!$B$29*(3*178*'Inputs'!$B$12-178^2)/(2*'Inputs'!$B$12^2)))*'Inputs'!$B$45</x:f>
        <x:v>490465.90589228645</x:v>
      </x:c>
      <x:c r="D547" s="78" t="n">
        <x:f>IF('Inputs'!$C$45&gt;0,('Inputs'!$B$30*(3*179*'Inputs'!$B$12-179^2)/(2*'Inputs'!$B$12^2))-('Inputs'!$B$30*(3*178*'Inputs'!$B$12-178^2)/(2*'Inputs'!$B$12^2)),0)</x:f>
        <x:v>280266.2319384515</x:v>
      </x:c>
      <x:c r="E547" s="78" t="n">
        <x:f>C547+D547</x:f>
        <x:v>770732.137830738</x:v>
      </x:c>
      <x:c r="F547" s="78" t="n">
        <x:f>'Inputs'!$B$13*E547+(1-'Inputs'!$B$13)/'Inputs'!$B$14*SUM(E492:E547)</x:f>
        <x:v>779161.7212422595</x:v>
      </x:c>
      <x:c r="G547" s="78" t="n">
        <x:f>F547*'Inputs'!$F$45</x:f>
        <x:v>545413.2048695816</x:v>
      </x:c>
      <x:c r="H547" s="78" t="n">
        <x:f>U546</x:f>
        <x:v>56477531016.64343</x:v>
      </x:c>
      <x:c r="I547" s="78" t="n">
        <x:f>V546</x:f>
        <x:v>0.30077585845300975</x:v>
      </x:c>
      <x:c r="J547" s="79" t="n">
        <x:f>IF(H547&gt;0,I547/H547,0)</x:f>
        <x:v>5.325584405670526e-12</x:v>
      </x:c>
      <x:c r="K547" s="80" t="n">
        <x:f>(H547*J547+I547)*'Inputs'!$D$45*(1+'Inputs'!$G$45)^(B547/30)</x:f>
        <x:v>0.30077585845300975</x:v>
      </x:c>
      <x:c r="L547" s="80" t="n">
        <x:f>MAX(0,K547*'Inputs'!$E$45)</x:f>
        <x:v>0</x:v>
      </x:c>
      <x:c r="M547" s="80" t="n">
        <x:f>MAX(0,-K547*'Inputs'!$E$45)</x:f>
        <x:v>0.015038792922650488</x:v>
      </x:c>
      <x:c r="N547" s="78" t="n">
        <x:f>H547*(L547*(1-'Inputs'!$B$15))/(I547+L547*(1-'Inputs'!$B$15))</x:f>
        <x:v>0</x:v>
      </x:c>
      <x:c r="O547" s="78" t="n">
        <x:f>H547-N547</x:f>
        <x:v>56477531016.64343</x:v>
      </x:c>
      <x:c r="P547" s="78" t="n">
        <x:f>I547+L547*(1-'Inputs'!$B$17)</x:f>
        <x:v>0.30077585845300975</x:v>
      </x:c>
      <x:c r="Q547" s="78" t="n">
        <x:f>IF(J547&gt;0,M547/J547,0)</x:f>
        <x:v>2823876550.832172</x:v>
      </x:c>
      <x:c r="R547" s="78" t="n">
        <x:f>IF(B547='Inputs'!$H$45,'Inputs'!$B$27*'Inputs'!$I$45,0)</x:f>
        <x:v>0</x:v>
      </x:c>
      <x:c r="S547" s="78" t="n">
        <x:f>Q547+G547+R547</x:f>
        <x:v>2824421964.0370417</x:v>
      </x:c>
      <x:c r="T547" s="78" t="n">
        <x:f>P547*(S547*(1-'Inputs'!$B$15))/(O547+S547*(1-'Inputs'!$B$15))</x:f>
        <x:v>0.014188799368851092</x:v>
      </x:c>
      <x:c r="U547" s="78" t="n">
        <x:f>O547+S547*(1-'Inputs'!$B$17)</x:f>
        <x:v>59290587097.5254</x:v>
      </x:c>
      <x:c r="V547" s="78" t="n">
        <x:f>P547-T547</x:f>
        <x:v>0.28658705908415866</x:v>
      </x:c>
      <x:c r="W547" s="79" t="n">
        <x:f>IF(U547&gt;0,V547/U547,0)</x:f>
        <x:v>4.83360130357218e-12</x:v>
      </x:c>
      <x:c r="X547" s="80" t="n">
        <x:f>W547*('Inputs'!$B$6-AC547)</x:f>
        <x:v>-0.007307336806282209</x:v>
      </x:c>
      <x:c r="Y547" s="80" t="n">
        <x:f>2*V547</x:f>
        <x:v>0.5731741181683173</x:v>
      </x:c>
      <x:c r="Z547" s="80" t="n">
        <x:f>K547*'Inputs'!$B$16+(G547+R547)*J547*'Inputs'!$B$16</x:f>
        <x:v>0.0018046725785824096</x:v>
      </x:c>
      <x:c r="AA547" s="80" t="n">
        <x:f>K547*(1+'Inputs'!$E$45)/2*'Inputs'!$B$17</x:f>
        <x:v>0.0005749236730993144</x:v>
      </x:c>
      <x:c r="AB547" s="78" t="n">
        <x:f>(IF(J547&gt;0,K547*(1-'Inputs'!$E$45)/2/J547,0)+G547+R547)*'Inputs'!$B$17</x:f>
        <x:v>119320922.3217009</x:v>
      </x:c>
      <x:c r="AC547" s="78" t="n">
        <x:f>AC546+AB547</x:f>
        <x:v>2511778971.277971</x:v>
      </x:c>
      <x:c r="AD547" s="80" t="n">
        <x:f>Z547/(1+'Inputs'!$C$45)</x:f>
        <x:v>0.001203115052388273</x:v>
      </x:c>
      <x:c r="AE547" s="80" t="n">
        <x:f>Z547-AD547</x:f>
        <x:v>0.0006015575261941366</x:v>
      </x:c>
      <x:c r="AF547" s="80" t="n">
        <x:f>D547*W547</x:f>
        <x:v>0.0000013546952240449624</x:v>
      </x:c>
      <x:c r="AG547" s="80" t="n">
        <x:f>C547*W547</x:f>
        <x:v>0.000002370716642078666</x:v>
      </x:c>
      <x:c r="AH547" s="80" t="n">
        <x:f>2*'Inputs'!$B$8*'Inputs'!$C$45</x:f>
        <x:v>2500</x:v>
      </x:c>
      <x:c r="AI547" s="81" t="n">
        <x:f>IF(AH547&gt;0,(AE547+AF547)/AH547*365,0)</x:f>
        <x:v>0.00008802518432705451</x:v>
      </x:c>
      <x:c r="AJ547" s="81" t="n">
        <x:f>IF('Inputs'!$B$45&gt;0,AG547/('Inputs'!$B$19*'Inputs'!$B$45)*365,0)</x:f>
        <x:v>1.1537487658116176e-7</x:v>
      </x:c>
      <x:c r="AK547" s="81" t="n">
        <x:f>W547/MAX($W$369:W547)-1</x:f>
        <x:v>-0.999999993570908</x:v>
      </x:c>
      <x:c r="AL547" s="83" t="n">
        <x:f>'Inputs'!$B$45</x:f>
        <x:v>0.75</x:v>
      </x:c>
      <x:c r="AM547" s="83" t="n">
        <x:f>'Inputs'!$C$45</x:f>
        <x:v>0.5</x:v>
      </x:c>
      <x:c r="AN547" s="83" t="n">
        <x:f>'Inputs'!$D$45</x:f>
        <x:v>0.5</x:v>
      </x:c>
      <x:c r="AO547" s="81" t="n">
        <x:f>'Inputs'!$E$45</x:f>
        <x:v>-0.05</x:v>
      </x:c>
    </x:row>
    <x:row r="548">
      <x:c r="A548" s="59" t="str">
        <x:v>Weak demand</x:v>
      </x:c>
      <x:c r="B548" s="59" t="n">
        <x:v>180</x:v>
      </x:c>
      <x:c r="C548" s="78" t="n">
        <x:f>(('Inputs'!$B$29*(3*180*'Inputs'!$B$12-180^2)/(2*'Inputs'!$B$12^2))-('Inputs'!$B$29*(3*179*'Inputs'!$B$12-179^2)/(2*'Inputs'!$B$12^2)))*'Inputs'!$B$45</x:f>
        <x:v>490222.0749671571</x:v>
      </x:c>
      <x:c r="D548" s="78" t="n">
        <x:f>IF('Inputs'!$C$45&gt;0,('Inputs'!$B$30*(3*180*'Inputs'!$B$12-180^2)/(2*'Inputs'!$B$12^2))-('Inputs'!$B$30*(3*179*'Inputs'!$B$12-179^2)/(2*'Inputs'!$B$12^2)),0)</x:f>
        <x:v>280126.8999812305</x:v>
      </x:c>
      <x:c r="E548" s="78" t="n">
        <x:f>C548+D548</x:f>
        <x:v>770348.9749483876</x:v>
      </x:c>
      <x:c r="F548" s="78" t="n">
        <x:f>'Inputs'!$B$13*E548+(1-'Inputs'!$B$13)/'Inputs'!$B$14*SUM(E493:E548)</x:f>
        <x:v>778778.5583599156</x:v>
      </x:c>
      <x:c r="G548" s="78" t="n">
        <x:f>F548*'Inputs'!$F$45</x:f>
        <x:v>545144.9908519409</x:v>
      </x:c>
      <x:c r="H548" s="78" t="n">
        <x:f>U547</x:f>
        <x:v>59290587097.5254</x:v>
      </x:c>
      <x:c r="I548" s="78" t="n">
        <x:f>V547</x:f>
        <x:v>0.28658705908415866</x:v>
      </x:c>
      <x:c r="J548" s="79" t="n">
        <x:f>IF(H548&gt;0,I548/H548,0)</x:f>
        <x:v>4.83360130357218e-12</x:v>
      </x:c>
      <x:c r="K548" s="80" t="n">
        <x:f>(H548*J548+I548)*'Inputs'!$D$45*(1+'Inputs'!$G$45)^(B548/30)</x:f>
        <x:v>0.28658705908415866</x:v>
      </x:c>
      <x:c r="L548" s="80" t="n">
        <x:f>MAX(0,K548*'Inputs'!$E$45)</x:f>
        <x:v>0</x:v>
      </x:c>
      <x:c r="M548" s="80" t="n">
        <x:f>MAX(0,-K548*'Inputs'!$E$45)</x:f>
        <x:v>0.014329352954207933</x:v>
      </x:c>
      <x:c r="N548" s="78" t="n">
        <x:f>H548*(L548*(1-'Inputs'!$B$15))/(I548+L548*(1-'Inputs'!$B$15))</x:f>
        <x:v>0</x:v>
      </x:c>
      <x:c r="O548" s="78" t="n">
        <x:f>H548-N548</x:f>
        <x:v>59290587097.5254</x:v>
      </x:c>
      <x:c r="P548" s="78" t="n">
        <x:f>I548+L548*(1-'Inputs'!$B$17)</x:f>
        <x:v>0.28658705908415866</x:v>
      </x:c>
      <x:c r="Q548" s="78" t="n">
        <x:f>IF(J548&gt;0,M548/J548,0)</x:f>
        <x:v>2964529354.8762703</x:v>
      </x:c>
      <x:c r="R548" s="78" t="n">
        <x:f>IF(B548='Inputs'!$H$45,'Inputs'!$B$27*'Inputs'!$I$45,0)</x:f>
        <x:v>0</x:v>
      </x:c>
      <x:c r="S548" s="78" t="n">
        <x:f>Q548+G548+R548</x:f>
        <x:v>2965074499.867122</x:v>
      </x:c>
      <x:c r="T548" s="78" t="n">
        <x:f>P548*(S548*(1-'Inputs'!$B$15))/(O548+S548*(1-'Inputs'!$B$15))</x:f>
        <x:v>0.013519337806645923</x:v>
      </x:c>
      <x:c r="U548" s="78" t="n">
        <x:f>O548+S548*(1-'Inputs'!$B$17)</x:f>
        <x:v>62243729708.05704</x:v>
      </x:c>
      <x:c r="V548" s="78" t="n">
        <x:f>P548-T548</x:f>
        <x:v>0.2730677212775127</x:v>
      </x:c>
      <x:c r="W548" s="79" t="n">
        <x:f>IF(U548&gt;0,V548/U548,0)</x:f>
        <x:v>4.387071959830934e-12</x:v>
      </x:c>
      <x:c r="X548" s="80" t="n">
        <x:f>W548*('Inputs'!$B$6-AC548)</x:f>
        <x:v>-0.007181825305230788</x:v>
      </x:c>
      <x:c r="Y548" s="80" t="n">
        <x:f>2*V548</x:f>
        <x:v>0.5461354425550254</x:v>
      </x:c>
      <x:c r="Z548" s="80" t="n">
        <x:f>K548*'Inputs'!$B$16+(G548+R548)*J548*'Inputs'!$B$16</x:f>
        <x:v>0.0017195381645861824</x:v>
      </x:c>
      <x:c r="AA548" s="80" t="n">
        <x:f>K548*(1+'Inputs'!$E$45)/2*'Inputs'!$B$17</x:f>
        <x:v>0.000547802225613583</x:v>
      </x:c>
      <x:c r="AB548" s="78" t="n">
        <x:f>(IF(J548&gt;0,K548*(1-'Inputs'!$E$45)/2/J548,0)+G548+R548)*'Inputs'!$B$17</x:f>
        <x:v>125263997.46958427</x:v>
      </x:c>
      <x:c r="AC548" s="78" t="n">
        <x:f>AC547+AB548</x:f>
        <x:v>2637042968.7475553</x:v>
      </x:c>
      <x:c r="AD548" s="80" t="n">
        <x:f>Z548/(1+'Inputs'!$C$45)</x:f>
        <x:v>0.0011463587763907883</x:v>
      </x:c>
      <x:c r="AE548" s="80" t="n">
        <x:f>Z548-AD548</x:f>
        <x:v>0.0005731793881953941</x:v>
      </x:c>
      <x:c r="AF548" s="80" t="n">
        <x:f>D548*W548</x:f>
        <x:v>0.000001228936868102021</x:v>
      </x:c>
      <x:c r="AG548" s="80" t="n">
        <x:f>C548*W548</x:f>
        <x:v>0.000002150639519178553</x:v>
      </x:c>
      <x:c r="AH548" s="80" t="n">
        <x:f>2*'Inputs'!$B$8*'Inputs'!$C$45</x:f>
        <x:v>2500</x:v>
      </x:c>
      <x:c r="AI548" s="81" t="n">
        <x:f>IF(AH548&gt;0,(AE548+AF548)/AH548*365,0)</x:f>
        <x:v>0.00008386361545927043</x:v>
      </x:c>
      <x:c r="AJ548" s="81" t="n">
        <x:f>IF('Inputs'!$B$45&gt;0,AG548/('Inputs'!$B$19*'Inputs'!$B$45)*365,0)</x:f>
        <x:v>1.0466445660002291e-7</x:v>
      </x:c>
      <x:c r="AK548" s="81" t="n">
        <x:f>W548/MAX($W$369:W548)-1</x:f>
        <x:v>-0.9999999941648291</x:v>
      </x:c>
      <x:c r="AL548" s="83" t="n">
        <x:f>'Inputs'!$B$45</x:f>
        <x:v>0.75</x:v>
      </x:c>
      <x:c r="AM548" s="83" t="n">
        <x:f>'Inputs'!$C$45</x:f>
        <x:v>0.5</x:v>
      </x:c>
      <x:c r="AN548" s="83" t="n">
        <x:f>'Inputs'!$D$45</x:f>
        <x:v>0.5</x:v>
      </x:c>
      <x:c r="AO548" s="81" t="n">
        <x:f>'Inputs'!$E$45</x:f>
        <x:v>-0.05</x:v>
      </x:c>
    </x:row>
    <x:row r="549">
      <x:c r="A549" s="59" t="str">
        <x:v>Weak demand</x:v>
      </x:c>
      <x:c r="B549" s="59" t="n">
        <x:v>181</x:v>
      </x:c>
      <x:c r="C549" s="78" t="n">
        <x:f>(('Inputs'!$B$29*(3*181*'Inputs'!$B$12-181^2)/(2*'Inputs'!$B$12^2))-('Inputs'!$B$29*(3*180*'Inputs'!$B$12-180^2)/(2*'Inputs'!$B$12^2)))*'Inputs'!$B$45</x:f>
        <x:v>489978.2440420389</x:v>
      </x:c>
      <x:c r="D549" s="78" t="n">
        <x:f>IF('Inputs'!$C$45&gt;0,('Inputs'!$B$30*(3*181*'Inputs'!$B$12-181^2)/(2*'Inputs'!$B$12^2))-('Inputs'!$B$30*(3*180*'Inputs'!$B$12-180^2)/(2*'Inputs'!$B$12^2)),0)</x:f>
        <x:v>279987.56802402437</x:v>
      </x:c>
      <x:c r="E549" s="78" t="n">
        <x:f>C549+D549</x:f>
        <x:v>769965.8120660633</x:v>
      </x:c>
      <x:c r="F549" s="78" t="n">
        <x:f>'Inputs'!$B$13*E549+(1-'Inputs'!$B$13)/'Inputs'!$B$14*SUM(E494:E549)</x:f>
        <x:v>778395.3954775775</x:v>
      </x:c>
      <x:c r="G549" s="78" t="n">
        <x:f>F549*'Inputs'!$F$45</x:f>
        <x:v>544876.7768343042</x:v>
      </x:c>
      <x:c r="H549" s="78" t="n">
        <x:f>U548</x:f>
        <x:v>62243729708.05704</x:v>
      </x:c>
      <x:c r="I549" s="78" t="n">
        <x:f>V548</x:f>
        <x:v>0.2730677212775127</x:v>
      </x:c>
      <x:c r="J549" s="79" t="n">
        <x:f>IF(H549&gt;0,I549/H549,0)</x:f>
        <x:v>4.387071959830934e-12</x:v>
      </x:c>
      <x:c r="K549" s="80" t="n">
        <x:f>(H549*J549+I549)*'Inputs'!$D$45*(1+'Inputs'!$G$45)^(B549/30)</x:f>
        <x:v>0.2730677212775127</x:v>
      </x:c>
      <x:c r="L549" s="80" t="n">
        <x:f>MAX(0,K549*'Inputs'!$E$45)</x:f>
        <x:v>0</x:v>
      </x:c>
      <x:c r="M549" s="80" t="n">
        <x:f>MAX(0,-K549*'Inputs'!$E$45)</x:f>
        <x:v>0.013653386063875637</x:v>
      </x:c>
      <x:c r="N549" s="78" t="n">
        <x:f>H549*(L549*(1-'Inputs'!$B$15))/(I549+L549*(1-'Inputs'!$B$15))</x:f>
        <x:v>0</x:v>
      </x:c>
      <x:c r="O549" s="78" t="n">
        <x:f>H549-N549</x:f>
        <x:v>62243729708.05704</x:v>
      </x:c>
      <x:c r="P549" s="78" t="n">
        <x:f>I549+L549*(1-'Inputs'!$B$17)</x:f>
        <x:v>0.2730677212775127</x:v>
      </x:c>
      <x:c r="Q549" s="78" t="n">
        <x:f>IF(J549&gt;0,M549/J549,0)</x:f>
        <x:v>3112186485.402852</x:v>
      </x:c>
      <x:c r="R549" s="78" t="n">
        <x:f>IF(B549='Inputs'!$H$45,'Inputs'!$B$27*'Inputs'!$I$45,0)</x:f>
        <x:v>0</x:v>
      </x:c>
      <x:c r="S549" s="78" t="n">
        <x:f>Q549+G549+R549</x:f>
        <x:v>3112731362.1796865</x:v>
      </x:c>
      <x:c r="T549" s="78" t="n">
        <x:f>P549*(S549*(1-'Inputs'!$B$15))/(O549+S549*(1-'Inputs'!$B$15))</x:f>
        <x:v>0.01288147410856589</x:v>
      </x:c>
      <x:c r="U549" s="78" t="n">
        <x:f>O549+S549*(1-'Inputs'!$B$17)</x:f>
        <x:v>65343934988.296364</x:v>
      </x:c>
      <x:c r="V549" s="78" t="n">
        <x:f>P549-T549</x:f>
        <x:v>0.26018624716894684</x:v>
      </x:c>
      <x:c r="W549" s="79" t="n">
        <x:f>IF(U549&gt;0,V549/U549,0)</x:f>
        <x:v>3.981796431689465e-12</x:v>
      </x:c>
      <x:c r="X549" s="80" t="n">
        <x:f>W549*('Inputs'!$B$6-AC549)</x:f>
        <x:v>-0.007041990147388236</x:v>
      </x:c>
      <x:c r="Y549" s="80" t="n">
        <x:f>2*V549</x:f>
        <x:v>0.5203724943378937</x:v>
      </x:c>
      <x:c r="Z549" s="80" t="n">
        <x:f>K549*'Inputs'!$B$16+(G549+R549)*J549*'Inputs'!$B$16</x:f>
        <x:v>0.0016384206701468517</x:v>
      </x:c>
      <x:c r="AA549" s="80" t="n">
        <x:f>K549*(1+'Inputs'!$E$45)/2*'Inputs'!$B$17</x:f>
        <x:v>0.0005219604330254267</x:v>
      </x:c>
      <x:c r="AB549" s="78" t="n">
        <x:f>(IF(J549&gt;0,K549*(1-'Inputs'!$E$45)/2/J549,0)+G549+R549)*'Inputs'!$B$17</x:f>
        <x:v>131503030.07447398</x:v>
      </x:c>
      <x:c r="AC549" s="78" t="n">
        <x:f>AC548+AB549</x:f>
        <x:v>2768545998.822029</x:v>
      </x:c>
      <x:c r="AD549" s="80" t="n">
        <x:f>Z549/(1+'Inputs'!$C$45)</x:f>
        <x:v>0.0010922804467645678</x:v>
      </x:c>
      <x:c r="AE549" s="80" t="n">
        <x:f>Z549-AD549</x:f>
        <x:v>0.0005461402233822839</x:v>
      </x:c>
      <x:c r="AF549" s="80" t="n">
        <x:f>D549*W549</x:f>
        <x:v>0.0000011148534992754715</x:v>
      </x:c>
      <x:c r="AG549" s="80" t="n">
        <x:f>C549*W549</x:f>
        <x:v>0.0000019509936237320604</x:v>
      </x:c>
      <x:c r="AH549" s="80" t="n">
        <x:f>2*'Inputs'!$B$8*'Inputs'!$C$45</x:f>
        <x:v>2500</x:v>
      </x:c>
      <x:c r="AI549" s="81" t="n">
        <x:f>IF(AH549&gt;0,(AE549+AF549)/AH549*365,0)</x:f>
        <x:v>0.00007989924122470766</x:v>
      </x:c>
      <x:c r="AJ549" s="81" t="n">
        <x:f>IF('Inputs'!$B$45&gt;0,AG549/('Inputs'!$B$19*'Inputs'!$B$45)*365,0)</x:f>
        <x:v>9.494835635496028e-8</x:v>
      </x:c>
      <x:c r="AK549" s="81" t="n">
        <x:f>W549/MAX($W$369:W549)-1</x:f>
        <x:v>-0.9999999947038793</x:v>
      </x:c>
      <x:c r="AL549" s="83" t="n">
        <x:f>'Inputs'!$B$45</x:f>
        <x:v>0.75</x:v>
      </x:c>
      <x:c r="AM549" s="83" t="n">
        <x:f>'Inputs'!$C$45</x:f>
        <x:v>0.5</x:v>
      </x:c>
      <x:c r="AN549" s="83" t="n">
        <x:f>'Inputs'!$D$45</x:f>
        <x:v>0.5</x:v>
      </x:c>
      <x:c r="AO549" s="81" t="n">
        <x:f>'Inputs'!$E$45</x:f>
        <x:v>-0.05</x:v>
      </x:c>
    </x:row>
    <x:row r="550">
      <x:c r="A550" s="59" t="str">
        <x:v>Weak demand</x:v>
      </x:c>
      <x:c r="B550" s="59" t="n">
        <x:v>182</x:v>
      </x:c>
      <x:c r="C550" s="78" t="n">
        <x:f>(('Inputs'!$B$29*(3*182*'Inputs'!$B$12-182^2)/(2*'Inputs'!$B$12^2))-('Inputs'!$B$29*(3*181*'Inputs'!$B$12-181^2)/(2*'Inputs'!$B$12^2)))*'Inputs'!$B$45</x:f>
        <x:v>489734.41311690956</x:v>
      </x:c>
      <x:c r="D550" s="78" t="n">
        <x:f>IF('Inputs'!$C$45&gt;0,('Inputs'!$B$30*(3*182*'Inputs'!$B$12-182^2)/(2*'Inputs'!$B$12^2))-('Inputs'!$B$30*(3*181*'Inputs'!$B$12-181^2)/(2*'Inputs'!$B$12^2)),0)</x:f>
        <x:v>279848.23606680334</x:v>
      </x:c>
      <x:c r="E550" s="78" t="n">
        <x:f>C550+D550</x:f>
        <x:v>769582.6491837129</x:v>
      </x:c>
      <x:c r="F550" s="78" t="n">
        <x:f>'Inputs'!$B$13*E550+(1-'Inputs'!$B$13)/'Inputs'!$B$14*SUM(E495:E550)</x:f>
        <x:v>778012.2325952337</x:v>
      </x:c>
      <x:c r="G550" s="78" t="n">
        <x:f>F550*'Inputs'!$F$45</x:f>
        <x:v>544608.5628166635</x:v>
      </x:c>
      <x:c r="H550" s="78" t="n">
        <x:f>U549</x:f>
        <x:v>65343934988.296364</x:v>
      </x:c>
      <x:c r="I550" s="78" t="n">
        <x:f>V549</x:f>
        <x:v>0.26018624716894684</x:v>
      </x:c>
      <x:c r="J550" s="79" t="n">
        <x:f>IF(H550&gt;0,I550/H550,0)</x:f>
        <x:v>3.981796431689465e-12</x:v>
      </x:c>
      <x:c r="K550" s="80" t="n">
        <x:f>(H550*J550+I550)*'Inputs'!$D$45*(1+'Inputs'!$G$45)^(B550/30)</x:f>
        <x:v>0.26018624716894684</x:v>
      </x:c>
      <x:c r="L550" s="80" t="n">
        <x:f>MAX(0,K550*'Inputs'!$E$45)</x:f>
        <x:v>0</x:v>
      </x:c>
      <x:c r="M550" s="80" t="n">
        <x:f>MAX(0,-K550*'Inputs'!$E$45)</x:f>
        <x:v>0.013009312358447343</x:v>
      </x:c>
      <x:c r="N550" s="78" t="n">
        <x:f>H550*(L550*(1-'Inputs'!$B$15))/(I550+L550*(1-'Inputs'!$B$15))</x:f>
        <x:v>0</x:v>
      </x:c>
      <x:c r="O550" s="78" t="n">
        <x:f>H550-N550</x:f>
        <x:v>65343934988.296364</x:v>
      </x:c>
      <x:c r="P550" s="78" t="n">
        <x:f>I550+L550*(1-'Inputs'!$B$17)</x:f>
        <x:v>0.26018624716894684</x:v>
      </x:c>
      <x:c r="Q550" s="78" t="n">
        <x:f>IF(J550&gt;0,M550/J550,0)</x:f>
        <x:v>3267196749.414819</x:v>
      </x:c>
      <x:c r="R550" s="78" t="n">
        <x:f>IF(B550='Inputs'!$H$45,'Inputs'!$B$27*'Inputs'!$I$45,0)</x:f>
        <x:v>0</x:v>
      </x:c>
      <x:c r="S550" s="78" t="n">
        <x:f>Q550+G550+R550</x:f>
        <x:v>3267741357.9776354</x:v>
      </x:c>
      <x:c r="T550" s="78" t="n">
        <x:f>P550*(S550*(1-'Inputs'!$B$15))/(O550+S550*(1-'Inputs'!$B$15))</x:f>
        <x:v>0.012273715862643919</x:v>
      </x:c>
      <x:c r="U550" s="78" t="n">
        <x:f>O550+S550*(1-'Inputs'!$B$17)</x:f>
        <x:v>68598526481.65437</x:v>
      </x:c>
      <x:c r="V550" s="78" t="n">
        <x:f>P550-T550</x:f>
        <x:v>0.24791253130630292</x:v>
      </x:c>
      <x:c r="W550" s="79" t="n">
        <x:f>IF(U550&gt;0,V550/U550,0)</x:f>
        <x:v>3.6139629234252333e-12</x:v>
      </x:c>
      <x:c r="X550" s="80" t="n">
        <x:f>W550*('Inputs'!$B$6-AC550)</x:f>
        <x:v>-0.006890377218667455</x:v>
      </x:c>
      <x:c r="Y550" s="80" t="n">
        <x:f>2*V550</x:f>
        <x:v>0.49582506261260584</x:v>
      </x:c>
      <x:c r="Z550" s="80" t="n">
        <x:f>K550*'Inputs'!$B$16+(G550+R550)*J550*'Inputs'!$B$16</x:f>
        <x:v>0.0015611304941362735</x:v>
      </x:c>
      <x:c r="AA550" s="80" t="n">
        <x:f>K550*(1+'Inputs'!$E$45)/2*'Inputs'!$B$17</x:f>
        <x:v>0.0004973378970030172</x:v>
      </x:c>
      <x:c r="AB550" s="78" t="n">
        <x:f>(IF(J550&gt;0,K550*(1-'Inputs'!$E$45)/2/J550,0)+G550+R550)*'Inputs'!$B$17</x:f>
        <x:v>138052758.46043628</x:v>
      </x:c>
      <x:c r="AC550" s="78" t="n">
        <x:f>AC549+AB550</x:f>
        <x:v>2906598757.2824655</x:v>
      </x:c>
      <x:c r="AD550" s="80" t="n">
        <x:f>Z550/(1+'Inputs'!$C$45)</x:f>
        <x:v>0.0010407536627575157</x:v>
      </x:c>
      <x:c r="AE550" s="80" t="n">
        <x:f>Z550-AD550</x:f>
        <x:v>0.0005203768313787578</x:v>
      </x:c>
      <x:c r="AF550" s="80" t="n">
        <x:f>D550*W550</x:f>
        <x:v>0.0000010113611493313794</x:v>
      </x:c>
      <x:c r="AG550" s="80" t="n">
        <x:f>C550*W550</x:f>
        <x:v>0.0000017698820113299274</x:v>
      </x:c>
      <x:c r="AH550" s="80" t="n">
        <x:f>2*'Inputs'!$B$8*'Inputs'!$C$45</x:f>
        <x:v>2500</x:v>
      </x:c>
      <x:c r="AI550" s="81" t="n">
        <x:f>IF(AH550&gt;0,(AE550+AF550)/AH550*365,0)</x:f>
        <x:v>0.00007612267610910102</x:v>
      </x:c>
      <x:c r="AJ550" s="81" t="n">
        <x:f>IF('Inputs'!$B$45&gt;0,AG550/('Inputs'!$B$19*'Inputs'!$B$45)*365,0)</x:f>
        <x:v>8.613425788472314e-8</x:v>
      </x:c>
      <x:c r="AK550" s="81" t="n">
        <x:f>W550/MAX($W$369:W550)-1</x:f>
        <x:v>-0.9999999951931285</x:v>
      </x:c>
      <x:c r="AL550" s="83" t="n">
        <x:f>'Inputs'!$B$45</x:f>
        <x:v>0.75</x:v>
      </x:c>
      <x:c r="AM550" s="83" t="n">
        <x:f>'Inputs'!$C$45</x:f>
        <x:v>0.5</x:v>
      </x:c>
      <x:c r="AN550" s="83" t="n">
        <x:f>'Inputs'!$D$45</x:f>
        <x:v>0.5</x:v>
      </x:c>
      <x:c r="AO550" s="81" t="n">
        <x:f>'Inputs'!$E$45</x:f>
        <x:v>-0.05</x:v>
      </x:c>
    </x:row>
    <x:row r="551">
      <x:c r="A551" s="59" t="str">
        <x:v>Weak demand</x:v>
      </x:c>
      <x:c r="B551" s="59" t="n">
        <x:v>183</x:v>
      </x:c>
      <x:c r="C551" s="78" t="n">
        <x:f>(('Inputs'!$B$29*(3*183*'Inputs'!$B$12-183^2)/(2*'Inputs'!$B$12^2))-('Inputs'!$B$29*(3*182*'Inputs'!$B$12-182^2)/(2*'Inputs'!$B$12^2)))*'Inputs'!$B$45</x:f>
        <x:v>489490.5821917802</x:v>
      </x:c>
      <x:c r="D551" s="78" t="n">
        <x:f>IF('Inputs'!$C$45&gt;0,('Inputs'!$B$30*(3*183*'Inputs'!$B$12-183^2)/(2*'Inputs'!$B$12^2))-('Inputs'!$B$30*(3*182*'Inputs'!$B$12-182^2)/(2*'Inputs'!$B$12^2)),0)</x:f>
        <x:v>279708.90410958976</x:v>
      </x:c>
      <x:c r="E551" s="78" t="n">
        <x:f>C551+D551</x:f>
        <x:v>769199.48630137</x:v>
      </x:c>
      <x:c r="F551" s="78" t="n">
        <x:f>'Inputs'!$B$13*E551+(1-'Inputs'!$B$13)/'Inputs'!$B$14*SUM(E496:E551)</x:f>
        <x:v>777629.0697128918</x:v>
      </x:c>
      <x:c r="G551" s="78" t="n">
        <x:f>F551*'Inputs'!$F$45</x:f>
        <x:v>544340.3487990242</x:v>
      </x:c>
      <x:c r="H551" s="78" t="n">
        <x:f>U550</x:f>
        <x:v>68598526481.65437</x:v>
      </x:c>
      <x:c r="I551" s="78" t="n">
        <x:f>V550</x:f>
        <x:v>0.24791253130630292</x:v>
      </x:c>
      <x:c r="J551" s="79" t="n">
        <x:f>IF(H551&gt;0,I551/H551,0)</x:f>
        <x:v>3.6139629234252333e-12</x:v>
      </x:c>
      <x:c r="K551" s="80" t="n">
        <x:f>(H551*J551+I551)*'Inputs'!$D$45*(1+'Inputs'!$G$45)^(B551/30)</x:f>
        <x:v>0.24791253130630292</x:v>
      </x:c>
      <x:c r="L551" s="80" t="n">
        <x:f>MAX(0,K551*'Inputs'!$E$45)</x:f>
        <x:v>0</x:v>
      </x:c>
      <x:c r="M551" s="80" t="n">
        <x:f>MAX(0,-K551*'Inputs'!$E$45)</x:f>
        <x:v>0.012395626565315147</x:v>
      </x:c>
      <x:c r="N551" s="78" t="n">
        <x:f>H551*(L551*(1-'Inputs'!$B$15))/(I551+L551*(1-'Inputs'!$B$15))</x:f>
        <x:v>0</x:v>
      </x:c>
      <x:c r="O551" s="78" t="n">
        <x:f>H551-N551</x:f>
        <x:v>68598526481.65437</x:v>
      </x:c>
      <x:c r="P551" s="78" t="n">
        <x:f>I551+L551*(1-'Inputs'!$B$17)</x:f>
        <x:v>0.24791253130630292</x:v>
      </x:c>
      <x:c r="Q551" s="78" t="n">
        <x:f>IF(J551&gt;0,M551/J551,0)</x:f>
        <x:v>3429926324.082719</x:v>
      </x:c>
      <x:c r="R551" s="78" t="n">
        <x:f>IF(B551='Inputs'!$H$45,'Inputs'!$B$27*'Inputs'!$I$45,0)</x:f>
        <x:v>0</x:v>
      </x:c>
      <x:c r="S551" s="78" t="n">
        <x:f>Q551+G551+R551</x:f>
        <x:v>3430470664.431518</x:v>
      </x:c>
      <x:c r="T551" s="78" t="n">
        <x:f>P551*(S551*(1-'Inputs'!$B$15))/(O551+S551*(1-'Inputs'!$B$15))</x:f>
        <x:v>0.011694641240943271</x:v>
      </x:c>
      <x:c r="U551" s="78" t="n">
        <x:f>O551+S551*(1-'Inputs'!$B$17)</x:f>
        <x:v>72015192435.16263</x:v>
      </x:c>
      <x:c r="V551" s="78" t="n">
        <x:f>P551-T551</x:f>
        <x:v>0.23621789006535965</x:v>
      </x:c>
      <x:c r="W551" s="79" t="n">
        <x:f>IF(U551&gt;0,V551/U551,0)</x:f>
        <x:v>3.2801119052487915e-12</x:v>
      </x:c>
      <x:c r="X551" s="80" t="n">
        <x:f>W551*('Inputs'!$B$6-AC551)</x:f>
        <x:v>-0.0067292394886514385</x:v>
      </x:c>
      <x:c r="Y551" s="80" t="n">
        <x:f>2*V551</x:f>
        <x:v>0.4724357801307193</x:v>
      </x:c>
      <x:c r="Z551" s="80" t="n">
        <x:f>K551*'Inputs'!$B$16+(G551+R551)*J551*'Inputs'!$B$16</x:f>
        <x:v>0.0014874869911928473</x:v>
      </x:c>
      <x:c r="AA551" s="80" t="n">
        <x:f>K551*(1+'Inputs'!$E$45)/2*'Inputs'!$B$17</x:f>
        <x:v>0.0004738770719134563</x:v>
      </x:c>
      <x:c r="AB551" s="78" t="n">
        <x:f>(IF(J551&gt;0,K551*(1-'Inputs'!$E$45)/2/J551,0)+G551+R551)*'Inputs'!$B$17</x:f>
        <x:v>144928654.90228313</x:v>
      </x:c>
      <x:c r="AC551" s="78" t="n">
        <x:f>AC550+AB551</x:f>
        <x:v>3051527412.1847486</x:v>
      </x:c>
      <x:c r="AD551" s="80" t="n">
        <x:f>Z551/(1+'Inputs'!$C$45)</x:f>
        <x:v>0.0009916579941285648</x:v>
      </x:c>
      <x:c r="AE551" s="80" t="n">
        <x:f>Z551-AD551</x:f>
        <x:v>0.0004958289970642825</x:v>
      </x:c>
      <x:c r="AF551" s="80" t="n">
        <x:f>D551*W551</x:f>
        <x:v>9.17476506373958e-7</x:v>
      </x:c>
      <x:c r="AG551" s="80" t="n">
        <x:f>C551*W551</x:f>
        <x:v>0.0000016055838861544204</x:v>
      </x:c>
      <x:c r="AH551" s="80" t="n">
        <x:f>2*'Inputs'!$B$8*'Inputs'!$C$45</x:f>
        <x:v>2500</x:v>
      </x:c>
      <x:c r="AI551" s="81" t="n">
        <x:f>IF(AH551&gt;0,(AE551+AF551)/AH551*365,0)</x:f>
        <x:v>0.00007252498514131585</x:v>
      </x:c>
      <x:c r="AJ551" s="81" t="n">
        <x:f>IF('Inputs'!$B$45&gt;0,AG551/('Inputs'!$B$19*'Inputs'!$B$45)*365,0)</x:f>
        <x:v>7.813841579284845e-8</x:v>
      </x:c>
      <x:c r="AK551" s="81" t="n">
        <x:f>W551/MAX($W$369:W551)-1</x:f>
        <x:v>-0.9999999956371781</x:v>
      </x:c>
      <x:c r="AL551" s="83" t="n">
        <x:f>'Inputs'!$B$45</x:f>
        <x:v>0.75</x:v>
      </x:c>
      <x:c r="AM551" s="83" t="n">
        <x:f>'Inputs'!$C$45</x:f>
        <x:v>0.5</x:v>
      </x:c>
      <x:c r="AN551" s="83" t="n">
        <x:f>'Inputs'!$D$45</x:f>
        <x:v>0.5</x:v>
      </x:c>
      <x:c r="AO551" s="81" t="n">
        <x:f>'Inputs'!$E$45</x:f>
        <x:v>-0.05</x:v>
      </x:c>
    </x:row>
    <x:row r="552">
      <x:c r="A552" s="59" t="str">
        <x:v>Weak demand</x:v>
      </x:c>
      <x:c r="B552" s="59" t="n">
        <x:v>184</x:v>
      </x:c>
      <x:c r="C552" s="78" t="n">
        <x:f>(('Inputs'!$B$29*(3*184*'Inputs'!$B$12-184^2)/(2*'Inputs'!$B$12^2))-('Inputs'!$B$29*(3*183*'Inputs'!$B$12-183^2)/(2*'Inputs'!$B$12^2)))*'Inputs'!$B$45</x:f>
        <x:v>489246.75126665086</x:v>
      </x:c>
      <x:c r="D552" s="78" t="n">
        <x:f>IF('Inputs'!$C$45&gt;0,('Inputs'!$B$30*(3*184*'Inputs'!$B$12-184^2)/(2*'Inputs'!$B$12^2))-('Inputs'!$B$30*(3*183*'Inputs'!$B$12-183^2)/(2*'Inputs'!$B$12^2)),0)</x:f>
        <x:v>279569.5721523687</x:v>
      </x:c>
      <x:c r="E552" s="78" t="n">
        <x:f>C552+D552</x:f>
        <x:v>768816.3234190196</x:v>
      </x:c>
      <x:c r="F552" s="78" t="n">
        <x:f>'Inputs'!$B$13*E552+(1-'Inputs'!$B$13)/'Inputs'!$B$14*SUM(E497:E552)</x:f>
        <x:v>777245.906830548</x:v>
      </x:c>
      <x:c r="G552" s="78" t="n">
        <x:f>F552*'Inputs'!$F$45</x:f>
        <x:v>544072.1347813836</x:v>
      </x:c>
      <x:c r="H552" s="78" t="n">
        <x:f>U551</x:f>
        <x:v>72015192435.16263</x:v>
      </x:c>
      <x:c r="I552" s="78" t="n">
        <x:f>V551</x:f>
        <x:v>0.23621789006535965</x:v>
      </x:c>
      <x:c r="J552" s="79" t="n">
        <x:f>IF(H552&gt;0,I552/H552,0)</x:f>
        <x:v>3.2801119052487915e-12</x:v>
      </x:c>
      <x:c r="K552" s="80" t="n">
        <x:f>(H552*J552+I552)*'Inputs'!$D$45*(1+'Inputs'!$G$45)^(B552/30)</x:f>
        <x:v>0.23621789006535965</x:v>
      </x:c>
      <x:c r="L552" s="80" t="n">
        <x:f>MAX(0,K552*'Inputs'!$E$45)</x:f>
        <x:v>0</x:v>
      </x:c>
      <x:c r="M552" s="80" t="n">
        <x:f>MAX(0,-K552*'Inputs'!$E$45)</x:f>
        <x:v>0.011810894503267983</x:v>
      </x:c>
      <x:c r="N552" s="78" t="n">
        <x:f>H552*(L552*(1-'Inputs'!$B$15))/(I552+L552*(1-'Inputs'!$B$15))</x:f>
        <x:v>0</x:v>
      </x:c>
      <x:c r="O552" s="78" t="n">
        <x:f>H552-N552</x:f>
        <x:v>72015192435.16263</x:v>
      </x:c>
      <x:c r="P552" s="78" t="n">
        <x:f>I552+L552*(1-'Inputs'!$B$17)</x:f>
        <x:v>0.23621789006535965</x:v>
      </x:c>
      <x:c r="Q552" s="78" t="n">
        <x:f>IF(J552&gt;0,M552/J552,0)</x:f>
        <x:v>3600759621.758132</x:v>
      </x:c>
      <x:c r="R552" s="78" t="n">
        <x:f>IF(B552='Inputs'!$H$45,'Inputs'!$B$27*'Inputs'!$I$45,0)</x:f>
        <x:v>0</x:v>
      </x:c>
      <x:c r="S552" s="78" t="n">
        <x:f>Q552+G552+R552</x:f>
        <x:v>3601303693.8929133</x:v>
      </x:c>
      <x:c r="T552" s="78" t="n">
        <x:f>P552*(S552*(1-'Inputs'!$B$15))/(O552+S552*(1-'Inputs'!$B$15))</x:f>
        <x:v>0.011142895652426096</x:v>
      </x:c>
      <x:c r="U552" s="78" t="n">
        <x:f>O552+S552*(1-'Inputs'!$B$17)</x:f>
        <x:v>75602003961.27327</x:v>
      </x:c>
      <x:c r="V552" s="78" t="n">
        <x:f>P552-T552</x:f>
        <x:v>0.22507499441293355</x:v>
      </x:c>
      <x:c r="W552" s="79" t="n">
        <x:f>IF(U552&gt;0,V552/U552,0)</x:f>
        <x:v>2.9771035504326978e-12</x:v>
      </x:c>
      <x:c r="X552" s="80" t="n">
        <x:f>W552*('Inputs'!$B$6-AC552)</x:f>
        <x:v>-0.006560566803905251</x:v>
      </x:c>
      <x:c r="Y552" s="80" t="n">
        <x:f>2*V552</x:f>
        <x:v>0.4501499888258671</x:v>
      </x:c>
      <x:c r="Z552" s="80" t="n">
        <x:f>K552*'Inputs'!$B$16+(G552+R552)*J552*'Inputs'!$B$16</x:f>
        <x:v>0.0014173180480970774</x:v>
      </x:c>
      <x:c r="AA552" s="80" t="n">
        <x:f>K552*(1+'Inputs'!$E$45)/2*'Inputs'!$B$17</x:f>
        <x:v>0.00045152312990360497</x:v>
      </x:c>
      <x:c r="AB552" s="78" t="n">
        <x:f>(IF(J552&gt;0,K552*(1-'Inputs'!$E$45)/2/J552,0)+G552+R552)*'Inputs'!$B$17</x:f>
        <x:v>152146962.17543325</x:v>
      </x:c>
      <x:c r="AC552" s="78" t="n">
        <x:f>AC551+AB552</x:f>
        <x:v>3203674374.360182</x:v>
      </x:c>
      <x:c r="AD552" s="80" t="n">
        <x:f>Z552/(1+'Inputs'!$C$45)</x:f>
        <x:v>0.0009448786987313849</x:v>
      </x:c>
      <x:c r="AE552" s="80" t="n">
        <x:f>Z552-AD552</x:f>
        <x:v>0.00047243934936569247</x:v>
      </x:c>
      <x:c r="AF552" s="80" t="n">
        <x:f>D552*W552</x:f>
        <x:v>8.323075658477672e-7</x:v>
      </x:c>
      <x:c r="AG552" s="80" t="n">
        <x:f>C552*W552</x:f>
        <x:v>0.0000014565382402336093</x:v>
      </x:c>
      <x:c r="AH552" s="80" t="n">
        <x:f>2*'Inputs'!$B$8*'Inputs'!$C$45</x:f>
        <x:v>2500</x:v>
      </x:c>
      <x:c r="AI552" s="81" t="n">
        <x:f>IF(AH552&gt;0,(AE552+AF552)/AH552*365,0)</x:f>
        <x:v>0.00006909766191200488</x:v>
      </x:c>
      <x:c r="AJ552" s="81" t="n">
        <x:f>IF('Inputs'!$B$45&gt;0,AG552/('Inputs'!$B$19*'Inputs'!$B$45)*365,0)</x:f>
        <x:v>7.088486102470231e-8</x:v>
      </x:c>
      <x:c r="AK552" s="81" t="n">
        <x:f>W552/MAX($W$369:W552)-1</x:f>
        <x:v>-0.9999999960402045</x:v>
      </x:c>
      <x:c r="AL552" s="83" t="n">
        <x:f>'Inputs'!$B$45</x:f>
        <x:v>0.75</x:v>
      </x:c>
      <x:c r="AM552" s="83" t="n">
        <x:f>'Inputs'!$C$45</x:f>
        <x:v>0.5</x:v>
      </x:c>
      <x:c r="AN552" s="83" t="n">
        <x:f>'Inputs'!$D$45</x:f>
        <x:v>0.5</x:v>
      </x:c>
      <x:c r="AO552" s="81" t="n">
        <x:f>'Inputs'!$E$45</x:f>
        <x:v>-0.05</x:v>
      </x:c>
    </x:row>
    <x:row r="553">
      <x:c r="A553" s="59" t="str">
        <x:v>Weak demand</x:v>
      </x:c>
      <x:c r="B553" s="59" t="n">
        <x:v>185</x:v>
      </x:c>
      <x:c r="C553" s="78" t="n">
        <x:f>(('Inputs'!$B$29*(3*185*'Inputs'!$B$12-185^2)/(2*'Inputs'!$B$12^2))-('Inputs'!$B$29*(3*184*'Inputs'!$B$12-184^2)/(2*'Inputs'!$B$12^2)))*'Inputs'!$B$45</x:f>
        <x:v>489002.9203415327</x:v>
      </x:c>
      <x:c r="D553" s="78" t="n">
        <x:f>IF('Inputs'!$C$45&gt;0,('Inputs'!$B$30*(3*185*'Inputs'!$B$12-185^2)/(2*'Inputs'!$B$12^2))-('Inputs'!$B$30*(3*184*'Inputs'!$B$12-184^2)/(2*'Inputs'!$B$12^2)),0)</x:f>
        <x:v>279430.2401951626</x:v>
      </x:c>
      <x:c r="E553" s="78" t="n">
        <x:f>C553+D553</x:f>
        <x:v>768433.1605366953</x:v>
      </x:c>
      <x:c r="F553" s="78" t="n">
        <x:f>'Inputs'!$B$13*E553+(1-'Inputs'!$B$13)/'Inputs'!$B$14*SUM(E498:E553)</x:f>
        <x:v>776862.7439482097</x:v>
      </x:c>
      <x:c r="G553" s="78" t="n">
        <x:f>F553*'Inputs'!$F$45</x:f>
        <x:v>543803.9207637467</x:v>
      </x:c>
      <x:c r="H553" s="78" t="n">
        <x:f>U552</x:f>
        <x:v>75602003961.27327</x:v>
      </x:c>
      <x:c r="I553" s="78" t="n">
        <x:f>V552</x:f>
        <x:v>0.22507499441293355</x:v>
      </x:c>
      <x:c r="J553" s="79" t="n">
        <x:f>IF(H553&gt;0,I553/H553,0)</x:f>
        <x:v>2.9771035504326978e-12</x:v>
      </x:c>
      <x:c r="K553" s="80" t="n">
        <x:f>(H553*J553+I553)*'Inputs'!$D$45*(1+'Inputs'!$G$45)^(B553/30)</x:f>
        <x:v>0.22507499441293355</x:v>
      </x:c>
      <x:c r="L553" s="80" t="n">
        <x:f>MAX(0,K553*'Inputs'!$E$45)</x:f>
        <x:v>0</x:v>
      </x:c>
      <x:c r="M553" s="80" t="n">
        <x:f>MAX(0,-K553*'Inputs'!$E$45)</x:f>
        <x:v>0.011253749720646678</x:v>
      </x:c>
      <x:c r="N553" s="78" t="n">
        <x:f>H553*(L553*(1-'Inputs'!$B$15))/(I553+L553*(1-'Inputs'!$B$15))</x:f>
        <x:v>0</x:v>
      </x:c>
      <x:c r="O553" s="78" t="n">
        <x:f>H553-N553</x:f>
        <x:v>75602003961.27327</x:v>
      </x:c>
      <x:c r="P553" s="78" t="n">
        <x:f>I553+L553*(1-'Inputs'!$B$17)</x:f>
        <x:v>0.22507499441293355</x:v>
      </x:c>
      <x:c r="Q553" s="78" t="n">
        <x:f>IF(J553&gt;0,M553/J553,0)</x:f>
        <x:v>3780100198.063664</x:v>
      </x:c>
      <x:c r="R553" s="78" t="n">
        <x:f>IF(B553='Inputs'!$H$45,'Inputs'!$B$27*'Inputs'!$I$45,0)</x:f>
        <x:v>0</x:v>
      </x:c>
      <x:c r="S553" s="78" t="n">
        <x:f>Q553+G553+R553</x:f>
        <x:v>3780644001.984428</x:v>
      </x:c>
      <x:c r="T553" s="78" t="n">
        <x:f>P553*(S553*(1-'Inputs'!$B$15))/(O553+S553*(1-'Inputs'!$B$15))</x:f>
        <x:v>0.010617188555364065</x:v>
      </x:c>
      <x:c r="U553" s="78" t="n">
        <x:f>O553+S553*(1-'Inputs'!$B$17)</x:f>
        <x:v>79367434104.09479</x:v>
      </x:c>
      <x:c r="V553" s="78" t="n">
        <x:f>P553-T553</x:f>
        <x:v>0.2144578058575695</x:v>
      </x:c>
      <x:c r="W553" s="79" t="n">
        <x:f>IF(U553&gt;0,V553/U553,0)</x:f>
        <x:v>2.702088183628265e-12</x:v>
      </x:c>
      <x:c r="X553" s="80" t="n">
        <x:f>W553*('Inputs'!$B$6-AC553)</x:f>
        <x:v>-0.006386112798293256</x:v>
      </x:c>
      <x:c r="Y553" s="80" t="n">
        <x:f>2*V553</x:f>
        <x:v>0.428915611715139</x:v>
      </x:c>
      <x:c r="Z553" s="80" t="n">
        <x:f>K553*'Inputs'!$B$16+(G553+R553)*J553*'Inputs'!$B$16</x:f>
        <x:v>0.001350459680241101</x:v>
      </x:c>
      <x:c r="AA553" s="80" t="n">
        <x:f>K553*(1+'Inputs'!$E$45)/2*'Inputs'!$B$17</x:f>
        <x:v>0.0004302238323788468</x:v>
      </x:c>
      <x:c r="AB553" s="78" t="n">
        <x:f>(IF(J553&gt;0,K553*(1-'Inputs'!$E$45)/2/J553,0)+G553+R553)*'Inputs'!$B$17</x:f>
        <x:v>159724731.9259124</x:v>
      </x:c>
      <x:c r="AC553" s="78" t="n">
        <x:f>AC552+AB553</x:f>
        <x:v>3363399106.286094</x:v>
      </x:c>
      <x:c r="AD553" s="80" t="n">
        <x:f>Z553/(1+'Inputs'!$C$45)</x:f>
        <x:v>0.0009003064534940673</x:v>
      </x:c>
      <x:c r="AE553" s="80" t="n">
        <x:f>Z553-AD553</x:f>
        <x:v>0.0004501532267470336</x:v>
      </x:c>
      <x:c r="AF553" s="80" t="n">
        <x:f>D553*W553</x:f>
        <x:v>7.550451501797567e-7</x:v>
      </x:c>
      <x:c r="AG553" s="80" t="n">
        <x:f>C553*W553</x:f>
        <x:v>0.000001321329012814569</x:v>
      </x:c>
      <x:c r="AH553" s="80" t="n">
        <x:f>2*'Inputs'!$B$8*'Inputs'!$C$45</x:f>
        <x:v>2500</x:v>
      </x:c>
      <x:c r="AI553" s="81" t="n">
        <x:f>IF(AH553&gt;0,(AE553+AF553)/AH553*365,0)</x:f>
        <x:v>0.00006583260769699315</x:v>
      </x:c>
      <x:c r="AJ553" s="81" t="n">
        <x:f>IF('Inputs'!$B$45&gt;0,AG553/('Inputs'!$B$19*'Inputs'!$B$45)*365,0)</x:f>
        <x:v>6.430467862364237e-8</x:v>
      </x:c>
      <x:c r="AK553" s="81" t="n">
        <x:f>W553/MAX($W$369:W553)-1</x:f>
        <x:v>-0.9999999964059978</x:v>
      </x:c>
      <x:c r="AL553" s="83" t="n">
        <x:f>'Inputs'!$B$45</x:f>
        <x:v>0.75</x:v>
      </x:c>
      <x:c r="AM553" s="83" t="n">
        <x:f>'Inputs'!$C$45</x:f>
        <x:v>0.5</x:v>
      </x:c>
      <x:c r="AN553" s="83" t="n">
        <x:f>'Inputs'!$D$45</x:f>
        <x:v>0.5</x:v>
      </x:c>
      <x:c r="AO553" s="81" t="n">
        <x:f>'Inputs'!$E$45</x:f>
        <x:v>-0.05</x:v>
      </x:c>
    </x:row>
    <x:row r="554">
      <x:c r="A554" s="59" t="str">
        <x:v>Weak demand</x:v>
      </x:c>
      <x:c r="B554" s="59" t="n">
        <x:v>186</x:v>
      </x:c>
      <x:c r="C554" s="78" t="n">
        <x:f>(('Inputs'!$B$29*(3*186*'Inputs'!$B$12-186^2)/(2*'Inputs'!$B$12^2))-('Inputs'!$B$29*(3*185*'Inputs'!$B$12-185^2)/(2*'Inputs'!$B$12^2)))*'Inputs'!$B$45</x:f>
        <x:v>488759.08941639215</x:v>
      </x:c>
      <x:c r="D554" s="78" t="n">
        <x:f>IF('Inputs'!$C$45&gt;0,('Inputs'!$B$30*(3*186*'Inputs'!$B$12-186^2)/(2*'Inputs'!$B$12^2))-('Inputs'!$B$30*(3*185*'Inputs'!$B$12-185^2)/(2*'Inputs'!$B$12^2)),0)</x:f>
        <x:v>279290.90823794156</x:v>
      </x:c>
      <x:c r="E554" s="78" t="n">
        <x:f>C554+D554</x:f>
        <x:v>768049.9976543337</x:v>
      </x:c>
      <x:c r="F554" s="78" t="n">
        <x:f>'Inputs'!$B$13*E554+(1-'Inputs'!$B$13)/'Inputs'!$B$14*SUM(E499:E554)</x:f>
        <x:v>776479.5810658638</x:v>
      </x:c>
      <x:c r="G554" s="78" t="n">
        <x:f>F554*'Inputs'!$F$45</x:f>
        <x:v>543535.7067461046</x:v>
      </x:c>
      <x:c r="H554" s="78" t="n">
        <x:f>U553</x:f>
        <x:v>79367434104.09479</x:v>
      </x:c>
      <x:c r="I554" s="78" t="n">
        <x:f>V553</x:f>
        <x:v>0.2144578058575695</x:v>
      </x:c>
      <x:c r="J554" s="79" t="n">
        <x:f>IF(H554&gt;0,I554/H554,0)</x:f>
        <x:v>2.702088183628265e-12</x:v>
      </x:c>
      <x:c r="K554" s="80" t="n">
        <x:f>(H554*J554+I554)*'Inputs'!$D$45*(1+'Inputs'!$G$45)^(B554/30)</x:f>
        <x:v>0.2144578058575695</x:v>
      </x:c>
      <x:c r="L554" s="80" t="n">
        <x:f>MAX(0,K554*'Inputs'!$E$45)</x:f>
        <x:v>0</x:v>
      </x:c>
      <x:c r="M554" s="80" t="n">
        <x:f>MAX(0,-K554*'Inputs'!$E$45)</x:f>
        <x:v>0.010722890292878475</x:v>
      </x:c>
      <x:c r="N554" s="78" t="n">
        <x:f>H554*(L554*(1-'Inputs'!$B$15))/(I554+L554*(1-'Inputs'!$B$15))</x:f>
        <x:v>0</x:v>
      </x:c>
      <x:c r="O554" s="78" t="n">
        <x:f>H554-N554</x:f>
        <x:v>79367434104.09479</x:v>
      </x:c>
      <x:c r="P554" s="78" t="n">
        <x:f>I554+L554*(1-'Inputs'!$B$17)</x:f>
        <x:v>0.2144578058575695</x:v>
      </x:c>
      <x:c r="Q554" s="78" t="n">
        <x:f>IF(J554&gt;0,M554/J554,0)</x:f>
        <x:v>3968371705.20474</x:v>
      </x:c>
      <x:c r="R554" s="78" t="n">
        <x:f>IF(B554='Inputs'!$H$45,'Inputs'!$B$27*'Inputs'!$I$45,0)</x:f>
        <x:v>0</x:v>
      </x:c>
      <x:c r="S554" s="78" t="n">
        <x:f>Q554+G554+R554</x:f>
        <x:v>3968915240.911486</x:v>
      </x:c>
      <x:c r="T554" s="78" t="n">
        <x:f>P554*(S554*(1-'Inputs'!$B$15))/(O554+S554*(1-'Inputs'!$B$15))</x:f>
        <x:v>0.010116290421610783</x:v>
      </x:c>
      <x:c r="U554" s="78" t="n">
        <x:f>O554+S554*(1-'Inputs'!$B$17)</x:f>
        <x:v>83320377855.10321</x:v>
      </x:c>
      <x:c r="V554" s="78" t="n">
        <x:f>P554-T554</x:f>
        <x:v>0.20434151543595871</x:v>
      </x:c>
      <x:c r="W554" s="79" t="n">
        <x:f>IF(U554&gt;0,V554/U554,0)</x:f>
        <x:v>2.4524794617628247e-12</x:v>
      </x:c>
      <x:c r="X554" s="80" t="n">
        <x:f>W554*('Inputs'!$B$6-AC554)</x:f>
        <x:v>-0.006207419193059079</x:v>
      </x:c>
      <x:c r="Y554" s="80" t="n">
        <x:f>2*V554</x:f>
        <x:v>0.40868303087191743</x:v>
      </x:c>
      <x:c r="Z554" s="80" t="n">
        <x:f>K554*'Inputs'!$B$16+(G554+R554)*J554*'Inputs'!$B$16</x:f>
        <x:v>0.0012867556472338803</x:v>
      </x:c>
      <x:c r="AA554" s="80" t="n">
        <x:f>K554*(1+'Inputs'!$E$45)/2*'Inputs'!$B$17</x:f>
        <x:v>0.00040992940757483105</x:v>
      </x:c>
      <x:c r="AB554" s="78" t="n">
        <x:f>(IF(J554&gt;0,K554*(1-'Inputs'!$E$45)/2/J554,0)+G554+R554)*'Inputs'!$B$17</x:f>
        <x:v>167679864.95113286</x:v>
      </x:c>
      <x:c r="AC554" s="78" t="n">
        <x:f>AC553+AB554</x:f>
        <x:v>3531078971.237227</x:v>
      </x:c>
      <x:c r="AD554" s="80" t="n">
        <x:f>Z554/(1+'Inputs'!$C$45)</x:f>
        <x:v>0.0008578370981559202</x:v>
      </x:c>
      <x:c r="AE554" s="80" t="n">
        <x:f>Z554-AD554</x:f>
        <x:v>0.0004289185490779601</x:v>
      </x:c>
      <x:c r="AF554" s="80" t="n">
        <x:f>D554*W554</x:f>
        <x:v>6.849552163106373e-7</x:v>
      </x:c>
      <x:c r="AG554" s="80" t="n">
        <x:f>C554*W554</x:f>
        <x:v>0.0000011986716285436017</x:v>
      </x:c>
      <x:c r="AH554" s="80" t="n">
        <x:f>2*'Inputs'!$B$8*'Inputs'!$C$45</x:f>
        <x:v>2500</x:v>
      </x:c>
      <x:c r="AI554" s="81" t="n">
        <x:f>IF(AH554&gt;0,(AE554+AF554)/AH554*365,0)</x:f>
        <x:v>0.00006272211162696353</x:v>
      </x:c>
      <x:c r="AJ554" s="81" t="n">
        <x:f>IF('Inputs'!$B$45&gt;0,AG554/('Inputs'!$B$19*'Inputs'!$B$45)*365,0)</x:f>
        <x:v>5.833535258912194e-8</x:v>
      </x:c>
      <x:c r="AK554" s="81" t="n">
        <x:f>W554/MAX($W$369:W554)-1</x:f>
        <x:v>-0.9999999967379982</x:v>
      </x:c>
      <x:c r="AL554" s="83" t="n">
        <x:f>'Inputs'!$B$45</x:f>
        <x:v>0.75</x:v>
      </x:c>
      <x:c r="AM554" s="83" t="n">
        <x:f>'Inputs'!$C$45</x:f>
        <x:v>0.5</x:v>
      </x:c>
      <x:c r="AN554" s="83" t="n">
        <x:f>'Inputs'!$D$45</x:f>
        <x:v>0.5</x:v>
      </x:c>
      <x:c r="AO554" s="81" t="n">
        <x:f>'Inputs'!$E$45</x:f>
        <x:v>-0.05</x:v>
      </x:c>
    </x:row>
    <x:row r="555">
      <x:c r="A555" s="59" t="str">
        <x:v>Weak demand</x:v>
      </x:c>
      <x:c r="B555" s="59" t="n">
        <x:v>187</x:v>
      </x:c>
      <x:c r="C555" s="78" t="n">
        <x:f>(('Inputs'!$B$29*(3*187*'Inputs'!$B$12-187^2)/(2*'Inputs'!$B$12^2))-('Inputs'!$B$29*(3*186*'Inputs'!$B$12-186^2)/(2*'Inputs'!$B$12^2)))*'Inputs'!$B$45</x:f>
        <x:v>488515.25849127397</x:v>
      </x:c>
      <x:c r="D555" s="78" t="n">
        <x:f>IF('Inputs'!$C$45&gt;0,('Inputs'!$B$30*(3*187*'Inputs'!$B$12-187^2)/(2*'Inputs'!$B$12^2))-('Inputs'!$B$30*(3*186*'Inputs'!$B$12-186^2)/(2*'Inputs'!$B$12^2)),0)</x:f>
        <x:v>279151.576280728</x:v>
      </x:c>
      <x:c r="E555" s="78" t="n">
        <x:f>C555+D555</x:f>
        <x:v>767666.834772002</x:v>
      </x:c>
      <x:c r="F555" s="78" t="n">
        <x:f>'Inputs'!$B$13*E555+(1-'Inputs'!$B$13)/'Inputs'!$B$14*SUM(E500:E555)</x:f>
        <x:v>776096.418183524</x:v>
      </x:c>
      <x:c r="G555" s="78" t="n">
        <x:f>F555*'Inputs'!$F$45</x:f>
        <x:v>543267.4927284668</x:v>
      </x:c>
      <x:c r="H555" s="78" t="n">
        <x:f>U554</x:f>
        <x:v>83320377855.10321</x:v>
      </x:c>
      <x:c r="I555" s="78" t="n">
        <x:f>V554</x:f>
        <x:v>0.20434151543595871</x:v>
      </x:c>
      <x:c r="J555" s="79" t="n">
        <x:f>IF(H555&gt;0,I555/H555,0)</x:f>
        <x:v>2.4524794617628247e-12</x:v>
      </x:c>
      <x:c r="K555" s="80" t="n">
        <x:f>(H555*J555+I555)*'Inputs'!$D$45*(1+'Inputs'!$G$45)^(B555/30)</x:f>
        <x:v>0.20434151543595871</x:v>
      </x:c>
      <x:c r="L555" s="80" t="n">
        <x:f>MAX(0,K555*'Inputs'!$E$45)</x:f>
        <x:v>0</x:v>
      </x:c>
      <x:c r="M555" s="80" t="n">
        <x:f>MAX(0,-K555*'Inputs'!$E$45)</x:f>
        <x:v>0.010217075771797937</x:v>
      </x:c>
      <x:c r="N555" s="78" t="n">
        <x:f>H555*(L555*(1-'Inputs'!$B$15))/(I555+L555*(1-'Inputs'!$B$15))</x:f>
        <x:v>0</x:v>
      </x:c>
      <x:c r="O555" s="78" t="n">
        <x:f>H555-N555</x:f>
        <x:v>83320377855.10321</x:v>
      </x:c>
      <x:c r="P555" s="78" t="n">
        <x:f>I555+L555*(1-'Inputs'!$B$17)</x:f>
        <x:v>0.20434151543595871</x:v>
      </x:c>
      <x:c r="Q555" s="78" t="n">
        <x:f>IF(J555&gt;0,M555/J555,0)</x:f>
        <x:v>4166018892.7551613</x:v>
      </x:c>
      <x:c r="R555" s="78" t="n">
        <x:f>IF(B555='Inputs'!$H$45,'Inputs'!$B$27*'Inputs'!$I$45,0)</x:f>
        <x:v>0</x:v>
      </x:c>
      <x:c r="S555" s="78" t="n">
        <x:f>Q555+G555+R555</x:f>
        <x:v>4166562160.2478895</x:v>
      </x:c>
      <x:c r="T555" s="78" t="n">
        <x:f>P555*(S555*(1-'Inputs'!$B$15))/(O555+S555*(1-'Inputs'!$B$15))</x:f>
        <x:v>0.009639029845432117</x:v>
      </x:c>
      <x:c r="U555" s="78" t="n">
        <x:f>O555+S555*(1-'Inputs'!$B$17)</x:f>
        <x:v>87470173165.61168</x:v>
      </x:c>
      <x:c r="V555" s="78" t="n">
        <x:f>P555-T555</x:f>
        <x:v>0.1947024855905266</x:v>
      </x:c>
      <x:c r="W555" s="79" t="n">
        <x:f>IF(U555&gt;0,V555/U555,0)</x:f>
        <x:v>2.2259300347089355e-12</x:v>
      </x:c>
      <x:c r="X555" s="80" t="n">
        <x:f>W555*('Inputs'!$B$6-AC555)</x:f>
        <x:v>-0.006025837733887436</x:v>
      </x:c>
      <x:c r="Y555" s="80" t="n">
        <x:f>2*V555</x:f>
        <x:v>0.3894049711810532</x:v>
      </x:c>
      <x:c r="Z555" s="80" t="n">
        <x:f>K555*'Inputs'!$B$16+(G555+R555)*J555*'Inputs'!$B$16</x:f>
        <x:v>0.0012260570867299613</x:v>
      </x:c>
      <x:c r="AA555" s="80" t="n">
        <x:f>K555*(1+'Inputs'!$E$45)/2*'Inputs'!$B$17</x:f>
        <x:v>0.000390592433931913</x:v>
      </x:c>
      <x:c r="AB555" s="78" t="n">
        <x:f>(IF(J555&gt;0,K555*(1-'Inputs'!$E$45)/2/J555,0)+G555+R555)*'Inputs'!$B$17</x:f>
        <x:v>176031153.48660734</x:v>
      </x:c>
      <x:c r="AC555" s="78" t="n">
        <x:f>AC554+AB555</x:f>
        <x:v>3707110124.7238345</x:v>
      </x:c>
      <x:c r="AD555" s="80" t="n">
        <x:f>Z555/(1+'Inputs'!$C$45)</x:f>
        <x:v>0.0008173713911533076</x:v>
      </x:c>
      <x:c r="AE555" s="80" t="n">
        <x:f>Z555-AD555</x:f>
        <x:v>0.0004086856955766538</x:v>
      </x:c>
      <x:c r="AF555" s="80" t="n">
        <x:f>D555*W555</x:f>
        <x:v>6.213718778796149e-7</x:v>
      </x:c>
      <x:c r="AG555" s="80" t="n">
        <x:f>C555*W555</x:f>
        <x:v>0.000001087400786289326</x:v>
      </x:c>
      <x:c r="AH555" s="80" t="n">
        <x:f>2*'Inputs'!$B$8*'Inputs'!$C$45</x:f>
        <x:v>2500</x:v>
      </x:c>
      <x:c r="AI555" s="81" t="n">
        <x:f>IF(AH555&gt;0,(AE555+AF555)/AH555*365,0)</x:f>
        <x:v>0.00005975883184836188</x:v>
      </x:c>
      <x:c r="AJ555" s="81" t="n">
        <x:f>IF('Inputs'!$B$45&gt;0,AG555/('Inputs'!$B$19*'Inputs'!$B$45)*365,0)</x:f>
        <x:v>5.292017159941386e-8</x:v>
      </x:c>
      <x:c r="AK555" s="81" t="n">
        <x:f>W555/MAX($W$369:W555)-1</x:f>
        <x:v>-0.9999999970393277</x:v>
      </x:c>
      <x:c r="AL555" s="83" t="n">
        <x:f>'Inputs'!$B$45</x:f>
        <x:v>0.75</x:v>
      </x:c>
      <x:c r="AM555" s="83" t="n">
        <x:f>'Inputs'!$C$45</x:f>
        <x:v>0.5</x:v>
      </x:c>
      <x:c r="AN555" s="83" t="n">
        <x:f>'Inputs'!$D$45</x:f>
        <x:v>0.5</x:v>
      </x:c>
      <x:c r="AO555" s="81" t="n">
        <x:f>'Inputs'!$E$45</x:f>
        <x:v>-0.05</x:v>
      </x:c>
    </x:row>
    <x:row r="556">
      <x:c r="A556" s="59" t="str">
        <x:v>Weak demand</x:v>
      </x:c>
      <x:c r="B556" s="59" t="n">
        <x:v>188</x:v>
      </x:c>
      <x:c r="C556" s="78" t="n">
        <x:f>(('Inputs'!$B$29*(3*188*'Inputs'!$B$12-188^2)/(2*'Inputs'!$B$12^2))-('Inputs'!$B$29*(3*187*'Inputs'!$B$12-187^2)/(2*'Inputs'!$B$12^2)))*'Inputs'!$B$45</x:f>
        <x:v>488271.4275661558</x:v>
      </x:c>
      <x:c r="D556" s="78" t="n">
        <x:f>IF('Inputs'!$C$45&gt;0,('Inputs'!$B$30*(3*188*'Inputs'!$B$12-188^2)/(2*'Inputs'!$B$12^2))-('Inputs'!$B$30*(3*187*'Inputs'!$B$12-187^2)/(2*'Inputs'!$B$12^2)),0)</x:f>
        <x:v>279012.2443235144</x:v>
      </x:c>
      <x:c r="E556" s="78" t="n">
        <x:f>C556+D556</x:f>
        <x:v>767283.6718896702</x:v>
      </x:c>
      <x:c r="F556" s="78" t="n">
        <x:f>'Inputs'!$B$13*E556+(1-'Inputs'!$B$13)/'Inputs'!$B$14*SUM(E501:E556)</x:f>
        <x:v>775713.2553011843</x:v>
      </x:c>
      <x:c r="G556" s="78" t="n">
        <x:f>F556*'Inputs'!$F$45</x:f>
        <x:v>542999.278710829</x:v>
      </x:c>
      <x:c r="H556" s="78" t="n">
        <x:f>U555</x:f>
        <x:v>87470173165.61168</x:v>
      </x:c>
      <x:c r="I556" s="78" t="n">
        <x:f>V555</x:f>
        <x:v>0.1947024855905266</x:v>
      </x:c>
      <x:c r="J556" s="79" t="n">
        <x:f>IF(H556&gt;0,I556/H556,0)</x:f>
        <x:v>2.2259300347089355e-12</x:v>
      </x:c>
      <x:c r="K556" s="80" t="n">
        <x:f>(H556*J556+I556)*'Inputs'!$D$45*(1+'Inputs'!$G$45)^(B556/30)</x:f>
        <x:v>0.1947024855905266</x:v>
      </x:c>
      <x:c r="L556" s="80" t="n">
        <x:f>MAX(0,K556*'Inputs'!$E$45)</x:f>
        <x:v>0</x:v>
      </x:c>
      <x:c r="M556" s="80" t="n">
        <x:f>MAX(0,-K556*'Inputs'!$E$45)</x:f>
        <x:v>0.00973512427952633</x:v>
      </x:c>
      <x:c r="N556" s="78" t="n">
        <x:f>H556*(L556*(1-'Inputs'!$B$15))/(I556+L556*(1-'Inputs'!$B$15))</x:f>
        <x:v>0</x:v>
      </x:c>
      <x:c r="O556" s="78" t="n">
        <x:f>H556-N556</x:f>
        <x:v>87470173165.61168</x:v>
      </x:c>
      <x:c r="P556" s="78" t="n">
        <x:f>I556+L556*(1-'Inputs'!$B$17)</x:f>
        <x:v>0.1947024855905266</x:v>
      </x:c>
      <x:c r="Q556" s="78" t="n">
        <x:f>IF(J556&gt;0,M556/J556,0)</x:f>
        <x:v>4373508658.280584</x:v>
      </x:c>
      <x:c r="R556" s="78" t="n">
        <x:f>IF(B556='Inputs'!$H$45,'Inputs'!$B$27*'Inputs'!$I$45,0)</x:f>
        <x:v>0</x:v>
      </x:c>
      <x:c r="S556" s="78" t="n">
        <x:f>Q556+G556+R556</x:f>
        <x:v>4374051657.559295</x:v>
      </x:c>
      <x:c r="T556" s="78" t="n">
        <x:f>P556*(S556*(1-'Inputs'!$B$15))/(O556+S556*(1-'Inputs'!$B$15))</x:f>
        <x:v>0.009184290789948502</x:v>
      </x:c>
      <x:c r="U556" s="78" t="n">
        <x:f>O556+S556*(1-'Inputs'!$B$17)</x:f>
        <x:v>91826623005.63553</x:v>
      </x:c>
      <x:c r="V556" s="78" t="n">
        <x:f>P556-T556</x:f>
        <x:v>0.1855181948005781</x:v>
      </x:c>
      <x:c r="W556" s="79" t="n">
        <x:f>IF(U556&gt;0,V556/U556,0)</x:f>
        <x:v>2.020309456323931e-12</x:v>
      </x:c>
      <x:c r="X556" s="80" t="n">
        <x:f>W556*('Inputs'!$B$6-AC556)</x:f>
        <x:v>-0.005842549989009278</x:v>
      </x:c>
      <x:c r="Y556" s="80" t="n">
        <x:f>2*V556</x:f>
        <x:v>0.3710363896011562</x:v>
      </x:c>
      <x:c r="Z556" s="80" t="n">
        <x:f>K556*'Inputs'!$B$16+(G556+R556)*J556*'Inputs'!$B$16</x:f>
        <x:v>0.0011682221656135795</x:v>
      </x:c>
      <x:c r="AA556" s="80" t="n">
        <x:f>K556*(1+'Inputs'!$E$45)/2*'Inputs'!$B$17</x:f>
        <x:v>0.00037216772899597645</x:v>
      </x:c>
      <x:c r="AB556" s="78" t="n">
        <x:f>(IF(J556&gt;0,K556*(1-'Inputs'!$E$45)/2/J556,0)+G556+R556)*'Inputs'!$B$17</x:f>
        <x:v>184798325.5984903</x:v>
      </x:c>
      <x:c r="AC556" s="78" t="n">
        <x:f>AC555+AB556</x:f>
        <x:v>3891908450.3223248</x:v>
      </x:c>
      <x:c r="AD556" s="80" t="n">
        <x:f>Z556/(1+'Inputs'!$C$45)</x:f>
        <x:v>0.0007788147770757197</x:v>
      </x:c>
      <x:c r="AE556" s="80" t="n">
        <x:f>Z556-AD556</x:f>
        <x:v>0.0003894073885378598</x:v>
      </x:c>
      <x:c r="AF556" s="80" t="n">
        <x:f>D556*W556</x:f>
        <x:v>5.636910756369592e-7</x:v>
      </x:c>
      <x:c r="AG556" s="80" t="n">
        <x:f>C556*W556</x:f>
        <x:v>9.864593823646899e-7</x:v>
      </x:c>
      <x:c r="AH556" s="80" t="n">
        <x:f>2*'Inputs'!$B$8*'Inputs'!$C$45</x:f>
        <x:v>2500</x:v>
      </x:c>
      <x:c r="AI556" s="81" t="n">
        <x:f>IF(AH556&gt;0,(AE556+AF556)/AH556*365,0)</x:f>
        <x:v>0.00005693577762357053</x:v>
      </x:c>
      <x:c r="AJ556" s="81" t="n">
        <x:f>IF('Inputs'!$B$45&gt;0,AG556/('Inputs'!$B$19*'Inputs'!$B$45)*365,0)</x:f>
        <x:v>4.800768994174824e-8</x:v>
      </x:c>
      <x:c r="AK556" s="81" t="n">
        <x:f>W556/MAX($W$369:W556)-1</x:f>
        <x:v>-0.9999999973128203</x:v>
      </x:c>
      <x:c r="AL556" s="83" t="n">
        <x:f>'Inputs'!$B$45</x:f>
        <x:v>0.75</x:v>
      </x:c>
      <x:c r="AM556" s="83" t="n">
        <x:f>'Inputs'!$C$45</x:f>
        <x:v>0.5</x:v>
      </x:c>
      <x:c r="AN556" s="83" t="n">
        <x:f>'Inputs'!$D$45</x:f>
        <x:v>0.5</x:v>
      </x:c>
      <x:c r="AO556" s="81" t="n">
        <x:f>'Inputs'!$E$45</x:f>
        <x:v>-0.05</x:v>
      </x:c>
    </x:row>
    <x:row r="557">
      <x:c r="A557" s="59" t="str">
        <x:v>Weak demand</x:v>
      </x:c>
      <x:c r="B557" s="59" t="n">
        <x:v>189</x:v>
      </x:c>
      <x:c r="C557" s="78" t="n">
        <x:f>(('Inputs'!$B$29*(3*189*'Inputs'!$B$12-189^2)/(2*'Inputs'!$B$12^2))-('Inputs'!$B$29*(3*188*'Inputs'!$B$12-188^2)/(2*'Inputs'!$B$12^2)))*'Inputs'!$B$45</x:f>
        <x:v>488027.59664101526</x:v>
      </x:c>
      <x:c r="D557" s="78" t="n">
        <x:f>IF('Inputs'!$C$45&gt;0,('Inputs'!$B$30*(3*189*'Inputs'!$B$12-189^2)/(2*'Inputs'!$B$12^2))-('Inputs'!$B$30*(3*188*'Inputs'!$B$12-188^2)/(2*'Inputs'!$B$12^2)),0)</x:f>
        <x:v>278872.91236629337</x:v>
      </x:c>
      <x:c r="E557" s="78" t="n">
        <x:f>C557+D557</x:f>
        <x:v>766900.5090073086</x:v>
      </x:c>
      <x:c r="F557" s="78" t="n">
        <x:f>'Inputs'!$B$13*E557+(1-'Inputs'!$B$13)/'Inputs'!$B$14*SUM(E502:E557)</x:f>
        <x:v>775330.0924188384</x:v>
      </x:c>
      <x:c r="G557" s="78" t="n">
        <x:f>F557*'Inputs'!$F$45</x:f>
        <x:v>542731.0646931869</x:v>
      </x:c>
      <x:c r="H557" s="78" t="n">
        <x:f>U556</x:f>
        <x:v>91826623005.63553</x:v>
      </x:c>
      <x:c r="I557" s="78" t="n">
        <x:f>V556</x:f>
        <x:v>0.1855181948005781</x:v>
      </x:c>
      <x:c r="J557" s="79" t="n">
        <x:f>IF(H557&gt;0,I557/H557,0)</x:f>
        <x:v>2.020309456323931e-12</x:v>
      </x:c>
      <x:c r="K557" s="80" t="n">
        <x:f>(H557*J557+I557)*'Inputs'!$D$45*(1+'Inputs'!$G$45)^(B557/30)</x:f>
        <x:v>0.1855181948005781</x:v>
      </x:c>
      <x:c r="L557" s="80" t="n">
        <x:f>MAX(0,K557*'Inputs'!$E$45)</x:f>
        <x:v>0</x:v>
      </x:c>
      <x:c r="M557" s="80" t="n">
        <x:f>MAX(0,-K557*'Inputs'!$E$45)</x:f>
        <x:v>0.009275909740028905</x:v>
      </x:c>
      <x:c r="N557" s="78" t="n">
        <x:f>H557*(L557*(1-'Inputs'!$B$15))/(I557+L557*(1-'Inputs'!$B$15))</x:f>
        <x:v>0</x:v>
      </x:c>
      <x:c r="O557" s="78" t="n">
        <x:f>H557-N557</x:f>
        <x:v>91826623005.63553</x:v>
      </x:c>
      <x:c r="P557" s="78" t="n">
        <x:f>I557+L557*(1-'Inputs'!$B$17)</x:f>
        <x:v>0.1855181948005781</x:v>
      </x:c>
      <x:c r="Q557" s="78" t="n">
        <x:f>IF(J557&gt;0,M557/J557,0)</x:f>
        <x:v>4591331150.281776</x:v>
      </x:c>
      <x:c r="R557" s="78" t="n">
        <x:f>IF(B557='Inputs'!$H$45,'Inputs'!$B$27*'Inputs'!$I$45,0)</x:f>
        <x:v>0</x:v>
      </x:c>
      <x:c r="S557" s="78" t="n">
        <x:f>Q557+G557+R557</x:f>
        <x:v>4591873881.34647</x:v>
      </x:c>
      <x:c r="T557" s="78" t="n">
        <x:f>P557*(S557*(1-'Inputs'!$B$15))/(O557+S557*(1-'Inputs'!$B$15))</x:f>
        <x:v>0.00875100996458249</x:v>
      </x:c>
      <x:c r="U557" s="78" t="n">
        <x:f>O557+S557*(1-'Inputs'!$B$17)</x:f>
        <x:v>96400018521.2623</x:v>
      </x:c>
      <x:c r="V557" s="78" t="n">
        <x:f>P557-T557</x:f>
        <x:v>0.1767671848359956</x:v>
      </x:c>
      <x:c r="W557" s="79" t="n">
        <x:f>IF(U557&gt;0,V557/U557,0)</x:f>
        <x:v>1.833684137695547e-12</x:v>
      </x:c>
      <x:c r="X557" s="80" t="n">
        <x:f>W557*('Inputs'!$B$6-AC557)</x:f>
        <x:v>-0.005658585211412995</x:v>
      </x:c>
      <x:c r="Y557" s="80" t="n">
        <x:f>2*V557</x:f>
        <x:v>0.3535343696719912</x:v>
      </x:c>
      <x:c r="Z557" s="80" t="n">
        <x:f>K557*'Inputs'!$B$16+(G557+R557)*J557*'Inputs'!$B$16</x:f>
        <x:v>0.0011131157477116819</x:v>
      </x:c>
      <x:c r="AA557" s="80" t="n">
        <x:f>K557*(1+'Inputs'!$E$45)/2*'Inputs'!$B$17</x:f>
        <x:v>0.00035461224358259395</x:v>
      </x:c>
      <x:c r="AB557" s="78" t="n">
        <x:f>(IF(J557&gt;0,K557*(1-'Inputs'!$E$45)/2/J557,0)+G557+R557)*'Inputs'!$B$17</x:f>
        <x:v>194002091.78681427</x:v>
      </x:c>
      <x:c r="AC557" s="78" t="n">
        <x:f>AC556+AB557</x:f>
        <x:v>4085910542.109139</x:v>
      </x:c>
      <x:c r="AD557" s="80" t="n">
        <x:f>Z557/(1+'Inputs'!$C$45)</x:f>
        <x:v>0.0007420771651411212</x:v>
      </x:c>
      <x:c r="AE557" s="80" t="n">
        <x:f>Z557-AD557</x:f>
        <x:v>0.00037103858257056066</x:v>
      </x:c>
      <x:c r="AF557" s="80" t="n">
        <x:f>D557*W557</x:f>
        <x:v>5.113648358390325e-7</x:v>
      </x:c>
      <x:c r="AG557" s="80" t="n">
        <x:f>C557*W557</x:f>
        <x:v>8.948884627183103e-7</x:v>
      </x:c>
      <x:c r="AH557" s="80" t="n">
        <x:f>2*'Inputs'!$B$8*'Inputs'!$C$45</x:f>
        <x:v>2500</x:v>
      </x:c>
      <x:c r="AI557" s="81" t="n">
        <x:f>IF(AH557&gt;0,(AE557+AF557)/AH557*365,0)</x:f>
        <x:v>0.00005424629232133435</x:v>
      </x:c>
      <x:c r="AJ557" s="81" t="n">
        <x:f>IF('Inputs'!$B$45&gt;0,AG557/('Inputs'!$B$19*'Inputs'!$B$45)*365,0)</x:f>
        <x:v>4.3551238518957764e-8</x:v>
      </x:c>
      <x:c r="AK557" s="81" t="n">
        <x:f>W557/MAX($W$369:W557)-1</x:f>
        <x:v>-0.9999999975610475</x:v>
      </x:c>
      <x:c r="AL557" s="83" t="n">
        <x:f>'Inputs'!$B$45</x:f>
        <x:v>0.75</x:v>
      </x:c>
      <x:c r="AM557" s="83" t="n">
        <x:f>'Inputs'!$C$45</x:f>
        <x:v>0.5</x:v>
      </x:c>
      <x:c r="AN557" s="83" t="n">
        <x:f>'Inputs'!$D$45</x:f>
        <x:v>0.5</x:v>
      </x:c>
      <x:c r="AO557" s="81" t="n">
        <x:f>'Inputs'!$E$45</x:f>
        <x:v>-0.05</x:v>
      </x:c>
    </x:row>
    <x:row r="558">
      <x:c r="A558" s="59" t="str">
        <x:v>Weak demand</x:v>
      </x:c>
      <x:c r="B558" s="59" t="n">
        <x:v>190</x:v>
      </x:c>
      <x:c r="C558" s="78" t="n">
        <x:f>(('Inputs'!$B$29*(3*190*'Inputs'!$B$12-190^2)/(2*'Inputs'!$B$12^2))-('Inputs'!$B$29*(3*189*'Inputs'!$B$12-189^2)/(2*'Inputs'!$B$12^2)))*'Inputs'!$B$45</x:f>
        <x:v>487783.7657158971</x:v>
      </x:c>
      <x:c r="D558" s="78" t="n">
        <x:f>IF('Inputs'!$C$45&gt;0,('Inputs'!$B$30*(3*190*'Inputs'!$B$12-190^2)/(2*'Inputs'!$B$12^2))-('Inputs'!$B$30*(3*189*'Inputs'!$B$12-189^2)/(2*'Inputs'!$B$12^2)),0)</x:f>
        <x:v>278733.58040908724</x:v>
      </x:c>
      <x:c r="E558" s="78" t="n">
        <x:f>C558+D558</x:f>
        <x:v>766517.3461249843</x:v>
      </x:c>
      <x:c r="F558" s="78" t="n">
        <x:f>'Inputs'!$B$13*E558+(1-'Inputs'!$B$13)/'Inputs'!$B$14*SUM(E503:E558)</x:f>
        <x:v>774946.9295365001</x:v>
      </x:c>
      <x:c r="G558" s="78" t="n">
        <x:f>F558*'Inputs'!$F$45</x:f>
        <x:v>542462.85067555</x:v>
      </x:c>
      <x:c r="H558" s="78" t="n">
        <x:f>U557</x:f>
        <x:v>96400018521.2623</x:v>
      </x:c>
      <x:c r="I558" s="78" t="n">
        <x:f>V557</x:f>
        <x:v>0.1767671848359956</x:v>
      </x:c>
      <x:c r="J558" s="79" t="n">
        <x:f>IF(H558&gt;0,I558/H558,0)</x:f>
        <x:v>1.833684137695547e-12</x:v>
      </x:c>
      <x:c r="K558" s="80" t="n">
        <x:f>(H558*J558+I558)*'Inputs'!$D$45*(1+'Inputs'!$G$45)^(B558/30)</x:f>
        <x:v>0.1767671848359956</x:v>
      </x:c>
      <x:c r="L558" s="80" t="n">
        <x:f>MAX(0,K558*'Inputs'!$E$45)</x:f>
        <x:v>0</x:v>
      </x:c>
      <x:c r="M558" s="80" t="n">
        <x:f>MAX(0,-K558*'Inputs'!$E$45)</x:f>
        <x:v>0.00883835924179978</x:v>
      </x:c>
      <x:c r="N558" s="78" t="n">
        <x:f>H558*(L558*(1-'Inputs'!$B$15))/(I558+L558*(1-'Inputs'!$B$15))</x:f>
        <x:v>0</x:v>
      </x:c>
      <x:c r="O558" s="78" t="n">
        <x:f>H558-N558</x:f>
        <x:v>96400018521.2623</x:v>
      </x:c>
      <x:c r="P558" s="78" t="n">
        <x:f>I558+L558*(1-'Inputs'!$B$17)</x:f>
        <x:v>0.1767671848359956</x:v>
      </x:c>
      <x:c r="Q558" s="78" t="n">
        <x:f>IF(J558&gt;0,M558/J558,0)</x:f>
        <x:v>4820000926.063115</x:v>
      </x:c>
      <x:c r="R558" s="78" t="n">
        <x:f>IF(B558='Inputs'!$H$45,'Inputs'!$B$27*'Inputs'!$I$45,0)</x:f>
        <x:v>0</x:v>
      </x:c>
      <x:c r="S558" s="78" t="n">
        <x:f>Q558+G558+R558</x:f>
        <x:v>4820543388.913791</x:v>
      </x:c>
      <x:c r="T558" s="78" t="n">
        <x:f>P558*(S558*(1-'Inputs'!$B$15))/(O558+S558*(1-'Inputs'!$B$15))</x:f>
        <x:v>0.008338174327227452</x:v>
      </x:c>
      <x:c r="U558" s="78" t="n">
        <x:f>O558+S558*(1-'Inputs'!$B$17)</x:f>
        <x:v>101201163345.23076</x:v>
      </x:c>
      <x:c r="V558" s="78" t="n">
        <x:f>P558-T558</x:f>
        <x:v>0.16842901050876816</x:v>
      </x:c>
      <x:c r="W558" s="79" t="n">
        <x:f>IF(U558&gt;0,V558/U558,0)</x:f>
        <x:v>1.6642991536984697e-12</x:v>
      </x:c>
      <x:c r="X558" s="80" t="n">
        <x:f>W558*('Inputs'!$B$6-AC558)</x:f>
        <x:v>-0.005474836449183705</x:v>
      </x:c>
      <x:c r="Y558" s="80" t="n">
        <x:f>2*V558</x:f>
        <x:v>0.3368580210175363</x:v>
      </x:c>
      <x:c r="Z558" s="80" t="n">
        <x:f>K558*'Inputs'!$B$16+(G558+R558)*J558*'Inputs'!$B$16</x:f>
        <x:v>0.001060609077249121</x:v>
      </x:c>
      <x:c r="AA558" s="80" t="n">
        <x:f>K558*(1+'Inputs'!$E$45)/2*'Inputs'!$B$17</x:f>
        <x:v>0.00033788496095411635</x:v>
      </x:c>
      <x:c r="AB558" s="78" t="n">
        <x:f>(IF(J558&gt;0,K558*(1-'Inputs'!$E$45)/2/J558,0)+G558+R558)*'Inputs'!$B$17</x:f>
        <x:v>203664193.9095106</x:v>
      </x:c>
      <x:c r="AC558" s="78" t="n">
        <x:f>AC557+AB558</x:f>
        <x:v>4289574736.0186496</x:v>
      </x:c>
      <x:c r="AD558" s="80" t="n">
        <x:f>Z558/(1+'Inputs'!$C$45)</x:f>
        <x:v>0.0007070727181660807</x:v>
      </x:c>
      <x:c r="AE558" s="80" t="n">
        <x:f>Z558-AD558</x:f>
        <x:v>0.0003535363590830403</x:v>
      </x:c>
      <x:c r="AF558" s="80" t="n">
        <x:f>D558*W558</x:f>
        <x:v>4.6389606198218825e-7</x:v>
      </x:c>
      <x:c r="AG558" s="80" t="n">
        <x:f>C558*W558</x:f>
        <x:v>8.118181084688202e-7</x:v>
      </x:c>
      <x:c r="AH558" s="80" t="n">
        <x:f>2*'Inputs'!$B$8*'Inputs'!$C$45</x:f>
        <x:v>2500</x:v>
      </x:c>
      <x:c r="AI558" s="81" t="n">
        <x:f>IF(AH558&gt;0,(AE558+AF558)/AH558*365,0)</x:f>
        <x:v>0.000051684037251173285</x:v>
      </x:c>
      <x:c r="AJ558" s="81" t="n">
        <x:f>IF('Inputs'!$B$45&gt;0,AG558/('Inputs'!$B$19*'Inputs'!$B$45)*365,0)</x:f>
        <x:v>3.950848127881591e-8</x:v>
      </x:c>
      <x:c r="AK558" s="81" t="n">
        <x:f>W558/MAX($W$369:W558)-1</x:f>
        <x:v>-0.9999999977863436</x:v>
      </x:c>
      <x:c r="AL558" s="83" t="n">
        <x:f>'Inputs'!$B$45</x:f>
        <x:v>0.75</x:v>
      </x:c>
      <x:c r="AM558" s="83" t="n">
        <x:f>'Inputs'!$C$45</x:f>
        <x:v>0.5</x:v>
      </x:c>
      <x:c r="AN558" s="83" t="n">
        <x:f>'Inputs'!$D$45</x:f>
        <x:v>0.5</x:v>
      </x:c>
      <x:c r="AO558" s="81" t="n">
        <x:f>'Inputs'!$E$45</x:f>
        <x:v>-0.05</x:v>
      </x:c>
    </x:row>
    <x:row r="559">
      <x:c r="A559" s="59" t="str">
        <x:v>Weak demand</x:v>
      </x:c>
      <x:c r="B559" s="59" t="n">
        <x:v>191</x:v>
      </x:c>
      <x:c r="C559" s="78" t="n">
        <x:f>(('Inputs'!$B$29*(3*191*'Inputs'!$B$12-191^2)/(2*'Inputs'!$B$12^2))-('Inputs'!$B$29*(3*190*'Inputs'!$B$12-190^2)/(2*'Inputs'!$B$12^2)))*'Inputs'!$B$45</x:f>
        <x:v>487539.93479076773</x:v>
      </x:c>
      <x:c r="D559" s="78" t="n">
        <x:f>IF('Inputs'!$C$45&gt;0,('Inputs'!$B$30*(3*191*'Inputs'!$B$12-191^2)/(2*'Inputs'!$B$12^2))-('Inputs'!$B$30*(3*190*'Inputs'!$B$12-190^2)/(2*'Inputs'!$B$12^2)),0)</x:f>
        <x:v>278594.2484518662</x:v>
      </x:c>
      <x:c r="E559" s="78" t="n">
        <x:f>C559+D559</x:f>
        <x:v>766134.1832426339</x:v>
      </x:c>
      <x:c r="F559" s="78" t="n">
        <x:f>'Inputs'!$B$13*E559+(1-'Inputs'!$B$13)/'Inputs'!$B$14*SUM(E504:E559)</x:f>
        <x:v>774563.7666541566</x:v>
      </x:c>
      <x:c r="G559" s="78" t="n">
        <x:f>F559*'Inputs'!$F$45</x:f>
        <x:v>542194.6366579096</x:v>
      </x:c>
      <x:c r="H559" s="78" t="n">
        <x:f>U558</x:f>
        <x:v>101201163345.23076</x:v>
      </x:c>
      <x:c r="I559" s="78" t="n">
        <x:f>V558</x:f>
        <x:v>0.16842901050876816</x:v>
      </x:c>
      <x:c r="J559" s="79" t="n">
        <x:f>IF(H559&gt;0,I559/H559,0)</x:f>
        <x:v>1.6642991536984697e-12</x:v>
      </x:c>
      <x:c r="K559" s="80" t="n">
        <x:f>(H559*J559+I559)*'Inputs'!$D$45*(1+'Inputs'!$G$45)^(B559/30)</x:f>
        <x:v>0.16842901050876816</x:v>
      </x:c>
      <x:c r="L559" s="80" t="n">
        <x:f>MAX(0,K559*'Inputs'!$E$45)</x:f>
        <x:v>0</x:v>
      </x:c>
      <x:c r="M559" s="80" t="n">
        <x:f>MAX(0,-K559*'Inputs'!$E$45)</x:f>
        <x:v>0.008421450525438409</x:v>
      </x:c>
      <x:c r="N559" s="78" t="n">
        <x:f>H559*(L559*(1-'Inputs'!$B$15))/(I559+L559*(1-'Inputs'!$B$15))</x:f>
        <x:v>0</x:v>
      </x:c>
      <x:c r="O559" s="78" t="n">
        <x:f>H559-N559</x:f>
        <x:v>101201163345.23076</x:v>
      </x:c>
      <x:c r="P559" s="78" t="n">
        <x:f>I559+L559*(1-'Inputs'!$B$17)</x:f>
        <x:v>0.16842901050876816</x:v>
      </x:c>
      <x:c r="Q559" s="78" t="n">
        <x:f>IF(J559&gt;0,M559/J559,0)</x:f>
        <x:v>5060058167.2615385</x:v>
      </x:c>
      <x:c r="R559" s="78" t="n">
        <x:f>IF(B559='Inputs'!$H$45,'Inputs'!$B$27*'Inputs'!$I$45,0)</x:f>
        <x:v>0</x:v>
      </x:c>
      <x:c r="S559" s="78" t="n">
        <x:f>Q559+G559+R559</x:f>
        <x:v>5060600361.898196</x:v>
      </x:c>
      <x:c r="T559" s="78" t="n">
        <x:f>P559*(S559*(1-'Inputs'!$B$15))/(O559+S559*(1-'Inputs'!$B$15))</x:f>
        <x:v>0.00794481870515938</x:v>
      </x:c>
      <x:c r="U559" s="78" t="n">
        <x:f>O559+S559*(1-'Inputs'!$B$17)</x:f>
        <x:v>106241399118.14748</x:v>
      </x:c>
      <x:c r="V559" s="78" t="n">
        <x:f>P559-T559</x:f>
        <x:v>0.1604841918036088</x:v>
      </x:c>
      <x:c r="W559" s="79" t="n">
        <x:f>IF(U559&gt;0,V559/U559,0)</x:f>
        <x:v>1.510561731450277e-12</x:v>
      </x:c>
      <x:c r="X559" s="80" t="n">
        <x:f>W559*('Inputs'!$B$6-AC559)</x:f>
        <x:v>-0.005292075070727673</x:v>
      </x:c>
      <x:c r="Y559" s="80" t="n">
        <x:f>2*V559</x:f>
        <x:v>0.3209683836072176</x:v>
      </x:c>
      <x:c r="Z559" s="80" t="n">
        <x:f>K559*'Inputs'!$B$16+(G559+R559)*J559*'Inputs'!$B$16</x:f>
        <x:v>0.0010105794772970584</x:v>
      </x:c>
      <x:c r="AA559" s="80" t="n">
        <x:f>K559*(1+'Inputs'!$E$45)/2*'Inputs'!$B$17</x:f>
        <x:v>0.00032194680077128726</x:v>
      </x:c>
      <x:c r="AB559" s="78" t="n">
        <x:f>(IF(J559&gt;0,K559*(1-'Inputs'!$E$45)/2/J559,0)+G559+R559)*'Inputs'!$B$17</x:f>
        <x:v>213807456.542788</x:v>
      </x:c>
      <x:c r="AC559" s="78" t="n">
        <x:f>AC558+AB559</x:f>
        <x:v>4503382192.561438</x:v>
      </x:c>
      <x:c r="AD559" s="80" t="n">
        <x:f>Z559/(1+'Inputs'!$C$45)</x:f>
        <x:v>0.0006737196515313723</x:v>
      </x:c>
      <x:c r="AE559" s="80" t="n">
        <x:f>Z559-AD559</x:f>
        <x:v>0.0003368598257656861</x:v>
      </x:c>
      <x:c r="AF559" s="80" t="n">
        <x:f>D559*W559</x:f>
        <x:v>4.2083381031353967e-7</x:v>
      </x:c>
      <x:c r="AG559" s="80" t="n">
        <x:f>C559*W559</x:f>
        <x:v>7.364591680486973e-7</x:v>
      </x:c>
      <x:c r="AH559" s="80" t="n">
        <x:f>2*'Inputs'!$B$8*'Inputs'!$C$45</x:f>
        <x:v>2500</x:v>
      </x:c>
      <x:c r="AI559" s="81" t="n">
        <x:f>IF(AH559&gt;0,(AE559+AF559)/AH559*365,0)</x:f>
        <x:v>0.00004924297629809594</x:v>
      </x:c>
      <x:c r="AJ559" s="81" t="n">
        <x:f>IF('Inputs'!$B$45&gt;0,AG559/('Inputs'!$B$19*'Inputs'!$B$45)*365,0)</x:f>
        <x:v>3.5841012845036603e-8</x:v>
      </x:c>
      <x:c r="AK559" s="81" t="n">
        <x:f>W559/MAX($W$369:W559)-1</x:f>
        <x:v>-0.9999999979908272</x:v>
      </x:c>
      <x:c r="AL559" s="83" t="n">
        <x:f>'Inputs'!$B$45</x:f>
        <x:v>0.75</x:v>
      </x:c>
      <x:c r="AM559" s="83" t="n">
        <x:f>'Inputs'!$C$45</x:f>
        <x:v>0.5</x:v>
      </x:c>
      <x:c r="AN559" s="83" t="n">
        <x:f>'Inputs'!$D$45</x:f>
        <x:v>0.5</x:v>
      </x:c>
      <x:c r="AO559" s="81" t="n">
        <x:f>'Inputs'!$E$45</x:f>
        <x:v>-0.05</x:v>
      </x:c>
    </x:row>
    <x:row r="560">
      <x:c r="A560" s="59" t="str">
        <x:v>Weak demand</x:v>
      </x:c>
      <x:c r="B560" s="59" t="n">
        <x:v>192</x:v>
      </x:c>
      <x:c r="C560" s="78" t="n">
        <x:f>(('Inputs'!$B$29*(3*192*'Inputs'!$B$12-192^2)/(2*'Inputs'!$B$12^2))-('Inputs'!$B$29*(3*191*'Inputs'!$B$12-191^2)/(2*'Inputs'!$B$12^2)))*'Inputs'!$B$45</x:f>
        <x:v>487296.1038656384</x:v>
      </x:c>
      <x:c r="D560" s="78" t="n">
        <x:f>IF('Inputs'!$C$45&gt;0,('Inputs'!$B$30*(3*192*'Inputs'!$B$12-192^2)/(2*'Inputs'!$B$12^2))-('Inputs'!$B$30*(3*191*'Inputs'!$B$12-191^2)/(2*'Inputs'!$B$12^2)),0)</x:f>
        <x:v>278454.9164946526</x:v>
      </x:c>
      <x:c r="E560" s="78" t="n">
        <x:f>C560+D560</x:f>
        <x:v>765751.020360291</x:v>
      </x:c>
      <x:c r="F560" s="78" t="n">
        <x:f>'Inputs'!$B$13*E560+(1-'Inputs'!$B$13)/'Inputs'!$B$14*SUM(E505:E560)</x:f>
        <x:v>774180.6037718145</x:v>
      </x:c>
      <x:c r="G560" s="78" t="n">
        <x:f>F560*'Inputs'!$F$45</x:f>
        <x:v>541926.4226402701</x:v>
      </x:c>
      <x:c r="H560" s="78" t="n">
        <x:f>U559</x:f>
        <x:v>106241399118.14748</x:v>
      </x:c>
      <x:c r="I560" s="78" t="n">
        <x:f>V559</x:f>
        <x:v>0.1604841918036088</x:v>
      </x:c>
      <x:c r="J560" s="79" t="n">
        <x:f>IF(H560&gt;0,I560/H560,0)</x:f>
        <x:v>1.510561731450277e-12</x:v>
      </x:c>
      <x:c r="K560" s="80" t="n">
        <x:f>(H560*J560+I560)*'Inputs'!$D$45*(1+'Inputs'!$G$45)^(B560/30)</x:f>
        <x:v>0.1604841918036088</x:v>
      </x:c>
      <x:c r="L560" s="80" t="n">
        <x:f>MAX(0,K560*'Inputs'!$E$45)</x:f>
        <x:v>0</x:v>
      </x:c>
      <x:c r="M560" s="80" t="n">
        <x:f>MAX(0,-K560*'Inputs'!$E$45)</x:f>
        <x:v>0.00802420959018044</x:v>
      </x:c>
      <x:c r="N560" s="78" t="n">
        <x:f>H560*(L560*(1-'Inputs'!$B$15))/(I560+L560*(1-'Inputs'!$B$15))</x:f>
        <x:v>0</x:v>
      </x:c>
      <x:c r="O560" s="78" t="n">
        <x:f>H560-N560</x:f>
        <x:v>106241399118.14748</x:v>
      </x:c>
      <x:c r="P560" s="78" t="n">
        <x:f>I560+L560*(1-'Inputs'!$B$17)</x:f>
        <x:v>0.1604841918036088</x:v>
      </x:c>
      <x:c r="Q560" s="78" t="n">
        <x:f>IF(J560&gt;0,M560/J560,0)</x:f>
        <x:v>5312069955.907374</x:v>
      </x:c>
      <x:c r="R560" s="78" t="n">
        <x:f>IF(B560='Inputs'!$H$45,'Inputs'!$B$27*'Inputs'!$I$45,0)</x:f>
        <x:v>0</x:v>
      </x:c>
      <x:c r="S560" s="78" t="n">
        <x:f>Q560+G560+R560</x:f>
        <x:v>5312611882.330014</x:v>
      </x:c>
      <x:c r="T560" s="78" t="n">
        <x:f>P560*(S560*(1-'Inputs'!$B$15))/(O560+S560*(1-'Inputs'!$B$15))</x:f>
        <x:v>0.007570023529004652</x:v>
      </x:c>
      <x:c r="U560" s="78" t="n">
        <x:f>O560+S560*(1-'Inputs'!$B$17)</x:f>
        <x:v>111532632280.62907</x:v>
      </x:c>
      <x:c r="V560" s="78" t="n">
        <x:f>P560-T560</x:f>
        <x:v>0.15291416827460413</x:v>
      </x:c>
      <x:c r="W560" s="79" t="n">
        <x:f>IF(U560&gt;0,V560/U560,0)</x:f>
        <x:v>1.371026265119022e-12</x:v>
      </x:c>
      <x:c r="X560" s="80" t="n">
        <x:f>W560*('Inputs'!$B$6-AC560)</x:f>
        <x:v>-0.005110963855984172</x:v>
      </x:c>
      <x:c r="Y560" s="80" t="n">
        <x:f>2*V560</x:f>
        <x:v>0.30582833654920827</x:v>
      </x:c>
      <x:c r="Z560" s="80" t="n">
        <x:f>K560*'Inputs'!$B$16+(G560+R560)*J560*'Inputs'!$B$16</x:f>
        <x:v>0.0009629100625015445</x:v>
      </x:c>
      <x:c r="AA560" s="80" t="n">
        <x:f>K560*(1+'Inputs'!$E$45)/2*'Inputs'!$B$17</x:f>
        <x:v>0.0003067605275924112</x:v>
      </x:c>
      <x:c r="AB560" s="78" t="n">
        <x:f>(IF(J560&gt;0,K560*(1-'Inputs'!$E$45)/2/J560,0)+G560+R560)*'Inputs'!$B$17</x:f>
        <x:v>224455840.89919546</x:v>
      </x:c>
      <x:c r="AC560" s="78" t="n">
        <x:f>AC559+AB560</x:f>
        <x:v>4727838033.460633</x:v>
      </x:c>
      <x:c r="AD560" s="80" t="n">
        <x:f>Z560/(1+'Inputs'!$C$45)</x:f>
        <x:v>0.0006419400416676963</x:v>
      </x:c>
      <x:c r="AE560" s="80" t="n">
        <x:f>Z560-AD560</x:f>
        <x:v>0.00032097002083384817</x:v>
      </x:c>
      <x:c r="AF560" s="80" t="n">
        <x:f>D560*W560</x:f>
        <x:v>3.817690041656927e-7</x:v>
      </x:c>
      <x:c r="AG560" s="80" t="n">
        <x:f>C560*W560</x:f>
        <x:v>6.680957572899571e-7</x:v>
      </x:c>
      <x:c r="AH560" s="80" t="n">
        <x:f>2*'Inputs'!$B$8*'Inputs'!$C$45</x:f>
        <x:v>2500</x:v>
      </x:c>
      <x:c r="AI560" s="81" t="n">
        <x:f>IF(AH560&gt;0,(AE560+AF560)/AH560*365,0)</x:f>
        <x:v>0.00004691736131635002</x:v>
      </x:c>
      <x:c r="AJ560" s="81" t="n">
        <x:f>IF('Inputs'!$B$45&gt;0,AG560/('Inputs'!$B$19*'Inputs'!$B$45)*365,0)</x:f>
        <x:v>3.251399352144458e-8</x:v>
      </x:c>
      <x:c r="AK560" s="81" t="n">
        <x:f>W560/MAX($W$369:W560)-1</x:f>
        <x:v>-0.9999999981764209</x:v>
      </x:c>
      <x:c r="AL560" s="83" t="n">
        <x:f>'Inputs'!$B$45</x:f>
        <x:v>0.75</x:v>
      </x:c>
      <x:c r="AM560" s="83" t="n">
        <x:f>'Inputs'!$C$45</x:f>
        <x:v>0.5</x:v>
      </x:c>
      <x:c r="AN560" s="83" t="n">
        <x:f>'Inputs'!$D$45</x:f>
        <x:v>0.5</x:v>
      </x:c>
      <x:c r="AO560" s="81" t="n">
        <x:f>'Inputs'!$E$45</x:f>
        <x:v>-0.05</x:v>
      </x:c>
    </x:row>
    <x:row r="561">
      <x:c r="A561" s="59" t="str">
        <x:v>Weak demand</x:v>
      </x:c>
      <x:c r="B561" s="59" t="n">
        <x:v>193</x:v>
      </x:c>
      <x:c r="C561" s="78" t="n">
        <x:f>(('Inputs'!$B$29*(3*193*'Inputs'!$B$12-193^2)/(2*'Inputs'!$B$12^2))-('Inputs'!$B$29*(3*192*'Inputs'!$B$12-192^2)/(2*'Inputs'!$B$12^2)))*'Inputs'!$B$45</x:f>
        <x:v>487052.2729405202</x:v>
      </x:c>
      <x:c r="D561" s="78" t="n">
        <x:f>IF('Inputs'!$C$45&gt;0,('Inputs'!$B$30*(3*193*'Inputs'!$B$12-193^2)/(2*'Inputs'!$B$12^2))-('Inputs'!$B$30*(3*192*'Inputs'!$B$12-192^2)/(2*'Inputs'!$B$12^2)),0)</x:f>
        <x:v>278315.5845374316</x:v>
      </x:c>
      <x:c r="E561" s="78" t="n">
        <x:f>C561+D561</x:f>
        <x:v>765367.8574779518</x:v>
      </x:c>
      <x:c r="F561" s="78" t="n">
        <x:f>'Inputs'!$B$13*E561+(1-'Inputs'!$B$13)/'Inputs'!$B$14*SUM(E506:E561)</x:f>
        <x:v>773797.4408894732</x:v>
      </x:c>
      <x:c r="G561" s="78" t="n">
        <x:f>F561*'Inputs'!$F$45</x:f>
        <x:v>541658.2086226312</x:v>
      </x:c>
      <x:c r="H561" s="78" t="n">
        <x:f>U560</x:f>
        <x:v>111532632280.62907</x:v>
      </x:c>
      <x:c r="I561" s="78" t="n">
        <x:f>V560</x:f>
        <x:v>0.15291416827460413</x:v>
      </x:c>
      <x:c r="J561" s="79" t="n">
        <x:f>IF(H561&gt;0,I561/H561,0)</x:f>
        <x:v>1.371026265119022e-12</x:v>
      </x:c>
      <x:c r="K561" s="80" t="n">
        <x:f>(H561*J561+I561)*'Inputs'!$D$45*(1+'Inputs'!$G$45)^(B561/30)</x:f>
        <x:v>0.15291416827460413</x:v>
      </x:c>
      <x:c r="L561" s="80" t="n">
        <x:f>MAX(0,K561*'Inputs'!$E$45)</x:f>
        <x:v>0</x:v>
      </x:c>
      <x:c r="M561" s="80" t="n">
        <x:f>MAX(0,-K561*'Inputs'!$E$45)</x:f>
        <x:v>0.007645708413730207</x:v>
      </x:c>
      <x:c r="N561" s="78" t="n">
        <x:f>H561*(L561*(1-'Inputs'!$B$15))/(I561+L561*(1-'Inputs'!$B$15))</x:f>
        <x:v>0</x:v>
      </x:c>
      <x:c r="O561" s="78" t="n">
        <x:f>H561-N561</x:f>
        <x:v>111532632280.62907</x:v>
      </x:c>
      <x:c r="P561" s="78" t="n">
        <x:f>I561+L561*(1-'Inputs'!$B$17)</x:f>
        <x:v>0.15291416827460413</x:v>
      </x:c>
      <x:c r="Q561" s="78" t="n">
        <x:f>IF(J561&gt;0,M561/J561,0)</x:f>
        <x:v>5576631614.031454</x:v>
      </x:c>
      <x:c r="R561" s="78" t="n">
        <x:f>IF(B561='Inputs'!$H$45,'Inputs'!$B$27*'Inputs'!$I$45,0)</x:f>
        <x:v>0</x:v>
      </x:c>
      <x:c r="S561" s="78" t="n">
        <x:f>Q561+G561+R561</x:f>
        <x:v>5577173272.240077</x:v>
      </x:c>
      <x:c r="T561" s="78" t="n">
        <x:f>P561*(S561*(1-'Inputs'!$B$15))/(O561+S561*(1-'Inputs'!$B$15))</x:f>
        <x:v>0.007212912674352856</x:v>
      </x:c>
      <x:c r="U561" s="78" t="n">
        <x:f>O561+S561*(1-'Inputs'!$B$17)</x:f>
        <x:v>117087362199.66093</x:v>
      </x:c>
      <x:c r="V561" s="78" t="n">
        <x:f>P561-T561</x:f>
        <x:v>0.14570125560025127</x:v>
      </x:c>
      <x:c r="W561" s="79" t="n">
        <x:f>IF(U561&gt;0,V561/U561,0)</x:f>
        <x:v>1.244380715928992e-12</x:v>
      </x:c>
      <x:c r="X561" s="80" t="n">
        <x:f>W561*('Inputs'!$B$6-AC561)</x:f>
        <x:v>-0.004932068790533024</x:v>
      </x:c>
      <x:c r="Y561" s="80" t="n">
        <x:f>2*V561</x:f>
        <x:v>0.29140251120050253</x:v>
      </x:c>
      <x:c r="Z561" s="80" t="n">
        <x:f>K561*'Inputs'!$B$16+(G561+R561)*J561*'Inputs'!$B$16</x:f>
        <x:v>0.0009174894654134093</x:v>
      </x:c>
      <x:c r="AA561" s="80" t="n">
        <x:f>K561*(1+'Inputs'!$E$45)/2*'Inputs'!$B$17</x:f>
        <x:v>0.0002922906637039717</x:v>
      </x:c>
      <x:c r="AB561" s="78" t="n">
        <x:f>(IF(J561&gt;0,K561*(1-'Inputs'!$E$45)/2/J561,0)+G561+R561)*'Inputs'!$B$17</x:f>
        <x:v>235634501.43074</x:v>
      </x:c>
      <x:c r="AC561" s="78" t="n">
        <x:f>AC560+AB561</x:f>
        <x:v>4963472534.891374</x:v>
      </x:c>
      <x:c r="AD561" s="80" t="n">
        <x:f>Z561/(1+'Inputs'!$C$45)</x:f>
        <x:v>0.0006116596436089395</x:v>
      </x:c>
      <x:c r="AE561" s="80" t="n">
        <x:f>Z561-AD561</x:f>
        <x:v>0.0003058298218044697</x:v>
      </x:c>
      <x:c r="AF561" s="80" t="n">
        <x:f>D561*W561</x:f>
        <x:v>3.4633054634088505e-7</x:v>
      </x:c>
      <x:c r="AG561" s="80" t="n">
        <x:f>C561*W561</x:f>
        <x:v>6.060784560965674e-7</x:v>
      </x:c>
      <x:c r="AH561" s="80" t="n">
        <x:f>2*'Inputs'!$B$8*'Inputs'!$C$45</x:f>
        <x:v>2500</x:v>
      </x:c>
      <x:c r="AI561" s="81" t="n">
        <x:f>IF(AH561&gt;0,(AE561+AF561)/AH561*365,0)</x:f>
        <x:v>0.00004470171824321835</x:v>
      </x:c>
      <x:c r="AJ561" s="81" t="n">
        <x:f>IF('Inputs'!$B$45&gt;0,AG561/('Inputs'!$B$19*'Inputs'!$B$45)*365,0)</x:f>
        <x:v>2.9495818196699612e-8</x:v>
      </x:c>
      <x:c r="AK561" s="81" t="n">
        <x:f>W561/MAX($W$369:W561)-1</x:f>
        <x:v>-0.9999999983448701</x:v>
      </x:c>
      <x:c r="AL561" s="83" t="n">
        <x:f>'Inputs'!$B$45</x:f>
        <x:v>0.75</x:v>
      </x:c>
      <x:c r="AM561" s="83" t="n">
        <x:f>'Inputs'!$C$45</x:f>
        <x:v>0.5</x:v>
      </x:c>
      <x:c r="AN561" s="83" t="n">
        <x:f>'Inputs'!$D$45</x:f>
        <x:v>0.5</x:v>
      </x:c>
      <x:c r="AO561" s="81" t="n">
        <x:f>'Inputs'!$E$45</x:f>
        <x:v>-0.05</x:v>
      </x:c>
    </x:row>
    <x:row r="562">
      <x:c r="A562" s="59" t="str">
        <x:v>Weak demand</x:v>
      </x:c>
      <x:c r="B562" s="59" t="n">
        <x:v>194</x:v>
      </x:c>
      <x:c r="C562" s="78" t="n">
        <x:f>(('Inputs'!$B$29*(3*194*'Inputs'!$B$12-194^2)/(2*'Inputs'!$B$12^2))-('Inputs'!$B$29*(3*193*'Inputs'!$B$12-193^2)/(2*'Inputs'!$B$12^2)))*'Inputs'!$B$45</x:f>
        <x:v>486808.44201537967</x:v>
      </x:c>
      <x:c r="D562" s="78" t="n">
        <x:f>IF('Inputs'!$C$45&gt;0,('Inputs'!$B$30*(3*194*'Inputs'!$B$12-194^2)/(2*'Inputs'!$B$12^2))-('Inputs'!$B$30*(3*193*'Inputs'!$B$12-193^2)/(2*'Inputs'!$B$12^2)),0)</x:f>
        <x:v>278176.25258022547</x:v>
      </x:c>
      <x:c r="E562" s="78" t="n">
        <x:f>C562+D562</x:f>
        <x:v>764984.6945956051</x:v>
      </x:c>
      <x:c r="F562" s="78" t="n">
        <x:f>'Inputs'!$B$13*E562+(1-'Inputs'!$B$13)/'Inputs'!$B$14*SUM(E507:E562)</x:f>
        <x:v>773414.2780071301</x:v>
      </x:c>
      <x:c r="G562" s="78" t="n">
        <x:f>F562*'Inputs'!$F$45</x:f>
        <x:v>541389.994604991</x:v>
      </x:c>
      <x:c r="H562" s="78" t="n">
        <x:f>U561</x:f>
        <x:v>117087362199.66093</x:v>
      </x:c>
      <x:c r="I562" s="78" t="n">
        <x:f>V561</x:f>
        <x:v>0.14570125560025127</x:v>
      </x:c>
      <x:c r="J562" s="79" t="n">
        <x:f>IF(H562&gt;0,I562/H562,0)</x:f>
        <x:v>1.244380715928992e-12</x:v>
      </x:c>
      <x:c r="K562" s="80" t="n">
        <x:f>(H562*J562+I562)*'Inputs'!$D$45*(1+'Inputs'!$G$45)^(B562/30)</x:f>
        <x:v>0.14570125560025127</x:v>
      </x:c>
      <x:c r="L562" s="80" t="n">
        <x:f>MAX(0,K562*'Inputs'!$E$45)</x:f>
        <x:v>0</x:v>
      </x:c>
      <x:c r="M562" s="80" t="n">
        <x:f>MAX(0,-K562*'Inputs'!$E$45)</x:f>
        <x:v>0.007285062780012563</x:v>
      </x:c>
      <x:c r="N562" s="78" t="n">
        <x:f>H562*(L562*(1-'Inputs'!$B$15))/(I562+L562*(1-'Inputs'!$B$15))</x:f>
        <x:v>0</x:v>
      </x:c>
      <x:c r="O562" s="78" t="n">
        <x:f>H562-N562</x:f>
        <x:v>117087362199.66093</x:v>
      </x:c>
      <x:c r="P562" s="78" t="n">
        <x:f>I562+L562*(1-'Inputs'!$B$17)</x:f>
        <x:v>0.14570125560025127</x:v>
      </x:c>
      <x:c r="Q562" s="78" t="n">
        <x:f>IF(J562&gt;0,M562/J562,0)</x:f>
        <x:v>5854368109.983047</x:v>
      </x:c>
      <x:c r="R562" s="78" t="n">
        <x:f>IF(B562='Inputs'!$H$45,'Inputs'!$B$27*'Inputs'!$I$45,0)</x:f>
        <x:v>0</x:v>
      </x:c>
      <x:c r="S562" s="78" t="n">
        <x:f>Q562+G562+R562</x:f>
        <x:v>5854909499.977652</x:v>
      </x:c>
      <x:c r="T562" s="78" t="n">
        <x:f>P562*(S562*(1-'Inputs'!$B$15))/(O562+S562*(1-'Inputs'!$B$15))</x:f>
        <x:v>0.006872651405866316</x:v>
      </x:c>
      <x:c r="U562" s="78" t="n">
        <x:f>O562+S562*(1-'Inputs'!$B$17)</x:f>
        <x:v>122918710695.61453</x:v>
      </x:c>
      <x:c r="V562" s="78" t="n">
        <x:f>P562-T562</x:f>
        <x:v>0.13882860419438495</x:v>
      </x:c>
      <x:c r="W562" s="79" t="n">
        <x:f>IF(U562&gt;0,V562/U562,0)</x:f>
        <x:v>1.1294342692722212e-12</x:v>
      </x:c>
      <x:c r="X562" s="80" t="n">
        <x:f>W562*('Inputs'!$B$6-AC562)</x:f>
        <x:v>-0.004755869686636344</x:v>
      </x:c>
      <x:c r="Y562" s="80" t="n">
        <x:f>2*V562</x:f>
        <x:v>0.2776572083887699</x:v>
      </x:c>
      <x:c r="Z562" s="80" t="n">
        <x:f>K562*'Inputs'!$B$16+(G562+R562)*J562*'Inputs'!$B$16</x:f>
        <x:v>0.0008742115757731221</x:v>
      </x:c>
      <x:c r="AA562" s="80" t="n">
        <x:f>K562*(1+'Inputs'!$E$45)/2*'Inputs'!$B$17</x:f>
        <x:v>0.00027850340607693904</x:v>
      </x:c>
      <x:c r="AB562" s="78" t="n">
        <x:f>(IF(J562&gt;0,K562*(1-'Inputs'!$E$45)/2/J562,0)+G562+R562)*'Inputs'!$B$17</x:f>
        <x:v>247369845.25077105</x:v>
      </x:c>
      <x:c r="AC562" s="78" t="n">
        <x:f>AC561+AB562</x:f>
        <x:v>5210842380.142145</x:v>
      </x:c>
      <x:c r="AD562" s="80" t="n">
        <x:f>Z562/(1+'Inputs'!$C$45)</x:f>
        <x:v>0.0005828077171820814</x:v>
      </x:c>
      <x:c r="AE562" s="80" t="n">
        <x:f>Z562-AD562</x:f>
        <x:v>0.0002914038585910407</x:v>
      </x:c>
      <x:c r="AF562" s="80" t="n">
        <x:f>D562*W562</x:f>
        <x:v>3.141817925618318e-7</x:v>
      </x:c>
      <x:c r="AG562" s="80" t="n">
        <x:f>C562*W562</x:f>
        <x:v>5.498181369831888e-7</x:v>
      </x:c>
      <x:c r="AH562" s="80" t="n">
        <x:f>2*'Inputs'!$B$8*'Inputs'!$C$45</x:f>
        <x:v>2500</x:v>
      </x:c>
      <x:c r="AI562" s="81" t="n">
        <x:f>IF(AH562&gt;0,(AE562+AF562)/AH562*365,0)</x:f>
        <x:v>0.00004259083389600597</x:v>
      </x:c>
      <x:c r="AJ562" s="81" t="n">
        <x:f>IF('Inputs'!$B$45&gt;0,AG562/('Inputs'!$B$19*'Inputs'!$B$45)*365,0)</x:f>
        <x:v>2.6757815999848518e-8</x:v>
      </x:c>
      <x:c r="AK562" s="81" t="n">
        <x:f>W562/MAX($W$369:W562)-1</x:f>
        <x:v>-0.9999999984977584</x:v>
      </x:c>
      <x:c r="AL562" s="83" t="n">
        <x:f>'Inputs'!$B$45</x:f>
        <x:v>0.75</x:v>
      </x:c>
      <x:c r="AM562" s="83" t="n">
        <x:f>'Inputs'!$C$45</x:f>
        <x:v>0.5</x:v>
      </x:c>
      <x:c r="AN562" s="83" t="n">
        <x:f>'Inputs'!$D$45</x:f>
        <x:v>0.5</x:v>
      </x:c>
      <x:c r="AO562" s="81" t="n">
        <x:f>'Inputs'!$E$45</x:f>
        <x:v>-0.05</x:v>
      </x:c>
    </x:row>
    <x:row r="563">
      <x:c r="A563" s="59" t="str">
        <x:v>Weak demand</x:v>
      </x:c>
      <x:c r="B563" s="59" t="n">
        <x:v>195</x:v>
      </x:c>
      <x:c r="C563" s="78" t="n">
        <x:f>(('Inputs'!$B$29*(3*195*'Inputs'!$B$12-195^2)/(2*'Inputs'!$B$12^2))-('Inputs'!$B$29*(3*194*'Inputs'!$B$12-194^2)/(2*'Inputs'!$B$12^2)))*'Inputs'!$B$45</x:f>
        <x:v>486564.6110902615</x:v>
      </x:c>
      <x:c r="D563" s="78" t="n">
        <x:f>IF('Inputs'!$C$45&gt;0,('Inputs'!$B$30*(3*195*'Inputs'!$B$12-195^2)/(2*'Inputs'!$B$12^2))-('Inputs'!$B$30*(3*194*'Inputs'!$B$12-194^2)/(2*'Inputs'!$B$12^2)),0)</x:f>
        <x:v>278036.92062300444</x:v>
      </x:c>
      <x:c r="E563" s="78" t="n">
        <x:f>C563+D563</x:f>
        <x:v>764601.5317132659</x:v>
      </x:c>
      <x:c r="F563" s="78" t="n">
        <x:f>'Inputs'!$B$13*E563+(1-'Inputs'!$B$13)/'Inputs'!$B$14*SUM(E508:E563)</x:f>
        <x:v>773031.1151247888</x:v>
      </x:c>
      <x:c r="G563" s="78" t="n">
        <x:f>F563*'Inputs'!$F$45</x:f>
        <x:v>541121.7805873521</x:v>
      </x:c>
      <x:c r="H563" s="78" t="n">
        <x:f>U562</x:f>
        <x:v>122918710695.61453</x:v>
      </x:c>
      <x:c r="I563" s="78" t="n">
        <x:f>V562</x:f>
        <x:v>0.13882860419438495</x:v>
      </x:c>
      <x:c r="J563" s="79" t="n">
        <x:f>IF(H563&gt;0,I563/H563,0)</x:f>
        <x:v>1.1294342692722212e-12</x:v>
      </x:c>
      <x:c r="K563" s="80" t="n">
        <x:f>(H563*J563+I563)*'Inputs'!$D$45*(1+'Inputs'!$G$45)^(B563/30)</x:f>
        <x:v>0.13882860419438495</x:v>
      </x:c>
      <x:c r="L563" s="80" t="n">
        <x:f>MAX(0,K563*'Inputs'!$E$45)</x:f>
        <x:v>0</x:v>
      </x:c>
      <x:c r="M563" s="80" t="n">
        <x:f>MAX(0,-K563*'Inputs'!$E$45)</x:f>
        <x:v>0.006941430209719247</x:v>
      </x:c>
      <x:c r="N563" s="78" t="n">
        <x:f>H563*(L563*(1-'Inputs'!$B$15))/(I563+L563*(1-'Inputs'!$B$15))</x:f>
        <x:v>0</x:v>
      </x:c>
      <x:c r="O563" s="78" t="n">
        <x:f>H563-N563</x:f>
        <x:v>122918710695.61453</x:v>
      </x:c>
      <x:c r="P563" s="78" t="n">
        <x:f>I563+L563*(1-'Inputs'!$B$17)</x:f>
        <x:v>0.13882860419438495</x:v>
      </x:c>
      <x:c r="Q563" s="78" t="n">
        <x:f>IF(J563&gt;0,M563/J563,0)</x:f>
        <x:v>6145935534.780726</x:v>
      </x:c>
      <x:c r="R563" s="78" t="n">
        <x:f>IF(B563='Inputs'!$H$45,'Inputs'!$B$27*'Inputs'!$I$45,0)</x:f>
        <x:v>0</x:v>
      </x:c>
      <x:c r="S563" s="78" t="n">
        <x:f>Q563+G563+R563</x:f>
        <x:v>6146476656.561314</x:v>
      </x:c>
      <x:c r="T563" s="78" t="n">
        <x:f>P563*(S563*(1-'Inputs'!$B$15))/(O563+S563*(1-'Inputs'!$B$15))</x:f>
        <x:v>0.00654844441898741</x:v>
      </x:c>
      <x:c r="U563" s="78" t="n">
        <x:f>O563+S563*(1-'Inputs'!$B$17)</x:f>
        <x:v>129040453039.67459</x:v>
      </x:c>
      <x:c r="V563" s="78" t="n">
        <x:f>P563-T563</x:f>
        <x:v>0.13228015977539753</x:v>
      </x:c>
      <x:c r="W563" s="79" t="n">
        <x:f>IF(U563&gt;0,V563/U563,0)</x:f>
        <x:v>1.0251061326848167e-12</x:v>
      </x:c>
      <x:c r="X563" s="80" t="n">
        <x:f>W563*('Inputs'!$B$6-AC563)</x:f>
        <x:v>-0.004582769743584607</x:v>
      </x:c>
      <x:c r="Y563" s="80" t="n">
        <x:f>2*V563</x:f>
        <x:v>0.26456031955079506</x:v>
      </x:c>
      <x:c r="Z563" s="80" t="n">
        <x:f>K563*'Inputs'!$B$16+(G563+R563)*J563*'Inputs'!$B$16</x:f>
        <x:v>0.0008329752921352068</x:v>
      </x:c>
      <x:c r="AA563" s="80" t="n">
        <x:f>K563*(1+'Inputs'!$E$45)/2*'Inputs'!$B$17</x:f>
        <x:v>0.0002653665472528485</x:v>
      </x:c>
      <x:c r="AB563" s="78" t="n">
        <x:f>(IF(J563&gt;0,K563*(1-'Inputs'!$E$45)/2/J563,0)+G563+R563)*'Inputs'!$B$17</x:f>
        <x:v>259689594.51500288</x:v>
      </x:c>
      <x:c r="AC563" s="78" t="n">
        <x:f>AC562+AB563</x:f>
        <x:v>5470531974.657148</x:v>
      </x:c>
      <x:c r="AD563" s="80" t="n">
        <x:f>Z563/(1+'Inputs'!$C$45)</x:f>
        <x:v>0.0005553168614234712</x:v>
      </x:c>
      <x:c r="AE563" s="80" t="n">
        <x:f>Z563-AD563</x:f>
        <x:v>0.00027765843071173555</x:v>
      </x:c>
      <x:c r="AF563" s="80" t="n">
        <x:f>D563*W563</x:f>
        <x:v>2.850173524434434e-7</x:v>
      </x:c>
      <x:c r="AG563" s="80" t="n">
        <x:f>C563*W563</x:f>
        <x:v>4.987803667760298e-7</x:v>
      </x:c>
      <x:c r="AH563" s="80" t="n">
        <x:f>2*'Inputs'!$B$8*'Inputs'!$C$45</x:f>
        <x:v>2500</x:v>
      </x:c>
      <x:c r="AI563" s="81" t="n">
        <x:f>IF(AH563&gt;0,(AE563+AF563)/AH563*365,0)</x:f>
        <x:v>0.00004057974341737013</x:v>
      </x:c>
      <x:c r="AJ563" s="81" t="n">
        <x:f>IF('Inputs'!$B$45&gt;0,AG563/('Inputs'!$B$19*'Inputs'!$B$45)*365,0)</x:f>
        <x:v>2.4273977849766785e-8</x:v>
      </x:c>
      <x:c r="AK563" s="81" t="n">
        <x:f>W563/MAX($W$369:W563)-1</x:f>
        <x:v>-0.9999999986365236</x:v>
      </x:c>
      <x:c r="AL563" s="83" t="n">
        <x:f>'Inputs'!$B$45</x:f>
        <x:v>0.75</x:v>
      </x:c>
      <x:c r="AM563" s="83" t="n">
        <x:f>'Inputs'!$C$45</x:f>
        <x:v>0.5</x:v>
      </x:c>
      <x:c r="AN563" s="83" t="n">
        <x:f>'Inputs'!$D$45</x:f>
        <x:v>0.5</x:v>
      </x:c>
      <x:c r="AO563" s="81" t="n">
        <x:f>'Inputs'!$E$45</x:f>
        <x:v>-0.05</x:v>
      </x:c>
    </x:row>
    <x:row r="564">
      <x:c r="A564" s="59" t="str">
        <x:v>Weak demand</x:v>
      </x:c>
      <x:c r="B564" s="59" t="n">
        <x:v>196</x:v>
      </x:c>
      <x:c r="C564" s="78" t="n">
        <x:f>(('Inputs'!$B$29*(3*196*'Inputs'!$B$12-196^2)/(2*'Inputs'!$B$12^2))-('Inputs'!$B$29*(3*195*'Inputs'!$B$12-195^2)/(2*'Inputs'!$B$12^2)))*'Inputs'!$B$45</x:f>
        <x:v>486320.78016513214</x:v>
      </x:c>
      <x:c r="D564" s="78" t="n">
        <x:f>IF('Inputs'!$C$45&gt;0,('Inputs'!$B$30*(3*196*'Inputs'!$B$12-196^2)/(2*'Inputs'!$B$12^2))-('Inputs'!$B$30*(3*195*'Inputs'!$B$12-195^2)/(2*'Inputs'!$B$12^2)),0)</x:f>
        <x:v>277897.58866579086</x:v>
      </x:c>
      <x:c r="E564" s="78" t="n">
        <x:f>C564+D564</x:f>
        <x:v>764218.368830923</x:v>
      </x:c>
      <x:c r="F564" s="78" t="n">
        <x:f>'Inputs'!$B$13*E564+(1-'Inputs'!$B$13)/'Inputs'!$B$14*SUM(E509:E564)</x:f>
        <x:v>772647.9522424465</x:v>
      </x:c>
      <x:c r="G564" s="78" t="n">
        <x:f>F564*'Inputs'!$F$45</x:f>
        <x:v>540853.5665697125</x:v>
      </x:c>
      <x:c r="H564" s="78" t="n">
        <x:f>U563</x:f>
        <x:v>129040453039.67459</x:v>
      </x:c>
      <x:c r="I564" s="78" t="n">
        <x:f>V563</x:f>
        <x:v>0.13228015977539753</x:v>
      </x:c>
      <x:c r="J564" s="79" t="n">
        <x:f>IF(H564&gt;0,I564/H564,0)</x:f>
        <x:v>1.0251061326848167e-12</x:v>
      </x:c>
      <x:c r="K564" s="80" t="n">
        <x:f>(H564*J564+I564)*'Inputs'!$D$45*(1+'Inputs'!$G$45)^(B564/30)</x:f>
        <x:v>0.13228015977539753</x:v>
      </x:c>
      <x:c r="L564" s="80" t="n">
        <x:f>MAX(0,K564*'Inputs'!$E$45)</x:f>
        <x:v>0</x:v>
      </x:c>
      <x:c r="M564" s="80" t="n">
        <x:f>MAX(0,-K564*'Inputs'!$E$45)</x:f>
        <x:v>0.006614007988769877</x:v>
      </x:c>
      <x:c r="N564" s="78" t="n">
        <x:f>H564*(L564*(1-'Inputs'!$B$15))/(I564+L564*(1-'Inputs'!$B$15))</x:f>
        <x:v>0</x:v>
      </x:c>
      <x:c r="O564" s="78" t="n">
        <x:f>H564-N564</x:f>
        <x:v>129040453039.67459</x:v>
      </x:c>
      <x:c r="P564" s="78" t="n">
        <x:f>I564+L564*(1-'Inputs'!$B$17)</x:f>
        <x:v>0.13228015977539753</x:v>
      </x:c>
      <x:c r="Q564" s="78" t="n">
        <x:f>IF(J564&gt;0,M564/J564,0)</x:f>
        <x:v>6452022651.98373</x:v>
      </x:c>
      <x:c r="R564" s="78" t="n">
        <x:f>IF(B564='Inputs'!$H$45,'Inputs'!$B$27*'Inputs'!$I$45,0)</x:f>
        <x:v>0</x:v>
      </x:c>
      <x:c r="S564" s="78" t="n">
        <x:f>Q564+G564+R564</x:f>
        <x:v>6452563505.5503</x:v>
      </x:c>
      <x:c r="T564" s="78" t="n">
        <x:f>P564*(S564*(1-'Inputs'!$B$15))/(O564+S564*(1-'Inputs'!$B$15))</x:f>
        <x:v>0.006239533974581783</x:v>
      </x:c>
      <x:c r="U564" s="78" t="n">
        <x:f>O564+S564*(1-'Inputs'!$B$17)</x:f>
        <x:v>135467050494.90074</x:v>
      </x:c>
      <x:c r="V564" s="78" t="n">
        <x:f>P564-T564</x:f>
        <x:v>0.12604062580081574</x:v>
      </x:c>
      <x:c r="W564" s="79" t="n">
        <x:f>IF(U564&gt;0,V564/U564,0)</x:f>
        <x:v>9.304153692012373e-13</x:v>
      </x:c>
      <x:c r="X564" s="80" t="n">
        <x:f>W564*('Inputs'!$B$6-AC564)</x:f>
        <x:v>-0.004413104149138208</x:v>
      </x:c>
      <x:c r="Y564" s="80" t="n">
        <x:f>2*V564</x:f>
        <x:v>0.2520812516016315</x:v>
      </x:c>
      <x:c r="Z564" s="80" t="n">
        <x:f>K564*'Inputs'!$B$16+(G564+R564)*J564*'Inputs'!$B$16</x:f>
        <x:v>0.000793684285246233</x:v>
      </x:c>
      <x:c r="AA564" s="80" t="n">
        <x:f>K564*(1+'Inputs'!$E$45)/2*'Inputs'!$B$17</x:f>
        <x:v>0.0002528493999730939</x:v>
      </x:c>
      <x:c r="AB564" s="78" t="n">
        <x:f>(IF(J564&gt;0,K564*(1-'Inputs'!$E$45)/2/J564,0)+G564+R564)*'Inputs'!$B$17</x:f>
        <x:v>272622851.9090372</x:v>
      </x:c>
      <x:c r="AC564" s="78" t="n">
        <x:f>AC563+AB564</x:f>
        <x:v>5743154826.566186</x:v>
      </x:c>
      <x:c r="AD564" s="80" t="n">
        <x:f>Z564/(1+'Inputs'!$C$45)</x:f>
        <x:v>0.000529122856830822</x:v>
      </x:c>
      <x:c r="AE564" s="80" t="n">
        <x:f>Z564-AD564</x:f>
        <x:v>0.00026456142841541097</x:v>
      </x:c>
      <x:c r="AF564" s="80" t="n">
        <x:f>D564*W564</x:f>
        <x:v>2.5856018755861537e-7</x:v>
      </x:c>
      <x:c r="AG564" s="80" t="n">
        <x:f>C564*W564</x:f>
        <x:v>4.5248032822757516e-7</x:v>
      </x:c>
      <x:c r="AH564" s="80" t="n">
        <x:f>2*'Inputs'!$B$8*'Inputs'!$C$45</x:f>
        <x:v>2500</x:v>
      </x:c>
      <x:c r="AI564" s="81" t="n">
        <x:f>IF(AH564&gt;0,(AE564+AF564)/AH564*365,0)</x:f>
        <x:v>0.00003866371833603356</x:v>
      </x:c>
      <x:c r="AJ564" s="81" t="n">
        <x:f>IF('Inputs'!$B$45&gt;0,AG564/('Inputs'!$B$19*'Inputs'!$B$45)*365,0)</x:f>
        <x:v>2.2020709307075327e-8</x:v>
      </x:c>
      <x:c r="AK564" s="81" t="n">
        <x:f>W564/MAX($W$369:W564)-1</x:f>
        <x:v>-0.9999999987624701</x:v>
      </x:c>
      <x:c r="AL564" s="83" t="n">
        <x:f>'Inputs'!$B$45</x:f>
        <x:v>0.75</x:v>
      </x:c>
      <x:c r="AM564" s="83" t="n">
        <x:f>'Inputs'!$C$45</x:f>
        <x:v>0.5</x:v>
      </x:c>
      <x:c r="AN564" s="83" t="n">
        <x:f>'Inputs'!$D$45</x:f>
        <x:v>0.5</x:v>
      </x:c>
      <x:c r="AO564" s="81" t="n">
        <x:f>'Inputs'!$E$45</x:f>
        <x:v>-0.05</x:v>
      </x:c>
    </x:row>
    <x:row r="565">
      <x:c r="A565" s="59" t="str">
        <x:v>Weak demand</x:v>
      </x:c>
      <x:c r="B565" s="59" t="n">
        <x:v>197</x:v>
      </x:c>
      <x:c r="C565" s="78" t="n">
        <x:f>(('Inputs'!$B$29*(3*197*'Inputs'!$B$12-197^2)/(2*'Inputs'!$B$12^2))-('Inputs'!$B$29*(3*196*'Inputs'!$B$12-196^2)/(2*'Inputs'!$B$12^2)))*'Inputs'!$B$45</x:f>
        <x:v>486076.94924001396</x:v>
      </x:c>
      <x:c r="D565" s="78" t="n">
        <x:f>IF('Inputs'!$C$45&gt;0,('Inputs'!$B$30*(3*197*'Inputs'!$B$12-197^2)/(2*'Inputs'!$B$12^2))-('Inputs'!$B$30*(3*196*'Inputs'!$B$12-196^2)/(2*'Inputs'!$B$12^2)),0)</x:f>
        <x:v>277758.2567085773</x:v>
      </x:c>
      <x:c r="E565" s="78" t="n">
        <x:f>C565+D565</x:f>
        <x:v>763835.2059485912</x:v>
      </x:c>
      <x:c r="F565" s="78" t="n">
        <x:f>'Inputs'!$B$13*E565+(1-'Inputs'!$B$13)/'Inputs'!$B$14*SUM(E510:E565)</x:f>
        <x:v>772264.7893601067</x:v>
      </x:c>
      <x:c r="G565" s="78" t="n">
        <x:f>F565*'Inputs'!$F$45</x:f>
        <x:v>540585.3525520747</x:v>
      </x:c>
      <x:c r="H565" s="78" t="n">
        <x:f>U564</x:f>
        <x:v>135467050494.90074</x:v>
      </x:c>
      <x:c r="I565" s="78" t="n">
        <x:f>V564</x:f>
        <x:v>0.12604062580081574</x:v>
      </x:c>
      <x:c r="J565" s="79" t="n">
        <x:f>IF(H565&gt;0,I565/H565,0)</x:f>
        <x:v>9.304153692012373e-13</x:v>
      </x:c>
      <x:c r="K565" s="80" t="n">
        <x:f>(H565*J565+I565)*'Inputs'!$D$45*(1+'Inputs'!$G$45)^(B565/30)</x:f>
        <x:v>0.12604062580081574</x:v>
      </x:c>
      <x:c r="L565" s="80" t="n">
        <x:f>MAX(0,K565*'Inputs'!$E$45)</x:f>
        <x:v>0</x:v>
      </x:c>
      <x:c r="M565" s="80" t="n">
        <x:f>MAX(0,-K565*'Inputs'!$E$45)</x:f>
        <x:v>0.006302031290040787</x:v>
      </x:c>
      <x:c r="N565" s="78" t="n">
        <x:f>H565*(L565*(1-'Inputs'!$B$15))/(I565+L565*(1-'Inputs'!$B$15))</x:f>
        <x:v>0</x:v>
      </x:c>
      <x:c r="O565" s="78" t="n">
        <x:f>H565-N565</x:f>
        <x:v>135467050494.90074</x:v>
      </x:c>
      <x:c r="P565" s="78" t="n">
        <x:f>I565+L565*(1-'Inputs'!$B$17)</x:f>
        <x:v>0.12604062580081574</x:v>
      </x:c>
      <x:c r="Q565" s="78" t="n">
        <x:f>IF(J565&gt;0,M565/J565,0)</x:f>
        <x:v>0</x:v>
      </x:c>
      <x:c r="R565" s="78" t="n">
        <x:f>IF(B565='Inputs'!$H$45,'Inputs'!$B$27*'Inputs'!$I$45,0)</x:f>
        <x:v>0</x:v>
      </x:c>
      <x:c r="S565" s="78" t="n">
        <x:f>Q565+G565+R565</x:f>
        <x:v>540585.3525520747</x:v>
      </x:c>
      <x:c r="T565" s="78" t="n">
        <x:f>P565*(S565*(1-'Inputs'!$B$15))/(O565+S565*(1-'Inputs'!$B$15))</x:f>
        <x:v>4.979372640123846e-7</x:v>
      </x:c>
      <x:c r="U565" s="78" t="n">
        <x:f>O565+S565*(1-'Inputs'!$B$17)</x:f>
        <x:v>135467588904.85953</x:v>
      </x:c>
      <x:c r="V565" s="78" t="n">
        <x:f>P565-T565</x:f>
        <x:v>0.12604012786355173</x:v>
      </x:c>
      <x:c r="W565" s="79" t="n">
        <x:f>IF(U565&gt;0,V565/U565,0)</x:f>
        <x:v>9.304079956134096e-13</x:v>
      </x:c>
      <x:c r="X565" s="80" t="n">
        <x:f>W565*('Inputs'!$B$6-AC565)</x:f>
        <x:v>-0.0044130711990732745</x:v>
      </x:c>
      <x:c r="Y565" s="80" t="n">
        <x:f>2*V565</x:f>
        <x:v>0.25208025572710346</x:v>
      </x:c>
      <x:c r="Z565" s="80" t="n">
        <x:f>K565*'Inputs'!$B$16+(G565+R565)*J565*'Inputs'!$B$16</x:f>
        <x:v>0.0007562467726184168</x:v>
      </x:c>
      <x:c r="AA565" s="80" t="n">
        <x:f>K565*(1+'Inputs'!$E$45)/2*'Inputs'!$B$17</x:f>
        <x:v>0.00024092272537379266</x:v>
      </x:c>
      <x:c r="AB565" s="78" t="n">
        <x:f>(IF(J565&gt;0,K565*(1-'Inputs'!$E$45)/2/J565,0)+G565+R565)*'Inputs'!$B$17</x:f>
        <x:v>2175.393772845371</x:v>
      </x:c>
      <x:c r="AC565" s="78" t="n">
        <x:f>AC564+AB565</x:f>
        <x:v>5743157001.959959</x:v>
      </x:c>
      <x:c r="AD565" s="80" t="n">
        <x:f>Z565/(1+'Inputs'!$C$45)</x:f>
        <x:v>0.0005041645150789445</x:v>
      </x:c>
      <x:c r="AE565" s="80" t="n">
        <x:f>Z565-AD565</x:f>
        <x:v>0.0002520822575394722</x:v>
      </x:c>
      <x:c r="AF565" s="80" t="n">
        <x:f>D565*W565</x:f>
        <x:v>2.5842850288930226e-7</x:v>
      </x:c>
      <x:c r="AG565" s="80" t="n">
        <x:f>C565*W565</x:f>
        <x:v>4.5224988005628246e-7</x:v>
      </x:c>
      <x:c r="AH565" s="80" t="n">
        <x:f>2*'Inputs'!$B$8*'Inputs'!$C$45</x:f>
        <x:v>2500</x:v>
      </x:c>
      <x:c r="AI565" s="81" t="n">
        <x:f>IF(AH565&gt;0,(AE565+AF565)/AH565*365,0)</x:f>
        <x:v>0.00003684174016218478</x:v>
      </x:c>
      <x:c r="AJ565" s="81" t="n">
        <x:f>IF('Inputs'!$B$45&gt;0,AG565/('Inputs'!$B$19*'Inputs'!$B$45)*365,0)</x:f>
        <x:v>2.200949416273908e-8</x:v>
      </x:c>
      <x:c r="AK565" s="81" t="n">
        <x:f>W565/MAX($W$369:W565)-1</x:f>
        <x:v>-0.9999999987624799</x:v>
      </x:c>
      <x:c r="AL565" s="83" t="n">
        <x:f>'Inputs'!$B$45</x:f>
        <x:v>0.75</x:v>
      </x:c>
      <x:c r="AM565" s="83" t="n">
        <x:f>'Inputs'!$C$45</x:f>
        <x:v>0.5</x:v>
      </x:c>
      <x:c r="AN565" s="83" t="n">
        <x:f>'Inputs'!$D$45</x:f>
        <x:v>0.5</x:v>
      </x:c>
      <x:c r="AO565" s="81" t="n">
        <x:f>'Inputs'!$E$45</x:f>
        <x:v>-0.05</x:v>
      </x:c>
    </x:row>
    <x:row r="566">
      <x:c r="A566" s="59" t="str">
        <x:v>Weak demand</x:v>
      </x:c>
      <x:c r="B566" s="59" t="n">
        <x:v>198</x:v>
      </x:c>
      <x:c r="C566" s="78" t="n">
        <x:f>(('Inputs'!$B$29*(3*198*'Inputs'!$B$12-198^2)/(2*'Inputs'!$B$12^2))-('Inputs'!$B$29*(3*197*'Inputs'!$B$12-197^2)/(2*'Inputs'!$B$12^2)))*'Inputs'!$B$45</x:f>
        <x:v>485833.1183148846</x:v>
      </x:c>
      <x:c r="D566" s="78" t="n">
        <x:f>IF('Inputs'!$C$45&gt;0,('Inputs'!$B$30*(3*198*'Inputs'!$B$12-198^2)/(2*'Inputs'!$B$12^2))-('Inputs'!$B$30*(3*197*'Inputs'!$B$12-197^2)/(2*'Inputs'!$B$12^2)),0)</x:f>
        <x:v>277618.92475135624</x:v>
      </x:c>
      <x:c r="E566" s="78" t="n">
        <x:f>C566+D566</x:f>
        <x:v>763452.0430662408</x:v>
      </x:c>
      <x:c r="F566" s="78" t="n">
        <x:f>'Inputs'!$B$13*E566+(1-'Inputs'!$B$13)/'Inputs'!$B$14*SUM(E511:E566)</x:f>
        <x:v>771881.6264777632</x:v>
      </x:c>
      <x:c r="G566" s="78" t="n">
        <x:f>F566*'Inputs'!$F$45</x:f>
        <x:v>540317.1385344341</x:v>
      </x:c>
      <x:c r="H566" s="78" t="n">
        <x:f>U565</x:f>
        <x:v>135467588904.85953</x:v>
      </x:c>
      <x:c r="I566" s="78" t="n">
        <x:f>V565</x:f>
        <x:v>0.12604012786355173</x:v>
      </x:c>
      <x:c r="J566" s="79" t="n">
        <x:f>IF(H566&gt;0,I566/H566,0)</x:f>
        <x:v>9.304079956134096e-13</x:v>
      </x:c>
      <x:c r="K566" s="80" t="n">
        <x:f>(H566*J566+I566)*'Inputs'!$D$45*(1+'Inputs'!$G$45)^(B566/30)</x:f>
        <x:v>0.12604012786355173</x:v>
      </x:c>
      <x:c r="L566" s="80" t="n">
        <x:f>MAX(0,K566*'Inputs'!$E$45)</x:f>
        <x:v>0</x:v>
      </x:c>
      <x:c r="M566" s="80" t="n">
        <x:f>MAX(0,-K566*'Inputs'!$E$45)</x:f>
        <x:v>0.006302006393177587</x:v>
      </x:c>
      <x:c r="N566" s="78" t="n">
        <x:f>H566*(L566*(1-'Inputs'!$B$15))/(I566+L566*(1-'Inputs'!$B$15))</x:f>
        <x:v>0</x:v>
      </x:c>
      <x:c r="O566" s="78" t="n">
        <x:f>H566-N566</x:f>
        <x:v>135467588904.85953</x:v>
      </x:c>
      <x:c r="P566" s="78" t="n">
        <x:f>I566+L566*(1-'Inputs'!$B$17)</x:f>
        <x:v>0.12604012786355173</x:v>
      </x:c>
      <x:c r="Q566" s="78" t="n">
        <x:f>IF(J566&gt;0,M566/J566,0)</x:f>
        <x:v>0</x:v>
      </x:c>
      <x:c r="R566" s="78" t="n">
        <x:f>IF(B566='Inputs'!$H$45,'Inputs'!$B$27*'Inputs'!$I$45,0)</x:f>
        <x:v>0</x:v>
      </x:c>
      <x:c r="S566" s="78" t="n">
        <x:f>Q566+G566+R566</x:f>
        <x:v>540317.1385344341</x:v>
      </x:c>
      <x:c r="T566" s="78" t="n">
        <x:f>P566*(S566*(1-'Inputs'!$B$15))/(O566+S566*(1-'Inputs'!$B$15))</x:f>
        <x:v>4.976862668123939e-7</x:v>
      </x:c>
      <x:c r="U566" s="78" t="n">
        <x:f>O566+S566*(1-'Inputs'!$B$17)</x:f>
        <x:v>135468127047.68362</x:v>
      </x:c>
      <x:c r="V566" s="78" t="n">
        <x:f>P566-T566</x:f>
        <x:v>0.12603963017728492</x:v>
      </x:c>
      <x:c r="W566" s="79" t="n">
        <x:f>IF(U566&gt;0,V566/U566,0)</x:f>
        <x:v>9.304006257716994e-13</x:v>
      </x:c>
      <x:c r="X566" s="80" t="n">
        <x:f>W566*('Inputs'!$B$6-AC566)</x:f>
        <x:v>-0.00441303826574048</x:v>
      </x:c>
      <x:c r="Y566" s="80" t="n">
        <x:f>2*V566</x:f>
        <x:v>0.25207926035456985</x:v>
      </x:c>
      <x:c r="Z566" s="80" t="n">
        <x:f>K566*'Inputs'!$B$16+(G566+R566)*J566*'Inputs'!$B$16</x:f>
        <x:v>0.0007562437834736256</x:v>
      </x:c>
      <x:c r="AA566" s="80" t="n">
        <x:f>K566*(1+'Inputs'!$E$45)/2*'Inputs'!$B$17</x:f>
        <x:v>0.00024092177358224175</x:v>
      </x:c>
      <x:c r="AB566" s="78" t="n">
        <x:f>(IF(J566&gt;0,K566*(1-'Inputs'!$E$45)/2/J566,0)+G566+R566)*'Inputs'!$B$17</x:f>
        <x:v>2174.314440782431</x:v>
      </x:c>
      <x:c r="AC566" s="78" t="n">
        <x:f>AC565+AB566</x:f>
        <x:v>5743159176.2744</x:v>
      </x:c>
      <x:c r="AD566" s="80" t="n">
        <x:f>Z566/(1+'Inputs'!$C$45)</x:f>
        <x:v>0.0005041625223157504</x:v>
      </x:c>
      <x:c r="AE566" s="80" t="n">
        <x:f>Z566-AD566</x:f>
        <x:v>0.0002520812611578752</x:v>
      </x:c>
      <x:c r="AF566" s="80" t="n">
        <x:f>D566*W566</x:f>
        <x:v>2.582968213147282e-7</x:v>
      </x:c>
      <x:c r="AG566" s="80" t="n">
        <x:f>C566*W566</x:f>
        <x:v>4.5201943730078475e-7</x:v>
      </x:c>
      <x:c r="AH566" s="80" t="n">
        <x:f>2*'Inputs'!$B$8*'Inputs'!$C$45</x:f>
        <x:v>2500</x:v>
      </x:c>
      <x:c r="AI566" s="81" t="n">
        <x:f>IF(AH566&gt;0,(AE566+AF566)/AH566*365,0)</x:f>
        <x:v>0.00003684157546496173</x:v>
      </x:c>
      <x:c r="AJ566" s="81" t="n">
        <x:f>IF('Inputs'!$B$45&gt;0,AG566/('Inputs'!$B$19*'Inputs'!$B$45)*365,0)</x:f>
        <x:v>2.1998279281971527e-8</x:v>
      </x:c>
      <x:c r="AK566" s="81" t="n">
        <x:f>W566/MAX($W$369:W566)-1</x:f>
        <x:v>-0.9999999987624897</x:v>
      </x:c>
      <x:c r="AL566" s="83" t="n">
        <x:f>'Inputs'!$B$45</x:f>
        <x:v>0.75</x:v>
      </x:c>
      <x:c r="AM566" s="83" t="n">
        <x:f>'Inputs'!$C$45</x:f>
        <x:v>0.5</x:v>
      </x:c>
      <x:c r="AN566" s="83" t="n">
        <x:f>'Inputs'!$D$45</x:f>
        <x:v>0.5</x:v>
      </x:c>
      <x:c r="AO566" s="81" t="n">
        <x:f>'Inputs'!$E$45</x:f>
        <x:v>-0.05</x:v>
      </x:c>
    </x:row>
    <x:row r="567">
      <x:c r="A567" s="59" t="str">
        <x:v>Weak demand</x:v>
      </x:c>
      <x:c r="B567" s="59" t="n">
        <x:v>199</x:v>
      </x:c>
      <x:c r="C567" s="78" t="n">
        <x:f>(('Inputs'!$B$29*(3*199*'Inputs'!$B$12-199^2)/(2*'Inputs'!$B$12^2))-('Inputs'!$B$29*(3*198*'Inputs'!$B$12-198^2)/(2*'Inputs'!$B$12^2)))*'Inputs'!$B$45</x:f>
        <x:v>485589.28738975525</x:v>
      </x:c>
      <x:c r="D567" s="78" t="n">
        <x:f>IF('Inputs'!$C$45&gt;0,('Inputs'!$B$30*(3*199*'Inputs'!$B$12-199^2)/(2*'Inputs'!$B$12^2))-('Inputs'!$B$30*(3*198*'Inputs'!$B$12-198^2)/(2*'Inputs'!$B$12^2)),0)</x:f>
        <x:v>277479.5927941501</x:v>
      </x:c>
      <x:c r="E567" s="78" t="n">
        <x:f>C567+D567</x:f>
        <x:v>763068.8801839054</x:v>
      </x:c>
      <x:c r="F567" s="78" t="n">
        <x:f>'Inputs'!$B$13*E567+(1-'Inputs'!$B$13)/'Inputs'!$B$14*SUM(E512:E567)</x:f>
        <x:v>771498.4635954227</x:v>
      </x:c>
      <x:c r="G567" s="78" t="n">
        <x:f>F567*'Inputs'!$F$45</x:f>
        <x:v>540048.9245167959</x:v>
      </x:c>
      <x:c r="H567" s="78" t="n">
        <x:f>U566</x:f>
        <x:v>135468127047.68362</x:v>
      </x:c>
      <x:c r="I567" s="78" t="n">
        <x:f>V566</x:f>
        <x:v>0.12603963017728492</x:v>
      </x:c>
      <x:c r="J567" s="79" t="n">
        <x:f>IF(H567&gt;0,I567/H567,0)</x:f>
        <x:v>9.304006257716994e-13</x:v>
      </x:c>
      <x:c r="K567" s="80" t="n">
        <x:f>(H567*J567+I567)*'Inputs'!$D$45*(1+'Inputs'!$G$45)^(B567/30)</x:f>
        <x:v>0.12603963017728492</x:v>
      </x:c>
      <x:c r="L567" s="80" t="n">
        <x:f>MAX(0,K567*'Inputs'!$E$45)</x:f>
        <x:v>0</x:v>
      </x:c>
      <x:c r="M567" s="80" t="n">
        <x:f>MAX(0,-K567*'Inputs'!$E$45)</x:f>
        <x:v>0.006301981508864247</x:v>
      </x:c>
      <x:c r="N567" s="78" t="n">
        <x:f>H567*(L567*(1-'Inputs'!$B$15))/(I567+L567*(1-'Inputs'!$B$15))</x:f>
        <x:v>0</x:v>
      </x:c>
      <x:c r="O567" s="78" t="n">
        <x:f>H567-N567</x:f>
        <x:v>135468127047.68362</x:v>
      </x:c>
      <x:c r="P567" s="78" t="n">
        <x:f>I567+L567*(1-'Inputs'!$B$17)</x:f>
        <x:v>0.12603963017728492</x:v>
      </x:c>
      <x:c r="Q567" s="78" t="n">
        <x:f>IF(J567&gt;0,M567/J567,0)</x:f>
        <x:v>0</x:v>
      </x:c>
      <x:c r="R567" s="78" t="n">
        <x:f>IF(B567='Inputs'!$H$45,'Inputs'!$B$27*'Inputs'!$I$45,0)</x:f>
        <x:v>0</x:v>
      </x:c>
      <x:c r="S567" s="78" t="n">
        <x:f>Q567+G567+R567</x:f>
        <x:v>540048.9245167959</x:v>
      </x:c>
      <x:c r="T567" s="78" t="n">
        <x:f>P567*(S567*(1-'Inputs'!$B$15))/(O567+S567*(1-'Inputs'!$B$15))</x:f>
        <x:v>4.974352755300796e-7</x:v>
      </x:c>
      <x:c r="U567" s="78" t="n">
        <x:f>O567+S567*(1-'Inputs'!$B$17)</x:f>
        <x:v>135468664923.37303</x:v>
      </x:c>
      <x:c r="V567" s="78" t="n">
        <x:f>P567-T567</x:f>
        <x:v>0.1260391327420094</x:v>
      </x:c>
      <x:c r="W567" s="79" t="n">
        <x:f>IF(U567&gt;0,V567/U567,0)</x:f>
        <x:v>9.303932596759746e-13</x:v>
      </x:c>
      <x:c r="X567" s="80" t="n">
        <x:f>W567*('Inputs'!$B$6-AC567)</x:f>
        <x:v>-0.0044130053491392455</x:v>
      </x:c>
      <x:c r="Y567" s="80" t="n">
        <x:f>2*V567</x:f>
        <x:v>0.2520782654840188</x:v>
      </x:c>
      <x:c r="Z567" s="80" t="n">
        <x:f>K567*'Inputs'!$B$16+(G567+R567)*J567*'Inputs'!$B$16</x:f>
        <x:v>0.0007562407958348535</x:v>
      </x:c>
      <x:c r="AA567" s="80" t="n">
        <x:f>K567*(1+'Inputs'!$E$45)/2*'Inputs'!$B$17</x:f>
        <x:v>0.00024092082227046414</x:v>
      </x:c>
      <x:c r="AB567" s="78" t="n">
        <x:f>(IF(J567&gt;0,K567*(1-'Inputs'!$E$45)/2/J567,0)+G567+R567)*'Inputs'!$B$17</x:f>
        <x:v>2173.2351087195007</x:v>
      </x:c>
      <x:c r="AC567" s="78" t="n">
        <x:f>AC566+AB567</x:f>
        <x:v>5743161349.509508</x:v>
      </x:c>
      <x:c r="AD567" s="80" t="n">
        <x:f>Z567/(1+'Inputs'!$C$45)</x:f>
        <x:v>0.000504160530556569</x:v>
      </x:c>
      <x:c r="AE567" s="80" t="n">
        <x:f>Z567-AD567</x:f>
        <x:v>0.0002520802652782845</x:v>
      </x:c>
      <x:c r="AF567" s="80" t="n">
        <x:f>D567*W567</x:f>
        <x:v>2.581651428333114e-7</x:v>
      </x:c>
      <x:c r="AG567" s="80" t="n">
        <x:f>C567*W567</x:f>
        <x:v>4.51788999958288e-7</x:v>
      </x:c>
      <x:c r="AH567" s="80" t="n">
        <x:f>2*'Inputs'!$B$8*'Inputs'!$C$45</x:f>
        <x:v>2500</x:v>
      </x:c>
      <x:c r="AI567" s="81" t="n">
        <x:f>IF(AH567&gt;0,(AE567+AF567)/AH567*365,0)</x:f>
        <x:v>0.0000368414108414832</x:v>
      </x:c>
      <x:c r="AJ567" s="81" t="n">
        <x:f>IF('Inputs'!$B$45&gt;0,AG567/('Inputs'!$B$19*'Inputs'!$B$45)*365,0)</x:f>
        <x:v>2.198706466463668e-8</x:v>
      </x:c>
      <x:c r="AK567" s="81" t="n">
        <x:f>W567/MAX($W$369:W567)-1</x:f>
        <x:v>-0.9999999987624996</x:v>
      </x:c>
      <x:c r="AL567" s="83" t="n">
        <x:f>'Inputs'!$B$45</x:f>
        <x:v>0.75</x:v>
      </x:c>
      <x:c r="AM567" s="83" t="n">
        <x:f>'Inputs'!$C$45</x:f>
        <x:v>0.5</x:v>
      </x:c>
      <x:c r="AN567" s="83" t="n">
        <x:f>'Inputs'!$D$45</x:f>
        <x:v>0.5</x:v>
      </x:c>
      <x:c r="AO567" s="81" t="n">
        <x:f>'Inputs'!$E$45</x:f>
        <x:v>-0.05</x:v>
      </x:c>
    </x:row>
    <x:row r="568">
      <x:c r="A568" s="59" t="str">
        <x:v>Weak demand</x:v>
      </x:c>
      <x:c r="B568" s="59" t="n">
        <x:v>200</x:v>
      </x:c>
      <x:c r="C568" s="78" t="n">
        <x:f>(('Inputs'!$B$29*(3*200*'Inputs'!$B$12-200^2)/(2*'Inputs'!$B$12^2))-('Inputs'!$B$29*(3*199*'Inputs'!$B$12-199^2)/(2*'Inputs'!$B$12^2)))*'Inputs'!$B$45</x:f>
        <x:v>485345.4564646259</x:v>
      </x:c>
      <x:c r="D568" s="78" t="n">
        <x:f>IF('Inputs'!$C$45&gt;0,('Inputs'!$B$30*(3*200*'Inputs'!$B$12-200^2)/(2*'Inputs'!$B$12^2))-('Inputs'!$B$30*(3*199*'Inputs'!$B$12-199^2)/(2*'Inputs'!$B$12^2)),0)</x:f>
        <x:v>277340.2608369291</x:v>
      </x:c>
      <x:c r="E568" s="78" t="n">
        <x:f>C568+D568</x:f>
        <x:v>762685.717301555</x:v>
      </x:c>
      <x:c r="F568" s="78" t="n">
        <x:f>'Inputs'!$B$13*E568+(1-'Inputs'!$B$13)/'Inputs'!$B$14*SUM(E513:E568)</x:f>
        <x:v>771115.3007130789</x:v>
      </x:c>
      <x:c r="G568" s="78" t="n">
        <x:f>F568*'Inputs'!$F$45</x:f>
        <x:v>539780.7104991552</x:v>
      </x:c>
      <x:c r="H568" s="78" t="n">
        <x:f>U567</x:f>
        <x:v>135468664923.37303</x:v>
      </x:c>
      <x:c r="I568" s="78" t="n">
        <x:f>V567</x:f>
        <x:v>0.1260391327420094</x:v>
      </x:c>
      <x:c r="J568" s="79" t="n">
        <x:f>IF(H568&gt;0,I568/H568,0)</x:f>
        <x:v>9.303932596759746e-13</x:v>
      </x:c>
      <x:c r="K568" s="80" t="n">
        <x:f>(H568*J568+I568)*'Inputs'!$D$45*(1+'Inputs'!$G$45)^(B568/30)</x:f>
        <x:v>0.1260391327420094</x:v>
      </x:c>
      <x:c r="L568" s="80" t="n">
        <x:f>MAX(0,K568*'Inputs'!$E$45)</x:f>
        <x:v>0</x:v>
      </x:c>
      <x:c r="M568" s="80" t="n">
        <x:f>MAX(0,-K568*'Inputs'!$E$45)</x:f>
        <x:v>0.0063019566371004705</x:v>
      </x:c>
      <x:c r="N568" s="78" t="n">
        <x:f>H568*(L568*(1-'Inputs'!$B$15))/(I568+L568*(1-'Inputs'!$B$15))</x:f>
        <x:v>0</x:v>
      </x:c>
      <x:c r="O568" s="78" t="n">
        <x:f>H568-N568</x:f>
        <x:v>135468664923.37303</x:v>
      </x:c>
      <x:c r="P568" s="78" t="n">
        <x:f>I568+L568*(1-'Inputs'!$B$17)</x:f>
        <x:v>0.1260391327420094</x:v>
      </x:c>
      <x:c r="Q568" s="78" t="n">
        <x:f>IF(J568&gt;0,M568/J568,0)</x:f>
        <x:v>0</x:v>
      </x:c>
      <x:c r="R568" s="78" t="n">
        <x:f>IF(B568='Inputs'!$H$45,'Inputs'!$B$27*'Inputs'!$I$45,0)</x:f>
        <x:v>0</x:v>
      </x:c>
      <x:c r="S568" s="78" t="n">
        <x:f>Q568+G568+R568</x:f>
        <x:v>539780.7104991552</x:v>
      </x:c>
      <x:c r="T568" s="78" t="n">
        <x:f>P568*(S568*(1-'Inputs'!$B$15))/(O568+S568*(1-'Inputs'!$B$15))</x:f>
        <x:v>4.971842901623826e-7</x:v>
      </x:c>
      <x:c r="U568" s="78" t="n">
        <x:f>O568+S568*(1-'Inputs'!$B$17)</x:f>
        <x:v>135469202531.92775</x:v>
      </x:c>
      <x:c r="V568" s="78" t="n">
        <x:f>P568-T568</x:f>
        <x:v>0.12603863555771924</x:v>
      </x:c>
      <x:c r="W568" s="79" t="n">
        <x:f>IF(U568&gt;0,V568/U568,0)</x:f>
        <x:v>9.303858973261034e-13</x:v>
      </x:c>
      <x:c r="X568" s="80" t="n">
        <x:f>W568*('Inputs'!$B$6-AC568)</x:f>
        <x:v>-0.004412972449268997</x:v>
      </x:c>
      <x:c r="Y568" s="80" t="n">
        <x:f>2*V568</x:f>
        <x:v>0.2520772711154385</x:v>
      </x:c>
      <x:c r="Z568" s="80" t="n">
        <x:f>K568*'Inputs'!$B$16+(G568+R568)*J568*'Inputs'!$B$16</x:f>
        <x:v>0.0007562378097020649</x:v>
      </x:c>
      <x:c r="AA568" s="80" t="n">
        <x:f>K568*(1+'Inputs'!$E$45)/2*'Inputs'!$B$17</x:f>
        <x:v>0.00024091987143844853</x:v>
      </x:c>
      <x:c r="AB568" s="78" t="n">
        <x:f>(IF(J568&gt;0,K568*(1-'Inputs'!$E$45)/2/J568,0)+G568+R568)*'Inputs'!$B$17</x:f>
        <x:v>2172.15577665656</x:v>
      </x:c>
      <x:c r="AC568" s="78" t="n">
        <x:f>AC567+AB568</x:f>
        <x:v>5743163521.665285</x:v>
      </x:c>
      <x:c r="AD568" s="80" t="n">
        <x:f>Z568/(1+'Inputs'!$C$45)</x:f>
        <x:v>0.0005041585398013767</x:v>
      </x:c>
      <x:c r="AE568" s="80" t="n">
        <x:f>Z568-AD568</x:f>
        <x:v>0.0002520792699006883</x:v>
      </x:c>
      <x:c r="AF568" s="80" t="n">
        <x:f>D568*W568</x:f>
        <x:v>2.580334674434218e-7</x:v>
      </x:c>
      <x:c r="AG568" s="80" t="n">
        <x:f>C568*W568</x:f>
        <x:v>4.5155856802598824e-7</x:v>
      </x:c>
      <x:c r="AH568" s="80" t="n">
        <x:f>2*'Inputs'!$B$8*'Inputs'!$C$45</x:f>
        <x:v>2500</x:v>
      </x:c>
      <x:c r="AI568" s="81" t="n">
        <x:f>IF(AH568&gt;0,(AE568+AF568)/AH568*365,0)</x:f>
        <x:v>0.00003684124629174723</x:v>
      </x:c>
      <x:c r="AJ568" s="81" t="n">
        <x:f>IF('Inputs'!$B$45&gt;0,AG568/('Inputs'!$B$19*'Inputs'!$B$45)*365,0)</x:f>
        <x:v>2.197585031059809e-8</x:v>
      </x:c>
      <x:c r="AK568" s="81" t="n">
        <x:f>W568/MAX($W$369:W568)-1</x:f>
        <x:v>-0.9999999987625093</x:v>
      </x:c>
      <x:c r="AL568" s="83" t="n">
        <x:f>'Inputs'!$B$45</x:f>
        <x:v>0.75</x:v>
      </x:c>
      <x:c r="AM568" s="83" t="n">
        <x:f>'Inputs'!$C$45</x:f>
        <x:v>0.5</x:v>
      </x:c>
      <x:c r="AN568" s="83" t="n">
        <x:f>'Inputs'!$D$45</x:f>
        <x:v>0.5</x:v>
      </x:c>
      <x:c r="AO568" s="81" t="n">
        <x:f>'Inputs'!$E$45</x:f>
        <x:v>-0.05</x:v>
      </x:c>
    </x:row>
    <x:row r="569">
      <x:c r="A569" s="59" t="str">
        <x:v>Weak demand</x:v>
      </x:c>
      <x:c r="B569" s="59" t="n">
        <x:v>201</x:v>
      </x:c>
      <x:c r="C569" s="78" t="n">
        <x:f>(('Inputs'!$B$29*(3*201*'Inputs'!$B$12-201^2)/(2*'Inputs'!$B$12^2))-('Inputs'!$B$29*(3*200*'Inputs'!$B$12-200^2)/(2*'Inputs'!$B$12^2)))*'Inputs'!$B$45</x:f>
        <x:v>485101.62553949654</x:v>
      </x:c>
      <x:c r="D569" s="78" t="n">
        <x:f>IF('Inputs'!$C$45&gt;0,('Inputs'!$B$30*(3*201*'Inputs'!$B$12-201^2)/(2*'Inputs'!$B$12^2))-('Inputs'!$B$30*(3*200*'Inputs'!$B$12-200^2)/(2*'Inputs'!$B$12^2)),0)</x:f>
        <x:v>277200.9288797155</x:v>
      </x:c>
      <x:c r="E569" s="78" t="n">
        <x:f>C569+D569</x:f>
        <x:v>762302.554419212</x:v>
      </x:c>
      <x:c r="F569" s="78" t="n">
        <x:f>'Inputs'!$B$13*E569+(1-'Inputs'!$B$13)/'Inputs'!$B$14*SUM(E514:E569)</x:f>
        <x:v>770732.1378307368</x:v>
      </x:c>
      <x:c r="G569" s="78" t="n">
        <x:f>F569*'Inputs'!$F$45</x:f>
        <x:v>539512.4964815157</x:v>
      </x:c>
      <x:c r="H569" s="78" t="n">
        <x:f>U568</x:f>
        <x:v>135469202531.92775</x:v>
      </x:c>
      <x:c r="I569" s="78" t="n">
        <x:f>V568</x:f>
        <x:v>0.12603863555771924</x:v>
      </x:c>
      <x:c r="J569" s="79" t="n">
        <x:f>IF(H569&gt;0,I569/H569,0)</x:f>
        <x:v>9.303858973261034e-13</x:v>
      </x:c>
      <x:c r="K569" s="80" t="n">
        <x:f>(H569*J569+I569)*'Inputs'!$D$45*(1+'Inputs'!$G$45)^(B569/30)</x:f>
        <x:v>0.12603863555771924</x:v>
      </x:c>
      <x:c r="L569" s="80" t="n">
        <x:f>MAX(0,K569*'Inputs'!$E$45)</x:f>
        <x:v>0</x:v>
      </x:c>
      <x:c r="M569" s="80" t="n">
        <x:f>MAX(0,-K569*'Inputs'!$E$45)</x:f>
        <x:v>0.0063019317778859624</x:v>
      </x:c>
      <x:c r="N569" s="78" t="n">
        <x:f>H569*(L569*(1-'Inputs'!$B$15))/(I569+L569*(1-'Inputs'!$B$15))</x:f>
        <x:v>0</x:v>
      </x:c>
      <x:c r="O569" s="78" t="n">
        <x:f>H569-N569</x:f>
        <x:v>135469202531.92775</x:v>
      </x:c>
      <x:c r="P569" s="78" t="n">
        <x:f>I569+L569*(1-'Inputs'!$B$17)</x:f>
        <x:v>0.12603863555771924</x:v>
      </x:c>
      <x:c r="Q569" s="78" t="n">
        <x:f>IF(J569&gt;0,M569/J569,0)</x:f>
        <x:v>0</x:v>
      </x:c>
      <x:c r="R569" s="78" t="n">
        <x:f>IF(B569='Inputs'!$H$45,'Inputs'!$B$27*'Inputs'!$I$45,0)</x:f>
        <x:v>0</x:v>
      </x:c>
      <x:c r="S569" s="78" t="n">
        <x:f>Q569+G569+R569</x:f>
        <x:v>539512.4964815157</x:v>
      </x:c>
      <x:c r="T569" s="78" t="n">
        <x:f>P569*(S569*(1-'Inputs'!$B$15))/(O569+S569*(1-'Inputs'!$B$15))</x:f>
        <x:v>4.969333107062518e-7</x:v>
      </x:c>
      <x:c r="U569" s="78" t="n">
        <x:f>O569+S569*(1-'Inputs'!$B$17)</x:f>
        <x:v>135469739873.3478</x:v>
      </x:c>
      <x:c r="V569" s="78" t="n">
        <x:f>P569-T569</x:f>
        <x:v>0.12603813862440855</x:v>
      </x:c>
      <x:c r="W569" s="79" t="n">
        <x:f>IF(U569&gt;0,V569/U569,0)</x:f>
        <x:v>9.30378538721954e-13</x:v>
      </x:c>
      <x:c r="X569" s="80" t="n">
        <x:f>W569*('Inputs'!$B$6-AC569)</x:f>
        <x:v>-0.004412939566129155</x:v>
      </x:c>
      <x:c r="Y569" s="80" t="n">
        <x:f>2*V569</x:f>
        <x:v>0.2520762772488171</x:v>
      </x:c>
      <x:c r="Z569" s="80" t="n">
        <x:f>K569*'Inputs'!$B$16+(G569+R569)*J569*'Inputs'!$B$16</x:f>
        <x:v>0.0007562348250752243</x:v>
      </x:c>
      <x:c r="AA569" s="80" t="n">
        <x:f>K569*(1+'Inputs'!$E$45)/2*'Inputs'!$B$17</x:f>
        <x:v>0.00024091892108618366</x:v>
      </x:c>
      <x:c r="AB569" s="78" t="n">
        <x:f>(IF(J569&gt;0,K569*(1-'Inputs'!$E$45)/2/J569,0)+G569+R569)*'Inputs'!$B$17</x:f>
        <x:v>2171.0764445936247</x:v>
      </x:c>
      <x:c r="AC569" s="78" t="n">
        <x:f>AC568+AB569</x:f>
        <x:v>5743165692.74173</x:v>
      </x:c>
      <x:c r="AD569" s="80" t="n">
        <x:f>Z569/(1+'Inputs'!$C$45)</x:f>
        <x:v>0.0005041565500501496</x:v>
      </x:c>
      <x:c r="AE569" s="80" t="n">
        <x:f>Z569-AD569</x:f>
        <x:v>0.00025207827502507474</x:v>
      </x:c>
      <x:c r="AF569" s="80" t="n">
        <x:f>D569*W569</x:f>
        <x:v>2.57901795143478e-7</x:v>
      </x:c>
      <x:c r="AG569" s="80" t="n">
        <x:f>C569*W569</x:f>
        <x:v>4.5132814150108133e-7</x:v>
      </x:c>
      <x:c r="AH569" s="80" t="n">
        <x:f>2*'Inputs'!$B$8*'Inputs'!$C$45</x:f>
        <x:v>2500</x:v>
      </x:c>
      <x:c r="AI569" s="81" t="n">
        <x:f>IF(AH569&gt;0,(AE569+AF569)/AH569*365,0)</x:f>
        <x:v>0.00003684108181575186</x:v>
      </x:c>
      <x:c r="AJ569" s="81" t="n">
        <x:f>IF('Inputs'!$B$45&gt;0,AG569/('Inputs'!$B$19*'Inputs'!$B$45)*365,0)</x:f>
        <x:v>2.196463621971929e-8</x:v>
      </x:c>
      <x:c r="AK569" s="81" t="n">
        <x:f>W569/MAX($W$369:W569)-1</x:f>
        <x:v>-0.9999999987625191</x:v>
      </x:c>
      <x:c r="AL569" s="83" t="n">
        <x:f>'Inputs'!$B$45</x:f>
        <x:v>0.75</x:v>
      </x:c>
      <x:c r="AM569" s="83" t="n">
        <x:f>'Inputs'!$C$45</x:f>
        <x:v>0.5</x:v>
      </x:c>
      <x:c r="AN569" s="83" t="n">
        <x:f>'Inputs'!$D$45</x:f>
        <x:v>0.5</x:v>
      </x:c>
      <x:c r="AO569" s="81" t="n">
        <x:f>'Inputs'!$E$45</x:f>
        <x:v>-0.05</x:v>
      </x:c>
    </x:row>
    <x:row r="570">
      <x:c r="A570" s="59" t="str">
        <x:v>Weak demand</x:v>
      </x:c>
      <x:c r="B570" s="59" t="n">
        <x:v>202</x:v>
      </x:c>
      <x:c r="C570" s="78" t="n">
        <x:f>(('Inputs'!$B$29*(3*202*'Inputs'!$B$12-202^2)/(2*'Inputs'!$B$12^2))-('Inputs'!$B$29*(3*201*'Inputs'!$B$12-201^2)/(2*'Inputs'!$B$12^2)))*'Inputs'!$B$45</x:f>
        <x:v>484857.7946143672</x:v>
      </x:c>
      <x:c r="D570" s="78" t="n">
        <x:f>IF('Inputs'!$C$45&gt;0,('Inputs'!$B$30*(3*202*'Inputs'!$B$12-202^2)/(2*'Inputs'!$B$12^2))-('Inputs'!$B$30*(3*201*'Inputs'!$B$12-201^2)/(2*'Inputs'!$B$12^2)),0)</x:f>
        <x:v>277061.5969224945</x:v>
      </x:c>
      <x:c r="E570" s="78" t="n">
        <x:f>C570+D570</x:f>
        <x:v>761919.3915368617</x:v>
      </x:c>
      <x:c r="F570" s="78" t="n">
        <x:f>'Inputs'!$B$13*E570+(1-'Inputs'!$B$13)/'Inputs'!$B$14*SUM(E515:E570)</x:f>
        <x:v>770348.974948393</x:v>
      </x:c>
      <x:c r="G570" s="78" t="n">
        <x:f>F570*'Inputs'!$F$45</x:f>
        <x:v>539244.282463875</x:v>
      </x:c>
      <x:c r="H570" s="78" t="n">
        <x:f>U569</x:f>
        <x:v>135469739873.3478</x:v>
      </x:c>
      <x:c r="I570" s="78" t="n">
        <x:f>V569</x:f>
        <x:v>0.12603813862440855</x:v>
      </x:c>
      <x:c r="J570" s="79" t="n">
        <x:f>IF(H570&gt;0,I570/H570,0)</x:f>
        <x:v>9.30378538721954e-13</x:v>
      </x:c>
      <x:c r="K570" s="80" t="n">
        <x:f>(H570*J570+I570)*'Inputs'!$D$45*(1+'Inputs'!$G$45)^(B570/30)</x:f>
        <x:v>0.12603813862440855</x:v>
      </x:c>
      <x:c r="L570" s="80" t="n">
        <x:f>MAX(0,K570*'Inputs'!$E$45)</x:f>
        <x:v>0</x:v>
      </x:c>
      <x:c r="M570" s="80" t="n">
        <x:f>MAX(0,-K570*'Inputs'!$E$45)</x:f>
        <x:v>0.0063019069312204275</x:v>
      </x:c>
      <x:c r="N570" s="78" t="n">
        <x:f>H570*(L570*(1-'Inputs'!$B$15))/(I570+L570*(1-'Inputs'!$B$15))</x:f>
        <x:v>0</x:v>
      </x:c>
      <x:c r="O570" s="78" t="n">
        <x:f>H570-N570</x:f>
        <x:v>135469739873.3478</x:v>
      </x:c>
      <x:c r="P570" s="78" t="n">
        <x:f>I570+L570*(1-'Inputs'!$B$17)</x:f>
        <x:v>0.12603813862440855</x:v>
      </x:c>
      <x:c r="Q570" s="78" t="n">
        <x:f>IF(J570&gt;0,M570/J570,0)</x:f>
        <x:v>0</x:v>
      </x:c>
      <x:c r="R570" s="78" t="n">
        <x:f>IF(B570='Inputs'!$H$45,'Inputs'!$B$27*'Inputs'!$I$45,0)</x:f>
        <x:v>0</x:v>
      </x:c>
      <x:c r="S570" s="78" t="n">
        <x:f>Q570+G570+R570</x:f>
        <x:v>539244.282463875</x:v>
      </x:c>
      <x:c r="T570" s="78" t="n">
        <x:f>P570*(S570*(1-'Inputs'!$B$15))/(O570+S570*(1-'Inputs'!$B$15))</x:f>
        <x:v>4.96682337158631e-7</x:v>
      </x:c>
      <x:c r="U570" s="78" t="n">
        <x:f>O570+S570*(1-'Inputs'!$B$17)</x:f>
        <x:v>135470276947.63315</x:v>
      </x:c>
      <x:c r="V570" s="78" t="n">
        <x:f>P570-T570</x:f>
        <x:v>0.1260376419420714</x:v>
      </x:c>
      <x:c r="W570" s="79" t="n">
        <x:f>IF(U570&gt;0,V570/U570,0)</x:f>
        <x:v>9.303711838633946e-13</x:v>
      </x:c>
      <x:c r="X570" s="80" t="n">
        <x:f>W570*('Inputs'!$B$6-AC570)</x:f>
        <x:v>-0.004412906699719144</x:v>
      </x:c>
      <x:c r="Y570" s="80" t="n">
        <x:f>2*V570</x:f>
        <x:v>0.2520752838841428</x:v>
      </x:c>
      <x:c r="Z570" s="80" t="n">
        <x:f>K570*'Inputs'!$B$16+(G570+R570)*J570*'Inputs'!$B$16</x:f>
        <x:v>0.0007562318419542965</x:v>
      </x:c>
      <x:c r="AA570" s="80" t="n">
        <x:f>K570*(1+'Inputs'!$E$45)/2*'Inputs'!$B$17</x:f>
        <x:v>0.0002409179712136582</x:v>
      </x:c>
      <x:c r="AB570" s="78" t="n">
        <x:f>(IF(J570&gt;0,K570*(1-'Inputs'!$E$45)/2/J570,0)+G570+R570)*'Inputs'!$B$17</x:f>
        <x:v>2169.9971125306843</x:v>
      </x:c>
      <x:c r="AC570" s="78" t="n">
        <x:f>AC569+AB570</x:f>
        <x:v>5743167862.738842</x:v>
      </x:c>
      <x:c r="AD570" s="80" t="n">
        <x:f>Z570/(1+'Inputs'!$C$45)</x:f>
        <x:v>0.0005041545613028644</x:v>
      </x:c>
      <x:c r="AE570" s="80" t="n">
        <x:f>Z570-AD570</x:f>
        <x:v>0.0002520772806514322</x:v>
      </x:c>
      <x:c r="AF570" s="80" t="n">
        <x:f>D570*W570</x:f>
        <x:v>2.577701259318638e-7</x:v>
      </x:c>
      <x:c r="AG570" s="80" t="n">
        <x:f>C570*W570</x:f>
        <x:v>4.5109772038076344e-7</x:v>
      </x:c>
      <x:c r="AH570" s="80" t="n">
        <x:f>2*'Inputs'!$B$8*'Inputs'!$C$45</x:f>
        <x:v>2500</x:v>
      </x:c>
      <x:c r="AI570" s="81" t="n">
        <x:f>IF(AH570&gt;0,(AE570+AF570)/AH570*365,0)</x:f>
        <x:v>0.00003684091741349515</x:v>
      </x:c>
      <x:c r="AJ570" s="81" t="n">
        <x:f>IF('Inputs'!$B$45&gt;0,AG570/('Inputs'!$B$19*'Inputs'!$B$45)*365,0)</x:f>
        <x:v>2.195342239186382e-8</x:v>
      </x:c>
      <x:c r="AK570" s="81" t="n">
        <x:f>W570/MAX($W$369:W570)-1</x:f>
        <x:v>-0.9999999987625289</x:v>
      </x:c>
      <x:c r="AL570" s="83" t="n">
        <x:f>'Inputs'!$B$45</x:f>
        <x:v>0.75</x:v>
      </x:c>
      <x:c r="AM570" s="83" t="n">
        <x:f>'Inputs'!$C$45</x:f>
        <x:v>0.5</x:v>
      </x:c>
      <x:c r="AN570" s="83" t="n">
        <x:f>'Inputs'!$D$45</x:f>
        <x:v>0.5</x:v>
      </x:c>
      <x:c r="AO570" s="81" t="n">
        <x:f>'Inputs'!$E$45</x:f>
        <x:v>-0.05</x:v>
      </x:c>
    </x:row>
    <x:row r="571">
      <x:c r="A571" s="59" t="str">
        <x:v>Weak demand</x:v>
      </x:c>
      <x:c r="B571" s="59" t="n">
        <x:v>203</x:v>
      </x:c>
      <x:c r="C571" s="78" t="n">
        <x:f>(('Inputs'!$B$29*(3*203*'Inputs'!$B$12-203^2)/(2*'Inputs'!$B$12^2))-('Inputs'!$B$29*(3*202*'Inputs'!$B$12-202^2)/(2*'Inputs'!$B$12^2)))*'Inputs'!$B$45</x:f>
        <x:v>484613.9636892602</x:v>
      </x:c>
      <x:c r="D571" s="78" t="n">
        <x:f>IF('Inputs'!$C$45&gt;0,('Inputs'!$B$30*(3*203*'Inputs'!$B$12-203^2)/(2*'Inputs'!$B$12^2))-('Inputs'!$B$30*(3*202*'Inputs'!$B$12-202^2)/(2*'Inputs'!$B$12^2)),0)</x:f>
        <x:v>276922.26496528834</x:v>
      </x:c>
      <x:c r="E571" s="78" t="n">
        <x:f>C571+D571</x:f>
        <x:v>761536.2286545485</x:v>
      </x:c>
      <x:c r="F571" s="78" t="n">
        <x:f>'Inputs'!$B$13*E571+(1-'Inputs'!$B$13)/'Inputs'!$B$14*SUM(E516:E571)</x:f>
        <x:v>769965.8120660571</x:v>
      </x:c>
      <x:c r="G571" s="78" t="n">
        <x:f>F571*'Inputs'!$F$45</x:f>
        <x:v>538976.0684462399</x:v>
      </x:c>
      <x:c r="H571" s="78" t="n">
        <x:f>U570</x:f>
        <x:v>135470276947.63315</x:v>
      </x:c>
      <x:c r="I571" s="78" t="n">
        <x:f>V570</x:f>
        <x:v>0.1260376419420714</x:v>
      </x:c>
      <x:c r="J571" s="79" t="n">
        <x:f>IF(H571&gt;0,I571/H571,0)</x:f>
        <x:v>9.303711838633946e-13</x:v>
      </x:c>
      <x:c r="K571" s="80" t="n">
        <x:f>(H571*J571+I571)*'Inputs'!$D$45*(1+'Inputs'!$G$45)^(B571/30)</x:f>
        <x:v>0.1260376419420714</x:v>
      </x:c>
      <x:c r="L571" s="80" t="n">
        <x:f>MAX(0,K571*'Inputs'!$E$45)</x:f>
        <x:v>0</x:v>
      </x:c>
      <x:c r="M571" s="80" t="n">
        <x:f>MAX(0,-K571*'Inputs'!$E$45)</x:f>
        <x:v>0.00630188209710357</x:v>
      </x:c>
      <x:c r="N571" s="78" t="n">
        <x:f>H571*(L571*(1-'Inputs'!$B$15))/(I571+L571*(1-'Inputs'!$B$15))</x:f>
        <x:v>0</x:v>
      </x:c>
      <x:c r="O571" s="78" t="n">
        <x:f>H571-N571</x:f>
        <x:v>135470276947.63315</x:v>
      </x:c>
      <x:c r="P571" s="78" t="n">
        <x:f>I571+L571*(1-'Inputs'!$B$17)</x:f>
        <x:v>0.1260376419420714</x:v>
      </x:c>
      <x:c r="Q571" s="78" t="n">
        <x:f>IF(J571&gt;0,M571/J571,0)</x:f>
        <x:v>0</x:v>
      </x:c>
      <x:c r="R571" s="78" t="n">
        <x:f>IF(B571='Inputs'!$H$45,'Inputs'!$B$27*'Inputs'!$I$45,0)</x:f>
        <x:v>0</x:v>
      </x:c>
      <x:c r="S571" s="78" t="n">
        <x:f>Q571+G571+R571</x:f>
        <x:v>538976.0684462399</x:v>
      </x:c>
      <x:c r="T571" s="78" t="n">
        <x:f>P571*(S571*(1-'Inputs'!$B$15))/(O571+S571*(1-'Inputs'!$B$15))</x:f>
        <x:v>4.964313695164724e-7</x:v>
      </x:c>
      <x:c r="U571" s="78" t="n">
        <x:f>O571+S571*(1-'Inputs'!$B$17)</x:f>
        <x:v>135470813754.78381</x:v>
      </x:c>
      <x:c r="V571" s="78" t="n">
        <x:f>P571-T571</x:f>
        <x:v>0.1260371455107019</x:v>
      </x:c>
      <x:c r="W571" s="79" t="n">
        <x:f>IF(U571&gt;0,V571/U571,0)</x:f>
        <x:v>9.303638327502939e-13</x:v>
      </x:c>
      <x:c r="X571" s="80" t="n">
        <x:f>W571*('Inputs'!$B$6-AC571)</x:f>
        <x:v>-0.004412873850038388</x:v>
      </x:c>
      <x:c r="Y571" s="80" t="n">
        <x:f>2*V571</x:f>
        <x:v>0.2520742910214038</x:v>
      </x:c>
      <x:c r="Z571" s="80" t="n">
        <x:f>K571*'Inputs'!$B$16+(G571+R571)*J571*'Inputs'!$B$16</x:f>
        <x:v>0.0007562288603392457</x:v>
      </x:c>
      <x:c r="AA571" s="80" t="n">
        <x:f>K571*(1+'Inputs'!$E$45)/2*'Inputs'!$B$17</x:f>
        <x:v>0.00024091702182086084</x:v>
      </x:c>
      <x:c r="AB571" s="78" t="n">
        <x:f>(IF(J571&gt;0,K571*(1-'Inputs'!$E$45)/2/J571,0)+G571+R571)*'Inputs'!$B$17</x:f>
        <x:v>2168.9177804677665</x:v>
      </x:c>
      <x:c r="AC571" s="78" t="n">
        <x:f>AC570+AB571</x:f>
        <x:v>5743170031.656623</x:v>
      </x:c>
      <x:c r="AD571" s="80" t="n">
        <x:f>Z571/(1+'Inputs'!$C$45)</x:f>
        <x:v>0.0005041525735594971</x:v>
      </x:c>
      <x:c r="AE571" s="80" t="n">
        <x:f>Z571-AD571</x:f>
        <x:v>0.00025207628677974855</x:v>
      </x:c>
      <x:c r="AF571" s="80" t="n">
        <x:f>D571*W571</x:f>
        <x:v>2.576384598069981e-7</x:v>
      </x:c>
      <x:c r="AG571" s="80" t="n">
        <x:f>C571*W571</x:f>
        <x:v>4.5086730466225184e-7</x:v>
      </x:c>
      <x:c r="AH571" s="80" t="n">
        <x:f>2*'Inputs'!$B$8*'Inputs'!$C$45</x:f>
        <x:v>2500</x:v>
      </x:c>
      <x:c r="AI571" s="81" t="n">
        <x:f>IF(AH571&gt;0,(AE571+AF571)/AH571*365,0)</x:f>
        <x:v>0.00003684075308497511</x:v>
      </x:c>
      <x:c r="AJ571" s="81" t="n">
        <x:f>IF('Inputs'!$B$45&gt;0,AG571/('Inputs'!$B$19*'Inputs'!$B$45)*365,0)</x:f>
        <x:v>2.1942208826896257e-8</x:v>
      </x:c>
      <x:c r="AK571" s="81" t="n">
        <x:f>W571/MAX($W$369:W571)-1</x:f>
        <x:v>-0.9999999987625386</x:v>
      </x:c>
      <x:c r="AL571" s="83" t="n">
        <x:f>'Inputs'!$B$45</x:f>
        <x:v>0.75</x:v>
      </x:c>
      <x:c r="AM571" s="83" t="n">
        <x:f>'Inputs'!$C$45</x:f>
        <x:v>0.5</x:v>
      </x:c>
      <x:c r="AN571" s="83" t="n">
        <x:f>'Inputs'!$D$45</x:f>
        <x:v>0.5</x:v>
      </x:c>
      <x:c r="AO571" s="81" t="n">
        <x:f>'Inputs'!$E$45</x:f>
        <x:v>-0.05</x:v>
      </x:c>
    </x:row>
    <x:row r="572">
      <x:c r="A572" s="59" t="str">
        <x:v>Weak demand</x:v>
      </x:c>
      <x:c r="B572" s="59" t="n">
        <x:v>204</x:v>
      </x:c>
      <x:c r="C572" s="78" t="n">
        <x:f>(('Inputs'!$B$29*(3*204*'Inputs'!$B$12-204^2)/(2*'Inputs'!$B$12^2))-('Inputs'!$B$29*(3*203*'Inputs'!$B$12-203^2)/(2*'Inputs'!$B$12^2)))*'Inputs'!$B$45</x:f>
        <x:v>484370.1327641085</x:v>
      </x:c>
      <x:c r="D572" s="78" t="n">
        <x:f>IF('Inputs'!$C$45&gt;0,('Inputs'!$B$30*(3*204*'Inputs'!$B$12-204^2)/(2*'Inputs'!$B$12^2))-('Inputs'!$B$30*(3*203*'Inputs'!$B$12-203^2)/(2*'Inputs'!$B$12^2)),0)</x:f>
        <x:v>276782.9330080673</x:v>
      </x:c>
      <x:c r="E572" s="78" t="n">
        <x:f>C572+D572</x:f>
        <x:v>761153.0657721758</x:v>
      </x:c>
      <x:c r="F572" s="78" t="n">
        <x:f>'Inputs'!$B$13*E572+(1-'Inputs'!$B$13)/'Inputs'!$B$14*SUM(E517:E572)</x:f>
        <x:v>769582.6491837088</x:v>
      </x:c>
      <x:c r="G572" s="78" t="n">
        <x:f>F572*'Inputs'!$F$45</x:f>
        <x:v>538707.8544285961</x:v>
      </x:c>
      <x:c r="H572" s="78" t="n">
        <x:f>U571</x:f>
        <x:v>135470813754.78381</x:v>
      </x:c>
      <x:c r="I572" s="78" t="n">
        <x:f>V571</x:f>
        <x:v>0.1260371455107019</x:v>
      </x:c>
      <x:c r="J572" s="79" t="n">
        <x:f>IF(H572&gt;0,I572/H572,0)</x:f>
        <x:v>9.303638327502939e-13</x:v>
      </x:c>
      <x:c r="K572" s="80" t="n">
        <x:f>(H572*J572+I572)*'Inputs'!$D$45*(1+'Inputs'!$G$45)^(B572/30)</x:f>
        <x:v>0.1260371455107019</x:v>
      </x:c>
      <x:c r="L572" s="80" t="n">
        <x:f>MAX(0,K572*'Inputs'!$E$45)</x:f>
        <x:v>0</x:v>
      </x:c>
      <x:c r="M572" s="80" t="n">
        <x:f>MAX(0,-K572*'Inputs'!$E$45)</x:f>
        <x:v>0.006301857275535095</x:v>
      </x:c>
      <x:c r="N572" s="78" t="n">
        <x:f>H572*(L572*(1-'Inputs'!$B$15))/(I572+L572*(1-'Inputs'!$B$15))</x:f>
        <x:v>0</x:v>
      </x:c>
      <x:c r="O572" s="78" t="n">
        <x:f>H572-N572</x:f>
        <x:v>135470813754.78381</x:v>
      </x:c>
      <x:c r="P572" s="78" t="n">
        <x:f>I572+L572*(1-'Inputs'!$B$17)</x:f>
        <x:v>0.1260371455107019</x:v>
      </x:c>
      <x:c r="Q572" s="78" t="n">
        <x:f>IF(J572&gt;0,M572/J572,0)</x:f>
        <x:v>0</x:v>
      </x:c>
      <x:c r="R572" s="78" t="n">
        <x:f>IF(B572='Inputs'!$H$45,'Inputs'!$B$27*'Inputs'!$I$45,0)</x:f>
        <x:v>0</x:v>
      </x:c>
      <x:c r="S572" s="78" t="n">
        <x:f>Q572+G572+R572</x:f>
        <x:v>538707.8544285961</x:v>
      </x:c>
      <x:c r="T572" s="78" t="n">
        <x:f>P572*(S572*(1-'Inputs'!$B$15))/(O572+S572*(1-'Inputs'!$B$15))</x:f>
        <x:v>4.961804077767087e-7</x:v>
      </x:c>
      <x:c r="U572" s="78" t="n">
        <x:f>O572+S572*(1-'Inputs'!$B$17)</x:f>
        <x:v>135471350294.79979</x:v>
      </x:c>
      <x:c r="V572" s="78" t="n">
        <x:f>P572-T572</x:f>
        <x:v>0.1260366493302941</x:v>
      </x:c>
      <x:c r="W572" s="79" t="n">
        <x:f>IF(U572&gt;0,V572/U572,0)</x:f>
        <x:v>9.303564853825197e-13</x:v>
      </x:c>
      <x:c r="X572" s="80" t="n">
        <x:f>W572*('Inputs'!$B$6-AC572)</x:f>
        <x:v>-0.0044128410170863105</x:v>
      </x:c>
      <x:c r="Y572" s="80" t="n">
        <x:f>2*V572</x:f>
        <x:v>0.2520732986605882</x:v>
      </x:c>
      <x:c r="Z572" s="80" t="n">
        <x:f>K572*'Inputs'!$B$16+(G572+R572)*J572*'Inputs'!$B$16</x:f>
        <x:v>0.0007562258802300363</x:v>
      </x:c>
      <x:c r="AA572" s="80" t="n">
        <x:f>K572*(1+'Inputs'!$E$45)/2*'Inputs'!$B$17</x:f>
        <x:v>0.00024091607290778027</x:v>
      </x:c>
      <x:c r="AB572" s="78" t="n">
        <x:f>(IF(J572&gt;0,K572*(1-'Inputs'!$E$45)/2/J572,0)+G572+R572)*'Inputs'!$B$17</x:f>
        <x:v>2167.8384484048133</x:v>
      </x:c>
      <x:c r="AC572" s="78" t="n">
        <x:f>AC571+AB572</x:f>
        <x:v>5743172199.495071</x:v>
      </x:c>
      <x:c r="AD572" s="80" t="n">
        <x:f>Z572/(1+'Inputs'!$C$45)</x:f>
        <x:v>0.0005041505868200242</x:v>
      </x:c>
      <x:c r="AE572" s="80" t="n">
        <x:f>Z572-AD572</x:f>
        <x:v>0.00025207529341001215</x:v>
      </x:c>
      <x:c r="AF572" s="80" t="n">
        <x:f>D572*W572</x:f>
        <x:v>2.575067967672509e-7</x:v>
      </x:c>
      <x:c r="AG572" s="80" t="n">
        <x:f>C572*W572</x:f>
        <x:v>4.5063689434268044e-7</x:v>
      </x:c>
      <x:c r="AH572" s="80" t="n">
        <x:f>2*'Inputs'!$B$8*'Inputs'!$C$45</x:f>
        <x:v>2500</x:v>
      </x:c>
      <x:c r="AI572" s="81" t="n">
        <x:f>IF(AH572&gt;0,(AE572+AF572)/AH572*365,0)</x:f>
        <x:v>0.000036840588830189793</x:v>
      </x:c>
      <x:c r="AJ572" s="81" t="n">
        <x:f>IF('Inputs'!$B$45&gt;0,AG572/('Inputs'!$B$19*'Inputs'!$B$45)*365,0)</x:f>
        <x:v>2.1930995524677117e-8</x:v>
      </x:c>
      <x:c r="AK572" s="81" t="n">
        <x:f>W572/MAX($W$369:W572)-1</x:f>
        <x:v>-0.9999999987625484</x:v>
      </x:c>
      <x:c r="AL572" s="83" t="n">
        <x:f>'Inputs'!$B$45</x:f>
        <x:v>0.75</x:v>
      </x:c>
      <x:c r="AM572" s="83" t="n">
        <x:f>'Inputs'!$C$45</x:f>
        <x:v>0.5</x:v>
      </x:c>
      <x:c r="AN572" s="83" t="n">
        <x:f>'Inputs'!$D$45</x:f>
        <x:v>0.5</x:v>
      </x:c>
      <x:c r="AO572" s="81" t="n">
        <x:f>'Inputs'!$E$45</x:f>
        <x:v>-0.05</x:v>
      </x:c>
    </x:row>
    <x:row r="573">
      <x:c r="A573" s="59" t="str">
        <x:v>Weak demand</x:v>
      </x:c>
      <x:c r="B573" s="59" t="n">
        <x:v>205</x:v>
      </x:c>
      <x:c r="C573" s="78" t="n">
        <x:f>(('Inputs'!$B$29*(3*205*'Inputs'!$B$12-205^2)/(2*'Inputs'!$B$12^2))-('Inputs'!$B$29*(3*204*'Inputs'!$B$12-204^2)/(2*'Inputs'!$B$12^2)))*'Inputs'!$B$45</x:f>
        <x:v>484126.3018390015</x:v>
      </x:c>
      <x:c r="D573" s="78" t="n">
        <x:f>IF('Inputs'!$C$45&gt;0,('Inputs'!$B$30*(3*205*'Inputs'!$B$12-205^2)/(2*'Inputs'!$B$12^2))-('Inputs'!$B$30*(3*204*'Inputs'!$B$12-204^2)/(2*'Inputs'!$B$12^2)),0)</x:f>
        <x:v>276643.60105085373</x:v>
      </x:c>
      <x:c r="E573" s="78" t="n">
        <x:f>C573+D573</x:f>
        <x:v>760769.9028898552</x:v>
      </x:c>
      <x:c r="F573" s="78" t="n">
        <x:f>'Inputs'!$B$13*E573+(1-'Inputs'!$B$13)/'Inputs'!$B$14*SUM(E518:E573)</x:f>
        <x:v>769199.4863013714</x:v>
      </x:c>
      <x:c r="G573" s="78" t="n">
        <x:f>F573*'Inputs'!$F$45</x:f>
        <x:v>538439.64041096</x:v>
      </x:c>
      <x:c r="H573" s="78" t="n">
        <x:f>U572</x:f>
        <x:v>135471350294.79979</x:v>
      </x:c>
      <x:c r="I573" s="78" t="n">
        <x:f>V572</x:f>
        <x:v>0.1260366493302941</x:v>
      </x:c>
      <x:c r="J573" s="79" t="n">
        <x:f>IF(H573&gt;0,I573/H573,0)</x:f>
        <x:v>9.303564853825197e-13</x:v>
      </x:c>
      <x:c r="K573" s="80" t="n">
        <x:f>(H573*J573+I573)*'Inputs'!$D$45*(1+'Inputs'!$G$45)^(B573/30)</x:f>
        <x:v>0.1260366493302941</x:v>
      </x:c>
      <x:c r="L573" s="80" t="n">
        <x:f>MAX(0,K573*'Inputs'!$E$45)</x:f>
        <x:v>0</x:v>
      </x:c>
      <x:c r="M573" s="80" t="n">
        <x:f>MAX(0,-K573*'Inputs'!$E$45)</x:f>
        <x:v>0.006301832466514706</x:v>
      </x:c>
      <x:c r="N573" s="78" t="n">
        <x:f>H573*(L573*(1-'Inputs'!$B$15))/(I573+L573*(1-'Inputs'!$B$15))</x:f>
        <x:v>0</x:v>
      </x:c>
      <x:c r="O573" s="78" t="n">
        <x:f>H573-N573</x:f>
        <x:v>135471350294.79979</x:v>
      </x:c>
      <x:c r="P573" s="78" t="n">
        <x:f>I573+L573*(1-'Inputs'!$B$17)</x:f>
        <x:v>0.1260366493302941</x:v>
      </x:c>
      <x:c r="Q573" s="78" t="n">
        <x:f>IF(J573&gt;0,M573/J573,0)</x:f>
        <x:v>0</x:v>
      </x:c>
      <x:c r="R573" s="78" t="n">
        <x:f>IF(B573='Inputs'!$H$45,'Inputs'!$B$27*'Inputs'!$I$45,0)</x:f>
        <x:v>0</x:v>
      </x:c>
      <x:c r="S573" s="78" t="n">
        <x:f>Q573+G573+R573</x:f>
        <x:v>538439.64041096</x:v>
      </x:c>
      <x:c r="T573" s="78" t="n">
        <x:f>P573*(S573*(1-'Inputs'!$B$15))/(O573+S573*(1-'Inputs'!$B$15))</x:f>
        <x:v>4.959294519363012e-7</x:v>
      </x:c>
      <x:c r="U573" s="78" t="n">
        <x:f>O573+S573*(1-'Inputs'!$B$17)</x:f>
        <x:v>135471886567.68109</x:v>
      </x:c>
      <x:c r="V573" s="78" t="n">
        <x:f>P573-T573</x:f>
        <x:v>0.12603615340084215</x:v>
      </x:c>
      <x:c r="W573" s="79" t="n">
        <x:f>IF(U573&gt;0,V573/U573,0)</x:f>
        <x:v>9.303491417599409e-13</x:v>
      </x:c>
      <x:c r="X573" s="80" t="n">
        <x:f>W573*('Inputs'!$B$6-AC573)</x:f>
        <x:v>-0.004412808200862334</x:v>
      </x:c>
      <x:c r="Y573" s="80" t="n">
        <x:f>2*V573</x:f>
        <x:v>0.2520723068016843</x:v>
      </x:c>
      <x:c r="Z573" s="80" t="n">
        <x:f>K573*'Inputs'!$B$16+(G573+R573)*J573*'Inputs'!$B$16</x:f>
        <x:v>0.0007562229016266332</x:v>
      </x:c>
      <x:c r="AA573" s="80" t="n">
        <x:f>K573*(1+'Inputs'!$E$45)/2*'Inputs'!$B$17</x:f>
        <x:v>0.00024091512447440522</x:v>
      </x:c>
      <x:c r="AB573" s="78" t="n">
        <x:f>(IF(J573&gt;0,K573*(1-'Inputs'!$E$45)/2/J573,0)+G573+R573)*'Inputs'!$B$17</x:f>
        <x:v>2166.7591163418915</x:v>
      </x:c>
      <x:c r="AC573" s="78" t="n">
        <x:f>AC572+AB573</x:f>
        <x:v>5743174366.254188</x:v>
      </x:c>
      <x:c r="AD573" s="80" t="n">
        <x:f>Z573/(1+'Inputs'!$C$45)</x:f>
        <x:v>0.0005041486010844222</x:v>
      </x:c>
      <x:c r="AE573" s="80" t="n">
        <x:f>Z573-AD573</x:f>
        <x:v>0.00025207430054221104</x:v>
      </x:c>
      <x:c r="AF573" s="80" t="n">
        <x:f>D573*W573</x:f>
        <x:v>2.573751368110412e-7</x:v>
      </x:c>
      <x:c r="AG573" s="80" t="n">
        <x:f>C573*W573</x:f>
        <x:v>4.504064894193291e-7</x:v>
      </x:c>
      <x:c r="AH573" s="80" t="n">
        <x:f>2*'Inputs'!$B$8*'Inputs'!$C$45</x:f>
        <x:v>2500</x:v>
      </x:c>
      <x:c r="AI573" s="81" t="n">
        <x:f>IF(AH573&gt;0,(AE573+AF573)/AH573*365,0)</x:f>
        <x:v>0.000036840424649137224</x:v>
      </x:c>
      <x:c r="AJ573" s="81" t="n">
        <x:f>IF('Inputs'!$B$45&gt;0,AG573/('Inputs'!$B$19*'Inputs'!$B$45)*365,0)</x:f>
        <x:v>2.1919782485074014e-8</x:v>
      </x:c>
      <x:c r="AK573" s="81" t="n">
        <x:f>W573/MAX($W$369:W573)-1</x:f>
        <x:v>-0.9999999987625582</x:v>
      </x:c>
      <x:c r="AL573" s="83" t="n">
        <x:f>'Inputs'!$B$45</x:f>
        <x:v>0.75</x:v>
      </x:c>
      <x:c r="AM573" s="83" t="n">
        <x:f>'Inputs'!$C$45</x:f>
        <x:v>0.5</x:v>
      </x:c>
      <x:c r="AN573" s="83" t="n">
        <x:f>'Inputs'!$D$45</x:f>
        <x:v>0.5</x:v>
      </x:c>
      <x:c r="AO573" s="81" t="n">
        <x:f>'Inputs'!$E$45</x:f>
        <x:v>-0.05</x:v>
      </x:c>
    </x:row>
    <x:row r="574">
      <x:c r="A574" s="59" t="str">
        <x:v>Weak demand</x:v>
      </x:c>
      <x:c r="B574" s="59" t="n">
        <x:v>206</x:v>
      </x:c>
      <x:c r="C574" s="78" t="n">
        <x:f>(('Inputs'!$B$29*(3*206*'Inputs'!$B$12-206^2)/(2*'Inputs'!$B$12^2))-('Inputs'!$B$29*(3*205*'Inputs'!$B$12-205^2)/(2*'Inputs'!$B$12^2)))*'Inputs'!$B$45</x:f>
        <x:v>483882.4709138721</x:v>
      </x:c>
      <x:c r="D574" s="78" t="n">
        <x:f>IF('Inputs'!$C$45&gt;0,('Inputs'!$B$30*(3*206*'Inputs'!$B$12-206^2)/(2*'Inputs'!$B$12^2))-('Inputs'!$B$30*(3*205*'Inputs'!$B$12-205^2)/(2*'Inputs'!$B$12^2)),0)</x:f>
        <x:v>276504.26909364015</x:v>
      </x:c>
      <x:c r="E574" s="78" t="n">
        <x:f>C574+D574</x:f>
        <x:v>760386.7400075123</x:v>
      </x:c>
      <x:c r="F574" s="78" t="n">
        <x:f>'Inputs'!$B$13*E574+(1-'Inputs'!$B$13)/'Inputs'!$B$14*SUM(E519:E574)</x:f>
        <x:v>768816.3234190294</x:v>
      </x:c>
      <x:c r="G574" s="78" t="n">
        <x:f>F574*'Inputs'!$F$45</x:f>
        <x:v>538171.4263933206</x:v>
      </x:c>
      <x:c r="H574" s="78" t="n">
        <x:f>U573</x:f>
        <x:v>135471886567.68109</x:v>
      </x:c>
      <x:c r="I574" s="78" t="n">
        <x:f>V573</x:f>
        <x:v>0.12603615340084215</x:v>
      </x:c>
      <x:c r="J574" s="79" t="n">
        <x:f>IF(H574&gt;0,I574/H574,0)</x:f>
        <x:v>9.303491417599409e-13</x:v>
      </x:c>
      <x:c r="K574" s="80" t="n">
        <x:f>(H574*J574+I574)*'Inputs'!$D$45*(1+'Inputs'!$G$45)^(B574/30)</x:f>
        <x:v>0.12603615340084215</x:v>
      </x:c>
      <x:c r="L574" s="80" t="n">
        <x:f>MAX(0,K574*'Inputs'!$E$45)</x:f>
        <x:v>0</x:v>
      </x:c>
      <x:c r="M574" s="80" t="n">
        <x:f>MAX(0,-K574*'Inputs'!$E$45)</x:f>
        <x:v>0.006301807670042108</x:v>
      </x:c>
      <x:c r="N574" s="78" t="n">
        <x:f>H574*(L574*(1-'Inputs'!$B$15))/(I574+L574*(1-'Inputs'!$B$15))</x:f>
        <x:v>0</x:v>
      </x:c>
      <x:c r="O574" s="78" t="n">
        <x:f>H574-N574</x:f>
        <x:v>135471886567.68109</x:v>
      </x:c>
      <x:c r="P574" s="78" t="n">
        <x:f>I574+L574*(1-'Inputs'!$B$17)</x:f>
        <x:v>0.12603615340084215</x:v>
      </x:c>
      <x:c r="Q574" s="78" t="n">
        <x:f>IF(J574&gt;0,M574/J574,0)</x:f>
        <x:v>0</x:v>
      </x:c>
      <x:c r="R574" s="78" t="n">
        <x:f>IF(B574='Inputs'!$H$45,'Inputs'!$B$27*'Inputs'!$I$45,0)</x:f>
        <x:v>0</x:v>
      </x:c>
      <x:c r="S574" s="78" t="n">
        <x:f>Q574+G574+R574</x:f>
        <x:v>538171.4263933206</x:v>
      </x:c>
      <x:c r="T574" s="78" t="n">
        <x:f>P574*(S574*(1-'Inputs'!$B$15))/(O574+S574*(1-'Inputs'!$B$15))</x:f>
        <x:v>4.956785019921867e-7</x:v>
      </x:c>
      <x:c r="U574" s="78" t="n">
        <x:f>O574+S574*(1-'Inputs'!$B$17)</x:f>
        <x:v>135472422573.4277</x:v>
      </x:c>
      <x:c r="V574" s="78" t="n">
        <x:f>P574-T574</x:f>
        <x:v>0.12603565772234016</x:v>
      </x:c>
      <x:c r="W574" s="79" t="n">
        <x:f>IF(U574&gt;0,V574/U574,0)</x:f>
        <x:v>9.303418018824259e-13</x:v>
      </x:c>
      <x:c r="X574" s="80" t="n">
        <x:f>W574*('Inputs'!$B$6-AC574)</x:f>
        <x:v>-0.0044127754013658866</x:v>
      </x:c>
      <x:c r="Y574" s="80" t="n">
        <x:f>2*V574</x:f>
        <x:v>0.2520713154446803</x:v>
      </x:c>
      <x:c r="Z574" s="80" t="n">
        <x:f>K574*'Inputs'!$B$16+(G574+R574)*J574*'Inputs'!$B$16</x:f>
        <x:v>0.0007562199245290009</x:v>
      </x:c>
      <x:c r="AA574" s="80" t="n">
        <x:f>K574*(1+'Inputs'!$E$45)/2*'Inputs'!$B$17</x:f>
        <x:v>0.00024091417652072445</x:v>
      </x:c>
      <x:c r="AB574" s="78" t="n">
        <x:f>(IF(J574&gt;0,K574*(1-'Inputs'!$E$45)/2/J574,0)+G574+R574)*'Inputs'!$B$17</x:f>
        <x:v>2165.679784278956</x:v>
      </x:c>
      <x:c r="AC574" s="78" t="n">
        <x:f>AC573+AB574</x:f>
        <x:v>5743176531.933971</x:v>
      </x:c>
      <x:c r="AD574" s="80" t="n">
        <x:f>Z574/(1+'Inputs'!$C$45)</x:f>
        <x:v>0.0005041466163526673</x:v>
      </x:c>
      <x:c r="AE574" s="80" t="n">
        <x:f>Z574-AD574</x:f>
        <x:v>0.00025207330817633364</x:v>
      </x:c>
      <x:c r="AF574" s="80" t="n">
        <x:f>D574*W574</x:f>
        <x:v>2.572434799367603e-7</x:v>
      </x:c>
      <x:c r="AG574" s="80" t="n">
        <x:f>C574*W574</x:f>
        <x:v>4.501760898893323e-7</x:v>
      </x:c>
      <x:c r="AH574" s="80" t="n">
        <x:f>2*'Inputs'!$B$8*'Inputs'!$C$45</x:f>
        <x:v>2500</x:v>
      </x:c>
      <x:c r="AI574" s="81" t="n">
        <x:f>IF(AH574&gt;0,(AE574+AF574)/AH574*365,0)</x:f>
        <x:v>0.00003684026054181548</x:v>
      </x:c>
      <x:c r="AJ574" s="81" t="n">
        <x:f>IF('Inputs'!$B$45&gt;0,AG574/('Inputs'!$B$19*'Inputs'!$B$45)*365,0)</x:f>
        <x:v>2.1908569707947506e-8</x:v>
      </x:c>
      <x:c r="AK574" s="81" t="n">
        <x:f>W574/MAX($W$369:W574)-1</x:f>
        <x:v>-0.999999998762568</x:v>
      </x:c>
      <x:c r="AL574" s="83" t="n">
        <x:f>'Inputs'!$B$45</x:f>
        <x:v>0.75</x:v>
      </x:c>
      <x:c r="AM574" s="83" t="n">
        <x:f>'Inputs'!$C$45</x:f>
        <x:v>0.5</x:v>
      </x:c>
      <x:c r="AN574" s="83" t="n">
        <x:f>'Inputs'!$D$45</x:f>
        <x:v>0.5</x:v>
      </x:c>
      <x:c r="AO574" s="81" t="n">
        <x:f>'Inputs'!$E$45</x:f>
        <x:v>-0.05</x:v>
      </x:c>
    </x:row>
    <x:row r="575">
      <x:c r="A575" s="59" t="str">
        <x:v>Weak demand</x:v>
      </x:c>
      <x:c r="B575" s="59" t="n">
        <x:v>207</x:v>
      </x:c>
      <x:c r="C575" s="78" t="n">
        <x:f>(('Inputs'!$B$29*(3*207*'Inputs'!$B$12-207^2)/(2*'Inputs'!$B$12^2))-('Inputs'!$B$29*(3*206*'Inputs'!$B$12-206^2)/(2*'Inputs'!$B$12^2)))*'Inputs'!$B$45</x:f>
        <x:v>483638.63998874277</x:v>
      </x:c>
      <x:c r="D575" s="78" t="n">
        <x:f>IF('Inputs'!$C$45&gt;0,('Inputs'!$B$30*(3*207*'Inputs'!$B$12-207^2)/(2*'Inputs'!$B$12^2))-('Inputs'!$B$30*(3*206*'Inputs'!$B$12-206^2)/(2*'Inputs'!$B$12^2)),0)</x:f>
        <x:v>276364.93713642657</x:v>
      </x:c>
      <x:c r="E575" s="78" t="n">
        <x:f>C575+D575</x:f>
        <x:v>760003.5771251693</x:v>
      </x:c>
      <x:c r="F575" s="78" t="n">
        <x:f>'Inputs'!$B$13*E575+(1-'Inputs'!$B$13)/'Inputs'!$B$14*SUM(E520:E575)</x:f>
        <x:v>768433.1605366874</x:v>
      </x:c>
      <x:c r="G575" s="78" t="n">
        <x:f>F575*'Inputs'!$F$45</x:f>
        <x:v>537903.2123756811</x:v>
      </x:c>
      <x:c r="H575" s="78" t="n">
        <x:f>U574</x:f>
        <x:v>135472422573.4277</x:v>
      </x:c>
      <x:c r="I575" s="78" t="n">
        <x:f>V574</x:f>
        <x:v>0.12603565772234016</x:v>
      </x:c>
      <x:c r="J575" s="79" t="n">
        <x:f>IF(H575&gt;0,I575/H575,0)</x:f>
        <x:v>9.303418018824259e-13</x:v>
      </x:c>
      <x:c r="K575" s="80" t="n">
        <x:f>(H575*J575+I575)*'Inputs'!$D$45*(1+'Inputs'!$G$45)^(B575/30)</x:f>
        <x:v>0.12603565772234016</x:v>
      </x:c>
      <x:c r="L575" s="80" t="n">
        <x:f>MAX(0,K575*'Inputs'!$E$45)</x:f>
        <x:v>0</x:v>
      </x:c>
      <x:c r="M575" s="80" t="n">
        <x:f>MAX(0,-K575*'Inputs'!$E$45)</x:f>
        <x:v>0.0063017828861170085</x:v>
      </x:c>
      <x:c r="N575" s="78" t="n">
        <x:f>H575*(L575*(1-'Inputs'!$B$15))/(I575+L575*(1-'Inputs'!$B$15))</x:f>
        <x:v>0</x:v>
      </x:c>
      <x:c r="O575" s="78" t="n">
        <x:f>H575-N575</x:f>
        <x:v>135472422573.4277</x:v>
      </x:c>
      <x:c r="P575" s="78" t="n">
        <x:f>I575+L575*(1-'Inputs'!$B$17)</x:f>
        <x:v>0.12603565772234016</x:v>
      </x:c>
      <x:c r="Q575" s="78" t="n">
        <x:f>IF(J575&gt;0,M575/J575,0)</x:f>
        <x:v>0</x:v>
      </x:c>
      <x:c r="R575" s="78" t="n">
        <x:f>IF(B575='Inputs'!$H$45,'Inputs'!$B$27*'Inputs'!$I$45,0)</x:f>
        <x:v>0</x:v>
      </x:c>
      <x:c r="S575" s="78" t="n">
        <x:f>Q575+G575+R575</x:f>
        <x:v>537903.2123756811</x:v>
      </x:c>
      <x:c r="T575" s="78" t="n">
        <x:f>P575*(S575*(1-'Inputs'!$B$15))/(O575+S575*(1-'Inputs'!$B$15))</x:f>
        <x:v>4.954275579413149e-7</x:v>
      </x:c>
      <x:c r="U575" s="78" t="n">
        <x:f>O575+S575*(1-'Inputs'!$B$17)</x:f>
        <x:v>135472958312.03963</x:v>
      </x:c>
      <x:c r="V575" s="78" t="n">
        <x:f>P575-T575</x:f>
        <x:v>0.1260351622947822</x:v>
      </x:c>
      <x:c r="W575" s="79" t="n">
        <x:f>IF(U575&gt;0,V575/U575,0)</x:f>
        <x:v>9.303344657498435e-13</x:v>
      </x:c>
      <x:c r="X575" s="80" t="n">
        <x:f>W575*('Inputs'!$B$6-AC575)</x:f>
        <x:v>-0.004412742618596392</x:v>
      </x:c>
      <x:c r="Y575" s="80" t="n">
        <x:f>2*V575</x:f>
        <x:v>0.2520703245895644</x:v>
      </x:c>
      <x:c r="Z575" s="80" t="n">
        <x:f>K575*'Inputs'!$B$16+(G575+R575)*J575*'Inputs'!$B$16</x:f>
        <x:v>0.0007562169489371039</x:v>
      </x:c>
      <x:c r="AA575" s="80" t="n">
        <x:f>K575*(1+'Inputs'!$E$45)/2*'Inputs'!$B$17</x:f>
        <x:v>0.00024091322904672664</x:v>
      </x:c>
      <x:c r="AB575" s="78" t="n">
        <x:f>(IF(J575&gt;0,K575*(1-'Inputs'!$E$45)/2/J575,0)+G575+R575)*'Inputs'!$B$17</x:f>
        <x:v>2164.600452216021</x:v>
      </x:c>
      <x:c r="AC575" s="78" t="n">
        <x:f>AC574+AB575</x:f>
        <x:v>5743178696.534424</x:v>
      </x:c>
      <x:c r="AD575" s="80" t="n">
        <x:f>Z575/(1+'Inputs'!$C$45)</x:f>
        <x:v>0.0005041446326247359</x:v>
      </x:c>
      <x:c r="AE575" s="80" t="n">
        <x:f>Z575-AD575</x:f>
        <x:v>0.000252072316312368</x:v>
      </x:c>
      <x:c r="AF575" s="80" t="n">
        <x:f>D575*W575</x:f>
        <x:v>2.571118261428065e-7</x:v>
      </x:c>
      <x:c r="AG575" s="80" t="n">
        <x:f>C575*W575</x:f>
        <x:v>4.499456957499079e-7</x:v>
      </x:c>
      <x:c r="AH575" s="80" t="n">
        <x:f>2*'Inputs'!$B$8*'Inputs'!$C$45</x:f>
        <x:v>2500</x:v>
      </x:c>
      <x:c r="AI575" s="81" t="n">
        <x:f>IF(AH575&gt;0,(AE575+AF575)/AH575*365,0)</x:f>
        <x:v>0.000036840096508222576</x:v>
      </x:c>
      <x:c r="AJ575" s="81" t="n">
        <x:f>IF('Inputs'!$B$45&gt;0,AG575/('Inputs'!$B$19*'Inputs'!$B$45)*365,0)</x:f>
        <x:v>2.1897357193162183e-8</x:v>
      </x:c>
      <x:c r="AK575" s="81" t="n">
        <x:f>W575/MAX($W$369:W575)-1</x:f>
        <x:v>-0.9999999987625777</x:v>
      </x:c>
      <x:c r="AL575" s="83" t="n">
        <x:f>'Inputs'!$B$45</x:f>
        <x:v>0.75</x:v>
      </x:c>
      <x:c r="AM575" s="83" t="n">
        <x:f>'Inputs'!$C$45</x:f>
        <x:v>0.5</x:v>
      </x:c>
      <x:c r="AN575" s="83" t="n">
        <x:f>'Inputs'!$D$45</x:f>
        <x:v>0.5</x:v>
      </x:c>
      <x:c r="AO575" s="81" t="n">
        <x:f>'Inputs'!$E$45</x:f>
        <x:v>-0.05</x:v>
      </x:c>
    </x:row>
    <x:row r="576">
      <x:c r="A576" s="59" t="str">
        <x:v>Weak demand</x:v>
      </x:c>
      <x:c r="B576" s="59" t="n">
        <x:v>208</x:v>
      </x:c>
      <x:c r="C576" s="78" t="n">
        <x:f>(('Inputs'!$B$29*(3*208*'Inputs'!$B$12-208^2)/(2*'Inputs'!$B$12^2))-('Inputs'!$B$29*(3*207*'Inputs'!$B$12-207^2)/(2*'Inputs'!$B$12^2)))*'Inputs'!$B$45</x:f>
        <x:v>483394.8090636134</x:v>
      </x:c>
      <x:c r="D576" s="78" t="n">
        <x:f>IF('Inputs'!$C$45&gt;0,('Inputs'!$B$30*(3*208*'Inputs'!$B$12-208^2)/(2*'Inputs'!$B$12^2))-('Inputs'!$B$30*(3*207*'Inputs'!$B$12-207^2)/(2*'Inputs'!$B$12^2)),0)</x:f>
        <x:v>276225.60517920554</x:v>
      </x:c>
      <x:c r="E576" s="78" t="n">
        <x:f>C576+D576</x:f>
        <x:v>759620.414242819</x:v>
      </x:c>
      <x:c r="F576" s="78" t="n">
        <x:f>'Inputs'!$B$13*E576+(1-'Inputs'!$B$13)/'Inputs'!$B$14*SUM(E521:E576)</x:f>
        <x:v>768049.9976543437</x:v>
      </x:c>
      <x:c r="G576" s="78" t="n">
        <x:f>F576*'Inputs'!$F$45</x:f>
        <x:v>537634.9983580406</x:v>
      </x:c>
      <x:c r="H576" s="78" t="n">
        <x:f>U575</x:f>
        <x:v>135472958312.03963</x:v>
      </x:c>
      <x:c r="I576" s="78" t="n">
        <x:f>V575</x:f>
        <x:v>0.1260351622947822</x:v>
      </x:c>
      <x:c r="J576" s="79" t="n">
        <x:f>IF(H576&gt;0,I576/H576,0)</x:f>
        <x:v>9.303344657498435e-13</x:v>
      </x:c>
      <x:c r="K576" s="80" t="n">
        <x:f>(H576*J576+I576)*'Inputs'!$D$45*(1+'Inputs'!$G$45)^(B576/30)</x:f>
        <x:v>0.1260351622947822</x:v>
      </x:c>
      <x:c r="L576" s="80" t="n">
        <x:f>MAX(0,K576*'Inputs'!$E$45)</x:f>
        <x:v>0</x:v>
      </x:c>
      <x:c r="M576" s="80" t="n">
        <x:f>MAX(0,-K576*'Inputs'!$E$45)</x:f>
        <x:v>0.006301758114739111</x:v>
      </x:c>
      <x:c r="N576" s="78" t="n">
        <x:f>H576*(L576*(1-'Inputs'!$B$15))/(I576+L576*(1-'Inputs'!$B$15))</x:f>
        <x:v>0</x:v>
      </x:c>
      <x:c r="O576" s="78" t="n">
        <x:f>H576-N576</x:f>
        <x:v>135472958312.03963</x:v>
      </x:c>
      <x:c r="P576" s="78" t="n">
        <x:f>I576+L576*(1-'Inputs'!$B$17)</x:f>
        <x:v>0.1260351622947822</x:v>
      </x:c>
      <x:c r="Q576" s="78" t="n">
        <x:f>IF(J576&gt;0,M576/J576,0)</x:f>
        <x:v>0</x:v>
      </x:c>
      <x:c r="R576" s="78" t="n">
        <x:f>IF(B576='Inputs'!$H$45,'Inputs'!$B$27*'Inputs'!$I$45,0)</x:f>
        <x:v>0</x:v>
      </x:c>
      <x:c r="S576" s="78" t="n">
        <x:f>Q576+G576+R576</x:f>
        <x:v>537634.9983580406</x:v>
      </x:c>
      <x:c r="T576" s="78" t="n">
        <x:f>P576*(S576*(1-'Inputs'!$B$15))/(O576+S576*(1-'Inputs'!$B$15))</x:f>
        <x:v>4.951766197806312e-7</x:v>
      </x:c>
      <x:c r="U576" s="78" t="n">
        <x:f>O576+S576*(1-'Inputs'!$B$17)</x:f>
        <x:v>135473493783.51686</x:v>
      </x:c>
      <x:c r="V576" s="78" t="n">
        <x:f>P576-T576</x:f>
        <x:v>0.1260346671181624</x:v>
      </x:c>
      <x:c r="W576" s="79" t="n">
        <x:f>IF(U576&gt;0,V576/U576,0)</x:f>
        <x:v>9.303271333620624e-13</x:v>
      </x:c>
      <x:c r="X576" s="80" t="n">
        <x:f>W576*('Inputs'!$B$6-AC576)</x:f>
        <x:v>-0.004412709852553276</x:v>
      </x:c>
      <x:c r="Y576" s="80" t="n">
        <x:f>2*V576</x:f>
        <x:v>0.2520693342363248</x:v>
      </x:c>
      <x:c r="Z576" s="80" t="n">
        <x:f>K576*'Inputs'!$B$16+(G576+R576)*J576*'Inputs'!$B$16</x:f>
        <x:v>0.0007562139748509071</x:v>
      </x:c>
      <x:c r="AA576" s="80" t="n">
        <x:f>K576*(1+'Inputs'!$E$45)/2*'Inputs'!$B$17</x:f>
        <x:v>0.00024091228205240061</x:v>
      </x:c>
      <x:c r="AB576" s="78" t="n">
        <x:f>(IF(J576&gt;0,K576*(1-'Inputs'!$E$45)/2/J576,0)+G576+R576)*'Inputs'!$B$17</x:f>
        <x:v>2163.521120153081</x:v>
      </x:c>
      <x:c r="AC576" s="78" t="n">
        <x:f>AC575+AB576</x:f>
        <x:v>5743180860.055544</x:v>
      </x:c>
      <x:c r="AD576" s="80" t="n">
        <x:f>Z576/(1+'Inputs'!$C$45)</x:f>
        <x:v>0.0005041426499006048</x:v>
      </x:c>
      <x:c r="AE576" s="80" t="n">
        <x:f>Z576-AD576</x:f>
        <x:v>0.0002520713249503023</x:v>
      </x:c>
      <x:c r="AF576" s="80" t="n">
        <x:f>D576*W576</x:f>
        <x:v>2.5698017542757113e-7</x:v>
      </x:c>
      <x:c r="AG576" s="80" t="n">
        <x:f>C576*W576</x:f>
        <x:v>4.49715306998253e-7</x:v>
      </x:c>
      <x:c r="AH576" s="80" t="n">
        <x:f>2*'Inputs'!$B$8*'Inputs'!$C$45</x:f>
        <x:v>2500</x:v>
      </x:c>
      <x:c r="AI576" s="81" t="n">
        <x:f>IF(AH576&gt;0,(AE576+AF576)/AH576*365,0)</x:f>
        <x:v>0.00003683993254835656</x:v>
      </x:c>
      <x:c r="AJ576" s="81" t="n">
        <x:f>IF('Inputs'!$B$45&gt;0,AG576/('Inputs'!$B$19*'Inputs'!$B$45)*365,0)</x:f>
        <x:v>2.1886144940581646e-8</x:v>
      </x:c>
      <x:c r="AK576" s="81" t="n">
        <x:f>W576/MAX($W$369:W576)-1</x:f>
        <x:v>-0.9999999987625875</x:v>
      </x:c>
      <x:c r="AL576" s="83" t="n">
        <x:f>'Inputs'!$B$45</x:f>
        <x:v>0.75</x:v>
      </x:c>
      <x:c r="AM576" s="83" t="n">
        <x:f>'Inputs'!$C$45</x:f>
        <x:v>0.5</x:v>
      </x:c>
      <x:c r="AN576" s="83" t="n">
        <x:f>'Inputs'!$D$45</x:f>
        <x:v>0.5</x:v>
      </x:c>
      <x:c r="AO576" s="81" t="n">
        <x:f>'Inputs'!$E$45</x:f>
        <x:v>-0.05</x:v>
      </x:c>
    </x:row>
    <x:row r="577">
      <x:c r="A577" s="59" t="str">
        <x:v>Weak demand</x:v>
      </x:c>
      <x:c r="B577" s="59" t="n">
        <x:v>209</x:v>
      </x:c>
      <x:c r="C577" s="78" t="n">
        <x:f>(('Inputs'!$B$29*(3*209*'Inputs'!$B$12-209^2)/(2*'Inputs'!$B$12^2))-('Inputs'!$B$29*(3*208*'Inputs'!$B$12-208^2)/(2*'Inputs'!$B$12^2)))*'Inputs'!$B$45</x:f>
        <x:v>483150.97813848406</x:v>
      </x:c>
      <x:c r="D577" s="78" t="n">
        <x:f>IF('Inputs'!$C$45&gt;0,('Inputs'!$B$30*(3*209*'Inputs'!$B$12-209^2)/(2*'Inputs'!$B$12^2))-('Inputs'!$B$30*(3*208*'Inputs'!$B$12-208^2)/(2*'Inputs'!$B$12^2)),0)</x:f>
        <x:v>276086.27322199196</x:v>
      </x:c>
      <x:c r="E577" s="78" t="n">
        <x:f>C577+D577</x:f>
        <x:v>759237.251360476</x:v>
      </x:c>
      <x:c r="F577" s="78" t="n">
        <x:f>'Inputs'!$B$13*E577+(1-'Inputs'!$B$13)/'Inputs'!$B$14*SUM(E522:E577)</x:f>
        <x:v>767666.8347720015</x:v>
      </x:c>
      <x:c r="G577" s="78" t="n">
        <x:f>F577*'Inputs'!$F$45</x:f>
        <x:v>537366.7843404011</x:v>
      </x:c>
      <x:c r="H577" s="78" t="n">
        <x:f>U576</x:f>
        <x:v>135473493783.51686</x:v>
      </x:c>
      <x:c r="I577" s="78" t="n">
        <x:f>V576</x:f>
        <x:v>0.1260346671181624</x:v>
      </x:c>
      <x:c r="J577" s="79" t="n">
        <x:f>IF(H577&gt;0,I577/H577,0)</x:f>
        <x:v>9.303271333620624e-13</x:v>
      </x:c>
      <x:c r="K577" s="80" t="n">
        <x:f>(H577*J577+I577)*'Inputs'!$D$45*(1+'Inputs'!$G$45)^(B577/30)</x:f>
        <x:v>0.1260346671181624</x:v>
      </x:c>
      <x:c r="L577" s="80" t="n">
        <x:f>MAX(0,K577*'Inputs'!$E$45)</x:f>
        <x:v>0</x:v>
      </x:c>
      <x:c r="M577" s="80" t="n">
        <x:f>MAX(0,-K577*'Inputs'!$E$45)</x:f>
        <x:v>0.006301733355908121</x:v>
      </x:c>
      <x:c r="N577" s="78" t="n">
        <x:f>H577*(L577*(1-'Inputs'!$B$15))/(I577+L577*(1-'Inputs'!$B$15))</x:f>
        <x:v>0</x:v>
      </x:c>
      <x:c r="O577" s="78" t="n">
        <x:f>H577-N577</x:f>
        <x:v>135473493783.51686</x:v>
      </x:c>
      <x:c r="P577" s="78" t="n">
        <x:f>I577+L577*(1-'Inputs'!$B$17)</x:f>
        <x:v>0.1260346671181624</x:v>
      </x:c>
      <x:c r="Q577" s="78" t="n">
        <x:f>IF(J577&gt;0,M577/J577,0)</x:f>
        <x:v>0</x:v>
      </x:c>
      <x:c r="R577" s="78" t="n">
        <x:f>IF(B577='Inputs'!$H$45,'Inputs'!$B$27*'Inputs'!$I$45,0)</x:f>
        <x:v>0</x:v>
      </x:c>
      <x:c r="S577" s="78" t="n">
        <x:f>Q577+G577+R577</x:f>
        <x:v>537366.7843404011</x:v>
      </x:c>
      <x:c r="T577" s="78" t="n">
        <x:f>P577*(S577*(1-'Inputs'!$B$15))/(O577+S577*(1-'Inputs'!$B$15))</x:f>
        <x:v>4.949256875070851e-7</x:v>
      </x:c>
      <x:c r="U577" s="78" t="n">
        <x:f>O577+S577*(1-'Inputs'!$B$17)</x:f>
        <x:v>135474028987.85942</x:v>
      </x:c>
      <x:c r="V577" s="78" t="n">
        <x:f>P577-T577</x:f>
        <x:v>0.1260341721924749</x:v>
      </x:c>
      <x:c r="W577" s="79" t="n">
        <x:f>IF(U577&gt;0,V577/U577,0)</x:f>
        <x:v>9.303198047189512e-13</x:v>
      </x:c>
      <x:c r="X577" s="80" t="n">
        <x:f>W577*('Inputs'!$B$6-AC577)</x:f>
        <x:v>-0.004412677103235963</x:v>
      </x:c>
      <x:c r="Y577" s="80" t="n">
        <x:f>2*V577</x:f>
        <x:v>0.2520683443849498</x:v>
      </x:c>
      <x:c r="Z577" s="80" t="n">
        <x:f>K577*'Inputs'!$B$16+(G577+R577)*J577*'Inputs'!$B$16</x:f>
        <x:v>0.0007562110022703748</x:v>
      </x:c>
      <x:c r="AA577" s="80" t="n">
        <x:f>K577*(1+'Inputs'!$E$45)/2*'Inputs'!$B$17</x:f>
        <x:v>0.000240911335537735</x:v>
      </x:c>
      <x:c r="AB577" s="78" t="n">
        <x:f>(IF(J577&gt;0,K577*(1-'Inputs'!$E$45)/2/J577,0)+G577+R577)*'Inputs'!$B$17</x:f>
        <x:v>2162.441788090145</x:v>
      </x:c>
      <x:c r="AC577" s="78" t="n">
        <x:f>AC576+AB577</x:f>
        <x:v>5743183022.497332</x:v>
      </x:c>
      <x:c r="AD577" s="80" t="n">
        <x:f>Z577/(1+'Inputs'!$C$45)</x:f>
        <x:v>0.0005041406681802499</x:v>
      </x:c>
      <x:c r="AE577" s="80" t="n">
        <x:f>Z577-AD577</x:f>
        <x:v>0.0002520703340901249</x:v>
      </x:c>
      <x:c r="AF577" s="80" t="n">
        <x:f>D577*W577</x:f>
        <x:v>2.5684852778946655e-7</x:v>
      </x:c>
      <x:c r="AG577" s="80" t="n">
        <x:f>C577*W577</x:f>
        <x:v>4.4948492363156475e-7</x:v>
      </x:c>
      <x:c r="AH577" s="80" t="n">
        <x:f>2*'Inputs'!$B$8*'Inputs'!$C$45</x:f>
        <x:v>2500</x:v>
      </x:c>
      <x:c r="AI577" s="81" t="n">
        <x:f>IF(AH577&gt;0,(AE577+AF577)/AH577*365,0)</x:f>
        <x:v>0.00003683976866221549</x:v>
      </x:c>
      <x:c r="AJ577" s="81" t="n">
        <x:f>IF('Inputs'!$B$45&gt;0,AG577/('Inputs'!$B$19*'Inputs'!$B$45)*365,0)</x:f>
        <x:v>2.1874932950069486e-8</x:v>
      </x:c>
      <x:c r="AK577" s="81" t="n">
        <x:f>W577/MAX($W$369:W577)-1</x:f>
        <x:v>-0.9999999987625973</x:v>
      </x:c>
      <x:c r="AL577" s="83" t="n">
        <x:f>'Inputs'!$B$45</x:f>
        <x:v>0.75</x:v>
      </x:c>
      <x:c r="AM577" s="83" t="n">
        <x:f>'Inputs'!$C$45</x:f>
        <x:v>0.5</x:v>
      </x:c>
      <x:c r="AN577" s="83" t="n">
        <x:f>'Inputs'!$D$45</x:f>
        <x:v>0.5</x:v>
      </x:c>
      <x:c r="AO577" s="81" t="n">
        <x:f>'Inputs'!$E$45</x:f>
        <x:v>-0.05</x:v>
      </x:c>
    </x:row>
    <x:row r="578">
      <x:c r="A578" s="59" t="str">
        <x:v>Weak demand</x:v>
      </x:c>
      <x:c r="B578" s="59" t="n">
        <x:v>210</x:v>
      </x:c>
      <x:c r="C578" s="78" t="n">
        <x:f>(('Inputs'!$B$29*(3*210*'Inputs'!$B$12-210^2)/(2*'Inputs'!$B$12^2))-('Inputs'!$B$29*(3*209*'Inputs'!$B$12-209^2)/(2*'Inputs'!$B$12^2)))*'Inputs'!$B$45</x:f>
        <x:v>482907.1472133547</x:v>
      </x:c>
      <x:c r="D578" s="78" t="n">
        <x:f>IF('Inputs'!$C$45&gt;0,('Inputs'!$B$30*(3*210*'Inputs'!$B$12-210^2)/(2*'Inputs'!$B$12^2))-('Inputs'!$B$30*(3*209*'Inputs'!$B$12-209^2)/(2*'Inputs'!$B$12^2)),0)</x:f>
        <x:v>275946.9412647784</x:v>
      </x:c>
      <x:c r="E578" s="78" t="n">
        <x:f>C578+D578</x:f>
        <x:v>758854.0884781331</x:v>
      </x:c>
      <x:c r="F578" s="78" t="n">
        <x:f>'Inputs'!$B$13*E578+(1-'Inputs'!$B$13)/'Inputs'!$B$14*SUM(E523:E578)</x:f>
        <x:v>767283.6718896594</x:v>
      </x:c>
      <x:c r="G578" s="78" t="n">
        <x:f>F578*'Inputs'!$F$45</x:f>
        <x:v>537098.5703227615</x:v>
      </x:c>
      <x:c r="H578" s="78" t="n">
        <x:f>U577</x:f>
        <x:v>135474028987.85942</x:v>
      </x:c>
      <x:c r="I578" s="78" t="n">
        <x:f>V577</x:f>
        <x:v>0.1260341721924749</x:v>
      </x:c>
      <x:c r="J578" s="79" t="n">
        <x:f>IF(H578&gt;0,I578/H578,0)</x:f>
        <x:v>9.303198047189512e-13</x:v>
      </x:c>
      <x:c r="K578" s="80" t="n">
        <x:f>(H578*J578+I578)*'Inputs'!$D$45*(1+'Inputs'!$G$45)^(B578/30)</x:f>
        <x:v>0.1260341721924749</x:v>
      </x:c>
      <x:c r="L578" s="80" t="n">
        <x:f>MAX(0,K578*'Inputs'!$E$45)</x:f>
        <x:v>0</x:v>
      </x:c>
      <x:c r="M578" s="80" t="n">
        <x:f>MAX(0,-K578*'Inputs'!$E$45)</x:f>
        <x:v>0.006301708609623745</x:v>
      </x:c>
      <x:c r="N578" s="78" t="n">
        <x:f>H578*(L578*(1-'Inputs'!$B$15))/(I578+L578*(1-'Inputs'!$B$15))</x:f>
        <x:v>0</x:v>
      </x:c>
      <x:c r="O578" s="78" t="n">
        <x:f>H578-N578</x:f>
        <x:v>135474028987.85942</x:v>
      </x:c>
      <x:c r="P578" s="78" t="n">
        <x:f>I578+L578*(1-'Inputs'!$B$17)</x:f>
        <x:v>0.1260341721924749</x:v>
      </x:c>
      <x:c r="Q578" s="78" t="n">
        <x:f>IF(J578&gt;0,M578/J578,0)</x:f>
        <x:v>0</x:v>
      </x:c>
      <x:c r="R578" s="78" t="n">
        <x:f>IF(B578='Inputs'!$H$45,'Inputs'!$B$27*'Inputs'!$I$45,0)</x:f>
        <x:v>0</x:v>
      </x:c>
      <x:c r="S578" s="78" t="n">
        <x:f>Q578+G578+R578</x:f>
        <x:v>537098.5703227615</x:v>
      </x:c>
      <x:c r="T578" s="78" t="n">
        <x:f>P578*(S578*(1-'Inputs'!$B$15))/(O578+S578*(1-'Inputs'!$B$15))</x:f>
        <x:v>4.946747611176224e-7</x:v>
      </x:c>
      <x:c r="U578" s="78" t="n">
        <x:f>O578+S578*(1-'Inputs'!$B$17)</x:f>
        <x:v>135474563925.06729</x:v>
      </x:c>
      <x:c r="V578" s="78" t="n">
        <x:f>P578-T578</x:f>
        <x:v>0.12603367751771377</x:v>
      </x:c>
      <x:c r="W578" s="79" t="n">
        <x:f>IF(U578&gt;0,V578/U578,0)</x:f>
        <x:v>9.303124798203788e-13</x:v>
      </x:c>
      <x:c r="X578" s="80" t="n">
        <x:f>W578*('Inputs'!$B$6-AC578)</x:f>
        <x:v>-0.004412644370643879</x:v>
      </x:c>
      <x:c r="Y578" s="80" t="n">
        <x:f>2*V578</x:f>
        <x:v>0.25206735503542754</x:v>
      </x:c>
      <x:c r="Z578" s="80" t="n">
        <x:f>K578*'Inputs'!$B$16+(G578+R578)*J578*'Inputs'!$B$16</x:f>
        <x:v>0.0007562080311954717</x:v>
      </x:c>
      <x:c r="AA578" s="80" t="n">
        <x:f>K578*(1+'Inputs'!$E$45)/2*'Inputs'!$B$17</x:f>
        <x:v>0.00024091038950271862</x:v>
      </x:c>
      <x:c r="AB578" s="78" t="n">
        <x:f>(IF(J578&gt;0,K578*(1-'Inputs'!$E$45)/2/J578,0)+G578+R578)*'Inputs'!$B$17</x:f>
        <x:v>2161.3624560272096</x:v>
      </x:c>
      <x:c r="AC578" s="78" t="n">
        <x:f>AC577+AB578</x:f>
        <x:v>5743185183.859788</x:v>
      </x:c>
      <x:c r="AD578" s="80" t="n">
        <x:f>Z578/(1+'Inputs'!$C$45)</x:f>
        <x:v>0.0005041386874636479</x:v>
      </x:c>
      <x:c r="AE578" s="80" t="n">
        <x:f>Z578-AD578</x:f>
        <x:v>0.0002520693437318239</x:v>
      </x:c>
      <x:c r="AF578" s="80" t="n">
        <x:f>D578*W578</x:f>
        <x:v>2.567168832268844e-7</x:v>
      </x:c>
      <x:c r="AG578" s="80" t="n">
        <x:f>C578*W578</x:f>
        <x:v>4.4925454564704074e-7</x:v>
      </x:c>
      <x:c r="AH578" s="80" t="n">
        <x:f>2*'Inputs'!$B$8*'Inputs'!$C$45</x:f>
        <x:v>2500</x:v>
      </x:c>
      <x:c r="AI578" s="81" t="n">
        <x:f>IF(AH578&gt;0,(AE578+AF578)/AH578*365,0)</x:f>
        <x:v>0.000036839604849797415</x:v>
      </x:c>
      <x:c r="AJ578" s="81" t="n">
        <x:f>IF('Inputs'!$B$45&gt;0,AG578/('Inputs'!$B$19*'Inputs'!$B$45)*365,0)</x:f>
        <x:v>2.186372122148932e-8</x:v>
      </x:c>
      <x:c r="AK578" s="81" t="n">
        <x:f>W578/MAX($W$369:W578)-1</x:f>
        <x:v>-0.9999999987626069</x:v>
      </x:c>
      <x:c r="AL578" s="83" t="n">
        <x:f>'Inputs'!$B$45</x:f>
        <x:v>0.75</x:v>
      </x:c>
      <x:c r="AM578" s="83" t="n">
        <x:f>'Inputs'!$C$45</x:f>
        <x:v>0.5</x:v>
      </x:c>
      <x:c r="AN578" s="83" t="n">
        <x:f>'Inputs'!$D$45</x:f>
        <x:v>0.5</x:v>
      </x:c>
      <x:c r="AO578" s="81" t="n">
        <x:f>'Inputs'!$E$45</x:f>
        <x:v>-0.05</x:v>
      </x:c>
    </x:row>
    <x:row r="579">
      <x:c r="A579" s="59" t="str">
        <x:v>Weak demand</x:v>
      </x:c>
      <x:c r="B579" s="59" t="n">
        <x:v>211</x:v>
      </x:c>
      <x:c r="C579" s="78" t="n">
        <x:f>(('Inputs'!$B$29*(3*211*'Inputs'!$B$12-211^2)/(2*'Inputs'!$B$12^2))-('Inputs'!$B$29*(3*210*'Inputs'!$B$12-210^2)/(2*'Inputs'!$B$12^2)))*'Inputs'!$B$45</x:f>
        <x:v>482663.3162882477</x:v>
      </x:c>
      <x:c r="D579" s="78" t="n">
        <x:f>IF('Inputs'!$C$45&gt;0,('Inputs'!$B$30*(3*211*'Inputs'!$B$12-211^2)/(2*'Inputs'!$B$12^2))-('Inputs'!$B$30*(3*210*'Inputs'!$B$12-210^2)/(2*'Inputs'!$B$12^2)),0)</x:f>
        <x:v>275807.6093075648</x:v>
      </x:c>
      <x:c r="E579" s="78" t="n">
        <x:f>C579+D579</x:f>
        <x:v>758470.9255958125</x:v>
      </x:c>
      <x:c r="F579" s="78" t="n">
        <x:f>'Inputs'!$B$13*E579+(1-'Inputs'!$B$13)/'Inputs'!$B$14*SUM(E524:E579)</x:f>
        <x:v>766900.509007322</x:v>
      </x:c>
      <x:c r="G579" s="78" t="n">
        <x:f>F579*'Inputs'!$F$45</x:f>
        <x:v>536830.3563051254</x:v>
      </x:c>
      <x:c r="H579" s="78" t="n">
        <x:f>U578</x:f>
        <x:v>135474563925.06729</x:v>
      </x:c>
      <x:c r="I579" s="78" t="n">
        <x:f>V578</x:f>
        <x:v>0.12603367751771377</x:v>
      </x:c>
      <x:c r="J579" s="79" t="n">
        <x:f>IF(H579&gt;0,I579/H579,0)</x:f>
        <x:v>9.303124798203788e-13</x:v>
      </x:c>
      <x:c r="K579" s="80" t="n">
        <x:f>(H579*J579+I579)*'Inputs'!$D$45*(1+'Inputs'!$G$45)^(B579/30)</x:f>
        <x:v>0.12603367751771377</x:v>
      </x:c>
      <x:c r="L579" s="80" t="n">
        <x:f>MAX(0,K579*'Inputs'!$E$45)</x:f>
        <x:v>0</x:v>
      </x:c>
      <x:c r="M579" s="80" t="n">
        <x:f>MAX(0,-K579*'Inputs'!$E$45)</x:f>
        <x:v>0.006301683875885689</x:v>
      </x:c>
      <x:c r="N579" s="78" t="n">
        <x:f>H579*(L579*(1-'Inputs'!$B$15))/(I579+L579*(1-'Inputs'!$B$15))</x:f>
        <x:v>0</x:v>
      </x:c>
      <x:c r="O579" s="78" t="n">
        <x:f>H579-N579</x:f>
        <x:v>135474563925.06729</x:v>
      </x:c>
      <x:c r="P579" s="78" t="n">
        <x:f>I579+L579*(1-'Inputs'!$B$17)</x:f>
        <x:v>0.12603367751771377</x:v>
      </x:c>
      <x:c r="Q579" s="78" t="n">
        <x:f>IF(J579&gt;0,M579/J579,0)</x:f>
        <x:v>0</x:v>
      </x:c>
      <x:c r="R579" s="78" t="n">
        <x:f>IF(B579='Inputs'!$H$45,'Inputs'!$B$27*'Inputs'!$I$45,0)</x:f>
        <x:v>0</x:v>
      </x:c>
      <x:c r="S579" s="78" t="n">
        <x:f>Q579+G579+R579</x:f>
        <x:v>536830.3563051254</x:v>
      </x:c>
      <x:c r="T579" s="78" t="n">
        <x:f>P579*(S579*(1-'Inputs'!$B$15))/(O579+S579*(1-'Inputs'!$B$15))</x:f>
        <x:v>4.944238406091938e-7</x:v>
      </x:c>
      <x:c r="U579" s="78" t="n">
        <x:f>O579+S579*(1-'Inputs'!$B$17)</x:f>
        <x:v>135475098595.14047</x:v>
      </x:c>
      <x:c r="V579" s="78" t="n">
        <x:f>P579-T579</x:f>
        <x:v>0.12603318309387315</x:v>
      </x:c>
      <x:c r="W579" s="79" t="n">
        <x:f>IF(U579&gt;0,V579/U579,0)</x:f>
        <x:v>9.30305158666214e-13</x:v>
      </x:c>
      <x:c r="X579" s="80" t="n">
        <x:f>W579*('Inputs'!$B$6-AC579)</x:f>
        <x:v>-0.00441261165477645</x:v>
      </x:c>
      <x:c r="Y579" s="80" t="n">
        <x:f>2*V579</x:f>
        <x:v>0.2520663661877463</x:v>
      </x:c>
      <x:c r="Z579" s="80" t="n">
        <x:f>K579*'Inputs'!$B$16+(G579+R579)*J579*'Inputs'!$B$16</x:f>
        <x:v>0.0007562050616261628</x:v>
      </x:c>
      <x:c r="AA579" s="80" t="n">
        <x:f>K579*(1+'Inputs'!$E$45)/2*'Inputs'!$B$17</x:f>
        <x:v>0.00024090944394734021</x:v>
      </x:c>
      <x:c r="AB579" s="78" t="n">
        <x:f>(IF(J579&gt;0,K579*(1-'Inputs'!$E$45)/2/J579,0)+G579+R579)*'Inputs'!$B$17</x:f>
        <x:v>2160.2831239642874</x:v>
      </x:c>
      <x:c r="AC579" s="78" t="n">
        <x:f>AC578+AB579</x:f>
        <x:v>5743187344.142912</x:v>
      </x:c>
      <x:c r="AD579" s="80" t="n">
        <x:f>Z579/(1+'Inputs'!$C$45)</x:f>
        <x:v>0.0005041367077507752</x:v>
      </x:c>
      <x:c r="AE579" s="80" t="n">
        <x:f>Z579-AD579</x:f>
        <x:v>0.0002520683538753876</x:v>
      </x:c>
      <x:c r="AF579" s="80" t="n">
        <x:f>D579*W579</x:f>
        <x:v>2.5658524173822325e-7</x:v>
      </x:c>
      <x:c r="AG579" s="80" t="n">
        <x:f>C579*W579</x:f>
        <x:v>4.4902417304189936e-7</x:v>
      </x:c>
      <x:c r="AH579" s="80" t="n">
        <x:f>2*'Inputs'!$B$8*'Inputs'!$C$45</x:f>
        <x:v>2500</x:v>
      </x:c>
      <x:c r="AI579" s="81" t="n">
        <x:f>IF(AH579&gt;0,(AE579+AF579)/AH579*365,0)</x:f>
        <x:v>0.00003683944111110037</x:v>
      </x:c>
      <x:c r="AJ579" s="81" t="n">
        <x:f>IF('Inputs'!$B$45&gt;0,AG579/('Inputs'!$B$19*'Inputs'!$B$45)*365,0)</x:f>
        <x:v>2.185250975470577e-8</x:v>
      </x:c>
      <x:c r="AK579" s="81" t="n">
        <x:f>W579/MAX($W$369:W579)-1</x:f>
        <x:v>-0.9999999987626167</x:v>
      </x:c>
      <x:c r="AL579" s="83" t="n">
        <x:f>'Inputs'!$B$45</x:f>
        <x:v>0.75</x:v>
      </x:c>
      <x:c r="AM579" s="83" t="n">
        <x:f>'Inputs'!$C$45</x:f>
        <x:v>0.5</x:v>
      </x:c>
      <x:c r="AN579" s="83" t="n">
        <x:f>'Inputs'!$D$45</x:f>
        <x:v>0.5</x:v>
      </x:c>
      <x:c r="AO579" s="81" t="n">
        <x:f>'Inputs'!$E$45</x:f>
        <x:v>-0.05</x:v>
      </x:c>
    </x:row>
    <x:row r="580">
      <x:c r="A580" s="59" t="str">
        <x:v>Weak demand</x:v>
      </x:c>
      <x:c r="B580" s="59" t="n">
        <x:v>212</x:v>
      </x:c>
      <x:c r="C580" s="78" t="n">
        <x:f>(('Inputs'!$B$29*(3*212*'Inputs'!$B$12-212^2)/(2*'Inputs'!$B$12^2))-('Inputs'!$B$29*(3*211*'Inputs'!$B$12-211^2)/(2*'Inputs'!$B$12^2)))*'Inputs'!$B$45</x:f>
        <x:v>482419.485363096</x:v>
      </x:c>
      <x:c r="D580" s="78" t="n">
        <x:f>IF('Inputs'!$C$45&gt;0,('Inputs'!$B$30*(3*212*'Inputs'!$B$12-212^2)/(2*'Inputs'!$B$12^2))-('Inputs'!$B$30*(3*211*'Inputs'!$B$12-211^2)/(2*'Inputs'!$B$12^2)),0)</x:f>
        <x:v>275668.27735034376</x:v>
      </x:c>
      <x:c r="E580" s="78" t="n">
        <x:f>C580+D580</x:f>
        <x:v>758087.7627134398</x:v>
      </x:c>
      <x:c r="F580" s="78" t="n">
        <x:f>'Inputs'!$B$13*E580+(1-'Inputs'!$B$13)/'Inputs'!$B$14*SUM(E525:E580)</x:f>
        <x:v>766517.3461249735</x:v>
      </x:c>
      <x:c r="G580" s="78" t="n">
        <x:f>F580*'Inputs'!$F$45</x:f>
        <x:v>536562.1422874815</x:v>
      </x:c>
      <x:c r="H580" s="78" t="n">
        <x:f>U579</x:f>
        <x:v>135475098595.14047</x:v>
      </x:c>
      <x:c r="I580" s="78" t="n">
        <x:f>V579</x:f>
        <x:v>0.12603318309387315</x:v>
      </x:c>
      <x:c r="J580" s="79" t="n">
        <x:f>IF(H580&gt;0,I580/H580,0)</x:f>
        <x:v>9.30305158666214e-13</x:v>
      </x:c>
      <x:c r="K580" s="80" t="n">
        <x:f>(H580*J580+I580)*'Inputs'!$D$45*(1+'Inputs'!$G$45)^(B580/30)</x:f>
        <x:v>0.12603318309387315</x:v>
      </x:c>
      <x:c r="L580" s="80" t="n">
        <x:f>MAX(0,K580*'Inputs'!$E$45)</x:f>
        <x:v>0</x:v>
      </x:c>
      <x:c r="M580" s="80" t="n">
        <x:f>MAX(0,-K580*'Inputs'!$E$45)</x:f>
        <x:v>0.006301659154693658</x:v>
      </x:c>
      <x:c r="N580" s="78" t="n">
        <x:f>H580*(L580*(1-'Inputs'!$B$15))/(I580+L580*(1-'Inputs'!$B$15))</x:f>
        <x:v>0</x:v>
      </x:c>
      <x:c r="O580" s="78" t="n">
        <x:f>H580-N580</x:f>
        <x:v>135475098595.14047</x:v>
      </x:c>
      <x:c r="P580" s="78" t="n">
        <x:f>I580+L580*(1-'Inputs'!$B$17)</x:f>
        <x:v>0.12603318309387315</x:v>
      </x:c>
      <x:c r="Q580" s="78" t="n">
        <x:f>IF(J580&gt;0,M580/J580,0)</x:f>
        <x:v>0</x:v>
      </x:c>
      <x:c r="R580" s="78" t="n">
        <x:f>IF(B580='Inputs'!$H$45,'Inputs'!$B$27*'Inputs'!$I$45,0)</x:f>
        <x:v>0</x:v>
      </x:c>
      <x:c r="S580" s="78" t="n">
        <x:f>Q580+G580+R580</x:f>
        <x:v>536562.1422874815</x:v>
      </x:c>
      <x:c r="T580" s="78" t="n">
        <x:f>P580*(S580*(1-'Inputs'!$B$15))/(O580+S580*(1-'Inputs'!$B$15))</x:f>
        <x:v>4.941729259787365e-7</x:v>
      </x:c>
      <x:c r="U580" s="78" t="n">
        <x:f>O580+S580*(1-'Inputs'!$B$17)</x:f>
        <x:v>135475632998.07896</x:v>
      </x:c>
      <x:c r="V580" s="78" t="n">
        <x:f>P580-T580</x:f>
        <x:v>0.12603268892094718</x:v>
      </x:c>
      <x:c r="W580" s="79" t="n">
        <x:f>IF(U580&gt;0,V580/U580,0)</x:f>
        <x:v>9.302978412563263e-13</x:v>
      </x:c>
      <x:c r="X580" s="80" t="n">
        <x:f>W580*('Inputs'!$B$6-AC580)</x:f>
        <x:v>-0.004412578955633104</x:v>
      </x:c>
      <x:c r="Y580" s="80" t="n">
        <x:f>2*V580</x:f>
        <x:v>0.25206537784189437</x:v>
      </x:c>
      <x:c r="Z580" s="80" t="n">
        <x:f>K580*'Inputs'!$B$16+(G580+R580)*J580*'Inputs'!$B$16</x:f>
        <x:v>0.0007562020935624124</x:v>
      </x:c>
      <x:c r="AA580" s="80" t="n">
        <x:f>K580*(1+'Inputs'!$E$45)/2*'Inputs'!$B$17</x:f>
        <x:v>0.00024090849887158853</x:v>
      </x:c>
      <x:c r="AB580" s="78" t="n">
        <x:f>(IF(J580&gt;0,K580*(1-'Inputs'!$E$45)/2/J580,0)+G580+R580)*'Inputs'!$B$17</x:f>
        <x:v>2159.203791901334</x:v>
      </x:c>
      <x:c r="AC580" s="78" t="n">
        <x:f>AC579+AB580</x:f>
        <x:v>5743189503.346704</x:v>
      </x:c>
      <x:c r="AD580" s="80" t="n">
        <x:f>Z580/(1+'Inputs'!$C$45)</x:f>
        <x:v>0.0005041347290416083</x:v>
      </x:c>
      <x:c r="AE580" s="80" t="n">
        <x:f>Z580-AD580</x:f>
        <x:v>0.0002520673645208041</x:v>
      </x:c>
      <x:c r="AF580" s="80" t="n">
        <x:f>D580*W580</x:f>
        <x:v>2.56453603321875e-7</x:v>
      </x:c>
      <x:c r="AG580" s="80" t="n">
        <x:f>C580*W580</x:f>
        <x:v>4.487938058132761e-7</x:v>
      </x:c>
      <x:c r="AH580" s="80" t="n">
        <x:f>2*'Inputs'!$B$8*'Inputs'!$C$45</x:f>
        <x:v>2500</x:v>
      </x:c>
      <x:c r="AI580" s="81" t="n">
        <x:f>IF(AH580&gt;0,(AE580+AF580)/AH580*365,0)</x:f>
        <x:v>0.00003683927744612239</x:v>
      </x:c>
      <x:c r="AJ580" s="81" t="n">
        <x:f>IF('Inputs'!$B$45&gt;0,AG580/('Inputs'!$B$19*'Inputs'!$B$45)*365,0)</x:f>
        <x:v>2.1841298549579437e-8</x:v>
      </x:c>
      <x:c r="AK580" s="81" t="n">
        <x:f>W580/MAX($W$369:W580)-1</x:f>
        <x:v>-0.9999999987626265</x:v>
      </x:c>
      <x:c r="AL580" s="83" t="n">
        <x:f>'Inputs'!$B$45</x:f>
        <x:v>0.75</x:v>
      </x:c>
      <x:c r="AM580" s="83" t="n">
        <x:f>'Inputs'!$C$45</x:f>
        <x:v>0.5</x:v>
      </x:c>
      <x:c r="AN580" s="83" t="n">
        <x:f>'Inputs'!$D$45</x:f>
        <x:v>0.5</x:v>
      </x:c>
      <x:c r="AO580" s="81" t="n">
        <x:f>'Inputs'!$E$45</x:f>
        <x:v>-0.05</x:v>
      </x:c>
    </x:row>
    <x:row r="581">
      <x:c r="A581" s="59" t="str">
        <x:v>Weak demand</x:v>
      </x:c>
      <x:c r="B581" s="59" t="n">
        <x:v>213</x:v>
      </x:c>
      <x:c r="C581" s="78" t="n">
        <x:f>(('Inputs'!$B$29*(3*213*'Inputs'!$B$12-213^2)/(2*'Inputs'!$B$12^2))-('Inputs'!$B$29*(3*212*'Inputs'!$B$12-212^2)/(2*'Inputs'!$B$12^2)))*'Inputs'!$B$45</x:f>
        <x:v>482175.654437989</x:v>
      </x:c>
      <x:c r="D581" s="78" t="n">
        <x:f>IF('Inputs'!$C$45&gt;0,('Inputs'!$B$30*(3*213*'Inputs'!$B$12-213^2)/(2*'Inputs'!$B$12^2))-('Inputs'!$B$30*(3*212*'Inputs'!$B$12-212^2)/(2*'Inputs'!$B$12^2)),0)</x:f>
        <x:v>275528.9453931302</x:v>
      </x:c>
      <x:c r="E581" s="78" t="n">
        <x:f>C581+D581</x:f>
        <x:v>757704.5998311192</x:v>
      </x:c>
      <x:c r="F581" s="78" t="n">
        <x:f>'Inputs'!$B$13*E581+(1-'Inputs'!$B$13)/'Inputs'!$B$14*SUM(E526:E581)</x:f>
        <x:v>766134.183242636</x:v>
      </x:c>
      <x:c r="G581" s="78" t="n">
        <x:f>F581*'Inputs'!$F$45</x:f>
        <x:v>536293.9282698452</x:v>
      </x:c>
      <x:c r="H581" s="78" t="n">
        <x:f>U580</x:f>
        <x:v>135475632998.07896</x:v>
      </x:c>
      <x:c r="I581" s="78" t="n">
        <x:f>V580</x:f>
        <x:v>0.12603268892094718</x:v>
      </x:c>
      <x:c r="J581" s="79" t="n">
        <x:f>IF(H581&gt;0,I581/H581,0)</x:f>
        <x:v>9.302978412563263e-13</x:v>
      </x:c>
      <x:c r="K581" s="80" t="n">
        <x:f>(H581*J581+I581)*'Inputs'!$D$45*(1+'Inputs'!$G$45)^(B581/30)</x:f>
        <x:v>0.12603268892094718</x:v>
      </x:c>
      <x:c r="L581" s="80" t="n">
        <x:f>MAX(0,K581*'Inputs'!$E$45)</x:f>
        <x:v>0</x:v>
      </x:c>
      <x:c r="M581" s="80" t="n">
        <x:f>MAX(0,-K581*'Inputs'!$E$45)</x:f>
        <x:v>0.006301634446047359</x:v>
      </x:c>
      <x:c r="N581" s="78" t="n">
        <x:f>H581*(L581*(1-'Inputs'!$B$15))/(I581+L581*(1-'Inputs'!$B$15))</x:f>
        <x:v>0</x:v>
      </x:c>
      <x:c r="O581" s="78" t="n">
        <x:f>H581-N581</x:f>
        <x:v>135475632998.07896</x:v>
      </x:c>
      <x:c r="P581" s="78" t="n">
        <x:f>I581+L581*(1-'Inputs'!$B$17)</x:f>
        <x:v>0.12603268892094718</x:v>
      </x:c>
      <x:c r="Q581" s="78" t="n">
        <x:f>IF(J581&gt;0,M581/J581,0)</x:f>
        <x:v>0</x:v>
      </x:c>
      <x:c r="R581" s="78" t="n">
        <x:f>IF(B581='Inputs'!$H$45,'Inputs'!$B$27*'Inputs'!$I$45,0)</x:f>
        <x:v>0</x:v>
      </x:c>
      <x:c r="S581" s="78" t="n">
        <x:f>Q581+G581+R581</x:f>
        <x:v>536293.9282698452</x:v>
      </x:c>
      <x:c r="T581" s="78" t="n">
        <x:f>P581*(S581*(1-'Inputs'!$B$15))/(O581+S581*(1-'Inputs'!$B$15))</x:f>
        <x:v>4.939220172232129e-7</x:v>
      </x:c>
      <x:c r="U581" s="78" t="n">
        <x:f>O581+S581*(1-'Inputs'!$B$17)</x:f>
        <x:v>135476167133.88277</x:v>
      </x:c>
      <x:c r="V581" s="78" t="n">
        <x:f>P581-T581</x:f>
        <x:v>0.12603219499892995</x:v>
      </x:c>
      <x:c r="W581" s="79" t="n">
        <x:f>IF(U581&gt;0,V581/U581,0)</x:f>
        <x:v>9.30290527590584e-13</x:v>
      </x:c>
      <x:c r="X581" s="80" t="n">
        <x:f>W581*('Inputs'!$B$6-AC581)</x:f>
        <x:v>-0.004412546273213268</x:v>
      </x:c>
      <x:c r="Y581" s="80" t="n">
        <x:f>2*V581</x:f>
        <x:v>0.2520643899978599</x:v>
      </x:c>
      <x:c r="Z581" s="80" t="n">
        <x:f>K581*'Inputs'!$B$16+(G581+R581)*J581*'Inputs'!$B$16</x:f>
        <x:v>0.0007561991270041856</x:v>
      </x:c>
      <x:c r="AA581" s="80" t="n">
        <x:f>K581*(1+'Inputs'!$E$45)/2*'Inputs'!$B$17</x:f>
        <x:v>0.00024090755427545236</x:v>
      </x:c>
      <x:c r="AB581" s="78" t="n">
        <x:f>(IF(J581&gt;0,K581*(1-'Inputs'!$E$45)/2/J581,0)+G581+R581)*'Inputs'!$B$17</x:f>
        <x:v>2158.1244598384114</x:v>
      </x:c>
      <x:c r="AC581" s="78" t="n">
        <x:f>AC580+AB581</x:f>
        <x:v>5743191661.471164</x:v>
      </x:c>
      <x:c r="AD581" s="80" t="n">
        <x:f>Z581/(1+'Inputs'!$C$45)</x:f>
        <x:v>0.0005041327513361238</x:v>
      </x:c>
      <x:c r="AE581" s="80" t="n">
        <x:f>Z581-AD581</x:f>
        <x:v>0.0002520663756680619</x:v>
      </x:c>
      <x:c r="AF581" s="80" t="n">
        <x:f>D581*W581</x:f>
        <x:v>2.563219679762523e-7</x:v>
      </x:c>
      <x:c r="AG581" s="80" t="n">
        <x:f>C581*W581</x:f>
        <x:v>4.485634439584519e-7</x:v>
      </x:c>
      <x:c r="AH581" s="80" t="n">
        <x:f>2*'Inputs'!$B$8*'Inputs'!$C$45</x:f>
        <x:v>2500</x:v>
      </x:c>
      <x:c r="AI581" s="81" t="n">
        <x:f>IF(AH581&gt;0,(AE581+AF581)/AH581*365,0)</x:f>
        <x:v>0.00003683911385486157</x:v>
      </x:c>
      <x:c r="AJ581" s="81" t="n">
        <x:f>IF('Inputs'!$B$45&gt;0,AG581/('Inputs'!$B$19*'Inputs'!$B$45)*365,0)</x:f>
        <x:v>2.1830087605977994e-8</x:v>
      </x:c>
      <x:c r="AK581" s="81" t="n">
        <x:f>W581/MAX($W$369:W581)-1</x:f>
        <x:v>-0.9999999987626361</x:v>
      </x:c>
      <x:c r="AL581" s="83" t="n">
        <x:f>'Inputs'!$B$45</x:f>
        <x:v>0.75</x:v>
      </x:c>
      <x:c r="AM581" s="83" t="n">
        <x:f>'Inputs'!$C$45</x:f>
        <x:v>0.5</x:v>
      </x:c>
      <x:c r="AN581" s="83" t="n">
        <x:f>'Inputs'!$D$45</x:f>
        <x:v>0.5</x:v>
      </x:c>
      <x:c r="AO581" s="81" t="n">
        <x:f>'Inputs'!$E$45</x:f>
        <x:v>-0.05</x:v>
      </x:c>
    </x:row>
    <x:row r="582">
      <x:c r="A582" s="59" t="str">
        <x:v>Weak demand</x:v>
      </x:c>
      <x:c r="B582" s="59" t="n">
        <x:v>214</x:v>
      </x:c>
      <x:c r="C582" s="78" t="n">
        <x:f>(('Inputs'!$B$29*(3*214*'Inputs'!$B$12-214^2)/(2*'Inputs'!$B$12^2))-('Inputs'!$B$29*(3*213*'Inputs'!$B$12-213^2)/(2*'Inputs'!$B$12^2)))*'Inputs'!$B$45</x:f>
        <x:v>481931.8235128373</x:v>
      </x:c>
      <x:c r="D582" s="78" t="n">
        <x:f>IF('Inputs'!$C$45&gt;0,('Inputs'!$B$30*(3*214*'Inputs'!$B$12-214^2)/(2*'Inputs'!$B$12^2))-('Inputs'!$B$30*(3*213*'Inputs'!$B$12-213^2)/(2*'Inputs'!$B$12^2)),0)</x:f>
        <x:v>275389.6134359166</x:v>
      </x:c>
      <x:c r="E582" s="78" t="n">
        <x:f>C582+D582</x:f>
        <x:v>757321.4369487539</x:v>
      </x:c>
      <x:c r="F582" s="78" t="n">
        <x:f>'Inputs'!$B$13*E582+(1-'Inputs'!$B$13)/'Inputs'!$B$14*SUM(E527:E582)</x:f>
        <x:v>765751.0203602891</x:v>
      </x:c>
      <x:c r="G582" s="78" t="n">
        <x:f>F582*'Inputs'!$F$45</x:f>
        <x:v>536025.7142522024</x:v>
      </x:c>
      <x:c r="H582" s="78" t="n">
        <x:f>U581</x:f>
        <x:v>135476167133.88277</x:v>
      </x:c>
      <x:c r="I582" s="78" t="n">
        <x:f>V581</x:f>
        <x:v>0.12603219499892995</x:v>
      </x:c>
      <x:c r="J582" s="79" t="n">
        <x:f>IF(H582&gt;0,I582/H582,0)</x:f>
        <x:v>9.30290527590584e-13</x:v>
      </x:c>
      <x:c r="K582" s="80" t="n">
        <x:f>(H582*J582+I582)*'Inputs'!$D$45*(1+'Inputs'!$G$45)^(B582/30)</x:f>
        <x:v>0.12603219499892995</x:v>
      </x:c>
      <x:c r="L582" s="80" t="n">
        <x:f>MAX(0,K582*'Inputs'!$E$45)</x:f>
        <x:v>0</x:v>
      </x:c>
      <x:c r="M582" s="80" t="n">
        <x:f>MAX(0,-K582*'Inputs'!$E$45)</x:f>
        <x:v>0.006301609749946498</x:v>
      </x:c>
      <x:c r="N582" s="78" t="n">
        <x:f>H582*(L582*(1-'Inputs'!$B$15))/(I582+L582*(1-'Inputs'!$B$15))</x:f>
        <x:v>0</x:v>
      </x:c>
      <x:c r="O582" s="78" t="n">
        <x:f>H582-N582</x:f>
        <x:v>135476167133.88277</x:v>
      </x:c>
      <x:c r="P582" s="78" t="n">
        <x:f>I582+L582*(1-'Inputs'!$B$17)</x:f>
        <x:v>0.12603219499892995</x:v>
      </x:c>
      <x:c r="Q582" s="78" t="n">
        <x:f>IF(J582&gt;0,M582/J582,0)</x:f>
        <x:v>0</x:v>
      </x:c>
      <x:c r="R582" s="78" t="n">
        <x:f>IF(B582='Inputs'!$H$45,'Inputs'!$B$27*'Inputs'!$I$45,0)</x:f>
        <x:v>0</x:v>
      </x:c>
      <x:c r="S582" s="78" t="n">
        <x:f>Q582+G582+R582</x:f>
        <x:v>536025.7142522024</x:v>
      </x:c>
      <x:c r="T582" s="78" t="n">
        <x:f>P582*(S582*(1-'Inputs'!$B$15))/(O582+S582*(1-'Inputs'!$B$15))</x:f>
        <x:v>4.936711143395572e-7</x:v>
      </x:c>
      <x:c r="U582" s="78" t="n">
        <x:f>O582+S582*(1-'Inputs'!$B$17)</x:f>
        <x:v>135476701002.5519</x:v>
      </x:c>
      <x:c r="V582" s="78" t="n">
        <x:f>P582-T582</x:f>
        <x:v>0.1260317013278156</x:v>
      </x:c>
      <x:c r="W582" s="79" t="n">
        <x:f>IF(U582&gt;0,V582/U582,0)</x:f>
        <x:v>9.302832176688568e-13</x:v>
      </x:c>
      <x:c r="X582" s="80" t="n">
        <x:f>W582*('Inputs'!$B$6-AC582)</x:f>
        <x:v>-0.004412513607516367</x:v>
      </x:c>
      <x:c r="Y582" s="80" t="n">
        <x:f>2*V582</x:f>
        <x:v>0.2520634026556312</x:v>
      </x:c>
      <x:c r="Z582" s="80" t="n">
        <x:f>K582*'Inputs'!$B$16+(G582+R582)*J582*'Inputs'!$B$16</x:f>
        <x:v>0.0007561961619514468</x:v>
      </x:c>
      <x:c r="AA582" s="80" t="n">
        <x:f>K582*(1+'Inputs'!$E$45)/2*'Inputs'!$B$17</x:f>
        <x:v>0.00024090661015892045</x:v>
      </x:c>
      <x:c r="AB582" s="78" t="n">
        <x:f>(IF(J582&gt;0,K582*(1-'Inputs'!$E$45)/2/J582,0)+G582+R582)*'Inputs'!$B$17</x:f>
        <x:v>2157.045127775463</x:v>
      </x:c>
      <x:c r="AC582" s="78" t="n">
        <x:f>AC581+AB582</x:f>
        <x:v>5743193818.516292</x:v>
      </x:c>
      <x:c r="AD582" s="80" t="n">
        <x:f>Z582/(1+'Inputs'!$C$45)</x:f>
        <x:v>0.0005041307746342979</x:v>
      </x:c>
      <x:c r="AE582" s="80" t="n">
        <x:f>Z582-AD582</x:f>
        <x:v>0.00025206538731714894</x:v>
      </x:c>
      <x:c r="AF582" s="80" t="n">
        <x:f>D582*W582</x:f>
        <x:v>2.561903356997471e-7</x:v>
      </x:c>
      <x:c r="AG582" s="80" t="n">
        <x:f>C582*W582</x:f>
        <x:v>4.4833308747454186e-7</x:v>
      </x:c>
      <x:c r="AH582" s="80" t="n">
        <x:f>2*'Inputs'!$B$8*'Inputs'!$C$45</x:f>
        <x:v>2500</x:v>
      </x:c>
      <x:c r="AI582" s="81" t="n">
        <x:f>IF(AH582&gt;0,(AE582+AF582)/AH582*365,0)</x:f>
        <x:v>0.00003683895033731591</x:v>
      </x:c>
      <x:c r="AJ582" s="81" t="n">
        <x:f>IF('Inputs'!$B$45&gt;0,AG582/('Inputs'!$B$19*'Inputs'!$B$45)*365,0)</x:f>
        <x:v>2.1818876923761038e-8</x:v>
      </x:c>
      <x:c r="AK582" s="81" t="n">
        <x:f>W582/MAX($W$369:W582)-1</x:f>
        <x:v>-0.9999999987626459</x:v>
      </x:c>
      <x:c r="AL582" s="83" t="n">
        <x:f>'Inputs'!$B$45</x:f>
        <x:v>0.75</x:v>
      </x:c>
      <x:c r="AM582" s="83" t="n">
        <x:f>'Inputs'!$C$45</x:f>
        <x:v>0.5</x:v>
      </x:c>
      <x:c r="AN582" s="83" t="n">
        <x:f>'Inputs'!$D$45</x:f>
        <x:v>0.5</x:v>
      </x:c>
      <x:c r="AO582" s="81" t="n">
        <x:f>'Inputs'!$E$45</x:f>
        <x:v>-0.05</x:v>
      </x:c>
    </x:row>
    <x:row r="583">
      <x:c r="A583" s="59" t="str">
        <x:v>Weak demand</x:v>
      </x:c>
      <x:c r="B583" s="59" t="n">
        <x:v>215</x:v>
      </x:c>
      <x:c r="C583" s="78" t="n">
        <x:f>(('Inputs'!$B$29*(3*215*'Inputs'!$B$12-215^2)/(2*'Inputs'!$B$12^2))-('Inputs'!$B$29*(3*214*'Inputs'!$B$12-214^2)/(2*'Inputs'!$B$12^2)))*'Inputs'!$B$45</x:f>
        <x:v>481687.9925877303</x:v>
      </x:c>
      <x:c r="D583" s="78" t="n">
        <x:f>IF('Inputs'!$C$45&gt;0,('Inputs'!$B$30*(3*215*'Inputs'!$B$12-215^2)/(2*'Inputs'!$B$12^2))-('Inputs'!$B$30*(3*214*'Inputs'!$B$12-214^2)/(2*'Inputs'!$B$12^2)),0)</x:f>
        <x:v>275250.281478703</x:v>
      </x:c>
      <x:c r="E583" s="78" t="n">
        <x:f>C583+D583</x:f>
        <x:v>756938.2740664333</x:v>
      </x:c>
      <x:c r="F583" s="78" t="n">
        <x:f>'Inputs'!$B$13*E583+(1-'Inputs'!$B$13)/'Inputs'!$B$14*SUM(E528:E583)</x:f>
        <x:v>765367.8574779518</x:v>
      </x:c>
      <x:c r="G583" s="78" t="n">
        <x:f>F583*'Inputs'!$F$45</x:f>
        <x:v>535757.5002345663</x:v>
      </x:c>
      <x:c r="H583" s="78" t="n">
        <x:f>U582</x:f>
        <x:v>135476701002.5519</x:v>
      </x:c>
      <x:c r="I583" s="78" t="n">
        <x:f>V582</x:f>
        <x:v>0.1260317013278156</x:v>
      </x:c>
      <x:c r="J583" s="79" t="n">
        <x:f>IF(H583&gt;0,I583/H583,0)</x:f>
        <x:v>9.302832176688568e-13</x:v>
      </x:c>
      <x:c r="K583" s="80" t="n">
        <x:f>(H583*J583+I583)*'Inputs'!$D$45*(1+'Inputs'!$G$45)^(B583/30)</x:f>
        <x:v>0.1260317013278156</x:v>
      </x:c>
      <x:c r="L583" s="80" t="n">
        <x:f>MAX(0,K583*'Inputs'!$E$45)</x:f>
        <x:v>0</x:v>
      </x:c>
      <x:c r="M583" s="80" t="n">
        <x:f>MAX(0,-K583*'Inputs'!$E$45)</x:f>
        <x:v>0.00630158506639078</x:v>
      </x:c>
      <x:c r="N583" s="78" t="n">
        <x:f>H583*(L583*(1-'Inputs'!$B$15))/(I583+L583*(1-'Inputs'!$B$15))</x:f>
        <x:v>0</x:v>
      </x:c>
      <x:c r="O583" s="78" t="n">
        <x:f>H583-N583</x:f>
        <x:v>135476701002.5519</x:v>
      </x:c>
      <x:c r="P583" s="78" t="n">
        <x:f>I583+L583*(1-'Inputs'!$B$17)</x:f>
        <x:v>0.1260317013278156</x:v>
      </x:c>
      <x:c r="Q583" s="78" t="n">
        <x:f>IF(J583&gt;0,M583/J583,0)</x:f>
        <x:v>0</x:v>
      </x:c>
      <x:c r="R583" s="78" t="n">
        <x:f>IF(B583='Inputs'!$H$45,'Inputs'!$B$27*'Inputs'!$I$45,0)</x:f>
        <x:v>0</x:v>
      </x:c>
      <x:c r="S583" s="78" t="n">
        <x:f>Q583+G583+R583</x:f>
        <x:v>535757.5002345663</x:v>
      </x:c>
      <x:c r="T583" s="78" t="n">
        <x:f>P583*(S583*(1-'Inputs'!$B$15))/(O583+S583*(1-'Inputs'!$B$15))</x:f>
        <x:v>4.934202173247296e-7</x:v>
      </x:c>
      <x:c r="U583" s="78" t="n">
        <x:f>O583+S583*(1-'Inputs'!$B$17)</x:f>
        <x:v>135477234604.08633</x:v>
      </x:c>
      <x:c r="V583" s="78" t="n">
        <x:f>P583-T583</x:f>
        <x:v>0.12603120790759828</x:v>
      </x:c>
      <x:c r="W583" s="79" t="n">
        <x:f>IF(U583&gt;0,V583/U583,0)</x:f>
        <x:v>9.302759114910133e-13</x:v>
      </x:c>
      <x:c r="X583" s="80" t="n">
        <x:f>W583*('Inputs'!$B$6-AC583)</x:f>
        <x:v>-0.004412480958541829</x:v>
      </x:c>
      <x:c r="Y583" s="80" t="n">
        <x:f>2*V583</x:f>
        <x:v>0.25206241581519656</x:v>
      </x:c>
      <x:c r="Z583" s="80" t="n">
        <x:f>K583*'Inputs'!$B$16+(G583+R583)*J583*'Inputs'!$B$16</x:f>
        <x:v>0.0007561931984041609</x:v>
      </x:c>
      <x:c r="AA583" s="80" t="n">
        <x:f>K583*(1+'Inputs'!$E$45)/2*'Inputs'!$B$17</x:f>
        <x:v>0.00024090566652198157</x:v>
      </x:c>
      <x:c r="AB583" s="78" t="n">
        <x:f>(IF(J583&gt;0,K583*(1-'Inputs'!$E$45)/2/J583,0)+G583+R583)*'Inputs'!$B$17</x:f>
        <x:v>2155.9657957125405</x:v>
      </x:c>
      <x:c r="AC583" s="78" t="n">
        <x:f>AC582+AB583</x:f>
        <x:v>5743195974.482087</x:v>
      </x:c>
      <x:c r="AD583" s="80" t="n">
        <x:f>Z583/(1+'Inputs'!$C$45)</x:f>
        <x:v>0.0005041287989361072</x:v>
      </x:c>
      <x:c r="AE583" s="80" t="n">
        <x:f>Z583-AD583</x:f>
        <x:v>0.00025206439946805367</x:v>
      </x:c>
      <x:c r="AF583" s="80" t="n">
        <x:f>D583*W583</x:f>
        <x:v>2.5605870649075844e-7</x:v>
      </x:c>
      <x:c r="AG583" s="80" t="n">
        <x:f>C583*W583</x:f>
        <x:v>4.4810273635882726e-7</x:v>
      </x:c>
      <x:c r="AH583" s="80" t="n">
        <x:f>2*'Inputs'!$B$8*'Inputs'!$C$45</x:f>
        <x:v>2500</x:v>
      </x:c>
      <x:c r="AI583" s="81" t="n">
        <x:f>IF(AH583&gt;0,(AE583+AF583)/AH583*365,0)</x:f>
        <x:v>0.00003683878689348349</x:v>
      </x:c>
      <x:c r="AJ583" s="81" t="n">
        <x:f>IF('Inputs'!$B$45&gt;0,AG583/('Inputs'!$B$19*'Inputs'!$B$45)*365,0)</x:f>
        <x:v>2.180766650279626e-8</x:v>
      </x:c>
      <x:c r="AK583" s="81" t="n">
        <x:f>W583/MAX($W$369:W583)-1</x:f>
        <x:v>-0.9999999987626556</x:v>
      </x:c>
      <x:c r="AL583" s="83" t="n">
        <x:f>'Inputs'!$B$45</x:f>
        <x:v>0.75</x:v>
      </x:c>
      <x:c r="AM583" s="83" t="n">
        <x:f>'Inputs'!$C$45</x:f>
        <x:v>0.5</x:v>
      </x:c>
      <x:c r="AN583" s="83" t="n">
        <x:f>'Inputs'!$D$45</x:f>
        <x:v>0.5</x:v>
      </x:c>
      <x:c r="AO583" s="81" t="n">
        <x:f>'Inputs'!$E$45</x:f>
        <x:v>-0.05</x:v>
      </x:c>
    </x:row>
    <x:row r="584">
      <x:c r="A584" s="59" t="str">
        <x:v>Weak demand</x:v>
      </x:c>
      <x:c r="B584" s="59" t="n">
        <x:v>216</x:v>
      </x:c>
      <x:c r="C584" s="78" t="n">
        <x:f>(('Inputs'!$B$29*(3*216*'Inputs'!$B$12-216^2)/(2*'Inputs'!$B$12^2))-('Inputs'!$B$29*(3*215*'Inputs'!$B$12-215^2)/(2*'Inputs'!$B$12^2)))*'Inputs'!$B$45</x:f>
        <x:v>481444.16166260093</x:v>
      </x:c>
      <x:c r="D584" s="78" t="n">
        <x:f>IF('Inputs'!$C$45&gt;0,('Inputs'!$B$30*(3*216*'Inputs'!$B$12-216^2)/(2*'Inputs'!$B$12^2))-('Inputs'!$B$30*(3*215*'Inputs'!$B$12-215^2)/(2*'Inputs'!$B$12^2)),0)</x:f>
        <x:v>275110.94952148944</x:v>
      </x:c>
      <x:c r="E584" s="78" t="n">
        <x:f>C584+D584</x:f>
        <x:v>756555.1111840904</x:v>
      </x:c>
      <x:c r="F584" s="78" t="n">
        <x:f>'Inputs'!$B$13*E584+(1-'Inputs'!$B$13)/'Inputs'!$B$14*SUM(E529:E584)</x:f>
        <x:v>764984.6945956097</x:v>
      </x:c>
      <x:c r="G584" s="78" t="n">
        <x:f>F584*'Inputs'!$F$45</x:f>
        <x:v>535489.2862169268</x:v>
      </x:c>
      <x:c r="H584" s="78" t="n">
        <x:f>U583</x:f>
        <x:v>135477234604.08633</x:v>
      </x:c>
      <x:c r="I584" s="78" t="n">
        <x:f>V583</x:f>
        <x:v>0.12603120790759828</x:v>
      </x:c>
      <x:c r="J584" s="79" t="n">
        <x:f>IF(H584&gt;0,I584/H584,0)</x:f>
        <x:v>9.302759114910133e-13</x:v>
      </x:c>
      <x:c r="K584" s="80" t="n">
        <x:f>(H584*J584+I584)*'Inputs'!$D$45*(1+'Inputs'!$G$45)^(B584/30)</x:f>
        <x:v>0.12603120790759828</x:v>
      </x:c>
      <x:c r="L584" s="80" t="n">
        <x:f>MAX(0,K584*'Inputs'!$E$45)</x:f>
        <x:v>0</x:v>
      </x:c>
      <x:c r="M584" s="80" t="n">
        <x:f>MAX(0,-K584*'Inputs'!$E$45)</x:f>
        <x:v>0.006301560395379914</x:v>
      </x:c>
      <x:c r="N584" s="78" t="n">
        <x:f>H584*(L584*(1-'Inputs'!$B$15))/(I584+L584*(1-'Inputs'!$B$15))</x:f>
        <x:v>0</x:v>
      </x:c>
      <x:c r="O584" s="78" t="n">
        <x:f>H584-N584</x:f>
        <x:v>135477234604.08633</x:v>
      </x:c>
      <x:c r="P584" s="78" t="n">
        <x:f>I584+L584*(1-'Inputs'!$B$17)</x:f>
        <x:v>0.12603120790759828</x:v>
      </x:c>
      <x:c r="Q584" s="78" t="n">
        <x:f>IF(J584&gt;0,M584/J584,0)</x:f>
        <x:v>0</x:v>
      </x:c>
      <x:c r="R584" s="78" t="n">
        <x:f>IF(B584='Inputs'!$H$45,'Inputs'!$B$27*'Inputs'!$I$45,0)</x:f>
        <x:v>0</x:v>
      </x:c>
      <x:c r="S584" s="78" t="n">
        <x:f>Q584+G584+R584</x:f>
        <x:v>535489.2862169268</x:v>
      </x:c>
      <x:c r="T584" s="78" t="n">
        <x:f>P584*(S584*(1-'Inputs'!$B$15))/(O584+S584*(1-'Inputs'!$B$15))</x:f>
        <x:v>4.931693261756697e-7</x:v>
      </x:c>
      <x:c r="U584" s="78" t="n">
        <x:f>O584+S584*(1-'Inputs'!$B$17)</x:f>
        <x:v>135477767938.48608</x:v>
      </x:c>
      <x:c r="V584" s="78" t="n">
        <x:f>P584-T584</x:f>
        <x:v>0.1260307147382721</x:v>
      </x:c>
      <x:c r="W584" s="79" t="n">
        <x:f>IF(U584&gt;0,V584/U584,0)</x:f>
        <x:v>9.302686090569233e-13</x:v>
      </x:c>
      <x:c r="X584" s="80" t="n">
        <x:f>W584*('Inputs'!$B$6-AC584)</x:f>
        <x:v>-0.004412448326289083</x:v>
      </x:c>
      <x:c r="Y584" s="80" t="n">
        <x:f>2*V584</x:f>
        <x:v>0.2520614294765442</x:v>
      </x:c>
      <x:c r="Z584" s="80" t="n">
        <x:f>K584*'Inputs'!$B$16+(G584+R584)*J584*'Inputs'!$B$16</x:f>
        <x:v>0.0007561902363622927</x:v>
      </x:c>
      <x:c r="AA584" s="80" t="n">
        <x:f>K584*(1+'Inputs'!$E$45)/2*'Inputs'!$B$17</x:f>
        <x:v>0.00024090472336462448</x:v>
      </x:c>
      <x:c r="AB584" s="78" t="n">
        <x:f>(IF(J584&gt;0,K584*(1-'Inputs'!$E$45)/2/J584,0)+G584+R584)*'Inputs'!$B$17</x:f>
        <x:v>2154.886463649605</x:v>
      </x:c>
      <x:c r="AC584" s="78" t="n">
        <x:f>AC583+AB584</x:f>
        <x:v>5743198129.368551</x:v>
      </x:c>
      <x:c r="AD584" s="80" t="n">
        <x:f>Z584/(1+'Inputs'!$C$45)</x:f>
        <x:v>0.0005041268242415285</x:v>
      </x:c>
      <x:c r="AE584" s="80" t="n">
        <x:f>Z584-AD584</x:f>
        <x:v>0.00025206341212076423</x:v>
      </x:c>
      <x:c r="AF584" s="80" t="n">
        <x:f>D584*W584</x:f>
        <x:v>2.559270803476854e-7</x:v>
      </x:c>
      <x:c r="AG584" s="80" t="n">
        <x:f>C584*W584</x:f>
        <x:v>4.478723906084443e-7</x:v>
      </x:c>
      <x:c r="AH584" s="80" t="n">
        <x:f>2*'Inputs'!$B$8*'Inputs'!$C$45</x:f>
        <x:v>2500</x:v>
      </x:c>
      <x:c r="AI584" s="81" t="n">
        <x:f>IF(AH584&gt;0,(AE584+AF584)/AH584*365,0)</x:f>
        <x:v>0.00003683862352336234</x:v>
      </x:c>
      <x:c r="AJ584" s="81" t="n">
        <x:f>IF('Inputs'!$B$45&gt;0,AG584/('Inputs'!$B$19*'Inputs'!$B$45)*365,0)</x:f>
        <x:v>2.179645634294429e-8</x:v>
      </x:c>
      <x:c r="AK584" s="81" t="n">
        <x:f>W584/MAX($W$369:W584)-1</x:f>
        <x:v>-0.9999999987626653</x:v>
      </x:c>
      <x:c r="AL584" s="83" t="n">
        <x:f>'Inputs'!$B$45</x:f>
        <x:v>0.75</x:v>
      </x:c>
      <x:c r="AM584" s="83" t="n">
        <x:f>'Inputs'!$C$45</x:f>
        <x:v>0.5</x:v>
      </x:c>
      <x:c r="AN584" s="83" t="n">
        <x:f>'Inputs'!$D$45</x:f>
        <x:v>0.5</x:v>
      </x:c>
      <x:c r="AO584" s="81" t="n">
        <x:f>'Inputs'!$E$45</x:f>
        <x:v>-0.05</x:v>
      </x:c>
    </x:row>
    <x:row r="585">
      <x:c r="A585" s="59" t="str">
        <x:v>Weak demand</x:v>
      </x:c>
      <x:c r="B585" s="59" t="n">
        <x:v>217</x:v>
      </x:c>
      <x:c r="C585" s="78" t="n">
        <x:f>(('Inputs'!$B$29*(3*217*'Inputs'!$B$12-217^2)/(2*'Inputs'!$B$12^2))-('Inputs'!$B$29*(3*216*'Inputs'!$B$12-216^2)/(2*'Inputs'!$B$12^2)))*'Inputs'!$B$45</x:f>
        <x:v>481200.3307374716</x:v>
      </x:c>
      <x:c r="D585" s="78" t="n">
        <x:f>IF('Inputs'!$C$45&gt;0,('Inputs'!$B$30*(3*217*'Inputs'!$B$12-217^2)/(2*'Inputs'!$B$12^2))-('Inputs'!$B$30*(3*216*'Inputs'!$B$12-216^2)/(2*'Inputs'!$B$12^2)),0)</x:f>
        <x:v>274971.6175642684</x:v>
      </x:c>
      <x:c r="E585" s="78" t="n">
        <x:f>C585+D585</x:f>
        <x:v>756171.94830174</x:v>
      </x:c>
      <x:c r="F585" s="78" t="n">
        <x:f>'Inputs'!$B$13*E585+(1-'Inputs'!$B$13)/'Inputs'!$B$14*SUM(E530:E585)</x:f>
        <x:v>764601.5317132659</x:v>
      </x:c>
      <x:c r="G585" s="78" t="n">
        <x:f>F585*'Inputs'!$F$45</x:f>
        <x:v>535221.0721992861</x:v>
      </x:c>
      <x:c r="H585" s="78" t="n">
        <x:f>U584</x:f>
        <x:v>135477767938.48608</x:v>
      </x:c>
      <x:c r="I585" s="78" t="n">
        <x:f>V584</x:f>
        <x:v>0.1260307147382721</x:v>
      </x:c>
      <x:c r="J585" s="79" t="n">
        <x:f>IF(H585&gt;0,I585/H585,0)</x:f>
        <x:v>9.302686090569233e-13</x:v>
      </x:c>
      <x:c r="K585" s="80" t="n">
        <x:f>(H585*J585+I585)*'Inputs'!$D$45*(1+'Inputs'!$G$45)^(B585/30)</x:f>
        <x:v>0.1260307147382721</x:v>
      </x:c>
      <x:c r="L585" s="80" t="n">
        <x:f>MAX(0,K585*'Inputs'!$E$45)</x:f>
        <x:v>0</x:v>
      </x:c>
      <x:c r="M585" s="80" t="n">
        <x:f>MAX(0,-K585*'Inputs'!$E$45)</x:f>
        <x:v>0.006301535736913605</x:v>
      </x:c>
      <x:c r="N585" s="78" t="n">
        <x:f>H585*(L585*(1-'Inputs'!$B$15))/(I585+L585*(1-'Inputs'!$B$15))</x:f>
        <x:v>0</x:v>
      </x:c>
      <x:c r="O585" s="78" t="n">
        <x:f>H585-N585</x:f>
        <x:v>135477767938.48608</x:v>
      </x:c>
      <x:c r="P585" s="78" t="n">
        <x:f>I585+L585*(1-'Inputs'!$B$17)</x:f>
        <x:v>0.1260307147382721</x:v>
      </x:c>
      <x:c r="Q585" s="78" t="n">
        <x:f>IF(J585&gt;0,M585/J585,0)</x:f>
        <x:v>0</x:v>
      </x:c>
      <x:c r="R585" s="78" t="n">
        <x:f>IF(B585='Inputs'!$H$45,'Inputs'!$B$27*'Inputs'!$I$45,0)</x:f>
        <x:v>0</x:v>
      </x:c>
      <x:c r="S585" s="78" t="n">
        <x:f>Q585+G585+R585</x:f>
        <x:v>535221.0721992861</x:v>
      </x:c>
      <x:c r="T585" s="78" t="n">
        <x:f>P585*(S585*(1-'Inputs'!$B$15))/(O585+S585*(1-'Inputs'!$B$15))</x:f>
        <x:v>4.929184408893275e-7</x:v>
      </x:c>
      <x:c r="U585" s="78" t="n">
        <x:f>O585+S585*(1-'Inputs'!$B$17)</x:f>
        <x:v>135478301005.75114</x:v>
      </x:c>
      <x:c r="V585" s="78" t="n">
        <x:f>P585-T585</x:f>
        <x:v>0.1260302218198312</x:v>
      </x:c>
      <x:c r="W585" s="79" t="n">
        <x:f>IF(U585&gt;0,V585/U585,0)</x:f>
        <x:v>9.30261310366456e-13</x:v>
      </x:c>
      <x:c r="X585" s="80" t="n">
        <x:f>W585*('Inputs'!$B$6-AC585)</x:f>
        <x:v>-0.0044124157107575555</x:v>
      </x:c>
      <x:c r="Y585" s="80" t="n">
        <x:f>2*V585</x:f>
        <x:v>0.2520604436396624</x:v>
      </x:c>
      <x:c r="Z585" s="80" t="n">
        <x:f>K585*'Inputs'!$B$16+(G585+R585)*J585*'Inputs'!$B$16</x:f>
        <x:v>0.0007561872758258068</x:v>
      </x:c>
      <x:c r="AA585" s="80" t="n">
        <x:f>K585*(1+'Inputs'!$E$45)/2*'Inputs'!$B$17</x:f>
        <x:v>0.00024090378068683803</x:v>
      </x:c>
      <x:c r="AB585" s="78" t="n">
        <x:f>(IF(J585&gt;0,K585*(1-'Inputs'!$E$45)/2/J585,0)+G585+R585)*'Inputs'!$B$17</x:f>
        <x:v>2153.8071315866646</x:v>
      </x:c>
      <x:c r="AC585" s="78" t="n">
        <x:f>AC584+AB585</x:f>
        <x:v>5743200283.175683</x:v>
      </x:c>
      <x:c r="AD585" s="80" t="n">
        <x:f>Z585/(1+'Inputs'!$C$45)</x:f>
        <x:v>0.0005041248505505379</x:v>
      </x:c>
      <x:c r="AE585" s="80" t="n">
        <x:f>Z585-AD585</x:f>
        <x:v>0.00025206242527526894</x:v>
      </x:c>
      <x:c r="AF585" s="80" t="n">
        <x:f>D585*W585</x:f>
        <x:v>2.557954572689203e-7</x:v>
      </x:c>
      <x:c r="AG585" s="80" t="n">
        <x:f>C585*W585</x:f>
        <x:v>4.476420502206123e-7</x:v>
      </x:c>
      <x:c r="AH585" s="80" t="n">
        <x:f>2*'Inputs'!$B$8*'Inputs'!$C$45</x:f>
        <x:v>2500</x:v>
      </x:c>
      <x:c r="AI585" s="81" t="n">
        <x:f>IF(AH585&gt;0,(AE585+AF585)/AH585*365,0)</x:f>
        <x:v>0.000036838460226950525</x:v>
      </x:c>
      <x:c r="AJ585" s="81" t="n">
        <x:f>IF('Inputs'!$B$45&gt;0,AG585/('Inputs'!$B$19*'Inputs'!$B$45)*365,0)</x:f>
        <x:v>2.1785246444069796e-8</x:v>
      </x:c>
      <x:c r="AK585" s="81" t="n">
        <x:f>W585/MAX($W$369:W585)-1</x:f>
        <x:v>-0.999999998762675</x:v>
      </x:c>
      <x:c r="AL585" s="83" t="n">
        <x:f>'Inputs'!$B$45</x:f>
        <x:v>0.75</x:v>
      </x:c>
      <x:c r="AM585" s="83" t="n">
        <x:f>'Inputs'!$C$45</x:f>
        <x:v>0.5</x:v>
      </x:c>
      <x:c r="AN585" s="83" t="n">
        <x:f>'Inputs'!$D$45</x:f>
        <x:v>0.5</x:v>
      </x:c>
      <x:c r="AO585" s="81" t="n">
        <x:f>'Inputs'!$E$45</x:f>
        <x:v>-0.05</x:v>
      </x:c>
    </x:row>
    <x:row r="586">
      <x:c r="A586" s="59" t="str">
        <x:v>Weak demand</x:v>
      </x:c>
      <x:c r="B586" s="59" t="n">
        <x:v>218</x:v>
      </x:c>
      <x:c r="C586" s="78" t="n">
        <x:f>(('Inputs'!$B$29*(3*218*'Inputs'!$B$12-218^2)/(2*'Inputs'!$B$12^2))-('Inputs'!$B$29*(3*217*'Inputs'!$B$12-217^2)/(2*'Inputs'!$B$12^2)))*'Inputs'!$B$45</x:f>
        <x:v>480956.4998123646</x:v>
      </x:c>
      <x:c r="D586" s="78" t="n">
        <x:f>IF('Inputs'!$C$45&gt;0,('Inputs'!$B$30*(3*218*'Inputs'!$B$12-218^2)/(2*'Inputs'!$B$12^2))-('Inputs'!$B$30*(3*217*'Inputs'!$B$12-217^2)/(2*'Inputs'!$B$12^2)),0)</x:f>
        <x:v>274832.28560705483</x:v>
      </x:c>
      <x:c r="E586" s="78" t="n">
        <x:f>C586+D586</x:f>
        <x:v>755788.7854194194</x:v>
      </x:c>
      <x:c r="F586" s="78" t="n">
        <x:f>'Inputs'!$B$13*E586+(1-'Inputs'!$B$13)/'Inputs'!$B$14*SUM(E531:E586)</x:f>
        <x:v>764218.3688309286</x:v>
      </x:c>
      <x:c r="G586" s="78" t="n">
        <x:f>F586*'Inputs'!$F$45</x:f>
        <x:v>534952.8581816499</x:v>
      </x:c>
      <x:c r="H586" s="78" t="n">
        <x:f>U585</x:f>
        <x:v>135478301005.75114</x:v>
      </x:c>
      <x:c r="I586" s="78" t="n">
        <x:f>V585</x:f>
        <x:v>0.1260302218198312</x:v>
      </x:c>
      <x:c r="J586" s="79" t="n">
        <x:f>IF(H586&gt;0,I586/H586,0)</x:f>
        <x:v>9.30261310366456e-13</x:v>
      </x:c>
      <x:c r="K586" s="80" t="n">
        <x:f>(H586*J586+I586)*'Inputs'!$D$45*(1+'Inputs'!$G$45)^(B586/30)</x:f>
        <x:v>0.1260302218198312</x:v>
      </x:c>
      <x:c r="L586" s="80" t="n">
        <x:f>MAX(0,K586*'Inputs'!$E$45)</x:f>
        <x:v>0</x:v>
      </x:c>
      <x:c r="M586" s="80" t="n">
        <x:f>MAX(0,-K586*'Inputs'!$E$45)</x:f>
        <x:v>0.006301511090991561</x:v>
      </x:c>
      <x:c r="N586" s="78" t="n">
        <x:f>H586*(L586*(1-'Inputs'!$B$15))/(I586+L586*(1-'Inputs'!$B$15))</x:f>
        <x:v>0</x:v>
      </x:c>
      <x:c r="O586" s="78" t="n">
        <x:f>H586-N586</x:f>
        <x:v>135478301005.75114</x:v>
      </x:c>
      <x:c r="P586" s="78" t="n">
        <x:f>I586+L586*(1-'Inputs'!$B$17)</x:f>
        <x:v>0.1260302218198312</x:v>
      </x:c>
      <x:c r="Q586" s="78" t="n">
        <x:f>IF(J586&gt;0,M586/J586,0)</x:f>
        <x:v>0</x:v>
      </x:c>
      <x:c r="R586" s="78" t="n">
        <x:f>IF(B586='Inputs'!$H$45,'Inputs'!$B$27*'Inputs'!$I$45,0)</x:f>
        <x:v>0</x:v>
      </x:c>
      <x:c r="S586" s="78" t="n">
        <x:f>Q586+G586+R586</x:f>
        <x:v>534952.8581816499</x:v>
      </x:c>
      <x:c r="T586" s="78" t="n">
        <x:f>P586*(S586*(1-'Inputs'!$B$15))/(O586+S586*(1-'Inputs'!$B$15))</x:f>
        <x:v>4.926675614626569e-7</x:v>
      </x:c>
      <x:c r="U586" s="78" t="n">
        <x:f>O586+S586*(1-'Inputs'!$B$17)</x:f>
        <x:v>135478833805.88153</x:v>
      </x:c>
      <x:c r="V586" s="78" t="n">
        <x:f>P586-T586</x:f>
        <x:v>0.12602972915226973</x:v>
      </x:c>
      <x:c r="W586" s="79" t="n">
        <x:f>IF(U586&gt;0,V586/U586,0)</x:f>
        <x:v>9.302540154194803e-13</x:v>
      </x:c>
      <x:c r="X586" s="80" t="n">
        <x:f>W586*('Inputs'!$B$6-AC586)</x:f>
        <x:v>-0.004412383111946675</x:v>
      </x:c>
      <x:c r="Y586" s="80" t="n">
        <x:f>2*V586</x:f>
        <x:v>0.25205945830453946</x:v>
      </x:c>
      <x:c r="Z586" s="80" t="n">
        <x:f>K586*'Inputs'!$B$16+(G586+R586)*J586*'Inputs'!$B$16</x:f>
        <x:v>0.0007561843167946682</x:v>
      </x:c>
      <x:c r="AA586" s="80" t="n">
        <x:f>K586*(1+'Inputs'!$E$45)/2*'Inputs'!$B$17</x:f>
        <x:v>0.00024090283848861093</x:v>
      </x:c>
      <x:c r="AB586" s="78" t="n">
        <x:f>(IF(J586&gt;0,K586*(1-'Inputs'!$E$45)/2/J586,0)+G586+R586)*'Inputs'!$B$17</x:f>
        <x:v>2152.7277995237423</x:v>
      </x:c>
      <x:c r="AC586" s="78" t="n">
        <x:f>AC585+AB586</x:f>
        <x:v>5743202435.903482</x:v>
      </x:c>
      <x:c r="AD586" s="80" t="n">
        <x:f>Z586/(1+'Inputs'!$C$45)</x:f>
        <x:v>0.0005041228778631121</x:v>
      </x:c>
      <x:c r="AE586" s="80" t="n">
        <x:f>Z586-AD586</x:f>
        <x:v>0.00025206143893155607</x:v>
      </x:c>
      <x:c r="AF586" s="80" t="n">
        <x:f>D586*W586</x:f>
        <x:v>2.5566383725287623e-7</x:v>
      </x:c>
      <x:c r="AG586" s="80" t="n">
        <x:f>C586*W586</x:f>
        <x:v>4.474117151925507e-7</x:v>
      </x:c>
      <x:c r="AH586" s="80" t="n">
        <x:f>2*'Inputs'!$B$8*'Inputs'!$C$45</x:f>
        <x:v>2500</x:v>
      </x:c>
      <x:c r="AI586" s="81" t="n">
        <x:f>IF(AH586&gt;0,(AE586+AF586)/AH586*365,0)</x:f>
        <x:v>0.0000368382970042461</x:v>
      </x:c>
      <x:c r="AJ586" s="81" t="n">
        <x:f>IF('Inputs'!$B$45&gt;0,AG586/('Inputs'!$B$19*'Inputs'!$B$45)*365,0)</x:f>
        <x:v>2.1774036806037468e-8</x:v>
      </x:c>
      <x:c r="AK586" s="81" t="n">
        <x:f>W586/MAX($W$369:W586)-1</x:f>
        <x:v>-0.9999999987626847</x:v>
      </x:c>
      <x:c r="AL586" s="83" t="n">
        <x:f>'Inputs'!$B$45</x:f>
        <x:v>0.75</x:v>
      </x:c>
      <x:c r="AM586" s="83" t="n">
        <x:f>'Inputs'!$C$45</x:f>
        <x:v>0.5</x:v>
      </x:c>
      <x:c r="AN586" s="83" t="n">
        <x:f>'Inputs'!$D$45</x:f>
        <x:v>0.5</x:v>
      </x:c>
      <x:c r="AO586" s="81" t="n">
        <x:f>'Inputs'!$E$45</x:f>
        <x:v>-0.05</x:v>
      </x:c>
    </x:row>
    <x:row r="587">
      <x:c r="A587" s="59" t="str">
        <x:v>Weak demand</x:v>
      </x:c>
      <x:c r="B587" s="59" t="n">
        <x:v>219</x:v>
      </x:c>
      <x:c r="C587" s="78" t="n">
        <x:f>(('Inputs'!$B$29*(3*219*'Inputs'!$B$12-219^2)/(2*'Inputs'!$B$12^2))-('Inputs'!$B$29*(3*218*'Inputs'!$B$12-218^2)/(2*'Inputs'!$B$12^2)))*'Inputs'!$B$45</x:f>
        <x:v>480712.6688872129</x:v>
      </x:c>
      <x:c r="D587" s="78" t="n">
        <x:f>IF('Inputs'!$C$45&gt;0,('Inputs'!$B$30*(3*219*'Inputs'!$B$12-219^2)/(2*'Inputs'!$B$12^2))-('Inputs'!$B$30*(3*218*'Inputs'!$B$12-218^2)/(2*'Inputs'!$B$12^2)),0)</x:f>
        <x:v>274692.95364984125</x:v>
      </x:c>
      <x:c r="E587" s="78" t="n">
        <x:f>C587+D587</x:f>
        <x:v>755405.6225370541</x:v>
      </x:c>
      <x:c r="F587" s="78" t="n">
        <x:f>'Inputs'!$B$13*E587+(1-'Inputs'!$B$13)/'Inputs'!$B$14*SUM(E532:E587)</x:f>
        <x:v>763835.2059485819</x:v>
      </x:c>
      <x:c r="G587" s="78" t="n">
        <x:f>F587*'Inputs'!$F$45</x:f>
        <x:v>534684.6441640073</x:v>
      </x:c>
      <x:c r="H587" s="78" t="n">
        <x:f>U586</x:f>
        <x:v>135478833805.88153</x:v>
      </x:c>
      <x:c r="I587" s="78" t="n">
        <x:f>V586</x:f>
        <x:v>0.12602972915226973</x:v>
      </x:c>
      <x:c r="J587" s="79" t="n">
        <x:f>IF(H587&gt;0,I587/H587,0)</x:f>
        <x:v>9.302540154194803e-13</x:v>
      </x:c>
      <x:c r="K587" s="80" t="n">
        <x:f>(H587*J587+I587)*'Inputs'!$D$45*(1+'Inputs'!$G$45)^(B587/30)</x:f>
        <x:v>0.12602972915226973</x:v>
      </x:c>
      <x:c r="L587" s="80" t="n">
        <x:f>MAX(0,K587*'Inputs'!$E$45)</x:f>
        <x:v>0</x:v>
      </x:c>
      <x:c r="M587" s="80" t="n">
        <x:f>MAX(0,-K587*'Inputs'!$E$45)</x:f>
        <x:v>0.006301486457613487</x:v>
      </x:c>
      <x:c r="N587" s="78" t="n">
        <x:f>H587*(L587*(1-'Inputs'!$B$15))/(I587+L587*(1-'Inputs'!$B$15))</x:f>
        <x:v>0</x:v>
      </x:c>
      <x:c r="O587" s="78" t="n">
        <x:f>H587-N587</x:f>
        <x:v>135478833805.88153</x:v>
      </x:c>
      <x:c r="P587" s="78" t="n">
        <x:f>I587+L587*(1-'Inputs'!$B$17)</x:f>
        <x:v>0.12602972915226973</x:v>
      </x:c>
      <x:c r="Q587" s="78" t="n">
        <x:f>IF(J587&gt;0,M587/J587,0)</x:f>
        <x:v>0</x:v>
      </x:c>
      <x:c r="R587" s="78" t="n">
        <x:f>IF(B587='Inputs'!$H$45,'Inputs'!$B$27*'Inputs'!$I$45,0)</x:f>
        <x:v>0</x:v>
      </x:c>
      <x:c r="S587" s="78" t="n">
        <x:f>Q587+G587+R587</x:f>
        <x:v>534684.6441640073</x:v>
      </x:c>
      <x:c r="T587" s="78" t="n">
        <x:f>P587*(S587*(1-'Inputs'!$B$15))/(O587+S587*(1-'Inputs'!$B$15))</x:f>
        <x:v>4.924166878925968e-7</x:v>
      </x:c>
      <x:c r="U587" s="78" t="n">
        <x:f>O587+S587*(1-'Inputs'!$B$17)</x:f>
        <x:v>135479366338.87723</x:v>
      </x:c>
      <x:c r="V587" s="78" t="n">
        <x:f>P587-T587</x:f>
        <x:v>0.12602923673558183</x:v>
      </x:c>
      <x:c r="W587" s="79" t="n">
        <x:f>IF(U587&gt;0,V587/U587,0)</x:f>
        <x:v>9.302467242158662e-13</x:v>
      </x:c>
      <x:c r="X587" s="80" t="n">
        <x:f>W587*('Inputs'!$B$6-AC587)</x:f>
        <x:v>-0.00441235052985587</x:v>
      </x:c>
      <x:c r="Y587" s="80" t="n">
        <x:f>2*V587</x:f>
        <x:v>0.25205847347116367</x:v>
      </x:c>
      <x:c r="Z587" s="80" t="n">
        <x:f>K587*'Inputs'!$B$16+(G587+R587)*J587*'Inputs'!$B$16</x:f>
        <x:v>0.0007561813592688418</x:v>
      </x:c>
      <x:c r="AA587" s="80" t="n">
        <x:f>K587*(1+'Inputs'!$E$45)/2*'Inputs'!$B$17</x:f>
        <x:v>0.0002409018967699321</x:v>
      </x:c>
      <x:c r="AB587" s="78" t="n">
        <x:f>(IF(J587&gt;0,K587*(1-'Inputs'!$E$45)/2/J587,0)+G587+R587)*'Inputs'!$B$17</x:f>
        <x:v>2151.648467460794</x:v>
      </x:c>
      <x:c r="AC587" s="78" t="n">
        <x:f>AC586+AB587</x:f>
        <x:v>5743204587.5519495</x:v>
      </x:c>
      <x:c r="AD587" s="80" t="n">
        <x:f>Z587/(1+'Inputs'!$C$45)</x:f>
        <x:v>0.0005041209061792278</x:v>
      </x:c>
      <x:c r="AE587" s="80" t="n">
        <x:f>Z587-AD587</x:f>
        <x:v>0.0002520604530896139</x:v>
      </x:c>
      <x:c r="AF587" s="80" t="n">
        <x:f>D587*W587</x:f>
        <x:v>2.555322202979456e-7</x:v>
      </x:c>
      <x:c r="AG587" s="80" t="n">
        <x:f>C587*W587</x:f>
        <x:v>4.471813855213961e-7</x:v>
      </x:c>
      <x:c r="AH587" s="80" t="n">
        <x:f>2*'Inputs'!$B$8*'Inputs'!$C$45</x:f>
        <x:v>2500</x:v>
      </x:c>
      <x:c r="AI587" s="81" t="n">
        <x:f>IF(AH587&gt;0,(AE587+AF587)/AH587*365,0)</x:f>
        <x:v>0.00003683813385524713</x:v>
      </x:c>
      <x:c r="AJ587" s="81" t="n">
        <x:f>IF('Inputs'!$B$45&gt;0,AG587/('Inputs'!$B$19*'Inputs'!$B$45)*365,0)</x:f>
        <x:v>2.1762827428707944e-8</x:v>
      </x:c>
      <x:c r="AK587" s="81" t="n">
        <x:f>W587/MAX($W$369:W587)-1</x:f>
        <x:v>-0.9999999987626944</x:v>
      </x:c>
      <x:c r="AL587" s="83" t="n">
        <x:f>'Inputs'!$B$45</x:f>
        <x:v>0.75</x:v>
      </x:c>
      <x:c r="AM587" s="83" t="n">
        <x:f>'Inputs'!$C$45</x:f>
        <x:v>0.5</x:v>
      </x:c>
      <x:c r="AN587" s="83" t="n">
        <x:f>'Inputs'!$D$45</x:f>
        <x:v>0.5</x:v>
      </x:c>
      <x:c r="AO587" s="81" t="n">
        <x:f>'Inputs'!$E$45</x:f>
        <x:v>-0.05</x:v>
      </x:c>
    </x:row>
    <x:row r="588">
      <x:c r="A588" s="59" t="str">
        <x:v>Weak demand</x:v>
      </x:c>
      <x:c r="B588" s="59" t="n">
        <x:v>220</x:v>
      </x:c>
      <x:c r="C588" s="78" t="n">
        <x:f>(('Inputs'!$B$29*(3*220*'Inputs'!$B$12-220^2)/(2*'Inputs'!$B$12^2))-('Inputs'!$B$29*(3*219*'Inputs'!$B$12-219^2)/(2*'Inputs'!$B$12^2)))*'Inputs'!$B$45</x:f>
        <x:v>480468.8379620835</x:v>
      </x:c>
      <x:c r="D588" s="78" t="n">
        <x:f>IF('Inputs'!$C$45&gt;0,('Inputs'!$B$30*(3*220*'Inputs'!$B$12-220^2)/(2*'Inputs'!$B$12^2))-('Inputs'!$B$30*(3*219*'Inputs'!$B$12-219^2)/(2*'Inputs'!$B$12^2)),0)</x:f>
        <x:v>274553.62169262767</x:v>
      </x:c>
      <x:c r="E588" s="78" t="n">
        <x:f>C588+D588</x:f>
        <x:v>755022.4596547112</x:v>
      </x:c>
      <x:c r="F588" s="78" t="n">
        <x:f>'Inputs'!$B$13*E588+(1-'Inputs'!$B$13)/'Inputs'!$B$14*SUM(E533:E588)</x:f>
        <x:v>763452.0430662397</x:v>
      </x:c>
      <x:c r="G588" s="78" t="n">
        <x:f>F588*'Inputs'!$F$45</x:f>
        <x:v>534416.4301463678</x:v>
      </x:c>
      <x:c r="H588" s="78" t="n">
        <x:f>U587</x:f>
        <x:v>135479366338.87723</x:v>
      </x:c>
      <x:c r="I588" s="78" t="n">
        <x:f>V587</x:f>
        <x:v>0.12602923673558183</x:v>
      </x:c>
      <x:c r="J588" s="79" t="n">
        <x:f>IF(H588&gt;0,I588/H588,0)</x:f>
        <x:v>9.302467242158662e-13</x:v>
      </x:c>
      <x:c r="K588" s="80" t="n">
        <x:f>(H588*J588+I588)*'Inputs'!$D$45*(1+'Inputs'!$G$45)^(B588/30)</x:f>
        <x:v>0.12602923673558183</x:v>
      </x:c>
      <x:c r="L588" s="80" t="n">
        <x:f>MAX(0,K588*'Inputs'!$E$45)</x:f>
        <x:v>0</x:v>
      </x:c>
      <x:c r="M588" s="80" t="n">
        <x:f>MAX(0,-K588*'Inputs'!$E$45)</x:f>
        <x:v>0.006301461836779092</x:v>
      </x:c>
      <x:c r="N588" s="78" t="n">
        <x:f>H588*(L588*(1-'Inputs'!$B$15))/(I588+L588*(1-'Inputs'!$B$15))</x:f>
        <x:v>0</x:v>
      </x:c>
      <x:c r="O588" s="78" t="n">
        <x:f>H588-N588</x:f>
        <x:v>135479366338.87723</x:v>
      </x:c>
      <x:c r="P588" s="78" t="n">
        <x:f>I588+L588*(1-'Inputs'!$B$17)</x:f>
        <x:v>0.12602923673558183</x:v>
      </x:c>
      <x:c r="Q588" s="78" t="n">
        <x:f>IF(J588&gt;0,M588/J588,0)</x:f>
        <x:v>0</x:v>
      </x:c>
      <x:c r="R588" s="78" t="n">
        <x:f>IF(B588='Inputs'!$H$45,'Inputs'!$B$27*'Inputs'!$I$45,0)</x:f>
        <x:v>0</x:v>
      </x:c>
      <x:c r="S588" s="78" t="n">
        <x:f>Q588+G588+R588</x:f>
        <x:v>534416.4301463678</x:v>
      </x:c>
      <x:c r="T588" s="78" t="n">
        <x:f>P588*(S588*(1-'Inputs'!$B$15))/(O588+S588*(1-'Inputs'!$B$15))</x:f>
        <x:v>4.921658201761047e-7</x:v>
      </x:c>
      <x:c r="U588" s="78" t="n">
        <x:f>O588+S588*(1-'Inputs'!$B$17)</x:f>
        <x:v>135479898604.73824</x:v>
      </x:c>
      <x:c r="V588" s="78" t="n">
        <x:f>P588-T588</x:f>
        <x:v>0.12602874456976165</x:v>
      </x:c>
      <x:c r="W588" s="79" t="n">
        <x:f>IF(U588&gt;0,V588/U588,0)</x:f>
        <x:v>9.30239436755483e-13</x:v>
      </x:c>
      <x:c r="X588" s="80" t="n">
        <x:f>W588*('Inputs'!$B$6-AC588)</x:f>
        <x:v>-0.00441231796448457</x:v>
      </x:c>
      <x:c r="Y588" s="80" t="n">
        <x:f>2*V588</x:f>
        <x:v>0.2520574891395233</x:v>
      </x:c>
      <x:c r="Z588" s="80" t="n">
        <x:f>K588*'Inputs'!$B$16+(G588+R588)*J588*'Inputs'!$B$16</x:f>
        <x:v>0.0007561784032482921</x:v>
      </x:c>
      <x:c r="AA588" s="80" t="n">
        <x:f>K588*(1+'Inputs'!$E$45)/2*'Inputs'!$B$17</x:f>
        <x:v>0.00024090095553079024</x:v>
      </x:c>
      <x:c r="AB588" s="78" t="n">
        <x:f>(IF(J588&gt;0,K588*(1-'Inputs'!$E$45)/2/J588,0)+G588+R588)*'Inputs'!$B$17</x:f>
        <x:v>2150.569135397858</x:v>
      </x:c>
      <x:c r="AC588" s="78" t="n">
        <x:f>AC587+AB588</x:f>
        <x:v>5743206738.121085</x:v>
      </x:c>
      <x:c r="AD588" s="80" t="n">
        <x:f>Z588/(1+'Inputs'!$C$45)</x:f>
        <x:v>0.0005041189354988614</x:v>
      </x:c>
      <x:c r="AE588" s="80" t="n">
        <x:f>Z588-AD588</x:f>
        <x:v>0.00025205946774943067</x:v>
      </x:c>
      <x:c r="AF588" s="80" t="n">
        <x:f>D588*W588</x:f>
        <x:v>2.5540060640252795e-7</x:v>
      </x:c>
      <x:c r="AG588" s="80" t="n">
        <x:f>C588*W588</x:f>
        <x:v>4.4695106120441007e-7</x:v>
      </x:c>
      <x:c r="AH588" s="80" t="n">
        <x:f>2*'Inputs'!$B$8*'Inputs'!$C$45</x:f>
        <x:v>2500</x:v>
      </x:c>
      <x:c r="AI588" s="81" t="n">
        <x:f>IF(AH588&gt;0,(AE588+AF588)/AH588*365,0)</x:f>
        <x:v>0.00003683797077995165</x:v>
      </x:c>
      <x:c r="AJ588" s="81" t="n">
        <x:f>IF('Inputs'!$B$45&gt;0,AG588/('Inputs'!$B$19*'Inputs'!$B$45)*365,0)</x:f>
        <x:v>2.1751618311947956e-8</x:v>
      </x:c>
      <x:c r="AK588" s="81" t="n">
        <x:f>W588/MAX($W$369:W588)-1</x:f>
        <x:v>-0.9999999987627041</x:v>
      </x:c>
      <x:c r="AL588" s="83" t="n">
        <x:f>'Inputs'!$B$45</x:f>
        <x:v>0.75</x:v>
      </x:c>
      <x:c r="AM588" s="83" t="n">
        <x:f>'Inputs'!$C$45</x:f>
        <x:v>0.5</x:v>
      </x:c>
      <x:c r="AN588" s="83" t="n">
        <x:f>'Inputs'!$D$45</x:f>
        <x:v>0.5</x:v>
      </x:c>
      <x:c r="AO588" s="81" t="n">
        <x:f>'Inputs'!$E$45</x:f>
        <x:v>-0.05</x:v>
      </x:c>
    </x:row>
    <x:row r="589">
      <x:c r="A589" s="59" t="str">
        <x:v>Weak demand</x:v>
      </x:c>
      <x:c r="B589" s="59" t="n">
        <x:v>221</x:v>
      </x:c>
      <x:c r="C589" s="78" t="n">
        <x:f>(('Inputs'!$B$29*(3*221*'Inputs'!$B$12-221^2)/(2*'Inputs'!$B$12^2))-('Inputs'!$B$29*(3*220*'Inputs'!$B$12-220^2)/(2*'Inputs'!$B$12^2)))*'Inputs'!$B$45</x:f>
        <x:v>480225.0070369765</x:v>
      </x:c>
      <x:c r="D589" s="78" t="n">
        <x:f>IF('Inputs'!$C$45&gt;0,('Inputs'!$B$30*(3*221*'Inputs'!$B$12-221^2)/(2*'Inputs'!$B$12^2))-('Inputs'!$B$30*(3*220*'Inputs'!$B$12-220^2)/(2*'Inputs'!$B$12^2)),0)</x:f>
        <x:v>274414.28973540664</x:v>
      </x:c>
      <x:c r="E589" s="78" t="n">
        <x:f>C589+D589</x:f>
        <x:v>754639.2967723832</x:v>
      </x:c>
      <x:c r="F589" s="78" t="n">
        <x:f>'Inputs'!$B$13*E589+(1-'Inputs'!$B$13)/'Inputs'!$B$14*SUM(E534:E589)</x:f>
        <x:v>763068.8801839006</x:v>
      </x:c>
      <x:c r="G589" s="78" t="n">
        <x:f>F589*'Inputs'!$F$45</x:f>
        <x:v>534148.2161287303</x:v>
      </x:c>
      <x:c r="H589" s="78" t="n">
        <x:f>U588</x:f>
        <x:v>135479898604.73824</x:v>
      </x:c>
      <x:c r="I589" s="78" t="n">
        <x:f>V588</x:f>
        <x:v>0.12602874456976165</x:v>
      </x:c>
      <x:c r="J589" s="79" t="n">
        <x:f>IF(H589&gt;0,I589/H589,0)</x:f>
        <x:v>9.30239436755483e-13</x:v>
      </x:c>
      <x:c r="K589" s="80" t="n">
        <x:f>(H589*J589+I589)*'Inputs'!$D$45*(1+'Inputs'!$G$45)^(B589/30)</x:f>
        <x:v>0.12602874456976165</x:v>
      </x:c>
      <x:c r="L589" s="80" t="n">
        <x:f>MAX(0,K589*'Inputs'!$E$45)</x:f>
        <x:v>0</x:v>
      </x:c>
      <x:c r="M589" s="80" t="n">
        <x:f>MAX(0,-K589*'Inputs'!$E$45)</x:f>
        <x:v>0.006301437228488083</x:v>
      </x:c>
      <x:c r="N589" s="78" t="n">
        <x:f>H589*(L589*(1-'Inputs'!$B$15))/(I589+L589*(1-'Inputs'!$B$15))</x:f>
        <x:v>0</x:v>
      </x:c>
      <x:c r="O589" s="78" t="n">
        <x:f>H589-N589</x:f>
        <x:v>135479898604.73824</x:v>
      </x:c>
      <x:c r="P589" s="78" t="n">
        <x:f>I589+L589*(1-'Inputs'!$B$17)</x:f>
        <x:v>0.12602874456976165</x:v>
      </x:c>
      <x:c r="Q589" s="78" t="n">
        <x:f>IF(J589&gt;0,M589/J589,0)</x:f>
        <x:v>0</x:v>
      </x:c>
      <x:c r="R589" s="78" t="n">
        <x:f>IF(B589='Inputs'!$H$45,'Inputs'!$B$27*'Inputs'!$I$45,0)</x:f>
        <x:v>0</x:v>
      </x:c>
      <x:c r="S589" s="78" t="n">
        <x:f>Q589+G589+R589</x:f>
        <x:v>534148.2161287303</x:v>
      </x:c>
      <x:c r="T589" s="78" t="n">
        <x:f>P589*(S589*(1-'Inputs'!$B$15))/(O589+S589*(1-'Inputs'!$B$15))</x:f>
        <x:v>4.919149583101288e-7</x:v>
      </x:c>
      <x:c r="U589" s="78" t="n">
        <x:f>O589+S589*(1-'Inputs'!$B$17)</x:f>
        <x:v>135480430603.46455</x:v>
      </x:c>
      <x:c r="V589" s="78" t="n">
        <x:f>P589-T589</x:f>
        <x:v>0.12602825265480333</x:v>
      </x:c>
      <x:c r="W589" s="79" t="n">
        <x:f>IF(U589&gt;0,V589/U589,0)</x:f>
        <x:v>9.302321530382005e-13</x:v>
      </x:c>
      <x:c r="X589" s="80" t="n">
        <x:f>W589*('Inputs'!$B$6-AC589)</x:f>
        <x:v>-0.004412285415832205</x:v>
      </x:c>
      <x:c r="Y589" s="80" t="n">
        <x:f>2*V589</x:f>
        <x:v>0.25205650530960666</x:v>
      </x:c>
      <x:c r="Z589" s="80" t="n">
        <x:f>K589*'Inputs'!$B$16+(G589+R589)*J589*'Inputs'!$B$16</x:f>
        <x:v>0.0007561754487329842</x:v>
      </x:c>
      <x:c r="AA589" s="80" t="n">
        <x:f>K589*(1+'Inputs'!$E$45)/2*'Inputs'!$B$17</x:f>
        <x:v>0.0002409000147711742</x:v>
      </x:c>
      <x:c r="AB589" s="78" t="n">
        <x:f>(IF(J589&gt;0,K589*(1-'Inputs'!$E$45)/2/J589,0)+G589+R589)*'Inputs'!$B$17</x:f>
        <x:v>2149.489803334931</x:v>
      </x:c>
      <x:c r="AC589" s="78" t="n">
        <x:f>AC588+AB589</x:f>
        <x:v>5743208887.6108885</x:v>
      </x:c>
      <x:c r="AD589" s="80" t="n">
        <x:f>Z589/(1+'Inputs'!$C$45)</x:f>
        <x:v>0.0005041169658219895</x:v>
      </x:c>
      <x:c r="AE589" s="80" t="n">
        <x:f>Z589-AD589</x:f>
        <x:v>0.0002520584829109947</x:v>
      </x:c>
      <x:c r="AF589" s="80" t="n">
        <x:f>D589*W589</x:f>
        <x:v>2.5526899556501586e-7</x:v>
      </x:c>
      <x:c r="AG589" s="80" t="n">
        <x:f>C589*W589</x:f>
        <x:v>4.467207422387916e-7</x:v>
      </x:c>
      <x:c r="AH589" s="80" t="n">
        <x:f>2*'Inputs'!$B$8*'Inputs'!$C$45</x:f>
        <x:v>2500</x:v>
      </x:c>
      <x:c r="AI589" s="81" t="n">
        <x:f>IF(AH589&gt;0,(AE589+AF589)/AH589*365,0)</x:f>
        <x:v>0.000036837807778357726</x:v>
      </x:c>
      <x:c r="AJ589" s="81" t="n">
        <x:f>IF('Inputs'!$B$45&gt;0,AG589/('Inputs'!$B$19*'Inputs'!$B$45)*365,0)</x:f>
        <x:v>2.1740409455621192e-8</x:v>
      </x:c>
      <x:c r="AK589" s="81" t="n">
        <x:f>W589/MAX($W$369:W589)-1</x:f>
        <x:v>-0.9999999987627138</x:v>
      </x:c>
      <x:c r="AL589" s="83" t="n">
        <x:f>'Inputs'!$B$45</x:f>
        <x:v>0.75</x:v>
      </x:c>
      <x:c r="AM589" s="83" t="n">
        <x:f>'Inputs'!$C$45</x:f>
        <x:v>0.5</x:v>
      </x:c>
      <x:c r="AN589" s="83" t="n">
        <x:f>'Inputs'!$D$45</x:f>
        <x:v>0.5</x:v>
      </x:c>
      <x:c r="AO589" s="81" t="n">
        <x:f>'Inputs'!$E$45</x:f>
        <x:v>-0.05</x:v>
      </x:c>
    </x:row>
    <x:row r="590">
      <x:c r="A590" s="59" t="str">
        <x:v>Weak demand</x:v>
      </x:c>
      <x:c r="B590" s="59" t="n">
        <x:v>222</x:v>
      </x:c>
      <x:c r="C590" s="78" t="n">
        <x:f>(('Inputs'!$B$29*(3*222*'Inputs'!$B$12-222^2)/(2*'Inputs'!$B$12^2))-('Inputs'!$B$29*(3*221*'Inputs'!$B$12-221^2)/(2*'Inputs'!$B$12^2)))*'Inputs'!$B$45</x:f>
        <x:v>479981.17611184716</x:v>
      </x:c>
      <x:c r="D590" s="78" t="n">
        <x:f>IF('Inputs'!$C$45&gt;0,('Inputs'!$B$30*(3*222*'Inputs'!$B$12-222^2)/(2*'Inputs'!$B$12^2))-('Inputs'!$B$30*(3*221*'Inputs'!$B$12-221^2)/(2*'Inputs'!$B$12^2)),0)</x:f>
        <x:v>274274.95777819306</x:v>
      </x:c>
      <x:c r="E590" s="78" t="n">
        <x:f>C590+D590</x:f>
        <x:v>754256.1338900402</x:v>
      </x:c>
      <x:c r="F590" s="78" t="n">
        <x:f>'Inputs'!$B$13*E590+(1-'Inputs'!$B$13)/'Inputs'!$B$14*SUM(E535:E590)</x:f>
        <x:v>762685.7173015585</x:v>
      </x:c>
      <x:c r="G590" s="78" t="n">
        <x:f>F590*'Inputs'!$F$45</x:f>
        <x:v>533880.0021110909</x:v>
      </x:c>
      <x:c r="H590" s="78" t="n">
        <x:f>U589</x:f>
        <x:v>135480430603.46455</x:v>
      </x:c>
      <x:c r="I590" s="78" t="n">
        <x:f>V589</x:f>
        <x:v>0.12602825265480333</x:v>
      </x:c>
      <x:c r="J590" s="79" t="n">
        <x:f>IF(H590&gt;0,I590/H590,0)</x:f>
        <x:v>9.302321530382005e-13</x:v>
      </x:c>
      <x:c r="K590" s="80" t="n">
        <x:f>(H590*J590+I590)*'Inputs'!$D$45*(1+'Inputs'!$G$45)^(B590/30)</x:f>
        <x:v>0.12602825265480333</x:v>
      </x:c>
      <x:c r="L590" s="80" t="n">
        <x:f>MAX(0,K590*'Inputs'!$E$45)</x:f>
        <x:v>0</x:v>
      </x:c>
      <x:c r="M590" s="80" t="n">
        <x:f>MAX(0,-K590*'Inputs'!$E$45)</x:f>
        <x:v>0.006301412632740167</x:v>
      </x:c>
      <x:c r="N590" s="78" t="n">
        <x:f>H590*(L590*(1-'Inputs'!$B$15))/(I590+L590*(1-'Inputs'!$B$15))</x:f>
        <x:v>0</x:v>
      </x:c>
      <x:c r="O590" s="78" t="n">
        <x:f>H590-N590</x:f>
        <x:v>135480430603.46455</x:v>
      </x:c>
      <x:c r="P590" s="78" t="n">
        <x:f>I590+L590*(1-'Inputs'!$B$17)</x:f>
        <x:v>0.12602825265480333</x:v>
      </x:c>
      <x:c r="Q590" s="78" t="n">
        <x:f>IF(J590&gt;0,M590/J590,0)</x:f>
        <x:v>0</x:v>
      </x:c>
      <x:c r="R590" s="78" t="n">
        <x:f>IF(B590='Inputs'!$H$45,'Inputs'!$B$27*'Inputs'!$I$45,0)</x:f>
        <x:v>0</x:v>
      </x:c>
      <x:c r="S590" s="78" t="n">
        <x:f>Q590+G590+R590</x:f>
        <x:v>533880.0021110909</x:v>
      </x:c>
      <x:c r="T590" s="78" t="n">
        <x:f>P590*(S590*(1-'Inputs'!$B$15))/(O590+S590*(1-'Inputs'!$B$15))</x:f>
        <x:v>4.916641022916148e-7</x:v>
      </x:c>
      <x:c r="U590" s="78" t="n">
        <x:f>O590+S590*(1-'Inputs'!$B$17)</x:f>
        <x:v>135480962335.0562</x:v>
      </x:c>
      <x:c r="V590" s="78" t="n">
        <x:f>P590-T590</x:f>
        <x:v>0.12602776099070104</x:v>
      </x:c>
      <x:c r="W590" s="79" t="n">
        <x:f>IF(U590&gt;0,V590/U590,0)</x:f>
        <x:v>9.302248730638879e-13</x:v>
      </x:c>
      <x:c r="X590" s="80" t="n">
        <x:f>W590*('Inputs'!$B$6-AC590)</x:f>
        <x:v>-0.004412252883898201</x:v>
      </x:c>
      <x:c r="Y590" s="80" t="n">
        <x:f>2*V590</x:f>
        <x:v>0.2520555219814021</x:v>
      </x:c>
      <x:c r="Z590" s="80" t="n">
        <x:f>K590*'Inputs'!$B$16+(G590+R590)*J590*'Inputs'!$B$16</x:f>
        <x:v>0.0007561724957228829</x:v>
      </x:c>
      <x:c r="AA590" s="80" t="n">
        <x:f>K590*(1+'Inputs'!$E$45)/2*'Inputs'!$B$17</x:f>
        <x:v>0.00024089907449107277</x:v>
      </x:c>
      <x:c r="AB590" s="78" t="n">
        <x:f>(IF(J590&gt;0,K590*(1-'Inputs'!$E$45)/2/J590,0)+G590+R590)*'Inputs'!$B$17</x:f>
        <x:v>2148.410471271996</x:v>
      </x:c>
      <x:c r="AC590" s="78" t="n">
        <x:f>AC589+AB590</x:f>
        <x:v>5743211036.021359</x:v>
      </x:c>
      <x:c r="AD590" s="80" t="n">
        <x:f>Z590/(1+'Inputs'!$C$45)</x:f>
        <x:v>0.0005041149971485886</x:v>
      </x:c>
      <x:c r="AE590" s="80" t="n">
        <x:f>Z590-AD590</x:f>
        <x:v>0.00025205749857429435</x:v>
      </x:c>
      <x:c r="AF590" s="80" t="n">
        <x:f>D590*W590</x:f>
        <x:v>2.5513738778382284e-7</x:v>
      </x:c>
      <x:c r="AG590" s="80" t="n">
        <x:f>C590*W590</x:f>
        <x:v>4.4649042862169867e-7</x:v>
      </x:c>
      <x:c r="AH590" s="80" t="n">
        <x:f>2*'Inputs'!$B$8*'Inputs'!$C$45</x:f>
        <x:v>2500</x:v>
      </x:c>
      <x:c r="AI590" s="81" t="n">
        <x:f>IF(AH590&gt;0,(AE590+AF590)/AH590*365,0)</x:f>
        <x:v>0.00003683764485046341</x:v>
      </x:c>
      <x:c r="AJ590" s="81" t="n">
        <x:f>IF('Inputs'!$B$45&gt;0,AG590/('Inputs'!$B$19*'Inputs'!$B$45)*365,0)</x:f>
        <x:v>2.1729200859589334e-8</x:v>
      </x:c>
      <x:c r="AK590" s="81" t="n">
        <x:f>W590/MAX($W$369:W590)-1</x:f>
        <x:v>-0.9999999987627235</x:v>
      </x:c>
      <x:c r="AL590" s="83" t="n">
        <x:f>'Inputs'!$B$45</x:f>
        <x:v>0.75</x:v>
      </x:c>
      <x:c r="AM590" s="83" t="n">
        <x:f>'Inputs'!$C$45</x:f>
        <x:v>0.5</x:v>
      </x:c>
      <x:c r="AN590" s="83" t="n">
        <x:f>'Inputs'!$D$45</x:f>
        <x:v>0.5</x:v>
      </x:c>
      <x:c r="AO590" s="81" t="n">
        <x:f>'Inputs'!$E$45</x:f>
        <x:v>-0.05</x:v>
      </x:c>
    </x:row>
    <x:row r="591">
      <x:c r="A591" s="59" t="str">
        <x:v>Weak demand</x:v>
      </x:c>
      <x:c r="B591" s="59" t="n">
        <x:v>223</x:v>
      </x:c>
      <x:c r="C591" s="78" t="n">
        <x:f>(('Inputs'!$B$29*(3*223*'Inputs'!$B$12-223^2)/(2*'Inputs'!$B$12^2))-('Inputs'!$B$29*(3*222*'Inputs'!$B$12-222^2)/(2*'Inputs'!$B$12^2)))*'Inputs'!$B$45</x:f>
        <x:v>479737.3451867178</x:v>
      </x:c>
      <x:c r="D591" s="78" t="n">
        <x:f>IF('Inputs'!$C$45&gt;0,('Inputs'!$B$30*(3*223*'Inputs'!$B$12-223^2)/(2*'Inputs'!$B$12^2))-('Inputs'!$B$30*(3*222*'Inputs'!$B$12-222^2)/(2*'Inputs'!$B$12^2)),0)</x:f>
        <x:v>274135.6258209795</x:v>
      </x:c>
      <x:c r="E591" s="78" t="n">
        <x:f>C591+D591</x:f>
        <x:v>753872.9710076973</x:v>
      </x:c>
      <x:c r="F591" s="78" t="n">
        <x:f>'Inputs'!$B$13*E591+(1-'Inputs'!$B$13)/'Inputs'!$B$14*SUM(E536:E591)</x:f>
        <x:v>762302.5544192165</x:v>
      </x:c>
      <x:c r="G591" s="78" t="n">
        <x:f>F591*'Inputs'!$F$45</x:f>
        <x:v>533611.7880934515</x:v>
      </x:c>
      <x:c r="H591" s="78" t="n">
        <x:f>U590</x:f>
        <x:v>135480962335.0562</x:v>
      </x:c>
      <x:c r="I591" s="78" t="n">
        <x:f>V590</x:f>
        <x:v>0.12602776099070104</x:v>
      </x:c>
      <x:c r="J591" s="79" t="n">
        <x:f>IF(H591&gt;0,I591/H591,0)</x:f>
        <x:v>9.302248730638879e-13</x:v>
      </x:c>
      <x:c r="K591" s="80" t="n">
        <x:f>(H591*J591+I591)*'Inputs'!$D$45*(1+'Inputs'!$G$45)^(B591/30)</x:f>
        <x:v>0.12602776099070104</x:v>
      </x:c>
      <x:c r="L591" s="80" t="n">
        <x:f>MAX(0,K591*'Inputs'!$E$45)</x:f>
        <x:v>0</x:v>
      </x:c>
      <x:c r="M591" s="80" t="n">
        <x:f>MAX(0,-K591*'Inputs'!$E$45)</x:f>
        <x:v>0.006301388049535052</x:v>
      </x:c>
      <x:c r="N591" s="78" t="n">
        <x:f>H591*(L591*(1-'Inputs'!$B$15))/(I591+L591*(1-'Inputs'!$B$15))</x:f>
        <x:v>0</x:v>
      </x:c>
      <x:c r="O591" s="78" t="n">
        <x:f>H591-N591</x:f>
        <x:v>135480962335.0562</x:v>
      </x:c>
      <x:c r="P591" s="78" t="n">
        <x:f>I591+L591*(1-'Inputs'!$B$17)</x:f>
        <x:v>0.12602776099070104</x:v>
      </x:c>
      <x:c r="Q591" s="78" t="n">
        <x:f>IF(J591&gt;0,M591/J591,0)</x:f>
        <x:v>0</x:v>
      </x:c>
      <x:c r="R591" s="78" t="n">
        <x:f>IF(B591='Inputs'!$H$45,'Inputs'!$B$27*'Inputs'!$I$45,0)</x:f>
        <x:v>0</x:v>
      </x:c>
      <x:c r="S591" s="78" t="n">
        <x:f>Q591+G591+R591</x:f>
        <x:v>533611.7880934515</x:v>
      </x:c>
      <x:c r="T591" s="78" t="n">
        <x:f>P591*(S591*(1-'Inputs'!$B$15))/(O591+S591*(1-'Inputs'!$B$15))</x:f>
        <x:v>4.914132521175139e-7</x:v>
      </x:c>
      <x:c r="U591" s="78" t="n">
        <x:f>O591+S591*(1-'Inputs'!$B$17)</x:f>
        <x:v>135481493799.51315</x:v>
      </x:c>
      <x:c r="V591" s="78" t="n">
        <x:f>P591-T591</x:f>
        <x:v>0.12602726957744892</x:v>
      </x:c>
      <x:c r="W591" s="79" t="n">
        <x:f>IF(U591&gt;0,V591/U591,0)</x:f>
        <x:v>9.302175968324155e-13</x:v>
      </x:c>
      <x:c r="X591" s="80" t="n">
        <x:f>W591*('Inputs'!$B$6-AC591)</x:f>
        <x:v>-0.0044122203686819935</x:v>
      </x:c>
      <x:c r="Y591" s="80" t="n">
        <x:f>2*V591</x:f>
        <x:v>0.25205453915489784</x:v>
      </x:c>
      <x:c r="Z591" s="80" t="n">
        <x:f>K591*'Inputs'!$B$16+(G591+R591)*J591*'Inputs'!$B$16</x:f>
        <x:v>0.0007561695442179534</x:v>
      </x:c>
      <x:c r="AA591" s="80" t="n">
        <x:f>K591*(1+'Inputs'!$E$45)/2*'Inputs'!$B$17</x:f>
        <x:v>0.00024089813469047483</x:v>
      </x:c>
      <x:c r="AB591" s="78" t="n">
        <x:f>(IF(J591&gt;0,K591*(1-'Inputs'!$E$45)/2/J591,0)+G591+R591)*'Inputs'!$B$17</x:f>
        <x:v>2147.3311392090604</x:v>
      </x:c>
      <x:c r="AC591" s="78" t="n">
        <x:f>AC590+AB591</x:f>
        <x:v>5743213183.352499</x:v>
      </x:c>
      <x:c r="AD591" s="80" t="n">
        <x:f>Z591/(1+'Inputs'!$C$45)</x:f>
        <x:v>0.0005041130294786356</x:v>
      </x:c>
      <x:c r="AE591" s="80" t="n">
        <x:f>Z591-AD591</x:f>
        <x:v>0.00025205651473931775</x:v>
      </x:c>
      <x:c r="AF591" s="80" t="n">
        <x:f>D591*W591</x:f>
        <x:v>2.550057830573418e-7</x:v>
      </x:c>
      <x:c r="AG591" s="80" t="n">
        <x:f>C591*W591</x:f>
        <x:v>4.462601203503516e-7</x:v>
      </x:c>
      <x:c r="AH591" s="80" t="n">
        <x:f>2*'Inputs'!$B$8*'Inputs'!$C$45</x:f>
        <x:v>2500</x:v>
      </x:c>
      <x:c r="AI591" s="81" t="n">
        <x:f>IF(AH591&gt;0,(AE591+AF591)/AH591*365,0)</x:f>
        <x:v>0.00003683748199626677</x:v>
      </x:c>
      <x:c r="AJ591" s="81" t="n">
        <x:f>IF('Inputs'!$B$45&gt;0,AG591/('Inputs'!$B$19*'Inputs'!$B$45)*365,0)</x:f>
        <x:v>2.171799252371711e-8</x:v>
      </x:c>
      <x:c r="AK591" s="81" t="n">
        <x:f>W591/MAX($W$369:W591)-1</x:f>
        <x:v>-0.9999999987627332</x:v>
      </x:c>
      <x:c r="AL591" s="83" t="n">
        <x:f>'Inputs'!$B$45</x:f>
        <x:v>0.75</x:v>
      </x:c>
      <x:c r="AM591" s="83" t="n">
        <x:f>'Inputs'!$C$45</x:f>
        <x:v>0.5</x:v>
      </x:c>
      <x:c r="AN591" s="83" t="n">
        <x:f>'Inputs'!$D$45</x:f>
        <x:v>0.5</x:v>
      </x:c>
      <x:c r="AO591" s="81" t="n">
        <x:f>'Inputs'!$E$45</x:f>
        <x:v>-0.05</x:v>
      </x:c>
    </x:row>
    <x:row r="592">
      <x:c r="A592" s="59" t="str">
        <x:v>Weak demand</x:v>
      </x:c>
      <x:c r="B592" s="59" t="n">
        <x:v>224</x:v>
      </x:c>
      <x:c r="C592" s="78" t="n">
        <x:f>(('Inputs'!$B$29*(3*224*'Inputs'!$B$12-224^2)/(2*'Inputs'!$B$12^2))-('Inputs'!$B$29*(3*223*'Inputs'!$B$12-223^2)/(2*'Inputs'!$B$12^2)))*'Inputs'!$B$45</x:f>
        <x:v>479493.51426158845</x:v>
      </x:c>
      <x:c r="D592" s="78" t="n">
        <x:f>IF('Inputs'!$C$45&gt;0,('Inputs'!$B$30*(3*224*'Inputs'!$B$12-224^2)/(2*'Inputs'!$B$12^2))-('Inputs'!$B$30*(3*223*'Inputs'!$B$12-223^2)/(2*'Inputs'!$B$12^2)),0)</x:f>
        <x:v>273996.2938637659</x:v>
      </x:c>
      <x:c r="E592" s="78" t="n">
        <x:f>C592+D592</x:f>
        <x:v>753489.8081253543</x:v>
      </x:c>
      <x:c r="F592" s="78" t="n">
        <x:f>'Inputs'!$B$13*E592+(1-'Inputs'!$B$13)/'Inputs'!$B$14*SUM(E537:E592)</x:f>
        <x:v>761919.3915368743</x:v>
      </x:c>
      <x:c r="G592" s="78" t="n">
        <x:f>F592*'Inputs'!$F$45</x:f>
        <x:v>533343.574075812</x:v>
      </x:c>
      <x:c r="H592" s="78" t="n">
        <x:f>U591</x:f>
        <x:v>135481493799.51315</x:v>
      </x:c>
      <x:c r="I592" s="78" t="n">
        <x:f>V591</x:f>
        <x:v>0.12602726957744892</x:v>
      </x:c>
      <x:c r="J592" s="79" t="n">
        <x:f>IF(H592&gt;0,I592/H592,0)</x:f>
        <x:v>9.302175968324155e-13</x:v>
      </x:c>
      <x:c r="K592" s="80" t="n">
        <x:f>(H592*J592+I592)*'Inputs'!$D$45*(1+'Inputs'!$G$45)^(B592/30)</x:f>
        <x:v>0.12602726957744892</x:v>
      </x:c>
      <x:c r="L592" s="80" t="n">
        <x:f>MAX(0,K592*'Inputs'!$E$45)</x:f>
        <x:v>0</x:v>
      </x:c>
      <x:c r="M592" s="80" t="n">
        <x:f>MAX(0,-K592*'Inputs'!$E$45)</x:f>
        <x:v>0.006301363478872446</x:v>
      </x:c>
      <x:c r="N592" s="78" t="n">
        <x:f>H592*(L592*(1-'Inputs'!$B$15))/(I592+L592*(1-'Inputs'!$B$15))</x:f>
        <x:v>0</x:v>
      </x:c>
      <x:c r="O592" s="78" t="n">
        <x:f>H592-N592</x:f>
        <x:v>135481493799.51315</x:v>
      </x:c>
      <x:c r="P592" s="78" t="n">
        <x:f>I592+L592*(1-'Inputs'!$B$17)</x:f>
        <x:v>0.12602726957744892</x:v>
      </x:c>
      <x:c r="Q592" s="78" t="n">
        <x:f>IF(J592&gt;0,M592/J592,0)</x:f>
        <x:v>0</x:v>
      </x:c>
      <x:c r="R592" s="78" t="n">
        <x:f>IF(B592='Inputs'!$H$45,'Inputs'!$B$27*'Inputs'!$I$45,0)</x:f>
        <x:v>0</x:v>
      </x:c>
      <x:c r="S592" s="78" t="n">
        <x:f>Q592+G592+R592</x:f>
        <x:v>533343.574075812</x:v>
      </x:c>
      <x:c r="T592" s="78" t="n">
        <x:f>P592*(S592*(1-'Inputs'!$B$15))/(O592+S592*(1-'Inputs'!$B$15))</x:f>
        <x:v>4.911624077847759e-7</x:v>
      </x:c>
      <x:c r="U592" s="78" t="n">
        <x:f>O592+S592*(1-'Inputs'!$B$17)</x:f>
        <x:v>135482024996.83542</x:v>
      </x:c>
      <x:c r="V592" s="78" t="n">
        <x:f>P592-T592</x:f>
        <x:v>0.12602677841504115</x:v>
      </x:c>
      <x:c r="W592" s="79" t="n">
        <x:f>IF(U592&gt;0,V592/U592,0)</x:f>
        <x:v>9.302103243436527e-13</x:v>
      </x:c>
      <x:c r="X592" s="80" t="n">
        <x:f>W592*('Inputs'!$B$6-AC592)</x:f>
        <x:v>-0.004412187870183007</x:v>
      </x:c>
      <x:c r="Y592" s="80" t="n">
        <x:f>2*V592</x:f>
        <x:v>0.2520535568300823</x:v>
      </x:c>
      <x:c r="Z592" s="80" t="n">
        <x:f>K592*'Inputs'!$B$16+(G592+R592)*J592*'Inputs'!$B$16</x:f>
        <x:v>0.0007561665942181601</x:v>
      </x:c>
      <x:c r="AA592" s="80" t="n">
        <x:f>K592*(1+'Inputs'!$E$45)/2*'Inputs'!$B$17</x:f>
        <x:v>0.00024089719536936918</x:v>
      </x:c>
      <x:c r="AB592" s="78" t="n">
        <x:f>(IF(J592&gt;0,K592*(1-'Inputs'!$E$45)/2/J592,0)+G592+R592)*'Inputs'!$B$17</x:f>
        <x:v>2146.251807146125</x:v>
      </x:c>
      <x:c r="AC592" s="78" t="n">
        <x:f>AC591+AB592</x:f>
        <x:v>5743215329.604306</x:v>
      </x:c>
      <x:c r="AD592" s="80" t="n">
        <x:f>Z592/(1+'Inputs'!$C$45)</x:f>
        <x:v>0.0005041110628121068</x:v>
      </x:c>
      <x:c r="AE592" s="80" t="n">
        <x:f>Z592-AD592</x:f>
        <x:v>0.00025205553140605333</x:v>
      </x:c>
      <x:c r="AF592" s="80" t="n">
        <x:f>D592*W592</x:f>
        <x:v>2.5487418138397245e-7</x:v>
      </x:c>
      <x:c r="AG592" s="80" t="n">
        <x:f>C592*W592</x:f>
        <x:v>4.4602981742195005e-7</x:v>
      </x:c>
      <x:c r="AH592" s="80" t="n">
        <x:f>2*'Inputs'!$B$8*'Inputs'!$C$45</x:f>
        <x:v>2500</x:v>
      </x:c>
      <x:c r="AI592" s="81" t="n">
        <x:f>IF(AH592&gt;0,(AE592+AF592)/AH592*365,0)</x:f>
        <x:v>0.00003683731921576584</x:v>
      </x:c>
      <x:c r="AJ592" s="81" t="n">
        <x:f>IF('Inputs'!$B$45&gt;0,AG592/('Inputs'!$B$19*'Inputs'!$B$45)*365,0)</x:f>
        <x:v>2.1706784447868235e-8</x:v>
      </x:c>
      <x:c r="AK592" s="81" t="n">
        <x:f>W592/MAX($W$369:W592)-1</x:f>
        <x:v>-0.9999999987627428</x:v>
      </x:c>
      <x:c r="AL592" s="83" t="n">
        <x:f>'Inputs'!$B$45</x:f>
        <x:v>0.75</x:v>
      </x:c>
      <x:c r="AM592" s="83" t="n">
        <x:f>'Inputs'!$C$45</x:f>
        <x:v>0.5</x:v>
      </x:c>
      <x:c r="AN592" s="83" t="n">
        <x:f>'Inputs'!$D$45</x:f>
        <x:v>0.5</x:v>
      </x:c>
      <x:c r="AO592" s="81" t="n">
        <x:f>'Inputs'!$E$45</x:f>
        <x:v>-0.05</x:v>
      </x:c>
    </x:row>
    <x:row r="593">
      <x:c r="A593" s="59" t="str">
        <x:v>Weak demand</x:v>
      </x:c>
      <x:c r="B593" s="59" t="n">
        <x:v>225</x:v>
      </x:c>
      <x:c r="C593" s="78" t="n">
        <x:f>(('Inputs'!$B$29*(3*225*'Inputs'!$B$12-225^2)/(2*'Inputs'!$B$12^2))-('Inputs'!$B$29*(3*224*'Inputs'!$B$12-224^2)/(2*'Inputs'!$B$12^2)))*'Inputs'!$B$45</x:f>
        <x:v>479249.6833364591</x:v>
      </x:c>
      <x:c r="D593" s="78" t="n">
        <x:f>IF('Inputs'!$C$45&gt;0,('Inputs'!$B$30*(3*225*'Inputs'!$B$12-225^2)/(2*'Inputs'!$B$12^2))-('Inputs'!$B$30*(3*224*'Inputs'!$B$12-224^2)/(2*'Inputs'!$B$12^2)),0)</x:f>
        <x:v>273856.9619065523</x:v>
      </x:c>
      <x:c r="E593" s="78" t="n">
        <x:f>C593+D593</x:f>
        <x:v>753106.6452430114</x:v>
      </x:c>
      <x:c r="F593" s="78" t="n">
        <x:f>'Inputs'!$B$13*E593+(1-'Inputs'!$B$13)/'Inputs'!$B$14*SUM(E538:E593)</x:f>
        <x:v>761536.2286545322</x:v>
      </x:c>
      <x:c r="G593" s="78" t="n">
        <x:f>F593*'Inputs'!$F$45</x:f>
        <x:v>533075.3600581725</x:v>
      </x:c>
      <x:c r="H593" s="78" t="n">
        <x:f>U592</x:f>
        <x:v>135482024996.83542</x:v>
      </x:c>
      <x:c r="I593" s="78" t="n">
        <x:f>V592</x:f>
        <x:v>0.12602677841504115</x:v>
      </x:c>
      <x:c r="J593" s="79" t="n">
        <x:f>IF(H593&gt;0,I593/H593,0)</x:f>
        <x:v>9.302103243436527e-13</x:v>
      </x:c>
      <x:c r="K593" s="80" t="n">
        <x:f>(H593*J593+I593)*'Inputs'!$D$45*(1+'Inputs'!$G$45)^(B593/30)</x:f>
        <x:v>0.12602677841504115</x:v>
      </x:c>
      <x:c r="L593" s="80" t="n">
        <x:f>MAX(0,K593*'Inputs'!$E$45)</x:f>
        <x:v>0</x:v>
      </x:c>
      <x:c r="M593" s="80" t="n">
        <x:f>MAX(0,-K593*'Inputs'!$E$45)</x:f>
        <x:v>0.006301338920752058</x:v>
      </x:c>
      <x:c r="N593" s="78" t="n">
        <x:f>H593*(L593*(1-'Inputs'!$B$15))/(I593+L593*(1-'Inputs'!$B$15))</x:f>
        <x:v>0</x:v>
      </x:c>
      <x:c r="O593" s="78" t="n">
        <x:f>H593-N593</x:f>
        <x:v>135482024996.83542</x:v>
      </x:c>
      <x:c r="P593" s="78" t="n">
        <x:f>I593+L593*(1-'Inputs'!$B$17)</x:f>
        <x:v>0.12602677841504115</x:v>
      </x:c>
      <x:c r="Q593" s="78" t="n">
        <x:f>IF(J593&gt;0,M593/J593,0)</x:f>
        <x:v>0</x:v>
      </x:c>
      <x:c r="R593" s="78" t="n">
        <x:f>IF(B593='Inputs'!$H$45,'Inputs'!$B$27*'Inputs'!$I$45,0)</x:f>
        <x:v>0</x:v>
      </x:c>
      <x:c r="S593" s="78" t="n">
        <x:f>Q593+G593+R593</x:f>
        <x:v>533075.3600581725</x:v>
      </x:c>
      <x:c r="T593" s="78" t="n">
        <x:f>P593*(S593*(1-'Inputs'!$B$15))/(O593+S593*(1-'Inputs'!$B$15))</x:f>
        <x:v>4.909115692903503e-7</x:v>
      </x:c>
      <x:c r="U593" s="78" t="n">
        <x:f>O593+S593*(1-'Inputs'!$B$17)</x:f>
        <x:v>135482555927.023</x:v>
      </x:c>
      <x:c r="V593" s="78" t="n">
        <x:f>P593-T593</x:f>
        <x:v>0.12602628750347186</x:v>
      </x:c>
      <x:c r="W593" s="79" t="n">
        <x:f>IF(U593&gt;0,V593/U593,0)</x:f>
        <x:v>9.302030555974696e-13</x:v>
      </x:c>
      <x:c r="X593" s="80" t="n">
        <x:f>W593*('Inputs'!$B$6-AC593)</x:f>
        <x:v>-0.004412155388400675</x:v>
      </x:c>
      <x:c r="Y593" s="80" t="n">
        <x:f>2*V593</x:f>
        <x:v>0.2520525750069437</x:v>
      </x:c>
      <x:c r="Z593" s="80" t="n">
        <x:f>K593*'Inputs'!$B$16+(G593+R593)*J593*'Inputs'!$B$16</x:f>
        <x:v>0.0007561636457234683</x:v>
      </x:c>
      <x:c r="AA593" s="80" t="n">
        <x:f>K593*(1+'Inputs'!$E$45)/2*'Inputs'!$B$17</x:f>
        <x:v>0.00024089625652774465</x:v>
      </x:c>
      <x:c r="AB593" s="78" t="n">
        <x:f>(IF(J593&gt;0,K593*(1-'Inputs'!$E$45)/2/J593,0)+G593+R593)*'Inputs'!$B$17</x:f>
        <x:v>2145.172475083189</x:v>
      </x:c>
      <x:c r="AC593" s="78" t="n">
        <x:f>AC592+AB593</x:f>
        <x:v>5743217474.776781</x:v>
      </x:c>
      <x:c r="AD593" s="80" t="n">
        <x:f>Z593/(1+'Inputs'!$C$45)</x:f>
        <x:v>0.0005041090971489788</x:v>
      </x:c>
      <x:c r="AE593" s="80" t="n">
        <x:f>Z593-AD593</x:f>
        <x:v>0.0002520545485744895</x:v>
      </x:c>
      <x:c r="AF593" s="80" t="n">
        <x:f>D593*W593</x:f>
        <x:v>2.547425827621148e-7</x:v>
      </x:c>
      <x:c r="AG593" s="80" t="n">
        <x:f>C593*W593</x:f>
        <x:v>4.4579951983369396e-7</x:v>
      </x:c>
      <x:c r="AH593" s="80" t="n">
        <x:f>2*'Inputs'!$B$8*'Inputs'!$C$45</x:f>
        <x:v>2500</x:v>
      </x:c>
      <x:c r="AI593" s="81" t="n">
        <x:f>IF(AH593&gt;0,(AE593+AF593)/AH593*365,0)</x:f>
        <x:v>0.00003683715650895873</x:v>
      </x:c>
      <x:c r="AJ593" s="81" t="n">
        <x:f>IF('Inputs'!$B$45&gt;0,AG593/('Inputs'!$B$19*'Inputs'!$B$45)*365,0)</x:f>
        <x:v>2.169557663190644e-8</x:v>
      </x:c>
      <x:c r="AK593" s="81" t="n">
        <x:f>W593/MAX($W$369:W593)-1</x:f>
        <x:v>-0.9999999987627525</x:v>
      </x:c>
      <x:c r="AL593" s="83" t="n">
        <x:f>'Inputs'!$B$45</x:f>
        <x:v>0.75</x:v>
      </x:c>
      <x:c r="AM593" s="83" t="n">
        <x:f>'Inputs'!$C$45</x:f>
        <x:v>0.5</x:v>
      </x:c>
      <x:c r="AN593" s="83" t="n">
        <x:f>'Inputs'!$D$45</x:f>
        <x:v>0.5</x:v>
      </x:c>
      <x:c r="AO593" s="81" t="n">
        <x:f>'Inputs'!$E$45</x:f>
        <x:v>-0.05</x:v>
      </x:c>
    </x:row>
    <x:row r="594">
      <x:c r="A594" s="59" t="str">
        <x:v>Weak demand</x:v>
      </x:c>
      <x:c r="B594" s="59" t="n">
        <x:v>226</x:v>
      </x:c>
      <x:c r="C594" s="78" t="n">
        <x:f>(('Inputs'!$B$29*(3*226*'Inputs'!$B$12-226^2)/(2*'Inputs'!$B$12^2))-('Inputs'!$B$29*(3*225*'Inputs'!$B$12-225^2)/(2*'Inputs'!$B$12^2)))*'Inputs'!$B$45</x:f>
        <x:v>479005.85241132975</x:v>
      </x:c>
      <x:c r="D594" s="78" t="n">
        <x:f>IF('Inputs'!$C$45&gt;0,('Inputs'!$B$30*(3*226*'Inputs'!$B$12-226^2)/(2*'Inputs'!$B$12^2))-('Inputs'!$B$30*(3*225*'Inputs'!$B$12-225^2)/(2*'Inputs'!$B$12^2)),0)</x:f>
        <x:v>273717.6299493313</x:v>
      </x:c>
      <x:c r="E594" s="78" t="n">
        <x:f>C594+D594</x:f>
        <x:v>752723.482360661</x:v>
      </x:c>
      <x:c r="F594" s="78" t="n">
        <x:f>'Inputs'!$B$13*E594+(1-'Inputs'!$B$13)/'Inputs'!$B$14*SUM(E539:E594)</x:f>
        <x:v>761153.0657721886</x:v>
      </x:c>
      <x:c r="G594" s="78" t="n">
        <x:f>F594*'Inputs'!$F$45</x:f>
        <x:v>532807.146040532</x:v>
      </x:c>
      <x:c r="H594" s="78" t="n">
        <x:f>U593</x:f>
        <x:v>135482555927.023</x:v>
      </x:c>
      <x:c r="I594" s="78" t="n">
        <x:f>V593</x:f>
        <x:v>0.12602628750347186</x:v>
      </x:c>
      <x:c r="J594" s="79" t="n">
        <x:f>IF(H594&gt;0,I594/H594,0)</x:f>
        <x:v>9.302030555974696e-13</x:v>
      </x:c>
      <x:c r="K594" s="80" t="n">
        <x:f>(H594*J594+I594)*'Inputs'!$D$45*(1+'Inputs'!$G$45)^(B594/30)</x:f>
        <x:v>0.12602628750347186</x:v>
      </x:c>
      <x:c r="L594" s="80" t="n">
        <x:f>MAX(0,K594*'Inputs'!$E$45)</x:f>
        <x:v>0</x:v>
      </x:c>
      <x:c r="M594" s="80" t="n">
        <x:f>MAX(0,-K594*'Inputs'!$E$45)</x:f>
        <x:v>0.006301314375173593</x:v>
      </x:c>
      <x:c r="N594" s="78" t="n">
        <x:f>H594*(L594*(1-'Inputs'!$B$15))/(I594+L594*(1-'Inputs'!$B$15))</x:f>
        <x:v>0</x:v>
      </x:c>
      <x:c r="O594" s="78" t="n">
        <x:f>H594-N594</x:f>
        <x:v>135482555927.023</x:v>
      </x:c>
      <x:c r="P594" s="78" t="n">
        <x:f>I594+L594*(1-'Inputs'!$B$17)</x:f>
        <x:v>0.12602628750347186</x:v>
      </x:c>
      <x:c r="Q594" s="78" t="n">
        <x:f>IF(J594&gt;0,M594/J594,0)</x:f>
        <x:v>0</x:v>
      </x:c>
      <x:c r="R594" s="78" t="n">
        <x:f>IF(B594='Inputs'!$H$45,'Inputs'!$B$27*'Inputs'!$I$45,0)</x:f>
        <x:v>0</x:v>
      </x:c>
      <x:c r="S594" s="78" t="n">
        <x:f>Q594+G594+R594</x:f>
        <x:v>532807.146040532</x:v>
      </x:c>
      <x:c r="T594" s="78" t="n">
        <x:f>P594*(S594*(1-'Inputs'!$B$15))/(O594+S594*(1-'Inputs'!$B$15))</x:f>
        <x:v>4.906607366311865e-7</x:v>
      </x:c>
      <x:c r="U594" s="78" t="n">
        <x:f>O594+S594*(1-'Inputs'!$B$17)</x:f>
        <x:v>135483086590.0759</x:v>
      </x:c>
      <x:c r="V594" s="78" t="n">
        <x:f>P594-T594</x:f>
        <x:v>0.12602579684273524</x:v>
      </x:c>
      <x:c r="W594" s="79" t="n">
        <x:f>IF(U594&gt;0,V594/U594,0)</x:f>
        <x:v>9.30195790593736e-13</x:v>
      </x:c>
      <x:c r="X594" s="80" t="n">
        <x:f>W594*('Inputs'!$B$6-AC594)</x:f>
        <x:v>-0.004412122923334429</x:v>
      </x:c>
      <x:c r="Y594" s="80" t="n">
        <x:f>2*V594</x:f>
        <x:v>0.2520515936854705</x:v>
      </x:c>
      <x:c r="Z594" s="80" t="n">
        <x:f>K594*'Inputs'!$B$16+(G594+R594)*J594*'Inputs'!$B$16</x:f>
        <x:v>0.0007561606987338429</x:v>
      </x:c>
      <x:c r="AA594" s="80" t="n">
        <x:f>K594*(1+'Inputs'!$E$45)/2*'Inputs'!$B$17</x:f>
        <x:v>0.00024089531816559007</x:v>
      </x:c>
      <x:c r="AB594" s="78" t="n">
        <x:f>(IF(J594&gt;0,K594*(1-'Inputs'!$E$45)/2/J594,0)+G594+R594)*'Inputs'!$B$17</x:f>
        <x:v>2144.09314302025</x:v>
      </x:c>
      <x:c r="AC594" s="78" t="n">
        <x:f>AC593+AB594</x:f>
        <x:v>5743219618.869925</x:v>
      </x:c>
      <x:c r="AD594" s="80" t="n">
        <x:f>Z594/(1+'Inputs'!$C$45)</x:f>
        <x:v>0.0005041071324892286</x:v>
      </x:c>
      <x:c r="AE594" s="80" t="n">
        <x:f>Z594-AD594</x:f>
        <x:v>0.00025205356624461426</x:v>
      </x:c>
      <x:c r="AF594" s="80" t="n">
        <x:f>D594*W594</x:f>
        <x:v>2.546109871901619e-7</x:v>
      </x:c>
      <x:c r="AG594" s="80" t="n">
        <x:f>C594*W594</x:f>
        <x:v>4.455692275827833e-7</x:v>
      </x:c>
      <x:c r="AH594" s="80" t="n">
        <x:f>2*'Inputs'!$B$8*'Inputs'!$C$45</x:f>
        <x:v>2500</x:v>
      </x:c>
      <x:c r="AI594" s="81" t="n">
        <x:f>IF(AH594&gt;0,(AE594+AF594)/AH594*365,0)</x:f>
        <x:v>0.00003683699387584344</x:v>
      </x:c>
      <x:c r="AJ594" s="81" t="n">
        <x:f>IF('Inputs'!$B$45&gt;0,AG594/('Inputs'!$B$19*'Inputs'!$B$45)*365,0)</x:f>
        <x:v>2.1684369075695456e-8</x:v>
      </x:c>
      <x:c r="AK594" s="81" t="n">
        <x:f>W594/MAX($W$369:W594)-1</x:f>
        <x:v>-0.9999999987627621</x:v>
      </x:c>
      <x:c r="AL594" s="83" t="n">
        <x:f>'Inputs'!$B$45</x:f>
        <x:v>0.75</x:v>
      </x:c>
      <x:c r="AM594" s="83" t="n">
        <x:f>'Inputs'!$C$45</x:f>
        <x:v>0.5</x:v>
      </x:c>
      <x:c r="AN594" s="83" t="n">
        <x:f>'Inputs'!$D$45</x:f>
        <x:v>0.5</x:v>
      </x:c>
      <x:c r="AO594" s="81" t="n">
        <x:f>'Inputs'!$E$45</x:f>
        <x:v>-0.05</x:v>
      </x:c>
    </x:row>
    <x:row r="595">
      <x:c r="A595" s="59" t="str">
        <x:v>Weak demand</x:v>
      </x:c>
      <x:c r="B595" s="59" t="n">
        <x:v>227</x:v>
      </x:c>
      <x:c r="C595" s="78" t="n">
        <x:f>(('Inputs'!$B$29*(3*227*'Inputs'!$B$12-227^2)/(2*'Inputs'!$B$12^2))-('Inputs'!$B$29*(3*226*'Inputs'!$B$12-226^2)/(2*'Inputs'!$B$12^2)))*'Inputs'!$B$45</x:f>
        <x:v>478762.0214862004</x:v>
      </x:c>
      <x:c r="D595" s="78" t="n">
        <x:f>IF('Inputs'!$C$45&gt;0,('Inputs'!$B$30*(3*227*'Inputs'!$B$12-227^2)/(2*'Inputs'!$B$12^2))-('Inputs'!$B$30*(3*226*'Inputs'!$B$12-226^2)/(2*'Inputs'!$B$12^2)),0)</x:f>
        <x:v>273578.2979921177</x:v>
      </x:c>
      <x:c r="E595" s="78" t="n">
        <x:f>C595+D595</x:f>
        <x:v>752340.3194783181</x:v>
      </x:c>
      <x:c r="F595" s="78" t="n">
        <x:f>'Inputs'!$B$13*E595+(1-'Inputs'!$B$13)/'Inputs'!$B$14*SUM(E540:E595)</x:f>
        <x:v>760769.9028898462</x:v>
      </x:c>
      <x:c r="G595" s="78" t="n">
        <x:f>F595*'Inputs'!$F$45</x:f>
        <x:v>532538.9320228923</x:v>
      </x:c>
      <x:c r="H595" s="78" t="n">
        <x:f>U594</x:f>
        <x:v>135483086590.0759</x:v>
      </x:c>
      <x:c r="I595" s="78" t="n">
        <x:f>V594</x:f>
        <x:v>0.12602579684273524</x:v>
      </x:c>
      <x:c r="J595" s="79" t="n">
        <x:f>IF(H595&gt;0,I595/H595,0)</x:f>
        <x:v>9.30195790593736e-13</x:v>
      </x:c>
      <x:c r="K595" s="80" t="n">
        <x:f>(H595*J595+I595)*'Inputs'!$D$45*(1+'Inputs'!$G$45)^(B595/30)</x:f>
        <x:v>0.12602579684273524</x:v>
      </x:c>
      <x:c r="L595" s="80" t="n">
        <x:f>MAX(0,K595*'Inputs'!$E$45)</x:f>
        <x:v>0</x:v>
      </x:c>
      <x:c r="M595" s="80" t="n">
        <x:f>MAX(0,-K595*'Inputs'!$E$45)</x:f>
        <x:v>0.006301289842136762</x:v>
      </x:c>
      <x:c r="N595" s="78" t="n">
        <x:f>H595*(L595*(1-'Inputs'!$B$15))/(I595+L595*(1-'Inputs'!$B$15))</x:f>
        <x:v>0</x:v>
      </x:c>
      <x:c r="O595" s="78" t="n">
        <x:f>H595-N595</x:f>
        <x:v>135483086590.0759</x:v>
      </x:c>
      <x:c r="P595" s="78" t="n">
        <x:f>I595+L595*(1-'Inputs'!$B$17)</x:f>
        <x:v>0.12602579684273524</x:v>
      </x:c>
      <x:c r="Q595" s="78" t="n">
        <x:f>IF(J595&gt;0,M595/J595,0)</x:f>
        <x:v>0</x:v>
      </x:c>
      <x:c r="R595" s="78" t="n">
        <x:f>IF(B595='Inputs'!$H$45,'Inputs'!$B$27*'Inputs'!$I$45,0)</x:f>
        <x:v>0</x:v>
      </x:c>
      <x:c r="S595" s="78" t="n">
        <x:f>Q595+G595+R595</x:f>
        <x:v>532538.9320228923</x:v>
      </x:c>
      <x:c r="T595" s="78" t="n">
        <x:f>P595*(S595*(1-'Inputs'!$B$15))/(O595+S595*(1-'Inputs'!$B$15))</x:f>
        <x:v>4.904099098042361e-7</x:v>
      </x:c>
      <x:c r="U595" s="78" t="n">
        <x:f>O595+S595*(1-'Inputs'!$B$17)</x:f>
        <x:v>135483616985.99411</x:v>
      </x:c>
      <x:c r="V595" s="78" t="n">
        <x:f>P595-T595</x:f>
        <x:v>0.12602530643282545</x:v>
      </x:c>
      <x:c r="W595" s="79" t="n">
        <x:f>IF(U595&gt;0,V595/U595,0)</x:f>
        <x:v>9.30188529332322e-13</x:v>
      </x:c>
      <x:c r="X595" s="80" t="n">
        <x:f>W595*('Inputs'!$B$6-AC595)</x:f>
        <x:v>-0.004412090474983697</x:v>
      </x:c>
      <x:c r="Y595" s="80" t="n">
        <x:f>2*V595</x:f>
        <x:v>0.2520506128656509</x:v>
      </x:c>
      <x:c r="Z595" s="80" t="n">
        <x:f>K595*'Inputs'!$B$16+(G595+R595)*J595*'Inputs'!$B$16</x:f>
        <x:v>0.0007561577532492488</x:v>
      </x:c>
      <x:c r="AA595" s="80" t="n">
        <x:f>K595*(1+'Inputs'!$E$45)/2*'Inputs'!$B$17</x:f>
        <x:v>0.00024089438028289433</x:v>
      </x:c>
      <x:c r="AB595" s="78" t="n">
        <x:f>(IF(J595&gt;0,K595*(1-'Inputs'!$E$45)/2/J595,0)+G595+R595)*'Inputs'!$B$17</x:f>
        <x:v>2143.013810957313</x:v>
      </x:c>
      <x:c r="AC595" s="78" t="n">
        <x:f>AC594+AB595</x:f>
        <x:v>5743221761.883736</x:v>
      </x:c>
      <x:c r="AD595" s="80" t="n">
        <x:f>Z595/(1+'Inputs'!$C$45)</x:f>
        <x:v>0.0005041051688328325</x:v>
      </x:c>
      <x:c r="AE595" s="80" t="n">
        <x:f>Z595-AD595</x:f>
        <x:v>0.0002520525844164163</x:v>
      </x:c>
      <x:c r="AF595" s="80" t="n">
        <x:f>D595*W595</x:f>
        <x:v>2.544793946665277e-7</x:v>
      </x:c>
      <x:c r="AG595" s="80" t="n">
        <x:f>C595*W595</x:f>
        <x:v>4.4533894066641827e-7</x:v>
      </x:c>
      <x:c r="AH595" s="80" t="n">
        <x:f>2*'Inputs'!$B$8*'Inputs'!$C$45</x:f>
        <x:v>2500</x:v>
      </x:c>
      <x:c r="AI595" s="81" t="n">
        <x:f>IF(AH595&gt;0,(AE595+AF595)/AH595*365,0)</x:f>
        <x:v>0.0000368368313164181</x:v>
      </x:c>
      <x:c r="AJ595" s="81" t="n">
        <x:f>IF('Inputs'!$B$45&gt;0,AG595/('Inputs'!$B$19*'Inputs'!$B$45)*365,0)</x:f>
        <x:v>2.1673161779099025e-8</x:v>
      </x:c>
      <x:c r="AK595" s="81" t="n">
        <x:f>W595/MAX($W$369:W595)-1</x:f>
        <x:v>-0.9999999987627718</x:v>
      </x:c>
      <x:c r="AL595" s="83" t="n">
        <x:f>'Inputs'!$B$45</x:f>
        <x:v>0.75</x:v>
      </x:c>
      <x:c r="AM595" s="83" t="n">
        <x:f>'Inputs'!$C$45</x:f>
        <x:v>0.5</x:v>
      </x:c>
      <x:c r="AN595" s="83" t="n">
        <x:f>'Inputs'!$D$45</x:f>
        <x:v>0.5</x:v>
      </x:c>
      <x:c r="AO595" s="81" t="n">
        <x:f>'Inputs'!$E$45</x:f>
        <x:v>-0.05</x:v>
      </x:c>
    </x:row>
    <x:row r="596">
      <x:c r="A596" s="59" t="str">
        <x:v>Weak demand</x:v>
      </x:c>
      <x:c r="B596" s="59" t="n">
        <x:v>228</x:v>
      </x:c>
      <x:c r="C596" s="78" t="n">
        <x:f>(('Inputs'!$B$29*(3*228*'Inputs'!$B$12-228^2)/(2*'Inputs'!$B$12^2))-('Inputs'!$B$29*(3*227*'Inputs'!$B$12-227^2)/(2*'Inputs'!$B$12^2)))*'Inputs'!$B$45</x:f>
        <x:v>478518.1905610934</x:v>
      </x:c>
      <x:c r="D596" s="78" t="n">
        <x:f>IF('Inputs'!$C$45&gt;0,('Inputs'!$B$30*(3*228*'Inputs'!$B$12-228^2)/(2*'Inputs'!$B$12^2))-('Inputs'!$B$30*(3*227*'Inputs'!$B$12-227^2)/(2*'Inputs'!$B$12^2)),0)</x:f>
        <x:v>273438.9660349041</x:v>
      </x:c>
      <x:c r="E596" s="78" t="n">
        <x:f>C596+D596</x:f>
        <x:v>751957.1565959975</x:v>
      </x:c>
      <x:c r="F596" s="78" t="n">
        <x:f>'Inputs'!$B$13*E596+(1-'Inputs'!$B$13)/'Inputs'!$B$14*SUM(E541:E596)</x:f>
        <x:v>760386.740007509</x:v>
      </x:c>
      <x:c r="G596" s="78" t="n">
        <x:f>F596*'Inputs'!$F$45</x:f>
        <x:v>532270.7180052563</x:v>
      </x:c>
      <x:c r="H596" s="78" t="n">
        <x:f>U595</x:f>
        <x:v>135483616985.99411</x:v>
      </x:c>
      <x:c r="I596" s="78" t="n">
        <x:f>V595</x:f>
        <x:v>0.12602530643282545</x:v>
      </x:c>
      <x:c r="J596" s="79" t="n">
        <x:f>IF(H596&gt;0,I596/H596,0)</x:f>
        <x:v>9.30188529332322e-13</x:v>
      </x:c>
      <x:c r="K596" s="80" t="n">
        <x:f>(H596*J596+I596)*'Inputs'!$D$45*(1+'Inputs'!$G$45)^(B596/30)</x:f>
        <x:v>0.12602530643282545</x:v>
      </x:c>
      <x:c r="L596" s="80" t="n">
        <x:f>MAX(0,K596*'Inputs'!$E$45)</x:f>
        <x:v>0</x:v>
      </x:c>
      <x:c r="M596" s="80" t="n">
        <x:f>MAX(0,-K596*'Inputs'!$E$45)</x:f>
        <x:v>0.006301265321641273</x:v>
      </x:c>
      <x:c r="N596" s="78" t="n">
        <x:f>H596*(L596*(1-'Inputs'!$B$15))/(I596+L596*(1-'Inputs'!$B$15))</x:f>
        <x:v>0</x:v>
      </x:c>
      <x:c r="O596" s="78" t="n">
        <x:f>H596-N596</x:f>
        <x:v>135483616985.99411</x:v>
      </x:c>
      <x:c r="P596" s="78" t="n">
        <x:f>I596+L596*(1-'Inputs'!$B$17)</x:f>
        <x:v>0.12602530643282545</x:v>
      </x:c>
      <x:c r="Q596" s="78" t="n">
        <x:f>IF(J596&gt;0,M596/J596,0)</x:f>
        <x:v>0</x:v>
      </x:c>
      <x:c r="R596" s="78" t="n">
        <x:f>IF(B596='Inputs'!$H$45,'Inputs'!$B$27*'Inputs'!$I$45,0)</x:f>
        <x:v>0</x:v>
      </x:c>
      <x:c r="S596" s="78" t="n">
        <x:f>Q596+G596+R596</x:f>
        <x:v>532270.7180052563</x:v>
      </x:c>
      <x:c r="T596" s="78" t="n">
        <x:f>P596*(S596*(1-'Inputs'!$B$15))/(O596+S596*(1-'Inputs'!$B$15))</x:f>
        <x:v>4.901590888064526e-7</x:v>
      </x:c>
      <x:c r="U596" s="78" t="n">
        <x:f>O596+S596*(1-'Inputs'!$B$17)</x:f>
        <x:v>135484147114.77763</x:v>
      </x:c>
      <x:c r="V596" s="78" t="n">
        <x:f>P596-T596</x:f>
        <x:v>0.12602481627373663</x:v>
      </x:c>
      <x:c r="W596" s="79" t="n">
        <x:f>IF(U596&gt;0,V596/U596,0)</x:f>
        <x:v>9.301812718130972e-13</x:v>
      </x:c>
      <x:c r="X596" s="80" t="n">
        <x:f>W596*('Inputs'!$B$6-AC596)</x:f>
        <x:v>-0.00441205804334791</x:v>
      </x:c>
      <x:c r="Y596" s="80" t="n">
        <x:f>2*V596</x:f>
        <x:v>0.25204963254747326</x:v>
      </x:c>
      <x:c r="Z596" s="80" t="n">
        <x:f>K596*'Inputs'!$B$16+(G596+R596)*J596*'Inputs'!$B$16</x:f>
        <x:v>0.000756154809269651</x:v>
      </x:c>
      <x:c r="AA596" s="80" t="n">
        <x:f>K596*(1+'Inputs'!$E$45)/2*'Inputs'!$B$17</x:f>
        <x:v>0.00024089344287964623</x:v>
      </x:c>
      <x:c r="AB596" s="78" t="n">
        <x:f>(IF(J596&gt;0,K596*(1-'Inputs'!$E$45)/2/J596,0)+G596+R596)*'Inputs'!$B$17</x:f>
        <x:v>2141.9344788943918</x:v>
      </x:c>
      <x:c r="AC596" s="78" t="n">
        <x:f>AC595+AB596</x:f>
        <x:v>5743223903.818214</x:v>
      </x:c>
      <x:c r="AD596" s="80" t="n">
        <x:f>Z596/(1+'Inputs'!$C$45)</x:f>
        <x:v>0.0005041032061797673</x:v>
      </x:c>
      <x:c r="AE596" s="80" t="n">
        <x:f>Z596-AD596</x:f>
        <x:v>0.0002520516030898837</x:v>
      </x:c>
      <x:c r="AF596" s="80" t="n">
        <x:f>D596*W596</x:f>
        <x:v>2.543478051896054e-7</x:v>
      </x:c>
      <x:c r="AG596" s="80" t="n">
        <x:f>C596*W596</x:f>
        <x:v>4.4510865908181984e-7</x:v>
      </x:c>
      <x:c r="AH596" s="80" t="n">
        <x:f>2*'Inputs'!$B$8*'Inputs'!$C$45</x:f>
        <x:v>2500</x:v>
      </x:c>
      <x:c r="AI596" s="81" t="n">
        <x:f>IF(AH596&gt;0,(AE596+AF596)/AH596*365,0)</x:f>
        <x:v>0.0000368366688306807</x:v>
      </x:c>
      <x:c r="AJ596" s="81" t="n">
        <x:f>IF('Inputs'!$B$45&gt;0,AG596/('Inputs'!$B$19*'Inputs'!$B$45)*365,0)</x:f>
        <x:v>2.16619547419819e-8</x:v>
      </x:c>
      <x:c r="AK596" s="81" t="n">
        <x:f>W596/MAX($W$369:W596)-1</x:f>
        <x:v>-0.9999999987627815</x:v>
      </x:c>
      <x:c r="AL596" s="83" t="n">
        <x:f>'Inputs'!$B$45</x:f>
        <x:v>0.75</x:v>
      </x:c>
      <x:c r="AM596" s="83" t="n">
        <x:f>'Inputs'!$C$45</x:f>
        <x:v>0.5</x:v>
      </x:c>
      <x:c r="AN596" s="83" t="n">
        <x:f>'Inputs'!$D$45</x:f>
        <x:v>0.5</x:v>
      </x:c>
      <x:c r="AO596" s="81" t="n">
        <x:f>'Inputs'!$E$45</x:f>
        <x:v>-0.05</x:v>
      </x:c>
    </x:row>
    <x:row r="597">
      <x:c r="A597" s="59" t="str">
        <x:v>Weak demand</x:v>
      </x:c>
      <x:c r="B597" s="59" t="n">
        <x:v>229</x:v>
      </x:c>
      <x:c r="C597" s="78" t="n">
        <x:f>(('Inputs'!$B$29*(3*229*'Inputs'!$B$12-229^2)/(2*'Inputs'!$B$12^2))-('Inputs'!$B$29*(3*228*'Inputs'!$B$12-228^2)/(2*'Inputs'!$B$12^2)))*'Inputs'!$B$45</x:f>
        <x:v>478274.3596359417</x:v>
      </x:c>
      <x:c r="D597" s="78" t="n">
        <x:f>IF('Inputs'!$C$45&gt;0,('Inputs'!$B$30*(3*229*'Inputs'!$B$12-229^2)/(2*'Inputs'!$B$12^2))-('Inputs'!$B$30*(3*228*'Inputs'!$B$12-228^2)/(2*'Inputs'!$B$12^2)),0)</x:f>
        <x:v>273299.63407769054</x:v>
      </x:c>
      <x:c r="E597" s="78" t="n">
        <x:f>C597+D597</x:f>
        <x:v>751573.9937136322</x:v>
      </x:c>
      <x:c r="F597" s="78" t="n">
        <x:f>'Inputs'!$B$13*E597+(1-'Inputs'!$B$13)/'Inputs'!$B$14*SUM(E542:E597)</x:f>
        <x:v>760003.5771251621</x:v>
      </x:c>
      <x:c r="G597" s="78" t="n">
        <x:f>F597*'Inputs'!$F$45</x:f>
        <x:v>532002.5039876135</x:v>
      </x:c>
      <x:c r="H597" s="78" t="n">
        <x:f>U596</x:f>
        <x:v>135484147114.77763</x:v>
      </x:c>
      <x:c r="I597" s="78" t="n">
        <x:f>V596</x:f>
        <x:v>0.12602481627373663</x:v>
      </x:c>
      <x:c r="J597" s="79" t="n">
        <x:f>IF(H597&gt;0,I597/H597,0)</x:f>
        <x:v>9.301812718130972e-13</x:v>
      </x:c>
      <x:c r="K597" s="80" t="n">
        <x:f>(H597*J597+I597)*'Inputs'!$D$45*(1+'Inputs'!$G$45)^(B597/30)</x:f>
        <x:v>0.12602481627373663</x:v>
      </x:c>
      <x:c r="L597" s="80" t="n">
        <x:f>MAX(0,K597*'Inputs'!$E$45)</x:f>
        <x:v>0</x:v>
      </x:c>
      <x:c r="M597" s="80" t="n">
        <x:f>MAX(0,-K597*'Inputs'!$E$45)</x:f>
        <x:v>0.006301240813686832</x:v>
      </x:c>
      <x:c r="N597" s="78" t="n">
        <x:f>H597*(L597*(1-'Inputs'!$B$15))/(I597+L597*(1-'Inputs'!$B$15))</x:f>
        <x:v>0</x:v>
      </x:c>
      <x:c r="O597" s="78" t="n">
        <x:f>H597-N597</x:f>
        <x:v>135484147114.77763</x:v>
      </x:c>
      <x:c r="P597" s="78" t="n">
        <x:f>I597+L597*(1-'Inputs'!$B$17)</x:f>
        <x:v>0.12602481627373663</x:v>
      </x:c>
      <x:c r="Q597" s="78" t="n">
        <x:f>IF(J597&gt;0,M597/J597,0)</x:f>
        <x:v>0</x:v>
      </x:c>
      <x:c r="R597" s="78" t="n">
        <x:f>IF(B597='Inputs'!$H$45,'Inputs'!$B$27*'Inputs'!$I$45,0)</x:f>
        <x:v>0</x:v>
      </x:c>
      <x:c r="S597" s="78" t="n">
        <x:f>Q597+G597+R597</x:f>
        <x:v>532002.5039876135</x:v>
      </x:c>
      <x:c r="T597" s="78" t="n">
        <x:f>P597*(S597*(1-'Inputs'!$B$15))/(O597+S597*(1-'Inputs'!$B$15))</x:f>
        <x:v>4.899082736347761e-7</x:v>
      </x:c>
      <x:c r="U597" s="78" t="n">
        <x:f>O597+S597*(1-'Inputs'!$B$17)</x:f>
        <x:v>135484676976.42647</x:v>
      </x:c>
      <x:c r="V597" s="78" t="n">
        <x:f>P597-T597</x:f>
        <x:v>0.12602432636546299</x:v>
      </x:c>
      <x:c r="W597" s="79" t="n">
        <x:f>IF(U597&gt;0,V597/U597,0)</x:f>
        <x:v>9.301740180359325e-13</x:v>
      </x:c>
      <x:c r="X597" s="80" t="n">
        <x:f>W597*('Inputs'!$B$6-AC597)</x:f>
        <x:v>-0.0044120256284265035</x:v>
      </x:c>
      <x:c r="Y597" s="80" t="n">
        <x:f>2*V597</x:f>
        <x:v>0.25204865273092597</x:v>
      </x:c>
      <x:c r="Z597" s="80" t="n">
        <x:f>K597*'Inputs'!$B$16+(G597+R597)*J597*'Inputs'!$B$16</x:f>
        <x:v>0.0007561518667950144</x:v>
      </x:c>
      <x:c r="AA597" s="80" t="n">
        <x:f>K597*(1+'Inputs'!$E$45)/2*'Inputs'!$B$17</x:f>
        <x:v>0.0002408925059558346</x:v>
      </x:c>
      <x:c r="AB597" s="78" t="n">
        <x:f>(IF(J597&gt;0,K597*(1-'Inputs'!$E$45)/2/J597,0)+G597+R597)*'Inputs'!$B$17</x:f>
        <x:v>2140.8551468314427</x:v>
      </x:c>
      <x:c r="AC597" s="78" t="n">
        <x:f>AC596+AB597</x:f>
        <x:v>5743226044.673361</x:v>
      </x:c>
      <x:c r="AD597" s="80" t="n">
        <x:f>Z597/(1+'Inputs'!$C$45)</x:f>
        <x:v>0.0005041012445300096</x:v>
      </x:c>
      <x:c r="AE597" s="80" t="n">
        <x:f>Z597-AD597</x:f>
        <x:v>0.0002520506222650048</x:v>
      </x:c>
      <x:c r="AF597" s="80" t="n">
        <x:f>D597*W597</x:f>
        <x:v>2.542162187577955e-7</x:v>
      </x:c>
      <x:c r="AG597" s="80" t="n">
        <x:f>C597*W597</x:f>
        <x:v>4.448783828261265e-7</x:v>
      </x:c>
      <x:c r="AH597" s="80" t="n">
        <x:f>2*'Inputs'!$B$8*'Inputs'!$C$45</x:f>
        <x:v>2500</x:v>
      </x:c>
      <x:c r="AI597" s="81" t="n">
        <x:f>IF(AH597&gt;0,(AE597+AF597)/AH597*365,0)</x:f>
        <x:v>0.00003683650641862934</x:v>
      </x:c>
      <x:c r="AJ597" s="81" t="n">
        <x:f>IF('Inputs'!$B$45&gt;0,AG597/('Inputs'!$B$19*'Inputs'!$B$45)*365,0)</x:f>
        <x:v>2.1650747964204823e-8</x:v>
      </x:c>
      <x:c r="AK597" s="81" t="n">
        <x:f>W597/MAX($W$369:W597)-1</x:f>
        <x:v>-0.9999999987627911</x:v>
      </x:c>
      <x:c r="AL597" s="83" t="n">
        <x:f>'Inputs'!$B$45</x:f>
        <x:v>0.75</x:v>
      </x:c>
      <x:c r="AM597" s="83" t="n">
        <x:f>'Inputs'!$C$45</x:f>
        <x:v>0.5</x:v>
      </x:c>
      <x:c r="AN597" s="83" t="n">
        <x:f>'Inputs'!$D$45</x:f>
        <x:v>0.5</x:v>
      </x:c>
      <x:c r="AO597" s="81" t="n">
        <x:f>'Inputs'!$E$45</x:f>
        <x:v>-0.05</x:v>
      </x:c>
    </x:row>
    <x:row r="598">
      <x:c r="A598" s="59" t="str">
        <x:v>Weak demand</x:v>
      </x:c>
      <x:c r="B598" s="59" t="n">
        <x:v>230</x:v>
      </x:c>
      <x:c r="C598" s="78" t="n">
        <x:f>(('Inputs'!$B$29*(3*230*'Inputs'!$B$12-230^2)/(2*'Inputs'!$B$12^2))-('Inputs'!$B$29*(3*229*'Inputs'!$B$12-229^2)/(2*'Inputs'!$B$12^2)))*'Inputs'!$B$45</x:f>
        <x:v>478030.5287108347</x:v>
      </x:c>
      <x:c r="D598" s="78" t="n">
        <x:f>IF('Inputs'!$C$45&gt;0,('Inputs'!$B$30*(3*230*'Inputs'!$B$12-230^2)/(2*'Inputs'!$B$12^2))-('Inputs'!$B$30*(3*229*'Inputs'!$B$12-229^2)/(2*'Inputs'!$B$12^2)),0)</x:f>
        <x:v>273160.3021204695</x:v>
      </x:c>
      <x:c r="E598" s="78" t="n">
        <x:f>C598+D598</x:f>
        <x:v>751190.8308313042</x:v>
      </x:c>
      <x:c r="F598" s="78" t="n">
        <x:f>'Inputs'!$B$13*E598+(1-'Inputs'!$B$13)/'Inputs'!$B$14*SUM(E543:E598)</x:f>
        <x:v>759620.4142428231</x:v>
      </x:c>
      <x:c r="G598" s="78" t="n">
        <x:f>F598*'Inputs'!$F$45</x:f>
        <x:v>531734.2899699762</x:v>
      </x:c>
      <x:c r="H598" s="78" t="n">
        <x:f>U597</x:f>
        <x:v>135484676976.42647</x:v>
      </x:c>
      <x:c r="I598" s="78" t="n">
        <x:f>V597</x:f>
        <x:v>0.12602432636546299</x:v>
      </x:c>
      <x:c r="J598" s="79" t="n">
        <x:f>IF(H598&gt;0,I598/H598,0)</x:f>
        <x:v>9.301740180359325e-13</x:v>
      </x:c>
      <x:c r="K598" s="80" t="n">
        <x:f>(H598*J598+I598)*'Inputs'!$D$45*(1+'Inputs'!$G$45)^(B598/30)</x:f>
        <x:v>0.12602432636546299</x:v>
      </x:c>
      <x:c r="L598" s="80" t="n">
        <x:f>MAX(0,K598*'Inputs'!$E$45)</x:f>
        <x:v>0</x:v>
      </x:c>
      <x:c r="M598" s="80" t="n">
        <x:f>MAX(0,-K598*'Inputs'!$E$45)</x:f>
        <x:v>0.006301216318273149</x:v>
      </x:c>
      <x:c r="N598" s="78" t="n">
        <x:f>H598*(L598*(1-'Inputs'!$B$15))/(I598+L598*(1-'Inputs'!$B$15))</x:f>
        <x:v>0</x:v>
      </x:c>
      <x:c r="O598" s="78" t="n">
        <x:f>H598-N598</x:f>
        <x:v>135484676976.42647</x:v>
      </x:c>
      <x:c r="P598" s="78" t="n">
        <x:f>I598+L598*(1-'Inputs'!$B$17)</x:f>
        <x:v>0.12602432636546299</x:v>
      </x:c>
      <x:c r="Q598" s="78" t="n">
        <x:f>IF(J598&gt;0,M598/J598,0)</x:f>
        <x:v>0</x:v>
      </x:c>
      <x:c r="R598" s="78" t="n">
        <x:f>IF(B598='Inputs'!$H$45,'Inputs'!$B$27*'Inputs'!$I$45,0)</x:f>
        <x:v>0</x:v>
      </x:c>
      <x:c r="S598" s="78" t="n">
        <x:f>Q598+G598+R598</x:f>
        <x:v>531734.2899699762</x:v>
      </x:c>
      <x:c r="T598" s="78" t="n">
        <x:f>P598*(S598*(1-'Inputs'!$B$15))/(O598+S598*(1-'Inputs'!$B$15))</x:f>
        <x:v>4.896574642861691e-7</x:v>
      </x:c>
      <x:c r="U598" s="78" t="n">
        <x:f>O598+S598*(1-'Inputs'!$B$17)</x:f>
        <x:v>135485206570.94063</x:v>
      </x:c>
      <x:c r="V598" s="78" t="n">
        <x:f>P598-T598</x:f>
        <x:v>0.1260238367079987</x:v>
      </x:c>
      <x:c r="W598" s="79" t="n">
        <x:f>IF(U598&gt;0,V598/U598,0)</x:f>
        <x:v>9.301667680006974e-13</x:v>
      </x:c>
      <x:c r="X598" s="80" t="n">
        <x:f>W598*('Inputs'!$B$6-AC598)</x:f>
        <x:v>-0.004411993230218906</x:v>
      </x:c>
      <x:c r="Y598" s="80" t="n">
        <x:f>2*V598</x:f>
        <x:v>0.2520476734159974</x:v>
      </x:c>
      <x:c r="Z598" s="80" t="n">
        <x:f>K598*'Inputs'!$B$16+(G598+R598)*J598*'Inputs'!$B$16</x:f>
        <x:v>0.0007561489258253041</x:v>
      </x:c>
      <x:c r="AA598" s="80" t="n">
        <x:f>K598*(1+'Inputs'!$E$45)/2*'Inputs'!$B$17</x:f>
        <x:v>0.00024089156951144836</x:v>
      </x:c>
      <x:c r="AB598" s="78" t="n">
        <x:f>(IF(J598&gt;0,K598*(1-'Inputs'!$E$45)/2/J598,0)+G598+R598)*'Inputs'!$B$17</x:f>
        <x:v>2139.775814768516</x:v>
      </x:c>
      <x:c r="AC598" s="78" t="n">
        <x:f>AC597+AB598</x:f>
        <x:v>5743228184.449176</x:v>
      </x:c>
      <x:c r="AD598" s="80" t="n">
        <x:f>Z598/(1+'Inputs'!$C$45)</x:f>
        <x:v>0.0005040992838835361</x:v>
      </x:c>
      <x:c r="AE598" s="80" t="n">
        <x:f>Z598-AD598</x:f>
        <x:v>0.00025204964194176804</x:v>
      </x:c>
      <x:c r="AF598" s="80" t="n">
        <x:f>D598*W598</x:f>
        <x:v>2.5408463536949116e-7</x:v>
      </x:c>
      <x:c r="AG598" s="80" t="n">
        <x:f>C598*W598</x:f>
        <x:v>4.446481118966217e-7</x:v>
      </x:c>
      <x:c r="AH598" s="80" t="n">
        <x:f>2*'Inputs'!$B$8*'Inputs'!$C$45</x:f>
        <x:v>2500</x:v>
      </x:c>
      <x:c r="AI598" s="81" t="n">
        <x:f>IF(AH598&gt;0,(AE598+AF598)/AH598*365,0)</x:f>
        <x:v>0.000036836344080262076</x:v>
      </x:c>
      <x:c r="AJ598" s="81" t="n">
        <x:f>IF('Inputs'!$B$45&gt;0,AG598/('Inputs'!$B$19*'Inputs'!$B$45)*365,0)</x:f>
        <x:v>2.1639541445635587e-8</x:v>
      </x:c>
      <x:c r="AK598" s="81" t="n">
        <x:f>W598/MAX($W$369:W598)-1</x:f>
        <x:v>-0.9999999987628008</x:v>
      </x:c>
      <x:c r="AL598" s="83" t="n">
        <x:f>'Inputs'!$B$45</x:f>
        <x:v>0.75</x:v>
      </x:c>
      <x:c r="AM598" s="83" t="n">
        <x:f>'Inputs'!$C$45</x:f>
        <x:v>0.5</x:v>
      </x:c>
      <x:c r="AN598" s="83" t="n">
        <x:f>'Inputs'!$D$45</x:f>
        <x:v>0.5</x:v>
      </x:c>
      <x:c r="AO598" s="81" t="n">
        <x:f>'Inputs'!$E$45</x:f>
        <x:v>-0.05</x:v>
      </x:c>
    </x:row>
    <x:row r="599">
      <x:c r="A599" s="59" t="str">
        <x:v>Weak demand</x:v>
      </x:c>
      <x:c r="B599" s="59" t="n">
        <x:v>231</x:v>
      </x:c>
      <x:c r="C599" s="78" t="n">
        <x:f>(('Inputs'!$B$29*(3*231*'Inputs'!$B$12-231^2)/(2*'Inputs'!$B$12^2))-('Inputs'!$B$29*(3*230*'Inputs'!$B$12-230^2)/(2*'Inputs'!$B$12^2)))*'Inputs'!$B$45</x:f>
        <x:v>477786.6977857053</x:v>
      </x:c>
      <x:c r="D599" s="78" t="n">
        <x:f>IF('Inputs'!$C$45&gt;0,('Inputs'!$B$30*(3*231*'Inputs'!$B$12-231^2)/(2*'Inputs'!$B$12^2))-('Inputs'!$B$30*(3*230*'Inputs'!$B$12-230^2)/(2*'Inputs'!$B$12^2)),0)</x:f>
        <x:v>273020.97016325593</x:v>
      </x:c>
      <x:c r="E599" s="78" t="n">
        <x:f>C599+D599</x:f>
        <x:v>750807.6679489613</x:v>
      </x:c>
      <x:c r="F599" s="78" t="n">
        <x:f>'Inputs'!$B$13*E599+(1-'Inputs'!$B$13)/'Inputs'!$B$14*SUM(E544:E599)</x:f>
        <x:v>759237.2513604811</x:v>
      </x:c>
      <x:c r="G599" s="78" t="n">
        <x:f>F599*'Inputs'!$F$45</x:f>
        <x:v>531466.0759523368</x:v>
      </x:c>
      <x:c r="H599" s="78" t="n">
        <x:f>U598</x:f>
        <x:v>135485206570.94063</x:v>
      </x:c>
      <x:c r="I599" s="78" t="n">
        <x:f>V598</x:f>
        <x:v>0.1260238367079987</x:v>
      </x:c>
      <x:c r="J599" s="79" t="n">
        <x:f>IF(H599&gt;0,I599/H599,0)</x:f>
        <x:v>9.301667680006974e-13</x:v>
      </x:c>
      <x:c r="K599" s="80" t="n">
        <x:f>(H599*J599+I599)*'Inputs'!$D$45*(1+'Inputs'!$G$45)^(B599/30)</x:f>
        <x:v>0.1260238367079987</x:v>
      </x:c>
      <x:c r="L599" s="80" t="n">
        <x:f>MAX(0,K599*'Inputs'!$E$45)</x:f>
        <x:v>0</x:v>
      </x:c>
      <x:c r="M599" s="80" t="n">
        <x:f>MAX(0,-K599*'Inputs'!$E$45)</x:f>
        <x:v>0.006301191835399934</x:v>
      </x:c>
      <x:c r="N599" s="78" t="n">
        <x:f>H599*(L599*(1-'Inputs'!$B$15))/(I599+L599*(1-'Inputs'!$B$15))</x:f>
        <x:v>0</x:v>
      </x:c>
      <x:c r="O599" s="78" t="n">
        <x:f>H599-N599</x:f>
        <x:v>135485206570.94063</x:v>
      </x:c>
      <x:c r="P599" s="78" t="n">
        <x:f>I599+L599*(1-'Inputs'!$B$17)</x:f>
        <x:v>0.1260238367079987</x:v>
      </x:c>
      <x:c r="Q599" s="78" t="n">
        <x:f>IF(J599&gt;0,M599/J599,0)</x:f>
        <x:v>0</x:v>
      </x:c>
      <x:c r="R599" s="78" t="n">
        <x:f>IF(B599='Inputs'!$H$45,'Inputs'!$B$27*'Inputs'!$I$45,0)</x:f>
        <x:v>0</x:v>
      </x:c>
      <x:c r="S599" s="78" t="n">
        <x:f>Q599+G599+R599</x:f>
        <x:v>531466.0759523368</x:v>
      </x:c>
      <x:c r="T599" s="78" t="n">
        <x:f>P599*(S599*(1-'Inputs'!$B$15))/(O599+S599*(1-'Inputs'!$B$15))</x:f>
        <x:v>4.894066607575755e-7</x:v>
      </x:c>
      <x:c r="U599" s="78" t="n">
        <x:f>O599+S599*(1-'Inputs'!$B$17)</x:f>
        <x:v>135485735898.3201</x:v>
      </x:c>
      <x:c r="V599" s="78" t="n">
        <x:f>P599-T599</x:f>
        <x:v>0.12602334730133793</x:v>
      </x:c>
      <x:c r="W599" s="79" t="n">
        <x:f>IF(U599&gt;0,V599/U599,0)</x:f>
        <x:v>9.301595217072626e-13</x:v>
      </x:c>
      <x:c r="X599" s="80" t="n">
        <x:f>W599*('Inputs'!$B$6-AC599)</x:f>
        <x:v>-0.00441196084872455</x:v>
      </x:c>
      <x:c r="Y599" s="80" t="n">
        <x:f>2*V599</x:f>
        <x:v>0.25204669460267587</x:v>
      </x:c>
      <x:c r="Z599" s="80" t="n">
        <x:f>K599*'Inputs'!$B$16+(G599+R599)*J599*'Inputs'!$B$16</x:f>
        <x:v>0.0007561459863604851</x:v>
      </x:c>
      <x:c r="AA599" s="80" t="n">
        <x:f>K599*(1+'Inputs'!$E$45)/2*'Inputs'!$B$17</x:f>
        <x:v>0.00024089063354647638</x:v>
      </x:c>
      <x:c r="AB599" s="78" t="n">
        <x:f>(IF(J599&gt;0,K599*(1-'Inputs'!$E$45)/2/J599,0)+G599+R599)*'Inputs'!$B$17</x:f>
        <x:v>2138.696482705581</x:v>
      </x:c>
      <x:c r="AC599" s="78" t="n">
        <x:f>AC598+AB599</x:f>
        <x:v>5743230323.1456585</x:v>
      </x:c>
      <x:c r="AD599" s="80" t="n">
        <x:f>Z599/(1+'Inputs'!$C$45)</x:f>
        <x:v>0.0005040973242403234</x:v>
      </x:c>
      <x:c r="AE599" s="80" t="n">
        <x:f>Z599-AD599</x:f>
        <x:v>0.0002520486621201617</x:v>
      </x:c>
      <x:c r="AF599" s="80" t="n">
        <x:f>D599*W599</x:f>
        <x:v>2.5395305502310694e-7</x:v>
      </x:c>
      <x:c r="AG599" s="80" t="n">
        <x:f>C599*W599</x:f>
        <x:v>4.4441784629044413e-7</x:v>
      </x:c>
      <x:c r="AH599" s="80" t="n">
        <x:f>2*'Inputs'!$B$8*'Inputs'!$C$45</x:f>
        <x:v>2500</x:v>
      </x:c>
      <x:c r="AI599" s="81" t="n">
        <x:f>IF(AH599&gt;0,(AE599+AF599)/AH599*365,0)</x:f>
        <x:v>0.00003683618181557698</x:v>
      </x:c>
      <x:c r="AJ599" s="81" t="n">
        <x:f>IF('Inputs'!$B$45&gt;0,AG599/('Inputs'!$B$19*'Inputs'!$B$45)*365,0)</x:f>
        <x:v>2.162833518613495e-8</x:v>
      </x:c>
      <x:c r="AK599" s="81" t="n">
        <x:f>W599/MAX($W$369:W599)-1</x:f>
        <x:v>-0.9999999987628104</x:v>
      </x:c>
      <x:c r="AL599" s="83" t="n">
        <x:f>'Inputs'!$B$45</x:f>
        <x:v>0.75</x:v>
      </x:c>
      <x:c r="AM599" s="83" t="n">
        <x:f>'Inputs'!$C$45</x:f>
        <x:v>0.5</x:v>
      </x:c>
      <x:c r="AN599" s="83" t="n">
        <x:f>'Inputs'!$D$45</x:f>
        <x:v>0.5</x:v>
      </x:c>
      <x:c r="AO599" s="81" t="n">
        <x:f>'Inputs'!$E$45</x:f>
        <x:v>-0.05</x:v>
      </x:c>
    </x:row>
    <x:row r="600">
      <x:c r="A600" s="59" t="str">
        <x:v>Weak demand</x:v>
      </x:c>
      <x:c r="B600" s="59" t="n">
        <x:v>232</x:v>
      </x:c>
      <x:c r="C600" s="78" t="n">
        <x:f>(('Inputs'!$B$29*(3*232*'Inputs'!$B$12-232^2)/(2*'Inputs'!$B$12^2))-('Inputs'!$B$29*(3*231*'Inputs'!$B$12-231^2)/(2*'Inputs'!$B$12^2)))*'Inputs'!$B$45</x:f>
        <x:v>477542.866860576</x:v>
      </x:c>
      <x:c r="D600" s="78" t="n">
        <x:f>IF('Inputs'!$C$45&gt;0,('Inputs'!$B$30*(3*232*'Inputs'!$B$12-232^2)/(2*'Inputs'!$B$12^2))-('Inputs'!$B$30*(3*231*'Inputs'!$B$12-231^2)/(2*'Inputs'!$B$12^2)),0)</x:f>
        <x:v>272881.63820604235</x:v>
      </x:c>
      <x:c r="E600" s="78" t="n">
        <x:f>C600+D600</x:f>
        <x:v>750424.5050666183</x:v>
      </x:c>
      <x:c r="F600" s="78" t="n">
        <x:f>'Inputs'!$B$13*E600+(1-'Inputs'!$B$13)/'Inputs'!$B$14*SUM(E545:E600)</x:f>
        <x:v>758854.088478139</x:v>
      </x:c>
      <x:c r="G600" s="78" t="n">
        <x:f>F600*'Inputs'!$F$45</x:f>
        <x:v>531197.8619346973</x:v>
      </x:c>
      <x:c r="H600" s="78" t="n">
        <x:f>U599</x:f>
        <x:v>135485735898.3201</x:v>
      </x:c>
      <x:c r="I600" s="78" t="n">
        <x:f>V599</x:f>
        <x:v>0.12602334730133793</x:v>
      </x:c>
      <x:c r="J600" s="79" t="n">
        <x:f>IF(H600&gt;0,I600/H600,0)</x:f>
        <x:v>9.301595217072626e-13</x:v>
      </x:c>
      <x:c r="K600" s="80" t="n">
        <x:f>(H600*J600+I600)*'Inputs'!$D$45*(1+'Inputs'!$G$45)^(B600/30)</x:f>
        <x:v>0.12602334730133793</x:v>
      </x:c>
      <x:c r="L600" s="80" t="n">
        <x:f>MAX(0,K600*'Inputs'!$E$45)</x:f>
        <x:v>0</x:v>
      </x:c>
      <x:c r="M600" s="80" t="n">
        <x:f>MAX(0,-K600*'Inputs'!$E$45)</x:f>
        <x:v>0.006301167365066897</x:v>
      </x:c>
      <x:c r="N600" s="78" t="n">
        <x:f>H600*(L600*(1-'Inputs'!$B$15))/(I600+L600*(1-'Inputs'!$B$15))</x:f>
        <x:v>0</x:v>
      </x:c>
      <x:c r="O600" s="78" t="n">
        <x:f>H600-N600</x:f>
        <x:v>135485735898.3201</x:v>
      </x:c>
      <x:c r="P600" s="78" t="n">
        <x:f>I600+L600*(1-'Inputs'!$B$17)</x:f>
        <x:v>0.12602334730133793</x:v>
      </x:c>
      <x:c r="Q600" s="78" t="n">
        <x:f>IF(J600&gt;0,M600/J600,0)</x:f>
        <x:v>0</x:v>
      </x:c>
      <x:c r="R600" s="78" t="n">
        <x:f>IF(B600='Inputs'!$H$45,'Inputs'!$B$27*'Inputs'!$I$45,0)</x:f>
        <x:v>0</x:v>
      </x:c>
      <x:c r="S600" s="78" t="n">
        <x:f>Q600+G600+R600</x:f>
        <x:v>531197.8619346973</x:v>
      </x:c>
      <x:c r="T600" s="78" t="n">
        <x:f>P600*(S600*(1-'Inputs'!$B$15))/(O600+S600*(1-'Inputs'!$B$15))</x:f>
        <x:v>4.89155863045948e-7</x:v>
      </x:c>
      <x:c r="U600" s="78" t="n">
        <x:f>O600+S600*(1-'Inputs'!$B$17)</x:f>
        <x:v>135486264958.56488</x:v>
      </x:c>
      <x:c r="V600" s="78" t="n">
        <x:f>P600-T600</x:f>
        <x:v>0.1260228581454749</x:v>
      </x:c>
      <x:c r="W600" s="79" t="n">
        <x:f>IF(U600&gt;0,V600/U600,0)</x:f>
        <x:v>9.301522791554987e-13</x:v>
      </x:c>
      <x:c r="X600" s="80" t="n">
        <x:f>W600*('Inputs'!$B$6-AC600)</x:f>
        <x:v>-0.004411928483942871</x:v>
      </x:c>
      <x:c r="Y600" s="80" t="n">
        <x:f>2*V600</x:f>
        <x:v>0.2520457162909498</x:v>
      </x:c>
      <x:c r="Z600" s="80" t="n">
        <x:f>K600*'Inputs'!$B$16+(G600+R600)*J600*'Inputs'!$B$16</x:f>
        <x:v>0.0007561430484005228</x:v>
      </x:c>
      <x:c r="AA600" s="80" t="n">
        <x:f>K600*(1+'Inputs'!$E$45)/2*'Inputs'!$B$17</x:f>
        <x:v>0.00024088969806090752</x:v>
      </x:c>
      <x:c r="AB600" s="78" t="n">
        <x:f>(IF(J600&gt;0,K600*(1-'Inputs'!$E$45)/2/J600,0)+G600+R600)*'Inputs'!$B$17</x:f>
        <x:v>2137.617150642645</x:v>
      </x:c>
      <x:c r="AC600" s="78" t="n">
        <x:f>AC599+AB600</x:f>
        <x:v>5743232460.762809</x:v>
      </x:c>
      <x:c r="AD600" s="80" t="n">
        <x:f>Z600/(1+'Inputs'!$C$45)</x:f>
        <x:v>0.0005040953656003485</x:v>
      </x:c>
      <x:c r="AE600" s="80" t="n">
        <x:f>Z600-AD600</x:f>
        <x:v>0.0002520476828001743</x:v>
      </x:c>
      <x:c r="AF600" s="80" t="n">
        <x:f>D600*W600</x:f>
        <x:v>2.538214777170365e-7</x:v>
      </x:c>
      <x:c r="AG600" s="80" t="n">
        <x:f>C600*W600</x:f>
        <x:v>4.441875860048156e-7</x:v>
      </x:c>
      <x:c r="AH600" s="80" t="n">
        <x:f>2*'Inputs'!$B$8*'Inputs'!$C$45</x:f>
        <x:v>2500</x:v>
      </x:c>
      <x:c r="AI600" s="81" t="n">
        <x:f>IF(AH600&gt;0,(AE600+AF600)/AH600*365,0)</x:f>
        <x:v>0.000036836019624572134</x:v>
      </x:c>
      <x:c r="AJ600" s="81" t="n">
        <x:f>IF('Inputs'!$B$45&gt;0,AG600/('Inputs'!$B$19*'Inputs'!$B$45)*365,0)</x:f>
        <x:v>2.161712918556769e-8</x:v>
      </x:c>
      <x:c r="AK600" s="81" t="n">
        <x:f>W600/MAX($W$369:W600)-1</x:f>
        <x:v>-0.9999999987628201</x:v>
      </x:c>
      <x:c r="AL600" s="83" t="n">
        <x:f>'Inputs'!$B$45</x:f>
        <x:v>0.75</x:v>
      </x:c>
      <x:c r="AM600" s="83" t="n">
        <x:f>'Inputs'!$C$45</x:f>
        <x:v>0.5</x:v>
      </x:c>
      <x:c r="AN600" s="83" t="n">
        <x:f>'Inputs'!$D$45</x:f>
        <x:v>0.5</x:v>
      </x:c>
      <x:c r="AO600" s="81" t="n">
        <x:f>'Inputs'!$E$45</x:f>
        <x:v>-0.05</x:v>
      </x:c>
    </x:row>
    <x:row r="601">
      <x:c r="A601" s="59" t="str">
        <x:v>Weak demand</x:v>
      </x:c>
      <x:c r="B601" s="59" t="n">
        <x:v>233</x:v>
      </x:c>
      <x:c r="C601" s="78" t="n">
        <x:f>(('Inputs'!$B$29*(3*233*'Inputs'!$B$12-233^2)/(2*'Inputs'!$B$12^2))-('Inputs'!$B$29*(3*232*'Inputs'!$B$12-232^2)/(2*'Inputs'!$B$12^2)))*'Inputs'!$B$45</x:f>
        <x:v>477299.0359354466</x:v>
      </x:c>
      <x:c r="D601" s="78" t="n">
        <x:f>IF('Inputs'!$C$45&gt;0,('Inputs'!$B$30*(3*233*'Inputs'!$B$12-233^2)/(2*'Inputs'!$B$12^2))-('Inputs'!$B$30*(3*232*'Inputs'!$B$12-232^2)/(2*'Inputs'!$B$12^2)),0)</x:f>
        <x:v>272742.30624882877</x:v>
      </x:c>
      <x:c r="E601" s="78" t="n">
        <x:f>C601+D601</x:f>
        <x:v>750041.3421842754</x:v>
      </x:c>
      <x:c r="F601" s="78" t="n">
        <x:f>'Inputs'!$B$13*E601+(1-'Inputs'!$B$13)/'Inputs'!$B$14*SUM(E546:E601)</x:f>
        <x:v>758470.9255957969</x:v>
      </x:c>
      <x:c r="G601" s="78" t="n">
        <x:f>F601*'Inputs'!$F$45</x:f>
        <x:v>530929.6479170579</x:v>
      </x:c>
      <x:c r="H601" s="78" t="n">
        <x:f>U600</x:f>
        <x:v>135486264958.56488</x:v>
      </x:c>
      <x:c r="I601" s="78" t="n">
        <x:f>V600</x:f>
        <x:v>0.1260228581454749</x:v>
      </x:c>
      <x:c r="J601" s="79" t="n">
        <x:f>IF(H601&gt;0,I601/H601,0)</x:f>
        <x:v>9.301522791554987e-13</x:v>
      </x:c>
      <x:c r="K601" s="80" t="n">
        <x:f>(H601*J601+I601)*'Inputs'!$D$45*(1+'Inputs'!$G$45)^(B601/30)</x:f>
        <x:v>0.1260228581454749</x:v>
      </x:c>
      <x:c r="L601" s="80" t="n">
        <x:f>MAX(0,K601*'Inputs'!$E$45)</x:f>
        <x:v>0</x:v>
      </x:c>
      <x:c r="M601" s="80" t="n">
        <x:f>MAX(0,-K601*'Inputs'!$E$45)</x:f>
        <x:v>0.006301142907273745</x:v>
      </x:c>
      <x:c r="N601" s="78" t="n">
        <x:f>H601*(L601*(1-'Inputs'!$B$15))/(I601+L601*(1-'Inputs'!$B$15))</x:f>
        <x:v>0</x:v>
      </x:c>
      <x:c r="O601" s="78" t="n">
        <x:f>H601-N601</x:f>
        <x:v>135486264958.56488</x:v>
      </x:c>
      <x:c r="P601" s="78" t="n">
        <x:f>I601+L601*(1-'Inputs'!$B$17)</x:f>
        <x:v>0.1260228581454749</x:v>
      </x:c>
      <x:c r="Q601" s="78" t="n">
        <x:f>IF(J601&gt;0,M601/J601,0)</x:f>
        <x:v>0</x:v>
      </x:c>
      <x:c r="R601" s="78" t="n">
        <x:f>IF(B601='Inputs'!$H$45,'Inputs'!$B$27*'Inputs'!$I$45,0)</x:f>
        <x:v>0</x:v>
      </x:c>
      <x:c r="S601" s="78" t="n">
        <x:f>Q601+G601+R601</x:f>
        <x:v>530929.6479170579</x:v>
      </x:c>
      <x:c r="T601" s="78" t="n">
        <x:f>P601*(S601*(1-'Inputs'!$B$15))/(O601+S601*(1-'Inputs'!$B$15))</x:f>
        <x:v>4.889050711482381e-7</x:v>
      </x:c>
      <x:c r="U601" s="78" t="n">
        <x:f>O601+S601*(1-'Inputs'!$B$17)</x:f>
        <x:v>135486793751.67497</x:v>
      </x:c>
      <x:c r="V601" s="78" t="n">
        <x:f>P601-T601</x:f>
        <x:v>0.12602236924040375</x:v>
      </x:c>
      <x:c r="W601" s="79" t="n">
        <x:f>IF(U601&gt;0,V601/U601,0)</x:f>
        <x:v>9.301450403452755e-13</x:v>
      </x:c>
      <x:c r="X601" s="80" t="n">
        <x:f>W601*('Inputs'!$B$6-AC601)</x:f>
        <x:v>-0.004411896135873299</x:v>
      </x:c>
      <x:c r="Y601" s="80" t="n">
        <x:f>2*V601</x:f>
        <x:v>0.2520447384808075</x:v>
      </x:c>
      <x:c r="Z601" s="80" t="n">
        <x:f>K601*'Inputs'!$B$16+(G601+R601)*J601*'Inputs'!$B$16</x:f>
        <x:v>0.0007561401119453819</x:v>
      </x:c>
      <x:c r="AA601" s="80" t="n">
        <x:f>K601*(1+'Inputs'!$E$45)/2*'Inputs'!$B$17</x:f>
        <x:v>0.0002408887630547307</x:v>
      </x:c>
      <x:c r="AB601" s="78" t="n">
        <x:f>(IF(J601&gt;0,K601*(1-'Inputs'!$E$45)/2/J601,0)+G601+R601)*'Inputs'!$B$17</x:f>
        <x:v>2136.53781857971</x:v>
      </x:c>
      <x:c r="AC601" s="78" t="n">
        <x:f>AC600+AB601</x:f>
        <x:v>5743234597.300628</x:v>
      </x:c>
      <x:c r="AD601" s="80" t="n">
        <x:f>Z601/(1+'Inputs'!$C$45)</x:f>
        <x:v>0.0005040934079635879</x:v>
      </x:c>
      <x:c r="AE601" s="80" t="n">
        <x:f>Z601-AD601</x:f>
        <x:v>0.000252046703981794</x:v>
      </x:c>
      <x:c r="AF601" s="80" t="n">
        <x:f>D601*W601</x:f>
        <x:v>2.536899034496803e-7</x:v>
      </x:c>
      <x:c r="AG601" s="80" t="n">
        <x:f>C601*W601</x:f>
        <x:v>4.439573310369371e-7</x:v>
      </x:c>
      <x:c r="AH601" s="80" t="n">
        <x:f>2*'Inputs'!$B$8*'Inputs'!$C$45</x:f>
        <x:v>2500</x:v>
      </x:c>
      <x:c r="AI601" s="81" t="n">
        <x:f>IF(AH601&gt;0,(AE601+AF601)/AH601*365,0)</x:f>
        <x:v>0.00003683585750724557</x:v>
      </x:c>
      <x:c r="AJ601" s="81" t="n">
        <x:f>IF('Inputs'!$B$45&gt;0,AG601/('Inputs'!$B$19*'Inputs'!$B$45)*365,0)</x:f>
        <x:v>2.160592344379761e-8</x:v>
      </x:c>
      <x:c r="AK601" s="81" t="n">
        <x:f>W601/MAX($W$369:W601)-1</x:f>
        <x:v>-0.9999999987628296</x:v>
      </x:c>
      <x:c r="AL601" s="83" t="n">
        <x:f>'Inputs'!$B$45</x:f>
        <x:v>0.75</x:v>
      </x:c>
      <x:c r="AM601" s="83" t="n">
        <x:f>'Inputs'!$C$45</x:f>
        <x:v>0.5</x:v>
      </x:c>
      <x:c r="AN601" s="83" t="n">
        <x:f>'Inputs'!$D$45</x:f>
        <x:v>0.5</x:v>
      </x:c>
      <x:c r="AO601" s="81" t="n">
        <x:f>'Inputs'!$E$45</x:f>
        <x:v>-0.05</x:v>
      </x:c>
    </x:row>
    <x:row r="602">
      <x:c r="A602" s="59" t="str">
        <x:v>Weak demand</x:v>
      </x:c>
      <x:c r="B602" s="59" t="n">
        <x:v>234</x:v>
      </x:c>
      <x:c r="C602" s="78" t="n">
        <x:f>(('Inputs'!$B$29*(3*234*'Inputs'!$B$12-234^2)/(2*'Inputs'!$B$12^2))-('Inputs'!$B$29*(3*233*'Inputs'!$B$12-233^2)/(2*'Inputs'!$B$12^2)))*'Inputs'!$B$45</x:f>
        <x:v>477055.20501031727</x:v>
      </x:c>
      <x:c r="D602" s="78" t="n">
        <x:f>IF('Inputs'!$C$45&gt;0,('Inputs'!$B$30*(3*234*'Inputs'!$B$12-234^2)/(2*'Inputs'!$B$12^2))-('Inputs'!$B$30*(3*233*'Inputs'!$B$12-233^2)/(2*'Inputs'!$B$12^2)),0)</x:f>
        <x:v>272602.97429160774</x:v>
      </x:c>
      <x:c r="E602" s="78" t="n">
        <x:f>C602+D602</x:f>
        <x:v>749658.179301925</x:v>
      </x:c>
      <x:c r="F602" s="78" t="n">
        <x:f>'Inputs'!$B$13*E602+(1-'Inputs'!$B$13)/'Inputs'!$B$14*SUM(E547:E602)</x:f>
        <x:v>758087.7627134532</x:v>
      </x:c>
      <x:c r="G602" s="78" t="n">
        <x:f>F602*'Inputs'!$F$45</x:f>
        <x:v>530661.4338994172</x:v>
      </x:c>
      <x:c r="H602" s="78" t="n">
        <x:f>U601</x:f>
        <x:v>135486793751.67497</x:v>
      </x:c>
      <x:c r="I602" s="78" t="n">
        <x:f>V601</x:f>
        <x:v>0.12602236924040375</x:v>
      </x:c>
      <x:c r="J602" s="79" t="n">
        <x:f>IF(H602&gt;0,I602/H602,0)</x:f>
        <x:v>9.301450403452755e-13</x:v>
      </x:c>
      <x:c r="K602" s="80" t="n">
        <x:f>(H602*J602+I602)*'Inputs'!$D$45*(1+'Inputs'!$G$45)^(B602/30)</x:f>
        <x:v>0.12602236924040375</x:v>
      </x:c>
      <x:c r="L602" s="80" t="n">
        <x:f>MAX(0,K602*'Inputs'!$E$45)</x:f>
        <x:v>0</x:v>
      </x:c>
      <x:c r="M602" s="80" t="n">
        <x:f>MAX(0,-K602*'Inputs'!$E$45)</x:f>
        <x:v>0.006301118462020187</x:v>
      </x:c>
      <x:c r="N602" s="78" t="n">
        <x:f>H602*(L602*(1-'Inputs'!$B$15))/(I602+L602*(1-'Inputs'!$B$15))</x:f>
        <x:v>0</x:v>
      </x:c>
      <x:c r="O602" s="78" t="n">
        <x:f>H602-N602</x:f>
        <x:v>135486793751.67497</x:v>
      </x:c>
      <x:c r="P602" s="78" t="n">
        <x:f>I602+L602*(1-'Inputs'!$B$17)</x:f>
        <x:v>0.12602236924040375</x:v>
      </x:c>
      <x:c r="Q602" s="78" t="n">
        <x:f>IF(J602&gt;0,M602/J602,0)</x:f>
        <x:v>0</x:v>
      </x:c>
      <x:c r="R602" s="78" t="n">
        <x:f>IF(B602='Inputs'!$H$45,'Inputs'!$B$27*'Inputs'!$I$45,0)</x:f>
        <x:v>0</x:v>
      </x:c>
      <x:c r="S602" s="78" t="n">
        <x:f>Q602+G602+R602</x:f>
        <x:v>530661.4338994172</x:v>
      </x:c>
      <x:c r="T602" s="78" t="n">
        <x:f>P602*(S602*(1-'Inputs'!$B$15))/(O602+S602*(1-'Inputs'!$B$15))</x:f>
        <x:v>4.886542850613961e-7</x:v>
      </x:c>
      <x:c r="U602" s="78" t="n">
        <x:f>O602+S602*(1-'Inputs'!$B$17)</x:f>
        <x:v>135487322277.65039</x:v>
      </x:c>
      <x:c r="V602" s="78" t="n">
        <x:f>P602-T602</x:f>
        <x:v>0.12602188058611868</x:v>
      </x:c>
      <x:c r="W602" s="79" t="n">
        <x:f>IF(U602&gt;0,V602/U602,0)</x:f>
        <x:v>9.301378052764638e-13</x:v>
      </x:c>
      <x:c r="X602" s="80" t="n">
        <x:f>W602*('Inputs'!$B$6-AC602)</x:f>
        <x:v>-0.004411863804515267</x:v>
      </x:c>
      <x:c r="Y602" s="80" t="n">
        <x:f>2*V602</x:f>
        <x:v>0.25204376117223737</x:v>
      </x:c>
      <x:c r="Z602" s="80" t="n">
        <x:f>K602*'Inputs'!$B$16+(G602+R602)*J602*'Inputs'!$B$16</x:f>
        <x:v>0.0007561371769950275</x:v>
      </x:c>
      <x:c r="AA602" s="80" t="n">
        <x:f>K602*(1+'Inputs'!$E$45)/2*'Inputs'!$B$17</x:f>
        <x:v>0.00024088782852793472</x:v>
      </x:c>
      <x:c r="AB602" s="78" t="n">
        <x:f>(IF(J602&gt;0,K602*(1-'Inputs'!$E$45)/2/J602,0)+G602+R602)*'Inputs'!$B$17</x:f>
        <x:v>2135.4584865167694</x:v>
      </x:c>
      <x:c r="AC602" s="78" t="n">
        <x:f>AC601+AB602</x:f>
        <x:v>5743236732.759114</x:v>
      </x:c>
      <x:c r="AD602" s="80" t="n">
        <x:f>Z602/(1+'Inputs'!$C$45)</x:f>
        <x:v>0.0005040914513300183</x:v>
      </x:c>
      <x:c r="AE602" s="80" t="n">
        <x:f>Z602-AD602</x:f>
        <x:v>0.0002520457256650092</x:v>
      </x:c>
      <x:c r="AF602" s="80" t="n">
        <x:f>D602*W602</x:f>
        <x:v>2.535583322194323e-7</x:v>
      </x:c>
      <x:c r="AG602" s="80" t="n">
        <x:f>C602*W602</x:f>
        <x:v>4.4372708138401e-7</x:v>
      </x:c>
      <x:c r="AH602" s="80" t="n">
        <x:f>2*'Inputs'!$B$8*'Inputs'!$C$45</x:f>
        <x:v>2500</x:v>
      </x:c>
      <x:c r="AI602" s="81" t="n">
        <x:f>IF(AH602&gt;0,(AE602+AF602)/AH602*365,0)</x:f>
        <x:v>0.00003683569546359537</x:v>
      </x:c>
      <x:c r="AJ602" s="81" t="n">
        <x:f>IF('Inputs'!$B$45&gt;0,AG602/('Inputs'!$B$19*'Inputs'!$B$45)*365,0)</x:f>
        <x:v>2.1594717960688488e-8</x:v>
      </x:c>
      <x:c r="AK602" s="81" t="n">
        <x:f>W602/MAX($W$369:W602)-1</x:f>
        <x:v>-0.9999999987628393</x:v>
      </x:c>
      <x:c r="AL602" s="83" t="n">
        <x:f>'Inputs'!$B$45</x:f>
        <x:v>0.75</x:v>
      </x:c>
      <x:c r="AM602" s="83" t="n">
        <x:f>'Inputs'!$C$45</x:f>
        <x:v>0.5</x:v>
      </x:c>
      <x:c r="AN602" s="83" t="n">
        <x:f>'Inputs'!$D$45</x:f>
        <x:v>0.5</x:v>
      </x:c>
      <x:c r="AO602" s="81" t="n">
        <x:f>'Inputs'!$E$45</x:f>
        <x:v>-0.05</x:v>
      </x:c>
    </x:row>
    <x:row r="603">
      <x:c r="A603" s="59" t="str">
        <x:v>Weak demand</x:v>
      </x:c>
      <x:c r="B603" s="59" t="n">
        <x:v>235</x:v>
      </x:c>
      <x:c r="C603" s="78" t="n">
        <x:f>(('Inputs'!$B$29*(3*235*'Inputs'!$B$12-235^2)/(2*'Inputs'!$B$12^2))-('Inputs'!$B$29*(3*234*'Inputs'!$B$12-234^2)/(2*'Inputs'!$B$12^2)))*'Inputs'!$B$45</x:f>
        <x:v>476811.3740851879</x:v>
      </x:c>
      <x:c r="D603" s="78" t="n">
        <x:f>IF('Inputs'!$C$45&gt;0,('Inputs'!$B$30*(3*235*'Inputs'!$B$12-235^2)/(2*'Inputs'!$B$12^2))-('Inputs'!$B$30*(3*234*'Inputs'!$B$12-234^2)/(2*'Inputs'!$B$12^2)),0)</x:f>
        <x:v>272463.6423344016</x:v>
      </x:c>
      <x:c r="E603" s="78" t="n">
        <x:f>C603+D603</x:f>
        <x:v>749275.0164195895</x:v>
      </x:c>
      <x:c r="F603" s="78" t="n">
        <x:f>'Inputs'!$B$13*E603+(1-'Inputs'!$B$13)/'Inputs'!$B$14*SUM(E548:E603)</x:f>
        <x:v>757704.5998311125</x:v>
      </x:c>
      <x:c r="G603" s="78" t="n">
        <x:f>F603*'Inputs'!$F$45</x:f>
        <x:v>530393.2198817787</x:v>
      </x:c>
      <x:c r="H603" s="78" t="n">
        <x:f>U602</x:f>
        <x:v>135487322277.65039</x:v>
      </x:c>
      <x:c r="I603" s="78" t="n">
        <x:f>V602</x:f>
        <x:v>0.12602188058611868</x:v>
      </x:c>
      <x:c r="J603" s="79" t="n">
        <x:f>IF(H603&gt;0,I603/H603,0)</x:f>
        <x:v>9.301378052764638e-13</x:v>
      </x:c>
      <x:c r="K603" s="80" t="n">
        <x:f>(H603*J603+I603)*'Inputs'!$D$45*(1+'Inputs'!$G$45)^(B603/30)</x:f>
        <x:v>0.12602188058611868</x:v>
      </x:c>
      <x:c r="L603" s="80" t="n">
        <x:f>MAX(0,K603*'Inputs'!$E$45)</x:f>
        <x:v>0</x:v>
      </x:c>
      <x:c r="M603" s="80" t="n">
        <x:f>MAX(0,-K603*'Inputs'!$E$45)</x:f>
        <x:v>0.0063010940293059346</x:v>
      </x:c>
      <x:c r="N603" s="78" t="n">
        <x:f>H603*(L603*(1-'Inputs'!$B$15))/(I603+L603*(1-'Inputs'!$B$15))</x:f>
        <x:v>0</x:v>
      </x:c>
      <x:c r="O603" s="78" t="n">
        <x:f>H603-N603</x:f>
        <x:v>135487322277.65039</x:v>
      </x:c>
      <x:c r="P603" s="78" t="n">
        <x:f>I603+L603*(1-'Inputs'!$B$17)</x:f>
        <x:v>0.12602188058611868</x:v>
      </x:c>
      <x:c r="Q603" s="78" t="n">
        <x:f>IF(J603&gt;0,M603/J603,0)</x:f>
        <x:v>0</x:v>
      </x:c>
      <x:c r="R603" s="78" t="n">
        <x:f>IF(B603='Inputs'!$H$45,'Inputs'!$B$27*'Inputs'!$I$45,0)</x:f>
        <x:v>0</x:v>
      </x:c>
      <x:c r="S603" s="78" t="n">
        <x:f>Q603+G603+R603</x:f>
        <x:v>530393.2198817787</x:v>
      </x:c>
      <x:c r="T603" s="78" t="n">
        <x:f>P603*(S603*(1-'Inputs'!$B$15))/(O603+S603*(1-'Inputs'!$B$15))</x:f>
        <x:v>4.884035047823763e-7</x:v>
      </x:c>
      <x:c r="U603" s="78" t="n">
        <x:f>O603+S603*(1-'Inputs'!$B$17)</x:f>
        <x:v>135487850536.49112</x:v>
      </x:c>
      <x:c r="V603" s="78" t="n">
        <x:f>P603-T603</x:f>
        <x:v>0.1260213921826139</x:v>
      </x:c>
      <x:c r="W603" s="79" t="n">
        <x:f>IF(U603&gt;0,V603/U603,0)</x:f>
        <x:v>9.301305739489343e-13</x:v>
      </x:c>
      <x:c r="X603" s="80" t="n">
        <x:f>W603*('Inputs'!$B$6-AC603)</x:f>
        <x:v>-0.004411831489868211</x:v>
      </x:c>
      <x:c r="Y603" s="80" t="n">
        <x:f>2*V603</x:f>
        <x:v>0.2520427843652278</x:v>
      </x:c>
      <x:c r="Z603" s="80" t="n">
        <x:f>K603*'Inputs'!$B$16+(G603+R603)*J603*'Inputs'!$B$16</x:f>
        <x:v>0.000756134243549425</x:v>
      </x:c>
      <x:c r="AA603" s="80" t="n">
        <x:f>K603*(1+'Inputs'!$E$45)/2*'Inputs'!$B$17</x:f>
        <x:v>0.00024088689448050857</x:v>
      </x:c>
      <x:c r="AB603" s="78" t="n">
        <x:f>(IF(J603&gt;0,K603*(1-'Inputs'!$E$45)/2/J603,0)+G603+R603)*'Inputs'!$B$17</x:f>
        <x:v>2134.379154453838</x:v>
      </x:c>
      <x:c r="AC603" s="78" t="n">
        <x:f>AC602+AB603</x:f>
        <x:v>5743238867.138268</x:v>
      </x:c>
      <x:c r="AD603" s="80" t="n">
        <x:f>Z603/(1+'Inputs'!$C$45)</x:f>
        <x:v>0.0005040894956996167</x:v>
      </x:c>
      <x:c r="AE603" s="80" t="n">
        <x:f>Z603-AD603</x:f>
        <x:v>0.0002520447478498083</x:v>
      </x:c>
      <x:c r="AF603" s="80" t="n">
        <x:f>D603*W603</x:f>
        <x:v>2.534267640247141e-7</x:v>
      </x:c>
      <x:c r="AG603" s="80" t="n">
        <x:f>C603*W603</x:f>
        <x:v>4.434968370432358e-7</x:v>
      </x:c>
      <x:c r="AH603" s="80" t="n">
        <x:f>2*'Inputs'!$B$8*'Inputs'!$C$45</x:f>
        <x:v>2500</x:v>
      </x:c>
      <x:c r="AI603" s="81" t="n">
        <x:f>IF(AH603&gt;0,(AE603+AF603)/AH603*365,0)</x:f>
        <x:v>0.000036835533493619624</x:v>
      </x:c>
      <x:c r="AJ603" s="81" t="n">
        <x:f>IF('Inputs'!$B$45&gt;0,AG603/('Inputs'!$B$19*'Inputs'!$B$45)*365,0)</x:f>
        <x:v>2.1583512736104143e-8</x:v>
      </x:c>
      <x:c r="AK603" s="81" t="n">
        <x:f>W603/MAX($W$369:W603)-1</x:f>
        <x:v>-0.999999998762849</x:v>
      </x:c>
      <x:c r="AL603" s="83" t="n">
        <x:f>'Inputs'!$B$45</x:f>
        <x:v>0.75</x:v>
      </x:c>
      <x:c r="AM603" s="83" t="n">
        <x:f>'Inputs'!$C$45</x:f>
        <x:v>0.5</x:v>
      </x:c>
      <x:c r="AN603" s="83" t="n">
        <x:f>'Inputs'!$D$45</x:f>
        <x:v>0.5</x:v>
      </x:c>
      <x:c r="AO603" s="81" t="n">
        <x:f>'Inputs'!$E$45</x:f>
        <x:v>-0.05</x:v>
      </x:c>
    </x:row>
    <x:row r="604">
      <x:c r="A604" s="59" t="str">
        <x:v>Weak demand</x:v>
      </x:c>
      <x:c r="B604" s="59" t="n">
        <x:v>236</x:v>
      </x:c>
      <x:c r="C604" s="78" t="n">
        <x:f>(('Inputs'!$B$29*(3*236*'Inputs'!$B$12-236^2)/(2*'Inputs'!$B$12^2))-('Inputs'!$B$29*(3*235*'Inputs'!$B$12-235^2)/(2*'Inputs'!$B$12^2)))*'Inputs'!$B$45</x:f>
        <x:v>476567.54316005856</x:v>
      </x:c>
      <x:c r="D604" s="78" t="n">
        <x:f>IF('Inputs'!$C$45&gt;0,('Inputs'!$B$30*(3*236*'Inputs'!$B$12-236^2)/(2*'Inputs'!$B$12^2))-('Inputs'!$B$30*(3*235*'Inputs'!$B$12-235^2)/(2*'Inputs'!$B$12^2)),0)</x:f>
        <x:v>272324.3103771806</x:v>
      </x:c>
      <x:c r="E604" s="78" t="n">
        <x:f>C604+D604</x:f>
        <x:v>748891.8535372391</x:v>
      </x:c>
      <x:c r="F604" s="78" t="n">
        <x:f>'Inputs'!$B$13*E604+(1-'Inputs'!$B$13)/'Inputs'!$B$14*SUM(E549:E604)</x:f>
        <x:v>757321.4369487689</x:v>
      </x:c>
      <x:c r="G604" s="78" t="n">
        <x:f>F604*'Inputs'!$F$45</x:f>
        <x:v>530125.0058641382</x:v>
      </x:c>
      <x:c r="H604" s="78" t="n">
        <x:f>U603</x:f>
        <x:v>135487850536.49112</x:v>
      </x:c>
      <x:c r="I604" s="78" t="n">
        <x:f>V603</x:f>
        <x:v>0.1260213921826139</x:v>
      </x:c>
      <x:c r="J604" s="79" t="n">
        <x:f>IF(H604&gt;0,I604/H604,0)</x:f>
        <x:v>9.301305739489343e-13</x:v>
      </x:c>
      <x:c r="K604" s="80" t="n">
        <x:f>(H604*J604+I604)*'Inputs'!$D$45*(1+'Inputs'!$G$45)^(B604/30)</x:f>
        <x:v>0.1260213921826139</x:v>
      </x:c>
      <x:c r="L604" s="80" t="n">
        <x:f>MAX(0,K604*'Inputs'!$E$45)</x:f>
        <x:v>0</x:v>
      </x:c>
      <x:c r="M604" s="80" t="n">
        <x:f>MAX(0,-K604*'Inputs'!$E$45)</x:f>
        <x:v>0.006301069609130696</x:v>
      </x:c>
      <x:c r="N604" s="78" t="n">
        <x:f>H604*(L604*(1-'Inputs'!$B$15))/(I604+L604*(1-'Inputs'!$B$15))</x:f>
        <x:v>0</x:v>
      </x:c>
      <x:c r="O604" s="78" t="n">
        <x:f>H604-N604</x:f>
        <x:v>135487850536.49112</x:v>
      </x:c>
      <x:c r="P604" s="78" t="n">
        <x:f>I604+L604*(1-'Inputs'!$B$17)</x:f>
        <x:v>0.1260213921826139</x:v>
      </x:c>
      <x:c r="Q604" s="78" t="n">
        <x:f>IF(J604&gt;0,M604/J604,0)</x:f>
        <x:v>0</x:v>
      </x:c>
      <x:c r="R604" s="78" t="n">
        <x:f>IF(B604='Inputs'!$H$45,'Inputs'!$B$27*'Inputs'!$I$45,0)</x:f>
        <x:v>0</x:v>
      </x:c>
      <x:c r="S604" s="78" t="n">
        <x:f>Q604+G604+R604</x:f>
        <x:v>530125.0058641382</x:v>
      </x:c>
      <x:c r="T604" s="78" t="n">
        <x:f>P604*(S604*(1-'Inputs'!$B$15))/(O604+S604*(1-'Inputs'!$B$15))</x:f>
        <x:v>4.881527303081272e-7</x:v>
      </x:c>
      <x:c r="U604" s="78" t="n">
        <x:f>O604+S604*(1-'Inputs'!$B$17)</x:f>
        <x:v>135488378528.19716</x:v>
      </x:c>
      <x:c r="V604" s="78" t="n">
        <x:f>P604-T604</x:f>
        <x:v>0.12602090402988358</x:v>
      </x:c>
      <x:c r="W604" s="79" t="n">
        <x:f>IF(U604&gt;0,V604/U604,0)</x:f>
        <x:v>9.301233463625573e-13</x:v>
      </x:c>
      <x:c r="X604" s="80" t="n">
        <x:f>W604*('Inputs'!$B$6-AC604)</x:f>
        <x:v>-0.004411799191931561</x:v>
      </x:c>
      <x:c r="Y604" s="80" t="n">
        <x:f>2*V604</x:f>
        <x:v>0.25204180805976717</x:v>
      </x:c>
      <x:c r="Z604" s="80" t="n">
        <x:f>K604*'Inputs'!$B$16+(G604+R604)*J604*'Inputs'!$B$16</x:f>
        <x:v>0.0007561313116085393</x:v>
      </x:c>
      <x:c r="AA604" s="80" t="n">
        <x:f>K604*(1+'Inputs'!$E$45)/2*'Inputs'!$B$17</x:f>
        <x:v>0.0002408859609124411</x:v>
      </x:c>
      <x:c r="AB604" s="78" t="n">
        <x:f>(IF(J604&gt;0,K604*(1-'Inputs'!$E$45)/2/J604,0)+G604+R604)*'Inputs'!$B$17</x:f>
        <x:v>2133.2998223908985</x:v>
      </x:c>
      <x:c r="AC604" s="78" t="n">
        <x:f>AC603+AB604</x:f>
        <x:v>5743241000.438091</x:v>
      </x:c>
      <x:c r="AD604" s="80" t="n">
        <x:f>Z604/(1+'Inputs'!$C$45)</x:f>
        <x:v>0.0005040875410723595</x:v>
      </x:c>
      <x:c r="AE604" s="80" t="n">
        <x:f>Z604-AD604</x:f>
        <x:v>0.00025204377053617976</x:v>
      </x:c>
      <x:c r="AF604" s="80" t="n">
        <x:f>D604*W604</x:f>
        <x:v>2.532951988638989e-7</x:v>
      </x:c>
      <x:c r="AG604" s="80" t="n">
        <x:f>C604*W604</x:f>
        <x:v>4.4326659801181613e-7</x:v>
      </x:c>
      <x:c r="AH604" s="80" t="n">
        <x:f>2*'Inputs'!$B$8*'Inputs'!$C$45</x:f>
        <x:v>2500</x:v>
      </x:c>
      <x:c r="AI604" s="81" t="n">
        <x:f>IF(AH604&gt;0,(AE604+AF604)/AH604*365,0)</x:f>
        <x:v>0.000036835371597316376</x:v>
      </x:c>
      <x:c r="AJ604" s="81" t="n">
        <x:f>IF('Inputs'!$B$45&gt;0,AG604/('Inputs'!$B$19*'Inputs'!$B$45)*365,0)</x:f>
        <x:v>2.1572307769908385e-8</x:v>
      </x:c>
      <x:c r="AK604" s="81" t="n">
        <x:f>W604/MAX($W$369:W604)-1</x:f>
        <x:v>-0.9999999987628585</x:v>
      </x:c>
      <x:c r="AL604" s="83" t="n">
        <x:f>'Inputs'!$B$45</x:f>
        <x:v>0.75</x:v>
      </x:c>
      <x:c r="AM604" s="83" t="n">
        <x:f>'Inputs'!$C$45</x:f>
        <x:v>0.5</x:v>
      </x:c>
      <x:c r="AN604" s="83" t="n">
        <x:f>'Inputs'!$D$45</x:f>
        <x:v>0.5</x:v>
      </x:c>
      <x:c r="AO604" s="81" t="n">
        <x:f>'Inputs'!$E$45</x:f>
        <x:v>-0.05</x:v>
      </x:c>
    </x:row>
    <x:row r="605">
      <x:c r="A605" s="59" t="str">
        <x:v>Weak demand</x:v>
      </x:c>
      <x:c r="B605" s="59" t="n">
        <x:v>237</x:v>
      </x:c>
      <x:c r="C605" s="78" t="n">
        <x:f>(('Inputs'!$B$29*(3*237*'Inputs'!$B$12-237^2)/(2*'Inputs'!$B$12^2))-('Inputs'!$B$29*(3*236*'Inputs'!$B$12-236^2)/(2*'Inputs'!$B$12^2)))*'Inputs'!$B$45</x:f>
        <x:v>476323.71223495156</x:v>
      </x:c>
      <x:c r="D605" s="78" t="n">
        <x:f>IF('Inputs'!$C$45&gt;0,('Inputs'!$B$30*(3*237*'Inputs'!$B$12-237^2)/(2*'Inputs'!$B$12^2))-('Inputs'!$B$30*(3*236*'Inputs'!$B$12-236^2)/(2*'Inputs'!$B$12^2)),0)</x:f>
        <x:v>272184.97841997445</x:v>
      </x:c>
      <x:c r="E605" s="78" t="n">
        <x:f>C605+D605</x:f>
        <x:v>748508.690654926</x:v>
      </x:c>
      <x:c r="F605" s="78" t="n">
        <x:f>'Inputs'!$B$13*E605+(1-'Inputs'!$B$13)/'Inputs'!$B$14*SUM(E550:E605)</x:f>
        <x:v>756938.2740664328</x:v>
      </x:c>
      <x:c r="G605" s="78" t="n">
        <x:f>F605*'Inputs'!$F$45</x:f>
        <x:v>529856.7918465029</x:v>
      </x:c>
      <x:c r="H605" s="78" t="n">
        <x:f>U604</x:f>
        <x:v>135488378528.19716</x:v>
      </x:c>
      <x:c r="I605" s="78" t="n">
        <x:f>V604</x:f>
        <x:v>0.12602090402988358</x:v>
      </x:c>
      <x:c r="J605" s="79" t="n">
        <x:f>IF(H605&gt;0,I605/H605,0)</x:f>
        <x:v>9.301233463625573e-13</x:v>
      </x:c>
      <x:c r="K605" s="80" t="n">
        <x:f>(H605*J605+I605)*'Inputs'!$D$45*(1+'Inputs'!$G$45)^(B605/30)</x:f>
        <x:v>0.12602090402988358</x:v>
      </x:c>
      <x:c r="L605" s="80" t="n">
        <x:f>MAX(0,K605*'Inputs'!$E$45)</x:f>
        <x:v>0</x:v>
      </x:c>
      <x:c r="M605" s="80" t="n">
        <x:f>MAX(0,-K605*'Inputs'!$E$45)</x:f>
        <x:v>0.00630104520149418</x:v>
      </x:c>
      <x:c r="N605" s="78" t="n">
        <x:f>H605*(L605*(1-'Inputs'!$B$15))/(I605+L605*(1-'Inputs'!$B$15))</x:f>
        <x:v>0</x:v>
      </x:c>
      <x:c r="O605" s="78" t="n">
        <x:f>H605-N605</x:f>
        <x:v>135488378528.19716</x:v>
      </x:c>
      <x:c r="P605" s="78" t="n">
        <x:f>I605+L605*(1-'Inputs'!$B$17)</x:f>
        <x:v>0.12602090402988358</x:v>
      </x:c>
      <x:c r="Q605" s="78" t="n">
        <x:f>IF(J605&gt;0,M605/J605,0)</x:f>
        <x:v>0</x:v>
      </x:c>
      <x:c r="R605" s="78" t="n">
        <x:f>IF(B605='Inputs'!$H$45,'Inputs'!$B$27*'Inputs'!$I$45,0)</x:f>
        <x:v>0</x:v>
      </x:c>
      <x:c r="S605" s="78" t="n">
        <x:f>Q605+G605+R605</x:f>
        <x:v>529856.7918465029</x:v>
      </x:c>
      <x:c r="T605" s="78" t="n">
        <x:f>P605*(S605*(1-'Inputs'!$B$15))/(O605+S605*(1-'Inputs'!$B$15))</x:f>
        <x:v>4.879019616356067e-7</x:v>
      </x:c>
      <x:c r="U605" s="78" t="n">
        <x:f>O605+S605*(1-'Inputs'!$B$17)</x:f>
        <x:v>135488906252.76851</x:v>
      </x:c>
      <x:c r="V605" s="78" t="n">
        <x:f>P605-T605</x:f>
        <x:v>0.12602041612792195</x:v>
      </x:c>
      <x:c r="W605" s="79" t="n">
        <x:f>IF(U605&gt;0,V605/U605,0)</x:f>
        <x:v>9.301161225172035e-13</x:v>
      </x:c>
      <x:c r="X605" s="80" t="n">
        <x:f>W605*('Inputs'!$B$6-AC605)</x:f>
        <x:v>-0.004411766910704754</x:v>
      </x:c>
      <x:c r="Y605" s="80" t="n">
        <x:f>2*V605</x:f>
        <x:v>0.2520408322558439</x:v>
      </x:c>
      <x:c r="Z605" s="80" t="n">
        <x:f>K605*'Inputs'!$B$16+(G605+R605)*J605*'Inputs'!$B$16</x:f>
        <x:v>0.0007561283811723356</x:v>
      </x:c>
      <x:c r="AA605" s="80" t="n">
        <x:f>K605*(1+'Inputs'!$E$45)/2*'Inputs'!$B$17</x:f>
        <x:v>0.00024088502782372115</x:v>
      </x:c>
      <x:c r="AB605" s="78" t="n">
        <x:f>(IF(J605&gt;0,K605*(1-'Inputs'!$E$45)/2/J605,0)+G605+R605)*'Inputs'!$B$17</x:f>
        <x:v>2132.22049032798</x:v>
      </x:c>
      <x:c r="AC605" s="78" t="n">
        <x:f>AC604+AB605</x:f>
        <x:v>5743243132.658582</x:v>
      </x:c>
      <x:c r="AD605" s="80" t="n">
        <x:f>Z605/(1+'Inputs'!$C$45)</x:f>
        <x:v>0.0005040855874482237</x:v>
      </x:c>
      <x:c r="AE605" s="80" t="n">
        <x:f>Z605-AD605</x:f>
        <x:v>0.0002520427937241119</x:v>
      </x:c>
      <x:c r="AF605" s="80" t="n">
        <x:f>D605*W605</x:f>
        <x:v>2.5316363673541537e-7</x:v>
      </x:c>
      <x:c r="AG605" s="80" t="n">
        <x:f>C605*W605</x:f>
        <x:v>4.430363642869734e-7</x:v>
      </x:c>
      <x:c r="AH605" s="80" t="n">
        <x:f>2*'Inputs'!$B$8*'Inputs'!$C$45</x:f>
        <x:v>2500</x:v>
      </x:c>
      <x:c r="AI605" s="81" t="n">
        <x:f>IF(AH605&gt;0,(AE605+AF605)/AH605*365,0)</x:f>
        <x:v>0.00003683520977468371</x:v>
      </x:c>
      <x:c r="AJ605" s="81" t="n">
        <x:f>IF('Inputs'!$B$45&gt;0,AG605/('Inputs'!$B$19*'Inputs'!$B$45)*365,0)</x:f>
        <x:v>2.156110306196604e-8</x:v>
      </x:c>
      <x:c r="AK605" s="81" t="n">
        <x:f>W605/MAX($W$369:W605)-1</x:f>
        <x:v>-0.9999999987628682</x:v>
      </x:c>
      <x:c r="AL605" s="83" t="n">
        <x:f>'Inputs'!$B$45</x:f>
        <x:v>0.75</x:v>
      </x:c>
      <x:c r="AM605" s="83" t="n">
        <x:f>'Inputs'!$C$45</x:f>
        <x:v>0.5</x:v>
      </x:c>
      <x:c r="AN605" s="83" t="n">
        <x:f>'Inputs'!$D$45</x:f>
        <x:v>0.5</x:v>
      </x:c>
      <x:c r="AO605" s="81" t="n">
        <x:f>'Inputs'!$E$45</x:f>
        <x:v>-0.05</x:v>
      </x:c>
    </x:row>
    <x:row r="606">
      <x:c r="A606" s="59" t="str">
        <x:v>Weak demand</x:v>
      </x:c>
      <x:c r="B606" s="59" t="n">
        <x:v>238</x:v>
      </x:c>
      <x:c r="C606" s="78" t="n">
        <x:f>(('Inputs'!$B$29*(3*238*'Inputs'!$B$12-238^2)/(2*'Inputs'!$B$12^2))-('Inputs'!$B$29*(3*237*'Inputs'!$B$12-237^2)/(2*'Inputs'!$B$12^2)))*'Inputs'!$B$45</x:f>
        <x:v>476079.8813098222</x:v>
      </x:c>
      <x:c r="D606" s="78" t="n">
        <x:f>IF('Inputs'!$C$45&gt;0,('Inputs'!$B$30*(3*238*'Inputs'!$B$12-238^2)/(2*'Inputs'!$B$12^2))-('Inputs'!$B$30*(3*237*'Inputs'!$B$12-237^2)/(2*'Inputs'!$B$12^2)),0)</x:f>
        <x:v>272045.6464627385</x:v>
      </x:c>
      <x:c r="E606" s="78" t="n">
        <x:f>C606+D606</x:f>
        <x:v>748125.5277725607</x:v>
      </x:c>
      <x:c r="F606" s="78" t="n">
        <x:f>'Inputs'!$B$13*E606+(1-'Inputs'!$B$13)/'Inputs'!$B$14*SUM(E551:E606)</x:f>
        <x:v>756555.1111840862</x:v>
      </x:c>
      <x:c r="G606" s="78" t="n">
        <x:f>F606*'Inputs'!$F$45</x:f>
        <x:v>529588.5778288603</x:v>
      </x:c>
      <x:c r="H606" s="78" t="n">
        <x:f>U605</x:f>
        <x:v>135488906252.76851</x:v>
      </x:c>
      <x:c r="I606" s="78" t="n">
        <x:f>V605</x:f>
        <x:v>0.12602041612792195</x:v>
      </x:c>
      <x:c r="J606" s="79" t="n">
        <x:f>IF(H606&gt;0,I606/H606,0)</x:f>
        <x:v>9.301161225172035e-13</x:v>
      </x:c>
      <x:c r="K606" s="80" t="n">
        <x:f>(H606*J606+I606)*'Inputs'!$D$45*(1+'Inputs'!$G$45)^(B606/30)</x:f>
        <x:v>0.12602041612792195</x:v>
      </x:c>
      <x:c r="L606" s="80" t="n">
        <x:f>MAX(0,K606*'Inputs'!$E$45)</x:f>
        <x:v>0</x:v>
      </x:c>
      <x:c r="M606" s="80" t="n">
        <x:f>MAX(0,-K606*'Inputs'!$E$45)</x:f>
        <x:v>0.0063010208063960975</x:v>
      </x:c>
      <x:c r="N606" s="78" t="n">
        <x:f>H606*(L606*(1-'Inputs'!$B$15))/(I606+L606*(1-'Inputs'!$B$15))</x:f>
        <x:v>0</x:v>
      </x:c>
      <x:c r="O606" s="78" t="n">
        <x:f>H606-N606</x:f>
        <x:v>135488906252.76851</x:v>
      </x:c>
      <x:c r="P606" s="78" t="n">
        <x:f>I606+L606*(1-'Inputs'!$B$17)</x:f>
        <x:v>0.12602041612792195</x:v>
      </x:c>
      <x:c r="Q606" s="78" t="n">
        <x:f>IF(J606&gt;0,M606/J606,0)</x:f>
        <x:v>0</x:v>
      </x:c>
      <x:c r="R606" s="78" t="n">
        <x:f>IF(B606='Inputs'!$H$45,'Inputs'!$B$27*'Inputs'!$I$45,0)</x:f>
        <x:v>0</x:v>
      </x:c>
      <x:c r="S606" s="78" t="n">
        <x:f>Q606+G606+R606</x:f>
        <x:v>529588.5778288603</x:v>
      </x:c>
      <x:c r="T606" s="78" t="n">
        <x:f>P606*(S606*(1-'Inputs'!$B$15))/(O606+S606*(1-'Inputs'!$B$15))</x:f>
        <x:v>4.876511987617557e-7</x:v>
      </x:c>
      <x:c r="U606" s="78" t="n">
        <x:f>O606+S606*(1-'Inputs'!$B$17)</x:f>
        <x:v>135489433710.20518</x:v>
      </x:c>
      <x:c r="V606" s="78" t="n">
        <x:f>P606-T606</x:f>
        <x:v>0.1260199284767232</x:v>
      </x:c>
      <x:c r="W606" s="79" t="n">
        <x:f>IF(U606&gt;0,V606/U606,0)</x:f>
        <x:v>9.30108902412744e-13</x:v>
      </x:c>
      <x:c r="X606" s="80" t="n">
        <x:f>W606*('Inputs'!$B$6-AC606)</x:f>
        <x:v>-0.004411734646187222</x:v>
      </x:c>
      <x:c r="Y606" s="80" t="n">
        <x:f>2*V606</x:f>
        <x:v>0.2520398569534464</x:v>
      </x:c>
      <x:c r="Z606" s="80" t="n">
        <x:f>K606*'Inputs'!$B$16+(G606+R606)*J606*'Inputs'!$B$16</x:f>
        <x:v>0.0007561254522407789</x:v>
      </x:c>
      <x:c r="AA606" s="80" t="n">
        <x:f>K606*(1+'Inputs'!$E$45)/2*'Inputs'!$B$17</x:f>
        <x:v>0.00024088409521433774</x:v>
      </x:c>
      <x:c r="AB606" s="78" t="n">
        <x:f>(IF(J606&gt;0,K606*(1-'Inputs'!$E$45)/2/J606,0)+G606+R606)*'Inputs'!$B$17</x:f>
        <x:v>2131.141158265031</x:v>
      </x:c>
      <x:c r="AC606" s="78" t="n">
        <x:f>AC605+AB606</x:f>
        <x:v>5743245263.79974</x:v>
      </x:c>
      <x:c r="AD606" s="80" t="n">
        <x:f>Z606/(1+'Inputs'!$C$45)</x:f>
        <x:v>0.0005040836348271859</x:v>
      </x:c>
      <x:c r="AE606" s="80" t="n">
        <x:f>Z606-AD606</x:f>
        <x:v>0.0002520418174135929</x:v>
      </x:c>
      <x:c r="AF606" s="80" t="n">
        <x:f>D606*W606</x:f>
        <x:v>2.530320776376231e-7</x:v>
      </x:c>
      <x:c r="AG606" s="80" t="n">
        <x:f>C606*W606</x:f>
        <x:v>4.428061358658682e-7</x:v>
      </x:c>
      <x:c r="AH606" s="80" t="n">
        <x:f>2*'Inputs'!$B$8*'Inputs'!$C$45</x:f>
        <x:v>2500</x:v>
      </x:c>
      <x:c r="AI606" s="81" t="n">
        <x:f>IF(AH606&gt;0,(AE606+AF606)/AH606*365,0)</x:f>
        <x:v>0.000036835048025719654</x:v>
      </x:c>
      <x:c r="AJ606" s="81" t="n">
        <x:f>IF('Inputs'!$B$45&gt;0,AG606/('Inputs'!$B$19*'Inputs'!$B$45)*365,0)</x:f>
        <x:v>2.154989861213892e-8</x:v>
      </x:c>
      <x:c r="AK606" s="81" t="n">
        <x:f>W606/MAX($W$369:W606)-1</x:f>
        <x:v>-0.9999999987628777</x:v>
      </x:c>
      <x:c r="AL606" s="83" t="n">
        <x:f>'Inputs'!$B$45</x:f>
        <x:v>0.75</x:v>
      </x:c>
      <x:c r="AM606" s="83" t="n">
        <x:f>'Inputs'!$C$45</x:f>
        <x:v>0.5</x:v>
      </x:c>
      <x:c r="AN606" s="83" t="n">
        <x:f>'Inputs'!$D$45</x:f>
        <x:v>0.5</x:v>
      </x:c>
      <x:c r="AO606" s="81" t="n">
        <x:f>'Inputs'!$E$45</x:f>
        <x:v>-0.05</x:v>
      </x:c>
    </x:row>
    <x:row r="607">
      <x:c r="A607" s="59" t="str">
        <x:v>Weak demand</x:v>
      </x:c>
      <x:c r="B607" s="59" t="n">
        <x:v>239</x:v>
      </x:c>
      <x:c r="C607" s="78" t="n">
        <x:f>(('Inputs'!$B$29*(3*239*'Inputs'!$B$12-239^2)/(2*'Inputs'!$B$12^2))-('Inputs'!$B$29*(3*238*'Inputs'!$B$12-238^2)/(2*'Inputs'!$B$12^2)))*'Inputs'!$B$45</x:f>
        <x:v>475836.0503846705</x:v>
      </x:c>
      <x:c r="D607" s="78" t="n">
        <x:f>IF('Inputs'!$C$45&gt;0,('Inputs'!$B$30*(3*239*'Inputs'!$B$12-239^2)/(2*'Inputs'!$B$12^2))-('Inputs'!$B$30*(3*238*'Inputs'!$B$12-238^2)/(2*'Inputs'!$B$12^2)),0)</x:f>
        <x:v>271906.3145055473</x:v>
      </x:c>
      <x:c r="E607" s="78" t="n">
        <x:f>C607+D607</x:f>
        <x:v>747742.3648902178</x:v>
      </x:c>
      <x:c r="F607" s="78" t="n">
        <x:f>'Inputs'!$B$13*E607+(1-'Inputs'!$B$13)/'Inputs'!$B$14*SUM(E552:E607)</x:f>
        <x:v>756171.9483017441</x:v>
      </x:c>
      <x:c r="G607" s="78" t="n">
        <x:f>F607*'Inputs'!$F$45</x:f>
        <x:v>529320.3638112209</x:v>
      </x:c>
      <x:c r="H607" s="78" t="n">
        <x:f>U606</x:f>
        <x:v>135489433710.20518</x:v>
      </x:c>
      <x:c r="I607" s="78" t="n">
        <x:f>V606</x:f>
        <x:v>0.1260199284767232</x:v>
      </x:c>
      <x:c r="J607" s="79" t="n">
        <x:f>IF(H607&gt;0,I607/H607,0)</x:f>
        <x:v>9.30108902412744e-13</x:v>
      </x:c>
      <x:c r="K607" s="80" t="n">
        <x:f>(H607*J607+I607)*'Inputs'!$D$45*(1+'Inputs'!$G$45)^(B607/30)</x:f>
        <x:v>0.1260199284767232</x:v>
      </x:c>
      <x:c r="L607" s="80" t="n">
        <x:f>MAX(0,K607*'Inputs'!$E$45)</x:f>
        <x:v>0</x:v>
      </x:c>
      <x:c r="M607" s="80" t="n">
        <x:f>MAX(0,-K607*'Inputs'!$E$45)</x:f>
        <x:v>0.00630099642383616</x:v>
      </x:c>
      <x:c r="N607" s="78" t="n">
        <x:f>H607*(L607*(1-'Inputs'!$B$15))/(I607+L607*(1-'Inputs'!$B$15))</x:f>
        <x:v>0</x:v>
      </x:c>
      <x:c r="O607" s="78" t="n">
        <x:f>H607-N607</x:f>
        <x:v>135489433710.20518</x:v>
      </x:c>
      <x:c r="P607" s="78" t="n">
        <x:f>I607+L607*(1-'Inputs'!$B$17)</x:f>
        <x:v>0.1260199284767232</x:v>
      </x:c>
      <x:c r="Q607" s="78" t="n">
        <x:f>IF(J607&gt;0,M607/J607,0)</x:f>
        <x:v>0</x:v>
      </x:c>
      <x:c r="R607" s="78" t="n">
        <x:f>IF(B607='Inputs'!$H$45,'Inputs'!$B$27*'Inputs'!$I$45,0)</x:f>
        <x:v>0</x:v>
      </x:c>
      <x:c r="S607" s="78" t="n">
        <x:f>Q607+G607+R607</x:f>
        <x:v>529320.3638112209</x:v>
      </x:c>
      <x:c r="T607" s="78" t="n">
        <x:f>P607*(S607*(1-'Inputs'!$B$15))/(O607+S607*(1-'Inputs'!$B$15))</x:f>
        <x:v>4.874004416835361e-7</x:v>
      </x:c>
      <x:c r="U607" s="78" t="n">
        <x:f>O607+S607*(1-'Inputs'!$B$17)</x:f>
        <x:v>135489960900.50717</x:v>
      </x:c>
      <x:c r="V607" s="78" t="n">
        <x:f>P607-T607</x:f>
        <x:v>0.12601944107628152</x:v>
      </x:c>
      <x:c r="W607" s="79" t="n">
        <x:f>IF(U607&gt;0,V607/U607,0)</x:f>
        <x:v>9.301016860490495e-13</x:v>
      </x:c>
      <x:c r="X607" s="80" t="n">
        <x:f>W607*('Inputs'!$B$6-AC607)</x:f>
        <x:v>-0.004411702398378402</x:v>
      </x:c>
      <x:c r="Y607" s="80" t="n">
        <x:f>2*V607</x:f>
        <x:v>0.25203888215256304</x:v>
      </x:c>
      <x:c r="Z607" s="80" t="n">
        <x:f>K607*'Inputs'!$B$16+(G607+R607)*J607*'Inputs'!$B$16</x:f>
        <x:v>0.0007561225248138348</x:v>
      </x:c>
      <x:c r="AA607" s="80" t="n">
        <x:f>K607*(1+'Inputs'!$E$45)/2*'Inputs'!$B$17</x:f>
        <x:v>0.00024088316308427975</x:v>
      </x:c>
      <x:c r="AB607" s="78" t="n">
        <x:f>(IF(J607&gt;0,K607*(1-'Inputs'!$E$45)/2/J607,0)+G607+R607)*'Inputs'!$B$17</x:f>
        <x:v>2130.061826202096</x:v>
      </x:c>
      <x:c r="AC607" s="78" t="n">
        <x:f>AC606+AB607</x:f>
        <x:v>5743247393.861566</x:v>
      </x:c>
      <x:c r="AD607" s="80" t="n">
        <x:f>Z607/(1+'Inputs'!$C$45)</x:f>
        <x:v>0.0005040816832092232</x:v>
      </x:c>
      <x:c r="AE607" s="80" t="n">
        <x:f>Z607-AD607</x:f>
        <x:v>0.00025204084160461156</x:v>
      </x:c>
      <x:c r="AF607" s="80" t="n">
        <x:f>D607*W607</x:f>
        <x:v>2.5290052156899267e-7</x:v>
      </x:c>
      <x:c r="AG607" s="80" t="n">
        <x:f>C607*W607</x:f>
        <x:v>4.425759127457025e-7</x:v>
      </x:c>
      <x:c r="AH607" s="80" t="n">
        <x:f>2*'Inputs'!$B$8*'Inputs'!$C$45</x:f>
        <x:v>2500</x:v>
      </x:c>
      <x:c r="AI607" s="81" t="n">
        <x:f>IF(AH607&gt;0,(AE607+AF607)/AH607*365,0)</x:f>
        <x:v>0.00003683488635042236</x:v>
      </x:c>
      <x:c r="AJ607" s="81" t="n">
        <x:f>IF('Inputs'!$B$45&gt;0,AG607/('Inputs'!$B$19*'Inputs'!$B$45)*365,0)</x:f>
        <x:v>2.1538694420290853e-8</x:v>
      </x:c>
      <x:c r="AK607" s="81" t="n">
        <x:f>W607/MAX($W$369:W607)-1</x:f>
        <x:v>-0.9999999987628874</x:v>
      </x:c>
      <x:c r="AL607" s="83" t="n">
        <x:f>'Inputs'!$B$45</x:f>
        <x:v>0.75</x:v>
      </x:c>
      <x:c r="AM607" s="83" t="n">
        <x:f>'Inputs'!$C$45</x:f>
        <x:v>0.5</x:v>
      </x:c>
      <x:c r="AN607" s="83" t="n">
        <x:f>'Inputs'!$D$45</x:f>
        <x:v>0.5</x:v>
      </x:c>
      <x:c r="AO607" s="81" t="n">
        <x:f>'Inputs'!$E$45</x:f>
        <x:v>-0.05</x:v>
      </x:c>
    </x:row>
    <x:row r="608">
      <x:c r="A608" s="59" t="str">
        <x:v>Weak demand</x:v>
      </x:c>
      <x:c r="B608" s="59" t="n">
        <x:v>240</x:v>
      </x:c>
      <x:c r="C608" s="78" t="n">
        <x:f>(('Inputs'!$B$29*(3*240*'Inputs'!$B$12-240^2)/(2*'Inputs'!$B$12^2))-('Inputs'!$B$29*(3*239*'Inputs'!$B$12-239^2)/(2*'Inputs'!$B$12^2)))*'Inputs'!$B$45</x:f>
        <x:v>475592.2194595635</x:v>
      </x:c>
      <x:c r="D608" s="78" t="n">
        <x:f>IF('Inputs'!$C$45&gt;0,('Inputs'!$B$30*(3*240*'Inputs'!$B$12-240^2)/(2*'Inputs'!$B$12^2))-('Inputs'!$B$30*(3*239*'Inputs'!$B$12-239^2)/(2*'Inputs'!$B$12^2)),0)</x:f>
        <x:v>271766.98254831135</x:v>
      </x:c>
      <x:c r="E608" s="78" t="n">
        <x:f>C608+D608</x:f>
        <x:v>747359.2020078748</x:v>
      </x:c>
      <x:c r="F608" s="78" t="n">
        <x:f>'Inputs'!$B$13*E608+(1-'Inputs'!$B$13)/'Inputs'!$B$14*SUM(E553:E608)</x:f>
        <x:v>755788.785419402</x:v>
      </x:c>
      <x:c r="G608" s="78" t="n">
        <x:f>F608*'Inputs'!$F$45</x:f>
        <x:v>529052.1497935813</x:v>
      </x:c>
      <x:c r="H608" s="78" t="n">
        <x:f>U607</x:f>
        <x:v>135489960900.50717</x:v>
      </x:c>
      <x:c r="I608" s="78" t="n">
        <x:f>V607</x:f>
        <x:v>0.12601944107628152</x:v>
      </x:c>
      <x:c r="J608" s="79" t="n">
        <x:f>IF(H608&gt;0,I608/H608,0)</x:f>
        <x:v>9.301016860490495e-13</x:v>
      </x:c>
      <x:c r="K608" s="80" t="n">
        <x:f>(H608*J608+I608)*'Inputs'!$D$45*(1+'Inputs'!$G$45)^(B608/30)</x:f>
        <x:v>0.12601944107628152</x:v>
      </x:c>
      <x:c r="L608" s="80" t="n">
        <x:f>MAX(0,K608*'Inputs'!$E$45)</x:f>
        <x:v>0</x:v>
      </x:c>
      <x:c r="M608" s="80" t="n">
        <x:f>MAX(0,-K608*'Inputs'!$E$45)</x:f>
        <x:v>0.006300972053814077</x:v>
      </x:c>
      <x:c r="N608" s="78" t="n">
        <x:f>H608*(L608*(1-'Inputs'!$B$15))/(I608+L608*(1-'Inputs'!$B$15))</x:f>
        <x:v>0</x:v>
      </x:c>
      <x:c r="O608" s="78" t="n">
        <x:f>H608-N608</x:f>
        <x:v>135489960900.50717</x:v>
      </x:c>
      <x:c r="P608" s="78" t="n">
        <x:f>I608+L608*(1-'Inputs'!$B$17)</x:f>
        <x:v>0.12601944107628152</x:v>
      </x:c>
      <x:c r="Q608" s="78" t="n">
        <x:f>IF(J608&gt;0,M608/J608,0)</x:f>
        <x:v>0</x:v>
      </x:c>
      <x:c r="R608" s="78" t="n">
        <x:f>IF(B608='Inputs'!$H$45,'Inputs'!$B$27*'Inputs'!$I$45,0)</x:f>
        <x:v>0</x:v>
      </x:c>
      <x:c r="S608" s="78" t="n">
        <x:f>Q608+G608+R608</x:f>
        <x:v>529052.1497935813</x:v>
      </x:c>
      <x:c r="T608" s="78" t="n">
        <x:f>P608*(S608*(1-'Inputs'!$B$15))/(O608+S608*(1-'Inputs'!$B$15))</x:f>
        <x:v>4.871496903978974e-7</x:v>
      </x:c>
      <x:c r="U608" s="78" t="n">
        <x:f>O608+S608*(1-'Inputs'!$B$17)</x:f>
        <x:v>135490487823.67447</x:v>
      </x:c>
      <x:c r="V608" s="78" t="n">
        <x:f>P608-T608</x:f>
        <x:v>0.12601895392659113</x:v>
      </x:c>
      <x:c r="W608" s="79" t="n">
        <x:f>IF(U608&gt;0,V608/U608,0)</x:f>
        <x:v>9.300944734259909e-13</x:v>
      </x:c>
      <x:c r="X608" s="80" t="n">
        <x:f>W608*('Inputs'!$B$6-AC608)</x:f>
        <x:v>-0.0044116701672777285</x:v>
      </x:c>
      <x:c r="Y608" s="80" t="n">
        <x:f>2*V608</x:f>
        <x:v>0.25203790785318225</x:v>
      </x:c>
      <x:c r="Z608" s="80" t="n">
        <x:f>K608*'Inputs'!$B$16+(G608+R608)*J608*'Inputs'!$B$16</x:f>
        <x:v>0.0007561195988914684</x:v>
      </x:c>
      <x:c r="AA608" s="80" t="n">
        <x:f>K608*(1+'Inputs'!$E$45)/2*'Inputs'!$B$17</x:f>
        <x:v>0.00024088223143353612</x:v>
      </x:c>
      <x:c r="AB608" s="78" t="n">
        <x:f>(IF(J608&gt;0,K608*(1-'Inputs'!$E$45)/2/J608,0)+G608+R608)*'Inputs'!$B$17</x:f>
        <x:v>2128.9824941391603</x:v>
      </x:c>
      <x:c r="AC608" s="78" t="n">
        <x:f>AC607+AB608</x:f>
        <x:v>5743249522.84406</x:v>
      </x:c>
      <x:c r="AD608" s="80" t="n">
        <x:f>Z608/(1+'Inputs'!$C$45)</x:f>
        <x:v>0.0005040797325943123</x:v>
      </x:c>
      <x:c r="AE608" s="80" t="n">
        <x:f>Z608-AD608</x:f>
        <x:v>0.0002520398662971561</x:v>
      </x:c>
      <x:c r="AF608" s="80" t="n">
        <x:f>D608*W608</x:f>
        <x:v>2.527689685278421e-7</x:v>
      </x:c>
      <x:c r="AG608" s="80" t="n">
        <x:f>C608*W608</x:f>
        <x:v>4.4234569492374103e-7</x:v>
      </x:c>
      <x:c r="AH608" s="80" t="n">
        <x:f>2*'Inputs'!$B$8*'Inputs'!$C$45</x:f>
        <x:v>2500</x:v>
      </x:c>
      <x:c r="AI608" s="81" t="n">
        <x:f>IF(AH608&gt;0,(AE608+AF608)/AH608*365,0)</x:f>
        <x:v>0.00003683472474878986</x:v>
      </x:c>
      <x:c r="AJ608" s="81" t="n">
        <x:f>IF('Inputs'!$B$45&gt;0,AG608/('Inputs'!$B$19*'Inputs'!$B$45)*365,0)</x:f>
        <x:v>2.1527490486288728e-8</x:v>
      </x:c>
      <x:c r="AK608" s="81" t="n">
        <x:f>W608/MAX($W$369:W608)-1</x:f>
        <x:v>-0.9999999987628969</x:v>
      </x:c>
      <x:c r="AL608" s="83" t="n">
        <x:f>'Inputs'!$B$45</x:f>
        <x:v>0.75</x:v>
      </x:c>
      <x:c r="AM608" s="83" t="n">
        <x:f>'Inputs'!$C$45</x:f>
        <x:v>0.5</x:v>
      </x:c>
      <x:c r="AN608" s="83" t="n">
        <x:f>'Inputs'!$D$45</x:f>
        <x:v>0.5</x:v>
      </x:c>
      <x:c r="AO608" s="81" t="n">
        <x:f>'Inputs'!$E$45</x:f>
        <x:v>-0.05</x:v>
      </x:c>
    </x:row>
    <x:row r="609">
      <x:c r="A609" s="59" t="str">
        <x:v>Weak demand</x:v>
      </x:c>
      <x:c r="B609" s="59" t="n">
        <x:v>241</x:v>
      </x:c>
      <x:c r="C609" s="78" t="n">
        <x:f>(('Inputs'!$B$29*(3*241*'Inputs'!$B$12-241^2)/(2*'Inputs'!$B$12^2))-('Inputs'!$B$29*(3*240*'Inputs'!$B$12-240^2)/(2*'Inputs'!$B$12^2)))*'Inputs'!$B$45</x:f>
        <x:v>475348.38853443414</x:v>
      </x:c>
      <x:c r="D609" s="78" t="n">
        <x:f>IF('Inputs'!$C$45&gt;0,('Inputs'!$B$30*(3*241*'Inputs'!$B$12-241^2)/(2*'Inputs'!$B$12^2))-('Inputs'!$B$30*(3*240*'Inputs'!$B$12-240^2)/(2*'Inputs'!$B$12^2)),0)</x:f>
        <x:v>271627.6505911052</x:v>
      </x:c>
      <x:c r="E609" s="78" t="n">
        <x:f>C609+D609</x:f>
        <x:v>746976.0391255394</x:v>
      </x:c>
      <x:c r="F609" s="78" t="n">
        <x:f>'Inputs'!$B$13*E609+(1-'Inputs'!$B$13)/'Inputs'!$B$14*SUM(E554:E609)</x:f>
        <x:v>755405.6225370612</x:v>
      </x:c>
      <x:c r="G609" s="78" t="n">
        <x:f>F609*'Inputs'!$F$45</x:f>
        <x:v>528783.9357759429</x:v>
      </x:c>
      <x:c r="H609" s="78" t="n">
        <x:f>U608</x:f>
        <x:v>135490487823.67447</x:v>
      </x:c>
      <x:c r="I609" s="78" t="n">
        <x:f>V608</x:f>
        <x:v>0.12601895392659113</x:v>
      </x:c>
      <x:c r="J609" s="79" t="n">
        <x:f>IF(H609&gt;0,I609/H609,0)</x:f>
        <x:v>9.300944734259909e-13</x:v>
      </x:c>
      <x:c r="K609" s="80" t="n">
        <x:f>(H609*J609+I609)*'Inputs'!$D$45*(1+'Inputs'!$G$45)^(B609/30)</x:f>
        <x:v>0.12601895392659113</x:v>
      </x:c>
      <x:c r="L609" s="80" t="n">
        <x:f>MAX(0,K609*'Inputs'!$E$45)</x:f>
        <x:v>0</x:v>
      </x:c>
      <x:c r="M609" s="80" t="n">
        <x:f>MAX(0,-K609*'Inputs'!$E$45)</x:f>
        <x:v>0.006300947696329557</x:v>
      </x:c>
      <x:c r="N609" s="78" t="n">
        <x:f>H609*(L609*(1-'Inputs'!$B$15))/(I609+L609*(1-'Inputs'!$B$15))</x:f>
        <x:v>0</x:v>
      </x:c>
      <x:c r="O609" s="78" t="n">
        <x:f>H609-N609</x:f>
        <x:v>135490487823.67447</x:v>
      </x:c>
      <x:c r="P609" s="78" t="n">
        <x:f>I609+L609*(1-'Inputs'!$B$17)</x:f>
        <x:v>0.12601895392659113</x:v>
      </x:c>
      <x:c r="Q609" s="78" t="n">
        <x:f>IF(J609&gt;0,M609/J609,0)</x:f>
        <x:v>0</x:v>
      </x:c>
      <x:c r="R609" s="78" t="n">
        <x:f>IF(B609='Inputs'!$H$45,'Inputs'!$B$27*'Inputs'!$I$45,0)</x:f>
        <x:v>0</x:v>
      </x:c>
      <x:c r="S609" s="78" t="n">
        <x:f>Q609+G609+R609</x:f>
        <x:v>528783.9357759429</x:v>
      </x:c>
      <x:c r="T609" s="78" t="n">
        <x:f>P609*(S609*(1-'Inputs'!$B$15))/(O609+S609*(1-'Inputs'!$B$15))</x:f>
        <x:v>4.868989449017932e-7</x:v>
      </x:c>
      <x:c r="U609" s="78" t="n">
        <x:f>O609+S609*(1-'Inputs'!$B$17)</x:f>
        <x:v>135491014479.70708</x:v>
      </x:c>
      <x:c r="V609" s="78" t="n">
        <x:f>P609-T609</x:f>
        <x:v>0.1260184670276462</x:v>
      </x:c>
      <x:c r="W609" s="79" t="n">
        <x:f>IF(U609&gt;0,V609/U609,0)</x:f>
        <x:v>9.300872645434388e-13</x:v>
      </x:c>
      <x:c r="X609" s="80" t="n">
        <x:f>W609*('Inputs'!$B$6-AC609)</x:f>
        <x:v>-0.004411637952884634</x:v>
      </x:c>
      <x:c r="Y609" s="80" t="n">
        <x:f>2*V609</x:f>
        <x:v>0.2520369340552924</x:v>
      </x:c>
      <x:c r="Z609" s="80" t="n">
        <x:f>K609*'Inputs'!$B$16+(G609+R609)*J609*'Inputs'!$B$16</x:f>
        <x:v>0.0007561166744736446</x:v>
      </x:c>
      <x:c r="AA609" s="80" t="n">
        <x:f>K609*(1+'Inputs'!$E$45)/2*'Inputs'!$B$17</x:f>
        <x:v>0.0002408813002620957</x:v>
      </x:c>
      <x:c r="AB609" s="78" t="n">
        <x:f>(IF(J609&gt;0,K609*(1-'Inputs'!$E$45)/2/J609,0)+G609+R609)*'Inputs'!$B$17</x:f>
        <x:v>2127.903162076229</x:v>
      </x:c>
      <x:c r="AC609" s="78" t="n">
        <x:f>AC608+AB609</x:f>
        <x:v>5743251650.747222</x:v>
      </x:c>
      <x:c r="AD609" s="80" t="n">
        <x:f>Z609/(1+'Inputs'!$C$45)</x:f>
        <x:v>0.0005040777829824298</x:v>
      </x:c>
      <x:c r="AE609" s="80" t="n">
        <x:f>Z609-AD609</x:f>
        <x:v>0.00025203889149121484</x:v>
      </x:c>
      <x:c r="AF609" s="80" t="n">
        <x:f>D609*W609</x:f>
        <x:v>2.5263741851264204e-7</x:v>
      </x:c>
      <x:c r="AG609" s="80" t="n">
        <x:f>C609*W609</x:f>
        <x:v>4.421154823971236e-7</x:v>
      </x:c>
      <x:c r="AH609" s="80" t="n">
        <x:f>2*'Inputs'!$B$8*'Inputs'!$C$45</x:f>
        <x:v>2500</x:v>
      </x:c>
      <x:c r="AI609" s="81" t="n">
        <x:f>IF(AH609&gt;0,(AE609+AF609)/AH609*365,0)</x:f>
        <x:v>0.00003683456322082021</x:v>
      </x:c>
      <x:c r="AJ609" s="81" t="n">
        <x:f>IF('Inputs'!$B$45&gt;0,AG609/('Inputs'!$B$19*'Inputs'!$B$45)*365,0)</x:f>
        <x:v>2.151628680999335e-8</x:v>
      </x:c>
      <x:c r="AK609" s="81" t="n">
        <x:f>W609/MAX($W$369:W609)-1</x:f>
        <x:v>-0.9999999987629066</x:v>
      </x:c>
      <x:c r="AL609" s="83" t="n">
        <x:f>'Inputs'!$B$45</x:f>
        <x:v>0.75</x:v>
      </x:c>
      <x:c r="AM609" s="83" t="n">
        <x:f>'Inputs'!$C$45</x:f>
        <x:v>0.5</x:v>
      </x:c>
      <x:c r="AN609" s="83" t="n">
        <x:f>'Inputs'!$D$45</x:f>
        <x:v>0.5</x:v>
      </x:c>
      <x:c r="AO609" s="81" t="n">
        <x:f>'Inputs'!$E$45</x:f>
        <x:v>-0.05</x:v>
      </x:c>
    </x:row>
    <x:row r="610">
      <x:c r="A610" s="59" t="str">
        <x:v>Weak demand</x:v>
      </x:c>
      <x:c r="B610" s="59" t="n">
        <x:v>242</x:v>
      </x:c>
      <x:c r="C610" s="78" t="n">
        <x:f>(('Inputs'!$B$29*(3*242*'Inputs'!$B$12-242^2)/(2*'Inputs'!$B$12^2))-('Inputs'!$B$29*(3*241*'Inputs'!$B$12-241^2)/(2*'Inputs'!$B$12^2)))*'Inputs'!$B$45</x:f>
        <x:v>475104.5576093048</x:v>
      </x:c>
      <x:c r="D610" s="78" t="n">
        <x:f>IF('Inputs'!$C$45&gt;0,('Inputs'!$B$30*(3*242*'Inputs'!$B$12-242^2)/(2*'Inputs'!$B$12^2))-('Inputs'!$B$30*(3*241*'Inputs'!$B$12-241^2)/(2*'Inputs'!$B$12^2)),0)</x:f>
        <x:v>271488.3186338991</x:v>
      </x:c>
      <x:c r="E610" s="78" t="n">
        <x:f>C610+D610</x:f>
        <x:v>746592.8762432039</x:v>
      </x:c>
      <x:c r="F610" s="78" t="n">
        <x:f>'Inputs'!$B$13*E610+(1-'Inputs'!$B$13)/'Inputs'!$B$14*SUM(E555:E610)</x:f>
        <x:v>755022.4596547207</x:v>
      </x:c>
      <x:c r="G610" s="78" t="n">
        <x:f>F610*'Inputs'!$F$45</x:f>
        <x:v>528515.7217583045</x:v>
      </x:c>
      <x:c r="H610" s="78" t="n">
        <x:f>U609</x:f>
        <x:v>135491014479.70708</x:v>
      </x:c>
      <x:c r="I610" s="78" t="n">
        <x:f>V609</x:f>
        <x:v>0.1260184670276462</x:v>
      </x:c>
      <x:c r="J610" s="79" t="n">
        <x:f>IF(H610&gt;0,I610/H610,0)</x:f>
        <x:v>9.300872645434388e-13</x:v>
      </x:c>
      <x:c r="K610" s="80" t="n">
        <x:f>(H610*J610+I610)*'Inputs'!$D$45*(1+'Inputs'!$G$45)^(B610/30)</x:f>
        <x:v>0.1260184670276462</x:v>
      </x:c>
      <x:c r="L610" s="80" t="n">
        <x:f>MAX(0,K610*'Inputs'!$E$45)</x:f>
        <x:v>0</x:v>
      </x:c>
      <x:c r="M610" s="80" t="n">
        <x:f>MAX(0,-K610*'Inputs'!$E$45)</x:f>
        <x:v>0.006300923351382311</x:v>
      </x:c>
      <x:c r="N610" s="78" t="n">
        <x:f>H610*(L610*(1-'Inputs'!$B$15))/(I610+L610*(1-'Inputs'!$B$15))</x:f>
        <x:v>0</x:v>
      </x:c>
      <x:c r="O610" s="78" t="n">
        <x:f>H610-N610</x:f>
        <x:v>135491014479.70708</x:v>
      </x:c>
      <x:c r="P610" s="78" t="n">
        <x:f>I610+L610*(1-'Inputs'!$B$17)</x:f>
        <x:v>0.1260184670276462</x:v>
      </x:c>
      <x:c r="Q610" s="78" t="n">
        <x:f>IF(J610&gt;0,M610/J610,0)</x:f>
        <x:v>0</x:v>
      </x:c>
      <x:c r="R610" s="78" t="n">
        <x:f>IF(B610='Inputs'!$H$45,'Inputs'!$B$27*'Inputs'!$I$45,0)</x:f>
        <x:v>0</x:v>
      </x:c>
      <x:c r="S610" s="78" t="n">
        <x:f>Q610+G610+R610</x:f>
        <x:v>528515.7217583045</x:v>
      </x:c>
      <x:c r="T610" s="78" t="n">
        <x:f>P610*(S610*(1-'Inputs'!$B$15))/(O610+S610*(1-'Inputs'!$B$15))</x:f>
        <x:v>4.866482051921752e-7</x:v>
      </x:c>
      <x:c r="U610" s="78" t="n">
        <x:f>O610+S610*(1-'Inputs'!$B$17)</x:f>
        <x:v>135491540868.60501</x:v>
      </x:c>
      <x:c r="V610" s="78" t="n">
        <x:f>P610-T610</x:f>
        <x:v>0.126017980379441</x:v>
      </x:c>
      <x:c r="W610" s="79" t="n">
        <x:f>IF(U610&gt;0,V610/U610,0)</x:f>
        <x:v>9.300800594012645e-13</x:v>
      </x:c>
      <x:c r="X610" s="80" t="n">
        <x:f>W610*('Inputs'!$B$6-AC610)</x:f>
        <x:v>-0.004411605755198556</x:v>
      </x:c>
      <x:c r="Y610" s="80" t="n">
        <x:f>2*V610</x:f>
        <x:v>0.252035960758882</x:v>
      </x:c>
      <x:c r="Z610" s="80" t="n">
        <x:f>K610*'Inputs'!$B$16+(G610+R610)*J610*'Inputs'!$B$16</x:f>
        <x:v>0.0007561137515603288</x:v>
      </x:c>
      <x:c r="AA610" s="80" t="n">
        <x:f>K610*(1+'Inputs'!$E$45)/2*'Inputs'!$B$17</x:f>
        <x:v>0.00024088036956994752</x:v>
      </x:c>
      <x:c r="AB610" s="78" t="n">
        <x:f>(IF(J610&gt;0,K610*(1-'Inputs'!$E$45)/2/J610,0)+G610+R610)*'Inputs'!$B$17</x:f>
        <x:v>2126.823830013298</x:v>
      </x:c>
      <x:c r="AC610" s="78" t="n">
        <x:f>AC609+AB610</x:f>
        <x:v>5743253777.571052</x:v>
      </x:c>
      <x:c r="AD610" s="80" t="n">
        <x:f>Z610/(1+'Inputs'!$C$45)</x:f>
        <x:v>0.0005040758343735526</x:v>
      </x:c>
      <x:c r="AE610" s="80" t="n">
        <x:f>Z610-AD610</x:f>
        <x:v>0.0002520379171867763</x:v>
      </x:c>
      <x:c r="AF610" s="80" t="n">
        <x:f>D610*W610</x:f>
        <x:v>2.525058715217663e-7</x:v>
      </x:c>
      <x:c r="AG610" s="80" t="n">
        <x:f>C610*W610</x:f>
        <x:v>4.418852751630737e-7</x:v>
      </x:c>
      <x:c r="AH610" s="80" t="n">
        <x:f>2*'Inputs'!$B$8*'Inputs'!$C$45</x:f>
        <x:v>2500</x:v>
      </x:c>
      <x:c r="AI610" s="81" t="n">
        <x:f>IF(AH610&gt;0,(AE610+AF610)/AH610*365,0)</x:f>
        <x:v>0.00003683440176651151</x:v>
      </x:c>
      <x:c r="AJ610" s="81" t="n">
        <x:f>IF('Inputs'!$B$45&gt;0,AG610/('Inputs'!$B$19*'Inputs'!$B$45)*365,0)</x:f>
        <x:v>2.1505083391269585e-8</x:v>
      </x:c>
      <x:c r="AK610" s="81" t="n">
        <x:f>W610/MAX($W$369:W610)-1</x:f>
        <x:v>-0.9999999987629161</x:v>
      </x:c>
      <x:c r="AL610" s="83" t="n">
        <x:f>'Inputs'!$B$45</x:f>
        <x:v>0.75</x:v>
      </x:c>
      <x:c r="AM610" s="83" t="n">
        <x:f>'Inputs'!$C$45</x:f>
        <x:v>0.5</x:v>
      </x:c>
      <x:c r="AN610" s="83" t="n">
        <x:f>'Inputs'!$D$45</x:f>
        <x:v>0.5</x:v>
      </x:c>
      <x:c r="AO610" s="81" t="n">
        <x:f>'Inputs'!$E$45</x:f>
        <x:v>-0.05</x:v>
      </x:c>
    </x:row>
    <x:row r="611">
      <x:c r="A611" s="59" t="str">
        <x:v>Weak demand</x:v>
      </x:c>
      <x:c r="B611" s="59" t="n">
        <x:v>243</x:v>
      </x:c>
      <x:c r="C611" s="78" t="n">
        <x:f>(('Inputs'!$B$29*(3*243*'Inputs'!$B$12-243^2)/(2*'Inputs'!$B$12^2))-('Inputs'!$B$29*(3*242*'Inputs'!$B$12-242^2)/(2*'Inputs'!$B$12^2)))*'Inputs'!$B$45</x:f>
        <x:v>474860.7266841978</x:v>
      </x:c>
      <x:c r="D611" s="78" t="n">
        <x:f>IF('Inputs'!$C$45&gt;0,('Inputs'!$B$30*(3*243*'Inputs'!$B$12-243^2)/(2*'Inputs'!$B$12^2))-('Inputs'!$B$30*(3*242*'Inputs'!$B$12-242^2)/(2*'Inputs'!$B$12^2)),0)</x:f>
        <x:v>271348.98667666316</x:v>
      </x:c>
      <x:c r="E611" s="78" t="n">
        <x:f>C611+D611</x:f>
        <x:v>746209.713360861</x:v>
      </x:c>
      <x:c r="F611" s="78" t="n">
        <x:f>'Inputs'!$B$13*E611+(1-'Inputs'!$B$13)/'Inputs'!$B$14*SUM(E556:E611)</x:f>
        <x:v>754639.2967723787</x:v>
      </x:c>
      <x:c r="G611" s="78" t="n">
        <x:f>F611*'Inputs'!$F$45</x:f>
        <x:v>528247.5077406651</x:v>
      </x:c>
      <x:c r="H611" s="78" t="n">
        <x:f>U610</x:f>
        <x:v>135491540868.60501</x:v>
      </x:c>
      <x:c r="I611" s="78" t="n">
        <x:f>V610</x:f>
        <x:v>0.126017980379441</x:v>
      </x:c>
      <x:c r="J611" s="79" t="n">
        <x:f>IF(H611&gt;0,I611/H611,0)</x:f>
        <x:v>9.300800594012645e-13</x:v>
      </x:c>
      <x:c r="K611" s="80" t="n">
        <x:f>(H611*J611+I611)*'Inputs'!$D$45*(1+'Inputs'!$G$45)^(B611/30)</x:f>
        <x:v>0.126017980379441</x:v>
      </x:c>
      <x:c r="L611" s="80" t="n">
        <x:f>MAX(0,K611*'Inputs'!$E$45)</x:f>
        <x:v>0</x:v>
      </x:c>
      <x:c r="M611" s="80" t="n">
        <x:f>MAX(0,-K611*'Inputs'!$E$45)</x:f>
        <x:v>0.006300899018972051</x:v>
      </x:c>
      <x:c r="N611" s="78" t="n">
        <x:f>H611*(L611*(1-'Inputs'!$B$15))/(I611+L611*(1-'Inputs'!$B$15))</x:f>
        <x:v>0</x:v>
      </x:c>
      <x:c r="O611" s="78" t="n">
        <x:f>H611-N611</x:f>
        <x:v>135491540868.60501</x:v>
      </x:c>
      <x:c r="P611" s="78" t="n">
        <x:f>I611+L611*(1-'Inputs'!$B$17)</x:f>
        <x:v>0.126017980379441</x:v>
      </x:c>
      <x:c r="Q611" s="78" t="n">
        <x:f>IF(J611&gt;0,M611/J611,0)</x:f>
        <x:v>0</x:v>
      </x:c>
      <x:c r="R611" s="78" t="n">
        <x:f>IF(B611='Inputs'!$H$45,'Inputs'!$B$27*'Inputs'!$I$45,0)</x:f>
        <x:v>0</x:v>
      </x:c>
      <x:c r="S611" s="78" t="n">
        <x:f>Q611+G611+R611</x:f>
        <x:v>528247.5077406651</x:v>
      </x:c>
      <x:c r="T611" s="78" t="n">
        <x:f>P611*(S611*(1-'Inputs'!$B$15))/(O611+S611*(1-'Inputs'!$B$15))</x:f>
        <x:v>4.863974712659956e-7</x:v>
      </x:c>
      <x:c r="U611" s="78" t="n">
        <x:f>O611+S611*(1-'Inputs'!$B$17)</x:f>
        <x:v>135492066990.36826</x:v>
      </x:c>
      <x:c r="V611" s="78" t="n">
        <x:f>P611-T611</x:f>
        <x:v>0.12601749398196974</x:v>
      </x:c>
      <x:c r="W611" s="79" t="n">
        <x:f>IF(U611&gt;0,V611/U611,0)</x:f>
        <x:v>9.300728579993393e-13</x:v>
      </x:c>
      <x:c r="X611" s="80" t="n">
        <x:f>W611*('Inputs'!$B$6-AC611)</x:f>
        <x:v>-0.004411573574218931</x:v>
      </x:c>
      <x:c r="Y611" s="80" t="n">
        <x:f>2*V611</x:f>
        <x:v>0.25203498796393947</x:v>
      </x:c>
      <x:c r="Z611" s="80" t="n">
        <x:f>K611*'Inputs'!$B$16+(G611+R611)*J611*'Inputs'!$B$16</x:f>
        <x:v>0.0007561108301514863</x:v>
      </x:c>
      <x:c r="AA611" s="80" t="n">
        <x:f>K611*(1+'Inputs'!$E$45)/2*'Inputs'!$B$17</x:f>
        <x:v>0.0002408794393570804</x:v>
      </x:c>
      <x:c r="AB611" s="78" t="n">
        <x:f>(IF(J611&gt;0,K611*(1-'Inputs'!$E$45)/2/J611,0)+G611+R611)*'Inputs'!$B$17</x:f>
        <x:v>2125.744497950363</x:v>
      </x:c>
      <x:c r="AC611" s="78" t="n">
        <x:f>AC610+AB611</x:f>
        <x:v>5743255903.31555</x:v>
      </x:c>
      <x:c r="AD611" s="80" t="n">
        <x:f>Z611/(1+'Inputs'!$C$45)</x:f>
        <x:v>0.0005040738867676575</x:v>
      </x:c>
      <x:c r="AE611" s="80" t="n">
        <x:f>Z611-AD611</x:f>
        <x:v>0.0002520369433838288</x:v>
      </x:c>
      <x:c r="AF611" s="80" t="n">
        <x:f>D611*W611</x:f>
        <x:v>2.5237432755358876e-7</x:v>
      </x:c>
      <x:c r="AG611" s="80" t="n">
        <x:f>C611*W611</x:f>
        <x:v>4.4165507321881494e-7</x:v>
      </x:c>
      <x:c r="AH611" s="80" t="n">
        <x:f>2*'Inputs'!$B$8*'Inputs'!$C$45</x:f>
        <x:v>2500</x:v>
      </x:c>
      <x:c r="AI611" s="81" t="n">
        <x:f>IF(AH611&gt;0,(AE611+AF611)/AH611*365,0)</x:f>
        <x:v>0.00003683424038586184</x:v>
      </x:c>
      <x:c r="AJ611" s="81" t="n">
        <x:f>IF('Inputs'!$B$45&gt;0,AG611/('Inputs'!$B$19*'Inputs'!$B$45)*365,0)</x:f>
        <x:v>2.1493880229982328e-8</x:v>
      </x:c>
      <x:c r="AK611" s="81" t="n">
        <x:f>W611/MAX($W$369:W611)-1</x:f>
        <x:v>-0.9999999987629257</x:v>
      </x:c>
      <x:c r="AL611" s="83" t="n">
        <x:f>'Inputs'!$B$45</x:f>
        <x:v>0.75</x:v>
      </x:c>
      <x:c r="AM611" s="83" t="n">
        <x:f>'Inputs'!$C$45</x:f>
        <x:v>0.5</x:v>
      </x:c>
      <x:c r="AN611" s="83" t="n">
        <x:f>'Inputs'!$D$45</x:f>
        <x:v>0.5</x:v>
      </x:c>
      <x:c r="AO611" s="81" t="n">
        <x:f>'Inputs'!$E$45</x:f>
        <x:v>-0.05</x:v>
      </x:c>
    </x:row>
    <x:row r="612">
      <x:c r="A612" s="59" t="str">
        <x:v>Weak demand</x:v>
      </x:c>
      <x:c r="B612" s="59" t="n">
        <x:v>244</x:v>
      </x:c>
      <x:c r="C612" s="78" t="n">
        <x:f>(('Inputs'!$B$29*(3*244*'Inputs'!$B$12-244^2)/(2*'Inputs'!$B$12^2))-('Inputs'!$B$29*(3*243*'Inputs'!$B$12-243^2)/(2*'Inputs'!$B$12^2)))*'Inputs'!$B$45</x:f>
        <x:v>474616.8957590461</x:v>
      </x:c>
      <x:c r="D612" s="78" t="n">
        <x:f>IF('Inputs'!$C$45&gt;0,('Inputs'!$B$30*(3*244*'Inputs'!$B$12-244^2)/(2*'Inputs'!$B$12^2))-('Inputs'!$B$30*(3*243*'Inputs'!$B$12-243^2)/(2*'Inputs'!$B$12^2)),0)</x:f>
        <x:v>271209.65471947193</x:v>
      </x:c>
      <x:c r="E612" s="78" t="n">
        <x:f>C612+D612</x:f>
        <x:v>745826.550478518</x:v>
      </x:c>
      <x:c r="F612" s="78" t="n">
        <x:f>'Inputs'!$B$13*E612+(1-'Inputs'!$B$13)/'Inputs'!$B$14*SUM(E557:E612)</x:f>
        <x:v>754256.1338900365</x:v>
      </x:c>
      <x:c r="G612" s="78" t="n">
        <x:f>F612*'Inputs'!$F$45</x:f>
        <x:v>527979.2937230255</x:v>
      </x:c>
      <x:c r="H612" s="78" t="n">
        <x:f>U611</x:f>
        <x:v>135492066990.36826</x:v>
      </x:c>
      <x:c r="I612" s="78" t="n">
        <x:f>V611</x:f>
        <x:v>0.12601749398196974</x:v>
      </x:c>
      <x:c r="J612" s="79" t="n">
        <x:f>IF(H612&gt;0,I612/H612,0)</x:f>
        <x:v>9.300728579993393e-13</x:v>
      </x:c>
      <x:c r="K612" s="80" t="n">
        <x:f>(H612*J612+I612)*'Inputs'!$D$45*(1+'Inputs'!$G$45)^(B612/30)</x:f>
        <x:v>0.12601749398196974</x:v>
      </x:c>
      <x:c r="L612" s="80" t="n">
        <x:f>MAX(0,K612*'Inputs'!$E$45)</x:f>
        <x:v>0</x:v>
      </x:c>
      <x:c r="M612" s="80" t="n">
        <x:f>MAX(0,-K612*'Inputs'!$E$45)</x:f>
        <x:v>0.006300874699098487</x:v>
      </x:c>
      <x:c r="N612" s="78" t="n">
        <x:f>H612*(L612*(1-'Inputs'!$B$15))/(I612+L612*(1-'Inputs'!$B$15))</x:f>
        <x:v>0</x:v>
      </x:c>
      <x:c r="O612" s="78" t="n">
        <x:f>H612-N612</x:f>
        <x:v>135492066990.36826</x:v>
      </x:c>
      <x:c r="P612" s="78" t="n">
        <x:f>I612+L612*(1-'Inputs'!$B$17)</x:f>
        <x:v>0.12601749398196974</x:v>
      </x:c>
      <x:c r="Q612" s="78" t="n">
        <x:f>IF(J612&gt;0,M612/J612,0)</x:f>
        <x:v>0</x:v>
      </x:c>
      <x:c r="R612" s="78" t="n">
        <x:f>IF(B612='Inputs'!$H$45,'Inputs'!$B$27*'Inputs'!$I$45,0)</x:f>
        <x:v>0</x:v>
      </x:c>
      <x:c r="S612" s="78" t="n">
        <x:f>Q612+G612+R612</x:f>
        <x:v>527979.2937230255</x:v>
      </x:c>
      <x:c r="T612" s="78" t="n">
        <x:f>P612*(S612*(1-'Inputs'!$B$15))/(O612+S612*(1-'Inputs'!$B$15))</x:f>
        <x:v>4.861467431202082e-7</x:v>
      </x:c>
      <x:c r="U612" s="78" t="n">
        <x:f>O612+S612*(1-'Inputs'!$B$17)</x:f>
        <x:v>135492592844.99681</x:v>
      </x:c>
      <x:c r="V612" s="78" t="n">
        <x:f>P612-T612</x:f>
        <x:v>0.12601700783522662</x:v>
      </x:c>
      <x:c r="W612" s="79" t="n">
        <x:f>IF(U612&gt;0,V612/U612,0)</x:f>
        <x:v>9.300656603375342e-13</x:v>
      </x:c>
      <x:c r="X612" s="80" t="n">
        <x:f>W612*('Inputs'!$B$6-AC612)</x:f>
        <x:v>-0.004411541409945195</x:v>
      </x:c>
      <x:c r="Y612" s="80" t="n">
        <x:f>2*V612</x:f>
        <x:v>0.25203401567045325</x:v>
      </x:c>
      <x:c r="Z612" s="80" t="n">
        <x:f>K612*'Inputs'!$B$16+(G612+R612)*J612*'Inputs'!$B$16</x:f>
        <x:v>0.0007561079102470825</x:v>
      </x:c>
      <x:c r="AA612" s="80" t="n">
        <x:f>K612*(1+'Inputs'!$E$45)/2*'Inputs'!$B$17</x:f>
        <x:v>0.0002408785096234834</x:v>
      </x:c>
      <x:c r="AB612" s="78" t="n">
        <x:f>(IF(J612&gt;0,K612*(1-'Inputs'!$E$45)/2/J612,0)+G612+R612)*'Inputs'!$B$17</x:f>
        <x:v>2124.6651658874266</x:v>
      </x:c>
      <x:c r="AC612" s="78" t="n">
        <x:f>AC611+AB612</x:f>
        <x:v>5743258027.980716</x:v>
      </x:c>
      <x:c r="AD612" s="80" t="n">
        <x:f>Z612/(1+'Inputs'!$C$45)</x:f>
        <x:v>0.0005040719401647216</x:v>
      </x:c>
      <x:c r="AE612" s="80" t="n">
        <x:f>Z612-AD612</x:f>
        <x:v>0.00025203597008236086</x:v>
      </x:c>
      <x:c r="AF612" s="80" t="n">
        <x:f>D612*W612</x:f>
        <x:v>2.5224278660658034e-7</x:v>
      </x:c>
      <x:c r="AG612" s="80" t="n">
        <x:f>C612*W612</x:f>
        <x:v>4.414248765614878e-7</x:v>
      </x:c>
      <x:c r="AH612" s="80" t="n">
        <x:f>2*'Inputs'!$B$8*'Inputs'!$C$45</x:f>
        <x:v>2500</x:v>
      </x:c>
      <x:c r="AI612" s="81" t="n">
        <x:f>IF(AH612&gt;0,(AE612+AF612)/AH612*365,0)</x:f>
        <x:v>0.000036834079078869246</x:v>
      </x:c>
      <x:c r="AJ612" s="81" t="n">
        <x:f>IF('Inputs'!$B$45&gt;0,AG612/('Inputs'!$B$19*'Inputs'!$B$45)*365,0)</x:f>
        <x:v>2.1482677325992406e-8</x:v>
      </x:c>
      <x:c r="AK612" s="81" t="n">
        <x:f>W612/MAX($W$369:W612)-1</x:f>
        <x:v>-0.9999999987629352</x:v>
      </x:c>
      <x:c r="AL612" s="83" t="n">
        <x:f>'Inputs'!$B$45</x:f>
        <x:v>0.75</x:v>
      </x:c>
      <x:c r="AM612" s="83" t="n">
        <x:f>'Inputs'!$C$45</x:f>
        <x:v>0.5</x:v>
      </x:c>
      <x:c r="AN612" s="83" t="n">
        <x:f>'Inputs'!$D$45</x:f>
        <x:v>0.5</x:v>
      </x:c>
      <x:c r="AO612" s="81" t="n">
        <x:f>'Inputs'!$E$45</x:f>
        <x:v>-0.05</x:v>
      </x:c>
    </x:row>
    <x:row r="613">
      <x:c r="A613" s="59" t="str">
        <x:v>Weak demand</x:v>
      </x:c>
      <x:c r="B613" s="59" t="n">
        <x:v>245</x:v>
      </x:c>
      <x:c r="C613" s="78" t="n">
        <x:f>(('Inputs'!$B$29*(3*245*'Inputs'!$B$12-245^2)/(2*'Inputs'!$B$12^2))-('Inputs'!$B$29*(3*244*'Inputs'!$B$12-244^2)/(2*'Inputs'!$B$12^2)))*'Inputs'!$B$45</x:f>
        <x:v>474373.0648339391</x:v>
      </x:c>
      <x:c r="D613" s="78" t="n">
        <x:f>IF('Inputs'!$C$45&gt;0,('Inputs'!$B$30*(3*245*'Inputs'!$B$12-245^2)/(2*'Inputs'!$B$12^2))-('Inputs'!$B$30*(3*244*'Inputs'!$B$12-244^2)/(2*'Inputs'!$B$12^2)),0)</x:f>
        <x:v>271070.322762236</x:v>
      </x:c>
      <x:c r="E613" s="78" t="n">
        <x:f>C613+D613</x:f>
        <x:v>745443.3875961751</x:v>
      </x:c>
      <x:c r="F613" s="78" t="n">
        <x:f>'Inputs'!$B$13*E613+(1-'Inputs'!$B$13)/'Inputs'!$B$14*SUM(E558:E613)</x:f>
        <x:v>753872.9710076947</x:v>
      </x:c>
      <x:c r="G613" s="78" t="n">
        <x:f>F613*'Inputs'!$F$45</x:f>
        <x:v>527711.0797053863</x:v>
      </x:c>
      <x:c r="H613" s="78" t="n">
        <x:f>U612</x:f>
        <x:v>135492592844.99681</x:v>
      </x:c>
      <x:c r="I613" s="78" t="n">
        <x:f>V612</x:f>
        <x:v>0.12601700783522662</x:v>
      </x:c>
      <x:c r="J613" s="79" t="n">
        <x:f>IF(H613&gt;0,I613/H613,0)</x:f>
        <x:v>9.300656603375342e-13</x:v>
      </x:c>
      <x:c r="K613" s="80" t="n">
        <x:f>(H613*J613+I613)*'Inputs'!$D$45*(1+'Inputs'!$G$45)^(B613/30)</x:f>
        <x:v>0.12601700783522662</x:v>
      </x:c>
      <x:c r="L613" s="80" t="n">
        <x:f>MAX(0,K613*'Inputs'!$E$45)</x:f>
        <x:v>0</x:v>
      </x:c>
      <x:c r="M613" s="80" t="n">
        <x:f>MAX(0,-K613*'Inputs'!$E$45)</x:f>
        <x:v>0.006300850391761332</x:v>
      </x:c>
      <x:c r="N613" s="78" t="n">
        <x:f>H613*(L613*(1-'Inputs'!$B$15))/(I613+L613*(1-'Inputs'!$B$15))</x:f>
        <x:v>0</x:v>
      </x:c>
      <x:c r="O613" s="78" t="n">
        <x:f>H613-N613</x:f>
        <x:v>135492592844.99681</x:v>
      </x:c>
      <x:c r="P613" s="78" t="n">
        <x:f>I613+L613*(1-'Inputs'!$B$17)</x:f>
        <x:v>0.12601700783522662</x:v>
      </x:c>
      <x:c r="Q613" s="78" t="n">
        <x:f>IF(J613&gt;0,M613/J613,0)</x:f>
        <x:v>0</x:v>
      </x:c>
      <x:c r="R613" s="78" t="n">
        <x:f>IF(B613='Inputs'!$H$45,'Inputs'!$B$27*'Inputs'!$I$45,0)</x:f>
        <x:v>0</x:v>
      </x:c>
      <x:c r="S613" s="78" t="n">
        <x:f>Q613+G613+R613</x:f>
        <x:v>527711.0797053863</x:v>
      </x:c>
      <x:c r="T613" s="78" t="n">
        <x:f>P613*(S613*(1-'Inputs'!$B$15))/(O613+S613*(1-'Inputs'!$B$15))</x:f>
        <x:v>4.85896020751767e-7</x:v>
      </x:c>
      <x:c r="U613" s="78" t="n">
        <x:f>O613+S613*(1-'Inputs'!$B$17)</x:f>
        <x:v>135493118432.49068</x:v>
      </x:c>
      <x:c r="V613" s="78" t="n">
        <x:f>P613-T613</x:f>
        <x:v>0.12601652193920587</x:v>
      </x:c>
      <x:c r="W613" s="79" t="n">
        <x:f>IF(U613&gt;0,V613/U613,0)</x:f>
        <x:v>9.300584664157204e-13</x:v>
      </x:c>
      <x:c r="X613" s="80" t="n">
        <x:f>W613*('Inputs'!$B$6-AC613)</x:f>
        <x:v>-0.004411509262376783</x:v>
      </x:c>
      <x:c r="Y613" s="80" t="n">
        <x:f>2*V613</x:f>
        <x:v>0.25203304387841174</x:v>
      </x:c>
      <x:c r="Z613" s="80" t="n">
        <x:f>K613*'Inputs'!$B$16+(G613+R613)*J613*'Inputs'!$B$16</x:f>
        <x:v>0.0007561049918470827</x:v>
      </x:c>
      <x:c r="AA613" s="80" t="n">
        <x:f>K613*(1+'Inputs'!$E$45)/2*'Inputs'!$B$17</x:f>
        <x:v>0.00024087758036914545</x:v>
      </x:c>
      <x:c r="AB613" s="78" t="n">
        <x:f>(IF(J613&gt;0,K613*(1-'Inputs'!$E$45)/2/J613,0)+G613+R613)*'Inputs'!$B$17</x:f>
        <x:v>2123.5858338244925</x:v>
      </x:c>
      <x:c r="AC613" s="78" t="n">
        <x:f>AC612+AB613</x:f>
        <x:v>5743260151.566549</x:v>
      </x:c>
      <x:c r="AD613" s="80" t="n">
        <x:f>Z613/(1+'Inputs'!$C$45)</x:f>
        <x:v>0.0005040699945647218</x:v>
      </x:c>
      <x:c r="AE613" s="80" t="n">
        <x:f>Z613-AD613</x:f>
        <x:v>0.0002520349972823609</x:v>
      </x:c>
      <x:c r="AF613" s="80" t="n">
        <x:f>D613*W613</x:f>
        <x:v>2.5211124867905956e-7</x:v>
      </x:c>
      <x:c r="AG613" s="80" t="n">
        <x:f>C613*W613</x:f>
        <x:v>4.411946851883785e-7</x:v>
      </x:c>
      <x:c r="AH613" s="80" t="n">
        <x:f>2*'Inputs'!$B$8*'Inputs'!$C$45</x:f>
        <x:v>2500</x:v>
      </x:c>
      <x:c r="AI613" s="81" t="n">
        <x:f>IF(AH613&gt;0,(AE613+AF613)/AH613*365,0)</x:f>
        <x:v>0.000036833917845531835</x:v>
      </x:c>
      <x:c r="AJ613" s="81" t="n">
        <x:f>IF('Inputs'!$B$45&gt;0,AG613/('Inputs'!$B$19*'Inputs'!$B$45)*365,0)</x:f>
        <x:v>2.1471474679167752e-8</x:v>
      </x:c>
      <x:c r="AK613" s="81" t="n">
        <x:f>W613/MAX($W$369:W613)-1</x:f>
        <x:v>-0.9999999987629449</x:v>
      </x:c>
      <x:c r="AL613" s="83" t="n">
        <x:f>'Inputs'!$B$45</x:f>
        <x:v>0.75</x:v>
      </x:c>
      <x:c r="AM613" s="83" t="n">
        <x:f>'Inputs'!$C$45</x:f>
        <x:v>0.5</x:v>
      </x:c>
      <x:c r="AN613" s="83" t="n">
        <x:f>'Inputs'!$D$45</x:f>
        <x:v>0.5</x:v>
      </x:c>
      <x:c r="AO613" s="81" t="n">
        <x:f>'Inputs'!$E$45</x:f>
        <x:v>-0.05</x:v>
      </x:c>
    </x:row>
    <x:row r="614">
      <x:c r="A614" s="59" t="str">
        <x:v>Weak demand</x:v>
      </x:c>
      <x:c r="B614" s="59" t="n">
        <x:v>246</x:v>
      </x:c>
      <x:c r="C614" s="78" t="n">
        <x:f>(('Inputs'!$B$29*(3*246*'Inputs'!$B$12-246^2)/(2*'Inputs'!$B$12^2))-('Inputs'!$B$29*(3*245*'Inputs'!$B$12-245^2)/(2*'Inputs'!$B$12^2)))*'Inputs'!$B$45</x:f>
        <x:v>474129.23390878737</x:v>
      </x:c>
      <x:c r="D614" s="78" t="n">
        <x:f>IF('Inputs'!$C$45&gt;0,('Inputs'!$B$30*(3*246*'Inputs'!$B$12-246^2)/(2*'Inputs'!$B$12^2))-('Inputs'!$B$30*(3*245*'Inputs'!$B$12-245^2)/(2*'Inputs'!$B$12^2)),0)</x:f>
        <x:v>270930.99080502987</x:v>
      </x:c>
      <x:c r="E614" s="78" t="n">
        <x:f>C614+D614</x:f>
        <x:v>745060.2247138172</x:v>
      </x:c>
      <x:c r="F614" s="78" t="n">
        <x:f>'Inputs'!$B$13*E614+(1-'Inputs'!$B$13)/'Inputs'!$B$14*SUM(E559:E614)</x:f>
        <x:v>753489.8081253492</x:v>
      </x:c>
      <x:c r="G614" s="78" t="n">
        <x:f>F614*'Inputs'!$F$45</x:f>
        <x:v>527442.8656877445</x:v>
      </x:c>
      <x:c r="H614" s="78" t="n">
        <x:f>U613</x:f>
        <x:v>135493118432.49068</x:v>
      </x:c>
      <x:c r="I614" s="78" t="n">
        <x:f>V613</x:f>
        <x:v>0.12601652193920587</x:v>
      </x:c>
      <x:c r="J614" s="79" t="n">
        <x:f>IF(H614&gt;0,I614/H614,0)</x:f>
        <x:v>9.300584664157204e-13</x:v>
      </x:c>
      <x:c r="K614" s="80" t="n">
        <x:f>(H614*J614+I614)*'Inputs'!$D$45*(1+'Inputs'!$G$45)^(B614/30)</x:f>
        <x:v>0.12601652193920587</x:v>
      </x:c>
      <x:c r="L614" s="80" t="n">
        <x:f>MAX(0,K614*'Inputs'!$E$45)</x:f>
        <x:v>0</x:v>
      </x:c>
      <x:c r="M614" s="80" t="n">
        <x:f>MAX(0,-K614*'Inputs'!$E$45)</x:f>
        <x:v>0.006300826096960294</x:v>
      </x:c>
      <x:c r="N614" s="78" t="n">
        <x:f>H614*(L614*(1-'Inputs'!$B$15))/(I614+L614*(1-'Inputs'!$B$15))</x:f>
        <x:v>0</x:v>
      </x:c>
      <x:c r="O614" s="78" t="n">
        <x:f>H614-N614</x:f>
        <x:v>135493118432.49068</x:v>
      </x:c>
      <x:c r="P614" s="78" t="n">
        <x:f>I614+L614*(1-'Inputs'!$B$17)</x:f>
        <x:v>0.12601652193920587</x:v>
      </x:c>
      <x:c r="Q614" s="78" t="n">
        <x:f>IF(J614&gt;0,M614/J614,0)</x:f>
        <x:v>0</x:v>
      </x:c>
      <x:c r="R614" s="78" t="n">
        <x:f>IF(B614='Inputs'!$H$45,'Inputs'!$B$27*'Inputs'!$I$45,0)</x:f>
        <x:v>0</x:v>
      </x:c>
      <x:c r="S614" s="78" t="n">
        <x:f>Q614+G614+R614</x:f>
        <x:v>527442.8656877445</x:v>
      </x:c>
      <x:c r="T614" s="78" t="n">
        <x:f>P614*(S614*(1-'Inputs'!$B$15))/(O614+S614*(1-'Inputs'!$B$15))</x:f>
        <x:v>4.856453041576223e-7</x:v>
      </x:c>
      <x:c r="U614" s="78" t="n">
        <x:f>O614+S614*(1-'Inputs'!$B$17)</x:f>
        <x:v>135493643752.84987</x:v>
      </x:c>
      <x:c r="V614" s="78" t="n">
        <x:f>P614-T614</x:f>
        <x:v>0.1260160362939017</x:v>
      </x:c>
      <x:c r="W614" s="79" t="n">
        <x:f>IF(U614&gt;0,V614/U614,0)</x:f>
        <x:v>9.300512762337694e-13</x:v>
      </x:c>
      <x:c r="X614" s="80" t="n">
        <x:f>W614*('Inputs'!$B$6-AC614)</x:f>
        <x:v>-0.0044114771315131324</x:v>
      </x:c>
      <x:c r="Y614" s="80" t="n">
        <x:f>2*V614</x:f>
        <x:v>0.2520320725878034</x:v>
      </x:c>
      <x:c r="Z614" s="80" t="n">
        <x:f>K614*'Inputs'!$B$16+(G614+R614)*J614*'Inputs'!$B$16</x:f>
        <x:v>0.000756102074951452</x:v>
      </x:c>
      <x:c r="AA614" s="80" t="n">
        <x:f>K614*(1+'Inputs'!$E$45)/2*'Inputs'!$B$17</x:f>
        <x:v>0.00024087665159405552</x:v>
      </x:c>
      <x:c r="AB614" s="78" t="n">
        <x:f>(IF(J614&gt;0,K614*(1-'Inputs'!$E$45)/2/J614,0)+G614+R614)*'Inputs'!$B$17</x:f>
        <x:v>2122.5065017615475</x:v>
      </x:c>
      <x:c r="AC614" s="78" t="n">
        <x:f>AC613+AB614</x:f>
        <x:v>5743262274.073051</x:v>
      </x:c>
      <x:c r="AD614" s="80" t="n">
        <x:f>Z614/(1+'Inputs'!$C$45)</x:f>
        <x:v>0.0005040680499676346</x:v>
      </x:c>
      <x:c r="AE614" s="80" t="n">
        <x:f>Z614-AD614</x:f>
        <x:v>0.00025203402498381736</x:v>
      </x:c>
      <x:c r="AF614" s="80" t="n">
        <x:f>D614*W614</x:f>
        <x:v>2.5197971376949764e-7</x:v>
      </x:c>
      <x:c r="AG614" s="80" t="n">
        <x:f>C614*W614</x:f>
        <x:v>4.4096449909660703e-7</x:v>
      </x:c>
      <x:c r="AH614" s="80" t="n">
        <x:f>2*'Inputs'!$B$8*'Inputs'!$C$45</x:f>
        <x:v>2500</x:v>
      </x:c>
      <x:c r="AI614" s="81" t="n">
        <x:f>IF(AH614&gt;0,(AE614+AF614)/AH614*365,0)</x:f>
        <x:v>0.000036833756685847686</x:v>
      </x:c>
      <x:c r="AJ614" s="81" t="n">
        <x:f>IF('Inputs'!$B$45&gt;0,AG614/('Inputs'!$B$19*'Inputs'!$B$45)*365,0)</x:f>
        <x:v>2.146027228936821e-8</x:v>
      </x:c>
      <x:c r="AK614" s="81" t="n">
        <x:f>W614/MAX($W$369:W614)-1</x:f>
        <x:v>-0.9999999987629544</x:v>
      </x:c>
      <x:c r="AL614" s="83" t="n">
        <x:f>'Inputs'!$B$45</x:f>
        <x:v>0.75</x:v>
      </x:c>
      <x:c r="AM614" s="83" t="n">
        <x:f>'Inputs'!$C$45</x:f>
        <x:v>0.5</x:v>
      </x:c>
      <x:c r="AN614" s="83" t="n">
        <x:f>'Inputs'!$D$45</x:f>
        <x:v>0.5</x:v>
      </x:c>
      <x:c r="AO614" s="81" t="n">
        <x:f>'Inputs'!$E$45</x:f>
        <x:v>-0.05</x:v>
      </x:c>
    </x:row>
    <x:row r="615">
      <x:c r="A615" s="59" t="str">
        <x:v>Weak demand</x:v>
      </x:c>
      <x:c r="B615" s="59" t="n">
        <x:v>247</x:v>
      </x:c>
      <x:c r="C615" s="78" t="n">
        <x:f>(('Inputs'!$B$29*(3*247*'Inputs'!$B$12-247^2)/(2*'Inputs'!$B$12^2))-('Inputs'!$B$29*(3*246*'Inputs'!$B$12-246^2)/(2*'Inputs'!$B$12^2)))*'Inputs'!$B$45</x:f>
        <x:v>473885.40298368037</x:v>
      </x:c>
      <x:c r="D615" s="78" t="n">
        <x:f>IF('Inputs'!$C$45&gt;0,('Inputs'!$B$30*(3*247*'Inputs'!$B$12-247^2)/(2*'Inputs'!$B$12^2))-('Inputs'!$B$30*(3*246*'Inputs'!$B$12-246^2)/(2*'Inputs'!$B$12^2)),0)</x:f>
        <x:v>270791.65884780884</x:v>
      </x:c>
      <x:c r="E615" s="78" t="n">
        <x:f>C615+D615</x:f>
        <x:v>744677.0618314892</x:v>
      </x:c>
      <x:c r="F615" s="78" t="n">
        <x:f>'Inputs'!$B$13*E615+(1-'Inputs'!$B$13)/'Inputs'!$B$14*SUM(E560:E615)</x:f>
        <x:v>753106.6452430103</x:v>
      </x:c>
      <x:c r="G615" s="78" t="n">
        <x:f>F615*'Inputs'!$F$45</x:f>
        <x:v>527174.6516701072</x:v>
      </x:c>
      <x:c r="H615" s="78" t="n">
        <x:f>U614</x:f>
        <x:v>135493643752.84987</x:v>
      </x:c>
      <x:c r="I615" s="78" t="n">
        <x:f>V614</x:f>
        <x:v>0.1260160362939017</x:v>
      </x:c>
      <x:c r="J615" s="79" t="n">
        <x:f>IF(H615&gt;0,I615/H615,0)</x:f>
        <x:v>9.300512762337694e-13</x:v>
      </x:c>
      <x:c r="K615" s="80" t="n">
        <x:f>(H615*J615+I615)*'Inputs'!$D$45*(1+'Inputs'!$G$45)^(B615/30)</x:f>
        <x:v>0.1260160362939017</x:v>
      </x:c>
      <x:c r="L615" s="80" t="n">
        <x:f>MAX(0,K615*'Inputs'!$E$45)</x:f>
        <x:v>0</x:v>
      </x:c>
      <x:c r="M615" s="80" t="n">
        <x:f>MAX(0,-K615*'Inputs'!$E$45)</x:f>
        <x:v>0.006300801814695086</x:v>
      </x:c>
      <x:c r="N615" s="78" t="n">
        <x:f>H615*(L615*(1-'Inputs'!$B$15))/(I615+L615*(1-'Inputs'!$B$15))</x:f>
        <x:v>0</x:v>
      </x:c>
      <x:c r="O615" s="78" t="n">
        <x:f>H615-N615</x:f>
        <x:v>135493643752.84987</x:v>
      </x:c>
      <x:c r="P615" s="78" t="n">
        <x:f>I615+L615*(1-'Inputs'!$B$17)</x:f>
        <x:v>0.1260160362939017</x:v>
      </x:c>
      <x:c r="Q615" s="78" t="n">
        <x:f>IF(J615&gt;0,M615/J615,0)</x:f>
        <x:v>0</x:v>
      </x:c>
      <x:c r="R615" s="78" t="n">
        <x:f>IF(B615='Inputs'!$H$45,'Inputs'!$B$27*'Inputs'!$I$45,0)</x:f>
        <x:v>0</x:v>
      </x:c>
      <x:c r="S615" s="78" t="n">
        <x:f>Q615+G615+R615</x:f>
        <x:v>527174.6516701072</x:v>
      </x:c>
      <x:c r="T615" s="78" t="n">
        <x:f>P615*(S615*(1-'Inputs'!$B$15))/(O615+S615*(1-'Inputs'!$B$15))</x:f>
        <x:v>4.853945933347345e-7</x:v>
      </x:c>
      <x:c r="U615" s="78" t="n">
        <x:f>O615+S615*(1-'Inputs'!$B$17)</x:f>
        <x:v>135494168806.07437</x:v>
      </x:c>
      <x:c r="V615" s="78" t="n">
        <x:f>P615-T615</x:f>
        <x:v>0.12601555089930838</x:v>
      </x:c>
      <x:c r="W615" s="79" t="n">
        <x:f>IF(U615&gt;0,V615/U615,0)</x:f>
        <x:v>9.300440897915523e-13</x:v>
      </x:c>
      <x:c r="X615" s="80" t="n">
        <x:f>W615*('Inputs'!$B$6-AC615)</x:f>
        <x:v>-0.004411445017353681</x:v>
      </x:c>
      <x:c r="Y615" s="80" t="n">
        <x:f>2*V615</x:f>
        <x:v>0.25203110179861676</x:v>
      </x:c>
      <x:c r="Z615" s="80" t="n">
        <x:f>K615*'Inputs'!$B$16+(G615+R615)*J615*'Inputs'!$B$16</x:f>
        <x:v>0.0007560991595601558</x:v>
      </x:c>
      <x:c r="AA615" s="80" t="n">
        <x:f>K615*(1+'Inputs'!$E$45)/2*'Inputs'!$B$17</x:f>
        <x:v>0.00024087572329820246</x:v>
      </x:c>
      <x:c r="AB615" s="78" t="n">
        <x:f>(IF(J615&gt;0,K615*(1-'Inputs'!$E$45)/2/J615,0)+G615+R615)*'Inputs'!$B$17</x:f>
        <x:v>2121.4271696986207</x:v>
      </x:c>
      <x:c r="AC615" s="78" t="n">
        <x:f>AC614+AB615</x:f>
        <x:v>5743264395.500221</x:v>
      </x:c>
      <x:c r="AD615" s="80" t="n">
        <x:f>Z615/(1+'Inputs'!$C$45)</x:f>
        <x:v>0.0005040661063734371</x:v>
      </x:c>
      <x:c r="AE615" s="80" t="n">
        <x:f>Z615-AD615</x:f>
        <x:v>0.0002520330531867186</x:v>
      </x:c>
      <x:c r="AF615" s="80" t="n">
        <x:f>D615*W615</x:f>
        <x:v>2.5184818187625494e-7</x:v>
      </x:c>
      <x:c r="AG615" s="80" t="n">
        <x:f>C615*W615</x:f>
        <x:v>4.4073431828346e-7</x:v>
      </x:c>
      <x:c r="AH615" s="80" t="n">
        <x:f>2*'Inputs'!$B$8*'Inputs'!$C$45</x:f>
        <x:v>2500</x:v>
      </x:c>
      <x:c r="AI615" s="81" t="n">
        <x:f>IF(AH615&gt;0,(AE615+AF615)/AH615*365,0)</x:f>
        <x:v>0.000036833595599814854</x:v>
      </x:c>
      <x:c r="AJ615" s="81" t="n">
        <x:f>IF('Inputs'!$B$45&gt;0,AG615/('Inputs'!$B$19*'Inputs'!$B$45)*365,0)</x:f>
        <x:v>2.1449070156461717e-8</x:v>
      </x:c>
      <x:c r="AK615" s="81" t="n">
        <x:f>W615/MAX($W$369:W615)-1</x:f>
        <x:v>-0.999999998762964</x:v>
      </x:c>
      <x:c r="AL615" s="83" t="n">
        <x:f>'Inputs'!$B$45</x:f>
        <x:v>0.75</x:v>
      </x:c>
      <x:c r="AM615" s="83" t="n">
        <x:f>'Inputs'!$C$45</x:f>
        <x:v>0.5</x:v>
      </x:c>
      <x:c r="AN615" s="83" t="n">
        <x:f>'Inputs'!$D$45</x:f>
        <x:v>0.5</x:v>
      </x:c>
      <x:c r="AO615" s="81" t="n">
        <x:f>'Inputs'!$E$45</x:f>
        <x:v>-0.05</x:v>
      </x:c>
    </x:row>
    <x:row r="616">
      <x:c r="A616" s="59" t="str">
        <x:v>Weak demand</x:v>
      </x:c>
      <x:c r="B616" s="59" t="n">
        <x:v>248</x:v>
      </x:c>
      <x:c r="C616" s="78" t="n">
        <x:f>(('Inputs'!$B$29*(3*248*'Inputs'!$B$12-248^2)/(2*'Inputs'!$B$12^2))-('Inputs'!$B$29*(3*247*'Inputs'!$B$12-247^2)/(2*'Inputs'!$B$12^2)))*'Inputs'!$B$45</x:f>
        <x:v>473641.572058551</x:v>
      </x:c>
      <x:c r="D616" s="78" t="n">
        <x:f>IF('Inputs'!$C$45&gt;0,('Inputs'!$B$30*(3*248*'Inputs'!$B$12-248^2)/(2*'Inputs'!$B$12^2))-('Inputs'!$B$30*(3*247*'Inputs'!$B$12-247^2)/(2*'Inputs'!$B$12^2)),0)</x:f>
        <x:v>270652.3268906027</x:v>
      </x:c>
      <x:c r="E616" s="78" t="n">
        <x:f>C616+D616</x:f>
        <x:v>744293.8989491537</x:v>
      </x:c>
      <x:c r="F616" s="78" t="n">
        <x:f>'Inputs'!$B$13*E616+(1-'Inputs'!$B$13)/'Inputs'!$B$14*SUM(E561:E616)</x:f>
        <x:v>752723.4823606696</x:v>
      </x:c>
      <x:c r="G616" s="78" t="n">
        <x:f>F616*'Inputs'!$F$45</x:f>
        <x:v>526906.4376524687</x:v>
      </x:c>
      <x:c r="H616" s="78" t="n">
        <x:f>U615</x:f>
        <x:v>135494168806.07437</x:v>
      </x:c>
      <x:c r="I616" s="78" t="n">
        <x:f>V615</x:f>
        <x:v>0.12601555089930838</x:v>
      </x:c>
      <x:c r="J616" s="79" t="n">
        <x:f>IF(H616&gt;0,I616/H616,0)</x:f>
        <x:v>9.300440897915523e-13</x:v>
      </x:c>
      <x:c r="K616" s="80" t="n">
        <x:f>(H616*J616+I616)*'Inputs'!$D$45*(1+'Inputs'!$G$45)^(B616/30)</x:f>
        <x:v>0.12601555089930838</x:v>
      </x:c>
      <x:c r="L616" s="80" t="n">
        <x:f>MAX(0,K616*'Inputs'!$E$45)</x:f>
        <x:v>0</x:v>
      </x:c>
      <x:c r="M616" s="80" t="n">
        <x:f>MAX(0,-K616*'Inputs'!$E$45)</x:f>
        <x:v>0.00630077754496542</x:v>
      </x:c>
      <x:c r="N616" s="78" t="n">
        <x:f>H616*(L616*(1-'Inputs'!$B$15))/(I616+L616*(1-'Inputs'!$B$15))</x:f>
        <x:v>0</x:v>
      </x:c>
      <x:c r="O616" s="78" t="n">
        <x:f>H616-N616</x:f>
        <x:v>135494168806.07437</x:v>
      </x:c>
      <x:c r="P616" s="78" t="n">
        <x:f>I616+L616*(1-'Inputs'!$B$17)</x:f>
        <x:v>0.12601555089930838</x:v>
      </x:c>
      <x:c r="Q616" s="78" t="n">
        <x:f>IF(J616&gt;0,M616/J616,0)</x:f>
        <x:v>0</x:v>
      </x:c>
      <x:c r="R616" s="78" t="n">
        <x:f>IF(B616='Inputs'!$H$45,'Inputs'!$B$27*'Inputs'!$I$45,0)</x:f>
        <x:v>0</x:v>
      </x:c>
      <x:c r="S616" s="78" t="n">
        <x:f>Q616+G616+R616</x:f>
        <x:v>526906.4376524687</x:v>
      </x:c>
      <x:c r="T616" s="78" t="n">
        <x:f>P616*(S616*(1-'Inputs'!$B$15))/(O616+S616*(1-'Inputs'!$B$15))</x:f>
        <x:v>4.851438882800524e-7</x:v>
      </x:c>
      <x:c r="U616" s="78" t="n">
        <x:f>O616+S616*(1-'Inputs'!$B$17)</x:f>
        <x:v>135494693592.16418</x:v>
      </x:c>
      <x:c r="V616" s="78" t="n">
        <x:f>P616-T616</x:f>
        <x:v>0.1260150657554201</x:v>
      </x:c>
      <x:c r="W616" s="79" t="n">
        <x:f>IF(U616&gt;0,V616/U616,0)</x:f>
        <x:v>9.300369070889406e-13</x:v>
      </x:c>
      <x:c r="X616" s="80" t="n">
        <x:f>W616*('Inputs'!$B$6-AC616)</x:f>
        <x:v>-0.0044114129198978645</x:v>
      </x:c>
      <x:c r="Y616" s="80" t="n">
        <x:f>2*V616</x:f>
        <x:v>0.2520301315108402</x:v>
      </x:c>
      <x:c r="Z616" s="80" t="n">
        <x:f>K616*'Inputs'!$B$16+(G616+R616)*J616*'Inputs'!$B$16</x:f>
        <x:v>0.0007560962456731596</x:v>
      </x:c>
      <x:c r="AA616" s="80" t="n">
        <x:f>K616*(1+'Inputs'!$E$45)/2*'Inputs'!$B$17</x:f>
        <x:v>0.00024087479548157538</x:v>
      </x:c>
      <x:c r="AB616" s="78" t="n">
        <x:f>(IF(J616&gt;0,K616*(1-'Inputs'!$E$45)/2/J616,0)+G616+R616)*'Inputs'!$B$17</x:f>
        <x:v>2120.347837635689</x:v>
      </x:c>
      <x:c r="AC616" s="78" t="n">
        <x:f>AC615+AB616</x:f>
        <x:v>5743266515.848059</x:v>
      </x:c>
      <x:c r="AD616" s="80" t="n">
        <x:f>Z616/(1+'Inputs'!$C$45)</x:f>
        <x:v>0.0005040641637821064</x:v>
      </x:c>
      <x:c r="AE616" s="80" t="n">
        <x:f>Z616-AD616</x:f>
        <x:v>0.0002520320818910532</x:v>
      </x:c>
      <x:c r="AF616" s="80" t="n">
        <x:f>D616*W616</x:f>
        <x:v>2.5171665299776104e-7</x:v>
      </x:c>
      <x:c r="AG616" s="80" t="n">
        <x:f>C616*W616</x:f>
        <x:v>4.4050414274607837e-7</x:v>
      </x:c>
      <x:c r="AH616" s="80" t="n">
        <x:f>2*'Inputs'!$B$8*'Inputs'!$C$45</x:f>
        <x:v>2500</x:v>
      </x:c>
      <x:c r="AI616" s="81" t="n">
        <x:f>IF(AH616&gt;0,(AE616+AF616)/AH616*365,0)</x:f>
        <x:v>0.000036833434587431435</x:v>
      </x:c>
      <x:c r="AJ616" s="81" t="n">
        <x:f>IF('Inputs'!$B$45&gt;0,AG616/('Inputs'!$B$19*'Inputs'!$B$45)*365,0)</x:f>
        <x:v>2.1437868280309147e-8</x:v>
      </x:c>
      <x:c r="AK616" s="81" t="n">
        <x:f>W616/MAX($W$369:W616)-1</x:f>
        <x:v>-0.9999999987629735</x:v>
      </x:c>
      <x:c r="AL616" s="83" t="n">
        <x:f>'Inputs'!$B$45</x:f>
        <x:v>0.75</x:v>
      </x:c>
      <x:c r="AM616" s="83" t="n">
        <x:f>'Inputs'!$C$45</x:f>
        <x:v>0.5</x:v>
      </x:c>
      <x:c r="AN616" s="83" t="n">
        <x:f>'Inputs'!$D$45</x:f>
        <x:v>0.5</x:v>
      </x:c>
      <x:c r="AO616" s="81" t="n">
        <x:f>'Inputs'!$E$45</x:f>
        <x:v>-0.05</x:v>
      </x:c>
    </x:row>
    <x:row r="617">
      <x:c r="A617" s="59" t="str">
        <x:v>Weak demand</x:v>
      </x:c>
      <x:c r="B617" s="59" t="n">
        <x:v>249</x:v>
      </x:c>
      <x:c r="C617" s="78" t="n">
        <x:f>(('Inputs'!$B$29*(3*249*'Inputs'!$B$12-249^2)/(2*'Inputs'!$B$12^2))-('Inputs'!$B$29*(3*248*'Inputs'!$B$12-248^2)/(2*'Inputs'!$B$12^2)))*'Inputs'!$B$45</x:f>
        <x:v>473397.74113342166</x:v>
      </x:c>
      <x:c r="D617" s="78" t="n">
        <x:f>IF('Inputs'!$C$45&gt;0,('Inputs'!$B$30*(3*249*'Inputs'!$B$12-249^2)/(2*'Inputs'!$B$12^2))-('Inputs'!$B$30*(3*248*'Inputs'!$B$12-248^2)/(2*'Inputs'!$B$12^2)),0)</x:f>
        <x:v>270512.9949333817</x:v>
      </x:c>
      <x:c r="E617" s="78" t="n">
        <x:f>C617+D617</x:f>
        <x:v>743910.7360668033</x:v>
      </x:c>
      <x:c r="F617" s="78" t="n">
        <x:f>'Inputs'!$B$13*E617+(1-'Inputs'!$B$13)/'Inputs'!$B$14*SUM(E562:E617)</x:f>
        <x:v>752340.319478326</x:v>
      </x:c>
      <x:c r="G617" s="78" t="n">
        <x:f>F617*'Inputs'!$F$45</x:f>
        <x:v>526638.2236348282</x:v>
      </x:c>
      <x:c r="H617" s="78" t="n">
        <x:f>U616</x:f>
        <x:v>135494693592.16418</x:v>
      </x:c>
      <x:c r="I617" s="78" t="n">
        <x:f>V616</x:f>
        <x:v>0.1260150657554201</x:v>
      </x:c>
      <x:c r="J617" s="79" t="n">
        <x:f>IF(H617&gt;0,I617/H617,0)</x:f>
        <x:v>9.300369070889406e-13</x:v>
      </x:c>
      <x:c r="K617" s="80" t="n">
        <x:f>(H617*J617+I617)*'Inputs'!$D$45*(1+'Inputs'!$G$45)^(B617/30)</x:f>
        <x:v>0.1260150657554201</x:v>
      </x:c>
      <x:c r="L617" s="80" t="n">
        <x:f>MAX(0,K617*'Inputs'!$E$45)</x:f>
        <x:v>0</x:v>
      </x:c>
      <x:c r="M617" s="80" t="n">
        <x:f>MAX(0,-K617*'Inputs'!$E$45)</x:f>
        <x:v>0.006300753287771005</x:v>
      </x:c>
      <x:c r="N617" s="78" t="n">
        <x:f>H617*(L617*(1-'Inputs'!$B$15))/(I617+L617*(1-'Inputs'!$B$15))</x:f>
        <x:v>0</x:v>
      </x:c>
      <x:c r="O617" s="78" t="n">
        <x:f>H617-N617</x:f>
        <x:v>135494693592.16418</x:v>
      </x:c>
      <x:c r="P617" s="78" t="n">
        <x:f>I617+L617*(1-'Inputs'!$B$17)</x:f>
        <x:v>0.1260150657554201</x:v>
      </x:c>
      <x:c r="Q617" s="78" t="n">
        <x:f>IF(J617&gt;0,M617/J617,0)</x:f>
        <x:v>0</x:v>
      </x:c>
      <x:c r="R617" s="78" t="n">
        <x:f>IF(B617='Inputs'!$H$45,'Inputs'!$B$27*'Inputs'!$I$45,0)</x:f>
        <x:v>0</x:v>
      </x:c>
      <x:c r="S617" s="78" t="n">
        <x:f>Q617+G617+R617</x:f>
        <x:v>526638.2236348282</x:v>
      </x:c>
      <x:c r="T617" s="78" t="n">
        <x:f>P617*(S617*(1-'Inputs'!$B$15))/(O617+S617*(1-'Inputs'!$B$15))</x:f>
        <x:v>4.84893188990529e-7</x:v>
      </x:c>
      <x:c r="U617" s="78" t="n">
        <x:f>O617+S617*(1-'Inputs'!$B$17)</x:f>
        <x:v>135495218111.11931</x:v>
      </x:c>
      <x:c r="V617" s="78" t="n">
        <x:f>P617-T617</x:f>
        <x:v>0.1260145808622311</x:v>
      </x:c>
      <x:c r="W617" s="79" t="n">
        <x:f>IF(U617&gt;0,V617/U617,0)</x:f>
        <x:v>9.300297281258061e-13</x:v>
      </x:c>
      <x:c r="X617" s="80" t="n">
        <x:f>W617*('Inputs'!$B$6-AC617)</x:f>
        <x:v>-0.004411380839145122</x:v>
      </x:c>
      <x:c r="Y617" s="80" t="n">
        <x:f>2*V617</x:f>
        <x:v>0.2520291617244622</x:v>
      </x:c>
      <x:c r="Z617" s="80" t="n">
        <x:f>K617*'Inputs'!$B$16+(G617+R617)*J617*'Inputs'!$B$16</x:f>
        <x:v>0.0007560933332904287</x:v>
      </x:c>
      <x:c r="AA617" s="80" t="n">
        <x:f>K617*(1+'Inputs'!$E$45)/2*'Inputs'!$B$17</x:f>
        <x:v>0.00024087386814416317</x:v>
      </x:c>
      <x:c r="AB617" s="78" t="n">
        <x:f>(IF(J617&gt;0,K617*(1-'Inputs'!$E$45)/2/J617,0)+G617+R617)*'Inputs'!$B$17</x:f>
        <x:v>2119.2685055727497</x:v>
      </x:c>
      <x:c r="AC617" s="78" t="n">
        <x:f>AC616+AB617</x:f>
        <x:v>5743268635.116564</x:v>
      </x:c>
      <x:c r="AD617" s="80" t="n">
        <x:f>Z617/(1+'Inputs'!$C$45)</x:f>
        <x:v>0.0005040622221936191</x:v>
      </x:c>
      <x:c r="AE617" s="80" t="n">
        <x:f>Z617-AD617</x:f>
        <x:v>0.0002520311110968096</x:v>
      </x:c>
      <x:c r="AF617" s="80" t="n">
        <x:f>D617*W617</x:f>
        <x:v>2.5158512713239056e-7</x:v>
      </x:c>
      <x:c r="AG617" s="80" t="n">
        <x:f>C617*W617</x:f>
        <x:v>4.402739724816869e-7</x:v>
      </x:c>
      <x:c r="AH617" s="80" t="n">
        <x:f>2*'Inputs'!$B$8*'Inputs'!$C$45</x:f>
        <x:v>2500</x:v>
      </x:c>
      <x:c r="AI617" s="81" t="n">
        <x:f>IF(AH617&gt;0,(AE617+AF617)/AH617*365,0)</x:f>
        <x:v>0.00003683327364869553</x:v>
      </x:c>
      <x:c r="AJ617" s="81" t="n">
        <x:f>IF('Inputs'!$B$45&gt;0,AG617/('Inputs'!$B$19*'Inputs'!$B$45)*365,0)</x:f>
        <x:v>2.142666666077543e-8</x:v>
      </x:c>
      <x:c r="AK617" s="81" t="n">
        <x:f>W617/MAX($W$369:W617)-1</x:f>
        <x:v>-0.9999999987629831</x:v>
      </x:c>
      <x:c r="AL617" s="83" t="n">
        <x:f>'Inputs'!$B$45</x:f>
        <x:v>0.75</x:v>
      </x:c>
      <x:c r="AM617" s="83" t="n">
        <x:f>'Inputs'!$C$45</x:f>
        <x:v>0.5</x:v>
      </x:c>
      <x:c r="AN617" s="83" t="n">
        <x:f>'Inputs'!$D$45</x:f>
        <x:v>0.5</x:v>
      </x:c>
      <x:c r="AO617" s="81" t="n">
        <x:f>'Inputs'!$E$45</x:f>
        <x:v>-0.05</x:v>
      </x:c>
    </x:row>
    <x:row r="618">
      <x:c r="A618" s="59" t="str">
        <x:v>Weak demand</x:v>
      </x:c>
      <x:c r="B618" s="59" t="n">
        <x:v>250</x:v>
      </x:c>
      <x:c r="C618" s="78" t="n">
        <x:f>(('Inputs'!$B$29*(3*250*'Inputs'!$B$12-250^2)/(2*'Inputs'!$B$12^2))-('Inputs'!$B$29*(3*249*'Inputs'!$B$12-249^2)/(2*'Inputs'!$B$12^2)))*'Inputs'!$B$45</x:f>
        <x:v>473153.9102082923</x:v>
      </x:c>
      <x:c r="D618" s="78" t="n">
        <x:f>IF('Inputs'!$C$45&gt;0,('Inputs'!$B$30*(3*250*'Inputs'!$B$12-250^2)/(2*'Inputs'!$B$12^2))-('Inputs'!$B$30*(3*249*'Inputs'!$B$12-249^2)/(2*'Inputs'!$B$12^2)),0)</x:f>
        <x:v>270373.66297617555</x:v>
      </x:c>
      <x:c r="E618" s="78" t="n">
        <x:f>C618+D618</x:f>
        <x:v>743527.5731844679</x:v>
      </x:c>
      <x:c r="F618" s="78" t="n">
        <x:f>'Inputs'!$B$13*E618+(1-'Inputs'!$B$13)/'Inputs'!$B$14*SUM(E563:E618)</x:f>
        <x:v>751957.1565959856</x:v>
      </x:c>
      <x:c r="G618" s="78" t="n">
        <x:f>F618*'Inputs'!$F$45</x:f>
        <x:v>526370.0096171899</x:v>
      </x:c>
      <x:c r="H618" s="78" t="n">
        <x:f>U617</x:f>
        <x:v>135495218111.11931</x:v>
      </x:c>
      <x:c r="I618" s="78" t="n">
        <x:f>V617</x:f>
        <x:v>0.1260145808622311</x:v>
      </x:c>
      <x:c r="J618" s="79" t="n">
        <x:f>IF(H618&gt;0,I618/H618,0)</x:f>
        <x:v>9.300297281258061e-13</x:v>
      </x:c>
      <x:c r="K618" s="80" t="n">
        <x:f>(H618*J618+I618)*'Inputs'!$D$45*(1+'Inputs'!$G$45)^(B618/30)</x:f>
        <x:v>0.1260145808622311</x:v>
      </x:c>
      <x:c r="L618" s="80" t="n">
        <x:f>MAX(0,K618*'Inputs'!$E$45)</x:f>
        <x:v>0</x:v>
      </x:c>
      <x:c r="M618" s="80" t="n">
        <x:f>MAX(0,-K618*'Inputs'!$E$45)</x:f>
        <x:v>0.006300729043111556</x:v>
      </x:c>
      <x:c r="N618" s="78" t="n">
        <x:f>H618*(L618*(1-'Inputs'!$B$15))/(I618+L618*(1-'Inputs'!$B$15))</x:f>
        <x:v>0</x:v>
      </x:c>
      <x:c r="O618" s="78" t="n">
        <x:f>H618-N618</x:f>
        <x:v>135495218111.11931</x:v>
      </x:c>
      <x:c r="P618" s="78" t="n">
        <x:f>I618+L618*(1-'Inputs'!$B$17)</x:f>
        <x:v>0.1260145808622311</x:v>
      </x:c>
      <x:c r="Q618" s="78" t="n">
        <x:f>IF(J618&gt;0,M618/J618,0)</x:f>
        <x:v>0</x:v>
      </x:c>
      <x:c r="R618" s="78" t="n">
        <x:f>IF(B618='Inputs'!$H$45,'Inputs'!$B$27*'Inputs'!$I$45,0)</x:f>
        <x:v>0</x:v>
      </x:c>
      <x:c r="S618" s="78" t="n">
        <x:f>Q618+G618+R618</x:f>
        <x:v>526370.0096171899</x:v>
      </x:c>
      <x:c r="T618" s="78" t="n">
        <x:f>P618*(S618*(1-'Inputs'!$B$15))/(O618+S618*(1-'Inputs'!$B$15))</x:f>
        <x:v>4.846424954631222e-7</x:v>
      </x:c>
      <x:c r="U618" s="78" t="n">
        <x:f>O618+S618*(1-'Inputs'!$B$17)</x:f>
        <x:v>135495742362.93976</x:v>
      </x:c>
      <x:c r="V618" s="78" t="n">
        <x:f>P618-T618</x:f>
        <x:v>0.12601409621973564</x:v>
      </x:c>
      <x:c r="W618" s="79" t="n">
        <x:f>IF(U618&gt;0,V618/U618,0)</x:f>
        <x:v>9.300225529020202e-13</x:v>
      </x:c>
      <x:c r="X618" s="80" t="n">
        <x:f>W618*('Inputs'!$B$6-AC618)</x:f>
        <x:v>-0.00441134877509489</x:v>
      </x:c>
      <x:c r="Y618" s="80" t="n">
        <x:f>2*V618</x:f>
        <x:v>0.2520281924394713</x:v>
      </x:c>
      <x:c r="Z618" s="80" t="n">
        <x:f>K618*'Inputs'!$B$16+(G618+R618)*J618*'Inputs'!$B$16</x:f>
        <x:v>0.0007560904224119282</x:v>
      </x:c>
      <x:c r="AA618" s="80" t="n">
        <x:f>K618*(1+'Inputs'!$E$45)/2*'Inputs'!$B$17</x:f>
        <x:v>0.00024087294128595485</x:v>
      </x:c>
      <x:c r="AB618" s="78" t="n">
        <x:f>(IF(J618&gt;0,K618*(1-'Inputs'!$E$45)/2/J618,0)+G618+R618)*'Inputs'!$B$17</x:f>
        <x:v>2118.1891735098184</x:v>
      </x:c>
      <x:c r="AC618" s="78" t="n">
        <x:f>AC617+AB618</x:f>
        <x:v>5743270753.3057375</x:v>
      </x:c>
      <x:c r="AD618" s="80" t="n">
        <x:f>Z618/(1+'Inputs'!$C$45)</x:f>
        <x:v>0.0005040602816079521</x:v>
      </x:c>
      <x:c r="AE618" s="80" t="n">
        <x:f>Z618-AD618</x:f>
        <x:v>0.0002520301408039761</x:v>
      </x:c>
      <x:c r="AF618" s="80" t="n">
        <x:f>D618*W618</x:f>
        <x:v>2.514536042785732e-7</x:v>
      </x:c>
      <x:c r="AG618" s="80" t="n">
        <x:f>C618*W618</x:f>
        <x:v>4.4004380748748923e-7</x:v>
      </x:c>
      <x:c r="AH618" s="80" t="n">
        <x:f>2*'Inputs'!$B$8*'Inputs'!$C$45</x:f>
        <x:v>2500</x:v>
      </x:c>
      <x:c r="AI618" s="81" t="n">
        <x:f>IF(AH618&gt;0,(AE618+AF618)/AH618*365,0)</x:f>
        <x:v>0.000036833112783605186</x:v>
      </x:c>
      <x:c r="AJ618" s="81" t="n">
        <x:f>IF('Inputs'!$B$45&gt;0,AG618/('Inputs'!$B$19*'Inputs'!$B$45)*365,0)</x:f>
        <x:v>2.1415465297724474e-8</x:v>
      </x:c>
      <x:c r="AK618" s="81" t="n">
        <x:f>W618/MAX($W$369:W618)-1</x:f>
        <x:v>-0.9999999987629926</x:v>
      </x:c>
      <x:c r="AL618" s="83" t="n">
        <x:f>'Inputs'!$B$45</x:f>
        <x:v>0.75</x:v>
      </x:c>
      <x:c r="AM618" s="83" t="n">
        <x:f>'Inputs'!$C$45</x:f>
        <x:v>0.5</x:v>
      </x:c>
      <x:c r="AN618" s="83" t="n">
        <x:f>'Inputs'!$D$45</x:f>
        <x:v>0.5</x:v>
      </x:c>
      <x:c r="AO618" s="81" t="n">
        <x:f>'Inputs'!$E$45</x:f>
        <x:v>-0.05</x:v>
      </x:c>
    </x:row>
    <x:row r="619">
      <x:c r="A619" s="59" t="str">
        <x:v>Weak demand</x:v>
      </x:c>
      <x:c r="B619" s="59" t="n">
        <x:v>251</x:v>
      </x:c>
      <x:c r="C619" s="78" t="n">
        <x:f>(('Inputs'!$B$29*(3*251*'Inputs'!$B$12-251^2)/(2*'Inputs'!$B$12^2))-('Inputs'!$B$29*(3*250*'Inputs'!$B$12-250^2)/(2*'Inputs'!$B$12^2)))*'Inputs'!$B$45</x:f>
        <x:v>472910.07928316295</x:v>
      </x:c>
      <x:c r="D619" s="78" t="n">
        <x:f>IF('Inputs'!$C$45&gt;0,('Inputs'!$B$30*(3*251*'Inputs'!$B$12-251^2)/(2*'Inputs'!$B$12^2))-('Inputs'!$B$30*(3*250*'Inputs'!$B$12-250^2)/(2*'Inputs'!$B$12^2)),0)</x:f>
        <x:v>270234.3310189545</x:v>
      </x:c>
      <x:c r="E619" s="78" t="n">
        <x:f>C619+D619</x:f>
        <x:v>743144.4103021175</x:v>
      </x:c>
      <x:c r="F619" s="78" t="n">
        <x:f>'Inputs'!$B$13*E619+(1-'Inputs'!$B$13)/'Inputs'!$B$14*SUM(E564:E619)</x:f>
        <x:v>751573.993713642</x:v>
      </x:c>
      <x:c r="G619" s="78" t="n">
        <x:f>F619*'Inputs'!$F$45</x:f>
        <x:v>526101.7955995494</x:v>
      </x:c>
      <x:c r="H619" s="78" t="n">
        <x:f>U618</x:f>
        <x:v>135495742362.93976</x:v>
      </x:c>
      <x:c r="I619" s="78" t="n">
        <x:f>V618</x:f>
        <x:v>0.12601409621973564</x:v>
      </x:c>
      <x:c r="J619" s="79" t="n">
        <x:f>IF(H619&gt;0,I619/H619,0)</x:f>
        <x:v>9.300225529020202e-13</x:v>
      </x:c>
      <x:c r="K619" s="80" t="n">
        <x:f>(H619*J619+I619)*'Inputs'!$D$45*(1+'Inputs'!$G$45)^(B619/30)</x:f>
        <x:v>0.12601409621973564</x:v>
      </x:c>
      <x:c r="L619" s="80" t="n">
        <x:f>MAX(0,K619*'Inputs'!$E$45)</x:f>
        <x:v>0</x:v>
      </x:c>
      <x:c r="M619" s="80" t="n">
        <x:f>MAX(0,-K619*'Inputs'!$E$45)</x:f>
        <x:v>0.006300704810986782</x:v>
      </x:c>
      <x:c r="N619" s="78" t="n">
        <x:f>H619*(L619*(1-'Inputs'!$B$15))/(I619+L619*(1-'Inputs'!$B$15))</x:f>
        <x:v>0</x:v>
      </x:c>
      <x:c r="O619" s="78" t="n">
        <x:f>H619-N619</x:f>
        <x:v>135495742362.93976</x:v>
      </x:c>
      <x:c r="P619" s="78" t="n">
        <x:f>I619+L619*(1-'Inputs'!$B$17)</x:f>
        <x:v>0.12601409621973564</x:v>
      </x:c>
      <x:c r="Q619" s="78" t="n">
        <x:f>IF(J619&gt;0,M619/J619,0)</x:f>
        <x:v>0</x:v>
      </x:c>
      <x:c r="R619" s="78" t="n">
        <x:f>IF(B619='Inputs'!$H$45,'Inputs'!$B$27*'Inputs'!$I$45,0)</x:f>
        <x:v>0</x:v>
      </x:c>
      <x:c r="S619" s="78" t="n">
        <x:f>Q619+G619+R619</x:f>
        <x:v>526101.7955995494</x:v>
      </x:c>
      <x:c r="T619" s="78" t="n">
        <x:f>P619*(S619*(1-'Inputs'!$B$15))/(O619+S619*(1-'Inputs'!$B$15))</x:f>
        <x:v>4.843918076947826e-7</x:v>
      </x:c>
      <x:c r="U619" s="78" t="n">
        <x:f>O619+S619*(1-'Inputs'!$B$17)</x:f>
        <x:v>135496266347.62552</x:v>
      </x:c>
      <x:c r="V619" s="78" t="n">
        <x:f>P619-T619</x:f>
        <x:v>0.12601361182792795</x:v>
      </x:c>
      <x:c r="W619" s="79" t="n">
        <x:f>IF(U619&gt;0,V619/U619,0)</x:f>
        <x:v>9.300153814174545e-13</x:v>
      </x:c>
      <x:c r="X619" s="80" t="n">
        <x:f>W619*('Inputs'!$B$6-AC619)</x:f>
        <x:v>-0.004411316727746609</x:v>
      </x:c>
      <x:c r="Y619" s="80" t="n">
        <x:f>2*V619</x:f>
        <x:v>0.2520272236558559</x:v>
      </x:c>
      <x:c r="Z619" s="80" t="n">
        <x:f>K619*'Inputs'!$B$16+(G619+R619)*J619*'Inputs'!$B$16</x:f>
        <x:v>0.000756087513037624</x:v>
      </x:c>
      <x:c r="AA619" s="80" t="n">
        <x:f>K619*(1+'Inputs'!$E$45)/2*'Inputs'!$B$17</x:f>
        <x:v>0.00024087201490693936</x:v>
      </x:c>
      <x:c r="AB619" s="78" t="n">
        <x:f>(IF(J619&gt;0,K619*(1-'Inputs'!$E$45)/2/J619,0)+G619+R619)*'Inputs'!$B$17</x:f>
        <x:v>2117.1098414468793</x:v>
      </x:c>
      <x:c r="AC619" s="78" t="n">
        <x:f>AC618+AB619</x:f>
        <x:v>5743272870.415579</x:v>
      </x:c>
      <x:c r="AD619" s="80" t="n">
        <x:f>Z619/(1+'Inputs'!$C$45)</x:f>
        <x:v>0.0005040583420250827</x:v>
      </x:c>
      <x:c r="AE619" s="80" t="n">
        <x:f>Z619-AD619</x:f>
        <x:v>0.00025202917101254134</x:v>
      </x:c>
      <x:c r="AF619" s="80" t="n">
        <x:f>D619*W619</x:f>
        <x:v>2.5132208443468364e-7</x:v>
      </x:c>
      <x:c r="AG619" s="80" t="n">
        <x:f>C619*W619</x:f>
        <x:v>4.3981364776068944e-7</x:v>
      </x:c>
      <x:c r="AH619" s="80" t="n">
        <x:f>2*'Inputs'!$B$8*'Inputs'!$C$45</x:f>
        <x:v>2500</x:v>
      </x:c>
      <x:c r="AI619" s="81" t="n">
        <x:f>IF(AH619&gt;0,(AE619+AF619)/AH619*365,0)</x:f>
        <x:v>0.0000368329519921585</x:v>
      </x:c>
      <x:c r="AJ619" s="81" t="n">
        <x:f>IF('Inputs'!$B$45&gt;0,AG619/('Inputs'!$B$19*'Inputs'!$B$45)*365,0)</x:f>
        <x:v>2.140426419102022e-8</x:v>
      </x:c>
      <x:c r="AK619" s="81" t="n">
        <x:f>W619/MAX($W$369:W619)-1</x:f>
        <x:v>-0.9999999987630022</x:v>
      </x:c>
      <x:c r="AL619" s="83" t="n">
        <x:f>'Inputs'!$B$45</x:f>
        <x:v>0.75</x:v>
      </x:c>
      <x:c r="AM619" s="83" t="n">
        <x:f>'Inputs'!$C$45</x:f>
        <x:v>0.5</x:v>
      </x:c>
      <x:c r="AN619" s="83" t="n">
        <x:f>'Inputs'!$D$45</x:f>
        <x:v>0.5</x:v>
      </x:c>
      <x:c r="AO619" s="81" t="n">
        <x:f>'Inputs'!$E$45</x:f>
        <x:v>-0.05</x:v>
      </x:c>
    </x:row>
    <x:row r="620">
      <x:c r="A620" s="59" t="str">
        <x:v>Weak demand</x:v>
      </x:c>
      <x:c r="B620" s="59" t="n">
        <x:v>252</x:v>
      </x:c>
      <x:c r="C620" s="78" t="n">
        <x:f>(('Inputs'!$B$29*(3*252*'Inputs'!$B$12-252^2)/(2*'Inputs'!$B$12^2))-('Inputs'!$B$29*(3*251*'Inputs'!$B$12-251^2)/(2*'Inputs'!$B$12^2)))*'Inputs'!$B$45</x:f>
        <x:v>472666.2483580336</x:v>
      </x:c>
      <x:c r="D620" s="78" t="n">
        <x:f>IF('Inputs'!$C$45&gt;0,('Inputs'!$B$30*(3*252*'Inputs'!$B$12-252^2)/(2*'Inputs'!$B$12^2))-('Inputs'!$B$30*(3*251*'Inputs'!$B$12-251^2)/(2*'Inputs'!$B$12^2)),0)</x:f>
        <x:v>270094.9990617335</x:v>
      </x:c>
      <x:c r="E620" s="78" t="n">
        <x:f>C620+D620</x:f>
        <x:v>742761.2474197671</x:v>
      </x:c>
      <x:c r="F620" s="78" t="n">
        <x:f>'Inputs'!$B$13*E620+(1-'Inputs'!$B$13)/'Inputs'!$B$14*SUM(E565:E620)</x:f>
        <x:v>751190.8308312983</x:v>
      </x:c>
      <x:c r="G620" s="78" t="n">
        <x:f>F620*'Inputs'!$F$45</x:f>
        <x:v>525833.5815819087</x:v>
      </x:c>
      <x:c r="H620" s="78" t="n">
        <x:f>U619</x:f>
        <x:v>135496266347.62552</x:v>
      </x:c>
      <x:c r="I620" s="78" t="n">
        <x:f>V619</x:f>
        <x:v>0.12601361182792795</x:v>
      </x:c>
      <x:c r="J620" s="79" t="n">
        <x:f>IF(H620&gt;0,I620/H620,0)</x:f>
        <x:v>9.300153814174545e-13</x:v>
      </x:c>
      <x:c r="K620" s="80" t="n">
        <x:f>(H620*J620+I620)*'Inputs'!$D$45*(1+'Inputs'!$G$45)^(B620/30)</x:f>
        <x:v>0.12601361182792795</x:v>
      </x:c>
      <x:c r="L620" s="80" t="n">
        <x:f>MAX(0,K620*'Inputs'!$E$45)</x:f>
        <x:v>0</x:v>
      </x:c>
      <x:c r="M620" s="80" t="n">
        <x:f>MAX(0,-K620*'Inputs'!$E$45)</x:f>
        <x:v>0.0063006805913963975</x:v>
      </x:c>
      <x:c r="N620" s="78" t="n">
        <x:f>H620*(L620*(1-'Inputs'!$B$15))/(I620+L620*(1-'Inputs'!$B$15))</x:f>
        <x:v>0</x:v>
      </x:c>
      <x:c r="O620" s="78" t="n">
        <x:f>H620-N620</x:f>
        <x:v>135496266347.62552</x:v>
      </x:c>
      <x:c r="P620" s="78" t="n">
        <x:f>I620+L620*(1-'Inputs'!$B$17)</x:f>
        <x:v>0.12601361182792795</x:v>
      </x:c>
      <x:c r="Q620" s="78" t="n">
        <x:f>IF(J620&gt;0,M620/J620,0)</x:f>
        <x:v>0</x:v>
      </x:c>
      <x:c r="R620" s="78" t="n">
        <x:f>IF(B620='Inputs'!$H$45,'Inputs'!$B$27*'Inputs'!$I$45,0)</x:f>
        <x:v>0</x:v>
      </x:c>
      <x:c r="S620" s="78" t="n">
        <x:f>Q620+G620+R620</x:f>
        <x:v>525833.5815819087</x:v>
      </x:c>
      <x:c r="T620" s="78" t="n">
        <x:f>P620*(S620*(1-'Inputs'!$B$15))/(O620+S620*(1-'Inputs'!$B$15))</x:f>
        <x:v>4.841411256824666e-7</x:v>
      </x:c>
      <x:c r="U620" s="78" t="n">
        <x:f>O620+S620*(1-'Inputs'!$B$17)</x:f>
        <x:v>135496790065.17659</x:v>
      </x:c>
      <x:c r="V620" s="78" t="n">
        <x:f>P620-T620</x:f>
        <x:v>0.12601312768680226</x:v>
      </x:c>
      <x:c r="W620" s="79" t="n">
        <x:f>IF(U620&gt;0,V620/U620,0)</x:f>
        <x:v>9.300082136719806e-13</x:v>
      </x:c>
      <x:c r="X620" s="80" t="n">
        <x:f>W620*('Inputs'!$B$6-AC620)</x:f>
        <x:v>-0.0044112846970997144</x:v>
      </x:c>
      <x:c r="Y620" s="80" t="n">
        <x:f>2*V620</x:f>
        <x:v>0.2520262553736045</x:v>
      </x:c>
      <x:c r="Z620" s="80" t="n">
        <x:f>K620*'Inputs'!$B$16+(G620+R620)*J620*'Inputs'!$B$16</x:f>
        <x:v>0.0007560846051674813</x:v>
      </x:c>
      <x:c r="AA620" s="80" t="n">
        <x:f>K620*(1+'Inputs'!$E$45)/2*'Inputs'!$B$17</x:f>
        <x:v>0.00024087108900710573</x:v>
      </x:c>
      <x:c r="AB620" s="78" t="n">
        <x:f>(IF(J620&gt;0,K620*(1-'Inputs'!$E$45)/2/J620,0)+G620+R620)*'Inputs'!$B$17</x:f>
        <x:v>2116.030509383939</x:v>
      </x:c>
      <x:c r="AC620" s="78" t="n">
        <x:f>AC619+AB620</x:f>
        <x:v>5743274986.446088</x:v>
      </x:c>
      <x:c r="AD620" s="80" t="n">
        <x:f>Z620/(1+'Inputs'!$C$45)</x:f>
        <x:v>0.0005040564034449875</x:v>
      </x:c>
      <x:c r="AE620" s="80" t="n">
        <x:f>Z620-AD620</x:f>
        <x:v>0.0002520282017224938</x:v>
      </x:c>
      <x:c r="AF620" s="80" t="n">
        <x:f>D620*W620</x:f>
        <x:v>2.51190567599138e-7</x:v>
      </x:c>
      <x:c r="AG620" s="80" t="n">
        <x:f>C620*W620</x:f>
        <x:v>4.3958349329849154e-7</x:v>
      </x:c>
      <x:c r="AH620" s="80" t="n">
        <x:f>2*'Inputs'!$B$8*'Inputs'!$C$45</x:f>
        <x:v>2500</x:v>
      </x:c>
      <x:c r="AI620" s="81" t="n">
        <x:f>IF(AH620&gt;0,(AE620+AF620)/AH620*365,0)</x:f>
        <x:v>0.00003683279127435357</x:v>
      </x:c>
      <x:c r="AJ620" s="81" t="n">
        <x:f>IF('Inputs'!$B$45&gt;0,AG620/('Inputs'!$B$19*'Inputs'!$B$45)*365,0)</x:f>
        <x:v>2.139306334052659e-8</x:v>
      </x:c>
      <x:c r="AK620" s="81" t="n">
        <x:f>W620/MAX($W$369:W620)-1</x:f>
        <x:v>-0.9999999987630117</x:v>
      </x:c>
      <x:c r="AL620" s="83" t="n">
        <x:f>'Inputs'!$B$45</x:f>
        <x:v>0.75</x:v>
      </x:c>
      <x:c r="AM620" s="83" t="n">
        <x:f>'Inputs'!$C$45</x:f>
        <x:v>0.5</x:v>
      </x:c>
      <x:c r="AN620" s="83" t="n">
        <x:f>'Inputs'!$D$45</x:f>
        <x:v>0.5</x:v>
      </x:c>
      <x:c r="AO620" s="81" t="n">
        <x:f>'Inputs'!$E$45</x:f>
        <x:v>-0.05</x:v>
      </x:c>
    </x:row>
    <x:row r="621">
      <x:c r="A621" s="59" t="str">
        <x:v>Weak demand</x:v>
      </x:c>
      <x:c r="B621" s="59" t="n">
        <x:v>253</x:v>
      </x:c>
      <x:c r="C621" s="78" t="n">
        <x:f>(('Inputs'!$B$29*(3*253*'Inputs'!$B$12-253^2)/(2*'Inputs'!$B$12^2))-('Inputs'!$B$29*(3*252*'Inputs'!$B$12-252^2)/(2*'Inputs'!$B$12^2)))*'Inputs'!$B$45</x:f>
        <x:v>472422.4174329266</x:v>
      </x:c>
      <x:c r="D621" s="78" t="n">
        <x:f>IF('Inputs'!$C$45&gt;0,('Inputs'!$B$30*(3*253*'Inputs'!$B$12-253^2)/(2*'Inputs'!$B$12^2))-('Inputs'!$B$30*(3*252*'Inputs'!$B$12-252^2)/(2*'Inputs'!$B$12^2)),0)</x:f>
        <x:v>269955.66710452735</x:v>
      </x:c>
      <x:c r="E621" s="78" t="n">
        <x:f>C621+D621</x:f>
        <x:v>742378.084537454</x:v>
      </x:c>
      <x:c r="F621" s="78" t="n">
        <x:f>'Inputs'!$B$13*E621+(1-'Inputs'!$B$13)/'Inputs'!$B$14*SUM(E566:E621)</x:f>
        <x:v>750807.6679489622</x:v>
      </x:c>
      <x:c r="G621" s="78" t="n">
        <x:f>F621*'Inputs'!$F$45</x:f>
        <x:v>525565.3675642735</x:v>
      </x:c>
      <x:c r="H621" s="78" t="n">
        <x:f>U620</x:f>
        <x:v>135496790065.17659</x:v>
      </x:c>
      <x:c r="I621" s="78" t="n">
        <x:f>V620</x:f>
        <x:v>0.12601312768680226</x:v>
      </x:c>
      <x:c r="J621" s="79" t="n">
        <x:f>IF(H621&gt;0,I621/H621,0)</x:f>
        <x:v>9.300082136719806e-13</x:v>
      </x:c>
      <x:c r="K621" s="80" t="n">
        <x:f>(H621*J621+I621)*'Inputs'!$D$45*(1+'Inputs'!$G$45)^(B621/30)</x:f>
        <x:v>0.12601312768680226</x:v>
      </x:c>
      <x:c r="L621" s="80" t="n">
        <x:f>MAX(0,K621*'Inputs'!$E$45)</x:f>
        <x:v>0</x:v>
      </x:c>
      <x:c r="M621" s="80" t="n">
        <x:f>MAX(0,-K621*'Inputs'!$E$45)</x:f>
        <x:v>0.0063006563843401135</x:v>
      </x:c>
      <x:c r="N621" s="78" t="n">
        <x:f>H621*(L621*(1-'Inputs'!$B$15))/(I621+L621*(1-'Inputs'!$B$15))</x:f>
        <x:v>0</x:v>
      </x:c>
      <x:c r="O621" s="78" t="n">
        <x:f>H621-N621</x:f>
        <x:v>135496790065.17659</x:v>
      </x:c>
      <x:c r="P621" s="78" t="n">
        <x:f>I621+L621*(1-'Inputs'!$B$17)</x:f>
        <x:v>0.12601312768680226</x:v>
      </x:c>
      <x:c r="Q621" s="78" t="n">
        <x:f>IF(J621&gt;0,M621/J621,0)</x:f>
        <x:v>0</x:v>
      </x:c>
      <x:c r="R621" s="78" t="n">
        <x:f>IF(B621='Inputs'!$H$45,'Inputs'!$B$27*'Inputs'!$I$45,0)</x:f>
        <x:v>0</x:v>
      </x:c>
      <x:c r="S621" s="78" t="n">
        <x:f>Q621+G621+R621</x:f>
        <x:v>525565.3675642735</x:v>
      </x:c>
      <x:c r="T621" s="78" t="n">
        <x:f>P621*(S621*(1-'Inputs'!$B$15))/(O621+S621*(1-'Inputs'!$B$15))</x:f>
        <x:v>4.838904494231337e-7</x:v>
      </x:c>
      <x:c r="U621" s="78" t="n">
        <x:f>O621+S621*(1-'Inputs'!$B$17)</x:f>
        <x:v>135497313515.59297</x:v>
      </x:c>
      <x:c r="V621" s="78" t="n">
        <x:f>P621-T621</x:f>
        <x:v>0.12601264379635282</x:v>
      </x:c>
      <x:c r="W621" s="79" t="n">
        <x:f>IF(U621&gt;0,V621/U621,0)</x:f>
        <x:v>9.300010496654705e-13</x:v>
      </x:c>
      <x:c r="X621" s="80" t="n">
        <x:f>W621*('Inputs'!$B$6-AC621)</x:f>
        <x:v>-0.004411252683153647</x:v>
      </x:c>
      <x:c r="Y621" s="80" t="n">
        <x:f>2*V621</x:f>
        <x:v>0.25202528759270565</x:v>
      </x:c>
      <x:c r="Z621" s="80" t="n">
        <x:f>K621*'Inputs'!$B$16+(G621+R621)*J621*'Inputs'!$B$16</x:f>
        <x:v>0.0007560816988014655</x:v>
      </x:c>
      <x:c r="AA621" s="80" t="n">
        <x:f>K621*(1+'Inputs'!$E$45)/2*'Inputs'!$B$17</x:f>
        <x:v>0.00024087016358644296</x:v>
      </x:c>
      <x:c r="AB621" s="78" t="n">
        <x:f>(IF(J621&gt;0,K621*(1-'Inputs'!$E$45)/2/J621,0)+G621+R621)*'Inputs'!$B$17</x:f>
        <x:v>2114.9511773210206</x:v>
      </x:c>
      <x:c r="AC621" s="78" t="n">
        <x:f>AC620+AB621</x:f>
        <x:v>5743277101.397265</x:v>
      </x:c>
      <x:c r="AD621" s="80" t="n">
        <x:f>Z621/(1+'Inputs'!$C$45)</x:f>
        <x:v>0.0005040544658676437</x:v>
      </x:c>
      <x:c r="AE621" s="80" t="n">
        <x:f>Z621-AD621</x:f>
        <x:v>0.0002520272329338218</x:v>
      </x:c>
      <x:c r="AF621" s="80" t="n">
        <x:f>D621*W621</x:f>
        <x:v>2.510590537703528e-7</x:v>
      </x:c>
      <x:c r="AG621" s="80" t="n">
        <x:f>C621*W621</x:f>
        <x:v>4.393533440981208e-7</x:v>
      </x:c>
      <x:c r="AH621" s="80" t="n">
        <x:f>2*'Inputs'!$B$8*'Inputs'!$C$45</x:f>
        <x:v>2500</x:v>
      </x:c>
      <x:c r="AI621" s="81" t="n">
        <x:f>IF(AH621&gt;0,(AE621+AF621)/AH621*365,0)</x:f>
        <x:v>0.00003683263063018845</x:v>
      </x:c>
      <x:c r="AJ621" s="81" t="n">
        <x:f>IF('Inputs'!$B$45&gt;0,AG621/('Inputs'!$B$19*'Inputs'!$B$45)*365,0)</x:f>
        <x:v>2.1381862746108546e-8</x:v>
      </x:c>
      <x:c r="AK621" s="81" t="n">
        <x:f>W621/MAX($W$369:W621)-1</x:f>
        <x:v>-0.9999999987630211</x:v>
      </x:c>
      <x:c r="AL621" s="83" t="n">
        <x:f>'Inputs'!$B$45</x:f>
        <x:v>0.75</x:v>
      </x:c>
      <x:c r="AM621" s="83" t="n">
        <x:f>'Inputs'!$C$45</x:f>
        <x:v>0.5</x:v>
      </x:c>
      <x:c r="AN621" s="83" t="n">
        <x:f>'Inputs'!$D$45</x:f>
        <x:v>0.5</x:v>
      </x:c>
      <x:c r="AO621" s="81" t="n">
        <x:f>'Inputs'!$E$45</x:f>
        <x:v>-0.05</x:v>
      </x:c>
    </x:row>
    <x:row r="622">
      <x:c r="A622" s="59" t="str">
        <x:v>Weak demand</x:v>
      </x:c>
      <x:c r="B622" s="59" t="n">
        <x:v>254</x:v>
      </x:c>
      <x:c r="C622" s="78" t="n">
        <x:f>(('Inputs'!$B$29*(3*254*'Inputs'!$B$12-254^2)/(2*'Inputs'!$B$12^2))-('Inputs'!$B$29*(3*253*'Inputs'!$B$12-253^2)/(2*'Inputs'!$B$12^2)))*'Inputs'!$B$45</x:f>
        <x:v>472178.5865077749</x:v>
      </x:c>
      <x:c r="D622" s="78" t="n">
        <x:f>IF('Inputs'!$C$45&gt;0,('Inputs'!$B$30*(3*254*'Inputs'!$B$12-254^2)/(2*'Inputs'!$B$12^2))-('Inputs'!$B$30*(3*253*'Inputs'!$B$12-253^2)/(2*'Inputs'!$B$12^2)),0)</x:f>
        <x:v>269816.3351473063</x:v>
      </x:c>
      <x:c r="E622" s="78" t="n">
        <x:f>C622+D622</x:f>
        <x:v>741994.9216550812</x:v>
      </x:c>
      <x:c r="F622" s="78" t="n">
        <x:f>'Inputs'!$B$13*E622+(1-'Inputs'!$B$13)/'Inputs'!$B$14*SUM(E567:E622)</x:f>
        <x:v>750424.5050666139</x:v>
      </x:c>
      <x:c r="G622" s="78" t="n">
        <x:f>F622*'Inputs'!$F$45</x:f>
        <x:v>525297.1535466297</x:v>
      </x:c>
      <x:c r="H622" s="78" t="n">
        <x:f>U621</x:f>
        <x:v>135497313515.59297</x:v>
      </x:c>
      <x:c r="I622" s="78" t="n">
        <x:f>V621</x:f>
        <x:v>0.12601264379635282</x:v>
      </x:c>
      <x:c r="J622" s="79" t="n">
        <x:f>IF(H622&gt;0,I622/H622,0)</x:f>
        <x:v>9.300010496654705e-13</x:v>
      </x:c>
      <x:c r="K622" s="80" t="n">
        <x:f>(H622*J622+I622)*'Inputs'!$D$45*(1+'Inputs'!$G$45)^(B622/30)</x:f>
        <x:v>0.12601264379635282</x:v>
      </x:c>
      <x:c r="L622" s="80" t="n">
        <x:f>MAX(0,K622*'Inputs'!$E$45)</x:f>
        <x:v>0</x:v>
      </x:c>
      <x:c r="M622" s="80" t="n">
        <x:f>MAX(0,-K622*'Inputs'!$E$45)</x:f>
        <x:v>0.006300632189817641</x:v>
      </x:c>
      <x:c r="N622" s="78" t="n">
        <x:f>H622*(L622*(1-'Inputs'!$B$15))/(I622+L622*(1-'Inputs'!$B$15))</x:f>
        <x:v>0</x:v>
      </x:c>
      <x:c r="O622" s="78" t="n">
        <x:f>H622-N622</x:f>
        <x:v>135497313515.59297</x:v>
      </x:c>
      <x:c r="P622" s="78" t="n">
        <x:f>I622+L622*(1-'Inputs'!$B$17)</x:f>
        <x:v>0.12601264379635282</x:v>
      </x:c>
      <x:c r="Q622" s="78" t="n">
        <x:f>IF(J622&gt;0,M622/J622,0)</x:f>
        <x:v>0</x:v>
      </x:c>
      <x:c r="R622" s="78" t="n">
        <x:f>IF(B622='Inputs'!$H$45,'Inputs'!$B$27*'Inputs'!$I$45,0)</x:f>
        <x:v>0</x:v>
      </x:c>
      <x:c r="S622" s="78" t="n">
        <x:f>Q622+G622+R622</x:f>
        <x:v>525297.1535466297</x:v>
      </x:c>
      <x:c r="T622" s="78" t="n">
        <x:f>P622*(S622*(1-'Inputs'!$B$15))/(O622+S622*(1-'Inputs'!$B$15))</x:f>
        <x:v>4.83639778913726e-7</x:v>
      </x:c>
      <x:c r="U622" s="78" t="n">
        <x:f>O622+S622*(1-'Inputs'!$B$17)</x:f>
        <x:v>135497836698.87468</x:v>
      </x:c>
      <x:c r="V622" s="78" t="n">
        <x:f>P622-T622</x:f>
        <x:v>0.1260121601565739</x:v>
      </x:c>
      <x:c r="W622" s="79" t="n">
        <x:f>IF(U622&gt;0,V622/U622,0)</x:f>
        <x:v>9.299938893977963e-13</x:v>
      </x:c>
      <x:c r="X622" s="80" t="n">
        <x:f>W622*('Inputs'!$B$6-AC622)</x:f>
        <x:v>-0.004411220685907847</x:v>
      </x:c>
      <x:c r="Y622" s="80" t="n">
        <x:f>2*V622</x:f>
        <x:v>0.2520243203131478</x:v>
      </x:c>
      <x:c r="Z622" s="80" t="n">
        <x:f>K622*'Inputs'!$B$16+(G622+R622)*J622*'Inputs'!$B$16</x:f>
        <x:v>0.0007560787939395421</x:v>
      </x:c>
      <x:c r="AA622" s="80" t="n">
        <x:f>K622*(1+'Inputs'!$E$45)/2*'Inputs'!$B$17</x:f>
        <x:v>0.00024086923864494002</x:v>
      </x:c>
      <x:c r="AB622" s="78" t="n">
        <x:f>(IF(J622&gt;0,K622*(1-'Inputs'!$E$45)/2/J622,0)+G622+R622)*'Inputs'!$B$17</x:f>
        <x:v>2113.8718452580674</x:v>
      </x:c>
      <x:c r="AC622" s="78" t="n">
        <x:f>AC621+AB622</x:f>
        <x:v>5743279215.269111</x:v>
      </x:c>
      <x:c r="AD622" s="80" t="n">
        <x:f>Z622/(1+'Inputs'!$C$45)</x:f>
        <x:v>0.0005040525292930281</x:v>
      </x:c>
      <x:c r="AE622" s="80" t="n">
        <x:f>Z622-AD622</x:f>
        <x:v>0.00025202626464651404</x:v>
      </x:c>
      <x:c r="AF622" s="80" t="n">
        <x:f>D622*W622</x:f>
        <x:v>2.5092754294670275e-7</x:v>
      </x:c>
      <x:c r="AG622" s="80" t="n">
        <x:f>C622*W622</x:f>
        <x:v>4.3912320015671935e-7</x:v>
      </x:c>
      <x:c r="AH622" s="80" t="n">
        <x:f>2*'Inputs'!$B$8*'Inputs'!$C$45</x:f>
        <x:v>2500</x:v>
      </x:c>
      <x:c r="AI622" s="81" t="n">
        <x:f>IF(AH622&gt;0,(AE622+AF622)/AH622*365,0)</x:f>
        <x:v>0.000036832470059661275</x:v>
      </x:c>
      <x:c r="AJ622" s="81" t="n">
        <x:f>IF('Inputs'!$B$45&gt;0,AG622/('Inputs'!$B$19*'Inputs'!$B$45)*365,0)</x:f>
        <x:v>2.1370662407627007e-8</x:v>
      </x:c>
      <x:c r="AK622" s="81" t="n">
        <x:f>W622/MAX($W$369:W622)-1</x:f>
        <x:v>-0.9999999987630307</x:v>
      </x:c>
      <x:c r="AL622" s="83" t="n">
        <x:f>'Inputs'!$B$45</x:f>
        <x:v>0.75</x:v>
      </x:c>
      <x:c r="AM622" s="83" t="n">
        <x:f>'Inputs'!$C$45</x:f>
        <x:v>0.5</x:v>
      </x:c>
      <x:c r="AN622" s="83" t="n">
        <x:f>'Inputs'!$D$45</x:f>
        <x:v>0.5</x:v>
      </x:c>
      <x:c r="AO622" s="81" t="n">
        <x:f>'Inputs'!$E$45</x:f>
        <x:v>-0.05</x:v>
      </x:c>
    </x:row>
    <x:row r="623">
      <x:c r="A623" s="59" t="str">
        <x:v>Weak demand</x:v>
      </x:c>
      <x:c r="B623" s="59" t="n">
        <x:v>255</x:v>
      </x:c>
      <x:c r="C623" s="78" t="n">
        <x:f>(('Inputs'!$B$29*(3*255*'Inputs'!$B$12-255^2)/(2*'Inputs'!$B$12^2))-('Inputs'!$B$29*(3*254*'Inputs'!$B$12-254^2)/(2*'Inputs'!$B$12^2)))*'Inputs'!$B$45</x:f>
        <x:v>471934.7555826679</x:v>
      </x:c>
      <x:c r="D623" s="78" t="n">
        <x:f>IF('Inputs'!$C$45&gt;0,('Inputs'!$B$30*(3*255*'Inputs'!$B$12-255^2)/(2*'Inputs'!$B$12^2))-('Inputs'!$B$30*(3*254*'Inputs'!$B$12-254^2)/(2*'Inputs'!$B$12^2)),0)</x:f>
        <x:v>269677.0031900853</x:v>
      </x:c>
      <x:c r="E623" s="78" t="n">
        <x:f>C623+D623</x:f>
        <x:v>741611.7587727532</x:v>
      </x:c>
      <x:c r="F623" s="78" t="n">
        <x:f>'Inputs'!$B$13*E623+(1-'Inputs'!$B$13)/'Inputs'!$B$14*SUM(E568:E623)</x:f>
        <x:v>750041.3421842747</x:v>
      </x:c>
      <x:c r="G623" s="78" t="n">
        <x:f>F623*'Inputs'!$F$45</x:f>
        <x:v>525028.9395289923</x:v>
      </x:c>
      <x:c r="H623" s="78" t="n">
        <x:f>U622</x:f>
        <x:v>135497836698.87468</x:v>
      </x:c>
      <x:c r="I623" s="78" t="n">
        <x:f>V622</x:f>
        <x:v>0.1260121601565739</x:v>
      </x:c>
      <x:c r="J623" s="79" t="n">
        <x:f>IF(H623&gt;0,I623/H623,0)</x:f>
        <x:v>9.299938893977963e-13</x:v>
      </x:c>
      <x:c r="K623" s="80" t="n">
        <x:f>(H623*J623+I623)*'Inputs'!$D$45*(1+'Inputs'!$G$45)^(B623/30)</x:f>
        <x:v>0.1260121601565739</x:v>
      </x:c>
      <x:c r="L623" s="80" t="n">
        <x:f>MAX(0,K623*'Inputs'!$E$45)</x:f>
        <x:v>0</x:v>
      </x:c>
      <x:c r="M623" s="80" t="n">
        <x:f>MAX(0,-K623*'Inputs'!$E$45)</x:f>
        <x:v>0.006300608007828695</x:v>
      </x:c>
      <x:c r="N623" s="78" t="n">
        <x:f>H623*(L623*(1-'Inputs'!$B$15))/(I623+L623*(1-'Inputs'!$B$15))</x:f>
        <x:v>0</x:v>
      </x:c>
      <x:c r="O623" s="78" t="n">
        <x:f>H623-N623</x:f>
        <x:v>135497836698.87468</x:v>
      </x:c>
      <x:c r="P623" s="78" t="n">
        <x:f>I623+L623*(1-'Inputs'!$B$17)</x:f>
        <x:v>0.1260121601565739</x:v>
      </x:c>
      <x:c r="Q623" s="78" t="n">
        <x:f>IF(J623&gt;0,M623/J623,0)</x:f>
        <x:v>0</x:v>
      </x:c>
      <x:c r="R623" s="78" t="n">
        <x:f>IF(B623='Inputs'!$H$45,'Inputs'!$B$27*'Inputs'!$I$45,0)</x:f>
        <x:v>0</x:v>
      </x:c>
      <x:c r="S623" s="78" t="n">
        <x:f>Q623+G623+R623</x:f>
        <x:v>525028.9395289923</x:v>
      </x:c>
      <x:c r="T623" s="78" t="n">
        <x:f>P623*(S623*(1-'Inputs'!$B$15))/(O623+S623*(1-'Inputs'!$B$15))</x:f>
        <x:v>4.833891141512123e-7</x:v>
      </x:c>
      <x:c r="U623" s="78" t="n">
        <x:f>O623+S623*(1-'Inputs'!$B$17)</x:f>
        <x:v>135498359615.0217</x:v>
      </x:c>
      <x:c r="V623" s="78" t="n">
        <x:f>P623-T623</x:f>
        <x:v>0.12601167676745975</x:v>
      </x:c>
      <x:c r="W623" s="79" t="n">
        <x:f>IF(U623&gt;0,V623/U623,0)</x:f>
        <x:v>9.299867328688293e-13</x:v>
      </x:c>
      <x:c r="X623" s="80" t="n">
        <x:f>W623*('Inputs'!$B$6-AC623)</x:f>
        <x:v>-0.004411188705361751</x:v>
      </x:c>
      <x:c r="Y623" s="80" t="n">
        <x:f>2*V623</x:f>
        <x:v>0.2520233535349195</x:v>
      </x:c>
      <x:c r="Z623" s="80" t="n">
        <x:f>K623*'Inputs'!$B$16+(G623+R623)*J623*'Inputs'!$B$16</x:f>
        <x:v>0.0007560758905816766</x:v>
      </x:c>
      <x:c r="AA623" s="80" t="n">
        <x:f>K623*(1+'Inputs'!$E$45)/2*'Inputs'!$B$17</x:f>
        <x:v>0.00024086831418258597</x:v>
      </x:c>
      <x:c r="AB623" s="78" t="n">
        <x:f>(IF(J623&gt;0,K623*(1-'Inputs'!$E$45)/2/J623,0)+G623+R623)*'Inputs'!$B$17</x:f>
        <x:v>2112.79251319514</x:v>
      </x:c>
      <x:c r="AC623" s="78" t="n">
        <x:f>AC622+AB623</x:f>
        <x:v>5743281328.061624</x:v>
      </x:c>
      <x:c r="AD623" s="80" t="n">
        <x:f>Z623/(1+'Inputs'!$C$45)</x:f>
        <x:v>0.0005040505937211178</x:v>
      </x:c>
      <x:c r="AE623" s="80" t="n">
        <x:f>Z623-AD623</x:f>
        <x:v>0.0002520252968605588</x:v>
      </x:c>
      <x:c r="AF623" s="80" t="n">
        <x:f>D623*W623</x:f>
        <x:v>2.507960351266043e-7</x:v>
      </x:c>
      <x:c r="AG623" s="80" t="n">
        <x:f>C623*W623</x:f>
        <x:v>4.388930614715748e-7</x:v>
      </x:c>
      <x:c r="AH623" s="80" t="n">
        <x:f>2*'Inputs'!$B$8*'Inputs'!$C$45</x:f>
        <x:v>2500</x:v>
      </x:c>
      <x:c r="AI623" s="81" t="n">
        <x:f>IF(AH623&gt;0,(AE623+AF623)/AH623*365,0)</x:f>
        <x:v>0.00003683230956277008</x:v>
      </x:c>
      <x:c r="AJ623" s="81" t="n">
        <x:f>IF('Inputs'!$B$45&gt;0,AG623/('Inputs'!$B$19*'Inputs'!$B$45)*365,0)</x:f>
        <x:v>2.1359462324949974e-8</x:v>
      </x:c>
      <x:c r="AK623" s="81" t="n">
        <x:f>W623/MAX($W$369:W623)-1</x:f>
        <x:v>-0.9999999987630402</x:v>
      </x:c>
      <x:c r="AL623" s="83" t="n">
        <x:f>'Inputs'!$B$45</x:f>
        <x:v>0.75</x:v>
      </x:c>
      <x:c r="AM623" s="83" t="n">
        <x:f>'Inputs'!$C$45</x:f>
        <x:v>0.5</x:v>
      </x:c>
      <x:c r="AN623" s="83" t="n">
        <x:f>'Inputs'!$D$45</x:f>
        <x:v>0.5</x:v>
      </x:c>
      <x:c r="AO623" s="81" t="n">
        <x:f>'Inputs'!$E$45</x:f>
        <x:v>-0.05</x:v>
      </x:c>
    </x:row>
    <x:row r="624">
      <x:c r="A624" s="59" t="str">
        <x:v>Weak demand</x:v>
      </x:c>
      <x:c r="B624" s="59" t="n">
        <x:v>256</x:v>
      </x:c>
      <x:c r="C624" s="78" t="n">
        <x:f>(('Inputs'!$B$29*(3*256*'Inputs'!$B$12-256^2)/(2*'Inputs'!$B$12^2))-('Inputs'!$B$29*(3*255*'Inputs'!$B$12-255^2)/(2*'Inputs'!$B$12^2)))*'Inputs'!$B$45</x:f>
        <x:v>471690.92465753853</x:v>
      </x:c>
      <x:c r="D624" s="78" t="n">
        <x:f>IF('Inputs'!$C$45&gt;0,('Inputs'!$B$30*(3*256*'Inputs'!$B$12-256^2)/(2*'Inputs'!$B$12^2))-('Inputs'!$B$30*(3*255*'Inputs'!$B$12-255^2)/(2*'Inputs'!$B$12^2)),0)</x:f>
        <x:v>269537.67123287916</x:v>
      </x:c>
      <x:c r="E624" s="78" t="n">
        <x:f>C624+D624</x:f>
        <x:v>741228.5958904177</x:v>
      </x:c>
      <x:c r="F624" s="78" t="n">
        <x:f>'Inputs'!$B$13*E624+(1-'Inputs'!$B$13)/'Inputs'!$B$14*SUM(E569:E624)</x:f>
        <x:v>749658.1793019342</x:v>
      </x:c>
      <x:c r="G624" s="78" t="n">
        <x:f>F624*'Inputs'!$F$45</x:f>
        <x:v>524760.7255113539</x:v>
      </x:c>
      <x:c r="H624" s="78" t="n">
        <x:f>U623</x:f>
        <x:v>135498359615.0217</x:v>
      </x:c>
      <x:c r="I624" s="78" t="n">
        <x:f>V623</x:f>
        <x:v>0.12601167676745975</x:v>
      </x:c>
      <x:c r="J624" s="79" t="n">
        <x:f>IF(H624&gt;0,I624/H624,0)</x:f>
        <x:v>9.299867328688293e-13</x:v>
      </x:c>
      <x:c r="K624" s="80" t="n">
        <x:f>(H624*J624+I624)*'Inputs'!$D$45*(1+'Inputs'!$G$45)^(B624/30)</x:f>
        <x:v>0.12601167676745975</x:v>
      </x:c>
      <x:c r="L624" s="80" t="n">
        <x:f>MAX(0,K624*'Inputs'!$E$45)</x:f>
        <x:v>0</x:v>
      </x:c>
      <x:c r="M624" s="80" t="n">
        <x:f>MAX(0,-K624*'Inputs'!$E$45)</x:f>
        <x:v>0.006300583838372988</x:v>
      </x:c>
      <x:c r="N624" s="78" t="n">
        <x:f>H624*(L624*(1-'Inputs'!$B$15))/(I624+L624*(1-'Inputs'!$B$15))</x:f>
        <x:v>0</x:v>
      </x:c>
      <x:c r="O624" s="78" t="n">
        <x:f>H624-N624</x:f>
        <x:v>135498359615.0217</x:v>
      </x:c>
      <x:c r="P624" s="78" t="n">
        <x:f>I624+L624*(1-'Inputs'!$B$17)</x:f>
        <x:v>0.12601167676745975</x:v>
      </x:c>
      <x:c r="Q624" s="78" t="n">
        <x:f>IF(J624&gt;0,M624/J624,0)</x:f>
        <x:v>0</x:v>
      </x:c>
      <x:c r="R624" s="78" t="n">
        <x:f>IF(B624='Inputs'!$H$45,'Inputs'!$B$27*'Inputs'!$I$45,0)</x:f>
        <x:v>0</x:v>
      </x:c>
      <x:c r="S624" s="78" t="n">
        <x:f>Q624+G624+R624</x:f>
        <x:v>524760.7255113539</x:v>
      </x:c>
      <x:c r="T624" s="78" t="n">
        <x:f>P624*(S624*(1-'Inputs'!$B$15))/(O624+S624*(1-'Inputs'!$B$15))</x:f>
        <x:v>4.831384551325411e-7</x:v>
      </x:c>
      <x:c r="U624" s="78" t="n">
        <x:f>O624+S624*(1-'Inputs'!$B$17)</x:f>
        <x:v>135498882264.03403</x:v>
      </x:c>
      <x:c r="V624" s="78" t="n">
        <x:f>P624-T624</x:f>
        <x:v>0.12601119362900462</x:v>
      </x:c>
      <x:c r="W624" s="79" t="n">
        <x:f>IF(U624&gt;0,V624/U624,0)</x:f>
        <x:v>9.29979580078442e-13</x:v>
      </x:c>
      <x:c r="X624" s="80" t="n">
        <x:f>W624*('Inputs'!$B$6-AC624)</x:f>
        <x:v>-0.004411156741514801</x:v>
      </x:c>
      <x:c r="Y624" s="80" t="n">
        <x:f>2*V624</x:f>
        <x:v>0.25202238725800924</x:v>
      </x:c>
      <x:c r="Z624" s="80" t="n">
        <x:f>K624*'Inputs'!$B$16+(G624+R624)*J624*'Inputs'!$B$16</x:f>
        <x:v>0.0007560729887278344</x:v>
      </x:c>
      <x:c r="AA624" s="80" t="n">
        <x:f>K624*(1+'Inputs'!$E$45)/2*'Inputs'!$B$17</x:f>
        <x:v>0.00024086739019936975</x:v>
      </x:c>
      <x:c r="AB624" s="78" t="n">
        <x:f>(IF(J624&gt;0,K624*(1-'Inputs'!$E$45)/2/J624,0)+G624+R624)*'Inputs'!$B$17</x:f>
        <x:v>2111.7131811322092</x:v>
      </x:c>
      <x:c r="AC624" s="78" t="n">
        <x:f>AC623+AB624</x:f>
        <x:v>5743283439.774805</x:v>
      </x:c>
      <x:c r="AD624" s="80" t="n">
        <x:f>Z624/(1+'Inputs'!$C$45)</x:f>
        <x:v>0.0005040486591518896</x:v>
      </x:c>
      <x:c r="AE624" s="80" t="n">
        <x:f>Z624-AD624</x:f>
        <x:v>0.00025202432957594477</x:v>
      </x:c>
      <x:c r="AF624" s="80" t="n">
        <x:f>D624*W624</x:f>
        <x:v>2.506645303084741e-7</x:v>
      </x:c>
      <x:c r="AG624" s="80" t="n">
        <x:f>C624*W624</x:f>
        <x:v>4.3866292803982973e-7</x:v>
      </x:c>
      <x:c r="AH624" s="80" t="n">
        <x:f>2*'Inputs'!$B$8*'Inputs'!$C$45</x:f>
        <x:v>2500</x:v>
      </x:c>
      <x:c r="AI624" s="81" t="n">
        <x:f>IF(AH624&gt;0,(AE624+AF624)/AH624*365,0)</x:f>
        <x:v>0.00003683214913951298</x:v>
      </x:c>
      <x:c r="AJ624" s="81" t="n">
        <x:f>IF('Inputs'!$B$45&gt;0,AG624/('Inputs'!$B$19*'Inputs'!$B$45)*365,0)</x:f>
        <x:v>2.1348262497938378e-8</x:v>
      </x:c>
      <x:c r="AK624" s="81" t="n">
        <x:f>W624/MAX($W$369:W624)-1</x:f>
        <x:v>-0.9999999987630498</x:v>
      </x:c>
      <x:c r="AL624" s="83" t="n">
        <x:f>'Inputs'!$B$45</x:f>
        <x:v>0.75</x:v>
      </x:c>
      <x:c r="AM624" s="83" t="n">
        <x:f>'Inputs'!$C$45</x:f>
        <x:v>0.5</x:v>
      </x:c>
      <x:c r="AN624" s="83" t="n">
        <x:f>'Inputs'!$D$45</x:f>
        <x:v>0.5</x:v>
      </x:c>
      <x:c r="AO624" s="81" t="n">
        <x:f>'Inputs'!$E$45</x:f>
        <x:v>-0.05</x:v>
      </x:c>
    </x:row>
    <x:row r="625">
      <x:c r="A625" s="59" t="str">
        <x:v>Weak demand</x:v>
      </x:c>
      <x:c r="B625" s="59" t="n">
        <x:v>257</x:v>
      </x:c>
      <x:c r="C625" s="78" t="n">
        <x:f>(('Inputs'!$B$29*(3*257*'Inputs'!$B$12-257^2)/(2*'Inputs'!$B$12^2))-('Inputs'!$B$29*(3*256*'Inputs'!$B$12-256^2)/(2*'Inputs'!$B$12^2)))*'Inputs'!$B$45</x:f>
        <x:v>471447.0937324092</x:v>
      </x:c>
      <x:c r="D625" s="78" t="n">
        <x:f>IF('Inputs'!$C$45&gt;0,('Inputs'!$B$30*(3*257*'Inputs'!$B$12-257^2)/(2*'Inputs'!$B$12^2))-('Inputs'!$B$30*(3*256*'Inputs'!$B$12-256^2)/(2*'Inputs'!$B$12^2)),0)</x:f>
        <x:v>269398.33927565813</x:v>
      </x:c>
      <x:c r="E625" s="78" t="n">
        <x:f>C625+D625</x:f>
        <x:v>740845.4330080673</x:v>
      </x:c>
      <x:c r="F625" s="78" t="n">
        <x:f>'Inputs'!$B$13*E625+(1-'Inputs'!$B$13)/'Inputs'!$B$14*SUM(E570:E625)</x:f>
        <x:v>749275.0164195906</x:v>
      </x:c>
      <x:c r="G625" s="78" t="n">
        <x:f>F625*'Inputs'!$F$45</x:f>
        <x:v>524492.5114937134</x:v>
      </x:c>
      <x:c r="H625" s="78" t="n">
        <x:f>U624</x:f>
        <x:v>135498882264.03403</x:v>
      </x:c>
      <x:c r="I625" s="78" t="n">
        <x:f>V624</x:f>
        <x:v>0.12601119362900462</x:v>
      </x:c>
      <x:c r="J625" s="79" t="n">
        <x:f>IF(H625&gt;0,I625/H625,0)</x:f>
        <x:v>9.29979580078442e-13</x:v>
      </x:c>
      <x:c r="K625" s="80" t="n">
        <x:f>(H625*J625+I625)*'Inputs'!$D$45*(1+'Inputs'!$G$45)^(B625/30)</x:f>
        <x:v>0.12601119362900462</x:v>
      </x:c>
      <x:c r="L625" s="80" t="n">
        <x:f>MAX(0,K625*'Inputs'!$E$45)</x:f>
        <x:v>0</x:v>
      </x:c>
      <x:c r="M625" s="80" t="n">
        <x:f>MAX(0,-K625*'Inputs'!$E$45)</x:f>
        <x:v>0.006300559681450231</x:v>
      </x:c>
      <x:c r="N625" s="78" t="n">
        <x:f>H625*(L625*(1-'Inputs'!$B$15))/(I625+L625*(1-'Inputs'!$B$15))</x:f>
        <x:v>0</x:v>
      </x:c>
      <x:c r="O625" s="78" t="n">
        <x:f>H625-N625</x:f>
        <x:v>135498882264.03403</x:v>
      </x:c>
      <x:c r="P625" s="78" t="n">
        <x:f>I625+L625*(1-'Inputs'!$B$17)</x:f>
        <x:v>0.12601119362900462</x:v>
      </x:c>
      <x:c r="Q625" s="78" t="n">
        <x:f>IF(J625&gt;0,M625/J625,0)</x:f>
        <x:v>0</x:v>
      </x:c>
      <x:c r="R625" s="78" t="n">
        <x:f>IF(B625='Inputs'!$H$45,'Inputs'!$B$27*'Inputs'!$I$45,0)</x:f>
        <x:v>0</x:v>
      </x:c>
      <x:c r="S625" s="78" t="n">
        <x:f>Q625+G625+R625</x:f>
        <x:v>524492.5114937134</x:v>
      </x:c>
      <x:c r="T625" s="78" t="n">
        <x:f>P625*(S625*(1-'Inputs'!$B$15))/(O625+S625*(1-'Inputs'!$B$15))</x:f>
        <x:v>4.828878018546666e-7</x:v>
      </x:c>
      <x:c r="U625" s="78" t="n">
        <x:f>O625+S625*(1-'Inputs'!$B$17)</x:f>
        <x:v>135499404645.91167</x:v>
      </x:c>
      <x:c r="V625" s="78" t="n">
        <x:f>P625-T625</x:f>
        <x:v>0.12601071074120276</x:v>
      </x:c>
      <x:c r="W625" s="79" t="n">
        <x:f>IF(U625&gt;0,V625/U625,0)</x:f>
        <x:v>9.299724310265065e-13</x:v>
      </x:c>
      <x:c r="X625" s="80" t="n">
        <x:f>W625*('Inputs'!$B$6-AC625)</x:f>
        <x:v>-0.004411124794366437</x:v>
      </x:c>
      <x:c r="Y625" s="80" t="n">
        <x:f>2*V625</x:f>
        <x:v>0.2520214214824055</x:v>
      </x:c>
      <x:c r="Z625" s="80" t="n">
        <x:f>K625*'Inputs'!$B$16+(G625+R625)*J625*'Inputs'!$B$16</x:f>
        <x:v>0.0007560700883779812</x:v>
      </x:c>
      <x:c r="AA625" s="80" t="n">
        <x:f>K625*(1+'Inputs'!$E$45)/2*'Inputs'!$B$17</x:f>
        <x:v>0.00024086646669528046</x:v>
      </x:c>
      <x:c r="AB625" s="78" t="n">
        <x:f>(IF(J625&gt;0,K625*(1-'Inputs'!$E$45)/2/J625,0)+G625+R625)*'Inputs'!$B$17</x:f>
        <x:v>2110.633849069269</x:v>
      </x:c>
      <x:c r="AC625" s="78" t="n">
        <x:f>AC624+AB625</x:f>
        <x:v>5743285550.408654</x:v>
      </x:c>
      <x:c r="AD625" s="80" t="n">
        <x:f>Z625/(1+'Inputs'!$C$45)</x:f>
        <x:v>0.0005040467255853208</x:v>
      </x:c>
      <x:c r="AE625" s="80" t="n">
        <x:f>Z625-AD625</x:f>
        <x:v>0.00025202336279266037</x:v>
      </x:c>
      <x:c r="AF625" s="80" t="n">
        <x:f>D625*W625</x:f>
        <x:v>2.505330284906874e-7</x:v>
      </x:c>
      <x:c r="AG625" s="80" t="n">
        <x:f>C625*W625</x:f>
        <x:v>4.384327998587098e-7</x:v>
      </x:c>
      <x:c r="AH625" s="80" t="n">
        <x:f>2*'Inputs'!$B$8*'Inputs'!$C$45</x:f>
        <x:v>2500</x:v>
      </x:c>
      <x:c r="AI625" s="81" t="n">
        <x:f>IF(AH625&gt;0,(AE625+AF625)/AH625*365,0)</x:f>
        <x:v>0.000036831988789888055</x:v>
      </x:c>
      <x:c r="AJ625" s="81" t="n">
        <x:f>IF('Inputs'!$B$45&gt;0,AG625/('Inputs'!$B$19*'Inputs'!$B$45)*365,0)</x:f>
        <x:v>2.133706292645721e-8</x:v>
      </x:c>
      <x:c r="AK625" s="81" t="n">
        <x:f>W625/MAX($W$369:W625)-1</x:f>
        <x:v>-0.9999999987630592</x:v>
      </x:c>
      <x:c r="AL625" s="83" t="n">
        <x:f>'Inputs'!$B$45</x:f>
        <x:v>0.75</x:v>
      </x:c>
      <x:c r="AM625" s="83" t="n">
        <x:f>'Inputs'!$C$45</x:f>
        <x:v>0.5</x:v>
      </x:c>
      <x:c r="AN625" s="83" t="n">
        <x:f>'Inputs'!$D$45</x:f>
        <x:v>0.5</x:v>
      </x:c>
      <x:c r="AO625" s="81" t="n">
        <x:f>'Inputs'!$E$45</x:f>
        <x:v>-0.05</x:v>
      </x:c>
    </x:row>
    <x:row r="626">
      <x:c r="A626" s="59" t="str">
        <x:v>Weak demand</x:v>
      </x:c>
      <x:c r="B626" s="59" t="n">
        <x:v>258</x:v>
      </x:c>
      <x:c r="C626" s="78" t="n">
        <x:f>(('Inputs'!$B$29*(3*258*'Inputs'!$B$12-258^2)/(2*'Inputs'!$B$12^2))-('Inputs'!$B$29*(3*257*'Inputs'!$B$12-257^2)/(2*'Inputs'!$B$12^2)))*'Inputs'!$B$45</x:f>
        <x:v>471203.2628072798</x:v>
      </x:c>
      <x:c r="D626" s="78" t="n">
        <x:f>IF('Inputs'!$C$45&gt;0,('Inputs'!$B$30*(3*258*'Inputs'!$B$12-258^2)/(2*'Inputs'!$B$12^2))-('Inputs'!$B$30*(3*257*'Inputs'!$B$12-257^2)/(2*'Inputs'!$B$12^2)),0)</x:f>
        <x:v>269259.007318452</x:v>
      </x:c>
      <x:c r="E626" s="78" t="n">
        <x:f>C626+D626</x:f>
        <x:v>740462.2701257318</x:v>
      </x:c>
      <x:c r="F626" s="78" t="n">
        <x:f>'Inputs'!$B$13*E626+(1-'Inputs'!$B$13)/'Inputs'!$B$14*SUM(E571:E626)</x:f>
        <x:v>748891.8535372503</x:v>
      </x:c>
      <x:c r="G626" s="78" t="n">
        <x:f>F626*'Inputs'!$F$45</x:f>
        <x:v>524224.2974760752</x:v>
      </x:c>
      <x:c r="H626" s="78" t="n">
        <x:f>U625</x:f>
        <x:v>135499404645.91167</x:v>
      </x:c>
      <x:c r="I626" s="78" t="n">
        <x:f>V625</x:f>
        <x:v>0.12601071074120276</x:v>
      </x:c>
      <x:c r="J626" s="79" t="n">
        <x:f>IF(H626&gt;0,I626/H626,0)</x:f>
        <x:v>9.299724310265065e-13</x:v>
      </x:c>
      <x:c r="K626" s="80" t="n">
        <x:f>(H626*J626+I626)*'Inputs'!$D$45*(1+'Inputs'!$G$45)^(B626/30)</x:f>
        <x:v>0.12601071074120276</x:v>
      </x:c>
      <x:c r="L626" s="80" t="n">
        <x:f>MAX(0,K626*'Inputs'!$E$45)</x:f>
        <x:v>0</x:v>
      </x:c>
      <x:c r="M626" s="80" t="n">
        <x:f>MAX(0,-K626*'Inputs'!$E$45)</x:f>
        <x:v>0.006300535537060139</x:v>
      </x:c>
      <x:c r="N626" s="78" t="n">
        <x:f>H626*(L626*(1-'Inputs'!$B$15))/(I626+L626*(1-'Inputs'!$B$15))</x:f>
        <x:v>0</x:v>
      </x:c>
      <x:c r="O626" s="78" t="n">
        <x:f>H626-N626</x:f>
        <x:v>135499404645.91167</x:v>
      </x:c>
      <x:c r="P626" s="78" t="n">
        <x:f>I626+L626*(1-'Inputs'!$B$17)</x:f>
        <x:v>0.12601071074120276</x:v>
      </x:c>
      <x:c r="Q626" s="78" t="n">
        <x:f>IF(J626&gt;0,M626/J626,0)</x:f>
        <x:v>0</x:v>
      </x:c>
      <x:c r="R626" s="78" t="n">
        <x:f>IF(B626='Inputs'!$H$45,'Inputs'!$B$27*'Inputs'!$I$45,0)</x:f>
        <x:v>0</x:v>
      </x:c>
      <x:c r="S626" s="78" t="n">
        <x:f>Q626+G626+R626</x:f>
        <x:v>524224.2974760752</x:v>
      </x:c>
      <x:c r="T626" s="78" t="n">
        <x:f>P626*(S626*(1-'Inputs'!$B$15))/(O626+S626*(1-'Inputs'!$B$15))</x:f>
        <x:v>4.826371543145486e-7</x:v>
      </x:c>
      <x:c r="U626" s="78" t="n">
        <x:f>O626+S626*(1-'Inputs'!$B$17)</x:f>
        <x:v>135499926760.65463</x:v>
      </x:c>
      <x:c r="V626" s="78" t="n">
        <x:f>P626-T626</x:f>
        <x:v>0.12601022810404844</x:v>
      </x:c>
      <x:c r="W626" s="79" t="n">
        <x:f>IF(U626&gt;0,V626/U626,0)</x:f>
        <x:v>9.299652857128943e-13</x:v>
      </x:c>
      <x:c r="X626" s="80" t="n">
        <x:f>W626*('Inputs'!$B$6-AC626)</x:f>
        <x:v>-0.004411092863916096</x:v>
      </x:c>
      <x:c r="Y626" s="80" t="n">
        <x:f>2*V626</x:f>
        <x:v>0.2520204562080969</x:v>
      </x:c>
      <x:c r="Z626" s="80" t="n">
        <x:f>K626*'Inputs'!$B$16+(G626+R626)*J626*'Inputs'!$B$16</x:f>
        <x:v>0.0007560671895320825</x:v>
      </x:c>
      <x:c r="AA626" s="80" t="n">
        <x:f>K626*(1+'Inputs'!$E$45)/2*'Inputs'!$B$17</x:f>
        <x:v>0.00024086554367030712</x:v>
      </x:c>
      <x:c r="AB626" s="78" t="n">
        <x:f>(IF(J626&gt;0,K626*(1-'Inputs'!$E$45)/2/J626,0)+G626+R626)*'Inputs'!$B$17</x:f>
        <x:v>2109.5545170063388</x:v>
      </x:c>
      <x:c r="AC626" s="78" t="n">
        <x:f>AC625+AB626</x:f>
        <x:v>5743287659.963171</x:v>
      </x:c>
      <x:c r="AD626" s="80" t="n">
        <x:f>Z626/(1+'Inputs'!$C$45)</x:f>
        <x:v>0.0005040447930213884</x:v>
      </x:c>
      <x:c r="AE626" s="80" t="n">
        <x:f>Z626-AD626</x:f>
        <x:v>0.00025202239651069415</x:v>
      </x:c>
      <x:c r="AF626" s="80" t="n">
        <x:f>D626*W626</x:f>
        <x:v>2.5040152967167453e-7</x:v>
      </x:c>
      <x:c r="AG626" s="80" t="n">
        <x:f>C626*W626</x:f>
        <x:v>4.3820267692542e-7</x:v>
      </x:c>
      <x:c r="AH626" s="80" t="n">
        <x:f>2*'Inputs'!$B$8*'Inputs'!$C$45</x:f>
        <x:v>2500</x:v>
      </x:c>
      <x:c r="AI626" s="81" t="n">
        <x:f>IF(AH626&gt;0,(AE626+AF626)/AH626*365,0)</x:f>
        <x:v>0.00003683182851389341</x:v>
      </x:c>
      <x:c r="AJ626" s="81" t="n">
        <x:f>IF('Inputs'!$B$45&gt;0,AG626/('Inputs'!$B$19*'Inputs'!$B$45)*365,0)</x:f>
        <x:v>2.1325863610370438e-8</x:v>
      </x:c>
      <x:c r="AK626" s="81" t="n">
        <x:f>W626/MAX($W$369:W626)-1</x:f>
        <x:v>-0.9999999987630688</x:v>
      </x:c>
      <x:c r="AL626" s="83" t="n">
        <x:f>'Inputs'!$B$45</x:f>
        <x:v>0.75</x:v>
      </x:c>
      <x:c r="AM626" s="83" t="n">
        <x:f>'Inputs'!$C$45</x:f>
        <x:v>0.5</x:v>
      </x:c>
      <x:c r="AN626" s="83" t="n">
        <x:f>'Inputs'!$D$45</x:f>
        <x:v>0.5</x:v>
      </x:c>
      <x:c r="AO626" s="81" t="n">
        <x:f>'Inputs'!$E$45</x:f>
        <x:v>-0.05</x:v>
      </x:c>
    </x:row>
    <x:row r="627">
      <x:c r="A627" s="59" t="str">
        <x:v>Weak demand</x:v>
      </x:c>
      <x:c r="B627" s="59" t="n">
        <x:v>259</x:v>
      </x:c>
      <x:c r="C627" s="78" t="n">
        <x:f>(('Inputs'!$B$29*(3*259*'Inputs'!$B$12-259^2)/(2*'Inputs'!$B$12^2))-('Inputs'!$B$29*(3*258*'Inputs'!$B$12-258^2)/(2*'Inputs'!$B$12^2)))*'Inputs'!$B$45</x:f>
        <x:v>470959.4318821505</x:v>
      </x:c>
      <x:c r="D627" s="78" t="n">
        <x:f>IF('Inputs'!$C$45&gt;0,('Inputs'!$B$30*(3*259*'Inputs'!$B$12-259^2)/(2*'Inputs'!$B$12^2))-('Inputs'!$B$30*(3*258*'Inputs'!$B$12-258^2)/(2*'Inputs'!$B$12^2)),0)</x:f>
        <x:v>269119.67536123097</x:v>
      </x:c>
      <x:c r="E627" s="78" t="n">
        <x:f>C627+D627</x:f>
        <x:v>740079.1072433814</x:v>
      </x:c>
      <x:c r="F627" s="78" t="n">
        <x:f>'Inputs'!$B$13*E627+(1-'Inputs'!$B$13)/'Inputs'!$B$14*SUM(E572:E627)</x:f>
        <x:v>748508.6906549063</x:v>
      </x:c>
      <x:c r="G627" s="78" t="n">
        <x:f>F627*'Inputs'!$F$45</x:f>
        <x:v>523956.0834584344</x:v>
      </x:c>
      <x:c r="H627" s="78" t="n">
        <x:f>U626</x:f>
        <x:v>135499926760.65463</x:v>
      </x:c>
      <x:c r="I627" s="78" t="n">
        <x:f>V626</x:f>
        <x:v>0.12601022810404844</x:v>
      </x:c>
      <x:c r="J627" s="79" t="n">
        <x:f>IF(H627&gt;0,I627/H627,0)</x:f>
        <x:v>9.299652857128943e-13</x:v>
      </x:c>
      <x:c r="K627" s="80" t="n">
        <x:f>(H627*J627+I627)*'Inputs'!$D$45*(1+'Inputs'!$G$45)^(B627/30)</x:f>
        <x:v>0.12601022810404844</x:v>
      </x:c>
      <x:c r="L627" s="80" t="n">
        <x:f>MAX(0,K627*'Inputs'!$E$45)</x:f>
        <x:v>0</x:v>
      </x:c>
      <x:c r="M627" s="80" t="n">
        <x:f>MAX(0,-K627*'Inputs'!$E$45)</x:f>
        <x:v>0.006300511405202422</x:v>
      </x:c>
      <x:c r="N627" s="78" t="n">
        <x:f>H627*(L627*(1-'Inputs'!$B$15))/(I627+L627*(1-'Inputs'!$B$15))</x:f>
        <x:v>0</x:v>
      </x:c>
      <x:c r="O627" s="78" t="n">
        <x:f>H627-N627</x:f>
        <x:v>135499926760.65463</x:v>
      </x:c>
      <x:c r="P627" s="78" t="n">
        <x:f>I627+L627*(1-'Inputs'!$B$17)</x:f>
        <x:v>0.12601022810404844</x:v>
      </x:c>
      <x:c r="Q627" s="78" t="n">
        <x:f>IF(J627&gt;0,M627/J627,0)</x:f>
        <x:v>0</x:v>
      </x:c>
      <x:c r="R627" s="78" t="n">
        <x:f>IF(B627='Inputs'!$H$45,'Inputs'!$B$27*'Inputs'!$I$45,0)</x:f>
        <x:v>0</x:v>
      </x:c>
      <x:c r="S627" s="78" t="n">
        <x:f>Q627+G627+R627</x:f>
        <x:v>523956.0834584344</x:v>
      </x:c>
      <x:c r="T627" s="78" t="n">
        <x:f>P627*(S627*(1-'Inputs'!$B$15))/(O627+S627*(1-'Inputs'!$B$15))</x:f>
        <x:v>4.823865125091381e-7</x:v>
      </x:c>
      <x:c r="U627" s="78" t="n">
        <x:f>O627+S627*(1-'Inputs'!$B$17)</x:f>
        <x:v>135500448608.26291</x:v>
      </x:c>
      <x:c r="V627" s="78" t="n">
        <x:f>P627-T627</x:f>
        <x:v>0.12600974571753593</x:v>
      </x:c>
      <x:c r="W627" s="79" t="n">
        <x:f>IF(U627&gt;0,V627/U627,0)</x:f>
        <x:v>9.299581441374783e-13</x:v>
      </x:c>
      <x:c r="X627" s="80" t="n">
        <x:f>W627*('Inputs'!$B$6-AC627)</x:f>
        <x:v>-0.004411060950163223</x:v>
      </x:c>
      <x:c r="Y627" s="80" t="n">
        <x:f>2*V627</x:f>
        <x:v>0.25201949143507185</x:v>
      </x:c>
      <x:c r="Z627" s="80" t="n">
        <x:f>K627*'Inputs'!$B$16+(G627+R627)*J627*'Inputs'!$B$16</x:f>
        <x:v>0.0007560642921901038</x:v>
      </x:c>
      <x:c r="AA627" s="80" t="n">
        <x:f>K627*(1+'Inputs'!$E$45)/2*'Inputs'!$B$17</x:f>
        <x:v>0.0002408646211244387</x:v>
      </x:c>
      <x:c r="AB627" s="78" t="n">
        <x:f>(IF(J627&gt;0,K627*(1-'Inputs'!$E$45)/2/J627,0)+G627+R627)*'Inputs'!$B$17</x:f>
        <x:v>2108.4751849433983</x:v>
      </x:c>
      <x:c r="AC627" s="78" t="n">
        <x:f>AC626+AB627</x:f>
        <x:v>5743289768.438356</x:v>
      </x:c>
      <x:c r="AD627" s="80" t="n">
        <x:f>Z627/(1+'Inputs'!$C$45)</x:f>
        <x:v>0.0005040428614600692</x:v>
      </x:c>
      <x:c r="AE627" s="80" t="n">
        <x:f>Z627-AD627</x:f>
        <x:v>0.0002520214307300346</x:v>
      </x:c>
      <x:c r="AF627" s="80" t="n">
        <x:f>D627*W627</x:f>
        <x:v>2.50270033849811e-7</x:v>
      </x:c>
      <x:c r="AG627" s="80" t="n">
        <x:f>C627*W627</x:f>
        <x:v>4.379725592371658e-7</x:v>
      </x:c>
      <x:c r="AH627" s="80" t="n">
        <x:f>2*'Inputs'!$B$8*'Inputs'!$C$45</x:f>
        <x:v>2500</x:v>
      </x:c>
      <x:c r="AI627" s="81" t="n">
        <x:f>IF(AH627&gt;0,(AE627+AF627)/AH627*365,0)</x:f>
        <x:v>0.000036831668311527125</x:v>
      </x:c>
      <x:c r="AJ627" s="81" t="n">
        <x:f>IF('Inputs'!$B$45&gt;0,AG627/('Inputs'!$B$19*'Inputs'!$B$45)*365,0)</x:f>
        <x:v>2.1314664549542067e-8</x:v>
      </x:c>
      <x:c r="AK627" s="81" t="n">
        <x:f>W627/MAX($W$369:W627)-1</x:f>
        <x:v>-0.9999999987630782</x:v>
      </x:c>
      <x:c r="AL627" s="83" t="n">
        <x:f>'Inputs'!$B$45</x:f>
        <x:v>0.75</x:v>
      </x:c>
      <x:c r="AM627" s="83" t="n">
        <x:f>'Inputs'!$C$45</x:f>
        <x:v>0.5</x:v>
      </x:c>
      <x:c r="AN627" s="83" t="n">
        <x:f>'Inputs'!$D$45</x:f>
        <x:v>0.5</x:v>
      </x:c>
      <x:c r="AO627" s="81" t="n">
        <x:f>'Inputs'!$E$45</x:f>
        <x:v>-0.05</x:v>
      </x:c>
    </x:row>
    <x:row r="628">
      <x:c r="A628" s="59" t="str">
        <x:v>Weak demand</x:v>
      </x:c>
      <x:c r="B628" s="59" t="n">
        <x:v>260</x:v>
      </x:c>
      <x:c r="C628" s="78" t="n">
        <x:f>(('Inputs'!$B$29*(3*260*'Inputs'!$B$12-260^2)/(2*'Inputs'!$B$12^2))-('Inputs'!$B$29*(3*259*'Inputs'!$B$12-259^2)/(2*'Inputs'!$B$12^2)))*'Inputs'!$B$45</x:f>
        <x:v>470715.6009570211</x:v>
      </x:c>
      <x:c r="D628" s="78" t="n">
        <x:f>IF('Inputs'!$C$45&gt;0,('Inputs'!$B$30*(3*260*'Inputs'!$B$12-260^2)/(2*'Inputs'!$B$12^2))-('Inputs'!$B$30*(3*259*'Inputs'!$B$12-259^2)/(2*'Inputs'!$B$12^2)),0)</x:f>
        <x:v>268980.34340400994</x:v>
      </x:c>
      <x:c r="E628" s="78" t="n">
        <x:f>C628+D628</x:f>
        <x:v>739695.944361031</x:v>
      </x:c>
      <x:c r="F628" s="78" t="n">
        <x:f>'Inputs'!$B$13*E628+(1-'Inputs'!$B$13)/'Inputs'!$B$14*SUM(E573:E628)</x:f>
        <x:v>748125.5277725628</x:v>
      </x:c>
      <x:c r="G628" s="78" t="n">
        <x:f>F628*'Inputs'!$F$45</x:f>
        <x:v>523687.86944079393</x:v>
      </x:c>
      <x:c r="H628" s="78" t="n">
        <x:f>U627</x:f>
        <x:v>135500448608.26291</x:v>
      </x:c>
      <x:c r="I628" s="78" t="n">
        <x:f>V627</x:f>
        <x:v>0.12600974571753593</x:v>
      </x:c>
      <x:c r="J628" s="79" t="n">
        <x:f>IF(H628&gt;0,I628/H628,0)</x:f>
        <x:v>9.299581441374783e-13</x:v>
      </x:c>
      <x:c r="K628" s="80" t="n">
        <x:f>(H628*J628+I628)*'Inputs'!$D$45*(1+'Inputs'!$G$45)^(B628/30)</x:f>
        <x:v>0.12600974571753593</x:v>
      </x:c>
      <x:c r="L628" s="80" t="n">
        <x:f>MAX(0,K628*'Inputs'!$E$45)</x:f>
        <x:v>0</x:v>
      </x:c>
      <x:c r="M628" s="80" t="n">
        <x:f>MAX(0,-K628*'Inputs'!$E$45)</x:f>
        <x:v>0.006300487285876797</x:v>
      </x:c>
      <x:c r="N628" s="78" t="n">
        <x:f>H628*(L628*(1-'Inputs'!$B$15))/(I628+L628*(1-'Inputs'!$B$15))</x:f>
        <x:v>0</x:v>
      </x:c>
      <x:c r="O628" s="78" t="n">
        <x:f>H628-N628</x:f>
        <x:v>135500448608.26291</x:v>
      </x:c>
      <x:c r="P628" s="78" t="n">
        <x:f>I628+L628*(1-'Inputs'!$B$17)</x:f>
        <x:v>0.12600974571753593</x:v>
      </x:c>
      <x:c r="Q628" s="78" t="n">
        <x:f>IF(J628&gt;0,M628/J628,0)</x:f>
        <x:v>0</x:v>
      </x:c>
      <x:c r="R628" s="78" t="n">
        <x:f>IF(B628='Inputs'!$H$45,'Inputs'!$B$27*'Inputs'!$I$45,0)</x:f>
        <x:v>0</x:v>
      </x:c>
      <x:c r="S628" s="78" t="n">
        <x:f>Q628+G628+R628</x:f>
        <x:v>523687.86944079393</x:v>
      </x:c>
      <x:c r="T628" s="78" t="n">
        <x:f>P628*(S628*(1-'Inputs'!$B$15))/(O628+S628*(1-'Inputs'!$B$15))</x:f>
        <x:v>4.821358764353937e-7</x:v>
      </x:c>
      <x:c r="U628" s="78" t="n">
        <x:f>O628+S628*(1-'Inputs'!$B$17)</x:f>
        <x:v>135500970188.7365</x:v>
      </x:c>
      <x:c r="V628" s="78" t="n">
        <x:f>P628-T628</x:f>
        <x:v>0.12600926358165948</x:v>
      </x:c>
      <x:c r="W628" s="79" t="n">
        <x:f>IF(U628&gt;0,V628/U628,0)</x:f>
        <x:v>9.299510063001305e-13</x:v>
      </x:c>
      <x:c r="X628" s="80" t="n">
        <x:f>W628*('Inputs'!$B$6-AC628)</x:f>
        <x:v>-0.004411029053107257</x:v>
      </x:c>
      <x:c r="Y628" s="80" t="n">
        <x:f>2*V628</x:f>
        <x:v>0.25201852716331896</x:v>
      </x:c>
      <x:c r="Z628" s="80" t="n">
        <x:f>K628*'Inputs'!$B$16+(G628+R628)*J628*'Inputs'!$B$16</x:f>
        <x:v>0.0007560613963520106</x:v>
      </x:c>
      <x:c r="AA628" s="80" t="n">
        <x:f>K628*(1+'Inputs'!$E$45)/2*'Inputs'!$B$17</x:f>
        <x:v>0.00024086369905766425</x:v>
      </x:c>
      <x:c r="AB628" s="78" t="n">
        <x:f>(IF(J628&gt;0,K628*(1-'Inputs'!$E$45)/2/J628,0)+G628+R628)*'Inputs'!$B$17</x:f>
        <x:v>2107.3958528804587</x:v>
      </x:c>
      <x:c r="AC628" s="78" t="n">
        <x:f>AC627+AB628</x:f>
        <x:v>5743291875.834209</x:v>
      </x:c>
      <x:c r="AD628" s="80" t="n">
        <x:f>Z628/(1+'Inputs'!$C$45)</x:f>
        <x:v>0.0005040409309013404</x:v>
      </x:c>
      <x:c r="AE628" s="80" t="n">
        <x:f>Z628-AD628</x:f>
        <x:v>0.00025202046545067024</x:v>
      </x:c>
      <x:c r="AF628" s="80" t="n">
        <x:f>D628*W628</x:f>
        <x:v>2.5013854102351373e-7</x:v>
      </x:c>
      <x:c r="AG628" s="80" t="n">
        <x:f>C628*W628</x:f>
        <x:v>4.3774244679115247e-7</x:v>
      </x:c>
      <x:c r="AH628" s="80" t="n">
        <x:f>2*'Inputs'!$B$8*'Inputs'!$C$45</x:f>
        <x:v>2500</x:v>
      </x:c>
      <x:c r="AI628" s="81" t="n">
        <x:f>IF(AH628&gt;0,(AE628+AF628)/AH628*365,0)</x:f>
        <x:v>0.00003683150818278729</x:v>
      </x:c>
      <x:c r="AJ628" s="81" t="n">
        <x:f>IF('Inputs'!$B$45&gt;0,AG628/('Inputs'!$B$19*'Inputs'!$B$45)*365,0)</x:f>
        <x:v>2.130346574383609e-8</x:v>
      </x:c>
      <x:c r="AK628" s="81" t="n">
        <x:f>W628/MAX($W$369:W628)-1</x:f>
        <x:v>-0.9999999987630878</x:v>
      </x:c>
      <x:c r="AL628" s="83" t="n">
        <x:f>'Inputs'!$B$45</x:f>
        <x:v>0.75</x:v>
      </x:c>
      <x:c r="AM628" s="83" t="n">
        <x:f>'Inputs'!$C$45</x:f>
        <x:v>0.5</x:v>
      </x:c>
      <x:c r="AN628" s="83" t="n">
        <x:f>'Inputs'!$D$45</x:f>
        <x:v>0.5</x:v>
      </x:c>
      <x:c r="AO628" s="81" t="n">
        <x:f>'Inputs'!$E$45</x:f>
        <x:v>-0.05</x:v>
      </x:c>
    </x:row>
    <x:row r="629">
      <x:c r="A629" s="59" t="str">
        <x:v>Weak demand</x:v>
      </x:c>
      <x:c r="B629" s="59" t="n">
        <x:v>261</x:v>
      </x:c>
      <x:c r="C629" s="78" t="n">
        <x:f>(('Inputs'!$B$29*(3*261*'Inputs'!$B$12-261^2)/(2*'Inputs'!$B$12^2))-('Inputs'!$B$29*(3*260*'Inputs'!$B$12-260^2)/(2*'Inputs'!$B$12^2)))*'Inputs'!$B$45</x:f>
        <x:v>470471.7700319141</x:v>
      </x:c>
      <x:c r="D629" s="78" t="n">
        <x:f>IF('Inputs'!$C$45&gt;0,('Inputs'!$B$30*(3*261*'Inputs'!$B$12-261^2)/(2*'Inputs'!$B$12^2))-('Inputs'!$B$30*(3*260*'Inputs'!$B$12-260^2)/(2*'Inputs'!$B$12^2)),0)</x:f>
        <x:v>268841.0114468038</x:v>
      </x:c>
      <x:c r="E629" s="78" t="n">
        <x:f>C629+D629</x:f>
        <x:v>739312.7814787179</x:v>
      </x:c>
      <x:c r="F629" s="78" t="n">
        <x:f>'Inputs'!$B$13*E629+(1-'Inputs'!$B$13)/'Inputs'!$B$14*SUM(E574:E629)</x:f>
        <x:v>747742.3648902267</x:v>
      </x:c>
      <x:c r="G629" s="78" t="n">
        <x:f>F629*'Inputs'!$F$45</x:f>
        <x:v>523419.65542315866</x:v>
      </x:c>
      <x:c r="H629" s="78" t="n">
        <x:f>U628</x:f>
        <x:v>135500970188.7365</x:v>
      </x:c>
      <x:c r="I629" s="78" t="n">
        <x:f>V628</x:f>
        <x:v>0.12600926358165948</x:v>
      </x:c>
      <x:c r="J629" s="79" t="n">
        <x:f>IF(H629&gt;0,I629/H629,0)</x:f>
        <x:v>9.299510063001305e-13</x:v>
      </x:c>
      <x:c r="K629" s="80" t="n">
        <x:f>(H629*J629+I629)*'Inputs'!$D$45*(1+'Inputs'!$G$45)^(B629/30)</x:f>
        <x:v>0.12600926358165948</x:v>
      </x:c>
      <x:c r="L629" s="80" t="n">
        <x:f>MAX(0,K629*'Inputs'!$E$45)</x:f>
        <x:v>0</x:v>
      </x:c>
      <x:c r="M629" s="80" t="n">
        <x:f>MAX(0,-K629*'Inputs'!$E$45)</x:f>
        <x:v>0.006300463179082974</x:v>
      </x:c>
      <x:c r="N629" s="78" t="n">
        <x:f>H629*(L629*(1-'Inputs'!$B$15))/(I629+L629*(1-'Inputs'!$B$15))</x:f>
        <x:v>0</x:v>
      </x:c>
      <x:c r="O629" s="78" t="n">
        <x:f>H629-N629</x:f>
        <x:v>135500970188.7365</x:v>
      </x:c>
      <x:c r="P629" s="78" t="n">
        <x:f>I629+L629*(1-'Inputs'!$B$17)</x:f>
        <x:v>0.12600926358165948</x:v>
      </x:c>
      <x:c r="Q629" s="78" t="n">
        <x:f>IF(J629&gt;0,M629/J629,0)</x:f>
        <x:v>0</x:v>
      </x:c>
      <x:c r="R629" s="78" t="n">
        <x:f>IF(B629='Inputs'!$H$45,'Inputs'!$B$27*'Inputs'!$I$45,0)</x:f>
        <x:v>0</x:v>
      </x:c>
      <x:c r="S629" s="78" t="n">
        <x:f>Q629+G629+R629</x:f>
        <x:v>523419.65542315866</x:v>
      </x:c>
      <x:c r="T629" s="78" t="n">
        <x:f>P629*(S629*(1-'Inputs'!$B$15))/(O629+S629*(1-'Inputs'!$B$15))</x:f>
        <x:v>4.81885246090276e-7</x:v>
      </x:c>
      <x:c r="U629" s="78" t="n">
        <x:f>O629+S629*(1-'Inputs'!$B$17)</x:f>
        <x:v>135501491502.0754</x:v>
      </x:c>
      <x:c r="V629" s="78" t="n">
        <x:f>P629-T629</x:f>
        <x:v>0.12600878169641339</x:v>
      </x:c>
      <x:c r="W629" s="79" t="n">
        <x:f>IF(U629&gt;0,V629/U629,0)</x:f>
        <x:v>9.299438722007233e-13</x:v>
      </x:c>
      <x:c r="X629" s="80" t="n">
        <x:f>W629*('Inputs'!$B$6-AC629)</x:f>
        <x:v>-0.004410997172747638</x:v>
      </x:c>
      <x:c r="Y629" s="80" t="n">
        <x:f>2*V629</x:f>
        <x:v>0.25201756339282677</x:v>
      </x:c>
      <x:c r="Z629" s="80" t="n">
        <x:f>K629*'Inputs'!$B$16+(G629+R629)*J629*'Inputs'!$B$16</x:f>
        <x:v>0.0007560585020177686</x:v>
      </x:c>
      <x:c r="AA629" s="80" t="n">
        <x:f>K629*(1+'Inputs'!$E$45)/2*'Inputs'!$B$17</x:f>
        <x:v>0.00024086277746997287</x:v>
      </x:c>
      <x:c r="AB629" s="78" t="n">
        <x:f>(IF(J629&gt;0,K629*(1-'Inputs'!$E$45)/2/J629,0)+G629+R629)*'Inputs'!$B$17</x:f>
        <x:v>2106.31652081754</x:v>
      </x:c>
      <x:c r="AC629" s="78" t="n">
        <x:f>AC628+AB629</x:f>
        <x:v>5743293982.15073</x:v>
      </x:c>
      <x:c r="AD629" s="80" t="n">
        <x:f>Z629/(1+'Inputs'!$C$45)</x:f>
        <x:v>0.000504039001345179</x:v>
      </x:c>
      <x:c r="AE629" s="80" t="n">
        <x:f>Z629-AD629</x:f>
        <x:v>0.00025201950067258957</x:v>
      </x:c>
      <x:c r="AF629" s="80" t="n">
        <x:f>D629*W629</x:f>
        <x:v>2.500070511911997e-7</x:v>
      </x:c>
      <x:c r="AG629" s="80" t="n">
        <x:f>C629*W629</x:f>
        <x:v>4.375123395846064e-7</x:v>
      </x:c>
      <x:c r="AH629" s="80" t="n">
        <x:f>2*'Inputs'!$B$8*'Inputs'!$C$45</x:f>
        <x:v>2500</x:v>
      </x:c>
      <x:c r="AI629" s="81" t="n">
        <x:f>IF(AH629&gt;0,(AE629+AF629)/AH629*365,0)</x:f>
        <x:v>0.000036831348127671994</x:v>
      </x:c>
      <x:c r="AJ629" s="81" t="n">
        <x:f>IF('Inputs'!$B$45&gt;0,AG629/('Inputs'!$B$19*'Inputs'!$B$45)*365,0)</x:f>
        <x:v>2.129226719311751e-8</x:v>
      </x:c>
      <x:c r="AK629" s="81" t="n">
        <x:f>W629/MAX($W$369:W629)-1</x:f>
        <x:v>-0.9999999987630972</x:v>
      </x:c>
      <x:c r="AL629" s="83" t="n">
        <x:f>'Inputs'!$B$45</x:f>
        <x:v>0.75</x:v>
      </x:c>
      <x:c r="AM629" s="83" t="n">
        <x:f>'Inputs'!$C$45</x:f>
        <x:v>0.5</x:v>
      </x:c>
      <x:c r="AN629" s="83" t="n">
        <x:f>'Inputs'!$D$45</x:f>
        <x:v>0.5</x:v>
      </x:c>
      <x:c r="AO629" s="81" t="n">
        <x:f>'Inputs'!$E$45</x:f>
        <x:v>-0.05</x:v>
      </x:c>
    </x:row>
    <x:row r="630">
      <x:c r="A630" s="59" t="str">
        <x:v>Weak demand</x:v>
      </x:c>
      <x:c r="B630" s="59" t="n">
        <x:v>262</x:v>
      </x:c>
      <x:c r="C630" s="78" t="n">
        <x:f>(('Inputs'!$B$29*(3*262*'Inputs'!$B$12-262^2)/(2*'Inputs'!$B$12^2))-('Inputs'!$B$29*(3*261*'Inputs'!$B$12-261^2)/(2*'Inputs'!$B$12^2)))*'Inputs'!$B$45</x:f>
        <x:v>470227.9391067624</x:v>
      </x:c>
      <x:c r="D630" s="78" t="n">
        <x:f>IF('Inputs'!$C$45&gt;0,('Inputs'!$B$30*(3*262*'Inputs'!$B$12-262^2)/(2*'Inputs'!$B$12^2))-('Inputs'!$B$30*(3*261*'Inputs'!$B$12-261^2)/(2*'Inputs'!$B$12^2)),0)</x:f>
        <x:v>268701.6794895828</x:v>
      </x:c>
      <x:c r="E630" s="78" t="n">
        <x:f>C630+D630</x:f>
        <x:v>738929.6185963452</x:v>
      </x:c>
      <x:c r="F630" s="78" t="n">
        <x:f>'Inputs'!$B$13*E630+(1-'Inputs'!$B$13)/'Inputs'!$B$14*SUM(E575:E630)</x:f>
        <x:v>747359.2020078783</x:v>
      </x:c>
      <x:c r="G630" s="78" t="n">
        <x:f>F630*'Inputs'!$F$45</x:f>
        <x:v>523151.4414055148</x:v>
      </x:c>
      <x:c r="H630" s="78" t="n">
        <x:f>U629</x:f>
        <x:v>135501491502.0754</x:v>
      </x:c>
      <x:c r="I630" s="78" t="n">
        <x:f>V629</x:f>
        <x:v>0.12600878169641339</x:v>
      </x:c>
      <x:c r="J630" s="79" t="n">
        <x:f>IF(H630&gt;0,I630/H630,0)</x:f>
        <x:v>9.299438722007233e-13</x:v>
      </x:c>
      <x:c r="K630" s="80" t="n">
        <x:f>(H630*J630+I630)*'Inputs'!$D$45*(1+'Inputs'!$G$45)^(B630/30)</x:f>
        <x:v>0.12600878169641339</x:v>
      </x:c>
      <x:c r="L630" s="80" t="n">
        <x:f>MAX(0,K630*'Inputs'!$E$45)</x:f>
        <x:v>0</x:v>
      </x:c>
      <x:c r="M630" s="80" t="n">
        <x:f>MAX(0,-K630*'Inputs'!$E$45)</x:f>
        <x:v>0.006300439084820669</x:v>
      </x:c>
      <x:c r="N630" s="78" t="n">
        <x:f>H630*(L630*(1-'Inputs'!$B$15))/(I630+L630*(1-'Inputs'!$B$15))</x:f>
        <x:v>0</x:v>
      </x:c>
      <x:c r="O630" s="78" t="n">
        <x:f>H630-N630</x:f>
        <x:v>135501491502.0754</x:v>
      </x:c>
      <x:c r="P630" s="78" t="n">
        <x:f>I630+L630*(1-'Inputs'!$B$17)</x:f>
        <x:v>0.12600878169641339</x:v>
      </x:c>
      <x:c r="Q630" s="78" t="n">
        <x:f>IF(J630&gt;0,M630/J630,0)</x:f>
        <x:v>0</x:v>
      </x:c>
      <x:c r="R630" s="78" t="n">
        <x:f>IF(B630='Inputs'!$H$45,'Inputs'!$B$27*'Inputs'!$I$45,0)</x:f>
        <x:v>0</x:v>
      </x:c>
      <x:c r="S630" s="78" t="n">
        <x:f>Q630+G630+R630</x:f>
        <x:v>523151.4414055148</x:v>
      </x:c>
      <x:c r="T630" s="78" t="n">
        <x:f>P630*(S630*(1-'Inputs'!$B$15))/(O630+S630*(1-'Inputs'!$B$15))</x:f>
        <x:v>4.816346214707284e-7</x:v>
      </x:c>
      <x:c r="U630" s="78" t="n">
        <x:f>O630+S630*(1-'Inputs'!$B$17)</x:f>
        <x:v>135502012548.27962</x:v>
      </x:c>
      <x:c r="V630" s="78" t="n">
        <x:f>P630-T630</x:f>
        <x:v>0.12600830006179192</x:v>
      </x:c>
      <x:c r="W630" s="79" t="n">
        <x:f>IF(U630&gt;0,V630/U630,0)</x:f>
        <x:v>9.29936741839129e-13</x:v>
      </x:c>
      <x:c r="X630" s="80" t="n">
        <x:f>W630*('Inputs'!$B$6-AC630)</x:f>
        <x:v>-0.00441096530908381</x:v>
      </x:c>
      <x:c r="Y630" s="80" t="n">
        <x:f>2*V630</x:f>
        <x:v>0.25201660012358384</x:v>
      </x:c>
      <x:c r="Z630" s="80" t="n">
        <x:f>K630*'Inputs'!$B$16+(G630+R630)*J630*'Inputs'!$B$16</x:f>
        <x:v>0.0007560556091873433</x:v>
      </x:c>
      <x:c r="AA630" s="80" t="n">
        <x:f>K630*(1+'Inputs'!$E$45)/2*'Inputs'!$B$17</x:f>
        <x:v>0.00024086185636135358</x:v>
      </x:c>
      <x:c r="AB630" s="78" t="n">
        <x:f>(IF(J630&gt;0,K630*(1-'Inputs'!$E$45)/2/J630,0)+G630+R630)*'Inputs'!$B$17</x:f>
        <x:v>2105.237188754587</x:v>
      </x:c>
      <x:c r="AC630" s="78" t="n">
        <x:f>AC629+AB630</x:f>
        <x:v>5743296087.387918</x:v>
      </x:c>
      <x:c r="AD630" s="80" t="n">
        <x:f>Z630/(1+'Inputs'!$C$45)</x:f>
        <x:v>0.0005040370727915622</x:v>
      </x:c>
      <x:c r="AE630" s="80" t="n">
        <x:f>Z630-AD630</x:f>
        <x:v>0.0002520185363957811</x:v>
      </x:c>
      <x:c r="AF630" s="80" t="n">
        <x:f>D630*W630</x:f>
        <x:v>2.4987556435124457e-7</x:v>
      </x:c>
      <x:c r="AG630" s="80" t="n">
        <x:f>C630*W630</x:f>
        <x:v>4.3728223761467103e-7</x:v>
      </x:c>
      <x:c r="AH630" s="80" t="n">
        <x:f>2*'Inputs'!$B$8*'Inputs'!$C$45</x:f>
        <x:v>2500</x:v>
      </x:c>
      <x:c r="AI630" s="81" t="n">
        <x:f>IF(AH630&gt;0,(AE630+AF630)/AH630*365,0)</x:f>
        <x:v>0.00003683118814617932</x:v>
      </x:c>
      <x:c r="AJ630" s="81" t="n">
        <x:f>IF('Inputs'!$B$45&gt;0,AG630/('Inputs'!$B$19*'Inputs'!$B$45)*365,0)</x:f>
        <x:v>2.1281068897247322e-8</x:v>
      </x:c>
      <x:c r="AK630" s="81" t="n">
        <x:f>W630/MAX($W$369:W630)-1</x:f>
        <x:v>-0.9999999987631067</x:v>
      </x:c>
      <x:c r="AL630" s="83" t="n">
        <x:f>'Inputs'!$B$45</x:f>
        <x:v>0.75</x:v>
      </x:c>
      <x:c r="AM630" s="83" t="n">
        <x:f>'Inputs'!$C$45</x:f>
        <x:v>0.5</x:v>
      </x:c>
      <x:c r="AN630" s="83" t="n">
        <x:f>'Inputs'!$D$45</x:f>
        <x:v>0.5</x:v>
      </x:c>
      <x:c r="AO630" s="81" t="n">
        <x:f>'Inputs'!$E$45</x:f>
        <x:v>-0.05</x:v>
      </x:c>
    </x:row>
    <x:row r="631">
      <x:c r="A631" s="59" t="str">
        <x:v>Weak demand</x:v>
      </x:c>
      <x:c r="B631" s="59" t="n">
        <x:v>263</x:v>
      </x:c>
      <x:c r="C631" s="78" t="n">
        <x:f>(('Inputs'!$B$29*(3*263*'Inputs'!$B$12-263^2)/(2*'Inputs'!$B$12^2))-('Inputs'!$B$29*(3*262*'Inputs'!$B$12-262^2)/(2*'Inputs'!$B$12^2)))*'Inputs'!$B$45</x:f>
        <x:v>469984.1081816554</x:v>
      </x:c>
      <x:c r="D631" s="78" t="n">
        <x:f>IF('Inputs'!$C$45&gt;0,('Inputs'!$B$30*(3*263*'Inputs'!$B$12-263^2)/(2*'Inputs'!$B$12^2))-('Inputs'!$B$30*(3*262*'Inputs'!$B$12-262^2)/(2*'Inputs'!$B$12^2)),0)</x:f>
        <x:v>268562.34753237665</x:v>
      </x:c>
      <x:c r="E631" s="78" t="n">
        <x:f>C631+D631</x:f>
        <x:v>738546.455714032</x:v>
      </x:c>
      <x:c r="F631" s="78" t="n">
        <x:f>'Inputs'!$B$13*E631+(1-'Inputs'!$B$13)/'Inputs'!$B$14*SUM(E576:E631)</x:f>
        <x:v>746976.0391255424</x:v>
      </x:c>
      <x:c r="G631" s="78" t="n">
        <x:f>F631*'Inputs'!$F$45</x:f>
        <x:v>522883.2273878796</x:v>
      </x:c>
      <x:c r="H631" s="78" t="n">
        <x:f>U630</x:f>
        <x:v>135502012548.27962</x:v>
      </x:c>
      <x:c r="I631" s="78" t="n">
        <x:f>V630</x:f>
        <x:v>0.12600830006179192</x:v>
      </x:c>
      <x:c r="J631" s="79" t="n">
        <x:f>IF(H631&gt;0,I631/H631,0)</x:f>
        <x:v>9.29936741839129e-13</x:v>
      </x:c>
      <x:c r="K631" s="80" t="n">
        <x:f>(H631*J631+I631)*'Inputs'!$D$45*(1+'Inputs'!$G$45)^(B631/30)</x:f>
        <x:v>0.12600830006179192</x:v>
      </x:c>
      <x:c r="L631" s="80" t="n">
        <x:f>MAX(0,K631*'Inputs'!$E$45)</x:f>
        <x:v>0</x:v>
      </x:c>
      <x:c r="M631" s="80" t="n">
        <x:f>MAX(0,-K631*'Inputs'!$E$45)</x:f>
        <x:v>0.0063004150030895965</x:v>
      </x:c>
      <x:c r="N631" s="78" t="n">
        <x:f>H631*(L631*(1-'Inputs'!$B$15))/(I631+L631*(1-'Inputs'!$B$15))</x:f>
        <x:v>0</x:v>
      </x:c>
      <x:c r="O631" s="78" t="n">
        <x:f>H631-N631</x:f>
        <x:v>135502012548.27962</x:v>
      </x:c>
      <x:c r="P631" s="78" t="n">
        <x:f>I631+L631*(1-'Inputs'!$B$17)</x:f>
        <x:v>0.12600830006179192</x:v>
      </x:c>
      <x:c r="Q631" s="78" t="n">
        <x:f>IF(J631&gt;0,M631/J631,0)</x:f>
        <x:v>0</x:v>
      </x:c>
      <x:c r="R631" s="78" t="n">
        <x:f>IF(B631='Inputs'!$H$45,'Inputs'!$B$27*'Inputs'!$I$45,0)</x:f>
        <x:v>0</x:v>
      </x:c>
      <x:c r="S631" s="78" t="n">
        <x:f>Q631+G631+R631</x:f>
        <x:v>522883.2273878796</x:v>
      </x:c>
      <x:c r="T631" s="78" t="n">
        <x:f>P631*(S631*(1-'Inputs'!$B$15))/(O631+S631*(1-'Inputs'!$B$15))</x:f>
        <x:v>4.813840025737234e-7</x:v>
      </x:c>
      <x:c r="U631" s="78" t="n">
        <x:f>O631+S631*(1-'Inputs'!$B$17)</x:f>
        <x:v>135502533327.34915</x:v>
      </x:c>
      <x:c r="V631" s="78" t="n">
        <x:f>P631-T631</x:f>
        <x:v>0.12600781867778935</x:v>
      </x:c>
      <x:c r="W631" s="79" t="n">
        <x:f>IF(U631&gt;0,V631/U631,0)</x:f>
        <x:v>9.299296152152202e-13</x:v>
      </x:c>
      <x:c r="X631" s="80" t="n">
        <x:f>W631*('Inputs'!$B$6-AC631)</x:f>
        <x:v>-0.004410933462115213</x:v>
      </x:c>
      <x:c r="Y631" s="80" t="n">
        <x:f>2*V631</x:f>
        <x:v>0.2520156373555787</x:v>
      </x:c>
      <x:c r="Z631" s="80" t="n">
        <x:f>K631*'Inputs'!$B$16+(G631+R631)*J631*'Inputs'!$B$16</x:f>
        <x:v>0.0007560527178607006</x:v>
      </x:c>
      <x:c r="AA631" s="80" t="n">
        <x:f>K631*(1+'Inputs'!$E$45)/2*'Inputs'!$B$17</x:f>
        <x:v>0.00024086093573179543</x:v>
      </x:c>
      <x:c r="AB631" s="78" t="n">
        <x:f>(IF(J631&gt;0,K631*(1-'Inputs'!$E$45)/2/J631,0)+G631+R631)*'Inputs'!$B$17</x:f>
        <x:v>2104.1578566916687</x:v>
      </x:c>
      <x:c r="AC631" s="78" t="n">
        <x:f>AC630+AB631</x:f>
        <x:v>5743298191.545775</x:v>
      </x:c>
      <x:c r="AD631" s="80" t="n">
        <x:f>Z631/(1+'Inputs'!$C$45)</x:f>
        <x:v>0.000504035145240467</x:v>
      </x:c>
      <x:c r="AE631" s="80" t="n">
        <x:f>Z631-AD631</x:f>
        <x:v>0.00025201757262023356</x:v>
      </x:c>
      <x:c r="AF631" s="80" t="n">
        <x:f>D631*W631</x:f>
        <x:v>2.4974408050207924e-7</x:v>
      </x:c>
      <x:c r="AG631" s="80" t="n">
        <x:f>C631*W631</x:f>
        <x:v>4.370521408786352e-7</x:v>
      </x:c>
      <x:c r="AH631" s="80" t="n">
        <x:f>2*'Inputs'!$B$8*'Inputs'!$C$45</x:f>
        <x:v>2500</x:v>
      </x:c>
      <x:c r="AI631" s="81" t="n">
        <x:f>IF(AH631&gt;0,(AE631+AF631)/AH631*365,0)</x:f>
        <x:v>0.000036831028238307404</x:v>
      </x:c>
      <x:c r="AJ631" s="81" t="n">
        <x:f>IF('Inputs'!$B$45&gt;0,AG631/('Inputs'!$B$19*'Inputs'!$B$45)*365,0)</x:f>
        <x:v>2.126987085609358e-8</x:v>
      </x:c>
      <x:c r="AK631" s="81" t="n">
        <x:f>W631/MAX($W$369:W631)-1</x:f>
        <x:v>-0.9999999987631162</x:v>
      </x:c>
      <x:c r="AL631" s="83" t="n">
        <x:f>'Inputs'!$B$45</x:f>
        <x:v>0.75</x:v>
      </x:c>
      <x:c r="AM631" s="83" t="n">
        <x:f>'Inputs'!$C$45</x:f>
        <x:v>0.5</x:v>
      </x:c>
      <x:c r="AN631" s="83" t="n">
        <x:f>'Inputs'!$D$45</x:f>
        <x:v>0.5</x:v>
      </x:c>
      <x:c r="AO631" s="81" t="n">
        <x:f>'Inputs'!$E$45</x:f>
        <x:v>-0.05</x:v>
      </x:c>
    </x:row>
    <x:row r="632">
      <x:c r="A632" s="59" t="str">
        <x:v>Weak demand</x:v>
      </x:c>
      <x:c r="B632" s="59" t="n">
        <x:v>264</x:v>
      </x:c>
      <x:c r="C632" s="78" t="n">
        <x:f>(('Inputs'!$B$29*(3*264*'Inputs'!$B$12-264^2)/(2*'Inputs'!$B$12^2))-('Inputs'!$B$29*(3*263*'Inputs'!$B$12-263^2)/(2*'Inputs'!$B$12^2)))*'Inputs'!$B$45</x:f>
        <x:v>469740.27725652605</x:v>
      </x:c>
      <x:c r="D632" s="78" t="n">
        <x:f>IF('Inputs'!$C$45&gt;0,('Inputs'!$B$30*(3*264*'Inputs'!$B$12-264^2)/(2*'Inputs'!$B$12^2))-('Inputs'!$B$30*(3*263*'Inputs'!$B$12-263^2)/(2*'Inputs'!$B$12^2)),0)</x:f>
        <x:v>268423.0155751556</x:v>
      </x:c>
      <x:c r="E632" s="78" t="n">
        <x:f>C632+D632</x:f>
        <x:v>738163.2928316817</x:v>
      </x:c>
      <x:c r="F632" s="78" t="n">
        <x:f>'Inputs'!$B$13*E632+(1-'Inputs'!$B$13)/'Inputs'!$B$14*SUM(E577:E632)</x:f>
        <x:v>746592.876243199</x:v>
      </x:c>
      <x:c r="G632" s="78" t="n">
        <x:f>F632*'Inputs'!$F$45</x:f>
        <x:v>522615.01337023923</x:v>
      </x:c>
      <x:c r="H632" s="78" t="n">
        <x:f>U631</x:f>
        <x:v>135502533327.34915</x:v>
      </x:c>
      <x:c r="I632" s="78" t="n">
        <x:f>V631</x:f>
        <x:v>0.12600781867778935</x:v>
      </x:c>
      <x:c r="J632" s="79" t="n">
        <x:f>IF(H632&gt;0,I632/H632,0)</x:f>
        <x:v>9.299296152152202e-13</x:v>
      </x:c>
      <x:c r="K632" s="80" t="n">
        <x:f>(H632*J632+I632)*'Inputs'!$D$45*(1+'Inputs'!$G$45)^(B632/30)</x:f>
        <x:v>0.12600781867778935</x:v>
      </x:c>
      <x:c r="L632" s="80" t="n">
        <x:f>MAX(0,K632*'Inputs'!$E$45)</x:f>
        <x:v>0</x:v>
      </x:c>
      <x:c r="M632" s="80" t="n">
        <x:f>MAX(0,-K632*'Inputs'!$E$45)</x:f>
        <x:v>0.006300390933889468</x:v>
      </x:c>
      <x:c r="N632" s="78" t="n">
        <x:f>H632*(L632*(1-'Inputs'!$B$15))/(I632+L632*(1-'Inputs'!$B$15))</x:f>
        <x:v>0</x:v>
      </x:c>
      <x:c r="O632" s="78" t="n">
        <x:f>H632-N632</x:f>
        <x:v>135502533327.34915</x:v>
      </x:c>
      <x:c r="P632" s="78" t="n">
        <x:f>I632+L632*(1-'Inputs'!$B$17)</x:f>
        <x:v>0.12600781867778935</x:v>
      </x:c>
      <x:c r="Q632" s="78" t="n">
        <x:f>IF(J632&gt;0,M632/J632,0)</x:f>
        <x:v>0</x:v>
      </x:c>
      <x:c r="R632" s="78" t="n">
        <x:f>IF(B632='Inputs'!$H$45,'Inputs'!$B$27*'Inputs'!$I$45,0)</x:f>
        <x:v>0</x:v>
      </x:c>
      <x:c r="S632" s="78" t="n">
        <x:f>Q632+G632+R632</x:f>
        <x:v>522615.01337023923</x:v>
      </x:c>
      <x:c r="T632" s="78" t="n">
        <x:f>P632*(S632*(1-'Inputs'!$B$15))/(O632+S632*(1-'Inputs'!$B$15))</x:f>
        <x:v>4.811333893962047e-7</x:v>
      </x:c>
      <x:c r="U632" s="78" t="n">
        <x:f>O632+S632*(1-'Inputs'!$B$17)</x:f>
        <x:v>135503053839.284</x:v>
      </x:c>
      <x:c r="V632" s="78" t="n">
        <x:f>P632-T632</x:f>
        <x:v>0.12600733754439994</x:v>
      </x:c>
      <x:c r="W632" s="79" t="n">
        <x:f>IF(U632&gt;0,V632/U632,0)</x:f>
        <x:v>9.299224923288693e-13</x:v>
      </x:c>
      <x:c r="X632" s="80" t="n">
        <x:f>W632*('Inputs'!$B$6-AC632)</x:f>
        <x:v>-0.004410901631841289</x:v>
      </x:c>
      <x:c r="Y632" s="80" t="n">
        <x:f>2*V632</x:f>
        <x:v>0.2520146750887999</x:v>
      </x:c>
      <x:c r="Z632" s="80" t="n">
        <x:f>K632*'Inputs'!$B$16+(G632+R632)*J632*'Inputs'!$B$16</x:f>
        <x:v>0.0007560498280378058</x:v>
      </x:c>
      <x:c r="AA632" s="80" t="n">
        <x:f>K632*(1+'Inputs'!$E$45)/2*'Inputs'!$B$17</x:f>
        <x:v>0.0002408600155812875</x:v>
      </x:c>
      <x:c r="AB632" s="78" t="n">
        <x:f>(IF(J632&gt;0,K632*(1-'Inputs'!$E$45)/2/J632,0)+G632+R632)*'Inputs'!$B$17</x:f>
        <x:v>2103.0785246287296</x:v>
      </x:c>
      <x:c r="AC632" s="78" t="n">
        <x:f>AC631+AB632</x:f>
        <x:v>5743300294.6243</x:v>
      </x:c>
      <x:c r="AD632" s="80" t="n">
        <x:f>Z632/(1+'Inputs'!$C$45)</x:f>
        <x:v>0.0005040332186918706</x:v>
      </x:c>
      <x:c r="AE632" s="80" t="n">
        <x:f>Z632-AD632</x:f>
        <x:v>0.00025201660934593524</x:v>
      </x:c>
      <x:c r="AF632" s="80" t="n">
        <x:f>D632*W632</x:f>
        <x:v>2.4961259964207964e-7</x:v>
      </x:c>
      <x:c r="AG632" s="80" t="n">
        <x:f>C632*W632</x:f>
        <x:v>4.368220493736428e-7</x:v>
      </x:c>
      <x:c r="AH632" s="80" t="n">
        <x:f>2*'Inputs'!$B$8*'Inputs'!$C$45</x:f>
        <x:v>2500</x:v>
      </x:c>
      <x:c r="AI632" s="81" t="n">
        <x:f>IF(AH632&gt;0,(AE632+AF632)/AH632*365,0)</x:f>
        <x:v>0.00003683086840405429</x:v>
      </x:c>
      <x:c r="AJ632" s="81" t="n">
        <x:f>IF('Inputs'!$B$45&gt;0,AG632/('Inputs'!$B$19*'Inputs'!$B$45)*365,0)</x:f>
        <x:v>2.125867306951728e-8</x:v>
      </x:c>
      <x:c r="AK632" s="81" t="n">
        <x:f>W632/MAX($W$369:W632)-1</x:f>
        <x:v>-0.9999999987631257</x:v>
      </x:c>
      <x:c r="AL632" s="83" t="n">
        <x:f>'Inputs'!$B$45</x:f>
        <x:v>0.75</x:v>
      </x:c>
      <x:c r="AM632" s="83" t="n">
        <x:f>'Inputs'!$C$45</x:f>
        <x:v>0.5</x:v>
      </x:c>
      <x:c r="AN632" s="83" t="n">
        <x:f>'Inputs'!$D$45</x:f>
        <x:v>0.5</x:v>
      </x:c>
      <x:c r="AO632" s="81" t="n">
        <x:f>'Inputs'!$E$45</x:f>
        <x:v>-0.05</x:v>
      </x:c>
    </x:row>
    <x:row r="633">
      <x:c r="A633" s="59" t="str">
        <x:v>Weak demand</x:v>
      </x:c>
      <x:c r="B633" s="59" t="n">
        <x:v>265</x:v>
      </x:c>
      <x:c r="C633" s="78" t="n">
        <x:f>(('Inputs'!$B$29*(3*265*'Inputs'!$B$12-265^2)/(2*'Inputs'!$B$12^2))-('Inputs'!$B$29*(3*264*'Inputs'!$B$12-264^2)/(2*'Inputs'!$B$12^2)))*'Inputs'!$B$45</x:f>
        <x:v>469496.44633137435</x:v>
      </x:c>
      <x:c r="D633" s="78" t="n">
        <x:f>IF('Inputs'!$C$45&gt;0,('Inputs'!$B$30*(3*265*'Inputs'!$B$12-265^2)/(2*'Inputs'!$B$12^2))-('Inputs'!$B$30*(3*264*'Inputs'!$B$12-264^2)/(2*'Inputs'!$B$12^2)),0)</x:f>
        <x:v>268283.6836179346</x:v>
      </x:c>
      <x:c r="E633" s="78" t="n">
        <x:f>C633+D633</x:f>
        <x:v>737780.1299493089</x:v>
      </x:c>
      <x:c r="F633" s="78" t="n">
        <x:f>'Inputs'!$B$13*E633+(1-'Inputs'!$B$13)/'Inputs'!$B$14*SUM(E578:E633)</x:f>
        <x:v>746209.7133608506</x:v>
      </x:c>
      <x:c r="G633" s="78" t="n">
        <x:f>F633*'Inputs'!$F$45</x:f>
        <x:v>522346.79935259535</x:v>
      </x:c>
      <x:c r="H633" s="78" t="n">
        <x:f>U632</x:f>
        <x:v>135503053839.284</x:v>
      </x:c>
      <x:c r="I633" s="78" t="n">
        <x:f>V632</x:f>
        <x:v>0.12600733754439994</x:v>
      </x:c>
      <x:c r="J633" s="79" t="n">
        <x:f>IF(H633&gt;0,I633/H633,0)</x:f>
        <x:v>9.299224923288693e-13</x:v>
      </x:c>
      <x:c r="K633" s="80" t="n">
        <x:f>(H633*J633+I633)*'Inputs'!$D$45*(1+'Inputs'!$G$45)^(B633/30)</x:f>
        <x:v>0.12600733754439994</x:v>
      </x:c>
      <x:c r="L633" s="80" t="n">
        <x:f>MAX(0,K633*'Inputs'!$E$45)</x:f>
        <x:v>0</x:v>
      </x:c>
      <x:c r="M633" s="80" t="n">
        <x:f>MAX(0,-K633*'Inputs'!$E$45)</x:f>
        <x:v>0.006300366877219997</x:v>
      </x:c>
      <x:c r="N633" s="78" t="n">
        <x:f>H633*(L633*(1-'Inputs'!$B$15))/(I633+L633*(1-'Inputs'!$B$15))</x:f>
        <x:v>0</x:v>
      </x:c>
      <x:c r="O633" s="78" t="n">
        <x:f>H633-N633</x:f>
        <x:v>135503053839.284</x:v>
      </x:c>
      <x:c r="P633" s="78" t="n">
        <x:f>I633+L633*(1-'Inputs'!$B$17)</x:f>
        <x:v>0.12600733754439994</x:v>
      </x:c>
      <x:c r="Q633" s="78" t="n">
        <x:f>IF(J633&gt;0,M633/J633,0)</x:f>
        <x:v>0</x:v>
      </x:c>
      <x:c r="R633" s="78" t="n">
        <x:f>IF(B633='Inputs'!$H$45,'Inputs'!$B$27*'Inputs'!$I$45,0)</x:f>
        <x:v>0</x:v>
      </x:c>
      <x:c r="S633" s="78" t="n">
        <x:f>Q633+G633+R633</x:f>
        <x:v>522346.79935259535</x:v>
      </x:c>
      <x:c r="T633" s="78" t="n">
        <x:f>P633*(S633*(1-'Inputs'!$B$15))/(O633+S633*(1-'Inputs'!$B$15))</x:f>
        <x:v>4.808827819351304e-7</x:v>
      </x:c>
      <x:c r="U633" s="78" t="n">
        <x:f>O633+S633*(1-'Inputs'!$B$17)</x:f>
        <x:v>135503574084.08415</x:v>
      </x:c>
      <x:c r="V633" s="78" t="n">
        <x:f>P633-T633</x:f>
        <x:v>0.126006856661618</x:v>
      </x:c>
      <x:c r="W633" s="79" t="n">
        <x:f>IF(U633&gt;0,V633/U633,0)</x:f>
        <x:v>9.299153731799493e-13</x:v>
      </x:c>
      <x:c r="X633" s="80" t="n">
        <x:f>W633*('Inputs'!$B$6-AC633)</x:f>
        <x:v>-0.004410869818261482</x:v>
      </x:c>
      <x:c r="Y633" s="80" t="n">
        <x:f>2*V633</x:f>
        <x:v>0.252013713323236</x:v>
      </x:c>
      <x:c r="Z633" s="80" t="n">
        <x:f>K633*'Inputs'!$B$16+(G633+R633)*J633*'Inputs'!$B$16</x:f>
        <x:v>0.0007560469397186248</x:v>
      </x:c>
      <x:c r="AA633" s="80" t="n">
        <x:f>K633*(1+'Inputs'!$E$45)/2*'Inputs'!$B$17</x:f>
        <x:v>0.0002408590959098188</x:v>
      </x:c>
      <x:c r="AB633" s="78" t="n">
        <x:f>(IF(J633&gt;0,K633*(1-'Inputs'!$E$45)/2/J633,0)+G633+R633)*'Inputs'!$B$17</x:f>
        <x:v>2101.9991925657764</x:v>
      </x:c>
      <x:c r="AC633" s="78" t="n">
        <x:f>AC632+AB633</x:f>
        <x:v>5743302396.623492</x:v>
      </x:c>
      <x:c r="AD633" s="80" t="n">
        <x:f>Z633/(1+'Inputs'!$C$45)</x:f>
        <x:v>0.0005040312931457498</x:v>
      </x:c>
      <x:c r="AE633" s="80" t="n">
        <x:f>Z633-AD633</x:f>
        <x:v>0.00025201564657287496</x:v>
      </x:c>
      <x:c r="AF633" s="80" t="n">
        <x:f>D633*W633</x:f>
        <x:v>2.494811217696631e-7</x:v>
      </x:c>
      <x:c r="AG633" s="80" t="n">
        <x:f>C633*W633</x:f>
        <x:v>4.3659196309690003e-7</x:v>
      </x:c>
      <x:c r="AH633" s="80" t="n">
        <x:f>2*'Inputs'!$B$8*'Inputs'!$C$45</x:f>
        <x:v>2500</x:v>
      </x:c>
      <x:c r="AI633" s="81" t="n">
        <x:f>IF(AH633&gt;0,(AE633+AF633)/AH633*365,0)</x:f>
        <x:v>0.00003683070864341812</x:v>
      </x:c>
      <x:c r="AJ633" s="81" t="n">
        <x:f>IF('Inputs'!$B$45&gt;0,AG633/('Inputs'!$B$19*'Inputs'!$B$45)*365,0)</x:f>
        <x:v>2.1247475537382468e-8</x:v>
      </x:c>
      <x:c r="AK633" s="81" t="n">
        <x:f>W633/MAX($W$369:W633)-1</x:f>
        <x:v>-0.9999999987631352</x:v>
      </x:c>
      <x:c r="AL633" s="83" t="n">
        <x:f>'Inputs'!$B$45</x:f>
        <x:v>0.75</x:v>
      </x:c>
      <x:c r="AM633" s="83" t="n">
        <x:f>'Inputs'!$C$45</x:f>
        <x:v>0.5</x:v>
      </x:c>
      <x:c r="AN633" s="83" t="n">
        <x:f>'Inputs'!$D$45</x:f>
        <x:v>0.5</x:v>
      </x:c>
      <x:c r="AO633" s="81" t="n">
        <x:f>'Inputs'!$E$45</x:f>
        <x:v>-0.05</x:v>
      </x:c>
    </x:row>
    <x:row r="634">
      <x:c r="A634" s="59" t="str">
        <x:v>Weak demand</x:v>
      </x:c>
      <x:c r="B634" s="59" t="n">
        <x:v>266</x:v>
      </x:c>
      <x:c r="C634" s="78" t="n">
        <x:f>(('Inputs'!$B$29*(3*266*'Inputs'!$B$12-266^2)/(2*'Inputs'!$B$12^2))-('Inputs'!$B$29*(3*265*'Inputs'!$B$12-265^2)/(2*'Inputs'!$B$12^2)))*'Inputs'!$B$45</x:f>
        <x:v>469252.61540626734</x:v>
      </x:c>
      <x:c r="D634" s="78" t="n">
        <x:f>IF('Inputs'!$C$45&gt;0,('Inputs'!$B$30*(3*266*'Inputs'!$B$12-266^2)/(2*'Inputs'!$B$12^2))-('Inputs'!$B$30*(3*265*'Inputs'!$B$12-265^2)/(2*'Inputs'!$B$12^2)),0)</x:f>
        <x:v>268144.35166072845</x:v>
      </x:c>
      <x:c r="E634" s="78" t="n">
        <x:f>C634+D634</x:f>
        <x:v>737396.9670669958</x:v>
      </x:c>
      <x:c r="F634" s="78" t="n">
        <x:f>'Inputs'!$B$13*E634+(1-'Inputs'!$B$13)/'Inputs'!$B$14*SUM(E579:E634)</x:f>
        <x:v>745826.5504785145</x:v>
      </x:c>
      <x:c r="G634" s="78" t="n">
        <x:f>F634*'Inputs'!$F$45</x:f>
        <x:v>522078.58533496014</x:v>
      </x:c>
      <x:c r="H634" s="78" t="n">
        <x:f>U633</x:f>
        <x:v>135503574084.08415</x:v>
      </x:c>
      <x:c r="I634" s="78" t="n">
        <x:f>V633</x:f>
        <x:v>0.126006856661618</x:v>
      </x:c>
      <x:c r="J634" s="79" t="n">
        <x:f>IF(H634&gt;0,I634/H634,0)</x:f>
        <x:v>9.299153731799493e-13</x:v>
      </x:c>
      <x:c r="K634" s="80" t="n">
        <x:f>(H634*J634+I634)*'Inputs'!$D$45*(1+'Inputs'!$G$45)^(B634/30)</x:f>
        <x:v>0.126006856661618</x:v>
      </x:c>
      <x:c r="L634" s="80" t="n">
        <x:f>MAX(0,K634*'Inputs'!$E$45)</x:f>
        <x:v>0</x:v>
      </x:c>
      <x:c r="M634" s="80" t="n">
        <x:f>MAX(0,-K634*'Inputs'!$E$45)</x:f>
        <x:v>0.006300342833080901</x:v>
      </x:c>
      <x:c r="N634" s="78" t="n">
        <x:f>H634*(L634*(1-'Inputs'!$B$15))/(I634+L634*(1-'Inputs'!$B$15))</x:f>
        <x:v>0</x:v>
      </x:c>
      <x:c r="O634" s="78" t="n">
        <x:f>H634-N634</x:f>
        <x:v>135503574084.08415</x:v>
      </x:c>
      <x:c r="P634" s="78" t="n">
        <x:f>I634+L634*(1-'Inputs'!$B$17)</x:f>
        <x:v>0.126006856661618</x:v>
      </x:c>
      <x:c r="Q634" s="78" t="n">
        <x:f>IF(J634&gt;0,M634/J634,0)</x:f>
        <x:v>0</x:v>
      </x:c>
      <x:c r="R634" s="78" t="n">
        <x:f>IF(B634='Inputs'!$H$45,'Inputs'!$B$27*'Inputs'!$I$45,0)</x:f>
        <x:v>0</x:v>
      </x:c>
      <x:c r="S634" s="78" t="n">
        <x:f>Q634+G634+R634</x:f>
        <x:v>522078.58533496014</x:v>
      </x:c>
      <x:c r="T634" s="78" t="n">
        <x:f>P634*(S634*(1-'Inputs'!$B$15))/(O634+S634*(1-'Inputs'!$B$15))</x:f>
        <x:v>4.80632180187469e-7</x:v>
      </x:c>
      <x:c r="U634" s="78" t="n">
        <x:f>O634+S634*(1-'Inputs'!$B$17)</x:f>
        <x:v>135504094061.74963</x:v>
      </x:c>
      <x:c r="V634" s="78" t="n">
        <x:f>P634-T634</x:f>
        <x:v>0.12600637602943782</x:v>
      </x:c>
      <x:c r="W634" s="79" t="n">
        <x:f>IF(U634&gt;0,V634/U634,0)</x:f>
        <x:v>9.299082577683322e-13</x:v>
      </x:c>
      <x:c r="X634" s="80" t="n">
        <x:f>W634*('Inputs'!$B$6-AC634)</x:f>
        <x:v>-0.004410838021375234</x:v>
      </x:c>
      <x:c r="Y634" s="80" t="n">
        <x:f>2*V634</x:f>
        <x:v>0.25201275205887563</x:v>
      </x:c>
      <x:c r="Z634" s="80" t="n">
        <x:f>K634*'Inputs'!$B$16+(G634+R634)*J634*'Inputs'!$B$16</x:f>
        <x:v>0.0007560440529031232</x:v>
      </x:c>
      <x:c r="AA634" s="80" t="n">
        <x:f>K634*(1+'Inputs'!$E$45)/2*'Inputs'!$B$17</x:f>
        <x:v>0.0002408581767173785</x:v>
      </x:c>
      <x:c r="AB634" s="78" t="n">
        <x:f>(IF(J634&gt;0,K634*(1-'Inputs'!$E$45)/2/J634,0)+G634+R634)*'Inputs'!$B$17</x:f>
        <x:v>2100.919860502858</x:v>
      </x:c>
      <x:c r="AC634" s="78" t="n">
        <x:f>AC633+AB634</x:f>
        <x:v>5743304497.543353</x:v>
      </x:c>
      <x:c r="AD634" s="80" t="n">
        <x:f>Z634/(1+'Inputs'!$C$45)</x:f>
        <x:v>0.0005040293686020821</x:v>
      </x:c>
      <x:c r="AE634" s="80" t="n">
        <x:f>Z634-AD634</x:f>
        <x:v>0.000252014684301041</x:v>
      </x:c>
      <x:c r="AF634" s="80" t="n">
        <x:f>D634*W634</x:f>
        <x:v>2.49349646883247e-7</x:v>
      </x:c>
      <x:c r="AG634" s="80" t="n">
        <x:f>C634*W634</x:f>
        <x:v>4.363618820456753e-7</x:v>
      </x:c>
      <x:c r="AH634" s="80" t="n">
        <x:f>2*'Inputs'!$B$8*'Inputs'!$C$45</x:f>
        <x:v>2500</x:v>
      </x:c>
      <x:c r="AI634" s="81" t="n">
        <x:f>IF(AH634&gt;0,(AE634+AF634)/AH634*365,0)</x:f>
        <x:v>0.00003683054895639694</x:v>
      </x:c>
      <x:c r="AJ634" s="81" t="n">
        <x:f>IF('Inputs'!$B$45&gt;0,AG634/('Inputs'!$B$19*'Inputs'!$B$45)*365,0)</x:f>
        <x:v>2.12362782595562e-8</x:v>
      </x:c>
      <x:c r="AK634" s="81" t="n">
        <x:f>W634/MAX($W$369:W634)-1</x:f>
        <x:v>-0.9999999987631446</x:v>
      </x:c>
      <x:c r="AL634" s="83" t="n">
        <x:f>'Inputs'!$B$45</x:f>
        <x:v>0.75</x:v>
      </x:c>
      <x:c r="AM634" s="83" t="n">
        <x:f>'Inputs'!$C$45</x:f>
        <x:v>0.5</x:v>
      </x:c>
      <x:c r="AN634" s="83" t="n">
        <x:f>'Inputs'!$D$45</x:f>
        <x:v>0.5</x:v>
      </x:c>
      <x:c r="AO634" s="81" t="n">
        <x:f>'Inputs'!$E$45</x:f>
        <x:v>-0.05</x:v>
      </x:c>
    </x:row>
    <x:row r="635">
      <x:c r="A635" s="59" t="str">
        <x:v>Weak demand</x:v>
      </x:c>
      <x:c r="B635" s="59" t="n">
        <x:v>267</x:v>
      </x:c>
      <x:c r="C635" s="78" t="n">
        <x:f>(('Inputs'!$B$29*(3*267*'Inputs'!$B$12-267^2)/(2*'Inputs'!$B$12^2))-('Inputs'!$B$29*(3*266*'Inputs'!$B$12-266^2)/(2*'Inputs'!$B$12^2)))*'Inputs'!$B$45</x:f>
        <x:v>469008.78448116034</x:v>
      </x:c>
      <x:c r="D635" s="78" t="n">
        <x:f>IF('Inputs'!$C$45&gt;0,('Inputs'!$B$30*(3*267*'Inputs'!$B$12-267^2)/(2*'Inputs'!$B$12^2))-('Inputs'!$B$30*(3*266*'Inputs'!$B$12-266^2)/(2*'Inputs'!$B$12^2)),0)</x:f>
        <x:v>268005.0197035074</x:v>
      </x:c>
      <x:c r="E635" s="78" t="n">
        <x:f>C635+D635</x:f>
        <x:v>737013.8041846678</x:v>
      </x:c>
      <x:c r="F635" s="78" t="n">
        <x:f>'Inputs'!$B$13*E635+(1-'Inputs'!$B$13)/'Inputs'!$B$14*SUM(E580:E635)</x:f>
        <x:v>745443.3875961755</x:v>
      </x:c>
      <x:c r="G635" s="78" t="n">
        <x:f>F635*'Inputs'!$F$45</x:f>
        <x:v>521810.37131732283</x:v>
      </x:c>
      <x:c r="H635" s="78" t="n">
        <x:f>U634</x:f>
        <x:v>135504094061.74963</x:v>
      </x:c>
      <x:c r="I635" s="78" t="n">
        <x:f>V634</x:f>
        <x:v>0.12600637602943782</x:v>
      </x:c>
      <x:c r="J635" s="79" t="n">
        <x:f>IF(H635&gt;0,I635/H635,0)</x:f>
        <x:v>9.299082577683322e-13</x:v>
      </x:c>
      <x:c r="K635" s="80" t="n">
        <x:f>(H635*J635+I635)*'Inputs'!$D$45*(1+'Inputs'!$G$45)^(B635/30)</x:f>
        <x:v>0.12600637602943782</x:v>
      </x:c>
      <x:c r="L635" s="80" t="n">
        <x:f>MAX(0,K635*'Inputs'!$E$45)</x:f>
        <x:v>0</x:v>
      </x:c>
      <x:c r="M635" s="80" t="n">
        <x:f>MAX(0,-K635*'Inputs'!$E$45)</x:f>
        <x:v>0.0063003188014718915</x:v>
      </x:c>
      <x:c r="N635" s="78" t="n">
        <x:f>H635*(L635*(1-'Inputs'!$B$15))/(I635+L635*(1-'Inputs'!$B$15))</x:f>
        <x:v>0</x:v>
      </x:c>
      <x:c r="O635" s="78" t="n">
        <x:f>H635-N635</x:f>
        <x:v>135504094061.74963</x:v>
      </x:c>
      <x:c r="P635" s="78" t="n">
        <x:f>I635+L635*(1-'Inputs'!$B$17)</x:f>
        <x:v>0.12600637602943782</x:v>
      </x:c>
      <x:c r="Q635" s="78" t="n">
        <x:f>IF(J635&gt;0,M635/J635,0)</x:f>
        <x:v>0</x:v>
      </x:c>
      <x:c r="R635" s="78" t="n">
        <x:f>IF(B635='Inputs'!$H$45,'Inputs'!$B$27*'Inputs'!$I$45,0)</x:f>
        <x:v>0</x:v>
      </x:c>
      <x:c r="S635" s="78" t="n">
        <x:f>Q635+G635+R635</x:f>
        <x:v>521810.37131732283</x:v>
      </x:c>
      <x:c r="T635" s="78" t="n">
        <x:f>P635*(S635*(1-'Inputs'!$B$15))/(O635+S635*(1-'Inputs'!$B$15))</x:f>
        <x:v>4.803815841501673e-7</x:v>
      </x:c>
      <x:c r="U635" s="78" t="n">
        <x:f>O635+S635*(1-'Inputs'!$B$17)</x:f>
        <x:v>135504613772.28043</x:v>
      </x:c>
      <x:c r="V635" s="78" t="n">
        <x:f>P635-T635</x:f>
        <x:v>0.12600589564785367</x:v>
      </x:c>
      <x:c r="W635" s="79" t="n">
        <x:f>IF(U635&gt;0,V635/U635,0)</x:f>
        <x:v>9.299011460938913e-13</x:v>
      </x:c>
      <x:c r="X635" s="80" t="n">
        <x:f>W635*('Inputs'!$B$6-AC635)</x:f>
        <x:v>-0.004410806241181987</x:v>
      </x:c>
      <x:c r="Y635" s="80" t="n">
        <x:f>2*V635</x:f>
        <x:v>0.25201179129570733</x:v>
      </x:c>
      <x:c r="Z635" s="80" t="n">
        <x:f>K635*'Inputs'!$B$16+(G635+R635)*J635*'Inputs'!$B$16</x:f>
        <x:v>0.0007560411675912665</x:v>
      </x:c>
      <x:c r="AA635" s="80" t="n">
        <x:f>K635*(1+'Inputs'!$E$45)/2*'Inputs'!$B$17</x:f>
        <x:v>0.00024085725800395558</x:v>
      </x:c>
      <x:c r="AB635" s="78" t="n">
        <x:f>(IF(J635&gt;0,K635*(1-'Inputs'!$E$45)/2/J635,0)+G635+R635)*'Inputs'!$B$17</x:f>
        <x:v>2099.840528439931</x:v>
      </x:c>
      <x:c r="AC635" s="78" t="n">
        <x:f>AC634+AB635</x:f>
        <x:v>5743306597.383882</x:v>
      </x:c>
      <x:c r="AD635" s="80" t="n">
        <x:f>Z635/(1+'Inputs'!$C$45)</x:f>
        <x:v>0.0005040274450608444</x:v>
      </x:c>
      <x:c r="AE635" s="80" t="n">
        <x:f>Z635-AD635</x:f>
        <x:v>0.00025201372253042214</x:v>
      </x:c>
      <x:c r="AF635" s="80" t="n">
        <x:f>D635*W635</x:f>
        <x:v>2.4921817498120746e-7</x:v>
      </x:c>
      <x:c r="AG635" s="80" t="n">
        <x:f>C635*W635</x:f>
        <x:v>4.361318062171339e-7</x:v>
      </x:c>
      <x:c r="AH635" s="80" t="n">
        <x:f>2*'Inputs'!$B$8*'Inputs'!$C$45</x:f>
        <x:v>2500</x:v>
      </x:c>
      <x:c r="AI635" s="81" t="n">
        <x:f>IF(AH635&gt;0,(AE635+AF635)/AH635*365,0)</x:f>
        <x:v>0.000036830389342988884</x:v>
      </x:c>
      <x:c r="AJ635" s="81" t="n">
        <x:f>IF('Inputs'!$B$45&gt;0,AG635/('Inputs'!$B$19*'Inputs'!$B$45)*365,0)</x:f>
        <x:v>2.1225081235900518e-8</x:v>
      </x:c>
      <x:c r="AK635" s="81" t="n">
        <x:f>W635/MAX($W$369:W635)-1</x:f>
        <x:v>-0.999999998763154</x:v>
      </x:c>
      <x:c r="AL635" s="83" t="n">
        <x:f>'Inputs'!$B$45</x:f>
        <x:v>0.75</x:v>
      </x:c>
      <x:c r="AM635" s="83" t="n">
        <x:f>'Inputs'!$C$45</x:f>
        <x:v>0.5</x:v>
      </x:c>
      <x:c r="AN635" s="83" t="n">
        <x:f>'Inputs'!$D$45</x:f>
        <x:v>0.5</x:v>
      </x:c>
      <x:c r="AO635" s="81" t="n">
        <x:f>'Inputs'!$E$45</x:f>
        <x:v>-0.05</x:v>
      </x:c>
    </x:row>
    <x:row r="636">
      <x:c r="A636" s="59" t="str">
        <x:v>Weak demand</x:v>
      </x:c>
      <x:c r="B636" s="59" t="n">
        <x:v>268</x:v>
      </x:c>
      <x:c r="C636" s="78" t="n">
        <x:f>(('Inputs'!$B$29*(3*268*'Inputs'!$B$12-268^2)/(2*'Inputs'!$B$12^2))-('Inputs'!$B$29*(3*267*'Inputs'!$B$12-267^2)/(2*'Inputs'!$B$12^2)))*'Inputs'!$B$45</x:f>
        <x:v>468764.95355600864</x:v>
      </x:c>
      <x:c r="D636" s="78" t="n">
        <x:f>IF('Inputs'!$C$45&gt;0,('Inputs'!$B$30*(3*268*'Inputs'!$B$12-268^2)/(2*'Inputs'!$B$12^2))-('Inputs'!$B$30*(3*267*'Inputs'!$B$12-267^2)/(2*'Inputs'!$B$12^2)),0)</x:f>
        <x:v>267865.6877462864</x:v>
      </x:c>
      <x:c r="E636" s="78" t="n">
        <x:f>C636+D636</x:f>
        <x:v>736630.641302295</x:v>
      </x:c>
      <x:c r="F636" s="78" t="n">
        <x:f>'Inputs'!$B$13*E636+(1-'Inputs'!$B$13)/'Inputs'!$B$14*SUM(E581:E636)</x:f>
        <x:v>745060.2247138275</x:v>
      </x:c>
      <x:c r="G636" s="78" t="n">
        <x:f>F636*'Inputs'!$F$45</x:f>
        <x:v>521542.1572996792</x:v>
      </x:c>
      <x:c r="H636" s="78" t="n">
        <x:f>U635</x:f>
        <x:v>135504613772.28043</x:v>
      </x:c>
      <x:c r="I636" s="78" t="n">
        <x:f>V635</x:f>
        <x:v>0.12600589564785367</x:v>
      </x:c>
      <x:c r="J636" s="79" t="n">
        <x:f>IF(H636&gt;0,I636/H636,0)</x:f>
        <x:v>9.299011460938913e-13</x:v>
      </x:c>
      <x:c r="K636" s="80" t="n">
        <x:f>(H636*J636+I636)*'Inputs'!$D$45*(1+'Inputs'!$G$45)^(B636/30)</x:f>
        <x:v>0.12600589564785367</x:v>
      </x:c>
      <x:c r="L636" s="80" t="n">
        <x:f>MAX(0,K636*'Inputs'!$E$45)</x:f>
        <x:v>0</x:v>
      </x:c>
      <x:c r="M636" s="80" t="n">
        <x:f>MAX(0,-K636*'Inputs'!$E$45)</x:f>
        <x:v>0.006300294782392683</x:v>
      </x:c>
      <x:c r="N636" s="78" t="n">
        <x:f>H636*(L636*(1-'Inputs'!$B$15))/(I636+L636*(1-'Inputs'!$B$15))</x:f>
        <x:v>0</x:v>
      </x:c>
      <x:c r="O636" s="78" t="n">
        <x:f>H636-N636</x:f>
        <x:v>135504613772.28043</x:v>
      </x:c>
      <x:c r="P636" s="78" t="n">
        <x:f>I636+L636*(1-'Inputs'!$B$17)</x:f>
        <x:v>0.12600589564785367</x:v>
      </x:c>
      <x:c r="Q636" s="78" t="n">
        <x:f>IF(J636&gt;0,M636/J636,0)</x:f>
        <x:v>0</x:v>
      </x:c>
      <x:c r="R636" s="78" t="n">
        <x:f>IF(B636='Inputs'!$H$45,'Inputs'!$B$27*'Inputs'!$I$45,0)</x:f>
        <x:v>0</x:v>
      </x:c>
      <x:c r="S636" s="78" t="n">
        <x:f>Q636+G636+R636</x:f>
        <x:v>521542.1572996792</x:v>
      </x:c>
      <x:c r="T636" s="78" t="n">
        <x:f>P636*(S636*(1-'Inputs'!$B$15))/(O636+S636*(1-'Inputs'!$B$15))</x:f>
        <x:v>4.801309938201789e-7</x:v>
      </x:c>
      <x:c r="U636" s="78" t="n">
        <x:f>O636+S636*(1-'Inputs'!$B$17)</x:f>
        <x:v>135505133215.67653</x:v>
      </x:c>
      <x:c r="V636" s="78" t="n">
        <x:f>P636-T636</x:f>
        <x:v>0.12600541551685984</x:v>
      </x:c>
      <x:c r="W636" s="79" t="n">
        <x:f>IF(U636&gt;0,V636/U636,0)</x:f>
        <x:v>9.298940381564994e-13</x:v>
      </x:c>
      <x:c r="X636" s="80" t="n">
        <x:f>W636*('Inputs'!$B$6-AC636)</x:f>
        <x:v>-0.004410774477681186</x:v>
      </x:c>
      <x:c r="Y636" s="80" t="n">
        <x:f>2*V636</x:f>
        <x:v>0.2520108310337197</x:v>
      </x:c>
      <x:c r="Z636" s="80" t="n">
        <x:f>K636*'Inputs'!$B$16+(G636+R636)*J636*'Inputs'!$B$16</x:f>
        <x:v>0.000756038283783021</x:v>
      </x:c>
      <x:c r="AA636" s="80" t="n">
        <x:f>K636*(1+'Inputs'!$E$45)/2*'Inputs'!$B$17</x:f>
        <x:v>0.0002408563397695392</x:v>
      </x:c>
      <x:c r="AB636" s="78" t="n">
        <x:f>(IF(J636&gt;0,K636*(1-'Inputs'!$E$45)/2/J636,0)+G636+R636)*'Inputs'!$B$17</x:f>
        <x:v>2098.7611963769787</x:v>
      </x:c>
      <x:c r="AC636" s="78" t="n">
        <x:f>AC635+AB636</x:f>
        <x:v>5743308696.145078</x:v>
      </x:c>
      <x:c r="AD636" s="80" t="n">
        <x:f>Z636/(1+'Inputs'!$C$45)</x:f>
        <x:v>0.000504025522522014</x:v>
      </x:c>
      <x:c r="AE636" s="80" t="n">
        <x:f>Z636-AD636</x:f>
        <x:v>0.00025201276126100695</x:v>
      </x:c>
      <x:c r="AF636" s="80" t="n">
        <x:f>D636*W636</x:f>
        <x:v>2.490867060619622e-7</x:v>
      </x:c>
      <x:c r="AG636" s="80" t="n">
        <x:f>C636*W636</x:f>
        <x:v>4.3590173560844073e-7</x:v>
      </x:c>
      <x:c r="AH636" s="80" t="n">
        <x:f>2*'Inputs'!$B$8*'Inputs'!$C$45</x:f>
        <x:v>2500</x:v>
      </x:c>
      <x:c r="AI636" s="81" t="n">
        <x:f>IF(AH636&gt;0,(AE636+AF636)/AH636*365,0)</x:f>
        <x:v>0.00003683022980319206</x:v>
      </x:c>
      <x:c r="AJ636" s="81" t="n">
        <x:f>IF('Inputs'!$B$45&gt;0,AG636/('Inputs'!$B$19*'Inputs'!$B$45)*365,0)</x:f>
        <x:v>2.1213884466277446e-8</x:v>
      </x:c>
      <x:c r="AK636" s="81" t="n">
        <x:f>W636/MAX($W$369:W636)-1</x:f>
        <x:v>-0.9999999987631635</x:v>
      </x:c>
      <x:c r="AL636" s="83" t="n">
        <x:f>'Inputs'!$B$45</x:f>
        <x:v>0.75</x:v>
      </x:c>
      <x:c r="AM636" s="83" t="n">
        <x:f>'Inputs'!$C$45</x:f>
        <x:v>0.5</x:v>
      </x:c>
      <x:c r="AN636" s="83" t="n">
        <x:f>'Inputs'!$D$45</x:f>
        <x:v>0.5</x:v>
      </x:c>
      <x:c r="AO636" s="81" t="n">
        <x:f>'Inputs'!$E$45</x:f>
        <x:v>-0.05</x:v>
      </x:c>
    </x:row>
    <x:row r="637">
      <x:c r="A637" s="59" t="str">
        <x:v>Weak demand</x:v>
      </x:c>
      <x:c r="B637" s="59" t="n">
        <x:v>269</x:v>
      </x:c>
      <x:c r="C637" s="78" t="n">
        <x:f>(('Inputs'!$B$29*(3*269*'Inputs'!$B$12-269^2)/(2*'Inputs'!$B$12^2))-('Inputs'!$B$29*(3*268*'Inputs'!$B$12-268^2)/(2*'Inputs'!$B$12^2)))*'Inputs'!$B$45</x:f>
        <x:v>468521.1226308793</x:v>
      </x:c>
      <x:c r="D637" s="78" t="n">
        <x:f>IF('Inputs'!$C$45&gt;0,('Inputs'!$B$30*(3*269*'Inputs'!$B$12-269^2)/(2*'Inputs'!$B$12^2))-('Inputs'!$B$30*(3*268*'Inputs'!$B$12-268^2)/(2*'Inputs'!$B$12^2)),0)</x:f>
        <x:v>267726.35578908026</x:v>
      </x:c>
      <x:c r="E637" s="78" t="n">
        <x:f>C637+D637</x:f>
        <x:v>736247.4784199595</x:v>
      </x:c>
      <x:c r="F637" s="78" t="n">
        <x:f>'Inputs'!$B$13*E637+(1-'Inputs'!$B$13)/'Inputs'!$B$14*SUM(E582:E637)</x:f>
        <x:v>744677.0618314866</x:v>
      </x:c>
      <x:c r="G637" s="78" t="n">
        <x:f>F637*'Inputs'!$F$45</x:f>
        <x:v>521273.9432820406</x:v>
      </x:c>
      <x:c r="H637" s="78" t="n">
        <x:f>U636</x:f>
        <x:v>135505133215.67653</x:v>
      </x:c>
      <x:c r="I637" s="78" t="n">
        <x:f>V636</x:f>
        <x:v>0.12600541551685984</x:v>
      </x:c>
      <x:c r="J637" s="79" t="n">
        <x:f>IF(H637&gt;0,I637/H637,0)</x:f>
        <x:v>9.298940381564994e-13</x:v>
      </x:c>
      <x:c r="K637" s="80" t="n">
        <x:f>(H637*J637+I637)*'Inputs'!$D$45*(1+'Inputs'!$G$45)^(B637/30)</x:f>
        <x:v>0.12600541551685984</x:v>
      </x:c>
      <x:c r="L637" s="80" t="n">
        <x:f>MAX(0,K637*'Inputs'!$E$45)</x:f>
        <x:v>0</x:v>
      </x:c>
      <x:c r="M637" s="80" t="n">
        <x:f>MAX(0,-K637*'Inputs'!$E$45)</x:f>
        <x:v>0.0063002707758429925</x:v>
      </x:c>
      <x:c r="N637" s="78" t="n">
        <x:f>H637*(L637*(1-'Inputs'!$B$15))/(I637+L637*(1-'Inputs'!$B$15))</x:f>
        <x:v>0</x:v>
      </x:c>
      <x:c r="O637" s="78" t="n">
        <x:f>H637-N637</x:f>
        <x:v>135505133215.67653</x:v>
      </x:c>
      <x:c r="P637" s="78" t="n">
        <x:f>I637+L637*(1-'Inputs'!$B$17)</x:f>
        <x:v>0.12600541551685984</x:v>
      </x:c>
      <x:c r="Q637" s="78" t="n">
        <x:f>IF(J637&gt;0,M637/J637,0)</x:f>
        <x:v>0</x:v>
      </x:c>
      <x:c r="R637" s="78" t="n">
        <x:f>IF(B637='Inputs'!$H$45,'Inputs'!$B$27*'Inputs'!$I$45,0)</x:f>
        <x:v>0</x:v>
      </x:c>
      <x:c r="S637" s="78" t="n">
        <x:f>Q637+G637+R637</x:f>
        <x:v>521273.9432820406</x:v>
      </x:c>
      <x:c r="T637" s="78" t="n">
        <x:f>P637*(S637*(1-'Inputs'!$B$15))/(O637+S637*(1-'Inputs'!$B$15))</x:f>
        <x:v>4.798804091944715e-7</x:v>
      </x:c>
      <x:c r="U637" s="78" t="n">
        <x:f>O637+S637*(1-'Inputs'!$B$17)</x:f>
        <x:v>135505652391.93794</x:v>
      </x:c>
      <x:c r="V637" s="78" t="n">
        <x:f>P637-T637</x:f>
        <x:v>0.12600493563645065</x:v>
      </x:c>
      <x:c r="W637" s="79" t="n">
        <x:f>IF(U637&gt;0,V637/U637,0)</x:f>
        <x:v>9.298869339560293e-13</x:v>
      </x:c>
      <x:c r="X637" s="80" t="n">
        <x:f>W637*('Inputs'!$B$6-AC637)</x:f>
        <x:v>-0.004410742730872275</x:v>
      </x:c>
      <x:c r="Y637" s="80" t="n">
        <x:f>2*V637</x:f>
        <x:v>0.2520098712729013</x:v>
      </x:c>
      <x:c r="Z637" s="80" t="n">
        <x:f>K637*'Inputs'!$B$16+(G637+R637)*J637*'Inputs'!$B$16</x:f>
        <x:v>0.0007560354014783517</x:v>
      </x:c>
      <x:c r="AA637" s="80" t="n">
        <x:f>K637*(1+'Inputs'!$E$45)/2*'Inputs'!$B$17</x:f>
        <x:v>0.00024085542201411842</x:v>
      </x:c>
      <x:c r="AB637" s="78" t="n">
        <x:f>(IF(J637&gt;0,K637*(1-'Inputs'!$E$45)/2/J637,0)+G637+R637)*'Inputs'!$B$17</x:f>
        <x:v>2097.681864314047</x:v>
      </x:c>
      <x:c r="AC637" s="78" t="n">
        <x:f>AC636+AB637</x:f>
        <x:v>5743310793.826942</x:v>
      </x:c>
      <x:c r="AD637" s="80" t="n">
        <x:f>Z637/(1+'Inputs'!$C$45)</x:f>
        <x:v>0.0005040236009855678</x:v>
      </x:c>
      <x:c r="AE637" s="80" t="n">
        <x:f>Z637-AD637</x:f>
        <x:v>0.00025201180049278394</x:v>
      </x:c>
      <x:c r="AF637" s="80" t="n">
        <x:f>D637*W637</x:f>
        <x:v>2.489552401239289e-7</x:v>
      </x:c>
      <x:c r="AG637" s="80" t="n">
        <x:f>C637*W637</x:f>
        <x:v>4.3567167021686516e-7</x:v>
      </x:c>
      <x:c r="AH637" s="80" t="n">
        <x:f>2*'Inputs'!$B$8*'Inputs'!$C$45</x:f>
        <x:v>2500</x:v>
      </x:c>
      <x:c r="AI637" s="81" t="n">
        <x:f>IF(AH637&gt;0,(AE637+AF637)/AH637*365,0)</x:f>
        <x:v>0.00003683007033700455</x:v>
      </x:c>
      <x:c r="AJ637" s="81" t="n">
        <x:f>IF('Inputs'!$B$45&gt;0,AG637/('Inputs'!$B$19*'Inputs'!$B$45)*365,0)</x:f>
        <x:v>2.1202687950554105e-8</x:v>
      </x:c>
      <x:c r="AK637" s="81" t="n">
        <x:f>W637/MAX($W$369:W637)-1</x:f>
        <x:v>-0.999999998763173</x:v>
      </x:c>
      <x:c r="AL637" s="83" t="n">
        <x:f>'Inputs'!$B$45</x:f>
        <x:v>0.75</x:v>
      </x:c>
      <x:c r="AM637" s="83" t="n">
        <x:f>'Inputs'!$C$45</x:f>
        <x:v>0.5</x:v>
      </x:c>
      <x:c r="AN637" s="83" t="n">
        <x:f>'Inputs'!$D$45</x:f>
        <x:v>0.5</x:v>
      </x:c>
      <x:c r="AO637" s="81" t="n">
        <x:f>'Inputs'!$E$45</x:f>
        <x:v>-0.05</x:v>
      </x:c>
    </x:row>
    <x:row r="638">
      <x:c r="A638" s="59" t="str">
        <x:v>Weak demand</x:v>
      </x:c>
      <x:c r="B638" s="59" t="n">
        <x:v>270</x:v>
      </x:c>
      <x:c r="C638" s="78" t="n">
        <x:f>(('Inputs'!$B$29*(3*270*'Inputs'!$B$12-270^2)/(2*'Inputs'!$B$12^2))-('Inputs'!$B$29*(3*269*'Inputs'!$B$12-269^2)/(2*'Inputs'!$B$12^2)))*'Inputs'!$B$45</x:f>
        <x:v>468277.2917057723</x:v>
      </x:c>
      <x:c r="D638" s="78" t="n">
        <x:f>IF('Inputs'!$C$45&gt;0,('Inputs'!$B$30*(3*270*'Inputs'!$B$12-270^2)/(2*'Inputs'!$B$12^2))-('Inputs'!$B$30*(3*269*'Inputs'!$B$12-269^2)/(2*'Inputs'!$B$12^2)),0)</x:f>
        <x:v>267587.02383185923</x:v>
      </x:c>
      <x:c r="E638" s="78" t="n">
        <x:f>C638+D638</x:f>
        <x:v>735864.3155376315</x:v>
      </x:c>
      <x:c r="F638" s="78" t="n">
        <x:f>'Inputs'!$B$13*E638+(1-'Inputs'!$B$13)/'Inputs'!$B$14*SUM(E583:E638)</x:f>
        <x:v>744293.8989491478</x:v>
      </x:c>
      <x:c r="G638" s="78" t="n">
        <x:f>F638*'Inputs'!$F$45</x:f>
        <x:v>521005.7292644034</x:v>
      </x:c>
      <x:c r="H638" s="78" t="n">
        <x:f>U637</x:f>
        <x:v>135505652391.93794</x:v>
      </x:c>
      <x:c r="I638" s="78" t="n">
        <x:f>V637</x:f>
        <x:v>0.12600493563645065</x:v>
      </x:c>
      <x:c r="J638" s="79" t="n">
        <x:f>IF(H638&gt;0,I638/H638,0)</x:f>
        <x:v>9.298869339560293e-13</x:v>
      </x:c>
      <x:c r="K638" s="80" t="n">
        <x:f>(H638*J638+I638)*'Inputs'!$D$45*(1+'Inputs'!$G$45)^(B638/30)</x:f>
        <x:v>0.12600493563645065</x:v>
      </x:c>
      <x:c r="L638" s="80" t="n">
        <x:f>MAX(0,K638*'Inputs'!$E$45)</x:f>
        <x:v>0</x:v>
      </x:c>
      <x:c r="M638" s="80" t="n">
        <x:f>MAX(0,-K638*'Inputs'!$E$45)</x:f>
        <x:v>0.006300246781822533</x:v>
      </x:c>
      <x:c r="N638" s="78" t="n">
        <x:f>H638*(L638*(1-'Inputs'!$B$15))/(I638+L638*(1-'Inputs'!$B$15))</x:f>
        <x:v>0</x:v>
      </x:c>
      <x:c r="O638" s="78" t="n">
        <x:f>H638-N638</x:f>
        <x:v>135505652391.93794</x:v>
      </x:c>
      <x:c r="P638" s="78" t="n">
        <x:f>I638+L638*(1-'Inputs'!$B$17)</x:f>
        <x:v>0.12600493563645065</x:v>
      </x:c>
      <x:c r="Q638" s="78" t="n">
        <x:f>IF(J638&gt;0,M638/J638,0)</x:f>
        <x:v>0</x:v>
      </x:c>
      <x:c r="R638" s="78" t="n">
        <x:f>IF(B638='Inputs'!$H$45,'Inputs'!$B$27*'Inputs'!$I$45,0)</x:f>
        <x:v>0</x:v>
      </x:c>
      <x:c r="S638" s="78" t="n">
        <x:f>Q638+G638+R638</x:f>
        <x:v>521005.7292644034</x:v>
      </x:c>
      <x:c r="T638" s="78" t="n">
        <x:f>P638*(S638*(1-'Inputs'!$B$15))/(O638+S638*(1-'Inputs'!$B$15))</x:f>
        <x:v>4.796298302699995e-7</x:v>
      </x:c>
      <x:c r="U638" s="78" t="n">
        <x:f>O638+S638*(1-'Inputs'!$B$17)</x:f>
        <x:v>135506171301.06468</x:v>
      </x:c>
      <x:c r="V638" s="78" t="n">
        <x:f>P638-T638</x:f>
        <x:v>0.12600445600662039</x:v>
      </x:c>
      <x:c r="W638" s="79" t="n">
        <x:f>IF(U638&gt;0,V638/U638,0)</x:f>
        <x:v>9.298798334923537e-13</x:v>
      </x:c>
      <x:c r="X638" s="80" t="n">
        <x:f>W638*('Inputs'!$B$6-AC638)</x:f>
        <x:v>-0.004410711000754695</x:v>
      </x:c>
      <x:c r="Y638" s="80" t="n">
        <x:f>2*V638</x:f>
        <x:v>0.25200891201324077</x:v>
      </x:c>
      <x:c r="Z638" s="80" t="n">
        <x:f>K638*'Inputs'!$B$16+(G638+R638)*J638*'Inputs'!$B$16</x:f>
        <x:v>0.0007560325206772249</x:v>
      </x:c>
      <x:c r="AA638" s="80" t="n">
        <x:f>K638*(1+'Inputs'!$E$45)/2*'Inputs'!$B$17</x:f>
        <x:v>0.00024085450473768235</x:v>
      </x:c>
      <x:c r="AB638" s="78" t="n">
        <x:f>(IF(J638&gt;0,K638*(1-'Inputs'!$E$45)/2/J638,0)+G638+R638)*'Inputs'!$B$17</x:f>
        <x:v>2096.6025322511205</x:v>
      </x:c>
      <x:c r="AC638" s="78" t="n">
        <x:f>AC637+AB638</x:f>
        <x:v>5743312890.429475</x:v>
      </x:c>
      <x:c r="AD638" s="80" t="n">
        <x:f>Z638/(1+'Inputs'!$C$45)</x:f>
        <x:v>0.0005040216804514832</x:v>
      </x:c>
      <x:c r="AE638" s="80" t="n">
        <x:f>Z638-AD638</x:f>
        <x:v>0.0002520108402257416</x:v>
      </x:c>
      <x:c r="AF638" s="80" t="n">
        <x:f>D638*W638</x:f>
        <x:v>2.4882377716548373e-7</x:v>
      </x:c>
      <x:c r="AG638" s="80" t="n">
        <x:f>C638*W638</x:f>
        <x:v>4.354416100396139e-7</x:v>
      </x:c>
      <x:c r="AH638" s="80" t="n">
        <x:f>2*'Inputs'!$B$8*'Inputs'!$C$45</x:f>
        <x:v>2500</x:v>
      </x:c>
      <x:c r="AI638" s="81" t="n">
        <x:f>IF(AH638&gt;0,(AE638+AF638)/AH638*365,0)</x:f>
        <x:v>0.000036829910944424435</x:v>
      </x:c>
      <x:c r="AJ638" s="81" t="n">
        <x:f>IF('Inputs'!$B$45&gt;0,AG638/('Inputs'!$B$19*'Inputs'!$B$45)*365,0)</x:f>
        <x:v>2.1191491688594543e-8</x:v>
      </x:c>
      <x:c r="AK638" s="81" t="n">
        <x:f>W638/MAX($W$369:W638)-1</x:f>
        <x:v>-0.9999999987631825</x:v>
      </x:c>
      <x:c r="AL638" s="83" t="n">
        <x:f>'Inputs'!$B$45</x:f>
        <x:v>0.75</x:v>
      </x:c>
      <x:c r="AM638" s="83" t="n">
        <x:f>'Inputs'!$C$45</x:f>
        <x:v>0.5</x:v>
      </x:c>
      <x:c r="AN638" s="83" t="n">
        <x:f>'Inputs'!$D$45</x:f>
        <x:v>0.5</x:v>
      </x:c>
      <x:c r="AO638" s="81" t="n">
        <x:f>'Inputs'!$E$45</x:f>
        <x:v>-0.05</x:v>
      </x:c>
    </x:row>
    <x:row r="639">
      <x:c r="A639" s="59" t="str">
        <x:v>Weak demand</x:v>
      </x:c>
      <x:c r="B639" s="59" t="n">
        <x:v>271</x:v>
      </x:c>
      <x:c r="C639" s="78" t="n">
        <x:f>(('Inputs'!$B$29*(3*271*'Inputs'!$B$12-271^2)/(2*'Inputs'!$B$12^2))-('Inputs'!$B$29*(3*270*'Inputs'!$B$12-270^2)/(2*'Inputs'!$B$12^2)))*'Inputs'!$B$45</x:f>
        <x:v>468033.4607806206</x:v>
      </x:c>
      <x:c r="D639" s="78" t="n">
        <x:f>IF('Inputs'!$C$45&gt;0,('Inputs'!$B$30*(3*271*'Inputs'!$B$12-271^2)/(2*'Inputs'!$B$12^2))-('Inputs'!$B$30*(3*270*'Inputs'!$B$12-270^2)/(2*'Inputs'!$B$12^2)),0)</x:f>
        <x:v>267447.6918746531</x:v>
      </x:c>
      <x:c r="E639" s="78" t="n">
        <x:f>C639+D639</x:f>
        <x:v>735481.1526552737</x:v>
      </x:c>
      <x:c r="F639" s="78" t="n">
        <x:f>'Inputs'!$B$13*E639+(1-'Inputs'!$B$13)/'Inputs'!$B$14*SUM(E584:E639)</x:f>
        <x:v>743910.7360668026</x:v>
      </x:c>
      <x:c r="G639" s="78" t="n">
        <x:f>F639*'Inputs'!$F$45</x:f>
        <x:v>520737.5152467618</x:v>
      </x:c>
      <x:c r="H639" s="78" t="n">
        <x:f>U638</x:f>
        <x:v>135506171301.06468</x:v>
      </x:c>
      <x:c r="I639" s="78" t="n">
        <x:f>V638</x:f>
        <x:v>0.12600445600662039</x:v>
      </x:c>
      <x:c r="J639" s="79" t="n">
        <x:f>IF(H639&gt;0,I639/H639,0)</x:f>
        <x:v>9.298798334923537e-13</x:v>
      </x:c>
      <x:c r="K639" s="80" t="n">
        <x:f>(H639*J639+I639)*'Inputs'!$D$45*(1+'Inputs'!$G$45)^(B639/30)</x:f>
        <x:v>0.12600445600662039</x:v>
      </x:c>
      <x:c r="L639" s="80" t="n">
        <x:f>MAX(0,K639*'Inputs'!$E$45)</x:f>
        <x:v>0</x:v>
      </x:c>
      <x:c r="M639" s="80" t="n">
        <x:f>MAX(0,-K639*'Inputs'!$E$45)</x:f>
        <x:v>0.00630022280033102</x:v>
      </x:c>
      <x:c r="N639" s="78" t="n">
        <x:f>H639*(L639*(1-'Inputs'!$B$15))/(I639+L639*(1-'Inputs'!$B$15))</x:f>
        <x:v>0</x:v>
      </x:c>
      <x:c r="O639" s="78" t="n">
        <x:f>H639-N639</x:f>
        <x:v>135506171301.06468</x:v>
      </x:c>
      <x:c r="P639" s="78" t="n">
        <x:f>I639+L639*(1-'Inputs'!$B$17)</x:f>
        <x:v>0.12600445600662039</x:v>
      </x:c>
      <x:c r="Q639" s="78" t="n">
        <x:f>IF(J639&gt;0,M639/J639,0)</x:f>
        <x:v>0</x:v>
      </x:c>
      <x:c r="R639" s="78" t="n">
        <x:f>IF(B639='Inputs'!$H$45,'Inputs'!$B$27*'Inputs'!$I$45,0)</x:f>
        <x:v>0</x:v>
      </x:c>
      <x:c r="S639" s="78" t="n">
        <x:f>Q639+G639+R639</x:f>
        <x:v>520737.5152467618</x:v>
      </x:c>
      <x:c r="T639" s="78" t="n">
        <x:f>P639*(S639*(1-'Inputs'!$B$15))/(O639+S639*(1-'Inputs'!$B$15))</x:f>
        <x:v>4.793792570437152e-7</x:v>
      </x:c>
      <x:c r="U639" s="78" t="n">
        <x:f>O639+S639*(1-'Inputs'!$B$17)</x:f>
        <x:v>135506689943.05673</x:v>
      </x:c>
      <x:c r="V639" s="78" t="n">
        <x:f>P639-T639</x:f>
        <x:v>0.12600397662736335</x:v>
      </x:c>
      <x:c r="W639" s="79" t="n">
        <x:f>IF(U639&gt;0,V639/U639,0)</x:f>
        <x:v>9.29872736765346e-13</x:v>
      </x:c>
      <x:c r="X639" s="80" t="n">
        <x:f>W639*('Inputs'!$B$6-AC639)</x:f>
        <x:v>-0.004410679287327892</x:v>
      </x:c>
      <x:c r="Y639" s="80" t="n">
        <x:f>2*V639</x:f>
        <x:v>0.2520079532547267</x:v>
      </x:c>
      <x:c r="Z639" s="80" t="n">
        <x:f>K639*'Inputs'!$B$16+(G639+R639)*J639*'Inputs'!$B$16</x:f>
        <x:v>0.0007560296413796062</x:v>
      </x:c>
      <x:c r="AA639" s="80" t="n">
        <x:f>K639*(1+'Inputs'!$E$45)/2*'Inputs'!$B$17</x:f>
        <x:v>0.00024085358794022005</x:v>
      </x:c>
      <x:c r="AB639" s="78" t="n">
        <x:f>(IF(J639&gt;0,K639*(1-'Inputs'!$E$45)/2/J639,0)+G639+R639)*'Inputs'!$B$17</x:f>
        <x:v>2095.5232001881764</x:v>
      </x:c>
      <x:c r="AC639" s="78" t="n">
        <x:f>AC638+AB639</x:f>
        <x:v>5743314985.952675</x:v>
      </x:c>
      <x:c r="AD639" s="80" t="n">
        <x:f>Z639/(1+'Inputs'!$C$45)</x:f>
        <x:v>0.0005040197609197375</x:v>
      </x:c>
      <x:c r="AE639" s="80" t="n">
        <x:f>Z639-AD639</x:f>
        <x:v>0.00025200988045986873</x:v>
      </x:c>
      <x:c r="AF639" s="80" t="n">
        <x:f>D639*W639</x:f>
        <x:v>2.4869231718505867e-7</x:v>
      </x:c>
      <x:c r="AG639" s="80" t="n">
        <x:f>C639*W639</x:f>
        <x:v>4.352115550738319e-7</x:v>
      </x:c>
      <x:c r="AH639" s="80" t="n">
        <x:f>2*'Inputs'!$B$8*'Inputs'!$C$45</x:f>
        <x:v>2500</x:v>
      </x:c>
      <x:c r="AI639" s="81" t="n">
        <x:f>IF(AH639&gt;0,(AE639+AF639)/AH639*365,0)</x:f>
        <x:v>0.00003682975162544986</x:v>
      </x:c>
      <x:c r="AJ639" s="81" t="n">
        <x:f>IF('Inputs'!$B$45&gt;0,AG639/('Inputs'!$B$19*'Inputs'!$B$45)*365,0)</x:f>
        <x:v>2.118029568025982e-8</x:v>
      </x:c>
      <x:c r="AK639" s="81" t="n">
        <x:f>W639/MAX($W$369:W639)-1</x:f>
        <x:v>-0.9999999987631919</x:v>
      </x:c>
      <x:c r="AL639" s="83" t="n">
        <x:f>'Inputs'!$B$45</x:f>
        <x:v>0.75</x:v>
      </x:c>
      <x:c r="AM639" s="83" t="n">
        <x:f>'Inputs'!$C$45</x:f>
        <x:v>0.5</x:v>
      </x:c>
      <x:c r="AN639" s="83" t="n">
        <x:f>'Inputs'!$D$45</x:f>
        <x:v>0.5</x:v>
      </x:c>
      <x:c r="AO639" s="81" t="n">
        <x:f>'Inputs'!$E$45</x:f>
        <x:v>-0.05</x:v>
      </x:c>
    </x:row>
    <x:row r="640">
      <x:c r="A640" s="59" t="str">
        <x:v>Weak demand</x:v>
      </x:c>
      <x:c r="B640" s="59" t="n">
        <x:v>272</x:v>
      </x:c>
      <x:c r="C640" s="78" t="n">
        <x:f>(('Inputs'!$B$29*(3*272*'Inputs'!$B$12-272^2)/(2*'Inputs'!$B$12^2))-('Inputs'!$B$29*(3*271*'Inputs'!$B$12-271^2)/(2*'Inputs'!$B$12^2)))*'Inputs'!$B$45</x:f>
        <x:v>467789.6298555136</x:v>
      </x:c>
      <x:c r="D640" s="78" t="n">
        <x:f>IF('Inputs'!$C$45&gt;0,('Inputs'!$B$30*(3*272*'Inputs'!$B$12-272^2)/(2*'Inputs'!$B$12^2))-('Inputs'!$B$30*(3*271*'Inputs'!$B$12-271^2)/(2*'Inputs'!$B$12^2)),0)</x:f>
        <x:v>267308.35991743207</x:v>
      </x:c>
      <x:c r="E640" s="78" t="n">
        <x:f>C640+D640</x:f>
        <x:v>735097.9897729456</x:v>
      </x:c>
      <x:c r="F640" s="78" t="n">
        <x:f>'Inputs'!$B$13*E640+(1-'Inputs'!$B$13)/'Inputs'!$B$14*SUM(E585:E640)</x:f>
        <x:v>743527.5731844634</x:v>
      </x:c>
      <x:c r="G640" s="78" t="n">
        <x:f>F640*'Inputs'!$F$45</x:f>
        <x:v>520469.30122912436</x:v>
      </x:c>
      <x:c r="H640" s="78" t="n">
        <x:f>U639</x:f>
        <x:v>135506689943.05673</x:v>
      </x:c>
      <x:c r="I640" s="78" t="n">
        <x:f>V639</x:f>
        <x:v>0.12600397662736335</x:v>
      </x:c>
      <x:c r="J640" s="79" t="n">
        <x:f>IF(H640&gt;0,I640/H640,0)</x:f>
        <x:v>9.29872736765346e-13</x:v>
      </x:c>
      <x:c r="K640" s="80" t="n">
        <x:f>(H640*J640+I640)*'Inputs'!$D$45*(1+'Inputs'!$G$45)^(B640/30)</x:f>
        <x:v>0.12600397662736335</x:v>
      </x:c>
      <x:c r="L640" s="80" t="n">
        <x:f>MAX(0,K640*'Inputs'!$E$45)</x:f>
        <x:v>0</x:v>
      </x:c>
      <x:c r="M640" s="80" t="n">
        <x:f>MAX(0,-K640*'Inputs'!$E$45)</x:f>
        <x:v>0.006300198831368168</x:v>
      </x:c>
      <x:c r="N640" s="78" t="n">
        <x:f>H640*(L640*(1-'Inputs'!$B$15))/(I640+L640*(1-'Inputs'!$B$15))</x:f>
        <x:v>0</x:v>
      </x:c>
      <x:c r="O640" s="78" t="n">
        <x:f>H640-N640</x:f>
        <x:v>135506689943.05673</x:v>
      </x:c>
      <x:c r="P640" s="78" t="n">
        <x:f>I640+L640*(1-'Inputs'!$B$17)</x:f>
        <x:v>0.12600397662736335</x:v>
      </x:c>
      <x:c r="Q640" s="78" t="n">
        <x:f>IF(J640&gt;0,M640/J640,0)</x:f>
        <x:v>0</x:v>
      </x:c>
      <x:c r="R640" s="78" t="n">
        <x:f>IF(B640='Inputs'!$H$45,'Inputs'!$B$27*'Inputs'!$I$45,0)</x:f>
        <x:v>0</x:v>
      </x:c>
      <x:c r="S640" s="78" t="n">
        <x:f>Q640+G640+R640</x:f>
        <x:v>520469.30122912436</x:v>
      </x:c>
      <x:c r="T640" s="78" t="n">
        <x:f>P640*(S640*(1-'Inputs'!$B$15))/(O640+S640*(1-'Inputs'!$B$15))</x:f>
        <x:v>4.791286895125845e-7</x:v>
      </x:c>
      <x:c r="U640" s="78" t="n">
        <x:f>O640+S640*(1-'Inputs'!$B$17)</x:f>
        <x:v>135507208317.9141</x:v>
      </x:c>
      <x:c r="V640" s="78" t="n">
        <x:f>P640-T640</x:f>
        <x:v>0.12600349749867384</x:v>
      </x:c>
      <x:c r="W640" s="79" t="n">
        <x:f>IF(U640&gt;0,V640/U640,0)</x:f>
        <x:v>9.29865643774879e-13</x:v>
      </x:c>
      <x:c r="X640" s="80" t="n">
        <x:f>W640*('Inputs'!$B$6-AC640)</x:f>
        <x:v>-0.004410647590591311</x:v>
      </x:c>
      <x:c r="Y640" s="80" t="n">
        <x:f>2*V640</x:f>
        <x:v>0.2520069949973477</x:v>
      </x:c>
      <x:c r="Z640" s="80" t="n">
        <x:f>K640*'Inputs'!$B$16+(G640+R640)*J640*'Inputs'!$B$16</x:f>
        <x:v>0.0007560267635854613</x:v>
      </x:c>
      <x:c r="AA640" s="80" t="n">
        <x:f>K640*(1+'Inputs'!$E$45)/2*'Inputs'!$B$17</x:f>
        <x:v>0.00024085267162172067</x:v>
      </x:c>
      <x:c r="AB640" s="78" t="n">
        <x:f>(IF(J640&gt;0,K640*(1-'Inputs'!$E$45)/2/J640,0)+G640+R640)*'Inputs'!$B$17</x:f>
        <x:v>2094.443868125249</x:v>
      </x:c>
      <x:c r="AC640" s="78" t="n">
        <x:f>AC639+AB640</x:f>
        <x:v>5743317080.396543</x:v>
      </x:c>
      <x:c r="AD640" s="80" t="n">
        <x:f>Z640/(1+'Inputs'!$C$45)</x:f>
        <x:v>0.0005040178423903075</x:v>
      </x:c>
      <x:c r="AE640" s="80" t="n">
        <x:f>Z640-AD640</x:f>
        <x:v>0.00025200892119515376</x:v>
      </x:c>
      <x:c r="AF640" s="80" t="n">
        <x:f>D640*W640</x:f>
        <x:v>2.4856086018103005e-7</x:v>
      </x:c>
      <x:c r="AG640" s="80" t="n">
        <x:f>C640*W640</x:f>
        <x:v>4.3498150531680954e-7</x:v>
      </x:c>
      <x:c r="AH640" s="80" t="n">
        <x:f>2*'Inputs'!$B$8*'Inputs'!$C$45</x:f>
        <x:v>2500</x:v>
      </x:c>
      <x:c r="AI640" s="81" t="n">
        <x:f>IF(AH640&gt;0,(AE640+AF640)/AH640*365,0)</x:f>
        <x:v>0.000036829592380078885</x:v>
      </x:c>
      <x:c r="AJ640" s="81" t="n">
        <x:f>IF('Inputs'!$B$45&gt;0,AG640/('Inputs'!$B$19*'Inputs'!$B$45)*365,0)</x:f>
        <x:v>2.1169099925418065e-8</x:v>
      </x:c>
      <x:c r="AK640" s="81" t="n">
        <x:f>W640/MAX($W$369:W640)-1</x:f>
        <x:v>-0.9999999987632013</x:v>
      </x:c>
      <x:c r="AL640" s="83" t="n">
        <x:f>'Inputs'!$B$45</x:f>
        <x:v>0.75</x:v>
      </x:c>
      <x:c r="AM640" s="83" t="n">
        <x:f>'Inputs'!$C$45</x:f>
        <x:v>0.5</x:v>
      </x:c>
      <x:c r="AN640" s="83" t="n">
        <x:f>'Inputs'!$D$45</x:f>
        <x:v>0.5</x:v>
      </x:c>
      <x:c r="AO640" s="81" t="n">
        <x:f>'Inputs'!$E$45</x:f>
        <x:v>-0.05</x:v>
      </x:c>
    </x:row>
    <x:row r="641">
      <x:c r="A641" s="59" t="str">
        <x:v>Weak demand</x:v>
      </x:c>
      <x:c r="B641" s="59" t="n">
        <x:v>273</x:v>
      </x:c>
      <x:c r="C641" s="78" t="n">
        <x:f>(('Inputs'!$B$29*(3*273*'Inputs'!$B$12-273^2)/(2*'Inputs'!$B$12^2))-('Inputs'!$B$29*(3*272*'Inputs'!$B$12-272^2)/(2*'Inputs'!$B$12^2)))*'Inputs'!$B$45</x:f>
        <x:v>467545.7989303842</x:v>
      </x:c>
      <x:c r="D641" s="78" t="n">
        <x:f>IF('Inputs'!$C$45&gt;0,('Inputs'!$B$30*(3*273*'Inputs'!$B$12-273^2)/(2*'Inputs'!$B$12^2))-('Inputs'!$B$30*(3*272*'Inputs'!$B$12-272^2)/(2*'Inputs'!$B$12^2)),0)</x:f>
        <x:v>267169.02796022594</x:v>
      </x:c>
      <x:c r="E641" s="78" t="n">
        <x:f>C641+D641</x:f>
        <x:v>734714.8268906102</x:v>
      </x:c>
      <x:c r="F641" s="78" t="n">
        <x:f>'Inputs'!$B$13*E641+(1-'Inputs'!$B$13)/'Inputs'!$B$14*SUM(E586:E641)</x:f>
        <x:v>743144.410302123</x:v>
      </x:c>
      <x:c r="G641" s="78" t="n">
        <x:f>F641*'Inputs'!$F$45</x:f>
        <x:v>520201.0872114861</x:v>
      </x:c>
      <x:c r="H641" s="78" t="n">
        <x:f>U640</x:f>
        <x:v>135507208317.9141</x:v>
      </x:c>
      <x:c r="I641" s="78" t="n">
        <x:f>V640</x:f>
        <x:v>0.12600349749867384</x:v>
      </x:c>
      <x:c r="J641" s="79" t="n">
        <x:f>IF(H641&gt;0,I641/H641,0)</x:f>
        <x:v>9.29865643774879e-13</x:v>
      </x:c>
      <x:c r="K641" s="80" t="n">
        <x:f>(H641*J641+I641)*'Inputs'!$D$45*(1+'Inputs'!$G$45)^(B641/30)</x:f>
        <x:v>0.12600349749867384</x:v>
      </x:c>
      <x:c r="L641" s="80" t="n">
        <x:f>MAX(0,K641*'Inputs'!$E$45)</x:f>
        <x:v>0</x:v>
      </x:c>
      <x:c r="M641" s="80" t="n">
        <x:f>MAX(0,-K641*'Inputs'!$E$45)</x:f>
        <x:v>0.006300174874933693</x:v>
      </x:c>
      <x:c r="N641" s="78" t="n">
        <x:f>H641*(L641*(1-'Inputs'!$B$15))/(I641+L641*(1-'Inputs'!$B$15))</x:f>
        <x:v>0</x:v>
      </x:c>
      <x:c r="O641" s="78" t="n">
        <x:f>H641-N641</x:f>
        <x:v>135507208317.9141</x:v>
      </x:c>
      <x:c r="P641" s="78" t="n">
        <x:f>I641+L641*(1-'Inputs'!$B$17)</x:f>
        <x:v>0.12600349749867384</x:v>
      </x:c>
      <x:c r="Q641" s="78" t="n">
        <x:f>IF(J641&gt;0,M641/J641,0)</x:f>
        <x:v>0</x:v>
      </x:c>
      <x:c r="R641" s="78" t="n">
        <x:f>IF(B641='Inputs'!$H$45,'Inputs'!$B$27*'Inputs'!$I$45,0)</x:f>
        <x:v>0</x:v>
      </x:c>
      <x:c r="S641" s="78" t="n">
        <x:f>Q641+G641+R641</x:f>
        <x:v>520201.0872114861</x:v>
      </x:c>
      <x:c r="T641" s="78" t="n">
        <x:f>P641*(S641*(1-'Inputs'!$B$15))/(O641+S641*(1-'Inputs'!$B$15))</x:f>
        <x:v>4.788781276735609e-7</x:v>
      </x:c>
      <x:c r="U641" s="78" t="n">
        <x:f>O641+S641*(1-'Inputs'!$B$17)</x:f>
        <x:v>135507726425.63676</x:v>
      </x:c>
      <x:c r="V641" s="78" t="n">
        <x:f>P641-T641</x:f>
        <x:v>0.12600301862054616</x:v>
      </x:c>
      <x:c r="W641" s="79" t="n">
        <x:f>IF(U641&gt;0,V641/U641,0)</x:f>
        <x:v>9.298585545208262e-13</x:v>
      </x:c>
      <x:c r="X641" s="80" t="n">
        <x:f>W641*('Inputs'!$B$6-AC641)</x:f>
        <x:v>-0.0044106159105443965</x:v>
      </x:c>
      <x:c r="Y641" s="80" t="n">
        <x:f>2*V641</x:f>
        <x:v>0.25200603724109233</x:v>
      </x:c>
      <x:c r="Z641" s="80" t="n">
        <x:f>K641*'Inputs'!$B$16+(G641+R641)*J641*'Inputs'!$B$16</x:f>
        <x:v>0.0007560238872947562</x:v>
      </x:c>
      <x:c r="AA641" s="80" t="n">
        <x:f>K641*(1+'Inputs'!$E$45)/2*'Inputs'!$B$17</x:f>
        <x:v>0.00024085175578217335</x:v>
      </x:c>
      <x:c r="AB641" s="78" t="n">
        <x:f>(IF(J641&gt;0,K641*(1-'Inputs'!$E$45)/2/J641,0)+G641+R641)*'Inputs'!$B$17</x:f>
        <x:v>2093.3645360623186</x:v>
      </x:c>
      <x:c r="AC641" s="78" t="n">
        <x:f>AC640+AB641</x:f>
        <x:v>5743319173.761079</x:v>
      </x:c>
      <x:c r="AD641" s="80" t="n">
        <x:f>Z641/(1+'Inputs'!$C$45)</x:f>
        <x:v>0.0005040159248631708</x:v>
      </x:c>
      <x:c r="AE641" s="80" t="n">
        <x:f>Z641-AD641</x:f>
        <x:v>0.00025200796243158544</x:v>
      </x:c>
      <x:c r="AF641" s="80" t="n">
        <x:f>D641*W641</x:f>
        <x:v>2.484294061518299e-7</x:v>
      </x:c>
      <x:c r="AG641" s="80" t="n">
        <x:f>C641*W641</x:f>
        <x:v>4.347514607656919e-7</x:v>
      </x:c>
      <x:c r="AH641" s="80" t="n">
        <x:f>2*'Inputs'!$B$8*'Inputs'!$C$45</x:f>
        <x:v>2500</x:v>
      </x:c>
      <x:c r="AI641" s="81" t="n">
        <x:f>IF(AH641&gt;0,(AE641+AF641)/AH641*365,0)</x:f>
        <x:v>0.00003682943320830964</x:v>
      </x:c>
      <x:c r="AJ641" s="81" t="n">
        <x:f>IF('Inputs'!$B$45&gt;0,AG641/('Inputs'!$B$19*'Inputs'!$B$45)*365,0)</x:f>
        <x:v>2.1157904423930338e-8</x:v>
      </x:c>
      <x:c r="AK641" s="81" t="n">
        <x:f>W641/MAX($W$369:W641)-1</x:f>
        <x:v>-0.9999999987632108</x:v>
      </x:c>
      <x:c r="AL641" s="83" t="n">
        <x:f>'Inputs'!$B$45</x:f>
        <x:v>0.75</x:v>
      </x:c>
      <x:c r="AM641" s="83" t="n">
        <x:f>'Inputs'!$C$45</x:f>
        <x:v>0.5</x:v>
      </x:c>
      <x:c r="AN641" s="83" t="n">
        <x:f>'Inputs'!$D$45</x:f>
        <x:v>0.5</x:v>
      </x:c>
      <x:c r="AO641" s="81" t="n">
        <x:f>'Inputs'!$E$45</x:f>
        <x:v>-0.05</x:v>
      </x:c>
    </x:row>
    <x:row r="642">
      <x:c r="A642" s="59" t="str">
        <x:v>Weak demand</x:v>
      </x:c>
      <x:c r="B642" s="59" t="n">
        <x:v>274</x:v>
      </x:c>
      <x:c r="C642" s="78" t="n">
        <x:f>(('Inputs'!$B$29*(3*274*'Inputs'!$B$12-274^2)/(2*'Inputs'!$B$12^2))-('Inputs'!$B$29*(3*273*'Inputs'!$B$12-273^2)/(2*'Inputs'!$B$12^2)))*'Inputs'!$B$45</x:f>
        <x:v>467301.96800525486</x:v>
      </x:c>
      <x:c r="D642" s="78" t="n">
        <x:f>IF('Inputs'!$C$45&gt;0,('Inputs'!$B$30*(3*274*'Inputs'!$B$12-274^2)/(2*'Inputs'!$B$12^2))-('Inputs'!$B$30*(3*273*'Inputs'!$B$12-273^2)/(2*'Inputs'!$B$12^2)),0)</x:f>
        <x:v>267029.69600299</x:v>
      </x:c>
      <x:c r="E642" s="78" t="n">
        <x:f>C642+D642</x:f>
        <x:v>734331.6640082449</x:v>
      </x:c>
      <x:c r="F642" s="78" t="n">
        <x:f>'Inputs'!$B$13*E642+(1-'Inputs'!$B$13)/'Inputs'!$B$14*SUM(E587:E642)</x:f>
        <x:v>742761.247419776</x:v>
      </x:c>
      <x:c r="G642" s="78" t="n">
        <x:f>F642*'Inputs'!$F$45</x:f>
        <x:v>519932.8731938432</x:v>
      </x:c>
      <x:c r="H642" s="78" t="n">
        <x:f>U641</x:f>
        <x:v>135507726425.63676</x:v>
      </x:c>
      <x:c r="I642" s="78" t="n">
        <x:f>V641</x:f>
        <x:v>0.12600301862054616</x:v>
      </x:c>
      <x:c r="J642" s="79" t="n">
        <x:f>IF(H642&gt;0,I642/H642,0)</x:f>
        <x:v>9.298585545208262e-13</x:v>
      </x:c>
      <x:c r="K642" s="80" t="n">
        <x:f>(H642*J642+I642)*'Inputs'!$D$45*(1+'Inputs'!$G$45)^(B642/30)</x:f>
        <x:v>0.12600301862054616</x:v>
      </x:c>
      <x:c r="L642" s="80" t="n">
        <x:f>MAX(0,K642*'Inputs'!$E$45)</x:f>
        <x:v>0</x:v>
      </x:c>
      <x:c r="M642" s="80" t="n">
        <x:f>MAX(0,-K642*'Inputs'!$E$45)</x:f>
        <x:v>0.006300150931027308</x:v>
      </x:c>
      <x:c r="N642" s="78" t="n">
        <x:f>H642*(L642*(1-'Inputs'!$B$15))/(I642+L642*(1-'Inputs'!$B$15))</x:f>
        <x:v>0</x:v>
      </x:c>
      <x:c r="O642" s="78" t="n">
        <x:f>H642-N642</x:f>
        <x:v>135507726425.63676</x:v>
      </x:c>
      <x:c r="P642" s="78" t="n">
        <x:f>I642+L642*(1-'Inputs'!$B$17)</x:f>
        <x:v>0.12600301862054616</x:v>
      </x:c>
      <x:c r="Q642" s="78" t="n">
        <x:f>IF(J642&gt;0,M642/J642,0)</x:f>
        <x:v>0</x:v>
      </x:c>
      <x:c r="R642" s="78" t="n">
        <x:f>IF(B642='Inputs'!$H$45,'Inputs'!$B$27*'Inputs'!$I$45,0)</x:f>
        <x:v>0</x:v>
      </x:c>
      <x:c r="S642" s="78" t="n">
        <x:f>Q642+G642+R642</x:f>
        <x:v>519932.8731938432</x:v>
      </x:c>
      <x:c r="T642" s="78" t="n">
        <x:f>P642*(S642*(1-'Inputs'!$B$15))/(O642+S642*(1-'Inputs'!$B$15))</x:f>
        <x:v>4.786275715235989e-7</x:v>
      </x:c>
      <x:c r="U642" s="78" t="n">
        <x:f>O642+S642*(1-'Inputs'!$B$17)</x:f>
        <x:v>135508244266.22476</x:v>
      </x:c>
      <x:c r="V642" s="78" t="n">
        <x:f>P642-T642</x:f>
        <x:v>0.12600253999297464</x:v>
      </x:c>
      <x:c r="W642" s="79" t="n">
        <x:f>IF(U642&gt;0,V642/U642,0)</x:f>
        <x:v>9.298514690030605e-13</x:v>
      </x:c>
      <x:c r="X642" s="80" t="n">
        <x:f>W642*('Inputs'!$B$6-AC642)</x:f>
        <x:v>-0.004410584247186593</x:v>
      </x:c>
      <x:c r="Y642" s="80" t="n">
        <x:f>2*V642</x:f>
        <x:v>0.2520050799859493</x:v>
      </x:c>
      <x:c r="Z642" s="80" t="n">
        <x:f>K642*'Inputs'!$B$16+(G642+R642)*J642*'Inputs'!$B$16</x:f>
        <x:v>0.0007560210125074565</x:v>
      </x:c>
      <x:c r="AA642" s="80" t="n">
        <x:f>K642*(1+'Inputs'!$E$45)/2*'Inputs'!$B$17</x:f>
        <x:v>0.0002408508404215671</x:v>
      </x:c>
      <x:c r="AB642" s="78" t="n">
        <x:f>(IF(J642&gt;0,K642*(1-'Inputs'!$E$45)/2/J642,0)+G642+R642)*'Inputs'!$B$17</x:f>
        <x:v>2092.285203999369</x:v>
      </x:c>
      <x:c r="AC642" s="78" t="n">
        <x:f>AC641+AB642</x:f>
        <x:v>5743321266.046283</x:v>
      </x:c>
      <x:c r="AD642" s="80" t="n">
        <x:f>Z642/(1+'Inputs'!$C$45)</x:f>
        <x:v>0.0005040140083383043</x:v>
      </x:c>
      <x:c r="AE642" s="80" t="n">
        <x:f>Z642-AD642</x:f>
        <x:v>0.00025200700416915217</x:v>
      </x:c>
      <x:c r="AF642" s="80" t="n">
        <x:f>D642*W642</x:f>
        <x:v>2.4829795509582093e-7</x:v>
      </x:c>
      <x:c r="AG642" s="80" t="n">
        <x:f>C642*W642</x:f>
        <x:v>4.345214214177074e-7</x:v>
      </x:c>
      <x:c r="AH642" s="80" t="n">
        <x:f>2*'Inputs'!$B$8*'Inputs'!$C$45</x:f>
        <x:v>2500</x:v>
      </x:c>
      <x:c r="AI642" s="81" t="n">
        <x:f>IF(AH642&gt;0,(AE642+AF642)/AH642*365,0)</x:f>
        <x:v>0.00003682927411014021</x:v>
      </x:c>
      <x:c r="AJ642" s="81" t="n">
        <x:f>IF('Inputs'!$B$45&gt;0,AG642/('Inputs'!$B$19*'Inputs'!$B$45)*365,0)</x:f>
        <x:v>2.114670917566176e-8</x:v>
      </x:c>
      <x:c r="AK642" s="81" t="n">
        <x:f>W642/MAX($W$369:W642)-1</x:f>
        <x:v>-0.9999999987632201</x:v>
      </x:c>
      <x:c r="AL642" s="83" t="n">
        <x:f>'Inputs'!$B$45</x:f>
        <x:v>0.75</x:v>
      </x:c>
      <x:c r="AM642" s="83" t="n">
        <x:f>'Inputs'!$C$45</x:f>
        <x:v>0.5</x:v>
      </x:c>
      <x:c r="AN642" s="83" t="n">
        <x:f>'Inputs'!$D$45</x:f>
        <x:v>0.5</x:v>
      </x:c>
      <x:c r="AO642" s="81" t="n">
        <x:f>'Inputs'!$E$45</x:f>
        <x:v>-0.05</x:v>
      </x:c>
    </x:row>
    <x:row r="643">
      <x:c r="A643" s="59" t="str">
        <x:v>Weak demand</x:v>
      </x:c>
      <x:c r="B643" s="59" t="n">
        <x:v>275</x:v>
      </x:c>
      <x:c r="C643" s="78" t="n">
        <x:f>(('Inputs'!$B$29*(3*275*'Inputs'!$B$12-275^2)/(2*'Inputs'!$B$12^2))-('Inputs'!$B$29*(3*274*'Inputs'!$B$12-274^2)/(2*'Inputs'!$B$12^2)))*'Inputs'!$B$45</x:f>
        <x:v>467058.1370801255</x:v>
      </x:c>
      <x:c r="D643" s="78" t="n">
        <x:f>IF('Inputs'!$C$45&gt;0,('Inputs'!$B$30*(3*275*'Inputs'!$B$12-275^2)/(2*'Inputs'!$B$12^2))-('Inputs'!$B$30*(3*274*'Inputs'!$B$12-274^2)/(2*'Inputs'!$B$12^2)),0)</x:f>
        <x:v>266890.3640457988</x:v>
      </x:c>
      <x:c r="E643" s="78" t="n">
        <x:f>C643+D643</x:f>
        <x:v>733948.5011259243</x:v>
      </x:c>
      <x:c r="F643" s="78" t="n">
        <x:f>'Inputs'!$B$13*E643+(1-'Inputs'!$B$13)/'Inputs'!$B$14*SUM(E588:E643)</x:f>
        <x:v>742378.0845374387</x:v>
      </x:c>
      <x:c r="G643" s="78" t="n">
        <x:f>F643*'Inputs'!$F$45</x:f>
        <x:v>519664.65917620703</x:v>
      </x:c>
      <x:c r="H643" s="78" t="n">
        <x:f>U642</x:f>
        <x:v>135508244266.22476</x:v>
      </x:c>
      <x:c r="I643" s="78" t="n">
        <x:f>V642</x:f>
        <x:v>0.12600253999297464</x:v>
      </x:c>
      <x:c r="J643" s="79" t="n">
        <x:f>IF(H643&gt;0,I643/H643,0)</x:f>
        <x:v>9.298514690030605e-13</x:v>
      </x:c>
      <x:c r="K643" s="80" t="n">
        <x:f>(H643*J643+I643)*'Inputs'!$D$45*(1+'Inputs'!$G$45)^(B643/30)</x:f>
        <x:v>0.12600253999297464</x:v>
      </x:c>
      <x:c r="L643" s="80" t="n">
        <x:f>MAX(0,K643*'Inputs'!$E$45)</x:f>
        <x:v>0</x:v>
      </x:c>
      <x:c r="M643" s="80" t="n">
        <x:f>MAX(0,-K643*'Inputs'!$E$45)</x:f>
        <x:v>0.006300126999648732</x:v>
      </x:c>
      <x:c r="N643" s="78" t="n">
        <x:f>H643*(L643*(1-'Inputs'!$B$15))/(I643+L643*(1-'Inputs'!$B$15))</x:f>
        <x:v>0</x:v>
      </x:c>
      <x:c r="O643" s="78" t="n">
        <x:f>H643-N643</x:f>
        <x:v>135508244266.22476</x:v>
      </x:c>
      <x:c r="P643" s="78" t="n">
        <x:f>I643+L643*(1-'Inputs'!$B$17)</x:f>
        <x:v>0.12600253999297464</x:v>
      </x:c>
      <x:c r="Q643" s="78" t="n">
        <x:f>IF(J643&gt;0,M643/J643,0)</x:f>
        <x:v>0</x:v>
      </x:c>
      <x:c r="R643" s="78" t="n">
        <x:f>IF(B643='Inputs'!$H$45,'Inputs'!$B$27*'Inputs'!$I$45,0)</x:f>
        <x:v>0</x:v>
      </x:c>
      <x:c r="S643" s="78" t="n">
        <x:f>Q643+G643+R643</x:f>
        <x:v>519664.65917620703</x:v>
      </x:c>
      <x:c r="T643" s="78" t="n">
        <x:f>P643*(S643*(1-'Inputs'!$B$15))/(O643+S643*(1-'Inputs'!$B$15))</x:f>
        <x:v>4.783770210596678e-7</x:v>
      </x:c>
      <x:c r="U643" s="78" t="n">
        <x:f>O643+S643*(1-'Inputs'!$B$17)</x:f>
        <x:v>135508761839.67807</x:v>
      </x:c>
      <x:c r="V643" s="78" t="n">
        <x:f>P643-T643</x:f>
        <x:v>0.1260020616159536</x:v>
      </x:c>
      <x:c r="W643" s="79" t="n">
        <x:f>IF(U643&gt;0,V643/U643,0)</x:f>
        <x:v>9.298443872214553e-13</x:v>
      </x:c>
      <x:c r="X643" s="80" t="n">
        <x:f>W643*('Inputs'!$B$6-AC643)</x:f>
        <x:v>-0.004410552600517346</x:v>
      </x:c>
      <x:c r="Y643" s="80" t="n">
        <x:f>2*V643</x:f>
        <x:v>0.2520041232319072</x:v>
      </x:c>
      <x:c r="Z643" s="80" t="n">
        <x:f>K643*'Inputs'!$B$16+(G643+R643)*J643*'Inputs'!$B$16</x:f>
        <x:v>0.0007560181392235281</x:v>
      </x:c>
      <x:c r="AA643" s="80" t="n">
        <x:f>K643*(1+'Inputs'!$E$45)/2*'Inputs'!$B$17</x:f>
        <x:v>0.00024084992553989116</x:v>
      </x:c>
      <x:c r="AB643" s="78" t="n">
        <x:f>(IF(J643&gt;0,K643*(1-'Inputs'!$E$45)/2/J643,0)+G643+R643)*'Inputs'!$B$17</x:f>
        <x:v>2091.205871936447</x:v>
      </x:c>
      <x:c r="AC643" s="78" t="n">
        <x:f>AC642+AB643</x:f>
        <x:v>5743323357.252154</x:v>
      </x:c>
      <x:c r="AD643" s="80" t="n">
        <x:f>Z643/(1+'Inputs'!$C$45)</x:f>
        <x:v>0.0005040120928156854</x:v>
      </x:c>
      <x:c r="AE643" s="80" t="n">
        <x:f>Z643-AD643</x:f>
        <x:v>0.00025200604640784267</x:v>
      </x:c>
      <x:c r="AF643" s="80" t="n">
        <x:f>D643*W643</x:f>
        <x:v>2.481665070114769e-7</x:v>
      </x:c>
      <x:c r="AG643" s="80" t="n">
        <x:f>C643*W643</x:f>
        <x:v>4.342913872700638e-7</x:v>
      </x:c>
      <x:c r="AH643" s="80" t="n">
        <x:f>2*'Inputs'!$B$8*'Inputs'!$C$45</x:f>
        <x:v>2500</x:v>
      </x:c>
      <x:c r="AI643" s="81" t="n">
        <x:f>IF(AH643&gt;0,(AE643+AF643)/AH643*365,0)</x:f>
        <x:v>0.0000368291150855687</x:v>
      </x:c>
      <x:c r="AJ643" s="81" t="n">
        <x:f>IF('Inputs'!$B$45&gt;0,AG643/('Inputs'!$B$19*'Inputs'!$B$45)*365,0)</x:f>
        <x:v>2.113551418047644e-8</x:v>
      </x:c>
      <x:c r="AK643" s="81" t="n">
        <x:f>W643/MAX($W$369:W643)-1</x:f>
        <x:v>-0.9999999987632295</x:v>
      </x:c>
      <x:c r="AL643" s="83" t="n">
        <x:f>'Inputs'!$B$45</x:f>
        <x:v>0.75</x:v>
      </x:c>
      <x:c r="AM643" s="83" t="n">
        <x:f>'Inputs'!$C$45</x:f>
        <x:v>0.5</x:v>
      </x:c>
      <x:c r="AN643" s="83" t="n">
        <x:f>'Inputs'!$D$45</x:f>
        <x:v>0.5</x:v>
      </x:c>
      <x:c r="AO643" s="81" t="n">
        <x:f>'Inputs'!$E$45</x:f>
        <x:v>-0.05</x:v>
      </x:c>
    </x:row>
    <x:row r="644">
      <x:c r="A644" s="59" t="str">
        <x:v>Weak demand</x:v>
      </x:c>
      <x:c r="B644" s="59" t="n">
        <x:v>276</x:v>
      </x:c>
      <x:c r="C644" s="78" t="n">
        <x:f>(('Inputs'!$B$29*(3*276*'Inputs'!$B$12-276^2)/(2*'Inputs'!$B$12^2))-('Inputs'!$B$29*(3*275*'Inputs'!$B$12-275^2)/(2*'Inputs'!$B$12^2)))*'Inputs'!$B$45</x:f>
        <x:v>466814.30615499616</x:v>
      </x:c>
      <x:c r="D644" s="78" t="n">
        <x:f>IF('Inputs'!$C$45&gt;0,('Inputs'!$B$30*(3*276*'Inputs'!$B$12-276^2)/(2*'Inputs'!$B$12^2))-('Inputs'!$B$30*(3*275*'Inputs'!$B$12-275^2)/(2*'Inputs'!$B$12^2)),0)</x:f>
        <x:v>266751.03208856285</x:v>
      </x:c>
      <x:c r="E644" s="78" t="n">
        <x:f>C644+D644</x:f>
        <x:v>733565.338243559</x:v>
      </x:c>
      <x:c r="F644" s="78" t="n">
        <x:f>'Inputs'!$B$13*E644+(1-'Inputs'!$B$13)/'Inputs'!$B$14*SUM(E589:E644)</x:f>
        <x:v>741994.921655092</x:v>
      </x:c>
      <x:c r="G644" s="78" t="n">
        <x:f>F644*'Inputs'!$F$45</x:f>
        <x:v>519396.44515856437</x:v>
      </x:c>
      <x:c r="H644" s="78" t="n">
        <x:f>U643</x:f>
        <x:v>135508761839.67807</x:v>
      </x:c>
      <x:c r="I644" s="78" t="n">
        <x:f>V643</x:f>
        <x:v>0.1260020616159536</x:v>
      </x:c>
      <x:c r="J644" s="79" t="n">
        <x:f>IF(H644&gt;0,I644/H644,0)</x:f>
        <x:v>9.298443872214553e-13</x:v>
      </x:c>
      <x:c r="K644" s="80" t="n">
        <x:f>(H644*J644+I644)*'Inputs'!$D$45*(1+'Inputs'!$G$45)^(B644/30)</x:f>
        <x:v>0.1260020616159536</x:v>
      </x:c>
      <x:c r="L644" s="80" t="n">
        <x:f>MAX(0,K644*'Inputs'!$E$45)</x:f>
        <x:v>0</x:v>
      </x:c>
      <x:c r="M644" s="80" t="n">
        <x:f>MAX(0,-K644*'Inputs'!$E$45)</x:f>
        <x:v>0.00630010308079768</x:v>
      </x:c>
      <x:c r="N644" s="78" t="n">
        <x:f>H644*(L644*(1-'Inputs'!$B$15))/(I644+L644*(1-'Inputs'!$B$15))</x:f>
        <x:v>0</x:v>
      </x:c>
      <x:c r="O644" s="78" t="n">
        <x:f>H644-N644</x:f>
        <x:v>135508761839.67807</x:v>
      </x:c>
      <x:c r="P644" s="78" t="n">
        <x:f>I644+L644*(1-'Inputs'!$B$17)</x:f>
        <x:v>0.1260020616159536</x:v>
      </x:c>
      <x:c r="Q644" s="78" t="n">
        <x:f>IF(J644&gt;0,M644/J644,0)</x:f>
        <x:v>0</x:v>
      </x:c>
      <x:c r="R644" s="78" t="n">
        <x:f>IF(B644='Inputs'!$H$45,'Inputs'!$B$27*'Inputs'!$I$45,0)</x:f>
        <x:v>0</x:v>
      </x:c>
      <x:c r="S644" s="78" t="n">
        <x:f>Q644+G644+R644</x:f>
        <x:v>519396.44515856437</x:v>
      </x:c>
      <x:c r="T644" s="78" t="n">
        <x:f>P644*(S644*(1-'Inputs'!$B$15))/(O644+S644*(1-'Inputs'!$B$15))</x:f>
        <x:v>4.781264762787139e-7</x:v>
      </x:c>
      <x:c r="U644" s="78" t="n">
        <x:f>O644+S644*(1-'Inputs'!$B$17)</x:f>
        <x:v>135509279145.99669</x:v>
      </x:c>
      <x:c r="V644" s="78" t="n">
        <x:f>P644-T644</x:f>
        <x:v>0.12600158348947732</x:v>
      </x:c>
      <x:c r="W644" s="79" t="n">
        <x:f>IF(U644&gt;0,V644/U644,0)</x:f>
        <x:v>9.298373091758841e-13</x:v>
      </x:c>
      <x:c r="X644" s="80" t="n">
        <x:f>W644*('Inputs'!$B$6-AC644)</x:f>
        <x:v>-0.004410520970536102</x:v>
      </x:c>
      <x:c r="Y644" s="80" t="n">
        <x:f>2*V644</x:f>
        <x:v>0.25200316697895464</x:v>
      </x:c>
      <x:c r="Z644" s="80" t="n">
        <x:f>K644*'Inputs'!$B$16+(G644+R644)*J644*'Inputs'!$B$16</x:f>
        <x:v>0.0007560152674429372</x:v>
      </x:c>
      <x:c r="AA644" s="80" t="n">
        <x:f>K644*(1+'Inputs'!$E$45)/2*'Inputs'!$B$17</x:f>
        <x:v>0.00024084901113713463</x:v>
      </x:c>
      <x:c r="AB644" s="78" t="n">
        <x:f>(IF(J644&gt;0,K644*(1-'Inputs'!$E$45)/2/J644,0)+G644+R644)*'Inputs'!$B$17</x:f>
        <x:v>2090.1265398734986</x:v>
      </x:c>
      <x:c r="AC644" s="78" t="n">
        <x:f>AC643+AB644</x:f>
        <x:v>5743325447.378695</x:v>
      </x:c>
      <x:c r="AD644" s="80" t="n">
        <x:f>Z644/(1+'Inputs'!$C$45)</x:f>
        <x:v>0.0005040101782952914</x:v>
      </x:c>
      <x:c r="AE644" s="80" t="n">
        <x:f>Z644-AD644</x:f>
        <x:v>0.0002520050891476458</x:v>
      </x:c>
      <x:c r="AF644" s="80" t="n">
        <x:f>D644*W644</x:f>
        <x:v>2.480350618971192e-7</x:v>
      </x:c>
      <x:c r="AG644" s="80" t="n">
        <x:f>C644*W644</x:f>
        <x:v>4.34061358319969e-7</x:v>
      </x:c>
      <x:c r="AH644" s="80" t="n">
        <x:f>2*'Inputs'!$B$8*'Inputs'!$C$45</x:f>
        <x:v>2500</x:v>
      </x:c>
      <x:c r="AI644" s="81" t="n">
        <x:f>IF(AH644&gt;0,(AE644+AF644)/AH644*365,0)</x:f>
        <x:v>0.000036828956134593267</x:v>
      </x:c>
      <x:c r="AJ644" s="81" t="n">
        <x:f>IF('Inputs'!$B$45&gt;0,AG644/('Inputs'!$B$19*'Inputs'!$B$45)*365,0)</x:f>
        <x:v>2.112431943823849e-8</x:v>
      </x:c>
      <x:c r="AK644" s="81" t="n">
        <x:f>W644/MAX($W$369:W644)-1</x:f>
        <x:v>-0.999999998763239</x:v>
      </x:c>
      <x:c r="AL644" s="83" t="n">
        <x:f>'Inputs'!$B$45</x:f>
        <x:v>0.75</x:v>
      </x:c>
      <x:c r="AM644" s="83" t="n">
        <x:f>'Inputs'!$C$45</x:f>
        <x:v>0.5</x:v>
      </x:c>
      <x:c r="AN644" s="83" t="n">
        <x:f>'Inputs'!$D$45</x:f>
        <x:v>0.5</x:v>
      </x:c>
      <x:c r="AO644" s="81" t="n">
        <x:f>'Inputs'!$E$45</x:f>
        <x:v>-0.05</x:v>
      </x:c>
    </x:row>
    <x:row r="645">
      <x:c r="A645" s="59" t="str">
        <x:v>Weak demand</x:v>
      </x:c>
      <x:c r="B645" s="59" t="n">
        <x:v>277</x:v>
      </x:c>
      <x:c r="C645" s="78" t="n">
        <x:f>(('Inputs'!$B$29*(3*277*'Inputs'!$B$12-277^2)/(2*'Inputs'!$B$12^2))-('Inputs'!$B$29*(3*276*'Inputs'!$B$12-276^2)/(2*'Inputs'!$B$12^2)))*'Inputs'!$B$45</x:f>
        <x:v>466570.47522988915</x:v>
      </x:c>
      <x:c r="D645" s="78" t="n">
        <x:f>IF('Inputs'!$C$45&gt;0,('Inputs'!$B$30*(3*277*'Inputs'!$B$12-277^2)/(2*'Inputs'!$B$12^2))-('Inputs'!$B$30*(3*276*'Inputs'!$B$12-276^2)/(2*'Inputs'!$B$12^2)),0)</x:f>
        <x:v>266611.7001313567</x:v>
      </x:c>
      <x:c r="E645" s="78" t="n">
        <x:f>C645+D645</x:f>
        <x:v>733182.1753612459</x:v>
      </x:c>
      <x:c r="F645" s="78" t="n">
        <x:f>'Inputs'!$B$13*E645+(1-'Inputs'!$B$13)/'Inputs'!$B$14*SUM(E590:E645)</x:f>
        <x:v>741611.758772756</x:v>
      </x:c>
      <x:c r="G645" s="78" t="n">
        <x:f>F645*'Inputs'!$F$45</x:f>
        <x:v>519128.23114092916</x:v>
      </x:c>
      <x:c r="H645" s="78" t="n">
        <x:f>U644</x:f>
        <x:v>135509279145.99669</x:v>
      </x:c>
      <x:c r="I645" s="78" t="n">
        <x:f>V644</x:f>
        <x:v>0.12600158348947732</x:v>
      </x:c>
      <x:c r="J645" s="79" t="n">
        <x:f>IF(H645&gt;0,I645/H645,0)</x:f>
        <x:v>9.298373091758841e-13</x:v>
      </x:c>
      <x:c r="K645" s="80" t="n">
        <x:f>(H645*J645+I645)*'Inputs'!$D$45*(1+'Inputs'!$G$45)^(B645/30)</x:f>
        <x:v>0.12600158348947732</x:v>
      </x:c>
      <x:c r="L645" s="80" t="n">
        <x:f>MAX(0,K645*'Inputs'!$E$45)</x:f>
        <x:v>0</x:v>
      </x:c>
      <x:c r="M645" s="80" t="n">
        <x:f>MAX(0,-K645*'Inputs'!$E$45)</x:f>
        <x:v>0.006300079174473866</x:v>
      </x:c>
      <x:c r="N645" s="78" t="n">
        <x:f>H645*(L645*(1-'Inputs'!$B$15))/(I645+L645*(1-'Inputs'!$B$15))</x:f>
        <x:v>0</x:v>
      </x:c>
      <x:c r="O645" s="78" t="n">
        <x:f>H645-N645</x:f>
        <x:v>135509279145.99669</x:v>
      </x:c>
      <x:c r="P645" s="78" t="n">
        <x:f>I645+L645*(1-'Inputs'!$B$17)</x:f>
        <x:v>0.12600158348947732</x:v>
      </x:c>
      <x:c r="Q645" s="78" t="n">
        <x:f>IF(J645&gt;0,M645/J645,0)</x:f>
        <x:v>0</x:v>
      </x:c>
      <x:c r="R645" s="78" t="n">
        <x:f>IF(B645='Inputs'!$H$45,'Inputs'!$B$27*'Inputs'!$I$45,0)</x:f>
        <x:v>0</x:v>
      </x:c>
      <x:c r="S645" s="78" t="n">
        <x:f>Q645+G645+R645</x:f>
        <x:v>519128.23114092916</x:v>
      </x:c>
      <x:c r="T645" s="78" t="n">
        <x:f>P645*(S645*(1-'Inputs'!$B$15))/(O645+S645*(1-'Inputs'!$B$15))</x:f>
        <x:v>4.778759371777087e-7</x:v>
      </x:c>
      <x:c r="U645" s="78" t="n">
        <x:f>O645+S645*(1-'Inputs'!$B$17)</x:f>
        <x:v>135509796185.18062</x:v>
      </x:c>
      <x:c r="V645" s="78" t="n">
        <x:f>P645-T645</x:f>
        <x:v>0.12600110561354014</x:v>
      </x:c>
      <x:c r="W645" s="79" t="n">
        <x:f>IF(U645&gt;0,V645/U645,0)</x:f>
        <x:v>9.298302348662202e-13</x:v>
      </x:c>
      <x:c r="X645" s="80" t="n">
        <x:f>W645*('Inputs'!$B$6-AC645)</x:f>
        <x:v>-0.004410489357242306</x:v>
      </x:c>
      <x:c r="Y645" s="80" t="n">
        <x:f>2*V645</x:f>
        <x:v>0.2520022112270803</x:v>
      </x:c>
      <x:c r="Z645" s="80" t="n">
        <x:f>K645*'Inputs'!$B$16+(G645+R645)*J645*'Inputs'!$B$16</x:f>
        <x:v>0.0007560123971656492</x:v>
      </x:c>
      <x:c r="AA645" s="80" t="n">
        <x:f>K645*(1+'Inputs'!$E$45)/2*'Inputs'!$B$17</x:f>
        <x:v>0.00024084809721328665</x:v>
      </x:c>
      <x:c r="AB645" s="78" t="n">
        <x:f>(IF(J645&gt;0,K645*(1-'Inputs'!$E$45)/2/J645,0)+G645+R645)*'Inputs'!$B$17</x:f>
        <x:v>2089.0472078105804</x:v>
      </x:c>
      <x:c r="AC645" s="78" t="n">
        <x:f>AC644+AB645</x:f>
        <x:v>5743327536.425902</x:v>
      </x:c>
      <x:c r="AD645" s="80" t="n">
        <x:f>Z645/(1+'Inputs'!$C$45)</x:f>
        <x:v>0.0005040082647770995</x:v>
      </x:c>
      <x:c r="AE645" s="80" t="n">
        <x:f>Z645-AD645</x:f>
        <x:v>0.0002520041323885498</x:v>
      </x:c>
      <x:c r="AF645" s="80" t="n">
        <x:f>D645*W645</x:f>
        <x:v>2.479036197512217e-7</x:v>
      </x:c>
      <x:c r="AG645" s="80" t="n">
        <x:f>C645*W645</x:f>
        <x:v>4.338313345646518e-7</x:v>
      </x:c>
      <x:c r="AH645" s="80" t="n">
        <x:f>2*'Inputs'!$B$8*'Inputs'!$C$45</x:f>
        <x:v>2500</x:v>
      </x:c>
      <x:c r="AI645" s="81" t="n">
        <x:f>IF(AH645&gt;0,(AE645+AF645)/AH645*365,0)</x:f>
        <x:v>0.00003682879725721194</x:v>
      </x:c>
      <x:c r="AJ645" s="81" t="n">
        <x:f>IF('Inputs'!$B$45&gt;0,AG645/('Inputs'!$B$19*'Inputs'!$B$45)*365,0)</x:f>
        <x:v>2.1113124948813053e-8</x:v>
      </x:c>
      <x:c r="AK645" s="81" t="n">
        <x:f>W645/MAX($W$369:W645)-1</x:f>
        <x:v>-0.9999999987632484</x:v>
      </x:c>
      <x:c r="AL645" s="83" t="n">
        <x:f>'Inputs'!$B$45</x:f>
        <x:v>0.75</x:v>
      </x:c>
      <x:c r="AM645" s="83" t="n">
        <x:f>'Inputs'!$C$45</x:f>
        <x:v>0.5</x:v>
      </x:c>
      <x:c r="AN645" s="83" t="n">
        <x:f>'Inputs'!$D$45</x:f>
        <x:v>0.5</x:v>
      </x:c>
      <x:c r="AO645" s="81" t="n">
        <x:f>'Inputs'!$E$45</x:f>
        <x:v>-0.05</x:v>
      </x:c>
    </x:row>
    <x:row r="646">
      <x:c r="A646" s="59" t="str">
        <x:v>Weak demand</x:v>
      </x:c>
      <x:c r="B646" s="59" t="n">
        <x:v>278</x:v>
      </x:c>
      <x:c r="C646" s="78" t="n">
        <x:f>(('Inputs'!$B$29*(3*278*'Inputs'!$B$12-278^2)/(2*'Inputs'!$B$12^2))-('Inputs'!$B$29*(3*277*'Inputs'!$B$12-277^2)/(2*'Inputs'!$B$12^2)))*'Inputs'!$B$45</x:f>
        <x:v>466326.64430473745</x:v>
      </x:c>
      <x:c r="D646" s="78" t="n">
        <x:f>IF('Inputs'!$C$45&gt;0,('Inputs'!$B$30*(3*278*'Inputs'!$B$12-278^2)/(2*'Inputs'!$B$12^2))-('Inputs'!$B$30*(3*277*'Inputs'!$B$12-277^2)/(2*'Inputs'!$B$12^2)),0)</x:f>
        <x:v>266472.3681741506</x:v>
      </x:c>
      <x:c r="E646" s="78" t="n">
        <x:f>C646+D646</x:f>
        <x:v>732799.012478888</x:v>
      </x:c>
      <x:c r="F646" s="78" t="n">
        <x:f>'Inputs'!$B$13*E646+(1-'Inputs'!$B$13)/'Inputs'!$B$14*SUM(E591:E646)</x:f>
        <x:v>741228.5958904108</x:v>
      </x:c>
      <x:c r="G646" s="78" t="n">
        <x:f>F646*'Inputs'!$F$45</x:f>
        <x:v>518860.01712328754</x:v>
      </x:c>
      <x:c r="H646" s="78" t="n">
        <x:f>U645</x:f>
        <x:v>135509796185.18062</x:v>
      </x:c>
      <x:c r="I646" s="78" t="n">
        <x:f>V645</x:f>
        <x:v>0.12600110561354014</x:v>
      </x:c>
      <x:c r="J646" s="79" t="n">
        <x:f>IF(H646&gt;0,I646/H646,0)</x:f>
        <x:v>9.298302348662202e-13</x:v>
      </x:c>
      <x:c r="K646" s="80" t="n">
        <x:f>(H646*J646+I646)*'Inputs'!$D$45*(1+'Inputs'!$G$45)^(B646/30)</x:f>
        <x:v>0.12600110561354014</x:v>
      </x:c>
      <x:c r="L646" s="80" t="n">
        <x:f>MAX(0,K646*'Inputs'!$E$45)</x:f>
        <x:v>0</x:v>
      </x:c>
      <x:c r="M646" s="80" t="n">
        <x:f>MAX(0,-K646*'Inputs'!$E$45)</x:f>
        <x:v>0.006300055280677007</x:v>
      </x:c>
      <x:c r="N646" s="78" t="n">
        <x:f>H646*(L646*(1-'Inputs'!$B$15))/(I646+L646*(1-'Inputs'!$B$15))</x:f>
        <x:v>0</x:v>
      </x:c>
      <x:c r="O646" s="78" t="n">
        <x:f>H646-N646</x:f>
        <x:v>135509796185.18062</x:v>
      </x:c>
      <x:c r="P646" s="78" t="n">
        <x:f>I646+L646*(1-'Inputs'!$B$17)</x:f>
        <x:v>0.12600110561354014</x:v>
      </x:c>
      <x:c r="Q646" s="78" t="n">
        <x:f>IF(J646&gt;0,M646/J646,0)</x:f>
        <x:v>0</x:v>
      </x:c>
      <x:c r="R646" s="78" t="n">
        <x:f>IF(B646='Inputs'!$H$45,'Inputs'!$B$27*'Inputs'!$I$45,0)</x:f>
        <x:v>0</x:v>
      </x:c>
      <x:c r="S646" s="78" t="n">
        <x:f>Q646+G646+R646</x:f>
        <x:v>518860.01712328754</x:v>
      </x:c>
      <x:c r="T646" s="78" t="n">
        <x:f>P646*(S646*(1-'Inputs'!$B$15))/(O646+S646*(1-'Inputs'!$B$15))</x:f>
        <x:v>4.776254037535985e-7</x:v>
      </x:c>
      <x:c r="U646" s="78" t="n">
        <x:f>O646+S646*(1-'Inputs'!$B$17)</x:f>
        <x:v>135510312957.22986</x:v>
      </x:c>
      <x:c r="V646" s="78" t="n">
        <x:f>P646-T646</x:f>
        <x:v>0.12600062798813638</x:v>
      </x:c>
      <x:c r="W646" s="79" t="n">
        <x:f>IF(U646&gt;0,V646/U646,0)</x:f>
        <x:v>9.298231642923374e-13</x:v>
      </x:c>
      <x:c r="X646" s="80" t="n">
        <x:f>W646*('Inputs'!$B$6-AC646)</x:f>
        <x:v>-0.004410457760635407</x:v>
      </x:c>
      <x:c r="Y646" s="80" t="n">
        <x:f>2*V646</x:f>
        <x:v>0.25200125597627276</x:v>
      </x:c>
      <x:c r="Z646" s="80" t="n">
        <x:f>K646*'Inputs'!$B$16+(G646+R646)*J646*'Inputs'!$B$16</x:f>
        <x:v>0.0007560095283916303</x:v>
      </x:c>
      <x:c r="AA646" s="80" t="n">
        <x:f>K646*(1+'Inputs'!$E$45)/2*'Inputs'!$B$17</x:f>
        <x:v>0.0002408471837683363</x:v>
      </x:c>
      <x:c r="AB646" s="78" t="n">
        <x:f>(IF(J646&gt;0,K646*(1-'Inputs'!$E$45)/2/J646,0)+G646+R646)*'Inputs'!$B$17</x:f>
        <x:v>2087.9678757476363</x:v>
      </x:c>
      <x:c r="AC646" s="78" t="n">
        <x:f>AC645+AB646</x:f>
        <x:v>5743329624.393778</x:v>
      </x:c>
      <x:c r="AD646" s="80" t="n">
        <x:f>Z646/(1+'Inputs'!$C$45)</x:f>
        <x:v>0.0005040063522610869</x:v>
      </x:c>
      <x:c r="AE646" s="80" t="n">
        <x:f>Z646-AD646</x:f>
        <x:v>0.0002520031761305434</x:v>
      </x:c>
      <x:c r="AF646" s="80" t="n">
        <x:f>D646*W646</x:f>
        <x:v>2.4777218057216146e-7</x:v>
      </x:c>
      <x:c r="AG646" s="80" t="n">
        <x:f>C646*W646</x:f>
        <x:v>4.336013160012583e-7</x:v>
      </x:c>
      <x:c r="AH646" s="80" t="n">
        <x:f>2*'Inputs'!$B$8*'Inputs'!$C$45</x:f>
        <x:v>2500</x:v>
      </x:c>
      <x:c r="AI646" s="81" t="n">
        <x:f>IF(AH646&gt;0,(AE646+AF646)/AH646*365,0)</x:f>
        <x:v>0.000036828638453422875</x:v>
      </x:c>
      <x:c r="AJ646" s="81" t="n">
        <x:f>IF('Inputs'!$B$45&gt;0,AG646/('Inputs'!$B$19*'Inputs'!$B$45)*365,0)</x:f>
        <x:v>2.1101930712061235e-8</x:v>
      </x:c>
      <x:c r="AK646" s="81" t="n">
        <x:f>W646/MAX($W$369:W646)-1</x:f>
        <x:v>-0.9999999987632578</x:v>
      </x:c>
      <x:c r="AL646" s="83" t="n">
        <x:f>'Inputs'!$B$45</x:f>
        <x:v>0.75</x:v>
      </x:c>
      <x:c r="AM646" s="83" t="n">
        <x:f>'Inputs'!$C$45</x:f>
        <x:v>0.5</x:v>
      </x:c>
      <x:c r="AN646" s="83" t="n">
        <x:f>'Inputs'!$D$45</x:f>
        <x:v>0.5</x:v>
      </x:c>
      <x:c r="AO646" s="81" t="n">
        <x:f>'Inputs'!$E$45</x:f>
        <x:v>-0.05</x:v>
      </x:c>
    </x:row>
    <x:row r="647">
      <x:c r="A647" s="59" t="str">
        <x:v>Weak demand</x:v>
      </x:c>
      <x:c r="B647" s="59" t="n">
        <x:v>279</x:v>
      </x:c>
      <x:c r="C647" s="78" t="n">
        <x:f>(('Inputs'!$B$29*(3*279*'Inputs'!$B$12-279^2)/(2*'Inputs'!$B$12^2))-('Inputs'!$B$29*(3*278*'Inputs'!$B$12-278^2)/(2*'Inputs'!$B$12^2)))*'Inputs'!$B$45</x:f>
        <x:v>466082.81337963045</x:v>
      </x:c>
      <x:c r="D647" s="78" t="n">
        <x:f>IF('Inputs'!$C$45&gt;0,('Inputs'!$B$30*(3*279*'Inputs'!$B$12-279^2)/(2*'Inputs'!$B$12^2))-('Inputs'!$B$30*(3*278*'Inputs'!$B$12-278^2)/(2*'Inputs'!$B$12^2)),0)</x:f>
        <x:v>266333.03621691465</x:v>
      </x:c>
      <x:c r="E647" s="78" t="n">
        <x:f>C647+D647</x:f>
        <x:v>732415.8495965451</x:v>
      </x:c>
      <x:c r="F647" s="78" t="n">
        <x:f>'Inputs'!$B$13*E647+(1-'Inputs'!$B$13)/'Inputs'!$B$14*SUM(E592:E647)</x:f>
        <x:v>740845.4330080687</x:v>
      </x:c>
      <x:c r="G647" s="78" t="n">
        <x:f>F647*'Inputs'!$F$45</x:f>
        <x:v>518591.8031056481</x:v>
      </x:c>
      <x:c r="H647" s="78" t="n">
        <x:f>U646</x:f>
        <x:v>135510312957.22986</x:v>
      </x:c>
      <x:c r="I647" s="78" t="n">
        <x:f>V646</x:f>
        <x:v>0.12600062798813638</x:v>
      </x:c>
      <x:c r="J647" s="79" t="n">
        <x:f>IF(H647&gt;0,I647/H647,0)</x:f>
        <x:v>9.298231642923374e-13</x:v>
      </x:c>
      <x:c r="K647" s="80" t="n">
        <x:f>(H647*J647+I647)*'Inputs'!$D$45*(1+'Inputs'!$G$45)^(B647/30)</x:f>
        <x:v>0.12600062798813638</x:v>
      </x:c>
      <x:c r="L647" s="80" t="n">
        <x:f>MAX(0,K647*'Inputs'!$E$45)</x:f>
        <x:v>0</x:v>
      </x:c>
      <x:c r="M647" s="80" t="n">
        <x:f>MAX(0,-K647*'Inputs'!$E$45)</x:f>
        <x:v>0.0063000313994068195</x:v>
      </x:c>
      <x:c r="N647" s="78" t="n">
        <x:f>H647*(L647*(1-'Inputs'!$B$15))/(I647+L647*(1-'Inputs'!$B$15))</x:f>
        <x:v>0</x:v>
      </x:c>
      <x:c r="O647" s="78" t="n">
        <x:f>H647-N647</x:f>
        <x:v>135510312957.22986</x:v>
      </x:c>
      <x:c r="P647" s="78" t="n">
        <x:f>I647+L647*(1-'Inputs'!$B$17)</x:f>
        <x:v>0.12600062798813638</x:v>
      </x:c>
      <x:c r="Q647" s="78" t="n">
        <x:f>IF(J647&gt;0,M647/J647,0)</x:f>
        <x:v>0</x:v>
      </x:c>
      <x:c r="R647" s="78" t="n">
        <x:f>IF(B647='Inputs'!$H$45,'Inputs'!$B$27*'Inputs'!$I$45,0)</x:f>
        <x:v>0</x:v>
      </x:c>
      <x:c r="S647" s="78" t="n">
        <x:f>Q647+G647+R647</x:f>
        <x:v>518591.8031056481</x:v>
      </x:c>
      <x:c r="T647" s="78" t="n">
        <x:f>P647*(S647*(1-'Inputs'!$B$15))/(O647+S647*(1-'Inputs'!$B$15))</x:f>
        <x:v>4.773748760033503e-7</x:v>
      </x:c>
      <x:c r="U647" s="78" t="n">
        <x:f>O647+S647*(1-'Inputs'!$B$17)</x:f>
        <x:v>135510829462.14442</x:v>
      </x:c>
      <x:c r="V647" s="78" t="n">
        <x:f>P647-T647</x:f>
        <x:v>0.1260001506132604</x:v>
      </x:c>
      <x:c r="W647" s="79" t="n">
        <x:f>IF(U647&gt;0,V647/U647,0)</x:f>
        <x:v>9.298160974541087e-13</x:v>
      </x:c>
      <x:c r="X647" s="80" t="n">
        <x:f>W647*('Inputs'!$B$6-AC647)</x:f>
        <x:v>-0.004410426180714848</x:v>
      </x:c>
      <x:c r="Y647" s="80" t="n">
        <x:f>2*V647</x:f>
        <x:v>0.2520003012265208</x:v>
      </x:c>
      <x:c r="Z647" s="80" t="n">
        <x:f>K647*'Inputs'!$B$16+(G647+R647)*J647*'Inputs'!$B$16</x:f>
        <x:v>0.0007560066611208464</x:v>
      </x:c>
      <x:c r="AA647" s="80" t="n">
        <x:f>K647*(1+'Inputs'!$E$45)/2*'Inputs'!$B$17</x:f>
        <x:v>0.00024084627080227277</x:v>
      </x:c>
      <x:c r="AB647" s="78" t="n">
        <x:f>(IF(J647&gt;0,K647*(1-'Inputs'!$E$45)/2/J647,0)+G647+R647)*'Inputs'!$B$17</x:f>
        <x:v>2086.888543684701</x:v>
      </x:c>
      <x:c r="AC647" s="78" t="n">
        <x:f>AC646+AB647</x:f>
        <x:v>5743331711.282322</x:v>
      </x:c>
      <x:c r="AD647" s="80" t="n">
        <x:f>Z647/(1+'Inputs'!$C$45)</x:f>
        <x:v>0.0005040044407472309</x:v>
      </x:c>
      <x:c r="AE647" s="80" t="n">
        <x:f>Z647-AD647</x:f>
        <x:v>0.0002520022203736155</x:v>
      </x:c>
      <x:c r="AF647" s="80" t="n">
        <x:f>D647*W647</x:f>
        <x:v>2.476407443583154e-7</x:v>
      </x:c>
      <x:c r="AG647" s="80" t="n">
        <x:f>C647*W647</x:f>
        <x:v>4.333713026270796e-7</x:v>
      </x:c>
      <x:c r="AH647" s="80" t="n">
        <x:f>2*'Inputs'!$B$8*'Inputs'!$C$45</x:f>
        <x:v>2500</x:v>
      </x:c>
      <x:c r="AI647" s="81" t="n">
        <x:f>IF(AH647&gt;0,(AE647+AF647)/AH647*365,0)</x:f>
        <x:v>0.00003682847972322418</x:v>
      </x:c>
      <x:c r="AJ647" s="81" t="n">
        <x:f>IF('Inputs'!$B$45&gt;0,AG647/('Inputs'!$B$19*'Inputs'!$B$45)*365,0)</x:f>
        <x:v>2.1090736727851208e-8</x:v>
      </x:c>
      <x:c r="AK647" s="81" t="n">
        <x:f>W647/MAX($W$369:W647)-1</x:f>
        <x:v>-0.9999999987632672</x:v>
      </x:c>
      <x:c r="AL647" s="83" t="n">
        <x:f>'Inputs'!$B$45</x:f>
        <x:v>0.75</x:v>
      </x:c>
      <x:c r="AM647" s="83" t="n">
        <x:f>'Inputs'!$C$45</x:f>
        <x:v>0.5</x:v>
      </x:c>
      <x:c r="AN647" s="83" t="n">
        <x:f>'Inputs'!$D$45</x:f>
        <x:v>0.5</x:v>
      </x:c>
      <x:c r="AO647" s="81" t="n">
        <x:f>'Inputs'!$E$45</x:f>
        <x:v>-0.05</x:v>
      </x:c>
    </x:row>
    <x:row r="648">
      <x:c r="A648" s="59" t="str">
        <x:v>Weak demand</x:v>
      </x:c>
      <x:c r="B648" s="59" t="n">
        <x:v>280</x:v>
      </x:c>
      <x:c r="C648" s="78" t="n">
        <x:f>(('Inputs'!$B$29*(3*280*'Inputs'!$B$12-280^2)/(2*'Inputs'!$B$12^2))-('Inputs'!$B$29*(3*279*'Inputs'!$B$12-279^2)/(2*'Inputs'!$B$12^2)))*'Inputs'!$B$45</x:f>
        <x:v>465838.98245447874</x:v>
      </x:c>
      <x:c r="D648" s="78" t="n">
        <x:f>IF('Inputs'!$C$45&gt;0,('Inputs'!$B$30*(3*280*'Inputs'!$B$12-280^2)/(2*'Inputs'!$B$12^2))-('Inputs'!$B$30*(3*279*'Inputs'!$B$12-279^2)/(2*'Inputs'!$B$12^2)),0)</x:f>
        <x:v>266193.7042597234</x:v>
      </x:c>
      <x:c r="E648" s="78" t="n">
        <x:f>C648+D648</x:f>
        <x:v>732032.6867142022</x:v>
      </x:c>
      <x:c r="F648" s="78" t="n">
        <x:f>'Inputs'!$B$13*E648+(1-'Inputs'!$B$13)/'Inputs'!$B$14*SUM(E593:E648)</x:f>
        <x:v>740462.2701257265</x:v>
      </x:c>
      <x:c r="G648" s="78" t="n">
        <x:f>F648*'Inputs'!$F$45</x:f>
        <x:v>518323.5890880085</x:v>
      </x:c>
      <x:c r="H648" s="78" t="n">
        <x:f>U647</x:f>
        <x:v>135510829462.14442</x:v>
      </x:c>
      <x:c r="I648" s="78" t="n">
        <x:f>V647</x:f>
        <x:v>0.1260001506132604</x:v>
      </x:c>
      <x:c r="J648" s="79" t="n">
        <x:f>IF(H648&gt;0,I648/H648,0)</x:f>
        <x:v>9.298160974541087e-13</x:v>
      </x:c>
      <x:c r="K648" s="80" t="n">
        <x:f>(H648*J648+I648)*'Inputs'!$D$45*(1+'Inputs'!$G$45)^(B648/30)</x:f>
        <x:v>0.1260001506132604</x:v>
      </x:c>
      <x:c r="L648" s="80" t="n">
        <x:f>MAX(0,K648*'Inputs'!$E$45)</x:f>
        <x:v>0</x:v>
      </x:c>
      <x:c r="M648" s="80" t="n">
        <x:f>MAX(0,-K648*'Inputs'!$E$45)</x:f>
        <x:v>0.00630000753066302</x:v>
      </x:c>
      <x:c r="N648" s="78" t="n">
        <x:f>H648*(L648*(1-'Inputs'!$B$15))/(I648+L648*(1-'Inputs'!$B$15))</x:f>
        <x:v>0</x:v>
      </x:c>
      <x:c r="O648" s="78" t="n">
        <x:f>H648-N648</x:f>
        <x:v>135510829462.14442</x:v>
      </x:c>
      <x:c r="P648" s="78" t="n">
        <x:f>I648+L648*(1-'Inputs'!$B$17)</x:f>
        <x:v>0.1260001506132604</x:v>
      </x:c>
      <x:c r="Q648" s="78" t="n">
        <x:f>IF(J648&gt;0,M648/J648,0)</x:f>
        <x:v>0</x:v>
      </x:c>
      <x:c r="R648" s="78" t="n">
        <x:f>IF(B648='Inputs'!$H$45,'Inputs'!$B$27*'Inputs'!$I$45,0)</x:f>
        <x:v>0</x:v>
      </x:c>
      <x:c r="S648" s="78" t="n">
        <x:f>Q648+G648+R648</x:f>
        <x:v>518323.5890880085</x:v>
      </x:c>
      <x:c r="T648" s="78" t="n">
        <x:f>P648*(S648*(1-'Inputs'!$B$15))/(O648+S648*(1-'Inputs'!$B$15))</x:f>
        <x:v>4.771243539239212e-7</x:v>
      </x:c>
      <x:c r="U648" s="78" t="n">
        <x:f>O648+S648*(1-'Inputs'!$B$17)</x:f>
        <x:v>135511345699.9243</x:v>
      </x:c>
      <x:c r="V648" s="78" t="n">
        <x:f>P648-T648</x:f>
        <x:v>0.12599967348890648</x:v>
      </x:c>
      <x:c r="W648" s="79" t="n">
        <x:f>IF(U648&gt;0,V648/U648,0)</x:f>
        <x:v>9.298090343514082e-13</x:v>
      </x:c>
      <x:c r="X648" s="80" t="n">
        <x:f>W648*('Inputs'!$B$6-AC648)</x:f>
        <x:v>-0.004410394617480077</x:v>
      </x:c>
      <x:c r="Y648" s="80" t="n">
        <x:f>2*V648</x:f>
        <x:v>0.25199934697781295</x:v>
      </x:c>
      <x:c r="Z648" s="80" t="n">
        <x:f>K648*'Inputs'!$B$16+(G648+R648)*J648*'Inputs'!$B$16</x:f>
        <x:v>0.0007560037953532633</x:v>
      </x:c>
      <x:c r="AA648" s="80" t="n">
        <x:f>K648*(1+'Inputs'!$E$45)/2*'Inputs'!$B$17</x:f>
        <x:v>0.00024084535831508526</x:v>
      </x:c>
      <x:c r="AB648" s="78" t="n">
        <x:f>(IF(J648&gt;0,K648*(1-'Inputs'!$E$45)/2/J648,0)+G648+R648)*'Inputs'!$B$17</x:f>
        <x:v>2085.809211621765</x:v>
      </x:c>
      <x:c r="AC648" s="78" t="n">
        <x:f>AC647+AB648</x:f>
        <x:v>5743333797.091534</x:v>
      </x:c>
      <x:c r="AD648" s="80" t="n">
        <x:f>Z648/(1+'Inputs'!$C$45)</x:f>
        <x:v>0.0005040025302355089</x:v>
      </x:c>
      <x:c r="AE648" s="80" t="n">
        <x:f>Z648-AD648</x:f>
        <x:v>0.0002520012651177544</x:v>
      </x:c>
      <x:c r="AF648" s="80" t="n">
        <x:f>D648*W648</x:f>
        <x:v>2.4750931110815776e-7</x:v>
      </x:c>
      <x:c r="AG648" s="80" t="n">
        <x:f>C648*W648</x:f>
        <x:v>4.3314129443924144e-7</x:v>
      </x:c>
      <x:c r="AH648" s="80" t="n">
        <x:f>2*'Inputs'!$B$8*'Inputs'!$C$45</x:f>
        <x:v>2500</x:v>
      </x:c>
      <x:c r="AI648" s="81" t="n">
        <x:f>IF(AH648&gt;0,(AE648+AF648)/AH648*365,0)</x:f>
        <x:v>0.000036828321066613936</x:v>
      </x:c>
      <x:c r="AJ648" s="81" t="n">
        <x:f>IF('Inputs'!$B$45&gt;0,AG648/('Inputs'!$B$19*'Inputs'!$B$45)*365,0)</x:f>
        <x:v>2.1079542996043083e-8</x:v>
      </x:c>
      <x:c r="AK648" s="81" t="n">
        <x:f>W648/MAX($W$369:W648)-1</x:f>
        <x:v>-0.9999999987632766</x:v>
      </x:c>
      <x:c r="AL648" s="83" t="n">
        <x:f>'Inputs'!$B$45</x:f>
        <x:v>0.75</x:v>
      </x:c>
      <x:c r="AM648" s="83" t="n">
        <x:f>'Inputs'!$C$45</x:f>
        <x:v>0.5</x:v>
      </x:c>
      <x:c r="AN648" s="83" t="n">
        <x:f>'Inputs'!$D$45</x:f>
        <x:v>0.5</x:v>
      </x:c>
      <x:c r="AO648" s="81" t="n">
        <x:f>'Inputs'!$E$45</x:f>
        <x:v>-0.05</x:v>
      </x:c>
    </x:row>
    <x:row r="649">
      <x:c r="A649" s="59" t="str">
        <x:v>Weak demand</x:v>
      </x:c>
      <x:c r="B649" s="59" t="n">
        <x:v>281</x:v>
      </x:c>
      <x:c r="C649" s="78" t="n">
        <x:f>(('Inputs'!$B$29*(3*281*'Inputs'!$B$12-281^2)/(2*'Inputs'!$B$12^2))-('Inputs'!$B$29*(3*280*'Inputs'!$B$12-280^2)/(2*'Inputs'!$B$12^2)))*'Inputs'!$B$45</x:f>
        <x:v>465595.15152937174</x:v>
      </x:c>
      <x:c r="D649" s="78" t="n">
        <x:f>IF('Inputs'!$C$45&gt;0,('Inputs'!$B$30*(3*281*'Inputs'!$B$12-281^2)/(2*'Inputs'!$B$12^2))-('Inputs'!$B$30*(3*280*'Inputs'!$B$12-280^2)/(2*'Inputs'!$B$12^2)),0)</x:f>
        <x:v>266054.3723024875</x:v>
      </x:c>
      <x:c r="E649" s="78" t="n">
        <x:f>C649+D649</x:f>
        <x:v>731649.5238318592</x:v>
      </x:c>
      <x:c r="F649" s="78" t="n">
        <x:f>'Inputs'!$B$13*E649+(1-'Inputs'!$B$13)/'Inputs'!$B$14*SUM(E594:E649)</x:f>
        <x:v>740079.1072433842</x:v>
      </x:c>
      <x:c r="G649" s="78" t="n">
        <x:f>F649*'Inputs'!$F$45</x:f>
        <x:v>518055.37507036893</x:v>
      </x:c>
      <x:c r="H649" s="78" t="n">
        <x:f>U648</x:f>
        <x:v>135511345699.9243</x:v>
      </x:c>
      <x:c r="I649" s="78" t="n">
        <x:f>V648</x:f>
        <x:v>0.12599967348890648</x:v>
      </x:c>
      <x:c r="J649" s="79" t="n">
        <x:f>IF(H649&gt;0,I649/H649,0)</x:f>
        <x:v>9.298090343514082e-13</x:v>
      </x:c>
      <x:c r="K649" s="80" t="n">
        <x:f>(H649*J649+I649)*'Inputs'!$D$45*(1+'Inputs'!$G$45)^(B649/30)</x:f>
        <x:v>0.12599967348890648</x:v>
      </x:c>
      <x:c r="L649" s="80" t="n">
        <x:f>MAX(0,K649*'Inputs'!$E$45)</x:f>
        <x:v>0</x:v>
      </x:c>
      <x:c r="M649" s="80" t="n">
        <x:f>MAX(0,-K649*'Inputs'!$E$45)</x:f>
        <x:v>0.0062999836744453246</x:v>
      </x:c>
      <x:c r="N649" s="78" t="n">
        <x:f>H649*(L649*(1-'Inputs'!$B$15))/(I649+L649*(1-'Inputs'!$B$15))</x:f>
        <x:v>0</x:v>
      </x:c>
      <x:c r="O649" s="78" t="n">
        <x:f>H649-N649</x:f>
        <x:v>135511345699.9243</x:v>
      </x:c>
      <x:c r="P649" s="78" t="n">
        <x:f>I649+L649*(1-'Inputs'!$B$17)</x:f>
        <x:v>0.12599967348890648</x:v>
      </x:c>
      <x:c r="Q649" s="78" t="n">
        <x:f>IF(J649&gt;0,M649/J649,0)</x:f>
        <x:v>0</x:v>
      </x:c>
      <x:c r="R649" s="78" t="n">
        <x:f>IF(B649='Inputs'!$H$45,'Inputs'!$B$27*'Inputs'!$I$45,0)</x:f>
        <x:v>0</x:v>
      </x:c>
      <x:c r="S649" s="78" t="n">
        <x:f>Q649+G649+R649</x:f>
        <x:v>518055.37507036893</x:v>
      </x:c>
      <x:c r="T649" s="78" t="n">
        <x:f>P649*(S649*(1-'Inputs'!$B$15))/(O649+S649*(1-'Inputs'!$B$15))</x:f>
        <x:v>4.768738375122708e-7</x:v>
      </x:c>
      <x:c r="U649" s="78" t="n">
        <x:f>O649+S649*(1-'Inputs'!$B$17)</x:f>
        <x:v>135511861670.56949</x:v>
      </x:c>
      <x:c r="V649" s="78" t="n">
        <x:f>P649-T649</x:f>
        <x:v>0.12599919661506898</x:v>
      </x:c>
      <x:c r="W649" s="79" t="n">
        <x:f>IF(U649&gt;0,V649/U649,0)</x:f>
        <x:v>9.298019749841096e-13</x:v>
      </x:c>
      <x:c r="X649" s="80" t="n">
        <x:f>W649*('Inputs'!$B$6-AC649)</x:f>
        <x:v>-0.004410363070930542</x:v>
      </x:c>
      <x:c r="Y649" s="80" t="n">
        <x:f>2*V649</x:f>
        <x:v>0.25199839323013795</x:v>
      </x:c>
      <x:c r="Z649" s="80" t="n">
        <x:f>K649*'Inputs'!$B$16+(G649+R649)*J649*'Inputs'!$B$16</x:f>
        <x:v>0.000756000931088847</x:v>
      </x:c>
      <x:c r="AA649" s="80" t="n">
        <x:f>K649*(1+'Inputs'!$E$45)/2*'Inputs'!$B$17</x:f>
        <x:v>0.0002408444463067629</x:v>
      </x:c>
      <x:c r="AB649" s="78" t="n">
        <x:f>(IF(J649&gt;0,K649*(1-'Inputs'!$E$45)/2/J649,0)+G649+R649)*'Inputs'!$B$17</x:f>
        <x:v>2084.729879558829</x:v>
      </x:c>
      <x:c r="AC649" s="78" t="n">
        <x:f>AC648+AB649</x:f>
        <x:v>5743335881.821413</x:v>
      </x:c>
      <x:c r="AD649" s="80" t="n">
        <x:f>Z649/(1+'Inputs'!$C$45)</x:f>
        <x:v>0.000504000620725898</x:v>
      </x:c>
      <x:c r="AE649" s="80" t="n">
        <x:f>Z649-AD649</x:f>
        <x:v>0.00025200031036294904</x:v>
      </x:c>
      <x:c r="AF649" s="80" t="n">
        <x:f>D649*W649</x:f>
        <x:v>2.4737788082001045e-7</x:v>
      </x:c>
      <x:c r="AG649" s="80" t="n">
        <x:f>C649*W649</x:f>
        <x:v>4.329112914350356e-7</x:v>
      </x:c>
      <x:c r="AH649" s="80" t="n">
        <x:f>2*'Inputs'!$B$8*'Inputs'!$C$45</x:f>
        <x:v>2500</x:v>
      </x:c>
      <x:c r="AI649" s="81" t="n">
        <x:f>IF(AH649&gt;0,(AE649+AF649)/AH649*365,0)</x:f>
        <x:v>0.00003682816248359028</x:v>
      </x:c>
      <x:c r="AJ649" s="81" t="n">
        <x:f>IF('Inputs'!$B$45&gt;0,AG649/('Inputs'!$B$19*'Inputs'!$B$45)*365,0)</x:f>
        <x:v>2.1068349516505067e-8</x:v>
      </x:c>
      <x:c r="AK649" s="81" t="n">
        <x:f>W649/MAX($W$369:W649)-1</x:f>
        <x:v>-0.9999999987632859</x:v>
      </x:c>
      <x:c r="AL649" s="83" t="n">
        <x:f>'Inputs'!$B$45</x:f>
        <x:v>0.75</x:v>
      </x:c>
      <x:c r="AM649" s="83" t="n">
        <x:f>'Inputs'!$C$45</x:f>
        <x:v>0.5</x:v>
      </x:c>
      <x:c r="AN649" s="83" t="n">
        <x:f>'Inputs'!$D$45</x:f>
        <x:v>0.5</x:v>
      </x:c>
      <x:c r="AO649" s="81" t="n">
        <x:f>'Inputs'!$E$45</x:f>
        <x:v>-0.05</x:v>
      </x:c>
    </x:row>
    <x:row r="650">
      <x:c r="A650" s="59" t="str">
        <x:v>Weak demand</x:v>
      </x:c>
      <x:c r="B650" s="59" t="n">
        <x:v>282</x:v>
      </x:c>
      <x:c r="C650" s="78" t="n">
        <x:f>(('Inputs'!$B$29*(3*282*'Inputs'!$B$12-282^2)/(2*'Inputs'!$B$12^2))-('Inputs'!$B$29*(3*281*'Inputs'!$B$12-281^2)/(2*'Inputs'!$B$12^2)))*'Inputs'!$B$45</x:f>
        <x:v>465351.3206042424</x:v>
      </x:c>
      <x:c r="D650" s="78" t="n">
        <x:f>IF('Inputs'!$C$45&gt;0,('Inputs'!$B$30*(3*282*'Inputs'!$B$12-282^2)/(2*'Inputs'!$B$12^2))-('Inputs'!$B$30*(3*281*'Inputs'!$B$12-281^2)/(2*'Inputs'!$B$12^2)),0)</x:f>
        <x:v>265915.04034528136</x:v>
      </x:c>
      <x:c r="E650" s="78" t="n">
        <x:f>C650+D650</x:f>
        <x:v>731266.3609495237</x:v>
      </x:c>
      <x:c r="F650" s="78" t="n">
        <x:f>'Inputs'!$B$13*E650+(1-'Inputs'!$B$13)/'Inputs'!$B$14*SUM(E595:E650)</x:f>
        <x:v>739695.9443610439</x:v>
      </x:c>
      <x:c r="G650" s="78" t="n">
        <x:f>F650*'Inputs'!$F$45</x:f>
        <x:v>517787.1610527307</x:v>
      </x:c>
      <x:c r="H650" s="78" t="n">
        <x:f>U649</x:f>
        <x:v>135511861670.56949</x:v>
      </x:c>
      <x:c r="I650" s="78" t="n">
        <x:f>V649</x:f>
        <x:v>0.12599919661506898</x:v>
      </x:c>
      <x:c r="J650" s="79" t="n">
        <x:f>IF(H650&gt;0,I650/H650,0)</x:f>
        <x:v>9.298019749841096e-13</x:v>
      </x:c>
      <x:c r="K650" s="80" t="n">
        <x:f>(H650*J650+I650)*'Inputs'!$D$45*(1+'Inputs'!$G$45)^(B650/30)</x:f>
        <x:v>0.12599919661506898</x:v>
      </x:c>
      <x:c r="L650" s="80" t="n">
        <x:f>MAX(0,K650*'Inputs'!$E$45)</x:f>
        <x:v>0</x:v>
      </x:c>
      <x:c r="M650" s="80" t="n">
        <x:f>MAX(0,-K650*'Inputs'!$E$45)</x:f>
        <x:v>0.0062999598307534495</x:v>
      </x:c>
      <x:c r="N650" s="78" t="n">
        <x:f>H650*(L650*(1-'Inputs'!$B$15))/(I650+L650*(1-'Inputs'!$B$15))</x:f>
        <x:v>0</x:v>
      </x:c>
      <x:c r="O650" s="78" t="n">
        <x:f>H650-N650</x:f>
        <x:v>135511861670.56949</x:v>
      </x:c>
      <x:c r="P650" s="78" t="n">
        <x:f>I650+L650*(1-'Inputs'!$B$17)</x:f>
        <x:v>0.12599919661506898</x:v>
      </x:c>
      <x:c r="Q650" s="78" t="n">
        <x:f>IF(J650&gt;0,M650/J650,0)</x:f>
        <x:v>0</x:v>
      </x:c>
      <x:c r="R650" s="78" t="n">
        <x:f>IF(B650='Inputs'!$H$45,'Inputs'!$B$27*'Inputs'!$I$45,0)</x:f>
        <x:v>0</x:v>
      </x:c>
      <x:c r="S650" s="78" t="n">
        <x:f>Q650+G650+R650</x:f>
        <x:v>517787.1610527307</x:v>
      </x:c>
      <x:c r="T650" s="78" t="n">
        <x:f>P650*(S650*(1-'Inputs'!$B$15))/(O650+S650*(1-'Inputs'!$B$15))</x:f>
        <x:v>4.7662332676536006e-7</x:v>
      </x:c>
      <x:c r="U650" s="78" t="n">
        <x:f>O650+S650*(1-'Inputs'!$B$17)</x:f>
        <x:v>135512377374.07999</x:v>
      </x:c>
      <x:c r="V650" s="78" t="n">
        <x:f>P650-T650</x:f>
        <x:v>0.1259987199917422</x:v>
      </x:c>
      <x:c r="W650" s="79" t="n">
        <x:f>IF(U650&gt;0,V650/U650,0)</x:f>
        <x:v>9.297949193520863e-13</x:v>
      </x:c>
      <x:c r="X650" s="80" t="n">
        <x:f>W650*('Inputs'!$B$6-AC650)</x:f>
        <x:v>-0.0044103315410656905</x:v>
      </x:c>
      <x:c r="Y650" s="80" t="n">
        <x:f>2*V650</x:f>
        <x:v>0.2519974399834844</x:v>
      </x:c>
      <x:c r="Z650" s="80" t="n">
        <x:f>K650*'Inputs'!$B$16+(G650+R650)*J650*'Inputs'!$B$16</x:f>
        <x:v>0.0007559980683275637</x:v>
      </x:c>
      <x:c r="AA650" s="80" t="n">
        <x:f>K650*(1+'Inputs'!$E$45)/2*'Inputs'!$B$17</x:f>
        <x:v>0.00024084353477729482</x:v>
      </x:c>
      <x:c r="AB650" s="78" t="n">
        <x:f>(IF(J650&gt;0,K650*(1-'Inputs'!$E$45)/2/J650,0)+G650+R650)*'Inputs'!$B$17</x:f>
        <x:v>2083.6505474958985</x:v>
      </x:c>
      <x:c r="AC650" s="78" t="n">
        <x:f>AC649+AB650</x:f>
        <x:v>5743337965.47196</x:v>
      </x:c>
      <x:c r="AD650" s="80" t="n">
        <x:f>Z650/(1+'Inputs'!$C$45)</x:f>
        <x:v>0.0005039987122183758</x:v>
      </x:c>
      <x:c r="AE650" s="80" t="n">
        <x:f>Z650-AD650</x:f>
        <x:v>0.00025199935610918786</x:v>
      </x:c>
      <x:c r="AF650" s="80" t="n">
        <x:f>D650*W650</x:f>
        <x:v>2.472464534923477e-7</x:v>
      </x:c>
      <x:c r="AG650" s="80" t="n">
        <x:f>C650*W650</x:f>
        <x:v>4.326812936116084e-7</x:v>
      </x:c>
      <x:c r="AH650" s="80" t="n">
        <x:f>2*'Inputs'!$B$8*'Inputs'!$C$45</x:f>
        <x:v>2500</x:v>
      </x:c>
      <x:c r="AI650" s="81" t="n">
        <x:f>IF(AH650&gt;0,(AE650+AF650)/AH650*365,0)</x:f>
        <x:v>0.00003682800397415131</x:v>
      </x:c>
      <x:c r="AJ650" s="81" t="n">
        <x:f>IF('Inputs'!$B$45&gt;0,AG650/('Inputs'!$B$19*'Inputs'!$B$45)*365,0)</x:f>
        <x:v>2.1057156289098275e-8</x:v>
      </x:c>
      <x:c r="AK650" s="81" t="n">
        <x:f>W650/MAX($W$369:W650)-1</x:f>
        <x:v>-0.9999999987632954</x:v>
      </x:c>
      <x:c r="AL650" s="83" t="n">
        <x:f>'Inputs'!$B$45</x:f>
        <x:v>0.75</x:v>
      </x:c>
      <x:c r="AM650" s="83" t="n">
        <x:f>'Inputs'!$C$45</x:f>
        <x:v>0.5</x:v>
      </x:c>
      <x:c r="AN650" s="83" t="n">
        <x:f>'Inputs'!$D$45</x:f>
        <x:v>0.5</x:v>
      </x:c>
      <x:c r="AO650" s="81" t="n">
        <x:f>'Inputs'!$E$45</x:f>
        <x:v>-0.05</x:v>
      </x:c>
    </x:row>
    <x:row r="651">
      <x:c r="A651" s="59" t="str">
        <x:v>Weak demand</x:v>
      </x:c>
      <x:c r="B651" s="59" t="n">
        <x:v>283</x:v>
      </x:c>
      <x:c r="C651" s="78" t="n">
        <x:f>(('Inputs'!$B$29*(3*283*'Inputs'!$B$12-283^2)/(2*'Inputs'!$B$12^2))-('Inputs'!$B$29*(3*282*'Inputs'!$B$12-282^2)/(2*'Inputs'!$B$12^2)))*'Inputs'!$B$45</x:f>
        <x:v>465107.48967911303</x:v>
      </x:c>
      <x:c r="D651" s="78" t="n">
        <x:f>IF('Inputs'!$C$45&gt;0,('Inputs'!$B$30*(3*283*'Inputs'!$B$12-283^2)/(2*'Inputs'!$B$12^2))-('Inputs'!$B$30*(3*282*'Inputs'!$B$12-282^2)/(2*'Inputs'!$B$12^2)),0)</x:f>
        <x:v>265775.70838807523</x:v>
      </x:c>
      <x:c r="E651" s="78" t="n">
        <x:f>C651+D651</x:f>
        <x:v>730883.1980671883</x:v>
      </x:c>
      <x:c r="F651" s="78" t="n">
        <x:f>'Inputs'!$B$13*E651+(1-'Inputs'!$B$13)/'Inputs'!$B$14*SUM(E596:E651)</x:f>
        <x:v>739312.7814787035</x:v>
      </x:c>
      <x:c r="G651" s="78" t="n">
        <x:f>F651*'Inputs'!$F$45</x:f>
        <x:v>517518.9470350924</x:v>
      </x:c>
      <x:c r="H651" s="78" t="n">
        <x:f>U650</x:f>
        <x:v>135512377374.07999</x:v>
      </x:c>
      <x:c r="I651" s="78" t="n">
        <x:f>V650</x:f>
        <x:v>0.1259987199917422</x:v>
      </x:c>
      <x:c r="J651" s="79" t="n">
        <x:f>IF(H651&gt;0,I651/H651,0)</x:f>
        <x:v>9.297949193520863e-13</x:v>
      </x:c>
      <x:c r="K651" s="80" t="n">
        <x:f>(H651*J651+I651)*'Inputs'!$D$45*(1+'Inputs'!$G$45)^(B651/30)</x:f>
        <x:v>0.1259987199917422</x:v>
      </x:c>
      <x:c r="L651" s="80" t="n">
        <x:f>MAX(0,K651*'Inputs'!$E$45)</x:f>
        <x:v>0</x:v>
      </x:c>
      <x:c r="M651" s="80" t="n">
        <x:f>MAX(0,-K651*'Inputs'!$E$45)</x:f>
        <x:v>0.0062999359995871106</x:v>
      </x:c>
      <x:c r="N651" s="78" t="n">
        <x:f>H651*(L651*(1-'Inputs'!$B$15))/(I651+L651*(1-'Inputs'!$B$15))</x:f>
        <x:v>0</x:v>
      </x:c>
      <x:c r="O651" s="78" t="n">
        <x:f>H651-N651</x:f>
        <x:v>135512377374.07999</x:v>
      </x:c>
      <x:c r="P651" s="78" t="n">
        <x:f>I651+L651*(1-'Inputs'!$B$17)</x:f>
        <x:v>0.1259987199917422</x:v>
      </x:c>
      <x:c r="Q651" s="78" t="n">
        <x:f>IF(J651&gt;0,M651/J651,0)</x:f>
        <x:v>0</x:v>
      </x:c>
      <x:c r="R651" s="78" t="n">
        <x:f>IF(B651='Inputs'!$H$45,'Inputs'!$B$27*'Inputs'!$I$45,0)</x:f>
        <x:v>0</x:v>
      </x:c>
      <x:c r="S651" s="78" t="n">
        <x:f>Q651+G651+R651</x:f>
        <x:v>517518.9470350924</x:v>
      </x:c>
      <x:c r="T651" s="78" t="n">
        <x:f>P651*(S651*(1-'Inputs'!$B$15))/(O651+S651*(1-'Inputs'!$B$15))</x:f>
        <x:v>4.763728216801474e-7</x:v>
      </x:c>
      <x:c r="U651" s="78" t="n">
        <x:f>O651+S651*(1-'Inputs'!$B$17)</x:f>
        <x:v>135512892810.45581</x:v>
      </x:c>
      <x:c r="V651" s="78" t="n">
        <x:f>P651-T651</x:f>
        <x:v>0.1259982436189205</x:v>
      </x:c>
      <x:c r="W651" s="79" t="n">
        <x:f>IF(U651&gt;0,V651/U651,0)</x:f>
        <x:v>9.297878674552125e-13</x:v>
      </x:c>
      <x:c r="X651" s="80" t="n">
        <x:f>W651*('Inputs'!$B$6-AC651)</x:f>
        <x:v>-0.004410300027884969</x:v>
      </x:c>
      <x:c r="Y651" s="80" t="n">
        <x:f>2*V651</x:f>
        <x:v>0.251996487237841</x:v>
      </x:c>
      <x:c r="Z651" s="80" t="n">
        <x:f>K651*'Inputs'!$B$16+(G651+R651)*J651*'Inputs'!$B$16</x:f>
        <x:v>0.000755995207069379</x:v>
      </x:c>
      <x:c r="AA651" s="80" t="n">
        <x:f>K651*(1+'Inputs'!$E$45)/2*'Inputs'!$B$17</x:f>
        <x:v>0.0002408426237266702</x:v>
      </x:c>
      <x:c r="AB651" s="78" t="n">
        <x:f>(IF(J651&gt;0,K651*(1-'Inputs'!$E$45)/2/J651,0)+G651+R651)*'Inputs'!$B$17</x:f>
        <x:v>2082.5712154329676</x:v>
      </x:c>
      <x:c r="AC651" s="78" t="n">
        <x:f>AC650+AB651</x:f>
        <x:v>5743340048.043176</x:v>
      </x:c>
      <x:c r="AD651" s="80" t="n">
        <x:f>Z651/(1+'Inputs'!$C$45)</x:f>
        <x:v>0.0005039968047129193</x:v>
      </x:c>
      <x:c r="AE651" s="80" t="n">
        <x:f>Z651-AD651</x:f>
        <x:v>0.0002519984023564597</x:v>
      </x:c>
      <x:c r="AF651" s="80" t="n">
        <x:f>D651*W651</x:f>
        <x:v>2.4711502912354693e-7</x:v>
      </x:c>
      <x:c r="AG651" s="80" t="n">
        <x:f>C651*W651</x:f>
        <x:v>4.3245130096618977e-7</x:v>
      </x:c>
      <x:c r="AH651" s="80" t="n">
        <x:f>2*'Inputs'!$B$8*'Inputs'!$C$45</x:f>
        <x:v>2500</x:v>
      </x:c>
      <x:c r="AI651" s="81" t="n">
        <x:f>IF(AH651&gt;0,(AE651+AF651)/AH651*365,0)</x:f>
        <x:v>0.000036827845538295154</x:v>
      </x:c>
      <x:c r="AJ651" s="81" t="n">
        <x:f>IF('Inputs'!$B$45&gt;0,AG651/('Inputs'!$B$19*'Inputs'!$B$45)*365,0)</x:f>
        <x:v>2.1045963313687902e-8</x:v>
      </x:c>
      <x:c r="AK651" s="81" t="n">
        <x:f>W651/MAX($W$369:W651)-1</x:f>
        <x:v>-0.9999999987633047</x:v>
      </x:c>
      <x:c r="AL651" s="83" t="n">
        <x:f>'Inputs'!$B$45</x:f>
        <x:v>0.75</x:v>
      </x:c>
      <x:c r="AM651" s="83" t="n">
        <x:f>'Inputs'!$C$45</x:f>
        <x:v>0.5</x:v>
      </x:c>
      <x:c r="AN651" s="83" t="n">
        <x:f>'Inputs'!$D$45</x:f>
        <x:v>0.5</x:v>
      </x:c>
      <x:c r="AO651" s="81" t="n">
        <x:f>'Inputs'!$E$45</x:f>
        <x:v>-0.05</x:v>
      </x:c>
    </x:row>
    <x:row r="652">
      <x:c r="A652" s="59" t="str">
        <x:v>Weak demand</x:v>
      </x:c>
      <x:c r="B652" s="59" t="n">
        <x:v>284</x:v>
      </x:c>
      <x:c r="C652" s="78" t="n">
        <x:f>(('Inputs'!$B$29*(3*284*'Inputs'!$B$12-284^2)/(2*'Inputs'!$B$12^2))-('Inputs'!$B$29*(3*283*'Inputs'!$B$12-283^2)/(2*'Inputs'!$B$12^2)))*'Inputs'!$B$45</x:f>
        <x:v>464863.6587539837</x:v>
      </x:c>
      <x:c r="D652" s="78" t="n">
        <x:f>IF('Inputs'!$C$45&gt;0,('Inputs'!$B$30*(3*284*'Inputs'!$B$12-284^2)/(2*'Inputs'!$B$12^2))-('Inputs'!$B$30*(3*283*'Inputs'!$B$12-283^2)/(2*'Inputs'!$B$12^2)),0)</x:f>
        <x:v>265636.3764308393</x:v>
      </x:c>
      <x:c r="E652" s="78" t="n">
        <x:f>C652+D652</x:f>
        <x:v>730500.035184823</x:v>
      </x:c>
      <x:c r="F652" s="78" t="n">
        <x:f>'Inputs'!$B$13*E652+(1-'Inputs'!$B$13)/'Inputs'!$B$14*SUM(E597:E652)</x:f>
        <x:v>738929.6185963565</x:v>
      </x:c>
      <x:c r="G652" s="78" t="n">
        <x:f>F652*'Inputs'!$F$45</x:f>
        <x:v>517250.7330174495</x:v>
      </x:c>
      <x:c r="H652" s="78" t="n">
        <x:f>U651</x:f>
        <x:v>135512892810.45581</x:v>
      </x:c>
      <x:c r="I652" s="78" t="n">
        <x:f>V651</x:f>
        <x:v>0.1259982436189205</x:v>
      </x:c>
      <x:c r="J652" s="79" t="n">
        <x:f>IF(H652&gt;0,I652/H652,0)</x:f>
        <x:v>9.297878674552125e-13</x:v>
      </x:c>
      <x:c r="K652" s="80" t="n">
        <x:f>(H652*J652+I652)*'Inputs'!$D$45*(1+'Inputs'!$G$45)^(B652/30)</x:f>
        <x:v>0.1259982436189205</x:v>
      </x:c>
      <x:c r="L652" s="80" t="n">
        <x:f>MAX(0,K652*'Inputs'!$E$45)</x:f>
        <x:v>0</x:v>
      </x:c>
      <x:c r="M652" s="80" t="n">
        <x:f>MAX(0,-K652*'Inputs'!$E$45)</x:f>
        <x:v>0.006299912180946026</x:v>
      </x:c>
      <x:c r="N652" s="78" t="n">
        <x:f>H652*(L652*(1-'Inputs'!$B$15))/(I652+L652*(1-'Inputs'!$B$15))</x:f>
        <x:v>0</x:v>
      </x:c>
      <x:c r="O652" s="78" t="n">
        <x:f>H652-N652</x:f>
        <x:v>135512892810.45581</x:v>
      </x:c>
      <x:c r="P652" s="78" t="n">
        <x:f>I652+L652*(1-'Inputs'!$B$17)</x:f>
        <x:v>0.1259982436189205</x:v>
      </x:c>
      <x:c r="Q652" s="78" t="n">
        <x:f>IF(J652&gt;0,M652/J652,0)</x:f>
        <x:v>0</x:v>
      </x:c>
      <x:c r="R652" s="78" t="n">
        <x:f>IF(B652='Inputs'!$H$45,'Inputs'!$B$27*'Inputs'!$I$45,0)</x:f>
        <x:v>0</x:v>
      </x:c>
      <x:c r="S652" s="78" t="n">
        <x:f>Q652+G652+R652</x:f>
        <x:v>517250.7330174495</x:v>
      </x:c>
      <x:c r="T652" s="78" t="n">
        <x:f>P652*(S652*(1-'Inputs'!$B$15))/(O652+S652*(1-'Inputs'!$B$15))</x:f>
        <x:v>4.7612232225358855e-7</x:v>
      </x:c>
      <x:c r="U652" s="78" t="n">
        <x:f>O652+S652*(1-'Inputs'!$B$17)</x:f>
        <x:v>135513407979.69695</x:v>
      </x:c>
      <x:c r="V652" s="78" t="n">
        <x:f>P652-T652</x:f>
        <x:v>0.12599776749659825</x:v>
      </x:c>
      <x:c r="W652" s="79" t="n">
        <x:f>IF(U652&gt;0,V652/U652,0)</x:f>
        <x:v>9.29780819293362e-13</x:v>
      </x:c>
      <x:c r="X652" s="80" t="n">
        <x:f>W652*('Inputs'!$B$6-AC652)</x:f>
        <x:v>-0.004410268531387827</x:v>
      </x:c>
      <x:c r="Y652" s="80" t="n">
        <x:f>2*V652</x:f>
        <x:v>0.2519955349931965</x:v>
      </x:c>
      <x:c r="Z652" s="80" t="n">
        <x:f>K652*'Inputs'!$B$16+(G652+R652)*J652*'Inputs'!$B$16</x:f>
        <x:v>0.0007559923473142591</x:v>
      </x:c>
      <x:c r="AA652" s="80" t="n">
        <x:f>K652*(1+'Inputs'!$E$45)/2*'Inputs'!$B$17</x:f>
        <x:v>0.00024084171315487824</x:v>
      </x:c>
      <x:c r="AB652" s="78" t="n">
        <x:f>(IF(J652&gt;0,K652*(1-'Inputs'!$E$45)/2/J652,0)+G652+R652)*'Inputs'!$B$17</x:f>
        <x:v>2081.491883370018</x:v>
      </x:c>
      <x:c r="AC652" s="78" t="n">
        <x:f>AC651+AB652</x:f>
        <x:v>5743342129.535059</x:v>
      </x:c>
      <x:c r="AD652" s="80" t="n">
        <x:f>Z652/(1+'Inputs'!$C$45)</x:f>
        <x:v>0.000503994898209506</x:v>
      </x:c>
      <x:c r="AE652" s="80" t="n">
        <x:f>Z652-AD652</x:f>
        <x:v>0.00025199744910475307</x:v>
      </x:c>
      <x:c r="AF652" s="80" t="n">
        <x:f>D652*W652</x:f>
        <x:v>2.469836077119857e-7</x:v>
      </x:c>
      <x:c r="AG652" s="80" t="n">
        <x:f>C652*W652</x:f>
        <x:v>4.3222131349598876e-7</x:v>
      </x:c>
      <x:c r="AH652" s="80" t="n">
        <x:f>2*'Inputs'!$B$8*'Inputs'!$C$45</x:f>
        <x:v>2500</x:v>
      </x:c>
      <x:c r="AI652" s="81" t="n">
        <x:f>IF(AH652&gt;0,(AE652+AF652)/AH652*365,0)</x:f>
        <x:v>0.000036827687176019895</x:v>
      </x:c>
      <x:c r="AJ652" s="81" t="n">
        <x:f>IF('Inputs'!$B$45&gt;0,AG652/('Inputs'!$B$19*'Inputs'!$B$45)*365,0)</x:f>
        <x:v>2.103477059013812e-8</x:v>
      </x:c>
      <x:c r="AK652" s="81" t="n">
        <x:f>W652/MAX($W$369:W652)-1</x:f>
        <x:v>-0.9999999987633141</x:v>
      </x:c>
      <x:c r="AL652" s="83" t="n">
        <x:f>'Inputs'!$B$45</x:f>
        <x:v>0.75</x:v>
      </x:c>
      <x:c r="AM652" s="83" t="n">
        <x:f>'Inputs'!$C$45</x:f>
        <x:v>0.5</x:v>
      </x:c>
      <x:c r="AN652" s="83" t="n">
        <x:f>'Inputs'!$D$45</x:f>
        <x:v>0.5</x:v>
      </x:c>
      <x:c r="AO652" s="81" t="n">
        <x:f>'Inputs'!$E$45</x:f>
        <x:v>-0.05</x:v>
      </x:c>
    </x:row>
    <x:row r="653">
      <x:c r="A653" s="59" t="str">
        <x:v>Weak demand</x:v>
      </x:c>
      <x:c r="B653" s="59" t="n">
        <x:v>285</x:v>
      </x:c>
      <x:c r="C653" s="78" t="n">
        <x:f>(('Inputs'!$B$29*(3*285*'Inputs'!$B$12-285^2)/(2*'Inputs'!$B$12^2))-('Inputs'!$B$29*(3*284*'Inputs'!$B$12-284^2)/(2*'Inputs'!$B$12^2)))*'Inputs'!$B$45</x:f>
        <x:v>464619.8278288767</x:v>
      </x:c>
      <x:c r="D653" s="78" t="n">
        <x:f>IF('Inputs'!$C$45&gt;0,('Inputs'!$B$30*(3*285*'Inputs'!$B$12-285^2)/(2*'Inputs'!$B$12^2))-('Inputs'!$B$30*(3*284*'Inputs'!$B$12-284^2)/(2*'Inputs'!$B$12^2)),0)</x:f>
        <x:v>265497.04447363317</x:v>
      </x:c>
      <x:c r="E653" s="78" t="n">
        <x:f>C653+D653</x:f>
        <x:v>730116.8723025098</x:v>
      </x:c>
      <x:c r="F653" s="78" t="n">
        <x:f>'Inputs'!$B$13*E653+(1-'Inputs'!$B$13)/'Inputs'!$B$14*SUM(E598:E653)</x:f>
        <x:v>738546.4557140206</x:v>
      </x:c>
      <x:c r="G653" s="78" t="n">
        <x:f>F653*'Inputs'!$F$45</x:f>
        <x:v>516982.5189998144</x:v>
      </x:c>
      <x:c r="H653" s="78" t="n">
        <x:f>U652</x:f>
        <x:v>135513407979.69695</x:v>
      </x:c>
      <x:c r="I653" s="78" t="n">
        <x:f>V652</x:f>
        <x:v>0.12599776749659825</x:v>
      </x:c>
      <x:c r="J653" s="79" t="n">
        <x:f>IF(H653&gt;0,I653/H653,0)</x:f>
        <x:v>9.29780819293362e-13</x:v>
      </x:c>
      <x:c r="K653" s="80" t="n">
        <x:f>(H653*J653+I653)*'Inputs'!$D$45*(1+'Inputs'!$G$45)^(B653/30)</x:f>
        <x:v>0.12599776749659825</x:v>
      </x:c>
      <x:c r="L653" s="80" t="n">
        <x:f>MAX(0,K653*'Inputs'!$E$45)</x:f>
        <x:v>0</x:v>
      </x:c>
      <x:c r="M653" s="80" t="n">
        <x:f>MAX(0,-K653*'Inputs'!$E$45)</x:f>
        <x:v>0.006299888374829913</x:v>
      </x:c>
      <x:c r="N653" s="78" t="n">
        <x:f>H653*(L653*(1-'Inputs'!$B$15))/(I653+L653*(1-'Inputs'!$B$15))</x:f>
        <x:v>0</x:v>
      </x:c>
      <x:c r="O653" s="78" t="n">
        <x:f>H653-N653</x:f>
        <x:v>135513407979.69695</x:v>
      </x:c>
      <x:c r="P653" s="78" t="n">
        <x:f>I653+L653*(1-'Inputs'!$B$17)</x:f>
        <x:v>0.12599776749659825</x:v>
      </x:c>
      <x:c r="Q653" s="78" t="n">
        <x:f>IF(J653&gt;0,M653/J653,0)</x:f>
        <x:v>0</x:v>
      </x:c>
      <x:c r="R653" s="78" t="n">
        <x:f>IF(B653='Inputs'!$H$45,'Inputs'!$B$27*'Inputs'!$I$45,0)</x:f>
        <x:v>0</x:v>
      </x:c>
      <x:c r="S653" s="78" t="n">
        <x:f>Q653+G653+R653</x:f>
        <x:v>516982.5189998144</x:v>
      </x:c>
      <x:c r="T653" s="78" t="n">
        <x:f>P653*(S653*(1-'Inputs'!$B$15))/(O653+S653*(1-'Inputs'!$B$15))</x:f>
        <x:v>4.758718284826551e-7</x:v>
      </x:c>
      <x:c r="U653" s="78" t="n">
        <x:f>O653+S653*(1-'Inputs'!$B$17)</x:f>
        <x:v>135513922881.80339</x:v>
      </x:c>
      <x:c r="V653" s="78" t="n">
        <x:f>P653-T653</x:f>
        <x:v>0.12599729162476977</x:v>
      </x:c>
      <x:c r="W653" s="79" t="n">
        <x:f>IF(U653&gt;0,V653/U653,0)</x:f>
        <x:v>9.29773774866409e-13</x:v>
      </x:c>
      <x:c r="X653" s="80" t="n">
        <x:f>W653*('Inputs'!$B$6-AC653)</x:f>
        <x:v>-0.004410237051573714</x:v>
      </x:c>
      <x:c r="Y653" s="80" t="n">
        <x:f>2*V653</x:f>
        <x:v>0.25199458324953955</x:v>
      </x:c>
      <x:c r="Z653" s="80" t="n">
        <x:f>K653*'Inputs'!$B$16+(G653+R653)*J653*'Inputs'!$B$16</x:f>
        <x:v>0.00075598948906217</x:v>
      </x:c>
      <x:c r="AA653" s="80" t="n">
        <x:f>K653*(1+'Inputs'!$E$45)/2*'Inputs'!$B$17</x:f>
        <x:v>0.00024084080306190813</x:v>
      </x:c>
      <x:c r="AB653" s="78" t="n">
        <x:f>(IF(J653&gt;0,K653*(1-'Inputs'!$E$45)/2/J653,0)+G653+R653)*'Inputs'!$B$17</x:f>
        <x:v>2080.4125513071003</x:v>
      </x:c>
      <x:c r="AC653" s="78" t="n">
        <x:f>AC652+AB653</x:f>
        <x:v>5743344209.94761</x:v>
      </x:c>
      <x:c r="AD653" s="80" t="n">
        <x:f>Z653/(1+'Inputs'!$C$45)</x:f>
        <x:v>0.0005039929927081133</x:v>
      </x:c>
      <x:c r="AE653" s="80" t="n">
        <x:f>Z653-AD653</x:f>
        <x:v>0.0002519964963540567</x:v>
      </x:c>
      <x:c r="AF653" s="80" t="n">
        <x:f>D653*W653</x:f>
        <x:v>2.468521892561248e-7</x:v>
      </x:c>
      <x:c r="AG653" s="80" t="n">
        <x:f>C653*W653</x:f>
        <x:v>4.3199133119823573e-7</x:v>
      </x:c>
      <x:c r="AH653" s="80" t="n">
        <x:f>2*'Inputs'!$B$8*'Inputs'!$C$45</x:f>
        <x:v>2500</x:v>
      </x:c>
      <x:c r="AI653" s="81" t="n">
        <x:f>IF(AH653&gt;0,(AE653+AF653)/AH653*365,0)</x:f>
        <x:v>0.00003682752888732367</x:v>
      </x:c>
      <x:c r="AJ653" s="81" t="n">
        <x:f>IF('Inputs'!$B$45&gt;0,AG653/('Inputs'!$B$19*'Inputs'!$B$45)*365,0)</x:f>
        <x:v>2.102357811831414e-8</x:v>
      </x:c>
      <x:c r="AK653" s="81" t="n">
        <x:f>W653/MAX($W$369:W653)-1</x:f>
        <x:v>-0.9999999987633235</x:v>
      </x:c>
      <x:c r="AL653" s="83" t="n">
        <x:f>'Inputs'!$B$45</x:f>
        <x:v>0.75</x:v>
      </x:c>
      <x:c r="AM653" s="83" t="n">
        <x:f>'Inputs'!$C$45</x:f>
        <x:v>0.5</x:v>
      </x:c>
      <x:c r="AN653" s="83" t="n">
        <x:f>'Inputs'!$D$45</x:f>
        <x:v>0.5</x:v>
      </x:c>
      <x:c r="AO653" s="81" t="n">
        <x:f>'Inputs'!$E$45</x:f>
        <x:v>-0.05</x:v>
      </x:c>
    </x:row>
    <x:row r="654">
      <x:c r="A654" s="59" t="str">
        <x:v>Weak demand</x:v>
      </x:c>
      <x:c r="B654" s="59" t="n">
        <x:v>286</x:v>
      </x:c>
      <x:c r="C654" s="78" t="n">
        <x:f>(('Inputs'!$B$29*(3*286*'Inputs'!$B$12-286^2)/(2*'Inputs'!$B$12^2))-('Inputs'!$B$29*(3*285*'Inputs'!$B$12-285^2)/(2*'Inputs'!$B$12^2)))*'Inputs'!$B$45</x:f>
        <x:v>464375.99690372497</x:v>
      </x:c>
      <x:c r="D654" s="78" t="n">
        <x:f>IF('Inputs'!$C$45&gt;0,('Inputs'!$B$30*(3*286*'Inputs'!$B$12-286^2)/(2*'Inputs'!$B$12^2))-('Inputs'!$B$30*(3*285*'Inputs'!$B$12-285^2)/(2*'Inputs'!$B$12^2)),0)</x:f>
        <x:v>265357.71251642704</x:v>
      </x:c>
      <x:c r="E654" s="78" t="n">
        <x:f>C654+D654</x:f>
        <x:v>729733.709420152</x:v>
      </x:c>
      <x:c r="F654" s="78" t="n">
        <x:f>'Inputs'!$B$13*E654+(1-'Inputs'!$B$13)/'Inputs'!$B$14*SUM(E599:E654)</x:f>
        <x:v>738163.2928316755</x:v>
      </x:c>
      <x:c r="G654" s="78" t="n">
        <x:f>F654*'Inputs'!$F$45</x:f>
        <x:v>516714.3049821728</x:v>
      </x:c>
      <x:c r="H654" s="78" t="n">
        <x:f>U653</x:f>
        <x:v>135513922881.80339</x:v>
      </x:c>
      <x:c r="I654" s="78" t="n">
        <x:f>V653</x:f>
        <x:v>0.12599729162476977</x:v>
      </x:c>
      <x:c r="J654" s="79" t="n">
        <x:f>IF(H654&gt;0,I654/H654,0)</x:f>
        <x:v>9.29773774866409e-13</x:v>
      </x:c>
      <x:c r="K654" s="80" t="n">
        <x:f>(H654*J654+I654)*'Inputs'!$D$45*(1+'Inputs'!$G$45)^(B654/30)</x:f>
        <x:v>0.12599729162476977</x:v>
      </x:c>
      <x:c r="L654" s="80" t="n">
        <x:f>MAX(0,K654*'Inputs'!$E$45)</x:f>
        <x:v>0</x:v>
      </x:c>
      <x:c r="M654" s="80" t="n">
        <x:f>MAX(0,-K654*'Inputs'!$E$45)</x:f>
        <x:v>0.006299864581238489</x:v>
      </x:c>
      <x:c r="N654" s="78" t="n">
        <x:f>H654*(L654*(1-'Inputs'!$B$15))/(I654+L654*(1-'Inputs'!$B$15))</x:f>
        <x:v>0</x:v>
      </x:c>
      <x:c r="O654" s="78" t="n">
        <x:f>H654-N654</x:f>
        <x:v>135513922881.80339</x:v>
      </x:c>
      <x:c r="P654" s="78" t="n">
        <x:f>I654+L654*(1-'Inputs'!$B$17)</x:f>
        <x:v>0.12599729162476977</x:v>
      </x:c>
      <x:c r="Q654" s="78" t="n">
        <x:f>IF(J654&gt;0,M654/J654,0)</x:f>
        <x:v>0</x:v>
      </x:c>
      <x:c r="R654" s="78" t="n">
        <x:f>IF(B654='Inputs'!$H$45,'Inputs'!$B$27*'Inputs'!$I$45,0)</x:f>
        <x:v>0</x:v>
      </x:c>
      <x:c r="S654" s="78" t="n">
        <x:f>Q654+G654+R654</x:f>
        <x:v>516714.3049821728</x:v>
      </x:c>
      <x:c r="T654" s="78" t="n">
        <x:f>P654*(S654*(1-'Inputs'!$B$15))/(O654+S654*(1-'Inputs'!$B$15))</x:f>
        <x:v>4.756213403642944e-7</x:v>
      </x:c>
      <x:c r="U654" s="78" t="n">
        <x:f>O654+S654*(1-'Inputs'!$B$17)</x:f>
        <x:v>135514437516.77515</x:v>
      </x:c>
      <x:c r="V654" s="78" t="n">
        <x:f>P654-T654</x:f>
        <x:v>0.1259968160034294</x:v>
      </x:c>
      <x:c r="W654" s="79" t="n">
        <x:f>IF(U654&gt;0,V654/U654,0)</x:f>
        <x:v>9.297667341742272e-13</x:v>
      </x:c>
      <x:c r="X654" s="80" t="n">
        <x:f>W654*('Inputs'!$B$6-AC654)</x:f>
        <x:v>-0.004410205588442076</x:v>
      </x:c>
      <x:c r="Y654" s="80" t="n">
        <x:f>2*V654</x:f>
        <x:v>0.2519936320068588</x:v>
      </x:c>
      <x:c r="Z654" s="80" t="n">
        <x:f>K654*'Inputs'!$B$16+(G654+R654)*J654*'Inputs'!$B$16</x:f>
        <x:v>0.0007559866323130779</x:v>
      </x:c>
      <x:c r="AA654" s="80" t="n">
        <x:f>K654*(1+'Inputs'!$E$45)/2*'Inputs'!$B$17</x:f>
        <x:v>0.0002408398934477491</x:v>
      </x:c>
      <x:c r="AB654" s="78" t="n">
        <x:f>(IF(J654&gt;0,K654*(1-'Inputs'!$E$45)/2/J654,0)+G654+R654)*'Inputs'!$B$17</x:f>
        <x:v>2079.333219244156</x:v>
      </x:c>
      <x:c r="AC654" s="78" t="n">
        <x:f>AC653+AB654</x:f>
        <x:v>5743346289.280829</x:v>
      </x:c>
      <x:c r="AD654" s="80" t="n">
        <x:f>Z654/(1+'Inputs'!$C$45)</x:f>
        <x:v>0.0005039910882087186</x:v>
      </x:c>
      <x:c r="AE654" s="80" t="n">
        <x:f>Z654-AD654</x:f>
        <x:v>0.0002519955441043593</x:v>
      </x:c>
      <x:c r="AF654" s="80" t="n">
        <x:f>D654*W654</x:f>
        <x:v>2.467207737543418e-7</x:v>
      </x:c>
      <x:c r="AG654" s="80" t="n">
        <x:f>C654*W654</x:f>
        <x:v>4.317613540700774e-7</x:v>
      </x:c>
      <x:c r="AH654" s="80" t="n">
        <x:f>2*'Inputs'!$B$8*'Inputs'!$C$45</x:f>
        <x:v>2500</x:v>
      </x:c>
      <x:c r="AI654" s="81" t="n">
        <x:f>IF(AH654&gt;0,(AE654+AF654)/AH654*365,0)</x:f>
        <x:v>0.00003682737067220459</x:v>
      </x:c>
      <x:c r="AJ654" s="81" t="n">
        <x:f>IF('Inputs'!$B$45&gt;0,AG654/('Inputs'!$B$19*'Inputs'!$B$45)*365,0)</x:f>
        <x:v>2.10123858980771e-8</x:v>
      </x:c>
      <x:c r="AK654" s="81" t="n">
        <x:f>W654/MAX($W$369:W654)-1</x:f>
        <x:v>-0.9999999987633329</x:v>
      </x:c>
      <x:c r="AL654" s="83" t="n">
        <x:f>'Inputs'!$B$45</x:f>
        <x:v>0.75</x:v>
      </x:c>
      <x:c r="AM654" s="83" t="n">
        <x:f>'Inputs'!$C$45</x:f>
        <x:v>0.5</x:v>
      </x:c>
      <x:c r="AN654" s="83" t="n">
        <x:f>'Inputs'!$D$45</x:f>
        <x:v>0.5</x:v>
      </x:c>
      <x:c r="AO654" s="81" t="n">
        <x:f>'Inputs'!$E$45</x:f>
        <x:v>-0.05</x:v>
      </x:c>
    </x:row>
    <x:row r="655">
      <x:c r="A655" s="59" t="str">
        <x:v>Weak demand</x:v>
      </x:c>
      <x:c r="B655" s="59" t="n">
        <x:v>287</x:v>
      </x:c>
      <x:c r="C655" s="78" t="n">
        <x:f>(('Inputs'!$B$29*(3*287*'Inputs'!$B$12-287^2)/(2*'Inputs'!$B$12^2))-('Inputs'!$B$29*(3*286*'Inputs'!$B$12-286^2)/(2*'Inputs'!$B$12^2)))*'Inputs'!$B$45</x:f>
        <x:v>464132.16597861797</x:v>
      </x:c>
      <x:c r="D655" s="78" t="n">
        <x:f>IF('Inputs'!$C$45&gt;0,('Inputs'!$B$30*(3*287*'Inputs'!$B$12-287^2)/(2*'Inputs'!$B$12^2))-('Inputs'!$B$30*(3*286*'Inputs'!$B$12-286^2)/(2*'Inputs'!$B$12^2)),0)</x:f>
        <x:v>265218.380559206</x:v>
      </x:c>
      <x:c r="E655" s="78" t="n">
        <x:f>C655+D655</x:f>
        <x:v>729350.546537824</x:v>
      </x:c>
      <x:c r="F655" s="78" t="n">
        <x:f>'Inputs'!$B$13*E655+(1-'Inputs'!$B$13)/'Inputs'!$B$14*SUM(E600:E655)</x:f>
        <x:v>737780.1299493364</x:v>
      </x:c>
      <x:c r="G655" s="78" t="n">
        <x:f>F655*'Inputs'!$F$45</x:f>
        <x:v>516446.0909645354</x:v>
      </x:c>
      <x:c r="H655" s="78" t="n">
        <x:f>U654</x:f>
        <x:v>135514437516.77515</x:v>
      </x:c>
      <x:c r="I655" s="78" t="n">
        <x:f>V654</x:f>
        <x:v>0.1259968160034294</x:v>
      </x:c>
      <x:c r="J655" s="79" t="n">
        <x:f>IF(H655&gt;0,I655/H655,0)</x:f>
        <x:v>9.297667341742272e-13</x:v>
      </x:c>
      <x:c r="K655" s="80" t="n">
        <x:f>(H655*J655+I655)*'Inputs'!$D$45*(1+'Inputs'!$G$45)^(B655/30)</x:f>
        <x:v>0.1259968160034294</x:v>
      </x:c>
      <x:c r="L655" s="80" t="n">
        <x:f>MAX(0,K655*'Inputs'!$E$45)</x:f>
        <x:v>0</x:v>
      </x:c>
      <x:c r="M655" s="80" t="n">
        <x:f>MAX(0,-K655*'Inputs'!$E$45)</x:f>
        <x:v>0.006299840800171471</x:v>
      </x:c>
      <x:c r="N655" s="78" t="n">
        <x:f>H655*(L655*(1-'Inputs'!$B$15))/(I655+L655*(1-'Inputs'!$B$15))</x:f>
        <x:v>0</x:v>
      </x:c>
      <x:c r="O655" s="78" t="n">
        <x:f>H655-N655</x:f>
        <x:v>135514437516.77515</x:v>
      </x:c>
      <x:c r="P655" s="78" t="n">
        <x:f>I655+L655*(1-'Inputs'!$B$17)</x:f>
        <x:v>0.1259968160034294</x:v>
      </x:c>
      <x:c r="Q655" s="78" t="n">
        <x:f>IF(J655&gt;0,M655/J655,0)</x:f>
        <x:v>0</x:v>
      </x:c>
      <x:c r="R655" s="78" t="n">
        <x:f>IF(B655='Inputs'!$H$45,'Inputs'!$B$27*'Inputs'!$I$45,0)</x:f>
        <x:v>0</x:v>
      </x:c>
      <x:c r="S655" s="78" t="n">
        <x:f>Q655+G655+R655</x:f>
        <x:v>516446.0909645354</x:v>
      </x:c>
      <x:c r="T655" s="78" t="n">
        <x:f>P655*(S655*(1-'Inputs'!$B$15))/(O655+S655*(1-'Inputs'!$B$15))</x:f>
        <x:v>4.7537085789547644e-7</x:v>
      </x:c>
      <x:c r="U655" s="78" t="n">
        <x:f>O655+S655*(1-'Inputs'!$B$17)</x:f>
        <x:v>135514951884.61223</x:v>
      </x:c>
      <x:c r="V655" s="78" t="n">
        <x:f>P655-T655</x:f>
        <x:v>0.1259963406325715</x:v>
      </x:c>
      <x:c r="W655" s="79" t="n">
        <x:f>IF(U655&gt;0,V655/U655,0)</x:f>
        <x:v>9.29759697216691e-13</x:v>
      </x:c>
      <x:c r="X655" s="80" t="n">
        <x:f>W655*('Inputs'!$B$6-AC655)</x:f>
        <x:v>-0.004410174141992363</x:v>
      </x:c>
      <x:c r="Y655" s="80" t="n">
        <x:f>2*V655</x:f>
        <x:v>0.251992681265143</x:v>
      </x:c>
      <x:c r="Z655" s="80" t="n">
        <x:f>K655*'Inputs'!$B$16+(G655+R655)*J655*'Inputs'!$B$16</x:f>
        <x:v>0.0007559837770669488</x:v>
      </x:c>
      <x:c r="AA655" s="80" t="n">
        <x:f>K655*(1+'Inputs'!$E$45)/2*'Inputs'!$B$17</x:f>
        <x:v>0.00024083898431239022</x:v>
      </x:c>
      <x:c r="AB655" s="78" t="n">
        <x:f>(IF(J655&gt;0,K655*(1-'Inputs'!$E$45)/2/J655,0)+G655+R655)*'Inputs'!$B$17</x:f>
        <x:v>2078.2538871812294</x:v>
      </x:c>
      <x:c r="AC655" s="78" t="n">
        <x:f>AC654+AB655</x:f>
        <x:v>5743348367.534717</x:v>
      </x:c>
      <x:c r="AD655" s="80" t="n">
        <x:f>Z655/(1+'Inputs'!$C$45)</x:f>
        <x:v>0.0005039891847112991</x:v>
      </x:c>
      <x:c r="AE655" s="80" t="n">
        <x:f>Z655-AD655</x:f>
        <x:v>0.0002519945923556496</x:v>
      </x:c>
      <x:c r="AF655" s="80" t="n">
        <x:f>D655*W655</x:f>
        <x:v>2.465893612050285e-7</x:v>
      </x:c>
      <x:c r="AG655" s="80" t="n">
        <x:f>C655*W655</x:f>
        <x:v>4.315313821088068e-7</x:v>
      </x:c>
      <x:c r="AH655" s="80" t="n">
        <x:f>2*'Inputs'!$B$8*'Inputs'!$C$45</x:f>
        <x:v>2500</x:v>
      </x:c>
      <x:c r="AI655" s="81" t="n">
        <x:f>IF(AH655&gt;0,(AE655+AF655)/AH655*365,0)</x:f>
        <x:v>0.000036827212530660786</x:v>
      </x:c>
      <x:c r="AJ655" s="81" t="n">
        <x:f>IF('Inputs'!$B$45&gt;0,AG655/('Inputs'!$B$19*'Inputs'!$B$45)*365,0)</x:f>
        <x:v>2.1001193929295264e-8</x:v>
      </x:c>
      <x:c r="AK655" s="81" t="n">
        <x:f>W655/MAX($W$369:W655)-1</x:f>
        <x:v>-0.9999999987633422</x:v>
      </x:c>
      <x:c r="AL655" s="83" t="n">
        <x:f>'Inputs'!$B$45</x:f>
        <x:v>0.75</x:v>
      </x:c>
      <x:c r="AM655" s="83" t="n">
        <x:f>'Inputs'!$C$45</x:f>
        <x:v>0.5</x:v>
      </x:c>
      <x:c r="AN655" s="83" t="n">
        <x:f>'Inputs'!$D$45</x:f>
        <x:v>0.5</x:v>
      </x:c>
      <x:c r="AO655" s="81" t="n">
        <x:f>'Inputs'!$E$45</x:f>
        <x:v>-0.05</x:v>
      </x:c>
    </x:row>
    <x:row r="656">
      <x:c r="A656" s="59" t="str">
        <x:v>Weak demand</x:v>
      </x:c>
      <x:c r="B656" s="59" t="n">
        <x:v>288</x:v>
      </x:c>
      <x:c r="C656" s="78" t="n">
        <x:f>(('Inputs'!$B$29*(3*288*'Inputs'!$B$12-288^2)/(2*'Inputs'!$B$12^2))-('Inputs'!$B$29*(3*287*'Inputs'!$B$12-287^2)/(2*'Inputs'!$B$12^2)))*'Inputs'!$B$45</x:f>
        <x:v>463888.33505346626</x:v>
      </x:c>
      <x:c r="D656" s="78" t="n">
        <x:f>IF('Inputs'!$C$45&gt;0,('Inputs'!$B$30*(3*288*'Inputs'!$B$12-288^2)/(2*'Inputs'!$B$12^2))-('Inputs'!$B$30*(3*287*'Inputs'!$B$12-287^2)/(2*'Inputs'!$B$12^2)),0)</x:f>
        <x:v>265079.048601985</x:v>
      </x:c>
      <x:c r="E656" s="78" t="n">
        <x:f>C656+D656</x:f>
        <x:v>728967.3836554512</x:v>
      </x:c>
      <x:c r="F656" s="78" t="n">
        <x:f>'Inputs'!$B$13*E656+(1-'Inputs'!$B$13)/'Inputs'!$B$14*SUM(E601:E656)</x:f>
        <x:v>737396.9670669881</x:v>
      </x:c>
      <x:c r="G656" s="78" t="n">
        <x:f>F656*'Inputs'!$F$45</x:f>
        <x:v>516177.87694689166</x:v>
      </x:c>
      <x:c r="H656" s="78" t="n">
        <x:f>U655</x:f>
        <x:v>135514951884.61223</x:v>
      </x:c>
      <x:c r="I656" s="78" t="n">
        <x:f>V655</x:f>
        <x:v>0.1259963406325715</x:v>
      </x:c>
      <x:c r="J656" s="79" t="n">
        <x:f>IF(H656&gt;0,I656/H656,0)</x:f>
        <x:v>9.29759697216691e-13</x:v>
      </x:c>
      <x:c r="K656" s="80" t="n">
        <x:f>(H656*J656+I656)*'Inputs'!$D$45*(1+'Inputs'!$G$45)^(B656/30)</x:f>
        <x:v>0.1259963406325715</x:v>
      </x:c>
      <x:c r="L656" s="80" t="n">
        <x:f>MAX(0,K656*'Inputs'!$E$45)</x:f>
        <x:v>0</x:v>
      </x:c>
      <x:c r="M656" s="80" t="n">
        <x:f>MAX(0,-K656*'Inputs'!$E$45)</x:f>
        <x:v>0.006299817031628576</x:v>
      </x:c>
      <x:c r="N656" s="78" t="n">
        <x:f>H656*(L656*(1-'Inputs'!$B$15))/(I656+L656*(1-'Inputs'!$B$15))</x:f>
        <x:v>0</x:v>
      </x:c>
      <x:c r="O656" s="78" t="n">
        <x:f>H656-N656</x:f>
        <x:v>135514951884.61223</x:v>
      </x:c>
      <x:c r="P656" s="78" t="n">
        <x:f>I656+L656*(1-'Inputs'!$B$17)</x:f>
        <x:v>0.1259963406325715</x:v>
      </x:c>
      <x:c r="Q656" s="78" t="n">
        <x:f>IF(J656&gt;0,M656/J656,0)</x:f>
        <x:v>0</x:v>
      </x:c>
      <x:c r="R656" s="78" t="n">
        <x:f>IF(B656='Inputs'!$H$45,'Inputs'!$B$27*'Inputs'!$I$45,0)</x:f>
        <x:v>0</x:v>
      </x:c>
      <x:c r="S656" s="78" t="n">
        <x:f>Q656+G656+R656</x:f>
        <x:v>516177.87694689166</x:v>
      </x:c>
      <x:c r="T656" s="78" t="n">
        <x:f>P656*(S656*(1-'Inputs'!$B$15))/(O656+S656*(1-'Inputs'!$B$15))</x:f>
        <x:v>4.7512038107315224e-7</x:v>
      </x:c>
      <x:c r="U656" s="78" t="n">
        <x:f>O656+S656*(1-'Inputs'!$B$17)</x:f>
        <x:v>135515465985.31462</x:v>
      </x:c>
      <x:c r="V656" s="78" t="n">
        <x:f>P656-T656</x:f>
        <x:v>0.12599586551219044</x:v>
      </x:c>
      <x:c r="W656" s="79" t="n">
        <x:f>IF(U656&gt;0,V656/U656,0)</x:f>
        <x:v>9.297526639936744e-13</x:v>
      </x:c>
      <x:c r="X656" s="80" t="n">
        <x:f>W656*('Inputs'!$B$6-AC656)</x:f>
        <x:v>-0.004410142712224025</x:v>
      </x:c>
      <x:c r="Y656" s="80" t="n">
        <x:f>2*V656</x:f>
        <x:v>0.2519917310243809</x:v>
      </x:c>
      <x:c r="Z656" s="80" t="n">
        <x:f>K656*'Inputs'!$B$16+(G656+R656)*J656*'Inputs'!$B$16</x:f>
        <x:v>0.0007559809233237485</x:v>
      </x:c>
      <x:c r="AA656" s="80" t="n">
        <x:f>K656*(1+'Inputs'!$E$45)/2*'Inputs'!$B$17</x:f>
        <x:v>0.00024083807565582077</x:v>
      </x:c>
      <x:c r="AB656" s="78" t="n">
        <x:f>(IF(J656&gt;0,K656*(1-'Inputs'!$E$45)/2/J656,0)+G656+R656)*'Inputs'!$B$17</x:f>
        <x:v>2077.1745551182767</x:v>
      </x:c>
      <x:c r="AC656" s="78" t="n">
        <x:f>AC655+AB656</x:f>
        <x:v>5743350444.709271</x:v>
      </x:c>
      <x:c r="AD656" s="80" t="n">
        <x:f>Z656/(1+'Inputs'!$C$45)</x:f>
        <x:v>0.0005039872822158323</x:v>
      </x:c>
      <x:c r="AE656" s="80" t="n">
        <x:f>Z656-AD656</x:f>
        <x:v>0.00025199364110791616</x:v>
      </x:c>
      <x:c r="AF656" s="80" t="n">
        <x:f>D656*W656</x:f>
        <x:v>2.464579516066042e-7</x:v>
      </x:c>
      <x:c r="AG656" s="80" t="n">
        <x:f>C656*W656</x:f>
        <x:v>4.3130141531155047e-7</x:v>
      </x:c>
      <x:c r="AH656" s="80" t="n">
        <x:f>2*'Inputs'!$B$8*'Inputs'!$C$45</x:f>
        <x:v>2500</x:v>
      </x:c>
      <x:c r="AI656" s="81" t="n">
        <x:f>IF(AH656&gt;0,(AE656+AF656)/AH656*365,0)</x:f>
        <x:v>0.000036827054462690324</x:v>
      </x:c>
      <x:c r="AJ656" s="81" t="n">
        <x:f>IF('Inputs'!$B$45&gt;0,AG656/('Inputs'!$B$19*'Inputs'!$B$45)*365,0)</x:f>
        <x:v>2.099000221182879e-8</x:v>
      </x:c>
      <x:c r="AK656" s="81" t="n">
        <x:f>W656/MAX($W$369:W656)-1</x:f>
        <x:v>-0.9999999987633515</x:v>
      </x:c>
      <x:c r="AL656" s="83" t="n">
        <x:f>'Inputs'!$B$45</x:f>
        <x:v>0.75</x:v>
      </x:c>
      <x:c r="AM656" s="83" t="n">
        <x:f>'Inputs'!$C$45</x:f>
        <x:v>0.5</x:v>
      </x:c>
      <x:c r="AN656" s="83" t="n">
        <x:f>'Inputs'!$D$45</x:f>
        <x:v>0.5</x:v>
      </x:c>
      <x:c r="AO656" s="81" t="n">
        <x:f>'Inputs'!$E$45</x:f>
        <x:v>-0.05</x:v>
      </x:c>
    </x:row>
    <x:row r="657">
      <x:c r="A657" s="59" t="str">
        <x:v>Weak demand</x:v>
      </x:c>
      <x:c r="B657" s="59" t="n">
        <x:v>289</x:v>
      </x:c>
      <x:c r="C657" s="78" t="n">
        <x:f>(('Inputs'!$B$29*(3*289*'Inputs'!$B$12-289^2)/(2*'Inputs'!$B$12^2))-('Inputs'!$B$29*(3*288*'Inputs'!$B$12-288^2)/(2*'Inputs'!$B$12^2)))*'Inputs'!$B$45</x:f>
        <x:v>463644.50412835926</x:v>
      </x:c>
      <x:c r="D657" s="78" t="n">
        <x:f>IF('Inputs'!$C$45&gt;0,('Inputs'!$B$30*(3*289*'Inputs'!$B$12-289^2)/(2*'Inputs'!$B$12^2))-('Inputs'!$B$30*(3*288*'Inputs'!$B$12-288^2)/(2*'Inputs'!$B$12^2)),0)</x:f>
        <x:v>264939.71664477885</x:v>
      </x:c>
      <x:c r="E657" s="78" t="n">
        <x:f>C657+D657</x:f>
        <x:v>728584.2207731381</x:v>
      </x:c>
      <x:c r="F657" s="78" t="n">
        <x:f>'Inputs'!$B$13*E657+(1-'Inputs'!$B$13)/'Inputs'!$B$14*SUM(E602:E657)</x:f>
        <x:v>737013.804184652</x:v>
      </x:c>
      <x:c r="G657" s="78" t="n">
        <x:f>F657*'Inputs'!$F$45</x:f>
        <x:v>515909.6629292564</x:v>
      </x:c>
      <x:c r="H657" s="78" t="n">
        <x:f>U656</x:f>
        <x:v>135515465985.31462</x:v>
      </x:c>
      <x:c r="I657" s="78" t="n">
        <x:f>V656</x:f>
        <x:v>0.12599586551219044</x:v>
      </x:c>
      <x:c r="J657" s="79" t="n">
        <x:f>IF(H657&gt;0,I657/H657,0)</x:f>
        <x:v>9.297526639936744e-13</x:v>
      </x:c>
      <x:c r="K657" s="80" t="n">
        <x:f>(H657*J657+I657)*'Inputs'!$D$45*(1+'Inputs'!$G$45)^(B657/30)</x:f>
        <x:v>0.12599586551219044</x:v>
      </x:c>
      <x:c r="L657" s="80" t="n">
        <x:f>MAX(0,K657*'Inputs'!$E$45)</x:f>
        <x:v>0</x:v>
      </x:c>
      <x:c r="M657" s="80" t="n">
        <x:f>MAX(0,-K657*'Inputs'!$E$45)</x:f>
        <x:v>0.006299793275609523</x:v>
      </x:c>
      <x:c r="N657" s="78" t="n">
        <x:f>H657*(L657*(1-'Inputs'!$B$15))/(I657+L657*(1-'Inputs'!$B$15))</x:f>
        <x:v>0</x:v>
      </x:c>
      <x:c r="O657" s="78" t="n">
        <x:f>H657-N657</x:f>
        <x:v>135515465985.31462</x:v>
      </x:c>
      <x:c r="P657" s="78" t="n">
        <x:f>I657+L657*(1-'Inputs'!$B$17)</x:f>
        <x:v>0.12599586551219044</x:v>
      </x:c>
      <x:c r="Q657" s="78" t="n">
        <x:f>IF(J657&gt;0,M657/J657,0)</x:f>
        <x:v>0</x:v>
      </x:c>
      <x:c r="R657" s="78" t="n">
        <x:f>IF(B657='Inputs'!$H$45,'Inputs'!$B$27*'Inputs'!$I$45,0)</x:f>
        <x:v>0</x:v>
      </x:c>
      <x:c r="S657" s="78" t="n">
        <x:f>Q657+G657+R657</x:f>
        <x:v>515909.6629292564</x:v>
      </x:c>
      <x:c r="T657" s="78" t="n">
        <x:f>P657*(S657*(1-'Inputs'!$B$15))/(O657+S657*(1-'Inputs'!$B$15))</x:f>
        <x:v>4.7486990989429644e-7</x:v>
      </x:c>
      <x:c r="U657" s="78" t="n">
        <x:f>O657+S657*(1-'Inputs'!$B$17)</x:f>
        <x:v>135515979818.88232</x:v>
      </x:c>
      <x:c r="V657" s="78" t="n">
        <x:f>P657-T657</x:f>
        <x:v>0.12599539064228055</x:v>
      </x:c>
      <x:c r="W657" s="79" t="n">
        <x:f>IF(U657&gt;0,V657/U657,0)</x:f>
        <x:v>9.297456345050519e-13</x:v>
      </x:c>
      <x:c r="X657" s="80" t="n">
        <x:f>W657*('Inputs'!$B$6-AC657)</x:f>
        <x:v>-0.004410111299136513</x:v>
      </x:c>
      <x:c r="Y657" s="80" t="n">
        <x:f>2*V657</x:f>
        <x:v>0.2519907812845611</x:v>
      </x:c>
      <x:c r="Z657" s="80" t="n">
        <x:f>K657*'Inputs'!$B$16+(G657+R657)*J657*'Inputs'!$B$16</x:f>
        <x:v>0.0007559780710834435</x:v>
      </x:c>
      <x:c r="AA657" s="80" t="n">
        <x:f>K657*(1+'Inputs'!$E$45)/2*'Inputs'!$B$17</x:f>
        <x:v>0.00024083716747803002</x:v>
      </x:c>
      <x:c r="AB657" s="78" t="n">
        <x:f>(IF(J657&gt;0,K657*(1-'Inputs'!$E$45)/2/J657,0)+G657+R657)*'Inputs'!$B$17</x:f>
        <x:v>2076.095223055358</x:v>
      </x:c>
      <x:c r="AC657" s="78" t="n">
        <x:f>AC656+AB657</x:f>
        <x:v>5743352520.804495</x:v>
      </x:c>
      <x:c r="AD657" s="80" t="n">
        <x:f>Z657/(1+'Inputs'!$C$45)</x:f>
        <x:v>0.0005039853807222957</x:v>
      </x:c>
      <x:c r="AE657" s="80" t="n">
        <x:f>Z657-AD657</x:f>
        <x:v>0.00025199269036114784</x:v>
      </x:c>
      <x:c r="AF657" s="80" t="n">
        <x:f>D657*W657</x:f>
        <x:v>2.4632654495748855e-7</x:v>
      </x:c>
      <x:c r="AG657" s="80" t="n">
        <x:f>C657*W657</x:f>
        <x:v>4.310714536756015e-7</x:v>
      </x:c>
      <x:c r="AH657" s="80" t="n">
        <x:f>2*'Inputs'!$B$8*'Inputs'!$C$45</x:f>
        <x:v>2500</x:v>
      </x:c>
      <x:c r="AI657" s="81" t="n">
        <x:f>IF(AH657&gt;0,(AE657+AF657)/AH657*365,0)</x:f>
        <x:v>0.000036826896468291374</x:v>
      </x:c>
      <x:c r="AJ657" s="81" t="n">
        <x:f>IF('Inputs'!$B$45&gt;0,AG657/('Inputs'!$B$19*'Inputs'!$B$45)*365,0)</x:f>
        <x:v>2.097881074554594e-8</x:v>
      </x:c>
      <x:c r="AK657" s="81" t="n">
        <x:f>W657/MAX($W$369:W657)-1</x:f>
        <x:v>-0.9999999987633609</x:v>
      </x:c>
      <x:c r="AL657" s="83" t="n">
        <x:f>'Inputs'!$B$45</x:f>
        <x:v>0.75</x:v>
      </x:c>
      <x:c r="AM657" s="83" t="n">
        <x:f>'Inputs'!$C$45</x:f>
        <x:v>0.5</x:v>
      </x:c>
      <x:c r="AN657" s="83" t="n">
        <x:f>'Inputs'!$D$45</x:f>
        <x:v>0.5</x:v>
      </x:c>
      <x:c r="AO657" s="81" t="n">
        <x:f>'Inputs'!$E$45</x:f>
        <x:v>-0.05</x:v>
      </x:c>
    </x:row>
    <x:row r="658">
      <x:c r="A658" s="59" t="str">
        <x:v>Weak demand</x:v>
      </x:c>
      <x:c r="B658" s="59" t="n">
        <x:v>290</x:v>
      </x:c>
      <x:c r="C658" s="78" t="n">
        <x:f>(('Inputs'!$B$29*(3*290*'Inputs'!$B$12-290^2)/(2*'Inputs'!$B$12^2))-('Inputs'!$B$29*(3*289*'Inputs'!$B$12-289^2)/(2*'Inputs'!$B$12^2)))*'Inputs'!$B$45</x:f>
        <x:v>463400.6732032299</x:v>
      </x:c>
      <x:c r="D658" s="78" t="n">
        <x:f>IF('Inputs'!$C$45&gt;0,('Inputs'!$B$30*(3*290*'Inputs'!$B$12-290^2)/(2*'Inputs'!$B$12^2))-('Inputs'!$B$30*(3*289*'Inputs'!$B$12-289^2)/(2*'Inputs'!$B$12^2)),0)</x:f>
        <x:v>264800.3846875578</x:v>
      </x:c>
      <x:c r="E658" s="78" t="n">
        <x:f>C658+D658</x:f>
        <x:v>728201.0578907877</x:v>
      </x:c>
      <x:c r="F658" s="78" t="n">
        <x:f>'Inputs'!$B$13*E658+(1-'Inputs'!$B$13)/'Inputs'!$B$14*SUM(E603:E658)</x:f>
        <x:v>736630.6413023085</x:v>
      </x:c>
      <x:c r="G658" s="78" t="n">
        <x:f>F658*'Inputs'!$F$45</x:f>
        <x:v>515641.44891161594</x:v>
      </x:c>
      <x:c r="H658" s="78" t="n">
        <x:f>U657</x:f>
        <x:v>135515979818.88232</x:v>
      </x:c>
      <x:c r="I658" s="78" t="n">
        <x:f>V657</x:f>
        <x:v>0.12599539064228055</x:v>
      </x:c>
      <x:c r="J658" s="79" t="n">
        <x:f>IF(H658&gt;0,I658/H658,0)</x:f>
        <x:v>9.297456345050519e-13</x:v>
      </x:c>
      <x:c r="K658" s="80" t="n">
        <x:f>(H658*J658+I658)*'Inputs'!$D$45*(1+'Inputs'!$G$45)^(B658/30)</x:f>
        <x:v>0.12599539064228055</x:v>
      </x:c>
      <x:c r="L658" s="80" t="n">
        <x:f>MAX(0,K658*'Inputs'!$E$45)</x:f>
        <x:v>0</x:v>
      </x:c>
      <x:c r="M658" s="80" t="n">
        <x:f>MAX(0,-K658*'Inputs'!$E$45)</x:f>
        <x:v>0.0062997695321140275</x:v>
      </x:c>
      <x:c r="N658" s="78" t="n">
        <x:f>H658*(L658*(1-'Inputs'!$B$15))/(I658+L658*(1-'Inputs'!$B$15))</x:f>
        <x:v>0</x:v>
      </x:c>
      <x:c r="O658" s="78" t="n">
        <x:f>H658-N658</x:f>
        <x:v>135515979818.88232</x:v>
      </x:c>
      <x:c r="P658" s="78" t="n">
        <x:f>I658+L658*(1-'Inputs'!$B$17)</x:f>
        <x:v>0.12599539064228055</x:v>
      </x:c>
      <x:c r="Q658" s="78" t="n">
        <x:f>IF(J658&gt;0,M658/J658,0)</x:f>
        <x:v>0</x:v>
      </x:c>
      <x:c r="R658" s="78" t="n">
        <x:f>IF(B658='Inputs'!$H$45,'Inputs'!$B$27*'Inputs'!$I$45,0)</x:f>
        <x:v>0</x:v>
      </x:c>
      <x:c r="S658" s="78" t="n">
        <x:f>Q658+G658+R658</x:f>
        <x:v>515641.44891161594</x:v>
      </x:c>
      <x:c r="T658" s="78" t="n">
        <x:f>P658*(S658*(1-'Inputs'!$B$15))/(O658+S658*(1-'Inputs'!$B$15))</x:f>
        <x:v>4.746194443558573e-7</x:v>
      </x:c>
      <x:c r="U658" s="78" t="n">
        <x:f>O658+S658*(1-'Inputs'!$B$17)</x:f>
        <x:v>135516493385.31534</x:v>
      </x:c>
      <x:c r="V658" s="78" t="n">
        <x:f>P658-T658</x:f>
        <x:v>0.1259949160228362</x:v>
      </x:c>
      <x:c r="W658" s="79" t="n">
        <x:f>IF(U658&gt;0,V658/U658,0)</x:f>
        <x:v>9.297386087506975e-13</x:v>
      </x:c>
      <x:c r="X658" s="80" t="n">
        <x:f>W658*('Inputs'!$B$6-AC658)</x:f>
        <x:v>-0.004410079902729272</x:v>
      </x:c>
      <x:c r="Y658" s="80" t="n">
        <x:f>2*V658</x:f>
        <x:v>0.2519898320456724</x:v>
      </x:c>
      <x:c r="Z658" s="80" t="n">
        <x:f>K658*'Inputs'!$B$16+(G658+R658)*J658*'Inputs'!$B$16</x:f>
        <x:v>0.0007559752203459999</x:v>
      </x:c>
      <x:c r="AA658" s="80" t="n">
        <x:f>K658*(1+'Inputs'!$E$45)/2*'Inputs'!$B$17</x:f>
        <x:v>0.00024083625977900709</x:v>
      </x:c>
      <x:c r="AB658" s="78" t="n">
        <x:f>(IF(J658&gt;0,K658*(1-'Inputs'!$E$45)/2/J658,0)+G658+R658)*'Inputs'!$B$17</x:f>
        <x:v>2075.0158909924185</x:v>
      </x:c>
      <x:c r="AC658" s="78" t="n">
        <x:f>AC657+AB658</x:f>
        <x:v>5743354595.820386</x:v>
      </x:c>
      <x:c r="AD658" s="80" t="n">
        <x:f>Z658/(1+'Inputs'!$C$45)</x:f>
        <x:v>0.0005039834802306666</x:v>
      </x:c>
      <x:c r="AE658" s="80" t="n">
        <x:f>Z658-AD658</x:f>
        <x:v>0.0002519917401153333</x:v>
      </x:c>
      <x:c r="AF658" s="80" t="n">
        <x:f>D658*W658</x:f>
        <x:v>2.461951412560595e-7</x:v>
      </x:c>
      <x:c r="AG658" s="80" t="n">
        <x:f>C658*W658</x:f>
        <x:v>4.308414971981076e-7</x:v>
      </x:c>
      <x:c r="AH658" s="80" t="n">
        <x:f>2*'Inputs'!$B$8*'Inputs'!$C$45</x:f>
        <x:v>2500</x:v>
      </x:c>
      <x:c r="AI658" s="81" t="n">
        <x:f>IF(AH658&gt;0,(AE658+AF658)/AH658*365,0)</x:f>
        <x:v>0.00003682673854746204</x:v>
      </x:c>
      <x:c r="AJ658" s="81" t="n">
        <x:f>IF('Inputs'!$B$45&gt;0,AG658/('Inputs'!$B$19*'Inputs'!$B$45)*365,0)</x:f>
        <x:v>2.0967619530307903e-8</x:v>
      </x:c>
      <x:c r="AK658" s="81" t="n">
        <x:f>W658/MAX($W$369:W658)-1</x:f>
        <x:v>-0.9999999987633703</x:v>
      </x:c>
      <x:c r="AL658" s="83" t="n">
        <x:f>'Inputs'!$B$45</x:f>
        <x:v>0.75</x:v>
      </x:c>
      <x:c r="AM658" s="83" t="n">
        <x:f>'Inputs'!$C$45</x:f>
        <x:v>0.5</x:v>
      </x:c>
      <x:c r="AN658" s="83" t="n">
        <x:f>'Inputs'!$D$45</x:f>
        <x:v>0.5</x:v>
      </x:c>
      <x:c r="AO658" s="81" t="n">
        <x:f>'Inputs'!$E$45</x:f>
        <x:v>-0.05</x:v>
      </x:c>
    </x:row>
    <x:row r="659">
      <x:c r="A659" s="59" t="str">
        <x:v>Weak demand</x:v>
      </x:c>
      <x:c r="B659" s="59" t="n">
        <x:v>291</x:v>
      </x:c>
      <x:c r="C659" s="78" t="n">
        <x:f>(('Inputs'!$B$29*(3*291*'Inputs'!$B$12-291^2)/(2*'Inputs'!$B$12^2))-('Inputs'!$B$29*(3*290*'Inputs'!$B$12-290^2)/(2*'Inputs'!$B$12^2)))*'Inputs'!$B$45</x:f>
        <x:v>463156.84227810055</x:v>
      </x:c>
      <x:c r="D659" s="78" t="n">
        <x:f>IF('Inputs'!$C$45&gt;0,('Inputs'!$B$30*(3*291*'Inputs'!$B$12-291^2)/(2*'Inputs'!$B$12^2))-('Inputs'!$B$30*(3*290*'Inputs'!$B$12-290^2)/(2*'Inputs'!$B$12^2)),0)</x:f>
        <x:v>264661.0527303368</x:v>
      </x:c>
      <x:c r="E659" s="78" t="n">
        <x:f>C659+D659</x:f>
        <x:v>727817.8950084373</x:v>
      </x:c>
      <x:c r="F659" s="78" t="n">
        <x:f>'Inputs'!$B$13*E659+(1-'Inputs'!$B$13)/'Inputs'!$B$14*SUM(E604:E659)</x:f>
        <x:v>736247.4784199649</x:v>
      </x:c>
      <x:c r="G659" s="78" t="n">
        <x:f>F659*'Inputs'!$F$45</x:f>
        <x:v>515373.2348939754</x:v>
      </x:c>
      <x:c r="H659" s="78" t="n">
        <x:f>U658</x:f>
        <x:v>135516493385.31534</x:v>
      </x:c>
      <x:c r="I659" s="78" t="n">
        <x:f>V658</x:f>
        <x:v>0.1259949160228362</x:v>
      </x:c>
      <x:c r="J659" s="79" t="n">
        <x:f>IF(H659&gt;0,I659/H659,0)</x:f>
        <x:v>9.297386087506975e-13</x:v>
      </x:c>
      <x:c r="K659" s="80" t="n">
        <x:f>(H659*J659+I659)*'Inputs'!$D$45*(1+'Inputs'!$G$45)^(B659/30)</x:f>
        <x:v>0.1259949160228362</x:v>
      </x:c>
      <x:c r="L659" s="80" t="n">
        <x:f>MAX(0,K659*'Inputs'!$E$45)</x:f>
        <x:v>0</x:v>
      </x:c>
      <x:c r="M659" s="80" t="n">
        <x:f>MAX(0,-K659*'Inputs'!$E$45)</x:f>
        <x:v>0.00629974580114181</x:v>
      </x:c>
      <x:c r="N659" s="78" t="n">
        <x:f>H659*(L659*(1-'Inputs'!$B$15))/(I659+L659*(1-'Inputs'!$B$15))</x:f>
        <x:v>0</x:v>
      </x:c>
      <x:c r="O659" s="78" t="n">
        <x:f>H659-N659</x:f>
        <x:v>135516493385.31534</x:v>
      </x:c>
      <x:c r="P659" s="78" t="n">
        <x:f>I659+L659*(1-'Inputs'!$B$17)</x:f>
        <x:v>0.1259949160228362</x:v>
      </x:c>
      <x:c r="Q659" s="78" t="n">
        <x:f>IF(J659&gt;0,M659/J659,0)</x:f>
        <x:v>0</x:v>
      </x:c>
      <x:c r="R659" s="78" t="n">
        <x:f>IF(B659='Inputs'!$H$45,'Inputs'!$B$27*'Inputs'!$I$45,0)</x:f>
        <x:v>0</x:v>
      </x:c>
      <x:c r="S659" s="78" t="n">
        <x:f>Q659+G659+R659</x:f>
        <x:v>515373.2348939754</x:v>
      </x:c>
      <x:c r="T659" s="78" t="n">
        <x:f>P659*(S659*(1-'Inputs'!$B$15))/(O659+S659*(1-'Inputs'!$B$15))</x:f>
        <x:v>4.7436898445480063e-7</x:v>
      </x:c>
      <x:c r="U659" s="78" t="n">
        <x:f>O659+S659*(1-'Inputs'!$B$17)</x:f>
        <x:v>135517006684.61368</x:v>
      </x:c>
      <x:c r="V659" s="78" t="n">
        <x:f>P659-T659</x:f>
        <x:v>0.12599444165385174</x:v>
      </x:c>
      <x:c r="W659" s="79" t="n">
        <x:f>IF(U659&gt;0,V659/U659,0)</x:f>
        <x:v>9.297315867304858e-13</x:v>
      </x:c>
      <x:c r="X659" s="80" t="n">
        <x:f>W659*('Inputs'!$B$6-AC659)</x:f>
        <x:v>-0.004410048523001757</x:v>
      </x:c>
      <x:c r="Y659" s="80" t="n">
        <x:f>2*V659</x:f>
        <x:v>0.25198888330770347</x:v>
      </x:c>
      <x:c r="Z659" s="80" t="n">
        <x:f>K659*'Inputs'!$B$16+(G659+R659)*J659*'Inputs'!$B$16</x:f>
        <x:v>0.0007559723711113835</x:v>
      </x:c>
      <x:c r="AA659" s="80" t="n">
        <x:f>K659*(1+'Inputs'!$E$45)/2*'Inputs'!$B$17</x:f>
        <x:v>0.00024083535255874121</x:v>
      </x:c>
      <x:c r="AB659" s="78" t="n">
        <x:f>(IF(J659&gt;0,K659*(1-'Inputs'!$E$45)/2/J659,0)+G659+R659)*'Inputs'!$B$17</x:f>
        <x:v>2073.9365589294785</x:v>
      </x:c>
      <x:c r="AC659" s="78" t="n">
        <x:f>AC658+AB659</x:f>
        <x:v>5743356669.756945</x:v>
      </x:c>
      <x:c r="AD659" s="80" t="n">
        <x:f>Z659/(1+'Inputs'!$C$45)</x:f>
        <x:v>0.0005039815807409224</x:v>
      </x:c>
      <x:c r="AE659" s="80" t="n">
        <x:f>Z659-AD659</x:f>
        <x:v>0.00025199079037046114</x:v>
      </x:c>
      <x:c r="AF659" s="80" t="n">
        <x:f>D659*W659</x:f>
        <x:v>2.460637405007368e-7</x:v>
      </x:c>
      <x:c r="AG659" s="80" t="n">
        <x:f>C659*W659</x:f>
        <x:v>4.3061154587629974e-7</x:v>
      </x:c>
      <x:c r="AH659" s="80" t="n">
        <x:f>2*'Inputs'!$B$8*'Inputs'!$C$45</x:f>
        <x:v>2500</x:v>
      </x:c>
      <x:c r="AI659" s="81" t="n">
        <x:f>IF(AH659&gt;0,(AE659+AF659)/AH659*365,0)</x:f>
        <x:v>0.00003682658070020043</x:v>
      </x:c>
      <x:c r="AJ659" s="81" t="n">
        <x:f>IF('Inputs'!$B$45&gt;0,AG659/('Inputs'!$B$19*'Inputs'!$B$45)*365,0)</x:f>
        <x:v>2.095642856597992e-8</x:v>
      </x:c>
      <x:c r="AK659" s="81" t="n">
        <x:f>W659/MAX($W$369:W659)-1</x:f>
        <x:v>-0.9999999987633796</x:v>
      </x:c>
      <x:c r="AL659" s="83" t="n">
        <x:f>'Inputs'!$B$45</x:f>
        <x:v>0.75</x:v>
      </x:c>
      <x:c r="AM659" s="83" t="n">
        <x:f>'Inputs'!$C$45</x:f>
        <x:v>0.5</x:v>
      </x:c>
      <x:c r="AN659" s="83" t="n">
        <x:f>'Inputs'!$D$45</x:f>
        <x:v>0.5</x:v>
      </x:c>
      <x:c r="AO659" s="81" t="n">
        <x:f>'Inputs'!$E$45</x:f>
        <x:v>-0.05</x:v>
      </x:c>
    </x:row>
    <x:row r="660">
      <x:c r="A660" s="59" t="str">
        <x:v>Weak demand</x:v>
      </x:c>
      <x:c r="B660" s="59" t="n">
        <x:v>292</x:v>
      </x:c>
      <x:c r="C660" s="78" t="n">
        <x:f>(('Inputs'!$B$29*(3*292*'Inputs'!$B$12-292^2)/(2*'Inputs'!$B$12^2))-('Inputs'!$B$29*(3*291*'Inputs'!$B$12-291^2)/(2*'Inputs'!$B$12^2)))*'Inputs'!$B$45</x:f>
        <x:v>462913.0113529712</x:v>
      </x:c>
      <x:c r="D660" s="78" t="n">
        <x:f>IF('Inputs'!$C$45&gt;0,('Inputs'!$B$30*(3*292*'Inputs'!$B$12-292^2)/(2*'Inputs'!$B$12^2))-('Inputs'!$B$30*(3*291*'Inputs'!$B$12-291^2)/(2*'Inputs'!$B$12^2)),0)</x:f>
        <x:v>264521.72077313066</x:v>
      </x:c>
      <x:c r="E660" s="78" t="n">
        <x:f>C660+D660</x:f>
        <x:v>727434.7321261019</x:v>
      </x:c>
      <x:c r="F660" s="78" t="n">
        <x:f>'Inputs'!$B$13*E660+(1-'Inputs'!$B$13)/'Inputs'!$B$14*SUM(E605:E660)</x:f>
        <x:v>735864.3155376244</x:v>
      </x:c>
      <x:c r="G660" s="78" t="n">
        <x:f>F660*'Inputs'!$F$45</x:f>
        <x:v>515105.0208763371</x:v>
      </x:c>
      <x:c r="H660" s="78" t="n">
        <x:f>U659</x:f>
        <x:v>135517006684.61368</x:v>
      </x:c>
      <x:c r="I660" s="78" t="n">
        <x:f>V659</x:f>
        <x:v>0.12599444165385174</x:v>
      </x:c>
      <x:c r="J660" s="79" t="n">
        <x:f>IF(H660&gt;0,I660/H660,0)</x:f>
        <x:v>9.297315867304858e-13</x:v>
      </x:c>
      <x:c r="K660" s="80" t="n">
        <x:f>(H660*J660+I660)*'Inputs'!$D$45*(1+'Inputs'!$G$45)^(B660/30)</x:f>
        <x:v>0.12599444165385174</x:v>
      </x:c>
      <x:c r="L660" s="80" t="n">
        <x:f>MAX(0,K660*'Inputs'!$E$45)</x:f>
        <x:v>0</x:v>
      </x:c>
      <x:c r="M660" s="80" t="n">
        <x:f>MAX(0,-K660*'Inputs'!$E$45)</x:f>
        <x:v>0.006299722082692587</x:v>
      </x:c>
      <x:c r="N660" s="78" t="n">
        <x:f>H660*(L660*(1-'Inputs'!$B$15))/(I660+L660*(1-'Inputs'!$B$15))</x:f>
        <x:v>0</x:v>
      </x:c>
      <x:c r="O660" s="78" t="n">
        <x:f>H660-N660</x:f>
        <x:v>135517006684.61368</x:v>
      </x:c>
      <x:c r="P660" s="78" t="n">
        <x:f>I660+L660*(1-'Inputs'!$B$17)</x:f>
        <x:v>0.12599444165385174</x:v>
      </x:c>
      <x:c r="Q660" s="78" t="n">
        <x:f>IF(J660&gt;0,M660/J660,0)</x:f>
        <x:v>0</x:v>
      </x:c>
      <x:c r="R660" s="78" t="n">
        <x:f>IF(B660='Inputs'!$H$45,'Inputs'!$B$27*'Inputs'!$I$45,0)</x:f>
        <x:v>0</x:v>
      </x:c>
      <x:c r="S660" s="78" t="n">
        <x:f>Q660+G660+R660</x:f>
        <x:v>515105.0208763371</x:v>
      </x:c>
      <x:c r="T660" s="78" t="n">
        <x:f>P660*(S660*(1-'Inputs'!$B$15))/(O660+S660*(1-'Inputs'!$B$15))</x:f>
        <x:v>4.741185301880899e-7</x:v>
      </x:c>
      <x:c r="U660" s="78" t="n">
        <x:f>O660+S660*(1-'Inputs'!$B$17)</x:f>
        <x:v>135517519716.77733</x:v>
      </x:c>
      <x:c r="V660" s="78" t="n">
        <x:f>P660-T660</x:f>
        <x:v>0.12599396753532155</x:v>
      </x:c>
      <x:c r="W660" s="79" t="n">
        <x:f>IF(U660&gt;0,V660/U660,0)</x:f>
        <x:v>9.297245684442913e-13</x:v>
      </x:c>
      <x:c r="X660" s="80" t="n">
        <x:f>W660*('Inputs'!$B$6-AC660)</x:f>
        <x:v>-0.004410017159953417</x:v>
      </x:c>
      <x:c r="Y660" s="80" t="n">
        <x:f>2*V660</x:f>
        <x:v>0.2519879350706431</x:v>
      </x:c>
      <x:c r="Z660" s="80" t="n">
        <x:f>K660*'Inputs'!$B$16+(G660+R660)*J660*'Inputs'!$B$16</x:f>
        <x:v>0.0007559695233795607</x:v>
      </x:c>
      <x:c r="AA660" s="80" t="n">
        <x:f>K660*(1+'Inputs'!$E$45)/2*'Inputs'!$B$17</x:f>
        <x:v>0.00024083444581722162</x:v>
      </x:c>
      <x:c r="AB660" s="78" t="n">
        <x:f>(IF(J660&gt;0,K660*(1-'Inputs'!$E$45)/2/J660,0)+G660+R660)*'Inputs'!$B$17</x:f>
        <x:v>2072.857226866548</x:v>
      </x:c>
      <x:c r="AC660" s="78" t="n">
        <x:f>AC659+AB660</x:f>
        <x:v>5743358742.614172</x:v>
      </x:c>
      <x:c r="AD660" s="80" t="n">
        <x:f>Z660/(1+'Inputs'!$C$45)</x:f>
        <x:v>0.0005039796822530405</x:v>
      </x:c>
      <x:c r="AE660" s="80" t="n">
        <x:f>Z660-AD660</x:f>
        <x:v>0.0002519898411265202</x:v>
      </x:c>
      <x:c r="AF660" s="80" t="n">
        <x:f>D660*W660</x:f>
        <x:v>2.459323426899402e-7</x:v>
      </x:c>
      <x:c r="AG660" s="80" t="n">
        <x:f>C660*W660</x:f>
        <x:v>4.303815997073885e-7</x:v>
      </x:c>
      <x:c r="AH660" s="80" t="n">
        <x:f>2*'Inputs'!$B$8*'Inputs'!$C$45</x:f>
        <x:v>2500</x:v>
      </x:c>
      <x:c r="AI660" s="81" t="n">
        <x:f>IF(AH660&gt;0,(AE660+AF660)/AH660*365,0)</x:f>
        <x:v>0.00003682642292650468</x:v>
      </x:c>
      <x:c r="AJ660" s="81" t="n">
        <x:f>IF('Inputs'!$B$45&gt;0,AG660/('Inputs'!$B$19*'Inputs'!$B$45)*365,0)</x:f>
        <x:v>2.094523785242624e-8</x:v>
      </x:c>
      <x:c r="AK660" s="81" t="n">
        <x:f>W660/MAX($W$369:W660)-1</x:f>
        <x:v>-0.999999998763389</x:v>
      </x:c>
      <x:c r="AL660" s="83" t="n">
        <x:f>'Inputs'!$B$45</x:f>
        <x:v>0.75</x:v>
      </x:c>
      <x:c r="AM660" s="83" t="n">
        <x:f>'Inputs'!$C$45</x:f>
        <x:v>0.5</x:v>
      </x:c>
      <x:c r="AN660" s="83" t="n">
        <x:f>'Inputs'!$D$45</x:f>
        <x:v>0.5</x:v>
      </x:c>
      <x:c r="AO660" s="81" t="n">
        <x:f>'Inputs'!$E$45</x:f>
        <x:v>-0.05</x:v>
      </x:c>
    </x:row>
    <x:row r="661">
      <x:c r="A661" s="59" t="str">
        <x:v>Weak demand</x:v>
      </x:c>
      <x:c r="B661" s="59" t="n">
        <x:v>293</x:v>
      </x:c>
      <x:c r="C661" s="78" t="n">
        <x:f>(('Inputs'!$B$29*(3*293*'Inputs'!$B$12-293^2)/(2*'Inputs'!$B$12^2))-('Inputs'!$B$29*(3*292*'Inputs'!$B$12-292^2)/(2*'Inputs'!$B$12^2)))*'Inputs'!$B$45</x:f>
        <x:v>462669.18042784184</x:v>
      </x:c>
      <x:c r="D661" s="78" t="n">
        <x:f>IF('Inputs'!$C$45&gt;0,('Inputs'!$B$30*(3*293*'Inputs'!$B$12-293^2)/(2*'Inputs'!$B$12^2))-('Inputs'!$B$30*(3*292*'Inputs'!$B$12-292^2)/(2*'Inputs'!$B$12^2)),0)</x:f>
        <x:v>264382.3888159096</x:v>
      </x:c>
      <x:c r="E661" s="78" t="n">
        <x:f>C661+D661</x:f>
        <x:v>727051.5692437515</x:v>
      </x:c>
      <x:c r="F661" s="78" t="n">
        <x:f>'Inputs'!$B$13*E661+(1-'Inputs'!$B$13)/'Inputs'!$B$14*SUM(E606:E661)</x:f>
        <x:v>735481.1526552804</x:v>
      </x:c>
      <x:c r="G661" s="78" t="n">
        <x:f>F661*'Inputs'!$F$45</x:f>
        <x:v>514836.8068586963</x:v>
      </x:c>
      <x:c r="H661" s="78" t="n">
        <x:f>U660</x:f>
        <x:v>135517519716.77733</x:v>
      </x:c>
      <x:c r="I661" s="78" t="n">
        <x:f>V660</x:f>
        <x:v>0.12599396753532155</x:v>
      </x:c>
      <x:c r="J661" s="79" t="n">
        <x:f>IF(H661&gt;0,I661/H661,0)</x:f>
        <x:v>9.297245684442913e-13</x:v>
      </x:c>
      <x:c r="K661" s="80" t="n">
        <x:f>(H661*J661+I661)*'Inputs'!$D$45*(1+'Inputs'!$G$45)^(B661/30)</x:f>
        <x:v>0.12599396753532155</x:v>
      </x:c>
      <x:c r="L661" s="80" t="n">
        <x:f>MAX(0,K661*'Inputs'!$E$45)</x:f>
        <x:v>0</x:v>
      </x:c>
      <x:c r="M661" s="80" t="n">
        <x:f>MAX(0,-K661*'Inputs'!$E$45)</x:f>
        <x:v>0.006299698376766078</x:v>
      </x:c>
      <x:c r="N661" s="78" t="n">
        <x:f>H661*(L661*(1-'Inputs'!$B$15))/(I661+L661*(1-'Inputs'!$B$15))</x:f>
        <x:v>0</x:v>
      </x:c>
      <x:c r="O661" s="78" t="n">
        <x:f>H661-N661</x:f>
        <x:v>135517519716.77733</x:v>
      </x:c>
      <x:c r="P661" s="78" t="n">
        <x:f>I661+L661*(1-'Inputs'!$B$17)</x:f>
        <x:v>0.12599396753532155</x:v>
      </x:c>
      <x:c r="Q661" s="78" t="n">
        <x:f>IF(J661&gt;0,M661/J661,0)</x:f>
        <x:v>0</x:v>
      </x:c>
      <x:c r="R661" s="78" t="n">
        <x:f>IF(B661='Inputs'!$H$45,'Inputs'!$B$27*'Inputs'!$I$45,0)</x:f>
        <x:v>0</x:v>
      </x:c>
      <x:c r="S661" s="78" t="n">
        <x:f>Q661+G661+R661</x:f>
        <x:v>514836.8068586963</x:v>
      </x:c>
      <x:c r="T661" s="78" t="n">
        <x:f>P661*(S661*(1-'Inputs'!$B$15))/(O661+S661*(1-'Inputs'!$B$15))</x:f>
        <x:v>4.738680815526823e-7</x:v>
      </x:c>
      <x:c r="U661" s="78" t="n">
        <x:f>O661+S661*(1-'Inputs'!$B$17)</x:f>
        <x:v>135518032481.80629</x:v>
      </x:c>
      <x:c r="V661" s="78" t="n">
        <x:f>P661-T661</x:f>
        <x:v>0.12599349366724</x:v>
      </x:c>
      <x:c r="W661" s="79" t="n">
        <x:f>IF(U661&gt;0,V661/U661,0)</x:f>
        <x:v>9.297175538919886e-13</x:v>
      </x:c>
      <x:c r="X661" s="80" t="n">
        <x:f>W661*('Inputs'!$B$6-AC661)</x:f>
        <x:v>-0.004409985813583703</x:v>
      </x:c>
      <x:c r="Y661" s="80" t="n">
        <x:f>2*V661</x:f>
        <x:v>0.25198698733448</x:v>
      </x:c>
      <x:c r="Z661" s="80" t="n">
        <x:f>K661*'Inputs'!$B$16+(G661+R661)*J661*'Inputs'!$B$16</x:f>
        <x:v>0.0007559666771504977</x:v>
      </x:c>
      <x:c r="AA661" s="80" t="n">
        <x:f>K661*(1+'Inputs'!$E$45)/2*'Inputs'!$B$17</x:f>
        <x:v>0.0002408335395544376</x:v>
      </x:c>
      <x:c r="AB661" s="78" t="n">
        <x:f>(IF(J661&gt;0,K661*(1-'Inputs'!$E$45)/2/J661,0)+G661+R661)*'Inputs'!$B$17</x:f>
        <x:v>2071.777894803607</x:v>
      </x:c>
      <x:c r="AC661" s="78" t="n">
        <x:f>AC660+AB661</x:f>
        <x:v>5743360814.392067</x:v>
      </x:c>
      <x:c r="AD661" s="80" t="n">
        <x:f>Z661/(1+'Inputs'!$C$45)</x:f>
        <x:v>0.0005039777847669985</x:v>
      </x:c>
      <x:c r="AE661" s="80" t="n">
        <x:f>Z661-AD661</x:f>
        <x:v>0.0002519888923834992</x:v>
      </x:c>
      <x:c r="AF661" s="80" t="n">
        <x:f>D661*W661</x:f>
        <x:v>2.4580094782204816e-7</x:v>
      </x:c>
      <x:c r="AG661" s="80" t="n">
        <x:f>C661*W661</x:f>
        <x:v>4.301516586885842e-7</x:v>
      </x:c>
      <x:c r="AH661" s="80" t="n">
        <x:f>2*'Inputs'!$B$8*'Inputs'!$C$45</x:f>
        <x:v>2500</x:v>
      </x:c>
      <x:c r="AI661" s="81" t="n">
        <x:f>IF(AH661&gt;0,(AE661+AF661)/AH661*365,0)</x:f>
        <x:v>0.000036826265226372904</x:v>
      </x:c>
      <x:c r="AJ661" s="81" t="n">
        <x:f>IF('Inputs'!$B$45&gt;0,AG661/('Inputs'!$B$19*'Inputs'!$B$45)*365,0)</x:f>
        <x:v>2.0934047389511098e-8</x:v>
      </x:c>
      <x:c r="AK661" s="81" t="n">
        <x:f>W661/MAX($W$369:W661)-1</x:f>
        <x:v>-0.9999999987633983</x:v>
      </x:c>
      <x:c r="AL661" s="83" t="n">
        <x:f>'Inputs'!$B$45</x:f>
        <x:v>0.75</x:v>
      </x:c>
      <x:c r="AM661" s="83" t="n">
        <x:f>'Inputs'!$C$45</x:f>
        <x:v>0.5</x:v>
      </x:c>
      <x:c r="AN661" s="83" t="n">
        <x:f>'Inputs'!$D$45</x:f>
        <x:v>0.5</x:v>
      </x:c>
      <x:c r="AO661" s="81" t="n">
        <x:f>'Inputs'!$E$45</x:f>
        <x:v>-0.05</x:v>
      </x:c>
    </x:row>
    <x:row r="662">
      <x:c r="A662" s="59" t="str">
        <x:v>Weak demand</x:v>
      </x:c>
      <x:c r="B662" s="59" t="n">
        <x:v>294</x:v>
      </x:c>
      <x:c r="C662" s="78" t="n">
        <x:f>(('Inputs'!$B$29*(3*294*'Inputs'!$B$12-294^2)/(2*'Inputs'!$B$12^2))-('Inputs'!$B$29*(3*293*'Inputs'!$B$12-293^2)/(2*'Inputs'!$B$12^2)))*'Inputs'!$B$45</x:f>
        <x:v>462425.34950273484</x:v>
      </x:c>
      <x:c r="D662" s="78" t="n">
        <x:f>IF('Inputs'!$C$45&gt;0,('Inputs'!$B$30*(3*294*'Inputs'!$B$12-294^2)/(2*'Inputs'!$B$12^2))-('Inputs'!$B$30*(3*293*'Inputs'!$B$12-293^2)/(2*'Inputs'!$B$12^2)),0)</x:f>
        <x:v>264243.0568587035</x:v>
      </x:c>
      <x:c r="E662" s="78" t="n">
        <x:f>C662+D662</x:f>
        <x:v>726668.4063614383</x:v>
      </x:c>
      <x:c r="F662" s="78" t="n">
        <x:f>'Inputs'!$B$13*E662+(1-'Inputs'!$B$13)/'Inputs'!$B$14*SUM(E607:E662)</x:f>
        <x:v>735097.9897729447</x:v>
      </x:c>
      <x:c r="G662" s="78" t="n">
        <x:f>F662*'Inputs'!$F$45</x:f>
        <x:v>514568.59284106124</x:v>
      </x:c>
      <x:c r="H662" s="78" t="n">
        <x:f>U661</x:f>
        <x:v>135518032481.80629</x:v>
      </x:c>
      <x:c r="I662" s="78" t="n">
        <x:f>V661</x:f>
        <x:v>0.12599349366724</x:v>
      </x:c>
      <x:c r="J662" s="79" t="n">
        <x:f>IF(H662&gt;0,I662/H662,0)</x:f>
        <x:v>9.297175538919886e-13</x:v>
      </x:c>
      <x:c r="K662" s="80" t="n">
        <x:f>(H662*J662+I662)*'Inputs'!$D$45*(1+'Inputs'!$G$45)^(B662/30)</x:f>
        <x:v>0.12599349366724</x:v>
      </x:c>
      <x:c r="L662" s="80" t="n">
        <x:f>MAX(0,K662*'Inputs'!$E$45)</x:f>
        <x:v>0</x:v>
      </x:c>
      <x:c r="M662" s="80" t="n">
        <x:f>MAX(0,-K662*'Inputs'!$E$45)</x:f>
        <x:v>0.0062996746833620006</x:v>
      </x:c>
      <x:c r="N662" s="78" t="n">
        <x:f>H662*(L662*(1-'Inputs'!$B$15))/(I662+L662*(1-'Inputs'!$B$15))</x:f>
        <x:v>0</x:v>
      </x:c>
      <x:c r="O662" s="78" t="n">
        <x:f>H662-N662</x:f>
        <x:v>135518032481.80629</x:v>
      </x:c>
      <x:c r="P662" s="78" t="n">
        <x:f>I662+L662*(1-'Inputs'!$B$17)</x:f>
        <x:v>0.12599349366724</x:v>
      </x:c>
      <x:c r="Q662" s="78" t="n">
        <x:f>IF(J662&gt;0,M662/J662,0)</x:f>
        <x:v>0</x:v>
      </x:c>
      <x:c r="R662" s="78" t="n">
        <x:f>IF(B662='Inputs'!$H$45,'Inputs'!$B$27*'Inputs'!$I$45,0)</x:f>
        <x:v>0</x:v>
      </x:c>
      <x:c r="S662" s="78" t="n">
        <x:f>Q662+G662+R662</x:f>
        <x:v>514568.59284106124</x:v>
      </x:c>
      <x:c r="T662" s="78" t="n">
        <x:f>P662*(S662*(1-'Inputs'!$B$15))/(O662+S662*(1-'Inputs'!$B$15))</x:f>
        <x:v>4.7361763854554717e-7</x:v>
      </x:c>
      <x:c r="U662" s="78" t="n">
        <x:f>O662+S662*(1-'Inputs'!$B$17)</x:f>
        <x:v>135518544979.70056</x:v>
      </x:c>
      <x:c r="V662" s="78" t="n">
        <x:f>P662-T662</x:f>
        <x:v>0.12599302004960145</x:v>
      </x:c>
      <x:c r="W662" s="79" t="n">
        <x:f>IF(U662&gt;0,V662/U662,0)</x:f>
        <x:v>9.29710543073452e-13</x:v>
      </x:c>
      <x:c r="X662" s="80" t="n">
        <x:f>W662*('Inputs'!$B$6-AC662)</x:f>
        <x:v>-0.004409954483892066</x:v>
      </x:c>
      <x:c r="Y662" s="80" t="n">
        <x:f>2*V662</x:f>
        <x:v>0.2519860400992029</x:v>
      </x:c>
      <x:c r="Z662" s="80" t="n">
        <x:f>K662*'Inputs'!$B$16+(G662+R662)*J662*'Inputs'!$B$16</x:f>
        <x:v>0.0007559638324241606</x:v>
      </x:c>
      <x:c r="AA662" s="80" t="n">
        <x:f>K662*(1+'Inputs'!$E$45)/2*'Inputs'!$B$17</x:f>
        <x:v>0.00024083263377037826</x:v>
      </x:c>
      <x:c r="AB662" s="78" t="n">
        <x:f>(IF(J662&gt;0,K662*(1-'Inputs'!$E$45)/2/J662,0)+G662+R662)*'Inputs'!$B$17</x:f>
        <x:v>2070.6985627406893</x:v>
      </x:c>
      <x:c r="AC662" s="78" t="n">
        <x:f>AC661+AB662</x:f>
        <x:v>5743362885.09063</x:v>
      </x:c>
      <x:c r="AD662" s="80" t="n">
        <x:f>Z662/(1+'Inputs'!$C$45)</x:f>
        <x:v>0.0005039758882827738</x:v>
      </x:c>
      <x:c r="AE662" s="80" t="n">
        <x:f>Z662-AD662</x:f>
        <x:v>0.0002519879441413869</x:v>
      </x:c>
      <x:c r="AF662" s="80" t="n">
        <x:f>D662*W662</x:f>
        <x:v>2.456695558954943e-7</x:v>
      </x:c>
      <x:c r="AG662" s="80" t="n">
        <x:f>C662*W662</x:f>
        <x:v>4.2992172281711847e-7</x:v>
      </x:c>
      <x:c r="AH662" s="80" t="n">
        <x:f>2*'Inputs'!$B$8*'Inputs'!$C$45</x:f>
        <x:v>2500</x:v>
      </x:c>
      <x:c r="AI662" s="81" t="n">
        <x:f>IF(AH662&gt;0,(AE662+AF662)/AH662*365,0)</x:f>
        <x:v>0.00003682610759980322</x:v>
      </x:c>
      <x:c r="AJ662" s="81" t="n">
        <x:f>IF('Inputs'!$B$45&gt;0,AG662/('Inputs'!$B$19*'Inputs'!$B$45)*365,0)</x:f>
        <x:v>2.0922857177099765e-8</x:v>
      </x:c>
      <x:c r="AK662" s="81" t="n">
        <x:f>W662/MAX($W$369:W662)-1</x:f>
        <x:v>-0.9999999987634076</x:v>
      </x:c>
      <x:c r="AL662" s="83" t="n">
        <x:f>'Inputs'!$B$45</x:f>
        <x:v>0.75</x:v>
      </x:c>
      <x:c r="AM662" s="83" t="n">
        <x:f>'Inputs'!$C$45</x:f>
        <x:v>0.5</x:v>
      </x:c>
      <x:c r="AN662" s="83" t="n">
        <x:f>'Inputs'!$D$45</x:f>
        <x:v>0.5</x:v>
      </x:c>
      <x:c r="AO662" s="81" t="n">
        <x:f>'Inputs'!$E$45</x:f>
        <x:v>-0.05</x:v>
      </x:c>
    </x:row>
    <x:row r="663">
      <x:c r="A663" s="59" t="str">
        <x:v>Weak demand</x:v>
      </x:c>
      <x:c r="B663" s="59" t="n">
        <x:v>295</x:v>
      </x:c>
      <x:c r="C663" s="78" t="n">
        <x:f>(('Inputs'!$B$29*(3*295*'Inputs'!$B$12-295^2)/(2*'Inputs'!$B$12^2))-('Inputs'!$B$29*(3*294*'Inputs'!$B$12-294^2)/(2*'Inputs'!$B$12^2)))*'Inputs'!$B$45</x:f>
        <x:v>462181.51857758313</x:v>
      </x:c>
      <x:c r="D663" s="78" t="n">
        <x:f>IF('Inputs'!$C$45&gt;0,('Inputs'!$B$30*(3*295*'Inputs'!$B$12-295^2)/(2*'Inputs'!$B$12^2))-('Inputs'!$B$30*(3*294*'Inputs'!$B$12-294^2)/(2*'Inputs'!$B$12^2)),0)</x:f>
        <x:v>264103.72490148246</x:v>
      </x:c>
      <x:c r="E663" s="78" t="n">
        <x:f>C663+D663</x:f>
        <x:v>726285.2434790656</x:v>
      </x:c>
      <x:c r="F663" s="78" t="n">
        <x:f>'Inputs'!$B$13*E663+(1-'Inputs'!$B$13)/'Inputs'!$B$14*SUM(E608:E663)</x:f>
        <x:v>734714.8268905965</x:v>
      </x:c>
      <x:c r="G663" s="78" t="n">
        <x:f>F663*'Inputs'!$F$45</x:f>
        <x:v>514300.37882341753</x:v>
      </x:c>
      <x:c r="H663" s="78" t="n">
        <x:f>U662</x:f>
        <x:v>135518544979.70056</x:v>
      </x:c>
      <x:c r="I663" s="78" t="n">
        <x:f>V662</x:f>
        <x:v>0.12599302004960145</x:v>
      </x:c>
      <x:c r="J663" s="79" t="n">
        <x:f>IF(H663&gt;0,I663/H663,0)</x:f>
        <x:v>9.29710543073452e-13</x:v>
      </x:c>
      <x:c r="K663" s="80" t="n">
        <x:f>(H663*J663+I663)*'Inputs'!$D$45*(1+'Inputs'!$G$45)^(B663/30)</x:f>
        <x:v>0.12599302004960145</x:v>
      </x:c>
      <x:c r="L663" s="80" t="n">
        <x:f>MAX(0,K663*'Inputs'!$E$45)</x:f>
        <x:v>0</x:v>
      </x:c>
      <x:c r="M663" s="80" t="n">
        <x:f>MAX(0,-K663*'Inputs'!$E$45)</x:f>
        <x:v>0.006299651002480072</x:v>
      </x:c>
      <x:c r="N663" s="78" t="n">
        <x:f>H663*(L663*(1-'Inputs'!$B$15))/(I663+L663*(1-'Inputs'!$B$15))</x:f>
        <x:v>0</x:v>
      </x:c>
      <x:c r="O663" s="78" t="n">
        <x:f>H663-N663</x:f>
        <x:v>135518544979.70056</x:v>
      </x:c>
      <x:c r="P663" s="78" t="n">
        <x:f>I663+L663*(1-'Inputs'!$B$17)</x:f>
        <x:v>0.12599302004960145</x:v>
      </x:c>
      <x:c r="Q663" s="78" t="n">
        <x:f>IF(J663&gt;0,M663/J663,0)</x:f>
        <x:v>0</x:v>
      </x:c>
      <x:c r="R663" s="78" t="n">
        <x:f>IF(B663='Inputs'!$H$45,'Inputs'!$B$27*'Inputs'!$I$45,0)</x:f>
        <x:v>0</x:v>
      </x:c>
      <x:c r="S663" s="78" t="n">
        <x:f>Q663+G663+R663</x:f>
        <x:v>514300.37882341753</x:v>
      </x:c>
      <x:c r="T663" s="78" t="n">
        <x:f>P663*(S663*(1-'Inputs'!$B$15))/(O663+S663*(1-'Inputs'!$B$15))</x:f>
        <x:v>4.7336720116363276e-7</x:v>
      </x:c>
      <x:c r="U663" s="78" t="n">
        <x:f>O663+S663*(1-'Inputs'!$B$17)</x:f>
        <x:v>135519057210.46016</x:v>
      </x:c>
      <x:c r="V663" s="78" t="n">
        <x:f>P663-T663</x:f>
        <x:v>0.12599254668240029</x:v>
      </x:c>
      <x:c r="W663" s="79" t="n">
        <x:f>IF(U663&gt;0,V663/U663,0)</x:f>
        <x:v>9.297035359885564e-13</x:v>
      </x:c>
      <x:c r="X663" s="80" t="n">
        <x:f>W663*('Inputs'!$B$6-AC663)</x:f>
        <x:v>-0.0044099231708779555</x:v>
      </x:c>
      <x:c r="Y663" s="80" t="n">
        <x:f>2*V663</x:f>
        <x:v>0.25198509336480057</x:v>
      </x:c>
      <x:c r="Z663" s="80" t="n">
        <x:f>K663*'Inputs'!$B$16+(G663+R663)*J663*'Inputs'!$B$16</x:f>
        <x:v>0.0007559609892005157</x:v>
      </x:c>
      <x:c r="AA663" s="80" t="n">
        <x:f>K663*(1+'Inputs'!$E$45)/2*'Inputs'!$B$17</x:f>
        <x:v>0.00024083172846503295</x:v>
      </x:c>
      <x:c r="AB663" s="78" t="n">
        <x:f>(IF(J663&gt;0,K663*(1-'Inputs'!$E$45)/2/J663,0)+G663+R663)*'Inputs'!$B$17</x:f>
        <x:v>2069.6192306777366</x:v>
      </x:c>
      <x:c r="AC663" s="78" t="n">
        <x:f>AC662+AB663</x:f>
        <x:v>5743364954.70986</x:v>
      </x:c>
      <x:c r="AD663" s="80" t="n">
        <x:f>Z663/(1+'Inputs'!$C$45)</x:f>
        <x:v>0.0005039739928003438</x:v>
      </x:c>
      <x:c r="AE663" s="80" t="n">
        <x:f>Z663-AD663</x:f>
        <x:v>0.00025198699640017195</x:v>
      </x:c>
      <x:c r="AF663" s="80" t="n">
        <x:f>D663*W663</x:f>
        <x:v>2.455381669086572e-7</x:v>
      </x:c>
      <x:c r="AG663" s="80" t="n">
        <x:f>C663*W663</x:f>
        <x:v>4.2969179209013973e-7</x:v>
      </x:c>
      <x:c r="AH663" s="80" t="n">
        <x:f>2*'Inputs'!$B$8*'Inputs'!$C$45</x:f>
        <x:v>2500</x:v>
      </x:c>
      <x:c r="AI663" s="81" t="n">
        <x:f>IF(AH663&gt;0,(AE663+AF663)/AH663*365,0)</x:f>
        <x:v>0.00003682595004679377</x:v>
      </x:c>
      <x:c r="AJ663" s="81" t="n">
        <x:f>IF('Inputs'!$B$45&gt;0,AG663/('Inputs'!$B$19*'Inputs'!$B$45)*365,0)</x:f>
        <x:v>2.0911667215053468e-8</x:v>
      </x:c>
      <x:c r="AK663" s="81" t="n">
        <x:f>W663/MAX($W$369:W663)-1</x:f>
        <x:v>-0.9999999987634169</x:v>
      </x:c>
      <x:c r="AL663" s="83" t="n">
        <x:f>'Inputs'!$B$45</x:f>
        <x:v>0.75</x:v>
      </x:c>
      <x:c r="AM663" s="83" t="n">
        <x:f>'Inputs'!$C$45</x:f>
        <x:v>0.5</x:v>
      </x:c>
      <x:c r="AN663" s="83" t="n">
        <x:f>'Inputs'!$D$45</x:f>
        <x:v>0.5</x:v>
      </x:c>
      <x:c r="AO663" s="81" t="n">
        <x:f>'Inputs'!$E$45</x:f>
        <x:v>-0.05</x:v>
      </x:c>
    </x:row>
    <x:row r="664">
      <x:c r="A664" s="59" t="str">
        <x:v>Weak demand</x:v>
      </x:c>
      <x:c r="B664" s="59" t="n">
        <x:v>296</x:v>
      </x:c>
      <x:c r="C664" s="78" t="n">
        <x:f>(('Inputs'!$B$29*(3*296*'Inputs'!$B$12-296^2)/(2*'Inputs'!$B$12^2))-('Inputs'!$B$29*(3*295*'Inputs'!$B$12-295^2)/(2*'Inputs'!$B$12^2)))*'Inputs'!$B$45</x:f>
        <x:v>461937.68765247613</x:v>
      </x:c>
      <x:c r="D664" s="78" t="n">
        <x:f>IF('Inputs'!$C$45&gt;0,('Inputs'!$B$30*(3*296*'Inputs'!$B$12-296^2)/(2*'Inputs'!$B$12^2))-('Inputs'!$B$30*(3*295*'Inputs'!$B$12-295^2)/(2*'Inputs'!$B$12^2)),0)</x:f>
        <x:v>263964.39294426143</x:v>
      </x:c>
      <x:c r="E664" s="78" t="n">
        <x:f>C664+D664</x:f>
        <x:v>725902.0805967376</x:v>
      </x:c>
      <x:c r="F664" s="78" t="n">
        <x:f>'Inputs'!$B$13*E664+(1-'Inputs'!$B$13)/'Inputs'!$B$14*SUM(E609:E664)</x:f>
        <x:v>734331.6640082576</x:v>
      </x:c>
      <x:c r="G664" s="78" t="n">
        <x:f>F664*'Inputs'!$F$45</x:f>
        <x:v>514032.1648057803</x:v>
      </x:c>
      <x:c r="H664" s="78" t="n">
        <x:f>U663</x:f>
        <x:v>135519057210.46016</x:v>
      </x:c>
      <x:c r="I664" s="78" t="n">
        <x:f>V663</x:f>
        <x:v>0.12599254668240029</x:v>
      </x:c>
      <x:c r="J664" s="79" t="n">
        <x:f>IF(H664&gt;0,I664/H664,0)</x:f>
        <x:v>9.297035359885564e-13</x:v>
      </x:c>
      <x:c r="K664" s="80" t="n">
        <x:f>(H664*J664+I664)*'Inputs'!$D$45*(1+'Inputs'!$G$45)^(B664/30)</x:f>
        <x:v>0.12599254668240029</x:v>
      </x:c>
      <x:c r="L664" s="80" t="n">
        <x:f>MAX(0,K664*'Inputs'!$E$45)</x:f>
        <x:v>0</x:v>
      </x:c>
      <x:c r="M664" s="80" t="n">
        <x:f>MAX(0,-K664*'Inputs'!$E$45)</x:f>
        <x:v>0.006299627334120015</x:v>
      </x:c>
      <x:c r="N664" s="78" t="n">
        <x:f>H664*(L664*(1-'Inputs'!$B$15))/(I664+L664*(1-'Inputs'!$B$15))</x:f>
        <x:v>0</x:v>
      </x:c>
      <x:c r="O664" s="78" t="n">
        <x:f>H664-N664</x:f>
        <x:v>135519057210.46016</x:v>
      </x:c>
      <x:c r="P664" s="78" t="n">
        <x:f>I664+L664*(1-'Inputs'!$B$17)</x:f>
        <x:v>0.12599254668240029</x:v>
      </x:c>
      <x:c r="Q664" s="78" t="n">
        <x:f>IF(J664&gt;0,M664/J664,0)</x:f>
        <x:v>0</x:v>
      </x:c>
      <x:c r="R664" s="78" t="n">
        <x:f>IF(B664='Inputs'!$H$45,'Inputs'!$B$27*'Inputs'!$I$45,0)</x:f>
        <x:v>0</x:v>
      </x:c>
      <x:c r="S664" s="78" t="n">
        <x:f>Q664+G664+R664</x:f>
        <x:v>514032.1648057803</x:v>
      </x:c>
      <x:c r="T664" s="78" t="n">
        <x:f>P664*(S664*(1-'Inputs'!$B$15))/(O664+S664*(1-'Inputs'!$B$15))</x:f>
        <x:v>4.731167694039152e-7</x:v>
      </x:c>
      <x:c r="U664" s="78" t="n">
        <x:f>O664+S664*(1-'Inputs'!$B$17)</x:f>
        <x:v>135519569174.08507</x:v>
      </x:c>
      <x:c r="V664" s="78" t="n">
        <x:f>P664-T664</x:f>
        <x:v>0.12599207356563089</x:v>
      </x:c>
      <x:c r="W664" s="79" t="n">
        <x:f>IF(U664&gt;0,V664/U664,0)</x:f>
        <x:v>9.296965326371766e-13</x:v>
      </x:c>
      <x:c r="X664" s="80" t="n">
        <x:f>W664*('Inputs'!$B$6-AC664)</x:f>
        <x:v>-0.004409891874540827</x:v>
      </x:c>
      <x:c r="Y664" s="80" t="n">
        <x:f>2*V664</x:f>
        <x:v>0.25198414713126177</x:v>
      </x:c>
      <x:c r="Z664" s="80" t="n">
        <x:f>K664*'Inputs'!$B$16+(G664+R664)*J664*'Inputs'!$B$16</x:f>
        <x:v>0.0007559581474795292</x:v>
      </x:c>
      <x:c r="AA664" s="80" t="n">
        <x:f>K664*(1+'Inputs'!$E$45)/2*'Inputs'!$B$17</x:f>
        <x:v>0.0002408308236383909</x:v>
      </x:c>
      <x:c r="AB664" s="78" t="n">
        <x:f>(IF(J664&gt;0,K664*(1-'Inputs'!$E$45)/2/J664,0)+G664+R664)*'Inputs'!$B$17</x:f>
        <x:v>2068.53989861481</x:v>
      </x:c>
      <x:c r="AC664" s="78" t="n">
        <x:f>AC663+AB664</x:f>
        <x:v>5743367023.249759</x:v>
      </x:c>
      <x:c r="AD664" s="80" t="n">
        <x:f>Z664/(1+'Inputs'!$C$45)</x:f>
        <x:v>0.0005039720983196862</x:v>
      </x:c>
      <x:c r="AE664" s="80" t="n">
        <x:f>Z664-AD664</x:f>
        <x:v>0.000251986049159843</x:v>
      </x:c>
      <x:c r="AF664" s="80" t="n">
        <x:f>D664*W664</x:f>
        <x:v>2.4540678085995707e-7</x:v>
      </x:c>
      <x:c r="AG664" s="80" t="n">
        <x:f>C664*W664</x:f>
        <x:v>4.2946186650494215e-7</x:v>
      </x:c>
      <x:c r="AH664" s="80" t="n">
        <x:f>2*'Inputs'!$B$8*'Inputs'!$C$45</x:f>
        <x:v>2500</x:v>
      </x:c>
      <x:c r="AI664" s="81" t="n">
        <x:f>IF(AH664&gt;0,(AE664+AF664)/AH664*365,0)</x:f>
        <x:v>0.000036825792567342635</x:v>
      </x:c>
      <x:c r="AJ664" s="81" t="n">
        <x:f>IF('Inputs'!$B$45&gt;0,AG664/('Inputs'!$B$19*'Inputs'!$B$45)*365,0)</x:f>
        <x:v>2.0900477503240517e-8</x:v>
      </x:c>
      <x:c r="AK664" s="81" t="n">
        <x:f>W664/MAX($W$369:W664)-1</x:f>
        <x:v>-0.9999999987634263</x:v>
      </x:c>
      <x:c r="AL664" s="83" t="n">
        <x:f>'Inputs'!$B$45</x:f>
        <x:v>0.75</x:v>
      </x:c>
      <x:c r="AM664" s="83" t="n">
        <x:f>'Inputs'!$C$45</x:f>
        <x:v>0.5</x:v>
      </x:c>
      <x:c r="AN664" s="83" t="n">
        <x:f>'Inputs'!$D$45</x:f>
        <x:v>0.5</x:v>
      </x:c>
      <x:c r="AO664" s="81" t="n">
        <x:f>'Inputs'!$E$45</x:f>
        <x:v>-0.05</x:v>
      </x:c>
    </x:row>
    <x:row r="665">
      <x:c r="A665" s="59" t="str">
        <x:v>Weak demand</x:v>
      </x:c>
      <x:c r="B665" s="59" t="n">
        <x:v>297</x:v>
      </x:c>
      <x:c r="C665" s="78" t="n">
        <x:f>(('Inputs'!$B$29*(3*297*'Inputs'!$B$12-297^2)/(2*'Inputs'!$B$12^2))-('Inputs'!$B$29*(3*296*'Inputs'!$B$12-296^2)/(2*'Inputs'!$B$12^2)))*'Inputs'!$B$45</x:f>
        <x:v>461693.8567273244</x:v>
      </x:c>
      <x:c r="D665" s="78" t="n">
        <x:f>IF('Inputs'!$C$45&gt;0,('Inputs'!$B$30*(3*297*'Inputs'!$B$12-297^2)/(2*'Inputs'!$B$12^2))-('Inputs'!$B$30*(3*296*'Inputs'!$B$12-296^2)/(2*'Inputs'!$B$12^2)),0)</x:f>
        <x:v>263825.0609870553</x:v>
      </x:c>
      <x:c r="E665" s="78" t="n">
        <x:f>C665+D665</x:f>
        <x:v>725518.9177143797</x:v>
      </x:c>
      <x:c r="F665" s="78" t="n">
        <x:f>'Inputs'!$B$13*E665+(1-'Inputs'!$B$13)/'Inputs'!$B$14*SUM(E610:E665)</x:f>
        <x:v>733948.5011259122</x:v>
      </x:c>
      <x:c r="G665" s="78" t="n">
        <x:f>F665*'Inputs'!$F$45</x:f>
        <x:v>513763.9507881385</x:v>
      </x:c>
      <x:c r="H665" s="78" t="n">
        <x:f>U664</x:f>
        <x:v>135519569174.08507</x:v>
      </x:c>
      <x:c r="I665" s="78" t="n">
        <x:f>V664</x:f>
        <x:v>0.12599207356563089</x:v>
      </x:c>
      <x:c r="J665" s="79" t="n">
        <x:f>IF(H665&gt;0,I665/H665,0)</x:f>
        <x:v>9.296965326371766e-13</x:v>
      </x:c>
      <x:c r="K665" s="80" t="n">
        <x:f>(H665*J665+I665)*'Inputs'!$D$45*(1+'Inputs'!$G$45)^(B665/30)</x:f>
        <x:v>0.12599207356563089</x:v>
      </x:c>
      <x:c r="L665" s="80" t="n">
        <x:f>MAX(0,K665*'Inputs'!$E$45)</x:f>
        <x:v>0</x:v>
      </x:c>
      <x:c r="M665" s="80" t="n">
        <x:f>MAX(0,-K665*'Inputs'!$E$45)</x:f>
        <x:v>0.006299603678281545</x:v>
      </x:c>
      <x:c r="N665" s="78" t="n">
        <x:f>H665*(L665*(1-'Inputs'!$B$15))/(I665+L665*(1-'Inputs'!$B$15))</x:f>
        <x:v>0</x:v>
      </x:c>
      <x:c r="O665" s="78" t="n">
        <x:f>H665-N665</x:f>
        <x:v>135519569174.08507</x:v>
      </x:c>
      <x:c r="P665" s="78" t="n">
        <x:f>I665+L665*(1-'Inputs'!$B$17)</x:f>
        <x:v>0.12599207356563089</x:v>
      </x:c>
      <x:c r="Q665" s="78" t="n">
        <x:f>IF(J665&gt;0,M665/J665,0)</x:f>
        <x:v>0</x:v>
      </x:c>
      <x:c r="R665" s="78" t="n">
        <x:f>IF(B665='Inputs'!$H$45,'Inputs'!$B$27*'Inputs'!$I$45,0)</x:f>
        <x:v>0</x:v>
      </x:c>
      <x:c r="S665" s="78" t="n">
        <x:f>Q665+G665+R665</x:f>
        <x:v>513763.9507881385</x:v>
      </x:c>
      <x:c r="T665" s="78" t="n">
        <x:f>P665*(S665*(1-'Inputs'!$B$15))/(O665+S665*(1-'Inputs'!$B$15))</x:f>
        <x:v>4.728663432633464e-7</x:v>
      </x:c>
      <x:c r="U665" s="78" t="n">
        <x:f>O665+S665*(1-'Inputs'!$B$17)</x:f>
        <x:v>135520080870.57529</x:v>
      </x:c>
      <x:c r="V665" s="78" t="n">
        <x:f>P665-T665</x:f>
        <x:v>0.1259916006992876</x:v>
      </x:c>
      <x:c r="W665" s="79" t="n">
        <x:f>IF(U665&gt;0,V665/U665,0)</x:f>
        <x:v>9.29689533019187e-13</x:v>
      </x:c>
      <x:c r="X665" s="80" t="n">
        <x:f>W665*('Inputs'!$B$6-AC665)</x:f>
        <x:v>-0.0044098605948801285</x:v>
      </x:c>
      <x:c r="Y665" s="80" t="n">
        <x:f>2*V665</x:f>
        <x:v>0.2519832013985752</x:v>
      </x:c>
      <x:c r="Z665" s="80" t="n">
        <x:f>K665*'Inputs'!$B$16+(G665+R665)*J665*'Inputs'!$B$16</x:f>
        <x:v>0.0007559553072611671</x:v>
      </x:c>
      <x:c r="AA665" s="80" t="n">
        <x:f>K665*(1+'Inputs'!$E$45)/2*'Inputs'!$B$17</x:f>
        <x:v>0.00024082991929044132</x:v>
      </x:c>
      <x:c r="AB665" s="78" t="n">
        <x:f>(IF(J665&gt;0,K665*(1-'Inputs'!$E$45)/2/J665,0)+G665+R665)*'Inputs'!$B$17</x:f>
        <x:v>2067.460566551865</x:v>
      </x:c>
      <x:c r="AC665" s="78" t="n">
        <x:f>AC664+AB665</x:f>
        <x:v>5743369090.710325</x:v>
      </x:c>
      <x:c r="AD665" s="80" t="n">
        <x:f>Z665/(1+'Inputs'!$C$45)</x:f>
        <x:v>0.0005039702048407781</x:v>
      </x:c>
      <x:c r="AE665" s="80" t="n">
        <x:f>Z665-AD665</x:f>
        <x:v>0.00025198510242038904</x:v>
      </x:c>
      <x:c r="AF665" s="80" t="n">
        <x:f>D665*W665</x:f>
        <x:v>2.45275397747814e-7</x:v>
      </x:c>
      <x:c r="AG665" s="80" t="n">
        <x:f>C665*W665</x:f>
        <x:v>4.292319460586537e-7</x:v>
      </x:c>
      <x:c r="AH665" s="80" t="n">
        <x:f>2*'Inputs'!$B$8*'Inputs'!$C$45</x:f>
        <x:v>2500</x:v>
      </x:c>
      <x:c r="AI665" s="81" t="n">
        <x:f>IF(AH665&gt;0,(AE665+AF665)/AH665*365,0)</x:f>
        <x:v>0.00003682563516144798</x:v>
      </x:c>
      <x:c r="AJ665" s="81" t="n">
        <x:f>IF('Inputs'!$B$45&gt;0,AG665/('Inputs'!$B$19*'Inputs'!$B$45)*365,0)</x:f>
        <x:v>2.0889288041521147e-8</x:v>
      </x:c>
      <x:c r="AK665" s="81" t="n">
        <x:f>W665/MAX($W$369:W665)-1</x:f>
        <x:v>-0.9999999987634356</x:v>
      </x:c>
      <x:c r="AL665" s="83" t="n">
        <x:f>'Inputs'!$B$45</x:f>
        <x:v>0.75</x:v>
      </x:c>
      <x:c r="AM665" s="83" t="n">
        <x:f>'Inputs'!$C$45</x:f>
        <x:v>0.5</x:v>
      </x:c>
      <x:c r="AN665" s="83" t="n">
        <x:f>'Inputs'!$D$45</x:f>
        <x:v>0.5</x:v>
      </x:c>
      <x:c r="AO665" s="81" t="n">
        <x:f>'Inputs'!$E$45</x:f>
        <x:v>-0.05</x:v>
      </x:c>
    </x:row>
    <x:row r="666">
      <x:c r="A666" s="59" t="str">
        <x:v>Weak demand</x:v>
      </x:c>
      <x:c r="B666" s="59" t="n">
        <x:v>298</x:v>
      </x:c>
      <x:c r="C666" s="78" t="n">
        <x:f>(('Inputs'!$B$29*(3*298*'Inputs'!$B$12-298^2)/(2*'Inputs'!$B$12^2))-('Inputs'!$B$29*(3*297*'Inputs'!$B$12-297^2)/(2*'Inputs'!$B$12^2)))*'Inputs'!$B$45</x:f>
        <x:v>461450.0258022174</x:v>
      </x:c>
      <x:c r="D666" s="78" t="n">
        <x:f>IF('Inputs'!$C$45&gt;0,('Inputs'!$B$30*(3*298*'Inputs'!$B$12-298^2)/(2*'Inputs'!$B$12^2))-('Inputs'!$B$30*(3*297*'Inputs'!$B$12-297^2)/(2*'Inputs'!$B$12^2)),0)</x:f>
        <x:v>263685.72902983427</x:v>
      </x:c>
      <x:c r="E666" s="78" t="n">
        <x:f>C666+D666</x:f>
        <x:v>725135.7548320517</x:v>
      </x:c>
      <x:c r="F666" s="78" t="n">
        <x:f>'Inputs'!$B$13*E666+(1-'Inputs'!$B$13)/'Inputs'!$B$14*SUM(E611:E666)</x:f>
        <x:v>733565.338243573</x:v>
      </x:c>
      <x:c r="G666" s="78" t="n">
        <x:f>F666*'Inputs'!$F$45</x:f>
        <x:v>513495.73677050107</x:v>
      </x:c>
      <x:c r="H666" s="78" t="n">
        <x:f>U665</x:f>
        <x:v>135520080870.57529</x:v>
      </x:c>
      <x:c r="I666" s="78" t="n">
        <x:f>V665</x:f>
        <x:v>0.1259916006992876</x:v>
      </x:c>
      <x:c r="J666" s="79" t="n">
        <x:f>IF(H666&gt;0,I666/H666,0)</x:f>
        <x:v>9.29689533019187e-13</x:v>
      </x:c>
      <x:c r="K666" s="80" t="n">
        <x:f>(H666*J666+I666)*'Inputs'!$D$45*(1+'Inputs'!$G$45)^(B666/30)</x:f>
        <x:v>0.1259916006992876</x:v>
      </x:c>
      <x:c r="L666" s="80" t="n">
        <x:f>MAX(0,K666*'Inputs'!$E$45)</x:f>
        <x:v>0</x:v>
      </x:c>
      <x:c r="M666" s="80" t="n">
        <x:f>MAX(0,-K666*'Inputs'!$E$45)</x:f>
        <x:v>0.006299580034964381</x:v>
      </x:c>
      <x:c r="N666" s="78" t="n">
        <x:f>H666*(L666*(1-'Inputs'!$B$15))/(I666+L666*(1-'Inputs'!$B$15))</x:f>
        <x:v>0</x:v>
      </x:c>
      <x:c r="O666" s="78" t="n">
        <x:f>H666-N666</x:f>
        <x:v>135520080870.57529</x:v>
      </x:c>
      <x:c r="P666" s="78" t="n">
        <x:f>I666+L666*(1-'Inputs'!$B$17)</x:f>
        <x:v>0.1259916006992876</x:v>
      </x:c>
      <x:c r="Q666" s="78" t="n">
        <x:f>IF(J666&gt;0,M666/J666,0)</x:f>
        <x:v>0</x:v>
      </x:c>
      <x:c r="R666" s="78" t="n">
        <x:f>IF(B666='Inputs'!$H$45,'Inputs'!$B$27*'Inputs'!$I$45,0)</x:f>
        <x:v>0</x:v>
      </x:c>
      <x:c r="S666" s="78" t="n">
        <x:f>Q666+G666+R666</x:f>
        <x:v>513495.73677050107</x:v>
      </x:c>
      <x:c r="T666" s="78" t="n">
        <x:f>P666*(S666*(1-'Inputs'!$B$15))/(O666+S666*(1-'Inputs'!$B$15))</x:f>
        <x:v>4.7261592273889695e-7</x:v>
      </x:c>
      <x:c r="U666" s="78" t="n">
        <x:f>O666+S666*(1-'Inputs'!$B$17)</x:f>
        <x:v>135520592299.93082</x:v>
      </x:c>
      <x:c r="V666" s="78" t="n">
        <x:f>P666-T666</x:f>
        <x:v>0.12599112808336488</x:v>
      </x:c>
      <x:c r="W666" s="79" t="n">
        <x:f>IF(U666&gt;0,V666/U666,0)</x:f>
        <x:v>9.29682537134463e-13</x:v>
      </x:c>
      <x:c r="X666" s="80" t="n">
        <x:f>W666*('Inputs'!$B$6-AC666)</x:f>
        <x:v>-0.004409829331895315</x:v>
      </x:c>
      <x:c r="Y666" s="80" t="n">
        <x:f>2*V666</x:f>
        <x:v>0.25198225616672976</x:v>
      </x:c>
      <x:c r="Z666" s="80" t="n">
        <x:f>K666*'Inputs'!$B$16+(G666+R666)*J666*'Inputs'!$B$16</x:f>
        <x:v>0.000755952468545396</x:v>
      </x:c>
      <x:c r="AA666" s="80" t="n">
        <x:f>K666*(1+'Inputs'!$E$45)/2*'Inputs'!$B$17</x:f>
        <x:v>0.0002408290154211735</x:v>
      </x:c>
      <x:c r="AB666" s="78" t="n">
        <x:f>(IF(J666&gt;0,K666*(1-'Inputs'!$E$45)/2/J666,0)+G666+R666)*'Inputs'!$B$17</x:f>
        <x:v>2066.381234488938</x:v>
      </x:c>
      <x:c r="AC666" s="78" t="n">
        <x:f>AC665+AB666</x:f>
        <x:v>5743371157.091559</x:v>
      </x:c>
      <x:c r="AD666" s="80" t="n">
        <x:f>Z666/(1+'Inputs'!$C$45)</x:f>
        <x:v>0.0005039683123635974</x:v>
      </x:c>
      <x:c r="AE666" s="80" t="n">
        <x:f>Z666-AD666</x:f>
        <x:v>0.00025198415618179863</x:v>
      </x:c>
      <x:c r="AF666" s="80" t="n">
        <x:f>D666*W666</x:f>
        <x:v>2.4514401757060687e-7</x:v>
      </x:c>
      <x:c r="AG666" s="80" t="n">
        <x:f>C666*W666</x:f>
        <x:v>4.2900203074856896e-7</x:v>
      </x:c>
      <x:c r="AH666" s="80" t="n">
        <x:f>2*'Inputs'!$B$8*'Inputs'!$C$45</x:f>
        <x:v>2500</x:v>
      </x:c>
      <x:c r="AI666" s="81" t="n">
        <x:f>IF(AH666&gt;0,(AE666+AF666)/AH666*365,0)</x:f>
        <x:v>0.000036825477829107906</x:v>
      </x:c>
      <x:c r="AJ666" s="81" t="n">
        <x:f>IF('Inputs'!$B$45&gt;0,AG666/('Inputs'!$B$19*'Inputs'!$B$45)*365,0)</x:f>
        <x:v>2.087809882976369e-8</x:v>
      </x:c>
      <x:c r="AK666" s="81" t="n">
        <x:f>W666/MAX($W$369:W666)-1</x:f>
        <x:v>-0.9999999987634448</x:v>
      </x:c>
      <x:c r="AL666" s="83" t="n">
        <x:f>'Inputs'!$B$45</x:f>
        <x:v>0.75</x:v>
      </x:c>
      <x:c r="AM666" s="83" t="n">
        <x:f>'Inputs'!$C$45</x:f>
        <x:v>0.5</x:v>
      </x:c>
      <x:c r="AN666" s="83" t="n">
        <x:f>'Inputs'!$D$45</x:f>
        <x:v>0.5</x:v>
      </x:c>
      <x:c r="AO666" s="81" t="n">
        <x:f>'Inputs'!$E$45</x:f>
        <x:v>-0.05</x:v>
      </x:c>
    </x:row>
    <x:row r="667">
      <x:c r="A667" s="59" t="str">
        <x:v>Weak demand</x:v>
      </x:c>
      <x:c r="B667" s="59" t="n">
        <x:v>299</x:v>
      </x:c>
      <x:c r="C667" s="78" t="n">
        <x:f>(('Inputs'!$B$29*(3*299*'Inputs'!$B$12-299^2)/(2*'Inputs'!$B$12^2))-('Inputs'!$B$29*(3*298*'Inputs'!$B$12-298^2)/(2*'Inputs'!$B$12^2)))*'Inputs'!$B$45</x:f>
        <x:v>461206.19487708807</x:v>
      </x:c>
      <x:c r="D667" s="78" t="n">
        <x:f>IF('Inputs'!$C$45&gt;0,('Inputs'!$B$30*(3*299*'Inputs'!$B$12-299^2)/(2*'Inputs'!$B$12^2))-('Inputs'!$B$30*(3*298*'Inputs'!$B$12-298^2)/(2*'Inputs'!$B$12^2)),0)</x:f>
        <x:v>263546.39707262814</x:v>
      </x:c>
      <x:c r="E667" s="78" t="n">
        <x:f>C667+D667</x:f>
        <x:v>724752.5919497162</x:v>
      </x:c>
      <x:c r="F667" s="78" t="n">
        <x:f>'Inputs'!$B$13*E667+(1-'Inputs'!$B$13)/'Inputs'!$B$14*SUM(E612:E667)</x:f>
        <x:v>733182.1753612325</x:v>
      </x:c>
      <x:c r="G667" s="78" t="n">
        <x:f>F667*'Inputs'!$F$45</x:f>
        <x:v>513227.5227528627</x:v>
      </x:c>
      <x:c r="H667" s="78" t="n">
        <x:f>U666</x:f>
        <x:v>135520592299.93082</x:v>
      </x:c>
      <x:c r="I667" s="78" t="n">
        <x:f>V666</x:f>
        <x:v>0.12599112808336488</x:v>
      </x:c>
      <x:c r="J667" s="79" t="n">
        <x:f>IF(H667&gt;0,I667/H667,0)</x:f>
        <x:v>9.29682537134463e-13</x:v>
      </x:c>
      <x:c r="K667" s="80" t="n">
        <x:f>(H667*J667+I667)*'Inputs'!$D$45*(1+'Inputs'!$G$45)^(B667/30)</x:f>
        <x:v>0.12599112808336488</x:v>
      </x:c>
      <x:c r="L667" s="80" t="n">
        <x:f>MAX(0,K667*'Inputs'!$E$45)</x:f>
        <x:v>0</x:v>
      </x:c>
      <x:c r="M667" s="80" t="n">
        <x:f>MAX(0,-K667*'Inputs'!$E$45)</x:f>
        <x:v>0.0062995564041682444</x:v>
      </x:c>
      <x:c r="N667" s="78" t="n">
        <x:f>H667*(L667*(1-'Inputs'!$B$15))/(I667+L667*(1-'Inputs'!$B$15))</x:f>
        <x:v>0</x:v>
      </x:c>
      <x:c r="O667" s="78" t="n">
        <x:f>H667-N667</x:f>
        <x:v>135520592299.93082</x:v>
      </x:c>
      <x:c r="P667" s="78" t="n">
        <x:f>I667+L667*(1-'Inputs'!$B$17)</x:f>
        <x:v>0.12599112808336488</x:v>
      </x:c>
      <x:c r="Q667" s="78" t="n">
        <x:f>IF(J667&gt;0,M667/J667,0)</x:f>
        <x:v>0</x:v>
      </x:c>
      <x:c r="R667" s="78" t="n">
        <x:f>IF(B667='Inputs'!$H$45,'Inputs'!$B$27*'Inputs'!$I$45,0)</x:f>
        <x:v>0</x:v>
      </x:c>
      <x:c r="S667" s="78" t="n">
        <x:f>Q667+G667+R667</x:f>
        <x:v>513227.5227528627</x:v>
      </x:c>
      <x:c r="T667" s="78" t="n">
        <x:f>P667*(S667*(1-'Inputs'!$B$15))/(O667+S667*(1-'Inputs'!$B$15))</x:f>
        <x:v>4.7236550782752445e-7</x:v>
      </x:c>
      <x:c r="U667" s="78" t="n">
        <x:f>O667+S667*(1-'Inputs'!$B$17)</x:f>
        <x:v>135521103462.15167</x:v>
      </x:c>
      <x:c r="V667" s="78" t="n">
        <x:f>P667-T667</x:f>
        <x:v>0.12599065571785706</x:v>
      </x:c>
      <x:c r="W667" s="79" t="n">
        <x:f>IF(U667&gt;0,V667/U667,0)</x:f>
        <x:v>9.296755449828796e-13</x:v>
      </x:c>
      <x:c r="X667" s="80" t="n">
        <x:f>W667*('Inputs'!$B$6-AC667)</x:f>
        <x:v>-0.00440979808558584</x:v>
      </x:c>
      <x:c r="Y667" s="80" t="n">
        <x:f>2*V667</x:f>
        <x:v>0.2519813114357141</x:v>
      </x:c>
      <x:c r="Z667" s="80" t="n">
        <x:f>K667*'Inputs'!$B$16+(G667+R667)*J667*'Inputs'!$B$16</x:f>
        <x:v>0.0007559496313321822</x:v>
      </x:c>
      <x:c r="AA667" s="80" t="n">
        <x:f>K667*(1+'Inputs'!$E$45)/2*'Inputs'!$B$17</x:f>
        <x:v>0.00024082811203057674</x:v>
      </x:c>
      <x:c r="AB667" s="78" t="n">
        <x:f>(IF(J667&gt;0,K667*(1-'Inputs'!$E$45)/2/J667,0)+G667+R667)*'Inputs'!$B$17</x:f>
        <x:v>2065.301902426007</x:v>
      </x:c>
      <x:c r="AC667" s="78" t="n">
        <x:f>AC666+AB667</x:f>
        <x:v>5743373222.393462</x:v>
      </x:c>
      <x:c r="AD667" s="80" t="n">
        <x:f>Z667/(1+'Inputs'!$C$45)</x:f>
        <x:v>0.0005039664208881215</x:v>
      </x:c>
      <x:c r="AE667" s="80" t="n">
        <x:f>Z667-AD667</x:f>
        <x:v>0.0002519832104440607</x:v>
      </x:c>
      <x:c r="AF667" s="80" t="n">
        <x:f>D667*W667</x:f>
        <x:v>2.4501264032676995e-7</x:v>
      </x:c>
      <x:c r="AG667" s="80" t="n">
        <x:f>C667*W667</x:f>
        <x:v>4.2877212057183703e-7</x:v>
      </x:c>
      <x:c r="AH667" s="80" t="n">
        <x:f>2*'Inputs'!$B$8*'Inputs'!$C$45</x:f>
        <x:v>2500</x:v>
      </x:c>
      <x:c r="AI667" s="81" t="n">
        <x:f>IF(AH667&gt;0,(AE667+AF667)/AH667*365,0)</x:f>
        <x:v>0.000036825320570320574</x:v>
      </x:c>
      <x:c r="AJ667" s="81" t="n">
        <x:f>IF('Inputs'!$B$45&gt;0,AG667/('Inputs'!$B$19*'Inputs'!$B$45)*365,0)</x:f>
        <x:v>2.0866909867829404e-8</x:v>
      </x:c>
      <x:c r="AK667" s="81" t="n">
        <x:f>W667/MAX($W$369:W667)-1</x:f>
        <x:v>-0.9999999987634541</x:v>
      </x:c>
      <x:c r="AL667" s="83" t="n">
        <x:f>'Inputs'!$B$45</x:f>
        <x:v>0.75</x:v>
      </x:c>
      <x:c r="AM667" s="83" t="n">
        <x:f>'Inputs'!$C$45</x:f>
        <x:v>0.5</x:v>
      </x:c>
      <x:c r="AN667" s="83" t="n">
        <x:f>'Inputs'!$D$45</x:f>
        <x:v>0.5</x:v>
      </x:c>
      <x:c r="AO667" s="81" t="n">
        <x:f>'Inputs'!$E$45</x:f>
        <x:v>-0.05</x:v>
      </x:c>
    </x:row>
    <x:row r="668">
      <x:c r="A668" s="59" t="str">
        <x:v>Weak demand</x:v>
      </x:c>
      <x:c r="B668" s="59" t="n">
        <x:v>300</x:v>
      </x:c>
      <x:c r="C668" s="78" t="n">
        <x:f>(('Inputs'!$B$29*(3*300*'Inputs'!$B$12-300^2)/(2*'Inputs'!$B$12^2))-('Inputs'!$B$29*(3*299*'Inputs'!$B$12-299^2)/(2*'Inputs'!$B$12^2)))*'Inputs'!$B$45</x:f>
        <x:v>460962.3639519587</x:v>
      </x:c>
      <x:c r="D668" s="78" t="n">
        <x:f>IF('Inputs'!$C$45&gt;0,('Inputs'!$B$30*(3*300*'Inputs'!$B$12-300^2)/(2*'Inputs'!$B$12^2))-('Inputs'!$B$30*(3*299*'Inputs'!$B$12-299^2)/(2*'Inputs'!$B$12^2)),0)</x:f>
        <x:v>263407.0651154071</x:v>
      </x:c>
      <x:c r="E668" s="78" t="n">
        <x:f>C668+D668</x:f>
        <x:v>724369.4290673658</x:v>
      </x:c>
      <x:c r="F668" s="78" t="n">
        <x:f>'Inputs'!$B$13*E668+(1-'Inputs'!$B$13)/'Inputs'!$B$14*SUM(E613:E668)</x:f>
        <x:v>732799.0124788887</x:v>
      </x:c>
      <x:c r="G668" s="78" t="n">
        <x:f>F668*'Inputs'!$F$45</x:f>
        <x:v>512959.3087352221</x:v>
      </x:c>
      <x:c r="H668" s="78" t="n">
        <x:f>U667</x:f>
        <x:v>135521103462.15167</x:v>
      </x:c>
      <x:c r="I668" s="78" t="n">
        <x:f>V667</x:f>
        <x:v>0.12599065571785706</x:v>
      </x:c>
      <x:c r="J668" s="79" t="n">
        <x:f>IF(H668&gt;0,I668/H668,0)</x:f>
        <x:v>9.296755449828796e-13</x:v>
      </x:c>
      <x:c r="K668" s="80" t="n">
        <x:f>(H668*J668+I668)*'Inputs'!$D$45*(1+'Inputs'!$G$45)^(B668/30)</x:f>
        <x:v>0.12599065571785706</x:v>
      </x:c>
      <x:c r="L668" s="80" t="n">
        <x:f>MAX(0,K668*'Inputs'!$E$45)</x:f>
        <x:v>0</x:v>
      </x:c>
      <x:c r="M668" s="80" t="n">
        <x:f>MAX(0,-K668*'Inputs'!$E$45)</x:f>
        <x:v>0.0062995327858928534</x:v>
      </x:c>
      <x:c r="N668" s="78" t="n">
        <x:f>H668*(L668*(1-'Inputs'!$B$15))/(I668+L668*(1-'Inputs'!$B$15))</x:f>
        <x:v>0</x:v>
      </x:c>
      <x:c r="O668" s="78" t="n">
        <x:f>H668-N668</x:f>
        <x:v>135521103462.15167</x:v>
      </x:c>
      <x:c r="P668" s="78" t="n">
        <x:f>I668+L668*(1-'Inputs'!$B$17)</x:f>
        <x:v>0.12599065571785706</x:v>
      </x:c>
      <x:c r="Q668" s="78" t="n">
        <x:f>IF(J668&gt;0,M668/J668,0)</x:f>
        <x:v>0</x:v>
      </x:c>
      <x:c r="R668" s="78" t="n">
        <x:f>IF(B668='Inputs'!$H$45,'Inputs'!$B$27*'Inputs'!$I$45,0)</x:f>
        <x:v>0</x:v>
      </x:c>
      <x:c r="S668" s="78" t="n">
        <x:f>Q668+G668+R668</x:f>
        <x:v>512959.3087352221</x:v>
      </x:c>
      <x:c r="T668" s="78" t="n">
        <x:f>P668*(S668*(1-'Inputs'!$B$15))/(O668+S668*(1-'Inputs'!$B$15))</x:f>
        <x:v>4.721150985261904e-7</x:v>
      </x:c>
      <x:c r="U668" s="78" t="n">
        <x:f>O668+S668*(1-'Inputs'!$B$17)</x:f>
        <x:v>135521614357.23784</x:v>
      </x:c>
      <x:c r="V668" s="78" t="n">
        <x:f>P668-T668</x:f>
        <x:v>0.12599018360275854</x:v>
      </x:c>
      <x:c r="W668" s="79" t="n">
        <x:f>IF(U668&gt;0,V668/U668,0)</x:f>
        <x:v>9.296685565643113e-13</x:v>
      </x:c>
      <x:c r="X668" s="80" t="n">
        <x:f>W668*('Inputs'!$B$6-AC668)</x:f>
        <x:v>-0.0044097668559511536</x:v>
      </x:c>
      <x:c r="Y668" s="80" t="n">
        <x:f>2*V668</x:f>
        <x:v>0.2519803672055171</x:v>
      </x:c>
      <x:c r="Z668" s="80" t="n">
        <x:f>K668*'Inputs'!$B$16+(G668+R668)*J668*'Inputs'!$B$16</x:f>
        <x:v>0.0007559467956214918</x:v>
      </x:c>
      <x:c r="AA668" s="80" t="n">
        <x:f>K668*(1+'Inputs'!$E$45)/2*'Inputs'!$B$17</x:f>
        <x:v>0.00024082720911864025</x:v>
      </x:c>
      <x:c r="AB668" s="78" t="n">
        <x:f>(IF(J668&gt;0,K668*(1-'Inputs'!$E$45)/2/J668,0)+G668+R668)*'Inputs'!$B$17</x:f>
        <x:v>2064.222570363067</x:v>
      </x:c>
      <x:c r="AC668" s="78" t="n">
        <x:f>AC667+AB668</x:f>
        <x:v>5743375286.616033</x:v>
      </x:c>
      <x:c r="AD668" s="80" t="n">
        <x:f>Z668/(1+'Inputs'!$C$45)</x:f>
        <x:v>0.0005039645304143279</x:v>
      </x:c>
      <x:c r="AE668" s="80" t="n">
        <x:f>Z668-AD668</x:f>
        <x:v>0.00025198226520716394</x:v>
      </x:c>
      <x:c r="AF668" s="80" t="n">
        <x:f>D668*W668</x:f>
        <x:v>2.448812660146821e-7</x:v>
      </x:c>
      <x:c r="AG668" s="80" t="n">
        <x:f>C668*W668</x:f>
        <x:v>4.285422155256902e-7</x:v>
      </x:c>
      <x:c r="AH668" s="80" t="n">
        <x:f>2*'Inputs'!$B$8*'Inputs'!$C$45</x:f>
        <x:v>2500</x:v>
      </x:c>
      <x:c r="AI668" s="81" t="n">
        <x:f>IF(AH668&gt;0,(AE668+AF668)/AH668*365,0)</x:f>
        <x:v>0.00003682516338508408</x:v>
      </x:c>
      <x:c r="AJ668" s="81" t="n">
        <x:f>IF('Inputs'!$B$45&gt;0,AG668/('Inputs'!$B$19*'Inputs'!$B$45)*365,0)</x:f>
        <x:v>2.085572115558359e-8</x:v>
      </x:c>
      <x:c r="AK668" s="81" t="n">
        <x:f>W668/MAX($W$369:W668)-1</x:f>
        <x:v>-0.9999999987634635</x:v>
      </x:c>
      <x:c r="AL668" s="83" t="n">
        <x:f>'Inputs'!$B$45</x:f>
        <x:v>0.75</x:v>
      </x:c>
      <x:c r="AM668" s="83" t="n">
        <x:f>'Inputs'!$C$45</x:f>
        <x:v>0.5</x:v>
      </x:c>
      <x:c r="AN668" s="83" t="n">
        <x:f>'Inputs'!$D$45</x:f>
        <x:v>0.5</x:v>
      </x:c>
      <x:c r="AO668" s="81" t="n">
        <x:f>'Inputs'!$E$45</x:f>
        <x:v>-0.05</x:v>
      </x:c>
    </x:row>
    <x:row r="669">
      <x:c r="A669" s="59" t="str">
        <x:v>Weak demand</x:v>
      </x:c>
      <x:c r="B669" s="59" t="n">
        <x:v>301</x:v>
      </x:c>
      <x:c r="C669" s="78" t="n">
        <x:f>(('Inputs'!$B$29*(3*301*'Inputs'!$B$12-301^2)/(2*'Inputs'!$B$12^2))-('Inputs'!$B$29*(3*300*'Inputs'!$B$12-300^2)/(2*'Inputs'!$B$12^2)))*'Inputs'!$B$45</x:f>
        <x:v>460718.5330268517</x:v>
      </x:c>
      <x:c r="D669" s="78" t="n">
        <x:f>IF('Inputs'!$C$45&gt;0,('Inputs'!$B$30*(3*301*'Inputs'!$B$12-301^2)/(2*'Inputs'!$B$12^2))-('Inputs'!$B$30*(3*300*'Inputs'!$B$12-300^2)/(2*'Inputs'!$B$12^2)),0)</x:f>
        <x:v>263267.7331581861</x:v>
      </x:c>
      <x:c r="E669" s="78" t="n">
        <x:f>C669+D669</x:f>
        <x:v>723986.2661850378</x:v>
      </x:c>
      <x:c r="F669" s="78" t="n">
        <x:f>'Inputs'!$B$13*E669+(1-'Inputs'!$B$13)/'Inputs'!$B$14*SUM(E614:E669)</x:f>
        <x:v>732415.8495965498</x:v>
      </x:c>
      <x:c r="G669" s="78" t="n">
        <x:f>F669*'Inputs'!$F$45</x:f>
        <x:v>512691.0947175848</x:v>
      </x:c>
      <x:c r="H669" s="78" t="n">
        <x:f>U668</x:f>
        <x:v>135521614357.23784</x:v>
      </x:c>
      <x:c r="I669" s="78" t="n">
        <x:f>V668</x:f>
        <x:v>0.12599018360275854</x:v>
      </x:c>
      <x:c r="J669" s="79" t="n">
        <x:f>IF(H669&gt;0,I669/H669,0)</x:f>
        <x:v>9.296685565643113e-13</x:v>
      </x:c>
      <x:c r="K669" s="80" t="n">
        <x:f>(H669*J669+I669)*'Inputs'!$D$45*(1+'Inputs'!$G$45)^(B669/30)</x:f>
        <x:v>0.12599018360275854</x:v>
      </x:c>
      <x:c r="L669" s="80" t="n">
        <x:f>MAX(0,K669*'Inputs'!$E$45)</x:f>
        <x:v>0</x:v>
      </x:c>
      <x:c r="M669" s="80" t="n">
        <x:f>MAX(0,-K669*'Inputs'!$E$45)</x:f>
        <x:v>0.006299509180137927</x:v>
      </x:c>
      <x:c r="N669" s="78" t="n">
        <x:f>H669*(L669*(1-'Inputs'!$B$15))/(I669+L669*(1-'Inputs'!$B$15))</x:f>
        <x:v>0</x:v>
      </x:c>
      <x:c r="O669" s="78" t="n">
        <x:f>H669-N669</x:f>
        <x:v>135521614357.23784</x:v>
      </x:c>
      <x:c r="P669" s="78" t="n">
        <x:f>I669+L669*(1-'Inputs'!$B$17)</x:f>
        <x:v>0.12599018360275854</x:v>
      </x:c>
      <x:c r="Q669" s="78" t="n">
        <x:f>IF(J669&gt;0,M669/J669,0)</x:f>
        <x:v>0</x:v>
      </x:c>
      <x:c r="R669" s="78" t="n">
        <x:f>IF(B669='Inputs'!$H$45,'Inputs'!$B$27*'Inputs'!$I$45,0)</x:f>
        <x:v>0</x:v>
      </x:c>
      <x:c r="S669" s="78" t="n">
        <x:f>Q669+G669+R669</x:f>
        <x:v>512691.0947175848</x:v>
      </x:c>
      <x:c r="T669" s="78" t="n">
        <x:f>P669*(S669*(1-'Inputs'!$B$15))/(O669+S669*(1-'Inputs'!$B$15))</x:f>
        <x:v>4.7186469483186267e-7</x:v>
      </x:c>
      <x:c r="U669" s="78" t="n">
        <x:f>O669+S669*(1-'Inputs'!$B$17)</x:f>
        <x:v>135522124985.18932</x:v>
      </x:c>
      <x:c r="V669" s="78" t="n">
        <x:f>P669-T669</x:f>
        <x:v>0.1259897117380637</x:v>
      </x:c>
      <x:c r="W669" s="79" t="n">
        <x:f>IF(U669&gt;0,V669/U669,0)</x:f>
        <x:v>9.296615718786334e-13</x:v>
      </x:c>
      <x:c r="X669" s="80" t="n">
        <x:f>W669*('Inputs'!$B$6-AC669)</x:f>
        <x:v>-0.00440973564299071</x:v>
      </x:c>
      <x:c r="Y669" s="80" t="n">
        <x:f>2*V669</x:f>
        <x:v>0.2519794234761274</x:v>
      </x:c>
      <x:c r="Z669" s="80" t="n">
        <x:f>K669*'Inputs'!$B$16+(G669+R669)*J669*'Inputs'!$B$16</x:f>
        <x:v>0.0007559439614132912</x:v>
      </x:c>
      <x:c r="AA669" s="80" t="n">
        <x:f>K669*(1+'Inputs'!$E$45)/2*'Inputs'!$B$17</x:f>
        <x:v>0.00024082630668535338</x:v>
      </x:c>
      <x:c r="AB669" s="78" t="n">
        <x:f>(IF(J669&gt;0,K669*(1-'Inputs'!$E$45)/2/J669,0)+G669+R669)*'Inputs'!$B$17</x:f>
        <x:v>2063.14323830014</x:v>
      </x:c>
      <x:c r="AC669" s="78" t="n">
        <x:f>AC668+AB669</x:f>
        <x:v>5743377349.759271</x:v>
      </x:c>
      <x:c r="AD669" s="80" t="n">
        <x:f>Z669/(1+'Inputs'!$C$45)</x:f>
        <x:v>0.0005039626409421941</x:v>
      </x:c>
      <x:c r="AE669" s="80" t="n">
        <x:f>Z669-AD669</x:f>
        <x:v>0.0002519813204710971</x:v>
      </x:c>
      <x:c r="AF669" s="80" t="n">
        <x:f>D669*W669</x:f>
        <x:v>2.447498946327639e-7</x:v>
      </x:c>
      <x:c r="AG669" s="80" t="n">
        <x:f>C669*W669</x:f>
        <x:v>4.2831231560736104e-7</x:v>
      </x:c>
      <x:c r="AH669" s="80" t="n">
        <x:f>2*'Inputs'!$B$8*'Inputs'!$C$45</x:f>
        <x:v>2500</x:v>
      </x:c>
      <x:c r="AI669" s="81" t="n">
        <x:f>IF(AH669&gt;0,(AE669+AF669)/AH669*365,0)</x:f>
        <x:v>0.000036825006273396564</x:v>
      </x:c>
      <x:c r="AJ669" s="81" t="n">
        <x:f>IF('Inputs'!$B$45&gt;0,AG669/('Inputs'!$B$19*'Inputs'!$B$45)*365,0)</x:f>
        <x:v>2.084453269289157e-8</x:v>
      </x:c>
      <x:c r="AK669" s="81" t="n">
        <x:f>W669/MAX($W$369:W669)-1</x:f>
        <x:v>-0.9999999987634727</x:v>
      </x:c>
      <x:c r="AL669" s="83" t="n">
        <x:f>'Inputs'!$B$45</x:f>
        <x:v>0.75</x:v>
      </x:c>
      <x:c r="AM669" s="83" t="n">
        <x:f>'Inputs'!$C$45</x:f>
        <x:v>0.5</x:v>
      </x:c>
      <x:c r="AN669" s="83" t="n">
        <x:f>'Inputs'!$D$45</x:f>
        <x:v>0.5</x:v>
      </x:c>
      <x:c r="AO669" s="81" t="n">
        <x:f>'Inputs'!$E$45</x:f>
        <x:v>-0.05</x:v>
      </x:c>
    </x:row>
    <x:row r="670">
      <x:c r="A670" s="59" t="str">
        <x:v>Weak demand</x:v>
      </x:c>
      <x:c r="B670" s="59" t="n">
        <x:v>302</x:v>
      </x:c>
      <x:c r="C670" s="78" t="n">
        <x:f>(('Inputs'!$B$29*(3*302*'Inputs'!$B$12-302^2)/(2*'Inputs'!$B$12^2))-('Inputs'!$B$29*(3*301*'Inputs'!$B$12-301^2)/(2*'Inputs'!$B$12^2)))*'Inputs'!$B$45</x:f>
        <x:v>460474.7021017</x:v>
      </x:c>
      <x:c r="D670" s="78" t="n">
        <x:f>IF('Inputs'!$C$45&gt;0,('Inputs'!$B$30*(3*302*'Inputs'!$B$12-302^2)/(2*'Inputs'!$B$12^2))-('Inputs'!$B$30*(3*301*'Inputs'!$B$12-301^2)/(2*'Inputs'!$B$12^2)),0)</x:f>
        <x:v>263128.40120097995</x:v>
      </x:c>
      <x:c r="E670" s="78" t="n">
        <x:f>C670+D670</x:f>
        <x:v>723603.10330268</x:v>
      </x:c>
      <x:c r="F670" s="78" t="n">
        <x:f>'Inputs'!$B$13*E670+(1-'Inputs'!$B$13)/'Inputs'!$B$14*SUM(E615:E670)</x:f>
        <x:v>732032.6867142047</x:v>
      </x:c>
      <x:c r="G670" s="78" t="n">
        <x:f>F670*'Inputs'!$F$45</x:f>
        <x:v>512422.8806999433</x:v>
      </x:c>
      <x:c r="H670" s="78" t="n">
        <x:f>U669</x:f>
        <x:v>135522124985.18932</x:v>
      </x:c>
      <x:c r="I670" s="78" t="n">
        <x:f>V669</x:f>
        <x:v>0.1259897117380637</x:v>
      </x:c>
      <x:c r="J670" s="79" t="n">
        <x:f>IF(H670&gt;0,I670/H670,0)</x:f>
        <x:v>9.296615718786334e-13</x:v>
      </x:c>
      <x:c r="K670" s="80" t="n">
        <x:f>(H670*J670+I670)*'Inputs'!$D$45*(1+'Inputs'!$G$45)^(B670/30)</x:f>
        <x:v>0.1259897117380637</x:v>
      </x:c>
      <x:c r="L670" s="80" t="n">
        <x:f>MAX(0,K670*'Inputs'!$E$45)</x:f>
        <x:v>0</x:v>
      </x:c>
      <x:c r="M670" s="80" t="n">
        <x:f>MAX(0,-K670*'Inputs'!$E$45)</x:f>
        <x:v>0.006299485586903185</x:v>
      </x:c>
      <x:c r="N670" s="78" t="n">
        <x:f>H670*(L670*(1-'Inputs'!$B$15))/(I670+L670*(1-'Inputs'!$B$15))</x:f>
        <x:v>0</x:v>
      </x:c>
      <x:c r="O670" s="78" t="n">
        <x:f>H670-N670</x:f>
        <x:v>135522124985.18932</x:v>
      </x:c>
      <x:c r="P670" s="78" t="n">
        <x:f>I670+L670*(1-'Inputs'!$B$17)</x:f>
        <x:v>0.1259897117380637</x:v>
      </x:c>
      <x:c r="Q670" s="78" t="n">
        <x:f>IF(J670&gt;0,M670/J670,0)</x:f>
        <x:v>0</x:v>
      </x:c>
      <x:c r="R670" s="78" t="n">
        <x:f>IF(B670='Inputs'!$H$45,'Inputs'!$B$27*'Inputs'!$I$45,0)</x:f>
        <x:v>0</x:v>
      </x:c>
      <x:c r="S670" s="78" t="n">
        <x:f>Q670+G670+R670</x:f>
        <x:v>512422.8806999433</x:v>
      </x:c>
      <x:c r="T670" s="78" t="n">
        <x:f>P670*(S670*(1-'Inputs'!$B$15))/(O670+S670*(1-'Inputs'!$B$15))</x:f>
        <x:v>4.7161429674149735e-7</x:v>
      </x:c>
      <x:c r="U670" s="78" t="n">
        <x:f>O670+S670*(1-'Inputs'!$B$17)</x:f>
        <x:v>135522635346.0061</x:v>
      </x:c>
      <x:c r="V670" s="78" t="n">
        <x:f>P670-T670</x:f>
        <x:v>0.12598924012376694</x:v>
      </x:c>
      <x:c r="W670" s="79" t="n">
        <x:f>IF(U670&gt;0,V670/U670,0)</x:f>
        <x:v>9.296545909257209e-13</x:v>
      </x:c>
      <x:c r="X670" s="80" t="n">
        <x:f>W670*('Inputs'!$B$6-AC670)</x:f>
        <x:v>-0.004409704446703962</x:v>
      </x:c>
      <x:c r="Y670" s="80" t="n">
        <x:f>2*V670</x:f>
        <x:v>0.2519784802475339</x:v>
      </x:c>
      <x:c r="Z670" s="80" t="n">
        <x:f>K670*'Inputs'!$B$16+(G670+R670)*J670*'Inputs'!$B$16</x:f>
        <x:v>0.0007559411287075467</x:v>
      </x:c>
      <x:c r="AA670" s="80" t="n">
        <x:f>K670*(1+'Inputs'!$E$45)/2*'Inputs'!$B$17</x:f>
        <x:v>0.00024082540473070526</x:v>
      </x:c>
      <x:c r="AB670" s="78" t="n">
        <x:f>(IF(J670&gt;0,K670*(1-'Inputs'!$E$45)/2/J670,0)+G670+R670)*'Inputs'!$B$17</x:f>
        <x:v>2062.0639062371965</x:v>
      </x:c>
      <x:c r="AC670" s="78" t="n">
        <x:f>AC669+AB670</x:f>
        <x:v>5743379411.823177</x:v>
      </x:c>
      <x:c r="AD670" s="80" t="n">
        <x:f>Z670/(1+'Inputs'!$C$45)</x:f>
        <x:v>0.0005039607524716978</x:v>
      </x:c>
      <x:c r="AE670" s="80" t="n">
        <x:f>Z670-AD670</x:f>
        <x:v>0.00025198037623584886</x:v>
      </x:c>
      <x:c r="AF670" s="80" t="n">
        <x:f>D670*W670</x:f>
        <x:v>2.4461852617943597e-7</x:v>
      </x:c>
      <x:c r="AG670" s="80" t="n">
        <x:f>C670*W670</x:f>
        <x:v>4.280824208139991e-7</x:v>
      </x:c>
      <x:c r="AH670" s="80" t="n">
        <x:f>2*'Inputs'!$B$8*'Inputs'!$C$45</x:f>
        <x:v>2500</x:v>
      </x:c>
      <x:c r="AI670" s="81" t="n">
        <x:f>IF(AH670&gt;0,(AE670+AF670)/AH670*365,0)</x:f>
        <x:v>0.00003682484923525613</x:v>
      </x:c>
      <x:c r="AJ670" s="81" t="n">
        <x:f>IF('Inputs'!$B$45&gt;0,AG670/('Inputs'!$B$19*'Inputs'!$B$45)*365,0)</x:f>
        <x:v>2.0833344479614624e-8</x:v>
      </x:c>
      <x:c r="AK670" s="81" t="n">
        <x:f>W670/MAX($W$369:W670)-1</x:f>
        <x:v>-0.999999998763482</x:v>
      </x:c>
      <x:c r="AL670" s="83" t="n">
        <x:f>'Inputs'!$B$45</x:f>
        <x:v>0.75</x:v>
      </x:c>
      <x:c r="AM670" s="83" t="n">
        <x:f>'Inputs'!$C$45</x:f>
        <x:v>0.5</x:v>
      </x:c>
      <x:c r="AN670" s="83" t="n">
        <x:f>'Inputs'!$D$45</x:f>
        <x:v>0.5</x:v>
      </x:c>
      <x:c r="AO670" s="81" t="n">
        <x:f>'Inputs'!$E$45</x:f>
        <x:v>-0.05</x:v>
      </x:c>
    </x:row>
    <x:row r="671">
      <x:c r="A671" s="59" t="str">
        <x:v>Weak demand</x:v>
      </x:c>
      <x:c r="B671" s="59" t="n">
        <x:v>303</x:v>
      </x:c>
      <x:c r="C671" s="78" t="n">
        <x:f>(('Inputs'!$B$29*(3*303*'Inputs'!$B$12-303^2)/(2*'Inputs'!$B$12^2))-('Inputs'!$B$29*(3*302*'Inputs'!$B$12-302^2)/(2*'Inputs'!$B$12^2)))*'Inputs'!$B$45</x:f>
        <x:v>460230.87117657065</x:v>
      </x:c>
      <x:c r="D671" s="78" t="n">
        <x:f>IF('Inputs'!$C$45&gt;0,('Inputs'!$B$30*(3*303*'Inputs'!$B$12-303^2)/(2*'Inputs'!$B$12^2))-('Inputs'!$B$30*(3*302*'Inputs'!$B$12-302^2)/(2*'Inputs'!$B$12^2)),0)</x:f>
        <x:v>262989.0692437589</x:v>
      </x:c>
      <x:c r="E671" s="78" t="n">
        <x:f>C671+D671</x:f>
        <x:v>723219.9404203296</x:v>
      </x:c>
      <x:c r="F671" s="78" t="n">
        <x:f>'Inputs'!$B$13*E671+(1-'Inputs'!$B$13)/'Inputs'!$B$14*SUM(E616:E671)</x:f>
        <x:v>731649.523831861</x:v>
      </x:c>
      <x:c r="G671" s="78" t="n">
        <x:f>F671*'Inputs'!$F$45</x:f>
        <x:v>512154.66668230266</x:v>
      </x:c>
      <x:c r="H671" s="78" t="n">
        <x:f>U670</x:f>
        <x:v>135522635346.0061</x:v>
      </x:c>
      <x:c r="I671" s="78" t="n">
        <x:f>V670</x:f>
        <x:v>0.12598924012376694</x:v>
      </x:c>
      <x:c r="J671" s="79" t="n">
        <x:f>IF(H671&gt;0,I671/H671,0)</x:f>
        <x:v>9.296545909257209e-13</x:v>
      </x:c>
      <x:c r="K671" s="80" t="n">
        <x:f>(H671*J671+I671)*'Inputs'!$D$45*(1+'Inputs'!$G$45)^(B671/30)</x:f>
        <x:v>0.12598924012376694</x:v>
      </x:c>
      <x:c r="L671" s="80" t="n">
        <x:f>MAX(0,K671*'Inputs'!$E$45)</x:f>
        <x:v>0</x:v>
      </x:c>
      <x:c r="M671" s="80" t="n">
        <x:f>MAX(0,-K671*'Inputs'!$E$45)</x:f>
        <x:v>0.006299462006188347</x:v>
      </x:c>
      <x:c r="N671" s="78" t="n">
        <x:f>H671*(L671*(1-'Inputs'!$B$15))/(I671+L671*(1-'Inputs'!$B$15))</x:f>
        <x:v>0</x:v>
      </x:c>
      <x:c r="O671" s="78" t="n">
        <x:f>H671-N671</x:f>
        <x:v>135522635346.0061</x:v>
      </x:c>
      <x:c r="P671" s="78" t="n">
        <x:f>I671+L671*(1-'Inputs'!$B$17)</x:f>
        <x:v>0.12598924012376694</x:v>
      </x:c>
      <x:c r="Q671" s="78" t="n">
        <x:f>IF(J671&gt;0,M671/J671,0)</x:f>
        <x:v>0</x:v>
      </x:c>
      <x:c r="R671" s="78" t="n">
        <x:f>IF(B671='Inputs'!$H$45,'Inputs'!$B$27*'Inputs'!$I$45,0)</x:f>
        <x:v>0</x:v>
      </x:c>
      <x:c r="S671" s="78" t="n">
        <x:f>Q671+G671+R671</x:f>
        <x:v>512154.66668230266</x:v>
      </x:c>
      <x:c r="T671" s="78" t="n">
        <x:f>P671*(S671*(1-'Inputs'!$B$15))/(O671+S671*(1-'Inputs'!$B$15))</x:f>
        <x:v>4.713639042520623e-7</x:v>
      </x:c>
      <x:c r="U671" s="78" t="n">
        <x:f>O671+S671*(1-'Inputs'!$B$17)</x:f>
        <x:v>135523145439.68822</x:v>
      </x:c>
      <x:c r="V671" s="78" t="n">
        <x:f>P671-T671</x:f>
        <x:v>0.1259887687598627</x:v>
      </x:c>
      <x:c r="W671" s="79" t="n">
        <x:f>IF(U671&gt;0,V671/U671,0)</x:f>
        <x:v>9.296476137054494e-13</x:v>
      </x:c>
      <x:c r="X671" s="80" t="n">
        <x:f>W671*('Inputs'!$B$6-AC671)</x:f>
        <x:v>-0.0044096732670903666</x:v>
      </x:c>
      <x:c r="Y671" s="80" t="n">
        <x:f>2*V671</x:f>
        <x:v>0.2519775375197254</x:v>
      </x:c>
      <x:c r="Z671" s="80" t="n">
        <x:f>K671*'Inputs'!$B$16+(G671+R671)*J671*'Inputs'!$B$16</x:f>
        <x:v>0.0007559382975042245</x:v>
      </x:c>
      <x:c r="AA671" s="80" t="n">
        <x:f>K671*(1+'Inputs'!$E$45)/2*'Inputs'!$B$17</x:f>
        <x:v>0.00024082450325468532</x:v>
      </x:c>
      <x:c r="AB671" s="78" t="n">
        <x:f>(IF(J671&gt;0,K671*(1-'Inputs'!$E$45)/2/J671,0)+G671+R671)*'Inputs'!$B$17</x:f>
        <x:v>2060.9845741742565</x:v>
      </x:c>
      <x:c r="AC671" s="78" t="n">
        <x:f>AC670+AB671</x:f>
        <x:v>5743381472.807752</x:v>
      </x:c>
      <x:c r="AD671" s="80" t="n">
        <x:f>Z671/(1+'Inputs'!$C$45)</x:f>
        <x:v>0.0005039588650028163</x:v>
      </x:c>
      <x:c r="AE671" s="80" t="n">
        <x:f>Z671-AD671</x:f>
        <x:v>0.0002519794325014082</x:v>
      </x:c>
      <x:c r="AF671" s="80" t="n">
        <x:f>D671*W671</x:f>
        <x:v>2.4448716065307766e-7</x:v>
      </x:c>
      <x:c r="AG671" s="80" t="n">
        <x:f>C671*W671</x:f>
        <x:v>4.27852531142879e-7</x:v>
      </x:c>
      <x:c r="AH671" s="80" t="n">
        <x:f>2*'Inputs'!$B$8*'Inputs'!$C$45</x:f>
        <x:v>2500</x:v>
      </x:c>
      <x:c r="AI671" s="81" t="n">
        <x:f>IF(AH671&gt;0,(AE671+AF671)/AH671*365,0)</x:f>
        <x:v>0.00003682469227066095</x:v>
      </x:c>
      <x:c r="AJ671" s="81" t="n">
        <x:f>IF('Inputs'!$B$45&gt;0,AG671/('Inputs'!$B$19*'Inputs'!$B$45)*365,0)</x:f>
        <x:v>2.0822156515620113e-8</x:v>
      </x:c>
      <x:c r="AK671" s="81" t="n">
        <x:f>W671/MAX($W$369:W671)-1</x:f>
        <x:v>-0.9999999987634913</x:v>
      </x:c>
      <x:c r="AL671" s="83" t="n">
        <x:f>'Inputs'!$B$45</x:f>
        <x:v>0.75</x:v>
      </x:c>
      <x:c r="AM671" s="83" t="n">
        <x:f>'Inputs'!$C$45</x:f>
        <x:v>0.5</x:v>
      </x:c>
      <x:c r="AN671" s="83" t="n">
        <x:f>'Inputs'!$D$45</x:f>
        <x:v>0.5</x:v>
      </x:c>
      <x:c r="AO671" s="81" t="n">
        <x:f>'Inputs'!$E$45</x:f>
        <x:v>-0.05</x:v>
      </x:c>
    </x:row>
    <x:row r="672">
      <x:c r="A672" s="59" t="str">
        <x:v>Weak demand</x:v>
      </x:c>
      <x:c r="B672" s="59" t="n">
        <x:v>304</x:v>
      </x:c>
      <x:c r="C672" s="78" t="n">
        <x:f>(('Inputs'!$B$29*(3*304*'Inputs'!$B$12-304^2)/(2*'Inputs'!$B$12^2))-('Inputs'!$B$29*(3*303*'Inputs'!$B$12-303^2)/(2*'Inputs'!$B$12^2)))*'Inputs'!$B$45</x:f>
        <x:v>459987.04025146365</x:v>
      </x:c>
      <x:c r="D672" s="78" t="n">
        <x:f>IF('Inputs'!$C$45&gt;0,('Inputs'!$B$30*(3*304*'Inputs'!$B$12-304^2)/(2*'Inputs'!$B$12^2))-('Inputs'!$B$30*(3*303*'Inputs'!$B$12-303^2)/(2*'Inputs'!$B$12^2)),0)</x:f>
        <x:v>262849.7372865379</x:v>
      </x:c>
      <x:c r="E672" s="78" t="n">
        <x:f>C672+D672</x:f>
        <x:v>722836.7775380015</x:v>
      </x:c>
      <x:c r="F672" s="78" t="n">
        <x:f>'Inputs'!$B$13*E672+(1-'Inputs'!$B$13)/'Inputs'!$B$14*SUM(E617:E672)</x:f>
        <x:v>731266.3609495218</x:v>
      </x:c>
      <x:c r="G672" s="78" t="n">
        <x:f>F672*'Inputs'!$F$45</x:f>
        <x:v>511886.4526646652</x:v>
      </x:c>
      <x:c r="H672" s="78" t="n">
        <x:f>U671</x:f>
        <x:v>135523145439.68822</x:v>
      </x:c>
      <x:c r="I672" s="78" t="n">
        <x:f>V671</x:f>
        <x:v>0.1259887687598627</x:v>
      </x:c>
      <x:c r="J672" s="79" t="n">
        <x:f>IF(H672&gt;0,I672/H672,0)</x:f>
        <x:v>9.296476137054494e-13</x:v>
      </x:c>
      <x:c r="K672" s="80" t="n">
        <x:f>(H672*J672+I672)*'Inputs'!$D$45*(1+'Inputs'!$G$45)^(B672/30)</x:f>
        <x:v>0.1259887687598627</x:v>
      </x:c>
      <x:c r="L672" s="80" t="n">
        <x:f>MAX(0,K672*'Inputs'!$E$45)</x:f>
        <x:v>0</x:v>
      </x:c>
      <x:c r="M672" s="80" t="n">
        <x:f>MAX(0,-K672*'Inputs'!$E$45)</x:f>
        <x:v>0.006299438437993136</x:v>
      </x:c>
      <x:c r="N672" s="78" t="n">
        <x:f>H672*(L672*(1-'Inputs'!$B$15))/(I672+L672*(1-'Inputs'!$B$15))</x:f>
        <x:v>0</x:v>
      </x:c>
      <x:c r="O672" s="78" t="n">
        <x:f>H672-N672</x:f>
        <x:v>135523145439.68822</x:v>
      </x:c>
      <x:c r="P672" s="78" t="n">
        <x:f>I672+L672*(1-'Inputs'!$B$17)</x:f>
        <x:v>0.1259887687598627</x:v>
      </x:c>
      <x:c r="Q672" s="78" t="n">
        <x:f>IF(J672&gt;0,M672/J672,0)</x:f>
        <x:v>0</x:v>
      </x:c>
      <x:c r="R672" s="78" t="n">
        <x:f>IF(B672='Inputs'!$H$45,'Inputs'!$B$27*'Inputs'!$I$45,0)</x:f>
        <x:v>0</x:v>
      </x:c>
      <x:c r="S672" s="78" t="n">
        <x:f>Q672+G672+R672</x:f>
        <x:v>511886.4526646652</x:v>
      </x:c>
      <x:c r="T672" s="78" t="n">
        <x:f>P672*(S672*(1-'Inputs'!$B$15))/(O672+S672*(1-'Inputs'!$B$15))</x:f>
        <x:v>4.711135173605229e-7</x:v>
      </x:c>
      <x:c r="U672" s="78" t="n">
        <x:f>O672+S672*(1-'Inputs'!$B$17)</x:f>
        <x:v>135523655266.23564</x:v>
      </x:c>
      <x:c r="V672" s="78" t="n">
        <x:f>P672-T672</x:f>
        <x:v>0.12598829764634534</x:v>
      </x:c>
      <x:c r="W672" s="79" t="n">
        <x:f>IF(U672&gt;0,V672/U672,0)</x:f>
        <x:v>9.296406402176939e-13</x:v>
      </x:c>
      <x:c r="X672" s="80" t="n">
        <x:f>W672*('Inputs'!$B$6-AC672)</x:f>
        <x:v>-0.004409642104149374</x:v>
      </x:c>
      <x:c r="Y672" s="80" t="n">
        <x:f>2*V672</x:f>
        <x:v>0.2519765952926907</x:v>
      </x:c>
      <x:c r="Z672" s="80" t="n">
        <x:f>K672*'Inputs'!$B$16+(G672+R672)*J672*'Inputs'!$B$16</x:f>
        <x:v>0.0007559354678032914</x:v>
      </x:c>
      <x:c r="AA672" s="80" t="n">
        <x:f>K672*(1+'Inputs'!$E$45)/2*'Inputs'!$B$17</x:f>
        <x:v>0.00024082360225728282</x:v>
      </x:c>
      <x:c r="AB672" s="78" t="n">
        <x:f>(IF(J672&gt;0,K672*(1-'Inputs'!$E$45)/2/J672,0)+G672+R672)*'Inputs'!$B$17</x:f>
        <x:v>2059.905242111329</x:v>
      </x:c>
      <x:c r="AC672" s="78" t="n">
        <x:f>AC671+AB672</x:f>
        <x:v>5743383532.712994</x:v>
      </x:c>
      <x:c r="AD672" s="80" t="n">
        <x:f>Z672/(1+'Inputs'!$C$45)</x:f>
        <x:v>0.0005039569785355276</x:v>
      </x:c>
      <x:c r="AE672" s="80" t="n">
        <x:f>Z672-AD672</x:f>
        <x:v>0.0002519784892677638</x:v>
      </x:c>
      <x:c r="AF672" s="80" t="n">
        <x:f>D672*W672</x:f>
        <x:v>2.4435579805210973e-7</x:v>
      </x:c>
      <x:c r="AG672" s="80" t="n">
        <x:f>C672*W672</x:f>
        <x:v>4.276226465912128e-7</x:v>
      </x:c>
      <x:c r="AH672" s="80" t="n">
        <x:f>2*'Inputs'!$B$8*'Inputs'!$C$45</x:f>
        <x:v>2500</x:v>
      </x:c>
      <x:c r="AI672" s="81" t="n">
        <x:f>IF(AH672&gt;0,(AE672+AF672)/AH672*365,0)</x:f>
        <x:v>0.00003682453537960912</x:v>
      </x:c>
      <x:c r="AJ672" s="81" t="n">
        <x:f>IF('Inputs'!$B$45&gt;0,AG672/('Inputs'!$B$19*'Inputs'!$B$45)*365,0)</x:f>
        <x:v>2.0810968800772355e-8</x:v>
      </x:c>
      <x:c r="AK672" s="81" t="n">
        <x:f>W672/MAX($W$369:W672)-1</x:f>
        <x:v>-0.9999999987635005</x:v>
      </x:c>
      <x:c r="AL672" s="83" t="n">
        <x:f>'Inputs'!$B$45</x:f>
        <x:v>0.75</x:v>
      </x:c>
      <x:c r="AM672" s="83" t="n">
        <x:f>'Inputs'!$C$45</x:f>
        <x:v>0.5</x:v>
      </x:c>
      <x:c r="AN672" s="83" t="n">
        <x:f>'Inputs'!$D$45</x:f>
        <x:v>0.5</x:v>
      </x:c>
      <x:c r="AO672" s="81" t="n">
        <x:f>'Inputs'!$E$45</x:f>
        <x:v>-0.05</x:v>
      </x:c>
    </x:row>
    <x:row r="673">
      <x:c r="A673" s="59" t="str">
        <x:v>Weak demand</x:v>
      </x:c>
      <x:c r="B673" s="59" t="n">
        <x:v>305</x:v>
      </x:c>
      <x:c r="C673" s="78" t="n">
        <x:f>(('Inputs'!$B$29*(3*305*'Inputs'!$B$12-305^2)/(2*'Inputs'!$B$12^2))-('Inputs'!$B$29*(3*304*'Inputs'!$B$12-304^2)/(2*'Inputs'!$B$12^2)))*'Inputs'!$B$45</x:f>
        <x:v>459743.2093263343</x:v>
      </x:c>
      <x:c r="D673" s="78" t="n">
        <x:f>IF('Inputs'!$C$45&gt;0,('Inputs'!$B$30*(3*305*'Inputs'!$B$12-305^2)/(2*'Inputs'!$B$12^2))-('Inputs'!$B$30*(3*304*'Inputs'!$B$12-304^2)/(2*'Inputs'!$B$12^2)),0)</x:f>
        <x:v>262710.40532933176</x:v>
      </x:c>
      <x:c r="E673" s="78" t="n">
        <x:f>C673+D673</x:f>
        <x:v>722453.614655666</x:v>
      </x:c>
      <x:c r="F673" s="78" t="n">
        <x:f>'Inputs'!$B$13*E673+(1-'Inputs'!$B$13)/'Inputs'!$B$14*SUM(E618:E673)</x:f>
        <x:v>730883.1980671813</x:v>
      </x:c>
      <x:c r="G673" s="78" t="n">
        <x:f>F673*'Inputs'!$F$45</x:f>
        <x:v>511618.2386470269</x:v>
      </x:c>
      <x:c r="H673" s="78" t="n">
        <x:f>U672</x:f>
        <x:v>135523655266.23564</x:v>
      </x:c>
      <x:c r="I673" s="78" t="n">
        <x:f>V672</x:f>
        <x:v>0.12598829764634534</x:v>
      </x:c>
      <x:c r="J673" s="79" t="n">
        <x:f>IF(H673&gt;0,I673/H673,0)</x:f>
        <x:v>9.296406402176939e-13</x:v>
      </x:c>
      <x:c r="K673" s="80" t="n">
        <x:f>(H673*J673+I673)*'Inputs'!$D$45*(1+'Inputs'!$G$45)^(B673/30)</x:f>
        <x:v>0.12598829764634534</x:v>
      </x:c>
      <x:c r="L673" s="80" t="n">
        <x:f>MAX(0,K673*'Inputs'!$E$45)</x:f>
        <x:v>0</x:v>
      </x:c>
      <x:c r="M673" s="80" t="n">
        <x:f>MAX(0,-K673*'Inputs'!$E$45)</x:f>
        <x:v>0.006299414882317268</x:v>
      </x:c>
      <x:c r="N673" s="78" t="n">
        <x:f>H673*(L673*(1-'Inputs'!$B$15))/(I673+L673*(1-'Inputs'!$B$15))</x:f>
        <x:v>0</x:v>
      </x:c>
      <x:c r="O673" s="78" t="n">
        <x:f>H673-N673</x:f>
        <x:v>135523655266.23564</x:v>
      </x:c>
      <x:c r="P673" s="78" t="n">
        <x:f>I673+L673*(1-'Inputs'!$B$17)</x:f>
        <x:v>0.12598829764634534</x:v>
      </x:c>
      <x:c r="Q673" s="78" t="n">
        <x:f>IF(J673&gt;0,M673/J673,0)</x:f>
        <x:v>0</x:v>
      </x:c>
      <x:c r="R673" s="78" t="n">
        <x:f>IF(B673='Inputs'!$H$45,'Inputs'!$B$27*'Inputs'!$I$45,0)</x:f>
        <x:v>0</x:v>
      </x:c>
      <x:c r="S673" s="78" t="n">
        <x:f>Q673+G673+R673</x:f>
        <x:v>511618.2386470269</x:v>
      </x:c>
      <x:c r="T673" s="78" t="n">
        <x:f>P673*(S673*(1-'Inputs'!$B$15))/(O673+S673*(1-'Inputs'!$B$15))</x:f>
        <x:v>4.7086313606383904e-7</x:v>
      </x:c>
      <x:c r="U673" s="78" t="n">
        <x:f>O673+S673*(1-'Inputs'!$B$17)</x:f>
        <x:v>135524164825.64838</x:v>
      </x:c>
      <x:c r="V673" s="78" t="n">
        <x:f>P673-T673</x:f>
        <x:v>0.12598782678320927</x:v>
      </x:c>
      <x:c r="W673" s="79" t="n">
        <x:f>IF(U673&gt;0,V673/U673,0)</x:f>
        <x:v>9.296336704623297e-13</x:v>
      </x:c>
      <x:c r="X673" s="80" t="n">
        <x:f>W673*('Inputs'!$B$6-AC673)</x:f>
        <x:v>-0.0044096109578804395</x:v>
      </x:c>
      <x:c r="Y673" s="80" t="n">
        <x:f>2*V673</x:f>
        <x:v>0.25197565356641854</x:v>
      </x:c>
      <x:c r="Z673" s="80" t="n">
        <x:f>K673*'Inputs'!$B$16+(G673+R673)*J673*'Inputs'!$B$16</x:f>
        <x:v>0.0007559326396047136</x:v>
      </x:c>
      <x:c r="AA673" s="80" t="n">
        <x:f>K673*(1+'Inputs'!$E$45)/2*'Inputs'!$B$17</x:f>
        <x:v>0.00024082270173848705</x:v>
      </x:c>
      <x:c r="AB673" s="78" t="n">
        <x:f>(IF(J673&gt;0,K673*(1-'Inputs'!$E$45)/2/J673,0)+G673+R673)*'Inputs'!$B$17</x:f>
        <x:v>2058.825910048398</x:v>
      </x:c>
      <x:c r="AC673" s="78" t="n">
        <x:f>AC672+AB673</x:f>
        <x:v>5743385591.538903</x:v>
      </x:c>
      <x:c r="AD673" s="80" t="n">
        <x:f>Z673/(1+'Inputs'!$C$45)</x:f>
        <x:v>0.0005039550930698091</x:v>
      </x:c>
      <x:c r="AE673" s="80" t="n">
        <x:f>Z673-AD673</x:f>
        <x:v>0.0002519775465349045</x:v>
      </x:c>
      <x:c r="AF673" s="80" t="n">
        <x:f>D673*W673</x:f>
        <x:v>2.4422443837495306e-7</x:v>
      </x:c>
      <x:c r="AG673" s="80" t="n">
        <x:f>C673*W673</x:f>
        <x:v>4.273927671561713e-7</x:v>
      </x:c>
      <x:c r="AH673" s="80" t="n">
        <x:f>2*'Inputs'!$B$8*'Inputs'!$C$45</x:f>
        <x:v>2500</x:v>
      </x:c>
      <x:c r="AI673" s="81" t="n">
        <x:f>IF(AH673&gt;0,(AE673+AF673)/AH673*365,0)</x:f>
        <x:v>0.000036824378562098795</x:v>
      </x:c>
      <x:c r="AJ673" s="81" t="n">
        <x:f>IF('Inputs'!$B$45&gt;0,AG673/('Inputs'!$B$19*'Inputs'!$B$45)*365,0)</x:f>
        <x:v>2.0799781334933673e-8</x:v>
      </x:c>
      <x:c r="AK673" s="81" t="n">
        <x:f>W673/MAX($W$369:W673)-1</x:f>
        <x:v>-0.9999999987635099</x:v>
      </x:c>
      <x:c r="AL673" s="83" t="n">
        <x:f>'Inputs'!$B$45</x:f>
        <x:v>0.75</x:v>
      </x:c>
      <x:c r="AM673" s="83" t="n">
        <x:f>'Inputs'!$C$45</x:f>
        <x:v>0.5</x:v>
      </x:c>
      <x:c r="AN673" s="83" t="n">
        <x:f>'Inputs'!$D$45</x:f>
        <x:v>0.5</x:v>
      </x:c>
      <x:c r="AO673" s="81" t="n">
        <x:f>'Inputs'!$E$45</x:f>
        <x:v>-0.05</x:v>
      </x:c>
    </x:row>
    <x:row r="674">
      <x:c r="A674" s="59" t="str">
        <x:v>Weak demand</x:v>
      </x:c>
      <x:c r="B674" s="59" t="n">
        <x:v>306</x:v>
      </x:c>
      <x:c r="C674" s="78" t="n">
        <x:f>(('Inputs'!$B$29*(3*306*'Inputs'!$B$12-306^2)/(2*'Inputs'!$B$12^2))-('Inputs'!$B$29*(3*305*'Inputs'!$B$12-305^2)/(2*'Inputs'!$B$12^2)))*'Inputs'!$B$45</x:f>
        <x:v>459499.37840120494</x:v>
      </x:c>
      <x:c r="D674" s="78" t="n">
        <x:f>IF('Inputs'!$C$45&gt;0,('Inputs'!$B$30*(3*306*'Inputs'!$B$12-306^2)/(2*'Inputs'!$B$12^2))-('Inputs'!$B$30*(3*305*'Inputs'!$B$12-305^2)/(2*'Inputs'!$B$12^2)),0)</x:f>
        <x:v>262571.0733721107</x:v>
      </x:c>
      <x:c r="E674" s="78" t="n">
        <x:f>C674+D674</x:f>
        <x:v>722070.4517733157</x:v>
      </x:c>
      <x:c r="F674" s="78" t="n">
        <x:f>'Inputs'!$B$13*E674+(1-'Inputs'!$B$13)/'Inputs'!$B$14*SUM(E619:E674)</x:f>
        <x:v>730500.0351848376</x:v>
      </x:c>
      <x:c r="G674" s="78" t="n">
        <x:f>F674*'Inputs'!$F$45</x:f>
        <x:v>511350.0246293863</x:v>
      </x:c>
      <x:c r="H674" s="78" t="n">
        <x:f>U673</x:f>
        <x:v>135524164825.64838</x:v>
      </x:c>
      <x:c r="I674" s="78" t="n">
        <x:f>V673</x:f>
        <x:v>0.12598782678320927</x:v>
      </x:c>
      <x:c r="J674" s="79" t="n">
        <x:f>IF(H674&gt;0,I674/H674,0)</x:f>
        <x:v>9.296336704623297e-13</x:v>
      </x:c>
      <x:c r="K674" s="80" t="n">
        <x:f>(H674*J674+I674)*'Inputs'!$D$45*(1+'Inputs'!$G$45)^(B674/30)</x:f>
        <x:v>0.12598782678320927</x:v>
      </x:c>
      <x:c r="L674" s="80" t="n">
        <x:f>MAX(0,K674*'Inputs'!$E$45)</x:f>
        <x:v>0</x:v>
      </x:c>
      <x:c r="M674" s="80" t="n">
        <x:f>MAX(0,-K674*'Inputs'!$E$45)</x:f>
        <x:v>0.006299391339160464</x:v>
      </x:c>
      <x:c r="N674" s="78" t="n">
        <x:f>H674*(L674*(1-'Inputs'!$B$15))/(I674+L674*(1-'Inputs'!$B$15))</x:f>
        <x:v>0</x:v>
      </x:c>
      <x:c r="O674" s="78" t="n">
        <x:f>H674-N674</x:f>
        <x:v>135524164825.64838</x:v>
      </x:c>
      <x:c r="P674" s="78" t="n">
        <x:f>I674+L674*(1-'Inputs'!$B$17)</x:f>
        <x:v>0.12598782678320927</x:v>
      </x:c>
      <x:c r="Q674" s="78" t="n">
        <x:f>IF(J674&gt;0,M674/J674,0)</x:f>
        <x:v>0</x:v>
      </x:c>
      <x:c r="R674" s="78" t="n">
        <x:f>IF(B674='Inputs'!$H$45,'Inputs'!$B$27*'Inputs'!$I$45,0)</x:f>
        <x:v>0</x:v>
      </x:c>
      <x:c r="S674" s="78" t="n">
        <x:f>Q674+G674+R674</x:f>
        <x:v>511350.0246293863</x:v>
      </x:c>
      <x:c r="T674" s="78" t="n">
        <x:f>P674*(S674*(1-'Inputs'!$B$15))/(O674+S674*(1-'Inputs'!$B$15))</x:f>
        <x:v>4.70612760358973e-7</x:v>
      </x:c>
      <x:c r="U674" s="78" t="n">
        <x:f>O674+S674*(1-'Inputs'!$B$17)</x:f>
        <x:v>135524674117.92642</x:v>
      </x:c>
      <x:c r="V674" s="78" t="n">
        <x:f>P674-T674</x:f>
        <x:v>0.1259873561704489</x:v>
      </x:c>
      <x:c r="W674" s="79" t="n">
        <x:f>IF(U674&gt;0,V674/U674,0)</x:f>
        <x:v>9.296267044392326e-13</x:v>
      </x:c>
      <x:c r="X674" s="80" t="n">
        <x:f>W674*('Inputs'!$B$6-AC674)</x:f>
        <x:v>-0.004409579828283021</x:v>
      </x:c>
      <x:c r="Y674" s="80" t="n">
        <x:f>2*V674</x:f>
        <x:v>0.2519747123408978</x:v>
      </x:c>
      <x:c r="Z674" s="80" t="n">
        <x:f>K674*'Inputs'!$B$16+(G674+R674)*J674*'Inputs'!$B$16</x:f>
        <x:v>0.0007559298129084574</x:v>
      </x:c>
      <x:c r="AA674" s="80" t="n">
        <x:f>K674*(1+'Inputs'!$E$45)/2*'Inputs'!$B$17</x:f>
        <x:v>0.00024082180169828735</x:v>
      </x:c>
      <x:c r="AB674" s="78" t="n">
        <x:f>(IF(J674&gt;0,K674*(1-'Inputs'!$E$45)/2/J674,0)+G674+R674)*'Inputs'!$B$17</x:f>
        <x:v>2057.7465779854583</x:v>
      </x:c>
      <x:c r="AC674" s="78" t="n">
        <x:f>AC673+AB674</x:f>
        <x:v>5743387649.285481</x:v>
      </x:c>
      <x:c r="AD674" s="80" t="n">
        <x:f>Z674/(1+'Inputs'!$C$45)</x:f>
        <x:v>0.0005039532086056382</x:v>
      </x:c>
      <x:c r="AE674" s="80" t="n">
        <x:f>Z674-AD674</x:f>
        <x:v>0.00025197660430281916</x:v>
      </x:c>
      <x:c r="AF674" s="80" t="n">
        <x:f>D674*W674</x:f>
        <x:v>2.4409308161998726e-7</x:v>
      </x:c>
      <x:c r="AG674" s="80" t="n">
        <x:f>C674*W674</x:f>
        <x:v>4.2716289283498806e-7</x:v>
      </x:c>
      <x:c r="AH674" s="80" t="n">
        <x:f>2*'Inputs'!$B$8*'Inputs'!$C$45</x:f>
        <x:v>2500</x:v>
      </x:c>
      <x:c r="AI674" s="81" t="n">
        <x:f>IF(AH674&gt;0,(AE674+AF674)/AH674*365,0)</x:f>
        <x:v>0.000036824221818128114</x:v>
      </x:c>
      <x:c r="AJ674" s="81" t="n">
        <x:f>IF('Inputs'!$B$45&gt;0,AG674/('Inputs'!$B$19*'Inputs'!$B$45)*365,0)</x:f>
        <x:v>2.078859411796942e-8</x:v>
      </x:c>
      <x:c r="AK674" s="81" t="n">
        <x:f>W674/MAX($W$369:W674)-1</x:f>
        <x:v>-0.9999999987635191</x:v>
      </x:c>
      <x:c r="AL674" s="83" t="n">
        <x:f>'Inputs'!$B$45</x:f>
        <x:v>0.75</x:v>
      </x:c>
      <x:c r="AM674" s="83" t="n">
        <x:f>'Inputs'!$C$45</x:f>
        <x:v>0.5</x:v>
      </x:c>
      <x:c r="AN674" s="83" t="n">
        <x:f>'Inputs'!$D$45</x:f>
        <x:v>0.5</x:v>
      </x:c>
      <x:c r="AO674" s="81" t="n">
        <x:f>'Inputs'!$E$45</x:f>
        <x:v>-0.05</x:v>
      </x:c>
    </x:row>
    <x:row r="675">
      <x:c r="A675" s="59" t="str">
        <x:v>Weak demand</x:v>
      </x:c>
      <x:c r="B675" s="59" t="n">
        <x:v>307</x:v>
      </x:c>
      <x:c r="C675" s="78" t="n">
        <x:f>(('Inputs'!$B$29*(3*307*'Inputs'!$B$12-307^2)/(2*'Inputs'!$B$12^2))-('Inputs'!$B$29*(3*306*'Inputs'!$B$12-306^2)/(2*'Inputs'!$B$12^2)))*'Inputs'!$B$45</x:f>
        <x:v>459255.5474760756</x:v>
      </x:c>
      <x:c r="D675" s="78" t="n">
        <x:f>IF('Inputs'!$C$45&gt;0,('Inputs'!$B$30*(3*307*'Inputs'!$B$12-307^2)/(2*'Inputs'!$B$12^2))-('Inputs'!$B$30*(3*306*'Inputs'!$B$12-306^2)/(2*'Inputs'!$B$12^2)),0)</x:f>
        <x:v>262431.7414149046</x:v>
      </x:c>
      <x:c r="E675" s="78" t="n">
        <x:f>C675+D675</x:f>
        <x:v>721687.2888909802</x:v>
      </x:c>
      <x:c r="F675" s="78" t="n">
        <x:f>'Inputs'!$B$13*E675+(1-'Inputs'!$B$13)/'Inputs'!$B$14*SUM(E620:E675)</x:f>
        <x:v>730116.8723024972</x:v>
      </x:c>
      <x:c r="G675" s="78" t="n">
        <x:f>F675*'Inputs'!$F$45</x:f>
        <x:v>511081.81061174796</x:v>
      </x:c>
      <x:c r="H675" s="78" t="n">
        <x:f>U674</x:f>
        <x:v>135524674117.92642</x:v>
      </x:c>
      <x:c r="I675" s="78" t="n">
        <x:f>V674</x:f>
        <x:v>0.1259873561704489</x:v>
      </x:c>
      <x:c r="J675" s="79" t="n">
        <x:f>IF(H675&gt;0,I675/H675,0)</x:f>
        <x:v>9.296267044392326e-13</x:v>
      </x:c>
      <x:c r="K675" s="80" t="n">
        <x:f>(H675*J675+I675)*'Inputs'!$D$45*(1+'Inputs'!$G$45)^(B675/30)</x:f>
        <x:v>0.1259873561704489</x:v>
      </x:c>
      <x:c r="L675" s="80" t="n">
        <x:f>MAX(0,K675*'Inputs'!$E$45)</x:f>
        <x:v>0</x:v>
      </x:c>
      <x:c r="M675" s="80" t="n">
        <x:f>MAX(0,-K675*'Inputs'!$E$45)</x:f>
        <x:v>0.006299367808522445</x:v>
      </x:c>
      <x:c r="N675" s="78" t="n">
        <x:f>H675*(L675*(1-'Inputs'!$B$15))/(I675+L675*(1-'Inputs'!$B$15))</x:f>
        <x:v>0</x:v>
      </x:c>
      <x:c r="O675" s="78" t="n">
        <x:f>H675-N675</x:f>
        <x:v>135524674117.92642</x:v>
      </x:c>
      <x:c r="P675" s="78" t="n">
        <x:f>I675+L675*(1-'Inputs'!$B$17)</x:f>
        <x:v>0.1259873561704489</x:v>
      </x:c>
      <x:c r="Q675" s="78" t="n">
        <x:f>IF(J675&gt;0,M675/J675,0)</x:f>
        <x:v>0</x:v>
      </x:c>
      <x:c r="R675" s="78" t="n">
        <x:f>IF(B675='Inputs'!$H$45,'Inputs'!$B$27*'Inputs'!$I$45,0)</x:f>
        <x:v>0</x:v>
      </x:c>
      <x:c r="S675" s="78" t="n">
        <x:f>Q675+G675+R675</x:f>
        <x:v>511081.81061174796</x:v>
      </x:c>
      <x:c r="T675" s="78" t="n">
        <x:f>P675*(S675*(1-'Inputs'!$B$15))/(O675+S675*(1-'Inputs'!$B$15))</x:f>
        <x:v>4.703623902428927e-7</x:v>
      </x:c>
      <x:c r="U675" s="78" t="n">
        <x:f>O675+S675*(1-'Inputs'!$B$17)</x:f>
        <x:v>135525183143.0698</x:v>
      </x:c>
      <x:c r="V675" s="78" t="n">
        <x:f>P675-T675</x:f>
        <x:v>0.12598688580805867</x:v>
      </x:c>
      <x:c r="W675" s="79" t="n">
        <x:f>IF(U675&gt;0,V675/U675,0)</x:f>
        <x:v>9.296197421482777e-13</x:v>
      </x:c>
      <x:c r="X675" s="80" t="n">
        <x:f>W675*('Inputs'!$B$6-AC675)</x:f>
        <x:v>-0.004409548715356569</x:v>
      </x:c>
      <x:c r="Y675" s="80" t="n">
        <x:f>2*V675</x:f>
        <x:v>0.25197377161611734</x:v>
      </x:c>
      <x:c r="Z675" s="80" t="n">
        <x:f>K675*'Inputs'!$B$16+(G675+R675)*J675*'Inputs'!$B$16</x:f>
        <x:v>0.0007559269877144892</x:v>
      </x:c>
      <x:c r="AA675" s="80" t="n">
        <x:f>K675*(1+'Inputs'!$E$45)/2*'Inputs'!$B$17</x:f>
        <x:v>0.00024082090213667294</x:v>
      </x:c>
      <x:c r="AB675" s="78" t="n">
        <x:f>(IF(J675&gt;0,K675*(1-'Inputs'!$E$45)/2/J675,0)+G675+R675)*'Inputs'!$B$17</x:f>
        <x:v>2056.6672459225274</x:v>
      </x:c>
      <x:c r="AC675" s="78" t="n">
        <x:f>AC674+AB675</x:f>
        <x:v>5743389705.952727</x:v>
      </x:c>
      <x:c r="AD675" s="80" t="n">
        <x:f>Z675/(1+'Inputs'!$C$45)</x:f>
        <x:v>0.0005039513251429928</x:v>
      </x:c>
      <x:c r="AE675" s="80" t="n">
        <x:f>Z675-AD675</x:f>
        <x:v>0.00025197566257149635</x:v>
      </x:c>
      <x:c r="AF675" s="80" t="n">
        <x:f>D675*W675</x:f>
        <x:v>2.439617277856471e-7</x:v>
      </x:c>
      <x:c r="AG675" s="80" t="n">
        <x:f>C675*W675</x:f>
        <x:v>4.269330236248755e-7</x:v>
      </x:c>
      <x:c r="AH675" s="80" t="n">
        <x:f>2*'Inputs'!$B$8*'Inputs'!$C$45</x:f>
        <x:v>2500</x:v>
      </x:c>
      <x:c r="AI675" s="81" t="n">
        <x:f>IF(AH675&gt;0,(AE675+AF675)/AH675*365,0)</x:f>
        <x:v>0.00003682406514769517</x:v>
      </x:c>
      <x:c r="AJ675" s="81" t="n">
        <x:f>IF('Inputs'!$B$45&gt;0,AG675/('Inputs'!$B$19*'Inputs'!$B$45)*365,0)</x:f>
        <x:v>2.0777407149743943e-8</x:v>
      </x:c>
      <x:c r="AK675" s="81" t="n">
        <x:f>W675/MAX($W$369:W675)-1</x:f>
        <x:v>-0.9999999987635284</x:v>
      </x:c>
      <x:c r="AL675" s="83" t="n">
        <x:f>'Inputs'!$B$45</x:f>
        <x:v>0.75</x:v>
      </x:c>
      <x:c r="AM675" s="83" t="n">
        <x:f>'Inputs'!$C$45</x:f>
        <x:v>0.5</x:v>
      </x:c>
      <x:c r="AN675" s="83" t="n">
        <x:f>'Inputs'!$D$45</x:f>
        <x:v>0.5</x:v>
      </x:c>
      <x:c r="AO675" s="81" t="n">
        <x:f>'Inputs'!$E$45</x:f>
        <x:v>-0.05</x:v>
      </x:c>
    </x:row>
    <x:row r="676">
      <x:c r="A676" s="59" t="str">
        <x:v>Weak demand</x:v>
      </x:c>
      <x:c r="B676" s="59" t="n">
        <x:v>308</x:v>
      </x:c>
      <x:c r="C676" s="78" t="n">
        <x:f>(('Inputs'!$B$29*(3*308*'Inputs'!$B$12-308^2)/(2*'Inputs'!$B$12^2))-('Inputs'!$B$29*(3*307*'Inputs'!$B$12-307^2)/(2*'Inputs'!$B$12^2)))*'Inputs'!$B$45</x:f>
        <x:v>459011.71655094624</x:v>
      </x:c>
      <x:c r="D676" s="78" t="n">
        <x:f>IF('Inputs'!$C$45&gt;0,('Inputs'!$B$30*(3*308*'Inputs'!$B$12-308^2)/(2*'Inputs'!$B$12^2))-('Inputs'!$B$30*(3*307*'Inputs'!$B$12-307^2)/(2*'Inputs'!$B$12^2)),0)</x:f>
        <x:v>262292.40945768356</x:v>
      </x:c>
      <x:c r="E676" s="78" t="n">
        <x:f>C676+D676</x:f>
        <x:v>721304.1260086298</x:v>
      </x:c>
      <x:c r="F676" s="78" t="n">
        <x:f>'Inputs'!$B$13*E676+(1-'Inputs'!$B$13)/'Inputs'!$B$14*SUM(E621:E676)</x:f>
        <x:v>729733.7094201536</x:v>
      </x:c>
      <x:c r="G676" s="78" t="n">
        <x:f>F676*'Inputs'!$F$45</x:f>
        <x:v>510813.5965941075</x:v>
      </x:c>
      <x:c r="H676" s="78" t="n">
        <x:f>U675</x:f>
        <x:v>135525183143.0698</x:v>
      </x:c>
      <x:c r="I676" s="78" t="n">
        <x:f>V675</x:f>
        <x:v>0.12598688580805867</x:v>
      </x:c>
      <x:c r="J676" s="79" t="n">
        <x:f>IF(H676&gt;0,I676/H676,0)</x:f>
        <x:v>9.296197421482777e-13</x:v>
      </x:c>
      <x:c r="K676" s="80" t="n">
        <x:f>(H676*J676+I676)*'Inputs'!$D$45*(1+'Inputs'!$G$45)^(B676/30)</x:f>
        <x:v>0.12598688580805867</x:v>
      </x:c>
      <x:c r="L676" s="80" t="n">
        <x:f>MAX(0,K676*'Inputs'!$E$45)</x:f>
        <x:v>0</x:v>
      </x:c>
      <x:c r="M676" s="80" t="n">
        <x:f>MAX(0,-K676*'Inputs'!$E$45)</x:f>
        <x:v>0.006299344290402934</x:v>
      </x:c>
      <x:c r="N676" s="78" t="n">
        <x:f>H676*(L676*(1-'Inputs'!$B$15))/(I676+L676*(1-'Inputs'!$B$15))</x:f>
        <x:v>0</x:v>
      </x:c>
      <x:c r="O676" s="78" t="n">
        <x:f>H676-N676</x:f>
        <x:v>135525183143.0698</x:v>
      </x:c>
      <x:c r="P676" s="78" t="n">
        <x:f>I676+L676*(1-'Inputs'!$B$17)</x:f>
        <x:v>0.12598688580805867</x:v>
      </x:c>
      <x:c r="Q676" s="78" t="n">
        <x:f>IF(J676&gt;0,M676/J676,0)</x:f>
        <x:v>0</x:v>
      </x:c>
      <x:c r="R676" s="78" t="n">
        <x:f>IF(B676='Inputs'!$H$45,'Inputs'!$B$27*'Inputs'!$I$45,0)</x:f>
        <x:v>0</x:v>
      </x:c>
      <x:c r="S676" s="78" t="n">
        <x:f>Q676+G676+R676</x:f>
        <x:v>510813.5965941075</x:v>
      </x:c>
      <x:c r="T676" s="78" t="n">
        <x:f>P676*(S676*(1-'Inputs'!$B$15))/(O676+S676*(1-'Inputs'!$B$15))</x:f>
        <x:v>4.701120257125583e-7</x:v>
      </x:c>
      <x:c r="U676" s="78" t="n">
        <x:f>O676+S676*(1-'Inputs'!$B$17)</x:f>
        <x:v>135525691901.07848</x:v>
      </x:c>
      <x:c r="V676" s="78" t="n">
        <x:f>P676-T676</x:f>
        <x:v>0.12598641569603294</x:v>
      </x:c>
      <x:c r="W676" s="79" t="n">
        <x:f>IF(U676&gt;0,V676/U676,0)</x:f>
        <x:v>9.296127835893408e-13</x:v>
      </x:c>
      <x:c r="X676" s="80" t="n">
        <x:f>W676*('Inputs'!$B$6-AC676)</x:f>
        <x:v>-0.004409517619100542</x:v>
      </x:c>
      <x:c r="Y676" s="80" t="n">
        <x:f>2*V676</x:f>
        <x:v>0.2519728313920659</x:v>
      </x:c>
      <x:c r="Z676" s="80" t="n">
        <x:f>K676*'Inputs'!$B$16+(G676+R676)*J676*'Inputs'!$B$16</x:f>
        <x:v>0.0007559241640227758</x:v>
      </x:c>
      <x:c r="AA676" s="80" t="n">
        <x:f>K676*(1+'Inputs'!$E$45)/2*'Inputs'!$B$17</x:f>
        <x:v>0.0002408200030536333</x:v>
      </x:c>
      <x:c r="AB676" s="78" t="n">
        <x:f>(IF(J676&gt;0,K676*(1-'Inputs'!$E$45)/2/J676,0)+G676+R676)*'Inputs'!$B$17</x:f>
        <x:v>2055.587913859588</x:v>
      </x:c>
      <x:c r="AC676" s="78" t="n">
        <x:f>AC675+AB676</x:f>
        <x:v>5743391761.540641</x:v>
      </x:c>
      <x:c r="AD676" s="80" t="n">
        <x:f>Z676/(1+'Inputs'!$C$45)</x:f>
        <x:v>0.0005039494426818506</x:v>
      </x:c>
      <x:c r="AE676" s="80" t="n">
        <x:f>Z676-AD676</x:f>
        <x:v>0.0002519747213409252</x:v>
      </x:c>
      <x:c r="AF676" s="80" t="n">
        <x:f>D676*W676</x:f>
        <x:v>2.4383037687031235e-7</x:v>
      </x:c>
      <x:c r="AG676" s="80" t="n">
        <x:f>C676*W676</x:f>
        <x:v>4.267031595230466e-7</x:v>
      </x:c>
      <x:c r="AH676" s="80" t="n">
        <x:f>2*'Inputs'!$B$8*'Inputs'!$C$45</x:f>
        <x:v>2500</x:v>
      </x:c>
      <x:c r="AI676" s="81" t="n">
        <x:f>IF(AH676&gt;0,(AE676+AF676)/AH676*365,0)</x:f>
        <x:v>0.00003682390855079815</x:v>
      </x:c>
      <x:c r="AJ676" s="81" t="n">
        <x:f>IF('Inputs'!$B$45&gt;0,AG676/('Inputs'!$B$19*'Inputs'!$B$45)*365,0)</x:f>
        <x:v>2.07662204301216e-8</x:v>
      </x:c>
      <x:c r="AK676" s="81" t="n">
        <x:f>W676/MAX($W$369:W676)-1</x:f>
        <x:v>-0.9999999987635376</x:v>
      </x:c>
      <x:c r="AL676" s="83" t="n">
        <x:f>'Inputs'!$B$45</x:f>
        <x:v>0.75</x:v>
      </x:c>
      <x:c r="AM676" s="83" t="n">
        <x:f>'Inputs'!$C$45</x:f>
        <x:v>0.5</x:v>
      </x:c>
      <x:c r="AN676" s="83" t="n">
        <x:f>'Inputs'!$D$45</x:f>
        <x:v>0.5</x:v>
      </x:c>
      <x:c r="AO676" s="81" t="n">
        <x:f>'Inputs'!$E$45</x:f>
        <x:v>-0.05</x:v>
      </x:c>
    </x:row>
    <x:row r="677">
      <x:c r="A677" s="59" t="str">
        <x:v>Weak demand</x:v>
      </x:c>
      <x:c r="B677" s="59" t="n">
        <x:v>309</x:v>
      </x:c>
      <x:c r="C677" s="78" t="n">
        <x:f>(('Inputs'!$B$29*(3*309*'Inputs'!$B$12-309^2)/(2*'Inputs'!$B$12^2))-('Inputs'!$B$29*(3*308*'Inputs'!$B$12-308^2)/(2*'Inputs'!$B$12^2)))*'Inputs'!$B$45</x:f>
        <x:v>458767.8856258169</x:v>
      </x:c>
      <x:c r="D677" s="78" t="n">
        <x:f>IF('Inputs'!$C$45&gt;0,('Inputs'!$B$30*(3*309*'Inputs'!$B$12-309^2)/(2*'Inputs'!$B$12^2))-('Inputs'!$B$30*(3*308*'Inputs'!$B$12-308^2)/(2*'Inputs'!$B$12^2)),0)</x:f>
        <x:v>262153.07750047743</x:v>
      </x:c>
      <x:c r="E677" s="78" t="n">
        <x:f>C677+D677</x:f>
        <x:v>720920.9631262943</x:v>
      </x:c>
      <x:c r="F677" s="78" t="n">
        <x:f>'Inputs'!$B$13*E677+(1-'Inputs'!$B$13)/'Inputs'!$B$14*SUM(E622:E677)</x:f>
        <x:v>729350.5465378128</x:v>
      </x:c>
      <x:c r="G677" s="78" t="n">
        <x:f>F677*'Inputs'!$F$45</x:f>
        <x:v>510545.3825764689</x:v>
      </x:c>
      <x:c r="H677" s="78" t="n">
        <x:f>U676</x:f>
        <x:v>135525691901.07848</x:v>
      </x:c>
      <x:c r="I677" s="78" t="n">
        <x:f>V676</x:f>
        <x:v>0.12598641569603294</x:v>
      </x:c>
      <x:c r="J677" s="79" t="n">
        <x:f>IF(H677&gt;0,I677/H677,0)</x:f>
        <x:v>9.296127835893408e-13</x:v>
      </x:c>
      <x:c r="K677" s="80" t="n">
        <x:f>(H677*J677+I677)*'Inputs'!$D$45*(1+'Inputs'!$G$45)^(B677/30)</x:f>
        <x:v>0.12598641569603294</x:v>
      </x:c>
      <x:c r="L677" s="80" t="n">
        <x:f>MAX(0,K677*'Inputs'!$E$45)</x:f>
        <x:v>0</x:v>
      </x:c>
      <x:c r="M677" s="80" t="n">
        <x:f>MAX(0,-K677*'Inputs'!$E$45)</x:f>
        <x:v>0.006299320784801648</x:v>
      </x:c>
      <x:c r="N677" s="78" t="n">
        <x:f>H677*(L677*(1-'Inputs'!$B$15))/(I677+L677*(1-'Inputs'!$B$15))</x:f>
        <x:v>0</x:v>
      </x:c>
      <x:c r="O677" s="78" t="n">
        <x:f>H677-N677</x:f>
        <x:v>135525691901.07848</x:v>
      </x:c>
      <x:c r="P677" s="78" t="n">
        <x:f>I677+L677*(1-'Inputs'!$B$17)</x:f>
        <x:v>0.12598641569603294</x:v>
      </x:c>
      <x:c r="Q677" s="78" t="n">
        <x:f>IF(J677&gt;0,M677/J677,0)</x:f>
        <x:v>0</x:v>
      </x:c>
      <x:c r="R677" s="78" t="n">
        <x:f>IF(B677='Inputs'!$H$45,'Inputs'!$B$27*'Inputs'!$I$45,0)</x:f>
        <x:v>0</x:v>
      </x:c>
      <x:c r="S677" s="78" t="n">
        <x:f>Q677+G677+R677</x:f>
        <x:v>510545.3825764689</x:v>
      </x:c>
      <x:c r="T677" s="78" t="n">
        <x:f>P677*(S677*(1-'Inputs'!$B$15))/(O677+S677*(1-'Inputs'!$B$15))</x:f>
        <x:v>4.6986166676493746e-7</x:v>
      </x:c>
      <x:c r="U677" s="78" t="n">
        <x:f>O677+S677*(1-'Inputs'!$B$17)</x:f>
        <x:v>135526200391.95247</x:v>
      </x:c>
      <x:c r="V677" s="78" t="n">
        <x:f>P677-T677</x:f>
        <x:v>0.12598594583436618</x:v>
      </x:c>
      <x:c r="W677" s="79" t="n">
        <x:f>IF(U677&gt;0,V677/U677,0)</x:f>
        <x:v>9.296058287622975e-13</x:v>
      </x:c>
      <x:c r="X677" s="80" t="n">
        <x:f>W677*('Inputs'!$B$6-AC677)</x:f>
        <x:v>-0.004409486539514395</x:v>
      </x:c>
      <x:c r="Y677" s="80" t="n">
        <x:f>2*V677</x:f>
        <x:v>0.25197189166873235</x:v>
      </x:c>
      <x:c r="Z677" s="80" t="n">
        <x:f>K677*'Inputs'!$B$16+(G677+R677)*J677*'Inputs'!$B$16</x:f>
        <x:v>0.0007559213418332831</x:v>
      </x:c>
      <x:c r="AA677" s="80" t="n">
        <x:f>K677*(1+'Inputs'!$E$45)/2*'Inputs'!$B$17</x:f>
        <x:v>0.00024081910444915755</x:v>
      </x:c>
      <x:c r="AB677" s="78" t="n">
        <x:f>(IF(J677&gt;0,K677*(1-'Inputs'!$E$45)/2/J677,0)+G677+R677)*'Inputs'!$B$17</x:f>
        <x:v>2054.508581796656</x:v>
      </x:c>
      <x:c r="AC677" s="78" t="n">
        <x:f>AC676+AB677</x:f>
        <x:v>5743393816.049223</x:v>
      </x:c>
      <x:c r="AD677" s="80" t="n">
        <x:f>Z677/(1+'Inputs'!$C$45)</x:f>
        <x:v>0.0005039475612221888</x:v>
      </x:c>
      <x:c r="AE677" s="80" t="n">
        <x:f>Z677-AD677</x:f>
        <x:v>0.0002519737806110944</x:v>
      </x:c>
      <x:c r="AF677" s="80" t="n">
        <x:f>D677*W677</x:f>
        <x:v>2.436990288724181e-7</x:v>
      </x:c>
      <x:c r="AG677" s="80" t="n">
        <x:f>C677*W677</x:f>
        <x:v>4.264733005267144e-7</x:v>
      </x:c>
      <x:c r="AH677" s="80" t="n">
        <x:f>2*'Inputs'!$B$8*'Inputs'!$C$45</x:f>
        <x:v>2500</x:v>
      </x:c>
      <x:c r="AI677" s="81" t="n">
        <x:f>IF(AH677&gt;0,(AE677+AF677)/AH677*365,0)</x:f>
        <x:v>0.00003682375202743515</x:v>
      </x:c>
      <x:c r="AJ677" s="81" t="n">
        <x:f>IF('Inputs'!$B$45&gt;0,AG677/('Inputs'!$B$19*'Inputs'!$B$45)*365,0)</x:f>
        <x:v>2.0755033958966767e-8</x:v>
      </x:c>
      <x:c r="AK677" s="81" t="n">
        <x:f>W677/MAX($W$369:W677)-1</x:f>
        <x:v>-0.9999999987635468</x:v>
      </x:c>
      <x:c r="AL677" s="83" t="n">
        <x:f>'Inputs'!$B$45</x:f>
        <x:v>0.75</x:v>
      </x:c>
      <x:c r="AM677" s="83" t="n">
        <x:f>'Inputs'!$C$45</x:f>
        <x:v>0.5</x:v>
      </x:c>
      <x:c r="AN677" s="83" t="n">
        <x:f>'Inputs'!$D$45</x:f>
        <x:v>0.5</x:v>
      </x:c>
      <x:c r="AO677" s="81" t="n">
        <x:f>'Inputs'!$E$45</x:f>
        <x:v>-0.05</x:v>
      </x:c>
    </x:row>
    <x:row r="678">
      <x:c r="A678" s="59" t="str">
        <x:v>Weak demand</x:v>
      </x:c>
      <x:c r="B678" s="59" t="n">
        <x:v>310</x:v>
      </x:c>
      <x:c r="C678" s="78" t="n">
        <x:f>(('Inputs'!$B$29*(3*310*'Inputs'!$B$12-310^2)/(2*'Inputs'!$B$12^2))-('Inputs'!$B$29*(3*309*'Inputs'!$B$12-309^2)/(2*'Inputs'!$B$12^2)))*'Inputs'!$B$45</x:f>
        <x:v>458524.0547006875</x:v>
      </x:c>
      <x:c r="D678" s="78" t="n">
        <x:f>IF('Inputs'!$C$45&gt;0,('Inputs'!$B$30*(3*310*'Inputs'!$B$12-310^2)/(2*'Inputs'!$B$12^2))-('Inputs'!$B$30*(3*309*'Inputs'!$B$12-309^2)/(2*'Inputs'!$B$12^2)),0)</x:f>
        <x:v>262013.7455432415</x:v>
      </x:c>
      <x:c r="E678" s="78" t="n">
        <x:f>C678+D678</x:f>
        <x:v>720537.800243929</x:v>
      </x:c>
      <x:c r="F678" s="78" t="n">
        <x:f>'Inputs'!$B$13*E678+(1-'Inputs'!$B$13)/'Inputs'!$B$14*SUM(E623:E678)</x:f>
        <x:v>728967.3836554661</x:v>
      </x:c>
      <x:c r="G678" s="78" t="n">
        <x:f>F678*'Inputs'!$F$45</x:f>
        <x:v>510277.16855882626</x:v>
      </x:c>
      <x:c r="H678" s="78" t="n">
        <x:f>U677</x:f>
        <x:v>135526200391.95247</x:v>
      </x:c>
      <x:c r="I678" s="78" t="n">
        <x:f>V677</x:f>
        <x:v>0.12598594583436618</x:v>
      </x:c>
      <x:c r="J678" s="79" t="n">
        <x:f>IF(H678&gt;0,I678/H678,0)</x:f>
        <x:v>9.296058287622975e-13</x:v>
      </x:c>
      <x:c r="K678" s="80" t="n">
        <x:f>(H678*J678+I678)*'Inputs'!$D$45*(1+'Inputs'!$G$45)^(B678/30)</x:f>
        <x:v>0.12598594583436618</x:v>
      </x:c>
      <x:c r="L678" s="80" t="n">
        <x:f>MAX(0,K678*'Inputs'!$E$45)</x:f>
        <x:v>0</x:v>
      </x:c>
      <x:c r="M678" s="80" t="n">
        <x:f>MAX(0,-K678*'Inputs'!$E$45)</x:f>
        <x:v>0.006299297291718309</x:v>
      </x:c>
      <x:c r="N678" s="78" t="n">
        <x:f>H678*(L678*(1-'Inputs'!$B$15))/(I678+L678*(1-'Inputs'!$B$15))</x:f>
        <x:v>0</x:v>
      </x:c>
      <x:c r="O678" s="78" t="n">
        <x:f>H678-N678</x:f>
        <x:v>135526200391.95247</x:v>
      </x:c>
      <x:c r="P678" s="78" t="n">
        <x:f>I678+L678*(1-'Inputs'!$B$17)</x:f>
        <x:v>0.12598594583436618</x:v>
      </x:c>
      <x:c r="Q678" s="78" t="n">
        <x:f>IF(J678&gt;0,M678/J678,0)</x:f>
        <x:v>0</x:v>
      </x:c>
      <x:c r="R678" s="78" t="n">
        <x:f>IF(B678='Inputs'!$H$45,'Inputs'!$B$27*'Inputs'!$I$45,0)</x:f>
        <x:v>0</x:v>
      </x:c>
      <x:c r="S678" s="78" t="n">
        <x:f>Q678+G678+R678</x:f>
        <x:v>510277.16855882626</x:v>
      </x:c>
      <x:c r="T678" s="78" t="n">
        <x:f>P678*(S678*(1-'Inputs'!$B$15))/(O678+S678*(1-'Inputs'!$B$15))</x:f>
        <x:v>4.6961131339698923e-7</x:v>
      </x:c>
      <x:c r="U678" s="78" t="n">
        <x:f>O678+S678*(1-'Inputs'!$B$17)</x:f>
        <x:v>135526708615.69177</x:v>
      </x:c>
      <x:c r="V678" s="78" t="n">
        <x:f>P678-T678</x:f>
        <x:v>0.12598547622305278</x:v>
      </x:c>
      <x:c r="W678" s="79" t="n">
        <x:f>IF(U678&gt;0,V678/U678,0)</x:f>
        <x:v>9.295988776670233e-13</x:v>
      </x:c>
      <x:c r="X678" s="80" t="n">
        <x:f>W678*('Inputs'!$B$6-AC678)</x:f>
        <x:v>-0.004409455476597582</x:v>
      </x:c>
      <x:c r="Y678" s="80" t="n">
        <x:f>2*V678</x:f>
        <x:v>0.25197095244610557</x:v>
      </x:c>
      <x:c r="Z678" s="80" t="n">
        <x:f>K678*'Inputs'!$B$16+(G678+R678)*J678*'Inputs'!$B$16</x:f>
        <x:v>0.0007559185211459782</x:v>
      </x:c>
      <x:c r="AA678" s="80" t="n">
        <x:f>K678*(1+'Inputs'!$E$45)/2*'Inputs'!$B$17</x:f>
        <x:v>0.00024081820632323515</x:v>
      </x:c>
      <x:c r="AB678" s="78" t="n">
        <x:f>(IF(J678&gt;0,K678*(1-'Inputs'!$E$45)/2/J678,0)+G678+R678)*'Inputs'!$B$17</x:f>
        <x:v>2053.4292497337074</x:v>
      </x:c>
      <x:c r="AC678" s="78" t="n">
        <x:f>AC677+AB678</x:f>
        <x:v>5743395869.478473</x:v>
      </x:c>
      <x:c r="AD678" s="80" t="n">
        <x:f>Z678/(1+'Inputs'!$C$45)</x:f>
        <x:v>0.0005039456807639854</x:v>
      </x:c>
      <x:c r="AE678" s="80" t="n">
        <x:f>Z678-AD678</x:f>
        <x:v>0.0002519728403819928</x:v>
      </x:c>
      <x:c r="AF678" s="80" t="n">
        <x:f>D678*W678</x:f>
        <x:v>2.4356768379033035e-7</x:v>
      </x:c>
      <x:c r="AG678" s="80" t="n">
        <x:f>C678*W678</x:f>
        <x:v>4.2624344663309195e-7</x:v>
      </x:c>
      <x:c r="AH678" s="80" t="n">
        <x:f>2*'Inputs'!$B$8*'Inputs'!$C$45</x:f>
        <x:v>2500</x:v>
      </x:c>
      <x:c r="AI678" s="81" t="n">
        <x:f>IF(AH678&gt;0,(AE678+AF678)/AH678*365,0)</x:f>
        <x:v>0.00003682359557760433</x:v>
      </x:c>
      <x:c r="AJ678" s="81" t="n">
        <x:f>IF('Inputs'!$B$45&gt;0,AG678/('Inputs'!$B$19*'Inputs'!$B$45)*365,0)</x:f>
        <x:v>2.074384773614381e-8</x:v>
      </x:c>
      <x:c r="AK678" s="81" t="n">
        <x:f>W678/MAX($W$369:W678)-1</x:f>
        <x:v>-0.9999999987635562</x:v>
      </x:c>
      <x:c r="AL678" s="83" t="n">
        <x:f>'Inputs'!$B$45</x:f>
        <x:v>0.75</x:v>
      </x:c>
      <x:c r="AM678" s="83" t="n">
        <x:f>'Inputs'!$C$45</x:f>
        <x:v>0.5</x:v>
      </x:c>
      <x:c r="AN678" s="83" t="n">
        <x:f>'Inputs'!$D$45</x:f>
        <x:v>0.5</x:v>
      </x:c>
      <x:c r="AO678" s="81" t="n">
        <x:f>'Inputs'!$E$45</x:f>
        <x:v>-0.05</x:v>
      </x:c>
    </x:row>
    <x:row r="679">
      <x:c r="A679" s="59" t="str">
        <x:v>Weak demand</x:v>
      </x:c>
      <x:c r="B679" s="59" t="n">
        <x:v>311</x:v>
      </x:c>
      <x:c r="C679" s="78" t="n">
        <x:f>(('Inputs'!$B$29*(3*311*'Inputs'!$B$12-311^2)/(2*'Inputs'!$B$12^2))-('Inputs'!$B$29*(3*310*'Inputs'!$B$12-310^2)/(2*'Inputs'!$B$12^2)))*'Inputs'!$B$45</x:f>
        <x:v>458280.2237755582</x:v>
      </x:c>
      <x:c r="D679" s="78" t="n">
        <x:f>IF('Inputs'!$C$45&gt;0,('Inputs'!$B$30*(3*311*'Inputs'!$B$12-311^2)/(2*'Inputs'!$B$12^2))-('Inputs'!$B$30*(3*310*'Inputs'!$B$12-310^2)/(2*'Inputs'!$B$12^2)),0)</x:f>
        <x:v>261874.41358605027</x:v>
      </x:c>
      <x:c r="E679" s="78" t="n">
        <x:f>C679+D679</x:f>
        <x:v>720154.6373616084</x:v>
      </x:c>
      <x:c r="F679" s="78" t="n">
        <x:f>'Inputs'!$B$13*E679+(1-'Inputs'!$B$13)/'Inputs'!$B$14*SUM(E624:E679)</x:f>
        <x:v>728584.2207731286</x:v>
      </x:c>
      <x:c r="G679" s="78" t="n">
        <x:f>F679*'Inputs'!$F$45</x:f>
        <x:v>510008.95454118995</x:v>
      </x:c>
      <x:c r="H679" s="78" t="n">
        <x:f>U678</x:f>
        <x:v>135526708615.69177</x:v>
      </x:c>
      <x:c r="I679" s="78" t="n">
        <x:f>V678</x:f>
        <x:v>0.12598547622305278</x:v>
      </x:c>
      <x:c r="J679" s="79" t="n">
        <x:f>IF(H679&gt;0,I679/H679,0)</x:f>
        <x:v>9.295988776670233e-13</x:v>
      </x:c>
      <x:c r="K679" s="80" t="n">
        <x:f>(H679*J679+I679)*'Inputs'!$D$45*(1+'Inputs'!$G$45)^(B679/30)</x:f>
        <x:v>0.12598547622305278</x:v>
      </x:c>
      <x:c r="L679" s="80" t="n">
        <x:f>MAX(0,K679*'Inputs'!$E$45)</x:f>
        <x:v>0</x:v>
      </x:c>
      <x:c r="M679" s="80" t="n">
        <x:f>MAX(0,-K679*'Inputs'!$E$45)</x:f>
        <x:v>0.006299273811152639</x:v>
      </x:c>
      <x:c r="N679" s="78" t="n">
        <x:f>H679*(L679*(1-'Inputs'!$B$15))/(I679+L679*(1-'Inputs'!$B$15))</x:f>
        <x:v>0</x:v>
      </x:c>
      <x:c r="O679" s="78" t="n">
        <x:f>H679-N679</x:f>
        <x:v>135526708615.69177</x:v>
      </x:c>
      <x:c r="P679" s="78" t="n">
        <x:f>I679+L679*(1-'Inputs'!$B$17)</x:f>
        <x:v>0.12598547622305278</x:v>
      </x:c>
      <x:c r="Q679" s="78" t="n">
        <x:f>IF(J679&gt;0,M679/J679,0)</x:f>
        <x:v>0</x:v>
      </x:c>
      <x:c r="R679" s="78" t="n">
        <x:f>IF(B679='Inputs'!$H$45,'Inputs'!$B$27*'Inputs'!$I$45,0)</x:f>
        <x:v>0</x:v>
      </x:c>
      <x:c r="S679" s="78" t="n">
        <x:f>Q679+G679+R679</x:f>
        <x:v>510008.95454118995</x:v>
      </x:c>
      <x:c r="T679" s="78" t="n">
        <x:f>P679*(S679*(1-'Inputs'!$B$15))/(O679+S679*(1-'Inputs'!$B$15))</x:f>
        <x:v>4.6936096560568755e-7</x:v>
      </x:c>
      <x:c r="U679" s="78" t="n">
        <x:f>O679+S679*(1-'Inputs'!$B$17)</x:f>
        <x:v>135527216572.2964</x:v>
      </x:c>
      <x:c r="V679" s="78" t="n">
        <x:f>P679-T679</x:f>
        <x:v>0.1259850068620872</x:v>
      </x:c>
      <x:c r="W679" s="79" t="n">
        <x:f>IF(U679&gt;0,V679/U679,0)</x:f>
        <x:v>9.295919303033944e-13</x:v>
      </x:c>
      <x:c r="X679" s="80" t="n">
        <x:f>W679*('Inputs'!$B$6-AC679)</x:f>
        <x:v>-0.004409424430349563</x:v>
      </x:c>
      <x:c r="Y679" s="80" t="n">
        <x:f>2*V679</x:f>
        <x:v>0.2519700137241744</x:v>
      </x:c>
      <x:c r="Z679" s="80" t="n">
        <x:f>K679*'Inputs'!$B$16+(G679+R679)*J679*'Inputs'!$B$16</x:f>
        <x:v>0.0007559157019608272</x:v>
      </x:c>
      <x:c r="AA679" s="80" t="n">
        <x:f>K679*(1+'Inputs'!$E$45)/2*'Inputs'!$B$17</x:f>
        <x:v>0.00024081730867585543</x:v>
      </x:c>
      <x:c r="AB679" s="78" t="n">
        <x:f>(IF(J679&gt;0,K679*(1-'Inputs'!$E$45)/2/J679,0)+G679+R679)*'Inputs'!$B$17</x:f>
        <x:v>2052.3499176707846</x:v>
      </x:c>
      <x:c r="AC679" s="78" t="n">
        <x:f>AC678+AB679</x:f>
        <x:v>5743397921.82839</x:v>
      </x:c>
      <x:c r="AD679" s="80" t="n">
        <x:f>Z679/(1+'Inputs'!$C$45)</x:f>
        <x:v>0.0005039438013072181</x:v>
      </x:c>
      <x:c r="AE679" s="80" t="n">
        <x:f>Z679-AD679</x:f>
        <x:v>0.000251971900653609</x:v>
      </x:c>
      <x:c r="AF679" s="80" t="n">
        <x:f>D679*W679</x:f>
        <x:v>2.434363416225259e-7</x:v>
      </x:c>
      <x:c r="AG679" s="80" t="n">
        <x:f>C679*W679</x:f>
        <x:v>4.2601359783939267e-7</x:v>
      </x:c>
      <x:c r="AH679" s="80" t="n">
        <x:f>2*'Inputs'!$B$8*'Inputs'!$C$45</x:f>
        <x:v>2500</x:v>
      </x:c>
      <x:c r="AI679" s="81" t="n">
        <x:f>IF(AH679&gt;0,(AE679+AF679)/AH679*365,0)</x:f>
        <x:v>0.00003682343920130381</x:v>
      </x:c>
      <x:c r="AJ679" s="81" t="n">
        <x:f>IF('Inputs'!$B$45&gt;0,AG679/('Inputs'!$B$19*'Inputs'!$B$45)*365,0)</x:f>
        <x:v>2.073266176151711e-8</x:v>
      </x:c>
      <x:c r="AK679" s="81" t="n">
        <x:f>W679/MAX($W$369:W679)-1</x:f>
        <x:v>-0.9999999987635654</x:v>
      </x:c>
      <x:c r="AL679" s="83" t="n">
        <x:f>'Inputs'!$B$45</x:f>
        <x:v>0.75</x:v>
      </x:c>
      <x:c r="AM679" s="83" t="n">
        <x:f>'Inputs'!$C$45</x:f>
        <x:v>0.5</x:v>
      </x:c>
      <x:c r="AN679" s="83" t="n">
        <x:f>'Inputs'!$D$45</x:f>
        <x:v>0.5</x:v>
      </x:c>
      <x:c r="AO679" s="81" t="n">
        <x:f>'Inputs'!$E$45</x:f>
        <x:v>-0.05</x:v>
      </x:c>
    </x:row>
    <x:row r="680">
      <x:c r="A680" s="59" t="str">
        <x:v>Weak demand</x:v>
      </x:c>
      <x:c r="B680" s="59" t="n">
        <x:v>312</x:v>
      </x:c>
      <x:c r="C680" s="78" t="n">
        <x:f>(('Inputs'!$B$29*(3*312*'Inputs'!$B$12-312^2)/(2*'Inputs'!$B$12^2))-('Inputs'!$B$29*(3*311*'Inputs'!$B$12-311^2)/(2*'Inputs'!$B$12^2)))*'Inputs'!$B$45</x:f>
        <x:v>458036.3928504512</x:v>
      </x:c>
      <x:c r="D680" s="78" t="n">
        <x:f>IF('Inputs'!$C$45&gt;0,('Inputs'!$B$30*(3*312*'Inputs'!$B$12-312^2)/(2*'Inputs'!$B$12^2))-('Inputs'!$B$30*(3*311*'Inputs'!$B$12-311^2)/(2*'Inputs'!$B$12^2)),0)</x:f>
        <x:v>261735.08162881434</x:v>
      </x:c>
      <x:c r="E680" s="78" t="n">
        <x:f>C680+D680</x:f>
        <x:v>719771.4744792655</x:v>
      </x:c>
      <x:c r="F680" s="78" t="n">
        <x:f>'Inputs'!$B$13*E680+(1-'Inputs'!$B$13)/'Inputs'!$B$14*SUM(E625:E680)</x:f>
        <x:v>728201.0578907864</x:v>
      </x:c>
      <x:c r="G680" s="78" t="n">
        <x:f>F680*'Inputs'!$F$45</x:f>
        <x:v>509740.7405235505</x:v>
      </x:c>
      <x:c r="H680" s="78" t="n">
        <x:f>U679</x:f>
        <x:v>135527216572.2964</x:v>
      </x:c>
      <x:c r="I680" s="78" t="n">
        <x:f>V679</x:f>
        <x:v>0.1259850068620872</x:v>
      </x:c>
      <x:c r="J680" s="79" t="n">
        <x:f>IF(H680&gt;0,I680/H680,0)</x:f>
        <x:v>9.295919303033944e-13</x:v>
      </x:c>
      <x:c r="K680" s="80" t="n">
        <x:f>(H680*J680+I680)*'Inputs'!$D$45*(1+'Inputs'!$G$45)^(B680/30)</x:f>
        <x:v>0.1259850068620872</x:v>
      </x:c>
      <x:c r="L680" s="80" t="n">
        <x:f>MAX(0,K680*'Inputs'!$E$45)</x:f>
        <x:v>0</x:v>
      </x:c>
      <x:c r="M680" s="80" t="n">
        <x:f>MAX(0,-K680*'Inputs'!$E$45)</x:f>
        <x:v>0.00629925034310436</x:v>
      </x:c>
      <x:c r="N680" s="78" t="n">
        <x:f>H680*(L680*(1-'Inputs'!$B$15))/(I680+L680*(1-'Inputs'!$B$15))</x:f>
        <x:v>0</x:v>
      </x:c>
      <x:c r="O680" s="78" t="n">
        <x:f>H680-N680</x:f>
        <x:v>135527216572.2964</x:v>
      </x:c>
      <x:c r="P680" s="78" t="n">
        <x:f>I680+L680*(1-'Inputs'!$B$17)</x:f>
        <x:v>0.1259850068620872</x:v>
      </x:c>
      <x:c r="Q680" s="78" t="n">
        <x:f>IF(J680&gt;0,M680/J680,0)</x:f>
        <x:v>0</x:v>
      </x:c>
      <x:c r="R680" s="78" t="n">
        <x:f>IF(B680='Inputs'!$H$45,'Inputs'!$B$27*'Inputs'!$I$45,0)</x:f>
        <x:v>0</x:v>
      </x:c>
      <x:c r="S680" s="78" t="n">
        <x:f>Q680+G680+R680</x:f>
        <x:v>509740.7405235505</x:v>
      </x:c>
      <x:c r="T680" s="78" t="n">
        <x:f>P680*(S680*(1-'Inputs'!$B$15))/(O680+S680*(1-'Inputs'!$B$15))</x:f>
        <x:v>4.691106233879884e-7</x:v>
      </x:c>
      <x:c r="U680" s="78" t="n">
        <x:f>O680+S680*(1-'Inputs'!$B$17)</x:f>
        <x:v>135527724261.76634</x:v>
      </x:c>
      <x:c r="V680" s="78" t="n">
        <x:f>P680-T680</x:f>
        <x:v>0.12598453775146382</x:v>
      </x:c>
      <x:c r="W680" s="79" t="n">
        <x:f>IF(U680&gt;0,V680/U680,0)</x:f>
        <x:v>9.295849866712862e-13</x:v>
      </x:c>
      <x:c r="X680" s="80" t="n">
        <x:f>W680*('Inputs'!$B$6-AC680)</x:f>
        <x:v>-0.004409393400769791</x:v>
      </x:c>
      <x:c r="Y680" s="80" t="n">
        <x:f>2*V680</x:f>
        <x:v>0.25196907550292763</x:v>
      </x:c>
      <x:c r="Z680" s="80" t="n">
        <x:f>K680*'Inputs'!$B$16+(G680+R680)*J680*'Inputs'!$B$16</x:f>
        <x:v>0.0007559128842777968</x:v>
      </x:c>
      <x:c r="AA680" s="80" t="n">
        <x:f>K680*(1+'Inputs'!$E$45)/2*'Inputs'!$B$17</x:f>
        <x:v>0.0002408164115070077</x:v>
      </x:c>
      <x:c r="AB680" s="78" t="n">
        <x:f>(IF(J680&gt;0,K680*(1-'Inputs'!$E$45)/2/J680,0)+G680+R680)*'Inputs'!$B$17</x:f>
        <x:v>2051.270585607849</x:v>
      </x:c>
      <x:c r="AC680" s="78" t="n">
        <x:f>AC679+AB680</x:f>
        <x:v>5743399973.098976</x:v>
      </x:c>
      <x:c r="AD680" s="80" t="n">
        <x:f>Z680/(1+'Inputs'!$C$45)</x:f>
        <x:v>0.0005039419228518645</x:v>
      </x:c>
      <x:c r="AE680" s="80" t="n">
        <x:f>Z680-AD680</x:f>
        <x:v>0.00025197096142593226</x:v>
      </x:c>
      <x:c r="AF680" s="80" t="n">
        <x:f>D680*W680</x:f>
        <x:v>2.433050023673294e-7</x:v>
      </x:c>
      <x:c r="AG680" s="80" t="n">
        <x:f>C680*W680</x:f>
        <x:v>4.257837541428507e-7</x:v>
      </x:c>
      <x:c r="AH680" s="80" t="n">
        <x:f>2*'Inputs'!$B$8*'Inputs'!$C$45</x:f>
        <x:v>2500</x:v>
      </x:c>
      <x:c r="AI680" s="81" t="n">
        <x:f>IF(AH680&gt;0,(AE680+AF680)/AH680*365,0)</x:f>
        <x:v>0.00003682328289853174</x:v>
      </x:c>
      <x:c r="AJ680" s="81" t="n">
        <x:f>IF('Inputs'!$B$45&gt;0,AG680/('Inputs'!$B$19*'Inputs'!$B$45)*365,0)</x:f>
        <x:v>2.0721476034952064e-8</x:v>
      </x:c>
      <x:c r="AK680" s="81" t="n">
        <x:f>W680/MAX($W$369:W680)-1</x:f>
        <x:v>-0.9999999987635746</x:v>
      </x:c>
      <x:c r="AL680" s="83" t="n">
        <x:f>'Inputs'!$B$45</x:f>
        <x:v>0.75</x:v>
      </x:c>
      <x:c r="AM680" s="83" t="n">
        <x:f>'Inputs'!$C$45</x:f>
        <x:v>0.5</x:v>
      </x:c>
      <x:c r="AN680" s="83" t="n">
        <x:f>'Inputs'!$D$45</x:f>
        <x:v>0.5</x:v>
      </x:c>
      <x:c r="AO680" s="81" t="n">
        <x:f>'Inputs'!$E$45</x:f>
        <x:v>-0.05</x:v>
      </x:c>
    </x:row>
    <x:row r="681">
      <x:c r="A681" s="59" t="str">
        <x:v>Weak demand</x:v>
      </x:c>
      <x:c r="B681" s="59" t="n">
        <x:v>313</x:v>
      </x:c>
      <x:c r="C681" s="78" t="n">
        <x:f>(('Inputs'!$B$29*(3*313*'Inputs'!$B$12-313^2)/(2*'Inputs'!$B$12^2))-('Inputs'!$B$29*(3*312*'Inputs'!$B$12-312^2)/(2*'Inputs'!$B$12^2)))*'Inputs'!$B$45</x:f>
        <x:v>457792.5619253218</x:v>
      </x:c>
      <x:c r="D681" s="78" t="n">
        <x:f>IF('Inputs'!$C$45&gt;0,('Inputs'!$B$30*(3*313*'Inputs'!$B$12-313^2)/(2*'Inputs'!$B$12^2))-('Inputs'!$B$30*(3*312*'Inputs'!$B$12-312^2)/(2*'Inputs'!$B$12^2)),0)</x:f>
        <x:v>261595.7496716082</x:v>
      </x:c>
      <x:c r="E681" s="78" t="n">
        <x:f>C681+D681</x:f>
        <x:v>719388.31159693</x:v>
      </x:c>
      <x:c r="F681" s="78" t="n">
        <x:f>'Inputs'!$B$13*E681+(1-'Inputs'!$B$13)/'Inputs'!$B$14*SUM(E626:E681)</x:f>
        <x:v>727817.895008446</x:v>
      </x:c>
      <x:c r="G681" s="78" t="n">
        <x:f>F681*'Inputs'!$F$45</x:f>
        <x:v>509472.52650591213</x:v>
      </x:c>
      <x:c r="H681" s="78" t="n">
        <x:f>U680</x:f>
        <x:v>135527724261.76634</x:v>
      </x:c>
      <x:c r="I681" s="78" t="n">
        <x:f>V680</x:f>
        <x:v>0.12598453775146382</x:v>
      </x:c>
      <x:c r="J681" s="79" t="n">
        <x:f>IF(H681&gt;0,I681/H681,0)</x:f>
        <x:v>9.295849866712862e-13</x:v>
      </x:c>
      <x:c r="K681" s="80" t="n">
        <x:f>(H681*J681+I681)*'Inputs'!$D$45*(1+'Inputs'!$G$45)^(B681/30)</x:f>
        <x:v>0.12598453775146382</x:v>
      </x:c>
      <x:c r="L681" s="80" t="n">
        <x:f>MAX(0,K681*'Inputs'!$E$45)</x:f>
        <x:v>0</x:v>
      </x:c>
      <x:c r="M681" s="80" t="n">
        <x:f>MAX(0,-K681*'Inputs'!$E$45)</x:f>
        <x:v>0.006299226887573191</x:v>
      </x:c>
      <x:c r="N681" s="78" t="n">
        <x:f>H681*(L681*(1-'Inputs'!$B$15))/(I681+L681*(1-'Inputs'!$B$15))</x:f>
        <x:v>0</x:v>
      </x:c>
      <x:c r="O681" s="78" t="n">
        <x:f>H681-N681</x:f>
        <x:v>135527724261.76634</x:v>
      </x:c>
      <x:c r="P681" s="78" t="n">
        <x:f>I681+L681*(1-'Inputs'!$B$17)</x:f>
        <x:v>0.12598453775146382</x:v>
      </x:c>
      <x:c r="Q681" s="78" t="n">
        <x:f>IF(J681&gt;0,M681/J681,0)</x:f>
        <x:v>0</x:v>
      </x:c>
      <x:c r="R681" s="78" t="n">
        <x:f>IF(B681='Inputs'!$H$45,'Inputs'!$B$27*'Inputs'!$I$45,0)</x:f>
        <x:v>0</x:v>
      </x:c>
      <x:c r="S681" s="78" t="n">
        <x:f>Q681+G681+R681</x:f>
        <x:v>509472.52650591213</x:v>
      </x:c>
      <x:c r="T681" s="78" t="n">
        <x:f>P681*(S681*(1-'Inputs'!$B$15))/(O681+S681*(1-'Inputs'!$B$15))</x:f>
        <x:v>4.6886028674086045e-7</x:v>
      </x:c>
      <x:c r="U681" s="78" t="n">
        <x:f>O681+S681*(1-'Inputs'!$B$17)</x:f>
        <x:v>135528231684.1016</x:v>
      </x:c>
      <x:c r="V681" s="78" t="n">
        <x:f>P681-T681</x:f>
        <x:v>0.12598406889117708</x:v>
      </x:c>
      <x:c r="W681" s="79" t="n">
        <x:f>IF(U681&gt;0,V681/U681,0)</x:f>
        <x:v>9.295780467705747e-13</x:v>
      </x:c>
      <x:c r="X681" s="80" t="n">
        <x:f>W681*('Inputs'!$B$6-AC681)</x:f>
        <x:v>-0.004409362387857723</x:v>
      </x:c>
      <x:c r="Y681" s="80" t="n">
        <x:f>2*V681</x:f>
        <x:v>0.25196813778235416</x:v>
      </x:c>
      <x:c r="Z681" s="80" t="n">
        <x:f>K681*'Inputs'!$B$16+(G681+R681)*J681*'Inputs'!$B$16</x:f>
        <x:v>0.0007559100680968534</x:v>
      </x:c>
      <x:c r="AA681" s="80" t="n">
        <x:f>K681*(1+'Inputs'!$E$45)/2*'Inputs'!$B$17</x:f>
        <x:v>0.00024081551481668133</x:v>
      </x:c>
      <x:c r="AB681" s="78" t="n">
        <x:f>(IF(J681&gt;0,K681*(1-'Inputs'!$E$45)/2/J681,0)+G681+R681)*'Inputs'!$B$17</x:f>
        <x:v>2050.1912535449183</x:v>
      </x:c>
      <x:c r="AC681" s="78" t="n">
        <x:f>AC680+AB681</x:f>
        <x:v>5743402023.29023</x:v>
      </x:c>
      <x:c r="AD681" s="80" t="n">
        <x:f>Z681/(1+'Inputs'!$C$45)</x:f>
        <x:v>0.0005039400453979023</x:v>
      </x:c>
      <x:c r="AE681" s="80" t="n">
        <x:f>Z681-AD681</x:f>
        <x:v>0.00025197002269895113</x:v>
      </x:c>
      <x:c r="AF681" s="80" t="n">
        <x:f>D681*W681</x:f>
        <x:v>2.4317366602321774e-7</x:v>
      </x:c>
      <x:c r="AG681" s="80" t="n">
        <x:f>C681*W681</x:f>
        <x:v>4.25553915540638e-7</x:v>
      </x:c>
      <x:c r="AH681" s="80" t="n">
        <x:f>2*'Inputs'!$B$8*'Inputs'!$C$45</x:f>
        <x:v>2500</x:v>
      </x:c>
      <x:c r="AI681" s="81" t="n">
        <x:f>IF(AH681&gt;0,(AE681+AF681)/AH681*365,0)</x:f>
        <x:v>0.000036823126669286256</x:v>
      </x:c>
      <x:c r="AJ681" s="81" t="n">
        <x:f>IF('Inputs'!$B$45&gt;0,AG681/('Inputs'!$B$19*'Inputs'!$B$45)*365,0)</x:f>
        <x:v>2.071029055631105e-8</x:v>
      </x:c>
      <x:c r="AK681" s="81" t="n">
        <x:f>W681/MAX($W$369:W681)-1</x:f>
        <x:v>-0.9999999987635838</x:v>
      </x:c>
      <x:c r="AL681" s="83" t="n">
        <x:f>'Inputs'!$B$45</x:f>
        <x:v>0.75</x:v>
      </x:c>
      <x:c r="AM681" s="83" t="n">
        <x:f>'Inputs'!$C$45</x:f>
        <x:v>0.5</x:v>
      </x:c>
      <x:c r="AN681" s="83" t="n">
        <x:f>'Inputs'!$D$45</x:f>
        <x:v>0.5</x:v>
      </x:c>
      <x:c r="AO681" s="81" t="n">
        <x:f>'Inputs'!$E$45</x:f>
        <x:v>-0.05</x:v>
      </x:c>
    </x:row>
    <x:row r="682">
      <x:c r="A682" s="59" t="str">
        <x:v>Weak demand</x:v>
      </x:c>
      <x:c r="B682" s="59" t="n">
        <x:v>314</x:v>
      </x:c>
      <x:c r="C682" s="78" t="n">
        <x:f>(('Inputs'!$B$29*(3*314*'Inputs'!$B$12-314^2)/(2*'Inputs'!$B$12^2))-('Inputs'!$B$29*(3*313*'Inputs'!$B$12-313^2)/(2*'Inputs'!$B$12^2)))*'Inputs'!$B$45</x:f>
        <x:v>457548.7310001701</x:v>
      </x:c>
      <x:c r="D682" s="78" t="n">
        <x:f>IF('Inputs'!$C$45&gt;0,('Inputs'!$B$30*(3*314*'Inputs'!$B$12-314^2)/(2*'Inputs'!$B$12^2))-('Inputs'!$B$30*(3*313*'Inputs'!$B$12-313^2)/(2*'Inputs'!$B$12^2)),0)</x:f>
        <x:v>261456.41771440208</x:v>
      </x:c>
      <x:c r="E682" s="78" t="n">
        <x:f>C682+D682</x:f>
        <x:v>719005.1487145722</x:v>
      </x:c>
      <x:c r="F682" s="78" t="n">
        <x:f>'Inputs'!$B$13*E682+(1-'Inputs'!$B$13)/'Inputs'!$B$14*SUM(E627:E682)</x:f>
        <x:v>727434.7321261007</x:v>
      </x:c>
      <x:c r="G682" s="78" t="n">
        <x:f>F682*'Inputs'!$F$45</x:f>
        <x:v>509204.31248827046</x:v>
      </x:c>
      <x:c r="H682" s="78" t="n">
        <x:f>U681</x:f>
        <x:v>135528231684.1016</x:v>
      </x:c>
      <x:c r="I682" s="78" t="n">
        <x:f>V681</x:f>
        <x:v>0.12598406889117708</x:v>
      </x:c>
      <x:c r="J682" s="79" t="n">
        <x:f>IF(H682&gt;0,I682/H682,0)</x:f>
        <x:v>9.295780467705747e-13</x:v>
      </x:c>
      <x:c r="K682" s="80" t="n">
        <x:f>(H682*J682+I682)*'Inputs'!$D$45*(1+'Inputs'!$G$45)^(B682/30)</x:f>
        <x:v>0.12598406889117708</x:v>
      </x:c>
      <x:c r="L682" s="80" t="n">
        <x:f>MAX(0,K682*'Inputs'!$E$45)</x:f>
        <x:v>0</x:v>
      </x:c>
      <x:c r="M682" s="80" t="n">
        <x:f>MAX(0,-K682*'Inputs'!$E$45)</x:f>
        <x:v>0.006299203444558855</x:v>
      </x:c>
      <x:c r="N682" s="78" t="n">
        <x:f>H682*(L682*(1-'Inputs'!$B$15))/(I682+L682*(1-'Inputs'!$B$15))</x:f>
        <x:v>0</x:v>
      </x:c>
      <x:c r="O682" s="78" t="n">
        <x:f>H682-N682</x:f>
        <x:v>135528231684.1016</x:v>
      </x:c>
      <x:c r="P682" s="78" t="n">
        <x:f>I682+L682*(1-'Inputs'!$B$17)</x:f>
        <x:v>0.12598406889117708</x:v>
      </x:c>
      <x:c r="Q682" s="78" t="n">
        <x:f>IF(J682&gt;0,M682/J682,0)</x:f>
        <x:v>0</x:v>
      </x:c>
      <x:c r="R682" s="78" t="n">
        <x:f>IF(B682='Inputs'!$H$45,'Inputs'!$B$27*'Inputs'!$I$45,0)</x:f>
        <x:v>0</x:v>
      </x:c>
      <x:c r="S682" s="78" t="n">
        <x:f>Q682+G682+R682</x:f>
        <x:v>509204.31248827046</x:v>
      </x:c>
      <x:c r="T682" s="78" t="n">
        <x:f>P682*(S682*(1-'Inputs'!$B$15))/(O682+S682*(1-'Inputs'!$B$15))</x:f>
        <x:v>4.686099556612647e-7</x:v>
      </x:c>
      <x:c r="U682" s="78" t="n">
        <x:f>O682+S682*(1-'Inputs'!$B$17)</x:f>
        <x:v>135528738839.30215</x:v>
      </x:c>
      <x:c r="V682" s="78" t="n">
        <x:f>P682-T682</x:f>
        <x:v>0.1259836002812214</x:v>
      </x:c>
      <x:c r="W682" s="79" t="n">
        <x:f>IF(U682&gt;0,V682/U682,0)</x:f>
        <x:v>9.29571110601136e-13</x:v>
      </x:c>
      <x:c r="X682" s="80" t="n">
        <x:f>W682*('Inputs'!$B$6-AC682)</x:f>
        <x:v>-0.004409331391612818</x:v>
      </x:c>
      <x:c r="Y682" s="80" t="n">
        <x:f>2*V682</x:f>
        <x:v>0.2519672005624428</x:v>
      </x:c>
      <x:c r="Z682" s="80" t="n">
        <x:f>K682*'Inputs'!$B$16+(G682+R682)*J682*'Inputs'!$B$16</x:f>
        <x:v>0.0007559072534179637</x:v>
      </x:c>
      <x:c r="AA682" s="80" t="n">
        <x:f>K682*(1+'Inputs'!$E$45)/2*'Inputs'!$B$17</x:f>
        <x:v>0.00024081461860486566</x:v>
      </x:c>
      <x:c r="AB682" s="78" t="n">
        <x:f>(IF(J682&gt;0,K682*(1-'Inputs'!$E$45)/2/J682,0)+G682+R682)*'Inputs'!$B$17</x:f>
        <x:v>2049.1119214819737</x:v>
      </x:c>
      <x:c r="AC682" s="78" t="n">
        <x:f>AC681+AB682</x:f>
        <x:v>5743404072.402151</x:v>
      </x:c>
      <x:c r="AD682" s="80" t="n">
        <x:f>Z682/(1+'Inputs'!$C$45)</x:f>
        <x:v>0.0005039381689453091</x:v>
      </x:c>
      <x:c r="AE682" s="80" t="n">
        <x:f>Z682-AD682</x:f>
        <x:v>0.00025196908447265457</x:v>
      </x:c>
      <x:c r="AF682" s="80" t="n">
        <x:f>D682*W682</x:f>
        <x:v>2.4304233258857125e-7</x:v>
      </x:c>
      <x:c r="AG682" s="80" t="n">
        <x:f>C682*W682</x:f>
        <x:v>4.253240820299685e-7</x:v>
      </x:c>
      <x:c r="AH682" s="80" t="n">
        <x:f>2*'Inputs'!$B$8*'Inputs'!$C$45</x:f>
        <x:v>2500</x:v>
      </x:c>
      <x:c r="AI682" s="81" t="n">
        <x:f>IF(AH682&gt;0,(AE682+AF682)/AH682*365,0)</x:f>
        <x:v>0.0000368229705135655</x:v>
      </x:c>
      <x:c r="AJ682" s="81" t="n">
        <x:f>IF('Inputs'!$B$45&gt;0,AG682/('Inputs'!$B$19*'Inputs'!$B$45)*365,0)</x:f>
        <x:v>2.0699105325458466e-8</x:v>
      </x:c>
      <x:c r="AK682" s="81" t="n">
        <x:f>W682/MAX($W$369:W682)-1</x:f>
        <x:v>-0.999999998763593</x:v>
      </x:c>
      <x:c r="AL682" s="83" t="n">
        <x:f>'Inputs'!$B$45</x:f>
        <x:v>0.75</x:v>
      </x:c>
      <x:c r="AM682" s="83" t="n">
        <x:f>'Inputs'!$C$45</x:f>
        <x:v>0.5</x:v>
      </x:c>
      <x:c r="AN682" s="83" t="n">
        <x:f>'Inputs'!$D$45</x:f>
        <x:v>0.5</x:v>
      </x:c>
      <x:c r="AO682" s="81" t="n">
        <x:f>'Inputs'!$E$45</x:f>
        <x:v>-0.05</x:v>
      </x:c>
    </x:row>
    <x:row r="683">
      <x:c r="A683" s="59" t="str">
        <x:v>Weak demand</x:v>
      </x:c>
      <x:c r="B683" s="59" t="n">
        <x:v>315</x:v>
      </x:c>
      <x:c r="C683" s="78" t="n">
        <x:f>(('Inputs'!$B$29*(3*315*'Inputs'!$B$12-315^2)/(2*'Inputs'!$B$12^2))-('Inputs'!$B$29*(3*314*'Inputs'!$B$12-314^2)/(2*'Inputs'!$B$12^2)))*'Inputs'!$B$45</x:f>
        <x:v>457304.9000750631</x:v>
      </x:c>
      <x:c r="D683" s="78" t="n">
        <x:f>IF('Inputs'!$C$45&gt;0,('Inputs'!$B$30*(3*315*'Inputs'!$B$12-315^2)/(2*'Inputs'!$B$12^2))-('Inputs'!$B$30*(3*314*'Inputs'!$B$12-314^2)/(2*'Inputs'!$B$12^2)),0)</x:f>
        <x:v>261317.08575716615</x:v>
      </x:c>
      <x:c r="E683" s="78" t="n">
        <x:f>C683+D683</x:f>
        <x:v>718621.9858322293</x:v>
      </x:c>
      <x:c r="F683" s="78" t="n">
        <x:f>'Inputs'!$B$13*E683+(1-'Inputs'!$B$13)/'Inputs'!$B$14*SUM(E628:E683)</x:f>
        <x:v>727051.5692437585</x:v>
      </x:c>
      <x:c r="G683" s="78" t="n">
        <x:f>F683*'Inputs'!$F$45</x:f>
        <x:v>508936.0984706309</x:v>
      </x:c>
      <x:c r="H683" s="78" t="n">
        <x:f>U682</x:f>
        <x:v>135528738839.30215</x:v>
      </x:c>
      <x:c r="I683" s="78" t="n">
        <x:f>V682</x:f>
        <x:v>0.1259836002812214</x:v>
      </x:c>
      <x:c r="J683" s="79" t="n">
        <x:f>IF(H683&gt;0,I683/H683,0)</x:f>
        <x:v>9.29571110601136e-13</x:v>
      </x:c>
      <x:c r="K683" s="80" t="n">
        <x:f>(H683*J683+I683)*'Inputs'!$D$45*(1+'Inputs'!$G$45)^(B683/30)</x:f>
        <x:v>0.1259836002812214</x:v>
      </x:c>
      <x:c r="L683" s="80" t="n">
        <x:f>MAX(0,K683*'Inputs'!$E$45)</x:f>
        <x:v>0</x:v>
      </x:c>
      <x:c r="M683" s="80" t="n">
        <x:f>MAX(0,-K683*'Inputs'!$E$45)</x:f>
        <x:v>0.006299180014061071</x:v>
      </x:c>
      <x:c r="N683" s="78" t="n">
        <x:f>H683*(L683*(1-'Inputs'!$B$15))/(I683+L683*(1-'Inputs'!$B$15))</x:f>
        <x:v>0</x:v>
      </x:c>
      <x:c r="O683" s="78" t="n">
        <x:f>H683-N683</x:f>
        <x:v>135528738839.30215</x:v>
      </x:c>
      <x:c r="P683" s="78" t="n">
        <x:f>I683+L683*(1-'Inputs'!$B$17)</x:f>
        <x:v>0.1259836002812214</x:v>
      </x:c>
      <x:c r="Q683" s="78" t="n">
        <x:f>IF(J683&gt;0,M683/J683,0)</x:f>
        <x:v>0</x:v>
      </x:c>
      <x:c r="R683" s="78" t="n">
        <x:f>IF(B683='Inputs'!$H$45,'Inputs'!$B$27*'Inputs'!$I$45,0)</x:f>
        <x:v>0</x:v>
      </x:c>
      <x:c r="S683" s="78" t="n">
        <x:f>Q683+G683+R683</x:f>
        <x:v>508936.0984706309</x:v>
      </x:c>
      <x:c r="T683" s="78" t="n">
        <x:f>P683*(S683*(1-'Inputs'!$B$15))/(O683+S683*(1-'Inputs'!$B$15))</x:f>
        <x:v>4.683596301461713e-7</x:v>
      </x:c>
      <x:c r="U683" s="78" t="n">
        <x:f>O683+S683*(1-'Inputs'!$B$17)</x:f>
        <x:v>135529245727.36804</x:v>
      </x:c>
      <x:c r="V683" s="78" t="n">
        <x:f>P683-T683</x:f>
        <x:v>0.12598313192159127</x:v>
      </x:c>
      <x:c r="W683" s="79" t="n">
        <x:f>IF(U683&gt;0,V683/U683,0)</x:f>
        <x:v>9.29564178162846e-13</x:v>
      </x:c>
      <x:c r="X683" s="80" t="n">
        <x:f>W683*('Inputs'!$B$6-AC683)</x:f>
        <x:v>-0.004409300412034533</x:v>
      </x:c>
      <x:c r="Y683" s="80" t="n">
        <x:f>2*V683</x:f>
        <x:v>0.25196626384318255</x:v>
      </x:c>
      <x:c r="Z683" s="80" t="n">
        <x:f>K683*'Inputs'!$B$16+(G683+R683)*J683*'Inputs'!$B$16</x:f>
        <x:v>0.0007559044402410942</x:v>
      </x:c>
      <x:c r="AA683" s="80" t="n">
        <x:f>K683*(1+'Inputs'!$E$45)/2*'Inputs'!$B$17</x:f>
        <x:v>0.00024081372287154999</x:v>
      </x:c>
      <x:c r="AB683" s="78" t="n">
        <x:f>(IF(J683&gt;0,K683*(1-'Inputs'!$E$45)/2/J683,0)+G683+R683)*'Inputs'!$B$17</x:f>
        <x:v>2048.032589419038</x:v>
      </x:c>
      <x:c r="AC683" s="78" t="n">
        <x:f>AC682+AB683</x:f>
        <x:v>5743406120.43474</x:v>
      </x:c>
      <x:c r="AD683" s="80" t="n">
        <x:f>Z683/(1+'Inputs'!$C$45)</x:f>
        <x:v>0.0005039362934940628</x:v>
      </x:c>
      <x:c r="AE683" s="80" t="n">
        <x:f>Z683-AD683</x:f>
        <x:v>0.0002519681467470314</x:v>
      </x:c>
      <x:c r="AF683" s="80" t="n">
        <x:f>D683*W683</x:f>
        <x:v>2.4291100206177007e-7</x:v>
      </x:c>
      <x:c r="AG683" s="80" t="n">
        <x:f>C683*W683</x:f>
        <x:v>4.2509425360811844e-7</x:v>
      </x:c>
      <x:c r="AH683" s="80" t="n">
        <x:f>2*'Inputs'!$B$8*'Inputs'!$C$45</x:f>
        <x:v>2500</x:v>
      </x:c>
      <x:c r="AI683" s="81" t="n">
        <x:f>IF(AH683&gt;0,(AE683+AF683)/AH683*365,0)</x:f>
        <x:v>0.0000368228144313676</x:v>
      </x:c>
      <x:c r="AJ683" s="81" t="n">
        <x:f>IF('Inputs'!$B$45&gt;0,AG683/('Inputs'!$B$19*'Inputs'!$B$45)*365,0)</x:f>
        <x:v>2.0687920342261762e-8</x:v>
      </x:c>
      <x:c r="AK683" s="81" t="n">
        <x:f>W683/MAX($W$369:W683)-1</x:f>
        <x:v>-0.9999999987636022</x:v>
      </x:c>
      <x:c r="AL683" s="83" t="n">
        <x:f>'Inputs'!$B$45</x:f>
        <x:v>0.75</x:v>
      </x:c>
      <x:c r="AM683" s="83" t="n">
        <x:f>'Inputs'!$C$45</x:f>
        <x:v>0.5</x:v>
      </x:c>
      <x:c r="AN683" s="83" t="n">
        <x:f>'Inputs'!$D$45</x:f>
        <x:v>0.5</x:v>
      </x:c>
      <x:c r="AO683" s="81" t="n">
        <x:f>'Inputs'!$E$45</x:f>
        <x:v>-0.05</x:v>
      </x:c>
    </x:row>
    <x:row r="684">
      <x:c r="A684" s="59" t="str">
        <x:v>Weak demand</x:v>
      </x:c>
      <x:c r="B684" s="59" t="n">
        <x:v>316</x:v>
      </x:c>
      <x:c r="C684" s="78" t="n">
        <x:f>(('Inputs'!$B$29*(3*316*'Inputs'!$B$12-316^2)/(2*'Inputs'!$B$12^2))-('Inputs'!$B$29*(3*315*'Inputs'!$B$12-315^2)/(2*'Inputs'!$B$12^2)))*'Inputs'!$B$45</x:f>
        <x:v>457061.06914993376</x:v>
      </x:c>
      <x:c r="D684" s="78" t="n">
        <x:f>IF('Inputs'!$C$45&gt;0,('Inputs'!$B$30*(3*316*'Inputs'!$B$12-316^2)/(2*'Inputs'!$B$12^2))-('Inputs'!$B$30*(3*315*'Inputs'!$B$12-315^2)/(2*'Inputs'!$B$12^2)),0)</x:f>
        <x:v>261177.75379997492</x:v>
      </x:c>
      <x:c r="E684" s="78" t="n">
        <x:f>C684+D684</x:f>
        <x:v>718238.8229499087</x:v>
      </x:c>
      <x:c r="F684" s="78" t="n">
        <x:f>'Inputs'!$B$13*E684+(1-'Inputs'!$B$13)/'Inputs'!$B$14*SUM(E629:E684)</x:f>
        <x:v>726668.4063614212</x:v>
      </x:c>
      <x:c r="G684" s="78" t="n">
        <x:f>F684*'Inputs'!$F$45</x:f>
        <x:v>508667.8844529948</x:v>
      </x:c>
      <x:c r="H684" s="78" t="n">
        <x:f>U683</x:f>
        <x:v>135529245727.36804</x:v>
      </x:c>
      <x:c r="I684" s="78" t="n">
        <x:f>V683</x:f>
        <x:v>0.12598313192159127</x:v>
      </x:c>
      <x:c r="J684" s="79" t="n">
        <x:f>IF(H684&gt;0,I684/H684,0)</x:f>
        <x:v>9.29564178162846e-13</x:v>
      </x:c>
      <x:c r="K684" s="80" t="n">
        <x:f>(H684*J684+I684)*'Inputs'!$D$45*(1+'Inputs'!$G$45)^(B684/30)</x:f>
        <x:v>0.12598313192159127</x:v>
      </x:c>
      <x:c r="L684" s="80" t="n">
        <x:f>MAX(0,K684*'Inputs'!$E$45)</x:f>
        <x:v>0</x:v>
      </x:c>
      <x:c r="M684" s="80" t="n">
        <x:f>MAX(0,-K684*'Inputs'!$E$45)</x:f>
        <x:v>0.006299156596079564</x:v>
      </x:c>
      <x:c r="N684" s="78" t="n">
        <x:f>H684*(L684*(1-'Inputs'!$B$15))/(I684+L684*(1-'Inputs'!$B$15))</x:f>
        <x:v>0</x:v>
      </x:c>
      <x:c r="O684" s="78" t="n">
        <x:f>H684-N684</x:f>
        <x:v>135529245727.36804</x:v>
      </x:c>
      <x:c r="P684" s="78" t="n">
        <x:f>I684+L684*(1-'Inputs'!$B$17)</x:f>
        <x:v>0.12598313192159127</x:v>
      </x:c>
      <x:c r="Q684" s="78" t="n">
        <x:f>IF(J684&gt;0,M684/J684,0)</x:f>
        <x:v>0</x:v>
      </x:c>
      <x:c r="R684" s="78" t="n">
        <x:f>IF(B684='Inputs'!$H$45,'Inputs'!$B$27*'Inputs'!$I$45,0)</x:f>
        <x:v>0</x:v>
      </x:c>
      <x:c r="S684" s="78" t="n">
        <x:f>Q684+G684+R684</x:f>
        <x:v>508667.8844529948</x:v>
      </x:c>
      <x:c r="T684" s="78" t="n">
        <x:f>P684*(S684*(1-'Inputs'!$B$15))/(O684+S684*(1-'Inputs'!$B$15))</x:f>
        <x:v>4.6810931019254675e-7</x:v>
      </x:c>
      <x:c r="U684" s="78" t="n">
        <x:f>O684+S684*(1-'Inputs'!$B$17)</x:f>
        <x:v>135529752348.29924</x:v>
      </x:c>
      <x:c r="V684" s="78" t="n">
        <x:f>P684-T684</x:f>
        <x:v>0.12598266381228107</x:v>
      </x:c>
      <x:c r="W684" s="79" t="n">
        <x:f>IF(U684&gt;0,V684/U684,0)</x:f>
        <x:v>9.295572494555806e-13</x:v>
      </x:c>
      <x:c r="X684" s="80" t="n">
        <x:f>W684*('Inputs'!$B$6-AC684)</x:f>
        <x:v>-0.004409269449122323</x:v>
      </x:c>
      <x:c r="Y684" s="80" t="n">
        <x:f>2*V684</x:f>
        <x:v>0.25196532762456214</x:v>
      </x:c>
      <x:c r="Z684" s="80" t="n">
        <x:f>K684*'Inputs'!$B$16+(G684+R684)*J684*'Inputs'!$B$16</x:f>
        <x:v>0.0007559016285662116</x:v>
      </x:c>
      <x:c r="AA684" s="80" t="n">
        <x:f>K684*(1+'Inputs'!$E$45)/2*'Inputs'!$B$17</x:f>
        <x:v>0.00024081282761672377</x:v>
      </x:c>
      <x:c r="AB684" s="78" t="n">
        <x:f>(IF(J684&gt;0,K684*(1-'Inputs'!$E$45)/2/J684,0)+G684+R684)*'Inputs'!$B$17</x:f>
        <x:v>2046.953257356116</x:v>
      </x:c>
      <x:c r="AC684" s="78" t="n">
        <x:f>AC683+AB684</x:f>
        <x:v>5743408167.387998</x:v>
      </x:c>
      <x:c r="AD684" s="80" t="n">
        <x:f>Z684/(1+'Inputs'!$C$45)</x:f>
        <x:v>0.000503934419044141</x:v>
      </x:c>
      <x:c r="AE684" s="80" t="n">
        <x:f>Z684-AD684</x:f>
        <x:v>0.00025196720952207056</x:v>
      </x:c>
      <x:c r="AF684" s="80" t="n">
        <x:f>D684*W684</x:f>
        <x:v>2.427796744412915e-7</x:v>
      </x:c>
      <x:c r="AG684" s="80" t="n">
        <x:f>C684*W684</x:f>
        <x:v>4.2486443027223934e-7</x:v>
      </x:c>
      <x:c r="AH684" s="80" t="n">
        <x:f>2*'Inputs'!$B$8*'Inputs'!$C$45</x:f>
        <x:v>2500</x:v>
      </x:c>
      <x:c r="AI684" s="81" t="n">
        <x:f>IF(AH684&gt;0,(AE684+AF684)/AH684*365,0)</x:f>
        <x:v>0.000036822658422690726</x:v>
      </x:c>
      <x:c r="AJ684" s="81" t="n">
        <x:f>IF('Inputs'!$B$45&gt;0,AG684/('Inputs'!$B$19*'Inputs'!$B$45)*365,0)</x:f>
        <x:v>2.0676735606582315e-8</x:v>
      </x:c>
      <x:c r="AK684" s="81" t="n">
        <x:f>W684/MAX($W$369:W684)-1</x:f>
        <x:v>-0.9999999987636115</x:v>
      </x:c>
      <x:c r="AL684" s="83" t="n">
        <x:f>'Inputs'!$B$45</x:f>
        <x:v>0.75</x:v>
      </x:c>
      <x:c r="AM684" s="83" t="n">
        <x:f>'Inputs'!$C$45</x:f>
        <x:v>0.5</x:v>
      </x:c>
      <x:c r="AN684" s="83" t="n">
        <x:f>'Inputs'!$D$45</x:f>
        <x:v>0.5</x:v>
      </x:c>
      <x:c r="AO684" s="81" t="n">
        <x:f>'Inputs'!$E$45</x:f>
        <x:v>-0.05</x:v>
      </x:c>
    </x:row>
    <x:row r="685">
      <x:c r="A685" s="59" t="str">
        <x:v>Weak demand</x:v>
      </x:c>
      <x:c r="B685" s="59" t="n">
        <x:v>317</x:v>
      </x:c>
      <x:c r="C685" s="78" t="n">
        <x:f>(('Inputs'!$B$29*(3*317*'Inputs'!$B$12-317^2)/(2*'Inputs'!$B$12^2))-('Inputs'!$B$29*(3*316*'Inputs'!$B$12-316^2)/(2*'Inputs'!$B$12^2)))*'Inputs'!$B$45</x:f>
        <x:v>456817.23822482675</x:v>
      </x:c>
      <x:c r="D685" s="78" t="n">
        <x:f>IF('Inputs'!$C$45&gt;0,('Inputs'!$B$30*(3*317*'Inputs'!$B$12-317^2)/(2*'Inputs'!$B$12^2))-('Inputs'!$B$30*(3*316*'Inputs'!$B$12-316^2)/(2*'Inputs'!$B$12^2)),0)</x:f>
        <x:v>261038.421842739</x:v>
      </x:c>
      <x:c r="E685" s="78" t="n">
        <x:f>C685+D685</x:f>
        <x:v>717855.6600675657</x:v>
      </x:c>
      <x:c r="F685" s="78" t="n">
        <x:f>'Inputs'!$B$13*E685+(1-'Inputs'!$B$13)/'Inputs'!$B$14*SUM(E630:E685)</x:f>
        <x:v>726285.243479079</x:v>
      </x:c>
      <x:c r="G685" s="78" t="n">
        <x:f>F685*'Inputs'!$F$45</x:f>
        <x:v>508399.6704353553</x:v>
      </x:c>
      <x:c r="H685" s="78" t="n">
        <x:f>U684</x:f>
        <x:v>135529752348.29924</x:v>
      </x:c>
      <x:c r="I685" s="78" t="n">
        <x:f>V684</x:f>
        <x:v>0.12598266381228107</x:v>
      </x:c>
      <x:c r="J685" s="79" t="n">
        <x:f>IF(H685&gt;0,I685/H685,0)</x:f>
        <x:v>9.295572494555806e-13</x:v>
      </x:c>
      <x:c r="K685" s="80" t="n">
        <x:f>(H685*J685+I685)*'Inputs'!$D$45*(1+'Inputs'!$G$45)^(B685/30)</x:f>
        <x:v>0.12598266381228107</x:v>
      </x:c>
      <x:c r="L685" s="80" t="n">
        <x:f>MAX(0,K685*'Inputs'!$E$45)</x:f>
        <x:v>0</x:v>
      </x:c>
      <x:c r="M685" s="80" t="n">
        <x:f>MAX(0,-K685*'Inputs'!$E$45)</x:f>
        <x:v>0.006299133190614054</x:v>
      </x:c>
      <x:c r="N685" s="78" t="n">
        <x:f>H685*(L685*(1-'Inputs'!$B$15))/(I685+L685*(1-'Inputs'!$B$15))</x:f>
        <x:v>0</x:v>
      </x:c>
      <x:c r="O685" s="78" t="n">
        <x:f>H685-N685</x:f>
        <x:v>135529752348.29924</x:v>
      </x:c>
      <x:c r="P685" s="78" t="n">
        <x:f>I685+L685*(1-'Inputs'!$B$17)</x:f>
        <x:v>0.12598266381228107</x:v>
      </x:c>
      <x:c r="Q685" s="78" t="n">
        <x:f>IF(J685&gt;0,M685/J685,0)</x:f>
        <x:v>0</x:v>
      </x:c>
      <x:c r="R685" s="78" t="n">
        <x:f>IF(B685='Inputs'!$H$45,'Inputs'!$B$27*'Inputs'!$I$45,0)</x:f>
        <x:v>0</x:v>
      </x:c>
      <x:c r="S685" s="78" t="n">
        <x:f>Q685+G685+R685</x:f>
        <x:v>508399.6704353553</x:v>
      </x:c>
      <x:c r="T685" s="78" t="n">
        <x:f>P685*(S685*(1-'Inputs'!$B$15))/(O685+S685*(1-'Inputs'!$B$15))</x:f>
        <x:v>4.6785899579735025e-7</x:v>
      </x:c>
      <x:c r="U685" s="78" t="n">
        <x:f>O685+S685*(1-'Inputs'!$B$17)</x:f>
        <x:v>135530258702.09575</x:v>
      </x:c>
      <x:c r="V685" s="78" t="n">
        <x:f>P685-T685</x:f>
        <x:v>0.12598219595328528</x:v>
      </x:c>
      <x:c r="W685" s="79" t="n">
        <x:f>IF(U685&gt;0,V685/U685,0)</x:f>
        <x:v>9.295503244792167e-13</x:v>
      </x:c>
      <x:c r="X685" s="80" t="n">
        <x:f>W685*('Inputs'!$B$6-AC685)</x:f>
        <x:v>-0.004409238502875651</x:v>
      </x:c>
      <x:c r="Y685" s="80" t="n">
        <x:f>2*V685</x:f>
        <x:v>0.25196439190657055</x:v>
      </x:c>
      <x:c r="Z685" s="80" t="n">
        <x:f>K685*'Inputs'!$B$16+(G685+R685)*J685*'Inputs'!$B$16</x:f>
        <x:v>0.000755898818393282</x:v>
      </x:c>
      <x:c r="AA685" s="80" t="n">
        <x:f>K685*(1+'Inputs'!$E$45)/2*'Inputs'!$B$17</x:f>
        <x:v>0.0002408119328403763</x:v>
      </x:c>
      <x:c r="AB685" s="78" t="n">
        <x:f>(IF(J685&gt;0,K685*(1-'Inputs'!$E$45)/2/J685,0)+G685+R685)*'Inputs'!$B$17</x:f>
        <x:v>2045.8739252931803</x:v>
      </x:c>
      <x:c r="AC685" s="78" t="n">
        <x:f>AC684+AB685</x:f>
        <x:v>5743410213.261923</x:v>
      </x:c>
      <x:c r="AD685" s="80" t="n">
        <x:f>Z685/(1+'Inputs'!$C$45)</x:f>
        <x:v>0.0005039325455955214</x:v>
      </x:c>
      <x:c r="AE685" s="80" t="n">
        <x:f>Z685-AD685</x:f>
        <x:v>0.0002519662727977607</x:v>
      </x:c>
      <x:c r="AF685" s="80" t="n">
        <x:f>D685*W685</x:f>
        <x:v>2.4264834972546065e-7</x:v>
      </x:c>
      <x:c r="AG685" s="80" t="n">
        <x:f>C685*W685</x:f>
        <x:v>4.2463461201958733e-7</x:v>
      </x:c>
      <x:c r="AH685" s="80" t="n">
        <x:f>2*'Inputs'!$B$8*'Inputs'!$C$45</x:f>
        <x:v>2500</x:v>
      </x:c>
      <x:c r="AI685" s="81" t="n">
        <x:f>IF(AH685&gt;0,(AE685+AF685)/AH685*365,0)</x:f>
        <x:v>0.00003682250248753298</x:v>
      </x:c>
      <x:c r="AJ685" s="81" t="n">
        <x:f>IF('Inputs'!$B$45&gt;0,AG685/('Inputs'!$B$19*'Inputs'!$B$45)*365,0)</x:f>
        <x:v>2.0665551118286583e-8</x:v>
      </x:c>
      <x:c r="AK685" s="81" t="n">
        <x:f>W685/MAX($W$369:W685)-1</x:f>
        <x:v>-0.9999999987636207</x:v>
      </x:c>
      <x:c r="AL685" s="83" t="n">
        <x:f>'Inputs'!$B$45</x:f>
        <x:v>0.75</x:v>
      </x:c>
      <x:c r="AM685" s="83" t="n">
        <x:f>'Inputs'!$C$45</x:f>
        <x:v>0.5</x:v>
      </x:c>
      <x:c r="AN685" s="83" t="n">
        <x:f>'Inputs'!$D$45</x:f>
        <x:v>0.5</x:v>
      </x:c>
      <x:c r="AO685" s="81" t="n">
        <x:f>'Inputs'!$E$45</x:f>
        <x:v>-0.05</x:v>
      </x:c>
    </x:row>
    <x:row r="686">
      <x:c r="A686" s="59" t="str">
        <x:v>Weak demand</x:v>
      </x:c>
      <x:c r="B686" s="59" t="n">
        <x:v>318</x:v>
      </x:c>
      <x:c r="C686" s="78" t="n">
        <x:f>(('Inputs'!$B$29*(3*318*'Inputs'!$B$12-318^2)/(2*'Inputs'!$B$12^2))-('Inputs'!$B$29*(3*317*'Inputs'!$B$12-317^2)/(2*'Inputs'!$B$12^2)))*'Inputs'!$B$45</x:f>
        <x:v>456573.40729967505</x:v>
      </x:c>
      <x:c r="D686" s="78" t="n">
        <x:f>IF('Inputs'!$C$45&gt;0,('Inputs'!$B$30*(3*318*'Inputs'!$B$12-318^2)/(2*'Inputs'!$B$12^2))-('Inputs'!$B$30*(3*317*'Inputs'!$B$12-317^2)/(2*'Inputs'!$B$12^2)),0)</x:f>
        <x:v>260899.08988553286</x:v>
      </x:c>
      <x:c r="E686" s="78" t="n">
        <x:f>C686+D686</x:f>
        <x:v>717472.4971852079</x:v>
      </x:c>
      <x:c r="F686" s="78" t="n">
        <x:f>'Inputs'!$B$13*E686+(1-'Inputs'!$B$13)/'Inputs'!$B$14*SUM(E631:E686)</x:f>
        <x:v>725902.080596734</x:v>
      </x:c>
      <x:c r="G686" s="78" t="n">
        <x:f>F686*'Inputs'!$F$45</x:f>
        <x:v>508131.4564177137</x:v>
      </x:c>
      <x:c r="H686" s="78" t="n">
        <x:f>U685</x:f>
        <x:v>135530258702.09575</x:v>
      </x:c>
      <x:c r="I686" s="78" t="n">
        <x:f>V685</x:f>
        <x:v>0.12598219595328528</x:v>
      </x:c>
      <x:c r="J686" s="79" t="n">
        <x:f>IF(H686&gt;0,I686/H686,0)</x:f>
        <x:v>9.295503244792167e-13</x:v>
      </x:c>
      <x:c r="K686" s="80" t="n">
        <x:f>(H686*J686+I686)*'Inputs'!$D$45*(1+'Inputs'!$G$45)^(B686/30)</x:f>
        <x:v>0.12598219595328528</x:v>
      </x:c>
      <x:c r="L686" s="80" t="n">
        <x:f>MAX(0,K686*'Inputs'!$E$45)</x:f>
        <x:v>0</x:v>
      </x:c>
      <x:c r="M686" s="80" t="n">
        <x:f>MAX(0,-K686*'Inputs'!$E$45)</x:f>
        <x:v>0.006299109797664264</x:v>
      </x:c>
      <x:c r="N686" s="78" t="n">
        <x:f>H686*(L686*(1-'Inputs'!$B$15))/(I686+L686*(1-'Inputs'!$B$15))</x:f>
        <x:v>0</x:v>
      </x:c>
      <x:c r="O686" s="78" t="n">
        <x:f>H686-N686</x:f>
        <x:v>135530258702.09575</x:v>
      </x:c>
      <x:c r="P686" s="78" t="n">
        <x:f>I686+L686*(1-'Inputs'!$B$17)</x:f>
        <x:v>0.12598219595328528</x:v>
      </x:c>
      <x:c r="Q686" s="78" t="n">
        <x:f>IF(J686&gt;0,M686/J686,0)</x:f>
        <x:v>0</x:v>
      </x:c>
      <x:c r="R686" s="78" t="n">
        <x:f>IF(B686='Inputs'!$H$45,'Inputs'!$B$27*'Inputs'!$I$45,0)</x:f>
        <x:v>0</x:v>
      </x:c>
      <x:c r="S686" s="78" t="n">
        <x:f>Q686+G686+R686</x:f>
        <x:v>508131.4564177137</x:v>
      </x:c>
      <x:c r="T686" s="78" t="n">
        <x:f>P686*(S686*(1-'Inputs'!$B$15))/(O686+S686*(1-'Inputs'!$B$15))</x:f>
        <x:v>4.6760868695754876e-7</x:v>
      </x:c>
      <x:c r="U686" s="78" t="n">
        <x:f>O686+S686*(1-'Inputs'!$B$17)</x:f>
        <x:v>135530764788.75757</x:v>
      </x:c>
      <x:c r="V686" s="78" t="n">
        <x:f>P686-T686</x:f>
        <x:v>0.1259817283445983</x:v>
      </x:c>
      <x:c r="W686" s="79" t="n">
        <x:f>IF(U686&gt;0,V686/U686,0)</x:f>
        <x:v>9.295434032336298e-13</x:v>
      </x:c>
      <x:c r="X686" s="80" t="n">
        <x:f>W686*('Inputs'!$B$6-AC686)</x:f>
        <x:v>-0.0044092075732939705</x:v>
      </x:c>
      <x:c r="Y686" s="80" t="n">
        <x:f>2*V686</x:f>
        <x:v>0.2519634566891966</x:v>
      </x:c>
      <x:c r="Z686" s="80" t="n">
        <x:f>K686*'Inputs'!$B$16+(G686+R686)*J686*'Inputs'!$B$16</x:f>
        <x:v>0.0007558960097222728</x:v>
      </x:c>
      <x:c r="AA686" s="80" t="n">
        <x:f>K686*(1+'Inputs'!$E$45)/2*'Inputs'!$B$17</x:f>
        <x:v>0.00024081103854249703</x:v>
      </x:c>
      <x:c r="AB686" s="78" t="n">
        <x:f>(IF(J686&gt;0,K686*(1-'Inputs'!$E$45)/2/J686,0)+G686+R686)*'Inputs'!$B$17</x:f>
        <x:v>2044.7945932302364</x:v>
      </x:c>
      <x:c r="AC686" s="78" t="n">
        <x:f>AC685+AB686</x:f>
        <x:v>5743412258.056516</x:v>
      </x:c>
      <x:c r="AD686" s="80" t="n">
        <x:f>Z686/(1+'Inputs'!$C$45)</x:f>
        <x:v>0.0005039306731481819</x:v>
      </x:c>
      <x:c r="AE686" s="80" t="n">
        <x:f>Z686-AD686</x:f>
        <x:v>0.0002519653365740909</x:v>
      </x:c>
      <x:c r="AF686" s="80" t="n">
        <x:f>D686*W686</x:f>
        <x:v>2.425170279127549e-7</x:v>
      </x:c>
      <x:c r="AG686" s="80" t="n">
        <x:f>C686*W686</x:f>
        <x:v>4.244047988473141e-7</x:v>
      </x:c>
      <x:c r="AH686" s="80" t="n">
        <x:f>2*'Inputs'!$B$8*'Inputs'!$C$45</x:f>
        <x:v>2500</x:v>
      </x:c>
      <x:c r="AI686" s="81" t="n">
        <x:f>IF(AH686&gt;0,(AE686+AF686)/AH686*365,0)</x:f>
        <x:v>0.000036822346625892534</x:v>
      </x:c>
      <x:c r="AJ686" s="81" t="n">
        <x:f>IF('Inputs'!$B$45&gt;0,AG686/('Inputs'!$B$19*'Inputs'!$B$45)*365,0)</x:f>
        <x:v>2.0654366877235953e-8</x:v>
      </x:c>
      <x:c r="AK686" s="81" t="n">
        <x:f>W686/MAX($W$369:W686)-1</x:f>
        <x:v>-0.9999999987636299</x:v>
      </x:c>
      <x:c r="AL686" s="83" t="n">
        <x:f>'Inputs'!$B$45</x:f>
        <x:v>0.75</x:v>
      </x:c>
      <x:c r="AM686" s="83" t="n">
        <x:f>'Inputs'!$C$45</x:f>
        <x:v>0.5</x:v>
      </x:c>
      <x:c r="AN686" s="83" t="n">
        <x:f>'Inputs'!$D$45</x:f>
        <x:v>0.5</x:v>
      </x:c>
      <x:c r="AO686" s="81" t="n">
        <x:f>'Inputs'!$E$45</x:f>
        <x:v>-0.05</x:v>
      </x:c>
    </x:row>
    <x:row r="687">
      <x:c r="A687" s="59" t="str">
        <x:v>Weak demand</x:v>
      </x:c>
      <x:c r="B687" s="59" t="n">
        <x:v>319</x:v>
      </x:c>
      <x:c r="C687" s="78" t="n">
        <x:f>(('Inputs'!$B$29*(3*319*'Inputs'!$B$12-319^2)/(2*'Inputs'!$B$12^2))-('Inputs'!$B$29*(3*318*'Inputs'!$B$12-318^2)/(2*'Inputs'!$B$12^2)))*'Inputs'!$B$45</x:f>
        <x:v>456329.5763745457</x:v>
      </x:c>
      <x:c r="D687" s="78" t="n">
        <x:f>IF('Inputs'!$C$45&gt;0,('Inputs'!$B$30*(3*319*'Inputs'!$B$12-319^2)/(2*'Inputs'!$B$12^2))-('Inputs'!$B$30*(3*318*'Inputs'!$B$12-318^2)/(2*'Inputs'!$B$12^2)),0)</x:f>
        <x:v>260759.75792831182</x:v>
      </x:c>
      <x:c r="E687" s="78" t="n">
        <x:f>C687+D687</x:f>
        <x:v>717089.3343028575</x:v>
      </x:c>
      <x:c r="F687" s="78" t="n">
        <x:f>'Inputs'!$B$13*E687+(1-'Inputs'!$B$13)/'Inputs'!$B$14*SUM(E632:E687)</x:f>
        <x:v>725518.9177143901</x:v>
      </x:c>
      <x:c r="G687" s="78" t="n">
        <x:f>F687*'Inputs'!$F$45</x:f>
        <x:v>507863.24240007304</x:v>
      </x:c>
      <x:c r="H687" s="78" t="n">
        <x:f>U686</x:f>
        <x:v>135530764788.75757</x:v>
      </x:c>
      <x:c r="I687" s="78" t="n">
        <x:f>V686</x:f>
        <x:v>0.1259817283445983</x:v>
      </x:c>
      <x:c r="J687" s="79" t="n">
        <x:f>IF(H687&gt;0,I687/H687,0)</x:f>
        <x:v>9.295434032336298e-13</x:v>
      </x:c>
      <x:c r="K687" s="80" t="n">
        <x:f>(H687*J687+I687)*'Inputs'!$D$45*(1+'Inputs'!$G$45)^(B687/30)</x:f>
        <x:v>0.1259817283445983</x:v>
      </x:c>
      <x:c r="L687" s="80" t="n">
        <x:f>MAX(0,K687*'Inputs'!$E$45)</x:f>
        <x:v>0</x:v>
      </x:c>
      <x:c r="M687" s="80" t="n">
        <x:f>MAX(0,-K687*'Inputs'!$E$45)</x:f>
        <x:v>0.006299086417229916</x:v>
      </x:c>
      <x:c r="N687" s="78" t="n">
        <x:f>H687*(L687*(1-'Inputs'!$B$15))/(I687+L687*(1-'Inputs'!$B$15))</x:f>
        <x:v>0</x:v>
      </x:c>
      <x:c r="O687" s="78" t="n">
        <x:f>H687-N687</x:f>
        <x:v>135530764788.75757</x:v>
      </x:c>
      <x:c r="P687" s="78" t="n">
        <x:f>I687+L687*(1-'Inputs'!$B$17)</x:f>
        <x:v>0.1259817283445983</x:v>
      </x:c>
      <x:c r="Q687" s="78" t="n">
        <x:f>IF(J687&gt;0,M687/J687,0)</x:f>
        <x:v>0</x:v>
      </x:c>
      <x:c r="R687" s="78" t="n">
        <x:f>IF(B687='Inputs'!$H$45,'Inputs'!$B$27*'Inputs'!$I$45,0)</x:f>
        <x:v>0</x:v>
      </x:c>
      <x:c r="S687" s="78" t="n">
        <x:f>Q687+G687+R687</x:f>
        <x:v>507863.24240007304</x:v>
      </x:c>
      <x:c r="T687" s="78" t="n">
        <x:f>P687*(S687*(1-'Inputs'!$B$15))/(O687+S687*(1-'Inputs'!$B$15))</x:f>
        <x:v>4.6735838367011083e-7</x:v>
      </x:c>
      <x:c r="U687" s="78" t="n">
        <x:f>O687+S687*(1-'Inputs'!$B$17)</x:f>
        <x:v>135531270608.28471</x:v>
      </x:c>
      <x:c r="V687" s="78" t="n">
        <x:f>P687-T687</x:f>
        <x:v>0.12598126098621465</x:v>
      </x:c>
      <x:c r="W687" s="79" t="n">
        <x:f>IF(U687&gt;0,V687/U687,0)</x:f>
        <x:v>9.295364857186965e-13</x:v>
      </x:c>
      <x:c r="X687" s="80" t="n">
        <x:f>W687*('Inputs'!$B$6-AC687)</x:f>
        <x:v>-0.004409176660376743</x:v>
      </x:c>
      <x:c r="Y687" s="80" t="n">
        <x:f>2*V687</x:f>
        <x:v>0.2519625219724293</x:v>
      </x:c>
      <x:c r="Z687" s="80" t="n">
        <x:f>K687*'Inputs'!$B$16+(G687+R687)*J687*'Inputs'!$B$16</x:f>
        <x:v>0.0007558932025531502</x:v>
      </x:c>
      <x:c r="AA687" s="80" t="n">
        <x:f>K687*(1+'Inputs'!$E$45)/2*'Inputs'!$B$17</x:f>
        <x:v>0.00024081014472307523</x:v>
      </x:c>
      <x:c r="AB687" s="78" t="n">
        <x:f>(IF(J687&gt;0,K687*(1-'Inputs'!$E$45)/2/J687,0)+G687+R687)*'Inputs'!$B$17</x:f>
        <x:v>2043.7152611672961</x:v>
      </x:c>
      <x:c r="AC687" s="78" t="n">
        <x:f>AC686+AB687</x:f>
        <x:v>5743414301.771777</x:v>
      </x:c>
      <x:c r="AD687" s="80" t="n">
        <x:f>Z687/(1+'Inputs'!$C$45)</x:f>
        <x:v>0.0005039288017021002</x:v>
      </x:c>
      <x:c r="AE687" s="80" t="n">
        <x:f>Z687-AD687</x:f>
        <x:v>0.0002519644008510501</x:v>
      </x:c>
      <x:c r="AF687" s="80" t="n">
        <x:f>D687*W687</x:f>
        <x:v>2.42385709001541e-7</x:v>
      </x:c>
      <x:c r="AG687" s="80" t="n">
        <x:f>C687*W687</x:f>
        <x:v>4.2417499075269673e-7</x:v>
      </x:c>
      <x:c r="AH687" s="80" t="n">
        <x:f>2*'Inputs'!$B$8*'Inputs'!$C$45</x:f>
        <x:v>2500</x:v>
      </x:c>
      <x:c r="AI687" s="81" t="n">
        <x:f>IF(AH687&gt;0,(AE687+AF687)/AH687*365,0)</x:f>
        <x:v>0.00003682219083776754</x:v>
      </x:c>
      <x:c r="AJ687" s="81" t="n">
        <x:f>IF('Inputs'!$B$45&gt;0,AG687/('Inputs'!$B$19*'Inputs'!$B$45)*365,0)</x:f>
        <x:v>2.064318288329791e-8</x:v>
      </x:c>
      <x:c r="AK687" s="81" t="n">
        <x:f>W687/MAX($W$369:W687)-1</x:f>
        <x:v>-0.9999999987636391</x:v>
      </x:c>
      <x:c r="AL687" s="83" t="n">
        <x:f>'Inputs'!$B$45</x:f>
        <x:v>0.75</x:v>
      </x:c>
      <x:c r="AM687" s="83" t="n">
        <x:f>'Inputs'!$C$45</x:f>
        <x:v>0.5</x:v>
      </x:c>
      <x:c r="AN687" s="83" t="n">
        <x:f>'Inputs'!$D$45</x:f>
        <x:v>0.5</x:v>
      </x:c>
      <x:c r="AO687" s="81" t="n">
        <x:f>'Inputs'!$E$45</x:f>
        <x:v>-0.05</x:v>
      </x:c>
    </x:row>
    <x:row r="688">
      <x:c r="A688" s="59" t="str">
        <x:v>Weak demand</x:v>
      </x:c>
      <x:c r="B688" s="59" t="n">
        <x:v>320</x:v>
      </x:c>
      <x:c r="C688" s="78" t="n">
        <x:f>(('Inputs'!$B$29*(3*320*'Inputs'!$B$12-320^2)/(2*'Inputs'!$B$12^2))-('Inputs'!$B$29*(3*319*'Inputs'!$B$12-319^2)/(2*'Inputs'!$B$12^2)))*'Inputs'!$B$45</x:f>
        <x:v>456085.7454494387</x:v>
      </x:c>
      <x:c r="D688" s="78" t="n">
        <x:f>IF('Inputs'!$C$45&gt;0,('Inputs'!$B$30*(3*320*'Inputs'!$B$12-320^2)/(2*'Inputs'!$B$12^2))-('Inputs'!$B$30*(3*319*'Inputs'!$B$12-319^2)/(2*'Inputs'!$B$12^2)),0)</x:f>
        <x:v>260620.4259711057</x:v>
      </x:c>
      <x:c r="E688" s="78" t="n">
        <x:f>C688+D688</x:f>
        <x:v>716706.1714205444</x:v>
      </x:c>
      <x:c r="F688" s="78" t="n">
        <x:f>'Inputs'!$B$13*E688+(1-'Inputs'!$B$13)/'Inputs'!$B$14*SUM(E633:E688)</x:f>
        <x:v>725135.7548320539</x:v>
      </x:c>
      <x:c r="G688" s="78" t="n">
        <x:f>F688*'Inputs'!$F$45</x:f>
        <x:v>507595.0283824377</x:v>
      </x:c>
      <x:c r="H688" s="78" t="n">
        <x:f>U687</x:f>
        <x:v>135531270608.28471</x:v>
      </x:c>
      <x:c r="I688" s="78" t="n">
        <x:f>V687</x:f>
        <x:v>0.12598126098621465</x:v>
      </x:c>
      <x:c r="J688" s="79" t="n">
        <x:f>IF(H688&gt;0,I688/H688,0)</x:f>
        <x:v>9.295364857186965e-13</x:v>
      </x:c>
      <x:c r="K688" s="80" t="n">
        <x:f>(H688*J688+I688)*'Inputs'!$D$45*(1+'Inputs'!$G$45)^(B688/30)</x:f>
        <x:v>0.12598126098621465</x:v>
      </x:c>
      <x:c r="L688" s="80" t="n">
        <x:f>MAX(0,K688*'Inputs'!$E$45)</x:f>
        <x:v>0</x:v>
      </x:c>
      <x:c r="M688" s="80" t="n">
        <x:f>MAX(0,-K688*'Inputs'!$E$45)</x:f>
        <x:v>0.006299063049310733</x:v>
      </x:c>
      <x:c r="N688" s="78" t="n">
        <x:f>H688*(L688*(1-'Inputs'!$B$15))/(I688+L688*(1-'Inputs'!$B$15))</x:f>
        <x:v>0</x:v>
      </x:c>
      <x:c r="O688" s="78" t="n">
        <x:f>H688-N688</x:f>
        <x:v>135531270608.28471</x:v>
      </x:c>
      <x:c r="P688" s="78" t="n">
        <x:f>I688+L688*(1-'Inputs'!$B$17)</x:f>
        <x:v>0.12598126098621465</x:v>
      </x:c>
      <x:c r="Q688" s="78" t="n">
        <x:f>IF(J688&gt;0,M688/J688,0)</x:f>
        <x:v>0</x:v>
      </x:c>
      <x:c r="R688" s="78" t="n">
        <x:f>IF(B688='Inputs'!$H$45,'Inputs'!$B$27*'Inputs'!$I$45,0)</x:f>
        <x:v>0</x:v>
      </x:c>
      <x:c r="S688" s="78" t="n">
        <x:f>Q688+G688+R688</x:f>
        <x:v>507595.0283824377</x:v>
      </x:c>
      <x:c r="T688" s="78" t="n">
        <x:f>P688*(S688*(1-'Inputs'!$B$15))/(O688+S688*(1-'Inputs'!$B$15))</x:f>
        <x:v>4.671080859320064e-7</x:v>
      </x:c>
      <x:c r="U688" s="78" t="n">
        <x:f>O688+S688*(1-'Inputs'!$B$17)</x:f>
        <x:v>135531776160.67717</x:v>
      </x:c>
      <x:c r="V688" s="78" t="n">
        <x:f>P688-T688</x:f>
        <x:v>0.12598079387812872</x:v>
      </x:c>
      <x:c r="W688" s="79" t="n">
        <x:f>IF(U688&gt;0,V688/U688,0)</x:f>
        <x:v>9.295295719342933e-13</x:v>
      </x:c>
      <x:c r="X688" s="80" t="n">
        <x:f>W688*('Inputs'!$B$6-AC688)</x:f>
        <x:v>-0.004409145764123426</x:v>
      </x:c>
      <x:c r="Y688" s="80" t="n">
        <x:f>2*V688</x:f>
        <x:v>0.25196158775625743</x:v>
      </x:c>
      <x:c r="Z688" s="80" t="n">
        <x:f>K688*'Inputs'!$B$16+(G688+R688)*J688*'Inputs'!$B$16</x:f>
        <x:v>0.000755890396885881</x:v>
      </x:c>
      <x:c r="AA688" s="80" t="n">
        <x:f>K688*(1+'Inputs'!$E$45)/2*'Inputs'!$B$17</x:f>
        <x:v>0.00024080925138210044</x:v>
      </x:c>
      <x:c r="AB688" s="78" t="n">
        <x:f>(IF(J688&gt;0,K688*(1-'Inputs'!$E$45)/2/J688,0)+G688+R688)*'Inputs'!$B$17</x:f>
        <x:v>2042.6359291043773</x:v>
      </x:c>
      <x:c r="AC688" s="78" t="n">
        <x:f>AC687+AB688</x:f>
        <x:v>5743416344.407706</x:v>
      </x:c>
      <x:c r="AD688" s="80" t="n">
        <x:f>Z688/(1+'Inputs'!$C$45)</x:f>
        <x:v>0.000503926931257254</x:v>
      </x:c>
      <x:c r="AE688" s="80" t="n">
        <x:f>Z688-AD688</x:f>
        <x:v>0.00025196346562862703</x:v>
      </x:c>
      <x:c r="AF688" s="80" t="n">
        <x:f>D688*W688</x:f>
        <x:v>2.4225439299025503e-7</x:v>
      </x:c>
      <x:c r="AG688" s="80" t="n">
        <x:f>C688*W688</x:f>
        <x:v>4.239451877329498e-7</x:v>
      </x:c>
      <x:c r="AH688" s="80" t="n">
        <x:f>2*'Inputs'!$B$8*'Inputs'!$C$45</x:f>
        <x:v>2500</x:v>
      </x:c>
      <x:c r="AI688" s="81" t="n">
        <x:f>IF(AH688&gt;0,(AE688+AF688)/AH688*365,0)</x:f>
        <x:v>0.00003682203512315612</x:v>
      </x:c>
      <x:c r="AJ688" s="81" t="n">
        <x:f>IF('Inputs'!$B$45&gt;0,AG688/('Inputs'!$B$19*'Inputs'!$B$45)*365,0)</x:f>
        <x:v>2.063199913633689e-8</x:v>
      </x:c>
      <x:c r="AK688" s="81" t="n">
        <x:f>W688/MAX($W$369:W688)-1</x:f>
        <x:v>-0.9999999987636483</x:v>
      </x:c>
      <x:c r="AL688" s="83" t="n">
        <x:f>'Inputs'!$B$45</x:f>
        <x:v>0.75</x:v>
      </x:c>
      <x:c r="AM688" s="83" t="n">
        <x:f>'Inputs'!$C$45</x:f>
        <x:v>0.5</x:v>
      </x:c>
      <x:c r="AN688" s="83" t="n">
        <x:f>'Inputs'!$D$45</x:f>
        <x:v>0.5</x:v>
      </x:c>
      <x:c r="AO688" s="81" t="n">
        <x:f>'Inputs'!$E$45</x:f>
        <x:v>-0.05</x:v>
      </x:c>
    </x:row>
    <x:row r="689">
      <x:c r="A689" s="59" t="str">
        <x:v>Weak demand</x:v>
      </x:c>
      <x:c r="B689" s="59" t="n">
        <x:v>321</x:v>
      </x:c>
      <x:c r="C689" s="78" t="n">
        <x:f>(('Inputs'!$B$29*(3*321*'Inputs'!$B$12-321^2)/(2*'Inputs'!$B$12^2))-('Inputs'!$B$29*(3*320*'Inputs'!$B$12-320^2)/(2*'Inputs'!$B$12^2)))*'Inputs'!$B$45</x:f>
        <x:v>455841.914524287</x:v>
      </x:c>
      <x:c r="D689" s="78" t="n">
        <x:f>IF('Inputs'!$C$45&gt;0,('Inputs'!$B$30*(3*321*'Inputs'!$B$12-321^2)/(2*'Inputs'!$B$12^2))-('Inputs'!$B$30*(3*320*'Inputs'!$B$12-320^2)/(2*'Inputs'!$B$12^2)),0)</x:f>
        <x:v>260481.09401388466</x:v>
      </x:c>
      <x:c r="E689" s="78" t="n">
        <x:f>C689+D689</x:f>
        <x:v>716323.0085381716</x:v>
      </x:c>
      <x:c r="F689" s="78" t="n">
        <x:f>'Inputs'!$B$13*E689+(1-'Inputs'!$B$13)/'Inputs'!$B$14*SUM(E634:E689)</x:f>
        <x:v>724752.591949706</x:v>
      </x:c>
      <x:c r="G689" s="78" t="n">
        <x:f>F689*'Inputs'!$F$45</x:f>
        <x:v>507326.8143647941</x:v>
      </x:c>
      <x:c r="H689" s="78" t="n">
        <x:f>U688</x:f>
        <x:v>135531776160.67717</x:v>
      </x:c>
      <x:c r="I689" s="78" t="n">
        <x:f>V688</x:f>
        <x:v>0.12598079387812872</x:v>
      </x:c>
      <x:c r="J689" s="79" t="n">
        <x:f>IF(H689&gt;0,I689/H689,0)</x:f>
        <x:v>9.295295719342933e-13</x:v>
      </x:c>
      <x:c r="K689" s="80" t="n">
        <x:f>(H689*J689+I689)*'Inputs'!$D$45*(1+'Inputs'!$G$45)^(B689/30)</x:f>
        <x:v>0.12598079387812872</x:v>
      </x:c>
      <x:c r="L689" s="80" t="n">
        <x:f>MAX(0,K689*'Inputs'!$E$45)</x:f>
        <x:v>0</x:v>
      </x:c>
      <x:c r="M689" s="80" t="n">
        <x:f>MAX(0,-K689*'Inputs'!$E$45)</x:f>
        <x:v>0.006299039693906436</x:v>
      </x:c>
      <x:c r="N689" s="78" t="n">
        <x:f>H689*(L689*(1-'Inputs'!$B$15))/(I689+L689*(1-'Inputs'!$B$15))</x:f>
        <x:v>0</x:v>
      </x:c>
      <x:c r="O689" s="78" t="n">
        <x:f>H689-N689</x:f>
        <x:v>135531776160.67717</x:v>
      </x:c>
      <x:c r="P689" s="78" t="n">
        <x:f>I689+L689*(1-'Inputs'!$B$17)</x:f>
        <x:v>0.12598079387812872</x:v>
      </x:c>
      <x:c r="Q689" s="78" t="n">
        <x:f>IF(J689&gt;0,M689/J689,0)</x:f>
        <x:v>0</x:v>
      </x:c>
      <x:c r="R689" s="78" t="n">
        <x:f>IF(B689='Inputs'!$H$45,'Inputs'!$B$27*'Inputs'!$I$45,0)</x:f>
        <x:v>0</x:v>
      </x:c>
      <x:c r="S689" s="78" t="n">
        <x:f>Q689+G689+R689</x:f>
        <x:v>507326.8143647941</x:v>
      </x:c>
      <x:c r="T689" s="78" t="n">
        <x:f>P689*(S689*(1-'Inputs'!$B$15))/(O689+S689*(1-'Inputs'!$B$15))</x:f>
        <x:v>4.668577937401893e-7</x:v>
      </x:c>
      <x:c r="U689" s="78" t="n">
        <x:f>O689+S689*(1-'Inputs'!$B$17)</x:f>
        <x:v>135532281445.93494</x:v>
      </x:c>
      <x:c r="V689" s="78" t="n">
        <x:f>P689-T689</x:f>
        <x:v>0.125980327020335</x:v>
      </x:c>
      <x:c r="W689" s="79" t="n">
        <x:f>IF(U689&gt;0,V689/U689,0)</x:f>
        <x:v>9.295226618802967e-13</x:v>
      </x:c>
      <x:c r="X689" s="80" t="n">
        <x:f>W689*('Inputs'!$B$6-AC689)</x:f>
        <x:v>-0.00440911488453348</x:v>
      </x:c>
      <x:c r="Y689" s="80" t="n">
        <x:f>2*V689</x:f>
        <x:v>0.25196065404067</x:v>
      </x:c>
      <x:c r="Z689" s="80" t="n">
        <x:f>K689*'Inputs'!$B$16+(G689+R689)*J689*'Inputs'!$B$16</x:f>
        <x:v>0.0007558875927204319</x:v>
      </x:c>
      <x:c r="AA689" s="80" t="n">
        <x:f>K689*(1+'Inputs'!$E$45)/2*'Inputs'!$B$17</x:f>
        <x:v>0.00024080835851956195</x:v>
      </x:c>
      <x:c r="AB689" s="78" t="n">
        <x:f>(IF(J689&gt;0,K689*(1-'Inputs'!$E$45)/2/J689,0)+G689+R689)*'Inputs'!$B$17</x:f>
        <x:v>2041.5565970414252</x:v>
      </x:c>
      <x:c r="AC689" s="78" t="n">
        <x:f>AC688+AB689</x:f>
        <x:v>5743418385.964303</x:v>
      </x:c>
      <x:c r="AD689" s="80" t="n">
        <x:f>Z689/(1+'Inputs'!$C$45)</x:f>
        <x:v>0.0005039250618136213</x:v>
      </x:c>
      <x:c r="AE689" s="80" t="n">
        <x:f>Z689-AD689</x:f>
        <x:v>0.0002519625309068106</x:v>
      </x:c>
      <x:c r="AF689" s="80" t="n">
        <x:f>D689*W689</x:f>
        <x:v>2.421230798772779e-7</x:v>
      </x:c>
      <x:c r="AG689" s="80" t="n">
        <x:f>C689*W689</x:f>
        <x:v>4.2371538978522595e-7</x:v>
      </x:c>
      <x:c r="AH689" s="80" t="n">
        <x:f>2*'Inputs'!$B$8*'Inputs'!$C$45</x:f>
        <x:v>2500</x:v>
      </x:c>
      <x:c r="AI689" s="81" t="n">
        <x:f>IF(AH689&gt;0,(AE689+AF689)/AH689*365,0)</x:f>
        <x:v>0.00003682187948205643</x:v>
      </x:c>
      <x:c r="AJ689" s="81" t="n">
        <x:f>IF('Inputs'!$B$45&gt;0,AG689/('Inputs'!$B$19*'Inputs'!$B$45)*365,0)</x:f>
        <x:v>2.062081563621433e-8</x:v>
      </x:c>
      <x:c r="AK689" s="81" t="n">
        <x:f>W689/MAX($W$369:W689)-1</x:f>
        <x:v>-0.9999999987636575</x:v>
      </x:c>
      <x:c r="AL689" s="83" t="n">
        <x:f>'Inputs'!$B$45</x:f>
        <x:v>0.75</x:v>
      </x:c>
      <x:c r="AM689" s="83" t="n">
        <x:f>'Inputs'!$C$45</x:f>
        <x:v>0.5</x:v>
      </x:c>
      <x:c r="AN689" s="83" t="n">
        <x:f>'Inputs'!$D$45</x:f>
        <x:v>0.5</x:v>
      </x:c>
      <x:c r="AO689" s="81" t="n">
        <x:f>'Inputs'!$E$45</x:f>
        <x:v>-0.05</x:v>
      </x:c>
    </x:row>
    <x:row r="690">
      <x:c r="A690" s="59" t="str">
        <x:v>Weak demand</x:v>
      </x:c>
      <x:c r="B690" s="59" t="n">
        <x:v>322</x:v>
      </x:c>
      <x:c r="C690" s="78" t="n">
        <x:f>(('Inputs'!$B$29*(3*322*'Inputs'!$B$12-322^2)/(2*'Inputs'!$B$12^2))-('Inputs'!$B$29*(3*321*'Inputs'!$B$12-321^2)/(2*'Inputs'!$B$12^2)))*'Inputs'!$B$45</x:f>
        <x:v>455598.08359918</x:v>
      </x:c>
      <x:c r="D690" s="78" t="n">
        <x:f>IF('Inputs'!$C$45&gt;0,('Inputs'!$B$30*(3*322*'Inputs'!$B$12-322^2)/(2*'Inputs'!$B$12^2))-('Inputs'!$B$30*(3*321*'Inputs'!$B$12-321^2)/(2*'Inputs'!$B$12^2)),0)</x:f>
        <x:v>260341.76205667853</x:v>
      </x:c>
      <x:c r="E690" s="78" t="n">
        <x:f>C690+D690</x:f>
        <x:v>715939.8456558585</x:v>
      </x:c>
      <x:c r="F690" s="78" t="n">
        <x:f>'Inputs'!$B$13*E690+(1-'Inputs'!$B$13)/'Inputs'!$B$14*SUM(E635:E690)</x:f>
        <x:v>724369.42906737</x:v>
      </x:c>
      <x:c r="G690" s="78" t="n">
        <x:f>F690*'Inputs'!$F$45</x:f>
        <x:v>507058.60034715896</x:v>
      </x:c>
      <x:c r="H690" s="78" t="n">
        <x:f>U689</x:f>
        <x:v>135532281445.93494</x:v>
      </x:c>
      <x:c r="I690" s="78" t="n">
        <x:f>V689</x:f>
        <x:v>0.125980327020335</x:v>
      </x:c>
      <x:c r="J690" s="79" t="n">
        <x:f>IF(H690&gt;0,I690/H690,0)</x:f>
        <x:v>9.295226618802967e-13</x:v>
      </x:c>
      <x:c r="K690" s="80" t="n">
        <x:f>(H690*J690+I690)*'Inputs'!$D$45*(1+'Inputs'!$G$45)^(B690/30)</x:f>
        <x:v>0.125980327020335</x:v>
      </x:c>
      <x:c r="L690" s="80" t="n">
        <x:f>MAX(0,K690*'Inputs'!$E$45)</x:f>
        <x:v>0</x:v>
      </x:c>
      <x:c r="M690" s="80" t="n">
        <x:f>MAX(0,-K690*'Inputs'!$E$45)</x:f>
        <x:v>0.00629901635101675</x:v>
      </x:c>
      <x:c r="N690" s="78" t="n">
        <x:f>H690*(L690*(1-'Inputs'!$B$15))/(I690+L690*(1-'Inputs'!$B$15))</x:f>
        <x:v>0</x:v>
      </x:c>
      <x:c r="O690" s="78" t="n">
        <x:f>H690-N690</x:f>
        <x:v>135532281445.93494</x:v>
      </x:c>
      <x:c r="P690" s="78" t="n">
        <x:f>I690+L690*(1-'Inputs'!$B$17)</x:f>
        <x:v>0.125980327020335</x:v>
      </x:c>
      <x:c r="Q690" s="78" t="n">
        <x:f>IF(J690&gt;0,M690/J690,0)</x:f>
        <x:v>0</x:v>
      </x:c>
      <x:c r="R690" s="78" t="n">
        <x:f>IF(B690='Inputs'!$H$45,'Inputs'!$B$27*'Inputs'!$I$45,0)</x:f>
        <x:v>0</x:v>
      </x:c>
      <x:c r="S690" s="78" t="n">
        <x:f>Q690+G690+R690</x:f>
        <x:v>507058.60034715896</x:v>
      </x:c>
      <x:c r="T690" s="78" t="n">
        <x:f>P690*(S690*(1-'Inputs'!$B$15))/(O690+S690*(1-'Inputs'!$B$15))</x:f>
        <x:v>4.666075070916411e-7</x:v>
      </x:c>
      <x:c r="U690" s="78" t="n">
        <x:f>O690+S690*(1-'Inputs'!$B$17)</x:f>
        <x:v>135532786464.05801</x:v>
      </x:c>
      <x:c r="V690" s="78" t="n">
        <x:f>P690-T690</x:f>
        <x:v>0.12597986041282788</x:v>
      </x:c>
      <x:c r="W690" s="79" t="n">
        <x:f>IF(U690&gt;0,V690/U690,0)</x:f>
        <x:v>9.295157555565828e-13</x:v>
      </x:c>
      <x:c r="X690" s="80" t="n">
        <x:f>W690*('Inputs'!$B$6-AC690)</x:f>
        <x:v>-0.004409084021606362</x:v>
      </x:c>
      <x:c r="Y690" s="80" t="n">
        <x:f>2*V690</x:f>
        <x:v>0.25195972082565576</x:v>
      </x:c>
      <x:c r="Z690" s="80" t="n">
        <x:f>K690*'Inputs'!$B$16+(G690+R690)*J690*'Inputs'!$B$16</x:f>
        <x:v>0.0007558847900567694</x:v>
      </x:c>
      <x:c r="AA690" s="80" t="n">
        <x:f>K690*(1+'Inputs'!$E$45)/2*'Inputs'!$B$17</x:f>
        <x:v>0.00024080746613544917</x:v>
      </x:c>
      <x:c r="AB690" s="78" t="n">
        <x:f>(IF(J690&gt;0,K690*(1-'Inputs'!$E$45)/2/J690,0)+G690+R690)*'Inputs'!$B$17</x:f>
        <x:v>2040.477264978507</x:v>
      </x:c>
      <x:c r="AC690" s="78" t="n">
        <x:f>AC689+AB690</x:f>
        <x:v>5743420426.441568</x:v>
      </x:c>
      <x:c r="AD690" s="80" t="n">
        <x:f>Z690/(1+'Inputs'!$C$45)</x:f>
        <x:v>0.0005039231933711796</x:v>
      </x:c>
      <x:c r="AE690" s="80" t="n">
        <x:f>Z690-AD690</x:f>
        <x:v>0.0002519615966855898</x:v>
      </x:c>
      <x:c r="AF690" s="80" t="n">
        <x:f>D690*W690</x:f>
        <x:v>2.4199176966104566e-7</x:v>
      </x:c>
      <x:c r="AG690" s="80" t="n">
        <x:f>C690*W690</x:f>
        <x:v>4.2348559690682294e-7</x:v>
      </x:c>
      <x:c r="AH690" s="80" t="n">
        <x:f>2*'Inputs'!$B$8*'Inputs'!$C$45</x:f>
        <x:v>2500</x:v>
      </x:c>
      <x:c r="AI690" s="81" t="n">
        <x:f>IF(AH690&gt;0,(AE690+AF690)/AH690*365,0)</x:f>
        <x:v>0.000036821723914466626</x:v>
      </x:c>
      <x:c r="AJ690" s="81" t="n">
        <x:f>IF('Inputs'!$B$45&gt;0,AG690/('Inputs'!$B$19*'Inputs'!$B$45)*365,0)</x:f>
        <x:v>2.0609632382798716e-8</x:v>
      </x:c>
      <x:c r="AK690" s="81" t="n">
        <x:f>W690/MAX($W$369:W690)-1</x:f>
        <x:v>-0.9999999987636666</x:v>
      </x:c>
      <x:c r="AL690" s="83" t="n">
        <x:f>'Inputs'!$B$45</x:f>
        <x:v>0.75</x:v>
      </x:c>
      <x:c r="AM690" s="83" t="n">
        <x:f>'Inputs'!$C$45</x:f>
        <x:v>0.5</x:v>
      </x:c>
      <x:c r="AN690" s="83" t="n">
        <x:f>'Inputs'!$D$45</x:f>
        <x:v>0.5</x:v>
      </x:c>
      <x:c r="AO690" s="81" t="n">
        <x:f>'Inputs'!$E$45</x:f>
        <x:v>-0.05</x:v>
      </x:c>
    </x:row>
    <x:row r="691">
      <x:c r="A691" s="59" t="str">
        <x:v>Weak demand</x:v>
      </x:c>
      <x:c r="B691" s="59" t="n">
        <x:v>323</x:v>
      </x:c>
      <x:c r="C691" s="78" t="n">
        <x:f>(('Inputs'!$B$29*(3*323*'Inputs'!$B$12-323^2)/(2*'Inputs'!$B$12^2))-('Inputs'!$B$29*(3*322*'Inputs'!$B$12-322^2)/(2*'Inputs'!$B$12^2)))*'Inputs'!$B$45</x:f>
        <x:v>455354.25267405063</x:v>
      </x:c>
      <x:c r="D691" s="78" t="n">
        <x:f>IF('Inputs'!$C$45&gt;0,('Inputs'!$B$30*(3*323*'Inputs'!$B$12-323^2)/(2*'Inputs'!$B$12^2))-('Inputs'!$B$30*(3*322*'Inputs'!$B$12-322^2)/(2*'Inputs'!$B$12^2)),0)</x:f>
        <x:v>260202.4300994575</x:v>
      </x:c>
      <x:c r="E691" s="78" t="n">
        <x:f>C691+D691</x:f>
        <x:v>715556.6827735081</x:v>
      </x:c>
      <x:c r="F691" s="78" t="n">
        <x:f>'Inputs'!$B$13*E691+(1-'Inputs'!$B$13)/'Inputs'!$B$14*SUM(E636:E691)</x:f>
        <x:v>723986.2661850263</x:v>
      </x:c>
      <x:c r="G691" s="78" t="n">
        <x:f>F691*'Inputs'!$F$45</x:f>
        <x:v>506790.38632951834</x:v>
      </x:c>
      <x:c r="H691" s="78" t="n">
        <x:f>U690</x:f>
        <x:v>135532786464.05801</x:v>
      </x:c>
      <x:c r="I691" s="78" t="n">
        <x:f>V690</x:f>
        <x:v>0.12597986041282788</x:v>
      </x:c>
      <x:c r="J691" s="79" t="n">
        <x:f>IF(H691&gt;0,I691/H691,0)</x:f>
        <x:v>9.295157555565828e-13</x:v>
      </x:c>
      <x:c r="K691" s="80" t="n">
        <x:f>(H691*J691+I691)*'Inputs'!$D$45*(1+'Inputs'!$G$45)^(B691/30)</x:f>
        <x:v>0.12597986041282788</x:v>
      </x:c>
      <x:c r="L691" s="80" t="n">
        <x:f>MAX(0,K691*'Inputs'!$E$45)</x:f>
        <x:v>0</x:v>
      </x:c>
      <x:c r="M691" s="80" t="n">
        <x:f>MAX(0,-K691*'Inputs'!$E$45)</x:f>
        <x:v>0.006298993020641394</x:v>
      </x:c>
      <x:c r="N691" s="78" t="n">
        <x:f>H691*(L691*(1-'Inputs'!$B$15))/(I691+L691*(1-'Inputs'!$B$15))</x:f>
        <x:v>0</x:v>
      </x:c>
      <x:c r="O691" s="78" t="n">
        <x:f>H691-N691</x:f>
        <x:v>135532786464.05801</x:v>
      </x:c>
      <x:c r="P691" s="78" t="n">
        <x:f>I691+L691*(1-'Inputs'!$B$17)</x:f>
        <x:v>0.12597986041282788</x:v>
      </x:c>
      <x:c r="Q691" s="78" t="n">
        <x:f>IF(J691&gt;0,M691/J691,0)</x:f>
        <x:v>0</x:v>
      </x:c>
      <x:c r="R691" s="78" t="n">
        <x:f>IF(B691='Inputs'!$H$45,'Inputs'!$B$27*'Inputs'!$I$45,0)</x:f>
        <x:v>0</x:v>
      </x:c>
      <x:c r="S691" s="78" t="n">
        <x:f>Q691+G691+R691</x:f>
        <x:v>506790.38632951834</x:v>
      </x:c>
      <x:c r="T691" s="78" t="n">
        <x:f>P691*(S691*(1-'Inputs'!$B$15))/(O691+S691*(1-'Inputs'!$B$15))</x:f>
        <x:v>4.663572259833154e-7</x:v>
      </x:c>
      <x:c r="U691" s="78" t="n">
        <x:f>O691+S691*(1-'Inputs'!$B$17)</x:f>
        <x:v>135533291215.04642</x:v>
      </x:c>
      <x:c r="V691" s="78" t="n">
        <x:f>P691-T691</x:f>
        <x:v>0.1259793940556019</x:v>
      </x:c>
      <x:c r="W691" s="79" t="n">
        <x:f>IF(U691&gt;0,V691/U691,0)</x:f>
        <x:v>9.295088529630285e-13</x:v>
      </x:c>
      <x:c r="X691" s="80" t="n">
        <x:f>W691*('Inputs'!$B$6-AC691)</x:f>
        <x:v>-0.004409053175341535</x:v>
      </x:c>
      <x:c r="Y691" s="80" t="n">
        <x:f>2*V691</x:f>
        <x:v>0.2519587881112038</x:v>
      </x:c>
      <x:c r="Z691" s="80" t="n">
        <x:f>K691*'Inputs'!$B$16+(G691+R691)*J691*'Inputs'!$B$16</x:f>
        <x:v>0.0007558819888948604</x:v>
      </x:c>
      <x:c r="AA691" s="80" t="n">
        <x:f>K691*(1+'Inputs'!$E$45)/2*'Inputs'!$B$17</x:f>
        <x:v>0.00024080657422975152</x:v>
      </x:c>
      <x:c r="AB691" s="78" t="n">
        <x:f>(IF(J691&gt;0,K691*(1-'Inputs'!$E$45)/2/J691,0)+G691+R691)*'Inputs'!$B$17</x:f>
        <x:v>2039.397932915567</x:v>
      </x:c>
      <x:c r="AC691" s="78" t="n">
        <x:f>AC690+AB691</x:f>
        <x:v>5743422465.839501</x:v>
      </x:c>
      <x:c r="AD691" s="80" t="n">
        <x:f>Z691/(1+'Inputs'!$C$45)</x:f>
        <x:v>0.0005039213259299069</x:v>
      </x:c>
      <x:c r="AE691" s="80" t="n">
        <x:f>Z691-AD691</x:f>
        <x:v>0.0002519606629649535</x:v>
      </x:c>
      <x:c r="AF691" s="80" t="n">
        <x:f>D691*W691</x:f>
        <x:v>2.4186046233993937e-7</x:v>
      </x:c>
      <x:c r="AG691" s="80" t="n">
        <x:f>C691*W691</x:f>
        <x:v>4.232558090948938e-7</x:v>
      </x:c>
      <x:c r="AH691" s="80" t="n">
        <x:f>2*'Inputs'!$B$8*'Inputs'!$C$45</x:f>
        <x:v>2500</x:v>
      </x:c>
      <x:c r="AI691" s="81" t="n">
        <x:f>IF(AH691&gt;0,(AE691+AF691)/AH691*365,0)</x:f>
        <x:v>0.00003682156842038485</x:v>
      </x:c>
      <x:c r="AJ691" s="81" t="n">
        <x:f>IF('Inputs'!$B$45&gt;0,AG691/('Inputs'!$B$19*'Inputs'!$B$45)*365,0)</x:f>
        <x:v>2.05984493759515e-8</x:v>
      </x:c>
      <x:c r="AK691" s="81" t="n">
        <x:f>W691/MAX($W$369:W691)-1</x:f>
        <x:v>-0.9999999987636758</x:v>
      </x:c>
      <x:c r="AL691" s="83" t="n">
        <x:f>'Inputs'!$B$45</x:f>
        <x:v>0.75</x:v>
      </x:c>
      <x:c r="AM691" s="83" t="n">
        <x:f>'Inputs'!$C$45</x:f>
        <x:v>0.5</x:v>
      </x:c>
      <x:c r="AN691" s="83" t="n">
        <x:f>'Inputs'!$D$45</x:f>
        <x:v>0.5</x:v>
      </x:c>
      <x:c r="AO691" s="81" t="n">
        <x:f>'Inputs'!$E$45</x:f>
        <x:v>-0.05</x:v>
      </x:c>
    </x:row>
    <x:row r="692">
      <x:c r="A692" s="59" t="str">
        <x:v>Weak demand</x:v>
      </x:c>
      <x:c r="B692" s="59" t="n">
        <x:v>324</x:v>
      </x:c>
      <x:c r="C692" s="78" t="n">
        <x:f>(('Inputs'!$B$29*(3*324*'Inputs'!$B$12-324^2)/(2*'Inputs'!$B$12^2))-('Inputs'!$B$29*(3*323*'Inputs'!$B$12-323^2)/(2*'Inputs'!$B$12^2)))*'Inputs'!$B$45</x:f>
        <x:v>455110.4217489213</x:v>
      </x:c>
      <x:c r="D692" s="78" t="n">
        <x:f>IF('Inputs'!$C$45&gt;0,('Inputs'!$B$30*(3*324*'Inputs'!$B$12-324^2)/(2*'Inputs'!$B$12^2))-('Inputs'!$B$30*(3*323*'Inputs'!$B$12-323^2)/(2*'Inputs'!$B$12^2)),0)</x:f>
        <x:v>260063.09814223647</x:v>
      </x:c>
      <x:c r="E692" s="78" t="n">
        <x:f>C692+D692</x:f>
        <x:v>715173.5198911577</x:v>
      </x:c>
      <x:c r="F692" s="78" t="n">
        <x:f>'Inputs'!$B$13*E692+(1-'Inputs'!$B$13)/'Inputs'!$B$14*SUM(E637:E692)</x:f>
        <x:v>723603.1033026827</x:v>
      </x:c>
      <x:c r="G692" s="78" t="n">
        <x:f>F692*'Inputs'!$F$45</x:f>
        <x:v>506522.1723118779</x:v>
      </x:c>
      <x:c r="H692" s="78" t="n">
        <x:f>U691</x:f>
        <x:v>135533291215.04642</x:v>
      </x:c>
      <x:c r="I692" s="78" t="n">
        <x:f>V691</x:f>
        <x:v>0.1259793940556019</x:v>
      </x:c>
      <x:c r="J692" s="79" t="n">
        <x:f>IF(H692&gt;0,I692/H692,0)</x:f>
        <x:v>9.295088529630285e-13</x:v>
      </x:c>
      <x:c r="K692" s="80" t="n">
        <x:f>(H692*J692+I692)*'Inputs'!$D$45*(1+'Inputs'!$G$45)^(B692/30)</x:f>
        <x:v>0.1259793940556019</x:v>
      </x:c>
      <x:c r="L692" s="80" t="n">
        <x:f>MAX(0,K692*'Inputs'!$E$45)</x:f>
        <x:v>0</x:v>
      </x:c>
      <x:c r="M692" s="80" t="n">
        <x:f>MAX(0,-K692*'Inputs'!$E$45)</x:f>
        <x:v>0.006298969702780096</x:v>
      </x:c>
      <x:c r="N692" s="78" t="n">
        <x:f>H692*(L692*(1-'Inputs'!$B$15))/(I692+L692*(1-'Inputs'!$B$15))</x:f>
        <x:v>0</x:v>
      </x:c>
      <x:c r="O692" s="78" t="n">
        <x:f>H692-N692</x:f>
        <x:v>135533291215.04642</x:v>
      </x:c>
      <x:c r="P692" s="78" t="n">
        <x:f>I692+L692*(1-'Inputs'!$B$17)</x:f>
        <x:v>0.1259793940556019</x:v>
      </x:c>
      <x:c r="Q692" s="78" t="n">
        <x:f>IF(J692&gt;0,M692/J692,0)</x:f>
        <x:v>0</x:v>
      </x:c>
      <x:c r="R692" s="78" t="n">
        <x:f>IF(B692='Inputs'!$H$45,'Inputs'!$B$27*'Inputs'!$I$45,0)</x:f>
        <x:v>0</x:v>
      </x:c>
      <x:c r="S692" s="78" t="n">
        <x:f>Q692+G692+R692</x:f>
        <x:v>506522.1723118779</x:v>
      </x:c>
      <x:c r="T692" s="78" t="n">
        <x:f>P692*(S692*(1-'Inputs'!$B$15))/(O692+S692*(1-'Inputs'!$B$15))</x:f>
        <x:v>4.661069504121843e-7</x:v>
      </x:c>
      <x:c r="U692" s="78" t="n">
        <x:f>O692+S692*(1-'Inputs'!$B$17)</x:f>
        <x:v>135533795698.90013</x:v>
      </x:c>
      <x:c r="V692" s="78" t="n">
        <x:f>P692-T692</x:f>
        <x:v>0.12597892794865148</x:v>
      </x:c>
      <x:c r="W692" s="79" t="n">
        <x:f>IF(U692&gt;0,V692/U692,0)</x:f>
        <x:v>9.295019540995103e-13</x:v>
      </x:c>
      <x:c r="X692" s="80" t="n">
        <x:f>W692*('Inputs'!$B$6-AC692)</x:f>
        <x:v>-0.004409022345738456</x:v>
      </x:c>
      <x:c r="Y692" s="80" t="n">
        <x:f>2*V692</x:f>
        <x:v>0.25195785589730296</x:v>
      </x:c>
      <x:c r="Z692" s="80" t="n">
        <x:f>K692*'Inputs'!$B$16+(G692+R692)*J692*'Inputs'!$B$16</x:f>
        <x:v>0.0007558791892346718</x:v>
      </x:c>
      <x:c r="AA692" s="80" t="n">
        <x:f>K692*(1+'Inputs'!$E$45)/2*'Inputs'!$B$17</x:f>
        <x:v>0.0002408056828024584</x:v>
      </x:c>
      <x:c r="AB692" s="78" t="n">
        <x:f>(IF(J692&gt;0,K692*(1-'Inputs'!$E$45)/2/J692,0)+G692+R692)*'Inputs'!$B$17</x:f>
        <x:v>2038.3186008526275</x:v>
      </x:c>
      <x:c r="AC692" s="78" t="n">
        <x:f>AC691+AB692</x:f>
        <x:v>5743424504.158102</x:v>
      </x:c>
      <x:c r="AD692" s="80" t="n">
        <x:f>Z692/(1+'Inputs'!$C$45)</x:f>
        <x:v>0.0005039194594897812</x:v>
      </x:c>
      <x:c r="AE692" s="80" t="n">
        <x:f>Z692-AD692</x:f>
        <x:v>0.00025195972974489055</x:v>
      </x:c>
      <x:c r="AF692" s="80" t="n">
        <x:f>D692*W692</x:f>
        <x:v>2.4172915791238153e-7</x:v>
      </x:c>
      <x:c r="AG692" s="80" t="n">
        <x:f>C692*W692</x:f>
        <x:v>4.230260263466746e-7</x:v>
      </x:c>
      <x:c r="AH692" s="80" t="n">
        <x:f>2*'Inputs'!$B$8*'Inputs'!$C$45</x:f>
        <x:v>2500</x:v>
      </x:c>
      <x:c r="AI692" s="81" t="n">
        <x:f>IF(AH692&gt;0,(AE692+AF692)/AH692*365,0)</x:f>
        <x:v>0.00003682141299980923</x:v>
      </x:c>
      <x:c r="AJ692" s="81" t="n">
        <x:f>IF('Inputs'!$B$45&gt;0,AG692/('Inputs'!$B$19*'Inputs'!$B$45)*365,0)</x:f>
        <x:v>2.0587266615538164e-8</x:v>
      </x:c>
      <x:c r="AK692" s="81" t="n">
        <x:f>W692/MAX($W$369:W692)-1</x:f>
        <x:v>-0.9999999987636851</x:v>
      </x:c>
      <x:c r="AL692" s="83" t="n">
        <x:f>'Inputs'!$B$45</x:f>
        <x:v>0.75</x:v>
      </x:c>
      <x:c r="AM692" s="83" t="n">
        <x:f>'Inputs'!$C$45</x:f>
        <x:v>0.5</x:v>
      </x:c>
      <x:c r="AN692" s="83" t="n">
        <x:f>'Inputs'!$D$45</x:f>
        <x:v>0.5</x:v>
      </x:c>
      <x:c r="AO692" s="81" t="n">
        <x:f>'Inputs'!$E$45</x:f>
        <x:v>-0.05</x:v>
      </x:c>
    </x:row>
    <x:row r="693">
      <x:c r="A693" s="59" t="str">
        <x:v>Weak demand</x:v>
      </x:c>
      <x:c r="B693" s="59" t="n">
        <x:v>325</x:v>
      </x:c>
      <x:c r="C693" s="78" t="n">
        <x:f>(('Inputs'!$B$29*(3*325*'Inputs'!$B$12-325^2)/(2*'Inputs'!$B$12^2))-('Inputs'!$B$29*(3*324*'Inputs'!$B$12-324^2)/(2*'Inputs'!$B$12^2)))*'Inputs'!$B$45</x:f>
        <x:v>454866.5908237919</x:v>
      </x:c>
      <x:c r="D693" s="78" t="n">
        <x:f>IF('Inputs'!$C$45&gt;0,('Inputs'!$B$30*(3*325*'Inputs'!$B$12-325^2)/(2*'Inputs'!$B$12^2))-('Inputs'!$B$30*(3*324*'Inputs'!$B$12-324^2)/(2*'Inputs'!$B$12^2)),0)</x:f>
        <x:v>259923.76618503034</x:v>
      </x:c>
      <x:c r="E693" s="78" t="n">
        <x:f>C693+D693</x:f>
        <x:v>714790.3570088223</x:v>
      </x:c>
      <x:c r="F693" s="78" t="n">
        <x:f>'Inputs'!$B$13*E693+(1-'Inputs'!$B$13)/'Inputs'!$B$14*SUM(E638:E693)</x:f>
        <x:v>723219.9404203424</x:v>
      </x:c>
      <x:c r="G693" s="78" t="n">
        <x:f>F693*'Inputs'!$F$45</x:f>
        <x:v>506253.95829423965</x:v>
      </x:c>
      <x:c r="H693" s="78" t="n">
        <x:f>U692</x:f>
        <x:v>135533795698.90013</x:v>
      </x:c>
      <x:c r="I693" s="78" t="n">
        <x:f>V692</x:f>
        <x:v>0.12597892794865148</x:v>
      </x:c>
      <x:c r="J693" s="79" t="n">
        <x:f>IF(H693&gt;0,I693/H693,0)</x:f>
        <x:v>9.295019540995103e-13</x:v>
      </x:c>
      <x:c r="K693" s="80" t="n">
        <x:f>(H693*J693+I693)*'Inputs'!$D$45*(1+'Inputs'!$G$45)^(B693/30)</x:f>
        <x:v>0.12597892794865148</x:v>
      </x:c>
      <x:c r="L693" s="80" t="n">
        <x:f>MAX(0,K693*'Inputs'!$E$45)</x:f>
        <x:v>0</x:v>
      </x:c>
      <x:c r="M693" s="80" t="n">
        <x:f>MAX(0,-K693*'Inputs'!$E$45)</x:f>
        <x:v>0.006298946397432574</x:v>
      </x:c>
      <x:c r="N693" s="78" t="n">
        <x:f>H693*(L693*(1-'Inputs'!$B$15))/(I693+L693*(1-'Inputs'!$B$15))</x:f>
        <x:v>0</x:v>
      </x:c>
      <x:c r="O693" s="78" t="n">
        <x:f>H693-N693</x:f>
        <x:v>135533795698.90013</x:v>
      </x:c>
      <x:c r="P693" s="78" t="n">
        <x:f>I693+L693*(1-'Inputs'!$B$17)</x:f>
        <x:v>0.12597892794865148</x:v>
      </x:c>
      <x:c r="Q693" s="78" t="n">
        <x:f>IF(J693&gt;0,M693/J693,0)</x:f>
        <x:v>0</x:v>
      </x:c>
      <x:c r="R693" s="78" t="n">
        <x:f>IF(B693='Inputs'!$H$45,'Inputs'!$B$27*'Inputs'!$I$45,0)</x:f>
        <x:v>0</x:v>
      </x:c>
      <x:c r="S693" s="78" t="n">
        <x:f>Q693+G693+R693</x:f>
        <x:v>506253.95829423965</x:v>
      </x:c>
      <x:c r="T693" s="78" t="n">
        <x:f>P693*(S693*(1-'Inputs'!$B$15))/(O693+S693*(1-'Inputs'!$B$15))</x:f>
        <x:v>4.6585668037521626e-7</x:v>
      </x:c>
      <x:c r="U693" s="78" t="n">
        <x:f>O693+S693*(1-'Inputs'!$B$17)</x:f>
        <x:v>135534299915.61916</x:v>
      </x:c>
      <x:c r="V693" s="78" t="n">
        <x:f>P693-T693</x:f>
        <x:v>0.1259784620919711</x:v>
      </x:c>
      <x:c r="W693" s="79" t="n">
        <x:f>IF(U693&gt;0,V693/U693,0)</x:f>
        <x:v>9.294950589659052e-13</x:v>
      </x:c>
      <x:c r="X693" s="80" t="n">
        <x:f>W693*('Inputs'!$B$6-AC693)</x:f>
        <x:v>-0.004408991532796589</x:v>
      </x:c>
      <x:c r="Y693" s="80" t="n">
        <x:f>2*V693</x:f>
        <x:v>0.2519569241839422</x:v>
      </x:c>
      <x:c r="Z693" s="80" t="n">
        <x:f>K693*'Inputs'!$B$16+(G693+R693)*J693*'Inputs'!$B$16</x:f>
        <x:v>0.0007558763910761699</x:v>
      </x:c>
      <x:c r="AA693" s="80" t="n">
        <x:f>K693*(1+'Inputs'!$E$45)/2*'Inputs'!$B$17</x:f>
        <x:v>0.00024080479185355916</x:v>
      </x:c>
      <x:c r="AB693" s="78" t="n">
        <x:f>(IF(J693&gt;0,K693*(1-'Inputs'!$E$45)/2/J693,0)+G693+R693)*'Inputs'!$B$17</x:f>
        <x:v>2037.239268789697</x:v>
      </x:c>
      <x:c r="AC693" s="78" t="n">
        <x:f>AC692+AB693</x:f>
        <x:v>5743426541.397371</x:v>
      </x:c>
      <x:c r="AD693" s="80" t="n">
        <x:f>Z693/(1+'Inputs'!$C$45)</x:f>
        <x:v>0.0005039175940507799</x:v>
      </x:c>
      <x:c r="AE693" s="80" t="n">
        <x:f>Z693-AD693</x:f>
        <x:v>0.00025195879702538996</x:v>
      </x:c>
      <x:c r="AF693" s="80" t="n">
        <x:f>D693*W693</x:f>
        <x:v>2.4159785637679493e-7</x:v>
      </x:c>
      <x:c r="AG693" s="80" t="n">
        <x:f>C693*W693</x:f>
        <x:v>4.2279624865938073e-7</x:v>
      </x:c>
      <x:c r="AH693" s="80" t="n">
        <x:f>2*'Inputs'!$B$8*'Inputs'!$C$45</x:f>
        <x:v>2500</x:v>
      </x:c>
      <x:c r="AI693" s="81" t="n">
        <x:f>IF(AH693&gt;0,(AE693+AF693)/AH693*365,0)</x:f>
        <x:v>0.00003682125765273795</x:v>
      </x:c>
      <x:c r="AJ693" s="81" t="n">
        <x:f>IF('Inputs'!$B$45&gt;0,AG693/('Inputs'!$B$19*'Inputs'!$B$45)*365,0)</x:f>
        <x:v>2.0576084101423194e-8</x:v>
      </x:c>
      <x:c r="AK693" s="81" t="n">
        <x:f>W693/MAX($W$369:W693)-1</x:f>
        <x:v>-0.9999999987636942</x:v>
      </x:c>
      <x:c r="AL693" s="83" t="n">
        <x:f>'Inputs'!$B$45</x:f>
        <x:v>0.75</x:v>
      </x:c>
      <x:c r="AM693" s="83" t="n">
        <x:f>'Inputs'!$C$45</x:f>
        <x:v>0.5</x:v>
      </x:c>
      <x:c r="AN693" s="83" t="n">
        <x:f>'Inputs'!$D$45</x:f>
        <x:v>0.5</x:v>
      </x:c>
      <x:c r="AO693" s="81" t="n">
        <x:f>'Inputs'!$E$45</x:f>
        <x:v>-0.05</x:v>
      </x:c>
    </x:row>
    <x:row r="694">
      <x:c r="A694" s="59" t="str">
        <x:v>Weak demand</x:v>
      </x:c>
      <x:c r="B694" s="59" t="n">
        <x:v>326</x:v>
      </x:c>
      <x:c r="C694" s="78" t="n">
        <x:f>(('Inputs'!$B$29*(3*326*'Inputs'!$B$12-326^2)/(2*'Inputs'!$B$12^2))-('Inputs'!$B$29*(3*325*'Inputs'!$B$12-325^2)/(2*'Inputs'!$B$12^2)))*'Inputs'!$B$45</x:f>
        <x:v>454622.75989866257</x:v>
      </x:c>
      <x:c r="D694" s="78" t="n">
        <x:f>IF('Inputs'!$C$45&gt;0,('Inputs'!$B$30*(3*326*'Inputs'!$B$12-326^2)/(2*'Inputs'!$B$12^2))-('Inputs'!$B$30*(3*325*'Inputs'!$B$12-325^2)/(2*'Inputs'!$B$12^2)),0)</x:f>
        <x:v>259784.4342278093</x:v>
      </x:c>
      <x:c r="E694" s="78" t="n">
        <x:f>C694+D694</x:f>
        <x:v>714407.1941264719</x:v>
      </x:c>
      <x:c r="F694" s="78" t="n">
        <x:f>'Inputs'!$B$13*E694+(1-'Inputs'!$B$13)/'Inputs'!$B$14*SUM(E639:E694)</x:f>
        <x:v>722836.7775379985</x:v>
      </x:c>
      <x:c r="G694" s="78" t="n">
        <x:f>F694*'Inputs'!$F$45</x:f>
        <x:v>505985.7442765989</x:v>
      </x:c>
      <x:c r="H694" s="78" t="n">
        <x:f>U693</x:f>
        <x:v>135534299915.61916</x:v>
      </x:c>
      <x:c r="I694" s="78" t="n">
        <x:f>V693</x:f>
        <x:v>0.1259784620919711</x:v>
      </x:c>
      <x:c r="J694" s="79" t="n">
        <x:f>IF(H694&gt;0,I694/H694,0)</x:f>
        <x:v>9.294950589659052e-13</x:v>
      </x:c>
      <x:c r="K694" s="80" t="n">
        <x:f>(H694*J694+I694)*'Inputs'!$D$45*(1+'Inputs'!$G$45)^(B694/30)</x:f>
        <x:v>0.1259784620919711</x:v>
      </x:c>
      <x:c r="L694" s="80" t="n">
        <x:f>MAX(0,K694*'Inputs'!$E$45)</x:f>
        <x:v>0</x:v>
      </x:c>
      <x:c r="M694" s="80" t="n">
        <x:f>MAX(0,-K694*'Inputs'!$E$45)</x:f>
        <x:v>0.006298923104598556</x:v>
      </x:c>
      <x:c r="N694" s="78" t="n">
        <x:f>H694*(L694*(1-'Inputs'!$B$15))/(I694+L694*(1-'Inputs'!$B$15))</x:f>
        <x:v>0</x:v>
      </x:c>
      <x:c r="O694" s="78" t="n">
        <x:f>H694-N694</x:f>
        <x:v>135534299915.61916</x:v>
      </x:c>
      <x:c r="P694" s="78" t="n">
        <x:f>I694+L694*(1-'Inputs'!$B$17)</x:f>
        <x:v>0.1259784620919711</x:v>
      </x:c>
      <x:c r="Q694" s="78" t="n">
        <x:f>IF(J694&gt;0,M694/J694,0)</x:f>
        <x:v>0</x:v>
      </x:c>
      <x:c r="R694" s="78" t="n">
        <x:f>IF(B694='Inputs'!$H$45,'Inputs'!$B$27*'Inputs'!$I$45,0)</x:f>
        <x:v>0</x:v>
      </x:c>
      <x:c r="S694" s="78" t="n">
        <x:f>Q694+G694+R694</x:f>
        <x:v>505985.7442765989</x:v>
      </x:c>
      <x:c r="T694" s="78" t="n">
        <x:f>P694*(S694*(1-'Inputs'!$B$15))/(O694+S694*(1-'Inputs'!$B$15))</x:f>
        <x:v>4.6560641586937404e-7</x:v>
      </x:c>
      <x:c r="U694" s="78" t="n">
        <x:f>O694+S694*(1-'Inputs'!$B$17)</x:f>
        <x:v>135534803865.20349</x:v>
      </x:c>
      <x:c r="V694" s="78" t="n">
        <x:f>P694-T694</x:f>
        <x:v>0.12597799648555524</x:v>
      </x:c>
      <x:c r="W694" s="79" t="n">
        <x:f>IF(U694&gt;0,V694/U694,0)</x:f>
        <x:v>9.294881675620897e-13</x:v>
      </x:c>
      <x:c r="X694" s="80" t="n">
        <x:f>W694*('Inputs'!$B$6-AC694)</x:f>
        <x:v>-0.004408960736515392</x:v>
      </x:c>
      <x:c r="Y694" s="80" t="n">
        <x:f>2*V694</x:f>
        <x:v>0.2519559929711105</x:v>
      </x:c>
      <x:c r="Z694" s="80" t="n">
        <x:f>K694*'Inputs'!$B$16+(G694+R694)*J694*'Inputs'!$B$16</x:f>
        <x:v>0.000755873594419322</x:v>
      </x:c>
      <x:c r="AA694" s="80" t="n">
        <x:f>K694*(1+'Inputs'!$E$45)/2*'Inputs'!$B$17</x:f>
        <x:v>0.00024080390138304337</x:v>
      </x:c>
      <x:c r="AB694" s="78" t="n">
        <x:f>(IF(J694&gt;0,K694*(1-'Inputs'!$E$45)/2/J694,0)+G694+R694)*'Inputs'!$B$17</x:f>
        <x:v>2036.1599367267563</x:v>
      </x:c>
      <x:c r="AC694" s="78" t="n">
        <x:f>AC693+AB694</x:f>
        <x:v>5743428577.557308</x:v>
      </x:c>
      <x:c r="AD694" s="80" t="n">
        <x:f>Z694/(1+'Inputs'!$C$45)</x:f>
        <x:v>0.0005039157296128814</x:v>
      </x:c>
      <x:c r="AE694" s="80" t="n">
        <x:f>Z694-AD694</x:f>
        <x:v>0.0002519578648064407</x:v>
      </x:c>
      <x:c r="AF694" s="80" t="n">
        <x:f>D694*W694</x:f>
        <x:v>2.414665577315607e-7</x:v>
      </x:c>
      <x:c r="AG694" s="80" t="n">
        <x:f>C694*W694</x:f>
        <x:v>4.225664760302278e-7</x:v>
      </x:c>
      <x:c r="AH694" s="80" t="n">
        <x:f>2*'Inputs'!$B$8*'Inputs'!$C$45</x:f>
        <x:v>2500</x:v>
      </x:c>
      <x:c r="AI694" s="81" t="n">
        <x:f>IF(AH694&gt;0,(AE694+AF694)/AH694*365,0)</x:f>
        <x:v>0.000036821102379169147</x:v>
      </x:c>
      <x:c r="AJ694" s="81" t="n">
        <x:f>IF('Inputs'!$B$45&gt;0,AG694/('Inputs'!$B$19*'Inputs'!$B$45)*365,0)</x:f>
        <x:v>2.0564901833471087e-8</x:v>
      </x:c>
      <x:c r="AK694" s="81" t="n">
        <x:f>W694/MAX($W$369:W694)-1</x:f>
        <x:v>-0.9999999987637034</x:v>
      </x:c>
      <x:c r="AL694" s="83" t="n">
        <x:f>'Inputs'!$B$45</x:f>
        <x:v>0.75</x:v>
      </x:c>
      <x:c r="AM694" s="83" t="n">
        <x:f>'Inputs'!$C$45</x:f>
        <x:v>0.5</x:v>
      </x:c>
      <x:c r="AN694" s="83" t="n">
        <x:f>'Inputs'!$D$45</x:f>
        <x:v>0.5</x:v>
      </x:c>
      <x:c r="AO694" s="81" t="n">
        <x:f>'Inputs'!$E$45</x:f>
        <x:v>-0.05</x:v>
      </x:c>
    </x:row>
    <x:row r="695">
      <x:c r="A695" s="59" t="str">
        <x:v>Weak demand</x:v>
      </x:c>
      <x:c r="B695" s="59" t="n">
        <x:v>327</x:v>
      </x:c>
      <x:c r="C695" s="78" t="n">
        <x:f>(('Inputs'!$B$29*(3*327*'Inputs'!$B$12-327^2)/(2*'Inputs'!$B$12^2))-('Inputs'!$B$29*(3*326*'Inputs'!$B$12-326^2)/(2*'Inputs'!$B$12^2)))*'Inputs'!$B$45</x:f>
        <x:v>454378.92897355556</x:v>
      </x:c>
      <x:c r="D695" s="78" t="n">
        <x:f>IF('Inputs'!$C$45&gt;0,('Inputs'!$B$30*(3*327*'Inputs'!$B$12-327^2)/(2*'Inputs'!$B$12^2))-('Inputs'!$B$30*(3*326*'Inputs'!$B$12-326^2)/(2*'Inputs'!$B$12^2)),0)</x:f>
        <x:v>259645.10227058828</x:v>
      </x:c>
      <x:c r="E695" s="78" t="n">
        <x:f>C695+D695</x:f>
        <x:v>714024.0312441438</x:v>
      </x:c>
      <x:c r="F695" s="78" t="n">
        <x:f>'Inputs'!$B$13*E695+(1-'Inputs'!$B$13)/'Inputs'!$B$14*SUM(E640:E695)</x:f>
        <x:v>722453.6146556597</x:v>
      </x:c>
      <x:c r="G695" s="78" t="n">
        <x:f>F695*'Inputs'!$F$45</x:f>
        <x:v>505717.5302589617</x:v>
      </x:c>
      <x:c r="H695" s="78" t="n">
        <x:f>U694</x:f>
        <x:v>135534803865.20349</x:v>
      </x:c>
      <x:c r="I695" s="78" t="n">
        <x:f>V694</x:f>
        <x:v>0.12597799648555524</x:v>
      </x:c>
      <x:c r="J695" s="79" t="n">
        <x:f>IF(H695&gt;0,I695/H695,0)</x:f>
        <x:v>9.294881675620897e-13</x:v>
      </x:c>
      <x:c r="K695" s="80" t="n">
        <x:f>(H695*J695+I695)*'Inputs'!$D$45*(1+'Inputs'!$G$45)^(B695/30)</x:f>
        <x:v>0.12597799648555524</x:v>
      </x:c>
      <x:c r="L695" s="80" t="n">
        <x:f>MAX(0,K695*'Inputs'!$E$45)</x:f>
        <x:v>0</x:v>
      </x:c>
      <x:c r="M695" s="80" t="n">
        <x:f>MAX(0,-K695*'Inputs'!$E$45)</x:f>
        <x:v>0.0062988998242777625</x:v>
      </x:c>
      <x:c r="N695" s="78" t="n">
        <x:f>H695*(L695*(1-'Inputs'!$B$15))/(I695+L695*(1-'Inputs'!$B$15))</x:f>
        <x:v>0</x:v>
      </x:c>
      <x:c r="O695" s="78" t="n">
        <x:f>H695-N695</x:f>
        <x:v>135534803865.20349</x:v>
      </x:c>
      <x:c r="P695" s="78" t="n">
        <x:f>I695+L695*(1-'Inputs'!$B$17)</x:f>
        <x:v>0.12597799648555524</x:v>
      </x:c>
      <x:c r="Q695" s="78" t="n">
        <x:f>IF(J695&gt;0,M695/J695,0)</x:f>
        <x:v>0</x:v>
      </x:c>
      <x:c r="R695" s="78" t="n">
        <x:f>IF(B695='Inputs'!$H$45,'Inputs'!$B$27*'Inputs'!$I$45,0)</x:f>
        <x:v>0</x:v>
      </x:c>
      <x:c r="S695" s="78" t="n">
        <x:f>Q695+G695+R695</x:f>
        <x:v>505717.5302589617</x:v>
      </x:c>
      <x:c r="T695" s="78" t="n">
        <x:f>P695*(S695*(1-'Inputs'!$B$15))/(O695+S695*(1-'Inputs'!$B$15))</x:f>
        <x:v>4.6535615689163046e-7</x:v>
      </x:c>
      <x:c r="U695" s="78" t="n">
        <x:f>O695+S695*(1-'Inputs'!$B$17)</x:f>
        <x:v>135535307547.65315</x:v>
      </x:c>
      <x:c r="V695" s="78" t="n">
        <x:f>P695-T695</x:f>
        <x:v>0.12597753112939836</x:v>
      </x:c>
      <x:c r="W695" s="79" t="n">
        <x:f>IF(U695&gt;0,V695/U695,0)</x:f>
        <x:v>9.29481279887941e-13</x:v>
      </x:c>
      <x:c r="X695" s="80" t="n">
        <x:f>W695*('Inputs'!$B$6-AC695)</x:f>
        <x:v>-0.0044089299568943275</x:v>
      </x:c>
      <x:c r="Y695" s="80" t="n">
        <x:f>2*V695</x:f>
        <x:v>0.2519550622587967</x:v>
      </x:c>
      <x:c r="Z695" s="80" t="n">
        <x:f>K695*'Inputs'!$B$16+(G695+R695)*J695*'Inputs'!$B$16</x:f>
        <x:v>0.0007558707992640945</x:v>
      </x:c>
      <x:c r="AA695" s="80" t="n">
        <x:f>K695*(1+'Inputs'!$E$45)/2*'Inputs'!$B$17</x:f>
        <x:v>0.00024080301139090037</x:v>
      </x:c>
      <x:c r="AB695" s="78" t="n">
        <x:f>(IF(J695&gt;0,K695*(1-'Inputs'!$E$45)/2/J695,0)+G695+R695)*'Inputs'!$B$17</x:f>
        <x:v>2035.08060466383</x:v>
      </x:c>
      <x:c r="AC695" s="78" t="n">
        <x:f>AC694+AB695</x:f>
        <x:v>5743430612.637913</x:v>
      </x:c>
      <x:c r="AD695" s="80" t="n">
        <x:f>Z695/(1+'Inputs'!$C$45)</x:f>
        <x:v>0.000503913866176063</x:v>
      </x:c>
      <x:c r="AE695" s="80" t="n">
        <x:f>Z695-AD695</x:f>
        <x:v>0.00025195693308803155</x:v>
      </x:c>
      <x:c r="AF695" s="80" t="n">
        <x:f>D695*W695</x:f>
        <x:v>2.413352619751017e-7</x:v>
      </x:c>
      <x:c r="AG695" s="80" t="n">
        <x:f>C695*W695</x:f>
        <x:v>4.2233670845645227e-7</x:v>
      </x:c>
      <x:c r="AH695" s="80" t="n">
        <x:f>2*'Inputs'!$B$8*'Inputs'!$C$45</x:f>
        <x:v>2500</x:v>
      </x:c>
      <x:c r="AI695" s="81" t="n">
        <x:f>IF(AH695&gt;0,(AE695+AF695)/AH695*365,0)</x:f>
        <x:v>0.00003682094717910097</x:v>
      </x:c>
      <x:c r="AJ695" s="81" t="n">
        <x:f>IF('Inputs'!$B$45&gt;0,AG695/('Inputs'!$B$19*'Inputs'!$B$45)*365,0)</x:f>
        <x:v>2.0553719811547345e-8</x:v>
      </x:c>
      <x:c r="AK695" s="81" t="n">
        <x:f>W695/MAX($W$369:W695)-1</x:f>
        <x:v>-0.9999999987637125</x:v>
      </x:c>
      <x:c r="AL695" s="83" t="n">
        <x:f>'Inputs'!$B$45</x:f>
        <x:v>0.75</x:v>
      </x:c>
      <x:c r="AM695" s="83" t="n">
        <x:f>'Inputs'!$C$45</x:f>
        <x:v>0.5</x:v>
      </x:c>
      <x:c r="AN695" s="83" t="n">
        <x:f>'Inputs'!$D$45</x:f>
        <x:v>0.5</x:v>
      </x:c>
      <x:c r="AO695" s="81" t="n">
        <x:f>'Inputs'!$E$45</x:f>
        <x:v>-0.05</x:v>
      </x:c>
    </x:row>
    <x:row r="696">
      <x:c r="A696" s="59" t="str">
        <x:v>Weak demand</x:v>
      </x:c>
      <x:c r="B696" s="59" t="n">
        <x:v>328</x:v>
      </x:c>
      <x:c r="C696" s="78" t="n">
        <x:f>(('Inputs'!$B$29*(3*328*'Inputs'!$B$12-328^2)/(2*'Inputs'!$B$12^2))-('Inputs'!$B$29*(3*327*'Inputs'!$B$12-327^2)/(2*'Inputs'!$B$12^2)))*'Inputs'!$B$45</x:f>
        <x:v>454135.09804840386</x:v>
      </x:c>
      <x:c r="D696" s="78" t="n">
        <x:f>IF('Inputs'!$C$45&gt;0,('Inputs'!$B$30*(3*328*'Inputs'!$B$12-328^2)/(2*'Inputs'!$B$12^2))-('Inputs'!$B$30*(3*327*'Inputs'!$B$12-327^2)/(2*'Inputs'!$B$12^2)),0)</x:f>
        <x:v>259505.77031338215</x:v>
      </x:c>
      <x:c r="E696" s="78" t="n">
        <x:f>C696+D696</x:f>
        <x:v>713640.868361786</x:v>
      </x:c>
      <x:c r="F696" s="78" t="n">
        <x:f>'Inputs'!$B$13*E696+(1-'Inputs'!$B$13)/'Inputs'!$B$14*SUM(E641:E696)</x:f>
        <x:v>722070.4517733144</x:v>
      </x:c>
      <x:c r="G696" s="78" t="n">
        <x:f>F696*'Inputs'!$F$45</x:f>
        <x:v>505449.31624132005</x:v>
      </x:c>
      <x:c r="H696" s="78" t="n">
        <x:f>U695</x:f>
        <x:v>135535307547.65315</x:v>
      </x:c>
      <x:c r="I696" s="78" t="n">
        <x:f>V695</x:f>
        <x:v>0.12597753112939836</x:v>
      </x:c>
      <x:c r="J696" s="79" t="n">
        <x:f>IF(H696&gt;0,I696/H696,0)</x:f>
        <x:v>9.29481279887941e-13</x:v>
      </x:c>
      <x:c r="K696" s="80" t="n">
        <x:f>(H696*J696+I696)*'Inputs'!$D$45*(1+'Inputs'!$G$45)^(B696/30)</x:f>
        <x:v>0.12597753112939836</x:v>
      </x:c>
      <x:c r="L696" s="80" t="n">
        <x:f>MAX(0,K696*'Inputs'!$E$45)</x:f>
        <x:v>0</x:v>
      </x:c>
      <x:c r="M696" s="80" t="n">
        <x:f>MAX(0,-K696*'Inputs'!$E$45)</x:f>
        <x:v>0.006298876556469918</x:v>
      </x:c>
      <x:c r="N696" s="78" t="n">
        <x:f>H696*(L696*(1-'Inputs'!$B$15))/(I696+L696*(1-'Inputs'!$B$15))</x:f>
        <x:v>0</x:v>
      </x:c>
      <x:c r="O696" s="78" t="n">
        <x:f>H696-N696</x:f>
        <x:v>135535307547.65315</x:v>
      </x:c>
      <x:c r="P696" s="78" t="n">
        <x:f>I696+L696*(1-'Inputs'!$B$17)</x:f>
        <x:v>0.12597753112939836</x:v>
      </x:c>
      <x:c r="Q696" s="78" t="n">
        <x:f>IF(J696&gt;0,M696/J696,0)</x:f>
        <x:v>0</x:v>
      </x:c>
      <x:c r="R696" s="78" t="n">
        <x:f>IF(B696='Inputs'!$H$45,'Inputs'!$B$27*'Inputs'!$I$45,0)</x:f>
        <x:v>0</x:v>
      </x:c>
      <x:c r="S696" s="78" t="n">
        <x:f>Q696+G696+R696</x:f>
        <x:v>505449.31624132005</x:v>
      </x:c>
      <x:c r="T696" s="78" t="n">
        <x:f>P696*(S696*(1-'Inputs'!$B$15))/(O696+S696*(1-'Inputs'!$B$15))</x:f>
        <x:v>4.651059034389452e-7</x:v>
      </x:c>
      <x:c r="U696" s="78" t="n">
        <x:f>O696+S696*(1-'Inputs'!$B$17)</x:f>
        <x:v>135535810962.96812</x:v>
      </x:c>
      <x:c r="V696" s="78" t="n">
        <x:f>P696-T696</x:f>
        <x:v>0.12597706602349493</x:v>
      </x:c>
      <x:c r="W696" s="79" t="n">
        <x:f>IF(U696&gt;0,V696/U696,0)</x:f>
        <x:v>9.294743959433356e-13</x:v>
      </x:c>
      <x:c r="X696" s="80" t="n">
        <x:f>W696*('Inputs'!$B$6-AC696)</x:f>
        <x:v>-0.004408899193932854</x:v>
      </x:c>
      <x:c r="Y696" s="80" t="n">
        <x:f>2*V696</x:f>
        <x:v>0.25195413204698985</x:v>
      </x:c>
      <x:c r="Z696" s="80" t="n">
        <x:f>K696*'Inputs'!$B$16+(G696+R696)*J696*'Inputs'!$B$16</x:f>
        <x:v>0.0007558680056104544</x:v>
      </x:c>
      <x:c r="AA696" s="80" t="n">
        <x:f>K696*(1+'Inputs'!$E$45)/2*'Inputs'!$B$17</x:f>
        <x:v>0.00024080212187711962</x:v>
      </x:c>
      <x:c r="AB696" s="78" t="n">
        <x:f>(IF(J696&gt;0,K696*(1-'Inputs'!$E$45)/2/J696,0)+G696+R696)*'Inputs'!$B$17</x:f>
        <x:v>2034.0012726008856</x:v>
      </x:c>
      <x:c r="AC696" s="78" t="n">
        <x:f>AC695+AB696</x:f>
        <x:v>5743432646.639185</x:v>
      </x:c>
      <x:c r="AD696" s="80" t="n">
        <x:f>Z696/(1+'Inputs'!$C$45)</x:f>
        <x:v>0.0005039120037403029</x:v>
      </x:c>
      <x:c r="AE696" s="80" t="n">
        <x:f>Z696-AD696</x:f>
        <x:v>0.0002519560018701515</x:v>
      </x:c>
      <x:c r="AF696" s="80" t="n">
        <x:f>D696*W696</x:f>
        <x:v>2.4120396910584086e-7</x:v>
      </x:c>
      <x:c r="AG696" s="80" t="n">
        <x:f>C696*W696</x:f>
        <x:v>4.221069459352077e-7</x:v>
      </x:c>
      <x:c r="AH696" s="80" t="n">
        <x:f>2*'Inputs'!$B$8*'Inputs'!$C$45</x:f>
        <x:v>2500</x:v>
      </x:c>
      <x:c r="AI696" s="81" t="n">
        <x:f>IF(AH696&gt;0,(AE696+AF696)/AH696*365,0)</x:f>
        <x:v>0.00003682079205253157</x:v>
      </x:c>
      <x:c r="AJ696" s="81" t="n">
        <x:f>IF('Inputs'!$B$45&gt;0,AG696/('Inputs'!$B$19*'Inputs'!$B$45)*365,0)</x:f>
        <x:v>2.054253803551344e-8</x:v>
      </x:c>
      <x:c r="AK696" s="81" t="n">
        <x:f>W696/MAX($W$369:W696)-1</x:f>
        <x:v>-0.9999999987637217</x:v>
      </x:c>
      <x:c r="AL696" s="83" t="n">
        <x:f>'Inputs'!$B$45</x:f>
        <x:v>0.75</x:v>
      </x:c>
      <x:c r="AM696" s="83" t="n">
        <x:f>'Inputs'!$C$45</x:f>
        <x:v>0.5</x:v>
      </x:c>
      <x:c r="AN696" s="83" t="n">
        <x:f>'Inputs'!$D$45</x:f>
        <x:v>0.5</x:v>
      </x:c>
      <x:c r="AO696" s="81" t="n">
        <x:f>'Inputs'!$E$45</x:f>
        <x:v>-0.05</x:v>
      </x:c>
    </x:row>
    <x:row r="697">
      <x:c r="A697" s="59" t="str">
        <x:v>Weak demand</x:v>
      </x:c>
      <x:c r="B697" s="59" t="n">
        <x:v>329</x:v>
      </x:c>
      <x:c r="C697" s="78" t="n">
        <x:f>(('Inputs'!$B$29*(3*329*'Inputs'!$B$12-329^2)/(2*'Inputs'!$B$12^2))-('Inputs'!$B$29*(3*328*'Inputs'!$B$12-328^2)/(2*'Inputs'!$B$12^2)))*'Inputs'!$B$45</x:f>
        <x:v>453891.26712329686</x:v>
      </x:c>
      <x:c r="D697" s="78" t="n">
        <x:f>IF('Inputs'!$C$45&gt;0,('Inputs'!$B$30*(3*329*'Inputs'!$B$12-329^2)/(2*'Inputs'!$B$12^2))-('Inputs'!$B$30*(3*328*'Inputs'!$B$12-328^2)/(2*'Inputs'!$B$12^2)),0)</x:f>
        <x:v>259366.43835616112</x:v>
      </x:c>
      <x:c r="E697" s="78" t="n">
        <x:f>C697+D697</x:f>
        <x:v>713257.705479458</x:v>
      </x:c>
      <x:c r="F697" s="78" t="n">
        <x:f>'Inputs'!$B$13*E697+(1-'Inputs'!$B$13)/'Inputs'!$B$14*SUM(E642:E697)</x:f>
        <x:v>721687.2888909752</x:v>
      </x:c>
      <x:c r="G697" s="78" t="n">
        <x:f>F697*'Inputs'!$F$45</x:f>
        <x:v>505181.10222368257</x:v>
      </x:c>
      <x:c r="H697" s="78" t="n">
        <x:f>U696</x:f>
        <x:v>135535810962.96812</x:v>
      </x:c>
      <x:c r="I697" s="78" t="n">
        <x:f>V696</x:f>
        <x:v>0.12597706602349493</x:v>
      </x:c>
      <x:c r="J697" s="79" t="n">
        <x:f>IF(H697&gt;0,I697/H697,0)</x:f>
        <x:v>9.294743959433356e-13</x:v>
      </x:c>
      <x:c r="K697" s="80" t="n">
        <x:f>(H697*J697+I697)*'Inputs'!$D$45*(1+'Inputs'!$G$45)^(B697/30)</x:f>
        <x:v>0.12597706602349493</x:v>
      </x:c>
      <x:c r="L697" s="80" t="n">
        <x:f>MAX(0,K697*'Inputs'!$E$45)</x:f>
        <x:v>0</x:v>
      </x:c>
      <x:c r="M697" s="80" t="n">
        <x:f>MAX(0,-K697*'Inputs'!$E$45)</x:f>
        <x:v>0.006298853301174747</x:v>
      </x:c>
      <x:c r="N697" s="78" t="n">
        <x:f>H697*(L697*(1-'Inputs'!$B$15))/(I697+L697*(1-'Inputs'!$B$15))</x:f>
        <x:v>0</x:v>
      </x:c>
      <x:c r="O697" s="78" t="n">
        <x:f>H697-N697</x:f>
        <x:v>135535810962.96812</x:v>
      </x:c>
      <x:c r="P697" s="78" t="n">
        <x:f>I697+L697*(1-'Inputs'!$B$17)</x:f>
        <x:v>0.12597706602349493</x:v>
      </x:c>
      <x:c r="Q697" s="78" t="n">
        <x:f>IF(J697&gt;0,M697/J697,0)</x:f>
        <x:v>0</x:v>
      </x:c>
      <x:c r="R697" s="78" t="n">
        <x:f>IF(B697='Inputs'!$H$45,'Inputs'!$B$27*'Inputs'!$I$45,0)</x:f>
        <x:v>0</x:v>
      </x:c>
      <x:c r="S697" s="78" t="n">
        <x:f>Q697+G697+R697</x:f>
        <x:v>505181.10222368257</x:v>
      </x:c>
      <x:c r="T697" s="78" t="n">
        <x:f>P697*(S697*(1-'Inputs'!$B$15))/(O697+S697*(1-'Inputs'!$B$15))</x:f>
        <x:v>4.648556555082939e-7</x:v>
      </x:c>
      <x:c r="U697" s="78" t="n">
        <x:f>O697+S697*(1-'Inputs'!$B$17)</x:f>
        <x:v>135536314111.1484</x:v>
      </x:c>
      <x:c r="V697" s="78" t="n">
        <x:f>P697-T697</x:f>
        <x:v>0.12597660116783943</x:v>
      </x:c>
      <x:c r="W697" s="79" t="n">
        <x:f>IF(U697&gt;0,V697/U697,0)</x:f>
        <x:v>9.29467515728151e-13</x:v>
      </x:c>
      <x:c r="X697" s="80" t="n">
        <x:f>W697*('Inputs'!$B$6-AC697)</x:f>
        <x:v>-0.004408868447630438</x:v>
      </x:c>
      <x:c r="Y697" s="80" t="n">
        <x:f>2*V697</x:f>
        <x:v>0.25195320233567886</x:v>
      </x:c>
      <x:c r="Z697" s="80" t="n">
        <x:f>K697*'Inputs'!$B$16+(G697+R697)*J697*'Inputs'!$B$16</x:f>
        <x:v>0.0007558652134583686</x:v>
      </x:c>
      <x:c r="AA697" s="80" t="n">
        <x:f>K697*(1+'Inputs'!$E$45)/2*'Inputs'!$B$17</x:f>
        <x:v>0.0002408012328416905</x:v>
      </x:c>
      <x:c r="AB697" s="78" t="n">
        <x:f>(IF(J697&gt;0,K697*(1-'Inputs'!$E$45)/2/J697,0)+G697+R697)*'Inputs'!$B$17</x:f>
        <x:v>2032.921940537958</x:v>
      </x:c>
      <x:c r="AC697" s="78" t="n">
        <x:f>AC696+AB697</x:f>
        <x:v>5743434679.561126</x:v>
      </x:c>
      <x:c r="AD697" s="80" t="n">
        <x:f>Z697/(1+'Inputs'!$C$45)</x:f>
        <x:v>0.0005039101423055791</x:v>
      </x:c>
      <x:c r="AE697" s="80" t="n">
        <x:f>Z697-AD697</x:f>
        <x:v>0.0002519550711527895</x:v>
      </x:c>
      <x:c r="AF697" s="80" t="n">
        <x:f>D697*W697</x:f>
        <x:v>2.410726791221597e-7</x:v>
      </x:c>
      <x:c r="AG697" s="80" t="n">
        <x:f>C697*W697</x:f>
        <x:v>4.218771884637933e-7</x:v>
      </x:c>
      <x:c r="AH697" s="80" t="n">
        <x:f>2*'Inputs'!$B$8*'Inputs'!$C$45</x:f>
        <x:v>2500</x:v>
      </x:c>
      <x:c r="AI697" s="81" t="n">
        <x:f>IF(AH697&gt;0,(AE697+AF697)/AH697*365,0)</x:f>
        <x:v>0.000036820636999459104</x:v>
      </x:c>
      <x:c r="AJ697" s="81" t="n">
        <x:f>IF('Inputs'!$B$45&gt;0,AG697/('Inputs'!$B$19*'Inputs'!$B$45)*365,0)</x:f>
        <x:v>2.053135650523794e-8</x:v>
      </x:c>
      <x:c r="AK697" s="81" t="n">
        <x:f>W697/MAX($W$369:W697)-1</x:f>
        <x:v>-0.9999999987637308</x:v>
      </x:c>
      <x:c r="AL697" s="83" t="n">
        <x:f>'Inputs'!$B$45</x:f>
        <x:v>0.75</x:v>
      </x:c>
      <x:c r="AM697" s="83" t="n">
        <x:f>'Inputs'!$C$45</x:f>
        <x:v>0.5</x:v>
      </x:c>
      <x:c r="AN697" s="83" t="n">
        <x:f>'Inputs'!$D$45</x:f>
        <x:v>0.5</x:v>
      </x:c>
      <x:c r="AO697" s="81" t="n">
        <x:f>'Inputs'!$E$45</x:f>
        <x:v>-0.05</x:v>
      </x:c>
    </x:row>
    <x:row r="698">
      <x:c r="A698" s="59" t="str">
        <x:v>Weak demand</x:v>
      </x:c>
      <x:c r="B698" s="59" t="n">
        <x:v>330</x:v>
      </x:c>
      <x:c r="C698" s="78" t="n">
        <x:f>(('Inputs'!$B$29*(3*330*'Inputs'!$B$12-330^2)/(2*'Inputs'!$B$12^2))-('Inputs'!$B$29*(3*329*'Inputs'!$B$12-329^2)/(2*'Inputs'!$B$12^2)))*'Inputs'!$B$45</x:f>
        <x:v>453647.43619814515</x:v>
      </x:c>
      <x:c r="D698" s="78" t="n">
        <x:f>IF('Inputs'!$C$45&gt;0,('Inputs'!$B$30*(3*330*'Inputs'!$B$12-330^2)/(2*'Inputs'!$B$12^2))-('Inputs'!$B$30*(3*329*'Inputs'!$B$12-329^2)/(2*'Inputs'!$B$12^2)),0)</x:f>
        <x:v>259227.106398955</x:v>
      </x:c>
      <x:c r="E698" s="78" t="n">
        <x:f>C698+D698</x:f>
        <x:v>712874.5425971001</x:v>
      </x:c>
      <x:c r="F698" s="78" t="n">
        <x:f>'Inputs'!$B$13*E698+(1-'Inputs'!$B$13)/'Inputs'!$B$14*SUM(E643:E698)</x:f>
        <x:v>721304.1260086301</x:v>
      </x:c>
      <x:c r="G698" s="78" t="n">
        <x:f>F698*'Inputs'!$F$45</x:f>
        <x:v>504912.88820604107</x:v>
      </x:c>
      <x:c r="H698" s="78" t="n">
        <x:f>U697</x:f>
        <x:v>135536314111.1484</x:v>
      </x:c>
      <x:c r="I698" s="78" t="n">
        <x:f>V697</x:f>
        <x:v>0.12597660116783943</x:v>
      </x:c>
      <x:c r="J698" s="79" t="n">
        <x:f>IF(H698&gt;0,I698/H698,0)</x:f>
        <x:v>9.29467515728151e-13</x:v>
      </x:c>
      <x:c r="K698" s="80" t="n">
        <x:f>(H698*J698+I698)*'Inputs'!$D$45*(1+'Inputs'!$G$45)^(B698/30)</x:f>
        <x:v>0.12597660116783943</x:v>
      </x:c>
      <x:c r="L698" s="80" t="n">
        <x:f>MAX(0,K698*'Inputs'!$E$45)</x:f>
        <x:v>0</x:v>
      </x:c>
      <x:c r="M698" s="80" t="n">
        <x:f>MAX(0,-K698*'Inputs'!$E$45)</x:f>
        <x:v>0.006298830058391972</x:v>
      </x:c>
      <x:c r="N698" s="78" t="n">
        <x:f>H698*(L698*(1-'Inputs'!$B$15))/(I698+L698*(1-'Inputs'!$B$15))</x:f>
        <x:v>0</x:v>
      </x:c>
      <x:c r="O698" s="78" t="n">
        <x:f>H698-N698</x:f>
        <x:v>135536314111.1484</x:v>
      </x:c>
      <x:c r="P698" s="78" t="n">
        <x:f>I698+L698*(1-'Inputs'!$B$17)</x:f>
        <x:v>0.12597660116783943</x:v>
      </x:c>
      <x:c r="Q698" s="78" t="n">
        <x:f>IF(J698&gt;0,M698/J698,0)</x:f>
        <x:v>0</x:v>
      </x:c>
      <x:c r="R698" s="78" t="n">
        <x:f>IF(B698='Inputs'!$H$45,'Inputs'!$B$27*'Inputs'!$I$45,0)</x:f>
        <x:v>0</x:v>
      </x:c>
      <x:c r="S698" s="78" t="n">
        <x:f>Q698+G698+R698</x:f>
        <x:v>504912.88820604107</x:v>
      </x:c>
      <x:c r="T698" s="78" t="n">
        <x:f>P698*(S698*(1-'Inputs'!$B$15))/(O698+S698*(1-'Inputs'!$B$15))</x:f>
        <x:v>4.6460541309663657e-7</x:v>
      </x:c>
      <x:c r="U698" s="78" t="n">
        <x:f>O698+S698*(1-'Inputs'!$B$17)</x:f>
        <x:v>135536816992.194</x:v>
      </x:c>
      <x:c r="V698" s="78" t="n">
        <x:f>P698-T698</x:f>
        <x:v>0.12597613656242634</x:v>
      </x:c>
      <x:c r="W698" s="79" t="n">
        <x:f>IF(U698&gt;0,V698/U698,0)</x:f>
        <x:v>9.294606392422636e-13</x:v>
      </x:c>
      <x:c r="X698" s="80" t="n">
        <x:f>W698*('Inputs'!$B$6-AC698)</x:f>
        <x:v>-0.004408837717986535</x:v>
      </x:c>
      <x:c r="Y698" s="80" t="n">
        <x:f>2*V698</x:f>
        <x:v>0.2519522731248527</x:v>
      </x:c>
      <x:c r="Z698" s="80" t="n">
        <x:f>K698*'Inputs'!$B$16+(G698+R698)*J698*'Inputs'!$B$16</x:f>
        <x:v>0.0007558624228078038</x:v>
      </x:c>
      <x:c r="AA698" s="80" t="n">
        <x:f>K698*(1+'Inputs'!$E$45)/2*'Inputs'!$B$17</x:f>
        <x:v>0.00024080034428460253</x:v>
      </x:c>
      <x:c r="AB698" s="78" t="n">
        <x:f>(IF(J698&gt;0,K698*(1-'Inputs'!$E$45)/2/J698,0)+G698+R698)*'Inputs'!$B$17</x:f>
        <x:v>2031.8426084750145</x:v>
      </x:c>
      <x:c r="AC698" s="78" t="n">
        <x:f>AC697+AB698</x:f>
        <x:v>5743436711.403734</x:v>
      </x:c>
      <x:c r="AD698" s="80" t="n">
        <x:f>Z698/(1+'Inputs'!$C$45)</x:f>
        <x:v>0.0005039082818718692</x:v>
      </x:c>
      <x:c r="AE698" s="80" t="n">
        <x:f>Z698-AD698</x:f>
        <x:v>0.00025195414093593456</x:v>
      </x:c>
      <x:c r="AF698" s="80" t="n">
        <x:f>D698*W698</x:f>
        <x:v>2.40941392022495e-7</x:v>
      </x:c>
      <x:c r="AG698" s="80" t="n">
        <x:f>C698*W698</x:f>
        <x:v>4.21647436039342e-7</x:v>
      </x:c>
      <x:c r="AH698" s="80" t="n">
        <x:f>2*'Inputs'!$B$8*'Inputs'!$C$45</x:f>
        <x:v>2500</x:v>
      </x:c>
      <x:c r="AI698" s="81" t="n">
        <x:f>IF(AH698&gt;0,(AE698+AF698)/AH698*365,0)</x:f>
        <x:v>0.00003682048201988173</x:v>
      </x:c>
      <x:c r="AJ698" s="81" t="n">
        <x:f>IF('Inputs'!$B$45&gt;0,AG698/('Inputs'!$B$19*'Inputs'!$B$45)*365,0)</x:f>
        <x:v>2.052017522058131e-8</x:v>
      </x:c>
      <x:c r="AK698" s="81" t="n">
        <x:f>W698/MAX($W$369:W698)-1</x:f>
        <x:v>-0.99999999876374</x:v>
      </x:c>
      <x:c r="AL698" s="83" t="n">
        <x:f>'Inputs'!$B$45</x:f>
        <x:v>0.75</x:v>
      </x:c>
      <x:c r="AM698" s="83" t="n">
        <x:f>'Inputs'!$C$45</x:f>
        <x:v>0.5</x:v>
      </x:c>
      <x:c r="AN698" s="83" t="n">
        <x:f>'Inputs'!$D$45</x:f>
        <x:v>0.5</x:v>
      </x:c>
      <x:c r="AO698" s="81" t="n">
        <x:f>'Inputs'!$E$45</x:f>
        <x:v>-0.05</x:v>
      </x:c>
    </x:row>
    <x:row r="699">
      <x:c r="A699" s="59" t="str">
        <x:v>Weak demand</x:v>
      </x:c>
      <x:c r="B699" s="59" t="n">
        <x:v>331</x:v>
      </x:c>
      <x:c r="C699" s="78" t="n">
        <x:f>(('Inputs'!$B$29*(3*331*'Inputs'!$B$12-331^2)/(2*'Inputs'!$B$12^2))-('Inputs'!$B$29*(3*330*'Inputs'!$B$12-330^2)/(2*'Inputs'!$B$12^2)))*'Inputs'!$B$45</x:f>
        <x:v>453403.60527303815</x:v>
      </x:c>
      <x:c r="D699" s="78" t="n">
        <x:f>IF('Inputs'!$C$45&gt;0,('Inputs'!$B$30*(3*331*'Inputs'!$B$12-331^2)/(2*'Inputs'!$B$12^2))-('Inputs'!$B$30*(3*330*'Inputs'!$B$12-330^2)/(2*'Inputs'!$B$12^2)),0)</x:f>
        <x:v>259087.77444173396</x:v>
      </x:c>
      <x:c r="E699" s="78" t="n">
        <x:f>C699+D699</x:f>
        <x:v>712491.3797147721</x:v>
      </x:c>
      <x:c r="F699" s="78" t="n">
        <x:f>'Inputs'!$B$13*E699+(1-'Inputs'!$B$13)/'Inputs'!$B$14*SUM(E644:E699)</x:f>
        <x:v>720920.9631262909</x:v>
      </x:c>
      <x:c r="G699" s="78" t="n">
        <x:f>F699*'Inputs'!$F$45</x:f>
        <x:v>504644.67418840365</x:v>
      </x:c>
      <x:c r="H699" s="78" t="n">
        <x:f>U698</x:f>
        <x:v>135536816992.194</x:v>
      </x:c>
      <x:c r="I699" s="78" t="n">
        <x:f>V698</x:f>
        <x:v>0.12597613656242634</x:v>
      </x:c>
      <x:c r="J699" s="79" t="n">
        <x:f>IF(H699&gt;0,I699/H699,0)</x:f>
        <x:v>9.294606392422636e-13</x:v>
      </x:c>
      <x:c r="K699" s="80" t="n">
        <x:f>(H699*J699+I699)*'Inputs'!$D$45*(1+'Inputs'!$G$45)^(B699/30)</x:f>
        <x:v>0.12597613656242634</x:v>
      </x:c>
      <x:c r="L699" s="80" t="n">
        <x:f>MAX(0,K699*'Inputs'!$E$45)</x:f>
        <x:v>0</x:v>
      </x:c>
      <x:c r="M699" s="80" t="n">
        <x:f>MAX(0,-K699*'Inputs'!$E$45)</x:f>
        <x:v>0.006298806828121318</x:v>
      </x:c>
      <x:c r="N699" s="78" t="n">
        <x:f>H699*(L699*(1-'Inputs'!$B$15))/(I699+L699*(1-'Inputs'!$B$15))</x:f>
        <x:v>0</x:v>
      </x:c>
      <x:c r="O699" s="78" t="n">
        <x:f>H699-N699</x:f>
        <x:v>135536816992.194</x:v>
      </x:c>
      <x:c r="P699" s="78" t="n">
        <x:f>I699+L699*(1-'Inputs'!$B$17)</x:f>
        <x:v>0.12597613656242634</x:v>
      </x:c>
      <x:c r="Q699" s="78" t="n">
        <x:f>IF(J699&gt;0,M699/J699,0)</x:f>
        <x:v>0</x:v>
      </x:c>
      <x:c r="R699" s="78" t="n">
        <x:f>IF(B699='Inputs'!$H$45,'Inputs'!$B$27*'Inputs'!$I$45,0)</x:f>
        <x:v>0</x:v>
      </x:c>
      <x:c r="S699" s="78" t="n">
        <x:f>Q699+G699+R699</x:f>
        <x:v>504644.67418840365</x:v>
      </x:c>
      <x:c r="T699" s="78" t="n">
        <x:f>P699*(S699*(1-'Inputs'!$B$15))/(O699+S699*(1-'Inputs'!$B$15))</x:f>
        <x:v>4.643551762009485e-7</x:v>
      </x:c>
      <x:c r="U699" s="78" t="n">
        <x:f>O699+S699*(1-'Inputs'!$B$17)</x:f>
        <x:v>135537319606.10492</x:v>
      </x:c>
      <x:c r="V699" s="78" t="n">
        <x:f>P699-T699</x:f>
        <x:v>0.12597567220725014</x:v>
      </x:c>
      <x:c r="W699" s="79" t="n">
        <x:f>IF(U699&gt;0,V699/U699,0)</x:f>
        <x:v>9.29453766485551e-13</x:v>
      </x:c>
      <x:c r="X699" s="80" t="n">
        <x:f>W699*('Inputs'!$B$6-AC699)</x:f>
        <x:v>-0.004408807005000613</x:v>
      </x:c>
      <x:c r="Y699" s="80" t="n">
        <x:f>2*V699</x:f>
        <x:v>0.2519513444145003</x:v>
      </x:c>
      <x:c r="Z699" s="80" t="n">
        <x:f>K699*'Inputs'!$B$16+(G699+R699)*J699*'Inputs'!$B$16</x:f>
        <x:v>0.0007558596336587268</x:v>
      </x:c>
      <x:c r="AA699" s="80" t="n">
        <x:f>K699*(1+'Inputs'!$E$45)/2*'Inputs'!$B$17</x:f>
        <x:v>0.00024079945620584514</x:v>
      </x:c>
      <x:c r="AB699" s="78" t="n">
        <x:f>(IF(J699&gt;0,K699*(1-'Inputs'!$E$45)/2/J699,0)+G699+R699)*'Inputs'!$B$17</x:f>
        <x:v>2030.7632764120872</x:v>
      </x:c>
      <x:c r="AC699" s="78" t="n">
        <x:f>AC698+AB699</x:f>
        <x:v>5743438742.16701</x:v>
      </x:c>
      <x:c r="AD699" s="80" t="n">
        <x:f>Z699/(1+'Inputs'!$C$45)</x:f>
        <x:v>0.0005039064224391512</x:v>
      </x:c>
      <x:c r="AE699" s="80" t="n">
        <x:f>Z699-AD699</x:f>
        <x:v>0.00025195321121957565</x:v>
      </x:c>
      <x:c r="AF699" s="80" t="n">
        <x:f>D699*W699</x:f>
        <x:v>2.408101078052285e-7</x:v>
      </x:c>
      <x:c r="AG699" s="80" t="n">
        <x:f>C699*W699</x:f>
        <x:v>4.2141768865915337e-7</x:v>
      </x:c>
      <x:c r="AH699" s="80" t="n">
        <x:f>2*'Inputs'!$B$8*'Inputs'!$C$45</x:f>
        <x:v>2500</x:v>
      </x:c>
      <x:c r="AI699" s="81" t="n">
        <x:f>IF(AH699&gt;0,(AE699+AF699)/AH699*365,0)</x:f>
        <x:v>0.00003682032711379761</x:v>
      </x:c>
      <x:c r="AJ699" s="81" t="n">
        <x:f>IF('Inputs'!$B$45&gt;0,AG699/('Inputs'!$B$19*'Inputs'!$B$45)*365,0)</x:f>
        <x:v>2.050899418141213e-8</x:v>
      </x:c>
      <x:c r="AK699" s="81" t="n">
        <x:f>W699/MAX($W$369:W699)-1</x:f>
        <x:v>-0.9999999987637491</x:v>
      </x:c>
      <x:c r="AL699" s="83" t="n">
        <x:f>'Inputs'!$B$45</x:f>
        <x:v>0.75</x:v>
      </x:c>
      <x:c r="AM699" s="83" t="n">
        <x:f>'Inputs'!$C$45</x:f>
        <x:v>0.5</x:v>
      </x:c>
      <x:c r="AN699" s="83" t="n">
        <x:f>'Inputs'!$D$45</x:f>
        <x:v>0.5</x:v>
      </x:c>
      <x:c r="AO699" s="81" t="n">
        <x:f>'Inputs'!$E$45</x:f>
        <x:v>-0.05</x:v>
      </x:c>
    </x:row>
    <x:row r="700">
      <x:c r="A700" s="59" t="str">
        <x:v>Weak demand</x:v>
      </x:c>
      <x:c r="B700" s="59" t="n">
        <x:v>332</x:v>
      </x:c>
      <x:c r="C700" s="78" t="n">
        <x:f>(('Inputs'!$B$29*(3*332*'Inputs'!$B$12-332^2)/(2*'Inputs'!$B$12^2))-('Inputs'!$B$29*(3*331*'Inputs'!$B$12-331^2)/(2*'Inputs'!$B$12^2)))*'Inputs'!$B$45</x:f>
        <x:v>453159.7743479088</x:v>
      </x:c>
      <x:c r="D700" s="78" t="n">
        <x:f>IF('Inputs'!$C$45&gt;0,('Inputs'!$B$30*(3*332*'Inputs'!$B$12-332^2)/(2*'Inputs'!$B$12^2))-('Inputs'!$B$30*(3*331*'Inputs'!$B$12-331^2)/(2*'Inputs'!$B$12^2)),0)</x:f>
        <x:v>258948.44248451293</x:v>
      </x:c>
      <x:c r="E700" s="78" t="n">
        <x:f>C700+D700</x:f>
        <x:v>712108.2168324217</x:v>
      </x:c>
      <x:c r="F700" s="78" t="n">
        <x:f>'Inputs'!$B$13*E700+(1-'Inputs'!$B$13)/'Inputs'!$B$14*SUM(E645:E700)</x:f>
        <x:v>720537.8002439474</x:v>
      </x:c>
      <x:c r="G700" s="78" t="n">
        <x:f>F700*'Inputs'!$F$45</x:f>
        <x:v>504376.46017076314</x:v>
      </x:c>
      <x:c r="H700" s="78" t="n">
        <x:f>U699</x:f>
        <x:v>135537319606.10492</x:v>
      </x:c>
      <x:c r="I700" s="78" t="n">
        <x:f>V699</x:f>
        <x:v>0.12597567220725014</x:v>
      </x:c>
      <x:c r="J700" s="79" t="n">
        <x:f>IF(H700&gt;0,I700/H700,0)</x:f>
        <x:v>9.29453766485551e-13</x:v>
      </x:c>
      <x:c r="K700" s="80" t="n">
        <x:f>(H700*J700+I700)*'Inputs'!$D$45*(1+'Inputs'!$G$45)^(B700/30)</x:f>
        <x:v>0.12597567220725014</x:v>
      </x:c>
      <x:c r="L700" s="80" t="n">
        <x:f>MAX(0,K700*'Inputs'!$E$45)</x:f>
        <x:v>0</x:v>
      </x:c>
      <x:c r="M700" s="80" t="n">
        <x:f>MAX(0,-K700*'Inputs'!$E$45)</x:f>
        <x:v>0.006298783610362508</x:v>
      </x:c>
      <x:c r="N700" s="78" t="n">
        <x:f>H700*(L700*(1-'Inputs'!$B$15))/(I700+L700*(1-'Inputs'!$B$15))</x:f>
        <x:v>0</x:v>
      </x:c>
      <x:c r="O700" s="78" t="n">
        <x:f>H700-N700</x:f>
        <x:v>135537319606.10492</x:v>
      </x:c>
      <x:c r="P700" s="78" t="n">
        <x:f>I700+L700*(1-'Inputs'!$B$17)</x:f>
        <x:v>0.12597567220725014</x:v>
      </x:c>
      <x:c r="Q700" s="78" t="n">
        <x:f>IF(J700&gt;0,M700/J700,0)</x:f>
        <x:v>0</x:v>
      </x:c>
      <x:c r="R700" s="78" t="n">
        <x:f>IF(B700='Inputs'!$H$45,'Inputs'!$B$27*'Inputs'!$I$45,0)</x:f>
        <x:v>0</x:v>
      </x:c>
      <x:c r="S700" s="78" t="n">
        <x:f>Q700+G700+R700</x:f>
        <x:v>504376.46017076314</x:v>
      </x:c>
      <x:c r="T700" s="78" t="n">
        <x:f>P700*(S700*(1-'Inputs'!$B$15))/(O700+S700*(1-'Inputs'!$B$15))</x:f>
        <x:v>4.64104944818191e-7</x:v>
      </x:c>
      <x:c r="U700" s="78" t="n">
        <x:f>O700+S700*(1-'Inputs'!$B$17)</x:f>
        <x:v>135537821952.88115</x:v>
      </x:c>
      <x:c r="V700" s="78" t="n">
        <x:f>P700-T700</x:f>
        <x:v>0.12597520810230534</x:v>
      </x:c>
      <x:c r="W700" s="79" t="n">
        <x:f>IF(U700&gt;0,V700/U700,0)</x:f>
        <x:v>9.294468974578905e-13</x:v>
      </x:c>
      <x:c r="X700" s="80" t="n">
        <x:f>W700*('Inputs'!$B$6-AC700)</x:f>
        <x:v>-0.004408776308672132</x:v>
      </x:c>
      <x:c r="Y700" s="80" t="n">
        <x:f>2*V700</x:f>
        <x:v>0.25195041620461067</x:v>
      </x:c>
      <x:c r="Z700" s="80" t="n">
        <x:f>K700*'Inputs'!$B$16+(G700+R700)*J700*'Inputs'!$B$16</x:f>
        <x:v>0.0007558568460111047</x:v>
      </x:c>
      <x:c r="AA700" s="80" t="n">
        <x:f>K700*(1+'Inputs'!$E$45)/2*'Inputs'!$B$17</x:f>
        <x:v>0.00024079856860540773</x:v>
      </x:c>
      <x:c r="AB700" s="78" t="n">
        <x:f>(IF(J700&gt;0,K700*(1-'Inputs'!$E$45)/2/J700,0)+G700+R700)*'Inputs'!$B$17</x:f>
        <x:v>2029.6839443491476</x:v>
      </x:c>
      <x:c r="AC700" s="78" t="n">
        <x:f>AC699+AB700</x:f>
        <x:v>5743440771.850955</x:v>
      </x:c>
      <x:c r="AD700" s="80" t="n">
        <x:f>Z700/(1+'Inputs'!$C$45)</x:f>
        <x:v>0.0005039045640074031</x:v>
      </x:c>
      <x:c r="AE700" s="80" t="n">
        <x:f>Z700-AD700</x:f>
        <x:v>0.0002519522820037016</x:v>
      </x:c>
      <x:c r="AF700" s="80" t="n">
        <x:f>D700*W700</x:f>
        <x:v>2.4067882646878354e-7</x:v>
      </x:c>
      <x:c r="AG700" s="80" t="n">
        <x:f>C700*W700</x:f>
        <x:v>4.2118794632038157e-7</x:v>
      </x:c>
      <x:c r="AH700" s="80" t="n">
        <x:f>2*'Inputs'!$B$8*'Inputs'!$C$45</x:f>
        <x:v>2500</x:v>
      </x:c>
      <x:c r="AI700" s="81" t="n">
        <x:f>IF(AH700&gt;0,(AE700+AF700)/AH700*365,0)</x:f>
        <x:v>0.00003682017228120487</x:v>
      </x:c>
      <x:c r="AJ700" s="81" t="n">
        <x:f>IF('Inputs'!$B$45&gt;0,AG700/('Inputs'!$B$19*'Inputs'!$B$45)*365,0)</x:f>
        <x:v>2.0497813387591903e-8</x:v>
      </x:c>
      <x:c r="AK700" s="81" t="n">
        <x:f>W700/MAX($W$369:W700)-1</x:f>
        <x:v>-0.9999999987637582</x:v>
      </x:c>
      <x:c r="AL700" s="83" t="n">
        <x:f>'Inputs'!$B$45</x:f>
        <x:v>0.75</x:v>
      </x:c>
      <x:c r="AM700" s="83" t="n">
        <x:f>'Inputs'!$C$45</x:f>
        <x:v>0.5</x:v>
      </x:c>
      <x:c r="AN700" s="83" t="n">
        <x:f>'Inputs'!$D$45</x:f>
        <x:v>0.5</x:v>
      </x:c>
      <x:c r="AO700" s="81" t="n">
        <x:f>'Inputs'!$E$45</x:f>
        <x:v>-0.05</x:v>
      </x:c>
    </x:row>
    <x:row r="701">
      <x:c r="A701" s="59" t="str">
        <x:v>Weak demand</x:v>
      </x:c>
      <x:c r="B701" s="59" t="n">
        <x:v>333</x:v>
      </x:c>
      <x:c r="C701" s="78" t="n">
        <x:f>(('Inputs'!$B$29*(3*333*'Inputs'!$B$12-333^2)/(2*'Inputs'!$B$12^2))-('Inputs'!$B$29*(3*332*'Inputs'!$B$12-332^2)/(2*'Inputs'!$B$12^2)))*'Inputs'!$B$45</x:f>
        <x:v>452915.94342277944</x:v>
      </x:c>
      <x:c r="D701" s="78" t="n">
        <x:f>IF('Inputs'!$C$45&gt;0,('Inputs'!$B$30*(3*333*'Inputs'!$B$12-333^2)/(2*'Inputs'!$B$12^2))-('Inputs'!$B$30*(3*332*'Inputs'!$B$12-332^2)/(2*'Inputs'!$B$12^2)),0)</x:f>
        <x:v>258809.1105273068</x:v>
      </x:c>
      <x:c r="E701" s="78" t="n">
        <x:f>C701+D701</x:f>
        <x:v>711725.0539500862</x:v>
      </x:c>
      <x:c r="F701" s="78" t="n">
        <x:f>'Inputs'!$B$13*E701+(1-'Inputs'!$B$13)/'Inputs'!$B$14*SUM(E646:E701)</x:f>
        <x:v>720154.6373616066</x:v>
      </x:c>
      <x:c r="G701" s="78" t="n">
        <x:f>F701*'Inputs'!$F$45</x:f>
        <x:v>504108.24615312455</x:v>
      </x:c>
      <x:c r="H701" s="78" t="n">
        <x:f>U700</x:f>
        <x:v>135537821952.88115</x:v>
      </x:c>
      <x:c r="I701" s="78" t="n">
        <x:f>V700</x:f>
        <x:v>0.12597520810230534</x:v>
      </x:c>
      <x:c r="J701" s="79" t="n">
        <x:f>IF(H701&gt;0,I701/H701,0)</x:f>
        <x:v>9.294468974578905e-13</x:v>
      </x:c>
      <x:c r="K701" s="80" t="n">
        <x:f>(H701*J701+I701)*'Inputs'!$D$45*(1+'Inputs'!$G$45)^(B701/30)</x:f>
        <x:v>0.12597520810230534</x:v>
      </x:c>
      <x:c r="L701" s="80" t="n">
        <x:f>MAX(0,K701*'Inputs'!$E$45)</x:f>
        <x:v>0</x:v>
      </x:c>
      <x:c r="M701" s="80" t="n">
        <x:f>MAX(0,-K701*'Inputs'!$E$45)</x:f>
        <x:v>0.006298760405115267</x:v>
      </x:c>
      <x:c r="N701" s="78" t="n">
        <x:f>H701*(L701*(1-'Inputs'!$B$15))/(I701+L701*(1-'Inputs'!$B$15))</x:f>
        <x:v>0</x:v>
      </x:c>
      <x:c r="O701" s="78" t="n">
        <x:f>H701-N701</x:f>
        <x:v>135537821952.88115</x:v>
      </x:c>
      <x:c r="P701" s="78" t="n">
        <x:f>I701+L701*(1-'Inputs'!$B$17)</x:f>
        <x:v>0.12597520810230534</x:v>
      </x:c>
      <x:c r="Q701" s="78" t="n">
        <x:f>IF(J701&gt;0,M701/J701,0)</x:f>
        <x:v>0</x:v>
      </x:c>
      <x:c r="R701" s="78" t="n">
        <x:f>IF(B701='Inputs'!$H$45,'Inputs'!$B$27*'Inputs'!$I$45,0)</x:f>
        <x:v>0</x:v>
      </x:c>
      <x:c r="S701" s="78" t="n">
        <x:f>Q701+G701+R701</x:f>
        <x:v>504108.24615312455</x:v>
      </x:c>
      <x:c r="T701" s="78" t="n">
        <x:f>P701*(S701*(1-'Inputs'!$B$15))/(O701+S701*(1-'Inputs'!$B$15))</x:f>
        <x:v>4.6385471894533687e-7</x:v>
      </x:c>
      <x:c r="U701" s="78" t="n">
        <x:f>O701+S701*(1-'Inputs'!$B$17)</x:f>
        <x:v>135538324032.52269</x:v>
      </x:c>
      <x:c r="V701" s="78" t="n">
        <x:f>P701-T701</x:f>
        <x:v>0.1259747442475864</x:v>
      </x:c>
      <x:c r="W701" s="79" t="n">
        <x:f>IF(U701&gt;0,V701/U701,0)</x:f>
        <x:v>9.294400321591589e-13</x:v>
      </x:c>
      <x:c r="X701" s="80" t="n">
        <x:f>W701*('Inputs'!$B$6-AC701)</x:f>
        <x:v>-0.004408745629000553</x:v>
      </x:c>
      <x:c r="Y701" s="80" t="n">
        <x:f>2*V701</x:f>
        <x:v>0.2519494884951728</x:v>
      </x:c>
      <x:c r="Z701" s="80" t="n">
        <x:f>K701*'Inputs'!$B$16+(G701+R701)*J701*'Inputs'!$B$16</x:f>
        <x:v>0.0007558540598649042</x:v>
      </x:c>
      <x:c r="AA701" s="80" t="n">
        <x:f>K701*(1+'Inputs'!$E$45)/2*'Inputs'!$B$17</x:f>
        <x:v>0.00024079768148327983</x:v>
      </x:c>
      <x:c r="AB701" s="78" t="n">
        <x:f>(IF(J701&gt;0,K701*(1-'Inputs'!$E$45)/2/J701,0)+G701+R701)*'Inputs'!$B$17</x:f>
        <x:v>2028.6046122862156</x:v>
      </x:c>
      <x:c r="AC701" s="78" t="n">
        <x:f>AC700+AB701</x:f>
        <x:v>5743442800.455567</x:v>
      </x:c>
      <x:c r="AD701" s="80" t="n">
        <x:f>Z701/(1+'Inputs'!$C$45)</x:f>
        <x:v>0.0005039027065766028</x:v>
      </x:c>
      <x:c r="AE701" s="80" t="n">
        <x:f>Z701-AD701</x:f>
        <x:v>0.00025195135328830143</x:v>
      </x:c>
      <x:c r="AF701" s="80" t="n">
        <x:f>D701*W701</x:f>
        <x:v>2.4054754801158335e-7</x:v>
      </x:c>
      <x:c r="AG701" s="80" t="n">
        <x:f>C701*W701</x:f>
        <x:v>4.2095820902026393e-7</x:v>
      </x:c>
      <x:c r="AH701" s="80" t="n">
        <x:f>2*'Inputs'!$B$8*'Inputs'!$C$45</x:f>
        <x:v>2500</x:v>
      </x:c>
      <x:c r="AI701" s="81" t="n">
        <x:f>IF(AH701&gt;0,(AE701+AF701)/AH701*365,0)</x:f>
        <x:v>0.0000368200175221017</x:v>
      </x:c>
      <x:c r="AJ701" s="81" t="n">
        <x:f>IF('Inputs'!$B$45&gt;0,AG701/('Inputs'!$B$19*'Inputs'!$B$45)*365,0)</x:f>
        <x:v>2.048663283898618e-8</x:v>
      </x:c>
      <x:c r="AK701" s="81" t="n">
        <x:f>W701/MAX($W$369:W701)-1</x:f>
        <x:v>-0.9999999987637674</x:v>
      </x:c>
      <x:c r="AL701" s="83" t="n">
        <x:f>'Inputs'!$B$45</x:f>
        <x:v>0.75</x:v>
      </x:c>
      <x:c r="AM701" s="83" t="n">
        <x:f>'Inputs'!$C$45</x:f>
        <x:v>0.5</x:v>
      </x:c>
      <x:c r="AN701" s="83" t="n">
        <x:f>'Inputs'!$D$45</x:f>
        <x:v>0.5</x:v>
      </x:c>
      <x:c r="AO701" s="81" t="n">
        <x:f>'Inputs'!$E$45</x:f>
        <x:v>-0.05</x:v>
      </x:c>
    </x:row>
    <x:row r="702">
      <x:c r="A702" s="59" t="str">
        <x:v>Weak demand</x:v>
      </x:c>
      <x:c r="B702" s="59" t="n">
        <x:v>334</x:v>
      </x:c>
      <x:c r="C702" s="78" t="n">
        <x:f>(('Inputs'!$B$29*(3*334*'Inputs'!$B$12-334^2)/(2*'Inputs'!$B$12^2))-('Inputs'!$B$29*(3*333*'Inputs'!$B$12-333^2)/(2*'Inputs'!$B$12^2)))*'Inputs'!$B$45</x:f>
        <x:v>452672.1124976501</x:v>
      </x:c>
      <x:c r="D702" s="78" t="n">
        <x:f>IF('Inputs'!$C$45&gt;0,('Inputs'!$B$30*(3*334*'Inputs'!$B$12-334^2)/(2*'Inputs'!$B$12^2))-('Inputs'!$B$30*(3*333*'Inputs'!$B$12-333^2)/(2*'Inputs'!$B$12^2)),0)</x:f>
        <x:v>258669.77857008576</x:v>
      </x:c>
      <x:c r="E702" s="78" t="n">
        <x:f>C702+D702</x:f>
        <x:v>711341.8910677359</x:v>
      </x:c>
      <x:c r="F702" s="78" t="n">
        <x:f>'Inputs'!$B$13*E702+(1-'Inputs'!$B$13)/'Inputs'!$B$14*SUM(E647:E702)</x:f>
        <x:v>719771.474479263</x:v>
      </x:c>
      <x:c r="G702" s="78" t="n">
        <x:f>F702*'Inputs'!$F$45</x:f>
        <x:v>503840.03213548404</x:v>
      </x:c>
      <x:c r="H702" s="78" t="n">
        <x:f>U701</x:f>
        <x:v>135538324032.52269</x:v>
      </x:c>
      <x:c r="I702" s="78" t="n">
        <x:f>V701</x:f>
        <x:v>0.1259747442475864</x:v>
      </x:c>
      <x:c r="J702" s="79" t="n">
        <x:f>IF(H702&gt;0,I702/H702,0)</x:f>
        <x:v>9.294400321591589e-13</x:v>
      </x:c>
      <x:c r="K702" s="80" t="n">
        <x:f>(H702*J702+I702)*'Inputs'!$D$45*(1+'Inputs'!$G$45)^(B702/30)</x:f>
        <x:v>0.1259747442475864</x:v>
      </x:c>
      <x:c r="L702" s="80" t="n">
        <x:f>MAX(0,K702*'Inputs'!$E$45)</x:f>
        <x:v>0</x:v>
      </x:c>
      <x:c r="M702" s="80" t="n">
        <x:f>MAX(0,-K702*'Inputs'!$E$45)</x:f>
        <x:v>0.00629873721237932</x:v>
      </x:c>
      <x:c r="N702" s="78" t="n">
        <x:f>H702*(L702*(1-'Inputs'!$B$15))/(I702+L702*(1-'Inputs'!$B$15))</x:f>
        <x:v>0</x:v>
      </x:c>
      <x:c r="O702" s="78" t="n">
        <x:f>H702-N702</x:f>
        <x:v>135538324032.52269</x:v>
      </x:c>
      <x:c r="P702" s="78" t="n">
        <x:f>I702+L702*(1-'Inputs'!$B$17)</x:f>
        <x:v>0.1259747442475864</x:v>
      </x:c>
      <x:c r="Q702" s="78" t="n">
        <x:f>IF(J702&gt;0,M702/J702,0)</x:f>
        <x:v>0</x:v>
      </x:c>
      <x:c r="R702" s="78" t="n">
        <x:f>IF(B702='Inputs'!$H$45,'Inputs'!$B$27*'Inputs'!$I$45,0)</x:f>
        <x:v>0</x:v>
      </x:c>
      <x:c r="S702" s="78" t="n">
        <x:f>Q702+G702+R702</x:f>
        <x:v>503840.03213548404</x:v>
      </x:c>
      <x:c r="T702" s="78" t="n">
        <x:f>P702*(S702*(1-'Inputs'!$B$15))/(O702+S702*(1-'Inputs'!$B$15))</x:f>
        <x:v>4.6360449857935085e-7</x:v>
      </x:c>
      <x:c r="U702" s="78" t="n">
        <x:f>O702+S702*(1-'Inputs'!$B$17)</x:f>
        <x:v>135538825845.02954</x:v>
      </x:c>
      <x:c r="V702" s="78" t="n">
        <x:f>P702-T702</x:f>
        <x:v>0.12597428064308783</x:v>
      </x:c>
      <x:c r="W702" s="79" t="n">
        <x:f>IF(U702&gt;0,V702/U702,0)</x:f>
        <x:v>9.29433170589234e-13</x:v>
      </x:c>
      <x:c r="X702" s="80" t="n">
        <x:f>W702*('Inputs'!$B$6-AC702)</x:f>
        <x:v>-0.004408714965985343</x:v>
      </x:c>
      <x:c r="Y702" s="80" t="n">
        <x:f>2*V702</x:f>
        <x:v>0.25194856128617565</x:v>
      </x:c>
      <x:c r="Z702" s="80" t="n">
        <x:f>K702*'Inputs'!$B$16+(G702+R702)*J702*'Inputs'!$B$16</x:f>
        <x:v>0.0007558512752200924</x:v>
      </x:c>
      <x:c r="AA702" s="80" t="n">
        <x:f>K702*(1+'Inputs'!$E$45)/2*'Inputs'!$B$17</x:f>
        <x:v>0.00024079679483945087</x:v>
      </x:c>
      <x:c r="AB702" s="78" t="n">
        <x:f>(IF(J702&gt;0,K702*(1-'Inputs'!$E$45)/2/J702,0)+G702+R702)*'Inputs'!$B$17</x:f>
        <x:v>2027.525280223276</x:v>
      </x:c>
      <x:c r="AC702" s="78" t="n">
        <x:f>AC701+AB702</x:f>
        <x:v>5743444827.980847</x:v>
      </x:c>
      <x:c r="AD702" s="80" t="n">
        <x:f>Z702/(1+'Inputs'!$C$45)</x:f>
        <x:v>0.0005039008501467282</x:v>
      </x:c>
      <x:c r="AE702" s="80" t="n">
        <x:f>Z702-AD702</x:f>
        <x:v>0.0002519504250733641</x:v>
      </x:c>
      <x:c r="AF702" s="80" t="n">
        <x:f>D702*W702</x:f>
        <x:v>2.4041627243200995e-7</x:v>
      </x:c>
      <x:c r="AG702" s="80" t="n">
        <x:f>C702*W702</x:f>
        <x:v>4.2072847675601736e-7</x:v>
      </x:c>
      <x:c r="AH702" s="80" t="n">
        <x:f>2*'Inputs'!$B$8*'Inputs'!$C$45</x:f>
        <x:v>2500</x:v>
      </x:c>
      <x:c r="AI702" s="81" t="n">
        <x:f>IF(AH702&gt;0,(AE702+AF702)/AH702*365,0)</x:f>
        <x:v>0.00003681986283648624</x:v>
      </x:c>
      <x:c r="AJ702" s="81" t="n">
        <x:f>IF('Inputs'!$B$45&gt;0,AG702/('Inputs'!$B$19*'Inputs'!$B$45)*365,0)</x:f>
        <x:v>2.0475452535459512e-8</x:v>
      </x:c>
      <x:c r="AK702" s="81" t="n">
        <x:f>W702/MAX($W$369:W702)-1</x:f>
        <x:v>-0.9999999987637765</x:v>
      </x:c>
      <x:c r="AL702" s="83" t="n">
        <x:f>'Inputs'!$B$45</x:f>
        <x:v>0.75</x:v>
      </x:c>
      <x:c r="AM702" s="83" t="n">
        <x:f>'Inputs'!$C$45</x:f>
        <x:v>0.5</x:v>
      </x:c>
      <x:c r="AN702" s="83" t="n">
        <x:f>'Inputs'!$D$45</x:f>
        <x:v>0.5</x:v>
      </x:c>
      <x:c r="AO702" s="81" t="n">
        <x:f>'Inputs'!$E$45</x:f>
        <x:v>-0.05</x:v>
      </x:c>
    </x:row>
    <x:row r="703">
      <x:c r="A703" s="59" t="str">
        <x:v>Weak demand</x:v>
      </x:c>
      <x:c r="B703" s="59" t="n">
        <x:v>335</x:v>
      </x:c>
      <x:c r="C703" s="78" t="n">
        <x:f>(('Inputs'!$B$29*(3*335*'Inputs'!$B$12-335^2)/(2*'Inputs'!$B$12^2))-('Inputs'!$B$29*(3*334*'Inputs'!$B$12-334^2)/(2*'Inputs'!$B$12^2)))*'Inputs'!$B$45</x:f>
        <x:v>452428.2815725431</x:v>
      </x:c>
      <x:c r="D703" s="78" t="n">
        <x:f>IF('Inputs'!$C$45&gt;0,('Inputs'!$B$30*(3*335*'Inputs'!$B$12-335^2)/(2*'Inputs'!$B$12^2))-('Inputs'!$B$30*(3*334*'Inputs'!$B$12-334^2)/(2*'Inputs'!$B$12^2)),0)</x:f>
        <x:v>258530.44661287963</x:v>
      </x:c>
      <x:c r="E703" s="78" t="n">
        <x:f>C703+D703</x:f>
        <x:v>710958.7281854227</x:v>
      </x:c>
      <x:c r="F703" s="78" t="n">
        <x:f>'Inputs'!$B$13*E703+(1-'Inputs'!$B$13)/'Inputs'!$B$14*SUM(E648:E703)</x:f>
        <x:v>719388.3115969271</x:v>
      </x:c>
      <x:c r="G703" s="78" t="n">
        <x:f>F703*'Inputs'!$F$45</x:f>
        <x:v>503571.81811784895</x:v>
      </x:c>
      <x:c r="H703" s="78" t="n">
        <x:f>U702</x:f>
        <x:v>135538825845.02954</x:v>
      </x:c>
      <x:c r="I703" s="78" t="n">
        <x:f>V702</x:f>
        <x:v>0.12597428064308783</x:v>
      </x:c>
      <x:c r="J703" s="79" t="n">
        <x:f>IF(H703&gt;0,I703/H703,0)</x:f>
        <x:v>9.29433170589234e-13</x:v>
      </x:c>
      <x:c r="K703" s="80" t="n">
        <x:f>(H703*J703+I703)*'Inputs'!$D$45*(1+'Inputs'!$G$45)^(B703/30)</x:f>
        <x:v>0.12597428064308783</x:v>
      </x:c>
      <x:c r="L703" s="80" t="n">
        <x:f>MAX(0,K703*'Inputs'!$E$45)</x:f>
        <x:v>0</x:v>
      </x:c>
      <x:c r="M703" s="80" t="n">
        <x:f>MAX(0,-K703*'Inputs'!$E$45)</x:f>
        <x:v>0.0062987140321543915</x:v>
      </x:c>
      <x:c r="N703" s="78" t="n">
        <x:f>H703*(L703*(1-'Inputs'!$B$15))/(I703+L703*(1-'Inputs'!$B$15))</x:f>
        <x:v>0</x:v>
      </x:c>
      <x:c r="O703" s="78" t="n">
        <x:f>H703-N703</x:f>
        <x:v>135538825845.02954</x:v>
      </x:c>
      <x:c r="P703" s="78" t="n">
        <x:f>I703+L703*(1-'Inputs'!$B$17)</x:f>
        <x:v>0.12597428064308783</x:v>
      </x:c>
      <x:c r="Q703" s="78" t="n">
        <x:f>IF(J703&gt;0,M703/J703,0)</x:f>
        <x:v>0</x:v>
      </x:c>
      <x:c r="R703" s="78" t="n">
        <x:f>IF(B703='Inputs'!$H$45,'Inputs'!$B$27*'Inputs'!$I$45,0)</x:f>
        <x:v>0</x:v>
      </x:c>
      <x:c r="S703" s="78" t="n">
        <x:f>Q703+G703+R703</x:f>
        <x:v>503571.81811784895</x:v>
      </x:c>
      <x:c r="T703" s="78" t="n">
        <x:f>P703*(S703*(1-'Inputs'!$B$15))/(O703+S703*(1-'Inputs'!$B$15))</x:f>
        <x:v>4.6335428371720837e-7</x:v>
      </x:c>
      <x:c r="U703" s="78" t="n">
        <x:f>O703+S703*(1-'Inputs'!$B$17)</x:f>
        <x:v>135539327390.40172</x:v>
      </x:c>
      <x:c r="V703" s="78" t="n">
        <x:f>P703-T703</x:f>
        <x:v>0.1259738172888041</x:v>
      </x:c>
      <x:c r="W703" s="79" t="n">
        <x:f>IF(U703&gt;0,V703/U703,0)</x:f>
        <x:v>9.29426312747993e-13</x:v>
      </x:c>
      <x:c r="X703" s="80" t="n">
        <x:f>W703*('Inputs'!$B$6-AC703)</x:f>
        <x:v>-0.004408684319625962</x:v>
      </x:c>
      <x:c r="Y703" s="80" t="n">
        <x:f>2*V703</x:f>
        <x:v>0.2519476345776082</x:v>
      </x:c>
      <x:c r="Z703" s="80" t="n">
        <x:f>K703*'Inputs'!$B$16+(G703+R703)*J703*'Inputs'!$B$16</x:f>
        <x:v>0.0007558484920766362</x:v>
      </x:c>
      <x:c r="AA703" s="80" t="n">
        <x:f>K703*(1+'Inputs'!$E$45)/2*'Inputs'!$B$17</x:f>
        <x:v>0.00024079590867391034</x:v>
      </x:c>
      <x:c r="AB703" s="78" t="n">
        <x:f>(IF(J703&gt;0,K703*(1-'Inputs'!$E$45)/2/J703,0)+G703+R703)*'Inputs'!$B$17</x:f>
        <x:v>2026.445948160358</x:v>
      </x:c>
      <x:c r="AC703" s="78" t="n">
        <x:f>AC702+AB703</x:f>
        <x:v>5743446854.426796</x:v>
      </x:c>
      <x:c r="AD703" s="80" t="n">
        <x:f>Z703/(1+'Inputs'!$C$45)</x:f>
        <x:v>0.0005038989947177575</x:v>
      </x:c>
      <x:c r="AE703" s="80" t="n">
        <x:f>Z703-AD703</x:f>
        <x:v>0.0002519494973588787</x:v>
      </x:c>
      <x:c r="AF703" s="80" t="n">
        <x:f>D703*W703</x:f>
        <x:v>2.4028499972850054e-7</x:v>
      </x:c>
      <x:c r="AG703" s="80" t="n">
        <x:f>C703*W703</x:f>
        <x:v>4.204987495248794e-7</x:v>
      </x:c>
      <x:c r="AH703" s="80" t="n">
        <x:f>2*'Inputs'!$B$8*'Inputs'!$C$45</x:f>
        <x:v>2500</x:v>
      </x:c>
      <x:c r="AI703" s="81" t="n">
        <x:f>IF(AH703&gt;0,(AE703+AF703)/AH703*365,0)</x:f>
        <x:v>0.00003681970822435665</x:v>
      </x:c>
      <x:c r="AJ703" s="81" t="n">
        <x:f>IF('Inputs'!$B$45&gt;0,AG703/('Inputs'!$B$19*'Inputs'!$B$45)*365,0)</x:f>
        <x:v>2.0464272476877466e-8</x:v>
      </x:c>
      <x:c r="AK703" s="81" t="n">
        <x:f>W703/MAX($W$369:W703)-1</x:f>
        <x:v>-0.9999999987637856</x:v>
      </x:c>
      <x:c r="AL703" s="83" t="n">
        <x:f>'Inputs'!$B$45</x:f>
        <x:v>0.75</x:v>
      </x:c>
      <x:c r="AM703" s="83" t="n">
        <x:f>'Inputs'!$C$45</x:f>
        <x:v>0.5</x:v>
      </x:c>
      <x:c r="AN703" s="83" t="n">
        <x:f>'Inputs'!$D$45</x:f>
        <x:v>0.5</x:v>
      </x:c>
      <x:c r="AO703" s="81" t="n">
        <x:f>'Inputs'!$E$45</x:f>
        <x:v>-0.05</x:v>
      </x:c>
    </x:row>
    <x:row r="704">
      <x:c r="A704" s="59" t="str">
        <x:v>Weak demand</x:v>
      </x:c>
      <x:c r="B704" s="59" t="n">
        <x:v>336</x:v>
      </x:c>
      <x:c r="C704" s="78" t="n">
        <x:f>(('Inputs'!$B$29*(3*336*'Inputs'!$B$12-336^2)/(2*'Inputs'!$B$12^2))-('Inputs'!$B$29*(3*335*'Inputs'!$B$12-335^2)/(2*'Inputs'!$B$12^2)))*'Inputs'!$B$45</x:f>
        <x:v>452184.4506473914</x:v>
      </x:c>
      <x:c r="D704" s="78" t="n">
        <x:f>IF('Inputs'!$C$45&gt;0,('Inputs'!$B$30*(3*336*'Inputs'!$B$12-336^2)/(2*'Inputs'!$B$12^2))-('Inputs'!$B$30*(3*335*'Inputs'!$B$12-335^2)/(2*'Inputs'!$B$12^2)),0)</x:f>
        <x:v>258391.1146556586</x:v>
      </x:c>
      <x:c r="E704" s="78" t="n">
        <x:f>C704+D704</x:f>
        <x:v>710575.56530305</x:v>
      </x:c>
      <x:c r="F704" s="78" t="n">
        <x:f>'Inputs'!$B$13*E704+(1-'Inputs'!$B$13)/'Inputs'!$B$14*SUM(E649:E704)</x:f>
        <x:v>719005.148714579</x:v>
      </x:c>
      <x:c r="G704" s="78" t="n">
        <x:f>F704*'Inputs'!$F$45</x:f>
        <x:v>503303.60410020524</x:v>
      </x:c>
      <x:c r="H704" s="78" t="n">
        <x:f>U703</x:f>
        <x:v>135539327390.40172</x:v>
      </x:c>
      <x:c r="I704" s="78" t="n">
        <x:f>V703</x:f>
        <x:v>0.1259738172888041</x:v>
      </x:c>
      <x:c r="J704" s="79" t="n">
        <x:f>IF(H704&gt;0,I704/H704,0)</x:f>
        <x:v>9.29426312747993e-13</x:v>
      </x:c>
      <x:c r="K704" s="80" t="n">
        <x:f>(H704*J704+I704)*'Inputs'!$D$45*(1+'Inputs'!$G$45)^(B704/30)</x:f>
        <x:v>0.1259738172888041</x:v>
      </x:c>
      <x:c r="L704" s="80" t="n">
        <x:f>MAX(0,K704*'Inputs'!$E$45)</x:f>
        <x:v>0</x:v>
      </x:c>
      <x:c r="M704" s="80" t="n">
        <x:f>MAX(0,-K704*'Inputs'!$E$45)</x:f>
        <x:v>0.006298690864440206</x:v>
      </x:c>
      <x:c r="N704" s="78" t="n">
        <x:f>H704*(L704*(1-'Inputs'!$B$15))/(I704+L704*(1-'Inputs'!$B$15))</x:f>
        <x:v>0</x:v>
      </x:c>
      <x:c r="O704" s="78" t="n">
        <x:f>H704-N704</x:f>
        <x:v>135539327390.40172</x:v>
      </x:c>
      <x:c r="P704" s="78" t="n">
        <x:f>I704+L704*(1-'Inputs'!$B$17)</x:f>
        <x:v>0.1259738172888041</x:v>
      </x:c>
      <x:c r="Q704" s="78" t="n">
        <x:f>IF(J704&gt;0,M704/J704,0)</x:f>
        <x:v>0</x:v>
      </x:c>
      <x:c r="R704" s="78" t="n">
        <x:f>IF(B704='Inputs'!$H$45,'Inputs'!$B$27*'Inputs'!$I$45,0)</x:f>
        <x:v>0</x:v>
      </x:c>
      <x:c r="S704" s="78" t="n">
        <x:f>Q704+G704+R704</x:f>
        <x:v>503303.60410020524</x:v>
      </x:c>
      <x:c r="T704" s="78" t="n">
        <x:f>P704*(S704*(1-'Inputs'!$B$15))/(O704+S704*(1-'Inputs'!$B$15))</x:f>
        <x:v>4.6310407435586477e-7</x:v>
      </x:c>
      <x:c r="U704" s="78" t="n">
        <x:f>O704+S704*(1-'Inputs'!$B$17)</x:f>
        <x:v>135539828668.6392</x:v>
      </x:c>
      <x:c r="V704" s="78" t="n">
        <x:f>P704-T704</x:f>
        <x:v>0.12597335418472974</x:v>
      </x:c>
      <x:c r="W704" s="79" t="n">
        <x:f>IF(U704&gt;0,V704/U704,0)</x:f>
        <x:v>9.29419458635313e-13</x:v>
      </x:c>
      <x:c r="X704" s="80" t="n">
        <x:f>W704*('Inputs'!$B$6-AC704)</x:f>
        <x:v>-0.004408653689921875</x:v>
      </x:c>
      <x:c r="Y704" s="80" t="n">
        <x:f>2*V704</x:f>
        <x:v>0.2519467083694595</x:v>
      </x:c>
      <x:c r="Z704" s="80" t="n">
        <x:f>K704*'Inputs'!$B$16+(G704+R704)*J704*'Inputs'!$B$16</x:f>
        <x:v>0.0007558457104345023</x:v>
      </x:c>
      <x:c r="AA704" s="80" t="n">
        <x:f>K704*(1+'Inputs'!$E$45)/2*'Inputs'!$B$17</x:f>
        <x:v>0.00024079502298664772</x:v>
      </x:c>
      <x:c r="AB704" s="78" t="n">
        <x:f>(IF(J704&gt;0,K704*(1-'Inputs'!$E$45)/2/J704,0)+G704+R704)*'Inputs'!$B$17</x:f>
        <x:v>2025.3666160974055</x:v>
      </x:c>
      <x:c r="AC704" s="78" t="n">
        <x:f>AC703+AB704</x:f>
        <x:v>5743448879.793412</x:v>
      </x:c>
      <x:c r="AD704" s="80" t="n">
        <x:f>Z704/(1+'Inputs'!$C$45)</x:f>
        <x:v>0.0005038971402896682</x:v>
      </x:c>
      <x:c r="AE704" s="80" t="n">
        <x:f>Z704-AD704</x:f>
        <x:v>0.0002519485701448341</x:v>
      </x:c>
      <x:c r="AF704" s="80" t="n">
        <x:f>D704*W704</x:f>
        <x:v>2.401537298994373e-7</x:v>
      </x:c>
      <x:c r="AG704" s="80" t="n">
        <x:f>C704*W704</x:f>
        <x:v>4.2026902732400493e-7</x:v>
      </x:c>
      <x:c r="AH704" s="80" t="n">
        <x:f>2*'Inputs'!$B$8*'Inputs'!$C$45</x:f>
        <x:v>2500</x:v>
      </x:c>
      <x:c r="AI704" s="81" t="n">
        <x:f>IF(AH704&gt;0,(AE704+AF704)/AH704*365,0)</x:f>
        <x:v>0.0000368195536857111</x:v>
      </x:c>
      <x:c r="AJ704" s="81" t="n">
        <x:f>IF('Inputs'!$B$45&gt;0,AG704/('Inputs'!$B$19*'Inputs'!$B$45)*365,0)</x:f>
        <x:v>2.0453092663101573e-8</x:v>
      </x:c>
      <x:c r="AK704" s="81" t="n">
        <x:f>W704/MAX($W$369:W704)-1</x:f>
        <x:v>-0.9999999987637948</x:v>
      </x:c>
      <x:c r="AL704" s="83" t="n">
        <x:f>'Inputs'!$B$45</x:f>
        <x:v>0.75</x:v>
      </x:c>
      <x:c r="AM704" s="83" t="n">
        <x:f>'Inputs'!$C$45</x:f>
        <x:v>0.5</x:v>
      </x:c>
      <x:c r="AN704" s="83" t="n">
        <x:f>'Inputs'!$D$45</x:f>
        <x:v>0.5</x:v>
      </x:c>
      <x:c r="AO704" s="81" t="n">
        <x:f>'Inputs'!$E$45</x:f>
        <x:v>-0.05</x:v>
      </x:c>
    </x:row>
    <x:row r="705">
      <x:c r="A705" s="59" t="str">
        <x:v>Weak demand</x:v>
      </x:c>
      <x:c r="B705" s="59" t="n">
        <x:v>337</x:v>
      </x:c>
      <x:c r="C705" s="78" t="n">
        <x:f>(('Inputs'!$B$29*(3*337*'Inputs'!$B$12-337^2)/(2*'Inputs'!$B$12^2))-('Inputs'!$B$29*(3*336*'Inputs'!$B$12-336^2)/(2*'Inputs'!$B$12^2)))*'Inputs'!$B$45</x:f>
        <x:v>451940.6197222844</x:v>
      </x:c>
      <x:c r="D705" s="78" t="n">
        <x:f>IF('Inputs'!$C$45&gt;0,('Inputs'!$B$30*(3*337*'Inputs'!$B$12-337^2)/(2*'Inputs'!$B$12^2))-('Inputs'!$B$30*(3*336*'Inputs'!$B$12-336^2)/(2*'Inputs'!$B$12^2)),0)</x:f>
        <x:v>258251.78269843757</x:v>
      </x:c>
      <x:c r="E705" s="78" t="n">
        <x:f>C705+D705</x:f>
        <x:v>710192.402420722</x:v>
      </x:c>
      <x:c r="F705" s="78" t="n">
        <x:f>'Inputs'!$B$13*E705+(1-'Inputs'!$B$13)/'Inputs'!$B$14*SUM(E650:E705)</x:f>
        <x:v>718621.98583224</x:v>
      </x:c>
      <x:c r="G705" s="78" t="n">
        <x:f>F705*'Inputs'!$F$45</x:f>
        <x:v>503035.39008256793</x:v>
      </x:c>
      <x:c r="H705" s="78" t="n">
        <x:f>U704</x:f>
        <x:v>135539828668.6392</x:v>
      </x:c>
      <x:c r="I705" s="78" t="n">
        <x:f>V704</x:f>
        <x:v>0.12597335418472974</x:v>
      </x:c>
      <x:c r="J705" s="79" t="n">
        <x:f>IF(H705&gt;0,I705/H705,0)</x:f>
        <x:v>9.29419458635313e-13</x:v>
      </x:c>
      <x:c r="K705" s="80" t="n">
        <x:f>(H705*J705+I705)*'Inputs'!$D$45*(1+'Inputs'!$G$45)^(B705/30)</x:f>
        <x:v>0.12597335418472974</x:v>
      </x:c>
      <x:c r="L705" s="80" t="n">
        <x:f>MAX(0,K705*'Inputs'!$E$45)</x:f>
        <x:v>0</x:v>
      </x:c>
      <x:c r="M705" s="80" t="n">
        <x:f>MAX(0,-K705*'Inputs'!$E$45)</x:f>
        <x:v>0.006298667709236487</x:v>
      </x:c>
      <x:c r="N705" s="78" t="n">
        <x:f>H705*(L705*(1-'Inputs'!$B$15))/(I705+L705*(1-'Inputs'!$B$15))</x:f>
        <x:v>0</x:v>
      </x:c>
      <x:c r="O705" s="78" t="n">
        <x:f>H705-N705</x:f>
        <x:v>135539828668.6392</x:v>
      </x:c>
      <x:c r="P705" s="78" t="n">
        <x:f>I705+L705*(1-'Inputs'!$B$17)</x:f>
        <x:v>0.12597335418472974</x:v>
      </x:c>
      <x:c r="Q705" s="78" t="n">
        <x:f>IF(J705&gt;0,M705/J705,0)</x:f>
        <x:v>0</x:v>
      </x:c>
      <x:c r="R705" s="78" t="n">
        <x:f>IF(B705='Inputs'!$H$45,'Inputs'!$B$27*'Inputs'!$I$45,0)</x:f>
        <x:v>0</x:v>
      </x:c>
      <x:c r="S705" s="78" t="n">
        <x:f>Q705+G705+R705</x:f>
        <x:v>503035.39008256793</x:v>
      </x:c>
      <x:c r="T705" s="78" t="n">
        <x:f>P705*(S705*(1-'Inputs'!$B$15))/(O705+S705*(1-'Inputs'!$B$15))</x:f>
        <x:v>4.6285387049230286e-7</x:v>
      </x:c>
      <x:c r="U705" s="78" t="n">
        <x:f>O705+S705*(1-'Inputs'!$B$17)</x:f>
        <x:v>135540329679.742</x:v>
      </x:c>
      <x:c r="V705" s="78" t="n">
        <x:f>P705-T705</x:f>
        <x:v>0.12597289133085926</x:v>
      </x:c>
      <x:c r="W705" s="79" t="n">
        <x:f>IF(U705&gt;0,V705/U705,0)</x:f>
        <x:v>9.294126082510723e-13</x:v>
      </x:c>
      <x:c r="X705" s="80" t="n">
        <x:f>W705*('Inputs'!$B$6-AC705)</x:f>
        <x:v>-0.004408623076872547</x:v>
      </x:c>
      <x:c r="Y705" s="80" t="n">
        <x:f>2*V705</x:f>
        <x:v>0.2519457826617185</x:v>
      </x:c>
      <x:c r="Z705" s="80" t="n">
        <x:f>K705*'Inputs'!$B$16+(G705+R705)*J705*'Inputs'!$B$16</x:f>
        <x:v>0.000755842930293658</x:v>
      </x:c>
      <x:c r="AA705" s="80" t="n">
        <x:f>K705*(1+'Inputs'!$E$45)/2*'Inputs'!$B$17</x:f>
        <x:v>0.00024079413777765242</x:v>
      </x:c>
      <x:c r="AB705" s="78" t="n">
        <x:f>(IF(J705&gt;0,K705*(1-'Inputs'!$E$45)/2/J705,0)+G705+R705)*'Inputs'!$B$17</x:f>
        <x:v>2024.2872840344787</x:v>
      </x:c>
      <x:c r="AC705" s="78" t="n">
        <x:f>AC704+AB705</x:f>
        <x:v>5743450904.080696</x:v>
      </x:c>
      <x:c r="AD705" s="80" t="n">
        <x:f>Z705/(1+'Inputs'!$C$45)</x:f>
        <x:v>0.0005038952868624387</x:v>
      </x:c>
      <x:c r="AE705" s="80" t="n">
        <x:f>Z705-AD705</x:f>
        <x:v>0.0002519476434312193</x:v>
      </x:c>
      <x:c r="AF705" s="80" t="n">
        <x:f>D705*W705</x:f>
        <x:v>2.40022462943244e-7</x:v>
      </x:c>
      <x:c r="AG705" s="80" t="n">
        <x:f>C705*W705</x:f>
        <x:v>4.2003931015069434e-7</x:v>
      </x:c>
      <x:c r="AH705" s="80" t="n">
        <x:f>2*'Inputs'!$B$8*'Inputs'!$C$45</x:f>
        <x:v>2500</x:v>
      </x:c>
      <x:c r="AI705" s="81" t="n">
        <x:f>IF(AH705&gt;0,(AE705+AF705)/AH705*365,0)</x:f>
        <x:v>0.00003681939922054773</x:v>
      </x:c>
      <x:c r="AJ705" s="81" t="n">
        <x:f>IF('Inputs'!$B$45&gt;0,AG705/('Inputs'!$B$19*'Inputs'!$B$45)*365,0)</x:f>
        <x:v>2.0441913094000458e-8</x:v>
      </x:c>
      <x:c r="AK705" s="81" t="n">
        <x:f>W705/MAX($W$369:W705)-1</x:f>
        <x:v>-0.9999999987638039</x:v>
      </x:c>
      <x:c r="AL705" s="83" t="n">
        <x:f>'Inputs'!$B$45</x:f>
        <x:v>0.75</x:v>
      </x:c>
      <x:c r="AM705" s="83" t="n">
        <x:f>'Inputs'!$C$45</x:f>
        <x:v>0.5</x:v>
      </x:c>
      <x:c r="AN705" s="83" t="n">
        <x:f>'Inputs'!$D$45</x:f>
        <x:v>0.5</x:v>
      </x:c>
      <x:c r="AO705" s="81" t="n">
        <x:f>'Inputs'!$E$45</x:f>
        <x:v>-0.05</x:v>
      </x:c>
    </x:row>
    <x:row r="706">
      <x:c r="A706" s="59" t="str">
        <x:v>Weak demand</x:v>
      </x:c>
      <x:c r="B706" s="59" t="n">
        <x:v>338</x:v>
      </x:c>
      <x:c r="C706" s="78" t="n">
        <x:f>(('Inputs'!$B$29*(3*338*'Inputs'!$B$12-338^2)/(2*'Inputs'!$B$12^2))-('Inputs'!$B$29*(3*337*'Inputs'!$B$12-337^2)/(2*'Inputs'!$B$12^2)))*'Inputs'!$B$45</x:f>
        <x:v>451696.78879713267</x:v>
      </x:c>
      <x:c r="D706" s="78" t="n">
        <x:f>IF('Inputs'!$C$45&gt;0,('Inputs'!$B$30*(3*338*'Inputs'!$B$12-338^2)/(2*'Inputs'!$B$12^2))-('Inputs'!$B$30*(3*337*'Inputs'!$B$12-337^2)/(2*'Inputs'!$B$12^2)),0)</x:f>
        <x:v>258112.45074123144</x:v>
      </x:c>
      <x:c r="E706" s="78" t="n">
        <x:f>C706+D706</x:f>
        <x:v>709809.2395383641</x:v>
      </x:c>
      <x:c r="F706" s="78" t="n">
        <x:f>'Inputs'!$B$13*E706+(1-'Inputs'!$B$13)/'Inputs'!$B$14*SUM(E651:E706)</x:f>
        <x:v>718238.8229498947</x:v>
      </x:c>
      <x:c r="G706" s="78" t="n">
        <x:f>F706*'Inputs'!$F$45</x:f>
        <x:v>502767.17606492626</x:v>
      </x:c>
      <x:c r="H706" s="78" t="n">
        <x:f>U705</x:f>
        <x:v>135540329679.742</x:v>
      </x:c>
      <x:c r="I706" s="78" t="n">
        <x:f>V705</x:f>
        <x:v>0.12597289133085926</x:v>
      </x:c>
      <x:c r="J706" s="79" t="n">
        <x:f>IF(H706&gt;0,I706/H706,0)</x:f>
        <x:v>9.294126082510723e-13</x:v>
      </x:c>
      <x:c r="K706" s="80" t="n">
        <x:f>(H706*J706+I706)*'Inputs'!$D$45*(1+'Inputs'!$G$45)^(B706/30)</x:f>
        <x:v>0.12597289133085926</x:v>
      </x:c>
      <x:c r="L706" s="80" t="n">
        <x:f>MAX(0,K706*'Inputs'!$E$45)</x:f>
        <x:v>0</x:v>
      </x:c>
      <x:c r="M706" s="80" t="n">
        <x:f>MAX(0,-K706*'Inputs'!$E$45)</x:f>
        <x:v>0.0062986445665429635</x:v>
      </x:c>
      <x:c r="N706" s="78" t="n">
        <x:f>H706*(L706*(1-'Inputs'!$B$15))/(I706+L706*(1-'Inputs'!$B$15))</x:f>
        <x:v>0</x:v>
      </x:c>
      <x:c r="O706" s="78" t="n">
        <x:f>H706-N706</x:f>
        <x:v>135540329679.742</x:v>
      </x:c>
      <x:c r="P706" s="78" t="n">
        <x:f>I706+L706*(1-'Inputs'!$B$17)</x:f>
        <x:v>0.12597289133085926</x:v>
      </x:c>
      <x:c r="Q706" s="78" t="n">
        <x:f>IF(J706&gt;0,M706/J706,0)</x:f>
        <x:v>0</x:v>
      </x:c>
      <x:c r="R706" s="78" t="n">
        <x:f>IF(B706='Inputs'!$H$45,'Inputs'!$B$27*'Inputs'!$I$45,0)</x:f>
        <x:v>0</x:v>
      </x:c>
      <x:c r="S706" s="78" t="n">
        <x:f>Q706+G706+R706</x:f>
        <x:v>502767.17606492626</x:v>
      </x:c>
      <x:c r="T706" s="78" t="n">
        <x:f>P706*(S706*(1-'Inputs'!$B$15))/(O706+S706*(1-'Inputs'!$B$15))</x:f>
        <x:v>4.6260367212348174e-7</x:v>
      </x:c>
      <x:c r="U706" s="78" t="n">
        <x:f>O706+S706*(1-'Inputs'!$B$17)</x:f>
        <x:v>135540830423.71011</x:v>
      </x:c>
      <x:c r="V706" s="78" t="n">
        <x:f>P706-T706</x:f>
        <x:v>0.12597242872718714</x:v>
      </x:c>
      <x:c r="W706" s="79" t="n">
        <x:f>IF(U706&gt;0,V706/U706,0)</x:f>
        <x:v>9.294057615951482e-13</x:v>
      </x:c>
      <x:c r="X706" s="80" t="n">
        <x:f>W706*('Inputs'!$B$6-AC706)</x:f>
        <x:v>-0.00440859248047744</x:v>
      </x:c>
      <x:c r="Y706" s="80" t="n">
        <x:f>2*V706</x:f>
        <x:v>0.2519448574543743</x:v>
      </x:c>
      <x:c r="Z706" s="80" t="n">
        <x:f>K706*'Inputs'!$B$16+(G706+R706)*J706*'Inputs'!$B$16</x:f>
        <x:v>0.0007558401516540702</x:v>
      </x:c>
      <x:c r="AA706" s="80" t="n">
        <x:f>K706*(1+'Inputs'!$E$45)/2*'Inputs'!$B$17</x:f>
        <x:v>0.0002407932530469141</x:v>
      </x:c>
      <x:c r="AB706" s="78" t="n">
        <x:f>(IF(J706&gt;0,K706*(1-'Inputs'!$E$45)/2/J706,0)+G706+R706)*'Inputs'!$B$17</x:f>
        <x:v>2023.2079519715344</x:v>
      </x:c>
      <x:c r="AC706" s="78" t="n">
        <x:f>AC705+AB706</x:f>
        <x:v>5743452927.288648</x:v>
      </x:c>
      <x:c r="AD706" s="80" t="n">
        <x:f>Z706/(1+'Inputs'!$C$45)</x:f>
        <x:v>0.0005038934344360468</x:v>
      </x:c>
      <x:c r="AE706" s="80" t="n">
        <x:f>Z706-AD706</x:f>
        <x:v>0.00025194671721802343</x:v>
      </x:c>
      <x:c r="AF706" s="80" t="n">
        <x:f>D706*W706</x:f>
        <x:v>2.3989119885834435e-7</x:v>
      </x:c>
      <x:c r="AG706" s="80" t="n">
        <x:f>C706*W706</x:f>
        <x:v>4.1980959800208187e-7</x:v>
      </x:c>
      <x:c r="AH706" s="80" t="n">
        <x:f>2*'Inputs'!$B$8*'Inputs'!$C$45</x:f>
        <x:v>2500</x:v>
      </x:c>
      <x:c r="AI706" s="81" t="n">
        <x:f>IF(AH706&gt;0,(AE706+AF706)/AH706*365,0)</x:f>
        <x:v>0.000036819244828864736</x:v>
      </x:c>
      <x:c r="AJ706" s="81" t="n">
        <x:f>IF('Inputs'!$B$45&gt;0,AG706/('Inputs'!$B$19*'Inputs'!$B$45)*365,0)</x:f>
        <x:v>2.043073376943465e-8</x:v>
      </x:c>
      <x:c r="AK706" s="81" t="n">
        <x:f>W706/MAX($W$369:W706)-1</x:f>
        <x:v>-0.999999998763813</x:v>
      </x:c>
      <x:c r="AL706" s="83" t="n">
        <x:f>'Inputs'!$B$45</x:f>
        <x:v>0.75</x:v>
      </x:c>
      <x:c r="AM706" s="83" t="n">
        <x:f>'Inputs'!$C$45</x:f>
        <x:v>0.5</x:v>
      </x:c>
      <x:c r="AN706" s="83" t="n">
        <x:f>'Inputs'!$D$45</x:f>
        <x:v>0.5</x:v>
      </x:c>
      <x:c r="AO706" s="81" t="n">
        <x:f>'Inputs'!$E$45</x:f>
        <x:v>-0.05</x:v>
      </x:c>
    </x:row>
    <x:row r="707">
      <x:c r="A707" s="59" t="str">
        <x:v>Weak demand</x:v>
      </x:c>
      <x:c r="B707" s="59" t="n">
        <x:v>339</x:v>
      </x:c>
      <x:c r="C707" s="78" t="n">
        <x:f>(('Inputs'!$B$29*(3*339*'Inputs'!$B$12-339^2)/(2*'Inputs'!$B$12^2))-('Inputs'!$B$29*(3*338*'Inputs'!$B$12-338^2)/(2*'Inputs'!$B$12^2)))*'Inputs'!$B$45</x:f>
        <x:v>451452.95787202567</x:v>
      </x:c>
      <x:c r="D707" s="78" t="n">
        <x:f>IF('Inputs'!$C$45&gt;0,('Inputs'!$B$30*(3*339*'Inputs'!$B$12-339^2)/(2*'Inputs'!$B$12^2))-('Inputs'!$B$30*(3*338*'Inputs'!$B$12-338^2)/(2*'Inputs'!$B$12^2)),0)</x:f>
        <x:v>257973.1187840104</x:v>
      </x:c>
      <x:c r="E707" s="78" t="n">
        <x:f>C707+D707</x:f>
        <x:v>709426.0766560361</x:v>
      </x:c>
      <x:c r="F707" s="78" t="n">
        <x:f>'Inputs'!$B$13*E707+(1-'Inputs'!$B$13)/'Inputs'!$B$14*SUM(E652:E707)</x:f>
        <x:v>717855.6600675555</x:v>
      </x:c>
      <x:c r="G707" s="78" t="n">
        <x:f>F707*'Inputs'!$F$45</x:f>
        <x:v>502498.96204728883</x:v>
      </x:c>
      <x:c r="H707" s="78" t="n">
        <x:f>U706</x:f>
        <x:v>135540830423.71011</x:v>
      </x:c>
      <x:c r="I707" s="78" t="n">
        <x:f>V706</x:f>
        <x:v>0.12597242872718714</x:v>
      </x:c>
      <x:c r="J707" s="79" t="n">
        <x:f>IF(H707&gt;0,I707/H707,0)</x:f>
        <x:v>9.294057615951482e-13</x:v>
      </x:c>
      <x:c r="K707" s="80" t="n">
        <x:f>(H707*J707+I707)*'Inputs'!$D$45*(1+'Inputs'!$G$45)^(B707/30)</x:f>
        <x:v>0.12597242872718714</x:v>
      </x:c>
      <x:c r="L707" s="80" t="n">
        <x:f>MAX(0,K707*'Inputs'!$E$45)</x:f>
        <x:v>0</x:v>
      </x:c>
      <x:c r="M707" s="80" t="n">
        <x:f>MAX(0,-K707*'Inputs'!$E$45)</x:f>
        <x:v>0.006298621436359357</x:v>
      </x:c>
      <x:c r="N707" s="78" t="n">
        <x:f>H707*(L707*(1-'Inputs'!$B$15))/(I707+L707*(1-'Inputs'!$B$15))</x:f>
        <x:v>0</x:v>
      </x:c>
      <x:c r="O707" s="78" t="n">
        <x:f>H707-N707</x:f>
        <x:v>135540830423.71011</x:v>
      </x:c>
      <x:c r="P707" s="78" t="n">
        <x:f>I707+L707*(1-'Inputs'!$B$17)</x:f>
        <x:v>0.12597242872718714</x:v>
      </x:c>
      <x:c r="Q707" s="78" t="n">
        <x:f>IF(J707&gt;0,M707/J707,0)</x:f>
        <x:v>0</x:v>
      </x:c>
      <x:c r="R707" s="78" t="n">
        <x:f>IF(B707='Inputs'!$H$45,'Inputs'!$B$27*'Inputs'!$I$45,0)</x:f>
        <x:v>0</x:v>
      </x:c>
      <x:c r="S707" s="78" t="n">
        <x:f>Q707+G707+R707</x:f>
        <x:v>502498.96204728883</x:v>
      </x:c>
      <x:c r="T707" s="78" t="n">
        <x:f>P707*(S707*(1-'Inputs'!$B$15))/(O707+S707*(1-'Inputs'!$B$15))</x:f>
        <x:v>4.623534792463784e-7</x:v>
      </x:c>
      <x:c r="U707" s="78" t="n">
        <x:f>O707+S707*(1-'Inputs'!$B$17)</x:f>
        <x:v>135541330900.54353</x:v>
      </x:c>
      <x:c r="V707" s="78" t="n">
        <x:f>P707-T707</x:f>
        <x:v>0.1259719663737079</x:v>
      </x:c>
      <x:c r="W707" s="79" t="n">
        <x:f>IF(U707&gt;0,V707/U707,0)</x:f>
        <x:v>9.293989186674183e-13</x:v>
      </x:c>
      <x:c r="X707" s="80" t="n">
        <x:f>W707*('Inputs'!$B$6-AC707)</x:f>
        <x:v>-0.004408561900736022</x:v>
      </x:c>
      <x:c r="Y707" s="80" t="n">
        <x:f>2*V707</x:f>
        <x:v>0.2519439327474158</x:v>
      </x:c>
      <x:c r="Z707" s="80" t="n">
        <x:f>K707*'Inputs'!$B$16+(G707+R707)*J707*'Inputs'!$B$16</x:f>
        <x:v>0.000755837374515706</x:v>
      </x:c>
      <x:c r="AA707" s="80" t="n">
        <x:f>K707*(1+'Inputs'!$E$45)/2*'Inputs'!$B$17</x:f>
        <x:v>0.0002407923687944221</x:v>
      </x:c>
      <x:c r="AB707" s="78" t="n">
        <x:f>(IF(J707&gt;0,K707*(1-'Inputs'!$E$45)/2/J707,0)+G707+R707)*'Inputs'!$B$17</x:f>
        <x:v>2022.128619908607</x:v>
      </x:c>
      <x:c r="AC707" s="78" t="n">
        <x:f>AC706+AB707</x:f>
        <x:v>5743454949.417268</x:v>
      </x:c>
      <x:c r="AD707" s="80" t="n">
        <x:f>Z707/(1+'Inputs'!$C$45)</x:f>
        <x:v>0.0005038915830104706</x:v>
      </x:c>
      <x:c r="AE707" s="80" t="n">
        <x:f>Z707-AD707</x:f>
        <x:v>0.0002519457915052353</x:v>
      </x:c>
      <x:c r="AF707" s="80" t="n">
        <x:f>D707*W707</x:f>
        <x:v>2.3975993764312073e-7</x:v>
      </x:c>
      <x:c r="AG707" s="80" t="n">
        <x:f>C707*W707</x:f>
        <x:v>4.195798908754682e-7</x:v>
      </x:c>
      <x:c r="AH707" s="80" t="n">
        <x:f>2*'Inputs'!$B$8*'Inputs'!$C$45</x:f>
        <x:v>2500</x:v>
      </x:c>
      <x:c r="AI707" s="81" t="n">
        <x:f>IF(AH707&gt;0,(AE707+AF707)/AH707*365,0)</x:f>
        <x:v>0.000036819090510660254</x:v>
      </x:c>
      <x:c r="AJ707" s="81" t="n">
        <x:f>IF('Inputs'!$B$45&gt;0,AG707/('Inputs'!$B$19*'Inputs'!$B$45)*365,0)</x:f>
        <x:v>2.0419554689272787e-8</x:v>
      </x:c>
      <x:c r="AK707" s="81" t="n">
        <x:f>W707/MAX($W$369:W707)-1</x:f>
        <x:v>-0.9999999987638221</x:v>
      </x:c>
      <x:c r="AL707" s="83" t="n">
        <x:f>'Inputs'!$B$45</x:f>
        <x:v>0.75</x:v>
      </x:c>
      <x:c r="AM707" s="83" t="n">
        <x:f>'Inputs'!$C$45</x:f>
        <x:v>0.5</x:v>
      </x:c>
      <x:c r="AN707" s="83" t="n">
        <x:f>'Inputs'!$D$45</x:f>
        <x:v>0.5</x:v>
      </x:c>
      <x:c r="AO707" s="81" t="n">
        <x:f>'Inputs'!$E$45</x:f>
        <x:v>-0.05</x:v>
      </x:c>
    </x:row>
    <x:row r="708">
      <x:c r="A708" s="59" t="str">
        <x:v>Weak demand</x:v>
      </x:c>
      <x:c r="B708" s="59" t="n">
        <x:v>340</x:v>
      </x:c>
      <x:c r="C708" s="78" t="n">
        <x:f>(('Inputs'!$B$29*(3*340*'Inputs'!$B$12-340^2)/(2*'Inputs'!$B$12^2))-('Inputs'!$B$29*(3*339*'Inputs'!$B$12-339^2)/(2*'Inputs'!$B$12^2)))*'Inputs'!$B$45</x:f>
        <x:v>451209.1269468963</x:v>
      </x:c>
      <x:c r="D708" s="78" t="n">
        <x:f>IF('Inputs'!$C$45&gt;0,('Inputs'!$B$30*(3*340*'Inputs'!$B$12-340^2)/(2*'Inputs'!$B$12^2))-('Inputs'!$B$30*(3*339*'Inputs'!$B$12-339^2)/(2*'Inputs'!$B$12^2)),0)</x:f>
        <x:v>257833.78682678938</x:v>
      </x:c>
      <x:c r="E708" s="78" t="n">
        <x:f>C708+D708</x:f>
        <x:v>709042.9137736857</x:v>
      </x:c>
      <x:c r="F708" s="78" t="n">
        <x:f>'Inputs'!$B$13*E708+(1-'Inputs'!$B$13)/'Inputs'!$B$14*SUM(E653:E708)</x:f>
        <x:v>717472.497185212</x:v>
      </x:c>
      <x:c r="G708" s="78" t="n">
        <x:f>F708*'Inputs'!$F$45</x:f>
        <x:v>502230.7480296483</x:v>
      </x:c>
      <x:c r="H708" s="78" t="n">
        <x:f>U707</x:f>
        <x:v>135541330900.54353</x:v>
      </x:c>
      <x:c r="I708" s="78" t="n">
        <x:f>V707</x:f>
        <x:v>0.1259719663737079</x:v>
      </x:c>
      <x:c r="J708" s="79" t="n">
        <x:f>IF(H708&gt;0,I708/H708,0)</x:f>
        <x:v>9.293989186674183e-13</x:v>
      </x:c>
      <x:c r="K708" s="80" t="n">
        <x:f>(H708*J708+I708)*'Inputs'!$D$45*(1+'Inputs'!$G$45)^(B708/30)</x:f>
        <x:v>0.1259719663737079</x:v>
      </x:c>
      <x:c r="L708" s="80" t="n">
        <x:f>MAX(0,K708*'Inputs'!$E$45)</x:f>
        <x:v>0</x:v>
      </x:c>
      <x:c r="M708" s="80" t="n">
        <x:f>MAX(0,-K708*'Inputs'!$E$45)</x:f>
        <x:v>0.006298598318685395</x:v>
      </x:c>
      <x:c r="N708" s="78" t="n">
        <x:f>H708*(L708*(1-'Inputs'!$B$15))/(I708+L708*(1-'Inputs'!$B$15))</x:f>
        <x:v>0</x:v>
      </x:c>
      <x:c r="O708" s="78" t="n">
        <x:f>H708-N708</x:f>
        <x:v>135541330900.54353</x:v>
      </x:c>
      <x:c r="P708" s="78" t="n">
        <x:f>I708+L708*(1-'Inputs'!$B$17)</x:f>
        <x:v>0.1259719663737079</x:v>
      </x:c>
      <x:c r="Q708" s="78" t="n">
        <x:f>IF(J708&gt;0,M708/J708,0)</x:f>
        <x:v>0</x:v>
      </x:c>
      <x:c r="R708" s="78" t="n">
        <x:f>IF(B708='Inputs'!$H$45,'Inputs'!$B$27*'Inputs'!$I$45,0)</x:f>
        <x:v>0</x:v>
      </x:c>
      <x:c r="S708" s="78" t="n">
        <x:f>Q708+G708+R708</x:f>
        <x:v>502230.7480296483</x:v>
      </x:c>
      <x:c r="T708" s="78" t="n">
        <x:f>P708*(S708*(1-'Inputs'!$B$15))/(O708+S708*(1-'Inputs'!$B$15))</x:f>
        <x:v>4.6210329185795535e-7</x:v>
      </x:c>
      <x:c r="U708" s="78" t="n">
        <x:f>O708+S708*(1-'Inputs'!$B$17)</x:f>
        <x:v>135541831110.24228</x:v>
      </x:c>
      <x:c r="V708" s="78" t="n">
        <x:f>P708-T708</x:f>
        <x:v>0.12597150427041603</x:v>
      </x:c>
      <x:c r="W708" s="79" t="n">
        <x:f>IF(U708&gt;0,V708/U708,0)</x:f>
        <x:v>9.293920794677603e-13</x:v>
      </x:c>
      <x:c r="X708" s="80" t="n">
        <x:f>W708*('Inputs'!$B$6-AC708)</x:f>
        <x:v>-0.004408531337647755</x:v>
      </x:c>
      <x:c r="Y708" s="80" t="n">
        <x:f>2*V708</x:f>
        <x:v>0.25194300854083207</x:v>
      </x:c>
      <x:c r="Z708" s="80" t="n">
        <x:f>K708*'Inputs'!$B$16+(G708+R708)*J708*'Inputs'!$B$16</x:f>
        <x:v>0.0007558345988785322</x:v>
      </x:c>
      <x:c r="AA708" s="80" t="n">
        <x:f>K708*(1+'Inputs'!$E$45)/2*'Inputs'!$B$17</x:f>
        <x:v>0.000240791485020166</x:v>
      </x:c>
      <x:c r="AB708" s="78" t="n">
        <x:f>(IF(J708&gt;0,K708*(1-'Inputs'!$E$45)/2/J708,0)+G708+R708)*'Inputs'!$B$17</x:f>
        <x:v>2021.0492878456675</x:v>
      </x:c>
      <x:c r="AC708" s="78" t="n">
        <x:f>AC707+AB708</x:f>
        <x:v>5743456970.466556</x:v>
      </x:c>
      <x:c r="AD708" s="80" t="n">
        <x:f>Z708/(1+'Inputs'!$C$45)</x:f>
        <x:v>0.0005038897325856882</x:v>
      </x:c>
      <x:c r="AE708" s="80" t="n">
        <x:f>Z708-AD708</x:f>
        <x:v>0.00025194486629284403</x:v>
      </x:c>
      <x:c r="AF708" s="80" t="n">
        <x:f>D708*W708</x:f>
        <x:v>2.39628679295997e-7</x:v>
      </x:c>
      <x:c r="AG708" s="80" t="n">
        <x:f>C708*W708</x:f>
        <x:v>4.1935018876800864e-7</x:v>
      </x:c>
      <x:c r="AH708" s="80" t="n">
        <x:f>2*'Inputs'!$B$8*'Inputs'!$C$45</x:f>
        <x:v>2500</x:v>
      </x:c>
      <x:c r="AI708" s="81" t="n">
        <x:f>IF(AH708&gt;0,(AE708+AF708)/AH708*365,0)</x:f>
        <x:v>0.00003681893626593244</x:v>
      </x:c>
      <x:c r="AJ708" s="81" t="n">
        <x:f>IF('Inputs'!$B$45&gt;0,AG708/('Inputs'!$B$19*'Inputs'!$B$45)*365,0)</x:f>
        <x:v>2.040837585337642e-8</x:v>
      </x:c>
      <x:c r="AK708" s="81" t="n">
        <x:f>W708/MAX($W$369:W708)-1</x:f>
        <x:v>-0.9999999987638312</x:v>
      </x:c>
      <x:c r="AL708" s="83" t="n">
        <x:f>'Inputs'!$B$45</x:f>
        <x:v>0.75</x:v>
      </x:c>
      <x:c r="AM708" s="83" t="n">
        <x:f>'Inputs'!$C$45</x:f>
        <x:v>0.5</x:v>
      </x:c>
      <x:c r="AN708" s="83" t="n">
        <x:f>'Inputs'!$D$45</x:f>
        <x:v>0.5</x:v>
      </x:c>
      <x:c r="AO708" s="81" t="n">
        <x:f>'Inputs'!$E$45</x:f>
        <x:v>-0.05</x:v>
      </x:c>
    </x:row>
    <x:row r="709">
      <x:c r="A709" s="59" t="str">
        <x:v>Weak demand</x:v>
      </x:c>
      <x:c r="B709" s="59" t="n">
        <x:v>341</x:v>
      </x:c>
      <x:c r="C709" s="78" t="n">
        <x:f>(('Inputs'!$B$29*(3*341*'Inputs'!$B$12-341^2)/(2*'Inputs'!$B$12^2))-('Inputs'!$B$29*(3*340*'Inputs'!$B$12-340^2)/(2*'Inputs'!$B$12^2)))*'Inputs'!$B$45</x:f>
        <x:v>450965.29602176696</x:v>
      </x:c>
      <x:c r="D709" s="78" t="n">
        <x:f>IF('Inputs'!$C$45&gt;0,('Inputs'!$B$30*(3*341*'Inputs'!$B$12-341^2)/(2*'Inputs'!$B$12^2))-('Inputs'!$B$30*(3*340*'Inputs'!$B$12-340^2)/(2*'Inputs'!$B$12^2)),0)</x:f>
        <x:v>257694.45486958325</x:v>
      </x:c>
      <x:c r="E709" s="78" t="n">
        <x:f>C709+D709</x:f>
        <x:v>708659.7508913502</x:v>
      </x:c>
      <x:c r="F709" s="78" t="n">
        <x:f>'Inputs'!$B$13*E709+(1-'Inputs'!$B$13)/'Inputs'!$B$14*SUM(E654:E709)</x:f>
        <x:v>717089.3343028713</x:v>
      </x:c>
      <x:c r="G709" s="78" t="n">
        <x:f>F709*'Inputs'!$F$45</x:f>
        <x:v>501962.53401200986</x:v>
      </x:c>
      <x:c r="H709" s="78" t="n">
        <x:f>U708</x:f>
        <x:v>135541831110.24228</x:v>
      </x:c>
      <x:c r="I709" s="78" t="n">
        <x:f>V708</x:f>
        <x:v>0.12597150427041603</x:v>
      </x:c>
      <x:c r="J709" s="79" t="n">
        <x:f>IF(H709&gt;0,I709/H709,0)</x:f>
        <x:v>9.293920794677603e-13</x:v>
      </x:c>
      <x:c r="K709" s="80" t="n">
        <x:f>(H709*J709+I709)*'Inputs'!$D$45*(1+'Inputs'!$G$45)^(B709/30)</x:f>
        <x:v>0.12597150427041603</x:v>
      </x:c>
      <x:c r="L709" s="80" t="n">
        <x:f>MAX(0,K709*'Inputs'!$E$45)</x:f>
        <x:v>0</x:v>
      </x:c>
      <x:c r="M709" s="80" t="n">
        <x:f>MAX(0,-K709*'Inputs'!$E$45)</x:f>
        <x:v>0.0062985752135208024</x:v>
      </x:c>
      <x:c r="N709" s="78" t="n">
        <x:f>H709*(L709*(1-'Inputs'!$B$15))/(I709+L709*(1-'Inputs'!$B$15))</x:f>
        <x:v>0</x:v>
      </x:c>
      <x:c r="O709" s="78" t="n">
        <x:f>H709-N709</x:f>
        <x:v>135541831110.24228</x:v>
      </x:c>
      <x:c r="P709" s="78" t="n">
        <x:f>I709+L709*(1-'Inputs'!$B$17)</x:f>
        <x:v>0.12597150427041603</x:v>
      </x:c>
      <x:c r="Q709" s="78" t="n">
        <x:f>IF(J709&gt;0,M709/J709,0)</x:f>
        <x:v>0</x:v>
      </x:c>
      <x:c r="R709" s="78" t="n">
        <x:f>IF(B709='Inputs'!$H$45,'Inputs'!$B$27*'Inputs'!$I$45,0)</x:f>
        <x:v>0</x:v>
      </x:c>
      <x:c r="S709" s="78" t="n">
        <x:f>Q709+G709+R709</x:f>
        <x:v>501962.53401200986</x:v>
      </x:c>
      <x:c r="T709" s="78" t="n">
        <x:f>P709*(S709*(1-'Inputs'!$B$15))/(O709+S709*(1-'Inputs'!$B$15))</x:f>
        <x:v>4.618531099551868e-7</x:v>
      </x:c>
      <x:c r="U709" s="78" t="n">
        <x:f>O709+S709*(1-'Inputs'!$B$17)</x:f>
        <x:v>135542331052.80634</x:v>
      </x:c>
      <x:c r="V709" s="78" t="n">
        <x:f>P709-T709</x:f>
        <x:v>0.12597104241730608</x:v>
      </x:c>
      <x:c r="W709" s="79" t="n">
        <x:f>IF(U709&gt;0,V709/U709,0)</x:f>
        <x:v>9.293852439960521e-13</x:v>
      </x:c>
      <x:c r="X709" s="80" t="n">
        <x:f>W709*('Inputs'!$B$6-AC709)</x:f>
        <x:v>-0.004408500791212104</x:v>
      </x:c>
      <x:c r="Y709" s="80" t="n">
        <x:f>2*V709</x:f>
        <x:v>0.25194208483461217</x:v>
      </x:c>
      <x:c r="Z709" s="80" t="n">
        <x:f>K709*'Inputs'!$B$16+(G709+R709)*J709*'Inputs'!$B$16</x:f>
        <x:v>0.000755831824742516</x:v>
      </x:c>
      <x:c r="AA709" s="80" t="n">
        <x:f>K709*(1+'Inputs'!$E$45)/2*'Inputs'!$B$17</x:f>
        <x:v>0.00024079060172413528</x:v>
      </x:c>
      <x:c r="AB709" s="78" t="n">
        <x:f>(IF(J709&gt;0,K709*(1-'Inputs'!$E$45)/2/J709,0)+G709+R709)*'Inputs'!$B$17</x:f>
        <x:v>2019.969955782736</x:v>
      </x:c>
      <x:c r="AC709" s="78" t="n">
        <x:f>AC708+AB709</x:f>
        <x:v>5743458990.436511</x:v>
      </x:c>
      <x:c r="AD709" s="80" t="n">
        <x:f>Z709/(1+'Inputs'!$C$45)</x:f>
        <x:v>0.0005038878831616773</x:v>
      </x:c>
      <x:c r="AE709" s="80" t="n">
        <x:f>Z709-AD709</x:f>
        <x:v>0.0002519439415808387</x:v>
      </x:c>
      <x:c r="AF709" s="80" t="n">
        <x:f>D709*W709</x:f>
        <x:v>2.394974238153973e-7</x:v>
      </x:c>
      <x:c r="AG709" s="80" t="n">
        <x:f>C709*W709</x:f>
        <x:v>4.191204916769418e-7</x:v>
      </x:c>
      <x:c r="AH709" s="80" t="n">
        <x:f>2*'Inputs'!$B$8*'Inputs'!$C$45</x:f>
        <x:v>2500</x:v>
      </x:c>
      <x:c r="AI709" s="81" t="n">
        <x:f>IF(AH709&gt;0,(AE709+AF709)/AH709*365,0)</x:f>
        <x:v>0.0000368187820946795</x:v>
      </x:c>
      <x:c r="AJ709" s="81" t="n">
        <x:f>IF('Inputs'!$B$45&gt;0,AG709/('Inputs'!$B$19*'Inputs'!$B$45)*365,0)</x:f>
        <x:v>2.0397197261611165e-8</x:v>
      </x:c>
      <x:c r="AK709" s="81" t="n">
        <x:f>W709/MAX($W$369:W709)-1</x:f>
        <x:v>-0.9999999987638403</x:v>
      </x:c>
      <x:c r="AL709" s="83" t="n">
        <x:f>'Inputs'!$B$45</x:f>
        <x:v>0.75</x:v>
      </x:c>
      <x:c r="AM709" s="83" t="n">
        <x:f>'Inputs'!$C$45</x:f>
        <x:v>0.5</x:v>
      </x:c>
      <x:c r="AN709" s="83" t="n">
        <x:f>'Inputs'!$D$45</x:f>
        <x:v>0.5</x:v>
      </x:c>
      <x:c r="AO709" s="81" t="n">
        <x:f>'Inputs'!$E$45</x:f>
        <x:v>-0.05</x:v>
      </x:c>
    </x:row>
    <x:row r="710">
      <x:c r="A710" s="59" t="str">
        <x:v>Weak demand</x:v>
      </x:c>
      <x:c r="B710" s="59" t="n">
        <x:v>342</x:v>
      </x:c>
      <x:c r="C710" s="78" t="n">
        <x:f>(('Inputs'!$B$29*(3*342*'Inputs'!$B$12-342^2)/(2*'Inputs'!$B$12^2))-('Inputs'!$B$29*(3*341*'Inputs'!$B$12-341^2)/(2*'Inputs'!$B$12^2)))*'Inputs'!$B$45</x:f>
        <x:v>450721.4650966376</x:v>
      </x:c>
      <x:c r="D710" s="78" t="n">
        <x:f>IF('Inputs'!$C$45&gt;0,('Inputs'!$B$30*(3*342*'Inputs'!$B$12-342^2)/(2*'Inputs'!$B$12^2))-('Inputs'!$B$30*(3*341*'Inputs'!$B$12-341^2)/(2*'Inputs'!$B$12^2)),0)</x:f>
        <x:v>257555.12291236222</x:v>
      </x:c>
      <x:c r="E710" s="78" t="n">
        <x:f>C710+D710</x:f>
        <x:v>708276.5880089998</x:v>
      </x:c>
      <x:c r="F710" s="78" t="n">
        <x:f>'Inputs'!$B$13*E710+(1-'Inputs'!$B$13)/'Inputs'!$B$14*SUM(E655:E710)</x:f>
        <x:v>716706.1714205275</x:v>
      </x:c>
      <x:c r="G710" s="78" t="n">
        <x:f>F710*'Inputs'!$F$45</x:f>
        <x:v>501694.31999436923</x:v>
      </x:c>
      <x:c r="H710" s="78" t="n">
        <x:f>U709</x:f>
        <x:v>135542331052.80634</x:v>
      </x:c>
      <x:c r="I710" s="78" t="n">
        <x:f>V709</x:f>
        <x:v>0.12597104241730608</x:v>
      </x:c>
      <x:c r="J710" s="79" t="n">
        <x:f>IF(H710&gt;0,I710/H710,0)</x:f>
        <x:v>9.293852439960521e-13</x:v>
      </x:c>
      <x:c r="K710" s="80" t="n">
        <x:f>(H710*J710+I710)*'Inputs'!$D$45*(1+'Inputs'!$G$45)^(B710/30)</x:f>
        <x:v>0.12597104241730608</x:v>
      </x:c>
      <x:c r="L710" s="80" t="n">
        <x:f>MAX(0,K710*'Inputs'!$E$45)</x:f>
        <x:v>0</x:v>
      </x:c>
      <x:c r="M710" s="80" t="n">
        <x:f>MAX(0,-K710*'Inputs'!$E$45)</x:f>
        <x:v>0.0062985521208653045</x:v>
      </x:c>
      <x:c r="N710" s="78" t="n">
        <x:f>H710*(L710*(1-'Inputs'!$B$15))/(I710+L710*(1-'Inputs'!$B$15))</x:f>
        <x:v>0</x:v>
      </x:c>
      <x:c r="O710" s="78" t="n">
        <x:f>H710-N710</x:f>
        <x:v>135542331052.80634</x:v>
      </x:c>
      <x:c r="P710" s="78" t="n">
        <x:f>I710+L710*(1-'Inputs'!$B$17)</x:f>
        <x:v>0.12597104241730608</x:v>
      </x:c>
      <x:c r="Q710" s="78" t="n">
        <x:f>IF(J710&gt;0,M710/J710,0)</x:f>
        <x:v>0</x:v>
      </x:c>
      <x:c r="R710" s="78" t="n">
        <x:f>IF(B710='Inputs'!$H$45,'Inputs'!$B$27*'Inputs'!$I$45,0)</x:f>
        <x:v>0</x:v>
      </x:c>
      <x:c r="S710" s="78" t="n">
        <x:f>Q710+G710+R710</x:f>
        <x:v>501694.31999436923</x:v>
      </x:c>
      <x:c r="T710" s="78" t="n">
        <x:f>P710*(S710*(1-'Inputs'!$B$15))/(O710+S710*(1-'Inputs'!$B$15))</x:f>
        <x:v>4.616029335350385e-7</x:v>
      </x:c>
      <x:c r="U710" s="78" t="n">
        <x:f>O710+S710*(1-'Inputs'!$B$17)</x:f>
        <x:v>135542830728.2357</x:v>
      </x:c>
      <x:c r="V710" s="78" t="n">
        <x:f>P710-T710</x:f>
        <x:v>0.12597058081437254</x:v>
      </x:c>
      <x:c r="W710" s="79" t="n">
        <x:f>IF(U710&gt;0,V710/U710,0)</x:f>
        <x:v>9.293784122521715e-13</x:v>
      </x:c>
      <x:c r="X710" s="80" t="n">
        <x:f>W710*('Inputs'!$B$6-AC710)</x:f>
        <x:v>-0.004408470261428535</x:v>
      </x:c>
      <x:c r="Y710" s="80" t="n">
        <x:f>2*V710</x:f>
        <x:v>0.2519411616287451</x:v>
      </x:c>
      <x:c r="Z710" s="80" t="n">
        <x:f>K710*'Inputs'!$B$16+(G710+R710)*J710*'Inputs'!$B$16</x:f>
        <x:v>0.0007558290521076245</x:v>
      </x:c>
      <x:c r="AA710" s="80" t="n">
        <x:f>K710*(1+'Inputs'!$E$45)/2*'Inputs'!$B$17</x:f>
        <x:v>0.00024078971890631947</x:v>
      </x:c>
      <x:c r="AB710" s="78" t="n">
        <x:f>(IF(J710&gt;0,K710*(1-'Inputs'!$E$45)/2/J710,0)+G710+R710)*'Inputs'!$B$17</x:f>
        <x:v>2018.890623719796</x:v>
      </x:c>
      <x:c r="AC710" s="78" t="n">
        <x:f>AC709+AB710</x:f>
        <x:v>5743461009.327135</x:v>
      </x:c>
      <x:c r="AD710" s="80" t="n">
        <x:f>Z710/(1+'Inputs'!$C$45)</x:f>
        <x:v>0.0005038860347384163</x:v>
      </x:c>
      <x:c r="AE710" s="80" t="n">
        <x:f>Z710-AD710</x:f>
        <x:v>0.0002519430173692082</x:v>
      </x:c>
      <x:c r="AF710" s="80" t="n">
        <x:f>D710*W710</x:f>
        <x:v>2.3936617119970404e-7</x:v>
      </x:c>
      <x:c r="AG710" s="80" t="n">
        <x:f>C710*W710</x:f>
        <x:v>4.1889079959948556e-7</x:v>
      </x:c>
      <x:c r="AH710" s="80" t="n">
        <x:f>2*'Inputs'!$B$8*'Inputs'!$C$45</x:f>
        <x:v>2500</x:v>
      </x:c>
      <x:c r="AI710" s="81" t="n">
        <x:f>IF(AH710&gt;0,(AE710+AF710)/AH710*365,0)</x:f>
        <x:v>0.00003681862799689956</x:v>
      </x:c>
      <x:c r="AJ710" s="81" t="n">
        <x:f>IF('Inputs'!$B$45&gt;0,AG710/('Inputs'!$B$19*'Inputs'!$B$45)*365,0)</x:f>
        <x:v>2.038601891384163e-8</x:v>
      </x:c>
      <x:c r="AK710" s="81" t="n">
        <x:f>W710/MAX($W$369:W710)-1</x:f>
        <x:v>-0.9999999987638494</x:v>
      </x:c>
      <x:c r="AL710" s="83" t="n">
        <x:f>'Inputs'!$B$45</x:f>
        <x:v>0.75</x:v>
      </x:c>
      <x:c r="AM710" s="83" t="n">
        <x:f>'Inputs'!$C$45</x:f>
        <x:v>0.5</x:v>
      </x:c>
      <x:c r="AN710" s="83" t="n">
        <x:f>'Inputs'!$D$45</x:f>
        <x:v>0.5</x:v>
      </x:c>
      <x:c r="AO710" s="81" t="n">
        <x:f>'Inputs'!$E$45</x:f>
        <x:v>-0.05</x:v>
      </x:c>
    </x:row>
    <x:row r="711">
      <x:c r="A711" s="59" t="str">
        <x:v>Weak demand</x:v>
      </x:c>
      <x:c r="B711" s="59" t="n">
        <x:v>343</x:v>
      </x:c>
      <x:c r="C711" s="78" t="n">
        <x:f>(('Inputs'!$B$29*(3*343*'Inputs'!$B$12-343^2)/(2*'Inputs'!$B$12^2))-('Inputs'!$B$29*(3*342*'Inputs'!$B$12-342^2)/(2*'Inputs'!$B$12^2)))*'Inputs'!$B$45</x:f>
        <x:v>450477.6341715306</x:v>
      </x:c>
      <x:c r="D711" s="78" t="n">
        <x:f>IF('Inputs'!$C$45&gt;0,('Inputs'!$B$30*(3*343*'Inputs'!$B$12-343^2)/(2*'Inputs'!$B$12^2))-('Inputs'!$B$30*(3*342*'Inputs'!$B$12-342^2)/(2*'Inputs'!$B$12^2)),0)</x:f>
        <x:v>257415.7909551561</x:v>
      </x:c>
      <x:c r="E711" s="78" t="n">
        <x:f>C711+D711</x:f>
        <x:v>707893.4251266867</x:v>
      </x:c>
      <x:c r="F711" s="78" t="n">
        <x:f>'Inputs'!$B$13*E711+(1-'Inputs'!$B$13)/'Inputs'!$B$14*SUM(E656:E711)</x:f>
        <x:v>716323.0085381916</x:v>
      </x:c>
      <x:c r="G711" s="78" t="n">
        <x:f>F711*'Inputs'!$F$45</x:f>
        <x:v>501426.1059767341</x:v>
      </x:c>
      <x:c r="H711" s="78" t="n">
        <x:f>U710</x:f>
        <x:v>135542830728.2357</x:v>
      </x:c>
      <x:c r="I711" s="78" t="n">
        <x:f>V710</x:f>
        <x:v>0.12597058081437254</x:v>
      </x:c>
      <x:c r="J711" s="79" t="n">
        <x:f>IF(H711&gt;0,I711/H711,0)</x:f>
        <x:v>9.293784122521715e-13</x:v>
      </x:c>
      <x:c r="K711" s="80" t="n">
        <x:f>(H711*J711+I711)*'Inputs'!$D$45*(1+'Inputs'!$G$45)^(B711/30)</x:f>
        <x:v>0.12597058081437254</x:v>
      </x:c>
      <x:c r="L711" s="80" t="n">
        <x:f>MAX(0,K711*'Inputs'!$E$45)</x:f>
        <x:v>0</x:v>
      </x:c>
      <x:c r="M711" s="80" t="n">
        <x:f>MAX(0,-K711*'Inputs'!$E$45)</x:f>
        <x:v>0.006298529040718627</x:v>
      </x:c>
      <x:c r="N711" s="78" t="n">
        <x:f>H711*(L711*(1-'Inputs'!$B$15))/(I711+L711*(1-'Inputs'!$B$15))</x:f>
        <x:v>0</x:v>
      </x:c>
      <x:c r="O711" s="78" t="n">
        <x:f>H711-N711</x:f>
        <x:v>135542830728.2357</x:v>
      </x:c>
      <x:c r="P711" s="78" t="n">
        <x:f>I711+L711*(1-'Inputs'!$B$17)</x:f>
        <x:v>0.12597058081437254</x:v>
      </x:c>
      <x:c r="Q711" s="78" t="n">
        <x:f>IF(J711&gt;0,M711/J711,0)</x:f>
        <x:v>0</x:v>
      </x:c>
      <x:c r="R711" s="78" t="n">
        <x:f>IF(B711='Inputs'!$H$45,'Inputs'!$B$27*'Inputs'!$I$45,0)</x:f>
        <x:v>0</x:v>
      </x:c>
      <x:c r="S711" s="78" t="n">
        <x:f>Q711+G711+R711</x:f>
        <x:v>501426.1059767341</x:v>
      </x:c>
      <x:c r="T711" s="78" t="n">
        <x:f>P711*(S711*(1-'Inputs'!$B$15))/(O711+S711*(1-'Inputs'!$B$15))</x:f>
        <x:v>4.613527625944872e-7</x:v>
      </x:c>
      <x:c r="U711" s="78" t="n">
        <x:f>O711+S711*(1-'Inputs'!$B$17)</x:f>
        <x:v>135543330136.53038</x:v>
      </x:c>
      <x:c r="V711" s="78" t="n">
        <x:f>P711-T711</x:f>
        <x:v>0.12597011946160994</x:v>
      </x:c>
      <x:c r="W711" s="79" t="n">
        <x:f>IF(U711&gt;0,V711/U711,0)</x:f>
        <x:v>9.293715842359966e-13</x:v>
      </x:c>
      <x:c r="X711" s="80" t="n">
        <x:f>W711*('Inputs'!$B$6-AC711)</x:f>
        <x:v>-0.004408439748296516</x:v>
      </x:c>
      <x:c r="Y711" s="80" t="n">
        <x:f>2*V711</x:f>
        <x:v>0.2519402389232199</x:v>
      </x:c>
      <x:c r="Z711" s="80" t="n">
        <x:f>K711*'Inputs'!$B$16+(G711+R711)*J711*'Inputs'!$B$16</x:f>
        <x:v>0.0007558262809738247</x:v>
      </x:c>
      <x:c r="AA711" s="80" t="n">
        <x:f>K711*(1+'Inputs'!$E$45)/2*'Inputs'!$B$17</x:f>
        <x:v>0.00024078883656670808</x:v>
      </x:c>
      <x:c r="AB711" s="78" t="n">
        <x:f>(IF(J711&gt;0,K711*(1-'Inputs'!$E$45)/2/J711,0)+G711+R711)*'Inputs'!$B$17</x:f>
        <x:v>2017.8112916568778</x:v>
      </x:c>
      <x:c r="AC711" s="78" t="n">
        <x:f>AC710+AB711</x:f>
        <x:v>5743463027.138427</x:v>
      </x:c>
      <x:c r="AD711" s="80" t="n">
        <x:f>Z711/(1+'Inputs'!$C$45)</x:f>
        <x:v>0.0005038841873158832</x:v>
      </x:c>
      <x:c r="AE711" s="80" t="n">
        <x:f>Z711-AD711</x:f>
        <x:v>0.00025194209365794154</x:v>
      </x:c>
      <x:c r="AF711" s="80" t="n">
        <x:f>D711*W711</x:f>
        <x:v>2.3923492144735554e-7</x:v>
      </x:c>
      <x:c r="AG711" s="80" t="n">
        <x:f>C711*W711</x:f>
        <x:v>4.186611125328791e-7</x:v>
      </x:c>
      <x:c r="AH711" s="80" t="n">
        <x:f>2*'Inputs'!$B$8*'Inputs'!$C$45</x:f>
        <x:v>2500</x:v>
      </x:c>
      <x:c r="AI711" s="81" t="n">
        <x:f>IF(AH711&gt;0,(AE711+AF711)/AH711*365,0)</x:f>
        <x:v>0.000036818473972590775</x:v>
      </x:c>
      <x:c r="AJ711" s="81" t="n">
        <x:f>IF('Inputs'!$B$45&gt;0,AG711/('Inputs'!$B$19*'Inputs'!$B$45)*365,0)</x:f>
        <x:v>2.037484080993345e-8</x:v>
      </x:c>
      <x:c r="AK711" s="81" t="n">
        <x:f>W711/MAX($W$369:W711)-1</x:f>
        <x:v>-0.9999999987638585</x:v>
      </x:c>
      <x:c r="AL711" s="83" t="n">
        <x:f>'Inputs'!$B$45</x:f>
        <x:v>0.75</x:v>
      </x:c>
      <x:c r="AM711" s="83" t="n">
        <x:f>'Inputs'!$C$45</x:f>
        <x:v>0.5</x:v>
      </x:c>
      <x:c r="AN711" s="83" t="n">
        <x:f>'Inputs'!$D$45</x:f>
        <x:v>0.5</x:v>
      </x:c>
      <x:c r="AO711" s="81" t="n">
        <x:f>'Inputs'!$E$45</x:f>
        <x:v>-0.05</x:v>
      </x:c>
    </x:row>
    <x:row r="712">
      <x:c r="A712" s="59" t="str">
        <x:v>Weak demand</x:v>
      </x:c>
      <x:c r="B712" s="59" t="n">
        <x:v>344</x:v>
      </x:c>
      <x:c r="C712" s="78" t="n">
        <x:f>(('Inputs'!$B$29*(3*344*'Inputs'!$B$12-344^2)/(2*'Inputs'!$B$12^2))-('Inputs'!$B$29*(3*343*'Inputs'!$B$12-343^2)/(2*'Inputs'!$B$12^2)))*'Inputs'!$B$45</x:f>
        <x:v>450233.8032463789</x:v>
      </x:c>
      <x:c r="D712" s="78" t="n">
        <x:f>IF('Inputs'!$C$45&gt;0,('Inputs'!$B$30*(3*344*'Inputs'!$B$12-344^2)/(2*'Inputs'!$B$12^2))-('Inputs'!$B$30*(3*343*'Inputs'!$B$12-343^2)/(2*'Inputs'!$B$12^2)),0)</x:f>
        <x:v>257276.45899793506</x:v>
      </x:c>
      <x:c r="E712" s="78" t="n">
        <x:f>C712+D712</x:f>
        <x:v>707510.262244314</x:v>
      </x:c>
      <x:c r="F712" s="78" t="n">
        <x:f>'Inputs'!$B$13*E712+(1-'Inputs'!$B$13)/'Inputs'!$B$14*SUM(E657:E712)</x:f>
        <x:v>715939.8456558436</x:v>
      </x:c>
      <x:c r="G712" s="78" t="n">
        <x:f>F712*'Inputs'!$F$45</x:f>
        <x:v>501157.8919590905</x:v>
      </x:c>
      <x:c r="H712" s="78" t="n">
        <x:f>U711</x:f>
        <x:v>135543330136.53038</x:v>
      </x:c>
      <x:c r="I712" s="78" t="n">
        <x:f>V711</x:f>
        <x:v>0.12597011946160994</x:v>
      </x:c>
      <x:c r="J712" s="79" t="n">
        <x:f>IF(H712&gt;0,I712/H712,0)</x:f>
        <x:v>9.293715842359966e-13</x:v>
      </x:c>
      <x:c r="K712" s="80" t="n">
        <x:f>(H712*J712+I712)*'Inputs'!$D$45*(1+'Inputs'!$G$45)^(B712/30)</x:f>
        <x:v>0.12597011946160994</x:v>
      </x:c>
      <x:c r="L712" s="80" t="n">
        <x:f>MAX(0,K712*'Inputs'!$E$45)</x:f>
        <x:v>0</x:v>
      </x:c>
      <x:c r="M712" s="80" t="n">
        <x:f>MAX(0,-K712*'Inputs'!$E$45)</x:f>
        <x:v>0.0062985059730804975</x:v>
      </x:c>
      <x:c r="N712" s="78" t="n">
        <x:f>H712*(L712*(1-'Inputs'!$B$15))/(I712+L712*(1-'Inputs'!$B$15))</x:f>
        <x:v>0</x:v>
      </x:c>
      <x:c r="O712" s="78" t="n">
        <x:f>H712-N712</x:f>
        <x:v>135543330136.53038</x:v>
      </x:c>
      <x:c r="P712" s="78" t="n">
        <x:f>I712+L712*(1-'Inputs'!$B$17)</x:f>
        <x:v>0.12597011946160994</x:v>
      </x:c>
      <x:c r="Q712" s="78" t="n">
        <x:f>IF(J712&gt;0,M712/J712,0)</x:f>
        <x:v>0</x:v>
      </x:c>
      <x:c r="R712" s="78" t="n">
        <x:f>IF(B712='Inputs'!$H$45,'Inputs'!$B$27*'Inputs'!$I$45,0)</x:f>
        <x:v>0</x:v>
      </x:c>
      <x:c r="S712" s="78" t="n">
        <x:f>Q712+G712+R712</x:f>
        <x:v>501157.8919590905</x:v>
      </x:c>
      <x:c r="T712" s="78" t="n">
        <x:f>P712*(S712*(1-'Inputs'!$B$15))/(O712+S712*(1-'Inputs'!$B$15))</x:f>
        <x:v>4.611025971304901e-7</x:v>
      </x:c>
      <x:c r="U712" s="78" t="n">
        <x:f>O712+S712*(1-'Inputs'!$B$17)</x:f>
        <x:v>135543829277.69038</x:v>
      </x:c>
      <x:c r="V712" s="78" t="n">
        <x:f>P712-T712</x:f>
        <x:v>0.1259696583590128</x:v>
      </x:c>
      <x:c r="W712" s="79" t="n">
        <x:f>IF(U712&gt;0,V712/U712,0)</x:f>
        <x:v>9.293647599474052e-13</x:v>
      </x:c>
      <x:c r="X712" s="80" t="n">
        <x:f>W712*('Inputs'!$B$6-AC712)</x:f>
        <x:v>-0.004408409251815509</x:v>
      </x:c>
      <x:c r="Y712" s="80" t="n">
        <x:f>2*V712</x:f>
        <x:v>0.2519393167180256</x:v>
      </x:c>
      <x:c r="Z712" s="80" t="n">
        <x:f>K712*'Inputs'!$B$16+(G712+R712)*J712*'Inputs'!$B$16</x:f>
        <x:v>0.0007558235113410836</x:v>
      </x:c>
      <x:c r="AA712" s="80" t="n">
        <x:f>K712*(1+'Inputs'!$E$45)/2*'Inputs'!$B$17</x:f>
        <x:v>0.00024078795470529064</x:v>
      </x:c>
      <x:c r="AB712" s="78" t="n">
        <x:f>(IF(J712&gt;0,K712*(1-'Inputs'!$E$45)/2/J712,0)+G712+R712)*'Inputs'!$B$17</x:f>
        <x:v>2016.7319595939257</x:v>
      </x:c>
      <x:c r="AC712" s="78" t="n">
        <x:f>AC711+AB712</x:f>
        <x:v>5743465043.870386</x:v>
      </x:c>
      <x:c r="AD712" s="80" t="n">
        <x:f>Z712/(1+'Inputs'!$C$45)</x:f>
        <x:v>0.0005038823408940557</x:v>
      </x:c>
      <x:c r="AE712" s="80" t="n">
        <x:f>Z712-AD712</x:f>
        <x:v>0.0002519411704470279</x:v>
      </x:c>
      <x:c r="AF712" s="80" t="n">
        <x:f>D712*W712</x:f>
        <x:v>2.391036745567343e-7</x:v>
      </x:c>
      <x:c r="AG712" s="80" t="n">
        <x:f>C712*W712</x:f>
        <x:v>4.1843143047427817e-7</x:v>
      </x:c>
      <x:c r="AH712" s="80" t="n">
        <x:f>2*'Inputs'!$B$8*'Inputs'!$C$45</x:f>
        <x:v>2500</x:v>
      </x:c>
      <x:c r="AI712" s="81" t="n">
        <x:f>IF(AH712&gt;0,(AE712+AF712)/AH712*365,0)</x:f>
        <x:v>0.00003681832002175136</x:v>
      </x:c>
      <x:c r="AJ712" s="81" t="n">
        <x:f>IF('Inputs'!$B$45&gt;0,AG712/('Inputs'!$B$19*'Inputs'!$B$45)*365,0)</x:f>
        <x:v>2.0363662949748203e-8</x:v>
      </x:c>
      <x:c r="AK712" s="81" t="n">
        <x:f>W712/MAX($W$369:W712)-1</x:f>
        <x:v>-0.9999999987638675</x:v>
      </x:c>
      <x:c r="AL712" s="83" t="n">
        <x:f>'Inputs'!$B$45</x:f>
        <x:v>0.75</x:v>
      </x:c>
      <x:c r="AM712" s="83" t="n">
        <x:f>'Inputs'!$C$45</x:f>
        <x:v>0.5</x:v>
      </x:c>
      <x:c r="AN712" s="83" t="n">
        <x:f>'Inputs'!$D$45</x:f>
        <x:v>0.5</x:v>
      </x:c>
      <x:c r="AO712" s="81" t="n">
        <x:f>'Inputs'!$E$45</x:f>
        <x:v>-0.05</x:v>
      </x:c>
    </x:row>
    <x:row r="713">
      <x:c r="A713" s="59" t="str">
        <x:v>Weak demand</x:v>
      </x:c>
      <x:c r="B713" s="59" t="n">
        <x:v>345</x:v>
      </x:c>
      <x:c r="C713" s="78" t="n">
        <x:f>(('Inputs'!$B$29*(3*345*'Inputs'!$B$12-345^2)/(2*'Inputs'!$B$12^2))-('Inputs'!$B$29*(3*344*'Inputs'!$B$12-344^2)/(2*'Inputs'!$B$12^2)))*'Inputs'!$B$45</x:f>
        <x:v>449989.97232124954</x:v>
      </x:c>
      <x:c r="D713" s="78" t="n">
        <x:f>IF('Inputs'!$C$45&gt;0,('Inputs'!$B$30*(3*345*'Inputs'!$B$12-345^2)/(2*'Inputs'!$B$12^2))-('Inputs'!$B$30*(3*344*'Inputs'!$B$12-344^2)/(2*'Inputs'!$B$12^2)),0)</x:f>
        <x:v>257137.12704072893</x:v>
      </x:c>
      <x:c r="E713" s="78" t="n">
        <x:f>C713+D713</x:f>
        <x:v>707127.0993619785</x:v>
      </x:c>
      <x:c r="F713" s="78" t="n">
        <x:f>'Inputs'!$B$13*E713+(1-'Inputs'!$B$13)/'Inputs'!$B$14*SUM(E658:E713)</x:f>
        <x:v>715556.6827735028</x:v>
      </x:c>
      <x:c r="G713" s="78" t="n">
        <x:f>F713*'Inputs'!$F$45</x:f>
        <x:v>500889.6779414519</x:v>
      </x:c>
      <x:c r="H713" s="78" t="n">
        <x:f>U712</x:f>
        <x:v>135543829277.69038</x:v>
      </x:c>
      <x:c r="I713" s="78" t="n">
        <x:f>V712</x:f>
        <x:v>0.1259696583590128</x:v>
      </x:c>
      <x:c r="J713" s="79" t="n">
        <x:f>IF(H713&gt;0,I713/H713,0)</x:f>
        <x:v>9.293647599474052e-13</x:v>
      </x:c>
      <x:c r="K713" s="80" t="n">
        <x:f>(H713*J713+I713)*'Inputs'!$D$45*(1+'Inputs'!$G$45)^(B713/30)</x:f>
        <x:v>0.1259696583590128</x:v>
      </x:c>
      <x:c r="L713" s="80" t="n">
        <x:f>MAX(0,K713*'Inputs'!$E$45)</x:f>
        <x:v>0</x:v>
      </x:c>
      <x:c r="M713" s="80" t="n">
        <x:f>MAX(0,-K713*'Inputs'!$E$45)</x:f>
        <x:v>0.00629848291795064</x:v>
      </x:c>
      <x:c r="N713" s="78" t="n">
        <x:f>H713*(L713*(1-'Inputs'!$B$15))/(I713+L713*(1-'Inputs'!$B$15))</x:f>
        <x:v>0</x:v>
      </x:c>
      <x:c r="O713" s="78" t="n">
        <x:f>H713-N713</x:f>
        <x:v>135543829277.69038</x:v>
      </x:c>
      <x:c r="P713" s="78" t="n">
        <x:f>I713+L713*(1-'Inputs'!$B$17)</x:f>
        <x:v>0.1259696583590128</x:v>
      </x:c>
      <x:c r="Q713" s="78" t="n">
        <x:f>IF(J713&gt;0,M713/J713,0)</x:f>
        <x:v>0</x:v>
      </x:c>
      <x:c r="R713" s="78" t="n">
        <x:f>IF(B713='Inputs'!$H$45,'Inputs'!$B$27*'Inputs'!$I$45,0)</x:f>
        <x:v>0</x:v>
      </x:c>
      <x:c r="S713" s="78" t="n">
        <x:f>Q713+G713+R713</x:f>
        <x:v>500889.6779414519</x:v>
      </x:c>
      <x:c r="T713" s="78" t="n">
        <x:f>P713*(S713*(1-'Inputs'!$B$15))/(O713+S713*(1-'Inputs'!$B$15))</x:f>
        <x:v>4.6085243714002963e-7</x:v>
      </x:c>
      <x:c r="U713" s="78" t="n">
        <x:f>O713+S713*(1-'Inputs'!$B$17)</x:f>
        <x:v>135544328151.7157</x:v>
      </x:c>
      <x:c r="V713" s="78" t="n">
        <x:f>P713-T713</x:f>
        <x:v>0.12596919750657568</x:v>
      </x:c>
      <x:c r="W713" s="79" t="n">
        <x:f>IF(U713&gt;0,V713/U713,0)</x:f>
        <x:v>9.293579393862757e-13</x:v>
      </x:c>
      <x:c r="X713" s="80" t="n">
        <x:f>W713*('Inputs'!$B$6-AC713)</x:f>
        <x:v>-0.004408378771984985</x:v>
      </x:c>
      <x:c r="Y713" s="80" t="n">
        <x:f>2*V713</x:f>
        <x:v>0.25193839501315135</x:v>
      </x:c>
      <x:c r="Z713" s="80" t="n">
        <x:f>K713*'Inputs'!$B$16+(G713+R713)*J713*'Inputs'!$B$16</x:f>
        <x:v>0.0007558207432093687</x:v>
      </x:c>
      <x:c r="AA713" s="80" t="n">
        <x:f>K713*(1+'Inputs'!$E$45)/2*'Inputs'!$B$17</x:f>
        <x:v>0.0002407870733220567</x:v>
      </x:c>
      <x:c r="AB713" s="78" t="n">
        <x:f>(IF(J713&gt;0,K713*(1-'Inputs'!$E$45)/2/J713,0)+G713+R713)*'Inputs'!$B$17</x:f>
        <x:v>2015.6526275309936</x:v>
      </x:c>
      <x:c r="AC713" s="78" t="n">
        <x:f>AC712+AB713</x:f>
        <x:v>5743467059.523014</x:v>
      </x:c>
      <x:c r="AD713" s="80" t="n">
        <x:f>Z713/(1+'Inputs'!$C$45)</x:f>
        <x:v>0.0005038804954729124</x:v>
      </x:c>
      <x:c r="AE713" s="80" t="n">
        <x:f>Z713-AD713</x:f>
        <x:v>0.0002519402477364562</x:v>
      </x:c>
      <x:c r="AF713" s="80" t="n">
        <x:f>D713*W713</x:f>
        <x:v>2.3897243052627883e-7</x:v>
      </x:c>
      <x:c r="AG713" s="80" t="n">
        <x:f>C713*W713</x:f>
        <x:v>4.182017534209637e-7</x:v>
      </x:c>
      <x:c r="AH713" s="80" t="n">
        <x:f>2*'Inputs'!$B$8*'Inputs'!$C$45</x:f>
        <x:v>2500</x:v>
      </x:c>
      <x:c r="AI713" s="81" t="n">
        <x:f>IF(AH713&gt;0,(AE713+AF713)/AH713*365,0)</x:f>
        <x:v>0.00003681816614437945</x:v>
      </x:c>
      <x:c r="AJ713" s="81" t="n">
        <x:f>IF('Inputs'!$B$45&gt;0,AG713/('Inputs'!$B$19*'Inputs'!$B$45)*365,0)</x:f>
        <x:v>2.0352485333153564e-8</x:v>
      </x:c>
      <x:c r="AK713" s="81" t="n">
        <x:f>W713/MAX($W$369:W713)-1</x:f>
        <x:v>-0.9999999987638766</x:v>
      </x:c>
      <x:c r="AL713" s="83" t="n">
        <x:f>'Inputs'!$B$45</x:f>
        <x:v>0.75</x:v>
      </x:c>
      <x:c r="AM713" s="83" t="n">
        <x:f>'Inputs'!$C$45</x:f>
        <x:v>0.5</x:v>
      </x:c>
      <x:c r="AN713" s="83" t="n">
        <x:f>'Inputs'!$D$45</x:f>
        <x:v>0.5</x:v>
      </x:c>
      <x:c r="AO713" s="81" t="n">
        <x:f>'Inputs'!$E$45</x:f>
        <x:v>-0.05</x:v>
      </x:c>
    </x:row>
    <x:row r="714">
      <x:c r="A714" s="59" t="str">
        <x:v>Weak demand</x:v>
      </x:c>
      <x:c r="B714" s="59" t="n">
        <x:v>346</x:v>
      </x:c>
      <x:c r="C714" s="78" t="n">
        <x:f>(('Inputs'!$B$29*(3*346*'Inputs'!$B$12-346^2)/(2*'Inputs'!$B$12^2))-('Inputs'!$B$29*(3*345*'Inputs'!$B$12-345^2)/(2*'Inputs'!$B$12^2)))*'Inputs'!$B$45</x:f>
        <x:v>449746.14139614254</x:v>
      </x:c>
      <x:c r="D714" s="78" t="n">
        <x:f>IF('Inputs'!$C$45&gt;0,('Inputs'!$B$30*(3*346*'Inputs'!$B$12-346^2)/(2*'Inputs'!$B$12^2))-('Inputs'!$B$30*(3*345*'Inputs'!$B$12-345^2)/(2*'Inputs'!$B$12^2)),0)</x:f>
        <x:v>256997.795083493</x:v>
      </x:c>
      <x:c r="E714" s="78" t="n">
        <x:f>C714+D714</x:f>
        <x:v>706743.9364796355</x:v>
      </x:c>
      <x:c r="F714" s="78" t="n">
        <x:f>'Inputs'!$B$13*E714+(1-'Inputs'!$B$13)/'Inputs'!$B$14*SUM(E659:E714)</x:f>
        <x:v>715173.5198911605</x:v>
      </x:c>
      <x:c r="G714" s="78" t="n">
        <x:f>F714*'Inputs'!$F$45</x:f>
        <x:v>500621.4639238123</x:v>
      </x:c>
      <x:c r="H714" s="78" t="n">
        <x:f>U713</x:f>
        <x:v>135544328151.7157</x:v>
      </x:c>
      <x:c r="I714" s="78" t="n">
        <x:f>V713</x:f>
        <x:v>0.12596919750657568</x:v>
      </x:c>
      <x:c r="J714" s="79" t="n">
        <x:f>IF(H714&gt;0,I714/H714,0)</x:f>
        <x:v>9.293579393862757e-13</x:v>
      </x:c>
      <x:c r="K714" s="80" t="n">
        <x:f>(H714*J714+I714)*'Inputs'!$D$45*(1+'Inputs'!$G$45)^(B714/30)</x:f>
        <x:v>0.12596919750657568</x:v>
      </x:c>
      <x:c r="L714" s="80" t="n">
        <x:f>MAX(0,K714*'Inputs'!$E$45)</x:f>
        <x:v>0</x:v>
      </x:c>
      <x:c r="M714" s="80" t="n">
        <x:f>MAX(0,-K714*'Inputs'!$E$45)</x:f>
        <x:v>0.0062984598753287845</x:v>
      </x:c>
      <x:c r="N714" s="78" t="n">
        <x:f>H714*(L714*(1-'Inputs'!$B$15))/(I714+L714*(1-'Inputs'!$B$15))</x:f>
        <x:v>0</x:v>
      </x:c>
      <x:c r="O714" s="78" t="n">
        <x:f>H714-N714</x:f>
        <x:v>135544328151.7157</x:v>
      </x:c>
      <x:c r="P714" s="78" t="n">
        <x:f>I714+L714*(1-'Inputs'!$B$17)</x:f>
        <x:v>0.12596919750657568</x:v>
      </x:c>
      <x:c r="Q714" s="78" t="n">
        <x:f>IF(J714&gt;0,M714/J714,0)</x:f>
        <x:v>0</x:v>
      </x:c>
      <x:c r="R714" s="78" t="n">
        <x:f>IF(B714='Inputs'!$H$45,'Inputs'!$B$27*'Inputs'!$I$45,0)</x:f>
        <x:v>0</x:v>
      </x:c>
      <x:c r="S714" s="78" t="n">
        <x:f>Q714+G714+R714</x:f>
        <x:v>500621.4639238123</x:v>
      </x:c>
      <x:c r="T714" s="78" t="n">
        <x:f>P714*(S714*(1-'Inputs'!$B$15))/(O714+S714*(1-'Inputs'!$B$15))</x:f>
        <x:v>4.606022826200706e-7</x:v>
      </x:c>
      <x:c r="U714" s="78" t="n">
        <x:f>O714+S714*(1-'Inputs'!$B$17)</x:f>
        <x:v>135544826758.60632</x:v>
      </x:c>
      <x:c r="V714" s="78" t="n">
        <x:f>P714-T714</x:f>
        <x:v>0.12596873690429305</x:v>
      </x:c>
      <x:c r="W714" s="79" t="n">
        <x:f>IF(U714&gt;0,V714/U714,0)</x:f>
        <x:v>9.293511225524862e-13</x:v>
      </x:c>
      <x:c r="X714" s="80" t="n">
        <x:f>W714*('Inputs'!$B$6-AC714)</x:f>
        <x:v>-0.004408348308804408</x:v>
      </x:c>
      <x:c r="Y714" s="80" t="n">
        <x:f>2*V714</x:f>
        <x:v>0.2519374738085861</x:v>
      </x:c>
      <x:c r="Z714" s="80" t="n">
        <x:f>K714*'Inputs'!$B$16+(G714+R714)*J714*'Inputs'!$B$16</x:f>
        <x:v>0.0007558179765786468</x:v>
      </x:c>
      <x:c r="AA714" s="80" t="n">
        <x:f>K714*(1+'Inputs'!$E$45)/2*'Inputs'!$B$17</x:f>
        <x:v>0.00024078619241699577</x:v>
      </x:c>
      <x:c r="AB714" s="78" t="n">
        <x:f>(IF(J714&gt;0,K714*(1-'Inputs'!$E$45)/2/J714,0)+G714+R714)*'Inputs'!$B$17</x:f>
        <x:v>2014.5732954680577</x:v>
      </x:c>
      <x:c r="AC714" s="78" t="n">
        <x:f>AC713+AB714</x:f>
        <x:v>5743469074.09631</x:v>
      </x:c>
      <x:c r="AD714" s="80" t="n">
        <x:f>Z714/(1+'Inputs'!$C$45)</x:f>
        <x:v>0.0005038786510524312</x:v>
      </x:c>
      <x:c r="AE714" s="80" t="n">
        <x:f>Z714-AD714</x:f>
        <x:v>0.00025193932552621564</x:v>
      </x:c>
      <x:c r="AF714" s="80" t="n">
        <x:f>D714*W714</x:f>
        <x:v>2.3884118935435805e-7</x:v>
      </x:c>
      <x:c r="AG714" s="80" t="n">
        <x:f>C714*W714</x:f>
        <x:v>4.1797208137015425e-7</x:v>
      </x:c>
      <x:c r="AH714" s="80" t="n">
        <x:f>2*'Inputs'!$B$8*'Inputs'!$C$45</x:f>
        <x:v>2500</x:v>
      </x:c>
      <x:c r="AI714" s="81" t="n">
        <x:f>IF(AH714&gt;0,(AE714+AF714)/AH714*365,0)</x:f>
        <x:v>0.00003681801234047322</x:v>
      </x:c>
      <x:c r="AJ714" s="81" t="n">
        <x:f>IF('Inputs'!$B$45&gt;0,AG714/('Inputs'!$B$19*'Inputs'!$B$45)*365,0)</x:f>
        <x:v>2.0341307960014174e-8</x:v>
      </x:c>
      <x:c r="AK714" s="81" t="n">
        <x:f>W714/MAX($W$369:W714)-1</x:f>
        <x:v>-0.9999999987638857</x:v>
      </x:c>
      <x:c r="AL714" s="83" t="n">
        <x:f>'Inputs'!$B$45</x:f>
        <x:v>0.75</x:v>
      </x:c>
      <x:c r="AM714" s="83" t="n">
        <x:f>'Inputs'!$C$45</x:f>
        <x:v>0.5</x:v>
      </x:c>
      <x:c r="AN714" s="83" t="n">
        <x:f>'Inputs'!$D$45</x:f>
        <x:v>0.5</x:v>
      </x:c>
      <x:c r="AO714" s="81" t="n">
        <x:f>'Inputs'!$E$45</x:f>
        <x:v>-0.05</x:v>
      </x:c>
    </x:row>
    <x:row r="715">
      <x:c r="A715" s="59" t="str">
        <x:v>Weak demand</x:v>
      </x:c>
      <x:c r="B715" s="59" t="n">
        <x:v>347</x:v>
      </x:c>
      <x:c r="C715" s="78" t="n">
        <x:f>(('Inputs'!$B$29*(3*347*'Inputs'!$B$12-347^2)/(2*'Inputs'!$B$12^2))-('Inputs'!$B$29*(3*346*'Inputs'!$B$12-346^2)/(2*'Inputs'!$B$12^2)))*'Inputs'!$B$45</x:f>
        <x:v>449502.3104710132</x:v>
      </x:c>
      <x:c r="D715" s="78" t="n">
        <x:f>IF('Inputs'!$C$45&gt;0,('Inputs'!$B$30*(3*347*'Inputs'!$B$12-347^2)/(2*'Inputs'!$B$12^2))-('Inputs'!$B$30*(3*346*'Inputs'!$B$12-346^2)/(2*'Inputs'!$B$12^2)),0)</x:f>
        <x:v>256858.46312630177</x:v>
      </x:c>
      <x:c r="E715" s="78" t="n">
        <x:f>C715+D715</x:f>
        <x:v>706360.773597315</x:v>
      </x:c>
      <x:c r="F715" s="78" t="n">
        <x:f>'Inputs'!$B$13*E715+(1-'Inputs'!$B$13)/'Inputs'!$B$14*SUM(E660:E715)</x:f>
        <x:v>714790.3570088232</x:v>
      </x:c>
      <x:c r="G715" s="78" t="n">
        <x:f>F715*'Inputs'!$F$45</x:f>
        <x:v>500353.2499061762</x:v>
      </x:c>
      <x:c r="H715" s="78" t="n">
        <x:f>U714</x:f>
        <x:v>135544826758.60632</x:v>
      </x:c>
      <x:c r="I715" s="78" t="n">
        <x:f>V714</x:f>
        <x:v>0.12596873690429305</x:v>
      </x:c>
      <x:c r="J715" s="79" t="n">
        <x:f>IF(H715&gt;0,I715/H715,0)</x:f>
        <x:v>9.293511225524862e-13</x:v>
      </x:c>
      <x:c r="K715" s="80" t="n">
        <x:f>(H715*J715+I715)*'Inputs'!$D$45*(1+'Inputs'!$G$45)^(B715/30)</x:f>
        <x:v>0.12596873690429305</x:v>
      </x:c>
      <x:c r="L715" s="80" t="n">
        <x:f>MAX(0,K715*'Inputs'!$E$45)</x:f>
        <x:v>0</x:v>
      </x:c>
      <x:c r="M715" s="80" t="n">
        <x:f>MAX(0,-K715*'Inputs'!$E$45)</x:f>
        <x:v>0.006298436845214653</x:v>
      </x:c>
      <x:c r="N715" s="78" t="n">
        <x:f>H715*(L715*(1-'Inputs'!$B$15))/(I715+L715*(1-'Inputs'!$B$15))</x:f>
        <x:v>0</x:v>
      </x:c>
      <x:c r="O715" s="78" t="n">
        <x:f>H715-N715</x:f>
        <x:v>135544826758.60632</x:v>
      </x:c>
      <x:c r="P715" s="78" t="n">
        <x:f>I715+L715*(1-'Inputs'!$B$17)</x:f>
        <x:v>0.12596873690429305</x:v>
      </x:c>
      <x:c r="Q715" s="78" t="n">
        <x:f>IF(J715&gt;0,M715/J715,0)</x:f>
        <x:v>0</x:v>
      </x:c>
      <x:c r="R715" s="78" t="n">
        <x:f>IF(B715='Inputs'!$H$45,'Inputs'!$B$27*'Inputs'!$I$45,0)</x:f>
        <x:v>0</x:v>
      </x:c>
      <x:c r="S715" s="78" t="n">
        <x:f>Q715+G715+R715</x:f>
        <x:v>500353.2499061762</x:v>
      </x:c>
      <x:c r="T715" s="78" t="n">
        <x:f>P715*(S715*(1-'Inputs'!$B$15))/(O715+S715*(1-'Inputs'!$B$15))</x:f>
        <x:v>4.6035213356758743e-7</x:v>
      </x:c>
      <x:c r="U715" s="78" t="n">
        <x:f>O715+S715*(1-'Inputs'!$B$17)</x:f>
        <x:v>135545325098.36226</x:v>
      </x:c>
      <x:c r="V715" s="78" t="n">
        <x:f>P715-T715</x:f>
        <x:v>0.12596827655215947</x:v>
      </x:c>
      <x:c r="W715" s="79" t="n">
        <x:f>IF(U715&gt;0,V715/U715,0)</x:f>
        <x:v>9.293443094459147e-13</x:v>
      </x:c>
      <x:c r="X715" s="80" t="n">
        <x:f>W715*('Inputs'!$B$6-AC715)</x:f>
        <x:v>-0.004408317862273244</x:v>
      </x:c>
      <x:c r="Y715" s="80" t="n">
        <x:f>2*V715</x:f>
        <x:v>0.25193655310431895</x:v>
      </x:c>
      <x:c r="Z715" s="80" t="n">
        <x:f>K715*'Inputs'!$B$16+(G715+R715)*J715*'Inputs'!$B$16</x:f>
        <x:v>0.0007558152114488852</x:v>
      </x:c>
      <x:c r="AA715" s="80" t="n">
        <x:f>K715*(1+'Inputs'!$E$45)/2*'Inputs'!$B$17</x:f>
        <x:v>0.00024078531199009742</x:v>
      </x:c>
      <x:c r="AB715" s="78" t="n">
        <x:f>(IF(J715&gt;0,K715*(1-'Inputs'!$E$45)/2/J715,0)+G715+R715)*'Inputs'!$B$17</x:f>
        <x:v>2013.4939634051357</x:v>
      </x:c>
      <x:c r="AC715" s="78" t="n">
        <x:f>AC714+AB715</x:f>
        <x:v>5743471087.590273</x:v>
      </x:c>
      <x:c r="AD715" s="80" t="n">
        <x:f>Z715/(1+'Inputs'!$C$45)</x:f>
        <x:v>0.0005038768076325901</x:v>
      </x:c>
      <x:c r="AE715" s="80" t="n">
        <x:f>Z715-AD715</x:f>
        <x:v>0.000251938403816295</x:v>
      </x:c>
      <x:c r="AF715" s="80" t="n">
        <x:f>D715*W715</x:f>
        <x:v>2.3870995103945186e-7</x:v>
      </x:c>
      <x:c r="AG715" s="80" t="n">
        <x:f>C715*W715</x:f>
        <x:v>4.177424143190269e-7</x:v>
      </x:c>
      <x:c r="AH715" s="80" t="n">
        <x:f>2*'Inputs'!$B$8*'Inputs'!$C$45</x:f>
        <x:v>2500</x:v>
      </x:c>
      <x:c r="AI715" s="81" t="n">
        <x:f>IF(AH715&gt;0,(AE715+AF715)/AH715*365,0)</x:f>
        <x:v>0.000036817858610030835</x:v>
      </x:c>
      <x:c r="AJ715" s="81" t="n">
        <x:f>IF('Inputs'!$B$45&gt;0,AG715/('Inputs'!$B$19*'Inputs'!$B$45)*365,0)</x:f>
        <x:v>2.033013083019264e-8</x:v>
      </x:c>
      <x:c r="AK715" s="81" t="n">
        <x:f>W715/MAX($W$369:W715)-1</x:f>
        <x:v>-0.9999999987638947</x:v>
      </x:c>
      <x:c r="AL715" s="83" t="n">
        <x:f>'Inputs'!$B$45</x:f>
        <x:v>0.75</x:v>
      </x:c>
      <x:c r="AM715" s="83" t="n">
        <x:f>'Inputs'!$C$45</x:f>
        <x:v>0.5</x:v>
      </x:c>
      <x:c r="AN715" s="83" t="n">
        <x:f>'Inputs'!$D$45</x:f>
        <x:v>0.5</x:v>
      </x:c>
      <x:c r="AO715" s="81" t="n">
        <x:f>'Inputs'!$E$45</x:f>
        <x:v>-0.05</x:v>
      </x:c>
    </x:row>
    <x:row r="716">
      <x:c r="A716" s="59" t="str">
        <x:v>Weak demand</x:v>
      </x:c>
      <x:c r="B716" s="59" t="n">
        <x:v>348</x:v>
      </x:c>
      <x:c r="C716" s="78" t="n">
        <x:f>(('Inputs'!$B$29*(3*348*'Inputs'!$B$12-348^2)/(2*'Inputs'!$B$12^2))-('Inputs'!$B$29*(3*347*'Inputs'!$B$12-347^2)/(2*'Inputs'!$B$12^2)))*'Inputs'!$B$45</x:f>
        <x:v>449258.47954588383</x:v>
      </x:c>
      <x:c r="D716" s="78" t="n">
        <x:f>IF('Inputs'!$C$45&gt;0,('Inputs'!$B$30*(3*348*'Inputs'!$B$12-348^2)/(2*'Inputs'!$B$12^2))-('Inputs'!$B$30*(3*347*'Inputs'!$B$12-347^2)/(2*'Inputs'!$B$12^2)),0)</x:f>
        <x:v>256719.13116906583</x:v>
      </x:c>
      <x:c r="E716" s="78" t="n">
        <x:f>C716+D716</x:f>
        <x:v>705977.6107149497</x:v>
      </x:c>
      <x:c r="F716" s="78" t="n">
        <x:f>'Inputs'!$B$13*E716+(1-'Inputs'!$B$13)/'Inputs'!$B$14*SUM(E661:E716)</x:f>
        <x:v>714407.1941264765</x:v>
      </x:c>
      <x:c r="G716" s="78" t="n">
        <x:f>F716*'Inputs'!$F$45</x:f>
        <x:v>500085.0358885335</x:v>
      </x:c>
      <x:c r="H716" s="78" t="n">
        <x:f>U715</x:f>
        <x:v>135545325098.36226</x:v>
      </x:c>
      <x:c r="I716" s="78" t="n">
        <x:f>V715</x:f>
        <x:v>0.12596827655215947</x:v>
      </x:c>
      <x:c r="J716" s="79" t="n">
        <x:f>IF(H716&gt;0,I716/H716,0)</x:f>
        <x:v>9.293443094459147e-13</x:v>
      </x:c>
      <x:c r="K716" s="80" t="n">
        <x:f>(H716*J716+I716)*'Inputs'!$D$45*(1+'Inputs'!$G$45)^(B716/30)</x:f>
        <x:v>0.12596827655215947</x:v>
      </x:c>
      <x:c r="L716" s="80" t="n">
        <x:f>MAX(0,K716*'Inputs'!$E$45)</x:f>
        <x:v>0</x:v>
      </x:c>
      <x:c r="M716" s="80" t="n">
        <x:f>MAX(0,-K716*'Inputs'!$E$45)</x:f>
        <x:v>0.0062984138276079744</x:v>
      </x:c>
      <x:c r="N716" s="78" t="n">
        <x:f>H716*(L716*(1-'Inputs'!$B$15))/(I716+L716*(1-'Inputs'!$B$15))</x:f>
        <x:v>0</x:v>
      </x:c>
      <x:c r="O716" s="78" t="n">
        <x:f>H716-N716</x:f>
        <x:v>135545325098.36226</x:v>
      </x:c>
      <x:c r="P716" s="78" t="n">
        <x:f>I716+L716*(1-'Inputs'!$B$17)</x:f>
        <x:v>0.12596827655215947</x:v>
      </x:c>
      <x:c r="Q716" s="78" t="n">
        <x:f>IF(J716&gt;0,M716/J716,0)</x:f>
        <x:v>0</x:v>
      </x:c>
      <x:c r="R716" s="78" t="n">
        <x:f>IF(B716='Inputs'!$H$45,'Inputs'!$B$27*'Inputs'!$I$45,0)</x:f>
        <x:v>0</x:v>
      </x:c>
      <x:c r="S716" s="78" t="n">
        <x:f>Q716+G716+R716</x:f>
        <x:v>500085.0358885335</x:v>
      </x:c>
      <x:c r="T716" s="78" t="n">
        <x:f>P716*(S716*(1-'Inputs'!$B$15))/(O716+S716*(1-'Inputs'!$B$15))</x:f>
        <x:v>4.601019899795416e-7</x:v>
      </x:c>
      <x:c r="U716" s="78" t="n">
        <x:f>O716+S716*(1-'Inputs'!$B$17)</x:f>
        <x:v>135545823170.98352</x:v>
      </x:c>
      <x:c r="V716" s="78" t="n">
        <x:f>P716-T716</x:f>
        <x:v>0.1259678164501695</x:v>
      </x:c>
      <x:c r="W716" s="79" t="n">
        <x:f>IF(U716&gt;0,V716/U716,0)</x:f>
        <x:v>9.293375000664395e-13</x:v>
      </x:c>
      <x:c r="X716" s="80" t="n">
        <x:f>W716*('Inputs'!$B$6-AC716)</x:f>
        <x:v>-0.004408287432390961</x:v>
      </x:c>
      <x:c r="Y716" s="80" t="n">
        <x:f>2*V716</x:f>
        <x:v>0.251935632900339</x:v>
      </x:c>
      <x:c r="Z716" s="80" t="n">
        <x:f>K716*'Inputs'!$B$16+(G716+R716)*J716*'Inputs'!$B$16</x:f>
        <x:v>0.0007558124478200509</x:v>
      </x:c>
      <x:c r="AA716" s="80" t="n">
        <x:f>K716*(1+'Inputs'!$E$45)/2*'Inputs'!$B$17</x:f>
        <x:v>0.00024078443204135112</x:v>
      </x:c>
      <x:c r="AB716" s="78" t="n">
        <x:f>(IF(J716&gt;0,K716*(1-'Inputs'!$E$45)/2/J716,0)+G716+R716)*'Inputs'!$B$17</x:f>
        <x:v>2012.4146313421872</x:v>
      </x:c>
      <x:c r="AC716" s="78" t="n">
        <x:f>AC715+AB716</x:f>
        <x:v>5743473100.004904</x:v>
      </x:c>
      <x:c r="AD716" s="80" t="n">
        <x:f>Z716/(1+'Inputs'!$C$45)</x:f>
        <x:v>0.0005038749652133673</x:v>
      </x:c>
      <x:c r="AE716" s="80" t="n">
        <x:f>Z716-AD716</x:f>
        <x:v>0.0002519374826066836</x:v>
      </x:c>
      <x:c r="AF716" s="80" t="n">
        <x:f>D716*W716</x:f>
        <x:v>2.3857871557988803e-7</x:v>
      </x:c>
      <x:c r="AG716" s="80" t="n">
        <x:f>C716*W716</x:f>
        <x:v>4.175127522648213e-7</x:v>
      </x:c>
      <x:c r="AH716" s="80" t="n">
        <x:f>2*'Inputs'!$B$8*'Inputs'!$C$45</x:f>
        <x:v>2500</x:v>
      </x:c>
      <x:c r="AI716" s="81" t="n">
        <x:f>IF(AH716&gt;0,(AE716+AF716)/AH716*365,0)</x:f>
        <x:v>0.00003681770495305047</x:v>
      </x:c>
      <x:c r="AJ716" s="81" t="n">
        <x:f>IF('Inputs'!$B$45&gt;0,AG716/('Inputs'!$B$19*'Inputs'!$B$45)*365,0)</x:f>
        <x:v>2.0318953943554638e-8</x:v>
      </x:c>
      <x:c r="AK716" s="81" t="n">
        <x:f>W716/MAX($W$369:W716)-1</x:f>
        <x:v>-0.9999999987639038</x:v>
      </x:c>
      <x:c r="AL716" s="83" t="n">
        <x:f>'Inputs'!$B$45</x:f>
        <x:v>0.75</x:v>
      </x:c>
      <x:c r="AM716" s="83" t="n">
        <x:f>'Inputs'!$C$45</x:f>
        <x:v>0.5</x:v>
      </x:c>
      <x:c r="AN716" s="83" t="n">
        <x:f>'Inputs'!$D$45</x:f>
        <x:v>0.5</x:v>
      </x:c>
      <x:c r="AO716" s="81" t="n">
        <x:f>'Inputs'!$E$45</x:f>
        <x:v>-0.05</x:v>
      </x:c>
    </x:row>
    <x:row r="717">
      <x:c r="A717" s="59" t="str">
        <x:v>Weak demand</x:v>
      </x:c>
      <x:c r="B717" s="59" t="n">
        <x:v>349</x:v>
      </x:c>
      <x:c r="C717" s="78" t="n">
        <x:f>(('Inputs'!$B$29*(3*349*'Inputs'!$B$12-349^2)/(2*'Inputs'!$B$12^2))-('Inputs'!$B$29*(3*348*'Inputs'!$B$12-348^2)/(2*'Inputs'!$B$12^2)))*'Inputs'!$B$45</x:f>
        <x:v>449014.6486207545</x:v>
      </x:c>
      <x:c r="D717" s="78" t="n">
        <x:f>IF('Inputs'!$C$45&gt;0,('Inputs'!$B$30*(3*349*'Inputs'!$B$12-349^2)/(2*'Inputs'!$B$12^2))-('Inputs'!$B$30*(3*348*'Inputs'!$B$12-348^2)/(2*'Inputs'!$B$12^2)),0)</x:f>
        <x:v>256579.7992118597</x:v>
      </x:c>
      <x:c r="E717" s="78" t="n">
        <x:f>C717+D717</x:f>
        <x:v>705594.4478326142</x:v>
      </x:c>
      <x:c r="F717" s="78" t="n">
        <x:f>'Inputs'!$B$13*E717+(1-'Inputs'!$B$13)/'Inputs'!$B$14*SUM(E662:E717)</x:f>
        <x:v>714024.0312441362</x:v>
      </x:c>
      <x:c r="G717" s="78" t="n">
        <x:f>F717*'Inputs'!$F$45</x:f>
        <x:v>499816.8218708953</x:v>
      </x:c>
      <x:c r="H717" s="78" t="n">
        <x:f>U716</x:f>
        <x:v>135545823170.98352</x:v>
      </x:c>
      <x:c r="I717" s="78" t="n">
        <x:f>V716</x:f>
        <x:v>0.1259678164501695</x:v>
      </x:c>
      <x:c r="J717" s="79" t="n">
        <x:f>IF(H717&gt;0,I717/H717,0)</x:f>
        <x:v>9.293375000664395e-13</x:v>
      </x:c>
      <x:c r="K717" s="80" t="n">
        <x:f>(H717*J717+I717)*'Inputs'!$D$45*(1+'Inputs'!$G$45)^(B717/30)</x:f>
        <x:v>0.1259678164501695</x:v>
      </x:c>
      <x:c r="L717" s="80" t="n">
        <x:f>MAX(0,K717*'Inputs'!$E$45)</x:f>
        <x:v>0</x:v>
      </x:c>
      <x:c r="M717" s="80" t="n">
        <x:f>MAX(0,-K717*'Inputs'!$E$45)</x:f>
        <x:v>0.0062983908225084755</x:v>
      </x:c>
      <x:c r="N717" s="78" t="n">
        <x:f>H717*(L717*(1-'Inputs'!$B$15))/(I717+L717*(1-'Inputs'!$B$15))</x:f>
        <x:v>0</x:v>
      </x:c>
      <x:c r="O717" s="78" t="n">
        <x:f>H717-N717</x:f>
        <x:v>135545823170.98352</x:v>
      </x:c>
      <x:c r="P717" s="78" t="n">
        <x:f>I717+L717*(1-'Inputs'!$B$17)</x:f>
        <x:v>0.1259678164501695</x:v>
      </x:c>
      <x:c r="Q717" s="78" t="n">
        <x:f>IF(J717&gt;0,M717/J717,0)</x:f>
        <x:v>0</x:v>
      </x:c>
      <x:c r="R717" s="78" t="n">
        <x:f>IF(B717='Inputs'!$H$45,'Inputs'!$B$27*'Inputs'!$I$45,0)</x:f>
        <x:v>0</x:v>
      </x:c>
      <x:c r="S717" s="78" t="n">
        <x:f>Q717+G717+R717</x:f>
        <x:v>499816.8218708953</x:v>
      </x:c>
      <x:c r="T717" s="78" t="n">
        <x:f>P717*(S717*(1-'Inputs'!$B$15))/(O717+S717*(1-'Inputs'!$B$15))</x:f>
        <x:v>4.5985185185291397e-7</x:v>
      </x:c>
      <x:c r="U717" s="78" t="n">
        <x:f>O717+S717*(1-'Inputs'!$B$17)</x:f>
        <x:v>135546320976.4701</x:v>
      </x:c>
      <x:c r="V717" s="78" t="n">
        <x:f>P717-T717</x:f>
        <x:v>0.12596735659831765</x:v>
      </x:c>
      <x:c r="W717" s="79" t="n">
        <x:f>IF(U717&gt;0,V717/U717,0)</x:f>
        <x:v>9.293306944139393e-13</x:v>
      </x:c>
      <x:c r="X717" s="80" t="n">
        <x:f>W717*('Inputs'!$B$6-AC717)</x:f>
        <x:v>-0.004408257019157029</x:v>
      </x:c>
      <x:c r="Y717" s="80" t="n">
        <x:f>2*V717</x:f>
        <x:v>0.2519347131966353</x:v>
      </x:c>
      <x:c r="Z717" s="80" t="n">
        <x:f>K717*'Inputs'!$B$16+(G717+R717)*J717*'Inputs'!$B$16</x:f>
        <x:v>0.0007558096856921114</x:v>
      </x:c>
      <x:c r="AA717" s="80" t="n">
        <x:f>K717*(1+'Inputs'!$E$45)/2*'Inputs'!$B$17</x:f>
        <x:v>0.00024078355257074654</x:v>
      </x:c>
      <x:c r="AB717" s="78" t="n">
        <x:f>(IF(J717&gt;0,K717*(1-'Inputs'!$E$45)/2/J717,0)+G717+R717)*'Inputs'!$B$17</x:f>
        <x:v>2011.3352992792568</x:v>
      </x:c>
      <x:c r="AC717" s="78" t="n">
        <x:f>AC716+AB717</x:f>
        <x:v>5743475111.340203</x:v>
      </x:c>
      <x:c r="AD717" s="80" t="n">
        <x:f>Z717/(1+'Inputs'!$C$45)</x:f>
        <x:v>0.0005038731237947409</x:v>
      </x:c>
      <x:c r="AE717" s="80" t="n">
        <x:f>Z717-AD717</x:f>
        <x:v>0.00025193656189737045</x:v>
      </x:c>
      <x:c r="AF717" s="80" t="n">
        <x:f>D717*W717</x:f>
        <x:v>2.384474829741467e-7</x:v>
      </x:c>
      <x:c r="AG717" s="80" t="n">
        <x:f>C717*W717</x:f>
        <x:v>4.172830952047567e-7</x:v>
      </x:c>
      <x:c r="AH717" s="80" t="n">
        <x:f>2*'Inputs'!$B$8*'Inputs'!$C$45</x:f>
        <x:v>2500</x:v>
      </x:c>
      <x:c r="AI717" s="81" t="n">
        <x:f>IF(AH717&gt;0,(AE717+AF717)/AH717*365,0)</x:f>
        <x:v>0.00003681755136953031</x:v>
      </x:c>
      <x:c r="AJ717" s="81" t="n">
        <x:f>IF('Inputs'!$B$45&gt;0,AG717/('Inputs'!$B$19*'Inputs'!$B$45)*365,0)</x:f>
        <x:v>2.0307777299964827e-8</x:v>
      </x:c>
      <x:c r="AK717" s="81" t="n">
        <x:f>W717/MAX($W$369:W717)-1</x:f>
        <x:v>-0.9999999987639129</x:v>
      </x:c>
      <x:c r="AL717" s="83" t="n">
        <x:f>'Inputs'!$B$45</x:f>
        <x:v>0.75</x:v>
      </x:c>
      <x:c r="AM717" s="83" t="n">
        <x:f>'Inputs'!$C$45</x:f>
        <x:v>0.5</x:v>
      </x:c>
      <x:c r="AN717" s="83" t="n">
        <x:f>'Inputs'!$D$45</x:f>
        <x:v>0.5</x:v>
      </x:c>
      <x:c r="AO717" s="81" t="n">
        <x:f>'Inputs'!$E$45</x:f>
        <x:v>-0.05</x:v>
      </x:c>
    </x:row>
    <x:row r="718">
      <x:c r="A718" s="59" t="str">
        <x:v>Weak demand</x:v>
      </x:c>
      <x:c r="B718" s="59" t="n">
        <x:v>350</x:v>
      </x:c>
      <x:c r="C718" s="78" t="n">
        <x:f>(('Inputs'!$B$29*(3*350*'Inputs'!$B$12-350^2)/(2*'Inputs'!$B$12^2))-('Inputs'!$B$29*(3*349*'Inputs'!$B$12-349^2)/(2*'Inputs'!$B$12^2)))*'Inputs'!$B$45</x:f>
        <x:v>448770.8176956251</x:v>
      </x:c>
      <x:c r="D718" s="78" t="n">
        <x:f>IF('Inputs'!$C$45&gt;0,('Inputs'!$B$30*(3*350*'Inputs'!$B$12-350^2)/(2*'Inputs'!$B$12^2))-('Inputs'!$B$30*(3*349*'Inputs'!$B$12-349^2)/(2*'Inputs'!$B$12^2)),0)</x:f>
        <x:v>256440.46725465357</x:v>
      </x:c>
      <x:c r="E718" s="78" t="n">
        <x:f>C718+D718</x:f>
        <x:v>705211.2849502787</x:v>
      </x:c>
      <x:c r="F718" s="78" t="n">
        <x:f>'Inputs'!$B$13*E718+(1-'Inputs'!$B$13)/'Inputs'!$B$14*SUM(E663:E718)</x:f>
        <x:v>713640.8683617953</x:v>
      </x:c>
      <x:c r="G718" s="78" t="n">
        <x:f>F718*'Inputs'!$F$45</x:f>
        <x:v>499548.6078532567</x:v>
      </x:c>
      <x:c r="H718" s="78" t="n">
        <x:f>U717</x:f>
        <x:v>135546320976.4701</x:v>
      </x:c>
      <x:c r="I718" s="78" t="n">
        <x:f>V717</x:f>
        <x:v>0.12596735659831765</x:v>
      </x:c>
      <x:c r="J718" s="79" t="n">
        <x:f>IF(H718&gt;0,I718/H718,0)</x:f>
        <x:v>9.293306944139393e-13</x:v>
      </x:c>
      <x:c r="K718" s="80" t="n">
        <x:f>(H718*J718+I718)*'Inputs'!$D$45*(1+'Inputs'!$G$45)^(B718/30)</x:f>
        <x:v>0.12596735659831765</x:v>
      </x:c>
      <x:c r="L718" s="80" t="n">
        <x:f>MAX(0,K718*'Inputs'!$E$45)</x:f>
        <x:v>0</x:v>
      </x:c>
      <x:c r="M718" s="80" t="n">
        <x:f>MAX(0,-K718*'Inputs'!$E$45)</x:f>
        <x:v>0.006298367829915883</x:v>
      </x:c>
      <x:c r="N718" s="78" t="n">
        <x:f>H718*(L718*(1-'Inputs'!$B$15))/(I718+L718*(1-'Inputs'!$B$15))</x:f>
        <x:v>0</x:v>
      </x:c>
      <x:c r="O718" s="78" t="n">
        <x:f>H718-N718</x:f>
        <x:v>135546320976.4701</x:v>
      </x:c>
      <x:c r="P718" s="78" t="n">
        <x:f>I718+L718*(1-'Inputs'!$B$17)</x:f>
        <x:v>0.12596735659831765</x:v>
      </x:c>
      <x:c r="Q718" s="78" t="n">
        <x:f>IF(J718&gt;0,M718/J718,0)</x:f>
        <x:v>0</x:v>
      </x:c>
      <x:c r="R718" s="78" t="n">
        <x:f>IF(B718='Inputs'!$H$45,'Inputs'!$B$27*'Inputs'!$I$45,0)</x:f>
        <x:v>0</x:v>
      </x:c>
      <x:c r="S718" s="78" t="n">
        <x:f>Q718+G718+R718</x:f>
        <x:v>499548.6078532567</x:v>
      </x:c>
      <x:c r="T718" s="78" t="n">
        <x:f>P718*(S718*(1-'Inputs'!$B$15))/(O718+S718*(1-'Inputs'!$B$15))</x:f>
        <x:v>4.5960171918467097e-7</x:v>
      </x:c>
      <x:c r="U718" s="78" t="n">
        <x:f>O718+S718*(1-'Inputs'!$B$17)</x:f>
        <x:v>135546818514.82198</x:v>
      </x:c>
      <x:c r="V718" s="78" t="n">
        <x:f>P718-T718</x:f>
        <x:v>0.12596689699659847</x:v>
      </x:c>
      <x:c r="W718" s="79" t="n">
        <x:f>IF(U718&gt;0,V718/U718,0)</x:f>
        <x:v>9.293238924882922e-13</x:v>
      </x:c>
      <x:c r="X718" s="80" t="n">
        <x:f>W718*('Inputs'!$B$6-AC718)</x:f>
        <x:v>-0.0044082266225709136</x:v>
      </x:c>
      <x:c r="Y718" s="80" t="n">
        <x:f>2*V718</x:f>
        <x:v>0.25193379399319693</x:v>
      </x:c>
      <x:c r="Z718" s="80" t="n">
        <x:f>K718*'Inputs'!$B$16+(G718+R718)*J718*'Inputs'!$B$16</x:f>
        <x:v>0.0007558069250650337</x:v>
      </x:c>
      <x:c r="AA718" s="80" t="n">
        <x:f>K718*(1+'Inputs'!$E$45)/2*'Inputs'!$B$17</x:f>
        <x:v>0.0002407826735782732</x:v>
      </x:c>
      <x:c r="AB718" s="78" t="n">
        <x:f>(IF(J718&gt;0,K718*(1-'Inputs'!$E$45)/2/J718,0)+G718+R718)*'Inputs'!$B$17</x:f>
        <x:v>2010.255967216325</x:v>
      </x:c>
      <x:c r="AC718" s="78" t="n">
        <x:f>AC717+AB718</x:f>
        <x:v>5743477121.59617</x:v>
      </x:c>
      <x:c r="AD718" s="80" t="n">
        <x:f>Z718/(1+'Inputs'!$C$45)</x:f>
        <x:v>0.0005038712833766891</x:v>
      </x:c>
      <x:c r="AE718" s="80" t="n">
        <x:f>Z718-AD718</x:f>
        <x:v>0.0002519356416883446</x:v>
      </x:c>
      <x:c r="AF718" s="80" t="n">
        <x:f>D718*W718</x:f>
        <x:v>2.383162532206111e-7</x:v>
      </x:c>
      <x:c r="AG718" s="80" t="n">
        <x:f>C718*W718</x:f>
        <x:v>4.170534431360521e-7</x:v>
      </x:c>
      <x:c r="AH718" s="80" t="n">
        <x:f>2*'Inputs'!$B$8*'Inputs'!$C$45</x:f>
        <x:v>2500</x:v>
      </x:c>
      <x:c r="AI718" s="81" t="n">
        <x:f>IF(AH718&gt;0,(AE718+AF718)/AH718*365,0)</x:f>
        <x:v>0.000036817397859468525</x:v>
      </x:c>
      <x:c r="AJ718" s="81" t="n">
        <x:f>IF('Inputs'!$B$45&gt;0,AG718/('Inputs'!$B$19*'Inputs'!$B$45)*365,0)</x:f>
        <x:v>2.029660089928787e-8</x:v>
      </x:c>
      <x:c r="AK718" s="81" t="n">
        <x:f>W718/MAX($W$369:W718)-1</x:f>
        <x:v>-0.9999999987639219</x:v>
      </x:c>
      <x:c r="AL718" s="83" t="n">
        <x:f>'Inputs'!$B$45</x:f>
        <x:v>0.75</x:v>
      </x:c>
      <x:c r="AM718" s="83" t="n">
        <x:f>'Inputs'!$C$45</x:f>
        <x:v>0.5</x:v>
      </x:c>
      <x:c r="AN718" s="83" t="n">
        <x:f>'Inputs'!$D$45</x:f>
        <x:v>0.5</x:v>
      </x:c>
      <x:c r="AO718" s="81" t="n">
        <x:f>'Inputs'!$E$45</x:f>
        <x:v>-0.05</x:v>
      </x:c>
    </x:row>
    <x:row r="719">
      <x:c r="A719" s="59" t="str">
        <x:v>Weak demand</x:v>
      </x:c>
      <x:c r="B719" s="59" t="n">
        <x:v>351</x:v>
      </x:c>
      <x:c r="C719" s="78" t="n">
        <x:f>(('Inputs'!$B$29*(3*351*'Inputs'!$B$12-351^2)/(2*'Inputs'!$B$12^2))-('Inputs'!$B$29*(3*350*'Inputs'!$B$12-350^2)/(2*'Inputs'!$B$12^2)))*'Inputs'!$B$45</x:f>
        <x:v>448526.9867704958</x:v>
      </x:c>
      <x:c r="D719" s="78" t="n">
        <x:f>IF('Inputs'!$C$45&gt;0,('Inputs'!$B$30*(3*351*'Inputs'!$B$12-351^2)/(2*'Inputs'!$B$12^2))-('Inputs'!$B$30*(3*350*'Inputs'!$B$12-350^2)/(2*'Inputs'!$B$12^2)),0)</x:f>
        <x:v>256301.13529741764</x:v>
      </x:c>
      <x:c r="E719" s="78" t="n">
        <x:f>C719+D719</x:f>
        <x:v>704828.1220679134</x:v>
      </x:c>
      <x:c r="F719" s="78" t="n">
        <x:f>'Inputs'!$B$13*E719+(1-'Inputs'!$B$13)/'Inputs'!$B$14*SUM(E664:E719)</x:f>
        <x:v>713257.7054794487</x:v>
      </x:c>
      <x:c r="G719" s="78" t="n">
        <x:f>F719*'Inputs'!$F$45</x:f>
        <x:v>499280.393835614</x:v>
      </x:c>
      <x:c r="H719" s="78" t="n">
        <x:f>U718</x:f>
        <x:v>135546818514.82198</x:v>
      </x:c>
      <x:c r="I719" s="78" t="n">
        <x:f>V718</x:f>
        <x:v>0.12596689699659847</x:v>
      </x:c>
      <x:c r="J719" s="79" t="n">
        <x:f>IF(H719&gt;0,I719/H719,0)</x:f>
        <x:v>9.293238924882922e-13</x:v>
      </x:c>
      <x:c r="K719" s="80" t="n">
        <x:f>(H719*J719+I719)*'Inputs'!$D$45*(1+'Inputs'!$G$45)^(B719/30)</x:f>
        <x:v>0.12596689699659847</x:v>
      </x:c>
      <x:c r="L719" s="80" t="n">
        <x:f>MAX(0,K719*'Inputs'!$E$45)</x:f>
        <x:v>0</x:v>
      </x:c>
      <x:c r="M719" s="80" t="n">
        <x:f>MAX(0,-K719*'Inputs'!$E$45)</x:f>
        <x:v>0.0062983448498299234</x:v>
      </x:c>
      <x:c r="N719" s="78" t="n">
        <x:f>H719*(L719*(1-'Inputs'!$B$15))/(I719+L719*(1-'Inputs'!$B$15))</x:f>
        <x:v>0</x:v>
      </x:c>
      <x:c r="O719" s="78" t="n">
        <x:f>H719-N719</x:f>
        <x:v>135546818514.82198</x:v>
      </x:c>
      <x:c r="P719" s="78" t="n">
        <x:f>I719+L719*(1-'Inputs'!$B$17)</x:f>
        <x:v>0.12596689699659847</x:v>
      </x:c>
      <x:c r="Q719" s="78" t="n">
        <x:f>IF(J719&gt;0,M719/J719,0)</x:f>
        <x:v>0</x:v>
      </x:c>
      <x:c r="R719" s="78" t="n">
        <x:f>IF(B719='Inputs'!$H$45,'Inputs'!$B$27*'Inputs'!$I$45,0)</x:f>
        <x:v>0</x:v>
      </x:c>
      <x:c r="S719" s="78" t="n">
        <x:f>Q719+G719+R719</x:f>
        <x:v>499280.393835614</x:v>
      </x:c>
      <x:c r="T719" s="78" t="n">
        <x:f>P719*(S719*(1-'Inputs'!$B$15))/(O719+S719*(1-'Inputs'!$B$15))</x:f>
        <x:v>4.593515919717804e-7</x:v>
      </x:c>
      <x:c r="U719" s="78" t="n">
        <x:f>O719+S719*(1-'Inputs'!$B$17)</x:f>
        <x:v>135547315786.03917</x:v>
      </x:c>
      <x:c r="V719" s="78" t="n">
        <x:f>P719-T719</x:f>
        <x:v>0.1259664376450065</x:v>
      </x:c>
      <x:c r="W719" s="79" t="n">
        <x:f>IF(U719&gt;0,V719/U719,0)</x:f>
        <x:v>9.29317094289377e-13</x:v>
      </x:c>
      <x:c r="X719" s="80" t="n">
        <x:f>W719*('Inputs'!$B$6-AC719)</x:f>
        <x:v>-0.0044081962426320825</x:v>
      </x:c>
      <x:c r="Y719" s="80" t="n">
        <x:f>2*V719</x:f>
        <x:v>0.251932875290013</x:v>
      </x:c>
      <x:c r="Z719" s="80" t="n">
        <x:f>K719*'Inputs'!$B$16+(G719+R719)*J719*'Inputs'!$B$16</x:f>
        <x:v>0.0007558041659387851</x:v>
      </x:c>
      <x:c r="AA719" s="80" t="n">
        <x:f>K719*(1+'Inputs'!$E$45)/2*'Inputs'!$B$17</x:f>
        <x:v>0.00024078179506392062</x:v>
      </x:c>
      <x:c r="AB719" s="78" t="n">
        <x:f>(IF(J719&gt;0,K719*(1-'Inputs'!$E$45)/2/J719,0)+G719+R719)*'Inputs'!$B$17</x:f>
        <x:v>2009.1766351533765</x:v>
      </x:c>
      <x:c r="AC719" s="78" t="n">
        <x:f>AC718+AB719</x:f>
        <x:v>5743479130.772805</x:v>
      </x:c>
      <x:c r="AD719" s="80" t="n">
        <x:f>Z719/(1+'Inputs'!$C$45)</x:f>
        <x:v>0.00050386944395919</x:v>
      </x:c>
      <x:c r="AE719" s="80" t="n">
        <x:f>Z719-AD719</x:f>
        <x:v>0.000251934721979595</x:v>
      </x:c>
      <x:c r="AF719" s="80" t="n">
        <x:f>D719*W719</x:f>
        <x:v>2.3818502631766462e-7</x:v>
      </x:c>
      <x:c r="AG719" s="80" t="n">
        <x:f>C719*W719</x:f>
        <x:v>4.1682379605592694e-7</x:v>
      </x:c>
      <x:c r="AH719" s="80" t="n">
        <x:f>2*'Inputs'!$B$8*'Inputs'!$C$45</x:f>
        <x:v>2500</x:v>
      </x:c>
      <x:c r="AI719" s="81" t="n">
        <x:f>IF(AH719&gt;0,(AE719+AF719)/AH719*365,0)</x:f>
        <x:v>0.00003681724442286325</x:v>
      </x:c>
      <x:c r="AJ719" s="81" t="n">
        <x:f>IF('Inputs'!$B$45&gt;0,AG719/('Inputs'!$B$19*'Inputs'!$B$45)*365,0)</x:f>
        <x:v>2.0285424741388446e-8</x:v>
      </x:c>
      <x:c r="AK719" s="81" t="n">
        <x:f>W719/MAX($W$369:W719)-1</x:f>
        <x:v>-0.9999999987639309</x:v>
      </x:c>
      <x:c r="AL719" s="83" t="n">
        <x:f>'Inputs'!$B$45</x:f>
        <x:v>0.75</x:v>
      </x:c>
      <x:c r="AM719" s="83" t="n">
        <x:f>'Inputs'!$C$45</x:f>
        <x:v>0.5</x:v>
      </x:c>
      <x:c r="AN719" s="83" t="n">
        <x:f>'Inputs'!$D$45</x:f>
        <x:v>0.5</x:v>
      </x:c>
      <x:c r="AO719" s="81" t="n">
        <x:f>'Inputs'!$E$45</x:f>
        <x:v>-0.05</x:v>
      </x:c>
    </x:row>
    <x:row r="720">
      <x:c r="A720" s="59" t="str">
        <x:v>Weak demand</x:v>
      </x:c>
      <x:c r="B720" s="59" t="n">
        <x:v>352</x:v>
      </x:c>
      <x:c r="C720" s="78" t="n">
        <x:f>(('Inputs'!$B$29*(3*352*'Inputs'!$B$12-352^2)/(2*'Inputs'!$B$12^2))-('Inputs'!$B$29*(3*351*'Inputs'!$B$12-351^2)/(2*'Inputs'!$B$12^2)))*'Inputs'!$B$45</x:f>
        <x:v>448283.1558453664</x:v>
      </x:c>
      <x:c r="D720" s="78" t="n">
        <x:f>IF('Inputs'!$C$45&gt;0,('Inputs'!$B$30*(3*352*'Inputs'!$B$12-352^2)/(2*'Inputs'!$B$12^2))-('Inputs'!$B$30*(3*351*'Inputs'!$B$12-351^2)/(2*'Inputs'!$B$12^2)),0)</x:f>
        <x:v>256161.8033402264</x:v>
      </x:c>
      <x:c r="E720" s="78" t="n">
        <x:f>C720+D720</x:f>
        <x:v>704444.9591855928</x:v>
      </x:c>
      <x:c r="F720" s="78" t="n">
        <x:f>'Inputs'!$B$13*E720+(1-'Inputs'!$B$13)/'Inputs'!$B$14*SUM(E665:E720)</x:f>
        <x:v>712874.5425971111</x:v>
      </x:c>
      <x:c r="G720" s="78" t="n">
        <x:f>F720*'Inputs'!$F$45</x:f>
        <x:v>499012.1798179777</x:v>
      </x:c>
      <x:c r="H720" s="78" t="n">
        <x:f>U719</x:f>
        <x:v>135547315786.03917</x:v>
      </x:c>
      <x:c r="I720" s="78" t="n">
        <x:f>V719</x:f>
        <x:v>0.1259664376450065</x:v>
      </x:c>
      <x:c r="J720" s="79" t="n">
        <x:f>IF(H720&gt;0,I720/H720,0)</x:f>
        <x:v>9.29317094289377e-13</x:v>
      </x:c>
      <x:c r="K720" s="80" t="n">
        <x:f>(H720*J720+I720)*'Inputs'!$D$45*(1+'Inputs'!$G$45)^(B720/30)</x:f>
        <x:v>0.1259664376450065</x:v>
      </x:c>
      <x:c r="L720" s="80" t="n">
        <x:f>MAX(0,K720*'Inputs'!$E$45)</x:f>
        <x:v>0</x:v>
      </x:c>
      <x:c r="M720" s="80" t="n">
        <x:f>MAX(0,-K720*'Inputs'!$E$45)</x:f>
        <x:v>0.006298321882250326</x:v>
      </x:c>
      <x:c r="N720" s="78" t="n">
        <x:f>H720*(L720*(1-'Inputs'!$B$15))/(I720+L720*(1-'Inputs'!$B$15))</x:f>
        <x:v>0</x:v>
      </x:c>
      <x:c r="O720" s="78" t="n">
        <x:f>H720-N720</x:f>
        <x:v>135547315786.03917</x:v>
      </x:c>
      <x:c r="P720" s="78" t="n">
        <x:f>I720+L720*(1-'Inputs'!$B$17)</x:f>
        <x:v>0.1259664376450065</x:v>
      </x:c>
      <x:c r="Q720" s="78" t="n">
        <x:f>IF(J720&gt;0,M720/J720,0)</x:f>
        <x:v>0</x:v>
      </x:c>
      <x:c r="R720" s="78" t="n">
        <x:f>IF(B720='Inputs'!$H$45,'Inputs'!$B$27*'Inputs'!$I$45,0)</x:f>
        <x:v>0</x:v>
      </x:c>
      <x:c r="S720" s="78" t="n">
        <x:f>Q720+G720+R720</x:f>
        <x:v>499012.1798179777</x:v>
      </x:c>
      <x:c r="T720" s="78" t="n">
        <x:f>P720*(S720*(1-'Inputs'!$B$15))/(O720+S720*(1-'Inputs'!$B$15))</x:f>
        <x:v>4.5910147021122314e-7</x:v>
      </x:c>
      <x:c r="U720" s="78" t="n">
        <x:f>O720+S720*(1-'Inputs'!$B$17)</x:f>
        <x:v>135547812790.12169</x:v>
      </x:c>
      <x:c r="V720" s="78" t="n">
        <x:f>P720-T720</x:f>
        <x:v>0.1259659785435363</x:v>
      </x:c>
      <x:c r="W720" s="79" t="n">
        <x:f>IF(U720&gt;0,V720/U720,0)</x:f>
        <x:v>9.293102998170719e-13</x:v>
      </x:c>
      <x:c r="X720" s="80" t="n">
        <x:f>W720*('Inputs'!$B$6-AC720)</x:f>
        <x:v>-0.0044081658793400065</x:v>
      </x:c>
      <x:c r="Y720" s="80" t="n">
        <x:f>2*V720</x:f>
        <x:v>0.2519319570870726</x:v>
      </x:c>
      <x:c r="Z720" s="80" t="n">
        <x:f>K720*'Inputs'!$B$16+(G720+R720)*J720*'Inputs'!$B$16</x:f>
        <x:v>0.0007558014083133329</x:v>
      </x:c>
      <x:c r="AA720" s="80" t="n">
        <x:f>K720*(1+'Inputs'!$E$45)/2*'Inputs'!$B$17</x:f>
        <x:v>0.00024078091702767844</x:v>
      </x:c>
      <x:c r="AB720" s="78" t="n">
        <x:f>(IF(J720&gt;0,K720*(1-'Inputs'!$E$45)/2/J720,0)+G720+R720)*'Inputs'!$B$17</x:f>
        <x:v>2008.0973030904538</x:v>
      </x:c>
      <x:c r="AC720" s="78" t="n">
        <x:f>AC719+AB720</x:f>
        <x:v>5743481138.870109</x:v>
      </x:c>
      <x:c r="AD720" s="80" t="n">
        <x:f>Z720/(1+'Inputs'!$C$45)</x:f>
        <x:v>0.0005038676055422219</x:v>
      </x:c>
      <x:c r="AE720" s="80" t="n">
        <x:f>Z720-AD720</x:f>
        <x:v>0.00025193380277111095</x:v>
      </x:c>
      <x:c r="AF720" s="80" t="n">
        <x:f>D720*W720</x:f>
        <x:v>2.3805380226378762e-7</x:v>
      </x:c>
      <x:c r="AG720" s="80" t="n">
        <x:f>C720*W720</x:f>
        <x:v>4.1659415396160064e-7</x:v>
      </x:c>
      <x:c r="AH720" s="80" t="n">
        <x:f>2*'Inputs'!$B$8*'Inputs'!$C$45</x:f>
        <x:v>2500</x:v>
      </x:c>
      <x:c r="AI720" s="81" t="n">
        <x:f>IF(AH720&gt;0,(AE720+AF720)/AH720*365,0)</x:f>
        <x:v>0.00003681709105971272</x:v>
      </x:c>
      <x:c r="AJ720" s="81" t="n">
        <x:f>IF('Inputs'!$B$45&gt;0,AG720/('Inputs'!$B$19*'Inputs'!$B$45)*365,0)</x:f>
        <x:v>2.027424882613123e-8</x:v>
      </x:c>
      <x:c r="AK720" s="81" t="n">
        <x:f>W720/MAX($W$369:W720)-1</x:f>
        <x:v>-0.99999999876394</x:v>
      </x:c>
      <x:c r="AL720" s="83" t="n">
        <x:f>'Inputs'!$B$45</x:f>
        <x:v>0.75</x:v>
      </x:c>
      <x:c r="AM720" s="83" t="n">
        <x:f>'Inputs'!$C$45</x:f>
        <x:v>0.5</x:v>
      </x:c>
      <x:c r="AN720" s="83" t="n">
        <x:f>'Inputs'!$D$45</x:f>
        <x:v>0.5</x:v>
      </x:c>
      <x:c r="AO720" s="81" t="n">
        <x:f>'Inputs'!$E$45</x:f>
        <x:v>-0.05</x:v>
      </x:c>
    </x:row>
    <x:row r="721">
      <x:c r="A721" s="59" t="str">
        <x:v>Weak demand</x:v>
      </x:c>
      <x:c r="B721" s="59" t="n">
        <x:v>353</x:v>
      </x:c>
      <x:c r="C721" s="78" t="n">
        <x:f>(('Inputs'!$B$29*(3*353*'Inputs'!$B$12-353^2)/(2*'Inputs'!$B$12^2))-('Inputs'!$B$29*(3*352*'Inputs'!$B$12-352^2)/(2*'Inputs'!$B$12^2)))*'Inputs'!$B$45</x:f>
        <x:v>448039.3249202594</x:v>
      </x:c>
      <x:c r="D721" s="78" t="n">
        <x:f>IF('Inputs'!$C$45&gt;0,('Inputs'!$B$30*(3*353*'Inputs'!$B$12-353^2)/(2*'Inputs'!$B$12^2))-('Inputs'!$B$30*(3*352*'Inputs'!$B$12-352^2)/(2*'Inputs'!$B$12^2)),0)</x:f>
        <x:v>256022.47138299048</x:v>
      </x:c>
      <x:c r="E721" s="78" t="n">
        <x:f>C721+D721</x:f>
        <x:v>704061.7963032499</x:v>
      </x:c>
      <x:c r="F721" s="78" t="n">
        <x:f>'Inputs'!$B$13*E721+(1-'Inputs'!$B$13)/'Inputs'!$B$14*SUM(E666:E721)</x:f>
        <x:v>712491.3797147692</x:v>
      </x:c>
      <x:c r="G721" s="78" t="n">
        <x:f>F721*'Inputs'!$F$45</x:f>
        <x:v>498743.9658003384</x:v>
      </x:c>
      <x:c r="H721" s="78" t="n">
        <x:f>U720</x:f>
        <x:v>135547812790.12169</x:v>
      </x:c>
      <x:c r="I721" s="78" t="n">
        <x:f>V720</x:f>
        <x:v>0.1259659785435363</x:v>
      </x:c>
      <x:c r="J721" s="79" t="n">
        <x:f>IF(H721&gt;0,I721/H721,0)</x:f>
        <x:v>9.293102998170719e-13</x:v>
      </x:c>
      <x:c r="K721" s="80" t="n">
        <x:f>(H721*J721+I721)*'Inputs'!$D$45*(1+'Inputs'!$G$45)^(B721/30)</x:f>
        <x:v>0.1259659785435363</x:v>
      </x:c>
      <x:c r="L721" s="80" t="n">
        <x:f>MAX(0,K721*'Inputs'!$E$45)</x:f>
        <x:v>0</x:v>
      </x:c>
      <x:c r="M721" s="80" t="n">
        <x:f>MAX(0,-K721*'Inputs'!$E$45)</x:f>
        <x:v>0.006298298927176815</x:v>
      </x:c>
      <x:c r="N721" s="78" t="n">
        <x:f>H721*(L721*(1-'Inputs'!$B$15))/(I721+L721*(1-'Inputs'!$B$15))</x:f>
        <x:v>0</x:v>
      </x:c>
      <x:c r="O721" s="78" t="n">
        <x:f>H721-N721</x:f>
        <x:v>135547812790.12169</x:v>
      </x:c>
      <x:c r="P721" s="78" t="n">
        <x:f>I721+L721*(1-'Inputs'!$B$17)</x:f>
        <x:v>0.1259659785435363</x:v>
      </x:c>
      <x:c r="Q721" s="78" t="n">
        <x:f>IF(J721&gt;0,M721/J721,0)</x:f>
        <x:v>0</x:v>
      </x:c>
      <x:c r="R721" s="78" t="n">
        <x:f>IF(B721='Inputs'!$H$45,'Inputs'!$B$27*'Inputs'!$I$45,0)</x:f>
        <x:v>0</x:v>
      </x:c>
      <x:c r="S721" s="78" t="n">
        <x:f>Q721+G721+R721</x:f>
        <x:v>498743.9658003384</x:v>
      </x:c>
      <x:c r="T721" s="78" t="n">
        <x:f>P721*(S721*(1-'Inputs'!$B$15))/(O721+S721*(1-'Inputs'!$B$15))</x:f>
        <x:v>4.588513538999617e-7</x:v>
      </x:c>
      <x:c r="U721" s="78" t="n">
        <x:f>O721+S721*(1-'Inputs'!$B$17)</x:f>
        <x:v>135548309527.06952</x:v>
      </x:c>
      <x:c r="V721" s="78" t="n">
        <x:f>P721-T721</x:f>
        <x:v>0.1259655196921824</x:v>
      </x:c>
      <x:c r="W721" s="79" t="n">
        <x:f>IF(U721&gt;0,V721/U721,0)</x:f>
        <x:v>9.293035090712555e-13</x:v>
      </x:c>
      <x:c r="X721" s="80" t="n">
        <x:f>W721*('Inputs'!$B$6-AC721)</x:f>
        <x:v>-0.004408135532694151</x:v>
      </x:c>
      <x:c r="Y721" s="80" t="n">
        <x:f>2*V721</x:f>
        <x:v>0.2519310393843648</x:v>
      </x:c>
      <x:c r="Z721" s="80" t="n">
        <x:f>K721*'Inputs'!$B$16+(G721+R721)*J721*'Inputs'!$B$16</x:f>
        <x:v>0.0007557986521886443</x:v>
      </x:c>
      <x:c r="AA721" s="80" t="n">
        <x:f>K721*(1+'Inputs'!$E$45)/2*'Inputs'!$B$17</x:f>
        <x:v>0.0002407800394695362</x:v>
      </x:c>
      <x:c r="AB721" s="78" t="n">
        <x:f>(IF(J721&gt;0,K721*(1-'Inputs'!$E$45)/2/J721,0)+G721+R721)*'Inputs'!$B$17</x:f>
        <x:v>2007.017971027519</x:v>
      </x:c>
      <x:c r="AC721" s="78" t="n">
        <x:f>AC720+AB721</x:f>
        <x:v>5743483145.88808</x:v>
      </x:c>
      <x:c r="AD721" s="80" t="n">
        <x:f>Z721/(1+'Inputs'!$C$45)</x:f>
        <x:v>0.0005038657681257628</x:v>
      </x:c>
      <x:c r="AE721" s="80" t="n">
        <x:f>Z721-AD721</x:f>
        <x:v>0.00025193288406288145</x:v>
      </x:c>
      <x:c r="AF721" s="80" t="n">
        <x:f>D721*W721</x:f>
        <x:v>2.3792258105730813e-7</x:v>
      </x:c>
      <x:c r="AG721" s="80" t="n">
        <x:f>C721*W721</x:f>
        <x:v>4.163645168503135e-7</x:v>
      </x:c>
      <x:c r="AH721" s="80" t="n">
        <x:f>2*'Inputs'!$B$8*'Inputs'!$C$45</x:f>
        <x:v>2500</x:v>
      </x:c>
      <x:c r="AI721" s="81" t="n">
        <x:f>IF(AH721&gt;0,(AE721+AF721)/AH721*365,0)</x:f>
        <x:v>0.000036816937770015065</x:v>
      </x:c>
      <x:c r="AJ721" s="81" t="n">
        <x:f>IF('Inputs'!$B$45&gt;0,AG721/('Inputs'!$B$19*'Inputs'!$B$45)*365,0)</x:f>
        <x:v>2.026307315338192e-8</x:v>
      </x:c>
      <x:c r="AK721" s="81" t="n">
        <x:f>W721/MAX($W$369:W721)-1</x:f>
        <x:v>-0.999999998763949</x:v>
      </x:c>
      <x:c r="AL721" s="83" t="n">
        <x:f>'Inputs'!$B$45</x:f>
        <x:v>0.75</x:v>
      </x:c>
      <x:c r="AM721" s="83" t="n">
        <x:f>'Inputs'!$C$45</x:f>
        <x:v>0.5</x:v>
      </x:c>
      <x:c r="AN721" s="83" t="n">
        <x:f>'Inputs'!$D$45</x:f>
        <x:v>0.5</x:v>
      </x:c>
      <x:c r="AO721" s="81" t="n">
        <x:f>'Inputs'!$E$45</x:f>
        <x:v>-0.05</x:v>
      </x:c>
    </x:row>
    <x:row r="722">
      <x:c r="A722" s="59" t="str">
        <x:v>Weak demand</x:v>
      </x:c>
      <x:c r="B722" s="59" t="n">
        <x:v>354</x:v>
      </x:c>
      <x:c r="C722" s="78" t="n">
        <x:f>(('Inputs'!$B$29*(3*354*'Inputs'!$B$12-354^2)/(2*'Inputs'!$B$12^2))-('Inputs'!$B$29*(3*353*'Inputs'!$B$12-353^2)/(2*'Inputs'!$B$12^2)))*'Inputs'!$B$45</x:f>
        <x:v>447795.49399513006</x:v>
      </x:c>
      <x:c r="D722" s="78" t="n">
        <x:f>IF('Inputs'!$C$45&gt;0,('Inputs'!$B$30*(3*354*'Inputs'!$B$12-354^2)/(2*'Inputs'!$B$12^2))-('Inputs'!$B$30*(3*353*'Inputs'!$B$12-353^2)/(2*'Inputs'!$B$12^2)),0)</x:f>
        <x:v>255883.13942578435</x:v>
      </x:c>
      <x:c r="E722" s="78" t="n">
        <x:f>C722+D722</x:f>
        <x:v>703678.6334209144</x:v>
      </x:c>
      <x:c r="F722" s="78" t="n">
        <x:f>'Inputs'!$B$13*E722+(1-'Inputs'!$B$13)/'Inputs'!$B$14*SUM(E667:E722)</x:f>
        <x:v>712108.2168324287</x:v>
      </x:c>
      <x:c r="G722" s="78" t="n">
        <x:f>F722*'Inputs'!$F$45</x:f>
        <x:v>498475.75178270007</x:v>
      </x:c>
      <x:c r="H722" s="78" t="n">
        <x:f>U721</x:f>
        <x:v>135548309527.06952</x:v>
      </x:c>
      <x:c r="I722" s="78" t="n">
        <x:f>V721</x:f>
        <x:v>0.1259655196921824</x:v>
      </x:c>
      <x:c r="J722" s="79" t="n">
        <x:f>IF(H722&gt;0,I722/H722,0)</x:f>
        <x:v>9.293035090712555e-13</x:v>
      </x:c>
      <x:c r="K722" s="80" t="n">
        <x:f>(H722*J722+I722)*'Inputs'!$D$45*(1+'Inputs'!$G$45)^(B722/30)</x:f>
        <x:v>0.1259655196921824</x:v>
      </x:c>
      <x:c r="L722" s="80" t="n">
        <x:f>MAX(0,K722*'Inputs'!$E$45)</x:f>
        <x:v>0</x:v>
      </x:c>
      <x:c r="M722" s="80" t="n">
        <x:f>MAX(0,-K722*'Inputs'!$E$45)</x:f>
        <x:v>0.00629827598460912</x:v>
      </x:c>
      <x:c r="N722" s="78" t="n">
        <x:f>H722*(L722*(1-'Inputs'!$B$15))/(I722+L722*(1-'Inputs'!$B$15))</x:f>
        <x:v>0</x:v>
      </x:c>
      <x:c r="O722" s="78" t="n">
        <x:f>H722-N722</x:f>
        <x:v>135548309527.06952</x:v>
      </x:c>
      <x:c r="P722" s="78" t="n">
        <x:f>I722+L722*(1-'Inputs'!$B$17)</x:f>
        <x:v>0.1259655196921824</x:v>
      </x:c>
      <x:c r="Q722" s="78" t="n">
        <x:f>IF(J722&gt;0,M722/J722,0)</x:f>
        <x:v>0</x:v>
      </x:c>
      <x:c r="R722" s="78" t="n">
        <x:f>IF(B722='Inputs'!$H$45,'Inputs'!$B$27*'Inputs'!$I$45,0)</x:f>
        <x:v>0</x:v>
      </x:c>
      <x:c r="S722" s="78" t="n">
        <x:f>Q722+G722+R722</x:f>
        <x:v>498475.75178270007</x:v>
      </x:c>
      <x:c r="T722" s="78" t="n">
        <x:f>P722*(S722*(1-'Inputs'!$B$15))/(O722+S722*(1-'Inputs'!$B$15))</x:f>
        <x:v>4.5860124303497145e-7</x:v>
      </x:c>
      <x:c r="U722" s="78" t="n">
        <x:f>O722+S722*(1-'Inputs'!$B$17)</x:f>
        <x:v>135548805996.88266</x:v>
      </x:c>
      <x:c r="V722" s="78" t="n">
        <x:f>P722-T722</x:f>
        <x:v>0.12596506109093936</x:v>
      </x:c>
      <x:c r="W722" s="79" t="n">
        <x:f>IF(U722&gt;0,V722/U722,0)</x:f>
        <x:v>9.29296722051807e-13</x:v>
      </x:c>
      <x:c r="X722" s="80" t="n">
        <x:f>W722*('Inputs'!$B$6-AC722)</x:f>
        <x:v>-0.004408105202693987</x:v>
      </x:c>
      <x:c r="Y722" s="80" t="n">
        <x:f>2*V722</x:f>
        <x:v>0.2519301221818787</x:v>
      </x:c>
      <x:c r="Z722" s="80" t="n">
        <x:f>K722*'Inputs'!$B$16+(G722+R722)*J722*'Inputs'!$B$16</x:f>
        <x:v>0.0007557958975646863</x:v>
      </x:c>
      <x:c r="AA722" s="80" t="n">
        <x:f>K722*(1+'Inputs'!$E$45)/2*'Inputs'!$B$17</x:f>
        <x:v>0.00024077916238948347</x:v>
      </x:c>
      <x:c r="AB722" s="78" t="n">
        <x:f>(IF(J722&gt;0,K722*(1-'Inputs'!$E$45)/2/J722,0)+G722+R722)*'Inputs'!$B$17</x:f>
        <x:v>2005.9386389645879</x:v>
      </x:c>
      <x:c r="AC722" s="78" t="n">
        <x:f>AC721+AB722</x:f>
        <x:v>5743485151.826718</x:v>
      </x:c>
      <x:c r="AD722" s="80" t="n">
        <x:f>Z722/(1+'Inputs'!$C$45)</x:f>
        <x:v>0.0005038639317097908</x:v>
      </x:c>
      <x:c r="AE722" s="80" t="n">
        <x:f>Z722-AD722</x:f>
        <x:v>0.00025193196585489546</x:v>
      </x:c>
      <x:c r="AF722" s="80" t="n">
        <x:f>D722*W722</x:f>
        <x:v>2.377913626967069e-7</x:v>
      </x:c>
      <x:c r="AG722" s="80" t="n">
        <x:f>C722*W722</x:f>
        <x:v>4.16134884719244e-7</x:v>
      </x:c>
      <x:c r="AH722" s="80" t="n">
        <x:f>2*'Inputs'!$B$8*'Inputs'!$C$45</x:f>
        <x:v>2500</x:v>
      </x:c>
      <x:c r="AI722" s="81" t="n">
        <x:f>IF(AH722&gt;0,(AE722+AF722)/AH722*365,0)</x:f>
        <x:v>0.000036816784553768456</x:v>
      </x:c>
      <x:c r="AJ722" s="81" t="n">
        <x:f>IF('Inputs'!$B$45&gt;0,AG722/('Inputs'!$B$19*'Inputs'!$B$45)*365,0)</x:f>
        <x:v>2.025189772300321e-8</x:v>
      </x:c>
      <x:c r="AK722" s="81" t="n">
        <x:f>W722/MAX($W$369:W722)-1</x:f>
        <x:v>-0.9999999987639581</x:v>
      </x:c>
      <x:c r="AL722" s="83" t="n">
        <x:f>'Inputs'!$B$45</x:f>
        <x:v>0.75</x:v>
      </x:c>
      <x:c r="AM722" s="83" t="n">
        <x:f>'Inputs'!$C$45</x:f>
        <x:v>0.5</x:v>
      </x:c>
      <x:c r="AN722" s="83" t="n">
        <x:f>'Inputs'!$D$45</x:f>
        <x:v>0.5</x:v>
      </x:c>
      <x:c r="AO722" s="81" t="n">
        <x:f>'Inputs'!$E$45</x:f>
        <x:v>-0.05</x:v>
      </x:c>
    </x:row>
    <x:row r="723">
      <x:c r="A723" s="59" t="str">
        <x:v>Weak demand</x:v>
      </x:c>
      <x:c r="B723" s="59" t="n">
        <x:v>355</x:v>
      </x:c>
      <x:c r="C723" s="78" t="n">
        <x:f>(('Inputs'!$B$29*(3*355*'Inputs'!$B$12-355^2)/(2*'Inputs'!$B$12^2))-('Inputs'!$B$29*(3*354*'Inputs'!$B$12-354^2)/(2*'Inputs'!$B$12^2)))*'Inputs'!$B$45</x:f>
        <x:v>447551.66306997836</x:v>
      </x:c>
      <x:c r="D723" s="78" t="n">
        <x:f>IF('Inputs'!$C$45&gt;0,('Inputs'!$B$30*(3*355*'Inputs'!$B$12-355^2)/(2*'Inputs'!$B$12^2))-('Inputs'!$B$30*(3*354*'Inputs'!$B$12-354^2)/(2*'Inputs'!$B$12^2)),0)</x:f>
        <x:v>255743.80746856332</x:v>
      </x:c>
      <x:c r="E723" s="78" t="n">
        <x:f>C723+D723</x:f>
        <x:v>703295.4705385417</x:v>
      </x:c>
      <x:c r="F723" s="78" t="n">
        <x:f>'Inputs'!$B$13*E723+(1-'Inputs'!$B$13)/'Inputs'!$B$14*SUM(E668:E723)</x:f>
        <x:v>711725.0539500802</x:v>
      </x:c>
      <x:c r="G723" s="78" t="n">
        <x:f>F723*'Inputs'!$F$45</x:f>
        <x:v>498207.53776505607</x:v>
      </x:c>
      <x:c r="H723" s="78" t="n">
        <x:f>U722</x:f>
        <x:v>135548805996.88266</x:v>
      </x:c>
      <x:c r="I723" s="78" t="n">
        <x:f>V722</x:f>
        <x:v>0.12596506109093936</x:v>
      </x:c>
      <x:c r="J723" s="79" t="n">
        <x:f>IF(H723&gt;0,I723/H723,0)</x:f>
        <x:v>9.29296722051807e-13</x:v>
      </x:c>
      <x:c r="K723" s="80" t="n">
        <x:f>(H723*J723+I723)*'Inputs'!$D$45*(1+'Inputs'!$G$45)^(B723/30)</x:f>
        <x:v>0.12596506109093936</x:v>
      </x:c>
      <x:c r="L723" s="80" t="n">
        <x:f>MAX(0,K723*'Inputs'!$E$45)</x:f>
        <x:v>0</x:v>
      </x:c>
      <x:c r="M723" s="80" t="n">
        <x:f>MAX(0,-K723*'Inputs'!$E$45)</x:f>
        <x:v>0.006298253054546968</x:v>
      </x:c>
      <x:c r="N723" s="78" t="n">
        <x:f>H723*(L723*(1-'Inputs'!$B$15))/(I723+L723*(1-'Inputs'!$B$15))</x:f>
        <x:v>0</x:v>
      </x:c>
      <x:c r="O723" s="78" t="n">
        <x:f>H723-N723</x:f>
        <x:v>135548805996.88266</x:v>
      </x:c>
      <x:c r="P723" s="78" t="n">
        <x:f>I723+L723*(1-'Inputs'!$B$17)</x:f>
        <x:v>0.12596506109093936</x:v>
      </x:c>
      <x:c r="Q723" s="78" t="n">
        <x:f>IF(J723&gt;0,M723/J723,0)</x:f>
        <x:v>0</x:v>
      </x:c>
      <x:c r="R723" s="78" t="n">
        <x:f>IF(B723='Inputs'!$H$45,'Inputs'!$B$27*'Inputs'!$I$45,0)</x:f>
        <x:v>0</x:v>
      </x:c>
      <x:c r="S723" s="78" t="n">
        <x:f>Q723+G723+R723</x:f>
        <x:v>498207.53776505607</x:v>
      </x:c>
      <x:c r="T723" s="78" t="n">
        <x:f>P723*(S723*(1-'Inputs'!$B$15))/(O723+S723*(1-'Inputs'!$B$15))</x:f>
        <x:v>4.583511376132181e-7</x:v>
      </x:c>
      <x:c r="U723" s="78" t="n">
        <x:f>O723+S723*(1-'Inputs'!$B$17)</x:f>
        <x:v>135549302199.56111</x:v>
      </x:c>
      <x:c r="V723" s="78" t="n">
        <x:f>P723-T723</x:f>
        <x:v>0.12596460273980176</x:v>
      </x:c>
      <x:c r="W723" s="79" t="n">
        <x:f>IF(U723&gt;0,V723/U723,0)</x:f>
        <x:v>9.292899387586047e-13</x:v>
      </x:c>
      <x:c r="X723" s="80" t="n">
        <x:f>W723*('Inputs'!$B$6-AC723)</x:f>
        <x:v>-0.004408074889338985</x:v>
      </x:c>
      <x:c r="Y723" s="80" t="n">
        <x:f>2*V723</x:f>
        <x:v>0.2519292054796035</x:v>
      </x:c>
      <x:c r="Z723" s="80" t="n">
        <x:f>K723*'Inputs'!$B$16+(G723+R723)*J723*'Inputs'!$B$16</x:f>
        <x:v>0.0007557931444414266</x:v>
      </x:c>
      <x:c r="AA723" s="80" t="n">
        <x:f>K723*(1+'Inputs'!$E$45)/2*'Inputs'!$B$17</x:f>
        <x:v>0.00024077828578750985</x:v>
      </x:c>
      <x:c r="AB723" s="78" t="n">
        <x:f>(IF(J723&gt;0,K723*(1-'Inputs'!$E$45)/2/J723,0)+G723+R723)*'Inputs'!$B$17</x:f>
        <x:v>2004.8593069016342</x:v>
      </x:c>
      <x:c r="AC723" s="78" t="n">
        <x:f>AC722+AB723</x:f>
        <x:v>5743487156.686026</x:v>
      </x:c>
      <x:c r="AD723" s="80" t="n">
        <x:f>Z723/(1+'Inputs'!$C$45)</x:f>
        <x:v>0.0005038620962942844</x:v>
      </x:c>
      <x:c r="AE723" s="80" t="n">
        <x:f>Z723-AD723</x:f>
        <x:v>0.00025193104814714225</x:v>
      </x:c>
      <x:c r="AF723" s="80" t="n">
        <x:f>D723*W723</x:f>
        <x:v>2.376601471803536e-7</x:v>
      </x:c>
      <x:c r="AG723" s="80" t="n">
        <x:f>C723*W723</x:f>
        <x:v>4.159052575656119e-7</x:v>
      </x:c>
      <x:c r="AH723" s="80" t="n">
        <x:f>2*'Inputs'!$B$8*'Inputs'!$C$45</x:f>
        <x:v>2500</x:v>
      </x:c>
      <x:c r="AI723" s="81" t="n">
        <x:f>IF(AH723&gt;0,(AE723+AF723)/AH723*365,0)</x:f>
        <x:v>0.000036816631410971096</x:v>
      </x:c>
      <x:c r="AJ723" s="81" t="n">
        <x:f>IF('Inputs'!$B$45&gt;0,AG723/('Inputs'!$B$19*'Inputs'!$B$45)*365,0)</x:f>
        <x:v>2.0240722534859778e-8</x:v>
      </x:c>
      <x:c r="AK723" s="81" t="n">
        <x:f>W723/MAX($W$369:W723)-1</x:f>
        <x:v>-0.9999999987639671</x:v>
      </x:c>
      <x:c r="AL723" s="83" t="n">
        <x:f>'Inputs'!$B$45</x:f>
        <x:v>0.75</x:v>
      </x:c>
      <x:c r="AM723" s="83" t="n">
        <x:f>'Inputs'!$C$45</x:f>
        <x:v>0.5</x:v>
      </x:c>
      <x:c r="AN723" s="83" t="n">
        <x:f>'Inputs'!$D$45</x:f>
        <x:v>0.5</x:v>
      </x:c>
      <x:c r="AO723" s="81" t="n">
        <x:f>'Inputs'!$E$45</x:f>
        <x:v>-0.05</x:v>
      </x:c>
    </x:row>
    <x:row r="724">
      <x:c r="A724" s="59" t="str">
        <x:v>Weak demand</x:v>
      </x:c>
      <x:c r="B724" s="59" t="n">
        <x:v>356</x:v>
      </x:c>
      <x:c r="C724" s="78" t="n">
        <x:f>(('Inputs'!$B$29*(3*356*'Inputs'!$B$12-356^2)/(2*'Inputs'!$B$12^2))-('Inputs'!$B$29*(3*355*'Inputs'!$B$12-355^2)/(2*'Inputs'!$B$12^2)))*'Inputs'!$B$45</x:f>
        <x:v>447307.83214487135</x:v>
      </x:c>
      <x:c r="D724" s="78" t="n">
        <x:f>IF('Inputs'!$C$45&gt;0,('Inputs'!$B$30*(3*356*'Inputs'!$B$12-356^2)/(2*'Inputs'!$B$12^2))-('Inputs'!$B$30*(3*355*'Inputs'!$B$12-355^2)/(2*'Inputs'!$B$12^2)),0)</x:f>
        <x:v>255604.4755113572</x:v>
      </x:c>
      <x:c r="E724" s="78" t="n">
        <x:f>C724+D724</x:f>
        <x:v>702912.3076562285</x:v>
      </x:c>
      <x:c r="F724" s="78" t="n">
        <x:f>'Inputs'!$B$13*E724+(1-'Inputs'!$B$13)/'Inputs'!$B$14*SUM(E669:E724)</x:f>
        <x:v>711341.8910677442</x:v>
      </x:c>
      <x:c r="G724" s="78" t="n">
        <x:f>F724*'Inputs'!$F$45</x:f>
        <x:v>497939.3237474209</x:v>
      </x:c>
      <x:c r="H724" s="78" t="n">
        <x:f>U723</x:f>
        <x:v>135549302199.56111</x:v>
      </x:c>
      <x:c r="I724" s="78" t="n">
        <x:f>V723</x:f>
        <x:v>0.12596460273980176</x:v>
      </x:c>
      <x:c r="J724" s="79" t="n">
        <x:f>IF(H724&gt;0,I724/H724,0)</x:f>
        <x:v>9.292899387586047e-13</x:v>
      </x:c>
      <x:c r="K724" s="80" t="n">
        <x:f>(H724*J724+I724)*'Inputs'!$D$45*(1+'Inputs'!$G$45)^(B724/30)</x:f>
        <x:v>0.12596460273980176</x:v>
      </x:c>
      <x:c r="L724" s="80" t="n">
        <x:f>MAX(0,K724*'Inputs'!$E$45)</x:f>
        <x:v>0</x:v>
      </x:c>
      <x:c r="M724" s="80" t="n">
        <x:f>MAX(0,-K724*'Inputs'!$E$45)</x:f>
        <x:v>0.006298230136990088</x:v>
      </x:c>
      <x:c r="N724" s="78" t="n">
        <x:f>H724*(L724*(1-'Inputs'!$B$15))/(I724+L724*(1-'Inputs'!$B$15))</x:f>
        <x:v>0</x:v>
      </x:c>
      <x:c r="O724" s="78" t="n">
        <x:f>H724-N724</x:f>
        <x:v>135549302199.56111</x:v>
      </x:c>
      <x:c r="P724" s="78" t="n">
        <x:f>I724+L724*(1-'Inputs'!$B$17)</x:f>
        <x:v>0.12596460273980176</x:v>
      </x:c>
      <x:c r="Q724" s="78" t="n">
        <x:f>IF(J724&gt;0,M724/J724,0)</x:f>
        <x:v>0</x:v>
      </x:c>
      <x:c r="R724" s="78" t="n">
        <x:f>IF(B724='Inputs'!$H$45,'Inputs'!$B$27*'Inputs'!$I$45,0)</x:f>
        <x:v>0</x:v>
      </x:c>
      <x:c r="S724" s="78" t="n">
        <x:f>Q724+G724+R724</x:f>
        <x:v>497939.3237474209</x:v>
      </x:c>
      <x:c r="T724" s="78" t="n">
        <x:f>P724*(S724*(1-'Inputs'!$B$15))/(O724+S724*(1-'Inputs'!$B$15))</x:f>
        <x:v>4.5810103763168685e-7</x:v>
      </x:c>
      <x:c r="U724" s="78" t="n">
        <x:f>O724+S724*(1-'Inputs'!$B$17)</x:f>
        <x:v>135549798135.10489</x:v>
      </x:c>
      <x:c r="V724" s="78" t="n">
        <x:f>P724-T724</x:f>
        <x:v>0.12596414463876413</x:v>
      </x:c>
      <x:c r="W724" s="79" t="n">
        <x:f>IF(U724&gt;0,V724/U724,0)</x:f>
        <x:v>9.292831591915278e-13</x:v>
      </x:c>
      <x:c r="X724" s="80" t="n">
        <x:f>W724*('Inputs'!$B$6-AC724)</x:f>
        <x:v>-0.004408044592628613</x:v>
      </x:c>
      <x:c r="Y724" s="80" t="n">
        <x:f>2*V724</x:f>
        <x:v>0.25192828927752825</x:v>
      </x:c>
      <x:c r="Z724" s="80" t="n">
        <x:f>K724*'Inputs'!$B$16+(G724+R724)*J724*'Inputs'!$B$16</x:f>
        <x:v>0.0007557903928188326</x:v>
      </x:c>
      <x:c r="AA724" s="80" t="n">
        <x:f>K724*(1+'Inputs'!$E$45)/2*'Inputs'!$B$17</x:f>
        <x:v>0.00024077740966360498</x:v>
      </x:c>
      <x:c r="AB724" s="78" t="n">
        <x:f>(IF(J724&gt;0,K724*(1-'Inputs'!$E$45)/2/J724,0)+G724+R724)*'Inputs'!$B$17</x:f>
        <x:v>2003.779974838716</x:v>
      </x:c>
      <x:c r="AC724" s="78" t="n">
        <x:f>AC723+AB724</x:f>
        <x:v>5743489160.466001</x:v>
      </x:c>
      <x:c r="AD724" s="80" t="n">
        <x:f>Z724/(1+'Inputs'!$C$45)</x:f>
        <x:v>0.0005038602618792217</x:v>
      </x:c>
      <x:c r="AE724" s="80" t="n">
        <x:f>Z724-AD724</x:f>
        <x:v>0.00025193013093961086</x:v>
      </x:c>
      <x:c r="AF724" s="80" t="n">
        <x:f>D724*W724</x:f>
        <x:v>2.3752893450668752e-7</x:v>
      </x:c>
      <x:c r="AG724" s="80" t="n">
        <x:f>C724*W724</x:f>
        <x:v>4.156756353866997e-7</x:v>
      </x:c>
      <x:c r="AH724" s="80" t="n">
        <x:f>2*'Inputs'!$B$8*'Inputs'!$C$45</x:f>
        <x:v>2500</x:v>
      </x:c>
      <x:c r="AI724" s="81" t="n">
        <x:f>IF(AH724&gt;0,(AE724+AF724)/AH724*365,0)</x:f>
        <x:v>0.00003681647834162116</x:v>
      </x:c>
      <x:c r="AJ724" s="81" t="n">
        <x:f>IF('Inputs'!$B$45&gt;0,AG724/('Inputs'!$B$19*'Inputs'!$B$45)*365,0)</x:f>
        <x:v>2.0229547588819385e-8</x:v>
      </x:c>
      <x:c r="AK724" s="81" t="n">
        <x:f>W724/MAX($W$369:W724)-1</x:f>
        <x:v>-0.999999998763976</x:v>
      </x:c>
      <x:c r="AL724" s="83" t="n">
        <x:f>'Inputs'!$B$45</x:f>
        <x:v>0.75</x:v>
      </x:c>
      <x:c r="AM724" s="83" t="n">
        <x:f>'Inputs'!$C$45</x:f>
        <x:v>0.5</x:v>
      </x:c>
      <x:c r="AN724" s="83" t="n">
        <x:f>'Inputs'!$D$45</x:f>
        <x:v>0.5</x:v>
      </x:c>
      <x:c r="AO724" s="81" t="n">
        <x:f>'Inputs'!$E$45</x:f>
        <x:v>-0.05</x:v>
      </x:c>
    </x:row>
    <x:row r="725">
      <x:c r="A725" s="59" t="str">
        <x:v>Weak demand</x:v>
      </x:c>
      <x:c r="B725" s="59" t="n">
        <x:v>357</x:v>
      </x:c>
      <x:c r="C725" s="78" t="n">
        <x:f>(('Inputs'!$B$29*(3*357*'Inputs'!$B$12-357^2)/(2*'Inputs'!$B$12^2))-('Inputs'!$B$29*(3*356*'Inputs'!$B$12-356^2)/(2*'Inputs'!$B$12^2)))*'Inputs'!$B$45</x:f>
        <x:v>447064.001219742</x:v>
      </x:c>
      <x:c r="D725" s="78" t="n">
        <x:f>IF('Inputs'!$C$45&gt;0,('Inputs'!$B$30*(3*357*'Inputs'!$B$12-357^2)/(2*'Inputs'!$B$12^2))-('Inputs'!$B$30*(3*356*'Inputs'!$B$12-356^2)/(2*'Inputs'!$B$12^2)),0)</x:f>
        <x:v>255465.14355413616</x:v>
      </x:c>
      <x:c r="E725" s="78" t="n">
        <x:f>C725+D725</x:f>
        <x:v>702529.1447738782</x:v>
      </x:c>
      <x:c r="F725" s="78" t="n">
        <x:f>'Inputs'!$B$13*E725+(1-'Inputs'!$B$13)/'Inputs'!$B$14*SUM(E670:E725)</x:f>
        <x:v>710958.7281854004</x:v>
      </x:c>
      <x:c r="G725" s="78" t="n">
        <x:f>F725*'Inputs'!$F$45</x:f>
        <x:v>497671.10972978023</x:v>
      </x:c>
      <x:c r="H725" s="78" t="n">
        <x:f>U724</x:f>
        <x:v>135549798135.10489</x:v>
      </x:c>
      <x:c r="I725" s="78" t="n">
        <x:f>V724</x:f>
        <x:v>0.12596414463876413</x:v>
      </x:c>
      <x:c r="J725" s="79" t="n">
        <x:f>IF(H725&gt;0,I725/H725,0)</x:f>
        <x:v>9.292831591915278e-13</x:v>
      </x:c>
      <x:c r="K725" s="80" t="n">
        <x:f>(H725*J725+I725)*'Inputs'!$D$45*(1+'Inputs'!$G$45)^(B725/30)</x:f>
        <x:v>0.12596414463876413</x:v>
      </x:c>
      <x:c r="L725" s="80" t="n">
        <x:f>MAX(0,K725*'Inputs'!$E$45)</x:f>
        <x:v>0</x:v>
      </x:c>
      <x:c r="M725" s="80" t="n">
        <x:f>MAX(0,-K725*'Inputs'!$E$45)</x:f>
        <x:v>0.006298207231938207</x:v>
      </x:c>
      <x:c r="N725" s="78" t="n">
        <x:f>H725*(L725*(1-'Inputs'!$B$15))/(I725+L725*(1-'Inputs'!$B$15))</x:f>
        <x:v>0</x:v>
      </x:c>
      <x:c r="O725" s="78" t="n">
        <x:f>H725-N725</x:f>
        <x:v>135549798135.10489</x:v>
      </x:c>
      <x:c r="P725" s="78" t="n">
        <x:f>I725+L725*(1-'Inputs'!$B$17)</x:f>
        <x:v>0.12596414463876413</x:v>
      </x:c>
      <x:c r="Q725" s="78" t="n">
        <x:f>IF(J725&gt;0,M725/J725,0)</x:f>
        <x:v>0</x:v>
      </x:c>
      <x:c r="R725" s="78" t="n">
        <x:f>IF(B725='Inputs'!$H$45,'Inputs'!$B$27*'Inputs'!$I$45,0)</x:f>
        <x:v>0</x:v>
      </x:c>
      <x:c r="S725" s="78" t="n">
        <x:f>Q725+G725+R725</x:f>
        <x:v>497671.10972978023</x:v>
      </x:c>
      <x:c r="T725" s="78" t="n">
        <x:f>P725*(S725*(1-'Inputs'!$B$15))/(O725+S725*(1-'Inputs'!$B$15))</x:f>
        <x:v>4.5785094308733653e-7</x:v>
      </x:c>
      <x:c r="U725" s="78" t="n">
        <x:f>O725+S725*(1-'Inputs'!$B$17)</x:f>
        <x:v>135550293803.51398</x:v>
      </x:c>
      <x:c r="V725" s="78" t="n">
        <x:f>P725-T725</x:f>
        <x:v>0.12596368678782105</x:v>
      </x:c>
      <x:c r="W725" s="79" t="n">
        <x:f>IF(U725&gt;0,V725/U725,0)</x:f>
        <x:v>9.29276383350455e-13</x:v>
      </x:c>
      <x:c r="X725" s="80" t="n">
        <x:f>W725*('Inputs'!$B$6-AC725)</x:f>
        <x:v>-0.004408014312562341</x:v>
      </x:c>
      <x:c r="Y725" s="80" t="n">
        <x:f>2*V725</x:f>
        <x:v>0.2519273735756421</x:v>
      </x:c>
      <x:c r="Z725" s="80" t="n">
        <x:f>K725*'Inputs'!$B$16+(G725+R725)*J725*'Inputs'!$B$16</x:f>
        <x:v>0.0007557876426968713</x:v>
      </x:c>
      <x:c r="AA725" s="80" t="n">
        <x:f>K725*(1+'Inputs'!$E$45)/2*'Inputs'!$B$17</x:f>
        <x:v>0.00024077653401775837</x:v>
      </x:c>
      <x:c r="AB725" s="78" t="n">
        <x:f>(IF(J725&gt;0,K725*(1-'Inputs'!$E$45)/2/J725,0)+G725+R725)*'Inputs'!$B$17</x:f>
        <x:v>2002.7006427757758</x:v>
      </x:c>
      <x:c r="AC725" s="78" t="n">
        <x:f>AC724+AB725</x:f>
        <x:v>5743491163.166643</x:v>
      </x:c>
      <x:c r="AD725" s="80" t="n">
        <x:f>Z725/(1+'Inputs'!$C$45)</x:f>
        <x:v>0.0005038584284645808</x:v>
      </x:c>
      <x:c r="AE725" s="80" t="n">
        <x:f>Z725-AD725</x:f>
        <x:v>0.00025192921423229046</x:v>
      </x:c>
      <x:c r="AF725" s="80" t="n">
        <x:f>D725*W725</x:f>
        <x:v>2.3739772467409243e-7</x:v>
      </x:c>
      <x:c r="AG725" s="80" t="n">
        <x:f>C725*W725</x:f>
        <x:v>4.154460181796652e-7</x:v>
      </x:c>
      <x:c r="AH725" s="80" t="n">
        <x:f>2*'Inputs'!$B$8*'Inputs'!$C$45</x:f>
        <x:v>2500</x:v>
      </x:c>
      <x:c r="AI725" s="81" t="n">
        <x:f>IF(AH725&gt;0,(AE725+AF725)/AH725*365,0)</x:f>
        <x:v>0.000036816325345716826</x:v>
      </x:c>
      <x:c r="AJ725" s="81" t="n">
        <x:f>IF('Inputs'!$B$45&gt;0,AG725/('Inputs'!$B$19*'Inputs'!$B$45)*365,0)</x:f>
        <x:v>2.0218372884743707e-8</x:v>
      </x:c>
      <x:c r="AK725" s="81" t="n">
        <x:f>W725/MAX($W$369:W725)-1</x:f>
        <x:v>-0.999999998763985</x:v>
      </x:c>
      <x:c r="AL725" s="83" t="n">
        <x:f>'Inputs'!$B$45</x:f>
        <x:v>0.75</x:v>
      </x:c>
      <x:c r="AM725" s="83" t="n">
        <x:f>'Inputs'!$C$45</x:f>
        <x:v>0.5</x:v>
      </x:c>
      <x:c r="AN725" s="83" t="n">
        <x:f>'Inputs'!$D$45</x:f>
        <x:v>0.5</x:v>
      </x:c>
      <x:c r="AO725" s="81" t="n">
        <x:f>'Inputs'!$E$45</x:f>
        <x:v>-0.05</x:v>
      </x:c>
    </x:row>
    <x:row r="726">
      <x:c r="A726" s="59" t="str">
        <x:v>Weak demand</x:v>
      </x:c>
      <x:c r="B726" s="59" t="n">
        <x:v>358</x:v>
      </x:c>
      <x:c r="C726" s="78" t="n">
        <x:f>(('Inputs'!$B$29*(3*358*'Inputs'!$B$12-358^2)/(2*'Inputs'!$B$12^2))-('Inputs'!$B$29*(3*357*'Inputs'!$B$12-357^2)/(2*'Inputs'!$B$12^2)))*'Inputs'!$B$45</x:f>
        <x:v>446820.17029461265</x:v>
      </x:c>
      <x:c r="D726" s="78" t="n">
        <x:f>IF('Inputs'!$C$45&gt;0,('Inputs'!$B$30*(3*358*'Inputs'!$B$12-358^2)/(2*'Inputs'!$B$12^2))-('Inputs'!$B$30*(3*357*'Inputs'!$B$12-357^2)/(2*'Inputs'!$B$12^2)),0)</x:f>
        <x:v>255325.81159693003</x:v>
      </x:c>
      <x:c r="E726" s="78" t="n">
        <x:f>C726+D726</x:f>
        <x:v>702145.9818915427</x:v>
      </x:c>
      <x:c r="F726" s="78" t="n">
        <x:f>'Inputs'!$B$13*E726+(1-'Inputs'!$B$13)/'Inputs'!$B$14*SUM(E671:E726)</x:f>
        <x:v>710575.56530306</x:v>
      </x:c>
      <x:c r="G726" s="78" t="n">
        <x:f>F726*'Inputs'!$F$45</x:f>
        <x:v>497402.89571214194</x:v>
      </x:c>
      <x:c r="H726" s="78" t="n">
        <x:f>U725</x:f>
        <x:v>135550293803.51398</x:v>
      </x:c>
      <x:c r="I726" s="78" t="n">
        <x:f>V725</x:f>
        <x:v>0.12596368678782105</x:v>
      </x:c>
      <x:c r="J726" s="79" t="n">
        <x:f>IF(H726&gt;0,I726/H726,0)</x:f>
        <x:v>9.29276383350455e-13</x:v>
      </x:c>
      <x:c r="K726" s="80" t="n">
        <x:f>(H726*J726+I726)*'Inputs'!$D$45*(1+'Inputs'!$G$45)^(B726/30)</x:f>
        <x:v>0.12596368678782105</x:v>
      </x:c>
      <x:c r="L726" s="80" t="n">
        <x:f>MAX(0,K726*'Inputs'!$E$45)</x:f>
        <x:v>0</x:v>
      </x:c>
      <x:c r="M726" s="80" t="n">
        <x:f>MAX(0,-K726*'Inputs'!$E$45)</x:f>
        <x:v>0.006298184339391053</x:v>
      </x:c>
      <x:c r="N726" s="78" t="n">
        <x:f>H726*(L726*(1-'Inputs'!$B$15))/(I726+L726*(1-'Inputs'!$B$15))</x:f>
        <x:v>0</x:v>
      </x:c>
      <x:c r="O726" s="78" t="n">
        <x:f>H726-N726</x:f>
        <x:v>135550293803.51398</x:v>
      </x:c>
      <x:c r="P726" s="78" t="n">
        <x:f>I726+L726*(1-'Inputs'!$B$17)</x:f>
        <x:v>0.12596368678782105</x:v>
      </x:c>
      <x:c r="Q726" s="78" t="n">
        <x:f>IF(J726&gt;0,M726/J726,0)</x:f>
        <x:v>0</x:v>
      </x:c>
      <x:c r="R726" s="78" t="n">
        <x:f>IF(B726='Inputs'!$H$45,'Inputs'!$B$27*'Inputs'!$I$45,0)</x:f>
        <x:v>0</x:v>
      </x:c>
      <x:c r="S726" s="78" t="n">
        <x:f>Q726+G726+R726</x:f>
        <x:v>497402.89571214194</x:v>
      </x:c>
      <x:c r="T726" s="78" t="n">
        <x:f>P726*(S726*(1-'Inputs'!$B$15))/(O726+S726*(1-'Inputs'!$B$15))</x:f>
        <x:v>4.5760085397714657e-7</x:v>
      </x:c>
      <x:c r="U726" s="78" t="n">
        <x:f>O726+S726*(1-'Inputs'!$B$17)</x:f>
        <x:v>135550789204.78838</x:v>
      </x:c>
      <x:c r="V726" s="78" t="n">
        <x:f>P726-T726</x:f>
        <x:v>0.12596322918696706</x:v>
      </x:c>
      <x:c r="W726" s="79" t="n">
        <x:f>IF(U726&gt;0,V726/U726,0)</x:f>
        <x:v>9.292696112352652e-13</x:v>
      </x:c>
      <x:c r="X726" s="80" t="n">
        <x:f>W726*('Inputs'!$B$6-AC726)</x:f>
        <x:v>-0.0044079840491396405</x:v>
      </x:c>
      <x:c r="Y726" s="80" t="n">
        <x:f>2*V726</x:f>
        <x:v>0.2519264583739341</x:v>
      </x:c>
      <x:c r="Z726" s="80" t="n">
        <x:f>K726*'Inputs'!$B$16+(G726+R726)*J726*'Inputs'!$B$16</x:f>
        <x:v>0.0007557848940755103</x:v>
      </x:c>
      <x:c r="AA726" s="80" t="n">
        <x:f>K726*(1+'Inputs'!$E$45)/2*'Inputs'!$B$17</x:f>
        <x:v>0.00024077565884995976</x:v>
      </x:c>
      <x:c r="AB726" s="78" t="n">
        <x:f>(IF(J726&gt;0,K726*(1-'Inputs'!$E$45)/2/J726,0)+G726+R726)*'Inputs'!$B$17</x:f>
        <x:v>2001.621310712845</x:v>
      </x:c>
      <x:c r="AC726" s="78" t="n">
        <x:f>AC725+AB726</x:f>
        <x:v>5743493164.787954</x:v>
      </x:c>
      <x:c r="AD726" s="80" t="n">
        <x:f>Z726/(1+'Inputs'!$C$45)</x:f>
        <x:v>0.0005038565960503402</x:v>
      </x:c>
      <x:c r="AE726" s="80" t="n">
        <x:f>Z726-AD726</x:f>
        <x:v>0.0002519282980251701</x:v>
      </x:c>
      <x:c r="AF726" s="80" t="n">
        <x:f>D726*W726</x:f>
        <x:v>2.3726651768100774e-7</x:v>
      </x:c>
      <x:c r="AG726" s="80" t="n">
        <x:f>C726*W726</x:f>
        <x:v>4.1521640594174967e-7</x:v>
      </x:c>
      <x:c r="AH726" s="80" t="n">
        <x:f>2*'Inputs'!$B$8*'Inputs'!$C$45</x:f>
        <x:v>2500</x:v>
      </x:c>
      <x:c r="AI726" s="81" t="n">
        <x:f>IF(AH726&gt;0,(AE726+AF726)/AH726*365,0)</x:f>
        <x:v>0.000036816172423256263</x:v>
      </x:c>
      <x:c r="AJ726" s="81" t="n">
        <x:f>IF('Inputs'!$B$45&gt;0,AG726/('Inputs'!$B$19*'Inputs'!$B$45)*365,0)</x:f>
        <x:v>2.0207198422498483e-8</x:v>
      </x:c>
      <x:c r="AK726" s="81" t="n">
        <x:f>W726/MAX($W$369:W726)-1</x:f>
        <x:v>-0.999999998763994</x:v>
      </x:c>
      <x:c r="AL726" s="83" t="n">
        <x:f>'Inputs'!$B$45</x:f>
        <x:v>0.75</x:v>
      </x:c>
      <x:c r="AM726" s="83" t="n">
        <x:f>'Inputs'!$C$45</x:f>
        <x:v>0.5</x:v>
      </x:c>
      <x:c r="AN726" s="83" t="n">
        <x:f>'Inputs'!$D$45</x:f>
        <x:v>0.5</x:v>
      </x:c>
      <x:c r="AO726" s="81" t="n">
        <x:f>'Inputs'!$E$45</x:f>
        <x:v>-0.05</x:v>
      </x:c>
    </x:row>
    <x:row r="727">
      <x:c r="A727" s="59" t="str">
        <x:v>Weak demand</x:v>
      </x:c>
      <x:c r="B727" s="59" t="n">
        <x:v>359</x:v>
      </x:c>
      <x:c r="C727" s="78" t="n">
        <x:f>(('Inputs'!$B$29*(3*359*'Inputs'!$B$12-359^2)/(2*'Inputs'!$B$12^2))-('Inputs'!$B$29*(3*358*'Inputs'!$B$12-358^2)/(2*'Inputs'!$B$12^2)))*'Inputs'!$B$45</x:f>
        <x:v>446576.3393694833</x:v>
      </x:c>
      <x:c r="D727" s="78" t="n">
        <x:f>IF('Inputs'!$C$45&gt;0,('Inputs'!$B$30*(3*359*'Inputs'!$B$12-359^2)/(2*'Inputs'!$B$12^2))-('Inputs'!$B$30*(3*358*'Inputs'!$B$12-358^2)/(2*'Inputs'!$B$12^2)),0)</x:f>
        <x:v>255186.479639709</x:v>
      </x:c>
      <x:c r="E727" s="78" t="n">
        <x:f>C727+D727</x:f>
        <x:v>701762.8190091923</x:v>
      </x:c>
      <x:c r="F727" s="78" t="n">
        <x:f>'Inputs'!$B$13*E727+(1-'Inputs'!$B$13)/'Inputs'!$B$14*SUM(E672:E727)</x:f>
        <x:v>710192.4024207165</x:v>
      </x:c>
      <x:c r="G727" s="78" t="n">
        <x:f>F727*'Inputs'!$F$45</x:f>
        <x:v>497134.6816945015</x:v>
      </x:c>
      <x:c r="H727" s="78" t="n">
        <x:f>U726</x:f>
        <x:v>135550789204.78838</x:v>
      </x:c>
      <x:c r="I727" s="78" t="n">
        <x:f>V726</x:f>
        <x:v>0.12596322918696706</x:v>
      </x:c>
      <x:c r="J727" s="79" t="n">
        <x:f>IF(H727&gt;0,I727/H727,0)</x:f>
        <x:v>9.292696112352652e-13</x:v>
      </x:c>
      <x:c r="K727" s="80" t="n">
        <x:f>(H727*J727+I727)*'Inputs'!$D$45*(1+'Inputs'!$G$45)^(B727/30)</x:f>
        <x:v>0.12596322918696706</x:v>
      </x:c>
      <x:c r="L727" s="80" t="n">
        <x:f>MAX(0,K727*'Inputs'!$E$45)</x:f>
        <x:v>0</x:v>
      </x:c>
      <x:c r="M727" s="80" t="n">
        <x:f>MAX(0,-K727*'Inputs'!$E$45)</x:f>
        <x:v>0.006298161459348354</x:v>
      </x:c>
      <x:c r="N727" s="78" t="n">
        <x:f>H727*(L727*(1-'Inputs'!$B$15))/(I727+L727*(1-'Inputs'!$B$15))</x:f>
        <x:v>0</x:v>
      </x:c>
      <x:c r="O727" s="78" t="n">
        <x:f>H727-N727</x:f>
        <x:v>135550789204.78838</x:v>
      </x:c>
      <x:c r="P727" s="78" t="n">
        <x:f>I727+L727*(1-'Inputs'!$B$17)</x:f>
        <x:v>0.12596322918696706</x:v>
      </x:c>
      <x:c r="Q727" s="78" t="n">
        <x:f>IF(J727&gt;0,M727/J727,0)</x:f>
        <x:v>0</x:v>
      </x:c>
      <x:c r="R727" s="78" t="n">
        <x:f>IF(B727='Inputs'!$H$45,'Inputs'!$B$27*'Inputs'!$I$45,0)</x:f>
        <x:v>0</x:v>
      </x:c>
      <x:c r="S727" s="78" t="n">
        <x:f>Q727+G727+R727</x:f>
        <x:v>497134.6816945015</x:v>
      </x:c>
      <x:c r="T727" s="78" t="n">
        <x:f>P727*(S727*(1-'Inputs'!$B$15))/(O727+S727*(1-'Inputs'!$B$15))</x:f>
        <x:v>4.573507702980853e-7</x:v>
      </x:c>
      <x:c r="U727" s="78" t="n">
        <x:f>O727+S727*(1-'Inputs'!$B$17)</x:f>
        <x:v>135551284338.92809</x:v>
      </x:c>
      <x:c r="V727" s="78" t="n">
        <x:f>P727-T727</x:f>
        <x:v>0.12596277183619675</x:v>
      </x:c>
      <x:c r="W727" s="79" t="n">
        <x:f>IF(U727&gt;0,V727/U727,0)</x:f>
        <x:v>9.292628428458375e-13</x:v>
      </x:c>
      <x:c r="X727" s="80" t="n">
        <x:f>W727*('Inputs'!$B$6-AC727)</x:f>
        <x:v>-0.00440795380235998</x:v>
      </x:c>
      <x:c r="Y727" s="80" t="n">
        <x:f>2*V727</x:f>
        <x:v>0.2519255436723935</x:v>
      </x:c>
      <x:c r="Z727" s="80" t="n">
        <x:f>K727*'Inputs'!$B$16+(G727+R727)*J727*'Inputs'!$B$16</x:f>
        <x:v>0.0007557821469547167</x:v>
      </x:c>
      <x:c r="AA727" s="80" t="n">
        <x:f>K727*(1+'Inputs'!$E$45)/2*'Inputs'!$B$17</x:f>
        <x:v>0.0002407747841601986</x:v>
      </x:c>
      <x:c r="AB727" s="78" t="n">
        <x:f>(IF(J727&gt;0,K727*(1-'Inputs'!$E$45)/2/J727,0)+G727+R727)*'Inputs'!$B$17</x:f>
        <x:v>2000.5419786499056</x:v>
      </x:c>
      <x:c r="AC727" s="78" t="n">
        <x:f>AC726+AB727</x:f>
        <x:v>5743495165.329933</x:v>
      </x:c>
      <x:c r="AD727" s="80" t="n">
        <x:f>Z727/(1+'Inputs'!$C$45)</x:f>
        <x:v>0.0005038547646364778</x:v>
      </x:c>
      <x:c r="AE727" s="80" t="n">
        <x:f>Z727-AD727</x:f>
        <x:v>0.0002519273823182389</x:v>
      </x:c>
      <x:c r="AF727" s="80" t="n">
        <x:f>D727*W727</x:f>
        <x:v>2.3713531352581742e-7</x:v>
      </x:c>
      <x:c r="AG727" s="80" t="n">
        <x:f>C727*W727</x:f>
        <x:v>4.1498679867017354e-7</x:v>
      </x:c>
      <x:c r="AH727" s="80" t="n">
        <x:f>2*'Inputs'!$B$8*'Inputs'!$C$45</x:f>
        <x:v>2500</x:v>
      </x:c>
      <x:c r="AI727" s="81" t="n">
        <x:f>IF(AH727&gt;0,(AE727+AF727)/AH727*365,0)</x:f>
        <x:v>0.00003681601957423765</x:v>
      </x:c>
      <x:c r="AJ727" s="81" t="n">
        <x:f>IF('Inputs'!$B$45&gt;0,AG727/('Inputs'!$B$19*'Inputs'!$B$45)*365,0)</x:f>
        <x:v>2.0196024201948446e-8</x:v>
      </x:c>
      <x:c r="AK727" s="81" t="n">
        <x:f>W727/MAX($W$369:W727)-1</x:f>
        <x:v>-0.999999998764003</x:v>
      </x:c>
      <x:c r="AL727" s="83" t="n">
        <x:f>'Inputs'!$B$45</x:f>
        <x:v>0.75</x:v>
      </x:c>
      <x:c r="AM727" s="83" t="n">
        <x:f>'Inputs'!$C$45</x:f>
        <x:v>0.5</x:v>
      </x:c>
      <x:c r="AN727" s="83" t="n">
        <x:f>'Inputs'!$D$45</x:f>
        <x:v>0.5</x:v>
      </x:c>
      <x:c r="AO727" s="81" t="n">
        <x:f>'Inputs'!$E$45</x:f>
        <x:v>-0.05</x:v>
      </x:c>
    </x:row>
    <x:row r="728">
      <x:c r="A728" s="59" t="str">
        <x:v>Weak demand</x:v>
      </x:c>
      <x:c r="B728" s="59" t="n">
        <x:v>360</x:v>
      </x:c>
      <x:c r="C728" s="78" t="n">
        <x:f>(('Inputs'!$B$29*(3*360*'Inputs'!$B$12-360^2)/(2*'Inputs'!$B$12^2))-('Inputs'!$B$29*(3*359*'Inputs'!$B$12-359^2)/(2*'Inputs'!$B$12^2)))*'Inputs'!$B$45</x:f>
        <x:v>446332.5084443763</x:v>
      </x:c>
      <x:c r="D728" s="78" t="n">
        <x:f>IF('Inputs'!$C$45&gt;0,('Inputs'!$B$30*(3*360*'Inputs'!$B$12-360^2)/(2*'Inputs'!$B$12^2))-('Inputs'!$B$30*(3*359*'Inputs'!$B$12-359^2)/(2*'Inputs'!$B$12^2)),0)</x:f>
        <x:v>255047.14768248796</x:v>
      </x:c>
      <x:c r="E728" s="78" t="n">
        <x:f>C728+D728</x:f>
        <x:v>701379.6561268643</x:v>
      </x:c>
      <x:c r="F728" s="78" t="n">
        <x:f>'Inputs'!$B$13*E728+(1-'Inputs'!$B$13)/'Inputs'!$B$14*SUM(E673:E728)</x:f>
        <x:v>709809.2395383775</x:v>
      </x:c>
      <x:c r="G728" s="78" t="n">
        <x:f>F728*'Inputs'!$F$45</x:f>
        <x:v>496866.46767686424</x:v>
      </x:c>
      <x:c r="H728" s="78" t="n">
        <x:f>U727</x:f>
        <x:v>135551284338.92809</x:v>
      </x:c>
      <x:c r="I728" s="78" t="n">
        <x:f>V727</x:f>
        <x:v>0.12596277183619675</x:v>
      </x:c>
      <x:c r="J728" s="79" t="n">
        <x:f>IF(H728&gt;0,I728/H728,0)</x:f>
        <x:v>9.292628428458375e-13</x:v>
      </x:c>
      <x:c r="K728" s="80" t="n">
        <x:f>(H728*J728+I728)*'Inputs'!$D$45*(1+'Inputs'!$G$45)^(B728/30)</x:f>
        <x:v>0.12596277183619675</x:v>
      </x:c>
      <x:c r="L728" s="80" t="n">
        <x:f>MAX(0,K728*'Inputs'!$E$45)</x:f>
        <x:v>0</x:v>
      </x:c>
      <x:c r="M728" s="80" t="n">
        <x:f>MAX(0,-K728*'Inputs'!$E$45)</x:f>
        <x:v>0.006298138591809838</x:v>
      </x:c>
      <x:c r="N728" s="78" t="n">
        <x:f>H728*(L728*(1-'Inputs'!$B$15))/(I728+L728*(1-'Inputs'!$B$15))</x:f>
        <x:v>0</x:v>
      </x:c>
      <x:c r="O728" s="78" t="n">
        <x:f>H728-N728</x:f>
        <x:v>135551284338.92809</x:v>
      </x:c>
      <x:c r="P728" s="78" t="n">
        <x:f>I728+L728*(1-'Inputs'!$B$17)</x:f>
        <x:v>0.12596277183619675</x:v>
      </x:c>
      <x:c r="Q728" s="78" t="n">
        <x:f>IF(J728&gt;0,M728/J728,0)</x:f>
        <x:v>0</x:v>
      </x:c>
      <x:c r="R728" s="78" t="n">
        <x:f>IF(B728='Inputs'!$H$45,'Inputs'!$B$27*'Inputs'!$I$45,0)</x:f>
        <x:v>0</x:v>
      </x:c>
      <x:c r="S728" s="78" t="n">
        <x:f>Q728+G728+R728</x:f>
        <x:v>496866.46767686424</x:v>
      </x:c>
      <x:c r="T728" s="78" t="n">
        <x:f>P728*(S728*(1-'Inputs'!$B$15))/(O728+S728*(1-'Inputs'!$B$15))</x:f>
        <x:v>4.571006920471301e-7</x:v>
      </x:c>
      <x:c r="U728" s="78" t="n">
        <x:f>O728+S728*(1-'Inputs'!$B$17)</x:f>
        <x:v>135551779205.93312</x:v>
      </x:c>
      <x:c r="V728" s="78" t="n">
        <x:f>P728-T728</x:f>
        <x:v>0.1259623147355047</x:v>
      </x:c>
      <x:c r="W728" s="79" t="n">
        <x:f>IF(U728&gt;0,V728/U728,0)</x:f>
        <x:v>9.292560781820511e-13</x:v>
      </x:c>
      <x:c r="X728" s="80" t="n">
        <x:f>W728*('Inputs'!$B$6-AC728)</x:f>
        <x:v>-0.004407923572222831</x:v>
      </x:c>
      <x:c r="Y728" s="80" t="n">
        <x:f>2*V728</x:f>
        <x:v>0.2519246294710094</x:v>
      </x:c>
      <x:c r="Z728" s="80" t="n">
        <x:f>K728*'Inputs'!$B$16+(G728+R728)*J728*'Inputs'!$B$16</x:f>
        <x:v>0.0007557794013344582</x:v>
      </x:c>
      <x:c r="AA728" s="80" t="n">
        <x:f>K728*(1+'Inputs'!$E$45)/2*'Inputs'!$B$17</x:f>
        <x:v>0.00024077390994846462</x:v>
      </x:c>
      <x:c r="AB728" s="78" t="n">
        <x:f>(IF(J728&gt;0,K728*(1-'Inputs'!$E$45)/2/J728,0)+G728+R728)*'Inputs'!$B$17</x:f>
        <x:v>1999.462646586979</x:v>
      </x:c>
      <x:c r="AC728" s="78" t="n">
        <x:f>AC727+AB728</x:f>
        <x:v>5743497164.79258</x:v>
      </x:c>
      <x:c r="AD728" s="80" t="n">
        <x:f>Z728/(1+'Inputs'!$C$45)</x:f>
        <x:v>0.0005038529342229721</x:v>
      </x:c>
      <x:c r="AE728" s="80" t="n">
        <x:f>Z728-AD728</x:f>
        <x:v>0.0002519264671114861</x:v>
      </x:c>
      <x:c r="AF728" s="80" t="n">
        <x:f>D728*W728</x:f>
        <x:v>2.3700411220694717e-7</x:v>
      </x:c>
      <x:c r="AG728" s="80" t="n">
        <x:f>C728*W728</x:f>
        <x:v>4.147571963621783e-7</x:v>
      </x:c>
      <x:c r="AH728" s="80" t="n">
        <x:f>2*'Inputs'!$B$8*'Inputs'!$C$45</x:f>
        <x:v>2500</x:v>
      </x:c>
      <x:c r="AI728" s="81" t="n">
        <x:f>IF(AH728&gt;0,(AE728+AF728)/AH728*365,0)</x:f>
        <x:v>0.00003681586679865918</x:v>
      </x:c>
      <x:c r="AJ728" s="81" t="n">
        <x:f>IF('Inputs'!$B$45&gt;0,AG728/('Inputs'!$B$19*'Inputs'!$B$45)*365,0)</x:f>
        <x:v>2.0184850222959345e-8</x:v>
      </x:c>
      <x:c r="AK728" s="81" t="n">
        <x:f>W728/MAX($W$369:W728)-1</x:f>
        <x:v>-0.999999998764012</x:v>
      </x:c>
      <x:c r="AL728" s="83" t="n">
        <x:f>'Inputs'!$B$45</x:f>
        <x:v>0.75</x:v>
      </x:c>
      <x:c r="AM728" s="83" t="n">
        <x:f>'Inputs'!$C$45</x:f>
        <x:v>0.5</x:v>
      </x:c>
      <x:c r="AN728" s="83" t="n">
        <x:f>'Inputs'!$D$45</x:f>
        <x:v>0.5</x:v>
      </x:c>
      <x:c r="AO728" s="81" t="n">
        <x:f>'Inputs'!$E$45</x:f>
        <x:v>-0.05</x:v>
      </x:c>
    </x:row>
    <x:row r="729">
      <x:c r="A729" s="59" t="str">
        <x:v>Weak demand</x:v>
      </x:c>
      <x:c r="B729" s="59" t="n">
        <x:v>361</x:v>
      </x:c>
      <x:c r="C729" s="78" t="n">
        <x:f>(('Inputs'!$B$29*(3*361*'Inputs'!$B$12-361^2)/(2*'Inputs'!$B$12^2))-('Inputs'!$B$29*(3*360*'Inputs'!$B$12-360^2)/(2*'Inputs'!$B$12^2)))*'Inputs'!$B$45</x:f>
        <x:v>446088.6775192246</x:v>
      </x:c>
      <x:c r="D729" s="78" t="n">
        <x:f>IF('Inputs'!$C$45&gt;0,('Inputs'!$B$30*(3*361*'Inputs'!$B$12-361^2)/(2*'Inputs'!$B$12^2))-('Inputs'!$B$30*(3*360*'Inputs'!$B$12-360^2)/(2*'Inputs'!$B$12^2)),0)</x:f>
        <x:v>254907.81572526693</x:v>
      </x:c>
      <x:c r="E729" s="78" t="n">
        <x:f>C729+D729</x:f>
        <x:v>700996.4932444915</x:v>
      </x:c>
      <x:c r="F729" s="78" t="n">
        <x:f>'Inputs'!$B$13*E729+(1-'Inputs'!$B$13)/'Inputs'!$B$14*SUM(E674:E729)</x:f>
        <x:v>709426.0766560291</x:v>
      </x:c>
      <x:c r="G729" s="78" t="n">
        <x:f>F729*'Inputs'!$F$45</x:f>
        <x:v>496598.25365922035</x:v>
      </x:c>
      <x:c r="H729" s="78" t="n">
        <x:f>U728</x:f>
        <x:v>135551779205.93312</x:v>
      </x:c>
      <x:c r="I729" s="78" t="n">
        <x:f>V728</x:f>
        <x:v>0.1259623147355047</x:v>
      </x:c>
      <x:c r="J729" s="79" t="n">
        <x:f>IF(H729&gt;0,I729/H729,0)</x:f>
        <x:v>9.292560781820511e-13</x:v>
      </x:c>
      <x:c r="K729" s="80" t="n">
        <x:f>(H729*J729+I729)*'Inputs'!$D$45*(1+'Inputs'!$G$45)^(B729/30)</x:f>
        <x:v>0.1259623147355047</x:v>
      </x:c>
      <x:c r="L729" s="80" t="n">
        <x:f>MAX(0,K729*'Inputs'!$E$45)</x:f>
        <x:v>0</x:v>
      </x:c>
      <x:c r="M729" s="80" t="n">
        <x:f>MAX(0,-K729*'Inputs'!$E$45)</x:f>
        <x:v>0.006298115736775235</x:v>
      </x:c>
      <x:c r="N729" s="78" t="n">
        <x:f>H729*(L729*(1-'Inputs'!$B$15))/(I729+L729*(1-'Inputs'!$B$15))</x:f>
        <x:v>0</x:v>
      </x:c>
      <x:c r="O729" s="78" t="n">
        <x:f>H729-N729</x:f>
        <x:v>135551779205.93312</x:v>
      </x:c>
      <x:c r="P729" s="78" t="n">
        <x:f>I729+L729*(1-'Inputs'!$B$17)</x:f>
        <x:v>0.1259623147355047</x:v>
      </x:c>
      <x:c r="Q729" s="78" t="n">
        <x:f>IF(J729&gt;0,M729/J729,0)</x:f>
        <x:v>0</x:v>
      </x:c>
      <x:c r="R729" s="78" t="n">
        <x:f>IF(B729='Inputs'!$H$45,'Inputs'!$B$27*'Inputs'!$I$45,0)</x:f>
        <x:v>0</x:v>
      </x:c>
      <x:c r="S729" s="78" t="n">
        <x:f>Q729+G729+R729</x:f>
        <x:v>496598.25365922035</x:v>
      </x:c>
      <x:c r="T729" s="78" t="n">
        <x:f>P729*(S729*(1-'Inputs'!$B$15))/(O729+S729*(1-'Inputs'!$B$15))</x:f>
        <x:v>4.568506192212446e-7</x:v>
      </x:c>
      <x:c r="U729" s="78" t="n">
        <x:f>O729+S729*(1-'Inputs'!$B$17)</x:f>
        <x:v>135552273805.80347</x:v>
      </x:c>
      <x:c r="V729" s="78" t="n">
        <x:f>P729-T729</x:f>
        <x:v>0.12596185788488548</x:v>
      </x:c>
      <x:c r="W729" s="79" t="n">
        <x:f>IF(U729&gt;0,V729/U729,0)</x:f>
        <x:v>9.29249317243785e-13</x:v>
      </x:c>
      <x:c r="X729" s="80" t="n">
        <x:f>W729*('Inputs'!$B$6-AC729)</x:f>
        <x:v>-0.004407893358727665</x:v>
      </x:c>
      <x:c r="Y729" s="80" t="n">
        <x:f>2*V729</x:f>
        <x:v>0.25192371576977096</x:v>
      </x:c>
      <x:c r="Z729" s="80" t="n">
        <x:f>K729*'Inputs'!$B$16+(G729+R729)*J729*'Inputs'!$B$16</x:f>
        <x:v>0.0007557766572147019</x:v>
      </x:c>
      <x:c r="AA729" s="80" t="n">
        <x:f>K729*(1+'Inputs'!$E$45)/2*'Inputs'!$B$17</x:f>
        <x:v>0.00024077303621474744</x:v>
      </x:c>
      <x:c r="AB729" s="78" t="n">
        <x:f>(IF(J729&gt;0,K729*(1-'Inputs'!$E$45)/2/J729,0)+G729+R729)*'Inputs'!$B$17</x:f>
        <x:v>1998.3833145240258</x:v>
      </x:c>
      <x:c r="AC729" s="78" t="n">
        <x:f>AC728+AB729</x:f>
        <x:v>5743499163.175894</x:v>
      </x:c>
      <x:c r="AD729" s="80" t="n">
        <x:f>Z729/(1+'Inputs'!$C$45)</x:f>
        <x:v>0.0005038511048098013</x:v>
      </x:c>
      <x:c r="AE729" s="80" t="n">
        <x:f>Z729-AD729</x:f>
        <x:v>0.00025192555240490064</x:v>
      </x:c>
      <x:c r="AF729" s="80" t="n">
        <x:f>D729*W729</x:f>
        <x:v>2.3687291372280885e-7</x:v>
      </x:c>
      <x:c r="AG729" s="80" t="n">
        <x:f>C729*W729</x:f>
        <x:v>4.145275990149224e-7</x:v>
      </x:c>
      <x:c r="AH729" s="80" t="n">
        <x:f>2*'Inputs'!$B$8*'Inputs'!$C$45</x:f>
        <x:v>2500</x:v>
      </x:c>
      <x:c r="AI729" s="81" t="n">
        <x:f>IF(AH729&gt;0,(AE729+AF729)/AH729*365,0)</x:f>
        <x:v>0.000036815714096519024</x:v>
      </x:c>
      <x:c r="AJ729" s="81" t="n">
        <x:f>IF('Inputs'!$B$45&gt;0,AG729/('Inputs'!$B$19*'Inputs'!$B$45)*365,0)</x:f>
        <x:v>2.017367648539289e-8</x:v>
      </x:c>
      <x:c r="AK729" s="81" t="n">
        <x:f>W729/MAX($W$369:W729)-1</x:f>
        <x:v>-0.999999998764021</x:v>
      </x:c>
      <x:c r="AL729" s="83" t="n">
        <x:f>'Inputs'!$B$45</x:f>
        <x:v>0.75</x:v>
      </x:c>
      <x:c r="AM729" s="83" t="n">
        <x:f>'Inputs'!$C$45</x:f>
        <x:v>0.5</x:v>
      </x:c>
      <x:c r="AN729" s="83" t="n">
        <x:f>'Inputs'!$D$45</x:f>
        <x:v>0.5</x:v>
      </x:c>
      <x:c r="AO729" s="81" t="n">
        <x:f>'Inputs'!$E$45</x:f>
        <x:v>-0.05</x:v>
      </x:c>
    </x:row>
    <x:row r="730">
      <x:c r="A730" s="59" t="str">
        <x:v>Weak demand</x:v>
      </x:c>
      <x:c r="B730" s="59" t="n">
        <x:v>362</x:v>
      </x:c>
      <x:c r="C730" s="78" t="n">
        <x:f>(('Inputs'!$B$29*(3*362*'Inputs'!$B$12-362^2)/(2*'Inputs'!$B$12^2))-('Inputs'!$B$29*(3*361*'Inputs'!$B$12-361^2)/(2*'Inputs'!$B$12^2)))*'Inputs'!$B$45</x:f>
        <x:v>445844.8465941176</x:v>
      </x:c>
      <x:c r="D730" s="78" t="n">
        <x:f>IF('Inputs'!$C$45&gt;0,('Inputs'!$B$30*(3*362*'Inputs'!$B$12-362^2)/(2*'Inputs'!$B$12^2))-('Inputs'!$B$30*(3*361*'Inputs'!$B$12-361^2)/(2*'Inputs'!$B$12^2)),0)</x:f>
        <x:v>254768.4837680757</x:v>
      </x:c>
      <x:c r="E730" s="78" t="n">
        <x:f>C730+D730</x:f>
        <x:v>700613.3303621933</x:v>
      </x:c>
      <x:c r="F730" s="78" t="n">
        <x:f>'Inputs'!$B$13*E730+(1-'Inputs'!$B$13)/'Inputs'!$B$14*SUM(E675:E730)</x:f>
        <x:v>709042.9137736962</x:v>
      </x:c>
      <x:c r="G730" s="78" t="n">
        <x:f>F730*'Inputs'!$F$45</x:f>
        <x:v>496330.0396415873</x:v>
      </x:c>
      <x:c r="H730" s="78" t="n">
        <x:f>U729</x:f>
        <x:v>135552273805.80347</x:v>
      </x:c>
      <x:c r="I730" s="78" t="n">
        <x:f>V729</x:f>
        <x:v>0.12596185788488548</x:v>
      </x:c>
      <x:c r="J730" s="79" t="n">
        <x:f>IF(H730&gt;0,I730/H730,0)</x:f>
        <x:v>9.29249317243785e-13</x:v>
      </x:c>
      <x:c r="K730" s="80" t="n">
        <x:f>(H730*J730+I730)*'Inputs'!$D$45*(1+'Inputs'!$G$45)^(B730/30)</x:f>
        <x:v>0.12596185788488548</x:v>
      </x:c>
      <x:c r="L730" s="80" t="n">
        <x:f>MAX(0,K730*'Inputs'!$E$45)</x:f>
        <x:v>0</x:v>
      </x:c>
      <x:c r="M730" s="80" t="n">
        <x:f>MAX(0,-K730*'Inputs'!$E$45)</x:f>
        <x:v>0.006298092894244274</x:v>
      </x:c>
      <x:c r="N730" s="78" t="n">
        <x:f>H730*(L730*(1-'Inputs'!$B$15))/(I730+L730*(1-'Inputs'!$B$15))</x:f>
        <x:v>0</x:v>
      </x:c>
      <x:c r="O730" s="78" t="n">
        <x:f>H730-N730</x:f>
        <x:v>135552273805.80347</x:v>
      </x:c>
      <x:c r="P730" s="78" t="n">
        <x:f>I730+L730*(1-'Inputs'!$B$17)</x:f>
        <x:v>0.12596185788488548</x:v>
      </x:c>
      <x:c r="Q730" s="78" t="n">
        <x:f>IF(J730&gt;0,M730/J730,0)</x:f>
        <x:v>0</x:v>
      </x:c>
      <x:c r="R730" s="78" t="n">
        <x:f>IF(B730='Inputs'!$H$45,'Inputs'!$B$27*'Inputs'!$I$45,0)</x:f>
        <x:v>0</x:v>
      </x:c>
      <x:c r="S730" s="78" t="n">
        <x:f>Q730+G730+R730</x:f>
        <x:v>496330.0396415873</x:v>
      </x:c>
      <x:c r="T730" s="78" t="n">
        <x:f>P730*(S730*(1-'Inputs'!$B$15))/(O730+S730*(1-'Inputs'!$B$15))</x:f>
        <x:v>4.5660055181741786e-7</x:v>
      </x:c>
      <x:c r="U730" s="78" t="n">
        <x:f>O730+S730*(1-'Inputs'!$B$17)</x:f>
        <x:v>135552768138.53912</x:v>
      </x:c>
      <x:c r="V730" s="78" t="n">
        <x:f>P730-T730</x:f>
        <x:v>0.12596140128433367</x:v>
      </x:c>
      <x:c r="W730" s="79" t="n">
        <x:f>IF(U730&gt;0,V730/U730,0)</x:f>
        <x:v>9.292425600309188e-13</x:v>
      </x:c>
      <x:c r="X730" s="80" t="n">
        <x:f>W730*('Inputs'!$B$6-AC730)</x:f>
        <x:v>-0.004407863161873955</x:v>
      </x:c>
      <x:c r="Y730" s="80" t="n">
        <x:f>2*V730</x:f>
        <x:v>0.25192280256866734</x:v>
      </x:c>
      <x:c r="Z730" s="80" t="n">
        <x:f>K730*'Inputs'!$B$16+(G730+R730)*J730*'Inputs'!$B$16</x:f>
        <x:v>0.0007557739145954156</x:v>
      </x:c>
      <x:c r="AA730" s="80" t="n">
        <x:f>K730*(1+'Inputs'!$E$45)/2*'Inputs'!$B$17</x:f>
        <x:v>0.00024077216295903664</x:v>
      </x:c>
      <x:c r="AB730" s="78" t="n">
        <x:f>(IF(J730&gt;0,K730*(1-'Inputs'!$E$45)/2/J730,0)+G730+R730)*'Inputs'!$B$17</x:f>
        <x:v>1997.303982461116</x:v>
      </x:c>
      <x:c r="AC730" s="78" t="n">
        <x:f>AC729+AB730</x:f>
        <x:v>5743501160.4798765</x:v>
      </x:c>
      <x:c r="AD730" s="80" t="n">
        <x:f>Z730/(1+'Inputs'!$C$45)</x:f>
        <x:v>0.0005038492763969438</x:v>
      </x:c>
      <x:c r="AE730" s="80" t="n">
        <x:f>Z730-AD730</x:f>
        <x:v>0.0002519246381984719</x:v>
      </x:c>
      <x:c r="AF730" s="80" t="n">
        <x:f>D730*W730</x:f>
        <x:v>2.3674171807184226e-7</x:v>
      </x:c>
      <x:c r="AG730" s="80" t="n">
        <x:f>C730*W730</x:f>
        <x:v>4.142980066257101e-7</x:v>
      </x:c>
      <x:c r="AH730" s="80" t="n">
        <x:f>2*'Inputs'!$B$8*'Inputs'!$C$45</x:f>
        <x:v>2500</x:v>
      </x:c>
      <x:c r="AI730" s="81" t="n">
        <x:f>IF(AH730&gt;0,(AE730+AF730)/AH730*365,0)</x:f>
        <x:v>0.00003681556146781538</x:v>
      </x:c>
      <x:c r="AJ730" s="81" t="n">
        <x:f>IF('Inputs'!$B$45&gt;0,AG730/('Inputs'!$B$19*'Inputs'!$B$45)*365,0)</x:f>
        <x:v>2.016250298911789e-8</x:v>
      </x:c>
      <x:c r="AK730" s="81" t="n">
        <x:f>W730/MAX($W$369:W730)-1</x:f>
        <x:v>-0.99999999876403</x:v>
      </x:c>
      <x:c r="AL730" s="83" t="n">
        <x:f>'Inputs'!$B$45</x:f>
        <x:v>0.75</x:v>
      </x:c>
      <x:c r="AM730" s="83" t="n">
        <x:f>'Inputs'!$C$45</x:f>
        <x:v>0.5</x:v>
      </x:c>
      <x:c r="AN730" s="83" t="n">
        <x:f>'Inputs'!$D$45</x:f>
        <x:v>0.5</x:v>
      </x:c>
      <x:c r="AO730" s="81" t="n">
        <x:f>'Inputs'!$E$45</x:f>
        <x:v>-0.05</x:v>
      </x:c>
    </x:row>
    <x:row r="731">
      <x:c r="A731" s="59" t="str">
        <x:v>Weak demand</x:v>
      </x:c>
      <x:c r="B731" s="59" t="n">
        <x:v>363</x:v>
      </x:c>
      <x:c r="C731" s="78" t="n">
        <x:f>(('Inputs'!$B$29*(3*363*'Inputs'!$B$12-363^2)/(2*'Inputs'!$B$12^2))-('Inputs'!$B$29*(3*362*'Inputs'!$B$12-362^2)/(2*'Inputs'!$B$12^2)))*'Inputs'!$B$45</x:f>
        <x:v>445601.0156689659</x:v>
      </x:c>
      <x:c r="D731" s="78" t="n">
        <x:f>IF('Inputs'!$C$45&gt;0,('Inputs'!$B$30*(3*363*'Inputs'!$B$12-363^2)/(2*'Inputs'!$B$12^2))-('Inputs'!$B$30*(3*362*'Inputs'!$B$12-362^2)/(2*'Inputs'!$B$12^2)),0)</x:f>
        <x:v>254629.15181083977</x:v>
      </x:c>
      <x:c r="E731" s="78" t="n">
        <x:f>C731+D731</x:f>
        <x:v>700230.1674798056</x:v>
      </x:c>
      <x:c r="F731" s="78" t="n">
        <x:f>'Inputs'!$B$13*E731+(1-'Inputs'!$B$13)/'Inputs'!$B$14*SUM(E676:E731)</x:f>
        <x:v>708659.7508913447</x:v>
      </x:c>
      <x:c r="G731" s="78" t="n">
        <x:f>F731*'Inputs'!$F$45</x:f>
        <x:v>496061.82562394126</x:v>
      </x:c>
      <x:c r="H731" s="78" t="n">
        <x:f>U730</x:f>
        <x:v>135552768138.53912</x:v>
      </x:c>
      <x:c r="I731" s="78" t="n">
        <x:f>V730</x:f>
        <x:v>0.12596140128433367</x:v>
      </x:c>
      <x:c r="J731" s="79" t="n">
        <x:f>IF(H731&gt;0,I731/H731,0)</x:f>
        <x:v>9.292425600309188e-13</x:v>
      </x:c>
      <x:c r="K731" s="80" t="n">
        <x:f>(H731*J731+I731)*'Inputs'!$D$45*(1+'Inputs'!$G$45)^(B731/30)</x:f>
        <x:v>0.12596140128433367</x:v>
      </x:c>
      <x:c r="L731" s="80" t="n">
        <x:f>MAX(0,K731*'Inputs'!$E$45)</x:f>
        <x:v>0</x:v>
      </x:c>
      <x:c r="M731" s="80" t="n">
        <x:f>MAX(0,-K731*'Inputs'!$E$45)</x:f>
        <x:v>0.006298070064216683</x:v>
      </x:c>
      <x:c r="N731" s="78" t="n">
        <x:f>H731*(L731*(1-'Inputs'!$B$15))/(I731+L731*(1-'Inputs'!$B$15))</x:f>
        <x:v>0</x:v>
      </x:c>
      <x:c r="O731" s="78" t="n">
        <x:f>H731-N731</x:f>
        <x:v>135552768138.53912</x:v>
      </x:c>
      <x:c r="P731" s="78" t="n">
        <x:f>I731+L731*(1-'Inputs'!$B$17)</x:f>
        <x:v>0.12596140128433367</x:v>
      </x:c>
      <x:c r="Q731" s="78" t="n">
        <x:f>IF(J731&gt;0,M731/J731,0)</x:f>
        <x:v>0</x:v>
      </x:c>
      <x:c r="R731" s="78" t="n">
        <x:f>IF(B731='Inputs'!$H$45,'Inputs'!$B$27*'Inputs'!$I$45,0)</x:f>
        <x:v>0</x:v>
      </x:c>
      <x:c r="S731" s="78" t="n">
        <x:f>Q731+G731+R731</x:f>
        <x:v>496061.82562394126</x:v>
      </x:c>
      <x:c r="T731" s="78" t="n">
        <x:f>P731*(S731*(1-'Inputs'!$B$15))/(O731+S731*(1-'Inputs'!$B$15))</x:f>
        <x:v>4.56350489832601e-7</x:v>
      </x:c>
      <x:c r="U731" s="78" t="n">
        <x:f>O731+S731*(1-'Inputs'!$B$17)</x:f>
        <x:v>135553262204.14009</x:v>
      </x:c>
      <x:c r="V731" s="78" t="n">
        <x:f>P731-T731</x:f>
        <x:v>0.12596094493384383</x:v>
      </x:c>
      <x:c r="W731" s="79" t="n">
        <x:f>IF(U731&gt;0,V731/U731,0)</x:f>
        <x:v>9.292358065433316e-13</x:v>
      </x:c>
      <x:c r="X731" s="80" t="n">
        <x:f>W731*('Inputs'!$B$6-AC731)</x:f>
        <x:v>-0.00440783298166117</x:v>
      </x:c>
      <x:c r="Y731" s="80" t="n">
        <x:f>2*V731</x:f>
        <x:v>0.25192188986768765</x:v>
      </x:c>
      <x:c r="Z731" s="80" t="n">
        <x:f>K731*'Inputs'!$B$16+(G731+R731)*J731*'Inputs'!$B$16</x:f>
        <x:v>0.0007557711734765667</x:v>
      </x:c>
      <x:c r="AA731" s="80" t="n">
        <x:f>K731*(1+'Inputs'!$E$45)/2*'Inputs'!$B$17</x:f>
        <x:v>0.0002407712901813219</x:v>
      </x:c>
      <x:c r="AB731" s="78" t="n">
        <x:f>(IF(J731&gt;0,K731*(1-'Inputs'!$E$45)/2/J731,0)+G731+R731)*'Inputs'!$B$17</x:f>
        <x:v>1996.2246503981542</x:v>
      </x:c>
      <x:c r="AC731" s="78" t="n">
        <x:f>AC730+AB731</x:f>
        <x:v>5743503156.704527</x:v>
      </x:c>
      <x:c r="AD731" s="80" t="n">
        <x:f>Z731/(1+'Inputs'!$C$45)</x:f>
        <x:v>0.0005038474489843778</x:v>
      </x:c>
      <x:c r="AE731" s="80" t="n">
        <x:f>Z731-AD731</x:f>
        <x:v>0.00025192372449218893</x:v>
      </x:c>
      <x:c r="AF731" s="80" t="n">
        <x:f>D731*W731</x:f>
        <x:v>2.3661052525239014e-7</x:v>
      </x:c>
      <x:c r="AG731" s="80" t="n">
        <x:f>C731*W731</x:f>
        <x:v>4.1406841919167925e-7</x:v>
      </x:c>
      <x:c r="AH731" s="80" t="n">
        <x:f>2*'Inputs'!$B$8*'Inputs'!$C$45</x:f>
        <x:v>2500</x:v>
      </x:c>
      <x:c r="AI731" s="81" t="n">
        <x:f>IF(AH731&gt;0,(AE731+AF731)/AH731*365,0)</x:f>
        <x:v>0.000036815408912546435</x:v>
      </x:c>
      <x:c r="AJ731" s="81" t="n">
        <x:f>IF('Inputs'!$B$45&gt;0,AG731/('Inputs'!$B$19*'Inputs'!$B$45)*365,0)</x:f>
        <x:v>2.0151329733995056e-8</x:v>
      </x:c>
      <x:c r="AK731" s="81" t="n">
        <x:f>W731/MAX($W$369:W731)-1</x:f>
        <x:v>-0.999999998764039</x:v>
      </x:c>
      <x:c r="AL731" s="83" t="n">
        <x:f>'Inputs'!$B$45</x:f>
        <x:v>0.75</x:v>
      </x:c>
      <x:c r="AM731" s="83" t="n">
        <x:f>'Inputs'!$C$45</x:f>
        <x:v>0.5</x:v>
      </x:c>
      <x:c r="AN731" s="83" t="n">
        <x:f>'Inputs'!$D$45</x:f>
        <x:v>0.5</x:v>
      </x:c>
      <x:c r="AO731" s="81" t="n">
        <x:f>'Inputs'!$E$45</x:f>
        <x:v>-0.05</x:v>
      </x:c>
    </x:row>
    <x:row r="732">
      <x:c r="A732" s="59" t="str">
        <x:v>Weak demand</x:v>
      </x:c>
      <x:c r="B732" s="59" t="n">
        <x:v>364</x:v>
      </x:c>
      <x:c r="C732" s="78" t="n">
        <x:f>(('Inputs'!$B$29*(3*364*'Inputs'!$B$12-364^2)/(2*'Inputs'!$B$12^2))-('Inputs'!$B$29*(3*363*'Inputs'!$B$12-363^2)/(2*'Inputs'!$B$12^2)))*'Inputs'!$B$45</x:f>
        <x:v>445357.1847438589</x:v>
      </x:c>
      <x:c r="D732" s="78" t="n">
        <x:f>IF('Inputs'!$C$45&gt;0,('Inputs'!$B$30*(3*364*'Inputs'!$B$12-364^2)/(2*'Inputs'!$B$12^2))-('Inputs'!$B$30*(3*363*'Inputs'!$B$12-363^2)/(2*'Inputs'!$B$12^2)),0)</x:f>
        <x:v>254489.81985363364</x:v>
      </x:c>
      <x:c r="E732" s="78" t="n">
        <x:f>C732+D732</x:f>
        <x:v>699847.0045974925</x:v>
      </x:c>
      <x:c r="F732" s="78" t="n">
        <x:f>'Inputs'!$B$13*E732+(1-'Inputs'!$B$13)/'Inputs'!$B$14*SUM(E677:E732)</x:f>
        <x:v>708276.5880090088</x:v>
      </x:c>
      <x:c r="G732" s="78" t="n">
        <x:f>F732*'Inputs'!$F$45</x:f>
        <x:v>495793.6116063061</x:v>
      </x:c>
      <x:c r="H732" s="78" t="n">
        <x:f>U731</x:f>
        <x:v>135553262204.14009</x:v>
      </x:c>
      <x:c r="I732" s="78" t="n">
        <x:f>V731</x:f>
        <x:v>0.12596094493384383</x:v>
      </x:c>
      <x:c r="J732" s="79" t="n">
        <x:f>IF(H732&gt;0,I732/H732,0)</x:f>
        <x:v>9.292358065433316e-13</x:v>
      </x:c>
      <x:c r="K732" s="80" t="n">
        <x:f>(H732*J732+I732)*'Inputs'!$D$45*(1+'Inputs'!$G$45)^(B732/30)</x:f>
        <x:v>0.12596094493384383</x:v>
      </x:c>
      <x:c r="L732" s="80" t="n">
        <x:f>MAX(0,K732*'Inputs'!$E$45)</x:f>
        <x:v>0</x:v>
      </x:c>
      <x:c r="M732" s="80" t="n">
        <x:f>MAX(0,-K732*'Inputs'!$E$45)</x:f>
        <x:v>0.006298047246692192</x:v>
      </x:c>
      <x:c r="N732" s="78" t="n">
        <x:f>H732*(L732*(1-'Inputs'!$B$15))/(I732+L732*(1-'Inputs'!$B$15))</x:f>
        <x:v>0</x:v>
      </x:c>
      <x:c r="O732" s="78" t="n">
        <x:f>H732-N732</x:f>
        <x:v>135553262204.14009</x:v>
      </x:c>
      <x:c r="P732" s="78" t="n">
        <x:f>I732+L732*(1-'Inputs'!$B$17)</x:f>
        <x:v>0.12596094493384383</x:v>
      </x:c>
      <x:c r="Q732" s="78" t="n">
        <x:f>IF(J732&gt;0,M732/J732,0)</x:f>
        <x:v>0</x:v>
      </x:c>
      <x:c r="R732" s="78" t="n">
        <x:f>IF(B732='Inputs'!$H$45,'Inputs'!$B$27*'Inputs'!$I$45,0)</x:f>
        <x:v>0</x:v>
      </x:c>
      <x:c r="S732" s="78" t="n">
        <x:f>Q732+G732+R732</x:f>
        <x:v>495793.6116063061</x:v>
      </x:c>
      <x:c r="T732" s="78" t="n">
        <x:f>P732*(S732*(1-'Inputs'!$B$15))/(O732+S732*(1-'Inputs'!$B$15))</x:f>
        <x:v>4.56100433263789e-7</x:v>
      </x:c>
      <x:c r="U732" s="78" t="n">
        <x:f>O732+S732*(1-'Inputs'!$B$17)</x:f>
        <x:v>135553756002.60638</x:v>
      </x:c>
      <x:c r="V732" s="78" t="n">
        <x:f>P732-T732</x:f>
        <x:v>0.12596048883341057</x:v>
      </x:c>
      <x:c r="W732" s="79" t="n">
        <x:f>IF(U732&gt;0,V732/U732,0)</x:f>
        <x:v>9.292290567809029e-13</x:v>
      </x:c>
      <x:c r="X732" s="80" t="n">
        <x:f>W732*('Inputs'!$B$6-AC732)</x:f>
        <x:v>-0.004407802818088785</x:v>
      </x:c>
      <x:c r="Y732" s="80" t="n">
        <x:f>2*V732</x:f>
        <x:v>0.25192097766682114</x:v>
      </x:c>
      <x:c r="Z732" s="80" t="n">
        <x:f>K732*'Inputs'!$B$16+(G732+R732)*J732*'Inputs'!$B$16</x:f>
        <x:v>0.0007557684338581223</x:v>
      </x:c>
      <x:c r="AA732" s="80" t="n">
        <x:f>K732*(1+'Inputs'!$E$45)/2*'Inputs'!$B$17</x:f>
        <x:v>0.00024077041788159284</x:v>
      </x:c>
      <x:c r="AB732" s="78" t="n">
        <x:f>(IF(J732&gt;0,K732*(1-'Inputs'!$E$45)/2/J732,0)+G732+R732)*'Inputs'!$B$17</x:f>
        <x:v>1995.145318335236</x:v>
      </x:c>
      <x:c r="AC732" s="78" t="n">
        <x:f>AC731+AB732</x:f>
        <x:v>5743505151.849845</x:v>
      </x:c>
      <x:c r="AD732" s="80" t="n">
        <x:f>Z732/(1+'Inputs'!$C$45)</x:f>
        <x:v>0.0005038456225720815</x:v>
      </x:c>
      <x:c r="AE732" s="80" t="n">
        <x:f>Z732-AD732</x:f>
        <x:v>0.00025192281128604075</x:v>
      </x:c>
      <x:c r="AF732" s="80" t="n">
        <x:f>D732*W732</x:f>
        <x:v>2.3647933526293388e-7</x:v>
      </x:c>
      <x:c r="AG732" s="80" t="n">
        <x:f>C732*W732</x:f>
        <x:v>4.138388367101343e-7</x:v>
      </x:c>
      <x:c r="AH732" s="80" t="n">
        <x:f>2*'Inputs'!$B$8*'Inputs'!$C$45</x:f>
        <x:v>2500</x:v>
      </x:c>
      <x:c r="AI732" s="81" t="n">
        <x:f>IF(AH732&gt;0,(AE732+AF732)/AH732*365,0)</x:f>
        <x:v>0.00003681525643071034</x:v>
      </x:c>
      <x:c r="AJ732" s="81" t="n">
        <x:f>IF('Inputs'!$B$45&gt;0,AG732/('Inputs'!$B$19*'Inputs'!$B$45)*365,0)</x:f>
        <x:v>2.0140156719893203e-8</x:v>
      </x:c>
      <x:c r="AK732" s="81" t="n">
        <x:f>W732/MAX($W$369:W732)-1</x:f>
        <x:v>-0.999999998764048</x:v>
      </x:c>
      <x:c r="AL732" s="83" t="n">
        <x:f>'Inputs'!$B$45</x:f>
        <x:v>0.75</x:v>
      </x:c>
      <x:c r="AM732" s="83" t="n">
        <x:f>'Inputs'!$C$45</x:f>
        <x:v>0.5</x:v>
      </x:c>
      <x:c r="AN732" s="83" t="n">
        <x:f>'Inputs'!$D$45</x:f>
        <x:v>0.5</x:v>
      </x:c>
      <x:c r="AO732" s="81" t="n">
        <x:f>'Inputs'!$E$45</x:f>
        <x:v>-0.05</x:v>
      </x:c>
    </x:row>
    <x:row r="733">
      <x:c r="A733" s="59" t="str">
        <x:v>Weak demand</x:v>
      </x:c>
      <x:c r="B733" s="59" t="n">
        <x:v>365</x:v>
      </x:c>
      <x:c r="C733" s="78" t="n">
        <x:f>(('Inputs'!$B$29*(3*365*'Inputs'!$B$12-365^2)/(2*'Inputs'!$B$12^2))-('Inputs'!$B$29*(3*364*'Inputs'!$B$12-364^2)/(2*'Inputs'!$B$12^2)))*'Inputs'!$B$45</x:f>
        <x:v>445113.3538187295</x:v>
      </x:c>
      <x:c r="D733" s="78" t="n">
        <x:f>IF('Inputs'!$C$45&gt;0,('Inputs'!$B$30*(3*365*'Inputs'!$B$12-365^2)/(2*'Inputs'!$B$12^2))-('Inputs'!$B$30*(3*364*'Inputs'!$B$12-364^2)/(2*'Inputs'!$B$12^2)),0)</x:f>
        <x:v>254350.4878964126</x:v>
      </x:c>
      <x:c r="E733" s="78" t="n">
        <x:f>C733+D733</x:f>
        <x:v>699463.8417151421</x:v>
      </x:c>
      <x:c r="F733" s="78" t="n">
        <x:f>'Inputs'!$B$13*E733+(1-'Inputs'!$B$13)/'Inputs'!$B$14*SUM(E678:E733)</x:f>
        <x:v>707893.425126665</x:v>
      </x:c>
      <x:c r="G733" s="78" t="n">
        <x:f>F733*'Inputs'!$F$45</x:f>
        <x:v>495525.3975886655</x:v>
      </x:c>
      <x:c r="H733" s="78" t="n">
        <x:f>U732</x:f>
        <x:v>135553756002.60638</x:v>
      </x:c>
      <x:c r="I733" s="78" t="n">
        <x:f>V732</x:f>
        <x:v>0.12596048883341057</x:v>
      </x:c>
      <x:c r="J733" s="79" t="n">
        <x:f>IF(H733&gt;0,I733/H733,0)</x:f>
        <x:v>9.292290567809029e-13</x:v>
      </x:c>
      <x:c r="K733" s="80" t="n">
        <x:f>(H733*J733+I733)*'Inputs'!$D$45*(1+'Inputs'!$G$45)^(B733/30)</x:f>
        <x:v>0.12596048883341057</x:v>
      </x:c>
      <x:c r="L733" s="80" t="n">
        <x:f>MAX(0,K733*'Inputs'!$E$45)</x:f>
        <x:v>0</x:v>
      </x:c>
      <x:c r="M733" s="80" t="n">
        <x:f>MAX(0,-K733*'Inputs'!$E$45)</x:f>
        <x:v>0.006298024441670529</x:v>
      </x:c>
      <x:c r="N733" s="78" t="n">
        <x:f>H733*(L733*(1-'Inputs'!$B$15))/(I733+L733*(1-'Inputs'!$B$15))</x:f>
        <x:v>0</x:v>
      </x:c>
      <x:c r="O733" s="78" t="n">
        <x:f>H733-N733</x:f>
        <x:v>135553756002.60638</x:v>
      </x:c>
      <x:c r="P733" s="78" t="n">
        <x:f>I733+L733*(1-'Inputs'!$B$17)</x:f>
        <x:v>0.12596048883341057</x:v>
      </x:c>
      <x:c r="Q733" s="78" t="n">
        <x:f>IF(J733&gt;0,M733/J733,0)</x:f>
        <x:v>0</x:v>
      </x:c>
      <x:c r="R733" s="78" t="n">
        <x:f>IF(B733='Inputs'!$H$45,'Inputs'!$B$27*'Inputs'!$I$45,0)</x:f>
        <x:v>0</x:v>
      </x:c>
      <x:c r="S733" s="78" t="n">
        <x:f>Q733+G733+R733</x:f>
        <x:v>495525.3975886655</x:v>
      </x:c>
      <x:c r="T733" s="78" t="n">
        <x:f>P733*(S733*(1-'Inputs'!$B$15))/(O733+S733*(1-'Inputs'!$B$15))</x:f>
        <x:v>4.5585038210794027e-7</x:v>
      </x:c>
      <x:c r="U733" s="78" t="n">
        <x:f>O733+S733*(1-'Inputs'!$B$17)</x:f>
        <x:v>135554249533.93799</x:v>
      </x:c>
      <x:c r="V733" s="78" t="n">
        <x:f>P733-T733</x:f>
        <x:v>0.12596003298302846</x:v>
      </x:c>
      <x:c r="W733" s="79" t="n">
        <x:f>IF(U733&gt;0,V733/U733,0)</x:f>
        <x:v>9.292223107435117e-13</x:v>
      </x:c>
      <x:c r="X733" s="80" t="n">
        <x:f>W733*('Inputs'!$B$6-AC733)</x:f>
        <x:v>-0.004407772671156269</x:v>
      </x:c>
      <x:c r="Y733" s="80" t="n">
        <x:f>2*V733</x:f>
        <x:v>0.2519200659660569</x:v>
      </x:c>
      <x:c r="Z733" s="80" t="n">
        <x:f>K733*'Inputs'!$B$16+(G733+R733)*J733*'Inputs'!$B$16</x:f>
        <x:v>0.0007557656957400504</x:v>
      </x:c>
      <x:c r="AA733" s="80" t="n">
        <x:f>K733*(1+'Inputs'!$E$45)/2*'Inputs'!$B$17</x:f>
        <x:v>0.00024076954605983914</x:v>
      </x:c>
      <x:c r="AB733" s="78" t="n">
        <x:f>(IF(J733&gt;0,K733*(1-'Inputs'!$E$45)/2/J733,0)+G733+R733)*'Inputs'!$B$17</x:f>
        <x:v>1994.065986272296</x:v>
      </x:c>
      <x:c r="AC733" s="78" t="n">
        <x:f>AC732+AB733</x:f>
        <x:v>5743507145.915832</x:v>
      </x:c>
      <x:c r="AD733" s="80" t="n">
        <x:f>Z733/(1+'Inputs'!$C$45)</x:f>
        <x:v>0.0005038437971600335</x:v>
      </x:c>
      <x:c r="AE733" s="80" t="n">
        <x:f>Z733-AD733</x:f>
        <x:v>0.0002519218985800168</x:v>
      </x:c>
      <x:c r="AF733" s="80" t="n">
        <x:f>D733*W733</x:f>
        <x:v>2.3634814810184415e-7</x:v>
      </x:c>
      <x:c r="AG733" s="80" t="n">
        <x:f>C733*W733</x:f>
        <x:v>4.136092591782342e-7</x:v>
      </x:c>
      <x:c r="AH733" s="80" t="n">
        <x:f>2*'Inputs'!$B$8*'Inputs'!$C$45</x:f>
        <x:v>2500</x:v>
      </x:c>
      <x:c r="AI733" s="81" t="n">
        <x:f>IF(AH733&gt;0,(AE733+AF733)/AH733*365,0)</x:f>
        <x:v>0.00003681510402230533</x:v>
      </x:c>
      <x:c r="AJ733" s="81" t="n">
        <x:f>IF('Inputs'!$B$45&gt;0,AG733/('Inputs'!$B$19*'Inputs'!$B$45)*365,0)</x:f>
        <x:v>2.0128983946674064e-8</x:v>
      </x:c>
      <x:c r="AK733" s="81" t="n">
        <x:f>W733/MAX($W$369:W733)-1</x:f>
        <x:v>-0.999999998764057</x:v>
      </x:c>
      <x:c r="AL733" s="83" t="n">
        <x:f>'Inputs'!$B$45</x:f>
        <x:v>0.75</x:v>
      </x:c>
      <x:c r="AM733" s="83" t="n">
        <x:f>'Inputs'!$C$45</x:f>
        <x:v>0.5</x:v>
      </x:c>
      <x:c r="AN733" s="83" t="n">
        <x:f>'Inputs'!$D$45</x:f>
        <x:v>0.5</x:v>
      </x:c>
      <x:c r="AO733" s="81" t="n">
        <x:f>'Inputs'!$E$45</x:f>
        <x:v>-0.05</x:v>
      </x:c>
    </x:row>
    <x:row r="734">
      <x:c r="A734" s="59" t="str">
        <x:v>Base</x:v>
      </x:c>
      <x:c r="B734" s="59" t="n">
        <x:v>1</x:v>
      </x:c>
      <x:c r="C734" s="78" t="n">
        <x:f>(('Inputs'!$B$29*(3*1*'Inputs'!$B$12-1^2)/(2*'Inputs'!$B$12^2))-('Inputs'!$B$29*(3*0*'Inputs'!$B$12-0^2)/(2*'Inputs'!$B$12^2)))*'Inputs'!$B$46</x:f>
        <x:v>711823.7474197786</x:v>
      </x:c>
      <x:c r="D734" s="78" t="n">
        <x:f>IF('Inputs'!$C$46&gt;0,('Inputs'!$B$30*(3*1*'Inputs'!$B$12-1^2)/(2*'Inputs'!$B$12^2))-('Inputs'!$B$30*(3*0*'Inputs'!$B$12-0^2)/(2*'Inputs'!$B$12^2)),0)</x:f>
        <x:v>305067.32032276224</x:v>
      </x:c>
      <x:c r="E734" s="78" t="n">
        <x:f>C734+D734</x:f>
        <x:v>1016891.0677425409</x:v>
      </x:c>
      <x:c r="F734" s="78" t="n">
        <x:f>'Inputs'!$B$13*E734+(1-'Inputs'!$B$13)/'Inputs'!$B$14*SUM(E734:E734)</x:f>
        <x:v>217905.22880197305</x:v>
      </x:c>
      <x:c r="G734" s="78" t="n">
        <x:f>F734*'Inputs'!$F$46</x:f>
        <x:v>108952.61440098652</x:v>
      </x:c>
      <x:c r="H734" s="78" t="n">
        <x:f>'Inputs'!$B$26*(1+'Inputs'!$C$46)</x:f>
        <x:v>5714285.714285715</x:v>
      </x:c>
      <x:c r="I734" s="78" t="n">
        <x:f>'Inputs'!$B$8*(1+'Inputs'!$C$46)</x:f>
        <x:v>5000</x:v>
      </x:c>
      <x:c r="J734" s="79" t="n">
        <x:f>IF(H734&gt;0,I734/H734,0)</x:f>
        <x:v>0.0008749999999999999</x:v>
      </x:c>
      <x:c r="K734" s="80" t="n">
        <x:f>(H734*J734+I734)*'Inputs'!$D$46*(1+'Inputs'!$G$46)^(B734/30)</x:f>
        <x:v>10000</x:v>
      </x:c>
      <x:c r="L734" s="80" t="n">
        <x:f>MAX(0,K734*'Inputs'!$E$46)</x:f>
        <x:v>0</x:v>
      </x:c>
      <x:c r="M734" s="80" t="n">
        <x:f>MAX(0,-K734*'Inputs'!$E$46)</x:f>
        <x:v>0</x:v>
      </x:c>
      <x:c r="N734" s="78" t="n">
        <x:f>H734*(L734*(1-'Inputs'!$B$15))/(I734+L734*(1-'Inputs'!$B$15))</x:f>
        <x:v>0</x:v>
      </x:c>
      <x:c r="O734" s="78" t="n">
        <x:f>H734-N734</x:f>
        <x:v>5714285.714285715</x:v>
      </x:c>
      <x:c r="P734" s="78" t="n">
        <x:f>I734+L734*(1-'Inputs'!$B$17)</x:f>
        <x:v>5000</x:v>
      </x:c>
      <x:c r="Q734" s="78" t="n">
        <x:f>IF(J734&gt;0,M734/J734,0)</x:f>
        <x:v>0</x:v>
      </x:c>
      <x:c r="R734" s="78" t="n">
        <x:f>IF(B734='Inputs'!$H$46,'Inputs'!$B$27*'Inputs'!$I$46,0)</x:f>
        <x:v>0</x:v>
      </x:c>
      <x:c r="S734" s="78" t="n">
        <x:f>Q734+G734+R734</x:f>
        <x:v>108952.61440098652</x:v>
      </x:c>
      <x:c r="T734" s="78" t="n">
        <x:f>P734*(S734*(1-'Inputs'!$B$15))/(O734+S734*(1-'Inputs'!$B$15))</x:f>
        <x:v>92.6316828332092</x:v>
      </x:c>
      <x:c r="U734" s="78" t="n">
        <x:f>O734+S734*(1-'Inputs'!$B$17)</x:f>
        <x:v>5822799.887582472</x:v>
      </x:c>
      <x:c r="V734" s="78" t="n">
        <x:f>P734-T734</x:f>
        <x:v>4907.368317166791</x:v>
      </x:c>
      <x:c r="W734" s="79" t="n">
        <x:f>IF(U734&gt;0,V734/U734,0)</x:f>
        <x:v>0.0008427849852151192</x:v>
      </x:c>
      <x:c r="X734" s="80" t="n">
        <x:f>W734*('Inputs'!$B$6-AC734)</x:f>
        <x:v>842765.2357671162</x:v>
      </x:c>
      <x:c r="Y734" s="80" t="n">
        <x:f>2*V734</x:f>
        <x:v>9814.736634333582</x:v>
      </x:c>
      <x:c r="Z734" s="80" t="n">
        <x:f>K734*'Inputs'!$B$16+(G734+R734)*J734*'Inputs'!$B$16</x:f>
        <x:v>60.57200122560518</x:v>
      </x:c>
      <x:c r="AA734" s="80" t="n">
        <x:f>K734*(1+'Inputs'!$E$46)/2*'Inputs'!$B$17</x:f>
        <x:v>20.12072434607646</x:v>
      </x:c>
      <x:c r="AB734" s="78" t="n">
        <x:f>(IF(J734&gt;0,K734*(1-'Inputs'!$E$46)/2/J734,0)+G734+R734)*'Inputs'!$B$17</x:f>
        <x:v>23433.55464260242</x:v>
      </x:c>
      <x:c r="AC734" s="78" t="n">
        <x:f>AB734</x:f>
        <x:v>23433.55464260242</x:v>
      </x:c>
      <x:c r="AD734" s="80" t="n">
        <x:f>Z734/(1+'Inputs'!$C$46)</x:f>
        <x:v>30.28600061280259</x:v>
      </x:c>
      <x:c r="AE734" s="80" t="n">
        <x:f>Z734-AD734</x:f>
        <x:v>30.28600061280259</x:v>
      </x:c>
      <x:c r="AF734" s="80" t="n">
        <x:f>D734*W734</x:f>
        <x:v>257.1061570478352</x:v>
      </x:c>
      <x:c r="AG734" s="80" t="n">
        <x:f>C734*W734</x:f>
        <x:v>599.9143664449489</x:v>
      </x:c>
      <x:c r="AH734" s="80" t="n">
        <x:f>2*'Inputs'!$B$8*'Inputs'!$C$46</x:f>
        <x:v>5000</x:v>
      </x:c>
      <x:c r="AI734" s="81" t="n">
        <x:f>IF(AH734&gt;0,(AE734+AF734)/AH734*365,0)</x:f>
        <x:v>20.97962750922656</x:v>
      </x:c>
      <x:c r="AJ734" s="81" t="n">
        <x:f>IF('Inputs'!$B$46&gt;0,AG734/('Inputs'!$B$19*'Inputs'!$B$46)*365,0)</x:f>
        <x:v>21.896874375240635</x:v>
      </x:c>
      <x:c r="AK734" s="81" t="n">
        <x:f>W734/MAX($W$734:W734)-1</x:f>
        <x:v>0</x:v>
      </x:c>
      <x:c r="AL734" s="83" t="n">
        <x:f>'Inputs'!$B$46</x:f>
        <x:v>1</x:v>
      </x:c>
      <x:c r="AM734" s="83" t="n">
        <x:f>'Inputs'!$C$46</x:f>
        <x:v>1</x:v>
      </x:c>
      <x:c r="AN734" s="83" t="n">
        <x:f>'Inputs'!$D$46</x:f>
        <x:v>1</x:v>
      </x:c>
      <x:c r="AO734" s="81" t="n">
        <x:f>'Inputs'!$E$46</x:f>
        <x:v>0</x:v>
      </x:c>
    </x:row>
    <x:row r="735">
      <x:c r="A735" s="59" t="str">
        <x:v>Base</x:v>
      </x:c>
      <x:c r="B735" s="59" t="n">
        <x:v>2</x:v>
      </x:c>
      <x:c r="C735" s="78" t="n">
        <x:f>(('Inputs'!$B$29*(3*2*'Inputs'!$B$12-2^2)/(2*'Inputs'!$B$12^2))-('Inputs'!$B$29*(3*1*'Inputs'!$B$12-1^2)/(2*'Inputs'!$B$12^2)))*'Inputs'!$B$46</x:f>
        <x:v>711498.6395196096</x:v>
      </x:c>
      <x:c r="D735" s="78" t="n">
        <x:f>IF('Inputs'!$C$46&gt;0,('Inputs'!$B$30*(3*2*'Inputs'!$B$12-2^2)/(2*'Inputs'!$B$12^2))-('Inputs'!$B$30*(3*1*'Inputs'!$B$12-1^2)/(2*'Inputs'!$B$12^2)),0)</x:f>
        <x:v>304927.98836554703</x:v>
      </x:c>
      <x:c r="E735" s="78" t="n">
        <x:f>C735+D735</x:f>
        <x:v>1016426.6278851567</x:v>
      </x:c>
      <x:c r="F735" s="78" t="n">
        <x:f>'Inputs'!$B$13*E735+(1-'Inputs'!$B$13)/'Inputs'!$B$14*SUM(E734:E735)</x:f>
        <x:v>232332.7212288556</x:v>
      </x:c>
      <x:c r="G735" s="78" t="n">
        <x:f>F735*'Inputs'!$F$46</x:f>
        <x:v>116166.3606144278</x:v>
      </x:c>
      <x:c r="H735" s="78" t="n">
        <x:f>U734</x:f>
        <x:v>5822799.887582472</x:v>
      </x:c>
      <x:c r="I735" s="78" t="n">
        <x:f>V734</x:f>
        <x:v>4907.368317166791</x:v>
      </x:c>
      <x:c r="J735" s="79" t="n">
        <x:f>IF(H735&gt;0,I735/H735,0)</x:f>
        <x:v>0.0008427849852151192</x:v>
      </x:c>
      <x:c r="K735" s="80" t="n">
        <x:f>(H735*J735+I735)*'Inputs'!$D$46*(1+'Inputs'!$G$46)^(B735/30)</x:f>
        <x:v>9814.736634333582</x:v>
      </x:c>
      <x:c r="L735" s="80" t="n">
        <x:f>MAX(0,K735*'Inputs'!$E$46)</x:f>
        <x:v>0</x:v>
      </x:c>
      <x:c r="M735" s="80" t="n">
        <x:f>MAX(0,-K735*'Inputs'!$E$46)</x:f>
        <x:v>0</x:v>
      </x:c>
      <x:c r="N735" s="78" t="n">
        <x:f>H735*(L735*(1-'Inputs'!$B$15))/(I735+L735*(1-'Inputs'!$B$15))</x:f>
        <x:v>0</x:v>
      </x:c>
      <x:c r="O735" s="78" t="n">
        <x:f>H735-N735</x:f>
        <x:v>5822799.887582472</x:v>
      </x:c>
      <x:c r="P735" s="78" t="n">
        <x:f>I735+L735*(1-'Inputs'!$B$17)</x:f>
        <x:v>4907.368317166791</x:v>
      </x:c>
      <x:c r="Q735" s="78" t="n">
        <x:f>IF(J735&gt;0,M735/J735,0)</x:f>
        <x:v>0</x:v>
      </x:c>
      <x:c r="R735" s="78" t="n">
        <x:f>IF(B735='Inputs'!$H$46,'Inputs'!$B$27*'Inputs'!$I$46,0)</x:f>
        <x:v>0</x:v>
      </x:c>
      <x:c r="S735" s="78" t="n">
        <x:f>Q735+G735+R735</x:f>
        <x:v>116166.3606144278</x:v>
      </x:c>
      <x:c r="T735" s="78" t="n">
        <x:f>P735*(S735*(1-'Inputs'!$B$15))/(O735+S735*(1-'Inputs'!$B$15))</x:f>
        <x:v>95.04698216044683</x:v>
      </x:c>
      <x:c r="U735" s="78" t="n">
        <x:f>O735+S735*(1-'Inputs'!$B$17)</x:f>
        <x:v>5938498.777932857</x:v>
      </x:c>
      <x:c r="V735" s="78" t="n">
        <x:f>P735-T735</x:f>
        <x:v>4812.321335006344</x:v>
      </x:c>
      <x:c r="W735" s="79" t="n">
        <x:f>IF(U735&gt;0,V735/U735,0)</x:f>
        <x:v>0.0008103599099638906</x:v>
      </x:c>
      <x:c r="X735" s="80" t="n">
        <x:f>W735*('Inputs'!$B$6-AC735)</x:f>
        <x:v>810321.5533480278</x:v>
      </x:c>
      <x:c r="Y735" s="80" t="n">
        <x:f>2*V735</x:f>
        <x:v>9624.642670012689</x:v>
      </x:c>
      <x:c r="Z735" s="80" t="n">
        <x:f>K735*'Inputs'!$B$16+(G735+R735)*J735*'Inputs'!$B$16</x:f>
        <x:v>59.47583939307904</x:v>
      </x:c>
      <x:c r="AA735" s="80" t="n">
        <x:f>K735*(1+'Inputs'!$E$46)/2*'Inputs'!$B$17</x:f>
        <x:v>19.747961034876422</x:v>
      </x:c>
      <x:c r="AB735" s="78" t="n">
        <x:f>(IF(J735&gt;0,K735*(1-'Inputs'!$E$46)/2/J735,0)+G735+R735)*'Inputs'!$B$17</x:f>
        <x:v>23899.260556124344</x:v>
      </x:c>
      <x:c r="AC735" s="78" t="n">
        <x:f>AC734+AB735</x:f>
        <x:v>47332.81519872676</x:v>
      </x:c>
      <x:c r="AD735" s="80" t="n">
        <x:f>Z735/(1+'Inputs'!$C$46)</x:f>
        <x:v>29.73791969653952</x:v>
      </x:c>
      <x:c r="AE735" s="80" t="n">
        <x:f>Z735-AD735</x:f>
        <x:v>29.73791969653952</x:v>
      </x:c>
      <x:c r="AF735" s="80" t="n">
        <x:f>D735*W735</x:f>
        <x:v>247.10141719737496</x:v>
      </x:c>
      <x:c r="AG735" s="80" t="n">
        <x:f>C735*W735</x:f>
        <x:v>576.5699734605415</x:v>
      </x:c>
      <x:c r="AH735" s="80" t="n">
        <x:f>2*'Inputs'!$B$8*'Inputs'!$C$46</x:f>
        <x:v>5000</x:v>
      </x:c>
      <x:c r="AI735" s="81" t="n">
        <x:f>IF(AH735&gt;0,(AE735+AF735)/AH735*365,0)</x:f>
        <x:v>20.209271593255757</x:v>
      </x:c>
      <x:c r="AJ735" s="81" t="n">
        <x:f>IF('Inputs'!$B$46&gt;0,AG735/('Inputs'!$B$19*'Inputs'!$B$46)*365,0)</x:f>
        <x:v>21.044804031309766</x:v>
      </x:c>
      <x:c r="AK735" s="81" t="n">
        <x:f>W735/MAX($W$734:W735)-1</x:f>
        <x:v>-0.03847372202881871</x:v>
      </x:c>
      <x:c r="AL735" s="83" t="n">
        <x:f>'Inputs'!$B$46</x:f>
        <x:v>1</x:v>
      </x:c>
      <x:c r="AM735" s="83" t="n">
        <x:f>'Inputs'!$C$46</x:f>
        <x:v>1</x:v>
      </x:c>
      <x:c r="AN735" s="83" t="n">
        <x:f>'Inputs'!$D$46</x:f>
        <x:v>1</x:v>
      </x:c>
      <x:c r="AO735" s="81" t="n">
        <x:f>'Inputs'!$E$46</x:f>
        <x:v>0</x:v>
      </x:c>
    </x:row>
    <x:row r="736">
      <x:c r="A736" s="59" t="str">
        <x:v>Base</x:v>
      </x:c>
      <x:c r="B736" s="59" t="n">
        <x:v>3</x:v>
      </x:c>
      <x:c r="C736" s="78" t="n">
        <x:f>(('Inputs'!$B$29*(3*3*'Inputs'!$B$12-3^2)/(2*'Inputs'!$B$12^2))-('Inputs'!$B$29*(3*2*'Inputs'!$B$12-2^2)/(2*'Inputs'!$B$12^2)))*'Inputs'!$B$46</x:f>
        <x:v>711173.5316194408</x:v>
      </x:c>
      <x:c r="D736" s="78" t="n">
        <x:f>IF('Inputs'!$C$46&gt;0,('Inputs'!$B$30*(3*3*'Inputs'!$B$12-3^2)/(2*'Inputs'!$B$12^2))-('Inputs'!$B$30*(3*2*'Inputs'!$B$12-2^2)/(2*'Inputs'!$B$12^2)),0)</x:f>
        <x:v>304788.6564083317</x:v>
      </x:c>
      <x:c r="E736" s="78" t="n">
        <x:f>C736+D736</x:f>
        <x:v>1015962.1880277725</x:v>
      </x:c>
      <x:c r="F736" s="78" t="n">
        <x:f>'Inputs'!$B$13*E736+(1-'Inputs'!$B$13)/'Inputs'!$B$14*SUM(E734:E736)</x:f>
        <x:v>246753.57880063265</x:v>
      </x:c>
      <x:c r="G736" s="78" t="n">
        <x:f>F736*'Inputs'!$F$46</x:f>
        <x:v>123376.78940031632</x:v>
      </x:c>
      <x:c r="H736" s="78" t="n">
        <x:f>U735</x:f>
        <x:v>5938498.777932857</x:v>
      </x:c>
      <x:c r="I736" s="78" t="n">
        <x:f>V735</x:f>
        <x:v>4812.321335006344</x:v>
      </x:c>
      <x:c r="J736" s="79" t="n">
        <x:f>IF(H736&gt;0,I736/H736,0)</x:f>
        <x:v>0.0008103599099638906</x:v>
      </x:c>
      <x:c r="K736" s="80" t="n">
        <x:f>(H736*J736+I736)*'Inputs'!$D$46*(1+'Inputs'!$G$46)^(B736/30)</x:f>
        <x:v>9624.642670012689</x:v>
      </x:c>
      <x:c r="L736" s="80" t="n">
        <x:f>MAX(0,K736*'Inputs'!$E$46)</x:f>
        <x:v>0</x:v>
      </x:c>
      <x:c r="M736" s="80" t="n">
        <x:f>MAX(0,-K736*'Inputs'!$E$46)</x:f>
        <x:v>0</x:v>
      </x:c>
      <x:c r="N736" s="78" t="n">
        <x:f>H736*(L736*(1-'Inputs'!$B$15))/(I736+L736*(1-'Inputs'!$B$15))</x:f>
        <x:v>0</x:v>
      </x:c>
      <x:c r="O736" s="78" t="n">
        <x:f>H736-N736</x:f>
        <x:v>5938498.777932857</x:v>
      </x:c>
      <x:c r="P736" s="78" t="n">
        <x:f>I736+L736*(1-'Inputs'!$B$17)</x:f>
        <x:v>4812.321335006344</x:v>
      </x:c>
      <x:c r="Q736" s="78" t="n">
        <x:f>IF(J736&gt;0,M736/J736,0)</x:f>
        <x:v>0</x:v>
      </x:c>
      <x:c r="R736" s="78" t="n">
        <x:f>IF(B736='Inputs'!$H$46,'Inputs'!$B$27*'Inputs'!$I$46,0)</x:f>
        <x:v>0</x:v>
      </x:c>
      <x:c r="S736" s="78" t="n">
        <x:f>Q736+G736+R736</x:f>
        <x:v>123376.78940031632</x:v>
      </x:c>
      <x:c r="T736" s="78" t="n">
        <x:f>P736*(S736*(1-'Inputs'!$B$15))/(O736+S736*(1-'Inputs'!$B$15))</x:f>
        <x:v>96.98502036060961</x:v>
      </x:c>
      <x:c r="U736" s="78" t="n">
        <x:f>O736+S736*(1-'Inputs'!$B$17)</x:f>
        <x:v>6061379.081259128</x:v>
      </x:c>
      <x:c r="V736" s="78" t="n">
        <x:f>P736-T736</x:f>
        <x:v>4715.336314645735</x:v>
      </x:c>
      <x:c r="W736" s="79" t="n">
        <x:f>IF(U736&gt;0,V736/U736,0)</x:f>
        <x:v>0.0007779312680219664</x:v>
      </x:c>
      <x:c r="X736" s="80" t="n">
        <x:f>W736*('Inputs'!$B$6-AC736)</x:f>
        <x:v>777875.4695943289</x:v>
      </x:c>
      <x:c r="Y736" s="80" t="n">
        <x:f>2*V736</x:f>
        <x:v>9430.67262929147</x:v>
      </x:c>
      <x:c r="Z736" s="80" t="n">
        <x:f>K736*'Inputs'!$B$16+(G736+R736)*J736*'Inputs'!$B$16</x:f>
        <x:v>58.34773364377658</x:v>
      </x:c>
      <x:c r="AA736" s="80" t="n">
        <x:f>K736*(1+'Inputs'!$E$46)/2*'Inputs'!$B$17</x:f>
        <x:v>19.365478209281065</x:v>
      </x:c>
      <x:c r="AB736" s="78" t="n">
        <x:f>(IF(J736&gt;0,K736*(1-'Inputs'!$E$46)/2/J736,0)+G736+R736)*'Inputs'!$B$17</x:f>
        <x:v>24393.86546210533</x:v>
      </x:c>
      <x:c r="AC736" s="78" t="n">
        <x:f>AC735+AB736</x:f>
        <x:v>71726.68066083209</x:v>
      </x:c>
      <x:c r="AD736" s="80" t="n">
        <x:f>Z736/(1+'Inputs'!$C$46)</x:f>
        <x:v>29.17386682188829</x:v>
      </x:c>
      <x:c r="AE736" s="80" t="n">
        <x:f>Z736-AD736</x:f>
        <x:v>29.17386682188829</x:v>
      </x:c>
      <x:c r="AF736" s="80" t="n">
        <x:f>D736*W736</x:f>
        <x:v>237.10462595844493</x:v>
      </x:c>
      <x:c r="AG736" s="80" t="n">
        <x:f>C736*W736</x:f>
        <x:v>553.2441272363716</x:v>
      </x:c>
      <x:c r="AH736" s="80" t="n">
        <x:f>2*'Inputs'!$B$8*'Inputs'!$C$46</x:f>
        <x:v>5000</x:v>
      </x:c>
      <x:c r="AI736" s="81" t="n">
        <x:f>IF(AH736&gt;0,(AE736+AF736)/AH736*365,0)</x:f>
        <x:v>19.438329972964326</x:v>
      </x:c>
      <x:c r="AJ736" s="81" t="n">
        <x:f>IF('Inputs'!$B$46&gt;0,AG736/('Inputs'!$B$19*'Inputs'!$B$46)*365,0)</x:f>
        <x:v>20.193410644127564</x:v>
      </x:c>
      <x:c r="AK736" s="81" t="n">
        <x:f>W736/MAX($W$734:W736)-1</x:f>
        <x:v>-0.0769516760868717</x:v>
      </x:c>
      <x:c r="AL736" s="83" t="n">
        <x:f>'Inputs'!$B$46</x:f>
        <x:v>1</x:v>
      </x:c>
      <x:c r="AM736" s="83" t="n">
        <x:f>'Inputs'!$C$46</x:f>
        <x:v>1</x:v>
      </x:c>
      <x:c r="AN736" s="83" t="n">
        <x:f>'Inputs'!$D$46</x:f>
        <x:v>1</x:v>
      </x:c>
      <x:c r="AO736" s="81" t="n">
        <x:f>'Inputs'!$E$46</x:f>
        <x:v>0</x:v>
      </x:c>
    </x:row>
    <x:row r="737">
      <x:c r="A737" s="59" t="str">
        <x:v>Base</x:v>
      </x:c>
      <x:c r="B737" s="59" t="n">
        <x:v>4</x:v>
      </x:c>
      <x:c r="C737" s="78" t="n">
        <x:f>(('Inputs'!$B$29*(3*4*'Inputs'!$B$12-4^2)/(2*'Inputs'!$B$12^2))-('Inputs'!$B$29*(3*3*'Inputs'!$B$12-3^2)/(2*'Inputs'!$B$12^2)))*'Inputs'!$B$46</x:f>
        <x:v>710848.423719272</x:v>
      </x:c>
      <x:c r="D737" s="78" t="n">
        <x:f>IF('Inputs'!$C$46&gt;0,('Inputs'!$B$30*(3*4*'Inputs'!$B$12-4^2)/(2*'Inputs'!$B$12^2))-('Inputs'!$B$30*(3*3*'Inputs'!$B$12-3^2)/(2*'Inputs'!$B$12^2)),0)</x:f>
        <x:v>304649.3244511165</x:v>
      </x:c>
      <x:c r="E737" s="78" t="n">
        <x:f>C737+D737</x:f>
        <x:v>1015497.7481703885</x:v>
      </x:c>
      <x:c r="F737" s="78" t="n">
        <x:f>'Inputs'!$B$13*E737+(1-'Inputs'!$B$13)/'Inputs'!$B$14*SUM(E734:E737)</x:f>
        <x:v>261167.80151730427</x:v>
      </x:c>
      <x:c r="G737" s="78" t="n">
        <x:f>F737*'Inputs'!$F$46</x:f>
        <x:v>130583.90075865213</x:v>
      </x:c>
      <x:c r="H737" s="78" t="n">
        <x:f>U736</x:f>
        <x:v>6061379.081259128</x:v>
      </x:c>
      <x:c r="I737" s="78" t="n">
        <x:f>V736</x:f>
        <x:v>4715.336314645735</x:v>
      </x:c>
      <x:c r="J737" s="79" t="n">
        <x:f>IF(H737&gt;0,I737/H737,0)</x:f>
        <x:v>0.0007779312680219664</x:v>
      </x:c>
      <x:c r="K737" s="80" t="n">
        <x:f>(H737*J737+I737)*'Inputs'!$D$46*(1+'Inputs'!$G$46)^(B737/30)</x:f>
        <x:v>9430.67262929147</x:v>
      </x:c>
      <x:c r="L737" s="80" t="n">
        <x:f>MAX(0,K737*'Inputs'!$E$46)</x:f>
        <x:v>0</x:v>
      </x:c>
      <x:c r="M737" s="80" t="n">
        <x:f>MAX(0,-K737*'Inputs'!$E$46)</x:f>
        <x:v>0</x:v>
      </x:c>
      <x:c r="N737" s="78" t="n">
        <x:f>H737*(L737*(1-'Inputs'!$B$15))/(I737+L737*(1-'Inputs'!$B$15))</x:f>
        <x:v>0</x:v>
      </x:c>
      <x:c r="O737" s="78" t="n">
        <x:f>H737-N737</x:f>
        <x:v>6061379.081259128</x:v>
      </x:c>
      <x:c r="P737" s="78" t="n">
        <x:f>I737+L737*(1-'Inputs'!$B$17)</x:f>
        <x:v>4715.336314645735</x:v>
      </x:c>
      <x:c r="Q737" s="78" t="n">
        <x:f>IF(J737&gt;0,M737/J737,0)</x:f>
        <x:v>0</x:v>
      </x:c>
      <x:c r="R737" s="78" t="n">
        <x:f>IF(B737='Inputs'!$H$46,'Inputs'!$B$27*'Inputs'!$I$46,0)</x:f>
        <x:v>0</x:v>
      </x:c>
      <x:c r="S737" s="78" t="n">
        <x:f>Q737+G737+R737</x:f>
        <x:v>130583.90075865213</x:v>
      </x:c>
      <x:c r="T737" s="78" t="n">
        <x:f>P737*(S737*(1-'Inputs'!$B$15))/(O737+S737*(1-'Inputs'!$B$15))</x:f>
        <x:v>98.4692780071167</x:v>
      </x:c>
      <x:c r="U737" s="78" t="n">
        <x:f>O737+S737*(1-'Inputs'!$B$17)</x:f>
        <x:v>6191437.49348354</x:v>
      </x:c>
      <x:c r="V737" s="78" t="n">
        <x:f>P737-T737</x:f>
        <x:v>4616.867036638619</x:v>
      </x:c>
      <x:c r="W737" s="79" t="n">
        <x:f>IF(U737&gt;0,V737/U737,0)</x:f>
        <x:v>0.0007456858026101129</x:v>
      </x:c>
      <x:c r="X737" s="80" t="n">
        <x:f>W737*('Inputs'!$B$6-AC737)</x:f>
        <x:v>745613.7365240199</x:v>
      </x:c>
      <x:c r="Y737" s="80" t="n">
        <x:f>2*V737</x:f>
        <x:v>9233.734073277237</x:v>
      </x:c>
      <x:c r="Z737" s="80" t="n">
        <x:f>K737*'Inputs'!$B$16+(G737+R737)*J737*'Inputs'!$B$16</x:f>
        <x:v>57.19354757275142</x:v>
      </x:c>
      <x:c r="AA737" s="80" t="n">
        <x:f>K737*(1+'Inputs'!$E$46)/2*'Inputs'!$B$17</x:f>
        <x:v>18.97519643720618</x:v>
      </x:c>
      <x:c r="AB737" s="78" t="n">
        <x:f>(IF(J737&gt;0,K737*(1-'Inputs'!$E$46)/2/J737,0)+G737+R737)*'Inputs'!$B$17</x:f>
        <x:v>24917.35606445787</x:v>
      </x:c>
      <x:c r="AC737" s="78" t="n">
        <x:f>AC736+AB737</x:f>
        <x:v>96644.03672528996</x:v>
      </x:c>
      <x:c r="AD737" s="80" t="n">
        <x:f>Z737/(1+'Inputs'!$C$46)</x:f>
        <x:v>28.59677378637571</x:v>
      </x:c>
      <x:c r="AE737" s="80" t="n">
        <x:f>Z737-AD737</x:f>
        <x:v>28.59677378637571</x:v>
      </x:c>
      <x:c r="AF737" s="80" t="n">
        <x:f>D737*W737</x:f>
        <x:v>227.17267601795947</x:v>
      </x:c>
      <x:c r="AG737" s="80" t="n">
        <x:f>C737*W737</x:f>
        <x:v>530.069577375239</x:v>
      </x:c>
      <x:c r="AH737" s="80" t="n">
        <x:f>2*'Inputs'!$B$8*'Inputs'!$C$46</x:f>
        <x:v>5000</x:v>
      </x:c>
      <x:c r="AI737" s="81" t="n">
        <x:f>IF(AH737&gt;0,(AE737+AF737)/AH737*365,0)</x:f>
        <x:v>18.67116983571647</x:v>
      </x:c>
      <x:c r="AJ737" s="81" t="n">
        <x:f>IF('Inputs'!$B$46&gt;0,AG737/('Inputs'!$B$19*'Inputs'!$B$46)*365,0)</x:f>
        <x:v>19.347539574196222</x:v>
      </x:c>
      <x:c r="AK737" s="81" t="n">
        <x:f>W737/MAX($W$734:W737)-1</x:f>
        <x:v>-0.11521228345118406</x:v>
      </x:c>
      <x:c r="AL737" s="83" t="n">
        <x:f>'Inputs'!$B$46</x:f>
        <x:v>1</x:v>
      </x:c>
      <x:c r="AM737" s="83" t="n">
        <x:f>'Inputs'!$C$46</x:f>
        <x:v>1</x:v>
      </x:c>
      <x:c r="AN737" s="83" t="n">
        <x:f>'Inputs'!$D$46</x:f>
        <x:v>1</x:v>
      </x:c>
      <x:c r="AO737" s="81" t="n">
        <x:f>'Inputs'!$E$46</x:f>
        <x:v>0</x:v>
      </x:c>
    </x:row>
    <x:row r="738">
      <x:c r="A738" s="59" t="str">
        <x:v>Base</x:v>
      </x:c>
      <x:c r="B738" s="59" t="n">
        <x:v>5</x:v>
      </x:c>
      <x:c r="C738" s="78" t="n">
        <x:f>(('Inputs'!$B$29*(3*5*'Inputs'!$B$12-5^2)/(2*'Inputs'!$B$12^2))-('Inputs'!$B$29*(3*4*'Inputs'!$B$12-4^2)/(2*'Inputs'!$B$12^2)))*'Inputs'!$B$46</x:f>
        <x:v>710523.3158191028</x:v>
      </x:c>
      <x:c r="D738" s="78" t="n">
        <x:f>IF('Inputs'!$C$46&gt;0,('Inputs'!$B$30*(3*5*'Inputs'!$B$12-5^2)/(2*'Inputs'!$B$12^2))-('Inputs'!$B$30*(3*4*'Inputs'!$B$12-4^2)/(2*'Inputs'!$B$12^2)),0)</x:f>
        <x:v>304509.9924939014</x:v>
      </x:c>
      <x:c r="E738" s="78" t="n">
        <x:f>C738+D738</x:f>
        <x:v>1015033.3083130042</x:v>
      </x:c>
      <x:c r="F738" s="78" t="n">
        <x:f>'Inputs'!$B$13*E738+(1-'Inputs'!$B$13)/'Inputs'!$B$14*SUM(E734:E738)</x:f>
        <x:v>275575.3893788703</x:v>
      </x:c>
      <x:c r="G738" s="78" t="n">
        <x:f>F738*'Inputs'!$F$46</x:f>
        <x:v>137787.69468943516</x:v>
      </x:c>
      <x:c r="H738" s="78" t="n">
        <x:f>U737</x:f>
        <x:v>6191437.49348354</x:v>
      </x:c>
      <x:c r="I738" s="78" t="n">
        <x:f>V737</x:f>
        <x:v>4616.867036638619</x:v>
      </x:c>
      <x:c r="J738" s="79" t="n">
        <x:f>IF(H738&gt;0,I738/H738,0)</x:f>
        <x:v>0.0007456858026101129</x:v>
      </x:c>
      <x:c r="K738" s="80" t="n">
        <x:f>(H738*J738+I738)*'Inputs'!$D$46*(1+'Inputs'!$G$46)^(B738/30)</x:f>
        <x:v>9233.734073277237</x:v>
      </x:c>
      <x:c r="L738" s="80" t="n">
        <x:f>MAX(0,K738*'Inputs'!$E$46)</x:f>
        <x:v>0</x:v>
      </x:c>
      <x:c r="M738" s="80" t="n">
        <x:f>MAX(0,-K738*'Inputs'!$E$46)</x:f>
        <x:v>0</x:v>
      </x:c>
      <x:c r="N738" s="78" t="n">
        <x:f>H738*(L738*(1-'Inputs'!$B$15))/(I738+L738*(1-'Inputs'!$B$15))</x:f>
        <x:v>0</x:v>
      </x:c>
      <x:c r="O738" s="78" t="n">
        <x:f>H738-N738</x:f>
        <x:v>6191437.49348354</x:v>
      </x:c>
      <x:c r="P738" s="78" t="n">
        <x:f>I738+L738*(1-'Inputs'!$B$17)</x:f>
        <x:v>4616.867036638619</x:v>
      </x:c>
      <x:c r="Q738" s="78" t="n">
        <x:f>IF(J738&gt;0,M738/J738,0)</x:f>
        <x:v>0</x:v>
      </x:c>
      <x:c r="R738" s="78" t="n">
        <x:f>IF(B738='Inputs'!$H$46,'Inputs'!$B$27*'Inputs'!$I$46,0)</x:f>
        <x:v>0</x:v>
      </x:c>
      <x:c r="S738" s="78" t="n">
        <x:f>Q738+G738+R738</x:f>
        <x:v>137787.69468943516</x:v>
      </x:c>
      <x:c r="T738" s="78" t="n">
        <x:f>P738*(S738*(1-'Inputs'!$B$15))/(O738+S738*(1-'Inputs'!$B$15))</x:f>
        <x:v>99.52610422380614</x:v>
      </x:c>
      <x:c r="U738" s="78" t="n">
        <x:f>O738+S738*(1-'Inputs'!$B$17)</x:f>
        <x:v>6328670.7105283495</x:v>
      </x:c>
      <x:c r="V738" s="78" t="n">
        <x:f>P738-T738</x:f>
        <x:v>4517.340932414812</x:v>
      </x:c>
      <x:c r="W738" s="79" t="n">
        <x:f>IF(U738&gt;0,V738/U738,0)</x:f>
        <x:v>0.0007137898524092561</x:v>
      </x:c>
      <x:c r="X738" s="80" t="n">
        <x:f>W738*('Inputs'!$B$6-AC738)</x:f>
        <x:v>713702.6888495319</x:v>
      </x:c>
      <x:c r="Y738" s="80" t="n">
        <x:f>2*V738</x:f>
        <x:v>9034.681864829625</x:v>
      </x:c>
      <x:c r="Z738" s="80" t="n">
        <x:f>K738*'Inputs'!$B$16+(G738+R738)*J738*'Inputs'!$B$16</x:f>
        <x:v>56.01888240588916</x:v>
      </x:c>
      <x:c r="AA738" s="80" t="n">
        <x:f>K738*(1+'Inputs'!$E$46)/2*'Inputs'!$B$17</x:f>
        <x:v>18.57894179733851</x:v>
      </x:c>
      <x:c r="AB738" s="78" t="n">
        <x:f>(IF(J738&gt;0,K738*(1-'Inputs'!$E$46)/2/J738,0)+G738+R738)*'Inputs'!$B$17</x:f>
        <x:v>25469.71906709447</x:v>
      </x:c>
      <x:c r="AC738" s="78" t="n">
        <x:f>AC737+AB738</x:f>
        <x:v>122113.75579238443</x:v>
      </x:c>
      <x:c r="AD738" s="80" t="n">
        <x:f>Z738/(1+'Inputs'!$C$46)</x:f>
        <x:v>28.00944120294458</x:v>
      </x:c>
      <x:c r="AE738" s="80" t="n">
        <x:f>Z738-AD738</x:f>
        <x:v>28.00944120294458</x:v>
      </x:c>
      <x:c r="AF738" s="80" t="n">
        <x:f>D738*W738</x:f>
        <x:v>217.35614259936557</x:v>
      </x:c>
      <x:c r="AG738" s="80" t="n">
        <x:f>C738*W738</x:f>
        <x:v>507.16433273185265</x:v>
      </x:c>
      <x:c r="AH738" s="80" t="n">
        <x:f>2*'Inputs'!$B$8*'Inputs'!$C$46</x:f>
        <x:v>5000</x:v>
      </x:c>
      <x:c r="AI738" s="81" t="n">
        <x:f>IF(AH738&gt;0,(AE738+AF738)/AH738*365,0)</x:f>
        <x:v>17.91168761756864</x:v>
      </x:c>
      <x:c r="AJ738" s="81" t="n">
        <x:f>IF('Inputs'!$B$46&gt;0,AG738/('Inputs'!$B$19*'Inputs'!$B$46)*365,0)</x:f>
        <x:v>18.511498144712622</x:v>
      </x:c>
      <x:c r="AK738" s="81" t="n">
        <x:f>W738/MAX($W$734:W738)-1</x:f>
        <x:v>-0.153058176247572</x:v>
      </x:c>
      <x:c r="AL738" s="83" t="n">
        <x:f>'Inputs'!$B$46</x:f>
        <x:v>1</x:v>
      </x:c>
      <x:c r="AM738" s="83" t="n">
        <x:f>'Inputs'!$C$46</x:f>
        <x:v>1</x:v>
      </x:c>
      <x:c r="AN738" s="83" t="n">
        <x:f>'Inputs'!$D$46</x:f>
        <x:v>1</x:v>
      </x:c>
      <x:c r="AO738" s="81" t="n">
        <x:f>'Inputs'!$E$46</x:f>
        <x:v>0</x:v>
      </x:c>
    </x:row>
    <x:row r="739">
      <x:c r="A739" s="59" t="str">
        <x:v>Base</x:v>
      </x:c>
      <x:c r="B739" s="59" t="n">
        <x:v>6</x:v>
      </x:c>
      <x:c r="C739" s="78" t="n">
        <x:f>(('Inputs'!$B$29*(3*6*'Inputs'!$B$12-6^2)/(2*'Inputs'!$B$12^2))-('Inputs'!$B$29*(3*5*'Inputs'!$B$12-5^2)/(2*'Inputs'!$B$12^2)))*'Inputs'!$B$46</x:f>
        <x:v>710198.2079189345</x:v>
      </x:c>
      <x:c r="D739" s="78" t="n">
        <x:f>IF('Inputs'!$C$46&gt;0,('Inputs'!$B$30*(3*6*'Inputs'!$B$12-6^2)/(2*'Inputs'!$B$12^2))-('Inputs'!$B$30*(3*5*'Inputs'!$B$12-5^2)/(2*'Inputs'!$B$12^2)),0)</x:f>
        <x:v>304370.66053668596</x:v>
      </x:c>
      <x:c r="E739" s="78" t="n">
        <x:f>C739+D739</x:f>
        <x:v>1014568.8684556205</x:v>
      </x:c>
      <x:c r="F739" s="78" t="n">
        <x:f>'Inputs'!$B$13*E739+(1-'Inputs'!$B$13)/'Inputs'!$B$14*SUM(E734:E739)</x:f>
        <x:v>289976.342385331</x:v>
      </x:c>
      <x:c r="G739" s="78" t="n">
        <x:f>F739*'Inputs'!$F$46</x:f>
        <x:v>144988.1711926655</x:v>
      </x:c>
      <x:c r="H739" s="78" t="n">
        <x:f>U738</x:f>
        <x:v>6328670.7105283495</x:v>
      </x:c>
      <x:c r="I739" s="78" t="n">
        <x:f>V738</x:f>
        <x:v>4517.340932414812</x:v>
      </x:c>
      <x:c r="J739" s="79" t="n">
        <x:f>IF(H739&gt;0,I739/H739,0)</x:f>
        <x:v>0.0007137898524092561</x:v>
      </x:c>
      <x:c r="K739" s="80" t="n">
        <x:f>(H739*J739+I739)*'Inputs'!$D$46*(1+'Inputs'!$G$46)^(B739/30)</x:f>
        <x:v>9034.681864829625</x:v>
      </x:c>
      <x:c r="L739" s="80" t="n">
        <x:f>MAX(0,K739*'Inputs'!$E$46)</x:f>
        <x:v>0</x:v>
      </x:c>
      <x:c r="M739" s="80" t="n">
        <x:f>MAX(0,-K739*'Inputs'!$E$46)</x:f>
        <x:v>0</x:v>
      </x:c>
      <x:c r="N739" s="78" t="n">
        <x:f>H739*(L739*(1-'Inputs'!$B$15))/(I739+L739*(1-'Inputs'!$B$15))</x:f>
        <x:v>0</x:v>
      </x:c>
      <x:c r="O739" s="78" t="n">
        <x:f>H739-N739</x:f>
        <x:v>6328670.7105283495</x:v>
      </x:c>
      <x:c r="P739" s="78" t="n">
        <x:f>I739+L739*(1-'Inputs'!$B$17)</x:f>
        <x:v>4517.340932414812</x:v>
      </x:c>
      <x:c r="Q739" s="78" t="n">
        <x:f>IF(J739&gt;0,M739/J739,0)</x:f>
        <x:v>0</x:v>
      </x:c>
      <x:c r="R739" s="78" t="n">
        <x:f>IF(B739='Inputs'!$H$46,'Inputs'!$B$27*'Inputs'!$I$46,0)</x:f>
        <x:v>0</x:v>
      </x:c>
      <x:c r="S739" s="78" t="n">
        <x:f>Q739+G739+R739</x:f>
        <x:v>144988.1711926655</x:v>
      </x:c>
      <x:c r="T739" s="78" t="n">
        <x:f>P739*(S739*(1-'Inputs'!$B$15))/(O739+S739*(1-'Inputs'!$B$15))</x:f>
        <x:v>100.18393881273572</x:v>
      </x:c>
      <x:c r="U739" s="78" t="n">
        <x:f>O739+S739*(1-'Inputs'!$B$17)</x:f>
        <x:v>6473075.428315813</x:v>
      </x:c>
      <x:c r="V739" s="78" t="n">
        <x:f>P739-T739</x:f>
        <x:v>4417.156993602077</x:v>
      </x:c>
      <x:c r="W739" s="79" t="n">
        <x:f>IF(U739&gt;0,V739/U739,0)</x:f>
        <x:v>0.000682389235614291</x:v>
      </x:c>
      <x:c r="X739" s="80" t="n">
        <x:f>W739*('Inputs'!$B$6-AC739)</x:f>
        <x:v>682288.1296199831</x:v>
      </x:c>
      <x:c r="Y739" s="80" t="n">
        <x:f>2*V739</x:f>
        <x:v>8834.313987204154</x:v>
      </x:c>
      <x:c r="Z739" s="80" t="n">
        <x:f>K739*'Inputs'!$B$16+(G739+R739)*J739*'Inputs'!$B$16</x:f>
        <x:v>54.82903770087795</x:v>
      </x:c>
      <x:c r="AA739" s="80" t="n">
        <x:f>K739*(1+'Inputs'!$E$46)/2*'Inputs'!$B$17</x:f>
        <x:v>18.17843433567329</x:v>
      </x:c>
      <x:c r="AB739" s="78" t="n">
        <x:f>(IF(J739&gt;0,K739*(1-'Inputs'!$E$46)/2/J739,0)+G739+R739)*'Inputs'!$B$17</x:f>
        <x:v>26050.94117392763</x:v>
      </x:c>
      <x:c r="AC739" s="78" t="n">
        <x:f>AC738+AB739</x:f>
        <x:v>148164.69696631207</x:v>
      </x:c>
      <x:c r="AD739" s="80" t="n">
        <x:f>Z739/(1+'Inputs'!$C$46)</x:f>
        <x:v>27.414518850438974</x:v>
      </x:c>
      <x:c r="AE739" s="80" t="n">
        <x:f>Z739-AD739</x:f>
        <x:v>27.414518850438974</x:v>
      </x:c>
      <x:c r="AF739" s="80" t="n">
        <x:f>D739*W739</x:f>
        <x:v>207.699262387046</x:v>
      </x:c>
      <x:c r="AG739" s="80" t="n">
        <x:f>C739*W739</x:f>
        <x:v>484.6316122364411</x:v>
      </x:c>
      <x:c r="AH739" s="80" t="n">
        <x:f>2*'Inputs'!$B$8*'Inputs'!$C$46</x:f>
        <x:v>5000</x:v>
      </x:c>
      <x:c r="AI739" s="81" t="n">
        <x:f>IF(AH739&gt;0,(AE739+AF739)/AH739*365,0)</x:f>
        <x:v>17.163306030336404</x:v>
      </x:c>
      <x:c r="AJ739" s="81" t="n">
        <x:f>IF('Inputs'!$B$46&gt;0,AG739/('Inputs'!$B$19*'Inputs'!$B$46)*365,0)</x:f>
        <x:v>17.6890538466301</x:v>
      </x:c>
      <x:c r="AK739" s="81" t="n">
        <x:f>W739/MAX($W$734:W739)-1</x:f>
        <x:v>-0.19031633502569756</x:v>
      </x:c>
      <x:c r="AL739" s="83" t="n">
        <x:f>'Inputs'!$B$46</x:f>
        <x:v>1</x:v>
      </x:c>
      <x:c r="AM739" s="83" t="n">
        <x:f>'Inputs'!$C$46</x:f>
        <x:v>1</x:v>
      </x:c>
      <x:c r="AN739" s="83" t="n">
        <x:f>'Inputs'!$D$46</x:f>
        <x:v>1</x:v>
      </x:c>
      <x:c r="AO739" s="81" t="n">
        <x:f>'Inputs'!$E$46</x:f>
        <x:v>0</x:v>
      </x:c>
    </x:row>
    <x:row r="740">
      <x:c r="A740" s="59" t="str">
        <x:v>Base</x:v>
      </x:c>
      <x:c r="B740" s="59" t="n">
        <x:v>7</x:v>
      </x:c>
      <x:c r="C740" s="78" t="n">
        <x:f>(('Inputs'!$B$29*(3*7*'Inputs'!$B$12-7^2)/(2*'Inputs'!$B$12^2))-('Inputs'!$B$29*(3*6*'Inputs'!$B$12-6^2)/(2*'Inputs'!$B$12^2)))*'Inputs'!$B$46</x:f>
        <x:v>709873.1000187648</x:v>
      </x:c>
      <x:c r="D740" s="78" t="n">
        <x:f>IF('Inputs'!$C$46&gt;0,('Inputs'!$B$30*(3*7*'Inputs'!$B$12-7^2)/(2*'Inputs'!$B$12^2))-('Inputs'!$B$30*(3*6*'Inputs'!$B$12-6^2)/(2*'Inputs'!$B$12^2)),0)</x:f>
        <x:v>304231.32857947075</x:v>
      </x:c>
      <x:c r="E740" s="78" t="n">
        <x:f>C740+D740</x:f>
        <x:v>1014104.4285982356</x:v>
      </x:c>
      <x:c r="F740" s="78" t="n">
        <x:f>'Inputs'!$B$13*E740+(1-'Inputs'!$B$13)/'Inputs'!$B$14*SUM(E734:E740)</x:f>
        <x:v>304370.66053668596</x:v>
      </x:c>
      <x:c r="G740" s="78" t="n">
        <x:f>F740*'Inputs'!$F$46</x:f>
        <x:v>152185.33026834298</x:v>
      </x:c>
      <x:c r="H740" s="78" t="n">
        <x:f>U739</x:f>
        <x:v>6473075.428315813</x:v>
      </x:c>
      <x:c r="I740" s="78" t="n">
        <x:f>V739</x:f>
        <x:v>4417.156993602077</x:v>
      </x:c>
      <x:c r="J740" s="79" t="n">
        <x:f>IF(H740&gt;0,I740/H740,0)</x:f>
        <x:v>0.000682389235614291</x:v>
      </x:c>
      <x:c r="K740" s="80" t="n">
        <x:f>(H740*J740+I740)*'Inputs'!$D$46*(1+'Inputs'!$G$46)^(B740/30)</x:f>
        <x:v>8834.313987204154</x:v>
      </x:c>
      <x:c r="L740" s="80" t="n">
        <x:f>MAX(0,K740*'Inputs'!$E$46)</x:f>
        <x:v>0</x:v>
      </x:c>
      <x:c r="M740" s="80" t="n">
        <x:f>MAX(0,-K740*'Inputs'!$E$46)</x:f>
        <x:v>0</x:v>
      </x:c>
      <x:c r="N740" s="78" t="n">
        <x:f>H740*(L740*(1-'Inputs'!$B$15))/(I740+L740*(1-'Inputs'!$B$15))</x:f>
        <x:v>0</x:v>
      </x:c>
      <x:c r="O740" s="78" t="n">
        <x:f>H740-N740</x:f>
        <x:v>6473075.428315813</x:v>
      </x:c>
      <x:c r="P740" s="78" t="n">
        <x:f>I740+L740*(1-'Inputs'!$B$17)</x:f>
        <x:v>4417.156993602077</x:v>
      </x:c>
      <x:c r="Q740" s="78" t="n">
        <x:f>IF(J740&gt;0,M740/J740,0)</x:f>
        <x:v>0</x:v>
      </x:c>
      <x:c r="R740" s="78" t="n">
        <x:f>IF(B740='Inputs'!$H$46,'Inputs'!$B$27*'Inputs'!$I$46,0)</x:f>
        <x:v>0</x:v>
      </x:c>
      <x:c r="S740" s="78" t="n">
        <x:f>Q740+G740+R740</x:f>
        <x:v>152185.33026834298</x:v>
      </x:c>
      <x:c r="T740" s="78" t="n">
        <x:f>P740*(S740*(1-'Inputs'!$B$15))/(O740+S740*(1-'Inputs'!$B$15))</x:f>
        <x:v>100.47259417617222</x:v>
      </x:c>
      <x:c r="U740" s="78" t="n">
        <x:f>O740+S740*(1-'Inputs'!$B$17)</x:f>
        <x:v>6624648.342768187</x:v>
      </x:c>
      <x:c r="V740" s="78" t="n">
        <x:f>P740-T740</x:f>
        <x:v>4316.684399425904</x:v>
      </x:c>
      <x:c r="W740" s="79" t="n">
        <x:f>IF(U740&gt;0,V740/U740,0)</x:f>
        <x:v>0.00065160959134355</x:v>
      </x:c>
      <x:c r="X740" s="80" t="n">
        <x:f>W740*('Inputs'!$B$6-AC740)</x:f>
        <x:v>651495.673236671</x:v>
      </x:c>
      <x:c r="Y740" s="80" t="n">
        <x:f>2*V740</x:f>
        <x:v>8633.368798851809</x:v>
      </x:c>
      <x:c r="Z740" s="80" t="n">
        <x:f>K740*'Inputs'!$B$16+(G740+R740)*J740*'Inputs'!$B$16</x:f>
        <x:v>53.62898171038606</x:v>
      </x:c>
      <x:c r="AA740" s="80" t="n">
        <x:f>K740*(1+'Inputs'!$E$46)/2*'Inputs'!$B$17</x:f>
        <x:v>17.775279652322244</x:v>
      </x:c>
      <x:c r="AB740" s="78" t="n">
        <x:f>(IF(J740&gt;0,K740*(1-'Inputs'!$E$46)/2/J740,0)+G740+R740)*'Inputs'!$B$17</x:f>
        <x:v>26661.009088869843</x:v>
      </x:c>
      <x:c r="AC740" s="78" t="n">
        <x:f>AC739+AB740</x:f>
        <x:v>174825.70605518192</x:v>
      </x:c>
      <x:c r="AD740" s="80" t="n">
        <x:f>Z740/(1+'Inputs'!$C$46)</x:f>
        <x:v>26.81449085519303</x:v>
      </x:c>
      <x:c r="AE740" s="80" t="n">
        <x:f>Z740-AD740</x:f>
        <x:v>26.81449085519303</x:v>
      </x:c>
      <x:c r="AF740" s="80" t="n">
        <x:f>D740*W740</x:f>
        <x:v>198.24005168957422</x:v>
      </x:c>
      <x:c r="AG740" s="80" t="n">
        <x:f>C740*W740</x:f>
        <x:v>462.5601206090064</x:v>
      </x:c>
      <x:c r="AH740" s="80" t="n">
        <x:f>2*'Inputs'!$B$8*'Inputs'!$C$46</x:f>
        <x:v>5000</x:v>
      </x:c>
      <x:c r="AI740" s="81" t="n">
        <x:f>IF(AH740&gt;0,(AE740+AF740)/AH740*365,0)</x:f>
        <x:v>16.42898160576801</x:v>
      </x:c>
      <x:c r="AJ740" s="81" t="n">
        <x:f>IF('Inputs'!$B$46&gt;0,AG740/('Inputs'!$B$19*'Inputs'!$B$46)*365,0)</x:f>
        <x:v>16.883444402228733</x:v>
      </x:c>
      <x:c r="AK740" s="81" t="n">
        <x:f>W740/MAX($W$734:W740)-1</x:f>
        <x:v>-0.22683768366230683</x:v>
      </x:c>
      <x:c r="AL740" s="83" t="n">
        <x:f>'Inputs'!$B$46</x:f>
        <x:v>1</x:v>
      </x:c>
      <x:c r="AM740" s="83" t="n">
        <x:f>'Inputs'!$C$46</x:f>
        <x:v>1</x:v>
      </x:c>
      <x:c r="AN740" s="83" t="n">
        <x:f>'Inputs'!$D$46</x:f>
        <x:v>1</x:v>
      </x:c>
      <x:c r="AO740" s="81" t="n">
        <x:f>'Inputs'!$E$46</x:f>
        <x:v>0</x:v>
      </x:c>
    </x:row>
    <x:row r="741">
      <x:c r="A741" s="59" t="str">
        <x:v>Base</x:v>
      </x:c>
      <x:c r="B741" s="59" t="n">
        <x:v>8</x:v>
      </x:c>
      <x:c r="C741" s="78" t="n">
        <x:f>(('Inputs'!$B$29*(3*8*'Inputs'!$B$12-8^2)/(2*'Inputs'!$B$12^2))-('Inputs'!$B$29*(3*7*'Inputs'!$B$12-7^2)/(2*'Inputs'!$B$12^2)))*'Inputs'!$B$46</x:f>
        <x:v>709547.9921185961</x:v>
      </x:c>
      <x:c r="D741" s="78" t="n">
        <x:f>IF('Inputs'!$C$46&gt;0,('Inputs'!$B$30*(3*8*'Inputs'!$B$12-8^2)/(2*'Inputs'!$B$12^2))-('Inputs'!$B$30*(3*7*'Inputs'!$B$12-7^2)/(2*'Inputs'!$B$12^2)),0)</x:f>
        <x:v>304091.99662225554</x:v>
      </x:c>
      <x:c r="E741" s="78" t="n">
        <x:f>C741+D741</x:f>
        <x:v>1013639.9887408516</x:v>
      </x:c>
      <x:c r="F741" s="78" t="n">
        <x:f>'Inputs'!$B$13*E741+(1-'Inputs'!$B$13)/'Inputs'!$B$14*SUM(E734:E741)</x:f>
        <x:v>318758.3438329357</x:v>
      </x:c>
      <x:c r="G741" s="78" t="n">
        <x:f>F741*'Inputs'!$F$46</x:f>
        <x:v>159379.17191646784</x:v>
      </x:c>
      <x:c r="H741" s="78" t="n">
        <x:f>U740</x:f>
        <x:v>6624648.342768187</x:v>
      </x:c>
      <x:c r="I741" s="78" t="n">
        <x:f>V740</x:f>
        <x:v>4316.684399425904</x:v>
      </x:c>
      <x:c r="J741" s="79" t="n">
        <x:f>IF(H741&gt;0,I741/H741,0)</x:f>
        <x:v>0.00065160959134355</x:v>
      </x:c>
      <x:c r="K741" s="80" t="n">
        <x:f>(H741*J741+I741)*'Inputs'!$D$46*(1+'Inputs'!$G$46)^(B741/30)</x:f>
        <x:v>8633.368798851809</x:v>
      </x:c>
      <x:c r="L741" s="80" t="n">
        <x:f>MAX(0,K741*'Inputs'!$E$46)</x:f>
        <x:v>0</x:v>
      </x:c>
      <x:c r="M741" s="80" t="n">
        <x:f>MAX(0,-K741*'Inputs'!$E$46)</x:f>
        <x:v>0</x:v>
      </x:c>
      <x:c r="N741" s="78" t="n">
        <x:f>H741*(L741*(1-'Inputs'!$B$15))/(I741+L741*(1-'Inputs'!$B$15))</x:f>
        <x:v>0</x:v>
      </x:c>
      <x:c r="O741" s="78" t="n">
        <x:f>H741-N741</x:f>
        <x:v>6624648.342768187</x:v>
      </x:c>
      <x:c r="P741" s="78" t="n">
        <x:f>I741+L741*(1-'Inputs'!$B$17)</x:f>
        <x:v>4316.684399425904</x:v>
      </x:c>
      <x:c r="Q741" s="78" t="n">
        <x:f>IF(J741&gt;0,M741/J741,0)</x:f>
        <x:v>0</x:v>
      </x:c>
      <x:c r="R741" s="78" t="n">
        <x:f>IF(B741='Inputs'!$H$46,'Inputs'!$B$27*'Inputs'!$I$46,0)</x:f>
        <x:v>0</x:v>
      </x:c>
      <x:c r="S741" s="78" t="n">
        <x:f>Q741+G741+R741</x:f>
        <x:v>159379.17191646784</x:v>
      </x:c>
      <x:c r="T741" s="78" t="n">
        <x:f>P741*(S741*(1-'Inputs'!$B$15))/(O741+S741*(1-'Inputs'!$B$15))</x:f>
        <x:v>100.42260890053804</x:v>
      </x:c>
      <x:c r="U741" s="78" t="n">
        <x:f>O741+S741*(1-'Inputs'!$B$17)</x:f>
        <x:v>6783386.149807727</x:v>
      </x:c>
      <x:c r="V741" s="78" t="n">
        <x:f>P741-T741</x:f>
        <x:v>4216.261790525366</x:v>
      </x:c>
      <x:c r="W741" s="79" t="n">
        <x:f>IF(U741&gt;0,V741/U741,0)</x:f>
        <x:v>0.000621557095145597</x:v>
      </x:c>
      <x:c r="X741" s="80" t="n">
        <x:f>W741*('Inputs'!$B$6-AC741)</x:f>
        <x:v>621431.4625351282</x:v>
      </x:c>
      <x:c r="Y741" s="80" t="n">
        <x:f>2*V741</x:f>
        <x:v>8432.523581050733</x:v>
      </x:c>
      <x:c r="Z741" s="80" t="n">
        <x:f>K741*'Inputs'!$B$16+(G741+R741)*J741*'Inputs'!$B$16</x:f>
        <x:v>52.42333077559783</x:v>
      </x:c>
      <x:c r="AA741" s="80" t="n">
        <x:f>K741*(1+'Inputs'!$E$46)/2*'Inputs'!$B$17</x:f>
        <x:v>17.370963377971446</x:v>
      </x:c>
      <x:c r="AB741" s="78" t="n">
        <x:f>(IF(J741&gt;0,K741*(1-'Inputs'!$E$46)/2/J741,0)+G741+R741)*'Inputs'!$B$17</x:f>
        <x:v>27299.909515833628</x:v>
      </x:c>
      <x:c r="AC741" s="78" t="n">
        <x:f>AC740+AB741</x:f>
        <x:v>202125.61557101554</x:v>
      </x:c>
      <x:c r="AD741" s="80" t="n">
        <x:f>Z741/(1+'Inputs'!$C$46)</x:f>
        <x:v>26.211665387798917</x:v>
      </x:c>
      <x:c r="AE741" s="80" t="n">
        <x:f>Z741-AD741</x:f>
        <x:v>26.211665387798917</x:v>
      </x:c>
      <x:c r="AF741" s="80" t="n">
        <x:f>D741*W741</x:f>
        <x:v>189.01053807755386</x:v>
      </x:c>
      <x:c r="AG741" s="80" t="n">
        <x:f>C741*W741</x:f>
        <x:v>441.0245888476256</x:v>
      </x:c>
      <x:c r="AH741" s="80" t="n">
        <x:f>2*'Inputs'!$B$8*'Inputs'!$C$46</x:f>
        <x:v>5000</x:v>
      </x:c>
      <x:c r="AI741" s="81" t="n">
        <x:f>IF(AH741&gt;0,(AE741+AF741)/AH741*365,0)</x:f>
        <x:v>15.711220852970753</x:v>
      </x:c>
      <x:c r="AJ741" s="81" t="n">
        <x:f>IF('Inputs'!$B$46&gt;0,AG741/('Inputs'!$B$19*'Inputs'!$B$46)*365,0)</x:f>
        <x:v>16.097397492938335</x:v>
      </x:c>
      <x:c r="AK741" s="81" t="n">
        <x:f>W741/MAX($W$734:W741)-1</x:f>
        <x:v>-0.26249624038218267</x:v>
      </x:c>
      <x:c r="AL741" s="83" t="n">
        <x:f>'Inputs'!$B$46</x:f>
        <x:v>1</x:v>
      </x:c>
      <x:c r="AM741" s="83" t="n">
        <x:f>'Inputs'!$C$46</x:f>
        <x:v>1</x:v>
      </x:c>
      <x:c r="AN741" s="83" t="n">
        <x:f>'Inputs'!$D$46</x:f>
        <x:v>1</x:v>
      </x:c>
      <x:c r="AO741" s="81" t="n">
        <x:f>'Inputs'!$E$46</x:f>
        <x:v>0</x:v>
      </x:c>
    </x:row>
    <x:row r="742">
      <x:c r="A742" s="59" t="str">
        <x:v>Base</x:v>
      </x:c>
      <x:c r="B742" s="59" t="n">
        <x:v>9</x:v>
      </x:c>
      <x:c r="C742" s="78" t="n">
        <x:f>(('Inputs'!$B$29*(3*9*'Inputs'!$B$12-9^2)/(2*'Inputs'!$B$12^2))-('Inputs'!$B$29*(3*8*'Inputs'!$B$12-8^2)/(2*'Inputs'!$B$12^2)))*'Inputs'!$B$46</x:f>
        <x:v>709222.8842184283</x:v>
      </x:c>
      <x:c r="D742" s="78" t="n">
        <x:f>IF('Inputs'!$C$46&gt;0,('Inputs'!$B$30*(3*9*'Inputs'!$B$12-9^2)/(2*'Inputs'!$B$12^2))-('Inputs'!$B$30*(3*8*'Inputs'!$B$12-8^2)/(2*'Inputs'!$B$12^2)),0)</x:f>
        <x:v>303952.66466504056</x:v>
      </x:c>
      <x:c r="E742" s="78" t="n">
        <x:f>C742+D742</x:f>
        <x:v>1013175.5488834688</x:v>
      </x:c>
      <x:c r="F742" s="78" t="n">
        <x:f>'Inputs'!$B$13*E742+(1-'Inputs'!$B$13)/'Inputs'!$B$14*SUM(E734:E742)</x:f>
        <x:v>333139.3922740801</x:v>
      </x:c>
      <x:c r="G742" s="78" t="n">
        <x:f>F742*'Inputs'!$F$46</x:f>
        <x:v>166569.69613704004</x:v>
      </x:c>
      <x:c r="H742" s="78" t="n">
        <x:f>U741</x:f>
        <x:v>6783386.149807727</x:v>
      </x:c>
      <x:c r="I742" s="78" t="n">
        <x:f>V741</x:f>
        <x:v>4216.261790525366</x:v>
      </x:c>
      <x:c r="J742" s="79" t="n">
        <x:f>IF(H742&gt;0,I742/H742,0)</x:f>
        <x:v>0.000621557095145597</x:v>
      </x:c>
      <x:c r="K742" s="80" t="n">
        <x:f>(H742*J742+I742)*'Inputs'!$D$46*(1+'Inputs'!$G$46)^(B742/30)</x:f>
        <x:v>8432.523581050733</x:v>
      </x:c>
      <x:c r="L742" s="80" t="n">
        <x:f>MAX(0,K742*'Inputs'!$E$46)</x:f>
        <x:v>0</x:v>
      </x:c>
      <x:c r="M742" s="80" t="n">
        <x:f>MAX(0,-K742*'Inputs'!$E$46)</x:f>
        <x:v>0</x:v>
      </x:c>
      <x:c r="N742" s="78" t="n">
        <x:f>H742*(L742*(1-'Inputs'!$B$15))/(I742+L742*(1-'Inputs'!$B$15))</x:f>
        <x:v>0</x:v>
      </x:c>
      <x:c r="O742" s="78" t="n">
        <x:f>H742-N742</x:f>
        <x:v>6783386.149807727</x:v>
      </x:c>
      <x:c r="P742" s="78" t="n">
        <x:f>I742+L742*(1-'Inputs'!$B$17)</x:f>
        <x:v>4216.261790525366</x:v>
      </x:c>
      <x:c r="Q742" s="78" t="n">
        <x:f>IF(J742&gt;0,M742/J742,0)</x:f>
        <x:v>0</x:v>
      </x:c>
      <x:c r="R742" s="78" t="n">
        <x:f>IF(B742='Inputs'!$H$46,'Inputs'!$B$27*'Inputs'!$I$46,0)</x:f>
        <x:v>0</x:v>
      </x:c>
      <x:c r="S742" s="78" t="n">
        <x:f>Q742+G742+R742</x:f>
        <x:v>166569.69613704004</x:v>
      </x:c>
      <x:c r="T742" s="78" t="n">
        <x:f>P742*(S742*(1-'Inputs'!$B$15))/(O742+S742*(1-'Inputs'!$B$15))</x:f>
        <x:v>100.06468007541805</x:v>
      </x:c>
      <x:c r="U742" s="78" t="n">
        <x:f>O742+S742*(1-'Inputs'!$B$17)</x:f>
        <x:v>6949285.54535669</x:v>
      </x:c>
      <x:c r="V742" s="78" t="n">
        <x:f>P742-T742</x:f>
        <x:v>4116.197110449948</x:v>
      </x:c>
      <x:c r="W742" s="79" t="n">
        <x:f>IF(U742&gt;0,V742/U742,0)</x:f>
        <x:v>0.0005923194670278401</x:v>
      </x:c>
      <x:c r="X742" s="80" t="n">
        <x:f>W742*('Inputs'!$B$6-AC742)</x:f>
        <x:v>592183.1783197551</x:v>
      </x:c>
      <x:c r="Y742" s="80" t="n">
        <x:f>2*V742</x:f>
        <x:v>8232.394220899896</x:v>
      </x:c>
      <x:c r="Z742" s="80" t="n">
        <x:f>K742*'Inputs'!$B$16+(G742+R742)*J742*'Inputs'!$B$16</x:f>
        <x:v>51.21633694512574</x:v>
      </x:c>
      <x:c r="AA742" s="80" t="n">
        <x:f>K742*(1+'Inputs'!$E$46)/2*'Inputs'!$B$17</x:f>
        <x:v>16.966848251611133</x:v>
      </x:c>
      <x:c r="AB742" s="78" t="n">
        <x:f>(IF(J742&gt;0,K742*(1-'Inputs'!$E$46)/2/J742,0)+G742+R742)*'Inputs'!$B$17</x:f>
        <x:v>27967.62915873146</x:v>
      </x:c>
      <x:c r="AC742" s="78" t="n">
        <x:f>AC741+AB742</x:f>
        <x:v>230093.244729747</x:v>
      </x:c>
      <x:c r="AD742" s="80" t="n">
        <x:f>Z742/(1+'Inputs'!$C$46)</x:f>
        <x:v>25.60816847256287</x:v>
      </x:c>
      <x:c r="AE742" s="80" t="n">
        <x:f>Z742-AD742</x:f>
        <x:v>25.60816847256287</x:v>
      </x:c>
      <x:c r="AF742" s="80" t="n">
        <x:f>D742*W742</x:f>
        <x:v>180.03708033608865</x:v>
      </x:c>
      <x:c r="AG742" s="80" t="n">
        <x:f>C742*W742</x:f>
        <x:v>420.086520784207</x:v>
      </x:c>
      <x:c r="AH742" s="80" t="n">
        <x:f>2*'Inputs'!$B$8*'Inputs'!$C$46</x:f>
        <x:v>5000</x:v>
      </x:c>
      <x:c r="AI742" s="81" t="n">
        <x:f>IF(AH742&gt;0,(AE742+AF742)/AH742*365,0)</x:f>
        <x:v>15.012103163031561</x:v>
      </x:c>
      <x:c r="AJ742" s="81" t="n">
        <x:f>IF('Inputs'!$B$46&gt;0,AG742/('Inputs'!$B$19*'Inputs'!$B$46)*365,0)</x:f>
        <x:v>15.333158008623556</x:v>
      </x:c>
      <x:c r="AK742" s="81" t="n">
        <x:f>W742/MAX($W$734:W742)-1</x:f>
        <x:v>-0.29718792168959707</x:v>
      </x:c>
      <x:c r="AL742" s="83" t="n">
        <x:f>'Inputs'!$B$46</x:f>
        <x:v>1</x:v>
      </x:c>
      <x:c r="AM742" s="83" t="n">
        <x:f>'Inputs'!$C$46</x:f>
        <x:v>1</x:v>
      </x:c>
      <x:c r="AN742" s="83" t="n">
        <x:f>'Inputs'!$D$46</x:f>
        <x:v>1</x:v>
      </x:c>
      <x:c r="AO742" s="81" t="n">
        <x:f>'Inputs'!$E$46</x:f>
        <x:v>0</x:v>
      </x:c>
    </x:row>
    <x:row r="743">
      <x:c r="A743" s="59" t="str">
        <x:v>Base</x:v>
      </x:c>
      <x:c r="B743" s="59" t="n">
        <x:v>10</x:v>
      </x:c>
      <x:c r="C743" s="78" t="n">
        <x:f>(('Inputs'!$B$29*(3*10*'Inputs'!$B$12-10^2)/(2*'Inputs'!$B$12^2))-('Inputs'!$B$29*(3*9*'Inputs'!$B$12-9^2)/(2*'Inputs'!$B$12^2)))*'Inputs'!$B$46</x:f>
        <x:v>708897.7763182586</x:v>
      </x:c>
      <x:c r="D743" s="78" t="n">
        <x:f>IF('Inputs'!$C$46&gt;0,('Inputs'!$B$30*(3*10*'Inputs'!$B$12-10^2)/(2*'Inputs'!$B$12^2))-('Inputs'!$B$30*(3*9*'Inputs'!$B$12-9^2)/(2*'Inputs'!$B$12^2)),0)</x:f>
        <x:v>303813.3327078251</x:v>
      </x:c>
      <x:c r="E743" s="78" t="n">
        <x:f>C743+D743</x:f>
        <x:v>1012711.1090260837</x:v>
      </x:c>
      <x:c r="F743" s="78" t="n">
        <x:f>'Inputs'!$B$13*E743+(1-'Inputs'!$B$13)/'Inputs'!$B$14*SUM(E734:E743)</x:f>
        <x:v>347513.8058601185</x:v>
      </x:c>
      <x:c r="G743" s="78" t="n">
        <x:f>F743*'Inputs'!$F$46</x:f>
        <x:v>173756.90293005924</x:v>
      </x:c>
      <x:c r="H743" s="78" t="n">
        <x:f>U742</x:f>
        <x:v>6949285.54535669</x:v>
      </x:c>
      <x:c r="I743" s="78" t="n">
        <x:f>V742</x:f>
        <x:v>4116.197110449948</x:v>
      </x:c>
      <x:c r="J743" s="79" t="n">
        <x:f>IF(H743&gt;0,I743/H743,0)</x:f>
        <x:v>0.0005923194670278401</x:v>
      </x:c>
      <x:c r="K743" s="80" t="n">
        <x:f>(H743*J743+I743)*'Inputs'!$D$46*(1+'Inputs'!$G$46)^(B743/30)</x:f>
        <x:v>8232.394220899896</x:v>
      </x:c>
      <x:c r="L743" s="80" t="n">
        <x:f>MAX(0,K743*'Inputs'!$E$46)</x:f>
        <x:v>0</x:v>
      </x:c>
      <x:c r="M743" s="80" t="n">
        <x:f>MAX(0,-K743*'Inputs'!$E$46)</x:f>
        <x:v>0</x:v>
      </x:c>
      <x:c r="N743" s="78" t="n">
        <x:f>H743*(L743*(1-'Inputs'!$B$15))/(I743+L743*(1-'Inputs'!$B$15))</x:f>
        <x:v>0</x:v>
      </x:c>
      <x:c r="O743" s="78" t="n">
        <x:f>H743-N743</x:f>
        <x:v>6949285.54535669</x:v>
      </x:c>
      <x:c r="P743" s="78" t="n">
        <x:f>I743+L743*(1-'Inputs'!$B$17)</x:f>
        <x:v>4116.197110449948</x:v>
      </x:c>
      <x:c r="Q743" s="78" t="n">
        <x:f>IF(J743&gt;0,M743/J743,0)</x:f>
        <x:v>0</x:v>
      </x:c>
      <x:c r="R743" s="78" t="n">
        <x:f>IF(B743='Inputs'!$H$46,'Inputs'!$B$27*'Inputs'!$I$46,0)</x:f>
        <x:v>0</x:v>
      </x:c>
      <x:c r="S743" s="78" t="n">
        <x:f>Q743+G743+R743</x:f>
        <x:v>173756.90293005924</x:v>
      </x:c>
      <x:c r="T743" s="78" t="n">
        <x:f>P743*(S743*(1-'Inputs'!$B$15))/(O743+S743*(1-'Inputs'!$B$15))</x:f>
        <x:v>99.42917725742123</x:v>
      </x:c>
      <x:c r="U743" s="78" t="n">
        <x:f>O743+S743*(1-'Inputs'!$B$17)</x:f>
        <x:v>7122343.225337332</x:v>
      </x:c>
      <x:c r="V743" s="78" t="n">
        <x:f>P743-T743</x:f>
        <x:v>4016.767933192527</x:v>
      </x:c>
      <x:c r="W743" s="79" t="n">
        <x:f>IF(U743&gt;0,V743/U743,0)</x:f>
        <x:v>0.0005639671953610861</x:v>
      </x:c>
      <x:c r="X743" s="80" t="n">
        <x:f>W743*('Inputs'!$B$6-AC743)</x:f>
        <x:v>563821.2646762386</x:v>
      </x:c>
      <x:c r="Y743" s="80" t="n">
        <x:f>2*V743</x:f>
        <x:v>8033.535866385054</x:v>
      </x:c>
      <x:c r="Z743" s="80" t="n">
        <x:f>K743*'Inputs'!$B$16+(G743+R743)*J743*'Inputs'!$B$16</x:f>
        <x:v>50.01188290221502</x:v>
      </x:c>
      <x:c r="AA743" s="80" t="n">
        <x:f>K743*(1+'Inputs'!$E$46)/2*'Inputs'!$B$17</x:f>
        <x:v>16.56417348269597</x:v>
      </x:c>
      <x:c r="AB743" s="78" t="n">
        <x:f>(IF(J743&gt;0,K743*(1-'Inputs'!$E$46)/2/J743,0)+G743+R743)*'Inputs'!$B$17</x:f>
        <x:v>28664.154721475854</x:v>
      </x:c>
      <x:c r="AC743" s="78" t="n">
        <x:f>AC742+AB743</x:f>
        <x:v>258757.39945122285</x:v>
      </x:c>
      <x:c r="AD743" s="80" t="n">
        <x:f>Z743/(1+'Inputs'!$C$46)</x:f>
        <x:v>25.00594145110751</x:v>
      </x:c>
      <x:c r="AE743" s="80" t="n">
        <x:f>Z743-AD743</x:f>
        <x:v>25.00594145110751</x:v>
      </x:c>
      <x:c r="AF743" s="80" t="n">
        <x:f>D743*W743</x:f>
        <x:v>171.34075316053665</x:v>
      </x:c>
      <x:c r="AG743" s="80" t="n">
        <x:f>C743*W743</x:f>
        <x:v>399.79509070791886</x:v>
      </x:c>
      <x:c r="AH743" s="80" t="n">
        <x:f>2*'Inputs'!$B$8*'Inputs'!$C$46</x:f>
        <x:v>5000</x:v>
      </x:c>
      <x:c r="AI743" s="81" t="n">
        <x:f>IF(AH743&gt;0,(AE743+AF743)/AH743*365,0)</x:f>
        <x:v>14.333308706650024</x:v>
      </x:c>
      <x:c r="AJ743" s="81" t="n">
        <x:f>IF('Inputs'!$B$46&gt;0,AG743/('Inputs'!$B$19*'Inputs'!$B$46)*365,0)</x:f>
        <x:v>14.592520810839037</x:v>
      </x:c>
      <x:c r="AK743" s="81" t="n">
        <x:f>W743/MAX($W$734:W743)-1</x:f>
        <x:v>-0.3308290901538373</x:v>
      </x:c>
      <x:c r="AL743" s="83" t="n">
        <x:f>'Inputs'!$B$46</x:f>
        <x:v>1</x:v>
      </x:c>
      <x:c r="AM743" s="83" t="n">
        <x:f>'Inputs'!$C$46</x:f>
        <x:v>1</x:v>
      </x:c>
      <x:c r="AN743" s="83" t="n">
        <x:f>'Inputs'!$D$46</x:f>
        <x:v>1</x:v>
      </x:c>
      <x:c r="AO743" s="81" t="n">
        <x:f>'Inputs'!$E$46</x:f>
        <x:v>0</x:v>
      </x:c>
    </x:row>
    <x:row r="744">
      <x:c r="A744" s="59" t="str">
        <x:v>Base</x:v>
      </x:c>
      <x:c r="B744" s="59" t="n">
        <x:v>11</x:v>
      </x:c>
      <x:c r="C744" s="78" t="n">
        <x:f>(('Inputs'!$B$29*(3*11*'Inputs'!$B$12-11^2)/(2*'Inputs'!$B$12^2))-('Inputs'!$B$29*(3*10*'Inputs'!$B$12-10^2)/(2*'Inputs'!$B$12^2)))*'Inputs'!$B$46</x:f>
        <x:v>708572.6684180889</x:v>
      </x:c>
      <x:c r="D744" s="78" t="n">
        <x:f>IF('Inputs'!$C$46&gt;0,('Inputs'!$B$30*(3*11*'Inputs'!$B$12-11^2)/(2*'Inputs'!$B$12^2))-('Inputs'!$B$30*(3*10*'Inputs'!$B$12-10^2)/(2*'Inputs'!$B$12^2)),0)</x:f>
        <x:v>303674.0007506097</x:v>
      </x:c>
      <x:c r="E744" s="78" t="n">
        <x:f>C744+D744</x:f>
        <x:v>1012246.6691686986</x:v>
      </x:c>
      <x:c r="F744" s="78" t="n">
        <x:f>'Inputs'!$B$13*E744+(1-'Inputs'!$B$13)/'Inputs'!$B$14*SUM(E734:E744)</x:f>
        <x:v>361881.58459105145</x:v>
      </x:c>
      <x:c r="G744" s="78" t="n">
        <x:f>F744*'Inputs'!$F$46</x:f>
        <x:v>180940.79229552572</x:v>
      </x:c>
      <x:c r="H744" s="78" t="n">
        <x:f>U743</x:f>
        <x:v>7122343.225337332</x:v>
      </x:c>
      <x:c r="I744" s="78" t="n">
        <x:f>V743</x:f>
        <x:v>4016.767933192527</x:v>
      </x:c>
      <x:c r="J744" s="79" t="n">
        <x:f>IF(H744&gt;0,I744/H744,0)</x:f>
        <x:v>0.0005639671953610861</x:v>
      </x:c>
      <x:c r="K744" s="80" t="n">
        <x:f>(H744*J744+I744)*'Inputs'!$D$46*(1+'Inputs'!$G$46)^(B744/30)</x:f>
        <x:v>8033.535866385055</x:v>
      </x:c>
      <x:c r="L744" s="80" t="n">
        <x:f>MAX(0,K744*'Inputs'!$E$46)</x:f>
        <x:v>0</x:v>
      </x:c>
      <x:c r="M744" s="80" t="n">
        <x:f>MAX(0,-K744*'Inputs'!$E$46)</x:f>
        <x:v>0</x:v>
      </x:c>
      <x:c r="N744" s="78" t="n">
        <x:f>H744*(L744*(1-'Inputs'!$B$15))/(I744+L744*(1-'Inputs'!$B$15))</x:f>
        <x:v>0</x:v>
      </x:c>
      <x:c r="O744" s="78" t="n">
        <x:f>H744-N744</x:f>
        <x:v>7122343.225337332</x:v>
      </x:c>
      <x:c r="P744" s="78" t="n">
        <x:f>I744+L744*(1-'Inputs'!$B$17)</x:f>
        <x:v>4016.767933192527</x:v>
      </x:c>
      <x:c r="Q744" s="78" t="n">
        <x:f>IF(J744&gt;0,M744/J744,0)</x:f>
        <x:v>0</x:v>
      </x:c>
      <x:c r="R744" s="78" t="n">
        <x:f>IF(B744='Inputs'!$H$46,'Inputs'!$B$27*'Inputs'!$I$46,0)</x:f>
        <x:v>0</x:v>
      </x:c>
      <x:c r="S744" s="78" t="n">
        <x:f>Q744+G744+R744</x:f>
        <x:v>180940.79229552572</x:v>
      </x:c>
      <x:c r="T744" s="78" t="n">
        <x:f>P744*(S744*(1-'Inputs'!$B$15))/(O744+S744*(1-'Inputs'!$B$15))</x:f>
        <x:v>98.5457375444758</x:v>
      </x:c>
      <x:c r="U744" s="78" t="n">
        <x:f>O744+S744*(1-'Inputs'!$B$17)</x:f>
        <x:v>7302555.88567191</x:v>
      </x:c>
      <x:c r="V744" s="78" t="n">
        <x:f>P744-T744</x:f>
        <x:v>3918.222195648051</x:v>
      </x:c>
      <x:c r="W744" s="79" t="n">
        <x:f>IF(U744&gt;0,V744/U744,0)</x:f>
        <x:v>0.0005365549072121253</x:v>
      </x:c>
      <x:c r="X744" s="80" t="n">
        <x:f>W744*('Inputs'!$B$6-AC744)</x:f>
        <x:v>536400.3005937631</x:v>
      </x:c>
      <x:c r="Y744" s="80" t="n">
        <x:f>2*V744</x:f>
        <x:v>7836.444391296102</x:v>
      </x:c>
      <x:c r="Z744" s="80" t="n">
        <x:f>K744*'Inputs'!$B$16+(G744+R744)*J744*'Inputs'!$B$16</x:f>
        <x:v>48.81348322525425</x:v>
      </x:c>
      <x:c r="AA744" s="80" t="n">
        <x:f>K744*(1+'Inputs'!$E$46)/2*'Inputs'!$B$17</x:f>
        <x:v>16.16405606918522</x:v>
      </x:c>
      <x:c r="AB744" s="78" t="n">
        <x:f>(IF(J744&gt;0,K744*(1-'Inputs'!$E$46)/2/J744,0)+G744+R744)*'Inputs'!$B$17</x:f>
        <x:v>29389.47290797931</x:v>
      </x:c>
      <x:c r="AC744" s="78" t="n">
        <x:f>AC743+AB744</x:f>
        <x:v>288146.8723592022</x:v>
      </x:c>
      <x:c r="AD744" s="80" t="n">
        <x:f>Z744/(1+'Inputs'!$C$46)</x:f>
        <x:v>24.406741612627126</x:v>
      </x:c>
      <x:c r="AE744" s="80" t="n">
        <x:f>Z744-AD744</x:f>
        <x:v>24.406741612627126</x:v>
      </x:c>
      <x:c r="AF744" s="80" t="n">
        <x:f>D744*W744</x:f>
        <x:v>162.93777529547822</x:v>
      </x:c>
      <x:c r="AG744" s="80" t="n">
        <x:f>C744*W744</x:f>
        <x:v>380.1881423561157</x:v>
      </x:c>
      <x:c r="AH744" s="80" t="n">
        <x:f>2*'Inputs'!$B$8*'Inputs'!$C$46</x:f>
        <x:v>5000</x:v>
      </x:c>
      <x:c r="AI744" s="81" t="n">
        <x:f>IF(AH744&gt;0,(AE744+AF744)/AH744*365,0)</x:f>
        <x:v>13.67614973429169</x:v>
      </x:c>
      <x:c r="AJ744" s="81" t="n">
        <x:f>IF('Inputs'!$B$46&gt;0,AG744/('Inputs'!$B$19*'Inputs'!$B$46)*365,0)</x:f>
        <x:v>13.876867195998223</x:v>
      </x:c>
      <x:c r="AK744" s="81" t="n">
        <x:f>W744/MAX($W$734:W744)-1</x:f>
        <x:v>-0.3633549284516848</x:v>
      </x:c>
      <x:c r="AL744" s="83" t="n">
        <x:f>'Inputs'!$B$46</x:f>
        <x:v>1</x:v>
      </x:c>
      <x:c r="AM744" s="83" t="n">
        <x:f>'Inputs'!$C$46</x:f>
        <x:v>1</x:v>
      </x:c>
      <x:c r="AN744" s="83" t="n">
        <x:f>'Inputs'!$D$46</x:f>
        <x:v>1</x:v>
      </x:c>
      <x:c r="AO744" s="81" t="n">
        <x:f>'Inputs'!$E$46</x:f>
        <x:v>0</x:v>
      </x:c>
    </x:row>
    <x:row r="745">
      <x:c r="A745" s="59" t="str">
        <x:v>Base</x:v>
      </x:c>
      <x:c r="B745" s="59" t="n">
        <x:v>12</x:v>
      </x:c>
      <x:c r="C745" s="78" t="n">
        <x:f>(('Inputs'!$B$29*(3*12*'Inputs'!$B$12-12^2)/(2*'Inputs'!$B$12^2))-('Inputs'!$B$29*(3*11*'Inputs'!$B$12-11^2)/(2*'Inputs'!$B$12^2)))*'Inputs'!$B$46</x:f>
        <x:v>708247.5605179211</x:v>
      </x:c>
      <x:c r="D745" s="78" t="n">
        <x:f>IF('Inputs'!$C$46&gt;0,('Inputs'!$B$30*(3*12*'Inputs'!$B$12-12^2)/(2*'Inputs'!$B$12^2))-('Inputs'!$B$30*(3*11*'Inputs'!$B$12-11^2)/(2*'Inputs'!$B$12^2)),0)</x:f>
        <x:v>303534.6687933947</x:v>
      </x:c>
      <x:c r="E745" s="78" t="n">
        <x:f>C745+D745</x:f>
        <x:v>1011782.2293113158</x:v>
      </x:c>
      <x:c r="F745" s="78" t="n">
        <x:f>'Inputs'!$B$13*E745+(1-'Inputs'!$B$13)/'Inputs'!$B$14*SUM(E734:E745)</x:f>
        <x:v>376242.7284668794</x:v>
      </x:c>
      <x:c r="G745" s="78" t="n">
        <x:f>F745*'Inputs'!$F$46</x:f>
        <x:v>188121.3642334397</x:v>
      </x:c>
      <x:c r="H745" s="78" t="n">
        <x:f>U744</x:f>
        <x:v>7302555.88567191</x:v>
      </x:c>
      <x:c r="I745" s="78" t="n">
        <x:f>V744</x:f>
        <x:v>3918.222195648051</x:v>
      </x:c>
      <x:c r="J745" s="79" t="n">
        <x:f>IF(H745&gt;0,I745/H745,0)</x:f>
        <x:v>0.0005365549072121253</x:v>
      </x:c>
      <x:c r="K745" s="80" t="n">
        <x:f>(H745*J745+I745)*'Inputs'!$D$46*(1+'Inputs'!$G$46)^(B745/30)</x:f>
        <x:v>7836.4443912961015</x:v>
      </x:c>
      <x:c r="L745" s="80" t="n">
        <x:f>MAX(0,K745*'Inputs'!$E$46)</x:f>
        <x:v>0</x:v>
      </x:c>
      <x:c r="M745" s="80" t="n">
        <x:f>MAX(0,-K745*'Inputs'!$E$46)</x:f>
        <x:v>0</x:v>
      </x:c>
      <x:c r="N745" s="78" t="n">
        <x:f>H745*(L745*(1-'Inputs'!$B$15))/(I745+L745*(1-'Inputs'!$B$15))</x:f>
        <x:v>0</x:v>
      </x:c>
      <x:c r="O745" s="78" t="n">
        <x:f>H745-N745</x:f>
        <x:v>7302555.88567191</x:v>
      </x:c>
      <x:c r="P745" s="78" t="n">
        <x:f>I745+L745*(1-'Inputs'!$B$17)</x:f>
        <x:v>3918.222195648051</x:v>
      </x:c>
      <x:c r="Q745" s="78" t="n">
        <x:f>IF(J745&gt;0,M745/J745,0)</x:f>
        <x:v>0</x:v>
      </x:c>
      <x:c r="R745" s="78" t="n">
        <x:f>IF(B745='Inputs'!$H$46,'Inputs'!$B$27*'Inputs'!$I$46,0)</x:f>
        <x:v>0</x:v>
      </x:c>
      <x:c r="S745" s="78" t="n">
        <x:f>Q745+G745+R745</x:f>
        <x:v>188121.3642334397</x:v>
      </x:c>
      <x:c r="T745" s="78" t="n">
        <x:f>P745*(S745*(1-'Inputs'!$B$15))/(O745+S745*(1-'Inputs'!$B$15))</x:f>
        <x:v>97.44293852220432</x:v>
      </x:c>
      <x:c r="U745" s="78" t="n">
        <x:f>O745+S745*(1-'Inputs'!$B$17)</x:f>
        <x:v>7489920.22228268</x:v>
      </x:c>
      <x:c r="V745" s="78" t="n">
        <x:f>P745-T745</x:f>
        <x:v>3820.779257125847</x:v>
      </x:c>
      <x:c r="W745" s="79" t="n">
        <x:f>IF(U745&gt;0,V745/U745,0)</x:f>
        <x:v>0.0005101228242403628</x:v>
      </x:c>
      <x:c r="X745" s="80" t="n">
        <x:f>W745*('Inputs'!$B$6-AC745)</x:f>
        <x:v>509960.4570207625</x:v>
      </x:c>
      <x:c r="Y745" s="80" t="n">
        <x:f>2*V745</x:f>
        <x:v>7641.558514251694</x:v>
      </x:c>
      <x:c r="Z745" s="80" t="n">
        <x:f>K745*'Inputs'!$B$16+(G745+R745)*J745*'Inputs'!$B$16</x:f>
        <x:v>47.62429099456196</x:v>
      </x:c>
      <x:c r="AA745" s="80" t="n">
        <x:f>K745*(1+'Inputs'!$E$46)/2*'Inputs'!$B$17</x:f>
        <x:v>15.76749374506258</x:v>
      </x:c>
      <x:c r="AB745" s="78" t="n">
        <x:f>(IF(J745&gt;0,K745*(1-'Inputs'!$E$46)/2/J745,0)+G745+R745)*'Inputs'!$B$17</x:f>
        <x:v>30143.570422154327</x:v>
      </x:c>
      <x:c r="AC745" s="78" t="n">
        <x:f>AC744+AB745</x:f>
        <x:v>318290.4427813565</x:v>
      </x:c>
      <x:c r="AD745" s="80" t="n">
        <x:f>Z745/(1+'Inputs'!$C$46)</x:f>
        <x:v>23.81214549728098</x:v>
      </x:c>
      <x:c r="AE745" s="80" t="n">
        <x:f>Z745-AD745</x:f>
        <x:v>23.81214549728098</x:v>
      </x:c>
      <x:c r="AF745" s="80" t="n">
        <x:f>D745*W745</x:f>
        <x:v>154.83996249974962</x:v>
      </x:c>
      <x:c r="AG745" s="80" t="n">
        <x:f>C745*W745</x:f>
        <x:v>361.2932458327492</x:v>
      </x:c>
      <x:c r="AH745" s="80" t="n">
        <x:f>2*'Inputs'!$B$8*'Inputs'!$C$46</x:f>
        <x:v>5000</x:v>
      </x:c>
      <x:c r="AI745" s="81" t="n">
        <x:f>IF(AH745&gt;0,(AE745+AF745)/AH745*365,0)</x:f>
        <x:v>13.041603883783234</x:v>
      </x:c>
      <x:c r="AJ745" s="81" t="n">
        <x:f>IF('Inputs'!$B$46&gt;0,AG745/('Inputs'!$B$19*'Inputs'!$B$46)*365,0)</x:f>
        <x:v>13.187203472895346</x:v>
      </x:c>
      <x:c r="AK745" s="81" t="n">
        <x:f>W745/MAX($W$734:W745)-1</x:f>
        <x:v>-0.3947177118845384</x:v>
      </x:c>
      <x:c r="AL745" s="83" t="n">
        <x:f>'Inputs'!$B$46</x:f>
        <x:v>1</x:v>
      </x:c>
      <x:c r="AM745" s="83" t="n">
        <x:f>'Inputs'!$C$46</x:f>
        <x:v>1</x:v>
      </x:c>
      <x:c r="AN745" s="83" t="n">
        <x:f>'Inputs'!$D$46</x:f>
        <x:v>1</x:v>
      </x:c>
      <x:c r="AO745" s="81" t="n">
        <x:f>'Inputs'!$E$46</x:f>
        <x:v>0</x:v>
      </x:c>
    </x:row>
    <x:row r="746">
      <x:c r="A746" s="59" t="str">
        <x:v>Base</x:v>
      </x:c>
      <x:c r="B746" s="59" t="n">
        <x:v>13</x:v>
      </x:c>
      <x:c r="C746" s="78" t="n">
        <x:f>(('Inputs'!$B$29*(3*13*'Inputs'!$B$12-13^2)/(2*'Inputs'!$B$12^2))-('Inputs'!$B$29*(3*12*'Inputs'!$B$12-12^2)/(2*'Inputs'!$B$12^2)))*'Inputs'!$B$46</x:f>
        <x:v>707922.4526177514</x:v>
      </x:c>
      <x:c r="D746" s="78" t="n">
        <x:f>IF('Inputs'!$C$46&gt;0,('Inputs'!$B$30*(3*13*'Inputs'!$B$12-13^2)/(2*'Inputs'!$B$12^2))-('Inputs'!$B$30*(3*12*'Inputs'!$B$12-12^2)/(2*'Inputs'!$B$12^2)),0)</x:f>
        <x:v>303395.3368361797</x:v>
      </x:c>
      <x:c r="E746" s="78" t="n">
        <x:f>C746+D746</x:f>
        <x:v>1011317.7894539312</x:v>
      </x:c>
      <x:c r="F746" s="78" t="n">
        <x:f>'Inputs'!$B$13*E746+(1-'Inputs'!$B$13)/'Inputs'!$B$14*SUM(E734:E746)</x:f>
        <x:v>390597.23748760147</x:v>
      </x:c>
      <x:c r="G746" s="78" t="n">
        <x:f>F746*'Inputs'!$F$46</x:f>
        <x:v>195298.61874380073</x:v>
      </x:c>
      <x:c r="H746" s="78" t="n">
        <x:f>U745</x:f>
        <x:v>7489920.22228268</x:v>
      </x:c>
      <x:c r="I746" s="78" t="n">
        <x:f>V745</x:f>
        <x:v>3820.779257125847</x:v>
      </x:c>
      <x:c r="J746" s="79" t="n">
        <x:f>IF(H746&gt;0,I746/H746,0)</x:f>
        <x:v>0.0005101228242403628</x:v>
      </x:c>
      <x:c r="K746" s="80" t="n">
        <x:f>(H746*J746+I746)*'Inputs'!$D$46*(1+'Inputs'!$G$46)^(B746/30)</x:f>
        <x:v>7641.558514251694</x:v>
      </x:c>
      <x:c r="L746" s="80" t="n">
        <x:f>MAX(0,K746*'Inputs'!$E$46)</x:f>
        <x:v>0</x:v>
      </x:c>
      <x:c r="M746" s="80" t="n">
        <x:f>MAX(0,-K746*'Inputs'!$E$46)</x:f>
        <x:v>0</x:v>
      </x:c>
      <x:c r="N746" s="78" t="n">
        <x:f>H746*(L746*(1-'Inputs'!$B$15))/(I746+L746*(1-'Inputs'!$B$15))</x:f>
        <x:v>0</x:v>
      </x:c>
      <x:c r="O746" s="78" t="n">
        <x:f>H746-N746</x:f>
        <x:v>7489920.22228268</x:v>
      </x:c>
      <x:c r="P746" s="78" t="n">
        <x:f>I746+L746*(1-'Inputs'!$B$17)</x:f>
        <x:v>3820.779257125847</x:v>
      </x:c>
      <x:c r="Q746" s="78" t="n">
        <x:f>IF(J746&gt;0,M746/J746,0)</x:f>
        <x:v>0</x:v>
      </x:c>
      <x:c r="R746" s="78" t="n">
        <x:f>IF(B746='Inputs'!$H$46,'Inputs'!$B$27*'Inputs'!$I$46,0)</x:f>
        <x:v>0</x:v>
      </x:c>
      <x:c r="S746" s="78" t="n">
        <x:f>Q746+G746+R746</x:f>
        <x:v>195298.61874380073</x:v>
      </x:c>
      <x:c r="T746" s="78" t="n">
        <x:f>P746*(S746*(1-'Inputs'!$B$15))/(O746+S746*(1-'Inputs'!$B$15))</x:f>
        <x:v>96.14804385064484</x:v>
      </x:c>
      <x:c r="U746" s="78" t="n">
        <x:f>O746+S746*(1-'Inputs'!$B$17)</x:f>
        <x:v>7684432.931091898</x:v>
      </x:c>
      <x:c r="V746" s="78" t="n">
        <x:f>P746-T746</x:f>
        <x:v>3724.6312132752023</x:v>
      </x:c>
      <x:c r="W746" s="79" t="n">
        <x:f>IF(U746&gt;0,V746/U746,0)</x:f>
        <x:v>0.000484698252515812</x:v>
      </x:c>
      <x:c r="X746" s="80" t="n">
        <x:f>W746*('Inputs'!$B$6-AC746)</x:f>
        <x:v>484528.9877059026</x:v>
      </x:c>
      <x:c r="Y746" s="80" t="n">
        <x:f>2*V746</x:f>
        <x:v>7449.262426550405</x:v>
      </x:c>
      <x:c r="Z746" s="80" t="n">
        <x:f>K746*'Inputs'!$B$16+(G746+R746)*J746*'Inputs'!$B$16</x:f>
        <x:v>46.44710878329314</x:v>
      </x:c>
      <x:c r="AA746" s="80" t="n">
        <x:f>K746*(1+'Inputs'!$E$46)/2*'Inputs'!$B$17</x:f>
        <x:v>15.375369243967192</x:v>
      </x:c>
      <x:c r="AB746" s="78" t="n">
        <x:f>(IF(J746&gt;0,K746*(1-'Inputs'!$E$46)/2/J746,0)+G746+R746)*'Inputs'!$B$17</x:f>
        <x:v>30926.433967913406</x:v>
      </x:c>
      <x:c r="AC746" s="78" t="n">
        <x:f>AC745+AB746</x:f>
        <x:v>349216.8767492699</x:v>
      </x:c>
      <x:c r="AD746" s="80" t="n">
        <x:f>Z746/(1+'Inputs'!$C$46)</x:f>
        <x:v>23.22355439164657</x:v>
      </x:c>
      <x:c r="AE746" s="80" t="n">
        <x:f>Z746-AD746</x:f>
        <x:v>23.22355439164657</x:v>
      </x:c>
      <x:c r="AF746" s="80" t="n">
        <x:f>D746*W746</x:f>
        <x:v>147.0551895859425</x:v>
      </x:c>
      <x:c r="AG746" s="80" t="n">
        <x:f>C746*W746</x:f>
        <x:v>343.12877570053183</x:v>
      </x:c>
      <x:c r="AH746" s="80" t="n">
        <x:f>2*'Inputs'!$B$8*'Inputs'!$C$46</x:f>
        <x:v>5000</x:v>
      </x:c>
      <x:c r="AI746" s="81" t="n">
        <x:f>IF(AH746&gt;0,(AE746+AF746)/AH746*365,0)</x:f>
        <x:v>12.430348310364</x:v>
      </x:c>
      <x:c r="AJ746" s="81" t="n">
        <x:f>IF('Inputs'!$B$46&gt;0,AG746/('Inputs'!$B$19*'Inputs'!$B$46)*365,0)</x:f>
        <x:v>12.524200313069413</x:v>
      </x:c>
      <x:c r="AK746" s="81" t="n">
        <x:f>W746/MAX($W$734:W746)-1</x:f>
        <x:v>-0.42488504064640664</x:v>
      </x:c>
      <x:c r="AL746" s="83" t="n">
        <x:f>'Inputs'!$B$46</x:f>
        <x:v>1</x:v>
      </x:c>
      <x:c r="AM746" s="83" t="n">
        <x:f>'Inputs'!$C$46</x:f>
        <x:v>1</x:v>
      </x:c>
      <x:c r="AN746" s="83" t="n">
        <x:f>'Inputs'!$D$46</x:f>
        <x:v>1</x:v>
      </x:c>
      <x:c r="AO746" s="81" t="n">
        <x:f>'Inputs'!$E$46</x:f>
        <x:v>0</x:v>
      </x:c>
    </x:row>
    <x:row r="747">
      <x:c r="A747" s="59" t="str">
        <x:v>Base</x:v>
      </x:c>
      <x:c r="B747" s="59" t="n">
        <x:v>14</x:v>
      </x:c>
      <x:c r="C747" s="78" t="n">
        <x:f>(('Inputs'!$B$29*(3*14*'Inputs'!$B$12-14^2)/(2*'Inputs'!$B$12^2))-('Inputs'!$B$29*(3*13*'Inputs'!$B$12-13^2)/(2*'Inputs'!$B$12^2)))*'Inputs'!$B$46</x:f>
        <x:v>707597.3447175827</x:v>
      </x:c>
      <x:c r="D747" s="78" t="n">
        <x:f>IF('Inputs'!$C$46&gt;0,('Inputs'!$B$30*(3*14*'Inputs'!$B$12-14^2)/(2*'Inputs'!$B$12^2))-('Inputs'!$B$30*(3*13*'Inputs'!$B$12-13^2)/(2*'Inputs'!$B$12^2)),0)</x:f>
        <x:v>303256.0048789638</x:v>
      </x:c>
      <x:c r="E747" s="78" t="n">
        <x:f>C747+D747</x:f>
        <x:v>1010853.3495965465</x:v>
      </x:c>
      <x:c r="F747" s="78" t="n">
        <x:f>'Inputs'!$B$13*E747+(1-'Inputs'!$B$13)/'Inputs'!$B$14*SUM(E734:E747)</x:f>
        <x:v>404945.1116532181</x:v>
      </x:c>
      <x:c r="G747" s="78" t="n">
        <x:f>F747*'Inputs'!$F$46</x:f>
        <x:v>202472.55582660905</x:v>
      </x:c>
      <x:c r="H747" s="78" t="n">
        <x:f>U746</x:f>
        <x:v>7684432.931091898</x:v>
      </x:c>
      <x:c r="I747" s="78" t="n">
        <x:f>V746</x:f>
        <x:v>3724.6312132752023</x:v>
      </x:c>
      <x:c r="J747" s="79" t="n">
        <x:f>IF(H747&gt;0,I747/H747,0)</x:f>
        <x:v>0.000484698252515812</x:v>
      </x:c>
      <x:c r="K747" s="80" t="n">
        <x:f>(H747*J747+I747)*'Inputs'!$D$46*(1+'Inputs'!$G$46)^(B747/30)</x:f>
        <x:v>7449.262426550405</x:v>
      </x:c>
      <x:c r="L747" s="80" t="n">
        <x:f>MAX(0,K747*'Inputs'!$E$46)</x:f>
        <x:v>0</x:v>
      </x:c>
      <x:c r="M747" s="80" t="n">
        <x:f>MAX(0,-K747*'Inputs'!$E$46)</x:f>
        <x:v>0</x:v>
      </x:c>
      <x:c r="N747" s="78" t="n">
        <x:f>H747*(L747*(1-'Inputs'!$B$15))/(I747+L747*(1-'Inputs'!$B$15))</x:f>
        <x:v>0</x:v>
      </x:c>
      <x:c r="O747" s="78" t="n">
        <x:f>H747-N747</x:f>
        <x:v>7684432.931091898</x:v>
      </x:c>
      <x:c r="P747" s="78" t="n">
        <x:f>I747+L747*(1-'Inputs'!$B$17)</x:f>
        <x:v>3724.6312132752023</x:v>
      </x:c>
      <x:c r="Q747" s="78" t="n">
        <x:f>IF(J747&gt;0,M747/J747,0)</x:f>
        <x:v>0</x:v>
      </x:c>
      <x:c r="R747" s="78" t="n">
        <x:f>IF(B747='Inputs'!$H$46,'Inputs'!$B$27*'Inputs'!$I$46,0)</x:f>
        <x:v>0</x:v>
      </x:c>
      <x:c r="S747" s="78" t="n">
        <x:f>Q747+G747+R747</x:f>
        <x:v>202472.55582660905</x:v>
      </x:c>
      <x:c r="T747" s="78" t="n">
        <x:f>P747*(S747*(1-'Inputs'!$B$15))/(O747+S747*(1-'Inputs'!$B$15))</x:f>
        <x:v>94.68681491157555</x:v>
      </x:c>
      <x:c r="U747" s="78" t="n">
        <x:f>O747+S747*(1-'Inputs'!$B$17)</x:f>
        <x:v>7886090.7080218205</x:v>
      </x:c>
      <x:c r="V747" s="78" t="n">
        <x:f>P747-T747</x:f>
        <x:v>3629.9443983636265</x:v>
      </x:c>
      <x:c r="W747" s="79" t="n">
        <x:f>IF(U747&gt;0,V747/U747,0)</x:f>
        <x:v>0.00046029706387617456</x:v>
      </x:c>
      <x:c r="X747" s="80" t="n">
        <x:f>W747*('Inputs'!$B$6-AC747)</x:f>
        <x:v>460121.711441808</x:v>
      </x:c>
      <x:c r="Y747" s="80" t="n">
        <x:f>2*V747</x:f>
        <x:v>7259.888796727253</x:v>
      </x:c>
      <x:c r="Z747" s="80" t="n">
        <x:f>K747*'Inputs'!$B$16+(G747+R747)*J747*'Inputs'!$B$16</x:f>
        <x:v>45.284403123251835</x:v>
      </x:c>
      <x:c r="AA747" s="80" t="n">
        <x:f>K747*(1+'Inputs'!$E$46)/2*'Inputs'!$B$17</x:f>
        <x:v>14.988455586620534</x:v>
      </x:c>
      <x:c r="AB747" s="78" t="n">
        <x:f>(IF(J747&gt;0,K747*(1-'Inputs'!$E$46)/2/J747,0)+G747+R747)*'Inputs'!$B$17</x:f>
        <x:v>31738.050249169046</x:v>
      </x:c>
      <x:c r="AC747" s="78" t="n">
        <x:f>AC746+AB747</x:f>
        <x:v>380954.92699843895</x:v>
      </x:c>
      <x:c r="AD747" s="80" t="n">
        <x:f>Z747/(1+'Inputs'!$C$46)</x:f>
        <x:v>22.642201561625917</x:v>
      </x:c>
      <x:c r="AE747" s="80" t="n">
        <x:f>Z747-AD747</x:f>
        <x:v>22.642201561625917</x:v>
      </x:c>
      <x:c r="AF747" s="80" t="n">
        <x:f>D747*W747</x:f>
        <x:v>139.5878486486059</x:v>
      </x:c>
      <x:c r="AG747" s="80" t="n">
        <x:f>C747*W747</x:f>
        <x:v>325.70498018008067</x:v>
      </x:c>
      <x:c r="AH747" s="80" t="n">
        <x:f>2*'Inputs'!$B$8*'Inputs'!$C$46</x:f>
        <x:v>5000</x:v>
      </x:c>
      <x:c r="AI747" s="81" t="n">
        <x:f>IF(AH747&gt;0,(AE747+AF747)/AH747*365,0)</x:f>
        <x:v>11.842793665346923</x:v>
      </x:c>
      <x:c r="AJ747" s="81" t="n">
        <x:f>IF('Inputs'!$B$46&gt;0,AG747/('Inputs'!$B$19*'Inputs'!$B$46)*365,0)</x:f>
        <x:v>11.888231776572944</x:v>
      </x:c>
      <x:c r="AK747" s="81" t="n">
        <x:f>W747/MAX($W$734:W747)-1</x:f>
        <x:v>-0.45383808213113264</x:v>
      </x:c>
      <x:c r="AL747" s="83" t="n">
        <x:f>'Inputs'!$B$46</x:f>
        <x:v>1</x:v>
      </x:c>
      <x:c r="AM747" s="83" t="n">
        <x:f>'Inputs'!$C$46</x:f>
        <x:v>1</x:v>
      </x:c>
      <x:c r="AN747" s="83" t="n">
        <x:f>'Inputs'!$D$46</x:f>
        <x:v>1</x:v>
      </x:c>
      <x:c r="AO747" s="81" t="n">
        <x:f>'Inputs'!$E$46</x:f>
        <x:v>0</x:v>
      </x:c>
    </x:row>
    <x:row r="748">
      <x:c r="A748" s="59" t="str">
        <x:v>Base</x:v>
      </x:c>
      <x:c r="B748" s="59" t="n">
        <x:v>15</x:v>
      </x:c>
      <x:c r="C748" s="78" t="n">
        <x:f>(('Inputs'!$B$29*(3*15*'Inputs'!$B$12-15^2)/(2*'Inputs'!$B$12^2))-('Inputs'!$B$29*(3*14*'Inputs'!$B$12-14^2)/(2*'Inputs'!$B$12^2)))*'Inputs'!$B$46</x:f>
        <x:v>707272.2368174158</x:v>
      </x:c>
      <x:c r="D748" s="78" t="n">
        <x:f>IF('Inputs'!$C$46&gt;0,('Inputs'!$B$30*(3*15*'Inputs'!$B$12-15^2)/(2*'Inputs'!$B$12^2))-('Inputs'!$B$30*(3*14*'Inputs'!$B$12-14^2)/(2*'Inputs'!$B$12^2)),0)</x:f>
        <x:v>303116.67292174883</x:v>
      </x:c>
      <x:c r="E748" s="78" t="n">
        <x:f>C748+D748</x:f>
        <x:v>1010388.9097391646</x:v>
      </x:c>
      <x:c r="F748" s="78" t="n">
        <x:f>'Inputs'!$B$13*E748+(1-'Inputs'!$B$13)/'Inputs'!$B$14*SUM(E734:E748)</x:f>
        <x:v>419286.3509637298</x:v>
      </x:c>
      <x:c r="G748" s="78" t="n">
        <x:f>F748*'Inputs'!$F$46</x:f>
        <x:v>209643.1754818649</x:v>
      </x:c>
      <x:c r="H748" s="78" t="n">
        <x:f>U747</x:f>
        <x:v>7886090.7080218205</x:v>
      </x:c>
      <x:c r="I748" s="78" t="n">
        <x:f>V747</x:f>
        <x:v>3629.9443983636265</x:v>
      </x:c>
      <x:c r="J748" s="79" t="n">
        <x:f>IF(H748&gt;0,I748/H748,0)</x:f>
        <x:v>0.00046029706387617456</x:v>
      </x:c>
      <x:c r="K748" s="80" t="n">
        <x:f>(H748*J748+I748)*'Inputs'!$D$46*(1+'Inputs'!$G$46)^(B748/30)</x:f>
        <x:v>7259.888796727253</x:v>
      </x:c>
      <x:c r="L748" s="80" t="n">
        <x:f>MAX(0,K748*'Inputs'!$E$46)</x:f>
        <x:v>0</x:v>
      </x:c>
      <x:c r="M748" s="80" t="n">
        <x:f>MAX(0,-K748*'Inputs'!$E$46)</x:f>
        <x:v>0</x:v>
      </x:c>
      <x:c r="N748" s="78" t="n">
        <x:f>H748*(L748*(1-'Inputs'!$B$15))/(I748+L748*(1-'Inputs'!$B$15))</x:f>
        <x:v>0</x:v>
      </x:c>
      <x:c r="O748" s="78" t="n">
        <x:f>H748-N748</x:f>
        <x:v>7886090.7080218205</x:v>
      </x:c>
      <x:c r="P748" s="78" t="n">
        <x:f>I748+L748*(1-'Inputs'!$B$17)</x:f>
        <x:v>3629.9443983636265</x:v>
      </x:c>
      <x:c r="Q748" s="78" t="n">
        <x:f>IF(J748&gt;0,M748/J748,0)</x:f>
        <x:v>0</x:v>
      </x:c>
      <x:c r="R748" s="78" t="n">
        <x:f>IF(B748='Inputs'!$H$46,'Inputs'!$B$27*'Inputs'!$I$46,0)</x:f>
        <x:v>0</x:v>
      </x:c>
      <x:c r="S748" s="78" t="n">
        <x:f>Q748+G748+R748</x:f>
        <x:v>209643.1754818649</x:v>
      </x:c>
      <x:c r="T748" s="78" t="n">
        <x:f>P748*(S748*(1-'Inputs'!$B$15))/(O748+S748*(1-'Inputs'!$B$15))</x:f>
        <x:v>93.0833811474731</x:v>
      </x:c>
      <x:c r="U748" s="78" t="n">
        <x:f>O748+S748*(1-'Inputs'!$B$17)</x:f>
        <x:v>8094890.248994704</x:v>
      </x:c>
      <x:c r="V748" s="78" t="n">
        <x:f>P748-T748</x:f>
        <x:v>3536.8610172161534</x:v>
      </x:c>
      <x:c r="W748" s="79" t="n">
        <x:f>IF(U748&gt;0,V748/U748,0)</x:f>
        <x:v>0.00043692513529203095</x:v>
      </x:c>
      <x:c r="X748" s="80" t="n">
        <x:f>W748*('Inputs'!$B$6-AC748)</x:f>
        <x:v>436744.452184576</x:v>
      </x:c>
      <x:c r="Y748" s="80" t="n">
        <x:f>2*V748</x:f>
        <x:v>7073.722034432307</x:v>
      </x:c>
      <x:c r="Z748" s="80" t="n">
        <x:f>K748*'Inputs'!$B$16+(G748+R748)*J748*'Inputs'!$B$16</x:f>
        <x:v>44.1383216091794</x:v>
      </x:c>
      <x:c r="AA748" s="80" t="n">
        <x:f>K748*(1+'Inputs'!$E$46)/2*'Inputs'!$B$17</x:f>
        <x:v>14.607422126211778</x:v>
      </x:c>
      <x:c r="AB748" s="78" t="n">
        <x:f>(IF(J748&gt;0,K748*(1-'Inputs'!$E$46)/2/J748,0)+G748+R748)*'Inputs'!$B$17</x:f>
        <x:v>32578.405969833748</x:v>
      </x:c>
      <x:c r="AC748" s="78" t="n">
        <x:f>AC747+AB748</x:f>
        <x:v>413533.3329682727</x:v>
      </x:c>
      <x:c r="AD748" s="80" t="n">
        <x:f>Z748/(1+'Inputs'!$C$46)</x:f>
        <x:v>22.0691608045897</x:v>
      </x:c>
      <x:c r="AE748" s="80" t="n">
        <x:f>Z748-AD748</x:f>
        <x:v>22.0691608045897</x:v>
      </x:c>
      <x:c r="AF748" s="80" t="n">
        <x:f>D748*W748</x:f>
        <x:v>132.4392933256054</x:v>
      </x:c>
      <x:c r="AG748" s="80" t="n">
        <x:f>C748*W748</x:f>
        <x:v>309.02501775974673</x:v>
      </x:c>
      <x:c r="AH748" s="80" t="n">
        <x:f>2*'Inputs'!$B$8*'Inputs'!$C$46</x:f>
        <x:v>5000</x:v>
      </x:c>
      <x:c r="AI748" s="81" t="n">
        <x:f>IF(AH748&gt;0,(AE748+AF748)/AH748*365,0)</x:f>
        <x:v>11.279117151504243</x:v>
      </x:c>
      <x:c r="AJ748" s="81" t="n">
        <x:f>IF('Inputs'!$B$46&gt;0,AG748/('Inputs'!$B$19*'Inputs'!$B$46)*365,0)</x:f>
        <x:v>11.279413148230756</x:v>
      </x:c>
      <x:c r="AK748" s="81" t="n">
        <x:f>W748/MAX($W$734:W748)-1</x:f>
        <x:v>-0.4815698630647689</x:v>
      </x:c>
      <x:c r="AL748" s="83" t="n">
        <x:f>'Inputs'!$B$46</x:f>
        <x:v>1</x:v>
      </x:c>
      <x:c r="AM748" s="83" t="n">
        <x:f>'Inputs'!$C$46</x:f>
        <x:v>1</x:v>
      </x:c>
      <x:c r="AN748" s="83" t="n">
        <x:f>'Inputs'!$D$46</x:f>
        <x:v>1</x:v>
      </x:c>
      <x:c r="AO748" s="81" t="n">
        <x:f>'Inputs'!$E$46</x:f>
        <x:v>0</x:v>
      </x:c>
    </x:row>
    <x:row r="749">
      <x:c r="A749" s="59" t="str">
        <x:v>Base</x:v>
      </x:c>
      <x:c r="B749" s="59" t="n">
        <x:v>16</x:v>
      </x:c>
      <x:c r="C749" s="78" t="n">
        <x:f>(('Inputs'!$B$29*(3*16*'Inputs'!$B$12-16^2)/(2*'Inputs'!$B$12^2))-('Inputs'!$B$29*(3*15*'Inputs'!$B$12-15^2)/(2*'Inputs'!$B$12^2)))*'Inputs'!$B$46</x:f>
        <x:v>706947.1289172452</x:v>
      </x:c>
      <x:c r="D749" s="78" t="n">
        <x:f>IF('Inputs'!$C$46&gt;0,('Inputs'!$B$30*(3*16*'Inputs'!$B$12-16^2)/(2*'Inputs'!$B$12^2))-('Inputs'!$B$30*(3*15*'Inputs'!$B$12-15^2)/(2*'Inputs'!$B$12^2)),0)</x:f>
        <x:v>302977.3409645343</x:v>
      </x:c>
      <x:c r="E749" s="78" t="n">
        <x:f>C749+D749</x:f>
        <x:v>1009924.4698817795</x:v>
      </x:c>
      <x:c r="F749" s="78" t="n">
        <x:f>'Inputs'!$B$13*E749+(1-'Inputs'!$B$13)/'Inputs'!$B$14*SUM(E734:E749)</x:f>
        <x:v>433620.9554191353</x:v>
      </x:c>
      <x:c r="G749" s="78" t="n">
        <x:f>F749*'Inputs'!$F$46</x:f>
        <x:v>216810.47770956764</x:v>
      </x:c>
      <x:c r="H749" s="78" t="n">
        <x:f>U748</x:f>
        <x:v>8094890.248994704</x:v>
      </x:c>
      <x:c r="I749" s="78" t="n">
        <x:f>V748</x:f>
        <x:v>3536.8610172161534</x:v>
      </x:c>
      <x:c r="J749" s="79" t="n">
        <x:f>IF(H749&gt;0,I749/H749,0)</x:f>
        <x:v>0.00043692513529203095</x:v>
      </x:c>
      <x:c r="K749" s="80" t="n">
        <x:f>(H749*J749+I749)*'Inputs'!$D$46*(1+'Inputs'!$G$46)^(B749/30)</x:f>
        <x:v>7073.722034432307</x:v>
      </x:c>
      <x:c r="L749" s="80" t="n">
        <x:f>MAX(0,K749*'Inputs'!$E$46)</x:f>
        <x:v>0</x:v>
      </x:c>
      <x:c r="M749" s="80" t="n">
        <x:f>MAX(0,-K749*'Inputs'!$E$46)</x:f>
        <x:v>0</x:v>
      </x:c>
      <x:c r="N749" s="78" t="n">
        <x:f>H749*(L749*(1-'Inputs'!$B$15))/(I749+L749*(1-'Inputs'!$B$15))</x:f>
        <x:v>0</x:v>
      </x:c>
      <x:c r="O749" s="78" t="n">
        <x:f>H749-N749</x:f>
        <x:v>8094890.248994704</x:v>
      </x:c>
      <x:c r="P749" s="78" t="n">
        <x:f>I749+L749*(1-'Inputs'!$B$17)</x:f>
        <x:v>3536.8610172161534</x:v>
      </x:c>
      <x:c r="Q749" s="78" t="n">
        <x:f>IF(J749&gt;0,M749/J749,0)</x:f>
        <x:v>0</x:v>
      </x:c>
      <x:c r="R749" s="78" t="n">
        <x:f>IF(B749='Inputs'!$H$46,'Inputs'!$B$27*'Inputs'!$I$46,0)</x:f>
        <x:v>0</x:v>
      </x:c>
      <x:c r="S749" s="78" t="n">
        <x:f>Q749+G749+R749</x:f>
        <x:v>216810.47770956764</x:v>
      </x:c>
      <x:c r="T749" s="78" t="n">
        <x:f>P749*(S749*(1-'Inputs'!$B$15))/(O749+S749*(1-'Inputs'!$B$15))</x:f>
        <x:v>91.3601613963656</x:v>
      </x:c>
      <x:c r="U749" s="78" t="n">
        <x:f>O749+S749*(1-'Inputs'!$B$17)</x:f>
        <x:v>8310828.249932805</x:v>
      </x:c>
      <x:c r="V749" s="78" t="n">
        <x:f>P749-T749</x:f>
        <x:v>3445.500855819788</x:v>
      </x:c>
      <x:c r="W749" s="79" t="n">
        <x:f>IF(U749&gt;0,V749/U749,0)</x:f>
        <x:v>0.00041457972084161957</x:v>
      </x:c>
      <x:c r="X749" s="80" t="n">
        <x:f>W749*('Inputs'!$B$6-AC749)</x:f>
        <x:v>414394.41165770986</x:v>
      </x:c>
      <x:c r="Y749" s="80" t="n">
        <x:f>2*V749</x:f>
        <x:v>6891.001711639576</x:v>
      </x:c>
      <x:c r="Z749" s="80" t="n">
        <x:f>K749*'Inputs'!$B$16+(G749+R749)*J749*'Inputs'!$B$16</x:f>
        <x:v>43.01071189042973</x:v>
      </x:c>
      <x:c r="AA749" s="80" t="n">
        <x:f>K749*(1+'Inputs'!$E$46)/2*'Inputs'!$B$17</x:f>
        <x:v>14.232841115557962</x:v>
      </x:c>
      <x:c r="AB749" s="78" t="n">
        <x:f>(IF(J749&gt;0,K749*(1-'Inputs'!$E$46)/2/J749,0)+G749+R749)*'Inputs'!$B$17</x:f>
        <x:v>33447.48783382001</x:v>
      </x:c>
      <x:c r="AC749" s="78" t="n">
        <x:f>AC748+AB749</x:f>
        <x:v>446980.82080209267</x:v>
      </x:c>
      <x:c r="AD749" s="80" t="n">
        <x:f>Z749/(1+'Inputs'!$C$46)</x:f>
        <x:v>21.505355945214866</x:v>
      </x:c>
      <x:c r="AE749" s="80" t="n">
        <x:f>Z749-AD749</x:f>
        <x:v>21.505355945214866</x:v>
      </x:c>
      <x:c r="AF749" s="80" t="n">
        <x:f>D749*W749</x:f>
        <x:v>125.60826143841282</x:v>
      </x:c>
      <x:c r="AG749" s="80" t="n">
        <x:f>C749*W749</x:f>
        <x:v>293.08594335629596</x:v>
      </x:c>
      <x:c r="AH749" s="80" t="n">
        <x:f>2*'Inputs'!$B$8*'Inputs'!$C$46</x:f>
        <x:v>5000</x:v>
      </x:c>
      <x:c r="AI749" s="81" t="n">
        <x:f>IF(AH749&gt;0,(AE749+AF749)/AH749*365,0)</x:f>
        <x:v>10.73929406900482</x:v>
      </x:c>
      <x:c r="AJ749" s="81" t="n">
        <x:f>IF('Inputs'!$B$46&gt;0,AG749/('Inputs'!$B$19*'Inputs'!$B$46)*365,0)</x:f>
        <x:v>10.697636932504803</x:v>
      </x:c>
      <x:c r="AK749" s="81" t="n">
        <x:f>W749/MAX($W$734:W749)-1</x:f>
        <x:v>-0.508083641599525</x:v>
      </x:c>
      <x:c r="AL749" s="83" t="n">
        <x:f>'Inputs'!$B$46</x:f>
        <x:v>1</x:v>
      </x:c>
      <x:c r="AM749" s="83" t="n">
        <x:f>'Inputs'!$C$46</x:f>
        <x:v>1</x:v>
      </x:c>
      <x:c r="AN749" s="83" t="n">
        <x:f>'Inputs'!$D$46</x:f>
        <x:v>1</x:v>
      </x:c>
      <x:c r="AO749" s="81" t="n">
        <x:f>'Inputs'!$E$46</x:f>
        <x:v>0</x:v>
      </x:c>
    </x:row>
    <x:row r="750">
      <x:c r="A750" s="59" t="str">
        <x:v>Base</x:v>
      </x:c>
      <x:c r="B750" s="59" t="n">
        <x:v>17</x:v>
      </x:c>
      <x:c r="C750" s="78" t="n">
        <x:f>(('Inputs'!$B$29*(3*17*'Inputs'!$B$12-17^2)/(2*'Inputs'!$B$12^2))-('Inputs'!$B$29*(3*16*'Inputs'!$B$12-16^2)/(2*'Inputs'!$B$12^2)))*'Inputs'!$B$46</x:f>
        <x:v>706622.0210170764</x:v>
      </x:c>
      <x:c r="D750" s="78" t="n">
        <x:f>IF('Inputs'!$C$46&gt;0,('Inputs'!$B$30*(3*17*'Inputs'!$B$12-17^2)/(2*'Inputs'!$B$12^2))-('Inputs'!$B$30*(3*16*'Inputs'!$B$12-16^2)/(2*'Inputs'!$B$12^2)),0)</x:f>
        <x:v>302838.00900731795</x:v>
      </x:c>
      <x:c r="E750" s="78" t="n">
        <x:f>C750+D750</x:f>
        <x:v>1009460.0300243944</x:v>
      </x:c>
      <x:c r="F750" s="78" t="n">
        <x:f>'Inputs'!$B$13*E750+(1-'Inputs'!$B$13)/'Inputs'!$B$14*SUM(E734:E750)</x:f>
        <x:v>447948.92501943535</x:v>
      </x:c>
      <x:c r="G750" s="78" t="n">
        <x:f>F750*'Inputs'!$F$46</x:f>
        <x:v>223974.46250971768</x:v>
      </x:c>
      <x:c r="H750" s="78" t="n">
        <x:f>U749</x:f>
        <x:v>8310828.249932805</x:v>
      </x:c>
      <x:c r="I750" s="78" t="n">
        <x:f>V749</x:f>
        <x:v>3445.500855819788</x:v>
      </x:c>
      <x:c r="J750" s="79" t="n">
        <x:f>IF(H750&gt;0,I750/H750,0)</x:f>
        <x:v>0.00041457972084161957</x:v>
      </x:c>
      <x:c r="K750" s="80" t="n">
        <x:f>(H750*J750+I750)*'Inputs'!$D$46*(1+'Inputs'!$G$46)^(B750/30)</x:f>
        <x:v>6891.001711639576</x:v>
      </x:c>
      <x:c r="L750" s="80" t="n">
        <x:f>MAX(0,K750*'Inputs'!$E$46)</x:f>
        <x:v>0</x:v>
      </x:c>
      <x:c r="M750" s="80" t="n">
        <x:f>MAX(0,-K750*'Inputs'!$E$46)</x:f>
        <x:v>0</x:v>
      </x:c>
      <x:c r="N750" s="78" t="n">
        <x:f>H750*(L750*(1-'Inputs'!$B$15))/(I750+L750*(1-'Inputs'!$B$15))</x:f>
        <x:v>0</x:v>
      </x:c>
      <x:c r="O750" s="78" t="n">
        <x:f>H750-N750</x:f>
        <x:v>8310828.249932805</x:v>
      </x:c>
      <x:c r="P750" s="78" t="n">
        <x:f>I750+L750*(1-'Inputs'!$B$17)</x:f>
        <x:v>3445.500855819788</x:v>
      </x:c>
      <x:c r="Q750" s="78" t="n">
        <x:f>IF(J750&gt;0,M750/J750,0)</x:f>
        <x:v>0</x:v>
      </x:c>
      <x:c r="R750" s="78" t="n">
        <x:f>IF(B750='Inputs'!$H$46,'Inputs'!$B$27*'Inputs'!$I$46,0)</x:f>
        <x:v>0</x:v>
      </x:c>
      <x:c r="S750" s="78" t="n">
        <x:f>Q750+G750+R750</x:f>
        <x:v>223974.46250971768</x:v>
      </x:c>
      <x:c r="T750" s="78" t="n">
        <x:f>P750*(S750*(1-'Inputs'!$B$15))/(O750+S750*(1-'Inputs'!$B$15))</x:f>
        <x:v>89.53782856545882</x:v>
      </x:c>
      <x:c r="U750" s="78" t="n">
        <x:f>O750+S750*(1-'Inputs'!$B$17)</x:f>
        <x:v>8533901.40675838</x:v>
      </x:c>
      <x:c r="V750" s="78" t="n">
        <x:f>P750-T750</x:f>
        <x:v>3355.963027254329</x:v>
      </x:c>
      <x:c r="W750" s="79" t="n">
        <x:f>IF(U750&gt;0,V750/U750,0)</x:f>
        <x:v>0.00039325073812038555</x:v>
      </x:c>
      <x:c r="X750" s="80" t="n">
        <x:f>W750*('Inputs'!$B$6-AC750)</x:f>
        <x:v>393061.45627496764</x:v>
      </x:c>
      <x:c r="Y750" s="80" t="n">
        <x:f>2*V750</x:f>
        <x:v>6711.926054508658</x:v>
      </x:c>
      <x:c r="Z750" s="80" t="n">
        <x:f>K750*'Inputs'!$B$16+(G750+R750)*J750*'Inputs'!$B$16</x:f>
        <x:v>41.90314189069504</x:v>
      </x:c>
      <x:c r="AA750" s="80" t="n">
        <x:f>K750*(1+'Inputs'!$E$46)/2*'Inputs'!$B$17</x:f>
        <x:v>13.865194590824098</x:v>
      </x:c>
      <x:c r="AB750" s="78" t="n">
        <x:f>(IF(J750&gt;0,K750*(1-'Inputs'!$E$46)/2/J750,0)+G750+R750)*'Inputs'!$B$17</x:f>
        <x:v>34345.28254504034</x:v>
      </x:c>
      <x:c r="AC750" s="78" t="n">
        <x:f>AC749+AB750</x:f>
        <x:v>481326.10334713303</x:v>
      </x:c>
      <x:c r="AD750" s="80" t="n">
        <x:f>Z750/(1+'Inputs'!$C$46)</x:f>
        <x:v>20.95157094534752</x:v>
      </x:c>
      <x:c r="AE750" s="80" t="n">
        <x:f>Z750-AD750</x:f>
        <x:v>20.95157094534752</x:v>
      </x:c>
      <x:c r="AF750" s="80" t="n">
        <x:f>D750*W750</x:f>
        <x:v>119.09127057303574</x:v>
      </x:c>
      <x:c r="AG750" s="80" t="n">
        <x:f>C750*W750</x:f>
        <x:v>277.8796313370839</x:v>
      </x:c>
      <x:c r="AH750" s="80" t="n">
        <x:f>2*'Inputs'!$B$8*'Inputs'!$C$46</x:f>
        <x:v>5000</x:v>
      </x:c>
      <x:c r="AI750" s="81" t="n">
        <x:f>IF(AH750&gt;0,(AE750+AF750)/AH750*365,0)</x:f>
        <x:v>10.223127430841977</x:v>
      </x:c>
      <x:c r="AJ750" s="81" t="n">
        <x:f>IF('Inputs'!$B$46&gt;0,AG750/('Inputs'!$B$19*'Inputs'!$B$46)*365,0)</x:f>
        <x:v>10.142606543803561</x:v>
      </x:c>
      <x:c r="AK750" s="81" t="n">
        <x:f>W750/MAX($W$734:W750)-1</x:f>
        <x:v>-0.5333913809344751</x:v>
      </x:c>
      <x:c r="AL750" s="83" t="n">
        <x:f>'Inputs'!$B$46</x:f>
        <x:v>1</x:v>
      </x:c>
      <x:c r="AM750" s="83" t="n">
        <x:f>'Inputs'!$C$46</x:f>
        <x:v>1</x:v>
      </x:c>
      <x:c r="AN750" s="83" t="n">
        <x:f>'Inputs'!$D$46</x:f>
        <x:v>1</x:v>
      </x:c>
      <x:c r="AO750" s="81" t="n">
        <x:f>'Inputs'!$E$46</x:f>
        <x:v>0</x:v>
      </x:c>
    </x:row>
    <x:row r="751">
      <x:c r="A751" s="59" t="str">
        <x:v>Base</x:v>
      </x:c>
      <x:c r="B751" s="59" t="n">
        <x:v>18</x:v>
      </x:c>
      <x:c r="C751" s="78" t="n">
        <x:f>(('Inputs'!$B$29*(3*18*'Inputs'!$B$12-18^2)/(2*'Inputs'!$B$12^2))-('Inputs'!$B$29*(3*17*'Inputs'!$B$12-17^2)/(2*'Inputs'!$B$12^2)))*'Inputs'!$B$46</x:f>
        <x:v>706296.9131169058</x:v>
      </x:c>
      <x:c r="D751" s="78" t="n">
        <x:f>IF('Inputs'!$C$46&gt;0,('Inputs'!$B$30*(3*18*'Inputs'!$B$12-18^2)/(2*'Inputs'!$B$12^2))-('Inputs'!$B$30*(3*17*'Inputs'!$B$12-17^2)/(2*'Inputs'!$B$12^2)),0)</x:f>
        <x:v>302698.67705010343</x:v>
      </x:c>
      <x:c r="E751" s="78" t="n">
        <x:f>C751+D751</x:f>
        <x:v>1008995.5901670093</x:v>
      </x:c>
      <x:c r="F751" s="78" t="n">
        <x:f>'Inputs'!$B$13*E751+(1-'Inputs'!$B$13)/'Inputs'!$B$14*SUM(E734:E751)</x:f>
        <x:v>462270.2597646299</x:v>
      </x:c>
      <x:c r="G751" s="78" t="n">
        <x:f>F751*'Inputs'!$F$46</x:f>
        <x:v>231135.12988231494</x:v>
      </x:c>
      <x:c r="H751" s="78" t="n">
        <x:f>U750</x:f>
        <x:v>8533901.40675838</x:v>
      </x:c>
      <x:c r="I751" s="78" t="n">
        <x:f>V750</x:f>
        <x:v>3355.963027254329</x:v>
      </x:c>
      <x:c r="J751" s="79" t="n">
        <x:f>IF(H751&gt;0,I751/H751,0)</x:f>
        <x:v>0.00039325073812038555</x:v>
      </x:c>
      <x:c r="K751" s="80" t="n">
        <x:f>(H751*J751+I751)*'Inputs'!$D$46*(1+'Inputs'!$G$46)^(B751/30)</x:f>
        <x:v>6711.926054508658</x:v>
      </x:c>
      <x:c r="L751" s="80" t="n">
        <x:f>MAX(0,K751*'Inputs'!$E$46)</x:f>
        <x:v>0</x:v>
      </x:c>
      <x:c r="M751" s="80" t="n">
        <x:f>MAX(0,-K751*'Inputs'!$E$46)</x:f>
        <x:v>0</x:v>
      </x:c>
      <x:c r="N751" s="78" t="n">
        <x:f>H751*(L751*(1-'Inputs'!$B$15))/(I751+L751*(1-'Inputs'!$B$15))</x:f>
        <x:v>0</x:v>
      </x:c>
      <x:c r="O751" s="78" t="n">
        <x:f>H751-N751</x:f>
        <x:v>8533901.40675838</x:v>
      </x:c>
      <x:c r="P751" s="78" t="n">
        <x:f>I751+L751*(1-'Inputs'!$B$17)</x:f>
        <x:v>3355.963027254329</x:v>
      </x:c>
      <x:c r="Q751" s="78" t="n">
        <x:f>IF(J751&gt;0,M751/J751,0)</x:f>
        <x:v>0</x:v>
      </x:c>
      <x:c r="R751" s="78" t="n">
        <x:f>IF(B751='Inputs'!$H$46,'Inputs'!$B$27*'Inputs'!$I$46,0)</x:f>
        <x:v>0</x:v>
      </x:c>
      <x:c r="S751" s="78" t="n">
        <x:f>Q751+G751+R751</x:f>
        <x:v>231135.12988231494</x:v>
      </x:c>
      <x:c r="T751" s="78" t="n">
        <x:f>P751*(S751*(1-'Inputs'!$B$15))/(O751+S751*(1-'Inputs'!$B$15))</x:f>
        <x:v>87.63531029906076</x:v>
      </x:c>
      <x:c r="U751" s="78" t="n">
        <x:f>O751+S751*(1-'Inputs'!$B$17)</x:f>
        <x:v>8764106.415393682</x:v>
      </x:c>
      <x:c r="V751" s="78" t="n">
        <x:f>P751-T751</x:f>
        <x:v>3268.3277169552684</x:v>
      </x:c>
      <x:c r="W751" s="79" t="n">
        <x:f>IF(U751&gt;0,V751/U751,0)</x:f>
        <x:v>0.00037292195713354485</x:v>
      </x:c>
      <x:c r="X751" s="80" t="n">
        <x:f>W751*('Inputs'!$B$6-AC751)</x:f>
        <x:v>372729.3064410266</x:v>
      </x:c>
      <x:c r="Y751" s="80" t="n">
        <x:f>2*V751</x:f>
        <x:v>6536.655433910537</x:v>
      </x:c>
      <x:c r="Z751" s="80" t="n">
        <x:f>K751*'Inputs'!$B$16+(G751+R751)*J751*'Inputs'!$B$16</x:f>
        <x:v>40.81692068964258</x:v>
      </x:c>
      <x:c r="AA751" s="80" t="n">
        <x:f>K751*(1+'Inputs'!$E$46)/2*'Inputs'!$B$17</x:f>
        <x:v>13.504881397401729</x:v>
      </x:c>
      <x:c r="AB751" s="78" t="n">
        <x:f>(IF(J751&gt;0,K751*(1-'Inputs'!$E$46)/2/J751,0)+G751+R751)*'Inputs'!$B$17</x:f>
        <x:v>35271.77680740722</x:v>
      </x:c>
      <x:c r="AC751" s="78" t="n">
        <x:f>AC750+AB751</x:f>
        <x:v>516597.88015454024</x:v>
      </x:c>
      <x:c r="AD751" s="80" t="n">
        <x:f>Z751/(1+'Inputs'!$C$46)</x:f>
        <x:v>20.40846034482129</x:v>
      </x:c>
      <x:c r="AE751" s="80" t="n">
        <x:f>Z751-AD751</x:f>
        <x:v>20.40846034482129</x:v>
      </x:c>
      <x:c r="AF751" s="80" t="n">
        <x:f>D751*W751</x:f>
        <x:v>112.88298306725942</x:v>
      </x:c>
      <x:c r="AG751" s="80" t="n">
        <x:f>C751*W751</x:f>
        <x:v>263.39362715693784</x:v>
      </x:c>
      <x:c r="AH751" s="80" t="n">
        <x:f>2*'Inputs'!$B$8*'Inputs'!$C$46</x:f>
        <x:v>5000</x:v>
      </x:c>
      <x:c r="AI751" s="81" t="n">
        <x:f>IF(AH751&gt;0,(AE751+AF751)/AH751*365,0)</x:f>
        <x:v>9.730275369081891</x:v>
      </x:c>
      <x:c r="AJ751" s="81" t="n">
        <x:f>IF('Inputs'!$B$46&gt;0,AG751/('Inputs'!$B$19*'Inputs'!$B$46)*365,0)</x:f>
        <x:v>9.613867391228231</x:v>
      </x:c>
      <x:c r="AK751" s="81" t="n">
        <x:f>W751/MAX($W$734:W751)-1</x:f>
        <x:v>-0.5575123386442898</x:v>
      </x:c>
      <x:c r="AL751" s="83" t="n">
        <x:f>'Inputs'!$B$46</x:f>
        <x:v>1</x:v>
      </x:c>
      <x:c r="AM751" s="83" t="n">
        <x:f>'Inputs'!$C$46</x:f>
        <x:v>1</x:v>
      </x:c>
      <x:c r="AN751" s="83" t="n">
        <x:f>'Inputs'!$D$46</x:f>
        <x:v>1</x:v>
      </x:c>
      <x:c r="AO751" s="81" t="n">
        <x:f>'Inputs'!$E$46</x:f>
        <x:v>0</x:v>
      </x:c>
    </x:row>
    <x:row r="752">
      <x:c r="A752" s="59" t="str">
        <x:v>Base</x:v>
      </x:c>
      <x:c r="B752" s="59" t="n">
        <x:v>19</x:v>
      </x:c>
      <x:c r="C752" s="78" t="n">
        <x:f>(('Inputs'!$B$29*(3*19*'Inputs'!$B$12-19^2)/(2*'Inputs'!$B$12^2))-('Inputs'!$B$29*(3*18*'Inputs'!$B$12-18^2)/(2*'Inputs'!$B$12^2)))*'Inputs'!$B$46</x:f>
        <x:v>705971.805216739</x:v>
      </x:c>
      <x:c r="D752" s="78" t="n">
        <x:f>IF('Inputs'!$C$46&gt;0,('Inputs'!$B$30*(3*19*'Inputs'!$B$12-19^2)/(2*'Inputs'!$B$12^2))-('Inputs'!$B$30*(3*18*'Inputs'!$B$12-18^2)/(2*'Inputs'!$B$12^2)),0)</x:f>
        <x:v>302559.345092888</x:v>
      </x:c>
      <x:c r="E752" s="78" t="n">
        <x:f>C752+D752</x:f>
        <x:v>1008531.150309627</x:v>
      </x:c>
      <x:c r="F752" s="78" t="n">
        <x:f>'Inputs'!$B$13*E752+(1-'Inputs'!$B$13)/'Inputs'!$B$14*SUM(E734:E752)</x:f>
        <x:v>476584.95965471945</x:v>
      </x:c>
      <x:c r="G752" s="78" t="n">
        <x:f>F752*'Inputs'!$F$46</x:f>
        <x:v>238292.47982735973</x:v>
      </x:c>
      <x:c r="H752" s="78" t="n">
        <x:f>U751</x:f>
        <x:v>8764106.415393682</x:v>
      </x:c>
      <x:c r="I752" s="78" t="n">
        <x:f>V751</x:f>
        <x:v>3268.3277169552684</x:v>
      </x:c>
      <x:c r="J752" s="79" t="n">
        <x:f>IF(H752&gt;0,I752/H752,0)</x:f>
        <x:v>0.00037292195713354485</x:v>
      </x:c>
      <x:c r="K752" s="80" t="n">
        <x:f>(H752*J752+I752)*'Inputs'!$D$46*(1+'Inputs'!$G$46)^(B752/30)</x:f>
        <x:v>6536.655433910537</x:v>
      </x:c>
      <x:c r="L752" s="80" t="n">
        <x:f>MAX(0,K752*'Inputs'!$E$46)</x:f>
        <x:v>0</x:v>
      </x:c>
      <x:c r="M752" s="80" t="n">
        <x:f>MAX(0,-K752*'Inputs'!$E$46)</x:f>
        <x:v>0</x:v>
      </x:c>
      <x:c r="N752" s="78" t="n">
        <x:f>H752*(L752*(1-'Inputs'!$B$15))/(I752+L752*(1-'Inputs'!$B$15))</x:f>
        <x:v>0</x:v>
      </x:c>
      <x:c r="O752" s="78" t="n">
        <x:f>H752-N752</x:f>
        <x:v>8764106.415393682</x:v>
      </x:c>
      <x:c r="P752" s="78" t="n">
        <x:f>I752+L752*(1-'Inputs'!$B$17)</x:f>
        <x:v>3268.3277169552684</x:v>
      </x:c>
      <x:c r="Q752" s="78" t="n">
        <x:f>IF(J752&gt;0,M752/J752,0)</x:f>
        <x:v>0</x:v>
      </x:c>
      <x:c r="R752" s="78" t="n">
        <x:f>IF(B752='Inputs'!$H$46,'Inputs'!$B$27*'Inputs'!$I$46,0)</x:f>
        <x:v>0</x:v>
      </x:c>
      <x:c r="S752" s="78" t="n">
        <x:f>Q752+G752+R752</x:f>
        <x:v>238292.47982735973</x:v>
      </x:c>
      <x:c r="T752" s="78" t="n">
        <x:f>P752*(S752*(1-'Inputs'!$B$15))/(O752+S752*(1-'Inputs'!$B$15))</x:f>
        <x:v>85.66981880143572</x:v>
      </x:c>
      <x:c r="U752" s="78" t="n">
        <x:f>O752+S752*(1-'Inputs'!$B$17)</x:f>
        <x:v>9001439.971760971</x:v>
      </x:c>
      <x:c r="V752" s="78" t="n">
        <x:f>P752-T752</x:f>
        <x:v>3182.657898153833</x:v>
      </x:c>
      <x:c r="W752" s="79" t="n">
        <x:f>IF(U752&gt;0,V752/U752,0)</x:f>
        <x:v>0.00035357208492623013</x:v>
      </x:c>
      <x:c r="X752" s="80" t="n">
        <x:f>W752*('Inputs'!$B$6-AC752)</x:f>
        <x:v>353376.6214958436</x:v>
      </x:c>
      <x:c r="Y752" s="80" t="n">
        <x:f>2*V752</x:f>
        <x:v>6365.315796307666</x:v>
      </x:c>
      <x:c r="Z752" s="80" t="n">
        <x:f>K752*'Inputs'!$B$16+(G752+R752)*J752*'Inputs'!$B$16</x:f>
        <x:v>39.75311959114777</x:v>
      </x:c>
      <x:c r="AA752" s="80" t="n">
        <x:f>K752*(1+'Inputs'!$E$46)/2*'Inputs'!$B$17</x:f>
        <x:v>13.152224213099673</x:v>
      </x:c>
      <x:c r="AB752" s="78" t="n">
        <x:f>(IF(J752&gt;0,K752*(1-'Inputs'!$E$46)/2/J752,0)+G752+R752)*'Inputs'!$B$17</x:f>
        <x:v>36226.957324833165</x:v>
      </x:c>
      <x:c r="AC752" s="78" t="n">
        <x:f>AC751+AB752</x:f>
        <x:v>552824.8374793734</x:v>
      </x:c>
      <x:c r="AD752" s="80" t="n">
        <x:f>Z752/(1+'Inputs'!$C$46)</x:f>
        <x:v>19.876559795573886</x:v>
      </x:c>
      <x:c r="AE752" s="80" t="n">
        <x:f>Z752-AD752</x:f>
        <x:v>19.876559795573886</x:v>
      </x:c>
      <x:c r="AF752" s="80" t="n">
        <x:f>D752*W752</x:f>
        <x:v>106.97653845840716</x:v>
      </x:c>
      <x:c r="AG752" s="80" t="n">
        <x:f>C752*W752</x:f>
        <x:v>249.61192306961684</x:v>
      </x:c>
      <x:c r="AH752" s="80" t="n">
        <x:f>2*'Inputs'!$B$8*'Inputs'!$C$46</x:f>
        <x:v>5000</x:v>
      </x:c>
      <x:c r="AI752" s="81" t="n">
        <x:f>IF(AH752&gt;0,(AE752+AF752)/AH752*365,0)</x:f>
        <x:v>9.260276172540616</x:v>
      </x:c>
      <x:c r="AJ752" s="81" t="n">
        <x:f>IF('Inputs'!$B$46&gt;0,AG752/('Inputs'!$B$19*'Inputs'!$B$46)*365,0)</x:f>
        <x:v>9.110835192041014</x:v>
      </x:c>
      <x:c r="AK752" s="81" t="n">
        <x:f>W752/MAX($W$734:W752)-1</x:f>
        <x:v>-0.580471779719733</x:v>
      </x:c>
      <x:c r="AL752" s="83" t="n">
        <x:f>'Inputs'!$B$46</x:f>
        <x:v>1</x:v>
      </x:c>
      <x:c r="AM752" s="83" t="n">
        <x:f>'Inputs'!$C$46</x:f>
        <x:v>1</x:v>
      </x:c>
      <x:c r="AN752" s="83" t="n">
        <x:f>'Inputs'!$D$46</x:f>
        <x:v>1</x:v>
      </x:c>
      <x:c r="AO752" s="81" t="n">
        <x:f>'Inputs'!$E$46</x:f>
        <x:v>0</x:v>
      </x:c>
    </x:row>
    <x:row r="753">
      <x:c r="A753" s="59" t="str">
        <x:v>Base</x:v>
      </x:c>
      <x:c r="B753" s="59" t="n">
        <x:v>20</x:v>
      </x:c>
      <x:c r="C753" s="78" t="n">
        <x:f>(('Inputs'!$B$29*(3*20*'Inputs'!$B$12-20^2)/(2*'Inputs'!$B$12^2))-('Inputs'!$B$29*(3*19*'Inputs'!$B$12-19^2)/(2*'Inputs'!$B$12^2)))*'Inputs'!$B$46</x:f>
        <x:v>705646.6973165702</x:v>
      </x:c>
      <x:c r="D753" s="78" t="n">
        <x:f>IF('Inputs'!$C$46&gt;0,('Inputs'!$B$30*(3*20*'Inputs'!$B$12-20^2)/(2*'Inputs'!$B$12^2))-('Inputs'!$B$30*(3*19*'Inputs'!$B$12-19^2)/(2*'Inputs'!$B$12^2)),0)</x:f>
        <x:v>302420.01313567255</x:v>
      </x:c>
      <x:c r="E753" s="78" t="n">
        <x:f>C753+D753</x:f>
        <x:v>1008066.7104522428</x:v>
      </x:c>
      <x:c r="F753" s="78" t="n">
        <x:f>'Inputs'!$B$13*E753+(1-'Inputs'!$B$13)/'Inputs'!$B$14*SUM(E734:E753)</x:f>
        <x:v>490893.02468970325</x:v>
      </x:c>
      <x:c r="G753" s="78" t="n">
        <x:f>F753*'Inputs'!$F$46</x:f>
        <x:v>245446.51234485162</x:v>
      </x:c>
      <x:c r="H753" s="78" t="n">
        <x:f>U752</x:f>
        <x:v>9001439.971760971</x:v>
      </x:c>
      <x:c r="I753" s="78" t="n">
        <x:f>V752</x:f>
        <x:v>3182.657898153833</x:v>
      </x:c>
      <x:c r="J753" s="79" t="n">
        <x:f>IF(H753&gt;0,I753/H753,0)</x:f>
        <x:v>0.00035357208492623013</x:v>
      </x:c>
      <x:c r="K753" s="80" t="n">
        <x:f>(H753*J753+I753)*'Inputs'!$D$46*(1+'Inputs'!$G$46)^(B753/30)</x:f>
        <x:v>6365.315796307666</x:v>
      </x:c>
      <x:c r="L753" s="80" t="n">
        <x:f>MAX(0,K753*'Inputs'!$E$46)</x:f>
        <x:v>0</x:v>
      </x:c>
      <x:c r="M753" s="80" t="n">
        <x:f>MAX(0,-K753*'Inputs'!$E$46)</x:f>
        <x:v>0</x:v>
      </x:c>
      <x:c r="N753" s="78" t="n">
        <x:f>H753*(L753*(1-'Inputs'!$B$15))/(I753+L753*(1-'Inputs'!$B$15))</x:f>
        <x:v>0</x:v>
      </x:c>
      <x:c r="O753" s="78" t="n">
        <x:f>H753-N753</x:f>
        <x:v>9001439.971760971</x:v>
      </x:c>
      <x:c r="P753" s="78" t="n">
        <x:f>I753+L753*(1-'Inputs'!$B$17)</x:f>
        <x:v>3182.657898153833</x:v>
      </x:c>
      <x:c r="Q753" s="78" t="n">
        <x:f>IF(J753&gt;0,M753/J753,0)</x:f>
        <x:v>0</x:v>
      </x:c>
      <x:c r="R753" s="78" t="n">
        <x:f>IF(B753='Inputs'!$H$46,'Inputs'!$B$27*'Inputs'!$I$46,0)</x:f>
        <x:v>0</x:v>
      </x:c>
      <x:c r="S753" s="78" t="n">
        <x:f>Q753+G753+R753</x:f>
        <x:v>245446.51234485162</x:v>
      </x:c>
      <x:c r="T753" s="78" t="n">
        <x:f>P753*(S753*(1-'Inputs'!$B$15))/(O753+S753*(1-'Inputs'!$B$15))</x:f>
        <x:v>83.65690360313765</x:v>
      </x:c>
      <x:c r="U753" s="78" t="n">
        <x:f>O753+S753*(1-'Inputs'!$B$17)</x:f>
        <x:v>9245898.771782504</x:v>
      </x:c>
      <x:c r="V753" s="78" t="n">
        <x:f>P753-T753</x:f>
        <x:v>3099.000994550695</x:v>
      </x:c>
      <x:c r="W753" s="79" t="n">
        <x:f>IF(U753&gt;0,V753/U753,0)</x:f>
        <x:v>0.000335175743434323</x:v>
      </x:c>
      <x:c r="X753" s="80" t="n">
        <x:f>W753*('Inputs'!$B$6-AC753)</x:f>
        <x:v>334977.9777972578</x:v>
      </x:c>
      <x:c r="Y753" s="80" t="n">
        <x:f>2*V753</x:f>
        <x:v>6198.00198910139</x:v>
      </x:c>
      <x:c r="Z753" s="80" t="n">
        <x:f>K753*'Inputs'!$B$16+(G753+R753)*J753*'Inputs'!$B$16</x:f>
        <x:v>38.71259298849184</x:v>
      </x:c>
      <x:c r="AA753" s="80" t="n">
        <x:f>K753*(1+'Inputs'!$E$46)/2*'Inputs'!$B$17</x:f>
        <x:v>12.807476451323272</x:v>
      </x:c>
      <x:c r="AB753" s="78" t="n">
        <x:f>(IF(J753&gt;0,K753*(1-'Inputs'!$E$46)/2/J753,0)+G753+R753)*'Inputs'!$B$17</x:f>
        <x:v>37210.810801230684</x:v>
      </x:c>
      <x:c r="AC753" s="78" t="n">
        <x:f>AC752+AB753</x:f>
        <x:v>590035.6482806042</x:v>
      </x:c>
      <x:c r="AD753" s="80" t="n">
        <x:f>Z753/(1+'Inputs'!$C$46)</x:f>
        <x:v>19.35629649424592</x:v>
      </x:c>
      <x:c r="AE753" s="80" t="n">
        <x:f>Z753-AD753</x:f>
        <x:v>19.35629649424592</x:v>
      </x:c>
      <x:c r="AF753" s="80" t="n">
        <x:f>D753*W753</x:f>
        <x:v>101.36385273216678</x:v>
      </x:c>
      <x:c r="AG753" s="80" t="n">
        <x:f>C753*W753</x:f>
        <x:v>236.51565637505612</x:v>
      </x:c>
      <x:c r="AH753" s="80" t="n">
        <x:f>2*'Inputs'!$B$8*'Inputs'!$C$46</x:f>
        <x:v>5000</x:v>
      </x:c>
      <x:c r="AI753" s="81" t="n">
        <x:f>IF(AH753&gt;0,(AE753+AF753)/AH753*365,0)</x:f>
        <x:v>8.812570893528127</x:v>
      </x:c>
      <x:c r="AJ753" s="81" t="n">
        <x:f>IF('Inputs'!$B$46&gt;0,AG753/('Inputs'!$B$19*'Inputs'!$B$46)*365,0)</x:f>
        <x:v>8.632821457689548</x:v>
      </x:c>
      <x:c r="AK753" s="81" t="n">
        <x:f>W753/MAX($W$734:W753)-1</x:f>
        <x:v>-0.6022998163063262</x:v>
      </x:c>
      <x:c r="AL753" s="83" t="n">
        <x:f>'Inputs'!$B$46</x:f>
        <x:v>1</x:v>
      </x:c>
      <x:c r="AM753" s="83" t="n">
        <x:f>'Inputs'!$C$46</x:f>
        <x:v>1</x:v>
      </x:c>
      <x:c r="AN753" s="83" t="n">
        <x:f>'Inputs'!$D$46</x:f>
        <x:v>1</x:v>
      </x:c>
      <x:c r="AO753" s="81" t="n">
        <x:f>'Inputs'!$E$46</x:f>
        <x:v>0</x:v>
      </x:c>
    </x:row>
    <x:row r="754">
      <x:c r="A754" s="59" t="str">
        <x:v>Base</x:v>
      </x:c>
      <x:c r="B754" s="59" t="n">
        <x:v>21</x:v>
      </x:c>
      <x:c r="C754" s="78" t="n">
        <x:f>(('Inputs'!$B$29*(3*21*'Inputs'!$B$12-21^2)/(2*'Inputs'!$B$12^2))-('Inputs'!$B$29*(3*20*'Inputs'!$B$12-20^2)/(2*'Inputs'!$B$12^2)))*'Inputs'!$B$46</x:f>
        <x:v>705321.5894164015</x:v>
      </x:c>
      <x:c r="D754" s="78" t="n">
        <x:f>IF('Inputs'!$C$46&gt;0,('Inputs'!$B$30*(3*21*'Inputs'!$B$12-21^2)/(2*'Inputs'!$B$12^2))-('Inputs'!$B$30*(3*20*'Inputs'!$B$12-20^2)/(2*'Inputs'!$B$12^2)),0)</x:f>
        <x:v>302280.6811784571</x:v>
      </x:c>
      <x:c r="E754" s="78" t="n">
        <x:f>C754+D754</x:f>
        <x:v>1007602.2705948586</x:v>
      </x:c>
      <x:c r="F754" s="78" t="n">
        <x:f>'Inputs'!$B$13*E754+(1-'Inputs'!$B$13)/'Inputs'!$B$14*SUM(E734:E754)</x:f>
        <x:v>505194.45486958156</x:v>
      </x:c>
      <x:c r="G754" s="78" t="n">
        <x:f>F754*'Inputs'!$F$46</x:f>
        <x:v>252597.22743479078</x:v>
      </x:c>
      <x:c r="H754" s="78" t="n">
        <x:f>U753</x:f>
        <x:v>9245898.771782504</x:v>
      </x:c>
      <x:c r="I754" s="78" t="n">
        <x:f>V753</x:f>
        <x:v>3099.000994550695</x:v>
      </x:c>
      <x:c r="J754" s="79" t="n">
        <x:f>IF(H754&gt;0,I754/H754,0)</x:f>
        <x:v>0.000335175743434323</x:v>
      </x:c>
      <x:c r="K754" s="80" t="n">
        <x:f>(H754*J754+I754)*'Inputs'!$D$46*(1+'Inputs'!$G$46)^(B754/30)</x:f>
        <x:v>6198.00198910139</x:v>
      </x:c>
      <x:c r="L754" s="80" t="n">
        <x:f>MAX(0,K754*'Inputs'!$E$46)</x:f>
        <x:v>0</x:v>
      </x:c>
      <x:c r="M754" s="80" t="n">
        <x:f>MAX(0,-K754*'Inputs'!$E$46)</x:f>
        <x:v>0</x:v>
      </x:c>
      <x:c r="N754" s="78" t="n">
        <x:f>H754*(L754*(1-'Inputs'!$B$15))/(I754+L754*(1-'Inputs'!$B$15))</x:f>
        <x:v>0</x:v>
      </x:c>
      <x:c r="O754" s="78" t="n">
        <x:f>H754-N754</x:f>
        <x:v>9245898.771782504</x:v>
      </x:c>
      <x:c r="P754" s="78" t="n">
        <x:f>I754+L754*(1-'Inputs'!$B$17)</x:f>
        <x:v>3099.000994550695</x:v>
      </x:c>
      <x:c r="Q754" s="78" t="n">
        <x:f>IF(J754&gt;0,M754/J754,0)</x:f>
        <x:v>0</x:v>
      </x:c>
      <x:c r="R754" s="78" t="n">
        <x:f>IF(B754='Inputs'!$H$46,'Inputs'!$B$27*'Inputs'!$I$46,0)</x:f>
        <x:v>0</x:v>
      </x:c>
      <x:c r="S754" s="78" t="n">
        <x:f>Q754+G754+R754</x:f>
        <x:v>252597.22743479078</x:v>
      </x:c>
      <x:c r="T754" s="78" t="n">
        <x:f>P754*(S754*(1-'Inputs'!$B$15))/(O754+S754*(1-'Inputs'!$B$15))</x:f>
        <x:v>81.61052175311475</x:v>
      </x:c>
      <x:c r="U754" s="78" t="n">
        <x:f>O754+S754*(1-'Inputs'!$B$17)</x:f>
        <x:v>9497479.511380535</x:v>
      </x:c>
      <x:c r="V754" s="78" t="n">
        <x:f>P754-T754</x:f>
        <x:v>3017.39047279758</x:v>
      </x:c>
      <x:c r="W754" s="79" t="n">
        <x:f>IF(U754&gt;0,V754/U754,0)</x:f>
        <x:v>0.00031770434136572077</x:v>
      </x:c>
      <x:c r="X754" s="80" t="n">
        <x:f>W754*('Inputs'!$B$6-AC754)</x:f>
        <x:v>317504.74076274416</x:v>
      </x:c>
      <x:c r="Y754" s="80" t="n">
        <x:f>2*V754</x:f>
        <x:v>6034.78094559516</x:v>
      </x:c>
      <x:c r="Z754" s="80" t="n">
        <x:f>K754*'Inputs'!$B$16+(G754+R754)*J754*'Inputs'!$B$16</x:f>
        <x:v>37.69599871557777</x:v>
      </x:c>
      <x:c r="AA754" s="80" t="n">
        <x:f>K754*(1+'Inputs'!$E$46)/2*'Inputs'!$B$17</x:f>
        <x:v>12.470828951914266</x:v>
      </x:c>
      <x:c r="AB754" s="78" t="n">
        <x:f>(IF(J754&gt;0,K754*(1-'Inputs'!$E$46)/2/J754,0)+G754+R754)*'Inputs'!$B$17</x:f>
        <x:v>38223.32394051226</x:v>
      </x:c>
      <x:c r="AC754" s="78" t="n">
        <x:f>AC753+AB754</x:f>
        <x:v>628258.9722211164</x:v>
      </x:c>
      <x:c r="AD754" s="80" t="n">
        <x:f>Z754/(1+'Inputs'!$C$46)</x:f>
        <x:v>18.847999357788886</x:v>
      </x:c>
      <x:c r="AE754" s="80" t="n">
        <x:f>Z754-AD754</x:f>
        <x:v>18.847999357788886</x:v>
      </x:c>
      <x:c r="AF754" s="80" t="n">
        <x:f>D754*W754</x:f>
        <x:v>96.03588472138314</x:v>
      </x:c>
      <x:c r="AG754" s="80" t="n">
        <x:f>C754*W754</x:f>
        <x:v>224.08373101656116</x:v>
      </x:c>
      <x:c r="AH754" s="80" t="n">
        <x:f>2*'Inputs'!$B$8*'Inputs'!$C$46</x:f>
        <x:v>5000</x:v>
      </x:c>
      <x:c r="AI754" s="81" t="n">
        <x:f>IF(AH754&gt;0,(AE754+AF754)/AH754*365,0)</x:f>
        <x:v>8.386523537779558</x:v>
      </x:c>
      <x:c r="AJ754" s="81" t="n">
        <x:f>IF('Inputs'!$B$46&gt;0,AG754/('Inputs'!$B$19*'Inputs'!$B$46)*365,0)</x:f>
        <x:v>8.179056182104482</x:v>
      </x:c>
      <x:c r="AK754" s="81" t="n">
        <x:f>W754/MAX($W$734:W754)-1</x:f>
        <x:v>-0.6230303731803819</x:v>
      </x:c>
      <x:c r="AL754" s="83" t="n">
        <x:f>'Inputs'!$B$46</x:f>
        <x:v>1</x:v>
      </x:c>
      <x:c r="AM754" s="83" t="n">
        <x:f>'Inputs'!$C$46</x:f>
        <x:v>1</x:v>
      </x:c>
      <x:c r="AN754" s="83" t="n">
        <x:f>'Inputs'!$D$46</x:f>
        <x:v>1</x:v>
      </x:c>
      <x:c r="AO754" s="81" t="n">
        <x:f>'Inputs'!$E$46</x:f>
        <x:v>0</x:v>
      </x:c>
    </x:row>
    <x:row r="755">
      <x:c r="A755" s="59" t="str">
        <x:v>Base</x:v>
      </x:c>
      <x:c r="B755" s="59" t="n">
        <x:v>22</x:v>
      </x:c>
      <x:c r="C755" s="78" t="n">
        <x:f>(('Inputs'!$B$29*(3*22*'Inputs'!$B$12-22^2)/(2*'Inputs'!$B$12^2))-('Inputs'!$B$29*(3*21*'Inputs'!$B$12-21^2)/(2*'Inputs'!$B$12^2)))*'Inputs'!$B$46</x:f>
        <x:v>704996.4815162309</x:v>
      </x:c>
      <x:c r="D755" s="78" t="n">
        <x:f>IF('Inputs'!$C$46&gt;0,('Inputs'!$B$30*(3*22*'Inputs'!$B$12-22^2)/(2*'Inputs'!$B$12^2))-('Inputs'!$B$30*(3*21*'Inputs'!$B$12-21^2)/(2*'Inputs'!$B$12^2)),0)</x:f>
        <x:v>302141.3492212426</x:v>
      </x:c>
      <x:c r="E755" s="78" t="n">
        <x:f>C755+D755</x:f>
        <x:v>1007137.8307374734</x:v>
      </x:c>
      <x:c r="F755" s="78" t="n">
        <x:f>'Inputs'!$B$13*E755+(1-'Inputs'!$B$13)/'Inputs'!$B$14*SUM(E734:E755)</x:f>
        <x:v>519489.25019435416</x:v>
      </x:c>
      <x:c r="G755" s="78" t="n">
        <x:f>F755*'Inputs'!$F$46</x:f>
        <x:v>259744.62509717708</x:v>
      </x:c>
      <x:c r="H755" s="78" t="n">
        <x:f>U754</x:f>
        <x:v>9497479.511380535</x:v>
      </x:c>
      <x:c r="I755" s="78" t="n">
        <x:f>V754</x:f>
        <x:v>3017.39047279758</x:v>
      </x:c>
      <x:c r="J755" s="79" t="n">
        <x:f>IF(H755&gt;0,I755/H755,0)</x:f>
        <x:v>0.00031770434136572077</x:v>
      </x:c>
      <x:c r="K755" s="80" t="n">
        <x:f>(H755*J755+I755)*'Inputs'!$D$46*(1+'Inputs'!$G$46)^(B755/30)</x:f>
        <x:v>6034.780945595161</x:v>
      </x:c>
      <x:c r="L755" s="80" t="n">
        <x:f>MAX(0,K755*'Inputs'!$E$46)</x:f>
        <x:v>0</x:v>
      </x:c>
      <x:c r="M755" s="80" t="n">
        <x:f>MAX(0,-K755*'Inputs'!$E$46)</x:f>
        <x:v>0</x:v>
      </x:c>
      <x:c r="N755" s="78" t="n">
        <x:f>H755*(L755*(1-'Inputs'!$B$15))/(I755+L755*(1-'Inputs'!$B$15))</x:f>
        <x:v>0</x:v>
      </x:c>
      <x:c r="O755" s="78" t="n">
        <x:f>H755-N755</x:f>
        <x:v>9497479.511380535</x:v>
      </x:c>
      <x:c r="P755" s="78" t="n">
        <x:f>I755+L755*(1-'Inputs'!$B$17)</x:f>
        <x:v>3017.39047279758</x:v>
      </x:c>
      <x:c r="Q755" s="78" t="n">
        <x:f>IF(J755&gt;0,M755/J755,0)</x:f>
        <x:v>0</x:v>
      </x:c>
      <x:c r="R755" s="78" t="n">
        <x:f>IF(B755='Inputs'!$H$46,'Inputs'!$B$27*'Inputs'!$I$46,0)</x:f>
        <x:v>0</x:v>
      </x:c>
      <x:c r="S755" s="78" t="n">
        <x:f>Q755+G755+R755</x:f>
        <x:v>259744.62509717708</x:v>
      </x:c>
      <x:c r="T755" s="78" t="n">
        <x:f>P755*(S755*(1-'Inputs'!$B$15))/(O755+S755*(1-'Inputs'!$B$15))</x:f>
        <x:v>79.54312063368974</x:v>
      </x:c>
      <x:c r="U755" s="78" t="n">
        <x:f>O755+S755*(1-'Inputs'!$B$17)</x:f>
        <x:v>9756178.886477321</x:v>
      </x:c>
      <x:c r="V755" s="78" t="n">
        <x:f>P755-T755</x:f>
        <x:v>2937.8473521638903</x:v>
      </x:c>
      <x:c r="W755" s="79" t="n">
        <x:f>IF(U755&gt;0,V755/U755,0)</x:f>
        <x:v>0.0003011268434444075</x:v>
      </x:c>
      <x:c r="X755" s="80" t="n">
        <x:f>W755*('Inputs'!$B$6-AC755)</x:f>
        <x:v>300925.83421327715</x:v>
      </x:c>
      <x:c r="Y755" s="80" t="n">
        <x:f>2*V755</x:f>
        <x:v>5875.6947043277805</x:v>
      </x:c>
      <x:c r="Z755" s="80" t="n">
        <x:f>K755*'Inputs'!$B$16+(G755+R755)*J755*'Inputs'!$B$16</x:f>
        <x:v>36.70381764380968</x:v>
      </x:c>
      <x:c r="AA755" s="80" t="n">
        <x:f>K755*(1+'Inputs'!$E$46)/2*'Inputs'!$B$17</x:f>
        <x:v>12.142416389527488</x:v>
      </x:c>
      <x:c r="AB755" s="78" t="n">
        <x:f>(IF(J755&gt;0,K755*(1-'Inputs'!$E$46)/2/J755,0)+G755+R755)*'Inputs'!$B$17</x:f>
        <x:v>39264.4834465904</x:v>
      </x:c>
      <x:c r="AC755" s="78" t="n">
        <x:f>AC754+AB755</x:f>
        <x:v>667523.4556677068</x:v>
      </x:c>
      <x:c r="AD755" s="80" t="n">
        <x:f>Z755/(1+'Inputs'!$C$46)</x:f>
        <x:v>18.35190882190484</x:v>
      </x:c>
      <x:c r="AE755" s="80" t="n">
        <x:f>Z755-AD755</x:f>
        <x:v>18.35190882190484</x:v>
      </x:c>
      <x:c r="AF755" s="80" t="n">
        <x:f>D755*W755</x:f>
        <x:v>90.98287076502717</x:v>
      </x:c>
      <x:c r="AG755" s="80" t="n">
        <x:f>C755*W755</x:f>
        <x:v>212.29336511839617</x:v>
      </x:c>
      <x:c r="AH755" s="80" t="n">
        <x:f>2*'Inputs'!$B$8*'Inputs'!$C$46</x:f>
        <x:v>5000</x:v>
      </x:c>
      <x:c r="AI755" s="81" t="n">
        <x:f>IF(AH755&gt;0,(AE755+AF755)/AH755*365,0)</x:f>
        <x:v>7.981438909846037</x:v>
      </x:c>
      <x:c r="AJ755" s="81" t="n">
        <x:f>IF('Inputs'!$B$46&gt;0,AG755/('Inputs'!$B$19*'Inputs'!$B$46)*365,0)</x:f>
        <x:v>7.748707826821461</x:v>
      </x:c>
      <x:c r="AK755" s="81" t="n">
        <x:f>W755/MAX($W$734:W755)-1</x:f>
        <x:v>-0.642700275008405</x:v>
      </x:c>
      <x:c r="AL755" s="83" t="n">
        <x:f>'Inputs'!$B$46</x:f>
        <x:v>1</x:v>
      </x:c>
      <x:c r="AM755" s="83" t="n">
        <x:f>'Inputs'!$C$46</x:f>
        <x:v>1</x:v>
      </x:c>
      <x:c r="AN755" s="83" t="n">
        <x:f>'Inputs'!$D$46</x:f>
        <x:v>1</x:v>
      </x:c>
      <x:c r="AO755" s="81" t="n">
        <x:f>'Inputs'!$E$46</x:f>
        <x:v>0</x:v>
      </x:c>
    </x:row>
    <x:row r="756">
      <x:c r="A756" s="59" t="str">
        <x:v>Base</x:v>
      </x:c>
      <x:c r="B756" s="59" t="n">
        <x:v>23</x:v>
      </x:c>
      <x:c r="C756" s="78" t="n">
        <x:f>(('Inputs'!$B$29*(3*23*'Inputs'!$B$12-23^2)/(2*'Inputs'!$B$12^2))-('Inputs'!$B$29*(3*22*'Inputs'!$B$12-22^2)/(2*'Inputs'!$B$12^2)))*'Inputs'!$B$46</x:f>
        <x:v>704671.373616064</x:v>
      </x:c>
      <x:c r="D756" s="78" t="n">
        <x:f>IF('Inputs'!$C$46&gt;0,('Inputs'!$B$30*(3*23*'Inputs'!$B$12-23^2)/(2*'Inputs'!$B$12^2))-('Inputs'!$B$30*(3*22*'Inputs'!$B$12-22^2)/(2*'Inputs'!$B$12^2)),0)</x:f>
        <x:v>302002.01726402715</x:v>
      </x:c>
      <x:c r="E756" s="78" t="n">
        <x:f>C756+D756</x:f>
        <x:v>1006673.3908800911</x:v>
      </x:c>
      <x:c r="F756" s="78" t="n">
        <x:f>'Inputs'!$B$13*E756+(1-'Inputs'!$B$13)/'Inputs'!$B$14*SUM(E734:E756)</x:f>
        <x:v>533777.4106640219</x:v>
      </x:c>
      <x:c r="G756" s="78" t="n">
        <x:f>F756*'Inputs'!$F$46</x:f>
        <x:v>266888.7053320109</x:v>
      </x:c>
      <x:c r="H756" s="78" t="n">
        <x:f>U755</x:f>
        <x:v>9756178.886477321</x:v>
      </x:c>
      <x:c r="I756" s="78" t="n">
        <x:f>V755</x:f>
        <x:v>2937.8473521638903</x:v>
      </x:c>
      <x:c r="J756" s="79" t="n">
        <x:f>IF(H756&gt;0,I756/H756,0)</x:f>
        <x:v>0.0003011268434444075</x:v>
      </x:c>
      <x:c r="K756" s="80" t="n">
        <x:f>(H756*J756+I756)*'Inputs'!$D$46*(1+'Inputs'!$G$46)^(B756/30)</x:f>
        <x:v>5875.6947043277805</x:v>
      </x:c>
      <x:c r="L756" s="80" t="n">
        <x:f>MAX(0,K756*'Inputs'!$E$46)</x:f>
        <x:v>0</x:v>
      </x:c>
      <x:c r="M756" s="80" t="n">
        <x:f>MAX(0,-K756*'Inputs'!$E$46)</x:f>
        <x:v>0</x:v>
      </x:c>
      <x:c r="N756" s="78" t="n">
        <x:f>H756*(L756*(1-'Inputs'!$B$15))/(I756+L756*(1-'Inputs'!$B$15))</x:f>
        <x:v>0</x:v>
      </x:c>
      <x:c r="O756" s="78" t="n">
        <x:f>H756-N756</x:f>
        <x:v>9756178.886477321</x:v>
      </x:c>
      <x:c r="P756" s="78" t="n">
        <x:f>I756+L756*(1-'Inputs'!$B$17)</x:f>
        <x:v>2937.8473521638903</x:v>
      </x:c>
      <x:c r="Q756" s="78" t="n">
        <x:f>IF(J756&gt;0,M756/J756,0)</x:f>
        <x:v>0</x:v>
      </x:c>
      <x:c r="R756" s="78" t="n">
        <x:f>IF(B756='Inputs'!$H$46,'Inputs'!$B$27*'Inputs'!$I$46,0)</x:f>
        <x:v>0</x:v>
      </x:c>
      <x:c r="S756" s="78" t="n">
        <x:f>Q756+G756+R756</x:f>
        <x:v>266888.7053320109</x:v>
      </x:c>
      <x:c r="T756" s="78" t="n">
        <x:f>P756*(S756*(1-'Inputs'!$B$15))/(O756+S756*(1-'Inputs'!$B$15))</x:f>
        <x:v>77.46572929786198</x:v>
      </x:c>
      <x:c r="U756" s="78" t="n">
        <x:f>O756+S756*(1-'Inputs'!$B$17)</x:f>
        <x:v>10021993.592995118</x:v>
      </x:c>
      <x:c r="V756" s="78" t="n">
        <x:f>P756-T756</x:f>
        <x:v>2860.3816228660285</x:v>
      </x:c>
      <x:c r="W756" s="79" t="n">
        <x:f>IF(U756&gt;0,V756/U756,0)</x:f>
        <x:v>0.0002854104421764243</x:v>
      </x:c>
      <x:c r="X756" s="80" t="n">
        <x:f>W756*('Inputs'!$B$6-AC756)</x:f>
        <x:v>285208.4121882244</x:v>
      </x:c>
      <x:c r="Y756" s="80" t="n">
        <x:f>2*V756</x:f>
        <x:v>5720.763245732057</x:v>
      </x:c>
      <x:c r="Z756" s="80" t="n">
        <x:f>K756*'Inputs'!$B$16+(G756+R756)*J756*'Inputs'!$B$16</x:f>
        <x:v>35.73637234629224</x:v>
      </x:c>
      <x:c r="AA756" s="80" t="n">
        <x:f>K756*(1+'Inputs'!$E$46)/2*'Inputs'!$B$17</x:f>
        <x:v>11.82232334874805</x:v>
      </x:c>
      <x:c r="AB756" s="78" t="n">
        <x:f>(IF(J756&gt;0,K756*(1-'Inputs'!$E$46)/2/J756,0)+G756+R756)*'Inputs'!$B$17</x:f>
        <x:v>40334.2760233776</x:v>
      </x:c>
      <x:c r="AC756" s="78" t="n">
        <x:f>AC755+AB756</x:f>
        <x:v>707857.7316910843</x:v>
      </x:c>
      <x:c r="AD756" s="80" t="n">
        <x:f>Z756/(1+'Inputs'!$C$46)</x:f>
        <x:v>17.86818617314612</x:v>
      </x:c>
      <x:c r="AE756" s="80" t="n">
        <x:f>Z756-AD756</x:f>
        <x:v>17.86818617314612</x:v>
      </x:c>
      <x:c r="AF756" s="80" t="n">
        <x:f>D756*W756</x:f>
        <x:v>86.19452928549812</x:v>
      </x:c>
      <x:c r="AG756" s="80" t="n">
        <x:f>C756*W756</x:f>
        <x:v>201.12056833282912</x:v>
      </x:c>
      <x:c r="AH756" s="80" t="n">
        <x:f>2*'Inputs'!$B$8*'Inputs'!$C$46</x:f>
        <x:v>5000</x:v>
      </x:c>
      <x:c r="AI756" s="81" t="n">
        <x:f>IF(AH756&gt;0,(AE756+AF756)/AH756*365,0)</x:f>
        <x:v>7.59657822848103</x:v>
      </x:c>
      <x:c r="AJ756" s="81" t="n">
        <x:f>IF('Inputs'!$B$46&gt;0,AG756/('Inputs'!$B$19*'Inputs'!$B$46)*365,0)</x:f>
        <x:v>7.3409007441482625</x:v>
      </x:c>
      <x:c r="AK756" s="81" t="n">
        <x:f>W756/MAX($W$734:W756)-1</x:f>
        <x:v>-0.6613484492683814</x:v>
      </x:c>
      <x:c r="AL756" s="83" t="n">
        <x:f>'Inputs'!$B$46</x:f>
        <x:v>1</x:v>
      </x:c>
      <x:c r="AM756" s="83" t="n">
        <x:f>'Inputs'!$C$46</x:f>
        <x:v>1</x:v>
      </x:c>
      <x:c r="AN756" s="83" t="n">
        <x:f>'Inputs'!$D$46</x:f>
        <x:v>1</x:v>
      </x:c>
      <x:c r="AO756" s="81" t="n">
        <x:f>'Inputs'!$E$46</x:f>
        <x:v>0</x:v>
      </x:c>
    </x:row>
    <x:row r="757">
      <x:c r="A757" s="59" t="str">
        <x:v>Base</x:v>
      </x:c>
      <x:c r="B757" s="59" t="n">
        <x:v>24</x:v>
      </x:c>
      <x:c r="C757" s="78" t="n">
        <x:f>(('Inputs'!$B$29*(3*24*'Inputs'!$B$12-24^2)/(2*'Inputs'!$B$12^2))-('Inputs'!$B$29*(3*23*'Inputs'!$B$12-23^2)/(2*'Inputs'!$B$12^2)))*'Inputs'!$B$46</x:f>
        <x:v>704346.2657158952</x:v>
      </x:c>
      <x:c r="D757" s="78" t="n">
        <x:f>IF('Inputs'!$C$46&gt;0,('Inputs'!$B$30*(3*24*'Inputs'!$B$12-24^2)/(2*'Inputs'!$B$12^2))-('Inputs'!$B$30*(3*23*'Inputs'!$B$12-23^2)/(2*'Inputs'!$B$12^2)),0)</x:f>
        <x:v>301862.6853068117</x:v>
      </x:c>
      <x:c r="E757" s="78" t="n">
        <x:f>C757+D757</x:f>
        <x:v>1006208.9510227069</x:v>
      </x:c>
      <x:c r="F757" s="78" t="n">
        <x:f>'Inputs'!$B$13*E757+(1-'Inputs'!$B$13)/'Inputs'!$B$14*SUM(E734:E757)</x:f>
        <x:v>548058.9362785837</x:v>
      </x:c>
      <x:c r="G757" s="78" t="n">
        <x:f>F757*'Inputs'!$F$46</x:f>
        <x:v>274029.46813929186</x:v>
      </x:c>
      <x:c r="H757" s="78" t="n">
        <x:f>U756</x:f>
        <x:v>10021993.592995118</x:v>
      </x:c>
      <x:c r="I757" s="78" t="n">
        <x:f>V756</x:f>
        <x:v>2860.3816228660285</x:v>
      </x:c>
      <x:c r="J757" s="79" t="n">
        <x:f>IF(H757&gt;0,I757/H757,0)</x:f>
        <x:v>0.0002854104421764243</x:v>
      </x:c>
      <x:c r="K757" s="80" t="n">
        <x:f>(H757*J757+I757)*'Inputs'!$D$46*(1+'Inputs'!$G$46)^(B757/30)</x:f>
        <x:v>5720.763245732057</x:v>
      </x:c>
      <x:c r="L757" s="80" t="n">
        <x:f>MAX(0,K757*'Inputs'!$E$46)</x:f>
        <x:v>0</x:v>
      </x:c>
      <x:c r="M757" s="80" t="n">
        <x:f>MAX(0,-K757*'Inputs'!$E$46)</x:f>
        <x:v>0</x:v>
      </x:c>
      <x:c r="N757" s="78" t="n">
        <x:f>H757*(L757*(1-'Inputs'!$B$15))/(I757+L757*(1-'Inputs'!$B$15))</x:f>
        <x:v>0</x:v>
      </x:c>
      <x:c r="O757" s="78" t="n">
        <x:f>H757-N757</x:f>
        <x:v>10021993.592995118</x:v>
      </x:c>
      <x:c r="P757" s="78" t="n">
        <x:f>I757+L757*(1-'Inputs'!$B$17)</x:f>
        <x:v>2860.3816228660285</x:v>
      </x:c>
      <x:c r="Q757" s="78" t="n">
        <x:f>IF(J757&gt;0,M757/J757,0)</x:f>
        <x:v>0</x:v>
      </x:c>
      <x:c r="R757" s="78" t="n">
        <x:f>IF(B757='Inputs'!$H$46,'Inputs'!$B$27*'Inputs'!$I$46,0)</x:f>
        <x:v>0</x:v>
      </x:c>
      <x:c r="S757" s="78" t="n">
        <x:f>Q757+G757+R757</x:f>
        <x:v>274029.46813929186</x:v>
      </x:c>
      <x:c r="T757" s="78" t="n">
        <x:f>P757*(S757*(1-'Inputs'!$B$15))/(O757+S757*(1-'Inputs'!$B$15))</x:f>
        <x:v>75.38805489445313</x:v>
      </x:c>
      <x:c r="U757" s="78" t="n">
        <x:f>O757+S757*(1-'Inputs'!$B$17)</x:f>
        <x:v>10294920.326856183</x:v>
      </x:c>
      <x:c r="V757" s="78" t="n">
        <x:f>P757-T757</x:f>
        <x:v>2784.9935679715754</x:v>
      </x:c>
      <x:c r="W757" s="79" t="n">
        <x:f>IF(U757&gt;0,V757/U757,0)</x:f>
        <x:v>0.00027052113853726583</x:v>
      </x:c>
      <x:c r="X757" s="80" t="n">
        <x:f>W757*('Inputs'!$B$6-AC757)</x:f>
        <x:v>270318.4396397345</x:v>
      </x:c>
      <x:c r="Y757" s="80" t="n">
        <x:f>2*V757</x:f>
        <x:v>5569.987135943151</x:v>
      </x:c>
      <x:c r="Z757" s="80" t="n">
        <x:f>K757*'Inputs'!$B$16+(G757+R757)*J757*'Inputs'!$B$16</x:f>
        <x:v>34.793844704418376</x:v>
      </x:c>
      <x:c r="AA757" s="80" t="n">
        <x:f>K757*(1+'Inputs'!$E$46)/2*'Inputs'!$B$17</x:f>
        <x:v>11.51059003165404</x:v>
      </x:c>
      <x:c r="AB757" s="78" t="n">
        <x:f>(IF(J757&gt;0,K757*(1-'Inputs'!$E$46)/2/J757,0)+G757+R757)*'Inputs'!$B$17</x:f>
        <x:v>41432.68837478637</x:v>
      </x:c>
      <x:c r="AC757" s="78" t="n">
        <x:f>AC756+AB757</x:f>
        <x:v>749290.4200658707</x:v>
      </x:c>
      <x:c r="AD757" s="80" t="n">
        <x:f>Z757/(1+'Inputs'!$C$46)</x:f>
        <x:v>17.396922352209188</x:v>
      </x:c>
      <x:c r="AE757" s="80" t="n">
        <x:f>Z757-AD757</x:f>
        <x:v>17.396922352209188</x:v>
      </x:c>
      <x:c r="AF757" s="80" t="n">
        <x:f>D757*W757</x:f>
        <x:v>81.66023731111508</x:v>
      </x:c>
      <x:c r="AG757" s="80" t="n">
        <x:f>C757*W757</x:f>
        <x:v>190.54055372593555</x:v>
      </x:c>
      <x:c r="AH757" s="80" t="n">
        <x:f>2*'Inputs'!$B$8*'Inputs'!$C$46</x:f>
        <x:v>5000</x:v>
      </x:c>
      <x:c r="AI757" s="81" t="n">
        <x:f>IF(AH757&gt;0,(AE757+AF757)/AH757*365,0)</x:f>
        <x:v>7.231172655422671</x:v>
      </x:c>
      <x:c r="AJ757" s="81" t="n">
        <x:f>IF('Inputs'!$B$46&gt;0,AG757/('Inputs'!$B$19*'Inputs'!$B$46)*365,0)</x:f>
        <x:v>6.954730210996647</x:v>
      </x:c>
      <x:c r="AK757" s="81" t="n">
        <x:f>W757/MAX($W$734:W757)-1</x:f>
        <x:v>-0.6790152372396432</x:v>
      </x:c>
      <x:c r="AL757" s="83" t="n">
        <x:f>'Inputs'!$B$46</x:f>
        <x:v>1</x:v>
      </x:c>
      <x:c r="AM757" s="83" t="n">
        <x:f>'Inputs'!$C$46</x:f>
        <x:v>1</x:v>
      </x:c>
      <x:c r="AN757" s="83" t="n">
        <x:f>'Inputs'!$D$46</x:f>
        <x:v>1</x:v>
      </x:c>
      <x:c r="AO757" s="81" t="n">
        <x:f>'Inputs'!$E$46</x:f>
        <x:v>0</x:v>
      </x:c>
    </x:row>
    <x:row r="758">
      <x:c r="A758" s="59" t="str">
        <x:v>Base</x:v>
      </x:c>
      <x:c r="B758" s="59" t="n">
        <x:v>25</x:v>
      </x:c>
      <x:c r="C758" s="78" t="n">
        <x:f>(('Inputs'!$B$29*(3*25*'Inputs'!$B$12-25^2)/(2*'Inputs'!$B$12^2))-('Inputs'!$B$29*(3*24*'Inputs'!$B$12-24^2)/(2*'Inputs'!$B$12^2)))*'Inputs'!$B$46</x:f>
        <x:v>704021.1578157246</x:v>
      </x:c>
      <x:c r="D758" s="78" t="n">
        <x:f>IF('Inputs'!$C$46&gt;0,('Inputs'!$B$30*(3*25*'Inputs'!$B$12-25^2)/(2*'Inputs'!$B$12^2))-('Inputs'!$B$30*(3*24*'Inputs'!$B$12-24^2)/(2*'Inputs'!$B$12^2)),0)</x:f>
        <x:v>301723.35334959626</x:v>
      </x:c>
      <x:c r="E758" s="78" t="n">
        <x:f>C758+D758</x:f>
        <x:v>1005744.5111653209</x:v>
      </x:c>
      <x:c r="F758" s="78" t="n">
        <x:f>'Inputs'!$B$13*E758+(1-'Inputs'!$B$13)/'Inputs'!$B$14*SUM(E734:E758)</x:f>
        <x:v>562333.8270380397</x:v>
      </x:c>
      <x:c r="G758" s="78" t="n">
        <x:f>F758*'Inputs'!$F$46</x:f>
        <x:v>281166.91351901984</x:v>
      </x:c>
      <x:c r="H758" s="78" t="n">
        <x:f>U757</x:f>
        <x:v>10294920.326856183</x:v>
      </x:c>
      <x:c r="I758" s="78" t="n">
        <x:f>V757</x:f>
        <x:v>2784.9935679715754</x:v>
      </x:c>
      <x:c r="J758" s="79" t="n">
        <x:f>IF(H758&gt;0,I758/H758,0)</x:f>
        <x:v>0.00027052113853726583</x:v>
      </x:c>
      <x:c r="K758" s="80" t="n">
        <x:f>(H758*J758+I758)*'Inputs'!$D$46*(1+'Inputs'!$G$46)^(B758/30)</x:f>
        <x:v>5569.987135943151</x:v>
      </x:c>
      <x:c r="L758" s="80" t="n">
        <x:f>MAX(0,K758*'Inputs'!$E$46)</x:f>
        <x:v>0</x:v>
      </x:c>
      <x:c r="M758" s="80" t="n">
        <x:f>MAX(0,-K758*'Inputs'!$E$46)</x:f>
        <x:v>0</x:v>
      </x:c>
      <x:c r="N758" s="78" t="n">
        <x:f>H758*(L758*(1-'Inputs'!$B$15))/(I758+L758*(1-'Inputs'!$B$15))</x:f>
        <x:v>0</x:v>
      </x:c>
      <x:c r="O758" s="78" t="n">
        <x:f>H758-N758</x:f>
        <x:v>10294920.326856183</x:v>
      </x:c>
      <x:c r="P758" s="78" t="n">
        <x:f>I758+L758*(1-'Inputs'!$B$17)</x:f>
        <x:v>2784.9935679715754</x:v>
      </x:c>
      <x:c r="Q758" s="78" t="n">
        <x:f>IF(J758&gt;0,M758/J758,0)</x:f>
        <x:v>0</x:v>
      </x:c>
      <x:c r="R758" s="78" t="n">
        <x:f>IF(B758='Inputs'!$H$46,'Inputs'!$B$27*'Inputs'!$I$46,0)</x:f>
        <x:v>0</x:v>
      </x:c>
      <x:c r="S758" s="78" t="n">
        <x:f>Q758+G758+R758</x:f>
        <x:v>281166.91351901984</x:v>
      </x:c>
      <x:c r="T758" s="78" t="n">
        <x:f>P758*(S758*(1-'Inputs'!$B$15))/(O758+S758*(1-'Inputs'!$B$15))</x:f>
        <x:v>73.31858136080015</x:v>
      </x:c>
      <x:c r="U758" s="78" t="n">
        <x:f>O758+S758*(1-'Inputs'!$B$17)</x:f>
        <x:v>10574955.783982772</x:v>
      </x:c>
      <x:c r="V758" s="78" t="n">
        <x:f>P758-T758</x:f>
        <x:v>2711.6749866107752</x:v>
      </x:c>
      <x:c r="W758" s="79" t="n">
        <x:f>IF(U758&gt;0,V758/U758,0)</x:f>
        <x:v>0.00025642423873941685</x:v>
      </x:c>
      <x:c r="X758" s="80" t="n">
        <x:f>W758*('Inputs'!$B$6-AC758)</x:f>
        <x:v>256221.1891733358</x:v>
      </x:c>
      <x:c r="Y758" s="80" t="n">
        <x:f>2*V758</x:f>
        <x:v>5423.3499732215505</x:v>
      </x:c>
      <x:c r="Z758" s="80" t="n">
        <x:f>K758*'Inputs'!$B$16+(G758+R758)*J758*'Inputs'!$B$16</x:f>
        <x:v>33.87629237704395</x:v>
      </x:c>
      <x:c r="AA758" s="80" t="n">
        <x:f>K758*(1+'Inputs'!$E$46)/2*'Inputs'!$B$17</x:f>
        <x:v>11.207217577350406</x:v>
      </x:c>
      <x:c r="AB758" s="78" t="n">
        <x:f>(IF(J758&gt;0,K758*(1-'Inputs'!$E$46)/2/J758,0)+G758+R758)*'Inputs'!$B$17</x:f>
        <x:v>42559.70720472919</x:v>
      </x:c>
      <x:c r="AC758" s="78" t="n">
        <x:f>AC757+AB758</x:f>
        <x:v>791850.1272706</x:v>
      </x:c>
      <x:c r="AD758" s="80" t="n">
        <x:f>Z758/(1+'Inputs'!$C$46)</x:f>
        <x:v>16.938146188521976</x:v>
      </x:c>
      <x:c r="AE758" s="80" t="n">
        <x:f>Z758-AD758</x:f>
        <x:v>16.938146188521976</x:v>
      </x:c>
      <x:c r="AF758" s="80" t="n">
        <x:f>D758*W758</x:f>
        <x:v>77.3691811925743</x:v>
      </x:c>
      <x:c r="AG758" s="80" t="n">
        <x:f>C758*W758</x:f>
        <x:v>180.52808944934003</x:v>
      </x:c>
      <x:c r="AH758" s="80" t="n">
        <x:f>2*'Inputs'!$B$8*'Inputs'!$C$46</x:f>
        <x:v>5000</x:v>
      </x:c>
      <x:c r="AI758" s="81" t="n">
        <x:f>IF(AH758&gt;0,(AE758+AF758)/AH758*365,0)</x:f>
        <x:v>6.884434898820029</x:v>
      </x:c>
      <x:c r="AJ758" s="81" t="n">
        <x:f>IF('Inputs'!$B$46&gt;0,AG758/('Inputs'!$B$19*'Inputs'!$B$46)*365,0)</x:f>
        <x:v>6.589275264900911</x:v>
      </x:c>
      <x:c r="AK758" s="81" t="n">
        <x:f>W758/MAX($W$734:W758)-1</x:f>
        <x:v>-0.6957418045671933</x:v>
      </x:c>
      <x:c r="AL758" s="83" t="n">
        <x:f>'Inputs'!$B$46</x:f>
        <x:v>1</x:v>
      </x:c>
      <x:c r="AM758" s="83" t="n">
        <x:f>'Inputs'!$C$46</x:f>
        <x:v>1</x:v>
      </x:c>
      <x:c r="AN758" s="83" t="n">
        <x:f>'Inputs'!$D$46</x:f>
        <x:v>1</x:v>
      </x:c>
      <x:c r="AO758" s="81" t="n">
        <x:f>'Inputs'!$E$46</x:f>
        <x:v>0</x:v>
      </x:c>
    </x:row>
    <x:row r="759">
      <x:c r="A759" s="59" t="str">
        <x:v>Base</x:v>
      </x:c>
      <x:c r="B759" s="59" t="n">
        <x:v>26</x:v>
      </x:c>
      <x:c r="C759" s="78" t="n">
        <x:f>(('Inputs'!$B$29*(3*26*'Inputs'!$B$12-26^2)/(2*'Inputs'!$B$12^2))-('Inputs'!$B$29*(3*25*'Inputs'!$B$12-25^2)/(2*'Inputs'!$B$12^2)))*'Inputs'!$B$46</x:f>
        <x:v>703696.0499155559</x:v>
      </x:c>
      <x:c r="D759" s="78" t="n">
        <x:f>IF('Inputs'!$C$46&gt;0,('Inputs'!$B$30*(3*26*'Inputs'!$B$12-26^2)/(2*'Inputs'!$B$12^2))-('Inputs'!$B$30*(3*25*'Inputs'!$B$12-25^2)/(2*'Inputs'!$B$12^2)),0)</x:f>
        <x:v>301584.02139238175</x:v>
      </x:c>
      <x:c r="E759" s="78" t="n">
        <x:f>C759+D759</x:f>
        <x:v>1005280.0713079376</x:v>
      </x:c>
      <x:c r="F759" s="78" t="n">
        <x:f>'Inputs'!$B$13*E759+(1-'Inputs'!$B$13)/'Inputs'!$B$14*SUM(E734:E759)</x:f>
        <x:v>576602.0829423906</x:v>
      </x:c>
      <x:c r="G759" s="78" t="n">
        <x:f>F759*'Inputs'!$F$46</x:f>
        <x:v>288301.0414711953</x:v>
      </x:c>
      <x:c r="H759" s="78" t="n">
        <x:f>U758</x:f>
        <x:v>10574955.783982772</x:v>
      </x:c>
      <x:c r="I759" s="78" t="n">
        <x:f>V758</x:f>
        <x:v>2711.6749866107752</x:v>
      </x:c>
      <x:c r="J759" s="79" t="n">
        <x:f>IF(H759&gt;0,I759/H759,0)</x:f>
        <x:v>0.00025642423873941685</x:v>
      </x:c>
      <x:c r="K759" s="80" t="n">
        <x:f>(H759*J759+I759)*'Inputs'!$D$46*(1+'Inputs'!$G$46)^(B759/30)</x:f>
        <x:v>5423.349973221551</x:v>
      </x:c>
      <x:c r="L759" s="80" t="n">
        <x:f>MAX(0,K759*'Inputs'!$E$46)</x:f>
        <x:v>0</x:v>
      </x:c>
      <x:c r="M759" s="80" t="n">
        <x:f>MAX(0,-K759*'Inputs'!$E$46)</x:f>
        <x:v>0</x:v>
      </x:c>
      <x:c r="N759" s="78" t="n">
        <x:f>H759*(L759*(1-'Inputs'!$B$15))/(I759+L759*(1-'Inputs'!$B$15))</x:f>
        <x:v>0</x:v>
      </x:c>
      <x:c r="O759" s="78" t="n">
        <x:f>H759-N759</x:f>
        <x:v>10574955.783982772</x:v>
      </x:c>
      <x:c r="P759" s="78" t="n">
        <x:f>I759+L759*(1-'Inputs'!$B$17)</x:f>
        <x:v>2711.6749866107752</x:v>
      </x:c>
      <x:c r="Q759" s="78" t="n">
        <x:f>IF(J759&gt;0,M759/J759,0)</x:f>
        <x:v>0</x:v>
      </x:c>
      <x:c r="R759" s="78" t="n">
        <x:f>IF(B759='Inputs'!$H$46,'Inputs'!$B$27*'Inputs'!$I$46,0)</x:f>
        <x:v>0</x:v>
      </x:c>
      <x:c r="S759" s="78" t="n">
        <x:f>Q759+G759+R759</x:f>
        <x:v>288301.0414711953</x:v>
      </x:c>
      <x:c r="T759" s="78" t="n">
        <x:f>P759*(S759*(1-'Inputs'!$B$15))/(O759+S759*(1-'Inputs'!$B$15))</x:f>
        <x:v>71.26466811591656</x:v>
      </x:c>
      <x:c r="U759" s="78" t="n">
        <x:f>O759+S759*(1-'Inputs'!$B$17)</x:f>
        <x:v>10862096.660297142</x:v>
      </x:c>
      <x:c r="V759" s="78" t="n">
        <x:f>P759-T759</x:f>
        <x:v>2640.4103184948585</x:v>
      </x:c>
      <x:c r="W759" s="79" t="n">
        <x:f>IF(U759&gt;0,V759/U759,0)</x:f>
        <x:v>0.00024308477461317562</x:v>
      </x:c>
      <x:c r="X759" s="80" t="n">
        <x:f>W759*('Inputs'!$B$6-AC759)</x:f>
        <x:v>242881.6613749416</x:v>
      </x:c>
      <x:c r="Y759" s="80" t="n">
        <x:f>2*V759</x:f>
        <x:v>5280.820636989717</x:v>
      </x:c>
      <x:c r="Z759" s="80" t="n">
        <x:f>K759*'Inputs'!$B$16+(G759+R759)*J759*'Inputs'!$B$16</x:f>
        <x:v>32.9836640898515</x:v>
      </x:c>
      <x:c r="AA759" s="80" t="n">
        <x:f>K759*(1+'Inputs'!$E$46)/2*'Inputs'!$B$17</x:f>
        <x:v>10.9121729843492</x:v>
      </x:c>
      <x:c r="AB759" s="78" t="n">
        <x:f>(IF(J759&gt;0,K759*(1-'Inputs'!$E$46)/2/J759,0)+G759+R759)*'Inputs'!$B$17</x:f>
        <x:v>43715.31921711858</x:v>
      </x:c>
      <x:c r="AC759" s="78" t="n">
        <x:f>AC758+AB759</x:f>
        <x:v>835565.4464877185</x:v>
      </x:c>
      <x:c r="AD759" s="80" t="n">
        <x:f>Z759/(1+'Inputs'!$C$46)</x:f>
        <x:v>16.49183204492575</x:v>
      </x:c>
      <x:c r="AE759" s="80" t="n">
        <x:f>Z759-AD759</x:f>
        <x:v>16.49183204492575</x:v>
      </x:c>
      <x:c r="AF759" s="80" t="n">
        <x:f>D759*W759</x:f>
        <x:v>73.31048386710225</x:v>
      </x:c>
      <x:c r="AG759" s="80" t="n">
        <x:f>C759*W759</x:f>
        <x:v>171.05779568990488</x:v>
      </x:c>
      <x:c r="AH759" s="80" t="n">
        <x:f>2*'Inputs'!$B$8*'Inputs'!$C$46</x:f>
        <x:v>5000</x:v>
      </x:c>
      <x:c r="AI759" s="81" t="n">
        <x:f>IF(AH759&gt;0,(AE759+AF759)/AH759*365,0)</x:f>
        <x:v>6.555569061578044</x:v>
      </x:c>
      <x:c r="AJ759" s="81" t="n">
        <x:f>IF('Inputs'!$B$46&gt;0,AG759/('Inputs'!$B$19*'Inputs'!$B$46)*365,0)</x:f>
        <x:v>6.243609542681528</x:v>
      </x:c>
      <x:c r="AK759" s="81" t="n">
        <x:f>W759/MAX($W$734:W759)-1</x:f>
        <x:v>-0.7115696424620941</x:v>
      </x:c>
      <x:c r="AL759" s="83" t="n">
        <x:f>'Inputs'!$B$46</x:f>
        <x:v>1</x:v>
      </x:c>
      <x:c r="AM759" s="83" t="n">
        <x:f>'Inputs'!$C$46</x:f>
        <x:v>1</x:v>
      </x:c>
      <x:c r="AN759" s="83" t="n">
        <x:f>'Inputs'!$D$46</x:f>
        <x:v>1</x:v>
      </x:c>
      <x:c r="AO759" s="81" t="n">
        <x:f>'Inputs'!$E$46</x:f>
        <x:v>0</x:v>
      </x:c>
    </x:row>
    <x:row r="760">
      <x:c r="A760" s="59" t="str">
        <x:v>Base</x:v>
      </x:c>
      <x:c r="B760" s="59" t="n">
        <x:v>27</x:v>
      </x:c>
      <x:c r="C760" s="78" t="n">
        <x:f>(('Inputs'!$B$29*(3*27*'Inputs'!$B$12-27^2)/(2*'Inputs'!$B$12^2))-('Inputs'!$B$29*(3*26*'Inputs'!$B$12-26^2)/(2*'Inputs'!$B$12^2)))*'Inputs'!$B$46</x:f>
        <x:v>703370.9420153871</x:v>
      </x:c>
      <x:c r="D760" s="78" t="n">
        <x:f>IF('Inputs'!$C$46&gt;0,('Inputs'!$B$30*(3*27*'Inputs'!$B$12-27^2)/(2*'Inputs'!$B$12^2))-('Inputs'!$B$30*(3*26*'Inputs'!$B$12-26^2)/(2*'Inputs'!$B$12^2)),0)</x:f>
        <x:v>301444.6894351663</x:v>
      </x:c>
      <x:c r="E760" s="78" t="n">
        <x:f>C760+D760</x:f>
        <x:v>1004815.6314505534</x:v>
      </x:c>
      <x:c r="F760" s="78" t="n">
        <x:f>'Inputs'!$B$13*E760+(1-'Inputs'!$B$13)/'Inputs'!$B$14*SUM(E734:E760)</x:f>
        <x:v>590863.7039916359</x:v>
      </x:c>
      <x:c r="G760" s="78" t="n">
        <x:f>F760*'Inputs'!$F$46</x:f>
        <x:v>295431.85199581797</x:v>
      </x:c>
      <x:c r="H760" s="78" t="n">
        <x:f>U759</x:f>
        <x:v>10862096.660297142</x:v>
      </x:c>
      <x:c r="I760" s="78" t="n">
        <x:f>V759</x:f>
        <x:v>2640.4103184948585</x:v>
      </x:c>
      <x:c r="J760" s="79" t="n">
        <x:f>IF(H760&gt;0,I760/H760,0)</x:f>
        <x:v>0.00024308477461317562</x:v>
      </x:c>
      <x:c r="K760" s="80" t="n">
        <x:f>(H760*J760+I760)*'Inputs'!$D$46*(1+'Inputs'!$G$46)^(B760/30)</x:f>
        <x:v>5280.820636989717</x:v>
      </x:c>
      <x:c r="L760" s="80" t="n">
        <x:f>MAX(0,K760*'Inputs'!$E$46)</x:f>
        <x:v>0</x:v>
      </x:c>
      <x:c r="M760" s="80" t="n">
        <x:f>MAX(0,-K760*'Inputs'!$E$46)</x:f>
        <x:v>0</x:v>
      </x:c>
      <x:c r="N760" s="78" t="n">
        <x:f>H760*(L760*(1-'Inputs'!$B$15))/(I760+L760*(1-'Inputs'!$B$15))</x:f>
        <x:v>0</x:v>
      </x:c>
      <x:c r="O760" s="78" t="n">
        <x:f>H760-N760</x:f>
        <x:v>10862096.660297142</x:v>
      </x:c>
      <x:c r="P760" s="78" t="n">
        <x:f>I760+L760*(1-'Inputs'!$B$17)</x:f>
        <x:v>2640.4103184948585</x:v>
      </x:c>
      <x:c r="Q760" s="78" t="n">
        <x:f>IF(J760&gt;0,M760/J760,0)</x:f>
        <x:v>0</x:v>
      </x:c>
      <x:c r="R760" s="78" t="n">
        <x:f>IF(B760='Inputs'!$H$46,'Inputs'!$B$27*'Inputs'!$I$46,0)</x:f>
        <x:v>0</x:v>
      </x:c>
      <x:c r="S760" s="78" t="n">
        <x:f>Q760+G760+R760</x:f>
        <x:v>295431.85199581797</x:v>
      </x:c>
      <x:c r="T760" s="78" t="n">
        <x:f>P760*(S760*(1-'Inputs'!$B$15))/(O760+S760*(1-'Inputs'!$B$15))</x:f>
        <x:v>69.2326469753276</x:v>
      </x:c>
      <x:c r="U760" s="78" t="n">
        <x:f>O760+S760*(1-'Inputs'!$B$17)</x:f>
        <x:v>11156339.651721548</x:v>
      </x:c>
      <x:c r="V760" s="78" t="n">
        <x:f>P760-T760</x:f>
        <x:v>2571.177671519531</x:v>
      </x:c>
      <x:c r="W760" s="79" t="n">
        <x:f>IF(U760&gt;0,V760/U760,0)</x:f>
        <x:v>0.00023046785520937143</x:v>
      </x:c>
      <x:c r="X760" s="80" t="n">
        <x:f>W760*('Inputs'!$B$6-AC760)</x:f>
        <x:v>230264.93633900554</x:v>
      </x:c>
      <x:c r="Y760" s="80" t="n">
        <x:f>2*V760</x:f>
        <x:v>5142.355343039062</x:v>
      </x:c>
      <x:c r="Z760" s="80" t="n">
        <x:f>K760*'Inputs'!$B$16+(G760+R760)*J760*'Inputs'!$B$16</x:f>
        <x:v>32.11581373287404</x:v>
      </x:c>
      <x:c r="AA760" s="80" t="n">
        <x:f>K760*(1+'Inputs'!$E$46)/2*'Inputs'!$B$17</x:f>
        <x:v>10.6253936357942</x:v>
      </x:c>
      <x:c r="AB760" s="78" t="n">
        <x:f>(IF(J760&gt;0,K760*(1-'Inputs'!$E$46)/2/J760,0)+G760+R760)*'Inputs'!$B$17</x:f>
        <x:v>44899.51111586705</x:v>
      </x:c>
      <x:c r="AC760" s="78" t="n">
        <x:f>AC759+AB760</x:f>
        <x:v>880464.9576035856</x:v>
      </x:c>
      <x:c r="AD760" s="80" t="n">
        <x:f>Z760/(1+'Inputs'!$C$46)</x:f>
        <x:v>16.05790686643702</x:v>
      </x:c>
      <x:c r="AE760" s="80" t="n">
        <x:f>Z760-AD760</x:f>
        <x:v>16.05790686643702</x:v>
      </x:c>
      <x:c r="AF760" s="80" t="n">
        <x:f>D760*W760</x:f>
        <x:v>69.47331103837784</x:v>
      </x:c>
      <x:c r="AG760" s="80" t="n">
        <x:f>C760*W760</x:f>
        <x:v>162.10439242288143</x:v>
      </x:c>
      <x:c r="AH760" s="80" t="n">
        <x:f>2*'Inputs'!$B$8*'Inputs'!$C$46</x:f>
        <x:v>5000</x:v>
      </x:c>
      <x:c r="AI760" s="81" t="n">
        <x:f>IF(AH760&gt;0,(AE760+AF760)/AH760*365,0)</x:f>
        <x:v>6.243778907051485</x:v>
      </x:c>
      <x:c r="AJ760" s="81" t="n">
        <x:f>IF('Inputs'!$B$46&gt;0,AG760/('Inputs'!$B$19*'Inputs'!$B$46)*365,0)</x:f>
        <x:v>5.916810323435173</x:v>
      </x:c>
      <x:c r="AK760" s="81" t="n">
        <x:f>W760/MAX($W$734:W760)-1</x:f>
        <x:v>-0.7265401505099844</x:v>
      </x:c>
      <x:c r="AL760" s="83" t="n">
        <x:f>'Inputs'!$B$46</x:f>
        <x:v>1</x:v>
      </x:c>
      <x:c r="AM760" s="83" t="n">
        <x:f>'Inputs'!$C$46</x:f>
        <x:v>1</x:v>
      </x:c>
      <x:c r="AN760" s="83" t="n">
        <x:f>'Inputs'!$D$46</x:f>
        <x:v>1</x:v>
      </x:c>
      <x:c r="AO760" s="81" t="n">
        <x:f>'Inputs'!$E$46</x:f>
        <x:v>0</x:v>
      </x:c>
    </x:row>
    <x:row r="761">
      <x:c r="A761" s="59" t="str">
        <x:v>Base</x:v>
      </x:c>
      <x:c r="B761" s="59" t="n">
        <x:v>28</x:v>
      </x:c>
      <x:c r="C761" s="78" t="n">
        <x:f>(('Inputs'!$B$29*(3*28*'Inputs'!$B$12-28^2)/(2*'Inputs'!$B$12^2))-('Inputs'!$B$29*(3*27*'Inputs'!$B$12-27^2)/(2*'Inputs'!$B$12^2)))*'Inputs'!$B$46</x:f>
        <x:v>703045.8341152184</x:v>
      </x:c>
      <x:c r="D761" s="78" t="n">
        <x:f>IF('Inputs'!$C$46&gt;0,('Inputs'!$B$30*(3*28*'Inputs'!$B$12-28^2)/(2*'Inputs'!$B$12^2))-('Inputs'!$B$30*(3*27*'Inputs'!$B$12-27^2)/(2*'Inputs'!$B$12^2)),0)</x:f>
        <x:v>301305.35747795086</x:v>
      </x:c>
      <x:c r="E761" s="78" t="n">
        <x:f>C761+D761</x:f>
        <x:v>1004351.1915931692</x:v>
      </x:c>
      <x:c r="F761" s="78" t="n">
        <x:f>'Inputs'!$B$13*E761+(1-'Inputs'!$B$13)/'Inputs'!$B$14*SUM(E734:E761)</x:f>
        <x:v>605118.690185776</x:v>
      </x:c>
      <x:c r="G761" s="78" t="n">
        <x:f>F761*'Inputs'!$F$46</x:f>
        <x:v>302559.345092888</x:v>
      </x:c>
      <x:c r="H761" s="78" t="n">
        <x:f>U760</x:f>
        <x:v>11156339.651721548</x:v>
      </x:c>
      <x:c r="I761" s="78" t="n">
        <x:f>V760</x:f>
        <x:v>2571.177671519531</x:v>
      </x:c>
      <x:c r="J761" s="79" t="n">
        <x:f>IF(H761&gt;0,I761/H761,0)</x:f>
        <x:v>0.00023046785520937143</x:v>
      </x:c>
      <x:c r="K761" s="80" t="n">
        <x:f>(H761*J761+I761)*'Inputs'!$D$46*(1+'Inputs'!$G$46)^(B761/30)</x:f>
        <x:v>5142.355343039062</x:v>
      </x:c>
      <x:c r="L761" s="80" t="n">
        <x:f>MAX(0,K761*'Inputs'!$E$46)</x:f>
        <x:v>0</x:v>
      </x:c>
      <x:c r="M761" s="80" t="n">
        <x:f>MAX(0,-K761*'Inputs'!$E$46)</x:f>
        <x:v>0</x:v>
      </x:c>
      <x:c r="N761" s="78" t="n">
        <x:f>H761*(L761*(1-'Inputs'!$B$15))/(I761+L761*(1-'Inputs'!$B$15))</x:f>
        <x:v>0</x:v>
      </x:c>
      <x:c r="O761" s="78" t="n">
        <x:f>H761-N761</x:f>
        <x:v>11156339.651721548</x:v>
      </x:c>
      <x:c r="P761" s="78" t="n">
        <x:f>I761+L761*(1-'Inputs'!$B$17)</x:f>
        <x:v>2571.177671519531</x:v>
      </x:c>
      <x:c r="Q761" s="78" t="n">
        <x:f>IF(J761&gt;0,M761/J761,0)</x:f>
        <x:v>0</x:v>
      </x:c>
      <x:c r="R761" s="78" t="n">
        <x:f>IF(B761='Inputs'!$H$46,'Inputs'!$B$27*'Inputs'!$I$46,0)</x:f>
        <x:v>0</x:v>
      </x:c>
      <x:c r="S761" s="78" t="n">
        <x:f>Q761+G761+R761</x:f>
        <x:v>302559.345092888</x:v>
      </x:c>
      <x:c r="T761" s="78" t="n">
        <x:f>P761*(S761*(1-'Inputs'!$B$15))/(O761+S761*(1-'Inputs'!$B$15))</x:f>
        <x:v>67.22791593194111</x:v>
      </x:c>
      <x:c r="U761" s="78" t="n">
        <x:f>O761+S761*(1-'Inputs'!$B$17)</x:f>
        <x:v>11457681.454178248</x:v>
      </x:c>
      <x:c r="V761" s="78" t="n">
        <x:f>P761-T761</x:f>
        <x:v>2503.94975558759</x:v>
      </x:c>
      <x:c r="W761" s="79" t="n">
        <x:f>IF(U761&gt;0,V761/U761,0)</x:f>
        <x:v>0.00021853895708319593</x:v>
      </x:c>
      <x:c r="X761" s="80" t="n">
        <x:f>W761*('Inputs'!$B$6-AC761)</x:f>
        <x:v>218336.46386230475</x:v>
      </x:c>
      <x:c r="Y761" s="80" t="n">
        <x:f>2*V761</x:f>
        <x:v>5007.89951117518</x:v>
      </x:c>
      <x:c r="Z761" s="80" t="n">
        <x:f>K761*'Inputs'!$B$16+(G761+R761)*J761*'Inputs'!$B$16</x:f>
        <x:v>31.272513278257033</x:v>
      </x:c>
      <x:c r="AA761" s="80" t="n">
        <x:f>K761*(1+'Inputs'!$E$46)/2*'Inputs'!$B$17</x:f>
        <x:v>10.346791434686242</x:v>
      </x:c>
      <x:c r="AB761" s="78" t="n">
        <x:f>(IF(J761&gt;0,K761*(1-'Inputs'!$E$46)/2/J761,0)+G761+R761)*'Inputs'!$B$17</x:f>
        <x:v>46112.26960488708</x:v>
      </x:c>
      <x:c r="AC761" s="78" t="n">
        <x:f>AC760+AB761</x:f>
        <x:v>926577.2272084727</x:v>
      </x:c>
      <x:c r="AD761" s="80" t="n">
        <x:f>Z761/(1+'Inputs'!$C$46)</x:f>
        <x:v>15.636256639128517</x:v>
      </x:c>
      <x:c r="AE761" s="80" t="n">
        <x:f>Z761-AD761</x:f>
        <x:v>15.636256639128517</x:v>
      </x:c>
      <x:c r="AF761" s="80" t="n">
        <x:f>D761*W761</x:f>
        <x:v>65.84695858681091</x:v>
      </x:c>
      <x:c r="AG761" s="80" t="n">
        <x:f>C761*W761</x:f>
        <x:v>153.6429033692254</x:v>
      </x:c>
      <x:c r="AH761" s="80" t="n">
        <x:f>2*'Inputs'!$B$8*'Inputs'!$C$46</x:f>
        <x:v>5000</x:v>
      </x:c>
      <x:c r="AI761" s="81" t="n">
        <x:f>IF(AH761&gt;0,(AE761+AF761)/AH761*365,0)</x:f>
        <x:v>5.948274711493579</x:v>
      </x:c>
      <x:c r="AJ761" s="81" t="n">
        <x:f>IF('Inputs'!$B$46&gt;0,AG761/('Inputs'!$B$19*'Inputs'!$B$46)*365,0)</x:f>
        <x:v>5.607965972976727</x:v>
      </x:c>
      <x:c r="AK761" s="81" t="n">
        <x:f>W761/MAX($W$734:W761)-1</x:f>
        <x:v>-0.7406942922370475</x:v>
      </x:c>
      <x:c r="AL761" s="83" t="n">
        <x:f>'Inputs'!$B$46</x:f>
        <x:v>1</x:v>
      </x:c>
      <x:c r="AM761" s="83" t="n">
        <x:f>'Inputs'!$C$46</x:f>
        <x:v>1</x:v>
      </x:c>
      <x:c r="AN761" s="83" t="n">
        <x:f>'Inputs'!$D$46</x:f>
        <x:v>1</x:v>
      </x:c>
      <x:c r="AO761" s="81" t="n">
        <x:f>'Inputs'!$E$46</x:f>
        <x:v>0</x:v>
      </x:c>
    </x:row>
    <x:row r="762">
      <x:c r="A762" s="59" t="str">
        <x:v>Base</x:v>
      </x:c>
      <x:c r="B762" s="59" t="n">
        <x:v>29</x:v>
      </x:c>
      <x:c r="C762" s="78" t="n">
        <x:f>(('Inputs'!$B$29*(3*29*'Inputs'!$B$12-29^2)/(2*'Inputs'!$B$12^2))-('Inputs'!$B$29*(3*28*'Inputs'!$B$12-28^2)/(2*'Inputs'!$B$12^2)))*'Inputs'!$B$46</x:f>
        <x:v>702720.7262150496</x:v>
      </x:c>
      <x:c r="D762" s="78" t="n">
        <x:f>IF('Inputs'!$C$46&gt;0,('Inputs'!$B$30*(3*29*'Inputs'!$B$12-29^2)/(2*'Inputs'!$B$12^2))-('Inputs'!$B$30*(3*28*'Inputs'!$B$12-28^2)/(2*'Inputs'!$B$12^2)),0)</x:f>
        <x:v>301166.0255207345</x:v>
      </x:c>
      <x:c r="E762" s="78" t="n">
        <x:f>C762+D762</x:f>
        <x:v>1003886.7517357841</x:v>
      </x:c>
      <x:c r="F762" s="78" t="n">
        <x:f>'Inputs'!$B$13*E762+(1-'Inputs'!$B$13)/'Inputs'!$B$14*SUM(E734:E762)</x:f>
        <x:v>619367.0415248101</x:v>
      </x:c>
      <x:c r="G762" s="78" t="n">
        <x:f>F762*'Inputs'!$F$46</x:f>
        <x:v>309683.52076240507</x:v>
      </x:c>
      <x:c r="H762" s="78" t="n">
        <x:f>U761</x:f>
        <x:v>11457681.454178248</x:v>
      </x:c>
      <x:c r="I762" s="78" t="n">
        <x:f>V761</x:f>
        <x:v>2503.94975558759</x:v>
      </x:c>
      <x:c r="J762" s="79" t="n">
        <x:f>IF(H762&gt;0,I762/H762,0)</x:f>
        <x:v>0.00021853895708319593</x:v>
      </x:c>
      <x:c r="K762" s="80" t="n">
        <x:f>(H762*J762+I762)*'Inputs'!$D$46*(1+'Inputs'!$G$46)^(B762/30)</x:f>
        <x:v>5007.89951117518</x:v>
      </x:c>
      <x:c r="L762" s="80" t="n">
        <x:f>MAX(0,K762*'Inputs'!$E$46)</x:f>
        <x:v>0</x:v>
      </x:c>
      <x:c r="M762" s="80" t="n">
        <x:f>MAX(0,-K762*'Inputs'!$E$46)</x:f>
        <x:v>0</x:v>
      </x:c>
      <x:c r="N762" s="78" t="n">
        <x:f>H762*(L762*(1-'Inputs'!$B$15))/(I762+L762*(1-'Inputs'!$B$15))</x:f>
        <x:v>0</x:v>
      </x:c>
      <x:c r="O762" s="78" t="n">
        <x:f>H762-N762</x:f>
        <x:v>11457681.454178248</x:v>
      </x:c>
      <x:c r="P762" s="78" t="n">
        <x:f>I762+L762*(1-'Inputs'!$B$17)</x:f>
        <x:v>2503.94975558759</x:v>
      </x:c>
      <x:c r="Q762" s="78" t="n">
        <x:f>IF(J762&gt;0,M762/J762,0)</x:f>
        <x:v>0</x:v>
      </x:c>
      <x:c r="R762" s="78" t="n">
        <x:f>IF(B762='Inputs'!$H$46,'Inputs'!$B$27*'Inputs'!$I$46,0)</x:f>
        <x:v>0</x:v>
      </x:c>
      <x:c r="S762" s="78" t="n">
        <x:f>Q762+G762+R762</x:f>
        <x:v>309683.52076240507</x:v>
      </x:c>
      <x:c r="T762" s="78" t="n">
        <x:f>P762*(S762*(1-'Inputs'!$B$15))/(O762+S762*(1-'Inputs'!$B$15))</x:f>
        <x:v>65.25502880782896</x:v>
      </x:c>
      <x:c r="U762" s="78" t="n">
        <x:f>O762+S762*(1-'Inputs'!$B$17)</x:f>
        <x:v>11766118.763589496</x:v>
      </x:c>
      <x:c r="V762" s="78" t="n">
        <x:f>P762-T762</x:f>
        <x:v>2438.694726779761</x:v>
      </x:c>
      <x:c r="W762" s="79" t="n">
        <x:f>IF(U762&gt;0,V762/U762,0)</x:f>
        <x:v>0.00020726416040660353</x:v>
      </x:c>
      <x:c r="X762" s="80" t="n">
        <x:f>W762*('Inputs'!$B$6-AC762)</x:f>
        <x:v>207062.29945526563</x:v>
      </x:c>
      <x:c r="Y762" s="80" t="n">
        <x:f>2*V762</x:f>
        <x:v>4877.389453559522</x:v>
      </x:c>
      <x:c r="Z762" s="80" t="n">
        <x:f>K762*'Inputs'!$B$16+(G762+R762)*J762*'Inputs'!$B$16</x:f>
        <x:v>30.453464548970693</x:v>
      </x:c>
      <x:c r="AA762" s="80" t="n">
        <x:f>K762*(1+'Inputs'!$E$46)/2*'Inputs'!$B$17</x:f>
        <x:v>10.076256561720685</x:v>
      </x:c>
      <x:c r="AB762" s="78" t="n">
        <x:f>(IF(J762&gt;0,K762*(1-'Inputs'!$E$46)/2/J762,0)+G762+R762)*'Inputs'!$B$17</x:f>
        <x:v>47353.58138809116</x:v>
      </x:c>
      <x:c r="AC762" s="78" t="n">
        <x:f>AC761+AB762</x:f>
        <x:v>973930.8085965639</x:v>
      </x:c>
      <x:c r="AD762" s="80" t="n">
        <x:f>Z762/(1+'Inputs'!$C$46)</x:f>
        <x:v>15.226732274485347</x:v>
      </x:c>
      <x:c r="AE762" s="80" t="n">
        <x:f>Z762-AD762</x:f>
        <x:v>15.226732274485347</x:v>
      </x:c>
      <x:c r="AF762" s="80" t="n">
        <x:f>D762*W762</x:f>
        <x:v>62.42092342254877</x:v>
      </x:c>
      <x:c r="AG762" s="80" t="n">
        <x:f>C762*W762</x:f>
        <x:v>145.64882131928096</x:v>
      </x:c>
      <x:c r="AH762" s="80" t="n">
        <x:f>2*'Inputs'!$B$8*'Inputs'!$C$46</x:f>
        <x:v>5000</x:v>
      </x:c>
      <x:c r="AI762" s="81" t="n">
        <x:f>IF(AH762&gt;0,(AE762+AF762)/AH762*365,0)</x:f>
        <x:v>5.66827886588349</x:v>
      </x:c>
      <x:c r="AJ762" s="81" t="n">
        <x:f>IF('Inputs'!$B$46&gt;0,AG762/('Inputs'!$B$19*'Inputs'!$B$46)*365,0)</x:f>
        <x:v>5.316181978153755</x:v>
      </x:c>
      <x:c r="AK762" s="81" t="n">
        <x:f>W762/MAX($W$734:W762)-1</x:f>
        <x:v>-0.7540723149526688</x:v>
      </x:c>
      <x:c r="AL762" s="83" t="n">
        <x:f>'Inputs'!$B$46</x:f>
        <x:v>1</x:v>
      </x:c>
      <x:c r="AM762" s="83" t="n">
        <x:f>'Inputs'!$C$46</x:f>
        <x:v>1</x:v>
      </x:c>
      <x:c r="AN762" s="83" t="n">
        <x:f>'Inputs'!$D$46</x:f>
        <x:v>1</x:v>
      </x:c>
      <x:c r="AO762" s="81" t="n">
        <x:f>'Inputs'!$E$46</x:f>
        <x:v>0</x:v>
      </x:c>
    </x:row>
    <x:row r="763">
      <x:c r="A763" s="59" t="str">
        <x:v>Base</x:v>
      </x:c>
      <x:c r="B763" s="59" t="n">
        <x:v>30</x:v>
      </x:c>
      <x:c r="C763" s="78" t="n">
        <x:f>(('Inputs'!$B$29*(3*30*'Inputs'!$B$12-30^2)/(2*'Inputs'!$B$12^2))-('Inputs'!$B$29*(3*29*'Inputs'!$B$12-29^2)/(2*'Inputs'!$B$12^2)))*'Inputs'!$B$46</x:f>
        <x:v>702395.6183148809</x:v>
      </x:c>
      <x:c r="D763" s="78" t="n">
        <x:f>IF('Inputs'!$C$46&gt;0,('Inputs'!$B$30*(3*30*'Inputs'!$B$12-30^2)/(2*'Inputs'!$B$12^2))-('Inputs'!$B$30*(3*29*'Inputs'!$B$12-29^2)/(2*'Inputs'!$B$12^2)),0)</x:f>
        <x:v>301026.6935635209</x:v>
      </x:c>
      <x:c r="E763" s="78" t="n">
        <x:f>C763+D763</x:f>
        <x:v>1003422.3118784018</x:v>
      </x:c>
      <x:c r="F763" s="78" t="n">
        <x:f>'Inputs'!$B$13*E763+(1-'Inputs'!$B$13)/'Inputs'!$B$14*SUM(E734:E763)</x:f>
        <x:v>633608.7580087393</x:v>
      </x:c>
      <x:c r="G763" s="78" t="n">
        <x:f>F763*'Inputs'!$F$46</x:f>
        <x:v>316804.37900436966</x:v>
      </x:c>
      <x:c r="H763" s="78" t="n">
        <x:f>U762</x:f>
        <x:v>11766118.763589496</x:v>
      </x:c>
      <x:c r="I763" s="78" t="n">
        <x:f>V762</x:f>
        <x:v>2438.694726779761</x:v>
      </x:c>
      <x:c r="J763" s="79" t="n">
        <x:f>IF(H763&gt;0,I763/H763,0)</x:f>
        <x:v>0.00020726416040660353</x:v>
      </x:c>
      <x:c r="K763" s="80" t="n">
        <x:f>(H763*J763+I763)*'Inputs'!$D$46*(1+'Inputs'!$G$46)^(B763/30)</x:f>
        <x:v>4877.389453559522</x:v>
      </x:c>
      <x:c r="L763" s="80" t="n">
        <x:f>MAX(0,K763*'Inputs'!$E$46)</x:f>
        <x:v>0</x:v>
      </x:c>
      <x:c r="M763" s="80" t="n">
        <x:f>MAX(0,-K763*'Inputs'!$E$46)</x:f>
        <x:v>0</x:v>
      </x:c>
      <x:c r="N763" s="78" t="n">
        <x:f>H763*(L763*(1-'Inputs'!$B$15))/(I763+L763*(1-'Inputs'!$B$15))</x:f>
        <x:v>0</x:v>
      </x:c>
      <x:c r="O763" s="78" t="n">
        <x:f>H763-N763</x:f>
        <x:v>11766118.763589496</x:v>
      </x:c>
      <x:c r="P763" s="78" t="n">
        <x:f>I763+L763*(1-'Inputs'!$B$17)</x:f>
        <x:v>2438.694726779761</x:v>
      </x:c>
      <x:c r="Q763" s="78" t="n">
        <x:f>IF(J763&gt;0,M763/J763,0)</x:f>
        <x:v>0</x:v>
      </x:c>
      <x:c r="R763" s="78" t="n">
        <x:f>IF(B763='Inputs'!$H$46,'Inputs'!$B$27*'Inputs'!$I$46,0)</x:f>
        <x:v>0</x:v>
      </x:c>
      <x:c r="S763" s="78" t="n">
        <x:f>Q763+G763+R763</x:f>
        <x:v>316804.37900436966</x:v>
      </x:c>
      <x:c r="T763" s="78" t="n">
        <x:f>P763*(S763*(1-'Inputs'!$B$15))/(O763+S763*(1-'Inputs'!$B$15))</x:f>
        <x:v>63.317780083922855</x:v>
      </x:c>
      <x:c r="U763" s="78" t="n">
        <x:f>O763+S763*(1-'Inputs'!$B$17)</x:f>
        <x:v>12081648.27587755</x:v>
      </x:c>
      <x:c r="V763" s="78" t="n">
        <x:f>P763-T763</x:f>
        <x:v>2375.376946695838</x:v>
      </x:c>
      <x:c r="W763" s="79" t="n">
        <x:f>IF(U763&gt;0,V763/U763,0)</x:f>
        <x:v>0.00019661033763402637</x:v>
      </x:c>
      <x:c r="X763" s="80" t="n">
        <x:f>W763*('Inputs'!$B$6-AC763)</x:f>
        <x:v>196409.29289930366</x:v>
      </x:c>
      <x:c r="Y763" s="80" t="n">
        <x:f>2*V763</x:f>
        <x:v>4750.753893391676</x:v>
      </x:c>
      <x:c r="Z763" s="80" t="n">
        <x:f>K763*'Inputs'!$B$16+(G763+R763)*J763*'Inputs'!$B$16</x:f>
        <x:v>29.65830988312199</x:v>
      </x:c>
      <x:c r="AA763" s="80" t="n">
        <x:f>K763*(1+'Inputs'!$E$46)/2*'Inputs'!$B$17</x:f>
        <x:v>9.813660872353163</x:v>
      </x:c>
      <x:c r="AB763" s="78" t="n">
        <x:f>(IF(J763&gt;0,K763*(1-'Inputs'!$E$46)/2/J763,0)+G763+R763)*'Inputs'!$B$17</x:f>
        <x:v>48623.43316939182</x:v>
      </x:c>
      <x:c r="AC763" s="78" t="n">
        <x:f>AC762+AB763</x:f>
        <x:v>1022554.2417659557</x:v>
      </x:c>
      <x:c r="AD763" s="80" t="n">
        <x:f>Z763/(1+'Inputs'!$C$46)</x:f>
        <x:v>14.829154941560995</x:v>
      </x:c>
      <x:c r="AE763" s="80" t="n">
        <x:f>Z763-AD763</x:f>
        <x:v>14.829154941560995</x:v>
      </x:c>
      <x:c r="AF763" s="80" t="n">
        <x:f>D763*W763</x:f>
        <x:v>59.18495985837844</x:v>
      </x:c>
      <x:c r="AG763" s="80" t="n">
        <x:f>C763*W763</x:f>
        <x:v>138.09823966954946</x:v>
      </x:c>
      <x:c r="AH763" s="80" t="n">
        <x:f>2*'Inputs'!$B$8*'Inputs'!$C$46</x:f>
        <x:v>5000</x:v>
      </x:c>
      <x:c r="AI763" s="81" t="n">
        <x:f>IF(AH763&gt;0,(AE763+AF763)/AH763*365,0)</x:f>
        <x:v>5.403030380395578</x:v>
      </x:c>
      <x:c r="AJ763" s="81" t="n">
        <x:f>IF('Inputs'!$B$46&gt;0,AG763/('Inputs'!$B$19*'Inputs'!$B$46)*365,0)</x:f>
        <x:v>5.040585747938555</x:v>
      </x:c>
      <x:c r="AK763" s="81" t="n">
        <x:f>W763/MAX($W$734:W763)-1</x:f>
        <x:v>-0.7667135258895933</x:v>
      </x:c>
      <x:c r="AL763" s="83" t="n">
        <x:f>'Inputs'!$B$46</x:f>
        <x:v>1</x:v>
      </x:c>
      <x:c r="AM763" s="83" t="n">
        <x:f>'Inputs'!$C$46</x:f>
        <x:v>1</x:v>
      </x:c>
      <x:c r="AN763" s="83" t="n">
        <x:f>'Inputs'!$D$46</x:f>
        <x:v>1</x:v>
      </x:c>
      <x:c r="AO763" s="81" t="n">
        <x:f>'Inputs'!$E$46</x:f>
        <x:v>0</x:v>
      </x:c>
    </x:row>
    <x:row r="764">
      <x:c r="A764" s="59" t="str">
        <x:v>Base</x:v>
      </x:c>
      <x:c r="B764" s="59" t="n">
        <x:v>31</x:v>
      </x:c>
      <x:c r="C764" s="78" t="n">
        <x:f>(('Inputs'!$B$29*(3*31*'Inputs'!$B$12-31^2)/(2*'Inputs'!$B$12^2))-('Inputs'!$B$29*(3*30*'Inputs'!$B$12-30^2)/(2*'Inputs'!$B$12^2)))*'Inputs'!$B$46</x:f>
        <x:v>702070.5104147121</x:v>
      </x:c>
      <x:c r="D764" s="78" t="n">
        <x:f>IF('Inputs'!$C$46&gt;0,('Inputs'!$B$30*(3*31*'Inputs'!$B$12-31^2)/(2*'Inputs'!$B$12^2))-('Inputs'!$B$30*(3*30*'Inputs'!$B$12-30^2)/(2*'Inputs'!$B$12^2)),0)</x:f>
        <x:v>300887.36160630547</x:v>
      </x:c>
      <x:c r="E764" s="78" t="n">
        <x:f>C764+D764</x:f>
        <x:v>1002957.8720210176</x:v>
      </x:c>
      <x:c r="F764" s="78" t="n">
        <x:f>'Inputs'!$B$13*E764+(1-'Inputs'!$B$13)/'Inputs'!$B$14*SUM(E734:E764)</x:f>
        <x:v>647843.8396375627</x:v>
      </x:c>
      <x:c r="G764" s="78" t="n">
        <x:f>F764*'Inputs'!$F$46</x:f>
        <x:v>323921.9198187814</x:v>
      </x:c>
      <x:c r="H764" s="78" t="n">
        <x:f>U763</x:f>
        <x:v>12081648.27587755</x:v>
      </x:c>
      <x:c r="I764" s="78" t="n">
        <x:f>V763</x:f>
        <x:v>2375.376946695838</x:v>
      </x:c>
      <x:c r="J764" s="79" t="n">
        <x:f>IF(H764&gt;0,I764/H764,0)</x:f>
        <x:v>0.00019661033763402637</x:v>
      </x:c>
      <x:c r="K764" s="80" t="n">
        <x:f>(H764*J764+I764)*'Inputs'!$D$46*(1+'Inputs'!$G$46)^(B764/30)</x:f>
        <x:v>4750.753893391676</x:v>
      </x:c>
      <x:c r="L764" s="80" t="n">
        <x:f>MAX(0,K764*'Inputs'!$E$46)</x:f>
        <x:v>0</x:v>
      </x:c>
      <x:c r="M764" s="80" t="n">
        <x:f>MAX(0,-K764*'Inputs'!$E$46)</x:f>
        <x:v>0</x:v>
      </x:c>
      <x:c r="N764" s="78" t="n">
        <x:f>H764*(L764*(1-'Inputs'!$B$15))/(I764+L764*(1-'Inputs'!$B$15))</x:f>
        <x:v>0</x:v>
      </x:c>
      <x:c r="O764" s="78" t="n">
        <x:f>H764-N764</x:f>
        <x:v>12081648.27587755</x:v>
      </x:c>
      <x:c r="P764" s="78" t="n">
        <x:f>I764+L764*(1-'Inputs'!$B$17)</x:f>
        <x:v>2375.376946695838</x:v>
      </x:c>
      <x:c r="Q764" s="78" t="n">
        <x:f>IF(J764&gt;0,M764/J764,0)</x:f>
        <x:v>0</x:v>
      </x:c>
      <x:c r="R764" s="78" t="n">
        <x:f>IF(B764='Inputs'!$H$46,'Inputs'!$B$27*'Inputs'!$I$46,0)</x:f>
        <x:v>0</x:v>
      </x:c>
      <x:c r="S764" s="78" t="n">
        <x:f>Q764+G764+R764</x:f>
        <x:v>323921.9198187814</x:v>
      </x:c>
      <x:c r="T764" s="78" t="n">
        <x:f>P764*(S764*(1-'Inputs'!$B$15))/(O764+S764*(1-'Inputs'!$B$15))</x:f>
        <x:v>61.419284463685756</x:v>
      </x:c>
      <x:c r="U764" s="78" t="n">
        <x:f>O764+S764*(1-'Inputs'!$B$17)</x:f>
        <x:v>12404266.686964666</x:v>
      </x:c>
      <x:c r="V764" s="78" t="n">
        <x:f>P764-T764</x:f>
        <x:v>2313.957662232152</x:v>
      </x:c>
      <x:c r="W764" s="79" t="n">
        <x:f>IF(U764&gt;0,V764/U764,0)</x:f>
        <x:v>0.0001865453009538913</x:v>
      </x:c>
      <x:c r="X764" s="80" t="n">
        <x:f>W764*('Inputs'!$B$6-AC764)</x:f>
        <x:v>186345.23558574048</x:v>
      </x:c>
      <x:c r="Y764" s="80" t="n">
        <x:f>2*V764</x:f>
        <x:v>4627.915324464304</x:v>
      </x:c>
      <x:c r="Z764" s="80" t="n">
        <x:f>K764*'Inputs'!$B$16+(G764+R764)*J764*'Inputs'!$B$16</x:f>
        <x:v>28.886641748485854</x:v>
      </x:c>
      <x:c r="AA764" s="80" t="n">
        <x:f>K764*(1+'Inputs'!$E$46)/2*'Inputs'!$B$17</x:f>
        <x:v>9.558860952498343</x:v>
      </x:c>
      <x:c r="AB764" s="78" t="n">
        <x:f>(IF(J764&gt;0,K764*(1-'Inputs'!$E$46)/2/J764,0)+G764+R764)*'Inputs'!$B$17</x:f>
        <x:v>49921.81165270154</x:v>
      </x:c>
      <x:c r="AC764" s="78" t="n">
        <x:f>AC763+AB764</x:f>
        <x:v>1072476.0534186573</x:v>
      </x:c>
      <x:c r="AD764" s="80" t="n">
        <x:f>Z764/(1+'Inputs'!$C$46)</x:f>
        <x:v>14.443320874242927</x:v>
      </x:c>
      <x:c r="AE764" s="80" t="n">
        <x:f>Z764-AD764</x:f>
        <x:v>14.443320874242927</x:v>
      </x:c>
      <x:c r="AF764" s="80" t="n">
        <x:f>D764*W764</x:f>
        <x:v>56.12912342407057</x:v>
      </x:c>
      <x:c r="AG764" s="80" t="n">
        <x:f>C764*W764</x:f>
        <x:v>130.96795465616455</x:v>
      </x:c>
      <x:c r="AH764" s="80" t="n">
        <x:f>2*'Inputs'!$B$8*'Inputs'!$C$46</x:f>
        <x:v>5000</x:v>
      </x:c>
      <x:c r="AI764" s="81" t="n">
        <x:f>IF(AH764&gt;0,(AE764+AF764)/AH764*365,0)</x:f>
        <x:v>5.151788433776885</x:v>
      </x:c>
      <x:c r="AJ764" s="81" t="n">
        <x:f>IF('Inputs'!$B$46&gt;0,AG764/('Inputs'!$B$19*'Inputs'!$B$46)*365,0)</x:f>
        <x:v>4.780330344950006</x:v>
      </x:c>
      <x:c r="AK764" s="81" t="n">
        <x:f>W764/MAX($W$734:W764)-1</x:f>
        <x:v>-0.7786561172464694</x:v>
      </x:c>
      <x:c r="AL764" s="83" t="n">
        <x:f>'Inputs'!$B$46</x:f>
        <x:v>1</x:v>
      </x:c>
      <x:c r="AM764" s="83" t="n">
        <x:f>'Inputs'!$C$46</x:f>
        <x:v>1</x:v>
      </x:c>
      <x:c r="AN764" s="83" t="n">
        <x:f>'Inputs'!$D$46</x:f>
        <x:v>1</x:v>
      </x:c>
      <x:c r="AO764" s="81" t="n">
        <x:f>'Inputs'!$E$46</x:f>
        <x:v>0</x:v>
      </x:c>
    </x:row>
    <x:row r="765">
      <x:c r="A765" s="59" t="str">
        <x:v>Base</x:v>
      </x:c>
      <x:c r="B765" s="59" t="n">
        <x:v>32</x:v>
      </x:c>
      <x:c r="C765" s="78" t="n">
        <x:f>(('Inputs'!$B$29*(3*32*'Inputs'!$B$12-32^2)/(2*'Inputs'!$B$12^2))-('Inputs'!$B$29*(3*31*'Inputs'!$B$12-31^2)/(2*'Inputs'!$B$12^2)))*'Inputs'!$B$46</x:f>
        <x:v>701745.4025145434</x:v>
      </x:c>
      <x:c r="D765" s="78" t="n">
        <x:f>IF('Inputs'!$C$46&gt;0,('Inputs'!$B$30*(3*32*'Inputs'!$B$12-32^2)/(2*'Inputs'!$B$12^2))-('Inputs'!$B$30*(3*31*'Inputs'!$B$12-31^2)/(2*'Inputs'!$B$12^2)),0)</x:f>
        <x:v>300748.02964909</x:v>
      </x:c>
      <x:c r="E765" s="78" t="n">
        <x:f>C765+D765</x:f>
        <x:v>1002493.4321636334</x:v>
      </x:c>
      <x:c r="F765" s="78" t="n">
        <x:f>'Inputs'!$B$13*E765+(1-'Inputs'!$B$13)/'Inputs'!$B$14*SUM(E734:E765)</x:f>
        <x:v>662072.2864112806</x:v>
      </x:c>
      <x:c r="G765" s="78" t="n">
        <x:f>F765*'Inputs'!$F$46</x:f>
        <x:v>331036.1432056403</x:v>
      </x:c>
      <x:c r="H765" s="78" t="n">
        <x:f>U764</x:f>
        <x:v>12404266.686964666</x:v>
      </x:c>
      <x:c r="I765" s="78" t="n">
        <x:f>V764</x:f>
        <x:v>2313.957662232152</x:v>
      </x:c>
      <x:c r="J765" s="79" t="n">
        <x:f>IF(H765&gt;0,I765/H765,0)</x:f>
        <x:v>0.0001865453009538913</x:v>
      </x:c>
      <x:c r="K765" s="80" t="n">
        <x:f>(H765*J765+I765)*'Inputs'!$D$46*(1+'Inputs'!$G$46)^(B765/30)</x:f>
        <x:v>4627.915324464304</x:v>
      </x:c>
      <x:c r="L765" s="80" t="n">
        <x:f>MAX(0,K765*'Inputs'!$E$46)</x:f>
        <x:v>0</x:v>
      </x:c>
      <x:c r="M765" s="80" t="n">
        <x:f>MAX(0,-K765*'Inputs'!$E$46)</x:f>
        <x:v>0</x:v>
      </x:c>
      <x:c r="N765" s="78" t="n">
        <x:f>H765*(L765*(1-'Inputs'!$B$15))/(I765+L765*(1-'Inputs'!$B$15))</x:f>
        <x:v>0</x:v>
      </x:c>
      <x:c r="O765" s="78" t="n">
        <x:f>H765-N765</x:f>
        <x:v>12404266.686964666</x:v>
      </x:c>
      <x:c r="P765" s="78" t="n">
        <x:f>I765+L765*(1-'Inputs'!$B$17)</x:f>
        <x:v>2313.957662232152</x:v>
      </x:c>
      <x:c r="Q765" s="78" t="n">
        <x:f>IF(J765&gt;0,M765/J765,0)</x:f>
        <x:v>0</x:v>
      </x:c>
      <x:c r="R765" s="78" t="n">
        <x:f>IF(B765='Inputs'!$H$46,'Inputs'!$B$27*'Inputs'!$I$46,0)</x:f>
        <x:v>0</x:v>
      </x:c>
      <x:c r="S765" s="78" t="n">
        <x:f>Q765+G765+R765</x:f>
        <x:v>331036.1432056403</x:v>
      </x:c>
      <x:c r="T765" s="78" t="n">
        <x:f>P765*(S765*(1-'Inputs'!$B$15))/(O765+S765*(1-'Inputs'!$B$15))</x:f>
        <x:v>59.5620509286367</x:v>
      </x:c>
      <x:c r="U765" s="78" t="n">
        <x:f>O765+S765*(1-'Inputs'!$B$17)</x:f>
        <x:v>12733970.692773102</x:v>
      </x:c>
      <x:c r="V765" s="78" t="n">
        <x:f>P765-T765</x:f>
        <x:v>2254.395611303515</x:v>
      </x:c>
      <x:c r="W765" s="79" t="n">
        <x:f>IF(U765&gt;0,V765/U765,0)</x:f>
        <x:v>0.0001770379142291375</x:v>
      </x:c>
      <x:c r="X765" s="80" t="n">
        <x:f>W765*('Inputs'!$B$6-AC765)</x:f>
        <x:v>176838.97234199755</x:v>
      </x:c>
      <x:c r="Y765" s="80" t="n">
        <x:f>2*V765</x:f>
        <x:v>4508.79122260703</x:v>
      </x:c>
      <x:c r="Z765" s="80" t="n">
        <x:f>K765*'Inputs'!$B$16+(G765+R765)*J765*'Inputs'!$B$16</x:f>
        <x:v>28.138011368551293</x:v>
      </x:c>
      <x:c r="AA765" s="80" t="n">
        <x:f>K765*(1+'Inputs'!$E$46)/2*'Inputs'!$B$17</x:f>
        <x:v>9.311700854052926</x:v>
      </x:c>
      <x:c r="AB765" s="78" t="n">
        <x:f>(IF(J765&gt;0,K765*(1-'Inputs'!$E$46)/2/J765,0)+G765+R765)*'Inputs'!$B$17</x:f>
        <x:v>51248.70354193283</x:v>
      </x:c>
      <x:c r="AC765" s="78" t="n">
        <x:f>AC764+AB765</x:f>
        <x:v>1123724.7569605901</x:v>
      </x:c>
      <x:c r="AD765" s="80" t="n">
        <x:f>Z765/(1+'Inputs'!$C$46)</x:f>
        <x:v>14.069005684275647</x:v>
      </x:c>
      <x:c r="AE765" s="80" t="n">
        <x:f>Z765-AD765</x:f>
        <x:v>14.069005684275647</x:v>
      </x:c>
      <x:c r="AF765" s="80" t="n">
        <x:f>D765*W765</x:f>
        <x:v>53.2438038775977</x:v>
      </x:c>
      <x:c r="AG765" s="80" t="n">
        <x:f>C765*W765</x:f>
        <x:v>124.2355423810613</x:v>
      </x:c>
      <x:c r="AH765" s="80" t="n">
        <x:f>2*'Inputs'!$B$8*'Inputs'!$C$46</x:f>
        <x:v>5000</x:v>
      </x:c>
      <x:c r="AI765" s="81" t="n">
        <x:f>IF(AH765&gt;0,(AE765+AF765)/AH765*365,0)</x:f>
        <x:v>4.913835098016754</x:v>
      </x:c>
      <x:c r="AJ765" s="81" t="n">
        <x:f>IF('Inputs'!$B$46&gt;0,AG765/('Inputs'!$B$19*'Inputs'!$B$46)*365,0)</x:f>
        <x:v>4.534597296908737</x:v>
      </x:c>
      <x:c r="AK765" s="81" t="n">
        <x:f>W765/MAX($W$734:W765)-1</x:f>
        <x:v>-0.7899370333656942</x:v>
      </x:c>
      <x:c r="AL765" s="83" t="n">
        <x:f>'Inputs'!$B$46</x:f>
        <x:v>1</x:v>
      </x:c>
      <x:c r="AM765" s="83" t="n">
        <x:f>'Inputs'!$C$46</x:f>
        <x:v>1</x:v>
      </x:c>
      <x:c r="AN765" s="83" t="n">
        <x:f>'Inputs'!$D$46</x:f>
        <x:v>1</x:v>
      </x:c>
      <x:c r="AO765" s="81" t="n">
        <x:f>'Inputs'!$E$46</x:f>
        <x:v>0</x:v>
      </x:c>
    </x:row>
    <x:row r="766">
      <x:c r="A766" s="59" t="str">
        <x:v>Base</x:v>
      </x:c>
      <x:c r="B766" s="59" t="n">
        <x:v>33</x:v>
      </x:c>
      <x:c r="C766" s="78" t="n">
        <x:f>(('Inputs'!$B$29*(3*33*'Inputs'!$B$12-33^2)/(2*'Inputs'!$B$12^2))-('Inputs'!$B$29*(3*32*'Inputs'!$B$12-32^2)/(2*'Inputs'!$B$12^2)))*'Inputs'!$B$46</x:f>
        <x:v>701420.2946143746</x:v>
      </x:c>
      <x:c r="D766" s="78" t="n">
        <x:f>IF('Inputs'!$C$46&gt;0,('Inputs'!$B$30*(3*33*'Inputs'!$B$12-33^2)/(2*'Inputs'!$B$12^2))-('Inputs'!$B$30*(3*32*'Inputs'!$B$12-32^2)/(2*'Inputs'!$B$12^2)),0)</x:f>
        <x:v>300608.6976918746</x:v>
      </x:c>
      <x:c r="E766" s="78" t="n">
        <x:f>C766+D766</x:f>
        <x:v>1002028.9923062492</x:v>
      </x:c>
      <x:c r="F766" s="78" t="n">
        <x:f>'Inputs'!$B$13*E766+(1-'Inputs'!$B$13)/'Inputs'!$B$14*SUM(E734:E766)</x:f>
        <x:v>676294.0983298931</x:v>
      </x:c>
      <x:c r="G766" s="78" t="n">
        <x:f>F766*'Inputs'!$F$46</x:f>
        <x:v>338147.04916494654</x:v>
      </x:c>
      <x:c r="H766" s="78" t="n">
        <x:f>U765</x:f>
        <x:v>12733970.692773102</x:v>
      </x:c>
      <x:c r="I766" s="78" t="n">
        <x:f>V765</x:f>
        <x:v>2254.395611303515</x:v>
      </x:c>
      <x:c r="J766" s="79" t="n">
        <x:f>IF(H766&gt;0,I766/H766,0)</x:f>
        <x:v>0.0001770379142291375</x:v>
      </x:c>
      <x:c r="K766" s="80" t="n">
        <x:f>(H766*J766+I766)*'Inputs'!$D$46*(1+'Inputs'!$G$46)^(B766/30)</x:f>
        <x:v>4508.79122260703</x:v>
      </x:c>
      <x:c r="L766" s="80" t="n">
        <x:f>MAX(0,K766*'Inputs'!$E$46)</x:f>
        <x:v>0</x:v>
      </x:c>
      <x:c r="M766" s="80" t="n">
        <x:f>MAX(0,-K766*'Inputs'!$E$46)</x:f>
        <x:v>0</x:v>
      </x:c>
      <x:c r="N766" s="78" t="n">
        <x:f>H766*(L766*(1-'Inputs'!$B$15))/(I766+L766*(1-'Inputs'!$B$15))</x:f>
        <x:v>0</x:v>
      </x:c>
      <x:c r="O766" s="78" t="n">
        <x:f>H766-N766</x:f>
        <x:v>12733970.692773102</x:v>
      </x:c>
      <x:c r="P766" s="78" t="n">
        <x:f>I766+L766*(1-'Inputs'!$B$17)</x:f>
        <x:v>2254.395611303515</x:v>
      </x:c>
      <x:c r="Q766" s="78" t="n">
        <x:f>IF(J766&gt;0,M766/J766,0)</x:f>
        <x:v>0</x:v>
      </x:c>
      <x:c r="R766" s="78" t="n">
        <x:f>IF(B766='Inputs'!$H$46,'Inputs'!$B$27*'Inputs'!$I$46,0)</x:f>
        <x:v>0</x:v>
      </x:c>
      <x:c r="S766" s="78" t="n">
        <x:f>Q766+G766+R766</x:f>
        <x:v>338147.04916494654</x:v>
      </x:c>
      <x:c r="T766" s="78" t="n">
        <x:f>P766*(S766*(1-'Inputs'!$B$15))/(O766+S766*(1-'Inputs'!$B$15))</x:f>
        <x:v>57.74805120411507</x:v>
      </x:c>
      <x:c r="U766" s="78" t="n">
        <x:f>O766+S766*(1-'Inputs'!$B$17)</x:f>
        <x:v>13070756.989225112</x:v>
      </x:c>
      <x:c r="V766" s="78" t="n">
        <x:f>P766-T766</x:f>
        <x:v>2196.6475600994</x:v>
      </x:c>
      <x:c r="W766" s="79" t="n">
        <x:f>IF(U766&gt;0,V766/U766,0)</x:f>
        <x:v>0.00016805817458852672</x:v>
      </x:c>
      <x:c r="X766" s="80" t="n">
        <x:f>W766*('Inputs'!$B$6-AC766)</x:f>
        <x:v>167860.48290885947</x:v>
      </x:c>
      <x:c r="Y766" s="80" t="n">
        <x:f>2*V766</x:f>
        <x:v>4393.2951201988</x:v>
      </x:c>
      <x:c r="Z766" s="80" t="n">
        <x:f>K766*'Inputs'!$B$16+(G766+R766)*J766*'Inputs'!$B$16</x:f>
        <x:v>27.411936425363578</x:v>
      </x:c>
      <x:c r="AA766" s="80" t="n">
        <x:f>K766*(1+'Inputs'!$E$46)/2*'Inputs'!$B$17</x:f>
        <x:v>9.072014532408513</x:v>
      </x:c>
      <x:c r="AB766" s="78" t="n">
        <x:f>(IF(J766&gt;0,K766*(1-'Inputs'!$E$46)/2/J766,0)+G766+R766)*'Inputs'!$B$17</x:f>
        <x:v>52604.09554099819</x:v>
      </x:c>
      <x:c r="AC766" s="78" t="n">
        <x:f>AC765+AB766</x:f>
        <x:v>1176328.8525015884</x:v>
      </x:c>
      <x:c r="AD766" s="80" t="n">
        <x:f>Z766/(1+'Inputs'!$C$46)</x:f>
        <x:v>13.705968212681789</x:v>
      </x:c>
      <x:c r="AE766" s="80" t="n">
        <x:f>Z766-AD766</x:f>
        <x:v>13.705968212681789</x:v>
      </x:c>
      <x:c r="AF766" s="80" t="n">
        <x:f>D766*W766</x:f>
        <x:v>50.519748999530705</x:v>
      </x:c>
      <x:c r="AG766" s="80" t="n">
        <x:f>C766*W766</x:f>
        <x:v>117.87941433223843</x:v>
      </x:c>
      <x:c r="AH766" s="80" t="n">
        <x:f>2*'Inputs'!$B$8*'Inputs'!$C$46</x:f>
        <x:v>5000</x:v>
      </x:c>
      <x:c r="AI766" s="81" t="n">
        <x:f>IF(AH766&gt;0,(AE766+AF766)/AH766*365,0)</x:f>
        <x:v>4.688477356491512</x:v>
      </x:c>
      <x:c r="AJ766" s="81" t="n">
        <x:f>IF('Inputs'!$B$46&gt;0,AG766/('Inputs'!$B$19*'Inputs'!$B$46)*365,0)</x:f>
        <x:v>4.302598623126702</x:v>
      </x:c>
      <x:c r="AK766" s="81" t="n">
        <x:f>W766/MAX($W$734:W766)-1</x:f>
        <x:v>-0.8005918739218756</x:v>
      </x:c>
      <x:c r="AL766" s="83" t="n">
        <x:f>'Inputs'!$B$46</x:f>
        <x:v>1</x:v>
      </x:c>
      <x:c r="AM766" s="83" t="n">
        <x:f>'Inputs'!$C$46</x:f>
        <x:v>1</x:v>
      </x:c>
      <x:c r="AN766" s="83" t="n">
        <x:f>'Inputs'!$D$46</x:f>
        <x:v>1</x:v>
      </x:c>
      <x:c r="AO766" s="81" t="n">
        <x:f>'Inputs'!$E$46</x:f>
        <x:v>0</x:v>
      </x:c>
    </x:row>
    <x:row r="767">
      <x:c r="A767" s="59" t="str">
        <x:v>Base</x:v>
      </x:c>
      <x:c r="B767" s="59" t="n">
        <x:v>34</x:v>
      </x:c>
      <x:c r="C767" s="78" t="n">
        <x:f>(('Inputs'!$B$29*(3*34*'Inputs'!$B$12-34^2)/(2*'Inputs'!$B$12^2))-('Inputs'!$B$29*(3*33*'Inputs'!$B$12-33^2)/(2*'Inputs'!$B$12^2)))*'Inputs'!$B$46</x:f>
        <x:v>701095.1867142059</x:v>
      </x:c>
      <x:c r="D767" s="78" t="n">
        <x:f>IF('Inputs'!$C$46&gt;0,('Inputs'!$B$30*(3*34*'Inputs'!$B$12-34^2)/(2*'Inputs'!$B$12^2))-('Inputs'!$B$30*(3*33*'Inputs'!$B$12-33^2)/(2*'Inputs'!$B$12^2)),0)</x:f>
        <x:v>300469.36573465914</x:v>
      </x:c>
      <x:c r="E767" s="78" t="n">
        <x:f>C767+D767</x:f>
        <x:v>1001564.552448865</x:v>
      </x:c>
      <x:c r="F767" s="78" t="n">
        <x:f>'Inputs'!$B$13*E767+(1-'Inputs'!$B$13)/'Inputs'!$B$14*SUM(E734:E767)</x:f>
        <x:v>690509.2753934</x:v>
      </x:c>
      <x:c r="G767" s="78" t="n">
        <x:f>F767*'Inputs'!$F$46</x:f>
        <x:v>345254.6376967</x:v>
      </x:c>
      <x:c r="H767" s="78" t="n">
        <x:f>U766</x:f>
        <x:v>13070756.989225112</x:v>
      </x:c>
      <x:c r="I767" s="78" t="n">
        <x:f>V766</x:f>
        <x:v>2196.6475600994</x:v>
      </x:c>
      <x:c r="J767" s="79" t="n">
        <x:f>IF(H767&gt;0,I767/H767,0)</x:f>
        <x:v>0.00016805817458852672</x:v>
      </x:c>
      <x:c r="K767" s="80" t="n">
        <x:f>(H767*J767+I767)*'Inputs'!$D$46*(1+'Inputs'!$G$46)^(B767/30)</x:f>
        <x:v>4393.2951201988</x:v>
      </x:c>
      <x:c r="L767" s="80" t="n">
        <x:f>MAX(0,K767*'Inputs'!$E$46)</x:f>
        <x:v>0</x:v>
      </x:c>
      <x:c r="M767" s="80" t="n">
        <x:f>MAX(0,-K767*'Inputs'!$E$46)</x:f>
        <x:v>0</x:v>
      </x:c>
      <x:c r="N767" s="78" t="n">
        <x:f>H767*(L767*(1-'Inputs'!$B$15))/(I767+L767*(1-'Inputs'!$B$15))</x:f>
        <x:v>0</x:v>
      </x:c>
      <x:c r="O767" s="78" t="n">
        <x:f>H767-N767</x:f>
        <x:v>13070756.989225112</x:v>
      </x:c>
      <x:c r="P767" s="78" t="n">
        <x:f>I767+L767*(1-'Inputs'!$B$17)</x:f>
        <x:v>2196.6475600994</x:v>
      </x:c>
      <x:c r="Q767" s="78" t="n">
        <x:f>IF(J767&gt;0,M767/J767,0)</x:f>
        <x:v>0</x:v>
      </x:c>
      <x:c r="R767" s="78" t="n">
        <x:f>IF(B767='Inputs'!$H$46,'Inputs'!$B$27*'Inputs'!$I$46,0)</x:f>
        <x:v>0</x:v>
      </x:c>
      <x:c r="S767" s="78" t="n">
        <x:f>Q767+G767+R767</x:f>
        <x:v>345254.6376967</x:v>
      </x:c>
      <x:c r="T767" s="78" t="n">
        <x:f>P767*(S767*(1-'Inputs'!$B$15))/(O767+S767*(1-'Inputs'!$B$15))</x:f>
        <x:v>55.97878267864928</x:v>
      </x:c>
      <x:c r="U767" s="78" t="n">
        <x:f>O767+S767*(1-'Inputs'!$B$17)</x:f>
        <x:v>13414622.272242952</x:v>
      </x:c>
      <x:c r="V767" s="78" t="n">
        <x:f>P767-T767</x:f>
        <x:v>2140.6687774207508</x:v>
      </x:c>
      <x:c r="W767" s="79" t="n">
        <x:f>IF(U767&gt;0,V767/U767,0)</x:f>
        <x:v>0.00015957726829551845</x:v>
      </x:c>
      <x:c r="X767" s="80" t="n">
        <x:f>W767*('Inputs'!$B$6-AC767)</x:f>
        <x:v>159380.93769715086</x:v>
      </x:c>
      <x:c r="Y767" s="80" t="n">
        <x:f>2*V767</x:f>
        <x:v>4281.3375548415015</x:v>
      </x:c>
      <x:c r="Z767" s="80" t="n">
        <x:f>K767*'Inputs'!$B$16+(G767+R767)*J767*'Inputs'!$B$16</x:f>
        <x:v>26.707907906269984</x:v>
      </x:c>
      <x:c r="AA767" s="80" t="n">
        <x:f>K767*(1+'Inputs'!$E$46)/2*'Inputs'!$B$17</x:f>
        <x:v>8.83962800844829</x:v>
      </x:c>
      <x:c r="AB767" s="78" t="n">
        <x:f>(IF(J767&gt;0,K767*(1-'Inputs'!$E$46)/2/J767,0)+G767+R767)*'Inputs'!$B$17</x:f>
        <x:v>53987.97435381012</x:v>
      </x:c>
      <x:c r="AC767" s="78" t="n">
        <x:f>AC766+AB767</x:f>
        <x:v>1230316.8268553985</x:v>
      </x:c>
      <x:c r="AD767" s="80" t="n">
        <x:f>Z767/(1+'Inputs'!$C$46)</x:f>
        <x:v>13.353953953134992</x:v>
      </x:c>
      <x:c r="AE767" s="80" t="n">
        <x:f>Z767-AD767</x:f>
        <x:v>13.353953953134992</x:v>
      </x:c>
      <x:c r="AF767" s="80" t="n">
        <x:f>D767*W767</x:f>
        <x:v>47.948080590423956</x:v>
      </x:c>
      <x:c r="AG767" s="80" t="n">
        <x:f>C767*W767</x:f>
        <x:v>111.87885471098943</x:v>
      </x:c>
      <x:c r="AH767" s="80" t="n">
        <x:f>2*'Inputs'!$B$8*'Inputs'!$C$46</x:f>
        <x:v>5000</x:v>
      </x:c>
      <x:c r="AI767" s="81" t="n">
        <x:f>IF(AH767&gt;0,(AE767+AF767)/AH767*365,0)</x:f>
        <x:v>4.4750485216798035</x:v>
      </x:c>
      <x:c r="AJ767" s="81" t="n">
        <x:f>IF('Inputs'!$B$46&gt;0,AG767/('Inputs'!$B$19*'Inputs'!$B$46)*365,0)</x:f>
        <x:v>4.083578196951114</x:v>
      </x:c>
      <x:c r="AK767" s="81" t="n">
        <x:f>W767/MAX($W$734:W767)-1</x:f>
        <x:v>-0.8106548276310515</x:v>
      </x:c>
      <x:c r="AL767" s="83" t="n">
        <x:f>'Inputs'!$B$46</x:f>
        <x:v>1</x:v>
      </x:c>
      <x:c r="AM767" s="83" t="n">
        <x:f>'Inputs'!$C$46</x:f>
        <x:v>1</x:v>
      </x:c>
      <x:c r="AN767" s="83" t="n">
        <x:f>'Inputs'!$D$46</x:f>
        <x:v>1</x:v>
      </x:c>
      <x:c r="AO767" s="81" t="n">
        <x:f>'Inputs'!$E$46</x:f>
        <x:v>0</x:v>
      </x:c>
    </x:row>
    <x:row r="768">
      <x:c r="A768" s="59" t="str">
        <x:v>Base</x:v>
      </x:c>
      <x:c r="B768" s="59" t="n">
        <x:v>35</x:v>
      </x:c>
      <x:c r="C768" s="78" t="n">
        <x:f>(('Inputs'!$B$29*(3*35*'Inputs'!$B$12-35^2)/(2*'Inputs'!$B$12^2))-('Inputs'!$B$29*(3*34*'Inputs'!$B$12-34^2)/(2*'Inputs'!$B$12^2)))*'Inputs'!$B$46</x:f>
        <x:v>700770.0788140334</x:v>
      </x:c>
      <x:c r="D768" s="78" t="n">
        <x:f>IF('Inputs'!$C$46&gt;0,('Inputs'!$B$30*(3*35*'Inputs'!$B$12-35^2)/(2*'Inputs'!$B$12^2))-('Inputs'!$B$30*(3*34*'Inputs'!$B$12-34^2)/(2*'Inputs'!$B$12^2)),0)</x:f>
        <x:v>300330.0337774437</x:v>
      </x:c>
      <x:c r="E768" s="78" t="n">
        <x:f>C768+D768</x:f>
        <x:v>1001100.1125914771</x:v>
      </x:c>
      <x:c r="F768" s="78" t="n">
        <x:f>'Inputs'!$B$13*E768+(1-'Inputs'!$B$13)/'Inputs'!$B$14*SUM(E734:E768)</x:f>
        <x:v>704717.8176018007</x:v>
      </x:c>
      <x:c r="G768" s="78" t="n">
        <x:f>F768*'Inputs'!$F$46</x:f>
        <x:v>352358.90880090033</x:v>
      </x:c>
      <x:c r="H768" s="78" t="n">
        <x:f>U767</x:f>
        <x:v>13414622.272242952</x:v>
      </x:c>
      <x:c r="I768" s="78" t="n">
        <x:f>V767</x:f>
        <x:v>2140.6687774207508</x:v>
      </x:c>
      <x:c r="J768" s="79" t="n">
        <x:f>IF(H768&gt;0,I768/H768,0)</x:f>
        <x:v>0.00015957726829551845</x:v>
      </x:c>
      <x:c r="K768" s="80" t="n">
        <x:f>(H768*J768+I768)*'Inputs'!$D$46*(1+'Inputs'!$G$46)^(B768/30)</x:f>
        <x:v>4281.3375548415015</x:v>
      </x:c>
      <x:c r="L768" s="80" t="n">
        <x:f>MAX(0,K768*'Inputs'!$E$46)</x:f>
        <x:v>0</x:v>
      </x:c>
      <x:c r="M768" s="80" t="n">
        <x:f>MAX(0,-K768*'Inputs'!$E$46)</x:f>
        <x:v>0</x:v>
      </x:c>
      <x:c r="N768" s="78" t="n">
        <x:f>H768*(L768*(1-'Inputs'!$B$15))/(I768+L768*(1-'Inputs'!$B$15))</x:f>
        <x:v>0</x:v>
      </x:c>
      <x:c r="O768" s="78" t="n">
        <x:f>H768-N768</x:f>
        <x:v>13414622.272242952</x:v>
      </x:c>
      <x:c r="P768" s="78" t="n">
        <x:f>I768+L768*(1-'Inputs'!$B$17)</x:f>
        <x:v>2140.6687774207508</x:v>
      </x:c>
      <x:c r="Q768" s="78" t="n">
        <x:f>IF(J768&gt;0,M768/J768,0)</x:f>
        <x:v>0</x:v>
      </x:c>
      <x:c r="R768" s="78" t="n">
        <x:f>IF(B768='Inputs'!$H$46,'Inputs'!$B$27*'Inputs'!$I$46,0)</x:f>
        <x:v>0</x:v>
      </x:c>
      <x:c r="S768" s="78" t="n">
        <x:f>Q768+G768+R768</x:f>
        <x:v>352358.90880090033</x:v>
      </x:c>
      <x:c r="T768" s="78" t="n">
        <x:f>P768*(S768*(1-'Inputs'!$B$15))/(O768+S768*(1-'Inputs'!$B$15))</x:f>
        <x:v>54.255325915154486</x:v>
      </x:c>
      <x:c r="U768" s="78" t="n">
        <x:f>O768+S768*(1-'Inputs'!$B$17)</x:f>
        <x:v>13765563.23774888</x:v>
      </x:c>
      <x:c r="V768" s="78" t="n">
        <x:f>P768-T768</x:f>
        <x:v>2086.413451505596</x:v>
      </x:c>
      <x:c r="W768" s="79" t="n">
        <x:f>IF(U768&gt;0,V768/U768,0)</x:f>
        <x:v>0.00015156760500609876</x:v>
      </x:c>
      <x:c r="X768" s="80" t="n">
        <x:f>W768*('Inputs'!$B$6-AC768)</x:f>
        <x:v>151372.7319364215</x:v>
      </x:c>
      <x:c r="Y768" s="80" t="n">
        <x:f>2*V768</x:f>
        <x:v>4172.826903011192</x:v>
      </x:c>
      <x:c r="Z768" s="80" t="n">
        <x:f>K768*'Inputs'!$B$16+(G768+R768)*J768*'Inputs'!$B$16</x:f>
        <x:v>26.025396161805233</x:v>
      </x:c>
      <x:c r="AA768" s="80" t="n">
        <x:f>K768*(1+'Inputs'!$E$46)/2*'Inputs'!$B$17</x:f>
        <x:v>8.614361277347086</x:v>
      </x:c>
      <x:c r="AB768" s="78" t="n">
        <x:f>(IF(J768&gt;0,K768*(1-'Inputs'!$E$46)/2/J768,0)+G768+R768)*'Inputs'!$B$17</x:f>
        <x:v>55400.3266842811</x:v>
      </x:c>
      <x:c r="AC768" s="78" t="n">
        <x:f>AC767+AB768</x:f>
        <x:v>1285717.1535396795</x:v>
      </x:c>
      <x:c r="AD768" s="80" t="n">
        <x:f>Z768/(1+'Inputs'!$C$46)</x:f>
        <x:v>13.012698080902616</x:v>
      </x:c>
      <x:c r="AE768" s="80" t="n">
        <x:f>Z768-AD768</x:f>
        <x:v>13.012698080902616</x:v>
      </x:c>
      <x:c r="AF768" s="80" t="n">
        <x:f>D768*W768</x:f>
        <x:v>45.520303931047884</x:v>
      </x:c>
      <x:c r="AG768" s="80" t="n">
        <x:f>C768*W768</x:f>
        <x:v>106.21404250577811</x:v>
      </x:c>
      <x:c r="AH768" s="80" t="n">
        <x:f>2*'Inputs'!$B$8*'Inputs'!$C$46</x:f>
        <x:v>5000</x:v>
      </x:c>
      <x:c r="AI768" s="81" t="n">
        <x:f>IF(AH768&gt;0,(AE768+AF768)/AH768*365,0)</x:f>
        <x:v>4.2729091468723865</x:v>
      </x:c>
      <x:c r="AJ768" s="81" t="n">
        <x:f>IF('Inputs'!$B$46&gt;0,AG768/('Inputs'!$B$19*'Inputs'!$B$46)*365,0)</x:f>
        <x:v>3.876812551460901</x:v>
      </x:c>
      <x:c r="AK768" s="81" t="n">
        <x:f>W768/MAX($W$734:W768)-1</x:f>
        <x:v>-0.820158631602328</x:v>
      </x:c>
      <x:c r="AL768" s="83" t="n">
        <x:f>'Inputs'!$B$46</x:f>
        <x:v>1</x:v>
      </x:c>
      <x:c r="AM768" s="83" t="n">
        <x:f>'Inputs'!$C$46</x:f>
        <x:v>1</x:v>
      </x:c>
      <x:c r="AN768" s="83" t="n">
        <x:f>'Inputs'!$D$46</x:f>
        <x:v>1</x:v>
      </x:c>
      <x:c r="AO768" s="81" t="n">
        <x:f>'Inputs'!$E$46</x:f>
        <x:v>0</x:v>
      </x:c>
    </x:row>
    <x:row r="769">
      <x:c r="A769" s="59" t="str">
        <x:v>Base</x:v>
      </x:c>
      <x:c r="B769" s="59" t="n">
        <x:v>36</x:v>
      </x:c>
      <x:c r="C769" s="78" t="n">
        <x:f>(('Inputs'!$B$29*(3*36*'Inputs'!$B$12-36^2)/(2*'Inputs'!$B$12^2))-('Inputs'!$B$29*(3*35*'Inputs'!$B$12-35^2)/(2*'Inputs'!$B$12^2)))*'Inputs'!$B$46</x:f>
        <x:v>700444.9709138684</x:v>
      </x:c>
      <x:c r="D769" s="78" t="n">
        <x:f>IF('Inputs'!$C$46&gt;0,('Inputs'!$B$30*(3*36*'Inputs'!$B$12-36^2)/(2*'Inputs'!$B$12^2))-('Inputs'!$B$30*(3*35*'Inputs'!$B$12-35^2)/(2*'Inputs'!$B$12^2)),0)</x:f>
        <x:v>300190.7018202301</x:v>
      </x:c>
      <x:c r="E769" s="78" t="n">
        <x:f>C769+D769</x:f>
        <x:v>1000635.6727340985</x:v>
      </x:c>
      <x:c r="F769" s="78" t="n">
        <x:f>'Inputs'!$B$13*E769+(1-'Inputs'!$B$13)/'Inputs'!$B$14*SUM(E734:E769)</x:f>
        <x:v>718919.7249550978</x:v>
      </x:c>
      <x:c r="G769" s="78" t="n">
        <x:f>F769*'Inputs'!$F$46</x:f>
        <x:v>359459.8624775489</x:v>
      </x:c>
      <x:c r="H769" s="78" t="n">
        <x:f>U768</x:f>
        <x:v>13765563.23774888</x:v>
      </x:c>
      <x:c r="I769" s="78" t="n">
        <x:f>V768</x:f>
        <x:v>2086.413451505596</x:v>
      </x:c>
      <x:c r="J769" s="79" t="n">
        <x:f>IF(H769&gt;0,I769/H769,0)</x:f>
        <x:v>0.00015156760500609876</x:v>
      </x:c>
      <x:c r="K769" s="80" t="n">
        <x:f>(H769*J769+I769)*'Inputs'!$D$46*(1+'Inputs'!$G$46)^(B769/30)</x:f>
        <x:v>4172.826903011192</x:v>
      </x:c>
      <x:c r="L769" s="80" t="n">
        <x:f>MAX(0,K769*'Inputs'!$E$46)</x:f>
        <x:v>0</x:v>
      </x:c>
      <x:c r="M769" s="80" t="n">
        <x:f>MAX(0,-K769*'Inputs'!$E$46)</x:f>
        <x:v>0</x:v>
      </x:c>
      <x:c r="N769" s="78" t="n">
        <x:f>H769*(L769*(1-'Inputs'!$B$15))/(I769+L769*(1-'Inputs'!$B$15))</x:f>
        <x:v>0</x:v>
      </x:c>
      <x:c r="O769" s="78" t="n">
        <x:f>H769-N769</x:f>
        <x:v>13765563.23774888</x:v>
      </x:c>
      <x:c r="P769" s="78" t="n">
        <x:f>I769+L769*(1-'Inputs'!$B$17)</x:f>
        <x:v>2086.413451505596</x:v>
      </x:c>
      <x:c r="Q769" s="78" t="n">
        <x:f>IF(J769&gt;0,M769/J769,0)</x:f>
        <x:v>0</x:v>
      </x:c>
      <x:c r="R769" s="78" t="n">
        <x:f>IF(B769='Inputs'!$H$46,'Inputs'!$B$27*'Inputs'!$I$46,0)</x:f>
        <x:v>0</x:v>
      </x:c>
      <x:c r="S769" s="78" t="n">
        <x:f>Q769+G769+R769</x:f>
        <x:v>359459.8624775489</x:v>
      </x:c>
      <x:c r="T769" s="78" t="n">
        <x:f>P769*(S769*(1-'Inputs'!$B$15))/(O769+S769*(1-'Inputs'!$B$15))</x:f>
        <x:v>52.57839696187976</x:v>
      </x:c>
      <x:c r="U769" s="78" t="n">
        <x:f>O769+S769*(1-'Inputs'!$B$17)</x:f>
        <x:v>14123576.58166515</x:v>
      </x:c>
      <x:c r="V769" s="78" t="n">
        <x:f>P769-T769</x:f>
        <x:v>2033.8350545437165</x:v>
      </x:c>
      <x:c r="W769" s="79" t="n">
        <x:f>IF(U769&gt;0,V769/U769,0)</x:f>
        <x:v>0.00014400283404020952</x:v>
      </x:c>
      <x:c r="X769" s="80" t="n">
        <x:f>W769*('Inputs'!$B$6-AC769)</x:f>
        <x:v>143809.50184118559</x:v>
      </x:c>
      <x:c r="Y769" s="80" t="n">
        <x:f>2*V769</x:f>
        <x:v>4067.670109087433</x:v>
      </x:c>
      <x:c r="Z769" s="80" t="n">
        <x:f>K769*'Inputs'!$B$16+(G769+R769)*J769*'Inputs'!$B$16</x:f>
        <x:v>25.363856240776418</x:v>
      </x:c>
      <x:c r="AA769" s="80" t="n">
        <x:f>K769*(1+'Inputs'!$E$46)/2*'Inputs'!$B$17</x:f>
        <x:v>8.396029985938014</x:v>
      </x:c>
      <x:c r="AB769" s="78" t="n">
        <x:f>(IF(J769&gt;0,K769*(1-'Inputs'!$E$46)/2/J769,0)+G769+R769)*'Inputs'!$B$17</x:f>
        <x:v>56841.13923632366</x:v>
      </x:c>
      <x:c r="AC769" s="78" t="n">
        <x:f>AC768+AB769</x:f>
        <x:v>1342558.2927760032</x:v>
      </x:c>
      <x:c r="AD769" s="80" t="n">
        <x:f>Z769/(1+'Inputs'!$C$46)</x:f>
        <x:v>12.681928120388209</x:v>
      </x:c>
      <x:c r="AE769" s="80" t="n">
        <x:f>Z769-AD769</x:f>
        <x:v>12.681928120388209</x:v>
      </x:c>
      <x:c r="AF769" s="80" t="n">
        <x:f>D769*W769</x:f>
        <x:v>43.22831181463262</x:v>
      </x:c>
      <x:c r="AG769" s="80" t="n">
        <x:f>C769*W769</x:f>
        <x:v>100.86606090080917</x:v>
      </x:c>
      <x:c r="AH769" s="80" t="n">
        <x:f>2*'Inputs'!$B$8*'Inputs'!$C$46</x:f>
        <x:v>5000</x:v>
      </x:c>
      <x:c r="AI769" s="81" t="n">
        <x:f>IF(AH769&gt;0,(AE769+AF769)/AH769*365,0)</x:f>
        <x:v>4.08144751525652</x:v>
      </x:c>
      <x:c r="AJ769" s="81" t="n">
        <x:f>IF('Inputs'!$B$46&gt;0,AG769/('Inputs'!$B$19*'Inputs'!$B$46)*365,0)</x:f>
        <x:v>3.681611222879535</x:v>
      </x:c>
      <x:c r="AK769" s="81" t="n">
        <x:f>W769/MAX($W$734:W769)-1</x:f>
        <x:v>-0.8291345520311411</x:v>
      </x:c>
      <x:c r="AL769" s="83" t="n">
        <x:f>'Inputs'!$B$46</x:f>
        <x:v>1</x:v>
      </x:c>
      <x:c r="AM769" s="83" t="n">
        <x:f>'Inputs'!$C$46</x:f>
        <x:v>1</x:v>
      </x:c>
      <x:c r="AN769" s="83" t="n">
        <x:f>'Inputs'!$D$46</x:f>
        <x:v>1</x:v>
      </x:c>
      <x:c r="AO769" s="81" t="n">
        <x:f>'Inputs'!$E$46</x:f>
        <x:v>0</x:v>
      </x:c>
    </x:row>
    <x:row r="770">
      <x:c r="A770" s="59" t="str">
        <x:v>Base</x:v>
      </x:c>
      <x:c r="B770" s="59" t="n">
        <x:v>37</x:v>
      </x:c>
      <x:c r="C770" s="78" t="n">
        <x:f>(('Inputs'!$B$29*(3*37*'Inputs'!$B$12-37^2)/(2*'Inputs'!$B$12^2))-('Inputs'!$B$29*(3*36*'Inputs'!$B$12-36^2)/(2*'Inputs'!$B$12^2)))*'Inputs'!$B$46</x:f>
        <x:v>700119.8630136997</x:v>
      </x:c>
      <x:c r="D770" s="78" t="n">
        <x:f>IF('Inputs'!$C$46&gt;0,('Inputs'!$B$30*(3*37*'Inputs'!$B$12-37^2)/(2*'Inputs'!$B$12^2))-('Inputs'!$B$30*(3*36*'Inputs'!$B$12-36^2)/(2*'Inputs'!$B$12^2)),0)</x:f>
        <x:v>300051.3698630128</x:v>
      </x:c>
      <x:c r="E770" s="78" t="n">
        <x:f>C770+D770</x:f>
        <x:v>1000171.2328767125</x:v>
      </x:c>
      <x:c r="F770" s="78" t="n">
        <x:f>'Inputs'!$B$13*E770+(1-'Inputs'!$B$13)/'Inputs'!$B$14*SUM(E734:E770)</x:f>
        <x:v>733114.9974532878</x:v>
      </x:c>
      <x:c r="G770" s="78" t="n">
        <x:f>F770*'Inputs'!$F$46</x:f>
        <x:v>366557.4987266439</x:v>
      </x:c>
      <x:c r="H770" s="78" t="n">
        <x:f>U769</x:f>
        <x:v>14123576.58166515</x:v>
      </x:c>
      <x:c r="I770" s="78" t="n">
        <x:f>V769</x:f>
        <x:v>2033.8350545437165</x:v>
      </x:c>
      <x:c r="J770" s="79" t="n">
        <x:f>IF(H770&gt;0,I770/H770,0)</x:f>
        <x:v>0.00014400283404020952</x:v>
      </x:c>
      <x:c r="K770" s="80" t="n">
        <x:f>(H770*J770+I770)*'Inputs'!$D$46*(1+'Inputs'!$G$46)^(B770/30)</x:f>
        <x:v>4067.670109087433</x:v>
      </x:c>
      <x:c r="L770" s="80" t="n">
        <x:f>MAX(0,K770*'Inputs'!$E$46)</x:f>
        <x:v>0</x:v>
      </x:c>
      <x:c r="M770" s="80" t="n">
        <x:f>MAX(0,-K770*'Inputs'!$E$46)</x:f>
        <x:v>0</x:v>
      </x:c>
      <x:c r="N770" s="78" t="n">
        <x:f>H770*(L770*(1-'Inputs'!$B$15))/(I770+L770*(1-'Inputs'!$B$15))</x:f>
        <x:v>0</x:v>
      </x:c>
      <x:c r="O770" s="78" t="n">
        <x:f>H770-N770</x:f>
        <x:v>14123576.58166515</x:v>
      </x:c>
      <x:c r="P770" s="78" t="n">
        <x:f>I770+L770*(1-'Inputs'!$B$17)</x:f>
        <x:v>2033.8350545437165</x:v>
      </x:c>
      <x:c r="Q770" s="78" t="n">
        <x:f>IF(J770&gt;0,M770/J770,0)</x:f>
        <x:v>0</x:v>
      </x:c>
      <x:c r="R770" s="78" t="n">
        <x:f>IF(B770='Inputs'!$H$46,'Inputs'!$B$27*'Inputs'!$I$46,0)</x:f>
        <x:v>0</x:v>
      </x:c>
      <x:c r="S770" s="78" t="n">
        <x:f>Q770+G770+R770</x:f>
        <x:v>366557.4987266439</x:v>
      </x:c>
      <x:c r="T770" s="78" t="n">
        <x:f>P770*(S770*(1-'Inputs'!$B$15))/(O770+S770*(1-'Inputs'!$B$15))</x:f>
        <x:v>50.94839471998292</x:v>
      </x:c>
      <x:c r="U770" s="78" t="n">
        <x:f>O770+S770*(1-'Inputs'!$B$17)</x:f>
        <x:v>14488658.999914022</x:v>
      </x:c>
      <x:c r="V770" s="78" t="n">
        <x:f>P770-T770</x:f>
        <x:v>1982.8866598237337</x:v>
      </x:c>
      <x:c r="W770" s="79" t="n">
        <x:f>IF(U770&gt;0,V770/U770,0)</x:f>
        <x:v>0.00013685784583897657</x:v>
      </x:c>
      <x:c r="X770" s="80" t="n">
        <x:f>W770*('Inputs'!$B$6-AC770)</x:f>
        <x:v>136666.125967556</x:v>
      </x:c>
      <x:c r="Y770" s="80" t="n">
        <x:f>2*V770</x:f>
        <x:v>3965.7733196474674</x:v>
      </x:c>
      <x:c r="Z770" s="80" t="n">
        <x:f>K770*'Inputs'!$B$16+(G770+R770)*J770*'Inputs'!$B$16</x:f>
        <x:v>24.722732566456564</x:v>
      </x:c>
      <x:c r="AA770" s="80" t="n">
        <x:f>K770*(1+'Inputs'!$E$46)/2*'Inputs'!$B$17</x:f>
        <x:v>8.1844468995723</x:v>
      </x:c>
      <x:c r="AB770" s="78" t="n">
        <x:f>(IF(J770&gt;0,K770*(1-'Inputs'!$E$46)/2/J770,0)+G770+R770)*'Inputs'!$B$17</x:f>
        <x:v>58310.39871385029</x:v>
      </x:c>
      <x:c r="AC770" s="78" t="n">
        <x:f>AC769+AB770</x:f>
        <x:v>1400868.6914898534</x:v>
      </x:c>
      <x:c r="AD770" s="80" t="n">
        <x:f>Z770/(1+'Inputs'!$C$46)</x:f>
        <x:v>12.361366283228282</x:v>
      </x:c>
      <x:c r="AE770" s="80" t="n">
        <x:f>Z770-AD770</x:f>
        <x:v>12.361366283228282</x:v>
      </x:c>
      <x:c r="AF770" s="80" t="n">
        <x:f>D770*W770</x:f>
        <x:v>41.06438412048595</x:v>
      </x:c>
      <x:c r="AG770" s="80" t="n">
        <x:f>C770*W770</x:f>
        <x:v>95.8168962811343</x:v>
      </x:c>
      <x:c r="AH770" s="80" t="n">
        <x:f>2*'Inputs'!$B$8*'Inputs'!$C$46</x:f>
        <x:v>5000</x:v>
      </x:c>
      <x:c r="AI770" s="81" t="n">
        <x:f>IF(AH770&gt;0,(AE770+AF770)/AH770*365,0)</x:f>
        <x:v>3.9000797794711395</x:v>
      </x:c>
      <x:c r="AJ770" s="81" t="n">
        <x:f>IF('Inputs'!$B$46&gt;0,AG770/('Inputs'!$B$19*'Inputs'!$B$46)*365,0)</x:f>
        <x:v>3.497316714261402</x:v>
      </x:c>
      <x:c r="AK770" s="81" t="n">
        <x:f>W770/MAX($W$734:W770)-1</x:f>
        <x:v>-0.8376123824701933</x:v>
      </x:c>
      <x:c r="AL770" s="83" t="n">
        <x:f>'Inputs'!$B$46</x:f>
        <x:v>1</x:v>
      </x:c>
      <x:c r="AM770" s="83" t="n">
        <x:f>'Inputs'!$C$46</x:f>
        <x:v>1</x:v>
      </x:c>
      <x:c r="AN770" s="83" t="n">
        <x:f>'Inputs'!$D$46</x:f>
        <x:v>1</x:v>
      </x:c>
      <x:c r="AO770" s="81" t="n">
        <x:f>'Inputs'!$E$46</x:f>
        <x:v>0</x:v>
      </x:c>
    </x:row>
    <x:row r="771">
      <x:c r="A771" s="59" t="str">
        <x:v>Base</x:v>
      </x:c>
      <x:c r="B771" s="59" t="n">
        <x:v>38</x:v>
      </x:c>
      <x:c r="C771" s="78" t="n">
        <x:f>(('Inputs'!$B$29*(3*38*'Inputs'!$B$12-38^2)/(2*'Inputs'!$B$12^2))-('Inputs'!$B$29*(3*37*'Inputs'!$B$12-37^2)/(2*'Inputs'!$B$12^2)))*'Inputs'!$B$46</x:f>
        <x:v>699794.7551135309</x:v>
      </x:c>
      <x:c r="D771" s="78" t="n">
        <x:f>IF('Inputs'!$C$46&gt;0,('Inputs'!$B$30*(3*38*'Inputs'!$B$12-38^2)/(2*'Inputs'!$B$12^2))-('Inputs'!$B$30*(3*37*'Inputs'!$B$12-37^2)/(2*'Inputs'!$B$12^2)),0)</x:f>
        <x:v>299912.0379057992</x:v>
      </x:c>
      <x:c r="E771" s="78" t="n">
        <x:f>C771+D771</x:f>
        <x:v>999706.7930193301</x:v>
      </x:c>
      <x:c r="F771" s="78" t="n">
        <x:f>'Inputs'!$B$13*E771+(1-'Inputs'!$B$13)/'Inputs'!$B$14*SUM(E734:E771)</x:f>
        <x:v>747303.6350963733</x:v>
      </x:c>
      <x:c r="G771" s="78" t="n">
        <x:f>F771*'Inputs'!$F$46</x:f>
        <x:v>373651.81754818663</x:v>
      </x:c>
      <x:c r="H771" s="78" t="n">
        <x:f>U770</x:f>
        <x:v>14488658.999914022</x:v>
      </x:c>
      <x:c r="I771" s="78" t="n">
        <x:f>V770</x:f>
        <x:v>1982.8866598237337</x:v>
      </x:c>
      <x:c r="J771" s="79" t="n">
        <x:f>IF(H771&gt;0,I771/H771,0)</x:f>
        <x:v>0.00013685784583897657</x:v>
      </x:c>
      <x:c r="K771" s="80" t="n">
        <x:f>(H771*J771+I771)*'Inputs'!$D$46*(1+'Inputs'!$G$46)^(B771/30)</x:f>
        <x:v>3965.7733196474674</x:v>
      </x:c>
      <x:c r="L771" s="80" t="n">
        <x:f>MAX(0,K771*'Inputs'!$E$46)</x:f>
        <x:v>0</x:v>
      </x:c>
      <x:c r="M771" s="80" t="n">
        <x:f>MAX(0,-K771*'Inputs'!$E$46)</x:f>
        <x:v>0</x:v>
      </x:c>
      <x:c r="N771" s="78" t="n">
        <x:f>H771*(L771*(1-'Inputs'!$B$15))/(I771+L771*(1-'Inputs'!$B$15))</x:f>
        <x:v>0</x:v>
      </x:c>
      <x:c r="O771" s="78" t="n">
        <x:f>H771-N771</x:f>
        <x:v>14488658.999914022</x:v>
      </x:c>
      <x:c r="P771" s="78" t="n">
        <x:f>I771+L771*(1-'Inputs'!$B$17)</x:f>
        <x:v>1982.8866598237337</x:v>
      </x:c>
      <x:c r="Q771" s="78" t="n">
        <x:f>IF(J771&gt;0,M771/J771,0)</x:f>
        <x:v>0</x:v>
      </x:c>
      <x:c r="R771" s="78" t="n">
        <x:f>IF(B771='Inputs'!$H$46,'Inputs'!$B$27*'Inputs'!$I$46,0)</x:f>
        <x:v>0</x:v>
      </x:c>
      <x:c r="S771" s="78" t="n">
        <x:f>Q771+G771+R771</x:f>
        <x:v>373651.81754818663</x:v>
      </x:c>
      <x:c r="T771" s="78" t="n">
        <x:f>P771*(S771*(1-'Inputs'!$B$15))/(O771+S771*(1-'Inputs'!$B$15))</x:f>
        <x:v>49.365443656734286</x:v>
      </x:c>
      <x:c r="U771" s="78" t="n">
        <x:f>O771+S771*(1-'Inputs'!$B$17)</x:f>
        <x:v>14860807.18841775</x:v>
      </x:c>
      <x:c r="V771" s="78" t="n">
        <x:f>P771-T771</x:f>
        <x:v>1933.5212161669995</x:v>
      </x:c>
      <x:c r="W771" s="79" t="n">
        <x:f>IF(U771&gt;0,V771/U771,0)</x:f>
        <x:v>0.0001301087613648572</x:v>
      </x:c>
      <x:c r="X771" s="80" t="n">
        <x:f>W771*('Inputs'!$B$6-AC771)</x:f>
        <x:v>129918.71451782626</x:v>
      </x:c>
      <x:c r="Y771" s="80" t="n">
        <x:f>2*V771</x:f>
        <x:v>3867.042432333999</x:v>
      </x:c>
      <x:c r="Z771" s="80" t="n">
        <x:f>K771*'Inputs'!$B$16+(G771+R771)*J771*'Inputs'!$B$16</x:f>
        <x:v>24.101463014945583</x:v>
      </x:c>
      <x:c r="AA771" s="80" t="n">
        <x:f>K771*(1+'Inputs'!$E$46)/2*'Inputs'!$B$17</x:f>
        <x:v>7.979423178365126</x:v>
      </x:c>
      <x:c r="AB771" s="78" t="n">
        <x:f>(IF(J771&gt;0,K771*(1-'Inputs'!$E$46)/2/J771,0)+G771+R771)*'Inputs'!$B$17</x:f>
        <x:v>59808.09182077349</x:v>
      </x:c>
      <x:c r="AC771" s="78" t="n">
        <x:f>AC770+AB771</x:f>
        <x:v>1460676.7833106269</x:v>
      </x:c>
      <x:c r="AD771" s="80" t="n">
        <x:f>Z771/(1+'Inputs'!$C$46)</x:f>
        <x:v>12.050731507472792</x:v>
      </x:c>
      <x:c r="AE771" s="80" t="n">
        <x:f>Z771-AD771</x:f>
        <x:v>12.050731507472792</x:v>
      </x:c>
      <x:c r="AF771" s="80" t="n">
        <x:f>D771*W771</x:f>
        <x:v>39.02118377033364</x:v>
      </x:c>
      <x:c r="AG771" s="80" t="n">
        <x:f>C771*W771</x:f>
        <x:v>91.04942879744509</x:v>
      </x:c>
      <x:c r="AH771" s="80" t="n">
        <x:f>2*'Inputs'!$B$8*'Inputs'!$C$46</x:f>
        <x:v>5000</x:v>
      </x:c>
      <x:c r="AI771" s="81" t="n">
        <x:f>IF(AH771&gt;0,(AE771+AF771)/AH771*365,0)</x:f>
        <x:v>3.7282498152798698</x:v>
      </x:c>
      <x:c r="AJ771" s="81" t="n">
        <x:f>IF('Inputs'!$B$46&gt;0,AG771/('Inputs'!$B$19*'Inputs'!$B$46)*365,0)</x:f>
        <x:v>3.323304151106746</x:v>
      </x:c>
      <x:c r="AK771" s="81" t="n">
        <x:f>W771/MAX($W$734:W771)-1</x:f>
        <x:v>-0.8456204564066276</x:v>
      </x:c>
      <x:c r="AL771" s="83" t="n">
        <x:f>'Inputs'!$B$46</x:f>
        <x:v>1</x:v>
      </x:c>
      <x:c r="AM771" s="83" t="n">
        <x:f>'Inputs'!$C$46</x:f>
        <x:v>1</x:v>
      </x:c>
      <x:c r="AN771" s="83" t="n">
        <x:f>'Inputs'!$D$46</x:f>
        <x:v>1</x:v>
      </x:c>
      <x:c r="AO771" s="81" t="n">
        <x:f>'Inputs'!$E$46</x:f>
        <x:v>0</x:v>
      </x:c>
    </x:row>
    <x:row r="772">
      <x:c r="A772" s="59" t="str">
        <x:v>Base</x:v>
      </x:c>
      <x:c r="B772" s="59" t="n">
        <x:v>39</x:v>
      </x:c>
      <x:c r="C772" s="78" t="n">
        <x:f>(('Inputs'!$B$29*(3*39*'Inputs'!$B$12-39^2)/(2*'Inputs'!$B$12^2))-('Inputs'!$B$29*(3*38*'Inputs'!$B$12-38^2)/(2*'Inputs'!$B$12^2)))*'Inputs'!$B$46</x:f>
        <x:v>699469.6472133584</x:v>
      </x:c>
      <x:c r="D772" s="78" t="n">
        <x:f>IF('Inputs'!$C$46&gt;0,('Inputs'!$B$30*(3*39*'Inputs'!$B$12-39^2)/(2*'Inputs'!$B$12^2))-('Inputs'!$B$30*(3*38*'Inputs'!$B$12-38^2)/(2*'Inputs'!$B$12^2)),0)</x:f>
        <x:v>299772.7059485819</x:v>
      </x:c>
      <x:c r="E772" s="78" t="n">
        <x:f>C772+D772</x:f>
        <x:v>999242.3531619404</x:v>
      </x:c>
      <x:c r="F772" s="78" t="n">
        <x:f>'Inputs'!$B$13*E772+(1-'Inputs'!$B$13)/'Inputs'!$B$14*SUM(E734:E772)</x:f>
        <x:v>761485.6378843514</x:v>
      </x:c>
      <x:c r="G772" s="78" t="n">
        <x:f>F772*'Inputs'!$F$46</x:f>
        <x:v>380742.8189421757</x:v>
      </x:c>
      <x:c r="H772" s="78" t="n">
        <x:f>U771</x:f>
        <x:v>14860807.18841775</x:v>
      </x:c>
      <x:c r="I772" s="78" t="n">
        <x:f>V771</x:f>
        <x:v>1933.5212161669995</x:v>
      </x:c>
      <x:c r="J772" s="79" t="n">
        <x:f>IF(H772&gt;0,I772/H772,0)</x:f>
        <x:v>0.0001301087613648572</x:v>
      </x:c>
      <x:c r="K772" s="80" t="n">
        <x:f>(H772*J772+I772)*'Inputs'!$D$46*(1+'Inputs'!$G$46)^(B772/30)</x:f>
        <x:v>3867.042432333999</x:v>
      </x:c>
      <x:c r="L772" s="80" t="n">
        <x:f>MAX(0,K772*'Inputs'!$E$46)</x:f>
        <x:v>0</x:v>
      </x:c>
      <x:c r="M772" s="80" t="n">
        <x:f>MAX(0,-K772*'Inputs'!$E$46)</x:f>
        <x:v>0</x:v>
      </x:c>
      <x:c r="N772" s="78" t="n">
        <x:f>H772*(L772*(1-'Inputs'!$B$15))/(I772+L772*(1-'Inputs'!$B$15))</x:f>
        <x:v>0</x:v>
      </x:c>
      <x:c r="O772" s="78" t="n">
        <x:f>H772-N772</x:f>
        <x:v>14860807.18841775</x:v>
      </x:c>
      <x:c r="P772" s="78" t="n">
        <x:f>I772+L772*(1-'Inputs'!$B$17)</x:f>
        <x:v>1933.5212161669995</x:v>
      </x:c>
      <x:c r="Q772" s="78" t="n">
        <x:f>IF(J772&gt;0,M772/J772,0)</x:f>
        <x:v>0</x:v>
      </x:c>
      <x:c r="R772" s="78" t="n">
        <x:f>IF(B772='Inputs'!$H$46,'Inputs'!$B$27*'Inputs'!$I$46,0)</x:f>
        <x:v>0</x:v>
      </x:c>
      <x:c r="S772" s="78" t="n">
        <x:f>Q772+G772+R772</x:f>
        <x:v>380742.8189421757</x:v>
      </x:c>
      <x:c r="T772" s="78" t="n">
        <x:f>P772*(S772*(1-'Inputs'!$B$15))/(O772+S772*(1-'Inputs'!$B$15))</x:f>
        <x:v>47.829432171987925</x:v>
      </x:c>
      <x:c r="U772" s="78" t="n">
        <x:f>O772+S772*(1-'Inputs'!$B$17)</x:f>
        <x:v>15240017.843098588</x:v>
      </x:c>
      <x:c r="V772" s="78" t="n">
        <x:f>P772-T772</x:f>
        <x:v>1885.6917839950115</x:v>
      </x:c>
      <x:c r="W772" s="79" t="n">
        <x:f>IF(U772&gt;0,V772/U772,0)</x:f>
        <x:v>0.0001237329118252275</x:v>
      </x:c>
      <x:c r="X772" s="80" t="n">
        <x:f>W772*('Inputs'!$B$6-AC772)</x:f>
        <x:v>123544.58897378155</x:v>
      </x:c>
      <x:c r="Y772" s="80" t="n">
        <x:f>2*V772</x:f>
        <x:v>3771.383567990023</x:v>
      </x:c>
      <x:c r="Z772" s="80" t="n">
        <x:f>K772*'Inputs'!$B$16+(G772+R772)*J772*'Inputs'!$B$16</x:f>
        <x:v>23.499482453430776</x:v>
      </x:c>
      <x:c r="AA772" s="80" t="n">
        <x:f>K772*(1+'Inputs'!$E$46)/2*'Inputs'!$B$17</x:f>
        <x:v>7.780769481557343</x:v>
      </x:c>
      <x:c r="AB772" s="78" t="n">
        <x:f>(IF(J772&gt;0,K772*(1-'Inputs'!$E$46)/2/J772,0)+G772+R772)*'Inputs'!$B$17</x:f>
        <x:v>61334.20526100574</x:v>
      </x:c>
      <x:c r="AC772" s="78" t="n">
        <x:f>AC771+AB772</x:f>
        <x:v>1522010.9885716327</x:v>
      </x:c>
      <x:c r="AD772" s="80" t="n">
        <x:f>Z772/(1+'Inputs'!$C$46)</x:f>
        <x:v>11.749741226715388</x:v>
      </x:c>
      <x:c r="AE772" s="80" t="n">
        <x:f>Z772-AD772</x:f>
        <x:v>11.749741226715388</x:v>
      </x:c>
      <x:c r="AF772" s="80" t="n">
        <x:f>D772*W772</x:f>
        <x:v>37.09174979274574</x:v>
      </x:c>
      <x:c r="AG772" s="80" t="n">
        <x:f>C772*W772</x:f>
        <x:v>86.54741618307347</x:v>
      </x:c>
      <x:c r="AH772" s="80" t="n">
        <x:f>2*'Inputs'!$B$8*'Inputs'!$C$46</x:f>
        <x:v>5000</x:v>
      </x:c>
      <x:c r="AI772" s="81" t="n">
        <x:f>IF(AH772&gt;0,(AE772+AF772)/AH772*365,0)</x:f>
        <x:v>3.5654288444206617</x:v>
      </x:c>
      <x:c r="AJ772" s="81" t="n">
        <x:f>IF('Inputs'!$B$46&gt;0,AG772/('Inputs'!$B$19*'Inputs'!$B$46)*365,0)</x:f>
        <x:v>3.158980690682182</x:v>
      </x:c>
      <x:c r="AK772" s="81" t="n">
        <x:f>W772/MAX($W$734:W772)-1</x:f>
        <x:v>-0.8531856713208471</x:v>
      </x:c>
      <x:c r="AL772" s="83" t="n">
        <x:f>'Inputs'!$B$46</x:f>
        <x:v>1</x:v>
      </x:c>
      <x:c r="AM772" s="83" t="n">
        <x:f>'Inputs'!$C$46</x:f>
        <x:v>1</x:v>
      </x:c>
      <x:c r="AN772" s="83" t="n">
        <x:f>'Inputs'!$D$46</x:f>
        <x:v>1</x:v>
      </x:c>
      <x:c r="AO772" s="81" t="n">
        <x:f>'Inputs'!$E$46</x:f>
        <x:v>0</x:v>
      </x:c>
    </x:row>
    <x:row r="773">
      <x:c r="A773" s="59" t="str">
        <x:v>Base</x:v>
      </x:c>
      <x:c r="B773" s="59" t="n">
        <x:v>40</x:v>
      </x:c>
      <x:c r="C773" s="78" t="n">
        <x:f>(('Inputs'!$B$29*(3*40*'Inputs'!$B$12-40^2)/(2*'Inputs'!$B$12^2))-('Inputs'!$B$29*(3*39*'Inputs'!$B$12-39^2)/(2*'Inputs'!$B$12^2)))*'Inputs'!$B$46</x:f>
        <x:v>699144.5393131934</x:v>
      </x:c>
      <x:c r="D773" s="78" t="n">
        <x:f>IF('Inputs'!$C$46&gt;0,('Inputs'!$B$30*(3*40*'Inputs'!$B$12-40^2)/(2*'Inputs'!$B$12^2))-('Inputs'!$B$30*(3*39*'Inputs'!$B$12-39^2)/(2*'Inputs'!$B$12^2)),0)</x:f>
        <x:v>299633.37399136834</x:v>
      </x:c>
      <x:c r="E773" s="78" t="n">
        <x:f>C773+D773</x:f>
        <x:v>998777.9133045617</x:v>
      </x:c>
      <x:c r="F773" s="78" t="n">
        <x:f>'Inputs'!$B$13*E773+(1-'Inputs'!$B$13)/'Inputs'!$B$14*SUM(E734:E773)</x:f>
        <x:v>775661.0058172266</x:v>
      </x:c>
      <x:c r="G773" s="78" t="n">
        <x:f>F773*'Inputs'!$F$46</x:f>
        <x:v>387830.5029086133</x:v>
      </x:c>
      <x:c r="H773" s="78" t="n">
        <x:f>U772</x:f>
        <x:v>15240017.843098588</x:v>
      </x:c>
      <x:c r="I773" s="78" t="n">
        <x:f>V772</x:f>
        <x:v>1885.6917839950115</x:v>
      </x:c>
      <x:c r="J773" s="79" t="n">
        <x:f>IF(H773&gt;0,I773/H773,0)</x:f>
        <x:v>0.0001237329118252275</x:v>
      </x:c>
      <x:c r="K773" s="80" t="n">
        <x:f>(H773*J773+I773)*'Inputs'!$D$46*(1+'Inputs'!$G$46)^(B773/30)</x:f>
        <x:v>3771.383567990023</x:v>
      </x:c>
      <x:c r="L773" s="80" t="n">
        <x:f>MAX(0,K773*'Inputs'!$E$46)</x:f>
        <x:v>0</x:v>
      </x:c>
      <x:c r="M773" s="80" t="n">
        <x:f>MAX(0,-K773*'Inputs'!$E$46)</x:f>
        <x:v>0</x:v>
      </x:c>
      <x:c r="N773" s="78" t="n">
        <x:f>H773*(L773*(1-'Inputs'!$B$15))/(I773+L773*(1-'Inputs'!$B$15))</x:f>
        <x:v>0</x:v>
      </x:c>
      <x:c r="O773" s="78" t="n">
        <x:f>H773-N773</x:f>
        <x:v>15240017.843098588</x:v>
      </x:c>
      <x:c r="P773" s="78" t="n">
        <x:f>I773+L773*(1-'Inputs'!$B$17)</x:f>
        <x:v>1885.6917839950115</x:v>
      </x:c>
      <x:c r="Q773" s="78" t="n">
        <x:f>IF(J773&gt;0,M773/J773,0)</x:f>
        <x:v>0</x:v>
      </x:c>
      <x:c r="R773" s="78" t="n">
        <x:f>IF(B773='Inputs'!$H$46,'Inputs'!$B$27*'Inputs'!$I$46,0)</x:f>
        <x:v>0</x:v>
      </x:c>
      <x:c r="S773" s="78" t="n">
        <x:f>Q773+G773+R773</x:f>
        <x:v>387830.5029086133</x:v>
      </x:c>
      <x:c r="T773" s="78" t="n">
        <x:f>P773*(S773*(1-'Inputs'!$B$15))/(O773+S773*(1-'Inputs'!$B$15))</x:f>
        <x:v>46.34004693361057</x:v>
      </x:c>
      <x:c r="U773" s="78" t="n">
        <x:f>O773+S773*(1-'Inputs'!$B$17)</x:f>
        <x:v>15626287.659878796</x:v>
      </x:c>
      <x:c r="V773" s="78" t="n">
        <x:f>P773-T773</x:f>
        <x:v>1839.3517370614009</x:v>
      </x:c>
      <x:c r="W773" s="79" t="n">
        <x:f>IF(U773&gt;0,V773/U773,0)</x:f>
        <x:v>0.00011770881076149777</x:v>
      </x:c>
      <x:c r="X773" s="80" t="n">
        <x:f>W773*('Inputs'!$B$6-AC773)</x:f>
        <x:v>117522.25410095009</x:v>
      </x:c>
      <x:c r="Y773" s="80" t="n">
        <x:f>2*V773</x:f>
        <x:v>3678.7034741228017</x:v>
      </x:c>
      <x:c r="Z773" s="80" t="n">
        <x:f>K773*'Inputs'!$B$16+(G773+R773)*J773*'Inputs'!$B$16</x:f>
        <x:v>22.91622579245729</x:v>
      </x:c>
      <x:c r="AA773" s="80" t="n">
        <x:f>K773*(1+'Inputs'!$E$46)/2*'Inputs'!$B$17</x:f>
        <x:v>7.588296917484956</x:v>
      </x:c>
      <x:c r="AB773" s="78" t="n">
        <x:f>(IF(J773&gt;0,K773*(1-'Inputs'!$E$46)/2/J773,0)+G773+R773)*'Inputs'!$B$17</x:f>
        <x:v>62888.72573845957</x:v>
      </x:c>
      <x:c r="AC773" s="78" t="n">
        <x:f>AC772+AB773</x:f>
        <x:v>1584899.7143100922</x:v>
      </x:c>
      <x:c r="AD773" s="80" t="n">
        <x:f>Z773/(1+'Inputs'!$C$46)</x:f>
        <x:v>11.458112896228645</x:v>
      </x:c>
      <x:c r="AE773" s="80" t="n">
        <x:f>Z773-AD773</x:f>
        <x:v>11.458112896228645</x:v>
      </x:c>
      <x:c r="AF773" s="80" t="n">
        <x:f>D773*W773</x:f>
        <x:v>35.26948811697906</x:v>
      </x:c>
      <x:c r="AG773" s="80" t="n">
        <x:f>C773*W773</x:f>
        <x:v>82.29547227295122</x:v>
      </x:c>
      <x:c r="AH773" s="80" t="n">
        <x:f>2*'Inputs'!$B$8*'Inputs'!$C$46</x:f>
        <x:v>5000</x:v>
      </x:c>
      <x:c r="AI773" s="81" t="n">
        <x:f>IF(AH773&gt;0,(AE773+AF773)/AH773*365,0)</x:f>
        <x:v>3.4111148739641624</x:v>
      </x:c>
      <x:c r="AJ773" s="81" t="n">
        <x:f>IF('Inputs'!$B$46&gt;0,AG773/('Inputs'!$B$19*'Inputs'!$B$46)*365,0)</x:f>
        <x:v>3.0037847379627194</x:v>
      </x:c>
      <x:c r="AK773" s="81" t="n">
        <x:f>W773/MAX($W$734:W773)-1</x:f>
        <x:v>-0.8603335218039595</x:v>
      </x:c>
      <x:c r="AL773" s="83" t="n">
        <x:f>'Inputs'!$B$46</x:f>
        <x:v>1</x:v>
      </x:c>
      <x:c r="AM773" s="83" t="n">
        <x:f>'Inputs'!$C$46</x:f>
        <x:v>1</x:v>
      </x:c>
      <x:c r="AN773" s="83" t="n">
        <x:f>'Inputs'!$D$46</x:f>
        <x:v>1</x:v>
      </x:c>
      <x:c r="AO773" s="81" t="n">
        <x:f>'Inputs'!$E$46</x:f>
        <x:v>0</x:v>
      </x:c>
    </x:row>
    <x:row r="774">
      <x:c r="A774" s="59" t="str">
        <x:v>Base</x:v>
      </x:c>
      <x:c r="B774" s="59" t="n">
        <x:v>41</x:v>
      </x:c>
      <x:c r="C774" s="78" t="n">
        <x:f>(('Inputs'!$B$29*(3*41*'Inputs'!$B$12-41^2)/(2*'Inputs'!$B$12^2))-('Inputs'!$B$29*(3*40*'Inputs'!$B$12-40^2)/(2*'Inputs'!$B$12^2)))*'Inputs'!$B$46</x:f>
        <x:v>698819.4314130247</x:v>
      </x:c>
      <x:c r="D774" s="78" t="n">
        <x:f>IF('Inputs'!$C$46&gt;0,('Inputs'!$B$30*(3*41*'Inputs'!$B$12-41^2)/(2*'Inputs'!$B$12^2))-('Inputs'!$B$30*(3*40*'Inputs'!$B$12-40^2)/(2*'Inputs'!$B$12^2)),0)</x:f>
        <x:v>299494.0420341529</x:v>
      </x:c>
      <x:c r="E774" s="78" t="n">
        <x:f>C774+D774</x:f>
        <x:v>998313.4734471776</x:v>
      </x:c>
      <x:c r="F774" s="78" t="n">
        <x:f>'Inputs'!$B$13*E774+(1-'Inputs'!$B$13)/'Inputs'!$B$14*SUM(E734:E774)</x:f>
        <x:v>789829.7388949952</x:v>
      </x:c>
      <x:c r="G774" s="78" t="n">
        <x:f>F774*'Inputs'!$F$46</x:f>
        <x:v>394914.8694474976</x:v>
      </x:c>
      <x:c r="H774" s="78" t="n">
        <x:f>U773</x:f>
        <x:v>15626287.659878796</x:v>
      </x:c>
      <x:c r="I774" s="78" t="n">
        <x:f>V773</x:f>
        <x:v>1839.3517370614009</x:v>
      </x:c>
      <x:c r="J774" s="79" t="n">
        <x:f>IF(H774&gt;0,I774/H774,0)</x:f>
        <x:v>0.00011770881076149777</x:v>
      </x:c>
      <x:c r="K774" s="80" t="n">
        <x:f>(H774*J774+I774)*'Inputs'!$D$46*(1+'Inputs'!$G$46)^(B774/30)</x:f>
        <x:v>3678.7034741228017</x:v>
      </x:c>
      <x:c r="L774" s="80" t="n">
        <x:f>MAX(0,K774*'Inputs'!$E$46)</x:f>
        <x:v>0</x:v>
      </x:c>
      <x:c r="M774" s="80" t="n">
        <x:f>MAX(0,-K774*'Inputs'!$E$46)</x:f>
        <x:v>0</x:v>
      </x:c>
      <x:c r="N774" s="78" t="n">
        <x:f>H774*(L774*(1-'Inputs'!$B$15))/(I774+L774*(1-'Inputs'!$B$15))</x:f>
        <x:v>0</x:v>
      </x:c>
      <x:c r="O774" s="78" t="n">
        <x:f>H774-N774</x:f>
        <x:v>15626287.659878796</x:v>
      </x:c>
      <x:c r="P774" s="78" t="n">
        <x:f>I774+L774*(1-'Inputs'!$B$17)</x:f>
        <x:v>1839.3517370614009</x:v>
      </x:c>
      <x:c r="Q774" s="78" t="n">
        <x:f>IF(J774&gt;0,M774/J774,0)</x:f>
        <x:v>0</x:v>
      </x:c>
      <x:c r="R774" s="78" t="n">
        <x:f>IF(B774='Inputs'!$H$46,'Inputs'!$B$27*'Inputs'!$I$46,0)</x:f>
        <x:v>0</x:v>
      </x:c>
      <x:c r="S774" s="78" t="n">
        <x:f>Q774+G774+R774</x:f>
        <x:v>394914.8694474976</x:v>
      </x:c>
      <x:c r="T774" s="78" t="n">
        <x:f>P774*(S774*(1-'Inputs'!$B$15))/(O774+S774*(1-'Inputs'!$B$15))</x:f>
        <x:v>44.896803497415114</x:v>
      </x:c>
      <x:c r="U774" s="78" t="n">
        <x:f>O774+S774*(1-'Inputs'!$B$17)</x:f>
        <x:v>16019613.33468063</x:v>
      </x:c>
      <x:c r="V774" s="78" t="n">
        <x:f>P774-T774</x:f>
        <x:v>1794.4549335639858</x:v>
      </x:c>
      <x:c r="W774" s="79" t="n">
        <x:f>IF(U774&gt;0,V774/U774,0)</x:f>
        <x:v>0.0001120161202442506</x:v>
      </x:c>
      <x:c r="X774" s="80" t="n">
        <x:f>W774*('Inputs'!$B$6-AC774)</x:f>
        <x:v>111831.36406430359</x:v>
      </x:c>
      <x:c r="Y774" s="80" t="n">
        <x:f>2*V774</x:f>
        <x:v>3588.9098671279717</x:v>
      </x:c>
      <x:c r="Z774" s="80" t="n">
        <x:f>K774*'Inputs'!$B$16+(G774+R774)*J774*'Inputs'!$B$16</x:f>
        <x:v>22.351130602544995</x:v>
      </x:c>
      <x:c r="AA774" s="80" t="n">
        <x:f>K774*(1+'Inputs'!$E$46)/2*'Inputs'!$B$17</x:f>
        <x:v>7.401817855377871</x:v>
      </x:c>
      <x:c r="AB774" s="78" t="n">
        <x:f>(IF(J774&gt;0,K774*(1-'Inputs'!$E$46)/2/J774,0)+G774+R774)*'Inputs'!$B$17</x:f>
        <x:v>64471.63995704747</x:v>
      </x:c>
      <x:c r="AC774" s="78" t="n">
        <x:f>AC773+AB774</x:f>
        <x:v>1649371.3542671397</x:v>
      </x:c>
      <x:c r="AD774" s="80" t="n">
        <x:f>Z774/(1+'Inputs'!$C$46)</x:f>
        <x:v>11.175565301272497</x:v>
      </x:c>
      <x:c r="AE774" s="80" t="n">
        <x:f>Z774-AD774</x:f>
        <x:v>11.175565301272497</x:v>
      </x:c>
      <x:c r="AF774" s="80" t="n">
        <x:f>D774*W774</x:f>
        <x:v>33.54816062493431</x:v>
      </x:c>
      <x:c r="AG774" s="80" t="n">
        <x:f>C774*W774</x:f>
        <x:v>78.2790414581802</x:v>
      </x:c>
      <x:c r="AH774" s="80" t="n">
        <x:f>2*'Inputs'!$B$8*'Inputs'!$C$46</x:f>
        <x:v>5000</x:v>
      </x:c>
      <x:c r="AI774" s="81" t="n">
        <x:f>IF(AH774&gt;0,(AE774+AF774)/AH774*365,0)</x:f>
        <x:v>3.2648319926130975</x:v>
      </x:c>
      <x:c r="AJ774" s="81" t="n">
        <x:f>IF('Inputs'!$B$46&gt;0,AG774/('Inputs'!$B$19*'Inputs'!$B$46)*365,0)</x:f>
        <x:v>2.8571850132235777</x:v>
      </x:c>
      <x:c r="AK774" s="81" t="n">
        <x:f>W774/MAX($W$734:W774)-1</x:f>
        <x:v>-0.8670881396686739</x:v>
      </x:c>
      <x:c r="AL774" s="83" t="n">
        <x:f>'Inputs'!$B$46</x:f>
        <x:v>1</x:v>
      </x:c>
      <x:c r="AM774" s="83" t="n">
        <x:f>'Inputs'!$C$46</x:f>
        <x:v>1</x:v>
      </x:c>
      <x:c r="AN774" s="83" t="n">
        <x:f>'Inputs'!$D$46</x:f>
        <x:v>1</x:v>
      </x:c>
      <x:c r="AO774" s="81" t="n">
        <x:f>'Inputs'!$E$46</x:f>
        <x:v>0</x:v>
      </x:c>
    </x:row>
    <x:row r="775">
      <x:c r="A775" s="59" t="str">
        <x:v>Base</x:v>
      </x:c>
      <x:c r="B775" s="59" t="n">
        <x:v>42</x:v>
      </x:c>
      <x:c r="C775" s="78" t="n">
        <x:f>(('Inputs'!$B$29*(3*42*'Inputs'!$B$12-42^2)/(2*'Inputs'!$B$12^2))-('Inputs'!$B$29*(3*41*'Inputs'!$B$12-41^2)/(2*'Inputs'!$B$12^2)))*'Inputs'!$B$46</x:f>
        <x:v>698494.3235128522</x:v>
      </x:c>
      <x:c r="D775" s="78" t="n">
        <x:f>IF('Inputs'!$C$46&gt;0,('Inputs'!$B$30*(3*42*'Inputs'!$B$12-42^2)/(2*'Inputs'!$B$12^2))-('Inputs'!$B$30*(3*41*'Inputs'!$B$12-41^2)/(2*'Inputs'!$B$12^2)),0)</x:f>
        <x:v>299354.71007693745</x:v>
      </x:c>
      <x:c r="E775" s="78" t="n">
        <x:f>C775+D775</x:f>
        <x:v>997849.0335897896</x:v>
      </x:c>
      <x:c r="F775" s="78" t="n">
        <x:f>'Inputs'!$B$13*E775+(1-'Inputs'!$B$13)/'Inputs'!$B$14*SUM(E734:E775)</x:f>
        <x:v>803991.8371176574</x:v>
      </x:c>
      <x:c r="G775" s="78" t="n">
        <x:f>F775*'Inputs'!$F$46</x:f>
        <x:v>401995.9185588287</x:v>
      </x:c>
      <x:c r="H775" s="78" t="n">
        <x:f>U774</x:f>
        <x:v>16019613.33468063</x:v>
      </x:c>
      <x:c r="I775" s="78" t="n">
        <x:f>V774</x:f>
        <x:v>1794.4549335639858</x:v>
      </x:c>
      <x:c r="J775" s="79" t="n">
        <x:f>IF(H775&gt;0,I775/H775,0)</x:f>
        <x:v>0.0001120161202442506</x:v>
      </x:c>
      <x:c r="K775" s="80" t="n">
        <x:f>(H775*J775+I775)*'Inputs'!$D$46*(1+'Inputs'!$G$46)^(B775/30)</x:f>
        <x:v>3588.9098671279717</x:v>
      </x:c>
      <x:c r="L775" s="80" t="n">
        <x:f>MAX(0,K775*'Inputs'!$E$46)</x:f>
        <x:v>0</x:v>
      </x:c>
      <x:c r="M775" s="80" t="n">
        <x:f>MAX(0,-K775*'Inputs'!$E$46)</x:f>
        <x:v>0</x:v>
      </x:c>
      <x:c r="N775" s="78" t="n">
        <x:f>H775*(L775*(1-'Inputs'!$B$15))/(I775+L775*(1-'Inputs'!$B$15))</x:f>
        <x:v>0</x:v>
      </x:c>
      <x:c r="O775" s="78" t="n">
        <x:f>H775-N775</x:f>
        <x:v>16019613.33468063</x:v>
      </x:c>
      <x:c r="P775" s="78" t="n">
        <x:f>I775+L775*(1-'Inputs'!$B$17)</x:f>
        <x:v>1794.4549335639858</x:v>
      </x:c>
      <x:c r="Q775" s="78" t="n">
        <x:f>IF(J775&gt;0,M775/J775,0)</x:f>
        <x:v>0</x:v>
      </x:c>
      <x:c r="R775" s="78" t="n">
        <x:f>IF(B775='Inputs'!$H$46,'Inputs'!$B$27*'Inputs'!$I$46,0)</x:f>
        <x:v>0</x:v>
      </x:c>
      <x:c r="S775" s="78" t="n">
        <x:f>Q775+G775+R775</x:f>
        <x:v>401995.9185588287</x:v>
      </x:c>
      <x:c r="T775" s="78" t="n">
        <x:f>P775*(S775*(1-'Inputs'!$B$15))/(O775+S775*(1-'Inputs'!$B$15))</x:f>
        <x:v>43.499073520850146</x:v>
      </x:c>
      <x:c r="U775" s="78" t="n">
        <x:f>O775+S775*(1-'Inputs'!$B$17)</x:f>
        <x:v>16419991.563426344</x:v>
      </x:c>
      <x:c r="V775" s="78" t="n">
        <x:f>P775-T775</x:f>
        <x:v>1750.9558600431358</x:v>
      </x:c>
      <x:c r="W775" s="79" t="n">
        <x:f>IF(U775&gt;0,V775/U775,0)</x:f>
        <x:v>0.00010663561264813254</x:v>
      </x:c>
      <x:c r="X775" s="80" t="n">
        <x:f>W775*('Inputs'!$B$6-AC775)</x:f>
        <x:v>106452.68412906711</x:v>
      </x:c>
      <x:c r="Y775" s="80" t="n">
        <x:f>2*V775</x:f>
        <x:v>3501.9117200862715</x:v>
      </x:c>
      <x:c r="Z775" s="80" t="n">
        <x:f>K775*'Inputs'!$B$16+(G775+R775)*J775*'Inputs'!$B$16</x:f>
        <x:v>21.803639341673733</x:v>
      </x:c>
      <x:c r="AA775" s="80" t="n">
        <x:f>K775*(1+'Inputs'!$E$46)/2*'Inputs'!$B$17</x:f>
        <x:v>7.221146613939581</x:v>
      </x:c>
      <x:c r="AB775" s="78" t="n">
        <x:f>(IF(J775&gt;0,K775*(1-'Inputs'!$E$46)/2/J775,0)+G775+R775)*'Inputs'!$B$17</x:f>
        <x:v>66082.93462068193</x:v>
      </x:c>
      <x:c r="AC775" s="78" t="n">
        <x:f>AC774+AB775</x:f>
        <x:v>1715454.2888878216</x:v>
      </x:c>
      <x:c r="AD775" s="80" t="n">
        <x:f>Z775/(1+'Inputs'!$C$46)</x:f>
        <x:v>10.901819670836867</x:v>
      </x:c>
      <x:c r="AE775" s="80" t="n">
        <x:f>Z775-AD775</x:f>
        <x:v>10.901819670836867</x:v>
      </x:c>
      <x:c r="AF775" s="80" t="n">
        <x:f>D775*W775</x:f>
        <x:v>31.92187290815832</x:v>
      </x:c>
      <x:c r="AG775" s="80" t="n">
        <x:f>C775*W775</x:f>
        <x:v>74.48437011903589</x:v>
      </x:c>
      <x:c r="AH775" s="80" t="n">
        <x:f>2*'Inputs'!$B$8*'Inputs'!$C$46</x:f>
        <x:v>5000</x:v>
      </x:c>
      <x:c r="AI775" s="81" t="n">
        <x:f>IF(AH775&gt;0,(AE775+AF775)/AH775*365,0)</x:f>
        <x:v>3.1261295582666486</x:v>
      </x:c>
      <x:c r="AJ775" s="81" t="n">
        <x:f>IF('Inputs'!$B$46&gt;0,AG775/('Inputs'!$B$19*'Inputs'!$B$46)*365,0)</x:f>
        <x:v>2.7186795093448097</x:v>
      </x:c>
      <x:c r="AK775" s="81" t="n">
        <x:f>W775/MAX($W$734:W775)-1</x:f>
        <x:v>-0.8734723393050079</x:v>
      </x:c>
      <x:c r="AL775" s="83" t="n">
        <x:f>'Inputs'!$B$46</x:f>
        <x:v>1</x:v>
      </x:c>
      <x:c r="AM775" s="83" t="n">
        <x:f>'Inputs'!$C$46</x:f>
        <x:v>1</x:v>
      </x:c>
      <x:c r="AN775" s="83" t="n">
        <x:f>'Inputs'!$D$46</x:f>
        <x:v>1</x:v>
      </x:c>
      <x:c r="AO775" s="81" t="n">
        <x:f>'Inputs'!$E$46</x:f>
        <x:v>0</x:v>
      </x:c>
    </x:row>
    <x:row r="776">
      <x:c r="A776" s="59" t="str">
        <x:v>Base</x:v>
      </x:c>
      <x:c r="B776" s="59" t="n">
        <x:v>43</x:v>
      </x:c>
      <x:c r="C776" s="78" t="n">
        <x:f>(('Inputs'!$B$29*(3*43*'Inputs'!$B$12-43^2)/(2*'Inputs'!$B$12^2))-('Inputs'!$B$29*(3*42*'Inputs'!$B$12-42^2)/(2*'Inputs'!$B$12^2)))*'Inputs'!$B$46</x:f>
        <x:v>698169.2156126872</x:v>
      </x:c>
      <x:c r="D776" s="78" t="n">
        <x:f>IF('Inputs'!$C$46&gt;0,('Inputs'!$B$30*(3*43*'Inputs'!$B$12-43^2)/(2*'Inputs'!$B$12^2))-('Inputs'!$B$30*(3*42*'Inputs'!$B$12-42^2)/(2*'Inputs'!$B$12^2)),0)</x:f>
        <x:v>299215.378119722</x:v>
      </x:c>
      <x:c r="E776" s="78" t="n">
        <x:f>C776+D776</x:f>
        <x:v>997384.5937324092</x:v>
      </x:c>
      <x:c r="F776" s="78" t="n">
        <x:f>'Inputs'!$B$13*E776+(1-'Inputs'!$B$13)/'Inputs'!$B$14*SUM(E734:E776)</x:f>
        <x:v>818147.3004852157</x:v>
      </x:c>
      <x:c r="G776" s="78" t="n">
        <x:f>F776*'Inputs'!$F$46</x:f>
        <x:v>409073.65024260787</x:v>
      </x:c>
      <x:c r="H776" s="78" t="n">
        <x:f>U775</x:f>
        <x:v>16419991.563426344</x:v>
      </x:c>
      <x:c r="I776" s="78" t="n">
        <x:f>V775</x:f>
        <x:v>1750.9558600431358</x:v>
      </x:c>
      <x:c r="J776" s="79" t="n">
        <x:f>IF(H776&gt;0,I776/H776,0)</x:f>
        <x:v>0.00010663561264813254</x:v>
      </x:c>
      <x:c r="K776" s="80" t="n">
        <x:f>(H776*J776+I776)*'Inputs'!$D$46*(1+'Inputs'!$G$46)^(B776/30)</x:f>
        <x:v>3501.9117200862715</x:v>
      </x:c>
      <x:c r="L776" s="80" t="n">
        <x:f>MAX(0,K776*'Inputs'!$E$46)</x:f>
        <x:v>0</x:v>
      </x:c>
      <x:c r="M776" s="80" t="n">
        <x:f>MAX(0,-K776*'Inputs'!$E$46)</x:f>
        <x:v>0</x:v>
      </x:c>
      <x:c r="N776" s="78" t="n">
        <x:f>H776*(L776*(1-'Inputs'!$B$15))/(I776+L776*(1-'Inputs'!$B$15))</x:f>
        <x:v>0</x:v>
      </x:c>
      <x:c r="O776" s="78" t="n">
        <x:f>H776-N776</x:f>
        <x:v>16419991.563426344</x:v>
      </x:c>
      <x:c r="P776" s="78" t="n">
        <x:f>I776+L776*(1-'Inputs'!$B$17)</x:f>
        <x:v>1750.9558600431358</x:v>
      </x:c>
      <x:c r="Q776" s="78" t="n">
        <x:f>IF(J776&gt;0,M776/J776,0)</x:f>
        <x:v>0</x:v>
      </x:c>
      <x:c r="R776" s="78" t="n">
        <x:f>IF(B776='Inputs'!$H$46,'Inputs'!$B$27*'Inputs'!$I$46,0)</x:f>
        <x:v>0</x:v>
      </x:c>
      <x:c r="S776" s="78" t="n">
        <x:f>Q776+G776+R776</x:f>
        <x:v>409073.65024260787</x:v>
      </x:c>
      <x:c r="T776" s="78" t="n">
        <x:f>P776*(S776*(1-'Inputs'!$B$15))/(O776+S776*(1-'Inputs'!$B$15))</x:f>
        <x:v>42.14610886887567</x:v>
      </x:c>
      <x:c r="U776" s="78" t="n">
        <x:f>O776+S776*(1-'Inputs'!$B$17)</x:f>
        <x:v>16827419.042038195</x:v>
      </x:c>
      <x:c r="V776" s="78" t="n">
        <x:f>P776-T776</x:f>
        <x:v>1708.80975117426</x:v>
      </x:c>
      <x:c r="W776" s="79" t="n">
        <x:f>IF(U776&gt;0,V776/U776,0)</x:f>
        <x:v>0.00010154912924586462</x:v>
      </x:c>
      <x:c r="X776" s="80" t="n">
        <x:f>W776*('Inputs'!$B$6-AC776)</x:f>
        <x:v>101368.0491858689</x:v>
      </x:c>
      <x:c r="Y776" s="80" t="n">
        <x:f>2*V776</x:f>
        <x:v>3417.61950234852</x:v>
      </x:c>
      <x:c r="Z776" s="80" t="n">
        <x:f>K776*'Inputs'!$B$16+(G776+R776)*J776*'Inputs'!$B$16</x:f>
        <x:v>21.2732012363886</x:v>
      </x:c>
      <x:c r="AA776" s="80" t="n">
        <x:f>K776*(1+'Inputs'!$E$46)/2*'Inputs'!$B$17</x:f>
        <x:v>7.046100040415034</x:v>
      </x:c>
      <x:c r="AB776" s="78" t="n">
        <x:f>(IF(J776&gt;0,K776*(1-'Inputs'!$E$46)/2/J776,0)+G776+R776)*'Inputs'!$B$17</x:f>
        <x:v>67722.59643327545</x:v>
      </x:c>
      <x:c r="AC776" s="78" t="n">
        <x:f>AC775+AB776</x:f>
        <x:v>1783176.885321097</x:v>
      </x:c>
      <x:c r="AD776" s="80" t="n">
        <x:f>Z776/(1+'Inputs'!$C$46)</x:f>
        <x:v>10.6366006181943</x:v>
      </x:c>
      <x:c r="AE776" s="80" t="n">
        <x:f>Z776-AD776</x:f>
        <x:v>10.6366006181943</x:v>
      </x:c>
      <x:c r="AF776" s="80" t="n">
        <x:f>D776*W776</x:f>
        <x:v>30.3850611050299</x:v>
      </x:c>
      <x:c r="AG776" s="80" t="n">
        <x:f>C776*W776</x:f>
        <x:v>70.8984759117367</x:v>
      </x:c>
      <x:c r="AH776" s="80" t="n">
        <x:f>2*'Inputs'!$B$8*'Inputs'!$C$46</x:f>
        <x:v>5000</x:v>
      </x:c>
      <x:c r="AI776" s="81" t="n">
        <x:f>IF(AH776&gt;0,(AE776+AF776)/AH776*365,0)</x:f>
        <x:v>2.9945813057953665</x:v>
      </x:c>
      <x:c r="AJ776" s="81" t="n">
        <x:f>IF('Inputs'!$B$46&gt;0,AG776/('Inputs'!$B$19*'Inputs'!$B$46)*365,0)</x:f>
        <x:v>2.5877943707783895</x:v>
      </x:c>
      <x:c r="AK776" s="81" t="n">
        <x:f>W776/MAX($W$734:W776)-1</x:f>
        <x:v>-0.879507666810243</x:v>
      </x:c>
      <x:c r="AL776" s="83" t="n">
        <x:f>'Inputs'!$B$46</x:f>
        <x:v>1</x:v>
      </x:c>
      <x:c r="AM776" s="83" t="n">
        <x:f>'Inputs'!$C$46</x:f>
        <x:v>1</x:v>
      </x:c>
      <x:c r="AN776" s="83" t="n">
        <x:f>'Inputs'!$D$46</x:f>
        <x:v>1</x:v>
      </x:c>
      <x:c r="AO776" s="81" t="n">
        <x:f>'Inputs'!$E$46</x:f>
        <x:v>0</x:v>
      </x:c>
    </x:row>
    <x:row r="777">
      <x:c r="A777" s="59" t="str">
        <x:v>Base</x:v>
      </x:c>
      <x:c r="B777" s="59" t="n">
        <x:v>44</x:v>
      </x:c>
      <x:c r="C777" s="78" t="n">
        <x:f>(('Inputs'!$B$29*(3*44*'Inputs'!$B$12-44^2)/(2*'Inputs'!$B$12^2))-('Inputs'!$B$29*(3*43*'Inputs'!$B$12-43^2)/(2*'Inputs'!$B$12^2)))*'Inputs'!$B$46</x:f>
        <x:v>697844.1077125147</x:v>
      </x:c>
      <x:c r="D777" s="78" t="n">
        <x:f>IF('Inputs'!$C$46&gt;0,('Inputs'!$B$30*(3*44*'Inputs'!$B$12-44^2)/(2*'Inputs'!$B$12^2))-('Inputs'!$B$30*(3*43*'Inputs'!$B$12-43^2)/(2*'Inputs'!$B$12^2)),0)</x:f>
        <x:v>299076.0461625084</x:v>
      </x:c>
      <x:c r="E777" s="78" t="n">
        <x:f>C777+D777</x:f>
        <x:v>996920.1538750231</x:v>
      </x:c>
      <x:c r="F777" s="78" t="n">
        <x:f>'Inputs'!$B$13*E777+(1-'Inputs'!$B$13)/'Inputs'!$B$14*SUM(E734:E777)</x:f>
        <x:v>832296.1289976675</x:v>
      </x:c>
      <x:c r="G777" s="78" t="n">
        <x:f>F777*'Inputs'!$F$46</x:f>
        <x:v>416148.06449883373</x:v>
      </x:c>
      <x:c r="H777" s="78" t="n">
        <x:f>U776</x:f>
        <x:v>16827419.042038195</x:v>
      </x:c>
      <x:c r="I777" s="78" t="n">
        <x:f>V776</x:f>
        <x:v>1708.80975117426</x:v>
      </x:c>
      <x:c r="J777" s="79" t="n">
        <x:f>IF(H777&gt;0,I777/H777,0)</x:f>
        <x:v>0.00010154912924586462</x:v>
      </x:c>
      <x:c r="K777" s="80" t="n">
        <x:f>(H777*J777+I777)*'Inputs'!$D$46*(1+'Inputs'!$G$46)^(B777/30)</x:f>
        <x:v>3417.61950234852</x:v>
      </x:c>
      <x:c r="L777" s="80" t="n">
        <x:f>MAX(0,K777*'Inputs'!$E$46)</x:f>
        <x:v>0</x:v>
      </x:c>
      <x:c r="M777" s="80" t="n">
        <x:f>MAX(0,-K777*'Inputs'!$E$46)</x:f>
        <x:v>0</x:v>
      </x:c>
      <x:c r="N777" s="78" t="n">
        <x:f>H777*(L777*(1-'Inputs'!$B$15))/(I777+L777*(1-'Inputs'!$B$15))</x:f>
        <x:v>0</x:v>
      </x:c>
      <x:c r="O777" s="78" t="n">
        <x:f>H777-N777</x:f>
        <x:v>16827419.042038195</x:v>
      </x:c>
      <x:c r="P777" s="78" t="n">
        <x:f>I777+L777*(1-'Inputs'!$B$17)</x:f>
        <x:v>1708.80975117426</x:v>
      </x:c>
      <x:c r="Q777" s="78" t="n">
        <x:f>IF(J777&gt;0,M777/J777,0)</x:f>
        <x:v>0</x:v>
      </x:c>
      <x:c r="R777" s="78" t="n">
        <x:f>IF(B777='Inputs'!$H$46,'Inputs'!$B$27*'Inputs'!$I$46,0)</x:f>
        <x:v>0</x:v>
      </x:c>
      <x:c r="S777" s="78" t="n">
        <x:f>Q777+G777+R777</x:f>
        <x:v>416148.06449883373</x:v>
      </x:c>
      <x:c r="T777" s="78" t="n">
        <x:f>P777*(S777*(1-'Inputs'!$B$15))/(O777+S777*(1-'Inputs'!$B$15))</x:f>
        <x:v>40.83706289647644</x:v>
      </x:c>
      <x:c r="U777" s="78" t="n">
        <x:f>O777+S777*(1-'Inputs'!$B$17)</x:f>
        <x:v>17241892.466438442</x:v>
      </x:c>
      <x:c r="V777" s="78" t="n">
        <x:f>P777-T777</x:f>
        <x:v>1667.9726882777836</x:v>
      </x:c>
      <x:c r="W777" s="79" t="n">
        <x:f>IF(U777&gt;0,V777/U777,0)</x:f>
        <x:v>0.0000967395366561132</x:v>
      </x:c>
      <x:c r="X777" s="80" t="n">
        <x:f>W777*('Inputs'!$B$6-AC777)</x:f>
        <x:v>96560.32013478862</x:v>
      </x:c>
      <x:c r="Y777" s="80" t="n">
        <x:f>2*V777</x:f>
        <x:v>3335.9453765555672</x:v>
      </x:c>
      <x:c r="Z777" s="80" t="n">
        <x:f>K777*'Inputs'!$B$16+(G777+R777)*J777*'Inputs'!$B$16</x:f>
        <x:v>20.759273855614374</x:v>
      </x:c>
      <x:c r="AA777" s="80" t="n">
        <x:f>K777*(1+'Inputs'!$E$46)/2*'Inputs'!$B$17</x:f>
        <x:v>6.876497992652959</x:v>
      </x:c>
      <x:c r="AB777" s="78" t="n">
        <x:f>(IF(J777&gt;0,K777*(1-'Inputs'!$E$46)/2/J777,0)+G777+R777)*'Inputs'!$B$17</x:f>
        <x:v>69390.61209874056</x:v>
      </x:c>
      <x:c r="AC777" s="78" t="n">
        <x:f>AC776+AB777</x:f>
        <x:v>1852567.4974198376</x:v>
      </x:c>
      <x:c r="AD777" s="80" t="n">
        <x:f>Z777/(1+'Inputs'!$C$46)</x:f>
        <x:v>10.379636927807187</x:v>
      </x:c>
      <x:c r="AE777" s="80" t="n">
        <x:f>Z777-AD777</x:f>
        <x:v>10.379636927807187</x:v>
      </x:c>
      <x:c r="AF777" s="80" t="n">
        <x:f>D777*W777</x:f>
        <x:v>28.932478130703387</x:v>
      </x:c>
      <x:c r="AG777" s="80" t="n">
        <x:f>C777*W777</x:f>
        <x:v>67.50911563830742</x:v>
      </x:c>
      <x:c r="AH777" s="80" t="n">
        <x:f>2*'Inputs'!$B$8*'Inputs'!$C$46</x:f>
        <x:v>5000</x:v>
      </x:c>
      <x:c r="AI777" s="81" t="n">
        <x:f>IF(AH777&gt;0,(AE777+AF777)/AH777*365,0)</x:f>
        <x:v>2.8697843992712713</x:v>
      </x:c>
      <x:c r="AJ777" s="81" t="n">
        <x:f>IF('Inputs'!$B$46&gt;0,AG777/('Inputs'!$B$19*'Inputs'!$B$46)*365,0)</x:f>
        <x:v>2.4640827207982205</x:v>
      </x:c>
      <x:c r="AK777" s="81" t="n">
        <x:f>W777/MAX($W$734:W777)-1</x:f>
        <x:v>-0.8852144516653668</x:v>
      </x:c>
      <x:c r="AL777" s="83" t="n">
        <x:f>'Inputs'!$B$46</x:f>
        <x:v>1</x:v>
      </x:c>
      <x:c r="AM777" s="83" t="n">
        <x:f>'Inputs'!$C$46</x:f>
        <x:v>1</x:v>
      </x:c>
      <x:c r="AN777" s="83" t="n">
        <x:f>'Inputs'!$D$46</x:f>
        <x:v>1</x:v>
      </x:c>
      <x:c r="AO777" s="81" t="n">
        <x:f>'Inputs'!$E$46</x:f>
        <x:v>0</x:v>
      </x:c>
    </x:row>
    <x:row r="778">
      <x:c r="A778" s="59" t="str">
        <x:v>Base</x:v>
      </x:c>
      <x:c r="B778" s="59" t="n">
        <x:v>45</x:v>
      </x:c>
      <x:c r="C778" s="78" t="n">
        <x:f>(('Inputs'!$B$29*(3*45*'Inputs'!$B$12-45^2)/(2*'Inputs'!$B$12^2))-('Inputs'!$B$29*(3*44*'Inputs'!$B$12-44^2)/(2*'Inputs'!$B$12^2)))*'Inputs'!$B$46</x:f>
        <x:v>697518.999812346</x:v>
      </x:c>
      <x:c r="D778" s="78" t="n">
        <x:f>IF('Inputs'!$C$46&gt;0,('Inputs'!$B$30*(3*45*'Inputs'!$B$12-45^2)/(2*'Inputs'!$B$12^2))-('Inputs'!$B$30*(3*44*'Inputs'!$B$12-44^2)/(2*'Inputs'!$B$12^2)),0)</x:f>
        <x:v>298936.7142052911</x:v>
      </x:c>
      <x:c r="E778" s="78" t="n">
        <x:f>C778+D778</x:f>
        <x:v>996455.7140176371</x:v>
      </x:c>
      <x:c r="F778" s="78" t="n">
        <x:f>'Inputs'!$B$13*E778+(1-'Inputs'!$B$13)/'Inputs'!$B$14*SUM(E734:E778)</x:f>
        <x:v>846438.3226550135</x:v>
      </x:c>
      <x:c r="G778" s="78" t="n">
        <x:f>F778*'Inputs'!$F$46</x:f>
        <x:v>423219.16132750676</x:v>
      </x:c>
      <x:c r="H778" s="78" t="n">
        <x:f>U777</x:f>
        <x:v>17241892.466438442</x:v>
      </x:c>
      <x:c r="I778" s="78" t="n">
        <x:f>V777</x:f>
        <x:v>1667.9726882777836</x:v>
      </x:c>
      <x:c r="J778" s="79" t="n">
        <x:f>IF(H778&gt;0,I778/H778,0)</x:f>
        <x:v>0.0000967395366561132</x:v>
      </x:c>
      <x:c r="K778" s="80" t="n">
        <x:f>(H778*J778+I778)*'Inputs'!$D$46*(1+'Inputs'!$G$46)^(B778/30)</x:f>
        <x:v>3335.9453765555672</x:v>
      </x:c>
      <x:c r="L778" s="80" t="n">
        <x:f>MAX(0,K778*'Inputs'!$E$46)</x:f>
        <x:v>0</x:v>
      </x:c>
      <x:c r="M778" s="80" t="n">
        <x:f>MAX(0,-K778*'Inputs'!$E$46)</x:f>
        <x:v>0</x:v>
      </x:c>
      <x:c r="N778" s="78" t="n">
        <x:f>H778*(L778*(1-'Inputs'!$B$15))/(I778+L778*(1-'Inputs'!$B$15))</x:f>
        <x:v>0</x:v>
      </x:c>
      <x:c r="O778" s="78" t="n">
        <x:f>H778-N778</x:f>
        <x:v>17241892.466438442</x:v>
      </x:c>
      <x:c r="P778" s="78" t="n">
        <x:f>I778+L778*(1-'Inputs'!$B$17)</x:f>
        <x:v>1667.9726882777836</x:v>
      </x:c>
      <x:c r="Q778" s="78" t="n">
        <x:f>IF(J778&gt;0,M778/J778,0)</x:f>
        <x:v>0</x:v>
      </x:c>
      <x:c r="R778" s="78" t="n">
        <x:f>IF(B778='Inputs'!$H$46,'Inputs'!$B$27*'Inputs'!$I$46,0)</x:f>
        <x:v>0</x:v>
      </x:c>
      <x:c r="S778" s="78" t="n">
        <x:f>Q778+G778+R778</x:f>
        <x:v>423219.16132750676</x:v>
      </x:c>
      <x:c r="T778" s="78" t="n">
        <x:f>P778*(S778*(1-'Inputs'!$B$15))/(O778+S778*(1-'Inputs'!$B$15))</x:f>
        <x:v>39.5710091761915</x:v>
      </x:c>
      <x:c r="U778" s="78" t="n">
        <x:f>O778+S778*(1-'Inputs'!$B$17)</x:f>
        <x:v>17663408.53254934</x:v>
      </x:c>
      <x:c r="V778" s="78" t="n">
        <x:f>P778-T778</x:f>
        <x:v>1628.4016791015922</x:v>
      </x:c>
      <x:c r="W778" s="79" t="n">
        <x:f>IF(U778&gt;0,V778/U778,0)</x:f>
        <x:v>0.0000921906820023353</x:v>
      </x:c>
      <x:c r="X778" s="80" t="n">
        <x:f>W778*('Inputs'!$B$6-AC778)</x:f>
        <x:v>92013.33898520182</x:v>
      </x:c>
      <x:c r="Y778" s="80" t="n">
        <x:f>2*V778</x:f>
        <x:v>3256.8033582031844</x:v>
      </x:c>
      <x:c r="Z778" s="80" t="n">
        <x:f>K778*'Inputs'!$B$16+(G778+R778)*J778*'Inputs'!$B$16</x:f>
        <x:v>20.261324412758274</x:v>
      </x:c>
      <x:c r="AA778" s="80" t="n">
        <x:f>K778*(1+'Inputs'!$E$46)/2*'Inputs'!$B$17</x:f>
        <x:v>6.712163735524281</x:v>
      </x:c>
      <x:c r="AB778" s="78" t="n">
        <x:f>(IF(J778&gt;0,K778*(1-'Inputs'!$E$46)/2/J778,0)+G778+R778)*'Inputs'!$B$17</x:f>
        <x:v>71086.96832098975</x:v>
      </x:c>
      <x:c r="AC778" s="78" t="n">
        <x:f>AC777+AB778</x:f>
        <x:v>1923654.4657408274</x:v>
      </x:c>
      <x:c r="AD778" s="80" t="n">
        <x:f>Z778/(1+'Inputs'!$C$46)</x:f>
        <x:v>10.130662206379137</x:v>
      </x:c>
      <x:c r="AE778" s="80" t="n">
        <x:f>Z778-AD778</x:f>
        <x:v>10.130662206379137</x:v>
      </x:c>
      <x:c r="AF778" s="80" t="n">
        <x:f>D778*W778</x:f>
        <x:v>27.559179558122985</x:v>
      </x:c>
      <x:c r="AG778" s="80" t="n">
        <x:f>C778*W778</x:f>
        <x:v>64.30475230228696</x:v>
      </x:c>
      <x:c r="AH778" s="80" t="n">
        <x:f>2*'Inputs'!$B$8*'Inputs'!$C$46</x:f>
        <x:v>5000</x:v>
      </x:c>
      <x:c r="AI778" s="81" t="n">
        <x:f>IF(AH778&gt;0,(AE778+AF778)/AH778*365,0)</x:f>
        <x:v>2.751358448808655</x:v>
      </x:c>
      <x:c r="AJ778" s="81" t="n">
        <x:f>IF('Inputs'!$B$46&gt;0,AG778/('Inputs'!$B$19*'Inputs'!$B$46)*365,0)</x:f>
        <x:v>2.347123459033474</x:v>
      </x:c>
      <x:c r="AK778" s="81" t="n">
        <x:f>W778/MAX($W$734:W778)-1</x:f>
        <x:v>-0.8906118599409981</x:v>
      </x:c>
      <x:c r="AL778" s="83" t="n">
        <x:f>'Inputs'!$B$46</x:f>
        <x:v>1</x:v>
      </x:c>
      <x:c r="AM778" s="83" t="n">
        <x:f>'Inputs'!$C$46</x:f>
        <x:v>1</x:v>
      </x:c>
      <x:c r="AN778" s="83" t="n">
        <x:f>'Inputs'!$D$46</x:f>
        <x:v>1</x:v>
      </x:c>
      <x:c r="AO778" s="81" t="n">
        <x:f>'Inputs'!$E$46</x:f>
        <x:v>0</x:v>
      </x:c>
    </x:row>
    <x:row r="779">
      <x:c r="A779" s="59" t="str">
        <x:v>Base</x:v>
      </x:c>
      <x:c r="B779" s="59" t="n">
        <x:v>46</x:v>
      </x:c>
      <x:c r="C779" s="78" t="n">
        <x:f>(('Inputs'!$B$29*(3*46*'Inputs'!$B$12-46^2)/(2*'Inputs'!$B$12^2))-('Inputs'!$B$29*(3*45*'Inputs'!$B$12-45^2)/(2*'Inputs'!$B$12^2)))*'Inputs'!$B$46</x:f>
        <x:v>697193.8919121809</x:v>
      </x:c>
      <x:c r="D779" s="78" t="n">
        <x:f>IF('Inputs'!$C$46&gt;0,('Inputs'!$B$30*(3*46*'Inputs'!$B$12-46^2)/(2*'Inputs'!$B$12^2))-('Inputs'!$B$30*(3*45*'Inputs'!$B$12-45^2)/(2*'Inputs'!$B$12^2)),0)</x:f>
        <x:v>298797.3822480757</x:v>
      </x:c>
      <x:c r="E779" s="78" t="n">
        <x:f>C779+D779</x:f>
        <x:v>995991.2741602566</x:v>
      </x:c>
      <x:c r="F779" s="78" t="n">
        <x:f>'Inputs'!$B$13*E779+(1-'Inputs'!$B$13)/'Inputs'!$B$14*SUM(E734:E779)</x:f>
        <x:v>860573.8814572555</x:v>
      </x:c>
      <x:c r="G779" s="78" t="n">
        <x:f>F779*'Inputs'!$F$46</x:f>
        <x:v>430286.9407286277</x:v>
      </x:c>
      <x:c r="H779" s="78" t="n">
        <x:f>U778</x:f>
        <x:v>17663408.53254934</x:v>
      </x:c>
      <x:c r="I779" s="78" t="n">
        <x:f>V778</x:f>
        <x:v>1628.4016791015922</x:v>
      </x:c>
      <x:c r="J779" s="79" t="n">
        <x:f>IF(H779&gt;0,I779/H779,0)</x:f>
        <x:v>0.0000921906820023353</x:v>
      </x:c>
      <x:c r="K779" s="80" t="n">
        <x:f>(H779*J779+I779)*'Inputs'!$D$46*(1+'Inputs'!$G$46)^(B779/30)</x:f>
        <x:v>3256.8033582031844</x:v>
      </x:c>
      <x:c r="L779" s="80" t="n">
        <x:f>MAX(0,K779*'Inputs'!$E$46)</x:f>
        <x:v>0</x:v>
      </x:c>
      <x:c r="M779" s="80" t="n">
        <x:f>MAX(0,-K779*'Inputs'!$E$46)</x:f>
        <x:v>0</x:v>
      </x:c>
      <x:c r="N779" s="78" t="n">
        <x:f>H779*(L779*(1-'Inputs'!$B$15))/(I779+L779*(1-'Inputs'!$B$15))</x:f>
        <x:v>0</x:v>
      </x:c>
      <x:c r="O779" s="78" t="n">
        <x:f>H779-N779</x:f>
        <x:v>17663408.53254934</x:v>
      </x:c>
      <x:c r="P779" s="78" t="n">
        <x:f>I779+L779*(1-'Inputs'!$B$17)</x:f>
        <x:v>1628.4016791015922</x:v>
      </x:c>
      <x:c r="Q779" s="78" t="n">
        <x:f>IF(J779&gt;0,M779/J779,0)</x:f>
        <x:v>0</x:v>
      </x:c>
      <x:c r="R779" s="78" t="n">
        <x:f>IF(B779='Inputs'!$H$46,'Inputs'!$B$27*'Inputs'!$I$46,0)</x:f>
        <x:v>0</x:v>
      </x:c>
      <x:c r="S779" s="78" t="n">
        <x:f>Q779+G779+R779</x:f>
        <x:v>430286.9407286277</x:v>
      </x:c>
      <x:c r="T779" s="78" t="n">
        <x:f>P779*(S779*(1-'Inputs'!$B$15))/(O779+S779*(1-'Inputs'!$B$15))</x:f>
        <x:v>38.34695792172568</x:v>
      </x:c>
      <x:c r="U779" s="78" t="n">
        <x:f>O779+S779*(1-'Inputs'!$B$17)</x:f>
        <x:v>18091963.936293144</x:v>
      </x:c>
      <x:c r="V779" s="78" t="n">
        <x:f>P779-T779</x:f>
        <x:v>1590.0547211798664</x:v>
      </x:c>
      <x:c r="W779" s="79" t="n">
        <x:f>IF(U779&gt;0,V779/U779,0)</x:f>
        <x:v>0.0000878873474863698</x:v>
      </x:c>
      <x:c r="X779" s="80" t="n">
        <x:f>W779*('Inputs'!$B$6-AC779)</x:f>
        <x:v>87711.88337495238</x:v>
      </x:c>
      <x:c r="Y779" s="80" t="n">
        <x:f>2*V779</x:f>
        <x:v>3180.109442359733</x:v>
      </x:c>
      <x:c r="Z779" s="80" t="n">
        <x:f>K779*'Inputs'!$B$16+(G779+R779)*J779*'Inputs'!$B$16</x:f>
        <x:v>19.778830828353932</x:v>
      </x:c>
      <x:c r="AA779" s="80" t="n">
        <x:f>K779*(1+'Inputs'!$E$46)/2*'Inputs'!$B$17</x:f>
        <x:v>6.552924261978239</x:v>
      </x:c>
      <x:c r="AB779" s="78" t="n">
        <x:f>(IF(J779&gt;0,K779*(1-'Inputs'!$E$46)/2/J779,0)+G779+R779)*'Inputs'!$B$17</x:f>
        <x:v>72811.65180393549</x:v>
      </x:c>
      <x:c r="AC779" s="78" t="n">
        <x:f>AC778+AB779</x:f>
        <x:v>1996466.1175447628</x:v>
      </x:c>
      <x:c r="AD779" s="80" t="n">
        <x:f>Z779/(1+'Inputs'!$C$46)</x:f>
        <x:v>9.889415414176966</x:v>
      </x:c>
      <x:c r="AE779" s="80" t="n">
        <x:f>Z779-AD779</x:f>
        <x:v>9.889415414176966</x:v>
      </x:c>
      <x:c r="AF779" s="80" t="n">
        <x:f>D779*W779</x:f>
        <x:v>26.260509361654293</x:v>
      </x:c>
      <x:c r="AG779" s="80" t="n">
        <x:f>C779*W779</x:f>
        <x:v>61.2745218438604</x:v>
      </x:c>
      <x:c r="AH779" s="80" t="n">
        <x:f>2*'Inputs'!$B$8*'Inputs'!$C$46</x:f>
        <x:v>5000</x:v>
      </x:c>
      <x:c r="AI779" s="81" t="n">
        <x:f>IF(AH779&gt;0,(AE779+AF779)/AH779*365,0)</x:f>
        <x:v>2.638944508635682</x:v>
      </x:c>
      <x:c r="AJ779" s="81" t="n">
        <x:f>IF('Inputs'!$B$46&gt;0,AG779/('Inputs'!$B$19*'Inputs'!$B$46)*365,0)</x:f>
        <x:v>2.2365200473009046</x:v>
      </x:c>
      <x:c r="AK779" s="81" t="n">
        <x:f>W779/MAX($W$734:W779)-1</x:f>
        <x:v>-0.8957179481977402</x:v>
      </x:c>
      <x:c r="AL779" s="83" t="n">
        <x:f>'Inputs'!$B$46</x:f>
        <x:v>1</x:v>
      </x:c>
      <x:c r="AM779" s="83" t="n">
        <x:f>'Inputs'!$C$46</x:f>
        <x:v>1</x:v>
      </x:c>
      <x:c r="AN779" s="83" t="n">
        <x:f>'Inputs'!$D$46</x:f>
        <x:v>1</x:v>
      </x:c>
      <x:c r="AO779" s="81" t="n">
        <x:f>'Inputs'!$E$46</x:f>
        <x:v>0</x:v>
      </x:c>
    </x:row>
    <x:row r="780">
      <x:c r="A780" s="59" t="str">
        <x:v>Base</x:v>
      </x:c>
      <x:c r="B780" s="59" t="n">
        <x:v>47</x:v>
      </x:c>
      <x:c r="C780" s="78" t="n">
        <x:f>(('Inputs'!$B$29*(3*47*'Inputs'!$B$12-47^2)/(2*'Inputs'!$B$12^2))-('Inputs'!$B$29*(3*46*'Inputs'!$B$12-46^2)/(2*'Inputs'!$B$12^2)))*'Inputs'!$B$46</x:f>
        <x:v>696868.7840120085</x:v>
      </x:c>
      <x:c r="D780" s="78" t="n">
        <x:f>IF('Inputs'!$C$46&gt;0,('Inputs'!$B$30*(3*47*'Inputs'!$B$12-47^2)/(2*'Inputs'!$B$12^2))-('Inputs'!$B$30*(3*46*'Inputs'!$B$12-46^2)/(2*'Inputs'!$B$12^2)),0)</x:f>
        <x:v>298658.0502908621</x:v>
      </x:c>
      <x:c r="E780" s="78" t="n">
        <x:f>C780+D780</x:f>
        <x:v>995526.8343028706</x:v>
      </x:c>
      <x:c r="F780" s="78" t="n">
        <x:f>'Inputs'!$B$13*E780+(1-'Inputs'!$B$13)/'Inputs'!$B$14*SUM(E734:E780)</x:f>
        <x:v>874702.8054043907</x:v>
      </x:c>
      <x:c r="G780" s="78" t="n">
        <x:f>F780*'Inputs'!$F$46</x:f>
        <x:v>437351.40270219534</x:v>
      </x:c>
      <x:c r="H780" s="78" t="n">
        <x:f>U779</x:f>
        <x:v>18091963.936293144</x:v>
      </x:c>
      <x:c r="I780" s="78" t="n">
        <x:f>V779</x:f>
        <x:v>1590.0547211798664</x:v>
      </x:c>
      <x:c r="J780" s="79" t="n">
        <x:f>IF(H780&gt;0,I780/H780,0)</x:f>
        <x:v>0.0000878873474863698</x:v>
      </x:c>
      <x:c r="K780" s="80" t="n">
        <x:f>(H780*J780+I780)*'Inputs'!$D$46*(1+'Inputs'!$G$46)^(B780/30)</x:f>
        <x:v>3180.109442359733</x:v>
      </x:c>
      <x:c r="L780" s="80" t="n">
        <x:f>MAX(0,K780*'Inputs'!$E$46)</x:f>
        <x:v>0</x:v>
      </x:c>
      <x:c r="M780" s="80" t="n">
        <x:f>MAX(0,-K780*'Inputs'!$E$46)</x:f>
        <x:v>0</x:v>
      </x:c>
      <x:c r="N780" s="78" t="n">
        <x:f>H780*(L780*(1-'Inputs'!$B$15))/(I780+L780*(1-'Inputs'!$B$15))</x:f>
        <x:v>0</x:v>
      </x:c>
      <x:c r="O780" s="78" t="n">
        <x:f>H780-N780</x:f>
        <x:v>18091963.936293144</x:v>
      </x:c>
      <x:c r="P780" s="78" t="n">
        <x:f>I780+L780*(1-'Inputs'!$B$17)</x:f>
        <x:v>1590.0547211798664</x:v>
      </x:c>
      <x:c r="Q780" s="78" t="n">
        <x:f>IF(J780&gt;0,M780/J780,0)</x:f>
        <x:v>0</x:v>
      </x:c>
      <x:c r="R780" s="78" t="n">
        <x:f>IF(B780='Inputs'!$H$46,'Inputs'!$B$27*'Inputs'!$I$46,0)</x:f>
        <x:v>0</x:v>
      </x:c>
      <x:c r="S780" s="78" t="n">
        <x:f>Q780+G780+R780</x:f>
        <x:v>437351.40270219534</x:v>
      </x:c>
      <x:c r="T780" s="78" t="n">
        <x:f>P780*(S780*(1-'Inputs'!$B$15))/(O780+S780*(1-'Inputs'!$B$15))</x:f>
        <x:v>37.16387034082508</x:v>
      </x:c>
      <x:c r="U780" s="78" t="n">
        <x:f>O780+S780*(1-'Inputs'!$B$17)</x:f>
        <x:v>18527555.373592112</x:v>
      </x:c>
      <x:c r="V780" s="78" t="n">
        <x:f>P780-T780</x:f>
        <x:v>1552.8908508390414</x:v>
      </x:c>
      <x:c r="W780" s="79" t="n">
        <x:f>IF(U780&gt;0,V780/U780,0)</x:f>
        <x:v>0.00008381520494886357</x:v>
      </x:c>
      <x:c r="X780" s="80" t="n">
        <x:f>W780*('Inputs'!$B$6-AC780)</x:f>
        <x:v>83641.62108068915</x:v>
      </x:c>
      <x:c r="Y780" s="80" t="n">
        <x:f>2*V780</x:f>
        <x:v>3105.7817016780828</x:v>
      </x:c>
      <x:c r="Z780" s="80" t="n">
        <x:f>K780*'Inputs'!$B$16+(G780+R780)*J780*'Inputs'!$B$16</x:f>
        <x:v>19.31128258237603</x:v>
      </x:c>
      <x:c r="AA780" s="80" t="n">
        <x:f>K780*(1+'Inputs'!$E$46)/2*'Inputs'!$B$17</x:f>
        <x:v>6.398610548007511</x:v>
      </x:c>
      <x:c r="AB780" s="78" t="n">
        <x:f>(IF(J780&gt;0,K780*(1-'Inputs'!$E$46)/2/J780,0)+G780+R780)*'Inputs'!$B$17</x:f>
        <x:v>74564.6492514903</x:v>
      </x:c>
      <x:c r="AC780" s="78" t="n">
        <x:f>AC779+AB780</x:f>
        <x:v>2071030.7667962532</x:v>
      </x:c>
      <x:c r="AD780" s="80" t="n">
        <x:f>Z780/(1+'Inputs'!$C$46)</x:f>
        <x:v>9.655641291188015</x:v>
      </x:c>
      <x:c r="AE780" s="80" t="n">
        <x:f>Z780-AD780</x:f>
        <x:v>9.655641291188015</x:v>
      </x:c>
      <x:c r="AF780" s="80" t="n">
        <x:f>D780*W780</x:f>
        <x:v>25.03208569475661</x:v>
      </x:c>
      <x:c r="AG780" s="80" t="n">
        <x:f>C780*W780</x:f>
        <x:v>58.40819995443183</x:v>
      </x:c>
      <x:c r="AH780" s="80" t="n">
        <x:f>2*'Inputs'!$B$8*'Inputs'!$C$46</x:f>
        <x:v>5000</x:v>
      </x:c>
      <x:c r="AI780" s="81" t="n">
        <x:f>IF(AH780&gt;0,(AE780+AF780)/AH780*365,0)</x:f>
        <x:v>2.5322040699739574</x:v>
      </x:c>
      <x:c r="AJ780" s="81" t="n">
        <x:f>IF('Inputs'!$B$46&gt;0,AG780/('Inputs'!$B$19*'Inputs'!$B$46)*365,0)</x:f>
        <x:v>2.1318992983367617</x:v>
      </x:c>
      <x:c r="AK780" s="81" t="n">
        <x:f>W780/MAX($W$734:W780)-1</x:f>
        <x:v>-0.9005497174021557</x:v>
      </x:c>
      <x:c r="AL780" s="83" t="n">
        <x:f>'Inputs'!$B$46</x:f>
        <x:v>1</x:v>
      </x:c>
      <x:c r="AM780" s="83" t="n">
        <x:f>'Inputs'!$C$46</x:f>
        <x:v>1</x:v>
      </x:c>
      <x:c r="AN780" s="83" t="n">
        <x:f>'Inputs'!$D$46</x:f>
        <x:v>1</x:v>
      </x:c>
      <x:c r="AO780" s="81" t="n">
        <x:f>'Inputs'!$E$46</x:f>
        <x:v>0</x:v>
      </x:c>
    </x:row>
    <x:row r="781">
      <x:c r="A781" s="59" t="str">
        <x:v>Base</x:v>
      </x:c>
      <x:c r="B781" s="59" t="n">
        <x:v>48</x:v>
      </x:c>
      <x:c r="C781" s="78" t="n">
        <x:f>(('Inputs'!$B$29*(3*48*'Inputs'!$B$12-48^2)/(2*'Inputs'!$B$12^2))-('Inputs'!$B$29*(3*47*'Inputs'!$B$12-47^2)/(2*'Inputs'!$B$12^2)))*'Inputs'!$B$46</x:f>
        <x:v>696543.6761118434</x:v>
      </x:c>
      <x:c r="D781" s="78" t="n">
        <x:f>IF('Inputs'!$C$46&gt;0,('Inputs'!$B$30*(3*48*'Inputs'!$B$12-48^2)/(2*'Inputs'!$B$12^2))-('Inputs'!$B$30*(3*47*'Inputs'!$B$12-47^2)/(2*'Inputs'!$B$12^2)),0)</x:f>
        <x:v>298518.71833364666</x:v>
      </x:c>
      <x:c r="E781" s="78" t="n">
        <x:f>C781+D781</x:f>
        <x:v>995062.3944454901</x:v>
      </x:c>
      <x:c r="F781" s="78" t="n">
        <x:f>'Inputs'!$B$13*E781+(1-'Inputs'!$B$13)/'Inputs'!$B$14*SUM(E734:E781)</x:f>
        <x:v>888825.0944964217</x:v>
      </x:c>
      <x:c r="G781" s="78" t="n">
        <x:f>F781*'Inputs'!$F$46</x:f>
        <x:v>444412.5472482109</x:v>
      </x:c>
      <x:c r="H781" s="78" t="n">
        <x:f>U780</x:f>
        <x:v>18527555.373592112</x:v>
      </x:c>
      <x:c r="I781" s="78" t="n">
        <x:f>V780</x:f>
        <x:v>1552.8908508390414</x:v>
      </x:c>
      <x:c r="J781" s="79" t="n">
        <x:f>IF(H781&gt;0,I781/H781,0)</x:f>
        <x:v>0.00008381520494886357</x:v>
      </x:c>
      <x:c r="K781" s="80" t="n">
        <x:f>(H781*J781+I781)*'Inputs'!$D$46*(1+'Inputs'!$G$46)^(B781/30)</x:f>
        <x:v>3105.7817016780828</x:v>
      </x:c>
      <x:c r="L781" s="80" t="n">
        <x:f>MAX(0,K781*'Inputs'!$E$46)</x:f>
        <x:v>0</x:v>
      </x:c>
      <x:c r="M781" s="80" t="n">
        <x:f>MAX(0,-K781*'Inputs'!$E$46)</x:f>
        <x:v>0</x:v>
      </x:c>
      <x:c r="N781" s="78" t="n">
        <x:f>H781*(L781*(1-'Inputs'!$B$15))/(I781+L781*(1-'Inputs'!$B$15))</x:f>
        <x:v>0</x:v>
      </x:c>
      <x:c r="O781" s="78" t="n">
        <x:f>H781-N781</x:f>
        <x:v>18527555.373592112</x:v>
      </x:c>
      <x:c r="P781" s="78" t="n">
        <x:f>I781+L781*(1-'Inputs'!$B$17)</x:f>
        <x:v>1552.8908508390414</x:v>
      </x:c>
      <x:c r="Q781" s="78" t="n">
        <x:f>IF(J781&gt;0,M781/J781,0)</x:f>
        <x:v>0</x:v>
      </x:c>
      <x:c r="R781" s="78" t="n">
        <x:f>IF(B781='Inputs'!$H$46,'Inputs'!$B$27*'Inputs'!$I$46,0)</x:f>
        <x:v>0</x:v>
      </x:c>
      <x:c r="S781" s="78" t="n">
        <x:f>Q781+G781+R781</x:f>
        <x:v>444412.5472482109</x:v>
      </x:c>
      <x:c r="T781" s="78" t="n">
        <x:f>P781*(S781*(1-'Inputs'!$B$15))/(O781+S781*(1-'Inputs'!$B$15))</x:f>
        <x:v>36.02067113264806</x:v>
      </x:c>
      <x:c r="U781" s="78" t="n">
        <x:f>O781+S781*(1-'Inputs'!$B$17)</x:f>
        <x:v>18970179.5403685</x:v>
      </x:c>
      <x:c r="V781" s="78" t="n">
        <x:f>P781-T781</x:f>
        <x:v>1516.8701797063934</x:v>
      </x:c>
      <x:c r="W781" s="79" t="n">
        <x:f>IF(U781&gt;0,V781/U781,0)</x:f>
        <x:v>0.00007996077087612677</x:v>
      </x:c>
      <x:c r="X781" s="80" t="n">
        <x:f>W781*('Inputs'!$B$6-AC781)</x:f>
        <x:v>79789.06497870079</x:v>
      </x:c>
      <x:c r="Y781" s="80" t="n">
        <x:f>2*V781</x:f>
        <x:v>3033.740359412787</x:v>
      </x:c>
      <x:c r="Z781" s="80" t="n">
        <x:f>K781*'Inputs'!$B$16+(G781+R781)*J781*'Inputs'!$B$16</x:f>
        <x:v>18.85818138244523</x:v>
      </x:c>
      <x:c r="AA781" s="80" t="n">
        <x:f>K781*(1+'Inputs'!$E$46)/2*'Inputs'!$B$17</x:f>
        <x:v>6.2490577498552975</x:v>
      </x:c>
      <x:c r="AB781" s="78" t="n">
        <x:f>(IF(J781&gt;0,K781*(1-'Inputs'!$E$46)/2/J781,0)+G781+R781)*'Inputs'!$B$17</x:f>
        <x:v>76345.9473675667</x:v>
      </x:c>
      <x:c r="AC781" s="78" t="n">
        <x:f>AC780+AB781</x:f>
        <x:v>2147376.71416382</x:v>
      </x:c>
      <x:c r="AD781" s="80" t="n">
        <x:f>Z781/(1+'Inputs'!$C$46)</x:f>
        <x:v>9.429090691222616</x:v>
      </x:c>
      <x:c r="AE781" s="80" t="n">
        <x:f>Z781-AD781</x:f>
        <x:v>9.429090691222616</x:v>
      </x:c>
      <x:c r="AF781" s="80" t="n">
        <x:f>D781*W781</x:f>
        <x:v>23.869786838911743</x:v>
      </x:c>
      <x:c r="AG781" s="80" t="n">
        <x:f>C781*W781</x:f>
        <x:v>55.69616929079417</x:v>
      </x:c>
      <x:c r="AH781" s="80" t="n">
        <x:f>2*'Inputs'!$B$8*'Inputs'!$C$46</x:f>
        <x:v>5000</x:v>
      </x:c>
      <x:c r="AI781" s="81" t="n">
        <x:f>IF(AH781&gt;0,(AE781+AF781)/AH781*365,0)</x:f>
        <x:v>2.430818059699808</x:v>
      </x:c>
      <x:c r="AJ781" s="81" t="n">
        <x:f>IF('Inputs'!$B$46&gt;0,AG781/('Inputs'!$B$19*'Inputs'!$B$46)*365,0)</x:f>
        <x:v>2.0329101791139874</x:v>
      </x:c>
      <x:c r="AK781" s="81" t="n">
        <x:f>W781/MAX($W$734:W781)-1</x:f>
        <x:v>-0.9051231663130342</x:v>
      </x:c>
      <x:c r="AL781" s="83" t="n">
        <x:f>'Inputs'!$B$46</x:f>
        <x:v>1</x:v>
      </x:c>
      <x:c r="AM781" s="83" t="n">
        <x:f>'Inputs'!$C$46</x:f>
        <x:v>1</x:v>
      </x:c>
      <x:c r="AN781" s="83" t="n">
        <x:f>'Inputs'!$D$46</x:f>
        <x:v>1</x:v>
      </x:c>
      <x:c r="AO781" s="81" t="n">
        <x:f>'Inputs'!$E$46</x:f>
        <x:v>0</x:v>
      </x:c>
    </x:row>
    <x:row r="782">
      <x:c r="A782" s="59" t="str">
        <x:v>Base</x:v>
      </x:c>
      <x:c r="B782" s="59" t="n">
        <x:v>49</x:v>
      </x:c>
      <x:c r="C782" s="78" t="n">
        <x:f>(('Inputs'!$B$29*(3*49*'Inputs'!$B$12-49^2)/(2*'Inputs'!$B$12^2))-('Inputs'!$B$29*(3*48*'Inputs'!$B$12-48^2)/(2*'Inputs'!$B$12^2)))*'Inputs'!$B$46</x:f>
        <x:v>696218.5682116672</x:v>
      </x:c>
      <x:c r="D782" s="78" t="n">
        <x:f>IF('Inputs'!$C$46&gt;0,('Inputs'!$B$30*(3*49*'Inputs'!$B$12-49^2)/(2*'Inputs'!$B$12^2))-('Inputs'!$B$30*(3*48*'Inputs'!$B$12-48^2)/(2*'Inputs'!$B$12^2)),0)</x:f>
        <x:v>298379.3863764312</x:v>
      </x:c>
      <x:c r="E782" s="78" t="n">
        <x:f>C782+D782</x:f>
        <x:v>994597.9545880985</x:v>
      </x:c>
      <x:c r="F782" s="78" t="n">
        <x:f>'Inputs'!$B$13*E782+(1-'Inputs'!$B$13)/'Inputs'!$B$14*SUM(E734:E782)</x:f>
        <x:v>902940.7487333447</x:v>
      </x:c>
      <x:c r="G782" s="78" t="n">
        <x:f>F782*'Inputs'!$F$46</x:f>
        <x:v>451470.37436667236</x:v>
      </x:c>
      <x:c r="H782" s="78" t="n">
        <x:f>U781</x:f>
        <x:v>18970179.5403685</x:v>
      </x:c>
      <x:c r="I782" s="78" t="n">
        <x:f>V781</x:f>
        <x:v>1516.8701797063934</x:v>
      </x:c>
      <x:c r="J782" s="79" t="n">
        <x:f>IF(H782&gt;0,I782/H782,0)</x:f>
        <x:v>0.00007996077087612677</x:v>
      </x:c>
      <x:c r="K782" s="80" t="n">
        <x:f>(H782*J782+I782)*'Inputs'!$D$46*(1+'Inputs'!$G$46)^(B782/30)</x:f>
        <x:v>3033.740359412787</x:v>
      </x:c>
      <x:c r="L782" s="80" t="n">
        <x:f>MAX(0,K782*'Inputs'!$E$46)</x:f>
        <x:v>0</x:v>
      </x:c>
      <x:c r="M782" s="80" t="n">
        <x:f>MAX(0,-K782*'Inputs'!$E$46)</x:f>
        <x:v>0</x:v>
      </x:c>
      <x:c r="N782" s="78" t="n">
        <x:f>H782*(L782*(1-'Inputs'!$B$15))/(I782+L782*(1-'Inputs'!$B$15))</x:f>
        <x:v>0</x:v>
      </x:c>
      <x:c r="O782" s="78" t="n">
        <x:f>H782-N782</x:f>
        <x:v>18970179.5403685</x:v>
      </x:c>
      <x:c r="P782" s="78" t="n">
        <x:f>I782+L782*(1-'Inputs'!$B$17)</x:f>
        <x:v>1516.8701797063934</x:v>
      </x:c>
      <x:c r="Q782" s="78" t="n">
        <x:f>IF(J782&gt;0,M782/J782,0)</x:f>
        <x:v>0</x:v>
      </x:c>
      <x:c r="R782" s="78" t="n">
        <x:f>IF(B782='Inputs'!$H$46,'Inputs'!$B$27*'Inputs'!$I$46,0)</x:f>
        <x:v>0</x:v>
      </x:c>
      <x:c r="S782" s="78" t="n">
        <x:f>Q782+G782+R782</x:f>
        <x:v>451470.37436667236</x:v>
      </x:c>
      <x:c r="T782" s="78" t="n">
        <x:f>P782*(S782*(1-'Inputs'!$B$15))/(O782+S782*(1-'Inputs'!$B$15))</x:f>
        <x:v>34.91625932722186</x:v>
      </x:c>
      <x:c r="U782" s="78" t="n">
        <x:f>O782+S782*(1-'Inputs'!$B$17)</x:f>
        <x:v>19419833.132544562</x:v>
      </x:c>
      <x:c r="V782" s="78" t="n">
        <x:f>P782-T782</x:f>
        <x:v>1481.9539203791714</x:v>
      </x:c>
      <x:c r="W782" s="79" t="n">
        <x:f>IF(U782&gt;0,V782/U782,0)</x:f>
        <x:v>0.00007631136221740503</x:v>
      </x:c>
      <x:c r="X782" s="80" t="n">
        <x:f>W782*('Inputs'!$B$6-AC782)</x:f>
        <x:v>76141.52881997619</x:v>
      </x:c>
      <x:c r="Y782" s="80" t="n">
        <x:f>2*V782</x:f>
        <x:v>2963.907840758343</x:v>
      </x:c>
      <x:c r="Z782" s="80" t="n">
        <x:f>K782*'Inputs'!$B$16+(G782+R782)*J782*'Inputs'!$B$16</x:f>
        <x:v>18.41904167144928</x:v>
      </x:c>
      <x:c r="AA782" s="80" t="n">
        <x:f>K782*(1+'Inputs'!$E$46)/2*'Inputs'!$B$17</x:f>
        <x:v>6.104105350931161</x:v>
      </x:c>
      <x:c r="AB782" s="78" t="n">
        <x:f>(IF(J782&gt;0,K782*(1-'Inputs'!$E$46)/2/J782,0)+G782+R782)*'Inputs'!$B$17</x:f>
        <x:v>78155.53285607716</x:v>
      </x:c>
      <x:c r="AC782" s="78" t="n">
        <x:f>AC781+AB782</x:f>
        <x:v>2225532.2470198967</x:v>
      </x:c>
      <x:c r="AD782" s="80" t="n">
        <x:f>Z782/(1+'Inputs'!$C$46)</x:f>
        <x:v>9.20952083572464</x:v>
      </x:c>
      <x:c r="AE782" s="80" t="n">
        <x:f>Z782-AD782</x:f>
        <x:v>9.20952083572464</x:v>
      </x:c>
      <x:c r="AF782" s="80" t="n">
        <x:f>D782*W782</x:f>
        <x:v>22.76973743197889</x:v>
      </x:c>
      <x:c r="AG782" s="80" t="n">
        <x:f>C782*W782</x:f>
        <x:v>53.12938734128365</x:v>
      </x:c>
      <x:c r="AH782" s="80" t="n">
        <x:f>2*'Inputs'!$B$8*'Inputs'!$C$46</x:f>
        <x:v>5000</x:v>
      </x:c>
      <x:c r="AI782" s="81" t="n">
        <x:f>IF(AH782&gt;0,(AE782+AF782)/AH782*365,0)</x:f>
        <x:v>2.3344858535423576</x:v>
      </x:c>
      <x:c r="AJ782" s="81" t="n">
        <x:f>IF('Inputs'!$B$46&gt;0,AG782/('Inputs'!$B$19*'Inputs'!$B$46)*365,0)</x:f>
        <x:v>1.9392226379568533</x:v>
      </x:c>
      <x:c r="AK782" s="81" t="n">
        <x:f>W782/MAX($W$734:W782)-1</x:f>
        <x:v>-0.9094533439060656</x:v>
      </x:c>
      <x:c r="AL782" s="83" t="n">
        <x:f>'Inputs'!$B$46</x:f>
        <x:v>1</x:v>
      </x:c>
      <x:c r="AM782" s="83" t="n">
        <x:f>'Inputs'!$C$46</x:f>
        <x:v>1</x:v>
      </x:c>
      <x:c r="AN782" s="83" t="n">
        <x:f>'Inputs'!$D$46</x:f>
        <x:v>1</x:v>
      </x:c>
      <x:c r="AO782" s="81" t="n">
        <x:f>'Inputs'!$E$46</x:f>
        <x:v>0</x:v>
      </x:c>
    </x:row>
    <x:row r="783">
      <x:c r="A783" s="59" t="str">
        <x:v>Base</x:v>
      </x:c>
      <x:c r="B783" s="59" t="n">
        <x:v>50</x:v>
      </x:c>
      <x:c r="C783" s="78" t="n">
        <x:f>(('Inputs'!$B$29*(3*50*'Inputs'!$B$12-50^2)/(2*'Inputs'!$B$12^2))-('Inputs'!$B$29*(3*49*'Inputs'!$B$12-49^2)/(2*'Inputs'!$B$12^2)))*'Inputs'!$B$46</x:f>
        <x:v>695893.4603115022</x:v>
      </x:c>
      <x:c r="D783" s="78" t="n">
        <x:f>IF('Inputs'!$C$46&gt;0,('Inputs'!$B$30*(3*50*'Inputs'!$B$12-50^2)/(2*'Inputs'!$B$12^2))-('Inputs'!$B$30*(3*49*'Inputs'!$B$12-49^2)/(2*'Inputs'!$B$12^2)),0)</x:f>
        <x:v>298240.0544192139</x:v>
      </x:c>
      <x:c r="E783" s="78" t="n">
        <x:f>C783+D783</x:f>
        <x:v>994133.5147307161</x:v>
      </x:c>
      <x:c r="F783" s="78" t="n">
        <x:f>'Inputs'!$B$13*E783+(1-'Inputs'!$B$13)/'Inputs'!$B$14*SUM(E734:E783)</x:f>
        <x:v>917049.7681151642</x:v>
      </x:c>
      <x:c r="G783" s="78" t="n">
        <x:f>F783*'Inputs'!$F$46</x:f>
        <x:v>458524.8840575821</x:v>
      </x:c>
      <x:c r="H783" s="78" t="n">
        <x:f>U782</x:f>
        <x:v>19419833.132544562</x:v>
      </x:c>
      <x:c r="I783" s="78" t="n">
        <x:f>V782</x:f>
        <x:v>1481.9539203791714</x:v>
      </x:c>
      <x:c r="J783" s="79" t="n">
        <x:f>IF(H783&gt;0,I783/H783,0)</x:f>
        <x:v>0.00007631136221740503</x:v>
      </x:c>
      <x:c r="K783" s="80" t="n">
        <x:f>(H783*J783+I783)*'Inputs'!$D$46*(1+'Inputs'!$G$46)^(B783/30)</x:f>
        <x:v>2963.907840758343</x:v>
      </x:c>
      <x:c r="L783" s="80" t="n">
        <x:f>MAX(0,K783*'Inputs'!$E$46)</x:f>
        <x:v>0</x:v>
      </x:c>
      <x:c r="M783" s="80" t="n">
        <x:f>MAX(0,-K783*'Inputs'!$E$46)</x:f>
        <x:v>0</x:v>
      </x:c>
      <x:c r="N783" s="78" t="n">
        <x:f>H783*(L783*(1-'Inputs'!$B$15))/(I783+L783*(1-'Inputs'!$B$15))</x:f>
        <x:v>0</x:v>
      </x:c>
      <x:c r="O783" s="78" t="n">
        <x:f>H783-N783</x:f>
        <x:v>19419833.132544562</x:v>
      </x:c>
      <x:c r="P783" s="78" t="n">
        <x:f>I783+L783*(1-'Inputs'!$B$17)</x:f>
        <x:v>1481.9539203791714</x:v>
      </x:c>
      <x:c r="Q783" s="78" t="n">
        <x:f>IF(J783&gt;0,M783/J783,0)</x:f>
        <x:v>0</x:v>
      </x:c>
      <x:c r="R783" s="78" t="n">
        <x:f>IF(B783='Inputs'!$H$46,'Inputs'!$B$27*'Inputs'!$I$46,0)</x:f>
        <x:v>0</x:v>
      </x:c>
      <x:c r="S783" s="78" t="n">
        <x:f>Q783+G783+R783</x:f>
        <x:v>458524.8840575821</x:v>
      </x:c>
      <x:c r="T783" s="78" t="n">
        <x:f>P783*(S783*(1-'Inputs'!$B$15))/(O783+S783*(1-'Inputs'!$B$15))</x:f>
        <x:v>33.84951764752935</x:v>
      </x:c>
      <x:c r="U783" s="78" t="n">
        <x:f>O783+S783*(1-'Inputs'!$B$17)</x:f>
        <x:v>19876512.846042555</x:v>
      </x:c>
      <x:c r="V783" s="78" t="n">
        <x:f>P783-T783</x:f>
        <x:v>1448.104402731642</x:v>
      </x:c>
      <x:c r="W783" s="79" t="n">
        <x:f>IF(U783&gt;0,V783/U783,0)</x:f>
        <x:v>0.00007285505329572747</x:v>
      </x:c>
      <x:c r="X783" s="80" t="n">
        <x:f>W783*('Inputs'!$B$6-AC783)</x:f>
        <x:v>72687.08410239135</x:v>
      </x:c>
      <x:c r="Y783" s="80" t="n">
        <x:f>2*V783</x:f>
        <x:v>2896.208805463284</x:v>
      </x:c>
      <x:c r="Z783" s="80" t="n">
        <x:f>K783*'Inputs'!$B$16+(G783+R783)*J783*'Inputs'!$B$16</x:f>
        <x:v>17.99339099562813</x:v>
      </x:c>
      <x:c r="AA783" s="80" t="n">
        <x:f>K783*(1+'Inputs'!$E$46)/2*'Inputs'!$B$17</x:f>
        <x:v>5.96359726510733</x:v>
      </x:c>
      <x:c r="AB783" s="78" t="n">
        <x:f>(IF(J783&gt;0,K783*(1-'Inputs'!$E$46)/2/J783,0)+G783+R783)*'Inputs'!$B$17</x:f>
        <x:v>79993.3924209342</x:v>
      </x:c>
      <x:c r="AC783" s="78" t="n">
        <x:f>AC782+AB783</x:f>
        <x:v>2305525.639440831</x:v>
      </x:c>
      <x:c r="AD783" s="80" t="n">
        <x:f>Z783/(1+'Inputs'!$C$46)</x:f>
        <x:v>8.996695497814065</x:v>
      </x:c>
      <x:c r="AE783" s="80" t="n">
        <x:f>Z783-AD783</x:f>
        <x:v>8.996695497814065</x:v>
      </x:c>
      <x:c r="AF783" s="80" t="n">
        <x:f>D783*W783</x:f>
        <x:v>21.72829505963249</x:v>
      </x:c>
      <x:c r="AG783" s="80" t="n">
        <x:f>C783*W783</x:f>
        <x:v>50.6993551391427</x:v>
      </x:c>
      <x:c r="AH783" s="80" t="n">
        <x:f>2*'Inputs'!$B$8*'Inputs'!$C$46</x:f>
        <x:v>5000</x:v>
      </x:c>
      <x:c r="AI783" s="81" t="n">
        <x:f>IF(AH783&gt;0,(AE783+AF783)/AH783*365,0)</x:f>
        <x:v>2.2429243106935983</x:v>
      </x:c>
      <x:c r="AJ783" s="81" t="n">
        <x:f>IF('Inputs'!$B$46&gt;0,AG783/('Inputs'!$B$19*'Inputs'!$B$46)*365,0)</x:f>
        <x:v>1.8505264625787088</x:v>
      </x:c>
      <x:c r="AK783" s="81" t="n">
        <x:f>W783/MAX($W$734:W783)-1</x:f>
        <x:v>-0.91355440050094</x:v>
      </x:c>
      <x:c r="AL783" s="83" t="n">
        <x:f>'Inputs'!$B$46</x:f>
        <x:v>1</x:v>
      </x:c>
      <x:c r="AM783" s="83" t="n">
        <x:f>'Inputs'!$C$46</x:f>
        <x:v>1</x:v>
      </x:c>
      <x:c r="AN783" s="83" t="n">
        <x:f>'Inputs'!$D$46</x:f>
        <x:v>1</x:v>
      </x:c>
      <x:c r="AO783" s="81" t="n">
        <x:f>'Inputs'!$E$46</x:f>
        <x:v>0</x:v>
      </x:c>
    </x:row>
    <x:row r="784">
      <x:c r="A784" s="59" t="str">
        <x:v>Base</x:v>
      </x:c>
      <x:c r="B784" s="59" t="n">
        <x:v>51</x:v>
      </x:c>
      <x:c r="C784" s="78" t="n">
        <x:f>(('Inputs'!$B$29*(3*51*'Inputs'!$B$12-51^2)/(2*'Inputs'!$B$12^2))-('Inputs'!$B$29*(3*50*'Inputs'!$B$12-50^2)/(2*'Inputs'!$B$12^2)))*'Inputs'!$B$46</x:f>
        <x:v>695568.3524113372</x:v>
      </x:c>
      <x:c r="D784" s="78" t="n">
        <x:f>IF('Inputs'!$C$46&gt;0,('Inputs'!$B$30*(3*51*'Inputs'!$B$12-51^2)/(2*'Inputs'!$B$12^2))-('Inputs'!$B$30*(3*50*'Inputs'!$B$12-50^2)/(2*'Inputs'!$B$12^2)),0)</x:f>
        <x:v>298100.7224620003</x:v>
      </x:c>
      <x:c r="E784" s="78" t="n">
        <x:f>C784+D784</x:f>
        <x:v>993669.0748733375</x:v>
      </x:c>
      <x:c r="F784" s="78" t="n">
        <x:f>'Inputs'!$B$13*E784+(1-'Inputs'!$B$13)/'Inputs'!$B$14*SUM(E734:E784)</x:f>
        <x:v>931152.152641879</x:v>
      </x:c>
      <x:c r="G784" s="78" t="n">
        <x:f>F784*'Inputs'!$F$46</x:f>
        <x:v>465576.0763209395</x:v>
      </x:c>
      <x:c r="H784" s="78" t="n">
        <x:f>U783</x:f>
        <x:v>19876512.846042555</x:v>
      </x:c>
      <x:c r="I784" s="78" t="n">
        <x:f>V783</x:f>
        <x:v>1448.104402731642</x:v>
      </x:c>
      <x:c r="J784" s="79" t="n">
        <x:f>IF(H784&gt;0,I784/H784,0)</x:f>
        <x:v>0.00007285505329572747</x:v>
      </x:c>
      <x:c r="K784" s="80" t="n">
        <x:f>(H784*J784+I784)*'Inputs'!$D$46*(1+'Inputs'!$G$46)^(B784/30)</x:f>
        <x:v>2896.208805463284</x:v>
      </x:c>
      <x:c r="L784" s="80" t="n">
        <x:f>MAX(0,K784*'Inputs'!$E$46)</x:f>
        <x:v>0</x:v>
      </x:c>
      <x:c r="M784" s="80" t="n">
        <x:f>MAX(0,-K784*'Inputs'!$E$46)</x:f>
        <x:v>0</x:v>
      </x:c>
      <x:c r="N784" s="78" t="n">
        <x:f>H784*(L784*(1-'Inputs'!$B$15))/(I784+L784*(1-'Inputs'!$B$15))</x:f>
        <x:v>0</x:v>
      </x:c>
      <x:c r="O784" s="78" t="n">
        <x:f>H784-N784</x:f>
        <x:v>19876512.846042555</x:v>
      </x:c>
      <x:c r="P784" s="78" t="n">
        <x:f>I784+L784*(1-'Inputs'!$B$17)</x:f>
        <x:v>1448.104402731642</x:v>
      </x:c>
      <x:c r="Q784" s="78" t="n">
        <x:f>IF(J784&gt;0,M784/J784,0)</x:f>
        <x:v>0</x:v>
      </x:c>
      <x:c r="R784" s="78" t="n">
        <x:f>IF(B784='Inputs'!$H$46,'Inputs'!$B$27*'Inputs'!$I$46,0)</x:f>
        <x:v>0</x:v>
      </x:c>
      <x:c r="S784" s="78" t="n">
        <x:f>Q784+G784+R784</x:f>
        <x:v>465576.0763209395</x:v>
      </x:c>
      <x:c r="T784" s="78" t="n">
        <x:f>P784*(S784*(1-'Inputs'!$B$15))/(O784+S784*(1-'Inputs'!$B$15))</x:f>
        <x:v>32.819320558498966</x:v>
      </x:c>
      <x:c r="U784" s="78" t="n">
        <x:f>O784+S784*(1-'Inputs'!$B$17)</x:f>
        <x:v>20340215.37678474</x:v>
      </x:c>
      <x:c r="V784" s="78" t="n">
        <x:f>P784-T784</x:f>
        <x:v>1415.285082173143</x:v>
      </x:c>
      <x:c r="W784" s="79" t="n">
        <x:f>IF(U784&gt;0,V784/U784,0)</x:f>
        <x:v>0.00006958063402752735</x:v>
      </x:c>
      <x:c r="X784" s="80" t="n">
        <x:f>W784*('Inputs'!$B$6-AC784)</x:f>
        <x:v>69414.51825496889</x:v>
      </x:c>
      <x:c r="Y784" s="80" t="n">
        <x:f>2*V784</x:f>
        <x:v>2830.570164346286</x:v>
      </x:c>
      <x:c r="Z784" s="80" t="n">
        <x:f>K784*'Inputs'!$B$16+(G784+R784)*J784*'Inputs'!$B$16</x:f>
        <x:v>17.58077025190117</x:v>
      </x:c>
      <x:c r="AA784" s="80" t="n">
        <x:f>K784*(1+'Inputs'!$E$46)/2*'Inputs'!$B$17</x:f>
        <x:v>5.827381902340612</x:v>
      </x:c>
      <x:c r="AB784" s="78" t="n">
        <x:f>(IF(J784&gt;0,K784*(1-'Inputs'!$E$46)/2/J784,0)+G784+R784)*'Inputs'!$B$17</x:f>
        <x:v>81859.51276605028</x:v>
      </x:c>
      <x:c r="AC784" s="78" t="n">
        <x:f>AC783+AB784</x:f>
        <x:v>2387385.152206881</x:v>
      </x:c>
      <x:c r="AD784" s="80" t="n">
        <x:f>Z784/(1+'Inputs'!$C$46)</x:f>
        <x:v>8.790385125950586</x:v>
      </x:c>
      <x:c r="AE784" s="80" t="n">
        <x:f>Z784-AD784</x:f>
        <x:v>8.790385125950586</x:v>
      </x:c>
      <x:c r="AF784" s="80" t="n">
        <x:f>D784*W784</x:f>
        <x:v>20.742037272969945</x:v>
      </x:c>
      <x:c r="AG784" s="80" t="n">
        <x:f>C784*W784</x:f>
        <x:v>48.39808697026342</x:v>
      </x:c>
      <x:c r="AH784" s="80" t="n">
        <x:f>2*'Inputs'!$B$8*'Inputs'!$C$46</x:f>
        <x:v>5000</x:v>
      </x:c>
      <x:c r="AI784" s="81" t="n">
        <x:f>IF(AH784&gt;0,(AE784+AF784)/AH784*365,0)</x:f>
        <x:v>2.155866835121199</x:v>
      </x:c>
      <x:c r="AJ784" s="81" t="n">
        <x:f>IF('Inputs'!$B$46&gt;0,AG784/('Inputs'!$B$19*'Inputs'!$B$46)*365,0)</x:f>
        <x:v>1.766530174414615</x:v>
      </x:c>
      <x:c r="AK784" s="81" t="n">
        <x:f>W784/MAX($W$734:W784)-1</x:f>
        <x:v>-0.9174396373355335</x:v>
      </x:c>
      <x:c r="AL784" s="83" t="n">
        <x:f>'Inputs'!$B$46</x:f>
        <x:v>1</x:v>
      </x:c>
      <x:c r="AM784" s="83" t="n">
        <x:f>'Inputs'!$C$46</x:f>
        <x:v>1</x:v>
      </x:c>
      <x:c r="AN784" s="83" t="n">
        <x:f>'Inputs'!$D$46</x:f>
        <x:v>1</x:v>
      </x:c>
      <x:c r="AO784" s="81" t="n">
        <x:f>'Inputs'!$E$46</x:f>
        <x:v>0</x:v>
      </x:c>
    </x:row>
    <x:row r="785">
      <x:c r="A785" s="59" t="str">
        <x:v>Base</x:v>
      </x:c>
      <x:c r="B785" s="59" t="n">
        <x:v>52</x:v>
      </x:c>
      <x:c r="C785" s="78" t="n">
        <x:f>(('Inputs'!$B$29*(3*52*'Inputs'!$B$12-52^2)/(2*'Inputs'!$B$12^2))-('Inputs'!$B$29*(3*51*'Inputs'!$B$12-51^2)/(2*'Inputs'!$B$12^2)))*'Inputs'!$B$46</x:f>
        <x:v>695243.2445111647</x:v>
      </x:c>
      <x:c r="D785" s="78" t="n">
        <x:f>IF('Inputs'!$C$46&gt;0,('Inputs'!$B$30*(3*52*'Inputs'!$B$12-52^2)/(2*'Inputs'!$B$12^2))-('Inputs'!$B$30*(3*51*'Inputs'!$B$12-51^2)/(2*'Inputs'!$B$12^2)),0)</x:f>
        <x:v>297961.39050478674</x:v>
      </x:c>
      <x:c r="E785" s="78" t="n">
        <x:f>C785+D785</x:f>
        <x:v>993204.6350159515</x:v>
      </x:c>
      <x:c r="F785" s="78" t="n">
        <x:f>'Inputs'!$B$13*E785+(1-'Inputs'!$B$13)/'Inputs'!$B$14*SUM(E734:E785)</x:f>
        <x:v>945247.9023134868</x:v>
      </x:c>
      <x:c r="G785" s="78" t="n">
        <x:f>F785*'Inputs'!$F$46</x:f>
        <x:v>472623.9511567434</x:v>
      </x:c>
      <x:c r="H785" s="78" t="n">
        <x:f>U784</x:f>
        <x:v>20340215.37678474</x:v>
      </x:c>
      <x:c r="I785" s="78" t="n">
        <x:f>V784</x:f>
        <x:v>1415.285082173143</x:v>
      </x:c>
      <x:c r="J785" s="79" t="n">
        <x:f>IF(H785&gt;0,I785/H785,0)</x:f>
        <x:v>0.00006958063402752735</x:v>
      </x:c>
      <x:c r="K785" s="80" t="n">
        <x:f>(H785*J785+I785)*'Inputs'!$D$46*(1+'Inputs'!$G$46)^(B785/30)</x:f>
        <x:v>2830.570164346286</x:v>
      </x:c>
      <x:c r="L785" s="80" t="n">
        <x:f>MAX(0,K785*'Inputs'!$E$46)</x:f>
        <x:v>0</x:v>
      </x:c>
      <x:c r="M785" s="80" t="n">
        <x:f>MAX(0,-K785*'Inputs'!$E$46)</x:f>
        <x:v>0</x:v>
      </x:c>
      <x:c r="N785" s="78" t="n">
        <x:f>H785*(L785*(1-'Inputs'!$B$15))/(I785+L785*(1-'Inputs'!$B$15))</x:f>
        <x:v>0</x:v>
      </x:c>
      <x:c r="O785" s="78" t="n">
        <x:f>H785-N785</x:f>
        <x:v>20340215.37678474</x:v>
      </x:c>
      <x:c r="P785" s="78" t="n">
        <x:f>I785+L785*(1-'Inputs'!$B$17)</x:f>
        <x:v>1415.285082173143</x:v>
      </x:c>
      <x:c r="Q785" s="78" t="n">
        <x:f>IF(J785&gt;0,M785/J785,0)</x:f>
        <x:v>0</x:v>
      </x:c>
      <x:c r="R785" s="78" t="n">
        <x:f>IF(B785='Inputs'!$H$46,'Inputs'!$B$27*'Inputs'!$I$46,0)</x:f>
        <x:v>0</x:v>
      </x:c>
      <x:c r="S785" s="78" t="n">
        <x:f>Q785+G785+R785</x:f>
        <x:v>472623.9511567434</x:v>
      </x:c>
      <x:c r="T785" s="78" t="n">
        <x:f>P785*(S785*(1-'Inputs'!$B$15))/(O785+S785*(1-'Inputs'!$B$15))</x:f>
        <x:v>31.824541151815495</x:v>
      </x:c>
      <x:c r="U785" s="78" t="n">
        <x:f>O785+S785*(1-'Inputs'!$B$17)</x:f>
        <x:v>20810937.420693368</x:v>
      </x:c>
      <x:c r="V785" s="78" t="n">
        <x:f>P785-T785</x:f>
        <x:v>1383.4605410213276</x:v>
      </x:c>
      <x:c r="W785" s="79" t="n">
        <x:f>IF(U785&gt;0,V785/U785,0)</x:f>
        <x:v>0.00006647756960941523</x:v>
      </x:c>
      <x:c r="X785" s="80" t="n">
        <x:f>W785*('Inputs'!$B$6-AC785)</x:f>
        <x:v>66313.29429234758</x:v>
      </x:c>
      <x:c r="Y785" s="80" t="n">
        <x:f>2*V785</x:f>
        <x:v>2766.921082042655</x:v>
      </x:c>
      <x:c r="Z785" s="80" t="n">
        <x:f>K785*'Inputs'!$B$16+(G785+R785)*J785*'Inputs'!$B$16</x:f>
        <x:v>17.180733831146206</x:v>
      </x:c>
      <x:c r="AA785" s="80" t="n">
        <x:f>K785*(1+'Inputs'!$E$46)/2*'Inputs'!$B$17</x:f>
        <x:v>5.695312201903997</x:v>
      </x:c>
      <x:c r="AB785" s="78" t="n">
        <x:f>(IF(J785&gt;0,K785*(1-'Inputs'!$E$46)/2/J785,0)+G785+R785)*'Inputs'!$B$17</x:f>
        <x:v>83753.88059533796</x:v>
      </x:c>
      <x:c r="AC785" s="78" t="n">
        <x:f>AC784+AB785</x:f>
        <x:v>2471139.032802219</x:v>
      </x:c>
      <x:c r="AD785" s="80" t="n">
        <x:f>Z785/(1+'Inputs'!$C$46)</x:f>
        <x:v>8.590366915573103</x:v>
      </x:c>
      <x:c r="AE785" s="80" t="n">
        <x:f>Z785-AD785</x:f>
        <x:v>8.590366915573103</x:v>
      </x:c>
      <x:c r="AF785" s="80" t="n">
        <x:f>D785*W785</x:f>
        <x:v>19.807749078200114</x:v>
      </x:c>
      <x:c r="AG785" s="80" t="n">
        <x:f>C785*W785</x:f>
        <x:v>46.21808118246664</x:v>
      </x:c>
      <x:c r="AH785" s="80" t="n">
        <x:f>2*'Inputs'!$B$8*'Inputs'!$C$46</x:f>
        <x:v>5000</x:v>
      </x:c>
      <x:c r="AI785" s="81" t="n">
        <x:f>IF(AH785&gt;0,(AE785+AF785)/AH785*365,0)</x:f>
        <x:v>2.0730624675454448</x:v>
      </x:c>
      <x:c r="AJ785" s="81" t="n">
        <x:f>IF('Inputs'!$B$46&gt;0,AG785/('Inputs'!$B$19*'Inputs'!$B$46)*365,0)</x:f>
        <x:v>1.6869599631600323</x:v>
      </x:c>
      <x:c r="AK785" s="81" t="n">
        <x:f>W785/MAX($W$734:W785)-1</x:f>
        <x:v>-0.9211215543992552</x:v>
      </x:c>
      <x:c r="AL785" s="83" t="n">
        <x:f>'Inputs'!$B$46</x:f>
        <x:v>1</x:v>
      </x:c>
      <x:c r="AM785" s="83" t="n">
        <x:f>'Inputs'!$C$46</x:f>
        <x:v>1</x:v>
      </x:c>
      <x:c r="AN785" s="83" t="n">
        <x:f>'Inputs'!$D$46</x:f>
        <x:v>1</x:v>
      </x:c>
      <x:c r="AO785" s="81" t="n">
        <x:f>'Inputs'!$E$46</x:f>
        <x:v>0</x:v>
      </x:c>
    </x:row>
    <x:row r="786">
      <x:c r="A786" s="59" t="str">
        <x:v>Base</x:v>
      </x:c>
      <x:c r="B786" s="59" t="n">
        <x:v>53</x:v>
      </x:c>
      <x:c r="C786" s="78" t="n">
        <x:f>(('Inputs'!$B$29*(3*53*'Inputs'!$B$12-53^2)/(2*'Inputs'!$B$12^2))-('Inputs'!$B$29*(3*52*'Inputs'!$B$12-52^2)/(2*'Inputs'!$B$12^2)))*'Inputs'!$B$46</x:f>
        <x:v>694918.1366109997</x:v>
      </x:c>
      <x:c r="D786" s="78" t="n">
        <x:f>IF('Inputs'!$C$46&gt;0,('Inputs'!$B$30*(3*53*'Inputs'!$B$12-53^2)/(2*'Inputs'!$B$12^2))-('Inputs'!$B$30*(3*52*'Inputs'!$B$12-52^2)/(2*'Inputs'!$B$12^2)),0)</x:f>
        <x:v>297822.05854756944</x:v>
      </x:c>
      <x:c r="E786" s="78" t="n">
        <x:f>C786+D786</x:f>
        <x:v>992740.1951585691</x:v>
      </x:c>
      <x:c r="F786" s="78" t="n">
        <x:f>'Inputs'!$B$13*E786+(1-'Inputs'!$B$13)/'Inputs'!$B$14*SUM(E734:E786)</x:f>
        <x:v>959337.0171299899</x:v>
      </x:c>
      <x:c r="G786" s="78" t="n">
        <x:f>F786*'Inputs'!$F$46</x:f>
        <x:v>479668.50856499496</x:v>
      </x:c>
      <x:c r="H786" s="78" t="n">
        <x:f>U785</x:f>
        <x:v>20810937.420693368</x:v>
      </x:c>
      <x:c r="I786" s="78" t="n">
        <x:f>V785</x:f>
        <x:v>1383.4605410213276</x:v>
      </x:c>
      <x:c r="J786" s="79" t="n">
        <x:f>IF(H786&gt;0,I786/H786,0)</x:f>
        <x:v>0.00006647756960941523</x:v>
      </x:c>
      <x:c r="K786" s="80" t="n">
        <x:f>(H786*J786+I786)*'Inputs'!$D$46*(1+'Inputs'!$G$46)^(B786/30)</x:f>
        <x:v>2766.921082042655</x:v>
      </x:c>
      <x:c r="L786" s="80" t="n">
        <x:f>MAX(0,K786*'Inputs'!$E$46)</x:f>
        <x:v>0</x:v>
      </x:c>
      <x:c r="M786" s="80" t="n">
        <x:f>MAX(0,-K786*'Inputs'!$E$46)</x:f>
        <x:v>0</x:v>
      </x:c>
      <x:c r="N786" s="78" t="n">
        <x:f>H786*(L786*(1-'Inputs'!$B$15))/(I786+L786*(1-'Inputs'!$B$15))</x:f>
        <x:v>0</x:v>
      </x:c>
      <x:c r="O786" s="78" t="n">
        <x:f>H786-N786</x:f>
        <x:v>20810937.420693368</x:v>
      </x:c>
      <x:c r="P786" s="78" t="n">
        <x:f>I786+L786*(1-'Inputs'!$B$17)</x:f>
        <x:v>1383.4605410213276</x:v>
      </x:c>
      <x:c r="Q786" s="78" t="n">
        <x:f>IF(J786&gt;0,M786/J786,0)</x:f>
        <x:v>0</x:v>
      </x:c>
      <x:c r="R786" s="78" t="n">
        <x:f>IF(B786='Inputs'!$H$46,'Inputs'!$B$27*'Inputs'!$I$46,0)</x:f>
        <x:v>0</x:v>
      </x:c>
      <x:c r="S786" s="78" t="n">
        <x:f>Q786+G786+R786</x:f>
        <x:v>479668.50856499496</x:v>
      </x:c>
      <x:c r="T786" s="78" t="n">
        <x:f>P786*(S786*(1-'Inputs'!$B$15))/(O786+S786*(1-'Inputs'!$B$15))</x:f>
        <x:v>30.864057001092068</x:v>
      </x:c>
      <x:c r="U786" s="78" t="n">
        <x:f>O786+S786*(1-'Inputs'!$B$17)</x:f>
        <x:v>21288675.673690695</x:v>
      </x:c>
      <x:c r="V786" s="78" t="n">
        <x:f>P786-T786</x:f>
        <x:v>1352.5964840202355</x:v>
      </x:c>
      <x:c r="W786" s="79" t="n">
        <x:f>IF(U786&gt;0,V786/U786,0)</x:f>
        <x:v>0.0000635359617832791</x:v>
      </x:c>
      <x:c r="X786" s="80" t="n">
        <x:f>W786*('Inputs'!$B$6-AC786)</x:f>
        <x:v>63373.512050404795</x:v>
      </x:c>
      <x:c r="Y786" s="80" t="n">
        <x:f>2*V786</x:f>
        <x:v>2705.192968040471</x:v>
      </x:c>
      <x:c r="Z786" s="80" t="n">
        <x:f>K786*'Inputs'!$B$16+(G786+R786)*J786*'Inputs'!$B$16</x:f>
        <x:v>16.792849672261376</x:v>
      </x:c>
      <x:c r="AA786" s="80" t="n">
        <x:f>K786*(1+'Inputs'!$E$46)/2*'Inputs'!$B$17</x:f>
        <x:v>5.567245637912787</x:v>
      </x:c>
      <x:c r="AB786" s="78" t="n">
        <x:f>(IF(J786&gt;0,K786*(1-'Inputs'!$E$46)/2/J786,0)+G786+R786)*'Inputs'!$B$17</x:f>
        <x:v>85676.48261270972</x:v>
      </x:c>
      <x:c r="AC786" s="78" t="n">
        <x:f>AC785+AB786</x:f>
        <x:v>2556815.5154149286</x:v>
      </x:c>
      <x:c r="AD786" s="80" t="n">
        <x:f>Z786/(1+'Inputs'!$C$46)</x:f>
        <x:v>8.396424836130688</x:v>
      </x:c>
      <x:c r="AE786" s="80" t="n">
        <x:f>Z786-AD786</x:f>
        <x:v>8.396424836130688</x:v>
      </x:c>
      <x:c r="AF786" s="80" t="n">
        <x:f>D786*W786</x:f>
        <x:v>18.922410930095882</x:v>
      </x:c>
      <x:c r="AG786" s="80" t="n">
        <x:f>C786*W786</x:f>
        <x:v>44.152292170224</x:v>
      </x:c>
      <x:c r="AH786" s="80" t="n">
        <x:f>2*'Inputs'!$B$8*'Inputs'!$C$46</x:f>
        <x:v>5000</x:v>
      </x:c>
      <x:c r="AI786" s="81" t="n">
        <x:f>IF(AH786&gt;0,(AE786+AF786)/AH786*365,0)</x:f>
        <x:v>1.9942750109345397</x:v>
      </x:c>
      <x:c r="AJ786" s="81" t="n">
        <x:f>IF('Inputs'!$B$46&gt;0,AG786/('Inputs'!$B$19*'Inputs'!$B$46)*365,0)</x:f>
        <x:v>1.6115586642131758</x:v>
      </x:c>
      <x:c r="AK786" s="81" t="n">
        <x:f>W786/MAX($W$734:W786)-1</x:f>
        <x:v>-0.9246118963936434</x:v>
      </x:c>
      <x:c r="AL786" s="83" t="n">
        <x:f>'Inputs'!$B$46</x:f>
        <x:v>1</x:v>
      </x:c>
      <x:c r="AM786" s="83" t="n">
        <x:f>'Inputs'!$C$46</x:f>
        <x:v>1</x:v>
      </x:c>
      <x:c r="AN786" s="83" t="n">
        <x:f>'Inputs'!$D$46</x:f>
        <x:v>1</x:v>
      </x:c>
      <x:c r="AO786" s="81" t="n">
        <x:f>'Inputs'!$E$46</x:f>
        <x:v>0</x:v>
      </x:c>
    </x:row>
    <x:row r="787">
      <x:c r="A787" s="59" t="str">
        <x:v>Base</x:v>
      </x:c>
      <x:c r="B787" s="59" t="n">
        <x:v>54</x:v>
      </x:c>
      <x:c r="C787" s="78" t="n">
        <x:f>(('Inputs'!$B$29*(3*54*'Inputs'!$B$12-54^2)/(2*'Inputs'!$B$12^2))-('Inputs'!$B$29*(3*53*'Inputs'!$B$12-53^2)/(2*'Inputs'!$B$12^2)))*'Inputs'!$B$46</x:f>
        <x:v>694593.0287108272</x:v>
      </x:c>
      <x:c r="D787" s="78" t="n">
        <x:f>IF('Inputs'!$C$46&gt;0,('Inputs'!$B$30*(3*54*'Inputs'!$B$12-54^2)/(2*'Inputs'!$B$12^2))-('Inputs'!$B$30*(3*53*'Inputs'!$B$12-53^2)/(2*'Inputs'!$B$12^2)),0)</x:f>
        <x:v>297682.726590354</x:v>
      </x:c>
      <x:c r="E787" s="78" t="n">
        <x:f>C787+D787</x:f>
        <x:v>992275.7553011812</x:v>
      </x:c>
      <x:c r="F787" s="78" t="n">
        <x:f>'Inputs'!$B$13*E787+(1-'Inputs'!$B$13)/'Inputs'!$B$14*SUM(E734:E787)</x:f>
        <x:v>973419.4970913864</x:v>
      </x:c>
      <x:c r="G787" s="78" t="n">
        <x:f>F787*'Inputs'!$F$46</x:f>
        <x:v>486709.7485456932</x:v>
      </x:c>
      <x:c r="H787" s="78" t="n">
        <x:f>U786</x:f>
        <x:v>21288675.673690695</x:v>
      </x:c>
      <x:c r="I787" s="78" t="n">
        <x:f>V786</x:f>
        <x:v>1352.5964840202355</x:v>
      </x:c>
      <x:c r="J787" s="79" t="n">
        <x:f>IF(H787&gt;0,I787/H787,0)</x:f>
        <x:v>0.0000635359617832791</x:v>
      </x:c>
      <x:c r="K787" s="80" t="n">
        <x:f>(H787*J787+I787)*'Inputs'!$D$46*(1+'Inputs'!$G$46)^(B787/30)</x:f>
        <x:v>2705.192968040471</x:v>
      </x:c>
      <x:c r="L787" s="80" t="n">
        <x:f>MAX(0,K787*'Inputs'!$E$46)</x:f>
        <x:v>0</x:v>
      </x:c>
      <x:c r="M787" s="80" t="n">
        <x:f>MAX(0,-K787*'Inputs'!$E$46)</x:f>
        <x:v>0</x:v>
      </x:c>
      <x:c r="N787" s="78" t="n">
        <x:f>H787*(L787*(1-'Inputs'!$B$15))/(I787+L787*(1-'Inputs'!$B$15))</x:f>
        <x:v>0</x:v>
      </x:c>
      <x:c r="O787" s="78" t="n">
        <x:f>H787-N787</x:f>
        <x:v>21288675.673690695</x:v>
      </x:c>
      <x:c r="P787" s="78" t="n">
        <x:f>I787+L787*(1-'Inputs'!$B$17)</x:f>
        <x:v>1352.5964840202355</x:v>
      </x:c>
      <x:c r="Q787" s="78" t="n">
        <x:f>IF(J787&gt;0,M787/J787,0)</x:f>
        <x:v>0</x:v>
      </x:c>
      <x:c r="R787" s="78" t="n">
        <x:f>IF(B787='Inputs'!$H$46,'Inputs'!$B$27*'Inputs'!$I$46,0)</x:f>
        <x:v>0</x:v>
      </x:c>
      <x:c r="S787" s="78" t="n">
        <x:f>Q787+G787+R787</x:f>
        <x:v>486709.7485456932</x:v>
      </x:c>
      <x:c r="T787" s="78" t="n">
        <x:f>P787*(S787*(1-'Inputs'!$B$15))/(O787+S787*(1-'Inputs'!$B$15))</x:f>
        <x:v>29.936755108586556</x:v>
      </x:c>
      <x:c r="U787" s="78" t="n">
        <x:f>O787+S787*(1-'Inputs'!$B$17)</x:f>
        <x:v>21773426.83169898</x:v>
      </x:c>
      <x:c r="V787" s="78" t="n">
        <x:f>P787-T787</x:f>
        <x:v>1322.659728911649</x:v>
      </x:c>
      <x:c r="W787" s="79" t="n">
        <x:f>IF(U787&gt;0,V787/U787,0)</x:f>
        <x:v>0.000060746511751932705</x:v>
      </x:c>
      <x:c r="X787" s="80" t="n">
        <x:f>W787*('Inputs'!$B$6-AC787)</x:f>
        <x:v>60585.87107503334</x:v>
      </x:c>
      <x:c r="Y787" s="80" t="n">
        <x:f>2*V787</x:f>
        <x:v>2645.319457823298</x:v>
      </x:c>
      <x:c r="Z787" s="80" t="n">
        <x:f>K787*'Inputs'!$B$16+(G787+R787)*J787*'Inputs'!$B$16</x:f>
        <x:v>16.416699240141718</x:v>
      </x:c>
      <x:c r="AA787" s="80" t="n">
        <x:f>K787*(1+'Inputs'!$E$46)/2*'Inputs'!$B$17</x:f>
        <x:v>5.443044201288674</x:v>
      </x:c>
      <x:c r="AB787" s="78" t="n">
        <x:f>(IF(J787&gt;0,K787*(1-'Inputs'!$E$46)/2/J787,0)+G787+R787)*'Inputs'!$B$17</x:f>
        <x:v>87627.30552207802</x:v>
      </x:c>
      <x:c r="AC787" s="78" t="n">
        <x:f>AC786+AB787</x:f>
        <x:v>2644442.8209370067</x:v>
      </x:c>
      <x:c r="AD787" s="80" t="n">
        <x:f>Z787/(1+'Inputs'!$C$46)</x:f>
        <x:v>8.208349620070859</x:v>
      </x:c>
      <x:c r="AE787" s="80" t="n">
        <x:f>Z787-AD787</x:f>
        <x:v>8.208349620070859</x:v>
      </x:c>
      <x:c r="AF787" s="80" t="n">
        <x:f>D787*W787</x:f>
        <x:v>18.083187249168308</x:v>
      </x:c>
      <x:c r="AG787" s="80" t="n">
        <x:f>C787*W787</x:f>
        <x:v>42.194103581392795</x:v>
      </x:c>
      <x:c r="AH787" s="80" t="n">
        <x:f>2*'Inputs'!$B$8*'Inputs'!$C$46</x:f>
        <x:v>5000</x:v>
      </x:c>
      <x:c r="AI787" s="81" t="n">
        <x:f>IF(AH787&gt;0,(AE787+AF787)/AH787*365,0)</x:f>
        <x:v>1.919282191454459</x:v>
      </x:c>
      <x:c r="AJ787" s="81" t="n">
        <x:f>IF('Inputs'!$B$46&gt;0,AG787/('Inputs'!$B$19*'Inputs'!$B$46)*365,0)</x:f>
        <x:v>1.5400847807208369</x:v>
      </x:c>
      <x:c r="AK787" s="81" t="n">
        <x:f>W787/MAX($W$734:W787)-1</x:f>
        <x:v>-0.927921696734515</x:v>
      </x:c>
      <x:c r="AL787" s="83" t="n">
        <x:f>'Inputs'!$B$46</x:f>
        <x:v>1</x:v>
      </x:c>
      <x:c r="AM787" s="83" t="n">
        <x:f>'Inputs'!$C$46</x:f>
        <x:v>1</x:v>
      </x:c>
      <x:c r="AN787" s="83" t="n">
        <x:f>'Inputs'!$D$46</x:f>
        <x:v>1</x:v>
      </x:c>
      <x:c r="AO787" s="81" t="n">
        <x:f>'Inputs'!$E$46</x:f>
        <x:v>0</x:v>
      </x:c>
    </x:row>
    <x:row r="788">
      <x:c r="A788" s="59" t="str">
        <x:v>Base</x:v>
      </x:c>
      <x:c r="B788" s="59" t="n">
        <x:v>55</x:v>
      </x:c>
      <x:c r="C788" s="78" t="n">
        <x:f>(('Inputs'!$B$29*(3*55*'Inputs'!$B$12-55^2)/(2*'Inputs'!$B$12^2))-('Inputs'!$B$29*(3*54*'Inputs'!$B$12-54^2)/(2*'Inputs'!$B$12^2)))*'Inputs'!$B$46</x:f>
        <x:v>694267.9208106548</x:v>
      </x:c>
      <x:c r="D788" s="78" t="n">
        <x:f>IF('Inputs'!$C$46&gt;0,('Inputs'!$B$30*(3*55*'Inputs'!$B$12-55^2)/(2*'Inputs'!$B$12^2))-('Inputs'!$B$30*(3*54*'Inputs'!$B$12-54^2)/(2*'Inputs'!$B$12^2)),0)</x:f>
        <x:v>297543.3946331404</x:v>
      </x:c>
      <x:c r="E788" s="78" t="n">
        <x:f>C788+D788</x:f>
        <x:v>991811.3154437952</x:v>
      </x:c>
      <x:c r="F788" s="78" t="n">
        <x:f>'Inputs'!$B$13*E788+(1-'Inputs'!$B$13)/'Inputs'!$B$14*SUM(E734:E788)</x:f>
        <x:v>987495.3421976777</x:v>
      </x:c>
      <x:c r="G788" s="78" t="n">
        <x:f>F788*'Inputs'!$F$46</x:f>
        <x:v>493747.67109883885</x:v>
      </x:c>
      <x:c r="H788" s="78" t="n">
        <x:f>U787</x:f>
        <x:v>21773426.83169898</x:v>
      </x:c>
      <x:c r="I788" s="78" t="n">
        <x:f>V787</x:f>
        <x:v>1322.659728911649</x:v>
      </x:c>
      <x:c r="J788" s="79" t="n">
        <x:f>IF(H788&gt;0,I788/H788,0)</x:f>
        <x:v>0.000060746511751932705</x:v>
      </x:c>
      <x:c r="K788" s="80" t="n">
        <x:f>(H788*J788+I788)*'Inputs'!$D$46*(1+'Inputs'!$G$46)^(B788/30)</x:f>
        <x:v>2645.319457823298</x:v>
      </x:c>
      <x:c r="L788" s="80" t="n">
        <x:f>MAX(0,K788*'Inputs'!$E$46)</x:f>
        <x:v>0</x:v>
      </x:c>
      <x:c r="M788" s="80" t="n">
        <x:f>MAX(0,-K788*'Inputs'!$E$46)</x:f>
        <x:v>0</x:v>
      </x:c>
      <x:c r="N788" s="78" t="n">
        <x:f>H788*(L788*(1-'Inputs'!$B$15))/(I788+L788*(1-'Inputs'!$B$15))</x:f>
        <x:v>0</x:v>
      </x:c>
      <x:c r="O788" s="78" t="n">
        <x:f>H788-N788</x:f>
        <x:v>21773426.83169898</x:v>
      </x:c>
      <x:c r="P788" s="78" t="n">
        <x:f>I788+L788*(1-'Inputs'!$B$17)</x:f>
        <x:v>1322.659728911649</x:v>
      </x:c>
      <x:c r="Q788" s="78" t="n">
        <x:f>IF(J788&gt;0,M788/J788,0)</x:f>
        <x:v>0</x:v>
      </x:c>
      <x:c r="R788" s="78" t="n">
        <x:f>IF(B788='Inputs'!$H$46,'Inputs'!$B$27*'Inputs'!$I$46,0)</x:f>
        <x:v>0</x:v>
      </x:c>
      <x:c r="S788" s="78" t="n">
        <x:f>Q788+G788+R788</x:f>
        <x:v>493747.67109883885</x:v>
      </x:c>
      <x:c r="T788" s="78" t="n">
        <x:f>P788*(S788*(1-'Inputs'!$B$15))/(O788+S788*(1-'Inputs'!$B$15))</x:f>
        <x:v>29.0415360523151</x:v>
      </x:c>
      <x:c r="U788" s="78" t="n">
        <x:f>O788+S788*(1-'Inputs'!$B$17)</x:f>
        <x:v>22265187.590640478</x:v>
      </x:c>
      <x:c r="V788" s="78" t="n">
        <x:f>P788-T788</x:f>
        <x:v>1293.618192859334</x:v>
      </x:c>
      <x:c r="W788" s="79" t="n">
        <x:f>IF(U788&gt;0,V788/U788,0)</x:f>
        <x:v>0.00005810048478563579</x:v>
      </x:c>
      <x:c r="X788" s="80" t="n">
        <x:f>W788*('Inputs'!$B$6-AC788)</x:f>
        <x:v>57941.6352041884</x:v>
      </x:c>
      <x:c r="Y788" s="80" t="n">
        <x:f>2*V788</x:f>
        <x:v>2587.236385718668</x:v>
      </x:c>
      <x:c r="Z788" s="80" t="n">
        <x:f>K788*'Inputs'!$B$16+(G788+R788)*J788*'Inputs'!$B$16</x:f>
        <x:v>16.051877439169157</x:v>
      </x:c>
      <x:c r="AA788" s="80" t="n">
        <x:f>K788*(1+'Inputs'!$E$46)/2*'Inputs'!$B$17</x:f>
        <x:v>5.322574361817501</x:v>
      </x:c>
      <x:c r="AB788" s="78" t="n">
        <x:f>(IF(J788&gt;0,K788*(1-'Inputs'!$E$46)/2/J788,0)+G788+R788)*'Inputs'!$B$17</x:f>
        <x:v>89606.33602735541</x:v>
      </x:c>
      <x:c r="AC788" s="78" t="n">
        <x:f>AC787+AB788</x:f>
        <x:v>2734049.156964362</x:v>
      </x:c>
      <x:c r="AD788" s="80" t="n">
        <x:f>Z788/(1+'Inputs'!$C$46)</x:f>
        <x:v>8.025938719584579</x:v>
      </x:c>
      <x:c r="AE788" s="80" t="n">
        <x:f>Z788-AD788</x:f>
        <x:v>8.025938719584579</x:v>
      </x:c>
      <x:c r="AF788" s="80" t="n">
        <x:f>D788*W788</x:f>
        <x:v>17.2874154729492</x:v>
      </x:c>
      <x:c r="AG788" s="80" t="n">
        <x:f>C788*W788</x:f>
        <x:v>40.33730277021444</x:v>
      </x:c>
      <x:c r="AH788" s="80" t="n">
        <x:f>2*'Inputs'!$B$8*'Inputs'!$C$46</x:f>
        <x:v>5000</x:v>
      </x:c>
      <x:c r="AI788" s="81" t="n">
        <x:f>IF(AH788&gt;0,(AE788+AF788)/AH788*365,0)</x:f>
        <x:v>1.847874856054966</x:v>
      </x:c>
      <x:c r="AJ788" s="81" t="n">
        <x:f>IF('Inputs'!$B$46&gt;0,AG788/('Inputs'!$B$19*'Inputs'!$B$46)*365,0)</x:f>
        <x:v>1.472311551112827</x:v>
      </x:c>
      <x:c r="AK788" s="81" t="n">
        <x:f>W788/MAX($W$734:W788)-1</x:f>
        <x:v>-0.9310613195478255</x:v>
      </x:c>
      <x:c r="AL788" s="83" t="n">
        <x:f>'Inputs'!$B$46</x:f>
        <x:v>1</x:v>
      </x:c>
      <x:c r="AM788" s="83" t="n">
        <x:f>'Inputs'!$C$46</x:f>
        <x:v>1</x:v>
      </x:c>
      <x:c r="AN788" s="83" t="n">
        <x:f>'Inputs'!$D$46</x:f>
        <x:v>1</x:v>
      </x:c>
      <x:c r="AO788" s="81" t="n">
        <x:f>'Inputs'!$E$46</x:f>
        <x:v>0</x:v>
      </x:c>
    </x:row>
    <x:row r="789">
      <x:c r="A789" s="59" t="str">
        <x:v>Base</x:v>
      </x:c>
      <x:c r="B789" s="59" t="n">
        <x:v>56</x:v>
      </x:c>
      <x:c r="C789" s="78" t="n">
        <x:f>(('Inputs'!$B$29*(3*56*'Inputs'!$B$12-56^2)/(2*'Inputs'!$B$12^2))-('Inputs'!$B$29*(3*55*'Inputs'!$B$12-55^2)/(2*'Inputs'!$B$12^2)))*'Inputs'!$B$46</x:f>
        <x:v>693942.8129104897</x:v>
      </x:c>
      <x:c r="D789" s="78" t="n">
        <x:f>IF('Inputs'!$C$46&gt;0,('Inputs'!$B$30*(3*56*'Inputs'!$B$12-56^2)/(2*'Inputs'!$B$12^2))-('Inputs'!$B$30*(3*55*'Inputs'!$B$12-55^2)/(2*'Inputs'!$B$12^2)),0)</x:f>
        <x:v>297404.0626759231</x:v>
      </x:c>
      <x:c r="E789" s="78" t="n">
        <x:f>C789+D789</x:f>
        <x:v>991346.8755864128</x:v>
      </x:c>
      <x:c r="F789" s="78" t="n">
        <x:f>'Inputs'!$B$13*E789+(1-'Inputs'!$B$13)/'Inputs'!$B$14*SUM(E734:E789)</x:f>
        <x:v>1001564.5524488643</x:v>
      </x:c>
      <x:c r="G789" s="78" t="n">
        <x:f>F789*'Inputs'!$F$46</x:f>
        <x:v>500782.27622443216</x:v>
      </x:c>
      <x:c r="H789" s="78" t="n">
        <x:f>U788</x:f>
        <x:v>22265187.590640478</x:v>
      </x:c>
      <x:c r="I789" s="78" t="n">
        <x:f>V788</x:f>
        <x:v>1293.618192859334</x:v>
      </x:c>
      <x:c r="J789" s="79" t="n">
        <x:f>IF(H789&gt;0,I789/H789,0)</x:f>
        <x:v>0.00005810048478563579</x:v>
      </x:c>
      <x:c r="K789" s="80" t="n">
        <x:f>(H789*J789+I789)*'Inputs'!$D$46*(1+'Inputs'!$G$46)^(B789/30)</x:f>
        <x:v>2587.236385718668</x:v>
      </x:c>
      <x:c r="L789" s="80" t="n">
        <x:f>MAX(0,K789*'Inputs'!$E$46)</x:f>
        <x:v>0</x:v>
      </x:c>
      <x:c r="M789" s="80" t="n">
        <x:f>MAX(0,-K789*'Inputs'!$E$46)</x:f>
        <x:v>0</x:v>
      </x:c>
      <x:c r="N789" s="78" t="n">
        <x:f>H789*(L789*(1-'Inputs'!$B$15))/(I789+L789*(1-'Inputs'!$B$15))</x:f>
        <x:v>0</x:v>
      </x:c>
      <x:c r="O789" s="78" t="n">
        <x:f>H789-N789</x:f>
        <x:v>22265187.590640478</x:v>
      </x:c>
      <x:c r="P789" s="78" t="n">
        <x:f>I789+L789*(1-'Inputs'!$B$17)</x:f>
        <x:v>1293.618192859334</x:v>
      </x:c>
      <x:c r="Q789" s="78" t="n">
        <x:f>IF(J789&gt;0,M789/J789,0)</x:f>
        <x:v>0</x:v>
      </x:c>
      <x:c r="R789" s="78" t="n">
        <x:f>IF(B789='Inputs'!$H$46,'Inputs'!$B$27*'Inputs'!$I$46,0)</x:f>
        <x:v>0</x:v>
      </x:c>
      <x:c r="S789" s="78" t="n">
        <x:f>Q789+G789+R789</x:f>
        <x:v>500782.27622443216</x:v>
      </x:c>
      <x:c r="T789" s="78" t="n">
        <x:f>P789*(S789*(1-'Inputs'!$B$15))/(O789+S789*(1-'Inputs'!$B$15))</x:f>
        <x:v>28.177317431085932</x:v>
      </x:c>
      <x:c r="U789" s="78" t="n">
        <x:f>O789+S789*(1-'Inputs'!$B$17)</x:f>
        <x:v>22763954.646437448</x:v>
      </x:c>
      <x:c r="V789" s="78" t="n">
        <x:f>P789-T789</x:f>
        <x:v>1265.440875428248</x:v>
      </x:c>
      <x:c r="W789" s="79" t="n">
        <x:f>IF(U789&gt;0,V789/U789,0)</x:f>
        <x:v>0.00005558967653391847</x:v>
      </x:c>
      <x:c r="X789" s="80" t="n">
        <x:f>W789*('Inputs'!$B$6-AC789)</x:f>
        <x:v>55432.59885744219</x:v>
      </x:c>
      <x:c r="Y789" s="80" t="n">
        <x:f>2*V789</x:f>
        <x:v>2530.881750856496</x:v>
      </x:c>
      <x:c r="Z789" s="80" t="n">
        <x:f>K789*'Inputs'!$B$16+(G789+R789)*J789*'Inputs'!$B$16</x:f>
        <x:v>15.69799247243617</x:v>
      </x:c>
      <x:c r="AA789" s="80" t="n">
        <x:f>K789*(1+'Inputs'!$E$46)/2*'Inputs'!$B$17</x:f>
        <x:v>5.205707013518447</x:v>
      </x:c>
      <x:c r="AB789" s="78" t="n">
        <x:f>(IF(J789&gt;0,K789*(1-'Inputs'!$E$46)/2/J789,0)+G789+R789)*'Inputs'!$B$17</x:f>
        <x:v>91613.56083245437</x:v>
      </x:c>
      <x:c r="AC789" s="78" t="n">
        <x:f>AC788+AB789</x:f>
        <x:v>2825662.7177968165</x:v>
      </x:c>
      <x:c r="AD789" s="80" t="n">
        <x:f>Z789/(1+'Inputs'!$C$46)</x:f>
        <x:v>7.848996236218085</x:v>
      </x:c>
      <x:c r="AE789" s="80" t="n">
        <x:f>Z789-AD789</x:f>
        <x:v>7.848996236218085</x:v>
      </x:c>
      <x:c r="AF789" s="80" t="n">
        <x:f>D789*W789</x:f>
        <x:v>16.532595644027783</x:v>
      </x:c>
      <x:c r="AG789" s="80" t="n">
        <x:f>C789*W789</x:f>
        <x:v>38.576056502731625</x:v>
      </x:c>
      <x:c r="AH789" s="80" t="n">
        <x:f>2*'Inputs'!$B$8*'Inputs'!$C$46</x:f>
        <x:v>5000</x:v>
      </x:c>
      <x:c r="AI789" s="81" t="n">
        <x:f>IF(AH789&gt;0,(AE789+AF789)/AH789*365,0)</x:f>
        <x:v>1.7798562072579485</x:v>
      </x:c>
      <x:c r="AJ789" s="81" t="n">
        <x:f>IF('Inputs'!$B$46&gt;0,AG789/('Inputs'!$B$19*'Inputs'!$B$46)*365,0)</x:f>
        <x:v>1.4080260623497043</x:v>
      </x:c>
      <x:c r="AK789" s="81" t="n">
        <x:f>W789/MAX($W$734:W789)-1</x:f>
        <x:v>-0.934040499642113</x:v>
      </x:c>
      <x:c r="AL789" s="83" t="n">
        <x:f>'Inputs'!$B$46</x:f>
        <x:v>1</x:v>
      </x:c>
      <x:c r="AM789" s="83" t="n">
        <x:f>'Inputs'!$C$46</x:f>
        <x:v>1</x:v>
      </x:c>
      <x:c r="AN789" s="83" t="n">
        <x:f>'Inputs'!$D$46</x:f>
        <x:v>1</x:v>
      </x:c>
      <x:c r="AO789" s="81" t="n">
        <x:f>'Inputs'!$E$46</x:f>
        <x:v>0</x:v>
      </x:c>
    </x:row>
    <x:row r="790">
      <x:c r="A790" s="59" t="str">
        <x:v>Base</x:v>
      </x:c>
      <x:c r="B790" s="59" t="n">
        <x:v>57</x:v>
      </x:c>
      <x:c r="C790" s="78" t="n">
        <x:f>(('Inputs'!$B$29*(3*57*'Inputs'!$B$12-57^2)/(2*'Inputs'!$B$12^2))-('Inputs'!$B$29*(3*56*'Inputs'!$B$12-56^2)/(2*'Inputs'!$B$12^2)))*'Inputs'!$B$46</x:f>
        <x:v>693617.7050103247</x:v>
      </x:c>
      <x:c r="D790" s="78" t="n">
        <x:f>IF('Inputs'!$C$46&gt;0,('Inputs'!$B$30*(3*57*'Inputs'!$B$12-57^2)/(2*'Inputs'!$B$12^2))-('Inputs'!$B$30*(3*56*'Inputs'!$B$12-56^2)/(2*'Inputs'!$B$12^2)),0)</x:f>
        <x:v>297264.7307187095</x:v>
      </x:c>
      <x:c r="E790" s="78" t="n">
        <x:f>C790+D790</x:f>
        <x:v>990882.4357290342</x:v>
      </x:c>
      <x:c r="F790" s="78" t="n">
        <x:f>'Inputs'!$B$13*E790+(1-'Inputs'!$B$13)/'Inputs'!$B$14*SUM(E735:E790)</x:f>
        <x:v>1001100.1125914815</x:v>
      </x:c>
      <x:c r="G790" s="78" t="n">
        <x:f>F790*'Inputs'!$F$46</x:f>
        <x:v>500550.05629574077</x:v>
      </x:c>
      <x:c r="H790" s="78" t="n">
        <x:f>U789</x:f>
        <x:v>22763954.646437448</x:v>
      </x:c>
      <x:c r="I790" s="78" t="n">
        <x:f>V789</x:f>
        <x:v>1265.440875428248</x:v>
      </x:c>
      <x:c r="J790" s="79" t="n">
        <x:f>IF(H790&gt;0,I790/H790,0)</x:f>
        <x:v>0.00005558967653391847</x:v>
      </x:c>
      <x:c r="K790" s="80" t="n">
        <x:f>(H790*J790+I790)*'Inputs'!$D$46*(1+'Inputs'!$G$46)^(B790/30)</x:f>
        <x:v>2530.881750856496</x:v>
      </x:c>
      <x:c r="L790" s="80" t="n">
        <x:f>MAX(0,K790*'Inputs'!$E$46)</x:f>
        <x:v>0</x:v>
      </x:c>
      <x:c r="M790" s="80" t="n">
        <x:f>MAX(0,-K790*'Inputs'!$E$46)</x:f>
        <x:v>0</x:v>
      </x:c>
      <x:c r="N790" s="78" t="n">
        <x:f>H790*(L790*(1-'Inputs'!$B$15))/(I790+L790*(1-'Inputs'!$B$15))</x:f>
        <x:v>0</x:v>
      </x:c>
      <x:c r="O790" s="78" t="n">
        <x:f>H790-N790</x:f>
        <x:v>22763954.646437448</x:v>
      </x:c>
      <x:c r="P790" s="78" t="n">
        <x:f>I790+L790*(1-'Inputs'!$B$17)</x:f>
        <x:v>1265.440875428248</x:v>
      </x:c>
      <x:c r="Q790" s="78" t="n">
        <x:f>IF(J790&gt;0,M790/J790,0)</x:f>
        <x:v>0</x:v>
      </x:c>
      <x:c r="R790" s="78" t="n">
        <x:f>IF(B790='Inputs'!$H$46,'Inputs'!$B$27*'Inputs'!$I$46,0)</x:f>
        <x:v>0</x:v>
      </x:c>
      <x:c r="S790" s="78" t="n">
        <x:f>Q790+G790+R790</x:f>
        <x:v>500550.05629574077</x:v>
      </x:c>
      <x:c r="T790" s="78" t="n">
        <x:f>P790*(S790*(1-'Inputs'!$B$15))/(O790+S790*(1-'Inputs'!$B$15))</x:f>
        <x:v>26.960268188477833</x:v>
      </x:c>
      <x:c r="U790" s="78" t="n">
        <x:f>O790+S790*(1-'Inputs'!$B$17)</x:f>
        <x:v>23262490.41679236</x:v>
      </x:c>
      <x:c r="V790" s="78" t="n">
        <x:f>P790-T790</x:f>
        <x:v>1238.4806072397703</x:v>
      </x:c>
      <x:c r="W790" s="79" t="n">
        <x:f>IF(U790&gt;0,V790/U790,0)</x:f>
        <x:v>0.00005323938172783751</x:v>
      </x:c>
      <x:c r="X790" s="80" t="n">
        <x:f>W790*('Inputs'!$B$6-AC790)</x:f>
        <x:v>53083.960934842726</x:v>
      </x:c>
      <x:c r="Y790" s="80" t="n">
        <x:f>2*V790</x:f>
        <x:v>2476.9612144795406</x:v>
      </x:c>
      <x:c r="Z790" s="80" t="n">
        <x:f>K790*'Inputs'!$B$16+(G790+R790)*J790*'Inputs'!$B$16</x:f>
        <x:v>15.352242999450068</x:v>
      </x:c>
      <x:c r="AA790" s="80" t="n">
        <x:f>K790*(1+'Inputs'!$E$46)/2*'Inputs'!$B$17</x:f>
        <x:v>5.092317406149892</x:v>
      </x:c>
      <x:c r="AB790" s="78" t="n">
        <x:f>(IF(J790&gt;0,K790*(1-'Inputs'!$E$46)/2/J790,0)+G790+R790)*'Inputs'!$B$17</x:f>
        <x:v>93619.7372343388</x:v>
      </x:c>
      <x:c r="AC790" s="78" t="n">
        <x:f>AC789+AB790</x:f>
        <x:v>2919282.455031155</x:v>
      </x:c>
      <x:c r="AD790" s="80" t="n">
        <x:f>Z790/(1+'Inputs'!$C$46)</x:f>
        <x:v>7.676121499725034</x:v>
      </x:c>
      <x:c r="AE790" s="80" t="n">
        <x:f>Z790-AD790</x:f>
        <x:v>7.676121499725034</x:v>
      </x:c>
      <x:c r="AF790" s="80" t="n">
        <x:f>D790*W790</x:f>
        <x:v>15.8261904729562</x:v>
      </x:c>
      <x:c r="AG790" s="80" t="n">
        <x:f>C790*W790</x:f>
        <x:v>36.927777770231266</x:v>
      </x:c>
      <x:c r="AH790" s="80" t="n">
        <x:f>2*'Inputs'!$B$8*'Inputs'!$C$46</x:f>
        <x:v>5000</x:v>
      </x:c>
      <x:c r="AI790" s="81" t="n">
        <x:f>IF(AH790&gt;0,(AE790+AF790)/AH790*365,0)</x:f>
        <x:v>1.71566877400573</x:v>
      </x:c>
      <x:c r="AJ790" s="81" t="n">
        <x:f>IF('Inputs'!$B$46&gt;0,AG790/('Inputs'!$B$19*'Inputs'!$B$46)*365,0)</x:f>
        <x:v>1.3478638886134413</x:v>
      </x:c>
      <x:c r="AK790" s="81" t="n">
        <x:f>W790/MAX($W$734:W790)-1</x:f>
        <x:v>-0.936829223750055</x:v>
      </x:c>
      <x:c r="AL790" s="83" t="n">
        <x:f>'Inputs'!$B$46</x:f>
        <x:v>1</x:v>
      </x:c>
      <x:c r="AM790" s="83" t="n">
        <x:f>'Inputs'!$C$46</x:f>
        <x:v>1</x:v>
      </x:c>
      <x:c r="AN790" s="83" t="n">
        <x:f>'Inputs'!$D$46</x:f>
        <x:v>1</x:v>
      </x:c>
      <x:c r="AO790" s="81" t="n">
        <x:f>'Inputs'!$E$46</x:f>
        <x:v>0</x:v>
      </x:c>
    </x:row>
    <x:row r="791">
      <x:c r="A791" s="59" t="str">
        <x:v>Base</x:v>
      </x:c>
      <x:c r="B791" s="59" t="n">
        <x:v>58</x:v>
      </x:c>
      <x:c r="C791" s="78" t="n">
        <x:f>(('Inputs'!$B$29*(3*58*'Inputs'!$B$12-58^2)/(2*'Inputs'!$B$12^2))-('Inputs'!$B$29*(3*57*'Inputs'!$B$12-57^2)/(2*'Inputs'!$B$12^2)))*'Inputs'!$B$46</x:f>
        <x:v>693292.5971101522</x:v>
      </x:c>
      <x:c r="D791" s="78" t="n">
        <x:f>IF('Inputs'!$C$46&gt;0,('Inputs'!$B$30*(3*58*'Inputs'!$B$12-58^2)/(2*'Inputs'!$B$12^2))-('Inputs'!$B$30*(3*57*'Inputs'!$B$12-57^2)/(2*'Inputs'!$B$12^2)),0)</x:f>
        <x:v>297125.3987614922</x:v>
      </x:c>
      <x:c r="E791" s="78" t="n">
        <x:f>C791+D791</x:f>
        <x:v>990417.9958716445</x:v>
      </x:c>
      <x:c r="F791" s="78" t="n">
        <x:f>'Inputs'!$B$13*E791+(1-'Inputs'!$B$13)/'Inputs'!$B$14*SUM(E736:E791)</x:f>
        <x:v>1000635.6727340964</x:v>
      </x:c>
      <x:c r="G791" s="78" t="n">
        <x:f>F791*'Inputs'!$F$46</x:f>
        <x:v>500317.8363670482</x:v>
      </x:c>
      <x:c r="H791" s="78" t="n">
        <x:f>U790</x:f>
        <x:v>23262490.41679236</x:v>
      </x:c>
      <x:c r="I791" s="78" t="n">
        <x:f>V790</x:f>
        <x:v>1238.4806072397703</x:v>
      </x:c>
      <x:c r="J791" s="79" t="n">
        <x:f>IF(H791&gt;0,I791/H791,0)</x:f>
        <x:v>0.00005323938172783751</x:v>
      </x:c>
      <x:c r="K791" s="80" t="n">
        <x:f>(H791*J791+I791)*'Inputs'!$D$46*(1+'Inputs'!$G$46)^(B791/30)</x:f>
        <x:v>2476.9612144795406</x:v>
      </x:c>
      <x:c r="L791" s="80" t="n">
        <x:f>MAX(0,K791*'Inputs'!$E$46)</x:f>
        <x:v>0</x:v>
      </x:c>
      <x:c r="M791" s="80" t="n">
        <x:f>MAX(0,-K791*'Inputs'!$E$46)</x:f>
        <x:v>0</x:v>
      </x:c>
      <x:c r="N791" s="78" t="n">
        <x:f>H791*(L791*(1-'Inputs'!$B$15))/(I791+L791*(1-'Inputs'!$B$15))</x:f>
        <x:v>0</x:v>
      </x:c>
      <x:c r="O791" s="78" t="n">
        <x:f>H791-N791</x:f>
        <x:v>23262490.41679236</x:v>
      </x:c>
      <x:c r="P791" s="78" t="n">
        <x:f>I791+L791*(1-'Inputs'!$B$17)</x:f>
        <x:v>1238.4806072397703</x:v>
      </x:c>
      <x:c r="Q791" s="78" t="n">
        <x:f>IF(J791&gt;0,M791/J791,0)</x:f>
        <x:v>0</x:v>
      </x:c>
      <x:c r="R791" s="78" t="n">
        <x:f>IF(B791='Inputs'!$H$46,'Inputs'!$B$27*'Inputs'!$I$46,0)</x:f>
        <x:v>0</x:v>
      </x:c>
      <x:c r="S791" s="78" t="n">
        <x:f>Q791+G791+R791</x:f>
        <x:v>500317.8363670482</x:v>
      </x:c>
      <x:c r="T791" s="78" t="n">
        <x:f>P791*(S791*(1-'Inputs'!$B$15))/(O791+S791*(1-'Inputs'!$B$15))</x:f>
        <x:v>25.820466010539338</x:v>
      </x:c>
      <x:c r="U791" s="78" t="n">
        <x:f>O791+S791*(1-'Inputs'!$B$17)</x:f>
        <x:v>23760794.901705213</x:v>
      </x:c>
      <x:c r="V791" s="78" t="n">
        <x:f>P791-T791</x:f>
        <x:v>1212.660141229231</x:v>
      </x:c>
      <x:c r="W791" s="79" t="n">
        <x:f>IF(U791&gt;0,V791/U791,0)</x:f>
        <x:v>0.00005103617729313439</x:v>
      </x:c>
      <x:c r="X791" s="80" t="n">
        <x:f>W791*('Inputs'!$B$6-AC791)</x:f>
        <x:v>50882.30794260922</x:v>
      </x:c>
      <x:c r="Y791" s="80" t="n">
        <x:f>2*V791</x:f>
        <x:v>2425.320282458462</x:v>
      </x:c>
      <x:c r="Z791" s="80" t="n">
        <x:f>K791*'Inputs'!$B$16+(G791+R791)*J791*'Inputs'!$B$16</x:f>
        <x:v>15.02158696053079</x:v>
      </x:c>
      <x:c r="AA791" s="80" t="n">
        <x:f>K791*(1+'Inputs'!$E$46)/2*'Inputs'!$B$17</x:f>
        <x:v>4.983825381246561</x:v>
      </x:c>
      <x:c r="AB791" s="78" t="n">
        <x:f>(IF(J791&gt;0,K791*(1-'Inputs'!$E$46)/2/J791,0)+G791+R791)*'Inputs'!$B$17</x:f>
        <x:v>95624.98291009823</x:v>
      </x:c>
      <x:c r="AC791" s="78" t="n">
        <x:f>AC790+AB791</x:f>
        <x:v>3014907.437941253</x:v>
      </x:c>
      <x:c r="AD791" s="80" t="n">
        <x:f>Z791/(1+'Inputs'!$C$46)</x:f>
        <x:v>7.510793480265395</x:v>
      </x:c>
      <x:c r="AE791" s="80" t="n">
        <x:f>Z791-AD791</x:f>
        <x:v>7.510793480265395</x:v>
      </x:c>
      <x:c r="AF791" s="80" t="n">
        <x:f>D791*W791</x:f>
        <x:v>15.16414452948477</x:v>
      </x:c>
      <x:c r="AG791" s="80" t="n">
        <x:f>C791*W791</x:f>
        <x:v>35.38300390213132</x:v>
      </x:c>
      <x:c r="AH791" s="80" t="n">
        <x:f>2*'Inputs'!$B$8*'Inputs'!$C$46</x:f>
        <x:v>5000</x:v>
      </x:c>
      <x:c r="AI791" s="81" t="n">
        <x:f>IF(AH791&gt;0,(AE791+AF791)/AH791*365,0)</x:f>
        <x:v>1.6552704747117621</x:v>
      </x:c>
      <x:c r="AJ791" s="81" t="n">
        <x:f>IF('Inputs'!$B$46&gt;0,AG791/('Inputs'!$B$19*'Inputs'!$B$46)*365,0)</x:f>
        <x:v>1.2914796424277932</x:v>
      </x:c>
      <x:c r="AK791" s="81" t="n">
        <x:f>W791/MAX($W$734:W791)-1</x:f>
        <x:v>-0.9394434189165015</x:v>
      </x:c>
      <x:c r="AL791" s="83" t="n">
        <x:f>'Inputs'!$B$46</x:f>
        <x:v>1</x:v>
      </x:c>
      <x:c r="AM791" s="83" t="n">
        <x:f>'Inputs'!$C$46</x:f>
        <x:v>1</x:v>
      </x:c>
      <x:c r="AN791" s="83" t="n">
        <x:f>'Inputs'!$D$46</x:f>
        <x:v>1</x:v>
      </x:c>
      <x:c r="AO791" s="81" t="n">
        <x:f>'Inputs'!$E$46</x:f>
        <x:v>0</x:v>
      </x:c>
    </x:row>
    <x:row r="792">
      <x:c r="A792" s="59" t="str">
        <x:v>Base</x:v>
      </x:c>
      <x:c r="B792" s="59" t="n">
        <x:v>59</x:v>
      </x:c>
      <x:c r="C792" s="78" t="n">
        <x:f>(('Inputs'!$B$29*(3*59*'Inputs'!$B$12-59^2)/(2*'Inputs'!$B$12^2))-('Inputs'!$B$29*(3*58*'Inputs'!$B$12-58^2)/(2*'Inputs'!$B$12^2)))*'Inputs'!$B$46</x:f>
        <x:v>692967.4892099798</x:v>
      </x:c>
      <x:c r="D792" s="78" t="n">
        <x:f>IF('Inputs'!$C$46&gt;0,('Inputs'!$B$30*(3*59*'Inputs'!$B$12-59^2)/(2*'Inputs'!$B$12^2))-('Inputs'!$B$30*(3*58*'Inputs'!$B$12-58^2)/(2*'Inputs'!$B$12^2)),0)</x:f>
        <x:v>296986.06680427864</x:v>
      </x:c>
      <x:c r="E792" s="78" t="n">
        <x:f>C792+D792</x:f>
        <x:v>989953.5560142584</x:v>
      </x:c>
      <x:c r="F792" s="78" t="n">
        <x:f>'Inputs'!$B$13*E792+(1-'Inputs'!$B$13)/'Inputs'!$B$14*SUM(E737:E792)</x:f>
        <x:v>1000171.2328767116</x:v>
      </x:c>
      <x:c r="G792" s="78" t="n">
        <x:f>F792*'Inputs'!$F$46</x:f>
        <x:v>500085.6164383558</x:v>
      </x:c>
      <x:c r="H792" s="78" t="n">
        <x:f>U791</x:f>
        <x:v>23760794.901705213</x:v>
      </x:c>
      <x:c r="I792" s="78" t="n">
        <x:f>V791</x:f>
        <x:v>1212.660141229231</x:v>
      </x:c>
      <x:c r="J792" s="79" t="n">
        <x:f>IF(H792&gt;0,I792/H792,0)</x:f>
        <x:v>0.00005103617729313439</x:v>
      </x:c>
      <x:c r="K792" s="80" t="n">
        <x:f>(H792*J792+I792)*'Inputs'!$D$46*(1+'Inputs'!$G$46)^(B792/30)</x:f>
        <x:v>2425.320282458462</x:v>
      </x:c>
      <x:c r="L792" s="80" t="n">
        <x:f>MAX(0,K792*'Inputs'!$E$46)</x:f>
        <x:v>0</x:v>
      </x:c>
      <x:c r="M792" s="80" t="n">
        <x:f>MAX(0,-K792*'Inputs'!$E$46)</x:f>
        <x:v>0</x:v>
      </x:c>
      <x:c r="N792" s="78" t="n">
        <x:f>H792*(L792*(1-'Inputs'!$B$15))/(I792+L792*(1-'Inputs'!$B$15))</x:f>
        <x:v>0</x:v>
      </x:c>
      <x:c r="O792" s="78" t="n">
        <x:f>H792-N792</x:f>
        <x:v>23760794.901705213</x:v>
      </x:c>
      <x:c r="P792" s="78" t="n">
        <x:f>I792+L792*(1-'Inputs'!$B$17)</x:f>
        <x:v>1212.660141229231</x:v>
      </x:c>
      <x:c r="Q792" s="78" t="n">
        <x:f>IF(J792&gt;0,M792/J792,0)</x:f>
        <x:v>0</x:v>
      </x:c>
      <x:c r="R792" s="78" t="n">
        <x:f>IF(B792='Inputs'!$H$46,'Inputs'!$B$27*'Inputs'!$I$46,0)</x:f>
        <x:v>0</x:v>
      </x:c>
      <x:c r="S792" s="78" t="n">
        <x:f>Q792+G792+R792</x:f>
        <x:v>500085.6164383558</x:v>
      </x:c>
      <x:c r="T792" s="78" t="n">
        <x:f>P792*(S792*(1-'Inputs'!$B$15))/(O792+S792*(1-'Inputs'!$B$15))</x:f>
        <x:v>24.751506178328697</x:v>
      </x:c>
      <x:c r="U792" s="78" t="n">
        <x:f>O792+S792*(1-'Inputs'!$B$17)</x:f>
        <x:v>24258868.10117601</x:v>
      </x:c>
      <x:c r="V792" s="78" t="n">
        <x:f>P792-T792</x:f>
        <x:v>1187.9086350509021</x:v>
      </x:c>
      <x:c r="W792" s="79" t="n">
        <x:f>IF(U792&gt;0,V792/U792,0)</x:f>
        <x:v>0.000048968015741563614</x:v>
      </x:c>
      <x:c r="X792" s="80" t="n">
        <x:f>W792*('Inputs'!$B$6-AC792)</x:f>
        <x:v>48815.60099368871</x:v>
      </x:c>
      <x:c r="Y792" s="80" t="n">
        <x:f>2*V792</x:f>
        <x:v>2375.8172701018043</x:v>
      </x:c>
      <x:c r="Z792" s="80" t="n">
        <x:f>K792*'Inputs'!$B$16+(G792+R792)*J792*'Inputs'!$B$16</x:f>
        <x:v>14.705056443844537</x:v>
      </x:c>
      <x:c r="AA792" s="80" t="n">
        <x:f>K792*(1+'Inputs'!$E$46)/2*'Inputs'!$B$17</x:f>
        <x:v>4.879920085429501</x:v>
      </x:c>
      <x:c r="AB792" s="78" t="n">
        <x:f>(IF(J792&gt;0,K792*(1-'Inputs'!$E$46)/2/J792,0)+G792+R792)*'Inputs'!$B$17</x:f>
        <x:v>97629.29785973267</x:v>
      </x:c>
      <x:c r="AC792" s="78" t="n">
        <x:f>AC791+AB792</x:f>
        <x:v>3112536.7358009857</x:v>
      </x:c>
      <x:c r="AD792" s="80" t="n">
        <x:f>Z792/(1+'Inputs'!$C$46)</x:f>
        <x:v>7.3525282219222685</x:v>
      </x:c>
      <x:c r="AE792" s="80" t="n">
        <x:f>Z792-AD792</x:f>
        <x:v>7.3525282219222685</x:v>
      </x:c>
      <x:c r="AF792" s="80" t="n">
        <x:f>D792*W792</x:f>
        <x:v>14.54281839429698</x:v>
      </x:c>
      <x:c r="AG792" s="80" t="n">
        <x:f>C792*W792</x:f>
        <x:v>33.9332429200261</x:v>
      </x:c>
      <x:c r="AH792" s="80" t="n">
        <x:f>2*'Inputs'!$B$8*'Inputs'!$C$46</x:f>
        <x:v>5000</x:v>
      </x:c>
      <x:c r="AI792" s="81" t="n">
        <x:f>IF(AH792&gt;0,(AE792+AF792)/AH792*365,0)</x:f>
        <x:v>1.5983603029840054</x:v>
      </x:c>
      <x:c r="AJ792" s="81" t="n">
        <x:f>IF('Inputs'!$B$46&gt;0,AG792/('Inputs'!$B$19*'Inputs'!$B$46)*365,0)</x:f>
        <x:v>1.2385633665809528</x:v>
      </x:c>
      <x:c r="AK792" s="81" t="n">
        <x:f>W792/MAX($W$734:W792)-1</x:f>
        <x:v>-0.9418973799953678</x:v>
      </x:c>
      <x:c r="AL792" s="83" t="n">
        <x:f>'Inputs'!$B$46</x:f>
        <x:v>1</x:v>
      </x:c>
      <x:c r="AM792" s="83" t="n">
        <x:f>'Inputs'!$C$46</x:f>
        <x:v>1</x:v>
      </x:c>
      <x:c r="AN792" s="83" t="n">
        <x:f>'Inputs'!$D$46</x:f>
        <x:v>1</x:v>
      </x:c>
      <x:c r="AO792" s="81" t="n">
        <x:f>'Inputs'!$E$46</x:f>
        <x:v>0</x:v>
      </x:c>
    </x:row>
    <x:row r="793">
      <x:c r="A793" s="59" t="str">
        <x:v>Base</x:v>
      </x:c>
      <x:c r="B793" s="59" t="n">
        <x:v>60</x:v>
      </x:c>
      <x:c r="C793" s="78" t="n">
        <x:f>(('Inputs'!$B$29*(3*60*'Inputs'!$B$12-60^2)/(2*'Inputs'!$B$12^2))-('Inputs'!$B$29*(3*59*'Inputs'!$B$12-59^2)/(2*'Inputs'!$B$12^2)))*'Inputs'!$B$46</x:f>
        <x:v>692642.3813098148</x:v>
      </x:c>
      <x:c r="D793" s="78" t="n">
        <x:f>IF('Inputs'!$C$46&gt;0,('Inputs'!$B$30*(3*60*'Inputs'!$B$12-60^2)/(2*'Inputs'!$B$12^2))-('Inputs'!$B$30*(3*59*'Inputs'!$B$12-59^2)/(2*'Inputs'!$B$12^2)),0)</x:f>
        <x:v>296846.73484706506</x:v>
      </x:c>
      <x:c r="E793" s="78" t="n">
        <x:f>C793+D793</x:f>
        <x:v>989489.1161568798</x:v>
      </x:c>
      <x:c r="F793" s="78" t="n">
        <x:f>'Inputs'!$B$13*E793+(1-'Inputs'!$B$13)/'Inputs'!$B$14*SUM(E738:E793)</x:f>
        <x:v>999706.7930193288</x:v>
      </x:c>
      <x:c r="G793" s="78" t="n">
        <x:f>F793*'Inputs'!$F$46</x:f>
        <x:v>499853.3965096644</x:v>
      </x:c>
      <x:c r="H793" s="78" t="n">
        <x:f>U792</x:f>
        <x:v>24258868.10117601</x:v>
      </x:c>
      <x:c r="I793" s="78" t="n">
        <x:f>V792</x:f>
        <x:v>1187.9086350509021</x:v>
      </x:c>
      <x:c r="J793" s="79" t="n">
        <x:f>IF(H793&gt;0,I793/H793,0)</x:f>
        <x:v>0.000048968015741563614</x:v>
      </x:c>
      <x:c r="K793" s="80" t="n">
        <x:f>(H793*J793+I793)*'Inputs'!$D$46*(1+'Inputs'!$G$46)^(B793/30)</x:f>
        <x:v>2375.8172701018043</x:v>
      </x:c>
      <x:c r="L793" s="80" t="n">
        <x:f>MAX(0,K793*'Inputs'!$E$46)</x:f>
        <x:v>0</x:v>
      </x:c>
      <x:c r="M793" s="80" t="n">
        <x:f>MAX(0,-K793*'Inputs'!$E$46)</x:f>
        <x:v>0</x:v>
      </x:c>
      <x:c r="N793" s="78" t="n">
        <x:f>H793*(L793*(1-'Inputs'!$B$15))/(I793+L793*(1-'Inputs'!$B$15))</x:f>
        <x:v>0</x:v>
      </x:c>
      <x:c r="O793" s="78" t="n">
        <x:f>H793-N793</x:f>
        <x:v>24258868.10117601</x:v>
      </x:c>
      <x:c r="P793" s="78" t="n">
        <x:f>I793+L793*(1-'Inputs'!$B$17)</x:f>
        <x:v>1187.9086350509021</x:v>
      </x:c>
      <x:c r="Q793" s="78" t="n">
        <x:f>IF(J793&gt;0,M793/J793,0)</x:f>
        <x:v>0</x:v>
      </x:c>
      <x:c r="R793" s="78" t="n">
        <x:f>IF(B793='Inputs'!$H$46,'Inputs'!$B$27*'Inputs'!$I$46,0)</x:f>
        <x:v>0</x:v>
      </x:c>
      <x:c r="S793" s="78" t="n">
        <x:f>Q793+G793+R793</x:f>
        <x:v>499853.3965096644</x:v>
      </x:c>
      <x:c r="T793" s="78" t="n">
        <x:f>P793*(S793*(1-'Inputs'!$B$15))/(O793+S793*(1-'Inputs'!$B$15))</x:f>
        <x:v>23.747634453822155</x:v>
      </x:c>
      <x:c r="U793" s="78" t="n">
        <x:f>O793+S793*(1-'Inputs'!$B$17)</x:f>
        <x:v>24756710.01520475</x:v>
      </x:c>
      <x:c r="V793" s="78" t="n">
        <x:f>P793-T793</x:f>
        <x:v>1164.16100059708</x:v>
      </x:c>
      <x:c r="W793" s="79" t="n">
        <x:f>IF(U793&gt;0,V793/U793,0)</x:f>
        <x:v>0.00004702405933106987</x:v>
      </x:c>
      <x:c r="X793" s="80" t="n">
        <x:f>W793*('Inputs'!$B$6-AC793)</x:f>
        <x:v>46873.01008578183</x:v>
      </x:c>
      <x:c r="Y793" s="80" t="n">
        <x:f>2*V793</x:f>
        <x:v>2328.32200119416</x:v>
      </x:c>
      <x:c r="Z793" s="80" t="n">
        <x:f>K793*'Inputs'!$B$16+(G793+R793)*J793*'Inputs'!$B$16</x:f>
        <x:v>14.401764594543382</x:v>
      </x:c>
      <x:c r="AA793" s="80" t="n">
        <x:f>K793*(1+'Inputs'!$E$46)/2*'Inputs'!$B$17</x:f>
        <x:v>4.780316438836628</x:v>
      </x:c>
      <x:c r="AB793" s="78" t="n">
        <x:f>(IF(J793&gt;0,K793*(1-'Inputs'!$E$46)/2/J793,0)+G793+R793)*'Inputs'!$B$17</x:f>
        <x:v>99632.68208324217</x:v>
      </x:c>
      <x:c r="AC793" s="78" t="n">
        <x:f>AC792+AB793</x:f>
        <x:v>3212169.417884228</x:v>
      </x:c>
      <x:c r="AD793" s="80" t="n">
        <x:f>Z793/(1+'Inputs'!$C$46)</x:f>
        <x:v>7.200882297271691</x:v>
      </x:c>
      <x:c r="AE793" s="80" t="n">
        <x:f>Z793-AD793</x:f>
        <x:v>7.200882297271691</x:v>
      </x:c>
      <x:c r="AF793" s="80" t="n">
        <x:f>D793*W793</x:f>
        <x:v>13.958938471682753</x:v>
      </x:c>
      <x:c r="AG793" s="80" t="n">
        <x:f>C793*W793</x:f>
        <x:v>32.57085643392625</x:v>
      </x:c>
      <x:c r="AH793" s="80" t="n">
        <x:f>2*'Inputs'!$B$8*'Inputs'!$C$46</x:f>
        <x:v>5000</x:v>
      </x:c>
      <x:c r="AI793" s="81" t="n">
        <x:f>IF(AH793&gt;0,(AE793+AF793)/AH793*365,0)</x:f>
        <x:v>1.5446669161336744</x:v>
      </x:c>
      <x:c r="AJ793" s="81" t="n">
        <x:f>IF('Inputs'!$B$46&gt;0,AG793/('Inputs'!$B$19*'Inputs'!$B$46)*365,0)</x:f>
        <x:v>1.1888362598383082</x:v>
      </x:c>
      <x:c r="AK793" s="81" t="n">
        <x:f>W793/MAX($W$734:W793)-1</x:f>
        <x:v>-0.9442039664255919</x:v>
      </x:c>
      <x:c r="AL793" s="83" t="n">
        <x:f>'Inputs'!$B$46</x:f>
        <x:v>1</x:v>
      </x:c>
      <x:c r="AM793" s="83" t="n">
        <x:f>'Inputs'!$C$46</x:f>
        <x:v>1</x:v>
      </x:c>
      <x:c r="AN793" s="83" t="n">
        <x:f>'Inputs'!$D$46</x:f>
        <x:v>1</x:v>
      </x:c>
      <x:c r="AO793" s="81" t="n">
        <x:f>'Inputs'!$E$46</x:f>
        <x:v>0</x:v>
      </x:c>
    </x:row>
    <x:row r="794">
      <x:c r="A794" s="59" t="str">
        <x:v>Base</x:v>
      </x:c>
      <x:c r="B794" s="59" t="n">
        <x:v>61</x:v>
      </x:c>
      <x:c r="C794" s="78" t="n">
        <x:f>(('Inputs'!$B$29*(3*61*'Inputs'!$B$12-61^2)/(2*'Inputs'!$B$12^2))-('Inputs'!$B$29*(3*60*'Inputs'!$B$12-60^2)/(2*'Inputs'!$B$12^2)))*'Inputs'!$B$46</x:f>
        <x:v>692317.2734096497</x:v>
      </x:c>
      <x:c r="D794" s="78" t="n">
        <x:f>IF('Inputs'!$C$46&gt;0,('Inputs'!$B$30*(3*61*'Inputs'!$B$12-61^2)/(2*'Inputs'!$B$12^2))-('Inputs'!$B$30*(3*60*'Inputs'!$B$12-60^2)/(2*'Inputs'!$B$12^2)),0)</x:f>
        <x:v>296707.40288984776</x:v>
      </x:c>
      <x:c r="E794" s="78" t="n">
        <x:f>C794+D794</x:f>
        <x:v>989024.6762994975</x:v>
      </x:c>
      <x:c r="F794" s="78" t="n">
        <x:f>'Inputs'!$B$13*E794+(1-'Inputs'!$B$13)/'Inputs'!$B$14*SUM(E739:E794)</x:f>
        <x:v>999242.3531619449</x:v>
      </x:c>
      <x:c r="G794" s="78" t="n">
        <x:f>F794*'Inputs'!$F$46</x:f>
        <x:v>499621.17658097245</x:v>
      </x:c>
      <x:c r="H794" s="78" t="n">
        <x:f>U793</x:f>
        <x:v>24756710.01520475</x:v>
      </x:c>
      <x:c r="I794" s="78" t="n">
        <x:f>V793</x:f>
        <x:v>1164.16100059708</x:v>
      </x:c>
      <x:c r="J794" s="79" t="n">
        <x:f>IF(H794&gt;0,I794/H794,0)</x:f>
        <x:v>0.00004702405933106987</x:v>
      </x:c>
      <x:c r="K794" s="80" t="n">
        <x:f>(H794*J794+I794)*'Inputs'!$D$46*(1+'Inputs'!$G$46)^(B794/30)</x:f>
        <x:v>2328.32200119416</x:v>
      </x:c>
      <x:c r="L794" s="80" t="n">
        <x:f>MAX(0,K794*'Inputs'!$E$46)</x:f>
        <x:v>0</x:v>
      </x:c>
      <x:c r="M794" s="80" t="n">
        <x:f>MAX(0,-K794*'Inputs'!$E$46)</x:f>
        <x:v>0</x:v>
      </x:c>
      <x:c r="N794" s="78" t="n">
        <x:f>H794*(L794*(1-'Inputs'!$B$15))/(I794+L794*(1-'Inputs'!$B$15))</x:f>
        <x:v>0</x:v>
      </x:c>
      <x:c r="O794" s="78" t="n">
        <x:f>H794-N794</x:f>
        <x:v>24756710.01520475</x:v>
      </x:c>
      <x:c r="P794" s="78" t="n">
        <x:f>I794+L794*(1-'Inputs'!$B$17)</x:f>
        <x:v>1164.16100059708</x:v>
      </x:c>
      <x:c r="Q794" s="78" t="n">
        <x:f>IF(J794&gt;0,M794/J794,0)</x:f>
        <x:v>0</x:v>
      </x:c>
      <x:c r="R794" s="78" t="n">
        <x:f>IF(B794='Inputs'!$H$46,'Inputs'!$B$27*'Inputs'!$I$46,0)</x:f>
        <x:v>0</x:v>
      </x:c>
      <x:c r="S794" s="78" t="n">
        <x:f>Q794+G794+R794</x:f>
        <x:v>499621.17658097245</x:v>
      </x:c>
      <x:c r="T794" s="78" t="n">
        <x:f>P794*(S794*(1-'Inputs'!$B$15))/(O794+S794*(1-'Inputs'!$B$15))</x:f>
        <x:v>22.803669366991272</x:v>
      </x:c>
      <x:c r="U794" s="78" t="n">
        <x:f>O794+S794*(1-'Inputs'!$B$17)</x:f>
        <x:v>25254320.643791433</x:v>
      </x:c>
      <x:c r="V794" s="78" t="n">
        <x:f>P794-T794</x:f>
        <x:v>1141.3573312300887</x:v>
      </x:c>
      <x:c r="W794" s="79" t="n">
        <x:f>IF(U794&gt;0,V794/U794,0)</x:f>
        <x:v>0.000045194537098374966</x:v>
      </x:c>
      <x:c r="X794" s="80" t="n">
        <x:f>W794*('Inputs'!$B$6-AC794)</x:f>
        <x:v>45044.771235546636</x:v>
      </x:c>
      <x:c r="Y794" s="80" t="n">
        <x:f>2*V794</x:f>
        <x:v>2282.7146624601774</x:v>
      </x:c>
      <x:c r="Z794" s="80" t="n">
        <x:f>K794*'Inputs'!$B$16+(G794+R794)*J794*'Inputs'!$B$16</x:f>
        <x:v>14.110897302268576</x:v>
      </x:c>
      <x:c r="AA794" s="80" t="n">
        <x:f>K794*(1+'Inputs'!$E$46)/2*'Inputs'!$B$17</x:f>
        <x:v>4.68475251749328</x:v>
      </x:c>
      <x:c r="AB794" s="78" t="n">
        <x:f>(IF(J794&gt;0,K794*(1-'Inputs'!$E$46)/2/J794,0)+G794+R794)*'Inputs'!$B$17</x:f>
        <x:v>101635.13558062667</x:v>
      </x:c>
      <x:c r="AC794" s="78" t="n">
        <x:f>AC793+AB794</x:f>
        <x:v>3313804.5534648546</x:v>
      </x:c>
      <x:c r="AD794" s="80" t="n">
        <x:f>Z794/(1+'Inputs'!$C$46)</x:f>
        <x:v>7.055448651134288</x:v>
      </x:c>
      <x:c r="AE794" s="80" t="n">
        <x:f>Z794-AD794</x:f>
        <x:v>7.055448651134288</x:v>
      </x:c>
      <x:c r="AF794" s="80" t="n">
        <x:f>D794*W794</x:f>
        <x:v>13.409553727267712</x:v>
      </x:c>
      <x:c r="AG794" s="80" t="n">
        <x:f>C794*W794</x:f>
        <x:v>31.28895869695822</x:v>
      </x:c>
      <x:c r="AH794" s="80" t="n">
        <x:f>2*'Inputs'!$B$8*'Inputs'!$C$46</x:f>
        <x:v>5000</x:v>
      </x:c>
      <x:c r="AI794" s="81" t="n">
        <x:f>IF(AH794&gt;0,(AE794+AF794)/AH794*365,0)</x:f>
        <x:v>1.493945173623346</x:v>
      </x:c>
      <x:c r="AJ794" s="81" t="n">
        <x:f>IF('Inputs'!$B$46&gt;0,AG794/('Inputs'!$B$19*'Inputs'!$B$46)*365,0)</x:f>
        <x:v>1.142046992438975</x:v>
      </x:c>
      <x:c r="AK794" s="81" t="n">
        <x:f>W794/MAX($W$734:W794)-1</x:f>
        <x:v>-0.9463747718680119</x:v>
      </x:c>
      <x:c r="AL794" s="83" t="n">
        <x:f>'Inputs'!$B$46</x:f>
        <x:v>1</x:v>
      </x:c>
      <x:c r="AM794" s="83" t="n">
        <x:f>'Inputs'!$C$46</x:f>
        <x:v>1</x:v>
      </x:c>
      <x:c r="AN794" s="83" t="n">
        <x:f>'Inputs'!$D$46</x:f>
        <x:v>1</x:v>
      </x:c>
      <x:c r="AO794" s="81" t="n">
        <x:f>'Inputs'!$E$46</x:f>
        <x:v>0</x:v>
      </x:c>
    </x:row>
    <x:row r="795">
      <x:c r="A795" s="59" t="str">
        <x:v>Base</x:v>
      </x:c>
      <x:c r="B795" s="59" t="n">
        <x:v>62</x:v>
      </x:c>
      <x:c r="C795" s="78" t="n">
        <x:f>(('Inputs'!$B$29*(3*62*'Inputs'!$B$12-62^2)/(2*'Inputs'!$B$12^2))-('Inputs'!$B$29*(3*61*'Inputs'!$B$12-61^2)/(2*'Inputs'!$B$12^2)))*'Inputs'!$B$46</x:f>
        <x:v>691992.1655094698</x:v>
      </x:c>
      <x:c r="D795" s="78" t="n">
        <x:f>IF('Inputs'!$C$46&gt;0,('Inputs'!$B$30*(3*62*'Inputs'!$B$12-62^2)/(2*'Inputs'!$B$12^2))-('Inputs'!$B$30*(3*61*'Inputs'!$B$12-61^2)/(2*'Inputs'!$B$12^2)),0)</x:f>
        <x:v>296568.0709326342</x:v>
      </x:c>
      <x:c r="E795" s="78" t="n">
        <x:f>C795+D795</x:f>
        <x:v>988560.236442104</x:v>
      </x:c>
      <x:c r="F795" s="78" t="n">
        <x:f>'Inputs'!$B$13*E795+(1-'Inputs'!$B$13)/'Inputs'!$B$14*SUM(E740:E795)</x:f>
        <x:v>998777.913304559</x:v>
      </x:c>
      <x:c r="G795" s="78" t="n">
        <x:f>F795*'Inputs'!$F$46</x:f>
        <x:v>499388.9566522795</x:v>
      </x:c>
      <x:c r="H795" s="78" t="n">
        <x:f>U794</x:f>
        <x:v>25254320.643791433</x:v>
      </x:c>
      <x:c r="I795" s="78" t="n">
        <x:f>V794</x:f>
        <x:v>1141.3573312300887</x:v>
      </x:c>
      <x:c r="J795" s="79" t="n">
        <x:f>IF(H795&gt;0,I795/H795,0)</x:f>
        <x:v>0.000045194537098374966</x:v>
      </x:c>
      <x:c r="K795" s="80" t="n">
        <x:f>(H795*J795+I795)*'Inputs'!$D$46*(1+'Inputs'!$G$46)^(B795/30)</x:f>
        <x:v>2282.7146624601774</x:v>
      </x:c>
      <x:c r="L795" s="80" t="n">
        <x:f>MAX(0,K795*'Inputs'!$E$46)</x:f>
        <x:v>0</x:v>
      </x:c>
      <x:c r="M795" s="80" t="n">
        <x:f>MAX(0,-K795*'Inputs'!$E$46)</x:f>
        <x:v>0</x:v>
      </x:c>
      <x:c r="N795" s="78" t="n">
        <x:f>H795*(L795*(1-'Inputs'!$B$15))/(I795+L795*(1-'Inputs'!$B$15))</x:f>
        <x:v>0</x:v>
      </x:c>
      <x:c r="O795" s="78" t="n">
        <x:f>H795-N795</x:f>
        <x:v>25254320.643791433</x:v>
      </x:c>
      <x:c r="P795" s="78" t="n">
        <x:f>I795+L795*(1-'Inputs'!$B$17)</x:f>
        <x:v>1141.3573312300887</x:v>
      </x:c>
      <x:c r="Q795" s="78" t="n">
        <x:f>IF(J795&gt;0,M795/J795,0)</x:f>
        <x:v>0</x:v>
      </x:c>
      <x:c r="R795" s="78" t="n">
        <x:f>IF(B795='Inputs'!$H$46,'Inputs'!$B$27*'Inputs'!$I$46,0)</x:f>
        <x:v>0</x:v>
      </x:c>
      <x:c r="S795" s="78" t="n">
        <x:f>Q795+G795+R795</x:f>
        <x:v>499388.9566522795</x:v>
      </x:c>
      <x:c r="T795" s="78" t="n">
        <x:f>P795*(S795*(1-'Inputs'!$B$15))/(O795+S795*(1-'Inputs'!$B$15))</x:f>
        <x:v>21.914935124470965</x:v>
      </x:c>
      <x:c r="U795" s="78" t="n">
        <x:f>O795+S795*(1-'Inputs'!$B$17)</x:f>
        <x:v>25751699.98693606</x:v>
      </x:c>
      <x:c r="V795" s="78" t="n">
        <x:f>P795-T795</x:f>
        <x:v>1119.4423961056177</x:v>
      </x:c>
      <x:c r="W795" s="79" t="n">
        <x:f>IF(U795&gt;0,V795/U795,0)</x:f>
        <x:v>0.00004347062122786128</x:v>
      </x:c>
      <x:c r="X795" s="80" t="n">
        <x:f>W795*('Inputs'!$B$6-AC795)</x:f>
        <x:v>43322.06293537391</x:v>
      </x:c>
      <x:c r="Y795" s="80" t="n">
        <x:f>2*V795</x:f>
        <x:v>2238.8847922112354</x:v>
      </x:c>
      <x:c r="Z795" s="80" t="n">
        <x:f>K795*'Inputs'!$B$16+(G795+R795)*J795*'Inputs'!$B$16</x:f>
        <x:v>13.831705891128706</x:v>
      </x:c>
      <x:c r="AA795" s="80" t="n">
        <x:f>K795*(1+'Inputs'!$E$46)/2*'Inputs'!$B$17</x:f>
        <x:v>4.59298724841082</x:v>
      </x:c>
      <x:c r="AB795" s="78" t="n">
        <x:f>(IF(J795&gt;0,K795*(1-'Inputs'!$E$46)/2/J795,0)+G795+R795)*'Inputs'!$B$17</x:f>
        <x:v>103636.65835188617</x:v>
      </x:c>
      <x:c r="AC795" s="78" t="n">
        <x:f>AC794+AB795</x:f>
        <x:v>3417441.2118167407</x:v>
      </x:c>
      <x:c r="AD795" s="80" t="n">
        <x:f>Z795/(1+'Inputs'!$C$46)</x:f>
        <x:v>6.915852945564353</x:v>
      </x:c>
      <x:c r="AE795" s="80" t="n">
        <x:f>Z795-AD795</x:f>
        <x:v>6.915852945564353</x:v>
      </x:c>
      <x:c r="AF795" s="80" t="n">
        <x:f>D795*W795</x:f>
        <x:v>12.891998279790037</x:v>
      </x:c>
      <x:c r="AG795" s="80" t="n">
        <x:f>C795*W795</x:f>
        <x:v>30.081329319509656</x:v>
      </x:c>
      <x:c r="AH795" s="80" t="n">
        <x:f>2*'Inputs'!$B$8*'Inputs'!$C$46</x:f>
        <x:v>5000</x:v>
      </x:c>
      <x:c r="AI795" s="81" t="n">
        <x:f>IF(AH795&gt;0,(AE795+AF795)/AH795*365,0)</x:f>
        <x:v>1.4459731394508704</x:v>
      </x:c>
      <x:c r="AJ795" s="81" t="n">
        <x:f>IF('Inputs'!$B$46&gt;0,AG795/('Inputs'!$B$19*'Inputs'!$B$46)*365,0)</x:f>
        <x:v>1.0979685201621026</x:v>
      </x:c>
      <x:c r="AK795" s="81" t="n">
        <x:f>W795/MAX($W$734:W795)-1</x:f>
        <x:v>-0.9484202708989108</x:v>
      </x:c>
      <x:c r="AL795" s="83" t="n">
        <x:f>'Inputs'!$B$46</x:f>
        <x:v>1</x:v>
      </x:c>
      <x:c r="AM795" s="83" t="n">
        <x:f>'Inputs'!$C$46</x:f>
        <x:v>1</x:v>
      </x:c>
      <x:c r="AN795" s="83" t="n">
        <x:f>'Inputs'!$D$46</x:f>
        <x:v>1</x:v>
      </x:c>
      <x:c r="AO795" s="81" t="n">
        <x:f>'Inputs'!$E$46</x:f>
        <x:v>0</x:v>
      </x:c>
    </x:row>
    <x:row r="796">
      <x:c r="A796" s="59" t="str">
        <x:v>Base</x:v>
      </x:c>
      <x:c r="B796" s="59" t="n">
        <x:v>63</x:v>
      </x:c>
      <x:c r="C796" s="78" t="n">
        <x:f>(('Inputs'!$B$29*(3*63*'Inputs'!$B$12-63^2)/(2*'Inputs'!$B$12^2))-('Inputs'!$B$29*(3*62*'Inputs'!$B$12-62^2)/(2*'Inputs'!$B$12^2)))*'Inputs'!$B$46</x:f>
        <x:v>691667.0576093122</x:v>
      </x:c>
      <x:c r="D796" s="78" t="n">
        <x:f>IF('Inputs'!$C$46&gt;0,('Inputs'!$B$30*(3*63*'Inputs'!$B$12-63^2)/(2*'Inputs'!$B$12^2))-('Inputs'!$B$30*(3*62*'Inputs'!$B$12-62^2)/(2*'Inputs'!$B$12^2)),0)</x:f>
        <x:v>296428.73897541687</x:v>
      </x:c>
      <x:c r="E796" s="78" t="n">
        <x:f>C796+D796</x:f>
        <x:v>988095.7965847291</x:v>
      </x:c>
      <x:c r="F796" s="78" t="n">
        <x:f>'Inputs'!$B$13*E796+(1-'Inputs'!$B$13)/'Inputs'!$B$14*SUM(E741:E796)</x:f>
        <x:v>998313.4734471765</x:v>
      </x:c>
      <x:c r="G796" s="78" t="n">
        <x:f>F796*'Inputs'!$F$46</x:f>
        <x:v>499156.73672358826</x:v>
      </x:c>
      <x:c r="H796" s="78" t="n">
        <x:f>U795</x:f>
        <x:v>25751699.98693606</x:v>
      </x:c>
      <x:c r="I796" s="78" t="n">
        <x:f>V795</x:f>
        <x:v>1119.4423961056177</x:v>
      </x:c>
      <x:c r="J796" s="79" t="n">
        <x:f>IF(H796&gt;0,I796/H796,0)</x:f>
        <x:v>0.00004347062122786128</x:v>
      </x:c>
      <x:c r="K796" s="80" t="n">
        <x:f>(H796*J796+I796)*'Inputs'!$D$46*(1+'Inputs'!$G$46)^(B796/30)</x:f>
        <x:v>2238.8847922112354</x:v>
      </x:c>
      <x:c r="L796" s="80" t="n">
        <x:f>MAX(0,K796*'Inputs'!$E$46)</x:f>
        <x:v>0</x:v>
      </x:c>
      <x:c r="M796" s="80" t="n">
        <x:f>MAX(0,-K796*'Inputs'!$E$46)</x:f>
        <x:v>0</x:v>
      </x:c>
      <x:c r="N796" s="78" t="n">
        <x:f>H796*(L796*(1-'Inputs'!$B$15))/(I796+L796*(1-'Inputs'!$B$15))</x:f>
        <x:v>0</x:v>
      </x:c>
      <x:c r="O796" s="78" t="n">
        <x:f>H796-N796</x:f>
        <x:v>25751699.98693606</x:v>
      </x:c>
      <x:c r="P796" s="78" t="n">
        <x:f>I796+L796*(1-'Inputs'!$B$17)</x:f>
        <x:v>1119.4423961056177</x:v>
      </x:c>
      <x:c r="Q796" s="78" t="n">
        <x:f>IF(J796&gt;0,M796/J796,0)</x:f>
        <x:v>0</x:v>
      </x:c>
      <x:c r="R796" s="78" t="n">
        <x:f>IF(B796='Inputs'!$H$46,'Inputs'!$B$27*'Inputs'!$I$46,0)</x:f>
        <x:v>0</x:v>
      </x:c>
      <x:c r="S796" s="78" t="n">
        <x:f>Q796+G796+R796</x:f>
        <x:v>499156.73672358826</x:v>
      </x:c>
      <x:c r="T796" s="78" t="n">
        <x:f>P796*(S796*(1-'Inputs'!$B$15))/(O796+S796*(1-'Inputs'!$B$15))</x:f>
        <x:v>21.07720351232495</x:v>
      </x:c>
      <x:c r="U796" s="78" t="n">
        <x:f>O796+S796*(1-'Inputs'!$B$17)</x:f>
        <x:v>26248848.044638626</x:v>
      </x:c>
      <x:c r="V796" s="78" t="n">
        <x:f>P796-T796</x:f>
        <x:v>1098.3651925932927</x:v>
      </x:c>
      <x:c r="W796" s="79" t="n">
        <x:f>IF(U796&gt;0,V796/U796,0)</x:f>
        <x:v>0.000041844319824070745</x:v>
      </x:c>
      <x:c r="X796" s="80" t="n">
        <x:f>W796*('Inputs'!$B$6-AC796)</x:f>
        <x:v>41696.89900213258</x:v>
      </x:c>
      <x:c r="Y796" s="80" t="n">
        <x:f>2*V796</x:f>
        <x:v>2196.7303851865854</x:v>
      </x:c>
      <x:c r="Z796" s="80" t="n">
        <x:f>K796*'Inputs'!$B$16+(G796+R796)*J796*'Inputs'!$B$16</x:f>
        <x:v>13.56350067388009</x:v>
      </x:c>
      <x:c r="AA796" s="80" t="n">
        <x:f>K796*(1+'Inputs'!$E$46)/2*'Inputs'!$B$17</x:f>
        <x:v>4.504798374670494</x:v>
      </x:c>
      <x:c r="AB796" s="78" t="n">
        <x:f>(IF(J796&gt;0,K796*(1-'Inputs'!$E$46)/2/J796,0)+G796+R796)*'Inputs'!$B$17</x:f>
        <x:v>105637.25039702072</x:v>
      </x:c>
      <x:c r="AC796" s="78" t="n">
        <x:f>AC795+AB796</x:f>
        <x:v>3523078.462213761</x:v>
      </x:c>
      <x:c r="AD796" s="80" t="n">
        <x:f>Z796/(1+'Inputs'!$C$46)</x:f>
        <x:v>6.781750336940045</x:v>
      </x:c>
      <x:c r="AE796" s="80" t="n">
        <x:f>Z796-AD796</x:f>
        <x:v>6.781750336940045</x:v>
      </x:c>
      <x:c r="AF796" s="80" t="n">
        <x:f>D796*W796</x:f>
        <x:v>12.403858958733329</x:v>
      </x:c>
      <x:c r="AG796" s="80" t="n">
        <x:f>C796*W796</x:f>
        <x:v>28.942337570378026</x:v>
      </x:c>
      <x:c r="AH796" s="80" t="n">
        <x:f>2*'Inputs'!$B$8*'Inputs'!$C$46</x:f>
        <x:v>5000</x:v>
      </x:c>
      <x:c r="AI796" s="81" t="n">
        <x:f>IF(AH796&gt;0,(AE796+AF796)/AH796*365,0)</x:f>
        <x:v>1.4005494785841561</x:v>
      </x:c>
      <x:c r="AJ796" s="81" t="n">
        <x:f>IF('Inputs'!$B$46&gt;0,AG796/('Inputs'!$B$19*'Inputs'!$B$46)*365,0)</x:f>
        <x:v>1.056395321318798</x:v>
      </x:c>
      <x:c r="AK796" s="81" t="n">
        <x:f>W796/MAX($W$734:W796)-1</x:f>
        <x:v>-0.9503499462399772</x:v>
      </x:c>
      <x:c r="AL796" s="83" t="n">
        <x:f>'Inputs'!$B$46</x:f>
        <x:v>1</x:v>
      </x:c>
      <x:c r="AM796" s="83" t="n">
        <x:f>'Inputs'!$C$46</x:f>
        <x:v>1</x:v>
      </x:c>
      <x:c r="AN796" s="83" t="n">
        <x:f>'Inputs'!$D$46</x:f>
        <x:v>1</x:v>
      </x:c>
      <x:c r="AO796" s="81" t="n">
        <x:f>'Inputs'!$E$46</x:f>
        <x:v>0</x:v>
      </x:c>
    </x:row>
    <x:row r="797">
      <x:c r="A797" s="59" t="str">
        <x:v>Base</x:v>
      </x:c>
      <x:c r="B797" s="59" t="n">
        <x:v>64</x:v>
      </x:c>
      <x:c r="C797" s="78" t="n">
        <x:f>(('Inputs'!$B$29*(3*64*'Inputs'!$B$12-64^2)/(2*'Inputs'!$B$12^2))-('Inputs'!$B$29*(3*63*'Inputs'!$B$12-63^2)/(2*'Inputs'!$B$12^2)))*'Inputs'!$B$46</x:f>
        <x:v>691341.9497091398</x:v>
      </x:c>
      <x:c r="D797" s="78" t="n">
        <x:f>IF('Inputs'!$C$46&gt;0,('Inputs'!$B$30*(3*64*'Inputs'!$B$12-64^2)/(2*'Inputs'!$B$12^2))-('Inputs'!$B$30*(3*63*'Inputs'!$B$12-63^2)/(2*'Inputs'!$B$12^2)),0)</x:f>
        <x:v>296289.40701819956</x:v>
      </x:c>
      <x:c r="E797" s="78" t="n">
        <x:f>C797+D797</x:f>
        <x:v>987631.3567273393</x:v>
      </x:c>
      <x:c r="F797" s="78" t="n">
        <x:f>'Inputs'!$B$13*E797+(1-'Inputs'!$B$13)/'Inputs'!$B$14*SUM(E742:E797)</x:f>
        <x:v>997849.0335897914</x:v>
      </x:c>
      <x:c r="G797" s="78" t="n">
        <x:f>F797*'Inputs'!$F$46</x:f>
        <x:v>498924.5167948957</x:v>
      </x:c>
      <x:c r="H797" s="78" t="n">
        <x:f>U796</x:f>
        <x:v>26248848.044638626</x:v>
      </x:c>
      <x:c r="I797" s="78" t="n">
        <x:f>V796</x:f>
        <x:v>1098.3651925932927</x:v>
      </x:c>
      <x:c r="J797" s="79" t="n">
        <x:f>IF(H797&gt;0,I797/H797,0)</x:f>
        <x:v>0.000041844319824070745</x:v>
      </x:c>
      <x:c r="K797" s="80" t="n">
        <x:f>(H797*J797+I797)*'Inputs'!$D$46*(1+'Inputs'!$G$46)^(B797/30)</x:f>
        <x:v>2196.7303851865854</x:v>
      </x:c>
      <x:c r="L797" s="80" t="n">
        <x:f>MAX(0,K797*'Inputs'!$E$46)</x:f>
        <x:v>0</x:v>
      </x:c>
      <x:c r="M797" s="80" t="n">
        <x:f>MAX(0,-K797*'Inputs'!$E$46)</x:f>
        <x:v>0</x:v>
      </x:c>
      <x:c r="N797" s="78" t="n">
        <x:f>H797*(L797*(1-'Inputs'!$B$15))/(I797+L797*(1-'Inputs'!$B$15))</x:f>
        <x:v>0</x:v>
      </x:c>
      <x:c r="O797" s="78" t="n">
        <x:f>H797-N797</x:f>
        <x:v>26248848.044638626</x:v>
      </x:c>
      <x:c r="P797" s="78" t="n">
        <x:f>I797+L797*(1-'Inputs'!$B$17)</x:f>
        <x:v>1098.3651925932927</x:v>
      </x:c>
      <x:c r="Q797" s="78" t="n">
        <x:f>IF(J797&gt;0,M797/J797,0)</x:f>
        <x:v>0</x:v>
      </x:c>
      <x:c r="R797" s="78" t="n">
        <x:f>IF(B797='Inputs'!$H$46,'Inputs'!$B$27*'Inputs'!$I$46,0)</x:f>
        <x:v>0</x:v>
      </x:c>
      <x:c r="S797" s="78" t="n">
        <x:f>Q797+G797+R797</x:f>
        <x:v>498924.5167948957</x:v>
      </x:c>
      <x:c r="T797" s="78" t="n">
        <x:f>P797*(S797*(1-'Inputs'!$B$15))/(O797+S797*(1-'Inputs'!$B$15))</x:f>
        <x:v>20.286643440706406</x:v>
      </x:c>
      <x:c r="U797" s="78" t="n">
        <x:f>O797+S797*(1-'Inputs'!$B$17)</x:f>
        <x:v>26745764.816899136</x:v>
      </x:c>
      <x:c r="V797" s="78" t="n">
        <x:f>P797-T797</x:f>
        <x:v>1078.0785491525862</x:v>
      </x:c>
      <x:c r="W797" s="79" t="n">
        <x:f>IF(U797&gt;0,V797/U797,0)</x:f>
        <x:v>0.000040308383646273944</x:v>
      </x:c>
      <x:c r="X797" s="80" t="n">
        <x:f>W797*('Inputs'!$B$6-AC797)</x:f>
        <x:v>40162.03537807116</x:v>
      </x:c>
      <x:c r="Y797" s="80" t="n">
        <x:f>2*V797</x:f>
        <x:v>2156.1570983051724</x:v>
      </x:c>
      <x:c r="Z797" s="80" t="n">
        <x:f>K797*'Inputs'!$B$16+(G797+R797)*J797*'Inputs'!$B$16</x:f>
        <x:v>13.305645253412525</x:v>
      </x:c>
      <x:c r="AA797" s="80" t="n">
        <x:f>K797*(1+'Inputs'!$E$46)/2*'Inputs'!$B$17</x:f>
        <x:v>4.419980654298965</x:v>
      </x:c>
      <x:c r="AB797" s="78" t="n">
        <x:f>(IF(J797&gt;0,K797*(1-'Inputs'!$E$46)/2/J797,0)+G797+R797)*'Inputs'!$B$17</x:f>
        <x:v>107636.91171603027</x:v>
      </x:c>
      <x:c r="AC797" s="78" t="n">
        <x:f>AC796+AB797</x:f>
        <x:v>3630715.3739297916</x:v>
      </x:c>
      <x:c r="AD797" s="80" t="n">
        <x:f>Z797/(1+'Inputs'!$C$46)</x:f>
        <x:v>6.6528226267062625</x:v>
      </x:c>
      <x:c r="AE797" s="80" t="n">
        <x:f>Z797-AD797</x:f>
        <x:v>6.6528226267062625</x:v>
      </x:c>
      <x:c r="AF797" s="80" t="n">
        <x:f>D797*W797</x:f>
        <x:v>11.942947088416599</x:v>
      </x:c>
      <x:c r="AG797" s="80" t="n">
        <x:f>C797*W797</x:f>
        <x:v>27.866876539639033</x:v>
      </x:c>
      <x:c r="AH797" s="80" t="n">
        <x:f>2*'Inputs'!$B$8*'Inputs'!$C$46</x:f>
        <x:v>5000</x:v>
      </x:c>
      <x:c r="AI797" s="81" t="n">
        <x:f>IF(AH797&gt;0,(AE797+AF797)/AH797*365,0)</x:f>
        <x:v>1.357491189203969</x:v>
      </x:c>
      <x:c r="AJ797" s="81" t="n">
        <x:f>IF('Inputs'!$B$46&gt;0,AG797/('Inputs'!$B$19*'Inputs'!$B$46)*365,0)</x:f>
        <x:v>1.0171409936968248</x:v>
      </x:c>
      <x:c r="AK797" s="81" t="n">
        <x:f>W797/MAX($W$734:W797)-1</x:f>
        <x:v>-0.9521723994216801</x:v>
      </x:c>
      <x:c r="AL797" s="83" t="n">
        <x:f>'Inputs'!$B$46</x:f>
        <x:v>1</x:v>
      </x:c>
      <x:c r="AM797" s="83" t="n">
        <x:f>'Inputs'!$C$46</x:f>
        <x:v>1</x:v>
      </x:c>
      <x:c r="AN797" s="83" t="n">
        <x:f>'Inputs'!$D$46</x:f>
        <x:v>1</x:v>
      </x:c>
      <x:c r="AO797" s="81" t="n">
        <x:f>'Inputs'!$E$46</x:f>
        <x:v>0</x:v>
      </x:c>
    </x:row>
    <x:row r="798">
      <x:c r="A798" s="59" t="str">
        <x:v>Base</x:v>
      </x:c>
      <x:c r="B798" s="59" t="n">
        <x:v>65</x:v>
      </x:c>
      <x:c r="C798" s="78" t="n">
        <x:f>(('Inputs'!$B$29*(3*65*'Inputs'!$B$12-65^2)/(2*'Inputs'!$B$12^2))-('Inputs'!$B$29*(3*64*'Inputs'!$B$12-64^2)/(2*'Inputs'!$B$12^2)))*'Inputs'!$B$46</x:f>
        <x:v>691016.8418089673</x:v>
      </x:c>
      <x:c r="D798" s="78" t="n">
        <x:f>IF('Inputs'!$C$46&gt;0,('Inputs'!$B$30*(3*65*'Inputs'!$B$12-65^2)/(2*'Inputs'!$B$12^2))-('Inputs'!$B$30*(3*64*'Inputs'!$B$12-64^2)/(2*'Inputs'!$B$12^2)),0)</x:f>
        <x:v>296150.0750609897</x:v>
      </x:c>
      <x:c r="E798" s="78" t="n">
        <x:f>C798+D798</x:f>
        <x:v>987166.916869957</x:v>
      </x:c>
      <x:c r="F798" s="78" t="n">
        <x:f>'Inputs'!$B$13*E798+(1-'Inputs'!$B$13)/'Inputs'!$B$14*SUM(E743:E798)</x:f>
        <x:v>997384.5937324078</x:v>
      </x:c>
      <x:c r="G798" s="78" t="n">
        <x:f>F798*'Inputs'!$F$46</x:f>
        <x:v>498692.2968662039</x:v>
      </x:c>
      <x:c r="H798" s="78" t="n">
        <x:f>U797</x:f>
        <x:v>26745764.816899136</x:v>
      </x:c>
      <x:c r="I798" s="78" t="n">
        <x:f>V797</x:f>
        <x:v>1078.0785491525862</x:v>
      </x:c>
      <x:c r="J798" s="79" t="n">
        <x:f>IF(H798&gt;0,I798/H798,0)</x:f>
        <x:v>0.000040308383646273944</x:v>
      </x:c>
      <x:c r="K798" s="80" t="n">
        <x:f>(H798*J798+I798)*'Inputs'!$D$46*(1+'Inputs'!$G$46)^(B798/30)</x:f>
        <x:v>2156.1570983051724</x:v>
      </x:c>
      <x:c r="L798" s="80" t="n">
        <x:f>MAX(0,K798*'Inputs'!$E$46)</x:f>
        <x:v>0</x:v>
      </x:c>
      <x:c r="M798" s="80" t="n">
        <x:f>MAX(0,-K798*'Inputs'!$E$46)</x:f>
        <x:v>0</x:v>
      </x:c>
      <x:c r="N798" s="78" t="n">
        <x:f>H798*(L798*(1-'Inputs'!$B$15))/(I798+L798*(1-'Inputs'!$B$15))</x:f>
        <x:v>0</x:v>
      </x:c>
      <x:c r="O798" s="78" t="n">
        <x:f>H798-N798</x:f>
        <x:v>26745764.816899136</x:v>
      </x:c>
      <x:c r="P798" s="78" t="n">
        <x:f>I798+L798*(1-'Inputs'!$B$17)</x:f>
        <x:v>1078.0785491525862</x:v>
      </x:c>
      <x:c r="Q798" s="78" t="n">
        <x:f>IF(J798&gt;0,M798/J798,0)</x:f>
        <x:v>0</x:v>
      </x:c>
      <x:c r="R798" s="78" t="n">
        <x:f>IF(B798='Inputs'!$H$46,'Inputs'!$B$27*'Inputs'!$I$46,0)</x:f>
        <x:v>0</x:v>
      </x:c>
      <x:c r="S798" s="78" t="n">
        <x:f>Q798+G798+R798</x:f>
        <x:v>498692.2968662039</x:v>
      </x:c>
      <x:c r="T798" s="78" t="n">
        <x:f>P798*(S798*(1-'Inputs'!$B$15))/(O798+S798*(1-'Inputs'!$B$15))</x:f>
        <x:v>19.539777002716004</x:v>
      </x:c>
      <x:c r="U798" s="78" t="n">
        <x:f>O798+S798*(1-'Inputs'!$B$17)</x:f>
        <x:v>27242450.303717587</x:v>
      </x:c>
      <x:c r="V798" s="78" t="n">
        <x:f>P798-T798</x:f>
        <x:v>1058.5387721498703</x:v>
      </x:c>
      <x:c r="W798" s="79" t="n">
        <x:f>IF(U798&gt;0,V798/U798,0)</x:f>
        <x:v>0.00003885622476497347</x:v>
      </x:c>
      <x:c r="X798" s="80" t="n">
        <x:f>W798*('Inputs'!$B$6-AC798)</x:f>
        <x:v>38710.8888451866</x:v>
      </x:c>
      <x:c r="Y798" s="80" t="n">
        <x:f>2*V798</x:f>
        <x:v>2117.0775442997406</x:v>
      </x:c>
      <x:c r="Z798" s="80" t="n">
        <x:f>K798*'Inputs'!$B$16+(G798+R798)*J798*'Inputs'!$B$16</x:f>
        <x:v>13.057551472372182</x:v>
      </x:c>
      <x:c r="AA798" s="80" t="n">
        <x:f>K798*(1+'Inputs'!$E$46)/2*'Inputs'!$B$17</x:f>
        <x:v>4.338344262183446</x:v>
      </x:c>
      <x:c r="AB798" s="78" t="n">
        <x:f>(IF(J798&gt;0,K798*(1-'Inputs'!$E$46)/2/J798,0)+G798+R798)*'Inputs'!$B$17</x:f>
        <x:v>109635.64230891487</x:v>
      </x:c>
      <x:c r="AC798" s="78" t="n">
        <x:f>AC797+AB798</x:f>
        <x:v>3740351.0162387067</x:v>
      </x:c>
      <x:c r="AD798" s="80" t="n">
        <x:f>Z798/(1+'Inputs'!$C$46)</x:f>
        <x:v>6.528775736186091</x:v>
      </x:c>
      <x:c r="AE798" s="80" t="n">
        <x:f>Z798-AD798</x:f>
        <x:v>6.528775736186091</x:v>
      </x:c>
      <x:c r="AF798" s="80" t="n">
        <x:f>D798*W798</x:f>
        <x:v>11.50727388073358</x:v>
      </x:c>
      <x:c r="AG798" s="80" t="n">
        <x:f>C798*W798</x:f>
        <x:v>26.850305721711347</x:v>
      </x:c>
      <x:c r="AH798" s="80" t="n">
        <x:f>2*'Inputs'!$B$8*'Inputs'!$C$46</x:f>
        <x:v>5000</x:v>
      </x:c>
      <x:c r="AI798" s="81" t="n">
        <x:f>IF(AH798&gt;0,(AE798+AF798)/AH798*365,0)</x:f>
        <x:v>1.3166316220351357</x:v>
      </x:c>
      <x:c r="AJ798" s="81" t="n">
        <x:f>IF('Inputs'!$B$46&gt;0,AG798/('Inputs'!$B$19*'Inputs'!$B$46)*365,0)</x:f>
        <x:v>0.9800361588424642</x:v>
      </x:c>
      <x:c r="AK798" s="81" t="n">
        <x:f>W798/MAX($W$734:W798)-1</x:f>
        <x:v>-0.9538954473007661</x:v>
      </x:c>
      <x:c r="AL798" s="83" t="n">
        <x:f>'Inputs'!$B$46</x:f>
        <x:v>1</x:v>
      </x:c>
      <x:c r="AM798" s="83" t="n">
        <x:f>'Inputs'!$C$46</x:f>
        <x:v>1</x:v>
      </x:c>
      <x:c r="AN798" s="83" t="n">
        <x:f>'Inputs'!$D$46</x:f>
        <x:v>1</x:v>
      </x:c>
      <x:c r="AO798" s="81" t="n">
        <x:f>'Inputs'!$E$46</x:f>
        <x:v>0</x:v>
      </x:c>
    </x:row>
    <x:row r="799">
      <x:c r="A799" s="59" t="str">
        <x:v>Base</x:v>
      </x:c>
      <x:c r="B799" s="59" t="n">
        <x:v>66</x:v>
      </x:c>
      <x:c r="C799" s="78" t="n">
        <x:f>(('Inputs'!$B$29*(3*66*'Inputs'!$B$12-66^2)/(2*'Inputs'!$B$12^2))-('Inputs'!$B$29*(3*65*'Inputs'!$B$12-65^2)/(2*'Inputs'!$B$12^2)))*'Inputs'!$B$46</x:f>
        <x:v>690691.7339088023</x:v>
      </x:c>
      <x:c r="D799" s="78" t="n">
        <x:f>IF('Inputs'!$C$46&gt;0,('Inputs'!$B$30*(3*66*'Inputs'!$B$12-66^2)/(2*'Inputs'!$B$12^2))-('Inputs'!$B$30*(3*65*'Inputs'!$B$12-65^2)/(2*'Inputs'!$B$12^2)),0)</x:f>
        <x:v>296010.7431037724</x:v>
      </x:c>
      <x:c r="E799" s="78" t="n">
        <x:f>C799+D799</x:f>
        <x:v>986702.4770125747</x:v>
      </x:c>
      <x:c r="F799" s="78" t="n">
        <x:f>'Inputs'!$B$13*E799+(1-'Inputs'!$B$13)/'Inputs'!$B$14*SUM(E744:E799)</x:f>
        <x:v>996920.1538750238</x:v>
      </x:c>
      <x:c r="G799" s="78" t="n">
        <x:f>F799*'Inputs'!$F$46</x:f>
        <x:v>498460.0769375119</x:v>
      </x:c>
      <x:c r="H799" s="78" t="n">
        <x:f>U798</x:f>
        <x:v>27242450.303717587</x:v>
      </x:c>
      <x:c r="I799" s="78" t="n">
        <x:f>V798</x:f>
        <x:v>1058.5387721498703</x:v>
      </x:c>
      <x:c r="J799" s="79" t="n">
        <x:f>IF(H799&gt;0,I799/H799,0)</x:f>
        <x:v>0.00003885622476497347</x:v>
      </x:c>
      <x:c r="K799" s="80" t="n">
        <x:f>(H799*J799+I799)*'Inputs'!$D$46*(1+'Inputs'!$G$46)^(B799/30)</x:f>
        <x:v>2117.0775442997406</x:v>
      </x:c>
      <x:c r="L799" s="80" t="n">
        <x:f>MAX(0,K799*'Inputs'!$E$46)</x:f>
        <x:v>0</x:v>
      </x:c>
      <x:c r="M799" s="80" t="n">
        <x:f>MAX(0,-K799*'Inputs'!$E$46)</x:f>
        <x:v>0</x:v>
      </x:c>
      <x:c r="N799" s="78" t="n">
        <x:f>H799*(L799*(1-'Inputs'!$B$15))/(I799+L799*(1-'Inputs'!$B$15))</x:f>
        <x:v>0</x:v>
      </x:c>
      <x:c r="O799" s="78" t="n">
        <x:f>H799-N799</x:f>
        <x:v>27242450.303717587</x:v>
      </x:c>
      <x:c r="P799" s="78" t="n">
        <x:f>I799+L799*(1-'Inputs'!$B$17)</x:f>
        <x:v>1058.5387721498703</x:v>
      </x:c>
      <x:c r="Q799" s="78" t="n">
        <x:f>IF(J799&gt;0,M799/J799,0)</x:f>
        <x:v>0</x:v>
      </x:c>
      <x:c r="R799" s="78" t="n">
        <x:f>IF(B799='Inputs'!$H$46,'Inputs'!$B$27*'Inputs'!$I$46,0)</x:f>
        <x:v>0</x:v>
      </x:c>
      <x:c r="S799" s="78" t="n">
        <x:f>Q799+G799+R799</x:f>
        <x:v>498460.0769375119</x:v>
      </x:c>
      <x:c r="T799" s="78" t="n">
        <x:f>P799*(S799*(1-'Inputs'!$B$15))/(O799+S799*(1-'Inputs'!$B$15))</x:f>
        <x:v>18.833441103592552</x:v>
      </x:c>
      <x:c r="U799" s="78" t="n">
        <x:f>O799+S799*(1-'Inputs'!$B$17)</x:f>
        <x:v>27738904.50509398</x:v>
      </x:c>
      <x:c r="V799" s="78" t="n">
        <x:f>P799-T799</x:f>
        <x:v>1039.7053310462777</x:v>
      </x:c>
      <x:c r="W799" s="79" t="n">
        <x:f>IF(U799&gt;0,V799/U799,0)</x:f>
        <x:v>0.000037481845429596755</x:v>
      </x:c>
      <x:c r="X799" s="80" t="n">
        <x:f>W799*('Inputs'!$B$6-AC799)</x:f>
        <x:v>37337.465943529256</x:v>
      </x:c>
      <x:c r="Y799" s="80" t="n">
        <x:f>2*V799</x:f>
        <x:v>2079.4106620925554</x:v>
      </x:c>
      <x:c r="Z799" s="80" t="n">
        <x:f>K799*'Inputs'!$B$16+(G799+R799)*J799*'Inputs'!$B$16</x:f>
        <x:v>12.818674926513543</x:v>
      </x:c>
      <x:c r="AA799" s="80" t="n">
        <x:f>K799*(1+'Inputs'!$E$46)/2*'Inputs'!$B$17</x:f>
        <x:v>4.259713368812355</x:v>
      </x:c>
      <x:c r="AB799" s="78" t="n">
        <x:f>(IF(J799&gt;0,K799*(1-'Inputs'!$E$46)/2/J799,0)+G799+R799)*'Inputs'!$B$17</x:f>
        <x:v>111633.44217567446</x:v>
      </x:c>
      <x:c r="AC799" s="78" t="n">
        <x:f>AC798+AB799</x:f>
        <x:v>3851984.458414381</x:v>
      </x:c>
      <x:c r="AD799" s="80" t="n">
        <x:f>Z799/(1+'Inputs'!$C$46)</x:f>
        <x:v>6.4093374632567714</x:v>
      </x:c>
      <x:c r="AE799" s="80" t="n">
        <x:f>Z799-AD799</x:f>
        <x:v>6.4093374632567714</x:v>
      </x:c>
      <x:c r="AF799" s="80" t="n">
        <x:f>D799*W799</x:f>
        <x:v>11.09502891851567</x:v>
      </x:c>
      <x:c r="AG799" s="80" t="n">
        <x:f>C799*W799</x:f>
        <x:v>25.8884008098699</x:v>
      </x:c>
      <x:c r="AH799" s="80" t="n">
        <x:f>2*'Inputs'!$B$8*'Inputs'!$C$46</x:f>
        <x:v>5000</x:v>
      </x:c>
      <x:c r="AI799" s="81" t="n">
        <x:f>IF(AH799&gt;0,(AE799+AF799)/AH799*365,0)</x:f>
        <x:v>1.2778187458693884</x:v>
      </x:c>
      <x:c r="AJ799" s="81" t="n">
        <x:f>IF('Inputs'!$B$46&gt;0,AG799/('Inputs'!$B$19*'Inputs'!$B$46)*365,0)</x:f>
        <x:v>0.9449266295602513</x:v>
      </x:c>
      <x:c r="AK799" s="81" t="n">
        <x:f>W799/MAX($W$734:W799)-1</x:f>
        <x:v>-0.9555262064617471</x:v>
      </x:c>
      <x:c r="AL799" s="83" t="n">
        <x:f>'Inputs'!$B$46</x:f>
        <x:v>1</x:v>
      </x:c>
      <x:c r="AM799" s="83" t="n">
        <x:f>'Inputs'!$C$46</x:f>
        <x:v>1</x:v>
      </x:c>
      <x:c r="AN799" s="83" t="n">
        <x:f>'Inputs'!$D$46</x:f>
        <x:v>1</x:v>
      </x:c>
      <x:c r="AO799" s="81" t="n">
        <x:f>'Inputs'!$E$46</x:f>
        <x:v>0</x:v>
      </x:c>
    </x:row>
    <x:row r="800">
      <x:c r="A800" s="59" t="str">
        <x:v>Base</x:v>
      </x:c>
      <x:c r="B800" s="59" t="n">
        <x:v>67</x:v>
      </x:c>
      <x:c r="C800" s="78" t="n">
        <x:f>(('Inputs'!$B$29*(3*67*'Inputs'!$B$12-67^2)/(2*'Inputs'!$B$12^2))-('Inputs'!$B$29*(3*66*'Inputs'!$B$12-66^2)/(2*'Inputs'!$B$12^2)))*'Inputs'!$B$46</x:f>
        <x:v>690366.6260086298</x:v>
      </x:c>
      <x:c r="D800" s="78" t="n">
        <x:f>IF('Inputs'!$C$46&gt;0,('Inputs'!$B$30*(3*67*'Inputs'!$B$12-67^2)/(2*'Inputs'!$B$12^2))-('Inputs'!$B$30*(3*66*'Inputs'!$B$12-66^2)/(2*'Inputs'!$B$12^2)),0)</x:f>
        <x:v>295871.4111465551</x:v>
      </x:c>
      <x:c r="E800" s="78" t="n">
        <x:f>C800+D800</x:f>
        <x:v>986238.0371551849</x:v>
      </x:c>
      <x:c r="F800" s="78" t="n">
        <x:f>'Inputs'!$B$13*E800+(1-'Inputs'!$B$13)/'Inputs'!$B$14*SUM(E745:E800)</x:f>
        <x:v>996455.7140176386</x:v>
      </x:c>
      <x:c r="G800" s="78" t="n">
        <x:f>F800*'Inputs'!$F$46</x:f>
        <x:v>498227.8570088193</x:v>
      </x:c>
      <x:c r="H800" s="78" t="n">
        <x:f>U799</x:f>
        <x:v>27738904.50509398</x:v>
      </x:c>
      <x:c r="I800" s="78" t="n">
        <x:f>V799</x:f>
        <x:v>1039.7053310462777</x:v>
      </x:c>
      <x:c r="J800" s="79" t="n">
        <x:f>IF(H800&gt;0,I800/H800,0)</x:f>
        <x:v>0.000037481845429596755</x:v>
      </x:c>
      <x:c r="K800" s="80" t="n">
        <x:f>(H800*J800+I800)*'Inputs'!$D$46*(1+'Inputs'!$G$46)^(B800/30)</x:f>
        <x:v>2079.4106620925554</x:v>
      </x:c>
      <x:c r="L800" s="80" t="n">
        <x:f>MAX(0,K800*'Inputs'!$E$46)</x:f>
        <x:v>0</x:v>
      </x:c>
      <x:c r="M800" s="80" t="n">
        <x:f>MAX(0,-K800*'Inputs'!$E$46)</x:f>
        <x:v>0</x:v>
      </x:c>
      <x:c r="N800" s="78" t="n">
        <x:f>H800*(L800*(1-'Inputs'!$B$15))/(I800+L800*(1-'Inputs'!$B$15))</x:f>
        <x:v>0</x:v>
      </x:c>
      <x:c r="O800" s="78" t="n">
        <x:f>H800-N800</x:f>
        <x:v>27738904.50509398</x:v>
      </x:c>
      <x:c r="P800" s="78" t="n">
        <x:f>I800+L800*(1-'Inputs'!$B$17)</x:f>
        <x:v>1039.7053310462777</x:v>
      </x:c>
      <x:c r="Q800" s="78" t="n">
        <x:f>IF(J800&gt;0,M800/J800,0)</x:f>
        <x:v>0</x:v>
      </x:c>
      <x:c r="R800" s="78" t="n">
        <x:f>IF(B800='Inputs'!$H$46,'Inputs'!$B$27*'Inputs'!$I$46,0)</x:f>
        <x:v>0</x:v>
      </x:c>
      <x:c r="S800" s="78" t="n">
        <x:f>Q800+G800+R800</x:f>
        <x:v>498227.8570088193</x:v>
      </x:c>
      <x:c r="T800" s="78" t="n">
        <x:f>P800*(S800*(1-'Inputs'!$B$15))/(O800+S800*(1-'Inputs'!$B$15))</x:f>
        <x:v>18.164753867502206</x:v>
      </x:c>
      <x:c r="U800" s="78" t="n">
        <x:f>O800+S800*(1-'Inputs'!$B$17)</x:f>
        <x:v>28235127.421028316</x:v>
      </x:c>
      <x:c r="V800" s="78" t="n">
        <x:f>P800-T800</x:f>
        <x:v>1021.5405771787755</x:v>
      </x:c>
      <x:c r="W800" s="79" t="n">
        <x:f>IF(U800&gt;0,V800/U800,0)</x:f>
        <x:v>0.00003617977570797062</x:v>
      </x:c>
      <x:c r="X800" s="80" t="n">
        <x:f>W800*('Inputs'!$B$6-AC800)</x:f>
        <x:v>36036.30065505755</x:v>
      </x:c>
      <x:c r="Y800" s="80" t="n">
        <x:f>2*V800</x:f>
        <x:v>2043.081154357551</x:v>
      </x:c>
      <x:c r="Z800" s="80" t="n">
        <x:f>K800*'Inputs'!$B$16+(G800+R800)*J800*'Inputs'!$B$16</x:f>
        <x:v>12.588510969706077</x:v>
      </x:c>
      <x:c r="AA800" s="80" t="n">
        <x:f>K800*(1+'Inputs'!$E$46)/2*'Inputs'!$B$17</x:f>
        <x:v>4.183924873425665</x:v>
      </x:c>
      <x:c r="AB800" s="78" t="n">
        <x:f>(IF(J800&gt;0,K800*(1-'Inputs'!$E$46)/2/J800,0)+G800+R800)*'Inputs'!$B$17</x:f>
        <x:v>113630.31131630906</x:v>
      </x:c>
      <x:c r="AC800" s="78" t="n">
        <x:f>AC799+AB800</x:f>
        <x:v>3965614.76973069</x:v>
      </x:c>
      <x:c r="AD800" s="80" t="n">
        <x:f>Z800/(1+'Inputs'!$C$46)</x:f>
        <x:v>6.294255484853038</x:v>
      </x:c>
      <x:c r="AE800" s="80" t="n">
        <x:f>Z800-AD800</x:f>
        <x:v>6.294255484853038</x:v>
      </x:c>
      <x:c r="AF800" s="80" t="n">
        <x:f>D800*W800</x:f>
        <x:v>10.704561293683122</x:v>
      </x:c>
      <x:c r="AG800" s="80" t="n">
        <x:f>C800*W800</x:f>
        <x:v>24.977309685260664</x:v>
      </x:c>
      <x:c r="AH800" s="80" t="n">
        <x:f>2*'Inputs'!$B$8*'Inputs'!$C$46</x:f>
        <x:v>5000</x:v>
      </x:c>
      <x:c r="AI800" s="81" t="n">
        <x:f>IF(AH800&gt;0,(AE800+AF800)/AH800*365,0)</x:f>
        <x:v>1.2409136248331396</x:v>
      </x:c>
      <x:c r="AJ800" s="81" t="n">
        <x:f>IF('Inputs'!$B$46&gt;0,AG800/('Inputs'!$B$19*'Inputs'!$B$46)*365,0)</x:f>
        <x:v>0.9116718035120142</x:v>
      </x:c>
      <x:c r="AK800" s="81" t="n">
        <x:f>W800/MAX($W$734:W800)-1</x:f>
        <x:v>-0.9570711672102988</x:v>
      </x:c>
      <x:c r="AL800" s="83" t="n">
        <x:f>'Inputs'!$B$46</x:f>
        <x:v>1</x:v>
      </x:c>
      <x:c r="AM800" s="83" t="n">
        <x:f>'Inputs'!$C$46</x:f>
        <x:v>1</x:v>
      </x:c>
      <x:c r="AN800" s="83" t="n">
        <x:f>'Inputs'!$D$46</x:f>
        <x:v>1</x:v>
      </x:c>
      <x:c r="AO800" s="81" t="n">
        <x:f>'Inputs'!$E$46</x:f>
        <x:v>0</x:v>
      </x:c>
    </x:row>
    <x:row r="801">
      <x:c r="A801" s="59" t="str">
        <x:v>Base</x:v>
      </x:c>
      <x:c r="B801" s="59" t="n">
        <x:v>68</x:v>
      </x:c>
      <x:c r="C801" s="78" t="n">
        <x:f>(('Inputs'!$B$29*(3*68*'Inputs'!$B$12-68^2)/(2*'Inputs'!$B$12^2))-('Inputs'!$B$29*(3*67*'Inputs'!$B$12-67^2)/(2*'Inputs'!$B$12^2)))*'Inputs'!$B$46</x:f>
        <x:v>690041.5181084648</x:v>
      </x:c>
      <x:c r="D801" s="78" t="n">
        <x:f>IF('Inputs'!$C$46&gt;0,('Inputs'!$B$30*(3*68*'Inputs'!$B$12-68^2)/(2*'Inputs'!$B$12^2))-('Inputs'!$B$30*(3*67*'Inputs'!$B$12-67^2)/(2*'Inputs'!$B$12^2)),0)</x:f>
        <x:v>295732.0791893415</x:v>
      </x:c>
      <x:c r="E801" s="78" t="n">
        <x:f>C801+D801</x:f>
        <x:v>985773.5972978063</x:v>
      </x:c>
      <x:c r="F801" s="78" t="n">
        <x:f>'Inputs'!$B$13*E801+(1-'Inputs'!$B$13)/'Inputs'!$B$14*SUM(E746:E801)</x:f>
        <x:v>995991.2741602554</x:v>
      </x:c>
      <x:c r="G801" s="78" t="n">
        <x:f>F801*'Inputs'!$F$46</x:f>
        <x:v>497995.6370801277</x:v>
      </x:c>
      <x:c r="H801" s="78" t="n">
        <x:f>U800</x:f>
        <x:v>28235127.421028316</x:v>
      </x:c>
      <x:c r="I801" s="78" t="n">
        <x:f>V800</x:f>
        <x:v>1021.5405771787755</x:v>
      </x:c>
      <x:c r="J801" s="79" t="n">
        <x:f>IF(H801&gt;0,I801/H801,0)</x:f>
        <x:v>0.00003617977570797062</x:v>
      </x:c>
      <x:c r="K801" s="80" t="n">
        <x:f>(H801*J801+I801)*'Inputs'!$D$46*(1+'Inputs'!$G$46)^(B801/30)</x:f>
        <x:v>2043.081154357551</x:v>
      </x:c>
      <x:c r="L801" s="80" t="n">
        <x:f>MAX(0,K801*'Inputs'!$E$46)</x:f>
        <x:v>0</x:v>
      </x:c>
      <x:c r="M801" s="80" t="n">
        <x:f>MAX(0,-K801*'Inputs'!$E$46)</x:f>
        <x:v>0</x:v>
      </x:c>
      <x:c r="N801" s="78" t="n">
        <x:f>H801*(L801*(1-'Inputs'!$B$15))/(I801+L801*(1-'Inputs'!$B$15))</x:f>
        <x:v>0</x:v>
      </x:c>
      <x:c r="O801" s="78" t="n">
        <x:f>H801-N801</x:f>
        <x:v>28235127.421028316</x:v>
      </x:c>
      <x:c r="P801" s="78" t="n">
        <x:f>I801+L801*(1-'Inputs'!$B$17)</x:f>
        <x:v>1021.5405771787755</x:v>
      </x:c>
      <x:c r="Q801" s="78" t="n">
        <x:f>IF(J801&gt;0,M801/J801,0)</x:f>
        <x:v>0</x:v>
      </x:c>
      <x:c r="R801" s="78" t="n">
        <x:f>IF(B801='Inputs'!$H$46,'Inputs'!$B$27*'Inputs'!$I$46,0)</x:f>
        <x:v>0</x:v>
      </x:c>
      <x:c r="S801" s="78" t="n">
        <x:f>Q801+G801+R801</x:f>
        <x:v>497995.6370801277</x:v>
      </x:c>
      <x:c r="T801" s="78" t="n">
        <x:f>P801*(S801*(1-'Inputs'!$B$15))/(O801+S801*(1-'Inputs'!$B$15))</x:f>
        <x:v>17.531085153900165</x:v>
      </x:c>
      <x:c r="U801" s="78" t="n">
        <x:f>O801+S801*(1-'Inputs'!$B$17)</x:f>
        <x:v>28731119.051520597</x:v>
      </x:c>
      <x:c r="V801" s="78" t="n">
        <x:f>P801-T801</x:f>
        <x:v>1004.0094920248753</x:v>
      </x:c>
      <x:c r="W801" s="79" t="n">
        <x:f>IF(U801&gt;0,V801/U801,0)</x:f>
        <x:v>0.000034945018682512404</x:v>
      </x:c>
      <x:c r="X801" s="80" t="n">
        <x:f>W801*('Inputs'!$B$6-AC801)</x:f>
        <x:v>34802.39963883949</x:v>
      </x:c>
      <x:c r="Y801" s="80" t="n">
        <x:f>2*V801</x:f>
        <x:v>2008.0189840497505</x:v>
      </x:c>
      <x:c r="Z801" s="80" t="n">
        <x:f>K801*'Inputs'!$B$16+(G801+R801)*J801*'Inputs'!$B$16</x:f>
        <x:v>12.366591148863948</x:v>
      </x:c>
      <x:c r="AA801" s="80" t="n">
        <x:f>K801*(1+'Inputs'!$E$46)/2*'Inputs'!$B$17</x:f>
        <x:v>4.110827272349198</x:v>
      </x:c>
      <x:c r="AB801" s="78" t="n">
        <x:f>(IF(J801&gt;0,K801*(1-'Inputs'!$E$46)/2/J801,0)+G801+R801)*'Inputs'!$B$17</x:f>
        <x:v>115626.2497308187</x:v>
      </x:c>
      <x:c r="AC801" s="78" t="n">
        <x:f>AC800+AB801</x:f>
        <x:v>4081241.019461509</x:v>
      </x:c>
      <x:c r="AD801" s="80" t="n">
        <x:f>Z801/(1+'Inputs'!$C$46)</x:f>
        <x:v>6.183295574431974</x:v>
      </x:c>
      <x:c r="AE801" s="80" t="n">
        <x:f>Z801-AD801</x:f>
        <x:v>6.183295574431974</x:v>
      </x:c>
      <x:c r="AF801" s="80" t="n">
        <x:f>D801*W801</x:f>
        <x:v>10.334363032289778</x:v>
      </x:c>
      <x:c r="AG801" s="80" t="n">
        <x:f>C801*W801</x:f>
        <x:v>24.113513742009523</x:v>
      </x:c>
      <x:c r="AH801" s="80" t="n">
        <x:f>2*'Inputs'!$B$8*'Inputs'!$C$46</x:f>
        <x:v>5000</x:v>
      </x:c>
      <x:c r="AI801" s="81" t="n">
        <x:f>IF(AH801&gt;0,(AE801+AF801)/AH801*365,0)</x:f>
        <x:v>1.205789078290688</x:v>
      </x:c>
      <x:c r="AJ801" s="81" t="n">
        <x:f>IF('Inputs'!$B$46&gt;0,AG801/('Inputs'!$B$19*'Inputs'!$B$46)*365,0)</x:f>
        <x:v>0.8801432515833476</x:v>
      </x:c>
      <x:c r="AK801" s="81" t="n">
        <x:f>W801/MAX($W$734:W801)-1</x:f>
        <x:v>-0.9585362586002968</x:v>
      </x:c>
      <x:c r="AL801" s="83" t="n">
        <x:f>'Inputs'!$B$46</x:f>
        <x:v>1</x:v>
      </x:c>
      <x:c r="AM801" s="83" t="n">
        <x:f>'Inputs'!$C$46</x:f>
        <x:v>1</x:v>
      </x:c>
      <x:c r="AN801" s="83" t="n">
        <x:f>'Inputs'!$D$46</x:f>
        <x:v>1</x:v>
      </x:c>
      <x:c r="AO801" s="81" t="n">
        <x:f>'Inputs'!$E$46</x:f>
        <x:v>0</x:v>
      </x:c>
    </x:row>
    <x:row r="802">
      <x:c r="A802" s="59" t="str">
        <x:v>Base</x:v>
      </x:c>
      <x:c r="B802" s="59" t="n">
        <x:v>69</x:v>
      </x:c>
      <x:c r="C802" s="78" t="n">
        <x:f>(('Inputs'!$B$29*(3*69*'Inputs'!$B$12-69^2)/(2*'Inputs'!$B$12^2))-('Inputs'!$B$29*(3*68*'Inputs'!$B$12-68^2)/(2*'Inputs'!$B$12^2)))*'Inputs'!$B$46</x:f>
        <x:v>689716.4102082923</x:v>
      </x:c>
      <x:c r="D802" s="78" t="n">
        <x:f>IF('Inputs'!$C$46&gt;0,('Inputs'!$B$30*(3*69*'Inputs'!$B$12-69^2)/(2*'Inputs'!$B$12^2))-('Inputs'!$B$30*(3*68*'Inputs'!$B$12-68^2)/(2*'Inputs'!$B$12^2)),0)</x:f>
        <x:v>295592.7472321242</x:v>
      </x:c>
      <x:c r="E802" s="78" t="n">
        <x:f>C802+D802</x:f>
        <x:v>985309.1574404165</x:v>
      </x:c>
      <x:c r="F802" s="78" t="n">
        <x:f>'Inputs'!$B$13*E802+(1-'Inputs'!$B$13)/'Inputs'!$B$14*SUM(E747:E802)</x:f>
        <x:v>995526.8343028703</x:v>
      </x:c>
      <x:c r="G802" s="78" t="n">
        <x:f>F802*'Inputs'!$F$46</x:f>
        <x:v>497763.41715143516</x:v>
      </x:c>
      <x:c r="H802" s="78" t="n">
        <x:f>U801</x:f>
        <x:v>28731119.051520597</x:v>
      </x:c>
      <x:c r="I802" s="78" t="n">
        <x:f>V801</x:f>
        <x:v>1004.0094920248753</x:v>
      </x:c>
      <x:c r="J802" s="79" t="n">
        <x:f>IF(H802&gt;0,I802/H802,0)</x:f>
        <x:v>0.000034945018682512404</x:v>
      </x:c>
      <x:c r="K802" s="80" t="n">
        <x:f>(H802*J802+I802)*'Inputs'!$D$46*(1+'Inputs'!$G$46)^(B802/30)</x:f>
        <x:v>2008.0189840497505</x:v>
      </x:c>
      <x:c r="L802" s="80" t="n">
        <x:f>MAX(0,K802*'Inputs'!$E$46)</x:f>
        <x:v>0</x:v>
      </x:c>
      <x:c r="M802" s="80" t="n">
        <x:f>MAX(0,-K802*'Inputs'!$E$46)</x:f>
        <x:v>0</x:v>
      </x:c>
      <x:c r="N802" s="78" t="n">
        <x:f>H802*(L802*(1-'Inputs'!$B$15))/(I802+L802*(1-'Inputs'!$B$15))</x:f>
        <x:v>0</x:v>
      </x:c>
      <x:c r="O802" s="78" t="n">
        <x:f>H802-N802</x:f>
        <x:v>28731119.051520597</x:v>
      </x:c>
      <x:c r="P802" s="78" t="n">
        <x:f>I802+L802*(1-'Inputs'!$B$17)</x:f>
        <x:v>1004.0094920248753</x:v>
      </x:c>
      <x:c r="Q802" s="78" t="n">
        <x:f>IF(J802&gt;0,M802/J802,0)</x:f>
        <x:v>0</x:v>
      </x:c>
      <x:c r="R802" s="78" t="n">
        <x:f>IF(B802='Inputs'!$H$46,'Inputs'!$B$27*'Inputs'!$I$46,0)</x:f>
        <x:v>0</x:v>
      </x:c>
      <x:c r="S802" s="78" t="n">
        <x:f>Q802+G802+R802</x:f>
        <x:v>497763.41715143516</x:v>
      </x:c>
      <x:c r="T802" s="78" t="n">
        <x:f>P802*(S802*(1-'Inputs'!$B$15))/(O802+S802*(1-'Inputs'!$B$15))</x:f>
        <x:v>16.930030618723336</x:v>
      </x:c>
      <x:c r="U802" s="78" t="n">
        <x:f>O802+S802*(1-'Inputs'!$B$17)</x:f>
        <x:v>29226879.39657082</x:v>
      </x:c>
      <x:c r="V802" s="78" t="n">
        <x:f>P802-T802</x:f>
        <x:v>987.079461406152</x:v>
      </x:c>
      <x:c r="W802" s="79" t="n">
        <x:f>IF(U802&gt;0,V802/U802,0)</x:f>
        <x:v>0.00003377300217422342</x:v>
      </x:c>
      <x:c r="X802" s="80" t="n">
        <x:f>W802*('Inputs'!$B$6-AC802)</x:f>
        <x:v>33631.19398941706</x:v>
      </x:c>
      <x:c r="Y802" s="80" t="n">
        <x:f>2*V802</x:f>
        <x:v>1974.158922812304</x:v>
      </x:c>
      <x:c r="Z802" s="80" t="n">
        <x:f>K802*'Inputs'!$B$16+(G802+R802)*J802*'Inputs'!$B$16</x:f>
        <x:v>12.152480015769472</x:v>
      </x:c>
      <x:c r="AA802" s="80" t="n">
        <x:f>K802*(1+'Inputs'!$E$46)/2*'Inputs'!$B$17</x:f>
        <x:v>4.040279645975353</x:v>
      </x:c>
      <x:c r="AB802" s="78" t="n">
        <x:f>(IF(J802&gt;0,K802*(1-'Inputs'!$E$46)/2/J802,0)+G802+R802)*'Inputs'!$B$17</x:f>
        <x:v>117621.25741920336</x:v>
      </x:c>
      <x:c r="AC802" s="78" t="n">
        <x:f>AC801+AB802</x:f>
        <x:v>4198862.276880712</x:v>
      </x:c>
      <x:c r="AD802" s="80" t="n">
        <x:f>Z802/(1+'Inputs'!$C$46)</x:f>
        <x:v>6.076240007884736</x:v>
      </x:c>
      <x:c r="AE802" s="80" t="n">
        <x:f>Z802-AD802</x:f>
        <x:v>6.076240007884736</x:v>
      </x:c>
      <x:c r="AF802" s="80" t="n">
        <x:f>D802*W802</x:f>
        <x:v>9.983054494955203</x:v>
      </x:c>
      <x:c r="AG802" s="80" t="n">
        <x:f>C802*W802</x:f>
        <x:v>23.293793821562225</x:v>
      </x:c>
      <x:c r="AH802" s="80" t="n">
        <x:f>2*'Inputs'!$B$8*'Inputs'!$C$46</x:f>
        <x:v>5000</x:v>
      </x:c>
      <x:c r="AI802" s="81" t="n">
        <x:f>IF(AH802&gt;0,(AE802+AF802)/AH802*365,0)</x:f>
        <x:v>1.1723284987073157</x:v>
      </x:c>
      <x:c r="AJ802" s="81" t="n">
        <x:f>IF('Inputs'!$B$46&gt;0,AG802/('Inputs'!$B$19*'Inputs'!$B$46)*365,0)</x:f>
        <x:v>0.8502234744870212</x:v>
      </x:c>
      <x:c r="AK802" s="81" t="n">
        <x:f>W802/MAX($W$734:W802)-1</x:f>
        <x:v>-0.9599269057153375</x:v>
      </x:c>
      <x:c r="AL802" s="83" t="n">
        <x:f>'Inputs'!$B$46</x:f>
        <x:v>1</x:v>
      </x:c>
      <x:c r="AM802" s="83" t="n">
        <x:f>'Inputs'!$C$46</x:f>
        <x:v>1</x:v>
      </x:c>
      <x:c r="AN802" s="83" t="n">
        <x:f>'Inputs'!$D$46</x:f>
        <x:v>1</x:v>
      </x:c>
      <x:c r="AO802" s="81" t="n">
        <x:f>'Inputs'!$E$46</x:f>
        <x:v>0</x:v>
      </x:c>
    </x:row>
    <x:row r="803">
      <x:c r="A803" s="59" t="str">
        <x:v>Base</x:v>
      </x:c>
      <x:c r="B803" s="59" t="n">
        <x:v>70</x:v>
      </x:c>
      <x:c r="C803" s="78" t="n">
        <x:f>(('Inputs'!$B$29*(3*70*'Inputs'!$B$12-70^2)/(2*'Inputs'!$B$12^2))-('Inputs'!$B$29*(3*69*'Inputs'!$B$12-69^2)/(2*'Inputs'!$B$12^2)))*'Inputs'!$B$46</x:f>
        <x:v>689391.3023081273</x:v>
      </x:c>
      <x:c r="D803" s="78" t="n">
        <x:f>IF('Inputs'!$C$46&gt;0,('Inputs'!$B$30*(3*70*'Inputs'!$B$12-70^2)/(2*'Inputs'!$B$12^2))-('Inputs'!$B$30*(3*69*'Inputs'!$B$12-69^2)/(2*'Inputs'!$B$12^2)),0)</x:f>
        <x:v>295453.4152749106</x:v>
      </x:c>
      <x:c r="E803" s="78" t="n">
        <x:f>C803+D803</x:f>
        <x:v>984844.7175830379</x:v>
      </x:c>
      <x:c r="F803" s="78" t="n">
        <x:f>'Inputs'!$B$13*E803+(1-'Inputs'!$B$13)/'Inputs'!$B$14*SUM(E748:E803)</x:f>
        <x:v>995062.3944454873</x:v>
      </x:c>
      <x:c r="G803" s="78" t="n">
        <x:f>F803*'Inputs'!$F$46</x:f>
        <x:v>497531.19722274365</x:v>
      </x:c>
      <x:c r="H803" s="78" t="n">
        <x:f>U802</x:f>
        <x:v>29226879.39657082</x:v>
      </x:c>
      <x:c r="I803" s="78" t="n">
        <x:f>V802</x:f>
        <x:v>987.079461406152</x:v>
      </x:c>
      <x:c r="J803" s="79" t="n">
        <x:f>IF(H803&gt;0,I803/H803,0)</x:f>
        <x:v>0.00003377300217422342</x:v>
      </x:c>
      <x:c r="K803" s="80" t="n">
        <x:f>(H803*J803+I803)*'Inputs'!$D$46*(1+'Inputs'!$G$46)^(B803/30)</x:f>
        <x:v>1974.158922812304</x:v>
      </x:c>
      <x:c r="L803" s="80" t="n">
        <x:f>MAX(0,K803*'Inputs'!$E$46)</x:f>
        <x:v>0</x:v>
      </x:c>
      <x:c r="M803" s="80" t="n">
        <x:f>MAX(0,-K803*'Inputs'!$E$46)</x:f>
        <x:v>0</x:v>
      </x:c>
      <x:c r="N803" s="78" t="n">
        <x:f>H803*(L803*(1-'Inputs'!$B$15))/(I803+L803*(1-'Inputs'!$B$15))</x:f>
        <x:v>0</x:v>
      </x:c>
      <x:c r="O803" s="78" t="n">
        <x:f>H803-N803</x:f>
        <x:v>29226879.39657082</x:v>
      </x:c>
      <x:c r="P803" s="78" t="n">
        <x:f>I803+L803*(1-'Inputs'!$B$17)</x:f>
        <x:v>987.079461406152</x:v>
      </x:c>
      <x:c r="Q803" s="78" t="n">
        <x:f>IF(J803&gt;0,M803/J803,0)</x:f>
        <x:v>0</x:v>
      </x:c>
      <x:c r="R803" s="78" t="n">
        <x:f>IF(B803='Inputs'!$H$46,'Inputs'!$B$27*'Inputs'!$I$46,0)</x:f>
        <x:v>0</x:v>
      </x:c>
      <x:c r="S803" s="78" t="n">
        <x:f>Q803+G803+R803</x:f>
        <x:v>497531.19722274365</x:v>
      </x:c>
      <x:c r="T803" s="78" t="n">
        <x:f>P803*(S803*(1-'Inputs'!$B$15))/(O803+S803*(1-'Inputs'!$B$15))</x:f>
        <x:v>16.35938884151348</x:v>
      </x:c>
      <x:c r="U803" s="78" t="n">
        <x:f>O803+S803*(1-'Inputs'!$B$17)</x:f>
        <x:v>29722408.456178986</x:v>
      </x:c>
      <x:c r="V803" s="78" t="n">
        <x:f>P803-T803</x:f>
        <x:v>970.7200725646385</x:v>
      </x:c>
      <x:c r="W803" s="79" t="n">
        <x:f>IF(U803&gt;0,V803/U803,0)</x:f>
        <x:v>0.000032659536120560774</x:v>
      </x:c>
      <x:c r="X803" s="80" t="n">
        <x:f>W803*('Inputs'!$B$6-AC803)</x:f>
        <x:v>32518.49664502992</x:v>
      </x:c>
      <x:c r="Y803" s="80" t="n">
        <x:f>2*V803</x:f>
        <x:v>1941.440145129277</x:v>
      </x:c>
      <x:c r="Z803" s="80" t="n">
        <x:f>K803*'Inputs'!$B$16+(G803+R803)*J803*'Inputs'!$B$16</x:f>
        <x:v>11.94577227010711</x:v>
      </x:c>
      <x:c r="AA803" s="80" t="n">
        <x:f>K803*(1+'Inputs'!$E$46)/2*'Inputs'!$B$17</x:f>
        <x:v>3.97215075012536</x:v>
      </x:c>
      <x:c r="AB803" s="78" t="n">
        <x:f>(IF(J803&gt;0,K803*(1-'Inputs'!$E$46)/2/J803,0)+G803+R803)*'Inputs'!$B$17</x:f>
        <x:v>119615.33438146304</x:v>
      </x:c>
      <x:c r="AC803" s="78" t="n">
        <x:f>AC802+AB803</x:f>
        <x:v>4318477.611262175</x:v>
      </x:c>
      <x:c r="AD803" s="80" t="n">
        <x:f>Z803/(1+'Inputs'!$C$46)</x:f>
        <x:v>5.972886135053555</x:v>
      </x:c>
      <x:c r="AE803" s="80" t="n">
        <x:f>Z803-AD803</x:f>
        <x:v>5.972886135053555</x:v>
      </x:c>
      <x:c r="AF803" s="80" t="n">
        <x:f>D803*W803</x:f>
        <x:v>9.649371488113985</x:v>
      </x:c>
      <x:c r="AG803" s="80" t="n">
        <x:f>C803*W803</x:f>
        <x:v>22.515200138932716</x:v>
      </x:c>
      <x:c r="AH803" s="80" t="n">
        <x:f>2*'Inputs'!$B$8*'Inputs'!$C$46</x:f>
        <x:v>5000</x:v>
      </x:c>
      <x:c r="AI803" s="81" t="n">
        <x:f>IF(AH803&gt;0,(AE803+AF803)/AH803*365,0)</x:f>
        <x:v>1.1404248064912303</x:v>
      </x:c>
      <x:c r="AJ803" s="81" t="n">
        <x:f>IF('Inputs'!$B$46&gt;0,AG803/('Inputs'!$B$19*'Inputs'!$B$46)*365,0)</x:f>
        <x:v>0.821804805071044</x:v>
      </x:c>
      <x:c r="AK803" s="81" t="n">
        <x:f>W803/MAX($W$734:W803)-1</x:f>
        <x:v>-0.9612480802416947</x:v>
      </x:c>
      <x:c r="AL803" s="83" t="n">
        <x:f>'Inputs'!$B$46</x:f>
        <x:v>1</x:v>
      </x:c>
      <x:c r="AM803" s="83" t="n">
        <x:f>'Inputs'!$C$46</x:f>
        <x:v>1</x:v>
      </x:c>
      <x:c r="AN803" s="83" t="n">
        <x:f>'Inputs'!$D$46</x:f>
        <x:v>1</x:v>
      </x:c>
      <x:c r="AO803" s="81" t="n">
        <x:f>'Inputs'!$E$46</x:f>
        <x:v>0</x:v>
      </x:c>
    </x:row>
    <x:row r="804">
      <x:c r="A804" s="59" t="str">
        <x:v>Base</x:v>
      </x:c>
      <x:c r="B804" s="59" t="n">
        <x:v>71</x:v>
      </x:c>
      <x:c r="C804" s="78" t="n">
        <x:f>(('Inputs'!$B$29*(3*71*'Inputs'!$B$12-71^2)/(2*'Inputs'!$B$12^2))-('Inputs'!$B$29*(3*70*'Inputs'!$B$12-70^2)/(2*'Inputs'!$B$12^2)))*'Inputs'!$B$46</x:f>
        <x:v>689066.1944079548</x:v>
      </x:c>
      <x:c r="D804" s="78" t="n">
        <x:f>IF('Inputs'!$C$46&gt;0,('Inputs'!$B$30*(3*71*'Inputs'!$B$12-71^2)/(2*'Inputs'!$B$12^2))-('Inputs'!$B$30*(3*70*'Inputs'!$B$12-70^2)/(2*'Inputs'!$B$12^2)),0)</x:f>
        <x:v>295314.08331769705</x:v>
      </x:c>
      <x:c r="E804" s="78" t="n">
        <x:f>C804+D804</x:f>
        <x:v>984380.2777256519</x:v>
      </x:c>
      <x:c r="F804" s="78" t="n">
        <x:f>'Inputs'!$B$13*E804+(1-'Inputs'!$B$13)/'Inputs'!$B$14*SUM(E749:E804)</x:f>
        <x:v>994597.9545881028</x:v>
      </x:c>
      <x:c r="G804" s="78" t="n">
        <x:f>F804*'Inputs'!$F$46</x:f>
        <x:v>497298.9772940514</x:v>
      </x:c>
      <x:c r="H804" s="78" t="n">
        <x:f>U803</x:f>
        <x:v>29722408.456178986</x:v>
      </x:c>
      <x:c r="I804" s="78" t="n">
        <x:f>V803</x:f>
        <x:v>970.7200725646385</x:v>
      </x:c>
      <x:c r="J804" s="79" t="n">
        <x:f>IF(H804&gt;0,I804/H804,0)</x:f>
        <x:v>0.000032659536120560774</x:v>
      </x:c>
      <x:c r="K804" s="80" t="n">
        <x:f>(H804*J804+I804)*'Inputs'!$D$46*(1+'Inputs'!$G$46)^(B804/30)</x:f>
        <x:v>1941.440145129277</x:v>
      </x:c>
      <x:c r="L804" s="80" t="n">
        <x:f>MAX(0,K804*'Inputs'!$E$46)</x:f>
        <x:v>0</x:v>
      </x:c>
      <x:c r="M804" s="80" t="n">
        <x:f>MAX(0,-K804*'Inputs'!$E$46)</x:f>
        <x:v>0</x:v>
      </x:c>
      <x:c r="N804" s="78" t="n">
        <x:f>H804*(L804*(1-'Inputs'!$B$15))/(I804+L804*(1-'Inputs'!$B$15))</x:f>
        <x:v>0</x:v>
      </x:c>
      <x:c r="O804" s="78" t="n">
        <x:f>H804-N804</x:f>
        <x:v>29722408.456178986</x:v>
      </x:c>
      <x:c r="P804" s="78" t="n">
        <x:f>I804+L804*(1-'Inputs'!$B$17)</x:f>
        <x:v>970.7200725646385</x:v>
      </x:c>
      <x:c r="Q804" s="78" t="n">
        <x:f>IF(J804&gt;0,M804/J804,0)</x:f>
        <x:v>0</x:v>
      </x:c>
      <x:c r="R804" s="78" t="n">
        <x:f>IF(B804='Inputs'!$H$46,'Inputs'!$B$27*'Inputs'!$I$46,0)</x:f>
        <x:v>0</x:v>
      </x:c>
      <x:c r="S804" s="78" t="n">
        <x:f>Q804+G804+R804</x:f>
        <x:v>497298.9772940514</x:v>
      </x:c>
      <x:c r="T804" s="78" t="n">
        <x:f>P804*(S804*(1-'Inputs'!$B$15))/(O804+S804*(1-'Inputs'!$B$15))</x:f>
        <x:v>15.817141111150704</x:v>
      </x:c>
      <x:c r="U804" s="78" t="n">
        <x:f>O804+S804*(1-'Inputs'!$B$17)</x:f>
        <x:v>30217706.230345093</x:v>
      </x:c>
      <x:c r="V804" s="78" t="n">
        <x:f>P804-T804</x:f>
        <x:v>954.9029314534878</x:v>
      </x:c>
      <x:c r="W804" s="79" t="n">
        <x:f>IF(U804&gt;0,V804/U804,0)</x:f>
        <x:v>0.00003160077486273791</x:v>
      </x:c>
      <x:c r="X804" s="80" t="n">
        <x:f>W804*('Inputs'!$B$6-AC804)</x:f>
        <x:v>31460.46470177724</x:v>
      </x:c>
      <x:c r="Y804" s="80" t="n">
        <x:f>2*V804</x:f>
        <x:v>1909.8058629069756</x:v>
      </x:c>
      <x:c r="Z804" s="80" t="n">
        <x:f>K804*'Inputs'!$B$16+(G804+R804)*J804*'Inputs'!$B$16</x:f>
        <x:v>11.74609019424558</x:v>
      </x:c>
      <x:c r="AA804" s="80" t="n">
        <x:f>K804*(1+'Inputs'!$E$46)/2*'Inputs'!$B$17</x:f>
        <x:v>3.906318199455286</x:v>
      </x:c>
      <x:c r="AB804" s="78" t="n">
        <x:f>(IF(J804&gt;0,K804*(1-'Inputs'!$E$46)/2/J804,0)+G804+R804)*'Inputs'!$B$17</x:f>
        <x:v>121608.48061759773</x:v>
      </x:c>
      <x:c r="AC804" s="78" t="n">
        <x:f>AC803+AB804</x:f>
        <x:v>4440086.091879773</x:v>
      </x:c>
      <x:c r="AD804" s="80" t="n">
        <x:f>Z804/(1+'Inputs'!$C$46)</x:f>
        <x:v>5.87304509712279</x:v>
      </x:c>
      <x:c r="AE804" s="80" t="n">
        <x:f>Z804-AD804</x:f>
        <x:v>5.87304509712279</x:v>
      </x:c>
      <x:c r="AF804" s="80" t="n">
        <x:f>D804*W804</x:f>
        <x:v>9.33215386071837</x:v>
      </x:c>
      <x:c r="AG804" s="80" t="n">
        <x:f>C804*W804</x:f>
        <x:v>21.77502567500937</x:v>
      </x:c>
      <x:c r="AH804" s="80" t="n">
        <x:f>2*'Inputs'!$B$8*'Inputs'!$C$46</x:f>
        <x:v>5000</x:v>
      </x:c>
      <x:c r="AI804" s="81" t="n">
        <x:f>IF(AH804&gt;0,(AE804+AF804)/AH804*365,0)</x:f>
        <x:v>1.1099795239224046</x:v>
      </x:c>
      <x:c r="AJ804" s="81" t="n">
        <x:f>IF('Inputs'!$B$46&gt;0,AG804/('Inputs'!$B$19*'Inputs'!$B$46)*365,0)</x:f>
        <x:v>0.794788437137842</x:v>
      </x:c>
      <x:c r="AK804" s="81" t="n">
        <x:f>W804/MAX($W$734:W804)-1</x:f>
        <x:v>-0.9625043452160318</x:v>
      </x:c>
      <x:c r="AL804" s="83" t="n">
        <x:f>'Inputs'!$B$46</x:f>
        <x:v>1</x:v>
      </x:c>
      <x:c r="AM804" s="83" t="n">
        <x:f>'Inputs'!$C$46</x:f>
        <x:v>1</x:v>
      </x:c>
      <x:c r="AN804" s="83" t="n">
        <x:f>'Inputs'!$D$46</x:f>
        <x:v>1</x:v>
      </x:c>
      <x:c r="AO804" s="81" t="n">
        <x:f>'Inputs'!$E$46</x:f>
        <x:v>0</x:v>
      </x:c>
    </x:row>
    <x:row r="805">
      <x:c r="A805" s="59" t="str">
        <x:v>Base</x:v>
      </x:c>
      <x:c r="B805" s="59" t="n">
        <x:v>72</x:v>
      </x:c>
      <x:c r="C805" s="78" t="n">
        <x:f>(('Inputs'!$B$29*(3*72*'Inputs'!$B$12-72^2)/(2*'Inputs'!$B$12^2))-('Inputs'!$B$29*(3*71*'Inputs'!$B$12-71^2)/(2*'Inputs'!$B$12^2)))*'Inputs'!$B$46</x:f>
        <x:v>688741.0865077898</x:v>
      </x:c>
      <x:c r="D805" s="78" t="n">
        <x:f>IF('Inputs'!$C$46&gt;0,('Inputs'!$B$30*(3*72*'Inputs'!$B$12-72^2)/(2*'Inputs'!$B$12^2))-('Inputs'!$B$30*(3*71*'Inputs'!$B$12-71^2)/(2*'Inputs'!$B$12^2)),0)</x:f>
        <x:v>295174.75136047974</x:v>
      </x:c>
      <x:c r="E805" s="78" t="n">
        <x:f>C805+D805</x:f>
        <x:v>983915.8378682695</x:v>
      </x:c>
      <x:c r="F805" s="78" t="n">
        <x:f>'Inputs'!$B$13*E805+(1-'Inputs'!$B$13)/'Inputs'!$B$14*SUM(E750:E805)</x:f>
        <x:v>994133.5147307189</x:v>
      </x:c>
      <x:c r="G805" s="78" t="n">
        <x:f>F805*'Inputs'!$F$46</x:f>
        <x:v>497066.75736535946</x:v>
      </x:c>
      <x:c r="H805" s="78" t="n">
        <x:f>U804</x:f>
        <x:v>30217706.230345093</x:v>
      </x:c>
      <x:c r="I805" s="78" t="n">
        <x:f>V804</x:f>
        <x:v>954.9029314534878</x:v>
      </x:c>
      <x:c r="J805" s="79" t="n">
        <x:f>IF(H805&gt;0,I805/H805,0)</x:f>
        <x:v>0.00003160077486273791</x:v>
      </x:c>
      <x:c r="K805" s="80" t="n">
        <x:f>(H805*J805+I805)*'Inputs'!$D$46*(1+'Inputs'!$G$46)^(B805/30)</x:f>
        <x:v>1909.8058629069756</x:v>
      </x:c>
      <x:c r="L805" s="80" t="n">
        <x:f>MAX(0,K805*'Inputs'!$E$46)</x:f>
        <x:v>0</x:v>
      </x:c>
      <x:c r="M805" s="80" t="n">
        <x:f>MAX(0,-K805*'Inputs'!$E$46)</x:f>
        <x:v>0</x:v>
      </x:c>
      <x:c r="N805" s="78" t="n">
        <x:f>H805*(L805*(1-'Inputs'!$B$15))/(I805+L805*(1-'Inputs'!$B$15))</x:f>
        <x:v>0</x:v>
      </x:c>
      <x:c r="O805" s="78" t="n">
        <x:f>H805-N805</x:f>
        <x:v>30217706.230345093</x:v>
      </x:c>
      <x:c r="P805" s="78" t="n">
        <x:f>I805+L805*(1-'Inputs'!$B$17)</x:f>
        <x:v>954.9029314534878</x:v>
      </x:c>
      <x:c r="Q805" s="78" t="n">
        <x:f>IF(J805&gt;0,M805/J805,0)</x:f>
        <x:v>0</x:v>
      </x:c>
      <x:c r="R805" s="78" t="n">
        <x:f>IF(B805='Inputs'!$H$46,'Inputs'!$B$27*'Inputs'!$I$46,0)</x:f>
        <x:v>0</x:v>
      </x:c>
      <x:c r="S805" s="78" t="n">
        <x:f>Q805+G805+R805</x:f>
        <x:v>497066.75736535946</x:v>
      </x:c>
      <x:c r="T805" s="78" t="n">
        <x:f>P805*(S805*(1-'Inputs'!$B$15))/(O805+S805*(1-'Inputs'!$B$15))</x:f>
        <x:v>15.301433522767312</x:v>
      </x:c>
      <x:c r="U805" s="78" t="n">
        <x:f>O805+S805*(1-'Inputs'!$B$17)</x:f>
        <x:v>30712772.719069142</x:v>
      </x:c>
      <x:c r="V805" s="78" t="n">
        <x:f>P805-T805</x:f>
        <x:v>939.6014979307205</x:v>
      </x:c>
      <x:c r="W805" s="79" t="n">
        <x:f>IF(U805&gt;0,V805/U805,0)</x:f>
        <x:v>0.000030593183706508356</x:v>
      </x:c>
      <x:c r="X805" s="80" t="n">
        <x:f>W805*('Inputs'!$B$6-AC805)</x:f>
        <x:v>30453.56599822388</x:v>
      </x:c>
      <x:c r="Y805" s="80" t="n">
        <x:f>2*V805</x:f>
        <x:v>1879.202995861441</x:v>
      </x:c>
      <x:c r="Z805" s="80" t="n">
        <x:f>K805*'Inputs'!$B$16+(G805+R805)*J805*'Inputs'!$B$16</x:f>
        <x:v>11.553081345589376</x:v>
      </x:c>
      <x:c r="AA805" s="80" t="n">
        <x:f>K805*(1+'Inputs'!$E$46)/2*'Inputs'!$B$17</x:f>
        <x:v>3.8426677322071945</x:v>
      </x:c>
      <x:c r="AB805" s="78" t="n">
        <x:f>(IF(J805&gt;0,K805*(1-'Inputs'!$E$46)/2/J805,0)+G805+R805)*'Inputs'!$B$17</x:f>
        <x:v>123600.69612760747</x:v>
      </x:c>
      <x:c r="AC805" s="78" t="n">
        <x:f>AC804+AB805</x:f>
        <x:v>4563686.78800738</x:v>
      </x:c>
      <x:c r="AD805" s="80" t="n">
        <x:f>Z805/(1+'Inputs'!$C$46)</x:f>
        <x:v>5.776540672794688</x:v>
      </x:c>
      <x:c r="AE805" s="80" t="n">
        <x:f>Z805-AD805</x:f>
        <x:v>5.776540672794688</x:v>
      </x:c>
      <x:c r="AF805" s="80" t="n">
        <x:f>D805*W805</x:f>
        <x:v>9.030335393894084</x:v>
      </x:c>
      <x:c r="AG805" s="80" t="n">
        <x:f>C805*W805</x:f>
        <x:v>21.070782585752976</x:v>
      </x:c>
      <x:c r="AH805" s="80" t="n">
        <x:f>2*'Inputs'!$B$8*'Inputs'!$C$46</x:f>
        <x:v>5000</x:v>
      </x:c>
      <x:c r="AI805" s="81" t="n">
        <x:f>IF(AH805&gt;0,(AE805+AF805)/AH805*365,0)</x:f>
        <x:v>1.0809019528682804</x:v>
      </x:c>
      <x:c r="AJ805" s="81" t="n">
        <x:f>IF('Inputs'!$B$46&gt;0,AG805/('Inputs'!$B$19*'Inputs'!$B$46)*365,0)</x:f>
        <x:v>0.7690835643799836</x:v>
      </x:c>
      <x:c r="AK805" s="81" t="n">
        <x:f>W805/MAX($W$734:W805)-1</x:f>
        <x:v>-0.9636998947024435</x:v>
      </x:c>
      <x:c r="AL805" s="83" t="n">
        <x:f>'Inputs'!$B$46</x:f>
        <x:v>1</x:v>
      </x:c>
      <x:c r="AM805" s="83" t="n">
        <x:f>'Inputs'!$C$46</x:f>
        <x:v>1</x:v>
      </x:c>
      <x:c r="AN805" s="83" t="n">
        <x:f>'Inputs'!$D$46</x:f>
        <x:v>1</x:v>
      </x:c>
      <x:c r="AO805" s="81" t="n">
        <x:f>'Inputs'!$E$46</x:f>
        <x:v>0</x:v>
      </x:c>
    </x:row>
    <x:row r="806">
      <x:c r="A806" s="59" t="str">
        <x:v>Base</x:v>
      </x:c>
      <x:c r="B806" s="59" t="n">
        <x:v>73</x:v>
      </x:c>
      <x:c r="C806" s="78" t="n">
        <x:f>(('Inputs'!$B$29*(3*73*'Inputs'!$B$12-73^2)/(2*'Inputs'!$B$12^2))-('Inputs'!$B$29*(3*72*'Inputs'!$B$12-72^2)/(2*'Inputs'!$B$12^2)))*'Inputs'!$B$46</x:f>
        <x:v>688415.9786076173</x:v>
      </x:c>
      <x:c r="D806" s="78" t="n">
        <x:f>IF('Inputs'!$C$46&gt;0,('Inputs'!$B$30*(3*73*'Inputs'!$B$12-73^2)/(2*'Inputs'!$B$12^2))-('Inputs'!$B$30*(3*72*'Inputs'!$B$12-72^2)/(2*'Inputs'!$B$12^2)),0)</x:f>
        <x:v>295035.41940326616</x:v>
      </x:c>
      <x:c r="E806" s="78" t="n">
        <x:f>C806+D806</x:f>
        <x:v>983451.3980108835</x:v>
      </x:c>
      <x:c r="F806" s="78" t="n">
        <x:f>'Inputs'!$B$13*E806+(1-'Inputs'!$B$13)/'Inputs'!$B$14*SUM(E751:E806)</x:f>
        <x:v>993669.0748733344</x:v>
      </x:c>
      <x:c r="G806" s="78" t="n">
        <x:f>F806*'Inputs'!$F$46</x:f>
        <x:v>496834.5374366672</x:v>
      </x:c>
      <x:c r="H806" s="78" t="n">
        <x:f>U805</x:f>
        <x:v>30712772.719069142</x:v>
      </x:c>
      <x:c r="I806" s="78" t="n">
        <x:f>V805</x:f>
        <x:v>939.6014979307205</x:v>
      </x:c>
      <x:c r="J806" s="79" t="n">
        <x:f>IF(H806&gt;0,I806/H806,0)</x:f>
        <x:v>0.000030593183706508356</x:v>
      </x:c>
      <x:c r="K806" s="80" t="n">
        <x:f>(H806*J806+I806)*'Inputs'!$D$46*(1+'Inputs'!$G$46)^(B806/30)</x:f>
        <x:v>1879.2029958614407</x:v>
      </x:c>
      <x:c r="L806" s="80" t="n">
        <x:f>MAX(0,K806*'Inputs'!$E$46)</x:f>
        <x:v>0</x:v>
      </x:c>
      <x:c r="M806" s="80" t="n">
        <x:f>MAX(0,-K806*'Inputs'!$E$46)</x:f>
        <x:v>0</x:v>
      </x:c>
      <x:c r="N806" s="78" t="n">
        <x:f>H806*(L806*(1-'Inputs'!$B$15))/(I806+L806*(1-'Inputs'!$B$15))</x:f>
        <x:v>0</x:v>
      </x:c>
      <x:c r="O806" s="78" t="n">
        <x:f>H806-N806</x:f>
        <x:v>30712772.719069142</x:v>
      </x:c>
      <x:c r="P806" s="78" t="n">
        <x:f>I806+L806*(1-'Inputs'!$B$17)</x:f>
        <x:v>939.6014979307205</x:v>
      </x:c>
      <x:c r="Q806" s="78" t="n">
        <x:f>IF(J806&gt;0,M806/J806,0)</x:f>
        <x:v>0</x:v>
      </x:c>
      <x:c r="R806" s="78" t="n">
        <x:f>IF(B806='Inputs'!$H$46,'Inputs'!$B$27*'Inputs'!$I$46,0)</x:f>
        <x:v>0</x:v>
      </x:c>
      <x:c r="S806" s="78" t="n">
        <x:f>Q806+G806+R806</x:f>
        <x:v>496834.5374366672</x:v>
      </x:c>
      <x:c r="T806" s="78" t="n">
        <x:f>P806*(S806*(1-'Inputs'!$B$15))/(O806+S806*(1-'Inputs'!$B$15))</x:f>
        <x:v>14.810561088670509</x:v>
      </x:c>
      <x:c r="U806" s="78" t="n">
        <x:f>O806+S806*(1-'Inputs'!$B$17)</x:f>
        <x:v>31207607.922351133</x:v>
      </x:c>
      <x:c r="V806" s="78" t="n">
        <x:f>P806-T806</x:f>
        <x:v>924.79093684205</x:v>
      </x:c>
      <x:c r="W806" s="79" t="n">
        <x:f>IF(U806&gt;0,V806/U806,0)</x:f>
        <x:v>0.000029633509211697943</x:v>
      </x:c>
      <x:c r="X806" s="80" t="n">
        <x:f>W806*('Inputs'!$B$6-AC806)</x:f>
        <x:v>29494.549426102967</x:v>
      </x:c>
      <x:c r="Y806" s="80" t="n">
        <x:f>2*V806</x:f>
        <x:v>1849.5818736841</x:v>
      </x:c>
      <x:c r="Z806" s="80" t="n">
        <x:f>K806*'Inputs'!$B$16+(G806+R806)*J806*'Inputs'!$B$16</x:f>
        <x:v>11.366416476821872</x:v>
      </x:c>
      <x:c r="AA806" s="80" t="n">
        <x:f>K806*(1+'Inputs'!$E$46)/2*'Inputs'!$B$17</x:f>
        <x:v>3.7810925470049113</x:v>
      </x:c>
      <x:c r="AB806" s="78" t="n">
        <x:f>(IF(J806&gt;0,K806*(1-'Inputs'!$E$46)/2/J806,0)+G806+R806)*'Inputs'!$B$17</x:f>
        <x:v>125591.9809114922</x:v>
      </x:c>
      <x:c r="AC806" s="78" t="n">
        <x:f>AC805+AB806</x:f>
        <x:v>4689278.768918873</x:v>
      </x:c>
      <x:c r="AD806" s="80" t="n">
        <x:f>Z806/(1+'Inputs'!$C$46)</x:f>
        <x:v>5.683208238410936</x:v>
      </x:c>
      <x:c r="AE806" s="80" t="n">
        <x:f>Z806-AD806</x:f>
        <x:v>5.683208238410936</x:v>
      </x:c>
      <x:c r="AF806" s="80" t="n">
        <x:f>D806*W806</x:f>
        <x:v>8.742934818663853</x:v>
      </x:c>
      <x:c r="AG806" s="80" t="n">
        <x:f>C806*W806</x:f>
        <x:v>20.400181243548882</x:v>
      </x:c>
      <x:c r="AH806" s="80" t="n">
        <x:f>2*'Inputs'!$B$8*'Inputs'!$C$46</x:f>
        <x:v>5000</x:v>
      </x:c>
      <x:c r="AI806" s="81" t="n">
        <x:f>IF(AH806&gt;0,(AE806+AF806)/AH806*365,0)</x:f>
        <x:v>1.0531084431664597</x:v>
      </x:c>
      <x:c r="AJ806" s="81" t="n">
        <x:f>IF('Inputs'!$B$46&gt;0,AG806/('Inputs'!$B$19*'Inputs'!$B$46)*365,0)</x:f>
        <x:v>0.7446066153895342</x:v>
      </x:c>
      <x:c r="AK806" s="81" t="n">
        <x:f>W806/MAX($W$734:W806)-1</x:f>
        <x:v>-0.9648385890451833</x:v>
      </x:c>
      <x:c r="AL806" s="83" t="n">
        <x:f>'Inputs'!$B$46</x:f>
        <x:v>1</x:v>
      </x:c>
      <x:c r="AM806" s="83" t="n">
        <x:f>'Inputs'!$C$46</x:f>
        <x:v>1</x:v>
      </x:c>
      <x:c r="AN806" s="83" t="n">
        <x:f>'Inputs'!$D$46</x:f>
        <x:v>1</x:v>
      </x:c>
      <x:c r="AO806" s="81" t="n">
        <x:f>'Inputs'!$E$46</x:f>
        <x:v>0</x:v>
      </x:c>
    </x:row>
    <x:row r="807">
      <x:c r="A807" s="59" t="str">
        <x:v>Base</x:v>
      </x:c>
      <x:c r="B807" s="59" t="n">
        <x:v>74</x:v>
      </x:c>
      <x:c r="C807" s="78" t="n">
        <x:f>(('Inputs'!$B$29*(3*74*'Inputs'!$B$12-74^2)/(2*'Inputs'!$B$12^2))-('Inputs'!$B$29*(3*73*'Inputs'!$B$12-73^2)/(2*'Inputs'!$B$12^2)))*'Inputs'!$B$46</x:f>
        <x:v>688090.8707074523</x:v>
      </x:c>
      <x:c r="D807" s="78" t="n">
        <x:f>IF('Inputs'!$C$46&gt;0,('Inputs'!$B$30*(3*74*'Inputs'!$B$12-74^2)/(2*'Inputs'!$B$12^2))-('Inputs'!$B$30*(3*73*'Inputs'!$B$12-73^2)/(2*'Inputs'!$B$12^2)),0)</x:f>
        <x:v>294896.08744604886</x:v>
      </x:c>
      <x:c r="E807" s="78" t="n">
        <x:f>C807+D807</x:f>
        <x:v>982986.9581535012</x:v>
      </x:c>
      <x:c r="F807" s="78" t="n">
        <x:f>'Inputs'!$B$13*E807+(1-'Inputs'!$B$13)/'Inputs'!$B$14*SUM(E752:E807)</x:f>
        <x:v>993204.6350159508</x:v>
      </x:c>
      <x:c r="G807" s="78" t="n">
        <x:f>F807*'Inputs'!$F$46</x:f>
        <x:v>496602.3175079754</x:v>
      </x:c>
      <x:c r="H807" s="78" t="n">
        <x:f>U806</x:f>
        <x:v>31207607.922351133</x:v>
      </x:c>
      <x:c r="I807" s="78" t="n">
        <x:f>V806</x:f>
        <x:v>924.79093684205</x:v>
      </x:c>
      <x:c r="J807" s="79" t="n">
        <x:f>IF(H807&gt;0,I807/H807,0)</x:f>
        <x:v>0.000029633509211697943</x:v>
      </x:c>
      <x:c r="K807" s="80" t="n">
        <x:f>(H807*J807+I807)*'Inputs'!$D$46*(1+'Inputs'!$G$46)^(B807/30)</x:f>
        <x:v>1849.5818736841</x:v>
      </x:c>
      <x:c r="L807" s="80" t="n">
        <x:f>MAX(0,K807*'Inputs'!$E$46)</x:f>
        <x:v>0</x:v>
      </x:c>
      <x:c r="M807" s="80" t="n">
        <x:f>MAX(0,-K807*'Inputs'!$E$46)</x:f>
        <x:v>0</x:v>
      </x:c>
      <x:c r="N807" s="78" t="n">
        <x:f>H807*(L807*(1-'Inputs'!$B$15))/(I807+L807*(1-'Inputs'!$B$15))</x:f>
        <x:v>0</x:v>
      </x:c>
      <x:c r="O807" s="78" t="n">
        <x:f>H807-N807</x:f>
        <x:v>31207607.922351133</x:v>
      </x:c>
      <x:c r="P807" s="78" t="n">
        <x:f>I807+L807*(1-'Inputs'!$B$17)</x:f>
        <x:v>924.79093684205</x:v>
      </x:c>
      <x:c r="Q807" s="78" t="n">
        <x:f>IF(J807&gt;0,M807/J807,0)</x:f>
        <x:v>0</x:v>
      </x:c>
      <x:c r="R807" s="78" t="n">
        <x:f>IF(B807='Inputs'!$H$46,'Inputs'!$B$27*'Inputs'!$I$46,0)</x:f>
        <x:v>0</x:v>
      </x:c>
      <x:c r="S807" s="78" t="n">
        <x:f>Q807+G807+R807</x:f>
        <x:v>496602.3175079754</x:v>
      </x:c>
      <x:c r="T807" s="78" t="n">
        <x:f>P807*(S807*(1-'Inputs'!$B$15))/(O807+S807*(1-'Inputs'!$B$15))</x:f>
        <x:v>14.342953608413607</x:v>
      </x:c>
      <x:c r="U807" s="78" t="n">
        <x:f>O807+S807*(1-'Inputs'!$B$17)</x:f>
        <x:v>31702211.84019107</x:v>
      </x:c>
      <x:c r="V807" s="78" t="n">
        <x:f>P807-T807</x:f>
        <x:v>910.4479832336364</x:v>
      </x:c>
      <x:c r="W807" s="79" t="n">
        <x:f>IF(U807&gt;0,V807/U807,0)</x:f>
        <x:v>0.000028718752742652453</x:v>
      </x:c>
      <x:c r="X807" s="80" t="n">
        <x:f>W807*('Inputs'!$B$6-AC807)</x:f>
        <x:v>28580.41849961419</x:v>
      </x:c>
      <x:c r="Y807" s="80" t="n">
        <x:f>2*V807</x:f>
        <x:v>1820.8959664672727</x:v>
      </x:c>
      <x:c r="Z807" s="80" t="n">
        <x:f>K807*'Inputs'!$B$16+(G807+R807)*J807*'Inputs'!$B$16</x:f>
        <x:v>11.185787658207138</x:v>
      </x:c>
      <x:c r="AA807" s="80" t="n">
        <x:f>K807*(1+'Inputs'!$E$46)/2*'Inputs'!$B$17</x:f>
        <x:v>3.7214927035897385</x:v>
      </x:c>
      <x:c r="AB807" s="78" t="n">
        <x:f>(IF(J807&gt;0,K807*(1-'Inputs'!$E$46)/2/J807,0)+G807+R807)*'Inputs'!$B$17</x:f>
        <x:v>127582.33496925196</x:v>
      </x:c>
      <x:c r="AC807" s="78" t="n">
        <x:f>AC806+AB807</x:f>
        <x:v>4816861.103888125</x:v>
      </x:c>
      <x:c r="AD807" s="80" t="n">
        <x:f>Z807/(1+'Inputs'!$C$46)</x:f>
        <x:v>5.592893829103569</x:v>
      </x:c>
      <x:c r="AE807" s="80" t="n">
        <x:f>Z807-AD807</x:f>
        <x:v>5.592893829103569</x:v>
      </x:c>
      <x:c r="AF807" s="80" t="n">
        <x:f>D807*W807</x:f>
        <x:v>8.469047820138693</x:v>
      </x:c>
      <x:c r="AG807" s="80" t="n">
        <x:f>C807*W807</x:f>
        <x:v>19.76111158032376</x:v>
      </x:c>
      <x:c r="AH807" s="80" t="n">
        <x:f>2*'Inputs'!$B$8*'Inputs'!$C$46</x:f>
        <x:v>5000</x:v>
      </x:c>
      <x:c r="AI807" s="81" t="n">
        <x:f>IF(AH807&gt;0,(AE807+AF807)/AH807*365,0)</x:f>
        <x:v>1.0265217403946851</x:v>
      </x:c>
      <x:c r="AJ807" s="81" t="n">
        <x:f>IF('Inputs'!$B$46&gt;0,AG807/('Inputs'!$B$19*'Inputs'!$B$46)*365,0)</x:f>
        <x:v>0.7212805726818172</x:v>
      </x:c>
      <x:c r="AK807" s="81" t="n">
        <x:f>W807/MAX($W$734:W807)-1</x:f>
        <x:v>-0.9659239862521731</x:v>
      </x:c>
      <x:c r="AL807" s="83" t="n">
        <x:f>'Inputs'!$B$46</x:f>
        <x:v>1</x:v>
      </x:c>
      <x:c r="AM807" s="83" t="n">
        <x:f>'Inputs'!$C$46</x:f>
        <x:v>1</x:v>
      </x:c>
      <x:c r="AN807" s="83" t="n">
        <x:f>'Inputs'!$D$46</x:f>
        <x:v>1</x:v>
      </x:c>
      <x:c r="AO807" s="81" t="n">
        <x:f>'Inputs'!$E$46</x:f>
        <x:v>0</x:v>
      </x:c>
    </x:row>
    <x:row r="808">
      <x:c r="A808" s="59" t="str">
        <x:v>Base</x:v>
      </x:c>
      <x:c r="B808" s="59" t="n">
        <x:v>75</x:v>
      </x:c>
      <x:c r="C808" s="78" t="n">
        <x:f>(('Inputs'!$B$29*(3*75*'Inputs'!$B$12-75^2)/(2*'Inputs'!$B$12^2))-('Inputs'!$B$29*(3*74*'Inputs'!$B$12-74^2)/(2*'Inputs'!$B$12^2)))*'Inputs'!$B$46</x:f>
        <x:v>687765.7628072798</x:v>
      </x:c>
      <x:c r="D808" s="78" t="n">
        <x:f>IF('Inputs'!$C$46&gt;0,('Inputs'!$B$30*(3*75*'Inputs'!$B$12-75^2)/(2*'Inputs'!$B$12^2))-('Inputs'!$B$30*(3*74*'Inputs'!$B$12-74^2)/(2*'Inputs'!$B$12^2)),0)</x:f>
        <x:v>294756.7554888353</x:v>
      </x:c>
      <x:c r="E808" s="78" t="n">
        <x:f>C808+D808</x:f>
        <x:v>982522.5182961151</x:v>
      </x:c>
      <x:c r="F808" s="78" t="n">
        <x:f>'Inputs'!$B$13*E808+(1-'Inputs'!$B$13)/'Inputs'!$B$14*SUM(E753:E808)</x:f>
        <x:v>992740.1951585663</x:v>
      </x:c>
      <x:c r="G808" s="78" t="n">
        <x:f>F808*'Inputs'!$F$46</x:f>
        <x:v>496370.0975792832</x:v>
      </x:c>
      <x:c r="H808" s="78" t="n">
        <x:f>U807</x:f>
        <x:v>31702211.84019107</x:v>
      </x:c>
      <x:c r="I808" s="78" t="n">
        <x:f>V807</x:f>
        <x:v>910.4479832336364</x:v>
      </x:c>
      <x:c r="J808" s="79" t="n">
        <x:f>IF(H808&gt;0,I808/H808,0)</x:f>
        <x:v>0.000028718752742652453</x:v>
      </x:c>
      <x:c r="K808" s="80" t="n">
        <x:f>(H808*J808+I808)*'Inputs'!$D$46*(1+'Inputs'!$G$46)^(B808/30)</x:f>
        <x:v>1820.8959664672727</x:v>
      </x:c>
      <x:c r="L808" s="80" t="n">
        <x:f>MAX(0,K808*'Inputs'!$E$46)</x:f>
        <x:v>0</x:v>
      </x:c>
      <x:c r="M808" s="80" t="n">
        <x:f>MAX(0,-K808*'Inputs'!$E$46)</x:f>
        <x:v>0</x:v>
      </x:c>
      <x:c r="N808" s="78" t="n">
        <x:f>H808*(L808*(1-'Inputs'!$B$15))/(I808+L808*(1-'Inputs'!$B$15))</x:f>
        <x:v>0</x:v>
      </x:c>
      <x:c r="O808" s="78" t="n">
        <x:f>H808-N808</x:f>
        <x:v>31702211.84019107</x:v>
      </x:c>
      <x:c r="P808" s="78" t="n">
        <x:f>I808+L808*(1-'Inputs'!$B$17)</x:f>
        <x:v>910.4479832336364</x:v>
      </x:c>
      <x:c r="Q808" s="78" t="n">
        <x:f>IF(J808&gt;0,M808/J808,0)</x:f>
        <x:v>0</x:v>
      </x:c>
      <x:c r="R808" s="78" t="n">
        <x:f>IF(B808='Inputs'!$H$46,'Inputs'!$B$27*'Inputs'!$I$46,0)</x:f>
        <x:v>0</x:v>
      </x:c>
      <x:c r="S808" s="78" t="n">
        <x:f>Q808+G808+R808</x:f>
        <x:v>496370.0975792832</x:v>
      </x:c>
      <x:c r="T808" s="78" t="n">
        <x:f>P808*(S808*(1-'Inputs'!$B$15))/(O808+S808*(1-'Inputs'!$B$15))</x:f>
        <x:v>13.897163078874316</x:v>
      </x:c>
      <x:c r="U808" s="78" t="n">
        <x:f>O808+S808*(1-'Inputs'!$B$17)</x:f>
        <x:v>32196584.47258895</x:v>
      </x:c>
      <x:c r="V808" s="78" t="n">
        <x:f>P808-T808</x:f>
        <x:v>896.550820154762</x:v>
      </x:c>
      <x:c r="W808" s="79" t="n">
        <x:f>IF(U808&gt;0,V808/U808,0)</x:f>
        <x:v>0.000027846146876792295</x:v>
      </x:c>
      <x:c r="X808" s="80" t="n">
        <x:f>W808*('Inputs'!$B$6-AC808)</x:f>
        <x:v>27708.407780795587</x:v>
      </x:c>
      <x:c r="Y808" s="80" t="n">
        <x:f>2*V808</x:f>
        <x:v>1793.101640309524</x:v>
      </x:c>
      <x:c r="Z808" s="80" t="n">
        <x:f>K808*'Inputs'!$B$16+(G808+R808)*J808*'Inputs'!$B$16</x:f>
        <x:v>11.010906579410992</x:v>
      </x:c>
      <x:c r="AA808" s="80" t="n">
        <x:f>K808*(1+'Inputs'!$E$46)/2*'Inputs'!$B$17</x:f>
        <x:v>3.663774580417048</x:v>
      </x:c>
      <x:c r="AB808" s="78" t="n">
        <x:f>(IF(J808&gt;0,K808*(1-'Inputs'!$E$46)/2/J808,0)+G808+R808)*'Inputs'!$B$17</x:f>
        <x:v>129571.75830088674</x:v>
      </x:c>
      <x:c r="AC808" s="78" t="n">
        <x:f>AC807+AB808</x:f>
        <x:v>4946432.862189012</x:v>
      </x:c>
      <x:c r="AD808" s="80" t="n">
        <x:f>Z808/(1+'Inputs'!$C$46)</x:f>
        <x:v>5.505453289705496</x:v>
      </x:c>
      <x:c r="AE808" s="80" t="n">
        <x:f>Z808-AD808</x:f>
        <x:v>5.505453289705496</x:v>
      </x:c>
      <x:c r="AF808" s="80" t="n">
        <x:f>D808*W808</x:f>
        <x:v>8.20783990626886</x:v>
      </x:c>
      <x:c r="AG808" s="80" t="n">
        <x:f>C808*W808</x:f>
        <x:v>19.151626447960606</x:v>
      </x:c>
      <x:c r="AH808" s="80" t="n">
        <x:f>2*'Inputs'!$B$8*'Inputs'!$C$46</x:f>
        <x:v>5000</x:v>
      </x:c>
      <x:c r="AI808" s="81" t="n">
        <x:f>IF(AH808&gt;0,(AE808+AF808)/AH808*365,0)</x:f>
        <x:v>1.001070403306128</x:v>
      </x:c>
      <x:c r="AJ808" s="81" t="n">
        <x:f>IF('Inputs'!$B$46&gt;0,AG808/('Inputs'!$B$19*'Inputs'!$B$46)*365,0)</x:f>
        <x:v>0.6990343653505621</x:v>
      </x:c>
      <x:c r="AK808" s="81" t="n">
        <x:f>W808/MAX($W$734:W808)-1</x:f>
        <x:v>-0.9669593699872517</x:v>
      </x:c>
      <x:c r="AL808" s="83" t="n">
        <x:f>'Inputs'!$B$46</x:f>
        <x:v>1</x:v>
      </x:c>
      <x:c r="AM808" s="83" t="n">
        <x:f>'Inputs'!$C$46</x:f>
        <x:v>1</x:v>
      </x:c>
      <x:c r="AN808" s="83" t="n">
        <x:f>'Inputs'!$D$46</x:f>
        <x:v>1</x:v>
      </x:c>
      <x:c r="AO808" s="81" t="n">
        <x:f>'Inputs'!$E$46</x:f>
        <x:v>0</x:v>
      </x:c>
    </x:row>
    <x:row r="809">
      <x:c r="A809" s="59" t="str">
        <x:v>Base</x:v>
      </x:c>
      <x:c r="B809" s="59" t="n">
        <x:v>76</x:v>
      </x:c>
      <x:c r="C809" s="78" t="n">
        <x:f>(('Inputs'!$B$29*(3*76*'Inputs'!$B$12-76^2)/(2*'Inputs'!$B$12^2))-('Inputs'!$B$29*(3*75*'Inputs'!$B$12-75^2)/(2*'Inputs'!$B$12^2)))*'Inputs'!$B$46</x:f>
        <x:v>687440.6549071074</x:v>
      </x:c>
      <x:c r="D809" s="78" t="n">
        <x:f>IF('Inputs'!$C$46&gt;0,('Inputs'!$B$30*(3*76*'Inputs'!$B$12-76^2)/(2*'Inputs'!$B$12^2))-('Inputs'!$B$30*(3*75*'Inputs'!$B$12-75^2)/(2*'Inputs'!$B$12^2)),0)</x:f>
        <x:v>294617.4235316217</x:v>
      </x:c>
      <x:c r="E809" s="78" t="n">
        <x:f>C809+D809</x:f>
        <x:v>982058.078438729</x:v>
      </x:c>
      <x:c r="F809" s="78" t="n">
        <x:f>'Inputs'!$B$13*E809+(1-'Inputs'!$B$13)/'Inputs'!$B$14*SUM(E754:E809)</x:f>
        <x:v>992275.7553011818</x:v>
      </x:c>
      <x:c r="G809" s="78" t="n">
        <x:f>F809*'Inputs'!$F$46</x:f>
        <x:v>496137.8776505909</x:v>
      </x:c>
      <x:c r="H809" s="78" t="n">
        <x:f>U808</x:f>
        <x:v>32196584.47258895</x:v>
      </x:c>
      <x:c r="I809" s="78" t="n">
        <x:f>V808</x:f>
        <x:v>896.550820154762</x:v>
      </x:c>
      <x:c r="J809" s="79" t="n">
        <x:f>IF(H809&gt;0,I809/H809,0)</x:f>
        <x:v>0.000027846146876792295</x:v>
      </x:c>
      <x:c r="K809" s="80" t="n">
        <x:f>(H809*J809+I809)*'Inputs'!$D$46*(1+'Inputs'!$G$46)^(B809/30)</x:f>
        <x:v>1793.101640309524</x:v>
      </x:c>
      <x:c r="L809" s="80" t="n">
        <x:f>MAX(0,K809*'Inputs'!$E$46)</x:f>
        <x:v>0</x:v>
      </x:c>
      <x:c r="M809" s="80" t="n">
        <x:f>MAX(0,-K809*'Inputs'!$E$46)</x:f>
        <x:v>0</x:v>
      </x:c>
      <x:c r="N809" s="78" t="n">
        <x:f>H809*(L809*(1-'Inputs'!$B$15))/(I809+L809*(1-'Inputs'!$B$15))</x:f>
        <x:v>0</x:v>
      </x:c>
      <x:c r="O809" s="78" t="n">
        <x:f>H809-N809</x:f>
        <x:v>32196584.47258895</x:v>
      </x:c>
      <x:c r="P809" s="78" t="n">
        <x:f>I809+L809*(1-'Inputs'!$B$17)</x:f>
        <x:v>896.550820154762</x:v>
      </x:c>
      <x:c r="Q809" s="78" t="n">
        <x:f>IF(J809&gt;0,M809/J809,0)</x:f>
        <x:v>0</x:v>
      </x:c>
      <x:c r="R809" s="78" t="n">
        <x:f>IF(B809='Inputs'!$H$46,'Inputs'!$B$27*'Inputs'!$I$46,0)</x:f>
        <x:v>0</x:v>
      </x:c>
      <x:c r="S809" s="78" t="n">
        <x:f>Q809+G809+R809</x:f>
        <x:v>496137.8776505909</x:v>
      </x:c>
      <x:c r="T809" s="78" t="n">
        <x:f>P809*(S809*(1-'Inputs'!$B$15))/(O809+S809*(1-'Inputs'!$B$15))</x:f>
        <x:v>13.471852455442</x:v>
      </x:c>
      <x:c r="U809" s="78" t="n">
        <x:f>O809+S809*(1-'Inputs'!$B$17)</x:f>
        <x:v>32690725.81954477</x:v>
      </x:c>
      <x:c r="V809" s="78" t="n">
        <x:f>P809-T809</x:f>
        <x:v>883.0789676993201</x:v>
      </x:c>
      <x:c r="W809" s="79" t="n">
        <x:f>IF(U809&gt;0,V809/U809,0)</x:f>
        <x:v>0.000027013134323599343</x:v>
      </x:c>
      <x:c r="X809" s="80" t="n">
        <x:f>W809*('Inputs'!$B$6-AC809)</x:f>
        <x:v>26875.961813540984</x:v>
      </x:c>
      <x:c r="Y809" s="80" t="n">
        <x:f>2*V809</x:f>
        <x:v>1766.1579353986401</x:v>
      </x:c>
      <x:c r="Z809" s="80" t="n">
        <x:f>K809*'Inputs'!$B$16+(G809+R809)*J809*'Inputs'!$B$16</x:f>
        <x:v>10.841503011130335</x:v>
      </x:c>
      <x:c r="AA809" s="80" t="n">
        <x:f>K809*(1+'Inputs'!$E$46)/2*'Inputs'!$B$17</x:f>
        <x:v>3.607850382916548</x:v>
      </x:c>
      <x:c r="AB809" s="78" t="n">
        <x:f>(IF(J809&gt;0,K809*(1-'Inputs'!$E$46)/2/J809,0)+G809+R809)*'Inputs'!$B$17</x:f>
        <x:v>131560.25090639657</x:v>
      </x:c>
      <x:c r="AC809" s="78" t="n">
        <x:f>AC808+AB809</x:f>
        <x:v>5077993.113095408</x:v>
      </x:c>
      <x:c r="AD809" s="80" t="n">
        <x:f>Z809/(1+'Inputs'!$C$46)</x:f>
        <x:v>5.420751505565168</x:v>
      </x:c>
      <x:c r="AE809" s="80" t="n">
        <x:f>Z809-AD809</x:f>
        <x:v>5.420751505565168</x:v>
      </x:c>
      <x:c r="AF809" s="80" t="n">
        <x:f>D809*W809</x:f>
        <x:v>7.9585400359324545</x:v>
      </x:c>
      <x:c r="AG809" s="80" t="n">
        <x:f>C809*W809</x:f>
        <x:v>18.56992675050879</x:v>
      </x:c>
      <x:c r="AH809" s="80" t="n">
        <x:f>2*'Inputs'!$B$8*'Inputs'!$C$46</x:f>
        <x:v>5000</x:v>
      </x:c>
      <x:c r="AI809" s="81" t="n">
        <x:f>IF(AH809&gt;0,(AE809+AF809)/AH809*365,0)</x:f>
        <x:v>0.9766882825293265</x:v>
      </x:c>
      <x:c r="AJ809" s="81" t="n">
        <x:f>IF('Inputs'!$B$46&gt;0,AG809/('Inputs'!$B$19*'Inputs'!$B$46)*365,0)</x:f>
        <x:v>0.6778023263935709</x:v>
      </x:c>
      <x:c r="AK809" s="81" t="n">
        <x:f>W809/MAX($W$734:W809)-1</x:f>
        <x:v>-0.9679477745836866</x:v>
      </x:c>
      <x:c r="AL809" s="83" t="n">
        <x:f>'Inputs'!$B$46</x:f>
        <x:v>1</x:v>
      </x:c>
      <x:c r="AM809" s="83" t="n">
        <x:f>'Inputs'!$C$46</x:f>
        <x:v>1</x:v>
      </x:c>
      <x:c r="AN809" s="83" t="n">
        <x:f>'Inputs'!$D$46</x:f>
        <x:v>1</x:v>
      </x:c>
      <x:c r="AO809" s="81" t="n">
        <x:f>'Inputs'!$E$46</x:f>
        <x:v>0</x:v>
      </x:c>
    </x:row>
    <x:row r="810">
      <x:c r="A810" s="59" t="str">
        <x:v>Base</x:v>
      </x:c>
      <x:c r="B810" s="59" t="n">
        <x:v>77</x:v>
      </x:c>
      <x:c r="C810" s="78" t="n">
        <x:f>(('Inputs'!$B$29*(3*77*'Inputs'!$B$12-77^2)/(2*'Inputs'!$B$12^2))-('Inputs'!$B$29*(3*76*'Inputs'!$B$12-76^2)/(2*'Inputs'!$B$12^2)))*'Inputs'!$B$46</x:f>
        <x:v>687115.5470069498</x:v>
      </x:c>
      <x:c r="D810" s="78" t="n">
        <x:f>IF('Inputs'!$C$46&gt;0,('Inputs'!$B$30*(3*77*'Inputs'!$B$12-77^2)/(2*'Inputs'!$B$12^2))-('Inputs'!$B$30*(3*76*'Inputs'!$B$12-76^2)/(2*'Inputs'!$B$12^2)),0)</x:f>
        <x:v>294478.09157440066</x:v>
      </x:c>
      <x:c r="E810" s="78" t="n">
        <x:f>C810+D810</x:f>
        <x:v>981593.6385813504</x:v>
      </x:c>
      <x:c r="F810" s="78" t="n">
        <x:f>'Inputs'!$B$13*E810+(1-'Inputs'!$B$13)/'Inputs'!$B$14*SUM(E755:E810)</x:f>
        <x:v>991811.3154437987</x:v>
      </x:c>
      <x:c r="G810" s="78" t="n">
        <x:f>F810*'Inputs'!$F$46</x:f>
        <x:v>495905.65772189933</x:v>
      </x:c>
      <x:c r="H810" s="78" t="n">
        <x:f>U809</x:f>
        <x:v>32690725.81954477</x:v>
      </x:c>
      <x:c r="I810" s="78" t="n">
        <x:f>V809</x:f>
        <x:v>883.0789676993201</x:v>
      </x:c>
      <x:c r="J810" s="79" t="n">
        <x:f>IF(H810&gt;0,I810/H810,0)</x:f>
        <x:v>0.000027013134323599343</x:v>
      </x:c>
      <x:c r="K810" s="80" t="n">
        <x:f>(H810*J810+I810)*'Inputs'!$D$46*(1+'Inputs'!$G$46)^(B810/30)</x:f>
        <x:v>1766.1579353986401</x:v>
      </x:c>
      <x:c r="L810" s="80" t="n">
        <x:f>MAX(0,K810*'Inputs'!$E$46)</x:f>
        <x:v>0</x:v>
      </x:c>
      <x:c r="M810" s="80" t="n">
        <x:f>MAX(0,-K810*'Inputs'!$E$46)</x:f>
        <x:v>0</x:v>
      </x:c>
      <x:c r="N810" s="78" t="n">
        <x:f>H810*(L810*(1-'Inputs'!$B$15))/(I810+L810*(1-'Inputs'!$B$15))</x:f>
        <x:v>0</x:v>
      </x:c>
      <x:c r="O810" s="78" t="n">
        <x:f>H810-N810</x:f>
        <x:v>32690725.81954477</x:v>
      </x:c>
      <x:c r="P810" s="78" t="n">
        <x:f>I810+L810*(1-'Inputs'!$B$17)</x:f>
        <x:v>883.0789676993201</x:v>
      </x:c>
      <x:c r="Q810" s="78" t="n">
        <x:f>IF(J810&gt;0,M810/J810,0)</x:f>
        <x:v>0</x:v>
      </x:c>
      <x:c r="R810" s="78" t="n">
        <x:f>IF(B810='Inputs'!$H$46,'Inputs'!$B$27*'Inputs'!$I$46,0)</x:f>
        <x:v>0</x:v>
      </x:c>
      <x:c r="S810" s="78" t="n">
        <x:f>Q810+G810+R810</x:f>
        <x:v>495905.65772189933</x:v>
      </x:c>
      <x:c r="T810" s="78" t="n">
        <x:f>P810*(S810*(1-'Inputs'!$B$15))/(O810+S810*(1-'Inputs'!$B$15))</x:f>
        <x:v>13.065785601090145</x:v>
      </x:c>
      <x:c r="U810" s="78" t="n">
        <x:f>O810+S810*(1-'Inputs'!$B$17)</x:f>
        <x:v>33184635.881058533</x:v>
      </x:c>
      <x:c r="V810" s="78" t="n">
        <x:f>P810-T810</x:f>
        <x:v>870.0131820982299</x:v>
      </x:c>
      <x:c r="W810" s="79" t="n">
        <x:f>IF(U810&gt;0,V810/U810,0)</x:f>
        <x:v>0.000026217349053235355</x:v>
      </x:c>
      <x:c r="X810" s="80" t="n">
        <x:f>W810*('Inputs'!$B$6-AC810)</x:f>
        <x:v>26080.716265676307</x:v>
      </x:c>
      <x:c r="Y810" s="80" t="n">
        <x:f>2*V810</x:f>
        <x:v>1740.0263641964598</x:v>
      </x:c>
      <x:c r="Z810" s="80" t="n">
        <x:f>K810*'Inputs'!$B$16+(G810+R810)*J810*'Inputs'!$B$16</x:f>
        <x:v>10.677323409255088</x:v>
      </x:c>
      <x:c r="AA810" s="80" t="n">
        <x:f>K810*(1+'Inputs'!$E$46)/2*'Inputs'!$B$17</x:f>
        <x:v>3.5536376969791554</x:v>
      </x:c>
      <x:c r="AB810" s="78" t="n">
        <x:f>(IF(J810&gt;0,K810*(1-'Inputs'!$E$46)/2/J810,0)+G810+R810)*'Inputs'!$B$17</x:f>
        <x:v>133547.81278578137</x:v>
      </x:c>
      <x:c r="AC810" s="78" t="n">
        <x:f>AC809+AB810</x:f>
        <x:v>5211540.925881189</x:v>
      </x:c>
      <x:c r="AD810" s="80" t="n">
        <x:f>Z810/(1+'Inputs'!$C$46)</x:f>
        <x:v>5.338661704627544</x:v>
      </x:c>
      <x:c r="AE810" s="80" t="n">
        <x:f>Z810-AD810</x:f>
        <x:v>5.338661704627544</x:v>
      </x:c>
      <x:c r="AF810" s="80" t="n">
        <x:f>D810*W810</x:f>
        <x:v>7.720434915336667</x:v>
      </x:c>
      <x:c r="AG810" s="80" t="n">
        <x:f>C810*W810</x:f>
        <x:v>18.014348135785948</x:v>
      </x:c>
      <x:c r="AH810" s="80" t="n">
        <x:f>2*'Inputs'!$B$8*'Inputs'!$C$46</x:f>
        <x:v>5000</x:v>
      </x:c>
      <x:c r="AI810" s="81" t="n">
        <x:f>IF(AH810&gt;0,(AE810+AF810)/AH810*365,0)</x:f>
        <x:v>0.9533140532573875</x:v>
      </x:c>
      <x:c r="AJ810" s="81" t="n">
        <x:f>IF('Inputs'!$B$46&gt;0,AG810/('Inputs'!$B$19*'Inputs'!$B$46)*365,0)</x:f>
        <x:v>0.6575237069561871</x:v>
      </x:c>
      <x:c r="AK810" s="81" t="n">
        <x:f>W810/MAX($W$734:W810)-1</x:f>
        <x:v>-0.9688920074358665</x:v>
      </x:c>
      <x:c r="AL810" s="83" t="n">
        <x:f>'Inputs'!$B$46</x:f>
        <x:v>1</x:v>
      </x:c>
      <x:c r="AM810" s="83" t="n">
        <x:f>'Inputs'!$C$46</x:f>
        <x:v>1</x:v>
      </x:c>
      <x:c r="AN810" s="83" t="n">
        <x:f>'Inputs'!$D$46</x:f>
        <x:v>1</x:v>
      </x:c>
      <x:c r="AO810" s="81" t="n">
        <x:f>'Inputs'!$E$46</x:f>
        <x:v>0</x:v>
      </x:c>
    </x:row>
    <x:row r="811">
      <x:c r="A811" s="59" t="str">
        <x:v>Base</x:v>
      </x:c>
      <x:c r="B811" s="59" t="n">
        <x:v>78</x:v>
      </x:c>
      <x:c r="C811" s="78" t="n">
        <x:f>(('Inputs'!$B$29*(3*78*'Inputs'!$B$12-78^2)/(2*'Inputs'!$B$12^2))-('Inputs'!$B$29*(3*77*'Inputs'!$B$12-77^2)/(2*'Inputs'!$B$12^2)))*'Inputs'!$B$46</x:f>
        <x:v>686790.4391067699</x:v>
      </x:c>
      <x:c r="D811" s="78" t="n">
        <x:f>IF('Inputs'!$C$46&gt;0,('Inputs'!$B$30*(3*78*'Inputs'!$B$12-78^2)/(2*'Inputs'!$B$12^2))-('Inputs'!$B$30*(3*77*'Inputs'!$B$12-77^2)/(2*'Inputs'!$B$12^2)),0)</x:f>
        <x:v>294338.7596171908</x:v>
      </x:c>
      <x:c r="E811" s="78" t="n">
        <x:f>C811+D811</x:f>
        <x:v>981129.1987239607</x:v>
      </x:c>
      <x:c r="F811" s="78" t="n">
        <x:f>'Inputs'!$B$13*E811+(1-'Inputs'!$B$13)/'Inputs'!$B$14*SUM(E756:E811)</x:f>
        <x:v>991346.8755864135</x:v>
      </x:c>
      <x:c r="G811" s="78" t="n">
        <x:f>F811*'Inputs'!$F$46</x:f>
        <x:v>495673.4377932068</x:v>
      </x:c>
      <x:c r="H811" s="78" t="n">
        <x:f>U810</x:f>
        <x:v>33184635.881058533</x:v>
      </x:c>
      <x:c r="I811" s="78" t="n">
        <x:f>V810</x:f>
        <x:v>870.0131820982299</x:v>
      </x:c>
      <x:c r="J811" s="79" t="n">
        <x:f>IF(H811&gt;0,I811/H811,0)</x:f>
        <x:v>0.000026217349053235355</x:v>
      </x:c>
      <x:c r="K811" s="80" t="n">
        <x:f>(H811*J811+I811)*'Inputs'!$D$46*(1+'Inputs'!$G$46)^(B811/30)</x:f>
        <x:v>1740.0263641964598</x:v>
      </x:c>
      <x:c r="L811" s="80" t="n">
        <x:f>MAX(0,K811*'Inputs'!$E$46)</x:f>
        <x:v>0</x:v>
      </x:c>
      <x:c r="M811" s="80" t="n">
        <x:f>MAX(0,-K811*'Inputs'!$E$46)</x:f>
        <x:v>0</x:v>
      </x:c>
      <x:c r="N811" s="78" t="n">
        <x:f>H811*(L811*(1-'Inputs'!$B$15))/(I811+L811*(1-'Inputs'!$B$15))</x:f>
        <x:v>0</x:v>
      </x:c>
      <x:c r="O811" s="78" t="n">
        <x:f>H811-N811</x:f>
        <x:v>33184635.881058533</x:v>
      </x:c>
      <x:c r="P811" s="78" t="n">
        <x:f>I811+L811*(1-'Inputs'!$B$17)</x:f>
        <x:v>870.0131820982299</x:v>
      </x:c>
      <x:c r="Q811" s="78" t="n">
        <x:f>IF(J811&gt;0,M811/J811,0)</x:f>
        <x:v>0</x:v>
      </x:c>
      <x:c r="R811" s="78" t="n">
        <x:f>IF(B811='Inputs'!$H$46,'Inputs'!$B$27*'Inputs'!$I$46,0)</x:f>
        <x:v>0</x:v>
      </x:c>
      <x:c r="S811" s="78" t="n">
        <x:f>Q811+G811+R811</x:f>
        <x:v>495673.4377932068</x:v>
      </x:c>
      <x:c r="T811" s="78" t="n">
        <x:f>P811*(S811*(1-'Inputs'!$B$15))/(O811+S811*(1-'Inputs'!$B$15))</x:f>
        <x:v>12.677818281965505</x:v>
      </x:c>
      <x:c r="U811" s="78" t="n">
        <x:f>O811+S811*(1-'Inputs'!$B$17)</x:f>
        <x:v>33678314.65713024</x:v>
      </x:c>
      <x:c r="V811" s="78" t="n">
        <x:f>P811-T811</x:f>
        <x:v>857.3353638162644</x:v>
      </x:c>
      <x:c r="W811" s="79" t="n">
        <x:f>IF(U811&gt;0,V811/U811,0)</x:f>
        <x:v>0.000025456599373946185</x:v>
      </x:c>
      <x:c r="X811" s="80" t="n">
        <x:f>W811*('Inputs'!$B$6-AC811)</x:f>
        <x:v>25320.481018434377</x:v>
      </x:c>
      <x:c r="Y811" s="80" t="n">
        <x:f>2*V811</x:f>
        <x:v>1714.6707276325287</x:v>
      </x:c>
      <x:c r="Z811" s="80" t="n">
        <x:f>K811*'Inputs'!$B$16+(G811+R811)*J811*'Inputs'!$B$16</x:f>
        <x:v>10.51812964638901</x:v>
      </x:c>
      <x:c r="AA811" s="80" t="n">
        <x:f>K811*(1+'Inputs'!$E$46)/2*'Inputs'!$B$17</x:f>
        <x:v>3.5010590828902615</x:v>
      </x:c>
      <x:c r="AB811" s="78" t="n">
        <x:f>(IF(J811&gt;0,K811*(1-'Inputs'!$E$46)/2/J811,0)+G811+R811)*'Inputs'!$B$17</x:f>
        <x:v>135534.4439390412</x:v>
      </x:c>
      <x:c r="AC811" s="78" t="n">
        <x:f>AC810+AB811</x:f>
        <x:v>5347075.369820231</x:v>
      </x:c>
      <x:c r="AD811" s="80" t="n">
        <x:f>Z811/(1+'Inputs'!$C$46)</x:f>
        <x:v>5.259064823194505</x:v>
      </x:c>
      <x:c r="AE811" s="80" t="n">
        <x:f>Z811-AD811</x:f>
        <x:v>5.259064823194505</x:v>
      </x:c>
      <x:c r="AF811" s="80" t="n">
        <x:f>D811*W811</x:f>
        <x:v>7.492863883799076</x:v>
      </x:c>
      <x:c r="AG811" s="80" t="n">
        <x:f>C811*W811</x:f>
        <x:v>17.48334906219762</x:v>
      </x:c>
      <x:c r="AH811" s="80" t="n">
        <x:f>2*'Inputs'!$B$8*'Inputs'!$C$46</x:f>
        <x:v>5000</x:v>
      </x:c>
      <x:c r="AI811" s="81" t="n">
        <x:f>IF(AH811&gt;0,(AE811+AF811)/AH811*365,0)</x:f>
        <x:v>0.9308907956105315</x:v>
      </x:c>
      <x:c r="AJ811" s="81" t="n">
        <x:f>IF('Inputs'!$B$46&gt;0,AG811/('Inputs'!$B$19*'Inputs'!$B$46)*365,0)</x:f>
        <x:v>0.6381422407702132</x:v>
      </x:c>
      <x:c r="AK811" s="81" t="n">
        <x:f>W811/MAX($W$734:W811)-1</x:f>
        <x:v>-0.9697946690786756</x:v>
      </x:c>
      <x:c r="AL811" s="83" t="n">
        <x:f>'Inputs'!$B$46</x:f>
        <x:v>1</x:v>
      </x:c>
      <x:c r="AM811" s="83" t="n">
        <x:f>'Inputs'!$C$46</x:f>
        <x:v>1</x:v>
      </x:c>
      <x:c r="AN811" s="83" t="n">
        <x:f>'Inputs'!$D$46</x:f>
        <x:v>1</x:v>
      </x:c>
      <x:c r="AO811" s="81" t="n">
        <x:f>'Inputs'!$E$46</x:f>
        <x:v>0</x:v>
      </x:c>
    </x:row>
    <x:row r="812">
      <x:c r="A812" s="59" t="str">
        <x:v>Base</x:v>
      </x:c>
      <x:c r="B812" s="59" t="n">
        <x:v>79</x:v>
      </x:c>
      <x:c r="C812" s="78" t="n">
        <x:f>(('Inputs'!$B$29*(3*79*'Inputs'!$B$12-79^2)/(2*'Inputs'!$B$12^2))-('Inputs'!$B$29*(3*78*'Inputs'!$B$12-78^2)/(2*'Inputs'!$B$12^2)))*'Inputs'!$B$46</x:f>
        <x:v>686465.3312066048</x:v>
      </x:c>
      <x:c r="D812" s="78" t="n">
        <x:f>IF('Inputs'!$C$46&gt;0,('Inputs'!$B$30*(3*79*'Inputs'!$B$12-79^2)/(2*'Inputs'!$B$12^2))-('Inputs'!$B$30*(3*78*'Inputs'!$B$12-78^2)/(2*'Inputs'!$B$12^2)),0)</x:f>
        <x:v>294199.4276599735</x:v>
      </x:c>
      <x:c r="E812" s="78" t="n">
        <x:f>C812+D812</x:f>
        <x:v>980664.7588665783</x:v>
      </x:c>
      <x:c r="F812" s="78" t="n">
        <x:f>'Inputs'!$B$13*E812+(1-'Inputs'!$B$13)/'Inputs'!$B$14*SUM(E757:E812)</x:f>
        <x:v>990882.4357290296</x:v>
      </x:c>
      <x:c r="G812" s="78" t="n">
        <x:f>F812*'Inputs'!$F$46</x:f>
        <x:v>495441.2178645148</x:v>
      </x:c>
      <x:c r="H812" s="78" t="n">
        <x:f>U811</x:f>
        <x:v>33678314.65713024</x:v>
      </x:c>
      <x:c r="I812" s="78" t="n">
        <x:f>V811</x:f>
        <x:v>857.3353638162644</x:v>
      </x:c>
      <x:c r="J812" s="79" t="n">
        <x:f>IF(H812&gt;0,I812/H812,0)</x:f>
        <x:v>0.000025456599373946185</x:v>
      </x:c>
      <x:c r="K812" s="80" t="n">
        <x:f>(H812*J812+I812)*'Inputs'!$D$46*(1+'Inputs'!$G$46)^(B812/30)</x:f>
        <x:v>1714.6707276325287</x:v>
      </x:c>
      <x:c r="L812" s="80" t="n">
        <x:f>MAX(0,K812*'Inputs'!$E$46)</x:f>
        <x:v>0</x:v>
      </x:c>
      <x:c r="M812" s="80" t="n">
        <x:f>MAX(0,-K812*'Inputs'!$E$46)</x:f>
        <x:v>0</x:v>
      </x:c>
      <x:c r="N812" s="78" t="n">
        <x:f>H812*(L812*(1-'Inputs'!$B$15))/(I812+L812*(1-'Inputs'!$B$15))</x:f>
        <x:v>0</x:v>
      </x:c>
      <x:c r="O812" s="78" t="n">
        <x:f>H812-N812</x:f>
        <x:v>33678314.65713024</x:v>
      </x:c>
      <x:c r="P812" s="78" t="n">
        <x:f>I812+L812*(1-'Inputs'!$B$17)</x:f>
        <x:v>857.3353638162644</x:v>
      </x:c>
      <x:c r="Q812" s="78" t="n">
        <x:f>IF(J812&gt;0,M812/J812,0)</x:f>
        <x:v>0</x:v>
      </x:c>
      <x:c r="R812" s="78" t="n">
        <x:f>IF(B812='Inputs'!$H$46,'Inputs'!$B$27*'Inputs'!$I$46,0)</x:f>
        <x:v>0</x:v>
      </x:c>
      <x:c r="S812" s="78" t="n">
        <x:f>Q812+G812+R812</x:f>
        <x:v>495441.2178645148</x:v>
      </x:c>
      <x:c r="T812" s="78" t="n">
        <x:f>P812*(S812*(1-'Inputs'!$B$15))/(O812+S812*(1-'Inputs'!$B$15))</x:f>
        <x:v>12.306890086776688</x:v>
      </x:c>
      <x:c r="U812" s="78" t="n">
        <x:f>O812+S812*(1-'Inputs'!$B$17)</x:f>
        <x:v>34171762.14775989</x:v>
      </x:c>
      <x:c r="V812" s="78" t="n">
        <x:f>P812-T812</x:f>
        <x:v>845.0284737294877</x:v>
      </x:c>
      <x:c r="W812" s="79" t="n">
        <x:f>IF(U812&gt;0,V812/U812,0)</x:f>
        <x:v>0.000024728852731549375</x:v>
      </x:c>
      <x:c r="X812" s="80" t="n">
        <x:f>W812*('Inputs'!$B$6-AC812)</x:f>
        <x:v>24593.224976786943</x:v>
      </x:c>
      <x:c r="Y812" s="80" t="n">
        <x:f>2*V812</x:f>
        <x:v>1690.0569474589754</x:v>
      </x:c>
      <x:c r="Z812" s="80" t="n">
        <x:f>K812*'Inputs'!$B$16+(G812+R812)*J812*'Inputs'!$B$16</x:f>
        <x:v>10.363697857374273</x:v>
      </x:c>
      <x:c r="AA812" s="80" t="n">
        <x:f>K812*(1+'Inputs'!$E$46)/2*'Inputs'!$B$17</x:f>
        <x:v>3.450041705498046</x:v>
      </x:c>
      <x:c r="AB812" s="78" t="n">
        <x:f>(IF(J812&gt;0,K812*(1-'Inputs'!$E$46)/2/J812,0)+G812+R812)*'Inputs'!$B$17</x:f>
        <x:v>137520.1443661761</x:v>
      </x:c>
      <x:c r="AC812" s="78" t="n">
        <x:f>AC811+AB812</x:f>
        <x:v>5484595.5141864065</x:v>
      </x:c>
      <x:c r="AD812" s="80" t="n">
        <x:f>Z812/(1+'Inputs'!$C$46)</x:f>
        <x:v>5.1818489286871365</x:v>
      </x:c>
      <x:c r="AE812" s="80" t="n">
        <x:f>Z812-AD812</x:f>
        <x:v>5.1818489286871365</x:v>
      </x:c>
      <x:c r="AF812" s="80" t="n">
        <x:f>D812*W812</x:f>
        <x:v>7.2752143203095985</x:v>
      </x:c>
      <x:c r="AG812" s="80" t="n">
        <x:f>C812*W812</x:f>
        <x:v>16.975500080722398</x:v>
      </x:c>
      <x:c r="AH812" s="80" t="n">
        <x:f>2*'Inputs'!$B$8*'Inputs'!$C$46</x:f>
        <x:v>5000</x:v>
      </x:c>
      <x:c r="AI812" s="81" t="n">
        <x:f>IF(AH812&gt;0,(AE812+AF812)/AH812*365,0)</x:f>
        <x:v>0.9093656171767618</x:v>
      </x:c>
      <x:c r="AJ812" s="81" t="n">
        <x:f>IF('Inputs'!$B$46&gt;0,AG812/('Inputs'!$B$19*'Inputs'!$B$46)*365,0)</x:f>
        <x:v>0.6196057529463675</x:v>
      </x:c>
      <x:c r="AK812" s="81" t="n">
        <x:f>W812/MAX($W$734:W812)-1</x:f>
        <x:v>-0.9706581712235448</x:v>
      </x:c>
      <x:c r="AL812" s="83" t="n">
        <x:f>'Inputs'!$B$46</x:f>
        <x:v>1</x:v>
      </x:c>
      <x:c r="AM812" s="83" t="n">
        <x:f>'Inputs'!$C$46</x:f>
        <x:v>1</x:v>
      </x:c>
      <x:c r="AN812" s="83" t="n">
        <x:f>'Inputs'!$D$46</x:f>
        <x:v>1</x:v>
      </x:c>
      <x:c r="AO812" s="81" t="n">
        <x:f>'Inputs'!$E$46</x:f>
        <x:v>0</x:v>
      </x:c>
    </x:row>
    <x:row r="813">
      <x:c r="A813" s="59" t="str">
        <x:v>Base</x:v>
      </x:c>
      <x:c r="B813" s="59" t="n">
        <x:v>80</x:v>
      </x:c>
      <x:c r="C813" s="78" t="n">
        <x:f>(('Inputs'!$B$29*(3*80*'Inputs'!$B$12-80^2)/(2*'Inputs'!$B$12^2))-('Inputs'!$B$29*(3*79*'Inputs'!$B$12-79^2)/(2*'Inputs'!$B$12^2)))*'Inputs'!$B$46</x:f>
        <x:v>686140.2233064398</x:v>
      </x:c>
      <x:c r="D813" s="78" t="n">
        <x:f>IF('Inputs'!$C$46&gt;0,('Inputs'!$B$30*(3*80*'Inputs'!$B$12-80^2)/(2*'Inputs'!$B$12^2))-('Inputs'!$B$30*(3*79*'Inputs'!$B$12-79^2)/(2*'Inputs'!$B$12^2)),0)</x:f>
        <x:v>294060.0957027599</x:v>
      </x:c>
      <x:c r="E813" s="78" t="n">
        <x:f>C813+D813</x:f>
        <x:v>980200.3190091997</x:v>
      </x:c>
      <x:c r="F813" s="78" t="n">
        <x:f>'Inputs'!$B$13*E813+(1-'Inputs'!$B$13)/'Inputs'!$B$14*SUM(E758:E813)</x:f>
        <x:v>990417.9958716466</x:v>
      </x:c>
      <x:c r="G813" s="78" t="n">
        <x:f>F813*'Inputs'!$F$46</x:f>
        <x:v>495208.9979358233</x:v>
      </x:c>
      <x:c r="H813" s="78" t="n">
        <x:f>U812</x:f>
        <x:v>34171762.14775989</x:v>
      </x:c>
      <x:c r="I813" s="78" t="n">
        <x:f>V812</x:f>
        <x:v>845.0284737294877</x:v>
      </x:c>
      <x:c r="J813" s="79" t="n">
        <x:f>IF(H813&gt;0,I813/H813,0)</x:f>
        <x:v>0.000024728852731549375</x:v>
      </x:c>
      <x:c r="K813" s="80" t="n">
        <x:f>(H813*J813+I813)*'Inputs'!$D$46*(1+'Inputs'!$G$46)^(B813/30)</x:f>
        <x:v>1690.0569474589754</x:v>
      </x:c>
      <x:c r="L813" s="80" t="n">
        <x:f>MAX(0,K813*'Inputs'!$E$46)</x:f>
        <x:v>0</x:v>
      </x:c>
      <x:c r="M813" s="80" t="n">
        <x:f>MAX(0,-K813*'Inputs'!$E$46)</x:f>
        <x:v>0</x:v>
      </x:c>
      <x:c r="N813" s="78" t="n">
        <x:f>H813*(L813*(1-'Inputs'!$B$15))/(I813+L813*(1-'Inputs'!$B$15))</x:f>
        <x:v>0</x:v>
      </x:c>
      <x:c r="O813" s="78" t="n">
        <x:f>H813-N813</x:f>
        <x:v>34171762.14775989</x:v>
      </x:c>
      <x:c r="P813" s="78" t="n">
        <x:f>I813+L813*(1-'Inputs'!$B$17)</x:f>
        <x:v>845.0284737294877</x:v>
      </x:c>
      <x:c r="Q813" s="78" t="n">
        <x:f>IF(J813&gt;0,M813/J813,0)</x:f>
        <x:v>0</x:v>
      </x:c>
      <x:c r="R813" s="78" t="n">
        <x:f>IF(B813='Inputs'!$H$46,'Inputs'!$B$27*'Inputs'!$I$46,0)</x:f>
        <x:v>0</x:v>
      </x:c>
      <x:c r="S813" s="78" t="n">
        <x:f>Q813+G813+R813</x:f>
        <x:v>495208.9979358233</x:v>
      </x:c>
      <x:c r="T813" s="78" t="n">
        <x:f>P813*(S813*(1-'Inputs'!$B$15))/(O813+S813*(1-'Inputs'!$B$15))</x:f>
        <x:v>11.95201716322026</x:v>
      </x:c>
      <x:c r="U813" s="78" t="n">
        <x:f>O813+S813*(1-'Inputs'!$B$17)</x:f>
        <x:v>34664978.35294748</x:v>
      </x:c>
      <x:c r="V813" s="78" t="n">
        <x:f>P813-T813</x:f>
        <x:v>833.0764565662674</x:v>
      </x:c>
      <x:c r="W813" s="79" t="n">
        <x:f>IF(U813&gt;0,V813/U813,0)</x:f>
        <x:v>0.000024032222033550843</x:v>
      </x:c>
      <x:c r="X813" s="80" t="n">
        <x:f>W813*('Inputs'!$B$6-AC813)</x:f>
        <x:v>23897.062403320062</x:v>
      </x:c>
      <x:c r="Y813" s="80" t="n">
        <x:f>2*V813</x:f>
        <x:v>1666.1529131325349</x:v>
      </x:c>
      <x:c r="Z813" s="80" t="n">
        <x:f>K813*'Inputs'!$B$16+(G813+R813)*J813*'Inputs'!$B$16</x:f>
        <x:v>10.213817387041612</x:v>
      </x:c>
      <x:c r="AA813" s="80" t="n">
        <x:f>K813*(1+'Inputs'!$E$46)/2*'Inputs'!$B$17</x:f>
        <x:v>3.400516996899347</x:v>
      </x:c>
      <x:c r="AB813" s="78" t="n">
        <x:f>(IF(J813&gt;0,K813*(1-'Inputs'!$E$46)/2/J813,0)+G813+R813)*'Inputs'!$B$17</x:f>
        <x:v>139504.91406718598</x:v>
      </x:c>
      <x:c r="AC813" s="78" t="n">
        <x:f>AC812+AB813</x:f>
        <x:v>5624100.428253593</x:v>
      </x:c>
      <x:c r="AD813" s="80" t="n">
        <x:f>Z813/(1+'Inputs'!$C$46)</x:f>
        <x:v>5.106908693520806</x:v>
      </x:c>
      <x:c r="AE813" s="80" t="n">
        <x:f>Z813-AD813</x:f>
        <x:v>5.106908693520806</x:v>
      </x:c>
      <x:c r="AF813" s="80" t="n">
        <x:f>D813*W813</x:f>
        <x:v>7.066917511135936</x:v>
      </x:c>
      <x:c r="AG813" s="80" t="n">
        <x:f>C813*W813</x:f>
        <x:v>16.48947419265052</x:v>
      </x:c>
      <x:c r="AH813" s="80" t="n">
        <x:f>2*'Inputs'!$B$8*'Inputs'!$C$46</x:f>
        <x:v>5000</x:v>
      </x:c>
      <x:c r="AI813" s="81" t="n">
        <x:f>IF(AH813&gt;0,(AE813+AF813)/AH813*365,0)</x:f>
        <x:v>0.8886893129399421</x:v>
      </x:c>
      <x:c r="AJ813" s="81" t="n">
        <x:f>IF('Inputs'!$B$46&gt;0,AG813/('Inputs'!$B$19*'Inputs'!$B$46)*365,0)</x:f>
        <x:v>0.6018658080317439</x:v>
      </x:c>
      <x:c r="AK813" s="81" t="n">
        <x:f>W813/MAX($W$734:W813)-1</x:f>
        <x:v>-0.9714847529854644</x:v>
      </x:c>
      <x:c r="AL813" s="83" t="n">
        <x:f>'Inputs'!$B$46</x:f>
        <x:v>1</x:v>
      </x:c>
      <x:c r="AM813" s="83" t="n">
        <x:f>'Inputs'!$C$46</x:f>
        <x:v>1</x:v>
      </x:c>
      <x:c r="AN813" s="83" t="n">
        <x:f>'Inputs'!$D$46</x:f>
        <x:v>1</x:v>
      </x:c>
      <x:c r="AO813" s="81" t="n">
        <x:f>'Inputs'!$E$46</x:f>
        <x:v>0</x:v>
      </x:c>
    </x:row>
    <x:row r="814">
      <x:c r="A814" s="59" t="str">
        <x:v>Base</x:v>
      </x:c>
      <x:c r="B814" s="59" t="n">
        <x:v>81</x:v>
      </x:c>
      <x:c r="C814" s="78" t="n">
        <x:f>(('Inputs'!$B$29*(3*81*'Inputs'!$B$12-81^2)/(2*'Inputs'!$B$12^2))-('Inputs'!$B$29*(3*80*'Inputs'!$B$12-80^2)/(2*'Inputs'!$B$12^2)))*'Inputs'!$B$46</x:f>
        <x:v>685815.1154062673</x:v>
      </x:c>
      <x:c r="D814" s="78" t="n">
        <x:f>IF('Inputs'!$C$46&gt;0,('Inputs'!$B$30*(3*81*'Inputs'!$B$12-81^2)/(2*'Inputs'!$B$12^2))-('Inputs'!$B$30*(3*80*'Inputs'!$B$12-80^2)/(2*'Inputs'!$B$12^2)),0)</x:f>
        <x:v>293920.7637455426</x:v>
      </x:c>
      <x:c r="E814" s="78" t="n">
        <x:f>C814+D814</x:f>
        <x:v>979735.87915181</x:v>
      </x:c>
      <x:c r="F814" s="78" t="n">
        <x:f>'Inputs'!$B$13*E814+(1-'Inputs'!$B$13)/'Inputs'!$B$14*SUM(E759:E814)</x:f>
        <x:v>989953.5560142614</x:v>
      </x:c>
      <x:c r="G814" s="78" t="n">
        <x:f>F814*'Inputs'!$F$46</x:f>
        <x:v>494976.7780071307</x:v>
      </x:c>
      <x:c r="H814" s="78" t="n">
        <x:f>U813</x:f>
        <x:v>34664978.35294748</x:v>
      </x:c>
      <x:c r="I814" s="78" t="n">
        <x:f>V813</x:f>
        <x:v>833.0764565662674</x:v>
      </x:c>
      <x:c r="J814" s="79" t="n">
        <x:f>IF(H814&gt;0,I814/H814,0)</x:f>
        <x:v>0.000024032222033550843</x:v>
      </x:c>
      <x:c r="K814" s="80" t="n">
        <x:f>(H814*J814+I814)*'Inputs'!$D$46*(1+'Inputs'!$G$46)^(B814/30)</x:f>
        <x:v>1666.1529131325349</x:v>
      </x:c>
      <x:c r="L814" s="80" t="n">
        <x:f>MAX(0,K814*'Inputs'!$E$46)</x:f>
        <x:v>0</x:v>
      </x:c>
      <x:c r="M814" s="80" t="n">
        <x:f>MAX(0,-K814*'Inputs'!$E$46)</x:f>
        <x:v>0</x:v>
      </x:c>
      <x:c r="N814" s="78" t="n">
        <x:f>H814*(L814*(1-'Inputs'!$B$15))/(I814+L814*(1-'Inputs'!$B$15))</x:f>
        <x:v>0</x:v>
      </x:c>
      <x:c r="O814" s="78" t="n">
        <x:f>H814-N814</x:f>
        <x:v>34664978.35294748</x:v>
      </x:c>
      <x:c r="P814" s="78" t="n">
        <x:f>I814+L814*(1-'Inputs'!$B$17)</x:f>
        <x:v>833.0764565662674</x:v>
      </x:c>
      <x:c r="Q814" s="78" t="n">
        <x:f>IF(J814&gt;0,M814/J814,0)</x:f>
        <x:v>0</x:v>
      </x:c>
      <x:c r="R814" s="78" t="n">
        <x:f>IF(B814='Inputs'!$H$46,'Inputs'!$B$27*'Inputs'!$I$46,0)</x:f>
        <x:v>0</x:v>
      </x:c>
      <x:c r="S814" s="78" t="n">
        <x:f>Q814+G814+R814</x:f>
        <x:v>494976.7780071307</x:v>
      </x:c>
      <x:c r="T814" s="78" t="n">
        <x:f>P814*(S814*(1-'Inputs'!$B$15))/(O814+S814*(1-'Inputs'!$B$15))</x:f>
        <x:v>11.612285678367396</x:v>
      </x:c>
      <x:c r="U814" s="78" t="n">
        <x:f>O814+S814*(1-'Inputs'!$B$17)</x:f>
        <x:v>35157963.272693016</x:v>
      </x:c>
      <x:c r="V814" s="78" t="n">
        <x:f>P814-T814</x:f>
        <x:v>821.4641708879001</x:v>
      </x:c>
      <x:c r="W814" s="79" t="n">
        <x:f>IF(U814&gt;0,V814/U814,0)</x:f>
        <x:v>0.00002336495332555076</x:v>
      </x:c>
      <x:c r="X814" s="80" t="n">
        <x:f>W814*('Inputs'!$B$6-AC814)</x:f>
        <x:v>23230.240603435486</x:v>
      </x:c>
      <x:c r="Y814" s="80" t="n">
        <x:f>2*V814</x:f>
        <x:v>1642.9283417758002</x:v>
      </x:c>
      <x:c r="Z814" s="80" t="n">
        <x:f>K814*'Inputs'!$B$16+(G814+R814)*J814*'Inputs'!$B$16</x:f>
        <x:v>10.068289829778323</x:v>
      </x:c>
      <x:c r="AA814" s="80" t="n">
        <x:f>K814*(1+'Inputs'!$E$46)/2*'Inputs'!$B$17</x:f>
        <x:v>3.352420348355201</x:v>
      </x:c>
      <x:c r="AB814" s="78" t="n">
        <x:f>(IF(J814&gt;0,K814*(1-'Inputs'!$E$46)/2/J814,0)+G814+R814)*'Inputs'!$B$17</x:f>
        <x:v>141488.75304207086</x:v>
      </x:c>
      <x:c r="AC814" s="78" t="n">
        <x:f>AC813+AB814</x:f>
        <x:v>5765589.181295664</x:v>
      </x:c>
      <x:c r="AD814" s="80" t="n">
        <x:f>Z814/(1+'Inputs'!$C$46)</x:f>
        <x:v>5.034144914889161</x:v>
      </x:c>
      <x:c r="AE814" s="80" t="n">
        <x:f>Z814-AD814</x:f>
        <x:v>5.034144914889161</x:v>
      </x:c>
      <x:c r="AF814" s="80" t="n">
        <x:f>D814*W814</x:f>
        <x:v>6.867444926324835</x:v>
      </x:c>
      <x:c r="AG814" s="80" t="n">
        <x:f>C814*W814</x:f>
        <x:v>16.024038161424645</x:v>
      </x:c>
      <x:c r="AH814" s="80" t="n">
        <x:f>2*'Inputs'!$B$8*'Inputs'!$C$46</x:f>
        <x:v>5000</x:v>
      </x:c>
      <x:c r="AI814" s="81" t="n">
        <x:f>IF(AH814&gt;0,(AE814+AF814)/AH814*365,0)</x:f>
        <x:v>0.8688160584086219</x:v>
      </x:c>
      <x:c r="AJ814" s="81" t="n">
        <x:f>IF('Inputs'!$B$46&gt;0,AG814/('Inputs'!$B$19*'Inputs'!$B$46)*365,0)</x:f>
        <x:v>0.5848773928919995</x:v>
      </x:c>
      <x:c r="AK814" s="81" t="n">
        <x:f>W814/MAX($W$734:W814)-1</x:f>
        <x:v>-0.9722764955054498</x:v>
      </x:c>
      <x:c r="AL814" s="83" t="n">
        <x:f>'Inputs'!$B$46</x:f>
        <x:v>1</x:v>
      </x:c>
      <x:c r="AM814" s="83" t="n">
        <x:f>'Inputs'!$C$46</x:f>
        <x:v>1</x:v>
      </x:c>
      <x:c r="AN814" s="83" t="n">
        <x:f>'Inputs'!$D$46</x:f>
        <x:v>1</x:v>
      </x:c>
      <x:c r="AO814" s="81" t="n">
        <x:f>'Inputs'!$E$46</x:f>
        <x:v>0</x:v>
      </x:c>
    </x:row>
    <x:row r="815">
      <x:c r="A815" s="59" t="str">
        <x:v>Base</x:v>
      </x:c>
      <x:c r="B815" s="59" t="n">
        <x:v>82</x:v>
      </x:c>
      <x:c r="C815" s="78" t="n">
        <x:f>(('Inputs'!$B$29*(3*82*'Inputs'!$B$12-82^2)/(2*'Inputs'!$B$12^2))-('Inputs'!$B$29*(3*81*'Inputs'!$B$12-81^2)/(2*'Inputs'!$B$12^2)))*'Inputs'!$B$46</x:f>
        <x:v>685490.0075060949</x:v>
      </x:c>
      <x:c r="D815" s="78" t="n">
        <x:f>IF('Inputs'!$C$46&gt;0,('Inputs'!$B$30*(3*82*'Inputs'!$B$12-82^2)/(2*'Inputs'!$B$12^2))-('Inputs'!$B$30*(3*81*'Inputs'!$B$12-81^2)/(2*'Inputs'!$B$12^2)),0)</x:f>
        <x:v>293781.43178832904</x:v>
      </x:c>
      <x:c r="E815" s="78" t="n">
        <x:f>C815+D815</x:f>
        <x:v>979271.4392944239</x:v>
      </x:c>
      <x:c r="F815" s="78" t="n">
        <x:f>'Inputs'!$B$13*E815+(1-'Inputs'!$B$13)/'Inputs'!$B$14*SUM(E760:E815)</x:f>
        <x:v>989489.1161568769</x:v>
      </x:c>
      <x:c r="G815" s="78" t="n">
        <x:f>F815*'Inputs'!$F$46</x:f>
        <x:v>494744.55807843845</x:v>
      </x:c>
      <x:c r="H815" s="78" t="n">
        <x:f>U814</x:f>
        <x:v>35157963.272693016</x:v>
      </x:c>
      <x:c r="I815" s="78" t="n">
        <x:f>V814</x:f>
        <x:v>821.4641708879001</x:v>
      </x:c>
      <x:c r="J815" s="79" t="n">
        <x:f>IF(H815&gt;0,I815/H815,0)</x:f>
        <x:v>0.00002336495332555076</x:v>
      </x:c>
      <x:c r="K815" s="80" t="n">
        <x:f>(H815*J815+I815)*'Inputs'!$D$46*(1+'Inputs'!$G$46)^(B815/30)</x:f>
        <x:v>1642.9283417758002</x:v>
      </x:c>
      <x:c r="L815" s="80" t="n">
        <x:f>MAX(0,K815*'Inputs'!$E$46)</x:f>
        <x:v>0</x:v>
      </x:c>
      <x:c r="M815" s="80" t="n">
        <x:f>MAX(0,-K815*'Inputs'!$E$46)</x:f>
        <x:v>0</x:v>
      </x:c>
      <x:c r="N815" s="78" t="n">
        <x:f>H815*(L815*(1-'Inputs'!$B$15))/(I815+L815*(1-'Inputs'!$B$15))</x:f>
        <x:v>0</x:v>
      </x:c>
      <x:c r="O815" s="78" t="n">
        <x:f>H815-N815</x:f>
        <x:v>35157963.272693016</x:v>
      </x:c>
      <x:c r="P815" s="78" t="n">
        <x:f>I815+L815*(1-'Inputs'!$B$17)</x:f>
        <x:v>821.4641708879001</x:v>
      </x:c>
      <x:c r="Q815" s="78" t="n">
        <x:f>IF(J815&gt;0,M815/J815,0)</x:f>
        <x:v>0</x:v>
      </x:c>
      <x:c r="R815" s="78" t="n">
        <x:f>IF(B815='Inputs'!$H$46,'Inputs'!$B$27*'Inputs'!$I$46,0)</x:f>
        <x:v>0</x:v>
      </x:c>
      <x:c r="S815" s="78" t="n">
        <x:f>Q815+G815+R815</x:f>
        <x:v>494744.55807843845</x:v>
      </x:c>
      <x:c r="T815" s="78" t="n">
        <x:f>P815*(S815*(1-'Inputs'!$B$15))/(O815+S815*(1-'Inputs'!$B$15))</x:f>
        <x:v>11.286845921695646</x:v>
      </x:c>
      <x:c r="U815" s="78" t="n">
        <x:f>O815+S815*(1-'Inputs'!$B$17)</x:f>
        <x:v>35650716.90699649</x:v>
      </x:c>
      <x:c r="V815" s="78" t="n">
        <x:f>P815-T815</x:f>
        <x:v>810.1773249662044</x:v>
      </x:c>
      <x:c r="W815" s="79" t="n">
        <x:f>IF(U815&gt;0,V815/U815,0)</x:f>
        <x:v>0.000022725414669212623</x:v>
      </x:c>
      <x:c r="X815" s="80" t="n">
        <x:f>W815*('Inputs'!$B$6-AC815)</x:f>
        <x:v>22591.128811259237</x:v>
      </x:c>
      <x:c r="Y815" s="80" t="n">
        <x:f>2*V815</x:f>
        <x:v>1620.3546499324088</x:v>
      </x:c>
      <x:c r="Z815" s="80" t="n">
        <x:f>K815*'Inputs'!$B$16+(G815+R815)*J815*'Inputs'!$B$16</x:f>
        <x:v>9.926928151700238</x:v>
      </x:c>
      <x:c r="AA815" s="80" t="n">
        <x:f>K815*(1+'Inputs'!$E$46)/2*'Inputs'!$B$17</x:f>
        <x:v>3.305690828522737</x:v>
      </x:c>
      <x:c r="AB815" s="78" t="n">
        <x:f>(IF(J815&gt;0,K815*(1-'Inputs'!$E$46)/2/J815,0)+G815+R815)*'Inputs'!$B$17</x:f>
        <x:v>143471.66129083082</x:v>
      </x:c>
      <x:c r="AC815" s="78" t="n">
        <x:f>AC814+AB815</x:f>
        <x:v>5909060.842586495</x:v>
      </x:c>
      <x:c r="AD815" s="80" t="n">
        <x:f>Z815/(1+'Inputs'!$C$46)</x:f>
        <x:v>4.963464075850119</x:v>
      </x:c>
      <x:c r="AE815" s="80" t="n">
        <x:f>Z815-AD815</x:f>
        <x:v>4.963464075850119</x:v>
      </x:c>
      <x:c r="AF815" s="80" t="n">
        <x:f>D815*W815</x:f>
        <x:v>6.67630485950478</x:v>
      </x:c>
      <x:c r="AG815" s="80" t="n">
        <x:f>C815*W815</x:f>
        <x:v>15.578044672177679</x:v>
      </x:c>
      <x:c r="AH815" s="80" t="n">
        <x:f>2*'Inputs'!$B$8*'Inputs'!$C$46</x:f>
        <x:v>5000</x:v>
      </x:c>
      <x:c r="AI815" s="81" t="n">
        <x:f>IF(AH815&gt;0,(AE815+AF815)/AH815*365,0)</x:f>
        <x:v>0.8497031322809077</x:v>
      </x:c>
      <x:c r="AJ815" s="81" t="n">
        <x:f>IF('Inputs'!$B$46&gt;0,AG815/('Inputs'!$B$19*'Inputs'!$B$46)*365,0)</x:f>
        <x:v>0.5685986305344852</x:v>
      </x:c>
      <x:c r="AK815" s="81" t="n">
        <x:f>W815/MAX($W$734:W815)-1</x:f>
        <x:v>-0.9730353351473009</x:v>
      </x:c>
      <x:c r="AL815" s="83" t="n">
        <x:f>'Inputs'!$B$46</x:f>
        <x:v>1</x:v>
      </x:c>
      <x:c r="AM815" s="83" t="n">
        <x:f>'Inputs'!$C$46</x:f>
        <x:v>1</x:v>
      </x:c>
      <x:c r="AN815" s="83" t="n">
        <x:f>'Inputs'!$D$46</x:f>
        <x:v>1</x:v>
      </x:c>
      <x:c r="AO815" s="81" t="n">
        <x:f>'Inputs'!$E$46</x:f>
        <x:v>0</x:v>
      </x:c>
    </x:row>
    <x:row r="816">
      <x:c r="A816" s="59" t="str">
        <x:v>Base</x:v>
      </x:c>
      <x:c r="B816" s="59" t="n">
        <x:v>83</x:v>
      </x:c>
      <x:c r="C816" s="78" t="n">
        <x:f>(('Inputs'!$B$29*(3*83*'Inputs'!$B$12-83^2)/(2*'Inputs'!$B$12^2))-('Inputs'!$B$29*(3*82*'Inputs'!$B$12-82^2)/(2*'Inputs'!$B$12^2)))*'Inputs'!$B$46</x:f>
        <x:v>685164.8996059299</x:v>
      </x:c>
      <x:c r="D816" s="78" t="n">
        <x:f>IF('Inputs'!$C$46&gt;0,('Inputs'!$B$30*(3*83*'Inputs'!$B$12-83^2)/(2*'Inputs'!$B$12^2))-('Inputs'!$B$30*(3*82*'Inputs'!$B$12-82^2)/(2*'Inputs'!$B$12^2)),0)</x:f>
        <x:v>293642.09983111173</x:v>
      </x:c>
      <x:c r="E816" s="78" t="n">
        <x:f>C816+D816</x:f>
        <x:v>978806.9994370416</x:v>
      </x:c>
      <x:c r="F816" s="78" t="n">
        <x:f>'Inputs'!$B$13*E816+(1-'Inputs'!$B$13)/'Inputs'!$B$14*SUM(E761:E816)</x:f>
        <x:v>989024.6762994933</x:v>
      </x:c>
      <x:c r="G816" s="78" t="n">
        <x:f>F816*'Inputs'!$F$46</x:f>
        <x:v>494512.33814974665</x:v>
      </x:c>
      <x:c r="H816" s="78" t="n">
        <x:f>U815</x:f>
        <x:v>35650716.90699649</x:v>
      </x:c>
      <x:c r="I816" s="78" t="n">
        <x:f>V815</x:f>
        <x:v>810.1773249662044</x:v>
      </x:c>
      <x:c r="J816" s="79" t="n">
        <x:f>IF(H816&gt;0,I816/H816,0)</x:f>
        <x:v>0.000022725414669212623</x:v>
      </x:c>
      <x:c r="K816" s="80" t="n">
        <x:f>(H816*J816+I816)*'Inputs'!$D$46*(1+'Inputs'!$G$46)^(B816/30)</x:f>
        <x:v>1620.3546499324088</x:v>
      </x:c>
      <x:c r="L816" s="80" t="n">
        <x:f>MAX(0,K816*'Inputs'!$E$46)</x:f>
        <x:v>0</x:v>
      </x:c>
      <x:c r="M816" s="80" t="n">
        <x:f>MAX(0,-K816*'Inputs'!$E$46)</x:f>
        <x:v>0</x:v>
      </x:c>
      <x:c r="N816" s="78" t="n">
        <x:f>H816*(L816*(1-'Inputs'!$B$15))/(I816+L816*(1-'Inputs'!$B$15))</x:f>
        <x:v>0</x:v>
      </x:c>
      <x:c r="O816" s="78" t="n">
        <x:f>H816-N816</x:f>
        <x:v>35650716.90699649</x:v>
      </x:c>
      <x:c r="P816" s="78" t="n">
        <x:f>I816+L816*(1-'Inputs'!$B$17)</x:f>
        <x:v>810.1773249662044</x:v>
      </x:c>
      <x:c r="Q816" s="78" t="n">
        <x:f>IF(J816&gt;0,M816/J816,0)</x:f>
        <x:v>0</x:v>
      </x:c>
      <x:c r="R816" s="78" t="n">
        <x:f>IF(B816='Inputs'!$H$46,'Inputs'!$B$27*'Inputs'!$I$46,0)</x:f>
        <x:v>0</x:v>
      </x:c>
      <x:c r="S816" s="78" t="n">
        <x:f>Q816+G816+R816</x:f>
        <x:v>494512.33814974665</x:v>
      </x:c>
      <x:c r="T816" s="78" t="n">
        <x:f>P816*(S816*(1-'Inputs'!$B$15))/(O816+S816*(1-'Inputs'!$B$15))</x:f>
        <x:v>10.974906979583746</x:v>
      </x:c>
      <x:c r="U816" s="78" t="n">
        <x:f>O816+S816*(1-'Inputs'!$B$17)</x:f>
        <x:v>36143239.25585791</x:v>
      </x:c>
      <x:c r="V816" s="78" t="n">
        <x:f>P816-T816</x:f>
        <x:v>799.2024179866207</x:v>
      </x:c>
      <x:c r="W816" s="79" t="n">
        <x:f>IF(U816&gt;0,V816/U816,0)</x:f>
        <x:v>0.000022112086089712898</x:v>
      </x:c>
      <x:c r="X816" s="80" t="n">
        <x:f>W816*('Inputs'!$B$6-AC816)</x:f>
        <x:v>21978.208144268767</x:v>
      </x:c>
      <x:c r="Y816" s="80" t="n">
        <x:f>2*V816</x:f>
        <x:v>1598.4048359732415</x:v>
      </x:c>
      <x:c r="Z816" s="80" t="n">
        <x:f>K816*'Inputs'!$B$16+(G816+R816)*J816*'Inputs'!$B$16</x:f>
        <x:v>9.789555887255421</x:v>
      </x:c>
      <x:c r="AA816" s="80" t="n">
        <x:f>K816*(1+'Inputs'!$E$46)/2*'Inputs'!$B$17</x:f>
        <x:v>3.260270925417322</x:v>
      </x:c>
      <x:c r="AB816" s="78" t="n">
        <x:f>(IF(J816&gt;0,K816*(1-'Inputs'!$E$46)/2/J816,0)+G816+R816)*'Inputs'!$B$17</x:f>
        <x:v>145453.63881346575</x:v>
      </x:c>
      <x:c r="AC816" s="78" t="n">
        <x:f>AC815+AB816</x:f>
        <x:v>6054514.481399961</x:v>
      </x:c>
      <x:c r="AD816" s="80" t="n">
        <x:f>Z816/(1+'Inputs'!$C$46)</x:f>
        <x:v>4.894777943627711</x:v>
      </x:c>
      <x:c r="AE816" s="80" t="n">
        <x:f>Z816-AD816</x:f>
        <x:v>4.894777943627711</x:v>
      </x:c>
      <x:c r="AF816" s="80" t="n">
        <x:f>D816*W816</x:f>
        <x:v>6.493039391029612</x:v>
      </x:c>
      <x:c r="AG816" s="80" t="n">
        <x:f>C816*W816</x:f>
        <x:v>15.150425245735816</x:v>
      </x:c>
      <x:c r="AH816" s="80" t="n">
        <x:f>2*'Inputs'!$B$8*'Inputs'!$C$46</x:f>
        <x:v>5000</x:v>
      </x:c>
      <x:c r="AI816" s="81" t="n">
        <x:f>IF(AH816&gt;0,(AE816+AF816)/AH816*365,0)</x:f>
        <x:v>0.8313106654299846</x:v>
      </x:c>
      <x:c r="AJ816" s="81" t="n">
        <x:f>IF('Inputs'!$B$46&gt;0,AG816/('Inputs'!$B$19*'Inputs'!$B$46)*365,0)</x:f>
        <x:v>0.5529905214693573</x:v>
      </x:c>
      <x:c r="AK816" s="81" t="n">
        <x:f>W816/MAX($W$734:W816)-1</x:f>
        <x:v>-0.9737630754253781</x:v>
      </x:c>
      <x:c r="AL816" s="83" t="n">
        <x:f>'Inputs'!$B$46</x:f>
        <x:v>1</x:v>
      </x:c>
      <x:c r="AM816" s="83" t="n">
        <x:f>'Inputs'!$C$46</x:f>
        <x:v>1</x:v>
      </x:c>
      <x:c r="AN816" s="83" t="n">
        <x:f>'Inputs'!$D$46</x:f>
        <x:v>1</x:v>
      </x:c>
      <x:c r="AO816" s="81" t="n">
        <x:f>'Inputs'!$E$46</x:f>
        <x:v>0</x:v>
      </x:c>
    </x:row>
    <x:row r="817">
      <x:c r="A817" s="59" t="str">
        <x:v>Base</x:v>
      </x:c>
      <x:c r="B817" s="59" t="n">
        <x:v>84</x:v>
      </x:c>
      <x:c r="C817" s="78" t="n">
        <x:f>(('Inputs'!$B$29*(3*84*'Inputs'!$B$12-84^2)/(2*'Inputs'!$B$12^2))-('Inputs'!$B$29*(3*83*'Inputs'!$B$12-83^2)/(2*'Inputs'!$B$12^2)))*'Inputs'!$B$46</x:f>
        <x:v>684839.7917057648</x:v>
      </x:c>
      <x:c r="D817" s="78" t="n">
        <x:f>IF('Inputs'!$C$46&gt;0,('Inputs'!$B$30*(3*84*'Inputs'!$B$12-84^2)/(2*'Inputs'!$B$12^2))-('Inputs'!$B$30*(3*83*'Inputs'!$B$12-83^2)/(2*'Inputs'!$B$12^2)),0)</x:f>
        <x:v>293502.76787389815</x:v>
      </x:c>
      <x:c r="E817" s="78" t="n">
        <x:f>C817+D817</x:f>
        <x:v>978342.559579663</x:v>
      </x:c>
      <x:c r="F817" s="78" t="n">
        <x:f>'Inputs'!$B$13*E817+(1-'Inputs'!$B$13)/'Inputs'!$B$14*SUM(E762:E817)</x:f>
        <x:v>988560.2364421103</x:v>
      </x:c>
      <x:c r="G817" s="78" t="n">
        <x:f>F817*'Inputs'!$F$46</x:f>
        <x:v>494280.11822105513</x:v>
      </x:c>
      <x:c r="H817" s="78" t="n">
        <x:f>U816</x:f>
        <x:v>36143239.25585791</x:v>
      </x:c>
      <x:c r="I817" s="78" t="n">
        <x:f>V816</x:f>
        <x:v>799.2024179866207</x:v>
      </x:c>
      <x:c r="J817" s="79" t="n">
        <x:f>IF(H817&gt;0,I817/H817,0)</x:f>
        <x:v>0.000022112086089712898</x:v>
      </x:c>
      <x:c r="K817" s="80" t="n">
        <x:f>(H817*J817+I817)*'Inputs'!$D$46*(1+'Inputs'!$G$46)^(B817/30)</x:f>
        <x:v>1598.4048359732415</x:v>
      </x:c>
      <x:c r="L817" s="80" t="n">
        <x:f>MAX(0,K817*'Inputs'!$E$46)</x:f>
        <x:v>0</x:v>
      </x:c>
      <x:c r="M817" s="80" t="n">
        <x:f>MAX(0,-K817*'Inputs'!$E$46)</x:f>
        <x:v>0</x:v>
      </x:c>
      <x:c r="N817" s="78" t="n">
        <x:f>H817*(L817*(1-'Inputs'!$B$15))/(I817+L817*(1-'Inputs'!$B$15))</x:f>
        <x:v>0</x:v>
      </x:c>
      <x:c r="O817" s="78" t="n">
        <x:f>H817-N817</x:f>
        <x:v>36143239.25585791</x:v>
      </x:c>
      <x:c r="P817" s="78" t="n">
        <x:f>I817+L817*(1-'Inputs'!$B$17)</x:f>
        <x:v>799.2024179866207</x:v>
      </x:c>
      <x:c r="Q817" s="78" t="n">
        <x:f>IF(J817&gt;0,M817/J817,0)</x:f>
        <x:v>0</x:v>
      </x:c>
      <x:c r="R817" s="78" t="n">
        <x:f>IF(B817='Inputs'!$H$46,'Inputs'!$B$27*'Inputs'!$I$46,0)</x:f>
        <x:v>0</x:v>
      </x:c>
      <x:c r="S817" s="78" t="n">
        <x:f>Q817+G817+R817</x:f>
        <x:v>494280.11822105513</x:v>
      </x:c>
      <x:c r="T817" s="78" t="n">
        <x:f>P817*(S817*(1-'Inputs'!$B$15))/(O817+S817*(1-'Inputs'!$B$15))</x:f>
        <x:v>10.675731918837434</x:v>
      </x:c>
      <x:c r="U817" s="78" t="n">
        <x:f>O817+S817*(1-'Inputs'!$B$17)</x:f>
        <x:v>36635530.31927727</x:v>
      </x:c>
      <x:c r="V817" s="78" t="n">
        <x:f>P817-T817</x:f>
        <x:v>788.5266860677833</x:v>
      </x:c>
      <x:c r="W817" s="79" t="n">
        <x:f>IF(U817&gt;0,V817/U817,0)</x:f>
        <x:v>0.000021523550476703978</x:v>
      </x:c>
      <x:c r="X817" s="80" t="n">
        <x:f>W817*('Inputs'!$B$6-AC817)</x:f>
        <x:v>21390.062510753887</x:v>
      </x:c>
      <x:c r="Y817" s="80" t="n">
        <x:f>2*V817</x:f>
        <x:v>1577.0533721355666</x:v>
      </x:c>
      <x:c r="Z817" s="80" t="n">
        <x:f>K817*'Inputs'!$B$16+(G817+R817)*J817*'Inputs'!$B$16</x:f>
        <x:v>9.656006402998674</x:v>
      </x:c>
      <x:c r="AA817" s="80" t="n">
        <x:f>K817*(1+'Inputs'!$E$46)/2*'Inputs'!$B$17</x:f>
        <x:v>3.216106309805315</x:v>
      </x:c>
      <x:c r="AB817" s="78" t="n">
        <x:f>(IF(J817&gt;0,K817*(1-'Inputs'!$E$46)/2/J817,0)+G817+R817)*'Inputs'!$B$17</x:f>
        <x:v>147434.6856099757</x:v>
      </x:c>
      <x:c r="AC817" s="78" t="n">
        <x:f>AC816+AB817</x:f>
        <x:v>6201949.167009937</x:v>
      </x:c>
      <x:c r="AD817" s="80" t="n">
        <x:f>Z817/(1+'Inputs'!$C$46)</x:f>
        <x:v>4.828003201499337</x:v>
      </x:c>
      <x:c r="AE817" s="80" t="n">
        <x:f>Z817-AD817</x:f>
        <x:v>4.828003201499337</x:v>
      </x:c>
      <x:c r="AF817" s="80" t="n">
        <x:f>D817*W817</x:f>
        <x:v>6.317221639386178</x:v>
      </x:c>
      <x:c r="AG817" s="80" t="n">
        <x:f>C817*W817</x:f>
        <x:v>14.740183825234467</x:v>
      </x:c>
      <x:c r="AH817" s="80" t="n">
        <x:f>2*'Inputs'!$B$8*'Inputs'!$C$46</x:f>
        <x:v>5000</x:v>
      </x:c>
      <x:c r="AI817" s="81" t="n">
        <x:f>IF(AH817&gt;0,(AE817+AF817)/AH817*365,0)</x:f>
        <x:v>0.8136014133846426</x:v>
      </x:c>
      <x:c r="AJ817" s="81" t="n">
        <x:f>IF('Inputs'!$B$46&gt;0,AG817/('Inputs'!$B$19*'Inputs'!$B$46)*365,0)</x:f>
        <x:v>0.5380167096210581</x:v>
      </x:c>
      <x:c r="AK817" s="81" t="n">
        <x:f>W817/MAX($W$734:W817)-1</x:f>
        <x:v>-0.9744613978009942</x:v>
      </x:c>
      <x:c r="AL817" s="83" t="n">
        <x:f>'Inputs'!$B$46</x:f>
        <x:v>1</x:v>
      </x:c>
      <x:c r="AM817" s="83" t="n">
        <x:f>'Inputs'!$C$46</x:f>
        <x:v>1</x:v>
      </x:c>
      <x:c r="AN817" s="83" t="n">
        <x:f>'Inputs'!$D$46</x:f>
        <x:v>1</x:v>
      </x:c>
      <x:c r="AO817" s="81" t="n">
        <x:f>'Inputs'!$E$46</x:f>
        <x:v>0</x:v>
      </x:c>
    </x:row>
    <x:row r="818">
      <x:c r="A818" s="59" t="str">
        <x:v>Base</x:v>
      </x:c>
      <x:c r="B818" s="59" t="n">
        <x:v>85</x:v>
      </x:c>
      <x:c r="C818" s="78" t="n">
        <x:f>(('Inputs'!$B$29*(3*85*'Inputs'!$B$12-85^2)/(2*'Inputs'!$B$12^2))-('Inputs'!$B$29*(3*84*'Inputs'!$B$12-84^2)/(2*'Inputs'!$B$12^2)))*'Inputs'!$B$46</x:f>
        <x:v>684514.6838055924</x:v>
      </x:c>
      <x:c r="D818" s="78" t="n">
        <x:f>IF('Inputs'!$C$46&gt;0,('Inputs'!$B$30*(3*85*'Inputs'!$B$12-85^2)/(2*'Inputs'!$B$12^2))-('Inputs'!$B$30*(3*84*'Inputs'!$B$12-84^2)/(2*'Inputs'!$B$12^2)),0)</x:f>
        <x:v>293363.43591668084</x:v>
      </x:c>
      <x:c r="E818" s="78" t="n">
        <x:f>C818+D818</x:f>
        <x:v>977878.1197222732</x:v>
      </x:c>
      <x:c r="F818" s="78" t="n">
        <x:f>'Inputs'!$B$13*E818+(1-'Inputs'!$B$13)/'Inputs'!$B$14*SUM(E763:E818)</x:f>
        <x:v>988095.7965847249</x:v>
      </x:c>
      <x:c r="G818" s="78" t="n">
        <x:f>F818*'Inputs'!$F$46</x:f>
        <x:v>494047.89829236246</x:v>
      </x:c>
      <x:c r="H818" s="78" t="n">
        <x:f>U817</x:f>
        <x:v>36635530.31927727</x:v>
      </x:c>
      <x:c r="I818" s="78" t="n">
        <x:f>V817</x:f>
        <x:v>788.5266860677833</x:v>
      </x:c>
      <x:c r="J818" s="79" t="n">
        <x:f>IF(H818&gt;0,I818/H818,0)</x:f>
        <x:v>0.000021523550476703978</x:v>
      </x:c>
      <x:c r="K818" s="80" t="n">
        <x:f>(H818*J818+I818)*'Inputs'!$D$46*(1+'Inputs'!$G$46)^(B818/30)</x:f>
        <x:v>1577.0533721355666</x:v>
      </x:c>
      <x:c r="L818" s="80" t="n">
        <x:f>MAX(0,K818*'Inputs'!$E$46)</x:f>
        <x:v>0</x:v>
      </x:c>
      <x:c r="M818" s="80" t="n">
        <x:f>MAX(0,-K818*'Inputs'!$E$46)</x:f>
        <x:v>0</x:v>
      </x:c>
      <x:c r="N818" s="78" t="n">
        <x:f>H818*(L818*(1-'Inputs'!$B$15))/(I818+L818*(1-'Inputs'!$B$15))</x:f>
        <x:v>0</x:v>
      </x:c>
      <x:c r="O818" s="78" t="n">
        <x:f>H818-N818</x:f>
        <x:v>36635530.31927727</x:v>
      </x:c>
      <x:c r="P818" s="78" t="n">
        <x:f>I818+L818*(1-'Inputs'!$B$17)</x:f>
        <x:v>788.5266860677833</x:v>
      </x:c>
      <x:c r="Q818" s="78" t="n">
        <x:f>IF(J818&gt;0,M818/J818,0)</x:f>
        <x:v>0</x:v>
      </x:c>
      <x:c r="R818" s="78" t="n">
        <x:f>IF(B818='Inputs'!$H$46,'Inputs'!$B$27*'Inputs'!$I$46,0)</x:f>
        <x:v>0</x:v>
      </x:c>
      <x:c r="S818" s="78" t="n">
        <x:f>Q818+G818+R818</x:f>
        <x:v>494047.89829236246</x:v>
      </x:c>
      <x:c r="T818" s="78" t="n">
        <x:f>P818*(S818*(1-'Inputs'!$B$15))/(O818+S818*(1-'Inputs'!$B$15))</x:f>
        <x:v>10.388633424384217</x:v>
      </x:c>
      <x:c r="U818" s="78" t="n">
        <x:f>O818+S818*(1-'Inputs'!$B$17)</x:f>
        <x:v>37127590.097254574</x:v>
      </x:c>
      <x:c r="V818" s="78" t="n">
        <x:f>P818-T818</x:f>
        <x:v>778.1380526433991</x:v>
      </x:c>
      <x:c r="W818" s="79" t="n">
        <x:f>IF(U818&gt;0,V818/U818,0)</x:f>
        <x:v>0.00002095848533678298</x:v>
      </x:c>
      <x:c r="X818" s="80" t="n">
        <x:f>W818*('Inputs'!$B$6-AC818)</x:f>
        <x:v>20825.370368176613</x:v>
      </x:c>
      <x:c r="Y818" s="80" t="n">
        <x:f>2*V818</x:f>
        <x:v>1556.2761052867982</x:v>
      </x:c>
      <x:c r="Z818" s="80" t="n">
        <x:f>K818*'Inputs'!$B$16+(G818+R818)*J818*'Inputs'!$B$16</x:f>
        <x:v>9.526122222074232</x:v>
      </x:c>
      <x:c r="AA818" s="80" t="n">
        <x:f>K818*(1+'Inputs'!$E$46)/2*'Inputs'!$B$17</x:f>
        <x:v>3.1731456179790074</x:v>
      </x:c>
      <x:c r="AB818" s="78" t="n">
        <x:f>(IF(J818&gt;0,K818*(1-'Inputs'!$E$46)/2/J818,0)+G818+R818)*'Inputs'!$B$17</x:f>
        <x:v>149414.80168036072</x:v>
      </x:c>
      <x:c r="AC818" s="78" t="n">
        <x:f>AC817+AB818</x:f>
        <x:v>6351363.968690298</x:v>
      </x:c>
      <x:c r="AD818" s="80" t="n">
        <x:f>Z818/(1+'Inputs'!$C$46)</x:f>
        <x:v>4.763061111037116</x:v>
      </x:c>
      <x:c r="AE818" s="80" t="n">
        <x:f>Z818-AD818</x:f>
        <x:v>4.763061111037116</x:v>
      </x:c>
      <x:c r="AF818" s="80" t="n">
        <x:f>D818*W818</x:f>
        <x:v>6.148453270008029</x:v>
      </x:c>
      <x:c r="AG818" s="80" t="n">
        <x:f>C818*W818</x:f>
        <x:v>14.346390963352146</x:v>
      </x:c>
      <x:c r="AH818" s="80" t="n">
        <x:f>2*'Inputs'!$B$8*'Inputs'!$C$46</x:f>
        <x:v>5000</x:v>
      </x:c>
      <x:c r="AI818" s="81" t="n">
        <x:f>IF(AH818&gt;0,(AE818+AF818)/AH818*365,0)</x:f>
        <x:v>0.7965405498162956</x:v>
      </x:c>
      <x:c r="AJ818" s="81" t="n">
        <x:f>IF('Inputs'!$B$46&gt;0,AG818/('Inputs'!$B$19*'Inputs'!$B$46)*365,0)</x:f>
        <x:v>0.5236432701623533</x:v>
      </x:c>
      <x:c r="AK818" s="81" t="n">
        <x:f>W818/MAX($W$734:W818)-1</x:f>
        <x:v>-0.9751318714684584</x:v>
      </x:c>
      <x:c r="AL818" s="83" t="n">
        <x:f>'Inputs'!$B$46</x:f>
        <x:v>1</x:v>
      </x:c>
      <x:c r="AM818" s="83" t="n">
        <x:f>'Inputs'!$C$46</x:f>
        <x:v>1</x:v>
      </x:c>
      <x:c r="AN818" s="83" t="n">
        <x:f>'Inputs'!$D$46</x:f>
        <x:v>1</x:v>
      </x:c>
      <x:c r="AO818" s="81" t="n">
        <x:f>'Inputs'!$E$46</x:f>
        <x:v>0</x:v>
      </x:c>
    </x:row>
    <x:row r="819">
      <x:c r="A819" s="59" t="str">
        <x:v>Base</x:v>
      </x:c>
      <x:c r="B819" s="59" t="n">
        <x:v>86</x:v>
      </x:c>
      <x:c r="C819" s="78" t="n">
        <x:f>(('Inputs'!$B$29*(3*86*'Inputs'!$B$12-86^2)/(2*'Inputs'!$B$12^2))-('Inputs'!$B$29*(3*85*'Inputs'!$B$12-85^2)/(2*'Inputs'!$B$12^2)))*'Inputs'!$B$46</x:f>
        <x:v>684189.5759054199</x:v>
      </x:c>
      <x:c r="D819" s="78" t="n">
        <x:f>IF('Inputs'!$C$46&gt;0,('Inputs'!$B$30*(3*86*'Inputs'!$B$12-86^2)/(2*'Inputs'!$B$12^2))-('Inputs'!$B$30*(3*85*'Inputs'!$B$12-85^2)/(2*'Inputs'!$B$12^2)),0)</x:f>
        <x:v>293224.10395946726</x:v>
      </x:c>
      <x:c r="E819" s="78" t="n">
        <x:f>C819+D819</x:f>
        <x:v>977413.6798648871</x:v>
      </x:c>
      <x:c r="F819" s="78" t="n">
        <x:f>'Inputs'!$B$13*E819+(1-'Inputs'!$B$13)/'Inputs'!$B$14*SUM(E764:E819)</x:f>
        <x:v>987631.3567273404</x:v>
      </x:c>
      <x:c r="G819" s="78" t="n">
        <x:f>F819*'Inputs'!$F$46</x:f>
        <x:v>493815.6783636702</x:v>
      </x:c>
      <x:c r="H819" s="78" t="n">
        <x:f>U818</x:f>
        <x:v>37127590.097254574</x:v>
      </x:c>
      <x:c r="I819" s="78" t="n">
        <x:f>V818</x:f>
        <x:v>778.1380526433991</x:v>
      </x:c>
      <x:c r="J819" s="79" t="n">
        <x:f>IF(H819&gt;0,I819/H819,0)</x:f>
        <x:v>0.00002095848533678298</x:v>
      </x:c>
      <x:c r="K819" s="80" t="n">
        <x:f>(H819*J819+I819)*'Inputs'!$D$46*(1+'Inputs'!$G$46)^(B819/30)</x:f>
        <x:v>1556.2761052867982</x:v>
      </x:c>
      <x:c r="L819" s="80" t="n">
        <x:f>MAX(0,K819*'Inputs'!$E$46)</x:f>
        <x:v>0</x:v>
      </x:c>
      <x:c r="M819" s="80" t="n">
        <x:f>MAX(0,-K819*'Inputs'!$E$46)</x:f>
        <x:v>0</x:v>
      </x:c>
      <x:c r="N819" s="78" t="n">
        <x:f>H819*(L819*(1-'Inputs'!$B$15))/(I819+L819*(1-'Inputs'!$B$15))</x:f>
        <x:v>0</x:v>
      </x:c>
      <x:c r="O819" s="78" t="n">
        <x:f>H819-N819</x:f>
        <x:v>37127590.097254574</x:v>
      </x:c>
      <x:c r="P819" s="78" t="n">
        <x:f>I819+L819*(1-'Inputs'!$B$17)</x:f>
        <x:v>778.1380526433991</x:v>
      </x:c>
      <x:c r="Q819" s="78" t="n">
        <x:f>IF(J819&gt;0,M819/J819,0)</x:f>
        <x:v>0</x:v>
      </x:c>
      <x:c r="R819" s="78" t="n">
        <x:f>IF(B819='Inputs'!$H$46,'Inputs'!$B$27*'Inputs'!$I$46,0)</x:f>
        <x:v>0</x:v>
      </x:c>
      <x:c r="S819" s="78" t="n">
        <x:f>Q819+G819+R819</x:f>
        <x:v>493815.6783636702</x:v>
      </x:c>
      <x:c r="T819" s="78" t="n">
        <x:f>P819*(S819*(1-'Inputs'!$B$15))/(O819+S819*(1-'Inputs'!$B$15))</x:f>
        <x:v>10.112969842839384</x:v>
      </x:c>
      <x:c r="U819" s="78" t="n">
        <x:f>O819+S819*(1-'Inputs'!$B$17)</x:f>
        <x:v>37619418.58978982</x:v>
      </x:c>
      <x:c r="V819" s="78" t="n">
        <x:f>P819-T819</x:f>
        <x:v>768.0250828005597</x:v>
      </x:c>
      <x:c r="W819" s="79" t="n">
        <x:f>IF(U819&gt;0,V819/U819,0)</x:f>
        <x:v>0.00002041565530757584</x:v>
      </x:c>
      <x:c r="X819" s="80" t="n">
        <x:f>W819*('Inputs'!$B$6-AC819)</x:f>
        <x:v>20282.897242603365</x:v>
      </x:c>
      <x:c r="Y819" s="80" t="n">
        <x:f>2*V819</x:f>
        <x:v>1536.0501656011195</x:v>
      </x:c>
      <x:c r="Z819" s="80" t="n">
        <x:f>K819*'Inputs'!$B$16+(G819+R819)*J819*'Inputs'!$B$16</x:f>
        <x:v>9.39975440364514</x:v>
      </x:c>
      <x:c r="AA819" s="80" t="n">
        <x:f>K819*(1+'Inputs'!$E$46)/2*'Inputs'!$B$17</x:f>
        <x:v>3.131340252086113</x:v>
      </x:c>
      <x:c r="AB819" s="78" t="n">
        <x:f>(IF(J819&gt;0,K819*(1-'Inputs'!$E$46)/2/J819,0)+G819+R819)*'Inputs'!$B$17</x:f>
        <x:v>151393.98702462073</x:v>
      </x:c>
      <x:c r="AC819" s="78" t="n">
        <x:f>AC818+AB819</x:f>
        <x:v>6502757.955714919</x:v>
      </x:c>
      <x:c r="AD819" s="80" t="n">
        <x:f>Z819/(1+'Inputs'!$C$46)</x:f>
        <x:v>4.69987720182257</x:v>
      </x:c>
      <x:c r="AE819" s="80" t="n">
        <x:f>Z819-AD819</x:f>
        <x:v>4.69987720182257</x:v>
      </x:c>
      <x:c r="AF819" s="80" t="n">
        <x:f>D819*W819</x:f>
        <x:v>5.986362234309268</x:v>
      </x:c>
      <x:c r="AG819" s="80" t="n">
        <x:f>C819*W819</x:f>
        <x:v>13.968178546721548</x:v>
      </x:c>
      <x:c r="AH819" s="80" t="n">
        <x:f>2*'Inputs'!$B$8*'Inputs'!$C$46</x:f>
        <x:v>5000</x:v>
      </x:c>
      <x:c r="AI819" s="81" t="n">
        <x:f>IF(AH819&gt;0,(AE819+AF819)/AH819*365,0)</x:f>
        <x:v>0.7800954788376242</x:v>
      </x:c>
      <x:c r="AJ819" s="81" t="n">
        <x:f>IF('Inputs'!$B$46&gt;0,AG819/('Inputs'!$B$19*'Inputs'!$B$46)*365,0)</x:f>
        <x:v>0.5098385169553364</x:v>
      </x:c>
      <x:c r="AK819" s="81" t="n">
        <x:f>W819/MAX($W$734:W819)-1</x:f>
        <x:v>-0.9757759622374326</x:v>
      </x:c>
      <x:c r="AL819" s="83" t="n">
        <x:f>'Inputs'!$B$46</x:f>
        <x:v>1</x:v>
      </x:c>
      <x:c r="AM819" s="83" t="n">
        <x:f>'Inputs'!$C$46</x:f>
        <x:v>1</x:v>
      </x:c>
      <x:c r="AN819" s="83" t="n">
        <x:f>'Inputs'!$D$46</x:f>
        <x:v>1</x:v>
      </x:c>
      <x:c r="AO819" s="81" t="n">
        <x:f>'Inputs'!$E$46</x:f>
        <x:v>0</x:v>
      </x:c>
    </x:row>
    <x:row r="820">
      <x:c r="A820" s="59" t="str">
        <x:v>Base</x:v>
      </x:c>
      <x:c r="B820" s="59" t="n">
        <x:v>87</x:v>
      </x:c>
      <x:c r="C820" s="78" t="n">
        <x:f>(('Inputs'!$B$29*(3*87*'Inputs'!$B$12-87^2)/(2*'Inputs'!$B$12^2))-('Inputs'!$B$29*(3*86*'Inputs'!$B$12-86^2)/(2*'Inputs'!$B$12^2)))*'Inputs'!$B$46</x:f>
        <x:v>683864.4680052549</x:v>
      </x:c>
      <x:c r="D820" s="78" t="n">
        <x:f>IF('Inputs'!$C$46&gt;0,('Inputs'!$B$30*(3*87*'Inputs'!$B$12-87^2)/(2*'Inputs'!$B$12^2))-('Inputs'!$B$30*(3*86*'Inputs'!$B$12-86^2)/(2*'Inputs'!$B$12^2)),0)</x:f>
        <x:v>293084.7720022537</x:v>
      </x:c>
      <x:c r="E820" s="78" t="n">
        <x:f>C820+D820</x:f>
        <x:v>976949.2400075085</x:v>
      </x:c>
      <x:c r="F820" s="78" t="n">
        <x:f>'Inputs'!$B$13*E820+(1-'Inputs'!$B$13)/'Inputs'!$B$14*SUM(E765:E820)</x:f>
        <x:v>987166.9168699573</x:v>
      </x:c>
      <x:c r="G820" s="78" t="n">
        <x:f>F820*'Inputs'!$F$46</x:f>
        <x:v>493583.4584349787</x:v>
      </x:c>
      <x:c r="H820" s="78" t="n">
        <x:f>U819</x:f>
        <x:v>37619418.58978982</x:v>
      </x:c>
      <x:c r="I820" s="78" t="n">
        <x:f>V819</x:f>
        <x:v>768.0250828005597</x:v>
      </x:c>
      <x:c r="J820" s="79" t="n">
        <x:f>IF(H820&gt;0,I820/H820,0)</x:f>
        <x:v>0.00002041565530757584</x:v>
      </x:c>
      <x:c r="K820" s="80" t="n">
        <x:f>(H820*J820+I820)*'Inputs'!$D$46*(1+'Inputs'!$G$46)^(B820/30)</x:f>
        <x:v>1536.0501656011195</x:v>
      </x:c>
      <x:c r="L820" s="80" t="n">
        <x:f>MAX(0,K820*'Inputs'!$E$46)</x:f>
        <x:v>0</x:v>
      </x:c>
      <x:c r="M820" s="80" t="n">
        <x:f>MAX(0,-K820*'Inputs'!$E$46)</x:f>
        <x:v>0</x:v>
      </x:c>
      <x:c r="N820" s="78" t="n">
        <x:f>H820*(L820*(1-'Inputs'!$B$15))/(I820+L820*(1-'Inputs'!$B$15))</x:f>
        <x:v>0</x:v>
      </x:c>
      <x:c r="O820" s="78" t="n">
        <x:f>H820-N820</x:f>
        <x:v>37619418.58978982</x:v>
      </x:c>
      <x:c r="P820" s="78" t="n">
        <x:f>I820+L820*(1-'Inputs'!$B$17)</x:f>
        <x:v>768.0250828005597</x:v>
      </x:c>
      <x:c r="Q820" s="78" t="n">
        <x:f>IF(J820&gt;0,M820/J820,0)</x:f>
        <x:v>0</x:v>
      </x:c>
      <x:c r="R820" s="78" t="n">
        <x:f>IF(B820='Inputs'!$H$46,'Inputs'!$B$27*'Inputs'!$I$46,0)</x:f>
        <x:v>0</x:v>
      </x:c>
      <x:c r="S820" s="78" t="n">
        <x:f>Q820+G820+R820</x:f>
        <x:v>493583.4584349787</x:v>
      </x:c>
      <x:c r="T820" s="78" t="n">
        <x:f>P820*(S820*(1-'Inputs'!$B$15))/(O820+S820*(1-'Inputs'!$B$15))</x:f>
        <x:v>9.848141589347899</x:v>
      </x:c>
      <x:c r="U820" s="78" t="n">
        <x:f>O820+S820*(1-'Inputs'!$B$17)</x:f>
        <x:v>38111015.79688301</x:v>
      </x:c>
      <x:c r="V820" s="78" t="n">
        <x:f>P820-T820</x:f>
        <x:v>758.1769412112119</x:v>
      </x:c>
      <x:c r="W820" s="79" t="n">
        <x:f>IF(U820&gt;0,V820/U820,0)</x:f>
        <x:v>0.000019893905354084552</x:v>
      </x:c>
      <x:c r="X820" s="80" t="n">
        <x:f>W820*('Inputs'!$B$6-AC820)</x:f>
        <x:v>19761.488929913856</x:v>
      </x:c>
      <x:c r="Y820" s="80" t="n">
        <x:f>2*V820</x:f>
        <x:v>1516.3538824224238</x:v>
      </x:c>
      <x:c r="Z820" s="80" t="n">
        <x:f>K820*'Inputs'!$B$16+(G820+R820)*J820*'Inputs'!$B$16</x:f>
        <x:v>9.276761972124296</x:v>
      </x:c>
      <x:c r="AA820" s="80" t="n">
        <x:f>K820*(1+'Inputs'!$E$46)/2*'Inputs'!$B$17</x:f>
        <x:v>3.0906441963805222</x:v>
      </x:c>
      <x:c r="AB820" s="78" t="n">
        <x:f>(IF(J820&gt;0,K820*(1-'Inputs'!$E$46)/2/J820,0)+G820+R820)*'Inputs'!$B$17</x:f>
        <x:v>153372.24164275575</x:v>
      </x:c>
      <x:c r="AC820" s="78" t="n">
        <x:f>AC819+AB820</x:f>
        <x:v>6656130.197357674</x:v>
      </x:c>
      <x:c r="AD820" s="80" t="n">
        <x:f>Z820/(1+'Inputs'!$C$46)</x:f>
        <x:v>4.638380986062148</x:v>
      </x:c>
      <x:c r="AE820" s="80" t="n">
        <x:f>Z820-AD820</x:f>
        <x:v>4.638380986062148</x:v>
      </x:c>
      <x:c r="AF820" s="80" t="n">
        <x:f>D820*W820</x:f>
        <x:v>5.830600714936285</x:v>
      </x:c>
      <x:c r="AG820" s="80" t="n">
        <x:f>C820*W820</x:f>
        <x:v>13.604735001517923</x:v>
      </x:c>
      <x:c r="AH820" s="80" t="n">
        <x:f>2*'Inputs'!$B$8*'Inputs'!$C$46</x:f>
        <x:v>5000</x:v>
      </x:c>
      <x:c r="AI820" s="81" t="n">
        <x:f>IF(AH820&gt;0,(AE820+AF820)/AH820*365,0)</x:f>
        <x:v>0.7642356641728857</x:v>
      </x:c>
      <x:c r="AJ820" s="81" t="n">
        <x:f>IF('Inputs'!$B$46&gt;0,AG820/('Inputs'!$B$19*'Inputs'!$B$46)*365,0)</x:f>
        <x:v>0.4965728275554042</x:v>
      </x:c>
      <x:c r="AK820" s="81" t="n">
        <x:f>W820/MAX($W$734:W820)-1</x:f>
        <x:v>-0.9763950406057523</x:v>
      </x:c>
      <x:c r="AL820" s="83" t="n">
        <x:f>'Inputs'!$B$46</x:f>
        <x:v>1</x:v>
      </x:c>
      <x:c r="AM820" s="83" t="n">
        <x:f>'Inputs'!$C$46</x:f>
        <x:v>1</x:v>
      </x:c>
      <x:c r="AN820" s="83" t="n">
        <x:f>'Inputs'!$D$46</x:f>
        <x:v>1</x:v>
      </x:c>
      <x:c r="AO820" s="81" t="n">
        <x:f>'Inputs'!$E$46</x:f>
        <x:v>0</x:v>
      </x:c>
    </x:row>
    <x:row r="821">
      <x:c r="A821" s="59" t="str">
        <x:v>Base</x:v>
      </x:c>
      <x:c r="B821" s="59" t="n">
        <x:v>88</x:v>
      </x:c>
      <x:c r="C821" s="78" t="n">
        <x:f>(('Inputs'!$B$29*(3*88*'Inputs'!$B$12-88^2)/(2*'Inputs'!$B$12^2))-('Inputs'!$B$29*(3*87*'Inputs'!$B$12-87^2)/(2*'Inputs'!$B$12^2)))*'Inputs'!$B$46</x:f>
        <x:v>683539.3601050824</x:v>
      </x:c>
      <x:c r="D821" s="78" t="n">
        <x:f>IF('Inputs'!$C$46&gt;0,('Inputs'!$B$30*(3*88*'Inputs'!$B$12-88^2)/(2*'Inputs'!$B$12^2))-('Inputs'!$B$30*(3*87*'Inputs'!$B$12-87^2)/(2*'Inputs'!$B$12^2)),0)</x:f>
        <x:v>292945.4400450364</x:v>
      </x:c>
      <x:c r="E821" s="78" t="n">
        <x:f>C821+D821</x:f>
        <x:v>976484.8001501188</x:v>
      </x:c>
      <x:c r="F821" s="78" t="n">
        <x:f>'Inputs'!$B$13*E821+(1-'Inputs'!$B$13)/'Inputs'!$B$14*SUM(E766:E821)</x:f>
        <x:v>986702.4770125719</x:v>
      </x:c>
      <x:c r="G821" s="78" t="n">
        <x:f>F821*'Inputs'!$F$46</x:f>
        <x:v>493351.23850628594</x:v>
      </x:c>
      <x:c r="H821" s="78" t="n">
        <x:f>U820</x:f>
        <x:v>38111015.79688301</x:v>
      </x:c>
      <x:c r="I821" s="78" t="n">
        <x:f>V820</x:f>
        <x:v>758.1769412112119</x:v>
      </x:c>
      <x:c r="J821" s="79" t="n">
        <x:f>IF(H821&gt;0,I821/H821,0)</x:f>
        <x:v>0.000019893905354084552</x:v>
      </x:c>
      <x:c r="K821" s="80" t="n">
        <x:f>(H821*J821+I821)*'Inputs'!$D$46*(1+'Inputs'!$G$46)^(B821/30)</x:f>
        <x:v>1516.3538824224238</x:v>
      </x:c>
      <x:c r="L821" s="80" t="n">
        <x:f>MAX(0,K821*'Inputs'!$E$46)</x:f>
        <x:v>0</x:v>
      </x:c>
      <x:c r="M821" s="80" t="n">
        <x:f>MAX(0,-K821*'Inputs'!$E$46)</x:f>
        <x:v>0</x:v>
      </x:c>
      <x:c r="N821" s="78" t="n">
        <x:f>H821*(L821*(1-'Inputs'!$B$15))/(I821+L821*(1-'Inputs'!$B$15))</x:f>
        <x:v>0</x:v>
      </x:c>
      <x:c r="O821" s="78" t="n">
        <x:f>H821-N821</x:f>
        <x:v>38111015.79688301</x:v>
      </x:c>
      <x:c r="P821" s="78" t="n">
        <x:f>I821+L821*(1-'Inputs'!$B$17)</x:f>
        <x:v>758.1769412112119</x:v>
      </x:c>
      <x:c r="Q821" s="78" t="n">
        <x:f>IF(J821&gt;0,M821/J821,0)</x:f>
        <x:v>0</x:v>
      </x:c>
      <x:c r="R821" s="78" t="n">
        <x:f>IF(B821='Inputs'!$H$46,'Inputs'!$B$27*'Inputs'!$I$46,0)</x:f>
        <x:v>0</x:v>
      </x:c>
      <x:c r="S821" s="78" t="n">
        <x:f>Q821+G821+R821</x:f>
        <x:v>493351.23850628594</x:v>
      </x:c>
      <x:c r="T821" s="78" t="n">
        <x:f>P821*(S821*(1-'Inputs'!$B$15))/(O821+S821*(1-'Inputs'!$B$15))</x:f>
        <x:v>9.593587880071638</x:v>
      </x:c>
      <x:c r="U821" s="78" t="n">
        <x:f>O821+S821*(1-'Inputs'!$B$17)</x:f>
        <x:v>38602381.71853414</x:v>
      </x:c>
      <x:c r="V821" s="78" t="n">
        <x:f>P821-T821</x:f>
        <x:v>748.5833533311403</x:v>
      </x:c>
      <x:c r="W821" s="79" t="n">
        <x:f>IF(U821&gt;0,V821/U821,0)</x:f>
        <x:v>0.000019392154577128678</x:v>
      </x:c>
      <x:c r="X821" s="80" t="n">
        <x:f>W821*('Inputs'!$B$6-AC821)</x:f>
        <x:v>19260.065308667683</x:v>
      </x:c>
      <x:c r="Y821" s="80" t="n">
        <x:f>2*V821</x:f>
        <x:v>1497.1667066622806</x:v>
      </x:c>
      <x:c r="Z821" s="80" t="n">
        <x:f>K821*'Inputs'!$B$16+(G821+R821)*J821*'Inputs'!$B$16</x:f>
        <x:v>9.157011391605531</x:v>
      </x:c>
      <x:c r="AA821" s="80" t="n">
        <x:f>K821*(1+'Inputs'!$E$46)/2*'Inputs'!$B$17</x:f>
        <x:v>3.0510138479324427</x:v>
      </x:c>
      <x:c r="AB821" s="78" t="n">
        <x:f>(IF(J821&gt;0,K821*(1-'Inputs'!$E$46)/2/J821,0)+G821+R821)*'Inputs'!$B$17</x:f>
        <x:v>155349.5655347658</x:v>
      </x:c>
      <x:c r="AC821" s="78" t="n">
        <x:f>AC820+AB821</x:f>
        <x:v>6811479.76289244</x:v>
      </x:c>
      <x:c r="AD821" s="80" t="n">
        <x:f>Z821/(1+'Inputs'!$C$46)</x:f>
        <x:v>4.5785056958027655</x:v>
      </x:c>
      <x:c r="AE821" s="80" t="n">
        <x:f>Z821-AD821</x:f>
        <x:v>4.5785056958027655</x:v>
      </x:c>
      <x:c r="AF821" s="80" t="n">
        <x:f>D821*W821</x:f>
        <x:v>5.680843256018327</x:v>
      </x:c>
      <x:c r="AG821" s="80" t="n">
        <x:f>C821*W821</x:f>
        <x:v>13.255300930709382</x:v>
      </x:c>
      <x:c r="AH821" s="80" t="n">
        <x:f>2*'Inputs'!$B$8*'Inputs'!$C$46</x:f>
        <x:v>5000</x:v>
      </x:c>
      <x:c r="AI821" s="81" t="n">
        <x:f>IF(AH821&gt;0,(AE821+AF821)/AH821*365,0)</x:f>
        <x:v>0.7489324734829398</x:v>
      </x:c>
      <x:c r="AJ821" s="81" t="n">
        <x:f>IF('Inputs'!$B$46&gt;0,AG821/('Inputs'!$B$19*'Inputs'!$B$46)*365,0)</x:f>
        <x:v>0.48381848397089244</x:v>
      </x:c>
      <x:c r="AK821" s="81" t="n">
        <x:f>W821/MAX($W$734:W821)-1</x:f>
        <x:v>-0.9769903891059725</x:v>
      </x:c>
      <x:c r="AL821" s="83" t="n">
        <x:f>'Inputs'!$B$46</x:f>
        <x:v>1</x:v>
      </x:c>
      <x:c r="AM821" s="83" t="n">
        <x:f>'Inputs'!$C$46</x:f>
        <x:v>1</x:v>
      </x:c>
      <x:c r="AN821" s="83" t="n">
        <x:f>'Inputs'!$D$46</x:f>
        <x:v>1</x:v>
      </x:c>
      <x:c r="AO821" s="81" t="n">
        <x:f>'Inputs'!$E$46</x:f>
        <x:v>0</x:v>
      </x:c>
    </x:row>
    <x:row r="822">
      <x:c r="A822" s="59" t="str">
        <x:v>Base</x:v>
      </x:c>
      <x:c r="B822" s="59" t="n">
        <x:v>89</x:v>
      </x:c>
      <x:c r="C822" s="78" t="n">
        <x:f>(('Inputs'!$B$29*(3*89*'Inputs'!$B$12-89^2)/(2*'Inputs'!$B$12^2))-('Inputs'!$B$29*(3*88*'Inputs'!$B$12-88^2)/(2*'Inputs'!$B$12^2)))*'Inputs'!$B$46</x:f>
        <x:v>683214.2522049174</x:v>
      </x:c>
      <x:c r="D822" s="78" t="n">
        <x:f>IF('Inputs'!$C$46&gt;0,('Inputs'!$B$30*(3*89*'Inputs'!$B$12-89^2)/(2*'Inputs'!$B$12^2))-('Inputs'!$B$30*(3*88*'Inputs'!$B$12-88^2)/(2*'Inputs'!$B$12^2)),0)</x:f>
        <x:v>292806.10808781907</x:v>
      </x:c>
      <x:c r="E822" s="78" t="n">
        <x:f>C822+D822</x:f>
        <x:v>976020.3602927364</x:v>
      </x:c>
      <x:c r="F822" s="78" t="n">
        <x:f>'Inputs'!$B$13*E822+(1-'Inputs'!$B$13)/'Inputs'!$B$14*SUM(E767:E822)</x:f>
        <x:v>986238.0371551884</x:v>
      </x:c>
      <x:c r="G822" s="78" t="n">
        <x:f>F822*'Inputs'!$F$46</x:f>
        <x:v>493119.0185775942</x:v>
      </x:c>
      <x:c r="H822" s="78" t="n">
        <x:f>U821</x:f>
        <x:v>38602381.71853414</x:v>
      </x:c>
      <x:c r="I822" s="78" t="n">
        <x:f>V821</x:f>
        <x:v>748.5833533311403</x:v>
      </x:c>
      <x:c r="J822" s="79" t="n">
        <x:f>IF(H822&gt;0,I822/H822,0)</x:f>
        <x:v>0.000019392154577128678</x:v>
      </x:c>
      <x:c r="K822" s="80" t="n">
        <x:f>(H822*J822+I822)*'Inputs'!$D$46*(1+'Inputs'!$G$46)^(B822/30)</x:f>
        <x:v>1497.1667066622806</x:v>
      </x:c>
      <x:c r="L822" s="80" t="n">
        <x:f>MAX(0,K822*'Inputs'!$E$46)</x:f>
        <x:v>0</x:v>
      </x:c>
      <x:c r="M822" s="80" t="n">
        <x:f>MAX(0,-K822*'Inputs'!$E$46)</x:f>
        <x:v>0</x:v>
      </x:c>
      <x:c r="N822" s="78" t="n">
        <x:f>H822*(L822*(1-'Inputs'!$B$15))/(I822+L822*(1-'Inputs'!$B$15))</x:f>
        <x:v>0</x:v>
      </x:c>
      <x:c r="O822" s="78" t="n">
        <x:f>H822-N822</x:f>
        <x:v>38602381.71853414</x:v>
      </x:c>
      <x:c r="P822" s="78" t="n">
        <x:f>I822+L822*(1-'Inputs'!$B$17)</x:f>
        <x:v>748.5833533311403</x:v>
      </x:c>
      <x:c r="Q822" s="78" t="n">
        <x:f>IF(J822&gt;0,M822/J822,0)</x:f>
        <x:v>0</x:v>
      </x:c>
      <x:c r="R822" s="78" t="n">
        <x:f>IF(B822='Inputs'!$H$46,'Inputs'!$B$27*'Inputs'!$I$46,0)</x:f>
        <x:v>0</x:v>
      </x:c>
      <x:c r="S822" s="78" t="n">
        <x:f>Q822+G822+R822</x:f>
        <x:v>493119.0185775942</x:v>
      </x:c>
      <x:c r="T822" s="78" t="n">
        <x:f>P822*(S822*(1-'Inputs'!$B$15))/(O822+S822*(1-'Inputs'!$B$15))</x:f>
        <x:v>9.348783757020831</x:v>
      </x:c>
      <x:c r="U822" s="78" t="n">
        <x:f>O822+S822*(1-'Inputs'!$B$17)</x:f>
        <x:v>39093516.35474321</x:v>
      </x:c>
      <x:c r="V822" s="78" t="n">
        <x:f>P822-T822</x:f>
        <x:v>739.2345695741195</x:v>
      </x:c>
      <x:c r="W822" s="79" t="n">
        <x:f>IF(U822&gt;0,V822/U822,0)</x:f>
        <x:v>0.00001890939057172912</x:v>
      </x:c>
      <x:c r="X822" s="80" t="n">
        <x:f>W822*('Inputs'!$B$6-AC822)</x:f>
        <x:v>18777.614702521016</x:v>
      </x:c>
      <x:c r="Y822" s="80" t="n">
        <x:f>2*V822</x:f>
        <x:v>1478.469139148239</x:v>
      </x:c>
      <x:c r="Z822" s="80" t="n">
        <x:f>K822*'Inputs'!$B$16+(G822+R822)*J822*'Inputs'!$B$16</x:f>
        <x:v>9.040376081372756</x:v>
      </x:c>
      <x:c r="AA822" s="80" t="n">
        <x:f>K822*(1+'Inputs'!$E$46)/2*'Inputs'!$B$17</x:f>
        <x:v>3.012407860487486</x:v>
      </x:c>
      <x:c r="AB822" s="78" t="n">
        <x:f>(IF(J822&gt;0,K822*(1-'Inputs'!$E$46)/2/J822,0)+G822+R822)*'Inputs'!$B$17</x:f>
        <x:v>157325.95870065084</x:v>
      </x:c>
      <x:c r="AC822" s="78" t="n">
        <x:f>AC821+AB822</x:f>
        <x:v>6968805.721593091</x:v>
      </x:c>
      <x:c r="AD822" s="80" t="n">
        <x:f>Z822/(1+'Inputs'!$C$46)</x:f>
        <x:v>4.520188040686378</x:v>
      </x:c>
      <x:c r="AE822" s="80" t="n">
        <x:f>Z822-AD822</x:f>
        <x:v>4.520188040686378</x:v>
      </x:c>
      <x:c r="AF822" s="80" t="n">
        <x:f>D822*W822</x:f>
        <x:v>5.536785059620504</x:v>
      </x:c>
      <x:c r="AG822" s="80" t="n">
        <x:f>C822*W822</x:f>
        <x:v>12.919165139114627</x:v>
      </x:c>
      <x:c r="AH822" s="80" t="n">
        <x:f>2*'Inputs'!$B$8*'Inputs'!$C$46</x:f>
        <x:v>5000</x:v>
      </x:c>
      <x:c r="AI822" s="81" t="n">
        <x:f>IF(AH822&gt;0,(AE822+AF822)/AH822*365,0)</x:f>
        <x:v>0.7341590363224024</x:v>
      </x:c>
      <x:c r="AJ822" s="81" t="n">
        <x:f>IF('Inputs'!$B$46&gt;0,AG822/('Inputs'!$B$19*'Inputs'!$B$46)*365,0)</x:f>
        <x:v>0.47154952757768387</x:v>
      </x:c>
      <x:c r="AK822" s="81" t="n">
        <x:f>W822/MAX($W$734:W822)-1</x:f>
        <x:v>-0.9775632089993838</x:v>
      </x:c>
      <x:c r="AL822" s="83" t="n">
        <x:f>'Inputs'!$B$46</x:f>
        <x:v>1</x:v>
      </x:c>
      <x:c r="AM822" s="83" t="n">
        <x:f>'Inputs'!$C$46</x:f>
        <x:v>1</x:v>
      </x:c>
      <x:c r="AN822" s="83" t="n">
        <x:f>'Inputs'!$D$46</x:f>
        <x:v>1</x:v>
      </x:c>
      <x:c r="AO822" s="81" t="n">
        <x:f>'Inputs'!$E$46</x:f>
        <x:v>0</x:v>
      </x:c>
    </x:row>
    <x:row r="823">
      <x:c r="A823" s="59" t="str">
        <x:v>Base</x:v>
      </x:c>
      <x:c r="B823" s="59" t="n">
        <x:v>90</x:v>
      </x:c>
      <x:c r="C823" s="78" t="n">
        <x:f>(('Inputs'!$B$29*(3*90*'Inputs'!$B$12-90^2)/(2*'Inputs'!$B$12^2))-('Inputs'!$B$29*(3*89*'Inputs'!$B$12-89^2)/(2*'Inputs'!$B$12^2)))*'Inputs'!$B$46</x:f>
        <x:v>682889.1443047523</x:v>
      </x:c>
      <x:c r="D823" s="78" t="n">
        <x:f>IF('Inputs'!$C$46&gt;0,('Inputs'!$B$30*(3*90*'Inputs'!$B$12-90^2)/(2*'Inputs'!$B$12^2))-('Inputs'!$B$30*(3*89*'Inputs'!$B$12-89^2)/(2*'Inputs'!$B$12^2)),0)</x:f>
        <x:v>292666.7761306055</x:v>
      </x:c>
      <x:c r="E823" s="78" t="n">
        <x:f>C823+D823</x:f>
        <x:v>975555.9204353578</x:v>
      </x:c>
      <x:c r="F823" s="78" t="n">
        <x:f>'Inputs'!$B$13*E823+(1-'Inputs'!$B$13)/'Inputs'!$B$14*SUM(E768:E823)</x:f>
        <x:v>985773.5972978052</x:v>
      </x:c>
      <x:c r="G823" s="78" t="n">
        <x:f>F823*'Inputs'!$F$46</x:f>
        <x:v>492886.7986489026</x:v>
      </x:c>
      <x:c r="H823" s="78" t="n">
        <x:f>U822</x:f>
        <x:v>39093516.35474321</x:v>
      </x:c>
      <x:c r="I823" s="78" t="n">
        <x:f>V822</x:f>
        <x:v>739.2345695741195</x:v>
      </x:c>
      <x:c r="J823" s="79" t="n">
        <x:f>IF(H823&gt;0,I823/H823,0)</x:f>
        <x:v>0.00001890939057172912</x:v>
      </x:c>
      <x:c r="K823" s="80" t="n">
        <x:f>(H823*J823+I823)*'Inputs'!$D$46*(1+'Inputs'!$G$46)^(B823/30)</x:f>
        <x:v>1478.469139148239</x:v>
      </x:c>
      <x:c r="L823" s="80" t="n">
        <x:f>MAX(0,K823*'Inputs'!$E$46)</x:f>
        <x:v>0</x:v>
      </x:c>
      <x:c r="M823" s="80" t="n">
        <x:f>MAX(0,-K823*'Inputs'!$E$46)</x:f>
        <x:v>0</x:v>
      </x:c>
      <x:c r="N823" s="78" t="n">
        <x:f>H823*(L823*(1-'Inputs'!$B$15))/(I823+L823*(1-'Inputs'!$B$15))</x:f>
        <x:v>0</x:v>
      </x:c>
      <x:c r="O823" s="78" t="n">
        <x:f>H823-N823</x:f>
        <x:v>39093516.35474321</x:v>
      </x:c>
      <x:c r="P823" s="78" t="n">
        <x:f>I823+L823*(1-'Inputs'!$B$17)</x:f>
        <x:v>739.2345695741195</x:v>
      </x:c>
      <x:c r="Q823" s="78" t="n">
        <x:f>IF(J823&gt;0,M823/J823,0)</x:f>
        <x:v>0</x:v>
      </x:c>
      <x:c r="R823" s="78" t="n">
        <x:f>IF(B823='Inputs'!$H$46,'Inputs'!$B$27*'Inputs'!$I$46,0)</x:f>
        <x:v>0</x:v>
      </x:c>
      <x:c r="S823" s="78" t="n">
        <x:f>Q823+G823+R823</x:f>
        <x:v>492886.7986489026</x:v>
      </x:c>
      <x:c r="T823" s="78" t="n">
        <x:f>P823*(S823*(1-'Inputs'!$B$15))/(O823+S823*(1-'Inputs'!$B$15))</x:f>
        <x:v>9.113237375711124</x:v>
      </x:c>
      <x:c r="U823" s="78" t="n">
        <x:f>O823+S823*(1-'Inputs'!$B$17)</x:f>
        <x:v>39584419.70551023</x:v>
      </x:c>
      <x:c r="V823" s="78" t="n">
        <x:f>P823-T823</x:f>
        <x:v>730.1213321984084</x:v>
      </x:c>
      <x:c r="W823" s="79" t="n">
        <x:f>IF(U823&gt;0,V823/U823,0)</x:f>
        <x:v>0.000018444664280294452</x:v>
      </x:c>
      <x:c r="X823" s="80" t="n">
        <x:f>W823*('Inputs'!$B$6-AC823)</x:f>
        <x:v>18313.188737092765</x:v>
      </x:c>
      <x:c r="Y823" s="80" t="n">
        <x:f>2*V823</x:f>
        <x:v>1460.2426643968167</x:v>
      </x:c>
      <x:c r="Z823" s="80" t="n">
        <x:f>K823*'Inputs'!$B$16+(G823+R823)*J823*'Inputs'!$B$16</x:f>
        <x:v>8.926735968789243</x:v>
      </x:c>
      <x:c r="AA823" s="80" t="n">
        <x:f>K823*(1+'Inputs'!$E$46)/2*'Inputs'!$B$17</x:f>
        <x:v>2.974787000298268</x:v>
      </x:c>
      <x:c r="AB823" s="78" t="n">
        <x:f>(IF(J823&gt;0,K823*(1-'Inputs'!$E$46)/2/J823,0)+G823+R823)*'Inputs'!$B$17</x:f>
        <x:v>159301.42114041094</x:v>
      </x:c>
      <x:c r="AC823" s="78" t="n">
        <x:f>AC822+AB823</x:f>
        <x:v>7128107.142733502</x:v>
      </x:c>
      <x:c r="AD823" s="80" t="n">
        <x:f>Z823/(1+'Inputs'!$C$46)</x:f>
        <x:v>4.463367984394622</x:v>
      </x:c>
      <x:c r="AE823" s="80" t="n">
        <x:f>Z823-AD823</x:f>
        <x:v>4.463367984394622</x:v>
      </x:c>
      <x:c r="AF823" s="80" t="n">
        <x:f>D823*W823</x:f>
        <x:v>5.398140431725112</x:v>
      </x:c>
      <x:c r="AG823" s="80" t="n">
        <x:f>C823*W823</x:f>
        <x:v>12.595661007358709</x:v>
      </x:c>
      <x:c r="AH823" s="80" t="n">
        <x:f>2*'Inputs'!$B$8*'Inputs'!$C$46</x:f>
        <x:v>5000</x:v>
      </x:c>
      <x:c r="AI823" s="81" t="n">
        <x:f>IF(AH823&gt;0,(AE823+AF823)/AH823*365,0)</x:f>
        <x:v>0.7198901143767406</x:v>
      </x:c>
      <x:c r="AJ823" s="81" t="n">
        <x:f>IF('Inputs'!$B$46&gt;0,AG823/('Inputs'!$B$19*'Inputs'!$B$46)*365,0)</x:f>
        <x:v>0.4597416267685929</x:v>
      </x:c>
      <x:c r="AK823" s="81" t="n">
        <x:f>W823/MAX($W$734:W823)-1</x:f>
        <x:v>-0.9781146263829243</x:v>
      </x:c>
      <x:c r="AL823" s="83" t="n">
        <x:f>'Inputs'!$B$46</x:f>
        <x:v>1</x:v>
      </x:c>
      <x:c r="AM823" s="83" t="n">
        <x:f>'Inputs'!$C$46</x:f>
        <x:v>1</x:v>
      </x:c>
      <x:c r="AN823" s="83" t="n">
        <x:f>'Inputs'!$D$46</x:f>
        <x:v>1</x:v>
      </x:c>
      <x:c r="AO823" s="81" t="n">
        <x:f>'Inputs'!$E$46</x:f>
        <x:v>0</x:v>
      </x:c>
    </x:row>
    <x:row r="824">
      <x:c r="A824" s="59" t="str">
        <x:v>Base</x:v>
      </x:c>
      <x:c r="B824" s="59" t="n">
        <x:v>91</x:v>
      </x:c>
      <x:c r="C824" s="78" t="n">
        <x:f>(('Inputs'!$B$29*(3*91*'Inputs'!$B$12-91^2)/(2*'Inputs'!$B$12^2))-('Inputs'!$B$29*(3*90*'Inputs'!$B$12-90^2)/(2*'Inputs'!$B$12^2)))*'Inputs'!$B$46</x:f>
        <x:v>682564.0364045799</x:v>
      </x:c>
      <x:c r="D824" s="78" t="n">
        <x:f>IF('Inputs'!$C$46&gt;0,('Inputs'!$B$30*(3*91*'Inputs'!$B$12-91^2)/(2*'Inputs'!$B$12^2))-('Inputs'!$B$30*(3*90*'Inputs'!$B$12-90^2)/(2*'Inputs'!$B$12^2)),0)</x:f>
        <x:v>292527.4441733919</x:v>
      </x:c>
      <x:c r="E824" s="78" t="n">
        <x:f>C824+D824</x:f>
        <x:v>975091.4805779718</x:v>
      </x:c>
      <x:c r="F824" s="78" t="n">
        <x:f>'Inputs'!$B$13*E824+(1-'Inputs'!$B$13)/'Inputs'!$B$14*SUM(E769:E824)</x:f>
        <x:v>985309.1574404209</x:v>
      </x:c>
      <x:c r="G824" s="78" t="n">
        <x:f>F824*'Inputs'!$F$46</x:f>
        <x:v>492654.57872021047</x:v>
      </x:c>
      <x:c r="H824" s="78" t="n">
        <x:f>U823</x:f>
        <x:v>39584419.70551023</x:v>
      </x:c>
      <x:c r="I824" s="78" t="n">
        <x:f>V823</x:f>
        <x:v>730.1213321984084</x:v>
      </x:c>
      <x:c r="J824" s="79" t="n">
        <x:f>IF(H824&gt;0,I824/H824,0)</x:f>
        <x:v>0.000018444664280294452</x:v>
      </x:c>
      <x:c r="K824" s="80" t="n">
        <x:f>(H824*J824+I824)*'Inputs'!$D$46*(1+'Inputs'!$G$46)^(B824/30)</x:f>
        <x:v>1460.2426643968167</x:v>
      </x:c>
      <x:c r="L824" s="80" t="n">
        <x:f>MAX(0,K824*'Inputs'!$E$46)</x:f>
        <x:v>0</x:v>
      </x:c>
      <x:c r="M824" s="80" t="n">
        <x:f>MAX(0,-K824*'Inputs'!$E$46)</x:f>
        <x:v>0</x:v>
      </x:c>
      <x:c r="N824" s="78" t="n">
        <x:f>H824*(L824*(1-'Inputs'!$B$15))/(I824+L824*(1-'Inputs'!$B$15))</x:f>
        <x:v>0</x:v>
      </x:c>
      <x:c r="O824" s="78" t="n">
        <x:f>H824-N824</x:f>
        <x:v>39584419.70551023</x:v>
      </x:c>
      <x:c r="P824" s="78" t="n">
        <x:f>I824+L824*(1-'Inputs'!$B$17)</x:f>
        <x:v>730.1213321984084</x:v>
      </x:c>
      <x:c r="Q824" s="78" t="n">
        <x:f>IF(J824&gt;0,M824/J824,0)</x:f>
        <x:v>0</x:v>
      </x:c>
      <x:c r="R824" s="78" t="n">
        <x:f>IF(B824='Inputs'!$H$46,'Inputs'!$B$27*'Inputs'!$I$46,0)</x:f>
        <x:v>0</x:v>
      </x:c>
      <x:c r="S824" s="78" t="n">
        <x:f>Q824+G824+R824</x:f>
        <x:v>492654.57872021047</x:v>
      </x:c>
      <x:c r="T824" s="78" t="n">
        <x:f>P824*(S824*(1-'Inputs'!$B$15))/(O824+S824*(1-'Inputs'!$B$15))</x:f>
        <x:v>8.886487529440101</x:v>
      </x:c>
      <x:c r="U824" s="78" t="n">
        <x:f>O824+S824*(1-'Inputs'!$B$17)</x:f>
        <x:v>40075091.77083518</x:v>
      </x:c>
      <x:c r="V824" s="78" t="n">
        <x:f>P824-T824</x:f>
        <x:v>721.2348446689683</x:v>
      </x:c>
      <x:c r="W824" s="79" t="n">
        <x:f>IF(U824&gt;0,V824/U824,0)</x:f>
        <x:v>0.00001799708529161373</x:v>
      </x:c>
      <x:c r="X824" s="80" t="n">
        <x:f>W824*('Inputs'!$B$6-AC824)</x:f>
        <x:v>17865.897642319196</x:v>
      </x:c>
      <x:c r="Y824" s="80" t="n">
        <x:f>2*V824</x:f>
        <x:v>1442.4696893379366</x:v>
      </x:c>
      <x:c r="Z824" s="80" t="n">
        <x:f>K824*'Inputs'!$B$16+(G824+R824)*J824*'Inputs'!$B$16</x:f>
        <x:v>8.815977076244765</x:v>
      </x:c>
      <x:c r="AA824" s="80" t="n">
        <x:f>K824*(1+'Inputs'!$E$46)/2*'Inputs'!$B$17</x:f>
        <x:v>2.9381140128708587</x:v>
      </x:c>
      <x:c r="AB824" s="78" t="n">
        <x:f>(IF(J824&gt;0,K824*(1-'Inputs'!$E$46)/2/J824,0)+G824+R824)*'Inputs'!$B$17</x:f>
        <x:v>161275.95285404605</x:v>
      </x:c>
      <x:c r="AC824" s="78" t="n">
        <x:f>AC823+AB824</x:f>
        <x:v>7289383.095587548</x:v>
      </x:c>
      <x:c r="AD824" s="80" t="n">
        <x:f>Z824/(1+'Inputs'!$C$46)</x:f>
        <x:v>4.407988538122383</x:v>
      </x:c>
      <x:c r="AE824" s="80" t="n">
        <x:f>Z824-AD824</x:f>
        <x:v>4.407988538122383</x:v>
      </x:c>
      <x:c r="AF824" s="80" t="n">
        <x:f>D824*W824</x:f>
        <x:v>5.264641362926309</x:v>
      </x:c>
      <x:c r="AG824" s="80" t="n">
        <x:f>C824*W824</x:f>
        <x:v>12.284163180161364</x:v>
      </x:c>
      <x:c r="AH824" s="80" t="n">
        <x:f>2*'Inputs'!$B$8*'Inputs'!$C$46</x:f>
        <x:v>5000</x:v>
      </x:c>
      <x:c r="AI824" s="81" t="n">
        <x:f>IF(AH824&gt;0,(AE824+AF824)/AH824*365,0)</x:f>
        <x:v>0.7061019827765544</x:v>
      </x:c>
      <x:c r="AJ824" s="81" t="n">
        <x:f>IF('Inputs'!$B$46&gt;0,AG824/('Inputs'!$B$19*'Inputs'!$B$46)*365,0)</x:f>
        <x:v>0.4483719560758898</x:v>
      </x:c>
      <x:c r="AK824" s="81" t="n">
        <x:f>W824/MAX($W$734:W824)-1</x:f>
        <x:v>-0.9786456977671238</x:v>
      </x:c>
      <x:c r="AL824" s="83" t="n">
        <x:f>'Inputs'!$B$46</x:f>
        <x:v>1</x:v>
      </x:c>
      <x:c r="AM824" s="83" t="n">
        <x:f>'Inputs'!$C$46</x:f>
        <x:v>1</x:v>
      </x:c>
      <x:c r="AN824" s="83" t="n">
        <x:f>'Inputs'!$D$46</x:f>
        <x:v>1</x:v>
      </x:c>
      <x:c r="AO824" s="81" t="n">
        <x:f>'Inputs'!$E$46</x:f>
        <x:v>0</x:v>
      </x:c>
    </x:row>
    <x:row r="825">
      <x:c r="A825" s="59" t="str">
        <x:v>Base</x:v>
      </x:c>
      <x:c r="B825" s="59" t="n">
        <x:v>92</x:v>
      </x:c>
      <x:c r="C825" s="78" t="n">
        <x:f>(('Inputs'!$B$29*(3*92*'Inputs'!$B$12-92^2)/(2*'Inputs'!$B$12^2))-('Inputs'!$B$29*(3*91*'Inputs'!$B$12-91^2)/(2*'Inputs'!$B$12^2)))*'Inputs'!$B$46</x:f>
        <x:v>682238.9285044074</x:v>
      </x:c>
      <x:c r="D825" s="78" t="n">
        <x:f>IF('Inputs'!$C$46&gt;0,('Inputs'!$B$30*(3*92*'Inputs'!$B$12-92^2)/(2*'Inputs'!$B$12^2))-('Inputs'!$B$30*(3*91*'Inputs'!$B$12-91^2)/(2*'Inputs'!$B$12^2)),0)</x:f>
        <x:v>292388.1122161746</x:v>
      </x:c>
      <x:c r="E825" s="78" t="n">
        <x:f>C825+D825</x:f>
        <x:v>974627.040720582</x:v>
      </x:c>
      <x:c r="F825" s="78" t="n">
        <x:f>'Inputs'!$B$13*E825+(1-'Inputs'!$B$13)/'Inputs'!$B$14*SUM(E770:E825)</x:f>
        <x:v>984844.7175830356</x:v>
      </x:c>
      <x:c r="G825" s="78" t="n">
        <x:f>F825*'Inputs'!$F$46</x:f>
        <x:v>492422.3587915178</x:v>
      </x:c>
      <x:c r="H825" s="78" t="n">
        <x:f>U824</x:f>
        <x:v>40075091.77083518</x:v>
      </x:c>
      <x:c r="I825" s="78" t="n">
        <x:f>V824</x:f>
        <x:v>721.2348446689683</x:v>
      </x:c>
      <x:c r="J825" s="79" t="n">
        <x:f>IF(H825&gt;0,I825/H825,0)</x:f>
        <x:v>0.00001799708529161373</x:v>
      </x:c>
      <x:c r="K825" s="80" t="n">
        <x:f>(H825*J825+I825)*'Inputs'!$D$46*(1+'Inputs'!$G$46)^(B825/30)</x:f>
        <x:v>1442.4696893379366</x:v>
      </x:c>
      <x:c r="L825" s="80" t="n">
        <x:f>MAX(0,K825*'Inputs'!$E$46)</x:f>
        <x:v>0</x:v>
      </x:c>
      <x:c r="M825" s="80" t="n">
        <x:f>MAX(0,-K825*'Inputs'!$E$46)</x:f>
        <x:v>0</x:v>
      </x:c>
      <x:c r="N825" s="78" t="n">
        <x:f>H825*(L825*(1-'Inputs'!$B$15))/(I825+L825*(1-'Inputs'!$B$15))</x:f>
        <x:v>0</x:v>
      </x:c>
      <x:c r="O825" s="78" t="n">
        <x:f>H825-N825</x:f>
        <x:v>40075091.77083518</x:v>
      </x:c>
      <x:c r="P825" s="78" t="n">
        <x:f>I825+L825*(1-'Inputs'!$B$17)</x:f>
        <x:v>721.2348446689683</x:v>
      </x:c>
      <x:c r="Q825" s="78" t="n">
        <x:f>IF(J825&gt;0,M825/J825,0)</x:f>
        <x:v>0</x:v>
      </x:c>
      <x:c r="R825" s="78" t="n">
        <x:f>IF(B825='Inputs'!$H$46,'Inputs'!$B$27*'Inputs'!$I$46,0)</x:f>
        <x:v>0</x:v>
      </x:c>
      <x:c r="S825" s="78" t="n">
        <x:f>Q825+G825+R825</x:f>
        <x:v>492422.3587915178</x:v>
      </x:c>
      <x:c r="T825" s="78" t="n">
        <x:f>P825*(S825*(1-'Inputs'!$B$15))/(O825+S825*(1-'Inputs'!$B$15))</x:f>
        <x:v>8.668101386880064</x:v>
      </x:c>
      <x:c r="U825" s="78" t="n">
        <x:f>O825+S825*(1-'Inputs'!$B$17)</x:f>
        <x:v>40565532.550718084</x:v>
      </x:c>
      <x:c r="V825" s="78" t="n">
        <x:f>P825-T825</x:f>
        <x:v>712.5667432820883</x:v>
      </x:c>
      <x:c r="W825" s="79" t="n">
        <x:f>IF(U825&gt;0,V825/U825,0)</x:f>
        <x:v>0.000017565817542052077</x:v>
      </x:c>
      <x:c r="X825" s="80" t="n">
        <x:f>W825*('Inputs'!$B$6-AC825)</x:f>
        <x:v>17434.905956724266</x:v>
      </x:c>
      <x:c r="Y825" s="80" t="n">
        <x:f>2*V825</x:f>
        <x:v>1425.1334865641766</x:v>
      </x:c>
      <x:c r="Z825" s="80" t="n">
        <x:f>K825*'Inputs'!$B$16+(G825+R825)*J825*'Inputs'!$B$16</x:f>
        <x:v>8.70799113917163</x:v>
      </x:c>
      <x:c r="AA825" s="80" t="n">
        <x:f>K825*(1+'Inputs'!$E$46)/2*'Inputs'!$B$17</x:f>
        <x:v>2.902353499673917</x:v>
      </x:c>
      <x:c r="AB825" s="78" t="n">
        <x:f>(IF(J825&gt;0,K825*(1-'Inputs'!$E$46)/2/J825,0)+G825+R825)*'Inputs'!$B$17</x:f>
        <x:v>163249.55384155613</x:v>
      </x:c>
      <x:c r="AC825" s="78" t="n">
        <x:f>AC824+AB825</x:f>
        <x:v>7452632.649429104</x:v>
      </x:c>
      <x:c r="AD825" s="80" t="n">
        <x:f>Z825/(1+'Inputs'!$C$46)</x:f>
        <x:v>4.353995569585815</x:v>
      </x:c>
      <x:c r="AE825" s="80" t="n">
        <x:f>Z825-AD825</x:f>
        <x:v>4.353995569585815</x:v>
      </x:c>
      <x:c r="AF825" s="80" t="n">
        <x:f>D825*W825</x:f>
        <x:v>5.136036230654371</x:v>
      </x:c>
      <x:c r="AG825" s="80" t="n">
        <x:f>C825*W825</x:f>
        <x:v>11.984084538193532</x:v>
      </x:c>
      <x:c r="AH825" s="80" t="n">
        <x:f>2*'Inputs'!$B$8*'Inputs'!$C$46</x:f>
        <x:v>5000</x:v>
      </x:c>
      <x:c r="AI825" s="81" t="n">
        <x:f>IF(AH825&gt;0,(AE825+AF825)/AH825*365,0)</x:f>
        <x:v>0.6927723214175335</x:v>
      </x:c>
      <x:c r="AJ825" s="81" t="n">
        <x:f>IF('Inputs'!$B$46&gt;0,AG825/('Inputs'!$B$19*'Inputs'!$B$46)*365,0)</x:f>
        <x:v>0.4374190856440639</x:v>
      </x:c>
      <x:c r="AK825" s="81" t="n">
        <x:f>W825/MAX($W$734:W825)-1</x:f>
        <x:v>-0.9791574151768159</x:v>
      </x:c>
      <x:c r="AL825" s="83" t="n">
        <x:f>'Inputs'!$B$46</x:f>
        <x:v>1</x:v>
      </x:c>
      <x:c r="AM825" s="83" t="n">
        <x:f>'Inputs'!$C$46</x:f>
        <x:v>1</x:v>
      </x:c>
      <x:c r="AN825" s="83" t="n">
        <x:f>'Inputs'!$D$46</x:f>
        <x:v>1</x:v>
      </x:c>
      <x:c r="AO825" s="81" t="n">
        <x:f>'Inputs'!$E$46</x:f>
        <x:v>0</x:v>
      </x:c>
    </x:row>
    <x:row r="826">
      <x:c r="A826" s="59" t="str">
        <x:v>Base</x:v>
      </x:c>
      <x:c r="B826" s="59" t="n">
        <x:v>93</x:v>
      </x:c>
      <x:c r="C826" s="78" t="n">
        <x:f>(('Inputs'!$B$29*(3*93*'Inputs'!$B$12-93^2)/(2*'Inputs'!$B$12^2))-('Inputs'!$B$29*(3*92*'Inputs'!$B$12-92^2)/(2*'Inputs'!$B$12^2)))*'Inputs'!$B$46</x:f>
        <x:v>681913.8206042424</x:v>
      </x:c>
      <x:c r="D826" s="78" t="n">
        <x:f>IF('Inputs'!$C$46&gt;0,('Inputs'!$B$30*(3*93*'Inputs'!$B$12-93^2)/(2*'Inputs'!$B$12^2))-('Inputs'!$B$30*(3*92*'Inputs'!$B$12-92^2)/(2*'Inputs'!$B$12^2)),0)</x:f>
        <x:v>292248.780258961</x:v>
      </x:c>
      <x:c r="E826" s="78" t="n">
        <x:f>C826+D826</x:f>
        <x:v>974162.6008632034</x:v>
      </x:c>
      <x:c r="F826" s="78" t="n">
        <x:f>'Inputs'!$B$13*E826+(1-'Inputs'!$B$13)/'Inputs'!$B$14*SUM(E771:E826)</x:f>
        <x:v>984380.2777256526</x:v>
      </x:c>
      <x:c r="G826" s="78" t="n">
        <x:f>F826*'Inputs'!$F$46</x:f>
        <x:v>492190.1388628263</x:v>
      </x:c>
      <x:c r="H826" s="78" t="n">
        <x:f>U825</x:f>
        <x:v>40565532.550718084</x:v>
      </x:c>
      <x:c r="I826" s="78" t="n">
        <x:f>V825</x:f>
        <x:v>712.5667432820883</x:v>
      </x:c>
      <x:c r="J826" s="79" t="n">
        <x:f>IF(H826&gt;0,I826/H826,0)</x:f>
        <x:v>0.000017565817542052077</x:v>
      </x:c>
      <x:c r="K826" s="80" t="n">
        <x:f>(H826*J826+I826)*'Inputs'!$D$46*(1+'Inputs'!$G$46)^(B826/30)</x:f>
        <x:v>1425.1334865641766</x:v>
      </x:c>
      <x:c r="L826" s="80" t="n">
        <x:f>MAX(0,K826*'Inputs'!$E$46)</x:f>
        <x:v>0</x:v>
      </x:c>
      <x:c r="M826" s="80" t="n">
        <x:f>MAX(0,-K826*'Inputs'!$E$46)</x:f>
        <x:v>0</x:v>
      </x:c>
      <x:c r="N826" s="78" t="n">
        <x:f>H826*(L826*(1-'Inputs'!$B$15))/(I826+L826*(1-'Inputs'!$B$15))</x:f>
        <x:v>0</x:v>
      </x:c>
      <x:c r="O826" s="78" t="n">
        <x:f>H826-N826</x:f>
        <x:v>40565532.550718084</x:v>
      </x:c>
      <x:c r="P826" s="78" t="n">
        <x:f>I826+L826*(1-'Inputs'!$B$17)</x:f>
        <x:v>712.5667432820883</x:v>
      </x:c>
      <x:c r="Q826" s="78" t="n">
        <x:f>IF(J826&gt;0,M826/J826,0)</x:f>
        <x:v>0</x:v>
      </x:c>
      <x:c r="R826" s="78" t="n">
        <x:f>IF(B826='Inputs'!$H$46,'Inputs'!$B$27*'Inputs'!$I$46,0)</x:f>
        <x:v>0</x:v>
      </x:c>
      <x:c r="S826" s="78" t="n">
        <x:f>Q826+G826+R826</x:f>
        <x:v>492190.1388628263</x:v>
      </x:c>
      <x:c r="T826" s="78" t="n">
        <x:f>P826*(S826*(1-'Inputs'!$B$15))/(O826+S826*(1-'Inputs'!$B$15))</x:f>
        <x:v>8.45767242223479</x:v>
      </x:c>
      <x:c r="U826" s="78" t="n">
        <x:f>O826+S826*(1-'Inputs'!$B$17)</x:f>
        <x:v>41055742.04515893</x:v>
      </x:c>
      <x:c r="V826" s="78" t="n">
        <x:f>P826-T826</x:f>
        <x:v>704.1090708598535</x:v>
      </x:c>
      <x:c r="W826" s="79" t="n">
        <x:f>IF(U826&gt;0,V826/U826,0)</x:f>
        <x:v>0.000017150075380086284</x:v>
      </x:c>
      <x:c r="X826" s="80" t="n">
        <x:f>W826*('Inputs'!$B$6-AC826)</x:f>
        <x:v>17019.428594770652</x:v>
      </x:c>
      <x:c r="Y826" s="80" t="n">
        <x:f>2*V826</x:f>
        <x:v>1408.218141719707</x:v>
      </x:c>
      <x:c r="Z826" s="80" t="n">
        <x:f>K826*'Inputs'!$B$16+(G826+R826)*J826*'Inputs'!$B$16</x:f>
        <x:v>8.60267525243663</x:v>
      </x:c>
      <x:c r="AA826" s="80" t="n">
        <x:f>K826*(1+'Inputs'!$E$46)/2*'Inputs'!$B$17</x:f>
        <x:v>2.867471803952066</x:v>
      </x:c>
      <x:c r="AB826" s="78" t="n">
        <x:f>(IF(J826&gt;0,K826*(1-'Inputs'!$E$46)/2/J826,0)+G826+R826)*'Inputs'!$B$17</x:f>
        <x:v>165222.2241029413</x:v>
      </x:c>
      <x:c r="AC826" s="78" t="n">
        <x:f>AC825+AB826</x:f>
        <x:v>7617854.873532046</x:v>
      </x:c>
      <x:c r="AD826" s="80" t="n">
        <x:f>Z826/(1+'Inputs'!$C$46)</x:f>
        <x:v>4.301337626218315</x:v>
      </x:c>
      <x:c r="AE826" s="80" t="n">
        <x:f>Z826-AD826</x:f>
        <x:v>4.301337626218315</x:v>
      </x:c>
      <x:c r="AF826" s="80" t="n">
        <x:f>D826*W826</x:f>
        <x:v>5.012088611179454</x:v>
      </x:c>
      <x:c r="AG826" s="80" t="n">
        <x:f>C826*W826</x:f>
        <x:v>11.694873426085392</x:v>
      </x:c>
      <x:c r="AH826" s="80" t="n">
        <x:f>2*'Inputs'!$B$8*'Inputs'!$C$46</x:f>
        <x:v>5000</x:v>
      </x:c>
      <x:c r="AI826" s="81" t="n">
        <x:f>IF(AH826&gt;0,(AE826+AF826)/AH826*365,0)</x:f>
        <x:v>0.6798801153300371</x:v>
      </x:c>
      <x:c r="AJ826" s="81" t="n">
        <x:f>IF('Inputs'!$B$46&gt;0,AG826/('Inputs'!$B$19*'Inputs'!$B$46)*365,0)</x:f>
        <x:v>0.4268628800521168</x:v>
      </x:c>
      <x:c r="AK826" s="81" t="n">
        <x:f>W826/MAX($W$734:W826)-1</x:f>
        <x:v>-0.9796507108207335</x:v>
      </x:c>
      <x:c r="AL826" s="83" t="n">
        <x:f>'Inputs'!$B$46</x:f>
        <x:v>1</x:v>
      </x:c>
      <x:c r="AM826" s="83" t="n">
        <x:f>'Inputs'!$C$46</x:f>
        <x:v>1</x:v>
      </x:c>
      <x:c r="AN826" s="83" t="n">
        <x:f>'Inputs'!$D$46</x:f>
        <x:v>1</x:v>
      </x:c>
      <x:c r="AO826" s="81" t="n">
        <x:f>'Inputs'!$E$46</x:f>
        <x:v>0</x:v>
      </x:c>
    </x:row>
    <x:row r="827">
      <x:c r="A827" s="59" t="str">
        <x:v>Base</x:v>
      </x:c>
      <x:c r="B827" s="59" t="n">
        <x:v>94</x:v>
      </x:c>
      <x:c r="C827" s="78" t="n">
        <x:f>(('Inputs'!$B$29*(3*94*'Inputs'!$B$12-94^2)/(2*'Inputs'!$B$12^2))-('Inputs'!$B$29*(3*93*'Inputs'!$B$12-93^2)/(2*'Inputs'!$B$12^2)))*'Inputs'!$B$46</x:f>
        <x:v>681588.7127040699</x:v>
      </x:c>
      <x:c r="D827" s="78" t="n">
        <x:f>IF('Inputs'!$C$46&gt;0,('Inputs'!$B$30*(3*94*'Inputs'!$B$12-94^2)/(2*'Inputs'!$B$12^2))-('Inputs'!$B$30*(3*93*'Inputs'!$B$12-93^2)/(2*'Inputs'!$B$12^2)),0)</x:f>
        <x:v>292109.44830174744</x:v>
      </x:c>
      <x:c r="E827" s="78" t="n">
        <x:f>C827+D827</x:f>
        <x:v>973698.1610058174</x:v>
      </x:c>
      <x:c r="F827" s="78" t="n">
        <x:f>'Inputs'!$B$13*E827+(1-'Inputs'!$B$13)/'Inputs'!$B$14*SUM(E772:E827)</x:f>
        <x:v>983915.8378682681</x:v>
      </x:c>
      <x:c r="G827" s="78" t="n">
        <x:f>F827*'Inputs'!$F$46</x:f>
        <x:v>491957.91893413407</x:v>
      </x:c>
      <x:c r="H827" s="78" t="n">
        <x:f>U826</x:f>
        <x:v>41055742.04515893</x:v>
      </x:c>
      <x:c r="I827" s="78" t="n">
        <x:f>V826</x:f>
        <x:v>704.1090708598535</x:v>
      </x:c>
      <x:c r="J827" s="79" t="n">
        <x:f>IF(H827&gt;0,I827/H827,0)</x:f>
        <x:v>0.000017150075380086284</x:v>
      </x:c>
      <x:c r="K827" s="80" t="n">
        <x:f>(H827*J827+I827)*'Inputs'!$D$46*(1+'Inputs'!$G$46)^(B827/30)</x:f>
        <x:v>1408.218141719707</x:v>
      </x:c>
      <x:c r="L827" s="80" t="n">
        <x:f>MAX(0,K827*'Inputs'!$E$46)</x:f>
        <x:v>0</x:v>
      </x:c>
      <x:c r="M827" s="80" t="n">
        <x:f>MAX(0,-K827*'Inputs'!$E$46)</x:f>
        <x:v>0</x:v>
      </x:c>
      <x:c r="N827" s="78" t="n">
        <x:f>H827*(L827*(1-'Inputs'!$B$15))/(I827+L827*(1-'Inputs'!$B$15))</x:f>
        <x:v>0</x:v>
      </x:c>
      <x:c r="O827" s="78" t="n">
        <x:f>H827-N827</x:f>
        <x:v>41055742.04515893</x:v>
      </x:c>
      <x:c r="P827" s="78" t="n">
        <x:f>I827+L827*(1-'Inputs'!$B$17)</x:f>
        <x:v>704.1090708598535</x:v>
      </x:c>
      <x:c r="Q827" s="78" t="n">
        <x:f>IF(J827&gt;0,M827/J827,0)</x:f>
        <x:v>0</x:v>
      </x:c>
      <x:c r="R827" s="78" t="n">
        <x:f>IF(B827='Inputs'!$H$46,'Inputs'!$B$27*'Inputs'!$I$46,0)</x:f>
        <x:v>0</x:v>
      </x:c>
      <x:c r="S827" s="78" t="n">
        <x:f>Q827+G827+R827</x:f>
        <x:v>491957.91893413407</x:v>
      </x:c>
      <x:c r="T827" s="78" t="n">
        <x:f>P827*(S827*(1-'Inputs'!$B$15))/(O827+S827*(1-'Inputs'!$B$15))</x:f>
        <x:v>8.254818519452028</x:v>
      </x:c>
      <x:c r="U827" s="78" t="n">
        <x:f>O827+S827*(1-'Inputs'!$B$17)</x:f>
        <x:v>41545720.254157715</x:v>
      </x:c>
      <x:c r="V827" s="78" t="n">
        <x:f>P827-T827</x:f>
        <x:v>695.8542523404016</x:v>
      </x:c>
      <x:c r="W827" s="79" t="n">
        <x:f>IF(U827&gt;0,V827/U827,0)</x:f>
        <x:v>0.00001674911995949242</x:v>
      </x:c>
      <x:c r="X827" s="80" t="n">
        <x:f>W827*('Inputs'!$B$6-AC827)</x:f>
        <x:v>16618.72724262815</x:v>
      </x:c>
      <x:c r="Y827" s="80" t="n">
        <x:f>2*V827</x:f>
        <x:v>1391.7085046808031</x:v>
      </x:c>
      <x:c r="Z827" s="80" t="n">
        <x:f>K827*'Inputs'!$B$16+(G827+R827)*J827*'Inputs'!$B$16</x:f>
        <x:v>8.499931542679548</x:v>
      </x:c>
      <x:c r="AA827" s="80" t="n">
        <x:f>K827*(1+'Inputs'!$E$46)/2*'Inputs'!$B$17</x:f>
        <x:v>2.833436904868626</x:v>
      </x:c>
      <x:c r="AB827" s="78" t="n">
        <x:f>(IF(J827&gt;0,K827*(1-'Inputs'!$E$46)/2/J827,0)+G827+R827)*'Inputs'!$B$17</x:f>
        <x:v>167193.96363820153</x:v>
      </x:c>
      <x:c r="AC827" s="78" t="n">
        <x:f>AC826+AB827</x:f>
        <x:v>7785048.837170247</x:v>
      </x:c>
      <x:c r="AD827" s="80" t="n">
        <x:f>Z827/(1+'Inputs'!$C$46)</x:f>
        <x:v>4.249965771339774</x:v>
      </x:c>
      <x:c r="AE827" s="80" t="n">
        <x:f>Z827-AD827</x:f>
        <x:v>4.249965771339774</x:v>
      </x:c>
      <x:c r="AF827" s="80" t="n">
        <x:f>D827*W827</x:f>
        <x:v>4.892576190907118</x:v>
      </x:c>
      <x:c r="AG827" s="80" t="n">
        <x:f>C827*W827</x:f>
        <x:v>11.416011112116482</x:v>
      </x:c>
      <x:c r="AH827" s="80" t="n">
        <x:f>2*'Inputs'!$B$8*'Inputs'!$C$46</x:f>
        <x:v>5000</x:v>
      </x:c>
      <x:c r="AI827" s="81" t="n">
        <x:f>IF(AH827&gt;0,(AE827+AF827)/AH827*365,0)</x:f>
        <x:v>0.6674055632440231</x:v>
      </x:c>
      <x:c r="AJ827" s="81" t="n">
        <x:f>IF('Inputs'!$B$46&gt;0,AG827/('Inputs'!$B$19*'Inputs'!$B$46)*365,0)</x:f>
        <x:v>0.4166844055922516</x:v>
      </x:c>
      <x:c r="AK827" s="81" t="n">
        <x:f>W827/MAX($W$734:W827)-1</x:f>
        <x:v>-0.9801264613711441</x:v>
      </x:c>
      <x:c r="AL827" s="83" t="n">
        <x:f>'Inputs'!$B$46</x:f>
        <x:v>1</x:v>
      </x:c>
      <x:c r="AM827" s="83" t="n">
        <x:f>'Inputs'!$C$46</x:f>
        <x:v>1</x:v>
      </x:c>
      <x:c r="AN827" s="83" t="n">
        <x:f>'Inputs'!$D$46</x:f>
        <x:v>1</x:v>
      </x:c>
      <x:c r="AO827" s="81" t="n">
        <x:f>'Inputs'!$E$46</x:f>
        <x:v>0</x:v>
      </x:c>
    </x:row>
    <x:row r="828">
      <x:c r="A828" s="59" t="str">
        <x:v>Base</x:v>
      </x:c>
      <x:c r="B828" s="59" t="n">
        <x:v>95</x:v>
      </x:c>
      <x:c r="C828" s="78" t="n">
        <x:f>(('Inputs'!$B$29*(3*95*'Inputs'!$B$12-95^2)/(2*'Inputs'!$B$12^2))-('Inputs'!$B$29*(3*94*'Inputs'!$B$12-94^2)/(2*'Inputs'!$B$12^2)))*'Inputs'!$B$46</x:f>
        <x:v>681263.6048039049</x:v>
      </x:c>
      <x:c r="D828" s="78" t="n">
        <x:f>IF('Inputs'!$C$46&gt;0,('Inputs'!$B$30*(3*95*'Inputs'!$B$12-95^2)/(2*'Inputs'!$B$12^2))-('Inputs'!$B$30*(3*94*'Inputs'!$B$12-94^2)/(2*'Inputs'!$B$12^2)),0)</x:f>
        <x:v>291970.11634453014</x:v>
      </x:c>
      <x:c r="E828" s="78" t="n">
        <x:f>C828+D828</x:f>
        <x:v>973233.721148435</x:v>
      </x:c>
      <x:c r="F828" s="78" t="n">
        <x:f>'Inputs'!$B$13*E828+(1-'Inputs'!$B$13)/'Inputs'!$B$14*SUM(E773:E828)</x:f>
        <x:v>983451.3980108844</x:v>
      </x:c>
      <x:c r="G828" s="78" t="n">
        <x:f>F828*'Inputs'!$F$46</x:f>
        <x:v>491725.6990054422</x:v>
      </x:c>
      <x:c r="H828" s="78" t="n">
        <x:f>U827</x:f>
        <x:v>41545720.254157715</x:v>
      </x:c>
      <x:c r="I828" s="78" t="n">
        <x:f>V827</x:f>
        <x:v>695.8542523404016</x:v>
      </x:c>
      <x:c r="J828" s="79" t="n">
        <x:f>IF(H828&gt;0,I828/H828,0)</x:f>
        <x:v>0.00001674911995949242</x:v>
      </x:c>
      <x:c r="K828" s="80" t="n">
        <x:f>(H828*J828+I828)*'Inputs'!$D$46*(1+'Inputs'!$G$46)^(B828/30)</x:f>
        <x:v>1391.7085046808031</x:v>
      </x:c>
      <x:c r="L828" s="80" t="n">
        <x:f>MAX(0,K828*'Inputs'!$E$46)</x:f>
        <x:v>0</x:v>
      </x:c>
      <x:c r="M828" s="80" t="n">
        <x:f>MAX(0,-K828*'Inputs'!$E$46)</x:f>
        <x:v>0</x:v>
      </x:c>
      <x:c r="N828" s="78" t="n">
        <x:f>H828*(L828*(1-'Inputs'!$B$15))/(I828+L828*(1-'Inputs'!$B$15))</x:f>
        <x:v>0</x:v>
      </x:c>
      <x:c r="O828" s="78" t="n">
        <x:f>H828-N828</x:f>
        <x:v>41545720.254157715</x:v>
      </x:c>
      <x:c r="P828" s="78" t="n">
        <x:f>I828+L828*(1-'Inputs'!$B$17)</x:f>
        <x:v>695.8542523404016</x:v>
      </x:c>
      <x:c r="Q828" s="78" t="n">
        <x:f>IF(J828&gt;0,M828/J828,0)</x:f>
        <x:v>0</x:v>
      </x:c>
      <x:c r="R828" s="78" t="n">
        <x:f>IF(B828='Inputs'!$H$46,'Inputs'!$B$27*'Inputs'!$I$46,0)</x:f>
        <x:v>0</x:v>
      </x:c>
      <x:c r="S828" s="78" t="n">
        <x:f>Q828+G828+R828</x:f>
        <x:v>491725.6990054422</x:v>
      </x:c>
      <x:c r="T828" s="78" t="n">
        <x:f>P828*(S828*(1-'Inputs'!$B$15))/(O828+S828*(1-'Inputs'!$B$15))</x:f>
        <x:v>8.059180233961394</x:v>
      </x:c>
      <x:c r="U828" s="78" t="n">
        <x:f>O828+S828*(1-'Inputs'!$B$17)</x:f>
        <x:v>42035467.177714445</x:v>
      </x:c>
      <x:c r="V828" s="78" t="n">
        <x:f>P828-T828</x:f>
        <x:v>687.7950721064402</x:v>
      </x:c>
      <x:c r="W828" s="79" t="n">
        <x:f>IF(U828&gt;0,V828/U828,0)</x:f>
        <x:v>0.000016362255930179888</x:v>
      </x:c>
      <x:c r="X828" s="80" t="n">
        <x:f>W828*('Inputs'!$B$6-AC828)</x:f>
        <x:v>16232.107051376004</x:v>
      </x:c>
      <x:c r="Y828" s="80" t="n">
        <x:f>2*V828</x:f>
        <x:v>1375.5901442128804</x:v>
      </x:c>
      <x:c r="Z828" s="80" t="n">
        <x:f>K828*'Inputs'!$B$16+(G828+R828)*J828*'Inputs'!$B$16</x:f>
        <x:v>8.399666864403663</x:v>
      </x:c>
      <x:c r="AA828" s="80" t="n">
        <x:f>K828*(1+'Inputs'!$E$46)/2*'Inputs'!$B$17</x:f>
        <x:v>2.80021831927727</x:v>
      </x:c>
      <x:c r="AB828" s="78" t="n">
        <x:f>(IF(J828&gt;0,K828*(1-'Inputs'!$E$46)/2/J828,0)+G828+R828)*'Inputs'!$B$17</x:f>
        <x:v>169164.77244733664</x:v>
      </x:c>
      <x:c r="AC828" s="78" t="n">
        <x:f>AC827+AB828</x:f>
        <x:v>7954213.609617583</x:v>
      </x:c>
      <x:c r="AD828" s="80" t="n">
        <x:f>Z828/(1+'Inputs'!$C$46)</x:f>
        <x:v>4.199833432201832</x:v>
      </x:c>
      <x:c r="AE828" s="80" t="n">
        <x:f>Z828-AD828</x:f>
        <x:v>4.199833432201832</x:v>
      </x:c>
      <x:c r="AF828" s="80" t="n">
        <x:f>D828*W828</x:f>
        <x:v>4.7772897675936</x:v>
      </x:c>
      <x:c r="AG828" s="80" t="n">
        <x:f>C828*W828</x:f>
        <x:v>11.14700945771842</x:v>
      </x:c>
      <x:c r="AH828" s="80" t="n">
        <x:f>2*'Inputs'!$B$8*'Inputs'!$C$46</x:f>
        <x:v>5000</x:v>
      </x:c>
      <x:c r="AI828" s="81" t="n">
        <x:f>IF(AH828&gt;0,(AE828+AF828)/AH828*365,0)</x:f>
        <x:v>0.6553299935850666</x:v>
      </x:c>
      <x:c r="AJ828" s="81" t="n">
        <x:f>IF('Inputs'!$B$46&gt;0,AG828/('Inputs'!$B$19*'Inputs'!$B$46)*365,0)</x:f>
        <x:v>0.40686584520672237</x:v>
      </x:c>
      <x:c r="AK828" s="81" t="n">
        <x:f>W828/MAX($W$734:W828)-1</x:f>
        <x:v>-0.9805854918903147</x:v>
      </x:c>
      <x:c r="AL828" s="83" t="n">
        <x:f>'Inputs'!$B$46</x:f>
        <x:v>1</x:v>
      </x:c>
      <x:c r="AM828" s="83" t="n">
        <x:f>'Inputs'!$C$46</x:f>
        <x:v>1</x:v>
      </x:c>
      <x:c r="AN828" s="83" t="n">
        <x:f>'Inputs'!$D$46</x:f>
        <x:v>1</x:v>
      </x:c>
      <x:c r="AO828" s="81" t="n">
        <x:f>'Inputs'!$E$46</x:f>
        <x:v>0</x:v>
      </x:c>
    </x:row>
    <x:row r="829">
      <x:c r="A829" s="59" t="str">
        <x:v>Base</x:v>
      </x:c>
      <x:c r="B829" s="59" t="n">
        <x:v>96</x:v>
      </x:c>
      <x:c r="C829" s="78" t="n">
        <x:f>(('Inputs'!$B$29*(3*96*'Inputs'!$B$12-96^2)/(2*'Inputs'!$B$12^2))-('Inputs'!$B$29*(3*95*'Inputs'!$B$12-95^2)/(2*'Inputs'!$B$12^2)))*'Inputs'!$B$46</x:f>
        <x:v>680938.4969037324</x:v>
      </x:c>
      <x:c r="D829" s="78" t="n">
        <x:f>IF('Inputs'!$C$46&gt;0,('Inputs'!$B$30*(3*96*'Inputs'!$B$12-96^2)/(2*'Inputs'!$B$12^2))-('Inputs'!$B$30*(3*95*'Inputs'!$B$12-95^2)/(2*'Inputs'!$B$12^2)),0)</x:f>
        <x:v>291830.78438731283</x:v>
      </x:c>
      <x:c r="E829" s="78" t="n">
        <x:f>C829+D829</x:f>
        <x:v>972769.2812910452</x:v>
      </x:c>
      <x:c r="F829" s="78" t="n">
        <x:f>'Inputs'!$B$13*E829+(1-'Inputs'!$B$13)/'Inputs'!$B$14*SUM(E774:E829)</x:f>
        <x:v>982986.9581534993</x:v>
      </x:c>
      <x:c r="G829" s="78" t="n">
        <x:f>F829*'Inputs'!$F$46</x:f>
        <x:v>491493.47907674965</x:v>
      </x:c>
      <x:c r="H829" s="78" t="n">
        <x:f>U828</x:f>
        <x:v>42035467.177714445</x:v>
      </x:c>
      <x:c r="I829" s="78" t="n">
        <x:f>V828</x:f>
        <x:v>687.7950721064402</x:v>
      </x:c>
      <x:c r="J829" s="79" t="n">
        <x:f>IF(H829&gt;0,I829/H829,0)</x:f>
        <x:v>0.000016362255930179888</x:v>
      </x:c>
      <x:c r="K829" s="80" t="n">
        <x:f>(H829*J829+I829)*'Inputs'!$D$46*(1+'Inputs'!$G$46)^(B829/30)</x:f>
        <x:v>1375.5901442128804</x:v>
      </x:c>
      <x:c r="L829" s="80" t="n">
        <x:f>MAX(0,K829*'Inputs'!$E$46)</x:f>
        <x:v>0</x:v>
      </x:c>
      <x:c r="M829" s="80" t="n">
        <x:f>MAX(0,-K829*'Inputs'!$E$46)</x:f>
        <x:v>0</x:v>
      </x:c>
      <x:c r="N829" s="78" t="n">
        <x:f>H829*(L829*(1-'Inputs'!$B$15))/(I829+L829*(1-'Inputs'!$B$15))</x:f>
        <x:v>0</x:v>
      </x:c>
      <x:c r="O829" s="78" t="n">
        <x:f>H829-N829</x:f>
        <x:v>42035467.177714445</x:v>
      </x:c>
      <x:c r="P829" s="78" t="n">
        <x:f>I829+L829*(1-'Inputs'!$B$17)</x:f>
        <x:v>687.7950721064402</x:v>
      </x:c>
      <x:c r="Q829" s="78" t="n">
        <x:f>IF(J829&gt;0,M829/J829,0)</x:f>
        <x:v>0</x:v>
      </x:c>
      <x:c r="R829" s="78" t="n">
        <x:f>IF(B829='Inputs'!$H$46,'Inputs'!$B$27*'Inputs'!$I$46,0)</x:f>
        <x:v>0</x:v>
      </x:c>
      <x:c r="S829" s="78" t="n">
        <x:f>Q829+G829+R829</x:f>
        <x:v>491493.47907674965</x:v>
      </x:c>
      <x:c r="T829" s="78" t="n">
        <x:f>P829*(S829*(1-'Inputs'!$B$15))/(O829+S829*(1-'Inputs'!$B$15))</x:f>
        <x:v>7.870419197152389</x:v>
      </x:c>
      <x:c r="U829" s="78" t="n">
        <x:f>O829+S829*(1-'Inputs'!$B$17)</x:f>
        <x:v>42524982.81582911</x:v>
      </x:c>
      <x:c r="V829" s="78" t="n">
        <x:f>P829-T829</x:f>
        <x:v>679.9246529092878</x:v>
      </x:c>
      <x:c r="W829" s="79" t="n">
        <x:f>IF(U829&gt;0,V829/U829,0)</x:f>
        <x:v>0.000015988828398919398</x:v>
      </x:c>
      <x:c r="X829" s="80" t="n">
        <x:f>W829*('Inputs'!$B$6-AC829)</x:f>
        <x:v>15858.913599906435</x:v>
      </x:c>
      <x:c r="Y829" s="80" t="n">
        <x:f>2*V829</x:f>
        <x:v>1359.8493058185757</x:v>
      </x:c>
      <x:c r="Z829" s="80" t="n">
        <x:f>K829*'Inputs'!$B$16+(G829+R829)*J829*'Inputs'!$B$16</x:f>
        <x:v>8.301792517833292</x:v>
      </x:c>
      <x:c r="AA829" s="80" t="n">
        <x:f>K829*(1+'Inputs'!$E$46)/2*'Inputs'!$B$17</x:f>
        <x:v>2.7677870104886932</x:v>
      </x:c>
      <x:c r="AB829" s="78" t="n">
        <x:f>(IF(J829&gt;0,K829*(1-'Inputs'!$E$46)/2/J829,0)+G829+R829)*'Inputs'!$B$17</x:f>
        <x:v>171134.65053034687</x:v>
      </x:c>
      <x:c r="AC829" s="78" t="n">
        <x:f>AC828+AB829</x:f>
        <x:v>8125348.26014793</x:v>
      </x:c>
      <x:c r="AD829" s="80" t="n">
        <x:f>Z829/(1+'Inputs'!$C$46)</x:f>
        <x:v>4.150896258916646</x:v>
      </x:c>
      <x:c r="AE829" s="80" t="n">
        <x:f>Z829-AD829</x:f>
        <x:v>4.150896258916646</x:v>
      </x:c>
      <x:c r="AF829" s="80" t="n">
        <x:f>D829*W829</x:f>
        <x:v>4.666032333090791</x:v>
      </x:c>
      <x:c r="AG829" s="80" t="n">
        <x:f>C829*W829</x:f>
        <x:v>10.887408777211885</x:v>
      </x:c>
      <x:c r="AH829" s="80" t="n">
        <x:f>2*'Inputs'!$B$8*'Inputs'!$C$46</x:f>
        <x:v>5000</x:v>
      </x:c>
      <x:c r="AI829" s="81" t="n">
        <x:f>IF(AH829&gt;0,(AE829+AF829)/AH829*365,0)</x:f>
        <x:v>0.6436357872165428</x:v>
      </x:c>
      <x:c r="AJ829" s="81" t="n">
        <x:f>IF('Inputs'!$B$46&gt;0,AG829/('Inputs'!$B$19*'Inputs'!$B$46)*365,0)</x:f>
        <x:v>0.3973904203682338</x:v>
      </x:c>
      <x:c r="AK829" s="81" t="n">
        <x:f>W829/MAX($W$734:W829)-1</x:f>
        <x:v>-0.981028579436737</x:v>
      </x:c>
      <x:c r="AL829" s="83" t="n">
        <x:f>'Inputs'!$B$46</x:f>
        <x:v>1</x:v>
      </x:c>
      <x:c r="AM829" s="83" t="n">
        <x:f>'Inputs'!$C$46</x:f>
        <x:v>1</x:v>
      </x:c>
      <x:c r="AN829" s="83" t="n">
        <x:f>'Inputs'!$D$46</x:f>
        <x:v>1</x:v>
      </x:c>
      <x:c r="AO829" s="81" t="n">
        <x:f>'Inputs'!$E$46</x:f>
        <x:v>0</x:v>
      </x:c>
    </x:row>
    <x:row r="830">
      <x:c r="A830" s="59" t="str">
        <x:v>Base</x:v>
      </x:c>
      <x:c r="B830" s="59" t="n">
        <x:v>97</x:v>
      </x:c>
      <x:c r="C830" s="78" t="n">
        <x:f>(('Inputs'!$B$29*(3*97*'Inputs'!$B$12-97^2)/(2*'Inputs'!$B$12^2))-('Inputs'!$B$29*(3*96*'Inputs'!$B$12-96^2)/(2*'Inputs'!$B$12^2)))*'Inputs'!$B$46</x:f>
        <x:v>680613.38900356</x:v>
      </x:c>
      <x:c r="D830" s="78" t="n">
        <x:f>IF('Inputs'!$C$46&gt;0,('Inputs'!$B$30*(3*97*'Inputs'!$B$12-97^2)/(2*'Inputs'!$B$12^2))-('Inputs'!$B$30*(3*96*'Inputs'!$B$12-96^2)/(2*'Inputs'!$B$12^2)),0)</x:f>
        <x:v>291691.45243009925</x:v>
      </x:c>
      <x:c r="E830" s="78" t="n">
        <x:f>C830+D830</x:f>
        <x:v>972304.8414336592</x:v>
      </x:c>
      <x:c r="F830" s="78" t="n">
        <x:f>'Inputs'!$B$13*E830+(1-'Inputs'!$B$13)/'Inputs'!$B$14*SUM(E775:E830)</x:f>
        <x:v>982522.5182961144</x:v>
      </x:c>
      <x:c r="G830" s="78" t="n">
        <x:f>F830*'Inputs'!$F$46</x:f>
        <x:v>491261.2591480572</x:v>
      </x:c>
      <x:c r="H830" s="78" t="n">
        <x:f>U829</x:f>
        <x:v>42524982.81582911</x:v>
      </x:c>
      <x:c r="I830" s="78" t="n">
        <x:f>V829</x:f>
        <x:v>679.9246529092878</x:v>
      </x:c>
      <x:c r="J830" s="79" t="n">
        <x:f>IF(H830&gt;0,I830/H830,0)</x:f>
        <x:v>0.000015988828398919398</x:v>
      </x:c>
      <x:c r="K830" s="80" t="n">
        <x:f>(H830*J830+I830)*'Inputs'!$D$46*(1+'Inputs'!$G$46)^(B830/30)</x:f>
        <x:v>1359.8493058185759</x:v>
      </x:c>
      <x:c r="L830" s="80" t="n">
        <x:f>MAX(0,K830*'Inputs'!$E$46)</x:f>
        <x:v>0</x:v>
      </x:c>
      <x:c r="M830" s="80" t="n">
        <x:f>MAX(0,-K830*'Inputs'!$E$46)</x:f>
        <x:v>0</x:v>
      </x:c>
      <x:c r="N830" s="78" t="n">
        <x:f>H830*(L830*(1-'Inputs'!$B$15))/(I830+L830*(1-'Inputs'!$B$15))</x:f>
        <x:v>0</x:v>
      </x:c>
      <x:c r="O830" s="78" t="n">
        <x:f>H830-N830</x:f>
        <x:v>42524982.81582911</x:v>
      </x:c>
      <x:c r="P830" s="78" t="n">
        <x:f>I830+L830*(1-'Inputs'!$B$17)</x:f>
        <x:v>679.9246529092878</x:v>
      </x:c>
      <x:c r="Q830" s="78" t="n">
        <x:f>IF(J830&gt;0,M830/J830,0)</x:f>
        <x:v>0</x:v>
      </x:c>
      <x:c r="R830" s="78" t="n">
        <x:f>IF(B830='Inputs'!$H$46,'Inputs'!$B$27*'Inputs'!$I$46,0)</x:f>
        <x:v>0</x:v>
      </x:c>
      <x:c r="S830" s="78" t="n">
        <x:f>Q830+G830+R830</x:f>
        <x:v>491261.2591480572</x:v>
      </x:c>
      <x:c r="T830" s="78" t="n">
        <x:f>P830*(S830*(1-'Inputs'!$B$15))/(O830+S830*(1-'Inputs'!$B$15))</x:f>
        <x:v>7.688216650351063</x:v>
      </x:c>
      <x:c r="U830" s="78" t="n">
        <x:f>O830+S830*(1-'Inputs'!$B$17)</x:f>
        <x:v>43014267.16850173</x:v>
      </x:c>
      <x:c r="V830" s="78" t="n">
        <x:f>P830-T830</x:f>
        <x:v>672.2364362589368</x:v>
      </x:c>
      <x:c r="W830" s="79" t="n">
        <x:f>IF(U830&gt;0,V830/U830,0)</x:f>
        <x:v>0.000015628220135090403</x:v>
      </x:c>
      <x:c r="X830" s="80" t="n">
        <x:f>W830*('Inputs'!$B$6-AC830)</x:f>
        <x:v>15498.53010267258</x:v>
      </x:c>
      <x:c r="Y830" s="80" t="n">
        <x:f>2*V830</x:f>
        <x:v>1344.4728725178736</x:v>
      </x:c>
      <x:c r="Z830" s="80" t="n">
        <x:f>K830*'Inputs'!$B$16+(G830+R830)*J830*'Inputs'!$B$16</x:f>
        <x:v>8.206223986740788</x:v>
      </x:c>
      <x:c r="AA830" s="80" t="n">
        <x:f>K830*(1+'Inputs'!$E$46)/2*'Inputs'!$B$17</x:f>
        <x:v>2.7361153034578996</x:v>
      </x:c>
      <x:c r="AB830" s="78" t="n">
        <x:f>(IF(J830&gt;0,K830*(1-'Inputs'!$E$46)/2/J830,0)+G830+R830)*'Inputs'!$B$17</x:f>
        <x:v>173103.59788723208</x:v>
      </x:c>
      <x:c r="AC830" s="78" t="n">
        <x:f>AC829+AB830</x:f>
        <x:v>8298451.858035162</x:v>
      </x:c>
      <x:c r="AD830" s="80" t="n">
        <x:f>Z830/(1+'Inputs'!$C$46)</x:f>
        <x:v>4.103111993370394</x:v>
      </x:c>
      <x:c r="AE830" s="80" t="n">
        <x:f>Z830-AD830</x:f>
        <x:v>4.103111993370394</x:v>
      </x:c>
      <x:c r="AF830" s="80" t="n">
        <x:f>D830*W830</x:f>
        <x:v>4.558618230101842</x:v>
      </x:c>
      <x:c r="AG830" s="80" t="n">
        <x:f>C830*W830</x:f>
        <x:v>10.636775870237553</x:v>
      </x:c>
      <x:c r="AH830" s="80" t="n">
        <x:f>2*'Inputs'!$B$8*'Inputs'!$C$46</x:f>
        <x:v>5000</x:v>
      </x:c>
      <x:c r="AI830" s="81" t="n">
        <x:f>IF(AH830&gt;0,(AE830+AF830)/AH830*365,0)</x:f>
        <x:v>0.6323063063134733</x:v>
      </x:c>
      <x:c r="AJ830" s="81" t="n">
        <x:f>IF('Inputs'!$B$46&gt;0,AG830/('Inputs'!$B$19*'Inputs'!$B$46)*365,0)</x:f>
        <x:v>0.3882423192636707</x:v>
      </x:c>
      <x:c r="AK830" s="81" t="n">
        <x:f>W830/MAX($W$734:W830)-1</x:f>
        <x:v>-0.9814564563806256</x:v>
      </x:c>
      <x:c r="AL830" s="83" t="n">
        <x:f>'Inputs'!$B$46</x:f>
        <x:v>1</x:v>
      </x:c>
      <x:c r="AM830" s="83" t="n">
        <x:f>'Inputs'!$C$46</x:f>
        <x:v>1</x:v>
      </x:c>
      <x:c r="AN830" s="83" t="n">
        <x:f>'Inputs'!$D$46</x:f>
        <x:v>1</x:v>
      </x:c>
      <x:c r="AO830" s="81" t="n">
        <x:f>'Inputs'!$E$46</x:f>
        <x:v>0</x:v>
      </x:c>
    </x:row>
    <x:row r="831">
      <x:c r="A831" s="59" t="str">
        <x:v>Base</x:v>
      </x:c>
      <x:c r="B831" s="59" t="n">
        <x:v>98</x:v>
      </x:c>
      <x:c r="C831" s="78" t="n">
        <x:f>(('Inputs'!$B$29*(3*98*'Inputs'!$B$12-98^2)/(2*'Inputs'!$B$12^2))-('Inputs'!$B$29*(3*97*'Inputs'!$B$12-97^2)/(2*'Inputs'!$B$12^2)))*'Inputs'!$B$46</x:f>
        <x:v>680288.2811034024</x:v>
      </x:c>
      <x:c r="D831" s="78" t="n">
        <x:f>IF('Inputs'!$C$46&gt;0,('Inputs'!$B$30*(3*98*'Inputs'!$B$12-98^2)/(2*'Inputs'!$B$12^2))-('Inputs'!$B$30*(3*97*'Inputs'!$B$12-97^2)/(2*'Inputs'!$B$12^2)),0)</x:f>
        <x:v>291552.12047288567</x:v>
      </x:c>
      <x:c r="E831" s="78" t="n">
        <x:f>C831+D831</x:f>
        <x:v>971840.401576288</x:v>
      </x:c>
      <x:c r="F831" s="78" t="n">
        <x:f>'Inputs'!$B$13*E831+(1-'Inputs'!$B$13)/'Inputs'!$B$14*SUM(E776:E831)</x:f>
        <x:v>982058.078438733</x:v>
      </x:c>
      <x:c r="G831" s="78" t="n">
        <x:f>F831*'Inputs'!$F$46</x:f>
        <x:v>491029.0392193665</x:v>
      </x:c>
      <x:c r="H831" s="78" t="n">
        <x:f>U830</x:f>
        <x:v>43014267.16850173</x:v>
      </x:c>
      <x:c r="I831" s="78" t="n">
        <x:f>V830</x:f>
        <x:v>672.2364362589368</x:v>
      </x:c>
      <x:c r="J831" s="79" t="n">
        <x:f>IF(H831&gt;0,I831/H831,0)</x:f>
        <x:v>0.000015628220135090403</x:v>
      </x:c>
      <x:c r="K831" s="80" t="n">
        <x:f>(H831*J831+I831)*'Inputs'!$D$46*(1+'Inputs'!$G$46)^(B831/30)</x:f>
        <x:v>1344.4728725178736</x:v>
      </x:c>
      <x:c r="L831" s="80" t="n">
        <x:f>MAX(0,K831*'Inputs'!$E$46)</x:f>
        <x:v>0</x:v>
      </x:c>
      <x:c r="M831" s="80" t="n">
        <x:f>MAX(0,-K831*'Inputs'!$E$46)</x:f>
        <x:v>0</x:v>
      </x:c>
      <x:c r="N831" s="78" t="n">
        <x:f>H831*(L831*(1-'Inputs'!$B$15))/(I831+L831*(1-'Inputs'!$B$15))</x:f>
        <x:v>0</x:v>
      </x:c>
      <x:c r="O831" s="78" t="n">
        <x:f>H831-N831</x:f>
        <x:v>43014267.16850173</x:v>
      </x:c>
      <x:c r="P831" s="78" t="n">
        <x:f>I831+L831*(1-'Inputs'!$B$17)</x:f>
        <x:v>672.2364362589368</x:v>
      </x:c>
      <x:c r="Q831" s="78" t="n">
        <x:f>IF(J831&gt;0,M831/J831,0)</x:f>
        <x:v>0</x:v>
      </x:c>
      <x:c r="R831" s="78" t="n">
        <x:f>IF(B831='Inputs'!$H$46,'Inputs'!$B$27*'Inputs'!$I$46,0)</x:f>
        <x:v>0</x:v>
      </x:c>
      <x:c r="S831" s="78" t="n">
        <x:f>Q831+G831+R831</x:f>
        <x:v>491029.0392193665</x:v>
      </x:c>
      <x:c r="T831" s="78" t="n">
        <x:f>P831*(S831*(1-'Inputs'!$B$15))/(O831+S831*(1-'Inputs'!$B$15))</x:f>
        <x:v>7.51227209641955</x:v>
      </x:c>
      <x:c r="U831" s="78" t="n">
        <x:f>O831+S831*(1-'Inputs'!$B$17)</x:f>
        <x:v>43503320.23573229</x:v>
      </x:c>
      <x:c r="V831" s="78" t="n">
        <x:f>P831-T831</x:f>
        <x:v>664.7241641625172</x:v>
      </x:c>
      <x:c r="W831" s="79" t="n">
        <x:f>IF(U831&gt;0,V831/U831,0)</x:f>
        <x:v>0.000015279848999123825</x:v>
      </x:c>
      <x:c r="X831" s="80" t="n">
        <x:f>W831*('Inputs'!$B$6-AC831)</x:f>
        <x:v>15150.374839972683</x:v>
      </x:c>
      <x:c r="Y831" s="80" t="n">
        <x:f>2*V831</x:f>
        <x:v>1329.4483283250345</x:v>
      </x:c>
      <x:c r="Z831" s="80" t="n">
        <x:f>K831*'Inputs'!$B$16+(G831+R831)*J831*'Inputs'!$B$16</x:f>
        <x:v>8.112880694613095</x:v>
      </x:c>
      <x:c r="AA831" s="80" t="n">
        <x:f>K831*(1+'Inputs'!$E$46)/2*'Inputs'!$B$17</x:f>
        <x:v>2.7051768058709733</x:v>
      </x:c>
      <x:c r="AB831" s="78" t="n">
        <x:f>(IF(J831&gt;0,K831*(1-'Inputs'!$E$46)/2/J831,0)+G831+R831)*'Inputs'!$B$17</x:f>
        <x:v>175071.61451799233</x:v>
      </x:c>
      <x:c r="AC831" s="78" t="n">
        <x:f>AC830+AB831</x:f>
        <x:v>8473523.472553154</x:v>
      </x:c>
      <x:c r="AD831" s="80" t="n">
        <x:f>Z831/(1+'Inputs'!$C$46)</x:f>
        <x:v>4.056440347306547</x:v>
      </x:c>
      <x:c r="AE831" s="80" t="n">
        <x:f>Z831-AD831</x:f>
        <x:v>4.056440347306547</x:v>
      </x:c>
      <x:c r="AF831" s="80" t="n">
        <x:f>D831*W831</x:f>
        <x:v>4.454872376200051</x:v>
      </x:c>
      <x:c r="AG831" s="80" t="n">
        <x:f>C831*W831</x:f>
        <x:v>10.39470221113349</x:v>
      </x:c>
      <x:c r="AH831" s="80" t="n">
        <x:f>2*'Inputs'!$B$8*'Inputs'!$C$46</x:f>
        <x:v>5000</x:v>
      </x:c>
      <x:c r="AI831" s="81" t="n">
        <x:f>IF(AH831&gt;0,(AE831+AF831)/AH831*365,0)</x:f>
        <x:v>0.6213258288159818</x:v>
      </x:c>
      <x:c r="AJ831" s="81" t="n">
        <x:f>IF('Inputs'!$B$46&gt;0,AG831/('Inputs'!$B$19*'Inputs'!$B$46)*365,0)</x:f>
        <x:v>0.37940663070637237</x:v>
      </x:c>
      <x:c r="AK831" s="81" t="n">
        <x:f>W831/MAX($W$734:W831)-1</x:f>
        <x:v>-0.9818698134551795</x:v>
      </x:c>
      <x:c r="AL831" s="83" t="n">
        <x:f>'Inputs'!$B$46</x:f>
        <x:v>1</x:v>
      </x:c>
      <x:c r="AM831" s="83" t="n">
        <x:f>'Inputs'!$C$46</x:f>
        <x:v>1</x:v>
      </x:c>
      <x:c r="AN831" s="83" t="n">
        <x:f>'Inputs'!$D$46</x:f>
        <x:v>1</x:v>
      </x:c>
      <x:c r="AO831" s="81" t="n">
        <x:f>'Inputs'!$E$46</x:f>
        <x:v>0</x:v>
      </x:c>
    </x:row>
    <x:row r="832">
      <x:c r="A832" s="59" t="str">
        <x:v>Base</x:v>
      </x:c>
      <x:c r="B832" s="59" t="n">
        <x:v>99</x:v>
      </x:c>
      <x:c r="C832" s="78" t="n">
        <x:f>(('Inputs'!$B$29*(3*99*'Inputs'!$B$12-99^2)/(2*'Inputs'!$B$12^2))-('Inputs'!$B$29*(3*98*'Inputs'!$B$12-98^2)/(2*'Inputs'!$B$12^2)))*'Inputs'!$B$46</x:f>
        <x:v>679963.1732032299</x:v>
      </x:c>
      <x:c r="D832" s="78" t="n">
        <x:f>IF('Inputs'!$C$46&gt;0,('Inputs'!$B$30*(3*99*'Inputs'!$B$12-99^2)/(2*'Inputs'!$B$12^2))-('Inputs'!$B$30*(3*98*'Inputs'!$B$12-98^2)/(2*'Inputs'!$B$12^2)),0)</x:f>
        <x:v>291412.78851566836</x:v>
      </x:c>
      <x:c r="E832" s="78" t="n">
        <x:f>C832+D832</x:f>
        <x:v>971375.9617188983</x:v>
      </x:c>
      <x:c r="F832" s="78" t="n">
        <x:f>'Inputs'!$B$13*E832+(1-'Inputs'!$B$13)/'Inputs'!$B$14*SUM(E777:E832)</x:f>
        <x:v>981593.6385813479</x:v>
      </x:c>
      <x:c r="G832" s="78" t="n">
        <x:f>F832*'Inputs'!$F$46</x:f>
        <x:v>490796.81929067394</x:v>
      </x:c>
      <x:c r="H832" s="78" t="n">
        <x:f>U831</x:f>
        <x:v>43503320.23573229</x:v>
      </x:c>
      <x:c r="I832" s="78" t="n">
        <x:f>V831</x:f>
        <x:v>664.7241641625172</x:v>
      </x:c>
      <x:c r="J832" s="79" t="n">
        <x:f>IF(H832&gt;0,I832/H832,0)</x:f>
        <x:v>0.000015279848999123825</x:v>
      </x:c>
      <x:c r="K832" s="80" t="n">
        <x:f>(H832*J832+I832)*'Inputs'!$D$46*(1+'Inputs'!$G$46)^(B832/30)</x:f>
        <x:v>1329.4483283250345</x:v>
      </x:c>
      <x:c r="L832" s="80" t="n">
        <x:f>MAX(0,K832*'Inputs'!$E$46)</x:f>
        <x:v>0</x:v>
      </x:c>
      <x:c r="M832" s="80" t="n">
        <x:f>MAX(0,-K832*'Inputs'!$E$46)</x:f>
        <x:v>0</x:v>
      </x:c>
      <x:c r="N832" s="78" t="n">
        <x:f>H832*(L832*(1-'Inputs'!$B$15))/(I832+L832*(1-'Inputs'!$B$15))</x:f>
        <x:v>0</x:v>
      </x:c>
      <x:c r="O832" s="78" t="n">
        <x:f>H832-N832</x:f>
        <x:v>43503320.23573229</x:v>
      </x:c>
      <x:c r="P832" s="78" t="n">
        <x:f>I832+L832*(1-'Inputs'!$B$17)</x:f>
        <x:v>664.7241641625172</x:v>
      </x:c>
      <x:c r="Q832" s="78" t="n">
        <x:f>IF(J832&gt;0,M832/J832,0)</x:f>
        <x:v>0</x:v>
      </x:c>
      <x:c r="R832" s="78" t="n">
        <x:f>IF(B832='Inputs'!$H$46,'Inputs'!$B$27*'Inputs'!$I$46,0)</x:f>
        <x:v>0</x:v>
      </x:c>
      <x:c r="S832" s="78" t="n">
        <x:f>Q832+G832+R832</x:f>
        <x:v>490796.81929067394</x:v>
      </x:c>
      <x:c r="T832" s="78" t="n">
        <x:f>P832*(S832*(1-'Inputs'!$B$15))/(O832+S832*(1-'Inputs'!$B$15))</x:f>
        <x:v>7.342302058314269</x:v>
      </x:c>
      <x:c r="U832" s="78" t="n">
        <x:f>O832+S832*(1-'Inputs'!$B$17)</x:f>
        <x:v>43992142.017520785</x:v>
      </x:c>
      <x:c r="V832" s="78" t="n">
        <x:f>P832-T832</x:f>
        <x:v>657.3818621042029</x:v>
      </x:c>
      <x:c r="W832" s="79" t="n">
        <x:f>IF(U832&gt;0,V832/U832,0)</x:f>
        <x:v>0.00001494316557357873</x:v>
      </x:c>
      <x:c r="X832" s="80" t="n">
        <x:f>W832*('Inputs'!$B$6-AC832)</x:f>
        <x:v>14813.898790723417</x:v>
      </x:c>
      <x:c r="Y832" s="80" t="n">
        <x:f>2*V832</x:f>
        <x:v>1314.7637242084058</x:v>
      </x:c>
      <x:c r="Z832" s="80" t="n">
        <x:f>K832*'Inputs'!$B$16+(G832+R832)*J832*'Inputs'!$B$16</x:f>
        <x:v>8.021685777678277</x:v>
      </x:c>
      <x:c r="AA832" s="80" t="n">
        <x:f>K832*(1+'Inputs'!$E$46)/2*'Inputs'!$B$17</x:f>
        <x:v>2.674946334658017</x:v>
      </x:c>
      <x:c r="AB832" s="78" t="n">
        <x:f>(IF(J832&gt;0,K832*(1-'Inputs'!$E$46)/2/J832,0)+G832+R832)*'Inputs'!$B$17</x:f>
        <x:v>177038.70042262762</x:v>
      </x:c>
      <x:c r="AC832" s="78" t="n">
        <x:f>AC831+AB832</x:f>
        <x:v>8650562.172975782</x:v>
      </x:c>
      <x:c r="AD832" s="80" t="n">
        <x:f>Z832/(1+'Inputs'!$C$46)</x:f>
        <x:v>4.0108428888391385</x:v>
      </x:c>
      <x:c r="AE832" s="80" t="n">
        <x:f>Z832-AD832</x:f>
        <x:v>4.0108428888391385</x:v>
      </x:c>
      <x:c r="AF832" s="80" t="n">
        <x:f>D832*W832</x:f>
        <x:v>4.354629549047915</x:v>
      </x:c>
      <x:c r="AG832" s="80" t="n">
        <x:f>C832*W832</x:f>
        <x:v>10.160802281111856</x:v>
      </x:c>
      <x:c r="AH832" s="80" t="n">
        <x:f>2*'Inputs'!$B$8*'Inputs'!$C$46</x:f>
        <x:v>5000</x:v>
      </x:c>
      <x:c r="AI832" s="81" t="n">
        <x:f>IF(AH832&gt;0,(AE832+AF832)/AH832*365,0)</x:f>
        <x:v>0.6106794879657549</x:v>
      </x:c>
      <x:c r="AJ832" s="81" t="n">
        <x:f>IF('Inputs'!$B$46&gt;0,AG832/('Inputs'!$B$19*'Inputs'!$B$46)*365,0)</x:f>
        <x:v>0.37086928326058277</x:v>
      </x:c>
      <x:c r="AK832" s="81" t="n">
        <x:f>W832/MAX($W$734:W832)-1</x:f>
        <x:v>-0.9822693025674104</x:v>
      </x:c>
      <x:c r="AL832" s="83" t="n">
        <x:f>'Inputs'!$B$46</x:f>
        <x:v>1</x:v>
      </x:c>
      <x:c r="AM832" s="83" t="n">
        <x:f>'Inputs'!$C$46</x:f>
        <x:v>1</x:v>
      </x:c>
      <x:c r="AN832" s="83" t="n">
        <x:f>'Inputs'!$D$46</x:f>
        <x:v>1</x:v>
      </x:c>
      <x:c r="AO832" s="81" t="n">
        <x:f>'Inputs'!$E$46</x:f>
        <x:v>0</x:v>
      </x:c>
    </x:row>
    <x:row r="833">
      <x:c r="A833" s="59" t="str">
        <x:v>Base</x:v>
      </x:c>
      <x:c r="B833" s="59" t="n">
        <x:v>100</x:v>
      </x:c>
      <x:c r="C833" s="78" t="n">
        <x:f>(('Inputs'!$B$29*(3*100*'Inputs'!$B$12-100^2)/(2*'Inputs'!$B$12^2))-('Inputs'!$B$29*(3*99*'Inputs'!$B$12-99^2)/(2*'Inputs'!$B$12^2)))*'Inputs'!$B$46</x:f>
        <x:v>679638.0653030574</x:v>
      </x:c>
      <x:c r="D833" s="78" t="n">
        <x:f>IF('Inputs'!$C$46&gt;0,('Inputs'!$B$30*(3*100*'Inputs'!$B$12-100^2)/(2*'Inputs'!$B$12^2))-('Inputs'!$B$30*(3*99*'Inputs'!$B$12-99^2)/(2*'Inputs'!$B$12^2)),0)</x:f>
        <x:v>291273.4565584548</x:v>
      </x:c>
      <x:c r="E833" s="78" t="n">
        <x:f>C833+D833</x:f>
        <x:v>970911.5218615122</x:v>
      </x:c>
      <x:c r="F833" s="78" t="n">
        <x:f>'Inputs'!$B$13*E833+(1-'Inputs'!$B$13)/'Inputs'!$B$14*SUM(E778:E833)</x:f>
        <x:v>981129.1987239633</x:v>
      </x:c>
      <x:c r="G833" s="78" t="n">
        <x:f>F833*'Inputs'!$F$46</x:f>
        <x:v>490564.5993619817</x:v>
      </x:c>
      <x:c r="H833" s="78" t="n">
        <x:f>U832</x:f>
        <x:v>43992142.017520785</x:v>
      </x:c>
      <x:c r="I833" s="78" t="n">
        <x:f>V832</x:f>
        <x:v>657.3818621042029</x:v>
      </x:c>
      <x:c r="J833" s="79" t="n">
        <x:f>IF(H833&gt;0,I833/H833,0)</x:f>
        <x:v>0.00001494316557357873</x:v>
      </x:c>
      <x:c r="K833" s="80" t="n">
        <x:f>(H833*J833+I833)*'Inputs'!$D$46*(1+'Inputs'!$G$46)^(B833/30)</x:f>
        <x:v>1314.7637242084058</x:v>
      </x:c>
      <x:c r="L833" s="80" t="n">
        <x:f>MAX(0,K833*'Inputs'!$E$46)</x:f>
        <x:v>0</x:v>
      </x:c>
      <x:c r="M833" s="80" t="n">
        <x:f>MAX(0,-K833*'Inputs'!$E$46)</x:f>
        <x:v>0</x:v>
      </x:c>
      <x:c r="N833" s="78" t="n">
        <x:f>H833*(L833*(1-'Inputs'!$B$15))/(I833+L833*(1-'Inputs'!$B$15))</x:f>
        <x:v>0</x:v>
      </x:c>
      <x:c r="O833" s="78" t="n">
        <x:f>H833-N833</x:f>
        <x:v>43992142.017520785</x:v>
      </x:c>
      <x:c r="P833" s="78" t="n">
        <x:f>I833+L833*(1-'Inputs'!$B$17)</x:f>
        <x:v>657.3818621042029</x:v>
      </x:c>
      <x:c r="Q833" s="78" t="n">
        <x:f>IF(J833&gt;0,M833/J833,0)</x:f>
        <x:v>0</x:v>
      </x:c>
      <x:c r="R833" s="78" t="n">
        <x:f>IF(B833='Inputs'!$H$46,'Inputs'!$B$27*'Inputs'!$I$46,0)</x:f>
        <x:v>0</x:v>
      </x:c>
      <x:c r="S833" s="78" t="n">
        <x:f>Q833+G833+R833</x:f>
        <x:v>490564.5993619817</x:v>
      </x:c>
      <x:c r="T833" s="78" t="n">
        <x:f>P833*(S833*(1-'Inputs'!$B$15))/(O833+S833*(1-'Inputs'!$B$15))</x:f>
        <x:v>7.17803893501459</x:v>
      </x:c>
      <x:c r="U833" s="78" t="n">
        <x:f>O833+S833*(1-'Inputs'!$B$17)</x:f>
        <x:v>44480732.51386723</x:v>
      </x:c>
      <x:c r="V833" s="78" t="n">
        <x:f>P833-T833</x:f>
        <x:v>650.2038231691884</x:v>
      </x:c>
      <x:c r="W833" s="79" t="n">
        <x:f>IF(U833&gt;0,V833/U833,0)</x:f>
        <x:v>0.000014617650978802609</x:v>
      </x:c>
      <x:c r="X833" s="80" t="n">
        <x:f>W833*('Inputs'!$B$6-AC833)</x:f>
        <x:v>14488.583449684927</x:v>
      </x:c>
      <x:c r="Y833" s="80" t="n">
        <x:f>2*V833</x:f>
        <x:v>1300.4076463383767</x:v>
      </x:c>
      <x:c r="Z833" s="80" t="n">
        <x:f>K833*'Inputs'!$B$16+(G833+R833)*J833*'Inputs'!$B$16</x:f>
        <x:v>7.932565873447249</x:v>
      </x:c>
      <x:c r="AA833" s="80" t="n">
        <x:f>K833*(1+'Inputs'!$E$46)/2*'Inputs'!$B$17</x:f>
        <x:v>2.6453998475018228</x:v>
      </x:c>
      <x:c r="AB833" s="78" t="n">
        <x:f>(IF(J833&gt;0,K833*(1-'Inputs'!$E$46)/2/J833,0)+G833+R833)*'Inputs'!$B$17</x:f>
        <x:v>179004.8556011379</x:v>
      </x:c>
      <x:c r="AC833" s="78" t="n">
        <x:f>AC832+AB833</x:f>
        <x:v>8829567.02857692</x:v>
      </x:c>
      <x:c r="AD833" s="80" t="n">
        <x:f>Z833/(1+'Inputs'!$C$46)</x:f>
        <x:v>3.9662829367236245</x:v>
      </x:c>
      <x:c r="AE833" s="80" t="n">
        <x:f>Z833-AD833</x:f>
        <x:v>3.9662829367236245</x:v>
      </x:c>
      <x:c r="AF833" s="80" t="n">
        <x:f>D833*W833</x:f>
        <x:v>4.2577337273609155</x:v>
      </x:c>
      <x:c r="AG833" s="80" t="n">
        <x:f>C833*W833</x:f>
        <x:v>9.934712030508749</x:v>
      </x:c>
      <x:c r="AH833" s="80" t="n">
        <x:f>2*'Inputs'!$B$8*'Inputs'!$C$46</x:f>
        <x:v>5000</x:v>
      </x:c>
      <x:c r="AI833" s="81" t="n">
        <x:f>IF(AH833&gt;0,(AE833+AF833)/AH833*365,0)</x:f>
        <x:v>0.6003532164781715</x:v>
      </x:c>
      <x:c r="AJ833" s="81" t="n">
        <x:f>IF('Inputs'!$B$46&gt;0,AG833/('Inputs'!$B$19*'Inputs'!$B$46)*365,0)</x:f>
        <x:v>0.3626169891135693</x:v>
      </x:c>
      <x:c r="AK833" s="81" t="n">
        <x:f>W833/MAX($W$734:W833)-1</x:f>
        <x:v>-0.9826555393899531</x:v>
      </x:c>
      <x:c r="AL833" s="83" t="n">
        <x:f>'Inputs'!$B$46</x:f>
        <x:v>1</x:v>
      </x:c>
      <x:c r="AM833" s="83" t="n">
        <x:f>'Inputs'!$C$46</x:f>
        <x:v>1</x:v>
      </x:c>
      <x:c r="AN833" s="83" t="n">
        <x:f>'Inputs'!$D$46</x:f>
        <x:v>1</x:v>
      </x:c>
      <x:c r="AO833" s="81" t="n">
        <x:f>'Inputs'!$E$46</x:f>
        <x:v>0</x:v>
      </x:c>
    </x:row>
    <x:row r="834">
      <x:c r="A834" s="59" t="str">
        <x:v>Base</x:v>
      </x:c>
      <x:c r="B834" s="59" t="n">
        <x:v>101</x:v>
      </x:c>
      <x:c r="C834" s="78" t="n">
        <x:f>(('Inputs'!$B$29*(3*101*'Inputs'!$B$12-101^2)/(2*'Inputs'!$B$12^2))-('Inputs'!$B$29*(3*100*'Inputs'!$B$12-100^2)/(2*'Inputs'!$B$12^2)))*'Inputs'!$B$46</x:f>
        <x:v>679312.957402885</x:v>
      </x:c>
      <x:c r="D834" s="78" t="n">
        <x:f>IF('Inputs'!$C$46&gt;0,('Inputs'!$B$30*(3*101*'Inputs'!$B$12-101^2)/(2*'Inputs'!$B$12^2))-('Inputs'!$B$30*(3*100*'Inputs'!$B$12-100^2)/(2*'Inputs'!$B$12^2)),0)</x:f>
        <x:v>291134.1246012375</x:v>
      </x:c>
      <x:c r="E834" s="78" t="n">
        <x:f>C834+D834</x:f>
        <x:v>970447.0820041224</x:v>
      </x:c>
      <x:c r="F834" s="78" t="n">
        <x:f>'Inputs'!$B$13*E834+(1-'Inputs'!$B$13)/'Inputs'!$B$14*SUM(E779:E834)</x:f>
        <x:v>980664.7588665781</x:v>
      </x:c>
      <x:c r="G834" s="78" t="n">
        <x:f>F834*'Inputs'!$F$46</x:f>
        <x:v>490332.37943328905</x:v>
      </x:c>
      <x:c r="H834" s="78" t="n">
        <x:f>U833</x:f>
        <x:v>44480732.51386723</x:v>
      </x:c>
      <x:c r="I834" s="78" t="n">
        <x:f>V833</x:f>
        <x:v>650.2038231691884</x:v>
      </x:c>
      <x:c r="J834" s="79" t="n">
        <x:f>IF(H834&gt;0,I834/H834,0)</x:f>
        <x:v>0.000014617650978802609</x:v>
      </x:c>
      <x:c r="K834" s="80" t="n">
        <x:f>(H834*J834+I834)*'Inputs'!$D$46*(1+'Inputs'!$G$46)^(B834/30)</x:f>
        <x:v>1300.4076463383767</x:v>
      </x:c>
      <x:c r="L834" s="80" t="n">
        <x:f>MAX(0,K834*'Inputs'!$E$46)</x:f>
        <x:v>0</x:v>
      </x:c>
      <x:c r="M834" s="80" t="n">
        <x:f>MAX(0,-K834*'Inputs'!$E$46)</x:f>
        <x:v>0</x:v>
      </x:c>
      <x:c r="N834" s="78" t="n">
        <x:f>H834*(L834*(1-'Inputs'!$B$15))/(I834+L834*(1-'Inputs'!$B$15))</x:f>
        <x:v>0</x:v>
      </x:c>
      <x:c r="O834" s="78" t="n">
        <x:f>H834-N834</x:f>
        <x:v>44480732.51386723</x:v>
      </x:c>
      <x:c r="P834" s="78" t="n">
        <x:f>I834+L834*(1-'Inputs'!$B$17)</x:f>
        <x:v>650.2038231691884</x:v>
      </x:c>
      <x:c r="Q834" s="78" t="n">
        <x:f>IF(J834&gt;0,M834/J834,0)</x:f>
        <x:v>0</x:v>
      </x:c>
      <x:c r="R834" s="78" t="n">
        <x:f>IF(B834='Inputs'!$H$46,'Inputs'!$B$27*'Inputs'!$I$46,0)</x:f>
        <x:v>0</x:v>
      </x:c>
      <x:c r="S834" s="78" t="n">
        <x:f>Q834+G834+R834</x:f>
        <x:v>490332.37943328905</x:v>
      </x:c>
      <x:c r="T834" s="78" t="n">
        <x:f>P834*(S834*(1-'Inputs'!$B$15))/(O834+S834*(1-'Inputs'!$B$15))</x:f>
        <x:v>7.019229946189159</x:v>
      </x:c>
      <x:c r="U834" s="78" t="n">
        <x:f>O834+S834*(1-'Inputs'!$B$17)</x:f>
        <x:v>44969091.72477161</x:v>
      </x:c>
      <x:c r="V834" s="78" t="n">
        <x:f>P834-T834</x:f>
        <x:v>643.1845932229992</x:v>
      </x:c>
      <x:c r="W834" s="79" t="n">
        <x:f>IF(U834&gt;0,V834/U834,0)</x:f>
        <x:v>0.000014302814856914164</x:v>
      </x:c>
      <x:c r="X834" s="80" t="n">
        <x:f>W834*('Inputs'!$B$6-AC834)</x:f>
        <x:v>14173.93881288807</x:v>
      </x:c>
      <x:c r="Y834" s="80" t="n">
        <x:f>2*V834</x:f>
        <x:v>1286.3691864459984</x:v>
      </x:c>
      <x:c r="Z834" s="80" t="n">
        <x:f>K834*'Inputs'!$B$16+(G834+R834)*J834*'Inputs'!$B$16</x:f>
        <x:v>7.84545092354723</x:v>
      </x:c>
      <x:c r="AA834" s="80" t="n">
        <x:f>K834*(1+'Inputs'!$E$46)/2*'Inputs'!$B$17</x:f>
        <x:v>2.6165143789504564</x:v>
      </x:c>
      <x:c r="AB834" s="78" t="n">
        <x:f>(IF(J834&gt;0,K834*(1-'Inputs'!$E$46)/2/J834,0)+G834+R834)*'Inputs'!$B$17</x:f>
        <x:v>180970.08005352324</x:v>
      </x:c>
      <x:c r="AC834" s="78" t="n">
        <x:f>AC833+AB834</x:f>
        <x:v>9010537.108630443</x:v>
      </x:c>
      <x:c r="AD834" s="80" t="n">
        <x:f>Z834/(1+'Inputs'!$C$46)</x:f>
        <x:v>3.922725461773615</x:v>
      </x:c>
      <x:c r="AE834" s="80" t="n">
        <x:f>Z834-AD834</x:f>
        <x:v>3.922725461773615</x:v>
      </x:c>
      <x:c r="AF834" s="80" t="n">
        <x:f>D834*W834</x:f>
        <x:v>4.1640374827012785</x:v>
      </x:c>
      <x:c r="AG834" s="80" t="n">
        <x:f>C834*W834</x:f>
        <x:v>9.716087459636281</x:v>
      </x:c>
      <x:c r="AH834" s="80" t="n">
        <x:f>2*'Inputs'!$B$8*'Inputs'!$C$46</x:f>
        <x:v>5000</x:v>
      </x:c>
      <x:c r="AI834" s="81" t="n">
        <x:f>IF(AH834&gt;0,(AE834+AF834)/AH834*365,0)</x:f>
        <x:v>0.5903336949466672</x:v>
      </x:c>
      <x:c r="AJ834" s="81" t="n">
        <x:f>IF('Inputs'!$B$46&gt;0,AG834/('Inputs'!$B$19*'Inputs'!$B$46)*365,0)</x:f>
        <x:v>0.35463719227672424</x:v>
      </x:c>
      <x:c r="AK834" s="81" t="n">
        <x:f>W834/MAX($W$734:W834)-1</x:f>
        <x:v>-0.9830291057531555</x:v>
      </x:c>
      <x:c r="AL834" s="83" t="n">
        <x:f>'Inputs'!$B$46</x:f>
        <x:v>1</x:v>
      </x:c>
      <x:c r="AM834" s="83" t="n">
        <x:f>'Inputs'!$C$46</x:f>
        <x:v>1</x:v>
      </x:c>
      <x:c r="AN834" s="83" t="n">
        <x:f>'Inputs'!$D$46</x:f>
        <x:v>1</x:v>
      </x:c>
      <x:c r="AO834" s="81" t="n">
        <x:f>'Inputs'!$E$46</x:f>
        <x:v>0</x:v>
      </x:c>
    </x:row>
    <x:row r="835">
      <x:c r="A835" s="59" t="str">
        <x:v>Base</x:v>
      </x:c>
      <x:c r="B835" s="59" t="n">
        <x:v>102</x:v>
      </x:c>
      <x:c r="C835" s="78" t="n">
        <x:f>(('Inputs'!$B$29*(3*102*'Inputs'!$B$12-102^2)/(2*'Inputs'!$B$12^2))-('Inputs'!$B$29*(3*101*'Inputs'!$B$12-101^2)/(2*'Inputs'!$B$12^2)))*'Inputs'!$B$46</x:f>
        <x:v>678987.8495027274</x:v>
      </x:c>
      <x:c r="D835" s="78" t="n">
        <x:f>IF('Inputs'!$C$46&gt;0,('Inputs'!$B$30*(3*102*'Inputs'!$B$12-102^2)/(2*'Inputs'!$B$12^2))-('Inputs'!$B$30*(3*101*'Inputs'!$B$12-101^2)/(2*'Inputs'!$B$12^2)),0)</x:f>
        <x:v>290994.7926440239</x:v>
      </x:c>
      <x:c r="E835" s="78" t="n">
        <x:f>C835+D835</x:f>
        <x:v>969982.6421467513</x:v>
      </x:c>
      <x:c r="F835" s="78" t="n">
        <x:f>'Inputs'!$B$13*E835+(1-'Inputs'!$B$13)/'Inputs'!$B$14*SUM(E780:E835)</x:f>
        <x:v>980200.3190091965</x:v>
      </x:c>
      <x:c r="G835" s="78" t="n">
        <x:f>F835*'Inputs'!$F$46</x:f>
        <x:v>490100.15950459824</x:v>
      </x:c>
      <x:c r="H835" s="78" t="n">
        <x:f>U834</x:f>
        <x:v>44969091.72477161</x:v>
      </x:c>
      <x:c r="I835" s="78" t="n">
        <x:f>V834</x:f>
        <x:v>643.1845932229992</x:v>
      </x:c>
      <x:c r="J835" s="79" t="n">
        <x:f>IF(H835&gt;0,I835/H835,0)</x:f>
        <x:v>0.000014302814856914164</x:v>
      </x:c>
      <x:c r="K835" s="80" t="n">
        <x:f>(H835*J835+I835)*'Inputs'!$D$46*(1+'Inputs'!$G$46)^(B835/30)</x:f>
        <x:v>1286.3691864459984</x:v>
      </x:c>
      <x:c r="L835" s="80" t="n">
        <x:f>MAX(0,K835*'Inputs'!$E$46)</x:f>
        <x:v>0</x:v>
      </x:c>
      <x:c r="M835" s="80" t="n">
        <x:f>MAX(0,-K835*'Inputs'!$E$46)</x:f>
        <x:v>0</x:v>
      </x:c>
      <x:c r="N835" s="78" t="n">
        <x:f>H835*(L835*(1-'Inputs'!$B$15))/(I835+L835*(1-'Inputs'!$B$15))</x:f>
        <x:v>0</x:v>
      </x:c>
      <x:c r="O835" s="78" t="n">
        <x:f>H835-N835</x:f>
        <x:v>44969091.72477161</x:v>
      </x:c>
      <x:c r="P835" s="78" t="n">
        <x:f>I835+L835*(1-'Inputs'!$B$17)</x:f>
        <x:v>643.1845932229992</x:v>
      </x:c>
      <x:c r="Q835" s="78" t="n">
        <x:f>IF(J835&gt;0,M835/J835,0)</x:f>
        <x:v>0</x:v>
      </x:c>
      <x:c r="R835" s="78" t="n">
        <x:f>IF(B835='Inputs'!$H$46,'Inputs'!$B$27*'Inputs'!$I$46,0)</x:f>
        <x:v>0</x:v>
      </x:c>
      <x:c r="S835" s="78" t="n">
        <x:f>Q835+G835+R835</x:f>
        <x:v>490100.15950459824</x:v>
      </x:c>
      <x:c r="T835" s="78" t="n">
        <x:f>P835*(S835*(1-'Inputs'!$B$15))/(O835+S835*(1-'Inputs'!$B$15))</x:f>
        <x:v>6.865636157819854</x:v>
      </x:c>
      <x:c r="U835" s="78" t="n">
        <x:f>O835+S835*(1-'Inputs'!$B$17)</x:f>
        <x:v>45457219.65023394</x:v>
      </x:c>
      <x:c r="V835" s="78" t="n">
        <x:f>P835-T835</x:f>
        <x:v>636.3189570651793</x:v>
      </x:c>
      <x:c r="W835" s="79" t="n">
        <x:f>IF(U835&gt;0,V835/U835,0)</x:f>
        <x:v>0.000013998193509441896</x:v>
      </x:c>
      <x:c r="X835" s="80" t="n">
        <x:f>W835*('Inputs'!$B$6-AC835)</x:f>
        <x:v>13869.501516607583</x:v>
      </x:c>
      <x:c r="Y835" s="80" t="n">
        <x:f>2*V835</x:f>
        <x:v>1272.6379141303587</x:v>
      </x:c>
      <x:c r="Z835" s="80" t="n">
        <x:f>K835*'Inputs'!$B$16+(G835+R835)*J835*'Inputs'!$B$16</x:f>
        <x:v>7.760273989732421</x:v>
      </x:c>
      <x:c r="AA835" s="80" t="n">
        <x:f>K835*(1+'Inputs'!$E$46)/2*'Inputs'!$B$17</x:f>
        <x:v>2.588267980776657</x:v>
      </x:c>
      <x:c r="AB835" s="78" t="n">
        <x:f>(IF(J835&gt;0,K835*(1-'Inputs'!$E$46)/2/J835,0)+G835+R835)*'Inputs'!$B$17</x:f>
        <x:v>182934.37377978355</x:v>
      </x:c>
      <x:c r="AC835" s="78" t="n">
        <x:f>AC834+AB835</x:f>
        <x:v>9193471.482410226</x:v>
      </x:c>
      <x:c r="AD835" s="80" t="n">
        <x:f>Z835/(1+'Inputs'!$C$46)</x:f>
        <x:v>3.8801369948662106</x:v>
      </x:c>
      <x:c r="AE835" s="80" t="n">
        <x:f>Z835-AD835</x:f>
        <x:v>3.8801369948662106</x:v>
      </x:c>
      <x:c r="AF835" s="80" t="n">
        <x:f>D835*W835</x:f>
        <x:v>4.073401417670966</x:v>
      </x:c>
      <x:c r="AG835" s="80" t="n">
        <x:f>C835*W835</x:f>
        <x:v>9.50460330789899</x:v>
      </x:c>
      <x:c r="AH835" s="80" t="n">
        <x:f>2*'Inputs'!$B$8*'Inputs'!$C$46</x:f>
        <x:v>5000</x:v>
      </x:c>
      <x:c r="AI835" s="81" t="n">
        <x:f>IF(AH835&gt;0,(AE835+AF835)/AH835*365,0)</x:f>
        <x:v>0.5806083041152138</x:v>
      </x:c>
      <x:c r="AJ835" s="81" t="n">
        <x:f>IF('Inputs'!$B$46&gt;0,AG835/('Inputs'!$B$19*'Inputs'!$B$46)*365,0)</x:f>
        <x:v>0.3469180207383131</x:v>
      </x:c>
      <x:c r="AK835" s="81" t="n">
        <x:f>W835/MAX($W$734:W835)-1</x:f>
        <x:v>-0.9833905518548496</x:v>
      </x:c>
      <x:c r="AL835" s="83" t="n">
        <x:f>'Inputs'!$B$46</x:f>
        <x:v>1</x:v>
      </x:c>
      <x:c r="AM835" s="83" t="n">
        <x:f>'Inputs'!$C$46</x:f>
        <x:v>1</x:v>
      </x:c>
      <x:c r="AN835" s="83" t="n">
        <x:f>'Inputs'!$D$46</x:f>
        <x:v>1</x:v>
      </x:c>
      <x:c r="AO835" s="81" t="n">
        <x:f>'Inputs'!$E$46</x:f>
        <x:v>0</x:v>
      </x:c>
    </x:row>
    <x:row r="836">
      <x:c r="A836" s="59" t="str">
        <x:v>Base</x:v>
      </x:c>
      <x:c r="B836" s="59" t="n">
        <x:v>103</x:v>
      </x:c>
      <x:c r="C836" s="78" t="n">
        <x:f>(('Inputs'!$B$29*(3*103*'Inputs'!$B$12-103^2)/(2*'Inputs'!$B$12^2))-('Inputs'!$B$29*(3*102*'Inputs'!$B$12-102^2)/(2*'Inputs'!$B$12^2)))*'Inputs'!$B$46</x:f>
        <x:v>678662.7416025549</x:v>
      </x:c>
      <x:c r="D836" s="78" t="n">
        <x:f>IF('Inputs'!$C$46&gt;0,('Inputs'!$B$30*(3*103*'Inputs'!$B$12-103^2)/(2*'Inputs'!$B$12^2))-('Inputs'!$B$30*(3*102*'Inputs'!$B$12-102^2)/(2*'Inputs'!$B$12^2)),0)</x:f>
        <x:v>290855.4606868066</x:v>
      </x:c>
      <x:c r="E836" s="78" t="n">
        <x:f>C836+D836</x:f>
        <x:v>969518.2022893615</x:v>
      </x:c>
      <x:c r="F836" s="78" t="n">
        <x:f>'Inputs'!$B$13*E836+(1-'Inputs'!$B$13)/'Inputs'!$B$14*SUM(E781:E836)</x:f>
        <x:v>979735.8791518115</x:v>
      </x:c>
      <x:c r="G836" s="78" t="n">
        <x:f>F836*'Inputs'!$F$46</x:f>
        <x:v>489867.93957590574</x:v>
      </x:c>
      <x:c r="H836" s="78" t="n">
        <x:f>U835</x:f>
        <x:v>45457219.65023394</x:v>
      </x:c>
      <x:c r="I836" s="78" t="n">
        <x:f>V835</x:f>
        <x:v>636.3189570651793</x:v>
      </x:c>
      <x:c r="J836" s="79" t="n">
        <x:f>IF(H836&gt;0,I836/H836,0)</x:f>
        <x:v>0.000013998193509441896</x:v>
      </x:c>
      <x:c r="K836" s="80" t="n">
        <x:f>(H836*J836+I836)*'Inputs'!$D$46*(1+'Inputs'!$G$46)^(B836/30)</x:f>
        <x:v>1272.6379141303587</x:v>
      </x:c>
      <x:c r="L836" s="80" t="n">
        <x:f>MAX(0,K836*'Inputs'!$E$46)</x:f>
        <x:v>0</x:v>
      </x:c>
      <x:c r="M836" s="80" t="n">
        <x:f>MAX(0,-K836*'Inputs'!$E$46)</x:f>
        <x:v>0</x:v>
      </x:c>
      <x:c r="N836" s="78" t="n">
        <x:f>H836*(L836*(1-'Inputs'!$B$15))/(I836+L836*(1-'Inputs'!$B$15))</x:f>
        <x:v>0</x:v>
      </x:c>
      <x:c r="O836" s="78" t="n">
        <x:f>H836-N836</x:f>
        <x:v>45457219.65023394</x:v>
      </x:c>
      <x:c r="P836" s="78" t="n">
        <x:f>I836+L836*(1-'Inputs'!$B$17)</x:f>
        <x:v>636.3189570651793</x:v>
      </x:c>
      <x:c r="Q836" s="78" t="n">
        <x:f>IF(J836&gt;0,M836/J836,0)</x:f>
        <x:v>0</x:v>
      </x:c>
      <x:c r="R836" s="78" t="n">
        <x:f>IF(B836='Inputs'!$H$46,'Inputs'!$B$27*'Inputs'!$I$46,0)</x:f>
        <x:v>0</x:v>
      </x:c>
      <x:c r="S836" s="78" t="n">
        <x:f>Q836+G836+R836</x:f>
        <x:v>489867.93957590574</x:v>
      </x:c>
      <x:c r="T836" s="78" t="n">
        <x:f>P836*(S836*(1-'Inputs'!$B$15))/(O836+S836*(1-'Inputs'!$B$15))</x:f>
        <x:v>6.717031581761461</x:v>
      </x:c>
      <x:c r="U836" s="78" t="n">
        <x:f>O836+S836*(1-'Inputs'!$B$17)</x:f>
        <x:v>45945116.290254205</x:v>
      </x:c>
      <x:c r="V836" s="78" t="n">
        <x:f>P836-T836</x:f>
        <x:v>629.6019254834179</x:v>
      </x:c>
      <x:c r="W836" s="79" t="n">
        <x:f>IF(U836&gt;0,V836/U836,0)</x:f>
        <x:v>0.000013703348175374363</x:v>
      </x:c>
      <x:c r="X836" s="80" t="n">
        <x:f>W836*('Inputs'!$B$6-AC836)</x:f>
        <x:v>13574.833116646587</x:v>
      </x:c>
      <x:c r="Y836" s="80" t="n">
        <x:f>2*V836</x:f>
        <x:v>1259.2038509668357</x:v>
      </x:c>
      <x:c r="Z836" s="80" t="n">
        <x:f>K836*'Inputs'!$B$16+(G836+R836)*J836*'Inputs'!$B$16</x:f>
        <x:v>7.676971082055683</x:v>
      </x:c>
      <x:c r="AA836" s="80" t="n">
        <x:f>K836*(1+'Inputs'!$E$46)/2*'Inputs'!$B$17</x:f>
        <x:v>2.5606396662582673</x:v>
      </x:c>
      <x:c r="AB836" s="78" t="n">
        <x:f>(IF(J836&gt;0,K836*(1-'Inputs'!$E$46)/2/J836,0)+G836+R836)*'Inputs'!$B$17</x:f>
        <x:v>184897.7367799189</x:v>
      </x:c>
      <x:c r="AC836" s="78" t="n">
        <x:f>AC835+AB836</x:f>
        <x:v>9378369.219190145</x:v>
      </x:c>
      <x:c r="AD836" s="80" t="n">
        <x:f>Z836/(1+'Inputs'!$C$46)</x:f>
        <x:v>3.8384855410278416</x:v>
      </x:c>
      <x:c r="AE836" s="80" t="n">
        <x:f>Z836-AD836</x:f>
        <x:v>3.8384855410278416</x:v>
      </x:c>
      <x:c r="AF836" s="80" t="n">
        <x:f>D836*W836</x:f>
        <x:v>3.985693646500221</x:v>
      </x:c>
      <x:c r="AG836" s="80" t="n">
        <x:f>C836*W836</x:f>
        <x:v>9.299951841833934</x:v>
      </x:c>
      <x:c r="AH836" s="80" t="n">
        <x:f>2*'Inputs'!$B$8*'Inputs'!$C$46</x:f>
        <x:v>5000</x:v>
      </x:c>
      <x:c r="AI836" s="81" t="n">
        <x:f>IF(AH836&gt;0,(AE836+AF836)/AH836*365,0)</x:f>
        <x:v>0.5711650806895485</x:v>
      </x:c>
      <x:c r="AJ836" s="81" t="n">
        <x:f>IF('Inputs'!$B$46&gt;0,AG836/('Inputs'!$B$19*'Inputs'!$B$46)*365,0)</x:f>
        <x:v>0.3394482422269386</x:v>
      </x:c>
      <x:c r="AK836" s="81" t="n">
        <x:f>W836/MAX($W$734:W836)-1</x:f>
        <x:v>-0.9837403983035168</x:v>
      </x:c>
      <x:c r="AL836" s="83" t="n">
        <x:f>'Inputs'!$B$46</x:f>
        <x:v>1</x:v>
      </x:c>
      <x:c r="AM836" s="83" t="n">
        <x:f>'Inputs'!$C$46</x:f>
        <x:v>1</x:v>
      </x:c>
      <x:c r="AN836" s="83" t="n">
        <x:f>'Inputs'!$D$46</x:f>
        <x:v>1</x:v>
      </x:c>
      <x:c r="AO836" s="81" t="n">
        <x:f>'Inputs'!$E$46</x:f>
        <x:v>0</x:v>
      </x:c>
    </x:row>
    <x:row r="837">
      <x:c r="A837" s="59" t="str">
        <x:v>Base</x:v>
      </x:c>
      <x:c r="B837" s="59" t="n">
        <x:v>104</x:v>
      </x:c>
      <x:c r="C837" s="78" t="n">
        <x:f>(('Inputs'!$B$29*(3*104*'Inputs'!$B$12-104^2)/(2*'Inputs'!$B$12^2))-('Inputs'!$B$29*(3*103*'Inputs'!$B$12-103^2)/(2*'Inputs'!$B$12^2)))*'Inputs'!$B$46</x:f>
        <x:v>678337.6337023824</x:v>
      </x:c>
      <x:c r="D837" s="78" t="n">
        <x:f>IF('Inputs'!$C$46&gt;0,('Inputs'!$B$30*(3*104*'Inputs'!$B$12-104^2)/(2*'Inputs'!$B$12^2))-('Inputs'!$B$30*(3*103*'Inputs'!$B$12-103^2)/(2*'Inputs'!$B$12^2)),0)</x:f>
        <x:v>290716.128729593</x:v>
      </x:c>
      <x:c r="E837" s="78" t="n">
        <x:f>C837+D837</x:f>
        <x:v>969053.7624319755</x:v>
      </x:c>
      <x:c r="F837" s="78" t="n">
        <x:f>'Inputs'!$B$13*E837+(1-'Inputs'!$B$13)/'Inputs'!$B$14*SUM(E782:E837)</x:f>
        <x:v>979271.4392944269</x:v>
      </x:c>
      <x:c r="G837" s="78" t="n">
        <x:f>F837*'Inputs'!$F$46</x:f>
        <x:v>489635.71964721347</x:v>
      </x:c>
      <x:c r="H837" s="78" t="n">
        <x:f>U836</x:f>
        <x:v>45945116.290254205</x:v>
      </x:c>
      <x:c r="I837" s="78" t="n">
        <x:f>V836</x:f>
        <x:v>629.6019254834179</x:v>
      </x:c>
      <x:c r="J837" s="79" t="n">
        <x:f>IF(H837&gt;0,I837/H837,0)</x:f>
        <x:v>0.000013703348175374363</x:v>
      </x:c>
      <x:c r="K837" s="80" t="n">
        <x:f>(H837*J837+I837)*'Inputs'!$D$46*(1+'Inputs'!$G$46)^(B837/30)</x:f>
        <x:v>1259.2038509668357</x:v>
      </x:c>
      <x:c r="L837" s="80" t="n">
        <x:f>MAX(0,K837*'Inputs'!$E$46)</x:f>
        <x:v>0</x:v>
      </x:c>
      <x:c r="M837" s="80" t="n">
        <x:f>MAX(0,-K837*'Inputs'!$E$46)</x:f>
        <x:v>0</x:v>
      </x:c>
      <x:c r="N837" s="78" t="n">
        <x:f>H837*(L837*(1-'Inputs'!$B$15))/(I837+L837*(1-'Inputs'!$B$15))</x:f>
        <x:v>0</x:v>
      </x:c>
      <x:c r="O837" s="78" t="n">
        <x:f>H837-N837</x:f>
        <x:v>45945116.290254205</x:v>
      </x:c>
      <x:c r="P837" s="78" t="n">
        <x:f>I837+L837*(1-'Inputs'!$B$17)</x:f>
        <x:v>629.6019254834179</x:v>
      </x:c>
      <x:c r="Q837" s="78" t="n">
        <x:f>IF(J837&gt;0,M837/J837,0)</x:f>
        <x:v>0</x:v>
      </x:c>
      <x:c r="R837" s="78" t="n">
        <x:f>IF(B837='Inputs'!$H$46,'Inputs'!$B$27*'Inputs'!$I$46,0)</x:f>
        <x:v>0</x:v>
      </x:c>
      <x:c r="S837" s="78" t="n">
        <x:f>Q837+G837+R837</x:f>
        <x:v>489635.71964721347</x:v>
      </x:c>
      <x:c r="T837" s="78" t="n">
        <x:f>P837*(S837*(1-'Inputs'!$B$15))/(O837+S837*(1-'Inputs'!$B$15))</x:f>
        <x:v>6.573202342894016</x:v>
      </x:c>
      <x:c r="U837" s="78" t="n">
        <x:f>O837+S837*(1-'Inputs'!$B$17)</x:f>
        <x:v>46432781.64483242</x:v>
      </x:c>
      <x:c r="V837" s="78" t="n">
        <x:f>P837-T837</x:f>
        <x:v>623.0287231405239</x:v>
      </x:c>
      <x:c r="W837" s="79" t="n">
        <x:f>IF(U837&gt;0,V837/U837,0)</x:f>
        <x:v>0.000013417863437648728</x:v>
      </x:c>
      <x:c r="X837" s="80" t="n">
        <x:f>W837*('Inputs'!$B$6-AC837)</x:f>
        <x:v>13289.518495967486</x:v>
      </x:c>
      <x:c r="Y837" s="80" t="n">
        <x:f>2*V837</x:f>
        <x:v>1246.0574462810478</x:v>
      </x:c>
      <x:c r="Z837" s="80" t="n">
        <x:f>K837*'Inputs'!$B$16+(G837+R837)*J837*'Inputs'!$B$16</x:f>
        <x:v>7.59548099827357</x:v>
      </x:c>
      <x:c r="AA837" s="80" t="n">
        <x:f>K837*(1+'Inputs'!$E$46)/2*'Inputs'!$B$17</x:f>
        <x:v>2.5336093580821646</x:v>
      </x:c>
      <x:c r="AB837" s="78" t="n">
        <x:f>(IF(J837&gt;0,K837*(1-'Inputs'!$E$46)/2/J837,0)+G837+R837)*'Inputs'!$B$17</x:f>
        <x:v>186860.16905392928</x:v>
      </x:c>
      <x:c r="AC837" s="78" t="n">
        <x:f>AC836+AB837</x:f>
        <x:v>9565229.388244074</x:v>
      </x:c>
      <x:c r="AD837" s="80" t="n">
        <x:f>Z837/(1+'Inputs'!$C$46)</x:f>
        <x:v>3.797740499136785</x:v>
      </x:c>
      <x:c r="AE837" s="80" t="n">
        <x:f>Z837-AD837</x:f>
        <x:v>3.797740499136785</x:v>
      </x:c>
      <x:c r="AF837" s="80" t="n">
        <x:f>D837*W837</x:f>
        <x:v>3.900789314415587</x:v>
      </x:c>
      <x:c r="AG837" s="80" t="n">
        <x:f>C837*W837</x:f>
        <x:v>9.101841733636354</x:v>
      </x:c>
      <x:c r="AH837" s="80" t="n">
        <x:f>2*'Inputs'!$B$8*'Inputs'!$C$46</x:f>
        <x:v>5000</x:v>
      </x:c>
      <x:c r="AI837" s="81" t="n">
        <x:f>IF(AH837&gt;0,(AE837+AF837)/AH837*365,0)</x:f>
        <x:v>0.5619926763893232</x:v>
      </x:c>
      <x:c r="AJ837" s="81" t="n">
        <x:f>IF('Inputs'!$B$46&gt;0,AG837/('Inputs'!$B$19*'Inputs'!$B$46)*365,0)</x:f>
        <x:v>0.3322172232777269</x:v>
      </x:c>
      <x:c r="AK837" s="81" t="n">
        <x:f>W837/MAX($W$734:W837)-1</x:f>
        <x:v>-0.9840791380090571</x:v>
      </x:c>
      <x:c r="AL837" s="83" t="n">
        <x:f>'Inputs'!$B$46</x:f>
        <x:v>1</x:v>
      </x:c>
      <x:c r="AM837" s="83" t="n">
        <x:f>'Inputs'!$C$46</x:f>
        <x:v>1</x:v>
      </x:c>
      <x:c r="AN837" s="83" t="n">
        <x:f>'Inputs'!$D$46</x:f>
        <x:v>1</x:v>
      </x:c>
      <x:c r="AO837" s="81" t="n">
        <x:f>'Inputs'!$E$46</x:f>
        <x:v>0</x:v>
      </x:c>
    </x:row>
    <x:row r="838">
      <x:c r="A838" s="59" t="str">
        <x:v>Base</x:v>
      </x:c>
      <x:c r="B838" s="59" t="n">
        <x:v>105</x:v>
      </x:c>
      <x:c r="C838" s="78" t="n">
        <x:f>(('Inputs'!$B$29*(3*105*'Inputs'!$B$12-105^2)/(2*'Inputs'!$B$12^2))-('Inputs'!$B$29*(3*104*'Inputs'!$B$12-104^2)/(2*'Inputs'!$B$12^2)))*'Inputs'!$B$46</x:f>
        <x:v>678012.52580221</x:v>
      </x:c>
      <x:c r="D838" s="78" t="n">
        <x:f>IF('Inputs'!$C$46&gt;0,('Inputs'!$B$30*(3*105*'Inputs'!$B$12-105^2)/(2*'Inputs'!$B$12^2))-('Inputs'!$B$30*(3*104*'Inputs'!$B$12-104^2)/(2*'Inputs'!$B$12^2)),0)</x:f>
        <x:v>290576.7967723794</x:v>
      </x:c>
      <x:c r="E838" s="78" t="n">
        <x:f>C838+D838</x:f>
        <x:v>968589.3225745894</x:v>
      </x:c>
      <x:c r="F838" s="78" t="n">
        <x:f>'Inputs'!$B$13*E838+(1-'Inputs'!$B$13)/'Inputs'!$B$14*SUM(E783:E838)</x:f>
        <x:v>978806.9994370425</x:v>
      </x:c>
      <x:c r="G838" s="78" t="n">
        <x:f>F838*'Inputs'!$F$46</x:f>
        <x:v>489403.49971852126</x:v>
      </x:c>
      <x:c r="H838" s="78" t="n">
        <x:f>U837</x:f>
        <x:v>46432781.64483242</x:v>
      </x:c>
      <x:c r="I838" s="78" t="n">
        <x:f>V837</x:f>
        <x:v>623.0287231405239</x:v>
      </x:c>
      <x:c r="J838" s="79" t="n">
        <x:f>IF(H838&gt;0,I838/H838,0)</x:f>
        <x:v>0.000013417863437648728</x:v>
      </x:c>
      <x:c r="K838" s="80" t="n">
        <x:f>(H838*J838+I838)*'Inputs'!$D$46*(1+'Inputs'!$G$46)^(B838/30)</x:f>
        <x:v>1246.0574462810478</x:v>
      </x:c>
      <x:c r="L838" s="80" t="n">
        <x:f>MAX(0,K838*'Inputs'!$E$46)</x:f>
        <x:v>0</x:v>
      </x:c>
      <x:c r="M838" s="80" t="n">
        <x:f>MAX(0,-K838*'Inputs'!$E$46)</x:f>
        <x:v>0</x:v>
      </x:c>
      <x:c r="N838" s="78" t="n">
        <x:f>H838*(L838*(1-'Inputs'!$B$15))/(I838+L838*(1-'Inputs'!$B$15))</x:f>
        <x:v>0</x:v>
      </x:c>
      <x:c r="O838" s="78" t="n">
        <x:f>H838-N838</x:f>
        <x:v>46432781.64483242</x:v>
      </x:c>
      <x:c r="P838" s="78" t="n">
        <x:f>I838+L838*(1-'Inputs'!$B$17)</x:f>
        <x:v>623.0287231405239</x:v>
      </x:c>
      <x:c r="Q838" s="78" t="n">
        <x:f>IF(J838&gt;0,M838/J838,0)</x:f>
        <x:v>0</x:v>
      </x:c>
      <x:c r="R838" s="78" t="n">
        <x:f>IF(B838='Inputs'!$H$46,'Inputs'!$B$27*'Inputs'!$I$46,0)</x:f>
        <x:v>0</x:v>
      </x:c>
      <x:c r="S838" s="78" t="n">
        <x:f>Q838+G838+R838</x:f>
        <x:v>489403.49971852126</x:v>
      </x:c>
      <x:c r="T838" s="78" t="n">
        <x:f>P838*(S838*(1-'Inputs'!$B$15))/(O838+S838*(1-'Inputs'!$B$15))</x:f>
        <x:v>6.4339459081294725</x:v>
      </x:c>
      <x:c r="U838" s="78" t="n">
        <x:f>O838+S838*(1-'Inputs'!$B$17)</x:f>
        <x:v>46920215.71396857</x:v>
      </x:c>
      <x:c r="V838" s="78" t="n">
        <x:f>P838-T838</x:f>
        <x:v>616.5947772323944</x:v>
      </x:c>
      <x:c r="W838" s="79" t="n">
        <x:f>IF(U838&gt;0,V838/U838,0)</x:f>
        <x:v>0.00001314134574724107</x:v>
      </x:c>
      <x:c r="X838" s="80" t="n">
        <x:f>W838*('Inputs'!$B$6-AC838)</x:f>
        <x:v>13013.164389840535</x:v>
      </x:c>
      <x:c r="Y838" s="80" t="n">
        <x:f>2*V838</x:f>
        <x:v>1233.189554464789</x:v>
      </x:c>
      <x:c r="Z838" s="80" t="n">
        <x:f>K838*'Inputs'!$B$16+(G838+R838)*J838*'Inputs'!$B$16</x:f>
        <x:v>7.51574517363707</x:v>
      </x:c>
      <x:c r="AA838" s="80" t="n">
        <x:f>K838*(1+'Inputs'!$E$46)/2*'Inputs'!$B$17</x:f>
        <x:v>2.507157839599694</x:v>
      </x:c>
      <x:c r="AB838" s="78" t="n">
        <x:f>(IF(J838&gt;0,K838*(1-'Inputs'!$E$46)/2/J838,0)+G838+R838)*'Inputs'!$B$17</x:f>
        <x:v>188821.67060181467</x:v>
      </x:c>
      <x:c r="AC838" s="78" t="n">
        <x:f>AC837+AB838</x:f>
        <x:v>9754051.058845889</x:v>
      </x:c>
      <x:c r="AD838" s="80" t="n">
        <x:f>Z838/(1+'Inputs'!$C$46)</x:f>
        <x:v>3.757872586818535</x:v>
      </x:c>
      <x:c r="AE838" s="80" t="n">
        <x:f>Z838-AD838</x:f>
        <x:v>3.757872586818535</x:v>
      </x:c>
      <x:c r="AF838" s="80" t="n">
        <x:f>D838*W838</x:f>
        <x:v>3.8185701525116413</x:v>
      </x:c>
      <x:c r="AG838" s="80" t="n">
        <x:f>C838*W838</x:f>
        <x:v>8.90999702252705</x:v>
      </x:c>
      <x:c r="AH838" s="80" t="n">
        <x:f>2*'Inputs'!$B$8*'Inputs'!$C$46</x:f>
        <x:v>5000</x:v>
      </x:c>
      <x:c r="AI838" s="81" t="n">
        <x:f>IF(AH838&gt;0,(AE838+AF838)/AH838*365,0)</x:f>
        <x:v>0.5530803199711029</x:v>
      </x:c>
      <x:c r="AJ838" s="81" t="n">
        <x:f>IF('Inputs'!$B$46&gt;0,AG838/('Inputs'!$B$19*'Inputs'!$B$46)*365,0)</x:f>
        <x:v>0.3252148913222373</x:v>
      </x:c>
      <x:c r="AK838" s="81" t="n">
        <x:f>W838/MAX($W$734:W838)-1</x:f>
        <x:v>-0.9844072379340185</x:v>
      </x:c>
      <x:c r="AL838" s="83" t="n">
        <x:f>'Inputs'!$B$46</x:f>
        <x:v>1</x:v>
      </x:c>
      <x:c r="AM838" s="83" t="n">
        <x:f>'Inputs'!$C$46</x:f>
        <x:v>1</x:v>
      </x:c>
      <x:c r="AN838" s="83" t="n">
        <x:f>'Inputs'!$D$46</x:f>
        <x:v>1</x:v>
      </x:c>
      <x:c r="AO838" s="81" t="n">
        <x:f>'Inputs'!$E$46</x:f>
        <x:v>0</x:v>
      </x:c>
    </x:row>
    <x:row r="839">
      <x:c r="A839" s="59" t="str">
        <x:v>Base</x:v>
      </x:c>
      <x:c r="B839" s="59" t="n">
        <x:v>106</x:v>
      </x:c>
      <x:c r="C839" s="78" t="n">
        <x:f>(('Inputs'!$B$29*(3*106*'Inputs'!$B$12-106^2)/(2*'Inputs'!$B$12^2))-('Inputs'!$B$29*(3*105*'Inputs'!$B$12-105^2)/(2*'Inputs'!$B$12^2)))*'Inputs'!$B$46</x:f>
        <x:v>677687.4179020375</x:v>
      </x:c>
      <x:c r="D839" s="78" t="n">
        <x:f>IF('Inputs'!$C$46&gt;0,('Inputs'!$B$30*(3*106*'Inputs'!$B$12-106^2)/(2*'Inputs'!$B$12^2))-('Inputs'!$B$30*(3*105*'Inputs'!$B$12-105^2)/(2*'Inputs'!$B$12^2)),0)</x:f>
        <x:v>290437.4648151621</x:v>
      </x:c>
      <x:c r="E839" s="78" t="n">
        <x:f>C839+D839</x:f>
        <x:v>968124.8827171996</x:v>
      </x:c>
      <x:c r="F839" s="78" t="n">
        <x:f>'Inputs'!$B$13*E839+(1-'Inputs'!$B$13)/'Inputs'!$B$14*SUM(E784:E839)</x:f>
        <x:v>978342.5595796569</x:v>
      </x:c>
      <x:c r="G839" s="78" t="n">
        <x:f>F839*'Inputs'!$F$46</x:f>
        <x:v>489171.27978982846</x:v>
      </x:c>
      <x:c r="H839" s="78" t="n">
        <x:f>U838</x:f>
        <x:v>46920215.71396857</x:v>
      </x:c>
      <x:c r="I839" s="78" t="n">
        <x:f>V838</x:f>
        <x:v>616.5947772323944</x:v>
      </x:c>
      <x:c r="J839" s="79" t="n">
        <x:f>IF(H839&gt;0,I839/H839,0)</x:f>
        <x:v>0.00001314134574724107</x:v>
      </x:c>
      <x:c r="K839" s="80" t="n">
        <x:f>(H839*J839+I839)*'Inputs'!$D$46*(1+'Inputs'!$G$46)^(B839/30)</x:f>
        <x:v>1233.189554464789</x:v>
      </x:c>
      <x:c r="L839" s="80" t="n">
        <x:f>MAX(0,K839*'Inputs'!$E$46)</x:f>
        <x:v>0</x:v>
      </x:c>
      <x:c r="M839" s="80" t="n">
        <x:f>MAX(0,-K839*'Inputs'!$E$46)</x:f>
        <x:v>0</x:v>
      </x:c>
      <x:c r="N839" s="78" t="n">
        <x:f>H839*(L839*(1-'Inputs'!$B$15))/(I839+L839*(1-'Inputs'!$B$15))</x:f>
        <x:v>0</x:v>
      </x:c>
      <x:c r="O839" s="78" t="n">
        <x:f>H839-N839</x:f>
        <x:v>46920215.71396857</x:v>
      </x:c>
      <x:c r="P839" s="78" t="n">
        <x:f>I839+L839*(1-'Inputs'!$B$17)</x:f>
        <x:v>616.5947772323944</x:v>
      </x:c>
      <x:c r="Q839" s="78" t="n">
        <x:f>IF(J839&gt;0,M839/J839,0)</x:f>
        <x:v>0</x:v>
      </x:c>
      <x:c r="R839" s="78" t="n">
        <x:f>IF(B839='Inputs'!$H$46,'Inputs'!$B$27*'Inputs'!$I$46,0)</x:f>
        <x:v>0</x:v>
      </x:c>
      <x:c r="S839" s="78" t="n">
        <x:f>Q839+G839+R839</x:f>
        <x:v>489171.27978982846</x:v>
      </x:c>
      <x:c r="T839" s="78" t="n">
        <x:f>P839*(S839*(1-'Inputs'!$B$15))/(O839+S839*(1-'Inputs'!$B$15))</x:f>
        <x:v>6.299070372077578</x:v>
      </x:c>
      <x:c r="U839" s="78" t="n">
        <x:f>O839+S839*(1-'Inputs'!$B$17)</x:f>
        <x:v>47407418.49766266</x:v>
      </x:c>
      <x:c r="V839" s="78" t="n">
        <x:f>P839-T839</x:f>
        <x:v>610.2957068603168</x:v>
      </x:c>
      <x:c r="W839" s="79" t="n">
        <x:f>IF(U839&gt;0,V839/U839,0)</x:f>
        <x:v>0.000012873422055039896</x:v>
      </x:c>
      <x:c r="X839" s="80" t="n">
        <x:f>W839*('Inputs'!$B$6-AC839)</x:f>
        <x:v>12745.398018698512</x:v>
      </x:c>
      <x:c r="Y839" s="80" t="n">
        <x:f>2*V839</x:f>
        <x:v>1220.5914137206337</x:v>
      </x:c>
      <x:c r="Z839" s="80" t="n">
        <x:f>K839*'Inputs'!$B$16+(G839+R839)*J839*'Inputs'!$B$16</x:f>
        <x:v>7.437707540292765</x:v>
      </x:c>
      <x:c r="AA839" s="80" t="n">
        <x:f>K839*(1+'Inputs'!$E$46)/2*'Inputs'!$B$17</x:f>
        <x:v>2.4812667091846863</x:v>
      </x:c>
      <x:c r="AB839" s="78" t="n">
        <x:f>(IF(J839&gt;0,K839*(1-'Inputs'!$E$46)/2/J839,0)+G839+R839)*'Inputs'!$B$17</x:f>
        <x:v>190782.24142357503</x:v>
      </x:c>
      <x:c r="AC839" s="78" t="n">
        <x:f>AC838+AB839</x:f>
        <x:v>9944833.300269464</x:v>
      </x:c>
      <x:c r="AD839" s="80" t="n">
        <x:f>Z839/(1+'Inputs'!$C$46)</x:f>
        <x:v>3.7188537701463824</x:v>
      </x:c>
      <x:c r="AE839" s="80" t="n">
        <x:f>Z839-AD839</x:f>
        <x:v>3.7188537701463824</x:v>
      </x:c>
      <x:c r="AF839" s="80" t="n">
        <x:f>D839*W839</x:f>
        <x:v>3.7389240651613815</x:v>
      </x:c>
      <x:c r="AG839" s="80" t="n">
        <x:f>C839*W839</x:f>
        <x:v>8.724156152043129</x:v>
      </x:c>
      <x:c r="AH839" s="80" t="n">
        <x:f>2*'Inputs'!$B$8*'Inputs'!$C$46</x:f>
        <x:v>5000</x:v>
      </x:c>
      <x:c r="AI839" s="81" t="n">
        <x:f>IF(AH839&gt;0,(AE839+AF839)/AH839*365,0)</x:f>
        <x:v>0.5444177819774668</x:v>
      </x:c>
      <x:c r="AJ839" s="81" t="n">
        <x:f>IF('Inputs'!$B$46&gt;0,AG839/('Inputs'!$B$19*'Inputs'!$B$46)*365,0)</x:f>
        <x:v>0.31843169954957423</x:v>
      </x:c>
      <x:c r="AK839" s="81" t="n">
        <x:f>W839/MAX($W$734:W839)-1</x:f>
        <x:v>-0.9847251407169363</x:v>
      </x:c>
      <x:c r="AL839" s="83" t="n">
        <x:f>'Inputs'!$B$46</x:f>
        <x:v>1</x:v>
      </x:c>
      <x:c r="AM839" s="83" t="n">
        <x:f>'Inputs'!$C$46</x:f>
        <x:v>1</x:v>
      </x:c>
      <x:c r="AN839" s="83" t="n">
        <x:f>'Inputs'!$D$46</x:f>
        <x:v>1</x:v>
      </x:c>
      <x:c r="AO839" s="81" t="n">
        <x:f>'Inputs'!$E$46</x:f>
        <x:v>0</x:v>
      </x:c>
    </x:row>
    <x:row r="840">
      <x:c r="A840" s="59" t="str">
        <x:v>Base</x:v>
      </x:c>
      <x:c r="B840" s="59" t="n">
        <x:v>107</x:v>
      </x:c>
      <x:c r="C840" s="78" t="n">
        <x:f>(('Inputs'!$B$29*(3*107*'Inputs'!$B$12-107^2)/(2*'Inputs'!$B$12^2))-('Inputs'!$B$29*(3*106*'Inputs'!$B$12-106^2)/(2*'Inputs'!$B$12^2)))*'Inputs'!$B$46</x:f>
        <x:v>677362.3100018799</x:v>
      </x:c>
      <x:c r="D840" s="78" t="n">
        <x:f>IF('Inputs'!$C$46&gt;0,('Inputs'!$B$30*(3*107*'Inputs'!$B$12-107^2)/(2*'Inputs'!$B$12^2))-('Inputs'!$B$30*(3*106*'Inputs'!$B$12-106^2)/(2*'Inputs'!$B$12^2)),0)</x:f>
        <x:v>290298.1328579448</x:v>
      </x:c>
      <x:c r="E840" s="78" t="n">
        <x:f>C840+D840</x:f>
        <x:v>967660.4428598247</x:v>
      </x:c>
      <x:c r="F840" s="78" t="n">
        <x:f>'Inputs'!$B$13*E840+(1-'Inputs'!$B$13)/'Inputs'!$B$14*SUM(E785:E840)</x:f>
        <x:v>977878.1197222748</x:v>
      </x:c>
      <x:c r="G840" s="78" t="n">
        <x:f>F840*'Inputs'!$F$46</x:f>
        <x:v>488939.0598611374</x:v>
      </x:c>
      <x:c r="H840" s="78" t="n">
        <x:f>U839</x:f>
        <x:v>47407418.49766266</x:v>
      </x:c>
      <x:c r="I840" s="78" t="n">
        <x:f>V839</x:f>
        <x:v>610.2957068603168</x:v>
      </x:c>
      <x:c r="J840" s="79" t="n">
        <x:f>IF(H840&gt;0,I840/H840,0)</x:f>
        <x:v>0.000012873422055039896</x:v>
      </x:c>
      <x:c r="K840" s="80" t="n">
        <x:f>(H840*J840+I840)*'Inputs'!$D$46*(1+'Inputs'!$G$46)^(B840/30)</x:f>
        <x:v>1220.5914137206337</x:v>
      </x:c>
      <x:c r="L840" s="80" t="n">
        <x:f>MAX(0,K840*'Inputs'!$E$46)</x:f>
        <x:v>0</x:v>
      </x:c>
      <x:c r="M840" s="80" t="n">
        <x:f>MAX(0,-K840*'Inputs'!$E$46)</x:f>
        <x:v>0</x:v>
      </x:c>
      <x:c r="N840" s="78" t="n">
        <x:f>H840*(L840*(1-'Inputs'!$B$15))/(I840+L840*(1-'Inputs'!$B$15))</x:f>
        <x:v>0</x:v>
      </x:c>
      <x:c r="O840" s="78" t="n">
        <x:f>H840-N840</x:f>
        <x:v>47407418.49766266</x:v>
      </x:c>
      <x:c r="P840" s="78" t="n">
        <x:f>I840+L840*(1-'Inputs'!$B$17)</x:f>
        <x:v>610.2957068603168</x:v>
      </x:c>
      <x:c r="Q840" s="78" t="n">
        <x:f>IF(J840&gt;0,M840/J840,0)</x:f>
        <x:v>0</x:v>
      </x:c>
      <x:c r="R840" s="78" t="n">
        <x:f>IF(B840='Inputs'!$H$46,'Inputs'!$B$27*'Inputs'!$I$46,0)</x:f>
        <x:v>0</x:v>
      </x:c>
      <x:c r="S840" s="78" t="n">
        <x:f>Q840+G840+R840</x:f>
        <x:v>488939.0598611374</x:v>
      </x:c>
      <x:c r="T840" s="78" t="n">
        <x:f>P840*(S840*(1-'Inputs'!$B$15))/(O840+S840*(1-'Inputs'!$B$15))</x:f>
        <x:v>6.1683937946612035</x:v>
      </x:c>
      <x:c r="U840" s="78" t="n">
        <x:f>O840+S840*(1-'Inputs'!$B$17)</x:f>
        <x:v>47894389.995914705</x:v>
      </x:c>
      <x:c r="V840" s="78" t="n">
        <x:f>P840-T840</x:f>
        <x:v>604.1273130656556</x:v>
      </x:c>
      <x:c r="W840" s="79" t="n">
        <x:f>IF(U840&gt;0,V840/U840,0)</x:f>
        <x:v>0.000012613738542597295</x:v>
      </x:c>
      <x:c r="X840" s="80" t="n">
        <x:f>W840*('Inputs'!$B$6-AC840)</x:f>
        <x:v>12485.86581979829</x:v>
      </x:c>
      <x:c r="Y840" s="80" t="n">
        <x:f>2*V840</x:f>
        <x:v>1208.2546261313112</x:v>
      </x:c>
      <x:c r="Z840" s="80" t="n">
        <x:f>K840*'Inputs'!$B$16+(G840+R840)*J840*'Inputs'!$B$16</x:f>
        <x:v>7.361314395584523</x:v>
      </x:c>
      <x:c r="AA840" s="80" t="n">
        <x:f>K840*(1+'Inputs'!$E$46)/2*'Inputs'!$B$17</x:f>
        <x:v>2.455918337466064</x:v>
      </x:c>
      <x:c r="AB840" s="78" t="n">
        <x:f>(IF(J840&gt;0,K840*(1-'Inputs'!$E$46)/2/J840,0)+G840+R840)*'Inputs'!$B$17</x:f>
        <x:v>192741.8815192105</x:v>
      </x:c>
      <x:c r="AC840" s="78" t="n">
        <x:f>AC839+AB840</x:f>
        <x:v>10137575.181788674</x:v>
      </x:c>
      <x:c r="AD840" s="80" t="n">
        <x:f>Z840/(1+'Inputs'!$C$46)</x:f>
        <x:v>3.6806571977922613</x:v>
      </x:c>
      <x:c r="AE840" s="80" t="n">
        <x:f>Z840-AD840</x:f>
        <x:v>3.6806571977922613</x:v>
      </x:c>
      <x:c r="AF840" s="80" t="n">
        <x:f>D840*W840</x:f>
        <x:v>3.661744747274289</x:v>
      </x:c>
      <x:c r="AG840" s="80" t="n">
        <x:f>C840*W840</x:f>
        <x:v>8.54407107697345</x:v>
      </x:c>
      <x:c r="AH840" s="80" t="n">
        <x:f>2*'Inputs'!$B$8*'Inputs'!$C$46</x:f>
        <x:v>5000</x:v>
      </x:c>
      <x:c r="AI840" s="81" t="n">
        <x:f>IF(AH840&gt;0,(AE840+AF840)/AH840*365,0)</x:f>
        <x:v>0.5359953419898581</x:v>
      </x:c>
      <x:c r="AJ840" s="81" t="n">
        <x:f>IF('Inputs'!$B$46&gt;0,AG840/('Inputs'!$B$19*'Inputs'!$B$46)*365,0)</x:f>
        <x:v>0.31185859430953095</x:v>
      </x:c>
      <x:c r="AK840" s="81" t="n">
        <x:f>W840/MAX($W$734:W840)-1</x:f>
        <x:v>-0.9850332661783507</x:v>
      </x:c>
      <x:c r="AL840" s="83" t="n">
        <x:f>'Inputs'!$B$46</x:f>
        <x:v>1</x:v>
      </x:c>
      <x:c r="AM840" s="83" t="n">
        <x:f>'Inputs'!$C$46</x:f>
        <x:v>1</x:v>
      </x:c>
      <x:c r="AN840" s="83" t="n">
        <x:f>'Inputs'!$D$46</x:f>
        <x:v>1</x:v>
      </x:c>
      <x:c r="AO840" s="81" t="n">
        <x:f>'Inputs'!$E$46</x:f>
        <x:v>0</x:v>
      </x:c>
    </x:row>
    <x:row r="841">
      <x:c r="A841" s="59" t="str">
        <x:v>Base</x:v>
      </x:c>
      <x:c r="B841" s="59" t="n">
        <x:v>108</x:v>
      </x:c>
      <x:c r="C841" s="78" t="n">
        <x:f>(('Inputs'!$B$29*(3*108*'Inputs'!$B$12-108^2)/(2*'Inputs'!$B$12^2))-('Inputs'!$B$29*(3*107*'Inputs'!$B$12-107^2)/(2*'Inputs'!$B$12^2)))*'Inputs'!$B$46</x:f>
        <x:v>677037.2021017075</x:v>
      </x:c>
      <x:c r="D841" s="78" t="n">
        <x:f>IF('Inputs'!$C$46&gt;0,('Inputs'!$B$30*(3*108*'Inputs'!$B$12-108^2)/(2*'Inputs'!$B$12^2))-('Inputs'!$B$30*(3*107*'Inputs'!$B$12-107^2)/(2*'Inputs'!$B$12^2)),0)</x:f>
        <x:v>290158.80090073124</x:v>
      </x:c>
      <x:c r="E841" s="78" t="n">
        <x:f>C841+D841</x:f>
        <x:v>967196.0030024387</x:v>
      </x:c>
      <x:c r="F841" s="78" t="n">
        <x:f>'Inputs'!$B$13*E841+(1-'Inputs'!$B$13)/'Inputs'!$B$14*SUM(E786:E841)</x:f>
        <x:v>977413.6798648901</x:v>
      </x:c>
      <x:c r="G841" s="78" t="n">
        <x:f>F841*'Inputs'!$F$46</x:f>
        <x:v>488706.83993244503</x:v>
      </x:c>
      <x:c r="H841" s="78" t="n">
        <x:f>U840</x:f>
        <x:v>47894389.995914705</x:v>
      </x:c>
      <x:c r="I841" s="78" t="n">
        <x:f>V840</x:f>
        <x:v>604.1273130656556</x:v>
      </x:c>
      <x:c r="J841" s="79" t="n">
        <x:f>IF(H841&gt;0,I841/H841,0)</x:f>
        <x:v>0.000012613738542597295</x:v>
      </x:c>
      <x:c r="K841" s="80" t="n">
        <x:f>(H841*J841+I841)*'Inputs'!$D$46*(1+'Inputs'!$G$46)^(B841/30)</x:f>
        <x:v>1208.2546261313112</x:v>
      </x:c>
      <x:c r="L841" s="80" t="n">
        <x:f>MAX(0,K841*'Inputs'!$E$46)</x:f>
        <x:v>0</x:v>
      </x:c>
      <x:c r="M841" s="80" t="n">
        <x:f>MAX(0,-K841*'Inputs'!$E$46)</x:f>
        <x:v>0</x:v>
      </x:c>
      <x:c r="N841" s="78" t="n">
        <x:f>H841*(L841*(1-'Inputs'!$B$15))/(I841+L841*(1-'Inputs'!$B$15))</x:f>
        <x:v>0</x:v>
      </x:c>
      <x:c r="O841" s="78" t="n">
        <x:f>H841-N841</x:f>
        <x:v>47894389.995914705</x:v>
      </x:c>
      <x:c r="P841" s="78" t="n">
        <x:f>I841+L841*(1-'Inputs'!$B$17)</x:f>
        <x:v>604.1273130656556</x:v>
      </x:c>
      <x:c r="Q841" s="78" t="n">
        <x:f>IF(J841&gt;0,M841/J841,0)</x:f>
        <x:v>0</x:v>
      </x:c>
      <x:c r="R841" s="78" t="n">
        <x:f>IF(B841='Inputs'!$H$46,'Inputs'!$B$27*'Inputs'!$I$46,0)</x:f>
        <x:v>0</x:v>
      </x:c>
      <x:c r="S841" s="78" t="n">
        <x:f>Q841+G841+R841</x:f>
        <x:v>488706.83993244503</x:v>
      </x:c>
      <x:c r="T841" s="78" t="n">
        <x:f>P841*(S841*(1-'Inputs'!$B$15))/(O841+S841*(1-'Inputs'!$B$15))</x:f>
        <x:v>6.041743586407271</x:v>
      </x:c>
      <x:c r="U841" s="78" t="n">
        <x:f>O841+S841*(1-'Inputs'!$B$17)</x:f>
        <x:v>48381130.208724685</x:v>
      </x:c>
      <x:c r="V841" s="78" t="n">
        <x:f>P841-T841</x:f>
        <x:v>598.0855694792483</x:v>
      </x:c>
      <x:c r="W841" s="79" t="n">
        <x:f>IF(U841&gt;0,V841/U841,0)</x:f>
        <x:v>0.000012361959443671576</x:v>
      </x:c>
      <x:c r="X841" s="80" t="n">
        <x:f>W841*('Inputs'!$B$6-AC841)</x:f>
        <x:v>12234.232269608907</x:v>
      </x:c>
      <x:c r="Y841" s="80" t="n">
        <x:f>2*V841</x:f>
        <x:v>1196.1711389584966</x:v>
      </x:c>
      <x:c r="Z841" s="80" t="n">
        <x:f>K841*'Inputs'!$B$16+(G841+R841)*J841*'Inputs'!$B$16</x:f>
        <x:v>7.286514278605188</x:v>
      </x:c>
      <x:c r="AA841" s="80" t="n">
        <x:f>K841*(1+'Inputs'!$E$46)/2*'Inputs'!$B$17</x:f>
        <x:v>2.4310958272259784</x:v>
      </x:c>
      <x:c r="AB841" s="78" t="n">
        <x:f>(IF(J841&gt;0,K841*(1-'Inputs'!$E$46)/2/J841,0)+G841+R841)*'Inputs'!$B$17</x:f>
        <x:v>194700.59088872094</x:v>
      </x:c>
      <x:c r="AC841" s="78" t="n">
        <x:f>AC840+AB841</x:f>
        <x:v>10332275.772677395</x:v>
      </x:c>
      <x:c r="AD841" s="80" t="n">
        <x:f>Z841/(1+'Inputs'!$C$46)</x:f>
        <x:v>3.643257139302594</x:v>
      </x:c>
      <x:c r="AE841" s="80" t="n">
        <x:f>Z841-AD841</x:f>
        <x:v>3.643257139302594</x:v>
      </x:c>
      <x:c r="AF841" s="80" t="n">
        <x:f>D841*W841</x:f>
        <x:v>3.586931328959215</x:v>
      </x:c>
      <x:c r="AG841" s="80" t="n">
        <x:f>C841*W841</x:f>
        <x:v>8.369506434238184</x:v>
      </x:c>
      <x:c r="AH841" s="80" t="n">
        <x:f>2*'Inputs'!$B$8*'Inputs'!$C$46</x:f>
        <x:v>5000</x:v>
      </x:c>
      <x:c r="AI841" s="81" t="n">
        <x:f>IF(AH841&gt;0,(AE841+AF841)/AH841*365,0)</x:f>
        <x:v>0.527803758183112</x:v>
      </x:c>
      <x:c r="AJ841" s="81" t="n">
        <x:f>IF('Inputs'!$B$46&gt;0,AG841/('Inputs'!$B$19*'Inputs'!$B$46)*365,0)</x:f>
        <x:v>0.3054869848496937</x:v>
      </x:c>
      <x:c r="AK841" s="81" t="n">
        <x:f>W841/MAX($W$734:W841)-1</x:f>
        <x:v>-0.9853320127190968</x:v>
      </x:c>
      <x:c r="AL841" s="83" t="n">
        <x:f>'Inputs'!$B$46</x:f>
        <x:v>1</x:v>
      </x:c>
      <x:c r="AM841" s="83" t="n">
        <x:f>'Inputs'!$C$46</x:f>
        <x:v>1</x:v>
      </x:c>
      <x:c r="AN841" s="83" t="n">
        <x:f>'Inputs'!$D$46</x:f>
        <x:v>1</x:v>
      </x:c>
      <x:c r="AO841" s="81" t="n">
        <x:f>'Inputs'!$E$46</x:f>
        <x:v>0</x:v>
      </x:c>
    </x:row>
    <x:row r="842">
      <x:c r="A842" s="59" t="str">
        <x:v>Base</x:v>
      </x:c>
      <x:c r="B842" s="59" t="n">
        <x:v>109</x:v>
      </x:c>
      <x:c r="C842" s="78" t="n">
        <x:f>(('Inputs'!$B$29*(3*109*'Inputs'!$B$12-109^2)/(2*'Inputs'!$B$12^2))-('Inputs'!$B$29*(3*108*'Inputs'!$B$12-108^2)/(2*'Inputs'!$B$12^2)))*'Inputs'!$B$46</x:f>
        <x:v>676712.0942015499</x:v>
      </x:c>
      <x:c r="D842" s="78" t="n">
        <x:f>IF('Inputs'!$C$46&gt;0,('Inputs'!$B$30*(3*109*'Inputs'!$B$12-109^2)/(2*'Inputs'!$B$12^2))-('Inputs'!$B$30*(3*108*'Inputs'!$B$12-108^2)/(2*'Inputs'!$B$12^2)),0)</x:f>
        <x:v>290019.46894351766</x:v>
      </x:c>
      <x:c r="E842" s="78" t="n">
        <x:f>C842+D842</x:f>
        <x:v>966731.5631450675</x:v>
      </x:c>
      <x:c r="F842" s="78" t="n">
        <x:f>'Inputs'!$B$13*E842+(1-'Inputs'!$B$13)/'Inputs'!$B$14*SUM(E787:E842)</x:f>
        <x:v>976949.2400075087</x:v>
      </x:c>
      <x:c r="G842" s="78" t="n">
        <x:f>F842*'Inputs'!$F$46</x:f>
        <x:v>488474.62000375433</x:v>
      </x:c>
      <x:c r="H842" s="78" t="n">
        <x:f>U841</x:f>
        <x:v>48381130.208724685</x:v>
      </x:c>
      <x:c r="I842" s="78" t="n">
        <x:f>V841</x:f>
        <x:v>598.0855694792483</x:v>
      </x:c>
      <x:c r="J842" s="79" t="n">
        <x:f>IF(H842&gt;0,I842/H842,0)</x:f>
        <x:v>0.000012361959443671576</x:v>
      </x:c>
      <x:c r="K842" s="80" t="n">
        <x:f>(H842*J842+I842)*'Inputs'!$D$46*(1+'Inputs'!$G$46)^(B842/30)</x:f>
        <x:v>1196.1711389584966</x:v>
      </x:c>
      <x:c r="L842" s="80" t="n">
        <x:f>MAX(0,K842*'Inputs'!$E$46)</x:f>
        <x:v>0</x:v>
      </x:c>
      <x:c r="M842" s="80" t="n">
        <x:f>MAX(0,-K842*'Inputs'!$E$46)</x:f>
        <x:v>0</x:v>
      </x:c>
      <x:c r="N842" s="78" t="n">
        <x:f>H842*(L842*(1-'Inputs'!$B$15))/(I842+L842*(1-'Inputs'!$B$15))</x:f>
        <x:v>0</x:v>
      </x:c>
      <x:c r="O842" s="78" t="n">
        <x:f>H842-N842</x:f>
        <x:v>48381130.208724685</x:v>
      </x:c>
      <x:c r="P842" s="78" t="n">
        <x:f>I842+L842*(1-'Inputs'!$B$17)</x:f>
        <x:v>598.0855694792483</x:v>
      </x:c>
      <x:c r="Q842" s="78" t="n">
        <x:f>IF(J842&gt;0,M842/J842,0)</x:f>
        <x:v>0</x:v>
      </x:c>
      <x:c r="R842" s="78" t="n">
        <x:f>IF(B842='Inputs'!$H$46,'Inputs'!$B$27*'Inputs'!$I$46,0)</x:f>
        <x:v>0</x:v>
      </x:c>
      <x:c r="S842" s="78" t="n">
        <x:f>Q842+G842+R842</x:f>
        <x:v>488474.62000375433</x:v>
      </x:c>
      <x:c r="T842" s="78" t="n">
        <x:f>P842*(S842*(1-'Inputs'!$B$15))/(O842+S842*(1-'Inputs'!$B$15))</x:f>
        <x:v>5.91895593753145</x:v>
      </x:c>
      <x:c r="U842" s="78" t="n">
        <x:f>O842+S842*(1-'Inputs'!$B$17)</x:f>
        <x:v>48867639.13609261</x:v>
      </x:c>
      <x:c r="V842" s="78" t="n">
        <x:f>P842-T842</x:f>
        <x:v>592.1666135417169</x:v>
      </x:c>
      <x:c r="W842" s="79" t="n">
        <x:f>IF(U842&gt;0,V842/U842,0)</x:f>
        <x:v>0.000012117765949211879</x:v>
      </x:c>
      <x:c r="X842" s="80" t="n">
        <x:f>W842*('Inputs'!$B$6-AC842)</x:f>
        <x:v>11990.178789581918</x:v>
      </x:c>
      <x:c r="Y842" s="80" t="n">
        <x:f>2*V842</x:f>
        <x:v>1184.3332270834337</x:v>
      </x:c>
      <x:c r="Z842" s="80" t="n">
        <x:f>K842*'Inputs'!$B$16+(G842+R842)*J842*'Inputs'!$B$16</x:f>
        <x:v>7.213257854401475</x:v>
      </x:c>
      <x:c r="AA842" s="80" t="n">
        <x:f>K842*(1+'Inputs'!$E$46)/2*'Inputs'!$B$17</x:f>
        <x:v>2.4067829757716233</x:v>
      </x:c>
      <x:c r="AB842" s="78" t="n">
        <x:f>(IF(J842&gt;0,K842*(1-'Inputs'!$E$46)/2/J842,0)+G842+R842)*'Inputs'!$B$17</x:f>
        <x:v>196658.36953210642</x:v>
      </x:c>
      <x:c r="AC842" s="78" t="n">
        <x:f>AC841+AB842</x:f>
        <x:v>10528934.142209502</x:v>
      </x:c>
      <x:c r="AD842" s="80" t="n">
        <x:f>Z842/(1+'Inputs'!$C$46)</x:f>
        <x:v>3.6066289272007377</x:v>
      </x:c>
      <x:c r="AE842" s="80" t="n">
        <x:f>Z842-AD842</x:f>
        <x:v>3.6066289272007377</x:v>
      </x:c>
      <x:c r="AF842" s="80" t="n">
        <x:f>D842*W842</x:f>
        <x:v>3.5143880453722702</x:v>
      </x:c>
      <x:c r="AG842" s="80" t="n">
        <x:f>C842*W842</x:f>
        <x:v>8.200238772535403</x:v>
      </x:c>
      <x:c r="AH842" s="80" t="n">
        <x:f>2*'Inputs'!$B$8*'Inputs'!$C$46</x:f>
        <x:v>5000</x:v>
      </x:c>
      <x:c r="AI842" s="81" t="n">
        <x:f>IF(AH842&gt;0,(AE842+AF842)/AH842*365,0)</x:f>
        <x:v>0.5198342389978295</x:v>
      </x:c>
      <x:c r="AJ842" s="81" t="n">
        <x:f>IF('Inputs'!$B$46&gt;0,AG842/('Inputs'!$B$19*'Inputs'!$B$46)*365,0)</x:f>
        <x:v>0.2993087151975422</x:v>
      </x:c>
      <x:c r="AK842" s="81" t="n">
        <x:f>W842/MAX($W$734:W842)-1</x:f>
        <x:v>-0.9856217586195857</x:v>
      </x:c>
      <x:c r="AL842" s="83" t="n">
        <x:f>'Inputs'!$B$46</x:f>
        <x:v>1</x:v>
      </x:c>
      <x:c r="AM842" s="83" t="n">
        <x:f>'Inputs'!$C$46</x:f>
        <x:v>1</x:v>
      </x:c>
      <x:c r="AN842" s="83" t="n">
        <x:f>'Inputs'!$D$46</x:f>
        <x:v>1</x:v>
      </x:c>
      <x:c r="AO842" s="81" t="n">
        <x:f>'Inputs'!$E$46</x:f>
        <x:v>0</x:v>
      </x:c>
    </x:row>
    <x:row r="843">
      <x:c r="A843" s="59" t="str">
        <x:v>Base</x:v>
      </x:c>
      <x:c r="B843" s="59" t="n">
        <x:v>110</x:v>
      </x:c>
      <x:c r="C843" s="78" t="n">
        <x:f>(('Inputs'!$B$29*(3*110*'Inputs'!$B$12-110^2)/(2*'Inputs'!$B$12^2))-('Inputs'!$B$29*(3*109*'Inputs'!$B$12-109^2)/(2*'Inputs'!$B$12^2)))*'Inputs'!$B$46</x:f>
        <x:v>676386.9863013625</x:v>
      </x:c>
      <x:c r="D843" s="78" t="n">
        <x:f>IF('Inputs'!$C$46&gt;0,('Inputs'!$B$30*(3*110*'Inputs'!$B$12-110^2)/(2*'Inputs'!$B$12^2))-('Inputs'!$B$30*(3*109*'Inputs'!$B$12-109^2)/(2*'Inputs'!$B$12^2)),0)</x:f>
        <x:v>289880.13698630035</x:v>
      </x:c>
      <x:c r="E843" s="78" t="n">
        <x:f>C843+D843</x:f>
        <x:v>966267.1232876629</x:v>
      </x:c>
      <x:c r="F843" s="78" t="n">
        <x:f>'Inputs'!$B$13*E843+(1-'Inputs'!$B$13)/'Inputs'!$B$14*SUM(E788:E843)</x:f>
        <x:v>976484.8001501204</x:v>
      </x:c>
      <x:c r="G843" s="78" t="n">
        <x:f>F843*'Inputs'!$F$46</x:f>
        <x:v>488242.4000750602</x:v>
      </x:c>
      <x:c r="H843" s="78" t="n">
        <x:f>U842</x:f>
        <x:v>48867639.13609261</x:v>
      </x:c>
      <x:c r="I843" s="78" t="n">
        <x:f>V842</x:f>
        <x:v>592.1666135417169</x:v>
      </x:c>
      <x:c r="J843" s="79" t="n">
        <x:f>IF(H843&gt;0,I843/H843,0)</x:f>
        <x:v>0.000012117765949211879</x:v>
      </x:c>
      <x:c r="K843" s="80" t="n">
        <x:f>(H843*J843+I843)*'Inputs'!$D$46*(1+'Inputs'!$G$46)^(B843/30)</x:f>
        <x:v>1184.3332270834337</x:v>
      </x:c>
      <x:c r="L843" s="80" t="n">
        <x:f>MAX(0,K843*'Inputs'!$E$46)</x:f>
        <x:v>0</x:v>
      </x:c>
      <x:c r="M843" s="80" t="n">
        <x:f>MAX(0,-K843*'Inputs'!$E$46)</x:f>
        <x:v>0</x:v>
      </x:c>
      <x:c r="N843" s="78" t="n">
        <x:f>H843*(L843*(1-'Inputs'!$B$15))/(I843+L843*(1-'Inputs'!$B$15))</x:f>
        <x:v>0</x:v>
      </x:c>
      <x:c r="O843" s="78" t="n">
        <x:f>H843-N843</x:f>
        <x:v>48867639.13609261</x:v>
      </x:c>
      <x:c r="P843" s="78" t="n">
        <x:f>I843+L843*(1-'Inputs'!$B$17)</x:f>
        <x:v>592.1666135417169</x:v>
      </x:c>
      <x:c r="Q843" s="78" t="n">
        <x:f>IF(J843&gt;0,M843/J843,0)</x:f>
        <x:v>0</x:v>
      </x:c>
      <x:c r="R843" s="78" t="n">
        <x:f>IF(B843='Inputs'!$H$46,'Inputs'!$B$27*'Inputs'!$I$46,0)</x:f>
        <x:v>0</x:v>
      </x:c>
      <x:c r="S843" s="78" t="n">
        <x:f>Q843+G843+R843</x:f>
        <x:v>488242.4000750602</x:v>
      </x:c>
      <x:c r="T843" s="78" t="n">
        <x:f>P843*(S843*(1-'Inputs'!$B$15))/(O843+S843*(1-'Inputs'!$B$15))</x:f>
        <x:v>5.799875287285979</x:v>
      </x:c>
      <x:c r="U843" s="78" t="n">
        <x:f>O843+S843*(1-'Inputs'!$B$17)</x:f>
        <x:v>49353916.778018475</x:v>
      </x:c>
      <x:c r="V843" s="78" t="n">
        <x:f>P843-T843</x:f>
        <x:v>586.3667382544309</x:v>
      </x:c>
      <x:c r="W843" s="79" t="n">
        <x:f>IF(U843&gt;0,V843/U843,0)</x:f>
        <x:v>0.000011880855189097985</x:v>
      </x:c>
      <x:c r="X843" s="80" t="n">
        <x:f>W843*('Inputs'!$B$6-AC843)</x:f>
        <x:v>11753.402728621977</x:v>
      </x:c>
      <x:c r="Y843" s="80" t="n">
        <x:f>2*V843</x:f>
        <x:v>1172.7334765088617</x:v>
      </x:c>
      <x:c r="Z843" s="80" t="n">
        <x:f>K843*'Inputs'!$B$16+(G843+R843)*J843*'Inputs'!$B$16</x:f>
        <x:v>7.141497805284149</x:v>
      </x:c>
      <x:c r="AA843" s="80" t="n">
        <x:f>K843*(1+'Inputs'!$E$46)/2*'Inputs'!$B$17</x:f>
        <x:v>2.3829642396044948</x:v>
      </x:c>
      <x:c r="AB843" s="78" t="n">
        <x:f>(IF(J843&gt;0,K843*(1-'Inputs'!$E$46)/2/J843,0)+G843+R843)*'Inputs'!$B$17</x:f>
        <x:v>198615.2174493669</x:v>
      </x:c>
      <x:c r="AC843" s="78" t="n">
        <x:f>AC842+AB843</x:f>
        <x:v>10727549.359658869</x:v>
      </x:c>
      <x:c r="AD843" s="80" t="n">
        <x:f>Z843/(1+'Inputs'!$C$46)</x:f>
        <x:v>3.5707489026420745</x:v>
      </x:c>
      <x:c r="AE843" s="80" t="n">
        <x:f>Z843-AD843</x:f>
        <x:v>3.5707489026420745</x:v>
      </x:c>
      <x:c r="AF843" s="80" t="n">
        <x:f>D843*W843</x:f>
        <x:v>3.444023929730121</x:v>
      </x:c>
      <x:c r="AG843" s="80" t="n">
        <x:f>C843*W843</x:f>
        <x:v>8.03605583603689</x:v>
      </x:c>
      <x:c r="AH843" s="80" t="n">
        <x:f>2*'Inputs'!$B$8*'Inputs'!$C$46</x:f>
        <x:v>5000</x:v>
      </x:c>
      <x:c r="AI843" s="81" t="n">
        <x:f>IF(AH843&gt;0,(AE843+AF843)/AH843*365,0)</x:f>
        <x:v>0.5120784167631702</x:v>
      </x:c>
      <x:c r="AJ843" s="81" t="n">
        <x:f>IF('Inputs'!$B$46&gt;0,AG843/('Inputs'!$B$19*'Inputs'!$B$46)*365,0)</x:f>
        <x:v>0.2933160380153465</x:v>
      </x:c>
      <x:c r="AK843" s="81" t="n">
        <x:f>W843/MAX($W$734:W843)-1</x:f>
        <x:v>-0.985902863248014</x:v>
      </x:c>
      <x:c r="AL843" s="83" t="n">
        <x:f>'Inputs'!$B$46</x:f>
        <x:v>1</x:v>
      </x:c>
      <x:c r="AM843" s="83" t="n">
        <x:f>'Inputs'!$C$46</x:f>
        <x:v>1</x:v>
      </x:c>
      <x:c r="AN843" s="83" t="n">
        <x:f>'Inputs'!$D$46</x:f>
        <x:v>1</x:v>
      </x:c>
      <x:c r="AO843" s="81" t="n">
        <x:f>'Inputs'!$E$46</x:f>
        <x:v>0</x:v>
      </x:c>
    </x:row>
    <x:row r="844">
      <x:c r="A844" s="59" t="str">
        <x:v>Base</x:v>
      </x:c>
      <x:c r="B844" s="59" t="n">
        <x:v>111</x:v>
      </x:c>
      <x:c r="C844" s="78" t="n">
        <x:f>(('Inputs'!$B$29*(3*111*'Inputs'!$B$12-111^2)/(2*'Inputs'!$B$12^2))-('Inputs'!$B$29*(3*110*'Inputs'!$B$12-110^2)/(2*'Inputs'!$B$12^2)))*'Inputs'!$B$46</x:f>
        <x:v>676061.878401205</x:v>
      </x:c>
      <x:c r="D844" s="78" t="n">
        <x:f>IF('Inputs'!$C$46&gt;0,('Inputs'!$B$30*(3*111*'Inputs'!$B$12-111^2)/(2*'Inputs'!$B$12^2))-('Inputs'!$B$30*(3*110*'Inputs'!$B$12-110^2)/(2*'Inputs'!$B$12^2)),0)</x:f>
        <x:v>289740.80502908677</x:v>
      </x:c>
      <x:c r="E844" s="78" t="n">
        <x:f>C844+D844</x:f>
        <x:v>965802.6834302917</x:v>
      </x:c>
      <x:c r="F844" s="78" t="n">
        <x:f>'Inputs'!$B$13*E844+(1-'Inputs'!$B$13)/'Inputs'!$B$14*SUM(E789:E844)</x:f>
        <x:v>976020.3602927391</x:v>
      </x:c>
      <x:c r="G844" s="78" t="n">
        <x:f>F844*'Inputs'!$F$46</x:f>
        <x:v>488010.18014636956</x:v>
      </x:c>
      <x:c r="H844" s="78" t="n">
        <x:f>U843</x:f>
        <x:v>49353916.778018475</x:v>
      </x:c>
      <x:c r="I844" s="78" t="n">
        <x:f>V843</x:f>
        <x:v>586.3667382544309</x:v>
      </x:c>
      <x:c r="J844" s="79" t="n">
        <x:f>IF(H844&gt;0,I844/H844,0)</x:f>
        <x:v>0.000011880855189097985</x:v>
      </x:c>
      <x:c r="K844" s="80" t="n">
        <x:f>(H844*J844+I844)*'Inputs'!$D$46*(1+'Inputs'!$G$46)^(B844/30)</x:f>
        <x:v>1172.7334765088617</x:v>
      </x:c>
      <x:c r="L844" s="80" t="n">
        <x:f>MAX(0,K844*'Inputs'!$E$46)</x:f>
        <x:v>0</x:v>
      </x:c>
      <x:c r="M844" s="80" t="n">
        <x:f>MAX(0,-K844*'Inputs'!$E$46)</x:f>
        <x:v>0</x:v>
      </x:c>
      <x:c r="N844" s="78" t="n">
        <x:f>H844*(L844*(1-'Inputs'!$B$15))/(I844+L844*(1-'Inputs'!$B$15))</x:f>
        <x:v>0</x:v>
      </x:c>
      <x:c r="O844" s="78" t="n">
        <x:f>H844-N844</x:f>
        <x:v>49353916.778018475</x:v>
      </x:c>
      <x:c r="P844" s="78" t="n">
        <x:f>I844+L844*(1-'Inputs'!$B$17)</x:f>
        <x:v>586.3667382544309</x:v>
      </x:c>
      <x:c r="Q844" s="78" t="n">
        <x:f>IF(J844&gt;0,M844/J844,0)</x:f>
        <x:v>0</x:v>
      </x:c>
      <x:c r="R844" s="78" t="n">
        <x:f>IF(B844='Inputs'!$H$46,'Inputs'!$B$27*'Inputs'!$I$46,0)</x:f>
        <x:v>0</x:v>
      </x:c>
      <x:c r="S844" s="78" t="n">
        <x:f>Q844+G844+R844</x:f>
        <x:v>488010.18014636956</x:v>
      </x:c>
      <x:c r="T844" s="78" t="n">
        <x:f>P844*(S844*(1-'Inputs'!$B$15))/(O844+S844*(1-'Inputs'!$B$15))</x:f>
        <x:v>5.684353830358197</x:v>
      </x:c>
      <x:c r="U844" s="78" t="n">
        <x:f>O844+S844*(1-'Inputs'!$B$17)</x:f>
        <x:v>49839963.134502284</x:v>
      </x:c>
      <x:c r="V844" s="78" t="n">
        <x:f>P844-T844</x:f>
        <x:v>580.6823844240727</x:v>
      </x:c>
      <x:c r="W844" s="79" t="n">
        <x:f>IF(U844&gt;0,V844/U844,0)</x:f>
        <x:v>0.00001165093928454551</x:v>
      </x:c>
      <x:c r="X844" s="80" t="n">
        <x:f>W844*('Inputs'!$B$6-AC844)</x:f>
        <x:v>11523.61641617223</x:v>
      </x:c>
      <x:c r="Y844" s="80" t="n">
        <x:f>2*V844</x:f>
        <x:v>1161.3647688481453</x:v>
      </x:c>
      <x:c r="Z844" s="80" t="n">
        <x:f>K844*'Inputs'!$B$16+(G844+R844)*J844*'Inputs'!$B$16</x:f>
        <x:v>7.071188728739918</x:v>
      </x:c>
      <x:c r="AA844" s="80" t="n">
        <x:f>K844*(1+'Inputs'!$E$46)/2*'Inputs'!$B$17</x:f>
        <x:v>2.359624701225074</x:v>
      </x:c>
      <x:c r="AB844" s="78" t="n">
        <x:f>(IF(J844&gt;0,K844*(1-'Inputs'!$E$46)/2/J844,0)+G844+R844)*'Inputs'!$B$17</x:f>
        <x:v>200571.1346405024</x:v>
      </x:c>
      <x:c r="AC844" s="78" t="n">
        <x:f>AC843+AB844</x:f>
        <x:v>10928120.49429937</x:v>
      </x:c>
      <x:c r="AD844" s="80" t="n">
        <x:f>Z844/(1+'Inputs'!$C$46)</x:f>
        <x:v>3.535594364369959</x:v>
      </x:c>
      <x:c r="AE844" s="80" t="n">
        <x:f>Z844-AD844</x:f>
        <x:v>3.535594364369959</x:v>
      </x:c>
      <x:c r="AF844" s="80" t="n">
        <x:f>D844*W844</x:f>
        <x:v>3.375752527649228</x:v>
      </x:c>
      <x:c r="AG844" s="80" t="n">
        <x:f>C844*W844</x:f>
        <x:v>7.876755897848228</x:v>
      </x:c>
      <x:c r="AH844" s="80" t="n">
        <x:f>2*'Inputs'!$B$8*'Inputs'!$C$46</x:f>
        <x:v>5000</x:v>
      </x:c>
      <x:c r="AI844" s="81" t="n">
        <x:f>IF(AH844&gt;0,(AE844+AF844)/AH844*365,0)</x:f>
        <x:v>0.5045283231174007</x:v>
      </x:c>
      <x:c r="AJ844" s="81" t="n">
        <x:f>IF('Inputs'!$B$46&gt;0,AG844/('Inputs'!$B$19*'Inputs'!$B$46)*365,0)</x:f>
        <x:v>0.2875015902714603</x:v>
      </x:c>
      <x:c r="AK844" s="81" t="n">
        <x:f>W844/MAX($W$734:W844)-1</x:f>
        <x:v>-0.9861756681847249</x:v>
      </x:c>
      <x:c r="AL844" s="83" t="n">
        <x:f>'Inputs'!$B$46</x:f>
        <x:v>1</x:v>
      </x:c>
      <x:c r="AM844" s="83" t="n">
        <x:f>'Inputs'!$C$46</x:f>
        <x:v>1</x:v>
      </x:c>
      <x:c r="AN844" s="83" t="n">
        <x:f>'Inputs'!$D$46</x:f>
        <x:v>1</x:v>
      </x:c>
      <x:c r="AO844" s="81" t="n">
        <x:f>'Inputs'!$E$46</x:f>
        <x:v>0</x:v>
      </x:c>
    </x:row>
    <x:row r="845">
      <x:c r="A845" s="59" t="str">
        <x:v>Base</x:v>
      </x:c>
      <x:c r="B845" s="59" t="n">
        <x:v>112</x:v>
      </x:c>
      <x:c r="C845" s="78" t="n">
        <x:f>(('Inputs'!$B$29*(3*112*'Inputs'!$B$12-112^2)/(2*'Inputs'!$B$12^2))-('Inputs'!$B$29*(3*111*'Inputs'!$B$12-111^2)/(2*'Inputs'!$B$12^2)))*'Inputs'!$B$46</x:f>
        <x:v>675736.7705010325</x:v>
      </x:c>
      <x:c r="D845" s="78" t="n">
        <x:f>IF('Inputs'!$C$46&gt;0,('Inputs'!$B$30*(3*112*'Inputs'!$B$12-112^2)/(2*'Inputs'!$B$12^2))-('Inputs'!$B$30*(3*111*'Inputs'!$B$12-111^2)/(2*'Inputs'!$B$12^2)),0)</x:f>
        <x:v>289601.4730718732</x:v>
      </x:c>
      <x:c r="E845" s="78" t="n">
        <x:f>C845+D845</x:f>
        <x:v>965338.2435729057</x:v>
      </x:c>
      <x:c r="F845" s="78" t="n">
        <x:f>'Inputs'!$B$13*E845+(1-'Inputs'!$B$13)/'Inputs'!$B$14*SUM(E790:E845)</x:f>
        <x:v>975555.9204353546</x:v>
      </x:c>
      <x:c r="G845" s="78" t="n">
        <x:f>F845*'Inputs'!$F$46</x:f>
        <x:v>487777.9602176773</x:v>
      </x:c>
      <x:c r="H845" s="78" t="n">
        <x:f>U844</x:f>
        <x:v>49839963.134502284</x:v>
      </x:c>
      <x:c r="I845" s="78" t="n">
        <x:f>V844</x:f>
        <x:v>580.6823844240727</x:v>
      </x:c>
      <x:c r="J845" s="79" t="n">
        <x:f>IF(H845&gt;0,I845/H845,0)</x:f>
        <x:v>0.00001165093928454551</x:v>
      </x:c>
      <x:c r="K845" s="80" t="n">
        <x:f>(H845*J845+I845)*'Inputs'!$D$46*(1+'Inputs'!$G$46)^(B845/30)</x:f>
        <x:v>1161.3647688481453</x:v>
      </x:c>
      <x:c r="L845" s="80" t="n">
        <x:f>MAX(0,K845*'Inputs'!$E$46)</x:f>
        <x:v>0</x:v>
      </x:c>
      <x:c r="M845" s="80" t="n">
        <x:f>MAX(0,-K845*'Inputs'!$E$46)</x:f>
        <x:v>0</x:v>
      </x:c>
      <x:c r="N845" s="78" t="n">
        <x:f>H845*(L845*(1-'Inputs'!$B$15))/(I845+L845*(1-'Inputs'!$B$15))</x:f>
        <x:v>0</x:v>
      </x:c>
      <x:c r="O845" s="78" t="n">
        <x:f>H845-N845</x:f>
        <x:v>49839963.134502284</x:v>
      </x:c>
      <x:c r="P845" s="78" t="n">
        <x:f>I845+L845*(1-'Inputs'!$B$17)</x:f>
        <x:v>580.6823844240727</x:v>
      </x:c>
      <x:c r="Q845" s="78" t="n">
        <x:f>IF(J845&gt;0,M845/J845,0)</x:f>
        <x:v>0</x:v>
      </x:c>
      <x:c r="R845" s="78" t="n">
        <x:f>IF(B845='Inputs'!$H$46,'Inputs'!$B$27*'Inputs'!$I$46,0)</x:f>
        <x:v>0</x:v>
      </x:c>
      <x:c r="S845" s="78" t="n">
        <x:f>Q845+G845+R845</x:f>
        <x:v>487777.9602176773</x:v>
      </x:c>
      <x:c r="T845" s="78" t="n">
        <x:f>P845*(S845*(1-'Inputs'!$B$15))/(O845+S845*(1-'Inputs'!$B$15))</x:f>
        <x:v>5.572251057391325</x:v>
      </x:c>
      <x:c r="U845" s="78" t="n">
        <x:f>O845+S845*(1-'Inputs'!$B$17)</x:f>
        <x:v>50325778.20554403</x:v>
      </x:c>
      <x:c r="V845" s="78" t="n">
        <x:f>P845-T845</x:f>
        <x:v>575.1101333666813</x:v>
      </x:c>
      <x:c r="W845" s="79" t="n">
        <x:f>IF(U845&gt;0,V845/U845,0)</x:f>
        <x:v>0.000011427744465625085</x:v>
      </x:c>
      <x:c r="X845" s="80" t="n">
        <x:f>W845*('Inputs'!$B$6-AC845)</x:f>
        <x:v>11300.546280367063</x:v>
      </x:c>
      <x:c r="Y845" s="80" t="n">
        <x:f>2*V845</x:f>
        <x:v>1150.2202667333627</x:v>
      </x:c>
      <x:c r="Z845" s="80" t="n">
        <x:f>K845*'Inputs'!$B$16+(G845+R845)*J845*'Inputs'!$B$16</x:f>
        <x:v>7.002287041481885</x:v>
      </x:c>
      <x:c r="AA845" s="80" t="n">
        <x:f>K845*(1+'Inputs'!$E$46)/2*'Inputs'!$B$17</x:f>
        <x:v>2.3367500379238337</x:v>
      </x:c>
      <x:c r="AB845" s="78" t="n">
        <x:f>(IF(J845&gt;0,K845*(1-'Inputs'!$E$46)/2/J845,0)+G845+R845)*'Inputs'!$B$17</x:f>
        <x:v>202526.12110551295</x:v>
      </x:c>
      <x:c r="AC845" s="78" t="n">
        <x:f>AC844+AB845</x:f>
        <x:v>11130646.615404883</x:v>
      </x:c>
      <x:c r="AD845" s="80" t="n">
        <x:f>Z845/(1+'Inputs'!$C$46)</x:f>
        <x:v>3.5011435207409427</x:v>
      </x:c>
      <x:c r="AE845" s="80" t="n">
        <x:f>Z845-AD845</x:f>
        <x:v>3.5011435207409427</x:v>
      </x:c>
      <x:c r="AF845" s="80" t="n">
        <x:f>D845*W845</x:f>
        <x:v>3.309491631133971</x:v>
      </x:c>
      <x:c r="AG845" s="80" t="n">
        <x:f>C845*W845</x:f>
        <x:v>7.722147139312542</x:v>
      </x:c>
      <x:c r="AH845" s="80" t="n">
        <x:f>2*'Inputs'!$B$8*'Inputs'!$C$46</x:f>
        <x:v>5000</x:v>
      </x:c>
      <x:c r="AI845" s="81" t="n">
        <x:f>IF(AH845&gt;0,(AE845+AF845)/AH845*365,0)</x:f>
        <x:v>0.4971763660868687</x:v>
      </x:c>
      <x:c r="AJ845" s="81" t="n">
        <x:f>IF('Inputs'!$B$46&gt;0,AG845/('Inputs'!$B$19*'Inputs'!$B$46)*365,0)</x:f>
        <x:v>0.28185837058490776</x:v>
      </x:c>
      <x:c r="AK845" s="81" t="n">
        <x:f>W845/MAX($W$734:W845)-1</x:f>
        <x:v>-0.9864404982693087</x:v>
      </x:c>
      <x:c r="AL845" s="83" t="n">
        <x:f>'Inputs'!$B$46</x:f>
        <x:v>1</x:v>
      </x:c>
      <x:c r="AM845" s="83" t="n">
        <x:f>'Inputs'!$C$46</x:f>
        <x:v>1</x:v>
      </x:c>
      <x:c r="AN845" s="83" t="n">
        <x:f>'Inputs'!$D$46</x:f>
        <x:v>1</x:v>
      </x:c>
      <x:c r="AO845" s="81" t="n">
        <x:f>'Inputs'!$E$46</x:f>
        <x:v>0</x:v>
      </x:c>
    </x:row>
    <x:row r="846">
      <x:c r="A846" s="59" t="str">
        <x:v>Base</x:v>
      </x:c>
      <x:c r="B846" s="59" t="n">
        <x:v>113</x:v>
      </x:c>
      <x:c r="C846" s="78" t="n">
        <x:f>(('Inputs'!$B$29*(3*113*'Inputs'!$B$12-113^2)/(2*'Inputs'!$B$12^2))-('Inputs'!$B$29*(3*112*'Inputs'!$B$12-112^2)/(2*'Inputs'!$B$12^2)))*'Inputs'!$B$46</x:f>
        <x:v>675411.66260086</x:v>
      </x:c>
      <x:c r="D846" s="78" t="n">
        <x:f>IF('Inputs'!$C$46&gt;0,('Inputs'!$B$30*(3*113*'Inputs'!$B$12-113^2)/(2*'Inputs'!$B$12^2))-('Inputs'!$B$30*(3*112*'Inputs'!$B$12-112^2)/(2*'Inputs'!$B$12^2)),0)</x:f>
        <x:v>289462.14111465216</x:v>
      </x:c>
      <x:c r="E846" s="78" t="n">
        <x:f>C846+D846</x:f>
        <x:v>964873.8037155122</x:v>
      </x:c>
      <x:c r="F846" s="78" t="n">
        <x:f>'Inputs'!$B$13*E846+(1-'Inputs'!$B$13)/'Inputs'!$B$14*SUM(E791:E846)</x:f>
        <x:v>975091.4805779682</x:v>
      </x:c>
      <x:c r="G846" s="78" t="n">
        <x:f>F846*'Inputs'!$F$46</x:f>
        <x:v>487545.7402889841</x:v>
      </x:c>
      <x:c r="H846" s="78" t="n">
        <x:f>U845</x:f>
        <x:v>50325778.20554403</x:v>
      </x:c>
      <x:c r="I846" s="78" t="n">
        <x:f>V845</x:f>
        <x:v>575.1101333666813</x:v>
      </x:c>
      <x:c r="J846" s="79" t="n">
        <x:f>IF(H846&gt;0,I846/H846,0)</x:f>
        <x:v>0.000011427744465625085</x:v>
      </x:c>
      <x:c r="K846" s="80" t="n">
        <x:f>(H846*J846+I846)*'Inputs'!$D$46*(1+'Inputs'!$G$46)^(B846/30)</x:f>
        <x:v>1150.2202667333627</x:v>
      </x:c>
      <x:c r="L846" s="80" t="n">
        <x:f>MAX(0,K846*'Inputs'!$E$46)</x:f>
        <x:v>0</x:v>
      </x:c>
      <x:c r="M846" s="80" t="n">
        <x:f>MAX(0,-K846*'Inputs'!$E$46)</x:f>
        <x:v>0</x:v>
      </x:c>
      <x:c r="N846" s="78" t="n">
        <x:f>H846*(L846*(1-'Inputs'!$B$15))/(I846+L846*(1-'Inputs'!$B$15))</x:f>
        <x:v>0</x:v>
      </x:c>
      <x:c r="O846" s="78" t="n">
        <x:f>H846-N846</x:f>
        <x:v>50325778.20554403</x:v>
      </x:c>
      <x:c r="P846" s="78" t="n">
        <x:f>I846+L846*(1-'Inputs'!$B$17)</x:f>
        <x:v>575.1101333666813</x:v>
      </x:c>
      <x:c r="Q846" s="78" t="n">
        <x:f>IF(J846&gt;0,M846/J846,0)</x:f>
        <x:v>0</x:v>
      </x:c>
      <x:c r="R846" s="78" t="n">
        <x:f>IF(B846='Inputs'!$H$46,'Inputs'!$B$27*'Inputs'!$I$46,0)</x:f>
        <x:v>0</x:v>
      </x:c>
      <x:c r="S846" s="78" t="n">
        <x:f>Q846+G846+R846</x:f>
        <x:v>487545.7402889841</x:v>
      </x:c>
      <x:c r="T846" s="78" t="n">
        <x:f>P846*(S846*(1-'Inputs'!$B$15))/(O846+S846*(1-'Inputs'!$B$15))</x:f>
        <x:v>5.463433326958738</x:v>
      </x:c>
      <x:c r="U846" s="78" t="n">
        <x:f>O846+S846*(1-'Inputs'!$B$17)</x:f>
        <x:v>50811361.991143726</x:v>
      </x:c>
      <x:c r="V846" s="78" t="n">
        <x:f>P846-T846</x:f>
        <x:v>569.6467000397226</x:v>
      </x:c>
      <x:c r="W846" s="79" t="n">
        <x:f>IF(U846&gt;0,V846/U846,0)</x:f>
        <x:v>0.000011211010248829985</x:v>
      </x:c>
      <x:c r="X846" s="80" t="n">
        <x:f>W846*('Inputs'!$B$6-AC846)</x:f>
        <x:v>11083.93202619029</x:v>
      </x:c>
      <x:c r="Y846" s="80" t="n">
        <x:f>2*V846</x:f>
        <x:v>1139.2934000794453</x:v>
      </x:c>
      <x:c r="Z846" s="80" t="n">
        <x:f>K846*'Inputs'!$B$16+(G846+R846)*J846*'Inputs'!$B$16</x:f>
        <x:v>6.934750889212135</x:v>
      </x:c>
      <x:c r="AA846" s="80" t="n">
        <x:f>K846*(1+'Inputs'!$E$46)/2*'Inputs'!$B$17</x:f>
        <x:v>2.314326492421253</x:v>
      </x:c>
      <x:c r="AB846" s="78" t="n">
        <x:f>(IF(J846&gt;0,K846*(1-'Inputs'!$E$46)/2/J846,0)+G846+R846)*'Inputs'!$B$17</x:f>
        <x:v>204480.1768443985</x:v>
      </x:c>
      <x:c r="AC846" s="78" t="n">
        <x:f>AC845+AB846</x:f>
        <x:v>11335126.792249281</x:v>
      </x:c>
      <x:c r="AD846" s="80" t="n">
        <x:f>Z846/(1+'Inputs'!$C$46)</x:f>
        <x:v>3.4673754446060676</x:v>
      </x:c>
      <x:c r="AE846" s="80" t="n">
        <x:f>Z846-AD846</x:f>
        <x:v>3.4673754446060676</x:v>
      </x:c>
      <x:c r="AF846" s="80" t="n">
        <x:f>D846*W846</x:f>
        <x:v>3.2451630306846364</x:v>
      </x:c>
      <x:c r="AG846" s="80" t="n">
        <x:f>C846*W846</x:f>
        <x:v>7.572047071597541</x:v>
      </x:c>
      <x:c r="AH846" s="80" t="n">
        <x:f>2*'Inputs'!$B$8*'Inputs'!$C$46</x:f>
        <x:v>5000</x:v>
      </x:c>
      <x:c r="AI846" s="81" t="n">
        <x:f>IF(AH846&gt;0,(AE846+AF846)/AH846*365,0)</x:f>
        <x:v>0.4900153086962214</x:v>
      </x:c>
      <x:c r="AJ846" s="81" t="n">
        <x:f>IF('Inputs'!$B$46&gt;0,AG846/('Inputs'!$B$19*'Inputs'!$B$46)*365,0)</x:f>
        <x:v>0.27637971811331025</x:v>
      </x:c>
      <x:c r="AK846" s="81" t="n">
        <x:f>W846/MAX($W$734:W846)-1</x:f>
        <x:v>-0.9866976625764537</x:v>
      </x:c>
      <x:c r="AL846" s="83" t="n">
        <x:f>'Inputs'!$B$46</x:f>
        <x:v>1</x:v>
      </x:c>
      <x:c r="AM846" s="83" t="n">
        <x:f>'Inputs'!$C$46</x:f>
        <x:v>1</x:v>
      </x:c>
      <x:c r="AN846" s="83" t="n">
        <x:f>'Inputs'!$D$46</x:f>
        <x:v>1</x:v>
      </x:c>
      <x:c r="AO846" s="81" t="n">
        <x:f>'Inputs'!$E$46</x:f>
        <x:v>0</x:v>
      </x:c>
    </x:row>
    <x:row r="847">
      <x:c r="A847" s="59" t="str">
        <x:v>Base</x:v>
      </x:c>
      <x:c r="B847" s="59" t="n">
        <x:v>114</x:v>
      </x:c>
      <x:c r="C847" s="78" t="n">
        <x:f>(('Inputs'!$B$29*(3*114*'Inputs'!$B$12-114^2)/(2*'Inputs'!$B$12^2))-('Inputs'!$B$29*(3*113*'Inputs'!$B$12-113^2)/(2*'Inputs'!$B$12^2)))*'Inputs'!$B$46</x:f>
        <x:v>675086.5547006875</x:v>
      </x:c>
      <x:c r="D847" s="78" t="n">
        <x:f>IF('Inputs'!$C$46&gt;0,('Inputs'!$B$30*(3*114*'Inputs'!$B$12-114^2)/(2*'Inputs'!$B$12^2))-('Inputs'!$B$30*(3*113*'Inputs'!$B$12-113^2)/(2*'Inputs'!$B$12^2)),0)</x:f>
        <x:v>289322.8091574386</x:v>
      </x:c>
      <x:c r="E847" s="78" t="n">
        <x:f>C847+D847</x:f>
        <x:v>964409.3638581261</x:v>
      </x:c>
      <x:c r="F847" s="78" t="n">
        <x:f>'Inputs'!$B$13*E847+(1-'Inputs'!$B$13)/'Inputs'!$B$14*SUM(E792:E847)</x:f>
        <x:v>974627.0407205839</x:v>
      </x:c>
      <x:c r="G847" s="78" t="n">
        <x:f>F847*'Inputs'!$F$46</x:f>
        <x:v>487313.52036029194</x:v>
      </x:c>
      <x:c r="H847" s="78" t="n">
        <x:f>U846</x:f>
        <x:v>50811361.991143726</x:v>
      </x:c>
      <x:c r="I847" s="78" t="n">
        <x:f>V846</x:f>
        <x:v>569.6467000397226</x:v>
      </x:c>
      <x:c r="J847" s="79" t="n">
        <x:f>IF(H847&gt;0,I847/H847,0)</x:f>
        <x:v>0.000011211010248829985</x:v>
      </x:c>
      <x:c r="K847" s="80" t="n">
        <x:f>(H847*J847+I847)*'Inputs'!$D$46*(1+'Inputs'!$G$46)^(B847/30)</x:f>
        <x:v>1139.2934000794453</x:v>
      </x:c>
      <x:c r="L847" s="80" t="n">
        <x:f>MAX(0,K847*'Inputs'!$E$46)</x:f>
        <x:v>0</x:v>
      </x:c>
      <x:c r="M847" s="80" t="n">
        <x:f>MAX(0,-K847*'Inputs'!$E$46)</x:f>
        <x:v>0</x:v>
      </x:c>
      <x:c r="N847" s="78" t="n">
        <x:f>H847*(L847*(1-'Inputs'!$B$15))/(I847+L847*(1-'Inputs'!$B$15))</x:f>
        <x:v>0</x:v>
      </x:c>
      <x:c r="O847" s="78" t="n">
        <x:f>H847-N847</x:f>
        <x:v>50811361.991143726</x:v>
      </x:c>
      <x:c r="P847" s="78" t="n">
        <x:f>I847+L847*(1-'Inputs'!$B$17)</x:f>
        <x:v>569.6467000397226</x:v>
      </x:c>
      <x:c r="Q847" s="78" t="n">
        <x:f>IF(J847&gt;0,M847/J847,0)</x:f>
        <x:v>0</x:v>
      </x:c>
      <x:c r="R847" s="78" t="n">
        <x:f>IF(B847='Inputs'!$H$46,'Inputs'!$B$27*'Inputs'!$I$46,0)</x:f>
        <x:v>0</x:v>
      </x:c>
      <x:c r="S847" s="78" t="n">
        <x:f>Q847+G847+R847</x:f>
        <x:v>487313.52036029194</x:v>
      </x:c>
      <x:c r="T847" s="78" t="n">
        <x:f>P847*(S847*(1-'Inputs'!$B$15))/(O847+S847*(1-'Inputs'!$B$15))</x:f>
        <x:v>5.35777346655388</x:v>
      </x:c>
      <x:c r="U847" s="78" t="n">
        <x:f>O847+S847*(1-'Inputs'!$B$17)</x:f>
        <x:v>51296714.49130136</x:v>
      </x:c>
      <x:c r="V847" s="78" t="n">
        <x:f>P847-T847</x:f>
        <x:v>564.2889265731687</x:v>
      </x:c>
      <x:c r="W847" s="79" t="n">
        <x:f>IF(U847&gt;0,V847/U847,0)</x:f>
        <x:v>0.000011000488670065956</x:v>
      </x:c>
      <x:c r="X847" s="80" t="n">
        <x:f>W847*('Inputs'!$B$6-AC847)</x:f>
        <x:v>10873.525869015853</x:v>
      </x:c>
      <x:c r="Y847" s="80" t="n">
        <x:f>2*V847</x:f>
        <x:v>1128.5778531463375</x:v>
      </x:c>
      <x:c r="Z847" s="80" t="n">
        <x:f>K847*'Inputs'!$B$16+(G847+R847)*J847*'Inputs'!$B$16</x:f>
        <x:v>6.868540061703587</x:v>
      </x:c>
      <x:c r="AA847" s="80" t="n">
        <x:f>K847*(1+'Inputs'!$E$46)/2*'Inputs'!$B$17</x:f>
        <x:v>2.2923408452302723</x:v>
      </x:c>
      <x:c r="AB847" s="78" t="n">
        <x:f>(IF(J847&gt;0,K847*(1-'Inputs'!$E$46)/2/J847,0)+G847+R847)*'Inputs'!$B$17</x:f>
        <x:v>206433.30185715904</x:v>
      </x:c>
      <x:c r="AC847" s="78" t="n">
        <x:f>AC846+AB847</x:f>
        <x:v>11541560.09410644</x:v>
      </x:c>
      <x:c r="AD847" s="80" t="n">
        <x:f>Z847/(1+'Inputs'!$C$46)</x:f>
        <x:v>3.4342700308517937</x:v>
      </x:c>
      <x:c r="AE847" s="80" t="n">
        <x:f>Z847-AD847</x:f>
        <x:v>3.4342700308517937</x:v>
      </x:c>
      <x:c r="AF847" s="80" t="n">
        <x:f>D847*W847</x:f>
        <x:v>3.182692284128058</x:v>
      </x:c>
      <x:c r="AG847" s="80" t="n">
        <x:f>C847*W847</x:f>
        <x:v>7.4262819962987745</x:v>
      </x:c>
      <x:c r="AH847" s="80" t="n">
        <x:f>2*'Inputs'!$B$8*'Inputs'!$C$46</x:f>
        <x:v>5000</x:v>
      </x:c>
      <x:c r="AI847" s="81" t="n">
        <x:f>IF(AH847&gt;0,(AE847+AF847)/AH847*365,0)</x:f>
        <x:v>0.4830382489935291</x:v>
      </x:c>
      <x:c r="AJ847" s="81" t="n">
        <x:f>IF('Inputs'!$B$46&gt;0,AG847/('Inputs'!$B$19*'Inputs'!$B$46)*365,0)</x:f>
        <x:v>0.27105929286490527</x:v>
      </x:c>
      <x:c r="AK847" s="81" t="n">
        <x:f>W847/MAX($W$734:W847)-1</x:f>
        <x:v>-0.9869474553260366</x:v>
      </x:c>
      <x:c r="AL847" s="83" t="n">
        <x:f>'Inputs'!$B$46</x:f>
        <x:v>1</x:v>
      </x:c>
      <x:c r="AM847" s="83" t="n">
        <x:f>'Inputs'!$C$46</x:f>
        <x:v>1</x:v>
      </x:c>
      <x:c r="AN847" s="83" t="n">
        <x:f>'Inputs'!$D$46</x:f>
        <x:v>1</x:v>
      </x:c>
      <x:c r="AO847" s="81" t="n">
        <x:f>'Inputs'!$E$46</x:f>
        <x:v>0</x:v>
      </x:c>
    </x:row>
    <x:row r="848">
      <x:c r="A848" s="59" t="str">
        <x:v>Base</x:v>
      </x:c>
      <x:c r="B848" s="59" t="n">
        <x:v>115</x:v>
      </x:c>
      <x:c r="C848" s="78" t="n">
        <x:f>(('Inputs'!$B$29*(3*115*'Inputs'!$B$12-115^2)/(2*'Inputs'!$B$12^2))-('Inputs'!$B$29*(3*114*'Inputs'!$B$12-114^2)/(2*'Inputs'!$B$12^2)))*'Inputs'!$B$46</x:f>
        <x:v>674761.44680053</x:v>
      </x:c>
      <x:c r="D848" s="78" t="n">
        <x:f>IF('Inputs'!$C$46&gt;0,('Inputs'!$B$30*(3*115*'Inputs'!$B$12-115^2)/(2*'Inputs'!$B$12^2))-('Inputs'!$B$30*(3*114*'Inputs'!$B$12-114^2)/(2*'Inputs'!$B$12^2)),0)</x:f>
        <x:v>289183.47720023245</x:v>
      </x:c>
      <x:c r="E848" s="78" t="n">
        <x:f>C848+D848</x:f>
        <x:v>963944.9240007624</x:v>
      </x:c>
      <x:c r="F848" s="78" t="n">
        <x:f>'Inputs'!$B$13*E848+(1-'Inputs'!$B$13)/'Inputs'!$B$14*SUM(E793:E848)</x:f>
        <x:v>974162.6008632038</x:v>
      </x:c>
      <x:c r="G848" s="78" t="n">
        <x:f>F848*'Inputs'!$F$46</x:f>
        <x:v>487081.3004316019</x:v>
      </x:c>
      <x:c r="H848" s="78" t="n">
        <x:f>U847</x:f>
        <x:v>51296714.49130136</x:v>
      </x:c>
      <x:c r="I848" s="78" t="n">
        <x:f>V847</x:f>
        <x:v>564.2889265731687</x:v>
      </x:c>
      <x:c r="J848" s="79" t="n">
        <x:f>IF(H848&gt;0,I848/H848,0)</x:f>
        <x:v>0.000011000488670065956</x:v>
      </x:c>
      <x:c r="K848" s="80" t="n">
        <x:f>(H848*J848+I848)*'Inputs'!$D$46*(1+'Inputs'!$G$46)^(B848/30)</x:f>
        <x:v>1128.5778531463375</x:v>
      </x:c>
      <x:c r="L848" s="80" t="n">
        <x:f>MAX(0,K848*'Inputs'!$E$46)</x:f>
        <x:v>0</x:v>
      </x:c>
      <x:c r="M848" s="80" t="n">
        <x:f>MAX(0,-K848*'Inputs'!$E$46)</x:f>
        <x:v>0</x:v>
      </x:c>
      <x:c r="N848" s="78" t="n">
        <x:f>H848*(L848*(1-'Inputs'!$B$15))/(I848+L848*(1-'Inputs'!$B$15))</x:f>
        <x:v>0</x:v>
      </x:c>
      <x:c r="O848" s="78" t="n">
        <x:f>H848-N848</x:f>
        <x:v>51296714.49130136</x:v>
      </x:c>
      <x:c r="P848" s="78" t="n">
        <x:f>I848+L848*(1-'Inputs'!$B$17)</x:f>
        <x:v>564.2889265731687</x:v>
      </x:c>
      <x:c r="Q848" s="78" t="n">
        <x:f>IF(J848&gt;0,M848/J848,0)</x:f>
        <x:v>0</x:v>
      </x:c>
      <x:c r="R848" s="78" t="n">
        <x:f>IF(B848='Inputs'!$H$46,'Inputs'!$B$27*'Inputs'!$I$46,0)</x:f>
        <x:v>0</x:v>
      </x:c>
      <x:c r="S848" s="78" t="n">
        <x:f>Q848+G848+R848</x:f>
        <x:v>487081.3004316019</x:v>
      </x:c>
      <x:c r="T848" s="78" t="n">
        <x:f>P848*(S848*(1-'Inputs'!$B$15))/(O848+S848*(1-'Inputs'!$B$15))</x:f>
        <x:v>5.255150400369491</x:v>
      </x:c>
      <x:c r="U848" s="78" t="n">
        <x:f>O848+S848*(1-'Inputs'!$B$17)</x:f>
        <x:v>51781835.706016935</x:v>
      </x:c>
      <x:c r="V848" s="78" t="n">
        <x:f>P848-T848</x:f>
        <x:v>559.0337761727992</x:v>
      </x:c>
      <x:c r="W848" s="79" t="n">
        <x:f>IF(U848&gt;0,V848/U848,0)</x:f>
        <x:v>0.000010795943568834133</x:v>
      </x:c>
      <x:c r="X848" s="80" t="n">
        <x:f>W848*('Inputs'!$B$6-AC848)</x:f>
        <x:v>10669.09181930492</x:v>
      </x:c>
      <x:c r="Y848" s="80" t="n">
        <x:f>2*V848</x:f>
        <x:v>1118.0675523455984</x:v>
      </x:c>
      <x:c r="Z848" s="80" t="n">
        <x:f>K848*'Inputs'!$B$16+(G848+R848)*J848*'Inputs'!$B$16</x:f>
        <x:v>6.8036159128388185</x:v>
      </x:c>
      <x:c r="AA848" s="80" t="n">
        <x:f>K848*(1+'Inputs'!$E$46)/2*'Inputs'!$B$17</x:f>
        <x:v>2.2707803886244218</x:v>
      </x:c>
      <x:c r="AB848" s="78" t="n">
        <x:f>(IF(J848&gt;0,K848*(1-'Inputs'!$E$46)/2/J848,0)+G848+R848)*'Inputs'!$B$17</x:f>
        <x:v>208385.49614379462</x:v>
      </x:c>
      <x:c r="AC848" s="78" t="n">
        <x:f>AC847+AB848</x:f>
        <x:v>11749945.590250235</x:v>
      </x:c>
      <x:c r="AD848" s="80" t="n">
        <x:f>Z848/(1+'Inputs'!$C$46)</x:f>
        <x:v>3.4018079564194093</x:v>
      </x:c>
      <x:c r="AE848" s="80" t="n">
        <x:f>Z848-AD848</x:f>
        <x:v>3.4018079564194093</x:v>
      </x:c>
      <x:c r="AF848" s="80" t="n">
        <x:f>D848*W848</x:f>
        <x:v>3.1220085008929415</x:v>
      </x:c>
      <x:c r="AG848" s="80" t="n">
        <x:f>C848*W848</x:f>
        <x:v>7.284686502083396</x:v>
      </x:c>
      <x:c r="AH848" s="80" t="n">
        <x:f>2*'Inputs'!$B$8*'Inputs'!$C$46</x:f>
        <x:v>5000</x:v>
      </x:c>
      <x:c r="AI848" s="81" t="n">
        <x:f>IF(AH848&gt;0,(AE848+AF848)/AH848*365,0)</x:f>
        <x:v>0.4762386013838016</x:v>
      </x:c>
      <x:c r="AJ848" s="81" t="n">
        <x:f>IF('Inputs'!$B$46&gt;0,AG848/('Inputs'!$B$19*'Inputs'!$B$46)*365,0)</x:f>
        <x:v>0.26589105732604396</x:v>
      </x:c>
      <x:c r="AK848" s="81" t="n">
        <x:f>W848/MAX($W$734:W848)-1</x:f>
        <x:v>-0.987190156732469</x:v>
      </x:c>
      <x:c r="AL848" s="83" t="n">
        <x:f>'Inputs'!$B$46</x:f>
        <x:v>1</x:v>
      </x:c>
      <x:c r="AM848" s="83" t="n">
        <x:f>'Inputs'!$C$46</x:f>
        <x:v>1</x:v>
      </x:c>
      <x:c r="AN848" s="83" t="n">
        <x:f>'Inputs'!$D$46</x:f>
        <x:v>1</x:v>
      </x:c>
      <x:c r="AO848" s="81" t="n">
        <x:f>'Inputs'!$E$46</x:f>
        <x:v>0</x:v>
      </x:c>
    </x:row>
    <x:row r="849">
      <x:c r="A849" s="59" t="str">
        <x:v>Base</x:v>
      </x:c>
      <x:c r="B849" s="59" t="n">
        <x:v>116</x:v>
      </x:c>
      <x:c r="C849" s="78" t="n">
        <x:f>(('Inputs'!$B$29*(3*116*'Inputs'!$B$12-116^2)/(2*'Inputs'!$B$12^2))-('Inputs'!$B$29*(3*115*'Inputs'!$B$12-115^2)/(2*'Inputs'!$B$12^2)))*'Inputs'!$B$46</x:f>
        <x:v>674436.3389003575</x:v>
      </x:c>
      <x:c r="D849" s="78" t="n">
        <x:f>IF('Inputs'!$C$46&gt;0,('Inputs'!$B$30*(3*116*'Inputs'!$B$12-116^2)/(2*'Inputs'!$B$12^2))-('Inputs'!$B$30*(3*115*'Inputs'!$B$12-115^2)/(2*'Inputs'!$B$12^2)),0)</x:f>
        <x:v>289044.14524300396</x:v>
      </x:c>
      <x:c r="E849" s="78" t="n">
        <x:f>C849+D849</x:f>
        <x:v>963480.4841433614</x:v>
      </x:c>
      <x:c r="F849" s="78" t="n">
        <x:f>'Inputs'!$B$13*E849+(1-'Inputs'!$B$13)/'Inputs'!$B$14*SUM(E794:E849)</x:f>
        <x:v>973698.1610058163</x:v>
      </x:c>
      <x:c r="G849" s="78" t="n">
        <x:f>F849*'Inputs'!$F$46</x:f>
        <x:v>486849.08050290815</x:v>
      </x:c>
      <x:c r="H849" s="78" t="n">
        <x:f>U848</x:f>
        <x:v>51781835.706016935</x:v>
      </x:c>
      <x:c r="I849" s="78" t="n">
        <x:f>V848</x:f>
        <x:v>559.0337761727992</x:v>
      </x:c>
      <x:c r="J849" s="79" t="n">
        <x:f>IF(H849&gt;0,I849/H849,0)</x:f>
        <x:v>0.000010795943568834133</x:v>
      </x:c>
      <x:c r="K849" s="80" t="n">
        <x:f>(H849*J849+I849)*'Inputs'!$D$46*(1+'Inputs'!$G$46)^(B849/30)</x:f>
        <x:v>1118.0675523455984</x:v>
      </x:c>
      <x:c r="L849" s="80" t="n">
        <x:f>MAX(0,K849*'Inputs'!$E$46)</x:f>
        <x:v>0</x:v>
      </x:c>
      <x:c r="M849" s="80" t="n">
        <x:f>MAX(0,-K849*'Inputs'!$E$46)</x:f>
        <x:v>0</x:v>
      </x:c>
      <x:c r="N849" s="78" t="n">
        <x:f>H849*(L849*(1-'Inputs'!$B$15))/(I849+L849*(1-'Inputs'!$B$15))</x:f>
        <x:v>0</x:v>
      </x:c>
      <x:c r="O849" s="78" t="n">
        <x:f>H849-N849</x:f>
        <x:v>51781835.706016935</x:v>
      </x:c>
      <x:c r="P849" s="78" t="n">
        <x:f>I849+L849*(1-'Inputs'!$B$17)</x:f>
        <x:v>559.0337761727992</x:v>
      </x:c>
      <x:c r="Q849" s="78" t="n">
        <x:f>IF(J849&gt;0,M849/J849,0)</x:f>
        <x:v>0</x:v>
      </x:c>
      <x:c r="R849" s="78" t="n">
        <x:f>IF(B849='Inputs'!$H$46,'Inputs'!$B$27*'Inputs'!$I$46,0)</x:f>
        <x:v>0</x:v>
      </x:c>
      <x:c r="S849" s="78" t="n">
        <x:f>Q849+G849+R849</x:f>
        <x:v>486849.08050290815</x:v>
      </x:c>
      <x:c r="T849" s="78" t="n">
        <x:f>P849*(S849*(1-'Inputs'!$B$15))/(O849+S849*(1-'Inputs'!$B$15))</x:f>
        <x:v>5.155448801829841</x:v>
      </x:c>
      <x:c r="U849" s="78" t="n">
        <x:f>O849+S849*(1-'Inputs'!$B$17)</x:f>
        <x:v>52266725.63529046</x:v>
      </x:c>
      <x:c r="V849" s="78" t="n">
        <x:f>P849-T849</x:f>
        <x:v>553.8783273709694</x:v>
      </x:c>
      <x:c r="W849" s="79" t="n">
        <x:f>IF(U849&gt;0,V849/U849,0)</x:f>
        <x:v>0.000010597149919737676</x:v>
      </x:c>
      <x:c r="X849" s="80" t="n">
        <x:f>W849*('Inputs'!$B$6-AC849)</x:f>
        <x:v>10470.405014592816</x:v>
      </x:c>
      <x:c r="Y849" s="80" t="n">
        <x:f>2*V849</x:f>
        <x:v>1107.7566547419387</x:v>
      </x:c>
      <x:c r="Z849" s="80" t="n">
        <x:f>K849*'Inputs'!$B$16+(G849+R849)*J849*'Inputs'!$B$16</x:f>
        <x:v>6.739941285271479</x:v>
      </x:c>
      <x:c r="AA849" s="80" t="n">
        <x:f>K849*(1+'Inputs'!$E$46)/2*'Inputs'!$B$17</x:f>
        <x:v>2.2496329021038197</x:v>
      </x:c>
      <x:c r="AB849" s="78" t="n">
        <x:f>(IF(J849&gt;0,K849*(1-'Inputs'!$E$46)/2/J849,0)+G849+R849)*'Inputs'!$B$17</x:f>
        <x:v>210336.7597043052</x:v>
      </x:c>
      <x:c r="AC849" s="78" t="n">
        <x:f>AC848+AB849</x:f>
        <x:v>11960282.34995454</x:v>
      </x:c>
      <x:c r="AD849" s="80" t="n">
        <x:f>Z849/(1+'Inputs'!$C$46)</x:f>
        <x:v>3.3699706426357396</x:v>
      </x:c>
      <x:c r="AE849" s="80" t="n">
        <x:f>Z849-AD849</x:f>
        <x:v>3.3699706426357396</x:v>
      </x:c>
      <x:c r="AF849" s="80" t="n">
        <x:f>D849*W849</x:f>
        <x:v>3.063044140562545</x:v>
      </x:c>
      <x:c r="AG849" s="80" t="n">
        <x:f>C849*W849</x:f>
        <x:v>7.1471029946460956</x:v>
      </x:c>
      <x:c r="AH849" s="80" t="n">
        <x:f>2*'Inputs'!$B$8*'Inputs'!$C$46</x:f>
        <x:v>5000</x:v>
      </x:c>
      <x:c r="AI849" s="81" t="n">
        <x:f>IF(AH849&gt;0,(AE849+AF849)/AH849*365,0)</x:f>
        <x:v>0.4696100791734748</x:v>
      </x:c>
      <x:c r="AJ849" s="81" t="n">
        <x:f>IF('Inputs'!$B$46&gt;0,AG849/('Inputs'!$B$19*'Inputs'!$B$46)*365,0)</x:f>
        <x:v>0.2608692593045825</x:v>
      </x:c>
      <x:c r="AK849" s="81" t="n">
        <x:f>W849/MAX($W$734:W849)-1</x:f>
        <x:v>-0.9874260337978936</x:v>
      </x:c>
      <x:c r="AL849" s="83" t="n">
        <x:f>'Inputs'!$B$46</x:f>
        <x:v>1</x:v>
      </x:c>
      <x:c r="AM849" s="83" t="n">
        <x:f>'Inputs'!$C$46</x:f>
        <x:v>1</x:v>
      </x:c>
      <x:c r="AN849" s="83" t="n">
        <x:f>'Inputs'!$D$46</x:f>
        <x:v>1</x:v>
      </x:c>
      <x:c r="AO849" s="81" t="n">
        <x:f>'Inputs'!$E$46</x:f>
        <x:v>0</x:v>
      </x:c>
    </x:row>
    <x:row r="850">
      <x:c r="A850" s="59" t="str">
        <x:v>Base</x:v>
      </x:c>
      <x:c r="B850" s="59" t="n">
        <x:v>117</x:v>
      </x:c>
      <x:c r="C850" s="78" t="n">
        <x:f>(('Inputs'!$B$29*(3*117*'Inputs'!$B$12-117^2)/(2*'Inputs'!$B$12^2))-('Inputs'!$B$29*(3*116*'Inputs'!$B$12-116^2)/(2*'Inputs'!$B$12^2)))*'Inputs'!$B$46</x:f>
        <x:v>674111.231000185</x:v>
      </x:c>
      <x:c r="D850" s="78" t="n">
        <x:f>IF('Inputs'!$C$46&gt;0,('Inputs'!$B$30*(3*117*'Inputs'!$B$12-117^2)/(2*'Inputs'!$B$12^2))-('Inputs'!$B$30*(3*116*'Inputs'!$B$12-116^2)/(2*'Inputs'!$B$12^2)),0)</x:f>
        <x:v>288904.81328579783</x:v>
      </x:c>
      <x:c r="E850" s="78" t="n">
        <x:f>C850+D850</x:f>
        <x:v>963016.0442859828</x:v>
      </x:c>
      <x:c r="F850" s="78" t="n">
        <x:f>'Inputs'!$B$13*E850+(1-'Inputs'!$B$13)/'Inputs'!$B$14*SUM(E795:E850)</x:f>
        <x:v>973233.7211484333</x:v>
      </x:c>
      <x:c r="G850" s="78" t="n">
        <x:f>F850*'Inputs'!$F$46</x:f>
        <x:v>486616.86057421664</x:v>
      </x:c>
      <x:c r="H850" s="78" t="n">
        <x:f>U849</x:f>
        <x:v>52266725.63529046</x:v>
      </x:c>
      <x:c r="I850" s="78" t="n">
        <x:f>V849</x:f>
        <x:v>553.8783273709694</x:v>
      </x:c>
      <x:c r="J850" s="79" t="n">
        <x:f>IF(H850&gt;0,I850/H850,0)</x:f>
        <x:v>0.000010597149919737676</x:v>
      </x:c>
      <x:c r="K850" s="80" t="n">
        <x:f>(H850*J850+I850)*'Inputs'!$D$46*(1+'Inputs'!$G$46)^(B850/30)</x:f>
        <x:v>1107.7566547419387</x:v>
      </x:c>
      <x:c r="L850" s="80" t="n">
        <x:f>MAX(0,K850*'Inputs'!$E$46)</x:f>
        <x:v>0</x:v>
      </x:c>
      <x:c r="M850" s="80" t="n">
        <x:f>MAX(0,-K850*'Inputs'!$E$46)</x:f>
        <x:v>0</x:v>
      </x:c>
      <x:c r="N850" s="78" t="n">
        <x:f>H850*(L850*(1-'Inputs'!$B$15))/(I850+L850*(1-'Inputs'!$B$15))</x:f>
        <x:v>0</x:v>
      </x:c>
      <x:c r="O850" s="78" t="n">
        <x:f>H850-N850</x:f>
        <x:v>52266725.63529046</x:v>
      </x:c>
      <x:c r="P850" s="78" t="n">
        <x:f>I850+L850*(1-'Inputs'!$B$17)</x:f>
        <x:v>553.8783273709694</x:v>
      </x:c>
      <x:c r="Q850" s="78" t="n">
        <x:f>IF(J850&gt;0,M850/J850,0)</x:f>
        <x:v>0</x:v>
      </x:c>
      <x:c r="R850" s="78" t="n">
        <x:f>IF(B850='Inputs'!$H$46,'Inputs'!$B$27*'Inputs'!$I$46,0)</x:f>
        <x:v>0</x:v>
      </x:c>
      <x:c r="S850" s="78" t="n">
        <x:f>Q850+G850+R850</x:f>
        <x:v>486616.86057421664</x:v>
      </x:c>
      <x:c r="T850" s="78" t="n">
        <x:f>P850*(S850*(1-'Inputs'!$B$15))/(O850+S850*(1-'Inputs'!$B$15))</x:f>
        <x:v>5.058558769012534</x:v>
      </x:c>
      <x:c r="U850" s="78" t="n">
        <x:f>O850+S850*(1-'Inputs'!$B$17)</x:f>
        <x:v>52751384.27912192</x:v>
      </x:c>
      <x:c r="V850" s="78" t="n">
        <x:f>P850-T850</x:f>
        <x:v>548.8197686019569</x:v>
      </x:c>
      <x:c r="W850" s="79" t="n">
        <x:f>IF(U850&gt;0,V850/U850,0)</x:f>
        <x:v>0.00001040389320776877</x:v>
      </x:c>
      <x:c r="X850" s="80" t="n">
        <x:f>W850*('Inputs'!$B$6-AC850)</x:f>
        <x:v>10277.251095224921</x:v>
      </x:c>
      <x:c r="Y850" s="80" t="n">
        <x:f>2*V850</x:f>
        <x:v>1097.6395372039137</x:v>
      </x:c>
      <x:c r="Z850" s="80" t="n">
        <x:f>K850*'Inputs'!$B$16+(G850+R850)*J850*'Inputs'!$B$16</x:f>
        <x:v>6.677480439401495</x:v>
      </x:c>
      <x:c r="AA850" s="80" t="n">
        <x:f>K850*(1+'Inputs'!$E$46)/2*'Inputs'!$B$17</x:f>
        <x:v>2.2288866292594345</x:v>
      </x:c>
      <x:c r="AB850" s="78" t="n">
        <x:f>(IF(J850&gt;0,K850*(1-'Inputs'!$E$46)/2/J850,0)+G850+R850)*'Inputs'!$B$17</x:f>
        <x:v>212287.09253869083</x:v>
      </x:c>
      <x:c r="AC850" s="78" t="n">
        <x:f>AC849+AB850</x:f>
        <x:v>12172569.44249323</x:v>
      </x:c>
      <x:c r="AD850" s="80" t="n">
        <x:f>Z850/(1+'Inputs'!$C$46)</x:f>
        <x:v>3.3387402197007474</x:v>
      </x:c>
      <x:c r="AE850" s="80" t="n">
        <x:f>Z850-AD850</x:f>
        <x:v>3.3387402197007474</x:v>
      </x:c>
      <x:c r="AF850" s="80" t="n">
        <x:f>D850*W850</x:f>
        <x:v>3.005734824635817</x:v>
      </x:c>
      <x:c r="AG850" s="80" t="n">
        <x:f>C850*W850</x:f>
        <x:v>7.01338125748347</x:v>
      </x:c>
      <x:c r="AH850" s="80" t="n">
        <x:f>2*'Inputs'!$B$8*'Inputs'!$C$46</x:f>
        <x:v>5000</x:v>
      </x:c>
      <x:c r="AI850" s="81" t="n">
        <x:f>IF(AH850&gt;0,(AE850+AF850)/AH850*365,0)</x:f>
        <x:v>0.4631466782365692</x:v>
      </x:c>
      <x:c r="AJ850" s="81" t="n">
        <x:f>IF('Inputs'!$B$46&gt;0,AG850/('Inputs'!$B$19*'Inputs'!$B$46)*365,0)</x:f>
        <x:v>0.25598841589814664</x:v>
      </x:c>
      <x:c r="AK850" s="81" t="n">
        <x:f>W850/MAX($W$734:W850)-1</x:f>
        <x:v>-0.9876553410534322</x:v>
      </x:c>
      <x:c r="AL850" s="83" t="n">
        <x:f>'Inputs'!$B$46</x:f>
        <x:v>1</x:v>
      </x:c>
      <x:c r="AM850" s="83" t="n">
        <x:f>'Inputs'!$C$46</x:f>
        <x:v>1</x:v>
      </x:c>
      <x:c r="AN850" s="83" t="n">
        <x:f>'Inputs'!$D$46</x:f>
        <x:v>1</x:v>
      </x:c>
      <x:c r="AO850" s="81" t="n">
        <x:f>'Inputs'!$E$46</x:f>
        <x:v>0</x:v>
      </x:c>
    </x:row>
    <x:row r="851">
      <x:c r="A851" s="59" t="str">
        <x:v>Base</x:v>
      </x:c>
      <x:c r="B851" s="59" t="n">
        <x:v>118</x:v>
      </x:c>
      <x:c r="C851" s="78" t="n">
        <x:f>(('Inputs'!$B$29*(3*118*'Inputs'!$B$12-118^2)/(2*'Inputs'!$B$12^2))-('Inputs'!$B$29*(3*117*'Inputs'!$B$12-117^2)/(2*'Inputs'!$B$12^2)))*'Inputs'!$B$46</x:f>
        <x:v>673786.1231000274</x:v>
      </x:c>
      <x:c r="D851" s="78" t="n">
        <x:f>IF('Inputs'!$C$46&gt;0,('Inputs'!$B$30*(3*118*'Inputs'!$B$12-118^2)/(2*'Inputs'!$B$12^2))-('Inputs'!$B$30*(3*117*'Inputs'!$B$12-117^2)/(2*'Inputs'!$B$12^2)),0)</x:f>
        <x:v>288765.4813285768</x:v>
      </x:c>
      <x:c r="E851" s="78" t="n">
        <x:f>C851+D851</x:f>
        <x:v>962551.6044286042</x:v>
      </x:c>
      <x:c r="F851" s="78" t="n">
        <x:f>'Inputs'!$B$13*E851+(1-'Inputs'!$B$13)/'Inputs'!$B$14*SUM(E796:E851)</x:f>
        <x:v>972769.2812910504</x:v>
      </x:c>
      <x:c r="G851" s="78" t="n">
        <x:f>F851*'Inputs'!$F$46</x:f>
        <x:v>486384.6406455252</x:v>
      </x:c>
      <x:c r="H851" s="78" t="n">
        <x:f>U850</x:f>
        <x:v>52751384.27912192</x:v>
      </x:c>
      <x:c r="I851" s="78" t="n">
        <x:f>V850</x:f>
        <x:v>548.8197686019569</x:v>
      </x:c>
      <x:c r="J851" s="79" t="n">
        <x:f>IF(H851&gt;0,I851/H851,0)</x:f>
        <x:v>0.00001040389320776877</x:v>
      </x:c>
      <x:c r="K851" s="80" t="n">
        <x:f>(H851*J851+I851)*'Inputs'!$D$46*(1+'Inputs'!$G$46)^(B851/30)</x:f>
        <x:v>1097.6395372039137</x:v>
      </x:c>
      <x:c r="L851" s="80" t="n">
        <x:f>MAX(0,K851*'Inputs'!$E$46)</x:f>
        <x:v>0</x:v>
      </x:c>
      <x:c r="M851" s="80" t="n">
        <x:f>MAX(0,-K851*'Inputs'!$E$46)</x:f>
        <x:v>0</x:v>
      </x:c>
      <x:c r="N851" s="78" t="n">
        <x:f>H851*(L851*(1-'Inputs'!$B$15))/(I851+L851*(1-'Inputs'!$B$15))</x:f>
        <x:v>0</x:v>
      </x:c>
      <x:c r="O851" s="78" t="n">
        <x:f>H851-N851</x:f>
        <x:v>52751384.27912192</x:v>
      </x:c>
      <x:c r="P851" s="78" t="n">
        <x:f>I851+L851*(1-'Inputs'!$B$17)</x:f>
        <x:v>548.8197686019569</x:v>
      </x:c>
      <x:c r="Q851" s="78" t="n">
        <x:f>IF(J851&gt;0,M851/J851,0)</x:f>
        <x:v>0</x:v>
      </x:c>
      <x:c r="R851" s="78" t="n">
        <x:f>IF(B851='Inputs'!$H$46,'Inputs'!$B$27*'Inputs'!$I$46,0)</x:f>
        <x:v>0</x:v>
      </x:c>
      <x:c r="S851" s="78" t="n">
        <x:f>Q851+G851+R851</x:f>
        <x:v>486384.6406455252</x:v>
      </x:c>
      <x:c r="T851" s="78" t="n">
        <x:f>P851*(S851*(1-'Inputs'!$B$15))/(O851+S851*(1-'Inputs'!$B$15))</x:f>
        <x:v>4.964375521251853</x:v>
      </x:c>
      <x:c r="U851" s="78" t="n">
        <x:f>O851+S851*(1-'Inputs'!$B$17)</x:f>
        <x:v>53235811.63751133</x:v>
      </x:c>
      <x:c r="V851" s="78" t="n">
        <x:f>P851-T851</x:f>
        <x:v>543.855393080705</x:v>
      </x:c>
      <x:c r="W851" s="79" t="n">
        <x:f>IF(U851&gt;0,V851/U851,0)</x:f>
        <x:v>0.000010215968844128421</x:v>
      </x:c>
      <x:c r="X851" s="80" t="n">
        <x:f>W851*('Inputs'!$B$6-AC851)</x:f>
        <x:v>10089.425620596332</x:v>
      </x:c>
      <x:c r="Y851" s="80" t="n">
        <x:f>2*V851</x:f>
        <x:v>1087.71078616141</x:v>
      </x:c>
      <x:c r="Z851" s="80" t="n">
        <x:f>K851*'Inputs'!$B$16+(G851+R851)*J851*'Inputs'!$B$16</x:f>
        <x:v>6.616198986378533</x:v>
      </x:c>
      <x:c r="AA851" s="80" t="n">
        <x:f>K851*(1+'Inputs'!$E$46)/2*'Inputs'!$B$17</x:f>
        <x:v>2.2085302559434887</x:v>
      </x:c>
      <x:c r="AB851" s="78" t="n">
        <x:f>(IF(J851&gt;0,K851*(1-'Inputs'!$E$46)/2/J851,0)+G851+R851)*'Inputs'!$B$17</x:f>
        <x:v>214236.49464695153</x:v>
      </x:c>
      <x:c r="AC851" s="78" t="n">
        <x:f>AC850+AB851</x:f>
        <x:v>12386805.937140182</x:v>
      </x:c>
      <x:c r="AD851" s="80" t="n">
        <x:f>Z851/(1+'Inputs'!$C$46)</x:f>
        <x:v>3.3080994931892667</x:v>
      </x:c>
      <x:c r="AE851" s="80" t="n">
        <x:f>Z851-AD851</x:f>
        <x:v>3.3080994931892667</x:v>
      </x:c>
      <x:c r="AF851" s="80" t="n">
        <x:f>D851*W851</x:f>
        <x:v>2.950019160512488</x:v>
      </x:c>
      <x:c r="AG851" s="80" t="n">
        <x:f>C851*W851</x:f>
        <x:v>6.883378041195957</x:v>
      </x:c>
      <x:c r="AH851" s="80" t="n">
        <x:f>2*'Inputs'!$B$8*'Inputs'!$C$46</x:f>
        <x:v>5000</x:v>
      </x:c>
      <x:c r="AI851" s="81" t="n">
        <x:f>IF(AH851&gt;0,(AE851+AF851)/AH851*365,0)</x:f>
        <x:v>0.4568426617202281</x:v>
      </x:c>
      <x:c r="AJ851" s="81" t="n">
        <x:f>IF('Inputs'!$B$46&gt;0,AG851/('Inputs'!$B$19*'Inputs'!$B$46)*365,0)</x:f>
        <x:v>0.2512432985036524</x:v>
      </x:c>
      <x:c r="AK851" s="81" t="n">
        <x:f>W851/MAX($W$734:W851)-1</x:f>
        <x:v>-0.9878783212523408</x:v>
      </x:c>
      <x:c r="AL851" s="83" t="n">
        <x:f>'Inputs'!$B$46</x:f>
        <x:v>1</x:v>
      </x:c>
      <x:c r="AM851" s="83" t="n">
        <x:f>'Inputs'!$C$46</x:f>
        <x:v>1</x:v>
      </x:c>
      <x:c r="AN851" s="83" t="n">
        <x:f>'Inputs'!$D$46</x:f>
        <x:v>1</x:v>
      </x:c>
      <x:c r="AO851" s="81" t="n">
        <x:f>'Inputs'!$E$46</x:f>
        <x:v>0</x:v>
      </x:c>
    </x:row>
    <x:row r="852">
      <x:c r="A852" s="59" t="str">
        <x:v>Base</x:v>
      </x:c>
      <x:c r="B852" s="59" t="n">
        <x:v>119</x:v>
      </x:c>
      <x:c r="C852" s="78" t="n">
        <x:f>(('Inputs'!$B$29*(3*119*'Inputs'!$B$12-119^2)/(2*'Inputs'!$B$12^2))-('Inputs'!$B$29*(3*118*'Inputs'!$B$12-118^2)/(2*'Inputs'!$B$12^2)))*'Inputs'!$B$46</x:f>
        <x:v>673461.0151998401</x:v>
      </x:c>
      <x:c r="D852" s="78" t="n">
        <x:f>IF('Inputs'!$C$46&gt;0,('Inputs'!$B$30*(3*119*'Inputs'!$B$12-119^2)/(2*'Inputs'!$B$12^2))-('Inputs'!$B$30*(3*118*'Inputs'!$B$12-118^2)/(2*'Inputs'!$B$12^2)),0)</x:f>
        <x:v>288626.1493713632</x:v>
      </x:c>
      <x:c r="E852" s="78" t="n">
        <x:f>C852+D852</x:f>
        <x:v>962087.1645712033</x:v>
      </x:c>
      <x:c r="F852" s="78" t="n">
        <x:f>'Inputs'!$B$13*E852+(1-'Inputs'!$B$13)/'Inputs'!$B$14*SUM(E797:E852)</x:f>
        <x:v>972304.8414336627</x:v>
      </x:c>
      <x:c r="G852" s="78" t="n">
        <x:f>F852*'Inputs'!$F$46</x:f>
        <x:v>486152.42071683134</x:v>
      </x:c>
      <x:c r="H852" s="78" t="n">
        <x:f>U851</x:f>
        <x:v>53235811.63751133</x:v>
      </x:c>
      <x:c r="I852" s="78" t="n">
        <x:f>V851</x:f>
        <x:v>543.855393080705</x:v>
      </x:c>
      <x:c r="J852" s="79" t="n">
        <x:f>IF(H852&gt;0,I852/H852,0)</x:f>
        <x:v>0.000010215968844128421</x:v>
      </x:c>
      <x:c r="K852" s="80" t="n">
        <x:f>(H852*J852+I852)*'Inputs'!$D$46*(1+'Inputs'!$G$46)^(B852/30)</x:f>
        <x:v>1087.71078616141</x:v>
      </x:c>
      <x:c r="L852" s="80" t="n">
        <x:f>MAX(0,K852*'Inputs'!$E$46)</x:f>
        <x:v>0</x:v>
      </x:c>
      <x:c r="M852" s="80" t="n">
        <x:f>MAX(0,-K852*'Inputs'!$E$46)</x:f>
        <x:v>0</x:v>
      </x:c>
      <x:c r="N852" s="78" t="n">
        <x:f>H852*(L852*(1-'Inputs'!$B$15))/(I852+L852*(1-'Inputs'!$B$15))</x:f>
        <x:v>0</x:v>
      </x:c>
      <x:c r="O852" s="78" t="n">
        <x:f>H852-N852</x:f>
        <x:v>53235811.63751133</x:v>
      </x:c>
      <x:c r="P852" s="78" t="n">
        <x:f>I852+L852*(1-'Inputs'!$B$17)</x:f>
        <x:v>543.855393080705</x:v>
      </x:c>
      <x:c r="Q852" s="78" t="n">
        <x:f>IF(J852&gt;0,M852/J852,0)</x:f>
        <x:v>0</x:v>
      </x:c>
      <x:c r="R852" s="78" t="n">
        <x:f>IF(B852='Inputs'!$H$46,'Inputs'!$B$27*'Inputs'!$I$46,0)</x:f>
        <x:v>0</x:v>
      </x:c>
      <x:c r="S852" s="78" t="n">
        <x:f>Q852+G852+R852</x:f>
        <x:v>486152.42071683134</x:v>
      </x:c>
      <x:c r="T852" s="78" t="n">
        <x:f>P852*(S852*(1-'Inputs'!$B$15))/(O852+S852*(1-'Inputs'!$B$15))</x:f>
        <x:v>4.872799115359028</x:v>
      </x:c>
      <x:c r="U852" s="78" t="n">
        <x:f>O852+S852*(1-'Inputs'!$B$17)</x:f>
        <x:v>53720007.71045867</x:v>
      </x:c>
      <x:c r="V852" s="78" t="n">
        <x:f>P852-T852</x:f>
        <x:v>538.9825939653459</x:v>
      </x:c>
      <x:c r="W852" s="79" t="n">
        <x:f>IF(U852&gt;0,V852/U852,0)</x:f>
        <x:v>0.00001003318161960003</x:v>
      </x:c>
      <x:c r="X852" s="80" t="n">
        <x:f>W852*('Inputs'!$B$6-AC852)</x:f>
        <x:v>9906.733522918366</x:v>
      </x:c>
      <x:c r="Y852" s="80" t="n">
        <x:f>2*V852</x:f>
        <x:v>1077.9651879306919</x:v>
      </x:c>
      <x:c r="Z852" s="80" t="n">
        <x:f>K852*'Inputs'!$B$16+(G852+R852)*J852*'Inputs'!$B$16</x:f>
        <x:v>6.556063824869705</x:v>
      </x:c>
      <x:c r="AA852" s="80" t="n">
        <x:f>K852*(1+'Inputs'!$E$46)/2*'Inputs'!$B$17</x:f>
        <x:v>2.1885528896607847</x:v>
      </x:c>
      <x:c r="AB852" s="78" t="n">
        <x:f>(IF(J852&gt;0,K852*(1-'Inputs'!$E$46)/2/J852,0)+G852+R852)*'Inputs'!$B$17</x:f>
        <x:v>216184.96602908717</x:v>
      </x:c>
      <x:c r="AC852" s="78" t="n">
        <x:f>AC851+AB852</x:f>
        <x:v>12602990.903169269</x:v>
      </x:c>
      <x:c r="AD852" s="80" t="n">
        <x:f>Z852/(1+'Inputs'!$C$46)</x:f>
        <x:v>3.2780319124348525</x:v>
      </x:c>
      <x:c r="AE852" s="80" t="n">
        <x:f>Z852-AD852</x:f>
        <x:v>3.2780319124348525</x:v>
      </x:c>
      <x:c r="AF852" s="80" t="n">
        <x:f>D852*W852</x:f>
        <x:v>2.8958385768086945</x:v>
      </x:c>
      <x:c r="AG852" s="80" t="n">
        <x:f>C852*W852</x:f>
        <x:v>6.756956679220212</x:v>
      </x:c>
      <x:c r="AH852" s="80" t="n">
        <x:f>2*'Inputs'!$B$8*'Inputs'!$C$46</x:f>
        <x:v>5000</x:v>
      </x:c>
      <x:c r="AI852" s="81" t="n">
        <x:f>IF(AH852&gt;0,(AE852+AF852)/AH852*365,0)</x:f>
        <x:v>0.45069254571477896</x:v>
      </x:c>
      <x:c r="AJ852" s="81" t="n">
        <x:f>IF('Inputs'!$B$46&gt;0,AG852/('Inputs'!$B$19*'Inputs'!$B$46)*365,0)</x:f>
        <x:v>0.24662891879153775</x:v>
      </x:c>
      <x:c r="AK852" s="81" t="n">
        <x:f>W852/MAX($W$734:W852)-1</x:f>
        <x:v>-0.9880952060186038</x:v>
      </x:c>
      <x:c r="AL852" s="83" t="n">
        <x:f>'Inputs'!$B$46</x:f>
        <x:v>1</x:v>
      </x:c>
      <x:c r="AM852" s="83" t="n">
        <x:f>'Inputs'!$C$46</x:f>
        <x:v>1</x:v>
      </x:c>
      <x:c r="AN852" s="83" t="n">
        <x:f>'Inputs'!$D$46</x:f>
        <x:v>1</x:v>
      </x:c>
      <x:c r="AO852" s="81" t="n">
        <x:f>'Inputs'!$E$46</x:f>
        <x:v>0</x:v>
      </x:c>
    </x:row>
    <x:row r="853">
      <x:c r="A853" s="59" t="str">
        <x:v>Base</x:v>
      </x:c>
      <x:c r="B853" s="59" t="n">
        <x:v>120</x:v>
      </x:c>
      <x:c r="C853" s="78" t="n">
        <x:f>(('Inputs'!$B$29*(3*120*'Inputs'!$B$12-120^2)/(2*'Inputs'!$B$12^2))-('Inputs'!$B$29*(3*119*'Inputs'!$B$12-119^2)/(2*'Inputs'!$B$12^2)))*'Inputs'!$B$46</x:f>
        <x:v>673135.9072996825</x:v>
      </x:c>
      <x:c r="D853" s="78" t="n">
        <x:f>IF('Inputs'!$C$46&gt;0,('Inputs'!$B$30*(3*120*'Inputs'!$B$12-120^2)/(2*'Inputs'!$B$12^2))-('Inputs'!$B$30*(3*119*'Inputs'!$B$12-119^2)/(2*'Inputs'!$B$12^2)),0)</x:f>
        <x:v>288486.81741414964</x:v>
      </x:c>
      <x:c r="E853" s="78" t="n">
        <x:f>C853+D853</x:f>
        <x:v>961622.7247138321</x:v>
      </x:c>
      <x:c r="F853" s="78" t="n">
        <x:f>'Inputs'!$B$13*E853+(1-'Inputs'!$B$13)/'Inputs'!$B$14*SUM(E798:E853)</x:f>
        <x:v>971840.4015762811</x:v>
      </x:c>
      <x:c r="G853" s="78" t="n">
        <x:f>F853*'Inputs'!$F$46</x:f>
        <x:v>485920.20078814053</x:v>
      </x:c>
      <x:c r="H853" s="78" t="n">
        <x:f>U852</x:f>
        <x:v>53720007.71045867</x:v>
      </x:c>
      <x:c r="I853" s="78" t="n">
        <x:f>V852</x:f>
        <x:v>538.9825939653459</x:v>
      </x:c>
      <x:c r="J853" s="79" t="n">
        <x:f>IF(H853&gt;0,I853/H853,0)</x:f>
        <x:v>0.00001003318161960003</x:v>
      </x:c>
      <x:c r="K853" s="80" t="n">
        <x:f>(H853*J853+I853)*'Inputs'!$D$46*(1+'Inputs'!$G$46)^(B853/30)</x:f>
        <x:v>1077.9651879306919</x:v>
      </x:c>
      <x:c r="L853" s="80" t="n">
        <x:f>MAX(0,K853*'Inputs'!$E$46)</x:f>
        <x:v>0</x:v>
      </x:c>
      <x:c r="M853" s="80" t="n">
        <x:f>MAX(0,-K853*'Inputs'!$E$46)</x:f>
        <x:v>0</x:v>
      </x:c>
      <x:c r="N853" s="78" t="n">
        <x:f>H853*(L853*(1-'Inputs'!$B$15))/(I853+L853*(1-'Inputs'!$B$15))</x:f>
        <x:v>0</x:v>
      </x:c>
      <x:c r="O853" s="78" t="n">
        <x:f>H853-N853</x:f>
        <x:v>53720007.71045867</x:v>
      </x:c>
      <x:c r="P853" s="78" t="n">
        <x:f>I853+L853*(1-'Inputs'!$B$17)</x:f>
        <x:v>538.9825939653459</x:v>
      </x:c>
      <x:c r="Q853" s="78" t="n">
        <x:f>IF(J853&gt;0,M853/J853,0)</x:f>
        <x:v>0</x:v>
      </x:c>
      <x:c r="R853" s="78" t="n">
        <x:f>IF(B853='Inputs'!$H$46,'Inputs'!$B$27*'Inputs'!$I$46,0)</x:f>
        <x:v>0</x:v>
      </x:c>
      <x:c r="S853" s="78" t="n">
        <x:f>Q853+G853+R853</x:f>
        <x:v>485920.20078814053</x:v>
      </x:c>
      <x:c r="T853" s="78" t="n">
        <x:f>P853*(S853*(1-'Inputs'!$B$15))/(O853+S853*(1-'Inputs'!$B$15))</x:f>
        <x:v>4.783734180022682</x:v>
      </x:c>
      <x:c r="U853" s="78" t="n">
        <x:f>O853+S853*(1-'Inputs'!$B$17)</x:f>
        <x:v>54203972.497963965</x:v>
      </x:c>
      <x:c r="V853" s="78" t="n">
        <x:f>P853-T853</x:f>
        <x:v>534.1988597853233</x:v>
      </x:c>
      <x:c r="W853" s="79" t="n">
        <x:f>IF(U853&gt;0,V853/U853,0)</x:f>
        <x:v>0.0000098553451927419</x:v>
      </x:c>
      <x:c r="X853" s="80" t="n">
        <x:f>W853*('Inputs'!$B$6-AC853)</x:f>
        <x:v>9728.988595779041</x:v>
      </x:c>
      <x:c r="Y853" s="80" t="n">
        <x:f>2*V853</x:f>
        <x:v>1068.3977195706466</x:v>
      </x:c>
      <x:c r="Z853" s="80" t="n">
        <x:f>K853*'Inputs'!$B$16+(G853+R853)*J853*'Inputs'!$B$16</x:f>
        <x:v>6.497043081346991</x:v>
      </x:c>
      <x:c r="AA853" s="80" t="n">
        <x:f>K853*(1+'Inputs'!$E$46)/2*'Inputs'!$B$17</x:f>
        <x:v>2.1689440401019957</x:v>
      </x:c>
      <x:c r="AB853" s="78" t="n">
        <x:f>(IF(J853&gt;0,K853*(1-'Inputs'!$E$46)/2/J853,0)+G853+R853)*'Inputs'!$B$17</x:f>
        <x:v>218132.50668509785</x:v>
      </x:c>
      <x:c r="AC853" s="78" t="n">
        <x:f>AC852+AB853</x:f>
        <x:v>12821123.409854367</x:v>
      </x:c>
      <x:c r="AD853" s="80" t="n">
        <x:f>Z853/(1+'Inputs'!$C$46)</x:f>
        <x:v>3.2485215406734955</x:v>
      </x:c>
      <x:c r="AE853" s="80" t="n">
        <x:f>Z853-AD853</x:f>
        <x:v>3.2485215406734955</x:v>
      </x:c>
      <x:c r="AF853" s="80" t="n">
        <x:f>D853*W853</x:f>
        <x:v>2.84313716917195</x:v>
      </x:c>
      <x:c r="AG853" s="80" t="n">
        <x:f>C853*W853</x:f>
        <x:v>6.6339867280678835</x:v>
      </x:c>
      <x:c r="AH853" s="80" t="n">
        <x:f>2*'Inputs'!$B$8*'Inputs'!$C$46</x:f>
        <x:v>5000</x:v>
      </x:c>
      <x:c r="AI853" s="81" t="n">
        <x:f>IF(AH853&gt;0,(AE853+AF853)/AH853*365,0)</x:f>
        <x:v>0.4446910858187175</x:v>
      </x:c>
      <x:c r="AJ853" s="81" t="n">
        <x:f>IF('Inputs'!$B$46&gt;0,AG853/('Inputs'!$B$19*'Inputs'!$B$46)*365,0)</x:f>
        <x:v>0.24214051557447774</x:v>
      </x:c>
      <x:c r="AK853" s="81" t="n">
        <x:f>W853/MAX($W$734:W853)-1</x:f>
        <x:v>-0.9883062164542166</x:v>
      </x:c>
      <x:c r="AL853" s="83" t="n">
        <x:f>'Inputs'!$B$46</x:f>
        <x:v>1</x:v>
      </x:c>
      <x:c r="AM853" s="83" t="n">
        <x:f>'Inputs'!$C$46</x:f>
        <x:v>1</x:v>
      </x:c>
      <x:c r="AN853" s="83" t="n">
        <x:f>'Inputs'!$D$46</x:f>
        <x:v>1</x:v>
      </x:c>
      <x:c r="AO853" s="81" t="n">
        <x:f>'Inputs'!$E$46</x:f>
        <x:v>0</x:v>
      </x:c>
    </x:row>
    <x:row r="854">
      <x:c r="A854" s="59" t="str">
        <x:v>Base</x:v>
      </x:c>
      <x:c r="B854" s="59" t="n">
        <x:v>121</x:v>
      </x:c>
      <x:c r="C854" s="78" t="n">
        <x:f>(('Inputs'!$B$29*(3*121*'Inputs'!$B$12-121^2)/(2*'Inputs'!$B$12^2))-('Inputs'!$B$29*(3*120*'Inputs'!$B$12-120^2)/(2*'Inputs'!$B$12^2)))*'Inputs'!$B$46</x:f>
        <x:v>672810.79939951</x:v>
      </x:c>
      <x:c r="D854" s="78" t="n">
        <x:f>IF('Inputs'!$C$46&gt;0,('Inputs'!$B$30*(3*121*'Inputs'!$B$12-121^2)/(2*'Inputs'!$B$12^2))-('Inputs'!$B$30*(3*120*'Inputs'!$B$12-120^2)/(2*'Inputs'!$B$12^2)),0)</x:f>
        <x:v>288347.48545693606</x:v>
      </x:c>
      <x:c r="E854" s="78" t="n">
        <x:f>C854+D854</x:f>
        <x:v>961158.2848564461</x:v>
      </x:c>
      <x:c r="F854" s="78" t="n">
        <x:f>'Inputs'!$B$13*E854+(1-'Inputs'!$B$13)/'Inputs'!$B$14*SUM(E799:E854)</x:f>
        <x:v>971375.9617188966</x:v>
      </x:c>
      <x:c r="G854" s="78" t="n">
        <x:f>F854*'Inputs'!$F$46</x:f>
        <x:v>485687.9808594483</x:v>
      </x:c>
      <x:c r="H854" s="78" t="n">
        <x:f>U853</x:f>
        <x:v>54203972.497963965</x:v>
      </x:c>
      <x:c r="I854" s="78" t="n">
        <x:f>V853</x:f>
        <x:v>534.1988597853233</x:v>
      </x:c>
      <x:c r="J854" s="79" t="n">
        <x:f>IF(H854&gt;0,I854/H854,0)</x:f>
        <x:v>0.0000098553451927419</x:v>
      </x:c>
      <x:c r="K854" s="80" t="n">
        <x:f>(H854*J854+I854)*'Inputs'!$D$46*(1+'Inputs'!$G$46)^(B854/30)</x:f>
        <x:v>1068.3977195706466</x:v>
      </x:c>
      <x:c r="L854" s="80" t="n">
        <x:f>MAX(0,K854*'Inputs'!$E$46)</x:f>
        <x:v>0</x:v>
      </x:c>
      <x:c r="M854" s="80" t="n">
        <x:f>MAX(0,-K854*'Inputs'!$E$46)</x:f>
        <x:v>0</x:v>
      </x:c>
      <x:c r="N854" s="78" t="n">
        <x:f>H854*(L854*(1-'Inputs'!$B$15))/(I854+L854*(1-'Inputs'!$B$15))</x:f>
        <x:v>0</x:v>
      </x:c>
      <x:c r="O854" s="78" t="n">
        <x:f>H854-N854</x:f>
        <x:v>54203972.497963965</x:v>
      </x:c>
      <x:c r="P854" s="78" t="n">
        <x:f>I854+L854*(1-'Inputs'!$B$17)</x:f>
        <x:v>534.1988597853233</x:v>
      </x:c>
      <x:c r="Q854" s="78" t="n">
        <x:f>IF(J854&gt;0,M854/J854,0)</x:f>
        <x:v>0</x:v>
      </x:c>
      <x:c r="R854" s="78" t="n">
        <x:f>IF(B854='Inputs'!$H$46,'Inputs'!$B$27*'Inputs'!$I$46,0)</x:f>
        <x:v>0</x:v>
      </x:c>
      <x:c r="S854" s="78" t="n">
        <x:f>Q854+G854+R854</x:f>
        <x:v>485687.9808594483</x:v>
      </x:c>
      <x:c r="T854" s="78" t="n">
        <x:f>P854*(S854*(1-'Inputs'!$B$15))/(O854+S854*(1-'Inputs'!$B$15))</x:f>
        <x:v>4.697089667070052</x:v>
      </x:c>
      <x:c r="U854" s="78" t="n">
        <x:f>O854+S854*(1-'Inputs'!$B$17)</x:f>
        <x:v>54687706.000027195</x:v>
      </x:c>
      <x:c r="V854" s="78" t="n">
        <x:f>P854-T854</x:f>
        <x:v>529.5017701182533</x:v>
      </x:c>
      <x:c r="W854" s="79" t="n">
        <x:f>IF(U854&gt;0,V854/U854,0)</x:f>
        <x:v>0.000009682281610385887</x:v>
      </x:c>
      <x:c r="X854" s="80" t="n">
        <x:f>W854*('Inputs'!$B$6-AC854)</x:f>
        <x:v>9556.013014986534</x:v>
      </x:c>
      <x:c r="Y854" s="80" t="n">
        <x:f>2*V854</x:f>
        <x:v>1059.0035402365065</x:v>
      </x:c>
      <x:c r="Z854" s="80" t="n">
        <x:f>K854*'Inputs'!$B$16+(G854+R854)*J854*'Inputs'!$B$16</x:f>
        <x:v>6.439106053667894</x:v>
      </x:c>
      <x:c r="AA854" s="80" t="n">
        <x:f>K854*(1+'Inputs'!$E$46)/2*'Inputs'!$B$17</x:f>
        <x:v>2.149693600745768</x:v>
      </x:c>
      <x:c r="AB854" s="78" t="n">
        <x:f>(IF(J854&gt;0,K854*(1-'Inputs'!$E$46)/2/J854,0)+G854+R854)*'Inputs'!$B$17</x:f>
        <x:v>220079.1166149836</x:v>
      </x:c>
      <x:c r="AC854" s="78" t="n">
        <x:f>AC853+AB854</x:f>
        <x:v>13041202.526469352</x:v>
      </x:c>
      <x:c r="AD854" s="80" t="n">
        <x:f>Z854/(1+'Inputs'!$C$46)</x:f>
        <x:v>3.219553026833947</x:v>
      </x:c>
      <x:c r="AE854" s="80" t="n">
        <x:f>Z854-AD854</x:f>
        <x:v>3.219553026833947</x:v>
      </x:c>
      <x:c r="AF854" s="80" t="n">
        <x:f>D854*W854</x:f>
        <x:v>2.791861555840704</x:v>
      </x:c>
      <x:c r="AG854" s="80" t="n">
        <x:f>C854*W854</x:f>
        <x:v>6.5143436302949045</x:v>
      </x:c>
      <x:c r="AH854" s="80" t="n">
        <x:f>2*'Inputs'!$B$8*'Inputs'!$C$46</x:f>
        <x:v>5000</x:v>
      </x:c>
      <x:c r="AI854" s="81" t="n">
        <x:f>IF(AH854&gt;0,(AE854+AF854)/AH854*365,0)</x:f>
        <x:v>0.4388332645352495</x:v>
      </x:c>
      <x:c r="AJ854" s="81" t="n">
        <x:f>IF('Inputs'!$B$46&gt;0,AG854/('Inputs'!$B$19*'Inputs'!$B$46)*365,0)</x:f>
        <x:v>0.23777354250576402</x:v>
      </x:c>
      <x:c r="AK854" s="81" t="n">
        <x:f>W854/MAX($W$734:W854)-1</x:f>
        <x:v>-0.9885115637081331</x:v>
      </x:c>
      <x:c r="AL854" s="83" t="n">
        <x:f>'Inputs'!$B$46</x:f>
        <x:v>1</x:v>
      </x:c>
      <x:c r="AM854" s="83" t="n">
        <x:f>'Inputs'!$C$46</x:f>
        <x:v>1</x:v>
      </x:c>
      <x:c r="AN854" s="83" t="n">
        <x:f>'Inputs'!$D$46</x:f>
        <x:v>1</x:v>
      </x:c>
      <x:c r="AO854" s="81" t="n">
        <x:f>'Inputs'!$E$46</x:f>
        <x:v>0</x:v>
      </x:c>
    </x:row>
    <x:row r="855">
      <x:c r="A855" s="59" t="str">
        <x:v>Base</x:v>
      </x:c>
      <x:c r="B855" s="59" t="n">
        <x:v>122</x:v>
      </x:c>
      <x:c r="C855" s="78" t="n">
        <x:f>(('Inputs'!$B$29*(3*122*'Inputs'!$B$12-122^2)/(2*'Inputs'!$B$12^2))-('Inputs'!$B$29*(3*121*'Inputs'!$B$12-121^2)/(2*'Inputs'!$B$12^2)))*'Inputs'!$B$46</x:f>
        <x:v>672485.6914993525</x:v>
      </x:c>
      <x:c r="D855" s="78" t="n">
        <x:f>IF('Inputs'!$C$46&gt;0,('Inputs'!$B$30*(3*122*'Inputs'!$B$12-122^2)/(2*'Inputs'!$B$12^2))-('Inputs'!$B$30*(3*121*'Inputs'!$B$12-121^2)/(2*'Inputs'!$B$12^2)),0)</x:f>
        <x:v>288208.15349971503</x:v>
      </x:c>
      <x:c r="E855" s="78" t="n">
        <x:f>C855+D855</x:f>
        <x:v>960693.8449990675</x:v>
      </x:c>
      <x:c r="F855" s="78" t="n">
        <x:f>'Inputs'!$B$13*E855+(1-'Inputs'!$B$13)/'Inputs'!$B$14*SUM(E800:E855)</x:f>
        <x:v>970911.5218615136</x:v>
      </x:c>
      <x:c r="G855" s="78" t="n">
        <x:f>F855*'Inputs'!$F$46</x:f>
        <x:v>485455.7609307568</x:v>
      </x:c>
      <x:c r="H855" s="78" t="n">
        <x:f>U854</x:f>
        <x:v>54687706.000027195</x:v>
      </x:c>
      <x:c r="I855" s="78" t="n">
        <x:f>V854</x:f>
        <x:v>529.5017701182533</x:v>
      </x:c>
      <x:c r="J855" s="79" t="n">
        <x:f>IF(H855&gt;0,I855/H855,0)</x:f>
        <x:v>0.000009682281610385887</x:v>
      </x:c>
      <x:c r="K855" s="80" t="n">
        <x:f>(H855*J855+I855)*'Inputs'!$D$46*(1+'Inputs'!$G$46)^(B855/30)</x:f>
        <x:v>1059.0035402365065</x:v>
      </x:c>
      <x:c r="L855" s="80" t="n">
        <x:f>MAX(0,K855*'Inputs'!$E$46)</x:f>
        <x:v>0</x:v>
      </x:c>
      <x:c r="M855" s="80" t="n">
        <x:f>MAX(0,-K855*'Inputs'!$E$46)</x:f>
        <x:v>0</x:v>
      </x:c>
      <x:c r="N855" s="78" t="n">
        <x:f>H855*(L855*(1-'Inputs'!$B$15))/(I855+L855*(1-'Inputs'!$B$15))</x:f>
        <x:v>0</x:v>
      </x:c>
      <x:c r="O855" s="78" t="n">
        <x:f>H855-N855</x:f>
        <x:v>54687706.000027195</x:v>
      </x:c>
      <x:c r="P855" s="78" t="n">
        <x:f>I855+L855*(1-'Inputs'!$B$17)</x:f>
        <x:v>529.5017701182533</x:v>
      </x:c>
      <x:c r="Q855" s="78" t="n">
        <x:f>IF(J855&gt;0,M855/J855,0)</x:f>
        <x:v>0</x:v>
      </x:c>
      <x:c r="R855" s="78" t="n">
        <x:f>IF(B855='Inputs'!$H$46,'Inputs'!$B$27*'Inputs'!$I$46,0)</x:f>
        <x:v>0</x:v>
      </x:c>
      <x:c r="S855" s="78" t="n">
        <x:f>Q855+G855+R855</x:f>
        <x:v>485455.7609307568</x:v>
      </x:c>
      <x:c r="T855" s="78" t="n">
        <x:f>P855*(S855*(1-'Inputs'!$B$15))/(O855+S855*(1-'Inputs'!$B$15))</x:f>
        <x:v>4.612778618377171</x:v>
      </x:c>
      <x:c r="U855" s="78" t="n">
        <x:f>O855+S855*(1-'Inputs'!$B$17)</x:f>
        <x:v>55171208.21664837</x:v>
      </x:c>
      <x:c r="V855" s="78" t="n">
        <x:f>P855-T855</x:f>
        <x:v>524.888991499876</x:v>
      </x:c>
      <x:c r="W855" s="79" t="n">
        <x:f>IF(U855&gt;0,V855/U855,0)</x:f>
        <x:v>0.000009513820858131696</x:v>
      </x:c>
      <x:c r="X855" s="80" t="n">
        <x:f>W855*('Inputs'!$B$6-AC855)</x:f>
        <x:v>9387.63688938677</x:v>
      </x:c>
      <x:c r="Y855" s="80" t="n">
        <x:f>2*V855</x:f>
        <x:v>1049.777982999752</x:v>
      </x:c>
      <x:c r="Z855" s="80" t="n">
        <x:f>K855*'Inputs'!$B$16+(G855+R855)*J855*'Inputs'!$B$16</x:f>
        <x:v>6.382223157739333</x:v>
      </x:c>
      <x:c r="AA855" s="80" t="n">
        <x:f>K855*(1+'Inputs'!$E$46)/2*'Inputs'!$B$17</x:f>
        <x:v>2.1307918314617837</x:v>
      </x:c>
      <x:c r="AB855" s="78" t="n">
        <x:f>(IF(J855&gt;0,K855*(1-'Inputs'!$E$46)/2/J855,0)+G855+R855)*'Inputs'!$B$17</x:f>
        <x:v>222024.7958187443</x:v>
      </x:c>
      <x:c r="AC855" s="78" t="n">
        <x:f>AC854+AB855</x:f>
        <x:v>13263227.322288096</x:v>
      </x:c>
      <x:c r="AD855" s="80" t="n">
        <x:f>Z855/(1+'Inputs'!$C$46)</x:f>
        <x:v>3.1911115788696667</x:v>
      </x:c>
      <x:c r="AE855" s="80" t="n">
        <x:f>Z855-AD855</x:f>
        <x:v>3.1911115788696667</x:v>
      </x:c>
      <x:c r="AF855" s="80" t="n">
        <x:f>D855*W855</x:f>
        <x:v>2.7419607422492103</x:v>
      </x:c>
      <x:c r="AG855" s="80" t="n">
        <x:f>C855*W855</x:f>
        <x:v>6.397908398581657</x:v>
      </x:c>
      <x:c r="AH855" s="80" t="n">
        <x:f>2*'Inputs'!$B$8*'Inputs'!$C$46</x:f>
        <x:v>5000</x:v>
      </x:c>
      <x:c r="AI855" s="81" t="n">
        <x:f>IF(AH855&gt;0,(AE855+AF855)/AH855*365,0)</x:f>
        <x:v>0.43311427944167796</x:v>
      </x:c>
      <x:c r="AJ855" s="81" t="n">
        <x:f>IF('Inputs'!$B$46&gt;0,AG855/('Inputs'!$B$19*'Inputs'!$B$46)*365,0)</x:f>
        <x:v>0.23352365654823046</x:v>
      </x:c>
      <x:c r="AK855" s="81" t="n">
        <x:f>W855/MAX($W$734:W855)-1</x:f>
        <x:v>-0.988711449509624</x:v>
      </x:c>
      <x:c r="AL855" s="83" t="n">
        <x:f>'Inputs'!$B$46</x:f>
        <x:v>1</x:v>
      </x:c>
      <x:c r="AM855" s="83" t="n">
        <x:f>'Inputs'!$C$46</x:f>
        <x:v>1</x:v>
      </x:c>
      <x:c r="AN855" s="83" t="n">
        <x:f>'Inputs'!$D$46</x:f>
        <x:v>1</x:v>
      </x:c>
      <x:c r="AO855" s="81" t="n">
        <x:f>'Inputs'!$E$46</x:f>
        <x:v>0</x:v>
      </x:c>
    </x:row>
    <x:row r="856">
      <x:c r="A856" s="59" t="str">
        <x:v>Base</x:v>
      </x:c>
      <x:c r="B856" s="59" t="n">
        <x:v>123</x:v>
      </x:c>
      <x:c r="C856" s="78" t="n">
        <x:f>(('Inputs'!$B$29*(3*123*'Inputs'!$B$12-123^2)/(2*'Inputs'!$B$12^2))-('Inputs'!$B$29*(3*122*'Inputs'!$B$12-122^2)/(2*'Inputs'!$B$12^2)))*'Inputs'!$B$46</x:f>
        <x:v>672160.5835991651</x:v>
      </x:c>
      <x:c r="D856" s="78" t="n">
        <x:f>IF('Inputs'!$C$46&gt;0,('Inputs'!$B$30*(3*123*'Inputs'!$B$12-123^2)/(2*'Inputs'!$B$12^2))-('Inputs'!$B$30*(3*122*'Inputs'!$B$12-122^2)/(2*'Inputs'!$B$12^2)),0)</x:f>
        <x:v>288068.8215425089</x:v>
      </x:c>
      <x:c r="E856" s="78" t="n">
        <x:f>C856+D856</x:f>
        <x:v>960229.405141674</x:v>
      </x:c>
      <x:c r="F856" s="78" t="n">
        <x:f>'Inputs'!$B$13*E856+(1-'Inputs'!$B$13)/'Inputs'!$B$14*SUM(E801:E856)</x:f>
        <x:v>970447.0820041276</x:v>
      </x:c>
      <x:c r="G856" s="78" t="n">
        <x:f>F856*'Inputs'!$F$46</x:f>
        <x:v>485223.5410020638</x:v>
      </x:c>
      <x:c r="H856" s="78" t="n">
        <x:f>U855</x:f>
        <x:v>55171208.21664837</x:v>
      </x:c>
      <x:c r="I856" s="78" t="n">
        <x:f>V855</x:f>
        <x:v>524.888991499876</x:v>
      </x:c>
      <x:c r="J856" s="79" t="n">
        <x:f>IF(H856&gt;0,I856/H856,0)</x:f>
        <x:v>0.000009513820858131696</x:v>
      </x:c>
      <x:c r="K856" s="80" t="n">
        <x:f>(H856*J856+I856)*'Inputs'!$D$46*(1+'Inputs'!$G$46)^(B856/30)</x:f>
        <x:v>1049.777982999752</x:v>
      </x:c>
      <x:c r="L856" s="80" t="n">
        <x:f>MAX(0,K856*'Inputs'!$E$46)</x:f>
        <x:v>0</x:v>
      </x:c>
      <x:c r="M856" s="80" t="n">
        <x:f>MAX(0,-K856*'Inputs'!$E$46)</x:f>
        <x:v>0</x:v>
      </x:c>
      <x:c r="N856" s="78" t="n">
        <x:f>H856*(L856*(1-'Inputs'!$B$15))/(I856+L856*(1-'Inputs'!$B$15))</x:f>
        <x:v>0</x:v>
      </x:c>
      <x:c r="O856" s="78" t="n">
        <x:f>H856-N856</x:f>
        <x:v>55171208.21664837</x:v>
      </x:c>
      <x:c r="P856" s="78" t="n">
        <x:f>I856+L856*(1-'Inputs'!$B$17)</x:f>
        <x:v>524.888991499876</x:v>
      </x:c>
      <x:c r="Q856" s="78" t="n">
        <x:f>IF(J856&gt;0,M856/J856,0)</x:f>
        <x:v>0</x:v>
      </x:c>
      <x:c r="R856" s="78" t="n">
        <x:f>IF(B856='Inputs'!$H$46,'Inputs'!$B$27*'Inputs'!$I$46,0)</x:f>
        <x:v>0</x:v>
      </x:c>
      <x:c r="S856" s="78" t="n">
        <x:f>Q856+G856+R856</x:f>
        <x:v>485223.5410020638</x:v>
      </x:c>
      <x:c r="T856" s="78" t="n">
        <x:f>P856*(S856*(1-'Inputs'!$B$15))/(O856+S856*(1-'Inputs'!$B$15))</x:f>
        <x:v>4.530717947312192</x:v>
      </x:c>
      <x:c r="U856" s="78" t="n">
        <x:f>O856+S856*(1-'Inputs'!$B$17)</x:f>
        <x:v>55654479.14782749</x:v>
      </x:c>
      <x:c r="V856" s="78" t="n">
        <x:f>P856-T856</x:f>
        <x:v>520.3582735525639</x:v>
      </x:c>
      <x:c r="W856" s="79" t="n">
        <x:f>IF(U856&gt;0,V856/U856,0)</x:f>
        <x:v>0.000009349800438710537</x:v>
      </x:c>
      <x:c r="X856" s="80" t="n">
        <x:f>W856*('Inputs'!$B$6-AC856)</x:f>
        <x:v>9223.69783953037</x:v>
      </x:c>
      <x:c r="Y856" s="80" t="n">
        <x:f>2*V856</x:f>
        <x:v>1040.7165471051278</x:v>
      </x:c>
      <x:c r="Z856" s="80" t="n">
        <x:f>K856*'Inputs'!$B$16+(G856+R856)*J856*'Inputs'!$B$16</x:f>
        <x:v>6.326365877069964</x:v>
      </x:c>
      <x:c r="AA856" s="80" t="n">
        <x:f>K856*(1+'Inputs'!$E$46)/2*'Inputs'!$B$17</x:f>
        <x:v>2.1122293420518155</x:v>
      </x:c>
      <x:c r="AB856" s="78" t="n">
        <x:f>(IF(J856&gt;0,K856*(1-'Inputs'!$E$46)/2/J856,0)+G856+R856)*'Inputs'!$B$17</x:f>
        <x:v>223969.54429638005</x:v>
      </x:c>
      <x:c r="AC856" s="78" t="n">
        <x:f>AC855+AB856</x:f>
        <x:v>13487196.866584476</x:v>
      </x:c>
      <x:c r="AD856" s="80" t="n">
        <x:f>Z856/(1+'Inputs'!$C$46)</x:f>
        <x:v>3.163182938534982</x:v>
      </x:c>
      <x:c r="AE856" s="80" t="n">
        <x:f>Z856-AD856</x:f>
        <x:v>3.163182938534982</x:v>
      </x:c>
      <x:c r="AF856" s="80" t="n">
        <x:f>D856*W856</x:f>
        <x:v>2.693385994036977</x:v>
      </x:c>
      <x:c r="AG856" s="80" t="n">
        <x:f>C856*W856</x:f>
        <x:v>6.284567319419404</x:v>
      </x:c>
      <x:c r="AH856" s="80" t="n">
        <x:f>2*'Inputs'!$B$8*'Inputs'!$C$46</x:f>
        <x:v>5000</x:v>
      </x:c>
      <x:c r="AI856" s="81" t="n">
        <x:f>IF(AH856&gt;0,(AE856+AF856)/AH856*365,0)</x:f>
        <x:v>0.427529532077753</x:v>
      </x:c>
      <x:c r="AJ856" s="81" t="n">
        <x:f>IF('Inputs'!$B$46&gt;0,AG856/('Inputs'!$B$19*'Inputs'!$B$46)*365,0)</x:f>
        <x:v>0.22938670715880827</x:v>
      </x:c>
      <x:c r="AK856" s="81" t="n">
        <x:f>W856/MAX($W$734:W856)-1</x:f>
        <x:v>-0.9889060666685655</x:v>
      </x:c>
      <x:c r="AL856" s="83" t="n">
        <x:f>'Inputs'!$B$46</x:f>
        <x:v>1</x:v>
      </x:c>
      <x:c r="AM856" s="83" t="n">
        <x:f>'Inputs'!$C$46</x:f>
        <x:v>1</x:v>
      </x:c>
      <x:c r="AN856" s="83" t="n">
        <x:f>'Inputs'!$D$46</x:f>
        <x:v>1</x:v>
      </x:c>
      <x:c r="AO856" s="81" t="n">
        <x:f>'Inputs'!$E$46</x:f>
        <x:v>0</x:v>
      </x:c>
    </x:row>
    <x:row r="857">
      <x:c r="A857" s="59" t="str">
        <x:v>Base</x:v>
      </x:c>
      <x:c r="B857" s="59" t="n">
        <x:v>124</x:v>
      </x:c>
      <x:c r="C857" s="78" t="n">
        <x:f>(('Inputs'!$B$29*(3*124*'Inputs'!$B$12-124^2)/(2*'Inputs'!$B$12^2))-('Inputs'!$B$29*(3*123*'Inputs'!$B$12-123^2)/(2*'Inputs'!$B$12^2)))*'Inputs'!$B$46</x:f>
        <x:v>671835.4756990075</x:v>
      </x:c>
      <x:c r="D857" s="78" t="n">
        <x:f>IF('Inputs'!$C$46&gt;0,('Inputs'!$B$30*(3*124*'Inputs'!$B$12-124^2)/(2*'Inputs'!$B$12^2))-('Inputs'!$B$30*(3*123*'Inputs'!$B$12-123^2)/(2*'Inputs'!$B$12^2)),0)</x:f>
        <x:v>287929.48958528787</x:v>
      </x:c>
      <x:c r="E857" s="78" t="n">
        <x:f>C857+D857</x:f>
        <x:v>959764.9652842954</x:v>
      </x:c>
      <x:c r="F857" s="78" t="n">
        <x:f>'Inputs'!$B$13*E857+(1-'Inputs'!$B$13)/'Inputs'!$B$14*SUM(E802:E857)</x:f>
        <x:v>969982.6421467445</x:v>
      </x:c>
      <x:c r="G857" s="78" t="n">
        <x:f>F857*'Inputs'!$F$46</x:f>
        <x:v>484991.32107337227</x:v>
      </x:c>
      <x:c r="H857" s="78" t="n">
        <x:f>U856</x:f>
        <x:v>55654479.14782749</x:v>
      </x:c>
      <x:c r="I857" s="78" t="n">
        <x:f>V856</x:f>
        <x:v>520.3582735525639</x:v>
      </x:c>
      <x:c r="J857" s="79" t="n">
        <x:f>IF(H857&gt;0,I857/H857,0)</x:f>
        <x:v>0.000009349800438710537</x:v>
      </x:c>
      <x:c r="K857" s="80" t="n">
        <x:f>(H857*J857+I857)*'Inputs'!$D$46*(1+'Inputs'!$G$46)^(B857/30)</x:f>
        <x:v>1040.7165471051278</x:v>
      </x:c>
      <x:c r="L857" s="80" t="n">
        <x:f>MAX(0,K857*'Inputs'!$E$46)</x:f>
        <x:v>0</x:v>
      </x:c>
      <x:c r="M857" s="80" t="n">
        <x:f>MAX(0,-K857*'Inputs'!$E$46)</x:f>
        <x:v>0</x:v>
      </x:c>
      <x:c r="N857" s="78" t="n">
        <x:f>H857*(L857*(1-'Inputs'!$B$15))/(I857+L857*(1-'Inputs'!$B$15))</x:f>
        <x:v>0</x:v>
      </x:c>
      <x:c r="O857" s="78" t="n">
        <x:f>H857-N857</x:f>
        <x:v>55654479.14782749</x:v>
      </x:c>
      <x:c r="P857" s="78" t="n">
        <x:f>I857+L857*(1-'Inputs'!$B$17)</x:f>
        <x:v>520.3582735525639</x:v>
      </x:c>
      <x:c r="Q857" s="78" t="n">
        <x:f>IF(J857&gt;0,M857/J857,0)</x:f>
        <x:v>0</x:v>
      </x:c>
      <x:c r="R857" s="78" t="n">
        <x:f>IF(B857='Inputs'!$H$46,'Inputs'!$B$27*'Inputs'!$I$46,0)</x:f>
        <x:v>0</x:v>
      </x:c>
      <x:c r="S857" s="78" t="n">
        <x:f>Q857+G857+R857</x:f>
        <x:v>484991.32107337227</x:v>
      </x:c>
      <x:c r="T857" s="78" t="n">
        <x:f>P857*(S857*(1-'Inputs'!$B$15))/(O857+S857*(1-'Inputs'!$B$15))</x:f>
        <x:v>4.450828233685713</x:v>
      </x:c>
      <x:c r="U857" s="78" t="n">
        <x:f>O857+S857*(1-'Inputs'!$B$17)</x:f>
        <x:v>56137518.79356455</x:v>
      </x:c>
      <x:c r="V857" s="78" t="n">
        <x:f>P857-T857</x:f>
        <x:v>515.9074453188782</x:v>
      </x:c>
      <x:c r="W857" s="79" t="n">
        <x:f>IF(U857&gt;0,V857/U857,0)</x:f>
        <x:v>0.000009190064976260055</x:v>
      </x:c>
      <x:c r="X857" s="80" t="n">
        <x:f>W857*('Inputs'!$B$6-AC857)</x:f>
        <x:v>9064.040602232308</x:v>
      </x:c>
      <x:c r="Y857" s="80" t="n">
        <x:f>2*V857</x:f>
        <x:v>1031.8148906377564</x:v>
      </x:c>
      <x:c r="Z857" s="80" t="n">
        <x:f>K857*'Inputs'!$B$16+(G857+R857)*J857*'Inputs'!$B$16</x:f>
        <x:v>6.271506715030022</x:v>
      </x:c>
      <x:c r="AA857" s="80" t="n">
        <x:f>K857*(1+'Inputs'!$E$46)/2*'Inputs'!$B$17</x:f>
        <x:v>2.0939970766702776</x:v>
      </x:c>
      <x:c r="AB857" s="78" t="n">
        <x:f>(IF(J857&gt;0,K857*(1-'Inputs'!$E$46)/2/J857,0)+G857+R857)*'Inputs'!$B$17</x:f>
        <x:v>225913.36204789084</x:v>
      </x:c>
      <x:c r="AC857" s="78" t="n">
        <x:f>AC856+AB857</x:f>
        <x:v>13713110.228632366</x:v>
      </x:c>
      <x:c r="AD857" s="80" t="n">
        <x:f>Z857/(1+'Inputs'!$C$46)</x:f>
        <x:v>3.135753357515011</x:v>
      </x:c>
      <x:c r="AE857" s="80" t="n">
        <x:f>Z857-AD857</x:f>
        <x:v>3.135753357515011</x:v>
      </x:c>
      <x:c r="AF857" s="80" t="n">
        <x:f>D857*W857</x:f>
        <x:v>2.6460907178701882</x:v>
      </x:c>
      <x:c r="AG857" s="80" t="n">
        <x:f>C857*W857</x:f>
        <x:v>6.174211675030462</x:v>
      </x:c>
      <x:c r="AH857" s="80" t="n">
        <x:f>2*'Inputs'!$B$8*'Inputs'!$C$46</x:f>
        <x:v>5000</x:v>
      </x:c>
      <x:c r="AI857" s="81" t="n">
        <x:f>IF(AH857&gt;0,(AE857+AF857)/AH857*365,0)</x:f>
        <x:v>0.4220746175031196</x:v>
      </x:c>
      <x:c r="AJ857" s="81" t="n">
        <x:f>IF('Inputs'!$B$46&gt;0,AG857/('Inputs'!$B$19*'Inputs'!$B$46)*365,0)</x:f>
        <x:v>0.22535872613861185</x:v>
      </x:c>
      <x:c r="AK857" s="81" t="n">
        <x:f>W857/MAX($W$734:W857)-1</x:f>
        <x:v>-0.9890955995449844</x:v>
      </x:c>
      <x:c r="AL857" s="83" t="n">
        <x:f>'Inputs'!$B$46</x:f>
        <x:v>1</x:v>
      </x:c>
      <x:c r="AM857" s="83" t="n">
        <x:f>'Inputs'!$C$46</x:f>
        <x:v>1</x:v>
      </x:c>
      <x:c r="AN857" s="83" t="n">
        <x:f>'Inputs'!$D$46</x:f>
        <x:v>1</x:v>
      </x:c>
      <x:c r="AO857" s="81" t="n">
        <x:f>'Inputs'!$E$46</x:f>
        <x:v>0</x:v>
      </x:c>
    </x:row>
    <x:row r="858">
      <x:c r="A858" s="59" t="str">
        <x:v>Base</x:v>
      </x:c>
      <x:c r="B858" s="59" t="n">
        <x:v>125</x:v>
      </x:c>
      <x:c r="C858" s="78" t="n">
        <x:f>(('Inputs'!$B$29*(3*125*'Inputs'!$B$12-125^2)/(2*'Inputs'!$B$12^2))-('Inputs'!$B$29*(3*124*'Inputs'!$B$12-124^2)/(2*'Inputs'!$B$12^2)))*'Inputs'!$B$46</x:f>
        <x:v>671510.367798835</x:v>
      </x:c>
      <x:c r="D858" s="78" t="n">
        <x:f>IF('Inputs'!$C$46&gt;0,('Inputs'!$B$30*(3*125*'Inputs'!$B$12-125^2)/(2*'Inputs'!$B$12^2))-('Inputs'!$B$30*(3*124*'Inputs'!$B$12-124^2)/(2*'Inputs'!$B$12^2)),0)</x:f>
        <x:v>287790.1576280743</x:v>
      </x:c>
      <x:c r="E858" s="78" t="n">
        <x:f>C858+D858</x:f>
        <x:v>959300.5254269093</x:v>
      </x:c>
      <x:c r="F858" s="78" t="n">
        <x:f>'Inputs'!$B$13*E858+(1-'Inputs'!$B$13)/'Inputs'!$B$14*SUM(E803:E858)</x:f>
        <x:v>969518.2022893602</x:v>
      </x:c>
      <x:c r="G858" s="78" t="n">
        <x:f>F858*'Inputs'!$F$46</x:f>
        <x:v>484759.1011446801</x:v>
      </x:c>
      <x:c r="H858" s="78" t="n">
        <x:f>U857</x:f>
        <x:v>56137518.79356455</x:v>
      </x:c>
      <x:c r="I858" s="78" t="n">
        <x:f>V857</x:f>
        <x:v>515.9074453188782</x:v>
      </x:c>
      <x:c r="J858" s="79" t="n">
        <x:f>IF(H858&gt;0,I858/H858,0)</x:f>
        <x:v>0.000009190064976260055</x:v>
      </x:c>
      <x:c r="K858" s="80" t="n">
        <x:f>(H858*J858+I858)*'Inputs'!$D$46*(1+'Inputs'!$G$46)^(B858/30)</x:f>
        <x:v>1031.8148906377564</x:v>
      </x:c>
      <x:c r="L858" s="80" t="n">
        <x:f>MAX(0,K858*'Inputs'!$E$46)</x:f>
        <x:v>0</x:v>
      </x:c>
      <x:c r="M858" s="80" t="n">
        <x:f>MAX(0,-K858*'Inputs'!$E$46)</x:f>
        <x:v>0</x:v>
      </x:c>
      <x:c r="N858" s="78" t="n">
        <x:f>H858*(L858*(1-'Inputs'!$B$15))/(I858+L858*(1-'Inputs'!$B$15))</x:f>
        <x:v>0</x:v>
      </x:c>
      <x:c r="O858" s="78" t="n">
        <x:f>H858-N858</x:f>
        <x:v>56137518.79356455</x:v>
      </x:c>
      <x:c r="P858" s="78" t="n">
        <x:f>I858+L858*(1-'Inputs'!$B$17)</x:f>
        <x:v>515.9074453188782</x:v>
      </x:c>
      <x:c r="Q858" s="78" t="n">
        <x:f>IF(J858&gt;0,M858/J858,0)</x:f>
        <x:v>0</x:v>
      </x:c>
      <x:c r="R858" s="78" t="n">
        <x:f>IF(B858='Inputs'!$H$46,'Inputs'!$B$27*'Inputs'!$I$46,0)</x:f>
        <x:v>0</x:v>
      </x:c>
      <x:c r="S858" s="78" t="n">
        <x:f>Q858+G858+R858</x:f>
        <x:v>484759.1011446801</x:v>
      </x:c>
      <x:c r="T858" s="78" t="n">
        <x:f>P858*(S858*(1-'Inputs'!$B$15))/(O858+S858*(1-'Inputs'!$B$15))</x:f>
        <x:v>4.3730335312620285</x:v>
      </x:c>
      <x:c r="U858" s="78" t="n">
        <x:f>O858+S858*(1-'Inputs'!$B$17)</x:f>
        <x:v>56620327.153859556</x:v>
      </x:c>
      <x:c r="V858" s="78" t="n">
        <x:f>P858-T858</x:f>
        <x:v>511.5344117876162</x:v>
      </x:c>
      <x:c r="W858" s="79" t="n">
        <x:f>IF(U858&gt;0,V858/U858,0)</x:f>
        <x:v>0.000009034465844705865</x:v>
      </x:c>
      <x:c r="X858" s="80" t="n">
        <x:f>W858*('Inputs'!$B$6-AC858)</x:f>
        <x:v>8908.516659220844</x:v>
      </x:c>
      <x:c r="Y858" s="80" t="n">
        <x:f>2*V858</x:f>
        <x:v>1023.0688235752324</x:v>
      </x:c>
      <x:c r="Z858" s="80" t="n">
        <x:f>K858*'Inputs'!$B$16+(G858+R858)*J858*'Inputs'!$B$16</x:f>
        <x:v>6.217619149650657</x:v>
      </x:c>
      <x:c r="AA858" s="80" t="n">
        <x:f>K858*(1+'Inputs'!$E$46)/2*'Inputs'!$B$17</x:f>
        <x:v>2.0760862990699325</x:v>
      </x:c>
      <x:c r="AB858" s="78" t="n">
        <x:f>(IF(J858&gt;0,K858*(1-'Inputs'!$E$46)/2/J858,0)+G858+R858)*'Inputs'!$B$17</x:f>
        <x:v>227856.24907327662</x:v>
      </x:c>
      <x:c r="AC858" s="78" t="n">
        <x:f>AC857+AB858</x:f>
        <x:v>13940966.477705643</x:v>
      </x:c>
      <x:c r="AD858" s="80" t="n">
        <x:f>Z858/(1+'Inputs'!$C$46)</x:f>
        <x:v>3.1088095748253286</x:v>
      </x:c>
      <x:c r="AE858" s="80" t="n">
        <x:f>Z858-AD858</x:f>
        <x:v>3.1088095748253286</x:v>
      </x:c>
      <x:c r="AF858" s="80" t="n">
        <x:f>D858*W858</x:f>
        <x:v>2.6000303495333545</x:v>
      </x:c>
      <x:c r="AG858" s="80" t="n">
        <x:f>C858*W858</x:f>
        <x:v>6.066737482244449</x:v>
      </x:c>
      <x:c r="AH858" s="80" t="n">
        <x:f>2*'Inputs'!$B$8*'Inputs'!$C$46</x:f>
        <x:v>5000</x:v>
      </x:c>
      <x:c r="AI858" s="81" t="n">
        <x:f>IF(AH858&gt;0,(AE858+AF858)/AH858*365,0)</x:f>
        <x:v>0.41674531447818386</x:v>
      </x:c>
      <x:c r="AJ858" s="81" t="n">
        <x:f>IF('Inputs'!$B$46&gt;0,AG858/('Inputs'!$B$19*'Inputs'!$B$46)*365,0)</x:f>
        <x:v>0.22143591810192237</x:v>
      </x:c>
      <x:c r="AK858" s="81" t="n">
        <x:f>W858/MAX($W$734:W858)-1</x:f>
        <x:v>-0.9892802244899986</x:v>
      </x:c>
      <x:c r="AL858" s="83" t="n">
        <x:f>'Inputs'!$B$46</x:f>
        <x:v>1</x:v>
      </x:c>
      <x:c r="AM858" s="83" t="n">
        <x:f>'Inputs'!$C$46</x:f>
        <x:v>1</x:v>
      </x:c>
      <x:c r="AN858" s="83" t="n">
        <x:f>'Inputs'!$D$46</x:f>
        <x:v>1</x:v>
      </x:c>
      <x:c r="AO858" s="81" t="n">
        <x:f>'Inputs'!$E$46</x:f>
        <x:v>0</x:v>
      </x:c>
    </x:row>
    <x:row r="859">
      <x:c r="A859" s="59" t="str">
        <x:v>Base</x:v>
      </x:c>
      <x:c r="B859" s="59" t="n">
        <x:v>126</x:v>
      </x:c>
      <x:c r="C859" s="78" t="n">
        <x:f>(('Inputs'!$B$29*(3*126*'Inputs'!$B$12-126^2)/(2*'Inputs'!$B$12^2))-('Inputs'!$B$29*(3*125*'Inputs'!$B$12-125^2)/(2*'Inputs'!$B$12^2)))*'Inputs'!$B$46</x:f>
        <x:v>671185.2598986775</x:v>
      </x:c>
      <x:c r="D859" s="78" t="n">
        <x:f>IF('Inputs'!$C$46&gt;0,('Inputs'!$B$30*(3*126*'Inputs'!$B$12-126^2)/(2*'Inputs'!$B$12^2))-('Inputs'!$B$30*(3*125*'Inputs'!$B$12-125^2)/(2*'Inputs'!$B$12^2)),0)</x:f>
        <x:v>287650.82567085326</x:v>
      </x:c>
      <x:c r="E859" s="78" t="n">
        <x:f>C859+D859</x:f>
        <x:v>958836.0855695307</x:v>
      </x:c>
      <x:c r="F859" s="78" t="n">
        <x:f>'Inputs'!$B$13*E859+(1-'Inputs'!$B$13)/'Inputs'!$B$14*SUM(E804:E859)</x:f>
        <x:v>969053.7624319772</x:v>
      </x:c>
      <x:c r="G859" s="78" t="n">
        <x:f>F859*'Inputs'!$F$46</x:f>
        <x:v>484526.8812159886</x:v>
      </x:c>
      <x:c r="H859" s="78" t="n">
        <x:f>U858</x:f>
        <x:v>56620327.153859556</x:v>
      </x:c>
      <x:c r="I859" s="78" t="n">
        <x:f>V858</x:f>
        <x:v>511.5344117876162</x:v>
      </x:c>
      <x:c r="J859" s="79" t="n">
        <x:f>IF(H859&gt;0,I859/H859,0)</x:f>
        <x:v>0.000009034465844705865</x:v>
      </x:c>
      <x:c r="K859" s="80" t="n">
        <x:f>(H859*J859+I859)*'Inputs'!$D$46*(1+'Inputs'!$G$46)^(B859/30)</x:f>
        <x:v>1023.0688235752324</x:v>
      </x:c>
      <x:c r="L859" s="80" t="n">
        <x:f>MAX(0,K859*'Inputs'!$E$46)</x:f>
        <x:v>0</x:v>
      </x:c>
      <x:c r="M859" s="80" t="n">
        <x:f>MAX(0,-K859*'Inputs'!$E$46)</x:f>
        <x:v>0</x:v>
      </x:c>
      <x:c r="N859" s="78" t="n">
        <x:f>H859*(L859*(1-'Inputs'!$B$15))/(I859+L859*(1-'Inputs'!$B$15))</x:f>
        <x:v>0</x:v>
      </x:c>
      <x:c r="O859" s="78" t="n">
        <x:f>H859-N859</x:f>
        <x:v>56620327.153859556</x:v>
      </x:c>
      <x:c r="P859" s="78" t="n">
        <x:f>I859+L859*(1-'Inputs'!$B$17)</x:f>
        <x:v>511.5344117876162</x:v>
      </x:c>
      <x:c r="Q859" s="78" t="n">
        <x:f>IF(J859&gt;0,M859/J859,0)</x:f>
        <x:v>0</x:v>
      </x:c>
      <x:c r="R859" s="78" t="n">
        <x:f>IF(B859='Inputs'!$H$46,'Inputs'!$B$27*'Inputs'!$I$46,0)</x:f>
        <x:v>0</x:v>
      </x:c>
      <x:c r="S859" s="78" t="n">
        <x:f>Q859+G859+R859</x:f>
        <x:v>484526.8812159886</x:v>
      </x:c>
      <x:c r="T859" s="78" t="n">
        <x:f>P859*(S859*(1-'Inputs'!$B$15))/(O859+S859*(1-'Inputs'!$B$15))</x:f>
        <x:v>4.297261186959797</x:v>
      </x:c>
      <x:c r="U859" s="78" t="n">
        <x:f>O859+S859*(1-'Inputs'!$B$17)</x:f>
        <x:v>57102904.2287125</x:v>
      </x:c>
      <x:c r="V859" s="78" t="n">
        <x:f>P859-T859</x:f>
        <x:v>507.2371506006564</x:v>
      </x:c>
      <x:c r="W859" s="79" t="n">
        <x:f>IF(U859&gt;0,V859/U859,0)</x:f>
        <x:v>0.000008882860818585252</x:v>
      </x:c>
      <x:c r="X859" s="80" t="n">
        <x:f>W859*('Inputs'!$B$6-AC859)</x:f>
        <x:v>8756.983888212546</x:v>
      </x:c>
      <x:c r="Y859" s="80" t="n">
        <x:f>2*V859</x:f>
        <x:v>1014.4743012013128</x:v>
      </x:c>
      <x:c r="Z859" s="80" t="n">
        <x:f>K859*'Inputs'!$B$16+(G859+R859)*J859*'Inputs'!$B$16</x:f>
        <x:v>6.164677590806521</x:v>
      </x:c>
      <x:c r="AA859" s="80" t="n">
        <x:f>K859*(1+'Inputs'!$E$46)/2*'Inputs'!$B$17</x:f>
        <x:v>2.0584885786221983</x:v>
      </x:c>
      <x:c r="AB859" s="78" t="n">
        <x:f>(IF(J859&gt;0,K859*(1-'Inputs'!$E$46)/2/J859,0)+G859+R859)*'Inputs'!$B$17</x:f>
        <x:v>229798.20537253743</x:v>
      </x:c>
      <x:c r="AC859" s="78" t="n">
        <x:f>AC858+AB859</x:f>
        <x:v>14170764.68307818</x:v>
      </x:c>
      <x:c r="AD859" s="80" t="n">
        <x:f>Z859/(1+'Inputs'!$C$46)</x:f>
        <x:v>3.0823387954032606</x:v>
      </x:c>
      <x:c r="AE859" s="80" t="n">
        <x:f>Z859-AD859</x:f>
        <x:v>3.0823387954032606</x:v>
      </x:c>
      <x:c r="AF859" s="80" t="n">
        <x:f>D859*W859</x:f>
        <x:v>2.555162248785319</x:v>
      </x:c>
      <x:c r="AG859" s="80" t="n">
        <x:f>C859*W859</x:f>
        <x:v>5.962045247165921</x:v>
      </x:c>
      <x:c r="AH859" s="80" t="n">
        <x:f>2*'Inputs'!$B$8*'Inputs'!$C$46</x:f>
        <x:v>5000</x:v>
      </x:c>
      <x:c r="AI859" s="81" t="n">
        <x:f>IF(AH859&gt;0,(AE859+AF859)/AH859*365,0)</x:f>
        <x:v>0.41153757622576637</x:v>
      </x:c>
      <x:c r="AJ859" s="81" t="n">
        <x:f>IF('Inputs'!$B$46&gt;0,AG859/('Inputs'!$B$19*'Inputs'!$B$46)*365,0)</x:f>
        <x:v>0.21761465152155612</x:v>
      </x:c>
      <x:c r="AK859" s="81" t="n">
        <x:f>W859/MAX($W$734:W859)-1</x:f>
        <x:v>-0.98946011026013</x:v>
      </x:c>
      <x:c r="AL859" s="83" t="n">
        <x:f>'Inputs'!$B$46</x:f>
        <x:v>1</x:v>
      </x:c>
      <x:c r="AM859" s="83" t="n">
        <x:f>'Inputs'!$C$46</x:f>
        <x:v>1</x:v>
      </x:c>
      <x:c r="AN859" s="83" t="n">
        <x:f>'Inputs'!$D$46</x:f>
        <x:v>1</x:v>
      </x:c>
      <x:c r="AO859" s="81" t="n">
        <x:f>'Inputs'!$E$46</x:f>
        <x:v>0</x:v>
      </x:c>
    </x:row>
    <x:row r="860">
      <x:c r="A860" s="59" t="str">
        <x:v>Base</x:v>
      </x:c>
      <x:c r="B860" s="59" t="n">
        <x:v>127</x:v>
      </x:c>
      <x:c r="C860" s="78" t="n">
        <x:f>(('Inputs'!$B$29*(3*127*'Inputs'!$B$12-127^2)/(2*'Inputs'!$B$12^2))-('Inputs'!$B$29*(3*126*'Inputs'!$B$12-126^2)/(2*'Inputs'!$B$12^2)))*'Inputs'!$B$46</x:f>
        <x:v>670860.1519984901</x:v>
      </x:c>
      <x:c r="D860" s="78" t="n">
        <x:f>IF('Inputs'!$C$46&gt;0,('Inputs'!$B$30*(3*127*'Inputs'!$B$12-127^2)/(2*'Inputs'!$B$12^2))-('Inputs'!$B$30*(3*126*'Inputs'!$B$12-126^2)/(2*'Inputs'!$B$12^2)),0)</x:f>
        <x:v>287511.4937136397</x:v>
      </x:c>
      <x:c r="E860" s="78" t="n">
        <x:f>C860+D860</x:f>
        <x:v>958371.6457121298</x:v>
      </x:c>
      <x:c r="F860" s="78" t="n">
        <x:f>'Inputs'!$B$13*E860+(1-'Inputs'!$B$13)/'Inputs'!$B$14*SUM(E805:E860)</x:f>
        <x:v>968589.3225745896</x:v>
      </x:c>
      <x:c r="G860" s="78" t="n">
        <x:f>F860*'Inputs'!$F$46</x:f>
        <x:v>484294.6612872948</x:v>
      </x:c>
      <x:c r="H860" s="78" t="n">
        <x:f>U859</x:f>
        <x:v>57102904.2287125</x:v>
      </x:c>
      <x:c r="I860" s="78" t="n">
        <x:f>V859</x:f>
        <x:v>507.2371506006564</x:v>
      </x:c>
      <x:c r="J860" s="79" t="n">
        <x:f>IF(H860&gt;0,I860/H860,0)</x:f>
        <x:v>0.000008882860818585252</x:v>
      </x:c>
      <x:c r="K860" s="80" t="n">
        <x:f>(H860*J860+I860)*'Inputs'!$D$46*(1+'Inputs'!$G$46)^(B860/30)</x:f>
        <x:v>1014.4743012013128</x:v>
      </x:c>
      <x:c r="L860" s="80" t="n">
        <x:f>MAX(0,K860*'Inputs'!$E$46)</x:f>
        <x:v>0</x:v>
      </x:c>
      <x:c r="M860" s="80" t="n">
        <x:f>MAX(0,-K860*'Inputs'!$E$46)</x:f>
        <x:v>0</x:v>
      </x:c>
      <x:c r="N860" s="78" t="n">
        <x:f>H860*(L860*(1-'Inputs'!$B$15))/(I860+L860*(1-'Inputs'!$B$15))</x:f>
        <x:v>0</x:v>
      </x:c>
      <x:c r="O860" s="78" t="n">
        <x:f>H860-N860</x:f>
        <x:v>57102904.2287125</x:v>
      </x:c>
      <x:c r="P860" s="78" t="n">
        <x:f>I860+L860*(1-'Inputs'!$B$17)</x:f>
        <x:v>507.2371506006564</x:v>
      </x:c>
      <x:c r="Q860" s="78" t="n">
        <x:f>IF(J860&gt;0,M860/J860,0)</x:f>
        <x:v>0</x:v>
      </x:c>
      <x:c r="R860" s="78" t="n">
        <x:f>IF(B860='Inputs'!$H$46,'Inputs'!$B$27*'Inputs'!$I$46,0)</x:f>
        <x:v>0</x:v>
      </x:c>
      <x:c r="S860" s="78" t="n">
        <x:f>Q860+G860+R860</x:f>
        <x:v>484294.6612872948</x:v>
      </x:c>
      <x:c r="T860" s="78" t="n">
        <x:f>P860*(S860*(1-'Inputs'!$B$15))/(O860+S860*(1-'Inputs'!$B$15))</x:f>
        <x:v>4.223441670937443</x:v>
      </x:c>
      <x:c r="U860" s="78" t="n">
        <x:f>O860+S860*(1-'Inputs'!$B$17)</x:f>
        <x:v>57585250.01812339</x:v>
      </x:c>
      <x:c r="V860" s="78" t="n">
        <x:f>P860-T860</x:f>
        <x:v>503.0137089297189</x:v>
      </x:c>
      <x:c r="W860" s="79" t="n">
        <x:f>IF(U860&gt;0,V860/U860,0)</x:f>
        <x:v>0.000008735113744776815</x:v>
      </x:c>
      <x:c r="X860" s="80" t="n">
        <x:f>W860*('Inputs'!$B$6-AC860)</x:f>
        <x:v>8609.306234878224</x:v>
      </x:c>
      <x:c r="Y860" s="80" t="n">
        <x:f>2*V860</x:f>
        <x:v>1006.0274178594378</x:v>
      </x:c>
      <x:c r="Z860" s="80" t="n">
        <x:f>K860*'Inputs'!$B$16+(G860+R860)*J860*'Inputs'!$B$16</x:f>
        <x:v>6.112657339636271</x:v>
      </x:c>
      <x:c r="AA860" s="80" t="n">
        <x:f>K860*(1+'Inputs'!$E$46)/2*'Inputs'!$B$17</x:f>
        <x:v>2.041195777065016</x:v>
      </x:c>
      <x:c r="AB860" s="78" t="n">
        <x:f>(IF(J860&gt;0,K860*(1-'Inputs'!$E$46)/2/J860,0)+G860+R860)*'Inputs'!$B$17</x:f>
        <x:v>231739.23094567322</x:v>
      </x:c>
      <x:c r="AC860" s="78" t="n">
        <x:f>AC859+AB860</x:f>
        <x:v>14402503.914023852</x:v>
      </x:c>
      <x:c r="AD860" s="80" t="n">
        <x:f>Z860/(1+'Inputs'!$C$46)</x:f>
        <x:v>3.0563286698181353</x:v>
      </x:c>
      <x:c r="AE860" s="80" t="n">
        <x:f>Z860-AD860</x:f>
        <x:v>3.0563286698181353</x:v>
      </x:c>
      <x:c r="AF860" s="80" t="n">
        <x:f>D860*W860</x:f>
        <x:v>2.511445600519327</x:v>
      </x:c>
      <x:c r="AG860" s="80" t="n">
        <x:f>C860*W860</x:f>
        <x:v>5.860039734545074</x:v>
      </x:c>
      <x:c r="AH860" s="80" t="n">
        <x:f>2*'Inputs'!$B$8*'Inputs'!$C$46</x:f>
        <x:v>5000</x:v>
      </x:c>
      <x:c r="AI860" s="81" t="n">
        <x:f>IF(AH860&gt;0,(AE860+AF860)/AH860*365,0)</x:f>
        <x:v>0.40644752173463483</x:v>
      </x:c>
      <x:c r="AJ860" s="81" t="n">
        <x:f>IF('Inputs'!$B$46&gt;0,AG860/('Inputs'!$B$19*'Inputs'!$B$46)*365,0)</x:f>
        <x:v>0.2138914503108952</x:v>
      </x:c>
      <x:c r="AK860" s="81" t="n">
        <x:f>W860/MAX($W$734:W860)-1</x:f>
        <x:v>-0.9896354184068108</x:v>
      </x:c>
      <x:c r="AL860" s="83" t="n">
        <x:f>'Inputs'!$B$46</x:f>
        <x:v>1</x:v>
      </x:c>
      <x:c r="AM860" s="83" t="n">
        <x:f>'Inputs'!$C$46</x:f>
        <x:v>1</x:v>
      </x:c>
      <x:c r="AN860" s="83" t="n">
        <x:f>'Inputs'!$D$46</x:f>
        <x:v>1</x:v>
      </x:c>
      <x:c r="AO860" s="81" t="n">
        <x:f>'Inputs'!$E$46</x:f>
        <x:v>0</x:v>
      </x:c>
    </x:row>
    <x:row r="861">
      <x:c r="A861" s="59" t="str">
        <x:v>Base</x:v>
      </x:c>
      <x:c r="B861" s="59" t="n">
        <x:v>128</x:v>
      </x:c>
      <x:c r="C861" s="78" t="n">
        <x:f>(('Inputs'!$B$29*(3*128*'Inputs'!$B$12-128^2)/(2*'Inputs'!$B$12^2))-('Inputs'!$B$29*(3*127*'Inputs'!$B$12-127^2)/(2*'Inputs'!$B$12^2)))*'Inputs'!$B$46</x:f>
        <x:v>670535.0440983325</x:v>
      </x:c>
      <x:c r="D861" s="78" t="n">
        <x:f>IF('Inputs'!$C$46&gt;0,('Inputs'!$B$30*(3*128*'Inputs'!$B$12-128^2)/(2*'Inputs'!$B$12^2))-('Inputs'!$B$30*(3*127*'Inputs'!$B$12-127^2)/(2*'Inputs'!$B$12^2)),0)</x:f>
        <x:v>287372.16175643355</x:v>
      </x:c>
      <x:c r="E861" s="78" t="n">
        <x:f>C861+D861</x:f>
        <x:v>957907.2058547661</x:v>
      </x:c>
      <x:c r="F861" s="78" t="n">
        <x:f>'Inputs'!$B$13*E861+(1-'Inputs'!$B$13)/'Inputs'!$B$14*SUM(E806:E861)</x:f>
        <x:v>968124.8827172098</x:v>
      </x:c>
      <x:c r="G861" s="78" t="n">
        <x:f>F861*'Inputs'!$F$46</x:f>
        <x:v>484062.4413586049</x:v>
      </x:c>
      <x:c r="H861" s="78" t="n">
        <x:f>U860</x:f>
        <x:v>57585250.01812339</x:v>
      </x:c>
      <x:c r="I861" s="78" t="n">
        <x:f>V860</x:f>
        <x:v>503.0137089297189</x:v>
      </x:c>
      <x:c r="J861" s="79" t="n">
        <x:f>IF(H861&gt;0,I861/H861,0)</x:f>
        <x:v>0.000008735113744776815</x:v>
      </x:c>
      <x:c r="K861" s="80" t="n">
        <x:f>(H861*J861+I861)*'Inputs'!$D$46*(1+'Inputs'!$G$46)^(B861/30)</x:f>
        <x:v>1006.027417859438</x:v>
      </x:c>
      <x:c r="L861" s="80" t="n">
        <x:f>MAX(0,K861*'Inputs'!$E$46)</x:f>
        <x:v>0</x:v>
      </x:c>
      <x:c r="M861" s="80" t="n">
        <x:f>MAX(0,-K861*'Inputs'!$E$46)</x:f>
        <x:v>0</x:v>
      </x:c>
      <x:c r="N861" s="78" t="n">
        <x:f>H861*(L861*(1-'Inputs'!$B$15))/(I861+L861*(1-'Inputs'!$B$15))</x:f>
        <x:v>0</x:v>
      </x:c>
      <x:c r="O861" s="78" t="n">
        <x:f>H861-N861</x:f>
        <x:v>57585250.01812339</x:v>
      </x:c>
      <x:c r="P861" s="78" t="n">
        <x:f>I861+L861*(1-'Inputs'!$B$17)</x:f>
        <x:v>503.0137089297189</x:v>
      </x:c>
      <x:c r="Q861" s="78" t="n">
        <x:f>IF(J861&gt;0,M861/J861,0)</x:f>
        <x:v>0</x:v>
      </x:c>
      <x:c r="R861" s="78" t="n">
        <x:f>IF(B861='Inputs'!$H$46,'Inputs'!$B$27*'Inputs'!$I$46,0)</x:f>
        <x:v>0</x:v>
      </x:c>
      <x:c r="S861" s="78" t="n">
        <x:f>Q861+G861+R861</x:f>
        <x:v>484062.4413586049</x:v>
      </x:c>
      <x:c r="T861" s="78" t="n">
        <x:f>P861*(S861*(1-'Inputs'!$B$15))/(O861+S861*(1-'Inputs'!$B$15))</x:f>
        <x:v>4.151508416821007</x:v>
      </x:c>
      <x:c r="U861" s="78" t="n">
        <x:f>O861+S861*(1-'Inputs'!$B$17)</x:f>
        <x:v>58067364.52209222</x:v>
      </x:c>
      <x:c r="V861" s="78" t="n">
        <x:f>P861-T861</x:f>
        <x:v>498.8622005128979</x:v>
      </x:c>
      <x:c r="W861" s="79" t="n">
        <x:f>IF(U861&gt;0,V861/U861,0)</x:f>
        <x:v>0.000008591094233717143</x:v>
      </x:c>
      <x:c r="X861" s="80" t="n">
        <x:f>W861*('Inputs'!$B$6-AC861)</x:f>
        <x:v>8465.353404281926</x:v>
      </x:c>
      <x:c r="Y861" s="80" t="n">
        <x:f>2*V861</x:f>
        <x:v>997.7244010257958</x:v>
      </x:c>
      <x:c r="Z861" s="80" t="n">
        <x:f>K861*'Inputs'!$B$16+(G861+R861)*J861*'Inputs'!$B$16</x:f>
        <x:v>6.061534550065678</x:v>
      </x:c>
      <x:c r="AA861" s="80" t="n">
        <x:f>K861*(1+'Inputs'!$E$46)/2*'Inputs'!$B$17</x:f>
        <x:v>2.024200035934483</x:v>
      </x:c>
      <x:c r="AB861" s="78" t="n">
        <x:f>(IF(J861&gt;0,K861*(1-'Inputs'!$E$46)/2/J861,0)+G861+R861)*'Inputs'!$B$17</x:f>
        <x:v>233679.3257926841</x:v>
      </x:c>
      <x:c r="AC861" s="78" t="n">
        <x:f>AC860+AB861</x:f>
        <x:v>14636183.239816535</x:v>
      </x:c>
      <x:c r="AD861" s="80" t="n">
        <x:f>Z861/(1+'Inputs'!$C$46)</x:f>
        <x:v>3.030767275032839</x:v>
      </x:c>
      <x:c r="AE861" s="80" t="n">
        <x:f>Z861-AD861</x:f>
        <x:v>3.030767275032839</x:v>
      </x:c>
      <x:c r="AF861" s="80" t="n">
        <x:f>D861*W861</x:f>
        <x:v>2.468841321796526</x:v>
      </x:c>
      <x:c r="AG861" s="80" t="n">
        <x:f>C861*W861</x:f>
        <x:v>5.760629750858454</x:v>
      </x:c>
      <x:c r="AH861" s="80" t="n">
        <x:f>2*'Inputs'!$B$8*'Inputs'!$C$46</x:f>
        <x:v>5000</x:v>
      </x:c>
      <x:c r="AI861" s="81" t="n">
        <x:f>IF(AH861&gt;0,(AE861+AF861)/AH861*365,0)</x:f>
        <x:v>0.4014714275685436</x:v>
      </x:c>
      <x:c r="AJ861" s="81" t="n">
        <x:f>IF('Inputs'!$B$46&gt;0,AG861/('Inputs'!$B$19*'Inputs'!$B$46)*365,0)</x:f>
        <x:v>0.21026298590633358</x:v>
      </x:c>
      <x:c r="AK861" s="81" t="n">
        <x:f>W861/MAX($W$734:W861)-1</x:f>
        <x:v>-0.989806303642768</x:v>
      </x:c>
      <x:c r="AL861" s="83" t="n">
        <x:f>'Inputs'!$B$46</x:f>
        <x:v>1</x:v>
      </x:c>
      <x:c r="AM861" s="83" t="n">
        <x:f>'Inputs'!$C$46</x:f>
        <x:v>1</x:v>
      </x:c>
      <x:c r="AN861" s="83" t="n">
        <x:f>'Inputs'!$D$46</x:f>
        <x:v>1</x:v>
      </x:c>
      <x:c r="AO861" s="81" t="n">
        <x:f>'Inputs'!$E$46</x:f>
        <x:v>0</x:v>
      </x:c>
    </x:row>
    <x:row r="862">
      <x:c r="A862" s="59" t="str">
        <x:v>Base</x:v>
      </x:c>
      <x:c r="B862" s="59" t="n">
        <x:v>129</x:v>
      </x:c>
      <x:c r="C862" s="78" t="n">
        <x:f>(('Inputs'!$B$29*(3*129*'Inputs'!$B$12-129^2)/(2*'Inputs'!$B$12^2))-('Inputs'!$B$29*(3*128*'Inputs'!$B$12-128^2)/(2*'Inputs'!$B$12^2)))*'Inputs'!$B$46</x:f>
        <x:v>670209.93619816</x:v>
      </x:c>
      <x:c r="D862" s="78" t="n">
        <x:f>IF('Inputs'!$C$46&gt;0,('Inputs'!$B$30*(3*129*'Inputs'!$B$12-129^2)/(2*'Inputs'!$B$12^2))-('Inputs'!$B$30*(3*128*'Inputs'!$B$12-128^2)/(2*'Inputs'!$B$12^2)),0)</x:f>
        <x:v>287232.8297992125</x:v>
      </x:c>
      <x:c r="E862" s="78" t="n">
        <x:f>C862+D862</x:f>
        <x:v>957442.7659973726</x:v>
      </x:c>
      <x:c r="F862" s="78" t="n">
        <x:f>'Inputs'!$B$13*E862+(1-'Inputs'!$B$13)/'Inputs'!$B$14*SUM(E807:E862)</x:f>
        <x:v>967660.4428598238</x:v>
      </x:c>
      <x:c r="G862" s="78" t="n">
        <x:f>F862*'Inputs'!$F$46</x:f>
        <x:v>483830.2214299119</x:v>
      </x:c>
      <x:c r="H862" s="78" t="n">
        <x:f>U861</x:f>
        <x:v>58067364.52209222</x:v>
      </x:c>
      <x:c r="I862" s="78" t="n">
        <x:f>V861</x:f>
        <x:v>498.8622005128979</x:v>
      </x:c>
      <x:c r="J862" s="79" t="n">
        <x:f>IF(H862&gt;0,I862/H862,0)</x:f>
        <x:v>0.000008591094233717143</x:v>
      </x:c>
      <x:c r="K862" s="80" t="n">
        <x:f>(H862*J862+I862)*'Inputs'!$D$46*(1+'Inputs'!$G$46)^(B862/30)</x:f>
        <x:v>997.7244010257957</x:v>
      </x:c>
      <x:c r="L862" s="80" t="n">
        <x:f>MAX(0,K862*'Inputs'!$E$46)</x:f>
        <x:v>0</x:v>
      </x:c>
      <x:c r="M862" s="80" t="n">
        <x:f>MAX(0,-K862*'Inputs'!$E$46)</x:f>
        <x:v>0</x:v>
      </x:c>
      <x:c r="N862" s="78" t="n">
        <x:f>H862*(L862*(1-'Inputs'!$B$15))/(I862+L862*(1-'Inputs'!$B$15))</x:f>
        <x:v>0</x:v>
      </x:c>
      <x:c r="O862" s="78" t="n">
        <x:f>H862-N862</x:f>
        <x:v>58067364.52209222</x:v>
      </x:c>
      <x:c r="P862" s="78" t="n">
        <x:f>I862+L862*(1-'Inputs'!$B$17)</x:f>
        <x:v>498.8622005128979</x:v>
      </x:c>
      <x:c r="Q862" s="78" t="n">
        <x:f>IF(J862&gt;0,M862/J862,0)</x:f>
        <x:v>0</x:v>
      </x:c>
      <x:c r="R862" s="78" t="n">
        <x:f>IF(B862='Inputs'!$H$46,'Inputs'!$B$27*'Inputs'!$I$46,0)</x:f>
        <x:v>0</x:v>
      </x:c>
      <x:c r="S862" s="78" t="n">
        <x:f>Q862+G862+R862</x:f>
        <x:v>483830.2214299119</x:v>
      </x:c>
      <x:c r="T862" s="78" t="n">
        <x:f>P862*(S862*(1-'Inputs'!$B$15))/(O862+S862*(1-'Inputs'!$B$15))</x:f>
        <x:v>4.081397671387849</x:v>
      </x:c>
      <x:c r="U862" s="78" t="n">
        <x:f>O862+S862*(1-'Inputs'!$B$17)</x:f>
        <x:v>58549247.740619</x:v>
      </x:c>
      <x:c r="V862" s="78" t="n">
        <x:f>P862-T862</x:f>
        <x:v>494.7808028415101</x:v>
      </x:c>
      <x:c r="W862" s="79" t="n">
        <x:f>IF(U862&gt;0,V862/U862,0)</x:f>
        <x:v>0.00000845067736879311</x:v>
      </x:c>
      <x:c r="X862" s="80" t="n">
        <x:f>W862*('Inputs'!$B$6-AC862)</x:f>
        <x:v>8325.000570482502</x:v>
      </x:c>
      <x:c r="Y862" s="80" t="n">
        <x:f>2*V862</x:f>
        <x:v>989.5616056830202</x:v>
      </x:c>
      <x:c r="Z862" s="80" t="n">
        <x:f>K862*'Inputs'!$B$16+(G862+R862)*J862*'Inputs'!$B$16</x:f>
        <x:v>6.011286192307321</x:v>
      </x:c>
      <x:c r="AA862" s="80" t="n">
        <x:f>K862*(1+'Inputs'!$E$46)/2*'Inputs'!$B$17</x:f>
        <x:v>2.007493764639428</x:v>
      </x:c>
      <x:c r="AB862" s="78" t="n">
        <x:f>(IF(J862&gt;0,K862*(1-'Inputs'!$E$46)/2/J862,0)+G862+R862)*'Inputs'!$B$17</x:f>
        <x:v>235618.48991357</x:v>
      </x:c>
      <x:c r="AC862" s="78" t="n">
        <x:f>AC861+AB862</x:f>
        <x:v>14871801.729730105</x:v>
      </x:c>
      <x:c r="AD862" s="80" t="n">
        <x:f>Z862/(1+'Inputs'!$C$46)</x:f>
        <x:v>3.0056430961536607</x:v>
      </x:c>
      <x:c r="AE862" s="80" t="n">
        <x:f>Z862-AD862</x:f>
        <x:v>3.0056430961536607</x:v>
      </x:c>
      <x:c r="AF862" s="80" t="n">
        <x:f>D862*W862</x:f>
        <x:v>2.4273119743586085</x:v>
      </x:c>
      <x:c r="AG862" s="80" t="n">
        <x:f>C862*W862</x:f>
        <x:v>5.663727940170065</x:v>
      </x:c>
      <x:c r="AH862" s="80" t="n">
        <x:f>2*'Inputs'!$B$8*'Inputs'!$C$46</x:f>
        <x:v>5000</x:v>
      </x:c>
      <x:c r="AI862" s="81" t="n">
        <x:f>IF(AH862&gt;0,(AE862+AF862)/AH862*365,0)</x:f>
        <x:v>0.39660572014739565</x:v>
      </x:c>
      <x:c r="AJ862" s="81" t="n">
        <x:f>IF('Inputs'!$B$46&gt;0,AG862/('Inputs'!$B$19*'Inputs'!$B$46)*365,0)</x:f>
        <x:v>0.2067260698162074</x:v>
      </x:c>
      <x:c r="AK862" s="81" t="n">
        <x:f>W862/MAX($W$734:W862)-1</x:f>
        <x:v>-0.989972914186842</x:v>
      </x:c>
      <x:c r="AL862" s="83" t="n">
        <x:f>'Inputs'!$B$46</x:f>
        <x:v>1</x:v>
      </x:c>
      <x:c r="AM862" s="83" t="n">
        <x:f>'Inputs'!$C$46</x:f>
        <x:v>1</x:v>
      </x:c>
      <x:c r="AN862" s="83" t="n">
        <x:f>'Inputs'!$D$46</x:f>
        <x:v>1</x:v>
      </x:c>
      <x:c r="AO862" s="81" t="n">
        <x:f>'Inputs'!$E$46</x:f>
        <x:v>0</x:v>
      </x:c>
    </x:row>
    <x:row r="863">
      <x:c r="A863" s="59" t="str">
        <x:v>Base</x:v>
      </x:c>
      <x:c r="B863" s="59" t="n">
        <x:v>130</x:v>
      </x:c>
      <x:c r="C863" s="78" t="n">
        <x:f>(('Inputs'!$B$29*(3*130*'Inputs'!$B$12-130^2)/(2*'Inputs'!$B$12^2))-('Inputs'!$B$29*(3*129*'Inputs'!$B$12-129^2)/(2*'Inputs'!$B$12^2)))*'Inputs'!$B$46</x:f>
        <x:v>669884.8282979876</x:v>
      </x:c>
      <x:c r="D863" s="78" t="n">
        <x:f>IF('Inputs'!$C$46&gt;0,('Inputs'!$B$30*(3*130*'Inputs'!$B$12-130^2)/(2*'Inputs'!$B$12^2))-('Inputs'!$B$30*(3*129*'Inputs'!$B$12-129^2)/(2*'Inputs'!$B$12^2)),0)</x:f>
        <x:v>287093.4978419915</x:v>
      </x:c>
      <x:c r="E863" s="78" t="n">
        <x:f>C863+D863</x:f>
        <x:v>956978.3261399791</x:v>
      </x:c>
      <x:c r="F863" s="78" t="n">
        <x:f>'Inputs'!$B$13*E863+(1-'Inputs'!$B$13)/'Inputs'!$B$14*SUM(E808:E863)</x:f>
        <x:v>967196.0030024375</x:v>
      </x:c>
      <x:c r="G863" s="78" t="n">
        <x:f>F863*'Inputs'!$F$46</x:f>
        <x:v>483598.00150121877</x:v>
      </x:c>
      <x:c r="H863" s="78" t="n">
        <x:f>U862</x:f>
        <x:v>58549247.740619</x:v>
      </x:c>
      <x:c r="I863" s="78" t="n">
        <x:f>V862</x:f>
        <x:v>494.7808028415101</x:v>
      </x:c>
      <x:c r="J863" s="79" t="n">
        <x:f>IF(H863&gt;0,I863/H863,0)</x:f>
        <x:v>0.00000845067736879311</x:v>
      </x:c>
      <x:c r="K863" s="80" t="n">
        <x:f>(H863*J863+I863)*'Inputs'!$D$46*(1+'Inputs'!$G$46)^(B863/30)</x:f>
        <x:v>989.5616056830202</x:v>
      </x:c>
      <x:c r="L863" s="80" t="n">
        <x:f>MAX(0,K863*'Inputs'!$E$46)</x:f>
        <x:v>0</x:v>
      </x:c>
      <x:c r="M863" s="80" t="n">
        <x:f>MAX(0,-K863*'Inputs'!$E$46)</x:f>
        <x:v>0</x:v>
      </x:c>
      <x:c r="N863" s="78" t="n">
        <x:f>H863*(L863*(1-'Inputs'!$B$15))/(I863+L863*(1-'Inputs'!$B$15))</x:f>
        <x:v>0</x:v>
      </x:c>
      <x:c r="O863" s="78" t="n">
        <x:f>H863-N863</x:f>
        <x:v>58549247.740619</x:v>
      </x:c>
      <x:c r="P863" s="78" t="n">
        <x:f>I863+L863*(1-'Inputs'!$B$17)</x:f>
        <x:v>494.7808028415101</x:v>
      </x:c>
      <x:c r="Q863" s="78" t="n">
        <x:f>IF(J863&gt;0,M863/J863,0)</x:f>
        <x:v>0</x:v>
      </x:c>
      <x:c r="R863" s="78" t="n">
        <x:f>IF(B863='Inputs'!$H$46,'Inputs'!$B$27*'Inputs'!$I$46,0)</x:f>
        <x:v>0</x:v>
      </x:c>
      <x:c r="S863" s="78" t="n">
        <x:f>Q863+G863+R863</x:f>
        <x:v>483598.00150121877</x:v>
      </x:c>
      <x:c r="T863" s="78" t="n">
        <x:f>P863*(S863*(1-'Inputs'!$B$15))/(O863+S863*(1-'Inputs'!$B$15))</x:f>
        <x:v>4.013048353072599</x:v>
      </x:c>
      <x:c r="U863" s="78" t="n">
        <x:f>O863+S863*(1-'Inputs'!$B$17)</x:f>
        <x:v>59030899.67370371</x:v>
      </x:c>
      <x:c r="V863" s="78" t="n">
        <x:f>P863-T863</x:f>
        <x:v>490.7677544884375</x:v>
      </x:c>
      <x:c r="W863" s="79" t="n">
        <x:f>IF(U863&gt;0,V863/U863,0)</x:f>
        <x:v>0.000008313743432696794</x:v>
      </x:c>
      <x:c r="X863" s="80" t="n">
        <x:f>W863*('Inputs'!$B$6-AC863)</x:f>
        <x:v>8188.1281030855835</x:v>
      </x:c>
      <x:c r="Y863" s="80" t="n">
        <x:f>2*V863</x:f>
        <x:v>981.535508976875</x:v>
      </x:c>
      <x:c r="Z863" s="80" t="n">
        <x:f>K863*'Inputs'!$B$16+(G863+R863)*J863*'Inputs'!$B$16</x:f>
        <x:v>5.961890018219401</x:v>
      </x:c>
      <x:c r="AA863" s="80" t="n">
        <x:f>K863*(1+'Inputs'!$E$46)/2*'Inputs'!$B$17</x:f>
        <x:v>1.9910696291408858</x:v>
      </x:c>
      <x:c r="AB863" s="78" t="n">
        <x:f>(IF(J863&gt;0,K863*(1-'Inputs'!$E$46)/2/J863,0)+G863+R863)*'Inputs'!$B$17</x:f>
        <x:v>237556.7233083309</x:v>
      </x:c>
      <x:c r="AC863" s="78" t="n">
        <x:f>AC862+AB863</x:f>
        <x:v>15109358.453038435</x:v>
      </x:c>
      <x:c r="AD863" s="80" t="n">
        <x:f>Z863/(1+'Inputs'!$C$46)</x:f>
        <x:v>2.9809450091097003</x:v>
      </x:c>
      <x:c r="AE863" s="80" t="n">
        <x:f>Z863-AD863</x:f>
        <x:v>2.9809450091097003</x:v>
      </x:c>
      <x:c r="AF863" s="80" t="n">
        <x:f>D863*W863</x:f>
        <x:v>2.386821682253808</x:v>
      </x:c>
      <x:c r="AG863" s="80" t="n">
        <x:f>C863*W863</x:f>
        <x:v>5.569250591925614</x:v>
      </x:c>
      <x:c r="AH863" s="80" t="n">
        <x:f>2*'Inputs'!$B$8*'Inputs'!$C$46</x:f>
        <x:v>5000</x:v>
      </x:c>
      <x:c r="AI863" s="81" t="n">
        <x:f>IF(AH863&gt;0,(AE863+AF863)/AH863*365,0)</x:f>
        <x:v>0.3918469684695361</x:v>
      </x:c>
      <x:c r="AJ863" s="81" t="n">
        <x:f>IF('Inputs'!$B$46&gt;0,AG863/('Inputs'!$B$19*'Inputs'!$B$46)*365,0)</x:f>
        <x:v>0.20327764660528488</x:v>
      </x:c>
      <x:c r="AK863" s="81" t="n">
        <x:f>W863/MAX($W$734:W863)-1</x:f>
        <x:v>-0.9901353920886776</x:v>
      </x:c>
      <x:c r="AL863" s="83" t="n">
        <x:f>'Inputs'!$B$46</x:f>
        <x:v>1</x:v>
      </x:c>
      <x:c r="AM863" s="83" t="n">
        <x:f>'Inputs'!$C$46</x:f>
        <x:v>1</x:v>
      </x:c>
      <x:c r="AN863" s="83" t="n">
        <x:f>'Inputs'!$D$46</x:f>
        <x:v>1</x:v>
      </x:c>
      <x:c r="AO863" s="81" t="n">
        <x:f>'Inputs'!$E$46</x:f>
        <x:v>0</x:v>
      </x:c>
    </x:row>
    <x:row r="864">
      <x:c r="A864" s="59" t="str">
        <x:v>Base</x:v>
      </x:c>
      <x:c r="B864" s="59" t="n">
        <x:v>131</x:v>
      </x:c>
      <x:c r="C864" s="78" t="n">
        <x:f>(('Inputs'!$B$29*(3*131*'Inputs'!$B$12-131^2)/(2*'Inputs'!$B$12^2))-('Inputs'!$B$29*(3*130*'Inputs'!$B$12-130^2)/(2*'Inputs'!$B$12^2)))*'Inputs'!$B$46</x:f>
        <x:v>669559.72039783</x:v>
      </x:c>
      <x:c r="D864" s="78" t="n">
        <x:f>IF('Inputs'!$C$46&gt;0,('Inputs'!$B$30*(3*131*'Inputs'!$B$12-131^2)/(2*'Inputs'!$B$12^2))-('Inputs'!$B$30*(3*130*'Inputs'!$B$12-130^2)/(2*'Inputs'!$B$12^2)),0)</x:f>
        <x:v>286954.16588478535</x:v>
      </x:c>
      <x:c r="E864" s="78" t="n">
        <x:f>C864+D864</x:f>
        <x:v>956513.8862826154</x:v>
      </x:c>
      <x:c r="F864" s="78" t="n">
        <x:f>'Inputs'!$B$13*E864+(1-'Inputs'!$B$13)/'Inputs'!$B$14*SUM(E809:E864)</x:f>
        <x:v>966731.5631450575</x:v>
      </x:c>
      <x:c r="G864" s="78" t="n">
        <x:f>F864*'Inputs'!$F$46</x:f>
        <x:v>483365.78157252877</x:v>
      </x:c>
      <x:c r="H864" s="78" t="n">
        <x:f>U863</x:f>
        <x:v>59030899.67370371</x:v>
      </x:c>
      <x:c r="I864" s="78" t="n">
        <x:f>V863</x:f>
        <x:v>490.7677544884375</x:v>
      </x:c>
      <x:c r="J864" s="79" t="n">
        <x:f>IF(H864&gt;0,I864/H864,0)</x:f>
        <x:v>0.000008313743432696794</x:v>
      </x:c>
      <x:c r="K864" s="80" t="n">
        <x:f>(H864*J864+I864)*'Inputs'!$D$46*(1+'Inputs'!$G$46)^(B864/30)</x:f>
        <x:v>981.535508976875</x:v>
      </x:c>
      <x:c r="L864" s="80" t="n">
        <x:f>MAX(0,K864*'Inputs'!$E$46)</x:f>
        <x:v>0</x:v>
      </x:c>
      <x:c r="M864" s="80" t="n">
        <x:f>MAX(0,-K864*'Inputs'!$E$46)</x:f>
        <x:v>0</x:v>
      </x:c>
      <x:c r="N864" s="78" t="n">
        <x:f>H864*(L864*(1-'Inputs'!$B$15))/(I864+L864*(1-'Inputs'!$B$15))</x:f>
        <x:v>0</x:v>
      </x:c>
      <x:c r="O864" s="78" t="n">
        <x:f>H864-N864</x:f>
        <x:v>59030899.67370371</x:v>
      </x:c>
      <x:c r="P864" s="78" t="n">
        <x:f>I864+L864*(1-'Inputs'!$B$17)</x:f>
        <x:v>490.7677544884375</x:v>
      </x:c>
      <x:c r="Q864" s="78" t="n">
        <x:f>IF(J864&gt;0,M864/J864,0)</x:f>
        <x:v>0</x:v>
      </x:c>
      <x:c r="R864" s="78" t="n">
        <x:f>IF(B864='Inputs'!$H$46,'Inputs'!$B$27*'Inputs'!$I$46,0)</x:f>
        <x:v>0</x:v>
      </x:c>
      <x:c r="S864" s="78" t="n">
        <x:f>Q864+G864+R864</x:f>
        <x:v>483365.78157252877</x:v>
      </x:c>
      <x:c r="T864" s="78" t="n">
        <x:f>P864*(S864*(1-'Inputs'!$B$15))/(O864+S864*(1-'Inputs'!$B$15))</x:f>
        <x:v>3.9464019187078065</x:v>
      </x:c>
      <x:c r="U864" s="78" t="n">
        <x:f>O864+S864*(1-'Inputs'!$B$17)</x:f>
        <x:v>59512320.321346365</x:v>
      </x:c>
      <x:c r="V864" s="78" t="n">
        <x:f>P864-T864</x:f>
        <x:v>486.8213525697297</x:v>
      </x:c>
      <x:c r="W864" s="79" t="n">
        <x:f>IF(U864&gt;0,V864/U864,0)</x:f>
        <x:v>0.000008180177649620437</x:v>
      </x:c>
      <x:c r="X864" s="80" t="n">
        <x:f>W864*('Inputs'!$B$6-AC864)</x:f>
        <x:v>8054.6213096242745</x:v>
      </x:c>
      <x:c r="Y864" s="80" t="n">
        <x:f>2*V864</x:f>
        <x:v>973.6427051394594</x:v>
      </x:c>
      <x:c r="Z864" s="80" t="n">
        <x:f>K864*'Inputs'!$B$16+(G864+R864)*J864*'Inputs'!$B$16</x:f>
        <x:v>5.913324528414084</x:v>
      </x:c>
      <x:c r="AA864" s="80" t="n">
        <x:f>K864*(1+'Inputs'!$E$46)/2*'Inputs'!$B$17</x:f>
        <x:v>1.9749205412009558</x:v>
      </x:c>
      <x:c r="AB864" s="78" t="n">
        <x:f>(IF(J864&gt;0,K864*(1-'Inputs'!$E$46)/2/J864,0)+G864+R864)*'Inputs'!$B$17</x:f>
        <x:v>239494.02597696678</x:v>
      </x:c>
      <x:c r="AC864" s="78" t="n">
        <x:f>AC863+AB864</x:f>
        <x:v>15348852.479015402</x:v>
      </x:c>
      <x:c r="AD864" s="80" t="n">
        <x:f>Z864/(1+'Inputs'!$C$46)</x:f>
        <x:v>2.956662264207042</x:v>
      </x:c>
      <x:c r="AE864" s="80" t="n">
        <x:f>Z864-AD864</x:f>
        <x:v>2.956662264207042</x:v>
      </x:c>
      <x:c r="AF864" s="80" t="n">
        <x:f>D864*W864</x:f>
        <x:v>2.3473360542361963</x:v>
      </x:c>
      <x:c r="AG864" s="80" t="n">
        <x:f>C864*W864</x:f>
        <x:v>5.477117459884438</x:v>
      </x:c>
      <x:c r="AH864" s="80" t="n">
        <x:f>2*'Inputs'!$B$8*'Inputs'!$C$46</x:f>
        <x:v>5000</x:v>
      </x:c>
      <x:c r="AI864" s="81" t="n">
        <x:f>IF(AH864&gt;0,(AE864+AF864)/AH864*365,0)</x:f>
        <x:v>0.38719187724635634</x:v>
      </x:c>
      <x:c r="AJ864" s="81" t="n">
        <x:f>IF('Inputs'!$B$46&gt;0,AG864/('Inputs'!$B$19*'Inputs'!$B$46)*365,0)</x:f>
        <x:v>0.19991478728578196</x:v>
      </x:c>
      <x:c r="AK864" s="81" t="n">
        <x:f>W864/MAX($W$734:W864)-1</x:f>
        <x:v>-0.9902938735346211</x:v>
      </x:c>
      <x:c r="AL864" s="83" t="n">
        <x:f>'Inputs'!$B$46</x:f>
        <x:v>1</x:v>
      </x:c>
      <x:c r="AM864" s="83" t="n">
        <x:f>'Inputs'!$C$46</x:f>
        <x:v>1</x:v>
      </x:c>
      <x:c r="AN864" s="83" t="n">
        <x:f>'Inputs'!$D$46</x:f>
        <x:v>1</x:v>
      </x:c>
      <x:c r="AO864" s="81" t="n">
        <x:f>'Inputs'!$E$46</x:f>
        <x:v>0</x:v>
      </x:c>
    </x:row>
    <x:row r="865">
      <x:c r="A865" s="59" t="str">
        <x:v>Base</x:v>
      </x:c>
      <x:c r="B865" s="59" t="n">
        <x:v>132</x:v>
      </x:c>
      <x:c r="C865" s="78" t="n">
        <x:f>(('Inputs'!$B$29*(3*132*'Inputs'!$B$12-132^2)/(2*'Inputs'!$B$12^2))-('Inputs'!$B$29*(3*131*'Inputs'!$B$12-131^2)/(2*'Inputs'!$B$12^2)))*'Inputs'!$B$46</x:f>
        <x:v>669234.6124976575</x:v>
      </x:c>
      <x:c r="D865" s="78" t="n">
        <x:f>IF('Inputs'!$C$46&gt;0,('Inputs'!$B$30*(3*132*'Inputs'!$B$12-132^2)/(2*'Inputs'!$B$12^2))-('Inputs'!$B$30*(3*131*'Inputs'!$B$12-131^2)/(2*'Inputs'!$B$12^2)),0)</x:f>
        <x:v>286814.8339275643</x:v>
      </x:c>
      <x:c r="E865" s="78" t="n">
        <x:f>C865+D865</x:f>
        <x:v>956049.4464252219</x:v>
      </x:c>
      <x:c r="F865" s="78" t="n">
        <x:f>'Inputs'!$B$13*E865+(1-'Inputs'!$B$13)/'Inputs'!$B$14*SUM(E810:E865)</x:f>
        <x:v>966267.1232876717</x:v>
      </x:c>
      <x:c r="G865" s="78" t="n">
        <x:f>F865*'Inputs'!$F$46</x:f>
        <x:v>483133.56164383586</x:v>
      </x:c>
      <x:c r="H865" s="78" t="n">
        <x:f>U864</x:f>
        <x:v>59512320.321346365</x:v>
      </x:c>
      <x:c r="I865" s="78" t="n">
        <x:f>V864</x:f>
        <x:v>486.8213525697297</x:v>
      </x:c>
      <x:c r="J865" s="79" t="n">
        <x:f>IF(H865&gt;0,I865/H865,0)</x:f>
        <x:v>0.000008180177649620437</x:v>
      </x:c>
      <x:c r="K865" s="80" t="n">
        <x:f>(H865*J865+I865)*'Inputs'!$D$46*(1+'Inputs'!$G$46)^(B865/30)</x:f>
        <x:v>973.6427051394594</x:v>
      </x:c>
      <x:c r="L865" s="80" t="n">
        <x:f>MAX(0,K865*'Inputs'!$E$46)</x:f>
        <x:v>0</x:v>
      </x:c>
      <x:c r="M865" s="80" t="n">
        <x:f>MAX(0,-K865*'Inputs'!$E$46)</x:f>
        <x:v>0</x:v>
      </x:c>
      <x:c r="N865" s="78" t="n">
        <x:f>H865*(L865*(1-'Inputs'!$B$15))/(I865+L865*(1-'Inputs'!$B$15))</x:f>
        <x:v>0</x:v>
      </x:c>
      <x:c r="O865" s="78" t="n">
        <x:f>H865-N865</x:f>
        <x:v>59512320.321346365</x:v>
      </x:c>
      <x:c r="P865" s="78" t="n">
        <x:f>I865+L865*(1-'Inputs'!$B$17)</x:f>
        <x:v>486.8213525697297</x:v>
      </x:c>
      <x:c r="Q865" s="78" t="n">
        <x:f>IF(J865&gt;0,M865/J865,0)</x:f>
        <x:v>0</x:v>
      </x:c>
      <x:c r="R865" s="78" t="n">
        <x:f>IF(B865='Inputs'!$H$46,'Inputs'!$B$27*'Inputs'!$I$46,0)</x:f>
        <x:v>0</x:v>
      </x:c>
      <x:c r="S865" s="78" t="n">
        <x:f>Q865+G865+R865</x:f>
        <x:v>483133.56164383586</x:v>
      </x:c>
      <x:c r="T865" s="78" t="n">
        <x:f>P865*(S865*(1-'Inputs'!$B$15))/(O865+S865*(1-'Inputs'!$B$15))</x:f>
        <x:v>3.8814022379563338</x:v>
      </x:c>
      <x:c r="U865" s="78" t="n">
        <x:f>O865+S865*(1-'Inputs'!$B$17)</x:f>
        <x:v>59993509.68354697</x:v>
      </x:c>
      <x:c r="V865" s="78" t="n">
        <x:f>P865-T865</x:f>
        <x:v>482.9399503317734</x:v>
      </x:c>
      <x:c r="W865" s="79" t="n">
        <x:f>IF(U865&gt;0,V865/U865,0)</x:f>
        <x:v>0.000008049869942251738</x:v>
      </x:c>
      <x:c r="X865" s="80" t="n">
        <x:f>W865*('Inputs'!$B$6-AC865)</x:f>
        <x:v>7924.370192729499</x:v>
      </x:c>
      <x:c r="Y865" s="80" t="n">
        <x:f>2*V865</x:f>
        <x:v>965.8799006635468</x:v>
      </x:c>
      <x:c r="Z865" s="80" t="n">
        <x:f>K865*'Inputs'!$B$16+(G865+R865)*J865*'Inputs'!$B$16</x:f>
        <x:v>5.8655689410131995</x:v>
      </x:c>
      <x:c r="AA865" s="80" t="n">
        <x:f>K865*(1+'Inputs'!$E$46)/2*'Inputs'!$B$17</x:f>
        <x:v>1.9590396481679264</x:v>
      </x:c>
      <x:c r="AB865" s="78" t="n">
        <x:f>(IF(J865&gt;0,K865*(1-'Inputs'!$E$46)/2/J865,0)+G865+R865)*'Inputs'!$B$17</x:f>
        <x:v>241430.3979194777</x:v>
      </x:c>
      <x:c r="AC865" s="78" t="n">
        <x:f>AC864+AB865</x:f>
        <x:v>15590282.87693488</x:v>
      </x:c>
      <x:c r="AD865" s="80" t="n">
        <x:f>Z865/(1+'Inputs'!$C$46)</x:f>
        <x:v>2.9327844705065997</x:v>
      </x:c>
      <x:c r="AE865" s="80" t="n">
        <x:f>Z865-AD865</x:f>
        <x:v>2.9327844705065997</x:v>
      </x:c>
      <x:c r="AF865" s="80" t="n">
        <x:f>D865*W865</x:f>
        <x:v>2.308822110625424</x:v>
      </x:c>
      <x:c r="AG865" s="80" t="n">
        <x:f>C865*W865</x:f>
        <x:v>5.387251591459383</x:v>
      </x:c>
      <x:c r="AH865" s="80" t="n">
        <x:f>2*'Inputs'!$B$8*'Inputs'!$C$46</x:f>
        <x:v>5000</x:v>
      </x:c>
      <x:c r="AI865" s="81" t="n">
        <x:f>IF(AH865&gt;0,(AE865+AF865)/AH865*365,0)</x:f>
        <x:v>0.3826372804226377</x:v>
      </x:c>
      <x:c r="AJ865" s="81" t="n">
        <x:f>IF('Inputs'!$B$46&gt;0,AG865/('Inputs'!$B$19*'Inputs'!$B$46)*365,0)</x:f>
        <x:v>0.19663468308826748</x:v>
      </x:c>
      <x:c r="AK865" s="81" t="n">
        <x:f>W865/MAX($W$734:W865)-1</x:f>
        <x:v>-0.9904484891360552</x:v>
      </x:c>
      <x:c r="AL865" s="83" t="n">
        <x:f>'Inputs'!$B$46</x:f>
        <x:v>1</x:v>
      </x:c>
      <x:c r="AM865" s="83" t="n">
        <x:f>'Inputs'!$C$46</x:f>
        <x:v>1</x:v>
      </x:c>
      <x:c r="AN865" s="83" t="n">
        <x:f>'Inputs'!$D$46</x:f>
        <x:v>1</x:v>
      </x:c>
      <x:c r="AO865" s="81" t="n">
        <x:f>'Inputs'!$E$46</x:f>
        <x:v>0</x:v>
      </x:c>
    </x:row>
    <x:row r="866">
      <x:c r="A866" s="59" t="str">
        <x:v>Base</x:v>
      </x:c>
      <x:c r="B866" s="59" t="n">
        <x:v>133</x:v>
      </x:c>
      <x:c r="C866" s="78" t="n">
        <x:f>(('Inputs'!$B$29*(3*133*'Inputs'!$B$12-133^2)/(2*'Inputs'!$B$12^2))-('Inputs'!$B$29*(3*132*'Inputs'!$B$12-132^2)/(2*'Inputs'!$B$12^2)))*'Inputs'!$B$46</x:f>
        <x:v>668909.5045974851</x:v>
      </x:c>
      <x:c r="D866" s="78" t="n">
        <x:f>IF('Inputs'!$C$46&gt;0,('Inputs'!$B$30*(3*133*'Inputs'!$B$12-133^2)/(2*'Inputs'!$B$12^2))-('Inputs'!$B$30*(3*132*'Inputs'!$B$12-132^2)/(2*'Inputs'!$B$12^2)),0)</x:f>
        <x:v>286675.50197035074</x:v>
      </x:c>
      <x:c r="E866" s="78" t="n">
        <x:f>C866+D866</x:f>
        <x:v>955585.0065678358</x:v>
      </x:c>
      <x:c r="F866" s="78" t="n">
        <x:f>'Inputs'!$B$13*E866+(1-'Inputs'!$B$13)/'Inputs'!$B$14*SUM(E811:E866)</x:f>
        <x:v>965802.683430287</x:v>
      </x:c>
      <x:c r="G866" s="78" t="n">
        <x:f>F866*'Inputs'!$F$46</x:f>
        <x:v>482901.3417151435</x:v>
      </x:c>
      <x:c r="H866" s="78" t="n">
        <x:f>U865</x:f>
        <x:v>59993509.68354697</x:v>
      </x:c>
      <x:c r="I866" s="78" t="n">
        <x:f>V865</x:f>
        <x:v>482.9399503317734</x:v>
      </x:c>
      <x:c r="J866" s="79" t="n">
        <x:f>IF(H866&gt;0,I866/H866,0)</x:f>
        <x:v>0.000008049869942251738</x:v>
      </x:c>
      <x:c r="K866" s="80" t="n">
        <x:f>(H866*J866+I866)*'Inputs'!$D$46*(1+'Inputs'!$G$46)^(B866/30)</x:f>
        <x:v>965.8799006635468</x:v>
      </x:c>
      <x:c r="L866" s="80" t="n">
        <x:f>MAX(0,K866*'Inputs'!$E$46)</x:f>
        <x:v>0</x:v>
      </x:c>
      <x:c r="M866" s="80" t="n">
        <x:f>MAX(0,-K866*'Inputs'!$E$46)</x:f>
        <x:v>0</x:v>
      </x:c>
      <x:c r="N866" s="78" t="n">
        <x:f>H866*(L866*(1-'Inputs'!$B$15))/(I866+L866*(1-'Inputs'!$B$15))</x:f>
        <x:v>0</x:v>
      </x:c>
      <x:c r="O866" s="78" t="n">
        <x:f>H866-N866</x:f>
        <x:v>59993509.68354697</x:v>
      </x:c>
      <x:c r="P866" s="78" t="n">
        <x:f>I866+L866*(1-'Inputs'!$B$17)</x:f>
        <x:v>482.9399503317734</x:v>
      </x:c>
      <x:c r="Q866" s="78" t="n">
        <x:f>IF(J866&gt;0,M866/J866,0)</x:f>
        <x:v>0</x:v>
      </x:c>
      <x:c r="R866" s="78" t="n">
        <x:f>IF(B866='Inputs'!$H$46,'Inputs'!$B$27*'Inputs'!$I$46,0)</x:f>
        <x:v>0</x:v>
      </x:c>
      <x:c r="S866" s="78" t="n">
        <x:f>Q866+G866+R866</x:f>
        <x:v>482901.3417151435</x:v>
      </x:c>
      <x:c r="T866" s="78" t="n">
        <x:f>P866*(S866*(1-'Inputs'!$B$15))/(O866+S866*(1-'Inputs'!$B$15))</x:f>
        <x:v>3.8179954749323994</x:v>
      </x:c>
      <x:c r="U866" s="78" t="n">
        <x:f>O866+S866*(1-'Inputs'!$B$17)</x:f>
        <x:v>60474467.76030551</x:v>
      </x:c>
      <x:c r="V866" s="78" t="n">
        <x:f>P866-T866</x:f>
        <x:v>479.121954856841</x:v>
      </x:c>
      <x:c r="W866" s="79" t="n">
        <x:f>IF(U866&gt;0,V866/U866,0)</x:f>
        <x:v>0.000007922714702605933</x:v>
      </x:c>
      <x:c r="X866" s="80" t="n">
        <x:f>W866*('Inputs'!$B$6-AC866)</x:f>
        <x:v>7797.2692211272215</x:v>
      </x:c>
      <x:c r="Y866" s="80" t="n">
        <x:f>2*V866</x:f>
        <x:v>958.243909713682</x:v>
      </x:c>
      <x:c r="Z866" s="80" t="n">
        <x:f>K866*'Inputs'!$B$16+(G866+R866)*J866*'Inputs'!$B$16</x:f>
        <x:v>5.818603161955756</x:v>
      </x:c>
      <x:c r="AA866" s="80" t="n">
        <x:f>K866*(1+'Inputs'!$E$46)/2*'Inputs'!$B$17</x:f>
        <x:v>1.9434203232666938</x:v>
      </x:c>
      <x:c r="AB866" s="78" t="n">
        <x:f>(IF(J866&gt;0,K866*(1-'Inputs'!$E$46)/2/J866,0)+G866+R866)*'Inputs'!$B$17</x:f>
        <x:v>243365.83913586367</x:v>
      </x:c>
      <x:c r="AC866" s="78" t="n">
        <x:f>AC865+AB866</x:f>
        <x:v>15833648.716070743</x:v>
      </x:c>
      <x:c r="AD866" s="80" t="n">
        <x:f>Z866/(1+'Inputs'!$C$46)</x:f>
        <x:v>2.909301580977878</x:v>
      </x:c>
      <x:c r="AE866" s="80" t="n">
        <x:f>Z866-AD866</x:f>
        <x:v>2.909301580977878</x:v>
      </x:c>
      <x:c r="AF866" s="80" t="n">
        <x:f>D866*W866</x:f>
        <x:v>2.271248214337434</x:v>
      </x:c>
      <x:c r="AG866" s="80" t="n">
        <x:f>C866*W866</x:f>
        <x:v>5.299579166787346</x:v>
      </x:c>
      <x:c r="AH866" s="80" t="n">
        <x:f>2*'Inputs'!$B$8*'Inputs'!$C$46</x:f>
        <x:v>5000</x:v>
      </x:c>
      <x:c r="AI866" s="81" t="n">
        <x:f>IF(AH866&gt;0,(AE866+AF866)/AH866*365,0)</x:f>
        <x:v>0.3781801350580178</x:v>
      </x:c>
      <x:c r="AJ866" s="81" t="n">
        <x:f>IF('Inputs'!$B$46&gt;0,AG866/('Inputs'!$B$19*'Inputs'!$B$46)*365,0)</x:f>
        <x:v>0.19343463958773813</x:v>
      </x:c>
      <x:c r="AK866" s="81" t="n">
        <x:f>W866/MAX($W$734:W866)-1</x:f>
        <x:v>-0.9905993642013168</x:v>
      </x:c>
      <x:c r="AL866" s="83" t="n">
        <x:f>'Inputs'!$B$46</x:f>
        <x:v>1</x:v>
      </x:c>
      <x:c r="AM866" s="83" t="n">
        <x:f>'Inputs'!$C$46</x:f>
        <x:v>1</x:v>
      </x:c>
      <x:c r="AN866" s="83" t="n">
        <x:f>'Inputs'!$D$46</x:f>
        <x:v>1</x:v>
      </x:c>
      <x:c r="AO866" s="81" t="n">
        <x:f>'Inputs'!$E$46</x:f>
        <x:v>0</x:v>
      </x:c>
    </x:row>
    <x:row r="867">
      <x:c r="A867" s="59" t="str">
        <x:v>Base</x:v>
      </x:c>
      <x:c r="B867" s="59" t="n">
        <x:v>134</x:v>
      </x:c>
      <x:c r="C867" s="78" t="n">
        <x:f>(('Inputs'!$B$29*(3*134*'Inputs'!$B$12-134^2)/(2*'Inputs'!$B$12^2))-('Inputs'!$B$29*(3*133*'Inputs'!$B$12-133^2)/(2*'Inputs'!$B$12^2)))*'Inputs'!$B$46</x:f>
        <x:v>668584.3966973126</x:v>
      </x:c>
      <x:c r="D867" s="78" t="n">
        <x:f>IF('Inputs'!$C$46&gt;0,('Inputs'!$B$30*(3*134*'Inputs'!$B$12-134^2)/(2*'Inputs'!$B$12^2))-('Inputs'!$B$30*(3*133*'Inputs'!$B$12-133^2)/(2*'Inputs'!$B$12^2)),0)</x:f>
        <x:v>286536.17001313716</x:v>
      </x:c>
      <x:c r="E867" s="78" t="n">
        <x:f>C867+D867</x:f>
        <x:v>955120.5667104498</x:v>
      </x:c>
      <x:c r="F867" s="78" t="n">
        <x:f>'Inputs'!$B$13*E867+(1-'Inputs'!$B$13)/'Inputs'!$B$14*SUM(E812:E867)</x:f>
        <x:v>965338.2435729025</x:v>
      </x:c>
      <x:c r="G867" s="78" t="n">
        <x:f>F867*'Inputs'!$F$46</x:f>
        <x:v>482669.12178645126</x:v>
      </x:c>
      <x:c r="H867" s="78" t="n">
        <x:f>U866</x:f>
        <x:v>60474467.76030551</x:v>
      </x:c>
      <x:c r="I867" s="78" t="n">
        <x:f>V866</x:f>
        <x:v>479.121954856841</x:v>
      </x:c>
      <x:c r="J867" s="79" t="n">
        <x:f>IF(H867&gt;0,I867/H867,0)</x:f>
        <x:v>0.000007922714702605933</x:v>
      </x:c>
      <x:c r="K867" s="80" t="n">
        <x:f>(H867*J867+I867)*'Inputs'!$D$46*(1+'Inputs'!$G$46)^(B867/30)</x:f>
        <x:v>958.2439097136819</x:v>
      </x:c>
      <x:c r="L867" s="80" t="n">
        <x:f>MAX(0,K867*'Inputs'!$E$46)</x:f>
        <x:v>0</x:v>
      </x:c>
      <x:c r="M867" s="80" t="n">
        <x:f>MAX(0,-K867*'Inputs'!$E$46)</x:f>
        <x:v>0</x:v>
      </x:c>
      <x:c r="N867" s="78" t="n">
        <x:f>H867*(L867*(1-'Inputs'!$B$15))/(I867+L867*(1-'Inputs'!$B$15))</x:f>
        <x:v>0</x:v>
      </x:c>
      <x:c r="O867" s="78" t="n">
        <x:f>H867-N867</x:f>
        <x:v>60474467.76030551</x:v>
      </x:c>
      <x:c r="P867" s="78" t="n">
        <x:f>I867+L867*(1-'Inputs'!$B$17)</x:f>
        <x:v>479.121954856841</x:v>
      </x:c>
      <x:c r="Q867" s="78" t="n">
        <x:f>IF(J867&gt;0,M867/J867,0)</x:f>
        <x:v>0</x:v>
      </x:c>
      <x:c r="R867" s="78" t="n">
        <x:f>IF(B867='Inputs'!$H$46,'Inputs'!$B$27*'Inputs'!$I$46,0)</x:f>
        <x:v>0</x:v>
      </x:c>
      <x:c r="S867" s="78" t="n">
        <x:f>Q867+G867+R867</x:f>
        <x:v>482669.12178645126</x:v>
      </x:c>
      <x:c r="T867" s="78" t="n">
        <x:f>P867*(S867*(1-'Inputs'!$B$15))/(O867+S867*(1-'Inputs'!$B$15))</x:f>
        <x:v>3.7561299765442473</x:v>
      </x:c>
      <x:c r="U867" s="78" t="n">
        <x:f>O867+S867*(1-'Inputs'!$B$17)</x:f>
        <x:v>60955194.551621996</x:v>
      </x:c>
      <x:c r="V867" s="78" t="n">
        <x:f>P867-T867</x:f>
        <x:v>475.36582488029677</x:v>
      </x:c>
      <x:c r="W867" s="79" t="n">
        <x:f>IF(U867&gt;0,V867/U867,0)</x:f>
        <x:v>0.000007798610575801164</x:v>
      </x:c>
      <x:c r="X867" s="80" t="n">
        <x:f>W867*('Inputs'!$B$6-AC867)</x:f>
        <x:v>7673.217113569652</x:v>
      </x:c>
      <x:c r="Y867" s="80" t="n">
        <x:f>2*V867</x:f>
        <x:v>950.7316497605935</x:v>
      </x:c>
      <x:c r="Z867" s="80" t="n">
        <x:f>K867*'Inputs'!$B$16+(G867+R867)*J867*'Inputs'!$B$16</x:f>
        <x:v>5.7724077567681205</x:v>
      </x:c>
      <x:c r="AA867" s="80" t="n">
        <x:f>K867*(1+'Inputs'!$E$46)/2*'Inputs'!$B$17</x:f>
        <x:v>1.9280561563655574</x:v>
      </x:c>
      <x:c r="AB867" s="78" t="n">
        <x:f>(IF(J867&gt;0,K867*(1-'Inputs'!$E$46)/2/J867,0)+G867+R867)*'Inputs'!$B$17</x:f>
        <x:v>245300.3496261246</x:v>
      </x:c>
      <x:c r="AC867" s="78" t="n">
        <x:f>AC866+AB867</x:f>
        <x:v>16078949.065696867</x:v>
      </x:c>
      <x:c r="AD867" s="80" t="n">
        <x:f>Z867/(1+'Inputs'!$C$46)</x:f>
        <x:v>2.8862038783840602</x:v>
      </x:c>
      <x:c r="AE867" s="80" t="n">
        <x:f>Z867-AD867</x:f>
        <x:v>2.8862038783840602</x:v>
      </x:c>
      <x:c r="AF867" s="80" t="n">
        <x:f>D867*W867</x:f>
        <x:v>2.234584005814012</x:v>
      </x:c>
      <x:c r="AG867" s="80" t="n">
        <x:f>C867*W867</x:f>
        <x:v>5.214029346899302</x:v>
      </x:c>
      <x:c r="AH867" s="80" t="n">
        <x:f>2*'Inputs'!$B$8*'Inputs'!$C$46</x:f>
        <x:v>5000</x:v>
      </x:c>
      <x:c r="AI867" s="81" t="n">
        <x:f>IF(AH867&gt;0,(AE867+AF867)/AH867*365,0)</x:f>
        <x:v>0.37381751554645926</x:v>
      </x:c>
      <x:c r="AJ867" s="81" t="n">
        <x:f>IF('Inputs'!$B$46&gt;0,AG867/('Inputs'!$B$19*'Inputs'!$B$46)*365,0)</x:f>
        <x:v>0.19031207116182453</x:v>
      </x:c>
      <x:c r="AK867" s="81" t="n">
        <x:f>W867/MAX($W$734:W867)-1</x:f>
        <x:v>-0.9907466189922562</x:v>
      </x:c>
      <x:c r="AL867" s="83" t="n">
        <x:f>'Inputs'!$B$46</x:f>
        <x:v>1</x:v>
      </x:c>
      <x:c r="AM867" s="83" t="n">
        <x:f>'Inputs'!$C$46</x:f>
        <x:v>1</x:v>
      </x:c>
      <x:c r="AN867" s="83" t="n">
        <x:f>'Inputs'!$D$46</x:f>
        <x:v>1</x:v>
      </x:c>
      <x:c r="AO867" s="81" t="n">
        <x:f>'Inputs'!$E$46</x:f>
        <x:v>0</x:v>
      </x:c>
    </x:row>
    <x:row r="868">
      <x:c r="A868" s="59" t="str">
        <x:v>Base</x:v>
      </x:c>
      <x:c r="B868" s="59" t="n">
        <x:v>135</x:v>
      </x:c>
      <x:c r="C868" s="78" t="n">
        <x:f>(('Inputs'!$B$29*(3*135*'Inputs'!$B$12-135^2)/(2*'Inputs'!$B$12^2))-('Inputs'!$B$29*(3*134*'Inputs'!$B$12-134^2)/(2*'Inputs'!$B$12^2)))*'Inputs'!$B$46</x:f>
        <x:v>668259.288797155</x:v>
      </x:c>
      <x:c r="D868" s="78" t="n">
        <x:f>IF('Inputs'!$C$46&gt;0,('Inputs'!$B$30*(3*135*'Inputs'!$B$12-135^2)/(2*'Inputs'!$B$12^2))-('Inputs'!$B$30*(3*134*'Inputs'!$B$12-134^2)/(2*'Inputs'!$B$12^2)),0)</x:f>
        <x:v>286396.83805591613</x:v>
      </x:c>
      <x:c r="E868" s="78" t="n">
        <x:f>C868+D868</x:f>
        <x:v>954656.1268530712</x:v>
      </x:c>
      <x:c r="F868" s="78" t="n">
        <x:f>'Inputs'!$B$13*E868+(1-'Inputs'!$B$13)/'Inputs'!$B$14*SUM(E813:E868)</x:f>
        <x:v>964873.8037155196</x:v>
      </x:c>
      <x:c r="G868" s="78" t="n">
        <x:f>F868*'Inputs'!$F$46</x:f>
        <x:v>482436.9018577598</x:v>
      </x:c>
      <x:c r="H868" s="78" t="n">
        <x:f>U867</x:f>
        <x:v>60955194.551621996</x:v>
      </x:c>
      <x:c r="I868" s="78" t="n">
        <x:f>V867</x:f>
        <x:v>475.36582488029677</x:v>
      </x:c>
      <x:c r="J868" s="79" t="n">
        <x:f>IF(H868&gt;0,I868/H868,0)</x:f>
        <x:v>0.000007798610575801164</x:v>
      </x:c>
      <x:c r="K868" s="80" t="n">
        <x:f>(H868*J868+I868)*'Inputs'!$D$46*(1+'Inputs'!$G$46)^(B868/30)</x:f>
        <x:v>950.7316497605935</x:v>
      </x:c>
      <x:c r="L868" s="80" t="n">
        <x:f>MAX(0,K868*'Inputs'!$E$46)</x:f>
        <x:v>0</x:v>
      </x:c>
      <x:c r="M868" s="80" t="n">
        <x:f>MAX(0,-K868*'Inputs'!$E$46)</x:f>
        <x:v>0</x:v>
      </x:c>
      <x:c r="N868" s="78" t="n">
        <x:f>H868*(L868*(1-'Inputs'!$B$15))/(I868+L868*(1-'Inputs'!$B$15))</x:f>
        <x:v>0</x:v>
      </x:c>
      <x:c r="O868" s="78" t="n">
        <x:f>H868-N868</x:f>
        <x:v>60955194.551621996</x:v>
      </x:c>
      <x:c r="P868" s="78" t="n">
        <x:f>I868+L868*(1-'Inputs'!$B$17)</x:f>
        <x:v>475.36582488029677</x:v>
      </x:c>
      <x:c r="Q868" s="78" t="n">
        <x:f>IF(J868&gt;0,M868/J868,0)</x:f>
        <x:v>0</x:v>
      </x:c>
      <x:c r="R868" s="78" t="n">
        <x:f>IF(B868='Inputs'!$H$46,'Inputs'!$B$27*'Inputs'!$I$46,0)</x:f>
        <x:v>0</x:v>
      </x:c>
      <x:c r="S868" s="78" t="n">
        <x:f>Q868+G868+R868</x:f>
        <x:v>482436.9018577598</x:v>
      </x:c>
      <x:c r="T868" s="78" t="n">
        <x:f>P868*(S868*(1-'Inputs'!$B$15))/(O868+S868*(1-'Inputs'!$B$15))</x:f>
        <x:v>3.6957561671261048</x:v>
      </x:c>
      <x:c r="U868" s="78" t="n">
        <x:f>O868+S868*(1-'Inputs'!$B$17)</x:f>
        <x:v>61435690.05749642</x:v>
      </x:c>
      <x:c r="V868" s="78" t="n">
        <x:f>P868-T868</x:f>
        <x:v>471.6700687131707</x:v>
      </x:c>
      <x:c r="W868" s="79" t="n">
        <x:f>IF(U868&gt;0,V868/U868,0)</x:f>
        <x:v>0.000007677460255948037</x:v>
      </x:c>
      <x:c r="X868" s="80" t="n">
        <x:f>W868*('Inputs'!$B$6-AC868)</x:f>
        <x:v>7552.116634871921</x:v>
      </x:c>
      <x:c r="Y868" s="80" t="n">
        <x:f>2*V868</x:f>
        <x:v>943.3401374263414</x:v>
      </x:c>
      <x:c r="Z868" s="80" t="n">
        <x:f>K868*'Inputs'!$B$16+(G868+R868)*J868*'Inputs'!$B$16</x:f>
        <x:v>5.72696392371347</x:v>
      </x:c>
      <x:c r="AA868" s="80" t="n">
        <x:f>K868*(1+'Inputs'!$E$46)/2*'Inputs'!$B$17</x:f>
        <x:v>1.9129409451923414</x:v>
      </x:c>
      <x:c r="AB868" s="78" t="n">
        <x:f>(IF(J868&gt;0,K868*(1-'Inputs'!$E$46)/2/J868,0)+G868+R868)*'Inputs'!$B$17</x:f>
        <x:v>247233.9293902606</x:v>
      </x:c>
      <x:c r="AC868" s="78" t="n">
        <x:f>AC867+AB868</x:f>
        <x:v>16326182.995087128</x:v>
      </x:c>
      <x:c r="AD868" s="80" t="n">
        <x:f>Z868/(1+'Inputs'!$C$46)</x:f>
        <x:v>2.863481961856735</x:v>
      </x:c>
      <x:c r="AE868" s="80" t="n">
        <x:f>Z868-AD868</x:f>
        <x:v>2.863481961856735</x:v>
      </x:c>
      <x:c r="AF868" s="80" t="n">
        <x:f>D868*W868</x:f>
        <x:v>2.1988003416034823</x:v>
      </x:c>
      <x:c r="AG868" s="80" t="n">
        <x:f>C868*W868</x:f>
        <x:v>5.130534130408258</x:v>
      </x:c>
      <x:c r="AH868" s="80" t="n">
        <x:f>2*'Inputs'!$B$8*'Inputs'!$C$46</x:f>
        <x:v>5000</x:v>
      </x:c>
      <x:c r="AI868" s="81" t="n">
        <x:f>IF(AH868&gt;0,(AE868+AF868)/AH868*365,0)</x:f>
        <x:v>0.3695466081525959</x:v>
      </x:c>
      <x:c r="AJ868" s="81" t="n">
        <x:f>IF('Inputs'!$B$46&gt;0,AG868/('Inputs'!$B$19*'Inputs'!$B$46)*365,0)</x:f>
        <x:v>0.18726449575990142</x:v>
      </x:c>
      <x:c r="AK868" s="81" t="n">
        <x:f>W868/MAX($W$734:W868)-1</x:f>
        <x:v>-0.9908903689664235</x:v>
      </x:c>
      <x:c r="AL868" s="83" t="n">
        <x:f>'Inputs'!$B$46</x:f>
        <x:v>1</x:v>
      </x:c>
      <x:c r="AM868" s="83" t="n">
        <x:f>'Inputs'!$C$46</x:f>
        <x:v>1</x:v>
      </x:c>
      <x:c r="AN868" s="83" t="n">
        <x:f>'Inputs'!$D$46</x:f>
        <x:v>1</x:v>
      </x:c>
      <x:c r="AO868" s="81" t="n">
        <x:f>'Inputs'!$E$46</x:f>
        <x:v>0</x:v>
      </x:c>
    </x:row>
    <x:row r="869">
      <x:c r="A869" s="59" t="str">
        <x:v>Base</x:v>
      </x:c>
      <x:c r="B869" s="59" t="n">
        <x:v>136</x:v>
      </x:c>
      <x:c r="C869" s="78" t="n">
        <x:f>(('Inputs'!$B$29*(3*136*'Inputs'!$B$12-136^2)/(2*'Inputs'!$B$12^2))-('Inputs'!$B$29*(3*135*'Inputs'!$B$12-135^2)/(2*'Inputs'!$B$12^2)))*'Inputs'!$B$46</x:f>
        <x:v>667934.1808969676</x:v>
      </x:c>
      <x:c r="D869" s="78" t="n">
        <x:f>IF('Inputs'!$C$46&gt;0,('Inputs'!$B$30*(3*136*'Inputs'!$B$12-136^2)/(2*'Inputs'!$B$12^2))-('Inputs'!$B$30*(3*135*'Inputs'!$B$12-135^2)/(2*'Inputs'!$B$12^2)),0)</x:f>
        <x:v>286257.50609871</x:v>
      </x:c>
      <x:c r="E869" s="78" t="n">
        <x:f>C869+D869</x:f>
        <x:v>954191.6869956776</x:v>
      </x:c>
      <x:c r="F869" s="78" t="n">
        <x:f>'Inputs'!$B$13*E869+(1-'Inputs'!$B$13)/'Inputs'!$B$14*SUM(E814:E869)</x:f>
        <x:v>964409.3638581334</x:v>
      </x:c>
      <x:c r="G869" s="78" t="n">
        <x:f>F869*'Inputs'!$F$46</x:f>
        <x:v>482204.6819290667</x:v>
      </x:c>
      <x:c r="H869" s="78" t="n">
        <x:f>U868</x:f>
        <x:v>61435690.05749642</x:v>
      </x:c>
      <x:c r="I869" s="78" t="n">
        <x:f>V868</x:f>
        <x:v>471.6700687131707</x:v>
      </x:c>
      <x:c r="J869" s="79" t="n">
        <x:f>IF(H869&gt;0,I869/H869,0)</x:f>
        <x:v>0.000007677460255948037</x:v>
      </x:c>
      <x:c r="K869" s="80" t="n">
        <x:f>(H869*J869+I869)*'Inputs'!$D$46*(1+'Inputs'!$G$46)^(B869/30)</x:f>
        <x:v>943.3401374263415</x:v>
      </x:c>
      <x:c r="L869" s="80" t="n">
        <x:f>MAX(0,K869*'Inputs'!$E$46)</x:f>
        <x:v>0</x:v>
      </x:c>
      <x:c r="M869" s="80" t="n">
        <x:f>MAX(0,-K869*'Inputs'!$E$46)</x:f>
        <x:v>0</x:v>
      </x:c>
      <x:c r="N869" s="78" t="n">
        <x:f>H869*(L869*(1-'Inputs'!$B$15))/(I869+L869*(1-'Inputs'!$B$15))</x:f>
        <x:v>0</x:v>
      </x:c>
      <x:c r="O869" s="78" t="n">
        <x:f>H869-N869</x:f>
        <x:v>61435690.05749642</x:v>
      </x:c>
      <x:c r="P869" s="78" t="n">
        <x:f>I869+L869*(1-'Inputs'!$B$17)</x:f>
        <x:v>471.6700687131707</x:v>
      </x:c>
      <x:c r="Q869" s="78" t="n">
        <x:f>IF(J869&gt;0,M869/J869,0)</x:f>
        <x:v>0</x:v>
      </x:c>
      <x:c r="R869" s="78" t="n">
        <x:f>IF(B869='Inputs'!$H$46,'Inputs'!$B$27*'Inputs'!$I$46,0)</x:f>
        <x:v>0</x:v>
      </x:c>
      <x:c r="S869" s="78" t="n">
        <x:f>Q869+G869+R869</x:f>
        <x:v>482204.6819290667</x:v>
      </x:c>
      <x:c r="T869" s="78" t="n">
        <x:f>P869*(S869*(1-'Inputs'!$B$15))/(O869+S869*(1-'Inputs'!$B$15))</x:f>
        <x:v>3.6368264489575646</x:v>
      </x:c>
      <x:c r="U869" s="78" t="n">
        <x:f>O869+S869*(1-'Inputs'!$B$17)</x:f>
        <x:v>61915954.27792879</x:v>
      </x:c>
      <x:c r="V869" s="78" t="n">
        <x:f>P869-T869</x:f>
        <x:v>468.03324226421313</x:v>
      </x:c>
      <x:c r="W869" s="79" t="n">
        <x:f>IF(U869&gt;0,V869/U869,0)</x:f>
        <x:v>0.000007559170293383545</x:v>
      </x:c>
      <x:c r="X869" s="80" t="n">
        <x:f>W869*('Inputs'!$B$6-AC869)</x:f>
        <x:v>7433.87440328498</x:v>
      </x:c>
      <x:c r="Y869" s="80" t="n">
        <x:f>2*V869</x:f>
        <x:v>936.0664845284263</x:v>
      </x:c>
      <x:c r="Z869" s="80" t="n">
        <x:f>K869*'Inputs'!$B$16+(G869+R869)*J869*'Inputs'!$B$16</x:f>
        <x:v>5.682253468242504</x:v>
      </x:c>
      <x:c r="AA869" s="80" t="n">
        <x:f>K869*(1+'Inputs'!$E$46)/2*'Inputs'!$B$17</x:f>
        <x:v>1.8980686869745302</x:v>
      </x:c>
      <x:c r="AB869" s="78" t="n">
        <x:f>(IF(J869&gt;0,K869*(1-'Inputs'!$E$46)/2/J869,0)+G869+R869)*'Inputs'!$B$17</x:f>
        <x:v>249166.5784282716</x:v>
      </x:c>
      <x:c r="AC869" s="78" t="n">
        <x:f>AC868+AB869</x:f>
        <x:v>16575349.5735154</x:v>
      </x:c>
      <x:c r="AD869" s="80" t="n">
        <x:f>Z869/(1+'Inputs'!$C$46)</x:f>
        <x:v>2.841126734121252</x:v>
      </x:c>
      <x:c r="AE869" s="80" t="n">
        <x:f>Z869-AD869</x:f>
        <x:v>2.841126734121252</x:v>
      </x:c>
      <x:c r="AF869" s="80" t="n">
        <x:f>D869*W869</x:f>
        <x:v>2.1638692363594276</x:v>
      </x:c>
      <x:c r="AG869" s="80" t="n">
        <x:f>C869*W869</x:f>
        <x:v>5.049028218171829</x:v>
      </x:c>
      <x:c r="AH869" s="80" t="n">
        <x:f>2*'Inputs'!$B$8*'Inputs'!$C$46</x:f>
        <x:v>5000</x:v>
      </x:c>
      <x:c r="AI869" s="81" t="n">
        <x:f>IF(AH869&gt;0,(AE869+AF869)/AH869*365,0)</x:f>
        <x:v>0.3653647058450896</x:v>
      </x:c>
      <x:c r="AJ869" s="81" t="n">
        <x:f>IF('Inputs'!$B$46&gt;0,AG869/('Inputs'!$B$19*'Inputs'!$B$46)*365,0)</x:f>
        <x:v>0.18428952996327175</x:v>
      </x:c>
      <x:c r="AK869" s="81" t="n">
        <x:f>W869/MAX($W$734:W869)-1</x:f>
        <x:v>-0.9910307250057925</x:v>
      </x:c>
      <x:c r="AL869" s="83" t="n">
        <x:f>'Inputs'!$B$46</x:f>
        <x:v>1</x:v>
      </x:c>
      <x:c r="AM869" s="83" t="n">
        <x:f>'Inputs'!$C$46</x:f>
        <x:v>1</x:v>
      </x:c>
      <x:c r="AN869" s="83" t="n">
        <x:f>'Inputs'!$D$46</x:f>
        <x:v>1</x:v>
      </x:c>
      <x:c r="AO869" s="81" t="n">
        <x:f>'Inputs'!$E$46</x:f>
        <x:v>0</x:v>
      </x:c>
    </x:row>
    <x:row r="870">
      <x:c r="A870" s="59" t="str">
        <x:v>Base</x:v>
      </x:c>
      <x:c r="B870" s="59" t="n">
        <x:v>137</x:v>
      </x:c>
      <x:c r="C870" s="78" t="n">
        <x:f>(('Inputs'!$B$29*(3*137*'Inputs'!$B$12-137^2)/(2*'Inputs'!$B$12^2))-('Inputs'!$B$29*(3*136*'Inputs'!$B$12-136^2)/(2*'Inputs'!$B$12^2)))*'Inputs'!$B$46</x:f>
        <x:v>667609.0729968101</x:v>
      </x:c>
      <x:c r="D870" s="78" t="n">
        <x:f>IF('Inputs'!$C$46&gt;0,('Inputs'!$B$30*(3*137*'Inputs'!$B$12-137^2)/(2*'Inputs'!$B$12^2))-('Inputs'!$B$30*(3*136*'Inputs'!$B$12-136^2)/(2*'Inputs'!$B$12^2)),0)</x:f>
        <x:v>286118.17414148897</x:v>
      </x:c>
      <x:c r="E870" s="78" t="n">
        <x:f>C870+D870</x:f>
        <x:v>953727.247138299</x:v>
      </x:c>
      <x:c r="F870" s="78" t="n">
        <x:f>'Inputs'!$B$13*E870+(1-'Inputs'!$B$13)/'Inputs'!$B$14*SUM(E815:E870)</x:f>
        <x:v>963944.9240007505</x:v>
      </x:c>
      <x:c r="G870" s="78" t="n">
        <x:f>F870*'Inputs'!$F$46</x:f>
        <x:v>481972.46200037526</x:v>
      </x:c>
      <x:c r="H870" s="78" t="n">
        <x:f>U869</x:f>
        <x:v>61915954.27792879</x:v>
      </x:c>
      <x:c r="I870" s="78" t="n">
        <x:f>V869</x:f>
        <x:v>468.03324226421313</x:v>
      </x:c>
      <x:c r="J870" s="79" t="n">
        <x:f>IF(H870&gt;0,I870/H870,0)</x:f>
        <x:v>0.000007559170293383545</x:v>
      </x:c>
      <x:c r="K870" s="80" t="n">
        <x:f>(H870*J870+I870)*'Inputs'!$D$46*(1+'Inputs'!$G$46)^(B870/30)</x:f>
        <x:v>936.0664845284263</x:v>
      </x:c>
      <x:c r="L870" s="80" t="n">
        <x:f>MAX(0,K870*'Inputs'!$E$46)</x:f>
        <x:v>0</x:v>
      </x:c>
      <x:c r="M870" s="80" t="n">
        <x:f>MAX(0,-K870*'Inputs'!$E$46)</x:f>
        <x:v>0</x:v>
      </x:c>
      <x:c r="N870" s="78" t="n">
        <x:f>H870*(L870*(1-'Inputs'!$B$15))/(I870+L870*(1-'Inputs'!$B$15))</x:f>
        <x:v>0</x:v>
      </x:c>
      <x:c r="O870" s="78" t="n">
        <x:f>H870-N870</x:f>
        <x:v>61915954.27792879</x:v>
      </x:c>
      <x:c r="P870" s="78" t="n">
        <x:f>I870+L870*(1-'Inputs'!$B$17)</x:f>
        <x:v>468.03324226421313</x:v>
      </x:c>
      <x:c r="Q870" s="78" t="n">
        <x:f>IF(J870&gt;0,M870/J870,0)</x:f>
        <x:v>0</x:v>
      </x:c>
      <x:c r="R870" s="78" t="n">
        <x:f>IF(B870='Inputs'!$H$46,'Inputs'!$B$27*'Inputs'!$I$46,0)</x:f>
        <x:v>0</x:v>
      </x:c>
      <x:c r="S870" s="78" t="n">
        <x:f>Q870+G870+R870</x:f>
        <x:v>481972.46200037526</x:v>
      </x:c>
      <x:c r="T870" s="78" t="n">
        <x:f>P870*(S870*(1-'Inputs'!$B$15))/(O870+S870*(1-'Inputs'!$B$15))</x:f>
        <x:v>3.5792951082975217</x:v>
      </x:c>
      <x:c r="U870" s="78" t="n">
        <x:f>O870+S870*(1-'Inputs'!$B$17)</x:f>
        <x:v>62395987.21291911</x:v>
      </x:c>
      <x:c r="V870" s="78" t="n">
        <x:f>P870-T870</x:f>
        <x:v>464.4539471559156</x:v>
      </x:c>
      <x:c r="W870" s="79" t="n">
        <x:f>IF(U870&gt;0,V870/U870,0)</x:f>
        <x:v>0.000007443650912534168</x:v>
      </x:c>
      <x:c r="X870" s="80" t="n">
        <x:f>W870*('Inputs'!$B$6-AC870)</x:f>
        <x:v>7318.400708490031</x:v>
      </x:c>
      <x:c r="Y870" s="80" t="n">
        <x:f>2*V870</x:f>
        <x:v>928.9078943118312</x:v>
      </x:c>
      <x:c r="Z870" s="80" t="n">
        <x:f>K870*'Inputs'!$B$16+(G870+R870)*J870*'Inputs'!$B$16</x:f>
        <x:v>5.6382587786724505</x:v>
      </x:c>
      <x:c r="AA870" s="80" t="n">
        <x:f>K870*(1+'Inputs'!$E$46)/2*'Inputs'!$B$17</x:f>
        <x:v>1.8834335704797311</x:v>
      </x:c>
      <x:c r="AB870" s="78" t="n">
        <x:f>(IF(J870&gt;0,K870*(1-'Inputs'!$E$46)/2/J870,0)+G870+R870)*'Inputs'!$B$17</x:f>
        <x:v>251098.29674015765</x:v>
      </x:c>
      <x:c r="AC870" s="78" t="n">
        <x:f>AC869+AB870</x:f>
        <x:v>16826447.87025556</x:v>
      </x:c>
      <x:c r="AD870" s="80" t="n">
        <x:f>Z870/(1+'Inputs'!$C$46)</x:f>
        <x:v>2.8191293893362253</x:v>
      </x:c>
      <x:c r="AE870" s="80" t="n">
        <x:f>Z870-AD870</x:f>
        <x:v>2.8191293893362253</x:v>
      </x:c>
      <x:c r="AF870" s="80" t="n">
        <x:f>D870*W870</x:f>
        <x:v>2.1297638080409045</x:v>
      </x:c>
      <x:c r="AG870" s="80" t="n">
        <x:f>C870*W870</x:f>
        <x:v>4.969448885428795</x:v>
      </x:c>
      <x:c r="AH870" s="80" t="n">
        <x:f>2*'Inputs'!$B$8*'Inputs'!$C$46</x:f>
        <x:v>5000</x:v>
      </x:c>
      <x:c r="AI870" s="81" t="n">
        <x:f>IF(AH870&gt;0,(AE870+AF870)/AH870*365,0)</x:f>
        <x:v>0.36126920340853047</x:v>
      </x:c>
      <x:c r="AJ870" s="81" t="n">
        <x:f>IF('Inputs'!$B$46&gt;0,AG870/('Inputs'!$B$19*'Inputs'!$B$46)*365,0)</x:f>
        <x:v>0.18138488431815103</x:v>
      </x:c>
      <x:c r="AK870" s="81" t="n">
        <x:f>W870/MAX($W$734:W870)-1</x:f>
        <x:v>-0.9911677936328752</x:v>
      </x:c>
      <x:c r="AL870" s="83" t="n">
        <x:f>'Inputs'!$B$46</x:f>
        <x:v>1</x:v>
      </x:c>
      <x:c r="AM870" s="83" t="n">
        <x:f>'Inputs'!$C$46</x:f>
        <x:v>1</x:v>
      </x:c>
      <x:c r="AN870" s="83" t="n">
        <x:f>'Inputs'!$D$46</x:f>
        <x:v>1</x:v>
      </x:c>
      <x:c r="AO870" s="81" t="n">
        <x:f>'Inputs'!$E$46</x:f>
        <x:v>0</x:v>
      </x:c>
    </x:row>
    <x:row r="871">
      <x:c r="A871" s="59" t="str">
        <x:v>Base</x:v>
      </x:c>
      <x:c r="B871" s="59" t="n">
        <x:v>138</x:v>
      </x:c>
      <x:c r="C871" s="78" t="n">
        <x:f>(('Inputs'!$B$29*(3*138*'Inputs'!$B$12-138^2)/(2*'Inputs'!$B$12^2))-('Inputs'!$B$29*(3*137*'Inputs'!$B$12-137^2)/(2*'Inputs'!$B$12^2)))*'Inputs'!$B$46</x:f>
        <x:v>667283.9650966525</x:v>
      </x:c>
      <x:c r="D871" s="78" t="n">
        <x:f>IF('Inputs'!$C$46&gt;0,('Inputs'!$B$30*(3*138*'Inputs'!$B$12-138^2)/(2*'Inputs'!$B$12^2))-('Inputs'!$B$30*(3*137*'Inputs'!$B$12-137^2)/(2*'Inputs'!$B$12^2)),0)</x:f>
        <x:v>285978.8421842754</x:v>
      </x:c>
      <x:c r="E871" s="78" t="n">
        <x:f>C871+D871</x:f>
        <x:v>953262.8072809279</x:v>
      </x:c>
      <x:c r="F871" s="78" t="n">
        <x:f>'Inputs'!$B$13*E871+(1-'Inputs'!$B$13)/'Inputs'!$B$14*SUM(E816:E871)</x:f>
        <x:v>963480.4841433691</x:v>
      </x:c>
      <x:c r="G871" s="78" t="n">
        <x:f>F871*'Inputs'!$F$46</x:f>
        <x:v>481740.24207168457</x:v>
      </x:c>
      <x:c r="H871" s="78" t="n">
        <x:f>U870</x:f>
        <x:v>62395987.21291911</x:v>
      </x:c>
      <x:c r="I871" s="78" t="n">
        <x:f>V870</x:f>
        <x:v>464.4539471559156</x:v>
      </x:c>
      <x:c r="J871" s="79" t="n">
        <x:f>IF(H871&gt;0,I871/H871,0)</x:f>
        <x:v>0.000007443650912534168</x:v>
      </x:c>
      <x:c r="K871" s="80" t="n">
        <x:f>(H871*J871+I871)*'Inputs'!$D$46*(1+'Inputs'!$G$46)^(B871/30)</x:f>
        <x:v>928.9078943118312</x:v>
      </x:c>
      <x:c r="L871" s="80" t="n">
        <x:f>MAX(0,K871*'Inputs'!$E$46)</x:f>
        <x:v>0</x:v>
      </x:c>
      <x:c r="M871" s="80" t="n">
        <x:f>MAX(0,-K871*'Inputs'!$E$46)</x:f>
        <x:v>0</x:v>
      </x:c>
      <x:c r="N871" s="78" t="n">
        <x:f>H871*(L871*(1-'Inputs'!$B$15))/(I871+L871*(1-'Inputs'!$B$15))</x:f>
        <x:v>0</x:v>
      </x:c>
      <x:c r="O871" s="78" t="n">
        <x:f>H871-N871</x:f>
        <x:v>62395987.21291911</x:v>
      </x:c>
      <x:c r="P871" s="78" t="n">
        <x:f>I871+L871*(1-'Inputs'!$B$17)</x:f>
        <x:v>464.4539471559156</x:v>
      </x:c>
      <x:c r="Q871" s="78" t="n">
        <x:f>IF(J871&gt;0,M871/J871,0)</x:f>
        <x:v>0</x:v>
      </x:c>
      <x:c r="R871" s="78" t="n">
        <x:f>IF(B871='Inputs'!$H$46,'Inputs'!$B$27*'Inputs'!$I$46,0)</x:f>
        <x:v>0</x:v>
      </x:c>
      <x:c r="S871" s="78" t="n">
        <x:f>Q871+G871+R871</x:f>
        <x:v>481740.24207168457</x:v>
      </x:c>
      <x:c r="T871" s="78" t="n">
        <x:f>P871*(S871*(1-'Inputs'!$B$15))/(O871+S871*(1-'Inputs'!$B$15))</x:f>
        <x:v>3.5231182265858094</x:v>
      </x:c>
      <x:c r="U871" s="78" t="n">
        <x:f>O871+S871*(1-'Inputs'!$B$17)</x:f>
        <x:v>62875788.86246736</x:v>
      </x:c>
      <x:c r="V871" s="78" t="n">
        <x:f>P871-T871</x:f>
        <x:v>460.9308289293298</x:v>
      </x:c>
      <x:c r="W871" s="79" t="n">
        <x:f>IF(U871&gt;0,V871/U871,0)</x:f>
        <x:v>0.000007330815839743279</x:v>
      </x:c>
      <x:c r="X871" s="80" t="n">
        <x:f>W871*('Inputs'!$B$6-AC871)</x:f>
        <x:v>7205.609339550102</x:v>
      </x:c>
      <x:c r="Y871" s="80" t="n">
        <x:f>2*V871</x:f>
        <x:v>921.8616578586596</x:v>
      </x:c>
      <x:c r="Z871" s="80" t="n">
        <x:f>K871*'Inputs'!$B$16+(G871+R871)*J871*'Inputs'!$B$16</x:f>
        <x:v>5.594962803025996</x:v>
      </x:c>
      <x:c r="AA871" s="80" t="n">
        <x:f>K871*(1+'Inputs'!$E$46)/2*'Inputs'!$B$17</x:f>
        <x:v>1.8690299684342682</x:v>
      </x:c>
      <x:c r="AB871" s="78" t="n">
        <x:f>(IF(J871&gt;0,K871*(1-'Inputs'!$E$46)/2/J871,0)+G871+R871)*'Inputs'!$B$17</x:f>
        <x:v>253029.08432591872</x:v>
      </x:c>
      <x:c r="AC871" s="78" t="n">
        <x:f>AC870+AB871</x:f>
        <x:v>17079476.954581477</x:v>
      </x:c>
      <x:c r="AD871" s="80" t="n">
        <x:f>Z871/(1+'Inputs'!$C$46)</x:f>
        <x:v>2.797481401512998</x:v>
      </x:c>
      <x:c r="AE871" s="80" t="n">
        <x:f>Z871-AD871</x:f>
        <x:v>2.797481401512998</x:v>
      </x:c>
      <x:c r="AF871" s="80" t="n">
        <x:f>D871*W871</x:f>
        <x:v>2.0964582261159292</x:v>
      </x:c>
      <x:c r="AG871" s="80" t="n">
        <x:f>C871*W871</x:f>
        <x:v>4.891735860937241</x:v>
      </x:c>
      <x:c r="AH871" s="80" t="n">
        <x:f>2*'Inputs'!$B$8*'Inputs'!$C$46</x:f>
        <x:v>5000</x:v>
      </x:c>
      <x:c r="AI871" s="81" t="n">
        <x:f>IF(AH871&gt;0,(AE871+AF871)/AH871*365,0)</x:f>
        <x:v>0.35725759281691166</x:v>
      </x:c>
      <x:c r="AJ871" s="81" t="n">
        <x:f>IF('Inputs'!$B$46&gt;0,AG871/('Inputs'!$B$19*'Inputs'!$B$46)*365,0)</x:f>
        <x:v>0.17854835892420928</x:v>
      </x:c>
      <x:c r="AK871" s="81" t="n">
        <x:f>W871/MAX($W$734:W871)-1</x:f>
        <x:v>-0.9913016772150111</x:v>
      </x:c>
      <x:c r="AL871" s="83" t="n">
        <x:f>'Inputs'!$B$46</x:f>
        <x:v>1</x:v>
      </x:c>
      <x:c r="AM871" s="83" t="n">
        <x:f>'Inputs'!$C$46</x:f>
        <x:v>1</x:v>
      </x:c>
      <x:c r="AN871" s="83" t="n">
        <x:f>'Inputs'!$D$46</x:f>
        <x:v>1</x:v>
      </x:c>
      <x:c r="AO871" s="81" t="n">
        <x:f>'Inputs'!$E$46</x:f>
        <x:v>0</x:v>
      </x:c>
    </x:row>
    <x:row r="872">
      <x:c r="A872" s="59" t="str">
        <x:v>Base</x:v>
      </x:c>
      <x:c r="B872" s="59" t="n">
        <x:v>139</x:v>
      </x:c>
      <x:c r="C872" s="78" t="n">
        <x:f>(('Inputs'!$B$29*(3*139*'Inputs'!$B$12-139^2)/(2*'Inputs'!$B$12^2))-('Inputs'!$B$29*(3*138*'Inputs'!$B$12-138^2)/(2*'Inputs'!$B$12^2)))*'Inputs'!$B$46</x:f>
        <x:v>666958.8571964651</x:v>
      </x:c>
      <x:c r="D872" s="78" t="n">
        <x:f>IF('Inputs'!$C$46&gt;0,('Inputs'!$B$30*(3*139*'Inputs'!$B$12-139^2)/(2*'Inputs'!$B$12^2))-('Inputs'!$B$30*(3*138*'Inputs'!$B$12-138^2)/(2*'Inputs'!$B$12^2)),0)</x:f>
        <x:v>285839.51022705436</x:v>
      </x:c>
      <x:c r="E872" s="78" t="n">
        <x:f>C872+D872</x:f>
        <x:v>952798.3674235195</x:v>
      </x:c>
      <x:c r="F872" s="78" t="n">
        <x:f>'Inputs'!$B$13*E872+(1-'Inputs'!$B$13)/'Inputs'!$B$14*SUM(E817:E872)</x:f>
        <x:v>963016.04428598</x:v>
      </x:c>
      <x:c r="G872" s="78" t="n">
        <x:f>F872*'Inputs'!$F$46</x:f>
        <x:v>481508.02214299</x:v>
      </x:c>
      <x:c r="H872" s="78" t="n">
        <x:f>U871</x:f>
        <x:v>62875788.86246736</x:v>
      </x:c>
      <x:c r="I872" s="78" t="n">
        <x:f>V871</x:f>
        <x:v>460.9308289293298</x:v>
      </x:c>
      <x:c r="J872" s="79" t="n">
        <x:f>IF(H872&gt;0,I872/H872,0)</x:f>
        <x:v>0.000007330815839743279</x:v>
      </x:c>
      <x:c r="K872" s="80" t="n">
        <x:f>(H872*J872+I872)*'Inputs'!$D$46*(1+'Inputs'!$G$46)^(B872/30)</x:f>
        <x:v>921.8616578586596</x:v>
      </x:c>
      <x:c r="L872" s="80" t="n">
        <x:f>MAX(0,K872*'Inputs'!$E$46)</x:f>
        <x:v>0</x:v>
      </x:c>
      <x:c r="M872" s="80" t="n">
        <x:f>MAX(0,-K872*'Inputs'!$E$46)</x:f>
        <x:v>0</x:v>
      </x:c>
      <x:c r="N872" s="78" t="n">
        <x:f>H872*(L872*(1-'Inputs'!$B$15))/(I872+L872*(1-'Inputs'!$B$15))</x:f>
        <x:v>0</x:v>
      </x:c>
      <x:c r="O872" s="78" t="n">
        <x:f>H872-N872</x:f>
        <x:v>62875788.86246736</x:v>
      </x:c>
      <x:c r="P872" s="78" t="n">
        <x:f>I872+L872*(1-'Inputs'!$B$17)</x:f>
        <x:v>460.9308289293298</x:v>
      </x:c>
      <x:c r="Q872" s="78" t="n">
        <x:f>IF(J872&gt;0,M872/J872,0)</x:f>
        <x:v>0</x:v>
      </x:c>
      <x:c r="R872" s="78" t="n">
        <x:f>IF(B872='Inputs'!$H$46,'Inputs'!$B$27*'Inputs'!$I$46,0)</x:f>
        <x:v>0</x:v>
      </x:c>
      <x:c r="S872" s="78" t="n">
        <x:f>Q872+G872+R872</x:f>
        <x:v>481508.02214299</x:v>
      </x:c>
      <x:c r="T872" s="78" t="n">
        <x:f>P872*(S872*(1-'Inputs'!$B$15))/(O872+S872*(1-'Inputs'!$B$15))</x:f>
        <x:v>3.468253596490416</x:v>
      </x:c>
      <x:c r="U872" s="78" t="n">
        <x:f>O872+S872*(1-'Inputs'!$B$17)</x:f>
        <x:v>63355359.226573564</x:v>
      </x:c>
      <x:c r="V872" s="78" t="n">
        <x:f>P872-T872</x:f>
        <x:v>457.4625753328394</x:v>
      </x:c>
      <x:c r="W872" s="79" t="n">
        <x:f>IF(U872&gt;0,V872/U872,0)</x:f>
        <x:v>0.000007220582140444447</x:v>
      </x:c>
      <x:c r="X872" s="80" t="n">
        <x:f>W872*('Inputs'!$B$6-AC872)</x:f>
        <x:v>7095.417422200792</x:v>
      </x:c>
      <x:c r="Y872" s="80" t="n">
        <x:f>2*V872</x:f>
        <x:v>914.9251506656788</x:v>
      </x:c>
      <x:c r="Z872" s="80" t="n">
        <x:f>K872*'Inputs'!$B$16+(G872+R872)*J872*'Inputs'!$B$16</x:f>
        <x:v>5.552349026966093</x:v>
      </x:c>
      <x:c r="AA872" s="80" t="n">
        <x:f>K872*(1+'Inputs'!$E$46)/2*'Inputs'!$B$17</x:f>
        <x:v>1.8548524302991138</x:v>
      </x:c>
      <x:c r="AB872" s="78" t="n">
        <x:f>(IF(J872&gt;0,K872*(1-'Inputs'!$E$46)/2/J872,0)+G872+R872)*'Inputs'!$B$17</x:f>
        <x:v>254958.94118555478</x:v>
      </x:c>
      <x:c r="AC872" s="78" t="n">
        <x:f>AC871+AB872</x:f>
        <x:v>17334435.895767033</x:v>
      </x:c>
      <x:c r="AD872" s="80" t="n">
        <x:f>Z872/(1+'Inputs'!$C$46)</x:f>
        <x:v>2.7761745134830464</x:v>
      </x:c>
      <x:c r="AE872" s="80" t="n">
        <x:f>Z872-AD872</x:f>
        <x:v>2.7761745134830464</x:v>
      </x:c>
      <x:c r="AF872" s="80" t="n">
        <x:f>D872*W872</x:f>
        <x:v>2.0639276625788563</x:v>
      </x:c>
      <x:c r="AG872" s="80" t="n">
        <x:f>C872*W872</x:f>
        <x:v>4.815831212684034</x:v>
      </x:c>
      <x:c r="AH872" s="80" t="n">
        <x:f>2*'Inputs'!$B$8*'Inputs'!$C$46</x:f>
        <x:v>5000</x:v>
      </x:c>
      <x:c r="AI872" s="81" t="n">
        <x:f>IF(AH872&gt;0,(AE872+AF872)/AH872*365,0)</x:f>
        <x:v>0.3533274588525189</x:v>
      </x:c>
      <x:c r="AJ872" s="81" t="n">
        <x:f>IF('Inputs'!$B$46&gt;0,AG872/('Inputs'!$B$19*'Inputs'!$B$46)*365,0)</x:f>
        <x:v>0.17577783926296725</x:v>
      </x:c>
      <x:c r="AK872" s="81" t="n">
        <x:f>W872/MAX($W$734:W872)-1</x:f>
        <x:v>-0.9914324741575677</x:v>
      </x:c>
      <x:c r="AL872" s="83" t="n">
        <x:f>'Inputs'!$B$46</x:f>
        <x:v>1</x:v>
      </x:c>
      <x:c r="AM872" s="83" t="n">
        <x:f>'Inputs'!$C$46</x:f>
        <x:v>1</x:v>
      </x:c>
      <x:c r="AN872" s="83" t="n">
        <x:f>'Inputs'!$D$46</x:f>
        <x:v>1</x:v>
      </x:c>
      <x:c r="AO872" s="81" t="n">
        <x:f>'Inputs'!$E$46</x:f>
        <x:v>0</x:v>
      </x:c>
    </x:row>
    <x:row r="873">
      <x:c r="A873" s="59" t="str">
        <x:v>Base</x:v>
      </x:c>
      <x:c r="B873" s="59" t="n">
        <x:v>140</x:v>
      </x:c>
      <x:c r="C873" s="78" t="n">
        <x:f>(('Inputs'!$B$29*(3*140*'Inputs'!$B$12-140^2)/(2*'Inputs'!$B$12^2))-('Inputs'!$B$29*(3*139*'Inputs'!$B$12-139^2)/(2*'Inputs'!$B$12^2)))*'Inputs'!$B$46</x:f>
        <x:v>666633.7492963076</x:v>
      </x:c>
      <x:c r="D873" s="78" t="n">
        <x:f>IF('Inputs'!$C$46&gt;0,('Inputs'!$B$30*(3*140*'Inputs'!$B$12-140^2)/(2*'Inputs'!$B$12^2))-('Inputs'!$B$30*(3*139*'Inputs'!$B$12-139^2)/(2*'Inputs'!$B$12^2)),0)</x:f>
        <x:v>285700.1782698482</x:v>
      </x:c>
      <x:c r="E873" s="78" t="n">
        <x:f>C873+D873</x:f>
        <x:v>952333.9275661558</x:v>
      </x:c>
      <x:c r="F873" s="78" t="n">
        <x:f>'Inputs'!$B$13*E873+(1-'Inputs'!$B$13)/'Inputs'!$B$14*SUM(E818:E873)</x:f>
        <x:v>962551.6044286</x:v>
      </x:c>
      <x:c r="G873" s="78" t="n">
        <x:f>F873*'Inputs'!$F$46</x:f>
        <x:v>481275.8022143</x:v>
      </x:c>
      <x:c r="H873" s="78" t="n">
        <x:f>U872</x:f>
        <x:v>63355359.226573564</x:v>
      </x:c>
      <x:c r="I873" s="78" t="n">
        <x:f>V872</x:f>
        <x:v>457.4625753328394</x:v>
      </x:c>
      <x:c r="J873" s="79" t="n">
        <x:f>IF(H873&gt;0,I873/H873,0)</x:f>
        <x:v>0.000007220582140444447</x:v>
      </x:c>
      <x:c r="K873" s="80" t="n">
        <x:f>(H873*J873+I873)*'Inputs'!$D$46*(1+'Inputs'!$G$46)^(B873/30)</x:f>
        <x:v>914.9251506656788</x:v>
      </x:c>
      <x:c r="L873" s="80" t="n">
        <x:f>MAX(0,K873*'Inputs'!$E$46)</x:f>
        <x:v>0</x:v>
      </x:c>
      <x:c r="M873" s="80" t="n">
        <x:f>MAX(0,-K873*'Inputs'!$E$46)</x:f>
        <x:v>0</x:v>
      </x:c>
      <x:c r="N873" s="78" t="n">
        <x:f>H873*(L873*(1-'Inputs'!$B$15))/(I873+L873*(1-'Inputs'!$B$15))</x:f>
        <x:v>0</x:v>
      </x:c>
      <x:c r="O873" s="78" t="n">
        <x:f>H873-N873</x:f>
        <x:v>63355359.226573564</x:v>
      </x:c>
      <x:c r="P873" s="78" t="n">
        <x:f>I873+L873*(1-'Inputs'!$B$17)</x:f>
        <x:v>457.4625753328394</x:v>
      </x:c>
      <x:c r="Q873" s="78" t="n">
        <x:f>IF(J873&gt;0,M873/J873,0)</x:f>
        <x:v>0</x:v>
      </x:c>
      <x:c r="R873" s="78" t="n">
        <x:f>IF(B873='Inputs'!$H$46,'Inputs'!$B$27*'Inputs'!$I$46,0)</x:f>
        <x:v>0</x:v>
      </x:c>
      <x:c r="S873" s="78" t="n">
        <x:f>Q873+G873+R873</x:f>
        <x:v>481275.8022143</x:v>
      </x:c>
      <x:c r="T873" s="78" t="n">
        <x:f>P873*(S873*(1-'Inputs'!$B$15))/(O873+S873*(1-'Inputs'!$B$15))</x:f>
        <x:v>3.414660642500469</x:v>
      </x:c>
      <x:c r="U873" s="78" t="n">
        <x:f>O873+S873*(1-'Inputs'!$B$17)</x:f>
        <x:v>63834698.3052377</x:v>
      </x:c>
      <x:c r="V873" s="78" t="n">
        <x:f>P873-T873</x:f>
        <x:v>454.0479146903389</x:v>
      </x:c>
      <x:c r="W873" s="79" t="n">
        <x:f>IF(U873&gt;0,V873/U873,0)</x:f>
        <x:v>0.000007112870065105075</x:v>
      </x:c>
      <x:c r="X873" s="80" t="n">
        <x:f>W873*('Inputs'!$B$6-AC873)</x:f>
        <x:v>6987.745264905048</x:v>
      </x:c>
      <x:c r="Y873" s="80" t="n">
        <x:f>2*V873</x:f>
        <x:v>908.0958293806779</x:v>
      </x:c>
      <x:c r="Z873" s="80" t="n">
        <x:f>K873*'Inputs'!$B$16+(G873+R873)*J873*'Inputs'!$B$16</x:f>
        <x:v>5.5104014527666525</x:v>
      </x:c>
      <x:c r="AA873" s="80" t="n">
        <x:f>K873*(1+'Inputs'!$E$46)/2*'Inputs'!$B$17</x:f>
        <x:v>1.8408956753836596</x:v>
      </x:c>
      <x:c r="AB873" s="78" t="n">
        <x:f>(IF(J873&gt;0,K873*(1-'Inputs'!$E$46)/2/J873,0)+G873+R873)*'Inputs'!$B$17</x:f>
        <x:v>256887.86731906587</x:v>
      </x:c>
      <x:c r="AC873" s="78" t="n">
        <x:f>AC872+AB873</x:f>
        <x:v>17591323.7630861</x:v>
      </x:c>
      <x:c r="AD873" s="80" t="n">
        <x:f>Z873/(1+'Inputs'!$C$46)</x:f>
        <x:v>2.7552007263833262</x:v>
      </x:c>
      <x:c r="AE873" s="80" t="n">
        <x:f>Z873-AD873</x:f>
        <x:v>2.7552007263833262</x:v>
      </x:c>
      <x:c r="AF873" s="80" t="n">
        <x:f>D873*W873</x:f>
        <x:v>2.0321482456107867</x:v>
      </x:c>
      <x:c r="AG873" s="80" t="n">
        <x:f>C873*W873</x:f>
        <x:v>4.741679239758467</x:v>
      </x:c>
      <x:c r="AH873" s="80" t="n">
        <x:f>2*'Inputs'!$B$8*'Inputs'!$C$46</x:f>
        <x:v>5000</x:v>
      </x:c>
      <x:c r="AI873" s="81" t="n">
        <x:f>IF(AH873&gt;0,(AE873+AF873)/AH873*365,0)</x:f>
        <x:v>0.34947647495557027</x:v>
      </x:c>
      <x:c r="AJ873" s="81" t="n">
        <x:f>IF('Inputs'!$B$46&gt;0,AG873/('Inputs'!$B$19*'Inputs'!$B$46)*365,0)</x:f>
        <x:v>0.17307129225118403</x:v>
      </x:c>
      <x:c r="AK873" s="81" t="n">
        <x:f>W873/MAX($W$734:W873)-1</x:f>
        <x:v>-0.9915602790867358</x:v>
      </x:c>
      <x:c r="AL873" s="83" t="n">
        <x:f>'Inputs'!$B$46</x:f>
        <x:v>1</x:v>
      </x:c>
      <x:c r="AM873" s="83" t="n">
        <x:f>'Inputs'!$C$46</x:f>
        <x:v>1</x:v>
      </x:c>
      <x:c r="AN873" s="83" t="n">
        <x:f>'Inputs'!$D$46</x:f>
        <x:v>1</x:v>
      </x:c>
      <x:c r="AO873" s="81" t="n">
        <x:f>'Inputs'!$E$46</x:f>
        <x:v>0</x:v>
      </x:c>
    </x:row>
    <x:row r="874">
      <x:c r="A874" s="59" t="str">
        <x:v>Base</x:v>
      </x:c>
      <x:c r="B874" s="59" t="n">
        <x:v>141</x:v>
      </x:c>
      <x:c r="C874" s="78" t="n">
        <x:f>(('Inputs'!$B$29*(3*141*'Inputs'!$B$12-141^2)/(2*'Inputs'!$B$12^2))-('Inputs'!$B$29*(3*140*'Inputs'!$B$12-140^2)/(2*'Inputs'!$B$12^2)))*'Inputs'!$B$46</x:f>
        <x:v>666308.6413961351</x:v>
      </x:c>
      <x:c r="D874" s="78" t="n">
        <x:f>IF('Inputs'!$C$46&gt;0,('Inputs'!$B$30*(3*141*'Inputs'!$B$12-141^2)/(2*'Inputs'!$B$12^2))-('Inputs'!$B$30*(3*140*'Inputs'!$B$12-140^2)/(2*'Inputs'!$B$12^2)),0)</x:f>
        <x:v>285560.8463126272</x:v>
      </x:c>
      <x:c r="E874" s="78" t="n">
        <x:f>C874+D874</x:f>
        <x:v>951869.4877087623</x:v>
      </x:c>
      <x:c r="F874" s="78" t="n">
        <x:f>'Inputs'!$B$13*E874+(1-'Inputs'!$B$13)/'Inputs'!$B$14*SUM(E819:E874)</x:f>
        <x:v>962087.164571214</x:v>
      </x:c>
      <x:c r="G874" s="78" t="n">
        <x:f>F874*'Inputs'!$F$46</x:f>
        <x:v>481043.582285607</x:v>
      </x:c>
      <x:c r="H874" s="78" t="n">
        <x:f>U873</x:f>
        <x:v>63834698.3052377</x:v>
      </x:c>
      <x:c r="I874" s="78" t="n">
        <x:f>V873</x:f>
        <x:v>454.0479146903389</x:v>
      </x:c>
      <x:c r="J874" s="79" t="n">
        <x:f>IF(H874&gt;0,I874/H874,0)</x:f>
        <x:v>0.000007112870065105075</x:v>
      </x:c>
      <x:c r="K874" s="80" t="n">
        <x:f>(H874*J874+I874)*'Inputs'!$D$46*(1+'Inputs'!$G$46)^(B874/30)</x:f>
        <x:v>908.0958293806779</x:v>
      </x:c>
      <x:c r="L874" s="80" t="n">
        <x:f>MAX(0,K874*'Inputs'!$E$46)</x:f>
        <x:v>0</x:v>
      </x:c>
      <x:c r="M874" s="80" t="n">
        <x:f>MAX(0,-K874*'Inputs'!$E$46)</x:f>
        <x:v>0</x:v>
      </x:c>
      <x:c r="N874" s="78" t="n">
        <x:f>H874*(L874*(1-'Inputs'!$B$15))/(I874+L874*(1-'Inputs'!$B$15))</x:f>
        <x:v>0</x:v>
      </x:c>
      <x:c r="O874" s="78" t="n">
        <x:f>H874-N874</x:f>
        <x:v>63834698.3052377</x:v>
      </x:c>
      <x:c r="P874" s="78" t="n">
        <x:f>I874+L874*(1-'Inputs'!$B$17)</x:f>
        <x:v>454.0479146903389</x:v>
      </x:c>
      <x:c r="Q874" s="78" t="n">
        <x:f>IF(J874&gt;0,M874/J874,0)</x:f>
        <x:v>0</x:v>
      </x:c>
      <x:c r="R874" s="78" t="n">
        <x:f>IF(B874='Inputs'!$H$46,'Inputs'!$B$27*'Inputs'!$I$46,0)</x:f>
        <x:v>0</x:v>
      </x:c>
      <x:c r="S874" s="78" t="n">
        <x:f>Q874+G874+R874</x:f>
        <x:v>481043.582285607</x:v>
      </x:c>
      <x:c r="T874" s="78" t="n">
        <x:f>P874*(S874*(1-'Inputs'!$B$15))/(O874+S874*(1-'Inputs'!$B$15))</x:f>
        <x:v>3.3623003457853566</x:v>
      </x:c>
      <x:c r="U874" s="78" t="n">
        <x:f>O874+S874*(1-'Inputs'!$B$17)</x:f>
        <x:v>64313806.09845979</x:v>
      </x:c>
      <x:c r="V874" s="78" t="n">
        <x:f>P874-T874</x:f>
        <x:v>450.6856143445536</x:v>
      </x:c>
      <x:c r="W874" s="79" t="n">
        <x:f>IF(U874&gt;0,V874/U874,0)</x:f>
        <x:v>0.000007007602903404387</x:v>
      </x:c>
      <x:c r="X874" s="80" t="n">
        <x:f>W874*('Inputs'!$B$6-AC874)</x:f>
        <x:v>6882.5162131363695</x:v>
      </x:c>
      <x:c r="Y874" s="80" t="n">
        <x:f>2*V874</x:f>
        <x:v>901.3712286891072</x:v>
      </x:c>
      <x:c r="Z874" s="80" t="n">
        <x:f>K874*'Inputs'!$B$16+(G874+R874)*J874*'Inputs'!$B$16</x:f>
        <x:v>5.469104579262769</x:v>
      </x:c>
      <x:c r="AA874" s="80" t="n">
        <x:f>K874*(1+'Inputs'!$E$46)/2*'Inputs'!$B$17</x:f>
        <x:v>1.82715458627903</x:v>
      </x:c>
      <x:c r="AB874" s="78" t="n">
        <x:f>(IF(J874&gt;0,K874*(1-'Inputs'!$E$46)/2/J874,0)+G874+R874)*'Inputs'!$B$17</x:f>
        <x:v>258815.86272645197</x:v>
      </x:c>
      <x:c r="AC874" s="78" t="n">
        <x:f>AC873+AB874</x:f>
        <x:v>17850139.625812553</x:v>
      </x:c>
      <x:c r="AD874" s="80" t="n">
        <x:f>Z874/(1+'Inputs'!$C$46)</x:f>
        <x:v>2.7345522896313845</x:v>
      </x:c>
      <x:c r="AE874" s="80" t="n">
        <x:f>Z874-AD874</x:f>
        <x:v>2.7345522896313845</x:v>
      </x:c>
      <x:c r="AF874" s="80" t="n">
        <x:f>D874*W874</x:f>
        <x:v>2.00109701571898</x:v>
      </x:c>
      <x:c r="AG874" s="80" t="n">
        <x:f>C874*W874</x:f>
        <x:v>4.669226370010989</x:v>
      </x:c>
      <x:c r="AH874" s="80" t="n">
        <x:f>2*'Inputs'!$B$8*'Inputs'!$C$46</x:f>
        <x:v>5000</x:v>
      </x:c>
      <x:c r="AI874" s="81" t="n">
        <x:f>IF(AH874&gt;0,(AE874+AF874)/AH874*365,0)</x:f>
        <x:v>0.34570239929057656</x:v>
      </x:c>
      <x:c r="AJ874" s="81" t="n">
        <x:f>IF('Inputs'!$B$46&gt;0,AG874/('Inputs'!$B$19*'Inputs'!$B$46)*365,0)</x:f>
        <x:v>0.1704267625054011</x:v>
      </x:c>
      <x:c r="AK874" s="81" t="n">
        <x:f>W874/MAX($W$734:W874)-1</x:f>
        <x:v>-0.9916851830225526</x:v>
      </x:c>
      <x:c r="AL874" s="83" t="n">
        <x:f>'Inputs'!$B$46</x:f>
        <x:v>1</x:v>
      </x:c>
      <x:c r="AM874" s="83" t="n">
        <x:f>'Inputs'!$C$46</x:f>
        <x:v>1</x:v>
      </x:c>
      <x:c r="AN874" s="83" t="n">
        <x:f>'Inputs'!$D$46</x:f>
        <x:v>1</x:v>
      </x:c>
      <x:c r="AO874" s="81" t="n">
        <x:f>'Inputs'!$E$46</x:f>
        <x:v>0</x:v>
      </x:c>
    </x:row>
    <x:row r="875">
      <x:c r="A875" s="59" t="str">
        <x:v>Base</x:v>
      </x:c>
      <x:c r="B875" s="59" t="n">
        <x:v>142</x:v>
      </x:c>
      <x:c r="C875" s="78" t="n">
        <x:f>(('Inputs'!$B$29*(3*142*'Inputs'!$B$12-142^2)/(2*'Inputs'!$B$12^2))-('Inputs'!$B$29*(3*141*'Inputs'!$B$12-141^2)/(2*'Inputs'!$B$12^2)))*'Inputs'!$B$46</x:f>
        <x:v>665983.5334959626</x:v>
      </x:c>
      <x:c r="D875" s="78" t="n">
        <x:f>IF('Inputs'!$C$46&gt;0,('Inputs'!$B$30*(3*142*'Inputs'!$B$12-142^2)/(2*'Inputs'!$B$12^2))-('Inputs'!$B$30*(3*141*'Inputs'!$B$12-141^2)/(2*'Inputs'!$B$12^2)),0)</x:f>
        <x:v>285421.5143554136</x:v>
      </x:c>
      <x:c r="E875" s="78" t="n">
        <x:f>C875+D875</x:f>
        <x:v>951405.0478513762</x:v>
      </x:c>
      <x:c r="F875" s="78" t="n">
        <x:f>'Inputs'!$B$13*E875+(1-'Inputs'!$B$13)/'Inputs'!$B$14*SUM(E820:E875)</x:f>
        <x:v>961622.7247138293</x:v>
      </x:c>
      <x:c r="G875" s="78" t="n">
        <x:f>F875*'Inputs'!$F$46</x:f>
        <x:v>480811.3623569147</x:v>
      </x:c>
      <x:c r="H875" s="78" t="n">
        <x:f>U874</x:f>
        <x:v>64313806.09845979</x:v>
      </x:c>
      <x:c r="I875" s="78" t="n">
        <x:f>V874</x:f>
        <x:v>450.6856143445536</x:v>
      </x:c>
      <x:c r="J875" s="79" t="n">
        <x:f>IF(H875&gt;0,I875/H875,0)</x:f>
        <x:v>0.000007007602903404387</x:v>
      </x:c>
      <x:c r="K875" s="80" t="n">
        <x:f>(H875*J875+I875)*'Inputs'!$D$46*(1+'Inputs'!$G$46)^(B875/30)</x:f>
        <x:v>901.3712286891072</x:v>
      </x:c>
      <x:c r="L875" s="80" t="n">
        <x:f>MAX(0,K875*'Inputs'!$E$46)</x:f>
        <x:v>0</x:v>
      </x:c>
      <x:c r="M875" s="80" t="n">
        <x:f>MAX(0,-K875*'Inputs'!$E$46)</x:f>
        <x:v>0</x:v>
      </x:c>
      <x:c r="N875" s="78" t="n">
        <x:f>H875*(L875*(1-'Inputs'!$B$15))/(I875+L875*(1-'Inputs'!$B$15))</x:f>
        <x:v>0</x:v>
      </x:c>
      <x:c r="O875" s="78" t="n">
        <x:f>H875-N875</x:f>
        <x:v>64313806.09845979</x:v>
      </x:c>
      <x:c r="P875" s="78" t="n">
        <x:f>I875+L875*(1-'Inputs'!$B$17)</x:f>
        <x:v>450.6856143445536</x:v>
      </x:c>
      <x:c r="Q875" s="78" t="n">
        <x:f>IF(J875&gt;0,M875/J875,0)</x:f>
        <x:v>0</x:v>
      </x:c>
      <x:c r="R875" s="78" t="n">
        <x:f>IF(B875='Inputs'!$H$46,'Inputs'!$B$27*'Inputs'!$I$46,0)</x:f>
        <x:v>0</x:v>
      </x:c>
      <x:c r="S875" s="78" t="n">
        <x:f>Q875+G875+R875</x:f>
        <x:v>480811.3623569147</x:v>
      </x:c>
      <x:c r="T875" s="78" t="n">
        <x:f>P875*(S875*(1-'Inputs'!$B$15))/(O875+S875*(1-'Inputs'!$B$15))</x:f>
        <x:v>3.3111351730607477</x:v>
      </x:c>
      <x:c r="U875" s="78" t="n">
        <x:f>O875+S875*(1-'Inputs'!$B$17)</x:f>
        <x:v>64792682.60623981</x:v>
      </x:c>
      <x:c r="V875" s="78" t="n">
        <x:f>P875-T875</x:f>
        <x:v>447.37447917149285</x:v>
      </x:c>
      <x:c r="W875" s="79" t="n">
        <x:f>IF(U875&gt;0,V875/U875,0)</x:f>
        <x:v>0.0000069047068461463705</x:v>
      </x:c>
      <x:c r="X875" s="80" t="n">
        <x:f>W875*('Inputs'!$B$6-AC875)</x:f>
        <x:v>6779.6565113913975</x:v>
      </x:c>
      <x:c r="Y875" s="80" t="n">
        <x:f>2*V875</x:f>
        <x:v>894.7489583429857</x:v>
      </x:c>
      <x:c r="Z875" s="80" t="n">
        <x:f>K875*'Inputs'!$B$16+(G875+R875)*J875*'Inputs'!$B$16</x:f>
        <x:v>5.428443382727696</x:v>
      </x:c>
      <x:c r="AA875" s="80" t="n">
        <x:f>K875*(1+'Inputs'!$E$46)/2*'Inputs'!$B$17</x:f>
        <x:v>1.8136242025937772</x:v>
      </x:c>
      <x:c r="AB875" s="78" t="n">
        <x:f>(IF(J875&gt;0,K875*(1-'Inputs'!$E$46)/2/J875,0)+G875+R875)*'Inputs'!$B$17</x:f>
        <x:v>260742.9274077131</x:v>
      </x:c>
      <x:c r="AC875" s="78" t="n">
        <x:f>AC874+AB875</x:f>
        <x:v>18110882.553220265</x:v>
      </x:c>
      <x:c r="AD875" s="80" t="n">
        <x:f>Z875/(1+'Inputs'!$C$46)</x:f>
        <x:v>2.714221691363848</x:v>
      </x:c>
      <x:c r="AE875" s="80" t="n">
        <x:f>Z875-AD875</x:f>
        <x:v>2.714221691363848</x:v>
      </x:c>
      <x:c r="AF875" s="80" t="n">
        <x:f>D875*W875</x:f>
        <x:v>1.9707518842072889</x:v>
      </x:c>
      <x:c r="AG875" s="80" t="n">
        <x:f>C875*W875</x:f>
        <x:v>4.598421063150324</x:v>
      </x:c>
      <x:c r="AH875" s="80" t="n">
        <x:f>2*'Inputs'!$B$8*'Inputs'!$C$46</x:f>
        <x:v>5000</x:v>
      </x:c>
      <x:c r="AI875" s="81" t="n">
        <x:f>IF(AH875&gt;0,(AE875+AF875)/AH875*365,0)</x:f>
        <x:v>0.342003071016693</x:v>
      </x:c>
      <x:c r="AJ875" s="81" t="n">
        <x:f>IF('Inputs'!$B$46&gt;0,AG875/('Inputs'!$B$19*'Inputs'!$B$46)*365,0)</x:f>
        <x:v>0.16784236880498685</x:v>
      </x:c>
      <x:c r="AK875" s="81" t="n">
        <x:f>W875/MAX($W$734:W875)-1</x:f>
        <x:v>-0.9918072735427483</x:v>
      </x:c>
      <x:c r="AL875" s="83" t="n">
        <x:f>'Inputs'!$B$46</x:f>
        <x:v>1</x:v>
      </x:c>
      <x:c r="AM875" s="83" t="n">
        <x:f>'Inputs'!$C$46</x:f>
        <x:v>1</x:v>
      </x:c>
      <x:c r="AN875" s="83" t="n">
        <x:f>'Inputs'!$D$46</x:f>
        <x:v>1</x:v>
      </x:c>
      <x:c r="AO875" s="81" t="n">
        <x:f>'Inputs'!$E$46</x:f>
        <x:v>0</x:v>
      </x:c>
    </x:row>
    <x:row r="876">
      <x:c r="A876" s="59" t="str">
        <x:v>Base</x:v>
      </x:c>
      <x:c r="B876" s="59" t="n">
        <x:v>143</x:v>
      </x:c>
      <x:c r="C876" s="78" t="n">
        <x:f>(('Inputs'!$B$29*(3*143*'Inputs'!$B$12-143^2)/(2*'Inputs'!$B$12^2))-('Inputs'!$B$29*(3*142*'Inputs'!$B$12-142^2)/(2*'Inputs'!$B$12^2)))*'Inputs'!$B$46</x:f>
        <x:v>665658.4255957901</x:v>
      </x:c>
      <x:c r="D876" s="78" t="n">
        <x:f>IF('Inputs'!$C$46&gt;0,('Inputs'!$B$30*(3*143*'Inputs'!$B$12-143^2)/(2*'Inputs'!$B$12^2))-('Inputs'!$B$30*(3*142*'Inputs'!$B$12-142^2)/(2*'Inputs'!$B$12^2)),0)</x:f>
        <x:v>285282.18239820004</x:v>
      </x:c>
      <x:c r="E876" s="78" t="n">
        <x:f>C876+D876</x:f>
        <x:v>950940.6079939902</x:v>
      </x:c>
      <x:c r="F876" s="78" t="n">
        <x:f>'Inputs'!$B$13*E876+(1-'Inputs'!$B$13)/'Inputs'!$B$14*SUM(E821:E876)</x:f>
        <x:v>961158.2848564449</x:v>
      </x:c>
      <x:c r="G876" s="78" t="n">
        <x:f>F876*'Inputs'!$F$46</x:f>
        <x:v>480579.14242822246</x:v>
      </x:c>
      <x:c r="H876" s="78" t="n">
        <x:f>U875</x:f>
        <x:v>64792682.60623981</x:v>
      </x:c>
      <x:c r="I876" s="78" t="n">
        <x:f>V875</x:f>
        <x:v>447.37447917149285</x:v>
      </x:c>
      <x:c r="J876" s="79" t="n">
        <x:f>IF(H876&gt;0,I876/H876,0)</x:f>
        <x:v>0.0000069047068461463705</x:v>
      </x:c>
      <x:c r="K876" s="80" t="n">
        <x:f>(H876*J876+I876)*'Inputs'!$D$46*(1+'Inputs'!$G$46)^(B876/30)</x:f>
        <x:v>894.7489583429857</x:v>
      </x:c>
      <x:c r="L876" s="80" t="n">
        <x:f>MAX(0,K876*'Inputs'!$E$46)</x:f>
        <x:v>0</x:v>
      </x:c>
      <x:c r="M876" s="80" t="n">
        <x:f>MAX(0,-K876*'Inputs'!$E$46)</x:f>
        <x:v>0</x:v>
      </x:c>
      <x:c r="N876" s="78" t="n">
        <x:f>H876*(L876*(1-'Inputs'!$B$15))/(I876+L876*(1-'Inputs'!$B$15))</x:f>
        <x:v>0</x:v>
      </x:c>
      <x:c r="O876" s="78" t="n">
        <x:f>H876-N876</x:f>
        <x:v>64792682.60623981</x:v>
      </x:c>
      <x:c r="P876" s="78" t="n">
        <x:f>I876+L876*(1-'Inputs'!$B$17)</x:f>
        <x:v>447.37447917149285</x:v>
      </x:c>
      <x:c r="Q876" s="78" t="n">
        <x:f>IF(J876&gt;0,M876/J876,0)</x:f>
        <x:v>0</x:v>
      </x:c>
      <x:c r="R876" s="78" t="n">
        <x:f>IF(B876='Inputs'!$H$46,'Inputs'!$B$27*'Inputs'!$I$46,0)</x:f>
        <x:v>0</x:v>
      </x:c>
      <x:c r="S876" s="78" t="n">
        <x:f>Q876+G876+R876</x:f>
        <x:v>480579.14242822246</x:v>
      </x:c>
      <x:c r="T876" s="78" t="n">
        <x:f>P876*(S876*(1-'Inputs'!$B$15))/(O876+S876*(1-'Inputs'!$B$15))</x:f>
        <x:v>3.2611290092184384</x:v>
      </x:c>
      <x:c r="U876" s="78" t="n">
        <x:f>O876+S876*(1-'Inputs'!$B$17)</x:f>
        <x:v>65271327.82857778</x:v>
      </x:c>
      <x:c r="V876" s="78" t="n">
        <x:f>P876-T876</x:f>
        <x:v>444.1133501622744</x:v>
      </x:c>
      <x:c r="W876" s="79" t="n">
        <x:f>IF(U876&gt;0,V876/U876,0)</x:f>
        <x:v>0.000006804110854442094</x:v>
      </x:c>
      <x:c r="X876" s="80" t="n">
        <x:f>W876*('Inputs'!$B$6-AC876)</x:f>
        <x:v>6679.095172466657</x:v>
      </x:c>
      <x:c r="Y876" s="80" t="n">
        <x:f>2*V876</x:f>
        <x:v>888.2267003245488</x:v>
      </x:c>
      <x:c r="Z876" s="80" t="n">
        <x:f>K876*'Inputs'!$B$16+(G876+R876)*J876*'Inputs'!$B$16</x:f>
        <x:v>5.38840329862695</x:v>
      </x:c>
      <x:c r="AA876" s="80" t="n">
        <x:f>K876*(1+'Inputs'!$E$46)/2*'Inputs'!$B$17</x:f>
        <x:v>1.8002997149758264</x:v>
      </x:c>
      <x:c r="AB876" s="78" t="n">
        <x:f>(IF(J876&gt;0,K876*(1-'Inputs'!$E$46)/2/J876,0)+G876+R876)*'Inputs'!$B$17</x:f>
        <x:v>262669.0613628492</x:v>
      </x:c>
      <x:c r="AC876" s="78" t="n">
        <x:f>AC875+AB876</x:f>
        <x:v>18373551.614583112</x:v>
      </x:c>
      <x:c r="AD876" s="80" t="n">
        <x:f>Z876/(1+'Inputs'!$C$46)</x:f>
        <x:v>2.694201649313475</x:v>
      </x:c>
      <x:c r="AE876" s="80" t="n">
        <x:f>Z876-AD876</x:f>
        <x:v>2.694201649313475</x:v>
      </x:c>
      <x:c r="AF876" s="80" t="n">
        <x:f>D876*W876</x:f>
        <x:v>1.9410915938345221</x:v>
      </x:c>
      <x:c r="AG876" s="80" t="n">
        <x:f>C876*W876</x:f>
        <x:v>4.529213718947151</x:v>
      </x:c>
      <x:c r="AH876" s="80" t="n">
        <x:f>2*'Inputs'!$B$8*'Inputs'!$C$46</x:f>
        <x:v>5000</x:v>
      </x:c>
      <x:c r="AI876" s="81" t="n">
        <x:f>IF(AH876&gt;0,(AE876+AF876)/AH876*365,0)</x:f>
        <x:v>0.3383764067498038</x:v>
      </x:c>
      <x:c r="AJ876" s="81" t="n">
        <x:f>IF('Inputs'!$B$46&gt;0,AG876/('Inputs'!$B$19*'Inputs'!$B$46)*365,0)</x:f>
        <x:v>0.16531630074157103</x:v>
      </x:c>
      <x:c r="AK876" s="81" t="n">
        <x:f>W876/MAX($W$734:W876)-1</x:f>
        <x:v>-0.9919266349379666</x:v>
      </x:c>
      <x:c r="AL876" s="83" t="n">
        <x:f>'Inputs'!$B$46</x:f>
        <x:v>1</x:v>
      </x:c>
      <x:c r="AM876" s="83" t="n">
        <x:f>'Inputs'!$C$46</x:f>
        <x:v>1</x:v>
      </x:c>
      <x:c r="AN876" s="83" t="n">
        <x:f>'Inputs'!$D$46</x:f>
        <x:v>1</x:v>
      </x:c>
      <x:c r="AO876" s="81" t="n">
        <x:f>'Inputs'!$E$46</x:f>
        <x:v>0</x:v>
      </x:c>
    </x:row>
    <x:row r="877">
      <x:c r="A877" s="59" t="str">
        <x:v>Base</x:v>
      </x:c>
      <x:c r="B877" s="59" t="n">
        <x:v>144</x:v>
      </x:c>
      <x:c r="C877" s="78" t="n">
        <x:f>(('Inputs'!$B$29*(3*144*'Inputs'!$B$12-144^2)/(2*'Inputs'!$B$12^2))-('Inputs'!$B$29*(3*143*'Inputs'!$B$12-143^2)/(2*'Inputs'!$B$12^2)))*'Inputs'!$B$46</x:f>
        <x:v>665333.3176956326</x:v>
      </x:c>
      <x:c r="D877" s="78" t="n">
        <x:f>IF('Inputs'!$C$46&gt;0,('Inputs'!$B$30*(3*144*'Inputs'!$B$12-144^2)/(2*'Inputs'!$B$12^2))-('Inputs'!$B$30*(3*143*'Inputs'!$B$12-143^2)/(2*'Inputs'!$B$12^2)),0)</x:f>
        <x:v>285142.85044098645</x:v>
      </x:c>
      <x:c r="E877" s="78" t="n">
        <x:f>C877+D877</x:f>
        <x:v>950476.168136619</x:v>
      </x:c>
      <x:c r="F877" s="78" t="n">
        <x:f>'Inputs'!$B$13*E877+(1-'Inputs'!$B$13)/'Inputs'!$B$14*SUM(E822:E877)</x:f>
        <x:v>960693.8449990635</x:v>
      </x:c>
      <x:c r="G877" s="78" t="n">
        <x:f>F877*'Inputs'!$F$46</x:f>
        <x:v>480346.92249953176</x:v>
      </x:c>
      <x:c r="H877" s="78" t="n">
        <x:f>U876</x:f>
        <x:v>65271327.82857778</x:v>
      </x:c>
      <x:c r="I877" s="78" t="n">
        <x:f>V876</x:f>
        <x:v>444.1133501622744</x:v>
      </x:c>
      <x:c r="J877" s="79" t="n">
        <x:f>IF(H877&gt;0,I877/H877,0)</x:f>
        <x:v>0.000006804110854442094</x:v>
      </x:c>
      <x:c r="K877" s="80" t="n">
        <x:f>(H877*J877+I877)*'Inputs'!$D$46*(1+'Inputs'!$G$46)^(B877/30)</x:f>
        <x:v>888.2267003245488</x:v>
      </x:c>
      <x:c r="L877" s="80" t="n">
        <x:f>MAX(0,K877*'Inputs'!$E$46)</x:f>
        <x:v>0</x:v>
      </x:c>
      <x:c r="M877" s="80" t="n">
        <x:f>MAX(0,-K877*'Inputs'!$E$46)</x:f>
        <x:v>0</x:v>
      </x:c>
      <x:c r="N877" s="78" t="n">
        <x:f>H877*(L877*(1-'Inputs'!$B$15))/(I877+L877*(1-'Inputs'!$B$15))</x:f>
        <x:v>0</x:v>
      </x:c>
      <x:c r="O877" s="78" t="n">
        <x:f>H877-N877</x:f>
        <x:v>65271327.82857778</x:v>
      </x:c>
      <x:c r="P877" s="78" t="n">
        <x:f>I877+L877*(1-'Inputs'!$B$17)</x:f>
        <x:v>444.1133501622744</x:v>
      </x:c>
      <x:c r="Q877" s="78" t="n">
        <x:f>IF(J877&gt;0,M877/J877,0)</x:f>
        <x:v>0</x:v>
      </x:c>
      <x:c r="R877" s="78" t="n">
        <x:f>IF(B877='Inputs'!$H$46,'Inputs'!$B$27*'Inputs'!$I$46,0)</x:f>
        <x:v>0</x:v>
      </x:c>
      <x:c r="S877" s="78" t="n">
        <x:f>Q877+G877+R877</x:f>
        <x:v>480346.92249953176</x:v>
      </x:c>
      <x:c r="T877" s="78" t="n">
        <x:f>P877*(S877*(1-'Inputs'!$B$15))/(O877+S877*(1-'Inputs'!$B$15))</x:f>
        <x:v>3.2122470934945655</x:v>
      </x:c>
      <x:c r="U877" s="78" t="n">
        <x:f>O877+S877*(1-'Inputs'!$B$17)</x:f>
        <x:v>65749741.76547369</x:v>
      </x:c>
      <x:c r="V877" s="78" t="n">
        <x:f>P877-T877</x:f>
        <x:v>440.90110306877983</x:v>
      </x:c>
      <x:c r="W877" s="79" t="n">
        <x:f>IF(U877&gt;0,V877/U877,0)</x:f>
        <x:v>0.000006705746535727149</x:v>
      </x:c>
      <x:c r="X877" s="80" t="n">
        <x:f>W877*('Inputs'!$B$6-AC877)</x:f>
        <x:v>6580.763853565494</x:v>
      </x:c>
      <x:c r="Y877" s="80" t="n">
        <x:f>2*V877</x:f>
        <x:v>881.8022061375597</x:v>
      </x:c>
      <x:c r="Z877" s="80" t="n">
        <x:f>K877*'Inputs'!$B$16+(G877+R877)*J877*'Inputs'!$B$16</x:f>
        <x:v>5.3489702042029545</x:v>
      </x:c>
      <x:c r="AA877" s="80" t="n">
        <x:f>K877*(1+'Inputs'!$E$46)/2*'Inputs'!$B$17</x:f>
        <x:v>1.787176459405531</x:v>
      </x:c>
      <x:c r="AB877" s="78" t="n">
        <x:f>(IF(J877&gt;0,K877*(1-'Inputs'!$E$46)/2/J877,0)+G877+R877)*'Inputs'!$B$17</x:f>
        <x:v>264594.2645918604</x:v>
      </x:c>
      <x:c r="AC877" s="78" t="n">
        <x:f>AC876+AB877</x:f>
        <x:v>18638145.879174974</x:v>
      </x:c>
      <x:c r="AD877" s="80" t="n">
        <x:f>Z877/(1+'Inputs'!$C$46)</x:f>
        <x:v>2.6744851021014773</x:v>
      </x:c>
      <x:c r="AE877" s="80" t="n">
        <x:f>Z877-AD877</x:f>
        <x:v>2.6744851021014773</x:v>
      </x:c>
      <x:c r="AF877" s="80" t="n">
        <x:f>D877*W877</x:f>
        <x:v>1.9120956815320094</x:v>
      </x:c>
      <x:c r="AG877" s="80" t="n">
        <x:f>C877*W877</x:f>
        <x:v>4.461556590241338</x:v>
      </x:c>
      <x:c r="AH877" s="80" t="n">
        <x:f>2*'Inputs'!$B$8*'Inputs'!$C$46</x:f>
        <x:v>5000</x:v>
      </x:c>
      <x:c r="AI877" s="81" t="n">
        <x:f>IF(AH877&gt;0,(AE877+AF877)/AH877*365,0)</x:f>
        <x:v>0.33482039720524454</x:v>
      </x:c>
      <x:c r="AJ877" s="81" t="n">
        <x:f>IF('Inputs'!$B$46&gt;0,AG877/('Inputs'!$B$19*'Inputs'!$B$46)*365,0)</x:f>
        <x:v>0.16284681554380884</x:v>
      </x:c>
      <x:c r="AK877" s="81" t="n">
        <x:f>W877/MAX($W$734:W877)-1</x:f>
        <x:v>-0.9920433483588753</x:v>
      </x:c>
      <x:c r="AL877" s="83" t="n">
        <x:f>'Inputs'!$B$46</x:f>
        <x:v>1</x:v>
      </x:c>
      <x:c r="AM877" s="83" t="n">
        <x:f>'Inputs'!$C$46</x:f>
        <x:v>1</x:v>
      </x:c>
      <x:c r="AN877" s="83" t="n">
        <x:f>'Inputs'!$D$46</x:f>
        <x:v>1</x:v>
      </x:c>
      <x:c r="AO877" s="81" t="n">
        <x:f>'Inputs'!$E$46</x:f>
        <x:v>0</x:v>
      </x:c>
    </x:row>
    <x:row r="878">
      <x:c r="A878" s="59" t="str">
        <x:v>Base</x:v>
      </x:c>
      <x:c r="B878" s="59" t="n">
        <x:v>145</x:v>
      </x:c>
      <x:c r="C878" s="78" t="n">
        <x:f>(('Inputs'!$B$29*(3*145*'Inputs'!$B$12-145^2)/(2*'Inputs'!$B$12^2))-('Inputs'!$B$29*(3*144*'Inputs'!$B$12-144^2)/(2*'Inputs'!$B$12^2)))*'Inputs'!$B$46</x:f>
        <x:v>665008.2097954601</x:v>
      </x:c>
      <x:c r="D878" s="78" t="n">
        <x:f>IF('Inputs'!$C$46&gt;0,('Inputs'!$B$30*(3*145*'Inputs'!$B$12-145^2)/(2*'Inputs'!$B$12^2))-('Inputs'!$B$30*(3*144*'Inputs'!$B$12-144^2)/(2*'Inputs'!$B$12^2)),0)</x:f>
        <x:v>285003.5184837654</x:v>
      </x:c>
      <x:c r="E878" s="78" t="n">
        <x:f>C878+D878</x:f>
        <x:v>950011.7282792255</x:v>
      </x:c>
      <x:c r="F878" s="78" t="n">
        <x:f>'Inputs'!$B$13*E878+(1-'Inputs'!$B$13)/'Inputs'!$B$14*SUM(E823:E878)</x:f>
        <x:v>960229.4051416776</x:v>
      </x:c>
      <x:c r="G878" s="78" t="n">
        <x:f>F878*'Inputs'!$F$46</x:f>
        <x:v>480114.7025708388</x:v>
      </x:c>
      <x:c r="H878" s="78" t="n">
        <x:f>U877</x:f>
        <x:v>65749741.76547369</x:v>
      </x:c>
      <x:c r="I878" s="78" t="n">
        <x:f>V877</x:f>
        <x:v>440.90110306877983</x:v>
      </x:c>
      <x:c r="J878" s="79" t="n">
        <x:f>IF(H878&gt;0,I878/H878,0)</x:f>
        <x:v>0.000006705746535727149</x:v>
      </x:c>
      <x:c r="K878" s="80" t="n">
        <x:f>(H878*J878+I878)*'Inputs'!$D$46*(1+'Inputs'!$G$46)^(B878/30)</x:f>
        <x:v>881.8022061375597</x:v>
      </x:c>
      <x:c r="L878" s="80" t="n">
        <x:f>MAX(0,K878*'Inputs'!$E$46)</x:f>
        <x:v>0</x:v>
      </x:c>
      <x:c r="M878" s="80" t="n">
        <x:f>MAX(0,-K878*'Inputs'!$E$46)</x:f>
        <x:v>0</x:v>
      </x:c>
      <x:c r="N878" s="78" t="n">
        <x:f>H878*(L878*(1-'Inputs'!$B$15))/(I878+L878*(1-'Inputs'!$B$15))</x:f>
        <x:v>0</x:v>
      </x:c>
      <x:c r="O878" s="78" t="n">
        <x:f>H878-N878</x:f>
        <x:v>65749741.76547369</x:v>
      </x:c>
      <x:c r="P878" s="78" t="n">
        <x:f>I878+L878*(1-'Inputs'!$B$17)</x:f>
        <x:v>440.90110306877983</x:v>
      </x:c>
      <x:c r="Q878" s="78" t="n">
        <x:f>IF(J878&gt;0,M878/J878,0)</x:f>
        <x:v>0</x:v>
      </x:c>
      <x:c r="R878" s="78" t="n">
        <x:f>IF(B878='Inputs'!$H$46,'Inputs'!$B$27*'Inputs'!$I$46,0)</x:f>
        <x:v>0</x:v>
      </x:c>
      <x:c r="S878" s="78" t="n">
        <x:f>Q878+G878+R878</x:f>
        <x:v>480114.7025708388</x:v>
      </x:c>
      <x:c r="T878" s="78" t="n">
        <x:f>P878*(S878*(1-'Inputs'!$B$15))/(O878+S878*(1-'Inputs'!$B$15))</x:f>
        <x:v>3.164455958965105</x:v>
      </x:c>
      <x:c r="U878" s="78" t="n">
        <x:f>O878+S878*(1-'Inputs'!$B$17)</x:f>
        <x:v>66227924.416927546</x:v>
      </x:c>
      <x:c r="V878" s="78" t="n">
        <x:f>P878-T878</x:f>
        <x:v>437.7366471098147</x:v>
      </x:c>
      <x:c r="W878" s="79" t="n">
        <x:f>IF(U878&gt;0,V878/U878,0)</x:f>
        <x:v>0.0000066095480262088855</x:v>
      </x:c>
      <x:c r="X878" s="80" t="n">
        <x:f>W878*('Inputs'!$B$6-AC878)</x:f>
        <x:v>6484.596738830188</x:v>
      </x:c>
      <x:c r="Y878" s="80" t="n">
        <x:f>2*V878</x:f>
        <x:v>875.4732942196295</x:v>
      </x:c>
      <x:c r="Z878" s="80" t="n">
        <x:f>K878*'Inputs'!$B$16+(G878+R878)*J878*'Inputs'!$B$16</x:f>
        <x:v>5.310130401846455</x:v>
      </x:c>
      <x:c r="AA878" s="80" t="n">
        <x:f>K878*(1+'Inputs'!$E$46)/2*'Inputs'!$B$17</x:f>
        <x:v>1.774249911745593</x:v>
      </x:c>
      <x:c r="AB878" s="78" t="n">
        <x:f>(IF(J878&gt;0,K878*(1-'Inputs'!$E$46)/2/J878,0)+G878+R878)*'Inputs'!$B$17</x:f>
        <x:v>266518.5370947466</x:v>
      </x:c>
      <x:c r="AC878" s="78" t="n">
        <x:f>AC877+AB878</x:f>
        <x:v>18904664.41626972</x:v>
      </x:c>
      <x:c r="AD878" s="80" t="n">
        <x:f>Z878/(1+'Inputs'!$C$46)</x:f>
        <x:v>2.6550652009232274</x:v>
      </x:c>
      <x:c r="AE878" s="80" t="n">
        <x:f>Z878-AD878</x:f>
        <x:v>2.6550652009232274</x:v>
      </x:c>
      <x:c r="AF878" s="80" t="n">
        <x:f>D878*W878</x:f>
        <x:v>1.8837444430569594</x:v>
      </x:c>
      <x:c r="AG878" s="80" t="n">
        <x:f>C878*W878</x:f>
        <x:v>4.395403700466288</x:v>
      </x:c>
      <x:c r="AH878" s="80" t="n">
        <x:f>2*'Inputs'!$B$8*'Inputs'!$C$46</x:f>
        <x:v>5000</x:v>
      </x:c>
      <x:c r="AI878" s="81" t="n">
        <x:f>IF(AH878&gt;0,(AE878+AF878)/AH878*365,0)</x:f>
        <x:v>0.33133310401055366</x:v>
      </x:c>
      <x:c r="AJ878" s="81" t="n">
        <x:f>IF('Inputs'!$B$46&gt;0,AG878/('Inputs'!$B$19*'Inputs'!$B$46)*365,0)</x:f>
        <x:v>0.16043223506701948</x:v>
      </x:c>
      <x:c r="AK878" s="81" t="n">
        <x:f>W878/MAX($W$734:W878)-1</x:f>
        <x:v>-0.9921574919556477</x:v>
      </x:c>
      <x:c r="AL878" s="83" t="n">
        <x:f>'Inputs'!$B$46</x:f>
        <x:v>1</x:v>
      </x:c>
      <x:c r="AM878" s="83" t="n">
        <x:f>'Inputs'!$C$46</x:f>
        <x:v>1</x:v>
      </x:c>
      <x:c r="AN878" s="83" t="n">
        <x:f>'Inputs'!$D$46</x:f>
        <x:v>1</x:v>
      </x:c>
      <x:c r="AO878" s="81" t="n">
        <x:f>'Inputs'!$E$46</x:f>
        <x:v>0</x:v>
      </x:c>
    </x:row>
    <x:row r="879">
      <x:c r="A879" s="59" t="str">
        <x:v>Base</x:v>
      </x:c>
      <x:c r="B879" s="59" t="n">
        <x:v>146</x:v>
      </x:c>
      <x:c r="C879" s="78" t="n">
        <x:f>(('Inputs'!$B$29*(3*146*'Inputs'!$B$12-146^2)/(2*'Inputs'!$B$12^2))-('Inputs'!$B$29*(3*145*'Inputs'!$B$12-145^2)/(2*'Inputs'!$B$12^2)))*'Inputs'!$B$46</x:f>
        <x:v>664683.1018952876</x:v>
      </x:c>
      <x:c r="D879" s="78" t="n">
        <x:f>IF('Inputs'!$C$46&gt;0,('Inputs'!$B$30*(3*146*'Inputs'!$B$12-146^2)/(2*'Inputs'!$B$12^2))-('Inputs'!$B$30*(3*145*'Inputs'!$B$12-145^2)/(2*'Inputs'!$B$12^2)),0)</x:f>
        <x:v>284864.18652655184</x:v>
      </x:c>
      <x:c r="E879" s="78" t="n">
        <x:f>C879+D879</x:f>
        <x:v>949547.2884218395</x:v>
      </x:c>
      <x:c r="F879" s="78" t="n">
        <x:f>'Inputs'!$B$13*E879+(1-'Inputs'!$B$13)/'Inputs'!$B$14*SUM(E824:E879)</x:f>
        <x:v>959764.9652842929</x:v>
      </x:c>
      <x:c r="G879" s="78" t="n">
        <x:f>F879*'Inputs'!$F$46</x:f>
        <x:v>479882.48264214647</x:v>
      </x:c>
      <x:c r="H879" s="78" t="n">
        <x:f>U878</x:f>
        <x:v>66227924.416927546</x:v>
      </x:c>
      <x:c r="I879" s="78" t="n">
        <x:f>V878</x:f>
        <x:v>437.7366471098147</x:v>
      </x:c>
      <x:c r="J879" s="79" t="n">
        <x:f>IF(H879&gt;0,I879/H879,0)</x:f>
        <x:v>0.0000066095480262088855</x:v>
      </x:c>
      <x:c r="K879" s="80" t="n">
        <x:f>(H879*J879+I879)*'Inputs'!$D$46*(1+'Inputs'!$G$46)^(B879/30)</x:f>
        <x:v>875.4732942196295</x:v>
      </x:c>
      <x:c r="L879" s="80" t="n">
        <x:f>MAX(0,K879*'Inputs'!$E$46)</x:f>
        <x:v>0</x:v>
      </x:c>
      <x:c r="M879" s="80" t="n">
        <x:f>MAX(0,-K879*'Inputs'!$E$46)</x:f>
        <x:v>0</x:v>
      </x:c>
      <x:c r="N879" s="78" t="n">
        <x:f>H879*(L879*(1-'Inputs'!$B$15))/(I879+L879*(1-'Inputs'!$B$15))</x:f>
        <x:v>0</x:v>
      </x:c>
      <x:c r="O879" s="78" t="n">
        <x:f>H879-N879</x:f>
        <x:v>66227924.416927546</x:v>
      </x:c>
      <x:c r="P879" s="78" t="n">
        <x:f>I879+L879*(1-'Inputs'!$B$17)</x:f>
        <x:v>437.7366471098147</x:v>
      </x:c>
      <x:c r="Q879" s="78" t="n">
        <x:f>IF(J879&gt;0,M879/J879,0)</x:f>
        <x:v>0</x:v>
      </x:c>
      <x:c r="R879" s="78" t="n">
        <x:f>IF(B879='Inputs'!$H$46,'Inputs'!$B$27*'Inputs'!$I$46,0)</x:f>
        <x:v>0</x:v>
      </x:c>
      <x:c r="S879" s="78" t="n">
        <x:f>Q879+G879+R879</x:f>
        <x:v>479882.48264214647</x:v>
      </x:c>
      <x:c r="T879" s="78" t="n">
        <x:f>P879*(S879*(1-'Inputs'!$B$15))/(O879+S879*(1-'Inputs'!$B$15))</x:f>
        <x:v>3.1177233751721234</x:v>
      </x:c>
      <x:c r="U879" s="78" t="n">
        <x:f>O879+S879*(1-'Inputs'!$B$17)</x:f>
        <x:v>66705875.782939345</x:v>
      </x:c>
      <x:c r="V879" s="78" t="n">
        <x:f>P879-T879</x:f>
        <x:v>434.6189237346426</x:v>
      </x:c>
      <x:c r="W879" s="79" t="n">
        <x:f>IF(U879&gt;0,V879/U879,0)</x:f>
        <x:v>0.000006515451879365032</x:v>
      </x:c>
      <x:c r="X879" s="80" t="n">
        <x:f>W879*('Inputs'!$B$6-AC879)</x:f>
        <x:v>6390.530427921089</x:v>
      </x:c>
      <x:c r="Y879" s="80" t="n">
        <x:f>2*V879</x:f>
        <x:v>869.2378474692852</x:v>
      </x:c>
      <x:c r="Z879" s="80" t="n">
        <x:f>K879*'Inputs'!$B$16+(G879+R879)*J879*'Inputs'!$B$16</x:f>
        <x:v>5.271870603213535</x:v>
      </x:c>
      <x:c r="AA879" s="80" t="n">
        <x:f>K879*(1+'Inputs'!$E$46)/2*'Inputs'!$B$17</x:f>
        <x:v>1.7615156825344658</x:v>
      </x:c>
      <x:c r="AB879" s="78" t="n">
        <x:f>(IF(J879&gt;0,K879*(1-'Inputs'!$E$46)/2/J879,0)+G879+R879)*'Inputs'!$B$17</x:f>
        <x:v>268441.8788715078</x:v>
      </x:c>
      <x:c r="AC879" s="78" t="n">
        <x:f>AC878+AB879</x:f>
        <x:v>19173106.295141228</x:v>
      </x:c>
      <x:c r="AD879" s="80" t="n">
        <x:f>Z879/(1+'Inputs'!$C$46)</x:f>
        <x:v>2.6359353016067675</x:v>
      </x:c>
      <x:c r="AE879" s="80" t="n">
        <x:f>Z879-AD879</x:f>
        <x:v>2.6359353016067675</x:v>
      </x:c>
      <x:c r="AF879" s="80" t="n">
        <x:f>D879*W879</x:f>
        <x:v>1.8560188994682134</x:v>
      </x:c>
      <x:c r="AG879" s="80" t="n">
        <x:f>C879*W879</x:f>
        <x:v>4.330710765425831</x:v>
      </x:c>
      <x:c r="AH879" s="80" t="n">
        <x:f>2*'Inputs'!$B$8*'Inputs'!$C$46</x:f>
        <x:v>5000</x:v>
      </x:c>
      <x:c r="AI879" s="81" t="n">
        <x:f>IF(AH879&gt;0,(AE879+AF879)/AH879*365,0)</x:f>
        <x:v>0.3279126566784736</x:v>
      </x:c>
      <x:c r="AJ879" s="81" t="n">
        <x:f>IF('Inputs'!$B$46&gt;0,AG879/('Inputs'!$B$19*'Inputs'!$B$46)*365,0)</x:f>
        <x:v>0.15807094293804283</x:v>
      </x:c>
      <x:c r="AK879" s="81" t="n">
        <x:f>W879/MAX($W$734:W879)-1</x:f>
        <x:v>-0.9922691410102638</x:v>
      </x:c>
      <x:c r="AL879" s="83" t="n">
        <x:f>'Inputs'!$B$46</x:f>
        <x:v>1</x:v>
      </x:c>
      <x:c r="AM879" s="83" t="n">
        <x:f>'Inputs'!$C$46</x:f>
        <x:v>1</x:v>
      </x:c>
      <x:c r="AN879" s="83" t="n">
        <x:f>'Inputs'!$D$46</x:f>
        <x:v>1</x:v>
      </x:c>
      <x:c r="AO879" s="81" t="n">
        <x:f>'Inputs'!$E$46</x:f>
        <x:v>0</x:v>
      </x:c>
    </x:row>
    <x:row r="880">
      <x:c r="A880" s="59" t="str">
        <x:v>Base</x:v>
      </x:c>
      <x:c r="B880" s="59" t="n">
        <x:v>147</x:v>
      </x:c>
      <x:c r="C880" s="78" t="n">
        <x:f>(('Inputs'!$B$29*(3*147*'Inputs'!$B$12-147^2)/(2*'Inputs'!$B$12^2))-('Inputs'!$B$29*(3*146*'Inputs'!$B$12-146^2)/(2*'Inputs'!$B$12^2)))*'Inputs'!$B$46</x:f>
        <x:v>664357.9939951152</x:v>
      </x:c>
      <x:c r="D880" s="78" t="n">
        <x:f>IF('Inputs'!$C$46&gt;0,('Inputs'!$B$30*(3*147*'Inputs'!$B$12-147^2)/(2*'Inputs'!$B$12^2))-('Inputs'!$B$30*(3*146*'Inputs'!$B$12-146^2)/(2*'Inputs'!$B$12^2)),0)</x:f>
        <x:v>284724.85456933826</x:v>
      </x:c>
      <x:c r="E880" s="78" t="n">
        <x:f>C880+D880</x:f>
        <x:v>949082.8485644534</x:v>
      </x:c>
      <x:c r="F880" s="78" t="n">
        <x:f>'Inputs'!$B$13*E880+(1-'Inputs'!$B$13)/'Inputs'!$B$14*SUM(E825:E880)</x:f>
        <x:v>959300.5254269083</x:v>
      </x:c>
      <x:c r="G880" s="78" t="n">
        <x:f>F880*'Inputs'!$F$46</x:f>
        <x:v>479650.26271345414</x:v>
      </x:c>
      <x:c r="H880" s="78" t="n">
        <x:f>U879</x:f>
        <x:v>66705875.782939345</x:v>
      </x:c>
      <x:c r="I880" s="78" t="n">
        <x:f>V879</x:f>
        <x:v>434.6189237346426</x:v>
      </x:c>
      <x:c r="J880" s="79" t="n">
        <x:f>IF(H880&gt;0,I880/H880,0)</x:f>
        <x:v>0.000006515451879365032</x:v>
      </x:c>
      <x:c r="K880" s="80" t="n">
        <x:f>(H880*J880+I880)*'Inputs'!$D$46*(1+'Inputs'!$G$46)^(B880/30)</x:f>
        <x:v>869.2378474692852</x:v>
      </x:c>
      <x:c r="L880" s="80" t="n">
        <x:f>MAX(0,K880*'Inputs'!$E$46)</x:f>
        <x:v>0</x:v>
      </x:c>
      <x:c r="M880" s="80" t="n">
        <x:f>MAX(0,-K880*'Inputs'!$E$46)</x:f>
        <x:v>0</x:v>
      </x:c>
      <x:c r="N880" s="78" t="n">
        <x:f>H880*(L880*(1-'Inputs'!$B$15))/(I880+L880*(1-'Inputs'!$B$15))</x:f>
        <x:v>0</x:v>
      </x:c>
      <x:c r="O880" s="78" t="n">
        <x:f>H880-N880</x:f>
        <x:v>66705875.782939345</x:v>
      </x:c>
      <x:c r="P880" s="78" t="n">
        <x:f>I880+L880*(1-'Inputs'!$B$17)</x:f>
        <x:v>434.6189237346426</x:v>
      </x:c>
      <x:c r="Q880" s="78" t="n">
        <x:f>IF(J880&gt;0,M880/J880,0)</x:f>
        <x:v>0</x:v>
      </x:c>
      <x:c r="R880" s="78" t="n">
        <x:f>IF(B880='Inputs'!$H$46,'Inputs'!$B$27*'Inputs'!$I$46,0)</x:f>
        <x:v>0</x:v>
      </x:c>
      <x:c r="S880" s="78" t="n">
        <x:f>Q880+G880+R880</x:f>
        <x:v>479650.26271345414</x:v>
      </x:c>
      <x:c r="T880" s="78" t="n">
        <x:f>P880*(S880*(1-'Inputs'!$B$15))/(O880+S880*(1-'Inputs'!$B$15))</x:f>
        <x:v>3.0720182936966887</x:v>
      </x:c>
      <x:c r="U880" s="78" t="n">
        <x:f>O880+S880*(1-'Inputs'!$B$17)</x:f>
        <x:v>67183595.86350909</x:v>
      </x:c>
      <x:c r="V880" s="78" t="n">
        <x:f>P880-T880</x:f>
        <x:v>431.54690544094586</x:v>
      </x:c>
      <x:c r="W880" s="79" t="n">
        <x:f>IF(U880&gt;0,V880/U880,0)</x:f>
        <x:v>0.000006423396960140109</x:v>
      </x:c>
      <x:c r="X880" s="80" t="n">
        <x:f>W880*('Inputs'!$B$6-AC880)</x:f>
        <x:v>6298.503830289439</x:v>
      </x:c>
      <x:c r="Y880" s="80" t="n">
        <x:f>2*V880</x:f>
        <x:v>863.0938108818917</x:v>
      </x:c>
      <x:c r="Z880" s="80" t="n">
        <x:f>K880*'Inputs'!$B$16+(G880+R880)*J880*'Inputs'!$B$16</x:f>
        <x:v>5.234177914049517</x:v>
      </x:c>
      <x:c r="AA880" s="80" t="n">
        <x:f>K880*(1+'Inputs'!$E$46)/2*'Inputs'!$B$17</x:f>
        <x:v>1.7489695120106343</x:v>
      </x:c>
      <x:c r="AB880" s="78" t="n">
        <x:f>(IF(J880&gt;0,K880*(1-'Inputs'!$E$46)/2/J880,0)+G880+R880)*'Inputs'!$B$17</x:f>
        <x:v>270364.28992214403</x:v>
      </x:c>
      <x:c r="AC880" s="78" t="n">
        <x:f>AC879+AB880</x:f>
        <x:v>19443470.58506337</x:v>
      </x:c>
      <x:c r="AD880" s="80" t="n">
        <x:f>Z880/(1+'Inputs'!$C$46)</x:f>
        <x:v>2.6170889570247584</x:v>
      </x:c>
      <x:c r="AE880" s="80" t="n">
        <x:f>Z880-AD880</x:f>
        <x:v>2.6170889570247584</x:v>
      </x:c>
      <x:c r="AF880" s="80" t="n">
        <x:f>D880*W880</x:f>
        <x:v>1.828900765317022</x:v>
      </x:c>
      <x:c r="AG880" s="80" t="n">
        <x:f>C880*W880</x:f>
        <x:v>4.267435119073004</x:v>
      </x:c>
      <x:c r="AH880" s="80" t="n">
        <x:f>2*'Inputs'!$B$8*'Inputs'!$C$46</x:f>
        <x:v>5000</x:v>
      </x:c>
      <x:c r="AI880" s="81" t="n">
        <x:f>IF(AH880&gt;0,(AE880+AF880)/AH880*365,0)</x:f>
        <x:v>0.32455724973094996</x:v>
      </x:c>
      <x:c r="AJ880" s="81" t="n">
        <x:f>IF('Inputs'!$B$46&gt;0,AG880/('Inputs'!$B$19*'Inputs'!$B$46)*365,0)</x:f>
        <x:v>0.15576138184616464</x:v>
      </x:c>
      <x:c r="AK880" s="81" t="n">
        <x:f>W880/MAX($W$734:W880)-1</x:f>
        <x:v>-0.9923783680620502</x:v>
      </x:c>
      <x:c r="AL880" s="83" t="n">
        <x:f>'Inputs'!$B$46</x:f>
        <x:v>1</x:v>
      </x:c>
      <x:c r="AM880" s="83" t="n">
        <x:f>'Inputs'!$C$46</x:f>
        <x:v>1</x:v>
      </x:c>
      <x:c r="AN880" s="83" t="n">
        <x:f>'Inputs'!$D$46</x:f>
        <x:v>1</x:v>
      </x:c>
      <x:c r="AO880" s="81" t="n">
        <x:f>'Inputs'!$E$46</x:f>
        <x:v>0</x:v>
      </x:c>
    </x:row>
    <x:row r="881">
      <x:c r="A881" s="59" t="str">
        <x:v>Base</x:v>
      </x:c>
      <x:c r="B881" s="59" t="n">
        <x:v>148</x:v>
      </x:c>
      <x:c r="C881" s="78" t="n">
        <x:f>(('Inputs'!$B$29*(3*148*'Inputs'!$B$12-148^2)/(2*'Inputs'!$B$12^2))-('Inputs'!$B$29*(3*147*'Inputs'!$B$12-147^2)/(2*'Inputs'!$B$12^2)))*'Inputs'!$B$46</x:f>
        <x:v>664032.8860949576</x:v>
      </x:c>
      <x:c r="D881" s="78" t="n">
        <x:f>IF('Inputs'!$C$46&gt;0,('Inputs'!$B$30*(3*148*'Inputs'!$B$12-148^2)/(2*'Inputs'!$B$12^2))-('Inputs'!$B$30*(3*147*'Inputs'!$B$12-147^2)/(2*'Inputs'!$B$12^2)),0)</x:f>
        <x:v>284585.5226121247</x:v>
      </x:c>
      <x:c r="E881" s="78" t="n">
        <x:f>C881+D881</x:f>
        <x:v>948618.4087070823</x:v>
      </x:c>
      <x:c r="F881" s="78" t="n">
        <x:f>'Inputs'!$B$13*E881+(1-'Inputs'!$B$13)/'Inputs'!$B$14*SUM(E826:E881)</x:f>
        <x:v>958836.0855695269</x:v>
      </x:c>
      <x:c r="G881" s="78" t="n">
        <x:f>F881*'Inputs'!$F$46</x:f>
        <x:v>479418.04278476344</x:v>
      </x:c>
      <x:c r="H881" s="78" t="n">
        <x:f>U880</x:f>
        <x:v>67183595.86350909</x:v>
      </x:c>
      <x:c r="I881" s="78" t="n">
        <x:f>V880</x:f>
        <x:v>431.54690544094586</x:v>
      </x:c>
      <x:c r="J881" s="79" t="n">
        <x:f>IF(H881&gt;0,I881/H881,0)</x:f>
        <x:v>0.000006423396960140109</x:v>
      </x:c>
      <x:c r="K881" s="80" t="n">
        <x:f>(H881*J881+I881)*'Inputs'!$D$46*(1+'Inputs'!$G$46)^(B881/30)</x:f>
        <x:v>863.0938108818917</x:v>
      </x:c>
      <x:c r="L881" s="80" t="n">
        <x:f>MAX(0,K881*'Inputs'!$E$46)</x:f>
        <x:v>0</x:v>
      </x:c>
      <x:c r="M881" s="80" t="n">
        <x:f>MAX(0,-K881*'Inputs'!$E$46)</x:f>
        <x:v>0</x:v>
      </x:c>
      <x:c r="N881" s="78" t="n">
        <x:f>H881*(L881*(1-'Inputs'!$B$15))/(I881+L881*(1-'Inputs'!$B$15))</x:f>
        <x:v>0</x:v>
      </x:c>
      <x:c r="O881" s="78" t="n">
        <x:f>H881-N881</x:f>
        <x:v>67183595.86350909</x:v>
      </x:c>
      <x:c r="P881" s="78" t="n">
        <x:f>I881+L881*(1-'Inputs'!$B$17)</x:f>
        <x:v>431.54690544094586</x:v>
      </x:c>
      <x:c r="Q881" s="78" t="n">
        <x:f>IF(J881&gt;0,M881/J881,0)</x:f>
        <x:v>0</x:v>
      </x:c>
      <x:c r="R881" s="78" t="n">
        <x:f>IF(B881='Inputs'!$H$46,'Inputs'!$B$27*'Inputs'!$I$46,0)</x:f>
        <x:v>0</x:v>
      </x:c>
      <x:c r="S881" s="78" t="n">
        <x:f>Q881+G881+R881</x:f>
        <x:v>479418.04278476344</x:v>
      </x:c>
      <x:c r="T881" s="78" t="n">
        <x:f>P881*(S881*(1-'Inputs'!$B$15))/(O881+S881*(1-'Inputs'!$B$15))</x:f>
        <x:v>3.0273107965069914</x:v>
      </x:c>
      <x:c r="U881" s="78" t="n">
        <x:f>O881+S881*(1-'Inputs'!$B$17)</x:f>
        <x:v>67661084.65863676</x:v>
      </x:c>
      <x:c r="V881" s="78" t="n">
        <x:f>P881-T881</x:f>
        <x:v>428.5195946444389</x:v>
      </x:c>
      <x:c r="W881" s="79" t="n">
        <x:f>IF(U881&gt;0,V881/U881,0)</x:f>
        <x:v>0.000006333324344509152</x:v>
      </x:c>
      <x:c r="X881" s="80" t="n">
        <x:f>W881*('Inputs'!$B$6-AC881)</x:f>
        <x:v>6208.458064813655</x:v>
      </x:c>
      <x:c r="Y881" s="80" t="n">
        <x:f>2*V881</x:f>
        <x:v>857.0391892888778</x:v>
      </x:c>
      <x:c r="Z881" s="80" t="n">
        <x:f>K881*'Inputs'!$B$16+(G881+R881)*J881*'Inputs'!$B$16</x:f>
        <x:v>5.197039819683311</x:v>
      </x:c>
      <x:c r="AA881" s="80" t="n">
        <x:f>K881*(1+'Inputs'!$E$46)/2*'Inputs'!$B$17</x:f>
        <x:v>1.736607265355919</x:v>
      </x:c>
      <x:c r="AB881" s="78" t="n">
        <x:f>(IF(J881&gt;0,K881*(1-'Inputs'!$E$46)/2/J881,0)+G881+R881)*'Inputs'!$B$17</x:f>
        <x:v>272285.7702466554</x:v>
      </x:c>
      <x:c r="AC881" s="78" t="n">
        <x:f>AC880+AB881</x:f>
        <x:v>19715756.355310027</x:v>
      </x:c>
      <x:c r="AD881" s="80" t="n">
        <x:f>Z881/(1+'Inputs'!$C$46)</x:f>
        <x:v>2.5985199098416554</x:v>
      </x:c>
      <x:c r="AE881" s="80" t="n">
        <x:f>Z881-AD881</x:f>
        <x:v>2.5985199098416554</x:v>
      </x:c>
      <x:c r="AF881" s="80" t="n">
        <x:f>D881*W881</x:f>
        <x:v>1.802372418454229</x:v>
      </x:c>
      <x:c r="AG881" s="80" t="n">
        <x:f>C881*W881</x:f>
        <x:v>4.205535643059868</x:v>
      </x:c>
      <x:c r="AH881" s="80" t="n">
        <x:f>2*'Inputs'!$B$8*'Inputs'!$C$46</x:f>
        <x:v>5000</x:v>
      </x:c>
      <x:c r="AI881" s="81" t="n">
        <x:f>IF(AH881&gt;0,(AE881+AF881)/AH881*365,0)</x:f>
        <x:v>0.3212651399655996</x:v>
      </x:c>
      <x:c r="AJ881" s="81" t="n">
        <x:f>IF('Inputs'!$B$46&gt;0,AG881/('Inputs'!$B$19*'Inputs'!$B$46)*365,0)</x:f>
        <x:v>0.15350205097168518</x:v>
      </x:c>
      <x:c r="AK881" s="81" t="n">
        <x:f>W881/MAX($W$734:W881)-1</x:f>
        <x:v>-0.9924852430268527</x:v>
      </x:c>
      <x:c r="AL881" s="83" t="n">
        <x:f>'Inputs'!$B$46</x:f>
        <x:v>1</x:v>
      </x:c>
      <x:c r="AM881" s="83" t="n">
        <x:f>'Inputs'!$C$46</x:f>
        <x:v>1</x:v>
      </x:c>
      <x:c r="AN881" s="83" t="n">
        <x:f>'Inputs'!$D$46</x:f>
        <x:v>1</x:v>
      </x:c>
      <x:c r="AO881" s="81" t="n">
        <x:f>'Inputs'!$E$46</x:f>
        <x:v>0</x:v>
      </x:c>
    </x:row>
    <x:row r="882">
      <x:c r="A882" s="59" t="str">
        <x:v>Base</x:v>
      </x:c>
      <x:c r="B882" s="59" t="n">
        <x:v>149</x:v>
      </x:c>
      <x:c r="C882" s="78" t="n">
        <x:f>(('Inputs'!$B$29*(3*149*'Inputs'!$B$12-149^2)/(2*'Inputs'!$B$12^2))-('Inputs'!$B$29*(3*148*'Inputs'!$B$12-148^2)/(2*'Inputs'!$B$12^2)))*'Inputs'!$B$46</x:f>
        <x:v>663707.7781947851</x:v>
      </x:c>
      <x:c r="D882" s="78" t="n">
        <x:f>IF('Inputs'!$C$46&gt;0,('Inputs'!$B$30*(3*149*'Inputs'!$B$12-149^2)/(2*'Inputs'!$B$12^2))-('Inputs'!$B$30*(3*148*'Inputs'!$B$12-148^2)/(2*'Inputs'!$B$12^2)),0)</x:f>
        <x:v>284446.19065490365</x:v>
      </x:c>
      <x:c r="E882" s="78" t="n">
        <x:f>C882+D882</x:f>
        <x:v>948153.9688496888</x:v>
      </x:c>
      <x:c r="F882" s="78" t="n">
        <x:f>'Inputs'!$B$13*E882+(1-'Inputs'!$B$13)/'Inputs'!$B$14*SUM(E827:E882)</x:f>
        <x:v>958371.645712141</x:v>
      </x:c>
      <x:c r="G882" s="78" t="n">
        <x:f>F882*'Inputs'!$F$46</x:f>
        <x:v>479185.8228560705</x:v>
      </x:c>
      <x:c r="H882" s="78" t="n">
        <x:f>U881</x:f>
        <x:v>67661084.65863676</x:v>
      </x:c>
      <x:c r="I882" s="78" t="n">
        <x:f>V881</x:f>
        <x:v>428.5195946444389</x:v>
      </x:c>
      <x:c r="J882" s="79" t="n">
        <x:f>IF(H882&gt;0,I882/H882,0)</x:f>
        <x:v>0.000006333324344509152</x:v>
      </x:c>
      <x:c r="K882" s="80" t="n">
        <x:f>(H882*J882+I882)*'Inputs'!$D$46*(1+'Inputs'!$G$46)^(B882/30)</x:f>
        <x:v>857.0391892888778</x:v>
      </x:c>
      <x:c r="L882" s="80" t="n">
        <x:f>MAX(0,K882*'Inputs'!$E$46)</x:f>
        <x:v>0</x:v>
      </x:c>
      <x:c r="M882" s="80" t="n">
        <x:f>MAX(0,-K882*'Inputs'!$E$46)</x:f>
        <x:v>0</x:v>
      </x:c>
      <x:c r="N882" s="78" t="n">
        <x:f>H882*(L882*(1-'Inputs'!$B$15))/(I882+L882*(1-'Inputs'!$B$15))</x:f>
        <x:v>0</x:v>
      </x:c>
      <x:c r="O882" s="78" t="n">
        <x:f>H882-N882</x:f>
        <x:v>67661084.65863676</x:v>
      </x:c>
      <x:c r="P882" s="78" t="n">
        <x:f>I882+L882*(1-'Inputs'!$B$17)</x:f>
        <x:v>428.5195946444389</x:v>
      </x:c>
      <x:c r="Q882" s="78" t="n">
        <x:f>IF(J882&gt;0,M882/J882,0)</x:f>
        <x:v>0</x:v>
      </x:c>
      <x:c r="R882" s="78" t="n">
        <x:f>IF(B882='Inputs'!$H$46,'Inputs'!$B$27*'Inputs'!$I$46,0)</x:f>
        <x:v>0</x:v>
      </x:c>
      <x:c r="S882" s="78" t="n">
        <x:f>Q882+G882+R882</x:f>
        <x:v>479185.8228560705</x:v>
      </x:c>
      <x:c r="T882" s="78" t="n">
        <x:f>P882*(S882*(1-'Inputs'!$B$15))/(O882+S882*(1-'Inputs'!$B$15))</x:f>
        <x:v>2.9835720469209144</x:v>
      </x:c>
      <x:c r="U882" s="78" t="n">
        <x:f>O882+S882*(1-'Inputs'!$B$17)</x:f>
        <x:v>68138342.16832238</x:v>
      </x:c>
      <x:c r="V882" s="78" t="n">
        <x:f>P882-T882</x:f>
        <x:v>425.53602259751796</x:v>
      </x:c>
      <x:c r="W882" s="79" t="n">
        <x:f>IF(U882&gt;0,V882/U882,0)</x:f>
        <x:v>0.0000062451772240996826</x:v>
      </x:c>
      <x:c r="X882" s="80" t="n">
        <x:f>W882*('Inputs'!$B$6-AC882)</x:f>
        <x:v>6120.336364490202</x:v>
      </x:c>
      <x:c r="Y882" s="80" t="n">
        <x:f>2*V882</x:f>
        <x:v>851.0720451950359</x:v>
      </x:c>
      <x:c r="Z882" s="80" t="n">
        <x:f>K882*'Inputs'!$B$16+(G882+R882)*J882*'Inputs'!$B$16</x:f>
        <x:v>5.160444171157895</x:v>
      </x:c>
      <x:c r="AA882" s="80" t="n">
        <x:f>K882*(1+'Inputs'!$E$46)/2*'Inputs'!$B$17</x:f>
        <x:v>1.7244249281466355</x:v>
      </x:c>
      <x:c r="AB882" s="78" t="n">
        <x:f>(IF(J882&gt;0,K882*(1-'Inputs'!$E$46)/2/J882,0)+G882+R882)*'Inputs'!$B$17</x:f>
        <x:v>274206.3198450416</x:v>
      </x:c>
      <x:c r="AC882" s="78" t="n">
        <x:f>AC881+AB882</x:f>
        <x:v>19989962.67515507</x:v>
      </x:c>
      <x:c r="AD882" s="80" t="n">
        <x:f>Z882/(1+'Inputs'!$C$46)</x:f>
        <x:v>2.5802220855789475</x:v>
      </x:c>
      <x:c r="AE882" s="80" t="n">
        <x:f>Z882-AD882</x:f>
        <x:v>2.5802220855789475</x:v>
      </x:c>
      <x:c r="AF882" s="80" t="n">
        <x:f>D882*W882</x:f>
        <x:v>1.7764168713599202</x:v>
      </x:c>
      <x:c r="AG882" s="80" t="n">
        <x:f>C882*W882</x:f>
        <x:v>4.144972699839876</x:v>
      </x:c>
      <x:c r="AH882" s="80" t="n">
        <x:f>2*'Inputs'!$B$8*'Inputs'!$C$46</x:f>
        <x:v>5000</x:v>
      </x:c>
      <x:c r="AI882" s="81" t="n">
        <x:f>IF(AH882&gt;0,(AE882+AF882)/AH882*365,0)</x:f>
        <x:v>0.31803464385653735</x:v>
      </x:c>
      <x:c r="AJ882" s="81" t="n">
        <x:f>IF('Inputs'!$B$46&gt;0,AG882/('Inputs'!$B$19*'Inputs'!$B$46)*365,0)</x:f>
        <x:v>0.15129150354415546</x:v>
      </x:c>
      <x:c r="AK882" s="81" t="n">
        <x:f>W882/MAX($W$734:W882)-1</x:f>
        <x:v>-0.9925898333102059</x:v>
      </x:c>
      <x:c r="AL882" s="83" t="n">
        <x:f>'Inputs'!$B$46</x:f>
        <x:v>1</x:v>
      </x:c>
      <x:c r="AM882" s="83" t="n">
        <x:f>'Inputs'!$C$46</x:f>
        <x:v>1</x:v>
      </x:c>
      <x:c r="AN882" s="83" t="n">
        <x:f>'Inputs'!$D$46</x:f>
        <x:v>1</x:v>
      </x:c>
      <x:c r="AO882" s="81" t="n">
        <x:f>'Inputs'!$E$46</x:f>
        <x:v>0</x:v>
      </x:c>
    </x:row>
    <x:row r="883">
      <x:c r="A883" s="59" t="str">
        <x:v>Base</x:v>
      </x:c>
      <x:c r="B883" s="59" t="n">
        <x:v>150</x:v>
      </x:c>
      <x:c r="C883" s="78" t="n">
        <x:f>(('Inputs'!$B$29*(3*150*'Inputs'!$B$12-150^2)/(2*'Inputs'!$B$12^2))-('Inputs'!$B$29*(3*149*'Inputs'!$B$12-149^2)/(2*'Inputs'!$B$12^2)))*'Inputs'!$B$46</x:f>
        <x:v>663382.6702946126</x:v>
      </x:c>
      <x:c r="D883" s="78" t="n">
        <x:f>IF('Inputs'!$C$46&gt;0,('Inputs'!$B$30*(3*150*'Inputs'!$B$12-150^2)/(2*'Inputs'!$B$12^2))-('Inputs'!$B$30*(3*149*'Inputs'!$B$12-149^2)/(2*'Inputs'!$B$12^2)),0)</x:f>
        <x:v>284306.85869769007</x:v>
      </x:c>
      <x:c r="E883" s="78" t="n">
        <x:f>C883+D883</x:f>
        <x:v>947689.5289923027</x:v>
      </x:c>
      <x:c r="F883" s="78" t="n">
        <x:f>'Inputs'!$B$13*E883+(1-'Inputs'!$B$13)/'Inputs'!$B$14*SUM(E828:E883)</x:f>
        <x:v>957907.2058547564</x:v>
      </x:c>
      <x:c r="G883" s="78" t="n">
        <x:f>F883*'Inputs'!$F$46</x:f>
        <x:v>478953.6029273782</x:v>
      </x:c>
      <x:c r="H883" s="78" t="n">
        <x:f>U882</x:f>
        <x:v>68138342.16832238</x:v>
      </x:c>
      <x:c r="I883" s="78" t="n">
        <x:f>V882</x:f>
        <x:v>425.53602259751796</x:v>
      </x:c>
      <x:c r="J883" s="79" t="n">
        <x:f>IF(H883&gt;0,I883/H883,0)</x:f>
        <x:v>0.0000062451772240996826</x:v>
      </x:c>
      <x:c r="K883" s="80" t="n">
        <x:f>(H883*J883+I883)*'Inputs'!$D$46*(1+'Inputs'!$G$46)^(B883/30)</x:f>
        <x:v>851.0720451950359</x:v>
      </x:c>
      <x:c r="L883" s="80" t="n">
        <x:f>MAX(0,K883*'Inputs'!$E$46)</x:f>
        <x:v>0</x:v>
      </x:c>
      <x:c r="M883" s="80" t="n">
        <x:f>MAX(0,-K883*'Inputs'!$E$46)</x:f>
        <x:v>0</x:v>
      </x:c>
      <x:c r="N883" s="78" t="n">
        <x:f>H883*(L883*(1-'Inputs'!$B$15))/(I883+L883*(1-'Inputs'!$B$15))</x:f>
        <x:v>0</x:v>
      </x:c>
      <x:c r="O883" s="78" t="n">
        <x:f>H883-N883</x:f>
        <x:v>68138342.16832238</x:v>
      </x:c>
      <x:c r="P883" s="78" t="n">
        <x:f>I883+L883*(1-'Inputs'!$B$17)</x:f>
        <x:v>425.53602259751796</x:v>
      </x:c>
      <x:c r="Q883" s="78" t="n">
        <x:f>IF(J883&gt;0,M883/J883,0)</x:f>
        <x:v>0</x:v>
      </x:c>
      <x:c r="R883" s="78" t="n">
        <x:f>IF(B883='Inputs'!$H$46,'Inputs'!$B$27*'Inputs'!$I$46,0)</x:f>
        <x:v>0</x:v>
      </x:c>
      <x:c r="S883" s="78" t="n">
        <x:f>Q883+G883+R883</x:f>
        <x:v>478953.6029273782</x:v>
      </x:c>
      <x:c r="T883" s="78" t="n">
        <x:f>P883*(S883*(1-'Inputs'!$B$15))/(O883+S883*(1-'Inputs'!$B$15))</x:f>
        <x:v>2.9407742430330766</x:v>
      </x:c>
      <x:c r="U883" s="78" t="n">
        <x:f>O883+S883*(1-'Inputs'!$B$17)</x:f>
        <x:v>68615368.39256595</x:v>
      </x:c>
      <x:c r="V883" s="78" t="n">
        <x:f>P883-T883</x:f>
        <x:v>422.59524835448485</x:v>
      </x:c>
      <x:c r="W883" s="79" t="n">
        <x:f>IF(U883&gt;0,V883/U883,0)</x:f>
        <x:v>0.000006158900815582744</x:v>
      </x:c>
      <x:c r="X883" s="80" t="n">
        <x:f>W883*('Inputs'!$B$6-AC883)</x:f>
        <x:v>6034.083985890093</x:v>
      </x:c>
      <x:c r="Y883" s="80" t="n">
        <x:f>2*V883</x:f>
        <x:v>845.1904967089697</x:v>
      </x:c>
      <x:c r="Z883" s="80" t="n">
        <x:f>K883*'Inputs'!$B$16+(G883+R883)*J883*'Inputs'!$B$16</x:f>
        <x:v>5.124379171964631</x:v>
      </x:c>
      <x:c r="AA883" s="80" t="n">
        <x:f>K883*(1+'Inputs'!$E$46)/2*'Inputs'!$B$17</x:f>
        <x:v>1.7124186020020844</x:v>
      </x:c>
      <x:c r="AB883" s="78" t="n">
        <x:f>(IF(J883&gt;0,K883*(1-'Inputs'!$E$46)/2/J883,0)+G883+R883)*'Inputs'!$B$17</x:f>
        <x:v>276125.93871730287</x:v>
      </x:c>
      <x:c r="AC883" s="78" t="n">
        <x:f>AC882+AB883</x:f>
        <x:v>20266088.61387237</x:v>
      </x:c>
      <x:c r="AD883" s="80" t="n">
        <x:f>Z883/(1+'Inputs'!$C$46)</x:f>
        <x:v>2.5621895859823156</x:v>
      </x:c>
      <x:c r="AE883" s="80" t="n">
        <x:f>Z883-AD883</x:f>
        <x:v>2.5621895859823156</x:v>
      </x:c>
      <x:c r="AF883" s="80" t="n">
        <x:f>D883*W883</x:f>
        <x:v>1.7510177439089714</x:v>
      </x:c>
      <x:c r="AG883" s="80" t="n">
        <x:f>C883*W883</x:f>
        <x:v>4.085708069120948</x:v>
      </x:c>
      <x:c r="AH883" s="80" t="n">
        <x:f>2*'Inputs'!$B$8*'Inputs'!$C$46</x:f>
        <x:v>5000</x:v>
      </x:c>
      <x:c r="AI883" s="81" t="n">
        <x:f>IF(AH883&gt;0,(AE883+AF883)/AH883*365,0)</x:f>
        <x:v>0.31486413508206396</x:v>
      </x:c>
      <x:c r="AJ883" s="81" t="n">
        <x:f>IF('Inputs'!$B$46&gt;0,AG883/('Inputs'!$B$19*'Inputs'!$B$46)*365,0)</x:f>
        <x:v>0.14912834452291462</x:v>
      </x:c>
      <x:c r="AK883" s="81" t="n">
        <x:f>W883/MAX($W$734:W883)-1</x:f>
        <x:v>-0.9926922039148447</x:v>
      </x:c>
      <x:c r="AL883" s="83" t="n">
        <x:f>'Inputs'!$B$46</x:f>
        <x:v>1</x:v>
      </x:c>
      <x:c r="AM883" s="83" t="n">
        <x:f>'Inputs'!$C$46</x:f>
        <x:v>1</x:v>
      </x:c>
      <x:c r="AN883" s="83" t="n">
        <x:f>'Inputs'!$D$46</x:f>
        <x:v>1</x:v>
      </x:c>
      <x:c r="AO883" s="81" t="n">
        <x:f>'Inputs'!$E$46</x:f>
        <x:v>0</x:v>
      </x:c>
    </x:row>
    <x:row r="884">
      <x:c r="A884" s="59" t="str">
        <x:v>Base</x:v>
      </x:c>
      <x:c r="B884" s="59" t="n">
        <x:v>151</x:v>
      </x:c>
      <x:c r="C884" s="78" t="n">
        <x:f>(('Inputs'!$B$29*(3*151*'Inputs'!$B$12-151^2)/(2*'Inputs'!$B$12^2))-('Inputs'!$B$29*(3*150*'Inputs'!$B$12-150^2)/(2*'Inputs'!$B$12^2)))*'Inputs'!$B$46</x:f>
        <x:v>663057.5623944402</x:v>
      </x:c>
      <x:c r="D884" s="78" t="n">
        <x:f>IF('Inputs'!$C$46&gt;0,('Inputs'!$B$30*(3*151*'Inputs'!$B$12-151^2)/(2*'Inputs'!$B$12^2))-('Inputs'!$B$30*(3*150*'Inputs'!$B$12-150^2)/(2*'Inputs'!$B$12^2)),0)</x:f>
        <x:v>284167.5267404765</x:v>
      </x:c>
      <x:c r="E884" s="78" t="n">
        <x:f>C884+D884</x:f>
        <x:v>947225.0891349167</x:v>
      </x:c>
      <x:c r="F884" s="78" t="n">
        <x:f>'Inputs'!$B$13*E884+(1-'Inputs'!$B$13)/'Inputs'!$B$14*SUM(E829:E884)</x:f>
        <x:v>957442.7659973718</x:v>
      </x:c>
      <x:c r="G884" s="78" t="n">
        <x:f>F884*'Inputs'!$F$46</x:f>
        <x:v>478721.3829986859</x:v>
      </x:c>
      <x:c r="H884" s="78" t="n">
        <x:f>U883</x:f>
        <x:v>68615368.39256595</x:v>
      </x:c>
      <x:c r="I884" s="78" t="n">
        <x:f>V883</x:f>
        <x:v>422.59524835448485</x:v>
      </x:c>
      <x:c r="J884" s="79" t="n">
        <x:f>IF(H884&gt;0,I884/H884,0)</x:f>
        <x:v>0.000006158900815582744</x:v>
      </x:c>
      <x:c r="K884" s="80" t="n">
        <x:f>(H884*J884+I884)*'Inputs'!$D$46*(1+'Inputs'!$G$46)^(B884/30)</x:f>
        <x:v>845.1904967089697</x:v>
      </x:c>
      <x:c r="L884" s="80" t="n">
        <x:f>MAX(0,K884*'Inputs'!$E$46)</x:f>
        <x:v>0</x:v>
      </x:c>
      <x:c r="M884" s="80" t="n">
        <x:f>MAX(0,-K884*'Inputs'!$E$46)</x:f>
        <x:v>0</x:v>
      </x:c>
      <x:c r="N884" s="78" t="n">
        <x:f>H884*(L884*(1-'Inputs'!$B$15))/(I884+L884*(1-'Inputs'!$B$15))</x:f>
        <x:v>0</x:v>
      </x:c>
      <x:c r="O884" s="78" t="n">
        <x:f>H884-N884</x:f>
        <x:v>68615368.39256595</x:v>
      </x:c>
      <x:c r="P884" s="78" t="n">
        <x:f>I884+L884*(1-'Inputs'!$B$17)</x:f>
        <x:v>422.59524835448485</x:v>
      </x:c>
      <x:c r="Q884" s="78" t="n">
        <x:f>IF(J884&gt;0,M884/J884,0)</x:f>
        <x:v>0</x:v>
      </x:c>
      <x:c r="R884" s="78" t="n">
        <x:f>IF(B884='Inputs'!$H$46,'Inputs'!$B$27*'Inputs'!$I$46,0)</x:f>
        <x:v>0</x:v>
      </x:c>
      <x:c r="S884" s="78" t="n">
        <x:f>Q884+G884+R884</x:f>
        <x:v>478721.3829986859</x:v>
      </x:c>
      <x:c r="T884" s="78" t="n">
        <x:f>P884*(S884*(1-'Inputs'!$B$15))/(O884+S884*(1-'Inputs'!$B$15))</x:f>
        <x:v>2.8988905734655637</x:v>
      </x:c>
      <x:c r="U884" s="78" t="n">
        <x:f>O884+S884*(1-'Inputs'!$B$17)</x:f>
        <x:v>69092163.33136746</x:v>
      </x:c>
      <x:c r="V884" s="78" t="n">
        <x:f>P884-T884</x:f>
        <x:v>419.6963577810193</x:v>
      </x:c>
      <x:c r="W884" s="79" t="n">
        <x:f>IF(U884&gt;0,V884/U884,0)</x:f>
        <x:v>0.000006074442274562265</x:v>
      </x:c>
      <x:c r="X884" s="80" t="n">
        <x:f>W884*('Inputs'!$B$6-AC884)</x:f>
        <x:v>5949.6481231105</x:v>
      </x:c>
      <x:c r="Y884" s="80" t="n">
        <x:f>2*V884</x:f>
        <x:v>839.3927155620386</x:v>
      </x:c>
      <x:c r="Z884" s="80" t="n">
        <x:f>K884*'Inputs'!$B$16+(G884+R884)*J884*'Inputs'!$B$16</x:f>
        <x:v>5.088833365350943</x:v>
      </x:c>
      <x:c r="AA884" s="80" t="n">
        <x:f>K884*(1+'Inputs'!$E$46)/2*'Inputs'!$B$17</x:f>
        <x:v>1.7005845004204623</x:v>
      </x:c>
      <x:c r="AB884" s="78" t="n">
        <x:f>(IF(J884&gt;0,K884*(1-'Inputs'!$E$46)/2/J884,0)+G884+R884)*'Inputs'!$B$17</x:f>
        <x:v>278044.6268634392</x:v>
      </x:c>
      <x:c r="AC884" s="78" t="n">
        <x:f>AC883+AB884</x:f>
        <x:v>20544133.24073581</x:v>
      </x:c>
      <x:c r="AD884" s="80" t="n">
        <x:f>Z884/(1+'Inputs'!$C$46)</x:f>
        <x:v>2.5444166826754717</x:v>
      </x:c>
      <x:c r="AE884" s="80" t="n">
        <x:f>Z884-AD884</x:f>
        <x:v>2.5444166826754717</x:v>
      </x:c>
      <x:c r="AF884" s="80" t="n">
        <x:f>D884*W884</x:f>
        <x:v>1.7261592374901533</x:v>
      </x:c>
      <x:c r="AG884" s="80" t="n">
        <x:f>C884*W884</x:f>
        <x:v>4.027704887476994</x:v>
      </x:c>
      <x:c r="AH884" s="80" t="n">
        <x:f>2*'Inputs'!$B$8*'Inputs'!$C$46</x:f>
        <x:v>5000</x:v>
      </x:c>
      <x:c r="AI884" s="81" t="n">
        <x:f>IF(AH884&gt;0,(AE884+AF884)/AH884*365,0)</x:f>
        <x:v>0.31175204217209057</x:v>
      </x:c>
      <x:c r="AJ884" s="81" t="n">
        <x:f>IF('Inputs'!$B$46&gt;0,AG884/('Inputs'!$B$19*'Inputs'!$B$46)*365,0)</x:f>
        <x:v>0.14701122839291028</x:v>
      </x:c>
      <x:c r="AK884" s="81" t="n">
        <x:f>W884/MAX($W$734:W884)-1</x:f>
        <x:v>-0.9927924175428781</x:v>
      </x:c>
      <x:c r="AL884" s="83" t="n">
        <x:f>'Inputs'!$B$46</x:f>
        <x:v>1</x:v>
      </x:c>
      <x:c r="AM884" s="83" t="n">
        <x:f>'Inputs'!$C$46</x:f>
        <x:v>1</x:v>
      </x:c>
      <x:c r="AN884" s="83" t="n">
        <x:f>'Inputs'!$D$46</x:f>
        <x:v>1</x:v>
      </x:c>
      <x:c r="AO884" s="81" t="n">
        <x:f>'Inputs'!$E$46</x:f>
        <x:v>0</x:v>
      </x:c>
    </x:row>
    <x:row r="885">
      <x:c r="A885" s="59" t="str">
        <x:v>Base</x:v>
      </x:c>
      <x:c r="B885" s="59" t="n">
        <x:v>152</x:v>
      </x:c>
      <x:c r="C885" s="78" t="n">
        <x:f>(('Inputs'!$B$29*(3*152*'Inputs'!$B$12-152^2)/(2*'Inputs'!$B$12^2))-('Inputs'!$B$29*(3*151*'Inputs'!$B$12-151^2)/(2*'Inputs'!$B$12^2)))*'Inputs'!$B$46</x:f>
        <x:v>662732.4544942826</x:v>
      </x:c>
      <x:c r="D885" s="78" t="n">
        <x:f>IF('Inputs'!$C$46&gt;0,('Inputs'!$B$30*(3*152*'Inputs'!$B$12-152^2)/(2*'Inputs'!$B$12^2))-('Inputs'!$B$30*(3*151*'Inputs'!$B$12-151^2)/(2*'Inputs'!$B$12^2)),0)</x:f>
        <x:v>284028.1947832629</x:v>
      </x:c>
      <x:c r="E885" s="78" t="n">
        <x:f>C885+D885</x:f>
        <x:v>946760.6492775455</x:v>
      </x:c>
      <x:c r="F885" s="78" t="n">
        <x:f>'Inputs'!$B$13*E885+(1-'Inputs'!$B$13)/'Inputs'!$B$14*SUM(E830:E885)</x:f>
        <x:v>956978.3261399904</x:v>
      </x:c>
      <x:c r="G885" s="78" t="n">
        <x:f>F885*'Inputs'!$F$46</x:f>
        <x:v>478489.1630699952</x:v>
      </x:c>
      <x:c r="H885" s="78" t="n">
        <x:f>U884</x:f>
        <x:v>69092163.33136746</x:v>
      </x:c>
      <x:c r="I885" s="78" t="n">
        <x:f>V884</x:f>
        <x:v>419.6963577810193</x:v>
      </x:c>
      <x:c r="J885" s="79" t="n">
        <x:f>IF(H885&gt;0,I885/H885,0)</x:f>
        <x:v>0.000006074442274562265</x:v>
      </x:c>
      <x:c r="K885" s="80" t="n">
        <x:f>(H885*J885+I885)*'Inputs'!$D$46*(1+'Inputs'!$G$46)^(B885/30)</x:f>
        <x:v>839.3927155620386</x:v>
      </x:c>
      <x:c r="L885" s="80" t="n">
        <x:f>MAX(0,K885*'Inputs'!$E$46)</x:f>
        <x:v>0</x:v>
      </x:c>
      <x:c r="M885" s="80" t="n">
        <x:f>MAX(0,-K885*'Inputs'!$E$46)</x:f>
        <x:v>0</x:v>
      </x:c>
      <x:c r="N885" s="78" t="n">
        <x:f>H885*(L885*(1-'Inputs'!$B$15))/(I885+L885*(1-'Inputs'!$B$15))</x:f>
        <x:v>0</x:v>
      </x:c>
      <x:c r="O885" s="78" t="n">
        <x:f>H885-N885</x:f>
        <x:v>69092163.33136746</x:v>
      </x:c>
      <x:c r="P885" s="78" t="n">
        <x:f>I885+L885*(1-'Inputs'!$B$17)</x:f>
        <x:v>419.6963577810193</x:v>
      </x:c>
      <x:c r="Q885" s="78" t="n">
        <x:f>IF(J885&gt;0,M885/J885,0)</x:f>
        <x:v>0</x:v>
      </x:c>
      <x:c r="R885" s="78" t="n">
        <x:f>IF(B885='Inputs'!$H$46,'Inputs'!$B$27*'Inputs'!$I$46,0)</x:f>
        <x:v>0</x:v>
      </x:c>
      <x:c r="S885" s="78" t="n">
        <x:f>Q885+G885+R885</x:f>
        <x:v>478489.1630699952</x:v>
      </x:c>
      <x:c r="T885" s="78" t="n">
        <x:f>P885*(S885*(1-'Inputs'!$B$15))/(O885+S885*(1-'Inputs'!$B$15))</x:f>
        <x:v>2.857895175310975</x:v>
      </x:c>
      <x:c r="U885" s="78" t="n">
        <x:f>O885+S885*(1-'Inputs'!$B$17)</x:f>
        <x:v>69568726.98472692</x:v>
      </x:c>
      <x:c r="V885" s="78" t="n">
        <x:f>P885-T885</x:f>
        <x:v>416.8384626057083</x:v>
      </x:c>
      <x:c r="W885" s="79" t="n">
        <x:f>IF(U885&gt;0,V885/U885,0)</x:f>
        <x:v>0.000005991750613709243</x:v>
      </x:c>
      <x:c r="X885" s="80" t="n">
        <x:f>W885*('Inputs'!$B$6-AC885)</x:f>
        <x:v>5866.977825968093</x:v>
      </x:c>
      <x:c r="Y885" s="80" t="n">
        <x:f>2*V885</x:f>
        <x:v>833.6769252114166</x:v>
      </x:c>
      <x:c r="Z885" s="80" t="n">
        <x:f>K885*'Inputs'!$B$16+(G885+R885)*J885*'Inputs'!$B$16</x:f>
        <x:v>5.053795622172665</x:v>
      </x:c>
      <x:c r="AA885" s="80" t="n">
        <x:f>K885*(1+'Inputs'!$E$46)/2*'Inputs'!$B$17</x:f>
        <x:v>1.6889189447928343</x:v>
      </x:c>
      <x:c r="AB885" s="78" t="n">
        <x:f>(IF(J885&gt;0,K885*(1-'Inputs'!$E$46)/2/J885,0)+G885+R885)*'Inputs'!$B$17</x:f>
        <x:v>279962.38428345055</x:v>
      </x:c>
      <x:c r="AC885" s="78" t="n">
        <x:f>AC884+AB885</x:f>
        <x:v>20824095.62501926</x:v>
      </x:c>
      <x:c r="AD885" s="80" t="n">
        <x:f>Z885/(1+'Inputs'!$C$46)</x:f>
        <x:v>2.5268978110863327</x:v>
      </x:c>
      <x:c r="AE885" s="80" t="n">
        <x:f>Z885-AD885</x:f>
        <x:v>2.5268978110863327</x:v>
      </x:c>
      <x:c r="AF885" s="80" t="n">
        <x:f>D885*W885</x:f>
        <x:v>1.7018261104033439</x:v>
      </x:c>
      <x:c r="AG885" s="80" t="n">
        <x:f>C885*W885</x:f>
        <x:v>3.9709275909411508</x:v>
      </x:c>
      <x:c r="AH885" s="80" t="n">
        <x:f>2*'Inputs'!$B$8*'Inputs'!$C$46</x:f>
        <x:v>5000</x:v>
      </x:c>
      <x:c r="AI885" s="81" t="n">
        <x:f>IF(AH885&gt;0,(AE885+AF885)/AH885*365,0)</x:f>
        <x:v>0.3086968462687464</x:v>
      </x:c>
      <x:c r="AJ885" s="81" t="n">
        <x:f>IF('Inputs'!$B$46&gt;0,AG885/('Inputs'!$B$19*'Inputs'!$B$46)*365,0)</x:f>
        <x:v>0.144938857069352</x:v>
      </x:c>
      <x:c r="AK885" s="81" t="n">
        <x:f>W885/MAX($W$734:W885)-1</x:f>
        <x:v>-0.9928905346929267</x:v>
      </x:c>
      <x:c r="AL885" s="83" t="n">
        <x:f>'Inputs'!$B$46</x:f>
        <x:v>1</x:v>
      </x:c>
      <x:c r="AM885" s="83" t="n">
        <x:f>'Inputs'!$C$46</x:f>
        <x:v>1</x:v>
      </x:c>
      <x:c r="AN885" s="83" t="n">
        <x:f>'Inputs'!$D$46</x:f>
        <x:v>1</x:v>
      </x:c>
      <x:c r="AO885" s="81" t="n">
        <x:f>'Inputs'!$E$46</x:f>
        <x:v>0</x:v>
      </x:c>
    </x:row>
    <x:row r="886">
      <x:c r="A886" s="59" t="str">
        <x:v>Base</x:v>
      </x:c>
      <x:c r="B886" s="59" t="n">
        <x:v>153</x:v>
      </x:c>
      <x:c r="C886" s="78" t="n">
        <x:f>(('Inputs'!$B$29*(3*153*'Inputs'!$B$12-153^2)/(2*'Inputs'!$B$12^2))-('Inputs'!$B$29*(3*152*'Inputs'!$B$12-152^2)/(2*'Inputs'!$B$12^2)))*'Inputs'!$B$46</x:f>
        <x:v>662407.3465941101</x:v>
      </x:c>
      <x:c r="D886" s="78" t="n">
        <x:f>IF('Inputs'!$C$46&gt;0,('Inputs'!$B$30*(3*153*'Inputs'!$B$12-153^2)/(2*'Inputs'!$B$12^2))-('Inputs'!$B$30*(3*152*'Inputs'!$B$12-152^2)/(2*'Inputs'!$B$12^2)),0)</x:f>
        <x:v>283888.8628260493</x:v>
      </x:c>
      <x:c r="E886" s="78" t="n">
        <x:f>C886+D886</x:f>
        <x:v>946296.2094201595</x:v>
      </x:c>
      <x:c r="F886" s="78" t="n">
        <x:f>'Inputs'!$B$13*E886+(1-'Inputs'!$B$13)/'Inputs'!$B$14*SUM(E831:E886)</x:f>
        <x:v>956513.8862826059</x:v>
      </x:c>
      <x:c r="G886" s="78" t="n">
        <x:f>F886*'Inputs'!$F$46</x:f>
        <x:v>478256.94314130297</x:v>
      </x:c>
      <x:c r="H886" s="78" t="n">
        <x:f>U885</x:f>
        <x:v>69568726.98472692</x:v>
      </x:c>
      <x:c r="I886" s="78" t="n">
        <x:f>V885</x:f>
        <x:v>416.8384626057083</x:v>
      </x:c>
      <x:c r="J886" s="79" t="n">
        <x:f>IF(H886&gt;0,I886/H886,0)</x:f>
        <x:v>0.000005991750613709243</x:v>
      </x:c>
      <x:c r="K886" s="80" t="n">
        <x:f>(H886*J886+I886)*'Inputs'!$D$46*(1+'Inputs'!$G$46)^(B886/30)</x:f>
        <x:v>833.6769252114166</x:v>
      </x:c>
      <x:c r="L886" s="80" t="n">
        <x:f>MAX(0,K886*'Inputs'!$E$46)</x:f>
        <x:v>0</x:v>
      </x:c>
      <x:c r="M886" s="80" t="n">
        <x:f>MAX(0,-K886*'Inputs'!$E$46)</x:f>
        <x:v>0</x:v>
      </x:c>
      <x:c r="N886" s="78" t="n">
        <x:f>H886*(L886*(1-'Inputs'!$B$15))/(I886+L886*(1-'Inputs'!$B$15))</x:f>
        <x:v>0</x:v>
      </x:c>
      <x:c r="O886" s="78" t="n">
        <x:f>H886-N886</x:f>
        <x:v>69568726.98472692</x:v>
      </x:c>
      <x:c r="P886" s="78" t="n">
        <x:f>I886+L886*(1-'Inputs'!$B$17)</x:f>
        <x:v>416.8384626057083</x:v>
      </x:c>
      <x:c r="Q886" s="78" t="n">
        <x:f>IF(J886&gt;0,M886/J886,0)</x:f>
        <x:v>0</x:v>
      </x:c>
      <x:c r="R886" s="78" t="n">
        <x:f>IF(B886='Inputs'!$H$46,'Inputs'!$B$27*'Inputs'!$I$46,0)</x:f>
        <x:v>0</x:v>
      </x:c>
      <x:c r="S886" s="78" t="n">
        <x:f>Q886+G886+R886</x:f>
        <x:v>478256.94314130297</x:v>
      </x:c>
      <x:c r="T886" s="78" t="n">
        <x:f>P886*(S886*(1-'Inputs'!$B$15))/(O886+S886*(1-'Inputs'!$B$15))</x:f>
        <x:v>2.8177630941443588</x:v>
      </x:c>
      <x:c r="U886" s="78" t="n">
        <x:f>O886+S886*(1-'Inputs'!$B$17)</x:f>
        <x:v>70045059.35264431</x:v>
      </x:c>
      <x:c r="V886" s="78" t="n">
        <x:f>P886-T886</x:f>
        <x:v>414.0206995115639</x:v>
      </x:c>
      <x:c r="W886" s="79" t="n">
        <x:f>IF(U886&gt;0,V886/U886,0)</x:f>
        <x:v>0.000005910776624903152</x:v>
      </x:c>
      <x:c r="X886" s="80" t="n">
        <x:f>W886*('Inputs'!$B$6-AC886)</x:f>
        <x:v>5786.0239221967495</x:v>
      </x:c>
      <x:c r="Y886" s="80" t="n">
        <x:f>2*V886</x:f>
        <x:v>828.0413990231278</x:v>
      </x:c>
      <x:c r="Z886" s="80" t="n">
        <x:f>K886*'Inputs'!$B$16+(G886+R886)*J886*'Inputs'!$B$16</x:f>
        <x:v>5.019255129263965</x:v>
      </x:c>
      <x:c r="AA886" s="80" t="n">
        <x:f>K886*(1+'Inputs'!$E$46)/2*'Inputs'!$B$17</x:f>
        <x:v>1.6774183605863513</x:v>
      </x:c>
      <x:c r="AB886" s="78" t="n">
        <x:f>(IF(J886&gt;0,K886*(1-'Inputs'!$E$46)/2/J886,0)+G886+R886)*'Inputs'!$B$17</x:f>
        <x:v>281879.2109773369</x:v>
      </x:c>
      <x:c r="AC886" s="78" t="n">
        <x:f>AC885+AB886</x:f>
        <x:v>21105974.835996598</x:v>
      </x:c>
      <x:c r="AD886" s="80" t="n">
        <x:f>Z886/(1+'Inputs'!$C$46)</x:f>
        <x:v>2.5096275646319826</x:v>
      </x:c>
      <x:c r="AE886" s="80" t="n">
        <x:f>Z886-AD886</x:f>
        <x:v>2.5096275646319826</x:v>
      </x:c>
      <x:c r="AF886" s="80" t="n">
        <x:f>D886*W886</x:f>
        <x:v>1.6780036544625498</x:v>
      </x:c>
      <x:c r="AG886" s="80" t="n">
        <x:f>C886*W886</x:f>
        <x:v>3.915341860412587</x:v>
      </x:c>
      <x:c r="AH886" s="80" t="n">
        <x:f>2*'Inputs'!$B$8*'Inputs'!$C$46</x:f>
        <x:v>5000</x:v>
      </x:c>
      <x:c r="AI886" s="81" t="n">
        <x:f>IF(AH886&gt;0,(AE886+AF886)/AH886*365,0)</x:f>
        <x:v>0.30569707899390086</x:v>
      </x:c>
      <x:c r="AJ886" s="81" t="n">
        <x:f>IF('Inputs'!$B$46&gt;0,AG886/('Inputs'!$B$19*'Inputs'!$B$46)*365,0)</x:f>
        <x:v>0.14290997790505944</x:v>
      </x:c>
      <x:c r="AK886" s="81" t="n">
        <x:f>W886/MAX($W$734:W886)-1</x:f>
        <x:v>-0.9929866137525049</x:v>
      </x:c>
      <x:c r="AL886" s="83" t="n">
        <x:f>'Inputs'!$B$46</x:f>
        <x:v>1</x:v>
      </x:c>
      <x:c r="AM886" s="83" t="n">
        <x:f>'Inputs'!$C$46</x:f>
        <x:v>1</x:v>
      </x:c>
      <x:c r="AN886" s="83" t="n">
        <x:f>'Inputs'!$D$46</x:f>
        <x:v>1</x:v>
      </x:c>
      <x:c r="AO886" s="81" t="n">
        <x:f>'Inputs'!$E$46</x:f>
        <x:v>0</x:v>
      </x:c>
    </x:row>
    <x:row r="887">
      <x:c r="A887" s="59" t="str">
        <x:v>Base</x:v>
      </x:c>
      <x:c r="B887" s="59" t="n">
        <x:v>154</x:v>
      </x:c>
      <x:c r="C887" s="78" t="n">
        <x:f>(('Inputs'!$B$29*(3*154*'Inputs'!$B$12-154^2)/(2*'Inputs'!$B$12^2))-('Inputs'!$B$29*(3*153*'Inputs'!$B$12-153^2)/(2*'Inputs'!$B$12^2)))*'Inputs'!$B$46</x:f>
        <x:v>662082.2386939377</x:v>
      </x:c>
      <x:c r="D887" s="78" t="n">
        <x:f>IF('Inputs'!$C$46&gt;0,('Inputs'!$B$30*(3*154*'Inputs'!$B$12-154^2)/(2*'Inputs'!$B$12^2))-('Inputs'!$B$30*(3*153*'Inputs'!$B$12-153^2)/(2*'Inputs'!$B$12^2)),0)</x:f>
        <x:v>283749.5308688283</x:v>
      </x:c>
      <x:c r="E887" s="78" t="n">
        <x:f>C887+D887</x:f>
        <x:v>945831.769562766</x:v>
      </x:c>
      <x:c r="F887" s="78" t="n">
        <x:f>'Inputs'!$B$13*E887+(1-'Inputs'!$B$13)/'Inputs'!$B$14*SUM(E832:E887)</x:f>
        <x:v>956049.4464252198</x:v>
      </x:c>
      <x:c r="G887" s="78" t="n">
        <x:f>F887*'Inputs'!$F$46</x:f>
        <x:v>478024.7232126099</x:v>
      </x:c>
      <x:c r="H887" s="78" t="n">
        <x:f>U886</x:f>
        <x:v>70045059.35264431</x:v>
      </x:c>
      <x:c r="I887" s="78" t="n">
        <x:f>V886</x:f>
        <x:v>414.0206995115639</x:v>
      </x:c>
      <x:c r="J887" s="79" t="n">
        <x:f>IF(H887&gt;0,I887/H887,0)</x:f>
        <x:v>0.000005910776624903152</x:v>
      </x:c>
      <x:c r="K887" s="80" t="n">
        <x:f>(H887*J887+I887)*'Inputs'!$D$46*(1+'Inputs'!$G$46)^(B887/30)</x:f>
        <x:v>828.0413990231278</x:v>
      </x:c>
      <x:c r="L887" s="80" t="n">
        <x:f>MAX(0,K887*'Inputs'!$E$46)</x:f>
        <x:v>0</x:v>
      </x:c>
      <x:c r="M887" s="80" t="n">
        <x:f>MAX(0,-K887*'Inputs'!$E$46)</x:f>
        <x:v>0</x:v>
      </x:c>
      <x:c r="N887" s="78" t="n">
        <x:f>H887*(L887*(1-'Inputs'!$B$15))/(I887+L887*(1-'Inputs'!$B$15))</x:f>
        <x:v>0</x:v>
      </x:c>
      <x:c r="O887" s="78" t="n">
        <x:f>H887-N887</x:f>
        <x:v>70045059.35264431</x:v>
      </x:c>
      <x:c r="P887" s="78" t="n">
        <x:f>I887+L887*(1-'Inputs'!$B$17)</x:f>
        <x:v>414.0206995115639</x:v>
      </x:c>
      <x:c r="Q887" s="78" t="n">
        <x:f>IF(J887&gt;0,M887/J887,0)</x:f>
        <x:v>0</x:v>
      </x:c>
      <x:c r="R887" s="78" t="n">
        <x:f>IF(B887='Inputs'!$H$46,'Inputs'!$B$27*'Inputs'!$I$46,0)</x:f>
        <x:v>0</x:v>
      </x:c>
      <x:c r="S887" s="78" t="n">
        <x:f>Q887+G887+R887</x:f>
        <x:v>478024.7232126099</x:v>
      </x:c>
      <x:c r="T887" s="78" t="n">
        <x:f>P887*(S887*(1-'Inputs'!$B$15))/(O887+S887*(1-'Inputs'!$B$15))</x:f>
        <x:v>2.7784702459886765</x:v>
      </x:c>
      <x:c r="U887" s="78" t="n">
        <x:f>O887+S887*(1-'Inputs'!$B$17)</x:f>
        <x:v>70521160.43511964</x:v>
      </x:c>
      <x:c r="V887" s="78" t="n">
        <x:f>P887-T887</x:f>
        <x:v>411.24222926557525</x:v>
      </x:c>
      <x:c r="W887" s="79" t="n">
        <x:f>IF(U887&gt;0,V887/U887,0)</x:f>
        <x:v>0.000005831472805157869</x:v>
      </x:c>
      <x:c r="X887" s="80" t="n">
        <x:f>W887*('Inputs'!$B$6-AC887)</x:f>
        <x:v>5706.738943427021</x:v>
      </x:c>
      <x:c r="Y887" s="80" t="n">
        <x:f>2*V887</x:f>
        <x:v>822.4844585311505</x:v>
      </x:c>
      <x:c r="Z887" s="80" t="n">
        <x:f>K887*'Inputs'!$B$16+(G887+R887)*J887*'Inputs'!$B$16</x:f>
        <x:v>4.985201378299313</x:v>
      </x:c>
      <x:c r="AA887" s="80" t="n">
        <x:f>K887*(1+'Inputs'!$E$46)/2*'Inputs'!$B$17</x:f>
        <x:v>1.666079273688386</x:v>
      </x:c>
      <x:c r="AB887" s="78" t="n">
        <x:f>(IF(J887&gt;0,K887*(1-'Inputs'!$E$46)/2/J887,0)+G887+R887)*'Inputs'!$B$17</x:f>
        <x:v>283795.1069450983</x:v>
      </x:c>
      <x:c r="AC887" s="78" t="n">
        <x:f>AC886+AB887</x:f>
        <x:v>21389769.942941695</x:v>
      </x:c>
      <x:c r="AD887" s="80" t="n">
        <x:f>Z887/(1+'Inputs'!$C$46)</x:f>
        <x:v>2.4926006891496564</x:v>
      </x:c>
      <x:c r="AE887" s="80" t="n">
        <x:f>Z887-AD887</x:f>
        <x:v>2.4926006891496564</x:v>
      </x:c>
      <x:c r="AF887" s="80" t="n">
        <x:f>D887*W887</x:f>
        <x:v>1.6546776727378754</x:v>
      </x:c>
      <x:c r="AG887" s="80" t="n">
        <x:f>C887*W887</x:f>
        <x:v>3.8609145697217384</x:v>
      </x:c>
      <x:c r="AH887" s="80" t="n">
        <x:f>2*'Inputs'!$B$8*'Inputs'!$C$46</x:f>
        <x:v>5000</x:v>
      </x:c>
      <x:c r="AI887" s="81" t="n">
        <x:f>IF(AH887&gt;0,(AE887+AF887)/AH887*365,0)</x:f>
        <x:v>0.3027513204177898</x:v>
      </x:c>
      <x:c r="AJ887" s="81" t="n">
        <x:f>IF('Inputs'!$B$46&gt;0,AG887/('Inputs'!$B$19*'Inputs'!$B$46)*365,0)</x:f>
        <x:v>0.14092338179484346</x:v>
      </x:c>
      <x:c r="AK887" s="81" t="n">
        <x:f>W887/MAX($W$734:W887)-1</x:f>
        <x:v>-0.9930807110859131</x:v>
      </x:c>
      <x:c r="AL887" s="83" t="n">
        <x:f>'Inputs'!$B$46</x:f>
        <x:v>1</x:v>
      </x:c>
      <x:c r="AM887" s="83" t="n">
        <x:f>'Inputs'!$C$46</x:f>
        <x:v>1</x:v>
      </x:c>
      <x:c r="AN887" s="83" t="n">
        <x:f>'Inputs'!$D$46</x:f>
        <x:v>1</x:v>
      </x:c>
      <x:c r="AO887" s="81" t="n">
        <x:f>'Inputs'!$E$46</x:f>
        <x:v>0</x:v>
      </x:c>
    </x:row>
    <x:row r="888">
      <x:c r="A888" s="59" t="str">
        <x:v>Base</x:v>
      </x:c>
      <x:c r="B888" s="59" t="n">
        <x:v>155</x:v>
      </x:c>
      <x:c r="C888" s="78" t="n">
        <x:f>(('Inputs'!$B$29*(3*155*'Inputs'!$B$12-155^2)/(2*'Inputs'!$B$12^2))-('Inputs'!$B$29*(3*154*'Inputs'!$B$12-154^2)/(2*'Inputs'!$B$12^2)))*'Inputs'!$B$46</x:f>
        <x:v>661757.1307937652</x:v>
      </x:c>
      <x:c r="D888" s="78" t="n">
        <x:f>IF('Inputs'!$C$46&gt;0,('Inputs'!$B$30*(3*155*'Inputs'!$B$12-155^2)/(2*'Inputs'!$B$12^2))-('Inputs'!$B$30*(3*154*'Inputs'!$B$12-154^2)/(2*'Inputs'!$B$12^2)),0)</x:f>
        <x:v>283610.1989116147</x:v>
      </x:c>
      <x:c r="E888" s="78" t="n">
        <x:f>C888+D888</x:f>
        <x:v>945367.3297053799</x:v>
      </x:c>
      <x:c r="F888" s="78" t="n">
        <x:f>'Inputs'!$B$13*E888+(1-'Inputs'!$B$13)/'Inputs'!$B$14*SUM(E833:E888)</x:f>
        <x:v>955585.0065678353</x:v>
      </x:c>
      <x:c r="G888" s="78" t="n">
        <x:f>F888*'Inputs'!$F$46</x:f>
        <x:v>477792.5032839177</x:v>
      </x:c>
      <x:c r="H888" s="78" t="n">
        <x:f>U887</x:f>
        <x:v>70521160.43511964</x:v>
      </x:c>
      <x:c r="I888" s="78" t="n">
        <x:f>V887</x:f>
        <x:v>411.24222926557525</x:v>
      </x:c>
      <x:c r="J888" s="79" t="n">
        <x:f>IF(H888&gt;0,I888/H888,0)</x:f>
        <x:v>0.000005831472805157869</x:v>
      </x:c>
      <x:c r="K888" s="80" t="n">
        <x:f>(H888*J888+I888)*'Inputs'!$D$46*(1+'Inputs'!$G$46)^(B888/30)</x:f>
        <x:v>822.4844585311505</x:v>
      </x:c>
      <x:c r="L888" s="80" t="n">
        <x:f>MAX(0,K888*'Inputs'!$E$46)</x:f>
        <x:v>0</x:v>
      </x:c>
      <x:c r="M888" s="80" t="n">
        <x:f>MAX(0,-K888*'Inputs'!$E$46)</x:f>
        <x:v>0</x:v>
      </x:c>
      <x:c r="N888" s="78" t="n">
        <x:f>H888*(L888*(1-'Inputs'!$B$15))/(I888+L888*(1-'Inputs'!$B$15))</x:f>
        <x:v>0</x:v>
      </x:c>
      <x:c r="O888" s="78" t="n">
        <x:f>H888-N888</x:f>
        <x:v>70521160.43511964</x:v>
      </x:c>
      <x:c r="P888" s="78" t="n">
        <x:f>I888+L888*(1-'Inputs'!$B$17)</x:f>
        <x:v>411.24222926557525</x:v>
      </x:c>
      <x:c r="Q888" s="78" t="n">
        <x:f>IF(J888&gt;0,M888/J888,0)</x:f>
        <x:v>0</x:v>
      </x:c>
      <x:c r="R888" s="78" t="n">
        <x:f>IF(B888='Inputs'!$H$46,'Inputs'!$B$27*'Inputs'!$I$46,0)</x:f>
        <x:v>0</x:v>
      </x:c>
      <x:c r="S888" s="78" t="n">
        <x:f>Q888+G888+R888</x:f>
        <x:v>477792.5032839177</x:v>
      </x:c>
      <x:c r="T888" s="78" t="n">
        <x:f>P888*(S888*(1-'Inputs'!$B$15))/(O888+S888*(1-'Inputs'!$B$15))</x:f>
        <x:v>2.7399933811253345</x:v>
      </x:c>
      <x:c r="U888" s="78" t="n">
        <x:f>O888+S888*(1-'Inputs'!$B$17)</x:f>
        <x:v>70997030.23215292</x:v>
      </x:c>
      <x:c r="V888" s="78" t="n">
        <x:f>P888-T888</x:f>
        <x:v>408.50223588444993</x:v>
      </x:c>
      <x:c r="W888" s="79" t="n">
        <x:f>IF(U888&gt;0,V888/U888,0)</x:f>
        <x:v>0.000005753793286123236</x:v>
      </x:c>
      <x:c r="X888" s="80" t="n">
        <x:f>W888*('Inputs'!$B$6-AC888)</x:f>
        <x:v>5629.077054738692</x:v>
      </x:c>
      <x:c r="Y888" s="80" t="n">
        <x:f>2*V888</x:f>
        <x:v>817.0044717688999</x:v>
      </x:c>
      <x:c r="Z888" s="80" t="n">
        <x:f>K888*'Inputs'!$B$16+(G888+R888)*J888*'Inputs'!$B$16</x:f>
        <x:v>4.951624155123353</x:v>
      </x:c>
      <x:c r="AA888" s="80" t="n">
        <x:f>K888*(1+'Inputs'!$E$46)/2*'Inputs'!$B$17</x:f>
        <x:v>1.6548983069037235</x:v>
      </x:c>
      <x:c r="AB888" s="78" t="n">
        <x:f>(IF(J888&gt;0,K888*(1-'Inputs'!$E$46)/2/J888,0)+G888+R888)*'Inputs'!$B$17</x:f>
        <x:v>285710.0721867347</x:v>
      </x:c>
      <x:c r="AC888" s="78" t="n">
        <x:f>AC887+AB888</x:f>
        <x:v>21675480.01512843</x:v>
      </x:c>
      <x:c r="AD888" s="80" t="n">
        <x:f>Z888/(1+'Inputs'!$C$46)</x:f>
        <x:v>2.4758120775616765</x:v>
      </x:c>
      <x:c r="AE888" s="80" t="n">
        <x:f>Z888-AD888</x:f>
        <x:v>2.4758120775616765</x:v>
      </x:c>
      <x:c r="AF888" s="80" t="n">
        <x:f>D888*W888</x:f>
        <x:v>1.6318344583737243</x:v>
      </x:c>
      <x:c r="AG888" s="80" t="n">
        <x:f>C888*W888</x:f>
        <x:v>3.8076137362053424</x:v>
      </x:c>
      <x:c r="AH888" s="80" t="n">
        <x:f>2*'Inputs'!$B$8*'Inputs'!$C$46</x:f>
        <x:v>5000</x:v>
      </x:c>
      <x:c r="AI888" s="81" t="n">
        <x:f>IF(AH888&gt;0,(AE888+AF888)/AH888*365,0)</x:f>
        <x:v>0.29985819712328426</x:v>
      </x:c>
      <x:c r="AJ888" s="81" t="n">
        <x:f>IF('Inputs'!$B$46&gt;0,AG888/('Inputs'!$B$19*'Inputs'!$B$46)*365,0)</x:f>
        <x:v>0.138977901371495</x:v>
      </x:c>
      <x:c r="AK888" s="81" t="n">
        <x:f>W888/MAX($W$734:W888)-1</x:f>
        <x:v>-0.9931728811178873</x:v>
      </x:c>
      <x:c r="AL888" s="83" t="n">
        <x:f>'Inputs'!$B$46</x:f>
        <x:v>1</x:v>
      </x:c>
      <x:c r="AM888" s="83" t="n">
        <x:f>'Inputs'!$C$46</x:f>
        <x:v>1</x:v>
      </x:c>
      <x:c r="AN888" s="83" t="n">
        <x:f>'Inputs'!$D$46</x:f>
        <x:v>1</x:v>
      </x:c>
      <x:c r="AO888" s="81" t="n">
        <x:f>'Inputs'!$E$46</x:f>
        <x:v>0</x:v>
      </x:c>
    </x:row>
    <x:row r="889">
      <x:c r="A889" s="59" t="str">
        <x:v>Base</x:v>
      </x:c>
      <x:c r="B889" s="59" t="n">
        <x:v>156</x:v>
      </x:c>
      <x:c r="C889" s="78" t="n">
        <x:f>(('Inputs'!$B$29*(3*156*'Inputs'!$B$12-156^2)/(2*'Inputs'!$B$12^2))-('Inputs'!$B$29*(3*155*'Inputs'!$B$12-155^2)/(2*'Inputs'!$B$12^2)))*'Inputs'!$B$46</x:f>
        <x:v>661432.0228936076</x:v>
      </x:c>
      <x:c r="D889" s="78" t="n">
        <x:f>IF('Inputs'!$C$46&gt;0,('Inputs'!$B$30*(3*156*'Inputs'!$B$12-156^2)/(2*'Inputs'!$B$12^2))-('Inputs'!$B$30*(3*155*'Inputs'!$B$12-155^2)/(2*'Inputs'!$B$12^2)),0)</x:f>
        <x:v>283470.86695440114</x:v>
      </x:c>
      <x:c r="E889" s="78" t="n">
        <x:f>C889+D889</x:f>
        <x:v>944902.8898480088</x:v>
      </x:c>
      <x:c r="F889" s="78" t="n">
        <x:f>'Inputs'!$B$13*E889+(1-'Inputs'!$B$13)/'Inputs'!$B$14*SUM(E834:E889)</x:f>
        <x:v>955120.5667104537</x:v>
      </x:c>
      <x:c r="G889" s="78" t="n">
        <x:f>F889*'Inputs'!$F$46</x:f>
        <x:v>477560.28335522686</x:v>
      </x:c>
      <x:c r="H889" s="78" t="n">
        <x:f>U888</x:f>
        <x:v>70997030.23215292</x:v>
      </x:c>
      <x:c r="I889" s="78" t="n">
        <x:f>V888</x:f>
        <x:v>408.50223588444993</x:v>
      </x:c>
      <x:c r="J889" s="79" t="n">
        <x:f>IF(H889&gt;0,I889/H889,0)</x:f>
        <x:v>0.000005753793286123236</x:v>
      </x:c>
      <x:c r="K889" s="80" t="n">
        <x:f>(H889*J889+I889)*'Inputs'!$D$46*(1+'Inputs'!$G$46)^(B889/30)</x:f>
        <x:v>817.0044717688997</x:v>
      </x:c>
      <x:c r="L889" s="80" t="n">
        <x:f>MAX(0,K889*'Inputs'!$E$46)</x:f>
        <x:v>0</x:v>
      </x:c>
      <x:c r="M889" s="80" t="n">
        <x:f>MAX(0,-K889*'Inputs'!$E$46)</x:f>
        <x:v>0</x:v>
      </x:c>
      <x:c r="N889" s="78" t="n">
        <x:f>H889*(L889*(1-'Inputs'!$B$15))/(I889+L889*(1-'Inputs'!$B$15))</x:f>
        <x:v>0</x:v>
      </x:c>
      <x:c r="O889" s="78" t="n">
        <x:f>H889-N889</x:f>
        <x:v>70997030.23215292</x:v>
      </x:c>
      <x:c r="P889" s="78" t="n">
        <x:f>I889+L889*(1-'Inputs'!$B$17)</x:f>
        <x:v>408.50223588444993</x:v>
      </x:c>
      <x:c r="Q889" s="78" t="n">
        <x:f>IF(J889&gt;0,M889/J889,0)</x:f>
        <x:v>0</x:v>
      </x:c>
      <x:c r="R889" s="78" t="n">
        <x:f>IF(B889='Inputs'!$H$46,'Inputs'!$B$27*'Inputs'!$I$46,0)</x:f>
        <x:v>0</x:v>
      </x:c>
      <x:c r="S889" s="78" t="n">
        <x:f>Q889+G889+R889</x:f>
        <x:v>477560.28335522686</x:v>
      </x:c>
      <x:c r="T889" s="78" t="n">
        <x:f>P889*(S889*(1-'Inputs'!$B$15))/(O889+S889*(1-'Inputs'!$B$15))</x:f>
        <x:v>2.7023100496482284</x:v>
      </x:c>
      <x:c r="U889" s="78" t="n">
        <x:f>O889+S889*(1-'Inputs'!$B$17)</x:f>
        <x:v>71472668.74374415</x:v>
      </x:c>
      <x:c r="V889" s="78" t="n">
        <x:f>P889-T889</x:f>
        <x:v>405.7999258348017</x:v>
      </x:c>
      <x:c r="W889" s="79" t="n">
        <x:f>IF(U889&gt;0,V889/U889,0)</x:f>
        <x:v>0.000005677693766966278</x:v>
      </x:c>
      <x:c r="X889" s="80" t="n">
        <x:f>W889*('Inputs'!$B$6-AC889)</x:f>
        <x:v>5552.993987590528</x:v>
      </x:c>
      <x:c r="Y889" s="80" t="n">
        <x:f>2*V889</x:f>
        <x:v>811.5998516696034</x:v>
      </x:c>
      <x:c r="Z889" s="80" t="n">
        <x:f>K889*'Inputs'!$B$16+(G889+R889)*J889*'Inputs'!$B$16</x:f>
        <x:v>4.918513529525929</x:v>
      </x:c>
      <x:c r="AA889" s="80" t="n">
        <x:f>K889*(1+'Inputs'!$E$46)/2*'Inputs'!$B$17</x:f>
        <x:v>1.6438721765973838</x:v>
      </x:c>
      <x:c r="AB889" s="78" t="n">
        <x:f>(IF(J889&gt;0,K889*(1-'Inputs'!$E$46)/2/J889,0)+G889+R889)*'Inputs'!$B$17</x:f>
        <x:v>287624.10670224606</x:v>
      </x:c>
      <x:c r="AC889" s="78" t="n">
        <x:f>AC888+AB889</x:f>
        <x:v>21963104.121830676</x:v>
      </x:c>
      <x:c r="AD889" s="80" t="n">
        <x:f>Z889/(1+'Inputs'!$C$46)</x:f>
        <x:v>2.4592567647629644</x:v>
      </x:c>
      <x:c r="AE889" s="80" t="n">
        <x:f>Z889-AD889</x:f>
        <x:v>2.4592567647629644</x:v>
      </x:c>
      <x:c r="AF889" s="80" t="n">
        <x:f>D889*W889</x:f>
        <x:v>1.6094607744235303</x:v>
      </x:c>
      <x:c r="AG889" s="80" t="n">
        <x:f>C889*W889</x:f>
        <x:v>3.7554084736549322</x:v>
      </x:c>
      <x:c r="AH889" s="80" t="n">
        <x:f>2*'Inputs'!$B$8*'Inputs'!$C$46</x:f>
        <x:v>5000</x:v>
      </x:c>
      <x:c r="AI889" s="81" t="n">
        <x:f>IF(AH889&gt;0,(AE889+AF889)/AH889*365,0)</x:f>
        <x:v>0.2970163803606142</x:v>
      </x:c>
      <x:c r="AJ889" s="81" t="n">
        <x:f>IF('Inputs'!$B$46&gt;0,AG889/('Inputs'!$B$19*'Inputs'!$B$46)*365,0)</x:f>
        <x:v>0.13707240928840503</x:v>
      </x:c>
      <x:c r="AK889" s="81" t="n">
        <x:f>W889/MAX($W$734:W889)-1</x:f>
        <x:v>-0.9932631764132378</x:v>
      </x:c>
      <x:c r="AL889" s="83" t="n">
        <x:f>'Inputs'!$B$46</x:f>
        <x:v>1</x:v>
      </x:c>
      <x:c r="AM889" s="83" t="n">
        <x:f>'Inputs'!$C$46</x:f>
        <x:v>1</x:v>
      </x:c>
      <x:c r="AN889" s="83" t="n">
        <x:f>'Inputs'!$D$46</x:f>
        <x:v>1</x:v>
      </x:c>
      <x:c r="AO889" s="81" t="n">
        <x:f>'Inputs'!$E$46</x:f>
        <x:v>0</x:v>
      </x:c>
    </x:row>
    <x:row r="890">
      <x:c r="A890" s="59" t="str">
        <x:v>Base</x:v>
      </x:c>
      <x:c r="B890" s="59" t="n">
        <x:v>157</x:v>
      </x:c>
      <x:c r="C890" s="78" t="n">
        <x:f>(('Inputs'!$B$29*(3*157*'Inputs'!$B$12-157^2)/(2*'Inputs'!$B$12^2))-('Inputs'!$B$29*(3*156*'Inputs'!$B$12-156^2)/(2*'Inputs'!$B$12^2)))*'Inputs'!$B$46</x:f>
        <x:v>661106.9149934351</x:v>
      </x:c>
      <x:c r="D890" s="78" t="n">
        <x:f>IF('Inputs'!$C$46&gt;0,('Inputs'!$B$30*(3*157*'Inputs'!$B$12-157^2)/(2*'Inputs'!$B$12^2))-('Inputs'!$B$30*(3*156*'Inputs'!$B$12-156^2)/(2*'Inputs'!$B$12^2)),0)</x:f>
        <x:v>283331.53499718755</x:v>
      </x:c>
      <x:c r="E890" s="78" t="n">
        <x:f>C890+D890</x:f>
        <x:v>944438.4499906227</x:v>
      </x:c>
      <x:c r="F890" s="78" t="n">
        <x:f>'Inputs'!$B$13*E890+(1-'Inputs'!$B$13)/'Inputs'!$B$14*SUM(E835:E890)</x:f>
        <x:v>954656.1268530695</x:v>
      </x:c>
      <x:c r="G890" s="78" t="n">
        <x:f>F890*'Inputs'!$F$46</x:f>
        <x:v>477328.06342653476</x:v>
      </x:c>
      <x:c r="H890" s="78" t="n">
        <x:f>U889</x:f>
        <x:v>71472668.74374415</x:v>
      </x:c>
      <x:c r="I890" s="78" t="n">
        <x:f>V889</x:f>
        <x:v>405.7999258348017</x:v>
      </x:c>
      <x:c r="J890" s="79" t="n">
        <x:f>IF(H890&gt;0,I890/H890,0)</x:f>
        <x:v>0.000005677693766966278</x:v>
      </x:c>
      <x:c r="K890" s="80" t="n">
        <x:f>(H890*J890+I890)*'Inputs'!$D$46*(1+'Inputs'!$G$46)^(B890/30)</x:f>
        <x:v>811.5998516696034</x:v>
      </x:c>
      <x:c r="L890" s="80" t="n">
        <x:f>MAX(0,K890*'Inputs'!$E$46)</x:f>
        <x:v>0</x:v>
      </x:c>
      <x:c r="M890" s="80" t="n">
        <x:f>MAX(0,-K890*'Inputs'!$E$46)</x:f>
        <x:v>0</x:v>
      </x:c>
      <x:c r="N890" s="78" t="n">
        <x:f>H890*(L890*(1-'Inputs'!$B$15))/(I890+L890*(1-'Inputs'!$B$15))</x:f>
        <x:v>0</x:v>
      </x:c>
      <x:c r="O890" s="78" t="n">
        <x:f>H890-N890</x:f>
        <x:v>71472668.74374415</x:v>
      </x:c>
      <x:c r="P890" s="78" t="n">
        <x:f>I890+L890*(1-'Inputs'!$B$17)</x:f>
        <x:v>405.7999258348017</x:v>
      </x:c>
      <x:c r="Q890" s="78" t="n">
        <x:f>IF(J890&gt;0,M890/J890,0)</x:f>
        <x:v>0</x:v>
      </x:c>
      <x:c r="R890" s="78" t="n">
        <x:f>IF(B890='Inputs'!$H$46,'Inputs'!$B$27*'Inputs'!$I$46,0)</x:f>
        <x:v>0</x:v>
      </x:c>
      <x:c r="S890" s="78" t="n">
        <x:f>Q890+G890+R890</x:f>
        <x:v>477328.06342653476</x:v>
      </x:c>
      <x:c r="T890" s="78" t="n">
        <x:f>P890*(S890*(1-'Inputs'!$B$15))/(O890+S890*(1-'Inputs'!$B$15))</x:f>
        <x:v>2.6653985686659745</x:v>
      </x:c>
      <x:c r="U890" s="78" t="n">
        <x:f>O890+S890*(1-'Inputs'!$B$17)</x:f>
        <x:v>71948075.96989332</x:v>
      </x:c>
      <x:c r="V890" s="78" t="n">
        <x:f>P890-T890</x:f>
        <x:v>403.1345272661357</x:v>
      </x:c>
      <x:c r="W890" s="79" t="n">
        <x:f>IF(U890&gt;0,V890/U890,0)</x:f>
        <x:v>0.000005603131450448062</x:v>
      </x:c>
      <x:c r="X890" s="80" t="n">
        <x:f>W890*('Inputs'!$B$6-AC890)</x:f>
        <x:v>5478.446975943386</x:v>
      </x:c>
      <x:c r="Y890" s="80" t="n">
        <x:f>2*V890</x:f>
        <x:v>806.2690545322714</x:v>
      </x:c>
      <x:c r="Z890" s="80" t="n">
        <x:f>K890*'Inputs'!$B$16+(G890+R890)*J890*'Inputs'!$B$16</x:f>
        <x:v>4.885859845440709</x:v>
      </x:c>
      <x:c r="AA890" s="80" t="n">
        <x:f>K890*(1+'Inputs'!$E$46)/2*'Inputs'!$B$17</x:f>
        <x:v>1.6329976894760632</x:v>
      </x:c>
      <x:c r="AB890" s="78" t="n">
        <x:f>(IF(J890&gt;0,K890*(1-'Inputs'!$E$46)/2/J890,0)+G890+R890)*'Inputs'!$B$17</x:f>
        <x:v>289537.2104916326</x:v>
      </x:c>
      <x:c r="AC890" s="78" t="n">
        <x:f>AC889+AB890</x:f>
        <x:v>22252641.332322307</x:v>
      </x:c>
      <x:c r="AD890" s="80" t="n">
        <x:f>Z890/(1+'Inputs'!$C$46)</x:f>
        <x:v>2.4429299227203547</x:v>
      </x:c>
      <x:c r="AE890" s="80" t="n">
        <x:f>Z890-AD890</x:f>
        <x:v>2.4429299227203547</x:v>
      </x:c>
      <x:c r="AF890" s="80" t="n">
        <x:f>D890*W890</x:f>
        <x:v>1.5875438346464674</x:v>
      </x:c>
      <x:c r="AG890" s="80" t="n">
        <x:f>C890*W890</x:f>
        <x:v>3.70426894750841</x:v>
      </x:c>
      <x:c r="AH890" s="80" t="n">
        <x:f>2*'Inputs'!$B$8*'Inputs'!$C$46</x:f>
        <x:v>5000</x:v>
      </x:c>
      <x:c r="AI890" s="81" t="n">
        <x:f>IF(AH890&gt;0,(AE890+AF890)/AH890*365,0)</x:f>
        <x:v>0.29422458428777803</x:v>
      </x:c>
      <x:c r="AJ890" s="81" t="n">
        <x:f>IF('Inputs'!$B$46&gt;0,AG890/('Inputs'!$B$19*'Inputs'!$B$46)*365,0)</x:f>
        <x:v>0.13520581658405698</x:v>
      </x:c>
      <x:c r="AK890" s="81" t="n">
        <x:f>W890/MAX($W$734:W890)-1</x:f>
        <x:v>-0.9933516477526971</x:v>
      </x:c>
      <x:c r="AL890" s="83" t="n">
        <x:f>'Inputs'!$B$46</x:f>
        <x:v>1</x:v>
      </x:c>
      <x:c r="AM890" s="83" t="n">
        <x:f>'Inputs'!$C$46</x:f>
        <x:v>1</x:v>
      </x:c>
      <x:c r="AN890" s="83" t="n">
        <x:f>'Inputs'!$D$46</x:f>
        <x:v>1</x:v>
      </x:c>
      <x:c r="AO890" s="81" t="n">
        <x:f>'Inputs'!$E$46</x:f>
        <x:v>0</x:v>
      </x:c>
    </x:row>
    <x:row r="891">
      <x:c r="A891" s="59" t="str">
        <x:v>Base</x:v>
      </x:c>
      <x:c r="B891" s="59" t="n">
        <x:v>158</x:v>
      </x:c>
      <x:c r="C891" s="78" t="n">
        <x:f>(('Inputs'!$B$29*(3*158*'Inputs'!$B$12-158^2)/(2*'Inputs'!$B$12^2))-('Inputs'!$B$29*(3*157*'Inputs'!$B$12-157^2)/(2*'Inputs'!$B$12^2)))*'Inputs'!$B$46</x:f>
        <x:v>660781.8070932627</x:v>
      </x:c>
      <x:c r="D891" s="78" t="n">
        <x:f>IF('Inputs'!$C$46&gt;0,('Inputs'!$B$30*(3*158*'Inputs'!$B$12-158^2)/(2*'Inputs'!$B$12^2))-('Inputs'!$B$30*(3*157*'Inputs'!$B$12-157^2)/(2*'Inputs'!$B$12^2)),0)</x:f>
        <x:v>283192.2030399665</x:v>
      </x:c>
      <x:c r="E891" s="78" t="n">
        <x:f>C891+D891</x:f>
        <x:v>943974.0101332292</x:v>
      </x:c>
      <x:c r="F891" s="78" t="n">
        <x:f>'Inputs'!$B$13*E891+(1-'Inputs'!$B$13)/'Inputs'!$B$14*SUM(E836:E891)</x:f>
        <x:v>954191.6869956832</x:v>
      </x:c>
      <x:c r="G891" s="78" t="n">
        <x:f>F891*'Inputs'!$F$46</x:f>
        <x:v>477095.8434978416</x:v>
      </x:c>
      <x:c r="H891" s="78" t="n">
        <x:f>U890</x:f>
        <x:v>71948075.96989332</x:v>
      </x:c>
      <x:c r="I891" s="78" t="n">
        <x:f>V890</x:f>
        <x:v>403.1345272661357</x:v>
      </x:c>
      <x:c r="J891" s="79" t="n">
        <x:f>IF(H891&gt;0,I891/H891,0)</x:f>
        <x:v>0.000005603131450448062</x:v>
      </x:c>
      <x:c r="K891" s="80" t="n">
        <x:f>(H891*J891+I891)*'Inputs'!$D$46*(1+'Inputs'!$G$46)^(B891/30)</x:f>
        <x:v>806.2690545322714</x:v>
      </x:c>
      <x:c r="L891" s="80" t="n">
        <x:f>MAX(0,K891*'Inputs'!$E$46)</x:f>
        <x:v>0</x:v>
      </x:c>
      <x:c r="M891" s="80" t="n">
        <x:f>MAX(0,-K891*'Inputs'!$E$46)</x:f>
        <x:v>0</x:v>
      </x:c>
      <x:c r="N891" s="78" t="n">
        <x:f>H891*(L891*(1-'Inputs'!$B$15))/(I891+L891*(1-'Inputs'!$B$15))</x:f>
        <x:v>0</x:v>
      </x:c>
      <x:c r="O891" s="78" t="n">
        <x:f>H891-N891</x:f>
        <x:v>71948075.96989332</x:v>
      </x:c>
      <x:c r="P891" s="78" t="n">
        <x:f>I891+L891*(1-'Inputs'!$B$17)</x:f>
        <x:v>403.1345272661357</x:v>
      </x:c>
      <x:c r="Q891" s="78" t="n">
        <x:f>IF(J891&gt;0,M891/J891,0)</x:f>
        <x:v>0</x:v>
      </x:c>
      <x:c r="R891" s="78" t="n">
        <x:f>IF(B891='Inputs'!$H$46,'Inputs'!$B$27*'Inputs'!$I$46,0)</x:f>
        <x:v>0</x:v>
      </x:c>
      <x:c r="S891" s="78" t="n">
        <x:f>Q891+G891+R891</x:f>
        <x:v>477095.8434978416</x:v>
      </x:c>
      <x:c r="T891" s="78" t="n">
        <x:f>P891*(S891*(1-'Inputs'!$B$15))/(O891+S891*(1-'Inputs'!$B$15))</x:f>
        <x:v>2.629237991062822</x:v>
      </x:c>
      <x:c r="U891" s="78" t="n">
        <x:f>O891+S891*(1-'Inputs'!$B$17)</x:f>
        <x:v>72423251.91060042</x:v>
      </x:c>
      <x:c r="V891" s="78" t="n">
        <x:f>P891-T891</x:f>
        <x:v>400.50528927507287</x:v>
      </x:c>
      <x:c r="W891" s="79" t="n">
        <x:f>IF(U891&gt;0,V891/U891,0)</x:f>
        <x:v>0.00000553006498202343</x:v>
      </x:c>
      <x:c r="X891" s="80" t="n">
        <x:f>W891*('Inputs'!$B$6-AC891)</x:f>
        <x:v>5405.3946954039975</x:v>
      </x:c>
      <x:c r="Y891" s="80" t="n">
        <x:f>2*V891</x:f>
        <x:v>801.0105785501457</x:v>
      </x:c>
      <x:c r="Z891" s="80" t="n">
        <x:f>K891*'Inputs'!$B$16+(G891+R891)*J891*'Inputs'!$B$16</x:f>
        <x:v>4.853653711547114</x:v>
      </x:c>
      <x:c r="AA891" s="80" t="n">
        <x:f>K891*(1+'Inputs'!$E$46)/2*'Inputs'!$B$17</x:f>
        <x:v>1.6222717395015522</x:v>
      </x:c>
      <x:c r="AB891" s="78" t="n">
        <x:f>(IF(J891&gt;0,K891*(1-'Inputs'!$E$46)/2/J891,0)+G891+R891)*'Inputs'!$B$17</x:f>
        <x:v>291449.38355489407</x:v>
      </x:c>
      <x:c r="AC891" s="78" t="n">
        <x:f>AC890+AB891</x:f>
        <x:v>22544090.7158772</x:v>
      </x:c>
      <x:c r="AD891" s="80" t="n">
        <x:f>Z891/(1+'Inputs'!$C$46)</x:f>
        <x:v>2.426826855773557</x:v>
      </x:c>
      <x:c r="AE891" s="80" t="n">
        <x:f>Z891-AD891</x:f>
        <x:v>2.426826855773557</x:v>
      </x:c>
      <x:c r="AF891" s="80" t="n">
        <x:f>D891*W891</x:f>
        <x:v>1.566071285213388</x:v>
      </x:c>
      <x:c r="AG891" s="80" t="n">
        <x:f>C891*W891</x:f>
        <x:v>3.654166332164613</x:v>
      </x:c>
      <x:c r="AH891" s="80" t="n">
        <x:f>2*'Inputs'!$B$8*'Inputs'!$C$46</x:f>
        <x:v>5000</x:v>
      </x:c>
      <x:c r="AI891" s="81" t="n">
        <x:f>IF(AH891&gt;0,(AE891+AF891)/AH891*365,0)</x:f>
        <x:v>0.29148156429204697</x:v>
      </x:c>
      <x:c r="AJ891" s="81" t="n">
        <x:f>IF('Inputs'!$B$46&gt;0,AG891/('Inputs'!$B$19*'Inputs'!$B$46)*365,0)</x:f>
        <x:v>0.1333770711240084</x:v>
      </x:c>
      <x:c r="AK891" s="81" t="n">
        <x:f>W891/MAX($W$734:W891)-1</x:f>
        <x:v>-0.9934383442051807</x:v>
      </x:c>
      <x:c r="AL891" s="83" t="n">
        <x:f>'Inputs'!$B$46</x:f>
        <x:v>1</x:v>
      </x:c>
      <x:c r="AM891" s="83" t="n">
        <x:f>'Inputs'!$C$46</x:f>
        <x:v>1</x:v>
      </x:c>
      <x:c r="AN891" s="83" t="n">
        <x:f>'Inputs'!$D$46</x:f>
        <x:v>1</x:v>
      </x:c>
      <x:c r="AO891" s="81" t="n">
        <x:f>'Inputs'!$E$46</x:f>
        <x:v>0</x:v>
      </x:c>
    </x:row>
    <x:row r="892">
      <x:c r="A892" s="59" t="str">
        <x:v>Base</x:v>
      </x:c>
      <x:c r="B892" s="59" t="n">
        <x:v>159</x:v>
      </x:c>
      <x:c r="C892" s="78" t="n">
        <x:f>(('Inputs'!$B$29*(3*159*'Inputs'!$B$12-159^2)/(2*'Inputs'!$B$12^2))-('Inputs'!$B$29*(3*158*'Inputs'!$B$12-158^2)/(2*'Inputs'!$B$12^2)))*'Inputs'!$B$46</x:f>
        <x:v>660456.6991930902</x:v>
      </x:c>
      <x:c r="D892" s="78" t="n">
        <x:f>IF('Inputs'!$C$46&gt;0,('Inputs'!$B$30*(3*159*'Inputs'!$B$12-159^2)/(2*'Inputs'!$B$12^2))-('Inputs'!$B$30*(3*158*'Inputs'!$B$12-158^2)/(2*'Inputs'!$B$12^2)),0)</x:f>
        <x:v>283052.87108275294</x:v>
      </x:c>
      <x:c r="E892" s="78" t="n">
        <x:f>C892+D892</x:f>
        <x:v>943509.5702758431</x:v>
      </x:c>
      <x:c r="F892" s="78" t="n">
        <x:f>'Inputs'!$B$13*E892+(1-'Inputs'!$B$13)/'Inputs'!$B$14*SUM(E837:E892)</x:f>
        <x:v>953727.2471382986</x:v>
      </x:c>
      <x:c r="G892" s="78" t="n">
        <x:f>F892*'Inputs'!$F$46</x:f>
        <x:v>476863.6235691493</x:v>
      </x:c>
      <x:c r="H892" s="78" t="n">
        <x:f>U891</x:f>
        <x:v>72423251.91060042</x:v>
      </x:c>
      <x:c r="I892" s="78" t="n">
        <x:f>V891</x:f>
        <x:v>400.50528927507287</x:v>
      </x:c>
      <x:c r="J892" s="79" t="n">
        <x:f>IF(H892&gt;0,I892/H892,0)</x:f>
        <x:v>0.00000553006498202343</x:v>
      </x:c>
      <x:c r="K892" s="80" t="n">
        <x:f>(H892*J892+I892)*'Inputs'!$D$46*(1+'Inputs'!$G$46)^(B892/30)</x:f>
        <x:v>801.0105785501457</x:v>
      </x:c>
      <x:c r="L892" s="80" t="n">
        <x:f>MAX(0,K892*'Inputs'!$E$46)</x:f>
        <x:v>0</x:v>
      </x:c>
      <x:c r="M892" s="80" t="n">
        <x:f>MAX(0,-K892*'Inputs'!$E$46)</x:f>
        <x:v>0</x:v>
      </x:c>
      <x:c r="N892" s="78" t="n">
        <x:f>H892*(L892*(1-'Inputs'!$B$15))/(I892+L892*(1-'Inputs'!$B$15))</x:f>
        <x:v>0</x:v>
      </x:c>
      <x:c r="O892" s="78" t="n">
        <x:f>H892-N892</x:f>
        <x:v>72423251.91060042</x:v>
      </x:c>
      <x:c r="P892" s="78" t="n">
        <x:f>I892+L892*(1-'Inputs'!$B$17)</x:f>
        <x:v>400.50528927507287</x:v>
      </x:c>
      <x:c r="Q892" s="78" t="n">
        <x:f>IF(J892&gt;0,M892/J892,0)</x:f>
        <x:v>0</x:v>
      </x:c>
      <x:c r="R892" s="78" t="n">
        <x:f>IF(B892='Inputs'!$H$46,'Inputs'!$B$27*'Inputs'!$I$46,0)</x:f>
        <x:v>0</x:v>
      </x:c>
      <x:c r="S892" s="78" t="n">
        <x:f>Q892+G892+R892</x:f>
        <x:v>476863.6235691493</x:v>
      </x:c>
      <x:c r="T892" s="78" t="n">
        <x:f>P892*(S892*(1-'Inputs'!$B$15))/(O892+S892*(1-'Inputs'!$B$15))</x:f>
        <x:v>2.5938080757340836</x:v>
      </x:c>
      <x:c r="U892" s="78" t="n">
        <x:f>O892+S892*(1-'Inputs'!$B$17)</x:f>
        <x:v>72898196.56586547</x:v>
      </x:c>
      <x:c r="V892" s="78" t="n">
        <x:f>P892-T892</x:f>
        <x:v>397.91148119933877</x:v>
      </x:c>
      <x:c r="W892" s="79" t="n">
        <x:f>IF(U892&gt;0,V892/U892,0)</x:f>
        <x:v>0.000005458454391801245</x:v>
      </x:c>
      <x:c r="X892" s="80" t="n">
        <x:f>W892*('Inputs'!$B$6-AC892)</x:f>
        <x:v>5333.797205227217</x:v>
      </x:c>
      <x:c r="Y892" s="80" t="n">
        <x:f>2*V892</x:f>
        <x:v>795.8229623986775</x:v>
      </x:c>
      <x:c r="Z892" s="80" t="n">
        <x:f>K892*'Inputs'!$B$16+(G892+R892)*J892*'Inputs'!$B$16</x:f>
        <x:v>4.821885992256278</x:v>
      </x:c>
      <x:c r="AA892" s="80" t="n">
        <x:f>K892*(1+'Inputs'!$E$46)/2*'Inputs'!$B$17</x:f>
        <x:v>1.611691304929871</x:v>
      </x:c>
      <x:c r="AB892" s="78" t="n">
        <x:f>(IF(J892&gt;0,K892*(1-'Inputs'!$E$46)/2/J892,0)+G892+R892)*'Inputs'!$B$17</x:f>
        <x:v>293360.6258920305</x:v>
      </x:c>
      <x:c r="AC892" s="78" t="n">
        <x:f>AC891+AB892</x:f>
        <x:v>22837451.341769233</x:v>
      </x:c>
      <x:c r="AD892" s="80" t="n">
        <x:f>Z892/(1+'Inputs'!$C$46)</x:f>
        <x:v>2.410942996128139</x:v>
      </x:c>
      <x:c r="AE892" s="80" t="n">
        <x:f>Z892-AD892</x:f>
        <x:v>2.410942996128139</x:v>
      </x:c>
      <x:c r="AF892" s="80" t="n">
        <x:f>D892*W892</x:f>
        <x:v>1.5450311872736042</x:v>
      </x:c>
      <x:c r="AG892" s="80" t="n">
        <x:f>C892*W892</x:f>
        <x:v>3.605072770305077</x:v>
      </x:c>
      <x:c r="AH892" s="80" t="n">
        <x:f>2*'Inputs'!$B$8*'Inputs'!$C$46</x:f>
        <x:v>5000</x:v>
      </x:c>
      <x:c r="AI892" s="81" t="n">
        <x:f>IF(AH892&gt;0,(AE892+AF892)/AH892*365,0)</x:f>
        <x:v>0.28878611538832727</x:v>
      </x:c>
      <x:c r="AJ892" s="81" t="n">
        <x:f>IF('Inputs'!$B$46&gt;0,AG892/('Inputs'!$B$19*'Inputs'!$B$46)*365,0)</x:f>
        <x:v>0.1315851561161353</x:v>
      </x:c>
      <x:c r="AK892" s="81" t="n">
        <x:f>W892/MAX($W$734:W892)-1</x:f>
        <x:v>-0.9935233131966537</x:v>
      </x:c>
      <x:c r="AL892" s="83" t="n">
        <x:f>'Inputs'!$B$46</x:f>
        <x:v>1</x:v>
      </x:c>
      <x:c r="AM892" s="83" t="n">
        <x:f>'Inputs'!$C$46</x:f>
        <x:v>1</x:v>
      </x:c>
      <x:c r="AN892" s="83" t="n">
        <x:f>'Inputs'!$D$46</x:f>
        <x:v>1</x:v>
      </x:c>
      <x:c r="AO892" s="81" t="n">
        <x:f>'Inputs'!$E$46</x:f>
        <x:v>0</x:v>
      </x:c>
    </x:row>
    <x:row r="893">
      <x:c r="A893" s="59" t="str">
        <x:v>Base</x:v>
      </x:c>
      <x:c r="B893" s="59" t="n">
        <x:v>160</x:v>
      </x:c>
      <x:c r="C893" s="78" t="n">
        <x:f>(('Inputs'!$B$29*(3*160*'Inputs'!$B$12-160^2)/(2*'Inputs'!$B$12^2))-('Inputs'!$B$29*(3*159*'Inputs'!$B$12-159^2)/(2*'Inputs'!$B$12^2)))*'Inputs'!$B$46</x:f>
        <x:v>660131.5912929177</x:v>
      </x:c>
      <x:c r="D893" s="78" t="n">
        <x:f>IF('Inputs'!$C$46&gt;0,('Inputs'!$B$30*(3*160*'Inputs'!$B$12-160^2)/(2*'Inputs'!$B$12^2))-('Inputs'!$B$30*(3*159*'Inputs'!$B$12-159^2)/(2*'Inputs'!$B$12^2)),0)</x:f>
        <x:v>282913.53912553936</x:v>
      </x:c>
      <x:c r="E893" s="78" t="n">
        <x:f>C893+D893</x:f>
        <x:v>943045.1304184571</x:v>
      </x:c>
      <x:c r="F893" s="78" t="n">
        <x:f>'Inputs'!$B$13*E893+(1-'Inputs'!$B$13)/'Inputs'!$B$14*SUM(E838:E893)</x:f>
        <x:v>953262.807280914</x:v>
      </x:c>
      <x:c r="G893" s="78" t="n">
        <x:f>F893*'Inputs'!$F$46</x:f>
        <x:v>476631.403640457</x:v>
      </x:c>
      <x:c r="H893" s="78" t="n">
        <x:f>U892</x:f>
        <x:v>72898196.56586547</x:v>
      </x:c>
      <x:c r="I893" s="78" t="n">
        <x:f>V892</x:f>
        <x:v>397.91148119933877</x:v>
      </x:c>
      <x:c r="J893" s="79" t="n">
        <x:f>IF(H893&gt;0,I893/H893,0)</x:f>
        <x:v>0.000005458454391801245</x:v>
      </x:c>
      <x:c r="K893" s="80" t="n">
        <x:f>(H893*J893+I893)*'Inputs'!$D$46*(1+'Inputs'!$G$46)^(B893/30)</x:f>
        <x:v>795.8229623986776</x:v>
      </x:c>
      <x:c r="L893" s="80" t="n">
        <x:f>MAX(0,K893*'Inputs'!$E$46)</x:f>
        <x:v>0</x:v>
      </x:c>
      <x:c r="M893" s="80" t="n">
        <x:f>MAX(0,-K893*'Inputs'!$E$46)</x:f>
        <x:v>0</x:v>
      </x:c>
      <x:c r="N893" s="78" t="n">
        <x:f>H893*(L893*(1-'Inputs'!$B$15))/(I893+L893*(1-'Inputs'!$B$15))</x:f>
        <x:v>0</x:v>
      </x:c>
      <x:c r="O893" s="78" t="n">
        <x:f>H893-N893</x:f>
        <x:v>72898196.56586547</x:v>
      </x:c>
      <x:c r="P893" s="78" t="n">
        <x:f>I893+L893*(1-'Inputs'!$B$17)</x:f>
        <x:v>397.91148119933877</x:v>
      </x:c>
      <x:c r="Q893" s="78" t="n">
        <x:f>IF(J893&gt;0,M893/J893,0)</x:f>
        <x:v>0</x:v>
      </x:c>
      <x:c r="R893" s="78" t="n">
        <x:f>IF(B893='Inputs'!$H$46,'Inputs'!$B$27*'Inputs'!$I$46,0)</x:f>
        <x:v>0</x:v>
      </x:c>
      <x:c r="S893" s="78" t="n">
        <x:f>Q893+G893+R893</x:f>
        <x:v>476631.403640457</x:v>
      </x:c>
      <x:c r="T893" s="78" t="n">
        <x:f>P893*(S893*(1-'Inputs'!$B$15))/(O893+S893*(1-'Inputs'!$B$15))</x:f>
        <x:v>2.559089259217083</x:v>
      </x:c>
      <x:c r="U893" s="78" t="n">
        <x:f>O893+S893*(1-'Inputs'!$B$17)</x:f>
        <x:v>73372909.93568847</x:v>
      </x:c>
      <x:c r="V893" s="78" t="n">
        <x:f>P893-T893</x:f>
        <x:v>395.35239194012166</x:v>
      </x:c>
      <x:c r="W893" s="79" t="n">
        <x:f>IF(U893&gt;0,V893/U893,0)</x:f>
        <x:v>0.0000053882610392125514</x:v>
      </x:c>
      <x:c r="X893" s="80" t="n">
        <x:f>W893*('Inputs'!$B$6-AC893)</x:f>
        <x:v>5263.6158930242245</x:v>
      </x:c>
      <x:c r="Y893" s="80" t="n">
        <x:f>2*V893</x:f>
        <x:v>790.7047838802433</x:v>
      </x:c>
      <x:c r="Z893" s="80" t="n">
        <x:f>K893*'Inputs'!$B$16+(G893+R893)*J893*'Inputs'!$B$16</x:f>
        <x:v>4.790547799062895</x:v>
      </x:c>
      <x:c r="AA893" s="80" t="n">
        <x:f>K893*(1+'Inputs'!$E$46)/2*'Inputs'!$B$17</x:f>
        <x:v>1.6012534454701766</x:v>
      </x:c>
      <x:c r="AB893" s="78" t="n">
        <x:f>(IF(J893&gt;0,K893*(1-'Inputs'!$E$46)/2/J893,0)+G893+R893)*'Inputs'!$B$17</x:f>
        <x:v>295270.93750304205</x:v>
      </x:c>
      <x:c r="AC893" s="78" t="n">
        <x:f>AC892+AB893</x:f>
        <x:v>23132722.279272277</x:v>
      </x:c>
      <x:c r="AD893" s="80" t="n">
        <x:f>Z893/(1+'Inputs'!$C$46)</x:f>
        <x:v>2.3952738995314475</x:v>
      </x:c>
      <x:c r="AE893" s="80" t="n">
        <x:f>Z893-AD893</x:f>
        <x:v>2.3952738995314475</x:v>
      </x:c>
      <x:c r="AF893" s="80" t="n">
        <x:f>D893*W893</x:f>
        <x:v>1.5244120003358796</x:v>
      </x:c>
      <x:c r="AG893" s="80" t="n">
        <x:f>C893*W893</x:f>
        <x:v>3.556961334117012</x:v>
      </x:c>
      <x:c r="AH893" s="80" t="n">
        <x:f>2*'Inputs'!$B$8*'Inputs'!$C$46</x:f>
        <x:v>5000</x:v>
      </x:c>
      <x:c r="AI893" s="81" t="n">
        <x:f>IF(AH893&gt;0,(AE893+AF893)/AH893*365,0)</x:f>
        <x:v>0.2861370706903149</x:v>
      </x:c>
      <x:c r="AJ893" s="81" t="n">
        <x:f>IF('Inputs'!$B$46&gt;0,AG893/('Inputs'!$B$19*'Inputs'!$B$46)*365,0)</x:f>
        <x:v>0.12982908869527093</x:v>
      </x:c>
      <x:c r="AK893" s="81" t="n">
        <x:f>W893/MAX($W$734:W893)-1</x:f>
        <x:v>-0.9936066005757836</x:v>
      </x:c>
      <x:c r="AL893" s="83" t="n">
        <x:f>'Inputs'!$B$46</x:f>
        <x:v>1</x:v>
      </x:c>
      <x:c r="AM893" s="83" t="n">
        <x:f>'Inputs'!$C$46</x:f>
        <x:v>1</x:v>
      </x:c>
      <x:c r="AN893" s="83" t="n">
        <x:f>'Inputs'!$D$46</x:f>
        <x:v>1</x:v>
      </x:c>
      <x:c r="AO893" s="81" t="n">
        <x:f>'Inputs'!$E$46</x:f>
        <x:v>0</x:v>
      </x:c>
    </x:row>
    <x:row r="894">
      <x:c r="A894" s="59" t="str">
        <x:v>Base</x:v>
      </x:c>
      <x:c r="B894" s="59" t="n">
        <x:v>161</x:v>
      </x:c>
      <x:c r="C894" s="78" t="n">
        <x:f>(('Inputs'!$B$29*(3*161*'Inputs'!$B$12-161^2)/(2*'Inputs'!$B$12^2))-('Inputs'!$B$29*(3*160*'Inputs'!$B$12-160^2)/(2*'Inputs'!$B$12^2)))*'Inputs'!$B$46</x:f>
        <x:v>659806.4833927602</x:v>
      </x:c>
      <x:c r="D894" s="78" t="n">
        <x:f>IF('Inputs'!$C$46&gt;0,('Inputs'!$B$30*(3*161*'Inputs'!$B$12-161^2)/(2*'Inputs'!$B$12^2))-('Inputs'!$B$30*(3*160*'Inputs'!$B$12-160^2)/(2*'Inputs'!$B$12^2)),0)</x:f>
        <x:v>282774.2071683258</x:v>
      </x:c>
      <x:c r="E894" s="78" t="n">
        <x:f>C894+D894</x:f>
        <x:v>942580.6905610859</x:v>
      </x:c>
      <x:c r="F894" s="78" t="n">
        <x:f>'Inputs'!$B$13*E894+(1-'Inputs'!$B$13)/'Inputs'!$B$14*SUM(E839:E894)</x:f>
        <x:v>952798.3674235325</x:v>
      </x:c>
      <x:c r="G894" s="78" t="n">
        <x:f>F894*'Inputs'!$F$46</x:f>
        <x:v>476399.18371176627</x:v>
      </x:c>
      <x:c r="H894" s="78" t="n">
        <x:f>U893</x:f>
        <x:v>73372909.93568847</x:v>
      </x:c>
      <x:c r="I894" s="78" t="n">
        <x:f>V893</x:f>
        <x:v>395.35239194012166</x:v>
      </x:c>
      <x:c r="J894" s="79" t="n">
        <x:f>IF(H894&gt;0,I894/H894,0)</x:f>
        <x:v>0.0000053882610392125514</x:v>
      </x:c>
      <x:c r="K894" s="80" t="n">
        <x:f>(H894*J894+I894)*'Inputs'!$D$46*(1+'Inputs'!$G$46)^(B894/30)</x:f>
        <x:v>790.7047838802433</x:v>
      </x:c>
      <x:c r="L894" s="80" t="n">
        <x:f>MAX(0,K894*'Inputs'!$E$46)</x:f>
        <x:v>0</x:v>
      </x:c>
      <x:c r="M894" s="80" t="n">
        <x:f>MAX(0,-K894*'Inputs'!$E$46)</x:f>
        <x:v>0</x:v>
      </x:c>
      <x:c r="N894" s="78" t="n">
        <x:f>H894*(L894*(1-'Inputs'!$B$15))/(I894+L894*(1-'Inputs'!$B$15))</x:f>
        <x:v>0</x:v>
      </x:c>
      <x:c r="O894" s="78" t="n">
        <x:f>H894-N894</x:f>
        <x:v>73372909.93568847</x:v>
      </x:c>
      <x:c r="P894" s="78" t="n">
        <x:f>I894+L894*(1-'Inputs'!$B$17)</x:f>
        <x:v>395.35239194012166</x:v>
      </x:c>
      <x:c r="Q894" s="78" t="n">
        <x:f>IF(J894&gt;0,M894/J894,0)</x:f>
        <x:v>0</x:v>
      </x:c>
      <x:c r="R894" s="78" t="n">
        <x:f>IF(B894='Inputs'!$H$46,'Inputs'!$B$27*'Inputs'!$I$46,0)</x:f>
        <x:v>0</x:v>
      </x:c>
      <x:c r="S894" s="78" t="n">
        <x:f>Q894+G894+R894</x:f>
        <x:v>476399.18371176627</x:v>
      </x:c>
      <x:c r="T894" s="78" t="n">
        <x:f>P894*(S894*(1-'Inputs'!$B$15))/(O894+S894*(1-'Inputs'!$B$15))</x:f>
        <x:v>2.5250626286433984</x:v>
      </x:c>
      <x:c r="U894" s="78" t="n">
        <x:f>O894+S894*(1-'Inputs'!$B$17)</x:f>
        <x:v>73847392.0200694</x:v>
      </x:c>
      <x:c r="V894" s="78" t="n">
        <x:f>P894-T894</x:f>
        <x:v>392.82732931147825</x:v>
      </x:c>
      <x:c r="W894" s="79" t="n">
        <x:f>IF(U894&gt;0,V894/U894,0)</x:f>
        <x:v>0.000005319447560243158</x:v>
      </x:c>
      <x:c r="X894" s="80" t="n">
        <x:f>W894*('Inputs'!$B$6-AC894)</x:f>
        <x:v>5194.8134220332995</x:v>
      </x:c>
      <x:c r="Y894" s="80" t="n">
        <x:f>2*V894</x:f>
        <x:v>785.6546586229565</x:v>
      </x:c>
      <x:c r="Z894" s="80" t="n">
        <x:f>K894*'Inputs'!$B$16+(G894+R894)*J894*'Inputs'!$B$16</x:f>
        <x:v>4.759630482245701</x:v>
      </x:c>
      <x:c r="AA894" s="80" t="n">
        <x:f>K894*(1+'Inputs'!$E$46)/2*'Inputs'!$B$17</x:f>
        <x:v>1.5909552995578338</x:v>
      </x:c>
      <x:c r="AB894" s="78" t="n">
        <x:f>(IF(J894&gt;0,K894*(1-'Inputs'!$E$46)/2/J894,0)+G894+R894)*'Inputs'!$B$17</x:f>
        <x:v>297180.31838792854</x:v>
      </x:c>
      <x:c r="AC894" s="78" t="n">
        <x:f>AC893+AB894</x:f>
        <x:v>23429902.597660206</x:v>
      </x:c>
      <x:c r="AD894" s="80" t="n">
        <x:f>Z894/(1+'Inputs'!$C$46)</x:f>
        <x:v>2.3798152411228504</x:v>
      </x:c>
      <x:c r="AE894" s="80" t="n">
        <x:f>Z894-AD894</x:f>
        <x:v>2.3798152411228504</x:v>
      </x:c>
      <x:c r="AF894" s="80" t="n">
        <x:f>D894*W894</x:f>
        <x:v>1.5042025664212437</x:v>
      </x:c>
      <x:c r="AG894" s="80" t="n">
        <x:f>C894*W894</x:f>
        <x:v>3.5098059883162356</x:v>
      </x:c>
      <x:c r="AH894" s="80" t="n">
        <x:f>2*'Inputs'!$B$8*'Inputs'!$C$46</x:f>
        <x:v>5000</x:v>
      </x:c>
      <x:c r="AI894" s="81" t="n">
        <x:f>IF(AH894&gt;0,(AE894+AF894)/AH894*365,0)</x:f>
        <x:v>0.28353329995071885</x:v>
      </x:c>
      <x:c r="AJ894" s="81" t="n">
        <x:f>IF('Inputs'!$B$46&gt;0,AG894/('Inputs'!$B$19*'Inputs'!$B$46)*365,0)</x:f>
        <x:v>0.1281079185735426</x:v>
      </x:c>
      <x:c r="AK894" s="81" t="n">
        <x:f>W894/MAX($W$734:W894)-1</x:f>
        <x:v>-0.9936882506765526</x:v>
      </x:c>
      <x:c r="AL894" s="83" t="n">
        <x:f>'Inputs'!$B$46</x:f>
        <x:v>1</x:v>
      </x:c>
      <x:c r="AM894" s="83" t="n">
        <x:f>'Inputs'!$C$46</x:f>
        <x:v>1</x:v>
      </x:c>
      <x:c r="AN894" s="83" t="n">
        <x:f>'Inputs'!$D$46</x:f>
        <x:v>1</x:v>
      </x:c>
      <x:c r="AO894" s="81" t="n">
        <x:f>'Inputs'!$E$46</x:f>
        <x:v>0</x:v>
      </x:c>
    </x:row>
    <x:row r="895">
      <x:c r="A895" s="59" t="str">
        <x:v>Base</x:v>
      </x:c>
      <x:c r="B895" s="59" t="n">
        <x:v>162</x:v>
      </x:c>
      <x:c r="C895" s="78" t="n">
        <x:f>(('Inputs'!$B$29*(3*162*'Inputs'!$B$12-162^2)/(2*'Inputs'!$B$12^2))-('Inputs'!$B$29*(3*161*'Inputs'!$B$12-161^2)/(2*'Inputs'!$B$12^2)))*'Inputs'!$B$46</x:f>
        <x:v>659481.3754925877</x:v>
      </x:c>
      <x:c r="D895" s="78" t="n">
        <x:f>IF('Inputs'!$C$46&gt;0,('Inputs'!$B$30*(3*162*'Inputs'!$B$12-162^2)/(2*'Inputs'!$B$12^2))-('Inputs'!$B$30*(3*161*'Inputs'!$B$12-161^2)/(2*'Inputs'!$B$12^2)),0)</x:f>
        <x:v>282634.8752111122</x:v>
      </x:c>
      <x:c r="E895" s="78" t="n">
        <x:f>C895+D895</x:f>
        <x:v>942116.2507036999</x:v>
      </x:c>
      <x:c r="F895" s="78" t="n">
        <x:f>'Inputs'!$B$13*E895+(1-'Inputs'!$B$13)/'Inputs'!$B$14*SUM(E840:E895)</x:f>
        <x:v>952333.9275661482</x:v>
      </x:c>
      <x:c r="G895" s="78" t="n">
        <x:f>F895*'Inputs'!$F$46</x:f>
        <x:v>476166.9637830741</x:v>
      </x:c>
      <x:c r="H895" s="78" t="n">
        <x:f>U894</x:f>
        <x:v>73847392.0200694</x:v>
      </x:c>
      <x:c r="I895" s="78" t="n">
        <x:f>V894</x:f>
        <x:v>392.82732931147825</x:v>
      </x:c>
      <x:c r="J895" s="79" t="n">
        <x:f>IF(H895&gt;0,I895/H895,0)</x:f>
        <x:v>0.000005319447560243158</x:v>
      </x:c>
      <x:c r="K895" s="80" t="n">
        <x:f>(H895*J895+I895)*'Inputs'!$D$46*(1+'Inputs'!$G$46)^(B895/30)</x:f>
        <x:v>785.6546586229565</x:v>
      </x:c>
      <x:c r="L895" s="80" t="n">
        <x:f>MAX(0,K895*'Inputs'!$E$46)</x:f>
        <x:v>0</x:v>
      </x:c>
      <x:c r="M895" s="80" t="n">
        <x:f>MAX(0,-K895*'Inputs'!$E$46)</x:f>
        <x:v>0</x:v>
      </x:c>
      <x:c r="N895" s="78" t="n">
        <x:f>H895*(L895*(1-'Inputs'!$B$15))/(I895+L895*(1-'Inputs'!$B$15))</x:f>
        <x:v>0</x:v>
      </x:c>
      <x:c r="O895" s="78" t="n">
        <x:f>H895-N895</x:f>
        <x:v>73847392.0200694</x:v>
      </x:c>
      <x:c r="P895" s="78" t="n">
        <x:f>I895+L895*(1-'Inputs'!$B$17)</x:f>
        <x:v>392.82732931147825</x:v>
      </x:c>
      <x:c r="Q895" s="78" t="n">
        <x:f>IF(J895&gt;0,M895/J895,0)</x:f>
        <x:v>0</x:v>
      </x:c>
      <x:c r="R895" s="78" t="n">
        <x:f>IF(B895='Inputs'!$H$46,'Inputs'!$B$27*'Inputs'!$I$46,0)</x:f>
        <x:v>0</x:v>
      </x:c>
      <x:c r="S895" s="78" t="n">
        <x:f>Q895+G895+R895</x:f>
        <x:v>476166.9637830741</x:v>
      </x:c>
      <x:c r="T895" s="78" t="n">
        <x:f>P895*(S895*(1-'Inputs'!$B$15))/(O895+S895*(1-'Inputs'!$B$15))</x:f>
        <x:v>2.4917098959424226</x:v>
      </x:c>
      <x:c r="U895" s="78" t="n">
        <x:f>O895+S895*(1-'Inputs'!$B$17)</x:f>
        <x:v>74321642.81900828</x:v>
      </x:c>
      <x:c r="V895" s="78" t="n">
        <x:f>P895-T895</x:f>
        <x:v>390.3356194155358</x:v>
      </x:c>
      <x:c r="W895" s="79" t="n">
        <x:f>IF(U895&gt;0,V895/U895,0)</x:f>
        <x:v>0.000005251977817095625</x:v>
      </x:c>
      <x:c r="X895" s="80" t="n">
        <x:f>W895*('Inputs'!$B$6-AC895)</x:f>
        <x:v>5127.3536808182525</x:v>
      </x:c>
      <x:c r="Y895" s="80" t="n">
        <x:f>2*V895</x:f>
        <x:v>780.6712388310716</x:v>
      </x:c>
      <x:c r="Z895" s="80" t="n">
        <x:f>K895*'Inputs'!$B$16+(G895+R895)*J895*'Inputs'!$B$16</x:f>
        <x:v>4.729125622900325</x:v>
      </x:c>
      <x:c r="AA895" s="80" t="n">
        <x:f>K895*(1+'Inputs'!$E$46)/2*'Inputs'!$B$17</x:f>
        <x:v>1.580794081736331</x:v>
      </x:c>
      <x:c r="AB895" s="78" t="n">
        <x:f>(IF(J895&gt;0,K895*(1-'Inputs'!$E$46)/2/J895,0)+G895+R895)*'Inputs'!$B$17</x:f>
        <x:v>299088.76854669006</x:v>
      </x:c>
      <x:c r="AC895" s="78" t="n">
        <x:f>AC894+AB895</x:f>
        <x:v>23728991.366206896</x:v>
      </x:c>
      <x:c r="AD895" s="80" t="n">
        <x:f>Z895/(1+'Inputs'!$C$46)</x:f>
        <x:v>2.3645628114501624</x:v>
      </x:c>
      <x:c r="AE895" s="80" t="n">
        <x:f>Z895-AD895</x:f>
        <x:v>2.3645628114501624</x:v>
      </x:c>
      <x:c r="AF895" s="80" t="n">
        <x:f>D895*W895</x:f>
        <x:v>1.4843920949463514</x:v>
      </x:c>
      <x:c r="AG895" s="80" t="n">
        <x:f>C895*W895</x:f>
        <x:v>3.463581554874781</x:v>
      </x:c>
      <x:c r="AH895" s="80" t="n">
        <x:f>2*'Inputs'!$B$8*'Inputs'!$C$46</x:f>
        <x:v>5000</x:v>
      </x:c>
      <x:c r="AI895" s="81" t="n">
        <x:f>IF(AH895&gt;0,(AE895+AF895)/AH895*365,0)</x:f>
        <x:v>0.2809737081669455</x:v>
      </x:c>
      <x:c r="AJ895" s="81" t="n">
        <x:f>IF('Inputs'!$B$46&gt;0,AG895/('Inputs'!$B$19*'Inputs'!$B$46)*365,0)</x:f>
        <x:v>0.1264207267529295</x:v>
      </x:c>
      <x:c r="AK895" s="81" t="n">
        <x:f>W895/MAX($W$734:W895)-1</x:f>
        <x:v>-0.9937683063779843</x:v>
      </x:c>
      <x:c r="AL895" s="83" t="n">
        <x:f>'Inputs'!$B$46</x:f>
        <x:v>1</x:v>
      </x:c>
      <x:c r="AM895" s="83" t="n">
        <x:f>'Inputs'!$C$46</x:f>
        <x:v>1</x:v>
      </x:c>
      <x:c r="AN895" s="83" t="n">
        <x:f>'Inputs'!$D$46</x:f>
        <x:v>1</x:v>
      </x:c>
      <x:c r="AO895" s="81" t="n">
        <x:f>'Inputs'!$E$46</x:f>
        <x:v>0</x:v>
      </x:c>
    </x:row>
    <x:row r="896">
      <x:c r="A896" s="59" t="str">
        <x:v>Base</x:v>
      </x:c>
      <x:c r="B896" s="59" t="n">
        <x:v>163</x:v>
      </x:c>
      <x:c r="C896" s="78" t="n">
        <x:f>(('Inputs'!$B$29*(3*163*'Inputs'!$B$12-163^2)/(2*'Inputs'!$B$12^2))-('Inputs'!$B$29*(3*162*'Inputs'!$B$12-162^2)/(2*'Inputs'!$B$12^2)))*'Inputs'!$B$46</x:f>
        <x:v>659156.2675924152</x:v>
      </x:c>
      <x:c r="D896" s="78" t="n">
        <x:f>IF('Inputs'!$C$46&gt;0,('Inputs'!$B$30*(3*163*'Inputs'!$B$12-163^2)/(2*'Inputs'!$B$12^2))-('Inputs'!$B$30*(3*162*'Inputs'!$B$12-162^2)/(2*'Inputs'!$B$12^2)),0)</x:f>
        <x:v>282495.54325389117</x:v>
      </x:c>
      <x:c r="E896" s="78" t="n">
        <x:f>C896+D896</x:f>
        <x:v>941651.8108463064</x:v>
      </x:c>
      <x:c r="F896" s="78" t="n">
        <x:f>'Inputs'!$B$13*E896+(1-'Inputs'!$B$13)/'Inputs'!$B$14*SUM(E841:E896)</x:f>
        <x:v>951869.4877087622</x:v>
      </x:c>
      <x:c r="G896" s="78" t="n">
        <x:f>F896*'Inputs'!$F$46</x:f>
        <x:v>475934.7438543811</x:v>
      </x:c>
      <x:c r="H896" s="78" t="n">
        <x:f>U895</x:f>
        <x:v>74321642.81900828</x:v>
      </x:c>
      <x:c r="I896" s="78" t="n">
        <x:f>V895</x:f>
        <x:v>390.3356194155358</x:v>
      </x:c>
      <x:c r="J896" s="79" t="n">
        <x:f>IF(H896&gt;0,I896/H896,0)</x:f>
        <x:v>0.000005251977817095625</x:v>
      </x:c>
      <x:c r="K896" s="80" t="n">
        <x:f>(H896*J896+I896)*'Inputs'!$D$46*(1+'Inputs'!$G$46)^(B896/30)</x:f>
        <x:v>780.6712388310716</x:v>
      </x:c>
      <x:c r="L896" s="80" t="n">
        <x:f>MAX(0,K896*'Inputs'!$E$46)</x:f>
        <x:v>0</x:v>
      </x:c>
      <x:c r="M896" s="80" t="n">
        <x:f>MAX(0,-K896*'Inputs'!$E$46)</x:f>
        <x:v>0</x:v>
      </x:c>
      <x:c r="N896" s="78" t="n">
        <x:f>H896*(L896*(1-'Inputs'!$B$15))/(I896+L896*(1-'Inputs'!$B$15))</x:f>
        <x:v>0</x:v>
      </x:c>
      <x:c r="O896" s="78" t="n">
        <x:f>H896-N896</x:f>
        <x:v>74321642.81900828</x:v>
      </x:c>
      <x:c r="P896" s="78" t="n">
        <x:f>I896+L896*(1-'Inputs'!$B$17)</x:f>
        <x:v>390.3356194155358</x:v>
      </x:c>
      <x:c r="Q896" s="78" t="n">
        <x:f>IF(J896&gt;0,M896/J896,0)</x:f>
        <x:v>0</x:v>
      </x:c>
      <x:c r="R896" s="78" t="n">
        <x:f>IF(B896='Inputs'!$H$46,'Inputs'!$B$27*'Inputs'!$I$46,0)</x:f>
        <x:v>0</x:v>
      </x:c>
      <x:c r="S896" s="78" t="n">
        <x:f>Q896+G896+R896</x:f>
        <x:v>475934.7438543811</x:v>
      </x:c>
      <x:c r="T896" s="78" t="n">
        <x:f>P896*(S896*(1-'Inputs'!$B$15))/(O896+S896*(1-'Inputs'!$B$15))</x:f>
        <x:v>2.4590133732306447</x:v>
      </x:c>
      <x:c r="U896" s="78" t="n">
        <x:f>O896+S896*(1-'Inputs'!$B$17)</x:f>
        <x:v>74795662.33250509</x:v>
      </x:c>
      <x:c r="V896" s="78" t="n">
        <x:f>P896-T896</x:f>
        <x:v>387.8766060423052</x:v>
      </x:c>
      <x:c r="W896" s="79" t="n">
        <x:f>IF(U896&gt;0,V896/U896,0)</x:f>
        <x:v>0.000005185816850153618</x:v>
      </x:c>
      <x:c r="X896" s="80" t="n">
        <x:f>W896*('Inputs'!$B$6-AC896)</x:f>
        <x:v>5061.201735267556</x:v>
      </x:c>
      <x:c r="Y896" s="80" t="n">
        <x:f>2*V896</x:f>
        <x:v>775.7532120846104</x:v>
      </x:c>
      <x:c r="Z896" s="80" t="n">
        <x:f>K896*'Inputs'!$B$16+(G896+R896)*J896*'Inputs'!$B$16</x:f>
        <x:v>4.699025025289079</x:v>
      </x:c>
      <x:c r="AA896" s="80" t="n">
        <x:f>K896*(1+'Inputs'!$E$46)/2*'Inputs'!$B$17</x:f>
        <x:v>1.5707670801430014</x:v>
      </x:c>
      <x:c r="AB896" s="78" t="n">
        <x:f>(IF(J896&gt;0,K896*(1-'Inputs'!$E$46)/2/J896,0)+G896+R896)*'Inputs'!$B$17</x:f>
        <x:v>300996.28797932656</x:v>
      </x:c>
      <x:c r="AC896" s="78" t="n">
        <x:f>AC895+AB896</x:f>
        <x:v>24029987.654186223</x:v>
      </x:c>
      <x:c r="AD896" s="80" t="n">
        <x:f>Z896/(1+'Inputs'!$C$46)</x:f>
        <x:v>2.3495125126445395</x:v>
      </x:c>
      <x:c r="AE896" s="80" t="n">
        <x:f>Z896-AD896</x:f>
        <x:v>2.3495125126445395</x:v>
      </x:c>
      <x:c r="AF896" s="80" t="n">
        <x:f>D896*W896</x:f>
        <x:v>1.4649701482993291</x:v>
      </x:c>
      <x:c r="AG896" s="80" t="n">
        <x:f>C896*W896</x:f>
        <x:v>3.418263679365114</x:v>
      </x:c>
      <x:c r="AH896" s="80" t="n">
        <x:f>2*'Inputs'!$B$8*'Inputs'!$C$46</x:f>
        <x:v>5000</x:v>
      </x:c>
      <x:c r="AI896" s="81" t="n">
        <x:f>IF(AH896&gt;0,(AE896+AF896)/AH896*365,0)</x:f>
        <x:v>0.2784572342489024</x:v>
      </x:c>
      <x:c r="AJ896" s="81" t="n">
        <x:f>IF('Inputs'!$B$46&gt;0,AG896/('Inputs'!$B$19*'Inputs'!$B$46)*365,0)</x:f>
        <x:v>0.12476662429682665</x:v>
      </x:c>
      <x:c r="AK896" s="81" t="n">
        <x:f>W896/MAX($W$734:W896)-1</x:f>
        <x:v>-0.993846809161141</x:v>
      </x:c>
      <x:c r="AL896" s="83" t="n">
        <x:f>'Inputs'!$B$46</x:f>
        <x:v>1</x:v>
      </x:c>
      <x:c r="AM896" s="83" t="n">
        <x:f>'Inputs'!$C$46</x:f>
        <x:v>1</x:v>
      </x:c>
      <x:c r="AN896" s="83" t="n">
        <x:f>'Inputs'!$D$46</x:f>
        <x:v>1</x:v>
      </x:c>
      <x:c r="AO896" s="81" t="n">
        <x:f>'Inputs'!$E$46</x:f>
        <x:v>0</x:v>
      </x:c>
    </x:row>
    <x:row r="897">
      <x:c r="A897" s="59" t="str">
        <x:v>Base</x:v>
      </x:c>
      <x:c r="B897" s="59" t="n">
        <x:v>164</x:v>
      </x:c>
      <x:c r="C897" s="78" t="n">
        <x:f>(('Inputs'!$B$29*(3*164*'Inputs'!$B$12-164^2)/(2*'Inputs'!$B$12^2))-('Inputs'!$B$29*(3*163*'Inputs'!$B$12-163^2)/(2*'Inputs'!$B$12^2)))*'Inputs'!$B$46</x:f>
        <x:v>658831.1596922576</x:v>
      </x:c>
      <x:c r="D897" s="78" t="n">
        <x:f>IF('Inputs'!$C$46&gt;0,('Inputs'!$B$30*(3*164*'Inputs'!$B$12-164^2)/(2*'Inputs'!$B$12^2))-('Inputs'!$B$30*(3*163*'Inputs'!$B$12-163^2)/(2*'Inputs'!$B$12^2)),0)</x:f>
        <x:v>282356.2112966776</x:v>
      </x:c>
      <x:c r="E897" s="78" t="n">
        <x:f>C897+D897</x:f>
        <x:v>941187.3709889352</x:v>
      </x:c>
      <x:c r="F897" s="78" t="n">
        <x:f>'Inputs'!$B$13*E897+(1-'Inputs'!$B$13)/'Inputs'!$B$14*SUM(E842:E897)</x:f>
        <x:v>951405.0478513807</x:v>
      </x:c>
      <x:c r="G897" s="78" t="n">
        <x:f>F897*'Inputs'!$F$46</x:f>
        <x:v>475702.52392569033</x:v>
      </x:c>
      <x:c r="H897" s="78" t="n">
        <x:f>U896</x:f>
        <x:v>74795662.33250509</x:v>
      </x:c>
      <x:c r="I897" s="78" t="n">
        <x:f>V896</x:f>
        <x:v>387.8766060423052</x:v>
      </x:c>
      <x:c r="J897" s="79" t="n">
        <x:f>IF(H897&gt;0,I897/H897,0)</x:f>
        <x:v>0.000005185816850153618</x:v>
      </x:c>
      <x:c r="K897" s="80" t="n">
        <x:f>(H897*J897+I897)*'Inputs'!$D$46*(1+'Inputs'!$G$46)^(B897/30)</x:f>
        <x:v>775.7532120846104</x:v>
      </x:c>
      <x:c r="L897" s="80" t="n">
        <x:f>MAX(0,K897*'Inputs'!$E$46)</x:f>
        <x:v>0</x:v>
      </x:c>
      <x:c r="M897" s="80" t="n">
        <x:f>MAX(0,-K897*'Inputs'!$E$46)</x:f>
        <x:v>0</x:v>
      </x:c>
      <x:c r="N897" s="78" t="n">
        <x:f>H897*(L897*(1-'Inputs'!$B$15))/(I897+L897*(1-'Inputs'!$B$15))</x:f>
        <x:v>0</x:v>
      </x:c>
      <x:c r="O897" s="78" t="n">
        <x:f>H897-N897</x:f>
        <x:v>74795662.33250509</x:v>
      </x:c>
      <x:c r="P897" s="78" t="n">
        <x:f>I897+L897*(1-'Inputs'!$B$17)</x:f>
        <x:v>387.8766060423052</x:v>
      </x:c>
      <x:c r="Q897" s="78" t="n">
        <x:f>IF(J897&gt;0,M897/J897,0)</x:f>
        <x:v>0</x:v>
      </x:c>
      <x:c r="R897" s="78" t="n">
        <x:f>IF(B897='Inputs'!$H$46,'Inputs'!$B$27*'Inputs'!$I$46,0)</x:f>
        <x:v>0</x:v>
      </x:c>
      <x:c r="S897" s="78" t="n">
        <x:f>Q897+G897+R897</x:f>
        <x:v>475702.52392569033</x:v>
      </x:c>
      <x:c r="T897" s="78" t="n">
        <x:f>P897*(S897*(1-'Inputs'!$B$15))/(O897+S897*(1-'Inputs'!$B$15))</x:f>
        <x:v>2.4269559493246384</x:v>
      </x:c>
      <x:c r="U897" s="78" t="n">
        <x:f>O897+S897*(1-'Inputs'!$B$17)</x:f>
        <x:v>75269450.56055985</x:v>
      </x:c>
      <x:c r="V897" s="78" t="n">
        <x:f>P897-T897</x:f>
        <x:v>385.44965009298056</x:v>
      </x:c>
      <x:c r="W897" s="79" t="n">
        <x:f>IF(U897&gt;0,V897/U897,0)</x:f>
        <x:v>0.000005120930832129002</x:v>
      </x:c>
      <x:c r="X897" s="80" t="n">
        <x:f>W897*('Inputs'!$B$6-AC897)</x:f>
        <x:v>4996.323782774639</x:v>
      </x:c>
      <x:c r="Y897" s="80" t="n">
        <x:f>2*V897</x:f>
        <x:v>770.8993001859611</x:v>
      </x:c>
      <x:c r="Z897" s="80" t="n">
        <x:f>K897*'Inputs'!$B$16+(G897+R897)*J897*'Inputs'!$B$16</x:f>
        <x:v>4.669320709493069</x:v>
      </x:c>
      <x:c r="AA897" s="80" t="n">
        <x:f>K897*(1+'Inputs'!$E$46)/2*'Inputs'!$B$17</x:f>
        <x:v>1.5608716540937835</x:v>
      </x:c>
      <x:c r="AB897" s="78" t="n">
        <x:f>(IF(J897&gt;0,K897*(1-'Inputs'!$E$46)/2/J897,0)+G897+R897)*'Inputs'!$B$17</x:f>
        <x:v>302902.8766858382</x:v>
      </x:c>
      <x:c r="AC897" s="78" t="n">
        <x:f>AC896+AB897</x:f>
        <x:v>24332890.53087206</x:v>
      </x:c>
      <x:c r="AD897" s="80" t="n">
        <x:f>Z897/(1+'Inputs'!$C$46)</x:f>
        <x:v>2.3346603547465343</x:v>
      </x:c>
      <x:c r="AE897" s="80" t="n">
        <x:f>Z897-AD897</x:f>
        <x:v>2.3346603547465343</x:v>
      </x:c>
      <x:c r="AF897" s="80" t="n">
        <x:f>D897*W897</x:f>
        <x:v>1.4459266280722873</x:v>
      </x:c>
      <x:c r="AG897" s="80" t="n">
        <x:f>C897*W897</x:f>
        <x:v>3.373828798835388</x:v>
      </x:c>
      <x:c r="AH897" s="80" t="n">
        <x:f>2*'Inputs'!$B$8*'Inputs'!$C$46</x:f>
        <x:v>5000</x:v>
      </x:c>
      <x:c r="AI897" s="81" t="n">
        <x:f>IF(AH897&gt;0,(AE897+AF897)/AH897*365,0)</x:f>
        <x:v>0.275982849745774</x:v>
      </x:c>
      <x:c r="AJ897" s="81" t="n">
        <x:f>IF('Inputs'!$B$46&gt;0,AG897/('Inputs'!$B$19*'Inputs'!$B$46)*365,0)</x:f>
        <x:v>0.12314475115749167</x:v>
      </x:c>
      <x:c r="AK897" s="81" t="n">
        <x:f>W897/MAX($W$734:W897)-1</x:f>
        <x:v>-0.9939237991635294</x:v>
      </x:c>
      <x:c r="AL897" s="83" t="n">
        <x:f>'Inputs'!$B$46</x:f>
        <x:v>1</x:v>
      </x:c>
      <x:c r="AM897" s="83" t="n">
        <x:f>'Inputs'!$C$46</x:f>
        <x:v>1</x:v>
      </x:c>
      <x:c r="AN897" s="83" t="n">
        <x:f>'Inputs'!$D$46</x:f>
        <x:v>1</x:v>
      </x:c>
      <x:c r="AO897" s="81" t="n">
        <x:f>'Inputs'!$E$46</x:f>
        <x:v>0</x:v>
      </x:c>
    </x:row>
    <x:row r="898">
      <x:c r="A898" s="59" t="str">
        <x:v>Base</x:v>
      </x:c>
      <x:c r="B898" s="59" t="n">
        <x:v>165</x:v>
      </x:c>
      <x:c r="C898" s="78" t="n">
        <x:f>(('Inputs'!$B$29*(3*165*'Inputs'!$B$12-165^2)/(2*'Inputs'!$B$12^2))-('Inputs'!$B$29*(3*164*'Inputs'!$B$12-164^2)/(2*'Inputs'!$B$12^2)))*'Inputs'!$B$46</x:f>
        <x:v>658506.0517920852</x:v>
      </x:c>
      <x:c r="D898" s="78" t="n">
        <x:f>IF('Inputs'!$C$46&gt;0,('Inputs'!$B$30*(3*165*'Inputs'!$B$12-165^2)/(2*'Inputs'!$B$12^2))-('Inputs'!$B$30*(3*164*'Inputs'!$B$12-164^2)/(2*'Inputs'!$B$12^2)),0)</x:f>
        <x:v>282216.879339464</x:v>
      </x:c>
      <x:c r="E898" s="78" t="n">
        <x:f>C898+D898</x:f>
        <x:v>940722.9311315492</x:v>
      </x:c>
      <x:c r="F898" s="78" t="n">
        <x:f>'Inputs'!$B$13*E898+(1-'Inputs'!$B$13)/'Inputs'!$B$14*SUM(E843:E898)</x:f>
        <x:v>950940.6079939961</x:v>
      </x:c>
      <x:c r="G898" s="78" t="n">
        <x:f>F898*'Inputs'!$F$46</x:f>
        <x:v>475470.30399699806</x:v>
      </x:c>
      <x:c r="H898" s="78" t="n">
        <x:f>U897</x:f>
        <x:v>75269450.56055985</x:v>
      </x:c>
      <x:c r="I898" s="78" t="n">
        <x:f>V897</x:f>
        <x:v>385.44965009298056</x:v>
      </x:c>
      <x:c r="J898" s="79" t="n">
        <x:f>IF(H898&gt;0,I898/H898,0)</x:f>
        <x:v>0.000005120930832129002</x:v>
      </x:c>
      <x:c r="K898" s="80" t="n">
        <x:f>(H898*J898+I898)*'Inputs'!$D$46*(1+'Inputs'!$G$46)^(B898/30)</x:f>
        <x:v>770.8993001859611</x:v>
      </x:c>
      <x:c r="L898" s="80" t="n">
        <x:f>MAX(0,K898*'Inputs'!$E$46)</x:f>
        <x:v>0</x:v>
      </x:c>
      <x:c r="M898" s="80" t="n">
        <x:f>MAX(0,-K898*'Inputs'!$E$46)</x:f>
        <x:v>0</x:v>
      </x:c>
      <x:c r="N898" s="78" t="n">
        <x:f>H898*(L898*(1-'Inputs'!$B$15))/(I898+L898*(1-'Inputs'!$B$15))</x:f>
        <x:v>0</x:v>
      </x:c>
      <x:c r="O898" s="78" t="n">
        <x:f>H898-N898</x:f>
        <x:v>75269450.56055985</x:v>
      </x:c>
      <x:c r="P898" s="78" t="n">
        <x:f>I898+L898*(1-'Inputs'!$B$17)</x:f>
        <x:v>385.44965009298056</x:v>
      </x:c>
      <x:c r="Q898" s="78" t="n">
        <x:f>IF(J898&gt;0,M898/J898,0)</x:f>
        <x:v>0</x:v>
      </x:c>
      <x:c r="R898" s="78" t="n">
        <x:f>IF(B898='Inputs'!$H$46,'Inputs'!$B$27*'Inputs'!$I$46,0)</x:f>
        <x:v>0</x:v>
      </x:c>
      <x:c r="S898" s="78" t="n">
        <x:f>Q898+G898+R898</x:f>
        <x:v>475470.30399699806</x:v>
      </x:c>
      <x:c r="T898" s="78" t="n">
        <x:f>P898*(S898*(1-'Inputs'!$B$15))/(O898+S898*(1-'Inputs'!$B$15))</x:f>
        <x:v>2.3955210673195046</x:v>
      </x:c>
      <x:c r="U898" s="78" t="n">
        <x:f>O898+S898*(1-'Inputs'!$B$17)</x:f>
        <x:v>75743007.50317256</x:v>
      </x:c>
      <x:c r="V898" s="78" t="n">
        <x:f>P898-T898</x:f>
        <x:v>383.05412902566104</x:v>
      </x:c>
      <x:c r="W898" s="79" t="n">
        <x:f>IF(U898&gt;0,V898/U898,0)</x:f>
        <x:v>0.000005057287024278993</x:v>
      </x:c>
      <x:c r="X898" s="80" t="n">
        <x:f>W898*('Inputs'!$B$6-AC898)</x:f>
        <x:v>4932.687108486756</x:v>
      </x:c>
      <x:c r="Y898" s="80" t="n">
        <x:f>2*V898</x:f>
        <x:v>766.1082580513221</x:v>
      </x:c>
      <x:c r="Z898" s="80" t="n">
        <x:f>K898*'Inputs'!$B$16+(G898+R898)*J898*'Inputs'!$B$16</x:f>
        <x:v>4.640004904352766</x:v>
      </x:c>
      <x:c r="AA898" s="80" t="n">
        <x:f>K898*(1+'Inputs'!$E$46)/2*'Inputs'!$B$17</x:f>
        <x:v>1.5511052317624974</x:v>
      </x:c>
      <x:c r="AB898" s="78" t="n">
        <x:f>(IF(J898&gt;0,K898*(1-'Inputs'!$E$46)/2/J898,0)+G898+R898)*'Inputs'!$B$17</x:f>
        <x:v>304808.5346662248</x:v>
      </x:c>
      <x:c r="AC898" s="78" t="n">
        <x:f>AC897+AB898</x:f>
        <x:v>24637699.065538287</x:v>
      </x:c>
      <x:c r="AD898" s="80" t="n">
        <x:f>Z898/(1+'Inputs'!$C$46)</x:f>
        <x:v>2.320002452176383</x:v>
      </x:c>
      <x:c r="AE898" s="80" t="n">
        <x:f>Z898-AD898</x:f>
        <x:v>2.320002452176383</x:v>
      </x:c>
      <x:c r="AF898" s="80" t="n">
        <x:f>D898*W898</x:f>
        <x:v>1.4272517619159817</x:v>
      </x:c>
      <x:c r="AG898" s="80" t="n">
        <x:f>C898*W898</x:f>
        <x:v>3.330254111137303</x:v>
      </x:c>
      <x:c r="AH898" s="80" t="n">
        <x:f>2*'Inputs'!$B$8*'Inputs'!$C$46</x:f>
        <x:v>5000</x:v>
      </x:c>
      <x:c r="AI898" s="81" t="n">
        <x:f>IF(AH898&gt;0,(AE898+AF898)/AH898*365,0)</x:f>
        <x:v>0.27354955762874267</x:v>
      </x:c>
      <x:c r="AJ898" s="81" t="n">
        <x:f>IF('Inputs'!$B$46&gt;0,AG898/('Inputs'!$B$19*'Inputs'!$B$46)*365,0)</x:f>
        <x:v>0.12155427505651155</x:v>
      </x:c>
      <x:c r="AK898" s="81" t="n">
        <x:f>W898/MAX($W$734:W898)-1</x:f>
        <x:v>-0.9939993152310513</x:v>
      </x:c>
      <x:c r="AL898" s="83" t="n">
        <x:f>'Inputs'!$B$46</x:f>
        <x:v>1</x:v>
      </x:c>
      <x:c r="AM898" s="83" t="n">
        <x:f>'Inputs'!$C$46</x:f>
        <x:v>1</x:v>
      </x:c>
      <x:c r="AN898" s="83" t="n">
        <x:f>'Inputs'!$D$46</x:f>
        <x:v>1</x:v>
      </x:c>
      <x:c r="AO898" s="81" t="n">
        <x:f>'Inputs'!$E$46</x:f>
        <x:v>0</x:v>
      </x:c>
    </x:row>
    <x:row r="899">
      <x:c r="A899" s="59" t="str">
        <x:v>Base</x:v>
      </x:c>
      <x:c r="B899" s="59" t="n">
        <x:v>166</x:v>
      </x:c>
      <x:c r="C899" s="78" t="n">
        <x:f>(('Inputs'!$B$29*(3*166*'Inputs'!$B$12-166^2)/(2*'Inputs'!$B$12^2))-('Inputs'!$B$29*(3*165*'Inputs'!$B$12-165^2)/(2*'Inputs'!$B$12^2)))*'Inputs'!$B$46</x:f>
        <x:v>658180.9438919127</x:v>
      </x:c>
      <x:c r="D899" s="78" t="n">
        <x:f>IF('Inputs'!$C$46&gt;0,('Inputs'!$B$30*(3*166*'Inputs'!$B$12-166^2)/(2*'Inputs'!$B$12^2))-('Inputs'!$B$30*(3*165*'Inputs'!$B$12-165^2)/(2*'Inputs'!$B$12^2)),0)</x:f>
        <x:v>282077.5473822504</x:v>
      </x:c>
      <x:c r="E899" s="78" t="n">
        <x:f>C899+D899</x:f>
        <x:v>940258.4912741631</x:v>
      </x:c>
      <x:c r="F899" s="78" t="n">
        <x:f>'Inputs'!$B$13*E899+(1-'Inputs'!$B$13)/'Inputs'!$B$14*SUM(E844:E899)</x:f>
        <x:v>950476.1681366118</x:v>
      </x:c>
      <x:c r="G899" s="78" t="n">
        <x:f>F899*'Inputs'!$F$46</x:f>
        <x:v>475238.0840683059</x:v>
      </x:c>
      <x:c r="H899" s="78" t="n">
        <x:f>U898</x:f>
        <x:v>75743007.50317256</x:v>
      </x:c>
      <x:c r="I899" s="78" t="n">
        <x:f>V898</x:f>
        <x:v>383.05412902566104</x:v>
      </x:c>
      <x:c r="J899" s="79" t="n">
        <x:f>IF(H899&gt;0,I899/H899,0)</x:f>
        <x:v>0.000005057287024278993</x:v>
      </x:c>
      <x:c r="K899" s="80" t="n">
        <x:f>(H899*J899+I899)*'Inputs'!$D$46*(1+'Inputs'!$G$46)^(B899/30)</x:f>
        <x:v>766.1082580513221</x:v>
      </x:c>
      <x:c r="L899" s="80" t="n">
        <x:f>MAX(0,K899*'Inputs'!$E$46)</x:f>
        <x:v>0</x:v>
      </x:c>
      <x:c r="M899" s="80" t="n">
        <x:f>MAX(0,-K899*'Inputs'!$E$46)</x:f>
        <x:v>0</x:v>
      </x:c>
      <x:c r="N899" s="78" t="n">
        <x:f>H899*(L899*(1-'Inputs'!$B$15))/(I899+L899*(1-'Inputs'!$B$15))</x:f>
        <x:v>0</x:v>
      </x:c>
      <x:c r="O899" s="78" t="n">
        <x:f>H899-N899</x:f>
        <x:v>75743007.50317256</x:v>
      </x:c>
      <x:c r="P899" s="78" t="n">
        <x:f>I899+L899*(1-'Inputs'!$B$17)</x:f>
        <x:v>383.05412902566104</x:v>
      </x:c>
      <x:c r="Q899" s="78" t="n">
        <x:f>IF(J899&gt;0,M899/J899,0)</x:f>
        <x:v>0</x:v>
      </x:c>
      <x:c r="R899" s="78" t="n">
        <x:f>IF(B899='Inputs'!$H$46,'Inputs'!$B$27*'Inputs'!$I$46,0)</x:f>
        <x:v>0</x:v>
      </x:c>
      <x:c r="S899" s="78" t="n">
        <x:f>Q899+G899+R899</x:f>
        <x:v>475238.0840683059</x:v>
      </x:c>
      <x:c r="T899" s="78" t="n">
        <x:f>P899*(S899*(1-'Inputs'!$B$15))/(O899+S899*(1-'Inputs'!$B$15))</x:f>
        <x:v>2.364692703178028</x:v>
      </x:c>
      <x:c r="U899" s="78" t="n">
        <x:f>O899+S899*(1-'Inputs'!$B$17)</x:f>
        <x:v>76216333.16034321</x:v>
      </x:c>
      <x:c r="V899" s="78" t="n">
        <x:f>P899-T899</x:f>
        <x:v>380.689436322483</x:v>
      </x:c>
      <x:c r="W899" s="79" t="n">
        <x:f>IF(U899&gt;0,V899/U899,0)</x:f>
        <x:v>0.000004994853734587206</x:v>
      </x:c>
      <x:c r="X899" s="80" t="n">
        <x:f>W899*('Inputs'!$B$6-AC899)</x:f>
        <x:v>4870.260043516316</x:v>
      </x:c>
      <x:c r="Y899" s="80" t="n">
        <x:f>2*V899</x:f>
        <x:v>761.378872644966</x:v>
      </x:c>
      <x:c r="Z899" s="80" t="n">
        <x:f>K899*'Inputs'!$B$16+(G899+R899)*J899*'Inputs'!$B$16</x:f>
        <x:v>4.611070040683944</x:v>
      </x:c>
      <x:c r="AA899" s="80" t="n">
        <x:f>K899*(1+'Inputs'!$E$46)/2*'Inputs'!$B$17</x:f>
        <x:v>1.5414653079503464</x:v>
      </x:c>
      <x:c r="AB899" s="78" t="n">
        <x:f>(IF(J899&gt;0,K899*(1-'Inputs'!$E$46)/2/J899,0)+G899+R899)*'Inputs'!$B$17</x:f>
        <x:v>306713.26192048646</x:v>
      </x:c>
      <x:c r="AC899" s="78" t="n">
        <x:f>AC898+AB899</x:f>
        <x:v>24944412.327458773</x:v>
      </x:c>
      <x:c r="AD899" s="80" t="n">
        <x:f>Z899/(1+'Inputs'!$C$46)</x:f>
        <x:v>2.305535020341972</x:v>
      </x:c>
      <x:c r="AE899" s="80" t="n">
        <x:f>Z899-AD899</x:f>
        <x:v>2.305535020341972</x:v>
      </x:c>
      <x:c r="AF899" s="80" t="n">
        <x:f>D899*W899</x:f>
        <x:v>1.4089360909854332</x:v>
      </x:c>
      <x:c r="AG899" s="80" t="n">
        <x:f>C899*W899</x:f>
        <x:v>3.287517545632652</x:v>
      </x:c>
      <x:c r="AH899" s="80" t="n">
        <x:f>2*'Inputs'!$B$8*'Inputs'!$C$46</x:f>
        <x:v>5000</x:v>
      </x:c>
      <x:c r="AI899" s="81" t="n">
        <x:f>IF(AH899&gt;0,(AE899+AF899)/AH899*365,0)</x:f>
        <x:v>0.27115639112690054</x:v>
      </x:c>
      <x:c r="AJ899" s="81" t="n">
        <x:f>IF('Inputs'!$B$46&gt;0,AG899/('Inputs'!$B$19*'Inputs'!$B$46)*365,0)</x:f>
        <x:v>0.11999439041559182</x:v>
      </x:c>
      <x:c r="AK899" s="81" t="n">
        <x:f>W899/MAX($W$734:W899)-1</x:f>
        <x:v>-0.9940733949676236</x:v>
      </x:c>
      <x:c r="AL899" s="83" t="n">
        <x:f>'Inputs'!$B$46</x:f>
        <x:v>1</x:v>
      </x:c>
      <x:c r="AM899" s="83" t="n">
        <x:f>'Inputs'!$C$46</x:f>
        <x:v>1</x:v>
      </x:c>
      <x:c r="AN899" s="83" t="n">
        <x:f>'Inputs'!$D$46</x:f>
        <x:v>1</x:v>
      </x:c>
      <x:c r="AO899" s="81" t="n">
        <x:f>'Inputs'!$E$46</x:f>
        <x:v>0</x:v>
      </x:c>
    </x:row>
    <x:row r="900">
      <x:c r="A900" s="59" t="str">
        <x:v>Base</x:v>
      </x:c>
      <x:c r="B900" s="59" t="n">
        <x:v>167</x:v>
      </x:c>
      <x:c r="C900" s="78" t="n">
        <x:f>(('Inputs'!$B$29*(3*167*'Inputs'!$B$12-167^2)/(2*'Inputs'!$B$12^2))-('Inputs'!$B$29*(3*166*'Inputs'!$B$12-166^2)/(2*'Inputs'!$B$12^2)))*'Inputs'!$B$46</x:f>
        <x:v>657855.8359917402</x:v>
      </x:c>
      <x:c r="D900" s="78" t="n">
        <x:f>IF('Inputs'!$C$46&gt;0,('Inputs'!$B$30*(3*167*'Inputs'!$B$12-167^2)/(2*'Inputs'!$B$12^2))-('Inputs'!$B$30*(3*166*'Inputs'!$B$12-166^2)/(2*'Inputs'!$B$12^2)),0)</x:f>
        <x:v>281938.2154250294</x:v>
      </x:c>
      <x:c r="E900" s="78" t="n">
        <x:f>C900+D900</x:f>
        <x:v>939794.0514167696</x:v>
      </x:c>
      <x:c r="F900" s="78" t="n">
        <x:f>'Inputs'!$B$13*E900+(1-'Inputs'!$B$13)/'Inputs'!$B$14*SUM(E845:E900)</x:f>
        <x:v>950011.7282792255</x:v>
      </x:c>
      <x:c r="G900" s="78" t="n">
        <x:f>F900*'Inputs'!$F$46</x:f>
        <x:v>475005.86413961276</x:v>
      </x:c>
      <x:c r="H900" s="78" t="n">
        <x:f>U899</x:f>
        <x:v>76216333.16034321</x:v>
      </x:c>
      <x:c r="I900" s="78" t="n">
        <x:f>V899</x:f>
        <x:v>380.689436322483</x:v>
      </x:c>
      <x:c r="J900" s="79" t="n">
        <x:f>IF(H900&gt;0,I900/H900,0)</x:f>
        <x:v>0.000004994853734587206</x:v>
      </x:c>
      <x:c r="K900" s="80" t="n">
        <x:f>(H900*J900+I900)*'Inputs'!$D$46*(1+'Inputs'!$G$46)^(B900/30)</x:f>
        <x:v>761.378872644966</x:v>
      </x:c>
      <x:c r="L900" s="80" t="n">
        <x:f>MAX(0,K900*'Inputs'!$E$46)</x:f>
        <x:v>0</x:v>
      </x:c>
      <x:c r="M900" s="80" t="n">
        <x:f>MAX(0,-K900*'Inputs'!$E$46)</x:f>
        <x:v>0</x:v>
      </x:c>
      <x:c r="N900" s="78" t="n">
        <x:f>H900*(L900*(1-'Inputs'!$B$15))/(I900+L900*(1-'Inputs'!$B$15))</x:f>
        <x:v>0</x:v>
      </x:c>
      <x:c r="O900" s="78" t="n">
        <x:f>H900-N900</x:f>
        <x:v>76216333.16034321</x:v>
      </x:c>
      <x:c r="P900" s="78" t="n">
        <x:f>I900+L900*(1-'Inputs'!$B$17)</x:f>
        <x:v>380.689436322483</x:v>
      </x:c>
      <x:c r="Q900" s="78" t="n">
        <x:f>IF(J900&gt;0,M900/J900,0)</x:f>
        <x:v>0</x:v>
      </x:c>
      <x:c r="R900" s="78" t="n">
        <x:f>IF(B900='Inputs'!$H$46,'Inputs'!$B$27*'Inputs'!$I$46,0)</x:f>
        <x:v>0</x:v>
      </x:c>
      <x:c r="S900" s="78" t="n">
        <x:f>Q900+G900+R900</x:f>
        <x:v>475005.86413961276</x:v>
      </x:c>
      <x:c r="T900" s="78" t="n">
        <x:f>P900*(S900*(1-'Inputs'!$B$15))/(O900+S900*(1-'Inputs'!$B$15))</x:f>
        <x:v>2.3344553452785983</x:v>
      </x:c>
      <x:c r="U900" s="78" t="n">
        <x:f>O900+S900*(1-'Inputs'!$B$17)</x:f>
        <x:v>76689427.5320718</x:v>
      </x:c>
      <x:c r="V900" s="78" t="n">
        <x:f>P900-T900</x:f>
        <x:v>378.35498097720443</x:v>
      </x:c>
      <x:c r="W900" s="79" t="n">
        <x:f>IF(U900&gt;0,V900/U900,0)</x:f>
        <x:v>0.000004933600277808502</x:v>
      </x:c>
      <x:c r="X900" s="80" t="n">
        <x:f>W900*('Inputs'!$B$6-AC900)</x:f>
        <x:v>4809.011925014683</x:v>
      </x:c>
      <x:c r="Y900" s="80" t="n">
        <x:f>2*V900</x:f>
        <x:v>756.7099619544089</x:v>
      </x:c>
      <x:c r="Z900" s="80" t="n">
        <x:f>K900*'Inputs'!$B$16+(G900+R900)*J900*'Inputs'!$B$16</x:f>
        <x:v>4.582508744756487</x:v>
      </x:c>
      <x:c r="AA900" s="80" t="n">
        <x:f>K900*(1+'Inputs'!$E$46)/2*'Inputs'!$B$17</x:f>
        <x:v>1.5319494419415816</x:v>
      </x:c>
      <x:c r="AB900" s="78" t="n">
        <x:f>(IF(J900&gt;0,K900*(1-'Inputs'!$E$46)/2/J900,0)+G900+R900)*'Inputs'!$B$17</x:f>
        <x:v>308617.0584486231</x:v>
      </x:c>
      <x:c r="AC900" s="78" t="n">
        <x:f>AC899+AB900</x:f>
        <x:v>25253029.385907397</x:v>
      </x:c>
      <x:c r="AD900" s="80" t="n">
        <x:f>Z900/(1+'Inputs'!$C$46)</x:f>
        <x:v>2.2912543723782437</x:v>
      </x:c>
      <x:c r="AE900" s="80" t="n">
        <x:f>Z900-AD900</x:f>
        <x:v>2.2912543723782437</x:v>
      </x:c>
      <x:c r="AF900" s="80" t="n">
        <x:f>D900*W900</x:f>
        <x:v>1.3909704579457582</x:v>
      </x:c>
      <x:c r="AG900" s="80" t="n">
        <x:f>C900*W900</x:f>
        <x:v>3.2455977352067937</x:v>
      </x:c>
      <x:c r="AH900" s="80" t="n">
        <x:f>2*'Inputs'!$B$8*'Inputs'!$C$46</x:f>
        <x:v>5000</x:v>
      </x:c>
      <x:c r="AI900" s="81" t="n">
        <x:f>IF(AH900&gt;0,(AE900+AF900)/AH900*365,0)</x:f>
        <x:v>0.2688024126136522</x:v>
      </x:c>
      <x:c r="AJ900" s="81" t="n">
        <x:f>IF('Inputs'!$B$46&gt;0,AG900/('Inputs'!$B$19*'Inputs'!$B$46)*365,0)</x:f>
        <x:v>0.11846431733504796</x:v>
      </x:c>
      <x:c r="AK900" s="81" t="n">
        <x:f>W900/MAX($W$734:W900)-1</x:f>
        <x:v>-0.9941460747825862</x:v>
      </x:c>
      <x:c r="AL900" s="83" t="n">
        <x:f>'Inputs'!$B$46</x:f>
        <x:v>1</x:v>
      </x:c>
      <x:c r="AM900" s="83" t="n">
        <x:f>'Inputs'!$C$46</x:f>
        <x:v>1</x:v>
      </x:c>
      <x:c r="AN900" s="83" t="n">
        <x:f>'Inputs'!$D$46</x:f>
        <x:v>1</x:v>
      </x:c>
      <x:c r="AO900" s="81" t="n">
        <x:f>'Inputs'!$E$46</x:f>
        <x:v>0</x:v>
      </x:c>
    </x:row>
    <x:row r="901">
      <x:c r="A901" s="59" t="str">
        <x:v>Base</x:v>
      </x:c>
      <x:c r="B901" s="59" t="n">
        <x:v>168</x:v>
      </x:c>
      <x:c r="C901" s="78" t="n">
        <x:f>(('Inputs'!$B$29*(3*168*'Inputs'!$B$12-168^2)/(2*'Inputs'!$B$12^2))-('Inputs'!$B$29*(3*167*'Inputs'!$B$12-167^2)/(2*'Inputs'!$B$12^2)))*'Inputs'!$B$46</x:f>
        <x:v>657530.7280915678</x:v>
      </x:c>
      <x:c r="D901" s="78" t="n">
        <x:f>IF('Inputs'!$C$46&gt;0,('Inputs'!$B$30*(3*168*'Inputs'!$B$12-168^2)/(2*'Inputs'!$B$12^2))-('Inputs'!$B$30*(3*167*'Inputs'!$B$12-167^2)/(2*'Inputs'!$B$12^2)),0)</x:f>
        <x:v>281798.88346782327</x:v>
      </x:c>
      <x:c r="E901" s="78" t="n">
        <x:f>C901+D901</x:f>
        <x:v>939329.611559391</x:v>
      </x:c>
      <x:c r="F901" s="78" t="n">
        <x:f>'Inputs'!$B$13*E901+(1-'Inputs'!$B$13)/'Inputs'!$B$14*SUM(E846:E901)</x:f>
        <x:v>949547.2884218425</x:v>
      </x:c>
      <x:c r="G901" s="78" t="n">
        <x:f>F901*'Inputs'!$F$46</x:f>
        <x:v>474773.64421092125</x:v>
      </x:c>
      <x:c r="H901" s="78" t="n">
        <x:f>U900</x:f>
        <x:v>76689427.5320718</x:v>
      </x:c>
      <x:c r="I901" s="78" t="n">
        <x:f>V900</x:f>
        <x:v>378.35498097720443</x:v>
      </x:c>
      <x:c r="J901" s="79" t="n">
        <x:f>IF(H901&gt;0,I901/H901,0)</x:f>
        <x:v>0.000004933600277808502</x:v>
      </x:c>
      <x:c r="K901" s="80" t="n">
        <x:f>(H901*J901+I901)*'Inputs'!$D$46*(1+'Inputs'!$G$46)^(B901/30)</x:f>
        <x:v>756.7099619544089</x:v>
      </x:c>
      <x:c r="L901" s="80" t="n">
        <x:f>MAX(0,K901*'Inputs'!$E$46)</x:f>
        <x:v>0</x:v>
      </x:c>
      <x:c r="M901" s="80" t="n">
        <x:f>MAX(0,-K901*'Inputs'!$E$46)</x:f>
        <x:v>0</x:v>
      </x:c>
      <x:c r="N901" s="78" t="n">
        <x:f>H901*(L901*(1-'Inputs'!$B$15))/(I901+L901*(1-'Inputs'!$B$15))</x:f>
        <x:v>0</x:v>
      </x:c>
      <x:c r="O901" s="78" t="n">
        <x:f>H901-N901</x:f>
        <x:v>76689427.5320718</x:v>
      </x:c>
      <x:c r="P901" s="78" t="n">
        <x:f>I901+L901*(1-'Inputs'!$B$17)</x:f>
        <x:v>378.35498097720443</x:v>
      </x:c>
      <x:c r="Q901" s="78" t="n">
        <x:f>IF(J901&gt;0,M901/J901,0)</x:f>
        <x:v>0</x:v>
      </x:c>
      <x:c r="R901" s="78" t="n">
        <x:f>IF(B901='Inputs'!$H$46,'Inputs'!$B$27*'Inputs'!$I$46,0)</x:f>
        <x:v>0</x:v>
      </x:c>
      <x:c r="S901" s="78" t="n">
        <x:f>Q901+G901+R901</x:f>
        <x:v>474773.64421092125</x:v>
      </x:c>
      <x:c r="T901" s="78" t="n">
        <x:f>P901*(S901*(1-'Inputs'!$B$15))/(O901+S901*(1-'Inputs'!$B$15))</x:f>
        <x:v>2.304793974873307</x:v>
      </x:c>
      <x:c r="U901" s="78" t="n">
        <x:f>O901+S901*(1-'Inputs'!$B$17)</x:f>
        <x:v>77162290.61835833</x:v>
      </x:c>
      <x:c r="V901" s="78" t="n">
        <x:f>P901-T901</x:f>
        <x:v>376.05018700233114</x:v>
      </x:c>
      <x:c r="W901" s="79" t="n">
        <x:f>IF(U901&gt;0,V901/U901,0)</x:f>
        <x:v>0.000004873496937283273</x:v>
      </x:c>
      <x:c r="X901" s="80" t="n">
        <x:f>W901*('Inputs'!$B$6-AC901)</x:f>
        <x:v>4748.913058014127</x:v>
      </x:c>
      <x:c r="Y901" s="80" t="n">
        <x:f>2*V901</x:f>
        <x:v>752.1003740046623</x:v>
      </x:c>
      <x:c r="Z901" s="80" t="n">
        <x:f>K901*'Inputs'!$B$16+(G901+R901)*J901*'Inputs'!$B$16</x:f>
        <x:v>4.554313832024304</x:v>
      </x:c>
      <x:c r="AA901" s="80" t="n">
        <x:f>K901*(1+'Inputs'!$E$46)/2*'Inputs'!$B$17</x:f>
        <x:v>1.5225552554414667</x:v>
      </x:c>
      <x:c r="AB901" s="78" t="n">
        <x:f>(IF(J901&gt;0,K901*(1-'Inputs'!$E$46)/2/J901,0)+G901+R901)*'Inputs'!$B$17</x:f>
        <x:v>310519.92425063474</x:v>
      </x:c>
      <x:c r="AC901" s="78" t="n">
        <x:f>AC900+AB901</x:f>
        <x:v>25563549.310158033</x:v>
      </x:c>
      <x:c r="AD901" s="80" t="n">
        <x:f>Z901/(1+'Inputs'!$C$46)</x:f>
        <x:v>2.277156916012152</x:v>
      </x:c>
      <x:c r="AE901" s="80" t="n">
        <x:f>Z901-AD901</x:f>
        <x:v>2.277156916012152</x:v>
      </x:c>
      <x:c r="AF901" s="80" t="n">
        <x:f>D901*W901</x:f>
        <x:v>1.3733459955102825</x:v>
      </x:c>
      <x:c r="AG901" s="80" t="n">
        <x:f>C901*W901</x:f>
        <x:v>3.204473989523896</x:v>
      </x:c>
      <x:c r="AH901" s="80" t="n">
        <x:f>2*'Inputs'!$B$8*'Inputs'!$C$46</x:f>
        <x:v>5000</x:v>
      </x:c>
      <x:c r="AI901" s="81" t="n">
        <x:f>IF(AH901&gt;0,(AE901+AF901)/AH901*365,0)</x:f>
        <x:v>0.26648671254113776</x:v>
      </x:c>
      <x:c r="AJ901" s="81" t="n">
        <x:f>IF('Inputs'!$B$46&gt;0,AG901/('Inputs'!$B$19*'Inputs'!$B$46)*365,0)</x:f>
        <x:v>0.1169633006176222</x:v>
      </x:c>
      <x:c r="AK901" s="81" t="n">
        <x:f>W901/MAX($W$734:W901)-1</x:f>
        <x:v>-0.9942173899360116</x:v>
      </x:c>
      <x:c r="AL901" s="83" t="n">
        <x:f>'Inputs'!$B$46</x:f>
        <x:v>1</x:v>
      </x:c>
      <x:c r="AM901" s="83" t="n">
        <x:f>'Inputs'!$C$46</x:f>
        <x:v>1</x:v>
      </x:c>
      <x:c r="AN901" s="83" t="n">
        <x:f>'Inputs'!$D$46</x:f>
        <x:v>1</x:v>
      </x:c>
      <x:c r="AO901" s="81" t="n">
        <x:f>'Inputs'!$E$46</x:f>
        <x:v>0</x:v>
      </x:c>
    </x:row>
    <x:row r="902">
      <x:c r="A902" s="59" t="str">
        <x:v>Base</x:v>
      </x:c>
      <x:c r="B902" s="59" t="n">
        <x:v>169</x:v>
      </x:c>
      <x:c r="C902" s="78" t="n">
        <x:f>(('Inputs'!$B$29*(3*169*'Inputs'!$B$12-169^2)/(2*'Inputs'!$B$12^2))-('Inputs'!$B$29*(3*168*'Inputs'!$B$12-168^2)/(2*'Inputs'!$B$12^2)))*'Inputs'!$B$46</x:f>
        <x:v>657205.6201914102</x:v>
      </x:c>
      <x:c r="D902" s="78" t="n">
        <x:f>IF('Inputs'!$C$46&gt;0,('Inputs'!$B$30*(3*169*'Inputs'!$B$12-169^2)/(2*'Inputs'!$B$12^2))-('Inputs'!$B$30*(3*168*'Inputs'!$B$12-168^2)/(2*'Inputs'!$B$12^2)),0)</x:f>
        <x:v>281659.55151060224</x:v>
      </x:c>
      <x:c r="E902" s="78" t="n">
        <x:f>C902+D902</x:f>
        <x:v>938865.1717020124</x:v>
      </x:c>
      <x:c r="F902" s="78" t="n">
        <x:f>'Inputs'!$B$13*E902+(1-'Inputs'!$B$13)/'Inputs'!$B$14*SUM(E847:E902)</x:f>
        <x:v>949082.8485644596</x:v>
      </x:c>
      <x:c r="G902" s="78" t="n">
        <x:f>F902*'Inputs'!$F$46</x:f>
        <x:v>474541.4242822298</x:v>
      </x:c>
      <x:c r="H902" s="78" t="n">
        <x:f>U901</x:f>
        <x:v>77162290.61835833</x:v>
      </x:c>
      <x:c r="I902" s="78" t="n">
        <x:f>V901</x:f>
        <x:v>376.05018700233114</x:v>
      </x:c>
      <x:c r="J902" s="79" t="n">
        <x:f>IF(H902&gt;0,I902/H902,0)</x:f>
        <x:v>0.000004873496937283273</x:v>
      </x:c>
      <x:c r="K902" s="80" t="n">
        <x:f>(H902*J902+I902)*'Inputs'!$D$46*(1+'Inputs'!$G$46)^(B902/30)</x:f>
        <x:v>752.1003740046623</x:v>
      </x:c>
      <x:c r="L902" s="80" t="n">
        <x:f>MAX(0,K902*'Inputs'!$E$46)</x:f>
        <x:v>0</x:v>
      </x:c>
      <x:c r="M902" s="80" t="n">
        <x:f>MAX(0,-K902*'Inputs'!$E$46)</x:f>
        <x:v>0</x:v>
      </x:c>
      <x:c r="N902" s="78" t="n">
        <x:f>H902*(L902*(1-'Inputs'!$B$15))/(I902+L902*(1-'Inputs'!$B$15))</x:f>
        <x:v>0</x:v>
      </x:c>
      <x:c r="O902" s="78" t="n">
        <x:f>H902-N902</x:f>
        <x:v>77162290.61835833</x:v>
      </x:c>
      <x:c r="P902" s="78" t="n">
        <x:f>I902+L902*(1-'Inputs'!$B$17)</x:f>
        <x:v>376.05018700233114</x:v>
      </x:c>
      <x:c r="Q902" s="78" t="n">
        <x:f>IF(J902&gt;0,M902/J902,0)</x:f>
        <x:v>0</x:v>
      </x:c>
      <x:c r="R902" s="78" t="n">
        <x:f>IF(B902='Inputs'!$H$46,'Inputs'!$B$27*'Inputs'!$I$46,0)</x:f>
        <x:v>0</x:v>
      </x:c>
      <x:c r="S902" s="78" t="n">
        <x:f>Q902+G902+R902</x:f>
        <x:v>474541.4242822298</x:v>
      </x:c>
      <x:c r="T902" s="78" t="n">
        <x:f>P902*(S902*(1-'Inputs'!$B$15))/(O902+S902*(1-'Inputs'!$B$15))</x:f>
        <x:v>2.2756940474100777</x:v>
      </x:c>
      <x:c r="U902" s="78" t="n">
        <x:f>O902+S902*(1-'Inputs'!$B$17)</x:f>
        <x:v>77634922.4192028</x:v>
      </x:c>
      <x:c r="V902" s="78" t="n">
        <x:f>P902-T902</x:f>
        <x:v>373.7744929549211</x:v>
      </x:c>
      <x:c r="W902" s="79" t="n">
        <x:f>IF(U902&gt;0,V902/U902,0)</x:f>
        <x:v>0.000004814514928432116</x:v>
      </x:c>
      <x:c r="X902" s="80" t="n">
        <x:f>W902*('Inputs'!$B$6-AC902)</x:f>
        <x:v>4689.934678948953</x:v>
      </x:c>
      <x:c r="Y902" s="80" t="n">
        <x:f>2*V902</x:f>
        <x:v>747.5489859098421</x:v>
      </x:c>
      <x:c r="Z902" s="80" t="n">
        <x:f>K902*'Inputs'!$B$16+(G902+R902)*J902*'Inputs'!$B$16</x:f>
        <x:v>4.526478301095095</x:v>
      </x:c>
      <x:c r="AA902" s="80" t="n">
        <x:f>K902*(1+'Inputs'!$E$46)/2*'Inputs'!$B$17</x:f>
        <x:v>1.513280430592882</x:v>
      </x:c>
      <x:c r="AB902" s="78" t="n">
        <x:f>(IF(J902&gt;0,K902*(1-'Inputs'!$E$46)/2/J902,0)+G902+R902)*'Inputs'!$B$17</x:f>
        <x:v>312421.85932652134</x:v>
      </x:c>
      <x:c r="AC902" s="78" t="n">
        <x:f>AC901+AB902</x:f>
        <x:v>25875971.169484556</x:v>
      </x:c>
      <x:c r="AD902" s="80" t="n">
        <x:f>Z902/(1+'Inputs'!$C$46)</x:f>
        <x:v>2.2632391505475473</x:v>
      </x:c>
      <x:c r="AE902" s="80" t="n">
        <x:f>Z902-AD902</x:f>
        <x:v>2.2632391505475473</x:v>
      </x:c>
      <x:c r="AF902" s="80" t="n">
        <x:f>D902*W902</x:f>
        <x:v>1.356054115483289</x:v>
      </x:c>
      <x:c r="AG902" s="80" t="n">
        <x:f>C902*W902</x:f>
        <x:v>3.1641262694610313</x:v>
      </x:c>
      <x:c r="AH902" s="80" t="n">
        <x:f>2*'Inputs'!$B$8*'Inputs'!$C$46</x:f>
        <x:v>5000</x:v>
      </x:c>
      <x:c r="AI902" s="81" t="n">
        <x:f>IF(AH902&gt;0,(AE902+AF902)/AH902*365,0)</x:f>
        <x:v>0.26420840842025106</x:v>
      </x:c>
      <x:c r="AJ902" s="81" t="n">
        <x:f>IF('Inputs'!$B$46&gt;0,AG902/('Inputs'!$B$19*'Inputs'!$B$46)*365,0)</x:f>
        <x:v>0.11549060883532763</x:v>
      </x:c>
      <x:c r="AK902" s="81" t="n">
        <x:f>W902/MAX($W$734:W902)-1</x:f>
        <x:v>-0.9942873745820197</x:v>
      </x:c>
      <x:c r="AL902" s="83" t="n">
        <x:f>'Inputs'!$B$46</x:f>
        <x:v>1</x:v>
      </x:c>
      <x:c r="AM902" s="83" t="n">
        <x:f>'Inputs'!$C$46</x:f>
        <x:v>1</x:v>
      </x:c>
      <x:c r="AN902" s="83" t="n">
        <x:f>'Inputs'!$D$46</x:f>
        <x:v>1</x:v>
      </x:c>
      <x:c r="AO902" s="81" t="n">
        <x:f>'Inputs'!$E$46</x:f>
        <x:v>0</x:v>
      </x:c>
    </x:row>
    <x:row r="903">
      <x:c r="A903" s="59" t="str">
        <x:v>Base</x:v>
      </x:c>
      <x:c r="B903" s="59" t="n">
        <x:v>170</x:v>
      </x:c>
      <x:c r="C903" s="78" t="n">
        <x:f>(('Inputs'!$B$29*(3*170*'Inputs'!$B$12-170^2)/(2*'Inputs'!$B$12^2))-('Inputs'!$B$29*(3*169*'Inputs'!$B$12-169^2)/(2*'Inputs'!$B$12^2)))*'Inputs'!$B$46</x:f>
        <x:v>656880.5122912377</x:v>
      </x:c>
      <x:c r="D903" s="78" t="n">
        <x:f>IF('Inputs'!$C$46&gt;0,('Inputs'!$B$30*(3*170*'Inputs'!$B$12-170^2)/(2*'Inputs'!$B$12^2))-('Inputs'!$B$30*(3*169*'Inputs'!$B$12-169^2)/(2*'Inputs'!$B$12^2)),0)</x:f>
        <x:v>281520.2195533812</x:v>
      </x:c>
      <x:c r="E903" s="78" t="n">
        <x:f>C903+D903</x:f>
        <x:v>938400.7318446189</x:v>
      </x:c>
      <x:c r="F903" s="78" t="n">
        <x:f>'Inputs'!$B$13*E903+(1-'Inputs'!$B$13)/'Inputs'!$B$14*SUM(E848:E903)</x:f>
        <x:v>948618.4087070738</x:v>
      </x:c>
      <x:c r="G903" s="78" t="n">
        <x:f>F903*'Inputs'!$F$46</x:f>
        <x:v>474309.2043535369</x:v>
      </x:c>
      <x:c r="H903" s="78" t="n">
        <x:f>U902</x:f>
        <x:v>77634922.4192028</x:v>
      </x:c>
      <x:c r="I903" s="78" t="n">
        <x:f>V902</x:f>
        <x:v>373.7744929549211</x:v>
      </x:c>
      <x:c r="J903" s="79" t="n">
        <x:f>IF(H903&gt;0,I903/H903,0)</x:f>
        <x:v>0.000004814514928432116</x:v>
      </x:c>
      <x:c r="K903" s="80" t="n">
        <x:f>(H903*J903+I903)*'Inputs'!$D$46*(1+'Inputs'!$G$46)^(B903/30)</x:f>
        <x:v>747.5489859098421</x:v>
      </x:c>
      <x:c r="L903" s="80" t="n">
        <x:f>MAX(0,K903*'Inputs'!$E$46)</x:f>
        <x:v>0</x:v>
      </x:c>
      <x:c r="M903" s="80" t="n">
        <x:f>MAX(0,-K903*'Inputs'!$E$46)</x:f>
        <x:v>0</x:v>
      </x:c>
      <x:c r="N903" s="78" t="n">
        <x:f>H903*(L903*(1-'Inputs'!$B$15))/(I903+L903*(1-'Inputs'!$B$15))</x:f>
        <x:v>0</x:v>
      </x:c>
      <x:c r="O903" s="78" t="n">
        <x:f>H903-N903</x:f>
        <x:v>77634922.4192028</x:v>
      </x:c>
      <x:c r="P903" s="78" t="n">
        <x:f>I903+L903*(1-'Inputs'!$B$17)</x:f>
        <x:v>373.7744929549211</x:v>
      </x:c>
      <x:c r="Q903" s="78" t="n">
        <x:f>IF(J903&gt;0,M903/J903,0)</x:f>
        <x:v>0</x:v>
      </x:c>
      <x:c r="R903" s="78" t="n">
        <x:f>IF(B903='Inputs'!$H$46,'Inputs'!$B$27*'Inputs'!$I$46,0)</x:f>
        <x:v>0</x:v>
      </x:c>
      <x:c r="S903" s="78" t="n">
        <x:f>Q903+G903+R903</x:f>
        <x:v>474309.2043535369</x:v>
      </x:c>
      <x:c r="T903" s="78" t="n">
        <x:f>P903*(S903*(1-'Inputs'!$B$15))/(O903+S903*(1-'Inputs'!$B$15))</x:f>
        <x:v>2.247141474675564</x:v>
      </x:c>
      <x:c r="U903" s="78" t="n">
        <x:f>O903+S903*(1-'Inputs'!$B$17)</x:f>
        <x:v>78107322.93460523</x:v>
      </x:c>
      <x:c r="V903" s="78" t="n">
        <x:f>P903-T903</x:f>
        <x:v>371.5273514802455</x:v>
      </x:c>
      <x:c r="W903" s="79" t="n">
        <x:f>IF(U903&gt;0,V903/U903,0)</x:f>
        <x:v>0.0000047566263638468825</x:v>
      </x:c>
      <x:c r="X903" s="80" t="n">
        <x:f>W903*('Inputs'!$B$6-AC903)</x:f>
        <x:v>4632.048920771848</x:v>
      </x:c>
      <x:c r="Y903" s="80" t="n">
        <x:f>2*V903</x:f>
        <x:v>743.054702960491</x:v>
      </x:c>
      <x:c r="Z903" s="80" t="n">
        <x:f>K903*'Inputs'!$B$16+(G903+R903)*J903*'Inputs'!$B$16</x:f>
        <x:v>4.49899532792937</x:v>
      </x:c>
      <x:c r="AA903" s="80" t="n">
        <x:f>K903*(1+'Inputs'!$E$46)/2*'Inputs'!$B$17</x:f>
        <x:v>1.504122708068093</x:v>
      </x:c>
      <x:c r="AB903" s="78" t="n">
        <x:f>(IF(J903&gt;0,K903*(1-'Inputs'!$E$46)/2/J903,0)+G903+R903)*'Inputs'!$B$17</x:f>
        <x:v>314322.8636762831</x:v>
      </x:c>
      <x:c r="AC903" s="78" t="n">
        <x:f>AC902+AB903</x:f>
        <x:v>26190294.03316084</x:v>
      </x:c>
      <x:c r="AD903" s="80" t="n">
        <x:f>Z903/(1+'Inputs'!$C$46)</x:f>
        <x:v>2.249497663964685</x:v>
      </x:c>
      <x:c r="AE903" s="80" t="n">
        <x:f>Z903-AD903</x:f>
        <x:v>2.249497663964685</x:v>
      </x:c>
      <x:c r="AF903" s="80" t="n">
        <x:f>D903*W903</x:f>
        <x:v>1.3390864982835757</x:v>
      </x:c>
      <x:c r="AG903" s="80" t="n">
        <x:f>C903*W903</x:f>
        <x:v>3.1245351626617475</x:v>
      </x:c>
      <x:c r="AH903" s="80" t="n">
        <x:f>2*'Inputs'!$B$8*'Inputs'!$C$46</x:f>
        <x:v>5000</x:v>
      </x:c>
      <x:c r="AI903" s="81" t="n">
        <x:f>IF(AH903&gt;0,(AE903+AF903)/AH903*365,0)</x:f>
        <x:v>0.26196664384412305</x:v>
      </x:c>
      <x:c r="AJ903" s="81" t="n">
        <x:f>IF('Inputs'!$B$46&gt;0,AG903/('Inputs'!$B$19*'Inputs'!$B$46)*365,0)</x:f>
        <x:v>0.11404553343715378</x:v>
      </x:c>
      <x:c r="AK903" s="81" t="n">
        <x:f>W903/MAX($W$734:W903)-1</x:f>
        <x:v>-0.9943560618101985</x:v>
      </x:c>
      <x:c r="AL903" s="83" t="n">
        <x:f>'Inputs'!$B$46</x:f>
        <x:v>1</x:v>
      </x:c>
      <x:c r="AM903" s="83" t="n">
        <x:f>'Inputs'!$C$46</x:f>
        <x:v>1</x:v>
      </x:c>
      <x:c r="AN903" s="83" t="n">
        <x:f>'Inputs'!$D$46</x:f>
        <x:v>1</x:v>
      </x:c>
      <x:c r="AO903" s="81" t="n">
        <x:f>'Inputs'!$E$46</x:f>
        <x:v>0</x:v>
      </x:c>
    </x:row>
    <x:row r="904">
      <x:c r="A904" s="59" t="str">
        <x:v>Base</x:v>
      </x:c>
      <x:c r="B904" s="59" t="n">
        <x:v>171</x:v>
      </x:c>
      <x:c r="C904" s="78" t="n">
        <x:f>(('Inputs'!$B$29*(3*171*'Inputs'!$B$12-171^2)/(2*'Inputs'!$B$12^2))-('Inputs'!$B$29*(3*170*'Inputs'!$B$12-170^2)/(2*'Inputs'!$B$12^2)))*'Inputs'!$B$46</x:f>
        <x:v>656555.4043910652</x:v>
      </x:c>
      <x:c r="D904" s="78" t="n">
        <x:f>IF('Inputs'!$C$46&gt;0,('Inputs'!$B$30*(3*171*'Inputs'!$B$12-171^2)/(2*'Inputs'!$B$12^2))-('Inputs'!$B$30*(3*170*'Inputs'!$B$12-170^2)/(2*'Inputs'!$B$12^2)),0)</x:f>
        <x:v>281380.8875961751</x:v>
      </x:c>
      <x:c r="E904" s="78" t="n">
        <x:f>C904+D904</x:f>
        <x:v>937936.2919872403</x:v>
      </x:c>
      <x:c r="F904" s="78" t="n">
        <x:f>'Inputs'!$B$13*E904+(1-'Inputs'!$B$13)/'Inputs'!$B$14*SUM(E849:E904)</x:f>
        <x:v>948153.9688496906</x:v>
      </x:c>
      <x:c r="G904" s="78" t="n">
        <x:f>F904*'Inputs'!$F$46</x:f>
        <x:v>474076.9844248453</x:v>
      </x:c>
      <x:c r="H904" s="78" t="n">
        <x:f>U903</x:f>
        <x:v>78107322.93460523</x:v>
      </x:c>
      <x:c r="I904" s="78" t="n">
        <x:f>V903</x:f>
        <x:v>371.5273514802455</x:v>
      </x:c>
      <x:c r="J904" s="79" t="n">
        <x:f>IF(H904&gt;0,I904/H904,0)</x:f>
        <x:v>0.0000047566263638468825</x:v>
      </x:c>
      <x:c r="K904" s="80" t="n">
        <x:f>(H904*J904+I904)*'Inputs'!$D$46*(1+'Inputs'!$G$46)^(B904/30)</x:f>
        <x:v>743.0547029604909</x:v>
      </x:c>
      <x:c r="L904" s="80" t="n">
        <x:f>MAX(0,K904*'Inputs'!$E$46)</x:f>
        <x:v>0</x:v>
      </x:c>
      <x:c r="M904" s="80" t="n">
        <x:f>MAX(0,-K904*'Inputs'!$E$46)</x:f>
        <x:v>0</x:v>
      </x:c>
      <x:c r="N904" s="78" t="n">
        <x:f>H904*(L904*(1-'Inputs'!$B$15))/(I904+L904*(1-'Inputs'!$B$15))</x:f>
        <x:v>0</x:v>
      </x:c>
      <x:c r="O904" s="78" t="n">
        <x:f>H904-N904</x:f>
        <x:v>78107322.93460523</x:v>
      </x:c>
      <x:c r="P904" s="78" t="n">
        <x:f>I904+L904*(1-'Inputs'!$B$17)</x:f>
        <x:v>371.5273514802455</x:v>
      </x:c>
      <x:c r="Q904" s="78" t="n">
        <x:f>IF(J904&gt;0,M904/J904,0)</x:f>
        <x:v>0</x:v>
      </x:c>
      <x:c r="R904" s="78" t="n">
        <x:f>IF(B904='Inputs'!$H$46,'Inputs'!$B$27*'Inputs'!$I$46,0)</x:f>
        <x:v>0</x:v>
      </x:c>
      <x:c r="S904" s="78" t="n">
        <x:f>Q904+G904+R904</x:f>
        <x:v>474076.9844248453</x:v>
      </x:c>
      <x:c r="T904" s="78" t="n">
        <x:f>P904*(S904*(1-'Inputs'!$B$15))/(O904+S904*(1-'Inputs'!$B$15))</x:f>
        <x:v>2.219122607717792</x:v>
      </x:c>
      <x:c r="U904" s="78" t="n">
        <x:f>O904+S904*(1-'Inputs'!$B$17)</x:f>
        <x:v>78579492.16456558</x:v>
      </x:c>
      <x:c r="V904" s="78" t="n">
        <x:f>P904-T904</x:f>
        <x:v>369.3082288725277</x:v>
      </x:c>
      <x:c r="W904" s="79" t="n">
        <x:f>IF(U904&gt;0,V904/U904,0)</x:f>
        <x:v>0.000004699804219898771</x:v>
      </x:c>
      <x:c r="X904" s="80" t="n">
        <x:f>W904*('Inputs'!$B$6-AC904)</x:f>
        <x:v>4575.228779586181</x:v>
      </x:c>
      <x:c r="Y904" s="80" t="n">
        <x:f>2*V904</x:f>
        <x:v>738.6164577450554</x:v>
      </x:c>
      <x:c r="Z904" s="80" t="n">
        <x:f>K904*'Inputs'!$B$16+(G904+R904)*J904*'Inputs'!$B$16</x:f>
        <x:v>4.471858260258594</x:v>
      </x:c>
      <x:c r="AA904" s="80" t="n">
        <x:f>K904*(1+'Inputs'!$E$46)/2*'Inputs'!$B$17</x:f>
        <x:v>1.4950798852323761</x:v>
      </x:c>
      <x:c r="AB904" s="78" t="n">
        <x:f>(IF(J904&gt;0,K904*(1-'Inputs'!$E$46)/2/J904,0)+G904+R904)*'Inputs'!$B$17</x:f>
        <x:v>316222.93729991984</x:v>
      </x:c>
      <x:c r="AC904" s="78" t="n">
        <x:f>AC903+AB904</x:f>
        <x:v>26506516.970460758</x:v>
      </x:c>
      <x:c r="AD904" s="80" t="n">
        <x:f>Z904/(1+'Inputs'!$C$46)</x:f>
        <x:v>2.235929130129297</x:v>
      </x:c>
      <x:c r="AE904" s="80" t="n">
        <x:f>Z904-AD904</x:f>
        <x:v>2.235929130129297</x:v>
      </x:c>
      <x:c r="AF904" s="80" t="n">
        <x:f>D904*W904</x:f>
        <x:v>1.3224350829233653</x:v>
      </x:c>
      <x:c r="AG904" s="80" t="n">
        <x:f>C904*W904</x:f>
        <x:v>3.0856818601544727</x:v>
      </x:c>
      <x:c r="AH904" s="80" t="n">
        <x:f>2*'Inputs'!$B$8*'Inputs'!$C$46</x:f>
        <x:v>5000</x:v>
      </x:c>
      <x:c r="AI904" s="81" t="n">
        <x:f>IF(AH904&gt;0,(AE904+AF904)/AH904*365,0)</x:f>
        <x:v>0.25976058755284437</x:v>
      </x:c>
      <x:c r="AJ904" s="81" t="n">
        <x:f>IF('Inputs'!$B$46&gt;0,AG904/('Inputs'!$B$19*'Inputs'!$B$46)*365,0)</x:f>
        <x:v>0.11262738789563824</x:v>
      </x:c>
      <x:c r="AK904" s="81" t="n">
        <x:f>W904/MAX($W$734:W904)-1</x:f>
        <x:v>-0.9944234836852259</x:v>
      </x:c>
      <x:c r="AL904" s="83" t="n">
        <x:f>'Inputs'!$B$46</x:f>
        <x:v>1</x:v>
      </x:c>
      <x:c r="AM904" s="83" t="n">
        <x:f>'Inputs'!$C$46</x:f>
        <x:v>1</x:v>
      </x:c>
      <x:c r="AN904" s="83" t="n">
        <x:f>'Inputs'!$D$46</x:f>
        <x:v>1</x:v>
      </x:c>
      <x:c r="AO904" s="81" t="n">
        <x:f>'Inputs'!$E$46</x:f>
        <x:v>0</x:v>
      </x:c>
    </x:row>
    <x:row r="905">
      <x:c r="A905" s="59" t="str">
        <x:v>Base</x:v>
      </x:c>
      <x:c r="B905" s="59" t="n">
        <x:v>172</x:v>
      </x:c>
      <x:c r="C905" s="78" t="n">
        <x:f>(('Inputs'!$B$29*(3*172*'Inputs'!$B$12-172^2)/(2*'Inputs'!$B$12^2))-('Inputs'!$B$29*(3*171*'Inputs'!$B$12-171^2)/(2*'Inputs'!$B$12^2)))*'Inputs'!$B$46</x:f>
        <x:v>656230.2964908928</x:v>
      </x:c>
      <x:c r="D905" s="78" t="n">
        <x:f>IF('Inputs'!$C$46&gt;0,('Inputs'!$B$30*(3*172*'Inputs'!$B$12-172^2)/(2*'Inputs'!$B$12^2))-('Inputs'!$B$30*(3*171*'Inputs'!$B$12-171^2)/(2*'Inputs'!$B$12^2)),0)</x:f>
        <x:v>281241.55563895404</x:v>
      </x:c>
      <x:c r="E905" s="78" t="n">
        <x:f>C905+D905</x:f>
        <x:v>937471.8521298468</x:v>
      </x:c>
      <x:c r="F905" s="78" t="n">
        <x:f>'Inputs'!$B$13*E905+(1-'Inputs'!$B$13)/'Inputs'!$B$14*SUM(E850:E905)</x:f>
        <x:v>947689.5289923045</x:v>
      </x:c>
      <x:c r="G905" s="78" t="n">
        <x:f>F905*'Inputs'!$F$46</x:f>
        <x:v>473844.76449615223</x:v>
      </x:c>
      <x:c r="H905" s="78" t="n">
        <x:f>U904</x:f>
        <x:v>78579492.16456558</x:v>
      </x:c>
      <x:c r="I905" s="78" t="n">
        <x:f>V904</x:f>
        <x:v>369.3082288725277</x:v>
      </x:c>
      <x:c r="J905" s="79" t="n">
        <x:f>IF(H905&gt;0,I905/H905,0)</x:f>
        <x:v>0.000004699804219898771</x:v>
      </x:c>
      <x:c r="K905" s="80" t="n">
        <x:f>(H905*J905+I905)*'Inputs'!$D$46*(1+'Inputs'!$G$46)^(B905/30)</x:f>
        <x:v>738.6164577450554</x:v>
      </x:c>
      <x:c r="L905" s="80" t="n">
        <x:f>MAX(0,K905*'Inputs'!$E$46)</x:f>
        <x:v>0</x:v>
      </x:c>
      <x:c r="M905" s="80" t="n">
        <x:f>MAX(0,-K905*'Inputs'!$E$46)</x:f>
        <x:v>0</x:v>
      </x:c>
      <x:c r="N905" s="78" t="n">
        <x:f>H905*(L905*(1-'Inputs'!$B$15))/(I905+L905*(1-'Inputs'!$B$15))</x:f>
        <x:v>0</x:v>
      </x:c>
      <x:c r="O905" s="78" t="n">
        <x:f>H905-N905</x:f>
        <x:v>78579492.16456558</x:v>
      </x:c>
      <x:c r="P905" s="78" t="n">
        <x:f>I905+L905*(1-'Inputs'!$B$17)</x:f>
        <x:v>369.3082288725277</x:v>
      </x:c>
      <x:c r="Q905" s="78" t="n">
        <x:f>IF(J905&gt;0,M905/J905,0)</x:f>
        <x:v>0</x:v>
      </x:c>
      <x:c r="R905" s="78" t="n">
        <x:f>IF(B905='Inputs'!$H$46,'Inputs'!$B$27*'Inputs'!$I$46,0)</x:f>
        <x:v>0</x:v>
      </x:c>
      <x:c r="S905" s="78" t="n">
        <x:f>Q905+G905+R905</x:f>
        <x:v>473844.76449615223</x:v>
      </x:c>
      <x:c r="T905" s="78" t="n">
        <x:f>P905*(S905*(1-'Inputs'!$B$15))/(O905+S905*(1-'Inputs'!$B$15))</x:f>
        <x:v>2.191624220509811</x:v>
      </x:c>
      <x:c r="U905" s="78" t="n">
        <x:f>O905+S905*(1-'Inputs'!$B$17)</x:f>
        <x:v>79051430.10908388</x:v>
      </x:c>
      <x:c r="V905" s="78" t="n">
        <x:f>P905-T905</x:f>
        <x:v>367.1166046520179</x:v>
      </x:c>
      <x:c r="W905" s="79" t="n">
        <x:f>IF(U905&gt;0,V905/U905,0)</x:f>
        <x:v>0.00000464402230478854</x:v>
      </x:c>
      <x:c r="X905" s="80" t="n">
        <x:f>W905*('Inputs'!$B$6-AC905)</x:f>
        <x:v>4519.448082719381</x:v>
      </x:c>
      <x:c r="Y905" s="80" t="n">
        <x:f>2*V905</x:f>
        <x:v>734.2332093040358</x:v>
      </x:c>
      <x:c r="Z905" s="80" t="n">
        <x:f>K905*'Inputs'!$B$16+(G905+R905)*J905*'Inputs'!$B$16</x:f>
        <x:v>4.445060612212869</x:v>
      </x:c>
      <x:c r="AA905" s="80" t="n">
        <x:f>K905*(1+'Inputs'!$E$46)/2*'Inputs'!$B$17</x:f>
        <x:v>1.4861498143763692</x:v>
      </x:c>
      <x:c r="AB905" s="78" t="n">
        <x:f>(IF(J905&gt;0,K905*(1-'Inputs'!$E$46)/2/J905,0)+G905+R905)*'Inputs'!$B$17</x:f>
        <x:v>318122.0801974315</x:v>
      </x:c>
      <x:c r="AC905" s="78" t="n">
        <x:f>AC904+AB905</x:f>
        <x:v>26824639.05065819</x:v>
      </x:c>
      <x:c r="AD905" s="80" t="n">
        <x:f>Z905/(1+'Inputs'!$C$46)</x:f>
        <x:v>2.2225303061064343</x:v>
      </x:c>
      <x:c r="AE905" s="80" t="n">
        <x:f>Z905-AD905</x:f>
        <x:v>2.2225303061064343</x:v>
      </x:c>
      <x:c r="AF905" s="80" t="n">
        <x:f>D905*W905</x:f>
        <x:v>1.3060920574207298</x:v>
      </x:c>
      <x:c r="AG905" s="80" t="n">
        <x:f>C905*W905</x:f>
        <x:v>3.0475481339817025</x:v>
      </x:c>
      <x:c r="AH905" s="80" t="n">
        <x:f>2*'Inputs'!$B$8*'Inputs'!$C$46</x:f>
        <x:v>5000</x:v>
      </x:c>
      <x:c r="AI905" s="81" t="n">
        <x:f>IF(AH905&gt;0,(AE905+AF905)/AH905*365,0)</x:f>
        <x:v>0.257589432537483</x:v>
      </x:c>
      <x:c r="AJ905" s="81" t="n">
        <x:f>IF('Inputs'!$B$46&gt;0,AG905/('Inputs'!$B$19*'Inputs'!$B$46)*365,0)</x:f>
        <x:v>0.11123550689033214</x:v>
      </x:c>
      <x:c r="AK905" s="81" t="n">
        <x:f>W905/MAX($W$734:W905)-1</x:f>
        <x:v>-0.9944896712847784</x:v>
      </x:c>
      <x:c r="AL905" s="83" t="n">
        <x:f>'Inputs'!$B$46</x:f>
        <x:v>1</x:v>
      </x:c>
      <x:c r="AM905" s="83" t="n">
        <x:f>'Inputs'!$C$46</x:f>
        <x:v>1</x:v>
      </x:c>
      <x:c r="AN905" s="83" t="n">
        <x:f>'Inputs'!$D$46</x:f>
        <x:v>1</x:v>
      </x:c>
      <x:c r="AO905" s="81" t="n">
        <x:f>'Inputs'!$E$46</x:f>
        <x:v>0</x:v>
      </x:c>
    </x:row>
    <x:row r="906">
      <x:c r="A906" s="59" t="str">
        <x:v>Base</x:v>
      </x:c>
      <x:c r="B906" s="59" t="n">
        <x:v>173</x:v>
      </x:c>
      <x:c r="C906" s="78" t="n">
        <x:f>(('Inputs'!$B$29*(3*173*'Inputs'!$B$12-173^2)/(2*'Inputs'!$B$12^2))-('Inputs'!$B$29*(3*172*'Inputs'!$B$12-172^2)/(2*'Inputs'!$B$12^2)))*'Inputs'!$B$46</x:f>
        <x:v>655905.1885907352</x:v>
      </x:c>
      <x:c r="D906" s="78" t="n">
        <x:f>IF('Inputs'!$C$46&gt;0,('Inputs'!$B$30*(3*173*'Inputs'!$B$12-173^2)/(2*'Inputs'!$B$12^2))-('Inputs'!$B$30*(3*172*'Inputs'!$B$12-172^2)/(2*'Inputs'!$B$12^2)),0)</x:f>
        <x:v>281102.2236817479</x:v>
      </x:c>
      <x:c r="E906" s="78" t="n">
        <x:f>C906+D906</x:f>
        <x:v>937007.4122724831</x:v>
      </x:c>
      <x:c r="F906" s="78" t="n">
        <x:f>'Inputs'!$B$13*E906+(1-'Inputs'!$B$13)/'Inputs'!$B$14*SUM(E851:E906)</x:f>
        <x:v>947225.0891349247</x:v>
      </x:c>
      <x:c r="G906" s="78" t="n">
        <x:f>F906*'Inputs'!$F$46</x:f>
        <x:v>473612.54456746235</x:v>
      </x:c>
      <x:c r="H906" s="78" t="n">
        <x:f>U905</x:f>
        <x:v>79051430.10908388</x:v>
      </x:c>
      <x:c r="I906" s="78" t="n">
        <x:f>V905</x:f>
        <x:v>367.1166046520179</x:v>
      </x:c>
      <x:c r="J906" s="79" t="n">
        <x:f>IF(H906&gt;0,I906/H906,0)</x:f>
        <x:v>0.00000464402230478854</x:v>
      </x:c>
      <x:c r="K906" s="80" t="n">
        <x:f>(H906*J906+I906)*'Inputs'!$D$46*(1+'Inputs'!$G$46)^(B906/30)</x:f>
        <x:v>734.2332093040358</x:v>
      </x:c>
      <x:c r="L906" s="80" t="n">
        <x:f>MAX(0,K906*'Inputs'!$E$46)</x:f>
        <x:v>0</x:v>
      </x:c>
      <x:c r="M906" s="80" t="n">
        <x:f>MAX(0,-K906*'Inputs'!$E$46)</x:f>
        <x:v>0</x:v>
      </x:c>
      <x:c r="N906" s="78" t="n">
        <x:f>H906*(L906*(1-'Inputs'!$B$15))/(I906+L906*(1-'Inputs'!$B$15))</x:f>
        <x:v>0</x:v>
      </x:c>
      <x:c r="O906" s="78" t="n">
        <x:f>H906-N906</x:f>
        <x:v>79051430.10908388</x:v>
      </x:c>
      <x:c r="P906" s="78" t="n">
        <x:f>I906+L906*(1-'Inputs'!$B$17)</x:f>
        <x:v>367.1166046520179</x:v>
      </x:c>
      <x:c r="Q906" s="78" t="n">
        <x:f>IF(J906&gt;0,M906/J906,0)</x:f>
        <x:v>0</x:v>
      </x:c>
      <x:c r="R906" s="78" t="n">
        <x:f>IF(B906='Inputs'!$H$46,'Inputs'!$B$27*'Inputs'!$I$46,0)</x:f>
        <x:v>0</x:v>
      </x:c>
      <x:c r="S906" s="78" t="n">
        <x:f>Q906+G906+R906</x:f>
        <x:v>473612.54456746235</x:v>
      </x:c>
      <x:c r="T906" s="78" t="n">
        <x:f>P906*(S906*(1-'Inputs'!$B$15))/(O906+S906*(1-'Inputs'!$B$15))</x:f>
        <x:v>2.164633494317986</x:v>
      </x:c>
      <x:c r="U906" s="78" t="n">
        <x:f>O906+S906*(1-'Inputs'!$B$17)</x:f>
        <x:v>79523136.76816012</x:v>
      </x:c>
      <x:c r="V906" s="78" t="n">
        <x:f>P906-T906</x:f>
        <x:v>364.9519711576999</x:v>
      </x:c>
      <x:c r="W906" s="79" t="n">
        <x:f>IF(U906&gt;0,V906/U906,0)</x:f>
        <x:v>0.0000045892552279680855</x:v>
      </x:c>
      <x:c r="X906" s="80" t="n">
        <x:f>W906*('Inputs'!$B$6-AC906)</x:f>
        <x:v>4464.681458166686</x:v>
      </x:c>
      <x:c r="Y906" s="80" t="n">
        <x:f>2*V906</x:f>
        <x:v>729.9039423153998</x:v>
      </x:c>
      <x:c r="Z906" s="80" t="n">
        <x:f>K906*'Inputs'!$B$16+(G906+R906)*J906*'Inputs'!$B$16</x:f>
        <x:v>4.418596059149008</x:v>
      </x:c>
      <x:c r="AA906" s="80" t="n">
        <x:f>K906*(1+'Inputs'!$E$46)/2*'Inputs'!$B$17</x:f>
        <x:v>1.4773304010141566</x:v>
      </x:c>
      <x:c r="AB906" s="78" t="n">
        <x:f>(IF(J906&gt;0,K906*(1-'Inputs'!$E$46)/2/J906,0)+G906+R906)*'Inputs'!$B$17</x:f>
        <x:v>320020.2923688183</x:v>
      </x:c>
      <x:c r="AC906" s="78" t="n">
        <x:f>AC905+AB906</x:f>
        <x:v>27144659.343027007</x:v>
      </x:c>
      <x:c r="AD906" s="80" t="n">
        <x:f>Z906/(1+'Inputs'!$C$46)</x:f>
        <x:v>2.209298029574504</x:v>
      </x:c>
      <x:c r="AE906" s="80" t="n">
        <x:f>Z906-AD906</x:f>
        <x:v>2.209298029574504</x:v>
      </x:c>
      <x:c r="AF906" s="80" t="n">
        <x:f>D906*W906</x:f>
        <x:v>1.2900498496249158</x:v>
      </x:c>
      <x:c r="AG906" s="80" t="n">
        <x:f>C906*W906</x:f>
        <x:v>3.0101163157914246</x:v>
      </x:c>
      <x:c r="AH906" s="80" t="n">
        <x:f>2*'Inputs'!$B$8*'Inputs'!$C$46</x:f>
        <x:v>5000</x:v>
      </x:c>
      <x:c r="AI906" s="81" t="n">
        <x:f>IF(AH906&gt;0,(AE906+AF906)/AH906*365,0)</x:f>
        <x:v>0.25545239518155766</x:v>
      </x:c>
      <x:c r="AJ906" s="81" t="n">
        <x:f>IF('Inputs'!$B$46&gt;0,AG906/('Inputs'!$B$19*'Inputs'!$B$46)*365,0)</x:f>
        <x:v>0.109869245526387</x:v>
      </x:c>
      <x:c r="AK906" s="81" t="n">
        <x:f>W906/MAX($W$734:W906)-1</x:f>
        <x:v>-0.9945546547358142</x:v>
      </x:c>
      <x:c r="AL906" s="83" t="n">
        <x:f>'Inputs'!$B$46</x:f>
        <x:v>1</x:v>
      </x:c>
      <x:c r="AM906" s="83" t="n">
        <x:f>'Inputs'!$C$46</x:f>
        <x:v>1</x:v>
      </x:c>
      <x:c r="AN906" s="83" t="n">
        <x:f>'Inputs'!$D$46</x:f>
        <x:v>1</x:v>
      </x:c>
      <x:c r="AO906" s="81" t="n">
        <x:f>'Inputs'!$E$46</x:f>
        <x:v>0</x:v>
      </x:c>
    </x:row>
    <x:row r="907">
      <x:c r="A907" s="59" t="str">
        <x:v>Base</x:v>
      </x:c>
      <x:c r="B907" s="59" t="n">
        <x:v>174</x:v>
      </x:c>
      <x:c r="C907" s="78" t="n">
        <x:f>(('Inputs'!$B$29*(3*174*'Inputs'!$B$12-174^2)/(2*'Inputs'!$B$12^2))-('Inputs'!$B$29*(3*173*'Inputs'!$B$12-173^2)/(2*'Inputs'!$B$12^2)))*'Inputs'!$B$46</x:f>
        <x:v>655580.0806905627</x:v>
      </x:c>
      <x:c r="D907" s="78" t="n">
        <x:f>IF('Inputs'!$C$46&gt;0,('Inputs'!$B$30*(3*174*'Inputs'!$B$12-174^2)/(2*'Inputs'!$B$12^2))-('Inputs'!$B$30*(3*173*'Inputs'!$B$12-173^2)/(2*'Inputs'!$B$12^2)),0)</x:f>
        <x:v>280962.89172451943</x:v>
      </x:c>
      <x:c r="E907" s="78" t="n">
        <x:f>C907+D907</x:f>
        <x:v>936542.9724150822</x:v>
      </x:c>
      <x:c r="F907" s="78" t="n">
        <x:f>'Inputs'!$B$13*E907+(1-'Inputs'!$B$13)/'Inputs'!$B$14*SUM(E852:E907)</x:f>
        <x:v>946760.6492775369</x:v>
      </x:c>
      <x:c r="G907" s="78" t="n">
        <x:f>F907*'Inputs'!$F$46</x:f>
        <x:v>473380.32463876845</x:v>
      </x:c>
      <x:c r="H907" s="78" t="n">
        <x:f>U906</x:f>
        <x:v>79523136.76816012</x:v>
      </x:c>
      <x:c r="I907" s="78" t="n">
        <x:f>V906</x:f>
        <x:v>364.9519711576999</x:v>
      </x:c>
      <x:c r="J907" s="79" t="n">
        <x:f>IF(H907&gt;0,I907/H907,0)</x:f>
        <x:v>0.0000045892552279680855</x:v>
      </x:c>
      <x:c r="K907" s="80" t="n">
        <x:f>(H907*J907+I907)*'Inputs'!$D$46*(1+'Inputs'!$G$46)^(B907/30)</x:f>
        <x:v>729.9039423153998</x:v>
      </x:c>
      <x:c r="L907" s="80" t="n">
        <x:f>MAX(0,K907*'Inputs'!$E$46)</x:f>
        <x:v>0</x:v>
      </x:c>
      <x:c r="M907" s="80" t="n">
        <x:f>MAX(0,-K907*'Inputs'!$E$46)</x:f>
        <x:v>0</x:v>
      </x:c>
      <x:c r="N907" s="78" t="n">
        <x:f>H907*(L907*(1-'Inputs'!$B$15))/(I907+L907*(1-'Inputs'!$B$15))</x:f>
        <x:v>0</x:v>
      </x:c>
      <x:c r="O907" s="78" t="n">
        <x:f>H907-N907</x:f>
        <x:v>79523136.76816012</x:v>
      </x:c>
      <x:c r="P907" s="78" t="n">
        <x:f>I907+L907*(1-'Inputs'!$B$17)</x:f>
        <x:v>364.9519711576999</x:v>
      </x:c>
      <x:c r="Q907" s="78" t="n">
        <x:f>IF(J907&gt;0,M907/J907,0)</x:f>
        <x:v>0</x:v>
      </x:c>
      <x:c r="R907" s="78" t="n">
        <x:f>IF(B907='Inputs'!$H$46,'Inputs'!$B$27*'Inputs'!$I$46,0)</x:f>
        <x:v>0</x:v>
      </x:c>
      <x:c r="S907" s="78" t="n">
        <x:f>Q907+G907+R907</x:f>
        <x:v>473380.32463876845</x:v>
      </x:c>
      <x:c r="T907" s="78" t="n">
        <x:f>P907*(S907*(1-'Inputs'!$B$15))/(O907+S907*(1-'Inputs'!$B$15))</x:f>
        <x:v>2.1381380027401735</x:v>
      </x:c>
      <x:c r="U907" s="78" t="n">
        <x:f>O907+S907*(1-'Inputs'!$B$17)</x:f>
        <x:v>79994612.14179431</x:v>
      </x:c>
      <x:c r="V907" s="78" t="n">
        <x:f>P907-T907</x:f>
        <x:v>362.81383315495975</x:v>
      </x:c>
      <x:c r="W907" s="79" t="n">
        <x:f>IF(U907&gt;0,V907/U907,0)</x:f>
        <x:v>0.000004535478370866462</x:v>
      </x:c>
      <x:c r="X907" s="80" t="n">
        <x:f>W907*('Inputs'!$B$6-AC907)</x:f>
        <x:v>4410.904305338389</x:v>
      </x:c>
      <x:c r="Y907" s="80" t="n">
        <x:f>2*V907</x:f>
        <x:v>725.6276663099195</x:v>
      </x:c>
      <x:c r="Z907" s="80" t="n">
        <x:f>K907*'Inputs'!$B$16+(G907+R907)*J907*'Inputs'!$B$16</x:f>
        <x:v>4.392458432670393</x:v>
      </x:c>
      <x:c r="AA907" s="80" t="n">
        <x:f>K907*(1+'Inputs'!$E$46)/2*'Inputs'!$B$17</x:f>
        <x:v>1.4686196022442655</x:v>
      </x:c>
      <x:c r="AB907" s="78" t="n">
        <x:f>(IF(J907&gt;0,K907*(1-'Inputs'!$E$46)/2/J907,0)+G907+R907)*'Inputs'!$B$17</x:f>
        <x:v>321917.57381408004</x:v>
      </x:c>
      <x:c r="AC907" s="78" t="n">
        <x:f>AC906+AB907</x:f>
        <x:v>27466576.916841086</x:v>
      </x:c>
      <x:c r="AD907" s="80" t="n">
        <x:f>Z907/(1+'Inputs'!$C$46)</x:f>
        <x:v>2.1962292163351966</x:v>
      </x:c>
      <x:c r="AE907" s="80" t="n">
        <x:f>Z907-AD907</x:f>
        <x:v>2.1962292163351966</x:v>
      </x:c>
      <x:c r="AF907" s="80" t="n">
        <x:f>D907*W907</x:f>
        <x:v>1.2743011184326536</x:v>
      </x:c>
      <x:c r="AG907" s="80" t="n">
        <x:f>C907*W907</x:f>
        <x:v>2.9733692763429374</x:v>
      </x:c>
      <x:c r="AH907" s="80" t="n">
        <x:f>2*'Inputs'!$B$8*'Inputs'!$C$46</x:f>
        <x:v>5000</x:v>
      </x:c>
      <x:c r="AI907" s="81" t="n">
        <x:f>IF(AH907&gt;0,(AE907+AF907)/AH907*365,0)</x:f>
        <x:v>0.253348714438053</x:v>
      </x:c>
      <x:c r="AJ907" s="81" t="n">
        <x:f>IF('Inputs'!$B$46&gt;0,AG907/('Inputs'!$B$19*'Inputs'!$B$46)*365,0)</x:f>
        <x:v>0.10852797858651722</x:v>
      </x:c>
      <x:c r="AK907" s="81" t="n">
        <x:f>W907/MAX($W$734:W907)-1</x:f>
        <x:v>-0.9946184632493081</x:v>
      </x:c>
      <x:c r="AL907" s="83" t="n">
        <x:f>'Inputs'!$B$46</x:f>
        <x:v>1</x:v>
      </x:c>
      <x:c r="AM907" s="83" t="n">
        <x:f>'Inputs'!$C$46</x:f>
        <x:v>1</x:v>
      </x:c>
      <x:c r="AN907" s="83" t="n">
        <x:f>'Inputs'!$D$46</x:f>
        <x:v>1</x:v>
      </x:c>
      <x:c r="AO907" s="81" t="n">
        <x:f>'Inputs'!$E$46</x:f>
        <x:v>0</x:v>
      </x:c>
    </x:row>
    <x:row r="908">
      <x:c r="A908" s="59" t="str">
        <x:v>Base</x:v>
      </x:c>
      <x:c r="B908" s="59" t="n">
        <x:v>175</x:v>
      </x:c>
      <x:c r="C908" s="78" t="n">
        <x:f>(('Inputs'!$B$29*(3*175*'Inputs'!$B$12-175^2)/(2*'Inputs'!$B$12^2))-('Inputs'!$B$29*(3*174*'Inputs'!$B$12-174^2)/(2*'Inputs'!$B$12^2)))*'Inputs'!$B$46</x:f>
        <x:v>655254.9727903903</x:v>
      </x:c>
      <x:c r="D908" s="78" t="n">
        <x:f>IF('Inputs'!$C$46&gt;0,('Inputs'!$B$30*(3*175*'Inputs'!$B$12-175^2)/(2*'Inputs'!$B$12^2))-('Inputs'!$B$30*(3*174*'Inputs'!$B$12-174^2)/(2*'Inputs'!$B$12^2)),0)</x:f>
        <x:v>280823.5597673133</x:v>
      </x:c>
      <x:c r="E908" s="78" t="n">
        <x:f>C908+D908</x:f>
        <x:v>936078.5325577036</x:v>
      </x:c>
      <x:c r="F908" s="78" t="n">
        <x:f>'Inputs'!$B$13*E908+(1-'Inputs'!$B$13)/'Inputs'!$B$14*SUM(E853:E908)</x:f>
        <x:v>946296.2094201541</x:v>
      </x:c>
      <x:c r="G908" s="78" t="n">
        <x:f>F908*'Inputs'!$F$46</x:f>
        <x:v>473148.10471007705</x:v>
      </x:c>
      <x:c r="H908" s="78" t="n">
        <x:f>U907</x:f>
        <x:v>79994612.14179431</x:v>
      </x:c>
      <x:c r="I908" s="78" t="n">
        <x:f>V907</x:f>
        <x:v>362.81383315495975</x:v>
      </x:c>
      <x:c r="J908" s="79" t="n">
        <x:f>IF(H908&gt;0,I908/H908,0)</x:f>
        <x:v>0.000004535478370866462</x:v>
      </x:c>
      <x:c r="K908" s="80" t="n">
        <x:f>(H908*J908+I908)*'Inputs'!$D$46*(1+'Inputs'!$G$46)^(B908/30)</x:f>
        <x:v>725.6276663099195</x:v>
      </x:c>
      <x:c r="L908" s="80" t="n">
        <x:f>MAX(0,K908*'Inputs'!$E$46)</x:f>
        <x:v>0</x:v>
      </x:c>
      <x:c r="M908" s="80" t="n">
        <x:f>MAX(0,-K908*'Inputs'!$E$46)</x:f>
        <x:v>0</x:v>
      </x:c>
      <x:c r="N908" s="78" t="n">
        <x:f>H908*(L908*(1-'Inputs'!$B$15))/(I908+L908*(1-'Inputs'!$B$15))</x:f>
        <x:v>0</x:v>
      </x:c>
      <x:c r="O908" s="78" t="n">
        <x:f>H908-N908</x:f>
        <x:v>79994612.14179431</x:v>
      </x:c>
      <x:c r="P908" s="78" t="n">
        <x:f>I908+L908*(1-'Inputs'!$B$17)</x:f>
        <x:v>362.81383315495975</x:v>
      </x:c>
      <x:c r="Q908" s="78" t="n">
        <x:f>IF(J908&gt;0,M908/J908,0)</x:f>
        <x:v>0</x:v>
      </x:c>
      <x:c r="R908" s="78" t="n">
        <x:f>IF(B908='Inputs'!$H$46,'Inputs'!$B$27*'Inputs'!$I$46,0)</x:f>
        <x:v>0</x:v>
      </x:c>
      <x:c r="S908" s="78" t="n">
        <x:f>Q908+G908+R908</x:f>
        <x:v>473148.10471007705</x:v>
      </x:c>
      <x:c r="T908" s="78" t="n">
        <x:f>P908*(S908*(1-'Inputs'!$B$15))/(O908+S908*(1-'Inputs'!$B$15))</x:f>
        <x:v>2.1121256973814933</x:v>
      </x:c>
      <x:c r="U908" s="78" t="n">
        <x:f>O908+S908*(1-'Inputs'!$B$17)</x:f>
        <x:v>80465856.22998644</x:v>
      </x:c>
      <x:c r="V908" s="78" t="n">
        <x:f>P908-T908</x:f>
        <x:v>360.70170745757827</x:v>
      </x:c>
      <x:c r="W908" s="79" t="n">
        <x:f>IF(U908&gt;0,V908/U908,0)</x:f>
        <x:v>0.000004482667858857121</x:v>
      </x:c>
      <x:c r="X908" s="80" t="n">
        <x:f>W908*('Inputs'!$B$6-AC908)</x:f>
        <x:v>4358.092767047415</x:v>
      </x:c>
      <x:c r="Y908" s="80" t="n">
        <x:f>2*V908</x:f>
        <x:v>721.4034149151565</x:v>
      </x:c>
      <x:c r="Z908" s="80" t="n">
        <x:f>K908*'Inputs'!$B$16+(G908+R908)*J908*'Inputs'!$B$16</x:f>
        <x:v>4.366641715830291</x:v>
      </x:c>
      <x:c r="AA908" s="80" t="n">
        <x:f>K908*(1+'Inputs'!$E$46)/2*'Inputs'!$B$17</x:f>
        <x:v>1.4600154251708644</x:v>
      </x:c>
      <x:c r="AB908" s="78" t="n">
        <x:f>(IF(J908&gt;0,K908*(1-'Inputs'!$E$46)/2/J908,0)+G908+R908)*'Inputs'!$B$17</x:f>
        <x:v>323813.92453321686</x:v>
      </x:c>
      <x:c r="AC908" s="78" t="n">
        <x:f>AC907+AB908</x:f>
        <x:v>27790390.841374304</x:v>
      </x:c>
      <x:c r="AD908" s="80" t="n">
        <x:f>Z908/(1+'Inputs'!$C$46)</x:f>
        <x:v>2.1833208579151453</x:v>
      </x:c>
      <x:c r="AE908" s="80" t="n">
        <x:f>Z908-AD908</x:f>
        <x:v>2.1833208579151453</x:v>
      </x:c>
      <x:c r="AF908" s="80" t="n">
        <x:f>D908*W908</x:f>
        <x:v>1.258838745378777</x:v>
      </x:c>
      <x:c r="AG908" s="80" t="n">
        <x:f>C908*W908</x:f>
        <x:v>2.9372904058837794</x:v>
      </x:c>
      <x:c r="AH908" s="80" t="n">
        <x:f>2*'Inputs'!$B$8*'Inputs'!$C$46</x:f>
        <x:v>5000</x:v>
      </x:c>
      <x:c r="AI908" s="81" t="n">
        <x:f>IF(AH908&gt;0,(AE908+AF908)/AH908*365,0)</x:f>
        <x:v>0.25127765104045635</x:v>
      </x:c>
      <x:c r="AJ908" s="81" t="n">
        <x:f>IF('Inputs'!$B$46&gt;0,AG908/('Inputs'!$B$19*'Inputs'!$B$46)*365,0)</x:f>
        <x:v>0.10721109981475795</x:v>
      </x:c>
      <x:c r="AK908" s="81" t="n">
        <x:f>W908/MAX($W$734:W908)-1</x:f>
        <x:v>-0.9946811251535136</x:v>
      </x:c>
      <x:c r="AL908" s="83" t="n">
        <x:f>'Inputs'!$B$46</x:f>
        <x:v>1</x:v>
      </x:c>
      <x:c r="AM908" s="83" t="n">
        <x:f>'Inputs'!$C$46</x:f>
        <x:v>1</x:v>
      </x:c>
      <x:c r="AN908" s="83" t="n">
        <x:f>'Inputs'!$D$46</x:f>
        <x:v>1</x:v>
      </x:c>
      <x:c r="AO908" s="81" t="n">
        <x:f>'Inputs'!$E$46</x:f>
        <x:v>0</x:v>
      </x:c>
    </x:row>
    <x:row r="909">
      <x:c r="A909" s="59" t="str">
        <x:v>Base</x:v>
      </x:c>
      <x:c r="B909" s="59" t="n">
        <x:v>176</x:v>
      </x:c>
      <x:c r="C909" s="78" t="n">
        <x:f>(('Inputs'!$B$29*(3*176*'Inputs'!$B$12-176^2)/(2*'Inputs'!$B$12^2))-('Inputs'!$B$29*(3*175*'Inputs'!$B$12-175^2)/(2*'Inputs'!$B$12^2)))*'Inputs'!$B$46</x:f>
        <x:v>654929.8648902178</x:v>
      </x:c>
      <x:c r="D909" s="78" t="n">
        <x:f>IF('Inputs'!$C$46&gt;0,('Inputs'!$B$30*(3*176*'Inputs'!$B$12-176^2)/(2*'Inputs'!$B$12^2))-('Inputs'!$B$30*(3*175*'Inputs'!$B$12-175^2)/(2*'Inputs'!$B$12^2)),0)</x:f>
        <x:v>280684.2278100997</x:v>
      </x:c>
      <x:c r="E909" s="78" t="n">
        <x:f>C909+D909</x:f>
        <x:v>935614.0927003175</x:v>
      </x:c>
      <x:c r="F909" s="78" t="n">
        <x:f>'Inputs'!$B$13*E909+(1-'Inputs'!$B$13)/'Inputs'!$B$14*SUM(E854:E909)</x:f>
        <x:v>945831.7695627694</x:v>
      </x:c>
      <x:c r="G909" s="78" t="n">
        <x:f>F909*'Inputs'!$F$46</x:f>
        <x:v>472915.8847813847</x:v>
      </x:c>
      <x:c r="H909" s="78" t="n">
        <x:f>U908</x:f>
        <x:v>80465856.22998644</x:v>
      </x:c>
      <x:c r="I909" s="78" t="n">
        <x:f>V908</x:f>
        <x:v>360.70170745757827</x:v>
      </x:c>
      <x:c r="J909" s="79" t="n">
        <x:f>IF(H909&gt;0,I909/H909,0)</x:f>
        <x:v>0.000004482667858857121</x:v>
      </x:c>
      <x:c r="K909" s="80" t="n">
        <x:f>(H909*J909+I909)*'Inputs'!$D$46*(1+'Inputs'!$G$46)^(B909/30)</x:f>
        <x:v>721.4034149151564</x:v>
      </x:c>
      <x:c r="L909" s="80" t="n">
        <x:f>MAX(0,K909*'Inputs'!$E$46)</x:f>
        <x:v>0</x:v>
      </x:c>
      <x:c r="M909" s="80" t="n">
        <x:f>MAX(0,-K909*'Inputs'!$E$46)</x:f>
        <x:v>0</x:v>
      </x:c>
      <x:c r="N909" s="78" t="n">
        <x:f>H909*(L909*(1-'Inputs'!$B$15))/(I909+L909*(1-'Inputs'!$B$15))</x:f>
        <x:v>0</x:v>
      </x:c>
      <x:c r="O909" s="78" t="n">
        <x:f>H909-N909</x:f>
        <x:v>80465856.22998644</x:v>
      </x:c>
      <x:c r="P909" s="78" t="n">
        <x:f>I909+L909*(1-'Inputs'!$B$17)</x:f>
        <x:v>360.70170745757827</x:v>
      </x:c>
      <x:c r="Q909" s="78" t="n">
        <x:f>IF(J909&gt;0,M909/J909,0)</x:f>
        <x:v>0</x:v>
      </x:c>
      <x:c r="R909" s="78" t="n">
        <x:f>IF(B909='Inputs'!$H$46,'Inputs'!$B$27*'Inputs'!$I$46,0)</x:f>
        <x:v>0</x:v>
      </x:c>
      <x:c r="S909" s="78" t="n">
        <x:f>Q909+G909+R909</x:f>
        <x:v>472915.8847813847</x:v>
      </x:c>
      <x:c r="T909" s="78" t="n">
        <x:f>P909*(S909*(1-'Inputs'!$B$15))/(O909+S909*(1-'Inputs'!$B$15))</x:f>
        <x:v>2.0865848941364376</x:v>
      </x:c>
      <x:c r="U909" s="78" t="n">
        <x:f>O909+S909*(1-'Inputs'!$B$17)</x:f>
        <x:v>80936869.03273651</x:v>
      </x:c>
      <x:c r="V909" s="78" t="n">
        <x:f>P909-T909</x:f>
        <x:v>358.61512256344184</x:v>
      </x:c>
      <x:c r="W909" s="79" t="n">
        <x:f>IF(U909&gt;0,V909/U909,0)</x:f>
        <x:v>0.00000443080053440655</x:v>
      </x:c>
      <x:c r="X909" s="80" t="n">
        <x:f>W909*('Inputs'!$B$6-AC909)</x:f>
        <x:v>4306.223702677434</x:v>
      </x:c>
      <x:c r="Y909" s="80" t="n">
        <x:f>2*V909</x:f>
        <x:v>717.2302451268837</x:v>
      </x:c>
      <x:c r="Z909" s="80" t="n">
        <x:f>K909*'Inputs'!$B$16+(G909+R909)*J909*'Inputs'!$B$16</x:f>
        <x:v>4.341140038510853</x:v>
      </x:c>
      <x:c r="AA909" s="80" t="n">
        <x:f>K909*(1+'Inputs'!$E$46)/2*'Inputs'!$B$17</x:f>
        <x:v>1.4515159253826087</x:v>
      </x:c>
      <x:c r="AB909" s="78" t="n">
        <x:f>(IF(J909&gt;0,K909*(1-'Inputs'!$E$46)/2/J909,0)+G909+R909)*'Inputs'!$B$17</x:f>
        <x:v>325709.3445262287</x:v>
      </x:c>
      <x:c r="AC909" s="78" t="n">
        <x:f>AC908+AB909</x:f>
        <x:v>28116100.18590053</x:v>
      </x:c>
      <x:c r="AD909" s="80" t="n">
        <x:f>Z909/(1+'Inputs'!$C$46)</x:f>
        <x:v>2.1705700192554267</x:v>
      </x:c>
      <x:c r="AE909" s="80" t="n">
        <x:f>Z909-AD909</x:f>
        <x:v>2.1705700192554267</x:v>
      </x:c>
      <x:c r="AF909" s="80" t="n">
        <x:f>D909*W909</x:f>
        <x:v>1.2436558265804796</x:v>
      </x:c>
      <x:c r="AG909" s="80" t="n">
        <x:f>C909*W909</x:f>
        <x:v>2.9018635953543868</x:v>
      </x:c>
      <x:c r="AH909" s="80" t="n">
        <x:f>2*'Inputs'!$B$8*'Inputs'!$C$46</x:f>
        <x:v>5000</x:v>
      </x:c>
      <x:c r="AI909" s="81" t="n">
        <x:f>IF(AH909&gt;0,(AE909+AF909)/AH909*365,0)</x:f>
        <x:v>0.24923848674602117</x:v>
      </x:c>
      <x:c r="AJ909" s="81" t="n">
        <x:f>IF('Inputs'!$B$46&gt;0,AG909/('Inputs'!$B$19*'Inputs'!$B$46)*365,0)</x:f>
        <x:v>0.10591802123043513</x:v>
      </x:c>
      <x:c r="AK909" s="81" t="n">
        <x:f>W909/MAX($W$734:W909)-1</x:f>
        <x:v>-0.9947426679258227</x:v>
      </x:c>
      <x:c r="AL909" s="83" t="n">
        <x:f>'Inputs'!$B$46</x:f>
        <x:v>1</x:v>
      </x:c>
      <x:c r="AM909" s="83" t="n">
        <x:f>'Inputs'!$C$46</x:f>
        <x:v>1</x:v>
      </x:c>
      <x:c r="AN909" s="83" t="n">
        <x:f>'Inputs'!$D$46</x:f>
        <x:v>1</x:v>
      </x:c>
      <x:c r="AO909" s="81" t="n">
        <x:f>'Inputs'!$E$46</x:f>
        <x:v>0</x:v>
      </x:c>
    </x:row>
    <x:row r="910">
      <x:c r="A910" s="59" t="str">
        <x:v>Base</x:v>
      </x:c>
      <x:c r="B910" s="59" t="n">
        <x:v>177</x:v>
      </x:c>
      <x:c r="C910" s="78" t="n">
        <x:f>(('Inputs'!$B$29*(3*177*'Inputs'!$B$12-177^2)/(2*'Inputs'!$B$12^2))-('Inputs'!$B$29*(3*176*'Inputs'!$B$12-176^2)/(2*'Inputs'!$B$12^2)))*'Inputs'!$B$46</x:f>
        <x:v>654604.7569900602</x:v>
      </x:c>
      <x:c r="D910" s="78" t="n">
        <x:f>IF('Inputs'!$C$46&gt;0,('Inputs'!$B$30*(3*177*'Inputs'!$B$12-177^2)/(2*'Inputs'!$B$12^2))-('Inputs'!$B$30*(3*176*'Inputs'!$B$12-176^2)/(2*'Inputs'!$B$12^2)),0)</x:f>
        <x:v>280544.8958528787</x:v>
      </x:c>
      <x:c r="E910" s="78" t="n">
        <x:f>C910+D910</x:f>
        <x:v>935149.6528429389</x:v>
      </x:c>
      <x:c r="F910" s="78" t="n">
        <x:f>'Inputs'!$B$13*E910+(1-'Inputs'!$B$13)/'Inputs'!$B$14*SUM(E855:E910)</x:f>
        <x:v>945367.3297053867</x:v>
      </x:c>
      <x:c r="G910" s="78" t="n">
        <x:f>F910*'Inputs'!$F$46</x:f>
        <x:v>472683.6648526933</x:v>
      </x:c>
      <x:c r="H910" s="78" t="n">
        <x:f>U909</x:f>
        <x:v>80936869.03273651</x:v>
      </x:c>
      <x:c r="I910" s="78" t="n">
        <x:f>V909</x:f>
        <x:v>358.61512256344184</x:v>
      </x:c>
      <x:c r="J910" s="79" t="n">
        <x:f>IF(H910&gt;0,I910/H910,0)</x:f>
        <x:v>0.00000443080053440655</x:v>
      </x:c>
      <x:c r="K910" s="80" t="n">
        <x:f>(H910*J910+I910)*'Inputs'!$D$46*(1+'Inputs'!$G$46)^(B910/30)</x:f>
        <x:v>717.2302451268838</x:v>
      </x:c>
      <x:c r="L910" s="80" t="n">
        <x:f>MAX(0,K910*'Inputs'!$E$46)</x:f>
        <x:v>0</x:v>
      </x:c>
      <x:c r="M910" s="80" t="n">
        <x:f>MAX(0,-K910*'Inputs'!$E$46)</x:f>
        <x:v>0</x:v>
      </x:c>
      <x:c r="N910" s="78" t="n">
        <x:f>H910*(L910*(1-'Inputs'!$B$15))/(I910+L910*(1-'Inputs'!$B$15))</x:f>
        <x:v>0</x:v>
      </x:c>
      <x:c r="O910" s="78" t="n">
        <x:f>H910-N910</x:f>
        <x:v>80936869.03273651</x:v>
      </x:c>
      <x:c r="P910" s="78" t="n">
        <x:f>I910+L910*(1-'Inputs'!$B$17)</x:f>
        <x:v>358.61512256344184</x:v>
      </x:c>
      <x:c r="Q910" s="78" t="n">
        <x:f>IF(J910&gt;0,M910/J910,0)</x:f>
        <x:v>0</x:v>
      </x:c>
      <x:c r="R910" s="78" t="n">
        <x:f>IF(B910='Inputs'!$H$46,'Inputs'!$B$27*'Inputs'!$I$46,0)</x:f>
        <x:v>0</x:v>
      </x:c>
      <x:c r="S910" s="78" t="n">
        <x:f>Q910+G910+R910</x:f>
        <x:v>472683.6648526933</x:v>
      </x:c>
      <x:c r="T910" s="78" t="n">
        <x:f>P910*(S910*(1-'Inputs'!$B$15))/(O910+S910*(1-'Inputs'!$B$15))</x:f>
        <x:v>2.0615042600485136</x:v>
      </x:c>
      <x:c r="U910" s="78" t="n">
        <x:f>O910+S910*(1-'Inputs'!$B$17)</x:f>
        <x:v>81407650.55004452</x:v>
      </x:c>
      <x:c r="V910" s="78" t="n">
        <x:f>P910-T910</x:f>
        <x:v>356.5536183033933</x:v>
      </x:c>
      <x:c r="W910" s="79" t="n">
        <x:f>IF(U910&gt;0,V910/U910,0)</x:f>
        <x:v>0.000004379853931347713</x:v>
      </x:c>
      <x:c r="X910" s="80" t="n">
        <x:f>W910*('Inputs'!$B$6-AC910)</x:f>
        <x:v>4255.274662474967</x:v>
      </x:c>
      <x:c r="Y910" s="80" t="n">
        <x:f>2*V910</x:f>
        <x:v>713.1072366067866</x:v>
      </x:c>
      <x:c r="Z910" s="80" t="n">
        <x:f>K910*'Inputs'!$B$16+(G910+R910)*J910*'Inputs'!$B$16</x:f>
        <x:v>4.31594767297031</x:v>
      </x:c>
      <x:c r="AA910" s="80" t="n">
        <x:f>K910*(1+'Inputs'!$E$46)/2*'Inputs'!$B$17</x:f>
        <x:v>1.443119205486688</x:v>
      </x:c>
      <x:c r="AB910" s="78" t="n">
        <x:f>(IF(J910&gt;0,K910*(1-'Inputs'!$E$46)/2/J910,0)+G910+R910)*'Inputs'!$B$17</x:f>
        <x:v>327603.8337931155</x:v>
      </x:c>
      <x:c r="AC910" s="78" t="n">
        <x:f>AC909+AB910</x:f>
        <x:v>28443704.019693647</x:v>
      </x:c>
      <x:c r="AD910" s="80" t="n">
        <x:f>Z910/(1+'Inputs'!$C$46)</x:f>
        <x:v>2.157973836485155</x:v>
      </x:c>
      <x:c r="AE910" s="80" t="n">
        <x:f>Z910-AD910</x:f>
        <x:v>2.157973836485155</x:v>
      </x:c>
      <x:c r="AF910" s="80" t="n">
        <x:f>D910*W910</x:f>
        <x:v>1.2287456650207655</x:v>
      </x:c>
      <x:c r="AG910" s="80" t="n">
        <x:f>C910*W910</x:f>
        <x:v>2.8670732183818295</x:v>
      </x:c>
      <x:c r="AH910" s="80" t="n">
        <x:f>2*'Inputs'!$B$8*'Inputs'!$C$46</x:f>
        <x:v>5000</x:v>
      </x:c>
      <x:c r="AI910" s="81" t="n">
        <x:f>IF(AH910&gt;0,(AE910+AF910)/AH910*365,0)</x:f>
        <x:v>0.24723052360993222</x:v>
      </x:c>
      <x:c r="AJ910" s="81" t="n">
        <x:f>IF('Inputs'!$B$46&gt;0,AG910/('Inputs'!$B$19*'Inputs'!$B$46)*365,0)</x:f>
        <x:v>0.10464817247093677</x:v>
      </x:c>
      <x:c r="AK910" s="81" t="n">
        <x:f>W910/MAX($W$734:W910)-1</x:f>
        <x:v>-0.9948031182232918</x:v>
      </x:c>
      <x:c r="AL910" s="83" t="n">
        <x:f>'Inputs'!$B$46</x:f>
        <x:v>1</x:v>
      </x:c>
      <x:c r="AM910" s="83" t="n">
        <x:f>'Inputs'!$C$46</x:f>
        <x:v>1</x:v>
      </x:c>
      <x:c r="AN910" s="83" t="n">
        <x:f>'Inputs'!$D$46</x:f>
        <x:v>1</x:v>
      </x:c>
      <x:c r="AO910" s="81" t="n">
        <x:f>'Inputs'!$E$46</x:f>
        <x:v>0</x:v>
      </x:c>
    </x:row>
    <x:row r="911">
      <x:c r="A911" s="59" t="str">
        <x:v>Base</x:v>
      </x:c>
      <x:c r="B911" s="59" t="n">
        <x:v>178</x:v>
      </x:c>
      <x:c r="C911" s="78" t="n">
        <x:f>(('Inputs'!$B$29*(3*178*'Inputs'!$B$12-178^2)/(2*'Inputs'!$B$12^2))-('Inputs'!$B$29*(3*177*'Inputs'!$B$12-177^2)/(2*'Inputs'!$B$12^2)))*'Inputs'!$B$46</x:f>
        <x:v>654279.6490898877</x:v>
      </x:c>
      <x:c r="D911" s="78" t="n">
        <x:f>IF('Inputs'!$C$46&gt;0,('Inputs'!$B$30*(3*178*'Inputs'!$B$12-178^2)/(2*'Inputs'!$B$12^2))-('Inputs'!$B$30*(3*177*'Inputs'!$B$12-177^2)/(2*'Inputs'!$B$12^2)),0)</x:f>
        <x:v>280405.5638956651</x:v>
      </x:c>
      <x:c r="E911" s="78" t="n">
        <x:f>C911+D911</x:f>
        <x:v>934685.2129855528</x:v>
      </x:c>
      <x:c r="F911" s="78" t="n">
        <x:f>'Inputs'!$B$13*E911+(1-'Inputs'!$B$13)/'Inputs'!$B$14*SUM(E856:E911)</x:f>
        <x:v>944902.889848002</x:v>
      </x:c>
      <x:c r="G911" s="78" t="n">
        <x:f>F911*'Inputs'!$F$46</x:f>
        <x:v>472451.444924001</x:v>
      </x:c>
      <x:c r="H911" s="78" t="n">
        <x:f>U910</x:f>
        <x:v>81407650.55004452</x:v>
      </x:c>
      <x:c r="I911" s="78" t="n">
        <x:f>V910</x:f>
        <x:v>356.5536183033933</x:v>
      </x:c>
      <x:c r="J911" s="79" t="n">
        <x:f>IF(H911&gt;0,I911/H911,0)</x:f>
        <x:v>0.000004379853931347713</x:v>
      </x:c>
      <x:c r="K911" s="80" t="n">
        <x:f>(H911*J911+I911)*'Inputs'!$D$46*(1+'Inputs'!$G$46)^(B911/30)</x:f>
        <x:v>713.1072366067866</x:v>
      </x:c>
      <x:c r="L911" s="80" t="n">
        <x:f>MAX(0,K911*'Inputs'!$E$46)</x:f>
        <x:v>0</x:v>
      </x:c>
      <x:c r="M911" s="80" t="n">
        <x:f>MAX(0,-K911*'Inputs'!$E$46)</x:f>
        <x:v>0</x:v>
      </x:c>
      <x:c r="N911" s="78" t="n">
        <x:f>H911*(L911*(1-'Inputs'!$B$15))/(I911+L911*(1-'Inputs'!$B$15))</x:f>
        <x:v>0</x:v>
      </x:c>
      <x:c r="O911" s="78" t="n">
        <x:f>H911-N911</x:f>
        <x:v>81407650.55004452</x:v>
      </x:c>
      <x:c r="P911" s="78" t="n">
        <x:f>I911+L911*(1-'Inputs'!$B$17)</x:f>
        <x:v>356.5536183033933</x:v>
      </x:c>
      <x:c r="Q911" s="78" t="n">
        <x:f>IF(J911&gt;0,M911/J911,0)</x:f>
        <x:v>0</x:v>
      </x:c>
      <x:c r="R911" s="78" t="n">
        <x:f>IF(B911='Inputs'!$H$46,'Inputs'!$B$27*'Inputs'!$I$46,0)</x:f>
        <x:v>0</x:v>
      </x:c>
      <x:c r="S911" s="78" t="n">
        <x:f>Q911+G911+R911</x:f>
        <x:v>472451.444924001</x:v>
      </x:c>
      <x:c r="T911" s="78" t="n">
        <x:f>P911*(S911*(1-'Inputs'!$B$15))/(O911+S911*(1-'Inputs'!$B$15))</x:f>
        <x:v>2.0368728007195505</x:v>
      </x:c>
      <x:c r="U911" s="78" t="n">
        <x:f>O911+S911*(1-'Inputs'!$B$17)</x:f>
        <x:v>81878200.78191048</x:v>
      </x:c>
      <x:c r="V911" s="78" t="n">
        <x:f>P911-T911</x:f>
        <x:v>354.51674550267376</x:v>
      </x:c>
      <x:c r="W911" s="79" t="n">
        <x:f>IF(U911&gt;0,V911/U911,0)</x:f>
        <x:v>0.000004329806250224759</x:v>
      </x:c>
      <x:c r="X911" s="80" t="n">
        <x:f>W911*('Inputs'!$B$6-AC911)</x:f>
        <x:v>4205.2238629119865</x:v>
      </x:c>
      <x:c r="Y911" s="80" t="n">
        <x:f>2*V911</x:f>
        <x:v>709.0334910053475</x:v>
      </x:c>
      <x:c r="Z911" s="80" t="n">
        <x:f>K911*'Inputs'!$B$16+(G911+R911)*J911*'Inputs'!$B$16</x:f>
        <x:v>4.291059029551248</x:v>
      </x:c>
      <x:c r="AA911" s="80" t="n">
        <x:f>K911*(1+'Inputs'!$E$46)/2*'Inputs'!$B$17</x:f>
        <x:v>1.4348234136957478</x:v>
      </x:c>
      <x:c r="AB911" s="78" t="n">
        <x:f>(IF(J911&gt;0,K911*(1-'Inputs'!$E$46)/2/J911,0)+G911+R911)*'Inputs'!$B$17</x:f>
        <x:v>329497.3923338774</x:v>
      </x:c>
      <x:c r="AC911" s="78" t="n">
        <x:f>AC910+AB911</x:f>
        <x:v>28773201.412027523</x:v>
      </x:c>
      <x:c r="AD911" s="80" t="n">
        <x:f>Z911/(1+'Inputs'!$C$46)</x:f>
        <x:v>2.145529514775624</x:v>
      </x:c>
      <x:c r="AE911" s="80" t="n">
        <x:f>Z911-AD911</x:f>
        <x:v>2.145529514775624</x:v>
      </x:c>
      <x:c r="AF911" s="80" t="n">
        <x:f>D911*W911</x:f>
        <x:v>1.214101763153249</x:v>
      </x:c>
      <x:c r="AG911" s="80" t="n">
        <x:f>C911*W911</x:f>
        <x:v>2.832904114024258</x:v>
      </x:c>
      <x:c r="AH911" s="80" t="n">
        <x:f>2*'Inputs'!$B$8*'Inputs'!$C$46</x:f>
        <x:v>5000</x:v>
      </x:c>
      <x:c r="AI911" s="81" t="n">
        <x:f>IF(AH911&gt;0,(AE911+AF911)/AH911*365,0)</x:f>
        <x:v>0.24525308328880774</x:v>
      </x:c>
      <x:c r="AJ911" s="81" t="n">
        <x:f>IF('Inputs'!$B$46&gt;0,AG911/('Inputs'!$B$19*'Inputs'!$B$46)*365,0)</x:f>
        <x:v>0.10340100016188541</x:v>
      </x:c>
      <x:c r="AK911" s="81" t="n">
        <x:f>W911/MAX($W$734:W911)-1</x:f>
        <x:v>-0.9948625019118968</x:v>
      </x:c>
      <x:c r="AL911" s="83" t="n">
        <x:f>'Inputs'!$B$46</x:f>
        <x:v>1</x:v>
      </x:c>
      <x:c r="AM911" s="83" t="n">
        <x:f>'Inputs'!$C$46</x:f>
        <x:v>1</x:v>
      </x:c>
      <x:c r="AN911" s="83" t="n">
        <x:f>'Inputs'!$D$46</x:f>
        <x:v>1</x:v>
      </x:c>
      <x:c r="AO911" s="81" t="n">
        <x:f>'Inputs'!$E$46</x:f>
        <x:v>0</x:v>
      </x:c>
    </x:row>
    <x:row r="912">
      <x:c r="A912" s="59" t="str">
        <x:v>Base</x:v>
      </x:c>
      <x:c r="B912" s="59" t="n">
        <x:v>179</x:v>
      </x:c>
      <x:c r="C912" s="78" t="n">
        <x:f>(('Inputs'!$B$29*(3*179*'Inputs'!$B$12-179^2)/(2*'Inputs'!$B$12^2))-('Inputs'!$B$29*(3*178*'Inputs'!$B$12-178^2)/(2*'Inputs'!$B$12^2)))*'Inputs'!$B$46</x:f>
        <x:v>653954.5411897153</x:v>
      </x:c>
      <x:c r="D912" s="78" t="n">
        <x:f>IF('Inputs'!$C$46&gt;0,('Inputs'!$B$30*(3*179*'Inputs'!$B$12-179^2)/(2*'Inputs'!$B$12^2))-('Inputs'!$B$30*(3*178*'Inputs'!$B$12-178^2)/(2*'Inputs'!$B$12^2)),0)</x:f>
        <x:v>280266.2319384515</x:v>
      </x:c>
      <x:c r="E912" s="78" t="n">
        <x:f>C912+D912</x:f>
        <x:v>934220.7731281668</x:v>
      </x:c>
      <x:c r="F912" s="78" t="n">
        <x:f>'Inputs'!$B$13*E912+(1-'Inputs'!$B$13)/'Inputs'!$B$14*SUM(E857:E912)</x:f>
        <x:v>944438.4499906176</x:v>
      </x:c>
      <x:c r="G912" s="78" t="n">
        <x:f>F912*'Inputs'!$F$46</x:f>
        <x:v>472219.2249953088</x:v>
      </x:c>
      <x:c r="H912" s="78" t="n">
        <x:f>U911</x:f>
        <x:v>81878200.78191048</x:v>
      </x:c>
      <x:c r="I912" s="78" t="n">
        <x:f>V911</x:f>
        <x:v>354.51674550267376</x:v>
      </x:c>
      <x:c r="J912" s="79" t="n">
        <x:f>IF(H912&gt;0,I912/H912,0)</x:f>
        <x:v>0.000004329806250224759</x:v>
      </x:c>
      <x:c r="K912" s="80" t="n">
        <x:f>(H912*J912+I912)*'Inputs'!$D$46*(1+'Inputs'!$G$46)^(B912/30)</x:f>
        <x:v>709.0334910053475</x:v>
      </x:c>
      <x:c r="L912" s="80" t="n">
        <x:f>MAX(0,K912*'Inputs'!$E$46)</x:f>
        <x:v>0</x:v>
      </x:c>
      <x:c r="M912" s="80" t="n">
        <x:f>MAX(0,-K912*'Inputs'!$E$46)</x:f>
        <x:v>0</x:v>
      </x:c>
      <x:c r="N912" s="78" t="n">
        <x:f>H912*(L912*(1-'Inputs'!$B$15))/(I912+L912*(1-'Inputs'!$B$15))</x:f>
        <x:v>0</x:v>
      </x:c>
      <x:c r="O912" s="78" t="n">
        <x:f>H912-N912</x:f>
        <x:v>81878200.78191048</x:v>
      </x:c>
      <x:c r="P912" s="78" t="n">
        <x:f>I912+L912*(1-'Inputs'!$B$17)</x:f>
        <x:v>354.51674550267376</x:v>
      </x:c>
      <x:c r="Q912" s="78" t="n">
        <x:f>IF(J912&gt;0,M912/J912,0)</x:f>
        <x:v>0</x:v>
      </x:c>
      <x:c r="R912" s="78" t="n">
        <x:f>IF(B912='Inputs'!$H$46,'Inputs'!$B$27*'Inputs'!$I$46,0)</x:f>
        <x:v>0</x:v>
      </x:c>
      <x:c r="S912" s="78" t="n">
        <x:f>Q912+G912+R912</x:f>
        <x:v>472219.2249953088</x:v>
      </x:c>
      <x:c r="T912" s="78" t="n">
        <x:f>P912*(S912*(1-'Inputs'!$B$15))/(O912+S912*(1-'Inputs'!$B$15))</x:f>
        <x:v>2.012679848242696</x:v>
      </x:c>
      <x:c r="U912" s="78" t="n">
        <x:f>O912+S912*(1-'Inputs'!$B$17)</x:f>
        <x:v>82348519.72833438</x:v>
      </x:c>
      <x:c r="V912" s="78" t="n">
        <x:f>P912-T912</x:f>
        <x:v>352.5040656544311</x:v>
      </x:c>
      <x:c r="W912" s="79" t="n">
        <x:f>IF(U912&gt;0,V912/U912,0)</x:f>
        <x:v>0.000004280636334658265</x:v>
      </x:c>
      <x:c r="X912" s="80" t="n">
        <x:f>W912*('Inputs'!$B$6-AC912)</x:f>
        <x:v>4156.050163068308</x:v>
      </x:c>
      <x:c r="Y912" s="80" t="n">
        <x:f>2*V912</x:f>
        <x:v>705.0081313088622</x:v>
      </x:c>
      <x:c r="Z912" s="80" t="n">
        <x:f>K912*'Inputs'!$B$16+(G912+R912)*J912*'Inputs'!$B$16</x:f>
        <x:v>4.266468652543251</x:v>
      </x:c>
      <x:c r="AA912" s="80" t="n">
        <x:f>K912*(1+'Inputs'!$E$46)/2*'Inputs'!$B$17</x:f>
        <x:v>1.4266267424654882</x:v>
      </x:c>
      <x:c r="AB912" s="78" t="n">
        <x:f>(IF(J912&gt;0,K912*(1-'Inputs'!$E$46)/2/J912,0)+G912+R912)*'Inputs'!$B$17</x:f>
        <x:v>331390.0201485143</x:v>
      </x:c>
      <x:c r="AC912" s="78" t="n">
        <x:f>AC911+AB912</x:f>
        <x:v>29104591.43217604</x:v>
      </x:c>
      <x:c r="AD912" s="80" t="n">
        <x:f>Z912/(1+'Inputs'!$C$46)</x:f>
        <x:v>2.1332343262716256</x:v>
      </x:c>
      <x:c r="AE912" s="80" t="n">
        <x:f>Z912-AD912</x:f>
        <x:v>2.1332343262716256</x:v>
      </x:c>
      <x:c r="AF912" s="80" t="n">
        <x:f>D912*W912</x:f>
        <x:v>1.1997178158134962</x:v>
      </x:c>
      <x:c r="AG912" s="80" t="n">
        <x:f>C912*W912</x:f>
        <x:v>2.79934157023147</x:v>
      </x:c>
      <x:c r="AH912" s="80" t="n">
        <x:f>2*'Inputs'!$B$8*'Inputs'!$C$46</x:f>
        <x:v>5000</x:v>
      </x:c>
      <x:c r="AI912" s="81" t="n">
        <x:f>IF(AH912&gt;0,(AE912+AF912)/AH912*365,0)</x:f>
        <x:v>0.2433055063722139</x:v>
      </x:c>
      <x:c r="AJ912" s="81" t="n">
        <x:f>IF('Inputs'!$B$46&gt;0,AG912/('Inputs'!$B$19*'Inputs'!$B$46)*365,0)</x:f>
        <x:v>0.10217596731344866</x:v>
      </x:c>
      <x:c r="AK912" s="81" t="n">
        <x:f>W912/MAX($W$734:W912)-1</x:f>
        <x:v>-0.9949208440945757</x:v>
      </x:c>
      <x:c r="AL912" s="83" t="n">
        <x:f>'Inputs'!$B$46</x:f>
        <x:v>1</x:v>
      </x:c>
      <x:c r="AM912" s="83" t="n">
        <x:f>'Inputs'!$C$46</x:f>
        <x:v>1</x:v>
      </x:c>
      <x:c r="AN912" s="83" t="n">
        <x:f>'Inputs'!$D$46</x:f>
        <x:v>1</x:v>
      </x:c>
      <x:c r="AO912" s="81" t="n">
        <x:f>'Inputs'!$E$46</x:f>
        <x:v>0</x:v>
      </x:c>
    </x:row>
    <x:row r="913">
      <x:c r="A913" s="59" t="str">
        <x:v>Base</x:v>
      </x:c>
      <x:c r="B913" s="59" t="n">
        <x:v>180</x:v>
      </x:c>
      <x:c r="C913" s="78" t="n">
        <x:f>(('Inputs'!$B$29*(3*180*'Inputs'!$B$12-180^2)/(2*'Inputs'!$B$12^2))-('Inputs'!$B$29*(3*179*'Inputs'!$B$12-179^2)/(2*'Inputs'!$B$12^2)))*'Inputs'!$B$46</x:f>
        <x:v>653629.4332895428</x:v>
      </x:c>
      <x:c r="D913" s="78" t="n">
        <x:f>IF('Inputs'!$C$46&gt;0,('Inputs'!$B$30*(3*180*'Inputs'!$B$12-180^2)/(2*'Inputs'!$B$12^2))-('Inputs'!$B$30*(3*179*'Inputs'!$B$12-179^2)/(2*'Inputs'!$B$12^2)),0)</x:f>
        <x:v>280126.8999812305</x:v>
      </x:c>
      <x:c r="E913" s="78" t="n">
        <x:f>C913+D913</x:f>
        <x:v>933756.3332707733</x:v>
      </x:c>
      <x:c r="F913" s="78" t="n">
        <x:f>'Inputs'!$B$13*E913+(1-'Inputs'!$B$13)/'Inputs'!$B$14*SUM(E858:E913)</x:f>
        <x:v>943974.0101332314</x:v>
      </x:c>
      <x:c r="G913" s="78" t="n">
        <x:f>F913*'Inputs'!$F$46</x:f>
        <x:v>471987.0050666157</x:v>
      </x:c>
      <x:c r="H913" s="78" t="n">
        <x:f>U912</x:f>
        <x:v>82348519.72833438</x:v>
      </x:c>
      <x:c r="I913" s="78" t="n">
        <x:f>V912</x:f>
        <x:v>352.5040656544311</x:v>
      </x:c>
      <x:c r="J913" s="79" t="n">
        <x:f>IF(H913&gt;0,I913/H913,0)</x:f>
        <x:v>0.000004280636334658265</x:v>
      </x:c>
      <x:c r="K913" s="80" t="n">
        <x:f>(H913*J913+I913)*'Inputs'!$D$46*(1+'Inputs'!$G$46)^(B913/30)</x:f>
        <x:v>705.0081313088622</x:v>
      </x:c>
      <x:c r="L913" s="80" t="n">
        <x:f>MAX(0,K913*'Inputs'!$E$46)</x:f>
        <x:v>0</x:v>
      </x:c>
      <x:c r="M913" s="80" t="n">
        <x:f>MAX(0,-K913*'Inputs'!$E$46)</x:f>
        <x:v>0</x:v>
      </x:c>
      <x:c r="N913" s="78" t="n">
        <x:f>H913*(L913*(1-'Inputs'!$B$15))/(I913+L913*(1-'Inputs'!$B$15))</x:f>
        <x:v>0</x:v>
      </x:c>
      <x:c r="O913" s="78" t="n">
        <x:f>H913-N913</x:f>
        <x:v>82348519.72833438</x:v>
      </x:c>
      <x:c r="P913" s="78" t="n">
        <x:f>I913+L913*(1-'Inputs'!$B$17)</x:f>
        <x:v>352.5040656544311</x:v>
      </x:c>
      <x:c r="Q913" s="78" t="n">
        <x:f>IF(J913&gt;0,M913/J913,0)</x:f>
        <x:v>0</x:v>
      </x:c>
      <x:c r="R913" s="78" t="n">
        <x:f>IF(B913='Inputs'!$H$46,'Inputs'!$B$27*'Inputs'!$I$46,0)</x:f>
        <x:v>0</x:v>
      </x:c>
      <x:c r="S913" s="78" t="n">
        <x:f>Q913+G913+R913</x:f>
        <x:v>471987.0050666157</x:v>
      </x:c>
      <x:c r="T913" s="78" t="n">
        <x:f>P913*(S913*(1-'Inputs'!$B$15))/(O913+S913*(1-'Inputs'!$B$15))</x:f>
        <x:v>1.9889150496342538</x:v>
      </x:c>
      <x:c r="U913" s="78" t="n">
        <x:f>O913+S913*(1-'Inputs'!$B$17)</x:f>
        <x:v>82818607.38931622</x:v>
      </x:c>
      <x:c r="V913" s="78" t="n">
        <x:f>P913-T913</x:f>
        <x:v>350.5151506047968</x:v>
      </x:c>
      <x:c r="W913" s="79" t="n">
        <x:f>IF(U913&gt;0,V913/U913,0)</x:f>
        <x:v>0.000004232323648683014</x:v>
      </x:c>
      <x:c r="X913" s="80" t="n">
        <x:f>W913*('Inputs'!$B$6-AC913)</x:f>
        <x:v>4107.733041985822</x:v>
      </x:c>
      <x:c r="Y913" s="80" t="n">
        <x:f>2*V913</x:f>
        <x:v>701.0303012095936</x:v>
      </x:c>
      <x:c r="Z913" s="80" t="n">
        <x:f>K913*'Inputs'!$B$16+(G913+R913)*J913*'Inputs'!$B$16</x:f>
        <x:v>4.242171216193421</x:v>
      </x:c>
      <x:c r="AA913" s="80" t="n">
        <x:f>K913*(1+'Inputs'!$E$46)/2*'Inputs'!$B$17</x:f>
        <x:v>1.4185274271808093</x:v>
      </x:c>
      <x:c r="AB913" s="78" t="n">
        <x:f>(IF(J913&gt;0,K913*(1-'Inputs'!$E$46)/2/J913,0)+G913+R913)*'Inputs'!$B$17</x:f>
        <x:v>333281.7172370262</x:v>
      </x:c>
      <x:c r="AC913" s="78" t="n">
        <x:f>AC912+AB913</x:f>
        <x:v>29437873.149413064</x:v>
      </x:c>
      <x:c r="AD913" s="80" t="n">
        <x:f>Z913/(1+'Inputs'!$C$46)</x:f>
        <x:v>2.1210856080967107</x:v>
      </x:c>
      <x:c r="AE913" s="80" t="n">
        <x:f>Z913-AD913</x:f>
        <x:v>2.1210856080967107</x:v>
      </x:c>
      <x:c r="AF913" s="80" t="n">
        <x:f>D913*W913</x:f>
        <x:v>1.185587703422823</x:v>
      </x:c>
      <x:c r="AG913" s="80" t="n">
        <x:f>C913*W913</x:f>
        <x:v>2.766371307986608</x:v>
      </x:c>
      <x:c r="AH913" s="80" t="n">
        <x:f>2*'Inputs'!$B$8*'Inputs'!$C$46</x:f>
        <x:v>5000</x:v>
      </x:c>
      <x:c r="AI913" s="81" t="n">
        <x:f>IF(AH913&gt;0,(AE913+AF913)/AH913*365,0)</x:f>
        <x:v>0.24138715174092598</x:v>
      </x:c>
      <x:c r="AJ913" s="81" t="n">
        <x:f>IF('Inputs'!$B$46&gt;0,AG913/('Inputs'!$B$19*'Inputs'!$B$46)*365,0)</x:f>
        <x:v>0.10097255274151119</x:v>
      </x:c>
      <x:c r="AK913" s="81" t="n">
        <x:f>W913/MAX($W$734:W913)-1</x:f>
        <x:v>-0.9949781691381192</x:v>
      </x:c>
      <x:c r="AL913" s="83" t="n">
        <x:f>'Inputs'!$B$46</x:f>
        <x:v>1</x:v>
      </x:c>
      <x:c r="AM913" s="83" t="n">
        <x:f>'Inputs'!$C$46</x:f>
        <x:v>1</x:v>
      </x:c>
      <x:c r="AN913" s="83" t="n">
        <x:f>'Inputs'!$D$46</x:f>
        <x:v>1</x:v>
      </x:c>
      <x:c r="AO913" s="81" t="n">
        <x:f>'Inputs'!$E$46</x:f>
        <x:v>0</x:v>
      </x:c>
    </x:row>
    <x:row r="914">
      <x:c r="A914" s="59" t="str">
        <x:v>Base</x:v>
      </x:c>
      <x:c r="B914" s="59" t="n">
        <x:v>181</x:v>
      </x:c>
      <x:c r="C914" s="78" t="n">
        <x:f>(('Inputs'!$B$29*(3*181*'Inputs'!$B$12-181^2)/(2*'Inputs'!$B$12^2))-('Inputs'!$B$29*(3*180*'Inputs'!$B$12-180^2)/(2*'Inputs'!$B$12^2)))*'Inputs'!$B$46</x:f>
        <x:v>653304.3253893852</x:v>
      </x:c>
      <x:c r="D914" s="78" t="n">
        <x:f>IF('Inputs'!$C$46&gt;0,('Inputs'!$B$30*(3*181*'Inputs'!$B$12-181^2)/(2*'Inputs'!$B$12^2))-('Inputs'!$B$30*(3*180*'Inputs'!$B$12-180^2)/(2*'Inputs'!$B$12^2)),0)</x:f>
        <x:v>279987.56802402437</x:v>
      </x:c>
      <x:c r="E914" s="78" t="n">
        <x:f>C914+D914</x:f>
        <x:v>933291.8934134096</x:v>
      </x:c>
      <x:c r="F914" s="78" t="n">
        <x:f>'Inputs'!$B$13*E914+(1-'Inputs'!$B$13)/'Inputs'!$B$14*SUM(E859:E914)</x:f>
        <x:v>943509.5702758515</x:v>
      </x:c>
      <x:c r="G914" s="78" t="n">
        <x:f>F914*'Inputs'!$F$46</x:f>
        <x:v>471754.78513792576</x:v>
      </x:c>
      <x:c r="H914" s="78" t="n">
        <x:f>U913</x:f>
        <x:v>82818607.38931622</x:v>
      </x:c>
      <x:c r="I914" s="78" t="n">
        <x:f>V913</x:f>
        <x:v>350.5151506047968</x:v>
      </x:c>
      <x:c r="J914" s="79" t="n">
        <x:f>IF(H914&gt;0,I914/H914,0)</x:f>
        <x:v>0.000004232323648683014</x:v>
      </x:c>
      <x:c r="K914" s="80" t="n">
        <x:f>(H914*J914+I914)*'Inputs'!$D$46*(1+'Inputs'!$G$46)^(B914/30)</x:f>
        <x:v>701.0303012095936</x:v>
      </x:c>
      <x:c r="L914" s="80" t="n">
        <x:f>MAX(0,K914*'Inputs'!$E$46)</x:f>
        <x:v>0</x:v>
      </x:c>
      <x:c r="M914" s="80" t="n">
        <x:f>MAX(0,-K914*'Inputs'!$E$46)</x:f>
        <x:v>0</x:v>
      </x:c>
      <x:c r="N914" s="78" t="n">
        <x:f>H914*(L914*(1-'Inputs'!$B$15))/(I914+L914*(1-'Inputs'!$B$15))</x:f>
        <x:v>0</x:v>
      </x:c>
      <x:c r="O914" s="78" t="n">
        <x:f>H914-N914</x:f>
        <x:v>82818607.38931622</x:v>
      </x:c>
      <x:c r="P914" s="78" t="n">
        <x:f>I914+L914*(1-'Inputs'!$B$17)</x:f>
        <x:v>350.5151506047968</x:v>
      </x:c>
      <x:c r="Q914" s="78" t="n">
        <x:f>IF(J914&gt;0,M914/J914,0)</x:f>
        <x:v>0</x:v>
      </x:c>
      <x:c r="R914" s="78" t="n">
        <x:f>IF(B914='Inputs'!$H$46,'Inputs'!$B$27*'Inputs'!$I$46,0)</x:f>
        <x:v>0</x:v>
      </x:c>
      <x:c r="S914" s="78" t="n">
        <x:f>Q914+G914+R914</x:f>
        <x:v>471754.78513792576</x:v>
      </x:c>
      <x:c r="T914" s="78" t="n">
        <x:f>P914*(S914*(1-'Inputs'!$B$15))/(O914+S914*(1-'Inputs'!$B$15))</x:f>
        <x:v>1.9655683557410146</x:v>
      </x:c>
      <x:c r="U914" s="78" t="n">
        <x:f>O914+S914*(1-'Inputs'!$B$17)</x:f>
        <x:v>83288463.764856</x:v>
      </x:c>
      <x:c r="V914" s="78" t="n">
        <x:f>P914-T914</x:f>
        <x:v>348.5495822490558</x:v>
      </x:c>
      <x:c r="W914" s="79" t="n">
        <x:f>IF(U914&gt;0,V914/U914,0)</x:f>
        <x:v>0.000004184848255012816</x:v>
      </x:c>
      <x:c r="X914" s="80" t="n">
        <x:f>W914*('Inputs'!$B$6-AC914)</x:f>
        <x:v>4060.2525769490867</x:v>
      </x:c>
      <x:c r="Y914" s="80" t="n">
        <x:f>2*V914</x:f>
        <x:v>697.0991644981116</x:v>
      </x:c>
      <x:c r="Z914" s="80" t="n">
        <x:f>K914*'Inputs'!$B$16+(G914+R914)*J914*'Inputs'!$B$16</x:f>
        <x:v>4.218161520858674</x:v>
      </x:c>
      <x:c r="AA914" s="80" t="n">
        <x:f>K914*(1+'Inputs'!$E$46)/2*'Inputs'!$B$17</x:f>
        <x:v>1.4105237448885184</x:v>
      </x:c>
      <x:c r="AB914" s="78" t="n">
        <x:f>(IF(J914&gt;0,K914*(1-'Inputs'!$E$46)/2/J914,0)+G914+R914)*'Inputs'!$B$17</x:f>
        <x:v>335172.48359941307</x:v>
      </x:c>
      <x:c r="AC914" s="78" t="n">
        <x:f>AC913+AB914</x:f>
        <x:v>29773045.633012477</x:v>
      </x:c>
      <x:c r="AD914" s="80" t="n">
        <x:f>Z914/(1+'Inputs'!$C$46)</x:f>
        <x:v>2.109080760429337</x:v>
      </x:c>
      <x:c r="AE914" s="80" t="n">
        <x:f>Z914-AD914</x:f>
        <x:v>2.109080760429337</x:v>
      </x:c>
      <x:c r="AF914" s="80" t="n">
        <x:f>D914*W914</x:f>
        <x:v>1.1717054854706206</x:v>
      </x:c>
      <x:c r="AG914" s="80" t="n">
        <x:f>C914*W914</x:f>
        <x:v>2.7339794660980936</x:v>
      </x:c>
      <x:c r="AH914" s="80" t="n">
        <x:f>2*'Inputs'!$B$8*'Inputs'!$C$46</x:f>
        <x:v>5000</x:v>
      </x:c>
      <x:c r="AI914" s="81" t="n">
        <x:f>IF(AH914&gt;0,(AE914+AF914)/AH914*365,0)</x:f>
        <x:v>0.23949739595069686</x:v>
      </x:c>
      <x:c r="AJ914" s="81" t="n">
        <x:f>IF('Inputs'!$B$46&gt;0,AG914/('Inputs'!$B$19*'Inputs'!$B$46)*365,0)</x:f>
        <x:v>0.0997902505125804</x:v>
      </x:c>
      <x:c r="AK914" s="81" t="n">
        <x:f>W914/MAX($W$734:W914)-1</x:f>
        <x:v>-0.9950345006989598</x:v>
      </x:c>
      <x:c r="AL914" s="83" t="n">
        <x:f>'Inputs'!$B$46</x:f>
        <x:v>1</x:v>
      </x:c>
      <x:c r="AM914" s="83" t="n">
        <x:f>'Inputs'!$C$46</x:f>
        <x:v>1</x:v>
      </x:c>
      <x:c r="AN914" s="83" t="n">
        <x:f>'Inputs'!$D$46</x:f>
        <x:v>1</x:v>
      </x:c>
      <x:c r="AO914" s="81" t="n">
        <x:f>'Inputs'!$E$46</x:f>
        <x:v>0</x:v>
      </x:c>
    </x:row>
    <x:row r="915">
      <x:c r="A915" s="59" t="str">
        <x:v>Base</x:v>
      </x:c>
      <x:c r="B915" s="59" t="n">
        <x:v>182</x:v>
      </x:c>
      <x:c r="C915" s="78" t="n">
        <x:f>(('Inputs'!$B$29*(3*182*'Inputs'!$B$12-182^2)/(2*'Inputs'!$B$12^2))-('Inputs'!$B$29*(3*181*'Inputs'!$B$12-181^2)/(2*'Inputs'!$B$12^2)))*'Inputs'!$B$46</x:f>
        <x:v>652979.2174892128</x:v>
      </x:c>
      <x:c r="D915" s="78" t="n">
        <x:f>IF('Inputs'!$C$46&gt;0,('Inputs'!$B$30*(3*182*'Inputs'!$B$12-182^2)/(2*'Inputs'!$B$12^2))-('Inputs'!$B$30*(3*181*'Inputs'!$B$12-181^2)/(2*'Inputs'!$B$12^2)),0)</x:f>
        <x:v>279848.23606680334</x:v>
      </x:c>
      <x:c r="E915" s="78" t="n">
        <x:f>C915+D915</x:f>
        <x:v>932827.4535560161</x:v>
      </x:c>
      <x:c r="F915" s="78" t="n">
        <x:f>'Inputs'!$B$13*E915+(1-'Inputs'!$B$13)/'Inputs'!$B$14*SUM(E860:E915)</x:f>
        <x:v>943045.1304184655</x:v>
      </x:c>
      <x:c r="G915" s="78" t="n">
        <x:f>F915*'Inputs'!$F$46</x:f>
        <x:v>471522.56520923274</x:v>
      </x:c>
      <x:c r="H915" s="78" t="n">
        <x:f>U914</x:f>
        <x:v>83288463.764856</x:v>
      </x:c>
      <x:c r="I915" s="78" t="n">
        <x:f>V914</x:f>
        <x:v>348.5495822490558</x:v>
      </x:c>
      <x:c r="J915" s="79" t="n">
        <x:f>IF(H915&gt;0,I915/H915,0)</x:f>
        <x:v>0.000004184848255012816</x:v>
      </x:c>
      <x:c r="K915" s="80" t="n">
        <x:f>(H915*J915+I915)*'Inputs'!$D$46*(1+'Inputs'!$G$46)^(B915/30)</x:f>
        <x:v>697.0991644981116</x:v>
      </x:c>
      <x:c r="L915" s="80" t="n">
        <x:f>MAX(0,K915*'Inputs'!$E$46)</x:f>
        <x:v>0</x:v>
      </x:c>
      <x:c r="M915" s="80" t="n">
        <x:f>MAX(0,-K915*'Inputs'!$E$46)</x:f>
        <x:v>0</x:v>
      </x:c>
      <x:c r="N915" s="78" t="n">
        <x:f>H915*(L915*(1-'Inputs'!$B$15))/(I915+L915*(1-'Inputs'!$B$15))</x:f>
        <x:v>0</x:v>
      </x:c>
      <x:c r="O915" s="78" t="n">
        <x:f>H915-N915</x:f>
        <x:v>83288463.764856</x:v>
      </x:c>
      <x:c r="P915" s="78" t="n">
        <x:f>I915+L915*(1-'Inputs'!$B$17)</x:f>
        <x:v>348.5495822490558</x:v>
      </x:c>
      <x:c r="Q915" s="78" t="n">
        <x:f>IF(J915&gt;0,M915/J915,0)</x:f>
        <x:v>0</x:v>
      </x:c>
      <x:c r="R915" s="78" t="n">
        <x:f>IF(B915='Inputs'!$H$46,'Inputs'!$B$27*'Inputs'!$I$46,0)</x:f>
        <x:v>0</x:v>
      </x:c>
      <x:c r="S915" s="78" t="n">
        <x:f>Q915+G915+R915</x:f>
        <x:v>471522.56520923274</x:v>
      </x:c>
      <x:c r="T915" s="78" t="n">
        <x:f>P915*(S915*(1-'Inputs'!$B$15))/(O915+S915*(1-'Inputs'!$B$15))</x:f>
        <x:v>1.9426300106007457</x:v>
      </x:c>
      <x:c r="U915" s="78" t="n">
        <x:f>O915+S915*(1-'Inputs'!$B$17)</x:f>
        <x:v>83758088.85495372</x:v>
      </x:c>
      <x:c r="V915" s="78" t="n">
        <x:f>P915-T915</x:f>
        <x:v>346.60695223845505</x:v>
      </x:c>
      <x:c r="W915" s="79" t="n">
        <x:f>IF(U915&gt;0,V915/U915,0)</x:f>
        <x:v>0.000004138190794189254</x:v>
      </x:c>
      <x:c r="X915" s="80" t="n">
        <x:f>W915*('Inputs'!$B$6-AC915)</x:f>
        <x:v>4013.5894226492164</x:v>
      </x:c>
      <x:c r="Y915" s="80" t="n">
        <x:f>2*V915</x:f>
        <x:v>693.2139044769101</x:v>
      </x:c>
      <x:c r="Z915" s="80" t="n">
        <x:f>K915*'Inputs'!$B$16+(G915+R915)*J915*'Inputs'!$B$16</x:f>
        <x:v>4.194434489293959</x:v>
      </x:c>
      <x:c r="AA915" s="80" t="n">
        <x:f>K915*(1+'Inputs'!$E$46)/2*'Inputs'!$B$17</x:f>
        <x:v>1.4026140130746714</x:v>
      </x:c>
      <x:c r="AB915" s="78" t="n">
        <x:f>(IF(J915&gt;0,K915*(1-'Inputs'!$E$46)/2/J915,0)+G915+R915)*'Inputs'!$B$17</x:f>
        <x:v>337062.31923567504</x:v>
      </x:c>
      <x:c r="AC915" s="78" t="n">
        <x:f>AC914+AB915</x:f>
        <x:v>30110107.952248152</x:v>
      </x:c>
      <x:c r="AD915" s="80" t="n">
        <x:f>Z915/(1+'Inputs'!$C$46)</x:f>
        <x:v>2.0972172446469797</x:v>
      </x:c>
      <x:c r="AE915" s="80" t="n">
        <x:f>Z915-AD915</x:f>
        <x:v>2.0972172446469797</x:v>
      </x:c>
      <x:c r="AF915" s="80" t="n">
        <x:f>D915*W915</x:f>
        <x:v>1.1580653942617467</x:v>
      </x:c>
      <x:c r="AG915" s="80" t="n">
        <x:f>C915*W915</x:f>
        <x:v>2.702152586610763</x:v>
      </x:c>
      <x:c r="AH915" s="80" t="n">
        <x:f>2*'Inputs'!$B$8*'Inputs'!$C$46</x:f>
        <x:v>5000</x:v>
      </x:c>
      <x:c r="AI915" s="81" t="n">
        <x:f>IF(AH915&gt;0,(AE915+AF915)/AH915*365,0)</x:f>
        <x:v>0.237635632640337</x:v>
      </x:c>
      <x:c r="AJ915" s="81" t="n">
        <x:f>IF('Inputs'!$B$46&gt;0,AG915/('Inputs'!$B$19*'Inputs'!$B$46)*365,0)</x:f>
        <x:v>0.09862856941129285</x:v>
      </x:c>
      <x:c r="AK915" s="81" t="n">
        <x:f>W915/MAX($W$734:W915)-1</x:f>
        <x:v>-0.9950898617479131</x:v>
      </x:c>
      <x:c r="AL915" s="83" t="n">
        <x:f>'Inputs'!$B$46</x:f>
        <x:v>1</x:v>
      </x:c>
      <x:c r="AM915" s="83" t="n">
        <x:f>'Inputs'!$C$46</x:f>
        <x:v>1</x:v>
      </x:c>
      <x:c r="AN915" s="83" t="n">
        <x:f>'Inputs'!$D$46</x:f>
        <x:v>1</x:v>
      </x:c>
      <x:c r="AO915" s="81" t="n">
        <x:f>'Inputs'!$E$46</x:f>
        <x:v>0</x:v>
      </x:c>
    </x:row>
    <x:row r="916">
      <x:c r="A916" s="59" t="str">
        <x:v>Base</x:v>
      </x:c>
      <x:c r="B916" s="59" t="n">
        <x:v>183</x:v>
      </x:c>
      <x:c r="C916" s="78" t="n">
        <x:f>(('Inputs'!$B$29*(3*183*'Inputs'!$B$12-183^2)/(2*'Inputs'!$B$12^2))-('Inputs'!$B$29*(3*182*'Inputs'!$B$12-182^2)/(2*'Inputs'!$B$12^2)))*'Inputs'!$B$46</x:f>
        <x:v>652654.1095890403</x:v>
      </x:c>
      <x:c r="D916" s="78" t="n">
        <x:f>IF('Inputs'!$C$46&gt;0,('Inputs'!$B$30*(3*183*'Inputs'!$B$12-183^2)/(2*'Inputs'!$B$12^2))-('Inputs'!$B$30*(3*182*'Inputs'!$B$12-182^2)/(2*'Inputs'!$B$12^2)),0)</x:f>
        <x:v>279708.90410958976</x:v>
      </x:c>
      <x:c r="E916" s="78" t="n">
        <x:f>C916+D916</x:f>
        <x:v>932363.01369863</x:v>
      </x:c>
      <x:c r="F916" s="78" t="n">
        <x:f>'Inputs'!$B$13*E916+(1-'Inputs'!$B$13)/'Inputs'!$B$14*SUM(E861:E916)</x:f>
        <x:v>942580.690561081</x:v>
      </x:c>
      <x:c r="G916" s="78" t="n">
        <x:f>F916*'Inputs'!$F$46</x:f>
        <x:v>471290.3452805405</x:v>
      </x:c>
      <x:c r="H916" s="78" t="n">
        <x:f>U915</x:f>
        <x:v>83758088.85495372</x:v>
      </x:c>
      <x:c r="I916" s="78" t="n">
        <x:f>V915</x:f>
        <x:v>346.60695223845505</x:v>
      </x:c>
      <x:c r="J916" s="79" t="n">
        <x:f>IF(H916&gt;0,I916/H916,0)</x:f>
        <x:v>0.000004138190794189254</x:v>
      </x:c>
      <x:c r="K916" s="80" t="n">
        <x:f>(H916*J916+I916)*'Inputs'!$D$46*(1+'Inputs'!$G$46)^(B916/30)</x:f>
        <x:v>693.2139044769101</x:v>
      </x:c>
      <x:c r="L916" s="80" t="n">
        <x:f>MAX(0,K916*'Inputs'!$E$46)</x:f>
        <x:v>0</x:v>
      </x:c>
      <x:c r="M916" s="80" t="n">
        <x:f>MAX(0,-K916*'Inputs'!$E$46)</x:f>
        <x:v>0</x:v>
      </x:c>
      <x:c r="N916" s="78" t="n">
        <x:f>H916*(L916*(1-'Inputs'!$B$15))/(I916+L916*(1-'Inputs'!$B$15))</x:f>
        <x:v>0</x:v>
      </x:c>
      <x:c r="O916" s="78" t="n">
        <x:f>H916-N916</x:f>
        <x:v>83758088.85495372</x:v>
      </x:c>
      <x:c r="P916" s="78" t="n">
        <x:f>I916+L916*(1-'Inputs'!$B$17)</x:f>
        <x:v>346.60695223845505</x:v>
      </x:c>
      <x:c r="Q916" s="78" t="n">
        <x:f>IF(J916&gt;0,M916/J916,0)</x:f>
        <x:v>0</x:v>
      </x:c>
      <x:c r="R916" s="78" t="n">
        <x:f>IF(B916='Inputs'!$H$46,'Inputs'!$B$27*'Inputs'!$I$46,0)</x:f>
        <x:v>0</x:v>
      </x:c>
      <x:c r="S916" s="78" t="n">
        <x:f>Q916+G916+R916</x:f>
        <x:v>471290.3452805405</x:v>
      </x:c>
      <x:c r="T916" s="78" t="n">
        <x:f>P916*(S916*(1-'Inputs'!$B$15))/(O916+S916*(1-'Inputs'!$B$15))</x:f>
        <x:v>1.9200905412350233</x:v>
      </x:c>
      <x:c r="U916" s="78" t="n">
        <x:f>O916+S916*(1-'Inputs'!$B$17)</x:f>
        <x:v>84227482.65960939</x:v>
      </x:c>
      <x:c r="V916" s="78" t="n">
        <x:f>P916-T916</x:f>
        <x:v>344.68686169722</x:v>
      </x:c>
      <x:c r="W916" s="79" t="n">
        <x:f>IF(U916&gt;0,V916/U916,0)</x:f>
        <x:v>0.000004092332464573488</x:v>
      </x:c>
      <x:c r="X916" s="80" t="n">
        <x:f>W916*('Inputs'!$B$6-AC916)</x:f>
        <x:v>3967.7247911902114</x:v>
      </x:c>
      <x:c r="Y916" s="80" t="n">
        <x:f>2*V916</x:f>
        <x:v>689.37372339444</x:v>
      </x:c>
      <x:c r="Z916" s="80" t="n">
        <x:f>K916*'Inputs'!$B$16+(G916+R916)*J916*'Inputs'!$B$16</x:f>
        <x:v>4.170985163070842</x:v>
      </x:c>
      <x:c r="AA916" s="80" t="n">
        <x:f>K916*(1+'Inputs'!$E$46)/2*'Inputs'!$B$17</x:f>
        <x:v>1.3947965884847286</x:v>
      </x:c>
      <x:c r="AB916" s="78" t="n">
        <x:f>(IF(J916&gt;0,K916*(1-'Inputs'!$E$46)/2/J916,0)+G916+R916)*'Inputs'!$B$17</x:f>
        <x:v>338951.224145812</x:v>
      </x:c>
      <x:c r="AC916" s="78" t="n">
        <x:f>AC915+AB916</x:f>
        <x:v>30449059.176393963</x:v>
      </x:c>
      <x:c r="AD916" s="80" t="n">
        <x:f>Z916/(1+'Inputs'!$C$46)</x:f>
        <x:v>2.085492581535421</x:v>
      </x:c>
      <x:c r="AE916" s="80" t="n">
        <x:f>Z916-AD916</x:f>
        <x:v>2.085492581535421</x:v>
      </x:c>
      <x:c r="AF916" s="80" t="n">
        <x:f>D916*W916</x:f>
        <x:v>1.1446618289179469</x:v>
      </x:c>
      <x:c r="AG916" s="80" t="n">
        <x:f>C916*W916</x:f>
        <x:v>2.670877600808532</x:v>
      </x:c>
      <x:c r="AH916" s="80" t="n">
        <x:f>2*'Inputs'!$B$8*'Inputs'!$C$46</x:f>
        <x:v>5000</x:v>
      </x:c>
      <x:c r="AI916" s="81" t="n">
        <x:f>IF(AH916&gt;0,(AE916+AF916)/AH916*365,0)</x:f>
        <x:v>0.2358012719630959</x:v>
      </x:c>
      <x:c r="AJ916" s="81" t="n">
        <x:f>IF('Inputs'!$B$46&gt;0,AG916/('Inputs'!$B$19*'Inputs'!$B$46)*365,0)</x:f>
        <x:v>0.09748703242951143</x:v>
      </x:c>
      <x:c r="AK916" s="81" t="n">
        <x:f>W916/MAX($W$734:W916)-1</x:f>
        <x:v>-0.995144274593918</x:v>
      </x:c>
      <x:c r="AL916" s="83" t="n">
        <x:f>'Inputs'!$B$46</x:f>
        <x:v>1</x:v>
      </x:c>
      <x:c r="AM916" s="83" t="n">
        <x:f>'Inputs'!$C$46</x:f>
        <x:v>1</x:v>
      </x:c>
      <x:c r="AN916" s="83" t="n">
        <x:f>'Inputs'!$D$46</x:f>
        <x:v>1</x:v>
      </x:c>
      <x:c r="AO916" s="81" t="n">
        <x:f>'Inputs'!$E$46</x:f>
        <x:v>0</x:v>
      </x:c>
    </x:row>
    <x:row r="917">
      <x:c r="A917" s="59" t="str">
        <x:v>Base</x:v>
      </x:c>
      <x:c r="B917" s="59" t="n">
        <x:v>184</x:v>
      </x:c>
      <x:c r="C917" s="78" t="n">
        <x:f>(('Inputs'!$B$29*(3*184*'Inputs'!$B$12-184^2)/(2*'Inputs'!$B$12^2))-('Inputs'!$B$29*(3*183*'Inputs'!$B$12-183^2)/(2*'Inputs'!$B$12^2)))*'Inputs'!$B$46</x:f>
        <x:v>652329.0016888678</x:v>
      </x:c>
      <x:c r="D917" s="78" t="n">
        <x:f>IF('Inputs'!$C$46&gt;0,('Inputs'!$B$30*(3*184*'Inputs'!$B$12-184^2)/(2*'Inputs'!$B$12^2))-('Inputs'!$B$30*(3*183*'Inputs'!$B$12-183^2)/(2*'Inputs'!$B$12^2)),0)</x:f>
        <x:v>279569.5721523687</x:v>
      </x:c>
      <x:c r="E917" s="78" t="n">
        <x:f>C917+D917</x:f>
        <x:v>931898.5738412365</x:v>
      </x:c>
      <x:c r="F917" s="78" t="n">
        <x:f>'Inputs'!$B$13*E917+(1-'Inputs'!$B$13)/'Inputs'!$B$14*SUM(E862:E917)</x:f>
        <x:v>942116.2507036949</x:v>
      </x:c>
      <x:c r="G917" s="78" t="n">
        <x:f>F917*'Inputs'!$F$46</x:f>
        <x:v>471058.12535184744</x:v>
      </x:c>
      <x:c r="H917" s="78" t="n">
        <x:f>U916</x:f>
        <x:v>84227482.65960939</x:v>
      </x:c>
      <x:c r="I917" s="78" t="n">
        <x:f>V916</x:f>
        <x:v>344.68686169722</x:v>
      </x:c>
      <x:c r="J917" s="79" t="n">
        <x:f>IF(H917&gt;0,I917/H917,0)</x:f>
        <x:v>0.000004092332464573488</x:v>
      </x:c>
      <x:c r="K917" s="80" t="n">
        <x:f>(H917*J917+I917)*'Inputs'!$D$46*(1+'Inputs'!$G$46)^(B917/30)</x:f>
        <x:v>689.37372339444</x:v>
      </x:c>
      <x:c r="L917" s="80" t="n">
        <x:f>MAX(0,K917*'Inputs'!$E$46)</x:f>
        <x:v>0</x:v>
      </x:c>
      <x:c r="M917" s="80" t="n">
        <x:f>MAX(0,-K917*'Inputs'!$E$46)</x:f>
        <x:v>0</x:v>
      </x:c>
      <x:c r="N917" s="78" t="n">
        <x:f>H917*(L917*(1-'Inputs'!$B$15))/(I917+L917*(1-'Inputs'!$B$15))</x:f>
        <x:v>0</x:v>
      </x:c>
      <x:c r="O917" s="78" t="n">
        <x:f>H917-N917</x:f>
        <x:v>84227482.65960939</x:v>
      </x:c>
      <x:c r="P917" s="78" t="n">
        <x:f>I917+L917*(1-'Inputs'!$B$17)</x:f>
        <x:v>344.68686169722</x:v>
      </x:c>
      <x:c r="Q917" s="78" t="n">
        <x:f>IF(J917&gt;0,M917/J917,0)</x:f>
        <x:v>0</x:v>
      </x:c>
      <x:c r="R917" s="78" t="n">
        <x:f>IF(B917='Inputs'!$H$46,'Inputs'!$B$27*'Inputs'!$I$46,0)</x:f>
        <x:v>0</x:v>
      </x:c>
      <x:c r="S917" s="78" t="n">
        <x:f>Q917+G917+R917</x:f>
        <x:v>471058.12535184744</x:v>
      </x:c>
      <x:c r="T917" s="78" t="n">
        <x:f>P917*(S917*(1-'Inputs'!$B$15))/(O917+S917*(1-'Inputs'!$B$15))</x:f>
        <x:v>1.8979407478541677</x:v>
      </x:c>
      <x:c r="U917" s="78" t="n">
        <x:f>O917+S917*(1-'Inputs'!$B$17)</x:f>
        <x:v>84696645.17882301</x:v>
      </x:c>
      <x:c r="V917" s="78" t="n">
        <x:f>P917-T917</x:f>
        <x:v>342.78892094936583</x:v>
      </x:c>
      <x:c r="W917" s="79" t="n">
        <x:f>IF(U917&gt;0,V917/U917,0)</x:f>
        <x:v>0.000004047255003142374</x:v>
      </x:c>
      <x:c r="X917" s="80" t="n">
        <x:f>W917*('Inputs'!$B$6-AC917)</x:f>
        <x:v>3922.640432899028</x:v>
      </x:c>
      <x:c r="Y917" s="80" t="n">
        <x:f>2*V917</x:f>
        <x:v>685.5778418987317</x:v>
      </x:c>
      <x:c r="Z917" s="80" t="n">
        <x:f>K917*'Inputs'!$B$16+(G917+R917)*J917*'Inputs'!$B$16</x:f>
        <x:v>4.147808699121111</x:v>
      </x:c>
      <x:c r="AA917" s="80" t="n">
        <x:f>K917*(1+'Inputs'!$E$46)/2*'Inputs'!$B$17</x:f>
        <x:v>1.3870698659847889</x:v>
      </x:c>
      <x:c r="AB917" s="78" t="n">
        <x:f>(IF(J917&gt;0,K917*(1-'Inputs'!$E$46)/2/J917,0)+G917+R917)*'Inputs'!$B$17</x:f>
        <x:v>340839.1983298239</x:v>
      </x:c>
      <x:c r="AC917" s="78" t="n">
        <x:f>AC916+AB917</x:f>
        <x:v>30789898.37472379</x:v>
      </x:c>
      <x:c r="AD917" s="80" t="n">
        <x:f>Z917/(1+'Inputs'!$C$46)</x:f>
        <x:v>2.0739043495605554</x:v>
      </x:c>
      <x:c r="AE917" s="80" t="n">
        <x:f>Z917-AD917</x:f>
        <x:v>2.0739043495605554</x:v>
      </x:c>
      <x:c r="AF917" s="80" t="n">
        <x:f>D917*W917</x:f>
        <x:v>1.1314893496200473</x:v>
      </x:c>
      <x:c r="AG917" s="80" t="n">
        <x:f>C917*W917</x:f>
        <x:v>2.6401418157801406</x:v>
      </x:c>
      <x:c r="AH917" s="80" t="n">
        <x:f>2*'Inputs'!$B$8*'Inputs'!$C$46</x:f>
        <x:v>5000</x:v>
      </x:c>
      <x:c r="AI917" s="81" t="n">
        <x:f>IF(AH917&gt;0,(AE917+AF917)/AH917*365,0)</x:f>
        <x:v>0.233993740040184</x:v>
      </x:c>
      <x:c r="AJ917" s="81" t="n">
        <x:f>IF('Inputs'!$B$46&gt;0,AG917/('Inputs'!$B$19*'Inputs'!$B$46)*365,0)</x:f>
        <x:v>0.09636517627597513</x:v>
      </x:c>
      <x:c r="AK917" s="81" t="n">
        <x:f>W917/MAX($W$734:W917)-1</x:f>
        <x:v>-0.9951977609068233</x:v>
      </x:c>
      <x:c r="AL917" s="83" t="n">
        <x:f>'Inputs'!$B$46</x:f>
        <x:v>1</x:v>
      </x:c>
      <x:c r="AM917" s="83" t="n">
        <x:f>'Inputs'!$C$46</x:f>
        <x:v>1</x:v>
      </x:c>
      <x:c r="AN917" s="83" t="n">
        <x:f>'Inputs'!$D$46</x:f>
        <x:v>1</x:v>
      </x:c>
      <x:c r="AO917" s="81" t="n">
        <x:f>'Inputs'!$E$46</x:f>
        <x:v>0</x:v>
      </x:c>
    </x:row>
    <x:row r="918">
      <x:c r="A918" s="59" t="str">
        <x:v>Base</x:v>
      </x:c>
      <x:c r="B918" s="59" t="n">
        <x:v>185</x:v>
      </x:c>
      <x:c r="C918" s="78" t="n">
        <x:f>(('Inputs'!$B$29*(3*185*'Inputs'!$B$12-185^2)/(2*'Inputs'!$B$12^2))-('Inputs'!$B$29*(3*184*'Inputs'!$B$12-184^2)/(2*'Inputs'!$B$12^2)))*'Inputs'!$B$46</x:f>
        <x:v>652003.8937887102</x:v>
      </x:c>
      <x:c r="D918" s="78" t="n">
        <x:f>IF('Inputs'!$C$46&gt;0,('Inputs'!$B$30*(3*185*'Inputs'!$B$12-185^2)/(2*'Inputs'!$B$12^2))-('Inputs'!$B$30*(3*184*'Inputs'!$B$12-184^2)/(2*'Inputs'!$B$12^2)),0)</x:f>
        <x:v>279430.2401951626</x:v>
      </x:c>
      <x:c r="E918" s="78" t="n">
        <x:f>C918+D918</x:f>
        <x:v>931434.1339838728</x:v>
      </x:c>
      <x:c r="F918" s="78" t="n">
        <x:f>'Inputs'!$B$13*E918+(1-'Inputs'!$B$13)/'Inputs'!$B$14*SUM(E863:E918)</x:f>
        <x:v>941651.810846315</x:v>
      </x:c>
      <x:c r="G918" s="78" t="n">
        <x:f>F918*'Inputs'!$F$46</x:f>
        <x:v>470825.9054231575</x:v>
      </x:c>
      <x:c r="H918" s="78" t="n">
        <x:f>U917</x:f>
        <x:v>84696645.17882301</x:v>
      </x:c>
      <x:c r="I918" s="78" t="n">
        <x:f>V917</x:f>
        <x:v>342.78892094936583</x:v>
      </x:c>
      <x:c r="J918" s="79" t="n">
        <x:f>IF(H918&gt;0,I918/H918,0)</x:f>
        <x:v>0.000004047255003142374</x:v>
      </x:c>
      <x:c r="K918" s="80" t="n">
        <x:f>(H918*J918+I918)*'Inputs'!$D$46*(1+'Inputs'!$G$46)^(B918/30)</x:f>
        <x:v>685.5778418987318</x:v>
      </x:c>
      <x:c r="L918" s="80" t="n">
        <x:f>MAX(0,K918*'Inputs'!$E$46)</x:f>
        <x:v>0</x:v>
      </x:c>
      <x:c r="M918" s="80" t="n">
        <x:f>MAX(0,-K918*'Inputs'!$E$46)</x:f>
        <x:v>0</x:v>
      </x:c>
      <x:c r="N918" s="78" t="n">
        <x:f>H918*(L918*(1-'Inputs'!$B$15))/(I918+L918*(1-'Inputs'!$B$15))</x:f>
        <x:v>0</x:v>
      </x:c>
      <x:c r="O918" s="78" t="n">
        <x:f>H918-N918</x:f>
        <x:v>84696645.17882301</x:v>
      </x:c>
      <x:c r="P918" s="78" t="n">
        <x:f>I918+L918*(1-'Inputs'!$B$17)</x:f>
        <x:v>342.78892094936583</x:v>
      </x:c>
      <x:c r="Q918" s="78" t="n">
        <x:f>IF(J918&gt;0,M918/J918,0)</x:f>
        <x:v>0</x:v>
      </x:c>
      <x:c r="R918" s="78" t="n">
        <x:f>IF(B918='Inputs'!$H$46,'Inputs'!$B$27*'Inputs'!$I$46,0)</x:f>
        <x:v>0</x:v>
      </x:c>
      <x:c r="S918" s="78" t="n">
        <x:f>Q918+G918+R918</x:f>
        <x:v>470825.9054231575</x:v>
      </x:c>
      <x:c r="T918" s="78" t="n">
        <x:f>P918*(S918*(1-'Inputs'!$B$15))/(O918+S918*(1-'Inputs'!$B$15))</x:f>
        <x:v>1.8761716944556175</x:v>
      </x:c>
      <x:c r="U918" s="78" t="n">
        <x:f>O918+S918*(1-'Inputs'!$B$17)</x:f>
        <x:v>85165576.41259457</x:v>
      </x:c>
      <x:c r="V918" s="78" t="n">
        <x:f>P918-T918</x:f>
        <x:v>340.91274925491024</x:v>
      </x:c>
      <x:c r="W918" s="79" t="n">
        <x:f>IF(U918&gt;0,V918/U918,0)</x:f>
        <x:v>0.000004002940667052128</x:v>
      </x:c>
      <x:c r="X918" s="80" t="n">
        <x:f>W918*('Inputs'!$B$6-AC918)</x:f>
        <x:v>3878.3186179026256</x:v>
      </x:c>
      <x:c r="Y918" s="80" t="n">
        <x:f>2*V918</x:f>
        <x:v>681.8254985098205</x:v>
      </x:c>
      <x:c r="Z918" s="80" t="n">
        <x:f>K918*'Inputs'!$B$16+(G918+R918)*J918*'Inputs'!$B$16</x:f>
        <x:v>4.1249003664003885</x:v>
      </x:c>
      <x:c r="AA918" s="80" t="n">
        <x:f>K918*(1+'Inputs'!$E$46)/2*'Inputs'!$B$17</x:f>
        <x:v>1.3794322774622372</x:v>
      </x:c>
      <x:c r="AB918" s="78" t="n">
        <x:f>(IF(J918&gt;0,K918*(1-'Inputs'!$E$46)/2/J918,0)+G918+R918)*'Inputs'!$B$17</x:f>
        <x:v>342726.241787711</x:v>
      </x:c>
      <x:c r="AC918" s="78" t="n">
        <x:f>AC917+AB918</x:f>
        <x:v>31132624.616511498</x:v>
      </x:c>
      <x:c r="AD918" s="80" t="n">
        <x:f>Z918/(1+'Inputs'!$C$46)</x:f>
        <x:v>2.0624501832001942</x:v>
      </x:c>
      <x:c r="AE918" s="80" t="n">
        <x:f>Z918-AD918</x:f>
        <x:v>2.0624501832001942</x:v>
      </x:c>
      <x:c r="AF918" s="80" t="n">
        <x:f>D918*W918</x:f>
        <x:v>1.1185426720813605</x:v>
      </x:c>
      <x:c r="AG918" s="80" t="n">
        <x:f>C918*W918</x:f>
        <x:v>2.6099329015231643</x:v>
      </x:c>
      <x:c r="AH918" s="80" t="n">
        <x:f>2*'Inputs'!$B$8*'Inputs'!$C$46</x:f>
        <x:v>5000</x:v>
      </x:c>
      <x:c r="AI918" s="81" t="n">
        <x:f>IF(AH918&gt;0,(AE918+AF918)/AH918*365,0)</x:f>
        <x:v>0.2322124784355535</x:v>
      </x:c>
      <x:c r="AJ918" s="81" t="n">
        <x:f>IF('Inputs'!$B$46&gt;0,AG918/('Inputs'!$B$19*'Inputs'!$B$46)*365,0)</x:f>
        <x:v>0.0952625509055955</x:v>
      </x:c>
      <x:c r="AK918" s="81" t="n">
        <x:f>W918/MAX($W$734:W918)-1</x:f>
        <x:v>-0.995250341739263</x:v>
      </x:c>
      <x:c r="AL918" s="83" t="n">
        <x:f>'Inputs'!$B$46</x:f>
        <x:v>1</x:v>
      </x:c>
      <x:c r="AM918" s="83" t="n">
        <x:f>'Inputs'!$C$46</x:f>
        <x:v>1</x:v>
      </x:c>
      <x:c r="AN918" s="83" t="n">
        <x:f>'Inputs'!$D$46</x:f>
        <x:v>1</x:v>
      </x:c>
      <x:c r="AO918" s="81" t="n">
        <x:f>'Inputs'!$E$46</x:f>
        <x:v>0</x:v>
      </x:c>
    </x:row>
    <x:row r="919">
      <x:c r="A919" s="59" t="str">
        <x:v>Base</x:v>
      </x:c>
      <x:c r="B919" s="59" t="n">
        <x:v>186</x:v>
      </x:c>
      <x:c r="C919" s="78" t="n">
        <x:f>(('Inputs'!$B$29*(3*186*'Inputs'!$B$12-186^2)/(2*'Inputs'!$B$12^2))-('Inputs'!$B$29*(3*185*'Inputs'!$B$12-185^2)/(2*'Inputs'!$B$12^2)))*'Inputs'!$B$46</x:f>
        <x:v>651678.7858885229</x:v>
      </x:c>
      <x:c r="D919" s="78" t="n">
        <x:f>IF('Inputs'!$C$46&gt;0,('Inputs'!$B$30*(3*186*'Inputs'!$B$12-186^2)/(2*'Inputs'!$B$12^2))-('Inputs'!$B$30*(3*185*'Inputs'!$B$12-185^2)/(2*'Inputs'!$B$12^2)),0)</x:f>
        <x:v>279290.90823794156</x:v>
      </x:c>
      <x:c r="E919" s="78" t="n">
        <x:f>C919+D919</x:f>
        <x:v>930969.6941264644</x:v>
      </x:c>
      <x:c r="F919" s="78" t="n">
        <x:f>'Inputs'!$B$13*E919+(1-'Inputs'!$B$13)/'Inputs'!$B$14*SUM(E864:E919)</x:f>
        <x:v>941187.3709889259</x:v>
      </x:c>
      <x:c r="G919" s="78" t="n">
        <x:f>F919*'Inputs'!$F$46</x:f>
        <x:v>470593.68549446296</x:v>
      </x:c>
      <x:c r="H919" s="78" t="n">
        <x:f>U918</x:f>
        <x:v>85165576.41259457</x:v>
      </x:c>
      <x:c r="I919" s="78" t="n">
        <x:f>V918</x:f>
        <x:v>340.91274925491024</x:v>
      </x:c>
      <x:c r="J919" s="79" t="n">
        <x:f>IF(H919&gt;0,I919/H919,0)</x:f>
        <x:v>0.000004002940667052128</x:v>
      </x:c>
      <x:c r="K919" s="80" t="n">
        <x:f>(H919*J919+I919)*'Inputs'!$D$46*(1+'Inputs'!$G$46)^(B919/30)</x:f>
        <x:v>681.8254985098206</x:v>
      </x:c>
      <x:c r="L919" s="80" t="n">
        <x:f>MAX(0,K919*'Inputs'!$E$46)</x:f>
        <x:v>0</x:v>
      </x:c>
      <x:c r="M919" s="80" t="n">
        <x:f>MAX(0,-K919*'Inputs'!$E$46)</x:f>
        <x:v>0</x:v>
      </x:c>
      <x:c r="N919" s="78" t="n">
        <x:f>H919*(L919*(1-'Inputs'!$B$15))/(I919+L919*(1-'Inputs'!$B$15))</x:f>
        <x:v>0</x:v>
      </x:c>
      <x:c r="O919" s="78" t="n">
        <x:f>H919-N919</x:f>
        <x:v>85165576.41259457</x:v>
      </x:c>
      <x:c r="P919" s="78" t="n">
        <x:f>I919+L919*(1-'Inputs'!$B$17)</x:f>
        <x:v>340.91274925491024</x:v>
      </x:c>
      <x:c r="Q919" s="78" t="n">
        <x:f>IF(J919&gt;0,M919/J919,0)</x:f>
        <x:v>0</x:v>
      </x:c>
      <x:c r="R919" s="78" t="n">
        <x:f>IF(B919='Inputs'!$H$46,'Inputs'!$B$27*'Inputs'!$I$46,0)</x:f>
        <x:v>0</x:v>
      </x:c>
      <x:c r="S919" s="78" t="n">
        <x:f>Q919+G919+R919</x:f>
        <x:v>470593.68549446296</x:v>
      </x:c>
      <x:c r="T919" s="78" t="n">
        <x:f>P919*(S919*(1-'Inputs'!$B$15))/(O919+S919*(1-'Inputs'!$B$15))</x:f>
        <x:v>1.8547746997975634</x:v>
      </x:c>
      <x:c r="U919" s="78" t="n">
        <x:f>O919+S919*(1-'Inputs'!$B$17)</x:f>
        <x:v>85634276.36092407</x:v>
      </x:c>
      <x:c r="V919" s="78" t="n">
        <x:f>P919-T919</x:f>
        <x:v>339.05797455511265</x:v>
      </x:c>
      <x:c r="W919" s="79" t="n">
        <x:f>IF(U919&gt;0,V919/U919,0)</x:f>
        <x:v>0.000003959372215934656</x:v>
      </x:c>
      <x:c r="X919" s="80" t="n">
        <x:f>W919*('Inputs'!$B$6-AC919)</x:f>
        <x:v>3834.742118437165</x:v>
      </x:c>
      <x:c r="Y919" s="80" t="n">
        <x:f>2*V919</x:f>
        <x:v>678.1159491102253</x:v>
      </x:c>
      <x:c r="Z919" s="80" t="n">
        <x:f>K919*'Inputs'!$B$16+(G919+R919)*J919*'Inputs'!$B$16</x:f>
        <x:v>4.102255542666866</x:v>
      </x:c>
      <x:c r="AA919" s="80" t="n">
        <x:f>K919*(1+'Inputs'!$E$46)/2*'Inputs'!$B$17</x:f>
        <x:v>1.3718822907642267</x:v>
      </x:c>
      <x:c r="AB919" s="78" t="n">
        <x:f>(IF(J919&gt;0,K919*(1-'Inputs'!$E$46)/2/J919,0)+G919+R919)*'Inputs'!$B$17</x:f>
        <x:v>344612.35451947304</x:v>
      </x:c>
      <x:c r="AC919" s="78" t="n">
        <x:f>AC918+AB919</x:f>
        <x:v>31477236.97103097</x:v>
      </x:c>
      <x:c r="AD919" s="80" t="n">
        <x:f>Z919/(1+'Inputs'!$C$46)</x:f>
        <x:v>2.051127771333433</x:v>
      </x:c>
      <x:c r="AE919" s="80" t="n">
        <x:f>Z919-AD919</x:f>
        <x:v>2.051127771333433</x:v>
      </x:c>
      <x:c r="AF919" s="80" t="n">
        <x:f>D919*W919</x:f>
        <x:v>1.1058166622404615</x:v>
      </x:c>
      <x:c r="AG919" s="80" t="n">
        <x:f>C919*W919</x:f>
        <x:v>2.580238878561047</x:v>
      </x:c>
      <x:c r="AH919" s="80" t="n">
        <x:f>2*'Inputs'!$B$8*'Inputs'!$C$46</x:f>
        <x:v>5000</x:v>
      </x:c>
      <x:c r="AI919" s="81" t="n">
        <x:f>IF(AH919&gt;0,(AE919+AF919)/AH919*365,0)</x:f>
        <x:v>0.23045694365089428</x:v>
      </x:c>
      <x:c r="AJ919" s="81" t="n">
        <x:f>IF('Inputs'!$B$46&gt;0,AG919/('Inputs'!$B$19*'Inputs'!$B$46)*365,0)</x:f>
        <x:v>0.09417871906747821</x:v>
      </x:c>
      <x:c r="AK919" s="81" t="n">
        <x:f>W919/MAX($W$734:W919)-1</x:f>
        <x:v>-0.9953020375476622</x:v>
      </x:c>
      <x:c r="AL919" s="83" t="n">
        <x:f>'Inputs'!$B$46</x:f>
        <x:v>1</x:v>
      </x:c>
      <x:c r="AM919" s="83" t="n">
        <x:f>'Inputs'!$C$46</x:f>
        <x:v>1</x:v>
      </x:c>
      <x:c r="AN919" s="83" t="n">
        <x:f>'Inputs'!$D$46</x:f>
        <x:v>1</x:v>
      </x:c>
      <x:c r="AO919" s="81" t="n">
        <x:f>'Inputs'!$E$46</x:f>
        <x:v>0</x:v>
      </x:c>
    </x:row>
    <x:row r="920">
      <x:c r="A920" s="59" t="str">
        <x:v>Base</x:v>
      </x:c>
      <x:c r="B920" s="59" t="n">
        <x:v>187</x:v>
      </x:c>
      <x:c r="C920" s="78" t="n">
        <x:f>(('Inputs'!$B$29*(3*187*'Inputs'!$B$12-187^2)/(2*'Inputs'!$B$12^2))-('Inputs'!$B$29*(3*186*'Inputs'!$B$12-186^2)/(2*'Inputs'!$B$12^2)))*'Inputs'!$B$46</x:f>
        <x:v>651353.6779883653</x:v>
      </x:c>
      <x:c r="D920" s="78" t="n">
        <x:f>IF('Inputs'!$C$46&gt;0,('Inputs'!$B$30*(3*187*'Inputs'!$B$12-187^2)/(2*'Inputs'!$B$12^2))-('Inputs'!$B$30*(3*186*'Inputs'!$B$12-186^2)/(2*'Inputs'!$B$12^2)),0)</x:f>
        <x:v>279151.576280728</x:v>
      </x:c>
      <x:c r="E920" s="78" t="n">
        <x:f>C920+D920</x:f>
        <x:v>930505.2542690933</x:v>
      </x:c>
      <x:c r="F920" s="78" t="n">
        <x:f>'Inputs'!$B$13*E920+(1-'Inputs'!$B$13)/'Inputs'!$B$14*SUM(E865:E920)</x:f>
        <x:v>940722.9311315443</x:v>
      </x:c>
      <x:c r="G920" s="78" t="n">
        <x:f>F920*'Inputs'!$F$46</x:f>
        <x:v>470361.46556577215</x:v>
      </x:c>
      <x:c r="H920" s="78" t="n">
        <x:f>U919</x:f>
        <x:v>85634276.36092407</x:v>
      </x:c>
      <x:c r="I920" s="78" t="n">
        <x:f>V919</x:f>
        <x:v>339.05797455511265</x:v>
      </x:c>
      <x:c r="J920" s="79" t="n">
        <x:f>IF(H920&gt;0,I920/H920,0)</x:f>
        <x:v>0.000003959372215934656</x:v>
      </x:c>
      <x:c r="K920" s="80" t="n">
        <x:f>(H920*J920+I920)*'Inputs'!$D$46*(1+'Inputs'!$G$46)^(B920/30)</x:f>
        <x:v>678.1159491102253</x:v>
      </x:c>
      <x:c r="L920" s="80" t="n">
        <x:f>MAX(0,K920*'Inputs'!$E$46)</x:f>
        <x:v>0</x:v>
      </x:c>
      <x:c r="M920" s="80" t="n">
        <x:f>MAX(0,-K920*'Inputs'!$E$46)</x:f>
        <x:v>0</x:v>
      </x:c>
      <x:c r="N920" s="78" t="n">
        <x:f>H920*(L920*(1-'Inputs'!$B$15))/(I920+L920*(1-'Inputs'!$B$15))</x:f>
        <x:v>0</x:v>
      </x:c>
      <x:c r="O920" s="78" t="n">
        <x:f>H920-N920</x:f>
        <x:v>85634276.36092407</x:v>
      </x:c>
      <x:c r="P920" s="78" t="n">
        <x:f>I920+L920*(1-'Inputs'!$B$17)</x:f>
        <x:v>339.05797455511265</x:v>
      </x:c>
      <x:c r="Q920" s="78" t="n">
        <x:f>IF(J920&gt;0,M920/J920,0)</x:f>
        <x:v>0</x:v>
      </x:c>
      <x:c r="R920" s="78" t="n">
        <x:f>IF(B920='Inputs'!$H$46,'Inputs'!$B$27*'Inputs'!$I$46,0)</x:f>
        <x:v>0</x:v>
      </x:c>
      <x:c r="S920" s="78" t="n">
        <x:f>Q920+G920+R920</x:f>
        <x:v>470361.46556577215</x:v>
      </x:c>
      <x:c r="T920" s="78" t="n">
        <x:f>P920*(S920*(1-'Inputs'!$B$15))/(O920+S920*(1-'Inputs'!$B$15))</x:f>
        <x:v>1.8337413287311108</x:v>
      </x:c>
      <x:c r="U920" s="78" t="n">
        <x:f>O920+S920*(1-'Inputs'!$B$17)</x:f>
        <x:v>86102745.0238115</x:v>
      </x:c>
      <x:c r="V920" s="78" t="n">
        <x:f>P920-T920</x:f>
        <x:v>337.22423322638156</x:v>
      </x:c>
      <x:c r="W920" s="79" t="n">
        <x:f>IF(U920&gt;0,V920/U920,0)</x:f>
        <x:v>0.000003916532894893456</x:v>
      </x:c>
      <x:c r="X920" s="80" t="n">
        <x:f>W920*('Inputs'!$B$6-AC920)</x:f>
        <x:v>3791.894191856257</x:v>
      </x:c>
      <x:c r="Y920" s="80" t="n">
        <x:f>2*V920</x:f>
        <x:v>674.4484664527631</x:v>
      </x:c>
      <x:c r="Z920" s="80" t="n">
        <x:f>K920*'Inputs'!$B$16+(G920+R920)*J920*'Inputs'!$B$16</x:f>
        <x:v>4.079869711370596</x:v>
      </x:c>
      <x:c r="AA920" s="80" t="n">
        <x:f>K920*(1+'Inputs'!$E$46)/2*'Inputs'!$B$17</x:f>
        <x:v>1.3644184086724855</x:v>
      </x:c>
      <x:c r="AB920" s="78" t="n">
        <x:f>(IF(J920&gt;0,K920*(1-'Inputs'!$E$46)/2/J920,0)+G920+R920)*'Inputs'!$B$17</x:f>
        <x:v>346497.53652511</x:v>
      </x:c>
      <x:c r="AC920" s="78" t="n">
        <x:f>AC919+AB920</x:f>
        <x:v>31823734.50755608</x:v>
      </x:c>
      <x:c r="AD920" s="80" t="n">
        <x:f>Z920/(1+'Inputs'!$C$46)</x:f>
        <x:v>2.039934855685298</x:v>
      </x:c>
      <x:c r="AE920" s="80" t="n">
        <x:f>Z920-AD920</x:f>
        <x:v>2.039934855685298</x:v>
      </x:c>
      <x:c r="AF920" s="80" t="n">
        <x:f>D920*W920</x:f>
        <x:v>1.093306331164831</x:v>
      </x:c>
      <x:c r="AG920" s="80" t="n">
        <x:f>C920*W920</x:f>
        <x:v>2.5510481060512724</x:v>
      </x:c>
      <x:c r="AH920" s="80" t="n">
        <x:f>2*'Inputs'!$B$8*'Inputs'!$C$46</x:f>
        <x:v>5000</x:v>
      </x:c>
      <x:c r="AI920" s="81" t="n">
        <x:f>IF(AH920&gt;0,(AE920+AF920)/AH920*365,0)</x:f>
        <x:v>0.22872660664005942</x:v>
      </x:c>
      <x:c r="AJ920" s="81" t="n">
        <x:f>IF('Inputs'!$B$46&gt;0,AG920/('Inputs'!$B$19*'Inputs'!$B$46)*365,0)</x:f>
        <x:v>0.09311325587087145</x:v>
      </x:c>
      <x:c r="AK920" s="81" t="n">
        <x:f>W920/MAX($W$734:W920)-1</x:f>
        <x:v>-0.9953528682124139</x:v>
      </x:c>
      <x:c r="AL920" s="83" t="n">
        <x:f>'Inputs'!$B$46</x:f>
        <x:v>1</x:v>
      </x:c>
      <x:c r="AM920" s="83" t="n">
        <x:f>'Inputs'!$C$46</x:f>
        <x:v>1</x:v>
      </x:c>
      <x:c r="AN920" s="83" t="n">
        <x:f>'Inputs'!$D$46</x:f>
        <x:v>1</x:v>
      </x:c>
      <x:c r="AO920" s="81" t="n">
        <x:f>'Inputs'!$E$46</x:f>
        <x:v>0</x:v>
      </x:c>
    </x:row>
    <x:row r="921">
      <x:c r="A921" s="59" t="str">
        <x:v>Base</x:v>
      </x:c>
      <x:c r="B921" s="59" t="n">
        <x:v>188</x:v>
      </x:c>
      <x:c r="C921" s="78" t="n">
        <x:f>(('Inputs'!$B$29*(3*188*'Inputs'!$B$12-188^2)/(2*'Inputs'!$B$12^2))-('Inputs'!$B$29*(3*187*'Inputs'!$B$12-187^2)/(2*'Inputs'!$B$12^2)))*'Inputs'!$B$46</x:f>
        <x:v>651028.5700882077</x:v>
      </x:c>
      <x:c r="D921" s="78" t="n">
        <x:f>IF('Inputs'!$C$46&gt;0,('Inputs'!$B$30*(3*188*'Inputs'!$B$12-188^2)/(2*'Inputs'!$B$12^2))-('Inputs'!$B$30*(3*187*'Inputs'!$B$12-187^2)/(2*'Inputs'!$B$12^2)),0)</x:f>
        <x:v>279012.2443235144</x:v>
      </x:c>
      <x:c r="E921" s="78" t="n">
        <x:f>C921+D921</x:f>
        <x:v>930040.8144117221</x:v>
      </x:c>
      <x:c r="F921" s="78" t="n">
        <x:f>'Inputs'!$B$13*E921+(1-'Inputs'!$B$13)/'Inputs'!$B$14*SUM(E866:E921)</x:f>
        <x:v>940258.4912741629</x:v>
      </x:c>
      <x:c r="G921" s="78" t="n">
        <x:f>F921*'Inputs'!$F$46</x:f>
        <x:v>470129.24563708145</x:v>
      </x:c>
      <x:c r="H921" s="78" t="n">
        <x:f>U920</x:f>
        <x:v>86102745.0238115</x:v>
      </x:c>
      <x:c r="I921" s="78" t="n">
        <x:f>V920</x:f>
        <x:v>337.22423322638156</x:v>
      </x:c>
      <x:c r="J921" s="79" t="n">
        <x:f>IF(H921&gt;0,I921/H921,0)</x:f>
        <x:v>0.000003916532894893456</x:v>
      </x:c>
      <x:c r="K921" s="80" t="n">
        <x:f>(H921*J921+I921)*'Inputs'!$D$46*(1+'Inputs'!$G$46)^(B921/30)</x:f>
        <x:v>674.4484664527631</x:v>
      </x:c>
      <x:c r="L921" s="80" t="n">
        <x:f>MAX(0,K921*'Inputs'!$E$46)</x:f>
        <x:v>0</x:v>
      </x:c>
      <x:c r="M921" s="80" t="n">
        <x:f>MAX(0,-K921*'Inputs'!$E$46)</x:f>
        <x:v>0</x:v>
      </x:c>
      <x:c r="N921" s="78" t="n">
        <x:f>H921*(L921*(1-'Inputs'!$B$15))/(I921+L921*(1-'Inputs'!$B$15))</x:f>
        <x:v>0</x:v>
      </x:c>
      <x:c r="O921" s="78" t="n">
        <x:f>H921-N921</x:f>
        <x:v>86102745.0238115</x:v>
      </x:c>
      <x:c r="P921" s="78" t="n">
        <x:f>I921+L921*(1-'Inputs'!$B$17)</x:f>
        <x:v>337.22423322638156</x:v>
      </x:c>
      <x:c r="Q921" s="78" t="n">
        <x:f>IF(J921&gt;0,M921/J921,0)</x:f>
        <x:v>0</x:v>
      </x:c>
      <x:c r="R921" s="78" t="n">
        <x:f>IF(B921='Inputs'!$H$46,'Inputs'!$B$27*'Inputs'!$I$46,0)</x:f>
        <x:v>0</x:v>
      </x:c>
      <x:c r="S921" s="78" t="n">
        <x:f>Q921+G921+R921</x:f>
        <x:v>470129.24563708145</x:v>
      </x:c>
      <x:c r="T921" s="78" t="n">
        <x:f>P921*(S921*(1-'Inputs'!$B$15))/(O921+S921*(1-'Inputs'!$B$15))</x:f>
        <x:v>1.8130633838743935</x:v>
      </x:c>
      <x:c r="U921" s="78" t="n">
        <x:f>O921+S921*(1-'Inputs'!$B$17)</x:f>
        <x:v>86570982.40125689</x:v>
      </x:c>
      <x:c r="V921" s="78" t="n">
        <x:f>P921-T921</x:f>
        <x:v>335.41116984250715</x:v>
      </x:c>
      <x:c r="W921" s="79" t="n">
        <x:f>IF(U921&gt;0,V921/U921,0)</x:f>
        <x:v>0.000003874406418167636</x:v>
      </x:c>
      <x:c r="X921" s="80" t="n">
        <x:f>W921*('Inputs'!$B$6-AC921)</x:f>
        <x:v>3749.758564306855</x:v>
      </x:c>
      <x:c r="Y921" s="80" t="n">
        <x:f>2*V921</x:f>
        <x:v>670.8223396850143</x:v>
      </x:c>
      <x:c r="Z921" s="80" t="n">
        <x:f>K921*'Inputs'!$B$16+(G921+R921)*J921*'Inputs'!$B$16</x:f>
        <x:v>4.057738458648913</x:v>
      </x:c>
      <x:c r="AA921" s="80" t="n">
        <x:f>K921*(1+'Inputs'!$E$46)/2*'Inputs'!$B$17</x:f>
        <x:v>1.3570391679130043</x:v>
      </x:c>
      <x:c r="AB921" s="78" t="n">
        <x:f>(IF(J921&gt;0,K921*(1-'Inputs'!$E$46)/2/J921,0)+G921+R921)*'Inputs'!$B$17</x:f>
        <x:v>348381.787804622</x:v>
      </x:c>
      <x:c r="AC921" s="78" t="n">
        <x:f>AC920+AB921</x:f>
        <x:v>32172116.295360703</x:v>
      </x:c>
      <x:c r="AD921" s="80" t="n">
        <x:f>Z921/(1+'Inputs'!$C$46)</x:f>
        <x:v>2.0288692293244566</x:v>
      </x:c>
      <x:c r="AE921" s="80" t="n">
        <x:f>Z921-AD921</x:f>
        <x:v>2.0288692293244566</x:v>
      </x:c>
      <x:c r="AF921" s="80" t="n">
        <x:f>D921*W921</x:f>
        <x:v>1.081006830154381</x:v>
      </x:c>
      <x:c r="AG921" s="80" t="n">
        <x:f>C921*W921</x:f>
        <x:v>2.522349270360251</x:v>
      </x:c>
      <x:c r="AH921" s="80" t="n">
        <x:f>2*'Inputs'!$B$8*'Inputs'!$C$46</x:f>
        <x:v>5000</x:v>
      </x:c>
      <x:c r="AI921" s="81" t="n">
        <x:f>IF(AH921&gt;0,(AE921+AF921)/AH921*365,0)</x:f>
        <x:v>0.22702095234195513</x:v>
      </x:c>
      <x:c r="AJ921" s="81" t="n">
        <x:f>IF('Inputs'!$B$46&gt;0,AG921/('Inputs'!$B$19*'Inputs'!$B$46)*365,0)</x:f>
        <x:v>0.09206574836814915</x:v>
      </x:c>
      <x:c r="AK921" s="81" t="n">
        <x:f>W921/MAX($W$734:W921)-1</x:f>
        <x:v>-0.9954028530572615</x:v>
      </x:c>
      <x:c r="AL921" s="83" t="n">
        <x:f>'Inputs'!$B$46</x:f>
        <x:v>1</x:v>
      </x:c>
      <x:c r="AM921" s="83" t="n">
        <x:f>'Inputs'!$C$46</x:f>
        <x:v>1</x:v>
      </x:c>
      <x:c r="AN921" s="83" t="n">
        <x:f>'Inputs'!$D$46</x:f>
        <x:v>1</x:v>
      </x:c>
      <x:c r="AO921" s="81" t="n">
        <x:f>'Inputs'!$E$46</x:f>
        <x:v>0</x:v>
      </x:c>
    </x:row>
    <x:row r="922">
      <x:c r="A922" s="59" t="str">
        <x:v>Base</x:v>
      </x:c>
      <x:c r="B922" s="59" t="n">
        <x:v>189</x:v>
      </x:c>
      <x:c r="C922" s="78" t="n">
        <x:f>(('Inputs'!$B$29*(3*189*'Inputs'!$B$12-189^2)/(2*'Inputs'!$B$12^2))-('Inputs'!$B$29*(3*188*'Inputs'!$B$12-188^2)/(2*'Inputs'!$B$12^2)))*'Inputs'!$B$46</x:f>
        <x:v>650703.4621880203</x:v>
      </x:c>
      <x:c r="D922" s="78" t="n">
        <x:f>IF('Inputs'!$C$46&gt;0,('Inputs'!$B$30*(3*189*'Inputs'!$B$12-189^2)/(2*'Inputs'!$B$12^2))-('Inputs'!$B$30*(3*188*'Inputs'!$B$12-188^2)/(2*'Inputs'!$B$12^2)),0)</x:f>
        <x:v>278872.91236629337</x:v>
      </x:c>
      <x:c r="E922" s="78" t="n">
        <x:f>C922+D922</x:f>
        <x:v>929576.3745543137</x:v>
      </x:c>
      <x:c r="F922" s="78" t="n">
        <x:f>'Inputs'!$B$13*E922+(1-'Inputs'!$B$13)/'Inputs'!$B$14*SUM(E867:E922)</x:f>
        <x:v>939794.0514167738</x:v>
      </x:c>
      <x:c r="G922" s="78" t="n">
        <x:f>F922*'Inputs'!$F$46</x:f>
        <x:v>469897.0257083869</x:v>
      </x:c>
      <x:c r="H922" s="78" t="n">
        <x:f>U921</x:f>
        <x:v>86570982.40125689</x:v>
      </x:c>
      <x:c r="I922" s="78" t="n">
        <x:f>V921</x:f>
        <x:v>335.41116984250715</x:v>
      </x:c>
      <x:c r="J922" s="79" t="n">
        <x:f>IF(H922&gt;0,I922/H922,0)</x:f>
        <x:v>0.000003874406418167636</x:v>
      </x:c>
      <x:c r="K922" s="80" t="n">
        <x:f>(H922*J922+I922)*'Inputs'!$D$46*(1+'Inputs'!$G$46)^(B922/30)</x:f>
        <x:v>670.8223396850143</x:v>
      </x:c>
      <x:c r="L922" s="80" t="n">
        <x:f>MAX(0,K922*'Inputs'!$E$46)</x:f>
        <x:v>0</x:v>
      </x:c>
      <x:c r="M922" s="80" t="n">
        <x:f>MAX(0,-K922*'Inputs'!$E$46)</x:f>
        <x:v>0</x:v>
      </x:c>
      <x:c r="N922" s="78" t="n">
        <x:f>H922*(L922*(1-'Inputs'!$B$15))/(I922+L922*(1-'Inputs'!$B$15))</x:f>
        <x:v>0</x:v>
      </x:c>
      <x:c r="O922" s="78" t="n">
        <x:f>H922-N922</x:f>
        <x:v>86570982.40125689</x:v>
      </x:c>
      <x:c r="P922" s="78" t="n">
        <x:f>I922+L922*(1-'Inputs'!$B$17)</x:f>
        <x:v>335.41116984250715</x:v>
      </x:c>
      <x:c r="Q922" s="78" t="n">
        <x:f>IF(J922&gt;0,M922/J922,0)</x:f>
        <x:v>0</x:v>
      </x:c>
      <x:c r="R922" s="78" t="n">
        <x:f>IF(B922='Inputs'!$H$46,'Inputs'!$B$27*'Inputs'!$I$46,0)</x:f>
        <x:v>0</x:v>
      </x:c>
      <x:c r="S922" s="78" t="n">
        <x:f>Q922+G922+R922</x:f>
        <x:v>469897.0257083869</x:v>
      </x:c>
      <x:c r="T922" s="78" t="n">
        <x:f>P922*(S922*(1-'Inputs'!$B$15))/(O922+S922*(1-'Inputs'!$B$15))</x:f>
        <x:v>1.7927328976136736</x:v>
      </x:c>
      <x:c r="U922" s="78" t="n">
        <x:f>O922+S922*(1-'Inputs'!$B$17)</x:f>
        <x:v>87038988.4932602</x:v>
      </x:c>
      <x:c r="V922" s="78" t="n">
        <x:f>P922-T922</x:f>
        <x:v>333.61843694489346</x:v>
      </x:c>
      <x:c r="W922" s="79" t="n">
        <x:f>IF(U922&gt;0,V922/U922,0)</x:f>
        <x:v>0.00000383297695343423</x:v>
      </x:c>
      <x:c r="X922" s="80" t="n">
        <x:f>W922*('Inputs'!$B$6-AC922)</x:f>
        <x:v>3708.319415042978</x:v>
      </x:c>
      <x:c r="Y922" s="80" t="n">
        <x:f>2*V922</x:f>
        <x:v>667.2368738897869</x:v>
      </x:c>
      <x:c r="Z922" s="80" t="n">
        <x:f>K922*'Inputs'!$B$16+(G922+R922)*J922*'Inputs'!$B$16</x:f>
        <x:v>4.035857470423781</x:v>
      </x:c>
      <x:c r="AA922" s="80" t="n">
        <x:f>K922*(1+'Inputs'!$E$46)/2*'Inputs'!$B$17</x:f>
        <x:v>1.349743138199224</x:v>
      </x:c>
      <x:c r="AB922" s="78" t="n">
        <x:f>(IF(J922&gt;0,K922*(1-'Inputs'!$E$46)/2/J922,0)+G922+R922)*'Inputs'!$B$17</x:f>
        <x:v>350265.1083580092</x:v>
      </x:c>
      <x:c r="AC922" s="78" t="n">
        <x:f>AC921+AB922</x:f>
        <x:v>32522381.403718714</x:v>
      </x:c>
      <x:c r="AD922" s="80" t="n">
        <x:f>Z922/(1+'Inputs'!$C$46)</x:f>
        <x:v>2.0179287352118904</x:v>
      </x:c>
      <x:c r="AE922" s="80" t="n">
        <x:f>Z922-AD922</x:f>
        <x:v>2.0179287352118904</x:v>
      </x:c>
      <x:c r="AF922" s="80" t="n">
        <x:f>D922*W922</x:f>
        <x:v>1.0689134460370862</x:v>
      </x:c>
      <x:c r="AG922" s="80" t="n">
        <x:f>C922*W922</x:f>
        <x:v>2.494131374086544</x:v>
      </x:c>
      <x:c r="AH922" s="80" t="n">
        <x:f>2*'Inputs'!$B$8*'Inputs'!$C$46</x:f>
        <x:v>5000</x:v>
      </x:c>
      <x:c r="AI922" s="81" t="n">
        <x:f>IF(AH922&gt;0,(AE922+AF922)/AH922*365,0)</x:f>
        <x:v>0.22533947923117528</x:v>
      </x:c>
      <x:c r="AJ922" s="81" t="n">
        <x:f>IF('Inputs'!$B$46&gt;0,AG922/('Inputs'!$B$19*'Inputs'!$B$46)*365,0)</x:f>
        <x:v>0.09103579515415884</x:v>
      </x:c>
      <x:c r="AK922" s="81" t="n">
        <x:f>W922/MAX($W$734:W922)-1</x:f>
        <x:v>-0.9954520108679251</x:v>
      </x:c>
      <x:c r="AL922" s="83" t="n">
        <x:f>'Inputs'!$B$46</x:f>
        <x:v>1</x:v>
      </x:c>
      <x:c r="AM922" s="83" t="n">
        <x:f>'Inputs'!$C$46</x:f>
        <x:v>1</x:v>
      </x:c>
      <x:c r="AN922" s="83" t="n">
        <x:f>'Inputs'!$D$46</x:f>
        <x:v>1</x:v>
      </x:c>
      <x:c r="AO922" s="81" t="n">
        <x:f>'Inputs'!$E$46</x:f>
        <x:v>0</x:v>
      </x:c>
    </x:row>
    <x:row r="923">
      <x:c r="A923" s="59" t="str">
        <x:v>Base</x:v>
      </x:c>
      <x:c r="B923" s="59" t="n">
        <x:v>190</x:v>
      </x:c>
      <x:c r="C923" s="78" t="n">
        <x:f>(('Inputs'!$B$29*(3*190*'Inputs'!$B$12-190^2)/(2*'Inputs'!$B$12^2))-('Inputs'!$B$29*(3*189*'Inputs'!$B$12-189^2)/(2*'Inputs'!$B$12^2)))*'Inputs'!$B$46</x:f>
        <x:v>650378.3542878628</x:v>
      </x:c>
      <x:c r="D923" s="78" t="n">
        <x:f>IF('Inputs'!$C$46&gt;0,('Inputs'!$B$30*(3*190*'Inputs'!$B$12-190^2)/(2*'Inputs'!$B$12^2))-('Inputs'!$B$30*(3*189*'Inputs'!$B$12-189^2)/(2*'Inputs'!$B$12^2)),0)</x:f>
        <x:v>278733.58040908724</x:v>
      </x:c>
      <x:c r="E923" s="78" t="n">
        <x:f>C923+D923</x:f>
        <x:v>929111.93469695</x:v>
      </x:c>
      <x:c r="F923" s="78" t="n">
        <x:f>'Inputs'!$B$13*E923+(1-'Inputs'!$B$13)/'Inputs'!$B$14*SUM(E868:E923)</x:f>
        <x:v>939329.6115593938</x:v>
      </x:c>
      <x:c r="G923" s="78" t="n">
        <x:f>F923*'Inputs'!$F$46</x:f>
        <x:v>469664.8057796969</x:v>
      </x:c>
      <x:c r="H923" s="78" t="n">
        <x:f>U922</x:f>
        <x:v>87038988.4932602</x:v>
      </x:c>
      <x:c r="I923" s="78" t="n">
        <x:f>V922</x:f>
        <x:v>333.61843694489346</x:v>
      </x:c>
      <x:c r="J923" s="79" t="n">
        <x:f>IF(H923&gt;0,I923/H923,0)</x:f>
        <x:v>0.00000383297695343423</x:v>
      </x:c>
      <x:c r="K923" s="80" t="n">
        <x:f>(H923*J923+I923)*'Inputs'!$D$46*(1+'Inputs'!$G$46)^(B923/30)</x:f>
        <x:v>667.2368738897869</x:v>
      </x:c>
      <x:c r="L923" s="80" t="n">
        <x:f>MAX(0,K923*'Inputs'!$E$46)</x:f>
        <x:v>0</x:v>
      </x:c>
      <x:c r="M923" s="80" t="n">
        <x:f>MAX(0,-K923*'Inputs'!$E$46)</x:f>
        <x:v>0</x:v>
      </x:c>
      <x:c r="N923" s="78" t="n">
        <x:f>H923*(L923*(1-'Inputs'!$B$15))/(I923+L923*(1-'Inputs'!$B$15))</x:f>
        <x:v>0</x:v>
      </x:c>
      <x:c r="O923" s="78" t="n">
        <x:f>H923-N923</x:f>
        <x:v>87038988.4932602</x:v>
      </x:c>
      <x:c r="P923" s="78" t="n">
        <x:f>I923+L923*(1-'Inputs'!$B$17)</x:f>
        <x:v>333.61843694489346</x:v>
      </x:c>
      <x:c r="Q923" s="78" t="n">
        <x:f>IF(J923&gt;0,M923/J923,0)</x:f>
        <x:v>0</x:v>
      </x:c>
      <x:c r="R923" s="78" t="n">
        <x:f>IF(B923='Inputs'!$H$46,'Inputs'!$B$27*'Inputs'!$I$46,0)</x:f>
        <x:v>0</x:v>
      </x:c>
      <x:c r="S923" s="78" t="n">
        <x:f>Q923+G923+R923</x:f>
        <x:v>469664.8057796969</x:v>
      </x:c>
      <x:c r="T923" s="78" t="n">
        <x:f>P923*(S923*(1-'Inputs'!$B$15))/(O923+S923*(1-'Inputs'!$B$15))</x:f>
        <x:v>1.7727421244166781</x:v>
      </x:c>
      <x:c r="U923" s="78" t="n">
        <x:f>O923+S923*(1-'Inputs'!$B$17)</x:f>
        <x:v>87506763.29982147</x:v>
      </x:c>
      <x:c r="V923" s="78" t="n">
        <x:f>P923-T923</x:f>
        <x:v>331.8456948204768</x:v>
      </x:c>
      <x:c r="W923" s="79" t="n">
        <x:f>IF(U923&gt;0,V923/U923,0)</x:f>
        <x:v>0.0000037922291067204157</x:v>
      </x:c>
      <x:c r="X923" s="80" t="n">
        <x:f>W923*('Inputs'!$B$6-AC923)</x:f>
        <x:v>3667.561361348894</x:v>
      </x:c>
      <x:c r="Y923" s="80" t="n">
        <x:f>2*V923</x:f>
        <x:v>663.6913896409536</x:v>
      </x:c>
      <x:c r="Z923" s="80" t="n">
        <x:f>K923*'Inputs'!$B$16+(G923+R923)*J923*'Inputs'!$B$16</x:f>
        <x:v>4.014222529597078</x:v>
      </x:c>
      <x:c r="AA923" s="80" t="n">
        <x:f>K923*(1+'Inputs'!$E$46)/2*'Inputs'!$B$17</x:f>
        <x:v>1.3425289213074185</x:v>
      </x:c>
      <x:c r="AB923" s="78" t="n">
        <x:f>(IF(J923&gt;0,K923*(1-'Inputs'!$E$46)/2/J923,0)+G923+R923)*'Inputs'!$B$17</x:f>
        <x:v>352147.4981852712</x:v>
      </x:c>
      <x:c r="AC923" s="78" t="n">
        <x:f>AC922+AB923</x:f>
        <x:v>32874528.901903983</x:v>
      </x:c>
      <x:c r="AD923" s="80" t="n">
        <x:f>Z923/(1+'Inputs'!$C$46)</x:f>
        <x:v>2.007111264798539</x:v>
      </x:c>
      <x:c r="AE923" s="80" t="n">
        <x:f>Z923-AD923</x:f>
        <x:v>2.007111264798539</x:v>
      </x:c>
      <x:c r="AF923" s="80" t="n">
        <x:f>D923*W923</x:f>
        <x:v>1.057021596647736</x:v>
      </x:c>
      <x:c r="AG923" s="80" t="n">
        <x:f>C923*W923</x:f>
        <x:v>2.466383725511356</x:v>
      </x:c>
      <x:c r="AH923" s="80" t="n">
        <x:f>2*'Inputs'!$B$8*'Inputs'!$C$46</x:f>
        <x:v>5000</x:v>
      </x:c>
      <x:c r="AI923" s="81" t="n">
        <x:f>IF(AH923&gt;0,(AE923+AF923)/AH923*365,0)</x:f>
        <x:v>0.2236816988855781</x:v>
      </x:c>
      <x:c r="AJ923" s="81" t="n">
        <x:f>IF('Inputs'!$B$46&gt;0,AG923/('Inputs'!$B$19*'Inputs'!$B$46)*365,0)</x:f>
        <x:v>0.09002300598116449</x:v>
      </x:c>
      <x:c r="AK923" s="81" t="n">
        <x:f>W923/MAX($W$734:W923)-1</x:f>
        <x:v>-0.9955003599100043</x:v>
      </x:c>
      <x:c r="AL923" s="83" t="n">
        <x:f>'Inputs'!$B$46</x:f>
        <x:v>1</x:v>
      </x:c>
      <x:c r="AM923" s="83" t="n">
        <x:f>'Inputs'!$C$46</x:f>
        <x:v>1</x:v>
      </x:c>
      <x:c r="AN923" s="83" t="n">
        <x:f>'Inputs'!$D$46</x:f>
        <x:v>1</x:v>
      </x:c>
      <x:c r="AO923" s="81" t="n">
        <x:f>'Inputs'!$E$46</x:f>
        <x:v>0</x:v>
      </x:c>
    </x:row>
    <x:row r="924">
      <x:c r="A924" s="59" t="str">
        <x:v>Base</x:v>
      </x:c>
      <x:c r="B924" s="59" t="n">
        <x:v>191</x:v>
      </x:c>
      <x:c r="C924" s="78" t="n">
        <x:f>(('Inputs'!$B$29*(3*191*'Inputs'!$B$12-191^2)/(2*'Inputs'!$B$12^2))-('Inputs'!$B$29*(3*190*'Inputs'!$B$12-190^2)/(2*'Inputs'!$B$12^2)))*'Inputs'!$B$46</x:f>
        <x:v>650053.2463876903</x:v>
      </x:c>
      <x:c r="D924" s="78" t="n">
        <x:f>IF('Inputs'!$C$46&gt;0,('Inputs'!$B$30*(3*191*'Inputs'!$B$12-191^2)/(2*'Inputs'!$B$12^2))-('Inputs'!$B$30*(3*190*'Inputs'!$B$12-190^2)/(2*'Inputs'!$B$12^2)),0)</x:f>
        <x:v>278594.2484518662</x:v>
      </x:c>
      <x:c r="E924" s="78" t="n">
        <x:f>C924+D924</x:f>
        <x:v>928647.4948395565</x:v>
      </x:c>
      <x:c r="F924" s="78" t="n">
        <x:f>'Inputs'!$B$13*E924+(1-'Inputs'!$B$13)/'Inputs'!$B$14*SUM(E869:E924)</x:f>
        <x:v>938865.1717020079</x:v>
      </x:c>
      <x:c r="G924" s="78" t="n">
        <x:f>F924*'Inputs'!$F$46</x:f>
        <x:v>469432.58585100394</x:v>
      </x:c>
      <x:c r="H924" s="78" t="n">
        <x:f>U923</x:f>
        <x:v>87506763.29982147</x:v>
      </x:c>
      <x:c r="I924" s="78" t="n">
        <x:f>V923</x:f>
        <x:v>331.8456948204768</x:v>
      </x:c>
      <x:c r="J924" s="79" t="n">
        <x:f>IF(H924&gt;0,I924/H924,0)</x:f>
        <x:v>0.0000037922291067204157</x:v>
      </x:c>
      <x:c r="K924" s="80" t="n">
        <x:f>(H924*J924+I924)*'Inputs'!$D$46*(1+'Inputs'!$G$46)^(B924/30)</x:f>
        <x:v>663.6913896409536</x:v>
      </x:c>
      <x:c r="L924" s="80" t="n">
        <x:f>MAX(0,K924*'Inputs'!$E$46)</x:f>
        <x:v>0</x:v>
      </x:c>
      <x:c r="M924" s="80" t="n">
        <x:f>MAX(0,-K924*'Inputs'!$E$46)</x:f>
        <x:v>0</x:v>
      </x:c>
      <x:c r="N924" s="78" t="n">
        <x:f>H924*(L924*(1-'Inputs'!$B$15))/(I924+L924*(1-'Inputs'!$B$15))</x:f>
        <x:v>0</x:v>
      </x:c>
      <x:c r="O924" s="78" t="n">
        <x:f>H924-N924</x:f>
        <x:v>87506763.29982147</x:v>
      </x:c>
      <x:c r="P924" s="78" t="n">
        <x:f>I924+L924*(1-'Inputs'!$B$17)</x:f>
        <x:v>331.8456948204768</x:v>
      </x:c>
      <x:c r="Q924" s="78" t="n">
        <x:f>IF(J924&gt;0,M924/J924,0)</x:f>
        <x:v>0</x:v>
      </x:c>
      <x:c r="R924" s="78" t="n">
        <x:f>IF(B924='Inputs'!$H$46,'Inputs'!$B$27*'Inputs'!$I$46,0)</x:f>
        <x:v>0</x:v>
      </x:c>
      <x:c r="S924" s="78" t="n">
        <x:f>Q924+G924+R924</x:f>
        <x:v>469432.58585100394</x:v>
      </x:c>
      <x:c r="T924" s="78" t="n">
        <x:f>P924*(S924*(1-'Inputs'!$B$15))/(O924+S924*(1-'Inputs'!$B$15))</x:f>
        <x:v>1.7530835334441763</x:v>
      </x:c>
      <x:c r="U924" s="78" t="n">
        <x:f>O924+S924*(1-'Inputs'!$B$17)</x:f>
        <x:v>87974306.82094067</x:v>
      </x:c>
      <x:c r="V924" s="78" t="n">
        <x:f>P924-T924</x:f>
        <x:v>330.09261128703264</x:v>
      </x:c>
      <x:c r="W924" s="79" t="n">
        <x:f>IF(U924&gt;0,V924/U924,0)</x:f>
        <x:v>0.00000375214790789872</x:v>
      </x:c>
      <x:c r="X924" s="80" t="n">
        <x:f>W924*('Inputs'!$B$6-AC924)</x:f>
        <x:v>3627.4694440448675</x:v>
      </x:c>
      <x:c r="Y924" s="80" t="n">
        <x:f>2*V924</x:f>
        <x:v>660.1852225740653</x:v>
      </x:c>
      <x:c r="Z924" s="80" t="n">
        <x:f>K924*'Inputs'!$B$16+(G924+R924)*J924*'Inputs'!$B$16</x:f>
        <x:v>3.9928295133399647</x:v>
      </x:c>
      <x:c r="AA924" s="80" t="n">
        <x:f>K924*(1+'Inputs'!$E$46)/2*'Inputs'!$B$17</x:f>
        <x:v>1.3353951501830055</x:v>
      </x:c>
      <x:c r="AB924" s="78" t="n">
        <x:f>(IF(J924&gt;0,K924*(1-'Inputs'!$E$46)/2/J924,0)+G924+R924)*'Inputs'!$B$17</x:f>
        <x:v>354028.95728640835</x:v>
      </x:c>
      <x:c r="AC924" s="78" t="n">
        <x:f>AC923+AB924</x:f>
        <x:v>33228557.859190393</x:v>
      </x:c>
      <x:c r="AD924" s="80" t="n">
        <x:f>Z924/(1+'Inputs'!$C$46)</x:f>
        <x:v>1.9964147566699824</x:v>
      </x:c>
      <x:c r="AE924" s="80" t="n">
        <x:f>Z924-AD924</x:f>
        <x:v>1.9964147566699824</x:v>
      </x:c>
      <x:c r="AF924" s="80" t="n">
        <x:f>D924*W924</x:f>
        <x:v>1.045326826481286</x:v>
      </x:c>
      <x:c r="AG924" s="80" t="n">
        <x:f>C924*W924</x:f>
        <x:v>2.4390959284563434</x:v>
      </x:c>
      <x:c r="AH924" s="80" t="n">
        <x:f>2*'Inputs'!$B$8*'Inputs'!$C$46</x:f>
        <x:v>5000</x:v>
      </x:c>
      <x:c r="AI924" s="81" t="n">
        <x:f>IF(AH924&gt;0,(AE924+AF924)/AH924*365,0)</x:f>
        <x:v>0.2220471355700426</x:v>
      </x:c>
      <x:c r="AJ924" s="81" t="n">
        <x:f>IF('Inputs'!$B$46&gt;0,AG924/('Inputs'!$B$19*'Inputs'!$B$46)*365,0)</x:f>
        <x:v>0.08902700138865653</x:v>
      </x:c>
      <x:c r="AK924" s="81" t="n">
        <x:f>W924/MAX($W$734:W924)-1</x:f>
        <x:v>-0.9955479179461877</x:v>
      </x:c>
      <x:c r="AL924" s="83" t="n">
        <x:f>'Inputs'!$B$46</x:f>
        <x:v>1</x:v>
      </x:c>
      <x:c r="AM924" s="83" t="n">
        <x:f>'Inputs'!$C$46</x:f>
        <x:v>1</x:v>
      </x:c>
      <x:c r="AN924" s="83" t="n">
        <x:f>'Inputs'!$D$46</x:f>
        <x:v>1</x:v>
      </x:c>
      <x:c r="AO924" s="81" t="n">
        <x:f>'Inputs'!$E$46</x:f>
        <x:v>0</x:v>
      </x:c>
    </x:row>
    <x:row r="925">
      <x:c r="A925" s="59" t="str">
        <x:v>Base</x:v>
      </x:c>
      <x:c r="B925" s="59" t="n">
        <x:v>192</x:v>
      </x:c>
      <x:c r="C925" s="78" t="n">
        <x:f>(('Inputs'!$B$29*(3*192*'Inputs'!$B$12-192^2)/(2*'Inputs'!$B$12^2))-('Inputs'!$B$29*(3*191*'Inputs'!$B$12-191^2)/(2*'Inputs'!$B$12^2)))*'Inputs'!$B$46</x:f>
        <x:v>649728.1384875178</x:v>
      </x:c>
      <x:c r="D925" s="78" t="n">
        <x:f>IF('Inputs'!$C$46&gt;0,('Inputs'!$B$30*(3*192*'Inputs'!$B$12-192^2)/(2*'Inputs'!$B$12^2))-('Inputs'!$B$30*(3*191*'Inputs'!$B$12-191^2)/(2*'Inputs'!$B$12^2)),0)</x:f>
        <x:v>278454.9164946526</x:v>
      </x:c>
      <x:c r="E925" s="78" t="n">
        <x:f>C925+D925</x:f>
        <x:v>928183.0549821705</x:v>
      </x:c>
      <x:c r="F925" s="78" t="n">
        <x:f>'Inputs'!$B$13*E925+(1-'Inputs'!$B$13)/'Inputs'!$B$14*SUM(E870:E925)</x:f>
        <x:v>938400.7318446233</x:v>
      </x:c>
      <x:c r="G925" s="78" t="n">
        <x:f>F925*'Inputs'!$F$46</x:f>
        <x:v>469200.36592231167</x:v>
      </x:c>
      <x:c r="H925" s="78" t="n">
        <x:f>U924</x:f>
        <x:v>87974306.82094067</x:v>
      </x:c>
      <x:c r="I925" s="78" t="n">
        <x:f>V924</x:f>
        <x:v>330.09261128703264</x:v>
      </x:c>
      <x:c r="J925" s="79" t="n">
        <x:f>IF(H925&gt;0,I925/H925,0)</x:f>
        <x:v>0.00000375214790789872</x:v>
      </x:c>
      <x:c r="K925" s="80" t="n">
        <x:f>(H925*J925+I925)*'Inputs'!$D$46*(1+'Inputs'!$G$46)^(B925/30)</x:f>
        <x:v>660.1852225740653</x:v>
      </x:c>
      <x:c r="L925" s="80" t="n">
        <x:f>MAX(0,K925*'Inputs'!$E$46)</x:f>
        <x:v>0</x:v>
      </x:c>
      <x:c r="M925" s="80" t="n">
        <x:f>MAX(0,-K925*'Inputs'!$E$46)</x:f>
        <x:v>0</x:v>
      </x:c>
      <x:c r="N925" s="78" t="n">
        <x:f>H925*(L925*(1-'Inputs'!$B$15))/(I925+L925*(1-'Inputs'!$B$15))</x:f>
        <x:v>0</x:v>
      </x:c>
      <x:c r="O925" s="78" t="n">
        <x:f>H925-N925</x:f>
        <x:v>87974306.82094067</x:v>
      </x:c>
      <x:c r="P925" s="78" t="n">
        <x:f>I925+L925*(1-'Inputs'!$B$17)</x:f>
        <x:v>330.09261128703264</x:v>
      </x:c>
      <x:c r="Q925" s="78" t="n">
        <x:f>IF(J925&gt;0,M925/J925,0)</x:f>
        <x:v>0</x:v>
      </x:c>
      <x:c r="R925" s="78" t="n">
        <x:f>IF(B925='Inputs'!$H$46,'Inputs'!$B$27*'Inputs'!$I$46,0)</x:f>
        <x:v>0</x:v>
      </x:c>
      <x:c r="S925" s="78" t="n">
        <x:f>Q925+G925+R925</x:f>
        <x:v>469200.36592231167</x:v>
      </x:c>
      <x:c r="T925" s="78" t="n">
        <x:f>P925*(S925*(1-'Inputs'!$B$15))/(O925+S925*(1-'Inputs'!$B$15))</x:f>
        <x:v>1.7337498014469817</x:v>
      </x:c>
      <x:c r="U925" s="78" t="n">
        <x:f>O925+S925*(1-'Inputs'!$B$17)</x:f>
        <x:v>88441619.05661783</x:v>
      </x:c>
      <x:c r="V925" s="78" t="n">
        <x:f>P925-T925</x:f>
        <x:v>328.35886148558563</x:v>
      </x:c>
      <x:c r="W925" s="79" t="n">
        <x:f>IF(U925&gt;0,V925/U925,0)</x:f>
        <x:v>0.0000037127187967395708</x:v>
      </x:c>
      <x:c r="X925" s="80" t="n">
        <x:f>W925*('Inputs'!$B$6-AC925)</x:f>
        <x:v>3588.029113549853</x:v>
      </x:c>
      <x:c r="Y925" s="80" t="n">
        <x:f>2*V925</x:f>
        <x:v>656.7177229711713</x:v>
      </x:c>
      <x:c r="Z925" s="80" t="n">
        <x:f>K925*'Inputs'!$B$16+(G925+R925)*J925*'Inputs'!$B$16</x:f>
        <x:v>3.971674390472676</x:v>
      </x:c>
      <x:c r="AA925" s="80" t="n">
        <x:f>K925*(1+'Inputs'!$E$46)/2*'Inputs'!$B$17</x:f>
        <x:v>1.32834048807659</x:v>
      </x:c>
      <x:c r="AB925" s="78" t="n">
        <x:f>(IF(J925&gt;0,K925*(1-'Inputs'!$E$46)/2/J925,0)+G925+R925)*'Inputs'!$B$17</x:f>
        <x:v>355909.4856614205</x:v>
      </x:c>
      <x:c r="AC925" s="78" t="n">
        <x:f>AC924+AB925</x:f>
        <x:v>33584467.344851814</x:v>
      </x:c>
      <x:c r="AD925" s="80" t="n">
        <x:f>Z925/(1+'Inputs'!$C$46)</x:f>
        <x:v>1.985837195236338</x:v>
      </x:c>
      <x:c r="AE925" s="80" t="n">
        <x:f>Z925-AD925</x:f>
        <x:v>1.985837195236338</x:v>
      </x:c>
      <x:c r="AF925" s="80" t="n">
        <x:f>D925*W925</x:f>
        <x:v>1.0338248025142445</x:v>
      </x:c>
      <x:c r="AG925" s="80" t="n">
        <x:f>C925*W925</x:f>
        <x:v>2.4122578725332184</x:v>
      </x:c>
      <x:c r="AH925" s="80" t="n">
        <x:f>2*'Inputs'!$B$8*'Inputs'!$C$46</x:f>
        <x:v>5000</x:v>
      </x:c>
      <x:c r="AI925" s="81" t="n">
        <x:f>IF(AH925&gt;0,(AE925+AF925)/AH925*365,0)</x:f>
        <x:v>0.22043532583579256</x:v>
      </x:c>
      <x:c r="AJ925" s="81" t="n">
        <x:f>IF('Inputs'!$B$46&gt;0,AG925/('Inputs'!$B$19*'Inputs'!$B$46)*365,0)</x:f>
        <x:v>0.08804741234746248</x:v>
      </x:c>
      <x:c r="AK925" s="81" t="n">
        <x:f>W925/MAX($W$734:W925)-1</x:f>
        <x:v>-0.9955947022528031</x:v>
      </x:c>
      <x:c r="AL925" s="83" t="n">
        <x:f>'Inputs'!$B$46</x:f>
        <x:v>1</x:v>
      </x:c>
      <x:c r="AM925" s="83" t="n">
        <x:f>'Inputs'!$C$46</x:f>
        <x:v>1</x:v>
      </x:c>
      <x:c r="AN925" s="83" t="n">
        <x:f>'Inputs'!$D$46</x:f>
        <x:v>1</x:v>
      </x:c>
      <x:c r="AO925" s="81" t="n">
        <x:f>'Inputs'!$E$46</x:f>
        <x:v>0</x:v>
      </x:c>
    </x:row>
    <x:row r="926">
      <x:c r="A926" s="59" t="str">
        <x:v>Base</x:v>
      </x:c>
      <x:c r="B926" s="59" t="n">
        <x:v>193</x:v>
      </x:c>
      <x:c r="C926" s="78" t="n">
        <x:f>(('Inputs'!$B$29*(3*193*'Inputs'!$B$12-193^2)/(2*'Inputs'!$B$12^2))-('Inputs'!$B$29*(3*192*'Inputs'!$B$12-192^2)/(2*'Inputs'!$B$12^2)))*'Inputs'!$B$46</x:f>
        <x:v>649403.0305873603</x:v>
      </x:c>
      <x:c r="D926" s="78" t="n">
        <x:f>IF('Inputs'!$C$46&gt;0,('Inputs'!$B$30*(3*193*'Inputs'!$B$12-193^2)/(2*'Inputs'!$B$12^2))-('Inputs'!$B$30*(3*192*'Inputs'!$B$12-192^2)/(2*'Inputs'!$B$12^2)),0)</x:f>
        <x:v>278315.5845374316</x:v>
      </x:c>
      <x:c r="E926" s="78" t="n">
        <x:f>C926+D926</x:f>
        <x:v>927718.6151247919</x:v>
      </x:c>
      <x:c r="F926" s="78" t="n">
        <x:f>'Inputs'!$B$13*E926+(1-'Inputs'!$B$13)/'Inputs'!$B$14*SUM(E871:E926)</x:f>
        <x:v>937936.2919872404</x:v>
      </x:c>
      <x:c r="G926" s="78" t="n">
        <x:f>F926*'Inputs'!$F$46</x:f>
        <x:v>468968.1459936202</x:v>
      </x:c>
      <x:c r="H926" s="78" t="n">
        <x:f>U925</x:f>
        <x:v>88441619.05661783</x:v>
      </x:c>
      <x:c r="I926" s="78" t="n">
        <x:f>V925</x:f>
        <x:v>328.35886148558563</x:v>
      </x:c>
      <x:c r="J926" s="79" t="n">
        <x:f>IF(H926&gt;0,I926/H926,0)</x:f>
        <x:v>0.0000037127187967395708</x:v>
      </x:c>
      <x:c r="K926" s="80" t="n">
        <x:f>(H926*J926+I926)*'Inputs'!$D$46*(1+'Inputs'!$G$46)^(B926/30)</x:f>
        <x:v>656.7177229711713</x:v>
      </x:c>
      <x:c r="L926" s="80" t="n">
        <x:f>MAX(0,K926*'Inputs'!$E$46)</x:f>
        <x:v>0</x:v>
      </x:c>
      <x:c r="M926" s="80" t="n">
        <x:f>MAX(0,-K926*'Inputs'!$E$46)</x:f>
        <x:v>0</x:v>
      </x:c>
      <x:c r="N926" s="78" t="n">
        <x:f>H926*(L926*(1-'Inputs'!$B$15))/(I926+L926*(1-'Inputs'!$B$15))</x:f>
        <x:v>0</x:v>
      </x:c>
      <x:c r="O926" s="78" t="n">
        <x:f>H926-N926</x:f>
        <x:v>88441619.05661783</x:v>
      </x:c>
      <x:c r="P926" s="78" t="n">
        <x:f>I926+L926*(1-'Inputs'!$B$17)</x:f>
        <x:v>328.35886148558563</x:v>
      </x:c>
      <x:c r="Q926" s="78" t="n">
        <x:f>IF(J926&gt;0,M926/J926,0)</x:f>
        <x:v>0</x:v>
      </x:c>
      <x:c r="R926" s="78" t="n">
        <x:f>IF(B926='Inputs'!$H$46,'Inputs'!$B$27*'Inputs'!$I$46,0)</x:f>
        <x:v>0</x:v>
      </x:c>
      <x:c r="S926" s="78" t="n">
        <x:f>Q926+G926+R926</x:f>
        <x:v>468968.1459936202</x:v>
      </x:c>
      <x:c r="T926" s="78" t="n">
        <x:f>P926*(S926*(1-'Inputs'!$B$15))/(O926+S926*(1-'Inputs'!$B$15))</x:f>
        <x:v>1.7147338059355075</x:v>
      </x:c>
      <x:c r="U926" s="78" t="n">
        <x:f>O926+S926*(1-'Inputs'!$B$17)</x:f>
        <x:v>88908700.00685292</x:v>
      </x:c>
      <x:c r="V926" s="78" t="n">
        <x:f>P926-T926</x:f>
        <x:v>326.6441276796501</x:v>
      </x:c>
      <x:c r="W926" s="79" t="n">
        <x:f>IF(U926&gt;0,V926/U926,0)</x:f>
        <x:v>0.0000036739276094968545</x:v>
      </x:c>
      <x:c r="X926" s="80" t="n">
        <x:f>W926*('Inputs'!$B$6-AC926)</x:f>
        <x:v>3549.2262164768076</x:v>
      </x:c>
      <x:c r="Y926" s="80" t="n">
        <x:f>2*V926</x:f>
        <x:v>653.2882553593003</x:v>
      </x:c>
      <x:c r="Z926" s="80" t="n">
        <x:f>K926*'Inputs'!$B$16+(G926+R926)*J926*'Inputs'!$B$16</x:f>
        <x:v>3.9507532189312435</x:v>
      </x:c>
      <x:c r="AA926" s="80" t="n">
        <x:f>K926*(1+'Inputs'!$E$46)/2*'Inputs'!$B$17</x:f>
        <x:v>1.3213636277085943</x:v>
      </x:c>
      <x:c r="AB926" s="78" t="n">
        <x:f>(IF(J926&gt;0,K926*(1-'Inputs'!$E$46)/2/J926,0)+G926+R926)*'Inputs'!$B$17</x:f>
        <x:v>357789.08331030764</x:v>
      </x:c>
      <x:c r="AC926" s="78" t="n">
        <x:f>AC925+AB926</x:f>
        <x:v>33942256.42816212</x:v>
      </x:c>
      <x:c r="AD926" s="80" t="n">
        <x:f>Z926/(1+'Inputs'!$C$46)</x:f>
        <x:v>1.9753766094656218</x:v>
      </x:c>
      <x:c r="AE926" s="80" t="n">
        <x:f>Z926-AD926</x:f>
        <x:v>1.9753766094656218</x:v>
      </x:c>
      <x:c r="AF926" s="80" t="n">
        <x:f>D926*W926</x:f>
        <x:v>1.0225113101853258</x:v>
      </x:c>
      <x:c r="AG926" s="80" t="n">
        <x:f>C926*W926</x:f>
        <x:v>2.385859723765833</x:v>
      </x:c>
      <x:c r="AH926" s="80" t="n">
        <x:f>2*'Inputs'!$B$8*'Inputs'!$C$46</x:f>
        <x:v>5000</x:v>
      </x:c>
      <x:c r="AI926" s="81" t="n">
        <x:f>IF(AH926&gt;0,(AE926+AF926)/AH926*365,0)</x:f>
        <x:v>0.2188458181345192</x:v>
      </x:c>
      <x:c r="AJ926" s="81" t="n">
        <x:f>IF('Inputs'!$B$46&gt;0,AG926/('Inputs'!$B$19*'Inputs'!$B$46)*365,0)</x:f>
        <x:v>0.08708387991745291</x:v>
      </x:c>
      <x:c r="AK926" s="81" t="n">
        <x:f>W926/MAX($W$734:W926)-1</x:f>
        <x:v>-0.9956407296357337</x:v>
      </x:c>
      <x:c r="AL926" s="83" t="n">
        <x:f>'Inputs'!$B$46</x:f>
        <x:v>1</x:v>
      </x:c>
      <x:c r="AM926" s="83" t="n">
        <x:f>'Inputs'!$C$46</x:f>
        <x:v>1</x:v>
      </x:c>
      <x:c r="AN926" s="83" t="n">
        <x:f>'Inputs'!$D$46</x:f>
        <x:v>1</x:v>
      </x:c>
      <x:c r="AO926" s="81" t="n">
        <x:f>'Inputs'!$E$46</x:f>
        <x:v>0</x:v>
      </x:c>
    </x:row>
    <x:row r="927">
      <x:c r="A927" s="59" t="str">
        <x:v>Base</x:v>
      </x:c>
      <x:c r="B927" s="59" t="n">
        <x:v>194</x:v>
      </x:c>
      <x:c r="C927" s="78" t="n">
        <x:f>(('Inputs'!$B$29*(3*194*'Inputs'!$B$12-194^2)/(2*'Inputs'!$B$12^2))-('Inputs'!$B$29*(3*193*'Inputs'!$B$12-193^2)/(2*'Inputs'!$B$12^2)))*'Inputs'!$B$46</x:f>
        <x:v>649077.9226871729</x:v>
      </x:c>
      <x:c r="D927" s="78" t="n">
        <x:f>IF('Inputs'!$C$46&gt;0,('Inputs'!$B$30*(3*194*'Inputs'!$B$12-194^2)/(2*'Inputs'!$B$12^2))-('Inputs'!$B$30*(3*193*'Inputs'!$B$12-193^2)/(2*'Inputs'!$B$12^2)),0)</x:f>
        <x:v>278176.25258022547</x:v>
      </x:c>
      <x:c r="E927" s="78" t="n">
        <x:f>C927+D927</x:f>
        <x:v>927254.1752673984</x:v>
      </x:c>
      <x:c r="F927" s="78" t="n">
        <x:f>'Inputs'!$B$13*E927+(1-'Inputs'!$B$13)/'Inputs'!$B$14*SUM(E872:E927)</x:f>
        <x:v>937471.8521298541</x:v>
      </x:c>
      <x:c r="G927" s="78" t="n">
        <x:f>F927*'Inputs'!$F$46</x:f>
        <x:v>468735.9260649271</x:v>
      </x:c>
      <x:c r="H927" s="78" t="n">
        <x:f>U926</x:f>
        <x:v>88908700.00685292</x:v>
      </x:c>
      <x:c r="I927" s="78" t="n">
        <x:f>V926</x:f>
        <x:v>326.6441276796501</x:v>
      </x:c>
      <x:c r="J927" s="79" t="n">
        <x:f>IF(H927&gt;0,I927/H927,0)</x:f>
        <x:v>0.0000036739276094968545</x:v>
      </x:c>
      <x:c r="K927" s="80" t="n">
        <x:f>(H927*J927+I927)*'Inputs'!$D$46*(1+'Inputs'!$G$46)^(B927/30)</x:f>
        <x:v>653.2882553593003</x:v>
      </x:c>
      <x:c r="L927" s="80" t="n">
        <x:f>MAX(0,K927*'Inputs'!$E$46)</x:f>
        <x:v>0</x:v>
      </x:c>
      <x:c r="M927" s="80" t="n">
        <x:f>MAX(0,-K927*'Inputs'!$E$46)</x:f>
        <x:v>0</x:v>
      </x:c>
      <x:c r="N927" s="78" t="n">
        <x:f>H927*(L927*(1-'Inputs'!$B$15))/(I927+L927*(1-'Inputs'!$B$15))</x:f>
        <x:v>0</x:v>
      </x:c>
      <x:c r="O927" s="78" t="n">
        <x:f>H927-N927</x:f>
        <x:v>88908700.00685292</x:v>
      </x:c>
      <x:c r="P927" s="78" t="n">
        <x:f>I927+L927*(1-'Inputs'!$B$17)</x:f>
        <x:v>326.6441276796501</x:v>
      </x:c>
      <x:c r="Q927" s="78" t="n">
        <x:f>IF(J927&gt;0,M927/J927,0)</x:f>
        <x:v>0</x:v>
      </x:c>
      <x:c r="R927" s="78" t="n">
        <x:f>IF(B927='Inputs'!$H$46,'Inputs'!$B$27*'Inputs'!$I$46,0)</x:f>
        <x:v>0</x:v>
      </x:c>
      <x:c r="S927" s="78" t="n">
        <x:f>Q927+G927+R927</x:f>
        <x:v>468735.9260649271</x:v>
      </x:c>
      <x:c r="T927" s="78" t="n">
        <x:f>P927*(S927*(1-'Inputs'!$B$15))/(O927+S927*(1-'Inputs'!$B$15))</x:f>
        <x:v>1.6960286186101845</x:v>
      </x:c>
      <x:c r="U927" s="78" t="n">
        <x:f>O927+S927*(1-'Inputs'!$B$17)</x:f>
        <x:v>89375549.67164595</x:v>
      </x:c>
      <x:c r="V927" s="78" t="n">
        <x:f>P927-T927</x:f>
        <x:v>324.94809906103995</x:v>
      </x:c>
      <x:c r="W927" s="79" t="n">
        <x:f>IF(U927&gt;0,V927/U927,0)</x:f>
        <x:v>0.0000036357605660033046</x:v>
      </x:c>
      <x:c r="X927" s="80" t="n">
        <x:f>W927*('Inputs'!$B$6-AC927)</x:f>
        <x:v>3511.04698273746</x:v>
      </x:c>
      <x:c r="Y927" s="80" t="n">
        <x:f>2*V927</x:f>
        <x:v>649.8961981220799</x:v>
      </x:c>
      <x:c r="Z927" s="80" t="n">
        <x:f>K927*'Inputs'!$B$16+(G927+R927)*J927*'Inputs'!$B$16</x:f>
        <x:v>3.9300621433177994</x:v>
      </x:c>
      <x:c r="AA927" s="80" t="n">
        <x:f>K927*(1+'Inputs'!$E$46)/2*'Inputs'!$B$17</x:f>
        <x:v>1.314463290461369</x:v>
      </x:c>
      <x:c r="AB927" s="78" t="n">
        <x:f>(IF(J927&gt;0,K927*(1-'Inputs'!$E$46)/2/J927,0)+G927+R927)*'Inputs'!$B$17</x:f>
        <x:v>359667.7502330698</x:v>
      </x:c>
      <x:c r="AC927" s="78" t="n">
        <x:f>AC926+AB927</x:f>
        <x:v>34301924.17839519</x:v>
      </x:c>
      <x:c r="AD927" s="80" t="n">
        <x:f>Z927/(1+'Inputs'!$C$46)</x:f>
        <x:v>1.9650310716588997</x:v>
      </x:c>
      <x:c r="AE927" s="80" t="n">
        <x:f>Z927-AD927</x:f>
        <x:v>1.9650310716588997</x:v>
      </x:c>
      <x:c r="AF927" s="80" t="n">
        <x:f>D927*W927</x:f>
        <x:v>1.0113822495297589</x:v>
      </x:c>
      <x:c r="AG927" s="80" t="n">
        <x:f>C927*W927</x:f>
        <x:v>2.359891915569365</x:v>
      </x:c>
      <x:c r="AH927" s="80" t="n">
        <x:f>2*'Inputs'!$B$8*'Inputs'!$C$46</x:f>
        <x:v>5000</x:v>
      </x:c>
      <x:c r="AI927" s="81" t="n">
        <x:f>IF(AH927&gt;0,(AE927+AF927)/AH927*365,0)</x:f>
        <x:v>0.2172781724467721</x:v>
      </x:c>
      <x:c r="AJ927" s="81" t="n">
        <x:f>IF('Inputs'!$B$46&gt;0,AG927/('Inputs'!$B$19*'Inputs'!$B$46)*365,0)</x:f>
        <x:v>0.08613605491828182</x:v>
      </x:c>
      <x:c r="AK927" s="81" t="n">
        <x:f>W927/MAX($W$734:W927)-1</x:f>
        <x:v>-0.9956860164457305</x:v>
      </x:c>
      <x:c r="AL927" s="83" t="n">
        <x:f>'Inputs'!$B$46</x:f>
        <x:v>1</x:v>
      </x:c>
      <x:c r="AM927" s="83" t="n">
        <x:f>'Inputs'!$C$46</x:f>
        <x:v>1</x:v>
      </x:c>
      <x:c r="AN927" s="83" t="n">
        <x:f>'Inputs'!$D$46</x:f>
        <x:v>1</x:v>
      </x:c>
      <x:c r="AO927" s="81" t="n">
        <x:f>'Inputs'!$E$46</x:f>
        <x:v>0</x:v>
      </x:c>
    </x:row>
    <x:row r="928">
      <x:c r="A928" s="59" t="str">
        <x:v>Base</x:v>
      </x:c>
      <x:c r="B928" s="59" t="n">
        <x:v>195</x:v>
      </x:c>
      <x:c r="C928" s="78" t="n">
        <x:f>(('Inputs'!$B$29*(3*195*'Inputs'!$B$12-195^2)/(2*'Inputs'!$B$12^2))-('Inputs'!$B$29*(3*194*'Inputs'!$B$12-194^2)/(2*'Inputs'!$B$12^2)))*'Inputs'!$B$46</x:f>
        <x:v>648752.8147870153</x:v>
      </x:c>
      <x:c r="D928" s="78" t="n">
        <x:f>IF('Inputs'!$C$46&gt;0,('Inputs'!$B$30*(3*195*'Inputs'!$B$12-195^2)/(2*'Inputs'!$B$12^2))-('Inputs'!$B$30*(3*194*'Inputs'!$B$12-194^2)/(2*'Inputs'!$B$12^2)),0)</x:f>
        <x:v>278036.92062300444</x:v>
      </x:c>
      <x:c r="E928" s="78" t="n">
        <x:f>C928+D928</x:f>
        <x:v>926789.7354100198</x:v>
      </x:c>
      <x:c r="F928" s="78" t="n">
        <x:f>'Inputs'!$B$13*E928+(1-'Inputs'!$B$13)/'Inputs'!$B$14*SUM(E873:E928)</x:f>
        <x:v>937007.4122724712</x:v>
      </x:c>
      <x:c r="G928" s="78" t="n">
        <x:f>F928*'Inputs'!$F$46</x:f>
        <x:v>468503.7061362356</x:v>
      </x:c>
      <x:c r="H928" s="78" t="n">
        <x:f>U927</x:f>
        <x:v>89375549.67164595</x:v>
      </x:c>
      <x:c r="I928" s="78" t="n">
        <x:f>V927</x:f>
        <x:v>324.94809906103995</x:v>
      </x:c>
      <x:c r="J928" s="79" t="n">
        <x:f>IF(H928&gt;0,I928/H928,0)</x:f>
        <x:v>0.0000036357605660033046</x:v>
      </x:c>
      <x:c r="K928" s="80" t="n">
        <x:f>(H928*J928+I928)*'Inputs'!$D$46*(1+'Inputs'!$G$46)^(B928/30)</x:f>
        <x:v>649.8961981220799</x:v>
      </x:c>
      <x:c r="L928" s="80" t="n">
        <x:f>MAX(0,K928*'Inputs'!$E$46)</x:f>
        <x:v>0</x:v>
      </x:c>
      <x:c r="M928" s="80" t="n">
        <x:f>MAX(0,-K928*'Inputs'!$E$46)</x:f>
        <x:v>0</x:v>
      </x:c>
      <x:c r="N928" s="78" t="n">
        <x:f>H928*(L928*(1-'Inputs'!$B$15))/(I928+L928*(1-'Inputs'!$B$15))</x:f>
        <x:v>0</x:v>
      </x:c>
      <x:c r="O928" s="78" t="n">
        <x:f>H928-N928</x:f>
        <x:v>89375549.67164595</x:v>
      </x:c>
      <x:c r="P928" s="78" t="n">
        <x:f>I928+L928*(1-'Inputs'!$B$17)</x:f>
        <x:v>324.94809906103995</x:v>
      </x:c>
      <x:c r="Q928" s="78" t="n">
        <x:f>IF(J928&gt;0,M928/J928,0)</x:f>
        <x:v>0</x:v>
      </x:c>
      <x:c r="R928" s="78" t="n">
        <x:f>IF(B928='Inputs'!$H$46,'Inputs'!$B$27*'Inputs'!$I$46,0)</x:f>
        <x:v>0</x:v>
      </x:c>
      <x:c r="S928" s="78" t="n">
        <x:f>Q928+G928+R928</x:f>
        <x:v>468503.7061362356</x:v>
      </x:c>
      <x:c r="T928" s="78" t="n">
        <x:f>P928*(S928*(1-'Inputs'!$B$15))/(O928+S928*(1-'Inputs'!$B$15))</x:f>
        <x:v>1.677627499041389</x:v>
      </x:c>
      <x:c r="U928" s="78" t="n">
        <x:f>O928+S928*(1-'Inputs'!$B$17)</x:f>
        <x:v>89842168.05099693</x:v>
      </x:c>
      <x:c r="V928" s="78" t="n">
        <x:f>P928-T928</x:f>
        <x:v>323.2704715619986</x:v>
      </x:c>
      <x:c r="W928" s="79" t="n">
        <x:f>IF(U928&gt;0,V928/U928,0)</x:f>
        <x:v>0.00000359820425725369</x:v>
      </x:c>
      <x:c r="X928" s="80" t="n">
        <x:f>W928*('Inputs'!$B$6-AC928)</x:f>
        <x:v>3473.4780131345333</x:v>
      </x:c>
      <x:c r="Y928" s="80" t="n">
        <x:f>2*V928</x:f>
        <x:v>646.5409431239972</x:v>
      </x:c>
      <x:c r="Z928" s="80" t="n">
        <x:f>K928*'Inputs'!$B$16+(G928+R928)*J928*'Inputs'!$B$16</x:f>
        <x:v>3.909597392531259</x:v>
      </x:c>
      <x:c r="AA928" s="80" t="n">
        <x:f>K928*(1+'Inputs'!$E$46)/2*'Inputs'!$B$17</x:f>
        <x:v>1.3076382255977463</x:v>
      </x:c>
      <x:c r="AB928" s="78" t="n">
        <x:f>(IF(J928&gt;0,K928*(1-'Inputs'!$E$46)/2/J928,0)+G928+R928)*'Inputs'!$B$17</x:f>
        <x:v>361545.48642970703</x:v>
      </x:c>
      <x:c r="AC928" s="78" t="n">
        <x:f>AC927+AB928</x:f>
        <x:v>34663469.664824896</x:v>
      </x:c>
      <x:c r="AD928" s="80" t="n">
        <x:f>Z928/(1+'Inputs'!$C$46)</x:f>
        <x:v>1.9547986962656294</x:v>
      </x:c>
      <x:c r="AE928" s="80" t="n">
        <x:f>Z928-AD928</x:f>
        <x:v>1.9547986962656294</x:v>
      </x:c>
      <x:c r="AF928" s="80" t="n">
        <x:f>D928*W928</x:f>
        <x:v>1.000433631459401</x:v>
      </x:c>
      <x:c r="AG928" s="80" t="n">
        <x:f>C928*W928</x:f>
        <x:v>2.334345140071953</x:v>
      </x:c>
      <x:c r="AH928" s="80" t="n">
        <x:f>2*'Inputs'!$B$8*'Inputs'!$C$46</x:f>
        <x:v>5000</x:v>
      </x:c>
      <x:c r="AI928" s="81" t="n">
        <x:f>IF(AH928&gt;0,(AE928+AF928)/AH928*365,0)</x:f>
        <x:v>0.2157319599239272</x:v>
      </x:c>
      <x:c r="AJ928" s="81" t="n">
        <x:f>IF('Inputs'!$B$46&gt;0,AG928/('Inputs'!$B$19*'Inputs'!$B$46)*365,0)</x:f>
        <x:v>0.08520359761262629</x:v>
      </x:c>
      <x:c r="AK928" s="81" t="n">
        <x:f>W928/MAX($W$734:W928)-1</x:f>
        <x:v>-0.9957305785931446</x:v>
      </x:c>
      <x:c r="AL928" s="83" t="n">
        <x:f>'Inputs'!$B$46</x:f>
        <x:v>1</x:v>
      </x:c>
      <x:c r="AM928" s="83" t="n">
        <x:f>'Inputs'!$C$46</x:f>
        <x:v>1</x:v>
      </x:c>
      <x:c r="AN928" s="83" t="n">
        <x:f>'Inputs'!$D$46</x:f>
        <x:v>1</x:v>
      </x:c>
      <x:c r="AO928" s="81" t="n">
        <x:f>'Inputs'!$E$46</x:f>
        <x:v>0</x:v>
      </x:c>
    </x:row>
    <x:row r="929">
      <x:c r="A929" s="59" t="str">
        <x:v>Base</x:v>
      </x:c>
      <x:c r="B929" s="59" t="n">
        <x:v>196</x:v>
      </x:c>
      <x:c r="C929" s="78" t="n">
        <x:f>(('Inputs'!$B$29*(3*196*'Inputs'!$B$12-196^2)/(2*'Inputs'!$B$12^2))-('Inputs'!$B$29*(3*195*'Inputs'!$B$12-195^2)/(2*'Inputs'!$B$12^2)))*'Inputs'!$B$46</x:f>
        <x:v>648427.7068868428</x:v>
      </x:c>
      <x:c r="D929" s="78" t="n">
        <x:f>IF('Inputs'!$C$46&gt;0,('Inputs'!$B$30*(3*196*'Inputs'!$B$12-196^2)/(2*'Inputs'!$B$12^2))-('Inputs'!$B$30*(3*195*'Inputs'!$B$12-195^2)/(2*'Inputs'!$B$12^2)),0)</x:f>
        <x:v>277897.58866579086</x:v>
      </x:c>
      <x:c r="E929" s="78" t="n">
        <x:f>C929+D929</x:f>
        <x:v>926325.2955526337</x:v>
      </x:c>
      <x:c r="F929" s="78" t="n">
        <x:f>'Inputs'!$B$13*E929+(1-'Inputs'!$B$13)/'Inputs'!$B$14*SUM(E874:E929)</x:f>
        <x:v>936542.9724150866</x:v>
      </x:c>
      <x:c r="G929" s="78" t="n">
        <x:f>F929*'Inputs'!$F$46</x:f>
        <x:v>468271.4862075433</x:v>
      </x:c>
      <x:c r="H929" s="78" t="n">
        <x:f>U928</x:f>
        <x:v>89842168.05099693</x:v>
      </x:c>
      <x:c r="I929" s="78" t="n">
        <x:f>V928</x:f>
        <x:v>323.2704715619986</x:v>
      </x:c>
      <x:c r="J929" s="79" t="n">
        <x:f>IF(H929&gt;0,I929/H929,0)</x:f>
        <x:v>0.00000359820425725369</x:v>
      </x:c>
      <x:c r="K929" s="80" t="n">
        <x:f>(H929*J929+I929)*'Inputs'!$D$46*(1+'Inputs'!$G$46)^(B929/30)</x:f>
        <x:v>646.5409431239972</x:v>
      </x:c>
      <x:c r="L929" s="80" t="n">
        <x:f>MAX(0,K929*'Inputs'!$E$46)</x:f>
        <x:v>0</x:v>
      </x:c>
      <x:c r="M929" s="80" t="n">
        <x:f>MAX(0,-K929*'Inputs'!$E$46)</x:f>
        <x:v>0</x:v>
      </x:c>
      <x:c r="N929" s="78" t="n">
        <x:f>H929*(L929*(1-'Inputs'!$B$15))/(I929+L929*(1-'Inputs'!$B$15))</x:f>
        <x:v>0</x:v>
      </x:c>
      <x:c r="O929" s="78" t="n">
        <x:f>H929-N929</x:f>
        <x:v>89842168.05099693</x:v>
      </x:c>
      <x:c r="P929" s="78" t="n">
        <x:f>I929+L929*(1-'Inputs'!$B$17)</x:f>
        <x:v>323.2704715619986</x:v>
      </x:c>
      <x:c r="Q929" s="78" t="n">
        <x:f>IF(J929&gt;0,M929/J929,0)</x:f>
        <x:v>0</x:v>
      </x:c>
      <x:c r="R929" s="78" t="n">
        <x:f>IF(B929='Inputs'!$H$46,'Inputs'!$B$27*'Inputs'!$I$46,0)</x:f>
        <x:v>0</x:v>
      </x:c>
      <x:c r="S929" s="78" t="n">
        <x:f>Q929+G929+R929</x:f>
        <x:v>468271.4862075433</x:v>
      </x:c>
      <x:c r="T929" s="78" t="n">
        <x:f>P929*(S929*(1-'Inputs'!$B$15))/(O929+S929*(1-'Inputs'!$B$15))</x:f>
        <x:v>1.6595238885880106</x:v>
      </x:c>
      <x:c r="U929" s="78" t="n">
        <x:f>O929+S929*(1-'Inputs'!$B$17)</x:f>
        <x:v>90308555.14490585</x:v>
      </x:c>
      <x:c r="V929" s="78" t="n">
        <x:f>P929-T929</x:f>
        <x:v>321.6109476734106</x:v>
      </x:c>
      <x:c r="W929" s="79" t="n">
        <x:f>IF(U929&gt;0,V929/U929,0)</x:f>
        <x:v>0.000003561245633454829</x:v>
      </x:c>
      <x:c r="X929" s="80" t="n">
        <x:f>W929*('Inputs'!$B$6-AC929)</x:f>
        <x:v>3436.5062674204473</x:v>
      </x:c>
      <x:c r="Y929" s="80" t="n">
        <x:f>2*V929</x:f>
        <x:v>643.2218953468212</x:v>
      </x:c>
      <x:c r="Z929" s="80" t="n">
        <x:f>K929*'Inputs'!$B$16+(G929+R929)*J929*'Inputs'!$B$16</x:f>
        <x:v>3.889355277475318</x:v>
      </x:c>
      <x:c r="AA929" s="80" t="n">
        <x:f>K929*(1+'Inputs'!$E$46)/2*'Inputs'!$B$17</x:f>
        <x:v>1.3008872095050246</x:v>
      </x:c>
      <x:c r="AB929" s="78" t="n">
        <x:f>(IF(J929&gt;0,K929*(1-'Inputs'!$E$46)/2/J929,0)+G929+R929)*'Inputs'!$B$17</x:f>
        <x:v>363422.2919002192</x:v>
      </x:c>
      <x:c r="AC929" s="78" t="n">
        <x:f>AC928+AB929</x:f>
        <x:v>35026891.95672511</x:v>
      </x:c>
      <x:c r="AD929" s="80" t="n">
        <x:f>Z929/(1+'Inputs'!$C$46)</x:f>
        <x:v>1.944677638737659</x:v>
      </x:c>
      <x:c r="AE929" s="80" t="n">
        <x:f>Z929-AD929</x:f>
        <x:v>1.944677638737659</x:v>
      </x:c>
      <x:c r="AF929" s="80" t="n">
        <x:f>D929*W929</x:f>
        <x:v>0.9896615741836738</x:v>
      </x:c>
      <x:c r="AG929" s="80" t="n">
        <x:f>C929*W929</x:f>
        <x:v>2.3092103397618966</x:v>
      </x:c>
      <x:c r="AH929" s="80" t="n">
        <x:f>2*'Inputs'!$B$8*'Inputs'!$C$46</x:f>
        <x:v>5000</x:v>
      </x:c>
      <x:c r="AI929" s="81" t="n">
        <x:f>IF(AH929&gt;0,(AE929+AF929)/AH929*365,0)</x:f>
        <x:v>0.21420676254325727</x:v>
      </x:c>
      <x:c r="AJ929" s="81" t="n">
        <x:f>IF('Inputs'!$B$46&gt;0,AG929/('Inputs'!$B$19*'Inputs'!$B$46)*365,0)</x:f>
        <x:v>0.08428617740130923</x:v>
      </x:c>
      <x:c r="AK929" s="81" t="n">
        <x:f>W929/MAX($W$734:W929)-1</x:f>
        <x:v>-0.9957744315621073</x:v>
      </x:c>
      <x:c r="AL929" s="83" t="n">
        <x:f>'Inputs'!$B$46</x:f>
        <x:v>1</x:v>
      </x:c>
      <x:c r="AM929" s="83" t="n">
        <x:f>'Inputs'!$C$46</x:f>
        <x:v>1</x:v>
      </x:c>
      <x:c r="AN929" s="83" t="n">
        <x:f>'Inputs'!$D$46</x:f>
        <x:v>1</x:v>
      </x:c>
      <x:c r="AO929" s="81" t="n">
        <x:f>'Inputs'!$E$46</x:f>
        <x:v>0</x:v>
      </x:c>
    </x:row>
    <x:row r="930">
      <x:c r="A930" s="59" t="str">
        <x:v>Base</x:v>
      </x:c>
      <x:c r="B930" s="59" t="n">
        <x:v>197</x:v>
      </x:c>
      <x:c r="C930" s="78" t="n">
        <x:f>(('Inputs'!$B$29*(3*197*'Inputs'!$B$12-197^2)/(2*'Inputs'!$B$12^2))-('Inputs'!$B$29*(3*196*'Inputs'!$B$12-196^2)/(2*'Inputs'!$B$12^2)))*'Inputs'!$B$46</x:f>
        <x:v>648102.5989866853</x:v>
      </x:c>
      <x:c r="D930" s="78" t="n">
        <x:f>IF('Inputs'!$C$46&gt;0,('Inputs'!$B$30*(3*197*'Inputs'!$B$12-197^2)/(2*'Inputs'!$B$12^2))-('Inputs'!$B$30*(3*196*'Inputs'!$B$12-196^2)/(2*'Inputs'!$B$12^2)),0)</x:f>
        <x:v>277758.2567085773</x:v>
      </x:c>
      <x:c r="E930" s="78" t="n">
        <x:f>C930+D930</x:f>
        <x:v>925860.8556952626</x:v>
      </x:c>
      <x:c r="F930" s="78" t="n">
        <x:f>'Inputs'!$B$13*E930+(1-'Inputs'!$B$13)/'Inputs'!$B$14*SUM(E875:E930)</x:f>
        <x:v>936078.5325577052</x:v>
      </x:c>
      <x:c r="G930" s="78" t="n">
        <x:f>F930*'Inputs'!$F$46</x:f>
        <x:v>468039.2662788526</x:v>
      </x:c>
      <x:c r="H930" s="78" t="n">
        <x:f>U929</x:f>
        <x:v>90308555.14490585</x:v>
      </x:c>
      <x:c r="I930" s="78" t="n">
        <x:f>V929</x:f>
        <x:v>321.6109476734106</x:v>
      </x:c>
      <x:c r="J930" s="79" t="n">
        <x:f>IF(H930&gt;0,I930/H930,0)</x:f>
        <x:v>0.000003561245633454829</x:v>
      </x:c>
      <x:c r="K930" s="80" t="n">
        <x:f>(H930*J930+I930)*'Inputs'!$D$46*(1+'Inputs'!$G$46)^(B930/30)</x:f>
        <x:v>643.2218953468212</x:v>
      </x:c>
      <x:c r="L930" s="80" t="n">
        <x:f>MAX(0,K930*'Inputs'!$E$46)</x:f>
        <x:v>0</x:v>
      </x:c>
      <x:c r="M930" s="80" t="n">
        <x:f>MAX(0,-K930*'Inputs'!$E$46)</x:f>
        <x:v>0</x:v>
      </x:c>
      <x:c r="N930" s="78" t="n">
        <x:f>H930*(L930*(1-'Inputs'!$B$15))/(I930+L930*(1-'Inputs'!$B$15))</x:f>
        <x:v>0</x:v>
      </x:c>
      <x:c r="O930" s="78" t="n">
        <x:f>H930-N930</x:f>
        <x:v>90308555.14490585</x:v>
      </x:c>
      <x:c r="P930" s="78" t="n">
        <x:f>I930+L930*(1-'Inputs'!$B$17)</x:f>
        <x:v>321.6109476734106</x:v>
      </x:c>
      <x:c r="Q930" s="78" t="n">
        <x:f>IF(J930&gt;0,M930/J930,0)</x:f>
        <x:v>0</x:v>
      </x:c>
      <x:c r="R930" s="78" t="n">
        <x:f>IF(B930='Inputs'!$H$46,'Inputs'!$B$27*'Inputs'!$I$46,0)</x:f>
        <x:v>0</x:v>
      </x:c>
      <x:c r="S930" s="78" t="n">
        <x:f>Q930+G930+R930</x:f>
        <x:v>468039.2662788526</x:v>
      </x:c>
      <x:c r="T930" s="78" t="n">
        <x:f>P930*(S930*(1-'Inputs'!$B$15))/(O930+S930*(1-'Inputs'!$B$15))</x:f>
        <x:v>1.6417114045445689</x:v>
      </x:c>
      <x:c r="U930" s="78" t="n">
        <x:f>O930+S930*(1-'Inputs'!$B$17)</x:f>
        <x:v>90774710.95337272</x:v>
      </x:c>
      <x:c r="V930" s="78" t="n">
        <x:f>P930-T930</x:f>
        <x:v>319.969236268866</x:v>
      </x:c>
      <x:c r="W930" s="79" t="n">
        <x:f>IF(U930&gt;0,V930/U930,0)</x:f>
        <x:v>0.000003524871992522468</x:v>
      </x:c>
      <x:c r="X930" s="80" t="n">
        <x:f>W930*('Inputs'!$B$6-AC930)</x:f>
        <x:v>3400.119052802572</x:v>
      </x:c>
      <x:c r="Y930" s="80" t="n">
        <x:f>2*V930</x:f>
        <x:v>639.938472537732</x:v>
      </x:c>
      <x:c r="Z930" s="80" t="n">
        <x:f>K930*'Inputs'!$B$16+(G930+R930)*J930*'Inputs'!$B$16</x:f>
        <x:v>3.8693321888408527</x:v>
      </x:c>
      <x:c r="AA930" s="80" t="n">
        <x:f>K930*(1+'Inputs'!$E$46)/2*'Inputs'!$B$17</x:f>
        <x:v>1.294209044963423</x:v>
      </x:c>
      <x:c r="AB930" s="78" t="n">
        <x:f>(IF(J930&gt;0,K930*(1-'Inputs'!$E$46)/2/J930,0)+G930+R930)*'Inputs'!$B$17</x:f>
        <x:v>365298.16664460645</x:v>
      </x:c>
      <x:c r="AC930" s="78" t="n">
        <x:f>AC929+AB930</x:f>
        <x:v>35392190.123369716</x:v>
      </x:c>
      <x:c r="AD930" s="80" t="n">
        <x:f>Z930/(1+'Inputs'!$C$46)</x:f>
        <x:v>1.9346660944204264</x:v>
      </x:c>
      <x:c r="AE930" s="80" t="n">
        <x:f>Z930-AD930</x:f>
        <x:v>1.9346660944204264</x:v>
      </x:c>
      <x:c r="AF930" s="80" t="n">
        <x:f>D930*W930</x:f>
        <x:v>0.97906229976393</x:v>
      </x:c>
      <x:c r="AG930" s="80" t="n">
        <x:f>C930*W930</x:f>
        <x:v>2.2844786994491875</x:v>
      </x:c>
      <x:c r="AH930" s="80" t="n">
        <x:f>2*'Inputs'!$B$8*'Inputs'!$C$46</x:f>
        <x:v>5000</x:v>
      </x:c>
      <x:c r="AI930" s="81" t="n">
        <x:f>IF(AH930&gt;0,(AE930+AF930)/AH930*365,0)</x:f>
        <x:v>0.212702172775458</x:v>
      </x:c>
      <x:c r="AJ930" s="81" t="n">
        <x:f>IF('Inputs'!$B$46&gt;0,AG930/('Inputs'!$B$19*'Inputs'!$B$46)*365,0)</x:f>
        <x:v>0.08338347252989535</x:v>
      </x:c>
      <x:c r="AK930" s="81" t="n">
        <x:f>W930/MAX($W$734:W930)-1</x:f>
        <x:v>-0.9958175904241783</x:v>
      </x:c>
      <x:c r="AL930" s="83" t="n">
        <x:f>'Inputs'!$B$46</x:f>
        <x:v>1</x:v>
      </x:c>
      <x:c r="AM930" s="83" t="n">
        <x:f>'Inputs'!$C$46</x:f>
        <x:v>1</x:v>
      </x:c>
      <x:c r="AN930" s="83" t="n">
        <x:f>'Inputs'!$D$46</x:f>
        <x:v>1</x:v>
      </x:c>
      <x:c r="AO930" s="81" t="n">
        <x:f>'Inputs'!$E$46</x:f>
        <x:v>0</x:v>
      </x:c>
    </x:row>
    <x:row r="931">
      <x:c r="A931" s="59" t="str">
        <x:v>Base</x:v>
      </x:c>
      <x:c r="B931" s="59" t="n">
        <x:v>198</x:v>
      </x:c>
      <x:c r="C931" s="78" t="n">
        <x:f>(('Inputs'!$B$29*(3*198*'Inputs'!$B$12-198^2)/(2*'Inputs'!$B$12^2))-('Inputs'!$B$29*(3*197*'Inputs'!$B$12-197^2)/(2*'Inputs'!$B$12^2)))*'Inputs'!$B$46</x:f>
        <x:v>647777.4910865128</x:v>
      </x:c>
      <x:c r="D931" s="78" t="n">
        <x:f>IF('Inputs'!$C$46&gt;0,('Inputs'!$B$30*(3*198*'Inputs'!$B$12-198^2)/(2*'Inputs'!$B$12^2))-('Inputs'!$B$30*(3*197*'Inputs'!$B$12-197^2)/(2*'Inputs'!$B$12^2)),0)</x:f>
        <x:v>277618.92475135624</x:v>
      </x:c>
      <x:c r="E931" s="78" t="n">
        <x:f>C931+D931</x:f>
        <x:v>925396.415837869</x:v>
      </x:c>
      <x:c r="F931" s="78" t="n">
        <x:f>'Inputs'!$B$13*E931+(1-'Inputs'!$B$13)/'Inputs'!$B$14*SUM(E876:E931)</x:f>
        <x:v>935614.0927003194</x:v>
      </x:c>
      <x:c r="G931" s="78" t="n">
        <x:f>F931*'Inputs'!$F$46</x:f>
        <x:v>467807.0463501597</x:v>
      </x:c>
      <x:c r="H931" s="78" t="n">
        <x:f>U930</x:f>
        <x:v>90774710.95337272</x:v>
      </x:c>
      <x:c r="I931" s="78" t="n">
        <x:f>V930</x:f>
        <x:v>319.969236268866</x:v>
      </x:c>
      <x:c r="J931" s="79" t="n">
        <x:f>IF(H931&gt;0,I931/H931,0)</x:f>
        <x:v>0.000003524871992522468</x:v>
      </x:c>
      <x:c r="K931" s="80" t="n">
        <x:f>(H931*J931+I931)*'Inputs'!$D$46*(1+'Inputs'!$G$46)^(B931/30)</x:f>
        <x:v>639.938472537732</x:v>
      </x:c>
      <x:c r="L931" s="80" t="n">
        <x:f>MAX(0,K931*'Inputs'!$E$46)</x:f>
        <x:v>0</x:v>
      </x:c>
      <x:c r="M931" s="80" t="n">
        <x:f>MAX(0,-K931*'Inputs'!$E$46)</x:f>
        <x:v>0</x:v>
      </x:c>
      <x:c r="N931" s="78" t="n">
        <x:f>H931*(L931*(1-'Inputs'!$B$15))/(I931+L931*(1-'Inputs'!$B$15))</x:f>
        <x:v>0</x:v>
      </x:c>
      <x:c r="O931" s="78" t="n">
        <x:f>H931-N931</x:f>
        <x:v>90774710.95337272</x:v>
      </x:c>
      <x:c r="P931" s="78" t="n">
        <x:f>I931+L931*(1-'Inputs'!$B$17)</x:f>
        <x:v>319.969236268866</x:v>
      </x:c>
      <x:c r="Q931" s="78" t="n">
        <x:f>IF(J931&gt;0,M931/J931,0)</x:f>
        <x:v>0</x:v>
      </x:c>
      <x:c r="R931" s="78" t="n">
        <x:f>IF(B931='Inputs'!$H$46,'Inputs'!$B$27*'Inputs'!$I$46,0)</x:f>
        <x:v>0</x:v>
      </x:c>
      <x:c r="S931" s="78" t="n">
        <x:f>Q931+G931+R931</x:f>
        <x:v>467807.0463501597</x:v>
      </x:c>
      <x:c r="T931" s="78" t="n">
        <x:f>P931*(S931*(1-'Inputs'!$B$15))/(O931+S931*(1-'Inputs'!$B$15))</x:f>
        <x:v>1.6241838345069526</x:v>
      </x:c>
      <x:c r="U931" s="78" t="n">
        <x:f>O931+S931*(1-'Inputs'!$B$17)</x:f>
        <x:v>91240635.47639753</x:v>
      </x:c>
      <x:c r="V931" s="78" t="n">
        <x:f>P931-T931</x:f>
        <x:v>318.34505243435905</x:v>
      </x:c>
      <x:c r="W931" s="79" t="n">
        <x:f>IF(U931&gt;0,V931/U931,0)</x:f>
        <x:v>0.0000034890709690060163</x:v>
      </x:c>
      <x:c r="X931" s="80" t="n">
        <x:f>W931*('Inputs'!$B$6-AC931)</x:f>
        <x:v>3364.3040128760117</x:v>
      </x:c>
      <x:c r="Y931" s="80" t="n">
        <x:f>2*V931</x:f>
        <x:v>636.6901048687181</x:v>
      </x:c>
      <x:c r="Z931" s="80" t="n">
        <x:f>K931*'Inputs'!$B$16+(G931+R931)*J931*'Inputs'!$B$16</x:f>
        <x:v>3.8495245949598975</x:v>
      </x:c>
      <x:c r="AA931" s="80" t="n">
        <x:f>K931*(1+'Inputs'!$E$46)/2*'Inputs'!$B$17</x:f>
        <x:v>1.2876025604380925</x:v>
      </x:c>
      <x:c r="AB931" s="78" t="n">
        <x:f>(IF(J931&gt;0,K931*(1-'Inputs'!$E$46)/2/J931,0)+G931+R931)*'Inputs'!$B$17</x:f>
        <x:v>367173.11066286877</x:v>
      </x:c>
      <x:c r="AC931" s="78" t="n">
        <x:f>AC930+AB931</x:f>
        <x:v>35759363.234032586</x:v>
      </x:c>
      <x:c r="AD931" s="80" t="n">
        <x:f>Z931/(1+'Inputs'!$C$46)</x:f>
        <x:v>1.9247622974799488</x:v>
      </x:c>
      <x:c r="AE931" s="80" t="n">
        <x:f>Z931-AD931</x:f>
        <x:v>1.9247622974799488</x:v>
      </x:c>
      <x:c r="AF931" s="80" t="n">
        <x:f>D931*W931</x:f>
        <x:v>0.9686321307966228</x:v>
      </x:c>
      <x:c r="AG931" s="80" t="n">
        <x:f>C931*W931</x:f>
        <x:v>2.2601416385255053</x:v>
      </x:c>
      <x:c r="AH931" s="80" t="n">
        <x:f>2*'Inputs'!$B$8*'Inputs'!$C$46</x:f>
        <x:v>5000</x:v>
      </x:c>
      <x:c r="AI931" s="81" t="n">
        <x:f>IF(AH931&gt;0,(AE931+AF931)/AH931*365,0)</x:f>
        <x:v>0.2112177932641897</x:v>
      </x:c>
      <x:c r="AJ931" s="81" t="n">
        <x:f>IF('Inputs'!$B$46&gt;0,AG931/('Inputs'!$B$19*'Inputs'!$B$46)*365,0)</x:f>
        <x:v>0.08249516980618095</x:v>
      </x:c>
      <x:c r="AK931" s="81" t="n">
        <x:f>W931/MAX($W$734:W931)-1</x:f>
        <x:v>-0.9958600698514871</x:v>
      </x:c>
      <x:c r="AL931" s="83" t="n">
        <x:f>'Inputs'!$B$46</x:f>
        <x:v>1</x:v>
      </x:c>
      <x:c r="AM931" s="83" t="n">
        <x:f>'Inputs'!$C$46</x:f>
        <x:v>1</x:v>
      </x:c>
      <x:c r="AN931" s="83" t="n">
        <x:f>'Inputs'!$D$46</x:f>
        <x:v>1</x:v>
      </x:c>
      <x:c r="AO931" s="81" t="n">
        <x:f>'Inputs'!$E$46</x:f>
        <x:v>0</x:v>
      </x:c>
    </x:row>
    <x:row r="932">
      <x:c r="A932" s="59" t="str">
        <x:v>Base</x:v>
      </x:c>
      <x:c r="B932" s="59" t="n">
        <x:v>199</x:v>
      </x:c>
      <x:c r="C932" s="78" t="n">
        <x:f>(('Inputs'!$B$29*(3*199*'Inputs'!$B$12-199^2)/(2*'Inputs'!$B$12^2))-('Inputs'!$B$29*(3*198*'Inputs'!$B$12-198^2)/(2*'Inputs'!$B$12^2)))*'Inputs'!$B$46</x:f>
        <x:v>647452.3831863403</x:v>
      </x:c>
      <x:c r="D932" s="78" t="n">
        <x:f>IF('Inputs'!$C$46&gt;0,('Inputs'!$B$30*(3*199*'Inputs'!$B$12-199^2)/(2*'Inputs'!$B$12^2))-('Inputs'!$B$30*(3*198*'Inputs'!$B$12-198^2)/(2*'Inputs'!$B$12^2)),0)</x:f>
        <x:v>277479.5927941501</x:v>
      </x:c>
      <x:c r="E932" s="78" t="n">
        <x:f>C932+D932</x:f>
        <x:v>924931.9759804904</x:v>
      </x:c>
      <x:c r="F932" s="78" t="n">
        <x:f>'Inputs'!$B$13*E932+(1-'Inputs'!$B$13)/'Inputs'!$B$14*SUM(E877:E932)</x:f>
        <x:v>935149.6528429365</x:v>
      </x:c>
      <x:c r="G932" s="78" t="n">
        <x:f>F932*'Inputs'!$F$46</x:f>
        <x:v>467574.8264214682</x:v>
      </x:c>
      <x:c r="H932" s="78" t="n">
        <x:f>U931</x:f>
        <x:v>91240635.47639753</x:v>
      </x:c>
      <x:c r="I932" s="78" t="n">
        <x:f>V931</x:f>
        <x:v>318.34505243435905</x:v>
      </x:c>
      <x:c r="J932" s="79" t="n">
        <x:f>IF(H932&gt;0,I932/H932,0)</x:f>
        <x:v>0.0000034890709690060163</x:v>
      </x:c>
      <x:c r="K932" s="80" t="n">
        <x:f>(H932*J932+I932)*'Inputs'!$D$46*(1+'Inputs'!$G$46)^(B932/30)</x:f>
        <x:v>636.6901048687181</x:v>
      </x:c>
      <x:c r="L932" s="80" t="n">
        <x:f>MAX(0,K932*'Inputs'!$E$46)</x:f>
        <x:v>0</x:v>
      </x:c>
      <x:c r="M932" s="80" t="n">
        <x:f>MAX(0,-K932*'Inputs'!$E$46)</x:f>
        <x:v>0</x:v>
      </x:c>
      <x:c r="N932" s="78" t="n">
        <x:f>H932*(L932*(1-'Inputs'!$B$15))/(I932+L932*(1-'Inputs'!$B$15))</x:f>
        <x:v>0</x:v>
      </x:c>
      <x:c r="O932" s="78" t="n">
        <x:f>H932-N932</x:f>
        <x:v>91240635.47639753</x:v>
      </x:c>
      <x:c r="P932" s="78" t="n">
        <x:f>I932+L932*(1-'Inputs'!$B$17)</x:f>
        <x:v>318.34505243435905</x:v>
      </x:c>
      <x:c r="Q932" s="78" t="n">
        <x:f>IF(J932&gt;0,M932/J932,0)</x:f>
        <x:v>0</x:v>
      </x:c>
      <x:c r="R932" s="78" t="n">
        <x:f>IF(B932='Inputs'!$H$46,'Inputs'!$B$27*'Inputs'!$I$46,0)</x:f>
        <x:v>0</x:v>
      </x:c>
      <x:c r="S932" s="78" t="n">
        <x:f>Q932+G932+R932</x:f>
        <x:v>467574.8264214682</x:v>
      </x:c>
      <x:c r="T932" s="78" t="n">
        <x:f>P932*(S932*(1-'Inputs'!$B$15))/(O932+S932*(1-'Inputs'!$B$15))</x:f>
        <x:v>1.6069351309476665</x:v>
      </x:c>
      <x:c r="U932" s="78" t="n">
        <x:f>O932+S932*(1-'Inputs'!$B$17)</x:f>
        <x:v>91706328.71398027</x:v>
      </x:c>
      <x:c r="V932" s="78" t="n">
        <x:f>P932-T932</x:f>
        <x:v>316.7381173034114</x:v>
      </x:c>
      <x:c r="W932" s="79" t="n">
        <x:f>IF(U932&gt;0,V932/U932,0)</x:f>
        <x:v>0.000003453830523423035</x:v>
      </x:c>
      <x:c r="X932" s="80" t="n">
        <x:f>W932*('Inputs'!$B$6-AC932)</x:f>
        <x:v>3329.0491169658644</x:v>
      </x:c>
      <x:c r="Y932" s="80" t="n">
        <x:f>2*V932</x:f>
        <x:v>633.4762346068228</x:v>
      </x:c>
      <x:c r="Z932" s="80" t="n">
        <x:f>K932*'Inputs'!$B$16+(G932+R932)*J932*'Inputs'!$B$16</x:f>
        <x:v>3.82992903972854</x:v>
      </x:c>
      <x:c r="AA932" s="80" t="n">
        <x:f>K932*(1+'Inputs'!$E$46)/2*'Inputs'!$B$17</x:f>
        <x:v>1.281066609393799</x:v>
      </x:c>
      <x:c r="AB932" s="78" t="n">
        <x:f>(IF(J932&gt;0,K932*(1-'Inputs'!$E$46)/2/J932,0)+G932+R932)*'Inputs'!$B$17</x:f>
        <x:v>369047.1239550061</x:v>
      </x:c>
      <x:c r="AC932" s="78" t="n">
        <x:f>AC931+AB932</x:f>
        <x:v>36128410.35798759</x:v>
      </x:c>
      <x:c r="AD932" s="80" t="n">
        <x:f>Z932/(1+'Inputs'!$C$46)</x:f>
        <x:v>1.91496451986427</x:v>
      </x:c>
      <x:c r="AE932" s="80" t="n">
        <x:f>Z932-AD932</x:f>
        <x:v>1.91496451986427</x:v>
      </x:c>
      <x:c r="AF932" s="80" t="n">
        <x:f>D932*W932</x:f>
        <x:v>0.9583674872194301</x:v>
      </x:c>
      <x:c r="AG932" s="80" t="n">
        <x:f>C932*W932</x:f>
        <x:v>2.2361908035119695</x:v>
      </x:c>
      <x:c r="AH932" s="80" t="n">
        <x:f>2*'Inputs'!$B$8*'Inputs'!$C$46</x:f>
        <x:v>5000</x:v>
      </x:c>
      <x:c r="AI932" s="81" t="n">
        <x:f>IF(AH932&gt;0,(AE932+AF932)/AH932*365,0)</x:f>
        <x:v>0.20975323651711011</x:v>
      </x:c>
      <x:c r="AJ932" s="81" t="n">
        <x:f>IF('Inputs'!$B$46&gt;0,AG932/('Inputs'!$B$19*'Inputs'!$B$46)*365,0)</x:f>
        <x:v>0.08162096432818688</x:v>
      </x:c>
      <x:c r="AK932" s="81" t="n">
        <x:f>W932/MAX($W$734:W932)-1</x:f>
        <x:v>-0.9959018841293886</x:v>
      </x:c>
      <x:c r="AL932" s="83" t="n">
        <x:f>'Inputs'!$B$46</x:f>
        <x:v>1</x:v>
      </x:c>
      <x:c r="AM932" s="83" t="n">
        <x:f>'Inputs'!$C$46</x:f>
        <x:v>1</x:v>
      </x:c>
      <x:c r="AN932" s="83" t="n">
        <x:f>'Inputs'!$D$46</x:f>
        <x:v>1</x:v>
      </x:c>
      <x:c r="AO932" s="81" t="n">
        <x:f>'Inputs'!$E$46</x:f>
        <x:v>0</x:v>
      </x:c>
    </x:row>
    <x:row r="933">
      <x:c r="A933" s="59" t="str">
        <x:v>Base</x:v>
      </x:c>
      <x:c r="B933" s="59" t="n">
        <x:v>200</x:v>
      </x:c>
      <x:c r="C933" s="78" t="n">
        <x:f>(('Inputs'!$B$29*(3*200*'Inputs'!$B$12-200^2)/(2*'Inputs'!$B$12^2))-('Inputs'!$B$29*(3*199*'Inputs'!$B$12-199^2)/(2*'Inputs'!$B$12^2)))*'Inputs'!$B$46</x:f>
        <x:v>647127.2752861679</x:v>
      </x:c>
      <x:c r="D933" s="78" t="n">
        <x:f>IF('Inputs'!$C$46&gt;0,('Inputs'!$B$30*(3*200*'Inputs'!$B$12-200^2)/(2*'Inputs'!$B$12^2))-('Inputs'!$B$30*(3*199*'Inputs'!$B$12-199^2)/(2*'Inputs'!$B$12^2)),0)</x:f>
        <x:v>277340.2608369291</x:v>
      </x:c>
      <x:c r="E933" s="78" t="n">
        <x:f>C933+D933</x:f>
        <x:v>924467.536123097</x:v>
      </x:c>
      <x:c r="F933" s="78" t="n">
        <x:f>'Inputs'!$B$13*E933+(1-'Inputs'!$B$13)/'Inputs'!$B$14*SUM(E878:E933)</x:f>
        <x:v>934685.2129855503</x:v>
      </x:c>
      <x:c r="G933" s="78" t="n">
        <x:f>F933*'Inputs'!$F$46</x:f>
        <x:v>467342.60649277514</x:v>
      </x:c>
      <x:c r="H933" s="78" t="n">
        <x:f>U932</x:f>
        <x:v>91706328.71398027</x:v>
      </x:c>
      <x:c r="I933" s="78" t="n">
        <x:f>V932</x:f>
        <x:v>316.7381173034114</x:v>
      </x:c>
      <x:c r="J933" s="79" t="n">
        <x:f>IF(H933&gt;0,I933/H933,0)</x:f>
        <x:v>0.000003453830523423035</x:v>
      </x:c>
      <x:c r="K933" s="80" t="n">
        <x:f>(H933*J933+I933)*'Inputs'!$D$46*(1+'Inputs'!$G$46)^(B933/30)</x:f>
        <x:v>633.4762346068228</x:v>
      </x:c>
      <x:c r="L933" s="80" t="n">
        <x:f>MAX(0,K933*'Inputs'!$E$46)</x:f>
        <x:v>0</x:v>
      </x:c>
      <x:c r="M933" s="80" t="n">
        <x:f>MAX(0,-K933*'Inputs'!$E$46)</x:f>
        <x:v>0</x:v>
      </x:c>
      <x:c r="N933" s="78" t="n">
        <x:f>H933*(L933*(1-'Inputs'!$B$15))/(I933+L933*(1-'Inputs'!$B$15))</x:f>
        <x:v>0</x:v>
      </x:c>
      <x:c r="O933" s="78" t="n">
        <x:f>H933-N933</x:f>
        <x:v>91706328.71398027</x:v>
      </x:c>
      <x:c r="P933" s="78" t="n">
        <x:f>I933+L933*(1-'Inputs'!$B$17)</x:f>
        <x:v>316.7381173034114</x:v>
      </x:c>
      <x:c r="Q933" s="78" t="n">
        <x:f>IF(J933&gt;0,M933/J933,0)</x:f>
        <x:v>0</x:v>
      </x:c>
      <x:c r="R933" s="78" t="n">
        <x:f>IF(B933='Inputs'!$H$46,'Inputs'!$B$27*'Inputs'!$I$46,0)</x:f>
        <x:v>0</x:v>
      </x:c>
      <x:c r="S933" s="78" t="n">
        <x:f>Q933+G933+R933</x:f>
        <x:v>467342.60649277514</x:v>
      </x:c>
      <x:c r="T933" s="78" t="n">
        <x:f>P933*(S933*(1-'Inputs'!$B$15))/(O933+S933*(1-'Inputs'!$B$15))</x:f>
        <x:v>1.589959405991541</x:v>
      </x:c>
      <x:c r="U933" s="78" t="n">
        <x:f>O933+S933*(1-'Inputs'!$B$17)</x:f>
        <x:v>92171790.66612096</x:v>
      </x:c>
      <x:c r="V933" s="78" t="n">
        <x:f>P933-T933</x:f>
        <x:v>315.1481578974199</x:v>
      </x:c>
      <x:c r="W933" s="79" t="n">
        <x:f>IF(U933&gt;0,V933/U933,0)</x:f>
        <x:v>0.0000034191389319862376</x:v>
      </x:c>
      <x:c r="X933" s="80" t="n">
        <x:f>W933*('Inputs'!$B$6-AC933)</x:f>
        <x:v>3294.3426498616914</x:v>
      </x:c>
      <x:c r="Y933" s="80" t="n">
        <x:f>2*V933</x:f>
        <x:v>630.2963157948398</x:v>
      </x:c>
      <x:c r="Z933" s="80" t="n">
        <x:f>K933*'Inputs'!$B$16+(G933+R933)*J933*'Inputs'!$B$16</x:f>
        <x:v>3.8105421405961417</x:v>
      </x:c>
      <x:c r="AA933" s="80" t="n">
        <x:f>K933*(1+'Inputs'!$E$46)/2*'Inputs'!$B$17</x:f>
        <x:v>1.2746000696314344</x:v>
      </x:c>
      <x:c r="AB933" s="78" t="n">
        <x:f>(IF(J933&gt;0,K933*(1-'Inputs'!$E$46)/2/J933,0)+G933+R933)*'Inputs'!$B$17</x:f>
        <x:v>370920.20652101835</x:v>
      </x:c>
      <x:c r="AC933" s="78" t="n">
        <x:f>AC932+AB933</x:f>
        <x:v>36499330.56450861</x:v>
      </x:c>
      <x:c r="AD933" s="80" t="n">
        <x:f>Z933/(1+'Inputs'!$C$46)</x:f>
        <x:v>1.9052710702980709</x:v>
      </x:c>
      <x:c r="AE933" s="80" t="n">
        <x:f>Z933-AD933</x:f>
        <x:v>1.9052710702980709</x:v>
      </x:c>
      <x:c r="AF933" s="80" t="n">
        <x:f>D933*W933</x:f>
        <x:v>0.9482648832347622</x:v>
      </x:c>
      <x:c r="AG933" s="80" t="n">
        <x:f>C933*W933</x:f>
        <x:v>2.212618060881112</x:v>
      </x:c>
      <x:c r="AH933" s="80" t="n">
        <x:f>2*'Inputs'!$B$8*'Inputs'!$C$46</x:f>
        <x:v>5000</x:v>
      </x:c>
      <x:c r="AI933" s="81" t="n">
        <x:f>IF(AH933&gt;0,(AE933+AF933)/AH933*365,0)</x:f>
        <x:v>0.2083081246078968</x:v>
      </x:c>
      <x:c r="AJ933" s="81" t="n">
        <x:f>IF('Inputs'!$B$46&gt;0,AG933/('Inputs'!$B$19*'Inputs'!$B$46)*365,0)</x:f>
        <x:v>0.08076055922216059</x:v>
      </x:c>
      <x:c r="AK933" s="81" t="n">
        <x:f>W933/MAX($W$734:W933)-1</x:f>
        <x:v>-0.9959430471686518</x:v>
      </x:c>
      <x:c r="AL933" s="83" t="n">
        <x:f>'Inputs'!$B$46</x:f>
        <x:v>1</x:v>
      </x:c>
      <x:c r="AM933" s="83" t="n">
        <x:f>'Inputs'!$C$46</x:f>
        <x:v>1</x:v>
      </x:c>
      <x:c r="AN933" s="83" t="n">
        <x:f>'Inputs'!$D$46</x:f>
        <x:v>1</x:v>
      </x:c>
      <x:c r="AO933" s="81" t="n">
        <x:f>'Inputs'!$E$46</x:f>
        <x:v>0</x:v>
      </x:c>
    </x:row>
    <x:row r="934">
      <x:c r="A934" s="59" t="str">
        <x:v>Base</x:v>
      </x:c>
      <x:c r="B934" s="59" t="n">
        <x:v>201</x:v>
      </x:c>
      <x:c r="C934" s="78" t="n">
        <x:f>(('Inputs'!$B$29*(3*201*'Inputs'!$B$12-201^2)/(2*'Inputs'!$B$12^2))-('Inputs'!$B$29*(3*200*'Inputs'!$B$12-200^2)/(2*'Inputs'!$B$12^2)))*'Inputs'!$B$46</x:f>
        <x:v>646802.1673859954</x:v>
      </x:c>
      <x:c r="D934" s="78" t="n">
        <x:f>IF('Inputs'!$C$46&gt;0,('Inputs'!$B$30*(3*201*'Inputs'!$B$12-201^2)/(2*'Inputs'!$B$12^2))-('Inputs'!$B$30*(3*200*'Inputs'!$B$12-200^2)/(2*'Inputs'!$B$12^2)),0)</x:f>
        <x:v>277200.9288797155</x:v>
      </x:c>
      <x:c r="E934" s="78" t="n">
        <x:f>C934+D934</x:f>
        <x:v>924003.0962657109</x:v>
      </x:c>
      <x:c r="F934" s="78" t="n">
        <x:f>'Inputs'!$B$13*E934+(1-'Inputs'!$B$13)/'Inputs'!$B$14*SUM(E879:E934)</x:f>
        <x:v>934220.7731281656</x:v>
      </x:c>
      <x:c r="G934" s="78" t="n">
        <x:f>F934*'Inputs'!$F$46</x:f>
        <x:v>467110.3865640828</x:v>
      </x:c>
      <x:c r="H934" s="78" t="n">
        <x:f>U933</x:f>
        <x:v>92171790.66612096</x:v>
      </x:c>
      <x:c r="I934" s="78" t="n">
        <x:f>V933</x:f>
        <x:v>315.1481578974199</x:v>
      </x:c>
      <x:c r="J934" s="79" t="n">
        <x:f>IF(H934&gt;0,I934/H934,0)</x:f>
        <x:v>0.0000034191389319862376</x:v>
      </x:c>
      <x:c r="K934" s="80" t="n">
        <x:f>(H934*J934+I934)*'Inputs'!$D$46*(1+'Inputs'!$G$46)^(B934/30)</x:f>
        <x:v>630.2963157948398</x:v>
      </x:c>
      <x:c r="L934" s="80" t="n">
        <x:f>MAX(0,K934*'Inputs'!$E$46)</x:f>
        <x:v>0</x:v>
      </x:c>
      <x:c r="M934" s="80" t="n">
        <x:f>MAX(0,-K934*'Inputs'!$E$46)</x:f>
        <x:v>0</x:v>
      </x:c>
      <x:c r="N934" s="78" t="n">
        <x:f>H934*(L934*(1-'Inputs'!$B$15))/(I934+L934*(1-'Inputs'!$B$15))</x:f>
        <x:v>0</x:v>
      </x:c>
      <x:c r="O934" s="78" t="n">
        <x:f>H934-N934</x:f>
        <x:v>92171790.66612096</x:v>
      </x:c>
      <x:c r="P934" s="78" t="n">
        <x:f>I934+L934*(1-'Inputs'!$B$17)</x:f>
        <x:v>315.1481578974199</x:v>
      </x:c>
      <x:c r="Q934" s="78" t="n">
        <x:f>IF(J934&gt;0,M934/J934,0)</x:f>
        <x:v>0</x:v>
      </x:c>
      <x:c r="R934" s="78" t="n">
        <x:f>IF(B934='Inputs'!$H$46,'Inputs'!$B$27*'Inputs'!$I$46,0)</x:f>
        <x:v>0</x:v>
      </x:c>
      <x:c r="S934" s="78" t="n">
        <x:f>Q934+G934+R934</x:f>
        <x:v>467110.3865640828</x:v>
      </x:c>
      <x:c r="T934" s="78" t="n">
        <x:f>P934*(S934*(1-'Inputs'!$B$15))/(O934+S934*(1-'Inputs'!$B$15))</x:f>
        <x:v>1.5732509263836718</x:v>
      </x:c>
      <x:c r="U934" s="78" t="n">
        <x:f>O934+S934*(1-'Inputs'!$B$17)</x:f>
        <x:v>92637021.3328196</x:v>
      </x:c>
      <x:c r="V934" s="78" t="n">
        <x:f>P934-T934</x:f>
        <x:v>313.5749069710362</x:v>
      </x:c>
      <x:c r="W934" s="79" t="n">
        <x:f>IF(U934&gt;0,V934/U934,0)</x:f>
        <x:v>0.000003384984776706571</x:v>
      </x:c>
      <x:c r="X934" s="80" t="n">
        <x:f>W934*('Inputs'!$B$6-AC934)</x:f>
        <x:v>3260.1732019278043</x:v>
      </x:c>
      <x:c r="Y934" s="80" t="n">
        <x:f>2*V934</x:f>
        <x:v>627.1498139420725</x:v>
      </x:c>
      <x:c r="Z934" s="80" t="n">
        <x:f>K934*'Inputs'!$B$16+(G934+R934)*J934*'Inputs'!$B$16</x:f>
        <x:v>3.791360586618457</x:v>
      </x:c>
      <x:c r="AA934" s="80" t="n">
        <x:f>K934*(1+'Inputs'!$E$46)/2*'Inputs'!$B$17</x:f>
        <x:v>1.268201842645553</x:v>
      </x:c>
      <x:c r="AB934" s="78" t="n">
        <x:f>(IF(J934&gt;0,K934*(1-'Inputs'!$E$46)/2/J934,0)+G934+R934)*'Inputs'!$B$17</x:f>
        <x:v>372792.3583609056</x:v>
      </x:c>
      <x:c r="AC934" s="78" t="n">
        <x:f>AC933+AB934</x:f>
        <x:v>36872122.92286952</x:v>
      </x:c>
      <x:c r="AD934" s="80" t="n">
        <x:f>Z934/(1+'Inputs'!$C$46)</x:f>
        <x:v>1.8956802933092285</x:v>
      </x:c>
      <x:c r="AE934" s="80" t="n">
        <x:f>Z934-AD934</x:f>
        <x:v>1.8956802933092285</x:v>
      </x:c>
      <x:c r="AF934" s="80" t="n">
        <x:f>D934*W934</x:f>
        <x:v>0.938320924346758</x:v>
      </x:c>
      <x:c r="AG934" s="80" t="n">
        <x:f>C934*W934</x:f>
        <x:v>2.18941549014241</x:v>
      </x:c>
      <x:c r="AH934" s="80" t="n">
        <x:f>2*'Inputs'!$B$8*'Inputs'!$C$46</x:f>
        <x:v>5000</x:v>
      </x:c>
      <x:c r="AI934" s="81" t="n">
        <x:f>IF(AH934&gt;0,(AE934+AF934)/AH934*365,0)</x:f>
        <x:v>0.206882088888887</x:v>
      </x:c>
      <x:c r="AJ934" s="81" t="n">
        <x:f>IF('Inputs'!$B$46&gt;0,AG934/('Inputs'!$B$19*'Inputs'!$B$46)*365,0)</x:f>
        <x:v>0.07991366539019797</x:v>
      </x:c>
      <x:c r="AK934" s="81" t="n">
        <x:f>W934/MAX($W$734:W934)-1</x:f>
        <x:v>-0.9959835725172032</x:v>
      </x:c>
      <x:c r="AL934" s="83" t="n">
        <x:f>'Inputs'!$B$46</x:f>
        <x:v>1</x:v>
      </x:c>
      <x:c r="AM934" s="83" t="n">
        <x:f>'Inputs'!$C$46</x:f>
        <x:v>1</x:v>
      </x:c>
      <x:c r="AN934" s="83" t="n">
        <x:f>'Inputs'!$D$46</x:f>
        <x:v>1</x:v>
      </x:c>
      <x:c r="AO934" s="81" t="n">
        <x:f>'Inputs'!$E$46</x:f>
        <x:v>0</x:v>
      </x:c>
    </x:row>
    <x:row r="935">
      <x:c r="A935" s="59" t="str">
        <x:v>Base</x:v>
      </x:c>
      <x:c r="B935" s="59" t="n">
        <x:v>202</x:v>
      </x:c>
      <x:c r="C935" s="78" t="n">
        <x:f>(('Inputs'!$B$29*(3*202*'Inputs'!$B$12-202^2)/(2*'Inputs'!$B$12^2))-('Inputs'!$B$29*(3*201*'Inputs'!$B$12-201^2)/(2*'Inputs'!$B$12^2)))*'Inputs'!$B$46</x:f>
        <x:v>646477.0594858229</x:v>
      </x:c>
      <x:c r="D935" s="78" t="n">
        <x:f>IF('Inputs'!$C$46&gt;0,('Inputs'!$B$30*(3*202*'Inputs'!$B$12-202^2)/(2*'Inputs'!$B$12^2))-('Inputs'!$B$30*(3*201*'Inputs'!$B$12-201^2)/(2*'Inputs'!$B$12^2)),0)</x:f>
        <x:v>277061.5969224945</x:v>
      </x:c>
      <x:c r="E935" s="78" t="n">
        <x:f>C935+D935</x:f>
        <x:v>923538.6564083174</x:v>
      </x:c>
      <x:c r="F935" s="78" t="n">
        <x:f>'Inputs'!$B$13*E935+(1-'Inputs'!$B$13)/'Inputs'!$B$14*SUM(E880:E935)</x:f>
        <x:v>933756.3332707796</x:v>
      </x:c>
      <x:c r="G935" s="78" t="n">
        <x:f>F935*'Inputs'!$F$46</x:f>
        <x:v>466878.1666353898</x:v>
      </x:c>
      <x:c r="H935" s="78" t="n">
        <x:f>U934</x:f>
        <x:v>92637021.3328196</x:v>
      </x:c>
      <x:c r="I935" s="78" t="n">
        <x:f>V934</x:f>
        <x:v>313.5749069710362</x:v>
      </x:c>
      <x:c r="J935" s="79" t="n">
        <x:f>IF(H935&gt;0,I935/H935,0)</x:f>
        <x:v>0.000003384984776706571</x:v>
      </x:c>
      <x:c r="K935" s="80" t="n">
        <x:f>(H935*J935+I935)*'Inputs'!$D$46*(1+'Inputs'!$G$46)^(B935/30)</x:f>
        <x:v>627.1498139420725</x:v>
      </x:c>
      <x:c r="L935" s="80" t="n">
        <x:f>MAX(0,K935*'Inputs'!$E$46)</x:f>
        <x:v>0</x:v>
      </x:c>
      <x:c r="M935" s="80" t="n">
        <x:f>MAX(0,-K935*'Inputs'!$E$46)</x:f>
        <x:v>0</x:v>
      </x:c>
      <x:c r="N935" s="78" t="n">
        <x:f>H935*(L935*(1-'Inputs'!$B$15))/(I935+L935*(1-'Inputs'!$B$15))</x:f>
        <x:v>0</x:v>
      </x:c>
      <x:c r="O935" s="78" t="n">
        <x:f>H935-N935</x:f>
        <x:v>92637021.3328196</x:v>
      </x:c>
      <x:c r="P935" s="78" t="n">
        <x:f>I935+L935*(1-'Inputs'!$B$17)</x:f>
        <x:v>313.5749069710362</x:v>
      </x:c>
      <x:c r="Q935" s="78" t="n">
        <x:f>IF(J935&gt;0,M935/J935,0)</x:f>
        <x:v>0</x:v>
      </x:c>
      <x:c r="R935" s="78" t="n">
        <x:f>IF(B935='Inputs'!$H$46,'Inputs'!$B$27*'Inputs'!$I$46,0)</x:f>
        <x:v>0</x:v>
      </x:c>
      <x:c r="S935" s="78" t="n">
        <x:f>Q935+G935+R935</x:f>
        <x:v>466878.1666353898</x:v>
      </x:c>
      <x:c r="T935" s="78" t="n">
        <x:f>P935*(S935*(1-'Inputs'!$B$15))/(O935+S935*(1-'Inputs'!$B$15))</x:f>
        <x:v>1.5568041086413817</x:v>
      </x:c>
      <x:c r="U935" s="78" t="n">
        <x:f>O935+S935*(1-'Inputs'!$B$17)</x:f>
        <x:v>93102020.71407618</x:v>
      </x:c>
      <x:c r="V935" s="78" t="n">
        <x:f>P935-T935</x:f>
        <x:v>312.01810286239487</x:v>
      </x:c>
      <x:c r="W935" s="79" t="n">
        <x:f>IF(U935&gt;0,V935/U935,0)</x:f>
        <x:v>0.000003351356935856716</x:v>
      </x:c>
      <x:c r="X935" s="80" t="n">
        <x:f>W935*('Inputs'!$B$6-AC935)</x:f>
        <x:v>3226.529659573711</x:v>
      </x:c>
      <x:c r="Y935" s="80" t="n">
        <x:f>2*V935</x:f>
        <x:v>624.0362057247897</x:v>
      </x:c>
      <x:c r="Z935" s="80" t="n">
        <x:f>K935*'Inputs'!$B$16+(G935+R935)*J935*'Inputs'!$B$16</x:f>
        <x:v>3.7723811365722595</x:v>
      </x:c>
      <x:c r="AA935" s="80" t="n">
        <x:f>K935*(1+'Inputs'!$E$46)/2*'Inputs'!$B$17</x:f>
        <x:v>1.261870853002158</x:v>
      </x:c>
      <x:c r="AB935" s="78" t="n">
        <x:f>(IF(J935&gt;0,K935*(1-'Inputs'!$E$46)/2/J935,0)+G935+R935)*'Inputs'!$B$17</x:f>
        <x:v>374663.579474668</x:v>
      </x:c>
      <x:c r="AC935" s="78" t="n">
        <x:f>AC934+AB935</x:f>
        <x:v>37246786.50234418</x:v>
      </x:c>
      <x:c r="AD935" s="80" t="n">
        <x:f>Z935/(1+'Inputs'!$C$46)</x:f>
        <x:v>1.8861905682861297</x:v>
      </x:c>
      <x:c r="AE935" s="80" t="n">
        <x:f>Z935-AD935</x:f>
        <x:v>1.8861905682861297</x:v>
      </x:c>
      <x:c r="AF935" s="80" t="n">
        <x:f>D935*W935</x:f>
        <x:v>0.9285323045057396</x:v>
      </x:c>
      <x:c r="AG935" s="80" t="n">
        <x:f>C935*W935</x:f>
        <x:v>2.1665753771800675</x:v>
      </x:c>
      <x:c r="AH935" s="80" t="n">
        <x:f>2*'Inputs'!$B$8*'Inputs'!$C$46</x:f>
        <x:v>5000</x:v>
      </x:c>
      <x:c r="AI935" s="81" t="n">
        <x:f>IF(AH935&gt;0,(AE935+AF935)/AH935*365,0)</x:f>
        <x:v>0.20547476971380646</x:v>
      </x:c>
      <x:c r="AJ935" s="81" t="n">
        <x:f>IF('Inputs'!$B$46&gt;0,AG935/('Inputs'!$B$19*'Inputs'!$B$46)*365,0)</x:f>
        <x:v>0.07908000126707246</x:v>
      </x:c>
      <x:c r="AK935" s="81" t="n">
        <x:f>W935/MAX($W$734:W935)-1</x:f>
        <x:v>-0.996023473371442</x:v>
      </x:c>
      <x:c r="AL935" s="83" t="n">
        <x:f>'Inputs'!$B$46</x:f>
        <x:v>1</x:v>
      </x:c>
      <x:c r="AM935" s="83" t="n">
        <x:f>'Inputs'!$C$46</x:f>
        <x:v>1</x:v>
      </x:c>
      <x:c r="AN935" s="83" t="n">
        <x:f>'Inputs'!$D$46</x:f>
        <x:v>1</x:v>
      </x:c>
      <x:c r="AO935" s="81" t="n">
        <x:f>'Inputs'!$E$46</x:f>
        <x:v>0</x:v>
      </x:c>
    </x:row>
    <x:row r="936">
      <x:c r="A936" s="59" t="str">
        <x:v>Base</x:v>
      </x:c>
      <x:c r="B936" s="59" t="n">
        <x:v>203</x:v>
      </x:c>
      <x:c r="C936" s="78" t="n">
        <x:f>(('Inputs'!$B$29*(3*203*'Inputs'!$B$12-203^2)/(2*'Inputs'!$B$12^2))-('Inputs'!$B$29*(3*202*'Inputs'!$B$12-202^2)/(2*'Inputs'!$B$12^2)))*'Inputs'!$B$46</x:f>
        <x:v>646151.9515856802</x:v>
      </x:c>
      <x:c r="D936" s="78" t="n">
        <x:f>IF('Inputs'!$C$46&gt;0,('Inputs'!$B$30*(3*203*'Inputs'!$B$12-203^2)/(2*'Inputs'!$B$12^2))-('Inputs'!$B$30*(3*202*'Inputs'!$B$12-202^2)/(2*'Inputs'!$B$12^2)),0)</x:f>
        <x:v>276922.26496528834</x:v>
      </x:c>
      <x:c r="E936" s="78" t="n">
        <x:f>C936+D936</x:f>
        <x:v>923074.2165509686</x:v>
      </x:c>
      <x:c r="F936" s="78" t="n">
        <x:f>'Inputs'!$B$13*E936+(1-'Inputs'!$B$13)/'Inputs'!$B$14*SUM(E881:E936)</x:f>
        <x:v>933291.8934134028</x:v>
      </x:c>
      <x:c r="G936" s="78" t="n">
        <x:f>F936*'Inputs'!$F$46</x:f>
        <x:v>466645.9467067014</x:v>
      </x:c>
      <x:c r="H936" s="78" t="n">
        <x:f>U935</x:f>
        <x:v>93102020.71407618</x:v>
      </x:c>
      <x:c r="I936" s="78" t="n">
        <x:f>V935</x:f>
        <x:v>312.01810286239487</x:v>
      </x:c>
      <x:c r="J936" s="79" t="n">
        <x:f>IF(H936&gt;0,I936/H936,0)</x:f>
        <x:v>0.000003351356935856716</x:v>
      </x:c>
      <x:c r="K936" s="80" t="n">
        <x:f>(H936*J936+I936)*'Inputs'!$D$46*(1+'Inputs'!$G$46)^(B936/30)</x:f>
        <x:v>624.0362057247897</x:v>
      </x:c>
      <x:c r="L936" s="80" t="n">
        <x:f>MAX(0,K936*'Inputs'!$E$46)</x:f>
        <x:v>0</x:v>
      </x:c>
      <x:c r="M936" s="80" t="n">
        <x:f>MAX(0,-K936*'Inputs'!$E$46)</x:f>
        <x:v>0</x:v>
      </x:c>
      <x:c r="N936" s="78" t="n">
        <x:f>H936*(L936*(1-'Inputs'!$B$15))/(I936+L936*(1-'Inputs'!$B$15))</x:f>
        <x:v>0</x:v>
      </x:c>
      <x:c r="O936" s="78" t="n">
        <x:f>H936-N936</x:f>
        <x:v>93102020.71407618</x:v>
      </x:c>
      <x:c r="P936" s="78" t="n">
        <x:f>I936+L936*(1-'Inputs'!$B$17)</x:f>
        <x:v>312.01810286239487</x:v>
      </x:c>
      <x:c r="Q936" s="78" t="n">
        <x:f>IF(J936&gt;0,M936/J936,0)</x:f>
        <x:v>0</x:v>
      </x:c>
      <x:c r="R936" s="78" t="n">
        <x:f>IF(B936='Inputs'!$H$46,'Inputs'!$B$27*'Inputs'!$I$46,0)</x:f>
        <x:v>0</x:v>
      </x:c>
      <x:c r="S936" s="78" t="n">
        <x:f>Q936+G936+R936</x:f>
        <x:v>466645.9467067014</x:v>
      </x:c>
      <x:c r="T936" s="78" t="n">
        <x:f>P936*(S936*(1-'Inputs'!$B$15))/(O936+S936*(1-'Inputs'!$B$15))</x:f>
        <x:v>1.5406135143826987</x:v>
      </x:c>
      <x:c r="U936" s="78" t="n">
        <x:f>O936+S936*(1-'Inputs'!$B$17)</x:f>
        <x:v>93566788.8098907</x:v>
      </x:c>
      <x:c r="V936" s="78" t="n">
        <x:f>P936-T936</x:f>
        <x:v>310.47748934801217</x:v>
      </x:c>
      <x:c r="W936" s="79" t="n">
        <x:f>IF(U936&gt;0,V936/U936,0)</x:f>
        <x:v>0.0000033182445747800678</x:v>
      </x:c>
      <x:c r="X936" s="80" t="n">
        <x:f>W936*('Inputs'!$B$6-AC936)</x:f>
        <x:v>3193.4011960697812</x:v>
      </x:c>
      <x:c r="Y936" s="80" t="n">
        <x:f>2*V936</x:f>
        <x:v>620.9549786960243</x:v>
      </x:c>
      <x:c r="Z936" s="80" t="n">
        <x:f>K936*'Inputs'!$B$16+(G936+R936)*J936*'Inputs'!$B$16</x:f>
        <x:v>3.753600617129248</x:v>
      </x:c>
      <x:c r="AA936" s="80" t="n">
        <x:f>K936*(1+'Inputs'!$E$46)/2*'Inputs'!$B$17</x:f>
        <x:v>1.2556060477359956</x:v>
      </x:c>
      <x:c r="AB936" s="78" t="n">
        <x:f>(IF(J936&gt;0,K936*(1-'Inputs'!$E$46)/2/J936,0)+G936+R936)*'Inputs'!$B$17</x:f>
        <x:v>376533.86986230535</x:v>
      </x:c>
      <x:c r="AC936" s="78" t="n">
        <x:f>AC935+AB936</x:f>
        <x:v>37623320.37220649</x:v>
      </x:c>
      <x:c r="AD936" s="80" t="n">
        <x:f>Z936/(1+'Inputs'!$C$46)</x:f>
        <x:v>1.876800308564624</x:v>
      </x:c>
      <x:c r="AE936" s="80" t="n">
        <x:f>Z936-AD936</x:f>
        <x:v>1.876800308564624</x:v>
      </x:c>
      <x:c r="AF936" s="80" t="n">
        <x:f>D936*W936</x:f>
        <x:v>0.9188958033568765</x:v>
      </x:c>
      <x:c r="AG936" s="80" t="n">
        <x:f>C936*W936</x:f>
        <x:v>2.1440902078327366</x:v>
      </x:c>
      <x:c r="AH936" s="80" t="n">
        <x:f>2*'Inputs'!$B$8*'Inputs'!$C$46</x:f>
        <x:v>5000</x:v>
      </x:c>
      <x:c r="AI936" s="81" t="n">
        <x:f>IF(AH936&gt;0,(AE936+AF936)/AH936*365,0)</x:f>
        <x:v>0.20408581617026952</x:v>
      </x:c>
      <x:c r="AJ936" s="81" t="n">
        <x:f>IF('Inputs'!$B$46&gt;0,AG936/('Inputs'!$B$19*'Inputs'!$B$46)*365,0)</x:f>
        <x:v>0.07825929258589488</x:v>
      </x:c>
      <x:c r="AK936" s="81" t="n">
        <x:f>W936/MAX($W$734:W936)-1</x:f>
        <x:v>-0.9960627625871465</x:v>
      </x:c>
      <x:c r="AL936" s="83" t="n">
        <x:f>'Inputs'!$B$46</x:f>
        <x:v>1</x:v>
      </x:c>
      <x:c r="AM936" s="83" t="n">
        <x:f>'Inputs'!$C$46</x:f>
        <x:v>1</x:v>
      </x:c>
      <x:c r="AN936" s="83" t="n">
        <x:f>'Inputs'!$D$46</x:f>
        <x:v>1</x:v>
      </x:c>
      <x:c r="AO936" s="81" t="n">
        <x:f>'Inputs'!$E$46</x:f>
        <x:v>0</x:v>
      </x:c>
    </x:row>
    <x:row r="937">
      <x:c r="A937" s="59" t="str">
        <x:v>Base</x:v>
      </x:c>
      <x:c r="B937" s="59" t="n">
        <x:v>204</x:v>
      </x:c>
      <x:c r="C937" s="78" t="n">
        <x:f>(('Inputs'!$B$29*(3*204*'Inputs'!$B$12-204^2)/(2*'Inputs'!$B$12^2))-('Inputs'!$B$29*(3*203*'Inputs'!$B$12-203^2)/(2*'Inputs'!$B$12^2)))*'Inputs'!$B$46</x:f>
        <x:v>645826.843685478</x:v>
      </x:c>
      <x:c r="D937" s="78" t="n">
        <x:f>IF('Inputs'!$C$46&gt;0,('Inputs'!$B$30*(3*204*'Inputs'!$B$12-204^2)/(2*'Inputs'!$B$12^2))-('Inputs'!$B$30*(3*203*'Inputs'!$B$12-203^2)/(2*'Inputs'!$B$12^2)),0)</x:f>
        <x:v>276782.9330080673</x:v>
      </x:c>
      <x:c r="E937" s="78" t="n">
        <x:f>C937+D937</x:f>
        <x:v>922609.7766935453</x:v>
      </x:c>
      <x:c r="F937" s="78" t="n">
        <x:f>'Inputs'!$B$13*E937+(1-'Inputs'!$B$13)/'Inputs'!$B$14*SUM(E882:E937)</x:f>
        <x:v>932827.4535560105</x:v>
      </x:c>
      <x:c r="G937" s="78" t="n">
        <x:f>F937*'Inputs'!$F$46</x:f>
        <x:v>466413.72677800525</x:v>
      </x:c>
      <x:c r="H937" s="78" t="n">
        <x:f>U936</x:f>
        <x:v>93566788.8098907</x:v>
      </x:c>
      <x:c r="I937" s="78" t="n">
        <x:f>V936</x:f>
        <x:v>310.47748934801217</x:v>
      </x:c>
      <x:c r="J937" s="79" t="n">
        <x:f>IF(H937&gt;0,I937/H937,0)</x:f>
        <x:v>0.0000033182445747800678</x:v>
      </x:c>
      <x:c r="K937" s="80" t="n">
        <x:f>(H937*J937+I937)*'Inputs'!$D$46*(1+'Inputs'!$G$46)^(B937/30)</x:f>
        <x:v>620.9549786960243</x:v>
      </x:c>
      <x:c r="L937" s="80" t="n">
        <x:f>MAX(0,K937*'Inputs'!$E$46)</x:f>
        <x:v>0</x:v>
      </x:c>
      <x:c r="M937" s="80" t="n">
        <x:f>MAX(0,-K937*'Inputs'!$E$46)</x:f>
        <x:v>0</x:v>
      </x:c>
      <x:c r="N937" s="78" t="n">
        <x:f>H937*(L937*(1-'Inputs'!$B$15))/(I937+L937*(1-'Inputs'!$B$15))</x:f>
        <x:v>0</x:v>
      </x:c>
      <x:c r="O937" s="78" t="n">
        <x:f>H937-N937</x:f>
        <x:v>93566788.8098907</x:v>
      </x:c>
      <x:c r="P937" s="78" t="n">
        <x:f>I937+L937*(1-'Inputs'!$B$17)</x:f>
        <x:v>310.47748934801217</x:v>
      </x:c>
      <x:c r="Q937" s="78" t="n">
        <x:f>IF(J937&gt;0,M937/J937,0)</x:f>
        <x:v>0</x:v>
      </x:c>
      <x:c r="R937" s="78" t="n">
        <x:f>IF(B937='Inputs'!$H$46,'Inputs'!$B$27*'Inputs'!$I$46,0)</x:f>
        <x:v>0</x:v>
      </x:c>
      <x:c r="S937" s="78" t="n">
        <x:f>Q937+G937+R937</x:f>
        <x:v>466413.72677800525</x:v>
      </x:c>
      <x:c r="T937" s="78" t="n">
        <x:f>P937*(S937*(1-'Inputs'!$B$15))/(O937+S937*(1-'Inputs'!$B$15))</x:f>
        <x:v>1.5246738458238474</x:v>
      </x:c>
      <x:c r="U937" s="78" t="n">
        <x:f>O937+S937*(1-'Inputs'!$B$17)</x:f>
        <x:v>94031325.62026316</x:v>
      </x:c>
      <x:c r="V937" s="78" t="n">
        <x:f>P937-T937</x:f>
        <x:v>308.95281550218834</x:v>
      </x:c>
      <x:c r="W937" s="79" t="n">
        <x:f>IF(U937&gt;0,V937/U937,0)</x:f>
        <x:v>0.00000328563713703097</x:v>
      </x:c>
      <x:c r="X937" s="80" t="n">
        <x:f>W937*('Inputs'!$B$6-AC937)</x:f>
        <x:v>3160.7772626939386</x:v>
      </x:c>
      <x:c r="Y937" s="80" t="n">
        <x:f>2*V937</x:f>
        <x:v>617.9056310043767</x:v>
      </x:c>
      <x:c r="Z937" s="80" t="n">
        <x:f>K937*'Inputs'!$B$16+(G937+R937)*J937*'Inputs'!$B$16</x:f>
        <x:v>3.735015921087051</x:v>
      </x:c>
      <x:c r="AA937" s="80" t="n">
        <x:f>K937*(1+'Inputs'!$E$46)/2*'Inputs'!$B$17</x:f>
        <x:v>1.2494063957666486</x:v>
      </x:c>
      <x:c r="AB937" s="78" t="n">
        <x:f>(IF(J937&gt;0,K937*(1-'Inputs'!$E$46)/2/J937,0)+G937+R937)*'Inputs'!$B$17</x:f>
        <x:v>378403.2295238178</x:v>
      </x:c>
      <x:c r="AC937" s="78" t="n">
        <x:f>AC936+AB937</x:f>
        <x:v>38001723.6017303</x:v>
      </x:c>
      <x:c r="AD937" s="80" t="n">
        <x:f>Z937/(1+'Inputs'!$C$46)</x:f>
        <x:v>1.8675079605435254</x:v>
      </x:c>
      <x:c r="AE937" s="80" t="n">
        <x:f>Z937-AD937</x:f>
        <x:v>1.8675079605435254</x:v>
      </x:c>
      <x:c r="AF937" s="80" t="n">
        <x:f>D937*W937</x:f>
        <x:v>0.909408283587661</x:v>
      </x:c>
      <x:c r="AG937" s="80" t="n">
        <x:f>C937*W937</x:f>
        <x:v>2.1219526617045017</x:v>
      </x:c>
      <x:c r="AH937" s="80" t="n">
        <x:f>2*'Inputs'!$B$8*'Inputs'!$C$46</x:f>
        <x:v>5000</x:v>
      </x:c>
      <x:c r="AI937" s="81" t="n">
        <x:f>IF(AH937&gt;0,(AE937+AF937)/AH937*365,0)</x:f>
        <x:v>0.20271488582157662</x:v>
      </x:c>
      <x:c r="AJ937" s="81" t="n">
        <x:f>IF('Inputs'!$B$46&gt;0,AG937/('Inputs'!$B$19*'Inputs'!$B$46)*365,0)</x:f>
        <x:v>0.07745127215221431</x:v>
      </x:c>
      <x:c r="AK937" s="81" t="n">
        <x:f>W937/MAX($W$734:W937)-1</x:f>
        <x:v>-0.9961014526899855</x:v>
      </x:c>
      <x:c r="AL937" s="83" t="n">
        <x:f>'Inputs'!$B$46</x:f>
        <x:v>1</x:v>
      </x:c>
      <x:c r="AM937" s="83" t="n">
        <x:f>'Inputs'!$C$46</x:f>
        <x:v>1</x:v>
      </x:c>
      <x:c r="AN937" s="83" t="n">
        <x:f>'Inputs'!$D$46</x:f>
        <x:v>1</x:v>
      </x:c>
      <x:c r="AO937" s="81" t="n">
        <x:f>'Inputs'!$E$46</x:f>
        <x:v>0</x:v>
      </x:c>
    </x:row>
    <x:row r="938">
      <x:c r="A938" s="59" t="str">
        <x:v>Base</x:v>
      </x:c>
      <x:c r="B938" s="59" t="n">
        <x:v>205</x:v>
      </x:c>
      <x:c r="C938" s="78" t="n">
        <x:f>(('Inputs'!$B$29*(3*205*'Inputs'!$B$12-205^2)/(2*'Inputs'!$B$12^2))-('Inputs'!$B$29*(3*204*'Inputs'!$B$12-204^2)/(2*'Inputs'!$B$12^2)))*'Inputs'!$B$46</x:f>
        <x:v>645501.7357853353</x:v>
      </x:c>
      <x:c r="D938" s="78" t="n">
        <x:f>IF('Inputs'!$C$46&gt;0,('Inputs'!$B$30*(3*205*'Inputs'!$B$12-205^2)/(2*'Inputs'!$B$12^2))-('Inputs'!$B$30*(3*204*'Inputs'!$B$12-204^2)/(2*'Inputs'!$B$12^2)),0)</x:f>
        <x:v>276643.60105085373</x:v>
      </x:c>
      <x:c r="E938" s="78" t="n">
        <x:f>C938+D938</x:f>
        <x:v>922145.336836189</x:v>
      </x:c>
      <x:c r="F938" s="78" t="n">
        <x:f>'Inputs'!$B$13*E938+(1-'Inputs'!$B$13)/'Inputs'!$B$14*SUM(E883:E938)</x:f>
        <x:v>932363.0136986321</x:v>
      </x:c>
      <x:c r="G938" s="78" t="n">
        <x:f>F938*'Inputs'!$F$46</x:f>
        <x:v>466181.50684931607</x:v>
      </x:c>
      <x:c r="H938" s="78" t="n">
        <x:f>U937</x:f>
        <x:v>94031325.62026316</x:v>
      </x:c>
      <x:c r="I938" s="78" t="n">
        <x:f>V937</x:f>
        <x:v>308.95281550218834</x:v>
      </x:c>
      <x:c r="J938" s="79" t="n">
        <x:f>IF(H938&gt;0,I938/H938,0)</x:f>
        <x:v>0.00000328563713703097</x:v>
      </x:c>
      <x:c r="K938" s="80" t="n">
        <x:f>(H938*J938+I938)*'Inputs'!$D$46*(1+'Inputs'!$G$46)^(B938/30)</x:f>
        <x:v>617.9056310043767</x:v>
      </x:c>
      <x:c r="L938" s="80" t="n">
        <x:f>MAX(0,K938*'Inputs'!$E$46)</x:f>
        <x:v>0</x:v>
      </x:c>
      <x:c r="M938" s="80" t="n">
        <x:f>MAX(0,-K938*'Inputs'!$E$46)</x:f>
        <x:v>0</x:v>
      </x:c>
      <x:c r="N938" s="78" t="n">
        <x:f>H938*(L938*(1-'Inputs'!$B$15))/(I938+L938*(1-'Inputs'!$B$15))</x:f>
        <x:v>0</x:v>
      </x:c>
      <x:c r="O938" s="78" t="n">
        <x:f>H938-N938</x:f>
        <x:v>94031325.62026316</x:v>
      </x:c>
      <x:c r="P938" s="78" t="n">
        <x:f>I938+L938*(1-'Inputs'!$B$17)</x:f>
        <x:v>308.95281550218834</x:v>
      </x:c>
      <x:c r="Q938" s="78" t="n">
        <x:f>IF(J938&gt;0,M938/J938,0)</x:f>
        <x:v>0</x:v>
      </x:c>
      <x:c r="R938" s="78" t="n">
        <x:f>IF(B938='Inputs'!$H$46,'Inputs'!$B$27*'Inputs'!$I$46,0)</x:f>
        <x:v>0</x:v>
      </x:c>
      <x:c r="S938" s="78" t="n">
        <x:f>Q938+G938+R938</x:f>
        <x:v>466181.50684931607</x:v>
      </x:c>
      <x:c r="T938" s="78" t="n">
        <x:f>P938*(S938*(1-'Inputs'!$B$15))/(O938+S938*(1-'Inputs'!$B$15))</x:f>
        <x:v>1.5089799414391565</x:v>
      </x:c>
      <x:c r="U938" s="78" t="n">
        <x:f>O938+S938*(1-'Inputs'!$B$17)</x:f>
        <x:v>94495631.14519356</x:v>
      </x:c>
      <x:c r="V938" s="78" t="n">
        <x:f>P938-T938</x:f>
        <x:v>307.44383556074916</x:v>
      </x:c>
      <x:c r="W938" s="79" t="n">
        <x:f>IF(U938&gt;0,V938/U938,0)</x:f>
        <x:v>0.00000325352433583261</x:v>
      </x:c>
      <x:c r="X938" s="80" t="n">
        <x:f>W938*('Inputs'!$B$6-AC938)</x:f>
        <x:v>3128.6475801957713</x:v>
      </x:c>
      <x:c r="Y938" s="80" t="n">
        <x:f>2*V938</x:f>
        <x:v>614.8876711214983</x:v>
      </x:c>
      <x:c r="Z938" s="80" t="n">
        <x:f>K938*'Inputs'!$B$16+(G938+R938)*J938*'Inputs'!$B$16</x:f>
        <x:v>3.7166240056552673</x:v>
      </x:c>
      <x:c r="AA938" s="80" t="n">
        <x:f>K938*(1+'Inputs'!$E$46)/2*'Inputs'!$B$17</x:f>
        <x:v>1.24327088733275</x:v>
      </x:c>
      <x:c r="AB938" s="78" t="n">
        <x:f>(IF(J938&gt;0,K938*(1-'Inputs'!$E$46)/2/J938,0)+G938+R938)*'Inputs'!$B$17</x:f>
        <x:v>380271.6584592052</x:v>
      </x:c>
      <x:c r="AC938" s="78" t="n">
        <x:f>AC937+AB938</x:f>
        <x:v>38381995.2601895</x:v>
      </x:c>
      <x:c r="AD938" s="80" t="n">
        <x:f>Z938/(1+'Inputs'!$C$46)</x:f>
        <x:v>1.8583120028276336</x:v>
      </x:c>
      <x:c r="AE938" s="80" t="n">
        <x:f>Z938-AD938</x:f>
        <x:v>1.8583120028276336</x:v>
      </x:c>
      <x:c r="AF938" s="80" t="n">
        <x:f>D938*W938</x:f>
        <x:v>0.9000666883713203</x:v>
      </x:c>
      <x:c r="AG938" s="80" t="n">
        <x:f>C938*W938</x:f>
        <x:v>2.1001556061997797</x:v>
      </x:c>
      <x:c r="AH938" s="80" t="n">
        <x:f>2*'Inputs'!$B$8*'Inputs'!$C$46</x:f>
        <x:v>5000</x:v>
      </x:c>
      <x:c r="AI938" s="81" t="n">
        <x:f>IF(AH938&gt;0,(AE938+AF938)/AH938*365,0)</x:f>
        <x:v>0.20136164445752366</x:v>
      </x:c>
      <x:c r="AJ938" s="81" t="n">
        <x:f>IF('Inputs'!$B$46&gt;0,AG938/('Inputs'!$B$19*'Inputs'!$B$46)*365,0)</x:f>
        <x:v>0.07665567962629195</x:v>
      </x:c>
      <x:c r="AK938" s="81" t="n">
        <x:f>W938/MAX($W$734:W938)-1</x:f>
        <x:v>-0.9961395558856543</x:v>
      </x:c>
      <x:c r="AL938" s="83" t="n">
        <x:f>'Inputs'!$B$46</x:f>
        <x:v>1</x:v>
      </x:c>
      <x:c r="AM938" s="83" t="n">
        <x:f>'Inputs'!$C$46</x:f>
        <x:v>1</x:v>
      </x:c>
      <x:c r="AN938" s="83" t="n">
        <x:f>'Inputs'!$D$46</x:f>
        <x:v>1</x:v>
      </x:c>
      <x:c r="AO938" s="81" t="n">
        <x:f>'Inputs'!$E$46</x:f>
        <x:v>0</x:v>
      </x:c>
    </x:row>
    <x:row r="939">
      <x:c r="A939" s="59" t="str">
        <x:v>Base</x:v>
      </x:c>
      <x:c r="B939" s="59" t="n">
        <x:v>206</x:v>
      </x:c>
      <x:c r="C939" s="78" t="n">
        <x:f>(('Inputs'!$B$29*(3*206*'Inputs'!$B$12-206^2)/(2*'Inputs'!$B$12^2))-('Inputs'!$B$29*(3*205*'Inputs'!$B$12-205^2)/(2*'Inputs'!$B$12^2)))*'Inputs'!$B$46</x:f>
        <x:v>645176.6278851628</x:v>
      </x:c>
      <x:c r="D939" s="78" t="n">
        <x:f>IF('Inputs'!$C$46&gt;0,('Inputs'!$B$30*(3*206*'Inputs'!$B$12-206^2)/(2*'Inputs'!$B$12^2))-('Inputs'!$B$30*(3*205*'Inputs'!$B$12-205^2)/(2*'Inputs'!$B$12^2)),0)</x:f>
        <x:v>276504.26909364015</x:v>
      </x:c>
      <x:c r="E939" s="78" t="n">
        <x:f>C939+D939</x:f>
        <x:v>921680.896978803</x:v>
      </x:c>
      <x:c r="F939" s="78" t="n">
        <x:f>'Inputs'!$B$13*E939+(1-'Inputs'!$B$13)/'Inputs'!$B$14*SUM(E884:E939)</x:f>
        <x:v>931898.5738412478</x:v>
      </x:c>
      <x:c r="G939" s="78" t="n">
        <x:f>F939*'Inputs'!$F$46</x:f>
        <x:v>465949.2869206239</x:v>
      </x:c>
      <x:c r="H939" s="78" t="n">
        <x:f>U938</x:f>
        <x:v>94495631.14519356</x:v>
      </x:c>
      <x:c r="I939" s="78" t="n">
        <x:f>V938</x:f>
        <x:v>307.44383556074916</x:v>
      </x:c>
      <x:c r="J939" s="79" t="n">
        <x:f>IF(H939&gt;0,I939/H939,0)</x:f>
        <x:v>0.00000325352433583261</x:v>
      </x:c>
      <x:c r="K939" s="80" t="n">
        <x:f>(H939*J939+I939)*'Inputs'!$D$46*(1+'Inputs'!$G$46)^(B939/30)</x:f>
        <x:v>614.8876711214983</x:v>
      </x:c>
      <x:c r="L939" s="80" t="n">
        <x:f>MAX(0,K939*'Inputs'!$E$46)</x:f>
        <x:v>0</x:v>
      </x:c>
      <x:c r="M939" s="80" t="n">
        <x:f>MAX(0,-K939*'Inputs'!$E$46)</x:f>
        <x:v>0</x:v>
      </x:c>
      <x:c r="N939" s="78" t="n">
        <x:f>H939*(L939*(1-'Inputs'!$B$15))/(I939+L939*(1-'Inputs'!$B$15))</x:f>
        <x:v>0</x:v>
      </x:c>
      <x:c r="O939" s="78" t="n">
        <x:f>H939-N939</x:f>
        <x:v>94495631.14519356</x:v>
      </x:c>
      <x:c r="P939" s="78" t="n">
        <x:f>I939+L939*(1-'Inputs'!$B$17)</x:f>
        <x:v>307.44383556074916</x:v>
      </x:c>
      <x:c r="Q939" s="78" t="n">
        <x:f>IF(J939&gt;0,M939/J939,0)</x:f>
        <x:v>0</x:v>
      </x:c>
      <x:c r="R939" s="78" t="n">
        <x:f>IF(B939='Inputs'!$H$46,'Inputs'!$B$27*'Inputs'!$I$46,0)</x:f>
        <x:v>0</x:v>
      </x:c>
      <x:c r="S939" s="78" t="n">
        <x:f>Q939+G939+R939</x:f>
        <x:v>465949.2869206239</x:v>
      </x:c>
      <x:c r="T939" s="78" t="n">
        <x:f>P939*(S939*(1-'Inputs'!$B$15))/(O939+S939*(1-'Inputs'!$B$15))</x:f>
        <x:v>1.4935267717761735</x:v>
      </x:c>
      <x:c r="U939" s="78" t="n">
        <x:f>O939+S939*(1-'Inputs'!$B$17)</x:f>
        <x:v>94959705.38468191</x:v>
      </x:c>
      <x:c r="V939" s="78" t="n">
        <x:f>P939-T939</x:f>
        <x:v>305.950308788973</x:v>
      </x:c>
      <x:c r="W939" s="79" t="n">
        <x:f>IF(U939&gt;0,V939/U939,0)</x:f>
        <x:v>0.000003221896145839626</x:v>
      </x:c>
      <x:c r="X939" s="80" t="n">
        <x:f>W939*('Inputs'!$B$6-AC939)</x:f>
        <x:v>3097.002130565142</x:v>
      </x:c>
      <x:c r="Y939" s="80" t="n">
        <x:f>2*V939</x:f>
        <x:v>611.900617577946</x:v>
      </x:c>
      <x:c r="Z939" s="80" t="n">
        <x:f>K939*'Inputs'!$B$16+(G939+R939)*J939*'Inputs'!$B$16</x:f>
        <x:v>3.6984218907945507</x:v>
      </x:c>
      <x:c r="AA939" s="80" t="n">
        <x:f>K939*(1+'Inputs'!$E$46)/2*'Inputs'!$B$17</x:f>
        <x:v>1.2371985334436588</x:v>
      </x:c>
      <x:c r="AB939" s="78" t="n">
        <x:f>(IF(J939&gt;0,K939*(1-'Inputs'!$E$46)/2/J939,0)+G939+R939)*'Inputs'!$B$17</x:f>
        <x:v>382139.15666846756</x:v>
      </x:c>
      <x:c r="AC939" s="78" t="n">
        <x:f>AC938+AB939</x:f>
        <x:v>38764134.41685797</x:v>
      </x:c>
      <x:c r="AD939" s="80" t="n">
        <x:f>Z939/(1+'Inputs'!$C$46)</x:f>
        <x:v>1.8492109453972754</x:v>
      </x:c>
      <x:c r="AE939" s="80" t="n">
        <x:f>Z939-AD939</x:f>
        <x:v>1.8492109453972754</x:v>
      </x:c>
      <x:c r="AF939" s="80" t="n">
        <x:f>D939*W939</x:f>
        <x:v>0.890868038901002</x:v>
      </x:c>
      <x:c r="AG939" s="80" t="n">
        <x:f>C939*W939</x:f>
        <x:v>2.0786920907690125</x:v>
      </x:c>
      <x:c r="AH939" s="80" t="n">
        <x:f>2*'Inputs'!$B$8*'Inputs'!$C$46</x:f>
        <x:v>5000</x:v>
      </x:c>
      <x:c r="AI939" s="81" t="n">
        <x:f>IF(AH939&gt;0,(AE939+AF939)/AH939*365,0)</x:f>
        <x:v>0.2000257658537742</x:v>
      </x:c>
      <x:c r="AJ939" s="81" t="n">
        <x:f>IF('Inputs'!$B$46&gt;0,AG939/('Inputs'!$B$19*'Inputs'!$B$46)*365,0)</x:f>
        <x:v>0.07587226131306896</x:v>
      </x:c>
      <x:c r="AK939" s="81" t="n">
        <x:f>W939/MAX($W$734:W939)-1</x:f>
        <x:v>-0.9961770840696489</x:v>
      </x:c>
      <x:c r="AL939" s="83" t="n">
        <x:f>'Inputs'!$B$46</x:f>
        <x:v>1</x:v>
      </x:c>
      <x:c r="AM939" s="83" t="n">
        <x:f>'Inputs'!$C$46</x:f>
        <x:v>1</x:v>
      </x:c>
      <x:c r="AN939" s="83" t="n">
        <x:f>'Inputs'!$D$46</x:f>
        <x:v>1</x:v>
      </x:c>
      <x:c r="AO939" s="81" t="n">
        <x:f>'Inputs'!$E$46</x:f>
        <x:v>0</x:v>
      </x:c>
    </x:row>
    <x:row r="940">
      <x:c r="A940" s="59" t="str">
        <x:v>Base</x:v>
      </x:c>
      <x:c r="B940" s="59" t="n">
        <x:v>207</x:v>
      </x:c>
      <x:c r="C940" s="78" t="n">
        <x:f>(('Inputs'!$B$29*(3*207*'Inputs'!$B$12-207^2)/(2*'Inputs'!$B$12^2))-('Inputs'!$B$29*(3*206*'Inputs'!$B$12-206^2)/(2*'Inputs'!$B$12^2)))*'Inputs'!$B$46</x:f>
        <x:v>644851.5199849904</x:v>
      </x:c>
      <x:c r="D940" s="78" t="n">
        <x:f>IF('Inputs'!$C$46&gt;0,('Inputs'!$B$30*(3*207*'Inputs'!$B$12-207^2)/(2*'Inputs'!$B$12^2))-('Inputs'!$B$30*(3*206*'Inputs'!$B$12-206^2)/(2*'Inputs'!$B$12^2)),0)</x:f>
        <x:v>276364.93713642657</x:v>
      </x:c>
      <x:c r="E940" s="78" t="n">
        <x:f>C940+D940</x:f>
        <x:v>921216.4571214169</x:v>
      </x:c>
      <x:c r="F940" s="78" t="n">
        <x:f>'Inputs'!$B$13*E940+(1-'Inputs'!$B$13)/'Inputs'!$B$14*SUM(E885:E940)</x:f>
        <x:v>931434.1339838634</x:v>
      </x:c>
      <x:c r="G940" s="78" t="n">
        <x:f>F940*'Inputs'!$F$46</x:f>
        <x:v>465717.0669919317</x:v>
      </x:c>
      <x:c r="H940" s="78" t="n">
        <x:f>U939</x:f>
        <x:v>94959705.38468191</x:v>
      </x:c>
      <x:c r="I940" s="78" t="n">
        <x:f>V939</x:f>
        <x:v>305.950308788973</x:v>
      </x:c>
      <x:c r="J940" s="79" t="n">
        <x:f>IF(H940&gt;0,I940/H940,0)</x:f>
        <x:v>0.000003221896145839626</x:v>
      </x:c>
      <x:c r="K940" s="80" t="n">
        <x:f>(H940*J940+I940)*'Inputs'!$D$46*(1+'Inputs'!$G$46)^(B940/30)</x:f>
        <x:v>611.900617577946</x:v>
      </x:c>
      <x:c r="L940" s="80" t="n">
        <x:f>MAX(0,K940*'Inputs'!$E$46)</x:f>
        <x:v>0</x:v>
      </x:c>
      <x:c r="M940" s="80" t="n">
        <x:f>MAX(0,-K940*'Inputs'!$E$46)</x:f>
        <x:v>0</x:v>
      </x:c>
      <x:c r="N940" s="78" t="n">
        <x:f>H940*(L940*(1-'Inputs'!$B$15))/(I940+L940*(1-'Inputs'!$B$15))</x:f>
        <x:v>0</x:v>
      </x:c>
      <x:c r="O940" s="78" t="n">
        <x:f>H940-N940</x:f>
        <x:v>94959705.38468191</x:v>
      </x:c>
      <x:c r="P940" s="78" t="n">
        <x:f>I940+L940*(1-'Inputs'!$B$17)</x:f>
        <x:v>305.950308788973</x:v>
      </x:c>
      <x:c r="Q940" s="78" t="n">
        <x:f>IF(J940&gt;0,M940/J940,0)</x:f>
        <x:v>0</x:v>
      </x:c>
      <x:c r="R940" s="78" t="n">
        <x:f>IF(B940='Inputs'!$H$46,'Inputs'!$B$27*'Inputs'!$I$46,0)</x:f>
        <x:v>0</x:v>
      </x:c>
      <x:c r="S940" s="78" t="n">
        <x:f>Q940+G940+R940</x:f>
        <x:v>465717.0669919317</x:v>
      </x:c>
      <x:c r="T940" s="78" t="n">
        <x:f>P940*(S940*(1-'Inputs'!$B$15))/(O940+S940*(1-'Inputs'!$B$15))</x:f>
        <x:v>1.478309435420276</x:v>
      </x:c>
      <x:c r="U940" s="78" t="n">
        <x:f>O940+S940*(1-'Inputs'!$B$17)</x:f>
        <x:v>95423548.3387282</x:v>
      </x:c>
      <x:c r="V940" s="78" t="n">
        <x:f>P940-T940</x:f>
        <x:v>304.47199935355275</x:v>
      </x:c>
      <x:c r="W940" s="79" t="n">
        <x:f>IF(U940&gt;0,V940/U940,0)</x:f>
        <x:v>0.00000319074279519305</x:v>
      </x:c>
      <x:c r="X940" s="80" t="n">
        <x:f>W940*('Inputs'!$B$6-AC940)</x:f>
        <x:v>3065.831149092916</x:v>
      </x:c>
      <x:c r="Y940" s="80" t="n">
        <x:f>2*V940</x:f>
        <x:v>608.9439987071055</x:v>
      </x:c>
      <x:c r="Z940" s="80" t="n">
        <x:f>K940*'Inputs'!$B$16+(G940+R940)*J940*'Inputs'!$B$16</x:f>
        <x:v>3.680406657606835</x:v>
      </x:c>
      <x:c r="AA940" s="80" t="n">
        <x:f>K940*(1+'Inputs'!$E$46)/2*'Inputs'!$B$17</x:f>
        <x:v>1.23118836534798</x:v>
      </x:c>
      <x:c r="AB940" s="78" t="n">
        <x:f>(IF(J940&gt;0,K940*(1-'Inputs'!$E$46)/2/J940,0)+G940+R940)*'Inputs'!$B$17</x:f>
        <x:v>384005.724151605</x:v>
      </x:c>
      <x:c r="AC940" s="78" t="n">
        <x:f>AC939+AB940</x:f>
        <x:v>39148140.14100958</x:v>
      </x:c>
      <x:c r="AD940" s="80" t="n">
        <x:f>Z940/(1+'Inputs'!$C$46)</x:f>
        <x:v>1.8402033288034174</x:v>
      </x:c>
      <x:c r="AE940" s="80" t="n">
        <x:f>Z940-AD940</x:f>
        <x:v>1.8402033288034174</x:v>
      </x:c>
      <x:c r="AF940" s="80" t="n">
        <x:f>D940*W940</x:f>
        <x:v>0.8818094320120332</x:v>
      </x:c>
      <x:c r="AG940" s="80" t="n">
        <x:f>C940*W940</x:f>
        <x:v>2.057555341361395</x:v>
      </x:c>
      <x:c r="AH940" s="80" t="n">
        <x:f>2*'Inputs'!$B$8*'Inputs'!$C$46</x:f>
        <x:v>5000</x:v>
      </x:c>
      <x:c r="AI940" s="81" t="n">
        <x:f>IF(AH940&gt;0,(AE940+AF940)/AH940*365,0)</x:f>
        <x:v>0.1987069315395279</x:v>
      </x:c>
      <x:c r="AJ940" s="81" t="n">
        <x:f>IF('Inputs'!$B$46&gt;0,AG940/('Inputs'!$B$19*'Inputs'!$B$46)*365,0)</x:f>
        <x:v>0.07510076995969091</x:v>
      </x:c>
      <x:c r="AK940" s="81" t="n">
        <x:f>W940/MAX($W$734:W940)-1</x:f>
        <x:v>-0.9962140488366927</x:v>
      </x:c>
      <x:c r="AL940" s="83" t="n">
        <x:f>'Inputs'!$B$46</x:f>
        <x:v>1</x:v>
      </x:c>
      <x:c r="AM940" s="83" t="n">
        <x:f>'Inputs'!$C$46</x:f>
        <x:v>1</x:v>
      </x:c>
      <x:c r="AN940" s="83" t="n">
        <x:f>'Inputs'!$D$46</x:f>
        <x:v>1</x:v>
      </x:c>
      <x:c r="AO940" s="81" t="n">
        <x:f>'Inputs'!$E$46</x:f>
        <x:v>0</x:v>
      </x:c>
    </x:row>
    <x:row r="941">
      <x:c r="A941" s="59" t="str">
        <x:v>Base</x:v>
      </x:c>
      <x:c r="B941" s="59" t="n">
        <x:v>208</x:v>
      </x:c>
      <x:c r="C941" s="78" t="n">
        <x:f>(('Inputs'!$B$29*(3*208*'Inputs'!$B$12-208^2)/(2*'Inputs'!$B$12^2))-('Inputs'!$B$29*(3*207*'Inputs'!$B$12-207^2)/(2*'Inputs'!$B$12^2)))*'Inputs'!$B$46</x:f>
        <x:v>644526.4120848179</x:v>
      </x:c>
      <x:c r="D941" s="78" t="n">
        <x:f>IF('Inputs'!$C$46&gt;0,('Inputs'!$B$30*(3*208*'Inputs'!$B$12-208^2)/(2*'Inputs'!$B$12^2))-('Inputs'!$B$30*(3*207*'Inputs'!$B$12-207^2)/(2*'Inputs'!$B$12^2)),0)</x:f>
        <x:v>276225.60517920554</x:v>
      </x:c>
      <x:c r="E941" s="78" t="n">
        <x:f>C941+D941</x:f>
        <x:v>920752.0172640234</x:v>
      </x:c>
      <x:c r="F941" s="78" t="n">
        <x:f>'Inputs'!$B$13*E941+(1-'Inputs'!$B$13)/'Inputs'!$B$14*SUM(E886:E941)</x:f>
        <x:v>930969.6941264772</x:v>
      </x:c>
      <x:c r="G941" s="78" t="n">
        <x:f>F941*'Inputs'!$F$46</x:f>
        <x:v>465484.8470632386</x:v>
      </x:c>
      <x:c r="H941" s="78" t="n">
        <x:f>U940</x:f>
        <x:v>95423548.3387282</x:v>
      </x:c>
      <x:c r="I941" s="78" t="n">
        <x:f>V940</x:f>
        <x:v>304.47199935355275</x:v>
      </x:c>
      <x:c r="J941" s="79" t="n">
        <x:f>IF(H941&gt;0,I941/H941,0)</x:f>
        <x:v>0.00000319074279519305</x:v>
      </x:c>
      <x:c r="K941" s="80" t="n">
        <x:f>(H941*J941+I941)*'Inputs'!$D$46*(1+'Inputs'!$G$46)^(B941/30)</x:f>
        <x:v>608.9439987071055</x:v>
      </x:c>
      <x:c r="L941" s="80" t="n">
        <x:f>MAX(0,K941*'Inputs'!$E$46)</x:f>
        <x:v>0</x:v>
      </x:c>
      <x:c r="M941" s="80" t="n">
        <x:f>MAX(0,-K941*'Inputs'!$E$46)</x:f>
        <x:v>0</x:v>
      </x:c>
      <x:c r="N941" s="78" t="n">
        <x:f>H941*(L941*(1-'Inputs'!$B$15))/(I941+L941*(1-'Inputs'!$B$15))</x:f>
        <x:v>0</x:v>
      </x:c>
      <x:c r="O941" s="78" t="n">
        <x:f>H941-N941</x:f>
        <x:v>95423548.3387282</x:v>
      </x:c>
      <x:c r="P941" s="78" t="n">
        <x:f>I941+L941*(1-'Inputs'!$B$17)</x:f>
        <x:v>304.47199935355275</x:v>
      </x:c>
      <x:c r="Q941" s="78" t="n">
        <x:f>IF(J941&gt;0,M941/J941,0)</x:f>
        <x:v>0</x:v>
      </x:c>
      <x:c r="R941" s="78" t="n">
        <x:f>IF(B941='Inputs'!$H$46,'Inputs'!$B$27*'Inputs'!$I$46,0)</x:f>
        <x:v>0</x:v>
      </x:c>
      <x:c r="S941" s="78" t="n">
        <x:f>Q941+G941+R941</x:f>
        <x:v>465484.8470632386</x:v>
      </x:c>
      <x:c r="T941" s="78" t="n">
        <x:f>P941*(S941*(1-'Inputs'!$B$15))/(O941+S941*(1-'Inputs'!$B$15))</x:f>
        <x:v>1.463323155102246</x:v>
      </x:c>
      <x:c r="U941" s="78" t="n">
        <x:f>O941+S941*(1-'Inputs'!$B$17)</x:f>
        <x:v>95887160.00733243</x:v>
      </x:c>
      <x:c r="V941" s="78" t="n">
        <x:f>P941-T941</x:f>
        <x:v>303.0086761984505</x:v>
      </x:c>
      <x:c r="W941" s="79" t="n">
        <x:f>IF(U941&gt;0,V941/U941,0)</x:f>
        <x:v>0.0000031600547578557922</x:v>
      </x:c>
      <x:c r="X941" s="80" t="n">
        <x:f>W941*('Inputs'!$B$6-AC941)</x:f>
        <x:v>3035.12511671203</x:v>
      </x:c>
      <x:c r="Y941" s="80" t="n">
        <x:f>2*V941</x:f>
        <x:v>606.017352396901</x:v>
      </x:c>
      <x:c r="Z941" s="80" t="n">
        <x:f>K941*'Inputs'!$B$16+(G941+R941)*J941*'Inputs'!$B$16</x:f>
        <x:v>3.662575446774864</x:v>
      </x:c>
      <x:c r="AA941" s="80" t="n">
        <x:f>K941*(1+'Inputs'!$E$46)/2*'Inputs'!$B$17</x:f>
        <x:v>1.225239434018321</x:v>
      </x:c>
      <x:c r="AB941" s="78" t="n">
        <x:f>(IF(J941&gt;0,K941*(1-'Inputs'!$E$46)/2/J941,0)+G941+R941)*'Inputs'!$B$17</x:f>
        <x:v>385871.36090861756</x:v>
      </x:c>
      <x:c r="AC941" s="78" t="n">
        <x:f>AC940+AB941</x:f>
        <x:v>39534011.5019182</x:v>
      </x:c>
      <x:c r="AD941" s="80" t="n">
        <x:f>Z941/(1+'Inputs'!$C$46)</x:f>
        <x:v>1.831287723387432</x:v>
      </x:c>
      <x:c r="AE941" s="80" t="n">
        <x:f>Z941-AD941</x:f>
        <x:v>1.831287723387432</x:v>
      </x:c>
      <x:c r="AF941" s="80" t="n">
        <x:f>D941*W941</x:f>
        <x:v>0.8728880378881441</x:v>
      </x:c>
      <x:c r="AG941" s="80" t="n">
        <x:f>C941*W941</x:f>
        <x:v>2.036738755072352</x:v>
      </x:c>
      <x:c r="AH941" s="80" t="n">
        <x:f>2*'Inputs'!$B$8*'Inputs'!$C$46</x:f>
        <x:v>5000</x:v>
      </x:c>
      <x:c r="AI941" s="81" t="n">
        <x:f>IF(AH941&gt;0,(AE941+AF941)/AH941*365,0)</x:f>
        <x:v>0.19740483057311706</x:v>
      </x:c>
      <x:c r="AJ941" s="81" t="n">
        <x:f>IF('Inputs'!$B$46&gt;0,AG941/('Inputs'!$B$19*'Inputs'!$B$46)*365,0)</x:f>
        <x:v>0.07434096456014085</x:v>
      </x:c>
      <x:c r="AK941" s="81" t="n">
        <x:f>W941/MAX($W$734:W941)-1</x:f>
        <x:v>-0.9962504614898317</x:v>
      </x:c>
      <x:c r="AL941" s="83" t="n">
        <x:f>'Inputs'!$B$46</x:f>
        <x:v>1</x:v>
      </x:c>
      <x:c r="AM941" s="83" t="n">
        <x:f>'Inputs'!$C$46</x:f>
        <x:v>1</x:v>
      </x:c>
      <x:c r="AN941" s="83" t="n">
        <x:f>'Inputs'!$D$46</x:f>
        <x:v>1</x:v>
      </x:c>
      <x:c r="AO941" s="81" t="n">
        <x:f>'Inputs'!$E$46</x:f>
        <x:v>0</x:v>
      </x:c>
    </x:row>
    <x:row r="942">
      <x:c r="A942" s="59" t="str">
        <x:v>Base</x:v>
      </x:c>
      <x:c r="B942" s="59" t="n">
        <x:v>209</x:v>
      </x:c>
      <x:c r="C942" s="78" t="n">
        <x:f>(('Inputs'!$B$29*(3*209*'Inputs'!$B$12-209^2)/(2*'Inputs'!$B$12^2))-('Inputs'!$B$29*(3*208*'Inputs'!$B$12-208^2)/(2*'Inputs'!$B$12^2)))*'Inputs'!$B$46</x:f>
        <x:v>644201.3041846454</x:v>
      </x:c>
      <x:c r="D942" s="78" t="n">
        <x:f>IF('Inputs'!$C$46&gt;0,('Inputs'!$B$30*(3*209*'Inputs'!$B$12-209^2)/(2*'Inputs'!$B$12^2))-('Inputs'!$B$30*(3*208*'Inputs'!$B$12-208^2)/(2*'Inputs'!$B$12^2)),0)</x:f>
        <x:v>276086.27322199196</x:v>
      </x:c>
      <x:c r="E942" s="78" t="n">
        <x:f>C942+D942</x:f>
        <x:v>920287.5774066374</x:v>
      </x:c>
      <x:c r="F942" s="78" t="n">
        <x:f>'Inputs'!$B$13*E942+(1-'Inputs'!$B$13)/'Inputs'!$B$14*SUM(E887:E942)</x:f>
        <x:v>930505.2542690926</x:v>
      </x:c>
      <x:c r="G942" s="78" t="n">
        <x:f>F942*'Inputs'!$F$46</x:f>
        <x:v>465252.6271345463</x:v>
      </x:c>
      <x:c r="H942" s="78" t="n">
        <x:f>U941</x:f>
        <x:v>95887160.00733243</x:v>
      </x:c>
      <x:c r="I942" s="78" t="n">
        <x:f>V941</x:f>
        <x:v>303.0086761984505</x:v>
      </x:c>
      <x:c r="J942" s="79" t="n">
        <x:f>IF(H942&gt;0,I942/H942,0)</x:f>
        <x:v>0.0000031600547578557922</x:v>
      </x:c>
      <x:c r="K942" s="80" t="n">
        <x:f>(H942*J942+I942)*'Inputs'!$D$46*(1+'Inputs'!$G$46)^(B942/30)</x:f>
        <x:v>606.017352396901</x:v>
      </x:c>
      <x:c r="L942" s="80" t="n">
        <x:f>MAX(0,K942*'Inputs'!$E$46)</x:f>
        <x:v>0</x:v>
      </x:c>
      <x:c r="M942" s="80" t="n">
        <x:f>MAX(0,-K942*'Inputs'!$E$46)</x:f>
        <x:v>0</x:v>
      </x:c>
      <x:c r="N942" s="78" t="n">
        <x:f>H942*(L942*(1-'Inputs'!$B$15))/(I942+L942*(1-'Inputs'!$B$15))</x:f>
        <x:v>0</x:v>
      </x:c>
      <x:c r="O942" s="78" t="n">
        <x:f>H942-N942</x:f>
        <x:v>95887160.00733243</x:v>
      </x:c>
      <x:c r="P942" s="78" t="n">
        <x:f>I942+L942*(1-'Inputs'!$B$17)</x:f>
        <x:v>303.0086761984505</x:v>
      </x:c>
      <x:c r="Q942" s="78" t="n">
        <x:f>IF(J942&gt;0,M942/J942,0)</x:f>
        <x:v>0</x:v>
      </x:c>
      <x:c r="R942" s="78" t="n">
        <x:f>IF(B942='Inputs'!$H$46,'Inputs'!$B$27*'Inputs'!$I$46,0)</x:f>
        <x:v>0</x:v>
      </x:c>
      <x:c r="S942" s="78" t="n">
        <x:f>Q942+G942+R942</x:f>
        <x:v>465252.6271345463</x:v>
      </x:c>
      <x:c r="T942" s="78" t="n">
        <x:f>P942*(S942*(1-'Inputs'!$B$15))/(O942+S942*(1-'Inputs'!$B$15))</x:f>
        <x:v>1.448563273943297</x:v>
      </x:c>
      <x:c r="U942" s="78" t="n">
        <x:f>O942+S942*(1-'Inputs'!$B$17)</x:f>
        <x:v>96350540.3904946</x:v>
      </x:c>
      <x:c r="V942" s="78" t="n">
        <x:f>P942-T942</x:f>
        <x:v>301.56011292450717</x:v>
      </x:c>
      <x:c r="W942" s="79" t="n">
        <x:f>IF(U942&gt;0,V942/U942,0)</x:f>
        <x:v>0.000003129822746217388</x:v>
      </x:c>
      <x:c r="X942" s="80" t="n">
        <x:f>W942*('Inputs'!$B$6-AC942)</x:f>
        <x:v>3004.8747526076286</x:v>
      </x:c>
      <x:c r="Y942" s="80" t="n">
        <x:f>2*V942</x:f>
        <x:v>603.1202258490143</x:v>
      </x:c>
      <x:c r="Z942" s="80" t="n">
        <x:f>K942*'Inputs'!$B$16+(G942+R942)*J942*'Inputs'!$B$16</x:f>
        <x:v>3.644925457049294</x:v>
      </x:c>
      <x:c r="AA942" s="80" t="n">
        <x:f>K942*(1+'Inputs'!$E$46)/2*'Inputs'!$B$17</x:f>
        <x:v>1.2193508096517123</x:v>
      </x:c>
      <x:c r="AB942" s="78" t="n">
        <x:f>(IF(J942&gt;0,K942*(1-'Inputs'!$E$46)/2/J942,0)+G942+R942)*'Inputs'!$B$17</x:f>
        <x:v>387736.066939505</x:v>
      </x:c>
      <x:c r="AC942" s="78" t="n">
        <x:f>AC941+AB942</x:f>
        <x:v>39921747.5688577</x:v>
      </x:c>
      <x:c r="AD942" s="80" t="n">
        <x:f>Z942/(1+'Inputs'!$C$46)</x:f>
        <x:v>1.822462728524647</x:v>
      </x:c>
      <x:c r="AE942" s="80" t="n">
        <x:f>Z942-AD942</x:f>
        <x:v>1.822462728524647</x:v>
      </x:c>
      <x:c r="AF942" s="80" t="n">
        <x:f>D942*W942</x:f>
        <x:v>0.8641010978485789</x:v>
      </x:c>
      <x:c r="AG942" s="80" t="n">
        <x:f>C942*W942</x:f>
        <x:v>2.0162358949800097</x:v>
      </x:c>
      <x:c r="AH942" s="80" t="n">
        <x:f>2*'Inputs'!$B$8*'Inputs'!$C$46</x:f>
        <x:v>5000</x:v>
      </x:c>
      <x:c r="AI942" s="81" t="n">
        <x:f>IF(AH942&gt;0,(AE942+AF942)/AH942*365,0)</x:f>
        <x:v>0.19611915932524548</x:v>
      </x:c>
      <x:c r="AJ942" s="81" t="n">
        <x:f>IF('Inputs'!$B$46&gt;0,AG942/('Inputs'!$B$19*'Inputs'!$B$46)*365,0)</x:f>
        <x:v>0.07359261016677035</x:v>
      </x:c>
      <x:c r="AK942" s="81" t="n">
        <x:f>W942/MAX($W$734:W942)-1</x:f>
        <x:v>-0.9962863330492077</x:v>
      </x:c>
      <x:c r="AL942" s="83" t="n">
        <x:f>'Inputs'!$B$46</x:f>
        <x:v>1</x:v>
      </x:c>
      <x:c r="AM942" s="83" t="n">
        <x:f>'Inputs'!$C$46</x:f>
        <x:v>1</x:v>
      </x:c>
      <x:c r="AN942" s="83" t="n">
        <x:f>'Inputs'!$D$46</x:f>
        <x:v>1</x:v>
      </x:c>
      <x:c r="AO942" s="81" t="n">
        <x:f>'Inputs'!$E$46</x:f>
        <x:v>0</x:v>
      </x:c>
    </x:row>
    <x:row r="943">
      <x:c r="A943" s="59" t="str">
        <x:v>Base</x:v>
      </x:c>
      <x:c r="B943" s="59" t="n">
        <x:v>210</x:v>
      </x:c>
      <x:c r="C943" s="78" t="n">
        <x:f>(('Inputs'!$B$29*(3*210*'Inputs'!$B$12-210^2)/(2*'Inputs'!$B$12^2))-('Inputs'!$B$29*(3*209*'Inputs'!$B$12-209^2)/(2*'Inputs'!$B$12^2)))*'Inputs'!$B$46</x:f>
        <x:v>643876.196284473</x:v>
      </x:c>
      <x:c r="D943" s="78" t="n">
        <x:f>IF('Inputs'!$C$46&gt;0,('Inputs'!$B$30*(3*210*'Inputs'!$B$12-210^2)/(2*'Inputs'!$B$12^2))-('Inputs'!$B$30*(3*209*'Inputs'!$B$12-209^2)/(2*'Inputs'!$B$12^2)),0)</x:f>
        <x:v>275946.9412647784</x:v>
      </x:c>
      <x:c r="E943" s="78" t="n">
        <x:f>C943+D943</x:f>
        <x:v>919823.1375492513</x:v>
      </x:c>
      <x:c r="F943" s="78" t="n">
        <x:f>'Inputs'!$B$13*E943+(1-'Inputs'!$B$13)/'Inputs'!$B$14*SUM(E888:E943)</x:f>
        <x:v>930040.814411708</x:v>
      </x:c>
      <x:c r="G943" s="78" t="n">
        <x:f>F943*'Inputs'!$F$46</x:f>
        <x:v>465020.407205854</x:v>
      </x:c>
      <x:c r="H943" s="78" t="n">
        <x:f>U942</x:f>
        <x:v>96350540.3904946</x:v>
      </x:c>
      <x:c r="I943" s="78" t="n">
        <x:f>V942</x:f>
        <x:v>301.56011292450717</x:v>
      </x:c>
      <x:c r="J943" s="79" t="n">
        <x:f>IF(H943&gt;0,I943/H943,0)</x:f>
        <x:v>0.000003129822746217388</x:v>
      </x:c>
      <x:c r="K943" s="80" t="n">
        <x:f>(H943*J943+I943)*'Inputs'!$D$46*(1+'Inputs'!$G$46)^(B943/30)</x:f>
        <x:v>603.1202258490143</x:v>
      </x:c>
      <x:c r="L943" s="80" t="n">
        <x:f>MAX(0,K943*'Inputs'!$E$46)</x:f>
        <x:v>0</x:v>
      </x:c>
      <x:c r="M943" s="80" t="n">
        <x:f>MAX(0,-K943*'Inputs'!$E$46)</x:f>
        <x:v>0</x:v>
      </x:c>
      <x:c r="N943" s="78" t="n">
        <x:f>H943*(L943*(1-'Inputs'!$B$15))/(I943+L943*(1-'Inputs'!$B$15))</x:f>
        <x:v>0</x:v>
      </x:c>
      <x:c r="O943" s="78" t="n">
        <x:f>H943-N943</x:f>
        <x:v>96350540.3904946</x:v>
      </x:c>
      <x:c r="P943" s="78" t="n">
        <x:f>I943+L943*(1-'Inputs'!$B$17)</x:f>
        <x:v>301.56011292450717</x:v>
      </x:c>
      <x:c r="Q943" s="78" t="n">
        <x:f>IF(J943&gt;0,M943/J943,0)</x:f>
        <x:v>0</x:v>
      </x:c>
      <x:c r="R943" s="78" t="n">
        <x:f>IF(B943='Inputs'!$H$46,'Inputs'!$B$27*'Inputs'!$I$46,0)</x:f>
        <x:v>0</x:v>
      </x:c>
      <x:c r="S943" s="78" t="n">
        <x:f>Q943+G943+R943</x:f>
        <x:v>465020.407205854</x:v>
      </x:c>
      <x:c r="T943" s="78" t="n">
        <x:f>P943*(S943*(1-'Inputs'!$B$15))/(O943+S943*(1-'Inputs'!$B$15))</x:f>
        <x:v>1.434025251831922</x:v>
      </x:c>
      <x:c r="U943" s="78" t="n">
        <x:f>O943+S943*(1-'Inputs'!$B$17)</x:f>
        <x:v>96813689.48821472</x:v>
      </x:c>
      <x:c r="V943" s="78" t="n">
        <x:f>P943-T943</x:f>
        <x:v>300.1260876726752</x:v>
      </x:c>
      <x:c r="W943" s="79" t="n">
        <x:f>IF(U943&gt;0,V943/U943,0)</x:f>
        <x:v>0.0000031000377039572493</x:v>
      </x:c>
      <x:c r="X943" s="80" t="n">
        <x:f>W943*('Inputs'!$B$6-AC943)</x:f>
        <x:v>2975.071007085514</x:v>
      </x:c>
      <x:c r="Y943" s="80" t="n">
        <x:f>2*V943</x:f>
        <x:v>600.2521753453505</x:v>
      </x:c>
      <x:c r="Z943" s="80" t="n">
        <x:f>K943*'Inputs'!$B$16+(G943+R943)*J943*'Inputs'!$B$16</x:f>
        <x:v>3.627453943781655</x:v>
      </x:c>
      <x:c r="AA943" s="80" t="n">
        <x:f>K943*(1+'Inputs'!$E$46)/2*'Inputs'!$B$17</x:f>
        <x:v>1.2135215811851396</x:v>
      </x:c>
      <x:c r="AB943" s="78" t="n">
        <x:f>(IF(J943&gt;0,K943*(1-'Inputs'!$E$46)/2/J943,0)+G943+R943)*'Inputs'!$B$17</x:f>
        <x:v>389599.84224426746</x:v>
      </x:c>
      <x:c r="AC943" s="78" t="n">
        <x:f>AC942+AB943</x:f>
        <x:v>40311347.41110197</x:v>
      </x:c>
      <x:c r="AD943" s="80" t="n">
        <x:f>Z943/(1+'Inputs'!$C$46)</x:f>
        <x:v>1.8137269718908275</x:v>
      </x:c>
      <x:c r="AE943" s="80" t="n">
        <x:f>Z943-AD943</x:f>
        <x:v>1.8137269718908275</x:v>
      </x:c>
      <x:c r="AF943" s="80" t="n">
        <x:f>D943*W943</x:f>
        <x:v>0.8554459222124895</x:v>
      </x:c>
      <x:c r="AG943" s="80" t="n">
        <x:f>C943*W943</x:f>
        <x:v>1.9960404851624447</x:v>
      </x:c>
      <x:c r="AH943" s="80" t="n">
        <x:f>2*'Inputs'!$B$8*'Inputs'!$C$46</x:f>
        <x:v>5000</x:v>
      </x:c>
      <x:c r="AI943" s="81" t="n">
        <x:f>IF(AH943&gt;0,(AE943+AF943)/AH943*365,0)</x:f>
        <x:v>0.19484962126954217</x:v>
      </x:c>
      <x:c r="AJ943" s="81" t="n">
        <x:f>IF('Inputs'!$B$46&gt;0,AG943/('Inputs'!$B$19*'Inputs'!$B$46)*365,0)</x:f>
        <x:v>0.07285547770842923</x:v>
      </x:c>
      <x:c r="AK943" s="81" t="n">
        <x:f>W943/MAX($W$734:W943)-1</x:f>
        <x:v>-0.9963216742605281</x:v>
      </x:c>
      <x:c r="AL943" s="83" t="n">
        <x:f>'Inputs'!$B$46</x:f>
        <x:v>1</x:v>
      </x:c>
      <x:c r="AM943" s="83" t="n">
        <x:f>'Inputs'!$C$46</x:f>
        <x:v>1</x:v>
      </x:c>
      <x:c r="AN943" s="83" t="n">
        <x:f>'Inputs'!$D$46</x:f>
        <x:v>1</x:v>
      </x:c>
      <x:c r="AO943" s="81" t="n">
        <x:f>'Inputs'!$E$46</x:f>
        <x:v>0</x:v>
      </x:c>
    </x:row>
    <x:row r="944">
      <x:c r="A944" s="59" t="str">
        <x:v>Base</x:v>
      </x:c>
      <x:c r="B944" s="59" t="n">
        <x:v>211</x:v>
      </x:c>
      <x:c r="C944" s="78" t="n">
        <x:f>(('Inputs'!$B$29*(3*211*'Inputs'!$B$12-211^2)/(2*'Inputs'!$B$12^2))-('Inputs'!$B$29*(3*210*'Inputs'!$B$12-210^2)/(2*'Inputs'!$B$12^2)))*'Inputs'!$B$46</x:f>
        <x:v>643551.0883843303</x:v>
      </x:c>
      <x:c r="D944" s="78" t="n">
        <x:f>IF('Inputs'!$C$46&gt;0,('Inputs'!$B$30*(3*211*'Inputs'!$B$12-211^2)/(2*'Inputs'!$B$12^2))-('Inputs'!$B$30*(3*210*'Inputs'!$B$12-210^2)/(2*'Inputs'!$B$12^2)),0)</x:f>
        <x:v>275807.6093075648</x:v>
      </x:c>
      <x:c r="E944" s="78" t="n">
        <x:f>C944+D944</x:f>
        <x:v>919358.6976918951</x:v>
      </x:c>
      <x:c r="F944" s="78" t="n">
        <x:f>'Inputs'!$B$13*E944+(1-'Inputs'!$B$13)/'Inputs'!$B$14*SUM(E889:E944)</x:f>
        <x:v>929576.3745543299</x:v>
      </x:c>
      <x:c r="G944" s="78" t="n">
        <x:f>F944*'Inputs'!$F$46</x:f>
        <x:v>464788.18727716495</x:v>
      </x:c>
      <x:c r="H944" s="78" t="n">
        <x:f>U943</x:f>
        <x:v>96813689.48821472</x:v>
      </x:c>
      <x:c r="I944" s="78" t="n">
        <x:f>V943</x:f>
        <x:v>300.1260876726752</x:v>
      </x:c>
      <x:c r="J944" s="79" t="n">
        <x:f>IF(H944&gt;0,I944/H944,0)</x:f>
        <x:v>0.0000031000377039572493</x:v>
      </x:c>
      <x:c r="K944" s="80" t="n">
        <x:f>(H944*J944+I944)*'Inputs'!$D$46*(1+'Inputs'!$G$46)^(B944/30)</x:f>
        <x:v>600.2521753453505</x:v>
      </x:c>
      <x:c r="L944" s="80" t="n">
        <x:f>MAX(0,K944*'Inputs'!$E$46)</x:f>
        <x:v>0</x:v>
      </x:c>
      <x:c r="M944" s="80" t="n">
        <x:f>MAX(0,-K944*'Inputs'!$E$46)</x:f>
        <x:v>0</x:v>
      </x:c>
      <x:c r="N944" s="78" t="n">
        <x:f>H944*(L944*(1-'Inputs'!$B$15))/(I944+L944*(1-'Inputs'!$B$15))</x:f>
        <x:v>0</x:v>
      </x:c>
      <x:c r="O944" s="78" t="n">
        <x:f>H944-N944</x:f>
        <x:v>96813689.48821472</x:v>
      </x:c>
      <x:c r="P944" s="78" t="n">
        <x:f>I944+L944*(1-'Inputs'!$B$17)</x:f>
        <x:v>300.1260876726752</x:v>
      </x:c>
      <x:c r="Q944" s="78" t="n">
        <x:f>IF(J944&gt;0,M944/J944,0)</x:f>
        <x:v>0</x:v>
      </x:c>
      <x:c r="R944" s="78" t="n">
        <x:f>IF(B944='Inputs'!$H$46,'Inputs'!$B$27*'Inputs'!$I$46,0)</x:f>
        <x:v>0</x:v>
      </x:c>
      <x:c r="S944" s="78" t="n">
        <x:f>Q944+G944+R944</x:f>
        <x:v>464788.18727716495</x:v>
      </x:c>
      <x:c r="T944" s="78" t="n">
        <x:f>P944*(S944*(1-'Inputs'!$B$15))/(O944+S944*(1-'Inputs'!$B$15))</x:f>
        <x:v>1.4197046619273692</x:v>
      </x:c>
      <x:c r="U944" s="78" t="n">
        <x:f>O944+S944*(1-'Inputs'!$B$17)</x:f>
        <x:v>97276607.30049278</x:v>
      </x:c>
      <x:c r="V944" s="78" t="n">
        <x:f>P944-T944</x:f>
        <x:v>298.70638301074786</x:v>
      </x:c>
      <x:c r="W944" s="79" t="n">
        <x:f>IF(U944&gt;0,V944/U944,0)</x:f>
        <x:v>0.000003070690799156137</x:v>
      </x:c>
      <x:c r="X944" s="80" t="n">
        <x:f>W944*('Inputs'!$B$6-AC944)</x:f>
        <x:v>2945.7050546886394</x:v>
      </x:c>
      <x:c r="Y944" s="80" t="n">
        <x:f>2*V944</x:f>
        <x:v>597.4127660214957</x:v>
      </x:c>
      <x:c r="Z944" s="80" t="n">
        <x:f>K944*'Inputs'!$B$16+(G944+R944)*J944*'Inputs'!$B$16</x:f>
        <x:v>3.610158217501582</x:v>
      </x:c>
      <x:c r="AA944" s="80" t="n">
        <x:f>K944*(1+'Inputs'!$E$46)/2*'Inputs'!$B$17</x:f>
        <x:v>1.207750855825655</x:v>
      </x:c>
      <x:c r="AB944" s="78" t="n">
        <x:f>(IF(J944&gt;0,K944*(1-'Inputs'!$E$46)/2/J944,0)+G944+R944)*'Inputs'!$B$17</x:f>
        <x:v>391462.686822905</x:v>
      </x:c>
      <x:c r="AC944" s="78" t="n">
        <x:f>AC943+AB944</x:f>
        <x:v>40702810.09792487</x:v>
      </x:c>
      <x:c r="AD944" s="80" t="n">
        <x:f>Z944/(1+'Inputs'!$C$46)</x:f>
        <x:v>1.805079108750791</x:v>
      </x:c>
      <x:c r="AE944" s="80" t="n">
        <x:f>Z944-AD944</x:f>
        <x:v>1.805079108750791</x:v>
      </x:c>
      <x:c r="AF944" s="80" t="n">
        <x:f>D944*W944</x:f>
        <x:v>0.8469198882379897</x:v>
      </x:c>
      <x:c r="AG944" s="80" t="n">
        <x:f>C944*W944</x:f>
        <x:v>1.9761464058886808</x:v>
      </x:c>
      <x:c r="AH944" s="80" t="n">
        <x:f>2*'Inputs'!$B$8*'Inputs'!$C$46</x:f>
        <x:v>5000</x:v>
      </x:c>
      <x:c r="AI944" s="81" t="n">
        <x:f>IF(AH944&gt;0,(AE944+AF944)/AH944*365,0)</x:f>
        <x:v>0.193595926780181</x:v>
      </x:c>
      <x:c r="AJ944" s="81" t="n">
        <x:f>IF('Inputs'!$B$46&gt;0,AG944/('Inputs'!$B$19*'Inputs'!$B$46)*365,0)</x:f>
        <x:v>0.07212934381493685</x:v>
      </x:c>
      <x:c r="AK944" s="81" t="n">
        <x:f>W944/MAX($W$734:W944)-1</x:f>
        <x:v>-0.9963564956032381</x:v>
      </x:c>
      <x:c r="AL944" s="83" t="n">
        <x:f>'Inputs'!$B$46</x:f>
        <x:v>1</x:v>
      </x:c>
      <x:c r="AM944" s="83" t="n">
        <x:f>'Inputs'!$C$46</x:f>
        <x:v>1</x:v>
      </x:c>
      <x:c r="AN944" s="83" t="n">
        <x:f>'Inputs'!$D$46</x:f>
        <x:v>1</x:v>
      </x:c>
      <x:c r="AO944" s="81" t="n">
        <x:f>'Inputs'!$E$46</x:f>
        <x:v>0</x:v>
      </x:c>
    </x:row>
    <x:row r="945">
      <x:c r="A945" s="59" t="str">
        <x:v>Base</x:v>
      </x:c>
      <x:c r="B945" s="59" t="n">
        <x:v>212</x:v>
      </x:c>
      <x:c r="C945" s="78" t="n">
        <x:f>(('Inputs'!$B$29*(3*212*'Inputs'!$B$12-212^2)/(2*'Inputs'!$B$12^2))-('Inputs'!$B$29*(3*211*'Inputs'!$B$12-211^2)/(2*'Inputs'!$B$12^2)))*'Inputs'!$B$46</x:f>
        <x:v>643225.980484128</x:v>
      </x:c>
      <x:c r="D945" s="78" t="n">
        <x:f>IF('Inputs'!$C$46&gt;0,('Inputs'!$B$30*(3*212*'Inputs'!$B$12-212^2)/(2*'Inputs'!$B$12^2))-('Inputs'!$B$30*(3*211*'Inputs'!$B$12-211^2)/(2*'Inputs'!$B$12^2)),0)</x:f>
        <x:v>275668.27735034376</x:v>
      </x:c>
      <x:c r="E945" s="78" t="n">
        <x:f>C945+D945</x:f>
        <x:v>918894.2578344718</x:v>
      </x:c>
      <x:c r="F945" s="78" t="n">
        <x:f>'Inputs'!$B$13*E945+(1-'Inputs'!$B$13)/'Inputs'!$B$14*SUM(E890:E945)</x:f>
        <x:v>929111.9346969374</x:v>
      </x:c>
      <x:c r="G945" s="78" t="n">
        <x:f>F945*'Inputs'!$F$46</x:f>
        <x:v>464555.9673484687</x:v>
      </x:c>
      <x:c r="H945" s="78" t="n">
        <x:f>U944</x:f>
        <x:v>97276607.30049278</x:v>
      </x:c>
      <x:c r="I945" s="78" t="n">
        <x:f>V944</x:f>
        <x:v>298.70638301074786</x:v>
      </x:c>
      <x:c r="J945" s="79" t="n">
        <x:f>IF(H945&gt;0,I945/H945,0)</x:f>
        <x:v>0.000003070690799156137</x:v>
      </x:c>
      <x:c r="K945" s="80" t="n">
        <x:f>(H945*J945+I945)*'Inputs'!$D$46*(1+'Inputs'!$G$46)^(B945/30)</x:f>
        <x:v>597.4127660214957</x:v>
      </x:c>
      <x:c r="L945" s="80" t="n">
        <x:f>MAX(0,K945*'Inputs'!$E$46)</x:f>
        <x:v>0</x:v>
      </x:c>
      <x:c r="M945" s="80" t="n">
        <x:f>MAX(0,-K945*'Inputs'!$E$46)</x:f>
        <x:v>0</x:v>
      </x:c>
      <x:c r="N945" s="78" t="n">
        <x:f>H945*(L945*(1-'Inputs'!$B$15))/(I945+L945*(1-'Inputs'!$B$15))</x:f>
        <x:v>0</x:v>
      </x:c>
      <x:c r="O945" s="78" t="n">
        <x:f>H945-N945</x:f>
        <x:v>97276607.30049278</x:v>
      </x:c>
      <x:c r="P945" s="78" t="n">
        <x:f>I945+L945*(1-'Inputs'!$B$17)</x:f>
        <x:v>298.70638301074786</x:v>
      </x:c>
      <x:c r="Q945" s="78" t="n">
        <x:f>IF(J945&gt;0,M945/J945,0)</x:f>
        <x:v>0</x:v>
      </x:c>
      <x:c r="R945" s="78" t="n">
        <x:f>IF(B945='Inputs'!$H$46,'Inputs'!$B$27*'Inputs'!$I$46,0)</x:f>
        <x:v>0</x:v>
      </x:c>
      <x:c r="S945" s="78" t="n">
        <x:f>Q945+G945+R945</x:f>
        <x:v>464555.9673484687</x:v>
      </x:c>
      <x:c r="T945" s="78" t="n">
        <x:f>P945*(S945*(1-'Inputs'!$B$15))/(O945+S945*(1-'Inputs'!$B$15))</x:f>
        <x:v>1.405597187284609</x:v>
      </x:c>
      <x:c r="U945" s="78" t="n">
        <x:f>O945+S945*(1-'Inputs'!$B$17)</x:f>
        <x:v>97739293.82732877</x:v>
      </x:c>
      <x:c r="V945" s="78" t="n">
        <x:f>P945-T945</x:f>
        <x:v>297.30078582346323</x:v>
      </x:c>
      <x:c r="W945" s="79" t="n">
        <x:f>IF(U945&gt;0,V945/U945,0)</x:f>
        <x:v>0.0000030417734176460285</x:v>
      </x:c>
      <x:c r="X945" s="80" t="n">
        <x:f>W945*('Inputs'!$B$6-AC945)</x:f>
        <x:v>2916.7682875518253</x:v>
      </x:c>
      <x:c r="Y945" s="80" t="n">
        <x:f>2*V945</x:f>
        <x:v>594.6015716469265</x:v>
      </x:c>
      <x:c r="Z945" s="80" t="n">
        <x:f>K945*'Inputs'!$B$16+(G945+R945)*J945*'Inputs'!$B$16</x:f>
        <x:v>3.5930356425367544</x:v>
      </x:c>
      <x:c r="AA945" s="80" t="n">
        <x:f>K945*(1+'Inputs'!$E$46)/2*'Inputs'!$B$17</x:f>
        <x:v>1.202037758594559</x:v>
      </x:c>
      <x:c r="AB945" s="78" t="n">
        <x:f>(IF(J945&gt;0,K945*(1-'Inputs'!$E$46)/2/J945,0)+G945+R945)*'Inputs'!$B$17</x:f>
        <x:v>393324.6006754175</x:v>
      </x:c>
      <x:c r="AC945" s="78" t="n">
        <x:f>AC944+AB945</x:f>
        <x:v>41096134.69860029</x:v>
      </x:c>
      <x:c r="AD945" s="80" t="n">
        <x:f>Z945/(1+'Inputs'!$C$46)</x:f>
        <x:v>1.7965178212683772</x:v>
      </x:c>
      <x:c r="AE945" s="80" t="n">
        <x:f>Z945-AD945</x:f>
        <x:v>1.7965178212683772</x:v>
      </x:c>
      <x:c r="AF945" s="80" t="n">
        <x:f>D945*W945</x:f>
        <x:v>0.8385204381325484</x:v>
      </x:c>
      <x:c r="AG945" s="80" t="n">
        <x:f>C945*W945</x:f>
        <x:v>1.9565476889759237</x:v>
      </x:c>
      <x:c r="AH945" s="80" t="n">
        <x:f>2*'Inputs'!$B$8*'Inputs'!$C$46</x:f>
        <x:v>5000</x:v>
      </x:c>
      <x:c r="AI945" s="81" t="n">
        <x:f>IF(AH945&gt;0,(AE945+AF945)/AH945*365,0)</x:f>
        <x:v>0.19235779293626754</x:v>
      </x:c>
      <x:c r="AJ945" s="81" t="n">
        <x:f>IF('Inputs'!$B$46&gt;0,AG945/('Inputs'!$B$19*'Inputs'!$B$46)*365,0)</x:f>
        <x:v>0.07141399064762122</x:v>
      </x:c>
      <x:c r="AK945" s="81" t="n">
        <x:f>W945/MAX($W$734:W945)-1</x:f>
        <x:v>-0.9963908072984123</x:v>
      </x:c>
      <x:c r="AL945" s="83" t="n">
        <x:f>'Inputs'!$B$46</x:f>
        <x:v>1</x:v>
      </x:c>
      <x:c r="AM945" s="83" t="n">
        <x:f>'Inputs'!$C$46</x:f>
        <x:v>1</x:v>
      </x:c>
      <x:c r="AN945" s="83" t="n">
        <x:f>'Inputs'!$D$46</x:f>
        <x:v>1</x:v>
      </x:c>
      <x:c r="AO945" s="81" t="n">
        <x:f>'Inputs'!$E$46</x:f>
        <x:v>0</x:v>
      </x:c>
    </x:row>
    <x:row r="946">
      <x:c r="A946" s="59" t="str">
        <x:v>Base</x:v>
      </x:c>
      <x:c r="B946" s="59" t="n">
        <x:v>213</x:v>
      </x:c>
      <x:c r="C946" s="78" t="n">
        <x:f>(('Inputs'!$B$29*(3*213*'Inputs'!$B$12-213^2)/(2*'Inputs'!$B$12^2))-('Inputs'!$B$29*(3*212*'Inputs'!$B$12-212^2)/(2*'Inputs'!$B$12^2)))*'Inputs'!$B$46</x:f>
        <x:v>642900.8725839853</x:v>
      </x:c>
      <x:c r="D946" s="78" t="n">
        <x:f>IF('Inputs'!$C$46&gt;0,('Inputs'!$B$30*(3*213*'Inputs'!$B$12-213^2)/(2*'Inputs'!$B$12^2))-('Inputs'!$B$30*(3*212*'Inputs'!$B$12-212^2)/(2*'Inputs'!$B$12^2)),0)</x:f>
        <x:v>275528.9453931302</x:v>
      </x:c>
      <x:c r="E946" s="78" t="n">
        <x:f>C946+D946</x:f>
        <x:v>918429.8179771155</x:v>
      </x:c>
      <x:c r="F946" s="78" t="n">
        <x:f>'Inputs'!$B$13*E946+(1-'Inputs'!$B$13)/'Inputs'!$B$14*SUM(E891:E946)</x:f>
        <x:v>928647.4948395591</x:v>
      </x:c>
      <x:c r="G946" s="78" t="n">
        <x:f>F946*'Inputs'!$F$46</x:f>
        <x:v>464323.74741977954</x:v>
      </x:c>
      <x:c r="H946" s="78" t="n">
        <x:f>U945</x:f>
        <x:v>97739293.82732877</x:v>
      </x:c>
      <x:c r="I946" s="78" t="n">
        <x:f>V945</x:f>
        <x:v>297.30078582346323</x:v>
      </x:c>
      <x:c r="J946" s="79" t="n">
        <x:f>IF(H946&gt;0,I946/H946,0)</x:f>
        <x:v>0.0000030417734176460285</x:v>
      </x:c>
      <x:c r="K946" s="80" t="n">
        <x:f>(H946*J946+I946)*'Inputs'!$D$46*(1+'Inputs'!$G$46)^(B946/30)</x:f>
        <x:v>594.6015716469265</x:v>
      </x:c>
      <x:c r="L946" s="80" t="n">
        <x:f>MAX(0,K946*'Inputs'!$E$46)</x:f>
        <x:v>0</x:v>
      </x:c>
      <x:c r="M946" s="80" t="n">
        <x:f>MAX(0,-K946*'Inputs'!$E$46)</x:f>
        <x:v>0</x:v>
      </x:c>
      <x:c r="N946" s="78" t="n">
        <x:f>H946*(L946*(1-'Inputs'!$B$15))/(I946+L946*(1-'Inputs'!$B$15))</x:f>
        <x:v>0</x:v>
      </x:c>
      <x:c r="O946" s="78" t="n">
        <x:f>H946-N946</x:f>
        <x:v>97739293.82732877</x:v>
      </x:c>
      <x:c r="P946" s="78" t="n">
        <x:f>I946+L946*(1-'Inputs'!$B$17)</x:f>
        <x:v>297.30078582346323</x:v>
      </x:c>
      <x:c r="Q946" s="78" t="n">
        <x:f>IF(J946&gt;0,M946/J946,0)</x:f>
        <x:v>0</x:v>
      </x:c>
      <x:c r="R946" s="78" t="n">
        <x:f>IF(B946='Inputs'!$H$46,'Inputs'!$B$27*'Inputs'!$I$46,0)</x:f>
        <x:v>0</x:v>
      </x:c>
      <x:c r="S946" s="78" t="n">
        <x:f>Q946+G946+R946</x:f>
        <x:v>464323.74741977954</x:v>
      </x:c>
      <x:c r="T946" s="78" t="n">
        <x:f>P946*(S946*(1-'Inputs'!$B$15))/(O946+S946*(1-'Inputs'!$B$15))</x:f>
        <x:v>1.3916986175962236</x:v>
      </x:c>
      <x:c r="U946" s="78" t="n">
        <x:f>O946+S946*(1-'Inputs'!$B$17)</x:f>
        <x:v>98201749.06872271</x:v>
      </x:c>
      <x:c r="V946" s="78" t="n">
        <x:f>P946-T946</x:f>
        <x:v>295.909087205867</x:v>
      </x:c>
      <x:c r="W946" s="79" t="n">
        <x:f>IF(U946&gt;0,V946/U946,0)</x:f>
        <x:v>0.0000030132771565889976</x:v>
      </x:c>
      <x:c r="X946" s="80" t="n">
        <x:f>W946*('Inputs'!$B$6-AC946)</x:f>
        <x:v>2888.252308985318</x:v>
      </x:c>
      <x:c r="Y946" s="80" t="n">
        <x:f>2*V946</x:f>
        <x:v>591.818174411734</x:v>
      </x:c>
      <x:c r="Z946" s="80" t="n">
        <x:f>K946*'Inputs'!$B$16+(G946+R946)*J946*'Inputs'!$B$16</x:f>
        <x:v>3.5760836356740584</x:v>
      </x:c>
      <x:c r="AA946" s="80" t="n">
        <x:f>K946*(1+'Inputs'!$E$46)/2*'Inputs'!$B$17</x:f>
        <x:v>1.196381431885164</x:v>
      </x:c>
      <x:c r="AB946" s="78" t="n">
        <x:f>(IF(J946&gt;0,K946*(1-'Inputs'!$E$46)/2/J946,0)+G946+R946)*'Inputs'!$B$17</x:f>
        <x:v>395185.58380180504</x:v>
      </x:c>
      <x:c r="AC946" s="78" t="n">
        <x:f>AC945+AB946</x:f>
        <x:v>41491320.2824021</x:v>
      </x:c>
      <x:c r="AD946" s="80" t="n">
        <x:f>Z946/(1+'Inputs'!$C$46)</x:f>
        <x:v>1.7880418178370292</x:v>
      </x:c>
      <x:c r="AE946" s="80" t="n">
        <x:f>Z946-AD946</x:f>
        <x:v>1.7880418178370292</x:v>
      </x:c>
      <x:c r="AF946" s="80" t="n">
        <x:f>D946*W946</x:f>
        <x:v>0.8302450771321765</x:v>
      </x:c>
      <x:c r="AG946" s="80" t="n">
        <x:f>C946*W946</x:f>
        <x:v>1.9372385133084569</x:v>
      </x:c>
      <x:c r="AH946" s="80" t="n">
        <x:f>2*'Inputs'!$B$8*'Inputs'!$C$46</x:f>
        <x:v>5000</x:v>
      </x:c>
      <x:c r="AI946" s="81" t="n">
        <x:f>IF(AH946&gt;0,(AE946+AF946)/AH946*365,0)</x:f>
        <x:v>0.19113494333275202</x:v>
      </x:c>
      <x:c r="AJ946" s="81" t="n">
        <x:f>IF('Inputs'!$B$46&gt;0,AG946/('Inputs'!$B$19*'Inputs'!$B$46)*365,0)</x:f>
        <x:v>0.07070920573575867</x:v>
      </x:c>
      <x:c r="AK946" s="81" t="n">
        <x:f>W946/MAX($W$734:W946)-1</x:f>
        <x:v>-0.996424619316373</x:v>
      </x:c>
      <x:c r="AL946" s="83" t="n">
        <x:f>'Inputs'!$B$46</x:f>
        <x:v>1</x:v>
      </x:c>
      <x:c r="AM946" s="83" t="n">
        <x:f>'Inputs'!$C$46</x:f>
        <x:v>1</x:v>
      </x:c>
      <x:c r="AN946" s="83" t="n">
        <x:f>'Inputs'!$D$46</x:f>
        <x:v>1</x:v>
      </x:c>
      <x:c r="AO946" s="81" t="n">
        <x:f>'Inputs'!$E$46</x:f>
        <x:v>0</x:v>
      </x:c>
    </x:row>
    <x:row r="947">
      <x:c r="A947" s="59" t="str">
        <x:v>Base</x:v>
      </x:c>
      <x:c r="B947" s="59" t="n">
        <x:v>214</x:v>
      </x:c>
      <x:c r="C947" s="78" t="n">
        <x:f>(('Inputs'!$B$29*(3*214*'Inputs'!$B$12-214^2)/(2*'Inputs'!$B$12^2))-('Inputs'!$B$29*(3*213*'Inputs'!$B$12-213^2)/(2*'Inputs'!$B$12^2)))*'Inputs'!$B$46</x:f>
        <x:v>642575.764683783</x:v>
      </x:c>
      <x:c r="D947" s="78" t="n">
        <x:f>IF('Inputs'!$C$46&gt;0,('Inputs'!$B$30*(3*214*'Inputs'!$B$12-214^2)/(2*'Inputs'!$B$12^2))-('Inputs'!$B$30*(3*213*'Inputs'!$B$12-213^2)/(2*'Inputs'!$B$12^2)),0)</x:f>
        <x:v>275389.6134359166</x:v>
      </x:c>
      <x:c r="E947" s="78" t="n">
        <x:f>C947+D947</x:f>
        <x:v>917965.3781196997</x:v>
      </x:c>
      <x:c r="F947" s="78" t="n">
        <x:f>'Inputs'!$B$13*E947+(1-'Inputs'!$B$13)/'Inputs'!$B$14*SUM(E892:E947)</x:f>
        <x:v>928183.0549821684</x:v>
      </x:c>
      <x:c r="G947" s="78" t="n">
        <x:f>F947*'Inputs'!$F$46</x:f>
        <x:v>464091.5274910842</x:v>
      </x:c>
      <x:c r="H947" s="78" t="n">
        <x:f>U946</x:f>
        <x:v>98201749.06872271</x:v>
      </x:c>
      <x:c r="I947" s="78" t="n">
        <x:f>V946</x:f>
        <x:v>295.909087205867</x:v>
      </x:c>
      <x:c r="J947" s="79" t="n">
        <x:f>IF(H947&gt;0,I947/H947,0)</x:f>
        <x:v>0.0000030132771565889976</x:v>
      </x:c>
      <x:c r="K947" s="80" t="n">
        <x:f>(H947*J947+I947)*'Inputs'!$D$46*(1+'Inputs'!$G$46)^(B947/30)</x:f>
        <x:v>591.818174411734</x:v>
      </x:c>
      <x:c r="L947" s="80" t="n">
        <x:f>MAX(0,K947*'Inputs'!$E$46)</x:f>
        <x:v>0</x:v>
      </x:c>
      <x:c r="M947" s="80" t="n">
        <x:f>MAX(0,-K947*'Inputs'!$E$46)</x:f>
        <x:v>0</x:v>
      </x:c>
      <x:c r="N947" s="78" t="n">
        <x:f>H947*(L947*(1-'Inputs'!$B$15))/(I947+L947*(1-'Inputs'!$B$15))</x:f>
        <x:v>0</x:v>
      </x:c>
      <x:c r="O947" s="78" t="n">
        <x:f>H947-N947</x:f>
        <x:v>98201749.06872271</x:v>
      </x:c>
      <x:c r="P947" s="78" t="n">
        <x:f>I947+L947*(1-'Inputs'!$B$17)</x:f>
        <x:v>295.909087205867</x:v>
      </x:c>
      <x:c r="Q947" s="78" t="n">
        <x:f>IF(J947&gt;0,M947/J947,0)</x:f>
        <x:v>0</x:v>
      </x:c>
      <x:c r="R947" s="78" t="n">
        <x:f>IF(B947='Inputs'!$H$46,'Inputs'!$B$27*'Inputs'!$I$46,0)</x:f>
        <x:v>0</x:v>
      </x:c>
      <x:c r="S947" s="78" t="n">
        <x:f>Q947+G947+R947</x:f>
        <x:v>464091.5274910842</x:v>
      </x:c>
      <x:c r="T947" s="78" t="n">
        <x:f>P947*(S947*(1-'Inputs'!$B$15))/(O947+S947*(1-'Inputs'!$B$15))</x:f>
        <x:v>1.3780048460461902</x:v>
      </x:c>
      <x:c r="U947" s="78" t="n">
        <x:f>O947+S947*(1-'Inputs'!$B$17)</x:f>
        <x:v>98663973.0246746</x:v>
      </x:c>
      <x:c r="V947" s="78" t="n">
        <x:f>P947-T947</x:f>
        <x:v>294.53108235982086</x:v>
      </x:c>
      <x:c r="W947" s="79" t="n">
        <x:f>IF(U947&gt;0,V947/U947,0)</x:f>
        <x:v>0.000002985193818276124</x:v>
      </x:c>
      <x:c r="X947" s="80" t="n">
        <x:f>W947*('Inputs'!$B$6-AC947)</x:f>
        <x:v>2860.1489272782187</x:v>
      </x:c>
      <x:c r="Y947" s="80" t="n">
        <x:f>2*V947</x:f>
        <x:v>589.0621647196417</x:v>
      </x:c>
      <x:c r="Z947" s="80" t="n">
        <x:f>K947*'Inputs'!$B$16+(G947+R947)*J947*'Inputs'!$B$16</x:f>
        <x:v>3.5592996648605366</x:v>
      </x:c>
      <x:c r="AA947" s="80" t="n">
        <x:f>K947*(1+'Inputs'!$E$46)/2*'Inputs'!$B$17</x:f>
        <x:v>1.1907810350336703</x:v>
      </x:c>
      <x:c r="AB947" s="78" t="n">
        <x:f>(IF(J947&gt;0,K947*(1-'Inputs'!$E$46)/2/J947,0)+G947+R947)*'Inputs'!$B$17</x:f>
        <x:v>397045.6362020676</x:v>
      </x:c>
      <x:c r="AC947" s="78" t="n">
        <x:f>AC946+AB947</x:f>
        <x:v>41888365.918604165</x:v>
      </x:c>
      <x:c r="AD947" s="80" t="n">
        <x:f>Z947/(1+'Inputs'!$C$46)</x:f>
        <x:v>1.7796498324302683</x:v>
      </x:c>
      <x:c r="AE947" s="80" t="n">
        <x:f>Z947-AD947</x:f>
        <x:v>1.7796498324302683</x:v>
      </x:c>
      <x:c r="AF947" s="80" t="n">
        <x:f>D947*W947</x:f>
        <x:v>0.8220913716463496</x:v>
      </x:c>
      <x:c r="AG947" s="80" t="n">
        <x:f>C947*W947</x:f>
        <x:v>1.9182132005080825</x:v>
      </x:c>
      <x:c r="AH947" s="80" t="n">
        <x:f>2*'Inputs'!$B$8*'Inputs'!$C$46</x:f>
        <x:v>5000</x:v>
      </x:c>
      <x:c r="AI947" s="81" t="n">
        <x:f>IF(AH947&gt;0,(AE947+AF947)/AH947*365,0)</x:f>
        <x:v>0.1899271078975931</x:v>
      </x:c>
      <x:c r="AJ947" s="81" t="n">
        <x:f>IF('Inputs'!$B$46&gt;0,AG947/('Inputs'!$B$19*'Inputs'!$B$46)*365,0)</x:f>
        <x:v>0.07001478181854502</x:v>
      </x:c>
      <x:c r="AK947" s="81" t="n">
        <x:f>W947/MAX($W$734:W947)-1</x:f>
        <x:v>-0.9964579413840481</x:v>
      </x:c>
      <x:c r="AL947" s="83" t="n">
        <x:f>'Inputs'!$B$46</x:f>
        <x:v>1</x:v>
      </x:c>
      <x:c r="AM947" s="83" t="n">
        <x:f>'Inputs'!$C$46</x:f>
        <x:v>1</x:v>
      </x:c>
      <x:c r="AN947" s="83" t="n">
        <x:f>'Inputs'!$D$46</x:f>
        <x:v>1</x:v>
      </x:c>
      <x:c r="AO947" s="81" t="n">
        <x:f>'Inputs'!$E$46</x:f>
        <x:v>0</x:v>
      </x:c>
    </x:row>
    <x:row r="948">
      <x:c r="A948" s="59" t="str">
        <x:v>Base</x:v>
      </x:c>
      <x:c r="B948" s="59" t="n">
        <x:v>215</x:v>
      </x:c>
      <x:c r="C948" s="78" t="n">
        <x:f>(('Inputs'!$B$29*(3*215*'Inputs'!$B$12-215^2)/(2*'Inputs'!$B$12^2))-('Inputs'!$B$29*(3*214*'Inputs'!$B$12-214^2)/(2*'Inputs'!$B$12^2)))*'Inputs'!$B$46</x:f>
        <x:v>642250.6567836404</x:v>
      </x:c>
      <x:c r="D948" s="78" t="n">
        <x:f>IF('Inputs'!$C$46&gt;0,('Inputs'!$B$30*(3*215*'Inputs'!$B$12-215^2)/(2*'Inputs'!$B$12^2))-('Inputs'!$B$30*(3*214*'Inputs'!$B$12-214^2)/(2*'Inputs'!$B$12^2)),0)</x:f>
        <x:v>275250.281478703</x:v>
      </x:c>
      <x:c r="E948" s="78" t="n">
        <x:f>C948+D948</x:f>
        <x:v>917500.9382623434</x:v>
      </x:c>
      <x:c r="F948" s="78" t="n">
        <x:f>'Inputs'!$B$13*E948+(1-'Inputs'!$B$13)/'Inputs'!$B$14*SUM(E893:E948)</x:f>
        <x:v>927718.6151247899</x:v>
      </x:c>
      <x:c r="G948" s="78" t="n">
        <x:f>F948*'Inputs'!$F$46</x:f>
        <x:v>463859.30756239494</x:v>
      </x:c>
      <x:c r="H948" s="78" t="n">
        <x:f>U947</x:f>
        <x:v>98663973.0246746</x:v>
      </x:c>
      <x:c r="I948" s="78" t="n">
        <x:f>V947</x:f>
        <x:v>294.53108235982086</x:v>
      </x:c>
      <x:c r="J948" s="79" t="n">
        <x:f>IF(H948&gt;0,I948/H948,0)</x:f>
        <x:v>0.000002985193818276124</x:v>
      </x:c>
      <x:c r="K948" s="80" t="n">
        <x:f>(H948*J948+I948)*'Inputs'!$D$46*(1+'Inputs'!$G$46)^(B948/30)</x:f>
        <x:v>589.0621647196417</x:v>
      </x:c>
      <x:c r="L948" s="80" t="n">
        <x:f>MAX(0,K948*'Inputs'!$E$46)</x:f>
        <x:v>0</x:v>
      </x:c>
      <x:c r="M948" s="80" t="n">
        <x:f>MAX(0,-K948*'Inputs'!$E$46)</x:f>
        <x:v>0</x:v>
      </x:c>
      <x:c r="N948" s="78" t="n">
        <x:f>H948*(L948*(1-'Inputs'!$B$15))/(I948+L948*(1-'Inputs'!$B$15))</x:f>
        <x:v>0</x:v>
      </x:c>
      <x:c r="O948" s="78" t="n">
        <x:f>H948-N948</x:f>
        <x:v>98663973.0246746</x:v>
      </x:c>
      <x:c r="P948" s="78" t="n">
        <x:f>I948+L948*(1-'Inputs'!$B$17)</x:f>
        <x:v>294.53108235982086</x:v>
      </x:c>
      <x:c r="Q948" s="78" t="n">
        <x:f>IF(J948&gt;0,M948/J948,0)</x:f>
        <x:v>0</x:v>
      </x:c>
      <x:c r="R948" s="78" t="n">
        <x:f>IF(B948='Inputs'!$H$46,'Inputs'!$B$27*'Inputs'!$I$46,0)</x:f>
        <x:v>0</x:v>
      </x:c>
      <x:c r="S948" s="78" t="n">
        <x:f>Q948+G948+R948</x:f>
        <x:v>463859.30756239494</x:v>
      </x:c>
      <x:c r="T948" s="78" t="n">
        <x:f>P948*(S948*(1-'Inputs'!$B$15))/(O948+S948*(1-'Inputs'!$B$15))</x:f>
        <x:v>1.364511866271746</x:v>
      </x:c>
      <x:c r="U948" s="78" t="n">
        <x:f>O948+S948*(1-'Inputs'!$B$17)</x:f>
        <x:v>99125965.69518442</x:v>
      </x:c>
      <x:c r="V948" s="78" t="n">
        <x:f>P948-T948</x:f>
        <x:v>293.1665704935491</x:v>
      </x:c>
      <x:c r="W948" s="79" t="n">
        <x:f>IF(U948&gt;0,V948/U948,0)</x:f>
        <x:v>0.000002957515404137861</x:v>
      </x:c>
      <x:c r="X948" s="80" t="n">
        <x:f>W948*('Inputs'!$B$6-AC948)</x:f>
        <x:v>2832.450149713223</x:v>
      </x:c>
      <x:c r="Y948" s="80" t="n">
        <x:f>2*V948</x:f>
        <x:v>586.3331409870982</x:v>
      </x:c>
      <x:c r="Z948" s="80" t="n">
        <x:f>K948*'Inputs'!$B$16+(G948+R948)*J948*'Inputs'!$B$16</x:f>
        <x:v>3.542681247942761</x:v>
      </x:c>
      <x:c r="AA948" s="80" t="n">
        <x:f>K948*(1+'Inputs'!$E$46)/2*'Inputs'!$B$17</x:f>
        <x:v>1.1852357439026997</x:v>
      </x:c>
      <x:c r="AB948" s="78" t="n">
        <x:f>(IF(J948&gt;0,K948*(1-'Inputs'!$E$46)/2/J948,0)+G948+R948)*'Inputs'!$B$17</x:f>
        <x:v>398904.7578762052</x:v>
      </x:c>
      <x:c r="AC948" s="78" t="n">
        <x:f>AC947+AB948</x:f>
        <x:v>42287270.67648037</x:v>
      </x:c>
      <x:c r="AD948" s="80" t="n">
        <x:f>Z948/(1+'Inputs'!$C$46)</x:f>
        <x:v>1.7713406239713805</x:v>
      </x:c>
      <x:c r="AE948" s="80" t="n">
        <x:f>Z948-AD948</x:f>
        <x:v>1.7713406239713805</x:v>
      </x:c>
      <x:c r="AF948" s="80" t="n">
        <x:f>D948*W948</x:f>
        <x:v>0.8140569474665463</x:v>
      </x:c>
      <x:c r="AG948" s="80" t="n">
        <x:f>C948*W948</x:f>
        <x:v>1.8994662107552749</x:v>
      </x:c>
      <x:c r="AH948" s="80" t="n">
        <x:f>2*'Inputs'!$B$8*'Inputs'!$C$46</x:f>
        <x:v>5000</x:v>
      </x:c>
      <x:c r="AI948" s="81" t="n">
        <x:f>IF(AH948&gt;0,(AE948+AF948)/AH948*365,0)</x:f>
        <x:v>0.18873402271496864</x:v>
      </x:c>
      <x:c r="AJ948" s="81" t="n">
        <x:f>IF('Inputs'!$B$46&gt;0,AG948/('Inputs'!$B$19*'Inputs'!$B$46)*365,0)</x:f>
        <x:v>0.06933051669256754</x:v>
      </x:c>
      <x:c r="AK948" s="81" t="n">
        <x:f>W948/MAX($W$734:W948)-1</x:f>
        <x:v>-0.9964907829920784</x:v>
      </x:c>
      <x:c r="AL948" s="83" t="n">
        <x:f>'Inputs'!$B$46</x:f>
        <x:v>1</x:v>
      </x:c>
      <x:c r="AM948" s="83" t="n">
        <x:f>'Inputs'!$C$46</x:f>
        <x:v>1</x:v>
      </x:c>
      <x:c r="AN948" s="83" t="n">
        <x:f>'Inputs'!$D$46</x:f>
        <x:v>1</x:v>
      </x:c>
      <x:c r="AO948" s="81" t="n">
        <x:f>'Inputs'!$E$46</x:f>
        <x:v>0</x:v>
      </x:c>
    </x:row>
    <x:row r="949">
      <x:c r="A949" s="59" t="str">
        <x:v>Base</x:v>
      </x:c>
      <x:c r="B949" s="59" t="n">
        <x:v>216</x:v>
      </x:c>
      <x:c r="C949" s="78" t="n">
        <x:f>(('Inputs'!$B$29*(3*216*'Inputs'!$B$12-216^2)/(2*'Inputs'!$B$12^2))-('Inputs'!$B$29*(3*215*'Inputs'!$B$12-215^2)/(2*'Inputs'!$B$12^2)))*'Inputs'!$B$46</x:f>
        <x:v>641925.5488834679</x:v>
      </x:c>
      <x:c r="D949" s="78" t="n">
        <x:f>IF('Inputs'!$C$46&gt;0,('Inputs'!$B$30*(3*216*'Inputs'!$B$12-216^2)/(2*'Inputs'!$B$12^2))-('Inputs'!$B$30*(3*215*'Inputs'!$B$12-215^2)/(2*'Inputs'!$B$12^2)),0)</x:f>
        <x:v>275110.94952148944</x:v>
      </x:c>
      <x:c r="E949" s="78" t="n">
        <x:f>C949+D949</x:f>
        <x:v>917036.4984049574</x:v>
      </x:c>
      <x:c r="F949" s="78" t="n">
        <x:f>'Inputs'!$B$13*E949+(1-'Inputs'!$B$13)/'Inputs'!$B$14*SUM(E894:E949)</x:f>
        <x:v>927254.1752674056</x:v>
      </x:c>
      <x:c r="G949" s="78" t="n">
        <x:f>F949*'Inputs'!$F$46</x:f>
        <x:v>463627.0876337028</x:v>
      </x:c>
      <x:c r="H949" s="78" t="n">
        <x:f>U948</x:f>
        <x:v>99125965.69518442</x:v>
      </x:c>
      <x:c r="I949" s="78" t="n">
        <x:f>V948</x:f>
        <x:v>293.1665704935491</x:v>
      </x:c>
      <x:c r="J949" s="79" t="n">
        <x:f>IF(H949&gt;0,I949/H949,0)</x:f>
        <x:v>0.000002957515404137861</x:v>
      </x:c>
      <x:c r="K949" s="80" t="n">
        <x:f>(H949*J949+I949)*'Inputs'!$D$46*(1+'Inputs'!$G$46)^(B949/30)</x:f>
        <x:v>586.3331409870982</x:v>
      </x:c>
      <x:c r="L949" s="80" t="n">
        <x:f>MAX(0,K949*'Inputs'!$E$46)</x:f>
        <x:v>0</x:v>
      </x:c>
      <x:c r="M949" s="80" t="n">
        <x:f>MAX(0,-K949*'Inputs'!$E$46)</x:f>
        <x:v>0</x:v>
      </x:c>
      <x:c r="N949" s="78" t="n">
        <x:f>H949*(L949*(1-'Inputs'!$B$15))/(I949+L949*(1-'Inputs'!$B$15))</x:f>
        <x:v>0</x:v>
      </x:c>
      <x:c r="O949" s="78" t="n">
        <x:f>H949-N949</x:f>
        <x:v>99125965.69518442</x:v>
      </x:c>
      <x:c r="P949" s="78" t="n">
        <x:f>I949+L949*(1-'Inputs'!$B$17)</x:f>
        <x:v>293.1665704935491</x:v>
      </x:c>
      <x:c r="Q949" s="78" t="n">
        <x:f>IF(J949&gt;0,M949/J949,0)</x:f>
        <x:v>0</x:v>
      </x:c>
      <x:c r="R949" s="78" t="n">
        <x:f>IF(B949='Inputs'!$H$46,'Inputs'!$B$27*'Inputs'!$I$46,0)</x:f>
        <x:v>0</x:v>
      </x:c>
      <x:c r="S949" s="78" t="n">
        <x:f>Q949+G949+R949</x:f>
        <x:v>463627.0876337028</x:v>
      </x:c>
      <x:c r="T949" s="78" t="n">
        <x:f>P949*(S949*(1-'Inputs'!$B$15))/(O949+S949*(1-'Inputs'!$B$15))</x:f>
        <x:v>1.3512157694285283</x:v>
      </x:c>
      <x:c r="U949" s="78" t="n">
        <x:f>O949+S949*(1-'Inputs'!$B$17)</x:f>
        <x:v>99587727.0802522</x:v>
      </x:c>
      <x:c r="V949" s="78" t="n">
        <x:f>P949-T949</x:f>
        <x:v>291.8153547241206</x:v>
      </x:c>
      <x:c r="W949" s="79" t="n">
        <x:f>IF(U949&gt;0,V949/U949,0)</x:f>
        <x:v>0.0000029302341089576516</x:v>
      </x:c>
      <x:c r="X949" s="80" t="n">
        <x:f>W949*('Inputs'!$B$6-AC949)</x:f>
        <x:v>2805.148176784453</x:v>
      </x:c>
      <x:c r="Y949" s="80" t="n">
        <x:f>2*V949</x:f>
        <x:v>583.6307094482412</x:v>
      </x:c>
      <x:c r="Z949" s="80" t="n">
        <x:f>K949*'Inputs'!$B$16+(G949+R949)*J949*'Inputs'!$B$16</x:f>
        <x:v>3.526225951443303</x:v>
      </x:c>
      <x:c r="AA949" s="80" t="n">
        <x:f>K949*(1+'Inputs'!$E$46)/2*'Inputs'!$B$17</x:f>
        <x:v>1.1797447504770588</x:v>
      </x:c>
      <x:c r="AB949" s="78" t="n">
        <x:f>(IF(J949&gt;0,K949*(1-'Inputs'!$E$46)/2/J949,0)+G949+R949)*'Inputs'!$B$17</x:f>
        <x:v>400762.94882421783</x:v>
      </x:c>
      <x:c r="AC949" s="78" t="n">
        <x:f>AC948+AB949</x:f>
        <x:v>42688033.62530459</x:v>
      </x:c>
      <x:c r="AD949" s="80" t="n">
        <x:f>Z949/(1+'Inputs'!$C$46)</x:f>
        <x:v>1.7631129757216515</x:v>
      </x:c>
      <x:c r="AE949" s="80" t="n">
        <x:f>Z949-AD949</x:f>
        <x:v>1.7631129757216515</x:v>
      </x:c>
      <x:c r="AF949" s="80" t="n">
        <x:f>D949*W949</x:f>
        <x:v>0.8061394880355951</x:v>
      </x:c>
      <x:c r="AG949" s="80" t="n">
        <x:f>C949*W949</x:f>
        <x:v>1.8809921387497</x:v>
      </x:c>
      <x:c r="AH949" s="80" t="n">
        <x:f>2*'Inputs'!$B$8*'Inputs'!$C$46</x:f>
        <x:v>5000</x:v>
      </x:c>
      <x:c r="AI949" s="81" t="n">
        <x:f>IF(AH949&gt;0,(AE949+AF949)/AH949*365,0)</x:f>
        <x:v>0.18755542985427898</x:v>
      </x:c>
      <x:c r="AJ949" s="81" t="n">
        <x:f>IF('Inputs'!$B$46&gt;0,AG949/('Inputs'!$B$19*'Inputs'!$B$46)*365,0)</x:f>
        <x:v>0.06865621306436405</x:v>
      </x:c>
      <x:c r="AK949" s="81" t="n">
        <x:f>W949/MAX($W$734:W949)-1</x:f>
        <x:v>-0.9965231534016832</x:v>
      </x:c>
      <x:c r="AL949" s="83" t="n">
        <x:f>'Inputs'!$B$46</x:f>
        <x:v>1</x:v>
      </x:c>
      <x:c r="AM949" s="83" t="n">
        <x:f>'Inputs'!$C$46</x:f>
        <x:v>1</x:v>
      </x:c>
      <x:c r="AN949" s="83" t="n">
        <x:f>'Inputs'!$D$46</x:f>
        <x:v>1</x:v>
      </x:c>
      <x:c r="AO949" s="81" t="n">
        <x:f>'Inputs'!$E$46</x:f>
        <x:v>0</x:v>
      </x:c>
    </x:row>
    <x:row r="950">
      <x:c r="A950" s="59" t="str">
        <x:v>Base</x:v>
      </x:c>
      <x:c r="B950" s="59" t="n">
        <x:v>217</x:v>
      </x:c>
      <x:c r="C950" s="78" t="n">
        <x:f>(('Inputs'!$B$29*(3*217*'Inputs'!$B$12-217^2)/(2*'Inputs'!$B$12^2))-('Inputs'!$B$29*(3*216*'Inputs'!$B$12-216^2)/(2*'Inputs'!$B$12^2)))*'Inputs'!$B$46</x:f>
        <x:v>641600.4409832954</x:v>
      </x:c>
      <x:c r="D950" s="78" t="n">
        <x:f>IF('Inputs'!$C$46&gt;0,('Inputs'!$B$30*(3*217*'Inputs'!$B$12-217^2)/(2*'Inputs'!$B$12^2))-('Inputs'!$B$30*(3*216*'Inputs'!$B$12-216^2)/(2*'Inputs'!$B$12^2)),0)</x:f>
        <x:v>274971.6175642684</x:v>
      </x:c>
      <x:c r="E950" s="78" t="n">
        <x:f>C950+D950</x:f>
        <x:v>916572.0585475639</x:v>
      </x:c>
      <x:c r="F950" s="78" t="n">
        <x:f>'Inputs'!$B$13*E950+(1-'Inputs'!$B$13)/'Inputs'!$B$14*SUM(E895:E950)</x:f>
        <x:v>926789.7354100194</x:v>
      </x:c>
      <x:c r="G950" s="78" t="n">
        <x:f>F950*'Inputs'!$F$46</x:f>
        <x:v>463394.8677050097</x:v>
      </x:c>
      <x:c r="H950" s="78" t="n">
        <x:f>U949</x:f>
        <x:v>99587727.0802522</x:v>
      </x:c>
      <x:c r="I950" s="78" t="n">
        <x:f>V949</x:f>
        <x:v>291.8153547241206</x:v>
      </x:c>
      <x:c r="J950" s="79" t="n">
        <x:f>IF(H950&gt;0,I950/H950,0)</x:f>
        <x:v>0.0000029302341089576516</x:v>
      </x:c>
      <x:c r="K950" s="80" t="n">
        <x:f>(H950*J950+I950)*'Inputs'!$D$46*(1+'Inputs'!$G$46)^(B950/30)</x:f>
        <x:v>583.6307094482412</x:v>
      </x:c>
      <x:c r="L950" s="80" t="n">
        <x:f>MAX(0,K950*'Inputs'!$E$46)</x:f>
        <x:v>0</x:v>
      </x:c>
      <x:c r="M950" s="80" t="n">
        <x:f>MAX(0,-K950*'Inputs'!$E$46)</x:f>
        <x:v>0</x:v>
      </x:c>
      <x:c r="N950" s="78" t="n">
        <x:f>H950*(L950*(1-'Inputs'!$B$15))/(I950+L950*(1-'Inputs'!$B$15))</x:f>
        <x:v>0</x:v>
      </x:c>
      <x:c r="O950" s="78" t="n">
        <x:f>H950-N950</x:f>
        <x:v>99587727.0802522</x:v>
      </x:c>
      <x:c r="P950" s="78" t="n">
        <x:f>I950+L950*(1-'Inputs'!$B$17)</x:f>
        <x:v>291.8153547241206</x:v>
      </x:c>
      <x:c r="Q950" s="78" t="n">
        <x:f>IF(J950&gt;0,M950/J950,0)</x:f>
        <x:v>0</x:v>
      </x:c>
      <x:c r="R950" s="78" t="n">
        <x:f>IF(B950='Inputs'!$H$46,'Inputs'!$B$27*'Inputs'!$I$46,0)</x:f>
        <x:v>0</x:v>
      </x:c>
      <x:c r="S950" s="78" t="n">
        <x:f>Q950+G950+R950</x:f>
        <x:v>463394.8677050097</x:v>
      </x:c>
      <x:c r="T950" s="78" t="n">
        <x:f>P950*(S950*(1-'Inputs'!$B$15))/(O950+S950*(1-'Inputs'!$B$15))</x:f>
        <x:v>1.338112741355507</x:v>
      </x:c>
      <x:c r="U950" s="78" t="n">
        <x:f>O950+S950*(1-'Inputs'!$B$17)</x:f>
        <x:v>100049257.1798779</x:v>
      </x:c>
      <x:c r="V950" s="78" t="n">
        <x:f>P950-T950</x:f>
        <x:v>290.47724198276507</x:v>
      </x:c>
      <x:c r="W950" s="79" t="n">
        <x:f>IF(U950&gt;0,V950/U950,0)</x:f>
        <x:v>0.0000029033423152809414</x:v>
      </x:c>
      <x:c r="X950" s="80" t="n">
        <x:f>W950*('Inputs'!$B$6-AC950)</x:f>
        <x:v>2778.235396610548</x:v>
      </x:c>
      <x:c r="Y950" s="80" t="n">
        <x:f>2*V950</x:f>
        <x:v>580.9544839655301</x:v>
      </x:c>
      <x:c r="Z950" s="80" t="n">
        <x:f>K950*'Inputs'!$B$16+(G950+R950)*J950*'Inputs'!$B$16</x:f>
        <x:v>3.509931389373038</x:v>
      </x:c>
      <x:c r="AA950" s="80" t="n">
        <x:f>K950*(1+'Inputs'!$E$46)/2*'Inputs'!$B$17</x:f>
        <x:v>1.1743072624713105</x:v>
      </x:c>
      <x:c r="AB950" s="78" t="n">
        <x:f>(IF(J950&gt;0,K950*(1-'Inputs'!$E$46)/2/J950,0)+G950+R950)*'Inputs'!$B$17</x:f>
        <x:v>402620.2090461055</x:v>
      </x:c>
      <x:c r="AC950" s="78" t="n">
        <x:f>AC949+AB950</x:f>
        <x:v>43090653.83435069</x:v>
      </x:c>
      <x:c r="AD950" s="80" t="n">
        <x:f>Z950/(1+'Inputs'!$C$46)</x:f>
        <x:v>1.754965694686519</x:v>
      </x:c>
      <x:c r="AE950" s="80" t="n">
        <x:f>Z950-AD950</x:f>
        <x:v>1.754965694686519</x:v>
      </x:c>
      <x:c r="AF950" s="80" t="n">
        <x:f>D950*W950</x:f>
        <x:v>0.7983367327755886</x:v>
      </x:c>
      <x:c r="AG950" s="80" t="n">
        <x:f>C950*W950</x:f>
        <x:v>1.862785709809714</x:v>
      </x:c>
      <x:c r="AH950" s="80" t="n">
        <x:f>2*'Inputs'!$B$8*'Inputs'!$C$46</x:f>
        <x:v>5000</x:v>
      </x:c>
      <x:c r="AI950" s="81" t="n">
        <x:f>IF(AH950&gt;0,(AE950+AF950)/AH950*365,0)</x:f>
        <x:v>0.18639107720473388</x:v>
      </x:c>
      <x:c r="AJ950" s="81" t="n">
        <x:f>IF('Inputs'!$B$46&gt;0,AG950/('Inputs'!$B$19*'Inputs'!$B$46)*365,0)</x:f>
        <x:v>0.06799167840805456</x:v>
      </x:c>
      <x:c r="AK950" s="81" t="n">
        <x:f>W950/MAX($W$734:W950)-1</x:f>
        <x:v>-0.9965550616512943</x:v>
      </x:c>
      <x:c r="AL950" s="83" t="n">
        <x:f>'Inputs'!$B$46</x:f>
        <x:v>1</x:v>
      </x:c>
      <x:c r="AM950" s="83" t="n">
        <x:f>'Inputs'!$C$46</x:f>
        <x:v>1</x:v>
      </x:c>
      <x:c r="AN950" s="83" t="n">
        <x:f>'Inputs'!$D$46</x:f>
        <x:v>1</x:v>
      </x:c>
      <x:c r="AO950" s="81" t="n">
        <x:f>'Inputs'!$E$46</x:f>
        <x:v>0</x:v>
      </x:c>
    </x:row>
    <x:row r="951">
      <x:c r="A951" s="59" t="str">
        <x:v>Base</x:v>
      </x:c>
      <x:c r="B951" s="59" t="n">
        <x:v>218</x:v>
      </x:c>
      <x:c r="C951" s="78" t="n">
        <x:f>(('Inputs'!$B$29*(3*218*'Inputs'!$B$12-218^2)/(2*'Inputs'!$B$12^2))-('Inputs'!$B$29*(3*217*'Inputs'!$B$12-217^2)/(2*'Inputs'!$B$12^2)))*'Inputs'!$B$46</x:f>
        <x:v>641275.3330831528</x:v>
      </x:c>
      <x:c r="D951" s="78" t="n">
        <x:f>IF('Inputs'!$C$46&gt;0,('Inputs'!$B$30*(3*218*'Inputs'!$B$12-218^2)/(2*'Inputs'!$B$12^2))-('Inputs'!$B$30*(3*217*'Inputs'!$B$12-217^2)/(2*'Inputs'!$B$12^2)),0)</x:f>
        <x:v>274832.28560705483</x:v>
      </x:c>
      <x:c r="E951" s="78" t="n">
        <x:f>C951+D951</x:f>
        <x:v>916107.6186902076</x:v>
      </x:c>
      <x:c r="F951" s="78" t="n">
        <x:f>'Inputs'!$B$13*E951+(1-'Inputs'!$B$13)/'Inputs'!$B$14*SUM(E896:E951)</x:f>
        <x:v>926325.2955526412</x:v>
      </x:c>
      <x:c r="G951" s="78" t="n">
        <x:f>F951*'Inputs'!$F$46</x:f>
        <x:v>463162.6477763206</x:v>
      </x:c>
      <x:c r="H951" s="78" t="n">
        <x:f>U950</x:f>
        <x:v>100049257.1798779</x:v>
      </x:c>
      <x:c r="I951" s="78" t="n">
        <x:f>V950</x:f>
        <x:v>290.47724198276507</x:v>
      </x:c>
      <x:c r="J951" s="79" t="n">
        <x:f>IF(H951&gt;0,I951/H951,0)</x:f>
        <x:v>0.0000029033423152809414</x:v>
      </x:c>
      <x:c r="K951" s="80" t="n">
        <x:f>(H951*J951+I951)*'Inputs'!$D$46*(1+'Inputs'!$G$46)^(B951/30)</x:f>
        <x:v>580.9544839655301</x:v>
      </x:c>
      <x:c r="L951" s="80" t="n">
        <x:f>MAX(0,K951*'Inputs'!$E$46)</x:f>
        <x:v>0</x:v>
      </x:c>
      <x:c r="M951" s="80" t="n">
        <x:f>MAX(0,-K951*'Inputs'!$E$46)</x:f>
        <x:v>0</x:v>
      </x:c>
      <x:c r="N951" s="78" t="n">
        <x:f>H951*(L951*(1-'Inputs'!$B$15))/(I951+L951*(1-'Inputs'!$B$15))</x:f>
        <x:v>0</x:v>
      </x:c>
      <x:c r="O951" s="78" t="n">
        <x:f>H951-N951</x:f>
        <x:v>100049257.1798779</x:v>
      </x:c>
      <x:c r="P951" s="78" t="n">
        <x:f>I951+L951*(1-'Inputs'!$B$17)</x:f>
        <x:v>290.47724198276507</x:v>
      </x:c>
      <x:c r="Q951" s="78" t="n">
        <x:f>IF(J951&gt;0,M951/J951,0)</x:f>
        <x:v>0</x:v>
      </x:c>
      <x:c r="R951" s="78" t="n">
        <x:f>IF(B951='Inputs'!$H$46,'Inputs'!$B$27*'Inputs'!$I$46,0)</x:f>
        <x:v>0</x:v>
      </x:c>
      <x:c r="S951" s="78" t="n">
        <x:f>Q951+G951+R951</x:f>
        <x:v>463162.6477763206</x:v>
      </x:c>
      <x:c r="T951" s="78" t="n">
        <x:f>P951*(S951*(1-'Inputs'!$B$15))/(O951+S951*(1-'Inputs'!$B$15))</x:f>
        <x:v>1.3251990598355083</x:v>
      </x:c>
      <x:c r="U951" s="78" t="n">
        <x:f>O951+S951*(1-'Inputs'!$B$17)</x:f>
        <x:v>100510555.99406156</x:v>
      </x:c>
      <x:c r="V951" s="78" t="n">
        <x:f>P951-T951</x:f>
        <x:v>289.1520429229296</x:v>
      </x:c>
      <x:c r="W951" s="79" t="n">
        <x:f>IF(U951&gt;0,V951/U951,0)</x:f>
        <x:v>0.000002876832588012084</x:v>
      </x:c>
      <x:c r="X951" s="80" t="n">
        <x:f>W951*('Inputs'!$B$6-AC951)</x:f>
        <x:v>2751.704379535512</x:v>
      </x:c>
      <x:c r="Y951" s="80" t="n">
        <x:f>2*V951</x:f>
        <x:v>578.3040858458592</x:v>
      </x:c>
      <x:c r="Z951" s="80" t="n">
        <x:f>K951*'Inputs'!$B$16+(G951+R951)*J951*'Inputs'!$B$16</x:f>
        <x:v>3.4937952220780604</x:v>
      </x:c>
      <x:c r="AA951" s="80" t="n">
        <x:f>K951*(1+'Inputs'!$E$46)/2*'Inputs'!$B$17</x:f>
        <x:v>1.1689225029487529</x:v>
      </x:c>
      <x:c r="AB951" s="78" t="n">
        <x:f>(IF(J951&gt;0,K951*(1-'Inputs'!$E$46)/2/J951,0)+G951+R951)*'Inputs'!$B$17</x:f>
        <x:v>404476.53854186815</x:v>
      </x:c>
      <x:c r="AC951" s="78" t="n">
        <x:f>AC950+AB951</x:f>
        <x:v>43495130.37289256</x:v>
      </x:c>
      <x:c r="AD951" s="80" t="n">
        <x:f>Z951/(1+'Inputs'!$C$46)</x:f>
        <x:v>1.7468976110390302</x:v>
      </x:c>
      <x:c r="AE951" s="80" t="n">
        <x:f>Z951-AD951</x:f>
        <x:v>1.7468976110390302</x:v>
      </x:c>
      <x:c r="AF951" s="80" t="n">
        <x:f>D951*W951</x:f>
        <x:v>0.7906464754722198</x:v>
      </x:c>
      <x:c r="AG951" s="80" t="n">
        <x:f>C951*W951</x:f>
        <x:v>1.8448417761019176</x:v>
      </x:c>
      <x:c r="AH951" s="80" t="n">
        <x:f>2*'Inputs'!$B$8*'Inputs'!$C$46</x:f>
        <x:v>5000</x:v>
      </x:c>
      <x:c r="AI951" s="81" t="n">
        <x:f>IF(AH951&gt;0,(AE951+AF951)/AH951*365,0)</x:f>
        <x:v>0.18524071831532127</x:v>
      </x:c>
      <x:c r="AJ951" s="81" t="n">
        <x:f>IF('Inputs'!$B$46&gt;0,AG951/('Inputs'!$B$19*'Inputs'!$B$46)*365,0)</x:f>
        <x:v>0.06733672482771999</x:v>
      </x:c>
      <x:c r="AK951" s="81" t="n">
        <x:f>W951/MAX($W$734:W951)-1</x:f>
        <x:v>-0.9965865165629668</x:v>
      </x:c>
      <x:c r="AL951" s="83" t="n">
        <x:f>'Inputs'!$B$46</x:f>
        <x:v>1</x:v>
      </x:c>
      <x:c r="AM951" s="83" t="n">
        <x:f>'Inputs'!$C$46</x:f>
        <x:v>1</x:v>
      </x:c>
      <x:c r="AN951" s="83" t="n">
        <x:f>'Inputs'!$D$46</x:f>
        <x:v>1</x:v>
      </x:c>
      <x:c r="AO951" s="81" t="n">
        <x:f>'Inputs'!$E$46</x:f>
        <x:v>0</x:v>
      </x:c>
    </x:row>
    <x:row r="952">
      <x:c r="A952" s="59" t="str">
        <x:v>Base</x:v>
      </x:c>
      <x:c r="B952" s="59" t="n">
        <x:v>219</x:v>
      </x:c>
      <x:c r="C952" s="78" t="n">
        <x:f>(('Inputs'!$B$29*(3*219*'Inputs'!$B$12-219^2)/(2*'Inputs'!$B$12^2))-('Inputs'!$B$29*(3*218*'Inputs'!$B$12-218^2)/(2*'Inputs'!$B$12^2)))*'Inputs'!$B$46</x:f>
        <x:v>640950.2251829505</x:v>
      </x:c>
      <x:c r="D952" s="78" t="n">
        <x:f>IF('Inputs'!$C$46&gt;0,('Inputs'!$B$30*(3*219*'Inputs'!$B$12-219^2)/(2*'Inputs'!$B$12^2))-('Inputs'!$B$30*(3*218*'Inputs'!$B$12-218^2)/(2*'Inputs'!$B$12^2)),0)</x:f>
        <x:v>274692.95364984125</x:v>
      </x:c>
      <x:c r="E952" s="78" t="n">
        <x:f>C952+D952</x:f>
        <x:v>915643.1788327917</x:v>
      </x:c>
      <x:c r="F952" s="78" t="n">
        <x:f>'Inputs'!$B$13*E952+(1-'Inputs'!$B$13)/'Inputs'!$B$14*SUM(E897:E952)</x:f>
        <x:v>925860.8556952506</x:v>
      </x:c>
      <x:c r="G952" s="78" t="n">
        <x:f>F952*'Inputs'!$F$46</x:f>
        <x:v>462930.4278476253</x:v>
      </x:c>
      <x:c r="H952" s="78" t="n">
        <x:f>U951</x:f>
        <x:v>100510555.99406156</x:v>
      </x:c>
      <x:c r="I952" s="78" t="n">
        <x:f>V951</x:f>
        <x:v>289.1520429229296</x:v>
      </x:c>
      <x:c r="J952" s="79" t="n">
        <x:f>IF(H952&gt;0,I952/H952,0)</x:f>
        <x:v>0.000002876832588012084</x:v>
      </x:c>
      <x:c r="K952" s="80" t="n">
        <x:f>(H952*J952+I952)*'Inputs'!$D$46*(1+'Inputs'!$G$46)^(B952/30)</x:f>
        <x:v>578.3040858458592</x:v>
      </x:c>
      <x:c r="L952" s="80" t="n">
        <x:f>MAX(0,K952*'Inputs'!$E$46)</x:f>
        <x:v>0</x:v>
      </x:c>
      <x:c r="M952" s="80" t="n">
        <x:f>MAX(0,-K952*'Inputs'!$E$46)</x:f>
        <x:v>0</x:v>
      </x:c>
      <x:c r="N952" s="78" t="n">
        <x:f>H952*(L952*(1-'Inputs'!$B$15))/(I952+L952*(1-'Inputs'!$B$15))</x:f>
        <x:v>0</x:v>
      </x:c>
      <x:c r="O952" s="78" t="n">
        <x:f>H952-N952</x:f>
        <x:v>100510555.99406156</x:v>
      </x:c>
      <x:c r="P952" s="78" t="n">
        <x:f>I952+L952*(1-'Inputs'!$B$17)</x:f>
        <x:v>289.1520429229296</x:v>
      </x:c>
      <x:c r="Q952" s="78" t="n">
        <x:f>IF(J952&gt;0,M952/J952,0)</x:f>
        <x:v>0</x:v>
      </x:c>
      <x:c r="R952" s="78" t="n">
        <x:f>IF(B952='Inputs'!$H$46,'Inputs'!$B$27*'Inputs'!$I$46,0)</x:f>
        <x:v>0</x:v>
      </x:c>
      <x:c r="S952" s="78" t="n">
        <x:f>Q952+G952+R952</x:f>
        <x:v>462930.4278476253</x:v>
      </x:c>
      <x:c r="T952" s="78" t="n">
        <x:f>P952*(S952*(1-'Inputs'!$B$15))/(O952+S952*(1-'Inputs'!$B$15))</x:f>
        <x:v>1.312471091947753</x:v>
      </x:c>
      <x:c r="U952" s="78" t="n">
        <x:f>O952+S952*(1-'Inputs'!$B$17)</x:f>
        <x:v>100971623.52280316</x:v>
      </x:c>
      <x:c r="V952" s="78" t="n">
        <x:f>P952-T952</x:f>
        <x:v>287.8395718309818</x:v>
      </x:c>
      <x:c r="W952" s="79" t="n">
        <x:f>IF(U952&gt;0,V952/U952,0)</x:f>
        <x:v>0.000002850697669191948</x:v>
      </x:c>
      <x:c r="X952" s="80" t="n">
        <x:f>W952*('Inputs'!$B$6-AC952)</x:f>
        <x:v>2725.547872910131</x:v>
      </x:c>
      <x:c r="Y952" s="80" t="n">
        <x:f>2*V952</x:f>
        <x:v>575.6791436619636</x:v>
      </x:c>
      <x:c r="Z952" s="80" t="n">
        <x:f>K952*'Inputs'!$B$16+(G952+R952)*J952*'Inputs'!$B$16</x:f>
        <x:v>3.4778151551200414</x:v>
      </x:c>
      <x:c r="AA952" s="80" t="n">
        <x:f>K952*(1+'Inputs'!$E$46)/2*'Inputs'!$B$17</x:f>
        <x:v>1.163589709951427</x:v>
      </x:c>
      <x:c r="AB952" s="78" t="n">
        <x:f>(IF(J952&gt;0,K952*(1-'Inputs'!$E$46)/2/J952,0)+G952+R952)*'Inputs'!$B$17</x:f>
        <x:v>406331.9373115058</x:v>
      </x:c>
      <x:c r="AC952" s="78" t="n">
        <x:f>AC951+AB952</x:f>
        <x:v>43901462.31020407</x:v>
      </x:c>
      <x:c r="AD952" s="80" t="n">
        <x:f>Z952/(1+'Inputs'!$C$46)</x:f>
        <x:v>1.7389075775600207</x:v>
      </x:c>
      <x:c r="AE952" s="80" t="n">
        <x:f>Z952-AD952</x:f>
        <x:v>1.7389075775600207</x:v>
      </x:c>
      <x:c r="AF952" s="80" t="n">
        <x:f>D952*W952</x:f>
        <x:v>0.7830665627130542</x:v>
      </x:c>
      <x:c r="AG952" s="80" t="n">
        <x:f>C952*W952</x:f>
        <x:v>1.827155312997091</x:v>
      </x:c>
      <x:c r="AH952" s="80" t="n">
        <x:f>2*'Inputs'!$B$8*'Inputs'!$C$46</x:f>
        <x:v>5000</x:v>
      </x:c>
      <x:c r="AI952" s="81" t="n">
        <x:f>IF(AH952&gt;0,(AE952+AF952)/AH952*365,0)</x:f>
        <x:v>0.18410411223993448</x:v>
      </x:c>
      <x:c r="AJ952" s="81" t="n">
        <x:f>IF('Inputs'!$B$46&gt;0,AG952/('Inputs'!$B$19*'Inputs'!$B$46)*365,0)</x:f>
        <x:v>0.06669116892439382</x:v>
      </x:c>
      <x:c r="AK952" s="81" t="n">
        <x:f>W952/MAX($W$734:W952)-1</x:f>
        <x:v>-0.996617526748576</x:v>
      </x:c>
      <x:c r="AL952" s="83" t="n">
        <x:f>'Inputs'!$B$46</x:f>
        <x:v>1</x:v>
      </x:c>
      <x:c r="AM952" s="83" t="n">
        <x:f>'Inputs'!$C$46</x:f>
        <x:v>1</x:v>
      </x:c>
      <x:c r="AN952" s="83" t="n">
        <x:f>'Inputs'!$D$46</x:f>
        <x:v>1</x:v>
      </x:c>
      <x:c r="AO952" s="81" t="n">
        <x:f>'Inputs'!$E$46</x:f>
        <x:v>0</x:v>
      </x:c>
    </x:row>
    <x:row r="953">
      <x:c r="A953" s="59" t="str">
        <x:v>Base</x:v>
      </x:c>
      <x:c r="B953" s="59" t="n">
        <x:v>220</x:v>
      </x:c>
      <x:c r="C953" s="78" t="n">
        <x:f>(('Inputs'!$B$29*(3*220*'Inputs'!$B$12-220^2)/(2*'Inputs'!$B$12^2))-('Inputs'!$B$29*(3*219*'Inputs'!$B$12-219^2)/(2*'Inputs'!$B$12^2)))*'Inputs'!$B$46</x:f>
        <x:v>640625.117282778</x:v>
      </x:c>
      <x:c r="D953" s="78" t="n">
        <x:f>IF('Inputs'!$C$46&gt;0,('Inputs'!$B$30*(3*220*'Inputs'!$B$12-220^2)/(2*'Inputs'!$B$12^2))-('Inputs'!$B$30*(3*219*'Inputs'!$B$12-219^2)/(2*'Inputs'!$B$12^2)),0)</x:f>
        <x:v>274553.62169262767</x:v>
      </x:c>
      <x:c r="E953" s="78" t="n">
        <x:f>C953+D953</x:f>
        <x:v>915178.7389754057</x:v>
      </x:c>
      <x:c r="F953" s="78" t="n">
        <x:f>'Inputs'!$B$13*E953+(1-'Inputs'!$B$13)/'Inputs'!$B$14*SUM(E898:E953)</x:f>
        <x:v>925396.4158378658</x:v>
      </x:c>
      <x:c r="G953" s="78" t="n">
        <x:f>F953*'Inputs'!$F$46</x:f>
        <x:v>462698.2079189329</x:v>
      </x:c>
      <x:c r="H953" s="78" t="n">
        <x:f>U952</x:f>
        <x:v>100971623.52280316</x:v>
      </x:c>
      <x:c r="I953" s="78" t="n">
        <x:f>V952</x:f>
        <x:v>287.8395718309818</x:v>
      </x:c>
      <x:c r="J953" s="79" t="n">
        <x:f>IF(H953&gt;0,I953/H953,0)</x:f>
        <x:v>0.000002850697669191948</x:v>
      </x:c>
      <x:c r="K953" s="80" t="n">
        <x:f>(H953*J953+I953)*'Inputs'!$D$46*(1+'Inputs'!$G$46)^(B953/30)</x:f>
        <x:v>575.6791436619636</x:v>
      </x:c>
      <x:c r="L953" s="80" t="n">
        <x:f>MAX(0,K953*'Inputs'!$E$46)</x:f>
        <x:v>0</x:v>
      </x:c>
      <x:c r="M953" s="80" t="n">
        <x:f>MAX(0,-K953*'Inputs'!$E$46)</x:f>
        <x:v>0</x:v>
      </x:c>
      <x:c r="N953" s="78" t="n">
        <x:f>H953*(L953*(1-'Inputs'!$B$15))/(I953+L953*(1-'Inputs'!$B$15))</x:f>
        <x:v>0</x:v>
      </x:c>
      <x:c r="O953" s="78" t="n">
        <x:f>H953-N953</x:f>
        <x:v>100971623.52280316</x:v>
      </x:c>
      <x:c r="P953" s="78" t="n">
        <x:f>I953+L953*(1-'Inputs'!$B$17)</x:f>
        <x:v>287.8395718309818</x:v>
      </x:c>
      <x:c r="Q953" s="78" t="n">
        <x:f>IF(J953&gt;0,M953/J953,0)</x:f>
        <x:v>0</x:v>
      </x:c>
      <x:c r="R953" s="78" t="n">
        <x:f>IF(B953='Inputs'!$H$46,'Inputs'!$B$27*'Inputs'!$I$46,0)</x:f>
        <x:v>0</x:v>
      </x:c>
      <x:c r="S953" s="78" t="n">
        <x:f>Q953+G953+R953</x:f>
        <x:v>462698.2079189329</x:v>
      </x:c>
      <x:c r="T953" s="78" t="n">
        <x:f>P953*(S953*(1-'Inputs'!$B$15))/(O953+S953*(1-'Inputs'!$B$15))</x:f>
        <x:v>1.2999252915090616</x:v>
      </x:c>
      <x:c r="U953" s="78" t="n">
        <x:f>O953+S953*(1-'Inputs'!$B$17)</x:f>
        <x:v>101432459.7661027</x:v>
      </x:c>
      <x:c r="V953" s="78" t="n">
        <x:f>P953-T953</x:f>
        <x:v>286.53964653947276</x:v>
      </x:c>
      <x:c r="W953" s="79" t="n">
        <x:f>IF(U953&gt;0,V953/U953,0)</x:f>
        <x:v>0.0000028249304729493535</x:v>
      </x:c>
      <x:c r="X953" s="80" t="n">
        <x:f>W953*('Inputs'!$B$6-AC953)</x:f>
        <x:v>2699.758796047089</x:v>
      </x:c>
      <x:c r="Y953" s="80" t="n">
        <x:f>2*V953</x:f>
        <x:v>573.0792930789455</x:v>
      </x:c>
      <x:c r="Z953" s="80" t="n">
        <x:f>K953*'Inputs'!$B$16+(G953+R953)*J953*'Inputs'!$B$16</x:f>
        <x:v>3.4619889381889046</x:v>
      </x:c>
      <x:c r="AA953" s="80" t="n">
        <x:f>K953*(1+'Inputs'!$E$46)/2*'Inputs'!$B$17</x:f>
        <x:v>1.1583081361407719</x:v>
      </x:c>
      <x:c r="AB953" s="78" t="n">
        <x:f>(IF(J953&gt;0,K953*(1-'Inputs'!$E$46)/2/J953,0)+G953+R953)*'Inputs'!$B$17</x:f>
        <x:v>408186.4053550185</x:v>
      </x:c>
      <x:c r="AC953" s="78" t="n">
        <x:f>AC952+AB953</x:f>
        <x:v>44309648.71555909</x:v>
      </x:c>
      <x:c r="AD953" s="80" t="n">
        <x:f>Z953/(1+'Inputs'!$C$46)</x:f>
        <x:v>1.7309944690944523</x:v>
      </x:c>
      <x:c r="AE953" s="80" t="n">
        <x:f>Z953-AD953</x:f>
        <x:v>1.7309944690944523</x:v>
      </x:c>
      <x:c r="AF953" s="80" t="n">
        <x:f>D953*W953</x:f>
        <x:v>0.7755948923781125</x:v>
      </x:c>
      <x:c r="AG953" s="80" t="n">
        <x:f>C953*W953</x:f>
        <x:v>1.8097214155488732</x:v>
      </x:c>
      <x:c r="AH953" s="80" t="n">
        <x:f>2*'Inputs'!$B$8*'Inputs'!$C$46</x:f>
        <x:v>5000</x:v>
      </x:c>
      <x:c r="AI953" s="81" t="n">
        <x:f>IF(AH953&gt;0,(AE953+AF953)/AH953*365,0)</x:f>
        <x:v>0.18298102338749722</x:v>
      </x:c>
      <x:c r="AJ953" s="81" t="n">
        <x:f>IF('Inputs'!$B$46&gt;0,AG953/('Inputs'!$B$19*'Inputs'!$B$46)*365,0)</x:f>
        <x:v>0.06605483166753387</x:v>
      </x:c>
      <x:c r="AK953" s="81" t="n">
        <x:f>W953/MAX($W$734:W953)-1</x:f>
        <x:v>-0.9966481006158073</x:v>
      </x:c>
      <x:c r="AL953" s="83" t="n">
        <x:f>'Inputs'!$B$46</x:f>
        <x:v>1</x:v>
      </x:c>
      <x:c r="AM953" s="83" t="n">
        <x:f>'Inputs'!$C$46</x:f>
        <x:v>1</x:v>
      </x:c>
      <x:c r="AN953" s="83" t="n">
        <x:f>'Inputs'!$D$46</x:f>
        <x:v>1</x:v>
      </x:c>
      <x:c r="AO953" s="81" t="n">
        <x:f>'Inputs'!$E$46</x:f>
        <x:v>0</x:v>
      </x:c>
    </x:row>
    <x:row r="954">
      <x:c r="A954" s="59" t="str">
        <x:v>Base</x:v>
      </x:c>
      <x:c r="B954" s="59" t="n">
        <x:v>221</x:v>
      </x:c>
      <x:c r="C954" s="78" t="n">
        <x:f>(('Inputs'!$B$29*(3*221*'Inputs'!$B$12-221^2)/(2*'Inputs'!$B$12^2))-('Inputs'!$B$29*(3*220*'Inputs'!$B$12-220^2)/(2*'Inputs'!$B$12^2)))*'Inputs'!$B$46</x:f>
        <x:v>640300.0093826354</x:v>
      </x:c>
      <x:c r="D954" s="78" t="n">
        <x:f>IF('Inputs'!$C$46&gt;0,('Inputs'!$B$30*(3*221*'Inputs'!$B$12-221^2)/(2*'Inputs'!$B$12^2))-('Inputs'!$B$30*(3*220*'Inputs'!$B$12-220^2)/(2*'Inputs'!$B$12^2)),0)</x:f>
        <x:v>274414.28973540664</x:v>
      </x:c>
      <x:c r="E954" s="78" t="n">
        <x:f>C954+D954</x:f>
        <x:v>914714.299118042</x:v>
      </x:c>
      <x:c r="F954" s="78" t="n">
        <x:f>'Inputs'!$B$13*E954+(1-'Inputs'!$B$13)/'Inputs'!$B$14*SUM(E899:E954)</x:f>
        <x:v>924931.9759804859</x:v>
      </x:c>
      <x:c r="G954" s="78" t="n">
        <x:f>F954*'Inputs'!$F$46</x:f>
        <x:v>462465.98799024295</x:v>
      </x:c>
      <x:c r="H954" s="78" t="n">
        <x:f>U953</x:f>
        <x:v>101432459.7661027</x:v>
      </x:c>
      <x:c r="I954" s="78" t="n">
        <x:f>V953</x:f>
        <x:v>286.53964653947276</x:v>
      </x:c>
      <x:c r="J954" s="79" t="n">
        <x:f>IF(H954&gt;0,I954/H954,0)</x:f>
        <x:v>0.0000028249304729493535</x:v>
      </x:c>
      <x:c r="K954" s="80" t="n">
        <x:f>(H954*J954+I954)*'Inputs'!$D$46*(1+'Inputs'!$G$46)^(B954/30)</x:f>
        <x:v>573.0792930789455</x:v>
      </x:c>
      <x:c r="L954" s="80" t="n">
        <x:f>MAX(0,K954*'Inputs'!$E$46)</x:f>
        <x:v>0</x:v>
      </x:c>
      <x:c r="M954" s="80" t="n">
        <x:f>MAX(0,-K954*'Inputs'!$E$46)</x:f>
        <x:v>0</x:v>
      </x:c>
      <x:c r="N954" s="78" t="n">
        <x:f>H954*(L954*(1-'Inputs'!$B$15))/(I954+L954*(1-'Inputs'!$B$15))</x:f>
        <x:v>0</x:v>
      </x:c>
      <x:c r="O954" s="78" t="n">
        <x:f>H954-N954</x:f>
        <x:v>101432459.7661027</x:v>
      </x:c>
      <x:c r="P954" s="78" t="n">
        <x:f>I954+L954*(1-'Inputs'!$B$17)</x:f>
        <x:v>286.53964653947276</x:v>
      </x:c>
      <x:c r="Q954" s="78" t="n">
        <x:f>IF(J954&gt;0,M954/J954,0)</x:f>
        <x:v>0</x:v>
      </x:c>
      <x:c r="R954" s="78" t="n">
        <x:f>IF(B954='Inputs'!$H$46,'Inputs'!$B$27*'Inputs'!$I$46,0)</x:f>
        <x:v>0</x:v>
      </x:c>
      <x:c r="S954" s="78" t="n">
        <x:f>Q954+G954+R954</x:f>
        <x:v>462465.98799024295</x:v>
      </x:c>
      <x:c r="T954" s="78" t="n">
        <x:f>P954*(S954*(1-'Inputs'!$B$15))/(O954+S954*(1-'Inputs'!$B$15))</x:f>
        <x:v>1.2875581966000371</x:v>
      </x:c>
      <x:c r="U954" s="78" t="n">
        <x:f>O954+S954*(1-'Inputs'!$B$17)</x:f>
        <x:v>101893064.72396019</x:v>
      </x:c>
      <x:c r="V954" s="78" t="n">
        <x:f>P954-T954</x:f>
        <x:v>285.2520883428727</x:v>
      </x:c>
      <x:c r="W954" s="79" t="n">
        <x:f>IF(U954&gt;0,V954/U954,0)</x:f>
        <x:v>0.0000027995240806197437</x:v>
      </x:c>
      <x:c r="X954" s="80" t="n">
        <x:f>W954*('Inputs'!$B$6-AC954)</x:f>
        <x:v>2674.330235343207</x:v>
      </x:c>
      <x:c r="Y954" s="80" t="n">
        <x:f>2*V954</x:f>
        <x:v>570.5041766857454</x:v>
      </x:c>
      <x:c r="Z954" s="80" t="n">
        <x:f>K954*'Inputs'!$B$16+(G954+R954)*J954*'Inputs'!$B$16</x:f>
        <x:v>3.4463143640467306</x:v>
      </x:c>
      <x:c r="AA954" s="80" t="n">
        <x:f>K954*(1+'Inputs'!$E$46)/2*'Inputs'!$B$17</x:f>
        <x:v>1.1530770484485826</x:v>
      </x:c>
      <x:c r="AB954" s="78" t="n">
        <x:f>(IF(J954&gt;0,K954*(1-'Inputs'!$E$46)/2/J954,0)+G954+R954)*'Inputs'!$B$17</x:f>
        <x:v>410039.94267240627</x:v>
      </x:c>
      <x:c r="AC954" s="78" t="n">
        <x:f>AC953+AB954</x:f>
        <x:v>44719688.6582315</x:v>
      </x:c>
      <x:c r="AD954" s="80" t="n">
        <x:f>Z954/(1+'Inputs'!$C$46)</x:f>
        <x:v>1.7231571820233653</x:v>
      </x:c>
      <x:c r="AE954" s="80" t="n">
        <x:f>Z954-AD954</x:f>
        <x:v>1.7231571820233653</x:v>
      </x:c>
      <x:c r="AF954" s="80" t="n">
        <x:f>D954*W954</x:f>
        <x:v>0.7682294121804343</x:v>
      </x:c>
      <x:c r="AG954" s="80" t="n">
        <x:f>C954*W954</x:f>
        <x:v>1.7925352950877356</x:v>
      </x:c>
      <x:c r="AH954" s="80" t="n">
        <x:f>2*'Inputs'!$B$8*'Inputs'!$C$46</x:f>
        <x:v>5000</x:v>
      </x:c>
      <x:c r="AI954" s="81" t="n">
        <x:f>IF(AH954&gt;0,(AE954+AF954)/AH954*365,0)</x:f>
        <x:v>0.18187122137687736</x:v>
      </x:c>
      <x:c r="AJ954" s="81" t="n">
        <x:f>IF('Inputs'!$B$46&gt;0,AG954/('Inputs'!$B$19*'Inputs'!$B$46)*365,0)</x:f>
        <x:v>0.06542753827070236</x:v>
      </x:c>
      <x:c r="AK954" s="81" t="n">
        <x:f>W954/MAX($W$734:W954)-1</x:f>
        <x:v>-0.9966782463739489</x:v>
      </x:c>
      <x:c r="AL954" s="83" t="n">
        <x:f>'Inputs'!$B$46</x:f>
        <x:v>1</x:v>
      </x:c>
      <x:c r="AM954" s="83" t="n">
        <x:f>'Inputs'!$C$46</x:f>
        <x:v>1</x:v>
      </x:c>
      <x:c r="AN954" s="83" t="n">
        <x:f>'Inputs'!$D$46</x:f>
        <x:v>1</x:v>
      </x:c>
      <x:c r="AO954" s="81" t="n">
        <x:f>'Inputs'!$E$46</x:f>
        <x:v>0</x:v>
      </x:c>
    </x:row>
    <x:row r="955">
      <x:c r="A955" s="59" t="str">
        <x:v>Base</x:v>
      </x:c>
      <x:c r="B955" s="59" t="n">
        <x:v>222</x:v>
      </x:c>
      <x:c r="C955" s="78" t="n">
        <x:f>(('Inputs'!$B$29*(3*222*'Inputs'!$B$12-222^2)/(2*'Inputs'!$B$12^2))-('Inputs'!$B$29*(3*221*'Inputs'!$B$12-221^2)/(2*'Inputs'!$B$12^2)))*'Inputs'!$B$46</x:f>
        <x:v>639974.9014824629</x:v>
      </x:c>
      <x:c r="D955" s="78" t="n">
        <x:f>IF('Inputs'!$C$46&gt;0,('Inputs'!$B$30*(3*222*'Inputs'!$B$12-222^2)/(2*'Inputs'!$B$12^2))-('Inputs'!$B$30*(3*221*'Inputs'!$B$12-221^2)/(2*'Inputs'!$B$12^2)),0)</x:f>
        <x:v>274274.95777819306</x:v>
      </x:c>
      <x:c r="E955" s="78" t="n">
        <x:f>C955+D955</x:f>
        <x:v>914249.8592606559</x:v>
      </x:c>
      <x:c r="F955" s="78" t="n">
        <x:f>'Inputs'!$B$13*E955+(1-'Inputs'!$B$13)/'Inputs'!$B$14*SUM(E900:E955)</x:f>
        <x:v>924467.5361231014</x:v>
      </x:c>
      <x:c r="G955" s="78" t="n">
        <x:f>F955*'Inputs'!$F$46</x:f>
        <x:v>462233.7680615507</x:v>
      </x:c>
      <x:c r="H955" s="78" t="n">
        <x:f>U954</x:f>
        <x:v>101893064.72396019</x:v>
      </x:c>
      <x:c r="I955" s="78" t="n">
        <x:f>V954</x:f>
        <x:v>285.2520883428727</x:v>
      </x:c>
      <x:c r="J955" s="79" t="n">
        <x:f>IF(H955&gt;0,I955/H955,0)</x:f>
        <x:v>0.0000027995240806197437</x:v>
      </x:c>
      <x:c r="K955" s="80" t="n">
        <x:f>(H955*J955+I955)*'Inputs'!$D$46*(1+'Inputs'!$G$46)^(B955/30)</x:f>
        <x:v>570.5041766857454</x:v>
      </x:c>
      <x:c r="L955" s="80" t="n">
        <x:f>MAX(0,K955*'Inputs'!$E$46)</x:f>
        <x:v>0</x:v>
      </x:c>
      <x:c r="M955" s="80" t="n">
        <x:f>MAX(0,-K955*'Inputs'!$E$46)</x:f>
        <x:v>0</x:v>
      </x:c>
      <x:c r="N955" s="78" t="n">
        <x:f>H955*(L955*(1-'Inputs'!$B$15))/(I955+L955*(1-'Inputs'!$B$15))</x:f>
        <x:v>0</x:v>
      </x:c>
      <x:c r="O955" s="78" t="n">
        <x:f>H955-N955</x:f>
        <x:v>101893064.72396019</x:v>
      </x:c>
      <x:c r="P955" s="78" t="n">
        <x:f>I955+L955*(1-'Inputs'!$B$17)</x:f>
        <x:v>285.2520883428727</x:v>
      </x:c>
      <x:c r="Q955" s="78" t="n">
        <x:f>IF(J955&gt;0,M955/J955,0)</x:f>
        <x:v>0</x:v>
      </x:c>
      <x:c r="R955" s="78" t="n">
        <x:f>IF(B955='Inputs'!$H$46,'Inputs'!$B$27*'Inputs'!$I$46,0)</x:f>
        <x:v>0</x:v>
      </x:c>
      <x:c r="S955" s="78" t="n">
        <x:f>Q955+G955+R955</x:f>
        <x:v>462233.7680615507</x:v>
      </x:c>
      <x:c r="T955" s="78" t="n">
        <x:f>P955*(S955*(1-'Inputs'!$B$15))/(O955+S955*(1-'Inputs'!$B$15))</x:f>
        <x:v>1.275366427173274</x:v>
      </x:c>
      <x:c r="U955" s="78" t="n">
        <x:f>O955+S955*(1-'Inputs'!$B$17)</x:f>
        <x:v>102353438.39637561</x:v>
      </x:c>
      <x:c r="V955" s="78" t="n">
        <x:f>P955-T955</x:f>
        <x:v>283.97672191569944</x:v>
      </x:c>
      <x:c r="W955" s="79" t="n">
        <x:f>IF(U955&gt;0,V955/U955,0)</x:f>
        <x:v>0.000002774471736024798</x:v>
      </x:c>
      <x:c r="X955" s="80" t="n">
        <x:f>W955*('Inputs'!$B$6-AC955)</x:f>
        <x:v>2649.2554395624948</x:v>
      </x:c>
      <x:c r="Y955" s="80" t="n">
        <x:f>2*V955</x:f>
        <x:v>567.9534438313989</x:v>
      </x:c>
      <x:c r="Z955" s="80" t="n">
        <x:f>K955*'Inputs'!$B$16+(G955+R955)*J955*'Inputs'!$B$16</x:f>
        <x:v>3.430789267501856</x:v>
      </x:c>
      <x:c r="AA955" s="80" t="n">
        <x:f>K955*(1+'Inputs'!$E$46)/2*'Inputs'!$B$17</x:f>
        <x:v>1.1478957277379185</x:v>
      </x:c>
      <x:c r="AB955" s="78" t="n">
        <x:f>(IF(J955&gt;0,K955*(1-'Inputs'!$E$46)/2/J955,0)+G955+R955)*'Inputs'!$B$17</x:f>
        <x:v>411892.549263669</x:v>
      </x:c>
      <x:c r="AC955" s="78" t="n">
        <x:f>AC954+AB955</x:f>
        <x:v>45131581.20749517</x:v>
      </x:c>
      <x:c r="AD955" s="80" t="n">
        <x:f>Z955/(1+'Inputs'!$C$46)</x:f>
        <x:v>1.715394633750928</x:v>
      </x:c>
      <x:c r="AE955" s="80" t="n">
        <x:f>Z955-AD955</x:f>
        <x:v>1.715394633750928</x:v>
      </x:c>
      <x:c r="AF955" s="80" t="n">
        <x:f>D955*W955</x:f>
        <x:v>0.7609681182549914</x:v>
      </x:c>
      <x:c r="AG955" s="80" t="n">
        <x:f>C955*W955</x:f>
        <x:v>1.7755922759283478</x:v>
      </x:c>
      <x:c r="AH955" s="80" t="n">
        <x:f>2*'Inputs'!$B$8*'Inputs'!$C$46</x:f>
        <x:v>5000</x:v>
      </x:c>
      <x:c r="AI955" s="81" t="n">
        <x:f>IF(AH955&gt;0,(AE955+AF955)/AH955*365,0)</x:f>
        <x:v>0.18077448089643217</x:v>
      </x:c>
      <x:c r="AJ955" s="81" t="n">
        <x:f>IF('Inputs'!$B$46&gt;0,AG955/('Inputs'!$B$19*'Inputs'!$B$46)*365,0)</x:f>
        <x:v>0.06480911807138469</x:v>
      </x:c>
      <x:c r="AK955" s="81" t="n">
        <x:f>W955/MAX($W$734:W955)-1</x:f>
        <x:v>-0.9967079720394917</x:v>
      </x:c>
      <x:c r="AL955" s="83" t="n">
        <x:f>'Inputs'!$B$46</x:f>
        <x:v>1</x:v>
      </x:c>
      <x:c r="AM955" s="83" t="n">
        <x:f>'Inputs'!$C$46</x:f>
        <x:v>1</x:v>
      </x:c>
      <x:c r="AN955" s="83" t="n">
        <x:f>'Inputs'!$D$46</x:f>
        <x:v>1</x:v>
      </x:c>
      <x:c r="AO955" s="81" t="n">
        <x:f>'Inputs'!$E$46</x:f>
        <x:v>0</x:v>
      </x:c>
    </x:row>
    <x:row r="956">
      <x:c r="A956" s="59" t="str">
        <x:v>Base</x:v>
      </x:c>
      <x:c r="B956" s="59" t="n">
        <x:v>223</x:v>
      </x:c>
      <x:c r="C956" s="78" t="n">
        <x:f>(('Inputs'!$B$29*(3*223*'Inputs'!$B$12-223^2)/(2*'Inputs'!$B$12^2))-('Inputs'!$B$29*(3*222*'Inputs'!$B$12-222^2)/(2*'Inputs'!$B$12^2)))*'Inputs'!$B$46</x:f>
        <x:v>639649.7935822904</x:v>
      </x:c>
      <x:c r="D956" s="78" t="n">
        <x:f>IF('Inputs'!$C$46&gt;0,('Inputs'!$B$30*(3*223*'Inputs'!$B$12-223^2)/(2*'Inputs'!$B$12^2))-('Inputs'!$B$30*(3*222*'Inputs'!$B$12-222^2)/(2*'Inputs'!$B$12^2)),0)</x:f>
        <x:v>274135.6258209795</x:v>
      </x:c>
      <x:c r="E956" s="78" t="n">
        <x:f>C956+D956</x:f>
        <x:v>913785.4194032699</x:v>
      </x:c>
      <x:c r="F956" s="78" t="n">
        <x:f>'Inputs'!$B$13*E956+(1-'Inputs'!$B$13)/'Inputs'!$B$14*SUM(E901:E956)</x:f>
        <x:v>924003.096265717</x:v>
      </x:c>
      <x:c r="G956" s="78" t="n">
        <x:f>F956*'Inputs'!$F$46</x:f>
        <x:v>462001.5481328585</x:v>
      </x:c>
      <x:c r="H956" s="78" t="n">
        <x:f>U955</x:f>
        <x:v>102353438.39637561</x:v>
      </x:c>
      <x:c r="I956" s="78" t="n">
        <x:f>V955</x:f>
        <x:v>283.97672191569944</x:v>
      </x:c>
      <x:c r="J956" s="79" t="n">
        <x:f>IF(H956&gt;0,I956/H956,0)</x:f>
        <x:v>0.000002774471736024798</x:v>
      </x:c>
      <x:c r="K956" s="80" t="n">
        <x:f>(H956*J956+I956)*'Inputs'!$D$46*(1+'Inputs'!$G$46)^(B956/30)</x:f>
        <x:v>567.9534438313989</x:v>
      </x:c>
      <x:c r="L956" s="80" t="n">
        <x:f>MAX(0,K956*'Inputs'!$E$46)</x:f>
        <x:v>0</x:v>
      </x:c>
      <x:c r="M956" s="80" t="n">
        <x:f>MAX(0,-K956*'Inputs'!$E$46)</x:f>
        <x:v>0</x:v>
      </x:c>
      <x:c r="N956" s="78" t="n">
        <x:f>H956*(L956*(1-'Inputs'!$B$15))/(I956+L956*(1-'Inputs'!$B$15))</x:f>
        <x:v>0</x:v>
      </x:c>
      <x:c r="O956" s="78" t="n">
        <x:f>H956-N956</x:f>
        <x:v>102353438.39637561</x:v>
      </x:c>
      <x:c r="P956" s="78" t="n">
        <x:f>I956+L956*(1-'Inputs'!$B$17)</x:f>
        <x:v>283.97672191569944</x:v>
      </x:c>
      <x:c r="Q956" s="78" t="n">
        <x:f>IF(J956&gt;0,M956/J956,0)</x:f>
        <x:v>0</x:v>
      </x:c>
      <x:c r="R956" s="78" t="n">
        <x:f>IF(B956='Inputs'!$H$46,'Inputs'!$B$27*'Inputs'!$I$46,0)</x:f>
        <x:v>0</x:v>
      </x:c>
      <x:c r="S956" s="78" t="n">
        <x:f>Q956+G956+R956</x:f>
        <x:v>462001.5481328585</x:v>
      </x:c>
      <x:c r="T956" s="78" t="n">
        <x:f>P956*(S956*(1-'Inputs'!$B$15))/(O956+S956*(1-'Inputs'!$B$15))</x:f>
        <x:v>1.2633466827404278</x:v>
      </x:c>
      <x:c r="U956" s="78" t="n">
        <x:f>O956+S956*(1-'Inputs'!$B$17)</x:f>
        <x:v>102813580.78334898</x:v>
      </x:c>
      <x:c r="V956" s="78" t="n">
        <x:f>P956-T956</x:f>
        <x:v>282.71337523295904</x:v>
      </x:c>
      <x:c r="W956" s="79" t="n">
        <x:f>IF(U956&gt;0,V956/U956,0)</x:f>
        <x:v>0.0000027497668409069308</x:v>
      </x:c>
      <x:c r="X956" s="80" t="n">
        <x:f>W956*('Inputs'!$B$6-AC956)</x:f>
        <x:v>2624.527815273986</x:v>
      </x:c>
      <x:c r="Y956" s="80" t="n">
        <x:f>2*V956</x:f>
        <x:v>565.4267504659181</x:v>
      </x:c>
      <x:c r="Z956" s="80" t="n">
        <x:f>K956*'Inputs'!$B$16+(G956+R956)*J956*'Inputs'!$B$16</x:f>
        <x:v>3.4154115244121592</x:v>
      </x:c>
      <x:c r="AA956" s="80" t="n">
        <x:f>K956*(1+'Inputs'!$E$46)/2*'Inputs'!$B$17</x:f>
        <x:v>1.1427634684736396</x:v>
      </x:c>
      <x:c r="AB956" s="78" t="n">
        <x:f>(IF(J956&gt;0,K956*(1-'Inputs'!$E$46)/2/J956,0)+G956+R956)*'Inputs'!$B$17</x:f>
        <x:v>413744.2251288067</x:v>
      </x:c>
      <x:c r="AC956" s="78" t="n">
        <x:f>AC955+AB956</x:f>
        <x:v>45545325.432623975</x:v>
      </x:c>
      <x:c r="AD956" s="80" t="n">
        <x:f>Z956/(1+'Inputs'!$C$46)</x:f>
        <x:v>1.7077057622060796</x:v>
      </x:c>
      <x:c r="AE956" s="80" t="n">
        <x:f>Z956-AD956</x:f>
        <x:v>1.7077057622060796</x:v>
      </x:c>
      <x:c r="AF956" s="80" t="n">
        <x:f>D956*W956</x:f>
        <x:v>0.7538090537937991</x:v>
      </x:c>
      <x:c r="AG956" s="80" t="n">
        <x:f>C956*W956</x:f>
        <x:v>1.758887792185545</x:v>
      </x:c>
      <x:c r="AH956" s="80" t="n">
        <x:f>2*'Inputs'!$B$8*'Inputs'!$C$46</x:f>
        <x:v>5000</x:v>
      </x:c>
      <x:c r="AI956" s="81" t="n">
        <x:f>IF(AH956&gt;0,(AE956+AF956)/AH956*365,0)</x:f>
        <x:v>0.17969058156799114</x:v>
      </x:c>
      <x:c r="AJ956" s="81" t="n">
        <x:f>IF('Inputs'!$B$46&gt;0,AG956/('Inputs'!$B$19*'Inputs'!$B$46)*365,0)</x:f>
        <x:v>0.0641994044147724</x:v>
      </x:c>
      <x:c r="AK956" s="81" t="n">
        <x:f>W956/MAX($W$734:W956)-1</x:f>
        <x:v>-0.996737285441547</x:v>
      </x:c>
      <x:c r="AL956" s="83" t="n">
        <x:f>'Inputs'!$B$46</x:f>
        <x:v>1</x:v>
      </x:c>
      <x:c r="AM956" s="83" t="n">
        <x:f>'Inputs'!$C$46</x:f>
        <x:v>1</x:v>
      </x:c>
      <x:c r="AN956" s="83" t="n">
        <x:f>'Inputs'!$D$46</x:f>
        <x:v>1</x:v>
      </x:c>
      <x:c r="AO956" s="81" t="n">
        <x:f>'Inputs'!$E$46</x:f>
        <x:v>0</x:v>
      </x:c>
    </x:row>
    <x:row r="957">
      <x:c r="A957" s="59" t="str">
        <x:v>Base</x:v>
      </x:c>
      <x:c r="B957" s="59" t="n">
        <x:v>224</x:v>
      </x:c>
      <x:c r="C957" s="78" t="n">
        <x:f>(('Inputs'!$B$29*(3*224*'Inputs'!$B$12-224^2)/(2*'Inputs'!$B$12^2))-('Inputs'!$B$29*(3*223*'Inputs'!$B$12-223^2)/(2*'Inputs'!$B$12^2)))*'Inputs'!$B$46</x:f>
        <x:v>639324.6856821179</x:v>
      </x:c>
      <x:c r="D957" s="78" t="n">
        <x:f>IF('Inputs'!$C$46&gt;0,('Inputs'!$B$30*(3*224*'Inputs'!$B$12-224^2)/(2*'Inputs'!$B$12^2))-('Inputs'!$B$30*(3*223*'Inputs'!$B$12-223^2)/(2*'Inputs'!$B$12^2)),0)</x:f>
        <x:v>273996.2938637659</x:v>
      </x:c>
      <x:c r="E957" s="78" t="n">
        <x:f>C957+D957</x:f>
        <x:v>913320.9795458838</x:v>
      </x:c>
      <x:c r="F957" s="78" t="n">
        <x:f>'Inputs'!$B$13*E957+(1-'Inputs'!$B$13)/'Inputs'!$B$14*SUM(E902:E957)</x:f>
        <x:v>923538.6564083325</x:v>
      </x:c>
      <x:c r="G957" s="78" t="n">
        <x:f>F957*'Inputs'!$F$46</x:f>
        <x:v>461769.32820416626</x:v>
      </x:c>
      <x:c r="H957" s="78" t="n">
        <x:f>U956</x:f>
        <x:v>102813580.78334898</x:v>
      </x:c>
      <x:c r="I957" s="78" t="n">
        <x:f>V956</x:f>
        <x:v>282.71337523295904</x:v>
      </x:c>
      <x:c r="J957" s="79" t="n">
        <x:f>IF(H957&gt;0,I957/H957,0)</x:f>
        <x:v>0.0000027497668409069308</x:v>
      </x:c>
      <x:c r="K957" s="80" t="n">
        <x:f>(H957*J957+I957)*'Inputs'!$D$46*(1+'Inputs'!$G$46)^(B957/30)</x:f>
        <x:v>565.4267504659181</x:v>
      </x:c>
      <x:c r="L957" s="80" t="n">
        <x:f>MAX(0,K957*'Inputs'!$E$46)</x:f>
        <x:v>0</x:v>
      </x:c>
      <x:c r="M957" s="80" t="n">
        <x:f>MAX(0,-K957*'Inputs'!$E$46)</x:f>
        <x:v>0</x:v>
      </x:c>
      <x:c r="N957" s="78" t="n">
        <x:f>H957*(L957*(1-'Inputs'!$B$15))/(I957+L957*(1-'Inputs'!$B$15))</x:f>
        <x:v>0</x:v>
      </x:c>
      <x:c r="O957" s="78" t="n">
        <x:f>H957-N957</x:f>
        <x:v>102813580.78334898</x:v>
      </x:c>
      <x:c r="P957" s="78" t="n">
        <x:f>I957+L957*(1-'Inputs'!$B$17)</x:f>
        <x:v>282.71337523295904</x:v>
      </x:c>
      <x:c r="Q957" s="78" t="n">
        <x:f>IF(J957&gt;0,M957/J957,0)</x:f>
        <x:v>0</x:v>
      </x:c>
      <x:c r="R957" s="78" t="n">
        <x:f>IF(B957='Inputs'!$H$46,'Inputs'!$B$27*'Inputs'!$I$46,0)</x:f>
        <x:v>0</x:v>
      </x:c>
      <x:c r="S957" s="78" t="n">
        <x:f>Q957+G957+R957</x:f>
        <x:v>461769.32820416626</x:v>
      </x:c>
      <x:c r="T957" s="78" t="n">
        <x:f>P957*(S957*(1-'Inputs'!$B$15))/(O957+S957*(1-'Inputs'!$B$15))</x:f>
        <x:v>1.2514957401351121</x:v>
      </x:c>
      <x:c r="U957" s="78" t="n">
        <x:f>O957+S957*(1-'Inputs'!$B$17)</x:f>
        <x:v>103273491.88488029</x:v>
      </x:c>
      <x:c r="V957" s="78" t="n">
        <x:f>P957-T957</x:f>
        <x:v>281.4618794928239</x:v>
      </x:c>
      <x:c r="W957" s="79" t="n">
        <x:f>IF(U957&gt;0,V957/U957,0)</x:f>
        <x:v>0.000002725402950512911</x:v>
      </x:c>
      <x:c r="X957" s="80" t="n">
        <x:f>W957*('Inputs'!$B$6-AC957)</x:f>
        <x:v>2600.140922438581</x:v>
      </x:c>
      <x:c r="Y957" s="80" t="n">
        <x:f>2*V957</x:f>
        <x:v>562.9237589856479</x:v>
      </x:c>
      <x:c r="Z957" s="80" t="n">
        <x:f>K957*'Inputs'!$B$16+(G957+R957)*J957*'Inputs'!$B$16</x:f>
        <x:v>3.4001790507165706</x:v>
      </x:c>
      <x:c r="AA957" s="80" t="n">
        <x:f>K957*(1+'Inputs'!$E$46)/2*'Inputs'!$B$17</x:f>
        <x:v>1.1376795784022498</x:v>
      </x:c>
      <x:c r="AB957" s="78" t="n">
        <x:f>(IF(J957&gt;0,K957*(1-'Inputs'!$E$46)/2/J957,0)+G957+R957)*'Inputs'!$B$17</x:f>
        <x:v>415594.97026781953</x:v>
      </x:c>
      <x:c r="AC957" s="78" t="n">
        <x:f>AC956+AB957</x:f>
        <x:v>45960920.40289179</x:v>
      </x:c>
      <x:c r="AD957" s="80" t="n">
        <x:f>Z957/(1+'Inputs'!$C$46)</x:f>
        <x:v>1.7000895253582853</x:v>
      </x:c>
      <x:c r="AE957" s="80" t="n">
        <x:f>Z957-AD957</x:f>
        <x:v>1.7000895253582853</x:v>
      </x:c>
      <x:c r="AF957" s="80" t="n">
        <x:f>D957*W957</x:f>
        <x:v>0.7467503077259102</x:v>
      </x:c>
      <x:c r="AG957" s="80" t="n">
        <x:f>C957*W957</x:f>
        <x:v>1.7424173846937838</x:v>
      </x:c>
      <x:c r="AH957" s="80" t="n">
        <x:f>2*'Inputs'!$B$8*'Inputs'!$C$46</x:f>
        <x:v>5000</x:v>
      </x:c>
      <x:c r="AI957" s="81" t="n">
        <x:f>IF(AH957&gt;0,(AE957+AF957)/AH957*365,0)</x:f>
        <x:v>0.17861930781514626</x:v>
      </x:c>
      <x:c r="AJ957" s="81" t="n">
        <x:f>IF('Inputs'!$B$46&gt;0,AG957/('Inputs'!$B$19*'Inputs'!$B$46)*365,0)</x:f>
        <x:v>0.06359823454132311</x:v>
      </x:c>
      <x:c r="AK957" s="81" t="n">
        <x:f>W957/MAX($W$734:W957)-1</x:f>
        <x:v>-0.9967661942270871</x:v>
      </x:c>
      <x:c r="AL957" s="83" t="n">
        <x:f>'Inputs'!$B$46</x:f>
        <x:v>1</x:v>
      </x:c>
      <x:c r="AM957" s="83" t="n">
        <x:f>'Inputs'!$C$46</x:f>
        <x:v>1</x:v>
      </x:c>
      <x:c r="AN957" s="83" t="n">
        <x:f>'Inputs'!$D$46</x:f>
        <x:v>1</x:v>
      </x:c>
      <x:c r="AO957" s="81" t="n">
        <x:f>'Inputs'!$E$46</x:f>
        <x:v>0</x:v>
      </x:c>
    </x:row>
    <x:row r="958">
      <x:c r="A958" s="59" t="str">
        <x:v>Base</x:v>
      </x:c>
      <x:c r="B958" s="59" t="n">
        <x:v>225</x:v>
      </x:c>
      <x:c r="C958" s="78" t="n">
        <x:f>(('Inputs'!$B$29*(3*225*'Inputs'!$B$12-225^2)/(2*'Inputs'!$B$12^2))-('Inputs'!$B$29*(3*224*'Inputs'!$B$12-224^2)/(2*'Inputs'!$B$12^2)))*'Inputs'!$B$46</x:f>
        <x:v>638999.5777819455</x:v>
      </x:c>
      <x:c r="D958" s="78" t="n">
        <x:f>IF('Inputs'!$C$46&gt;0,('Inputs'!$B$30*(3*225*'Inputs'!$B$12-225^2)/(2*'Inputs'!$B$12^2))-('Inputs'!$B$30*(3*224*'Inputs'!$B$12-224^2)/(2*'Inputs'!$B$12^2)),0)</x:f>
        <x:v>273856.9619065523</x:v>
      </x:c>
      <x:c r="E958" s="78" t="n">
        <x:f>C958+D958</x:f>
        <x:v>912856.5396884978</x:v>
      </x:c>
      <x:c r="F958" s="78" t="n">
        <x:f>'Inputs'!$B$13*E958+(1-'Inputs'!$B$13)/'Inputs'!$B$14*SUM(E903:E958)</x:f>
        <x:v>923074.2165509481</x:v>
      </x:c>
      <x:c r="G958" s="78" t="n">
        <x:f>F958*'Inputs'!$F$46</x:f>
        <x:v>461537.10827547405</x:v>
      </x:c>
      <x:c r="H958" s="78" t="n">
        <x:f>U957</x:f>
        <x:v>103273491.88488029</x:v>
      </x:c>
      <x:c r="I958" s="78" t="n">
        <x:f>V957</x:f>
        <x:v>281.4618794928239</x:v>
      </x:c>
      <x:c r="J958" s="79" t="n">
        <x:f>IF(H958&gt;0,I958/H958,0)</x:f>
        <x:v>0.000002725402950512911</x:v>
      </x:c>
      <x:c r="K958" s="80" t="n">
        <x:f>(H958*J958+I958)*'Inputs'!$D$46*(1+'Inputs'!$G$46)^(B958/30)</x:f>
        <x:v>562.9237589856479</x:v>
      </x:c>
      <x:c r="L958" s="80" t="n">
        <x:f>MAX(0,K958*'Inputs'!$E$46)</x:f>
        <x:v>0</x:v>
      </x:c>
      <x:c r="M958" s="80" t="n">
        <x:f>MAX(0,-K958*'Inputs'!$E$46)</x:f>
        <x:v>0</x:v>
      </x:c>
      <x:c r="N958" s="78" t="n">
        <x:f>H958*(L958*(1-'Inputs'!$B$15))/(I958+L958*(1-'Inputs'!$B$15))</x:f>
        <x:v>0</x:v>
      </x:c>
      <x:c r="O958" s="78" t="n">
        <x:f>H958-N958</x:f>
        <x:v>103273491.88488029</x:v>
      </x:c>
      <x:c r="P958" s="78" t="n">
        <x:f>I958+L958*(1-'Inputs'!$B$17)</x:f>
        <x:v>281.4618794928239</x:v>
      </x:c>
      <x:c r="Q958" s="78" t="n">
        <x:f>IF(J958&gt;0,M958/J958,0)</x:f>
        <x:v>0</x:v>
      </x:c>
      <x:c r="R958" s="78" t="n">
        <x:f>IF(B958='Inputs'!$H$46,'Inputs'!$B$27*'Inputs'!$I$46,0)</x:f>
        <x:v>0</x:v>
      </x:c>
      <x:c r="S958" s="78" t="n">
        <x:f>Q958+G958+R958</x:f>
        <x:v>461537.10827547405</x:v>
      </x:c>
      <x:c r="T958" s="78" t="n">
        <x:f>P958*(S958*(1-'Inputs'!$B$15))/(O958+S958*(1-'Inputs'!$B$15))</x:f>
        <x:v>1.2398104513488857</x:v>
      </x:c>
      <x:c r="U958" s="78" t="n">
        <x:f>O958+S958*(1-'Inputs'!$B$17)</x:f>
        <x:v>103733171.70096955</x:v>
      </x:c>
      <x:c r="V958" s="78" t="n">
        <x:f>P958-T958</x:f>
        <x:v>280.22206904147504</x:v>
      </x:c>
      <x:c r="W958" s="79" t="n">
        <x:f>IF(U958&gt;0,V958/U958,0)</x:f>
        <x:v>0.000002701373769321043</x:v>
      </x:c>
      <x:c r="X958" s="80" t="n">
        <x:f>W958*('Inputs'!$B$6-AC958)</x:f>
        <x:v>2576.0884701393425</x:v>
      </x:c>
      <x:c r="Y958" s="80" t="n">
        <x:f>2*V958</x:f>
        <x:v>560.4441380829501</x:v>
      </x:c>
      <x:c r="Z958" s="80" t="n">
        <x:f>K958*'Inputs'!$B$16+(G958+R958)*J958*'Inputs'!$B$16</x:f>
        <x:v>3.385089801493878</x:v>
      </x:c>
      <x:c r="AA958" s="80" t="n">
        <x:f>K958*(1+'Inputs'!$E$46)/2*'Inputs'!$B$17</x:f>
        <x:v>1.1326433782407401</x:v>
      </x:c>
      <x:c r="AB958" s="78" t="n">
        <x:f>(IF(J958&gt;0,K958*(1-'Inputs'!$E$46)/2/J958,0)+G958+R958)*'Inputs'!$B$17</x:f>
        <x:v>417444.7846807073</x:v>
      </x:c>
      <x:c r="AC958" s="78" t="n">
        <x:f>AC957+AB958</x:f>
        <x:v>46378365.1875725</x:v>
      </x:c>
      <x:c r="AD958" s="80" t="n">
        <x:f>Z958/(1+'Inputs'!$C$46)</x:f>
        <x:v>1.692544900746939</x:v>
      </x:c>
      <x:c r="AE958" s="80" t="n">
        <x:f>Z958-AD958</x:f>
        <x:v>1.692544900746939</x:v>
      </x:c>
      <x:c r="AF958" s="80" t="n">
        <x:f>D958*W958</x:f>
        <x:v>0.7397900134403125</x:v>
      </x:c>
      <x:c r="AG958" s="80" t="n">
        <x:f>C958*W958</x:f>
        <x:v>1.726176698027369</x:v>
      </x:c>
      <x:c r="AH958" s="80" t="n">
        <x:f>2*'Inputs'!$B$8*'Inputs'!$C$46</x:f>
        <x:v>5000</x:v>
      </x:c>
      <x:c r="AI958" s="81" t="n">
        <x:f>IF(AH958&gt;0,(AE958+AF958)/AH958*365,0)</x:f>
        <x:v>0.17756044873566937</x:v>
      </x:c>
      <x:c r="AJ958" s="81" t="n">
        <x:f>IF('Inputs'!$B$46&gt;0,AG958/('Inputs'!$B$19*'Inputs'!$B$46)*365,0)</x:f>
        <x:v>0.06300544947799896</x:v>
      </x:c>
      <x:c r="AK958" s="81" t="n">
        <x:f>W958/MAX($W$734:W958)-1</x:f>
        <x:v>-0.9967947058660146</x:v>
      </x:c>
      <x:c r="AL958" s="83" t="n">
        <x:f>'Inputs'!$B$46</x:f>
        <x:v>1</x:v>
      </x:c>
      <x:c r="AM958" s="83" t="n">
        <x:f>'Inputs'!$C$46</x:f>
        <x:v>1</x:v>
      </x:c>
      <x:c r="AN958" s="83" t="n">
        <x:f>'Inputs'!$D$46</x:f>
        <x:v>1</x:v>
      </x:c>
      <x:c r="AO958" s="81" t="n">
        <x:f>'Inputs'!$E$46</x:f>
        <x:v>0</x:v>
      </x:c>
    </x:row>
    <x:row r="959">
      <x:c r="A959" s="59" t="str">
        <x:v>Base</x:v>
      </x:c>
      <x:c r="B959" s="59" t="n">
        <x:v>226</x:v>
      </x:c>
      <x:c r="C959" s="78" t="n">
        <x:f>(('Inputs'!$B$29*(3*226*'Inputs'!$B$12-226^2)/(2*'Inputs'!$B$12^2))-('Inputs'!$B$29*(3*225*'Inputs'!$B$12-225^2)/(2*'Inputs'!$B$12^2)))*'Inputs'!$B$46</x:f>
        <x:v>638674.469881773</x:v>
      </x:c>
      <x:c r="D959" s="78" t="n">
        <x:f>IF('Inputs'!$C$46&gt;0,('Inputs'!$B$30*(3*226*'Inputs'!$B$12-226^2)/(2*'Inputs'!$B$12^2))-('Inputs'!$B$30*(3*225*'Inputs'!$B$12-225^2)/(2*'Inputs'!$B$12^2)),0)</x:f>
        <x:v>273717.6299493313</x:v>
      </x:c>
      <x:c r="E959" s="78" t="n">
        <x:f>C959+D959</x:f>
        <x:v>912392.0998311043</x:v>
      </x:c>
      <x:c r="F959" s="78" t="n">
        <x:f>'Inputs'!$B$13*E959+(1-'Inputs'!$B$13)/'Inputs'!$B$14*SUM(E904:E959)</x:f>
        <x:v>922609.7766935619</x:v>
      </x:c>
      <x:c r="G959" s="78" t="n">
        <x:f>F959*'Inputs'!$F$46</x:f>
        <x:v>461304.88834678096</x:v>
      </x:c>
      <x:c r="H959" s="78" t="n">
        <x:f>U958</x:f>
        <x:v>103733171.70096955</x:v>
      </x:c>
      <x:c r="I959" s="78" t="n">
        <x:f>V958</x:f>
        <x:v>280.22206904147504</x:v>
      </x:c>
      <x:c r="J959" s="79" t="n">
        <x:f>IF(H959&gt;0,I959/H959,0)</x:f>
        <x:v>0.000002701373769321043</x:v>
      </x:c>
      <x:c r="K959" s="80" t="n">
        <x:f>(H959*J959+I959)*'Inputs'!$D$46*(1+'Inputs'!$G$46)^(B959/30)</x:f>
        <x:v>560.4441380829501</x:v>
      </x:c>
      <x:c r="L959" s="80" t="n">
        <x:f>MAX(0,K959*'Inputs'!$E$46)</x:f>
        <x:v>0</x:v>
      </x:c>
      <x:c r="M959" s="80" t="n">
        <x:f>MAX(0,-K959*'Inputs'!$E$46)</x:f>
        <x:v>0</x:v>
      </x:c>
      <x:c r="N959" s="78" t="n">
        <x:f>H959*(L959*(1-'Inputs'!$B$15))/(I959+L959*(1-'Inputs'!$B$15))</x:f>
        <x:v>0</x:v>
      </x:c>
      <x:c r="O959" s="78" t="n">
        <x:f>H959-N959</x:f>
        <x:v>103733171.70096955</x:v>
      </x:c>
      <x:c r="P959" s="78" t="n">
        <x:f>I959+L959*(1-'Inputs'!$B$17)</x:f>
        <x:v>280.22206904147504</x:v>
      </x:c>
      <x:c r="Q959" s="78" t="n">
        <x:f>IF(J959&gt;0,M959/J959,0)</x:f>
        <x:v>0</x:v>
      </x:c>
      <x:c r="R959" s="78" t="n">
        <x:f>IF(B959='Inputs'!$H$46,'Inputs'!$B$27*'Inputs'!$I$46,0)</x:f>
        <x:v>0</x:v>
      </x:c>
      <x:c r="S959" s="78" t="n">
        <x:f>Q959+G959+R959</x:f>
        <x:v>461304.88834678096</x:v>
      </x:c>
      <x:c r="T959" s="78" t="n">
        <x:f>P959*(S959*(1-'Inputs'!$B$15))/(O959+S959*(1-'Inputs'!$B$15))</x:f>
        <x:v>1.228287741437569</x:v>
      </x:c>
      <x:c r="U959" s="78" t="n">
        <x:f>O959+S959*(1-'Inputs'!$B$17)</x:f>
        <x:v>104192620.23161675</x:v>
      </x:c>
      <x:c r="V959" s="78" t="n">
        <x:f>P959-T959</x:f>
        <x:v>278.9937813000375</x:v>
      </x:c>
      <x:c r="W959" s="79" t="n">
        <x:f>IF(U959&gt;0,V959/U959,0)</x:f>
        <x:v>0.0000026776731469065997</x:v>
      </x:c>
      <x:c r="X959" s="80" t="n">
        <x:f>W959*('Inputs'!$B$6-AC959)</x:f>
        <x:v>2552.3643124499536</x:v>
      </x:c>
      <x:c r="Y959" s="80" t="n">
        <x:f>2*V959</x:f>
        <x:v>557.987562600075</x:v>
      </x:c>
      <x:c r="Z959" s="80" t="n">
        <x:f>K959*'Inputs'!$B$16+(G959+R959)*J959*'Inputs'!$B$16</x:f>
        <x:v>3.3701417700479377</x:v>
      </x:c>
      <x:c r="AA959" s="80" t="n">
        <x:f>K959*(1+'Inputs'!$E$46)/2*'Inputs'!$B$17</x:f>
        <x:v>1.127654201374145</x:v>
      </x:c>
      <x:c r="AB959" s="78" t="n">
        <x:f>(IF(J959&gt;0,K959*(1-'Inputs'!$E$46)/2/J959,0)+G959+R959)*'Inputs'!$B$17</x:f>
        <x:v>419293.66836747015</x:v>
      </x:c>
      <x:c r="AC959" s="78" t="n">
        <x:f>AC958+AB959</x:f>
        <x:v>46797658.85593997</x:v>
      </x:c>
      <x:c r="AD959" s="80" t="n">
        <x:f>Z959/(1+'Inputs'!$C$46)</x:f>
        <x:v>1.6850708850239688</x:v>
      </x:c>
      <x:c r="AE959" s="80" t="n">
        <x:f>Z959-AD959</x:f>
        <x:v>1.6850708850239688</x:v>
      </x:c>
      <x:c r="AF959" s="80" t="n">
        <x:f>D959*W959</x:f>
        <x:v>0.732926347550242</x:v>
      </x:c>
      <x:c r="AG959" s="80" t="n">
        <x:f>C959*W959</x:f>
        <x:v>1.7101614776172314</x:v>
      </x:c>
      <x:c r="AH959" s="80" t="n">
        <x:f>2*'Inputs'!$B$8*'Inputs'!$C$46</x:f>
        <x:v>5000</x:v>
      </x:c>
      <x:c r="AI959" s="81" t="n">
        <x:f>IF(AH959&gt;0,(AE959+AF959)/AH959*365,0)</x:f>
        <x:v>0.17651379797791739</x:v>
      </x:c>
      <x:c r="AJ959" s="81" t="n">
        <x:f>IF('Inputs'!$B$46&gt;0,AG959/('Inputs'!$B$19*'Inputs'!$B$46)*365,0)</x:f>
        <x:v>0.06242089393302895</x:v>
      </x:c>
      <x:c r="AK959" s="81" t="n">
        <x:f>W959/MAX($W$734:W959)-1</x:f>
        <x:v>-0.996822827656068</x:v>
      </x:c>
      <x:c r="AL959" s="83" t="n">
        <x:f>'Inputs'!$B$46</x:f>
        <x:v>1</x:v>
      </x:c>
      <x:c r="AM959" s="83" t="n">
        <x:f>'Inputs'!$C$46</x:f>
        <x:v>1</x:v>
      </x:c>
      <x:c r="AN959" s="83" t="n">
        <x:f>'Inputs'!$D$46</x:f>
        <x:v>1</x:v>
      </x:c>
      <x:c r="AO959" s="81" t="n">
        <x:f>'Inputs'!$E$46</x:f>
        <x:v>0</x:v>
      </x:c>
    </x:row>
    <x:row r="960">
      <x:c r="A960" s="59" t="str">
        <x:v>Base</x:v>
      </x:c>
      <x:c r="B960" s="59" t="n">
        <x:v>227</x:v>
      </x:c>
      <x:c r="C960" s="78" t="n">
        <x:f>(('Inputs'!$B$29*(3*227*'Inputs'!$B$12-227^2)/(2*'Inputs'!$B$12^2))-('Inputs'!$B$29*(3*226*'Inputs'!$B$12-226^2)/(2*'Inputs'!$B$12^2)))*'Inputs'!$B$46</x:f>
        <x:v>638349.3619816005</x:v>
      </x:c>
      <x:c r="D960" s="78" t="n">
        <x:f>IF('Inputs'!$C$46&gt;0,('Inputs'!$B$30*(3*227*'Inputs'!$B$12-227^2)/(2*'Inputs'!$B$12^2))-('Inputs'!$B$30*(3*226*'Inputs'!$B$12-226^2)/(2*'Inputs'!$B$12^2)),0)</x:f>
        <x:v>273578.2979921177</x:v>
      </x:c>
      <x:c r="E960" s="78" t="n">
        <x:f>C960+D960</x:f>
        <x:v>911927.6599737182</x:v>
      </x:c>
      <x:c r="F960" s="78" t="n">
        <x:f>'Inputs'!$B$13*E960+(1-'Inputs'!$B$13)/'Inputs'!$B$14*SUM(E905:E960)</x:f>
        <x:v>922145.3368361773</x:v>
      </x:c>
      <x:c r="G960" s="78" t="n">
        <x:f>F960*'Inputs'!$F$46</x:f>
        <x:v>461072.66841808864</x:v>
      </x:c>
      <x:c r="H960" s="78" t="n">
        <x:f>U959</x:f>
        <x:v>104192620.23161675</x:v>
      </x:c>
      <x:c r="I960" s="78" t="n">
        <x:f>V959</x:f>
        <x:v>278.9937813000375</x:v>
      </x:c>
      <x:c r="J960" s="79" t="n">
        <x:f>IF(H960&gt;0,I960/H960,0)</x:f>
        <x:v>0.0000026776731469065997</x:v>
      </x:c>
      <x:c r="K960" s="80" t="n">
        <x:f>(H960*J960+I960)*'Inputs'!$D$46*(1+'Inputs'!$G$46)^(B960/30)</x:f>
        <x:v>557.987562600075</x:v>
      </x:c>
      <x:c r="L960" s="80" t="n">
        <x:f>MAX(0,K960*'Inputs'!$E$46)</x:f>
        <x:v>0</x:v>
      </x:c>
      <x:c r="M960" s="80" t="n">
        <x:f>MAX(0,-K960*'Inputs'!$E$46)</x:f>
        <x:v>0</x:v>
      </x:c>
      <x:c r="N960" s="78" t="n">
        <x:f>H960*(L960*(1-'Inputs'!$B$15))/(I960+L960*(1-'Inputs'!$B$15))</x:f>
        <x:v>0</x:v>
      </x:c>
      <x:c r="O960" s="78" t="n">
        <x:f>H960-N960</x:f>
        <x:v>104192620.23161675</x:v>
      </x:c>
      <x:c r="P960" s="78" t="n">
        <x:f>I960+L960*(1-'Inputs'!$B$17)</x:f>
        <x:v>278.9937813000375</x:v>
      </x:c>
      <x:c r="Q960" s="78" t="n">
        <x:f>IF(J960&gt;0,M960/J960,0)</x:f>
        <x:v>0</x:v>
      </x:c>
      <x:c r="R960" s="78" t="n">
        <x:f>IF(B960='Inputs'!$H$46,'Inputs'!$B$27*'Inputs'!$I$46,0)</x:f>
        <x:v>0</x:v>
      </x:c>
      <x:c r="S960" s="78" t="n">
        <x:f>Q960+G960+R960</x:f>
        <x:v>461072.66841808864</x:v>
      </x:c>
      <x:c r="T960" s="78" t="n">
        <x:f>P960*(S960*(1-'Inputs'!$B$15))/(O960+S960*(1-'Inputs'!$B$15))</x:f>
        <x:v>1.2169246064953119</x:v>
      </x:c>
      <x:c r="U960" s="78" t="n">
        <x:f>O960+S960*(1-'Inputs'!$B$17)</x:f>
        <x:v>104651837.47682188</x:v>
      </x:c>
      <x:c r="V960" s="78" t="n">
        <x:f>P960-T960</x:f>
        <x:v>277.7768566935422</x:v>
      </x:c>
      <x:c r="W960" s="79" t="n">
        <x:f>IF(U960&gt;0,V960/U960,0)</x:f>
        <x:v>0.0000026542950739404242</x:v>
      </x:c>
      <x:c r="X960" s="80" t="n">
        <x:f>W960*('Inputs'!$B$6-AC960)</x:f>
        <x:v>2528.9624444362357</x:v>
      </x:c>
      <x:c r="Y960" s="80" t="n">
        <x:f>2*V960</x:f>
        <x:v>555.5537133870844</x:v>
      </x:c>
      <x:c r="Z960" s="80" t="n">
        <x:f>K960*'Inputs'!$B$16+(G960+R960)*J960*'Inputs'!$B$16</x:f>
        <x:v>3.355332987018424</x:v>
      </x:c>
      <x:c r="AA960" s="80" t="n">
        <x:f>K960*(1+'Inputs'!$E$46)/2*'Inputs'!$B$17</x:f>
        <x:v>1.1227113935615192</x:v>
      </x:c>
      <x:c r="AB960" s="78" t="n">
        <x:f>(IF(J960&gt;0,K960*(1-'Inputs'!$E$46)/2/J960,0)+G960+R960)*'Inputs'!$B$17</x:f>
        <x:v>421141.62132810807</x:v>
      </x:c>
      <x:c r="AC960" s="78" t="n">
        <x:f>AC959+AB960</x:f>
        <x:v>47218800.47726808</x:v>
      </x:c>
      <x:c r="AD960" s="80" t="n">
        <x:f>Z960/(1+'Inputs'!$C$46)</x:f>
        <x:v>1.677666493509212</x:v>
      </x:c>
      <x:c r="AE960" s="80" t="n">
        <x:f>Z960-AD960</x:f>
        <x:v>1.677666493509212</x:v>
      </x:c>
      <x:c r="AF960" s="80" t="n">
        <x:f>D960*W960</x:f>
        <x:v>0.7261575286974835</x:v>
      </x:c>
      <x:c r="AG960" s="80" t="n">
        <x:f>C960*W960</x:f>
        <x:v>1.694367566960775</x:v>
      </x:c>
      <x:c r="AH960" s="80" t="n">
        <x:f>2*'Inputs'!$B$8*'Inputs'!$C$46</x:f>
        <x:v>5000</x:v>
      </x:c>
      <x:c r="AI960" s="81" t="n">
        <x:f>IF(AH960&gt;0,(AE960+AF960)/AH960*365,0)</x:f>
        <x:v>0.17547915362108876</x:v>
      </x:c>
      <x:c r="AJ960" s="81" t="n">
        <x:f>IF('Inputs'!$B$46&gt;0,AG960/('Inputs'!$B$19*'Inputs'!$B$46)*365,0)</x:f>
        <x:v>0.06184441619406828</x:v>
      </x:c>
      <x:c r="AK960" s="81" t="n">
        <x:f>W960/MAX($W$734:W960)-1</x:f>
        <x:v>-0.9968505667275706</x:v>
      </x:c>
      <x:c r="AL960" s="83" t="n">
        <x:f>'Inputs'!$B$46</x:f>
        <x:v>1</x:v>
      </x:c>
      <x:c r="AM960" s="83" t="n">
        <x:f>'Inputs'!$C$46</x:f>
        <x:v>1</x:v>
      </x:c>
      <x:c r="AN960" s="83" t="n">
        <x:f>'Inputs'!$D$46</x:f>
        <x:v>1</x:v>
      </x:c>
      <x:c r="AO960" s="81" t="n">
        <x:f>'Inputs'!$E$46</x:f>
        <x:v>0</x:v>
      </x:c>
    </x:row>
    <x:row r="961">
      <x:c r="A961" s="59" t="str">
        <x:v>Base</x:v>
      </x:c>
      <x:c r="B961" s="59" t="n">
        <x:v>228</x:v>
      </x:c>
      <x:c r="C961" s="78" t="n">
        <x:f>(('Inputs'!$B$29*(3*228*'Inputs'!$B$12-228^2)/(2*'Inputs'!$B$12^2))-('Inputs'!$B$29*(3*227*'Inputs'!$B$12-227^2)/(2*'Inputs'!$B$12^2)))*'Inputs'!$B$46</x:f>
        <x:v>638024.2540814579</x:v>
      </x:c>
      <x:c r="D961" s="78" t="n">
        <x:f>IF('Inputs'!$C$46&gt;0,('Inputs'!$B$30*(3*228*'Inputs'!$B$12-228^2)/(2*'Inputs'!$B$12^2))-('Inputs'!$B$30*(3*227*'Inputs'!$B$12-227^2)/(2*'Inputs'!$B$12^2)),0)</x:f>
        <x:v>273438.9660349041</x:v>
      </x:c>
      <x:c r="E961" s="78" t="n">
        <x:f>C961+D961</x:f>
        <x:v>911463.220116362</x:v>
      </x:c>
      <x:c r="F961" s="78" t="n">
        <x:f>'Inputs'!$B$13*E961+(1-'Inputs'!$B$13)/'Inputs'!$B$14*SUM(E906:E961)</x:f>
        <x:v>921680.8969787991</x:v>
      </x:c>
      <x:c r="G961" s="78" t="n">
        <x:f>F961*'Inputs'!$F$46</x:f>
        <x:v>460840.44848939957</x:v>
      </x:c>
      <x:c r="H961" s="78" t="n">
        <x:f>U960</x:f>
        <x:v>104651837.47682188</x:v>
      </x:c>
      <x:c r="I961" s="78" t="n">
        <x:f>V960</x:f>
        <x:v>277.7768566935422</x:v>
      </x:c>
      <x:c r="J961" s="79" t="n">
        <x:f>IF(H961&gt;0,I961/H961,0)</x:f>
        <x:v>0.0000026542950739404242</x:v>
      </x:c>
      <x:c r="K961" s="80" t="n">
        <x:f>(H961*J961+I961)*'Inputs'!$D$46*(1+'Inputs'!$G$46)^(B961/30)</x:f>
        <x:v>555.5537133870844</x:v>
      </x:c>
      <x:c r="L961" s="80" t="n">
        <x:f>MAX(0,K961*'Inputs'!$E$46)</x:f>
        <x:v>0</x:v>
      </x:c>
      <x:c r="M961" s="80" t="n">
        <x:f>MAX(0,-K961*'Inputs'!$E$46)</x:f>
        <x:v>0</x:v>
      </x:c>
      <x:c r="N961" s="78" t="n">
        <x:f>H961*(L961*(1-'Inputs'!$B$15))/(I961+L961*(1-'Inputs'!$B$15))</x:f>
        <x:v>0</x:v>
      </x:c>
      <x:c r="O961" s="78" t="n">
        <x:f>H961-N961</x:f>
        <x:v>104651837.47682188</x:v>
      </x:c>
      <x:c r="P961" s="78" t="n">
        <x:f>I961+L961*(1-'Inputs'!$B$17)</x:f>
        <x:v>277.7768566935422</x:v>
      </x:c>
      <x:c r="Q961" s="78" t="n">
        <x:f>IF(J961&gt;0,M961/J961,0)</x:f>
        <x:v>0</x:v>
      </x:c>
      <x:c r="R961" s="78" t="n">
        <x:f>IF(B961='Inputs'!$H$46,'Inputs'!$B$27*'Inputs'!$I$46,0)</x:f>
        <x:v>0</x:v>
      </x:c>
      <x:c r="S961" s="78" t="n">
        <x:f>Q961+G961+R961</x:f>
        <x:v>460840.44848939957</x:v>
      </x:c>
      <x:c r="T961" s="78" t="n">
        <x:f>P961*(S961*(1-'Inputs'!$B$15))/(O961+S961*(1-'Inputs'!$B$15))</x:f>
        <x:v>1.2057181116938946</x:v>
      </x:c>
      <x:c r="U961" s="78" t="n">
        <x:f>O961+S961*(1-'Inputs'!$B$17)</x:f>
        <x:v>105110823.43658496</x:v>
      </x:c>
      <x:c r="V961" s="78" t="n">
        <x:f>P961-T961</x:f>
        <x:v>276.5711385818483</x:v>
      </x:c>
      <x:c r="W961" s="79" t="n">
        <x:f>IF(U961&gt;0,V961/U961,0)</x:f>
        <x:v>0.000002631233678315802</x:v>
      </x:c>
      <x:c r="X961" s="80" t="n">
        <x:f>W961*('Inputs'!$B$6-AC961)</x:f>
        <x:v>2505.876998285853</x:v>
      </x:c>
      <x:c r="Y961" s="80" t="n">
        <x:f>2*V961</x:f>
        <x:v>553.1422771636966</x:v>
      </x:c>
      <x:c r="Z961" s="80" t="n">
        <x:f>K961*'Inputs'!$B$16+(G961+R961)*J961*'Inputs'!$B$16</x:f>
        <x:v>3.340661519516294</x:v>
      </x:c>
      <x:c r="AA961" s="80" t="n">
        <x:f>K961*(1+'Inputs'!$E$46)/2*'Inputs'!$B$17</x:f>
        <x:v>1.1178143126500693</x:v>
      </x:c>
      <x:c r="AB961" s="78" t="n">
        <x:f>(IF(J961&gt;0,K961*(1-'Inputs'!$E$46)/2/J961,0)+G961+R961)*'Inputs'!$B$17</x:f>
        <x:v>422988.6435626209</x:v>
      </x:c>
      <x:c r="AC961" s="78" t="n">
        <x:f>AC960+AB961</x:f>
        <x:v>47641789.1208307</x:v>
      </x:c>
      <x:c r="AD961" s="80" t="n">
        <x:f>Z961/(1+'Inputs'!$C$46)</x:f>
        <x:v>1.670330759758147</x:v>
      </x:c>
      <x:c r="AE961" s="80" t="n">
        <x:f>Z961-AD961</x:f>
        <x:v>1.670330759758147</x:v>
      </x:c>
      <x:c r="AF961" s="80" t="n">
        <x:f>D961*W961</x:f>
        <x:v>0.7194818163948905</x:v>
      </x:c>
      <x:c r="AG961" s="80" t="n">
        <x:f>C961*W961</x:f>
        <x:v>1.6787909049214502</x:v>
      </x:c>
      <x:c r="AH961" s="80" t="n">
        <x:f>2*'Inputs'!$B$8*'Inputs'!$C$46</x:f>
        <x:v>5000</x:v>
      </x:c>
      <x:c r="AI961" s="81" t="n">
        <x:f>IF(AH961&gt;0,(AE961+AF961)/AH961*365,0)</x:f>
        <x:v>0.17445631805917172</x:v>
      </x:c>
      <x:c r="AJ961" s="81" t="n">
        <x:f>IF('Inputs'!$B$46&gt;0,AG961/('Inputs'!$B$19*'Inputs'!$B$46)*365,0)</x:f>
        <x:v>0.061275868029632925</x:v>
      </x:c>
      <x:c r="AK961" s="81" t="n">
        <x:f>W961/MAX($W$734:W961)-1</x:f>
        <x:v>-0.996877930048025</x:v>
      </x:c>
      <x:c r="AL961" s="83" t="n">
        <x:f>'Inputs'!$B$46</x:f>
        <x:v>1</x:v>
      </x:c>
      <x:c r="AM961" s="83" t="n">
        <x:f>'Inputs'!$C$46</x:f>
        <x:v>1</x:v>
      </x:c>
      <x:c r="AN961" s="83" t="n">
        <x:f>'Inputs'!$D$46</x:f>
        <x:v>1</x:v>
      </x:c>
      <x:c r="AO961" s="81" t="n">
        <x:f>'Inputs'!$E$46</x:f>
        <x:v>0</x:v>
      </x:c>
    </x:row>
    <x:row r="962">
      <x:c r="A962" s="59" t="str">
        <x:v>Base</x:v>
      </x:c>
      <x:c r="B962" s="59" t="n">
        <x:v>229</x:v>
      </x:c>
      <x:c r="C962" s="78" t="n">
        <x:f>(('Inputs'!$B$29*(3*229*'Inputs'!$B$12-229^2)/(2*'Inputs'!$B$12^2))-('Inputs'!$B$29*(3*228*'Inputs'!$B$12-228^2)/(2*'Inputs'!$B$12^2)))*'Inputs'!$B$46</x:f>
        <x:v>637699.1461812556</x:v>
      </x:c>
      <x:c r="D962" s="78" t="n">
        <x:f>IF('Inputs'!$C$46&gt;0,('Inputs'!$B$30*(3*229*'Inputs'!$B$12-229^2)/(2*'Inputs'!$B$12^2))-('Inputs'!$B$30*(3*228*'Inputs'!$B$12-228^2)/(2*'Inputs'!$B$12^2)),0)</x:f>
        <x:v>273299.63407769054</x:v>
      </x:c>
      <x:c r="E962" s="78" t="n">
        <x:f>C962+D962</x:f>
        <x:v>910998.7802589461</x:v>
      </x:c>
      <x:c r="F962" s="78" t="n">
        <x:f>'Inputs'!$B$13*E962+(1-'Inputs'!$B$13)/'Inputs'!$B$14*SUM(E907:E962)</x:f>
        <x:v>921216.4571214083</x:v>
      </x:c>
      <x:c r="G962" s="78" t="n">
        <x:f>F962*'Inputs'!$F$46</x:f>
        <x:v>460608.22856070416</x:v>
      </x:c>
      <x:c r="H962" s="78" t="n">
        <x:f>U961</x:f>
        <x:v>105110823.43658496</x:v>
      </x:c>
      <x:c r="I962" s="78" t="n">
        <x:f>V961</x:f>
        <x:v>276.5711385818483</x:v>
      </x:c>
      <x:c r="J962" s="79" t="n">
        <x:f>IF(H962&gt;0,I962/H962,0)</x:f>
        <x:v>0.000002631233678315802</x:v>
      </x:c>
      <x:c r="K962" s="80" t="n">
        <x:f>(H962*J962+I962)*'Inputs'!$D$46*(1+'Inputs'!$G$46)^(B962/30)</x:f>
        <x:v>553.1422771636966</x:v>
      </x:c>
      <x:c r="L962" s="80" t="n">
        <x:f>MAX(0,K962*'Inputs'!$E$46)</x:f>
        <x:v>0</x:v>
      </x:c>
      <x:c r="M962" s="80" t="n">
        <x:f>MAX(0,-K962*'Inputs'!$E$46)</x:f>
        <x:v>0</x:v>
      </x:c>
      <x:c r="N962" s="78" t="n">
        <x:f>H962*(L962*(1-'Inputs'!$B$15))/(I962+L962*(1-'Inputs'!$B$15))</x:f>
        <x:v>0</x:v>
      </x:c>
      <x:c r="O962" s="78" t="n">
        <x:f>H962-N962</x:f>
        <x:v>105110823.43658496</x:v>
      </x:c>
      <x:c r="P962" s="78" t="n">
        <x:f>I962+L962*(1-'Inputs'!$B$17)</x:f>
        <x:v>276.5711385818483</x:v>
      </x:c>
      <x:c r="Q962" s="78" t="n">
        <x:f>IF(J962&gt;0,M962/J962,0)</x:f>
        <x:v>0</x:v>
      </x:c>
      <x:c r="R962" s="78" t="n">
        <x:f>IF(B962='Inputs'!$H$46,'Inputs'!$B$27*'Inputs'!$I$46,0)</x:f>
        <x:v>0</x:v>
      </x:c>
      <x:c r="S962" s="78" t="n">
        <x:f>Q962+G962+R962</x:f>
        <x:v>460608.22856070416</x:v>
      </x:c>
      <x:c r="T962" s="78" t="n">
        <x:f>P962*(S962*(1-'Inputs'!$B$15))/(O962+S962*(1-'Inputs'!$B$15))</x:f>
        <x:v>1.1946653893848507</x:v>
      </x:c>
      <x:c r="U962" s="78" t="n">
        <x:f>O962+S962*(1-'Inputs'!$B$17)</x:f>
        <x:v>105569578.11090599</x:v>
      </x:c>
      <x:c r="V962" s="78" t="n">
        <x:f>P962-T962</x:f>
        <x:v>275.37647319246344</x:v>
      </x:c>
      <x:c r="W962" s="79" t="n">
        <x:f>IF(U962&gt;0,V962/U962,0)</x:f>
        <x:v>0.0000026084832213989433</x:v>
      </x:c>
      <x:c r="X962" s="80" t="n">
        <x:f>W962*('Inputs'!$B$6-AC962)</x:f>
        <x:v>2483.1022395615296</x:v>
      </x:c>
      <x:c r="Y962" s="80" t="n">
        <x:f>2*V962</x:f>
        <x:v>550.7529463849269</x:v>
      </x:c>
      <x:c r="Z962" s="80" t="n">
        <x:f>K962*'Inputs'!$B$16+(G962+R962)*J962*'Inputs'!$B$16</x:f>
        <x:v>3.3261254702831695</x:v>
      </x:c>
      <x:c r="AA962" s="80" t="n">
        <x:f>K962*(1+'Inputs'!$E$46)/2*'Inputs'!$B$17</x:f>
        <x:v>1.1129623282971763</x:v>
      </x:c>
      <x:c r="AB962" s="78" t="n">
        <x:f>(IF(J962&gt;0,K962*(1-'Inputs'!$E$46)/2/J962,0)+G962+R962)*'Inputs'!$B$17</x:f>
        <x:v>424834.73507100873</x:v>
      </x:c>
      <x:c r="AC962" s="78" t="n">
        <x:f>AC961+AB962</x:f>
        <x:v>48066623.85590171</x:v>
      </x:c>
      <x:c r="AD962" s="80" t="n">
        <x:f>Z962/(1+'Inputs'!$C$46)</x:f>
        <x:v>1.6630627351415848</x:v>
      </x:c>
      <x:c r="AE962" s="80" t="n">
        <x:f>Z962-AD962</x:f>
        <x:v>1.6630627351415848</x:v>
      </x:c>
      <x:c r="AF962" s="80" t="n">
        <x:f>D962*W962</x:f>
        <x:v>0.7128975099061267</x:v>
      </x:c>
      <x:c r="AG962" s="80" t="n">
        <x:f>C962*W962</x:f>
        <x:v>1.6634275231142372</x:v>
      </x:c>
      <x:c r="AH962" s="80" t="n">
        <x:f>2*'Inputs'!$B$8*'Inputs'!$C$46</x:f>
        <x:v>5000</x:v>
      </x:c>
      <x:c r="AI962" s="81" t="n">
        <x:f>IF(AH962&gt;0,(AE962+AF962)/AH962*365,0)</x:f>
        <x:v>0.17344509788848295</x:v>
      </x:c>
      <x:c r="AJ962" s="81" t="n">
        <x:f>IF('Inputs'!$B$46&gt;0,AG962/('Inputs'!$B$19*'Inputs'!$B$46)*365,0)</x:f>
        <x:v>0.06071510459366966</x:v>
      </x:c>
      <x:c r="AK962" s="81" t="n">
        <x:f>W962/MAX($W$734:W962)-1</x:f>
        <x:v>-0.9969049244265628</x:v>
      </x:c>
      <x:c r="AL962" s="83" t="n">
        <x:f>'Inputs'!$B$46</x:f>
        <x:v>1</x:v>
      </x:c>
      <x:c r="AM962" s="83" t="n">
        <x:f>'Inputs'!$C$46</x:f>
        <x:v>1</x:v>
      </x:c>
      <x:c r="AN962" s="83" t="n">
        <x:f>'Inputs'!$D$46</x:f>
        <x:v>1</x:v>
      </x:c>
      <x:c r="AO962" s="81" t="n">
        <x:f>'Inputs'!$E$46</x:f>
        <x:v>0</x:v>
      </x:c>
    </x:row>
    <x:row r="963">
      <x:c r="A963" s="59" t="str">
        <x:v>Base</x:v>
      </x:c>
      <x:c r="B963" s="59" t="n">
        <x:v>230</x:v>
      </x:c>
      <x:c r="C963" s="78" t="n">
        <x:f>(('Inputs'!$B$29*(3*230*'Inputs'!$B$12-230^2)/(2*'Inputs'!$B$12^2))-('Inputs'!$B$29*(3*229*'Inputs'!$B$12-229^2)/(2*'Inputs'!$B$12^2)))*'Inputs'!$B$46</x:f>
        <x:v>637374.0382811129</x:v>
      </x:c>
      <x:c r="D963" s="78" t="n">
        <x:f>IF('Inputs'!$C$46&gt;0,('Inputs'!$B$30*(3*230*'Inputs'!$B$12-230^2)/(2*'Inputs'!$B$12^2))-('Inputs'!$B$30*(3*229*'Inputs'!$B$12-229^2)/(2*'Inputs'!$B$12^2)),0)</x:f>
        <x:v>273160.3021204695</x:v>
      </x:c>
      <x:c r="E963" s="78" t="n">
        <x:f>C963+D963</x:f>
        <x:v>910534.3404015824</x:v>
      </x:c>
      <x:c r="F963" s="78" t="n">
        <x:f>'Inputs'!$B$13*E963+(1-'Inputs'!$B$13)/'Inputs'!$B$14*SUM(E908:E963)</x:f>
        <x:v>920752.0172640283</x:v>
      </x:c>
      <x:c r="G963" s="78" t="n">
        <x:f>F963*'Inputs'!$F$46</x:f>
        <x:v>460376.00863201416</x:v>
      </x:c>
      <x:c r="H963" s="78" t="n">
        <x:f>U962</x:f>
        <x:v>105569578.11090599</x:v>
      </x:c>
      <x:c r="I963" s="78" t="n">
        <x:f>V962</x:f>
        <x:v>275.37647319246344</x:v>
      </x:c>
      <x:c r="J963" s="79" t="n">
        <x:f>IF(H963&gt;0,I963/H963,0)</x:f>
        <x:v>0.0000026084832213989433</x:v>
      </x:c>
      <x:c r="K963" s="80" t="n">
        <x:f>(H963*J963+I963)*'Inputs'!$D$46*(1+'Inputs'!$G$46)^(B963/30)</x:f>
        <x:v>550.7529463849269</x:v>
      </x:c>
      <x:c r="L963" s="80" t="n">
        <x:f>MAX(0,K963*'Inputs'!$E$46)</x:f>
        <x:v>0</x:v>
      </x:c>
      <x:c r="M963" s="80" t="n">
        <x:f>MAX(0,-K963*'Inputs'!$E$46)</x:f>
        <x:v>0</x:v>
      </x:c>
      <x:c r="N963" s="78" t="n">
        <x:f>H963*(L963*(1-'Inputs'!$B$15))/(I963+L963*(1-'Inputs'!$B$15))</x:f>
        <x:v>0</x:v>
      </x:c>
      <x:c r="O963" s="78" t="n">
        <x:f>H963-N963</x:f>
        <x:v>105569578.11090599</x:v>
      </x:c>
      <x:c r="P963" s="78" t="n">
        <x:f>I963+L963*(1-'Inputs'!$B$17)</x:f>
        <x:v>275.37647319246344</x:v>
      </x:c>
      <x:c r="Q963" s="78" t="n">
        <x:f>IF(J963&gt;0,M963/J963,0)</x:f>
        <x:v>0</x:v>
      </x:c>
      <x:c r="R963" s="78" t="n">
        <x:f>IF(B963='Inputs'!$H$46,'Inputs'!$B$27*'Inputs'!$I$46,0)</x:f>
        <x:v>0</x:v>
      </x:c>
      <x:c r="S963" s="78" t="n">
        <x:f>Q963+G963+R963</x:f>
        <x:v>460376.00863201416</x:v>
      </x:c>
      <x:c r="T963" s="78" t="n">
        <x:f>P963*(S963*(1-'Inputs'!$B$15))/(O963+S963*(1-'Inputs'!$B$15))</x:f>
        <x:v>1.1837636372622797</x:v>
      </x:c>
      <x:c r="U963" s="78" t="n">
        <x:f>O963+S963*(1-'Inputs'!$B$17)</x:f>
        <x:v>106028101.49978496</x:v>
      </x:c>
      <x:c r="V963" s="78" t="n">
        <x:f>P963-T963</x:f>
        <x:v>274.19270955520113</x:v>
      </x:c>
      <x:c r="W963" s="79" t="n">
        <x:f>IF(U963&gt;0,V963/U963,0)</x:f>
        <x:v>0.0000025860380943985614</x:v>
      </x:c>
      <x:c r="X963" s="80" t="n">
        <x:f>W963*('Inputs'!$B$6-AC963)</x:f>
        <x:v>2460.6325635732824</x:v>
      </x:c>
      <x:c r="Y963" s="80" t="n">
        <x:f>2*V963</x:f>
        <x:v>548.3854191104023</x:v>
      </x:c>
      <x:c r="Z963" s="80" t="n">
        <x:f>K963*'Inputs'!$B$16+(G963+R963)*J963*'Inputs'!$B$16</x:f>
        <x:v>3.3117229768738685</x:v>
      </x:c>
      <x:c r="AA963" s="80" t="n">
        <x:f>K963*(1+'Inputs'!$E$46)/2*'Inputs'!$B$17</x:f>
        <x:v>1.108154821700054</x:v>
      </x:c>
      <x:c r="AB963" s="78" t="n">
        <x:f>(IF(J963&gt;0,K963*(1-'Inputs'!$E$46)/2/J963,0)+G963+R963)*'Inputs'!$B$17</x:f>
        <x:v>426679.8958532717</x:v>
      </x:c>
      <x:c r="AC963" s="78" t="n">
        <x:f>AC962+AB963</x:f>
        <x:v>48493303.751754984</x:v>
      </x:c>
      <x:c r="AD963" s="80" t="n">
        <x:f>Z963/(1+'Inputs'!$C$46)</x:f>
        <x:v>1.6558614884369343</x:v>
      </x:c>
      <x:c r="AE963" s="80" t="n">
        <x:f>Z963-AD963</x:f>
        <x:v>1.6558614884369343</x:v>
      </x:c>
      <x:c r="AF963" s="80" t="n">
        <x:f>D963*W963</x:f>
        <x:v>0.7064029471609543</x:v>
      </x:c>
      <x:c r="AG963" s="80" t="n">
        <x:f>C963*W963</x:f>
        <x:v>1.648273543375605</x:v>
      </x:c>
      <x:c r="AH963" s="80" t="n">
        <x:f>2*'Inputs'!$B$8*'Inputs'!$C$46</x:f>
        <x:v>5000</x:v>
      </x:c>
      <x:c r="AI963" s="81" t="n">
        <x:f>IF(AH963&gt;0,(AE963+AF963)/AH963*365,0)</x:f>
        <x:v>0.17244530379864587</x:v>
      </x:c>
      <x:c r="AJ963" s="81" t="n">
        <x:f>IF('Inputs'!$B$46&gt;0,AG963/('Inputs'!$B$19*'Inputs'!$B$46)*365,0)</x:f>
        <x:v>0.06016198433320958</x:v>
      </x:c>
      <x:c r="AK963" s="81" t="n">
        <x:f>W963/MAX($W$734:W963)-1</x:f>
        <x:v>-0.9969315565182518</x:v>
      </x:c>
      <x:c r="AL963" s="83" t="n">
        <x:f>'Inputs'!$B$46</x:f>
        <x:v>1</x:v>
      </x:c>
      <x:c r="AM963" s="83" t="n">
        <x:f>'Inputs'!$C$46</x:f>
        <x:v>1</x:v>
      </x:c>
      <x:c r="AN963" s="83" t="n">
        <x:f>'Inputs'!$D$46</x:f>
        <x:v>1</x:v>
      </x:c>
      <x:c r="AO963" s="81" t="n">
        <x:f>'Inputs'!$E$46</x:f>
        <x:v>0</x:v>
      </x:c>
    </x:row>
    <x:row r="964">
      <x:c r="A964" s="59" t="str">
        <x:v>Base</x:v>
      </x:c>
      <x:c r="B964" s="59" t="n">
        <x:v>231</x:v>
      </x:c>
      <x:c r="C964" s="78" t="n">
        <x:f>(('Inputs'!$B$29*(3*231*'Inputs'!$B$12-231^2)/(2*'Inputs'!$B$12^2))-('Inputs'!$B$29*(3*230*'Inputs'!$B$12-230^2)/(2*'Inputs'!$B$12^2)))*'Inputs'!$B$46</x:f>
        <x:v>637048.9303809404</x:v>
      </x:c>
      <x:c r="D964" s="78" t="n">
        <x:f>IF('Inputs'!$C$46&gt;0,('Inputs'!$B$30*(3*231*'Inputs'!$B$12-231^2)/(2*'Inputs'!$B$12^2))-('Inputs'!$B$30*(3*230*'Inputs'!$B$12-230^2)/(2*'Inputs'!$B$12^2)),0)</x:f>
        <x:v>273020.97016325593</x:v>
      </x:c>
      <x:c r="E964" s="78" t="n">
        <x:f>C964+D964</x:f>
        <x:v>910069.9005441964</x:v>
      </x:c>
      <x:c r="F964" s="78" t="n">
        <x:f>'Inputs'!$B$13*E964+(1-'Inputs'!$B$13)/'Inputs'!$B$14*SUM(E909:E964)</x:f>
        <x:v>920287.5774066439</x:v>
      </x:c>
      <x:c r="G964" s="78" t="n">
        <x:f>F964*'Inputs'!$F$46</x:f>
        <x:v>460143.78870332194</x:v>
      </x:c>
      <x:c r="H964" s="78" t="n">
        <x:f>U963</x:f>
        <x:v>106028101.49978496</x:v>
      </x:c>
      <x:c r="I964" s="78" t="n">
        <x:f>V963</x:f>
        <x:v>274.19270955520113</x:v>
      </x:c>
      <x:c r="J964" s="79" t="n">
        <x:f>IF(H964&gt;0,I964/H964,0)</x:f>
        <x:v>0.0000025860380943985614</x:v>
      </x:c>
      <x:c r="K964" s="80" t="n">
        <x:f>(H964*J964+I964)*'Inputs'!$D$46*(1+'Inputs'!$G$46)^(B964/30)</x:f>
        <x:v>548.3854191104023</x:v>
      </x:c>
      <x:c r="L964" s="80" t="n">
        <x:f>MAX(0,K964*'Inputs'!$E$46)</x:f>
        <x:v>0</x:v>
      </x:c>
      <x:c r="M964" s="80" t="n">
        <x:f>MAX(0,-K964*'Inputs'!$E$46)</x:f>
        <x:v>0</x:v>
      </x:c>
      <x:c r="N964" s="78" t="n">
        <x:f>H964*(L964*(1-'Inputs'!$B$15))/(I964+L964*(1-'Inputs'!$B$15))</x:f>
        <x:v>0</x:v>
      </x:c>
      <x:c r="O964" s="78" t="n">
        <x:f>H964-N964</x:f>
        <x:v>106028101.49978496</x:v>
      </x:c>
      <x:c r="P964" s="78" t="n">
        <x:f>I964+L964*(1-'Inputs'!$B$17)</x:f>
        <x:v>274.19270955520113</x:v>
      </x:c>
      <x:c r="Q964" s="78" t="n">
        <x:f>IF(J964&gt;0,M964/J964,0)</x:f>
        <x:v>0</x:v>
      </x:c>
      <x:c r="R964" s="78" t="n">
        <x:f>IF(B964='Inputs'!$H$46,'Inputs'!$B$27*'Inputs'!$I$46,0)</x:f>
        <x:v>0</x:v>
      </x:c>
      <x:c r="S964" s="78" t="n">
        <x:f>Q964+G964+R964</x:f>
        <x:v>460143.78870332194</x:v>
      </x:c>
      <x:c r="T964" s="78" t="n">
        <x:f>P964*(S964*(1-'Inputs'!$B$15))/(O964+S964*(1-'Inputs'!$B$15))</x:f>
        <x:v>1.1730101165838243</x:v>
      </x:c>
      <x:c r="U964" s="78" t="n">
        <x:f>O964+S964*(1-'Inputs'!$B$17)</x:f>
        <x:v>106486393.60322188</x:v>
      </x:c>
      <x:c r="V964" s="78" t="n">
        <x:f>P964-T964</x:f>
        <x:v>273.0196994386173</x:v>
      </x:c>
      <x:c r="W964" s="79" t="n">
        <x:f>IF(U964&gt;0,V964/U964,0)</x:f>
        <x:v>0.0000025638928148502603</x:v>
      </x:c>
      <x:c r="X964" s="80" t="n">
        <x:f>W964*('Inputs'!$B$6-AC964)</x:f>
        <x:v>2438.4624918653753</x:v>
      </x:c>
      <x:c r="Y964" s="80" t="n">
        <x:f>2*V964</x:f>
        <x:v>546.0393988772346</x:v>
      </x:c>
      <x:c r="Z964" s="80" t="n">
        <x:f>K964*'Inputs'!$B$16+(G964+R964)*J964*'Inputs'!$B$16</x:f>
        <x:v>3.2974522108613398</x:v>
      </x:c>
      <x:c r="AA964" s="80" t="n">
        <x:f>K964*(1+'Inputs'!$E$46)/2*'Inputs'!$B$17</x:f>
        <x:v>1.1033911853328013</x:v>
      </x:c>
      <x:c r="AB964" s="78" t="n">
        <x:f>(IF(J964&gt;0,K964*(1-'Inputs'!$E$46)/2/J964,0)+G964+R964)*'Inputs'!$B$17</x:f>
        <x:v>428524.1259094096</x:v>
      </x:c>
      <x:c r="AC964" s="78" t="n">
        <x:f>AC963+AB964</x:f>
        <x:v>48921827.877664395</x:v>
      </x:c>
      <x:c r="AD964" s="80" t="n">
        <x:f>Z964/(1+'Inputs'!$C$46)</x:f>
        <x:v>1.6487261054306699</x:v>
      </x:c>
      <x:c r="AE964" s="80" t="n">
        <x:f>Z964-AD964</x:f>
        <x:v>1.6487261054306699</x:v>
      </x:c>
      <x:c r="AF964" s="80" t="n">
        <x:f>D964*W964</x:f>
        <x:v>0.6999965037050192</x:v>
      </x:c>
      <x:c r="AG964" s="80" t="n">
        <x:f>C964*W964</x:f>
        <x:v>1.6333251753117368</x:v>
      </x:c>
      <x:c r="AH964" s="80" t="n">
        <x:f>2*'Inputs'!$B$8*'Inputs'!$C$46</x:f>
        <x:v>5000</x:v>
      </x:c>
      <x:c r="AI964" s="81" t="n">
        <x:f>IF(AH964&gt;0,(AE964+AF964)/AH964*365,0)</x:f>
        <x:v>0.17145675046690528</x:v>
      </x:c>
      <x:c r="AJ964" s="81" t="n">
        <x:f>IF('Inputs'!$B$46&gt;0,AG964/('Inputs'!$B$19*'Inputs'!$B$46)*365,0)</x:f>
        <x:v>0.05961636889887839</x:v>
      </x:c>
      <x:c r="AK964" s="81" t="n">
        <x:f>W964/MAX($W$734:W964)-1</x:f>
        <x:v>-0.9969578328282678</x:v>
      </x:c>
      <x:c r="AL964" s="83" t="n">
        <x:f>'Inputs'!$B$46</x:f>
        <x:v>1</x:v>
      </x:c>
      <x:c r="AM964" s="83" t="n">
        <x:f>'Inputs'!$C$46</x:f>
        <x:v>1</x:v>
      </x:c>
      <x:c r="AN964" s="83" t="n">
        <x:f>'Inputs'!$D$46</x:f>
        <x:v>1</x:v>
      </x:c>
      <x:c r="AO964" s="81" t="n">
        <x:f>'Inputs'!$E$46</x:f>
        <x:v>0</x:v>
      </x:c>
    </x:row>
    <x:row r="965">
      <x:c r="A965" s="59" t="str">
        <x:v>Base</x:v>
      </x:c>
      <x:c r="B965" s="59" t="n">
        <x:v>232</x:v>
      </x:c>
      <x:c r="C965" s="78" t="n">
        <x:f>(('Inputs'!$B$29*(3*232*'Inputs'!$B$12-232^2)/(2*'Inputs'!$B$12^2))-('Inputs'!$B$29*(3*231*'Inputs'!$B$12-231^2)/(2*'Inputs'!$B$12^2)))*'Inputs'!$B$46</x:f>
        <x:v>636723.822480768</x:v>
      </x:c>
      <x:c r="D965" s="78" t="n">
        <x:f>IF('Inputs'!$C$46&gt;0,('Inputs'!$B$30*(3*232*'Inputs'!$B$12-232^2)/(2*'Inputs'!$B$12^2))-('Inputs'!$B$30*(3*231*'Inputs'!$B$12-231^2)/(2*'Inputs'!$B$12^2)),0)</x:f>
        <x:v>272881.63820604235</x:v>
      </x:c>
      <x:c r="E965" s="78" t="n">
        <x:f>C965+D965</x:f>
        <x:v>909605.4606868103</x:v>
      </x:c>
      <x:c r="F965" s="78" t="n">
        <x:f>'Inputs'!$B$13*E965+(1-'Inputs'!$B$13)/'Inputs'!$B$14*SUM(E910:E965)</x:f>
        <x:v>919823.1375492595</x:v>
      </x:c>
      <x:c r="G965" s="78" t="n">
        <x:f>F965*'Inputs'!$F$46</x:f>
        <x:v>459911.56877462973</x:v>
      </x:c>
      <x:c r="H965" s="78" t="n">
        <x:f>U964</x:f>
        <x:v>106486393.60322188</x:v>
      </x:c>
      <x:c r="I965" s="78" t="n">
        <x:f>V964</x:f>
        <x:v>273.0196994386173</x:v>
      </x:c>
      <x:c r="J965" s="79" t="n">
        <x:f>IF(H965&gt;0,I965/H965,0)</x:f>
        <x:v>0.0000025638928148502603</x:v>
      </x:c>
      <x:c r="K965" s="80" t="n">
        <x:f>(H965*J965+I965)*'Inputs'!$D$46*(1+'Inputs'!$G$46)^(B965/30)</x:f>
        <x:v>546.0393988772346</x:v>
      </x:c>
      <x:c r="L965" s="80" t="n">
        <x:f>MAX(0,K965*'Inputs'!$E$46)</x:f>
        <x:v>0</x:v>
      </x:c>
      <x:c r="M965" s="80" t="n">
        <x:f>MAX(0,-K965*'Inputs'!$E$46)</x:f>
        <x:v>0</x:v>
      </x:c>
      <x:c r="N965" s="78" t="n">
        <x:f>H965*(L965*(1-'Inputs'!$B$15))/(I965+L965*(1-'Inputs'!$B$15))</x:f>
        <x:v>0</x:v>
      </x:c>
      <x:c r="O965" s="78" t="n">
        <x:f>H965-N965</x:f>
        <x:v>106486393.60322188</x:v>
      </x:c>
      <x:c r="P965" s="78" t="n">
        <x:f>I965+L965*(1-'Inputs'!$B$17)</x:f>
        <x:v>273.0196994386173</x:v>
      </x:c>
      <x:c r="Q965" s="78" t="n">
        <x:f>IF(J965&gt;0,M965/J965,0)</x:f>
        <x:v>0</x:v>
      </x:c>
      <x:c r="R965" s="78" t="n">
        <x:f>IF(B965='Inputs'!$H$46,'Inputs'!$B$27*'Inputs'!$I$46,0)</x:f>
        <x:v>0</x:v>
      </x:c>
      <x:c r="S965" s="78" t="n">
        <x:f>Q965+G965+R965</x:f>
        <x:v>459911.56877462973</x:v>
      </x:c>
      <x:c r="T965" s="78" t="n">
        <x:f>P965*(S965*(1-'Inputs'!$B$15))/(O965+S965*(1-'Inputs'!$B$15))</x:f>
        <x:v>1.1624021504480864</x:v>
      </x:c>
      <x:c r="U965" s="78" t="n">
        <x:f>O965+S965*(1-'Inputs'!$B$17)</x:f>
        <x:v>106944454.42121673</x:v>
      </x:c>
      <x:c r="V965" s="78" t="n">
        <x:f>P965-T965</x:f>
        <x:v>271.8572972881692</x:v>
      </x:c>
      <x:c r="W965" s="79" t="n">
        <x:f>IF(U965&gt;0,V965/U965,0)</x:f>
        <x:v>0.000002542042023211588</x:v>
      </x:c>
      <x:c r="X965" s="80" t="n">
        <x:f>W965*('Inputs'!$B$6-AC965)</x:f>
        <x:v>2416.5866688138613</x:v>
      </x:c>
      <x:c r="Y965" s="80" t="n">
        <x:f>2*V965</x:f>
        <x:v>543.7145945763384</x:v>
      </x:c>
      <x:c r="Z965" s="80" t="n">
        <x:f>K965*'Inputs'!$B$16+(G965+R965)*J965*'Inputs'!$B$16</x:f>
        <x:v>3.2833113770632942</x:v>
      </x:c>
      <x:c r="AA965" s="80" t="n">
        <x:f>K965*(1+'Inputs'!$E$46)/2*'Inputs'!$B$17</x:f>
        <x:v>1.098670822690613</x:v>
      </x:c>
      <x:c r="AB965" s="78" t="n">
        <x:f>(IF(J965&gt;0,K965*(1-'Inputs'!$E$46)/2/J965,0)+G965+R965)*'Inputs'!$B$17</x:f>
        <x:v>430367.4252394226</x:v>
      </x:c>
      <x:c r="AC965" s="78" t="n">
        <x:f>AC964+AB965</x:f>
        <x:v>49352195.302903816</x:v>
      </x:c>
      <x:c r="AD965" s="80" t="n">
        <x:f>Z965/(1+'Inputs'!$C$46)</x:f>
        <x:v>1.6416556885316471</x:v>
      </x:c>
      <x:c r="AE965" s="80" t="n">
        <x:f>Z965-AD965</x:f>
        <x:v>1.6416556885316471</x:v>
      </x:c>
      <x:c r="AF965" s="80" t="n">
        <x:f>D965*W965</x:f>
        <x:v>0.6936765916825804</x:v>
      </x:c>
      <x:c r="AG965" s="80" t="n">
        <x:f>C965*W965</x:f>
        <x:v>1.6185787139260275</x:v>
      </x:c>
      <x:c r="AH965" s="80" t="n">
        <x:f>2*'Inputs'!$B$8*'Inputs'!$C$46</x:f>
        <x:v>5000</x:v>
      </x:c>
      <x:c r="AI965" s="81" t="n">
        <x:f>IF(AH965&gt;0,(AE965+AF965)/AH965*365,0)</x:f>
        <x:v>0.1704792564556386</x:v>
      </x:c>
      <x:c r="AJ965" s="81" t="n">
        <x:f>IF('Inputs'!$B$46&gt;0,AG965/('Inputs'!$B$19*'Inputs'!$B$46)*365,0)</x:f>
        <x:v>0.0590781230583</x:v>
      </x:c>
      <x:c r="AK965" s="81" t="n">
        <x:f>W965/MAX($W$734:W965)-1</x:f>
        <x:v>-0.9969837597159342</x:v>
      </x:c>
      <x:c r="AL965" s="83" t="n">
        <x:f>'Inputs'!$B$46</x:f>
        <x:v>1</x:v>
      </x:c>
      <x:c r="AM965" s="83" t="n">
        <x:f>'Inputs'!$C$46</x:f>
        <x:v>1</x:v>
      </x:c>
      <x:c r="AN965" s="83" t="n">
        <x:f>'Inputs'!$D$46</x:f>
        <x:v>1</x:v>
      </x:c>
      <x:c r="AO965" s="81" t="n">
        <x:f>'Inputs'!$E$46</x:f>
        <x:v>0</x:v>
      </x:c>
    </x:row>
    <x:row r="966">
      <x:c r="A966" s="59" t="str">
        <x:v>Base</x:v>
      </x:c>
      <x:c r="B966" s="59" t="n">
        <x:v>233</x:v>
      </x:c>
      <x:c r="C966" s="78" t="n">
        <x:f>(('Inputs'!$B$29*(3*233*'Inputs'!$B$12-233^2)/(2*'Inputs'!$B$12^2))-('Inputs'!$B$29*(3*232*'Inputs'!$B$12-232^2)/(2*'Inputs'!$B$12^2)))*'Inputs'!$B$46</x:f>
        <x:v>636398.7145805955</x:v>
      </x:c>
      <x:c r="D966" s="78" t="n">
        <x:f>IF('Inputs'!$C$46&gt;0,('Inputs'!$B$30*(3*233*'Inputs'!$B$12-233^2)/(2*'Inputs'!$B$12^2))-('Inputs'!$B$30*(3*232*'Inputs'!$B$12-232^2)/(2*'Inputs'!$B$12^2)),0)</x:f>
        <x:v>272742.30624882877</x:v>
      </x:c>
      <x:c r="E966" s="78" t="n">
        <x:f>C966+D966</x:f>
        <x:v>909141.0208294243</x:v>
      </x:c>
      <x:c r="F966" s="78" t="n">
        <x:f>'Inputs'!$B$13*E966+(1-'Inputs'!$B$13)/'Inputs'!$B$14*SUM(E911:E966)</x:f>
        <x:v>919358.6976918749</x:v>
      </x:c>
      <x:c r="G966" s="78" t="n">
        <x:f>F966*'Inputs'!$F$46</x:f>
        <x:v>459679.34884593746</x:v>
      </x:c>
      <x:c r="H966" s="78" t="n">
        <x:f>U965</x:f>
        <x:v>106944454.42121673</x:v>
      </x:c>
      <x:c r="I966" s="78" t="n">
        <x:f>V965</x:f>
        <x:v>271.8572972881692</x:v>
      </x:c>
      <x:c r="J966" s="79" t="n">
        <x:f>IF(H966&gt;0,I966/H966,0)</x:f>
        <x:v>0.000002542042023211588</x:v>
      </x:c>
      <x:c r="K966" s="80" t="n">
        <x:f>(H966*J966+I966)*'Inputs'!$D$46*(1+'Inputs'!$G$46)^(B966/30)</x:f>
        <x:v>543.7145945763384</x:v>
      </x:c>
      <x:c r="L966" s="80" t="n">
        <x:f>MAX(0,K966*'Inputs'!$E$46)</x:f>
        <x:v>0</x:v>
      </x:c>
      <x:c r="M966" s="80" t="n">
        <x:f>MAX(0,-K966*'Inputs'!$E$46)</x:f>
        <x:v>0</x:v>
      </x:c>
      <x:c r="N966" s="78" t="n">
        <x:f>H966*(L966*(1-'Inputs'!$B$15))/(I966+L966*(1-'Inputs'!$B$15))</x:f>
        <x:v>0</x:v>
      </x:c>
      <x:c r="O966" s="78" t="n">
        <x:f>H966-N966</x:f>
        <x:v>106944454.42121673</x:v>
      </x:c>
      <x:c r="P966" s="78" t="n">
        <x:f>I966+L966*(1-'Inputs'!$B$17)</x:f>
        <x:v>271.8572972881692</x:v>
      </x:c>
      <x:c r="Q966" s="78" t="n">
        <x:f>IF(J966&gt;0,M966/J966,0)</x:f>
        <x:v>0</x:v>
      </x:c>
      <x:c r="R966" s="78" t="n">
        <x:f>IF(B966='Inputs'!$H$46,'Inputs'!$B$27*'Inputs'!$I$46,0)</x:f>
        <x:v>0</x:v>
      </x:c>
      <x:c r="S966" s="78" t="n">
        <x:f>Q966+G966+R966</x:f>
        <x:v>459679.34884593746</x:v>
      </x:c>
      <x:c r="T966" s="78" t="n">
        <x:f>P966*(S966*(1-'Inputs'!$B$15))/(O966+S966*(1-'Inputs'!$B$15))</x:f>
        <x:v>1.151937122126166</x:v>
      </x:c>
      <x:c r="U966" s="78" t="n">
        <x:f>O966+S966*(1-'Inputs'!$B$17)</x:f>
        <x:v>107402283.95376952</x:v>
      </x:c>
      <x:c r="V966" s="78" t="n">
        <x:f>P966-T966</x:f>
        <x:v>270.705360166043</x:v>
      </x:c>
      <x:c r="W966" s="79" t="n">
        <x:f>IF(U966&gt;0,V966/U966,0)</x:f>
        <x:v>0.000002520480479563787</x:v>
      </x:c>
      <x:c r="X966" s="80" t="n">
        <x:f>W966*('Inputs'!$B$6-AC966)</x:f>
        <x:v>2394.99985833074</x:v>
      </x:c>
      <x:c r="Y966" s="80" t="n">
        <x:f>2*V966</x:f>
        <x:v>541.410720332086</x:v>
      </x:c>
      <x:c r="Z966" s="80" t="n">
        <x:f>K966*'Inputs'!$B$16+(G966+R966)*J966*'Inputs'!$B$16</x:f>
        <x:v>3.269298712789844</x:v>
      </x:c>
      <x:c r="AA966" s="80" t="n">
        <x:f>K966*(1+'Inputs'!$E$46)/2*'Inputs'!$B$17</x:f>
        <x:v>1.0939931480409224</x:v>
      </x:c>
      <x:c r="AB966" s="78" t="n">
        <x:f>(IF(J966&gt;0,K966*(1-'Inputs'!$E$46)/2/J966,0)+G966+R966)*'Inputs'!$B$17</x:f>
        <x:v>432209.7938433105</x:v>
      </x:c>
      <x:c r="AC966" s="78" t="n">
        <x:f>AC965+AB966</x:f>
        <x:v>49784405.09674713</x:v>
      </x:c>
      <x:c r="AD966" s="80" t="n">
        <x:f>Z966/(1+'Inputs'!$C$46)</x:f>
        <x:v>1.634649356394922</x:v>
      </x:c>
      <x:c r="AE966" s="80" t="n">
        <x:f>Z966-AD966</x:f>
        <x:v>1.634649356394922</x:v>
      </x:c>
      <x:c r="AF966" s="80" t="n">
        <x:f>D966*W966</x:f>
        <x:v>0.6874416588513812</x:v>
      </x:c>
      <x:c r="AG966" s="80" t="n">
        <x:f>C966*W966</x:f>
        <x:v>1.604030537319877</x:v>
      </x:c>
      <x:c r="AH966" s="80" t="n">
        <x:f>2*'Inputs'!$B$8*'Inputs'!$C$46</x:f>
        <x:v>5000</x:v>
      </x:c>
      <x:c r="AI966" s="81" t="n">
        <x:f>IF(AH966&gt;0,(AE966+AF966)/AH966*365,0)</x:f>
        <x:v>0.16951264411298014</x:v>
      </x:c>
      <x:c r="AJ966" s="81" t="n">
        <x:f>IF('Inputs'!$B$46&gt;0,AG966/('Inputs'!$B$19*'Inputs'!$B$46)*365,0)</x:f>
        <x:v>0.058547114612175516</x:v>
      </x:c>
      <x:c r="AK966" s="81" t="n">
        <x:f>W966/MAX($W$734:W966)-1</x:f>
        <x:v>-0.9970093433986363</x:v>
      </x:c>
      <x:c r="AL966" s="83" t="n">
        <x:f>'Inputs'!$B$46</x:f>
        <x:v>1</x:v>
      </x:c>
      <x:c r="AM966" s="83" t="n">
        <x:f>'Inputs'!$C$46</x:f>
        <x:v>1</x:v>
      </x:c>
      <x:c r="AN966" s="83" t="n">
        <x:f>'Inputs'!$D$46</x:f>
        <x:v>1</x:v>
      </x:c>
      <x:c r="AO966" s="81" t="n">
        <x:f>'Inputs'!$E$46</x:f>
        <x:v>0</x:v>
      </x:c>
    </x:row>
    <x:row r="967">
      <x:c r="A967" s="59" t="str">
        <x:v>Base</x:v>
      </x:c>
      <x:c r="B967" s="59" t="n">
        <x:v>234</x:v>
      </x:c>
      <x:c r="C967" s="78" t="n">
        <x:f>(('Inputs'!$B$29*(3*234*'Inputs'!$B$12-234^2)/(2*'Inputs'!$B$12^2))-('Inputs'!$B$29*(3*233*'Inputs'!$B$12-233^2)/(2*'Inputs'!$B$12^2)))*'Inputs'!$B$46</x:f>
        <x:v>636073.606680423</x:v>
      </x:c>
      <x:c r="D967" s="78" t="n">
        <x:f>IF('Inputs'!$C$46&gt;0,('Inputs'!$B$30*(3*234*'Inputs'!$B$12-234^2)/(2*'Inputs'!$B$12^2))-('Inputs'!$B$30*(3*233*'Inputs'!$B$12-233^2)/(2*'Inputs'!$B$12^2)),0)</x:f>
        <x:v>272602.97429160774</x:v>
      </x:c>
      <x:c r="E967" s="78" t="n">
        <x:f>C967+D967</x:f>
        <x:v>908676.5809720308</x:v>
      </x:c>
      <x:c r="F967" s="78" t="n">
        <x:f>'Inputs'!$B$13*E967+(1-'Inputs'!$B$13)/'Inputs'!$B$14*SUM(E912:E967)</x:f>
        <x:v>918894.2578344888</x:v>
      </x:c>
      <x:c r="G967" s="78" t="n">
        <x:f>F967*'Inputs'!$F$46</x:f>
        <x:v>459447.1289172444</x:v>
      </x:c>
      <x:c r="H967" s="78" t="n">
        <x:f>U966</x:f>
        <x:v>107402283.95376952</x:v>
      </x:c>
      <x:c r="I967" s="78" t="n">
        <x:f>V966</x:f>
        <x:v>270.705360166043</x:v>
      </x:c>
      <x:c r="J967" s="79" t="n">
        <x:f>IF(H967&gt;0,I967/H967,0)</x:f>
        <x:v>0.000002520480479563787</x:v>
      </x:c>
      <x:c r="K967" s="80" t="n">
        <x:f>(H967*J967+I967)*'Inputs'!$D$46*(1+'Inputs'!$G$46)^(B967/30)</x:f>
        <x:v>541.410720332086</x:v>
      </x:c>
      <x:c r="L967" s="80" t="n">
        <x:f>MAX(0,K967*'Inputs'!$E$46)</x:f>
        <x:v>0</x:v>
      </x:c>
      <x:c r="M967" s="80" t="n">
        <x:f>MAX(0,-K967*'Inputs'!$E$46)</x:f>
        <x:v>0</x:v>
      </x:c>
      <x:c r="N967" s="78" t="n">
        <x:f>H967*(L967*(1-'Inputs'!$B$15))/(I967+L967*(1-'Inputs'!$B$15))</x:f>
        <x:v>0</x:v>
      </x:c>
      <x:c r="O967" s="78" t="n">
        <x:f>H967-N967</x:f>
        <x:v>107402283.95376952</x:v>
      </x:c>
      <x:c r="P967" s="78" t="n">
        <x:f>I967+L967*(1-'Inputs'!$B$17)</x:f>
        <x:v>270.705360166043</x:v>
      </x:c>
      <x:c r="Q967" s="78" t="n">
        <x:f>IF(J967&gt;0,M967/J967,0)</x:f>
        <x:v>0</x:v>
      </x:c>
      <x:c r="R967" s="78" t="n">
        <x:f>IF(B967='Inputs'!$H$46,'Inputs'!$B$27*'Inputs'!$I$46,0)</x:f>
        <x:v>0</x:v>
      </x:c>
      <x:c r="S967" s="78" t="n">
        <x:f>Q967+G967+R967</x:f>
        <x:v>459447.1289172444</x:v>
      </x:c>
      <x:c r="T967" s="78" t="n">
        <x:f>P967*(S967*(1-'Inputs'!$B$15))/(O967+S967*(1-'Inputs'!$B$15))</x:f>
        <x:v>1.141612473445521</x:v>
      </x:c>
      <x:c r="U967" s="78" t="n">
        <x:f>O967+S967*(1-'Inputs'!$B$17)</x:f>
        <x:v>107859882.20088026</x:v>
      </x:c>
      <x:c r="V967" s="78" t="n">
        <x:f>P967-T967</x:f>
        <x:v>269.5637476925975</x:v>
      </x:c>
      <x:c r="W967" s="79" t="n">
        <x:f>IF(U967&gt;0,V967/U967,0)</x:f>
        <x:v>0.000002499203060416448</x:v>
      </x:c>
      <x:c r="X967" s="80" t="n">
        <x:f>W967*('Inputs'!$B$6-AC967)</x:f>
        <x:v>2373.6969406709504</x:v>
      </x:c>
      <x:c r="Y967" s="80" t="n">
        <x:f>2*V967</x:f>
        <x:v>539.127495385195</x:v>
      </x:c>
      <x:c r="Z967" s="80" t="n">
        <x:f>K967*'Inputs'!$B$16+(G967+R967)*J967*'Inputs'!$B$16</x:f>
        <x:v>3.2554124871114816</x:v>
      </x:c>
      <x:c r="AA967" s="80" t="n">
        <x:f>K967*(1+'Inputs'!$E$46)/2*'Inputs'!$B$17</x:f>
        <x:v>1.0893575861812597</x:v>
      </x:c>
      <x:c r="AB967" s="78" t="n">
        <x:f>(IF(J967&gt;0,K967*(1-'Inputs'!$E$46)/2/J967,0)+G967+R967)*'Inputs'!$B$17</x:f>
        <x:v>434051.23172107356</x:v>
      </x:c>
      <x:c r="AC967" s="78" t="n">
        <x:f>AC966+AB967</x:f>
        <x:v>50218456.3284682</x:v>
      </x:c>
      <x:c r="AD967" s="80" t="n">
        <x:f>Z967/(1+'Inputs'!$C$46)</x:f>
        <x:v>1.6277062435557408</x:v>
      </x:c>
      <x:c r="AE967" s="80" t="n">
        <x:f>Z967-AD967</x:f>
        <x:v>1.6277062435557408</x:v>
      </x:c>
      <x:c r="AF967" s="80" t="n">
        <x:f>D967*W967</x:f>
        <x:v>0.6812901876282123</x:v>
      </x:c>
      <x:c r="AG967" s="80" t="n">
        <x:f>C967*W967</x:f>
        <x:v>1.589677104465841</x:v>
      </x:c>
      <x:c r="AH967" s="80" t="n">
        <x:f>2*'Inputs'!$B$8*'Inputs'!$C$46</x:f>
        <x:v>5000</x:v>
      </x:c>
      <x:c r="AI967" s="81" t="n">
        <x:f>IF(AH967&gt;0,(AE967+AF967)/AH967*365,0)</x:f>
        <x:v>0.16855673947642857</x:v>
      </x:c>
      <x:c r="AJ967" s="81" t="n">
        <x:f>IF('Inputs'!$B$46&gt;0,AG967/('Inputs'!$B$19*'Inputs'!$B$46)*365,0)</x:f>
        <x:v>0.0580232143130032</x:v>
      </x:c>
      <x:c r="AK967" s="81" t="n">
        <x:f>W967/MAX($W$734:W967)-1</x:f>
        <x:v>-0.9970345899556118</x:v>
      </x:c>
      <x:c r="AL967" s="83" t="n">
        <x:f>'Inputs'!$B$46</x:f>
        <x:v>1</x:v>
      </x:c>
      <x:c r="AM967" s="83" t="n">
        <x:f>'Inputs'!$C$46</x:f>
        <x:v>1</x:v>
      </x:c>
      <x:c r="AN967" s="83" t="n">
        <x:f>'Inputs'!$D$46</x:f>
        <x:v>1</x:v>
      </x:c>
      <x:c r="AO967" s="81" t="n">
        <x:f>'Inputs'!$E$46</x:f>
        <x:v>0</x:v>
      </x:c>
    </x:row>
    <x:row r="968">
      <x:c r="A968" s="59" t="str">
        <x:v>Base</x:v>
      </x:c>
      <x:c r="B968" s="59" t="n">
        <x:v>235</x:v>
      </x:c>
      <x:c r="C968" s="78" t="n">
        <x:f>(('Inputs'!$B$29*(3*235*'Inputs'!$B$12-235^2)/(2*'Inputs'!$B$12^2))-('Inputs'!$B$29*(3*234*'Inputs'!$B$12-234^2)/(2*'Inputs'!$B$12^2)))*'Inputs'!$B$46</x:f>
        <x:v>635748.4987802505</x:v>
      </x:c>
      <x:c r="D968" s="78" t="n">
        <x:f>IF('Inputs'!$C$46&gt;0,('Inputs'!$B$30*(3*235*'Inputs'!$B$12-235^2)/(2*'Inputs'!$B$12^2))-('Inputs'!$B$30*(3*234*'Inputs'!$B$12-234^2)/(2*'Inputs'!$B$12^2)),0)</x:f>
        <x:v>272463.6423344016</x:v>
      </x:c>
      <x:c r="E968" s="78" t="n">
        <x:f>C968+D968</x:f>
        <x:v>908212.1411146522</x:v>
      </x:c>
      <x:c r="F968" s="78" t="n">
        <x:f>'Inputs'!$B$13*E968+(1-'Inputs'!$B$13)/'Inputs'!$B$14*SUM(E913:E968)</x:f>
        <x:v>918429.8179771056</x:v>
      </x:c>
      <x:c r="G968" s="78" t="n">
        <x:f>F968*'Inputs'!$F$46</x:f>
        <x:v>459214.9089885528</x:v>
      </x:c>
      <x:c r="H968" s="78" t="n">
        <x:f>U967</x:f>
        <x:v>107859882.20088026</x:v>
      </x:c>
      <x:c r="I968" s="78" t="n">
        <x:f>V967</x:f>
        <x:v>269.5637476925975</x:v>
      </x:c>
      <x:c r="J968" s="79" t="n">
        <x:f>IF(H968&gt;0,I968/H968,0)</x:f>
        <x:v>0.000002499203060416448</x:v>
      </x:c>
      <x:c r="K968" s="80" t="n">
        <x:f>(H968*J968+I968)*'Inputs'!$D$46*(1+'Inputs'!$G$46)^(B968/30)</x:f>
        <x:v>539.127495385195</x:v>
      </x:c>
      <x:c r="L968" s="80" t="n">
        <x:f>MAX(0,K968*'Inputs'!$E$46)</x:f>
        <x:v>0</x:v>
      </x:c>
      <x:c r="M968" s="80" t="n">
        <x:f>MAX(0,-K968*'Inputs'!$E$46)</x:f>
        <x:v>0</x:v>
      </x:c>
      <x:c r="N968" s="78" t="n">
        <x:f>H968*(L968*(1-'Inputs'!$B$15))/(I968+L968*(1-'Inputs'!$B$15))</x:f>
        <x:v>0</x:v>
      </x:c>
      <x:c r="O968" s="78" t="n">
        <x:f>H968-N968</x:f>
        <x:v>107859882.20088026</x:v>
      </x:c>
      <x:c r="P968" s="78" t="n">
        <x:f>I968+L968*(1-'Inputs'!$B$17)</x:f>
        <x:v>269.5637476925975</x:v>
      </x:c>
      <x:c r="Q968" s="78" t="n">
        <x:f>IF(J968&gt;0,M968/J968,0)</x:f>
        <x:v>0</x:v>
      </x:c>
      <x:c r="R968" s="78" t="n">
        <x:f>IF(B968='Inputs'!$H$46,'Inputs'!$B$27*'Inputs'!$I$46,0)</x:f>
        <x:v>0</x:v>
      </x:c>
      <x:c r="S968" s="78" t="n">
        <x:f>Q968+G968+R968</x:f>
        <x:v>459214.9089885528</x:v>
      </x:c>
      <x:c r="T968" s="78" t="n">
        <x:f>P968*(S968*(1-'Inputs'!$B$15))/(O968+S968*(1-'Inputs'!$B$15))</x:f>
        <x:v>1.131425703224258</x:v>
      </x:c>
      <x:c r="U968" s="78" t="n">
        <x:f>O968+S968*(1-'Inputs'!$B$17)</x:f>
        <x:v>108317249.16254894</x:v>
      </x:c>
      <x:c r="V968" s="78" t="n">
        <x:f>P968-T968</x:f>
        <x:v>268.43232198937324</x:v>
      </x:c>
      <x:c r="W968" s="79" t="n">
        <x:f>IF(U968&gt;0,V968/U968,0)</x:f>
        <x:v>0.0000024782047556113954</x:v>
      </x:c>
      <x:c r="X968" s="80" t="n">
        <x:f>W968*('Inputs'!$B$6-AC968)</x:f>
        <x:v>2352.672909338516</x:v>
      </x:c>
      <x:c r="Y968" s="80" t="n">
        <x:f>2*V968</x:f>
        <x:v>536.8646439787465</x:v>
      </x:c>
      <x:c r="Z968" s="80" t="n">
        <x:f>K968*'Inputs'!$B$16+(G968+R968)*J968*'Inputs'!$B$16</x:f>
        <x:v>3.241651000146768</x:v>
      </x:c>
      <x:c r="AA968" s="80" t="n">
        <x:f>K968*(1+'Inputs'!$E$46)/2*'Inputs'!$B$17</x:f>
        <x:v>1.0847635722036117</x:v>
      </x:c>
      <x:c r="AB968" s="78" t="n">
        <x:f>(IF(J968&gt;0,K968*(1-'Inputs'!$E$46)/2/J968,0)+G968+R968)*'Inputs'!$B$17</x:f>
        <x:v>435891.73887271155</x:v>
      </x:c>
      <x:c r="AC968" s="78" t="n">
        <x:f>AC967+AB968</x:f>
        <x:v>50654348.06734092</x:v>
      </x:c>
      <x:c r="AD968" s="80" t="n">
        <x:f>Z968/(1+'Inputs'!$C$46)</x:f>
        <x:v>1.620825500073384</x:v>
      </x:c>
      <x:c r="AE968" s="80" t="n">
        <x:f>Z968-AD968</x:f>
        <x:v>1.620825500073384</x:v>
      </x:c>
      <x:c r="AF968" s="80" t="n">
        <x:f>D968*W968</x:f>
        <x:v>0.6752206941643164</x:v>
      </x:c>
      <x:c r="AG968" s="80" t="n">
        <x:f>C968*W968</x:f>
        <x:v>1.5755149530500223</x:v>
      </x:c>
      <x:c r="AH968" s="80" t="n">
        <x:f>2*'Inputs'!$B$8*'Inputs'!$C$46</x:f>
        <x:v>5000</x:v>
      </x:c>
      <x:c r="AI968" s="81" t="n">
        <x:f>IF(AH968&gt;0,(AE968+AF968)/AH968*365,0)</x:f>
        <x:v>0.1676113721793521</x:v>
      </x:c>
      <x:c r="AJ968" s="81" t="n">
        <x:f>IF('Inputs'!$B$46&gt;0,AG968/('Inputs'!$B$19*'Inputs'!$B$46)*365,0)</x:f>
        <x:v>0.05750629578632581</x:v>
      </x:c>
      <x:c r="AK968" s="81" t="n">
        <x:f>W968/MAX($W$734:W968)-1</x:f>
        <x:v>-0.9970595053316252</x:v>
      </x:c>
      <x:c r="AL968" s="83" t="n">
        <x:f>'Inputs'!$B$46</x:f>
        <x:v>1</x:v>
      </x:c>
      <x:c r="AM968" s="83" t="n">
        <x:f>'Inputs'!$C$46</x:f>
        <x:v>1</x:v>
      </x:c>
      <x:c r="AN968" s="83" t="n">
        <x:f>'Inputs'!$D$46</x:f>
        <x:v>1</x:v>
      </x:c>
      <x:c r="AO968" s="81" t="n">
        <x:f>'Inputs'!$E$46</x:f>
        <x:v>0</x:v>
      </x:c>
    </x:row>
    <x:row r="969">
      <x:c r="A969" s="59" t="str">
        <x:v>Base</x:v>
      </x:c>
      <x:c r="B969" s="59" t="n">
        <x:v>236</x:v>
      </x:c>
      <x:c r="C969" s="78" t="n">
        <x:f>(('Inputs'!$B$29*(3*236*'Inputs'!$B$12-236^2)/(2*'Inputs'!$B$12^2))-('Inputs'!$B$29*(3*235*'Inputs'!$B$12-235^2)/(2*'Inputs'!$B$12^2)))*'Inputs'!$B$46</x:f>
        <x:v>635423.3908800781</x:v>
      </x:c>
      <x:c r="D969" s="78" t="n">
        <x:f>IF('Inputs'!$C$46&gt;0,('Inputs'!$B$30*(3*236*'Inputs'!$B$12-236^2)/(2*'Inputs'!$B$12^2))-('Inputs'!$B$30*(3*235*'Inputs'!$B$12-235^2)/(2*'Inputs'!$B$12^2)),0)</x:f>
        <x:v>272324.3103771806</x:v>
      </x:c>
      <x:c r="E969" s="78" t="n">
        <x:f>C969+D969</x:f>
        <x:v>907747.7012572587</x:v>
      </x:c>
      <x:c r="F969" s="78" t="n">
        <x:f>'Inputs'!$B$13*E969+(1-'Inputs'!$B$13)/'Inputs'!$B$14*SUM(E914:E969)</x:f>
        <x:v>917965.3781197197</x:v>
      </x:c>
      <x:c r="G969" s="78" t="n">
        <x:f>F969*'Inputs'!$F$46</x:f>
        <x:v>458982.68905985984</x:v>
      </x:c>
      <x:c r="H969" s="78" t="n">
        <x:f>U968</x:f>
        <x:v>108317249.16254894</x:v>
      </x:c>
      <x:c r="I969" s="78" t="n">
        <x:f>V968</x:f>
        <x:v>268.43232198937324</x:v>
      </x:c>
      <x:c r="J969" s="79" t="n">
        <x:f>IF(H969&gt;0,I969/H969,0)</x:f>
        <x:v>0.0000024782047556113954</x:v>
      </x:c>
      <x:c r="K969" s="80" t="n">
        <x:f>(H969*J969+I969)*'Inputs'!$D$46*(1+'Inputs'!$G$46)^(B969/30)</x:f>
        <x:v>536.8646439787465</x:v>
      </x:c>
      <x:c r="L969" s="80" t="n">
        <x:f>MAX(0,K969*'Inputs'!$E$46)</x:f>
        <x:v>0</x:v>
      </x:c>
      <x:c r="M969" s="80" t="n">
        <x:f>MAX(0,-K969*'Inputs'!$E$46)</x:f>
        <x:v>0</x:v>
      </x:c>
      <x:c r="N969" s="78" t="n">
        <x:f>H969*(L969*(1-'Inputs'!$B$15))/(I969+L969*(1-'Inputs'!$B$15))</x:f>
        <x:v>0</x:v>
      </x:c>
      <x:c r="O969" s="78" t="n">
        <x:f>H969-N969</x:f>
        <x:v>108317249.16254894</x:v>
      </x:c>
      <x:c r="P969" s="78" t="n">
        <x:f>I969+L969*(1-'Inputs'!$B$17)</x:f>
        <x:v>268.43232198937324</x:v>
      </x:c>
      <x:c r="Q969" s="78" t="n">
        <x:f>IF(J969&gt;0,M969/J969,0)</x:f>
        <x:v>0</x:v>
      </x:c>
      <x:c r="R969" s="78" t="n">
        <x:f>IF(B969='Inputs'!$H$46,'Inputs'!$B$27*'Inputs'!$I$46,0)</x:f>
        <x:v>0</x:v>
      </x:c>
      <x:c r="S969" s="78" t="n">
        <x:f>Q969+G969+R969</x:f>
        <x:v>458982.68905985984</x:v>
      </x:c>
      <x:c r="T969" s="78" t="n">
        <x:f>P969*(S969*(1-'Inputs'!$B$15))/(O969+S969*(1-'Inputs'!$B$15))</x:f>
        <x:v>1.1213743657540232</x:v>
      </x:c>
      <x:c r="U969" s="78" t="n">
        <x:f>O969+S969*(1-'Inputs'!$B$17)</x:f>
        <x:v>108774384.83877556</x:v>
      </x:c>
      <x:c r="V969" s="78" t="n">
        <x:f>P969-T969</x:f>
        <x:v>267.3109476236192</x:v>
      </x:c>
      <x:c r="W969" s="79" t="n">
        <x:f>IF(U969&gt;0,V969/U969,0)</x:f>
        <x:v>0.0000024574806653223103</x:v>
      </x:c>
      <x:c r="X969" s="80" t="n">
        <x:f>W969*('Inputs'!$B$6-AC969)</x:f>
        <x:v>2331.922868088362</x:v>
      </x:c>
      <x:c r="Y969" s="80" t="n">
        <x:f>2*V969</x:f>
        <x:v>534.6218952472384</x:v>
      </x:c>
      <x:c r="Z969" s="80" t="n">
        <x:f>K969*'Inputs'!$B$16+(G969+R969)*J969*'Inputs'!$B$16</x:f>
        <x:v>3.2280125823691077</x:v>
      </x:c>
      <x:c r="AA969" s="80" t="n">
        <x:f>K969*(1+'Inputs'!$E$46)/2*'Inputs'!$B$17</x:f>
        <x:v>1.0802105512650835</x:v>
      </x:c>
      <x:c r="AB969" s="78" t="n">
        <x:f>(IF(J969&gt;0,K969*(1-'Inputs'!$E$46)/2/J969,0)+G969+R969)*'Inputs'!$B$17</x:f>
        <x:v>437731.31529822457</x:v>
      </x:c>
      <x:c r="AC969" s="78" t="n">
        <x:f>AC968+AB969</x:f>
        <x:v>51092079.38263914</x:v>
      </x:c>
      <x:c r="AD969" s="80" t="n">
        <x:f>Z969/(1+'Inputs'!$C$46)</x:f>
        <x:v>1.6140062911845539</x:v>
      </x:c>
      <x:c r="AE969" s="80" t="n">
        <x:f>Z969-AD969</x:f>
        <x:v>1.6140062911845539</x:v>
      </x:c>
      <x:c r="AF969" s="80" t="n">
        <x:f>D969*W969</x:f>
        <x:v>0.669231727449153</x:v>
      </x:c>
      <x:c r="AG969" s="80" t="n">
        <x:f>C969*W969</x:f>
        <x:v>1.5615406973813326</x:v>
      </x:c>
      <x:c r="AH969" s="80" t="n">
        <x:f>2*'Inputs'!$B$8*'Inputs'!$C$46</x:f>
        <x:v>5000</x:v>
      </x:c>
      <x:c r="AI969" s="81" t="n">
        <x:f>IF(AH969&gt;0,(AE969+AF969)/AH969*365,0)</x:f>
        <x:v>0.1666763753602606</x:v>
      </x:c>
      <x:c r="AJ969" s="81" t="n">
        <x:f>IF('Inputs'!$B$46&gt;0,AG969/('Inputs'!$B$19*'Inputs'!$B$46)*365,0)</x:f>
        <x:v>0.05699623545441865</x:v>
      </x:c>
      <x:c r="AK969" s="81" t="n">
        <x:f>W969/MAX($W$734:W969)-1</x:f>
        <x:v>-0.9970840953405274</x:v>
      </x:c>
      <x:c r="AL969" s="83" t="n">
        <x:f>'Inputs'!$B$46</x:f>
        <x:v>1</x:v>
      </x:c>
      <x:c r="AM969" s="83" t="n">
        <x:f>'Inputs'!$C$46</x:f>
        <x:v>1</x:v>
      </x:c>
      <x:c r="AN969" s="83" t="n">
        <x:f>'Inputs'!$D$46</x:f>
        <x:v>1</x:v>
      </x:c>
      <x:c r="AO969" s="81" t="n">
        <x:f>'Inputs'!$E$46</x:f>
        <x:v>0</x:v>
      </x:c>
    </x:row>
    <x:row r="970">
      <x:c r="A970" s="59" t="str">
        <x:v>Base</x:v>
      </x:c>
      <x:c r="B970" s="59" t="n">
        <x:v>237</x:v>
      </x:c>
      <x:c r="C970" s="78" t="n">
        <x:f>(('Inputs'!$B$29*(3*237*'Inputs'!$B$12-237^2)/(2*'Inputs'!$B$12^2))-('Inputs'!$B$29*(3*236*'Inputs'!$B$12-236^2)/(2*'Inputs'!$B$12^2)))*'Inputs'!$B$46</x:f>
        <x:v>635098.2829799354</x:v>
      </x:c>
      <x:c r="D970" s="78" t="n">
        <x:f>IF('Inputs'!$C$46&gt;0,('Inputs'!$B$30*(3*237*'Inputs'!$B$12-237^2)/(2*'Inputs'!$B$12^2))-('Inputs'!$B$30*(3*236*'Inputs'!$B$12-236^2)/(2*'Inputs'!$B$12^2)),0)</x:f>
        <x:v>272184.97841997445</x:v>
      </x:c>
      <x:c r="E970" s="78" t="n">
        <x:f>C970+D970</x:f>
        <x:v>907283.2613999099</x:v>
      </x:c>
      <x:c r="F970" s="78" t="n">
        <x:f>'Inputs'!$B$13*E970+(1-'Inputs'!$B$13)/'Inputs'!$B$14*SUM(E915:E970)</x:f>
        <x:v>917500.9382623427</x:v>
      </x:c>
      <x:c r="G970" s="78" t="n">
        <x:f>F970*'Inputs'!$F$46</x:f>
        <x:v>458750.46913117135</x:v>
      </x:c>
      <x:c r="H970" s="78" t="n">
        <x:f>U969</x:f>
        <x:v>108774384.83877556</x:v>
      </x:c>
      <x:c r="I970" s="78" t="n">
        <x:f>V969</x:f>
        <x:v>267.3109476236192</x:v>
      </x:c>
      <x:c r="J970" s="79" t="n">
        <x:f>IF(H970&gt;0,I970/H970,0)</x:f>
        <x:v>0.0000024574806653223103</x:v>
      </x:c>
      <x:c r="K970" s="80" t="n">
        <x:f>(H970*J970+I970)*'Inputs'!$D$46*(1+'Inputs'!$G$46)^(B970/30)</x:f>
        <x:v>534.6218952472384</x:v>
      </x:c>
      <x:c r="L970" s="80" t="n">
        <x:f>MAX(0,K970*'Inputs'!$E$46)</x:f>
        <x:v>0</x:v>
      </x:c>
      <x:c r="M970" s="80" t="n">
        <x:f>MAX(0,-K970*'Inputs'!$E$46)</x:f>
        <x:v>0</x:v>
      </x:c>
      <x:c r="N970" s="78" t="n">
        <x:f>H970*(L970*(1-'Inputs'!$B$15))/(I970+L970*(1-'Inputs'!$B$15))</x:f>
        <x:v>0</x:v>
      </x:c>
      <x:c r="O970" s="78" t="n">
        <x:f>H970-N970</x:f>
        <x:v>108774384.83877556</x:v>
      </x:c>
      <x:c r="P970" s="78" t="n">
        <x:f>I970+L970*(1-'Inputs'!$B$17)</x:f>
        <x:v>267.3109476236192</x:v>
      </x:c>
      <x:c r="Q970" s="78" t="n">
        <x:f>IF(J970&gt;0,M970/J970,0)</x:f>
        <x:v>0</x:v>
      </x:c>
      <x:c r="R970" s="78" t="n">
        <x:f>IF(B970='Inputs'!$H$46,'Inputs'!$B$27*'Inputs'!$I$46,0)</x:f>
        <x:v>0</x:v>
      </x:c>
      <x:c r="S970" s="78" t="n">
        <x:f>Q970+G970+R970</x:f>
        <x:v>458750.46913117135</x:v>
      </x:c>
      <x:c r="T970" s="78" t="n">
        <x:f>P970*(S970*(1-'Inputs'!$B$15))/(O970+S970*(1-'Inputs'!$B$15))</x:f>
        <x:v>1.1114560693298638</x:v>
      </x:c>
      <x:c r="U970" s="78" t="n">
        <x:f>O970+S970*(1-'Inputs'!$B$17)</x:f>
        <x:v>109231289.22956012</x:v>
      </x:c>
      <x:c r="V970" s="78" t="n">
        <x:f>P970-T970</x:f>
        <x:v>266.19949155428935</x:v>
      </x:c>
      <x:c r="W970" s="79" t="n">
        <x:f>IF(U970&gt;0,V970/U970,0)</x:f>
        <x:v>0.0000024370259971467094</x:v>
      </x:c>
      <x:c r="X970" s="80" t="n">
        <x:f>W970*('Inputs'!$B$6-AC970)</x:f>
        <x:v>2311.4420280204185</x:v>
      </x:c>
      <x:c r="Y970" s="80" t="n">
        <x:f>2*V970</x:f>
        <x:v>532.3989831085787</x:v>
      </x:c>
      <x:c r="Z970" s="80" t="n">
        <x:f>K970*'Inputs'!$B$16+(G970+R970)*J970*'Inputs'!$B$16</x:f>
        <x:v>3.214495593932015</x:v>
      </x:c>
      <x:c r="AA970" s="80" t="n">
        <x:f>K970*(1+'Inputs'!$E$46)/2*'Inputs'!$B$17</x:f>
        <x:v>1.075697978364665</x:v>
      </x:c>
      <x:c r="AB970" s="78" t="n">
        <x:f>(IF(J970&gt;0,K970*(1-'Inputs'!$E$46)/2/J970,0)+G970+R970)*'Inputs'!$B$17</x:f>
        <x:v>439569.9609976126</x:v>
      </x:c>
      <x:c r="AC970" s="78" t="n">
        <x:f>AC969+AB970</x:f>
        <x:v>51531649.34363675</x:v>
      </x:c>
      <x:c r="AD970" s="80" t="n">
        <x:f>Z970/(1+'Inputs'!$C$46)</x:f>
        <x:v>1.6072477969660075</x:v>
      </x:c>
      <x:c r="AE970" s="80" t="n">
        <x:f>Z970-AD970</x:f>
        <x:v>1.6072477969660075</x:v>
      </x:c>
      <x:c r="AF970" s="80" t="n">
        <x:f>D970*W970</x:f>
        <x:v>0.6633218684422938</x:v>
      </x:c>
      <x:c r="AG970" s="80" t="n">
        <x:f>C970*W970</x:f>
        <x:v>1.54775102636534</x:v>
      </x:c>
      <x:c r="AH970" s="80" t="n">
        <x:f>2*'Inputs'!$B$8*'Inputs'!$C$46</x:f>
        <x:v>5000</x:v>
      </x:c>
      <x:c r="AI970" s="81" t="n">
        <x:f>IF(AH970&gt;0,(AE970+AF970)/AH970*365,0)</x:f>
        <x:v>0.16575158557480602</x:v>
      </x:c>
      <x:c r="AJ970" s="81" t="n">
        <x:f>IF('Inputs'!$B$46&gt;0,AG970/('Inputs'!$B$19*'Inputs'!$B$46)*365,0)</x:f>
        <x:v>0.056492912462334906</x:v>
      </x:c>
      <x:c r="AK970" s="81" t="n">
        <x:f>W970/MAX($W$734:W970)-1</x:f>
        <x:v>-0.9971083656687065</x:v>
      </x:c>
      <x:c r="AL970" s="83" t="n">
        <x:f>'Inputs'!$B$46</x:f>
        <x:v>1</x:v>
      </x:c>
      <x:c r="AM970" s="83" t="n">
        <x:f>'Inputs'!$C$46</x:f>
        <x:v>1</x:v>
      </x:c>
      <x:c r="AN970" s="83" t="n">
        <x:f>'Inputs'!$D$46</x:f>
        <x:v>1</x:v>
      </x:c>
      <x:c r="AO970" s="81" t="n">
        <x:f>'Inputs'!$E$46</x:f>
        <x:v>0</x:v>
      </x:c>
    </x:row>
    <x:row r="971">
      <x:c r="A971" s="59" t="str">
        <x:v>Base</x:v>
      </x:c>
      <x:c r="B971" s="59" t="n">
        <x:v>238</x:v>
      </x:c>
      <x:c r="C971" s="78" t="n">
        <x:f>(('Inputs'!$B$29*(3*238*'Inputs'!$B$12-238^2)/(2*'Inputs'!$B$12^2))-('Inputs'!$B$29*(3*237*'Inputs'!$B$12-237^2)/(2*'Inputs'!$B$12^2)))*'Inputs'!$B$46</x:f>
        <x:v>634773.1750797629</x:v>
      </x:c>
      <x:c r="D971" s="78" t="n">
        <x:f>IF('Inputs'!$C$46&gt;0,('Inputs'!$B$30*(3*238*'Inputs'!$B$12-238^2)/(2*'Inputs'!$B$12^2))-('Inputs'!$B$30*(3*237*'Inputs'!$B$12-237^2)/(2*'Inputs'!$B$12^2)),0)</x:f>
        <x:v>272045.6464627385</x:v>
      </x:c>
      <x:c r="E971" s="78" t="n">
        <x:f>C971+D971</x:f>
        <x:v>906818.8215425014</x:v>
      </x:c>
      <x:c r="F971" s="78" t="n">
        <x:f>'Inputs'!$B$13*E971+(1-'Inputs'!$B$13)/'Inputs'!$B$14*SUM(E916:E971)</x:f>
        <x:v>917036.4984049537</x:v>
      </x:c>
      <x:c r="G971" s="78" t="n">
        <x:f>F971*'Inputs'!$F$46</x:f>
        <x:v>458518.2492024769</x:v>
      </x:c>
      <x:c r="H971" s="78" t="n">
        <x:f>U970</x:f>
        <x:v>109231289.22956012</x:v>
      </x:c>
      <x:c r="I971" s="78" t="n">
        <x:f>V970</x:f>
        <x:v>266.19949155428935</x:v>
      </x:c>
      <x:c r="J971" s="79" t="n">
        <x:f>IF(H971&gt;0,I971/H971,0)</x:f>
        <x:v>0.0000024370259971467094</x:v>
      </x:c>
      <x:c r="K971" s="80" t="n">
        <x:f>(H971*J971+I971)*'Inputs'!$D$46*(1+'Inputs'!$G$46)^(B971/30)</x:f>
        <x:v>532.3989831085787</x:v>
      </x:c>
      <x:c r="L971" s="80" t="n">
        <x:f>MAX(0,K971*'Inputs'!$E$46)</x:f>
        <x:v>0</x:v>
      </x:c>
      <x:c r="M971" s="80" t="n">
        <x:f>MAX(0,-K971*'Inputs'!$E$46)</x:f>
        <x:v>0</x:v>
      </x:c>
      <x:c r="N971" s="78" t="n">
        <x:f>H971*(L971*(1-'Inputs'!$B$15))/(I971+L971*(1-'Inputs'!$B$15))</x:f>
        <x:v>0</x:v>
      </x:c>
      <x:c r="O971" s="78" t="n">
        <x:f>H971-N971</x:f>
        <x:v>109231289.22956012</x:v>
      </x:c>
      <x:c r="P971" s="78" t="n">
        <x:f>I971+L971*(1-'Inputs'!$B$17)</x:f>
        <x:v>266.19949155428935</x:v>
      </x:c>
      <x:c r="Q971" s="78" t="n">
        <x:f>IF(J971&gt;0,M971/J971,0)</x:f>
        <x:v>0</x:v>
      </x:c>
      <x:c r="R971" s="78" t="n">
        <x:f>IF(B971='Inputs'!$H$46,'Inputs'!$B$27*'Inputs'!$I$46,0)</x:f>
        <x:v>0</x:v>
      </x:c>
      <x:c r="S971" s="78" t="n">
        <x:f>Q971+G971+R971</x:f>
        <x:v>458518.2492024769</x:v>
      </x:c>
      <x:c r="T971" s="78" t="n">
        <x:f>P971*(S971*(1-'Inputs'!$B$15))/(O971+S971*(1-'Inputs'!$B$15))</x:f>
        <x:v>1.1016684748252568</x:v>
      </x:c>
      <x:c r="U971" s="78" t="n">
        <x:f>O971+S971*(1-'Inputs'!$B$17)</x:f>
        <x:v>109687962.33490263</x:v>
      </x:c>
      <x:c r="V971" s="78" t="n">
        <x:f>P971-T971</x:f>
        <x:v>265.0978230794641</x:v>
      </x:c>
      <x:c r="W971" s="79" t="n">
        <x:f>IF(U971&gt;0,V971/U971,0)</x:f>
        <x:v>0.0000024168360632870484</x:v>
      </x:c>
      <x:c r="X971" s="80" t="n">
        <x:f>W971*('Inputs'!$B$6-AC971)</x:f>
        <x:v>2291.2257047627863</x:v>
      </x:c>
      <x:c r="Y971" s="80" t="n">
        <x:f>2*V971</x:f>
        <x:v>530.1956461589282</x:v>
      </x:c>
      <x:c r="Z971" s="80" t="n">
        <x:f>K971*'Inputs'!$B$16+(G971+R971)*J971*'Inputs'!$B$16</x:f>
        <x:v>3.201098424012308</x:v>
      </x:c>
      <x:c r="AA971" s="80" t="n">
        <x:f>K971*(1+'Inputs'!$E$46)/2*'Inputs'!$B$17</x:f>
        <x:v>1.071225318125913</x:v>
      </x:c>
      <x:c r="AB971" s="78" t="n">
        <x:f>(IF(J971&gt;0,K971*(1-'Inputs'!$E$46)/2/J971,0)+G971+R971)*'Inputs'!$B$17</x:f>
        <x:v>441407.6759708756</x:v>
      </x:c>
      <x:c r="AC971" s="78" t="n">
        <x:f>AC970+AB971</x:f>
        <x:v>51973057.019607626</x:v>
      </x:c>
      <x:c r="AD971" s="80" t="n">
        <x:f>Z971/(1+'Inputs'!$C$46)</x:f>
        <x:v>1.600549212006154</x:v>
      </x:c>
      <x:c r="AE971" s="80" t="n">
        <x:f>Z971-AD971</x:f>
        <x:v>1.600549212006154</x:v>
      </x:c>
      <x:c r="AF971" s="80" t="n">
        <x:f>D971*W971</x:f>
        <x:v>0.657489729231385</x:v>
      </x:c>
      <x:c r="AG971" s="80" t="n">
        <x:f>C971*W971</x:f>
        <x:v>1.5341427015399947</x:v>
      </x:c>
      <x:c r="AH971" s="80" t="n">
        <x:f>2*'Inputs'!$B$8*'Inputs'!$C$46</x:f>
        <x:v>5000</x:v>
      </x:c>
      <x:c r="AI971" s="81" t="n">
        <x:f>IF(AH971&gt;0,(AE971+AF971)/AH971*365,0)</x:f>
        <x:v>0.16483684271034035</x:v>
      </x:c>
      <x:c r="AJ971" s="81" t="n">
        <x:f>IF('Inputs'!$B$46&gt;0,AG971/('Inputs'!$B$19*'Inputs'!$B$46)*365,0)</x:f>
        <x:v>0.05599620860620981</x:v>
      </x:c>
      <x:c r="AK971" s="81" t="n">
        <x:f>W971/MAX($W$734:W971)-1</x:f>
        <x:v>-0.9971323218784325</x:v>
      </x:c>
      <x:c r="AL971" s="83" t="n">
        <x:f>'Inputs'!$B$46</x:f>
        <x:v>1</x:v>
      </x:c>
      <x:c r="AM971" s="83" t="n">
        <x:f>'Inputs'!$C$46</x:f>
        <x:v>1</x:v>
      </x:c>
      <x:c r="AN971" s="83" t="n">
        <x:f>'Inputs'!$D$46</x:f>
        <x:v>1</x:v>
      </x:c>
      <x:c r="AO971" s="81" t="n">
        <x:f>'Inputs'!$E$46</x:f>
        <x:v>0</x:v>
      </x:c>
    </x:row>
    <x:row r="972">
      <x:c r="A972" s="59" t="str">
        <x:v>Base</x:v>
      </x:c>
      <x:c r="B972" s="59" t="n">
        <x:v>239</x:v>
      </x:c>
      <x:c r="C972" s="78" t="n">
        <x:f>(('Inputs'!$B$29*(3*239*'Inputs'!$B$12-239^2)/(2*'Inputs'!$B$12^2))-('Inputs'!$B$29*(3*238*'Inputs'!$B$12-238^2)/(2*'Inputs'!$B$12^2)))*'Inputs'!$B$46</x:f>
        <x:v>634448.0671795607</x:v>
      </x:c>
      <x:c r="D972" s="78" t="n">
        <x:f>IF('Inputs'!$C$46&gt;0,('Inputs'!$B$30*(3*239*'Inputs'!$B$12-239^2)/(2*'Inputs'!$B$12^2))-('Inputs'!$B$30*(3*238*'Inputs'!$B$12-238^2)/(2*'Inputs'!$B$12^2)),0)</x:f>
        <x:v>271906.3145055473</x:v>
      </x:c>
      <x:c r="E972" s="78" t="n">
        <x:f>C972+D972</x:f>
        <x:v>906354.381685108</x:v>
      </x:c>
      <x:c r="F972" s="78" t="n">
        <x:f>'Inputs'!$B$13*E972+(1-'Inputs'!$B$13)/'Inputs'!$B$14*SUM(E917:E972)</x:f>
        <x:v>916572.0585475676</x:v>
      </x:c>
      <x:c r="G972" s="78" t="n">
        <x:f>F972*'Inputs'!$F$46</x:f>
        <x:v>458286.0292737838</x:v>
      </x:c>
      <x:c r="H972" s="78" t="n">
        <x:f>U971</x:f>
        <x:v>109687962.33490263</x:v>
      </x:c>
      <x:c r="I972" s="78" t="n">
        <x:f>V971</x:f>
        <x:v>265.0978230794641</x:v>
      </x:c>
      <x:c r="J972" s="79" t="n">
        <x:f>IF(H972&gt;0,I972/H972,0)</x:f>
        <x:v>0.0000024168360632870484</x:v>
      </x:c>
      <x:c r="K972" s="80" t="n">
        <x:f>(H972*J972+I972)*'Inputs'!$D$46*(1+'Inputs'!$G$46)^(B972/30)</x:f>
        <x:v>530.1956461589282</x:v>
      </x:c>
      <x:c r="L972" s="80" t="n">
        <x:f>MAX(0,K972*'Inputs'!$E$46)</x:f>
        <x:v>0</x:v>
      </x:c>
      <x:c r="M972" s="80" t="n">
        <x:f>MAX(0,-K972*'Inputs'!$E$46)</x:f>
        <x:v>0</x:v>
      </x:c>
      <x:c r="N972" s="78" t="n">
        <x:f>H972*(L972*(1-'Inputs'!$B$15))/(I972+L972*(1-'Inputs'!$B$15))</x:f>
        <x:v>0</x:v>
      </x:c>
      <x:c r="O972" s="78" t="n">
        <x:f>H972-N972</x:f>
        <x:v>109687962.33490263</x:v>
      </x:c>
      <x:c r="P972" s="78" t="n">
        <x:f>I972+L972*(1-'Inputs'!$B$17)</x:f>
        <x:v>265.0978230794641</x:v>
      </x:c>
      <x:c r="Q972" s="78" t="n">
        <x:f>IF(J972&gt;0,M972/J972,0)</x:f>
        <x:v>0</x:v>
      </x:c>
      <x:c r="R972" s="78" t="n">
        <x:f>IF(B972='Inputs'!$H$46,'Inputs'!$B$27*'Inputs'!$I$46,0)</x:f>
        <x:v>0</x:v>
      </x:c>
      <x:c r="S972" s="78" t="n">
        <x:f>Q972+G972+R972</x:f>
        <x:v>458286.0292737838</x:v>
      </x:c>
      <x:c r="T972" s="78" t="n">
        <x:f>P972*(S972*(1-'Inputs'!$B$15))/(O972+S972*(1-'Inputs'!$B$15))</x:f>
        <x:v>1.0920092943109574</x:v>
      </x:c>
      <x:c r="U972" s="78" t="n">
        <x:f>O972+S972*(1-'Inputs'!$B$17)</x:f>
        <x:v>110144404.15480308</x:v>
      </x:c>
      <x:c r="V972" s="78" t="n">
        <x:f>P972-T972</x:f>
        <x:v>264.0058137851531</x:v>
      </x:c>
      <x:c r="W972" s="79" t="n">
        <x:f>IF(U972&gt;0,V972/U972,0)</x:f>
        <x:v>0.000002396906277817842</x:v>
      </x:c>
      <x:c r="X972" s="80" t="n">
        <x:f>W972*('Inputs'!$B$6-AC972)</x:f>
        <x:v>2271.2693157408553</x:v>
      </x:c>
      <x:c r="Y972" s="80" t="n">
        <x:f>2*V972</x:f>
        <x:v>528.0116275703062</x:v>
      </x:c>
      <x:c r="Z972" s="80" t="n">
        <x:f>K972*'Inputs'!$B$16+(G972+R972)*J972*'Inputs'!$B$16</x:f>
        <x:v>3.187819490170666</x:v>
      </x:c>
      <x:c r="AA972" s="80" t="n">
        <x:f>K972*(1+'Inputs'!$E$46)/2*'Inputs'!$B$17</x:f>
        <x:v>1.0667920445853687</x:v>
      </x:c>
      <x:c r="AB972" s="78" t="n">
        <x:f>(IF(J972&gt;0,K972*(1-'Inputs'!$E$46)/2/J972,0)+G972+R972)*'Inputs'!$B$17</x:f>
        <x:v>443244.4602180137</x:v>
      </x:c>
      <x:c r="AC972" s="78" t="n">
        <x:f>AC971+AB972</x:f>
        <x:v>52416301.47982564</x:v>
      </x:c>
      <x:c r="AD972" s="80" t="n">
        <x:f>Z972/(1+'Inputs'!$C$46)</x:f>
        <x:v>1.593909745085333</x:v>
      </x:c>
      <x:c r="AE972" s="80" t="n">
        <x:f>Z972-AD972</x:f>
        <x:v>1.593909745085333</x:v>
      </x:c>
      <x:c r="AF972" s="80" t="n">
        <x:f>D972*W972</x:f>
        <x:v>0.6517339522166589</x:v>
      </x:c>
      <x:c r="AG972" s="80" t="n">
        <x:f>C972*W972</x:f>
        <x:v>1.520712555172085</x:v>
      </x:c>
      <x:c r="AH972" s="80" t="n">
        <x:f>2*'Inputs'!$B$8*'Inputs'!$C$46</x:f>
        <x:v>5000</x:v>
      </x:c>
      <x:c r="AI972" s="81" t="n">
        <x:f>IF(AH972&gt;0,(AE972+AF972)/AH972*365,0)</x:f>
        <x:v>0.16393198990304542</x:v>
      </x:c>
      <x:c r="AJ972" s="81" t="n">
        <x:f>IF('Inputs'!$B$46&gt;0,AG972/('Inputs'!$B$19*'Inputs'!$B$46)*365,0)</x:f>
        <x:v>0.055506008263781104</x:v>
      </x:c>
      <x:c r="AK972" s="81" t="n">
        <x:f>W972/MAX($W$734:W972)-1</x:f>
        <x:v>-0.9971559694110995</x:v>
      </x:c>
      <x:c r="AL972" s="83" t="n">
        <x:f>'Inputs'!$B$46</x:f>
        <x:v>1</x:v>
      </x:c>
      <x:c r="AM972" s="83" t="n">
        <x:f>'Inputs'!$C$46</x:f>
        <x:v>1</x:v>
      </x:c>
      <x:c r="AN972" s="83" t="n">
        <x:f>'Inputs'!$D$46</x:f>
        <x:v>1</x:v>
      </x:c>
      <x:c r="AO972" s="81" t="n">
        <x:f>'Inputs'!$E$46</x:f>
        <x:v>0</x:v>
      </x:c>
    </x:row>
    <x:row r="973">
      <x:c r="A973" s="59" t="str">
        <x:v>Base</x:v>
      </x:c>
      <x:c r="B973" s="59" t="n">
        <x:v>240</x:v>
      </x:c>
      <x:c r="C973" s="78" t="n">
        <x:f>(('Inputs'!$B$29*(3*240*'Inputs'!$B$12-240^2)/(2*'Inputs'!$B$12^2))-('Inputs'!$B$29*(3*239*'Inputs'!$B$12-239^2)/(2*'Inputs'!$B$12^2)))*'Inputs'!$B$46</x:f>
        <x:v>634122.959279418</x:v>
      </x:c>
      <x:c r="D973" s="78" t="n">
        <x:f>IF('Inputs'!$C$46&gt;0,('Inputs'!$B$30*(3*240*'Inputs'!$B$12-240^2)/(2*'Inputs'!$B$12^2))-('Inputs'!$B$30*(3*239*'Inputs'!$B$12-239^2)/(2*'Inputs'!$B$12^2)),0)</x:f>
        <x:v>271766.98254831135</x:v>
      </x:c>
      <x:c r="E973" s="78" t="n">
        <x:f>C973+D973</x:f>
        <x:v>905889.9418277293</x:v>
      </x:c>
      <x:c r="F973" s="78" t="n">
        <x:f>'Inputs'!$B$13*E973+(1-'Inputs'!$B$13)/'Inputs'!$B$14*SUM(E918:E973)</x:f>
        <x:v>916107.6186901846</x:v>
      </x:c>
      <x:c r="G973" s="78" t="n">
        <x:f>F973*'Inputs'!$F$46</x:f>
        <x:v>458053.8093450923</x:v>
      </x:c>
      <x:c r="H973" s="78" t="n">
        <x:f>U972</x:f>
        <x:v>110144404.15480308</x:v>
      </x:c>
      <x:c r="I973" s="78" t="n">
        <x:f>V972</x:f>
        <x:v>264.0058137851531</x:v>
      </x:c>
      <x:c r="J973" s="79" t="n">
        <x:f>IF(H973&gt;0,I973/H973,0)</x:f>
        <x:v>0.000002396906277817842</x:v>
      </x:c>
      <x:c r="K973" s="80" t="n">
        <x:f>(H973*J973+I973)*'Inputs'!$D$46*(1+'Inputs'!$G$46)^(B973/30)</x:f>
        <x:v>528.0116275703062</x:v>
      </x:c>
      <x:c r="L973" s="80" t="n">
        <x:f>MAX(0,K973*'Inputs'!$E$46)</x:f>
        <x:v>0</x:v>
      </x:c>
      <x:c r="M973" s="80" t="n">
        <x:f>MAX(0,-K973*'Inputs'!$E$46)</x:f>
        <x:v>0</x:v>
      </x:c>
      <x:c r="N973" s="78" t="n">
        <x:f>H973*(L973*(1-'Inputs'!$B$15))/(I973+L973*(1-'Inputs'!$B$15))</x:f>
        <x:v>0</x:v>
      </x:c>
      <x:c r="O973" s="78" t="n">
        <x:f>H973-N973</x:f>
        <x:v>110144404.15480308</x:v>
      </x:c>
      <x:c r="P973" s="78" t="n">
        <x:f>I973+L973*(1-'Inputs'!$B$17)</x:f>
        <x:v>264.0058137851531</x:v>
      </x:c>
      <x:c r="Q973" s="78" t="n">
        <x:f>IF(J973&gt;0,M973/J973,0)</x:f>
        <x:v>0</x:v>
      </x:c>
      <x:c r="R973" s="78" t="n">
        <x:f>IF(B973='Inputs'!$H$46,'Inputs'!$B$27*'Inputs'!$I$46,0)</x:f>
        <x:v>0</x:v>
      </x:c>
      <x:c r="S973" s="78" t="n">
        <x:f>Q973+G973+R973</x:f>
        <x:v>458053.8093450923</x:v>
      </x:c>
      <x:c r="T973" s="78" t="n">
        <x:f>P973*(S973*(1-'Inputs'!$B$15))/(O973+S973*(1-'Inputs'!$B$15))</x:f>
        <x:v>1.0824762897158589</x:v>
      </x:c>
      <x:c r="U973" s="78" t="n">
        <x:f>O973+S973*(1-'Inputs'!$B$17)</x:f>
        <x:v>110600614.68926148</x:v>
      </x:c>
      <x:c r="V973" s="78" t="n">
        <x:f>P973-T973</x:f>
        <x:v>262.92333749543724</x:v>
      </x:c>
      <x:c r="W973" s="79" t="n">
        <x:f>IF(U973&gt;0,V973/U973,0)</x:f>
        <x:v>0.0000023772321540358056</x:v>
      </x:c>
      <x:c r="X973" s="80" t="n">
        <x:f>W973*('Inputs'!$B$6-AC973)</x:f>
        <x:v>2251.5683775293805</x:v>
      </x:c>
      <x:c r="Y973" s="80" t="n">
        <x:f>2*V973</x:f>
        <x:v>525.8466749908745</x:v>
      </x:c>
      <x:c r="Z973" s="80" t="n">
        <x:f>K973*'Inputs'!$B$16+(G973+R973)*J973*'Inputs'!$B$16</x:f>
        <x:v>3.1746572377290234</x:v>
      </x:c>
      <x:c r="AA973" s="80" t="n">
        <x:f>K973*(1+'Inputs'!$E$46)/2*'Inputs'!$B$17</x:f>
        <x:v>1.0623976409865317</x:v>
      </x:c>
      <x:c r="AB973" s="78" t="n">
        <x:f>(IF(J973&gt;0,K973*(1-'Inputs'!$E$46)/2/J973,0)+G973+R973)*'Inputs'!$B$17</x:f>
        <x:v>445080.3137390269</x:v>
      </x:c>
      <x:c r="AC973" s="78" t="n">
        <x:f>AC972+AB973</x:f>
        <x:v>52861381.79356466</x:v>
      </x:c>
      <x:c r="AD973" s="80" t="n">
        <x:f>Z973/(1+'Inputs'!$C$46)</x:f>
        <x:v>1.5873286188645117</x:v>
      </x:c>
      <x:c r="AE973" s="80" t="n">
        <x:f>Z973-AD973</x:f>
        <x:v>1.5873286188645117</x:v>
      </x:c>
      <x:c r="AF973" s="80" t="n">
        <x:f>D973*W973</x:f>
        <x:v>0.6460532093191333</x:v>
      </x:c>
      <x:c r="AG973" s="80" t="n">
        <x:f>C973*W973</x:f>
        <x:v>1.5074574884113703</x:v>
      </x:c>
      <x:c r="AH973" s="80" t="n">
        <x:f>2*'Inputs'!$B$8*'Inputs'!$C$46</x:f>
        <x:v>5000</x:v>
      </x:c>
      <x:c r="AI973" s="81" t="n">
        <x:f>IF(AH973&gt;0,(AE973+AF973)/AH973*365,0)</x:f>
        <x:v>0.16303687345740608</x:v>
      </x:c>
      <x:c r="AJ973" s="81" t="n">
        <x:f>IF('Inputs'!$B$46&gt;0,AG973/('Inputs'!$B$19*'Inputs'!$B$46)*365,0)</x:f>
        <x:v>0.055022198327015014</x:v>
      </x:c>
      <x:c r="AK973" s="81" t="n">
        <x:f>W973/MAX($W$734:W973)-1</x:f>
        <x:v>-0.9971793135903708</x:v>
      </x:c>
      <x:c r="AL973" s="83" t="n">
        <x:f>'Inputs'!$B$46</x:f>
        <x:v>1</x:v>
      </x:c>
      <x:c r="AM973" s="83" t="n">
        <x:f>'Inputs'!$C$46</x:f>
        <x:v>1</x:v>
      </x:c>
      <x:c r="AN973" s="83" t="n">
        <x:f>'Inputs'!$D$46</x:f>
        <x:v>1</x:v>
      </x:c>
      <x:c r="AO973" s="81" t="n">
        <x:f>'Inputs'!$E$46</x:f>
        <x:v>0</x:v>
      </x:c>
    </x:row>
    <x:row r="974">
      <x:c r="A974" s="59" t="str">
        <x:v>Base</x:v>
      </x:c>
      <x:c r="B974" s="59" t="n">
        <x:v>241</x:v>
      </x:c>
      <x:c r="C974" s="78" t="n">
        <x:f>(('Inputs'!$B$29*(3*241*'Inputs'!$B$12-241^2)/(2*'Inputs'!$B$12^2))-('Inputs'!$B$29*(3*240*'Inputs'!$B$12-240^2)/(2*'Inputs'!$B$12^2)))*'Inputs'!$B$46</x:f>
        <x:v>633797.8513792455</x:v>
      </x:c>
      <x:c r="D974" s="78" t="n">
        <x:f>IF('Inputs'!$C$46&gt;0,('Inputs'!$B$30*(3*241*'Inputs'!$B$12-241^2)/(2*'Inputs'!$B$12^2))-('Inputs'!$B$30*(3*240*'Inputs'!$B$12-240^2)/(2*'Inputs'!$B$12^2)),0)</x:f>
        <x:v>271627.6505911052</x:v>
      </x:c>
      <x:c r="E974" s="78" t="n">
        <x:f>C974+D974</x:f>
        <x:v>905425.5019703507</x:v>
      </x:c>
      <x:c r="F974" s="78" t="n">
        <x:f>'Inputs'!$B$13*E974+(1-'Inputs'!$B$13)/'Inputs'!$B$14*SUM(E919:E974)</x:f>
        <x:v>915643.1788328014</x:v>
      </x:c>
      <x:c r="G974" s="78" t="n">
        <x:f>F974*'Inputs'!$F$46</x:f>
        <x:v>457821.5894164007</x:v>
      </x:c>
      <x:c r="H974" s="78" t="n">
        <x:f>U973</x:f>
        <x:v>110600614.68926148</x:v>
      </x:c>
      <x:c r="I974" s="78" t="n">
        <x:f>V973</x:f>
        <x:v>262.92333749543724</x:v>
      </x:c>
      <x:c r="J974" s="79" t="n">
        <x:f>IF(H974&gt;0,I974/H974,0)</x:f>
        <x:v>0.0000023772321540358056</x:v>
      </x:c>
      <x:c r="K974" s="80" t="n">
        <x:f>(H974*J974+I974)*'Inputs'!$D$46*(1+'Inputs'!$G$46)^(B974/30)</x:f>
        <x:v>525.8466749908745</x:v>
      </x:c>
      <x:c r="L974" s="80" t="n">
        <x:f>MAX(0,K974*'Inputs'!$E$46)</x:f>
        <x:v>0</x:v>
      </x:c>
      <x:c r="M974" s="80" t="n">
        <x:f>MAX(0,-K974*'Inputs'!$E$46)</x:f>
        <x:v>0</x:v>
      </x:c>
      <x:c r="N974" s="78" t="n">
        <x:f>H974*(L974*(1-'Inputs'!$B$15))/(I974+L974*(1-'Inputs'!$B$15))</x:f>
        <x:v>0</x:v>
      </x:c>
      <x:c r="O974" s="78" t="n">
        <x:f>H974-N974</x:f>
        <x:v>110600614.68926148</x:v>
      </x:c>
      <x:c r="P974" s="78" t="n">
        <x:f>I974+L974*(1-'Inputs'!$B$17)</x:f>
        <x:v>262.92333749543724</x:v>
      </x:c>
      <x:c r="Q974" s="78" t="n">
        <x:f>IF(J974&gt;0,M974/J974,0)</x:f>
        <x:v>0</x:v>
      </x:c>
      <x:c r="R974" s="78" t="n">
        <x:f>IF(B974='Inputs'!$H$46,'Inputs'!$B$27*'Inputs'!$I$46,0)</x:f>
        <x:v>0</x:v>
      </x:c>
      <x:c r="S974" s="78" t="n">
        <x:f>Q974+G974+R974</x:f>
        <x:v>457821.5894164007</x:v>
      </x:c>
      <x:c r="T974" s="78" t="n">
        <x:f>P974*(S974*(1-'Inputs'!$B$15))/(O974+S974*(1-'Inputs'!$B$15))</x:f>
        <x:v>1.0730672715286165</x:v>
      </x:c>
      <x:c r="U974" s="78" t="n">
        <x:f>O974+S974*(1-'Inputs'!$B$17)</x:f>
        <x:v>111056593.93827781</x:v>
      </x:c>
      <x:c r="V974" s="78" t="n">
        <x:f>P974-T974</x:f>
        <x:v>261.85027022390864</x:v>
      </x:c>
      <x:c r="W974" s="79" t="n">
        <x:f>IF(U974&gt;0,V974/U974,0)</x:f>
        <x:v>0.0000023578093018901498</x:v>
      </x:c>
      <x:c r="X974" s="80" t="n">
        <x:f>W974*('Inputs'!$B$6-AC974)</x:f>
        <x:v>2232.11850328466</x:v>
      </x:c>
      <x:c r="Y974" s="80" t="n">
        <x:f>2*V974</x:f>
        <x:v>523.7005404478173</x:v>
      </x:c>
      <x:c r="Z974" s="80" t="n">
        <x:f>K974*'Inputs'!$B$16+(G974+R974)*J974*'Inputs'!$B$16</x:f>
        <x:v>3.1616101391642815</x:v>
      </x:c>
      <x:c r="AA974" s="80" t="n">
        <x:f>K974*(1+'Inputs'!$E$46)/2*'Inputs'!$B$17</x:f>
        <x:v>1.0580415995792243</x:v>
      </x:c>
      <x:c r="AB974" s="78" t="n">
        <x:f>(IF(J974&gt;0,K974*(1-'Inputs'!$E$46)/2/J974,0)+G974+R974)*'Inputs'!$B$17</x:f>
        <x:v>446915.23653391504</x:v>
      </x:c>
      <x:c r="AC974" s="78" t="n">
        <x:f>AC973+AB974</x:f>
        <x:v>53308297.03009858</x:v>
      </x:c>
      <x:c r="AD974" s="80" t="n">
        <x:f>Z974/(1+'Inputs'!$C$46)</x:f>
        <x:v>1.5808050695821407</x:v>
      </x:c>
      <x:c r="AE974" s="80" t="n">
        <x:f>Z974-AD974</x:f>
        <x:v>1.5808050695821407</x:v>
      </x:c>
      <x:c r="AF974" s="80" t="n">
        <x:f>D974*W974</x:f>
        <x:v>0.6404462012142753</x:v>
      </x:c>
      <x:c r="AG974" s="80" t="n">
        <x:f>C974*W974</x:f>
        <x:v>1.4943744694999757</x:v>
      </x:c>
      <x:c r="AH974" s="80" t="n">
        <x:f>2*'Inputs'!$B$8*'Inputs'!$C$46</x:f>
        <x:v>5000</x:v>
      </x:c>
      <x:c r="AI974" s="81" t="n">
        <x:f>IF(AH974&gt;0,(AE974+AF974)/AH974*365,0)</x:f>
        <x:v>0.1621513427681384</x:v>
      </x:c>
      <x:c r="AJ974" s="81" t="n">
        <x:f>IF('Inputs'!$B$46&gt;0,AG974/('Inputs'!$B$19*'Inputs'!$B$46)*365,0)</x:f>
        <x:v>0.05454466813674911</x:v>
      </x:c>
      <x:c r="AK974" s="81" t="n">
        <x:f>W974/MAX($W$734:W974)-1</x:f>
        <x:v>-0.9972023596252272</x:v>
      </x:c>
      <x:c r="AL974" s="83" t="n">
        <x:f>'Inputs'!$B$46</x:f>
        <x:v>1</x:v>
      </x:c>
      <x:c r="AM974" s="83" t="n">
        <x:f>'Inputs'!$C$46</x:f>
        <x:v>1</x:v>
      </x:c>
      <x:c r="AN974" s="83" t="n">
        <x:f>'Inputs'!$D$46</x:f>
        <x:v>1</x:v>
      </x:c>
      <x:c r="AO974" s="81" t="n">
        <x:f>'Inputs'!$E$46</x:f>
        <x:v>0</x:v>
      </x:c>
    </x:row>
    <x:row r="975">
      <x:c r="A975" s="59" t="str">
        <x:v>Base</x:v>
      </x:c>
      <x:c r="B975" s="59" t="n">
        <x:v>242</x:v>
      </x:c>
      <x:c r="C975" s="78" t="n">
        <x:f>(('Inputs'!$B$29*(3*242*'Inputs'!$B$12-242^2)/(2*'Inputs'!$B$12^2))-('Inputs'!$B$29*(3*241*'Inputs'!$B$12-241^2)/(2*'Inputs'!$B$12^2)))*'Inputs'!$B$46</x:f>
        <x:v>633472.743479073</x:v>
      </x:c>
      <x:c r="D975" s="78" t="n">
        <x:f>IF('Inputs'!$C$46&gt;0,('Inputs'!$B$30*(3*242*'Inputs'!$B$12-242^2)/(2*'Inputs'!$B$12^2))-('Inputs'!$B$30*(3*241*'Inputs'!$B$12-241^2)/(2*'Inputs'!$B$12^2)),0)</x:f>
        <x:v>271488.3186338991</x:v>
      </x:c>
      <x:c r="E975" s="78" t="n">
        <x:f>C975+D975</x:f>
        <x:v>904961.0621129721</x:v>
      </x:c>
      <x:c r="F975" s="78" t="n">
        <x:f>'Inputs'!$B$13*E975+(1-'Inputs'!$B$13)/'Inputs'!$B$14*SUM(E920:E975)</x:f>
        <x:v>915178.7389754186</x:v>
      </x:c>
      <x:c r="G975" s="78" t="n">
        <x:f>F975*'Inputs'!$F$46</x:f>
        <x:v>457589.3694877093</x:v>
      </x:c>
      <x:c r="H975" s="78" t="n">
        <x:f>U974</x:f>
        <x:v>111056593.93827781</x:v>
      </x:c>
      <x:c r="I975" s="78" t="n">
        <x:f>V974</x:f>
        <x:v>261.85027022390864</x:v>
      </x:c>
      <x:c r="J975" s="79" t="n">
        <x:f>IF(H975&gt;0,I975/H975,0)</x:f>
        <x:v>0.0000023578093018901498</x:v>
      </x:c>
      <x:c r="K975" s="80" t="n">
        <x:f>(H975*J975+I975)*'Inputs'!$D$46*(1+'Inputs'!$G$46)^(B975/30)</x:f>
        <x:v>523.7005404478173</x:v>
      </x:c>
      <x:c r="L975" s="80" t="n">
        <x:f>MAX(0,K975*'Inputs'!$E$46)</x:f>
        <x:v>0</x:v>
      </x:c>
      <x:c r="M975" s="80" t="n">
        <x:f>MAX(0,-K975*'Inputs'!$E$46)</x:f>
        <x:v>0</x:v>
      </x:c>
      <x:c r="N975" s="78" t="n">
        <x:f>H975*(L975*(1-'Inputs'!$B$15))/(I975+L975*(1-'Inputs'!$B$15))</x:f>
        <x:v>0</x:v>
      </x:c>
      <x:c r="O975" s="78" t="n">
        <x:f>H975-N975</x:f>
        <x:v>111056593.93827781</x:v>
      </x:c>
      <x:c r="P975" s="78" t="n">
        <x:f>I975+L975*(1-'Inputs'!$B$17)</x:f>
        <x:v>261.85027022390864</x:v>
      </x:c>
      <x:c r="Q975" s="78" t="n">
        <x:f>IF(J975&gt;0,M975/J975,0)</x:f>
        <x:v>0</x:v>
      </x:c>
      <x:c r="R975" s="78" t="n">
        <x:f>IF(B975='Inputs'!$H$46,'Inputs'!$B$27*'Inputs'!$I$46,0)</x:f>
        <x:v>0</x:v>
      </x:c>
      <x:c r="S975" s="78" t="n">
        <x:f>Q975+G975+R975</x:f>
        <x:v>457589.3694877093</x:v>
      </x:c>
      <x:c r="T975" s="78" t="n">
        <x:f>P975*(S975*(1-'Inputs'!$B$15))/(O975+S975*(1-'Inputs'!$B$15))</x:f>
        <x:v>1.0637800975385476</x:v>
      </x:c>
      <x:c r="U975" s="78" t="n">
        <x:f>O975+S975*(1-'Inputs'!$B$17)</x:f>
        <x:v>111512341.90185209</x:v>
      </x:c>
      <x:c r="V975" s="78" t="n">
        <x:f>P975-T975</x:f>
        <x:v>260.7864901263701</x:v>
      </x:c>
      <x:c r="W975" s="79" t="n">
        <x:f>IF(U975&gt;0,V975/U975,0)</x:f>
        <x:v>0.0000023386334254902664</x:v>
      </x:c>
      <x:c r="X975" s="80" t="n">
        <x:f>W975*('Inputs'!$B$6-AC975)</x:f>
        <x:v>2212.9154002540413</x:v>
      </x:c>
      <x:c r="Y975" s="80" t="n">
        <x:f>2*V975</x:f>
        <x:v>521.5729802527402</x:v>
      </x:c>
      <x:c r="Z975" s="80" t="n">
        <x:f>K975*'Inputs'!$B$16+(G975+R975)*J975*'Inputs'!$B$16</x:f>
        <x:v>3.148676693517849</x:v>
      </x:c>
      <x:c r="AA975" s="80" t="n">
        <x:f>K975*(1+'Inputs'!$E$46)/2*'Inputs'!$B$17</x:f>
        <x:v>1.0537234214241797</x:v>
      </x:c>
      <x:c r="AB975" s="78" t="n">
        <x:f>(IF(J975&gt;0,K975*(1-'Inputs'!$E$46)/2/J975,0)+G975+R975)*'Inputs'!$B$17</x:f>
        <x:v>448749.22860267817</x:v>
      </x:c>
      <x:c r="AC975" s="78" t="n">
        <x:f>AC974+AB975</x:f>
        <x:v>53757046.25870126</x:v>
      </x:c>
      <x:c r="AD975" s="80" t="n">
        <x:f>Z975/(1+'Inputs'!$C$46)</x:f>
        <x:v>1.5743383467589245</x:v>
      </x:c>
      <x:c r="AE975" s="80" t="n">
        <x:f>Z975-AD975</x:f>
        <x:v>1.5743383467589245</x:v>
      </x:c>
      <x:c r="AF975" s="80" t="n">
        <x:f>D975*W975</x:f>
        <x:v>0.6349116565873884</x:v>
      </x:c>
      <x:c r="AG975" s="80" t="n">
        <x:f>C975*W975</x:f>
        <x:v>1.4814605320371814</x:v>
      </x:c>
      <x:c r="AH975" s="80" t="n">
        <x:f>2*'Inputs'!$B$8*'Inputs'!$C$46</x:f>
        <x:v>5000</x:v>
      </x:c>
      <x:c r="AI975" s="81" t="n">
        <x:f>IF(AH975&gt;0,(AE975+AF975)/AH975*365,0)</x:f>
        <x:v>0.16127525024428085</x:v>
      </x:c>
      <x:c r="AJ975" s="81" t="n">
        <x:f>IF('Inputs'!$B$46&gt;0,AG975/('Inputs'!$B$19*'Inputs'!$B$46)*365,0)</x:f>
        <x:v>0.05407330941935712</x:v>
      </x:c>
      <x:c r="AK975" s="81" t="n">
        <x:f>W975/MAX($W$734:W975)-1</x:f>
        <x:v>-0.9972251126129242</x:v>
      </x:c>
      <x:c r="AL975" s="83" t="n">
        <x:f>'Inputs'!$B$46</x:f>
        <x:v>1</x:v>
      </x:c>
      <x:c r="AM975" s="83" t="n">
        <x:f>'Inputs'!$C$46</x:f>
        <x:v>1</x:v>
      </x:c>
      <x:c r="AN975" s="83" t="n">
        <x:f>'Inputs'!$D$46</x:f>
        <x:v>1</x:v>
      </x:c>
      <x:c r="AO975" s="81" t="n">
        <x:f>'Inputs'!$E$46</x:f>
        <x:v>0</x:v>
      </x:c>
    </x:row>
    <x:row r="976">
      <x:c r="A976" s="59" t="str">
        <x:v>Base</x:v>
      </x:c>
      <x:c r="B976" s="59" t="n">
        <x:v>243</x:v>
      </x:c>
      <x:c r="C976" s="78" t="n">
        <x:f>(('Inputs'!$B$29*(3*243*'Inputs'!$B$12-243^2)/(2*'Inputs'!$B$12^2))-('Inputs'!$B$29*(3*242*'Inputs'!$B$12-242^2)/(2*'Inputs'!$B$12^2)))*'Inputs'!$B$46</x:f>
        <x:v>633147.6355789304</x:v>
      </x:c>
      <x:c r="D976" s="78" t="n">
        <x:f>IF('Inputs'!$C$46&gt;0,('Inputs'!$B$30*(3*243*'Inputs'!$B$12-243^2)/(2*'Inputs'!$B$12^2))-('Inputs'!$B$30*(3*242*'Inputs'!$B$12-242^2)/(2*'Inputs'!$B$12^2)),0)</x:f>
        <x:v>271348.98667666316</x:v>
      </x:c>
      <x:c r="E976" s="78" t="n">
        <x:f>C976+D976</x:f>
        <x:v>904496.6222555935</x:v>
      </x:c>
      <x:c r="F976" s="78" t="n">
        <x:f>'Inputs'!$B$13*E976+(1-'Inputs'!$B$13)/'Inputs'!$B$14*SUM(E921:E976)</x:f>
        <x:v>914714.2991180358</x:v>
      </x:c>
      <x:c r="G976" s="78" t="n">
        <x:f>F976*'Inputs'!$F$46</x:f>
        <x:v>457357.1495590179</x:v>
      </x:c>
      <x:c r="H976" s="78" t="n">
        <x:f>U975</x:f>
        <x:v>111512341.90185209</x:v>
      </x:c>
      <x:c r="I976" s="78" t="n">
        <x:f>V975</x:f>
        <x:v>260.7864901263701</x:v>
      </x:c>
      <x:c r="J976" s="79" t="n">
        <x:f>IF(H976&gt;0,I976/H976,0)</x:f>
        <x:v>0.0000023386334254902664</x:v>
      </x:c>
      <x:c r="K976" s="80" t="n">
        <x:f>(H976*J976+I976)*'Inputs'!$D$46*(1+'Inputs'!$G$46)^(B976/30)</x:f>
        <x:v>521.5729802527402</x:v>
      </x:c>
      <x:c r="L976" s="80" t="n">
        <x:f>MAX(0,K976*'Inputs'!$E$46)</x:f>
        <x:v>0</x:v>
      </x:c>
      <x:c r="M976" s="80" t="n">
        <x:f>MAX(0,-K976*'Inputs'!$E$46)</x:f>
        <x:v>0</x:v>
      </x:c>
      <x:c r="N976" s="78" t="n">
        <x:f>H976*(L976*(1-'Inputs'!$B$15))/(I976+L976*(1-'Inputs'!$B$15))</x:f>
        <x:v>0</x:v>
      </x:c>
      <x:c r="O976" s="78" t="n">
        <x:f>H976-N976</x:f>
        <x:v>111512341.90185209</x:v>
      </x:c>
      <x:c r="P976" s="78" t="n">
        <x:f>I976+L976*(1-'Inputs'!$B$17)</x:f>
        <x:v>260.7864901263701</x:v>
      </x:c>
      <x:c r="Q976" s="78" t="n">
        <x:f>IF(J976&gt;0,M976/J976,0)</x:f>
        <x:v>0</x:v>
      </x:c>
      <x:c r="R976" s="78" t="n">
        <x:f>IF(B976='Inputs'!$H$46,'Inputs'!$B$27*'Inputs'!$I$46,0)</x:f>
        <x:v>0</x:v>
      </x:c>
      <x:c r="S976" s="78" t="n">
        <x:f>Q976+G976+R976</x:f>
        <x:v>457357.1495590179</x:v>
      </x:c>
      <x:c r="T976" s="78" t="n">
        <x:f>P976*(S976*(1-'Inputs'!$B$15))/(O976+S976*(1-'Inputs'!$B$15))</x:f>
        <x:v>1.054612671614448</x:v>
      </x:c>
      <x:c r="U976" s="78" t="n">
        <x:f>O976+S976*(1-'Inputs'!$B$17)</x:f>
        <x:v>111967858.5799843</x:v>
      </x:c>
      <x:c r="V976" s="78" t="n">
        <x:f>P976-T976</x:f>
        <x:v>259.73187745475565</x:v>
      </x:c>
      <x:c r="W976" s="79" t="n">
        <x:f>IF(U976&gt;0,V976/U976,0)</x:f>
        <x:v>0.0000023197003206881557</x:v>
      </x:c>
      <x:c r="X976" s="80" t="n">
        <x:f>W976*('Inputs'!$B$6-AC976)</x:f>
        <x:v>2193.9548673601157</x:v>
      </x:c>
      <x:c r="Y976" s="80" t="n">
        <x:f>2*V976</x:f>
        <x:v>519.4637549095113</x:v>
      </x:c>
      <x:c r="Z976" s="80" t="n">
        <x:f>K976*'Inputs'!$B$16+(G976+R976)*J976*'Inputs'!$B$16</x:f>
        <x:v>3.1358554258205156</x:v>
      </x:c>
      <x:c r="AA976" s="80" t="n">
        <x:f>K976*(1+'Inputs'!$E$46)/2*'Inputs'!$B$17</x:f>
        <x:v>1.0494426162026966</x:v>
      </x:c>
      <x:c r="AB976" s="78" t="n">
        <x:f>(IF(J976&gt;0,K976*(1-'Inputs'!$E$46)/2/J976,0)+G976+R976)*'Inputs'!$B$17</x:f>
        <x:v>450582.2899453163</x:v>
      </x:c>
      <x:c r="AC976" s="78" t="n">
        <x:f>AC975+AB976</x:f>
        <x:v>54207628.54864658</x:v>
      </x:c>
      <x:c r="AD976" s="80" t="n">
        <x:f>Z976/(1+'Inputs'!$C$46)</x:f>
        <x:v>1.5679277129102578</x:v>
      </x:c>
      <x:c r="AE976" s="80" t="n">
        <x:f>Z976-AD976</x:f>
        <x:v>1.5679277129102578</x:v>
      </x:c>
      <x:c r="AF976" s="80" t="n">
        <x:f>D976*W976</x:f>
        <x:v>0.6294483314122616</x:v>
      </x:c>
      <x:c r="AG976" s="80" t="n">
        <x:f>C976*W976</x:f>
        <x:v>1.4687127732953924</x:v>
      </x:c>
      <x:c r="AH976" s="80" t="n">
        <x:f>2*'Inputs'!$B$8*'Inputs'!$C$46</x:f>
        <x:v>5000</x:v>
      </x:c>
      <x:c r="AI976" s="81" t="n">
        <x:f>IF(AH976&gt;0,(AE976+AF976)/AH976*365,0)</x:f>
        <x:v>0.1604084512355439</x:v>
      </x:c>
      <x:c r="AJ976" s="81" t="n">
        <x:f>IF('Inputs'!$B$46&gt;0,AG976/('Inputs'!$B$19*'Inputs'!$B$46)*365,0)</x:f>
        <x:v>0.05360801622528182</x:v>
      </x:c>
      <x:c r="AK976" s="81" t="n">
        <x:f>W976/MAX($W$734:W976)-1</x:f>
        <x:v>-0.9972475775418613</x:v>
      </x:c>
      <x:c r="AL976" s="83" t="n">
        <x:f>'Inputs'!$B$46</x:f>
        <x:v>1</x:v>
      </x:c>
      <x:c r="AM976" s="83" t="n">
        <x:f>'Inputs'!$C$46</x:f>
        <x:v>1</x:v>
      </x:c>
      <x:c r="AN976" s="83" t="n">
        <x:f>'Inputs'!$D$46</x:f>
        <x:v>1</x:v>
      </x:c>
      <x:c r="AO976" s="81" t="n">
        <x:f>'Inputs'!$E$46</x:f>
        <x:v>0</x:v>
      </x:c>
    </x:row>
    <x:row r="977">
      <x:c r="A977" s="59" t="str">
        <x:v>Base</x:v>
      </x:c>
      <x:c r="B977" s="59" t="n">
        <x:v>244</x:v>
      </x:c>
      <x:c r="C977" s="78" t="n">
        <x:f>(('Inputs'!$B$29*(3*244*'Inputs'!$B$12-244^2)/(2*'Inputs'!$B$12^2))-('Inputs'!$B$29*(3*243*'Inputs'!$B$12-243^2)/(2*'Inputs'!$B$12^2)))*'Inputs'!$B$46</x:f>
        <x:v>632822.5276787281</x:v>
      </x:c>
      <x:c r="D977" s="78" t="n">
        <x:f>IF('Inputs'!$C$46&gt;0,('Inputs'!$B$30*(3*244*'Inputs'!$B$12-244^2)/(2*'Inputs'!$B$12^2))-('Inputs'!$B$30*(3*243*'Inputs'!$B$12-243^2)/(2*'Inputs'!$B$12^2)),0)</x:f>
        <x:v>271209.65471947193</x:v>
      </x:c>
      <x:c r="E977" s="78" t="n">
        <x:f>C977+D977</x:f>
        <x:v>904032.1823982</x:v>
      </x:c>
      <x:c r="F977" s="78" t="n">
        <x:f>'Inputs'!$B$13*E977+(1-'Inputs'!$B$13)/'Inputs'!$B$14*SUM(E922:E977)</x:f>
        <x:v>914249.8592606497</x:v>
      </x:c>
      <x:c r="G977" s="78" t="n">
        <x:f>F977*'Inputs'!$F$46</x:f>
        <x:v>457124.9296303248</x:v>
      </x:c>
      <x:c r="H977" s="78" t="n">
        <x:f>U976</x:f>
        <x:v>111967858.5799843</x:v>
      </x:c>
      <x:c r="I977" s="78" t="n">
        <x:f>V976</x:f>
        <x:v>259.73187745475565</x:v>
      </x:c>
      <x:c r="J977" s="79" t="n">
        <x:f>IF(H977&gt;0,I977/H977,0)</x:f>
        <x:v>0.0000023197003206881557</x:v>
      </x:c>
      <x:c r="K977" s="80" t="n">
        <x:f>(H977*J977+I977)*'Inputs'!$D$46*(1+'Inputs'!$G$46)^(B977/30)</x:f>
        <x:v>519.4637549095113</x:v>
      </x:c>
      <x:c r="L977" s="80" t="n">
        <x:f>MAX(0,K977*'Inputs'!$E$46)</x:f>
        <x:v>0</x:v>
      </x:c>
      <x:c r="M977" s="80" t="n">
        <x:f>MAX(0,-K977*'Inputs'!$E$46)</x:f>
        <x:v>0</x:v>
      </x:c>
      <x:c r="N977" s="78" t="n">
        <x:f>H977*(L977*(1-'Inputs'!$B$15))/(I977+L977*(1-'Inputs'!$B$15))</x:f>
        <x:v>0</x:v>
      </x:c>
      <x:c r="O977" s="78" t="n">
        <x:f>H977-N977</x:f>
        <x:v>111967858.5799843</x:v>
      </x:c>
      <x:c r="P977" s="78" t="n">
        <x:f>I977+L977*(1-'Inputs'!$B$17)</x:f>
        <x:v>259.73187745475565</x:v>
      </x:c>
      <x:c r="Q977" s="78" t="n">
        <x:f>IF(J977&gt;0,M977/J977,0)</x:f>
        <x:v>0</x:v>
      </x:c>
      <x:c r="R977" s="78" t="n">
        <x:f>IF(B977='Inputs'!$H$46,'Inputs'!$B$27*'Inputs'!$I$46,0)</x:f>
        <x:v>0</x:v>
      </x:c>
      <x:c r="S977" s="78" t="n">
        <x:f>Q977+G977+R977</x:f>
        <x:v>457124.9296303248</x:v>
      </x:c>
      <x:c r="T977" s="78" t="n">
        <x:f>P977*(S977*(1-'Inputs'!$B$15))/(O977+S977*(1-'Inputs'!$B$15))</x:f>
        <x:v>1.045562942520043</x:v>
      </x:c>
      <x:c r="U977" s="78" t="n">
        <x:f>O977+S977*(1-'Inputs'!$B$17)</x:f>
        <x:v>112423143.97267447</x:v>
      </x:c>
      <x:c r="V977" s="78" t="n">
        <x:f>P977-T977</x:f>
        <x:v>258.6863145122356</x:v>
      </x:c>
      <x:c r="W977" s="79" t="n">
        <x:f>IF(U977&gt;0,V977/U977,0)</x:f>
        <x:v>0.000002301005872733036</x:v>
      </x:c>
      <x:c r="X977" s="80" t="n">
        <x:f>W977*('Inputs'!$B$6-AC977)</x:f>
        <x:v>2175.2327928570476</x:v>
      </x:c>
      <x:c r="Y977" s="80" t="n">
        <x:f>2*V977</x:f>
        <x:v>517.3726290244712</x:v>
      </x:c>
      <x:c r="Z977" s="80" t="n">
        <x:f>K977*'Inputs'!$B$16+(G977+R977)*J977*'Inputs'!$B$16</x:f>
        <x:v>3.1231448865322156</x:v>
      </x:c>
      <x:c r="AA977" s="80" t="n">
        <x:f>K977*(1+'Inputs'!$E$46)/2*'Inputs'!$B$17</x:f>
        <x:v>1.04519870203121</x:v>
      </x:c>
      <x:c r="AB977" s="78" t="n">
        <x:f>(IF(J977&gt;0,K977*(1-'Inputs'!$E$46)/2/J977,0)+G977+R977)*'Inputs'!$B$17</x:f>
        <x:v>452414.42056182947</x:v>
      </x:c>
      <x:c r="AC977" s="78" t="n">
        <x:f>AC976+AB977</x:f>
        <x:v>54660042.969208404</x:v>
      </x:c>
      <x:c r="AD977" s="80" t="n">
        <x:f>Z977/(1+'Inputs'!$C$46)</x:f>
        <x:v>1.5615724432661078</x:v>
      </x:c>
      <x:c r="AE977" s="80" t="n">
        <x:f>Z977-AD977</x:f>
        <x:v>1.5615724432661078</x:v>
      </x:c>
      <x:c r="AF977" s="80" t="n">
        <x:f>D977*W977</x:f>
        <x:v>0.6240550082514039</x:v>
      </x:c>
      <x:c r="AG977" s="80" t="n">
        <x:f>C977*W977</x:f>
        <x:v>1.4561283525865176</x:v>
      </x:c>
      <x:c r="AH977" s="80" t="n">
        <x:f>2*'Inputs'!$B$8*'Inputs'!$C$46</x:f>
        <x:v>5000</x:v>
      </x:c>
      <x:c r="AI977" s="81" t="n">
        <x:f>IF(AH977&gt;0,(AE977+AF977)/AH977*365,0)</x:f>
        <x:v>0.15955080396077834</x:v>
      </x:c>
      <x:c r="AJ977" s="81" t="n">
        <x:f>IF('Inputs'!$B$46&gt;0,AG977/('Inputs'!$B$19*'Inputs'!$B$46)*365,0)</x:f>
        <x:v>0.05314868486940789</x:v>
      </x:c>
      <x:c r="AK977" s="81" t="n">
        <x:f>W977/MAX($W$734:W977)-1</x:f>
        <x:v>-0.9972697592943641</x:v>
      </x:c>
      <x:c r="AL977" s="83" t="n">
        <x:f>'Inputs'!$B$46</x:f>
        <x:v>1</x:v>
      </x:c>
      <x:c r="AM977" s="83" t="n">
        <x:f>'Inputs'!$C$46</x:f>
        <x:v>1</x:v>
      </x:c>
      <x:c r="AN977" s="83" t="n">
        <x:f>'Inputs'!$D$46</x:f>
        <x:v>1</x:v>
      </x:c>
      <x:c r="AO977" s="81" t="n">
        <x:f>'Inputs'!$E$46</x:f>
        <x:v>0</x:v>
      </x:c>
    </x:row>
    <x:row r="978">
      <x:c r="A978" s="59" t="str">
        <x:v>Base</x:v>
      </x:c>
      <x:c r="B978" s="59" t="n">
        <x:v>245</x:v>
      </x:c>
      <x:c r="C978" s="78" t="n">
        <x:f>(('Inputs'!$B$29*(3*245*'Inputs'!$B$12-245^2)/(2*'Inputs'!$B$12^2))-('Inputs'!$B$29*(3*244*'Inputs'!$B$12-244^2)/(2*'Inputs'!$B$12^2)))*'Inputs'!$B$46</x:f>
        <x:v>632497.4197785854</x:v>
      </x:c>
      <x:c r="D978" s="78" t="n">
        <x:f>IF('Inputs'!$C$46&gt;0,('Inputs'!$B$30*(3*245*'Inputs'!$B$12-245^2)/(2*'Inputs'!$B$12^2))-('Inputs'!$B$30*(3*244*'Inputs'!$B$12-244^2)/(2*'Inputs'!$B$12^2)),0)</x:f>
        <x:v>271070.322762236</x:v>
      </x:c>
      <x:c r="E978" s="78" t="n">
        <x:f>C978+D978</x:f>
        <x:v>903567.7425408214</x:v>
      </x:c>
      <x:c r="F978" s="78" t="n">
        <x:f>'Inputs'!$B$13*E978+(1-'Inputs'!$B$13)/'Inputs'!$B$14*SUM(E923:E978)</x:f>
        <x:v>913785.4194032669</x:v>
      </x:c>
      <x:c r="G978" s="78" t="n">
        <x:f>F978*'Inputs'!$F$46</x:f>
        <x:v>456892.70970163343</x:v>
      </x:c>
      <x:c r="H978" s="78" t="n">
        <x:f>U977</x:f>
        <x:v>112423143.97267447</x:v>
      </x:c>
      <x:c r="I978" s="78" t="n">
        <x:f>V977</x:f>
        <x:v>258.6863145122356</x:v>
      </x:c>
      <x:c r="J978" s="79" t="n">
        <x:f>IF(H978&gt;0,I978/H978,0)</x:f>
        <x:v>0.000002301005872733036</x:v>
      </x:c>
      <x:c r="K978" s="80" t="n">
        <x:f>(H978*J978+I978)*'Inputs'!$D$46*(1+'Inputs'!$G$46)^(B978/30)</x:f>
        <x:v>517.3726290244712</x:v>
      </x:c>
      <x:c r="L978" s="80" t="n">
        <x:f>MAX(0,K978*'Inputs'!$E$46)</x:f>
        <x:v>0</x:v>
      </x:c>
      <x:c r="M978" s="80" t="n">
        <x:f>MAX(0,-K978*'Inputs'!$E$46)</x:f>
        <x:v>0</x:v>
      </x:c>
      <x:c r="N978" s="78" t="n">
        <x:f>H978*(L978*(1-'Inputs'!$B$15))/(I978+L978*(1-'Inputs'!$B$15))</x:f>
        <x:v>0</x:v>
      </x:c>
      <x:c r="O978" s="78" t="n">
        <x:f>H978-N978</x:f>
        <x:v>112423143.97267447</x:v>
      </x:c>
      <x:c r="P978" s="78" t="n">
        <x:f>I978+L978*(1-'Inputs'!$B$17)</x:f>
        <x:v>258.6863145122356</x:v>
      </x:c>
      <x:c r="Q978" s="78" t="n">
        <x:f>IF(J978&gt;0,M978/J978,0)</x:f>
        <x:v>0</x:v>
      </x:c>
      <x:c r="R978" s="78" t="n">
        <x:f>IF(B978='Inputs'!$H$46,'Inputs'!$B$27*'Inputs'!$I$46,0)</x:f>
        <x:v>0</x:v>
      </x:c>
      <x:c r="S978" s="78" t="n">
        <x:f>Q978+G978+R978</x:f>
        <x:v>456892.70970163343</x:v>
      </x:c>
      <x:c r="T978" s="78" t="n">
        <x:f>P978*(S978*(1-'Inputs'!$B$15))/(O978+S978*(1-'Inputs'!$B$15))</x:f>
        <x:v>1.0366289027648312</x:v>
      </x:c>
      <x:c r="U978" s="78" t="n">
        <x:f>O978+S978*(1-'Inputs'!$B$17)</x:f>
        <x:v>112878198.07992259</x:v>
      </x:c>
      <x:c r="V978" s="78" t="n">
        <x:f>P978-T978</x:f>
        <x:v>257.64968560947074</x:v>
      </x:c>
      <x:c r="W978" s="79" t="n">
        <x:f>IF(U978&gt;0,V978/U978,0)</x:f>
        <x:v>0.0000022825460539956862</x:v>
      </x:c>
      <x:c r="X978" s="80" t="n">
        <x:f>W978*('Inputs'!$B$6-AC978)</x:f>
        <x:v>2156.745152056577</x:v>
      </x:c>
      <x:c r="Y978" s="80" t="n">
        <x:f>2*V978</x:f>
        <x:v>515.2993712189415</x:v>
      </x:c>
      <x:c r="Z978" s="80" t="n">
        <x:f>K978*'Inputs'!$B$16+(G978+R978)*J978*'Inputs'!$B$16</x:f>
        <x:v>3.110543650996221</x:v>
      </x:c>
      <x:c r="AA978" s="80" t="n">
        <x:f>K978*(1+'Inputs'!$E$46)/2*'Inputs'!$B$17</x:f>
        <x:v>1.0409912052806263</x:v>
      </x:c>
      <x:c r="AB978" s="78" t="n">
        <x:f>(IF(J978&gt;0,K978*(1-'Inputs'!$E$46)/2/J978,0)+G978+R978)*'Inputs'!$B$17</x:f>
        <x:v>454245.62045221776</x:v>
      </x:c>
      <x:c r="AC978" s="78" t="n">
        <x:f>AC977+AB978</x:f>
        <x:v>55114288.58966062</x:v>
      </x:c>
      <x:c r="AD978" s="80" t="n">
        <x:f>Z978/(1+'Inputs'!$C$46)</x:f>
        <x:v>1.5552718254981106</x:v>
      </x:c>
      <x:c r="AE978" s="80" t="n">
        <x:f>Z978-AD978</x:f>
        <x:v>1.5552718254981106</x:v>
      </x:c>
      <x:c r="AF978" s="80" t="n">
        <x:f>D978*W978</x:f>
        <x:v>0.6187304955762788</x:v>
      </x:c>
      <x:c r="AG978" s="80" t="n">
        <x:f>C978*W978</x:f>
        <x:v>1.4437044896780633</x:v>
      </x:c>
      <x:c r="AH978" s="80" t="n">
        <x:f>2*'Inputs'!$B$8*'Inputs'!$C$46</x:f>
        <x:v>5000</x:v>
      </x:c>
      <x:c r="AI978" s="81" t="n">
        <x:f>IF(AH978&gt;0,(AE978+AF978)/AH978*365,0)</x:f>
        <x:v>0.15870216943843043</x:v>
      </x:c>
      <x:c r="AJ978" s="81" t="n">
        <x:f>IF('Inputs'!$B$46&gt;0,AG978/('Inputs'!$B$19*'Inputs'!$B$46)*365,0)</x:f>
        <x:v>0.052695213873249304</x:v>
      </x:c>
      <x:c r="AK978" s="81" t="n">
        <x:f>W978/MAX($W$734:W978)-1</x:f>
        <x:v>-0.997291662649385</x:v>
      </x:c>
      <x:c r="AL978" s="83" t="n">
        <x:f>'Inputs'!$B$46</x:f>
        <x:v>1</x:v>
      </x:c>
      <x:c r="AM978" s="83" t="n">
        <x:f>'Inputs'!$C$46</x:f>
        <x:v>1</x:v>
      </x:c>
      <x:c r="AN978" s="83" t="n">
        <x:f>'Inputs'!$D$46</x:f>
        <x:v>1</x:v>
      </x:c>
      <x:c r="AO978" s="81" t="n">
        <x:f>'Inputs'!$E$46</x:f>
        <x:v>0</x:v>
      </x:c>
    </x:row>
    <x:row r="979">
      <x:c r="A979" s="59" t="str">
        <x:v>Base</x:v>
      </x:c>
      <x:c r="B979" s="59" t="n">
        <x:v>246</x:v>
      </x:c>
      <x:c r="C979" s="78" t="n">
        <x:f>(('Inputs'!$B$29*(3*246*'Inputs'!$B$12-246^2)/(2*'Inputs'!$B$12^2))-('Inputs'!$B$29*(3*245*'Inputs'!$B$12-245^2)/(2*'Inputs'!$B$12^2)))*'Inputs'!$B$46</x:f>
        <x:v>632172.3118783832</x:v>
      </x:c>
      <x:c r="D979" s="78" t="n">
        <x:f>IF('Inputs'!$C$46&gt;0,('Inputs'!$B$30*(3*246*'Inputs'!$B$12-246^2)/(2*'Inputs'!$B$12^2))-('Inputs'!$B$30*(3*245*'Inputs'!$B$12-245^2)/(2*'Inputs'!$B$12^2)),0)</x:f>
        <x:v>270930.99080502987</x:v>
      </x:c>
      <x:c r="E979" s="78" t="n">
        <x:f>C979+D979</x:f>
        <x:v>903103.302683413</x:v>
      </x:c>
      <x:c r="F979" s="78" t="n">
        <x:f>'Inputs'!$B$13*E979+(1-'Inputs'!$B$13)/'Inputs'!$B$14*SUM(E924:E979)</x:f>
        <x:v>913320.9795458775</x:v>
      </x:c>
      <x:c r="G979" s="78" t="n">
        <x:f>F979*'Inputs'!$F$46</x:f>
        <x:v>456660.4897729388</x:v>
      </x:c>
      <x:c r="H979" s="78" t="n">
        <x:f>U978</x:f>
        <x:v>112878198.07992259</x:v>
      </x:c>
      <x:c r="I979" s="78" t="n">
        <x:f>V978</x:f>
        <x:v>257.64968560947074</x:v>
      </x:c>
      <x:c r="J979" s="79" t="n">
        <x:f>IF(H979&gt;0,I979/H979,0)</x:f>
        <x:v>0.0000022825460539956862</x:v>
      </x:c>
      <x:c r="K979" s="80" t="n">
        <x:f>(H979*J979+I979)*'Inputs'!$D$46*(1+'Inputs'!$G$46)^(B979/30)</x:f>
        <x:v>515.2993712189415</x:v>
      </x:c>
      <x:c r="L979" s="80" t="n">
        <x:f>MAX(0,K979*'Inputs'!$E$46)</x:f>
        <x:v>0</x:v>
      </x:c>
      <x:c r="M979" s="80" t="n">
        <x:f>MAX(0,-K979*'Inputs'!$E$46)</x:f>
        <x:v>0</x:v>
      </x:c>
      <x:c r="N979" s="78" t="n">
        <x:f>H979*(L979*(1-'Inputs'!$B$15))/(I979+L979*(1-'Inputs'!$B$15))</x:f>
        <x:v>0</x:v>
      </x:c>
      <x:c r="O979" s="78" t="n">
        <x:f>H979-N979</x:f>
        <x:v>112878198.07992259</x:v>
      </x:c>
      <x:c r="P979" s="78" t="n">
        <x:f>I979+L979*(1-'Inputs'!$B$17)</x:f>
        <x:v>257.64968560947074</x:v>
      </x:c>
      <x:c r="Q979" s="78" t="n">
        <x:f>IF(J979&gt;0,M979/J979,0)</x:f>
        <x:v>0</x:v>
      </x:c>
      <x:c r="R979" s="78" t="n">
        <x:f>IF(B979='Inputs'!$H$46,'Inputs'!$B$27*'Inputs'!$I$46,0)</x:f>
        <x:v>0</x:v>
      </x:c>
      <x:c r="S979" s="78" t="n">
        <x:f>Q979+G979+R979</x:f>
        <x:v>456660.4897729388</x:v>
      </x:c>
      <x:c r="T979" s="78" t="n">
        <x:f>P979*(S979*(1-'Inputs'!$B$15))/(O979+S979*(1-'Inputs'!$B$15))</x:f>
        <x:v>1.0278085874890632</x:v>
      </x:c>
      <x:c r="U979" s="78" t="n">
        <x:f>O979+S979*(1-'Inputs'!$B$17)</x:f>
        <x:v>113333020.90172863</x:v>
      </x:c>
      <x:c r="V979" s="78" t="n">
        <x:f>P979-T979</x:f>
        <x:v>256.6218770219817</x:v>
      </x:c>
      <x:c r="W979" s="79" t="n">
        <x:f>IF(U979&gt;0,V979/U979,0)</x:f>
        <x:v>0.0000022643169217601565</x:v>
      </x:c>
      <x:c r="X979" s="80" t="n">
        <x:f>W979*('Inputs'!$B$6-AC979)</x:f>
        <x:v>2138.48800512135</x:v>
      </x:c>
      <x:c r="Y979" s="80" t="n">
        <x:f>2*V979</x:f>
        <x:v>513.2437540439633</x:v>
      </x:c>
      <x:c r="Z979" s="80" t="n">
        <x:f>K979*'Inputs'!$B$16+(G979+R979)*J979*'Inputs'!$B$16</x:f>
        <x:v>3.0980503189073305</x:v>
      </x:c>
      <x:c r="AA979" s="80" t="n">
        <x:f>K979*(1+'Inputs'!$E$46)/2*'Inputs'!$B$17</x:f>
        <x:v>1.0368196604002848</x:v>
      </x:c>
      <x:c r="AB979" s="78" t="n">
        <x:f>(IF(J979&gt;0,K979*(1-'Inputs'!$E$46)/2/J979,0)+G979+R979)*'Inputs'!$B$17</x:f>
        <x:v>456075.889616481</x:v>
      </x:c>
      <x:c r="AC979" s="78" t="n">
        <x:f>AC978+AB979</x:f>
        <x:v>55570364.479277104</x:v>
      </x:c>
      <x:c r="AD979" s="80" t="n">
        <x:f>Z979/(1+'Inputs'!$C$46)</x:f>
        <x:v>1.5490251594536653</x:v>
      </x:c>
      <x:c r="AE979" s="80" t="n">
        <x:f>Z979-AD979</x:f>
        <x:v>1.5490251594536653</x:v>
      </x:c>
      <x:c r="AF979" s="80" t="n">
        <x:f>D979*W979</x:f>
        <x:v>0.6134736271090745</x:v>
      </x:c>
      <x:c r="AG979" s="80" t="n">
        <x:f>C979*W979</x:f>
        <x:v>1.4314384632544621</x:v>
      </x:c>
      <x:c r="AH979" s="80" t="n">
        <x:f>2*'Inputs'!$B$8*'Inputs'!$C$46</x:f>
        <x:v>5000</x:v>
      </x:c>
      <x:c r="AI979" s="81" t="n">
        <x:f>IF(AH979&gt;0,(AE979+AF979)/AH979*365,0)</x:f>
        <x:v>0.15786241141908</x:v>
      </x:c>
      <x:c r="AJ979" s="81" t="n">
        <x:f>IF('Inputs'!$B$46&gt;0,AG979/('Inputs'!$B$19*'Inputs'!$B$46)*365,0)</x:f>
        <x:v>0.052247503908787865</x:v>
      </x:c>
      <x:c r="AK979" s="81" t="n">
        <x:f>W979/MAX($W$734:W979)-1</x:f>
        <x:v>-0.9973132922851228</x:v>
      </x:c>
      <x:c r="AL979" s="83" t="n">
        <x:f>'Inputs'!$B$46</x:f>
        <x:v>1</x:v>
      </x:c>
      <x:c r="AM979" s="83" t="n">
        <x:f>'Inputs'!$C$46</x:f>
        <x:v>1</x:v>
      </x:c>
      <x:c r="AN979" s="83" t="n">
        <x:f>'Inputs'!$D$46</x:f>
        <x:v>1</x:v>
      </x:c>
      <x:c r="AO979" s="81" t="n">
        <x:f>'Inputs'!$E$46</x:f>
        <x:v>0</x:v>
      </x:c>
    </x:row>
    <x:row r="980">
      <x:c r="A980" s="59" t="str">
        <x:v>Base</x:v>
      </x:c>
      <x:c r="B980" s="59" t="n">
        <x:v>247</x:v>
      </x:c>
      <x:c r="C980" s="78" t="n">
        <x:f>(('Inputs'!$B$29*(3*247*'Inputs'!$B$12-247^2)/(2*'Inputs'!$B$12^2))-('Inputs'!$B$29*(3*246*'Inputs'!$B$12-246^2)/(2*'Inputs'!$B$12^2)))*'Inputs'!$B$46</x:f>
        <x:v>631847.2039782405</x:v>
      </x:c>
      <x:c r="D980" s="78" t="n">
        <x:f>IF('Inputs'!$C$46&gt;0,('Inputs'!$B$30*(3*247*'Inputs'!$B$12-247^2)/(2*'Inputs'!$B$12^2))-('Inputs'!$B$30*(3*246*'Inputs'!$B$12-246^2)/(2*'Inputs'!$B$12^2)),0)</x:f>
        <x:v>270791.65884780884</x:v>
      </x:c>
      <x:c r="E980" s="78" t="n">
        <x:f>C980+D980</x:f>
        <x:v>902638.8628260493</x:v>
      </x:c>
      <x:c r="F980" s="78" t="n">
        <x:f>'Inputs'!$B$13*E980+(1-'Inputs'!$B$13)/'Inputs'!$B$14*SUM(E925:E980)</x:f>
        <x:v>912856.5396884975</x:v>
      </x:c>
      <x:c r="G980" s="78" t="n">
        <x:f>F980*'Inputs'!$F$46</x:f>
        <x:v>456428.2698442488</x:v>
      </x:c>
      <x:c r="H980" s="78" t="n">
        <x:f>U979</x:f>
        <x:v>113333020.90172863</x:v>
      </x:c>
      <x:c r="I980" s="78" t="n">
        <x:f>V979</x:f>
        <x:v>256.6218770219817</x:v>
      </x:c>
      <x:c r="J980" s="79" t="n">
        <x:f>IF(H980&gt;0,I980/H980,0)</x:f>
        <x:v>0.0000022643169217601565</x:v>
      </x:c>
      <x:c r="K980" s="80" t="n">
        <x:f>(H980*J980+I980)*'Inputs'!$D$46*(1+'Inputs'!$G$46)^(B980/30)</x:f>
        <x:v>513.2437540439633</x:v>
      </x:c>
      <x:c r="L980" s="80" t="n">
        <x:f>MAX(0,K980*'Inputs'!$E$46)</x:f>
        <x:v>0</x:v>
      </x:c>
      <x:c r="M980" s="80" t="n">
        <x:f>MAX(0,-K980*'Inputs'!$E$46)</x:f>
        <x:v>0</x:v>
      </x:c>
      <x:c r="N980" s="78" t="n">
        <x:f>H980*(L980*(1-'Inputs'!$B$15))/(I980+L980*(1-'Inputs'!$B$15))</x:f>
        <x:v>0</x:v>
      </x:c>
      <x:c r="O980" s="78" t="n">
        <x:f>H980-N980</x:f>
        <x:v>113333020.90172863</x:v>
      </x:c>
      <x:c r="P980" s="78" t="n">
        <x:f>I980+L980*(1-'Inputs'!$B$17)</x:f>
        <x:v>256.6218770219817</x:v>
      </x:c>
      <x:c r="Q980" s="78" t="n">
        <x:f>IF(J980&gt;0,M980/J980,0)</x:f>
        <x:v>0</x:v>
      </x:c>
      <x:c r="R980" s="78" t="n">
        <x:f>IF(B980='Inputs'!$H$46,'Inputs'!$B$27*'Inputs'!$I$46,0)</x:f>
        <x:v>0</x:v>
      </x:c>
      <x:c r="S980" s="78" t="n">
        <x:f>Q980+G980+R980</x:f>
        <x:v>456428.2698442488</x:v>
      </x:c>
      <x:c r="T980" s="78" t="n">
        <x:f>P980*(S980*(1-'Inputs'!$B$15))/(O980+S980*(1-'Inputs'!$B$15))</x:f>
        <x:v>1.0191000733818159</x:v>
      </x:c>
      <x:c r="U980" s="78" t="n">
        <x:f>O980+S980*(1-'Inputs'!$B$17)</x:f>
        <x:v>113787612.43809262</x:v>
      </x:c>
      <x:c r="V980" s="78" t="n">
        <x:f>P980-T980</x:f>
        <x:v>255.60277694859985</x:v>
      </x:c>
      <x:c r="W980" s="79" t="n">
        <x:f>IF(U980&gt;0,V980/U980,0)</x:f>
        <x:v>0.00000224631461608058</x:v>
      </x:c>
      <x:c r="X980" s="80" t="n">
        <x:f>W980*('Inputs'!$B$6-AC980)</x:f>
        <x:v>2120.457494923296</x:v>
      </x:c>
      <x:c r="Y980" s="80" t="n">
        <x:f>2*V980</x:f>
        <x:v>511.2055538971997</x:v>
      </x:c>
      <x:c r="Z980" s="80" t="n">
        <x:f>K980*'Inputs'!$B$16+(G980+R980)*J980*'Inputs'!$B$16</x:f>
        <x:v>3.085663513793649</x:v>
      </x:c>
      <x:c r="AA980" s="80" t="n">
        <x:f>K980*(1+'Inputs'!$E$46)/2*'Inputs'!$B$17</x:f>
        <x:v>1.0326836097464052</x:v>
      </x:c>
      <x:c r="AB980" s="78" t="n">
        <x:f>(IF(J980&gt;0,K980*(1-'Inputs'!$E$46)/2/J980,0)+G980+R980)*'Inputs'!$B$17</x:f>
        <x:v>457905.22805461934</x:v>
      </x:c>
      <x:c r="AC980" s="78" t="n">
        <x:f>AC979+AB980</x:f>
        <x:v>56028269.707331724</x:v>
      </x:c>
      <x:c r="AD980" s="80" t="n">
        <x:f>Z980/(1+'Inputs'!$C$46)</x:f>
        <x:v>1.5428317568968244</x:v>
      </x:c>
      <x:c r="AE980" s="80" t="n">
        <x:f>Z980-AD980</x:f>
        <x:v>1.5428317568968244</x:v>
      </x:c>
      <x:c r="AF980" s="80" t="n">
        <x:f>D980*W980</x:f>
        <x:v>0.6082832611825391</x:v>
      </x:c>
      <x:c r="AG980" s="80" t="n">
        <x:f>C980*W980</x:f>
        <x:v>1.4193276094259692</x:v>
      </x:c>
      <x:c r="AH980" s="80" t="n">
        <x:f>2*'Inputs'!$B$8*'Inputs'!$C$46</x:f>
        <x:v>5000</x:v>
      </x:c>
      <x:c r="AI980" s="81" t="n">
        <x:f>IF(AH980&gt;0,(AE980+AF980)/AH980*365,0)</x:f>
        <x:v>0.15703139631979354</x:v>
      </x:c>
      <x:c r="AJ980" s="81" t="n">
        <x:f>IF('Inputs'!$B$46&gt;0,AG980/('Inputs'!$B$19*'Inputs'!$B$46)*365,0)</x:f>
        <x:v>0.05180545774404788</x:v>
      </x:c>
      <x:c r="AK980" s="81" t="n">
        <x:f>W980/MAX($W$734:W980)-1</x:f>
        <x:v>-0.9973346527815665</x:v>
      </x:c>
      <x:c r="AL980" s="83" t="n">
        <x:f>'Inputs'!$B$46</x:f>
        <x:v>1</x:v>
      </x:c>
      <x:c r="AM980" s="83" t="n">
        <x:f>'Inputs'!$C$46</x:f>
        <x:v>1</x:v>
      </x:c>
      <x:c r="AN980" s="83" t="n">
        <x:f>'Inputs'!$D$46</x:f>
        <x:v>1</x:v>
      </x:c>
      <x:c r="AO980" s="81" t="n">
        <x:f>'Inputs'!$E$46</x:f>
        <x:v>0</x:v>
      </x:c>
    </x:row>
    <x:row r="981">
      <x:c r="A981" s="59" t="str">
        <x:v>Base</x:v>
      </x:c>
      <x:c r="B981" s="59" t="n">
        <x:v>248</x:v>
      </x:c>
      <x:c r="C981" s="78" t="n">
        <x:f>(('Inputs'!$B$29*(3*248*'Inputs'!$B$12-248^2)/(2*'Inputs'!$B$12^2))-('Inputs'!$B$29*(3*247*'Inputs'!$B$12-247^2)/(2*'Inputs'!$B$12^2)))*'Inputs'!$B$46</x:f>
        <x:v>631522.096078068</x:v>
      </x:c>
      <x:c r="D981" s="78" t="n">
        <x:f>IF('Inputs'!$C$46&gt;0,('Inputs'!$B$30*(3*248*'Inputs'!$B$12-248^2)/(2*'Inputs'!$B$12^2))-('Inputs'!$B$30*(3*247*'Inputs'!$B$12-247^2)/(2*'Inputs'!$B$12^2)),0)</x:f>
        <x:v>270652.3268906027</x:v>
      </x:c>
      <x:c r="E981" s="78" t="n">
        <x:f>C981+D981</x:f>
        <x:v>902174.4229686707</x:v>
      </x:c>
      <x:c r="F981" s="78" t="n">
        <x:f>'Inputs'!$B$13*E981+(1-'Inputs'!$B$13)/'Inputs'!$B$14*SUM(E926:E981)</x:f>
        <x:v>912392.0998311146</x:v>
      </x:c>
      <x:c r="G981" s="78" t="n">
        <x:f>F981*'Inputs'!$F$46</x:f>
        <x:v>456196.0499155573</x:v>
      </x:c>
      <x:c r="H981" s="78" t="n">
        <x:f>U980</x:f>
        <x:v>113787612.43809262</x:v>
      </x:c>
      <x:c r="I981" s="78" t="n">
        <x:f>V980</x:f>
        <x:v>255.60277694859985</x:v>
      </x:c>
      <x:c r="J981" s="79" t="n">
        <x:f>IF(H981&gt;0,I981/H981,0)</x:f>
        <x:v>0.00000224631461608058</x:v>
      </x:c>
      <x:c r="K981" s="80" t="n">
        <x:f>(H981*J981+I981)*'Inputs'!$D$46*(1+'Inputs'!$G$46)^(B981/30)</x:f>
        <x:v>511.2055538971997</x:v>
      </x:c>
      <x:c r="L981" s="80" t="n">
        <x:f>MAX(0,K981*'Inputs'!$E$46)</x:f>
        <x:v>0</x:v>
      </x:c>
      <x:c r="M981" s="80" t="n">
        <x:f>MAX(0,-K981*'Inputs'!$E$46)</x:f>
        <x:v>0</x:v>
      </x:c>
      <x:c r="N981" s="78" t="n">
        <x:f>H981*(L981*(1-'Inputs'!$B$15))/(I981+L981*(1-'Inputs'!$B$15))</x:f>
        <x:v>0</x:v>
      </x:c>
      <x:c r="O981" s="78" t="n">
        <x:f>H981-N981</x:f>
        <x:v>113787612.43809262</x:v>
      </x:c>
      <x:c r="P981" s="78" t="n">
        <x:f>I981+L981*(1-'Inputs'!$B$17)</x:f>
        <x:v>255.60277694859985</x:v>
      </x:c>
      <x:c r="Q981" s="78" t="n">
        <x:f>IF(J981&gt;0,M981/J981,0)</x:f>
        <x:v>0</x:v>
      </x:c>
      <x:c r="R981" s="78" t="n">
        <x:f>IF(B981='Inputs'!$H$46,'Inputs'!$B$27*'Inputs'!$I$46,0)</x:f>
        <x:v>0</x:v>
      </x:c>
      <x:c r="S981" s="78" t="n">
        <x:f>Q981+G981+R981</x:f>
        <x:v>456196.0499155573</x:v>
      </x:c>
      <x:c r="T981" s="78" t="n">
        <x:f>P981*(S981*(1-'Inputs'!$B$15))/(O981+S981*(1-'Inputs'!$B$15))</x:f>
        <x:v>1.0105014776308652</x:v>
      </x:c>
      <x:c r="U981" s="78" t="n">
        <x:f>O981+S981*(1-'Inputs'!$B$17)</x:f>
        <x:v>114241972.68901455</x:v>
      </x:c>
      <x:c r="V981" s="78" t="n">
        <x:f>P981-T981</x:f>
        <x:v>254.59227547096899</x:v>
      </x:c>
      <x:c r="W981" s="79" t="n">
        <x:f>IF(U981&gt;0,V981/U981,0)</x:f>
        <x:v>0.0000022285353577008954</x:v>
      </x:c>
      <x:c r="X981" s="80" t="n">
        <x:f>W981*('Inputs'!$B$6-AC981)</x:f>
        <x:v>2102.6498449648743</x:v>
      </x:c>
      <x:c r="Y981" s="80" t="n">
        <x:f>2*V981</x:f>
        <x:v>509.18455094193797</x:v>
      </x:c>
      <x:c r="Z981" s="80" t="n">
        <x:f>K981*'Inputs'!$B$16+(G981+R981)*J981*'Inputs'!$B$16</x:f>
        <x:v>3.0733818825115398</x:v>
      </x:c>
      <x:c r="AA981" s="80" t="n">
        <x:f>K981*(1+'Inputs'!$E$46)/2*'Inputs'!$B$17</x:f>
        <x:v>1.0285826034148888</x:v>
      </x:c>
      <x:c r="AB981" s="78" t="n">
        <x:f>(IF(J981&gt;0,K981*(1-'Inputs'!$E$46)/2/J981,0)+G981+R981)*'Inputs'!$B$17</x:f>
        <x:v>459733.6357666325</x:v>
      </x:c>
      <x:c r="AC981" s="78" t="n">
        <x:f>AC980+AB981</x:f>
        <x:v>56488003.34309836</x:v>
      </x:c>
      <x:c r="AD981" s="80" t="n">
        <x:f>Z981/(1+'Inputs'!$C$46)</x:f>
        <x:v>1.5366909412557699</x:v>
      </x:c>
      <x:c r="AE981" s="80" t="n">
        <x:f>Z981-AD981</x:f>
        <x:v>1.5366909412557699</x:v>
      </x:c>
      <x:c r="AF981" s="80" t="n">
        <x:f>D981*W981</x:f>
        <x:v>0.6031582801197289</x:v>
      </x:c>
      <x:c r="AG981" s="80" t="n">
        <x:f>C981*W981</x:f>
        <x:v>1.4073693202793565</x:v>
      </x:c>
      <x:c r="AH981" s="80" t="n">
        <x:f>2*'Inputs'!$B$8*'Inputs'!$C$46</x:f>
        <x:v>5000</x:v>
      </x:c>
      <x:c r="AI981" s="81" t="n">
        <x:f>IF(AH981&gt;0,(AE981+AF981)/AH981*365,0)</x:f>
        <x:v>0.1562089931604114</x:v>
      </x:c>
      <x:c r="AJ981" s="81" t="n">
        <x:f>IF('Inputs'!$B$46&gt;0,AG981/('Inputs'!$B$19*'Inputs'!$B$46)*365,0)</x:f>
        <x:v>0.05136898019019651</x:v>
      </x:c>
      <x:c r="AK981" s="81" t="n">
        <x:f>W981/MAX($W$734:W981)-1</x:f>
        <x:v>-0.9973557486229634</x:v>
      </x:c>
      <x:c r="AL981" s="83" t="n">
        <x:f>'Inputs'!$B$46</x:f>
        <x:v>1</x:v>
      </x:c>
      <x:c r="AM981" s="83" t="n">
        <x:f>'Inputs'!$C$46</x:f>
        <x:v>1</x:v>
      </x:c>
      <x:c r="AN981" s="83" t="n">
        <x:f>'Inputs'!$D$46</x:f>
        <x:v>1</x:v>
      </x:c>
      <x:c r="AO981" s="81" t="n">
        <x:f>'Inputs'!$E$46</x:f>
        <x:v>0</x:v>
      </x:c>
    </x:row>
    <x:row r="982">
      <x:c r="A982" s="59" t="str">
        <x:v>Base</x:v>
      </x:c>
      <x:c r="B982" s="59" t="n">
        <x:v>249</x:v>
      </x:c>
      <x:c r="C982" s="78" t="n">
        <x:f>(('Inputs'!$B$29*(3*249*'Inputs'!$B$12-249^2)/(2*'Inputs'!$B$12^2))-('Inputs'!$B$29*(3*248*'Inputs'!$B$12-248^2)/(2*'Inputs'!$B$12^2)))*'Inputs'!$B$46</x:f>
        <x:v>631196.9881778955</x:v>
      </x:c>
      <x:c r="D982" s="78" t="n">
        <x:f>IF('Inputs'!$C$46&gt;0,('Inputs'!$B$30*(3*249*'Inputs'!$B$12-249^2)/(2*'Inputs'!$B$12^2))-('Inputs'!$B$30*(3*248*'Inputs'!$B$12-248^2)/(2*'Inputs'!$B$12^2)),0)</x:f>
        <x:v>270512.9949333817</x:v>
      </x:c>
      <x:c r="E982" s="78" t="n">
        <x:f>C982+D982</x:f>
        <x:v>901709.9831112772</x:v>
      </x:c>
      <x:c r="F982" s="78" t="n">
        <x:f>'Inputs'!$B$13*E982+(1-'Inputs'!$B$13)/'Inputs'!$B$14*SUM(E927:E982)</x:f>
        <x:v>911927.6599737286</x:v>
      </x:c>
      <x:c r="G982" s="78" t="n">
        <x:f>F982*'Inputs'!$F$46</x:f>
        <x:v>455963.8299868643</x:v>
      </x:c>
      <x:c r="H982" s="78" t="n">
        <x:f>U981</x:f>
        <x:v>114241972.68901455</x:v>
      </x:c>
      <x:c r="I982" s="78" t="n">
        <x:f>V981</x:f>
        <x:v>254.59227547096899</x:v>
      </x:c>
      <x:c r="J982" s="79" t="n">
        <x:f>IF(H982&gt;0,I982/H982,0)</x:f>
        <x:v>0.0000022285353577008954</x:v>
      </x:c>
      <x:c r="K982" s="80" t="n">
        <x:f>(H982*J982+I982)*'Inputs'!$D$46*(1+'Inputs'!$G$46)^(B982/30)</x:f>
        <x:v>509.1845509419379</x:v>
      </x:c>
      <x:c r="L982" s="80" t="n">
        <x:f>MAX(0,K982*'Inputs'!$E$46)</x:f>
        <x:v>0</x:v>
      </x:c>
      <x:c r="M982" s="80" t="n">
        <x:f>MAX(0,-K982*'Inputs'!$E$46)</x:f>
        <x:v>0</x:v>
      </x:c>
      <x:c r="N982" s="78" t="n">
        <x:f>H982*(L982*(1-'Inputs'!$B$15))/(I982+L982*(1-'Inputs'!$B$15))</x:f>
        <x:v>0</x:v>
      </x:c>
      <x:c r="O982" s="78" t="n">
        <x:f>H982-N982</x:f>
        <x:v>114241972.68901455</x:v>
      </x:c>
      <x:c r="P982" s="78" t="n">
        <x:f>I982+L982*(1-'Inputs'!$B$17)</x:f>
        <x:v>254.59227547096899</x:v>
      </x:c>
      <x:c r="Q982" s="78" t="n">
        <x:f>IF(J982&gt;0,M982/J982,0)</x:f>
        <x:v>0</x:v>
      </x:c>
      <x:c r="R982" s="78" t="n">
        <x:f>IF(B982='Inputs'!$H$46,'Inputs'!$B$27*'Inputs'!$I$46,0)</x:f>
        <x:v>0</x:v>
      </x:c>
      <x:c r="S982" s="78" t="n">
        <x:f>Q982+G982+R982</x:f>
        <x:v>455963.8299868643</x:v>
      </x:c>
      <x:c r="T982" s="78" t="n">
        <x:f>P982*(S982*(1-'Inputs'!$B$15))/(O982+S982*(1-'Inputs'!$B$15))</x:f>
        <x:v>1.0020109569035012</x:v>
      </x:c>
      <x:c r="U982" s="78" t="n">
        <x:f>O982+S982*(1-'Inputs'!$B$17)</x:f>
        <x:v>114696101.65449443</x:v>
      </x:c>
      <x:c r="V982" s="78" t="n">
        <x:f>P982-T982</x:f>
        <x:v>253.5902645140655</x:v>
      </x:c>
      <x:c r="W982" s="79" t="n">
        <x:f>IF(U982&gt;0,V982/U982,0)</x:f>
        <x:v>0.0000022109754460353833</x:v>
      </x:c>
      <x:c r="X982" s="80" t="n">
        <x:f>W982*('Inputs'!$B$6-AC982)</x:f>
        <x:v>2085.0613573610876</x:v>
      </x:c>
      <x:c r="Y982" s="80" t="n">
        <x:f>2*V982</x:f>
        <x:v>507.180529028131</x:v>
      </x:c>
      <x:c r="Z982" s="80" t="n">
        <x:f>K982*'Inputs'!$B$16+(G982+R982)*J982*'Inputs'!$B$16</x:f>
        <x:v>3.061204094753378</x:v>
      </x:c>
      <x:c r="AA982" s="80" t="n">
        <x:f>K982*(1+'Inputs'!$E$46)/2*'Inputs'!$B$17</x:f>
        <x:v>1.024516199078346</x:v>
      </x:c>
      <x:c r="AB982" s="78" t="n">
        <x:f>(IF(J982&gt;0,K982*(1-'Inputs'!$E$46)/2/J982,0)+G982+R982)*'Inputs'!$B$17</x:f>
        <x:v>461561.1127525209</x:v>
      </x:c>
      <x:c r="AC982" s="78" t="n">
        <x:f>AC981+AB982</x:f>
        <x:v>56949564.45585088</x:v>
      </x:c>
      <x:c r="AD982" s="80" t="n">
        <x:f>Z982/(1+'Inputs'!$C$46)</x:f>
        <x:v>1.530602047376689</x:v>
      </x:c>
      <x:c r="AE982" s="80" t="n">
        <x:f>Z982-AD982</x:f>
        <x:v>1.530602047376689</x:v>
      </x:c>
      <x:c r="AF982" s="80" t="n">
        <x:f>D982*W982</x:f>
        <x:v>0.598097589631201</x:v>
      </x:c>
      <x:c r="AG982" s="80" t="n">
        <x:f>C982*W982</x:f>
        <x:v>1.395561042472813</x:v>
      </x:c>
      <x:c r="AH982" s="80" t="n">
        <x:f>2*'Inputs'!$B$8*'Inputs'!$C$46</x:f>
        <x:v>5000</x:v>
      </x:c>
      <x:c r="AI982" s="81" t="n">
        <x:f>IF(AH982&gt;0,(AE982+AF982)/AH982*365,0)</x:f>
        <x:v>0.15539507350157597</x:v>
      </x:c>
      <x:c r="AJ982" s="81" t="n">
        <x:f>IF('Inputs'!$B$46&gt;0,AG982/('Inputs'!$B$19*'Inputs'!$B$46)*365,0)</x:f>
        <x:v>0.05093797805025768</x:v>
      </x:c>
      <x:c r="AK982" s="81" t="n">
        <x:f>W982/MAX($W$734:W982)-1</x:f>
        <x:v>-0.9973765842002145</x:v>
      </x:c>
      <x:c r="AL982" s="83" t="n">
        <x:f>'Inputs'!$B$46</x:f>
        <x:v>1</x:v>
      </x:c>
      <x:c r="AM982" s="83" t="n">
        <x:f>'Inputs'!$C$46</x:f>
        <x:v>1</x:v>
      </x:c>
      <x:c r="AN982" s="83" t="n">
        <x:f>'Inputs'!$D$46</x:f>
        <x:v>1</x:v>
      </x:c>
      <x:c r="AO982" s="81" t="n">
        <x:f>'Inputs'!$E$46</x:f>
        <x:v>0</x:v>
      </x:c>
    </x:row>
    <x:row r="983">
      <x:c r="A983" s="59" t="str">
        <x:v>Base</x:v>
      </x:c>
      <x:c r="B983" s="59" t="n">
        <x:v>250</x:v>
      </x:c>
      <x:c r="C983" s="78" t="n">
        <x:f>(('Inputs'!$B$29*(3*250*'Inputs'!$B$12-250^2)/(2*'Inputs'!$B$12^2))-('Inputs'!$B$29*(3*249*'Inputs'!$B$12-249^2)/(2*'Inputs'!$B$12^2)))*'Inputs'!$B$46</x:f>
        <x:v>630871.8802777231</x:v>
      </x:c>
      <x:c r="D983" s="78" t="n">
        <x:f>IF('Inputs'!$C$46&gt;0,('Inputs'!$B$30*(3*250*'Inputs'!$B$12-250^2)/(2*'Inputs'!$B$12^2))-('Inputs'!$B$30*(3*249*'Inputs'!$B$12-249^2)/(2*'Inputs'!$B$12^2)),0)</x:f>
        <x:v>270373.66297617555</x:v>
      </x:c>
      <x:c r="E983" s="78" t="n">
        <x:f>C983+D983</x:f>
        <x:v>901245.5432538986</x:v>
      </x:c>
      <x:c r="F983" s="78" t="n">
        <x:f>'Inputs'!$B$13*E983+(1-'Inputs'!$B$13)/'Inputs'!$B$14*SUM(E928:E983)</x:f>
        <x:v>911463.2201163457</x:v>
      </x:c>
      <x:c r="G983" s="78" t="n">
        <x:f>F983*'Inputs'!$F$46</x:f>
        <x:v>455731.61005817284</x:v>
      </x:c>
      <x:c r="H983" s="78" t="n">
        <x:f>U982</x:f>
        <x:v>114696101.65449443</x:v>
      </x:c>
      <x:c r="I983" s="78" t="n">
        <x:f>V982</x:f>
        <x:v>253.5902645140655</x:v>
      </x:c>
      <x:c r="J983" s="79" t="n">
        <x:f>IF(H983&gt;0,I983/H983,0)</x:f>
        <x:v>0.0000022109754460353833</x:v>
      </x:c>
      <x:c r="K983" s="80" t="n">
        <x:f>(H983*J983+I983)*'Inputs'!$D$46*(1+'Inputs'!$G$46)^(B983/30)</x:f>
        <x:v>507.180529028131</x:v>
      </x:c>
      <x:c r="L983" s="80" t="n">
        <x:f>MAX(0,K983*'Inputs'!$E$46)</x:f>
        <x:v>0</x:v>
      </x:c>
      <x:c r="M983" s="80" t="n">
        <x:f>MAX(0,-K983*'Inputs'!$E$46)</x:f>
        <x:v>0</x:v>
      </x:c>
      <x:c r="N983" s="78" t="n">
        <x:f>H983*(L983*(1-'Inputs'!$B$15))/(I983+L983*(1-'Inputs'!$B$15))</x:f>
        <x:v>0</x:v>
      </x:c>
      <x:c r="O983" s="78" t="n">
        <x:f>H983-N983</x:f>
        <x:v>114696101.65449443</x:v>
      </x:c>
      <x:c r="P983" s="78" t="n">
        <x:f>I983+L983*(1-'Inputs'!$B$17)</x:f>
        <x:v>253.5902645140655</x:v>
      </x:c>
      <x:c r="Q983" s="78" t="n">
        <x:f>IF(J983&gt;0,M983/J983,0)</x:f>
        <x:v>0</x:v>
      </x:c>
      <x:c r="R983" s="78" t="n">
        <x:f>IF(B983='Inputs'!$H$46,'Inputs'!$B$27*'Inputs'!$I$46,0)</x:f>
        <x:v>0</x:v>
      </x:c>
      <x:c r="S983" s="78" t="n">
        <x:f>Q983+G983+R983</x:f>
        <x:v>455731.61005817284</x:v>
      </x:c>
      <x:c r="T983" s="78" t="n">
        <x:f>P983*(S983*(1-'Inputs'!$B$15))/(O983+S983*(1-'Inputs'!$B$15))</x:f>
        <x:v>0.9936267063570979</x:v>
      </x:c>
      <x:c r="U983" s="78" t="n">
        <x:f>O983+S983*(1-'Inputs'!$B$17)</x:f>
        <x:v>115149999.33453225</x:v>
      </x:c>
      <x:c r="V983" s="78" t="n">
        <x:f>P983-T983</x:f>
        <x:v>252.5966378077084</x:v>
      </x:c>
      <x:c r="W983" s="79" t="n">
        <x:f>IF(U983&gt;0,V983/U983,0)</x:f>
        <x:v>0.0000021936312572079833</x:v>
      </x:c>
      <x:c r="X983" s="80" t="n">
        <x:f>W983*('Inputs'!$B$6-AC983)</x:f>
        <x:v>2067.688410880234</x:v>
      </x:c>
      <x:c r="Y983" s="80" t="n">
        <x:f>2*V983</x:f>
        <x:v>505.1932756154168</x:v>
      </x:c>
      <x:c r="Z983" s="80" t="n">
        <x:f>K983*'Inputs'!$B$16+(G983+R983)*J983*'Inputs'!$B$16</x:f>
        <x:v>3.0491288425677108</x:v>
      </x:c>
      <x:c r="AA983" s="80" t="n">
        <x:f>K983*(1+'Inputs'!$E$46)/2*'Inputs'!$B$17</x:f>
        <x:v>1.0204839618272254</x:v>
      </x:c>
      <x:c r="AB983" s="78" t="n">
        <x:f>(IF(J983&gt;0,K983*(1-'Inputs'!$E$46)/2/J983,0)+G983+R983)*'Inputs'!$B$17</x:f>
        <x:v>463387.6590122842</x:v>
      </x:c>
      <x:c r="AC983" s="78" t="n">
        <x:f>AC982+AB983</x:f>
        <x:v>57412952.114863165</x:v>
      </x:c>
      <x:c r="AD983" s="80" t="n">
        <x:f>Z983/(1+'Inputs'!$C$46)</x:f>
        <x:v>1.5245644212838554</x:v>
      </x:c>
      <x:c r="AE983" s="80" t="n">
        <x:f>Z983-AD983</x:f>
        <x:v>1.5245644212838554</x:v>
      </x:c>
      <x:c r="AF983" s="80" t="n">
        <x:f>D983*W983</x:f>
        <x:v>0.5931001182303556</x:v>
      </x:c>
      <x:c r="AG983" s="80" t="n">
        <x:f>C983*W983</x:f>
        <x:v>1.383900275870786</x:v>
      </x:c>
      <x:c r="AH983" s="80" t="n">
        <x:f>2*'Inputs'!$B$8*'Inputs'!$C$46</x:f>
        <x:v>5000</x:v>
      </x:c>
      <x:c r="AI983" s="81" t="n">
        <x:f>IF(AH983&gt;0,(AE983+AF983)/AH983*365,0)</x:f>
        <x:v>0.15458951138453741</x:v>
      </x:c>
      <x:c r="AJ983" s="81" t="n">
        <x:f>IF('Inputs'!$B$46&gt;0,AG983/('Inputs'!$B$19*'Inputs'!$B$46)*365,0)</x:f>
        <x:v>0.05051236006928369</x:v>
      </x:c>
      <x:c r="AK983" s="81" t="n">
        <x:f>W983/MAX($W$734:W983)-1</x:f>
        <x:v>-0.997397163813202</x:v>
      </x:c>
      <x:c r="AL983" s="83" t="n">
        <x:f>'Inputs'!$B$46</x:f>
        <x:v>1</x:v>
      </x:c>
      <x:c r="AM983" s="83" t="n">
        <x:f>'Inputs'!$C$46</x:f>
        <x:v>1</x:v>
      </x:c>
      <x:c r="AN983" s="83" t="n">
        <x:f>'Inputs'!$D$46</x:f>
        <x:v>1</x:v>
      </x:c>
      <x:c r="AO983" s="81" t="n">
        <x:f>'Inputs'!$E$46</x:f>
        <x:v>0</x:v>
      </x:c>
    </x:row>
    <x:row r="984">
      <x:c r="A984" s="59" t="str">
        <x:v>Base</x:v>
      </x:c>
      <x:c r="B984" s="59" t="n">
        <x:v>251</x:v>
      </x:c>
      <x:c r="C984" s="78" t="n">
        <x:f>(('Inputs'!$B$29*(3*251*'Inputs'!$B$12-251^2)/(2*'Inputs'!$B$12^2))-('Inputs'!$B$29*(3*250*'Inputs'!$B$12-250^2)/(2*'Inputs'!$B$12^2)))*'Inputs'!$B$46</x:f>
        <x:v>630546.7723775506</x:v>
      </x:c>
      <x:c r="D984" s="78" t="n">
        <x:f>IF('Inputs'!$C$46&gt;0,('Inputs'!$B$30*(3*251*'Inputs'!$B$12-251^2)/(2*'Inputs'!$B$12^2))-('Inputs'!$B$30*(3*250*'Inputs'!$B$12-250^2)/(2*'Inputs'!$B$12^2)),0)</x:f>
        <x:v>270234.3310189545</x:v>
      </x:c>
      <x:c r="E984" s="78" t="n">
        <x:f>C984+D984</x:f>
        <x:v>900781.1033965051</x:v>
      </x:c>
      <x:c r="F984" s="78" t="n">
        <x:f>'Inputs'!$B$13*E984+(1-'Inputs'!$B$13)/'Inputs'!$B$14*SUM(E929:E984)</x:f>
        <x:v>910998.7802589597</x:v>
      </x:c>
      <x:c r="G984" s="78" t="n">
        <x:f>F984*'Inputs'!$F$46</x:f>
        <x:v>455499.39012947987</x:v>
      </x:c>
      <x:c r="H984" s="78" t="n">
        <x:f>U983</x:f>
        <x:v>115149999.33453225</x:v>
      </x:c>
      <x:c r="I984" s="78" t="n">
        <x:f>V983</x:f>
        <x:v>252.5966378077084</x:v>
      </x:c>
      <x:c r="J984" s="79" t="n">
        <x:f>IF(H984&gt;0,I984/H984,0)</x:f>
        <x:v>0.0000021936312572079833</x:v>
      </x:c>
      <x:c r="K984" s="80" t="n">
        <x:f>(H984*J984+I984)*'Inputs'!$D$46*(1+'Inputs'!$G$46)^(B984/30)</x:f>
        <x:v>505.19327561541684</x:v>
      </x:c>
      <x:c r="L984" s="80" t="n">
        <x:f>MAX(0,K984*'Inputs'!$E$46)</x:f>
        <x:v>0</x:v>
      </x:c>
      <x:c r="M984" s="80" t="n">
        <x:f>MAX(0,-K984*'Inputs'!$E$46)</x:f>
        <x:v>0</x:v>
      </x:c>
      <x:c r="N984" s="78" t="n">
        <x:f>H984*(L984*(1-'Inputs'!$B$15))/(I984+L984*(1-'Inputs'!$B$15))</x:f>
        <x:v>0</x:v>
      </x:c>
      <x:c r="O984" s="78" t="n">
        <x:f>H984-N984</x:f>
        <x:v>115149999.33453225</x:v>
      </x:c>
      <x:c r="P984" s="78" t="n">
        <x:f>I984+L984*(1-'Inputs'!$B$17)</x:f>
        <x:v>252.5966378077084</x:v>
      </x:c>
      <x:c r="Q984" s="78" t="n">
        <x:f>IF(J984&gt;0,M984/J984,0)</x:f>
        <x:v>0</x:v>
      </x:c>
      <x:c r="R984" s="78" t="n">
        <x:f>IF(B984='Inputs'!$H$46,'Inputs'!$B$27*'Inputs'!$I$46,0)</x:f>
        <x:v>0</x:v>
      </x:c>
      <x:c r="S984" s="78" t="n">
        <x:f>Q984+G984+R984</x:f>
        <x:v>455499.39012947987</x:v>
      </x:c>
      <x:c r="T984" s="78" t="n">
        <x:f>P984*(S984*(1-'Inputs'!$B$15))/(O984+S984*(1-'Inputs'!$B$15))</x:f>
        <x:v>0.9853469586784775</x:v>
      </x:c>
      <x:c r="U984" s="78" t="n">
        <x:f>O984+S984*(1-'Inputs'!$B$17)</x:f>
        <x:v>115603665.729128</x:v>
      </x:c>
      <x:c r="V984" s="78" t="n">
        <x:f>P984-T984</x:f>
        <x:v>251.6112908490299</x:v>
      </x:c>
      <x:c r="W984" s="79" t="n">
        <x:f>IF(U984&gt;0,V984/U984,0)</x:f>
        <x:v>0.0000021764992421484504</x:v>
      </x:c>
      <x:c r="X984" s="80" t="n">
        <x:f>W984*('Inputs'!$B$6-AC984)</x:f>
        <x:v>2050.5274590414588</x:v>
      </x:c>
      <x:c r="Y984" s="80" t="n">
        <x:f>2*V984</x:f>
        <x:v>503.2225816980598</x:v>
      </x:c>
      <x:c r="Z984" s="80" t="n">
        <x:f>K984*'Inputs'!$B$16+(G984+R984)*J984*'Inputs'!$B$16</x:f>
        <x:v>3.0371548398914645</x:v>
      </x:c>
      <x:c r="AA984" s="80" t="n">
        <x:f>K984*(1+'Inputs'!$E$46)/2*'Inputs'!$B$17</x:f>
        <x:v>1.0164854640149232</x:v>
      </x:c>
      <x:c r="AB984" s="78" t="n">
        <x:f>(IF(J984&gt;0,K984*(1-'Inputs'!$E$46)/2/J984,0)+G984+R984)*'Inputs'!$B$17</x:f>
        <x:v>465213.27454592247</x:v>
      </x:c>
      <x:c r="AC984" s="78" t="n">
        <x:f>AC983+AB984</x:f>
        <x:v>57878165.38940909</x:v>
      </x:c>
      <x:c r="AD984" s="80" t="n">
        <x:f>Z984/(1+'Inputs'!$C$46)</x:f>
        <x:v>1.5185774199457323</x:v>
      </x:c>
      <x:c r="AE984" s="80" t="n">
        <x:f>Z984-AD984</x:f>
        <x:v>1.5185774199457323</x:v>
      </x:c>
      <x:c r="AF984" s="80" t="n">
        <x:f>D984*W984</x:f>
        <x:v>0.588164816665248</x:v>
      </x:c>
      <x:c r="AG984" s="80" t="n">
        <x:f>C984*W984</x:f>
        <x:v>1.3723845722188903</x:v>
      </x:c>
      <x:c r="AH984" s="80" t="n">
        <x:f>2*'Inputs'!$B$8*'Inputs'!$C$46</x:f>
        <x:v>5000</x:v>
      </x:c>
      <x:c r="AI984" s="81" t="n">
        <x:f>IF(AH984&gt;0,(AE984+AF984)/AH984*365,0)</x:f>
        <x:v>0.15379218327260155</x:v>
      </x:c>
      <x:c r="AJ984" s="81" t="n">
        <x:f>IF('Inputs'!$B$46&gt;0,AG984/('Inputs'!$B$19*'Inputs'!$B$46)*365,0)</x:f>
        <x:v>0.050092036885989503</x:v>
      </x:c>
      <x:c r="AK984" s="81" t="n">
        <x:f>W984/MAX($W$734:W984)-1</x:f>
        <x:v>-0.9974174916730476</x:v>
      </x:c>
      <x:c r="AL984" s="83" t="n">
        <x:f>'Inputs'!$B$46</x:f>
        <x:v>1</x:v>
      </x:c>
      <x:c r="AM984" s="83" t="n">
        <x:f>'Inputs'!$C$46</x:f>
        <x:v>1</x:v>
      </x:c>
      <x:c r="AN984" s="83" t="n">
        <x:f>'Inputs'!$D$46</x:f>
        <x:v>1</x:v>
      </x:c>
      <x:c r="AO984" s="81" t="n">
        <x:f>'Inputs'!$E$46</x:f>
        <x:v>0</x:v>
      </x:c>
    </x:row>
    <x:row r="985">
      <x:c r="A985" s="59" t="str">
        <x:v>Base</x:v>
      </x:c>
      <x:c r="B985" s="59" t="n">
        <x:v>252</x:v>
      </x:c>
      <x:c r="C985" s="78" t="n">
        <x:f>(('Inputs'!$B$29*(3*252*'Inputs'!$B$12-252^2)/(2*'Inputs'!$B$12^2))-('Inputs'!$B$29*(3*251*'Inputs'!$B$12-251^2)/(2*'Inputs'!$B$12^2)))*'Inputs'!$B$46</x:f>
        <x:v>630221.6644773781</x:v>
      </x:c>
      <x:c r="D985" s="78" t="n">
        <x:f>IF('Inputs'!$C$46&gt;0,('Inputs'!$B$30*(3*252*'Inputs'!$B$12-252^2)/(2*'Inputs'!$B$12^2))-('Inputs'!$B$30*(3*251*'Inputs'!$B$12-251^2)/(2*'Inputs'!$B$12^2)),0)</x:f>
        <x:v>270094.9990617335</x:v>
      </x:c>
      <x:c r="E985" s="78" t="n">
        <x:f>C985+D985</x:f>
        <x:v>900316.6635391116</x:v>
      </x:c>
      <x:c r="F985" s="78" t="n">
        <x:f>'Inputs'!$B$13*E985+(1-'Inputs'!$B$13)/'Inputs'!$B$14*SUM(E930:E985)</x:f>
        <x:v>910534.3404015736</x:v>
      </x:c>
      <x:c r="G985" s="78" t="n">
        <x:f>F985*'Inputs'!$F$46</x:f>
        <x:v>455267.1702007868</x:v>
      </x:c>
      <x:c r="H985" s="78" t="n">
        <x:f>U984</x:f>
        <x:v>115603665.729128</x:v>
      </x:c>
      <x:c r="I985" s="78" t="n">
        <x:f>V984</x:f>
        <x:v>251.6112908490299</x:v>
      </x:c>
      <x:c r="J985" s="79" t="n">
        <x:f>IF(H985&gt;0,I985/H985,0)</x:f>
        <x:v>0.0000021764992421484504</x:v>
      </x:c>
      <x:c r="K985" s="80" t="n">
        <x:f>(H985*J985+I985)*'Inputs'!$D$46*(1+'Inputs'!$G$46)^(B985/30)</x:f>
        <x:v>503.2225816980598</x:v>
      </x:c>
      <x:c r="L985" s="80" t="n">
        <x:f>MAX(0,K985*'Inputs'!$E$46)</x:f>
        <x:v>0</x:v>
      </x:c>
      <x:c r="M985" s="80" t="n">
        <x:f>MAX(0,-K985*'Inputs'!$E$46)</x:f>
        <x:v>0</x:v>
      </x:c>
      <x:c r="N985" s="78" t="n">
        <x:f>H985*(L985*(1-'Inputs'!$B$15))/(I985+L985*(1-'Inputs'!$B$15))</x:f>
        <x:v>0</x:v>
      </x:c>
      <x:c r="O985" s="78" t="n">
        <x:f>H985-N985</x:f>
        <x:v>115603665.729128</x:v>
      </x:c>
      <x:c r="P985" s="78" t="n">
        <x:f>I985+L985*(1-'Inputs'!$B$17)</x:f>
        <x:v>251.6112908490299</x:v>
      </x:c>
      <x:c r="Q985" s="78" t="n">
        <x:f>IF(J985&gt;0,M985/J985,0)</x:f>
        <x:v>0</x:v>
      </x:c>
      <x:c r="R985" s="78" t="n">
        <x:f>IF(B985='Inputs'!$H$46,'Inputs'!$B$27*'Inputs'!$I$46,0)</x:f>
        <x:v>0</x:v>
      </x:c>
      <x:c r="S985" s="78" t="n">
        <x:f>Q985+G985+R985</x:f>
        <x:v>455267.1702007868</x:v>
      </x:c>
      <x:c r="T985" s="78" t="n">
        <x:f>P985*(S985*(1-'Inputs'!$B$15))/(O985+S985*(1-'Inputs'!$B$15))</x:f>
        <x:v>0.9771699831511818</x:v>
      </x:c>
      <x:c r="U985" s="78" t="n">
        <x:f>O985+S985*(1-'Inputs'!$B$17)</x:f>
        <x:v>116057100.8382817</x:v>
      </x:c>
      <x:c r="V985" s="78" t="n">
        <x:f>P985-T985</x:f>
        <x:v>250.6341208658787</x:v>
      </x:c>
      <x:c r="W985" s="79" t="n">
        <x:f>IF(U985&gt;0,V985/U985,0)</x:f>
        <x:v>0.000002159575924743473</x:v>
      </x:c>
      <x:c r="X985" s="80" t="n">
        <x:f>W985*('Inputs'!$B$6-AC985)</x:f>
        <x:v>2033.5750282672232</x:v>
      </x:c>
      <x:c r="Y985" s="80" t="n">
        <x:f>2*V985</x:f>
        <x:v>501.2682417317574</x:v>
      </x:c>
      <x:c r="Z985" s="80" t="n">
        <x:f>K985*'Inputs'!$B$16+(G985+R985)*J985*'Inputs'!$B$16</x:f>
        <x:v>3.025280822093861</x:v>
      </x:c>
      <x:c r="AA985" s="80" t="n">
        <x:f>K985*(1+'Inputs'!$E$46)/2*'Inputs'!$B$17</x:f>
        <x:v>1.0125202851067603</x:v>
      </x:c>
      <x:c r="AB985" s="78" t="n">
        <x:f>(IF(J985&gt;0,K985*(1-'Inputs'!$E$46)/2/J985,0)+G985+R985)*'Inputs'!$B$17</x:f>
        <x:v>467037.9593534358</x:v>
      </x:c>
      <x:c r="AC985" s="78" t="n">
        <x:f>AC984+AB985</x:f>
        <x:v>58345203.34876253</x:v>
      </x:c>
      <x:c r="AD985" s="80" t="n">
        <x:f>Z985/(1+'Inputs'!$C$46)</x:f>
        <x:v>1.5126404110469305</x:v>
      </x:c>
      <x:c r="AE985" s="80" t="n">
        <x:f>Z985-AD985</x:f>
        <x:v>1.5126404110469305</x:v>
      </x:c>
      <x:c r="AF985" s="80" t="n">
        <x:f>D985*W985</x:f>
        <x:v>0.5832906573673305</x:v>
      </x:c>
      <x:c r="AG985" s="80" t="n">
        <x:f>C985*W985</x:f>
        <x:v>1.3610115338571047</x:v>
      </x:c>
      <x:c r="AH985" s="80" t="n">
        <x:f>2*'Inputs'!$B$8*'Inputs'!$C$46</x:f>
        <x:v>5000</x:v>
      </x:c>
      <x:c r="AI985" s="81" t="n">
        <x:f>IF(AH985&gt;0,(AE985+AF985)/AH985*365,0)</x:f>
        <x:v>0.15300296799424107</x:v>
      </x:c>
      <x:c r="AJ985" s="81" t="n">
        <x:f>IF('Inputs'!$B$46&gt;0,AG985/('Inputs'!$B$19*'Inputs'!$B$46)*365,0)</x:f>
        <x:v>0.04967692098578433</x:v>
      </x:c>
      <x:c r="AK985" s="81" t="n">
        <x:f>W985/MAX($W$734:W985)-1</x:f>
        <x:v>-0.9974375719043069</x:v>
      </x:c>
      <x:c r="AL985" s="83" t="n">
        <x:f>'Inputs'!$B$46</x:f>
        <x:v>1</x:v>
      </x:c>
      <x:c r="AM985" s="83" t="n">
        <x:f>'Inputs'!$C$46</x:f>
        <x:v>1</x:v>
      </x:c>
      <x:c r="AN985" s="83" t="n">
        <x:f>'Inputs'!$D$46</x:f>
        <x:v>1</x:v>
      </x:c>
      <x:c r="AO985" s="81" t="n">
        <x:f>'Inputs'!$E$46</x:f>
        <x:v>0</x:v>
      </x:c>
    </x:row>
    <x:row r="986">
      <x:c r="A986" s="59" t="str">
        <x:v>Base</x:v>
      </x:c>
      <x:c r="B986" s="59" t="n">
        <x:v>253</x:v>
      </x:c>
      <x:c r="C986" s="78" t="n">
        <x:f>(('Inputs'!$B$29*(3*253*'Inputs'!$B$12-253^2)/(2*'Inputs'!$B$12^2))-('Inputs'!$B$29*(3*252*'Inputs'!$B$12-252^2)/(2*'Inputs'!$B$12^2)))*'Inputs'!$B$46</x:f>
        <x:v>629896.5565772355</x:v>
      </x:c>
      <x:c r="D986" s="78" t="n">
        <x:f>IF('Inputs'!$C$46&gt;0,('Inputs'!$B$30*(3*253*'Inputs'!$B$12-253^2)/(2*'Inputs'!$B$12^2))-('Inputs'!$B$30*(3*252*'Inputs'!$B$12-252^2)/(2*'Inputs'!$B$12^2)),0)</x:f>
        <x:v>269955.66710452735</x:v>
      </x:c>
      <x:c r="E986" s="78" t="n">
        <x:f>C986+D986</x:f>
        <x:v>899852.2236817628</x:v>
      </x:c>
      <x:c r="F986" s="78" t="n">
        <x:f>'Inputs'!$B$13*E986+(1-'Inputs'!$B$13)/'Inputs'!$B$14*SUM(E931:E986)</x:f>
        <x:v>910069.9005441966</x:v>
      </x:c>
      <x:c r="G986" s="78" t="n">
        <x:f>F986*'Inputs'!$F$46</x:f>
        <x:v>455034.9502720983</x:v>
      </x:c>
      <x:c r="H986" s="78" t="n">
        <x:f>U985</x:f>
        <x:v>116057100.8382817</x:v>
      </x:c>
      <x:c r="I986" s="78" t="n">
        <x:f>V985</x:f>
        <x:v>250.6341208658787</x:v>
      </x:c>
      <x:c r="J986" s="79" t="n">
        <x:f>IF(H986&gt;0,I986/H986,0)</x:f>
        <x:v>0.000002159575924743473</x:v>
      </x:c>
      <x:c r="K986" s="80" t="n">
        <x:f>(H986*J986+I986)*'Inputs'!$D$46*(1+'Inputs'!$G$46)^(B986/30)</x:f>
        <x:v>501.2682417317574</x:v>
      </x:c>
      <x:c r="L986" s="80" t="n">
        <x:f>MAX(0,K986*'Inputs'!$E$46)</x:f>
        <x:v>0</x:v>
      </x:c>
      <x:c r="M986" s="80" t="n">
        <x:f>MAX(0,-K986*'Inputs'!$E$46)</x:f>
        <x:v>0</x:v>
      </x:c>
      <x:c r="N986" s="78" t="n">
        <x:f>H986*(L986*(1-'Inputs'!$B$15))/(I986+L986*(1-'Inputs'!$B$15))</x:f>
        <x:v>0</x:v>
      </x:c>
      <x:c r="O986" s="78" t="n">
        <x:f>H986-N986</x:f>
        <x:v>116057100.8382817</x:v>
      </x:c>
      <x:c r="P986" s="78" t="n">
        <x:f>I986+L986*(1-'Inputs'!$B$17)</x:f>
        <x:v>250.6341208658787</x:v>
      </x:c>
      <x:c r="Q986" s="78" t="n">
        <x:f>IF(J986&gt;0,M986/J986,0)</x:f>
        <x:v>0</x:v>
      </x:c>
      <x:c r="R986" s="78" t="n">
        <x:f>IF(B986='Inputs'!$H$46,'Inputs'!$B$27*'Inputs'!$I$46,0)</x:f>
        <x:v>0</x:v>
      </x:c>
      <x:c r="S986" s="78" t="n">
        <x:f>Q986+G986+R986</x:f>
        <x:v>455034.9502720983</x:v>
      </x:c>
      <x:c r="T986" s="78" t="n">
        <x:f>P986*(S986*(1-'Inputs'!$B$15))/(O986+S986*(1-'Inputs'!$B$15))</x:f>
        <x:v>0.9690940847496532</x:v>
      </x:c>
      <x:c r="U986" s="78" t="n">
        <x:f>O986+S986*(1-'Inputs'!$B$17)</x:f>
        <x:v>116510304.66199335</x:v>
      </x:c>
      <x:c r="V986" s="78" t="n">
        <x:f>P986-T986</x:f>
        <x:v>249.66502678112906</x:v>
      </x:c>
      <x:c r="W986" s="79" t="n">
        <x:f>IF(U986&gt;0,V986/U986,0)</x:f>
        <x:v>0.0000021428579000409384</x:v>
      </x:c>
      <x:c r="X986" s="80" t="n">
        <x:f>W986*('Inputs'!$B$6-AC986)</x:f>
        <x:v>2016.8277160888872</x:v>
      </x:c>
      <x:c r="Y986" s="80" t="n">
        <x:f>2*V986</x:f>
        <x:v>499.3300535622581</x:v>
      </x:c>
      <x:c r="Z986" s="80" t="n">
        <x:f>K986*'Inputs'!$B$16+(G986+R986)*J986*'Inputs'!$B$16</x:f>
        <x:v>3.0135055455316917</x:v>
      </x:c>
      <x:c r="AA986" s="80" t="n">
        <x:f>K986*(1+'Inputs'!$E$46)/2*'Inputs'!$B$17</x:f>
        <x:v>1.0085880115327113</x:v>
      </x:c>
      <x:c r="AB986" s="78" t="n">
        <x:f>(IF(J986&gt;0,K986*(1-'Inputs'!$E$46)/2/J986,0)+G986+R986)*'Inputs'!$B$17</x:f>
        <x:v>468861.7134348242</x:v>
      </x:c>
      <x:c r="AC986" s="78" t="n">
        <x:f>AC985+AB986</x:f>
        <x:v>58814065.06219735</x:v>
      </x:c>
      <x:c r="AD986" s="80" t="n">
        <x:f>Z986/(1+'Inputs'!$C$46)</x:f>
        <x:v>1.5067527727658458</x:v>
      </x:c>
      <x:c r="AE986" s="80" t="n">
        <x:f>Z986-AD986</x:f>
        <x:v>1.5067527727658458</x:v>
      </x:c>
      <x:c r="AF986" s="80" t="n">
        <x:f>D986*W986</x:f>
        <x:v>0.5784766339157581</x:v>
      </x:c>
      <x:c r="AG986" s="80" t="n">
        <x:f>C986*W986</x:f>
        <x:v>1.3497788124701129</x:v>
      </x:c>
      <x:c r="AH986" s="80" t="n">
        <x:f>2*'Inputs'!$B$8*'Inputs'!$C$46</x:f>
        <x:v>5000</x:v>
      </x:c>
      <x:c r="AI986" s="81" t="n">
        <x:f>IF(AH986&gt;0,(AE986+AF986)/AH986*365,0)</x:f>
        <x:v>0.1522217466877571</x:v>
      </x:c>
      <x:c r="AJ986" s="81" t="n">
        <x:f>IF('Inputs'!$B$46&gt;0,AG986/('Inputs'!$B$19*'Inputs'!$B$46)*365,0)</x:f>
        <x:v>0.04926692665515912</x:v>
      </x:c>
      <x:c r="AK986" s="81" t="n">
        <x:f>W986/MAX($W$734:W986)-1</x:f>
        <x:v>-0.9974574085470994</x:v>
      </x:c>
      <x:c r="AL986" s="83" t="n">
        <x:f>'Inputs'!$B$46</x:f>
        <x:v>1</x:v>
      </x:c>
      <x:c r="AM986" s="83" t="n">
        <x:f>'Inputs'!$C$46</x:f>
        <x:v>1</x:v>
      </x:c>
      <x:c r="AN986" s="83" t="n">
        <x:f>'Inputs'!$D$46</x:f>
        <x:v>1</x:v>
      </x:c>
      <x:c r="AO986" s="81" t="n">
        <x:f>'Inputs'!$E$46</x:f>
        <x:v>0</x:v>
      </x:c>
    </x:row>
    <x:row r="987">
      <x:c r="A987" s="59" t="str">
        <x:v>Base</x:v>
      </x:c>
      <x:c r="B987" s="59" t="n">
        <x:v>254</x:v>
      </x:c>
      <x:c r="C987" s="78" t="n">
        <x:f>(('Inputs'!$B$29*(3*254*'Inputs'!$B$12-254^2)/(2*'Inputs'!$B$12^2))-('Inputs'!$B$29*(3*253*'Inputs'!$B$12-253^2)/(2*'Inputs'!$B$12^2)))*'Inputs'!$B$46</x:f>
        <x:v>629571.4486770332</x:v>
      </x:c>
      <x:c r="D987" s="78" t="n">
        <x:f>IF('Inputs'!$C$46&gt;0,('Inputs'!$B$30*(3*254*'Inputs'!$B$12-254^2)/(2*'Inputs'!$B$12^2))-('Inputs'!$B$30*(3*253*'Inputs'!$B$12-253^2)/(2*'Inputs'!$B$12^2)),0)</x:f>
        <x:v>269816.3351473063</x:v>
      </x:c>
      <x:c r="E987" s="78" t="n">
        <x:f>C987+D987</x:f>
        <x:v>899387.7838243395</x:v>
      </x:c>
      <x:c r="F987" s="78" t="n">
        <x:f>'Inputs'!$B$13*E987+(1-'Inputs'!$B$13)/'Inputs'!$B$14*SUM(E932:E987)</x:f>
        <x:v>909605.4606868045</x:v>
      </x:c>
      <x:c r="G987" s="78" t="n">
        <x:f>F987*'Inputs'!$F$46</x:f>
        <x:v>454802.73034340225</x:v>
      </x:c>
      <x:c r="H987" s="78" t="n">
        <x:f>U986</x:f>
        <x:v>116510304.66199335</x:v>
      </x:c>
      <x:c r="I987" s="78" t="n">
        <x:f>V986</x:f>
        <x:v>249.66502678112906</x:v>
      </x:c>
      <x:c r="J987" s="79" t="n">
        <x:f>IF(H987&gt;0,I987/H987,0)</x:f>
        <x:v>0.0000021428579000409384</x:v>
      </x:c>
      <x:c r="K987" s="80" t="n">
        <x:f>(H987*J987+I987)*'Inputs'!$D$46*(1+'Inputs'!$G$46)^(B987/30)</x:f>
        <x:v>499.33005356225806</x:v>
      </x:c>
      <x:c r="L987" s="80" t="n">
        <x:f>MAX(0,K987*'Inputs'!$E$46)</x:f>
        <x:v>0</x:v>
      </x:c>
      <x:c r="M987" s="80" t="n">
        <x:f>MAX(0,-K987*'Inputs'!$E$46)</x:f>
        <x:v>0</x:v>
      </x:c>
      <x:c r="N987" s="78" t="n">
        <x:f>H987*(L987*(1-'Inputs'!$B$15))/(I987+L987*(1-'Inputs'!$B$15))</x:f>
        <x:v>0</x:v>
      </x:c>
      <x:c r="O987" s="78" t="n">
        <x:f>H987-N987</x:f>
        <x:v>116510304.66199335</x:v>
      </x:c>
      <x:c r="P987" s="78" t="n">
        <x:f>I987+L987*(1-'Inputs'!$B$17)</x:f>
        <x:v>249.66502678112906</x:v>
      </x:c>
      <x:c r="Q987" s="78" t="n">
        <x:f>IF(J987&gt;0,M987/J987,0)</x:f>
        <x:v>0</x:v>
      </x:c>
      <x:c r="R987" s="78" t="n">
        <x:f>IF(B987='Inputs'!$H$46,'Inputs'!$B$27*'Inputs'!$I$46,0)</x:f>
        <x:v>0</x:v>
      </x:c>
      <x:c r="S987" s="78" t="n">
        <x:f>Q987+G987+R987</x:f>
        <x:v>454802.73034340225</x:v>
      </x:c>
      <x:c r="T987" s="78" t="n">
        <x:f>P987*(S987*(1-'Inputs'!$B$15))/(O987+S987*(1-'Inputs'!$B$15))</x:f>
        <x:v>0.9611176032594289</x:v>
      </x:c>
      <x:c r="U987" s="78" t="n">
        <x:f>O987+S987*(1-'Inputs'!$B$17)</x:f>
        <x:v>116963277.20026293</x:v>
      </x:c>
      <x:c r="V987" s="78" t="n">
        <x:f>P987-T987</x:f>
        <x:v>248.70390917786963</x:v>
      </x:c>
      <x:c r="W987" s="79" t="n">
        <x:f>IF(U987&gt;0,V987/U987,0)</x:f>
        <x:v>0.0000021263418325056177</x:v>
      </x:c>
      <x:c r="X987" s="80" t="n">
        <x:f>W987*('Inputs'!$B$6-AC987)</x:f>
        <x:v>2000.28218940367</x:v>
      </x:c>
      <x:c r="Y987" s="80" t="n">
        <x:f>2*V987</x:f>
        <x:v>497.40781835573927</x:v>
      </x:c>
      <x:c r="Z987" s="80" t="n">
        <x:f>K987*'Inputs'!$B$16+(G987+R987)*J987*'Inputs'!$B$16</x:f>
        <x:v>3.001827787115608</x:v>
      </x:c>
      <x:c r="AA987" s="80" t="n">
        <x:f>K987*(1+'Inputs'!$E$46)/2*'Inputs'!$B$17</x:f>
        <x:v>1.0046882365437788</x:v>
      </x:c>
      <x:c r="AB987" s="78" t="n">
        <x:f>(IF(J987&gt;0,K987*(1-'Inputs'!$E$46)/2/J987,0)+G987+R987)*'Inputs'!$B$17</x:f>
        <x:v>470684.5367900876</x:v>
      </x:c>
      <x:c r="AC987" s="78" t="n">
        <x:f>AC986+AB987</x:f>
        <x:v>59284749.59898744</x:v>
      </x:c>
      <x:c r="AD987" s="80" t="n">
        <x:f>Z987/(1+'Inputs'!$C$46)</x:f>
        <x:v>1.500913893557804</x:v>
      </x:c>
      <x:c r="AE987" s="80" t="n">
        <x:f>Z987-AD987</x:f>
        <x:v>1.500913893557804</x:v>
      </x:c>
      <x:c r="AF987" s="80" t="n">
        <x:f>D987*W987</x:f>
        <x:v>0.5737217605170732</x:v>
      </x:c>
      <x:c r="AG987" s="80" t="n">
        <x:f>C987*W987</x:f>
        <x:v>1.338684107873139</x:v>
      </x:c>
      <x:c r="AH987" s="80" t="n">
        <x:f>2*'Inputs'!$B$8*'Inputs'!$C$46</x:f>
        <x:v>5000</x:v>
      </x:c>
      <x:c r="AI987" s="81" t="n">
        <x:f>IF(AH987&gt;0,(AE987+AF987)/AH987*365,0)</x:f>
        <x:v>0.15144840274746604</x:v>
      </x:c>
      <x:c r="AJ987" s="81" t="n">
        <x:f>IF('Inputs'!$B$46&gt;0,AG987/('Inputs'!$B$19*'Inputs'!$B$46)*365,0)</x:f>
        <x:v>0.048861969937369576</x:v>
      </x:c>
      <x:c r="AK987" s="81" t="n">
        <x:f>W987/MAX($W$734:W987)-1</x:f>
        <x:v>-0.9974770055591784</x:v>
      </x:c>
      <x:c r="AL987" s="83" t="n">
        <x:f>'Inputs'!$B$46</x:f>
        <x:v>1</x:v>
      </x:c>
      <x:c r="AM987" s="83" t="n">
        <x:f>'Inputs'!$C$46</x:f>
        <x:v>1</x:v>
      </x:c>
      <x:c r="AN987" s="83" t="n">
        <x:f>'Inputs'!$D$46</x:f>
        <x:v>1</x:v>
      </x:c>
      <x:c r="AO987" s="81" t="n">
        <x:f>'Inputs'!$E$46</x:f>
        <x:v>0</x:v>
      </x:c>
    </x:row>
    <x:row r="988">
      <x:c r="A988" s="59" t="str">
        <x:v>Base</x:v>
      </x:c>
      <x:c r="B988" s="59" t="n">
        <x:v>255</x:v>
      </x:c>
      <x:c r="C988" s="78" t="n">
        <x:f>(('Inputs'!$B$29*(3*255*'Inputs'!$B$12-255^2)/(2*'Inputs'!$B$12^2))-('Inputs'!$B$29*(3*254*'Inputs'!$B$12-254^2)/(2*'Inputs'!$B$12^2)))*'Inputs'!$B$46</x:f>
        <x:v>629246.3407768905</x:v>
      </x:c>
      <x:c r="D988" s="78" t="n">
        <x:f>IF('Inputs'!$C$46&gt;0,('Inputs'!$B$30*(3*255*'Inputs'!$B$12-255^2)/(2*'Inputs'!$B$12^2))-('Inputs'!$B$30*(3*254*'Inputs'!$B$12-254^2)/(2*'Inputs'!$B$12^2)),0)</x:f>
        <x:v>269677.0031900853</x:v>
      </x:c>
      <x:c r="E988" s="78" t="n">
        <x:f>C988+D988</x:f>
        <x:v>898923.3439669758</x:v>
      </x:c>
      <x:c r="F988" s="78" t="n">
        <x:f>'Inputs'!$B$13*E988+(1-'Inputs'!$B$13)/'Inputs'!$B$14*SUM(E933:E988)</x:f>
        <x:v>909141.0208294244</x:v>
      </x:c>
      <x:c r="G988" s="78" t="n">
        <x:f>F988*'Inputs'!$F$46</x:f>
        <x:v>454570.5104147122</x:v>
      </x:c>
      <x:c r="H988" s="78" t="n">
        <x:f>U987</x:f>
        <x:v>116963277.20026293</x:v>
      </x:c>
      <x:c r="I988" s="78" t="n">
        <x:f>V987</x:f>
        <x:v>248.70390917786963</x:v>
      </x:c>
      <x:c r="J988" s="79" t="n">
        <x:f>IF(H988&gt;0,I988/H988,0)</x:f>
        <x:v>0.0000021263418325056177</x:v>
      </x:c>
      <x:c r="K988" s="80" t="n">
        <x:f>(H988*J988+I988)*'Inputs'!$D$46*(1+'Inputs'!$G$46)^(B988/30)</x:f>
        <x:v>497.4078183557392</x:v>
      </x:c>
      <x:c r="L988" s="80" t="n">
        <x:f>MAX(0,K988*'Inputs'!$E$46)</x:f>
        <x:v>0</x:v>
      </x:c>
      <x:c r="M988" s="80" t="n">
        <x:f>MAX(0,-K988*'Inputs'!$E$46)</x:f>
        <x:v>0</x:v>
      </x:c>
      <x:c r="N988" s="78" t="n">
        <x:f>H988*(L988*(1-'Inputs'!$B$15))/(I988+L988*(1-'Inputs'!$B$15))</x:f>
        <x:v>0</x:v>
      </x:c>
      <x:c r="O988" s="78" t="n">
        <x:f>H988-N988</x:f>
        <x:v>116963277.20026293</x:v>
      </x:c>
      <x:c r="P988" s="78" t="n">
        <x:f>I988+L988*(1-'Inputs'!$B$17)</x:f>
        <x:v>248.70390917786963</x:v>
      </x:c>
      <x:c r="Q988" s="78" t="n">
        <x:f>IF(J988&gt;0,M988/J988,0)</x:f>
        <x:v>0</x:v>
      </x:c>
      <x:c r="R988" s="78" t="n">
        <x:f>IF(B988='Inputs'!$H$46,'Inputs'!$B$27*'Inputs'!$I$46,0)</x:f>
        <x:v>0</x:v>
      </x:c>
      <x:c r="S988" s="78" t="n">
        <x:f>Q988+G988+R988</x:f>
        <x:v>454570.5104147122</x:v>
      </x:c>
      <x:c r="T988" s="78" t="n">
        <x:f>P988*(S988*(1-'Inputs'!$B$15))/(O988+S988*(1-'Inputs'!$B$15))</x:f>
        <x:v>0.9532389124226688</x:v>
      </x:c>
      <x:c r="U988" s="78" t="n">
        <x:f>O988+S988*(1-'Inputs'!$B$17)</x:f>
        <x:v>117416018.45309046</x:v>
      </x:c>
      <x:c r="V988" s="78" t="n">
        <x:f>P988-T988</x:f>
        <x:v>247.75067026544696</x:v>
      </x:c>
      <x:c r="W988" s="79" t="n">
        <x:f>IF(U988&gt;0,V988/U988,0)</x:f>
        <x:v>0.0000021100244543245793</x:v>
      </x:c>
      <x:c r="X988" s="80" t="n">
        <x:f>W988*('Inputs'!$B$6-AC988)</x:f>
        <x:v>1983.9351827813064</x:v>
      </x:c>
      <x:c r="Y988" s="80" t="n">
        <x:f>2*V988</x:f>
        <x:v>495.5013405308939</x:v>
      </x:c>
      <x:c r="Z988" s="80" t="n">
        <x:f>K988*'Inputs'!$B$16+(G988+R988)*J988*'Inputs'!$B$16</x:f>
        <x:v>2.990246343887145</x:v>
      </x:c>
      <x:c r="AA988" s="80" t="n">
        <x:f>K988*(1+'Inputs'!$E$46)/2*'Inputs'!$B$17</x:f>
        <x:v>1.00082056007191</x:v>
      </x:c>
      <x:c r="AB988" s="78" t="n">
        <x:f>(IF(J988&gt;0,K988*(1-'Inputs'!$E$46)/2/J988,0)+G988+R988)*'Inputs'!$B$17</x:f>
        <x:v>472506.429419226</x:v>
      </x:c>
      <x:c r="AC988" s="78" t="n">
        <x:f>AC987+AB988</x:f>
        <x:v>59757256.028406665</x:v>
      </x:c>
      <x:c r="AD988" s="80" t="n">
        <x:f>Z988/(1+'Inputs'!$C$46)</x:f>
        <x:v>1.4951231719435725</x:v>
      </x:c>
      <x:c r="AE988" s="80" t="n">
        <x:f>Z988-AD988</x:f>
        <x:v>1.4951231719435725</x:v>
      </x:c>
      <x:c r="AF988" s="80" t="n">
        <x:f>D988*W988</x:f>
        <x:v>0.5690250715000476</x:v>
      </x:c>
      <x:c r="AG988" s="80" t="n">
        <x:f>C988*W988</x:f>
        <x:v>1.3277251668334966</x:v>
      </x:c>
      <x:c r="AH988" s="80" t="n">
        <x:f>2*'Inputs'!$B$8*'Inputs'!$C$46</x:f>
        <x:v>5000</x:v>
      </x:c>
      <x:c r="AI988" s="81" t="n">
        <x:f>IF(AH988&gt;0,(AE988+AF988)/AH988*365,0)</x:f>
        <x:v>0.15068282177138428</x:v>
      </x:c>
      <x:c r="AJ988" s="81" t="n">
        <x:f>IF('Inputs'!$B$46&gt;0,AG988/('Inputs'!$B$19*'Inputs'!$B$46)*365,0)</x:f>
        <x:v>0.04846196858942263</x:v>
      </x:c>
      <x:c r="AK988" s="81" t="n">
        <x:f>W988/MAX($W$734:W988)-1</x:f>
        <x:v>-0.9974963668179423</x:v>
      </x:c>
      <x:c r="AL988" s="83" t="n">
        <x:f>'Inputs'!$B$46</x:f>
        <x:v>1</x:v>
      </x:c>
      <x:c r="AM988" s="83" t="n">
        <x:f>'Inputs'!$C$46</x:f>
        <x:v>1</x:v>
      </x:c>
      <x:c r="AN988" s="83" t="n">
        <x:f>'Inputs'!$D$46</x:f>
        <x:v>1</x:v>
      </x:c>
      <x:c r="AO988" s="81" t="n">
        <x:f>'Inputs'!$E$46</x:f>
        <x:v>0</x:v>
      </x:c>
    </x:row>
    <x:row r="989">
      <x:c r="A989" s="59" t="str">
        <x:v>Base</x:v>
      </x:c>
      <x:c r="B989" s="59" t="n">
        <x:v>256</x:v>
      </x:c>
      <x:c r="C989" s="78" t="n">
        <x:f>(('Inputs'!$B$29*(3*256*'Inputs'!$B$12-256^2)/(2*'Inputs'!$B$12^2))-('Inputs'!$B$29*(3*255*'Inputs'!$B$12-255^2)/(2*'Inputs'!$B$12^2)))*'Inputs'!$B$46</x:f>
        <x:v>628921.232876718</x:v>
      </x:c>
      <x:c r="D989" s="78" t="n">
        <x:f>IF('Inputs'!$C$46&gt;0,('Inputs'!$B$30*(3*256*'Inputs'!$B$12-256^2)/(2*'Inputs'!$B$12^2))-('Inputs'!$B$30*(3*255*'Inputs'!$B$12-255^2)/(2*'Inputs'!$B$12^2)),0)</x:f>
        <x:v>269537.67123287916</x:v>
      </x:c>
      <x:c r="E989" s="78" t="n">
        <x:f>C989+D989</x:f>
        <x:v>898458.9041095972</x:v>
      </x:c>
      <x:c r="F989" s="78" t="n">
        <x:f>'Inputs'!$B$13*E989+(1-'Inputs'!$B$13)/'Inputs'!$B$14*SUM(E934:E989)</x:f>
        <x:v>908676.5809720415</x:v>
      </x:c>
      <x:c r="G989" s="78" t="n">
        <x:f>F989*'Inputs'!$F$46</x:f>
        <x:v>454338.29048602073</x:v>
      </x:c>
      <x:c r="H989" s="78" t="n">
        <x:f>U988</x:f>
        <x:v>117416018.45309046</x:v>
      </x:c>
      <x:c r="I989" s="78" t="n">
        <x:f>V988</x:f>
        <x:v>247.75067026544696</x:v>
      </x:c>
      <x:c r="J989" s="79" t="n">
        <x:f>IF(H989&gt;0,I989/H989,0)</x:f>
        <x:v>0.0000021100244543245793</x:v>
      </x:c>
      <x:c r="K989" s="80" t="n">
        <x:f>(H989*J989+I989)*'Inputs'!$D$46*(1+'Inputs'!$G$46)^(B989/30)</x:f>
        <x:v>495.5013405308939</x:v>
      </x:c>
      <x:c r="L989" s="80" t="n">
        <x:f>MAX(0,K989*'Inputs'!$E$46)</x:f>
        <x:v>0</x:v>
      </x:c>
      <x:c r="M989" s="80" t="n">
        <x:f>MAX(0,-K989*'Inputs'!$E$46)</x:f>
        <x:v>0</x:v>
      </x:c>
      <x:c r="N989" s="78" t="n">
        <x:f>H989*(L989*(1-'Inputs'!$B$15))/(I989+L989*(1-'Inputs'!$B$15))</x:f>
        <x:v>0</x:v>
      </x:c>
      <x:c r="O989" s="78" t="n">
        <x:f>H989-N989</x:f>
        <x:v>117416018.45309046</x:v>
      </x:c>
      <x:c r="P989" s="78" t="n">
        <x:f>I989+L989*(1-'Inputs'!$B$17)</x:f>
        <x:v>247.75067026544696</x:v>
      </x:c>
      <x:c r="Q989" s="78" t="n">
        <x:f>IF(J989&gt;0,M989/J989,0)</x:f>
        <x:v>0</x:v>
      </x:c>
      <x:c r="R989" s="78" t="n">
        <x:f>IF(B989='Inputs'!$H$46,'Inputs'!$B$27*'Inputs'!$I$46,0)</x:f>
        <x:v>0</x:v>
      </x:c>
      <x:c r="S989" s="78" t="n">
        <x:f>Q989+G989+R989</x:f>
        <x:v>454338.29048602073</x:v>
      </x:c>
      <x:c r="T989" s="78" t="n">
        <x:f>P989*(S989*(1-'Inputs'!$B$15))/(O989+S989*(1-'Inputs'!$B$15))</x:f>
        <x:v>0.9454564191078714</x:v>
      </x:c>
      <x:c r="U989" s="78" t="n">
        <x:f>O989+S989*(1-'Inputs'!$B$17)</x:f>
        <x:v>117868528.42047593</x:v>
      </x:c>
      <x:c r="V989" s="78" t="n">
        <x:f>P989-T989</x:f>
        <x:v>246.8052138463391</x:v>
      </x:c>
      <x:c r="W989" s="79" t="n">
        <x:f>IF(U989&gt;0,V989/U989,0)</x:f>
        <x:v>0.0000020939025637607305</x:v>
      </x:c>
      <x:c r="X989" s="80" t="n">
        <x:f>W989*('Inputs'!$B$6-AC989)</x:f>
        <x:v>1967.783496818792</x:v>
      </x:c>
      <x:c r="Y989" s="80" t="n">
        <x:f>2*V989</x:f>
        <x:v>493.6104276926782</x:v>
      </x:c>
      <x:c r="Z989" s="80" t="n">
        <x:f>K989*'Inputs'!$B$16+(G989+R989)*J989*'Inputs'!$B$16</x:f>
        <x:v>2.9787600326061328</x:v>
      </x:c>
      <x:c r="AA989" s="80" t="n">
        <x:f>K989*(1+'Inputs'!$E$46)/2*'Inputs'!$B$17</x:f>
        <x:v>0.996984588593348</x:v>
      </x:c>
      <x:c r="AB989" s="78" t="n">
        <x:f>(IF(J989&gt;0,K989*(1-'Inputs'!$E$46)/2/J989,0)+G989+R989)*'Inputs'!$B$17</x:f>
        <x:v>474327.3913222395</x:v>
      </x:c>
      <x:c r="AC989" s="78" t="n">
        <x:f>AC988+AB989</x:f>
        <x:v>60231583.419728905</x:v>
      </x:c>
      <x:c r="AD989" s="80" t="n">
        <x:f>Z989/(1+'Inputs'!$C$46)</x:f>
        <x:v>1.4893800163030664</x:v>
      </x:c>
      <x:c r="AE989" s="80" t="n">
        <x:f>Z989-AD989</x:f>
        <x:v>1.4893800163030664</x:v>
      </x:c>
      <x:c r="AF989" s="80" t="n">
        <x:f>D989*W989</x:f>
        <x:v>0.5643856208246226</x:v>
      </x:c>
      <x:c r="AG989" s="80" t="n">
        <x:f>C989*W989</x:f>
        <x:v>1.3168997819241193</x:v>
      </x:c>
      <x:c r="AH989" s="80" t="n">
        <x:f>2*'Inputs'!$B$8*'Inputs'!$C$46</x:f>
        <x:v>5000</x:v>
      </x:c>
      <x:c r="AI989" s="81" t="n">
        <x:f>IF(AH989&gt;0,(AE989+AF989)/AH989*365,0)</x:f>
        <x:v>0.1499248915103213</x:v>
      </x:c>
      <x:c r="AJ989" s="81" t="n">
        <x:f>IF('Inputs'!$B$46&gt;0,AG989/('Inputs'!$B$19*'Inputs'!$B$46)*365,0)</x:f>
        <x:v>0.04806684204023036</x:v>
      </x:c>
      <x:c r="AK989" s="81" t="n">
        <x:f>W989/MAX($W$734:W989)-1</x:f>
        <x:v>-0.9975154961223873</x:v>
      </x:c>
      <x:c r="AL989" s="83" t="n">
        <x:f>'Inputs'!$B$46</x:f>
        <x:v>1</x:v>
      </x:c>
      <x:c r="AM989" s="83" t="n">
        <x:f>'Inputs'!$C$46</x:f>
        <x:v>1</x:v>
      </x:c>
      <x:c r="AN989" s="83" t="n">
        <x:f>'Inputs'!$D$46</x:f>
        <x:v>1</x:v>
      </x:c>
      <x:c r="AO989" s="81" t="n">
        <x:f>'Inputs'!$E$46</x:f>
        <x:v>0</x:v>
      </x:c>
    </x:row>
    <x:row r="990">
      <x:c r="A990" s="59" t="str">
        <x:v>Base</x:v>
      </x:c>
      <x:c r="B990" s="59" t="n">
        <x:v>257</x:v>
      </x:c>
      <x:c r="C990" s="78" t="n">
        <x:f>(('Inputs'!$B$29*(3*257*'Inputs'!$B$12-257^2)/(2*'Inputs'!$B$12^2))-('Inputs'!$B$29*(3*256*'Inputs'!$B$12-256^2)/(2*'Inputs'!$B$12^2)))*'Inputs'!$B$46</x:f>
        <x:v>628596.1249765456</x:v>
      </x:c>
      <x:c r="D990" s="78" t="n">
        <x:f>IF('Inputs'!$C$46&gt;0,('Inputs'!$B$30*(3*257*'Inputs'!$B$12-257^2)/(2*'Inputs'!$B$12^2))-('Inputs'!$B$30*(3*256*'Inputs'!$B$12-256^2)/(2*'Inputs'!$B$12^2)),0)</x:f>
        <x:v>269398.33927565813</x:v>
      </x:c>
      <x:c r="E990" s="78" t="n">
        <x:f>C990+D990</x:f>
        <x:v>897994.4642522037</x:v>
      </x:c>
      <x:c r="F990" s="78" t="n">
        <x:f>'Inputs'!$B$13*E990+(1-'Inputs'!$B$13)/'Inputs'!$B$14*SUM(E935:E990)</x:f>
        <x:v>908212.1411146556</x:v>
      </x:c>
      <x:c r="G990" s="78" t="n">
        <x:f>F990*'Inputs'!$F$46</x:f>
        <x:v>454106.0705573278</x:v>
      </x:c>
      <x:c r="H990" s="78" t="n">
        <x:f>U989</x:f>
        <x:v>117868528.42047593</x:v>
      </x:c>
      <x:c r="I990" s="78" t="n">
        <x:f>V989</x:f>
        <x:v>246.8052138463391</x:v>
      </x:c>
      <x:c r="J990" s="79" t="n">
        <x:f>IF(H990&gt;0,I990/H990,0)</x:f>
        <x:v>0.0000020939025637607305</x:v>
      </x:c>
      <x:c r="K990" s="80" t="n">
        <x:f>(H990*J990+I990)*'Inputs'!$D$46*(1+'Inputs'!$G$46)^(B990/30)</x:f>
        <x:v>493.6104276926782</x:v>
      </x:c>
      <x:c r="L990" s="80" t="n">
        <x:f>MAX(0,K990*'Inputs'!$E$46)</x:f>
        <x:v>0</x:v>
      </x:c>
      <x:c r="M990" s="80" t="n">
        <x:f>MAX(0,-K990*'Inputs'!$E$46)</x:f>
        <x:v>0</x:v>
      </x:c>
      <x:c r="N990" s="78" t="n">
        <x:f>H990*(L990*(1-'Inputs'!$B$15))/(I990+L990*(1-'Inputs'!$B$15))</x:f>
        <x:v>0</x:v>
      </x:c>
      <x:c r="O990" s="78" t="n">
        <x:f>H990-N990</x:f>
        <x:v>117868528.42047593</x:v>
      </x:c>
      <x:c r="P990" s="78" t="n">
        <x:f>I990+L990*(1-'Inputs'!$B$17)</x:f>
        <x:v>246.8052138463391</x:v>
      </x:c>
      <x:c r="Q990" s="78" t="n">
        <x:f>IF(J990&gt;0,M990/J990,0)</x:f>
        <x:v>0</x:v>
      </x:c>
      <x:c r="R990" s="78" t="n">
        <x:f>IF(B990='Inputs'!$H$46,'Inputs'!$B$27*'Inputs'!$I$46,0)</x:f>
        <x:v>0</x:v>
      </x:c>
      <x:c r="S990" s="78" t="n">
        <x:f>Q990+G990+R990</x:f>
        <x:v>454106.0705573278</x:v>
      </x:c>
      <x:c r="T990" s="78" t="n">
        <x:f>P990*(S990*(1-'Inputs'!$B$15))/(O990+S990*(1-'Inputs'!$B$15))</x:f>
        <x:v>0.9377685625033362</x:v>
      </x:c>
      <x:c r="U990" s="78" t="n">
        <x:f>O990+S990*(1-'Inputs'!$B$17)</x:f>
        <x:v>118320807.10241935</x:v>
      </x:c>
      <x:c r="V990" s="78" t="n">
        <x:f>P990-T990</x:f>
        <x:v>245.86744528383576</x:v>
      </x:c>
      <x:c r="W990" s="79" t="n">
        <x:f>IF(U990&gt;0,V990/U990,0)</x:f>
        <x:v>0.0000020779730235529168</x:v>
      </x:c>
      <x:c r="X990" s="80" t="n">
        <x:f>W990*('Inputs'!$B$6-AC990)</x:f>
        <x:v>1951.8239965416556</x:v>
      </x:c>
      <x:c r="Y990" s="80" t="n">
        <x:f>2*V990</x:f>
        <x:v>491.7348905676715</x:v>
      </x:c>
      <x:c r="Z990" s="80" t="n">
        <x:f>K990*'Inputs'!$B$16+(G990+R990)*J990*'Inputs'!$B$16</x:f>
        <x:v>2.967367689348225</x:v>
      </x:c>
      <x:c r="AA990" s="80" t="n">
        <x:f>K990*(1+'Inputs'!$E$46)/2*'Inputs'!$B$17</x:f>
        <x:v>0.9931799349953284</x:v>
      </x:c>
      <x:c r="AB990" s="78" t="n">
        <x:f>(IF(J990&gt;0,K990*(1-'Inputs'!$E$46)/2/J990,0)+G990+R990)*'Inputs'!$B$17</x:f>
        <x:v>476147.4224991278</x:v>
      </x:c>
      <x:c r="AC990" s="78" t="n">
        <x:f>AC989+AB990</x:f>
        <x:v>60707730.84222803</x:v>
      </x:c>
      <x:c r="AD990" s="80" t="n">
        <x:f>Z990/(1+'Inputs'!$C$46)</x:f>
        <x:v>1.4836838446741125</x:v>
      </x:c>
      <x:c r="AE990" s="80" t="n">
        <x:f>Z990-AD990</x:f>
        <x:v>1.4836838446741125</x:v>
      </x:c>
      <x:c r="AF990" s="80" t="n">
        <x:f>D990*W990</x:f>
        <x:v>0.5598024816047739</x:v>
      </x:c>
      <x:c r="AG990" s="80" t="n">
        <x:f>C990*W990</x:f>
        <x:v>1.3062057904111595</x:v>
      </x:c>
      <x:c r="AH990" s="80" t="n">
        <x:f>2*'Inputs'!$B$8*'Inputs'!$C$46</x:f>
        <x:v>5000</x:v>
      </x:c>
      <x:c r="AI990" s="81" t="n">
        <x:f>IF(AH990&gt;0,(AE990+AF990)/AH990*365,0)</x:f>
        <x:v>0.1491745018183587</x:v>
      </x:c>
      <x:c r="AJ990" s="81" t="n">
        <x:f>IF('Inputs'!$B$46&gt;0,AG990/('Inputs'!$B$19*'Inputs'!$B$46)*365,0)</x:f>
        <x:v>0.04767651135000732</x:v>
      </x:c>
      <x:c r="AK990" s="81" t="n">
        <x:f>W990/MAX($W$734:W990)-1</x:f>
        <x:v>-0.9975343971950064</x:v>
      </x:c>
      <x:c r="AL990" s="83" t="n">
        <x:f>'Inputs'!$B$46</x:f>
        <x:v>1</x:v>
      </x:c>
      <x:c r="AM990" s="83" t="n">
        <x:f>'Inputs'!$C$46</x:f>
        <x:v>1</x:v>
      </x:c>
      <x:c r="AN990" s="83" t="n">
        <x:f>'Inputs'!$D$46</x:f>
        <x:v>1</x:v>
      </x:c>
      <x:c r="AO990" s="81" t="n">
        <x:f>'Inputs'!$E$46</x:f>
        <x:v>0</x:v>
      </x:c>
    </x:row>
    <x:row r="991">
      <x:c r="A991" s="59" t="str">
        <x:v>Base</x:v>
      </x:c>
      <x:c r="B991" s="59" t="n">
        <x:v>258</x:v>
      </x:c>
      <x:c r="C991" s="78" t="n">
        <x:f>(('Inputs'!$B$29*(3*258*'Inputs'!$B$12-258^2)/(2*'Inputs'!$B$12^2))-('Inputs'!$B$29*(3*257*'Inputs'!$B$12-257^2)/(2*'Inputs'!$B$12^2)))*'Inputs'!$B$46</x:f>
        <x:v>628271.0170763731</x:v>
      </x:c>
      <x:c r="D991" s="78" t="n">
        <x:f>IF('Inputs'!$C$46&gt;0,('Inputs'!$B$30*(3*258*'Inputs'!$B$12-258^2)/(2*'Inputs'!$B$12^2))-('Inputs'!$B$30*(3*257*'Inputs'!$B$12-257^2)/(2*'Inputs'!$B$12^2)),0)</x:f>
        <x:v>269259.007318452</x:v>
      </x:c>
      <x:c r="E991" s="78" t="n">
        <x:f>C991+D991</x:f>
        <x:v>897530.0243948251</x:v>
      </x:c>
      <x:c r="F991" s="78" t="n">
        <x:f>'Inputs'!$B$13*E991+(1-'Inputs'!$B$13)/'Inputs'!$B$14*SUM(E936:E991)</x:f>
        <x:v>907747.7012572729</x:v>
      </x:c>
      <x:c r="G991" s="78" t="n">
        <x:f>F991*'Inputs'!$F$46</x:f>
        <x:v>453873.8506286364</x:v>
      </x:c>
      <x:c r="H991" s="78" t="n">
        <x:f>U990</x:f>
        <x:v>118320807.10241935</x:v>
      </x:c>
      <x:c r="I991" s="78" t="n">
        <x:f>V990</x:f>
        <x:v>245.86744528383576</x:v>
      </x:c>
      <x:c r="J991" s="79" t="n">
        <x:f>IF(H991&gt;0,I991/H991,0)</x:f>
        <x:v>0.0000020779730235529168</x:v>
      </x:c>
      <x:c r="K991" s="80" t="n">
        <x:f>(H991*J991+I991)*'Inputs'!$D$46*(1+'Inputs'!$G$46)^(B991/30)</x:f>
        <x:v>491.7348905676715</x:v>
      </x:c>
      <x:c r="L991" s="80" t="n">
        <x:f>MAX(0,K991*'Inputs'!$E$46)</x:f>
        <x:v>0</x:v>
      </x:c>
      <x:c r="M991" s="80" t="n">
        <x:f>MAX(0,-K991*'Inputs'!$E$46)</x:f>
        <x:v>0</x:v>
      </x:c>
      <x:c r="N991" s="78" t="n">
        <x:f>H991*(L991*(1-'Inputs'!$B$15))/(I991+L991*(1-'Inputs'!$B$15))</x:f>
        <x:v>0</x:v>
      </x:c>
      <x:c r="O991" s="78" t="n">
        <x:f>H991-N991</x:f>
        <x:v>118320807.10241935</x:v>
      </x:c>
      <x:c r="P991" s="78" t="n">
        <x:f>I991+L991*(1-'Inputs'!$B$17)</x:f>
        <x:v>245.86744528383576</x:v>
      </x:c>
      <x:c r="Q991" s="78" t="n">
        <x:f>IF(J991&gt;0,M991/J991,0)</x:f>
        <x:v>0</x:v>
      </x:c>
      <x:c r="R991" s="78" t="n">
        <x:f>IF(B991='Inputs'!$H$46,'Inputs'!$B$27*'Inputs'!$I$46,0)</x:f>
        <x:v>0</x:v>
      </x:c>
      <x:c r="S991" s="78" t="n">
        <x:f>Q991+G991+R991</x:f>
        <x:v>453873.8506286364</x:v>
      </x:c>
      <x:c r="T991" s="78" t="n">
        <x:f>P991*(S991*(1-'Inputs'!$B$15))/(O991+S991*(1-'Inputs'!$B$15))</x:f>
        <x:v>0.93017381333338</x:v>
      </x:c>
      <x:c r="U991" s="78" t="n">
        <x:f>O991+S991*(1-'Inputs'!$B$17)</x:f>
        <x:v>118772854.49892071</x:v>
      </x:c>
      <x:c r="V991" s="78" t="n">
        <x:f>P991-T991</x:f>
        <x:v>244.9372714705024</x:v>
      </x:c>
      <x:c r="W991" s="79" t="n">
        <x:f>IF(U991&gt;0,V991/U991,0)</x:f>
        <x:v>0.000002062232759361089</x:v>
      </x:c>
      <x:c r="X991" s="80" t="n">
        <x:f>W991*('Inputs'!$B$6-AC991)</x:f>
        <x:v>1936.053609850266</x:v>
      </x:c>
      <x:c r="Y991" s="80" t="n">
        <x:f>2*V991</x:f>
        <x:v>489.8745429410048</x:v>
      </x:c>
      <x:c r="Z991" s="80" t="n">
        <x:f>K991*'Inputs'!$B$16+(G991+R991)*J991*'Inputs'!$B$16</x:f>
        <x:v>2.9560681691122435</x:v>
      </x:c>
      <x:c r="AA991" s="80" t="n">
        <x:f>K991*(1+'Inputs'!$E$46)/2*'Inputs'!$B$17</x:f>
        <x:v>0.9894062184460193</x:v>
      </x:c>
      <x:c r="AB991" s="78" t="n">
        <x:f>(IF(J991&gt;0,K991*(1-'Inputs'!$E$46)/2/J991,0)+G991+R991)*'Inputs'!$B$17</x:f>
        <x:v>477966.5229498913</x:v>
      </x:c>
      <x:c r="AC991" s="78" t="n">
        <x:f>AC990+AB991</x:f>
        <x:v>61185697.36517792</x:v>
      </x:c>
      <x:c r="AD991" s="80" t="n">
        <x:f>Z991/(1+'Inputs'!$C$46)</x:f>
        <x:v>1.4780340845561217</x:v>
      </x:c>
      <x:c r="AE991" s="80" t="n">
        <x:f>Z991-AD991</x:f>
        <x:v>1.4780340845561217</x:v>
      </x:c>
      <x:c r="AF991" s="80" t="n">
        <x:f>D991*W991</x:f>
        <x:v>0.555274745645159</x:v>
      </x:c>
      <x:c r="AG991" s="80" t="n">
        <x:f>C991*W991</x:f>
        <x:v>1.295641073172007</x:v>
      </x:c>
      <x:c r="AH991" s="80" t="n">
        <x:f>2*'Inputs'!$B$8*'Inputs'!$C$46</x:f>
        <x:v>5000</x:v>
      </x:c>
      <x:c r="AI991" s="81" t="n">
        <x:f>IF(AH991&gt;0,(AE991+AF991)/AH991*365,0)</x:f>
        <x:v>0.14843154460469352</x:v>
      </x:c>
      <x:c r="AJ991" s="81" t="n">
        <x:f>IF('Inputs'!$B$46&gt;0,AG991/('Inputs'!$B$19*'Inputs'!$B$46)*365,0)</x:f>
        <x:v>0.04729089917077826</x:v>
      </x:c>
      <x:c r="AK991" s="81" t="n">
        <x:f>W991/MAX($W$734:W991)-1</x:f>
        <x:v>-0.9975530736836339</x:v>
      </x:c>
      <x:c r="AL991" s="83" t="n">
        <x:f>'Inputs'!$B$46</x:f>
        <x:v>1</x:v>
      </x:c>
      <x:c r="AM991" s="83" t="n">
        <x:f>'Inputs'!$C$46</x:f>
        <x:v>1</x:v>
      </x:c>
      <x:c r="AN991" s="83" t="n">
        <x:f>'Inputs'!$D$46</x:f>
        <x:v>1</x:v>
      </x:c>
      <x:c r="AO991" s="81" t="n">
        <x:f>'Inputs'!$E$46</x:f>
        <x:v>0</x:v>
      </x:c>
    </x:row>
    <x:row r="992">
      <x:c r="A992" s="59" t="str">
        <x:v>Base</x:v>
      </x:c>
      <x:c r="B992" s="59" t="n">
        <x:v>259</x:v>
      </x:c>
      <x:c r="C992" s="78" t="n">
        <x:f>(('Inputs'!$B$29*(3*259*'Inputs'!$B$12-259^2)/(2*'Inputs'!$B$12^2))-('Inputs'!$B$29*(3*258*'Inputs'!$B$12-258^2)/(2*'Inputs'!$B$12^2)))*'Inputs'!$B$46</x:f>
        <x:v>627945.9091762006</x:v>
      </x:c>
      <x:c r="D992" s="78" t="n">
        <x:f>IF('Inputs'!$C$46&gt;0,('Inputs'!$B$30*(3*259*'Inputs'!$B$12-259^2)/(2*'Inputs'!$B$12^2))-('Inputs'!$B$30*(3*258*'Inputs'!$B$12-258^2)/(2*'Inputs'!$B$12^2)),0)</x:f>
        <x:v>269119.67536123097</x:v>
      </x:c>
      <x:c r="E992" s="78" t="n">
        <x:f>C992+D992</x:f>
        <x:v>897065.5845374316</x:v>
      </x:c>
      <x:c r="F992" s="78" t="n">
        <x:f>'Inputs'!$B$13*E992+(1-'Inputs'!$B$13)/'Inputs'!$B$14*SUM(E937:E992)</x:f>
        <x:v>907283.2613998865</x:v>
      </x:c>
      <x:c r="G992" s="78" t="n">
        <x:f>F992*'Inputs'!$F$46</x:f>
        <x:v>453641.6306999432</x:v>
      </x:c>
      <x:c r="H992" s="78" t="n">
        <x:f>U991</x:f>
        <x:v>118772854.49892071</x:v>
      </x:c>
      <x:c r="I992" s="78" t="n">
        <x:f>V991</x:f>
        <x:v>244.9372714705024</x:v>
      </x:c>
      <x:c r="J992" s="79" t="n">
        <x:f>IF(H992&gt;0,I992/H992,0)</x:f>
        <x:v>0.000002062232759361089</x:v>
      </x:c>
      <x:c r="K992" s="80" t="n">
        <x:f>(H992*J992+I992)*'Inputs'!$D$46*(1+'Inputs'!$G$46)^(B992/30)</x:f>
        <x:v>489.8745429410048</x:v>
      </x:c>
      <x:c r="L992" s="80" t="n">
        <x:f>MAX(0,K992*'Inputs'!$E$46)</x:f>
        <x:v>0</x:v>
      </x:c>
      <x:c r="M992" s="80" t="n">
        <x:f>MAX(0,-K992*'Inputs'!$E$46)</x:f>
        <x:v>0</x:v>
      </x:c>
      <x:c r="N992" s="78" t="n">
        <x:f>H992*(L992*(1-'Inputs'!$B$15))/(I992+L992*(1-'Inputs'!$B$15))</x:f>
        <x:v>0</x:v>
      </x:c>
      <x:c r="O992" s="78" t="n">
        <x:f>H992-N992</x:f>
        <x:v>118772854.49892071</x:v>
      </x:c>
      <x:c r="P992" s="78" t="n">
        <x:f>I992+L992*(1-'Inputs'!$B$17)</x:f>
        <x:v>244.9372714705024</x:v>
      </x:c>
      <x:c r="Q992" s="78" t="n">
        <x:f>IF(J992&gt;0,M992/J992,0)</x:f>
        <x:v>0</x:v>
      </x:c>
      <x:c r="R992" s="78" t="n">
        <x:f>IF(B992='Inputs'!$H$46,'Inputs'!$B$27*'Inputs'!$I$46,0)</x:f>
        <x:v>0</x:v>
      </x:c>
      <x:c r="S992" s="78" t="n">
        <x:f>Q992+G992+R992</x:f>
        <x:v>453641.6306999432</x:v>
      </x:c>
      <x:c r="T992" s="78" t="n">
        <x:f>P992*(S992*(1-'Inputs'!$B$15))/(O992+S992*(1-'Inputs'!$B$15))</x:f>
        <x:v>0.922670673096632</x:v>
      </x:c>
      <x:c r="U992" s="78" t="n">
        <x:f>O992+S992*(1-'Inputs'!$B$17)</x:f>
        <x:v>119224670.60998</x:v>
      </x:c>
      <x:c r="V992" s="78" t="n">
        <x:f>P992-T992</x:f>
        <x:v>244.01460079740576</x:v>
      </x:c>
      <x:c r="W992" s="79" t="n">
        <x:f>IF(U992&gt;0,V992/U992,0)</x:f>
        <x:v>0.0000020466787582550883</x:v>
      </x:c>
      <x:c r="X992" s="80" t="n">
        <x:f>W992*('Inputs'!$B$6-AC992)</x:f>
        <x:v>1920.4693260097213</x:v>
      </x:c>
      <x:c r="Y992" s="80" t="n">
        <x:f>2*V992</x:f>
        <x:v>488.0292015948115</x:v>
      </x:c>
      <x:c r="Z992" s="80" t="n">
        <x:f>K992*'Inputs'!$B$16+(G992+R992)*J992*'Inputs'!$B$16</x:f>
        <x:v>2.9448603454370654</x:v>
      </x:c>
      <x:c r="AA992" s="80" t="n">
        <x:f>K992*(1+'Inputs'!$E$46)/2*'Inputs'!$B$17</x:f>
        <x:v>0.9856630642676154</x:v>
      </x:c>
      <x:c r="AB992" s="78" t="n">
        <x:f>(IF(J992&gt;0,K992*(1-'Inputs'!$E$46)/2/J992,0)+G992+R992)*'Inputs'!$B$17</x:f>
        <x:v>479784.69267452986</x:v>
      </x:c>
      <x:c r="AC992" s="78" t="n">
        <x:f>AC991+AB992</x:f>
        <x:v>61665482.057852454</x:v>
      </x:c>
      <x:c r="AD992" s="80" t="n">
        <x:f>Z992/(1+'Inputs'!$C$46)</x:f>
        <x:v>1.4724301727185327</x:v>
      </x:c>
      <x:c r="AE992" s="80" t="n">
        <x:f>Z992-AD992</x:f>
        <x:v>1.4724301727185327</x:v>
      </x:c>
      <x:c r="AF992" s="80" t="n">
        <x:f>D992*W992</x:f>
        <x:v>0.5508015229903367</x:v>
      </x:c>
      <x:c r="AG992" s="80" t="n">
        <x:f>C992*W992</x:f>
        <x:v>1.2852035536441087</x:v>
      </x:c>
      <x:c r="AH992" s="80" t="n">
        <x:f>2*'Inputs'!$B$8*'Inputs'!$C$46</x:f>
        <x:v>5000</x:v>
      </x:c>
      <x:c r="AI992" s="81" t="n">
        <x:f>IF(AH992&gt;0,(AE992+AF992)/AH992*365,0)</x:f>
        <x:v>0.14769591378674746</x:v>
      </x:c>
      <x:c r="AJ992" s="81" t="n">
        <x:f>IF('Inputs'!$B$46&gt;0,AG992/('Inputs'!$B$19*'Inputs'!$B$46)*365,0)</x:f>
        <x:v>0.04690992970800996</x:v>
      </x:c>
      <x:c r="AK992" s="81" t="n">
        <x:f>W992/MAX($W$734:W992)-1</x:f>
        <x:v>-0.9975715291632389</x:v>
      </x:c>
      <x:c r="AL992" s="83" t="n">
        <x:f>'Inputs'!$B$46</x:f>
        <x:v>1</x:v>
      </x:c>
      <x:c r="AM992" s="83" t="n">
        <x:f>'Inputs'!$C$46</x:f>
        <x:v>1</x:v>
      </x:c>
      <x:c r="AN992" s="83" t="n">
        <x:f>'Inputs'!$D$46</x:f>
        <x:v>1</x:v>
      </x:c>
      <x:c r="AO992" s="81" t="n">
        <x:f>'Inputs'!$E$46</x:f>
        <x:v>0</x:v>
      </x:c>
    </x:row>
    <x:row r="993">
      <x:c r="A993" s="59" t="str">
        <x:v>Base</x:v>
      </x:c>
      <x:c r="B993" s="59" t="n">
        <x:v>260</x:v>
      </x:c>
      <x:c r="C993" s="78" t="n">
        <x:f>(('Inputs'!$B$29*(3*260*'Inputs'!$B$12-260^2)/(2*'Inputs'!$B$12^2))-('Inputs'!$B$29*(3*259*'Inputs'!$B$12-259^2)/(2*'Inputs'!$B$12^2)))*'Inputs'!$B$46</x:f>
        <x:v>627620.8012760282</x:v>
      </x:c>
      <x:c r="D993" s="78" t="n">
        <x:f>IF('Inputs'!$C$46&gt;0,('Inputs'!$B$30*(3*260*'Inputs'!$B$12-260^2)/(2*'Inputs'!$B$12^2))-('Inputs'!$B$30*(3*259*'Inputs'!$B$12-259^2)/(2*'Inputs'!$B$12^2)),0)</x:f>
        <x:v>268980.34340400994</x:v>
      </x:c>
      <x:c r="E993" s="78" t="n">
        <x:f>C993+D993</x:f>
        <x:v>896601.1446800381</x:v>
      </x:c>
      <x:c r="F993" s="78" t="n">
        <x:f>'Inputs'!$B$13*E993+(1-'Inputs'!$B$13)/'Inputs'!$B$14*SUM(E938:E993)</x:f>
        <x:v>906818.8215425004</x:v>
      </x:c>
      <x:c r="G993" s="78" t="n">
        <x:f>F993*'Inputs'!$F$46</x:f>
        <x:v>453409.4107712502</x:v>
      </x:c>
      <x:c r="H993" s="78" t="n">
        <x:f>U992</x:f>
        <x:v>119224670.60998</x:v>
      </x:c>
      <x:c r="I993" s="78" t="n">
        <x:f>V992</x:f>
        <x:v>244.01460079740576</x:v>
      </x:c>
      <x:c r="J993" s="79" t="n">
        <x:f>IF(H993&gt;0,I993/H993,0)</x:f>
        <x:v>0.0000020466787582550883</x:v>
      </x:c>
      <x:c r="K993" s="80" t="n">
        <x:f>(H993*J993+I993)*'Inputs'!$D$46*(1+'Inputs'!$G$46)^(B993/30)</x:f>
        <x:v>488.0292015948115</x:v>
      </x:c>
      <x:c r="L993" s="80" t="n">
        <x:f>MAX(0,K993*'Inputs'!$E$46)</x:f>
        <x:v>0</x:v>
      </x:c>
      <x:c r="M993" s="80" t="n">
        <x:f>MAX(0,-K993*'Inputs'!$E$46)</x:f>
        <x:v>0</x:v>
      </x:c>
      <x:c r="N993" s="78" t="n">
        <x:f>H993*(L993*(1-'Inputs'!$B$15))/(I993+L993*(1-'Inputs'!$B$15))</x:f>
        <x:v>0</x:v>
      </x:c>
      <x:c r="O993" s="78" t="n">
        <x:f>H993-N993</x:f>
        <x:v>119224670.60998</x:v>
      </x:c>
      <x:c r="P993" s="78" t="n">
        <x:f>I993+L993*(1-'Inputs'!$B$17)</x:f>
        <x:v>244.01460079740576</x:v>
      </x:c>
      <x:c r="Q993" s="78" t="n">
        <x:f>IF(J993&gt;0,M993/J993,0)</x:f>
        <x:v>0</x:v>
      </x:c>
      <x:c r="R993" s="78" t="n">
        <x:f>IF(B993='Inputs'!$H$46,'Inputs'!$B$27*'Inputs'!$I$46,0)</x:f>
        <x:v>0</x:v>
      </x:c>
      <x:c r="S993" s="78" t="n">
        <x:f>Q993+G993+R993</x:f>
        <x:v>453409.4107712502</x:v>
      </x:c>
      <x:c r="T993" s="78" t="n">
        <x:f>P993*(S993*(1-'Inputs'!$B$15))/(O993+S993*(1-'Inputs'!$B$15))</x:f>
        <x:v>0.9152576733257516</x:v>
      </x:c>
      <x:c r="U993" s="78" t="n">
        <x:f>O993+S993*(1-'Inputs'!$B$17)</x:f>
        <x:v>119676255.43559724</x:v>
      </x:c>
      <x:c r="V993" s="78" t="n">
        <x:f>P993-T993</x:f>
        <x:v>243.09934312408</x:v>
      </x:c>
      <x:c r="W993" s="79" t="n">
        <x:f>IF(U993&gt;0,V993/U993,0)</x:f>
        <x:v>0.0000020313080672456523</x:v>
      </x:c>
      <x:c r="X993" s="80" t="n">
        <x:f>W993*('Inputs'!$B$6-AC993)</x:f>
        <x:v>1905.068194181936</x:v>
      </x:c>
      <x:c r="Y993" s="80" t="n">
        <x:f>2*V993</x:f>
        <x:v>486.19868624816</x:v>
      </x:c>
      <x:c r="Z993" s="80" t="n">
        <x:f>K993*'Inputs'!$B$16+(G993+R993)*J993*'Inputs'!$B$16</x:f>
        <x:v>2.93374311002778</x:v>
      </x:c>
      <x:c r="AA993" s="80" t="n">
        <x:f>K993*(1+'Inputs'!$E$46)/2*'Inputs'!$B$17</x:f>
        <x:v>0.9819501038124981</x:v>
      </x:c>
      <x:c r="AB993" s="78" t="n">
        <x:f>(IF(J993&gt;0,K993*(1-'Inputs'!$E$46)/2/J993,0)+G993+R993)*'Inputs'!$B$17</x:f>
        <x:v>481601.93167304323</x:v>
      </x:c>
      <x:c r="AC993" s="78" t="n">
        <x:f>AC992+AB993</x:f>
        <x:v>62147083.9895255</x:v>
      </x:c>
      <x:c r="AD993" s="80" t="n">
        <x:f>Z993/(1+'Inputs'!$C$46)</x:f>
        <x:v>1.46687155501389</x:v>
      </x:c>
      <x:c r="AE993" s="80" t="n">
        <x:f>Z993-AD993</x:f>
        <x:v>1.46687155501389</x:v>
      </x:c>
      <x:c r="AF993" s="80" t="n">
        <x:f>D993*W993</x:f>
        <x:v>0.5463819414870713</x:v>
      </x:c>
      <x:c r="AG993" s="80" t="n">
        <x:f>C993*W993</x:f>
        <x:v>1.2748911968031764</x:v>
      </x:c>
      <x:c r="AH993" s="80" t="n">
        <x:f>2*'Inputs'!$B$8*'Inputs'!$C$46</x:f>
        <x:v>5000</x:v>
      </x:c>
      <x:c r="AI993" s="81" t="n">
        <x:f>IF(AH993&gt;0,(AE993+AF993)/AH993*365,0)</x:f>
        <x:v>0.1469675052445702</x:v>
      </x:c>
      <x:c r="AJ993" s="81" t="n">
        <x:f>IF('Inputs'!$B$46&gt;0,AG993/('Inputs'!$B$19*'Inputs'!$B$46)*365,0)</x:f>
        <x:v>0.046533528683315936</x:v>
      </x:c>
      <x:c r="AK993" s="81" t="n">
        <x:f>W993/MAX($W$734:W993)-1</x:f>
        <x:v>-0.9975897671376678</x:v>
      </x:c>
      <x:c r="AL993" s="83" t="n">
        <x:f>'Inputs'!$B$46</x:f>
        <x:v>1</x:v>
      </x:c>
      <x:c r="AM993" s="83" t="n">
        <x:f>'Inputs'!$C$46</x:f>
        <x:v>1</x:v>
      </x:c>
      <x:c r="AN993" s="83" t="n">
        <x:f>'Inputs'!$D$46</x:f>
        <x:v>1</x:v>
      </x:c>
      <x:c r="AO993" s="81" t="n">
        <x:f>'Inputs'!$E$46</x:f>
        <x:v>0</x:v>
      </x:c>
    </x:row>
    <x:row r="994">
      <x:c r="A994" s="59" t="str">
        <x:v>Base</x:v>
      </x:c>
      <x:c r="B994" s="59" t="n">
        <x:v>261</x:v>
      </x:c>
      <x:c r="C994" s="78" t="n">
        <x:f>(('Inputs'!$B$29*(3*261*'Inputs'!$B$12-261^2)/(2*'Inputs'!$B$12^2))-('Inputs'!$B$29*(3*260*'Inputs'!$B$12-260^2)/(2*'Inputs'!$B$12^2)))*'Inputs'!$B$46</x:f>
        <x:v>627295.6933758855</x:v>
      </x:c>
      <x:c r="D994" s="78" t="n">
        <x:f>IF('Inputs'!$C$46&gt;0,('Inputs'!$B$30*(3*261*'Inputs'!$B$12-261^2)/(2*'Inputs'!$B$12^2))-('Inputs'!$B$30*(3*260*'Inputs'!$B$12-260^2)/(2*'Inputs'!$B$12^2)),0)</x:f>
        <x:v>268841.0114468038</x:v>
      </x:c>
      <x:c r="E994" s="78" t="n">
        <x:f>C994+D994</x:f>
        <x:v>896136.7048226893</x:v>
      </x:c>
      <x:c r="F994" s="78" t="n">
        <x:f>'Inputs'!$B$13*E994+(1-'Inputs'!$B$13)/'Inputs'!$B$14*SUM(E939:E994)</x:f>
        <x:v>906354.3816851235</x:v>
      </x:c>
      <x:c r="G994" s="78" t="n">
        <x:f>F994*'Inputs'!$F$46</x:f>
        <x:v>453177.1908425618</x:v>
      </x:c>
      <x:c r="H994" s="78" t="n">
        <x:f>U993</x:f>
        <x:v>119676255.43559724</x:v>
      </x:c>
      <x:c r="I994" s="78" t="n">
        <x:f>V993</x:f>
        <x:v>243.09934312408</x:v>
      </x:c>
      <x:c r="J994" s="79" t="n">
        <x:f>IF(H994&gt;0,I994/H994,0)</x:f>
        <x:v>0.0000020313080672456523</x:v>
      </x:c>
      <x:c r="K994" s="80" t="n">
        <x:f>(H994*J994+I994)*'Inputs'!$D$46*(1+'Inputs'!$G$46)^(B994/30)</x:f>
        <x:v>486.19868624816</x:v>
      </x:c>
      <x:c r="L994" s="80" t="n">
        <x:f>MAX(0,K994*'Inputs'!$E$46)</x:f>
        <x:v>0</x:v>
      </x:c>
      <x:c r="M994" s="80" t="n">
        <x:f>MAX(0,-K994*'Inputs'!$E$46)</x:f>
        <x:v>0</x:v>
      </x:c>
      <x:c r="N994" s="78" t="n">
        <x:f>H994*(L994*(1-'Inputs'!$B$15))/(I994+L994*(1-'Inputs'!$B$15))</x:f>
        <x:v>0</x:v>
      </x:c>
      <x:c r="O994" s="78" t="n">
        <x:f>H994-N994</x:f>
        <x:v>119676255.43559724</x:v>
      </x:c>
      <x:c r="P994" s="78" t="n">
        <x:f>I994+L994*(1-'Inputs'!$B$17)</x:f>
        <x:v>243.09934312408</x:v>
      </x:c>
      <x:c r="Q994" s="78" t="n">
        <x:f>IF(J994&gt;0,M994/J994,0)</x:f>
        <x:v>0</x:v>
      </x:c>
      <x:c r="R994" s="78" t="n">
        <x:f>IF(B994='Inputs'!$H$46,'Inputs'!$B$27*'Inputs'!$I$46,0)</x:f>
        <x:v>0</x:v>
      </x:c>
      <x:c r="S994" s="78" t="n">
        <x:f>Q994+G994+R994</x:f>
        <x:v>453177.1908425618</x:v>
      </x:c>
      <x:c r="T994" s="78" t="n">
        <x:f>P994*(S994*(1-'Inputs'!$B$15))/(O994+S994*(1-'Inputs'!$B$15))</x:f>
        <x:v>0.9079333748678137</x:v>
      </x:c>
      <x:c r="U994" s="78" t="n">
        <x:f>O994+S994*(1-'Inputs'!$B$17)</x:f>
        <x:v>120127608.97577243</x:v>
      </x:c>
      <x:c r="V994" s="78" t="n">
        <x:f>P994-T994</x:f>
        <x:v>242.1914097492122</x:v>
      </x:c>
      <x:c r="W994" s="79" t="n">
        <x:f>IF(U994&gt;0,V994/U994,0)</x:f>
        <x:v>0.000002016117791856307</x:v>
      </x:c>
      <x:c r="X994" s="80" t="n">
        <x:f>W994*('Inputs'!$B$6-AC994)</x:f>
        <x:v>1889.8473219985744</x:v>
      </x:c>
      <x:c r="Y994" s="80" t="n">
        <x:f>2*V994</x:f>
        <x:v>484.3828194984244</x:v>
      </x:c>
      <x:c r="Z994" s="80" t="n">
        <x:f>K994*'Inputs'!$B$16+(G994+R994)*J994*'Inputs'!$B$16</x:f>
        <x:v>2.922715372390862</x:v>
      </x:c>
      <x:c r="AA994" s="80" t="n">
        <x:f>K994*(1+'Inputs'!$E$46)/2*'Inputs'!$B$17</x:f>
        <x:v>0.9782669743423743</x:v>
      </x:c>
      <x:c r="AB994" s="78" t="n">
        <x:f>(IF(J994&gt;0,K994*(1-'Inputs'!$E$46)/2/J994,0)+G994+R994)*'Inputs'!$B$17</x:f>
        <x:v>483418.2399454318</x:v>
      </x:c>
      <x:c r="AC994" s="78" t="n">
        <x:f>AC993+AB994</x:f>
        <x:v>62630502.22947093</x:v>
      </x:c>
      <x:c r="AD994" s="80" t="n">
        <x:f>Z994/(1+'Inputs'!$C$46)</x:f>
        <x:v>1.461357686195431</x:v>
      </x:c>
      <x:c r="AE994" s="80" t="n">
        <x:f>Z994-AD994</x:f>
        <x:v>1.461357686195431</x:v>
      </x:c>
      <x:c r="AF994" s="80" t="n">
        <x:f>D994*W994</x:f>
        <x:v>0.5420151463585463</x:v>
      </x:c>
      <x:c r="AG994" s="80" t="n">
        <x:f>C994*W994</x:f>
        <x:v>1.2647020081699614</x:v>
      </x:c>
      <x:c r="AH994" s="80" t="n">
        <x:f>2*'Inputs'!$B$8*'Inputs'!$C$46</x:f>
        <x:v>5000</x:v>
      </x:c>
      <x:c r="AI994" s="81" t="n">
        <x:f>IF(AH994&gt;0,(AE994+AF994)/AH994*365,0)</x:f>
        <x:v>0.14624621677644034</x:v>
      </x:c>
      <x:c r="AJ994" s="81" t="n">
        <x:f>IF('Inputs'!$B$46&gt;0,AG994/('Inputs'!$B$19*'Inputs'!$B$46)*365,0)</x:f>
        <x:v>0.04616162329820359</x:v>
      </x:c>
      <x:c r="AK994" s="81" t="n">
        <x:f>W994/MAX($W$734:W994)-1</x:f>
        <x:v>-0.9976077910413393</x:v>
      </x:c>
      <x:c r="AL994" s="83" t="n">
        <x:f>'Inputs'!$B$46</x:f>
        <x:v>1</x:v>
      </x:c>
      <x:c r="AM994" s="83" t="n">
        <x:f>'Inputs'!$C$46</x:f>
        <x:v>1</x:v>
      </x:c>
      <x:c r="AN994" s="83" t="n">
        <x:f>'Inputs'!$D$46</x:f>
        <x:v>1</x:v>
      </x:c>
      <x:c r="AO994" s="81" t="n">
        <x:f>'Inputs'!$E$46</x:f>
        <x:v>0</x:v>
      </x:c>
    </x:row>
    <x:row r="995">
      <x:c r="A995" s="59" t="str">
        <x:v>Base</x:v>
      </x:c>
      <x:c r="B995" s="59" t="n">
        <x:v>262</x:v>
      </x:c>
      <x:c r="C995" s="78" t="n">
        <x:f>(('Inputs'!$B$29*(3*262*'Inputs'!$B$12-262^2)/(2*'Inputs'!$B$12^2))-('Inputs'!$B$29*(3*261*'Inputs'!$B$12-261^2)/(2*'Inputs'!$B$12^2)))*'Inputs'!$B$46</x:f>
        <x:v>626970.5854756832</x:v>
      </x:c>
      <x:c r="D995" s="78" t="n">
        <x:f>IF('Inputs'!$C$46&gt;0,('Inputs'!$B$30*(3*262*'Inputs'!$B$12-262^2)/(2*'Inputs'!$B$12^2))-('Inputs'!$B$30*(3*261*'Inputs'!$B$12-261^2)/(2*'Inputs'!$B$12^2)),0)</x:f>
        <x:v>268701.6794895828</x:v>
      </x:c>
      <x:c r="E995" s="78" t="n">
        <x:f>C995+D995</x:f>
        <x:v>895672.264965266</x:v>
      </x:c>
      <x:c r="F995" s="78" t="n">
        <x:f>'Inputs'!$B$13*E995+(1-'Inputs'!$B$13)/'Inputs'!$B$14*SUM(E940:E995)</x:f>
        <x:v>905889.9418277313</x:v>
      </x:c>
      <x:c r="G995" s="78" t="n">
        <x:f>F995*'Inputs'!$F$46</x:f>
        <x:v>452944.97091386566</x:v>
      </x:c>
      <x:c r="H995" s="78" t="n">
        <x:f>U994</x:f>
        <x:v>120127608.97577243</x:v>
      </x:c>
      <x:c r="I995" s="78" t="n">
        <x:f>V994</x:f>
        <x:v>242.1914097492122</x:v>
      </x:c>
      <x:c r="J995" s="79" t="n">
        <x:f>IF(H995&gt;0,I995/H995,0)</x:f>
        <x:v>0.000002016117791856307</x:v>
      </x:c>
      <x:c r="K995" s="80" t="n">
        <x:f>(H995*J995+I995)*'Inputs'!$D$46*(1+'Inputs'!$G$46)^(B995/30)</x:f>
        <x:v>484.3828194984244</x:v>
      </x:c>
      <x:c r="L995" s="80" t="n">
        <x:f>MAX(0,K995*'Inputs'!$E$46)</x:f>
        <x:v>0</x:v>
      </x:c>
      <x:c r="M995" s="80" t="n">
        <x:f>MAX(0,-K995*'Inputs'!$E$46)</x:f>
        <x:v>0</x:v>
      </x:c>
      <x:c r="N995" s="78" t="n">
        <x:f>H995*(L995*(1-'Inputs'!$B$15))/(I995+L995*(1-'Inputs'!$B$15))</x:f>
        <x:v>0</x:v>
      </x:c>
      <x:c r="O995" s="78" t="n">
        <x:f>H995-N995</x:f>
        <x:v>120127608.97577243</x:v>
      </x:c>
      <x:c r="P995" s="78" t="n">
        <x:f>I995+L995*(1-'Inputs'!$B$17)</x:f>
        <x:v>242.1914097492122</x:v>
      </x:c>
      <x:c r="Q995" s="78" t="n">
        <x:f>IF(J995&gt;0,M995/J995,0)</x:f>
        <x:v>0</x:v>
      </x:c>
      <x:c r="R995" s="78" t="n">
        <x:f>IF(B995='Inputs'!$H$46,'Inputs'!$B$27*'Inputs'!$I$46,0)</x:f>
        <x:v>0</x:v>
      </x:c>
      <x:c r="S995" s="78" t="n">
        <x:f>Q995+G995+R995</x:f>
        <x:v>452944.97091386566</x:v>
      </x:c>
      <x:c r="T995" s="78" t="n">
        <x:f>P995*(S995*(1-'Inputs'!$B$15))/(O995+S995*(1-'Inputs'!$B$15))</x:f>
        <x:v>0.900696367184699</x:v>
      </x:c>
      <x:c r="U995" s="78" t="n">
        <x:f>O995+S995*(1-'Inputs'!$B$17)</x:f>
        <x:v>120578731.23050556</x:v>
      </x:c>
      <x:c r="V995" s="78" t="n">
        <x:f>P995-T995</x:f>
        <x:v>241.2907133820275</x:v>
      </x:c>
      <x:c r="W995" s="79" t="n">
        <x:f>IF(U995&gt;0,V995/U995,0)</x:f>
        <x:v>0.000002001105094734839</x:v>
      </x:c>
      <x:c r="X995" s="80" t="n">
        <x:f>W995*('Inputs'!$B$6-AC995)</x:f>
        <x:v>1874.8038741735438</x:v>
      </x:c>
      <x:c r="Y995" s="80" t="n">
        <x:f>2*V995</x:f>
        <x:v>482.581426764055</x:v>
      </x:c>
      <x:c r="Z995" s="80" t="n">
        <x:f>K995*'Inputs'!$B$16+(G995+R995)*J995*'Inputs'!$B$16</x:f>
        <x:v>2.911776059478094</x:v>
      </x:c>
      <x:c r="AA995" s="80" t="n">
        <x:f>K995*(1+'Inputs'!$E$46)/2*'Inputs'!$B$17</x:f>
        <x:v>0.9746133189103108</x:v>
      </x:c>
      <x:c r="AB995" s="78" t="n">
        <x:f>(IF(J995&gt;0,K995*(1-'Inputs'!$E$46)/2/J995,0)+G995+R995)*'Inputs'!$B$17</x:f>
        <x:v>485233.6174916954</x:v>
      </x:c>
      <x:c r="AC995" s="78" t="n">
        <x:f>AC994+AB995</x:f>
        <x:v>63115735.84696262</x:v>
      </x:c>
      <x:c r="AD995" s="80" t="n">
        <x:f>Z995/(1+'Inputs'!$C$46)</x:f>
        <x:v>1.455888029739047</x:v>
      </x:c>
      <x:c r="AE995" s="80" t="n">
        <x:f>Z995-AD995</x:f>
        <x:v>1.455888029739047</x:v>
      </x:c>
      <x:c r="AF995" s="80" t="n">
        <x:f>D995*W995</x:f>
        <x:v>0.5377002997904119</x:v>
      </x:c>
      <x:c r="AG995" s="80" t="n">
        <x:f>C995*W995</x:f>
        <x:v>1.2546340328442744</x:v>
      </x:c>
      <x:c r="AH995" s="80" t="n">
        <x:f>2*'Inputs'!$B$8*'Inputs'!$C$46</x:f>
        <x:v>5000</x:v>
      </x:c>
      <x:c r="AI995" s="81" t="n">
        <x:f>IF(AH995&gt;0,(AE995+AF995)/AH995*365,0)</x:f>
        <x:v>0.1455319480556505</x:v>
      </x:c>
      <x:c r="AJ995" s="81" t="n">
        <x:f>IF('Inputs'!$B$46&gt;0,AG995/('Inputs'!$B$19*'Inputs'!$B$46)*365,0)</x:f>
        <x:v>0.045794142198816015</x:v>
      </x:c>
      <x:c r="AK995" s="81" t="n">
        <x:f>W995/MAX($W$734:W995)-1</x:f>
        <x:v>-0.9976256042408919</x:v>
      </x:c>
      <x:c r="AL995" s="83" t="n">
        <x:f>'Inputs'!$B$46</x:f>
        <x:v>1</x:v>
      </x:c>
      <x:c r="AM995" s="83" t="n">
        <x:f>'Inputs'!$C$46</x:f>
        <x:v>1</x:v>
      </x:c>
      <x:c r="AN995" s="83" t="n">
        <x:f>'Inputs'!$D$46</x:f>
        <x:v>1</x:v>
      </x:c>
      <x:c r="AO995" s="81" t="n">
        <x:f>'Inputs'!$E$46</x:f>
        <x:v>0</x:v>
      </x:c>
    </x:row>
    <x:row r="996">
      <x:c r="A996" s="59" t="str">
        <x:v>Base</x:v>
      </x:c>
      <x:c r="B996" s="59" t="n">
        <x:v>263</x:v>
      </x:c>
      <x:c r="C996" s="78" t="n">
        <x:f>(('Inputs'!$B$29*(3*263*'Inputs'!$B$12-263^2)/(2*'Inputs'!$B$12^2))-('Inputs'!$B$29*(3*262*'Inputs'!$B$12-262^2)/(2*'Inputs'!$B$12^2)))*'Inputs'!$B$46</x:f>
        <x:v>626645.4775755405</x:v>
      </x:c>
      <x:c r="D996" s="78" t="n">
        <x:f>IF('Inputs'!$C$46&gt;0,('Inputs'!$B$30*(3*263*'Inputs'!$B$12-263^2)/(2*'Inputs'!$B$12^2))-('Inputs'!$B$30*(3*262*'Inputs'!$B$12-262^2)/(2*'Inputs'!$B$12^2)),0)</x:f>
        <x:v>268562.34753237665</x:v>
      </x:c>
      <x:c r="E996" s="78" t="n">
        <x:f>C996+D996</x:f>
        <x:v>895207.8251079172</x:v>
      </x:c>
      <x:c r="F996" s="78" t="n">
        <x:f>'Inputs'!$B$13*E996+(1-'Inputs'!$B$13)/'Inputs'!$B$14*SUM(E941:E996)</x:f>
        <x:v>905425.5019703544</x:v>
      </x:c>
      <x:c r="G996" s="78" t="n">
        <x:f>F996*'Inputs'!$F$46</x:f>
        <x:v>452712.7509851772</x:v>
      </x:c>
      <x:c r="H996" s="78" t="n">
        <x:f>U995</x:f>
        <x:v>120578731.23050556</x:v>
      </x:c>
      <x:c r="I996" s="78" t="n">
        <x:f>V995</x:f>
        <x:v>241.2907133820275</x:v>
      </x:c>
      <x:c r="J996" s="79" t="n">
        <x:f>IF(H996&gt;0,I996/H996,0)</x:f>
        <x:v>0.000002001105094734839</x:v>
      </x:c>
      <x:c r="K996" s="80" t="n">
        <x:f>(H996*J996+I996)*'Inputs'!$D$46*(1+'Inputs'!$G$46)^(B996/30)</x:f>
        <x:v>482.581426764055</x:v>
      </x:c>
      <x:c r="L996" s="80" t="n">
        <x:f>MAX(0,K996*'Inputs'!$E$46)</x:f>
        <x:v>0</x:v>
      </x:c>
      <x:c r="M996" s="80" t="n">
        <x:f>MAX(0,-K996*'Inputs'!$E$46)</x:f>
        <x:v>0</x:v>
      </x:c>
      <x:c r="N996" s="78" t="n">
        <x:f>H996*(L996*(1-'Inputs'!$B$15))/(I996+L996*(1-'Inputs'!$B$15))</x:f>
        <x:v>0</x:v>
      </x:c>
      <x:c r="O996" s="78" t="n">
        <x:f>H996-N996</x:f>
        <x:v>120578731.23050556</x:v>
      </x:c>
      <x:c r="P996" s="78" t="n">
        <x:f>I996+L996*(1-'Inputs'!$B$17)</x:f>
        <x:v>241.2907133820275</x:v>
      </x:c>
      <x:c r="Q996" s="78" t="n">
        <x:f>IF(J996&gt;0,M996/J996,0)</x:f>
        <x:v>0</x:v>
      </x:c>
      <x:c r="R996" s="78" t="n">
        <x:f>IF(B996='Inputs'!$H$46,'Inputs'!$B$27*'Inputs'!$I$46,0)</x:f>
        <x:v>0</x:v>
      </x:c>
      <x:c r="S996" s="78" t="n">
        <x:f>Q996+G996+R996</x:f>
        <x:v>452712.7509851772</x:v>
      </x:c>
      <x:c r="T996" s="78" t="n">
        <x:f>P996*(S996*(1-'Inputs'!$B$15))/(O996+S996*(1-'Inputs'!$B$15))</x:f>
        <x:v>0.8935452676730147</x:v>
      </x:c>
      <x:c r="U996" s="78" t="n">
        <x:f>O996+S996*(1-'Inputs'!$B$17)</x:f>
        <x:v>121029622.19979663</x:v>
      </x:c>
      <x:c r="V996" s="78" t="n">
        <x:f>P996-T996</x:f>
        <x:v>240.39716811435449</x:v>
      </x:c>
      <x:c r="W996" s="79" t="n">
        <x:f>IF(U996&gt;0,V996/U996,0)</x:f>
        <x:v>0.000001986267194303102</x:v>
      </x:c>
      <x:c r="X996" s="80" t="n">
        <x:f>W996*('Inputs'!$B$6-AC996)</x:f>
        <x:v>1859.9350711537884</x:v>
      </x:c>
      <x:c r="Y996" s="80" t="n">
        <x:f>2*V996</x:f>
        <x:v>480.79433622870897</x:v>
      </x:c>
      <x:c r="Z996" s="80" t="n">
        <x:f>K996*'Inputs'!$B$16+(G996+R996)*J996*'Inputs'!$B$16</x:f>
        <x:v>2.9009241153390173</x:v>
      </x:c>
      <x:c r="AA996" s="80" t="n">
        <x:f>K996*(1+'Inputs'!$E$46)/2*'Inputs'!$B$17</x:f>
        <x:v>0.9709887862455835</x:v>
      </x:c>
      <x:c r="AB996" s="78" t="n">
        <x:f>(IF(J996&gt;0,K996*(1-'Inputs'!$E$46)/2/J996,0)+G996+R996)*'Inputs'!$B$17</x:f>
        <x:v>487048.06431183394</x:v>
      </x:c>
      <x:c r="AC996" s="78" t="n">
        <x:f>AC995+AB996</x:f>
        <x:v>63602783.911274455</x:v>
      </x:c>
      <x:c r="AD996" s="80" t="n">
        <x:f>Z996/(1+'Inputs'!$C$46)</x:f>
        <x:v>1.4504620576695086</x:v>
      </x:c>
      <x:c r="AE996" s="80" t="n">
        <x:f>Z996-AD996</x:f>
        <x:v>1.4504620576695086</x:v>
      </x:c>
      <x:c r="AF996" s="80" t="n">
        <x:f>D996*W996</x:f>
        <x:v>0.5334365805285883</x:v>
      </x:c>
      <x:c r="AG996" s="80" t="n">
        <x:f>C996*W996</x:f>
        <x:v>1.2446853545666963</x:v>
      </x:c>
      <x:c r="AH996" s="80" t="n">
        <x:f>2*'Inputs'!$B$8*'Inputs'!$C$46</x:f>
        <x:v>5000</x:v>
      </x:c>
      <x:c r="AI996" s="81" t="n">
        <x:f>IF(AH996&gt;0,(AE996+AF996)/AH996*365,0)</x:f>
        <x:v>0.14482460058846108</x:v>
      </x:c>
      <x:c r="AJ996" s="81" t="n">
        <x:f>IF('Inputs'!$B$46&gt;0,AG996/('Inputs'!$B$19*'Inputs'!$B$46)*365,0)</x:f>
        <x:v>0.04543101544168441</x:v>
      </x:c>
      <x:c r="AK996" s="81" t="n">
        <x:f>W996/MAX($W$734:W996)-1</x:f>
        <x:v>-0.9976432100367852</x:v>
      </x:c>
      <x:c r="AL996" s="83" t="n">
        <x:f>'Inputs'!$B$46</x:f>
        <x:v>1</x:v>
      </x:c>
      <x:c r="AM996" s="83" t="n">
        <x:f>'Inputs'!$C$46</x:f>
        <x:v>1</x:v>
      </x:c>
      <x:c r="AN996" s="83" t="n">
        <x:f>'Inputs'!$D$46</x:f>
        <x:v>1</x:v>
      </x:c>
      <x:c r="AO996" s="81" t="n">
        <x:f>'Inputs'!$E$46</x:f>
        <x:v>0</x:v>
      </x:c>
    </x:row>
    <x:row r="997">
      <x:c r="A997" s="59" t="str">
        <x:v>Base</x:v>
      </x:c>
      <x:c r="B997" s="59" t="n">
        <x:v>264</x:v>
      </x:c>
      <x:c r="C997" s="78" t="n">
        <x:f>(('Inputs'!$B$29*(3*264*'Inputs'!$B$12-264^2)/(2*'Inputs'!$B$12^2))-('Inputs'!$B$29*(3*263*'Inputs'!$B$12-263^2)/(2*'Inputs'!$B$12^2)))*'Inputs'!$B$46</x:f>
        <x:v>626320.3696753681</x:v>
      </x:c>
      <x:c r="D997" s="78" t="n">
        <x:f>IF('Inputs'!$C$46&gt;0,('Inputs'!$B$30*(3*264*'Inputs'!$B$12-264^2)/(2*'Inputs'!$B$12^2))-('Inputs'!$B$30*(3*263*'Inputs'!$B$12-263^2)/(2*'Inputs'!$B$12^2)),0)</x:f>
        <x:v>268423.0155751556</x:v>
      </x:c>
      <x:c r="E997" s="78" t="n">
        <x:f>C997+D997</x:f>
        <x:v>894743.3852505237</x:v>
      </x:c>
      <x:c r="F997" s="78" t="n">
        <x:f>'Inputs'!$B$13*E997+(1-'Inputs'!$B$13)/'Inputs'!$B$14*SUM(E942:E997)</x:f>
        <x:v>904961.0621129684</x:v>
      </x:c>
      <x:c r="G997" s="78" t="n">
        <x:f>F997*'Inputs'!$F$46</x:f>
        <x:v>452480.5310564842</x:v>
      </x:c>
      <x:c r="H997" s="78" t="n">
        <x:f>U996</x:f>
        <x:v>121029622.19979663</x:v>
      </x:c>
      <x:c r="I997" s="78" t="n">
        <x:f>V996</x:f>
        <x:v>240.39716811435449</x:v>
      </x:c>
      <x:c r="J997" s="79" t="n">
        <x:f>IF(H997&gt;0,I997/H997,0)</x:f>
        <x:v>0.000001986267194303102</x:v>
      </x:c>
      <x:c r="K997" s="80" t="n">
        <x:f>(H997*J997+I997)*'Inputs'!$D$46*(1+'Inputs'!$G$46)^(B997/30)</x:f>
        <x:v>480.79433622870897</x:v>
      </x:c>
      <x:c r="L997" s="80" t="n">
        <x:f>MAX(0,K997*'Inputs'!$E$46)</x:f>
        <x:v>0</x:v>
      </x:c>
      <x:c r="M997" s="80" t="n">
        <x:f>MAX(0,-K997*'Inputs'!$E$46)</x:f>
        <x:v>0</x:v>
      </x:c>
      <x:c r="N997" s="78" t="n">
        <x:f>H997*(L997*(1-'Inputs'!$B$15))/(I997+L997*(1-'Inputs'!$B$15))</x:f>
        <x:v>0</x:v>
      </x:c>
      <x:c r="O997" s="78" t="n">
        <x:f>H997-N997</x:f>
        <x:v>121029622.19979663</x:v>
      </x:c>
      <x:c r="P997" s="78" t="n">
        <x:f>I997+L997*(1-'Inputs'!$B$17)</x:f>
        <x:v>240.39716811435449</x:v>
      </x:c>
      <x:c r="Q997" s="78" t="n">
        <x:f>IF(J997&gt;0,M997/J997,0)</x:f>
        <x:v>0</x:v>
      </x:c>
      <x:c r="R997" s="78" t="n">
        <x:f>IF(B997='Inputs'!$H$46,'Inputs'!$B$27*'Inputs'!$I$46,0)</x:f>
        <x:v>0</x:v>
      </x:c>
      <x:c r="S997" s="78" t="n">
        <x:f>Q997+G997+R997</x:f>
        <x:v>452480.5310564842</x:v>
      </x:c>
      <x:c r="T997" s="78" t="n">
        <x:f>P997*(S997*(1-'Inputs'!$B$15))/(O997+S997*(1-'Inputs'!$B$15))</x:f>
        <x:v>0.8864787210026066</x:v>
      </x:c>
      <x:c r="U997" s="78" t="n">
        <x:f>O997+S997*(1-'Inputs'!$B$17)</x:f>
        <x:v>121480281.88364564</x:v>
      </x:c>
      <x:c r="V997" s="78" t="n">
        <x:f>P997-T997</x:f>
        <x:v>239.51068939335187</x:v>
      </x:c>
      <x:c r="W997" s="79" t="n">
        <x:f>IF(U997&gt;0,V997/U997,0)</x:f>
        <x:v>0.000001971601363443956</x:v>
      </x:c>
      <x:c r="X997" s="80" t="n">
        <x:f>W997*('Inputs'!$B$6-AC997)</x:f>
        <x:v>1845.2381878071926</x:v>
      </x:c>
      <x:c r="Y997" s="80" t="n">
        <x:f>2*V997</x:f>
        <x:v>479.02137878670374</x:v>
      </x:c>
      <x:c r="Z997" s="80" t="n">
        <x:f>K997*'Inputs'!$B$16+(G997+R997)*J997*'Inputs'!$B$16</x:f>
        <x:v>2.8901585007816437</x:v>
      </x:c>
      <x:c r="AA997" s="80" t="n">
        <x:f>K997*(1+'Inputs'!$E$46)/2*'Inputs'!$B$17</x:f>
        <x:v>0.9673930306412656</x:v>
      </x:c>
      <x:c r="AB997" s="78" t="n">
        <x:f>(IF(J997&gt;0,K997*(1-'Inputs'!$E$46)/2/J997,0)+G997+R997)*'Inputs'!$B$17</x:f>
        <x:v>488861.5804058476</x:v>
      </x:c>
      <x:c r="AC997" s="78" t="n">
        <x:f>AC996+AB997</x:f>
        <x:v>64091645.4916803</x:v>
      </x:c>
      <x:c r="AD997" s="80" t="n">
        <x:f>Z997/(1+'Inputs'!$C$46)</x:f>
        <x:v>1.4450792503908219</x:v>
      </x:c>
      <x:c r="AE997" s="80" t="n">
        <x:f>Z997-AD997</x:f>
        <x:v>1.4450792503908219</x:v>
      </x:c>
      <x:c r="AF997" s="80" t="n">
        <x:f>D997*W997</x:f>
        <x:v>0.529223183487715</x:v>
      </x:c>
      <x:c r="AG997" s="80" t="n">
        <x:f>C997*W997</x:f>
        <x:v>1.2348540948046782</x:v>
      </x:c>
      <x:c r="AH997" s="80" t="n">
        <x:f>2*'Inputs'!$B$8*'Inputs'!$C$46</x:f>
        <x:v>5000</x:v>
      </x:c>
      <x:c r="AI997" s="81" t="n">
        <x:f>IF(AH997&gt;0,(AE997+AF997)/AH997*365,0)</x:f>
        <x:v>0.1441240776731332</x:v>
      </x:c>
      <x:c r="AJ997" s="81" t="n">
        <x:f>IF('Inputs'!$B$46&gt;0,AG997/('Inputs'!$B$19*'Inputs'!$B$46)*365,0)</x:f>
        <x:v>0.045072174460370755</x:v>
      </x:c>
      <x:c r="AK997" s="81" t="n">
        <x:f>W997/MAX($W$734:W997)-1</x:f>
        <x:v>-0.9976606116648593</x:v>
      </x:c>
      <x:c r="AL997" s="83" t="n">
        <x:f>'Inputs'!$B$46</x:f>
        <x:v>1</x:v>
      </x:c>
      <x:c r="AM997" s="83" t="n">
        <x:f>'Inputs'!$C$46</x:f>
        <x:v>1</x:v>
      </x:c>
      <x:c r="AN997" s="83" t="n">
        <x:f>'Inputs'!$D$46</x:f>
        <x:v>1</x:v>
      </x:c>
      <x:c r="AO997" s="81" t="n">
        <x:f>'Inputs'!$E$46</x:f>
        <x:v>0</x:v>
      </x:c>
    </x:row>
    <x:row r="998">
      <x:c r="A998" s="59" t="str">
        <x:v>Base</x:v>
      </x:c>
      <x:c r="B998" s="59" t="n">
        <x:v>265</x:v>
      </x:c>
      <x:c r="C998" s="78" t="n">
        <x:f>(('Inputs'!$B$29*(3*265*'Inputs'!$B$12-265^2)/(2*'Inputs'!$B$12^2))-('Inputs'!$B$29*(3*264*'Inputs'!$B$12-264^2)/(2*'Inputs'!$B$12^2)))*'Inputs'!$B$46</x:f>
        <x:v>625995.2617751658</x:v>
      </x:c>
      <x:c r="D998" s="78" t="n">
        <x:f>IF('Inputs'!$C$46&gt;0,('Inputs'!$B$30*(3*265*'Inputs'!$B$12-265^2)/(2*'Inputs'!$B$12^2))-('Inputs'!$B$30*(3*264*'Inputs'!$B$12-264^2)/(2*'Inputs'!$B$12^2)),0)</x:f>
        <x:v>268283.6836179346</x:v>
      </x:c>
      <x:c r="E998" s="78" t="n">
        <x:f>C998+D998</x:f>
        <x:v>894278.9453931004</x:v>
      </x:c>
      <x:c r="F998" s="78" t="n">
        <x:f>'Inputs'!$B$13*E998+(1-'Inputs'!$B$13)/'Inputs'!$B$14*SUM(E943:E998)</x:f>
        <x:v>904496.6222555761</x:v>
      </x:c>
      <x:c r="G998" s="78" t="n">
        <x:f>F998*'Inputs'!$F$46</x:f>
        <x:v>452248.31112778804</x:v>
      </x:c>
      <x:c r="H998" s="78" t="n">
        <x:f>U997</x:f>
        <x:v>121480281.88364564</x:v>
      </x:c>
      <x:c r="I998" s="78" t="n">
        <x:f>V997</x:f>
        <x:v>239.51068939335187</x:v>
      </x:c>
      <x:c r="J998" s="79" t="n">
        <x:f>IF(H998&gt;0,I998/H998,0)</x:f>
        <x:v>0.000001971601363443956</x:v>
      </x:c>
      <x:c r="K998" s="80" t="n">
        <x:f>(H998*J998+I998)*'Inputs'!$D$46*(1+'Inputs'!$G$46)^(B998/30)</x:f>
        <x:v>479.02137878670374</x:v>
      </x:c>
      <x:c r="L998" s="80" t="n">
        <x:f>MAX(0,K998*'Inputs'!$E$46)</x:f>
        <x:v>0</x:v>
      </x:c>
      <x:c r="M998" s="80" t="n">
        <x:f>MAX(0,-K998*'Inputs'!$E$46)</x:f>
        <x:v>0</x:v>
      </x:c>
      <x:c r="N998" s="78" t="n">
        <x:f>H998*(L998*(1-'Inputs'!$B$15))/(I998+L998*(1-'Inputs'!$B$15))</x:f>
        <x:v>0</x:v>
      </x:c>
      <x:c r="O998" s="78" t="n">
        <x:f>H998-N998</x:f>
        <x:v>121480281.88364564</x:v>
      </x:c>
      <x:c r="P998" s="78" t="n">
        <x:f>I998+L998*(1-'Inputs'!$B$17)</x:f>
        <x:v>239.51068939335187</x:v>
      </x:c>
      <x:c r="Q998" s="78" t="n">
        <x:f>IF(J998&gt;0,M998/J998,0)</x:f>
        <x:v>0</x:v>
      </x:c>
      <x:c r="R998" s="78" t="n">
        <x:f>IF(B998='Inputs'!$H$46,'Inputs'!$B$27*'Inputs'!$I$46,0)</x:f>
        <x:v>0</x:v>
      </x:c>
      <x:c r="S998" s="78" t="n">
        <x:f>Q998+G998+R998</x:f>
        <x:v>452248.31112778804</x:v>
      </x:c>
      <x:c r="T998" s="78" t="n">
        <x:f>P998*(S998*(1-'Inputs'!$B$15))/(O998+S998*(1-'Inputs'!$B$15))</x:f>
        <x:v>0.879495398473462</x:v>
      </x:c>
      <x:c r="U998" s="78" t="n">
        <x:f>O998+S998*(1-'Inputs'!$B$17)</x:f>
        <x:v>121930710.28205259</x:v>
      </x:c>
      <x:c r="V998" s="78" t="n">
        <x:f>P998-T998</x:f>
        <x:v>238.6311939948784</x:v>
      </x:c>
      <x:c r="W998" s="79" t="n">
        <x:f>IF(U998&gt;0,V998/U998,0)</x:f>
        <x:v>0.0000019571049282241685</x:v>
      </x:c>
      <x:c r="X998" s="80" t="n">
        <x:f>W998*('Inputs'!$B$6-AC998)</x:f>
        <x:v>1830.7105521464166</x:v>
      </x:c>
      <x:c r="Y998" s="80" t="n">
        <x:f>2*V998</x:f>
        <x:v>477.2623879897568</x:v>
      </x:c>
      <x:c r="Z998" s="80" t="n">
        <x:f>K998*'Inputs'!$B$16+(G998+R998)*J998*'Inputs'!$B$16</x:f>
        <x:v>2.879478193041231</x:v>
      </x:c>
      <x:c r="AA998" s="80" t="n">
        <x:f>K998*(1+'Inputs'!$E$46)/2*'Inputs'!$B$17</x:f>
        <x:v>0.9638257118444744</x:v>
      </x:c>
      <x:c r="AB998" s="78" t="n">
        <x:f>(IF(J998&gt;0,K998*(1-'Inputs'!$E$46)/2/J998,0)+G998+R998)*'Inputs'!$B$17</x:f>
        <x:v>490674.16577373614</x:v>
      </x:c>
      <x:c r="AC998" s="78" t="n">
        <x:f>AC997+AB998</x:f>
        <x:v>64582319.657454036</x:v>
      </x:c>
      <x:c r="AD998" s="80" t="n">
        <x:f>Z998/(1+'Inputs'!$C$46)</x:f>
        <x:v>1.4397390965206156</x:v>
      </x:c>
      <x:c r="AE998" s="80" t="n">
        <x:f>Z998-AD998</x:f>
        <x:v>1.4397390965206156</x:v>
      </x:c>
      <x:c r="AF998" s="80" t="n">
        <x:f>D998*W998</x:f>
        <x:v>0.5250593193707934</x:v>
      </x:c>
      <x:c r="AG998" s="80" t="n">
        <x:f>C998*W998</x:f>
        <x:v>1.2251384118651554</x:v>
      </x:c>
      <x:c r="AH998" s="80" t="n">
        <x:f>2*'Inputs'!$B$8*'Inputs'!$C$46</x:f>
        <x:v>5000</x:v>
      </x:c>
      <x:c r="AI998" s="81" t="n">
        <x:f>IF(AH998&gt;0,(AE998+AF998)/AH998*365,0)</x:f>
        <x:v>0.14343028436007285</x:v>
      </x:c>
      <x:c r="AJ998" s="81" t="n">
        <x:f>IF('Inputs'!$B$46&gt;0,AG998/('Inputs'!$B$19*'Inputs'!$B$46)*365,0)</x:f>
        <x:v>0.044717552033078166</x:v>
      </x:c>
      <x:c r="AK998" s="81" t="n">
        <x:f>W998/MAX($W$734:W998)-1</x:f>
        <x:v>-0.9976778122978489</x:v>
      </x:c>
      <x:c r="AL998" s="83" t="n">
        <x:f>'Inputs'!$B$46</x:f>
        <x:v>1</x:v>
      </x:c>
      <x:c r="AM998" s="83" t="n">
        <x:f>'Inputs'!$C$46</x:f>
        <x:v>1</x:v>
      </x:c>
      <x:c r="AN998" s="83" t="n">
        <x:f>'Inputs'!$D$46</x:f>
        <x:v>1</x:v>
      </x:c>
      <x:c r="AO998" s="81" t="n">
        <x:f>'Inputs'!$E$46</x:f>
        <x:v>0</x:v>
      </x:c>
    </x:row>
    <x:row r="999">
      <x:c r="A999" s="59" t="str">
        <x:v>Base</x:v>
      </x:c>
      <x:c r="B999" s="59" t="n">
        <x:v>266</x:v>
      </x:c>
      <x:c r="C999" s="78" t="n">
        <x:f>(('Inputs'!$B$29*(3*266*'Inputs'!$B$12-266^2)/(2*'Inputs'!$B$12^2))-('Inputs'!$B$29*(3*265*'Inputs'!$B$12-265^2)/(2*'Inputs'!$B$12^2)))*'Inputs'!$B$46</x:f>
        <x:v>625670.1538750231</x:v>
      </x:c>
      <x:c r="D999" s="78" t="n">
        <x:f>IF('Inputs'!$C$46&gt;0,('Inputs'!$B$30*(3*266*'Inputs'!$B$12-266^2)/(2*'Inputs'!$B$12^2))-('Inputs'!$B$30*(3*265*'Inputs'!$B$12-265^2)/(2*'Inputs'!$B$12^2)),0)</x:f>
        <x:v>268144.35166072845</x:v>
      </x:c>
      <x:c r="E999" s="78" t="n">
        <x:f>C999+D999</x:f>
        <x:v>893814.5055357516</x:v>
      </x:c>
      <x:c r="F999" s="78" t="n">
        <x:f>'Inputs'!$B$13*E999+(1-'Inputs'!$B$13)/'Inputs'!$B$14*SUM(E944:E999)</x:f>
        <x:v>904032.1823981993</x:v>
      </x:c>
      <x:c r="G999" s="78" t="n">
        <x:f>F999*'Inputs'!$F$46</x:f>
        <x:v>452016.09119909967</x:v>
      </x:c>
      <x:c r="H999" s="78" t="n">
        <x:f>U998</x:f>
        <x:v>121930710.28205259</x:v>
      </x:c>
      <x:c r="I999" s="78" t="n">
        <x:f>V998</x:f>
        <x:v>238.6311939948784</x:v>
      </x:c>
      <x:c r="J999" s="79" t="n">
        <x:f>IF(H999&gt;0,I999/H999,0)</x:f>
        <x:v>0.0000019571049282241685</x:v>
      </x:c>
      <x:c r="K999" s="80" t="n">
        <x:f>(H999*J999+I999)*'Inputs'!$D$46*(1+'Inputs'!$G$46)^(B999/30)</x:f>
        <x:v>477.2623879897568</x:v>
      </x:c>
      <x:c r="L999" s="80" t="n">
        <x:f>MAX(0,K999*'Inputs'!$E$46)</x:f>
        <x:v>0</x:v>
      </x:c>
      <x:c r="M999" s="80" t="n">
        <x:f>MAX(0,-K999*'Inputs'!$E$46)</x:f>
        <x:v>0</x:v>
      </x:c>
      <x:c r="N999" s="78" t="n">
        <x:f>H999*(L999*(1-'Inputs'!$B$15))/(I999+L999*(1-'Inputs'!$B$15))</x:f>
        <x:v>0</x:v>
      </x:c>
      <x:c r="O999" s="78" t="n">
        <x:f>H999-N999</x:f>
        <x:v>121930710.28205259</x:v>
      </x:c>
      <x:c r="P999" s="78" t="n">
        <x:f>I999+L999*(1-'Inputs'!$B$17)</x:f>
        <x:v>238.6311939948784</x:v>
      </x:c>
      <x:c r="Q999" s="78" t="n">
        <x:f>IF(J999&gt;0,M999/J999,0)</x:f>
        <x:v>0</x:v>
      </x:c>
      <x:c r="R999" s="78" t="n">
        <x:f>IF(B999='Inputs'!$H$46,'Inputs'!$B$27*'Inputs'!$I$46,0)</x:f>
        <x:v>0</x:v>
      </x:c>
      <x:c r="S999" s="78" t="n">
        <x:f>Q999+G999+R999</x:f>
        <x:v>452016.09119909967</x:v>
      </x:c>
      <x:c r="T999" s="78" t="n">
        <x:f>P999*(S999*(1-'Inputs'!$B$15))/(O999+S999*(1-'Inputs'!$B$15))</x:f>
        <x:v>0.8725939973901501</x:v>
      </x:c>
      <x:c r="U999" s="78" t="n">
        <x:f>O999+S999*(1-'Inputs'!$B$17)</x:f>
        <x:v>122380907.39501749</x:v>
      </x:c>
      <x:c r="V999" s="78" t="n">
        <x:f>P999-T999</x:f>
        <x:v>237.75859999748826</x:v>
      </x:c>
      <x:c r="W999" s="79" t="n">
        <x:f>IF(U999&gt;0,V999/U999,0)</x:f>
        <x:v>0.0000019427752666521587</x:v>
      </x:c>
      <x:c r="X999" s="80" t="n">
        <x:f>W999*('Inputs'!$B$6-AC999)</x:f>
        <x:v>1816.3495440875533</x:v>
      </x:c>
      <x:c r="Y999" s="80" t="n">
        <x:f>2*V999</x:f>
        <x:v>475.5171999949765</x:v>
      </x:c>
      <x:c r="Z999" s="80" t="n">
        <x:f>K999*'Inputs'!$B$16+(G999+R999)*J999*'Inputs'!$B$16</x:f>
        <x:v>2.8688821854568753</x:v>
      </x:c>
      <x:c r="AA999" s="80" t="n">
        <x:f>K999*(1+'Inputs'!$E$46)/2*'Inputs'!$B$17</x:f>
        <x:v>0.9602864949492089</x:v>
      </x:c>
      <x:c r="AB999" s="78" t="n">
        <x:f>(IF(J999&gt;0,K999*(1-'Inputs'!$E$46)/2/J999,0)+G999+R999)*'Inputs'!$B$17</x:f>
        <x:v>492485.82041549974</x:v>
      </x:c>
      <x:c r="AC999" s="78" t="n">
        <x:f>AC998+AB999</x:f>
        <x:v>65074805.47786953</x:v>
      </x:c>
      <x:c r="AD999" s="80" t="n">
        <x:f>Z999/(1+'Inputs'!$C$46)</x:f>
        <x:v>1.4344410927284377</x:v>
      </x:c>
      <x:c r="AE999" s="80" t="n">
        <x:f>Z999-AD999</x:f>
        <x:v>1.4344410927284377</x:v>
      </x:c>
      <x:c r="AF999" s="80" t="n">
        <x:f>D999*W999</x:f>
        <x:v>0.520944214298942</x:v>
      </x:c>
      <x:c r="AG999" s="80" t="n">
        <x:f>C999*W999</x:f>
        <x:v>1.2155365000308453</x:v>
      </x:c>
      <x:c r="AH999" s="80" t="n">
        <x:f>2*'Inputs'!$B$8*'Inputs'!$C$46</x:f>
        <x:v>5000</x:v>
      </x:c>
      <x:c r="AI999" s="81" t="n">
        <x:f>IF(AH999&gt;0,(AE999+AF999)/AH999*365,0)</x:f>
        <x:v>0.14274312741299872</x:v>
      </x:c>
      <x:c r="AJ999" s="81" t="n">
        <x:f>IF('Inputs'!$B$46&gt;0,AG999/('Inputs'!$B$19*'Inputs'!$B$46)*365,0)</x:f>
        <x:v>0.04436708225112586</x:v>
      </x:c>
      <x:c r="AK999" s="81" t="n">
        <x:f>W999/MAX($W$734:W999)-1</x:f>
        <x:v>-0.9976948150468576</x:v>
      </x:c>
      <x:c r="AL999" s="83" t="n">
        <x:f>'Inputs'!$B$46</x:f>
        <x:v>1</x:v>
      </x:c>
      <x:c r="AM999" s="83" t="n">
        <x:f>'Inputs'!$C$46</x:f>
        <x:v>1</x:v>
      </x:c>
      <x:c r="AN999" s="83" t="n">
        <x:f>'Inputs'!$D$46</x:f>
        <x:v>1</x:v>
      </x:c>
      <x:c r="AO999" s="81" t="n">
        <x:f>'Inputs'!$E$46</x:f>
        <x:v>0</x:v>
      </x:c>
    </x:row>
    <x:row r="1000">
      <x:c r="A1000" s="59" t="str">
        <x:v>Base</x:v>
      </x:c>
      <x:c r="B1000" s="59" t="n">
        <x:v>267</x:v>
      </x:c>
      <x:c r="C1000" s="78" t="n">
        <x:f>(('Inputs'!$B$29*(3*267*'Inputs'!$B$12-267^2)/(2*'Inputs'!$B$12^2))-('Inputs'!$B$29*(3*266*'Inputs'!$B$12-266^2)/(2*'Inputs'!$B$12^2)))*'Inputs'!$B$46</x:f>
        <x:v>625345.0459748805</x:v>
      </x:c>
      <x:c r="D1000" s="78" t="n">
        <x:f>IF('Inputs'!$C$46&gt;0,('Inputs'!$B$30*(3*267*'Inputs'!$B$12-267^2)/(2*'Inputs'!$B$12^2))-('Inputs'!$B$30*(3*266*'Inputs'!$B$12-266^2)/(2*'Inputs'!$B$12^2)),0)</x:f>
        <x:v>268005.0197035074</x:v>
      </x:c>
      <x:c r="E1000" s="78" t="n">
        <x:f>C1000+D1000</x:f>
        <x:v>893350.0656783879</x:v>
      </x:c>
      <x:c r="F1000" s="78" t="n">
        <x:f>'Inputs'!$B$13*E1000+(1-'Inputs'!$B$13)/'Inputs'!$B$14*SUM(E945:E1000)</x:f>
        <x:v>903567.7425408192</x:v>
      </x:c>
      <x:c r="G1000" s="78" t="n">
        <x:f>F1000*'Inputs'!$F$46</x:f>
        <x:v>451783.8712704096</x:v>
      </x:c>
      <x:c r="H1000" s="78" t="n">
        <x:f>U999</x:f>
        <x:v>122380907.39501749</x:v>
      </x:c>
      <x:c r="I1000" s="78" t="n">
        <x:f>V999</x:f>
        <x:v>237.75859999748826</x:v>
      </x:c>
      <x:c r="J1000" s="79" t="n">
        <x:f>IF(H1000&gt;0,I1000/H1000,0)</x:f>
        <x:v>0.0000019427752666521587</x:v>
      </x:c>
      <x:c r="K1000" s="80" t="n">
        <x:f>(H1000*J1000+I1000)*'Inputs'!$D$46*(1+'Inputs'!$G$46)^(B1000/30)</x:f>
        <x:v>475.5171999949765</x:v>
      </x:c>
      <x:c r="L1000" s="80" t="n">
        <x:f>MAX(0,K1000*'Inputs'!$E$46)</x:f>
        <x:v>0</x:v>
      </x:c>
      <x:c r="M1000" s="80" t="n">
        <x:f>MAX(0,-K1000*'Inputs'!$E$46)</x:f>
        <x:v>0</x:v>
      </x:c>
      <x:c r="N1000" s="78" t="n">
        <x:f>H1000*(L1000*(1-'Inputs'!$B$15))/(I1000+L1000*(1-'Inputs'!$B$15))</x:f>
        <x:v>0</x:v>
      </x:c>
      <x:c r="O1000" s="78" t="n">
        <x:f>H1000-N1000</x:f>
        <x:v>122380907.39501749</x:v>
      </x:c>
      <x:c r="P1000" s="78" t="n">
        <x:f>I1000+L1000*(1-'Inputs'!$B$17)</x:f>
        <x:v>237.75859999748826</x:v>
      </x:c>
      <x:c r="Q1000" s="78" t="n">
        <x:f>IF(J1000&gt;0,M1000/J1000,0)</x:f>
        <x:v>0</x:v>
      </x:c>
      <x:c r="R1000" s="78" t="n">
        <x:f>IF(B1000='Inputs'!$H$46,'Inputs'!$B$27*'Inputs'!$I$46,0)</x:f>
        <x:v>0</x:v>
      </x:c>
      <x:c r="S1000" s="78" t="n">
        <x:f>Q1000+G1000+R1000</x:f>
        <x:v>451783.8712704096</x:v>
      </x:c>
      <x:c r="T1000" s="78" t="n">
        <x:f>P1000*(S1000*(1-'Inputs'!$B$15))/(O1000+S1000*(1-'Inputs'!$B$15))</x:f>
        <x:v>0.8657732404532948</x:v>
      </x:c>
      <x:c r="U1000" s="78" t="n">
        <x:f>O1000+S1000*(1-'Inputs'!$B$17)</x:f>
        <x:v>122830873.22254033</x:v>
      </x:c>
      <x:c r="V1000" s="78" t="n">
        <x:f>P1000-T1000</x:f>
        <x:v>236.89282675703495</x:v>
      </x:c>
      <x:c r="W1000" s="79" t="n">
        <x:f>IF(U1000&gt;0,V1000/U1000,0)</x:f>
        <x:v>0.000001928609807469507</x:v>
      </x:c>
      <x:c r="X1000" s="80" t="n">
        <x:f>W1000*('Inputs'!$B$6-AC1000)</x:f>
        <x:v>1802.1525942425221</x:v>
      </x:c>
      <x:c r="Y1000" s="80" t="n">
        <x:f>2*V1000</x:f>
        <x:v>473.7856535140699</x:v>
      </x:c>
      <x:c r="Z1000" s="80" t="n">
        <x:f>K1000*'Inputs'!$B$16+(G1000+R1000)*J1000*'Inputs'!$B$16</x:f>
        <x:v>2.8583694871557186</x:v>
      </x:c>
      <x:c r="AA1000" s="80" t="n">
        <x:f>K1000*(1+'Inputs'!$E$46)/2*'Inputs'!$B$17</x:f>
        <x:v>0.9567750502917034</x:v>
      </x:c>
      <x:c r="AB1000" s="78" t="n">
        <x:f>(IF(J1000&gt;0,K1000*(1-'Inputs'!$E$46)/2/J1000,0)+G1000+R1000)*'Inputs'!$B$17</x:f>
        <x:v>494296.54433113843</x:v>
      </x:c>
      <x:c r="AC1000" s="78" t="n">
        <x:f>AC999+AB1000</x:f>
        <x:v>65569102.022200674</x:v>
      </x:c>
      <x:c r="AD1000" s="80" t="n">
        <x:f>Z1000/(1+'Inputs'!$C$46)</x:f>
        <x:v>1.4291847435778593</x:v>
      </x:c>
      <x:c r="AE1000" s="80" t="n">
        <x:f>Z1000-AD1000</x:f>
        <x:v>1.4291847435778593</x:v>
      </x:c>
      <x:c r="AF1000" s="80" t="n">
        <x:f>D1000*W1000</x:f>
        <x:v>0.5168771094512429</x:v>
      </x:c>
      <x:c r="AG1000" s="80" t="n">
        <x:f>C1000*W1000</x:f>
        <x:v>1.2060465887196243</x:v>
      </x:c>
      <x:c r="AH1000" s="80" t="n">
        <x:f>2*'Inputs'!$B$8*'Inputs'!$C$46</x:f>
        <x:v>5000</x:v>
      </x:c>
      <x:c r="AI1000" s="81" t="n">
        <x:f>IF(AH1000&gt;0,(AE1000+AF1000)/AH1000*365,0)</x:f>
        <x:v>0.14206251527112446</x:v>
      </x:c>
      <x:c r="AJ1000" s="81" t="n">
        <x:f>IF('Inputs'!$B$46&gt;0,AG1000/('Inputs'!$B$19*'Inputs'!$B$46)*365,0)</x:f>
        <x:v>0.044020700488266284</x:v>
      </x:c>
      <x:c r="AK1000" s="81" t="n">
        <x:f>W1000/MAX($W$734:W1000)-1</x:f>
        <x:v>-0.9977116229627926</x:v>
      </x:c>
      <x:c r="AL1000" s="83" t="n">
        <x:f>'Inputs'!$B$46</x:f>
        <x:v>1</x:v>
      </x:c>
      <x:c r="AM1000" s="83" t="n">
        <x:f>'Inputs'!$C$46</x:f>
        <x:v>1</x:v>
      </x:c>
      <x:c r="AN1000" s="83" t="n">
        <x:f>'Inputs'!$D$46</x:f>
        <x:v>1</x:v>
      </x:c>
      <x:c r="AO1000" s="81" t="n">
        <x:f>'Inputs'!$E$46</x:f>
        <x:v>0</x:v>
      </x:c>
    </x:row>
    <x:row r="1001">
      <x:c r="A1001" s="59" t="str">
        <x:v>Base</x:v>
      </x:c>
      <x:c r="B1001" s="59" t="n">
        <x:v>268</x:v>
      </x:c>
      <x:c r="C1001" s="78" t="n">
        <x:f>(('Inputs'!$B$29*(3*268*'Inputs'!$B$12-268^2)/(2*'Inputs'!$B$12^2))-('Inputs'!$B$29*(3*267*'Inputs'!$B$12-267^2)/(2*'Inputs'!$B$12^2)))*'Inputs'!$B$46</x:f>
        <x:v>625019.9380746782</x:v>
      </x:c>
      <x:c r="D1001" s="78" t="n">
        <x:f>IF('Inputs'!$C$46&gt;0,('Inputs'!$B$30*(3*268*'Inputs'!$B$12-268^2)/(2*'Inputs'!$B$12^2))-('Inputs'!$B$30*(3*267*'Inputs'!$B$12-267^2)/(2*'Inputs'!$B$12^2)),0)</x:f>
        <x:v>267865.6877462864</x:v>
      </x:c>
      <x:c r="E1001" s="78" t="n">
        <x:f>C1001+D1001</x:f>
        <x:v>892885.6258209646</x:v>
      </x:c>
      <x:c r="F1001" s="78" t="n">
        <x:f>'Inputs'!$B$13*E1001+(1-'Inputs'!$B$13)/'Inputs'!$B$14*SUM(E946:E1001)</x:f>
        <x:v>903103.3026834275</x:v>
      </x:c>
      <x:c r="G1001" s="78" t="n">
        <x:f>F1001*'Inputs'!$F$46</x:f>
        <x:v>451551.65134171373</x:v>
      </x:c>
      <x:c r="H1001" s="78" t="n">
        <x:f>U1000</x:f>
        <x:v>122830873.22254033</x:v>
      </x:c>
      <x:c r="I1001" s="78" t="n">
        <x:f>V1000</x:f>
        <x:v>236.89282675703495</x:v>
      </x:c>
      <x:c r="J1001" s="79" t="n">
        <x:f>IF(H1001&gt;0,I1001/H1001,0)</x:f>
        <x:v>0.000001928609807469507</x:v>
      </x:c>
      <x:c r="K1001" s="80" t="n">
        <x:f>(H1001*J1001+I1001)*'Inputs'!$D$46*(1+'Inputs'!$G$46)^(B1001/30)</x:f>
        <x:v>473.7856535140699</x:v>
      </x:c>
      <x:c r="L1001" s="80" t="n">
        <x:f>MAX(0,K1001*'Inputs'!$E$46)</x:f>
        <x:v>0</x:v>
      </x:c>
      <x:c r="M1001" s="80" t="n">
        <x:f>MAX(0,-K1001*'Inputs'!$E$46)</x:f>
        <x:v>0</x:v>
      </x:c>
      <x:c r="N1001" s="78" t="n">
        <x:f>H1001*(L1001*(1-'Inputs'!$B$15))/(I1001+L1001*(1-'Inputs'!$B$15))</x:f>
        <x:v>0</x:v>
      </x:c>
      <x:c r="O1001" s="78" t="n">
        <x:f>H1001-N1001</x:f>
        <x:v>122830873.22254033</x:v>
      </x:c>
      <x:c r="P1001" s="78" t="n">
        <x:f>I1001+L1001*(1-'Inputs'!$B$17)</x:f>
        <x:v>236.89282675703495</x:v>
      </x:c>
      <x:c r="Q1001" s="78" t="n">
        <x:f>IF(J1001&gt;0,M1001/J1001,0)</x:f>
        <x:v>0</x:v>
      </x:c>
      <x:c r="R1001" s="78" t="n">
        <x:f>IF(B1001='Inputs'!$H$46,'Inputs'!$B$27*'Inputs'!$I$46,0)</x:f>
        <x:v>0</x:v>
      </x:c>
      <x:c r="S1001" s="78" t="n">
        <x:f>Q1001+G1001+R1001</x:f>
        <x:v>451551.65134171373</x:v>
      </x:c>
      <x:c r="T1001" s="78" t="n">
        <x:f>P1001*(S1001*(1-'Inputs'!$B$15))/(O1001+S1001*(1-'Inputs'!$B$15))</x:f>
        <x:v>0.8590318751677005</x:v>
      </x:c>
      <x:c r="U1001" s="78" t="n">
        <x:f>O1001+S1001*(1-'Inputs'!$B$17)</x:f>
        <x:v>123280607.76462111</x:v>
      </x:c>
      <x:c r="V1001" s="78" t="n">
        <x:f>P1001-T1001</x:f>
        <x:v>236.03379488186727</x:v>
      </x:c>
      <x:c r="W1001" s="79" t="n">
        <x:f>IF(U1001&gt;0,V1001/U1001,0)</x:f>
        <x:v>0.0000019146060289751743</x:v>
      </x:c>
      <x:c r="X1001" s="80" t="n">
        <x:f>W1001*('Inputs'!$B$6-AC1001)</x:f>
        <x:v>1788.1171827441508</x:v>
      </x:c>
      <x:c r="Y1001" s="80" t="n">
        <x:f>2*V1001</x:f>
        <x:v>472.06758976373453</x:v>
      </x:c>
      <x:c r="Z1001" s="80" t="n">
        <x:f>K1001*'Inputs'!$B$16+(G1001+R1001)*J1001*'Inputs'!$B$16</x:f>
        <x:v>2.8479391227445596</x:v>
      </x:c>
      <x:c r="AA1001" s="80" t="n">
        <x:f>K1001*(1+'Inputs'!$E$46)/2*'Inputs'!$B$17</x:f>
        <x:v>0.9532910533482293</x:v>
      </x:c>
      <x:c r="AB1001" s="78" t="n">
        <x:f>(IF(J1001&gt;0,K1001*(1-'Inputs'!$E$46)/2/J1001,0)+G1001+R1001)*'Inputs'!$B$17</x:f>
        <x:v>496106.3375206521</x:v>
      </x:c>
      <x:c r="AC1001" s="78" t="n">
        <x:f>AC1000+AB1001</x:f>
        <x:v>66065208.359721325</x:v>
      </x:c>
      <x:c r="AD1001" s="80" t="n">
        <x:f>Z1001/(1+'Inputs'!$C$46)</x:f>
        <x:v>1.4239695613722798</x:v>
      </x:c>
      <x:c r="AE1001" s="80" t="n">
        <x:f>Z1001-AD1001</x:f>
        <x:v>1.4239695613722798</x:v>
      </x:c>
      <x:c r="AF1001" s="80" t="n">
        <x:f>D1001*W1001</x:f>
        <x:v>0.5128572607146215</x:v>
      </x:c>
      <x:c r="AG1001" s="80" t="n">
        <x:f>C1001*W1001</x:f>
        <x:v>1.196666941667469</x:v>
      </x:c>
      <x:c r="AH1001" s="80" t="n">
        <x:f>2*'Inputs'!$B$8*'Inputs'!$C$46</x:f>
        <x:v>5000</x:v>
      </x:c>
      <x:c r="AI1001" s="81" t="n">
        <x:f>IF(AH1001&gt;0,(AE1001+AF1001)/AH1001*365,0)</x:f>
        <x:v>0.14138835801234378</x:v>
      </x:c>
      <x:c r="AJ1001" s="81" t="n">
        <x:f>IF('Inputs'!$B$46&gt;0,AG1001/('Inputs'!$B$19*'Inputs'!$B$46)*365,0)</x:f>
        <x:v>0.04367834337086261</x:v>
      </x:c>
      <x:c r="AK1001" s="81" t="n">
        <x:f>W1001/MAX($W$734:W1001)-1</x:f>
        <x:v>-0.9977282390377583</x:v>
      </x:c>
      <x:c r="AL1001" s="83" t="n">
        <x:f>'Inputs'!$B$46</x:f>
        <x:v>1</x:v>
      </x:c>
      <x:c r="AM1001" s="83" t="n">
        <x:f>'Inputs'!$C$46</x:f>
        <x:v>1</x:v>
      </x:c>
      <x:c r="AN1001" s="83" t="n">
        <x:f>'Inputs'!$D$46</x:f>
        <x:v>1</x:v>
      </x:c>
      <x:c r="AO1001" s="81" t="n">
        <x:f>'Inputs'!$E$46</x:f>
        <x:v>0</x:v>
      </x:c>
    </x:row>
    <x:row r="1002">
      <x:c r="A1002" s="59" t="str">
        <x:v>Base</x:v>
      </x:c>
      <x:c r="B1002" s="59" t="n">
        <x:v>269</x:v>
      </x:c>
      <x:c r="C1002" s="78" t="n">
        <x:f>(('Inputs'!$B$29*(3*269*'Inputs'!$B$12-269^2)/(2*'Inputs'!$B$12^2))-('Inputs'!$B$29*(3*268*'Inputs'!$B$12-268^2)/(2*'Inputs'!$B$12^2)))*'Inputs'!$B$46</x:f>
        <x:v>624694.8301745057</x:v>
      </x:c>
      <x:c r="D1002" s="78" t="n">
        <x:f>IF('Inputs'!$C$46&gt;0,('Inputs'!$B$30*(3*269*'Inputs'!$B$12-269^2)/(2*'Inputs'!$B$12^2))-('Inputs'!$B$30*(3*268*'Inputs'!$B$12-268^2)/(2*'Inputs'!$B$12^2)),0)</x:f>
        <x:v>267726.35578908026</x:v>
      </x:c>
      <x:c r="E1002" s="78" t="n">
        <x:f>C1002+D1002</x:f>
        <x:v>892421.185963586</x:v>
      </x:c>
      <x:c r="F1002" s="78" t="n">
        <x:f>'Inputs'!$B$13*E1002+(1-'Inputs'!$B$13)/'Inputs'!$B$14*SUM(E947:E1002)</x:f>
        <x:v>902638.862826044</x:v>
      </x:c>
      <x:c r="G1002" s="78" t="n">
        <x:f>F1002*'Inputs'!$F$46</x:f>
        <x:v>451319.431413022</x:v>
      </x:c>
      <x:c r="H1002" s="78" t="n">
        <x:f>U1001</x:f>
        <x:v>123280607.76462111</x:v>
      </x:c>
      <x:c r="I1002" s="78" t="n">
        <x:f>V1001</x:f>
        <x:v>236.03379488186727</x:v>
      </x:c>
      <x:c r="J1002" s="79" t="n">
        <x:f>IF(H1002&gt;0,I1002/H1002,0)</x:f>
        <x:v>0.0000019146060289751743</x:v>
      </x:c>
      <x:c r="K1002" s="80" t="n">
        <x:f>(H1002*J1002+I1002)*'Inputs'!$D$46*(1+'Inputs'!$G$46)^(B1002/30)</x:f>
        <x:v>472.06758976373453</x:v>
      </x:c>
      <x:c r="L1002" s="80" t="n">
        <x:f>MAX(0,K1002*'Inputs'!$E$46)</x:f>
        <x:v>0</x:v>
      </x:c>
      <x:c r="M1002" s="80" t="n">
        <x:f>MAX(0,-K1002*'Inputs'!$E$46)</x:f>
        <x:v>0</x:v>
      </x:c>
      <x:c r="N1002" s="78" t="n">
        <x:f>H1002*(L1002*(1-'Inputs'!$B$15))/(I1002+L1002*(1-'Inputs'!$B$15))</x:f>
        <x:v>0</x:v>
      </x:c>
      <x:c r="O1002" s="78" t="n">
        <x:f>H1002-N1002</x:f>
        <x:v>123280607.76462111</x:v>
      </x:c>
      <x:c r="P1002" s="78" t="n">
        <x:f>I1002+L1002*(1-'Inputs'!$B$17)</x:f>
        <x:v>236.03379488186727</x:v>
      </x:c>
      <x:c r="Q1002" s="78" t="n">
        <x:f>IF(J1002&gt;0,M1002/J1002,0)</x:f>
        <x:v>0</x:v>
      </x:c>
      <x:c r="R1002" s="78" t="n">
        <x:f>IF(B1002='Inputs'!$H$46,'Inputs'!$B$27*'Inputs'!$I$46,0)</x:f>
        <x:v>0</x:v>
      </x:c>
      <x:c r="S1002" s="78" t="n">
        <x:f>Q1002+G1002+R1002</x:f>
        <x:v>451319.431413022</x:v>
      </x:c>
      <x:c r="T1002" s="78" t="n">
        <x:f>P1002*(S1002*(1-'Inputs'!$B$15))/(O1002+S1002*(1-'Inputs'!$B$15))</x:f>
        <x:v>0.8523686732664816</x:v>
      </x:c>
      <x:c r="U1002" s="78" t="n">
        <x:f>O1002+S1002*(1-'Inputs'!$B$17)</x:f>
        <x:v>123730111.02125983</x:v>
      </x:c>
      <x:c r="V1002" s="78" t="n">
        <x:f>P1002-T1002</x:f>
        <x:v>235.18142620860078</x:v>
      </x:c>
      <x:c r="W1002" s="79" t="n">
        <x:f>IF(U1002&gt;0,V1002/U1002,0)</x:f>
        <x:v>0.0000019007614578814281</x:v>
      </x:c>
      <x:c r="X1002" s="80" t="n">
        <x:f>W1002*('Inputs'!$B$6-AC1002)</x:f>
        <x:v>1774.2408381029409</x:v>
      </x:c>
      <x:c r="Y1002" s="80" t="n">
        <x:f>2*V1002</x:f>
        <x:v>470.36285241720157</x:v>
      </x:c>
      <x:c r="Z1002" s="80" t="n">
        <x:f>K1002*'Inputs'!$B$16+(G1002+R1002)*J1002*'Inputs'!$B$16</x:f>
        <x:v>2.8375901320086694</x:v>
      </x:c>
      <x:c r="AA1002" s="80" t="n">
        <x:f>K1002*(1+'Inputs'!$E$46)/2*'Inputs'!$B$17</x:f>
        <x:v>0.9498341846352808</x:v>
      </x:c>
      <x:c r="AB1002" s="78" t="n">
        <x:f>(IF(J1002&gt;0,K1002*(1-'Inputs'!$E$46)/2/J1002,0)+G1002+R1002)*'Inputs'!$B$17</x:f>
        <x:v>497915.1999840408</x:v>
      </x:c>
      <x:c r="AC1002" s="78" t="n">
        <x:f>AC1001+AB1002</x:f>
        <x:v>66563123.55970537</x:v>
      </x:c>
      <x:c r="AD1002" s="80" t="n">
        <x:f>Z1002/(1+'Inputs'!$C$46)</x:f>
        <x:v>1.4187950660043347</x:v>
      </x:c>
      <x:c r="AE1002" s="80" t="n">
        <x:f>Z1002-AD1002</x:f>
        <x:v>1.4187950660043347</x:v>
      </x:c>
      <x:c r="AF1002" s="80" t="n">
        <x:f>D1002*W1002</x:f>
        <x:v>0.5088839383429341</x:v>
      </x:c>
      <x:c r="AG1002" s="80" t="n">
        <x:f>C1002*W1002</x:f>
        <x:v>1.1873958561334845</x:v>
      </x:c>
      <x:c r="AH1002" s="80" t="n">
        <x:f>2*'Inputs'!$B$8*'Inputs'!$C$46</x:f>
        <x:v>5000</x:v>
      </x:c>
      <x:c r="AI1002" s="81" t="n">
        <x:f>IF(AH1002&gt;0,(AE1002+AF1002)/AH1002*365,0)</x:f>
        <x:v>0.14072056731735064</x:v>
      </x:c>
      <x:c r="AJ1002" s="81" t="n">
        <x:f>IF('Inputs'!$B$46&gt;0,AG1002/('Inputs'!$B$19*'Inputs'!$B$46)*365,0)</x:f>
        <x:v>0.04333994874887218</x:v>
      </x:c>
      <x:c r="AK1002" s="81" t="n">
        <x:f>W1002/MAX($W$734:W1002)-1</x:f>
        <x:v>-0.9977446662064153</x:v>
      </x:c>
      <x:c r="AL1002" s="83" t="n">
        <x:f>'Inputs'!$B$46</x:f>
        <x:v>1</x:v>
      </x:c>
      <x:c r="AM1002" s="83" t="n">
        <x:f>'Inputs'!$C$46</x:f>
        <x:v>1</x:v>
      </x:c>
      <x:c r="AN1002" s="83" t="n">
        <x:f>'Inputs'!$D$46</x:f>
        <x:v>1</x:v>
      </x:c>
      <x:c r="AO1002" s="81" t="n">
        <x:f>'Inputs'!$E$46</x:f>
        <x:v>0</x:v>
      </x:c>
    </x:row>
    <x:row r="1003">
      <x:c r="A1003" s="59" t="str">
        <x:v>Base</x:v>
      </x:c>
      <x:c r="B1003" s="59" t="n">
        <x:v>270</x:v>
      </x:c>
      <x:c r="C1003" s="78" t="n">
        <x:f>(('Inputs'!$B$29*(3*270*'Inputs'!$B$12-270^2)/(2*'Inputs'!$B$12^2))-('Inputs'!$B$29*(3*269*'Inputs'!$B$12-269^2)/(2*'Inputs'!$B$12^2)))*'Inputs'!$B$46</x:f>
        <x:v>624369.722274363</x:v>
      </x:c>
      <x:c r="D1003" s="78" t="n">
        <x:f>IF('Inputs'!$C$46&gt;0,('Inputs'!$B$30*(3*270*'Inputs'!$B$12-270^2)/(2*'Inputs'!$B$12^2))-('Inputs'!$B$30*(3*269*'Inputs'!$B$12-269^2)/(2*'Inputs'!$B$12^2)),0)</x:f>
        <x:v>267587.02383185923</x:v>
      </x:c>
      <x:c r="E1003" s="78" t="n">
        <x:f>C1003+D1003</x:f>
        <x:v>891956.7461062223</x:v>
      </x:c>
      <x:c r="F1003" s="78" t="n">
        <x:f>'Inputs'!$B$13*E1003+(1-'Inputs'!$B$13)/'Inputs'!$B$14*SUM(E948:E1003)</x:f>
        <x:v>902174.4229686646</x:v>
      </x:c>
      <x:c r="G1003" s="78" t="n">
        <x:f>F1003*'Inputs'!$F$46</x:f>
        <x:v>451087.2114843323</x:v>
      </x:c>
      <x:c r="H1003" s="78" t="n">
        <x:f>U1002</x:f>
        <x:v>123730111.02125983</x:v>
      </x:c>
      <x:c r="I1003" s="78" t="n">
        <x:f>V1002</x:f>
        <x:v>235.18142620860078</x:v>
      </x:c>
      <x:c r="J1003" s="79" t="n">
        <x:f>IF(H1003&gt;0,I1003/H1003,0)</x:f>
        <x:v>0.0000019007614578814281</x:v>
      </x:c>
      <x:c r="K1003" s="80" t="n">
        <x:f>(H1003*J1003+I1003)*'Inputs'!$D$46*(1+'Inputs'!$G$46)^(B1003/30)</x:f>
        <x:v>470.36285241720157</x:v>
      </x:c>
      <x:c r="L1003" s="80" t="n">
        <x:f>MAX(0,K1003*'Inputs'!$E$46)</x:f>
        <x:v>0</x:v>
      </x:c>
      <x:c r="M1003" s="80" t="n">
        <x:f>MAX(0,-K1003*'Inputs'!$E$46)</x:f>
        <x:v>0</x:v>
      </x:c>
      <x:c r="N1003" s="78" t="n">
        <x:f>H1003*(L1003*(1-'Inputs'!$B$15))/(I1003+L1003*(1-'Inputs'!$B$15))</x:f>
        <x:v>0</x:v>
      </x:c>
      <x:c r="O1003" s="78" t="n">
        <x:f>H1003-N1003</x:f>
        <x:v>123730111.02125983</x:v>
      </x:c>
      <x:c r="P1003" s="78" t="n">
        <x:f>I1003+L1003*(1-'Inputs'!$B$17)</x:f>
        <x:v>235.18142620860078</x:v>
      </x:c>
      <x:c r="Q1003" s="78" t="n">
        <x:f>IF(J1003&gt;0,M1003/J1003,0)</x:f>
        <x:v>0</x:v>
      </x:c>
      <x:c r="R1003" s="78" t="n">
        <x:f>IF(B1003='Inputs'!$H$46,'Inputs'!$B$27*'Inputs'!$I$46,0)</x:f>
        <x:v>0</x:v>
      </x:c>
      <x:c r="S1003" s="78" t="n">
        <x:f>Q1003+G1003+R1003</x:f>
        <x:v>451087.2114843323</x:v>
      </x:c>
      <x:c r="T1003" s="78" t="n">
        <x:f>P1003*(S1003*(1-'Inputs'!$B$15))/(O1003+S1003*(1-'Inputs'!$B$15))</x:f>
        <x:v>0.8457824301506658</x:v>
      </x:c>
      <x:c r="U1003" s="78" t="n">
        <x:f>O1003+S1003*(1-'Inputs'!$B$17)</x:f>
        <x:v>124179382.9924565</x:v>
      </x:c>
      <x:c r="V1003" s="78" t="n">
        <x:f>P1003-T1003</x:f>
        <x:v>234.3356437784501</x:v>
      </x:c>
      <x:c r="W1003" s="79" t="n">
        <x:f>IF(U1003&gt;0,V1003/U1003,0)</x:f>
        <x:v>0.0000018870736682005036</x:v>
      </x:c>
      <x:c r="X1003" s="80" t="n">
        <x:f>W1003*('Inputs'!$B$6-AC1003)</x:f>
        <x:v>1760.5211360945452</x:v>
      </x:c>
      <x:c r="Y1003" s="80" t="n">
        <x:f>2*V1003</x:f>
        <x:v>468.6712875569002</x:v>
      </x:c>
      <x:c r="Z1003" s="80" t="n">
        <x:f>K1003*'Inputs'!$B$16+(G1003+R1003)*J1003*'Inputs'!$B$16</x:f>
        <x:v>2.8273215696176055</x:v>
      </x:c>
      <x:c r="AA1003" s="80" t="n">
        <x:f>K1003*(1+'Inputs'!$E$46)/2*'Inputs'!$B$17</x:f>
        <x:v>0.9464041296120757</x:v>
      </x:c>
      <x:c r="AB1003" s="78" t="n">
        <x:f>(IF(J1003&gt;0,K1003*(1-'Inputs'!$E$46)/2/J1003,0)+G1003+R1003)*'Inputs'!$B$17</x:f>
        <x:v>499723.1317213045</x:v>
      </x:c>
      <x:c r="AC1003" s="78" t="n">
        <x:f>AC1002+AB1003</x:f>
        <x:v>67062846.69142667</x:v>
      </x:c>
      <x:c r="AD1003" s="80" t="n">
        <x:f>Z1003/(1+'Inputs'!$C$46)</x:f>
        <x:v>1.4136607848088028</x:v>
      </x:c>
      <x:c r="AE1003" s="80" t="n">
        <x:f>Z1003-AD1003</x:f>
        <x:v>1.4136607848088028</x:v>
      </x:c>
      <x:c r="AF1003" s="80" t="n">
        <x:f>D1003*W1003</x:f>
        <x:v>0.5049564266252422</x:v>
      </x:c>
      <x:c r="AG1003" s="80" t="n">
        <x:f>C1003*W1003</x:f>
        <x:v>1.178231662125612</x:v>
      </x:c>
      <x:c r="AH1003" s="80" t="n">
        <x:f>2*'Inputs'!$B$8*'Inputs'!$C$46</x:f>
        <x:v>5000</x:v>
      </x:c>
      <x:c r="AI1003" s="81" t="n">
        <x:f>IF(AH1003&gt;0,(AE1003+AF1003)/AH1003*365,0)</x:f>
        <x:v>0.14005905643468528</x:v>
      </x:c>
      <x:c r="AJ1003" s="81" t="n">
        <x:f>IF('Inputs'!$B$46&gt;0,AG1003/('Inputs'!$B$19*'Inputs'!$B$46)*365,0)</x:f>
        <x:v>0.04300545566758484</x:v>
      </x:c>
      <x:c r="AK1003" s="81" t="n">
        <x:f>W1003/MAX($W$734:W1003)-1</x:f>
        <x:v>-0.9977609073473006</x:v>
      </x:c>
      <x:c r="AL1003" s="83" t="n">
        <x:f>'Inputs'!$B$46</x:f>
        <x:v>1</x:v>
      </x:c>
      <x:c r="AM1003" s="83" t="n">
        <x:f>'Inputs'!$C$46</x:f>
        <x:v>1</x:v>
      </x:c>
      <x:c r="AN1003" s="83" t="n">
        <x:f>'Inputs'!$D$46</x:f>
        <x:v>1</x:v>
      </x:c>
      <x:c r="AO1003" s="81" t="n">
        <x:f>'Inputs'!$E$46</x:f>
        <x:v>0</x:v>
      </x:c>
    </x:row>
    <x:row r="1004">
      <x:c r="A1004" s="59" t="str">
        <x:v>Base</x:v>
      </x:c>
      <x:c r="B1004" s="59" t="n">
        <x:v>271</x:v>
      </x:c>
      <x:c r="C1004" s="78" t="n">
        <x:f>(('Inputs'!$B$29*(3*271*'Inputs'!$B$12-271^2)/(2*'Inputs'!$B$12^2))-('Inputs'!$B$29*(3*270*'Inputs'!$B$12-270^2)/(2*'Inputs'!$B$12^2)))*'Inputs'!$B$46</x:f>
        <x:v>624044.6143741608</x:v>
      </x:c>
      <x:c r="D1004" s="78" t="n">
        <x:f>IF('Inputs'!$C$46&gt;0,('Inputs'!$B$30*(3*271*'Inputs'!$B$12-271^2)/(2*'Inputs'!$B$12^2))-('Inputs'!$B$30*(3*270*'Inputs'!$B$12-270^2)/(2*'Inputs'!$B$12^2)),0)</x:f>
        <x:v>267447.6918746531</x:v>
      </x:c>
      <x:c r="E1004" s="78" t="n">
        <x:f>C1004+D1004</x:f>
        <x:v>891492.3062488139</x:v>
      </x:c>
      <x:c r="F1004" s="78" t="n">
        <x:f>'Inputs'!$B$13*E1004+(1-'Inputs'!$B$13)/'Inputs'!$B$14*SUM(E949:E1004)</x:f>
        <x:v>901709.9831112752</x:v>
      </x:c>
      <x:c r="G1004" s="78" t="n">
        <x:f>F1004*'Inputs'!$F$46</x:f>
        <x:v>450854.9915556376</x:v>
      </x:c>
      <x:c r="H1004" s="78" t="n">
        <x:f>U1003</x:f>
        <x:v>124179382.9924565</x:v>
      </x:c>
      <x:c r="I1004" s="78" t="n">
        <x:f>V1003</x:f>
        <x:v>234.3356437784501</x:v>
      </x:c>
      <x:c r="J1004" s="79" t="n">
        <x:f>IF(H1004&gt;0,I1004/H1004,0)</x:f>
        <x:v>0.0000018870736682005036</x:v>
      </x:c>
      <x:c r="K1004" s="80" t="n">
        <x:f>(H1004*J1004+I1004)*'Inputs'!$D$46*(1+'Inputs'!$G$46)^(B1004/30)</x:f>
        <x:v>468.6712875569002</x:v>
      </x:c>
      <x:c r="L1004" s="80" t="n">
        <x:f>MAX(0,K1004*'Inputs'!$E$46)</x:f>
        <x:v>0</x:v>
      </x:c>
      <x:c r="M1004" s="80" t="n">
        <x:f>MAX(0,-K1004*'Inputs'!$E$46)</x:f>
        <x:v>0</x:v>
      </x:c>
      <x:c r="N1004" s="78" t="n">
        <x:f>H1004*(L1004*(1-'Inputs'!$B$15))/(I1004+L1004*(1-'Inputs'!$B$15))</x:f>
        <x:v>0</x:v>
      </x:c>
      <x:c r="O1004" s="78" t="n">
        <x:f>H1004-N1004</x:f>
        <x:v>124179382.9924565</x:v>
      </x:c>
      <x:c r="P1004" s="78" t="n">
        <x:f>I1004+L1004*(1-'Inputs'!$B$17)</x:f>
        <x:v>234.3356437784501</x:v>
      </x:c>
      <x:c r="Q1004" s="78" t="n">
        <x:f>IF(J1004&gt;0,M1004/J1004,0)</x:f>
        <x:v>0</x:v>
      </x:c>
      <x:c r="R1004" s="78" t="n">
        <x:f>IF(B1004='Inputs'!$H$46,'Inputs'!$B$27*'Inputs'!$I$46,0)</x:f>
        <x:v>0</x:v>
      </x:c>
      <x:c r="S1004" s="78" t="n">
        <x:f>Q1004+G1004+R1004</x:f>
        <x:v>450854.9915556376</x:v>
      </x:c>
      <x:c r="T1004" s="78" t="n">
        <x:f>P1004*(S1004*(1-'Inputs'!$B$15))/(O1004+S1004*(1-'Inputs'!$B$15))</x:f>
        <x:v>0.8392719643439258</x:v>
      </x:c>
      <x:c r="U1004" s="78" t="n">
        <x:f>O1004+S1004*(1-'Inputs'!$B$17)</x:f>
        <x:v>124628423.67821111</x:v>
      </x:c>
      <x:c r="V1004" s="78" t="n">
        <x:f>P1004-T1004</x:f>
        <x:v>233.49637181410617</x:v>
      </x:c>
      <x:c r="W1004" s="79" t="n">
        <x:f>IF(U1004&gt;0,V1004/U1004,0)</x:f>
        <x:v>0.000001873540280161054</x:v>
      </x:c>
      <x:c r="X1004" s="80" t="n">
        <x:f>W1004*('Inputs'!$B$6-AC1004)</x:f>
        <x:v>1746.9556986770117</x:v>
      </x:c>
      <x:c r="Y1004" s="80" t="n">
        <x:f>2*V1004</x:f>
        <x:v>466.99274362821234</x:v>
      </x:c>
      <x:c r="Z1004" s="80" t="n">
        <x:f>K1004*'Inputs'!$B$16+(G1004+R1004)*J1004*'Inputs'!$B$16</x:f>
        <x:v>2.8171325048378497</x:v>
      </x:c>
      <x:c r="AA1004" s="80" t="n">
        <x:f>K1004*(1+'Inputs'!$E$46)/2*'Inputs'!$B$17</x:f>
        <x:v>0.9430005785853124</x:v>
      </x:c>
      <x:c r="AB1004" s="78" t="n">
        <x:f>(IF(J1004&gt;0,K1004*(1-'Inputs'!$E$46)/2/J1004,0)+G1004+R1004)*'Inputs'!$B$17</x:f>
        <x:v>501530.1327324432</x:v>
      </x:c>
      <x:c r="AC1004" s="78" t="n">
        <x:f>AC1003+AB1004</x:f>
        <x:v>67564376.82415912</x:v>
      </x:c>
      <x:c r="AD1004" s="80" t="n">
        <x:f>Z1004/(1+'Inputs'!$C$46)</x:f>
        <x:v>1.4085662524189249</x:v>
      </x:c>
      <x:c r="AE1004" s="80" t="n">
        <x:f>Z1004-AD1004</x:f>
        <x:v>1.4085662524189249</x:v>
      </x:c>
      <x:c r="AF1004" s="80" t="n">
        <x:f>D1004*W1004</x:f>
        <x:v>0.5010740235632648</x:v>
      </x:c>
      <x:c r="AG1004" s="80" t="n">
        <x:f>C1004*W1004</x:f>
        <x:v>1.169172721647562</x:v>
      </x:c>
      <x:c r="AH1004" s="80" t="n">
        <x:f>2*'Inputs'!$B$8*'Inputs'!$C$46</x:f>
        <x:v>5000</x:v>
      </x:c>
      <x:c r="AI1004" s="81" t="n">
        <x:f>IF(AH1004&gt;0,(AE1004+AF1004)/AH1004*365,0)</x:f>
        <x:v>0.13940374014669984</x:v>
      </x:c>
      <x:c r="AJ1004" s="81" t="n">
        <x:f>IF('Inputs'!$B$46&gt;0,AG1004/('Inputs'!$B$19*'Inputs'!$B$46)*365,0)</x:f>
        <x:v>0.04267480434013601</x:v>
      </x:c>
      <x:c r="AK1004" s="81" t="n">
        <x:f>W1004/MAX($W$734:W1004)-1</x:f>
        <x:v>-0.9977769652841135</x:v>
      </x:c>
      <x:c r="AL1004" s="83" t="n">
        <x:f>'Inputs'!$B$46</x:f>
        <x:v>1</x:v>
      </x:c>
      <x:c r="AM1004" s="83" t="n">
        <x:f>'Inputs'!$C$46</x:f>
        <x:v>1</x:v>
      </x:c>
      <x:c r="AN1004" s="83" t="n">
        <x:f>'Inputs'!$D$46</x:f>
        <x:v>1</x:v>
      </x:c>
      <x:c r="AO1004" s="81" t="n">
        <x:f>'Inputs'!$E$46</x:f>
        <x:v>0</x:v>
      </x:c>
    </x:row>
    <x:row r="1005">
      <x:c r="A1005" s="59" t="str">
        <x:v>Base</x:v>
      </x:c>
      <x:c r="B1005" s="59" t="n">
        <x:v>272</x:v>
      </x:c>
      <x:c r="C1005" s="78" t="n">
        <x:f>(('Inputs'!$B$29*(3*272*'Inputs'!$B$12-272^2)/(2*'Inputs'!$B$12^2))-('Inputs'!$B$29*(3*271*'Inputs'!$B$12-271^2)/(2*'Inputs'!$B$12^2)))*'Inputs'!$B$46</x:f>
        <x:v>623719.5064740181</x:v>
      </x:c>
      <x:c r="D1005" s="78" t="n">
        <x:f>IF('Inputs'!$C$46&gt;0,('Inputs'!$B$30*(3*272*'Inputs'!$B$12-272^2)/(2*'Inputs'!$B$12^2))-('Inputs'!$B$30*(3*271*'Inputs'!$B$12-271^2)/(2*'Inputs'!$B$12^2)),0)</x:f>
        <x:v>267308.35991743207</x:v>
      </x:c>
      <x:c r="E1005" s="78" t="n">
        <x:f>C1005+D1005</x:f>
        <x:v>891027.8663914502</x:v>
      </x:c>
      <x:c r="F1005" s="78" t="n">
        <x:f>'Inputs'!$B$13*E1005+(1-'Inputs'!$B$13)/'Inputs'!$B$14*SUM(E950:E1005)</x:f>
        <x:v>901245.5432538954</x:v>
      </x:c>
      <x:c r="G1005" s="78" t="n">
        <x:f>F1005*'Inputs'!$F$46</x:f>
        <x:v>450622.7716269477</x:v>
      </x:c>
      <x:c r="H1005" s="78" t="n">
        <x:f>U1004</x:f>
        <x:v>124628423.67821111</x:v>
      </x:c>
      <x:c r="I1005" s="78" t="n">
        <x:f>V1004</x:f>
        <x:v>233.49637181410617</x:v>
      </x:c>
      <x:c r="J1005" s="79" t="n">
        <x:f>IF(H1005&gt;0,I1005/H1005,0)</x:f>
        <x:v>0.000001873540280161054</x:v>
      </x:c>
      <x:c r="K1005" s="80" t="n">
        <x:f>(H1005*J1005+I1005)*'Inputs'!$D$46*(1+'Inputs'!$G$46)^(B1005/30)</x:f>
        <x:v>466.99274362821234</x:v>
      </x:c>
      <x:c r="L1005" s="80" t="n">
        <x:f>MAX(0,K1005*'Inputs'!$E$46)</x:f>
        <x:v>0</x:v>
      </x:c>
      <x:c r="M1005" s="80" t="n">
        <x:f>MAX(0,-K1005*'Inputs'!$E$46)</x:f>
        <x:v>0</x:v>
      </x:c>
      <x:c r="N1005" s="78" t="n">
        <x:f>H1005*(L1005*(1-'Inputs'!$B$15))/(I1005+L1005*(1-'Inputs'!$B$15))</x:f>
        <x:v>0</x:v>
      </x:c>
      <x:c r="O1005" s="78" t="n">
        <x:f>H1005-N1005</x:f>
        <x:v>124628423.67821111</x:v>
      </x:c>
      <x:c r="P1005" s="78" t="n">
        <x:f>I1005+L1005*(1-'Inputs'!$B$17)</x:f>
        <x:v>233.49637181410617</x:v>
      </x:c>
      <x:c r="Q1005" s="78" t="n">
        <x:f>IF(J1005&gt;0,M1005/J1005,0)</x:f>
        <x:v>0</x:v>
      </x:c>
      <x:c r="R1005" s="78" t="n">
        <x:f>IF(B1005='Inputs'!$H$46,'Inputs'!$B$27*'Inputs'!$I$46,0)</x:f>
        <x:v>0</x:v>
      </x:c>
      <x:c r="S1005" s="78" t="n">
        <x:f>Q1005+G1005+R1005</x:f>
        <x:v>450622.7716269477</x:v>
      </x:c>
      <x:c r="T1005" s="78" t="n">
        <x:f>P1005*(S1005*(1-'Inputs'!$B$15))/(O1005+S1005*(1-'Inputs'!$B$15))</x:f>
        <x:v>0.8328361169619387</x:v>
      </x:c>
      <x:c r="U1005" s="78" t="n">
        <x:f>O1005+S1005*(1-'Inputs'!$B$17)</x:f>
        <x:v>125077233.07852367</x:v>
      </x:c>
      <x:c r="V1005" s="78" t="n">
        <x:f>P1005-T1005</x:f>
        <x:v>232.66353569714423</x:v>
      </x:c>
      <x:c r="W1005" s="79" t="n">
        <x:f>IF(U1005&gt;0,V1005/U1005,0)</x:f>
        <x:v>0.0000018601589591534833</x:v>
      </x:c>
      <x:c r="X1005" s="80" t="n">
        <x:f>W1005*('Inputs'!$B$6-AC1005)</x:f>
        <x:v>1733.5421929368924</x:v>
      </x:c>
      <x:c r="Y1005" s="80" t="n">
        <x:f>2*V1005</x:f>
        <x:v>465.32707139428845</x:v>
      </x:c>
      <x:c r="Z1005" s="80" t="n">
        <x:f>K1005*'Inputs'!$B$16+(G1005+R1005)*J1005*'Inputs'!$B$16</x:f>
        <x:v>2.8070220212520796</x:v>
      </x:c>
      <x:c r="AA1005" s="80" t="n">
        <x:f>K1005*(1+'Inputs'!$E$46)/2*'Inputs'!$B$17</x:f>
        <x:v>0.9396232266161215</x:v>
      </x:c>
      <x:c r="AB1005" s="78" t="n">
        <x:f>(IF(J1005&gt;0,K1005*(1-'Inputs'!$E$46)/2/J1005,0)+G1005+R1005)*'Inputs'!$B$17</x:f>
        <x:v>503336.20301745704</x:v>
      </x:c>
      <x:c r="AC1005" s="78" t="n">
        <x:f>AC1004+AB1005</x:f>
        <x:v>68067713.02717657</x:v>
      </x:c>
      <x:c r="AD1005" s="80" t="n">
        <x:f>Z1005/(1+'Inputs'!$C$46)</x:f>
        <x:v>1.4035110106260398</x:v>
      </x:c>
      <x:c r="AE1005" s="80" t="n">
        <x:f>Z1005-AD1005</x:f>
        <x:v>1.4035110106260398</x:v>
      </x:c>
      <x:c r="AF1005" s="80" t="n">
        <x:f>D1005*W1005</x:f>
        <x:v>0.49723604055703513</x:v>
      </x:c>
      <x:c r="AG1005" s="80" t="n">
        <x:f>C1005*W1005</x:f>
        <x:v>1.160217427966434</x:v>
      </x:c>
      <x:c r="AH1005" s="80" t="n">
        <x:f>2*'Inputs'!$B$8*'Inputs'!$C$46</x:f>
        <x:v>5000</x:v>
      </x:c>
      <x:c r="AI1005" s="81" t="n">
        <x:f>IF(AH1005&gt;0,(AE1005+AF1005)/AH1005*365,0)</x:f>
        <x:v>0.13875453473636445</x:v>
      </x:c>
      <x:c r="AJ1005" s="81" t="n">
        <x:f>IF('Inputs'!$B$46&gt;0,AG1005/('Inputs'!$B$19*'Inputs'!$B$46)*365,0)</x:f>
        <x:v>0.04234793612077484</x:v>
      </x:c>
      <x:c r="AK1005" s="81" t="n">
        <x:f>W1005/MAX($W$734:W1005)-1</x:f>
        <x:v>-0.997792842786967</x:v>
      </x:c>
      <x:c r="AL1005" s="83" t="n">
        <x:f>'Inputs'!$B$46</x:f>
        <x:v>1</x:v>
      </x:c>
      <x:c r="AM1005" s="83" t="n">
        <x:f>'Inputs'!$C$46</x:f>
        <x:v>1</x:v>
      </x:c>
      <x:c r="AN1005" s="83" t="n">
        <x:f>'Inputs'!$D$46</x:f>
        <x:v>1</x:v>
      </x:c>
      <x:c r="AO1005" s="81" t="n">
        <x:f>'Inputs'!$E$46</x:f>
        <x:v>0</x:v>
      </x:c>
    </x:row>
    <x:row r="1006">
      <x:c r="A1006" s="59" t="str">
        <x:v>Base</x:v>
      </x:c>
      <x:c r="B1006" s="59" t="n">
        <x:v>273</x:v>
      </x:c>
      <x:c r="C1006" s="78" t="n">
        <x:f>(('Inputs'!$B$29*(3*273*'Inputs'!$B$12-273^2)/(2*'Inputs'!$B$12^2))-('Inputs'!$B$29*(3*272*'Inputs'!$B$12-272^2)/(2*'Inputs'!$B$12^2)))*'Inputs'!$B$46</x:f>
        <x:v>623394.3985738456</x:v>
      </x:c>
      <x:c r="D1006" s="78" t="n">
        <x:f>IF('Inputs'!$C$46&gt;0,('Inputs'!$B$30*(3*273*'Inputs'!$B$12-273^2)/(2*'Inputs'!$B$12^2))-('Inputs'!$B$30*(3*272*'Inputs'!$B$12-272^2)/(2*'Inputs'!$B$12^2)),0)</x:f>
        <x:v>267169.02796022594</x:v>
      </x:c>
      <x:c r="E1006" s="78" t="n">
        <x:f>C1006+D1006</x:f>
        <x:v>890563.4265340716</x:v>
      </x:c>
      <x:c r="F1006" s="78" t="n">
        <x:f>'Inputs'!$B$13*E1006+(1-'Inputs'!$B$13)/'Inputs'!$B$14*SUM(E951:E1006)</x:f>
        <x:v>900781.1033965126</x:v>
      </x:c>
      <x:c r="G1006" s="78" t="n">
        <x:f>F1006*'Inputs'!$F$46</x:f>
        <x:v>450390.5516982563</x:v>
      </x:c>
      <x:c r="H1006" s="78" t="n">
        <x:f>U1005</x:f>
        <x:v>125077233.07852367</x:v>
      </x:c>
      <x:c r="I1006" s="78" t="n">
        <x:f>V1005</x:f>
        <x:v>232.66353569714423</x:v>
      </x:c>
      <x:c r="J1006" s="79" t="n">
        <x:f>IF(H1006&gt;0,I1006/H1006,0)</x:f>
        <x:v>0.0000018601589591534833</x:v>
      </x:c>
      <x:c r="K1006" s="80" t="n">
        <x:f>(H1006*J1006+I1006)*'Inputs'!$D$46*(1+'Inputs'!$G$46)^(B1006/30)</x:f>
        <x:v>465.32707139428845</x:v>
      </x:c>
      <x:c r="L1006" s="80" t="n">
        <x:f>MAX(0,K1006*'Inputs'!$E$46)</x:f>
        <x:v>0</x:v>
      </x:c>
      <x:c r="M1006" s="80" t="n">
        <x:f>MAX(0,-K1006*'Inputs'!$E$46)</x:f>
        <x:v>0</x:v>
      </x:c>
      <x:c r="N1006" s="78" t="n">
        <x:f>H1006*(L1006*(1-'Inputs'!$B$15))/(I1006+L1006*(1-'Inputs'!$B$15))</x:f>
        <x:v>0</x:v>
      </x:c>
      <x:c r="O1006" s="78" t="n">
        <x:f>H1006-N1006</x:f>
        <x:v>125077233.07852367</x:v>
      </x:c>
      <x:c r="P1006" s="78" t="n">
        <x:f>I1006+L1006*(1-'Inputs'!$B$17)</x:f>
        <x:v>232.66353569714423</x:v>
      </x:c>
      <x:c r="Q1006" s="78" t="n">
        <x:f>IF(J1006&gt;0,M1006/J1006,0)</x:f>
        <x:v>0</x:v>
      </x:c>
      <x:c r="R1006" s="78" t="n">
        <x:f>IF(B1006='Inputs'!$H$46,'Inputs'!$B$27*'Inputs'!$I$46,0)</x:f>
        <x:v>0</x:v>
      </x:c>
      <x:c r="S1006" s="78" t="n">
        <x:f>Q1006+G1006+R1006</x:f>
        <x:v>450390.5516982563</x:v>
      </x:c>
      <x:c r="T1006" s="78" t="n">
        <x:f>P1006*(S1006*(1-'Inputs'!$B$15))/(O1006+S1006*(1-'Inputs'!$B$15))</x:f>
        <x:v>0.8264737511958024</x:v>
      </x:c>
      <x:c r="U1006" s="78" t="n">
        <x:f>O1006+S1006*(1-'Inputs'!$B$17)</x:f>
        <x:v>125525811.19339417</x:v>
      </x:c>
      <x:c r="V1006" s="78" t="n">
        <x:f>P1006-T1006</x:f>
        <x:v>231.83706194594842</x:v>
      </x:c>
      <x:c r="W1006" s="79" t="n">
        <x:f>IF(U1006&gt;0,V1006/U1006,0)</x:f>
        <x:v>0.000001846927414703287</x:v>
      </x:c>
      <x:c r="X1006" s="80" t="n">
        <x:f>W1006*('Inputs'!$B$6-AC1006)</x:f>
        <x:v>1720.2783300633344</x:v>
      </x:c>
      <x:c r="Y1006" s="80" t="n">
        <x:f>2*V1006</x:f>
        <x:v>463.67412389189684</x:v>
      </x:c>
      <x:c r="Z1006" s="80" t="n">
        <x:f>K1006*'Inputs'!$B$16+(G1006+R1006)*J1006*'Inputs'!$B$16</x:f>
        <x:v>2.796989216484888</x:v>
      </x:c>
      <x:c r="AA1006" s="80" t="n">
        <x:f>K1006*(1+'Inputs'!$E$46)/2*'Inputs'!$B$17</x:f>
        <x:v>0.9362717734291519</x:v>
      </x:c>
      <x:c r="AB1006" s="78" t="n">
        <x:f>(IF(J1006&gt;0,K1006*(1-'Inputs'!$E$46)/2/J1006,0)+G1006+R1006)*'Inputs'!$B$17</x:f>
        <x:v>505141.3425763458</x:v>
      </x:c>
      <x:c r="AC1006" s="78" t="n">
        <x:f>AC1005+AB1006</x:f>
        <x:v>68572854.36975291</x:v>
      </x:c>
      <x:c r="AD1006" s="80" t="n">
        <x:f>Z1006/(1+'Inputs'!$C$46)</x:f>
        <x:v>1.398494608242444</x:v>
      </x:c>
      <x:c r="AE1006" s="80" t="n">
        <x:f>Z1006-AD1006</x:f>
        <x:v>1.398494608242444</x:v>
      </x:c>
      <x:c r="AF1006" s="80" t="n">
        <x:f>D1006*W1006</x:f>
        <x:v>0.4934418020993703</x:v>
      </x:c>
      <x:c r="AG1006" s="80" t="n">
        <x:f>C1006*W1006</x:f>
        <x:v>1.151364204898503</x:v>
      </x:c>
      <x:c r="AH1006" s="80" t="n">
        <x:f>2*'Inputs'!$B$8*'Inputs'!$C$46</x:f>
        <x:v>5000</x:v>
      </x:c>
      <x:c r="AI1006" s="81" t="n">
        <x:f>IF(AH1006&gt;0,(AE1006+AF1006)/AH1006*365,0)</x:f>
        <x:v>0.13811135795495244</x:v>
      </x:c>
      <x:c r="AJ1006" s="81" t="n">
        <x:f>IF('Inputs'!$B$46&gt;0,AG1006/('Inputs'!$B$19*'Inputs'!$B$46)*365,0)</x:f>
        <x:v>0.04202479347879536</x:v>
      </x:c>
      <x:c r="AK1006" s="81" t="n">
        <x:f>W1006/MAX($W$734:W1006)-1</x:f>
        <x:v>-0.9978085425736057</x:v>
      </x:c>
      <x:c r="AL1006" s="83" t="n">
        <x:f>'Inputs'!$B$46</x:f>
        <x:v>1</x:v>
      </x:c>
      <x:c r="AM1006" s="83" t="n">
        <x:f>'Inputs'!$C$46</x:f>
        <x:v>1</x:v>
      </x:c>
      <x:c r="AN1006" s="83" t="n">
        <x:f>'Inputs'!$D$46</x:f>
        <x:v>1</x:v>
      </x:c>
      <x:c r="AO1006" s="81" t="n">
        <x:f>'Inputs'!$E$46</x:f>
        <x:v>0</x:v>
      </x:c>
    </x:row>
    <x:row r="1007">
      <x:c r="A1007" s="59" t="str">
        <x:v>Base</x:v>
      </x:c>
      <x:c r="B1007" s="59" t="n">
        <x:v>274</x:v>
      </x:c>
      <x:c r="C1007" s="78" t="n">
        <x:f>(('Inputs'!$B$29*(3*274*'Inputs'!$B$12-274^2)/(2*'Inputs'!$B$12^2))-('Inputs'!$B$29*(3*273*'Inputs'!$B$12-273^2)/(2*'Inputs'!$B$12^2)))*'Inputs'!$B$46</x:f>
        <x:v>623069.2906736732</x:v>
      </x:c>
      <x:c r="D1007" s="78" t="n">
        <x:f>IF('Inputs'!$C$46&gt;0,('Inputs'!$B$30*(3*274*'Inputs'!$B$12-274^2)/(2*'Inputs'!$B$12^2))-('Inputs'!$B$30*(3*273*'Inputs'!$B$12-273^2)/(2*'Inputs'!$B$12^2)),0)</x:f>
        <x:v>267029.69600299</x:v>
      </x:c>
      <x:c r="E1007" s="78" t="n">
        <x:f>C1007+D1007</x:f>
        <x:v>890098.9866766632</x:v>
      </x:c>
      <x:c r="F1007" s="78" t="n">
        <x:f>'Inputs'!$B$13*E1007+(1-'Inputs'!$B$13)/'Inputs'!$B$14*SUM(E952:E1007)</x:f>
        <x:v>900316.663539123</x:v>
      </x:c>
      <x:c r="G1007" s="78" t="n">
        <x:f>F1007*'Inputs'!$F$46</x:f>
        <x:v>450158.3317695615</x:v>
      </x:c>
      <x:c r="H1007" s="78" t="n">
        <x:f>U1006</x:f>
        <x:v>125525811.19339417</x:v>
      </x:c>
      <x:c r="I1007" s="78" t="n">
        <x:f>V1006</x:f>
        <x:v>231.83706194594842</x:v>
      </x:c>
      <x:c r="J1007" s="79" t="n">
        <x:f>IF(H1007&gt;0,I1007/H1007,0)</x:f>
        <x:v>0.000001846927414703287</x:v>
      </x:c>
      <x:c r="K1007" s="80" t="n">
        <x:f>(H1007*J1007+I1007)*'Inputs'!$D$46*(1+'Inputs'!$G$46)^(B1007/30)</x:f>
        <x:v>463.67412389189684</x:v>
      </x:c>
      <x:c r="L1007" s="80" t="n">
        <x:f>MAX(0,K1007*'Inputs'!$E$46)</x:f>
        <x:v>0</x:v>
      </x:c>
      <x:c r="M1007" s="80" t="n">
        <x:f>MAX(0,-K1007*'Inputs'!$E$46)</x:f>
        <x:v>0</x:v>
      </x:c>
      <x:c r="N1007" s="78" t="n">
        <x:f>H1007*(L1007*(1-'Inputs'!$B$15))/(I1007+L1007*(1-'Inputs'!$B$15))</x:f>
        <x:v>0</x:v>
      </x:c>
      <x:c r="O1007" s="78" t="n">
        <x:f>H1007-N1007</x:f>
        <x:v>125525811.19339417</x:v>
      </x:c>
      <x:c r="P1007" s="78" t="n">
        <x:f>I1007+L1007*(1-'Inputs'!$B$17)</x:f>
        <x:v>231.83706194594842</x:v>
      </x:c>
      <x:c r="Q1007" s="78" t="n">
        <x:f>IF(J1007&gt;0,M1007/J1007,0)</x:f>
        <x:v>0</x:v>
      </x:c>
      <x:c r="R1007" s="78" t="n">
        <x:f>IF(B1007='Inputs'!$H$46,'Inputs'!$B$27*'Inputs'!$I$46,0)</x:f>
        <x:v>0</x:v>
      </x:c>
      <x:c r="S1007" s="78" t="n">
        <x:f>Q1007+G1007+R1007</x:f>
        <x:v>450158.3317695615</x:v>
      </x:c>
      <x:c r="T1007" s="78" t="n">
        <x:f>P1007*(S1007*(1-'Inputs'!$B$15))/(O1007+S1007*(1-'Inputs'!$B$15))</x:f>
        <x:v>0.8201837518092758</x:v>
      </x:c>
      <x:c r="U1007" s="78" t="n">
        <x:f>O1007+S1007*(1-'Inputs'!$B$17)</x:f>
        <x:v>125974158.0228226</x:v>
      </x:c>
      <x:c r="V1007" s="78" t="n">
        <x:f>P1007-T1007</x:f>
        <x:v>231.01687819413914</x:v>
      </x:c>
      <x:c r="W1007" s="79" t="n">
        <x:f>IF(U1007&gt;0,V1007/U1007,0)</x:f>
        <x:v>0.0000018338433994715493</x:v>
      </x:c>
      <x:c r="X1007" s="80" t="n">
        <x:f>W1007*('Inputs'!$B$6-AC1007)</x:f>
        <x:v>1707.1618643493111</x:v>
      </x:c>
      <x:c r="Y1007" s="80" t="n">
        <x:f>2*V1007</x:f>
        <x:v>462.0337563882783</x:v>
      </x:c>
      <x:c r="Z1007" s="80" t="n">
        <x:f>K1007*'Inputs'!$B$16+(G1007+R1007)*J1007*'Inputs'!$B$16</x:f>
        <x:v>2.787033201934795</x:v>
      </x:c>
      <x:c r="AA1007" s="80" t="n">
        <x:f>K1007*(1+'Inputs'!$E$46)/2*'Inputs'!$B$17</x:f>
        <x:v>0.9329459233237362</x:v>
      </x:c>
      <x:c r="AB1007" s="78" t="n">
        <x:f>(IF(J1007&gt;0,K1007*(1-'Inputs'!$E$46)/2/J1007,0)+G1007+R1007)*'Inputs'!$B$17</x:f>
        <x:v>506945.5514091096</x:v>
      </x:c>
      <x:c r="AC1007" s="78" t="n">
        <x:f>AC1006+AB1007</x:f>
        <x:v>69079799.92116202</x:v>
      </x:c>
      <x:c r="AD1007" s="80" t="n">
        <x:f>Z1007/(1+'Inputs'!$C$46)</x:f>
        <x:v>1.3935166009673976</x:v>
      </x:c>
      <x:c r="AE1007" s="80" t="n">
        <x:f>Z1007-AD1007</x:f>
        <x:v>1.3935166009673976</x:v>
      </x:c>
      <x:c r="AF1007" s="80" t="n">
        <x:f>D1007*W1007</x:f>
        <x:v>0.4896906454779776</x:v>
      </x:c>
      <x:c r="AG1007" s="80" t="n">
        <x:f>C1007*W1007</x:f>
        <x:v>1.1426115061153357</x:v>
      </x:c>
      <x:c r="AH1007" s="80" t="n">
        <x:f>2*'Inputs'!$B$8*'Inputs'!$C$46</x:f>
        <x:v>5000</x:v>
      </x:c>
      <x:c r="AI1007" s="81" t="n">
        <x:f>IF(AH1007&gt;0,(AE1007+AF1007)/AH1007*365,0)</x:f>
        <x:v>0.1374741289905124</x:v>
      </x:c>
      <x:c r="AJ1007" s="81" t="n">
        <x:f>IF('Inputs'!$B$46&gt;0,AG1007/('Inputs'!$B$19*'Inputs'!$B$46)*365,0)</x:f>
        <x:v>0.041705319973209753</x:v>
      </x:c>
      <x:c r="AK1007" s="81" t="n">
        <x:f>W1007/MAX($W$734:W1007)-1</x:f>
        <x:v>-0.9978240673105924</x:v>
      </x:c>
      <x:c r="AL1007" s="83" t="n">
        <x:f>'Inputs'!$B$46</x:f>
        <x:v>1</x:v>
      </x:c>
      <x:c r="AM1007" s="83" t="n">
        <x:f>'Inputs'!$C$46</x:f>
        <x:v>1</x:v>
      </x:c>
      <x:c r="AN1007" s="83" t="n">
        <x:f>'Inputs'!$D$46</x:f>
        <x:v>1</x:v>
      </x:c>
      <x:c r="AO1007" s="81" t="n">
        <x:f>'Inputs'!$E$46</x:f>
        <x:v>0</x:v>
      </x:c>
    </x:row>
    <x:row r="1008">
      <x:c r="A1008" s="59" t="str">
        <x:v>Base</x:v>
      </x:c>
      <x:c r="B1008" s="59" t="n">
        <x:v>275</x:v>
      </x:c>
      <x:c r="C1008" s="78" t="n">
        <x:f>(('Inputs'!$B$29*(3*275*'Inputs'!$B$12-275^2)/(2*'Inputs'!$B$12^2))-('Inputs'!$B$29*(3*274*'Inputs'!$B$12-274^2)/(2*'Inputs'!$B$12^2)))*'Inputs'!$B$46</x:f>
        <x:v>622744.1827735007</x:v>
      </x:c>
      <x:c r="D1008" s="78" t="n">
        <x:f>IF('Inputs'!$C$46&gt;0,('Inputs'!$B$30*(3*275*'Inputs'!$B$12-275^2)/(2*'Inputs'!$B$12^2))-('Inputs'!$B$30*(3*274*'Inputs'!$B$12-274^2)/(2*'Inputs'!$B$12^2)),0)</x:f>
        <x:v>266890.3640457988</x:v>
      </x:c>
      <x:c r="E1008" s="78" t="n">
        <x:f>C1008+D1008</x:f>
        <x:v>889634.5468192995</x:v>
      </x:c>
      <x:c r="F1008" s="78" t="n">
        <x:f>'Inputs'!$B$13*E1008+(1-'Inputs'!$B$13)/'Inputs'!$B$14*SUM(E953:E1008)</x:f>
        <x:v>899852.2236817434</x:v>
      </x:c>
      <x:c r="G1008" s="78" t="n">
        <x:f>F1008*'Inputs'!$F$46</x:f>
        <x:v>449926.1118408717</x:v>
      </x:c>
      <x:c r="H1008" s="78" t="n">
        <x:f>U1007</x:f>
        <x:v>125974158.0228226</x:v>
      </x:c>
      <x:c r="I1008" s="78" t="n">
        <x:f>V1007</x:f>
        <x:v>231.01687819413914</x:v>
      </x:c>
      <x:c r="J1008" s="79" t="n">
        <x:f>IF(H1008&gt;0,I1008/H1008,0)</x:f>
        <x:v>0.0000018338433994715493</x:v>
      </x:c>
      <x:c r="K1008" s="80" t="n">
        <x:f>(H1008*J1008+I1008)*'Inputs'!$D$46*(1+'Inputs'!$G$46)^(B1008/30)</x:f>
        <x:v>462.0337563882783</x:v>
      </x:c>
      <x:c r="L1008" s="80" t="n">
        <x:f>MAX(0,K1008*'Inputs'!$E$46)</x:f>
        <x:v>0</x:v>
      </x:c>
      <x:c r="M1008" s="80" t="n">
        <x:f>MAX(0,-K1008*'Inputs'!$E$46)</x:f>
        <x:v>0</x:v>
      </x:c>
      <x:c r="N1008" s="78" t="n">
        <x:f>H1008*(L1008*(1-'Inputs'!$B$15))/(I1008+L1008*(1-'Inputs'!$B$15))</x:f>
        <x:v>0</x:v>
      </x:c>
      <x:c r="O1008" s="78" t="n">
        <x:f>H1008-N1008</x:f>
        <x:v>125974158.0228226</x:v>
      </x:c>
      <x:c r="P1008" s="78" t="n">
        <x:f>I1008+L1008*(1-'Inputs'!$B$17)</x:f>
        <x:v>231.01687819413914</x:v>
      </x:c>
      <x:c r="Q1008" s="78" t="n">
        <x:f>IF(J1008&gt;0,M1008/J1008,0)</x:f>
        <x:v>0</x:v>
      </x:c>
      <x:c r="R1008" s="78" t="n">
        <x:f>IF(B1008='Inputs'!$H$46,'Inputs'!$B$27*'Inputs'!$I$46,0)</x:f>
        <x:v>0</x:v>
      </x:c>
      <x:c r="S1008" s="78" t="n">
        <x:f>Q1008+G1008+R1008</x:f>
        <x:v>449926.1118408717</x:v>
      </x:c>
      <x:c r="T1008" s="78" t="n">
        <x:f>P1008*(S1008*(1-'Inputs'!$B$15))/(O1008+S1008*(1-'Inputs'!$B$15))</x:f>
        <x:v>0.8139650246493068</x:v>
      </x:c>
      <x:c r="U1008" s="78" t="n">
        <x:f>O1008+S1008*(1-'Inputs'!$B$17)</x:f>
        <x:v>126422273.56680898</x:v>
      </x:c>
      <x:c r="V1008" s="78" t="n">
        <x:f>P1008-T1008</x:f>
        <x:v>230.20291316948982</x:v>
      </x:c>
      <x:c r="W1008" s="79" t="n">
        <x:f>IF(U1008&gt;0,V1008/U1008,0)</x:f>
        <x:v>0.000001820904708281781</x:v>
      </x:c>
      <x:c r="X1008" s="80" t="n">
        <x:f>W1008*('Inputs'!$B$6-AC1008)</x:f>
        <x:v>1694.1905922191754</x:v>
      </x:c>
      <x:c r="Y1008" s="80" t="n">
        <x:f>2*V1008</x:f>
        <x:v>460.40582633897964</x:v>
      </x:c>
      <x:c r="Z1008" s="80" t="n">
        <x:f>K1008*'Inputs'!$B$16+(G1008+R1008)*J1008*'Inputs'!$B$16</x:f>
        <x:v>2.7771531025123655</x:v>
      </x:c>
      <x:c r="AA1008" s="80" t="n">
        <x:f>K1008*(1+'Inputs'!$E$46)/2*'Inputs'!$B$17</x:f>
        <x:v>0.9296453850870791</x:v>
      </x:c>
      <x:c r="AB1008" s="78" t="n">
        <x:f>(IF(J1008&gt;0,K1008*(1-'Inputs'!$E$46)/2/J1008,0)+G1008+R1008)*'Inputs'!$B$17</x:f>
        <x:v>508748.8295157484</x:v>
      </x:c>
      <x:c r="AC1008" s="78" t="n">
        <x:f>AC1007+AB1008</x:f>
        <x:v>69588548.75067778</x:v>
      </x:c>
      <x:c r="AD1008" s="80" t="n">
        <x:f>Z1008/(1+'Inputs'!$C$46)</x:f>
        <x:v>1.3885765512561827</x:v>
      </x:c>
      <x:c r="AE1008" s="80" t="n">
        <x:f>Z1008-AD1008</x:f>
        <x:v>1.3885765512561827</x:v>
      </x:c>
      <x:c r="AF1008" s="80" t="n">
        <x:f>D1008*W1008</x:f>
        <x:v>0.4859819204860335</x:v>
      </x:c>
      <x:c r="AG1008" s="80" t="n">
        <x:f>C1008*W1008</x:f>
        <x:v>1.1339578144673572</x:v>
      </x:c>
      <x:c r="AH1008" s="80" t="n">
        <x:f>2*'Inputs'!$B$8*'Inputs'!$C$46</x:f>
        <x:v>5000</x:v>
      </x:c>
      <x:c r="AI1008" s="81" t="n">
        <x:f>IF(AH1008&gt;0,(AE1008+AF1008)/AH1008*365,0)</x:f>
        <x:v>0.1368427684371818</x:v>
      </x:c>
      <x:c r="AJ1008" s="81" t="n">
        <x:f>IF('Inputs'!$B$46&gt;0,AG1008/('Inputs'!$B$19*'Inputs'!$B$46)*365,0)</x:f>
        <x:v>0.04138946022805854</x:v>
      </x:c>
      <x:c r="AK1008" s="81" t="n">
        <x:f>W1008/MAX($W$734:W1008)-1</x:f>
        <x:v>-0.9978394196144619</x:v>
      </x:c>
      <x:c r="AL1008" s="83" t="n">
        <x:f>'Inputs'!$B$46</x:f>
        <x:v>1</x:v>
      </x:c>
      <x:c r="AM1008" s="83" t="n">
        <x:f>'Inputs'!$C$46</x:f>
        <x:v>1</x:v>
      </x:c>
      <x:c r="AN1008" s="83" t="n">
        <x:f>'Inputs'!$D$46</x:f>
        <x:v>1</x:v>
      </x:c>
      <x:c r="AO1008" s="81" t="n">
        <x:f>'Inputs'!$E$46</x:f>
        <x:v>0</x:v>
      </x:c>
    </x:row>
    <x:row r="1009">
      <x:c r="A1009" s="59" t="str">
        <x:v>Base</x:v>
      </x:c>
      <x:c r="B1009" s="59" t="n">
        <x:v>276</x:v>
      </x:c>
      <x:c r="C1009" s="78" t="n">
        <x:f>(('Inputs'!$B$29*(3*276*'Inputs'!$B$12-276^2)/(2*'Inputs'!$B$12^2))-('Inputs'!$B$29*(3*275*'Inputs'!$B$12-275^2)/(2*'Inputs'!$B$12^2)))*'Inputs'!$B$46</x:f>
        <x:v>622419.0748733282</x:v>
      </x:c>
      <x:c r="D1009" s="78" t="n">
        <x:f>IF('Inputs'!$C$46&gt;0,('Inputs'!$B$30*(3*276*'Inputs'!$B$12-276^2)/(2*'Inputs'!$B$12^2))-('Inputs'!$B$30*(3*275*'Inputs'!$B$12-275^2)/(2*'Inputs'!$B$12^2)),0)</x:f>
        <x:v>266751.03208856285</x:v>
      </x:c>
      <x:c r="E1009" s="78" t="n">
        <x:f>C1009+D1009</x:f>
        <x:v>889170.106961891</x:v>
      </x:c>
      <x:c r="F1009" s="78" t="n">
        <x:f>'Inputs'!$B$13*E1009+(1-'Inputs'!$B$13)/'Inputs'!$B$14*SUM(E954:E1009)</x:f>
        <x:v>899387.7838243543</x:v>
      </x:c>
      <x:c r="G1009" s="78" t="n">
        <x:f>F1009*'Inputs'!$F$46</x:f>
        <x:v>449693.89191217715</x:v>
      </x:c>
      <x:c r="H1009" s="78" t="n">
        <x:f>U1008</x:f>
        <x:v>126422273.56680898</x:v>
      </x:c>
      <x:c r="I1009" s="78" t="n">
        <x:f>V1008</x:f>
        <x:v>230.20291316948982</x:v>
      </x:c>
      <x:c r="J1009" s="79" t="n">
        <x:f>IF(H1009&gt;0,I1009/H1009,0)</x:f>
        <x:v>0.000001820904708281781</x:v>
      </x:c>
      <x:c r="K1009" s="80" t="n">
        <x:f>(H1009*J1009+I1009)*'Inputs'!$D$46*(1+'Inputs'!$G$46)^(B1009/30)</x:f>
        <x:v>460.40582633897964</x:v>
      </x:c>
      <x:c r="L1009" s="80" t="n">
        <x:f>MAX(0,K1009*'Inputs'!$E$46)</x:f>
        <x:v>0</x:v>
      </x:c>
      <x:c r="M1009" s="80" t="n">
        <x:f>MAX(0,-K1009*'Inputs'!$E$46)</x:f>
        <x:v>0</x:v>
      </x:c>
      <x:c r="N1009" s="78" t="n">
        <x:f>H1009*(L1009*(1-'Inputs'!$B$15))/(I1009+L1009*(1-'Inputs'!$B$15))</x:f>
        <x:v>0</x:v>
      </x:c>
      <x:c r="O1009" s="78" t="n">
        <x:f>H1009-N1009</x:f>
        <x:v>126422273.56680898</x:v>
      </x:c>
      <x:c r="P1009" s="78" t="n">
        <x:f>I1009+L1009*(1-'Inputs'!$B$17)</x:f>
        <x:v>230.20291316948982</x:v>
      </x:c>
      <x:c r="Q1009" s="78" t="n">
        <x:f>IF(J1009&gt;0,M1009/J1009,0)</x:f>
        <x:v>0</x:v>
      </x:c>
      <x:c r="R1009" s="78" t="n">
        <x:f>IF(B1009='Inputs'!$H$46,'Inputs'!$B$27*'Inputs'!$I$46,0)</x:f>
        <x:v>0</x:v>
      </x:c>
      <x:c r="S1009" s="78" t="n">
        <x:f>Q1009+G1009+R1009</x:f>
        <x:v>449693.89191217715</x:v>
      </x:c>
      <x:c r="T1009" s="78" t="n">
        <x:f>P1009*(S1009*(1-'Inputs'!$B$15))/(O1009+S1009*(1-'Inputs'!$B$15))</x:f>
        <x:v>0.8078164961694051</x:v>
      </x:c>
      <x:c r="U1009" s="78" t="n">
        <x:f>O1009+S1009*(1-'Inputs'!$B$17)</x:f>
        <x:v>126870157.82535331</x:v>
      </x:c>
      <x:c r="V1009" s="78" t="n">
        <x:f>P1009-T1009</x:f>
        <x:v>229.3950966733204</x:v>
      </x:c>
      <x:c r="W1009" s="79" t="n">
        <x:f>IF(U1009&gt;0,V1009/U1009,0)</x:f>
        <x:v>0.000001808109177172308</x:v>
      </x:c>
      <x:c r="X1009" s="80" t="n">
        <x:f>W1009*('Inputs'!$B$6-AC1009)</x:f>
        <x:v>1681.3623512817426</x:v>
      </x:c>
      <x:c r="Y1009" s="80" t="n">
        <x:f>2*V1009</x:f>
        <x:v>458.7901933466408</x:v>
      </x:c>
      <x:c r="Z1009" s="80" t="n">
        <x:f>K1009*'Inputs'!$B$16+(G1009+R1009)*J1009*'Inputs'!$B$16</x:f>
        <x:v>2.7673480563842885</x:v>
      </x:c>
      <x:c r="AA1009" s="80" t="n">
        <x:f>K1009*(1+'Inputs'!$E$46)/2*'Inputs'!$B$17</x:f>
        <x:v>0.9263698719094159</x:v>
      </x:c>
      <x:c r="AB1009" s="78" t="n">
        <x:f>(IF(J1009&gt;0,K1009*(1-'Inputs'!$E$46)/2/J1009,0)+G1009+R1009)*'Inputs'!$B$17</x:f>
        <x:v>510551.1768962623</x:v>
      </x:c>
      <x:c r="AC1009" s="78" t="n">
        <x:f>AC1008+AB1009</x:f>
        <x:v>70099099.92757404</x:v>
      </x:c>
      <x:c r="AD1009" s="80" t="n">
        <x:f>Z1009/(1+'Inputs'!$C$46)</x:f>
        <x:v>1.3836740281921442</x:v>
      </x:c>
      <x:c r="AE1009" s="80" t="n">
        <x:f>Z1009-AD1009</x:f>
        <x:v>1.3836740281921442</x:v>
      </x:c>
      <x:c r="AF1009" s="80" t="n">
        <x:f>D1009*W1009</x:f>
        <x:v>0.48231498913951526</x:v>
      </x:c>
      <x:c r="AG1009" s="80" t="n">
        <x:f>C1009*W1009</x:f>
        <x:v>1.1254016413255625</x:v>
      </x:c>
      <x:c r="AH1009" s="80" t="n">
        <x:f>2*'Inputs'!$B$8*'Inputs'!$C$46</x:f>
        <x:v>5000</x:v>
      </x:c>
      <x:c r="AI1009" s="81" t="n">
        <x:f>IF(AH1009&gt;0,(AE1009+AF1009)/AH1009*365,0)</x:f>
        <x:v>0.13621719826521114</x:v>
      </x:c>
      <x:c r="AJ1009" s="81" t="n">
        <x:f>IF('Inputs'!$B$46&gt;0,AG1009/('Inputs'!$B$19*'Inputs'!$B$46)*365,0)</x:f>
        <x:v>0.04107715990838303</x:v>
      </x:c>
      <x:c r="AK1009" s="81" t="n">
        <x:f>W1009/MAX($W$734:W1009)-1</x:f>
        <x:v>-0.9978546020528465</x:v>
      </x:c>
      <x:c r="AL1009" s="83" t="n">
        <x:f>'Inputs'!$B$46</x:f>
        <x:v>1</x:v>
      </x:c>
      <x:c r="AM1009" s="83" t="n">
        <x:f>'Inputs'!$C$46</x:f>
        <x:v>1</x:v>
      </x:c>
      <x:c r="AN1009" s="83" t="n">
        <x:f>'Inputs'!$D$46</x:f>
        <x:v>1</x:v>
      </x:c>
      <x:c r="AO1009" s="81" t="n">
        <x:f>'Inputs'!$E$46</x:f>
        <x:v>0</x:v>
      </x:c>
    </x:row>
    <x:row r="1010">
      <x:c r="A1010" s="59" t="str">
        <x:v>Base</x:v>
      </x:c>
      <x:c r="B1010" s="59" t="n">
        <x:v>277</x:v>
      </x:c>
      <x:c r="C1010" s="78" t="n">
        <x:f>(('Inputs'!$B$29*(3*277*'Inputs'!$B$12-277^2)/(2*'Inputs'!$B$12^2))-('Inputs'!$B$29*(3*276*'Inputs'!$B$12-276^2)/(2*'Inputs'!$B$12^2)))*'Inputs'!$B$46</x:f>
        <x:v>622093.9669731855</x:v>
      </x:c>
      <x:c r="D1010" s="78" t="n">
        <x:f>IF('Inputs'!$C$46&gt;0,('Inputs'!$B$30*(3*277*'Inputs'!$B$12-277^2)/(2*'Inputs'!$B$12^2))-('Inputs'!$B$30*(3*276*'Inputs'!$B$12-276^2)/(2*'Inputs'!$B$12^2)),0)</x:f>
        <x:v>266611.7001313567</x:v>
      </x:c>
      <x:c r="E1010" s="78" t="n">
        <x:f>C1010+D1010</x:f>
        <x:v>888705.6671045423</x:v>
      </x:c>
      <x:c r="F1010" s="78" t="n">
        <x:f>'Inputs'!$B$13*E1010+(1-'Inputs'!$B$13)/'Inputs'!$B$14*SUM(E955:E1010)</x:f>
        <x:v>898923.3439669774</x:v>
      </x:c>
      <x:c r="G1010" s="78" t="n">
        <x:f>F1010*'Inputs'!$F$46</x:f>
        <x:v>449461.6719834887</x:v>
      </x:c>
      <x:c r="H1010" s="78" t="n">
        <x:f>U1009</x:f>
        <x:v>126870157.82535331</x:v>
      </x:c>
      <x:c r="I1010" s="78" t="n">
        <x:f>V1009</x:f>
        <x:v>229.3950966733204</x:v>
      </x:c>
      <x:c r="J1010" s="79" t="n">
        <x:f>IF(H1010&gt;0,I1010/H1010,0)</x:f>
        <x:v>0.000001808109177172308</x:v>
      </x:c>
      <x:c r="K1010" s="80" t="n">
        <x:f>(H1010*J1010+I1010)*'Inputs'!$D$46*(1+'Inputs'!$G$46)^(B1010/30)</x:f>
        <x:v>458.7901933466408</x:v>
      </x:c>
      <x:c r="L1010" s="80" t="n">
        <x:f>MAX(0,K1010*'Inputs'!$E$46)</x:f>
        <x:v>0</x:v>
      </x:c>
      <x:c r="M1010" s="80" t="n">
        <x:f>MAX(0,-K1010*'Inputs'!$E$46)</x:f>
        <x:v>0</x:v>
      </x:c>
      <x:c r="N1010" s="78" t="n">
        <x:f>H1010*(L1010*(1-'Inputs'!$B$15))/(I1010+L1010*(1-'Inputs'!$B$15))</x:f>
        <x:v>0</x:v>
      </x:c>
      <x:c r="O1010" s="78" t="n">
        <x:f>H1010-N1010</x:f>
        <x:v>126870157.82535331</x:v>
      </x:c>
      <x:c r="P1010" s="78" t="n">
        <x:f>I1010+L1010*(1-'Inputs'!$B$17)</x:f>
        <x:v>229.3950966733204</x:v>
      </x:c>
      <x:c r="Q1010" s="78" t="n">
        <x:f>IF(J1010&gt;0,M1010/J1010,0)</x:f>
        <x:v>0</x:v>
      </x:c>
      <x:c r="R1010" s="78" t="n">
        <x:f>IF(B1010='Inputs'!$H$46,'Inputs'!$B$27*'Inputs'!$I$46,0)</x:f>
        <x:v>0</x:v>
      </x:c>
      <x:c r="S1010" s="78" t="n">
        <x:f>Q1010+G1010+R1010</x:f>
        <x:v>449461.6719834887</x:v>
      </x:c>
      <x:c r="T1010" s="78" t="n">
        <x:f>P1010*(S1010*(1-'Inputs'!$B$15))/(O1010+S1010*(1-'Inputs'!$B$15))</x:f>
        <x:v>0.801737112965662</x:v>
      </x:c>
      <x:c r="U1010" s="78" t="n">
        <x:f>O1010+S1010*(1-'Inputs'!$B$17)</x:f>
        <x:v>127317810.79845558</x:v>
      </x:c>
      <x:c r="V1010" s="78" t="n">
        <x:f>P1010-T1010</x:f>
        <x:v>228.59335956035474</x:v>
      </x:c>
      <x:c r="W1010" s="79" t="n">
        <x:f>IF(U1010&gt;0,V1010/U1010,0)</x:f>
        <x:v>0.0000017954546824734414</x:v>
      </x:c>
      <x:c r="X1010" s="80" t="n">
        <x:f>W1010*('Inputs'!$B$6-AC1010)</x:f>
        <x:v>1668.675019408137</x:v>
      </x:c>
      <x:c r="Y1010" s="80" t="n">
        <x:f>2*V1010</x:f>
        <x:v>457.1867191207095</x:v>
      </x:c>
      <x:c r="Z1010" s="80" t="n">
        <x:f>K1010*'Inputs'!$B$16+(G1010+R1010)*J1010*'Inputs'!$B$16</x:f>
        <x:v>2.7576172147232483</x:v>
      </x:c>
      <x:c r="AA1010" s="80" t="n">
        <x:f>K1010*(1+'Inputs'!$E$46)/2*'Inputs'!$B$17</x:f>
        <x:v>0.9231191013010882</x:v>
      </x:c>
      <x:c r="AB1010" s="78" t="n">
        <x:f>(IF(J1010&gt;0,K1010*(1-'Inputs'!$E$46)/2/J1010,0)+G1010+R1010)*'Inputs'!$B$17</x:f>
        <x:v>512352.59355065116</x:v>
      </x:c>
      <x:c r="AC1010" s="78" t="n">
        <x:f>AC1009+AB1010</x:f>
        <x:v>70611452.52112469</x:v>
      </x:c>
      <x:c r="AD1010" s="80" t="n">
        <x:f>Z1010/(1+'Inputs'!$C$46)</x:f>
        <x:v>1.3788086073616241</x:v>
      </x:c>
      <x:c r="AE1010" s="80" t="n">
        <x:f>Z1010-AD1010</x:f>
        <x:v>1.3788086073616241</x:v>
      </x:c>
      <x:c r="AF1010" s="80" t="n">
        <x:f>D1010*W1010</x:f>
        <x:v>0.4786892254030494</x:v>
      </x:c>
      <x:c r="AG1010" s="80" t="n">
        <x:f>C1010*W1010</x:f>
        <x:v>1.1169415259404845</x:v>
      </x:c>
      <x:c r="AH1010" s="80" t="n">
        <x:f>2*'Inputs'!$B$8*'Inputs'!$C$46</x:f>
        <x:v>5000</x:v>
      </x:c>
      <x:c r="AI1010" s="81" t="n">
        <x:f>IF(AH1010&gt;0,(AE1010+AF1010)/AH1010*365,0)</x:f>
        <x:v>0.13559734179182117</x:v>
      </x:c>
      <x:c r="AJ1010" s="81" t="n">
        <x:f>IF('Inputs'!$B$46&gt;0,AG1010/('Inputs'!$B$19*'Inputs'!$B$46)*365,0)</x:f>
        <x:v>0.04076836569682768</x:v>
      </x:c>
      <x:c r="AK1010" s="81" t="n">
        <x:f>W1010/MAX($W$734:W1010)-1</x:f>
        <x:v>-0.9978696171455699</x:v>
      </x:c>
      <x:c r="AL1010" s="83" t="n">
        <x:f>'Inputs'!$B$46</x:f>
        <x:v>1</x:v>
      </x:c>
      <x:c r="AM1010" s="83" t="n">
        <x:f>'Inputs'!$C$46</x:f>
        <x:v>1</x:v>
      </x:c>
      <x:c r="AN1010" s="83" t="n">
        <x:f>'Inputs'!$D$46</x:f>
        <x:v>1</x:v>
      </x:c>
      <x:c r="AO1010" s="81" t="n">
        <x:f>'Inputs'!$E$46</x:f>
        <x:v>0</x:v>
      </x:c>
    </x:row>
    <x:row r="1011">
      <x:c r="A1011" s="59" t="str">
        <x:v>Base</x:v>
      </x:c>
      <x:c r="B1011" s="59" t="n">
        <x:v>278</x:v>
      </x:c>
      <x:c r="C1011" s="78" t="n">
        <x:f>(('Inputs'!$B$29*(3*278*'Inputs'!$B$12-278^2)/(2*'Inputs'!$B$12^2))-('Inputs'!$B$29*(3*277*'Inputs'!$B$12-277^2)/(2*'Inputs'!$B$12^2)))*'Inputs'!$B$46</x:f>
        <x:v>621768.8590729833</x:v>
      </x:c>
      <x:c r="D1011" s="78" t="n">
        <x:f>IF('Inputs'!$C$46&gt;0,('Inputs'!$B$30*(3*278*'Inputs'!$B$12-278^2)/(2*'Inputs'!$B$12^2))-('Inputs'!$B$30*(3*277*'Inputs'!$B$12-277^2)/(2*'Inputs'!$B$12^2)),0)</x:f>
        <x:v>266472.3681741506</x:v>
      </x:c>
      <x:c r="E1011" s="78" t="n">
        <x:f>C1011+D1011</x:f>
        <x:v>888241.2272471339</x:v>
      </x:c>
      <x:c r="F1011" s="78" t="n">
        <x:f>'Inputs'!$B$13*E1011+(1-'Inputs'!$B$13)/'Inputs'!$B$14*SUM(E956:E1011)</x:f>
        <x:v>898458.9041095882</x:v>
      </x:c>
      <x:c r="G1011" s="78" t="n">
        <x:f>F1011*'Inputs'!$F$46</x:f>
        <x:v>449229.4520547941</x:v>
      </x:c>
      <x:c r="H1011" s="78" t="n">
        <x:f>U1010</x:f>
        <x:v>127317810.79845558</x:v>
      </x:c>
      <x:c r="I1011" s="78" t="n">
        <x:f>V1010</x:f>
        <x:v>228.59335956035474</x:v>
      </x:c>
      <x:c r="J1011" s="79" t="n">
        <x:f>IF(H1011&gt;0,I1011/H1011,0)</x:f>
        <x:v>0.0000017954546824734414</x:v>
      </x:c>
      <x:c r="K1011" s="80" t="n">
        <x:f>(H1011*J1011+I1011)*'Inputs'!$D$46*(1+'Inputs'!$G$46)^(B1011/30)</x:f>
        <x:v>457.1867191207095</x:v>
      </x:c>
      <x:c r="L1011" s="80" t="n">
        <x:f>MAX(0,K1011*'Inputs'!$E$46)</x:f>
        <x:v>0</x:v>
      </x:c>
      <x:c r="M1011" s="80" t="n">
        <x:f>MAX(0,-K1011*'Inputs'!$E$46)</x:f>
        <x:v>0</x:v>
      </x:c>
      <x:c r="N1011" s="78" t="n">
        <x:f>H1011*(L1011*(1-'Inputs'!$B$15))/(I1011+L1011*(1-'Inputs'!$B$15))</x:f>
        <x:v>0</x:v>
      </x:c>
      <x:c r="O1011" s="78" t="n">
        <x:f>H1011-N1011</x:f>
        <x:v>127317810.79845558</x:v>
      </x:c>
      <x:c r="P1011" s="78" t="n">
        <x:f>I1011+L1011*(1-'Inputs'!$B$17)</x:f>
        <x:v>228.59335956035474</x:v>
      </x:c>
      <x:c r="Q1011" s="78" t="n">
        <x:f>IF(J1011&gt;0,M1011/J1011,0)</x:f>
        <x:v>0</x:v>
      </x:c>
      <x:c r="R1011" s="78" t="n">
        <x:f>IF(B1011='Inputs'!$H$46,'Inputs'!$B$27*'Inputs'!$I$46,0)</x:f>
        <x:v>0</x:v>
      </x:c>
      <x:c r="S1011" s="78" t="n">
        <x:f>Q1011+G1011+R1011</x:f>
        <x:v>449229.4520547941</x:v>
      </x:c>
      <x:c r="T1011" s="78" t="n">
        <x:f>P1011*(S1011*(1-'Inputs'!$B$15))/(O1011+S1011*(1-'Inputs'!$B$15))</x:f>
        <x:v>0.7957258413247684</x:v>
      </x:c>
      <x:c r="U1011" s="78" t="n">
        <x:f>O1011+S1011*(1-'Inputs'!$B$17)</x:f>
        <x:v>127765232.48611578</x:v>
      </x:c>
      <x:c r="V1011" s="78" t="n">
        <x:f>P1011-T1011</x:f>
        <x:v>227.79763371902996</x:v>
      </x:c>
      <x:c r="W1011" s="79" t="n">
        <x:f>IF(U1011&gt;0,V1011/U1011,0)</x:f>
        <x:v>0.0000017829391399086968</x:v>
      </x:c>
      <x:c r="X1011" s="80" t="n">
        <x:f>W1011*('Inputs'!$B$6-AC1011)</x:f>
        <x:v>1656.1265138336714</x:v>
      </x:c>
      <x:c r="Y1011" s="80" t="n">
        <x:f>2*V1011</x:f>
        <x:v>455.5952674380599</x:v>
      </x:c>
      <x:c r="Z1011" s="80" t="n">
        <x:f>K1011*'Inputs'!$B$16+(G1011+R1011)*J1011*'Inputs'!$B$16</x:f>
        <x:v>2.7479597414634376</x:v>
      </x:c>
      <x:c r="AA1011" s="80" t="n">
        <x:f>K1011*(1+'Inputs'!$E$46)/2*'Inputs'!$B$17</x:f>
        <x:v>0.919892795011488</x:v>
      </x:c>
      <x:c r="AB1011" s="78" t="n">
        <x:f>(IF(J1011&gt;0,K1011*(1-'Inputs'!$E$46)/2/J1011,0)+G1011+R1011)*'Inputs'!$B$17</x:f>
        <x:v>514153.079478915</x:v>
      </x:c>
      <x:c r="AC1011" s="78" t="n">
        <x:f>AC1010+AB1011</x:f>
        <x:v>71125605.60060361</x:v>
      </x:c>
      <x:c r="AD1011" s="80" t="n">
        <x:f>Z1011/(1+'Inputs'!$C$46)</x:f>
        <x:v>1.3739798707317188</x:v>
      </x:c>
      <x:c r="AE1011" s="80" t="n">
        <x:f>Z1011-AD1011</x:f>
        <x:v>1.3739798707317188</x:v>
      </x:c>
      <x:c r="AF1011" s="80" t="n">
        <x:f>D1011*W1011</x:f>
        <x:v>0.47510401492185367</x:v>
      </x:c>
      <x:c r="AG1011" s="80" t="n">
        <x:f>C1011*W1011</x:f>
        <x:v>1.1085760348175966</x:v>
      </x:c>
      <x:c r="AH1011" s="80" t="n">
        <x:f>2*'Inputs'!$B$8*'Inputs'!$C$46</x:f>
        <x:v>5000</x:v>
      </x:c>
      <x:c r="AI1011" s="81" t="n">
        <x:f>IF(AH1011&gt;0,(AE1011+AF1011)/AH1011*365,0)</x:f>
        <x:v>0.13498312365271078</x:v>
      </x:c>
      <x:c r="AJ1011" s="81" t="n">
        <x:f>IF('Inputs'!$B$46&gt;0,AG1011/('Inputs'!$B$19*'Inputs'!$B$46)*365,0)</x:f>
        <x:v>0.04046302527084227</x:v>
      </x:c>
      <x:c r="AK1011" s="81" t="n">
        <x:f>W1011/MAX($W$734:W1011)-1</x:f>
        <x:v>-0.9978844673657141</x:v>
      </x:c>
      <x:c r="AL1011" s="83" t="n">
        <x:f>'Inputs'!$B$46</x:f>
        <x:v>1</x:v>
      </x:c>
      <x:c r="AM1011" s="83" t="n">
        <x:f>'Inputs'!$C$46</x:f>
        <x:v>1</x:v>
      </x:c>
      <x:c r="AN1011" s="83" t="n">
        <x:f>'Inputs'!$D$46</x:f>
        <x:v>1</x:v>
      </x:c>
      <x:c r="AO1011" s="81" t="n">
        <x:f>'Inputs'!$E$46</x:f>
        <x:v>0</x:v>
      </x:c>
    </x:row>
    <x:row r="1012">
      <x:c r="A1012" s="59" t="str">
        <x:v>Base</x:v>
      </x:c>
      <x:c r="B1012" s="59" t="n">
        <x:v>279</x:v>
      </x:c>
      <x:c r="C1012" s="78" t="n">
        <x:f>(('Inputs'!$B$29*(3*279*'Inputs'!$B$12-279^2)/(2*'Inputs'!$B$12^2))-('Inputs'!$B$29*(3*278*'Inputs'!$B$12-278^2)/(2*'Inputs'!$B$12^2)))*'Inputs'!$B$46</x:f>
        <x:v>621443.7511728406</x:v>
      </x:c>
      <x:c r="D1012" s="78" t="n">
        <x:f>IF('Inputs'!$C$46&gt;0,('Inputs'!$B$30*(3*279*'Inputs'!$B$12-279^2)/(2*'Inputs'!$B$12^2))-('Inputs'!$B$30*(3*278*'Inputs'!$B$12-278^2)/(2*'Inputs'!$B$12^2)),0)</x:f>
        <x:v>266333.03621691465</x:v>
      </x:c>
      <x:c r="E1012" s="78" t="n">
        <x:f>C1012+D1012</x:f>
        <x:v>887776.7873897552</x:v>
      </x:c>
      <x:c r="F1012" s="78" t="n">
        <x:f>'Inputs'!$B$13*E1012+(1-'Inputs'!$B$13)/'Inputs'!$B$14*SUM(E957:E1012)</x:f>
        <x:v>897994.4642522052</x:v>
      </x:c>
      <x:c r="G1012" s="78" t="n">
        <x:f>F1012*'Inputs'!$F$46</x:f>
        <x:v>448997.2321261026</x:v>
      </x:c>
      <x:c r="H1012" s="78" t="n">
        <x:f>U1011</x:f>
        <x:v>127765232.48611578</x:v>
      </x:c>
      <x:c r="I1012" s="78" t="n">
        <x:f>V1011</x:f>
        <x:v>227.79763371902996</x:v>
      </x:c>
      <x:c r="J1012" s="79" t="n">
        <x:f>IF(H1012&gt;0,I1012/H1012,0)</x:f>
        <x:v>0.0000017829391399086968</x:v>
      </x:c>
      <x:c r="K1012" s="80" t="n">
        <x:f>(H1012*J1012+I1012)*'Inputs'!$D$46*(1+'Inputs'!$G$46)^(B1012/30)</x:f>
        <x:v>455.5952674380599</x:v>
      </x:c>
      <x:c r="L1012" s="80" t="n">
        <x:f>MAX(0,K1012*'Inputs'!$E$46)</x:f>
        <x:v>0</x:v>
      </x:c>
      <x:c r="M1012" s="80" t="n">
        <x:f>MAX(0,-K1012*'Inputs'!$E$46)</x:f>
        <x:v>0</x:v>
      </x:c>
      <x:c r="N1012" s="78" t="n">
        <x:f>H1012*(L1012*(1-'Inputs'!$B$15))/(I1012+L1012*(1-'Inputs'!$B$15))</x:f>
        <x:v>0</x:v>
      </x:c>
      <x:c r="O1012" s="78" t="n">
        <x:f>H1012-N1012</x:f>
        <x:v>127765232.48611578</x:v>
      </x:c>
      <x:c r="P1012" s="78" t="n">
        <x:f>I1012+L1012*(1-'Inputs'!$B$17)</x:f>
        <x:v>227.79763371902996</x:v>
      </x:c>
      <x:c r="Q1012" s="78" t="n">
        <x:f>IF(J1012&gt;0,M1012/J1012,0)</x:f>
        <x:v>0</x:v>
      </x:c>
      <x:c r="R1012" s="78" t="n">
        <x:f>IF(B1012='Inputs'!$H$46,'Inputs'!$B$27*'Inputs'!$I$46,0)</x:f>
        <x:v>0</x:v>
      </x:c>
      <x:c r="S1012" s="78" t="n">
        <x:f>Q1012+G1012+R1012</x:f>
        <x:v>448997.2321261026</x:v>
      </x:c>
      <x:c r="T1012" s="78" t="n">
        <x:f>P1012*(S1012*(1-'Inputs'!$B$15))/(O1012+S1012*(1-'Inputs'!$B$15))</x:f>
        <x:v>0.7897816667839761</x:v>
      </x:c>
      <x:c r="U1012" s="78" t="n">
        <x:f>O1012+S1012*(1-'Inputs'!$B$17)</x:f>
        <x:v>128212422.88833393</x:v>
      </x:c>
      <x:c r="V1012" s="78" t="n">
        <x:f>P1012-T1012</x:f>
        <x:v>227.007852052246</x:v>
      </x:c>
      <x:c r="W1012" s="79" t="n">
        <x:f>IF(U1012&gt;0,V1012/U1012,0)</x:f>
        <x:v>0.0000017705605037193434</x:v>
      </x:c>
      <x:c r="X1012" s="80" t="n">
        <x:f>W1012*('Inputs'!$B$6-AC1012)</x:f>
        <x:v>1643.714790283039</x:v>
      </x:c>
      <x:c r="Y1012" s="80" t="n">
        <x:f>2*V1012</x:f>
        <x:v>454.015704104492</x:v>
      </x:c>
      <x:c r="Z1012" s="80" t="n">
        <x:f>K1012*'Inputs'!$B$16+(G1012+R1012)*J1012*'Inputs'!$B$16</x:f>
        <x:v>2.7383748130615695</x:v>
      </x:c>
      <x:c r="AA1012" s="80" t="n">
        <x:f>K1012*(1+'Inputs'!$E$46)/2*'Inputs'!$B$17</x:f>
        <x:v>0.9166906789498188</x:v>
      </x:c>
      <x:c r="AB1012" s="78" t="n">
        <x:f>(IF(J1012&gt;0,K1012*(1-'Inputs'!$E$46)/2/J1012,0)+G1012+R1012)*'Inputs'!$B$17</x:f>
        <x:v>515952.6346810539</x:v>
      </x:c>
      <x:c r="AC1012" s="78" t="n">
        <x:f>AC1011+AB1012</x:f>
        <x:v>71641558.23528467</x:v>
      </x:c>
      <x:c r="AD1012" s="80" t="n">
        <x:f>Z1012/(1+'Inputs'!$C$46)</x:f>
        <x:v>1.3691874065307847</x:v>
      </x:c>
      <x:c r="AE1012" s="80" t="n">
        <x:f>Z1012-AD1012</x:f>
        <x:v>1.3691874065307847</x:v>
      </x:c>
      <x:c r="AF1012" s="80" t="n">
        <x:f>D1012*W1012</x:f>
        <x:v>0.47155875476132253</x:v>
      </x:c>
      <x:c r="AG1012" s="80" t="n">
        <x:f>C1012*W1012</x:f>
        <x:v>1.100303761109823</x:v>
      </x:c>
      <x:c r="AH1012" s="80" t="n">
        <x:f>2*'Inputs'!$B$8*'Inputs'!$C$46</x:f>
        <x:v>5000</x:v>
      </x:c>
      <x:c r="AI1012" s="81" t="n">
        <x:f>IF(AH1012&gt;0,(AE1012+AF1012)/AH1012*365,0)</x:f>
        <x:v>0.13437446977432382</x:v>
      </x:c>
      <x:c r="AJ1012" s="81" t="n">
        <x:f>IF('Inputs'!$B$46&gt;0,AG1012/('Inputs'!$B$19*'Inputs'!$B$46)*365,0)</x:f>
        <x:v>0.04016108728050854</x:v>
      </x:c>
      <x:c r="AK1012" s="81" t="n">
        <x:f>W1012/MAX($W$734:W1012)-1</x:f>
        <x:v>-0.9978991551406585</x:v>
      </x:c>
      <x:c r="AL1012" s="83" t="n">
        <x:f>'Inputs'!$B$46</x:f>
        <x:v>1</x:v>
      </x:c>
      <x:c r="AM1012" s="83" t="n">
        <x:f>'Inputs'!$C$46</x:f>
        <x:v>1</x:v>
      </x:c>
      <x:c r="AN1012" s="83" t="n">
        <x:f>'Inputs'!$D$46</x:f>
        <x:v>1</x:v>
      </x:c>
      <x:c r="AO1012" s="81" t="n">
        <x:f>'Inputs'!$E$46</x:f>
        <x:v>0</x:v>
      </x:c>
    </x:row>
    <x:row r="1013">
      <x:c r="A1013" s="59" t="str">
        <x:v>Base</x:v>
      </x:c>
      <x:c r="B1013" s="59" t="n">
        <x:v>280</x:v>
      </x:c>
      <x:c r="C1013" s="78" t="n">
        <x:f>(('Inputs'!$B$29*(3*280*'Inputs'!$B$12-280^2)/(2*'Inputs'!$B$12^2))-('Inputs'!$B$29*(3*279*'Inputs'!$B$12-279^2)/(2*'Inputs'!$B$12^2)))*'Inputs'!$B$46</x:f>
        <x:v>621118.6432726383</x:v>
      </x:c>
      <x:c r="D1013" s="78" t="n">
        <x:f>IF('Inputs'!$C$46&gt;0,('Inputs'!$B$30*(3*280*'Inputs'!$B$12-280^2)/(2*'Inputs'!$B$12^2))-('Inputs'!$B$30*(3*279*'Inputs'!$B$12-279^2)/(2*'Inputs'!$B$12^2)),0)</x:f>
        <x:v>266193.7042597234</x:v>
      </x:c>
      <x:c r="E1013" s="78" t="n">
        <x:f>C1013+D1013</x:f>
        <x:v>887312.3475323617</x:v>
      </x:c>
      <x:c r="F1013" s="78" t="n">
        <x:f>'Inputs'!$B$13*E1013+(1-'Inputs'!$B$13)/'Inputs'!$B$14*SUM(E958:E1013)</x:f>
        <x:v>897530.024394819</x:v>
      </x:c>
      <x:c r="G1013" s="78" t="n">
        <x:f>F1013*'Inputs'!$F$46</x:f>
        <x:v>448765.0121974095</x:v>
      </x:c>
      <x:c r="H1013" s="78" t="n">
        <x:f>U1012</x:f>
        <x:v>128212422.88833393</x:v>
      </x:c>
      <x:c r="I1013" s="78" t="n">
        <x:f>V1012</x:f>
        <x:v>227.007852052246</x:v>
      </x:c>
      <x:c r="J1013" s="79" t="n">
        <x:f>IF(H1013&gt;0,I1013/H1013,0)</x:f>
        <x:v>0.0000017705605037193434</x:v>
      </x:c>
      <x:c r="K1013" s="80" t="n">
        <x:f>(H1013*J1013+I1013)*'Inputs'!$D$46*(1+'Inputs'!$G$46)^(B1013/30)</x:f>
        <x:v>454.015704104492</x:v>
      </x:c>
      <x:c r="L1013" s="80" t="n">
        <x:f>MAX(0,K1013*'Inputs'!$E$46)</x:f>
        <x:v>0</x:v>
      </x:c>
      <x:c r="M1013" s="80" t="n">
        <x:f>MAX(0,-K1013*'Inputs'!$E$46)</x:f>
        <x:v>0</x:v>
      </x:c>
      <x:c r="N1013" s="78" t="n">
        <x:f>H1013*(L1013*(1-'Inputs'!$B$15))/(I1013+L1013*(1-'Inputs'!$B$15))</x:f>
        <x:v>0</x:v>
      </x:c>
      <x:c r="O1013" s="78" t="n">
        <x:f>H1013-N1013</x:f>
        <x:v>128212422.88833393</x:v>
      </x:c>
      <x:c r="P1013" s="78" t="n">
        <x:f>I1013+L1013*(1-'Inputs'!$B$17)</x:f>
        <x:v>227.007852052246</x:v>
      </x:c>
      <x:c r="Q1013" s="78" t="n">
        <x:f>IF(J1013&gt;0,M1013/J1013,0)</x:f>
        <x:v>0</x:v>
      </x:c>
      <x:c r="R1013" s="78" t="n">
        <x:f>IF(B1013='Inputs'!$H$46,'Inputs'!$B$27*'Inputs'!$I$46,0)</x:f>
        <x:v>0</x:v>
      </x:c>
      <x:c r="S1013" s="78" t="n">
        <x:f>Q1013+G1013+R1013</x:f>
        <x:v>448765.0121974095</x:v>
      </x:c>
      <x:c r="T1013" s="78" t="n">
        <x:f>P1013*(S1013*(1-'Inputs'!$B$15))/(O1013+S1013*(1-'Inputs'!$B$15))</x:f>
        <x:v>0.7839035937023549</x:v>
      </x:c>
      <x:c r="U1013" s="78" t="n">
        <x:f>O1013+S1013*(1-'Inputs'!$B$17)</x:f>
        <x:v>128659382.00511003</x:v>
      </x:c>
      <x:c r="V1013" s="78" t="n">
        <x:f>P1013-T1013</x:f>
        <x:v>226.22394845854365</x:v>
      </x:c>
      <x:c r="W1013" s="79" t="n">
        <x:f>IF(U1013&gt;0,V1013/U1013,0)</x:f>
        <x:v>0.0000017583167658115955</x:v>
      </x:c>
      <x:c r="X1013" s="80" t="n">
        <x:f>W1013*('Inputs'!$B$6-AC1013)</x:f>
        <x:v>1631.4378421181307</x:v>
      </x:c>
      <x:c r="Y1013" s="80" t="n">
        <x:f>2*V1013</x:f>
        <x:v>452.4478969170873</x:v>
      </x:c>
      <x:c r="Z1013" s="80" t="n">
        <x:f>K1013*'Inputs'!$B$16+(G1013+R1013)*J1013*'Inputs'!$B$16</x:f>
        <x:v>2.7288616182632395</x:v>
      </x:c>
      <x:c r="AA1013" s="80" t="n">
        <x:f>K1013*(1+'Inputs'!$E$46)/2*'Inputs'!$B$17</x:f>
        <x:v>0.9135124831076298</x:v>
      </x:c>
      <x:c r="AB1013" s="78" t="n">
        <x:f>(IF(J1013&gt;0,K1013*(1-'Inputs'!$E$46)/2/J1013,0)+G1013+R1013)*'Inputs'!$B$17</x:f>
        <x:v>517751.2591570678</x:v>
      </x:c>
      <x:c r="AC1013" s="78" t="n">
        <x:f>AC1012+AB1013</x:f>
        <x:v>72159309.49444173</x:v>
      </x:c>
      <x:c r="AD1013" s="80" t="n">
        <x:f>Z1013/(1+'Inputs'!$C$46)</x:f>
        <x:v>1.3644308091316197</x:v>
      </x:c>
      <x:c r="AE1013" s="80" t="n">
        <x:f>Z1013-AD1013</x:f>
        <x:v>1.3644308091316197</x:v>
      </x:c>
      <x:c r="AF1013" s="80" t="n">
        <x:f>D1013*W1013</x:f>
        <x:v>0.46805285315336526</x:v>
      </x:c>
      <x:c r="AG1013" s="80" t="n">
        <x:f>C1013*W1013</x:f>
        <x:v>1.0921233240244315</x:v>
      </x:c>
      <x:c r="AH1013" s="80" t="n">
        <x:f>2*'Inputs'!$B$8*'Inputs'!$C$46</x:f>
        <x:v>5000</x:v>
      </x:c>
      <x:c r="AI1013" s="81" t="n">
        <x:f>IF(AH1013&gt;0,(AE1013+AF1013)/AH1013*365,0)</x:f>
        <x:v>0.1337713073468039</x:v>
      </x:c>
      <x:c r="AJ1013" s="81" t="n">
        <x:f>IF('Inputs'!$B$46&gt;0,AG1013/('Inputs'!$B$19*'Inputs'!$B$46)*365,0)</x:f>
        <x:v>0.03986250132689175</x:v>
      </x:c>
      <x:c r="AK1013" s="81" t="n">
        <x:f>W1013/MAX($W$734:W1013)-1</x:f>
        <x:v>-0.9979136828530912</x:v>
      </x:c>
      <x:c r="AL1013" s="83" t="n">
        <x:f>'Inputs'!$B$46</x:f>
        <x:v>1</x:v>
      </x:c>
      <x:c r="AM1013" s="83" t="n">
        <x:f>'Inputs'!$C$46</x:f>
        <x:v>1</x:v>
      </x:c>
      <x:c r="AN1013" s="83" t="n">
        <x:f>'Inputs'!$D$46</x:f>
        <x:v>1</x:v>
      </x:c>
      <x:c r="AO1013" s="81" t="n">
        <x:f>'Inputs'!$E$46</x:f>
        <x:v>0</x:v>
      </x:c>
    </x:row>
    <x:row r="1014">
      <x:c r="A1014" s="59" t="str">
        <x:v>Base</x:v>
      </x:c>
      <x:c r="B1014" s="59" t="n">
        <x:v>281</x:v>
      </x:c>
      <x:c r="C1014" s="78" t="n">
        <x:f>(('Inputs'!$B$29*(3*281*'Inputs'!$B$12-281^2)/(2*'Inputs'!$B$12^2))-('Inputs'!$B$29*(3*280*'Inputs'!$B$12-280^2)/(2*'Inputs'!$B$12^2)))*'Inputs'!$B$46</x:f>
        <x:v>620793.5353724957</x:v>
      </x:c>
      <x:c r="D1014" s="78" t="n">
        <x:f>IF('Inputs'!$C$46&gt;0,('Inputs'!$B$30*(3*281*'Inputs'!$B$12-281^2)/(2*'Inputs'!$B$12^2))-('Inputs'!$B$30*(3*280*'Inputs'!$B$12-280^2)/(2*'Inputs'!$B$12^2)),0)</x:f>
        <x:v>266054.3723024875</x:v>
      </x:c>
      <x:c r="E1014" s="78" t="n">
        <x:f>C1014+D1014</x:f>
        <x:v>886847.9076749831</x:v>
      </x:c>
      <x:c r="F1014" s="78" t="n">
        <x:f>'Inputs'!$B$13*E1014+(1-'Inputs'!$B$13)/'Inputs'!$B$14*SUM(E959:E1014)</x:f>
        <x:v>897065.5845374359</x:v>
      </x:c>
      <x:c r="G1014" s="78" t="n">
        <x:f>F1014*'Inputs'!$F$46</x:f>
        <x:v>448532.79226871795</x:v>
      </x:c>
      <x:c r="H1014" s="78" t="n">
        <x:f>U1013</x:f>
        <x:v>128659382.00511003</x:v>
      </x:c>
      <x:c r="I1014" s="78" t="n">
        <x:f>V1013</x:f>
        <x:v>226.22394845854365</x:v>
      </x:c>
      <x:c r="J1014" s="79" t="n">
        <x:f>IF(H1014&gt;0,I1014/H1014,0)</x:f>
        <x:v>0.0000017583167658115955</x:v>
      </x:c>
      <x:c r="K1014" s="80" t="n">
        <x:f>(H1014*J1014+I1014)*'Inputs'!$D$46*(1+'Inputs'!$G$46)^(B1014/30)</x:f>
        <x:v>452.4478969170873</x:v>
      </x:c>
      <x:c r="L1014" s="80" t="n">
        <x:f>MAX(0,K1014*'Inputs'!$E$46)</x:f>
        <x:v>0</x:v>
      </x:c>
      <x:c r="M1014" s="80" t="n">
        <x:f>MAX(0,-K1014*'Inputs'!$E$46)</x:f>
        <x:v>0</x:v>
      </x:c>
      <x:c r="N1014" s="78" t="n">
        <x:f>H1014*(L1014*(1-'Inputs'!$B$15))/(I1014+L1014*(1-'Inputs'!$B$15))</x:f>
        <x:v>0</x:v>
      </x:c>
      <x:c r="O1014" s="78" t="n">
        <x:f>H1014-N1014</x:f>
        <x:v>128659382.00511003</x:v>
      </x:c>
      <x:c r="P1014" s="78" t="n">
        <x:f>I1014+L1014*(1-'Inputs'!$B$17)</x:f>
        <x:v>226.22394845854365</x:v>
      </x:c>
      <x:c r="Q1014" s="78" t="n">
        <x:f>IF(J1014&gt;0,M1014/J1014,0)</x:f>
        <x:v>0</x:v>
      </x:c>
      <x:c r="R1014" s="78" t="n">
        <x:f>IF(B1014='Inputs'!$H$46,'Inputs'!$B$27*'Inputs'!$I$46,0)</x:f>
        <x:v>0</x:v>
      </x:c>
      <x:c r="S1014" s="78" t="n">
        <x:f>Q1014+G1014+R1014</x:f>
        <x:v>448532.79226871795</x:v>
      </x:c>
      <x:c r="T1014" s="78" t="n">
        <x:f>P1014*(S1014*(1-'Inputs'!$B$15))/(O1014+S1014*(1-'Inputs'!$B$15))</x:f>
        <x:v>0.778090644843245</x:v>
      </x:c>
      <x:c r="U1014" s="78" t="n">
        <x:f>O1014+S1014*(1-'Inputs'!$B$17)</x:f>
        <x:v>129106109.83644406</x:v>
      </x:c>
      <x:c r="V1014" s="78" t="n">
        <x:f>P1014-T1014</x:f>
        <x:v>225.4458578137004</x:v>
      </x:c>
      <x:c r="W1014" s="79" t="n">
        <x:f>IF(U1014&gt;0,V1014/U1014,0)</x:f>
        <x:v>0.0000017462059549257796</x:v>
      </x:c>
      <x:c r="X1014" s="80" t="n">
        <x:f>W1014*('Inputs'!$B$6-AC1014)</x:f>
        <x:v>1619.2936995078114</x:v>
      </x:c>
      <x:c r="Y1014" s="80" t="n">
        <x:f>2*V1014</x:f>
        <x:v>450.8917156274008</x:v>
      </x:c>
      <x:c r="Z1014" s="80" t="n">
        <x:f>K1014*'Inputs'!$B$16+(G1014+R1014)*J1014*'Inputs'!$B$16</x:f>
        <x:v>2.7194193578744983</x:v>
      </x:c>
      <x:c r="AA1014" s="80" t="n">
        <x:f>K1014*(1+'Inputs'!$E$46)/2*'Inputs'!$B$17</x:f>
        <x:v>0.9103579414830731</x:v>
      </x:c>
      <x:c r="AB1014" s="78" t="n">
        <x:f>(IF(J1014&gt;0,K1014*(1-'Inputs'!$E$46)/2/J1014,0)+G1014+R1014)*'Inputs'!$B$17</x:f>
        <x:v>519548.9529069568</x:v>
      </x:c>
      <x:c r="AC1014" s="78" t="n">
        <x:f>AC1013+AB1014</x:f>
        <x:v>72678858.44734868</x:v>
      </x:c>
      <x:c r="AD1014" s="80" t="n">
        <x:f>Z1014/(1+'Inputs'!$C$46)</x:f>
        <x:v>1.3597096789372491</x:v>
      </x:c>
      <x:c r="AE1014" s="80" t="n">
        <x:f>Z1014-AD1014</x:f>
        <x:v>1.3597096789372491</x:v>
      </x:c>
      <x:c r="AF1014" s="80" t="n">
        <x:f>D1014*W1014</x:f>
        <x:v>0.46458572924864405</x:v>
      </x:c>
      <x:c r="AG1014" s="80" t="n">
        <x:f>C1014*W1014</x:f>
        <x:v>1.0840333682468795</x:v>
      </x:c>
      <x:c r="AH1014" s="80" t="n">
        <x:f>2*'Inputs'!$B$8*'Inputs'!$C$46</x:f>
        <x:v>5000</x:v>
      </x:c>
      <x:c r="AI1014" s="81" t="n">
        <x:f>IF(AH1014&gt;0,(AE1014+AF1014)/AH1014*365,0)</x:f>
        <x:v>0.1331735647975702</x:v>
      </x:c>
      <x:c r="AJ1014" s="81" t="n">
        <x:f>IF('Inputs'!$B$46&gt;0,AG1014/('Inputs'!$B$19*'Inputs'!$B$46)*365,0)</x:f>
        <x:v>0.0395672179410111</x:v>
      </x:c>
      <x:c r="AK1014" s="81" t="n">
        <x:f>W1014/MAX($W$734:W1014)-1</x:f>
        <x:v>-0.9979280528419949</x:v>
      </x:c>
      <x:c r="AL1014" s="83" t="n">
        <x:f>'Inputs'!$B$46</x:f>
        <x:v>1</x:v>
      </x:c>
      <x:c r="AM1014" s="83" t="n">
        <x:f>'Inputs'!$C$46</x:f>
        <x:v>1</x:v>
      </x:c>
      <x:c r="AN1014" s="83" t="n">
        <x:f>'Inputs'!$D$46</x:f>
        <x:v>1</x:v>
      </x:c>
      <x:c r="AO1014" s="81" t="n">
        <x:f>'Inputs'!$E$46</x:f>
        <x:v>0</x:v>
      </x:c>
    </x:row>
    <x:row r="1015">
      <x:c r="A1015" s="59" t="str">
        <x:v>Base</x:v>
      </x:c>
      <x:c r="B1015" s="59" t="n">
        <x:v>282</x:v>
      </x:c>
      <x:c r="C1015" s="78" t="n">
        <x:f>(('Inputs'!$B$29*(3*282*'Inputs'!$B$12-282^2)/(2*'Inputs'!$B$12^2))-('Inputs'!$B$29*(3*281*'Inputs'!$B$12-281^2)/(2*'Inputs'!$B$12^2)))*'Inputs'!$B$46</x:f>
        <x:v>620468.4274723232</x:v>
      </x:c>
      <x:c r="D1015" s="78" t="n">
        <x:f>IF('Inputs'!$C$46&gt;0,('Inputs'!$B$30*(3*282*'Inputs'!$B$12-282^2)/(2*'Inputs'!$B$12^2))-('Inputs'!$B$30*(3*281*'Inputs'!$B$12-281^2)/(2*'Inputs'!$B$12^2)),0)</x:f>
        <x:v>265915.04034528136</x:v>
      </x:c>
      <x:c r="E1015" s="78" t="n">
        <x:f>C1015+D1015</x:f>
        <x:v>886383.4678176045</x:v>
      </x:c>
      <x:c r="F1015" s="78" t="n">
        <x:f>'Inputs'!$B$13*E1015+(1-'Inputs'!$B$13)/'Inputs'!$B$14*SUM(E960:E1015)</x:f>
        <x:v>896601.1446800531</x:v>
      </x:c>
      <x:c r="G1015" s="78" t="n">
        <x:f>F1015*'Inputs'!$F$46</x:f>
        <x:v>448300.57234002656</x:v>
      </x:c>
      <x:c r="H1015" s="78" t="n">
        <x:f>U1014</x:f>
        <x:v>129106109.83644406</x:v>
      </x:c>
      <x:c r="I1015" s="78" t="n">
        <x:f>V1014</x:f>
        <x:v>225.4458578137004</x:v>
      </x:c>
      <x:c r="J1015" s="79" t="n">
        <x:f>IF(H1015&gt;0,I1015/H1015,0)</x:f>
        <x:v>0.0000017462059549257796</x:v>
      </x:c>
      <x:c r="K1015" s="80" t="n">
        <x:f>(H1015*J1015+I1015)*'Inputs'!$D$46*(1+'Inputs'!$G$46)^(B1015/30)</x:f>
        <x:v>450.8917156274008</x:v>
      </x:c>
      <x:c r="L1015" s="80" t="n">
        <x:f>MAX(0,K1015*'Inputs'!$E$46)</x:f>
        <x:v>0</x:v>
      </x:c>
      <x:c r="M1015" s="80" t="n">
        <x:f>MAX(0,-K1015*'Inputs'!$E$46)</x:f>
        <x:v>0</x:v>
      </x:c>
      <x:c r="N1015" s="78" t="n">
        <x:f>H1015*(L1015*(1-'Inputs'!$B$15))/(I1015+L1015*(1-'Inputs'!$B$15))</x:f>
        <x:v>0</x:v>
      </x:c>
      <x:c r="O1015" s="78" t="n">
        <x:f>H1015-N1015</x:f>
        <x:v>129106109.83644406</x:v>
      </x:c>
      <x:c r="P1015" s="78" t="n">
        <x:f>I1015+L1015*(1-'Inputs'!$B$17)</x:f>
        <x:v>225.4458578137004</x:v>
      </x:c>
      <x:c r="Q1015" s="78" t="n">
        <x:f>IF(J1015&gt;0,M1015/J1015,0)</x:f>
        <x:v>0</x:v>
      </x:c>
      <x:c r="R1015" s="78" t="n">
        <x:f>IF(B1015='Inputs'!$H$46,'Inputs'!$B$27*'Inputs'!$I$46,0)</x:f>
        <x:v>0</x:v>
      </x:c>
      <x:c r="S1015" s="78" t="n">
        <x:f>Q1015+G1015+R1015</x:f>
        <x:v>448300.57234002656</x:v>
      </x:c>
      <x:c r="T1015" s="78" t="n">
        <x:f>P1015*(S1015*(1-'Inputs'!$B$15))/(O1015+S1015*(1-'Inputs'!$B$15))</x:f>
        <x:v>0.772341860967423</x:v>
      </x:c>
      <x:c r="U1015" s="78" t="n">
        <x:f>O1015+S1015*(1-'Inputs'!$B$17)</x:f>
        <x:v>129552606.38233605</x:v>
      </x:c>
      <x:c r="V1015" s="78" t="n">
        <x:f>P1015-T1015</x:f>
        <x:v>224.67351595273297</x:v>
      </x:c>
      <x:c r="W1015" s="79" t="n">
        <x:f>IF(U1015&gt;0,V1015/U1015,0)</x:f>
        <x:v>0.00000173422613582683</x:v>
      </x:c>
      <x:c r="X1015" s="80" t="n">
        <x:f>W1015*('Inputs'!$B$6-AC1015)</x:f>
        <x:v>1607.280428619011</x:v>
      </x:c>
      <x:c r="Y1015" s="80" t="n">
        <x:f>2*V1015</x:f>
        <x:v>449.34703190546594</x:v>
      </x:c>
      <x:c r="Z1015" s="80" t="n">
        <x:f>K1015*'Inputs'!$B$16+(G1015+R1015)*J1015*'Inputs'!$B$16</x:f>
        <x:v>2.7100472445385058</x:v>
      </x:c>
      <x:c r="AA1015" s="80" t="n">
        <x:f>K1015*(1+'Inputs'!$E$46)/2*'Inputs'!$B$17</x:f>
        <x:v>0.9072267920068428</x:v>
      </x:c>
      <x:c r="AB1015" s="78" t="n">
        <x:f>(IF(J1015&gt;0,K1015*(1-'Inputs'!$E$46)/2/J1015,0)+G1015+R1015)*'Inputs'!$B$17</x:f>
        <x:v>521345.71593072073</x:v>
      </x:c>
      <x:c r="AC1015" s="78" t="n">
        <x:f>AC1014+AB1015</x:f>
        <x:v>73200204.1632794</x:v>
      </x:c>
      <x:c r="AD1015" s="80" t="n">
        <x:f>Z1015/(1+'Inputs'!$C$46)</x:f>
        <x:v>1.3550236222692529</x:v>
      </x:c>
      <x:c r="AE1015" s="80" t="n">
        <x:f>Z1015-AD1015</x:f>
        <x:v>1.3550236222692529</x:v>
      </x:c>
      <x:c r="AF1015" s="80" t="n">
        <x:f>D1015*W1015</x:f>
        <x:v>0.4611568128762329</x:v>
      </x:c>
      <x:c r="AG1015" s="80" t="n">
        <x:f>C1015*W1015</x:f>
        <x:v>1.0760325633778767</x:v>
      </x:c>
      <x:c r="AH1015" s="80" t="n">
        <x:f>2*'Inputs'!$B$8*'Inputs'!$C$46</x:f>
        <x:v>5000</x:v>
      </x:c>
      <x:c r="AI1015" s="81" t="n">
        <x:f>IF(AH1015&gt;0,(AE1015+AF1015)/AH1015*365,0)</x:f>
        <x:v>0.13258117176562045</x:v>
      </x:c>
      <x:c r="AJ1015" s="81" t="n">
        <x:f>IF('Inputs'!$B$46&gt;0,AG1015/('Inputs'!$B$19*'Inputs'!$B$46)*365,0)</x:f>
        <x:v>0.0392751885632925</x:v>
      </x:c>
      <x:c r="AK1015" s="81" t="n">
        <x:f>W1015/MAX($W$734:W1015)-1</x:f>
        <x:v>-0.997942267403608</x:v>
      </x:c>
      <x:c r="AL1015" s="83" t="n">
        <x:f>'Inputs'!$B$46</x:f>
        <x:v>1</x:v>
      </x:c>
      <x:c r="AM1015" s="83" t="n">
        <x:f>'Inputs'!$C$46</x:f>
        <x:v>1</x:v>
      </x:c>
      <x:c r="AN1015" s="83" t="n">
        <x:f>'Inputs'!$D$46</x:f>
        <x:v>1</x:v>
      </x:c>
      <x:c r="AO1015" s="81" t="n">
        <x:f>'Inputs'!$E$46</x:f>
        <x:v>0</x:v>
      </x:c>
    </x:row>
    <x:row r="1016">
      <x:c r="A1016" s="59" t="str">
        <x:v>Base</x:v>
      </x:c>
      <x:c r="B1016" s="59" t="n">
        <x:v>283</x:v>
      </x:c>
      <x:c r="C1016" s="78" t="n">
        <x:f>(('Inputs'!$B$29*(3*283*'Inputs'!$B$12-283^2)/(2*'Inputs'!$B$12^2))-('Inputs'!$B$29*(3*282*'Inputs'!$B$12-282^2)/(2*'Inputs'!$B$12^2)))*'Inputs'!$B$46</x:f>
        <x:v>620143.3195721507</x:v>
      </x:c>
      <x:c r="D1016" s="78" t="n">
        <x:f>IF('Inputs'!$C$46&gt;0,('Inputs'!$B$30*(3*283*'Inputs'!$B$12-283^2)/(2*'Inputs'!$B$12^2))-('Inputs'!$B$30*(3*282*'Inputs'!$B$12-282^2)/(2*'Inputs'!$B$12^2)),0)</x:f>
        <x:v>265775.70838807523</x:v>
      </x:c>
      <x:c r="E1016" s="78" t="n">
        <x:f>C1016+D1016</x:f>
        <x:v>885919.0279602259</x:v>
      </x:c>
      <x:c r="F1016" s="78" t="n">
        <x:f>'Inputs'!$B$13*E1016+(1-'Inputs'!$B$13)/'Inputs'!$B$14*SUM(E961:E1016)</x:f>
        <x:v>896136.7048226703</x:v>
      </x:c>
      <x:c r="G1016" s="78" t="n">
        <x:f>F1016*'Inputs'!$F$46</x:f>
        <x:v>448068.35241133516</x:v>
      </x:c>
      <x:c r="H1016" s="78" t="n">
        <x:f>U1015</x:f>
        <x:v>129552606.38233605</x:v>
      </x:c>
      <x:c r="I1016" s="78" t="n">
        <x:f>V1015</x:f>
        <x:v>224.67351595273297</x:v>
      </x:c>
      <x:c r="J1016" s="79" t="n">
        <x:f>IF(H1016&gt;0,I1016/H1016,0)</x:f>
        <x:v>0.00000173422613582683</x:v>
      </x:c>
      <x:c r="K1016" s="80" t="n">
        <x:f>(H1016*J1016+I1016)*'Inputs'!$D$46*(1+'Inputs'!$G$46)^(B1016/30)</x:f>
        <x:v>449.34703190546594</x:v>
      </x:c>
      <x:c r="L1016" s="80" t="n">
        <x:f>MAX(0,K1016*'Inputs'!$E$46)</x:f>
        <x:v>0</x:v>
      </x:c>
      <x:c r="M1016" s="80" t="n">
        <x:f>MAX(0,-K1016*'Inputs'!$E$46)</x:f>
        <x:v>0</x:v>
      </x:c>
      <x:c r="N1016" s="78" t="n">
        <x:f>H1016*(L1016*(1-'Inputs'!$B$15))/(I1016+L1016*(1-'Inputs'!$B$15))</x:f>
        <x:v>0</x:v>
      </x:c>
      <x:c r="O1016" s="78" t="n">
        <x:f>H1016-N1016</x:f>
        <x:v>129552606.38233605</x:v>
      </x:c>
      <x:c r="P1016" s="78" t="n">
        <x:f>I1016+L1016*(1-'Inputs'!$B$17)</x:f>
        <x:v>224.67351595273297</x:v>
      </x:c>
      <x:c r="Q1016" s="78" t="n">
        <x:f>IF(J1016&gt;0,M1016/J1016,0)</x:f>
        <x:v>0</x:v>
      </x:c>
      <x:c r="R1016" s="78" t="n">
        <x:f>IF(B1016='Inputs'!$H$46,'Inputs'!$B$27*'Inputs'!$I$46,0)</x:f>
        <x:v>0</x:v>
      </x:c>
      <x:c r="S1016" s="78" t="n">
        <x:f>Q1016+G1016+R1016</x:f>
        <x:v>448068.35241133516</x:v>
      </x:c>
      <x:c r="T1016" s="78" t="n">
        <x:f>P1016*(S1016*(1-'Inputs'!$B$15))/(O1016+S1016*(1-'Inputs'!$B$15))</x:f>
        <x:v>0.7666563004367513</x:v>
      </x:c>
      <x:c r="U1016" s="78" t="n">
        <x:f>O1016+S1016*(1-'Inputs'!$B$17)</x:f>
        <x:v>129998871.64278597</x:v>
      </x:c>
      <x:c r="V1016" s="78" t="n">
        <x:f>P1016-T1016</x:f>
        <x:v>223.90685965229622</x:v>
      </x:c>
      <x:c r="W1016" s="79" t="n">
        <x:f>IF(U1016&gt;0,V1016/U1016,0)</x:f>
        <x:v>0.00000172237540851549</x:v>
      </x:c>
      <x:c r="X1016" s="80" t="n">
        <x:f>W1016*('Inputs'!$B$6-AC1016)</x:f>
        <x:v>1595.3961308285031</x:v>
      </x:c>
      <x:c r="Y1016" s="80" t="n">
        <x:f>2*V1016</x:f>
        <x:v>447.81371930459244</x:v>
      </x:c>
      <x:c r="Z1016" s="80" t="n">
        <x:f>K1016*'Inputs'!$B$16+(G1016+R1016)*J1016*'Inputs'!$B$16</x:f>
        <x:v>2.7007445025171273</x:v>
      </x:c>
      <x:c r="AA1016" s="80" t="n">
        <x:f>K1016*(1+'Inputs'!$E$46)/2*'Inputs'!$B$17</x:f>
        <x:v>0.9041187764697505</x:v>
      </x:c>
      <x:c r="AB1016" s="78" t="n">
        <x:f>(IF(J1016&gt;0,K1016*(1-'Inputs'!$E$46)/2/J1016,0)+G1016+R1016)*'Inputs'!$B$17</x:f>
        <x:v>523141.5482283597</x:v>
      </x:c>
      <x:c r="AC1016" s="78" t="n">
        <x:f>AC1015+AB1016</x:f>
        <x:v>73723345.71150775</x:v>
      </x:c>
      <x:c r="AD1016" s="80" t="n">
        <x:f>Z1016/(1+'Inputs'!$C$46)</x:f>
        <x:v>1.3503722512585636</x:v>
      </x:c>
      <x:c r="AE1016" s="80" t="n">
        <x:f>Z1016-AD1016</x:f>
        <x:v>1.3503722512585636</x:v>
      </x:c>
      <x:c r="AF1016" s="80" t="n">
        <x:f>D1016*W1016</x:f>
        <x:v>0.4577655443084048</x:v>
      </x:c>
      <x:c r="AG1016" s="80" t="n">
        <x:f>C1016*W1016</x:f>
        <x:v>1.0681196033862352</x:v>
      </x:c>
      <x:c r="AH1016" s="80" t="n">
        <x:f>2*'Inputs'!$B$8*'Inputs'!$C$46</x:f>
        <x:v>5000</x:v>
      </x:c>
      <x:c r="AI1016" s="81" t="n">
        <x:f>IF(AH1016&gt;0,(AE1016+AF1016)/AH1016*365,0)</x:f>
        <x:v>0.1319940590763887</x:v>
      </x:c>
      <x:c r="AJ1016" s="81" t="n">
        <x:f>IF('Inputs'!$B$46&gt;0,AG1016/('Inputs'!$B$19*'Inputs'!$B$46)*365,0)</x:f>
        <x:v>0.03898636552359759</x:v>
      </x:c>
      <x:c r="AK1016" s="81" t="n">
        <x:f>W1016/MAX($W$734:W1016)-1</x:f>
        <x:v>-0.99795632879236</x:v>
      </x:c>
      <x:c r="AL1016" s="83" t="n">
        <x:f>'Inputs'!$B$46</x:f>
        <x:v>1</x:v>
      </x:c>
      <x:c r="AM1016" s="83" t="n">
        <x:f>'Inputs'!$C$46</x:f>
        <x:v>1</x:v>
      </x:c>
      <x:c r="AN1016" s="83" t="n">
        <x:f>'Inputs'!$D$46</x:f>
        <x:v>1</x:v>
      </x:c>
      <x:c r="AO1016" s="81" t="n">
        <x:f>'Inputs'!$E$46</x:f>
        <x:v>0</x:v>
      </x:c>
    </x:row>
    <x:row r="1017">
      <x:c r="A1017" s="59" t="str">
        <x:v>Base</x:v>
      </x:c>
      <x:c r="B1017" s="59" t="n">
        <x:v>284</x:v>
      </x:c>
      <x:c r="C1017" s="78" t="n">
        <x:f>(('Inputs'!$B$29*(3*284*'Inputs'!$B$12-284^2)/(2*'Inputs'!$B$12^2))-('Inputs'!$B$29*(3*283*'Inputs'!$B$12-283^2)/(2*'Inputs'!$B$12^2)))*'Inputs'!$B$46</x:f>
        <x:v>619818.2116719782</x:v>
      </x:c>
      <x:c r="D1017" s="78" t="n">
        <x:f>IF('Inputs'!$C$46&gt;0,('Inputs'!$B$30*(3*284*'Inputs'!$B$12-284^2)/(2*'Inputs'!$B$12^2))-('Inputs'!$B$30*(3*283*'Inputs'!$B$12-283^2)/(2*'Inputs'!$B$12^2)),0)</x:f>
        <x:v>265636.3764308393</x:v>
      </x:c>
      <x:c r="E1017" s="78" t="n">
        <x:f>C1017+D1017</x:f>
        <x:v>885454.5881028175</x:v>
      </x:c>
      <x:c r="F1017" s="78" t="n">
        <x:f>'Inputs'!$B$13*E1017+(1-'Inputs'!$B$13)/'Inputs'!$B$14*SUM(E962:E1017)</x:f>
        <x:v>895672.2649652809</x:v>
      </x:c>
      <x:c r="G1017" s="78" t="n">
        <x:f>F1017*'Inputs'!$F$46</x:f>
        <x:v>447836.13248264045</x:v>
      </x:c>
      <x:c r="H1017" s="78" t="n">
        <x:f>U1016</x:f>
        <x:v>129998871.64278597</x:v>
      </x:c>
      <x:c r="I1017" s="78" t="n">
        <x:f>V1016</x:f>
        <x:v>223.90685965229622</x:v>
      </x:c>
      <x:c r="J1017" s="79" t="n">
        <x:f>IF(H1017&gt;0,I1017/H1017,0)</x:f>
        <x:v>0.00000172237540851549</x:v>
      </x:c>
      <x:c r="K1017" s="80" t="n">
        <x:f>(H1017*J1017+I1017)*'Inputs'!$D$46*(1+'Inputs'!$G$46)^(B1017/30)</x:f>
        <x:v>447.81371930459244</x:v>
      </x:c>
      <x:c r="L1017" s="80" t="n">
        <x:f>MAX(0,K1017*'Inputs'!$E$46)</x:f>
        <x:v>0</x:v>
      </x:c>
      <x:c r="M1017" s="80" t="n">
        <x:f>MAX(0,-K1017*'Inputs'!$E$46)</x:f>
        <x:v>0</x:v>
      </x:c>
      <x:c r="N1017" s="78" t="n">
        <x:f>H1017*(L1017*(1-'Inputs'!$B$15))/(I1017+L1017*(1-'Inputs'!$B$15))</x:f>
        <x:v>0</x:v>
      </x:c>
      <x:c r="O1017" s="78" t="n">
        <x:f>H1017-N1017</x:f>
        <x:v>129998871.64278597</x:v>
      </x:c>
      <x:c r="P1017" s="78" t="n">
        <x:f>I1017+L1017*(1-'Inputs'!$B$17)</x:f>
        <x:v>223.90685965229622</x:v>
      </x:c>
      <x:c r="Q1017" s="78" t="n">
        <x:f>IF(J1017&gt;0,M1017/J1017,0)</x:f>
        <x:v>0</x:v>
      </x:c>
      <x:c r="R1017" s="78" t="n">
        <x:f>IF(B1017='Inputs'!$H$46,'Inputs'!$B$27*'Inputs'!$I$46,0)</x:f>
        <x:v>0</x:v>
      </x:c>
      <x:c r="S1017" s="78" t="n">
        <x:f>Q1017+G1017+R1017</x:f>
        <x:v>447836.13248264045</x:v>
      </x:c>
      <x:c r="T1017" s="78" t="n">
        <x:f>P1017*(S1017*(1-'Inputs'!$B$15))/(O1017+S1017*(1-'Inputs'!$B$15))</x:f>
        <x:v>0.7610330388279599</x:v>
      </x:c>
      <x:c r="U1017" s="78" t="n">
        <x:f>O1017+S1017*(1-'Inputs'!$B$17)</x:f>
        <x:v>130444905.61779383</x:v>
      </x:c>
      <x:c r="V1017" s="78" t="n">
        <x:f>P1017-T1017</x:f>
        <x:v>223.14582661346827</x:v>
      </x:c>
      <x:c r="W1017" s="79" t="n">
        <x:f>IF(U1017&gt;0,V1017/U1017,0)</x:f>
        <x:v>0.0000017106519074596135</x:v>
      </x:c>
      <x:c r="X1017" s="80" t="n">
        <x:f>W1017*('Inputs'!$B$6-AC1017)</x:f>
        <x:v>1583.6389419547731</x:v>
      </x:c>
      <x:c r="Y1017" s="80" t="n">
        <x:f>2*V1017</x:f>
        <x:v>446.29165322693655</x:v>
      </x:c>
      <x:c r="Z1017" s="80" t="n">
        <x:f>K1017*'Inputs'!$B$16+(G1017+R1017)*J1017*'Inputs'!$B$16</x:f>
        <x:v>2.6915103674773513</x:v>
      </x:c>
      <x:c r="AA1017" s="80" t="n">
        <x:f>K1017*(1+'Inputs'!$E$46)/2*'Inputs'!$B$17</x:f>
        <x:v>0.9010336404518964</x:v>
      </x:c>
      <x:c r="AB1017" s="78" t="n">
        <x:f>(IF(J1017&gt;0,K1017*(1-'Inputs'!$E$46)/2/J1017,0)+G1017+R1017)*'Inputs'!$B$17</x:f>
        <x:v>524936.4497998737</x:v>
      </x:c>
      <x:c r="AC1017" s="78" t="n">
        <x:f>AC1016+AB1017</x:f>
        <x:v>74248282.16130763</x:v>
      </x:c>
      <x:c r="AD1017" s="80" t="n">
        <x:f>Z1017/(1+'Inputs'!$C$46)</x:f>
        <x:v>1.3457551837386756</x:v>
      </x:c>
      <x:c r="AE1017" s="80" t="n">
        <x:f>Z1017-AD1017</x:f>
        <x:v>1.3457551837386756</x:v>
      </x:c>
      <x:c r="AF1017" s="80" t="n">
        <x:f>D1017*W1017</x:f>
        <x:v>0.45441137403207515</x:v>
      </x:c>
      <x:c r="AG1017" s="80" t="n">
        <x:f>C1017*W1017</x:f>
        <x:v>1.060293206074876</x:v>
      </x:c>
      <x:c r="AH1017" s="80" t="n">
        <x:f>2*'Inputs'!$B$8*'Inputs'!$C$46</x:f>
        <x:v>5000</x:v>
      </x:c>
      <x:c r="AI1017" s="81" t="n">
        <x:f>IF(AH1017&gt;0,(AE1017+AF1017)/AH1017*365,0)</x:f>
        <x:v>0.1314121587172648</x:v>
      </x:c>
      <x:c r="AJ1017" s="81" t="n">
        <x:f>IF('Inputs'!$B$46&gt;0,AG1017/('Inputs'!$B$19*'Inputs'!$B$46)*365,0)</x:f>
        <x:v>0.03870070202173297</x:v>
      </x:c>
      <x:c r="AK1017" s="81" t="n">
        <x:f>W1017/MAX($W$734:W1017)-1</x:f>
        <x:v>-0.9979702392217833</x:v>
      </x:c>
      <x:c r="AL1017" s="83" t="n">
        <x:f>'Inputs'!$B$46</x:f>
        <x:v>1</x:v>
      </x:c>
      <x:c r="AM1017" s="83" t="n">
        <x:f>'Inputs'!$C$46</x:f>
        <x:v>1</x:v>
      </x:c>
      <x:c r="AN1017" s="83" t="n">
        <x:f>'Inputs'!$D$46</x:f>
        <x:v>1</x:v>
      </x:c>
      <x:c r="AO1017" s="81" t="n">
        <x:f>'Inputs'!$E$46</x:f>
        <x:v>0</x:v>
      </x:c>
    </x:row>
    <x:row r="1018">
      <x:c r="A1018" s="59" t="str">
        <x:v>Base</x:v>
      </x:c>
      <x:c r="B1018" s="59" t="n">
        <x:v>285</x:v>
      </x:c>
      <x:c r="C1018" s="78" t="n">
        <x:f>(('Inputs'!$B$29*(3*285*'Inputs'!$B$12-285^2)/(2*'Inputs'!$B$12^2))-('Inputs'!$B$29*(3*284*'Inputs'!$B$12-284^2)/(2*'Inputs'!$B$12^2)))*'Inputs'!$B$46</x:f>
        <x:v>619493.1037718356</x:v>
      </x:c>
      <x:c r="D1018" s="78" t="n">
        <x:f>IF('Inputs'!$C$46&gt;0,('Inputs'!$B$30*(3*285*'Inputs'!$B$12-285^2)/(2*'Inputs'!$B$12^2))-('Inputs'!$B$30*(3*284*'Inputs'!$B$12-284^2)/(2*'Inputs'!$B$12^2)),0)</x:f>
        <x:v>265497.04447363317</x:v>
      </x:c>
      <x:c r="E1018" s="78" t="n">
        <x:f>C1018+D1018</x:f>
        <x:v>884990.1482454687</x:v>
      </x:c>
      <x:c r="F1018" s="78" t="n">
        <x:f>'Inputs'!$B$13*E1018+(1-'Inputs'!$B$13)/'Inputs'!$B$14*SUM(E963:E1018)</x:f>
        <x:v>895207.8251079043</x:v>
      </x:c>
      <x:c r="G1018" s="78" t="n">
        <x:f>F1018*'Inputs'!$F$46</x:f>
        <x:v>447603.91255395213</x:v>
      </x:c>
      <x:c r="H1018" s="78" t="n">
        <x:f>U1017</x:f>
        <x:v>130444905.61779383</x:v>
      </x:c>
      <x:c r="I1018" s="78" t="n">
        <x:f>V1017</x:f>
        <x:v>223.14582661346827</x:v>
      </x:c>
      <x:c r="J1018" s="79" t="n">
        <x:f>IF(H1018&gt;0,I1018/H1018,0)</x:f>
        <x:v>0.0000017106519074596135</x:v>
      </x:c>
      <x:c r="K1018" s="80" t="n">
        <x:f>(H1018*J1018+I1018)*'Inputs'!$D$46*(1+'Inputs'!$G$46)^(B1018/30)</x:f>
        <x:v>446.29165322693655</x:v>
      </x:c>
      <x:c r="L1018" s="80" t="n">
        <x:f>MAX(0,K1018*'Inputs'!$E$46)</x:f>
        <x:v>0</x:v>
      </x:c>
      <x:c r="M1018" s="80" t="n">
        <x:f>MAX(0,-K1018*'Inputs'!$E$46)</x:f>
        <x:v>0</x:v>
      </x:c>
      <x:c r="N1018" s="78" t="n">
        <x:f>H1018*(L1018*(1-'Inputs'!$B$15))/(I1018+L1018*(1-'Inputs'!$B$15))</x:f>
        <x:v>0</x:v>
      </x:c>
      <x:c r="O1018" s="78" t="n">
        <x:f>H1018-N1018</x:f>
        <x:v>130444905.61779383</x:v>
      </x:c>
      <x:c r="P1018" s="78" t="n">
        <x:f>I1018+L1018*(1-'Inputs'!$B$17)</x:f>
        <x:v>223.14582661346827</x:v>
      </x:c>
      <x:c r="Q1018" s="78" t="n">
        <x:f>IF(J1018&gt;0,M1018/J1018,0)</x:f>
        <x:v>0</x:v>
      </x:c>
      <x:c r="R1018" s="78" t="n">
        <x:f>IF(B1018='Inputs'!$H$46,'Inputs'!$B$27*'Inputs'!$I$46,0)</x:f>
        <x:v>0</x:v>
      </x:c>
      <x:c r="S1018" s="78" t="n">
        <x:f>Q1018+G1018+R1018</x:f>
        <x:v>447603.91255395213</x:v>
      </x:c>
      <x:c r="T1018" s="78" t="n">
        <x:f>P1018*(S1018*(1-'Inputs'!$B$15))/(O1018+S1018*(1-'Inputs'!$B$15))</x:f>
        <x:v>0.7554711685563127</x:v>
      </x:c>
      <x:c r="U1018" s="78" t="n">
        <x:f>O1018+S1018*(1-'Inputs'!$B$17)</x:f>
        <x:v>130890708.30735964</x:v>
      </x:c>
      <x:c r="V1018" s="78" t="n">
        <x:f>P1018-T1018</x:f>
        <x:v>222.39035544491196</x:v>
      </x:c>
      <x:c r="W1018" s="79" t="n">
        <x:f>IF(U1018&gt;0,V1018/U1018,0)</x:f>
        <x:v>0.0000016990538008449874</x:v>
      </x:c>
      <x:c r="X1018" s="80" t="n">
        <x:f>W1018*('Inputs'!$B$6-AC1018)</x:f>
        <x:v>1572.0070315093885</x:v>
      </x:c>
      <x:c r="Y1018" s="80" t="n">
        <x:f>2*V1018</x:f>
        <x:v>444.7807108898239</x:v>
      </x:c>
      <x:c r="Z1018" s="80" t="n">
        <x:f>K1018*'Inputs'!$B$16+(G1018+R1018)*J1018*'Inputs'!$B$16</x:f>
        <x:v>2.6823440862824</x:v>
      </x:c>
      <x:c r="AA1018" s="80" t="n">
        <x:f>K1018*(1+'Inputs'!$E$46)/2*'Inputs'!$B$17</x:f>
        <x:v>0.8979711332533935</x:v>
      </x:c>
      <x:c r="AB1018" s="78" t="n">
        <x:f>(IF(J1018&gt;0,K1018*(1-'Inputs'!$E$46)/2/J1018,0)+G1018+R1018)*'Inputs'!$B$17</x:f>
        <x:v>526730.4206452627</x:v>
      </x:c>
      <x:c r="AC1018" s="78" t="n">
        <x:f>AC1017+AB1018</x:f>
        <x:v>74775012.5819529</x:v>
      </x:c>
      <x:c r="AD1018" s="80" t="n">
        <x:f>Z1018/(1+'Inputs'!$C$46)</x:f>
        <x:v>1.3411720431412</x:v>
      </x:c>
      <x:c r="AE1018" s="80" t="n">
        <x:f>Z1018-AD1018</x:f>
        <x:v>1.3411720431412</x:v>
      </x:c>
      <x:c r="AF1018" s="80" t="n">
        <x:f>D1018*W1018</x:f>
        <x:v>0.4510937625260371</x:v>
      </x:c>
      <x:c r="AG1018" s="80" t="n">
        <x:f>C1018*W1018</x:f>
        <x:v>1.0525521125607955</x:v>
      </x:c>
      <x:c r="AH1018" s="80" t="n">
        <x:f>2*'Inputs'!$B$8*'Inputs'!$C$46</x:f>
        <x:v>5000</x:v>
      </x:c>
      <x:c r="AI1018" s="81" t="n">
        <x:f>IF(AH1018&gt;0,(AE1018+AF1018)/AH1018*365,0)</x:f>
        <x:v>0.1308354038137083</x:v>
      </x:c>
      <x:c r="AJ1018" s="81" t="n">
        <x:f>IF('Inputs'!$B$46&gt;0,AG1018/('Inputs'!$B$19*'Inputs'!$B$46)*365,0)</x:f>
        <x:v>0.038418152108469036</x:v>
      </x:c>
      <x:c r="AK1018" s="81" t="n">
        <x:f>W1018/MAX($W$734:W1018)-1</x:f>
        <x:v>-0.9979840008654031</x:v>
      </x:c>
      <x:c r="AL1018" s="83" t="n">
        <x:f>'Inputs'!$B$46</x:f>
        <x:v>1</x:v>
      </x:c>
      <x:c r="AM1018" s="83" t="n">
        <x:f>'Inputs'!$C$46</x:f>
        <x:v>1</x:v>
      </x:c>
      <x:c r="AN1018" s="83" t="n">
        <x:f>'Inputs'!$D$46</x:f>
        <x:v>1</x:v>
      </x:c>
      <x:c r="AO1018" s="81" t="n">
        <x:f>'Inputs'!$E$46</x:f>
        <x:v>0</x:v>
      </x:c>
    </x:row>
    <x:row r="1019">
      <x:c r="A1019" s="59" t="str">
        <x:v>Base</x:v>
      </x:c>
      <x:c r="B1019" s="59" t="n">
        <x:v>286</x:v>
      </x:c>
      <x:c r="C1019" s="78" t="n">
        <x:f>(('Inputs'!$B$29*(3*286*'Inputs'!$B$12-286^2)/(2*'Inputs'!$B$12^2))-('Inputs'!$B$29*(3*285*'Inputs'!$B$12-285^2)/(2*'Inputs'!$B$12^2)))*'Inputs'!$B$46</x:f>
        <x:v>619167.9958716333</x:v>
      </x:c>
      <x:c r="D1019" s="78" t="n">
        <x:f>IF('Inputs'!$C$46&gt;0,('Inputs'!$B$30*(3*286*'Inputs'!$B$12-286^2)/(2*'Inputs'!$B$12^2))-('Inputs'!$B$30*(3*285*'Inputs'!$B$12-285^2)/(2*'Inputs'!$B$12^2)),0)</x:f>
        <x:v>265357.71251642704</x:v>
      </x:c>
      <x:c r="E1019" s="78" t="n">
        <x:f>C1019+D1019</x:f>
        <x:v>884525.7083880603</x:v>
      </x:c>
      <x:c r="F1019" s="78" t="n">
        <x:f>'Inputs'!$B$13*E1019+(1-'Inputs'!$B$13)/'Inputs'!$B$14*SUM(E964:E1019)</x:f>
        <x:v>894743.3852505152</x:v>
      </x:c>
      <x:c r="G1019" s="78" t="n">
        <x:f>F1019*'Inputs'!$F$46</x:f>
        <x:v>447371.6926252576</x:v>
      </x:c>
      <x:c r="H1019" s="78" t="n">
        <x:f>U1018</x:f>
        <x:v>130890708.30735964</x:v>
      </x:c>
      <x:c r="I1019" s="78" t="n">
        <x:f>V1018</x:f>
        <x:v>222.39035544491196</x:v>
      </x:c>
      <x:c r="J1019" s="79" t="n">
        <x:f>IF(H1019&gt;0,I1019/H1019,0)</x:f>
        <x:v>0.0000016990538008449874</x:v>
      </x:c>
      <x:c r="K1019" s="80" t="n">
        <x:f>(H1019*J1019+I1019)*'Inputs'!$D$46*(1+'Inputs'!$G$46)^(B1019/30)</x:f>
        <x:v>444.7807108898239</x:v>
      </x:c>
      <x:c r="L1019" s="80" t="n">
        <x:f>MAX(0,K1019*'Inputs'!$E$46)</x:f>
        <x:v>0</x:v>
      </x:c>
      <x:c r="M1019" s="80" t="n">
        <x:f>MAX(0,-K1019*'Inputs'!$E$46)</x:f>
        <x:v>0</x:v>
      </x:c>
      <x:c r="N1019" s="78" t="n">
        <x:f>H1019*(L1019*(1-'Inputs'!$B$15))/(I1019+L1019*(1-'Inputs'!$B$15))</x:f>
        <x:v>0</x:v>
      </x:c>
      <x:c r="O1019" s="78" t="n">
        <x:f>H1019-N1019</x:f>
        <x:v>130890708.30735964</x:v>
      </x:c>
      <x:c r="P1019" s="78" t="n">
        <x:f>I1019+L1019*(1-'Inputs'!$B$17)</x:f>
        <x:v>222.39035544491196</x:v>
      </x:c>
      <x:c r="Q1019" s="78" t="n">
        <x:f>IF(J1019&gt;0,M1019/J1019,0)</x:f>
        <x:v>0</x:v>
      </x:c>
      <x:c r="R1019" s="78" t="n">
        <x:f>IF(B1019='Inputs'!$H$46,'Inputs'!$B$27*'Inputs'!$I$46,0)</x:f>
        <x:v>0</x:v>
      </x:c>
      <x:c r="S1019" s="78" t="n">
        <x:f>Q1019+G1019+R1019</x:f>
        <x:v>447371.6926252576</x:v>
      </x:c>
      <x:c r="T1019" s="78" t="n">
        <x:f>P1019*(S1019*(1-'Inputs'!$B$15))/(O1019+S1019*(1-'Inputs'!$B$15))</x:f>
        <x:v>0.7499697985087553</x:v>
      </x:c>
      <x:c r="U1019" s="78" t="n">
        <x:f>O1019+S1019*(1-'Inputs'!$B$17)</x:f>
        <x:v>131336279.71148339</x:v>
      </x:c>
      <x:c r="V1019" s="78" t="n">
        <x:f>P1019-T1019</x:f>
        <x:v>221.64038564640322</x:v>
      </x:c>
      <x:c r="W1019" s="79" t="n">
        <x:f>IF(U1019&gt;0,V1019/U1019,0)</x:f>
        <x:v>0.000001687579289845105</x:v>
      </x:c>
      <x:c r="X1019" s="80" t="n">
        <x:f>W1019*('Inputs'!$B$6-AC1019)</x:f>
        <x:v>1560.4986019673106</x:v>
      </x:c>
      <x:c r="Y1019" s="80" t="n">
        <x:f>2*V1019</x:f>
        <x:v>443.28077129280643</x:v>
      </x:c>
      <x:c r="Z1019" s="80" t="n">
        <x:f>K1019*'Inputs'!$B$16+(G1019+R1019)*J1019*'Inputs'!$B$16</x:f>
        <x:v>2.6732449167874157</x:v>
      </x:c>
      <x:c r="AA1019" s="80" t="n">
        <x:f>K1019*(1+'Inputs'!$E$46)/2*'Inputs'!$B$17</x:f>
        <x:v>0.8949310078266076</x:v>
      </x:c>
      <x:c r="AB1019" s="78" t="n">
        <x:f>(IF(J1019&gt;0,K1019*(1-'Inputs'!$E$46)/2/J1019,0)+G1019+R1019)*'Inputs'!$B$17</x:f>
        <x:v>528523.4607645267</x:v>
      </x:c>
      <x:c r="AC1019" s="78" t="n">
        <x:f>AC1018+AB1019</x:f>
        <x:v>75303536.04271743</x:v>
      </x:c>
      <x:c r="AD1019" s="80" t="n">
        <x:f>Z1019/(1+'Inputs'!$C$46)</x:f>
        <x:v>1.3366224583937079</x:v>
      </x:c>
      <x:c r="AE1019" s="80" t="n">
        <x:f>Z1019-AD1019</x:f>
        <x:v>1.3366224583937079</x:v>
      </x:c>
      <x:c r="AF1019" s="80" t="n">
        <x:f>D1019*W1019</x:f>
        <x:v>0.44781218004339346</x:v>
      </x:c>
      <x:c r="AG1019" s="80" t="n">
        <x:f>C1019*W1019</x:f>
        <x:v>1.044895086767868</x:v>
      </x:c>
      <x:c r="AH1019" s="80" t="n">
        <x:f>2*'Inputs'!$B$8*'Inputs'!$C$46</x:f>
        <x:v>5000</x:v>
      </x:c>
      <x:c r="AI1019" s="81" t="n">
        <x:f>IF(AH1019&gt;0,(AE1019+AF1019)/AH1019*365,0)</x:f>
        <x:v>0.1302637286059084</x:v>
      </x:c>
      <x:c r="AJ1019" s="81" t="n">
        <x:f>IF('Inputs'!$B$46&gt;0,AG1019/('Inputs'!$B$19*'Inputs'!$B$46)*365,0)</x:f>
        <x:v>0.038138670667027176</x:v>
      </x:c>
      <x:c r="AK1019" s="81" t="n">
        <x:f>W1019/MAX($W$734:W1019)-1</x:f>
        <x:v>-0.9979976158576029</x:v>
      </x:c>
      <x:c r="AL1019" s="83" t="n">
        <x:f>'Inputs'!$B$46</x:f>
        <x:v>1</x:v>
      </x:c>
      <x:c r="AM1019" s="83" t="n">
        <x:f>'Inputs'!$C$46</x:f>
        <x:v>1</x:v>
      </x:c>
      <x:c r="AN1019" s="83" t="n">
        <x:f>'Inputs'!$D$46</x:f>
        <x:v>1</x:v>
      </x:c>
      <x:c r="AO1019" s="81" t="n">
        <x:f>'Inputs'!$E$46</x:f>
        <x:v>0</x:v>
      </x:c>
    </x:row>
    <x:row r="1020">
      <x:c r="A1020" s="59" t="str">
        <x:v>Base</x:v>
      </x:c>
      <x:c r="B1020" s="59" t="n">
        <x:v>287</x:v>
      </x:c>
      <x:c r="C1020" s="78" t="n">
        <x:f>(('Inputs'!$B$29*(3*287*'Inputs'!$B$12-287^2)/(2*'Inputs'!$B$12^2))-('Inputs'!$B$29*(3*286*'Inputs'!$B$12-286^2)/(2*'Inputs'!$B$12^2)))*'Inputs'!$B$46</x:f>
        <x:v>618842.8879714906</x:v>
      </x:c>
      <x:c r="D1020" s="78" t="n">
        <x:f>IF('Inputs'!$C$46&gt;0,('Inputs'!$B$30*(3*287*'Inputs'!$B$12-287^2)/(2*'Inputs'!$B$12^2))-('Inputs'!$B$30*(3*286*'Inputs'!$B$12-286^2)/(2*'Inputs'!$B$12^2)),0)</x:f>
        <x:v>265218.380559206</x:v>
      </x:c>
      <x:c r="E1020" s="78" t="n">
        <x:f>C1020+D1020</x:f>
        <x:v>884061.2685306966</x:v>
      </x:c>
      <x:c r="F1020" s="78" t="n">
        <x:f>'Inputs'!$B$13*E1020+(1-'Inputs'!$B$13)/'Inputs'!$B$14*SUM(E965:E1020)</x:f>
        <x:v>894278.9453931353</x:v>
      </x:c>
      <x:c r="G1020" s="78" t="n">
        <x:f>F1020*'Inputs'!$F$46</x:f>
        <x:v>447139.47269656765</x:v>
      </x:c>
      <x:c r="H1020" s="78" t="n">
        <x:f>U1019</x:f>
        <x:v>131336279.71148339</x:v>
      </x:c>
      <x:c r="I1020" s="78" t="n">
        <x:f>V1019</x:f>
        <x:v>221.64038564640322</x:v>
      </x:c>
      <x:c r="J1020" s="79" t="n">
        <x:f>IF(H1020&gt;0,I1020/H1020,0)</x:f>
        <x:v>0.000001687579289845105</x:v>
      </x:c>
      <x:c r="K1020" s="80" t="n">
        <x:f>(H1020*J1020+I1020)*'Inputs'!$D$46*(1+'Inputs'!$G$46)^(B1020/30)</x:f>
        <x:v>443.28077129280643</x:v>
      </x:c>
      <x:c r="L1020" s="80" t="n">
        <x:f>MAX(0,K1020*'Inputs'!$E$46)</x:f>
        <x:v>0</x:v>
      </x:c>
      <x:c r="M1020" s="80" t="n">
        <x:f>MAX(0,-K1020*'Inputs'!$E$46)</x:f>
        <x:v>0</x:v>
      </x:c>
      <x:c r="N1020" s="78" t="n">
        <x:f>H1020*(L1020*(1-'Inputs'!$B$15))/(I1020+L1020*(1-'Inputs'!$B$15))</x:f>
        <x:v>0</x:v>
      </x:c>
      <x:c r="O1020" s="78" t="n">
        <x:f>H1020-N1020</x:f>
        <x:v>131336279.71148339</x:v>
      </x:c>
      <x:c r="P1020" s="78" t="n">
        <x:f>I1020+L1020*(1-'Inputs'!$B$17)</x:f>
        <x:v>221.64038564640322</x:v>
      </x:c>
      <x:c r="Q1020" s="78" t="n">
        <x:f>IF(J1020&gt;0,M1020/J1020,0)</x:f>
        <x:v>0</x:v>
      </x:c>
      <x:c r="R1020" s="78" t="n">
        <x:f>IF(B1020='Inputs'!$H$46,'Inputs'!$B$27*'Inputs'!$I$46,0)</x:f>
        <x:v>0</x:v>
      </x:c>
      <x:c r="S1020" s="78" t="n">
        <x:f>Q1020+G1020+R1020</x:f>
        <x:v>447139.47269656765</x:v>
      </x:c>
      <x:c r="T1020" s="78" t="n">
        <x:f>P1020*(S1020*(1-'Inputs'!$B$15))/(O1020+S1020*(1-'Inputs'!$B$15))</x:f>
        <x:v>0.7445280536864873</x:v>
      </x:c>
      <x:c r="U1020" s="78" t="n">
        <x:f>O1020+S1020*(1-'Inputs'!$B$17)</x:f>
        <x:v>131781619.83016509</x:v>
      </x:c>
      <x:c r="V1020" s="78" t="n">
        <x:f>P1020-T1020</x:f>
        <x:v>220.89585759271674</x:v>
      </x:c>
      <x:c r="W1020" s="79" t="n">
        <x:f>IF(U1020&gt;0,V1020/U1020,0)</x:f>
        <x:v>0.0000016762266079093468</x:v>
      </x:c>
      <x:c r="X1020" s="80" t="n">
        <x:f>W1020*('Inputs'!$B$6-AC1020)</x:f>
        <x:v>1549.1118880555964</x:v>
      </x:c>
      <x:c r="Y1020" s="80" t="n">
        <x:f>2*V1020</x:f>
        <x:v>441.7917151854335</x:v>
      </x:c>
      <x:c r="Z1020" s="80" t="n">
        <x:f>K1020*'Inputs'!$B$16+(G1020+R1020)*J1020*'Inputs'!$B$16</x:f>
        <x:v>2.6642121276396082</x:v>
      </x:c>
      <x:c r="AA1020" s="80" t="n">
        <x:f>K1020*(1+'Inputs'!$E$46)/2*'Inputs'!$B$17</x:f>
        <x:v>0.8919130207098722</x:v>
      </x:c>
      <x:c r="AB1020" s="78" t="n">
        <x:f>(IF(J1020&gt;0,K1020*(1-'Inputs'!$E$46)/2/J1020,0)+G1020+R1020)*'Inputs'!$B$17</x:f>
        <x:v>530315.5701576659</x:v>
      </x:c>
      <x:c r="AC1020" s="78" t="n">
        <x:f>AC1019+AB1020</x:f>
        <x:v>75833851.61287509</x:v>
      </x:c>
      <x:c r="AD1020" s="80" t="n">
        <x:f>Z1020/(1+'Inputs'!$C$46)</x:f>
        <x:v>1.3321060638198041</x:v>
      </x:c>
      <x:c r="AE1020" s="80" t="n">
        <x:f>Z1020-AD1020</x:f>
        <x:v>1.3321060638198041</x:v>
      </x:c>
      <x:c r="AF1020" s="80" t="n">
        <x:f>D1020*W1020</x:f>
        <x:v>0.44456610639996813</x:v>
      </x:c>
      <x:c r="AG1020" s="80" t="n">
        <x:f>C1020*W1020</x:f>
        <x:v>1.0373209149332756</x:v>
      </x:c>
      <x:c r="AH1020" s="80" t="n">
        <x:f>2*'Inputs'!$B$8*'Inputs'!$C$46</x:f>
        <x:v>5000</x:v>
      </x:c>
      <x:c r="AI1020" s="81" t="n">
        <x:f>IF(AH1020&gt;0,(AE1020+AF1020)/AH1020*365,0)</x:f>
        <x:v>0.1296970684260434</x:v>
      </x:c>
      <x:c r="AJ1020" s="81" t="n">
        <x:f>IF('Inputs'!$B$46&gt;0,AG1020/('Inputs'!$B$19*'Inputs'!$B$46)*365,0)</x:f>
        <x:v>0.03786221339506456</x:v>
      </x:c>
      <x:c r="AK1020" s="81" t="n">
        <x:f>W1020/MAX($W$734:W1020)-1</x:f>
        <x:v>-0.9980110862944699</x:v>
      </x:c>
      <x:c r="AL1020" s="83" t="n">
        <x:f>'Inputs'!$B$46</x:f>
        <x:v>1</x:v>
      </x:c>
      <x:c r="AM1020" s="83" t="n">
        <x:f>'Inputs'!$C$46</x:f>
        <x:v>1</x:v>
      </x:c>
      <x:c r="AN1020" s="83" t="n">
        <x:f>'Inputs'!$D$46</x:f>
        <x:v>1</x:v>
      </x:c>
      <x:c r="AO1020" s="81" t="n">
        <x:f>'Inputs'!$E$46</x:f>
        <x:v>0</x:v>
      </x:c>
    </x:row>
    <x:row r="1021">
      <x:c r="A1021" s="59" t="str">
        <x:v>Base</x:v>
      </x:c>
      <x:c r="B1021" s="59" t="n">
        <x:v>288</x:v>
      </x:c>
      <x:c r="C1021" s="78" t="n">
        <x:f>(('Inputs'!$B$29*(3*288*'Inputs'!$B$12-288^2)/(2*'Inputs'!$B$12^2))-('Inputs'!$B$29*(3*287*'Inputs'!$B$12-287^2)/(2*'Inputs'!$B$12^2)))*'Inputs'!$B$46</x:f>
        <x:v>618517.7800712883</x:v>
      </x:c>
      <x:c r="D1021" s="78" t="n">
        <x:f>IF('Inputs'!$C$46&gt;0,('Inputs'!$B$30*(3*288*'Inputs'!$B$12-288^2)/(2*'Inputs'!$B$12^2))-('Inputs'!$B$30*(3*287*'Inputs'!$B$12-287^2)/(2*'Inputs'!$B$12^2)),0)</x:f>
        <x:v>265079.048601985</x:v>
      </x:c>
      <x:c r="E1021" s="78" t="n">
        <x:f>C1021+D1021</x:f>
        <x:v>883596.8286732733</x:v>
      </x:c>
      <x:c r="F1021" s="78" t="n">
        <x:f>'Inputs'!$B$13*E1021+(1-'Inputs'!$B$13)/'Inputs'!$B$14*SUM(E966:E1021)</x:f>
        <x:v>893814.505535743</x:v>
      </x:c>
      <x:c r="G1021" s="78" t="n">
        <x:f>F1021*'Inputs'!$F$46</x:f>
        <x:v>446907.2527678715</x:v>
      </x:c>
      <x:c r="H1021" s="78" t="n">
        <x:f>U1020</x:f>
        <x:v>131781619.83016509</x:v>
      </x:c>
      <x:c r="I1021" s="78" t="n">
        <x:f>V1020</x:f>
        <x:v>220.89585759271674</x:v>
      </x:c>
      <x:c r="J1021" s="79" t="n">
        <x:f>IF(H1021&gt;0,I1021/H1021,0)</x:f>
        <x:v>0.0000016762266079093468</x:v>
      </x:c>
      <x:c r="K1021" s="80" t="n">
        <x:f>(H1021*J1021+I1021)*'Inputs'!$D$46*(1+'Inputs'!$G$46)^(B1021/30)</x:f>
        <x:v>441.7917151854335</x:v>
      </x:c>
      <x:c r="L1021" s="80" t="n">
        <x:f>MAX(0,K1021*'Inputs'!$E$46)</x:f>
        <x:v>0</x:v>
      </x:c>
      <x:c r="M1021" s="80" t="n">
        <x:f>MAX(0,-K1021*'Inputs'!$E$46)</x:f>
        <x:v>0</x:v>
      </x:c>
      <x:c r="N1021" s="78" t="n">
        <x:f>H1021*(L1021*(1-'Inputs'!$B$15))/(I1021+L1021*(1-'Inputs'!$B$15))</x:f>
        <x:v>0</x:v>
      </x:c>
      <x:c r="O1021" s="78" t="n">
        <x:f>H1021-N1021</x:f>
        <x:v>131781619.83016509</x:v>
      </x:c>
      <x:c r="P1021" s="78" t="n">
        <x:f>I1021+L1021*(1-'Inputs'!$B$17)</x:f>
        <x:v>220.89585759271674</x:v>
      </x:c>
      <x:c r="Q1021" s="78" t="n">
        <x:f>IF(J1021&gt;0,M1021/J1021,0)</x:f>
        <x:v>0</x:v>
      </x:c>
      <x:c r="R1021" s="78" t="n">
        <x:f>IF(B1021='Inputs'!$H$46,'Inputs'!$B$27*'Inputs'!$I$46,0)</x:f>
        <x:v>0</x:v>
      </x:c>
      <x:c r="S1021" s="78" t="n">
        <x:f>Q1021+G1021+R1021</x:f>
        <x:v>446907.2527678715</x:v>
      </x:c>
      <x:c r="T1021" s="78" t="n">
        <x:f>P1021*(S1021*(1-'Inputs'!$B$15))/(O1021+S1021*(1-'Inputs'!$B$15))</x:f>
        <x:v>0.7391450748564027</x:v>
      </x:c>
      <x:c r="U1021" s="78" t="n">
        <x:f>O1021+S1021*(1-'Inputs'!$B$17)</x:f>
        <x:v>132226728.66340472</x:v>
      </x:c>
      <x:c r="V1021" s="78" t="n">
        <x:f>P1021-T1021</x:f>
        <x:v>220.15671251786034</x:v>
      </x:c>
      <x:c r="W1021" s="79" t="n">
        <x:f>IF(U1021&gt;0,V1021/U1021,0)</x:f>
        <x:v>0.0000016649940200690396</x:v>
      </x:c>
      <x:c r="X1021" s="80" t="n">
        <x:f>W1021*('Inputs'!$B$6-AC1021)</x:f>
        <x:v>1537.845156059968</x:v>
      </x:c>
      <x:c r="Y1021" s="80" t="n">
        <x:f>2*V1021</x:f>
        <x:v>440.3134250357207</x:v>
      </x:c>
      <x:c r="Z1021" s="80" t="n">
        <x:f>K1021*'Inputs'!$B$16+(G1021+R1021)*J1021*'Inputs'!$B$16</x:f>
        <x:v>2.655244998082744</x:v>
      </x:c>
      <x:c r="AA1021" s="80" t="n">
        <x:f>K1021*(1+'Inputs'!$E$46)/2*'Inputs'!$B$17</x:f>
        <x:v>0.8889169319626429</x:v>
      </x:c>
      <x:c r="AB1021" s="78" t="n">
        <x:f>(IF(J1021&gt;0,K1021*(1-'Inputs'!$E$46)/2/J1021,0)+G1021+R1021)*'Inputs'!$B$17</x:f>
        <x:v>532106.74882468</x:v>
      </x:c>
      <x:c r="AC1021" s="78" t="n">
        <x:f>AC1020+AB1021</x:f>
        <x:v>76365958.36169977</x:v>
      </x:c>
      <x:c r="AD1021" s="80" t="n">
        <x:f>Z1021/(1+'Inputs'!$C$46)</x:f>
        <x:v>1.327622499041372</x:v>
      </x:c>
      <x:c r="AE1021" s="80" t="n">
        <x:f>Z1021-AD1021</x:f>
        <x:v>1.327622499041372</x:v>
      </x:c>
      <x:c r="AF1021" s="80" t="n">
        <x:f>D1021*W1021</x:f>
        <x:v>0.4413550307678953</x:v>
      </x:c>
      <x:c r="AG1021" s="80" t="n">
        <x:f>C1021*W1021</x:f>
        <x:v>1.0298284051250726</x:v>
      </x:c>
      <x:c r="AH1021" s="80" t="n">
        <x:f>2*'Inputs'!$B$8*'Inputs'!$C$46</x:f>
        <x:v>5000</x:v>
      </x:c>
      <x:c r="AI1021" s="81" t="n">
        <x:f>IF(AH1021&gt;0,(AE1021+AF1021)/AH1021*365,0)</x:f>
        <x:v>0.12913535967607653</x:v>
      </x:c>
      <x:c r="AJ1021" s="81" t="n">
        <x:f>IF('Inputs'!$B$46&gt;0,AG1021/('Inputs'!$B$19*'Inputs'!$B$46)*365,0)</x:f>
        <x:v>0.037588736787065154</x:v>
      </x:c>
      <x:c r="AK1021" s="81" t="n">
        <x:f>W1021/MAX($W$734:W1021)-1</x:f>
        <x:v>-0.9980244142346175</x:v>
      </x:c>
      <x:c r="AL1021" s="83" t="n">
        <x:f>'Inputs'!$B$46</x:f>
        <x:v>1</x:v>
      </x:c>
      <x:c r="AM1021" s="83" t="n">
        <x:f>'Inputs'!$C$46</x:f>
        <x:v>1</x:v>
      </x:c>
      <x:c r="AN1021" s="83" t="n">
        <x:f>'Inputs'!$D$46</x:f>
        <x:v>1</x:v>
      </x:c>
      <x:c r="AO1021" s="81" t="n">
        <x:f>'Inputs'!$E$46</x:f>
        <x:v>0</x:v>
      </x:c>
    </x:row>
    <x:row r="1022">
      <x:c r="A1022" s="59" t="str">
        <x:v>Base</x:v>
      </x:c>
      <x:c r="B1022" s="59" t="n">
        <x:v>289</x:v>
      </x:c>
      <x:c r="C1022" s="78" t="n">
        <x:f>(('Inputs'!$B$29*(3*289*'Inputs'!$B$12-289^2)/(2*'Inputs'!$B$12^2))-('Inputs'!$B$29*(3*288*'Inputs'!$B$12-288^2)/(2*'Inputs'!$B$12^2)))*'Inputs'!$B$46</x:f>
        <x:v>618192.6721711457</x:v>
      </x:c>
      <x:c r="D1022" s="78" t="n">
        <x:f>IF('Inputs'!$C$46&gt;0,('Inputs'!$B$30*(3*289*'Inputs'!$B$12-289^2)/(2*'Inputs'!$B$12^2))-('Inputs'!$B$30*(3*288*'Inputs'!$B$12-288^2)/(2*'Inputs'!$B$12^2)),0)</x:f>
        <x:v>264939.71664477885</x:v>
      </x:c>
      <x:c r="E1022" s="78" t="n">
        <x:f>C1022+D1022</x:f>
        <x:v>883132.3888159245</x:v>
      </x:c>
      <x:c r="F1022" s="78" t="n">
        <x:f>'Inputs'!$B$13*E1022+(1-'Inputs'!$B$13)/'Inputs'!$B$14*SUM(E967:E1022)</x:f>
        <x:v>893350.065678366</x:v>
      </x:c>
      <x:c r="G1022" s="78" t="n">
        <x:f>F1022*'Inputs'!$F$46</x:f>
        <x:v>446675.032839183</x:v>
      </x:c>
      <x:c r="H1022" s="78" t="n">
        <x:f>U1021</x:f>
        <x:v>132226728.66340472</x:v>
      </x:c>
      <x:c r="I1022" s="78" t="n">
        <x:f>V1021</x:f>
        <x:v>220.15671251786034</x:v>
      </x:c>
      <x:c r="J1022" s="79" t="n">
        <x:f>IF(H1022&gt;0,I1022/H1022,0)</x:f>
        <x:v>0.0000016649940200690396</x:v>
      </x:c>
      <x:c r="K1022" s="80" t="n">
        <x:f>(H1022*J1022+I1022)*'Inputs'!$D$46*(1+'Inputs'!$G$46)^(B1022/30)</x:f>
        <x:v>440.3134250357207</x:v>
      </x:c>
      <x:c r="L1022" s="80" t="n">
        <x:f>MAX(0,K1022*'Inputs'!$E$46)</x:f>
        <x:v>0</x:v>
      </x:c>
      <x:c r="M1022" s="80" t="n">
        <x:f>MAX(0,-K1022*'Inputs'!$E$46)</x:f>
        <x:v>0</x:v>
      </x:c>
      <x:c r="N1022" s="78" t="n">
        <x:f>H1022*(L1022*(1-'Inputs'!$B$15))/(I1022+L1022*(1-'Inputs'!$B$15))</x:f>
        <x:v>0</x:v>
      </x:c>
      <x:c r="O1022" s="78" t="n">
        <x:f>H1022-N1022</x:f>
        <x:v>132226728.66340472</x:v>
      </x:c>
      <x:c r="P1022" s="78" t="n">
        <x:f>I1022+L1022*(1-'Inputs'!$B$17)</x:f>
        <x:v>220.15671251786034</x:v>
      </x:c>
      <x:c r="Q1022" s="78" t="n">
        <x:f>IF(J1022&gt;0,M1022/J1022,0)</x:f>
        <x:v>0</x:v>
      </x:c>
      <x:c r="R1022" s="78" t="n">
        <x:f>IF(B1022='Inputs'!$H$46,'Inputs'!$B$27*'Inputs'!$I$46,0)</x:f>
        <x:v>0</x:v>
      </x:c>
      <x:c r="S1022" s="78" t="n">
        <x:f>Q1022+G1022+R1022</x:f>
        <x:v>446675.032839183</x:v>
      </x:c>
      <x:c r="T1022" s="78" t="n">
        <x:f>P1022*(S1022*(1-'Inputs'!$B$15))/(O1022+S1022*(1-'Inputs'!$B$15))</x:f>
        <x:v>0.7338200182114469</x:v>
      </x:c>
      <x:c r="U1022" s="78" t="n">
        <x:f>O1022+S1022*(1-'Inputs'!$B$17)</x:f>
        <x:v>132671606.2112023</x:v>
      </x:c>
      <x:c r="V1022" s="78" t="n">
        <x:f>P1022-T1022</x:f>
        <x:v>219.4228924996489</x:v>
      </x:c>
      <x:c r="W1022" s="79" t="n">
        <x:f>IF(U1022&gt;0,V1022/U1022,0)</x:f>
        <x:v>0.0000016538798222608813</x:v>
      </x:c>
      <x:c r="X1022" s="80" t="n">
        <x:f>W1022*('Inputs'!$B$6-AC1022)</x:f>
        <x:v>1526.6967031487352</x:v>
      </x:c>
      <x:c r="Y1022" s="80" t="n">
        <x:f>2*V1022</x:f>
        <x:v>438.8457849992978</x:v>
      </x:c>
      <x:c r="Z1022" s="80" t="n">
        <x:f>K1022*'Inputs'!$B$16+(G1022+R1022)*J1022*'Inputs'!$B$16</x:f>
        <x:v>2.6463428177658725</x:v>
      </x:c>
      <x:c r="AA1022" s="80" t="n">
        <x:f>K1022*(1+'Inputs'!$E$46)/2*'Inputs'!$B$17</x:f>
        <x:v>0.8859425051020537</x:v>
      </x:c>
      <x:c r="AB1022" s="78" t="n">
        <x:f>(IF(J1022&gt;0,K1022*(1-'Inputs'!$E$46)/2/J1022,0)+G1022+R1022)*'Inputs'!$B$17</x:f>
        <x:v>533896.9967655691</x:v>
      </x:c>
      <x:c r="AC1022" s="78" t="n">
        <x:f>AC1021+AB1022</x:f>
        <x:v>76899855.35846534</x:v>
      </x:c>
      <x:c r="AD1022" s="80" t="n">
        <x:f>Z1022/(1+'Inputs'!$C$46)</x:f>
        <x:v>1.3231714088829363</x:v>
      </x:c>
      <x:c r="AE1022" s="80" t="n">
        <x:f>Z1022-AD1022</x:f>
        <x:v>1.3231714088829363</x:v>
      </x:c>
      <x:c r="AF1022" s="80" t="n">
        <x:f>D1022*W1022</x:f>
        <x:v>0.4381784514743151</x:v>
      </x:c>
      <x:c r="AG1022" s="80" t="n">
        <x:f>C1022*W1022</x:f>
        <x:v>1.0224163867733937</x:v>
      </x:c>
      <x:c r="AH1022" s="80" t="n">
        <x:f>2*'Inputs'!$B$8*'Inputs'!$C$46</x:f>
        <x:v>5000</x:v>
      </x:c>
      <x:c r="AI1022" s="81" t="n">
        <x:f>IF(AH1022&gt;0,(AE1022+AF1022)/AH1022*365,0)</x:f>
        <x:v>0.12857853980607933</x:v>
      </x:c>
      <x:c r="AJ1022" s="81" t="n">
        <x:f>IF('Inputs'!$B$46&gt;0,AG1022/('Inputs'!$B$19*'Inputs'!$B$46)*365,0)</x:f>
        <x:v>0.037318198117228876</x:v>
      </x:c>
      <x:c r="AK1022" s="81" t="n">
        <x:f>W1022/MAX($W$734:W1022)-1</x:f>
        <x:v>-0.9980376016999891</x:v>
      </x:c>
      <x:c r="AL1022" s="83" t="n">
        <x:f>'Inputs'!$B$46</x:f>
        <x:v>1</x:v>
      </x:c>
      <x:c r="AM1022" s="83" t="n">
        <x:f>'Inputs'!$C$46</x:f>
        <x:v>1</x:v>
      </x:c>
      <x:c r="AN1022" s="83" t="n">
        <x:f>'Inputs'!$D$46</x:f>
        <x:v>1</x:v>
      </x:c>
      <x:c r="AO1022" s="81" t="n">
        <x:f>'Inputs'!$E$46</x:f>
        <x:v>0</x:v>
      </x:c>
    </x:row>
    <x:row r="1023">
      <x:c r="A1023" s="59" t="str">
        <x:v>Base</x:v>
      </x:c>
      <x:c r="B1023" s="59" t="n">
        <x:v>290</x:v>
      </x:c>
      <x:c r="C1023" s="78" t="n">
        <x:f>(('Inputs'!$B$29*(3*290*'Inputs'!$B$12-290^2)/(2*'Inputs'!$B$12^2))-('Inputs'!$B$29*(3*289*'Inputs'!$B$12-289^2)/(2*'Inputs'!$B$12^2)))*'Inputs'!$B$46</x:f>
        <x:v>617867.5642709732</x:v>
      </x:c>
      <x:c r="D1023" s="78" t="n">
        <x:f>IF('Inputs'!$C$46&gt;0,('Inputs'!$B$30*(3*290*'Inputs'!$B$12-290^2)/(2*'Inputs'!$B$12^2))-('Inputs'!$B$30*(3*289*'Inputs'!$B$12-289^2)/(2*'Inputs'!$B$12^2)),0)</x:f>
        <x:v>264800.3846875578</x:v>
      </x:c>
      <x:c r="E1023" s="78" t="n">
        <x:f>C1023+D1023</x:f>
        <x:v>882667.948958531</x:v>
      </x:c>
      <x:c r="F1023" s="78" t="n">
        <x:f>'Inputs'!$B$13*E1023+(1-'Inputs'!$B$13)/'Inputs'!$B$14*SUM(E968:E1023)</x:f>
        <x:v>892885.6258209802</x:v>
      </x:c>
      <x:c r="G1023" s="78" t="n">
        <x:f>F1023*'Inputs'!$F$46</x:f>
        <x:v>446442.8129104901</x:v>
      </x:c>
      <x:c r="H1023" s="78" t="n">
        <x:f>U1022</x:f>
        <x:v>132671606.2112023</x:v>
      </x:c>
      <x:c r="I1023" s="78" t="n">
        <x:f>V1022</x:f>
        <x:v>219.4228924996489</x:v>
      </x:c>
      <x:c r="J1023" s="79" t="n">
        <x:f>IF(H1023&gt;0,I1023/H1023,0)</x:f>
        <x:v>0.0000016538798222608813</x:v>
      </x:c>
      <x:c r="K1023" s="80" t="n">
        <x:f>(H1023*J1023+I1023)*'Inputs'!$D$46*(1+'Inputs'!$G$46)^(B1023/30)</x:f>
        <x:v>438.8457849992978</x:v>
      </x:c>
      <x:c r="L1023" s="80" t="n">
        <x:f>MAX(0,K1023*'Inputs'!$E$46)</x:f>
        <x:v>0</x:v>
      </x:c>
      <x:c r="M1023" s="80" t="n">
        <x:f>MAX(0,-K1023*'Inputs'!$E$46)</x:f>
        <x:v>0</x:v>
      </x:c>
      <x:c r="N1023" s="78" t="n">
        <x:f>H1023*(L1023*(1-'Inputs'!$B$15))/(I1023+L1023*(1-'Inputs'!$B$15))</x:f>
        <x:v>0</x:v>
      </x:c>
      <x:c r="O1023" s="78" t="n">
        <x:f>H1023-N1023</x:f>
        <x:v>132671606.2112023</x:v>
      </x:c>
      <x:c r="P1023" s="78" t="n">
        <x:f>I1023+L1023*(1-'Inputs'!$B$17)</x:f>
        <x:v>219.4228924996489</x:v>
      </x:c>
      <x:c r="Q1023" s="78" t="n">
        <x:f>IF(J1023&gt;0,M1023/J1023,0)</x:f>
        <x:v>0</x:v>
      </x:c>
      <x:c r="R1023" s="78" t="n">
        <x:f>IF(B1023='Inputs'!$H$46,'Inputs'!$B$27*'Inputs'!$I$46,0)</x:f>
        <x:v>0</x:v>
      </x:c>
      <x:c r="S1023" s="78" t="n">
        <x:f>Q1023+G1023+R1023</x:f>
        <x:v>446442.8129104901</x:v>
      </x:c>
      <x:c r="T1023" s="78" t="n">
        <x:f>P1023*(S1023*(1-'Inputs'!$B$15))/(O1023+S1023*(1-'Inputs'!$B$15))</x:f>
        <x:v>0.7285520550393203</x:v>
      </x:c>
      <x:c r="U1023" s="78" t="n">
        <x:f>O1023+S1023*(1-'Inputs'!$B$17)</x:f>
        <x:v>133116252.47355781</x:v>
      </x:c>
      <x:c r="V1023" s="78" t="n">
        <x:f>P1023-T1023</x:f>
        <x:v>218.69434044460957</x:v>
      </x:c>
      <x:c r="W1023" s="79" t="n">
        <x:f>IF(U1023&gt;0,V1023/U1023,0)</x:f>
        <x:v>0.0000016428823406672372</x:v>
      </x:c>
      <x:c r="X1023" s="80" t="n">
        <x:f>W1023*('Inputs'!$B$6-AC1023)</x:f>
        <x:v>1515.6648567135742</x:v>
      </x:c>
      <x:c r="Y1023" s="80" t="n">
        <x:f>2*V1023</x:f>
        <x:v>437.38868088921913</x:v>
      </x:c>
      <x:c r="Z1023" s="80" t="n">
        <x:f>K1023*'Inputs'!$B$16+(G1023+R1023)*J1023*'Inputs'!$B$16</x:f>
        <x:v>2.637504886556183</x:v>
      </x:c>
      <x:c r="AA1023" s="80" t="n">
        <x:f>K1023*(1+'Inputs'!$E$46)/2*'Inputs'!$B$17</x:f>
        <x:v>0.8829895070408407</x:v>
      </x:c>
      <x:c r="AB1023" s="78" t="n">
        <x:f>(IF(J1023&gt;0,K1023*(1-'Inputs'!$E$46)/2/J1023,0)+G1023+R1023)*'Inputs'!$B$17</x:f>
        <x:v>535686.3139803332</x:v>
      </x:c>
      <x:c r="AC1023" s="78" t="n">
        <x:f>AC1022+AB1023</x:f>
        <x:v>77435541.67244567</x:v>
      </x:c>
      <x:c r="AD1023" s="80" t="n">
        <x:f>Z1023/(1+'Inputs'!$C$46)</x:f>
        <x:v>1.3187524432780915</x:v>
      </x:c>
      <x:c r="AE1023" s="80" t="n">
        <x:f>Z1023-AD1023</x:f>
        <x:v>1.3187524432780915</x:v>
      </x:c>
      <x:c r="AF1023" s="80" t="n">
        <x:f>D1023*W1023</x:f>
        <x:v>0.4350358758050798</x:v>
      </x:c>
      <x:c r="AG1023" s="80" t="n">
        <x:f>C1023*W1023</x:f>
        <x:v>1.015083710211861</x:v>
      </x:c>
      <x:c r="AH1023" s="80" t="n">
        <x:f>2*'Inputs'!$B$8*'Inputs'!$C$46</x:f>
        <x:v>5000</x:v>
      </x:c>
      <x:c r="AI1023" s="81" t="n">
        <x:f>IF(AH1023&gt;0,(AE1023+AF1023)/AH1023*365,0)</x:f>
        <x:v>0.1280265472930715</x:v>
      </x:c>
      <x:c r="AJ1023" s="81" t="n">
        <x:f>IF('Inputs'!$B$46&gt;0,AG1023/('Inputs'!$B$19*'Inputs'!$B$46)*365,0)</x:f>
        <x:v>0.03705055542273293</x:v>
      </x:c>
      <x:c r="AK1023" s="81" t="n">
        <x:f>W1023/MAX($W$734:W1023)-1</x:f>
        <x:v>-0.9980506506766398</x:v>
      </x:c>
      <x:c r="AL1023" s="83" t="n">
        <x:f>'Inputs'!$B$46</x:f>
        <x:v>1</x:v>
      </x:c>
      <x:c r="AM1023" s="83" t="n">
        <x:f>'Inputs'!$C$46</x:f>
        <x:v>1</x:v>
      </x:c>
      <x:c r="AN1023" s="83" t="n">
        <x:f>'Inputs'!$D$46</x:f>
        <x:v>1</x:v>
      </x:c>
      <x:c r="AO1023" s="81" t="n">
        <x:f>'Inputs'!$E$46</x:f>
        <x:v>0</x:v>
      </x:c>
    </x:row>
    <x:row r="1024">
      <x:c r="A1024" s="59" t="str">
        <x:v>Base</x:v>
      </x:c>
      <x:c r="B1024" s="59" t="n">
        <x:v>291</x:v>
      </x:c>
      <x:c r="C1024" s="78" t="n">
        <x:f>(('Inputs'!$B$29*(3*291*'Inputs'!$B$12-291^2)/(2*'Inputs'!$B$12^2))-('Inputs'!$B$29*(3*290*'Inputs'!$B$12-290^2)/(2*'Inputs'!$B$12^2)))*'Inputs'!$B$46</x:f>
        <x:v>617542.4563708007</x:v>
      </x:c>
      <x:c r="D1024" s="78" t="n">
        <x:f>IF('Inputs'!$C$46&gt;0,('Inputs'!$B$30*(3*291*'Inputs'!$B$12-291^2)/(2*'Inputs'!$B$12^2))-('Inputs'!$B$30*(3*290*'Inputs'!$B$12-290^2)/(2*'Inputs'!$B$12^2)),0)</x:f>
        <x:v>264661.0527303368</x:v>
      </x:c>
      <x:c r="E1024" s="78" t="n">
        <x:f>C1024+D1024</x:f>
        <x:v>882203.5091011375</x:v>
      </x:c>
      <x:c r="F1024" s="78" t="n">
        <x:f>'Inputs'!$B$13*E1024+(1-'Inputs'!$B$13)/'Inputs'!$B$14*SUM(E969:E1024)</x:f>
        <x:v>892421.1859635941</x:v>
      </x:c>
      <x:c r="G1024" s="78" t="n">
        <x:f>F1024*'Inputs'!$F$46</x:f>
        <x:v>446210.59298179706</x:v>
      </x:c>
      <x:c r="H1024" s="78" t="n">
        <x:f>U1023</x:f>
        <x:v>133116252.47355781</x:v>
      </x:c>
      <x:c r="I1024" s="78" t="n">
        <x:f>V1023</x:f>
        <x:v>218.69434044460957</x:v>
      </x:c>
      <x:c r="J1024" s="79" t="n">
        <x:f>IF(H1024&gt;0,I1024/H1024,0)</x:f>
        <x:v>0.0000016428823406672372</x:v>
      </x:c>
      <x:c r="K1024" s="80" t="n">
        <x:f>(H1024*J1024+I1024)*'Inputs'!$D$46*(1+'Inputs'!$G$46)^(B1024/30)</x:f>
        <x:v>437.38868088921913</x:v>
      </x:c>
      <x:c r="L1024" s="80" t="n">
        <x:f>MAX(0,K1024*'Inputs'!$E$46)</x:f>
        <x:v>0</x:v>
      </x:c>
      <x:c r="M1024" s="80" t="n">
        <x:f>MAX(0,-K1024*'Inputs'!$E$46)</x:f>
        <x:v>0</x:v>
      </x:c>
      <x:c r="N1024" s="78" t="n">
        <x:f>H1024*(L1024*(1-'Inputs'!$B$15))/(I1024+L1024*(1-'Inputs'!$B$15))</x:f>
        <x:v>0</x:v>
      </x:c>
      <x:c r="O1024" s="78" t="n">
        <x:f>H1024-N1024</x:f>
        <x:v>133116252.47355781</x:v>
      </x:c>
      <x:c r="P1024" s="78" t="n">
        <x:f>I1024+L1024*(1-'Inputs'!$B$17)</x:f>
        <x:v>218.69434044460957</x:v>
      </x:c>
      <x:c r="Q1024" s="78" t="n">
        <x:f>IF(J1024&gt;0,M1024/J1024,0)</x:f>
        <x:v>0</x:v>
      </x:c>
      <x:c r="R1024" s="78" t="n">
        <x:f>IF(B1024='Inputs'!$H$46,'Inputs'!$B$27*'Inputs'!$I$46,0)</x:f>
        <x:v>0</x:v>
      </x:c>
      <x:c r="S1024" s="78" t="n">
        <x:f>Q1024+G1024+R1024</x:f>
        <x:v>446210.59298179706</x:v>
      </x:c>
      <x:c r="T1024" s="78" t="n">
        <x:f>P1024*(S1024*(1-'Inputs'!$B$15))/(O1024+S1024*(1-'Inputs'!$B$15))</x:f>
        <x:v>0.7233403713996083</x:v>
      </x:c>
      <x:c r="U1024" s="78" t="n">
        <x:f>O1024+S1024*(1-'Inputs'!$B$17)</x:f>
        <x:v>133560667.45047128</x:v>
      </x:c>
      <x:c r="V1024" s="78" t="n">
        <x:f>P1024-T1024</x:f>
        <x:v>217.97100007320995</x:v>
      </x:c>
      <x:c r="W1024" s="79" t="n">
        <x:f>IF(U1024&gt;0,V1024/U1024,0)</x:f>
        <x:v>0.0000016319999310728273</x:v>
      </x:c>
      <x:c r="X1024" s="80" t="n">
        <x:f>W1024*('Inputs'!$B$6-AC1024)</x:f>
        <x:v>1504.7479737266901</x:v>
      </x:c>
      <x:c r="Y1024" s="80" t="n">
        <x:f>2*V1024</x:f>
        <x:v>435.9420001464199</x:v>
      </x:c>
      <x:c r="Z1024" s="80" t="n">
        <x:f>K1024*'Inputs'!$B$16+(G1024+R1024)*J1024*'Inputs'!$B$16</x:f>
        <x:v>2.6287305143558855</x:v>
      </x:c>
      <x:c r="AA1024" s="80" t="n">
        <x:f>K1024*(1+'Inputs'!$E$46)/2*'Inputs'!$B$17</x:f>
        <x:v>0.8800577080265979</x:v>
      </x:c>
      <x:c r="AB1024" s="78" t="n">
        <x:f>(IF(J1024&gt;0,K1024*(1-'Inputs'!$E$46)/2/J1024,0)+G1024+R1024)*'Inputs'!$B$17</x:f>
        <x:v>537474.7004689723</x:v>
      </x:c>
      <x:c r="AC1024" s="78" t="n">
        <x:f>AC1023+AB1024</x:f>
        <x:v>77973016.37291464</x:v>
      </x:c>
      <x:c r="AD1024" s="80" t="n">
        <x:f>Z1024/(1+'Inputs'!$C$46)</x:f>
        <x:v>1.3143652571779427</x:v>
      </x:c>
      <x:c r="AE1024" s="80" t="n">
        <x:f>Z1024-AD1024</x:f>
        <x:v>1.3143652571779427</x:v>
      </x:c>
      <x:c r="AF1024" s="80" t="n">
        <x:f>D1024*W1024</x:f>
        <x:v>0.43192681981357156</x:v>
      </x:c>
      <x:c r="AG1024" s="80" t="n">
        <x:f>C1024*W1024</x:f>
        <x:v>1.0078292462316913</x:v>
      </x:c>
      <x:c r="AH1024" s="80" t="n">
        <x:f>2*'Inputs'!$B$8*'Inputs'!$C$46</x:f>
        <x:v>5000</x:v>
      </x:c>
      <x:c r="AI1024" s="81" t="n">
        <x:f>IF(AH1024&gt;0,(AE1024+AF1024)/AH1024*365,0)</x:f>
        <x:v>0.12747932162038053</x:v>
      </x:c>
      <x:c r="AJ1024" s="81" t="n">
        <x:f>IF('Inputs'!$B$46&gt;0,AG1024/('Inputs'!$B$19*'Inputs'!$B$46)*365,0)</x:f>
        <x:v>0.03678576748745674</x:v>
      </x:c>
      <x:c r="AK1024" s="81" t="n">
        <x:f>W1024/MAX($W$734:W1024)-1</x:f>
        <x:v>-0.9980635631155006</x:v>
      </x:c>
      <x:c r="AL1024" s="83" t="n">
        <x:f>'Inputs'!$B$46</x:f>
        <x:v>1</x:v>
      </x:c>
      <x:c r="AM1024" s="83" t="n">
        <x:f>'Inputs'!$C$46</x:f>
        <x:v>1</x:v>
      </x:c>
      <x:c r="AN1024" s="83" t="n">
        <x:f>'Inputs'!$D$46</x:f>
        <x:v>1</x:v>
      </x:c>
      <x:c r="AO1024" s="81" t="n">
        <x:f>'Inputs'!$E$46</x:f>
        <x:v>0</x:v>
      </x:c>
    </x:row>
    <x:row r="1025">
      <x:c r="A1025" s="59" t="str">
        <x:v>Base</x:v>
      </x:c>
      <x:c r="B1025" s="59" t="n">
        <x:v>292</x:v>
      </x:c>
      <x:c r="C1025" s="78" t="n">
        <x:f>(('Inputs'!$B$29*(3*292*'Inputs'!$B$12-292^2)/(2*'Inputs'!$B$12^2))-('Inputs'!$B$29*(3*291*'Inputs'!$B$12-291^2)/(2*'Inputs'!$B$12^2)))*'Inputs'!$B$46</x:f>
        <x:v>617217.3484706283</x:v>
      </x:c>
      <x:c r="D1025" s="78" t="n">
        <x:f>IF('Inputs'!$C$46&gt;0,('Inputs'!$B$30*(3*292*'Inputs'!$B$12-292^2)/(2*'Inputs'!$B$12^2))-('Inputs'!$B$30*(3*291*'Inputs'!$B$12-291^2)/(2*'Inputs'!$B$12^2)),0)</x:f>
        <x:v>264521.72077313066</x:v>
      </x:c>
      <x:c r="E1025" s="78" t="n">
        <x:f>C1025+D1025</x:f>
        <x:v>881739.0692437589</x:v>
      </x:c>
      <x:c r="F1025" s="78" t="n">
        <x:f>'Inputs'!$B$13*E1025+(1-'Inputs'!$B$13)/'Inputs'!$B$14*SUM(E970:E1025)</x:f>
        <x:v>891956.7461062113</x:v>
      </x:c>
      <x:c r="G1025" s="78" t="n">
        <x:f>F1025*'Inputs'!$F$46</x:f>
        <x:v>445978.37305310566</x:v>
      </x:c>
      <x:c r="H1025" s="78" t="n">
        <x:f>U1024</x:f>
        <x:v>133560667.45047128</x:v>
      </x:c>
      <x:c r="I1025" s="78" t="n">
        <x:f>V1024</x:f>
        <x:v>217.97100007320995</x:v>
      </x:c>
      <x:c r="J1025" s="79" t="n">
        <x:f>IF(H1025&gt;0,I1025/H1025,0)</x:f>
        <x:v>0.0000016319999310728273</x:v>
      </x:c>
      <x:c r="K1025" s="80" t="n">
        <x:f>(H1025*J1025+I1025)*'Inputs'!$D$46*(1+'Inputs'!$G$46)^(B1025/30)</x:f>
        <x:v>435.9420001464199</x:v>
      </x:c>
      <x:c r="L1025" s="80" t="n">
        <x:f>MAX(0,K1025*'Inputs'!$E$46)</x:f>
        <x:v>0</x:v>
      </x:c>
      <x:c r="M1025" s="80" t="n">
        <x:f>MAX(0,-K1025*'Inputs'!$E$46)</x:f>
        <x:v>0</x:v>
      </x:c>
      <x:c r="N1025" s="78" t="n">
        <x:f>H1025*(L1025*(1-'Inputs'!$B$15))/(I1025+L1025*(1-'Inputs'!$B$15))</x:f>
        <x:v>0</x:v>
      </x:c>
      <x:c r="O1025" s="78" t="n">
        <x:f>H1025-N1025</x:f>
        <x:v>133560667.45047128</x:v>
      </x:c>
      <x:c r="P1025" s="78" t="n">
        <x:f>I1025+L1025*(1-'Inputs'!$B$17)</x:f>
        <x:v>217.97100007320995</x:v>
      </x:c>
      <x:c r="Q1025" s="78" t="n">
        <x:f>IF(J1025&gt;0,M1025/J1025,0)</x:f>
        <x:v>0</x:v>
      </x:c>
      <x:c r="R1025" s="78" t="n">
        <x:f>IF(B1025='Inputs'!$H$46,'Inputs'!$B$27*'Inputs'!$I$46,0)</x:f>
        <x:v>0</x:v>
      </x:c>
      <x:c r="S1025" s="78" t="n">
        <x:f>Q1025+G1025+R1025</x:f>
        <x:v>445978.37305310566</x:v>
      </x:c>
      <x:c r="T1025" s="78" t="n">
        <x:f>P1025*(S1025*(1-'Inputs'!$B$15))/(O1025+S1025*(1-'Inputs'!$B$15))</x:f>
        <x:v>0.7181841678088381</x:v>
      </x:c>
      <x:c r="U1025" s="78" t="n">
        <x:f>O1025+S1025*(1-'Inputs'!$B$17)</x:f>
        <x:v>134004851.14194268</x:v>
      </x:c>
      <x:c r="V1025" s="78" t="n">
        <x:f>P1025-T1025</x:f>
        <x:v>217.25281590540112</x:v>
      </x:c>
      <x:c r="W1025" s="79" t="n">
        <x:f>IF(U1025&gt;0,V1025/U1025,0)</x:f>
        <x:v>0.000001621230978237342</x:v>
      </x:c>
      <x:c r="X1025" s="80" t="n">
        <x:f>W1025*('Inputs'!$B$6-AC1025)</x:f>
        <x:v>1493.9444401138917</x:v>
      </x:c>
      <x:c r="Y1025" s="80" t="n">
        <x:f>2*V1025</x:f>
        <x:v>434.50563181080224</x:v>
      </x:c>
      <x:c r="Z1025" s="80" t="n">
        <x:f>K1025*'Inputs'!$B$16+(G1025+R1025)*J1025*'Inputs'!$B$16</x:f>
        <x:v>2.620019020923015</x:v>
      </x:c>
      <x:c r="AA1025" s="80" t="n">
        <x:f>K1025*(1+'Inputs'!$E$46)/2*'Inputs'!$B$17</x:f>
        <x:v>0.8771468815823339</x:v>
      </x:c>
      <x:c r="AB1025" s="78" t="n">
        <x:f>(IF(J1025&gt;0,K1025*(1-'Inputs'!$E$46)/2/J1025,0)+G1025+R1025)*'Inputs'!$B$17</x:f>
        <x:v>539262.1562314865</x:v>
      </x:c>
      <x:c r="AC1025" s="78" t="n">
        <x:f>AC1024+AB1025</x:f>
        <x:v>78512278.52914613</x:v>
      </x:c>
      <x:c r="AD1025" s="80" t="n">
        <x:f>Z1025/(1+'Inputs'!$C$46)</x:f>
        <x:v>1.3100095104615075</x:v>
      </x:c>
      <x:c r="AE1025" s="80" t="n">
        <x:f>Z1025-AD1025</x:f>
        <x:v>1.3100095104615075</x:v>
      </x:c>
      <x:c r="AF1025" s="80" t="n">
        <x:f>D1025*W1025</x:f>
        <x:v>0.42885080813404763</x:v>
      </x:c>
      <x:c r="AG1025" s="80" t="n">
        <x:f>C1025*W1025</x:f>
        <x:v>1.000651885646095</x:v>
      </x:c>
      <x:c r="AH1025" s="80" t="n">
        <x:f>2*'Inputs'!$B$8*'Inputs'!$C$46</x:f>
        <x:v>5000</x:v>
      </x:c>
      <x:c r="AI1025" s="81" t="n">
        <x:f>IF(AH1025&gt;0,(AE1025+AF1025)/AH1025*365,0)</x:f>
        <x:v>0.12693680325747553</x:v>
      </x:c>
      <x:c r="AJ1025" s="81" t="n">
        <x:f>IF('Inputs'!$B$46&gt;0,AG1025/('Inputs'!$B$19*'Inputs'!$B$46)*365,0)</x:f>
        <x:v>0.03652379382608247</x:v>
      </x:c>
      <x:c r="AK1025" s="81" t="n">
        <x:f>W1025/MAX($W$734:W1025)-1</x:f>
        <x:v>-0.9980763409331225</x:v>
      </x:c>
      <x:c r="AL1025" s="83" t="n">
        <x:f>'Inputs'!$B$46</x:f>
        <x:v>1</x:v>
      </x:c>
      <x:c r="AM1025" s="83" t="n">
        <x:f>'Inputs'!$C$46</x:f>
        <x:v>1</x:v>
      </x:c>
      <x:c r="AN1025" s="83" t="n">
        <x:f>'Inputs'!$D$46</x:f>
        <x:v>1</x:v>
      </x:c>
      <x:c r="AO1025" s="81" t="n">
        <x:f>'Inputs'!$E$46</x:f>
        <x:v>0</x:v>
      </x:c>
    </x:row>
    <x:row r="1026">
      <x:c r="A1026" s="59" t="str">
        <x:v>Base</x:v>
      </x:c>
      <x:c r="B1026" s="59" t="n">
        <x:v>293</x:v>
      </x:c>
      <x:c r="C1026" s="78" t="n">
        <x:f>(('Inputs'!$B$29*(3*293*'Inputs'!$B$12-293^2)/(2*'Inputs'!$B$12^2))-('Inputs'!$B$29*(3*292*'Inputs'!$B$12-292^2)/(2*'Inputs'!$B$12^2)))*'Inputs'!$B$46</x:f>
        <x:v>616892.2405704558</x:v>
      </x:c>
      <x:c r="D1026" s="78" t="n">
        <x:f>IF('Inputs'!$C$46&gt;0,('Inputs'!$B$30*(3*293*'Inputs'!$B$12-293^2)/(2*'Inputs'!$B$12^2))-('Inputs'!$B$30*(3*292*'Inputs'!$B$12-292^2)/(2*'Inputs'!$B$12^2)),0)</x:f>
        <x:v>264382.3888159096</x:v>
      </x:c>
      <x:c r="E1026" s="78" t="n">
        <x:f>C1026+D1026</x:f>
        <x:v>881274.6293863654</x:v>
      </x:c>
      <x:c r="F1026" s="78" t="n">
        <x:f>'Inputs'!$B$13*E1026+(1-'Inputs'!$B$13)/'Inputs'!$B$14*SUM(E971:E1026)</x:f>
        <x:v>891492.3062488248</x:v>
      </x:c>
      <x:c r="G1026" s="78" t="n">
        <x:f>F1026*'Inputs'!$F$46</x:f>
        <x:v>445746.1531244124</x:v>
      </x:c>
      <x:c r="H1026" s="78" t="n">
        <x:f>U1025</x:f>
        <x:v>134004851.14194268</x:v>
      </x:c>
      <x:c r="I1026" s="78" t="n">
        <x:f>V1025</x:f>
        <x:v>217.25281590540112</x:v>
      </x:c>
      <x:c r="J1026" s="79" t="n">
        <x:f>IF(H1026&gt;0,I1026/H1026,0)</x:f>
        <x:v>0.000001621230978237342</x:v>
      </x:c>
      <x:c r="K1026" s="80" t="n">
        <x:f>(H1026*J1026+I1026)*'Inputs'!$D$46*(1+'Inputs'!$G$46)^(B1026/30)</x:f>
        <x:v>434.50563181080224</x:v>
      </x:c>
      <x:c r="L1026" s="80" t="n">
        <x:f>MAX(0,K1026*'Inputs'!$E$46)</x:f>
        <x:v>0</x:v>
      </x:c>
      <x:c r="M1026" s="80" t="n">
        <x:f>MAX(0,-K1026*'Inputs'!$E$46)</x:f>
        <x:v>0</x:v>
      </x:c>
      <x:c r="N1026" s="78" t="n">
        <x:f>H1026*(L1026*(1-'Inputs'!$B$15))/(I1026+L1026*(1-'Inputs'!$B$15))</x:f>
        <x:v>0</x:v>
      </x:c>
      <x:c r="O1026" s="78" t="n">
        <x:f>H1026-N1026</x:f>
        <x:v>134004851.14194268</x:v>
      </x:c>
      <x:c r="P1026" s="78" t="n">
        <x:f>I1026+L1026*(1-'Inputs'!$B$17)</x:f>
        <x:v>217.25281590540112</x:v>
      </x:c>
      <x:c r="Q1026" s="78" t="n">
        <x:f>IF(J1026&gt;0,M1026/J1026,0)</x:f>
        <x:v>0</x:v>
      </x:c>
      <x:c r="R1026" s="78" t="n">
        <x:f>IF(B1026='Inputs'!$H$46,'Inputs'!$B$27*'Inputs'!$I$46,0)</x:f>
        <x:v>0</x:v>
      </x:c>
      <x:c r="S1026" s="78" t="n">
        <x:f>Q1026+G1026+R1026</x:f>
        <x:v>445746.1531244124</x:v>
      </x:c>
      <x:c r="T1026" s="78" t="n">
        <x:f>P1026*(S1026*(1-'Inputs'!$B$15))/(O1026+S1026*(1-'Inputs'!$B$15))</x:f>
        <x:v>0.7130826589333739</x:v>
      </x:c>
      <x:c r="U1026" s="78" t="n">
        <x:f>O1026+S1026*(1-'Inputs'!$B$17)</x:f>
        <x:v>134448803.54797202</x:v>
      </x:c>
      <x:c r="V1026" s="78" t="n">
        <x:f>P1026-T1026</x:f>
        <x:v>216.53973324646773</x:v>
      </x:c>
      <x:c r="W1026" s="79" t="n">
        <x:f>IF(U1026&gt;0,V1026/U1026,0)</x:f>
        <x:v>0.0000016105738952835326</x:v>
      </x:c>
      <x:c r="X1026" s="80" t="n">
        <x:f>W1026*('Inputs'!$B$6-AC1026)</x:f>
        <x:v>1483.2526701431323</x:v>
      </x:c>
      <x:c r="Y1026" s="80" t="n">
        <x:f>2*V1026</x:f>
        <x:v>433.07946649293547</x:v>
      </x:c>
      <x:c r="Z1026" s="80" t="n">
        <x:f>K1026*'Inputs'!$B$16+(G1026+R1026)*J1026*'Inputs'!$B$16</x:f>
        <x:v>2.611369735696066</x:v>
      </x:c>
      <x:c r="AA1026" s="80" t="n">
        <x:f>K1026*(1+'Inputs'!$E$46)/2*'Inputs'!$B$17</x:f>
        <x:v>0.8742568044482943</x:v>
      </x:c>
      <x:c r="AB1026" s="78" t="n">
        <x:f>(IF(J1026&gt;0,K1026*(1-'Inputs'!$E$46)/2/J1026,0)+G1026+R1026)*'Inputs'!$B$17</x:f>
        <x:v>541048.6812678757</x:v>
      </x:c>
      <x:c r="AC1026" s="78" t="n">
        <x:f>AC1025+AB1026</x:f>
        <x:v>79053327.210414</x:v>
      </x:c>
      <x:c r="AD1026" s="80" t="n">
        <x:f>Z1026/(1+'Inputs'!$C$46)</x:f>
        <x:v>1.305684867848033</x:v>
      </x:c>
      <x:c r="AE1026" s="80" t="n">
        <x:f>Z1026-AD1026</x:f>
        <x:v>1.305684867848033</x:v>
      </x:c>
      <x:c r="AF1026" s="80" t="n">
        <x:f>D1026*W1026</x:f>
        <x:v>0.42580737379960504</x:v>
      </x:c>
      <x:c r="AG1026" s="80" t="n">
        <x:f>C1026*W1026</x:f>
        <x:v>0.9935505388657451</x:v>
      </x:c>
      <x:c r="AH1026" s="80" t="n">
        <x:f>2*'Inputs'!$B$8*'Inputs'!$C$46</x:f>
        <x:v>5000</x:v>
      </x:c>
      <x:c r="AI1026" s="81" t="n">
        <x:f>IF(AH1026&gt;0,(AE1026+AF1026)/AH1026*365,0)</x:f>
        <x:v>0.12639893364027757</x:v>
      </x:c>
      <x:c r="AJ1026" s="81" t="n">
        <x:f>IF('Inputs'!$B$46&gt;0,AG1026/('Inputs'!$B$19*'Inputs'!$B$46)*365,0)</x:f>
        <x:v>0.036264594668599694</x:v>
      </x:c>
      <x:c r="AK1026" s="81" t="n">
        <x:f>W1026/MAX($W$734:W1026)-1</x:f>
        <x:v>-0.9980889860124021</x:v>
      </x:c>
      <x:c r="AL1026" s="83" t="n">
        <x:f>'Inputs'!$B$46</x:f>
        <x:v>1</x:v>
      </x:c>
      <x:c r="AM1026" s="83" t="n">
        <x:f>'Inputs'!$C$46</x:f>
        <x:v>1</x:v>
      </x:c>
      <x:c r="AN1026" s="83" t="n">
        <x:f>'Inputs'!$D$46</x:f>
        <x:v>1</x:v>
      </x:c>
      <x:c r="AO1026" s="81" t="n">
        <x:f>'Inputs'!$E$46</x:f>
        <x:v>0</x:v>
      </x:c>
    </x:row>
    <x:row r="1027">
      <x:c r="A1027" s="59" t="str">
        <x:v>Base</x:v>
      </x:c>
      <x:c r="B1027" s="59" t="n">
        <x:v>294</x:v>
      </x:c>
      <x:c r="C1027" s="78" t="n">
        <x:f>(('Inputs'!$B$29*(3*294*'Inputs'!$B$12-294^2)/(2*'Inputs'!$B$12^2))-('Inputs'!$B$29*(3*293*'Inputs'!$B$12-293^2)/(2*'Inputs'!$B$12^2)))*'Inputs'!$B$46</x:f>
        <x:v>616567.1326703131</x:v>
      </x:c>
      <x:c r="D1027" s="78" t="n">
        <x:f>IF('Inputs'!$C$46&gt;0,('Inputs'!$B$30*(3*294*'Inputs'!$B$12-294^2)/(2*'Inputs'!$B$12^2))-('Inputs'!$B$30*(3*293*'Inputs'!$B$12-293^2)/(2*'Inputs'!$B$12^2)),0)</x:f>
        <x:v>264243.0568587035</x:v>
      </x:c>
      <x:c r="E1027" s="78" t="n">
        <x:f>C1027+D1027</x:f>
        <x:v>880810.1895290166</x:v>
      </x:c>
      <x:c r="F1027" s="78" t="n">
        <x:f>'Inputs'!$B$13*E1027+(1-'Inputs'!$B$13)/'Inputs'!$B$14*SUM(E972:E1027)</x:f>
        <x:v>891027.8663914481</x:v>
      </x:c>
      <x:c r="G1027" s="78" t="n">
        <x:f>F1027*'Inputs'!$F$46</x:f>
        <x:v>445513.93319572404</x:v>
      </x:c>
      <x:c r="H1027" s="78" t="n">
        <x:f>U1026</x:f>
        <x:v>134448803.54797202</x:v>
      </x:c>
      <x:c r="I1027" s="78" t="n">
        <x:f>V1026</x:f>
        <x:v>216.53973324646773</x:v>
      </x:c>
      <x:c r="J1027" s="79" t="n">
        <x:f>IF(H1027&gt;0,I1027/H1027,0)</x:f>
        <x:v>0.0000016105738952835326</x:v>
      </x:c>
      <x:c r="K1027" s="80" t="n">
        <x:f>(H1027*J1027+I1027)*'Inputs'!$D$46*(1+'Inputs'!$G$46)^(B1027/30)</x:f>
        <x:v>433.07946649293547</x:v>
      </x:c>
      <x:c r="L1027" s="80" t="n">
        <x:f>MAX(0,K1027*'Inputs'!$E$46)</x:f>
        <x:v>0</x:v>
      </x:c>
      <x:c r="M1027" s="80" t="n">
        <x:f>MAX(0,-K1027*'Inputs'!$E$46)</x:f>
        <x:v>0</x:v>
      </x:c>
      <x:c r="N1027" s="78" t="n">
        <x:f>H1027*(L1027*(1-'Inputs'!$B$15))/(I1027+L1027*(1-'Inputs'!$B$15))</x:f>
        <x:v>0</x:v>
      </x:c>
      <x:c r="O1027" s="78" t="n">
        <x:f>H1027-N1027</x:f>
        <x:v>134448803.54797202</x:v>
      </x:c>
      <x:c r="P1027" s="78" t="n">
        <x:f>I1027+L1027*(1-'Inputs'!$B$17)</x:f>
        <x:v>216.53973324646773</x:v>
      </x:c>
      <x:c r="Q1027" s="78" t="n">
        <x:f>IF(J1027&gt;0,M1027/J1027,0)</x:f>
        <x:v>0</x:v>
      </x:c>
      <x:c r="R1027" s="78" t="n">
        <x:f>IF(B1027='Inputs'!$H$46,'Inputs'!$B$27*'Inputs'!$I$46,0)</x:f>
        <x:v>0</x:v>
      </x:c>
      <x:c r="S1027" s="78" t="n">
        <x:f>Q1027+G1027+R1027</x:f>
        <x:v>445513.93319572404</x:v>
      </x:c>
      <x:c r="T1027" s="78" t="n">
        <x:f>P1027*(S1027*(1-'Inputs'!$B$15))/(O1027+S1027*(1-'Inputs'!$B$15))</x:f>
        <x:v>0.7080350732899194</x:v>
      </x:c>
      <x:c r="U1027" s="78" t="n">
        <x:f>O1027+S1027*(1-'Inputs'!$B$17)</x:f>
        <x:v>134892524.6685593</x:v>
      </x:c>
      <x:c r="V1027" s="78" t="n">
        <x:f>P1027-T1027</x:f>
        <x:v>215.8316981731778</x:v>
      </x:c>
      <x:c r="W1027" s="79" t="n">
        <x:f>IF(U1027&gt;0,V1027/U1027,0)</x:f>
        <x:v>0.000001600027123100349</x:v>
      </x:c>
      <x:c r="X1027" s="80" t="n">
        <x:f>W1027*('Inputs'!$B$6-AC1027)</x:f>
        <x:v>1472.6711058280862</x:v>
      </x:c>
      <x:c r="Y1027" s="80" t="n">
        <x:f>2*V1027</x:f>
        <x:v>431.6633963463556</x:v>
      </x:c>
      <x:c r="Z1027" s="80" t="n">
        <x:f>K1027*'Inputs'!$B$16+(G1027+R1027)*J1027*'Inputs'!$B$16</x:f>
        <x:v>2.6027819976223534</x:v>
      </x:c>
      <x:c r="AA1027" s="80" t="n">
        <x:f>K1027*(1+'Inputs'!$E$46)/2*'Inputs'!$B$17</x:f>
        <x:v>0.8713872565250211</x:v>
      </x:c>
      <x:c r="AB1027" s="78" t="n">
        <x:f>(IF(J1027&gt;0,K1027*(1-'Inputs'!$E$46)/2/J1027,0)+G1027+R1027)*'Inputs'!$B$17</x:f>
        <x:v>542834.2755781398</x:v>
      </x:c>
      <x:c r="AC1027" s="78" t="n">
        <x:f>AC1026+AB1027</x:f>
        <x:v>79596161.48599215</x:v>
      </x:c>
      <x:c r="AD1027" s="80" t="n">
        <x:f>Z1027/(1+'Inputs'!$C$46)</x:f>
        <x:v>1.3013909988111767</x:v>
      </x:c>
      <x:c r="AE1027" s="80" t="n">
        <x:f>Z1027-AD1027</x:f>
        <x:v>1.3013909988111767</x:v>
      </x:c>
      <x:c r="AF1027" s="80" t="n">
        <x:f>D1027*W1027</x:f>
        <x:v>0.4227960580648733</x:v>
      </x:c>
      <x:c r="AG1027" s="80" t="n">
        <x:f>C1027*W1027</x:f>
        <x:v>0.9865241354847123</x:v>
      </x:c>
      <x:c r="AH1027" s="80" t="n">
        <x:f>2*'Inputs'!$B$8*'Inputs'!$C$46</x:f>
        <x:v>5000</x:v>
      </x:c>
      <x:c r="AI1027" s="81" t="n">
        <x:f>IF(AH1027&gt;0,(AE1027+AF1027)/AH1027*365,0)</x:f>
        <x:v>0.12586565515195167</x:v>
      </x:c>
      <x:c r="AJ1027" s="81" t="n">
        <x:f>IF('Inputs'!$B$46&gt;0,AG1027/('Inputs'!$B$19*'Inputs'!$B$46)*365,0)</x:f>
        <x:v>0.036008130945192</x:v>
      </x:c>
      <x:c r="AK1027" s="81" t="n">
        <x:f>W1027/MAX($W$734:W1027)-1</x:f>
        <x:v>-0.9981015002032909</x:v>
      </x:c>
      <x:c r="AL1027" s="83" t="n">
        <x:f>'Inputs'!$B$46</x:f>
        <x:v>1</x:v>
      </x:c>
      <x:c r="AM1027" s="83" t="n">
        <x:f>'Inputs'!$C$46</x:f>
        <x:v>1</x:v>
      </x:c>
      <x:c r="AN1027" s="83" t="n">
        <x:f>'Inputs'!$D$46</x:f>
        <x:v>1</x:v>
      </x:c>
      <x:c r="AO1027" s="81" t="n">
        <x:f>'Inputs'!$E$46</x:f>
        <x:v>0</x:v>
      </x:c>
    </x:row>
    <x:row r="1028">
      <x:c r="A1028" s="59" t="str">
        <x:v>Base</x:v>
      </x:c>
      <x:c r="B1028" s="59" t="n">
        <x:v>295</x:v>
      </x:c>
      <x:c r="C1028" s="78" t="n">
        <x:f>(('Inputs'!$B$29*(3*295*'Inputs'!$B$12-295^2)/(2*'Inputs'!$B$12^2))-('Inputs'!$B$29*(3*294*'Inputs'!$B$12-294^2)/(2*'Inputs'!$B$12^2)))*'Inputs'!$B$46</x:f>
        <x:v>616242.0247701108</x:v>
      </x:c>
      <x:c r="D1028" s="78" t="n">
        <x:f>IF('Inputs'!$C$46&gt;0,('Inputs'!$B$30*(3*295*'Inputs'!$B$12-295^2)/(2*'Inputs'!$B$12^2))-('Inputs'!$B$30*(3*294*'Inputs'!$B$12-294^2)/(2*'Inputs'!$B$12^2)),0)</x:f>
        <x:v>264103.72490148246</x:v>
      </x:c>
      <x:c r="E1028" s="78" t="n">
        <x:f>C1028+D1028</x:f>
        <x:v>880345.7496715933</x:v>
      </x:c>
      <x:c r="F1028" s="78" t="n">
        <x:f>'Inputs'!$B$13*E1028+(1-'Inputs'!$B$13)/'Inputs'!$B$14*SUM(E973:E1028)</x:f>
        <x:v>890563.4265340562</x:v>
      </x:c>
      <x:c r="G1028" s="78" t="n">
        <x:f>F1028*'Inputs'!$F$46</x:f>
        <x:v>445281.7132670281</x:v>
      </x:c>
      <x:c r="H1028" s="78" t="n">
        <x:f>U1027</x:f>
        <x:v>134892524.6685593</x:v>
      </x:c>
      <x:c r="I1028" s="78" t="n">
        <x:f>V1027</x:f>
        <x:v>215.8316981731778</x:v>
      </x:c>
      <x:c r="J1028" s="79" t="n">
        <x:f>IF(H1028&gt;0,I1028/H1028,0)</x:f>
        <x:v>0.000001600027123100349</x:v>
      </x:c>
      <x:c r="K1028" s="80" t="n">
        <x:f>(H1028*J1028+I1028)*'Inputs'!$D$46*(1+'Inputs'!$G$46)^(B1028/30)</x:f>
        <x:v>431.6633963463556</x:v>
      </x:c>
      <x:c r="L1028" s="80" t="n">
        <x:f>MAX(0,K1028*'Inputs'!$E$46)</x:f>
        <x:v>0</x:v>
      </x:c>
      <x:c r="M1028" s="80" t="n">
        <x:f>MAX(0,-K1028*'Inputs'!$E$46)</x:f>
        <x:v>0</x:v>
      </x:c>
      <x:c r="N1028" s="78" t="n">
        <x:f>H1028*(L1028*(1-'Inputs'!$B$15))/(I1028+L1028*(1-'Inputs'!$B$15))</x:f>
        <x:v>0</x:v>
      </x:c>
      <x:c r="O1028" s="78" t="n">
        <x:f>H1028-N1028</x:f>
        <x:v>134892524.6685593</x:v>
      </x:c>
      <x:c r="P1028" s="78" t="n">
        <x:f>I1028+L1028*(1-'Inputs'!$B$17)</x:f>
        <x:v>215.8316981731778</x:v>
      </x:c>
      <x:c r="Q1028" s="78" t="n">
        <x:f>IF(J1028&gt;0,M1028/J1028,0)</x:f>
        <x:v>0</x:v>
      </x:c>
      <x:c r="R1028" s="78" t="n">
        <x:f>IF(B1028='Inputs'!$H$46,'Inputs'!$B$27*'Inputs'!$I$46,0)</x:f>
        <x:v>0</x:v>
      </x:c>
      <x:c r="S1028" s="78" t="n">
        <x:f>Q1028+G1028+R1028</x:f>
        <x:v>445281.7132670281</x:v>
      </x:c>
      <x:c r="T1028" s="78" t="n">
        <x:f>P1028*(S1028*(1-'Inputs'!$B$15))/(O1028+S1028*(1-'Inputs'!$B$15))</x:f>
        <x:v>0.7030406529533284</x:v>
      </x:c>
      <x:c r="U1028" s="78" t="n">
        <x:f>O1028+S1028*(1-'Inputs'!$B$17)</x:f>
        <x:v>135336014.50370455</x:v>
      </x:c>
      <x:c r="V1028" s="78" t="n">
        <x:f>P1028-T1028</x:f>
        <x:v>215.1286575202245</x:v>
      </x:c>
      <x:c r="W1028" s="79" t="n">
        <x:f>IF(U1028&gt;0,V1028/U1028,0)</x:f>
        <x:v>0.000001589589129760695</x:v>
      </x:c>
      <x:c r="X1028" s="80" t="n">
        <x:f>W1028*('Inputs'!$B$6-AC1028)</x:f>
        <x:v>1462.1982163463308</x:v>
      </x:c>
      <x:c r="Y1028" s="80" t="n">
        <x:f>2*V1028</x:f>
        <x:v>430.257315040449</x:v>
      </x:c>
      <x:c r="Z1028" s="80" t="n">
        <x:f>K1028*'Inputs'!$B$16+(G1028+R1028)*J1028*'Inputs'!$B$16</x:f>
        <x:v>2.594255154990021</x:v>
      </x:c>
      <x:c r="AA1028" s="80" t="n">
        <x:f>K1028*(1+'Inputs'!$E$46)/2*'Inputs'!$B$17</x:f>
        <x:v>0.868538020817617</x:v>
      </x:c>
      <x:c r="AB1028" s="78" t="n">
        <x:f>(IF(J1028&gt;0,K1028*(1-'Inputs'!$E$46)/2/J1028,0)+G1028+R1028)*'Inputs'!$B$17</x:f>
        <x:v>544618.9391622791</x:v>
      </x:c>
      <x:c r="AC1028" s="78" t="n">
        <x:f>AC1027+AB1028</x:f>
        <x:v>80140780.42515443</x:v>
      </x:c>
      <x:c r="AD1028" s="80" t="n">
        <x:f>Z1028/(1+'Inputs'!$C$46)</x:f>
        <x:v>1.2971275774950104</x:v>
      </x:c>
      <x:c r="AE1028" s="80" t="n">
        <x:f>Z1028-AD1028</x:f>
        <x:v>1.2971275774950104</x:v>
      </x:c>
      <x:c r="AF1028" s="80" t="n">
        <x:f>D1028*W1028</x:f>
        <x:v>0.4198164102327055</x:v>
      </x:c>
      <x:c r="AG1028" s="80" t="n">
        <x:f>C1028*W1028</x:f>
        <x:v>0.9795716238762892</x:v>
      </x:c>
      <x:c r="AH1028" s="80" t="n">
        <x:f>2*'Inputs'!$B$8*'Inputs'!$C$46</x:f>
        <x:v>5000</x:v>
      </x:c>
      <x:c r="AI1028" s="81" t="n">
        <x:f>IF(AH1028&gt;0,(AE1028+AF1028)/AH1028*365,0)</x:f>
        <x:v>0.12533691110412326</x:v>
      </x:c>
      <x:c r="AJ1028" s="81" t="n">
        <x:f>IF('Inputs'!$B$46&gt;0,AG1028/('Inputs'!$B$19*'Inputs'!$B$46)*365,0)</x:f>
        <x:v>0.035754364271484554</x:v>
      </x:c>
      <x:c r="AK1028" s="81" t="n">
        <x:f>W1028/MAX($W$734:W1028)-1</x:f>
        <x:v>-0.998113885323485</x:v>
      </x:c>
      <x:c r="AL1028" s="83" t="n">
        <x:f>'Inputs'!$B$46</x:f>
        <x:v>1</x:v>
      </x:c>
      <x:c r="AM1028" s="83" t="n">
        <x:f>'Inputs'!$C$46</x:f>
        <x:v>1</x:v>
      </x:c>
      <x:c r="AN1028" s="83" t="n">
        <x:f>'Inputs'!$D$46</x:f>
        <x:v>1</x:v>
      </x:c>
      <x:c r="AO1028" s="81" t="n">
        <x:f>'Inputs'!$E$46</x:f>
        <x:v>0</x:v>
      </x:c>
    </x:row>
    <x:row r="1029">
      <x:c r="A1029" s="59" t="str">
        <x:v>Base</x:v>
      </x:c>
      <x:c r="B1029" s="59" t="n">
        <x:v>296</x:v>
      </x:c>
      <x:c r="C1029" s="78" t="n">
        <x:f>(('Inputs'!$B$29*(3*296*'Inputs'!$B$12-296^2)/(2*'Inputs'!$B$12^2))-('Inputs'!$B$29*(3*295*'Inputs'!$B$12-295^2)/(2*'Inputs'!$B$12^2)))*'Inputs'!$B$46</x:f>
        <x:v>615916.9168699682</x:v>
      </x:c>
      <x:c r="D1029" s="78" t="n">
        <x:f>IF('Inputs'!$C$46&gt;0,('Inputs'!$B$30*(3*296*'Inputs'!$B$12-296^2)/(2*'Inputs'!$B$12^2))-('Inputs'!$B$30*(3*295*'Inputs'!$B$12-295^2)/(2*'Inputs'!$B$12^2)),0)</x:f>
        <x:v>263964.39294426143</x:v>
      </x:c>
      <x:c r="E1029" s="78" t="n">
        <x:f>C1029+D1029</x:f>
        <x:v>879881.3098142296</x:v>
      </x:c>
      <x:c r="F1029" s="78" t="n">
        <x:f>'Inputs'!$B$13*E1029+(1-'Inputs'!$B$13)/'Inputs'!$B$14*SUM(E974:E1029)</x:f>
        <x:v>890098.9866766762</x:v>
      </x:c>
      <x:c r="G1029" s="78" t="n">
        <x:f>F1029*'Inputs'!$F$46</x:f>
        <x:v>445049.4933383381</x:v>
      </x:c>
      <x:c r="H1029" s="78" t="n">
        <x:f>U1028</x:f>
        <x:v>135336014.50370455</x:v>
      </x:c>
      <x:c r="I1029" s="78" t="n">
        <x:f>V1028</x:f>
        <x:v>215.1286575202245</x:v>
      </x:c>
      <x:c r="J1029" s="79" t="n">
        <x:f>IF(H1029&gt;0,I1029/H1029,0)</x:f>
        <x:v>0.000001589589129760695</x:v>
      </x:c>
      <x:c r="K1029" s="80" t="n">
        <x:f>(H1029*J1029+I1029)*'Inputs'!$D$46*(1+'Inputs'!$G$46)^(B1029/30)</x:f>
        <x:v>430.257315040449</x:v>
      </x:c>
      <x:c r="L1029" s="80" t="n">
        <x:f>MAX(0,K1029*'Inputs'!$E$46)</x:f>
        <x:v>0</x:v>
      </x:c>
      <x:c r="M1029" s="80" t="n">
        <x:f>MAX(0,-K1029*'Inputs'!$E$46)</x:f>
        <x:v>0</x:v>
      </x:c>
      <x:c r="N1029" s="78" t="n">
        <x:f>H1029*(L1029*(1-'Inputs'!$B$15))/(I1029+L1029*(1-'Inputs'!$B$15))</x:f>
        <x:v>0</x:v>
      </x:c>
      <x:c r="O1029" s="78" t="n">
        <x:f>H1029-N1029</x:f>
        <x:v>135336014.50370455</x:v>
      </x:c>
      <x:c r="P1029" s="78" t="n">
        <x:f>I1029+L1029*(1-'Inputs'!$B$17)</x:f>
        <x:v>215.1286575202245</x:v>
      </x:c>
      <x:c r="Q1029" s="78" t="n">
        <x:f>IF(J1029&gt;0,M1029/J1029,0)</x:f>
        <x:v>0</x:v>
      </x:c>
      <x:c r="R1029" s="78" t="n">
        <x:f>IF(B1029='Inputs'!$H$46,'Inputs'!$B$27*'Inputs'!$I$46,0)</x:f>
        <x:v>0</x:v>
      </x:c>
      <x:c r="S1029" s="78" t="n">
        <x:f>Q1029+G1029+R1029</x:f>
        <x:v>445049.4933383381</x:v>
      </x:c>
      <x:c r="T1029" s="78" t="n">
        <x:f>P1029*(S1029*(1-'Inputs'!$B$15))/(O1029+S1029*(1-'Inputs'!$B$15))</x:f>
        <x:v>0.6980986532716903</x:v>
      </x:c>
      <x:c r="U1029" s="78" t="n">
        <x:f>O1029+S1029*(1-'Inputs'!$B$17)</x:f>
        <x:v>135779273.05340773</x:v>
      </x:c>
      <x:c r="V1029" s="78" t="n">
        <x:f>P1029-T1029</x:f>
        <x:v>214.4305588669528</x:v>
      </x:c>
      <x:c r="W1029" s="79" t="n">
        <x:f>IF(U1029&gt;0,V1029/U1029,0)</x:f>
        <x:v>0.0000015792584099533969</x:v>
      </x:c>
      <x:c r="X1029" s="80" t="n">
        <x:f>W1029*('Inputs'!$B$6-AC1029)</x:f>
        <x:v>1451.832497471734</x:v>
      </x:c>
      <x:c r="Y1029" s="80" t="n">
        <x:f>2*V1029</x:f>
        <x:v>428.8611177339056</x:v>
      </x:c>
      <x:c r="Z1029" s="80" t="n">
        <x:f>K1029*'Inputs'!$B$16+(G1029+R1029)*J1029*'Inputs'!$B$16</x:f>
        <x:v>2.585788565263591</x:v>
      </x:c>
      <x:c r="AA1029" s="80" t="n">
        <x:f>K1029*(1+'Inputs'!$E$46)/2*'Inputs'!$B$17</x:f>
        <x:v>0.8657088833811851</x:v>
      </x:c>
      <x:c r="AB1029" s="78" t="n">
        <x:f>(IF(J1029&gt;0,K1029*(1-'Inputs'!$E$46)/2/J1029,0)+G1029+R1029)*'Inputs'!$B$17</x:f>
        <x:v>546402.6720202934</x:v>
      </x:c>
      <x:c r="AC1029" s="78" t="n">
        <x:f>AC1028+AB1029</x:f>
        <x:v>80687183.09717472</x:v>
      </x:c>
      <x:c r="AD1029" s="80" t="n">
        <x:f>Z1029/(1+'Inputs'!$C$46)</x:f>
        <x:v>1.2928942826317955</x:v>
      </x:c>
      <x:c r="AE1029" s="80" t="n">
        <x:f>Z1029-AD1029</x:f>
        <x:v>1.2928942826317955</x:v>
      </x:c>
      <x:c r="AF1029" s="80" t="n">
        <x:f>D1029*W1029</x:f>
        <x:v>0.41686798748546794</x:v>
      </x:c>
      <x:c r="AG1029" s="80" t="n">
        <x:f>C1029*W1029</x:f>
        <x:v>0.9726919707994645</x:v>
      </x:c>
      <x:c r="AH1029" s="80" t="n">
        <x:f>2*'Inputs'!$B$8*'Inputs'!$C$46</x:f>
        <x:v>5000</x:v>
      </x:c>
      <x:c r="AI1029" s="81" t="n">
        <x:f>IF(AH1029&gt;0,(AE1029+AF1029)/AH1029*365,0)</x:f>
        <x:v>0.12481264571856024</x:v>
      </x:c>
      <x:c r="AJ1029" s="81" t="n">
        <x:f>IF('Inputs'!$B$46&gt;0,AG1029/('Inputs'!$B$19*'Inputs'!$B$46)*365,0)</x:f>
        <x:v>0.03550325693418045</x:v>
      </x:c>
      <x:c r="AK1029" s="81" t="n">
        <x:f>W1029/MAX($W$734:W1029)-1</x:f>
        <x:v>-0.9981261431590998</x:v>
      </x:c>
      <x:c r="AL1029" s="83" t="n">
        <x:f>'Inputs'!$B$46</x:f>
        <x:v>1</x:v>
      </x:c>
      <x:c r="AM1029" s="83" t="n">
        <x:f>'Inputs'!$C$46</x:f>
        <x:v>1</x:v>
      </x:c>
      <x:c r="AN1029" s="83" t="n">
        <x:f>'Inputs'!$D$46</x:f>
        <x:v>1</x:v>
      </x:c>
      <x:c r="AO1029" s="81" t="n">
        <x:f>'Inputs'!$E$46</x:f>
        <x:v>0</x:v>
      </x:c>
    </x:row>
    <x:row r="1030">
      <x:c r="A1030" s="59" t="str">
        <x:v>Base</x:v>
      </x:c>
      <x:c r="B1030" s="59" t="n">
        <x:v>297</x:v>
      </x:c>
      <x:c r="C1030" s="78" t="n">
        <x:f>(('Inputs'!$B$29*(3*297*'Inputs'!$B$12-297^2)/(2*'Inputs'!$B$12^2))-('Inputs'!$B$29*(3*296*'Inputs'!$B$12-296^2)/(2*'Inputs'!$B$12^2)))*'Inputs'!$B$46</x:f>
        <x:v>615591.8089697659</x:v>
      </x:c>
      <x:c r="D1030" s="78" t="n">
        <x:f>IF('Inputs'!$C$46&gt;0,('Inputs'!$B$30*(3*297*'Inputs'!$B$12-297^2)/(2*'Inputs'!$B$12^2))-('Inputs'!$B$30*(3*296*'Inputs'!$B$12-296^2)/(2*'Inputs'!$B$12^2)),0)</x:f>
        <x:v>263825.0609870553</x:v>
      </x:c>
      <x:c r="E1030" s="78" t="n">
        <x:f>C1030+D1030</x:f>
        <x:v>879416.8699568212</x:v>
      </x:c>
      <x:c r="F1030" s="78" t="n">
        <x:f>'Inputs'!$B$13*E1030+(1-'Inputs'!$B$13)/'Inputs'!$B$14*SUM(E975:E1030)</x:f>
        <x:v>889634.546819287</x:v>
      </x:c>
      <x:c r="G1030" s="78" t="n">
        <x:f>F1030*'Inputs'!$F$46</x:f>
        <x:v>444817.2734096435</x:v>
      </x:c>
      <x:c r="H1030" s="78" t="n">
        <x:f>U1029</x:f>
        <x:v>135779273.05340773</x:v>
      </x:c>
      <x:c r="I1030" s="78" t="n">
        <x:f>V1029</x:f>
        <x:v>214.4305588669528</x:v>
      </x:c>
      <x:c r="J1030" s="79" t="n">
        <x:f>IF(H1030&gt;0,I1030/H1030,0)</x:f>
        <x:v>0.0000015792584099533969</x:v>
      </x:c>
      <x:c r="K1030" s="80" t="n">
        <x:f>(H1030*J1030+I1030)*'Inputs'!$D$46*(1+'Inputs'!$G$46)^(B1030/30)</x:f>
        <x:v>428.8611177339056</x:v>
      </x:c>
      <x:c r="L1030" s="80" t="n">
        <x:f>MAX(0,K1030*'Inputs'!$E$46)</x:f>
        <x:v>0</x:v>
      </x:c>
      <x:c r="M1030" s="80" t="n">
        <x:f>MAX(0,-K1030*'Inputs'!$E$46)</x:f>
        <x:v>0</x:v>
      </x:c>
      <x:c r="N1030" s="78" t="n">
        <x:f>H1030*(L1030*(1-'Inputs'!$B$15))/(I1030+L1030*(1-'Inputs'!$B$15))</x:f>
        <x:v>0</x:v>
      </x:c>
      <x:c r="O1030" s="78" t="n">
        <x:f>H1030-N1030</x:f>
        <x:v>135779273.05340773</x:v>
      </x:c>
      <x:c r="P1030" s="78" t="n">
        <x:f>I1030+L1030*(1-'Inputs'!$B$17)</x:f>
        <x:v>214.4305588669528</x:v>
      </x:c>
      <x:c r="Q1030" s="78" t="n">
        <x:f>IF(J1030&gt;0,M1030/J1030,0)</x:f>
        <x:v>0</x:v>
      </x:c>
      <x:c r="R1030" s="78" t="n">
        <x:f>IF(B1030='Inputs'!$H$46,'Inputs'!$B$27*'Inputs'!$I$46,0)</x:f>
        <x:v>0</x:v>
      </x:c>
      <x:c r="S1030" s="78" t="n">
        <x:f>Q1030+G1030+R1030</x:f>
        <x:v>444817.2734096435</x:v>
      </x:c>
      <x:c r="T1030" s="78" t="n">
        <x:f>P1030*(S1030*(1-'Inputs'!$B$15))/(O1030+S1030*(1-'Inputs'!$B$15))</x:f>
        <x:v>0.6932083425882382</x:v>
      </x:c>
      <x:c r="U1030" s="78" t="n">
        <x:f>O1030+S1030*(1-'Inputs'!$B$17)</x:f>
        <x:v>136222300.31766886</x:v>
      </x:c>
      <x:c r="V1030" s="78" t="n">
        <x:f>P1030-T1030</x:f>
        <x:v>213.73735052436456</x:v>
      </x:c>
      <x:c r="W1030" s="79" t="n">
        <x:f>IF(U1030&gt;0,V1030/U1030,0)</x:f>
        <x:v>0.0000015690334844289922</x:v>
      </x:c>
      <x:c r="X1030" s="80" t="n">
        <x:f>W1030*('Inputs'!$B$6-AC1030)</x:f>
        <x:v>1441.5724710206498</x:v>
      </x:c>
      <x:c r="Y1030" s="80" t="n">
        <x:f>2*V1030</x:f>
        <x:v>427.4747010487291</x:v>
      </x:c>
      <x:c r="Z1030" s="80" t="n">
        <x:f>K1030*'Inputs'!$B$16+(G1030+R1030)*J1030*'Inputs'!$B$16</x:f>
        <x:v>2.577381594922982</x:v>
      </x:c>
      <x:c r="AA1030" s="80" t="n">
        <x:f>K1030*(1+'Inputs'!$E$46)/2*'Inputs'!$B$17</x:f>
        <x:v>0.8628996332674157</x:v>
      </x:c>
      <x:c r="AB1030" s="78" t="n">
        <x:f>(IF(J1030&gt;0,K1030*(1-'Inputs'!$E$46)/2/J1030,0)+G1030+R1030)*'Inputs'!$B$17</x:f>
        <x:v>548185.4741521826</x:v>
      </x:c>
      <x:c r="AC1030" s="78" t="n">
        <x:f>AC1029+AB1030</x:f>
        <x:v>81235368.5713269</x:v>
      </x:c>
      <x:c r="AD1030" s="80" t="n">
        <x:f>Z1030/(1+'Inputs'!$C$46)</x:f>
        <x:v>1.288690797461491</x:v>
      </x:c>
      <x:c r="AE1030" s="80" t="n">
        <x:f>Z1030-AD1030</x:f>
        <x:v>1.288690797461491</x:v>
      </x:c>
      <x:c r="AF1030" s="80" t="n">
        <x:f>D1030*W1030</x:f>
        <x:v>0.41395035472021074</x:v>
      </x:c>
      <x:c r="AG1030" s="80" t="n">
        <x:f>C1030*W1030</x:f>
        <x:v>0.9658841610137783</x:v>
      </x:c>
      <x:c r="AH1030" s="80" t="n">
        <x:f>2*'Inputs'!$B$8*'Inputs'!$C$46</x:f>
        <x:v>5000</x:v>
      </x:c>
      <x:c r="AI1030" s="81" t="n">
        <x:f>IF(AH1030&gt;0,(AE1030+AF1030)/AH1030*365,0)</x:f>
        <x:v>0.12429280410926423</x:v>
      </x:c>
      <x:c r="AJ1030" s="81" t="n">
        <x:f>IF('Inputs'!$B$46&gt;0,AG1030/('Inputs'!$B$19*'Inputs'!$B$46)*365,0)</x:f>
        <x:v>0.03525477187700291</x:v>
      </x:c>
      <x:c r="AK1030" s="81" t="n">
        <x:f>W1030/MAX($W$734:W1030)-1</x:f>
        <x:v>-0.9981382754653271</x:v>
      </x:c>
      <x:c r="AL1030" s="83" t="n">
        <x:f>'Inputs'!$B$46</x:f>
        <x:v>1</x:v>
      </x:c>
      <x:c r="AM1030" s="83" t="n">
        <x:f>'Inputs'!$C$46</x:f>
        <x:v>1</x:v>
      </x:c>
      <x:c r="AN1030" s="83" t="n">
        <x:f>'Inputs'!$D$46</x:f>
        <x:v>1</x:v>
      </x:c>
      <x:c r="AO1030" s="81" t="n">
        <x:f>'Inputs'!$E$46</x:f>
        <x:v>0</x:v>
      </x:c>
    </x:row>
    <x:row r="1031">
      <x:c r="A1031" s="59" t="str">
        <x:v>Base</x:v>
      </x:c>
      <x:c r="B1031" s="59" t="n">
        <x:v>298</x:v>
      </x:c>
      <x:c r="C1031" s="78" t="n">
        <x:f>(('Inputs'!$B$29*(3*298*'Inputs'!$B$12-298^2)/(2*'Inputs'!$B$12^2))-('Inputs'!$B$29*(3*297*'Inputs'!$B$12-297^2)/(2*'Inputs'!$B$12^2)))*'Inputs'!$B$46</x:f>
        <x:v>615266.7010696232</x:v>
      </x:c>
      <x:c r="D1031" s="78" t="n">
        <x:f>IF('Inputs'!$C$46&gt;0,('Inputs'!$B$30*(3*298*'Inputs'!$B$12-298^2)/(2*'Inputs'!$B$12^2))-('Inputs'!$B$30*(3*297*'Inputs'!$B$12-297^2)/(2*'Inputs'!$B$12^2)),0)</x:f>
        <x:v>263685.72902983427</x:v>
      </x:c>
      <x:c r="E1031" s="78" t="n">
        <x:f>C1031+D1031</x:f>
        <x:v>878952.4300994575</x:v>
      </x:c>
      <x:c r="F1031" s="78" t="n">
        <x:f>'Inputs'!$B$13*E1031+(1-'Inputs'!$B$13)/'Inputs'!$B$14*SUM(E976:E1031)</x:f>
        <x:v>889170.1069619069</x:v>
      </x:c>
      <x:c r="G1031" s="78" t="n">
        <x:f>F1031*'Inputs'!$F$46</x:f>
        <x:v>444585.05348095344</x:v>
      </x:c>
      <x:c r="H1031" s="78" t="n">
        <x:f>U1030</x:f>
        <x:v>136222300.31766886</x:v>
      </x:c>
      <x:c r="I1031" s="78" t="n">
        <x:f>V1030</x:f>
        <x:v>213.73735052436456</x:v>
      </x:c>
      <x:c r="J1031" s="79" t="n">
        <x:f>IF(H1031&gt;0,I1031/H1031,0)</x:f>
        <x:v>0.0000015690334844289922</x:v>
      </x:c>
      <x:c r="K1031" s="80" t="n">
        <x:f>(H1031*J1031+I1031)*'Inputs'!$D$46*(1+'Inputs'!$G$46)^(B1031/30)</x:f>
        <x:v>427.4747010487291</x:v>
      </x:c>
      <x:c r="L1031" s="80" t="n">
        <x:f>MAX(0,K1031*'Inputs'!$E$46)</x:f>
        <x:v>0</x:v>
      </x:c>
      <x:c r="M1031" s="80" t="n">
        <x:f>MAX(0,-K1031*'Inputs'!$E$46)</x:f>
        <x:v>0</x:v>
      </x:c>
      <x:c r="N1031" s="78" t="n">
        <x:f>H1031*(L1031*(1-'Inputs'!$B$15))/(I1031+L1031*(1-'Inputs'!$B$15))</x:f>
        <x:v>0</x:v>
      </x:c>
      <x:c r="O1031" s="78" t="n">
        <x:f>H1031-N1031</x:f>
        <x:v>136222300.31766886</x:v>
      </x:c>
      <x:c r="P1031" s="78" t="n">
        <x:f>I1031+L1031*(1-'Inputs'!$B$17)</x:f>
        <x:v>213.73735052436456</x:v>
      </x:c>
      <x:c r="Q1031" s="78" t="n">
        <x:f>IF(J1031&gt;0,M1031/J1031,0)</x:f>
        <x:v>0</x:v>
      </x:c>
      <x:c r="R1031" s="78" t="n">
        <x:f>IF(B1031='Inputs'!$H$46,'Inputs'!$B$27*'Inputs'!$I$46,0)</x:f>
        <x:v>0</x:v>
      </x:c>
      <x:c r="S1031" s="78" t="n">
        <x:f>Q1031+G1031+R1031</x:f>
        <x:v>444585.05348095344</x:v>
      </x:c>
      <x:c r="T1031" s="78" t="n">
        <x:f>P1031*(S1031*(1-'Inputs'!$B$15))/(O1031+S1031*(1-'Inputs'!$B$15))</x:f>
        <x:v>0.6883690019701695</x:v>
      </x:c>
      <x:c r="U1031" s="78" t="n">
        <x:f>O1031+S1031*(1-'Inputs'!$B$17)</x:f>
        <x:v>136665096.29648793</x:v>
      </x:c>
      <x:c r="V1031" s="78" t="n">
        <x:f>P1031-T1031</x:f>
        <x:v>213.0489815223944</x:v>
      </x:c>
      <x:c r="W1031" s="79" t="n">
        <x:f>IF(U1031&gt;0,V1031/U1031,0)</x:f>
        <x:v>0.0000015589128994589484</x:v>
      </x:c>
      <x:c r="X1031" s="80" t="n">
        <x:f>W1031*('Inputs'!$B$6-AC1031)</x:f>
        <x:v>1431.4166843115333</x:v>
      </x:c>
      <x:c r="Y1031" s="80" t="n">
        <x:f>2*V1031</x:f>
        <x:v>426.0979630447888</x:v>
      </x:c>
      <x:c r="Z1031" s="80" t="n">
        <x:f>K1031*'Inputs'!$B$16+(G1031+R1031)*J1031*'Inputs'!$B$16</x:f>
        <x:v>2.5690336193059045</x:v>
      </x:c>
      <x:c r="AA1031" s="80" t="n">
        <x:f>K1031*(1+'Inputs'!$E$46)/2*'Inputs'!$B$17</x:f>
        <x:v>0.860110062472292</x:v>
      </x:c>
      <x:c r="AB1031" s="78" t="n">
        <x:f>(IF(J1031&gt;0,K1031*(1-'Inputs'!$E$46)/2/J1031,0)+G1031+R1031)*'Inputs'!$B$17</x:f>
        <x:v>549967.345557947</x:v>
      </x:c>
      <x:c r="AC1031" s="78" t="n">
        <x:f>AC1030+AB1031</x:f>
        <x:v>81785335.91688484</x:v>
      </x:c>
      <x:c r="AD1031" s="80" t="n">
        <x:f>Z1031/(1+'Inputs'!$C$46)</x:f>
        <x:v>1.2845168096529522</x:v>
      </x:c>
      <x:c r="AE1031" s="80" t="n">
        <x:f>Z1031-AD1031</x:f>
        <x:v>1.2845168096529522</x:v>
      </x:c>
      <x:c r="AF1031" s="80" t="n">
        <x:f>D1031*W1031</x:f>
        <x:v>0.41106308438784556</x:v>
      </x:c>
      <x:c r="AG1031" s="80" t="n">
        <x:f>C1031*W1031</x:f>
        <x:v>0.9591471969049884</x:v>
      </x:c>
      <x:c r="AH1031" s="80" t="n">
        <x:f>2*'Inputs'!$B$8*'Inputs'!$C$46</x:f>
        <x:v>5000</x:v>
      </x:c>
      <x:c r="AI1031" s="81" t="n">
        <x:f>IF(AH1031&gt;0,(AE1031+AF1031)/AH1031*365,0)</x:f>
        <x:v>0.12377733226497824</x:v>
      </x:c>
      <x:c r="AJ1031" s="81" t="n">
        <x:f>IF('Inputs'!$B$46&gt;0,AG1031/('Inputs'!$B$19*'Inputs'!$B$46)*365,0)</x:f>
        <x:v>0.035008872687032074</x:v>
      </x:c>
      <x:c r="AK1031" s="81" t="n">
        <x:f>W1031/MAX($W$734:W1031)-1</x:f>
        <x:v>-0.9981502839670773</x:v>
      </x:c>
      <x:c r="AL1031" s="83" t="n">
        <x:f>'Inputs'!$B$46</x:f>
        <x:v>1</x:v>
      </x:c>
      <x:c r="AM1031" s="83" t="n">
        <x:f>'Inputs'!$C$46</x:f>
        <x:v>1</x:v>
      </x:c>
      <x:c r="AN1031" s="83" t="n">
        <x:f>'Inputs'!$D$46</x:f>
        <x:v>1</x:v>
      </x:c>
      <x:c r="AO1031" s="81" t="n">
        <x:f>'Inputs'!$E$46</x:f>
        <x:v>0</x:v>
      </x:c>
    </x:row>
    <x:row r="1032">
      <x:c r="A1032" s="59" t="str">
        <x:v>Base</x:v>
      </x:c>
      <x:c r="B1032" s="59" t="n">
        <x:v>299</x:v>
      </x:c>
      <x:c r="C1032" s="78" t="n">
        <x:f>(('Inputs'!$B$29*(3*299*'Inputs'!$B$12-299^2)/(2*'Inputs'!$B$12^2))-('Inputs'!$B$29*(3*298*'Inputs'!$B$12-298^2)/(2*'Inputs'!$B$12^2)))*'Inputs'!$B$46</x:f>
        <x:v>614941.5931694508</x:v>
      </x:c>
      <x:c r="D1032" s="78" t="n">
        <x:f>IF('Inputs'!$C$46&gt;0,('Inputs'!$B$30*(3*299*'Inputs'!$B$12-299^2)/(2*'Inputs'!$B$12^2))-('Inputs'!$B$30*(3*298*'Inputs'!$B$12-298^2)/(2*'Inputs'!$B$12^2)),0)</x:f>
        <x:v>263546.39707262814</x:v>
      </x:c>
      <x:c r="E1032" s="78" t="n">
        <x:f>C1032+D1032</x:f>
        <x:v>878487.9902420789</x:v>
      </x:c>
      <x:c r="F1032" s="78" t="n">
        <x:f>'Inputs'!$B$13*E1032+(1-'Inputs'!$B$13)/'Inputs'!$B$14*SUM(E977:E1032)</x:f>
        <x:v>888705.6671045239</x:v>
      </x:c>
      <x:c r="G1032" s="78" t="n">
        <x:f>F1032*'Inputs'!$F$46</x:f>
        <x:v>444352.83355226193</x:v>
      </x:c>
      <x:c r="H1032" s="78" t="n">
        <x:f>U1031</x:f>
        <x:v>136665096.29648793</x:v>
      </x:c>
      <x:c r="I1032" s="78" t="n">
        <x:f>V1031</x:f>
        <x:v>213.0489815223944</x:v>
      </x:c>
      <x:c r="J1032" s="79" t="n">
        <x:f>IF(H1032&gt;0,I1032/H1032,0)</x:f>
        <x:v>0.0000015589128994589484</x:v>
      </x:c>
      <x:c r="K1032" s="80" t="n">
        <x:f>(H1032*J1032+I1032)*'Inputs'!$D$46*(1+'Inputs'!$G$46)^(B1032/30)</x:f>
        <x:v>426.0979630447888</x:v>
      </x:c>
      <x:c r="L1032" s="80" t="n">
        <x:f>MAX(0,K1032*'Inputs'!$E$46)</x:f>
        <x:v>0</x:v>
      </x:c>
      <x:c r="M1032" s="80" t="n">
        <x:f>MAX(0,-K1032*'Inputs'!$E$46)</x:f>
        <x:v>0</x:v>
      </x:c>
      <x:c r="N1032" s="78" t="n">
        <x:f>H1032*(L1032*(1-'Inputs'!$B$15))/(I1032+L1032*(1-'Inputs'!$B$15))</x:f>
        <x:v>0</x:v>
      </x:c>
      <x:c r="O1032" s="78" t="n">
        <x:f>H1032-N1032</x:f>
        <x:v>136665096.29648793</x:v>
      </x:c>
      <x:c r="P1032" s="78" t="n">
        <x:f>I1032+L1032*(1-'Inputs'!$B$17)</x:f>
        <x:v>213.0489815223944</x:v>
      </x:c>
      <x:c r="Q1032" s="78" t="n">
        <x:f>IF(J1032&gt;0,M1032/J1032,0)</x:f>
        <x:v>0</x:v>
      </x:c>
      <x:c r="R1032" s="78" t="n">
        <x:f>IF(B1032='Inputs'!$H$46,'Inputs'!$B$27*'Inputs'!$I$46,0)</x:f>
        <x:v>0</x:v>
      </x:c>
      <x:c r="S1032" s="78" t="n">
        <x:f>Q1032+G1032+R1032</x:f>
        <x:v>444352.83355226193</x:v>
      </x:c>
      <x:c r="T1032" s="78" t="n">
        <x:f>P1032*(S1032*(1-'Inputs'!$B$15))/(O1032+S1032*(1-'Inputs'!$B$15))</x:f>
        <x:v>0.6835799249439305</x:v>
      </x:c>
      <x:c r="U1032" s="78" t="n">
        <x:f>O1032+S1032*(1-'Inputs'!$B$17)</x:f>
        <x:v>137107660.98986492</x:v>
      </x:c>
      <x:c r="V1032" s="78" t="n">
        <x:f>P1032-T1032</x:f>
        <x:v>212.36540159745047</x:v>
      </x:c>
      <x:c r="W1032" s="79" t="n">
        <x:f>IF(U1032&gt;0,V1032/U1032,0)</x:f>
        <x:v>0.0000015488952263079498</x:v>
      </x:c>
      <x:c r="X1032" s="80" t="n">
        <x:f>W1032*('Inputs'!$B$6-AC1032)</x:f>
        <x:v>1421.3637096376178</x:v>
      </x:c>
      <x:c r="Y1032" s="80" t="n">
        <x:f>2*V1032</x:f>
        <x:v>424.73080319490094</x:v>
      </x:c>
      <x:c r="Z1032" s="80" t="n">
        <x:f>K1032*'Inputs'!$B$16+(G1032+R1032)*J1032*'Inputs'!$B$16</x:f>
        <x:v>2.5607440224535476</x:v>
      </x:c>
      <x:c r="AA1032" s="80" t="n">
        <x:f>K1032*(1+'Inputs'!$E$46)/2*'Inputs'!$B$17</x:f>
        <x:v>0.857339965884887</x:v>
      </x:c>
      <x:c r="AB1032" s="78" t="n">
        <x:f>(IF(J1032&gt;0,K1032*(1-'Inputs'!$E$46)/2/J1032,0)+G1032+R1032)*'Inputs'!$B$17</x:f>
        <x:v>551748.2862375864</x:v>
      </x:c>
      <x:c r="AC1032" s="78" t="n">
        <x:f>AC1031+AB1032</x:f>
        <x:v>82337084.20312242</x:v>
      </x:c>
      <x:c r="AD1032" s="80" t="n">
        <x:f>Z1032/(1+'Inputs'!$C$46)</x:f>
        <x:v>1.2803720112267738</x:v>
      </x:c>
      <x:c r="AE1032" s="80" t="n">
        <x:f>Z1032-AD1032</x:f>
        <x:v>1.2803720112267738</x:v>
      </x:c>
      <x:c r="AF1032" s="80" t="n">
        <x:f>D1032*W1032</x:f>
        <x:v>0.4082057563364532</x:v>
      </x:c>
      <x:c r="AG1032" s="80" t="n">
        <x:f>C1032*W1032</x:f>
        <x:v>0.9524800981183676</x:v>
      </x:c>
      <x:c r="AH1032" s="80" t="n">
        <x:f>2*'Inputs'!$B$8*'Inputs'!$C$46</x:f>
        <x:v>5000</x:v>
      </x:c>
      <x:c r="AI1032" s="81" t="n">
        <x:f>IF(AH1032&gt;0,(AE1032+AF1032)/AH1032*365,0)</x:f>
        <x:v>0.12326617703211556</x:v>
      </x:c>
      <x:c r="AJ1032" s="81" t="n">
        <x:f>IF('Inputs'!$B$46&gt;0,AG1032/('Inputs'!$B$19*'Inputs'!$B$46)*365,0)</x:f>
        <x:v>0.034765523581320415</x:v>
      </x:c>
      <x:c r="AK1032" s="81" t="n">
        <x:f>W1032/MAX($W$734:W1032)-1</x:f>
        <x:v>-0.9981621703596053</x:v>
      </x:c>
      <x:c r="AL1032" s="83" t="n">
        <x:f>'Inputs'!$B$46</x:f>
        <x:v>1</x:v>
      </x:c>
      <x:c r="AM1032" s="83" t="n">
        <x:f>'Inputs'!$C$46</x:f>
        <x:v>1</x:v>
      </x:c>
      <x:c r="AN1032" s="83" t="n">
        <x:f>'Inputs'!$D$46</x:f>
        <x:v>1</x:v>
      </x:c>
      <x:c r="AO1032" s="81" t="n">
        <x:f>'Inputs'!$E$46</x:f>
        <x:v>0</x:v>
      </x:c>
    </x:row>
    <x:row r="1033">
      <x:c r="A1033" s="59" t="str">
        <x:v>Base</x:v>
      </x:c>
      <x:c r="B1033" s="59" t="n">
        <x:v>300</x:v>
      </x:c>
      <x:c r="C1033" s="78" t="n">
        <x:f>(('Inputs'!$B$29*(3*300*'Inputs'!$B$12-300^2)/(2*'Inputs'!$B$12^2))-('Inputs'!$B$29*(3*299*'Inputs'!$B$12-299^2)/(2*'Inputs'!$B$12^2)))*'Inputs'!$B$46</x:f>
        <x:v>614616.4852692783</x:v>
      </x:c>
      <x:c r="D1033" s="78" t="n">
        <x:f>IF('Inputs'!$C$46&gt;0,('Inputs'!$B$30*(3*300*'Inputs'!$B$12-300^2)/(2*'Inputs'!$B$12^2))-('Inputs'!$B$30*(3*299*'Inputs'!$B$12-299^2)/(2*'Inputs'!$B$12^2)),0)</x:f>
        <x:v>263407.0651154071</x:v>
      </x:c>
      <x:c r="E1033" s="78" t="n">
        <x:f>C1033+D1033</x:f>
        <x:v>878023.5503846854</x:v>
      </x:c>
      <x:c r="F1033" s="78" t="n">
        <x:f>'Inputs'!$B$13*E1033+(1-'Inputs'!$B$13)/'Inputs'!$B$14*SUM(E978:E1033)</x:f>
        <x:v>888241.2272471378</x:v>
      </x:c>
      <x:c r="G1033" s="78" t="n">
        <x:f>F1033*'Inputs'!$F$46</x:f>
        <x:v>444120.6136235689</x:v>
      </x:c>
      <x:c r="H1033" s="78" t="n">
        <x:f>U1032</x:f>
        <x:v>137107660.98986492</x:v>
      </x:c>
      <x:c r="I1033" s="78" t="n">
        <x:f>V1032</x:f>
        <x:v>212.36540159745047</x:v>
      </x:c>
      <x:c r="J1033" s="79" t="n">
        <x:f>IF(H1033&gt;0,I1033/H1033,0)</x:f>
        <x:v>0.0000015488952263079498</x:v>
      </x:c>
      <x:c r="K1033" s="80" t="n">
        <x:f>(H1033*J1033+I1033)*'Inputs'!$D$46*(1+'Inputs'!$G$46)^(B1033/30)</x:f>
        <x:v>424.73080319490094</x:v>
      </x:c>
      <x:c r="L1033" s="80" t="n">
        <x:f>MAX(0,K1033*'Inputs'!$E$46)</x:f>
        <x:v>0</x:v>
      </x:c>
      <x:c r="M1033" s="80" t="n">
        <x:f>MAX(0,-K1033*'Inputs'!$E$46)</x:f>
        <x:v>0</x:v>
      </x:c>
      <x:c r="N1033" s="78" t="n">
        <x:f>H1033*(L1033*(1-'Inputs'!$B$15))/(I1033+L1033*(1-'Inputs'!$B$15))</x:f>
        <x:v>0</x:v>
      </x:c>
      <x:c r="O1033" s="78" t="n">
        <x:f>H1033-N1033</x:f>
        <x:v>137107660.98986492</x:v>
      </x:c>
      <x:c r="P1033" s="78" t="n">
        <x:f>I1033+L1033*(1-'Inputs'!$B$17)</x:f>
        <x:v>212.36540159745047</x:v>
      </x:c>
      <x:c r="Q1033" s="78" t="n">
        <x:f>IF(J1033&gt;0,M1033/J1033,0)</x:f>
        <x:v>0</x:v>
      </x:c>
      <x:c r="R1033" s="78" t="n">
        <x:f>IF(B1033='Inputs'!$H$46,'Inputs'!$B$27*'Inputs'!$I$46,0)</x:f>
        <x:v>0</x:v>
      </x:c>
      <x:c r="S1033" s="78" t="n">
        <x:f>Q1033+G1033+R1033</x:f>
        <x:v>444120.6136235689</x:v>
      </x:c>
      <x:c r="T1033" s="78" t="n">
        <x:f>P1033*(S1033*(1-'Inputs'!$B$15))/(O1033+S1033*(1-'Inputs'!$B$15))</x:f>
        <x:v>0.6788404172369877</x:v>
      </x:c>
      <x:c r="U1033" s="78" t="n">
        <x:f>O1033+S1033*(1-'Inputs'!$B$17)</x:f>
        <x:v>137549994.39779985</x:v>
      </x:c>
      <x:c r="V1033" s="78" t="n">
        <x:f>P1033-T1033</x:f>
        <x:v>211.6865611802135</x:v>
      </x:c>
      <x:c r="W1033" s="79" t="n">
        <x:f>IF(U1033&gt;0,V1033/U1033,0)</x:f>
        <x:v>0.000001538979060718882</x:v>
      </x:c>
      <x:c r="X1033" s="80" t="n">
        <x:f>W1033*('Inputs'!$B$6-AC1033)</x:f>
        <x:v>1411.4121437522758</x:v>
      </x:c>
      <x:c r="Y1033" s="80" t="n">
        <x:f>2*V1033</x:f>
        <x:v>423.373122360427</x:v>
      </x:c>
      <x:c r="Z1033" s="80" t="n">
        <x:f>K1033*'Inputs'!$B$16+(G1033+R1033)*J1033*'Inputs'!$B$16</x:f>
        <x:v>2.552512196959485</x:v>
      </x:c>
      <x:c r="AA1033" s="80" t="n">
        <x:f>K1033*(1+'Inputs'!$E$46)/2*'Inputs'!$B$17</x:f>
        <x:v>0.8545891412372253</x:v>
      </x:c>
      <x:c r="AB1033" s="78" t="n">
        <x:f>(IF(J1033&gt;0,K1033*(1-'Inputs'!$E$46)/2/J1033,0)+G1033+R1033)*'Inputs'!$B$17</x:f>
        <x:v>553528.2961911005</x:v>
      </x:c>
      <x:c r="AC1033" s="78" t="n">
        <x:f>AC1032+AB1033</x:f>
        <x:v>82890612.49931352</x:v>
      </x:c>
      <x:c r="AD1033" s="80" t="n">
        <x:f>Z1033/(1+'Inputs'!$C$46)</x:f>
        <x:v>1.2762560984797424</x:v>
      </x:c>
      <x:c r="AE1033" s="80" t="n">
        <x:f>Z1033-AD1033</x:f>
        <x:v>1.2762560984797424</x:v>
      </x:c>
      <x:c r="AF1033" s="80" t="n">
        <x:f>D1033*W1033</x:f>
        <x:v>0.40537795765802664</x:v>
      </x:c>
      <x:c r="AG1033" s="80" t="n">
        <x:f>C1033*W1033</x:f>
        <x:v>0.9458819012020545</x:v>
      </x:c>
      <x:c r="AH1033" s="80" t="n">
        <x:f>2*'Inputs'!$B$8*'Inputs'!$C$46</x:f>
        <x:v>5000</x:v>
      </x:c>
      <x:c r="AI1033" s="81" t="n">
        <x:f>IF(AH1033&gt;0,(AE1033+AF1033)/AH1033*365,0)</x:f>
        <x:v>0.12275928609805714</x:v>
      </x:c>
      <x:c r="AJ1033" s="81" t="n">
        <x:f>IF('Inputs'!$B$46&gt;0,AG1033/('Inputs'!$B$19*'Inputs'!$B$46)*365,0)</x:f>
        <x:v>0.03452468939387499</x:v>
      </x:c>
      <x:c r="AK1033" s="81" t="n">
        <x:f>W1033/MAX($W$734:W1033)-1</x:f>
        <x:v>-0.9981739363091215</x:v>
      </x:c>
      <x:c r="AL1033" s="83" t="n">
        <x:f>'Inputs'!$B$46</x:f>
        <x:v>1</x:v>
      </x:c>
      <x:c r="AM1033" s="83" t="n">
        <x:f>'Inputs'!$C$46</x:f>
        <x:v>1</x:v>
      </x:c>
      <x:c r="AN1033" s="83" t="n">
        <x:f>'Inputs'!$D$46</x:f>
        <x:v>1</x:v>
      </x:c>
      <x:c r="AO1033" s="81" t="n">
        <x:f>'Inputs'!$E$46</x:f>
        <x:v>0</x:v>
      </x:c>
    </x:row>
    <x:row r="1034">
      <x:c r="A1034" s="59" t="str">
        <x:v>Base</x:v>
      </x:c>
      <x:c r="B1034" s="59" t="n">
        <x:v>301</x:v>
      </x:c>
      <x:c r="C1034" s="78" t="n">
        <x:f>(('Inputs'!$B$29*(3*301*'Inputs'!$B$12-301^2)/(2*'Inputs'!$B$12^2))-('Inputs'!$B$29*(3*300*'Inputs'!$B$12-300^2)/(2*'Inputs'!$B$12^2)))*'Inputs'!$B$46</x:f>
        <x:v>614291.3773691356</x:v>
      </x:c>
      <x:c r="D1034" s="78" t="n">
        <x:f>IF('Inputs'!$C$46&gt;0,('Inputs'!$B$30*(3*301*'Inputs'!$B$12-301^2)/(2*'Inputs'!$B$12^2))-('Inputs'!$B$30*(3*300*'Inputs'!$B$12-300^2)/(2*'Inputs'!$B$12^2)),0)</x:f>
        <x:v>263267.7331581861</x:v>
      </x:c>
      <x:c r="E1034" s="78" t="n">
        <x:f>C1034+D1034</x:f>
        <x:v>877559.1105273217</x:v>
      </x:c>
      <x:c r="F1034" s="78" t="n">
        <x:f>'Inputs'!$B$13*E1034+(1-'Inputs'!$B$13)/'Inputs'!$B$14*SUM(E979:E1034)</x:f>
        <x:v>887776.7873897578</x:v>
      </x:c>
      <x:c r="G1034" s="78" t="n">
        <x:f>F1034*'Inputs'!$F$46</x:f>
        <x:v>443888.3936948789</x:v>
      </x:c>
      <x:c r="H1034" s="78" t="n">
        <x:f>U1033</x:f>
        <x:v>137549994.39779985</x:v>
      </x:c>
      <x:c r="I1034" s="78" t="n">
        <x:f>V1033</x:f>
        <x:v>211.6865611802135</x:v>
      </x:c>
      <x:c r="J1034" s="79" t="n">
        <x:f>IF(H1034&gt;0,I1034/H1034,0)</x:f>
        <x:v>0.000001538979060718882</x:v>
      </x:c>
      <x:c r="K1034" s="80" t="n">
        <x:f>(H1034*J1034+I1034)*'Inputs'!$D$46*(1+'Inputs'!$G$46)^(B1034/30)</x:f>
        <x:v>423.373122360427</x:v>
      </x:c>
      <x:c r="L1034" s="80" t="n">
        <x:f>MAX(0,K1034*'Inputs'!$E$46)</x:f>
        <x:v>0</x:v>
      </x:c>
      <x:c r="M1034" s="80" t="n">
        <x:f>MAX(0,-K1034*'Inputs'!$E$46)</x:f>
        <x:v>0</x:v>
      </x:c>
      <x:c r="N1034" s="78" t="n">
        <x:f>H1034*(L1034*(1-'Inputs'!$B$15))/(I1034+L1034*(1-'Inputs'!$B$15))</x:f>
        <x:v>0</x:v>
      </x:c>
      <x:c r="O1034" s="78" t="n">
        <x:f>H1034-N1034</x:f>
        <x:v>137549994.39779985</x:v>
      </x:c>
      <x:c r="P1034" s="78" t="n">
        <x:f>I1034+L1034*(1-'Inputs'!$B$17)</x:f>
        <x:v>211.6865611802135</x:v>
      </x:c>
      <x:c r="Q1034" s="78" t="n">
        <x:f>IF(J1034&gt;0,M1034/J1034,0)</x:f>
        <x:v>0</x:v>
      </x:c>
      <x:c r="R1034" s="78" t="n">
        <x:f>IF(B1034='Inputs'!$H$46,'Inputs'!$B$27*'Inputs'!$I$46,0)</x:f>
        <x:v>0</x:v>
      </x:c>
      <x:c r="S1034" s="78" t="n">
        <x:f>Q1034+G1034+R1034</x:f>
        <x:v>443888.3936948789</x:v>
      </x:c>
      <x:c r="T1034" s="78" t="n">
        <x:f>P1034*(S1034*(1-'Inputs'!$B$15))/(O1034+S1034*(1-'Inputs'!$B$15))</x:f>
        <x:v>0.6741497965257893</x:v>
      </x:c>
      <x:c r="U1034" s="78" t="n">
        <x:f>O1034+S1034*(1-'Inputs'!$B$17)</x:f>
        <x:v>137992096.52029273</x:v>
      </x:c>
      <x:c r="V1034" s="78" t="n">
        <x:f>P1034-T1034</x:f>
        <x:v>211.0124113836877</x:v>
      </x:c>
      <x:c r="W1034" s="79" t="n">
        <x:f>IF(U1034&gt;0,V1034/U1034,0)</x:f>
        <x:v>0.000001529163022410177</x:v>
      </x:c>
      <x:c r="X1034" s="80" t="n">
        <x:f>W1034*('Inputs'!$B$6-AC1034)</x:f>
        <x:v>1401.5606073667343</x:v>
      </x:c>
      <x:c r="Y1034" s="80" t="n">
        <x:f>2*V1034</x:f>
        <x:v>422.0248227673754</x:v>
      </x:c>
      <x:c r="Z1034" s="80" t="n">
        <x:f>K1034*'Inputs'!$B$16+(G1034+R1034)*J1034*'Inputs'!$B$16</x:f>
        <x:v>2.544337543821717</x:v>
      </x:c>
      <x:c r="AA1034" s="80" t="n">
        <x:f>K1034*(1+'Inputs'!$E$46)/2*'Inputs'!$B$17</x:f>
        <x:v>0.8518573890551852</x:v>
      </x:c>
      <x:c r="AB1034" s="78" t="n">
        <x:f>(IF(J1034&gt;0,K1034*(1-'Inputs'!$E$46)/2/J1034,0)+G1034+R1034)*'Inputs'!$B$17</x:f>
        <x:v>555307.3754184899</x:v>
      </x:c>
      <x:c r="AC1034" s="78" t="n">
        <x:f>AC1033+AB1034</x:f>
        <x:v>83445919.874732</x:v>
      </x:c>
      <x:c r="AD1034" s="80" t="n">
        <x:f>Z1034/(1+'Inputs'!$C$46)</x:f>
        <x:v>1.2721687719108585</x:v>
      </x:c>
      <x:c r="AE1034" s="80" t="n">
        <x:f>Z1034-AD1034</x:f>
        <x:v>1.2721687719108585</x:v>
      </x:c>
      <x:c r="AF1034" s="80" t="n">
        <x:f>D1034*W1034</x:f>
        <x:v>0.4025792825392478</x:v>
      </x:c>
      <x:c r="AG1034" s="80" t="n">
        <x:f>C1034*W1034</x:f>
        <x:v>0.939351659258298</x:v>
      </x:c>
      <x:c r="AH1034" s="80" t="n">
        <x:f>2*'Inputs'!$B$8*'Inputs'!$C$46</x:f>
        <x:v>5000</x:v>
      </x:c>
      <x:c r="AI1034" s="81" t="n">
        <x:f>IF(AH1034&gt;0,(AE1034+AF1034)/AH1034*365,0)</x:f>
        <x:v>0.12225660797485777</x:v>
      </x:c>
      <x:c r="AJ1034" s="81" t="n">
        <x:f>IF('Inputs'!$B$46&gt;0,AG1034/('Inputs'!$B$19*'Inputs'!$B$46)*365,0)</x:f>
        <x:v>0.03428633556292788</x:v>
      </x:c>
      <x:c r="AK1034" s="81" t="n">
        <x:f>W1034/MAX($W$734:W1034)-1</x:f>
        <x:v>-0.9981855834533884</x:v>
      </x:c>
      <x:c r="AL1034" s="83" t="n">
        <x:f>'Inputs'!$B$46</x:f>
        <x:v>1</x:v>
      </x:c>
      <x:c r="AM1034" s="83" t="n">
        <x:f>'Inputs'!$C$46</x:f>
        <x:v>1</x:v>
      </x:c>
      <x:c r="AN1034" s="83" t="n">
        <x:f>'Inputs'!$D$46</x:f>
        <x:v>1</x:v>
      </x:c>
      <x:c r="AO1034" s="81" t="n">
        <x:f>'Inputs'!$E$46</x:f>
        <x:v>0</x:v>
      </x:c>
    </x:row>
    <x:row r="1035">
      <x:c r="A1035" s="59" t="str">
        <x:v>Base</x:v>
      </x:c>
      <x:c r="B1035" s="59" t="n">
        <x:v>302</x:v>
      </x:c>
      <x:c r="C1035" s="78" t="n">
        <x:f>(('Inputs'!$B$29*(3*302*'Inputs'!$B$12-302^2)/(2*'Inputs'!$B$12^2))-('Inputs'!$B$29*(3*301*'Inputs'!$B$12-301^2)/(2*'Inputs'!$B$12^2)))*'Inputs'!$B$46</x:f>
        <x:v>613966.2694689333</x:v>
      </x:c>
      <x:c r="D1035" s="78" t="n">
        <x:f>IF('Inputs'!$C$46&gt;0,('Inputs'!$B$30*(3*302*'Inputs'!$B$12-302^2)/(2*'Inputs'!$B$12^2))-('Inputs'!$B$30*(3*301*'Inputs'!$B$12-301^2)/(2*'Inputs'!$B$12^2)),0)</x:f>
        <x:v>263128.40120097995</x:v>
      </x:c>
      <x:c r="E1035" s="78" t="n">
        <x:f>C1035+D1035</x:f>
        <x:v>877094.6706699133</x:v>
      </x:c>
      <x:c r="F1035" s="78" t="n">
        <x:f>'Inputs'!$B$13*E1035+(1-'Inputs'!$B$13)/'Inputs'!$B$14*SUM(E980:E1035)</x:f>
        <x:v>887312.3475323691</x:v>
      </x:c>
      <x:c r="G1035" s="78" t="n">
        <x:f>F1035*'Inputs'!$F$46</x:f>
        <x:v>443656.17376618454</x:v>
      </x:c>
      <x:c r="H1035" s="78" t="n">
        <x:f>U1034</x:f>
        <x:v>137992096.52029273</x:v>
      </x:c>
      <x:c r="I1035" s="78" t="n">
        <x:f>V1034</x:f>
        <x:v>211.0124113836877</x:v>
      </x:c>
      <x:c r="J1035" s="79" t="n">
        <x:f>IF(H1035&gt;0,I1035/H1035,0)</x:f>
        <x:v>0.000001529163022410177</x:v>
      </x:c>
      <x:c r="K1035" s="80" t="n">
        <x:f>(H1035*J1035+I1035)*'Inputs'!$D$46*(1+'Inputs'!$G$46)^(B1035/30)</x:f>
        <x:v>422.0248227673754</x:v>
      </x:c>
      <x:c r="L1035" s="80" t="n">
        <x:f>MAX(0,K1035*'Inputs'!$E$46)</x:f>
        <x:v>0</x:v>
      </x:c>
      <x:c r="M1035" s="80" t="n">
        <x:f>MAX(0,-K1035*'Inputs'!$E$46)</x:f>
        <x:v>0</x:v>
      </x:c>
      <x:c r="N1035" s="78" t="n">
        <x:f>H1035*(L1035*(1-'Inputs'!$B$15))/(I1035+L1035*(1-'Inputs'!$B$15))</x:f>
        <x:v>0</x:v>
      </x:c>
      <x:c r="O1035" s="78" t="n">
        <x:f>H1035-N1035</x:f>
        <x:v>137992096.52029273</x:v>
      </x:c>
      <x:c r="P1035" s="78" t="n">
        <x:f>I1035+L1035*(1-'Inputs'!$B$17)</x:f>
        <x:v>211.0124113836877</x:v>
      </x:c>
      <x:c r="Q1035" s="78" t="n">
        <x:f>IF(J1035&gt;0,M1035/J1035,0)</x:f>
        <x:v>0</x:v>
      </x:c>
      <x:c r="R1035" s="78" t="n">
        <x:f>IF(B1035='Inputs'!$H$46,'Inputs'!$B$27*'Inputs'!$I$46,0)</x:f>
        <x:v>0</x:v>
      </x:c>
      <x:c r="S1035" s="78" t="n">
        <x:f>Q1035+G1035+R1035</x:f>
        <x:v>443656.17376618454</x:v>
      </x:c>
      <x:c r="T1035" s="78" t="n">
        <x:f>P1035*(S1035*(1-'Inputs'!$B$15))/(O1035+S1035*(1-'Inputs'!$B$15))</x:f>
        <x:v>0.6695073921897577</x:v>
      </x:c>
      <x:c r="U1035" s="78" t="n">
        <x:f>O1035+S1035*(1-'Inputs'!$B$17)</x:f>
        <x:v>138433967.35734355</x:v>
      </x:c>
      <x:c r="V1035" s="78" t="n">
        <x:f>P1035-T1035</x:f>
        <x:v>210.34290399149793</x:v>
      </x:c>
      <x:c r="W1035" s="79" t="n">
        <x:f>IF(U1035&gt;0,V1035/U1035,0)</x:f>
        <x:v>0.0000015194457545851718</x:v>
      </x:c>
      <x:c r="X1035" s="80" t="n">
        <x:f>W1035*('Inputs'!$B$6-AC1035)</x:f>
        <x:v>1391.8077446597952</x:v>
      </x:c>
      <x:c r="Y1035" s="80" t="n">
        <x:f>2*V1035</x:f>
        <x:v>420.68580798299587</x:v>
      </x:c>
      <x:c r="Z1035" s="80" t="n">
        <x:f>K1035*'Inputs'!$B$16+(G1035+R1035)*J1035*'Inputs'!$B$16</x:f>
        <x:v>2.5362194722977756</x:v>
      </x:c>
      <x:c r="AA1035" s="80" t="n">
        <x:f>K1035*(1+'Inputs'!$E$46)/2*'Inputs'!$B$17</x:f>
        <x:v>0.8491445126104133</x:v>
      </x:c>
      <x:c r="AB1035" s="78" t="n">
        <x:f>(IF(J1035&gt;0,K1035*(1-'Inputs'!$E$46)/2/J1035,0)+G1035+R1035)*'Inputs'!$B$17</x:f>
        <x:v>557085.5239197543</x:v>
      </x:c>
      <x:c r="AC1035" s="78" t="n">
        <x:f>AC1034+AB1035</x:f>
        <x:v>84003005.39865176</x:v>
      </x:c>
      <x:c r="AD1035" s="80" t="n">
        <x:f>Z1035/(1+'Inputs'!$C$46)</x:f>
        <x:v>1.2681097361488878</x:v>
      </x:c>
      <x:c r="AE1035" s="80" t="n">
        <x:f>Z1035-AD1035</x:f>
        <x:v>1.2681097361488878</x:v>
      </x:c>
      <x:c r="AF1035" s="80" t="n">
        <x:f>D1035*W1035</x:f>
        <x:v>0.3998093321156128</x:v>
      </x:c>
      <x:c r="AG1035" s="80" t="n">
        <x:f>C1035*W1035</x:f>
        <x:v>0.9328884416030664</x:v>
      </x:c>
      <x:c r="AH1035" s="80" t="n">
        <x:f>2*'Inputs'!$B$8*'Inputs'!$C$46</x:f>
        <x:v>5000</x:v>
      </x:c>
      <x:c r="AI1035" s="81" t="n">
        <x:f>IF(AH1035&gt;0,(AE1035+AF1035)/AH1035*365,0)</x:f>
        <x:v>0.12175809198330854</x:v>
      </x:c>
      <x:c r="AJ1035" s="81" t="n">
        <x:f>IF('Inputs'!$B$46&gt;0,AG1035/('Inputs'!$B$19*'Inputs'!$B$46)*365,0)</x:f>
        <x:v>0.03405042811851192</x:v>
      </x:c>
      <x:c r="AK1035" s="81" t="n">
        <x:f>W1035/MAX($W$734:W1035)-1</x:f>
        <x:v>-0.9981971134023023</x:v>
      </x:c>
      <x:c r="AL1035" s="83" t="n">
        <x:f>'Inputs'!$B$46</x:f>
        <x:v>1</x:v>
      </x:c>
      <x:c r="AM1035" s="83" t="n">
        <x:f>'Inputs'!$C$46</x:f>
        <x:v>1</x:v>
      </x:c>
      <x:c r="AN1035" s="83" t="n">
        <x:f>'Inputs'!$D$46</x:f>
        <x:v>1</x:v>
      </x:c>
      <x:c r="AO1035" s="81" t="n">
        <x:f>'Inputs'!$E$46</x:f>
        <x:v>0</x:v>
      </x:c>
    </x:row>
    <x:row r="1036">
      <x:c r="A1036" s="59" t="str">
        <x:v>Base</x:v>
      </x:c>
      <x:c r="B1036" s="59" t="n">
        <x:v>303</x:v>
      </x:c>
      <x:c r="C1036" s="78" t="n">
        <x:f>(('Inputs'!$B$29*(3*303*'Inputs'!$B$12-303^2)/(2*'Inputs'!$B$12^2))-('Inputs'!$B$29*(3*302*'Inputs'!$B$12-302^2)/(2*'Inputs'!$B$12^2)))*'Inputs'!$B$46</x:f>
        <x:v>613641.1615687609</x:v>
      </x:c>
      <x:c r="D1036" s="78" t="n">
        <x:f>IF('Inputs'!$C$46&gt;0,('Inputs'!$B$30*(3*303*'Inputs'!$B$12-303^2)/(2*'Inputs'!$B$12^2))-('Inputs'!$B$30*(3*302*'Inputs'!$B$12-302^2)/(2*'Inputs'!$B$12^2)),0)</x:f>
        <x:v>262989.0692437589</x:v>
      </x:c>
      <x:c r="E1036" s="78" t="n">
        <x:f>C1036+D1036</x:f>
        <x:v>876630.2308125198</x:v>
      </x:c>
      <x:c r="F1036" s="78" t="n">
        <x:f>'Inputs'!$B$13*E1036+(1-'Inputs'!$B$13)/'Inputs'!$B$14*SUM(E981:E1036)</x:f>
        <x:v>886847.9076749828</x:v>
      </x:c>
      <x:c r="G1036" s="78" t="n">
        <x:f>F1036*'Inputs'!$F$46</x:f>
        <x:v>443423.9538374914</x:v>
      </x:c>
      <x:c r="H1036" s="78" t="n">
        <x:f>U1035</x:f>
        <x:v>138433967.35734355</x:v>
      </x:c>
      <x:c r="I1036" s="78" t="n">
        <x:f>V1035</x:f>
        <x:v>210.34290399149793</x:v>
      </x:c>
      <x:c r="J1036" s="79" t="n">
        <x:f>IF(H1036&gt;0,I1036/H1036,0)</x:f>
        <x:v>0.0000015194457545851718</x:v>
      </x:c>
      <x:c r="K1036" s="80" t="n">
        <x:f>(H1036*J1036+I1036)*'Inputs'!$D$46*(1+'Inputs'!$G$46)^(B1036/30)</x:f>
        <x:v>420.68580798299587</x:v>
      </x:c>
      <x:c r="L1036" s="80" t="n">
        <x:f>MAX(0,K1036*'Inputs'!$E$46)</x:f>
        <x:v>0</x:v>
      </x:c>
      <x:c r="M1036" s="80" t="n">
        <x:f>MAX(0,-K1036*'Inputs'!$E$46)</x:f>
        <x:v>0</x:v>
      </x:c>
      <x:c r="N1036" s="78" t="n">
        <x:f>H1036*(L1036*(1-'Inputs'!$B$15))/(I1036+L1036*(1-'Inputs'!$B$15))</x:f>
        <x:v>0</x:v>
      </x:c>
      <x:c r="O1036" s="78" t="n">
        <x:f>H1036-N1036</x:f>
        <x:v>138433967.35734355</x:v>
      </x:c>
      <x:c r="P1036" s="78" t="n">
        <x:f>I1036+L1036*(1-'Inputs'!$B$17)</x:f>
        <x:v>210.34290399149793</x:v>
      </x:c>
      <x:c r="Q1036" s="78" t="n">
        <x:f>IF(J1036&gt;0,M1036/J1036,0)</x:f>
        <x:v>0</x:v>
      </x:c>
      <x:c r="R1036" s="78" t="n">
        <x:f>IF(B1036='Inputs'!$H$46,'Inputs'!$B$27*'Inputs'!$I$46,0)</x:f>
        <x:v>0</x:v>
      </x:c>
      <x:c r="S1036" s="78" t="n">
        <x:f>Q1036+G1036+R1036</x:f>
        <x:v>443423.9538374914</x:v>
      </x:c>
      <x:c r="T1036" s="78" t="n">
        <x:f>P1036*(S1036*(1-'Inputs'!$B$15))/(O1036+S1036*(1-'Inputs'!$B$15))</x:f>
        <x:v>0.6649125450712341</x:v>
      </x:c>
      <x:c r="U1036" s="78" t="n">
        <x:f>O1036+S1036*(1-'Inputs'!$B$17)</x:f>
        <x:v>138875606.90895233</x:v>
      </x:c>
      <x:c r="V1036" s="78" t="n">
        <x:f>P1036-T1036</x:f>
        <x:v>209.6779914464267</x:v>
      </x:c>
      <x:c r="W1036" s="79" t="n">
        <x:f>IF(U1036&gt;0,V1036/U1036,0)</x:f>
        <x:v>0.0000015098259234531578</x:v>
      </x:c>
      <x:c r="X1036" s="80" t="n">
        <x:f>W1036*('Inputs'!$B$6-AC1036)</x:f>
        <x:v>1382.1522227992348</x:v>
      </x:c>
      <x:c r="Y1036" s="80" t="n">
        <x:f>2*V1036</x:f>
        <x:v>419.3559828928534</x:v>
      </x:c>
      <x:c r="Z1036" s="80" t="n">
        <x:f>K1036*'Inputs'!$B$16+(G1036+R1036)*J1036*'Inputs'!$B$16</x:f>
        <x:v>2.5281573997628137</x:v>
      </x:c>
      <x:c r="AA1036" s="80" t="n">
        <x:f>K1036*(1+'Inputs'!$E$46)/2*'Inputs'!$B$17</x:f>
        <x:v>0.8464503178732312</x:v>
      </x:c>
      <x:c r="AB1036" s="78" t="n">
        <x:f>(IF(J1036&gt;0,K1036*(1-'Inputs'!$E$46)/2/J1036,0)+G1036+R1036)*'Inputs'!$B$17</x:f>
        <x:v>558862.7416948936</x:v>
      </x:c>
      <x:c r="AC1036" s="78" t="n">
        <x:f>AC1035+AB1036</x:f>
        <x:v>84561868.14034666</x:v>
      </x:c>
      <x:c r="AD1036" s="80" t="n">
        <x:f>Z1036/(1+'Inputs'!$C$46)</x:f>
        <x:v>1.2640786998814069</x:v>
      </x:c>
      <x:c r="AE1036" s="80" t="n">
        <x:f>Z1036-AD1036</x:f>
        <x:v>1.2640786998814069</x:v>
      </x:c>
      <x:c r="AF1036" s="80" t="n">
        <x:f>D1036*W1036</x:f>
        <x:v>0.39706771432904475</x:v>
      </x:c>
      <x:c r="AG1036" s="80" t="n">
        <x:f>C1036*W1036</x:f>
        <x:v>0.9264913334344228</x:v>
      </x:c>
      <x:c r="AH1036" s="80" t="n">
        <x:f>2*'Inputs'!$B$8*'Inputs'!$C$46</x:f>
        <x:v>5000</x:v>
      </x:c>
      <x:c r="AI1036" s="81" t="n">
        <x:f>IF(AH1036&gt;0,(AE1036+AF1036)/AH1036*365,0)</x:f>
        <x:v>0.12126368823736297</x:v>
      </x:c>
      <x:c r="AJ1036" s="81" t="n">
        <x:f>IF('Inputs'!$B$46&gt;0,AG1036/('Inputs'!$B$19*'Inputs'!$B$46)*365,0)</x:f>
        <x:v>0.03381693367035644</x:v>
      </x:c>
      <x:c r="AK1036" s="81" t="n">
        <x:f>W1036/MAX($W$734:W1036)-1</x:f>
        <x:v>-0.9982085277384625</x:v>
      </x:c>
      <x:c r="AL1036" s="83" t="n">
        <x:f>'Inputs'!$B$46</x:f>
        <x:v>1</x:v>
      </x:c>
      <x:c r="AM1036" s="83" t="n">
        <x:f>'Inputs'!$C$46</x:f>
        <x:v>1</x:v>
      </x:c>
      <x:c r="AN1036" s="83" t="n">
        <x:f>'Inputs'!$D$46</x:f>
        <x:v>1</x:v>
      </x:c>
      <x:c r="AO1036" s="81" t="n">
        <x:f>'Inputs'!$E$46</x:f>
        <x:v>0</x:v>
      </x:c>
    </x:row>
    <x:row r="1037">
      <x:c r="A1037" s="59" t="str">
        <x:v>Base</x:v>
      </x:c>
      <x:c r="B1037" s="59" t="n">
        <x:v>304</x:v>
      </x:c>
      <x:c r="C1037" s="78" t="n">
        <x:f>(('Inputs'!$B$29*(3*304*'Inputs'!$B$12-304^2)/(2*'Inputs'!$B$12^2))-('Inputs'!$B$29*(3*303*'Inputs'!$B$12-303^2)/(2*'Inputs'!$B$12^2)))*'Inputs'!$B$46</x:f>
        <x:v>613316.0536686182</x:v>
      </x:c>
      <x:c r="D1037" s="78" t="n">
        <x:f>IF('Inputs'!$C$46&gt;0,('Inputs'!$B$30*(3*304*'Inputs'!$B$12-304^2)/(2*'Inputs'!$B$12^2))-('Inputs'!$B$30*(3*303*'Inputs'!$B$12-303^2)/(2*'Inputs'!$B$12^2)),0)</x:f>
        <x:v>262849.7372865379</x:v>
      </x:c>
      <x:c r="E1037" s="78" t="n">
        <x:f>C1037+D1037</x:f>
        <x:v>876165.7909551561</x:v>
      </x:c>
      <x:c r="F1037" s="78" t="n">
        <x:f>'Inputs'!$B$13*E1037+(1-'Inputs'!$B$13)/'Inputs'!$B$14*SUM(E982:E1037)</x:f>
        <x:v>886383.4678176027</x:v>
      </x:c>
      <x:c r="G1037" s="78" t="n">
        <x:f>F1037*'Inputs'!$F$46</x:f>
        <x:v>443191.73390880134</x:v>
      </x:c>
      <x:c r="H1037" s="78" t="n">
        <x:f>U1036</x:f>
        <x:v>138875606.90895233</x:v>
      </x:c>
      <x:c r="I1037" s="78" t="n">
        <x:f>V1036</x:f>
        <x:v>209.6779914464267</x:v>
      </x:c>
      <x:c r="J1037" s="79" t="n">
        <x:f>IF(H1037&gt;0,I1037/H1037,0)</x:f>
        <x:v>0.0000015098259234531578</x:v>
      </x:c>
      <x:c r="K1037" s="80" t="n">
        <x:f>(H1037*J1037+I1037)*'Inputs'!$D$46*(1+'Inputs'!$G$46)^(B1037/30)</x:f>
        <x:v>419.3559828928534</x:v>
      </x:c>
      <x:c r="L1037" s="80" t="n">
        <x:f>MAX(0,K1037*'Inputs'!$E$46)</x:f>
        <x:v>0</x:v>
      </x:c>
      <x:c r="M1037" s="80" t="n">
        <x:f>MAX(0,-K1037*'Inputs'!$E$46)</x:f>
        <x:v>0</x:v>
      </x:c>
      <x:c r="N1037" s="78" t="n">
        <x:f>H1037*(L1037*(1-'Inputs'!$B$15))/(I1037+L1037*(1-'Inputs'!$B$15))</x:f>
        <x:v>0</x:v>
      </x:c>
      <x:c r="O1037" s="78" t="n">
        <x:f>H1037-N1037</x:f>
        <x:v>138875606.90895233</x:v>
      </x:c>
      <x:c r="P1037" s="78" t="n">
        <x:f>I1037+L1037*(1-'Inputs'!$B$17)</x:f>
        <x:v>209.6779914464267</x:v>
      </x:c>
      <x:c r="Q1037" s="78" t="n">
        <x:f>IF(J1037&gt;0,M1037/J1037,0)</x:f>
        <x:v>0</x:v>
      </x:c>
      <x:c r="R1037" s="78" t="n">
        <x:f>IF(B1037='Inputs'!$H$46,'Inputs'!$B$27*'Inputs'!$I$46,0)</x:f>
        <x:v>0</x:v>
      </x:c>
      <x:c r="S1037" s="78" t="n">
        <x:f>Q1037+G1037+R1037</x:f>
        <x:v>443191.73390880134</x:v>
      </x:c>
      <x:c r="T1037" s="78" t="n">
        <x:f>P1037*(S1037*(1-'Inputs'!$B$15))/(O1037+S1037*(1-'Inputs'!$B$15))</x:f>
        <x:v>0.6603646072410868</x:v>
      </x:c>
      <x:c r="U1037" s="78" t="n">
        <x:f>O1037+S1037*(1-'Inputs'!$B$17)</x:f>
        <x:v>139317015.17511904</x:v>
      </x:c>
      <x:c r="V1037" s="78" t="n">
        <x:f>P1037-T1037</x:f>
        <x:v>209.0176268391856</x:v>
      </x:c>
      <x:c r="W1037" s="79" t="n">
        <x:f>IF(U1037&gt;0,V1037/U1037,0)</x:f>
        <x:v>0.000001500302217761801</x:v>
      </x:c>
      <x:c r="X1037" s="80" t="n">
        <x:f>W1037*('Inputs'!$B$6-AC1037)</x:f>
        <x:v>1372.5927314745697</x:v>
      </x:c>
      <x:c r="Y1037" s="80" t="n">
        <x:f>2*V1037</x:f>
        <x:v>418.0352536783712</x:v>
      </x:c>
      <x:c r="Z1037" s="80" t="n">
        <x:f>K1037*'Inputs'!$B$16+(G1037+R1037)*J1037*'Inputs'!$B$16</x:f>
        <x:v>2.5201507515706143</x:v>
      </x:c>
      <x:c r="AA1037" s="80" t="n">
        <x:f>K1037*(1+'Inputs'!$E$46)/2*'Inputs'!$B$17</x:f>
        <x:v>0.8437746134665058</x:v>
      </x:c>
      <x:c r="AB1037" s="78" t="n">
        <x:f>(IF(J1037&gt;0,K1037*(1-'Inputs'!$E$46)/2/J1037,0)+G1037+R1037)*'Inputs'!$B$17</x:f>
        <x:v>560639.028743908</x:v>
      </x:c>
      <x:c r="AC1037" s="78" t="n">
        <x:f>AC1036+AB1037</x:f>
        <x:v>85122507.16909057</x:v>
      </x:c>
      <x:c r="AD1037" s="80" t="n">
        <x:f>Z1037/(1+'Inputs'!$C$46)</x:f>
        <x:v>1.2600753757853072</x:v>
      </x:c>
      <x:c r="AE1037" s="80" t="n">
        <x:f>Z1037-AD1037</x:f>
        <x:v>1.2600753757853072</x:v>
      </x:c>
      <x:c r="AF1037" s="80" t="n">
        <x:f>D1037*W1037</x:f>
        <x:v>0.39435404378909955</x:v>
      </x:c>
      <x:c r="AG1037" s="80" t="n">
        <x:f>C1037*W1037</x:f>
        <x:v>0.9201594355079437</x:v>
      </x:c>
      <x:c r="AH1037" s="80" t="n">
        <x:f>2*'Inputs'!$B$8*'Inputs'!$C$46</x:f>
        <x:v>5000</x:v>
      </x:c>
      <x:c r="AI1037" s="81" t="n">
        <x:f>IF(AH1037&gt;0,(AE1037+AF1037)/AH1037*365,0)</x:f>
        <x:v>0.12077334762893169</x:v>
      </x:c>
      <x:c r="AJ1037" s="81" t="n">
        <x:f>IF('Inputs'!$B$46&gt;0,AG1037/('Inputs'!$B$19*'Inputs'!$B$46)*365,0)</x:f>
        <x:v>0.03358581939603994</x:v>
      </x:c>
      <x:c r="AK1037" s="81" t="n">
        <x:f>W1037/MAX($W$734:W1037)-1</x:f>
        <x:v>-0.9982198280177252</x:v>
      </x:c>
      <x:c r="AL1037" s="83" t="n">
        <x:f>'Inputs'!$B$46</x:f>
        <x:v>1</x:v>
      </x:c>
      <x:c r="AM1037" s="83" t="n">
        <x:f>'Inputs'!$C$46</x:f>
        <x:v>1</x:v>
      </x:c>
      <x:c r="AN1037" s="83" t="n">
        <x:f>'Inputs'!$D$46</x:f>
        <x:v>1</x:v>
      </x:c>
      <x:c r="AO1037" s="81" t="n">
        <x:f>'Inputs'!$E$46</x:f>
        <x:v>0</x:v>
      </x:c>
    </x:row>
    <x:row r="1038">
      <x:c r="A1038" s="59" t="str">
        <x:v>Base</x:v>
      </x:c>
      <x:c r="B1038" s="59" t="n">
        <x:v>305</x:v>
      </x:c>
      <x:c r="C1038" s="78" t="n">
        <x:f>(('Inputs'!$B$29*(3*305*'Inputs'!$B$12-305^2)/(2*'Inputs'!$B$12^2))-('Inputs'!$B$29*(3*304*'Inputs'!$B$12-304^2)/(2*'Inputs'!$B$12^2)))*'Inputs'!$B$46</x:f>
        <x:v>612990.9457684457</x:v>
      </x:c>
      <x:c r="D1038" s="78" t="n">
        <x:f>IF('Inputs'!$C$46&gt;0,('Inputs'!$B$30*(3*305*'Inputs'!$B$12-305^2)/(2*'Inputs'!$B$12^2))-('Inputs'!$B$30*(3*304*'Inputs'!$B$12-304^2)/(2*'Inputs'!$B$12^2)),0)</x:f>
        <x:v>262710.40532933176</x:v>
      </x:c>
      <x:c r="E1038" s="78" t="n">
        <x:f>C1038+D1038</x:f>
        <x:v>875701.3510977775</x:v>
      </x:c>
      <x:c r="F1038" s="78" t="n">
        <x:f>'Inputs'!$B$13*E1038+(1-'Inputs'!$B$13)/'Inputs'!$B$14*SUM(E983:E1038)</x:f>
        <x:v>885919.0279602198</x:v>
      </x:c>
      <x:c r="G1038" s="78" t="n">
        <x:f>F1038*'Inputs'!$F$46</x:f>
        <x:v>442959.5139801099</x:v>
      </x:c>
      <x:c r="H1038" s="78" t="n">
        <x:f>U1037</x:f>
        <x:v>139317015.17511904</x:v>
      </x:c>
      <x:c r="I1038" s="78" t="n">
        <x:f>V1037</x:f>
        <x:v>209.0176268391856</x:v>
      </x:c>
      <x:c r="J1038" s="79" t="n">
        <x:f>IF(H1038&gt;0,I1038/H1038,0)</x:f>
        <x:v>0.000001500302217761801</x:v>
      </x:c>
      <x:c r="K1038" s="80" t="n">
        <x:f>(H1038*J1038+I1038)*'Inputs'!$D$46*(1+'Inputs'!$G$46)^(B1038/30)</x:f>
        <x:v>418.0352536783712</x:v>
      </x:c>
      <x:c r="L1038" s="80" t="n">
        <x:f>MAX(0,K1038*'Inputs'!$E$46)</x:f>
        <x:v>0</x:v>
      </x:c>
      <x:c r="M1038" s="80" t="n">
        <x:f>MAX(0,-K1038*'Inputs'!$E$46)</x:f>
        <x:v>0</x:v>
      </x:c>
      <x:c r="N1038" s="78" t="n">
        <x:f>H1038*(L1038*(1-'Inputs'!$B$15))/(I1038+L1038*(1-'Inputs'!$B$15))</x:f>
        <x:v>0</x:v>
      </x:c>
      <x:c r="O1038" s="78" t="n">
        <x:f>H1038-N1038</x:f>
        <x:v>139317015.17511904</x:v>
      </x:c>
      <x:c r="P1038" s="78" t="n">
        <x:f>I1038+L1038*(1-'Inputs'!$B$17)</x:f>
        <x:v>209.0176268391856</x:v>
      </x:c>
      <x:c r="Q1038" s="78" t="n">
        <x:f>IF(J1038&gt;0,M1038/J1038,0)</x:f>
        <x:v>0</x:v>
      </x:c>
      <x:c r="R1038" s="78" t="n">
        <x:f>IF(B1038='Inputs'!$H$46,'Inputs'!$B$27*'Inputs'!$I$46,0)</x:f>
        <x:v>0</x:v>
      </x:c>
      <x:c r="S1038" s="78" t="n">
        <x:f>Q1038+G1038+R1038</x:f>
        <x:v>442959.5139801099</x:v>
      </x:c>
      <x:c r="T1038" s="78" t="n">
        <x:f>P1038*(S1038*(1-'Inputs'!$B$15))/(O1038+S1038*(1-'Inputs'!$B$15))</x:f>
        <x:v>0.6558629417699137</x:v>
      </x:c>
      <x:c r="U1038" s="78" t="n">
        <x:f>O1038+S1038*(1-'Inputs'!$B$17)</x:f>
        <x:v>139758192.1558437</x:v>
      </x:c>
      <x:c r="V1038" s="78" t="n">
        <x:f>P1038-T1038</x:f>
        <x:v>208.36176389741567</x:v>
      </x:c>
      <x:c r="W1038" s="79" t="n">
        <x:f>IF(U1038&gt;0,V1038/U1038,0)</x:f>
        <x:v>0.0000014908733483406285</x:v>
      </x:c>
      <x:c r="X1038" s="80" t="n">
        <x:f>W1038*('Inputs'!$B$6-AC1038)</x:f>
        <x:v>1363.1279824408778</x:v>
      </x:c>
      <x:c r="Y1038" s="80" t="n">
        <x:f>2*V1038</x:f>
        <x:v>416.72352779483134</x:v>
      </x:c>
      <x:c r="Z1038" s="80" t="n">
        <x:f>K1038*'Inputs'!$B$16+(G1038+R1038)*J1038*'Inputs'!$B$16</x:f>
        <x:v>2.5121989609174453</x:v>
      </x:c>
      <x:c r="AA1038" s="80" t="n">
        <x:f>K1038*(1+'Inputs'!$E$46)/2*'Inputs'!$B$17</x:f>
        <x:v>0.8411172106204653</x:v>
      </x:c>
      <x:c r="AB1038" s="78" t="n">
        <x:f>(IF(J1038&gt;0,K1038*(1-'Inputs'!$E$46)/2/J1038,0)+G1038+R1038)*'Inputs'!$B$17</x:f>
        <x:v>562414.3850667975</x:v>
      </x:c>
      <x:c r="AC1038" s="78" t="n">
        <x:f>AC1037+AB1038</x:f>
        <x:v>85684921.55415736</x:v>
      </x:c>
      <x:c r="AD1038" s="80" t="n">
        <x:f>Z1038/(1+'Inputs'!$C$46)</x:f>
        <x:v>1.2560994804587227</x:v>
      </x:c>
      <x:c r="AE1038" s="80" t="n">
        <x:f>Z1038-AD1038</x:f>
        <x:v>1.2560994804587227</x:v>
      </x:c>
      <x:c r="AF1038" s="80" t="n">
        <x:f>D1038*W1038</x:f>
        <x:v>0.39166794163726454</x:v>
      </x:c>
      <x:c r="AG1038" s="80" t="n">
        <x:f>C1038*W1038</x:f>
        <x:v>0.9138918638202913</x:v>
      </x:c>
      <x:c r="AH1038" s="80" t="n">
        <x:f>2*'Inputs'!$B$8*'Inputs'!$C$46</x:f>
        <x:v>5000</x:v>
      </x:c>
      <x:c r="AI1038" s="81" t="n">
        <x:f>IF(AH1038&gt;0,(AE1038+AF1038)/AH1038*365,0)</x:f>
        <x:v>0.12028702181300707</x:v>
      </x:c>
      <x:c r="AJ1038" s="81" t="n">
        <x:f>IF('Inputs'!$B$46&gt;0,AG1038/('Inputs'!$B$19*'Inputs'!$B$46)*365,0)</x:f>
        <x:v>0.033357053029440635</x:v>
      </x:c>
      <x:c r="AK1038" s="81" t="n">
        <x:f>W1038/MAX($W$734:W1038)-1</x:f>
        <x:v>-0.9982310157697457</x:v>
      </x:c>
      <x:c r="AL1038" s="83" t="n">
        <x:f>'Inputs'!$B$46</x:f>
        <x:v>1</x:v>
      </x:c>
      <x:c r="AM1038" s="83" t="n">
        <x:f>'Inputs'!$C$46</x:f>
        <x:v>1</x:v>
      </x:c>
      <x:c r="AN1038" s="83" t="n">
        <x:f>'Inputs'!$D$46</x:f>
        <x:v>1</x:v>
      </x:c>
      <x:c r="AO1038" s="81" t="n">
        <x:f>'Inputs'!$E$46</x:f>
        <x:v>0</x:v>
      </x:c>
    </x:row>
    <x:row r="1039">
      <x:c r="A1039" s="59" t="str">
        <x:v>Base</x:v>
      </x:c>
      <x:c r="B1039" s="59" t="n">
        <x:v>306</x:v>
      </x:c>
      <x:c r="C1039" s="78" t="n">
        <x:f>(('Inputs'!$B$29*(3*306*'Inputs'!$B$12-306^2)/(2*'Inputs'!$B$12^2))-('Inputs'!$B$29*(3*305*'Inputs'!$B$12-305^2)/(2*'Inputs'!$B$12^2)))*'Inputs'!$B$46</x:f>
        <x:v>612665.8378682733</x:v>
      </x:c>
      <x:c r="D1039" s="78" t="n">
        <x:f>IF('Inputs'!$C$46&gt;0,('Inputs'!$B$30*(3*306*'Inputs'!$B$12-306^2)/(2*'Inputs'!$B$12^2))-('Inputs'!$B$30*(3*305*'Inputs'!$B$12-305^2)/(2*'Inputs'!$B$12^2)),0)</x:f>
        <x:v>262571.0733721107</x:v>
      </x:c>
      <x:c r="E1039" s="78" t="n">
        <x:f>C1039+D1039</x:f>
        <x:v>875236.911240384</x:v>
      </x:c>
      <x:c r="F1039" s="78" t="n">
        <x:f>'Inputs'!$B$13*E1039+(1-'Inputs'!$B$13)/'Inputs'!$B$14*SUM(E984:E1039)</x:f>
        <x:v>885454.5881028338</x:v>
      </x:c>
      <x:c r="G1039" s="78" t="n">
        <x:f>F1039*'Inputs'!$F$46</x:f>
        <x:v>442727.2940514169</x:v>
      </x:c>
      <x:c r="H1039" s="78" t="n">
        <x:f>U1038</x:f>
        <x:v>139758192.1558437</x:v>
      </x:c>
      <x:c r="I1039" s="78" t="n">
        <x:f>V1038</x:f>
        <x:v>208.36176389741567</x:v>
      </x:c>
      <x:c r="J1039" s="79" t="n">
        <x:f>IF(H1039&gt;0,I1039/H1039,0)</x:f>
        <x:v>0.0000014908733483406285</x:v>
      </x:c>
      <x:c r="K1039" s="80" t="n">
        <x:f>(H1039*J1039+I1039)*'Inputs'!$D$46*(1+'Inputs'!$G$46)^(B1039/30)</x:f>
        <x:v>416.72352779483134</x:v>
      </x:c>
      <x:c r="L1039" s="80" t="n">
        <x:f>MAX(0,K1039*'Inputs'!$E$46)</x:f>
        <x:v>0</x:v>
      </x:c>
      <x:c r="M1039" s="80" t="n">
        <x:f>MAX(0,-K1039*'Inputs'!$E$46)</x:f>
        <x:v>0</x:v>
      </x:c>
      <x:c r="N1039" s="78" t="n">
        <x:f>H1039*(L1039*(1-'Inputs'!$B$15))/(I1039+L1039*(1-'Inputs'!$B$15))</x:f>
        <x:v>0</x:v>
      </x:c>
      <x:c r="O1039" s="78" t="n">
        <x:f>H1039-N1039</x:f>
        <x:v>139758192.1558437</x:v>
      </x:c>
      <x:c r="P1039" s="78" t="n">
        <x:f>I1039+L1039*(1-'Inputs'!$B$17)</x:f>
        <x:v>208.36176389741567</x:v>
      </x:c>
      <x:c r="Q1039" s="78" t="n">
        <x:f>IF(J1039&gt;0,M1039/J1039,0)</x:f>
        <x:v>0</x:v>
      </x:c>
      <x:c r="R1039" s="78" t="n">
        <x:f>IF(B1039='Inputs'!$H$46,'Inputs'!$B$27*'Inputs'!$I$46,0)</x:f>
        <x:v>0</x:v>
      </x:c>
      <x:c r="S1039" s="78" t="n">
        <x:f>Q1039+G1039+R1039</x:f>
        <x:v>442727.2940514169</x:v>
      </x:c>
      <x:c r="T1039" s="78" t="n">
        <x:f>P1039*(S1039*(1-'Inputs'!$B$15))/(O1039+S1039*(1-'Inputs'!$B$15))</x:f>
        <x:v>0.6514069225046856</x:v>
      </x:c>
      <x:c r="U1039" s="78" t="n">
        <x:f>O1039+S1039*(1-'Inputs'!$B$17)</x:f>
        <x:v>140199137.8511263</x:v>
      </x:c>
      <x:c r="V1039" s="78" t="n">
        <x:f>P1039-T1039</x:f>
        <x:v>207.71035697491098</x:v>
      </x:c>
      <x:c r="W1039" s="79" t="n">
        <x:f>IF(U1039&gt;0,V1039/U1039,0)</x:f>
        <x:v>0.0000014815380476552788</x:v>
      </x:c>
      <x:c r="X1039" s="80" t="n">
        <x:f>W1039*('Inputs'!$B$6-AC1039)</x:f>
        <x:v>1353.7567090733774</x:v>
      </x:c>
      <x:c r="Y1039" s="80" t="n">
        <x:f>2*V1039</x:f>
        <x:v>415.42071394982196</x:v>
      </x:c>
      <x:c r="Z1039" s="80" t="n">
        <x:f>K1039*'Inputs'!$B$16+(G1039+R1039)*J1039*'Inputs'!$B$16</x:f>
        <x:v>2.5043014687086935</x:v>
      </x:c>
      <x:c r="AA1039" s="80" t="n">
        <x:f>K1039*(1+'Inputs'!$E$46)/2*'Inputs'!$B$17</x:f>
        <x:v>0.8384779231284334</x:v>
      </x:c>
      <x:c r="AB1039" s="78" t="n">
        <x:f>(IF(J1039&gt;0,K1039*(1-'Inputs'!$E$46)/2/J1039,0)+G1039+R1039)*'Inputs'!$B$17</x:f>
        <x:v>564188.8106635619</x:v>
      </x:c>
      <x:c r="AC1039" s="78" t="n">
        <x:f>AC1038+AB1039</x:f>
        <x:v>86249110.36482093</x:v>
      </x:c>
      <x:c r="AD1039" s="80" t="n">
        <x:f>Z1039/(1+'Inputs'!$C$46)</x:f>
        <x:v>1.2521507343543468</x:v>
      </x:c>
      <x:c r="AE1039" s="80" t="n">
        <x:f>Z1039-AD1039</x:f>
        <x:v>1.2521507343543468</x:v>
      </x:c>
      <x:c r="AF1039" s="80" t="n">
        <x:f>D1039*W1039</x:f>
        <x:v>0.3890090354144679</x:v>
      </x:c>
      <x:c r="AG1039" s="80" t="n">
        <x:f>C1039*W1039</x:f>
        <x:v>0.9076877493004472</x:v>
      </x:c>
      <x:c r="AH1039" s="80" t="n">
        <x:f>2*'Inputs'!$B$8*'Inputs'!$C$46</x:f>
        <x:v>5000</x:v>
      </x:c>
      <x:c r="AI1039" s="81" t="n">
        <x:f>IF(AH1039&gt;0,(AE1039+AF1039)/AH1039*365,0)</x:f>
        <x:v>0.11980466319312347</x:v>
      </x:c>
      <x:c r="AJ1039" s="81" t="n">
        <x:f>IF('Inputs'!$B$46&gt;0,AG1039/('Inputs'!$B$19*'Inputs'!$B$46)*365,0)</x:f>
        <x:v>0.03313060284946632</x:v>
      </x:c>
      <x:c r="AK1039" s="81" t="n">
        <x:f>W1039/MAX($W$734:W1039)-1</x:f>
        <x:v>-0.998242092498507</x:v>
      </x:c>
      <x:c r="AL1039" s="83" t="n">
        <x:f>'Inputs'!$B$46</x:f>
        <x:v>1</x:v>
      </x:c>
      <x:c r="AM1039" s="83" t="n">
        <x:f>'Inputs'!$C$46</x:f>
        <x:v>1</x:v>
      </x:c>
      <x:c r="AN1039" s="83" t="n">
        <x:f>'Inputs'!$D$46</x:f>
        <x:v>1</x:v>
      </x:c>
      <x:c r="AO1039" s="81" t="n">
        <x:f>'Inputs'!$E$46</x:f>
        <x:v>0</x:v>
      </x:c>
    </x:row>
    <x:row r="1040">
      <x:c r="A1040" s="59" t="str">
        <x:v>Base</x:v>
      </x:c>
      <x:c r="B1040" s="59" t="n">
        <x:v>307</x:v>
      </x:c>
      <x:c r="C1040" s="78" t="n">
        <x:f>(('Inputs'!$B$29*(3*307*'Inputs'!$B$12-307^2)/(2*'Inputs'!$B$12^2))-('Inputs'!$B$29*(3*306*'Inputs'!$B$12-306^2)/(2*'Inputs'!$B$12^2)))*'Inputs'!$B$46</x:f>
        <x:v>612340.7299681008</x:v>
      </x:c>
      <x:c r="D1040" s="78" t="n">
        <x:f>IF('Inputs'!$C$46&gt;0,('Inputs'!$B$30*(3*307*'Inputs'!$B$12-307^2)/(2*'Inputs'!$B$12^2))-('Inputs'!$B$30*(3*306*'Inputs'!$B$12-306^2)/(2*'Inputs'!$B$12^2)),0)</x:f>
        <x:v>262431.7414149046</x:v>
      </x:c>
      <x:c r="E1040" s="78" t="n">
        <x:f>C1040+D1040</x:f>
        <x:v>874772.4713830054</x:v>
      </x:c>
      <x:c r="F1040" s="78" t="n">
        <x:f>'Inputs'!$B$13*E1040+(1-'Inputs'!$B$13)/'Inputs'!$B$14*SUM(E985:E1040)</x:f>
        <x:v>884990.1482454509</x:v>
      </x:c>
      <x:c r="G1040" s="78" t="n">
        <x:f>F1040*'Inputs'!$F$46</x:f>
        <x:v>442495.07412272546</x:v>
      </x:c>
      <x:c r="H1040" s="78" t="n">
        <x:f>U1039</x:f>
        <x:v>140199137.8511263</x:v>
      </x:c>
      <x:c r="I1040" s="78" t="n">
        <x:f>V1039</x:f>
        <x:v>207.71035697491098</x:v>
      </x:c>
      <x:c r="J1040" s="79" t="n">
        <x:f>IF(H1040&gt;0,I1040/H1040,0)</x:f>
        <x:v>0.0000014815380476552788</x:v>
      </x:c>
      <x:c r="K1040" s="80" t="n">
        <x:f>(H1040*J1040+I1040)*'Inputs'!$D$46*(1+'Inputs'!$G$46)^(B1040/30)</x:f>
        <x:v>415.42071394982196</x:v>
      </x:c>
      <x:c r="L1040" s="80" t="n">
        <x:f>MAX(0,K1040*'Inputs'!$E$46)</x:f>
        <x:v>0</x:v>
      </x:c>
      <x:c r="M1040" s="80" t="n">
        <x:f>MAX(0,-K1040*'Inputs'!$E$46)</x:f>
        <x:v>0</x:v>
      </x:c>
      <x:c r="N1040" s="78" t="n">
        <x:f>H1040*(L1040*(1-'Inputs'!$B$15))/(I1040+L1040*(1-'Inputs'!$B$15))</x:f>
        <x:v>0</x:v>
      </x:c>
      <x:c r="O1040" s="78" t="n">
        <x:f>H1040-N1040</x:f>
        <x:v>140199137.8511263</x:v>
      </x:c>
      <x:c r="P1040" s="78" t="n">
        <x:f>I1040+L1040*(1-'Inputs'!$B$17)</x:f>
        <x:v>207.71035697491098</x:v>
      </x:c>
      <x:c r="Q1040" s="78" t="n">
        <x:f>IF(J1040&gt;0,M1040/J1040,0)</x:f>
        <x:v>0</x:v>
      </x:c>
      <x:c r="R1040" s="78" t="n">
        <x:f>IF(B1040='Inputs'!$H$46,'Inputs'!$B$27*'Inputs'!$I$46,0)</x:f>
        <x:v>0</x:v>
      </x:c>
      <x:c r="S1040" s="78" t="n">
        <x:f>Q1040+G1040+R1040</x:f>
        <x:v>442495.07412272546</x:v>
      </x:c>
      <x:c r="T1040" s="78" t="n">
        <x:f>P1040*(S1040*(1-'Inputs'!$B$15))/(O1040+S1040*(1-'Inputs'!$B$15))</x:f>
        <x:v>0.6469959338506467</x:v>
      </x:c>
      <x:c r="U1040" s="78" t="n">
        <x:f>O1040+S1040*(1-'Inputs'!$B$17)</x:f>
        <x:v>140639852.26096687</x:v>
      </x:c>
      <x:c r="V1040" s="78" t="n">
        <x:f>P1040-T1040</x:f>
        <x:v>207.06336104106035</x:v>
      </x:c>
      <x:c r="W1040" s="79" t="n">
        <x:f>IF(U1040&gt;0,V1040/U1040,0)</x:f>
        <x:v>0.0000014722950693722298</x:v>
      </x:c>
      <x:c r="X1040" s="80" t="n">
        <x:f>W1040*('Inputs'!$B$6-AC1040)</x:f>
        <x:v>1344.477665932474</x:v>
      </x:c>
      <x:c r="Y1040" s="80" t="n">
        <x:f>2*V1040</x:f>
        <x:v>414.1267220821207</x:v>
      </x:c>
      <x:c r="Z1040" s="80" t="n">
        <x:f>K1040*'Inputs'!$B$16+(G1040+R1040)*J1040*'Inputs'!$B$16</x:f>
        <x:v>2.496457723428209</x:v>
      </x:c>
      <x:c r="AA1040" s="80" t="n">
        <x:f>K1040*(1+'Inputs'!$E$46)/2*'Inputs'!$B$17</x:f>
        <x:v>0.8358565673034648</x:v>
      </x:c>
      <x:c r="AB1040" s="78" t="n">
        <x:f>(IF(J1040&gt;0,K1040*(1-'Inputs'!$E$46)/2/J1040,0)+G1040+R1040)*'Inputs'!$B$17</x:f>
        <x:v>565962.3055342014</x:v>
      </x:c>
      <x:c r="AC1040" s="78" t="n">
        <x:f>AC1039+AB1040</x:f>
        <x:v>86815072.67035513</x:v>
      </x:c>
      <x:c r="AD1040" s="80" t="n">
        <x:f>Z1040/(1+'Inputs'!$C$46)</x:f>
        <x:v>1.2482288617141044</x:v>
      </x:c>
      <x:c r="AE1040" s="80" t="n">
        <x:f>Z1040-AD1040</x:f>
        <x:v>1.2482288617141044</x:v>
      </x:c>
      <x:c r="AF1040" s="80" t="n">
        <x:f>D1040*W1040</x:f>
        <x:v>0.386376958931932</x:v>
      </x:c>
      <x:c r="AG1040" s="80" t="n">
        <x:f>C1040*W1040</x:f>
        <x:v>0.9015462375078268</x:v>
      </x:c>
      <x:c r="AH1040" s="80" t="n">
        <x:f>2*'Inputs'!$B$8*'Inputs'!$C$46</x:f>
        <x:v>5000</x:v>
      </x:c>
      <x:c r="AI1040" s="81" t="n">
        <x:f>IF(AH1040&gt;0,(AE1040+AF1040)/AH1040*365,0)</x:f>
        <x:v>0.11932622490716067</x:v>
      </x:c>
      <x:c r="AJ1040" s="81" t="n">
        <x:f>IF('Inputs'!$B$46&gt;0,AG1040/('Inputs'!$B$19*'Inputs'!$B$46)*365,0)</x:f>
        <x:v>0.03290643766903568</x:v>
      </x:c>
      <x:c r="AK1040" s="81" t="n">
        <x:f>W1040/MAX($W$734:W1040)-1</x:f>
        <x:v>-0.9982530596828366</x:v>
      </x:c>
      <x:c r="AL1040" s="83" t="n">
        <x:f>'Inputs'!$B$46</x:f>
        <x:v>1</x:v>
      </x:c>
      <x:c r="AM1040" s="83" t="n">
        <x:f>'Inputs'!$C$46</x:f>
        <x:v>1</x:v>
      </x:c>
      <x:c r="AN1040" s="83" t="n">
        <x:f>'Inputs'!$D$46</x:f>
        <x:v>1</x:v>
      </x:c>
      <x:c r="AO1040" s="81" t="n">
        <x:f>'Inputs'!$E$46</x:f>
        <x:v>0</x:v>
      </x:c>
    </x:row>
    <x:row r="1041">
      <x:c r="A1041" s="59" t="str">
        <x:v>Base</x:v>
      </x:c>
      <x:c r="B1041" s="59" t="n">
        <x:v>308</x:v>
      </x:c>
      <x:c r="C1041" s="78" t="n">
        <x:f>(('Inputs'!$B$29*(3*308*'Inputs'!$B$12-308^2)/(2*'Inputs'!$B$12^2))-('Inputs'!$B$29*(3*307*'Inputs'!$B$12-307^2)/(2*'Inputs'!$B$12^2)))*'Inputs'!$B$46</x:f>
        <x:v>612015.6220679283</x:v>
      </x:c>
      <x:c r="D1041" s="78" t="n">
        <x:f>IF('Inputs'!$C$46&gt;0,('Inputs'!$B$30*(3*308*'Inputs'!$B$12-308^2)/(2*'Inputs'!$B$12^2))-('Inputs'!$B$30*(3*307*'Inputs'!$B$12-307^2)/(2*'Inputs'!$B$12^2)),0)</x:f>
        <x:v>262292.40945768356</x:v>
      </x:c>
      <x:c r="E1041" s="78" t="n">
        <x:f>C1041+D1041</x:f>
        <x:v>874308.0315256119</x:v>
      </x:c>
      <x:c r="F1041" s="78" t="n">
        <x:f>'Inputs'!$B$13*E1041+(1-'Inputs'!$B$13)/'Inputs'!$B$14*SUM(E986:E1041)</x:f>
        <x:v>884525.7083880651</x:v>
      </x:c>
      <x:c r="G1041" s="78" t="n">
        <x:f>F1041*'Inputs'!$F$46</x:f>
        <x:v>442262.85419403255</x:v>
      </x:c>
      <x:c r="H1041" s="78" t="n">
        <x:f>U1040</x:f>
        <x:v>140639852.26096687</x:v>
      </x:c>
      <x:c r="I1041" s="78" t="n">
        <x:f>V1040</x:f>
        <x:v>207.06336104106035</x:v>
      </x:c>
      <x:c r="J1041" s="79" t="n">
        <x:f>IF(H1041&gt;0,I1041/H1041,0)</x:f>
        <x:v>0.0000014722950693722298</x:v>
      </x:c>
      <x:c r="K1041" s="80" t="n">
        <x:f>(H1041*J1041+I1041)*'Inputs'!$D$46*(1+'Inputs'!$G$46)^(B1041/30)</x:f>
        <x:v>414.1267220821207</x:v>
      </x:c>
      <x:c r="L1041" s="80" t="n">
        <x:f>MAX(0,K1041*'Inputs'!$E$46)</x:f>
        <x:v>0</x:v>
      </x:c>
      <x:c r="M1041" s="80" t="n">
        <x:f>MAX(0,-K1041*'Inputs'!$E$46)</x:f>
        <x:v>0</x:v>
      </x:c>
      <x:c r="N1041" s="78" t="n">
        <x:f>H1041*(L1041*(1-'Inputs'!$B$15))/(I1041+L1041*(1-'Inputs'!$B$15))</x:f>
        <x:v>0</x:v>
      </x:c>
      <x:c r="O1041" s="78" t="n">
        <x:f>H1041-N1041</x:f>
        <x:v>140639852.26096687</x:v>
      </x:c>
      <x:c r="P1041" s="78" t="n">
        <x:f>I1041+L1041*(1-'Inputs'!$B$17)</x:f>
        <x:v>207.06336104106035</x:v>
      </x:c>
      <x:c r="Q1041" s="78" t="n">
        <x:f>IF(J1041&gt;0,M1041/J1041,0)</x:f>
        <x:v>0</x:v>
      </x:c>
      <x:c r="R1041" s="78" t="n">
        <x:f>IF(B1041='Inputs'!$H$46,'Inputs'!$B$27*'Inputs'!$I$46,0)</x:f>
        <x:v>0</x:v>
      </x:c>
      <x:c r="S1041" s="78" t="n">
        <x:f>Q1041+G1041+R1041</x:f>
        <x:v>442262.85419403255</x:v>
      </x:c>
      <x:c r="T1041" s="78" t="n">
        <x:f>P1041*(S1041*(1-'Inputs'!$B$15))/(O1041+S1041*(1-'Inputs'!$B$15))</x:f>
        <x:v>0.6426293705583364</x:v>
      </x:c>
      <x:c r="U1041" s="78" t="n">
        <x:f>O1041+S1041*(1-'Inputs'!$B$17)</x:f>
        <x:v>141080335.38536534</x:v>
      </x:c>
      <x:c r="V1041" s="78" t="n">
        <x:f>P1041-T1041</x:f>
        <x:v>206.42073167050202</x:v>
      </x:c>
      <x:c r="W1041" s="79" t="n">
        <x:f>IF(U1041&gt;0,V1041/U1041,0)</x:f>
        <x:v>0.0000014631431879337213</x:v>
      </x:c>
      <x:c r="X1041" s="80" t="n">
        <x:f>W1041*('Inputs'!$B$6-AC1041)</x:f>
        <x:v>1335.2896283389975</x:v>
      </x:c>
      <x:c r="Y1041" s="80" t="n">
        <x:f>2*V1041</x:f>
        <x:v>412.84146334100404</x:v>
      </x:c>
      <x:c r="Z1041" s="80" t="n">
        <x:f>K1041*'Inputs'!$B$16+(G1041+R1041)*J1041*'Inputs'!$B$16</x:f>
        <x:v>2.4886671810103023</x:v>
      </x:c>
      <x:c r="AA1041" s="80" t="n">
        <x:f>K1041*(1+'Inputs'!$E$46)/2*'Inputs'!$B$17</x:f>
        <x:v>0.8332529619358566</x:v>
      </x:c>
      <x:c r="AB1041" s="78" t="n">
        <x:f>(IF(J1041&gt;0,K1041*(1-'Inputs'!$E$46)/2/J1041,0)+G1041+R1041)*'Inputs'!$B$17</x:f>
        <x:v>567734.869678716</x:v>
      </x:c>
      <x:c r="AC1041" s="78" t="n">
        <x:f>AC1040+AB1041</x:f>
        <x:v>87382807.54003385</x:v>
      </x:c>
      <x:c r="AD1041" s="80" t="n">
        <x:f>Z1041/(1+'Inputs'!$C$46)</x:f>
        <x:v>1.2443335905051511</x:v>
      </x:c>
      <x:c r="AE1041" s="80" t="n">
        <x:f>Z1041-AD1041</x:f>
        <x:v>1.2443335905051511</x:v>
      </x:c>
      <x:c r="AF1041" s="80" t="n">
        <x:f>D1041*W1041</x:f>
        <x:v>0.38377135214473207</x:v>
      </x:c>
      <x:c r="AG1041" s="80" t="n">
        <x:f>C1041*W1041</x:f>
        <x:v>0.8954664883377083</x:v>
      </x:c>
      <x:c r="AH1041" s="80" t="n">
        <x:f>2*'Inputs'!$B$8*'Inputs'!$C$46</x:f>
        <x:v>5000</x:v>
      </x:c>
      <x:c r="AI1041" s="81" t="n">
        <x:f>IF(AH1041&gt;0,(AE1041+AF1041)/AH1041*365,0)</x:f>
        <x:v>0.11885166081344148</x:v>
      </x:c>
      <x:c r="AJ1041" s="81" t="n">
        <x:f>IF('Inputs'!$B$46&gt;0,AG1041/('Inputs'!$B$19*'Inputs'!$B$46)*365,0)</x:f>
        <x:v>0.03268452682432635</x:v>
      </x:c>
      <x:c r="AK1041" s="81" t="n">
        <x:f>W1041/MAX($W$734:W1041)-1</x:f>
        <x:v>-0.9982639187769106</x:v>
      </x:c>
      <x:c r="AL1041" s="83" t="n">
        <x:f>'Inputs'!$B$46</x:f>
        <x:v>1</x:v>
      </x:c>
      <x:c r="AM1041" s="83" t="n">
        <x:f>'Inputs'!$C$46</x:f>
        <x:v>1</x:v>
      </x:c>
      <x:c r="AN1041" s="83" t="n">
        <x:f>'Inputs'!$D$46</x:f>
        <x:v>1</x:v>
      </x:c>
      <x:c r="AO1041" s="81" t="n">
        <x:f>'Inputs'!$E$46</x:f>
        <x:v>0</x:v>
      </x:c>
    </x:row>
    <x:row r="1042">
      <x:c r="A1042" s="59" t="str">
        <x:v>Base</x:v>
      </x:c>
      <x:c r="B1042" s="59" t="n">
        <x:v>309</x:v>
      </x:c>
      <x:c r="C1042" s="78" t="n">
        <x:f>(('Inputs'!$B$29*(3*309*'Inputs'!$B$12-309^2)/(2*'Inputs'!$B$12^2))-('Inputs'!$B$29*(3*308*'Inputs'!$B$12-308^2)/(2*'Inputs'!$B$12^2)))*'Inputs'!$B$46</x:f>
        <x:v>611690.5141677558</x:v>
      </x:c>
      <x:c r="D1042" s="78" t="n">
        <x:f>IF('Inputs'!$C$46&gt;0,('Inputs'!$B$30*(3*309*'Inputs'!$B$12-309^2)/(2*'Inputs'!$B$12^2))-('Inputs'!$B$30*(3*308*'Inputs'!$B$12-308^2)/(2*'Inputs'!$B$12^2)),0)</x:f>
        <x:v>262153.07750047743</x:v>
      </x:c>
      <x:c r="E1042" s="78" t="n">
        <x:f>C1042+D1042</x:f>
        <x:v>873843.5916682333</x:v>
      </x:c>
      <x:c r="F1042" s="78" t="n">
        <x:f>'Inputs'!$B$13*E1042+(1-'Inputs'!$B$13)/'Inputs'!$B$14*SUM(E987:E1042)</x:f>
        <x:v>884061.2685306818</x:v>
      </x:c>
      <x:c r="G1042" s="78" t="n">
        <x:f>F1042*'Inputs'!$F$46</x:f>
        <x:v>442030.6342653409</x:v>
      </x:c>
      <x:c r="H1042" s="78" t="n">
        <x:f>U1041</x:f>
        <x:v>141080335.38536534</x:v>
      </x:c>
      <x:c r="I1042" s="78" t="n">
        <x:f>V1041</x:f>
        <x:v>206.42073167050202</x:v>
      </x:c>
      <x:c r="J1042" s="79" t="n">
        <x:f>IF(H1042&gt;0,I1042/H1042,0)</x:f>
        <x:v>0.0000014631431879337213</x:v>
      </x:c>
      <x:c r="K1042" s="80" t="n">
        <x:f>(H1042*J1042+I1042)*'Inputs'!$D$46*(1+'Inputs'!$G$46)^(B1042/30)</x:f>
        <x:v>412.84146334100404</x:v>
      </x:c>
      <x:c r="L1042" s="80" t="n">
        <x:f>MAX(0,K1042*'Inputs'!$E$46)</x:f>
        <x:v>0</x:v>
      </x:c>
      <x:c r="M1042" s="80" t="n">
        <x:f>MAX(0,-K1042*'Inputs'!$E$46)</x:f>
        <x:v>0</x:v>
      </x:c>
      <x:c r="N1042" s="78" t="n">
        <x:f>H1042*(L1042*(1-'Inputs'!$B$15))/(I1042+L1042*(1-'Inputs'!$B$15))</x:f>
        <x:v>0</x:v>
      </x:c>
      <x:c r="O1042" s="78" t="n">
        <x:f>H1042-N1042</x:f>
        <x:v>141080335.38536534</x:v>
      </x:c>
      <x:c r="P1042" s="78" t="n">
        <x:f>I1042+L1042*(1-'Inputs'!$B$17)</x:f>
        <x:v>206.42073167050202</x:v>
      </x:c>
      <x:c r="Q1042" s="78" t="n">
        <x:f>IF(J1042&gt;0,M1042/J1042,0)</x:f>
        <x:v>0</x:v>
      </x:c>
      <x:c r="R1042" s="78" t="n">
        <x:f>IF(B1042='Inputs'!$H$46,'Inputs'!$B$27*'Inputs'!$I$46,0)</x:f>
        <x:v>0</x:v>
      </x:c>
      <x:c r="S1042" s="78" t="n">
        <x:f>Q1042+G1042+R1042</x:f>
        <x:v>442030.6342653409</x:v>
      </x:c>
      <x:c r="T1042" s="78" t="n">
        <x:f>P1042*(S1042*(1-'Inputs'!$B$15))/(O1042+S1042*(1-'Inputs'!$B$15))</x:f>
        <x:v>0.638306637515638</x:v>
      </x:c>
      <x:c r="U1042" s="78" t="n">
        <x:f>O1042+S1042*(1-'Inputs'!$B$17)</x:f>
        <x:v>141520587.22432175</x:v>
      </x:c>
      <x:c r="V1042" s="78" t="n">
        <x:f>P1042-T1042</x:f>
        <x:v>205.7824250329864</x:v>
      </x:c>
      <x:c r="W1042" s="79" t="n">
        <x:f>IF(U1042&gt;0,V1042/U1042,0)</x:f>
        <x:v>0.000001454081198142602</x:v>
      </x:c>
      <x:c r="X1042" s="80" t="n">
        <x:f>W1042*('Inputs'!$B$6-AC1042)</x:f>
        <x:v>1326.1913919593517</x:v>
      </x:c>
      <x:c r="Y1042" s="80" t="n">
        <x:f>2*V1042</x:f>
        <x:v>411.5648500659728</x:v>
      </x:c>
      <x:c r="Z1042" s="80" t="n">
        <x:f>K1042*'Inputs'!$B$16+(G1042+R1042)*J1042*'Inputs'!$B$16</x:f>
        <x:v>2.480929304714324</x:v>
      </x:c>
      <x:c r="AA1042" s="80" t="n">
        <x:f>K1042*(1+'Inputs'!$E$46)/2*'Inputs'!$B$17</x:f>
        <x:v>0.8306669282515172</x:v>
      </x:c>
      <x:c r="AB1042" s="78" t="n">
        <x:f>(IF(J1042&gt;0,K1042*(1-'Inputs'!$E$46)/2/J1042,0)+G1042+R1042)*'Inputs'!$B$17</x:f>
        <x:v>569506.5030971053</x:v>
      </x:c>
      <x:c r="AC1042" s="78" t="n">
        <x:f>AC1041+AB1042</x:f>
        <x:v>87952314.04313095</x:v>
      </x:c>
      <x:c r="AD1042" s="80" t="n">
        <x:f>Z1042/(1+'Inputs'!$C$46)</x:f>
        <x:v>1.240464652357162</x:v>
      </x:c>
      <x:c r="AE1042" s="80" t="n">
        <x:f>Z1042-AD1042</x:f>
        <x:v>1.240464652357162</x:v>
      </x:c>
      <x:c r="AF1042" s="80" t="n">
        <x:f>D1042*W1042</x:f>
        <x:v>0.38119186102866465</x:v>
      </x:c>
      <x:c r="AG1042" s="80" t="n">
        <x:f>C1042*W1042</x:f>
        <x:v>0.8894476757335147</x:v>
      </x:c>
      <x:c r="AH1042" s="80" t="n">
        <x:f>2*'Inputs'!$B$8*'Inputs'!$C$46</x:f>
        <x:v>5000</x:v>
      </x:c>
      <x:c r="AI1042" s="81" t="n">
        <x:f>IF(AH1042&gt;0,(AE1042+AF1042)/AH1042*365,0)</x:f>
        <x:v>0.11838092547716536</x:v>
      </x:c>
      <x:c r="AJ1042" s="81" t="n">
        <x:f>IF('Inputs'!$B$46&gt;0,AG1042/('Inputs'!$B$19*'Inputs'!$B$46)*365,0)</x:f>
        <x:v>0.032464840164273284</x:v>
      </x:c>
      <x:c r="AK1042" s="81" t="n">
        <x:f>W1042/MAX($W$734:W1042)-1</x:f>
        <x:v>-0.9982746712107461</x:v>
      </x:c>
      <x:c r="AL1042" s="83" t="n">
        <x:f>'Inputs'!$B$46</x:f>
        <x:v>1</x:v>
      </x:c>
      <x:c r="AM1042" s="83" t="n">
        <x:f>'Inputs'!$C$46</x:f>
        <x:v>1</x:v>
      </x:c>
      <x:c r="AN1042" s="83" t="n">
        <x:f>'Inputs'!$D$46</x:f>
        <x:v>1</x:v>
      </x:c>
      <x:c r="AO1042" s="81" t="n">
        <x:f>'Inputs'!$E$46</x:f>
        <x:v>0</x:v>
      </x:c>
    </x:row>
    <x:row r="1043">
      <x:c r="A1043" s="59" t="str">
        <x:v>Base</x:v>
      </x:c>
      <x:c r="B1043" s="59" t="n">
        <x:v>310</x:v>
      </x:c>
      <x:c r="C1043" s="78" t="n">
        <x:f>(('Inputs'!$B$29*(3*310*'Inputs'!$B$12-310^2)/(2*'Inputs'!$B$12^2))-('Inputs'!$B$29*(3*309*'Inputs'!$B$12-309^2)/(2*'Inputs'!$B$12^2)))*'Inputs'!$B$46</x:f>
        <x:v>611365.4062675834</x:v>
      </x:c>
      <x:c r="D1043" s="78" t="n">
        <x:f>IF('Inputs'!$C$46&gt;0,('Inputs'!$B$30*(3*310*'Inputs'!$B$12-310^2)/(2*'Inputs'!$B$12^2))-('Inputs'!$B$30*(3*309*'Inputs'!$B$12-309^2)/(2*'Inputs'!$B$12^2)),0)</x:f>
        <x:v>262013.7455432415</x:v>
      </x:c>
      <x:c r="E1043" s="78" t="n">
        <x:f>C1043+D1043</x:f>
        <x:v>873379.1518108249</x:v>
      </x:c>
      <x:c r="F1043" s="78" t="n">
        <x:f>'Inputs'!$B$13*E1043+(1-'Inputs'!$B$13)/'Inputs'!$B$14*SUM(E988:E1043)</x:f>
        <x:v>883596.8286732928</x:v>
      </x:c>
      <x:c r="G1043" s="78" t="n">
        <x:f>F1043*'Inputs'!$F$46</x:f>
        <x:v>441798.4143366464</x:v>
      </x:c>
      <x:c r="H1043" s="78" t="n">
        <x:f>U1042</x:f>
        <x:v>141520587.22432175</x:v>
      </x:c>
      <x:c r="I1043" s="78" t="n">
        <x:f>V1042</x:f>
        <x:v>205.7824250329864</x:v>
      </x:c>
      <x:c r="J1043" s="79" t="n">
        <x:f>IF(H1043&gt;0,I1043/H1043,0)</x:f>
        <x:v>0.000001454081198142602</x:v>
      </x:c>
      <x:c r="K1043" s="80" t="n">
        <x:f>(H1043*J1043+I1043)*'Inputs'!$D$46*(1+'Inputs'!$G$46)^(B1043/30)</x:f>
        <x:v>411.5648500659728</x:v>
      </x:c>
      <x:c r="L1043" s="80" t="n">
        <x:f>MAX(0,K1043*'Inputs'!$E$46)</x:f>
        <x:v>0</x:v>
      </x:c>
      <x:c r="M1043" s="80" t="n">
        <x:f>MAX(0,-K1043*'Inputs'!$E$46)</x:f>
        <x:v>0</x:v>
      </x:c>
      <x:c r="N1043" s="78" t="n">
        <x:f>H1043*(L1043*(1-'Inputs'!$B$15))/(I1043+L1043*(1-'Inputs'!$B$15))</x:f>
        <x:v>0</x:v>
      </x:c>
      <x:c r="O1043" s="78" t="n">
        <x:f>H1043-N1043</x:f>
        <x:v>141520587.22432175</x:v>
      </x:c>
      <x:c r="P1043" s="78" t="n">
        <x:f>I1043+L1043*(1-'Inputs'!$B$17)</x:f>
        <x:v>205.7824250329864</x:v>
      </x:c>
      <x:c r="Q1043" s="78" t="n">
        <x:f>IF(J1043&gt;0,M1043/J1043,0)</x:f>
        <x:v>0</x:v>
      </x:c>
      <x:c r="R1043" s="78" t="n">
        <x:f>IF(B1043='Inputs'!$H$46,'Inputs'!$B$27*'Inputs'!$I$46,0)</x:f>
        <x:v>0</x:v>
      </x:c>
      <x:c r="S1043" s="78" t="n">
        <x:f>Q1043+G1043+R1043</x:f>
        <x:v>441798.4143366464</x:v>
      </x:c>
      <x:c r="T1043" s="78" t="n">
        <x:f>P1043*(S1043*(1-'Inputs'!$B$15))/(O1043+S1043*(1-'Inputs'!$B$15))</x:f>
        <x:v>0.6340271495446513</x:v>
      </x:c>
      <x:c r="U1043" s="78" t="n">
        <x:f>O1043+S1043*(1-'Inputs'!$B$17)</x:f>
        <x:v>141960607.7778361</x:v>
      </x:c>
      <x:c r="V1043" s="78" t="n">
        <x:f>P1043-T1043</x:f>
        <x:v>205.14839788344173</x:v>
      </x:c>
      <x:c r="W1043" s="79" t="n">
        <x:f>IF(U1043&gt;0,V1043/U1043,0)</x:f>
        <x:v>0.0000014451079147568354</x:v>
      </x:c>
      <x:c r="X1043" s="80" t="n">
        <x:f>W1043*('Inputs'!$B$6-AC1043)</x:f>
        <x:v>1317.1817724003217</x:v>
      </x:c>
      <x:c r="Y1043" s="80" t="n">
        <x:f>2*V1043</x:f>
        <x:v>410.29679576688346</x:v>
      </x:c>
      <x:c r="Z1043" s="80" t="n">
        <x:f>K1043*'Inputs'!$B$16+(G1043+R1043)*J1043*'Inputs'!$B$16</x:f>
        <x:v>2.4732435650017734</x:v>
      </x:c>
      <x:c r="AA1043" s="80" t="n">
        <x:f>K1043*(1+'Inputs'!$E$46)/2*'Inputs'!$B$17</x:f>
        <x:v>0.8280982898711727</x:v>
      </x:c>
      <x:c r="AB1043" s="78" t="n">
        <x:f>(IF(J1043&gt;0,K1043*(1-'Inputs'!$E$46)/2/J1043,0)+G1043+R1043)*'Inputs'!$B$17</x:f>
        <x:v>571277.2057893699</x:v>
      </x:c>
      <x:c r="AC1043" s="78" t="n">
        <x:f>AC1042+AB1043</x:f>
        <x:v>88523591.24892032</x:v>
      </x:c>
      <x:c r="AD1043" s="80" t="n">
        <x:f>Z1043/(1+'Inputs'!$C$46)</x:f>
        <x:v>1.2366217825008867</x:v>
      </x:c>
      <x:c r="AE1043" s="80" t="n">
        <x:f>Z1043-AD1043</x:f>
        <x:v>1.2366217825008867</x:v>
      </x:c>
      <x:c r="AF1043" s="80" t="n">
        <x:f>D1043*W1043</x:f>
        <x:v>0.3786381374596218</x:v>
      </x:c>
      <x:c r="AG1043" s="80" t="n">
        <x:f>C1043*W1043</x:f>
        <x:v>0.8834889874058129</x:v>
      </x:c>
      <x:c r="AH1043" s="80" t="n">
        <x:f>2*'Inputs'!$B$8*'Inputs'!$C$46</x:f>
        <x:v>5000</x:v>
      </x:c>
      <x:c r="AI1043" s="81" t="n">
        <x:f>IF(AH1043&gt;0,(AE1043+AF1043)/AH1043*365,0)</x:f>
        <x:v>0.11791397415711714</x:v>
      </x:c>
      <x:c r="AJ1043" s="81" t="n">
        <x:f>IF('Inputs'!$B$46&gt;0,AG1043/('Inputs'!$B$19*'Inputs'!$B$46)*365,0)</x:f>
        <x:v>0.03224734804031217</x:v>
      </x:c>
      <x:c r="AK1043" s="81" t="n">
        <x:f>W1043/MAX($W$734:W1043)-1</x:f>
        <x:v>-0.998285318390683</x:v>
      </x:c>
      <x:c r="AL1043" s="83" t="n">
        <x:f>'Inputs'!$B$46</x:f>
        <x:v>1</x:v>
      </x:c>
      <x:c r="AM1043" s="83" t="n">
        <x:f>'Inputs'!$C$46</x:f>
        <x:v>1</x:v>
      </x:c>
      <x:c r="AN1043" s="83" t="n">
        <x:f>'Inputs'!$D$46</x:f>
        <x:v>1</x:v>
      </x:c>
      <x:c r="AO1043" s="81" t="n">
        <x:f>'Inputs'!$E$46</x:f>
        <x:v>0</x:v>
      </x:c>
    </x:row>
    <x:row r="1044">
      <x:c r="A1044" s="59" t="str">
        <x:v>Base</x:v>
      </x:c>
      <x:c r="B1044" s="59" t="n">
        <x:v>311</x:v>
      </x:c>
      <x:c r="C1044" s="78" t="n">
        <x:f>(('Inputs'!$B$29*(3*311*'Inputs'!$B$12-311^2)/(2*'Inputs'!$B$12^2))-('Inputs'!$B$29*(3*310*'Inputs'!$B$12-310^2)/(2*'Inputs'!$B$12^2)))*'Inputs'!$B$46</x:f>
        <x:v>611040.2983674109</x:v>
      </x:c>
      <x:c r="D1044" s="78" t="n">
        <x:f>IF('Inputs'!$C$46&gt;0,('Inputs'!$B$30*(3*311*'Inputs'!$B$12-311^2)/(2*'Inputs'!$B$12^2))-('Inputs'!$B$30*(3*310*'Inputs'!$B$12-310^2)/(2*'Inputs'!$B$12^2)),0)</x:f>
        <x:v>261874.41358605027</x:v>
      </x:c>
      <x:c r="E1044" s="78" t="n">
        <x:f>C1044+D1044</x:f>
        <x:v>872914.7119534612</x:v>
      </x:c>
      <x:c r="F1044" s="78" t="n">
        <x:f>'Inputs'!$B$13*E1044+(1-'Inputs'!$B$13)/'Inputs'!$B$14*SUM(E989:E1044)</x:f>
        <x:v>883132.3888159127</x:v>
      </x:c>
      <x:c r="G1044" s="78" t="n">
        <x:f>F1044*'Inputs'!$F$46</x:f>
        <x:v>441566.1944079563</x:v>
      </x:c>
      <x:c r="H1044" s="78" t="n">
        <x:f>U1043</x:f>
        <x:v>141960607.7778361</x:v>
      </x:c>
      <x:c r="I1044" s="78" t="n">
        <x:f>V1043</x:f>
        <x:v>205.14839788344173</x:v>
      </x:c>
      <x:c r="J1044" s="79" t="n">
        <x:f>IF(H1044&gt;0,I1044/H1044,0)</x:f>
        <x:v>0.0000014451079147568354</x:v>
      </x:c>
      <x:c r="K1044" s="80" t="n">
        <x:f>(H1044*J1044+I1044)*'Inputs'!$D$46*(1+'Inputs'!$G$46)^(B1044/30)</x:f>
        <x:v>410.29679576688346</x:v>
      </x:c>
      <x:c r="L1044" s="80" t="n">
        <x:f>MAX(0,K1044*'Inputs'!$E$46)</x:f>
        <x:v>0</x:v>
      </x:c>
      <x:c r="M1044" s="80" t="n">
        <x:f>MAX(0,-K1044*'Inputs'!$E$46)</x:f>
        <x:v>0</x:v>
      </x:c>
      <x:c r="N1044" s="78" t="n">
        <x:f>H1044*(L1044*(1-'Inputs'!$B$15))/(I1044+L1044*(1-'Inputs'!$B$15))</x:f>
        <x:v>0</x:v>
      </x:c>
      <x:c r="O1044" s="78" t="n">
        <x:f>H1044-N1044</x:f>
        <x:v>141960607.7778361</x:v>
      </x:c>
      <x:c r="P1044" s="78" t="n">
        <x:f>I1044+L1044*(1-'Inputs'!$B$17)</x:f>
        <x:v>205.14839788344173</x:v>
      </x:c>
      <x:c r="Q1044" s="78" t="n">
        <x:f>IF(J1044&gt;0,M1044/J1044,0)</x:f>
        <x:v>0</x:v>
      </x:c>
      <x:c r="R1044" s="78" t="n">
        <x:f>IF(B1044='Inputs'!$H$46,'Inputs'!$B$27*'Inputs'!$I$46,0)</x:f>
        <x:v>0</x:v>
      </x:c>
      <x:c r="S1044" s="78" t="n">
        <x:f>Q1044+G1044+R1044</x:f>
        <x:v>441566.1944079563</x:v>
      </x:c>
      <x:c r="T1044" s="78" t="n">
        <x:f>P1044*(S1044*(1-'Inputs'!$B$15))/(O1044+S1044*(1-'Inputs'!$B$15))</x:f>
        <x:v>0.6297903312033457</x:v>
      </x:c>
      <x:c r="U1044" s="78" t="n">
        <x:f>O1044+S1044*(1-'Inputs'!$B$17)</x:f>
        <x:v>142400397.04590842</x:v>
      </x:c>
      <x:c r="V1044" s="78" t="n">
        <x:f>P1044-T1044</x:f>
        <x:v>204.5186075522384</x:v>
      </x:c>
      <x:c r="W1044" s="79" t="n">
        <x:f>IF(U1044&gt;0,V1044/U1044,0)</x:f>
        <x:v>0.0000014362221720934085</x:v>
      </x:c>
      <x:c r="X1044" s="80" t="n">
        <x:f>W1044*('Inputs'!$B$6-AC1044)</x:f>
        <x:v>1308.2596048132716</x:v>
      </x:c>
      <x:c r="Y1044" s="80" t="n">
        <x:f>2*V1044</x:f>
        <x:v>409.0372151044768</x:v>
      </x:c>
      <x:c r="Z1044" s="80" t="n">
        <x:f>K1044*'Inputs'!$B$16+(G1044+R1044)*J1044*'Inputs'!$B$16</x:f>
        <x:v>2.4656094394158687</x:v>
      </x:c>
      <x:c r="AA1044" s="80" t="n">
        <x:f>K1044*(1+'Inputs'!$E$46)/2*'Inputs'!$B$17</x:f>
        <x:v>0.8255468727703893</x:v>
      </x:c>
      <x:c r="AB1044" s="78" t="n">
        <x:f>(IF(J1044&gt;0,K1044*(1-'Inputs'!$E$46)/2/J1044,0)+G1044+R1044)*'Inputs'!$B$17</x:f>
        <x:v>573046.9777555094</x:v>
      </x:c>
      <x:c r="AC1044" s="78" t="n">
        <x:f>AC1043+AB1044</x:f>
        <x:v>89096638.22667584</x:v>
      </x:c>
      <x:c r="AD1044" s="80" t="n">
        <x:f>Z1044/(1+'Inputs'!$C$46)</x:f>
        <x:v>1.2328047197079344</x:v>
      </x:c>
      <x:c r="AE1044" s="80" t="n">
        <x:f>Z1044-AD1044</x:f>
        <x:v>1.2328047197079344</x:v>
      </x:c>
      <x:c r="AF1044" s="80" t="n">
        <x:f>D1044*W1044</x:f>
        <x:v>0.37610983909624474</x:v>
      </x:c>
      <x:c r="AG1044" s="80" t="n">
        <x:f>C1044*W1044</x:f>
        <x:v>0.8775896245578473</x:v>
      </x:c>
      <x:c r="AH1044" s="80" t="n">
        <x:f>2*'Inputs'!$B$8*'Inputs'!$C$46</x:f>
        <x:v>5000</x:v>
      </x:c>
      <x:c r="AI1044" s="81" t="n">
        <x:f>IF(AH1044&gt;0,(AE1044+AF1044)/AH1044*365,0)</x:f>
        <x:v>0.11745076279270508</x:v>
      </x:c>
      <x:c r="AJ1044" s="81" t="n">
        <x:f>IF('Inputs'!$B$46&gt;0,AG1044/('Inputs'!$B$19*'Inputs'!$B$46)*365,0)</x:f>
        <x:v>0.03203202129636143</x:v>
      </x:c>
      <x:c r="AK1044" s="81" t="n">
        <x:f>W1044/MAX($W$734:W1044)-1</x:f>
        <x:v>-0.9982958616998536</x:v>
      </x:c>
      <x:c r="AL1044" s="83" t="n">
        <x:f>'Inputs'!$B$46</x:f>
        <x:v>1</x:v>
      </x:c>
      <x:c r="AM1044" s="83" t="n">
        <x:f>'Inputs'!$C$46</x:f>
        <x:v>1</x:v>
      </x:c>
      <x:c r="AN1044" s="83" t="n">
        <x:f>'Inputs'!$D$46</x:f>
        <x:v>1</x:v>
      </x:c>
      <x:c r="AO1044" s="81" t="n">
        <x:f>'Inputs'!$E$46</x:f>
        <x:v>0</x:v>
      </x:c>
    </x:row>
    <x:row r="1045">
      <x:c r="A1045" s="59" t="str">
        <x:v>Base</x:v>
      </x:c>
      <x:c r="B1045" s="59" t="n">
        <x:v>312</x:v>
      </x:c>
      <x:c r="C1045" s="78" t="n">
        <x:f>(('Inputs'!$B$29*(3*312*'Inputs'!$B$12-312^2)/(2*'Inputs'!$B$12^2))-('Inputs'!$B$29*(3*311*'Inputs'!$B$12-311^2)/(2*'Inputs'!$B$12^2)))*'Inputs'!$B$46</x:f>
        <x:v>610715.1904672682</x:v>
      </x:c>
      <x:c r="D1045" s="78" t="n">
        <x:f>IF('Inputs'!$C$46&gt;0,('Inputs'!$B$30*(3*312*'Inputs'!$B$12-312^2)/(2*'Inputs'!$B$12^2))-('Inputs'!$B$30*(3*311*'Inputs'!$B$12-311^2)/(2*'Inputs'!$B$12^2)),0)</x:f>
        <x:v>261735.08162881434</x:v>
      </x:c>
      <x:c r="E1045" s="78" t="n">
        <x:f>C1045+D1045</x:f>
        <x:v>872450.2720960826</x:v>
      </x:c>
      <x:c r="F1045" s="78" t="n">
        <x:f>'Inputs'!$B$13*E1045+(1-'Inputs'!$B$13)/'Inputs'!$B$14*SUM(E990:E1045)</x:f>
        <x:v>882667.9489585296</x:v>
      </x:c>
      <x:c r="G1045" s="78" t="n">
        <x:f>F1045*'Inputs'!$F$46</x:f>
        <x:v>441333.9744792648</x:v>
      </x:c>
      <x:c r="H1045" s="78" t="n">
        <x:f>U1044</x:f>
        <x:v>142400397.04590842</x:v>
      </x:c>
      <x:c r="I1045" s="78" t="n">
        <x:f>V1044</x:f>
        <x:v>204.5186075522384</x:v>
      </x:c>
      <x:c r="J1045" s="79" t="n">
        <x:f>IF(H1045&gt;0,I1045/H1045,0)</x:f>
        <x:v>0.0000014362221720934085</x:v>
      </x:c>
      <x:c r="K1045" s="80" t="n">
        <x:f>(H1045*J1045+I1045)*'Inputs'!$D$46*(1+'Inputs'!$G$46)^(B1045/30)</x:f>
        <x:v>409.0372151044768</x:v>
      </x:c>
      <x:c r="L1045" s="80" t="n">
        <x:f>MAX(0,K1045*'Inputs'!$E$46)</x:f>
        <x:v>0</x:v>
      </x:c>
      <x:c r="M1045" s="80" t="n">
        <x:f>MAX(0,-K1045*'Inputs'!$E$46)</x:f>
        <x:v>0</x:v>
      </x:c>
      <x:c r="N1045" s="78" t="n">
        <x:f>H1045*(L1045*(1-'Inputs'!$B$15))/(I1045+L1045*(1-'Inputs'!$B$15))</x:f>
        <x:v>0</x:v>
      </x:c>
      <x:c r="O1045" s="78" t="n">
        <x:f>H1045-N1045</x:f>
        <x:v>142400397.04590842</x:v>
      </x:c>
      <x:c r="P1045" s="78" t="n">
        <x:f>I1045+L1045*(1-'Inputs'!$B$17)</x:f>
        <x:v>204.5186075522384</x:v>
      </x:c>
      <x:c r="Q1045" s="78" t="n">
        <x:f>IF(J1045&gt;0,M1045/J1045,0)</x:f>
        <x:v>0</x:v>
      </x:c>
      <x:c r="R1045" s="78" t="n">
        <x:f>IF(B1045='Inputs'!$H$46,'Inputs'!$B$27*'Inputs'!$I$46,0)</x:f>
        <x:v>0</x:v>
      </x:c>
      <x:c r="S1045" s="78" t="n">
        <x:f>Q1045+G1045+R1045</x:f>
        <x:v>441333.9744792648</x:v>
      </x:c>
      <x:c r="T1045" s="78" t="n">
        <x:f>P1045*(S1045*(1-'Inputs'!$B$15))/(O1045+S1045*(1-'Inputs'!$B$15))</x:f>
        <x:v>0.6255956165917566</x:v>
      </x:c>
      <x:c r="U1045" s="78" t="n">
        <x:f>O1045+S1045*(1-'Inputs'!$B$17)</x:f>
        <x:v>142839955.02853867</x:v>
      </x:c>
      <x:c r="V1045" s="78" t="n">
        <x:f>P1045-T1045</x:f>
        <x:v>203.89301193564663</x:v>
      </x:c>
      <x:c r="W1045" s="79" t="n">
        <x:f>IF(U1045&gt;0,V1045/U1045,0)</x:f>
        <x:v>0.0000014274228236413956</x:v>
      </x:c>
      <x:c r="X1045" s="80" t="n">
        <x:f>W1045*('Inputs'!$B$6-AC1045)</x:f>
        <x:v>1299.4237435074938</x:v>
      </x:c>
      <x:c r="Y1045" s="80" t="n">
        <x:f>2*V1045</x:f>
        <x:v>407.78602387129325</x:v>
      </x:c>
      <x:c r="Z1045" s="80" t="n">
        <x:f>K1045*'Inputs'!$B$16+(G1045+R1045)*J1045*'Inputs'!$B$16</x:f>
        <x:v>2.458026412463532</x:v>
      </x:c>
      <x:c r="AA1045" s="80" t="n">
        <x:f>K1045*(1+'Inputs'!$E$46)/2*'Inputs'!$B$17</x:f>
        <x:v>0.823012505240396</x:v>
      </x:c>
      <x:c r="AB1045" s="78" t="n">
        <x:f>(IF(J1045&gt;0,K1045*(1-'Inputs'!$E$46)/2/J1045,0)+G1045+R1045)*'Inputs'!$B$17</x:f>
        <x:v>574815.818995524</x:v>
      </x:c>
      <x:c r="AC1045" s="78" t="n">
        <x:f>AC1044+AB1045</x:f>
        <x:v>89671454.04567136</x:v>
      </x:c>
      <x:c r="AD1045" s="80" t="n">
        <x:f>Z1045/(1+'Inputs'!$C$46)</x:f>
        <x:v>1.229013206231766</x:v>
      </x:c>
      <x:c r="AE1045" s="80" t="n">
        <x:f>Z1045-AD1045</x:f>
        <x:v>1.229013206231766</x:v>
      </x:c>
      <x:c r="AF1045" s="80" t="n">
        <x:f>D1045*W1045</x:f>
        <x:v>0.3736066292646133</x:v>
      </x:c>
      <x:c r="AG1045" s="80" t="n">
        <x:f>C1045*W1045</x:f>
        <x:v>0.8717488016174807</x:v>
      </x:c>
      <x:c r="AH1045" s="80" t="n">
        <x:f>2*'Inputs'!$B$8*'Inputs'!$C$46</x:f>
        <x:v>5000</x:v>
      </x:c>
      <x:c r="AI1045" s="81" t="n">
        <x:f>IF(AH1045&gt;0,(AE1045+AF1045)/AH1045*365,0)</x:f>
        <x:v>0.1169912479912357</x:v>
      </x:c>
      <x:c r="AJ1045" s="81" t="n">
        <x:f>IF('Inputs'!$B$46&gt;0,AG1045/('Inputs'!$B$19*'Inputs'!$B$46)*365,0)</x:f>
        <x:v>0.03181883125903805</x:v>
      </x:c>
      <x:c r="AK1045" s="81" t="n">
        <x:f>W1045/MAX($W$734:W1045)-1</x:f>
        <x:v>-0.9983063024986414</x:v>
      </x:c>
      <x:c r="AL1045" s="83" t="n">
        <x:f>'Inputs'!$B$46</x:f>
        <x:v>1</x:v>
      </x:c>
      <x:c r="AM1045" s="83" t="n">
        <x:f>'Inputs'!$C$46</x:f>
        <x:v>1</x:v>
      </x:c>
      <x:c r="AN1045" s="83" t="n">
        <x:f>'Inputs'!$D$46</x:f>
        <x:v>1</x:v>
      </x:c>
      <x:c r="AO1045" s="81" t="n">
        <x:f>'Inputs'!$E$46</x:f>
        <x:v>0</x:v>
      </x:c>
    </x:row>
    <x:row r="1046">
      <x:c r="A1046" s="59" t="str">
        <x:v>Base</x:v>
      </x:c>
      <x:c r="B1046" s="59" t="n">
        <x:v>313</x:v>
      </x:c>
      <x:c r="C1046" s="78" t="n">
        <x:f>(('Inputs'!$B$29*(3*313*'Inputs'!$B$12-313^2)/(2*'Inputs'!$B$12^2))-('Inputs'!$B$29*(3*312*'Inputs'!$B$12-312^2)/(2*'Inputs'!$B$12^2)))*'Inputs'!$B$46</x:f>
        <x:v>610390.0825670958</x:v>
      </x:c>
      <x:c r="D1046" s="78" t="n">
        <x:f>IF('Inputs'!$C$46&gt;0,('Inputs'!$B$30*(3*313*'Inputs'!$B$12-313^2)/(2*'Inputs'!$B$12^2))-('Inputs'!$B$30*(3*312*'Inputs'!$B$12-312^2)/(2*'Inputs'!$B$12^2)),0)</x:f>
        <x:v>261595.7496716082</x:v>
      </x:c>
      <x:c r="E1046" s="78" t="n">
        <x:f>C1046+D1046</x:f>
        <x:v>871985.832238704</x:v>
      </x:c>
      <x:c r="F1046" s="78" t="n">
        <x:f>'Inputs'!$B$13*E1046+(1-'Inputs'!$B$13)/'Inputs'!$B$14*SUM(E991:E1046)</x:f>
        <x:v>882203.5091011468</x:v>
      </x:c>
      <x:c r="G1046" s="78" t="n">
        <x:f>F1046*'Inputs'!$F$46</x:f>
        <x:v>441101.7545505734</x:v>
      </x:c>
      <x:c r="H1046" s="78" t="n">
        <x:f>U1045</x:f>
        <x:v>142839955.02853867</x:v>
      </x:c>
      <x:c r="I1046" s="78" t="n">
        <x:f>V1045</x:f>
        <x:v>203.89301193564663</x:v>
      </x:c>
      <x:c r="J1046" s="79" t="n">
        <x:f>IF(H1046&gt;0,I1046/H1046,0)</x:f>
        <x:v>0.0000014274228236413956</x:v>
      </x:c>
      <x:c r="K1046" s="80" t="n">
        <x:f>(H1046*J1046+I1046)*'Inputs'!$D$46*(1+'Inputs'!$G$46)^(B1046/30)</x:f>
        <x:v>407.78602387129325</x:v>
      </x:c>
      <x:c r="L1046" s="80" t="n">
        <x:f>MAX(0,K1046*'Inputs'!$E$46)</x:f>
        <x:v>0</x:v>
      </x:c>
      <x:c r="M1046" s="80" t="n">
        <x:f>MAX(0,-K1046*'Inputs'!$E$46)</x:f>
        <x:v>0</x:v>
      </x:c>
      <x:c r="N1046" s="78" t="n">
        <x:f>H1046*(L1046*(1-'Inputs'!$B$15))/(I1046+L1046*(1-'Inputs'!$B$15))</x:f>
        <x:v>0</x:v>
      </x:c>
      <x:c r="O1046" s="78" t="n">
        <x:f>H1046-N1046</x:f>
        <x:v>142839955.02853867</x:v>
      </x:c>
      <x:c r="P1046" s="78" t="n">
        <x:f>I1046+L1046*(1-'Inputs'!$B$17)</x:f>
        <x:v>203.89301193564663</x:v>
      </x:c>
      <x:c r="Q1046" s="78" t="n">
        <x:f>IF(J1046&gt;0,M1046/J1046,0)</x:f>
        <x:v>0</x:v>
      </x:c>
      <x:c r="R1046" s="78" t="n">
        <x:f>IF(B1046='Inputs'!$H$46,'Inputs'!$B$27*'Inputs'!$I$46,0)</x:f>
        <x:v>0</x:v>
      </x:c>
      <x:c r="S1046" s="78" t="n">
        <x:f>Q1046+G1046+R1046</x:f>
        <x:v>441101.7545505734</x:v>
      </x:c>
      <x:c r="T1046" s="78" t="n">
        <x:f>P1046*(S1046*(1-'Inputs'!$B$15))/(O1046+S1046*(1-'Inputs'!$B$15))</x:f>
        <x:v>0.6214424491627314</x:v>
      </x:c>
      <x:c r="U1046" s="78" t="n">
        <x:f>O1046+S1046*(1-'Inputs'!$B$17)</x:f>
        <x:v>143279281.72572687</x:v>
      </x:c>
      <x:c r="V1046" s="78" t="n">
        <x:f>P1046-T1046</x:f>
        <x:v>203.27156948648388</x:v>
      </x:c>
      <x:c r="W1046" s="79" t="n">
        <x:f>IF(U1046&gt;0,V1046/U1046,0)</x:f>
        <x:v>0.0000014187087416839343</x:v>
      </x:c>
      <x:c r="X1046" s="80" t="n">
        <x:f>W1046*('Inputs'!$B$6-AC1046)</x:f>
        <x:v>1290.6730615724634</x:v>
      </x:c>
      <x:c r="Y1046" s="80" t="n">
        <x:f>2*V1046</x:f>
        <x:v>406.54313897296777</x:v>
      </x:c>
      <x:c r="Z1046" s="80" t="n">
        <x:f>K1046*'Inputs'!$B$16+(G1046+R1046)*J1046*'Inputs'!$B$16</x:f>
        <x:v>2.450493975499722</x:v>
      </x:c>
      <x:c r="AA1046" s="80" t="n">
        <x:f>K1046*(1+'Inputs'!$E$46)/2*'Inputs'!$B$17</x:f>
        <x:v>0.8204950178496847</x:v>
      </x:c>
      <x:c r="AB1046" s="78" t="n">
        <x:f>(IF(J1046&gt;0,K1046*(1-'Inputs'!$E$46)/2/J1046,0)+G1046+R1046)*'Inputs'!$B$17</x:f>
        <x:v>576583.7295094135</x:v>
      </x:c>
      <x:c r="AC1046" s="78" t="n">
        <x:f>AC1045+AB1046</x:f>
        <x:v>90248037.77518077</x:v>
      </x:c>
      <x:c r="AD1046" s="80" t="n">
        <x:f>Z1046/(1+'Inputs'!$C$46)</x:f>
        <x:v>1.225246987749861</x:v>
      </x:c>
      <x:c r="AE1046" s="80" t="n">
        <x:f>Z1046-AD1046</x:f>
        <x:v>1.225246987749861</x:v>
      </x:c>
      <x:c r="AF1046" s="80" t="n">
        <x:f>D1046*W1046</x:f>
        <x:v>0.37112817684647276</x:v>
      </x:c>
      <x:c r="AG1046" s="80" t="n">
        <x:f>C1046*W1046</x:f>
        <x:v>0.8659657459751172</x:v>
      </x:c>
      <x:c r="AH1046" s="80" t="n">
        <x:f>2*'Inputs'!$B$8*'Inputs'!$C$46</x:f>
        <x:v>5000</x:v>
      </x:c>
      <x:c r="AI1046" s="81" t="n">
        <x:f>IF(AH1046&gt;0,(AE1046+AF1046)/AH1046*365,0)</x:f>
        <x:v>0.11653538701553237</x:v>
      </x:c>
      <x:c r="AJ1046" s="81" t="n">
        <x:f>IF('Inputs'!$B$46&gt;0,AG1046/('Inputs'!$B$19*'Inputs'!$B$46)*365,0)</x:f>
        <x:v>0.03160774972809178</x:v>
      </x:c>
      <x:c r="AK1046" s="81" t="n">
        <x:f>W1046/MAX($W$734:W1046)-1</x:f>
        <x:v>-0.9983166421251302</x:v>
      </x:c>
      <x:c r="AL1046" s="83" t="n">
        <x:f>'Inputs'!$B$46</x:f>
        <x:v>1</x:v>
      </x:c>
      <x:c r="AM1046" s="83" t="n">
        <x:f>'Inputs'!$C$46</x:f>
        <x:v>1</x:v>
      </x:c>
      <x:c r="AN1046" s="83" t="n">
        <x:f>'Inputs'!$D$46</x:f>
        <x:v>1</x:v>
      </x:c>
      <x:c r="AO1046" s="81" t="n">
        <x:f>'Inputs'!$E$46</x:f>
        <x:v>0</x:v>
      </x:c>
    </x:row>
    <x:row r="1047">
      <x:c r="A1047" s="59" t="str">
        <x:v>Base</x:v>
      </x:c>
      <x:c r="B1047" s="59" t="n">
        <x:v>314</x:v>
      </x:c>
      <x:c r="C1047" s="78" t="n">
        <x:f>(('Inputs'!$B$29*(3*314*'Inputs'!$B$12-314^2)/(2*'Inputs'!$B$12^2))-('Inputs'!$B$29*(3*313*'Inputs'!$B$12-313^2)/(2*'Inputs'!$B$12^2)))*'Inputs'!$B$46</x:f>
        <x:v>610064.9746668935</x:v>
      </x:c>
      <x:c r="D1047" s="78" t="n">
        <x:f>IF('Inputs'!$C$46&gt;0,('Inputs'!$B$30*(3*314*'Inputs'!$B$12-314^2)/(2*'Inputs'!$B$12^2))-('Inputs'!$B$30*(3*313*'Inputs'!$B$12-313^2)/(2*'Inputs'!$B$12^2)),0)</x:f>
        <x:v>261456.41771440208</x:v>
      </x:c>
      <x:c r="E1047" s="78" t="n">
        <x:f>C1047+D1047</x:f>
        <x:v>871521.3923812956</x:v>
      </x:c>
      <x:c r="F1047" s="78" t="n">
        <x:f>'Inputs'!$B$13*E1047+(1-'Inputs'!$B$13)/'Inputs'!$B$14*SUM(E992:E1047)</x:f>
        <x:v>881739.0692437575</x:v>
      </x:c>
      <x:c r="G1047" s="78" t="n">
        <x:f>F1047*'Inputs'!$F$46</x:f>
        <x:v>440869.53462187876</x:v>
      </x:c>
      <x:c r="H1047" s="78" t="n">
        <x:f>U1046</x:f>
        <x:v>143279281.72572687</x:v>
      </x:c>
      <x:c r="I1047" s="78" t="n">
        <x:f>V1046</x:f>
        <x:v>203.27156948648388</x:v>
      </x:c>
      <x:c r="J1047" s="79" t="n">
        <x:f>IF(H1047&gt;0,I1047/H1047,0)</x:f>
        <x:v>0.0000014187087416839343</x:v>
      </x:c>
      <x:c r="K1047" s="80" t="n">
        <x:f>(H1047*J1047+I1047)*'Inputs'!$D$46*(1+'Inputs'!$G$46)^(B1047/30)</x:f>
        <x:v>406.54313897296777</x:v>
      </x:c>
      <x:c r="L1047" s="80" t="n">
        <x:f>MAX(0,K1047*'Inputs'!$E$46)</x:f>
        <x:v>0</x:v>
      </x:c>
      <x:c r="M1047" s="80" t="n">
        <x:f>MAX(0,-K1047*'Inputs'!$E$46)</x:f>
        <x:v>0</x:v>
      </x:c>
      <x:c r="N1047" s="78" t="n">
        <x:f>H1047*(L1047*(1-'Inputs'!$B$15))/(I1047+L1047*(1-'Inputs'!$B$15))</x:f>
        <x:v>0</x:v>
      </x:c>
      <x:c r="O1047" s="78" t="n">
        <x:f>H1047-N1047</x:f>
        <x:v>143279281.72572687</x:v>
      </x:c>
      <x:c r="P1047" s="78" t="n">
        <x:f>I1047+L1047*(1-'Inputs'!$B$17)</x:f>
        <x:v>203.27156948648388</x:v>
      </x:c>
      <x:c r="Q1047" s="78" t="n">
        <x:f>IF(J1047&gt;0,M1047/J1047,0)</x:f>
        <x:v>0</x:v>
      </x:c>
      <x:c r="R1047" s="78" t="n">
        <x:f>IF(B1047='Inputs'!$H$46,'Inputs'!$B$27*'Inputs'!$I$46,0)</x:f>
        <x:v>0</x:v>
      </x:c>
      <x:c r="S1047" s="78" t="n">
        <x:f>Q1047+G1047+R1047</x:f>
        <x:v>440869.53462187876</x:v>
      </x:c>
      <x:c r="T1047" s="78" t="n">
        <x:f>P1047*(S1047*(1-'Inputs'!$B$15))/(O1047+S1047*(1-'Inputs'!$B$15))</x:f>
        <x:v>0.6173302815369957</x:v>
      </x:c>
      <x:c r="U1047" s="78" t="n">
        <x:f>O1047+S1047*(1-'Inputs'!$B$17)</x:f>
        <x:v>143718377.13747302</x:v>
      </x:c>
      <x:c r="V1047" s="78" t="n">
        <x:f>P1047-T1047</x:f>
        <x:v>202.6542392049469</x:v>
      </x:c>
      <x:c r="W1047" s="79" t="n">
        <x:f>IF(U1047&gt;0,V1047/U1047,0)</x:f>
        <x:v>0.0000014100788169288825</x:v>
      </x:c>
      <x:c r="X1047" s="80" t="n">
        <x:f>W1047*('Inputs'!$B$6-AC1047)</x:f>
        <x:v>1282.0064505087666</x:v>
      </x:c>
      <x:c r="Y1047" s="80" t="n">
        <x:f>2*V1047</x:f>
        <x:v>405.3084784098938</x:v>
      </x:c>
      <x:c r="Z1047" s="80" t="n">
        <x:f>K1047*'Inputs'!$B$16+(G1047+R1047)*J1047*'Inputs'!$B$16</x:f>
        <x:v>2.4430116266140676</x:v>
      </x:c>
      <x:c r="AA1047" s="80" t="n">
        <x:f>K1047*(1+'Inputs'!$E$46)/2*'Inputs'!$B$17</x:f>
        <x:v>0.8179942434063738</x:v>
      </x:c>
      <x:c r="AB1047" s="78" t="n">
        <x:f>(IF(J1047&gt;0,K1047*(1-'Inputs'!$E$46)/2/J1047,0)+G1047+R1047)*'Inputs'!$B$17</x:f>
        <x:v>578350.7092971781</x:v>
      </x:c>
      <x:c r="AC1047" s="78" t="n">
        <x:f>AC1046+AB1047</x:f>
        <x:v>90826388.48447795</x:v>
      </x:c>
      <x:c r="AD1047" s="80" t="n">
        <x:f>Z1047/(1+'Inputs'!$C$46)</x:f>
        <x:v>1.2215058133070338</x:v>
      </x:c>
      <x:c r="AE1047" s="80" t="n">
        <x:f>Z1047-AD1047</x:f>
        <x:v>1.2215058133070338</x:v>
      </x:c>
      <x:c r="AF1047" s="80" t="n">
        <x:f>D1047*W1047</x:f>
        <x:v>0.3686741561691878</x:v>
      </x:c>
      <x:c r="AG1047" s="80" t="n">
        <x:f>C1047*W1047</x:f>
        <x:v>0.8602396977280418</x:v>
      </x:c>
      <x:c r="AH1047" s="80" t="n">
        <x:f>2*'Inputs'!$B$8*'Inputs'!$C$46</x:f>
        <x:v>5000</x:v>
      </x:c>
      <x:c r="AI1047" s="81" t="n">
        <x:f>IF(AH1047&gt;0,(AE1047+AF1047)/AH1047*365,0)</x:f>
        <x:v>0.11608313777176417</x:v>
      </x:c>
      <x:c r="AJ1047" s="81" t="n">
        <x:f>IF('Inputs'!$B$46&gt;0,AG1047/('Inputs'!$B$19*'Inputs'!$B$46)*365,0)</x:f>
        <x:v>0.03139874896707352</x:v>
      </x:c>
      <x:c r="AK1047" s="81" t="n">
        <x:f>W1047/MAX($W$734:W1047)-1</x:f>
        <x:v>-0.9983268818955419</x:v>
      </x:c>
      <x:c r="AL1047" s="83" t="n">
        <x:f>'Inputs'!$B$46</x:f>
        <x:v>1</x:v>
      </x:c>
      <x:c r="AM1047" s="83" t="n">
        <x:f>'Inputs'!$C$46</x:f>
        <x:v>1</x:v>
      </x:c>
      <x:c r="AN1047" s="83" t="n">
        <x:f>'Inputs'!$D$46</x:f>
        <x:v>1</x:v>
      </x:c>
      <x:c r="AO1047" s="81" t="n">
        <x:f>'Inputs'!$E$46</x:f>
        <x:v>0</x:v>
      </x:c>
    </x:row>
    <x:row r="1048">
      <x:c r="A1048" s="59" t="str">
        <x:v>Base</x:v>
      </x:c>
      <x:c r="B1048" s="59" t="n">
        <x:v>315</x:v>
      </x:c>
      <x:c r="C1048" s="78" t="n">
        <x:f>(('Inputs'!$B$29*(3*315*'Inputs'!$B$12-315^2)/(2*'Inputs'!$B$12^2))-('Inputs'!$B$29*(3*314*'Inputs'!$B$12-314^2)/(2*'Inputs'!$B$12^2)))*'Inputs'!$B$46</x:f>
        <x:v>609739.8667667508</x:v>
      </x:c>
      <x:c r="D1048" s="78" t="n">
        <x:f>IF('Inputs'!$C$46&gt;0,('Inputs'!$B$30*(3*315*'Inputs'!$B$12-315^2)/(2*'Inputs'!$B$12^2))-('Inputs'!$B$30*(3*314*'Inputs'!$B$12-314^2)/(2*'Inputs'!$B$12^2)),0)</x:f>
        <x:v>261317.08575716615</x:v>
      </x:c>
      <x:c r="E1048" s="78" t="n">
        <x:f>C1048+D1048</x:f>
        <x:v>871056.952523917</x:v>
      </x:c>
      <x:c r="F1048" s="78" t="n">
        <x:f>'Inputs'!$B$13*E1048+(1-'Inputs'!$B$13)/'Inputs'!$B$14*SUM(E993:E1048)</x:f>
        <x:v>881274.6293863744</x:v>
      </x:c>
      <x:c r="G1048" s="78" t="n">
        <x:f>F1048*'Inputs'!$F$46</x:f>
        <x:v>440637.3146931872</x:v>
      </x:c>
      <x:c r="H1048" s="78" t="n">
        <x:f>U1047</x:f>
        <x:v>143718377.13747302</x:v>
      </x:c>
      <x:c r="I1048" s="78" t="n">
        <x:f>V1047</x:f>
        <x:v>202.6542392049469</x:v>
      </x:c>
      <x:c r="J1048" s="79" t="n">
        <x:f>IF(H1048&gt;0,I1048/H1048,0)</x:f>
        <x:v>0.0000014100788169288825</x:v>
      </x:c>
      <x:c r="K1048" s="80" t="n">
        <x:f>(H1048*J1048+I1048)*'Inputs'!$D$46*(1+'Inputs'!$G$46)^(B1048/30)</x:f>
        <x:v>405.3084784098938</x:v>
      </x:c>
      <x:c r="L1048" s="80" t="n">
        <x:f>MAX(0,K1048*'Inputs'!$E$46)</x:f>
        <x:v>0</x:v>
      </x:c>
      <x:c r="M1048" s="80" t="n">
        <x:f>MAX(0,-K1048*'Inputs'!$E$46)</x:f>
        <x:v>0</x:v>
      </x:c>
      <x:c r="N1048" s="78" t="n">
        <x:f>H1048*(L1048*(1-'Inputs'!$B$15))/(I1048+L1048*(1-'Inputs'!$B$15))</x:f>
        <x:v>0</x:v>
      </x:c>
      <x:c r="O1048" s="78" t="n">
        <x:f>H1048-N1048</x:f>
        <x:v>143718377.13747302</x:v>
      </x:c>
      <x:c r="P1048" s="78" t="n">
        <x:f>I1048+L1048*(1-'Inputs'!$B$17)</x:f>
        <x:v>202.6542392049469</x:v>
      </x:c>
      <x:c r="Q1048" s="78" t="n">
        <x:f>IF(J1048&gt;0,M1048/J1048,0)</x:f>
        <x:v>0</x:v>
      </x:c>
      <x:c r="R1048" s="78" t="n">
        <x:f>IF(B1048='Inputs'!$H$46,'Inputs'!$B$27*'Inputs'!$I$46,0)</x:f>
        <x:v>0</x:v>
      </x:c>
      <x:c r="S1048" s="78" t="n">
        <x:f>Q1048+G1048+R1048</x:f>
        <x:v>440637.3146931872</x:v>
      </x:c>
      <x:c r="T1048" s="78" t="n">
        <x:f>P1048*(S1048*(1-'Inputs'!$B$15))/(O1048+S1048*(1-'Inputs'!$B$15))</x:f>
        <x:v>0.6132585753225092</x:v>
      </x:c>
      <x:c r="U1048" s="78" t="n">
        <x:f>O1048+S1048*(1-'Inputs'!$B$17)</x:f>
        <x:v>144157241.2637771</x:v>
      </x:c>
      <x:c r="V1048" s="78" t="n">
        <x:f>P1048-T1048</x:f>
        <x:v>202.04098062962439</x:v>
      </x:c>
      <x:c r="W1048" s="79" t="n">
        <x:f>IF(U1048&gt;0,V1048/U1048,0)</x:f>
        <x:v>0.000001401531958147925</x:v>
      </x:c>
      <x:c r="X1048" s="80" t="n">
        <x:f>W1048*('Inputs'!$B$6-AC1048)</x:f>
        <x:v>1273.4228198674734</x:v>
      </x:c>
      <x:c r="Y1048" s="80" t="n">
        <x:f>2*V1048</x:f>
        <x:v>404.08196125924877</x:v>
      </x:c>
      <x:c r="Z1048" s="80" t="n">
        <x:f>K1048*'Inputs'!$B$16+(G1048+R1048)*J1048*'Inputs'!$B$16</x:f>
        <x:v>2.4355788705197465</x:v>
      </x:c>
      <x:c r="AA1048" s="80" t="n">
        <x:f>K1048*(1+'Inputs'!$E$46)/2*'Inputs'!$B$17</x:f>
        <x:v>0.8155100169213155</x:v>
      </x:c>
      <x:c r="AB1048" s="78" t="n">
        <x:f>(IF(J1048&gt;0,K1048*(1-'Inputs'!$E$46)/2/J1048,0)+G1048+R1048)*'Inputs'!$B$17</x:f>
        <x:v>580116.7583588178</x:v>
      </x:c>
      <x:c r="AC1048" s="78" t="n">
        <x:f>AC1047+AB1048</x:f>
        <x:v>91406505.24283677</x:v>
      </x:c>
      <x:c r="AD1048" s="80" t="n">
        <x:f>Z1048/(1+'Inputs'!$C$46)</x:f>
        <x:v>1.2177894352598733</x:v>
      </x:c>
      <x:c r="AE1048" s="80" t="n">
        <x:f>Z1048-AD1048</x:f>
        <x:v>1.2177894352598733</x:v>
      </x:c>
      <x:c r="AF1048" s="80" t="n">
        <x:f>D1048*W1048</x:f>
        <x:v>0.3662442468987503</x:v>
      </x:c>
      <x:c r="AG1048" s="80" t="n">
        <x:f>C1048*W1048</x:f>
        <x:v>0.8545699094304591</x:v>
      </x:c>
      <x:c r="AH1048" s="80" t="n">
        <x:f>2*'Inputs'!$B$8*'Inputs'!$C$46</x:f>
        <x:v>5000</x:v>
      </x:c>
      <x:c r="AI1048" s="81" t="n">
        <x:f>IF(AH1048&gt;0,(AE1048+AF1048)/AH1048*365,0)</x:f>
        <x:v>0.11563445879757953</x:v>
      </x:c>
      <x:c r="AJ1048" s="81" t="n">
        <x:f>IF('Inputs'!$B$46&gt;0,AG1048/('Inputs'!$B$19*'Inputs'!$B$46)*365,0)</x:f>
        <x:v>0.03119180169421176</x:v>
      </x:c>
      <x:c r="AK1048" s="81" t="n">
        <x:f>W1048/MAX($W$734:W1048)-1</x:f>
        <x:v>-0.9983370231046651</x:v>
      </x:c>
      <x:c r="AL1048" s="83" t="n">
        <x:f>'Inputs'!$B$46</x:f>
        <x:v>1</x:v>
      </x:c>
      <x:c r="AM1048" s="83" t="n">
        <x:f>'Inputs'!$C$46</x:f>
        <x:v>1</x:v>
      </x:c>
      <x:c r="AN1048" s="83" t="n">
        <x:f>'Inputs'!$D$46</x:f>
        <x:v>1</x:v>
      </x:c>
      <x:c r="AO1048" s="81" t="n">
        <x:f>'Inputs'!$E$46</x:f>
        <x:v>0</x:v>
      </x:c>
    </x:row>
    <x:row r="1049">
      <x:c r="A1049" s="59" t="str">
        <x:v>Base</x:v>
      </x:c>
      <x:c r="B1049" s="59" t="n">
        <x:v>316</x:v>
      </x:c>
      <x:c r="C1049" s="78" t="n">
        <x:f>(('Inputs'!$B$29*(3*316*'Inputs'!$B$12-316^2)/(2*'Inputs'!$B$12^2))-('Inputs'!$B$29*(3*315*'Inputs'!$B$12-315^2)/(2*'Inputs'!$B$12^2)))*'Inputs'!$B$46</x:f>
        <x:v>609414.7588665783</x:v>
      </x:c>
      <x:c r="D1049" s="78" t="n">
        <x:f>IF('Inputs'!$C$46&gt;0,('Inputs'!$B$30*(3*316*'Inputs'!$B$12-316^2)/(2*'Inputs'!$B$12^2))-('Inputs'!$B$30*(3*315*'Inputs'!$B$12-315^2)/(2*'Inputs'!$B$12^2)),0)</x:f>
        <x:v>261177.75379997492</x:v>
      </x:c>
      <x:c r="E1049" s="78" t="n">
        <x:f>C1049+D1049</x:f>
        <x:v>870592.5126665533</x:v>
      </x:c>
      <x:c r="F1049" s="78" t="n">
        <x:f>'Inputs'!$B$13*E1049+(1-'Inputs'!$B$13)/'Inputs'!$B$14*SUM(E994:E1049)</x:f>
        <x:v>880810.1895289947</x:v>
      </x:c>
      <x:c r="G1049" s="78" t="n">
        <x:f>F1049*'Inputs'!$F$46</x:f>
        <x:v>440405.09476449736</x:v>
      </x:c>
      <x:c r="H1049" s="78" t="n">
        <x:f>U1048</x:f>
        <x:v>144157241.2637771</x:v>
      </x:c>
      <x:c r="I1049" s="78" t="n">
        <x:f>V1048</x:f>
        <x:v>202.04098062962439</x:v>
      </x:c>
      <x:c r="J1049" s="79" t="n">
        <x:f>IF(H1049&gt;0,I1049/H1049,0)</x:f>
        <x:v>0.000001401531958147925</x:v>
      </x:c>
      <x:c r="K1049" s="80" t="n">
        <x:f>(H1049*J1049+I1049)*'Inputs'!$D$46*(1+'Inputs'!$G$46)^(B1049/30)</x:f>
        <x:v>404.08196125924877</x:v>
      </x:c>
      <x:c r="L1049" s="80" t="n">
        <x:f>MAX(0,K1049*'Inputs'!$E$46)</x:f>
        <x:v>0</x:v>
      </x:c>
      <x:c r="M1049" s="80" t="n">
        <x:f>MAX(0,-K1049*'Inputs'!$E$46)</x:f>
        <x:v>0</x:v>
      </x:c>
      <x:c r="N1049" s="78" t="n">
        <x:f>H1049*(L1049*(1-'Inputs'!$B$15))/(I1049+L1049*(1-'Inputs'!$B$15))</x:f>
        <x:v>0</x:v>
      </x:c>
      <x:c r="O1049" s="78" t="n">
        <x:f>H1049-N1049</x:f>
        <x:v>144157241.2637771</x:v>
      </x:c>
      <x:c r="P1049" s="78" t="n">
        <x:f>I1049+L1049*(1-'Inputs'!$B$17)</x:f>
        <x:v>202.04098062962439</x:v>
      </x:c>
      <x:c r="Q1049" s="78" t="n">
        <x:f>IF(J1049&gt;0,M1049/J1049,0)</x:f>
        <x:v>0</x:v>
      </x:c>
      <x:c r="R1049" s="78" t="n">
        <x:f>IF(B1049='Inputs'!$H$46,'Inputs'!$B$27*'Inputs'!$I$46,0)</x:f>
        <x:v>0</x:v>
      </x:c>
      <x:c r="S1049" s="78" t="n">
        <x:f>Q1049+G1049+R1049</x:f>
        <x:v>440405.09476449736</x:v>
      </x:c>
      <x:c r="T1049" s="78" t="n">
        <x:f>P1049*(S1049*(1-'Inputs'!$B$15))/(O1049+S1049*(1-'Inputs'!$B$15))</x:f>
        <x:v>0.6092268009379179</x:v>
      </x:c>
      <x:c r="U1049" s="78" t="n">
        <x:f>O1049+S1049*(1-'Inputs'!$B$17)</x:f>
        <x:v>144595874.10463914</x:v>
      </x:c>
      <x:c r="V1049" s="78" t="n">
        <x:f>P1049-T1049</x:f>
        <x:v>201.43175382868648</x:v>
      </x:c>
      <x:c r="W1049" s="79" t="n">
        <x:f>IF(U1049&gt;0,V1049/U1049,0)</x:f>
        <x:v>0.0000013930670918239142</x:v>
      </x:c>
      <x:c r="X1049" s="80" t="n">
        <x:f>W1049*('Inputs'!$B$6-AC1049)</x:f>
        <x:v>1264.9210968977366</x:v>
      </x:c>
      <x:c r="Y1049" s="80" t="n">
        <x:f>2*V1049</x:f>
        <x:v>402.86350765737296</x:v>
      </x:c>
      <x:c r="Z1049" s="80" t="n">
        <x:f>K1049*'Inputs'!$B$16+(G1049+R1049)*J1049*'Inputs'!$B$16</x:f>
        <x:v>2.428195218444554</x:v>
      </x:c>
      <x:c r="AA1049" s="80" t="n">
        <x:f>K1049*(1+'Inputs'!$E$46)/2*'Inputs'!$B$17</x:f>
        <x:v>0.8130421755719291</x:v>
      </x:c>
      <x:c r="AB1049" s="78" t="n">
        <x:f>(IF(J1049&gt;0,K1049*(1-'Inputs'!$E$46)/2/J1049,0)+G1049+R1049)*'Inputs'!$B$17</x:f>
        <x:v>581881.8766943325</x:v>
      </x:c>
      <x:c r="AC1049" s="78" t="n">
        <x:f>AC1048+AB1049</x:f>
        <x:v>91988387.11953111</x:v>
      </x:c>
      <x:c r="AD1049" s="80" t="n">
        <x:f>Z1049/(1+'Inputs'!$C$46)</x:f>
        <x:v>1.214097609222277</x:v>
      </x:c>
      <x:c r="AE1049" s="80" t="n">
        <x:f>Z1049-AD1049</x:f>
        <x:v>1.214097609222277</x:v>
      </x:c>
      <x:c r="AF1049" s="80" t="n">
        <x:f>D1049*W1049</x:f>
        <x:v>0.36383813393523334</x:v>
      </x:c>
      <x:c r="AG1049" s="80" t="n">
        <x:f>C1049*W1049</x:f>
        <x:v>0.8489556458488362</x:v>
      </x:c>
      <x:c r="AH1049" s="80" t="n">
        <x:f>2*'Inputs'!$B$8*'Inputs'!$C$46</x:f>
        <x:v>5000</x:v>
      </x:c>
      <x:c r="AI1049" s="81" t="n">
        <x:f>IF(AH1049&gt;0,(AE1049+AF1049)/AH1049*365,0)</x:f>
        <x:v>0.11518930925049825</x:v>
      </x:c>
      <x:c r="AJ1049" s="81" t="n">
        <x:f>IF('Inputs'!$B$46&gt;0,AG1049/('Inputs'!$B$19*'Inputs'!$B$46)*365,0)</x:f>
        <x:v>0.030986881073482523</x:v>
      </x:c>
      <x:c r="AK1049" s="81" t="n">
        <x:f>W1049/MAX($W$734:W1049)-1</x:f>
        <x:v>-0.9983470670262732</x:v>
      </x:c>
      <x:c r="AL1049" s="83" t="n">
        <x:f>'Inputs'!$B$46</x:f>
        <x:v>1</x:v>
      </x:c>
      <x:c r="AM1049" s="83" t="n">
        <x:f>'Inputs'!$C$46</x:f>
        <x:v>1</x:v>
      </x:c>
      <x:c r="AN1049" s="83" t="n">
        <x:f>'Inputs'!$D$46</x:f>
        <x:v>1</x:v>
      </x:c>
      <x:c r="AO1049" s="81" t="n">
        <x:f>'Inputs'!$E$46</x:f>
        <x:v>0</x:v>
      </x:c>
    </x:row>
    <x:row r="1050">
      <x:c r="A1050" s="59" t="str">
        <x:v>Base</x:v>
      </x:c>
      <x:c r="B1050" s="59" t="n">
        <x:v>317</x:v>
      </x:c>
      <x:c r="C1050" s="78" t="n">
        <x:f>(('Inputs'!$B$29*(3*317*'Inputs'!$B$12-317^2)/(2*'Inputs'!$B$12^2))-('Inputs'!$B$29*(3*316*'Inputs'!$B$12-316^2)/(2*'Inputs'!$B$12^2)))*'Inputs'!$B$46</x:f>
        <x:v>609089.6509664357</x:v>
      </x:c>
      <x:c r="D1050" s="78" t="n">
        <x:f>IF('Inputs'!$C$46&gt;0,('Inputs'!$B$30*(3*317*'Inputs'!$B$12-317^2)/(2*'Inputs'!$B$12^2))-('Inputs'!$B$30*(3*316*'Inputs'!$B$12-316^2)/(2*'Inputs'!$B$12^2)),0)</x:f>
        <x:v>261038.421842739</x:v>
      </x:c>
      <x:c r="E1050" s="78" t="n">
        <x:f>C1050+D1050</x:f>
        <x:v>870128.0728091747</x:v>
      </x:c>
      <x:c r="F1050" s="78" t="n">
        <x:f>'Inputs'!$B$13*E1050+(1-'Inputs'!$B$13)/'Inputs'!$B$14*SUM(E995:E1050)</x:f>
        <x:v>880345.7496716117</x:v>
      </x:c>
      <x:c r="G1050" s="78" t="n">
        <x:f>F1050*'Inputs'!$F$46</x:f>
        <x:v>440172.87483580585</x:v>
      </x:c>
      <x:c r="H1050" s="78" t="n">
        <x:f>U1049</x:f>
        <x:v>144595874.10463914</x:v>
      </x:c>
      <x:c r="I1050" s="78" t="n">
        <x:f>V1049</x:f>
        <x:v>201.43175382868648</x:v>
      </x:c>
      <x:c r="J1050" s="79" t="n">
        <x:f>IF(H1050&gt;0,I1050/H1050,0)</x:f>
        <x:v>0.0000013930670918239142</x:v>
      </x:c>
      <x:c r="K1050" s="80" t="n">
        <x:f>(H1050*J1050+I1050)*'Inputs'!$D$46*(1+'Inputs'!$G$46)^(B1050/30)</x:f>
        <x:v>402.86350765737296</x:v>
      </x:c>
      <x:c r="L1050" s="80" t="n">
        <x:f>MAX(0,K1050*'Inputs'!$E$46)</x:f>
        <x:v>0</x:v>
      </x:c>
      <x:c r="M1050" s="80" t="n">
        <x:f>MAX(0,-K1050*'Inputs'!$E$46)</x:f>
        <x:v>0</x:v>
      </x:c>
      <x:c r="N1050" s="78" t="n">
        <x:f>H1050*(L1050*(1-'Inputs'!$B$15))/(I1050+L1050*(1-'Inputs'!$B$15))</x:f>
        <x:v>0</x:v>
      </x:c>
      <x:c r="O1050" s="78" t="n">
        <x:f>H1050-N1050</x:f>
        <x:v>144595874.10463914</x:v>
      </x:c>
      <x:c r="P1050" s="78" t="n">
        <x:f>I1050+L1050*(1-'Inputs'!$B$17)</x:f>
        <x:v>201.43175382868648</x:v>
      </x:c>
      <x:c r="Q1050" s="78" t="n">
        <x:f>IF(J1050&gt;0,M1050/J1050,0)</x:f>
        <x:v>0</x:v>
      </x:c>
      <x:c r="R1050" s="78" t="n">
        <x:f>IF(B1050='Inputs'!$H$46,'Inputs'!$B$27*'Inputs'!$I$46,0)</x:f>
        <x:v>0</x:v>
      </x:c>
      <x:c r="S1050" s="78" t="n">
        <x:f>Q1050+G1050+R1050</x:f>
        <x:v>440172.87483580585</x:v>
      </x:c>
      <x:c r="T1050" s="78" t="n">
        <x:f>P1050*(S1050*(1-'Inputs'!$B$15))/(O1050+S1050*(1-'Inputs'!$B$15))</x:f>
        <x:v>0.6052344374400703</x:v>
      </x:c>
      <x:c r="U1050" s="78" t="n">
        <x:f>O1050+S1050*(1-'Inputs'!$B$17)</x:f>
        <x:v>145034275.66005912</x:v>
      </x:c>
      <x:c r="V1050" s="78" t="n">
        <x:f>P1050-T1050</x:f>
        <x:v>200.82651939124642</x:v>
      </x:c>
      <x:c r="W1050" s="79" t="n">
        <x:f>IF(U1050&gt;0,V1050/U1050,0)</x:f>
        <x:v>0.000001384683161806226</x:v>
      </x:c>
      <x:c r="X1050" s="80" t="n">
        <x:f>W1050*('Inputs'!$B$6-AC1050)</x:f>
        <x:v>1256.5002262024027</x:v>
      </x:c>
      <x:c r="Y1050" s="80" t="n">
        <x:f>2*V1050</x:f>
        <x:v>401.65303878249284</x:v>
      </x:c>
      <x:c r="Z1050" s="80" t="n">
        <x:f>K1050*'Inputs'!$B$16+(G1050+R1050)*J1050*'Inputs'!$B$16</x:f>
        <x:v>2.420860188024122</x:v>
      </x:c>
      <x:c r="AA1050" s="80" t="n">
        <x:f>K1050*(1+'Inputs'!$E$46)/2*'Inputs'!$B$17</x:f>
        <x:v>0.8105905586667465</x:v>
      </x:c>
      <x:c r="AB1050" s="78" t="n">
        <x:f>(IF(J1050&gt;0,K1050*(1-'Inputs'!$E$46)/2/J1050,0)+G1050+R1050)*'Inputs'!$B$17</x:f>
        <x:v>583646.0643037222</x:v>
      </x:c>
      <x:c r="AC1050" s="78" t="n">
        <x:f>AC1049+AB1050</x:f>
        <x:v>92572033.18383484</x:v>
      </x:c>
      <x:c r="AD1050" s="80" t="n">
        <x:f>Z1050/(1+'Inputs'!$C$46)</x:f>
        <x:v>1.210430094012061</x:v>
      </x:c>
      <x:c r="AE1050" s="80" t="n">
        <x:f>Z1050-AD1050</x:f>
        <x:v>1.210430094012061</x:v>
      </x:c>
      <x:c r="AF1050" s="80" t="n">
        <x:f>D1050*W1050</x:f>
        <x:v>0.3614555073101112</x:v>
      </x:c>
      <x:c r="AG1050" s="80" t="n">
        <x:f>C1050*W1050</x:f>
        <x:v>0.8433961837236548</x:v>
      </x:c>
      <x:c r="AH1050" s="80" t="n">
        <x:f>2*'Inputs'!$B$8*'Inputs'!$C$46</x:f>
        <x:v>5000</x:v>
      </x:c>
      <x:c r="AI1050" s="81" t="n">
        <x:f>IF(AH1050&gt;0,(AE1050+AF1050)/AH1050*365,0)</x:f>
        <x:v>0.11474764889651855</x:v>
      </x:c>
      <x:c r="AJ1050" s="81" t="n">
        <x:f>IF('Inputs'!$B$46&gt;0,AG1050/('Inputs'!$B$19*'Inputs'!$B$46)*365,0)</x:f>
        <x:v>0.030783960705913396</x:v>
      </x:c>
      <x:c r="AK1050" s="81" t="n">
        <x:f>W1050/MAX($W$734:W1050)-1</x:f>
        <x:v>-0.9983570149135336</x:v>
      </x:c>
      <x:c r="AL1050" s="83" t="n">
        <x:f>'Inputs'!$B$46</x:f>
        <x:v>1</x:v>
      </x:c>
      <x:c r="AM1050" s="83" t="n">
        <x:f>'Inputs'!$C$46</x:f>
        <x:v>1</x:v>
      </x:c>
      <x:c r="AN1050" s="83" t="n">
        <x:f>'Inputs'!$D$46</x:f>
        <x:v>1</x:v>
      </x:c>
      <x:c r="AO1050" s="81" t="n">
        <x:f>'Inputs'!$E$46</x:f>
        <x:v>0</x:v>
      </x:c>
    </x:row>
    <x:row r="1051">
      <x:c r="A1051" s="59" t="str">
        <x:v>Base</x:v>
      </x:c>
      <x:c r="B1051" s="59" t="n">
        <x:v>318</x:v>
      </x:c>
      <x:c r="C1051" s="78" t="n">
        <x:f>(('Inputs'!$B$29*(3*318*'Inputs'!$B$12-318^2)/(2*'Inputs'!$B$12^2))-('Inputs'!$B$29*(3*317*'Inputs'!$B$12-317^2)/(2*'Inputs'!$B$12^2)))*'Inputs'!$B$46</x:f>
        <x:v>608764.5430662334</x:v>
      </x:c>
      <x:c r="D1051" s="78" t="n">
        <x:f>IF('Inputs'!$C$46&gt;0,('Inputs'!$B$30*(3*318*'Inputs'!$B$12-318^2)/(2*'Inputs'!$B$12^2))-('Inputs'!$B$30*(3*317*'Inputs'!$B$12-317^2)/(2*'Inputs'!$B$12^2)),0)</x:f>
        <x:v>260899.08988553286</x:v>
      </x:c>
      <x:c r="E1051" s="78" t="n">
        <x:f>C1051+D1051</x:f>
        <x:v>869663.6329517663</x:v>
      </x:c>
      <x:c r="F1051" s="78" t="n">
        <x:f>'Inputs'!$B$13*E1051+(1-'Inputs'!$B$13)/'Inputs'!$B$14*SUM(E996:E1051)</x:f>
        <x:v>879881.3098142229</x:v>
      </x:c>
      <x:c r="G1051" s="78" t="n">
        <x:f>F1051*'Inputs'!$F$46</x:f>
        <x:v>439940.6549071114</x:v>
      </x:c>
      <x:c r="H1051" s="78" t="n">
        <x:f>U1050</x:f>
        <x:v>145034275.66005912</x:v>
      </x:c>
      <x:c r="I1051" s="78" t="n">
        <x:f>V1050</x:f>
        <x:v>200.82651939124642</x:v>
      </x:c>
      <x:c r="J1051" s="79" t="n">
        <x:f>IF(H1051&gt;0,I1051/H1051,0)</x:f>
        <x:v>0.000001384683161806226</x:v>
      </x:c>
      <x:c r="K1051" s="80" t="n">
        <x:f>(H1051*J1051+I1051)*'Inputs'!$D$46*(1+'Inputs'!$G$46)^(B1051/30)</x:f>
        <x:v>401.65303878249284</x:v>
      </x:c>
      <x:c r="L1051" s="80" t="n">
        <x:f>MAX(0,K1051*'Inputs'!$E$46)</x:f>
        <x:v>0</x:v>
      </x:c>
      <x:c r="M1051" s="80" t="n">
        <x:f>MAX(0,-K1051*'Inputs'!$E$46)</x:f>
        <x:v>0</x:v>
      </x:c>
      <x:c r="N1051" s="78" t="n">
        <x:f>H1051*(L1051*(1-'Inputs'!$B$15))/(I1051+L1051*(1-'Inputs'!$B$15))</x:f>
        <x:v>0</x:v>
      </x:c>
      <x:c r="O1051" s="78" t="n">
        <x:f>H1051-N1051</x:f>
        <x:v>145034275.66005912</x:v>
      </x:c>
      <x:c r="P1051" s="78" t="n">
        <x:f>I1051+L1051*(1-'Inputs'!$B$17)</x:f>
        <x:v>200.82651939124642</x:v>
      </x:c>
      <x:c r="Q1051" s="78" t="n">
        <x:f>IF(J1051&gt;0,M1051/J1051,0)</x:f>
        <x:v>0</x:v>
      </x:c>
      <x:c r="R1051" s="78" t="n">
        <x:f>IF(B1051='Inputs'!$H$46,'Inputs'!$B$27*'Inputs'!$I$46,0)</x:f>
        <x:v>0</x:v>
      </x:c>
      <x:c r="S1051" s="78" t="n">
        <x:f>Q1051+G1051+R1051</x:f>
        <x:v>439940.6549071114</x:v>
      </x:c>
      <x:c r="T1051" s="78" t="n">
        <x:f>P1051*(S1051*(1-'Inputs'!$B$15))/(O1051+S1051*(1-'Inputs'!$B$15))</x:f>
        <x:v>0.6012809723554589</x:v>
      </x:c>
      <x:c r="U1051" s="78" t="n">
        <x:f>O1051+S1051*(1-'Inputs'!$B$17)</x:f>
        <x:v>145472445.93003702</x:v>
      </x:c>
      <x:c r="V1051" s="78" t="n">
        <x:f>P1051-T1051</x:f>
        <x:v>200.22523841889097</x:v>
      </x:c>
      <x:c r="W1051" s="79" t="n">
        <x:f>IF(U1051&gt;0,V1051/U1051,0)</x:f>
        <x:v>0.0000013763791289739265</x:v>
      </x:c>
      <x:c r="X1051" s="80" t="n">
        <x:f>W1051*('Inputs'!$B$6-AC1051)</x:f>
        <x:v>1248.159169401426</x:v>
      </x:c>
      <x:c r="Y1051" s="80" t="n">
        <x:f>2*V1051</x:f>
        <x:v>400.45047683778193</x:v>
      </x:c>
      <x:c r="Z1051" s="80" t="n">
        <x:f>K1051*'Inputs'!$B$16+(G1051+R1051)*J1051*'Inputs'!$B$16</x:f>
        <x:v>2.4135733031972206</x:v>
      </x:c>
      <x:c r="AA1051" s="80" t="n">
        <x:f>K1051*(1+'Inputs'!$E$46)/2*'Inputs'!$B$17</x:f>
        <x:v>0.8081550076106496</x:v>
      </x:c>
      <x:c r="AB1051" s="78" t="n">
        <x:f>(IF(J1051&gt;0,K1051*(1-'Inputs'!$E$46)/2/J1051,0)+G1051+R1051)*'Inputs'!$B$17</x:f>
        <x:v>585409.3211869869</x:v>
      </x:c>
      <x:c r="AC1051" s="78" t="n">
        <x:f>AC1050+AB1051</x:f>
        <x:v>93157442.50502183</x:v>
      </x:c>
      <x:c r="AD1051" s="80" t="n">
        <x:f>Z1051/(1+'Inputs'!$C$46)</x:f>
        <x:v>1.2067866515986103</x:v>
      </x:c>
      <x:c r="AE1051" s="80" t="n">
        <x:f>Z1051-AD1051</x:f>
        <x:v>1.2067866515986103</x:v>
      </x:c>
      <x:c r="AF1051" s="80" t="n">
        <x:f>D1051*W1051</x:f>
        <x:v>0.3590960620867399</x:v>
      </x:c>
      <x:c r="AG1051" s="80" t="n">
        <x:f>C1051*W1051</x:f>
        <x:v>0.8378908115357127</x:v>
      </x:c>
      <x:c r="AH1051" s="80" t="n">
        <x:f>2*'Inputs'!$B$8*'Inputs'!$C$46</x:f>
        <x:v>5000</x:v>
      </x:c>
      <x:c r="AI1051" s="81" t="n">
        <x:f>IF(AH1051&gt;0,(AE1051+AF1051)/AH1051*365,0)</x:f>
        <x:v>0.11430943809903056</x:v>
      </x:c>
      <x:c r="AJ1051" s="81" t="n">
        <x:f>IF('Inputs'!$B$46&gt;0,AG1051/('Inputs'!$B$19*'Inputs'!$B$46)*365,0)</x:f>
        <x:v>0.030583014621053513</x:v>
      </x:c>
      <x:c r="AK1051" s="81" t="n">
        <x:f>W1051/MAX($W$734:W1051)-1</x:f>
        <x:v>-0.9983668679994072</x:v>
      </x:c>
      <x:c r="AL1051" s="83" t="n">
        <x:f>'Inputs'!$B$46</x:f>
        <x:v>1</x:v>
      </x:c>
      <x:c r="AM1051" s="83" t="n">
        <x:f>'Inputs'!$C$46</x:f>
        <x:v>1</x:v>
      </x:c>
      <x:c r="AN1051" s="83" t="n">
        <x:f>'Inputs'!$D$46</x:f>
        <x:v>1</x:v>
      </x:c>
      <x:c r="AO1051" s="81" t="n">
        <x:f>'Inputs'!$E$46</x:f>
        <x:v>0</x:v>
      </x:c>
    </x:row>
    <x:row r="1052">
      <x:c r="A1052" s="59" t="str">
        <x:v>Base</x:v>
      </x:c>
      <x:c r="B1052" s="59" t="n">
        <x:v>319</x:v>
      </x:c>
      <x:c r="C1052" s="78" t="n">
        <x:f>(('Inputs'!$B$29*(3*319*'Inputs'!$B$12-319^2)/(2*'Inputs'!$B$12^2))-('Inputs'!$B$29*(3*318*'Inputs'!$B$12-318^2)/(2*'Inputs'!$B$12^2)))*'Inputs'!$B$46</x:f>
        <x:v>608439.4351660609</x:v>
      </x:c>
      <x:c r="D1052" s="78" t="n">
        <x:f>IF('Inputs'!$C$46&gt;0,('Inputs'!$B$30*(3*319*'Inputs'!$B$12-319^2)/(2*'Inputs'!$B$12^2))-('Inputs'!$B$30*(3*318*'Inputs'!$B$12-318^2)/(2*'Inputs'!$B$12^2)),0)</x:f>
        <x:v>260759.75792831182</x:v>
      </x:c>
      <x:c r="E1052" s="78" t="n">
        <x:f>C1052+D1052</x:f>
        <x:v>869199.1930943727</x:v>
      </x:c>
      <x:c r="F1052" s="78" t="n">
        <x:f>'Inputs'!$B$13*E1052+(1-'Inputs'!$B$13)/'Inputs'!$B$14*SUM(E997:E1052)</x:f>
        <x:v>879416.8699568363</x:v>
      </x:c>
      <x:c r="G1052" s="78" t="n">
        <x:f>F1052*'Inputs'!$F$46</x:f>
        <x:v>439708.43497841817</x:v>
      </x:c>
      <x:c r="H1052" s="78" t="n">
        <x:f>U1051</x:f>
        <x:v>145472445.93003702</x:v>
      </x:c>
      <x:c r="I1052" s="78" t="n">
        <x:f>V1051</x:f>
        <x:v>200.22523841889097</x:v>
      </x:c>
      <x:c r="J1052" s="79" t="n">
        <x:f>IF(H1052&gt;0,I1052/H1052,0)</x:f>
        <x:v>0.0000013763791289739265</x:v>
      </x:c>
      <x:c r="K1052" s="80" t="n">
        <x:f>(H1052*J1052+I1052)*'Inputs'!$D$46*(1+'Inputs'!$G$46)^(B1052/30)</x:f>
        <x:v>400.45047683778193</x:v>
      </x:c>
      <x:c r="L1052" s="80" t="n">
        <x:f>MAX(0,K1052*'Inputs'!$E$46)</x:f>
        <x:v>0</x:v>
      </x:c>
      <x:c r="M1052" s="80" t="n">
        <x:f>MAX(0,-K1052*'Inputs'!$E$46)</x:f>
        <x:v>0</x:v>
      </x:c>
      <x:c r="N1052" s="78" t="n">
        <x:f>H1052*(L1052*(1-'Inputs'!$B$15))/(I1052+L1052*(1-'Inputs'!$B$15))</x:f>
        <x:v>0</x:v>
      </x:c>
      <x:c r="O1052" s="78" t="n">
        <x:f>H1052-N1052</x:f>
        <x:v>145472445.93003702</x:v>
      </x:c>
      <x:c r="P1052" s="78" t="n">
        <x:f>I1052+L1052*(1-'Inputs'!$B$17)</x:f>
        <x:v>200.22523841889097</x:v>
      </x:c>
      <x:c r="Q1052" s="78" t="n">
        <x:f>IF(J1052&gt;0,M1052/J1052,0)</x:f>
        <x:v>0</x:v>
      </x:c>
      <x:c r="R1052" s="78" t="n">
        <x:f>IF(B1052='Inputs'!$H$46,'Inputs'!$B$27*'Inputs'!$I$46,0)</x:f>
        <x:v>0</x:v>
      </x:c>
      <x:c r="S1052" s="78" t="n">
        <x:f>Q1052+G1052+R1052</x:f>
        <x:v>439708.43497841817</x:v>
      </x:c>
      <x:c r="T1052" s="78" t="n">
        <x:f>P1052*(S1052*(1-'Inputs'!$B$15))/(O1052+S1052*(1-'Inputs'!$B$15))</x:f>
        <x:v>0.5973659015154869</x:v>
      </x:c>
      <x:c r="U1052" s="78" t="n">
        <x:f>O1052+S1052*(1-'Inputs'!$B$17)</x:f>
        <x:v>145910384.91457286</x:v>
      </x:c>
      <x:c r="V1052" s="78" t="n">
        <x:f>P1052-T1052</x:f>
        <x:v>199.6278725173755</x:v>
      </x:c>
      <x:c r="W1052" s="79" t="n">
        <x:f>IF(U1052&gt;0,V1052/U1052,0)</x:f>
        <x:v>0.0000013681539709065463</x:v>
      </x:c>
      <x:c r="X1052" s="80" t="n">
        <x:f>W1052*('Inputs'!$B$6-AC1052)</x:f>
        <x:v>1239.8969048028848</x:v>
      </x:c>
      <x:c r="Y1052" s="80" t="n">
        <x:f>2*V1052</x:f>
        <x:v>399.255745034751</x:v>
      </x:c>
      <x:c r="Z1052" s="80" t="n">
        <x:f>K1052*'Inputs'!$B$16+(G1052+R1052)*J1052*'Inputs'!$B$16</x:f>
        <x:v>2.40633409410312</x:v>
      </x:c>
      <x:c r="AA1052" s="80" t="n">
        <x:f>K1052*(1+'Inputs'!$E$46)/2*'Inputs'!$B$17</x:f>
        <x:v>0.8057353658707886</x:v>
      </x:c>
      <x:c r="AB1052" s="78" t="n">
        <x:f>(IF(J1052&gt;0,K1052*(1-'Inputs'!$E$46)/2/J1052,0)+G1052+R1052)*'Inputs'!$B$17</x:f>
        <x:v>587171.6473441266</x:v>
      </x:c>
      <x:c r="AC1052" s="78" t="n">
        <x:f>AC1051+AB1052</x:f>
        <x:v>93744614.15236595</x:v>
      </x:c>
      <x:c r="AD1052" s="80" t="n">
        <x:f>Z1052/(1+'Inputs'!$C$46)</x:f>
        <x:v>1.20316704705156</x:v>
      </x:c>
      <x:c r="AE1052" s="80" t="n">
        <x:f>Z1052-AD1052</x:f>
        <x:v>1.20316704705156</x:v>
      </x:c>
      <x:c r="AF1052" s="80" t="n">
        <x:f>D1052*W1052</x:f>
        <x:v>0.3567594982622496</x:v>
      </x:c>
      <x:c r="AG1052" s="80" t="n">
        <x:f>C1052*W1052</x:f>
        <x:v>0.8324388292785824</x:v>
      </x:c>
      <x:c r="AH1052" s="80" t="n">
        <x:f>2*'Inputs'!$B$8*'Inputs'!$C$46</x:f>
        <x:v>5000</x:v>
      </x:c>
      <x:c r="AI1052" s="81" t="n">
        <x:f>IF(AH1052&gt;0,(AE1052+AF1052)/AH1052*365,0)</x:f>
        <x:v>0.11387463780790809</x:v>
      </x:c>
      <x:c r="AJ1052" s="81" t="n">
        <x:f>IF('Inputs'!$B$46&gt;0,AG1052/('Inputs'!$B$19*'Inputs'!$B$46)*365,0)</x:f>
        <x:v>0.030384017268668257</x:v>
      </x:c>
      <x:c r="AK1052" s="81" t="n">
        <x:f>W1052/MAX($W$734:W1052)-1</x:f>
        <x:v>-0.998376627497039</x:v>
      </x:c>
      <x:c r="AL1052" s="83" t="n">
        <x:f>'Inputs'!$B$46</x:f>
        <x:v>1</x:v>
      </x:c>
      <x:c r="AM1052" s="83" t="n">
        <x:f>'Inputs'!$C$46</x:f>
        <x:v>1</x:v>
      </x:c>
      <x:c r="AN1052" s="83" t="n">
        <x:f>'Inputs'!$D$46</x:f>
        <x:v>1</x:v>
      </x:c>
      <x:c r="AO1052" s="81" t="n">
        <x:f>'Inputs'!$E$46</x:f>
        <x:v>0</x:v>
      </x:c>
    </x:row>
    <x:row r="1053">
      <x:c r="A1053" s="59" t="str">
        <x:v>Base</x:v>
      </x:c>
      <x:c r="B1053" s="59" t="n">
        <x:v>320</x:v>
      </x:c>
      <x:c r="C1053" s="78" t="n">
        <x:f>(('Inputs'!$B$29*(3*320*'Inputs'!$B$12-320^2)/(2*'Inputs'!$B$12^2))-('Inputs'!$B$29*(3*319*'Inputs'!$B$12-319^2)/(2*'Inputs'!$B$12^2)))*'Inputs'!$B$46</x:f>
        <x:v>608114.3272659183</x:v>
      </x:c>
      <x:c r="D1053" s="78" t="n">
        <x:f>IF('Inputs'!$C$46&gt;0,('Inputs'!$B$30*(3*320*'Inputs'!$B$12-320^2)/(2*'Inputs'!$B$12^2))-('Inputs'!$B$30*(3*319*'Inputs'!$B$12-319^2)/(2*'Inputs'!$B$12^2)),0)</x:f>
        <x:v>260620.4259711057</x:v>
      </x:c>
      <x:c r="E1053" s="78" t="n">
        <x:f>C1053+D1053</x:f>
        <x:v>868734.753237024</x:v>
      </x:c>
      <x:c r="F1053" s="78" t="n">
        <x:f>'Inputs'!$B$13*E1053+(1-'Inputs'!$B$13)/'Inputs'!$B$14*SUM(E998:E1053)</x:f>
        <x:v>878952.4300994595</x:v>
      </x:c>
      <x:c r="G1053" s="78" t="n">
        <x:f>F1053*'Inputs'!$F$46</x:f>
        <x:v>439476.21504972974</x:v>
      </x:c>
      <x:c r="H1053" s="78" t="n">
        <x:f>U1052</x:f>
        <x:v>145910384.91457286</x:v>
      </x:c>
      <x:c r="I1053" s="78" t="n">
        <x:f>V1052</x:f>
        <x:v>199.6278725173755</x:v>
      </x:c>
      <x:c r="J1053" s="79" t="n">
        <x:f>IF(H1053&gt;0,I1053/H1053,0)</x:f>
        <x:v>0.0000013681539709065463</x:v>
      </x:c>
      <x:c r="K1053" s="80" t="n">
        <x:f>(H1053*J1053+I1053)*'Inputs'!$D$46*(1+'Inputs'!$G$46)^(B1053/30)</x:f>
        <x:v>399.255745034751</x:v>
      </x:c>
      <x:c r="L1053" s="80" t="n">
        <x:f>MAX(0,K1053*'Inputs'!$E$46)</x:f>
        <x:v>0</x:v>
      </x:c>
      <x:c r="M1053" s="80" t="n">
        <x:f>MAX(0,-K1053*'Inputs'!$E$46)</x:f>
        <x:v>0</x:v>
      </x:c>
      <x:c r="N1053" s="78" t="n">
        <x:f>H1053*(L1053*(1-'Inputs'!$B$15))/(I1053+L1053*(1-'Inputs'!$B$15))</x:f>
        <x:v>0</x:v>
      </x:c>
      <x:c r="O1053" s="78" t="n">
        <x:f>H1053-N1053</x:f>
        <x:v>145910384.91457286</x:v>
      </x:c>
      <x:c r="P1053" s="78" t="n">
        <x:f>I1053+L1053*(1-'Inputs'!$B$17)</x:f>
        <x:v>199.6278725173755</x:v>
      </x:c>
      <x:c r="Q1053" s="78" t="n">
        <x:f>IF(J1053&gt;0,M1053/J1053,0)</x:f>
        <x:v>0</x:v>
      </x:c>
      <x:c r="R1053" s="78" t="n">
        <x:f>IF(B1053='Inputs'!$H$46,'Inputs'!$B$27*'Inputs'!$I$46,0)</x:f>
        <x:v>0</x:v>
      </x:c>
      <x:c r="S1053" s="78" t="n">
        <x:f>Q1053+G1053+R1053</x:f>
        <x:v>439476.21504972974</x:v>
      </x:c>
      <x:c r="T1053" s="78" t="n">
        <x:f>P1053*(S1053*(1-'Inputs'!$B$15))/(O1053+S1053*(1-'Inputs'!$B$15))</x:f>
        <x:v>0.5934887288954476</x:v>
      </x:c>
      <x:c r="U1053" s="78" t="n">
        <x:f>O1053+S1053*(1-'Inputs'!$B$17)</x:f>
        <x:v>146348092.61366665</x:v>
      </x:c>
      <x:c r="V1053" s="78" t="n">
        <x:f>P1053-T1053</x:f>
        <x:v>199.03438378848006</x:v>
      </x:c>
      <x:c r="W1053" s="79" t="n">
        <x:f>IF(U1053&gt;0,V1053/U1053,0)</x:f>
        <x:v>0.0000013600066815622667</x:v>
      </x:c>
      <x:c r="X1053" s="80" t="n">
        <x:f>W1053*('Inputs'!$B$6-AC1053)</x:f>
        <x:v>1231.7124270814054</x:v>
      </x:c>
      <x:c r="Y1053" s="80" t="n">
        <x:f>2*V1053</x:f>
        <x:v>398.0687675769601</x:v>
      </x:c>
      <x:c r="Z1053" s="80" t="n">
        <x:f>K1053*'Inputs'!$B$16+(G1053+R1053)*J1053*'Inputs'!$B$16</x:f>
        <x:v>2.3991420969809414</x:v>
      </x:c>
      <x:c r="AA1053" s="80" t="n">
        <x:f>K1053*(1+'Inputs'!$E$46)/2*'Inputs'!$B$17</x:f>
        <x:v>0.803331478943161</x:v>
      </x:c>
      <x:c r="AB1053" s="78" t="n">
        <x:f>(IF(J1053&gt;0,K1053*(1-'Inputs'!$E$46)/2/J1053,0)+G1053+R1053)*'Inputs'!$B$17</x:f>
        <x:v>588933.0427751413</x:v>
      </x:c>
      <x:c r="AC1053" s="78" t="n">
        <x:f>AC1052+AB1053</x:f>
        <x:v>94333547.19514109</x:v>
      </x:c>
      <x:c r="AD1053" s="80" t="n">
        <x:f>Z1053/(1+'Inputs'!$C$46)</x:f>
        <x:v>1.1995710484904707</x:v>
      </x:c>
      <x:c r="AE1053" s="80" t="n">
        <x:f>Z1053-AD1053</x:f>
        <x:v>1.1995710484904707</x:v>
      </x:c>
      <x:c r="AF1053" s="80" t="n">
        <x:f>D1053*W1053</x:f>
        <x:v>0.35444552067230783</x:v>
      </x:c>
      <x:c r="AG1053" s="80" t="n">
        <x:f>C1053*W1053</x:f>
        <x:v>0.8270395482353917</x:v>
      </x:c>
      <x:c r="AH1053" s="80" t="n">
        <x:f>2*'Inputs'!$B$8*'Inputs'!$C$46</x:f>
        <x:v>5000</x:v>
      </x:c>
      <x:c r="AI1053" s="81" t="n">
        <x:f>IF(AH1053&gt;0,(AE1053+AF1053)/AH1053*365,0)</x:f>
        <x:v>0.11344320954888283</x:v>
      </x:c>
      <x:c r="AJ1053" s="81" t="n">
        <x:f>IF('Inputs'!$B$46&gt;0,AG1053/('Inputs'!$B$19*'Inputs'!$B$46)*365,0)</x:f>
        <x:v>0.0301869435105918</x:v>
      </x:c>
      <x:c r="AK1053" s="81" t="n">
        <x:f>W1053/MAX($W$734:W1053)-1</x:f>
        <x:v>-0.9983862946001404</x:v>
      </x:c>
      <x:c r="AL1053" s="83" t="n">
        <x:f>'Inputs'!$B$46</x:f>
        <x:v>1</x:v>
      </x:c>
      <x:c r="AM1053" s="83" t="n">
        <x:f>'Inputs'!$C$46</x:f>
        <x:v>1</x:v>
      </x:c>
      <x:c r="AN1053" s="83" t="n">
        <x:f>'Inputs'!$D$46</x:f>
        <x:v>1</x:v>
      </x:c>
      <x:c r="AO1053" s="81" t="n">
        <x:f>'Inputs'!$E$46</x:f>
        <x:v>0</x:v>
      </x:c>
    </x:row>
    <x:row r="1054">
      <x:c r="A1054" s="59" t="str">
        <x:v>Base</x:v>
      </x:c>
      <x:c r="B1054" s="59" t="n">
        <x:v>321</x:v>
      </x:c>
      <x:c r="C1054" s="78" t="n">
        <x:f>(('Inputs'!$B$29*(3*321*'Inputs'!$B$12-321^2)/(2*'Inputs'!$B$12^2))-('Inputs'!$B$29*(3*320*'Inputs'!$B$12-320^2)/(2*'Inputs'!$B$12^2)))*'Inputs'!$B$46</x:f>
        <x:v>607789.219365716</x:v>
      </x:c>
      <x:c r="D1054" s="78" t="n">
        <x:f>IF('Inputs'!$C$46&gt;0,('Inputs'!$B$30*(3*321*'Inputs'!$B$12-321^2)/(2*'Inputs'!$B$12^2))-('Inputs'!$B$30*(3*320*'Inputs'!$B$12-320^2)/(2*'Inputs'!$B$12^2)),0)</x:f>
        <x:v>260481.09401388466</x:v>
      </x:c>
      <x:c r="E1054" s="78" t="n">
        <x:f>C1054+D1054</x:f>
        <x:v>868270.3133796006</x:v>
      </x:c>
      <x:c r="F1054" s="78" t="n">
        <x:f>'Inputs'!$B$13*E1054+(1-'Inputs'!$B$13)/'Inputs'!$B$14*SUM(E999:E1054)</x:f>
        <x:v>878487.9902420677</x:v>
      </x:c>
      <x:c r="G1054" s="78" t="n">
        <x:f>F1054*'Inputs'!$F$46</x:f>
        <x:v>439243.99512103386</x:v>
      </x:c>
      <x:c r="H1054" s="78" t="n">
        <x:f>U1053</x:f>
        <x:v>146348092.61366665</x:v>
      </x:c>
      <x:c r="I1054" s="78" t="n">
        <x:f>V1053</x:f>
        <x:v>199.03438378848006</x:v>
      </x:c>
      <x:c r="J1054" s="79" t="n">
        <x:f>IF(H1054&gt;0,I1054/H1054,0)</x:f>
        <x:v>0.0000013600066815622667</x:v>
      </x:c>
      <x:c r="K1054" s="80" t="n">
        <x:f>(H1054*J1054+I1054)*'Inputs'!$D$46*(1+'Inputs'!$G$46)^(B1054/30)</x:f>
        <x:v>398.0687675769601</x:v>
      </x:c>
      <x:c r="L1054" s="80" t="n">
        <x:f>MAX(0,K1054*'Inputs'!$E$46)</x:f>
        <x:v>0</x:v>
      </x:c>
      <x:c r="M1054" s="80" t="n">
        <x:f>MAX(0,-K1054*'Inputs'!$E$46)</x:f>
        <x:v>0</x:v>
      </x:c>
      <x:c r="N1054" s="78" t="n">
        <x:f>H1054*(L1054*(1-'Inputs'!$B$15))/(I1054+L1054*(1-'Inputs'!$B$15))</x:f>
        <x:v>0</x:v>
      </x:c>
      <x:c r="O1054" s="78" t="n">
        <x:f>H1054-N1054</x:f>
        <x:v>146348092.61366665</x:v>
      </x:c>
      <x:c r="P1054" s="78" t="n">
        <x:f>I1054+L1054*(1-'Inputs'!$B$17)</x:f>
        <x:v>199.03438378848006</x:v>
      </x:c>
      <x:c r="Q1054" s="78" t="n">
        <x:f>IF(J1054&gt;0,M1054/J1054,0)</x:f>
        <x:v>0</x:v>
      </x:c>
      <x:c r="R1054" s="78" t="n">
        <x:f>IF(B1054='Inputs'!$H$46,'Inputs'!$B$27*'Inputs'!$I$46,0)</x:f>
        <x:v>0</x:v>
      </x:c>
      <x:c r="S1054" s="78" t="n">
        <x:f>Q1054+G1054+R1054</x:f>
        <x:v>439243.99512103386</x:v>
      </x:c>
      <x:c r="T1054" s="78" t="n">
        <x:f>P1054*(S1054*(1-'Inputs'!$B$15))/(O1054+S1054*(1-'Inputs'!$B$15))</x:f>
        <x:v>0.5896489664571233</x:v>
      </x:c>
      <x:c r="U1054" s="78" t="n">
        <x:f>O1054+S1054*(1-'Inputs'!$B$17)</x:f>
        <x:v>146785569.0273184</x:v>
      </x:c>
      <x:c r="V1054" s="78" t="n">
        <x:f>P1054-T1054</x:f>
        <x:v>198.44473482202292</x:v>
      </x:c>
      <x:c r="W1054" s="79" t="n">
        <x:f>IF(U1054&gt;0,V1054/U1054,0)</x:f>
        <x:v>0.0000013519362709633274</x:v>
      </x:c>
      <x:c r="X1054" s="80" t="n">
        <x:f>W1054*('Inputs'!$B$6-AC1054)</x:f>
        <x:v>1223.6047469638006</x:v>
      </x:c>
      <x:c r="Y1054" s="80" t="n">
        <x:f>2*V1054</x:f>
        <x:v>396.88946964404585</x:v>
      </x:c>
      <x:c r="Z1054" s="80" t="n">
        <x:f>K1054*'Inputs'!$B$16+(G1054+R1054)*J1054*'Inputs'!$B$16</x:f>
        <x:v>2.3919968540709653</x:v>
      </x:c>
      <x:c r="AA1054" s="80" t="n">
        <x:f>K1054*(1+'Inputs'!$E$46)/2*'Inputs'!$B$17</x:f>
        <x:v>0.8009431943198393</x:v>
      </x:c>
      <x:c r="AB1054" s="78" t="n">
        <x:f>(IF(J1054&gt;0,K1054*(1-'Inputs'!$E$46)/2/J1054,0)+G1054+R1054)*'Inputs'!$B$17</x:f>
        <x:v>590693.507480031</x:v>
      </x:c>
      <x:c r="AC1054" s="78" t="n">
        <x:f>AC1053+AB1054</x:f>
        <x:v>94924240.70262112</x:v>
      </x:c>
      <x:c r="AD1054" s="80" t="n">
        <x:f>Z1054/(1+'Inputs'!$C$46)</x:f>
        <x:v>1.1959984270354826</x:v>
      </x:c>
      <x:c r="AE1054" s="80" t="n">
        <x:f>Z1054-AD1054</x:f>
        <x:v>1.1959984270354826</x:v>
      </x:c>
      <x:c r="AF1054" s="80" t="n">
        <x:f>D1054*W1054</x:f>
        <x:v>0.3521538388975791</x:v>
      </x:c>
      <x:c r="AG1054" s="80" t="n">
        <x:f>C1054*W1054</x:f>
        <x:v>0.8216922907609978</x:v>
      </x:c>
      <x:c r="AH1054" s="80" t="n">
        <x:f>2*'Inputs'!$B$8*'Inputs'!$C$46</x:f>
        <x:v>5000</x:v>
      </x:c>
      <x:c r="AI1054" s="81" t="n">
        <x:f>IF(AH1054&gt;0,(AE1054+AF1054)/AH1054*365,0)</x:f>
        <x:v>0.1130151154131135</x:v>
      </x:c>
      <x:c r="AJ1054" s="81" t="n">
        <x:f>IF('Inputs'!$B$46&gt;0,AG1054/('Inputs'!$B$19*'Inputs'!$B$46)*365,0)</x:f>
        <x:v>0.029991768612776422</x:v>
      </x:c>
      <x:c r="AK1054" s="81" t="n">
        <x:f>W1054/MAX($W$734:W1054)-1</x:f>
        <x:v>-0.9983958704833615</x:v>
      </x:c>
      <x:c r="AL1054" s="83" t="n">
        <x:f>'Inputs'!$B$46</x:f>
        <x:v>1</x:v>
      </x:c>
      <x:c r="AM1054" s="83" t="n">
        <x:f>'Inputs'!$C$46</x:f>
        <x:v>1</x:v>
      </x:c>
      <x:c r="AN1054" s="83" t="n">
        <x:f>'Inputs'!$D$46</x:f>
        <x:v>1</x:v>
      </x:c>
      <x:c r="AO1054" s="81" t="n">
        <x:f>'Inputs'!$E$46</x:f>
        <x:v>0</x:v>
      </x:c>
    </x:row>
    <x:row r="1055">
      <x:c r="A1055" s="59" t="str">
        <x:v>Base</x:v>
      </x:c>
      <x:c r="B1055" s="59" t="n">
        <x:v>322</x:v>
      </x:c>
      <x:c r="C1055" s="78" t="n">
        <x:f>(('Inputs'!$B$29*(3*322*'Inputs'!$B$12-322^2)/(2*'Inputs'!$B$12^2))-('Inputs'!$B$29*(3*321*'Inputs'!$B$12-321^2)/(2*'Inputs'!$B$12^2)))*'Inputs'!$B$46</x:f>
        <x:v>607464.1114655733</x:v>
      </x:c>
      <x:c r="D1055" s="78" t="n">
        <x:f>IF('Inputs'!$C$46&gt;0,('Inputs'!$B$30*(3*322*'Inputs'!$B$12-322^2)/(2*'Inputs'!$B$12^2))-('Inputs'!$B$30*(3*321*'Inputs'!$B$12-321^2)/(2*'Inputs'!$B$12^2)),0)</x:f>
        <x:v>260341.76205667853</x:v>
      </x:c>
      <x:c r="E1055" s="78" t="n">
        <x:f>C1055+D1055</x:f>
        <x:v>867805.8735222518</x:v>
      </x:c>
      <x:c r="F1055" s="78" t="n">
        <x:f>'Inputs'!$B$13*E1055+(1-'Inputs'!$B$13)/'Inputs'!$B$14*SUM(E1000:E1055)</x:f>
        <x:v>878023.5503846909</x:v>
      </x:c>
      <x:c r="G1055" s="78" t="n">
        <x:f>F1055*'Inputs'!$F$46</x:f>
        <x:v>439011.77519234543</x:v>
      </x:c>
      <x:c r="H1055" s="78" t="n">
        <x:f>U1054</x:f>
        <x:v>146785569.0273184</x:v>
      </x:c>
      <x:c r="I1055" s="78" t="n">
        <x:f>V1054</x:f>
        <x:v>198.44473482202292</x:v>
      </x:c>
      <x:c r="J1055" s="79" t="n">
        <x:f>IF(H1055&gt;0,I1055/H1055,0)</x:f>
        <x:v>0.0000013519362709633274</x:v>
      </x:c>
      <x:c r="K1055" s="80" t="n">
        <x:f>(H1055*J1055+I1055)*'Inputs'!$D$46*(1+'Inputs'!$G$46)^(B1055/30)</x:f>
        <x:v>396.8894696440458</x:v>
      </x:c>
      <x:c r="L1055" s="80" t="n">
        <x:f>MAX(0,K1055*'Inputs'!$E$46)</x:f>
        <x:v>0</x:v>
      </x:c>
      <x:c r="M1055" s="80" t="n">
        <x:f>MAX(0,-K1055*'Inputs'!$E$46)</x:f>
        <x:v>0</x:v>
      </x:c>
      <x:c r="N1055" s="78" t="n">
        <x:f>H1055*(L1055*(1-'Inputs'!$B$15))/(I1055+L1055*(1-'Inputs'!$B$15))</x:f>
        <x:v>0</x:v>
      </x:c>
      <x:c r="O1055" s="78" t="n">
        <x:f>H1055-N1055</x:f>
        <x:v>146785569.0273184</x:v>
      </x:c>
      <x:c r="P1055" s="78" t="n">
        <x:f>I1055+L1055*(1-'Inputs'!$B$17)</x:f>
        <x:v>198.44473482202292</x:v>
      </x:c>
      <x:c r="Q1055" s="78" t="n">
        <x:f>IF(J1055&gt;0,M1055/J1055,0)</x:f>
        <x:v>0</x:v>
      </x:c>
      <x:c r="R1055" s="78" t="n">
        <x:f>IF(B1055='Inputs'!$H$46,'Inputs'!$B$27*'Inputs'!$I$46,0)</x:f>
        <x:v>0</x:v>
      </x:c>
      <x:c r="S1055" s="78" t="n">
        <x:f>Q1055+G1055+R1055</x:f>
        <x:v>439011.77519234543</x:v>
      </x:c>
      <x:c r="T1055" s="78" t="n">
        <x:f>P1055*(S1055*(1-'Inputs'!$B$15))/(O1055+S1055*(1-'Inputs'!$B$15))</x:f>
        <x:v>0.5858461339949997</x:v>
      </x:c>
      <x:c r="U1055" s="78" t="n">
        <x:f>O1055+S1055*(1-'Inputs'!$B$17)</x:f>
        <x:v>147222814.15552807</x:v>
      </x:c>
      <x:c r="V1055" s="78" t="n">
        <x:f>P1055-T1055</x:f>
        <x:v>197.85888868802792</x:v>
      </x:c>
      <x:c r="W1055" s="79" t="n">
        <x:f>IF(U1055&gt;0,V1055/U1055,0)</x:f>
        <x:v>0.000001343941764888472</x:v>
      </x:c>
      <x:c r="X1055" s="80" t="n">
        <x:f>W1055*('Inputs'!$B$6-AC1055)</x:f>
        <x:v>1215.5728909217414</x:v>
      </x:c>
      <x:c r="Y1055" s="80" t="n">
        <x:f>2*V1055</x:f>
        <x:v>395.71777737605584</x:v>
      </x:c>
      <x:c r="Z1055" s="80" t="n">
        <x:f>K1055*'Inputs'!$B$16+(G1055+R1055)*J1055*'Inputs'!$B$16</x:f>
        <x:v>2.38489791351785</x:v>
      </x:c>
      <x:c r="AA1055" s="80" t="n">
        <x:f>K1055*(1+'Inputs'!$E$46)/2*'Inputs'!$B$17</x:f>
        <x:v>0.7985703614568327</x:v>
      </x:c>
      <x:c r="AB1055" s="78" t="n">
        <x:f>(IF(J1055&gt;0,K1055*(1-'Inputs'!$E$46)/2/J1055,0)+G1055+R1055)*'Inputs'!$B$17</x:f>
        <x:v>592453.0414587958</x:v>
      </x:c>
      <x:c r="AC1055" s="78" t="n">
        <x:f>AC1054+AB1055</x:f>
        <x:v>95516693.74407992</x:v>
      </x:c>
      <x:c r="AD1055" s="80" t="n">
        <x:f>Z1055/(1+'Inputs'!$C$46)</x:f>
        <x:v>1.192448956758925</x:v>
      </x:c>
      <x:c r="AE1055" s="80" t="n">
        <x:f>Z1055-AD1055</x:f>
        <x:v>1.192448956758925</x:v>
      </x:c>
      <x:c r="AF1055" s="80" t="n">
        <x:f>D1055*W1055</x:f>
        <x:v>0.34988416717262716</x:v>
      </x:c>
      <x:c r="AG1055" s="80" t="n">
        <x:f>C1055*W1055</x:f>
        <x:v>0.8163963900694501</x:v>
      </x:c>
      <x:c r="AH1055" s="80" t="n">
        <x:f>2*'Inputs'!$B$8*'Inputs'!$C$46</x:f>
        <x:v>5000</x:v>
      </x:c>
      <x:c r="AI1055" s="81" t="n">
        <x:f>IF(AH1055&gt;0,(AE1055+AF1055)/AH1055*365,0)</x:f>
        <x:v>0.11259031804700331</x:v>
      </x:c>
      <x:c r="AJ1055" s="81" t="n">
        <x:f>IF('Inputs'!$B$46&gt;0,AG1055/('Inputs'!$B$19*'Inputs'!$B$46)*365,0)</x:f>
        <x:v>0.029798468237534927</x:v>
      </x:c>
      <x:c r="AK1055" s="81" t="n">
        <x:f>W1055/MAX($W$734:W1055)-1</x:f>
        <x:v>-0.9984053563026571</x:v>
      </x:c>
      <x:c r="AL1055" s="83" t="n">
        <x:f>'Inputs'!$B$46</x:f>
        <x:v>1</x:v>
      </x:c>
      <x:c r="AM1055" s="83" t="n">
        <x:f>'Inputs'!$C$46</x:f>
        <x:v>1</x:v>
      </x:c>
      <x:c r="AN1055" s="83" t="n">
        <x:f>'Inputs'!$D$46</x:f>
        <x:v>1</x:v>
      </x:c>
      <x:c r="AO1055" s="81" t="n">
        <x:f>'Inputs'!$E$46</x:f>
        <x:v>0</x:v>
      </x:c>
    </x:row>
    <x:row r="1056">
      <x:c r="A1056" s="59" t="str">
        <x:v>Base</x:v>
      </x:c>
      <x:c r="B1056" s="59" t="n">
        <x:v>323</x:v>
      </x:c>
      <x:c r="C1056" s="78" t="n">
        <x:f>(('Inputs'!$B$29*(3*323*'Inputs'!$B$12-323^2)/(2*'Inputs'!$B$12^2))-('Inputs'!$B$29*(3*322*'Inputs'!$B$12-322^2)/(2*'Inputs'!$B$12^2)))*'Inputs'!$B$46</x:f>
        <x:v>607139.0035654008</x:v>
      </x:c>
      <x:c r="D1056" s="78" t="n">
        <x:f>IF('Inputs'!$C$46&gt;0,('Inputs'!$B$30*(3*323*'Inputs'!$B$12-323^2)/(2*'Inputs'!$B$12^2))-('Inputs'!$B$30*(3*322*'Inputs'!$B$12-322^2)/(2*'Inputs'!$B$12^2)),0)</x:f>
        <x:v>260202.4300994575</x:v>
      </x:c>
      <x:c r="E1056" s="78" t="n">
        <x:f>C1056+D1056</x:f>
        <x:v>867341.4336648583</x:v>
      </x:c>
      <x:c r="F1056" s="78" t="n">
        <x:f>'Inputs'!$B$13*E1056+(1-'Inputs'!$B$13)/'Inputs'!$B$14*SUM(E1001:E1056)</x:f>
        <x:v>877559.1105273045</x:v>
      </x:c>
      <x:c r="G1056" s="78" t="n">
        <x:f>F1056*'Inputs'!$F$46</x:f>
        <x:v>438779.55526365223</x:v>
      </x:c>
      <x:c r="H1056" s="78" t="n">
        <x:f>U1055</x:f>
        <x:v>147222814.15552807</x:v>
      </x:c>
      <x:c r="I1056" s="78" t="n">
        <x:f>V1055</x:f>
        <x:v>197.85888868802792</x:v>
      </x:c>
      <x:c r="J1056" s="79" t="n">
        <x:f>IF(H1056&gt;0,I1056/H1056,0)</x:f>
        <x:v>0.000001343941764888472</x:v>
      </x:c>
      <x:c r="K1056" s="80" t="n">
        <x:f>(H1056*J1056+I1056)*'Inputs'!$D$46*(1+'Inputs'!$G$46)^(B1056/30)</x:f>
        <x:v>395.71777737605584</x:v>
      </x:c>
      <x:c r="L1056" s="80" t="n">
        <x:f>MAX(0,K1056*'Inputs'!$E$46)</x:f>
        <x:v>0</x:v>
      </x:c>
      <x:c r="M1056" s="80" t="n">
        <x:f>MAX(0,-K1056*'Inputs'!$E$46)</x:f>
        <x:v>0</x:v>
      </x:c>
      <x:c r="N1056" s="78" t="n">
        <x:f>H1056*(L1056*(1-'Inputs'!$B$15))/(I1056+L1056*(1-'Inputs'!$B$15))</x:f>
        <x:v>0</x:v>
      </x:c>
      <x:c r="O1056" s="78" t="n">
        <x:f>H1056-N1056</x:f>
        <x:v>147222814.15552807</x:v>
      </x:c>
      <x:c r="P1056" s="78" t="n">
        <x:f>I1056+L1056*(1-'Inputs'!$B$17)</x:f>
        <x:v>197.85888868802792</x:v>
      </x:c>
      <x:c r="Q1056" s="78" t="n">
        <x:f>IF(J1056&gt;0,M1056/J1056,0)</x:f>
        <x:v>0</x:v>
      </x:c>
      <x:c r="R1056" s="78" t="n">
        <x:f>IF(B1056='Inputs'!$H$46,'Inputs'!$B$27*'Inputs'!$I$46,0)</x:f>
        <x:v>0</x:v>
      </x:c>
      <x:c r="S1056" s="78" t="n">
        <x:f>Q1056+G1056+R1056</x:f>
        <x:v>438779.55526365223</x:v>
      </x:c>
      <x:c r="T1056" s="78" t="n">
        <x:f>P1056*(S1056*(1-'Inputs'!$B$15))/(O1056+S1056*(1-'Inputs'!$B$15))</x:f>
        <x:v>0.582079758985796</x:v>
      </x:c>
      <x:c r="U1056" s="78" t="n">
        <x:f>O1056+S1056*(1-'Inputs'!$B$17)</x:f>
        <x:v>147659827.9982957</x:v>
      </x:c>
      <x:c r="V1056" s="78" t="n">
        <x:f>P1056-T1056</x:f>
        <x:v>197.27680892904212</x:v>
      </x:c>
      <x:c r="W1056" s="79" t="n">
        <x:f>IF(U1056&gt;0,V1056/U1056,0)</x:f>
        <x:v>0.000001336022204572249</x:v>
      </x:c>
      <x:c r="X1056" s="80" t="n">
        <x:f>W1056*('Inputs'!$B$6-AC1056)</x:f>
        <x:v>1207.6159008712812</x:v>
      </x:c>
      <x:c r="Y1056" s="80" t="n">
        <x:f>2*V1056</x:f>
        <x:v>394.55361785808424</x:v>
      </x:c>
      <x:c r="Z1056" s="80" t="n">
        <x:f>K1056*'Inputs'!$B$16+(G1056+R1056)*J1056*'Inputs'!$B$16</x:f>
        <x:v>2.3778448292757233</x:v>
      </x:c>
      <x:c r="AA1056" s="80" t="n">
        <x:f>K1056*(1+'Inputs'!$E$46)/2*'Inputs'!$B$17</x:f>
        <x:v>0.7962128317425672</x:v>
      </x:c>
      <x:c r="AB1056" s="78" t="n">
        <x:f>(IF(J1056&gt;0,K1056*(1-'Inputs'!$E$46)/2/J1056,0)+G1056+R1056)*'Inputs'!$B$17</x:f>
        <x:v>594211.6447114355</x:v>
      </x:c>
      <x:c r="AC1056" s="78" t="n">
        <x:f>AC1055+AB1056</x:f>
        <x:v>96110905.38879135</x:v>
      </x:c>
      <x:c r="AD1056" s="80" t="n">
        <x:f>Z1056/(1+'Inputs'!$C$46)</x:f>
        <x:v>1.1889224146378616</x:v>
      </x:c>
      <x:c r="AE1056" s="80" t="n">
        <x:f>Z1056-AD1056</x:f>
        <x:v>1.1889224146378616</x:v>
      </x:c>
      <x:c r="AF1056" s="80" t="n">
        <x:f>D1056*W1056</x:f>
        <x:v>0.34763622429653374</x:v>
      </x:c>
      <x:c r="AG1056" s="80" t="n">
        <x:f>C1056*W1056</x:f>
        <x:v>0.8111511900252454</x:v>
      </x:c>
      <x:c r="AH1056" s="80" t="n">
        <x:f>2*'Inputs'!$B$8*'Inputs'!$C$46</x:f>
        <x:v>5000</x:v>
      </x:c>
      <x:c r="AI1056" s="81" t="n">
        <x:f>IF(AH1056&gt;0,(AE1056+AF1056)/AH1056*365,0)</x:f>
        <x:v>0.11216878064221088</x:v>
      </x:c>
      <x:c r="AJ1056" s="81" t="n">
        <x:f>IF('Inputs'!$B$46&gt;0,AG1056/('Inputs'!$B$19*'Inputs'!$B$46)*365,0)</x:f>
        <x:v>0.029607018435921454</x:v>
      </x:c>
      <x:c r="AK1056" s="81" t="n">
        <x:f>W1056/MAX($W$734:W1056)-1</x:f>
        <x:v>-0.9984147531956431</x:v>
      </x:c>
      <x:c r="AL1056" s="83" t="n">
        <x:f>'Inputs'!$B$46</x:f>
        <x:v>1</x:v>
      </x:c>
      <x:c r="AM1056" s="83" t="n">
        <x:f>'Inputs'!$C$46</x:f>
        <x:v>1</x:v>
      </x:c>
      <x:c r="AN1056" s="83" t="n">
        <x:f>'Inputs'!$D$46</x:f>
        <x:v>1</x:v>
      </x:c>
      <x:c r="AO1056" s="81" t="n">
        <x:f>'Inputs'!$E$46</x:f>
        <x:v>0</x:v>
      </x:c>
    </x:row>
    <x:row r="1057">
      <x:c r="A1057" s="59" t="str">
        <x:v>Base</x:v>
      </x:c>
      <x:c r="B1057" s="59" t="n">
        <x:v>324</x:v>
      </x:c>
      <x:c r="C1057" s="78" t="n">
        <x:f>(('Inputs'!$B$29*(3*324*'Inputs'!$B$12-324^2)/(2*'Inputs'!$B$12^2))-('Inputs'!$B$29*(3*323*'Inputs'!$B$12-323^2)/(2*'Inputs'!$B$12^2)))*'Inputs'!$B$46</x:f>
        <x:v>606813.8956652284</x:v>
      </x:c>
      <x:c r="D1057" s="78" t="n">
        <x:f>IF('Inputs'!$C$46&gt;0,('Inputs'!$B$30*(3*324*'Inputs'!$B$12-324^2)/(2*'Inputs'!$B$12^2))-('Inputs'!$B$30*(3*323*'Inputs'!$B$12-323^2)/(2*'Inputs'!$B$12^2)),0)</x:f>
        <x:v>260063.09814223647</x:v>
      </x:c>
      <x:c r="E1057" s="78" t="n">
        <x:f>C1057+D1057</x:f>
        <x:v>866876.9938074648</x:v>
      </x:c>
      <x:c r="F1057" s="78" t="n">
        <x:f>'Inputs'!$B$13*E1057+(1-'Inputs'!$B$13)/'Inputs'!$B$14*SUM(E1002:E1057)</x:f>
        <x:v>877094.6706699186</x:v>
      </x:c>
      <x:c r="G1057" s="78" t="n">
        <x:f>F1057*'Inputs'!$F$46</x:f>
        <x:v>438547.3353349593</x:v>
      </x:c>
      <x:c r="H1057" s="78" t="n">
        <x:f>U1056</x:f>
        <x:v>147659827.9982957</x:v>
      </x:c>
      <x:c r="I1057" s="78" t="n">
        <x:f>V1056</x:f>
        <x:v>197.27680892904212</x:v>
      </x:c>
      <x:c r="J1057" s="79" t="n">
        <x:f>IF(H1057&gt;0,I1057/H1057,0)</x:f>
        <x:v>0.000001336022204572249</x:v>
      </x:c>
      <x:c r="K1057" s="80" t="n">
        <x:f>(H1057*J1057+I1057)*'Inputs'!$D$46*(1+'Inputs'!$G$46)^(B1057/30)</x:f>
        <x:v>394.55361785808424</x:v>
      </x:c>
      <x:c r="L1057" s="80" t="n">
        <x:f>MAX(0,K1057*'Inputs'!$E$46)</x:f>
        <x:v>0</x:v>
      </x:c>
      <x:c r="M1057" s="80" t="n">
        <x:f>MAX(0,-K1057*'Inputs'!$E$46)</x:f>
        <x:v>0</x:v>
      </x:c>
      <x:c r="N1057" s="78" t="n">
        <x:f>H1057*(L1057*(1-'Inputs'!$B$15))/(I1057+L1057*(1-'Inputs'!$B$15))</x:f>
        <x:v>0</x:v>
      </x:c>
      <x:c r="O1057" s="78" t="n">
        <x:f>H1057-N1057</x:f>
        <x:v>147659827.9982957</x:v>
      </x:c>
      <x:c r="P1057" s="78" t="n">
        <x:f>I1057+L1057*(1-'Inputs'!$B$17)</x:f>
        <x:v>197.27680892904212</x:v>
      </x:c>
      <x:c r="Q1057" s="78" t="n">
        <x:f>IF(J1057&gt;0,M1057/J1057,0)</x:f>
        <x:v>0</x:v>
      </x:c>
      <x:c r="R1057" s="78" t="n">
        <x:f>IF(B1057='Inputs'!$H$46,'Inputs'!$B$27*'Inputs'!$I$46,0)</x:f>
        <x:v>0</x:v>
      </x:c>
      <x:c r="S1057" s="78" t="n">
        <x:f>Q1057+G1057+R1057</x:f>
        <x:v>438547.3353349593</x:v>
      </x:c>
      <x:c r="T1057" s="78" t="n">
        <x:f>P1057*(S1057*(1-'Inputs'!$B$15))/(O1057+S1057*(1-'Inputs'!$B$15))</x:f>
        <x:v>0.5783493764414863</x:v>
      </x:c>
      <x:c r="U1057" s="78" t="n">
        <x:f>O1057+S1057*(1-'Inputs'!$B$17)</x:f>
        <x:v>148096610.55562127</x:v>
      </x:c>
      <x:c r="V1057" s="78" t="n">
        <x:f>P1057-T1057</x:f>
        <x:v>196.69845955260064</x:v>
      </x:c>
      <x:c r="W1057" s="79" t="n">
        <x:f>IF(U1057&gt;0,V1057/U1057,0)</x:f>
        <x:v>0.0000013281766464109978</x:v>
      </x:c>
      <x:c r="X1057" s="80" t="n">
        <x:f>W1057*('Inputs'!$B$6-AC1057)</x:f>
        <x:v>1199.7328338790553</x:v>
      </x:c>
      <x:c r="Y1057" s="80" t="n">
        <x:f>2*V1057</x:f>
        <x:v>393.3969191052013</x:v>
      </x:c>
      <x:c r="Z1057" s="80" t="n">
        <x:f>K1057*'Inputs'!$B$16+(G1057+R1057)*J1057*'Inputs'!$B$16</x:f>
        <x:v>2.3708371610150865</x:v>
      </x:c>
      <x:c r="AA1057" s="80" t="n">
        <x:f>K1057*(1+'Inputs'!$E$46)/2*'Inputs'!$B$17</x:f>
        <x:v>0.7938704584669704</x:v>
      </x:c>
      <x:c r="AB1057" s="78" t="n">
        <x:f>(IF(J1057&gt;0,K1057*(1-'Inputs'!$E$46)/2/J1057,0)+G1057+R1057)*'Inputs'!$B$17</x:f>
        <x:v>595969.3172379504</x:v>
      </x:c>
      <x:c r="AC1057" s="78" t="n">
        <x:f>AC1056+AB1057</x:f>
        <x:v>96706874.7060293</x:v>
      </x:c>
      <x:c r="AD1057" s="80" t="n">
        <x:f>Z1057/(1+'Inputs'!$C$46)</x:f>
        <x:v>1.1854185805075432</x:v>
      </x:c>
      <x:c r="AE1057" s="80" t="n">
        <x:f>Z1057-AD1057</x:f>
        <x:v>1.1854185805075432</x:v>
      </x:c>
      <x:c r="AF1057" s="80" t="n">
        <x:f>D1057*W1057</x:f>
        <x:v>0.34540973354580984</x:v>
      </x:c>
      <x:c r="AG1057" s="80" t="n">
        <x:f>C1057*W1057</x:f>
        <x:v>0.8059560449402361</x:v>
      </x:c>
      <x:c r="AH1057" s="80" t="n">
        <x:f>2*'Inputs'!$B$8*'Inputs'!$C$46</x:f>
        <x:v>5000</x:v>
      </x:c>
      <x:c r="AI1057" s="81" t="n">
        <x:f>IF(AH1057&gt;0,(AE1057+AF1057)/AH1057*365,0)</x:f>
        <x:v>0.11175046692589477</x:v>
      </x:c>
      <x:c r="AJ1057" s="81" t="n">
        <x:f>IF('Inputs'!$B$46&gt;0,AG1057/('Inputs'!$B$19*'Inputs'!$B$46)*365,0)</x:f>
        <x:v>0.02941739564031862</x:v>
      </x:c>
      <x:c r="AK1057" s="81" t="n">
        <x:f>W1057/MAX($W$734:W1057)-1</x:f>
        <x:v>-0.9984240622819449</x:v>
      </x:c>
      <x:c r="AL1057" s="83" t="n">
        <x:f>'Inputs'!$B$46</x:f>
        <x:v>1</x:v>
      </x:c>
      <x:c r="AM1057" s="83" t="n">
        <x:f>'Inputs'!$C$46</x:f>
        <x:v>1</x:v>
      </x:c>
      <x:c r="AN1057" s="83" t="n">
        <x:f>'Inputs'!$D$46</x:f>
        <x:v>1</x:v>
      </x:c>
      <x:c r="AO1057" s="81" t="n">
        <x:f>'Inputs'!$E$46</x:f>
        <x:v>0</x:v>
      </x:c>
    </x:row>
    <x:row r="1058">
      <x:c r="A1058" s="59" t="str">
        <x:v>Base</x:v>
      </x:c>
      <x:c r="B1058" s="59" t="n">
        <x:v>325</x:v>
      </x:c>
      <x:c r="C1058" s="78" t="n">
        <x:f>(('Inputs'!$B$29*(3*325*'Inputs'!$B$12-325^2)/(2*'Inputs'!$B$12^2))-('Inputs'!$B$29*(3*324*'Inputs'!$B$12-324^2)/(2*'Inputs'!$B$12^2)))*'Inputs'!$B$46</x:f>
        <x:v>606488.7877650559</x:v>
      </x:c>
      <x:c r="D1058" s="78" t="n">
        <x:f>IF('Inputs'!$C$46&gt;0,('Inputs'!$B$30*(3*325*'Inputs'!$B$12-325^2)/(2*'Inputs'!$B$12^2))-('Inputs'!$B$30*(3*324*'Inputs'!$B$12-324^2)/(2*'Inputs'!$B$12^2)),0)</x:f>
        <x:v>259923.76618503034</x:v>
      </x:c>
      <x:c r="E1058" s="78" t="n">
        <x:f>C1058+D1058</x:f>
        <x:v>866412.5539500862</x:v>
      </x:c>
      <x:c r="F1058" s="78" t="n">
        <x:f>'Inputs'!$B$13*E1058+(1-'Inputs'!$B$13)/'Inputs'!$B$14*SUM(E1003:E1058)</x:f>
        <x:v>876630.2308125359</x:v>
      </x:c>
      <x:c r="G1058" s="78" t="n">
        <x:f>F1058*'Inputs'!$F$46</x:f>
        <x:v>438315.1154062679</x:v>
      </x:c>
      <x:c r="H1058" s="78" t="n">
        <x:f>U1057</x:f>
        <x:v>148096610.55562127</x:v>
      </x:c>
      <x:c r="I1058" s="78" t="n">
        <x:f>V1057</x:f>
        <x:v>196.69845955260064</x:v>
      </x:c>
      <x:c r="J1058" s="79" t="n">
        <x:f>IF(H1058&gt;0,I1058/H1058,0)</x:f>
        <x:v>0.0000013281766464109978</x:v>
      </x:c>
      <x:c r="K1058" s="80" t="n">
        <x:f>(H1058*J1058+I1058)*'Inputs'!$D$46*(1+'Inputs'!$G$46)^(B1058/30)</x:f>
        <x:v>393.3969191052013</x:v>
      </x:c>
      <x:c r="L1058" s="80" t="n">
        <x:f>MAX(0,K1058*'Inputs'!$E$46)</x:f>
        <x:v>0</x:v>
      </x:c>
      <x:c r="M1058" s="80" t="n">
        <x:f>MAX(0,-K1058*'Inputs'!$E$46)</x:f>
        <x:v>0</x:v>
      </x:c>
      <x:c r="N1058" s="78" t="n">
        <x:f>H1058*(L1058*(1-'Inputs'!$B$15))/(I1058+L1058*(1-'Inputs'!$B$15))</x:f>
        <x:v>0</x:v>
      </x:c>
      <x:c r="O1058" s="78" t="n">
        <x:f>H1058-N1058</x:f>
        <x:v>148096610.55562127</x:v>
      </x:c>
      <x:c r="P1058" s="78" t="n">
        <x:f>I1058+L1058*(1-'Inputs'!$B$17)</x:f>
        <x:v>196.69845955260064</x:v>
      </x:c>
      <x:c r="Q1058" s="78" t="n">
        <x:f>IF(J1058&gt;0,M1058/J1058,0)</x:f>
        <x:v>0</x:v>
      </x:c>
      <x:c r="R1058" s="78" t="n">
        <x:f>IF(B1058='Inputs'!$H$46,'Inputs'!$B$27*'Inputs'!$I$46,0)</x:f>
        <x:v>0</x:v>
      </x:c>
      <x:c r="S1058" s="78" t="n">
        <x:f>Q1058+G1058+R1058</x:f>
        <x:v>438315.1154062679</x:v>
      </x:c>
      <x:c r="T1058" s="78" t="n">
        <x:f>P1058*(S1058*(1-'Inputs'!$B$15))/(O1058+S1058*(1-'Inputs'!$B$15))</x:f>
        <x:v>0.5746545287655066</x:v>
      </x:c>
      <x:c r="U1058" s="78" t="n">
        <x:f>O1058+S1058*(1-'Inputs'!$B$17)</x:f>
        <x:v>148533161.82750478</x:v>
      </x:c>
      <x:c r="V1058" s="78" t="n">
        <x:f>P1058-T1058</x:f>
        <x:v>196.12380502383513</x:v>
      </x:c>
      <x:c r="W1058" s="79" t="n">
        <x:f>IF(U1058&gt;0,V1058/U1058,0)</x:f>
        <x:v>0.0000013204041616753473</x:v>
      </x:c>
      <x:c r="X1058" s="80" t="n">
        <x:f>W1058*('Inputs'!$B$6-AC1058)</x:f>
        <x:v>1191.9227618749937</x:v>
      </x:c>
      <x:c r="Y1058" s="80" t="n">
        <x:f>2*V1058</x:f>
        <x:v>392.24761004767026</x:v>
      </x:c>
      <x:c r="Z1058" s="80" t="n">
        <x:f>K1058*'Inputs'!$B$16+(G1058+R1058)*J1058*'Inputs'!$B$16</x:f>
        <x:v>2.363874474031517</x:v>
      </x:c>
      <x:c r="AA1058" s="80" t="n">
        <x:f>K1058*(1+'Inputs'!$E$46)/2*'Inputs'!$B$17</x:f>
        <x:v>0.7915430967911495</x:v>
      </x:c>
      <x:c r="AB1058" s="78" t="n">
        <x:f>(IF(J1058&gt;0,K1058*(1-'Inputs'!$E$46)/2/J1058,0)+G1058+R1058)*'Inputs'!$B$17</x:f>
        <x:v>597726.0590383402</x:v>
      </x:c>
      <x:c r="AC1058" s="78" t="n">
        <x:f>AC1057+AB1058</x:f>
        <x:v>97304600.76506764</x:v>
      </x:c>
      <x:c r="AD1058" s="80" t="n">
        <x:f>Z1058/(1+'Inputs'!$C$46)</x:f>
        <x:v>1.1819372370157586</x:v>
      </x:c>
      <x:c r="AE1058" s="80" t="n">
        <x:f>Z1058-AD1058</x:f>
        <x:v>1.1819372370157586</x:v>
      </x:c>
      <x:c r="AF1058" s="80" t="n">
        <x:f>D1058*W1058</x:f>
        <x:v>0.34320442258904393</x:v>
      </x:c>
      <x:c r="AG1058" s="80" t="n">
        <x:f>C1058*W1058</x:f>
        <x:v>0.8008103193744163</x:v>
      </x:c>
      <x:c r="AH1058" s="80" t="n">
        <x:f>2*'Inputs'!$B$8*'Inputs'!$C$46</x:f>
        <x:v>5000</x:v>
      </x:c>
      <x:c r="AI1058" s="81" t="n">
        <x:f>IF(AH1058&gt;0,(AE1058+AF1058)/AH1058*365,0)</x:f>
        <x:v>0.11133534115115058</x:v>
      </x:c>
      <x:c r="AJ1058" s="81" t="n">
        <x:f>IF('Inputs'!$B$46&gt;0,AG1058/('Inputs'!$B$19*'Inputs'!$B$46)*365,0)</x:f>
        <x:v>0.029229576657166197</x:v>
      </x:c>
      <x:c r="AK1058" s="81" t="n">
        <x:f>W1058/MAX($W$734:W1058)-1</x:f>
        <x:v>-0.9984332846635393</x:v>
      </x:c>
      <x:c r="AL1058" s="83" t="n">
        <x:f>'Inputs'!$B$46</x:f>
        <x:v>1</x:v>
      </x:c>
      <x:c r="AM1058" s="83" t="n">
        <x:f>'Inputs'!$C$46</x:f>
        <x:v>1</x:v>
      </x:c>
      <x:c r="AN1058" s="83" t="n">
        <x:f>'Inputs'!$D$46</x:f>
        <x:v>1</x:v>
      </x:c>
      <x:c r="AO1058" s="81" t="n">
        <x:f>'Inputs'!$E$46</x:f>
        <x:v>0</x:v>
      </x:c>
    </x:row>
    <x:row r="1059">
      <x:c r="A1059" s="59" t="str">
        <x:v>Base</x:v>
      </x:c>
      <x:c r="B1059" s="59" t="n">
        <x:v>326</x:v>
      </x:c>
      <x:c r="C1059" s="78" t="n">
        <x:f>(('Inputs'!$B$29*(3*326*'Inputs'!$B$12-326^2)/(2*'Inputs'!$B$12^2))-('Inputs'!$B$29*(3*325*'Inputs'!$B$12-325^2)/(2*'Inputs'!$B$12^2)))*'Inputs'!$B$46</x:f>
        <x:v>606163.6798648834</x:v>
      </x:c>
      <x:c r="D1059" s="78" t="n">
        <x:f>IF('Inputs'!$C$46&gt;0,('Inputs'!$B$30*(3*326*'Inputs'!$B$12-326^2)/(2*'Inputs'!$B$12^2))-('Inputs'!$B$30*(3*325*'Inputs'!$B$12-325^2)/(2*'Inputs'!$B$12^2)),0)</x:f>
        <x:v>259784.4342278093</x:v>
      </x:c>
      <x:c r="E1059" s="78" t="n">
        <x:f>C1059+D1059</x:f>
        <x:v>865948.1140926927</x:v>
      </x:c>
      <x:c r="F1059" s="78" t="n">
        <x:f>'Inputs'!$B$13*E1059+(1-'Inputs'!$B$13)/'Inputs'!$B$14*SUM(E1004:E1059)</x:f>
        <x:v>876165.7909551496</x:v>
      </x:c>
      <x:c r="G1059" s="78" t="n">
        <x:f>F1059*'Inputs'!$F$46</x:f>
        <x:v>438082.8954775748</x:v>
      </x:c>
      <x:c r="H1059" s="78" t="n">
        <x:f>U1058</x:f>
        <x:v>148533161.82750478</x:v>
      </x:c>
      <x:c r="I1059" s="78" t="n">
        <x:f>V1058</x:f>
        <x:v>196.12380502383513</x:v>
      </x:c>
      <x:c r="J1059" s="79" t="n">
        <x:f>IF(H1059&gt;0,I1059/H1059,0)</x:f>
        <x:v>0.0000013204041616753473</x:v>
      </x:c>
      <x:c r="K1059" s="80" t="n">
        <x:f>(H1059*J1059+I1059)*'Inputs'!$D$46*(1+'Inputs'!$G$46)^(B1059/30)</x:f>
        <x:v>392.24761004767026</x:v>
      </x:c>
      <x:c r="L1059" s="80" t="n">
        <x:f>MAX(0,K1059*'Inputs'!$E$46)</x:f>
        <x:v>0</x:v>
      </x:c>
      <x:c r="M1059" s="80" t="n">
        <x:f>MAX(0,-K1059*'Inputs'!$E$46)</x:f>
        <x:v>0</x:v>
      </x:c>
      <x:c r="N1059" s="78" t="n">
        <x:f>H1059*(L1059*(1-'Inputs'!$B$15))/(I1059+L1059*(1-'Inputs'!$B$15))</x:f>
        <x:v>0</x:v>
      </x:c>
      <x:c r="O1059" s="78" t="n">
        <x:f>H1059-N1059</x:f>
        <x:v>148533161.82750478</x:v>
      </x:c>
      <x:c r="P1059" s="78" t="n">
        <x:f>I1059+L1059*(1-'Inputs'!$B$17)</x:f>
        <x:v>196.12380502383513</x:v>
      </x:c>
      <x:c r="Q1059" s="78" t="n">
        <x:f>IF(J1059&gt;0,M1059/J1059,0)</x:f>
        <x:v>0</x:v>
      </x:c>
      <x:c r="R1059" s="78" t="n">
        <x:f>IF(B1059='Inputs'!$H$46,'Inputs'!$B$27*'Inputs'!$I$46,0)</x:f>
        <x:v>0</x:v>
      </x:c>
      <x:c r="S1059" s="78" t="n">
        <x:f>Q1059+G1059+R1059</x:f>
        <x:v>438082.8954775748</x:v>
      </x:c>
      <x:c r="T1059" s="78" t="n">
        <x:f>P1059*(S1059*(1-'Inputs'!$B$15))/(O1059+S1059*(1-'Inputs'!$B$15))</x:f>
        <x:v>0.57099476561218</x:v>
      </x:c>
      <x:c r="U1059" s="78" t="n">
        <x:f>O1059+S1059*(1-'Inputs'!$B$17)</x:f>
        <x:v>148969481.81394622</x:v>
      </x:c>
      <x:c r="V1059" s="78" t="n">
        <x:f>P1059-T1059</x:f>
        <x:v>195.55281025822296</x:v>
      </x:c>
      <x:c r="W1059" s="79" t="n">
        <x:f>IF(U1059&gt;0,V1059/U1059,0)</x:f>
        <x:v>0.0000013127038362290638</x:v>
      </x:c>
      <x:c r="X1059" s="80" t="n">
        <x:f>W1059*('Inputs'!$B$6-AC1059)</x:f>
        <x:v>1184.1847713713755</x:v>
      </x:c>
      <x:c r="Y1059" s="80" t="n">
        <x:f>2*V1059</x:f>
        <x:v>391.1056205164459</x:v>
      </x:c>
      <x:c r="Z1059" s="80" t="n">
        <x:f>K1059*'Inputs'!$B$16+(G1059+R1059)*J1059*'Inputs'!$B$16</x:f>
        <x:v>2.3569563391561057</x:v>
      </x:c>
      <x:c r="AA1059" s="80" t="n">
        <x:f>K1059*(1+'Inputs'!$E$46)/2*'Inputs'!$B$17</x:f>
        <x:v>0.7892306037176465</x:v>
      </x:c>
      <x:c r="AB1059" s="78" t="n">
        <x:f>(IF(J1059&gt;0,K1059*(1-'Inputs'!$E$46)/2/J1059,0)+G1059+R1059)*'Inputs'!$B$17</x:f>
        <x:v>599481.870112605</x:v>
      </x:c>
      <x:c r="AC1059" s="78" t="n">
        <x:f>AC1058+AB1059</x:f>
        <x:v>97904082.63518023</x:v>
      </x:c>
      <x:c r="AD1059" s="80" t="n">
        <x:f>Z1059/(1+'Inputs'!$C$46)</x:f>
        <x:v>1.1784781695780528</x:v>
      </x:c>
      <x:c r="AE1059" s="80" t="n">
        <x:f>Z1059-AD1059</x:f>
        <x:v>1.1784781695780528</x:v>
      </x:c>
      <x:c r="AF1059" s="80" t="n">
        <x:f>D1059*W1059</x:f>
        <x:v>0.3410200234034422</x:v>
      </x:c>
      <x:c r="AG1059" s="80" t="n">
        <x:f>C1059*W1059</x:f>
        <x:v>0.7957133879413586</x:v>
      </x:c>
      <x:c r="AH1059" s="80" t="n">
        <x:f>2*'Inputs'!$B$8*'Inputs'!$C$46</x:f>
        <x:v>5000</x:v>
      </x:c>
      <x:c r="AI1059" s="81" t="n">
        <x:f>IF(AH1059&gt;0,(AE1059+AF1059)/AH1059*365,0)</x:f>
        <x:v>0.11092336808764913</x:v>
      </x:c>
      <x:c r="AJ1059" s="81" t="n">
        <x:f>IF('Inputs'!$B$46&gt;0,AG1059/('Inputs'!$B$19*'Inputs'!$B$46)*365,0)</x:f>
        <x:v>0.029043538659859588</x:v>
      </x:c>
      <x:c r="AK1059" s="81" t="n">
        <x:f>W1059/MAX($W$734:W1059)-1</x:f>
        <x:v>-0.9984424214250874</x:v>
      </x:c>
      <x:c r="AL1059" s="83" t="n">
        <x:f>'Inputs'!$B$46</x:f>
        <x:v>1</x:v>
      </x:c>
      <x:c r="AM1059" s="83" t="n">
        <x:f>'Inputs'!$C$46</x:f>
        <x:v>1</x:v>
      </x:c>
      <x:c r="AN1059" s="83" t="n">
        <x:f>'Inputs'!$D$46</x:f>
        <x:v>1</x:v>
      </x:c>
      <x:c r="AO1059" s="81" t="n">
        <x:f>'Inputs'!$E$46</x:f>
        <x:v>0</x:v>
      </x:c>
    </x:row>
    <x:row r="1060">
      <x:c r="A1060" s="59" t="str">
        <x:v>Base</x:v>
      </x:c>
      <x:c r="B1060" s="59" t="n">
        <x:v>327</x:v>
      </x:c>
      <x:c r="C1060" s="78" t="n">
        <x:f>(('Inputs'!$B$29*(3*327*'Inputs'!$B$12-327^2)/(2*'Inputs'!$B$12^2))-('Inputs'!$B$29*(3*326*'Inputs'!$B$12-326^2)/(2*'Inputs'!$B$12^2)))*'Inputs'!$B$46</x:f>
        <x:v>605838.5719647408</x:v>
      </x:c>
      <x:c r="D1060" s="78" t="n">
        <x:f>IF('Inputs'!$C$46&gt;0,('Inputs'!$B$30*(3*327*'Inputs'!$B$12-327^2)/(2*'Inputs'!$B$12^2))-('Inputs'!$B$30*(3*326*'Inputs'!$B$12-326^2)/(2*'Inputs'!$B$12^2)),0)</x:f>
        <x:v>259645.10227058828</x:v>
      </x:c>
      <x:c r="E1060" s="78" t="n">
        <x:f>C1060+D1060</x:f>
        <x:v>865483.674235329</x:v>
      </x:c>
      <x:c r="F1060" s="78" t="n">
        <x:f>'Inputs'!$B$13*E1060+(1-'Inputs'!$B$13)/'Inputs'!$B$14*SUM(E1005:E1060)</x:f>
        <x:v>875701.3510977698</x:v>
      </x:c>
      <x:c r="G1060" s="78" t="n">
        <x:f>F1060*'Inputs'!$F$46</x:f>
        <x:v>437850.6755488849</x:v>
      </x:c>
      <x:c r="H1060" s="78" t="n">
        <x:f>U1059</x:f>
        <x:v>148969481.81394622</x:v>
      </x:c>
      <x:c r="I1060" s="78" t="n">
        <x:f>V1059</x:f>
        <x:v>195.55281025822296</x:v>
      </x:c>
      <x:c r="J1060" s="79" t="n">
        <x:f>IF(H1060&gt;0,I1060/H1060,0)</x:f>
        <x:v>0.0000013127038362290638</x:v>
      </x:c>
      <x:c r="K1060" s="80" t="n">
        <x:f>(H1060*J1060+I1060)*'Inputs'!$D$46*(1+'Inputs'!$G$46)^(B1060/30)</x:f>
        <x:v>391.1056205164459</x:v>
      </x:c>
      <x:c r="L1060" s="80" t="n">
        <x:f>MAX(0,K1060*'Inputs'!$E$46)</x:f>
        <x:v>0</x:v>
      </x:c>
      <x:c r="M1060" s="80" t="n">
        <x:f>MAX(0,-K1060*'Inputs'!$E$46)</x:f>
        <x:v>0</x:v>
      </x:c>
      <x:c r="N1060" s="78" t="n">
        <x:f>H1060*(L1060*(1-'Inputs'!$B$15))/(I1060+L1060*(1-'Inputs'!$B$15))</x:f>
        <x:v>0</x:v>
      </x:c>
      <x:c r="O1060" s="78" t="n">
        <x:f>H1060-N1060</x:f>
        <x:v>148969481.81394622</x:v>
      </x:c>
      <x:c r="P1060" s="78" t="n">
        <x:f>I1060+L1060*(1-'Inputs'!$B$17)</x:f>
        <x:v>195.55281025822296</x:v>
      </x:c>
      <x:c r="Q1060" s="78" t="n">
        <x:f>IF(J1060&gt;0,M1060/J1060,0)</x:f>
        <x:v>0</x:v>
      </x:c>
      <x:c r="R1060" s="78" t="n">
        <x:f>IF(B1060='Inputs'!$H$46,'Inputs'!$B$27*'Inputs'!$I$46,0)</x:f>
        <x:v>0</x:v>
      </x:c>
      <x:c r="S1060" s="78" t="n">
        <x:f>Q1060+G1060+R1060</x:f>
        <x:v>437850.6755488849</x:v>
      </x:c>
      <x:c r="T1060" s="78" t="n">
        <x:f>P1060*(S1060*(1-'Inputs'!$B$15))/(O1060+S1060*(1-'Inputs'!$B$15))</x:f>
        <x:v>0.5673696437492687</x:v>
      </x:c>
      <x:c r="U1060" s="78" t="n">
        <x:f>O1060+S1060*(1-'Inputs'!$B$17)</x:f>
        <x:v>149405570.5149456</x:v>
      </x:c>
      <x:c r="V1060" s="78" t="n">
        <x:f>P1060-T1060</x:f>
        <x:v>194.9854406144737</x:v>
      </x:c>
      <x:c r="W1060" s="79" t="n">
        <x:f>IF(U1060&gt;0,V1060/U1060,0)</x:f>
        <x:v>0.0000013050747702540889</x:v>
      </x:c>
      <x:c r="X1060" s="80" t="n">
        <x:f>W1060*('Inputs'!$B$6-AC1060)</x:f>
        <x:v>1176.5179631880678</x:v>
      </x:c>
      <x:c r="Y1060" s="80" t="n">
        <x:f>2*V1060</x:f>
        <x:v>389.9708812289474</x:v>
      </x:c>
      <x:c r="Z1060" s="80" t="n">
        <x:f>K1060*'Inputs'!$B$16+(G1060+R1060)*J1060*'Inputs'!$B$16</x:f>
        <x:v>2.350082332667607</x:v>
      </x:c>
      <x:c r="AA1060" s="80" t="n">
        <x:f>K1060*(1+'Inputs'!$E$46)/2*'Inputs'!$B$17</x:f>
        <x:v>0.7869328380612595</x:v>
      </x:c>
      <x:c r="AB1060" s="78" t="n">
        <x:f>(IF(J1060&gt;0,K1060*(1-'Inputs'!$E$46)/2/J1060,0)+G1060+R1060)*'Inputs'!$B$17</x:f>
        <x:v>601236.750460745</x:v>
      </x:c>
      <x:c r="AC1060" s="78" t="n">
        <x:f>AC1059+AB1060</x:f>
        <x:v>98505319.38564098</x:v>
      </x:c>
      <x:c r="AD1060" s="80" t="n">
        <x:f>Z1060/(1+'Inputs'!$C$46)</x:f>
        <x:v>1.1750411663338034</x:v>
      </x:c>
      <x:c r="AE1060" s="80" t="n">
        <x:f>Z1060-AD1060</x:f>
        <x:v>1.1750411663338034</x:v>
      </x:c>
      <x:c r="AF1060" s="80" t="n">
        <x:f>D1060*W1060</x:f>
        <x:v>0.33885627219338743</x:v>
      </x:c>
      <x:c r="AG1060" s="80" t="n">
        <x:f>C1060*W1060</x:f>
        <x:v>0.7906646351179494</x:v>
      </x:c>
      <x:c r="AH1060" s="80" t="n">
        <x:f>2*'Inputs'!$B$8*'Inputs'!$C$46</x:f>
        <x:v>5000</x:v>
      </x:c>
      <x:c r="AI1060" s="81" t="n">
        <x:f>IF(AH1060&gt;0,(AE1060+AF1060)/AH1060*365,0)</x:f>
        <x:v>0.11051451301248494</x:v>
      </x:c>
      <x:c r="AJ1060" s="81" t="n">
        <x:f>IF('Inputs'!$B$46&gt;0,AG1060/('Inputs'!$B$19*'Inputs'!$B$46)*365,0)</x:f>
        <x:v>0.028859259181805152</x:v>
      </x:c>
      <x:c r="AK1060" s="81" t="n">
        <x:f>W1060/MAX($W$734:W1060)-1</x:f>
        <x:v>-0.9984514736342616</x:v>
      </x:c>
      <x:c r="AL1060" s="83" t="n">
        <x:f>'Inputs'!$B$46</x:f>
        <x:v>1</x:v>
      </x:c>
      <x:c r="AM1060" s="83" t="n">
        <x:f>'Inputs'!$C$46</x:f>
        <x:v>1</x:v>
      </x:c>
      <x:c r="AN1060" s="83" t="n">
        <x:f>'Inputs'!$D$46</x:f>
        <x:v>1</x:v>
      </x:c>
      <x:c r="AO1060" s="81" t="n">
        <x:f>'Inputs'!$E$46</x:f>
        <x:v>0</x:v>
      </x:c>
    </x:row>
    <x:row r="1061">
      <x:c r="A1061" s="59" t="str">
        <x:v>Base</x:v>
      </x:c>
      <x:c r="B1061" s="59" t="n">
        <x:v>328</x:v>
      </x:c>
      <x:c r="C1061" s="78" t="n">
        <x:f>(('Inputs'!$B$29*(3*328*'Inputs'!$B$12-328^2)/(2*'Inputs'!$B$12^2))-('Inputs'!$B$29*(3*327*'Inputs'!$B$12-327^2)/(2*'Inputs'!$B$12^2)))*'Inputs'!$B$46</x:f>
        <x:v>605513.4640645385</x:v>
      </x:c>
      <x:c r="D1061" s="78" t="n">
        <x:f>IF('Inputs'!$C$46&gt;0,('Inputs'!$B$30*(3*328*'Inputs'!$B$12-328^2)/(2*'Inputs'!$B$12^2))-('Inputs'!$B$30*(3*327*'Inputs'!$B$12-327^2)/(2*'Inputs'!$B$12^2)),0)</x:f>
        <x:v>259505.77031338215</x:v>
      </x:c>
      <x:c r="E1061" s="78" t="n">
        <x:f>C1061+D1061</x:f>
        <x:v>865019.2343779206</x:v>
      </x:c>
      <x:c r="F1061" s="78" t="n">
        <x:f>'Inputs'!$B$13*E1061+(1-'Inputs'!$B$13)/'Inputs'!$B$14*SUM(E1006:E1061)</x:f>
        <x:v>875236.9112403806</x:v>
      </x:c>
      <x:c r="G1061" s="78" t="n">
        <x:f>F1061*'Inputs'!$F$46</x:f>
        <x:v>437618.4556201903</x:v>
      </x:c>
      <x:c r="H1061" s="78" t="n">
        <x:f>U1060</x:f>
        <x:v>149405570.5149456</x:v>
      </x:c>
      <x:c r="I1061" s="78" t="n">
        <x:f>V1060</x:f>
        <x:v>194.9854406144737</x:v>
      </x:c>
      <x:c r="J1061" s="79" t="n">
        <x:f>IF(H1061&gt;0,I1061/H1061,0)</x:f>
        <x:v>0.0000013050747702540889</x:v>
      </x:c>
      <x:c r="K1061" s="80" t="n">
        <x:f>(H1061*J1061+I1061)*'Inputs'!$D$46*(1+'Inputs'!$G$46)^(B1061/30)</x:f>
        <x:v>389.9708812289474</x:v>
      </x:c>
      <x:c r="L1061" s="80" t="n">
        <x:f>MAX(0,K1061*'Inputs'!$E$46)</x:f>
        <x:v>0</x:v>
      </x:c>
      <x:c r="M1061" s="80" t="n">
        <x:f>MAX(0,-K1061*'Inputs'!$E$46)</x:f>
        <x:v>0</x:v>
      </x:c>
      <x:c r="N1061" s="78" t="n">
        <x:f>H1061*(L1061*(1-'Inputs'!$B$15))/(I1061+L1061*(1-'Inputs'!$B$15))</x:f>
        <x:v>0</x:v>
      </x:c>
      <x:c r="O1061" s="78" t="n">
        <x:f>H1061-N1061</x:f>
        <x:v>149405570.5149456</x:v>
      </x:c>
      <x:c r="P1061" s="78" t="n">
        <x:f>I1061+L1061*(1-'Inputs'!$B$17)</x:f>
        <x:v>194.9854406144737</x:v>
      </x:c>
      <x:c r="Q1061" s="78" t="n">
        <x:f>IF(J1061&gt;0,M1061/J1061,0)</x:f>
        <x:v>0</x:v>
      </x:c>
      <x:c r="R1061" s="78" t="n">
        <x:f>IF(B1061='Inputs'!$H$46,'Inputs'!$B$27*'Inputs'!$I$46,0)</x:f>
        <x:v>0</x:v>
      </x:c>
      <x:c r="S1061" s="78" t="n">
        <x:f>Q1061+G1061+R1061</x:f>
        <x:v>437618.4556201903</x:v>
      </x:c>
      <x:c r="T1061" s="78" t="n">
        <x:f>P1061*(S1061*(1-'Inputs'!$B$15))/(O1061+S1061*(1-'Inputs'!$B$15))</x:f>
        <x:v>0.5637787269235126</x:v>
      </x:c>
      <x:c r="U1061" s="78" t="n">
        <x:f>O1061+S1061*(1-'Inputs'!$B$17)</x:f>
        <x:v>149841427.93050292</x:v>
      </x:c>
      <x:c r="V1061" s="78" t="n">
        <x:f>P1061-T1061</x:f>
        <x:v>194.4216618875502</x:v>
      </x:c>
      <x:c r="W1061" s="79" t="n">
        <x:f>IF(U1061&gt;0,V1061/U1061,0)</x:f>
        <x:v>0.0000012975160779816098</x:v>
      </x:c>
      <x:c r="X1061" s="80" t="n">
        <x:f>W1061*('Inputs'!$B$6-AC1061)</x:f>
        <x:v>1168.9214521837962</x:v>
      </x:c>
      <x:c r="Y1061" s="80" t="n">
        <x:f>2*V1061</x:f>
        <x:v>388.8433237751004</x:v>
      </x:c>
      <x:c r="Z1061" s="80" t="n">
        <x:f>K1061*'Inputs'!$B$16+(G1061+R1061)*J1061*'Inputs'!$B$16</x:f>
        <x:v>2.3432520362062497</x:v>
      </x:c>
      <x:c r="AA1061" s="80" t="n">
        <x:f>K1061*(1+'Inputs'!$E$46)/2*'Inputs'!$B$17</x:f>
        <x:v>0.7846496604204174</x:v>
      </x:c>
      <x:c r="AB1061" s="78" t="n">
        <x:f>(IF(J1061&gt;0,K1061*(1-'Inputs'!$E$46)/2/J1061,0)+G1061+R1061)*'Inputs'!$B$17</x:f>
        <x:v>602990.7000827598</x:v>
      </x:c>
      <x:c r="AC1061" s="78" t="n">
        <x:f>AC1060+AB1061</x:f>
        <x:v>99108310.08572374</x:v>
      </x:c>
      <x:c r="AD1061" s="80" t="n">
        <x:f>Z1061/(1+'Inputs'!$C$46)</x:f>
        <x:v>1.1716260181031248</x:v>
      </x:c>
      <x:c r="AE1061" s="80" t="n">
        <x:f>Z1061-AD1061</x:f>
        <x:v>1.1716260181031248</x:v>
      </x:c>
      <x:c r="AF1061" s="80" t="n">
        <x:f>D1061*W1061</x:f>
        <x:v>0.3367129093106161</x:v>
      </x:c>
      <x:c r="AG1061" s="80" t="n">
        <x:f>C1061*W1061</x:f>
        <x:v>0.7856634550580784</x:v>
      </x:c>
      <x:c r="AH1061" s="80" t="n">
        <x:f>2*'Inputs'!$B$8*'Inputs'!$C$46</x:f>
        <x:v>5000</x:v>
      </x:c>
      <x:c r="AI1061" s="81" t="n">
        <x:f>IF(AH1061&gt;0,(AE1061+AF1061)/AH1061*365,0)</x:f>
        <x:v>0.11010874170120308</x:v>
      </x:c>
      <x:c r="AJ1061" s="81" t="n">
        <x:f>IF('Inputs'!$B$46&gt;0,AG1061/('Inputs'!$B$19*'Inputs'!$B$46)*365,0)</x:f>
        <x:v>0.028676716109619863</x:v>
      </x:c>
      <x:c r="AK1061" s="81" t="n">
        <x:f>W1061/MAX($W$734:W1061)-1</x:f>
        <x:v>-0.9984604423420638</x:v>
      </x:c>
      <x:c r="AL1061" s="83" t="n">
        <x:f>'Inputs'!$B$46</x:f>
        <x:v>1</x:v>
      </x:c>
      <x:c r="AM1061" s="83" t="n">
        <x:f>'Inputs'!$C$46</x:f>
        <x:v>1</x:v>
      </x:c>
      <x:c r="AN1061" s="83" t="n">
        <x:f>'Inputs'!$D$46</x:f>
        <x:v>1</x:v>
      </x:c>
      <x:c r="AO1061" s="81" t="n">
        <x:f>'Inputs'!$E$46</x:f>
        <x:v>0</x:v>
      </x:c>
    </x:row>
    <x:row r="1062">
      <x:c r="A1062" s="59" t="str">
        <x:v>Base</x:v>
      </x:c>
      <x:c r="B1062" s="59" t="n">
        <x:v>329</x:v>
      </x:c>
      <x:c r="C1062" s="78" t="n">
        <x:f>(('Inputs'!$B$29*(3*329*'Inputs'!$B$12-329^2)/(2*'Inputs'!$B$12^2))-('Inputs'!$B$29*(3*328*'Inputs'!$B$12-328^2)/(2*'Inputs'!$B$12^2)))*'Inputs'!$B$46</x:f>
        <x:v>605188.3561643958</x:v>
      </x:c>
      <x:c r="D1062" s="78" t="n">
        <x:f>IF('Inputs'!$C$46&gt;0,('Inputs'!$B$30*(3*329*'Inputs'!$B$12-329^2)/(2*'Inputs'!$B$12^2))-('Inputs'!$B$30*(3*328*'Inputs'!$B$12-328^2)/(2*'Inputs'!$B$12^2)),0)</x:f>
        <x:v>259366.43835616112</x:v>
      </x:c>
      <x:c r="E1062" s="78" t="n">
        <x:f>C1062+D1062</x:f>
        <x:v>864554.7945205569</x:v>
      </x:c>
      <x:c r="F1062" s="78" t="n">
        <x:f>'Inputs'!$B$13*E1062+(1-'Inputs'!$B$13)/'Inputs'!$B$14*SUM(E1007:E1062)</x:f>
        <x:v>874772.4713830006</x:v>
      </x:c>
      <x:c r="G1062" s="78" t="n">
        <x:f>F1062*'Inputs'!$F$46</x:f>
        <x:v>437386.2356915003</x:v>
      </x:c>
      <x:c r="H1062" s="78" t="n">
        <x:f>U1061</x:f>
        <x:v>149841427.93050292</x:v>
      </x:c>
      <x:c r="I1062" s="78" t="n">
        <x:f>V1061</x:f>
        <x:v>194.4216618875502</x:v>
      </x:c>
      <x:c r="J1062" s="79" t="n">
        <x:f>IF(H1062&gt;0,I1062/H1062,0)</x:f>
        <x:v>0.0000012975160779816098</x:v>
      </x:c>
      <x:c r="K1062" s="80" t="n">
        <x:f>(H1062*J1062+I1062)*'Inputs'!$D$46*(1+'Inputs'!$G$46)^(B1062/30)</x:f>
        <x:v>388.8433237751004</x:v>
      </x:c>
      <x:c r="L1062" s="80" t="n">
        <x:f>MAX(0,K1062*'Inputs'!$E$46)</x:f>
        <x:v>0</x:v>
      </x:c>
      <x:c r="M1062" s="80" t="n">
        <x:f>MAX(0,-K1062*'Inputs'!$E$46)</x:f>
        <x:v>0</x:v>
      </x:c>
      <x:c r="N1062" s="78" t="n">
        <x:f>H1062*(L1062*(1-'Inputs'!$B$15))/(I1062+L1062*(1-'Inputs'!$B$15))</x:f>
        <x:v>0</x:v>
      </x:c>
      <x:c r="O1062" s="78" t="n">
        <x:f>H1062-N1062</x:f>
        <x:v>149841427.93050292</x:v>
      </x:c>
      <x:c r="P1062" s="78" t="n">
        <x:f>I1062+L1062*(1-'Inputs'!$B$17)</x:f>
        <x:v>194.4216618875502</x:v>
      </x:c>
      <x:c r="Q1062" s="78" t="n">
        <x:f>IF(J1062&gt;0,M1062/J1062,0)</x:f>
        <x:v>0</x:v>
      </x:c>
      <x:c r="R1062" s="78" t="n">
        <x:f>IF(B1062='Inputs'!$H$46,'Inputs'!$B$27*'Inputs'!$I$46,0)</x:f>
        <x:v>0</x:v>
      </x:c>
      <x:c r="S1062" s="78" t="n">
        <x:f>Q1062+G1062+R1062</x:f>
        <x:v>437386.2356915003</x:v>
      </x:c>
      <x:c r="T1062" s="78" t="n">
        <x:f>P1062*(S1062*(1-'Inputs'!$B$15))/(O1062+S1062*(1-'Inputs'!$B$15))</x:f>
        <x:v>0.5602215857291903</x:v>
      </x:c>
      <x:c r="U1062" s="78" t="n">
        <x:f>O1062+S1062*(1-'Inputs'!$B$17)</x:f>
        <x:v>150277054.0606182</x:v>
      </x:c>
      <x:c r="V1062" s="78" t="n">
        <x:f>P1062-T1062</x:f>
        <x:v>193.861440301821</x:v>
      </x:c>
      <x:c r="W1062" s="79" t="n">
        <x:f>IF(U1062&gt;0,V1062/U1062,0)</x:f>
        <x:v>0.0000012900268874290143</x:v>
      </x:c>
      <x:c r="X1062" s="80" t="n">
        <x:f>W1062*('Inputs'!$B$6-AC1062)</x:f>
        <x:v>1161.3943669932921</x:v>
      </x:c>
      <x:c r="Y1062" s="80" t="n">
        <x:f>2*V1062</x:f>
        <x:v>387.722880603642</x:v>
      </x:c>
      <x:c r="Z1062" s="80" t="n">
        <x:f>K1062*'Inputs'!$B$16+(G1062+R1062)*J1062*'Inputs'!$B$16</x:f>
        <x:v>2.3364650366891877</x:v>
      </x:c>
      <x:c r="AA1062" s="80" t="n">
        <x:f>K1062*(1+'Inputs'!$E$46)/2*'Inputs'!$B$17</x:f>
        <x:v>0.7823809331490954</x:v>
      </x:c>
      <x:c r="AB1062" s="78" t="n">
        <x:f>(IF(J1062&gt;0,K1062*(1-'Inputs'!$E$46)/2/J1062,0)+G1062+R1062)*'Inputs'!$B$17</x:f>
        <x:v>604743.7189786496</x:v>
      </x:c>
      <x:c r="AC1062" s="78" t="n">
        <x:f>AC1061+AB1062</x:f>
        <x:v>99713053.80470239</x:v>
      </x:c>
      <x:c r="AD1062" s="80" t="n">
        <x:f>Z1062/(1+'Inputs'!$C$46)</x:f>
        <x:v>1.1682325183445939</x:v>
      </x:c>
      <x:c r="AE1062" s="80" t="n">
        <x:f>Z1062-AD1062</x:f>
        <x:v>1.1682325183445939</x:v>
      </x:c>
      <x:c r="AF1062" s="80" t="n">
        <x:f>D1062*W1062</x:f>
        <x:v>0.33458967917614785</x:v>
      </x:c>
      <x:c r="AG1062" s="80" t="n">
        <x:f>C1062*W1062</x:f>
        <x:v>0.7807092514110372</x:v>
      </x:c>
      <x:c r="AH1062" s="80" t="n">
        <x:f>2*'Inputs'!$B$8*'Inputs'!$C$46</x:f>
        <x:v>5000</x:v>
      </x:c>
      <x:c r="AI1062" s="81" t="n">
        <x:f>IF(AH1062&gt;0,(AE1062+AF1062)/AH1062*365,0)</x:f>
        <x:v>0.10970602041901413</x:v>
      </x:c>
      <x:c r="AJ1062" s="81" t="n">
        <x:f>IF('Inputs'!$B$46&gt;0,AG1062/('Inputs'!$B$19*'Inputs'!$B$46)*365,0)</x:f>
        <x:v>0.028495887676502855</x:v>
      </x:c>
      <x:c r="AK1062" s="81" t="n">
        <x:f>W1062/MAX($W$734:W1062)-1</x:f>
        <x:v>-0.9984693285831383</x:v>
      </x:c>
      <x:c r="AL1062" s="83" t="n">
        <x:f>'Inputs'!$B$46</x:f>
        <x:v>1</x:v>
      </x:c>
      <x:c r="AM1062" s="83" t="n">
        <x:f>'Inputs'!$C$46</x:f>
        <x:v>1</x:v>
      </x:c>
      <x:c r="AN1062" s="83" t="n">
        <x:f>'Inputs'!$D$46</x:f>
        <x:v>1</x:v>
      </x:c>
      <x:c r="AO1062" s="81" t="n">
        <x:f>'Inputs'!$E$46</x:f>
        <x:v>0</x:v>
      </x:c>
    </x:row>
    <x:row r="1063">
      <x:c r="A1063" s="59" t="str">
        <x:v>Base</x:v>
      </x:c>
      <x:c r="B1063" s="59" t="n">
        <x:v>330</x:v>
      </x:c>
      <x:c r="C1063" s="78" t="n">
        <x:f>(('Inputs'!$B$29*(3*330*'Inputs'!$B$12-330^2)/(2*'Inputs'!$B$12^2))-('Inputs'!$B$29*(3*329*'Inputs'!$B$12-329^2)/(2*'Inputs'!$B$12^2)))*'Inputs'!$B$46</x:f>
        <x:v>604863.2482641935</x:v>
      </x:c>
      <x:c r="D1063" s="78" t="n">
        <x:f>IF('Inputs'!$C$46&gt;0,('Inputs'!$B$30*(3*330*'Inputs'!$B$12-330^2)/(2*'Inputs'!$B$12^2))-('Inputs'!$B$30*(3*329*'Inputs'!$B$12-329^2)/(2*'Inputs'!$B$12^2)),0)</x:f>
        <x:v>259227.106398955</x:v>
      </x:c>
      <x:c r="E1063" s="78" t="n">
        <x:f>C1063+D1063</x:f>
        <x:v>864090.3546631485</x:v>
      </x:c>
      <x:c r="F1063" s="78" t="n">
        <x:f>'Inputs'!$B$13*E1063+(1-'Inputs'!$B$13)/'Inputs'!$B$14*SUM(E1008:E1063)</x:f>
        <x:v>874308.0315256115</x:v>
      </x:c>
      <x:c r="G1063" s="78" t="n">
        <x:f>F1063*'Inputs'!$F$46</x:f>
        <x:v>437154.01576280576</x:v>
      </x:c>
      <x:c r="H1063" s="78" t="n">
        <x:f>U1062</x:f>
        <x:v>150277054.0606182</x:v>
      </x:c>
      <x:c r="I1063" s="78" t="n">
        <x:f>V1062</x:f>
        <x:v>193.861440301821</x:v>
      </x:c>
      <x:c r="J1063" s="79" t="n">
        <x:f>IF(H1063&gt;0,I1063/H1063,0)</x:f>
        <x:v>0.0000012900268874290143</x:v>
      </x:c>
      <x:c r="K1063" s="80" t="n">
        <x:f>(H1063*J1063+I1063)*'Inputs'!$D$46*(1+'Inputs'!$G$46)^(B1063/30)</x:f>
        <x:v>387.722880603642</x:v>
      </x:c>
      <x:c r="L1063" s="80" t="n">
        <x:f>MAX(0,K1063*'Inputs'!$E$46)</x:f>
        <x:v>0</x:v>
      </x:c>
      <x:c r="M1063" s="80" t="n">
        <x:f>MAX(0,-K1063*'Inputs'!$E$46)</x:f>
        <x:v>0</x:v>
      </x:c>
      <x:c r="N1063" s="78" t="n">
        <x:f>H1063*(L1063*(1-'Inputs'!$B$15))/(I1063+L1063*(1-'Inputs'!$B$15))</x:f>
        <x:v>0</x:v>
      </x:c>
      <x:c r="O1063" s="78" t="n">
        <x:f>H1063-N1063</x:f>
        <x:v>150277054.0606182</x:v>
      </x:c>
      <x:c r="P1063" s="78" t="n">
        <x:f>I1063+L1063*(1-'Inputs'!$B$17)</x:f>
        <x:v>193.861440301821</x:v>
      </x:c>
      <x:c r="Q1063" s="78" t="n">
        <x:f>IF(J1063&gt;0,M1063/J1063,0)</x:f>
        <x:v>0</x:v>
      </x:c>
      <x:c r="R1063" s="78" t="n">
        <x:f>IF(B1063='Inputs'!$H$46,'Inputs'!$B$27*'Inputs'!$I$46,0)</x:f>
        <x:v>0</x:v>
      </x:c>
      <x:c r="S1063" s="78" t="n">
        <x:f>Q1063+G1063+R1063</x:f>
        <x:v>437154.01576280576</x:v>
      </x:c>
      <x:c r="T1063" s="78" t="n">
        <x:f>P1063*(S1063*(1-'Inputs'!$B$15))/(O1063+S1063*(1-'Inputs'!$B$15))</x:f>
        <x:v>0.5566977974794763</x:v>
      </x:c>
      <x:c r="U1063" s="78" t="n">
        <x:f>O1063+S1063*(1-'Inputs'!$B$17)</x:f>
        <x:v>150712448.9052914</x:v>
      </x:c>
      <x:c r="V1063" s="78" t="n">
        <x:f>P1063-T1063</x:f>
        <x:v>193.30474250434153</x:v>
      </x:c>
      <x:c r="W1063" s="79" t="n">
        <x:f>IF(U1063&gt;0,V1063/U1063,0)</x:f>
        <x:v>0.000001282606340142581</x:v>
      </x:c>
      <x:c r="X1063" s="80" t="n">
        <x:f>W1063*('Inputs'!$B$6-AC1063)</x:f>
        <x:v>1153.935849770173</x:v>
      </x:c>
      <x:c r="Y1063" s="80" t="n">
        <x:f>2*V1063</x:f>
        <x:v>386.60948500868307</x:v>
      </x:c>
      <x:c r="Z1063" s="80" t="n">
        <x:f>K1063*'Inputs'!$B$16+(G1063+R1063)*J1063*'Inputs'!$B$16</x:f>
        <x:v>2.329720926227542</x:v>
      </x:c>
      <x:c r="AA1063" s="80" t="n">
        <x:f>K1063*(1+'Inputs'!$E$46)/2*'Inputs'!$B$17</x:f>
        <x:v>0.7801265203292597</x:v>
      </x:c>
      <x:c r="AB1063" s="78" t="n">
        <x:f>(IF(J1063&gt;0,K1063*(1-'Inputs'!$E$46)/2/J1063,0)+G1063+R1063)*'Inputs'!$B$17</x:f>
        <x:v>606495.8071484145</x:v>
      </x:c>
      <x:c r="AC1063" s="78" t="n">
        <x:f>AC1062+AB1063</x:f>
        <x:v>100319549.6118508</x:v>
      </x:c>
      <x:c r="AD1063" s="80" t="n">
        <x:f>Z1063/(1+'Inputs'!$C$46)</x:f>
        <x:v>1.164860463113771</x:v>
      </x:c>
      <x:c r="AE1063" s="80" t="n">
        <x:f>Z1063-AD1063</x:f>
        <x:v>1.164860463113771</x:v>
      </x:c>
      <x:c r="AF1063" s="80" t="n">
        <x:f>D1063*W1063</x:f>
        <x:v>0.3324863302041151</x:v>
      </x:c>
      <x:c r="AG1063" s="80" t="n">
        <x:f>C1063*W1063</x:f>
        <x:v>0.7758014371428906</x:v>
      </x:c>
      <x:c r="AH1063" s="80" t="n">
        <x:f>2*'Inputs'!$B$8*'Inputs'!$C$46</x:f>
        <x:v>5000</x:v>
      </x:c>
      <x:c r="AI1063" s="81" t="n">
        <x:f>IF(AH1063&gt;0,(AE1063+AF1063)/AH1063*365,0)</x:f>
        <x:v>0.10930631591220566</x:v>
      </x:c>
      <x:c r="AJ1063" s="81" t="n">
        <x:f>IF('Inputs'!$B$46&gt;0,AG1063/('Inputs'!$B$19*'Inputs'!$B$46)*365,0)</x:f>
        <x:v>0.028316752455715508</x:v>
      </x:c>
      <x:c r="AK1063" s="81" t="n">
        <x:f>W1063/MAX($W$734:W1063)-1</x:f>
        <x:v>-0.9984781333760767</x:v>
      </x:c>
      <x:c r="AL1063" s="83" t="n">
        <x:f>'Inputs'!$B$46</x:f>
        <x:v>1</x:v>
      </x:c>
      <x:c r="AM1063" s="83" t="n">
        <x:f>'Inputs'!$C$46</x:f>
        <x:v>1</x:v>
      </x:c>
      <x:c r="AN1063" s="83" t="n">
        <x:f>'Inputs'!$D$46</x:f>
        <x:v>1</x:v>
      </x:c>
      <x:c r="AO1063" s="81" t="n">
        <x:f>'Inputs'!$E$46</x:f>
        <x:v>0</x:v>
      </x:c>
    </x:row>
    <x:row r="1064">
      <x:c r="A1064" s="59" t="str">
        <x:v>Base</x:v>
      </x:c>
      <x:c r="B1064" s="59" t="n">
        <x:v>331</x:v>
      </x:c>
      <x:c r="C1064" s="78" t="n">
        <x:f>(('Inputs'!$B$29*(3*331*'Inputs'!$B$12-331^2)/(2*'Inputs'!$B$12^2))-('Inputs'!$B$29*(3*330*'Inputs'!$B$12-330^2)/(2*'Inputs'!$B$12^2)))*'Inputs'!$B$46</x:f>
        <x:v>604538.1403640509</x:v>
      </x:c>
      <x:c r="D1064" s="78" t="n">
        <x:f>IF('Inputs'!$C$46&gt;0,('Inputs'!$B$30*(3*331*'Inputs'!$B$12-331^2)/(2*'Inputs'!$B$12^2))-('Inputs'!$B$30*(3*330*'Inputs'!$B$12-330^2)/(2*'Inputs'!$B$12^2)),0)</x:f>
        <x:v>259087.77444173396</x:v>
      </x:c>
      <x:c r="E1064" s="78" t="n">
        <x:f>C1064+D1064</x:f>
        <x:v>863625.9148057848</x:v>
      </x:c>
      <x:c r="F1064" s="78" t="n">
        <x:f>'Inputs'!$B$13*E1064+(1-'Inputs'!$B$13)/'Inputs'!$B$14*SUM(E1009:E1064)</x:f>
        <x:v>873843.5916682314</x:v>
      </x:c>
      <x:c r="G1064" s="78" t="n">
        <x:f>F1064*'Inputs'!$F$46</x:f>
        <x:v>436921.7958341157</x:v>
      </x:c>
      <x:c r="H1064" s="78" t="n">
        <x:f>U1063</x:f>
        <x:v>150712448.9052914</x:v>
      </x:c>
      <x:c r="I1064" s="78" t="n">
        <x:f>V1063</x:f>
        <x:v>193.30474250434153</x:v>
      </x:c>
      <x:c r="J1064" s="79" t="n">
        <x:f>IF(H1064&gt;0,I1064/H1064,0)</x:f>
        <x:v>0.000001282606340142581</x:v>
      </x:c>
      <x:c r="K1064" s="80" t="n">
        <x:f>(H1064*J1064+I1064)*'Inputs'!$D$46*(1+'Inputs'!$G$46)^(B1064/30)</x:f>
        <x:v>386.6094850086831</x:v>
      </x:c>
      <x:c r="L1064" s="80" t="n">
        <x:f>MAX(0,K1064*'Inputs'!$E$46)</x:f>
        <x:v>0</x:v>
      </x:c>
      <x:c r="M1064" s="80" t="n">
        <x:f>MAX(0,-K1064*'Inputs'!$E$46)</x:f>
        <x:v>0</x:v>
      </x:c>
      <x:c r="N1064" s="78" t="n">
        <x:f>H1064*(L1064*(1-'Inputs'!$B$15))/(I1064+L1064*(1-'Inputs'!$B$15))</x:f>
        <x:v>0</x:v>
      </x:c>
      <x:c r="O1064" s="78" t="n">
        <x:f>H1064-N1064</x:f>
        <x:v>150712448.9052914</x:v>
      </x:c>
      <x:c r="P1064" s="78" t="n">
        <x:f>I1064+L1064*(1-'Inputs'!$B$17)</x:f>
        <x:v>193.30474250434153</x:v>
      </x:c>
      <x:c r="Q1064" s="78" t="n">
        <x:f>IF(J1064&gt;0,M1064/J1064,0)</x:f>
        <x:v>0</x:v>
      </x:c>
      <x:c r="R1064" s="78" t="n">
        <x:f>IF(B1064='Inputs'!$H$46,'Inputs'!$B$27*'Inputs'!$I$46,0)</x:f>
        <x:v>0</x:v>
      </x:c>
      <x:c r="S1064" s="78" t="n">
        <x:f>Q1064+G1064+R1064</x:f>
        <x:v>436921.7958341157</x:v>
      </x:c>
      <x:c r="T1064" s="78" t="n">
        <x:f>P1064*(S1064*(1-'Inputs'!$B$15))/(O1064+S1064*(1-'Inputs'!$B$15))</x:f>
        <x:v>0.5532069460806996</x:v>
      </x:c>
      <x:c r="U1064" s="78" t="n">
        <x:f>O1064+S1064*(1-'Inputs'!$B$17)</x:f>
        <x:v>151147612.46452257</x:v>
      </x:c>
      <x:c r="V1064" s="78" t="n">
        <x:f>P1064-T1064</x:f>
        <x:v>192.75153555826083</x:v>
      </x:c>
      <x:c r="W1064" s="79" t="n">
        <x:f>IF(U1064&gt;0,V1064/U1064,0)</x:f>
        <x:v>0.000001275253590945762</x:v>
      </x:c>
      <x:c r="X1064" s="80" t="n">
        <x:f>W1064*('Inputs'!$B$6-AC1064)</x:f>
        <x:v>1146.54505593541</x:v>
      </x:c>
      <x:c r="Y1064" s="80" t="n">
        <x:f>2*V1064</x:f>
        <x:v>385.50307111652165</x:v>
      </x:c>
      <x:c r="Z1064" s="80" t="n">
        <x:f>K1064*'Inputs'!$B$16+(G1064+R1064)*J1064*'Inputs'!$B$16</x:f>
        <x:v>2.3230193020449987</x:v>
      </x:c>
      <x:c r="AA1064" s="80" t="n">
        <x:f>K1064*(1+'Inputs'!$E$46)/2*'Inputs'!$B$17</x:f>
        <x:v>0.7778862877438293</x:v>
      </x:c>
      <x:c r="AB1064" s="78" t="n">
        <x:f>(IF(J1064&gt;0,K1064*(1-'Inputs'!$E$46)/2/J1064,0)+G1064+R1064)*'Inputs'!$B$17</x:f>
        <x:v>608246.9645920545</x:v>
      </x:c>
      <x:c r="AC1064" s="78" t="n">
        <x:f>AC1063+AB1064</x:f>
        <x:v>100927796.57644285</x:v>
      </x:c>
      <x:c r="AD1064" s="80" t="n">
        <x:f>Z1064/(1+'Inputs'!$C$46)</x:f>
        <x:v>1.1615096510224994</x:v>
      </x:c>
      <x:c r="AE1064" s="80" t="n">
        <x:f>Z1064-AD1064</x:f>
        <x:v>1.1615096510224994</x:v>
      </x:c>
      <x:c r="AF1064" s="80" t="n">
        <x:f>D1064*W1064</x:f>
        <x:v>0.3304026147269668</x:v>
      </x:c>
      <x:c r="AG1064" s="80" t="n">
        <x:f>C1064*W1064</x:f>
        <x:v>0.7709394343629289</x:v>
      </x:c>
      <x:c r="AH1064" s="80" t="n">
        <x:f>2*'Inputs'!$B$8*'Inputs'!$C$46</x:f>
        <x:v>5000</x:v>
      </x:c>
      <x:c r="AI1064" s="81" t="n">
        <x:f>IF(AH1064&gt;0,(AE1064+AF1064)/AH1064*365,0)</x:f>
        <x:v>0.10890959539971103</x:v>
      </x:c>
      <x:c r="AJ1064" s="81" t="n">
        <x:f>IF('Inputs'!$B$46&gt;0,AG1064/('Inputs'!$B$19*'Inputs'!$B$46)*365,0)</x:f>
        <x:v>0.028139289354246904</x:v>
      </x:c>
      <x:c r="AK1064" s="81" t="n">
        <x:f>W1064/MAX($W$734:W1064)-1</x:f>
        <x:v>-0.9984868577237167</x:v>
      </x:c>
      <x:c r="AL1064" s="83" t="n">
        <x:f>'Inputs'!$B$46</x:f>
        <x:v>1</x:v>
      </x:c>
      <x:c r="AM1064" s="83" t="n">
        <x:f>'Inputs'!$C$46</x:f>
        <x:v>1</x:v>
      </x:c>
      <x:c r="AN1064" s="83" t="n">
        <x:f>'Inputs'!$D$46</x:f>
        <x:v>1</x:v>
      </x:c>
      <x:c r="AO1064" s="81" t="n">
        <x:f>'Inputs'!$E$46</x:f>
        <x:v>0</x:v>
      </x:c>
    </x:row>
    <x:row r="1065">
      <x:c r="A1065" s="59" t="str">
        <x:v>Base</x:v>
      </x:c>
      <x:c r="B1065" s="59" t="n">
        <x:v>332</x:v>
      </x:c>
      <x:c r="C1065" s="78" t="n">
        <x:f>(('Inputs'!$B$29*(3*332*'Inputs'!$B$12-332^2)/(2*'Inputs'!$B$12^2))-('Inputs'!$B$29*(3*331*'Inputs'!$B$12-331^2)/(2*'Inputs'!$B$12^2)))*'Inputs'!$B$46</x:f>
        <x:v>604213.0324638784</x:v>
      </x:c>
      <x:c r="D1065" s="78" t="n">
        <x:f>IF('Inputs'!$C$46&gt;0,('Inputs'!$B$30*(3*332*'Inputs'!$B$12-332^2)/(2*'Inputs'!$B$12^2))-('Inputs'!$B$30*(3*331*'Inputs'!$B$12-331^2)/(2*'Inputs'!$B$12^2)),0)</x:f>
        <x:v>258948.44248451293</x:v>
      </x:c>
      <x:c r="E1065" s="78" t="n">
        <x:f>C1065+D1065</x:f>
        <x:v>863161.4749483913</x:v>
      </x:c>
      <x:c r="F1065" s="78" t="n">
        <x:f>'Inputs'!$B$13*E1065+(1-'Inputs'!$B$13)/'Inputs'!$B$14*SUM(E1010:E1065)</x:f>
        <x:v>873379.1518108456</x:v>
      </x:c>
      <x:c r="G1065" s="78" t="n">
        <x:f>F1065*'Inputs'!$F$46</x:f>
        <x:v>436689.5759054228</x:v>
      </x:c>
      <x:c r="H1065" s="78" t="n">
        <x:f>U1064</x:f>
        <x:v>151147612.46452257</x:v>
      </x:c>
      <x:c r="I1065" s="78" t="n">
        <x:f>V1064</x:f>
        <x:v>192.75153555826083</x:v>
      </x:c>
      <x:c r="J1065" s="79" t="n">
        <x:f>IF(H1065&gt;0,I1065/H1065,0)</x:f>
        <x:v>0.000001275253590945762</x:v>
      </x:c>
      <x:c r="K1065" s="80" t="n">
        <x:f>(H1065*J1065+I1065)*'Inputs'!$D$46*(1+'Inputs'!$G$46)^(B1065/30)</x:f>
        <x:v>385.50307111652165</x:v>
      </x:c>
      <x:c r="L1065" s="80" t="n">
        <x:f>MAX(0,K1065*'Inputs'!$E$46)</x:f>
        <x:v>0</x:v>
      </x:c>
      <x:c r="M1065" s="80" t="n">
        <x:f>MAX(0,-K1065*'Inputs'!$E$46)</x:f>
        <x:v>0</x:v>
      </x:c>
      <x:c r="N1065" s="78" t="n">
        <x:f>H1065*(L1065*(1-'Inputs'!$B$15))/(I1065+L1065*(1-'Inputs'!$B$15))</x:f>
        <x:v>0</x:v>
      </x:c>
      <x:c r="O1065" s="78" t="n">
        <x:f>H1065-N1065</x:f>
        <x:v>151147612.46452257</x:v>
      </x:c>
      <x:c r="P1065" s="78" t="n">
        <x:f>I1065+L1065*(1-'Inputs'!$B$17)</x:f>
        <x:v>192.75153555826083</x:v>
      </x:c>
      <x:c r="Q1065" s="78" t="n">
        <x:f>IF(J1065&gt;0,M1065/J1065,0)</x:f>
        <x:v>0</x:v>
      </x:c>
      <x:c r="R1065" s="78" t="n">
        <x:f>IF(B1065='Inputs'!$H$46,'Inputs'!$B$27*'Inputs'!$I$46,0)</x:f>
        <x:v>0</x:v>
      </x:c>
      <x:c r="S1065" s="78" t="n">
        <x:f>Q1065+G1065+R1065</x:f>
        <x:v>436689.5759054228</x:v>
      </x:c>
      <x:c r="T1065" s="78" t="n">
        <x:f>P1065*(S1065*(1-'Inputs'!$B$15))/(O1065+S1065*(1-'Inputs'!$B$15))</x:f>
        <x:v>0.5497486219092509</x:v>
      </x:c>
      <x:c r="U1065" s="78" t="n">
        <x:f>O1065+S1065*(1-'Inputs'!$B$17)</x:f>
        <x:v>151582544.73831168</x:v>
      </x:c>
      <x:c r="V1065" s="78" t="n">
        <x:f>P1065-T1065</x:f>
        <x:v>192.20178693635157</x:v>
      </x:c>
      <x:c r="W1065" s="79" t="n">
        <x:f>IF(U1065&gt;0,V1065/U1065,0)</x:f>
        <x:v>0.0000012679678076929235</x:v>
      </x:c>
      <x:c r="X1065" s="80" t="n">
        <x:f>W1065*('Inputs'!$B$6-AC1065)</x:f>
        <x:v>1139.2211539312502</x:v>
      </x:c>
      <x:c r="Y1065" s="80" t="n">
        <x:f>2*V1065</x:f>
        <x:v>384.40357387270313</x:v>
      </x:c>
      <x:c r="Z1065" s="80" t="n">
        <x:f>K1065*'Inputs'!$B$16+(G1065+R1065)*J1065*'Inputs'!$B$16</x:f>
        <x:v>2.316359766397942</x:v>
      </x:c>
      <x:c r="AA1065" s="80" t="n">
        <x:f>K1065*(1+'Inputs'!$E$46)/2*'Inputs'!$B$17</x:f>
        <x:v>0.7756601028501442</x:v>
      </x:c>
      <x:c r="AB1065" s="78" t="n">
        <x:f>(IF(J1065&gt;0,K1065*(1-'Inputs'!$E$46)/2/J1065,0)+G1065+R1065)*'Inputs'!$B$17</x:f>
        <x:v>609997.1913095694</x:v>
      </x:c>
      <x:c r="AC1065" s="78" t="n">
        <x:f>AC1064+AB1065</x:f>
        <x:v>101537793.76775242</x:v>
      </x:c>
      <x:c r="AD1065" s="80" t="n">
        <x:f>Z1065/(1+'Inputs'!$C$46)</x:f>
        <x:v>1.158179883198971</x:v>
      </x:c>
      <x:c r="AE1065" s="80" t="n">
        <x:f>Z1065-AD1065</x:f>
        <x:v>1.158179883198971</x:v>
      </x:c>
      <x:c r="AF1065" s="80" t="n">
        <x:f>D1065*W1065</x:f>
        <x:v>0.32833828892258493</x:v>
      </x:c>
      <x:c r="AG1065" s="80" t="n">
        <x:f>C1065*W1065</x:f>
        <x:v>0.7661226741527172</x:v>
      </x:c>
      <x:c r="AH1065" s="80" t="n">
        <x:f>2*'Inputs'!$B$8*'Inputs'!$C$46</x:f>
        <x:v>5000</x:v>
      </x:c>
      <x:c r="AI1065" s="81" t="n">
        <x:f>IF(AH1065&gt;0,(AE1065+AF1065)/AH1065*365,0)</x:f>
        <x:v>0.10851582656487357</x:v>
      </x:c>
      <x:c r="AJ1065" s="81" t="n">
        <x:f>IF('Inputs'!$B$46&gt;0,AG1065/('Inputs'!$B$19*'Inputs'!$B$46)*365,0)</x:f>
        <x:v>0.027963477606574177</x:v>
      </x:c>
      <x:c r="AK1065" s="81" t="n">
        <x:f>W1065/MAX($W$734:W1065)-1</x:f>
        <x:v>-0.9984955026134343</x:v>
      </x:c>
      <x:c r="AL1065" s="83" t="n">
        <x:f>'Inputs'!$B$46</x:f>
        <x:v>1</x:v>
      </x:c>
      <x:c r="AM1065" s="83" t="n">
        <x:f>'Inputs'!$C$46</x:f>
        <x:v>1</x:v>
      </x:c>
      <x:c r="AN1065" s="83" t="n">
        <x:f>'Inputs'!$D$46</x:f>
        <x:v>1</x:v>
      </x:c>
      <x:c r="AO1065" s="81" t="n">
        <x:f>'Inputs'!$E$46</x:f>
        <x:v>0</x:v>
      </x:c>
    </x:row>
    <x:row r="1066">
      <x:c r="A1066" s="59" t="str">
        <x:v>Base</x:v>
      </x:c>
      <x:c r="B1066" s="59" t="n">
        <x:v>333</x:v>
      </x:c>
      <x:c r="C1066" s="78" t="n">
        <x:f>(('Inputs'!$B$29*(3*333*'Inputs'!$B$12-333^2)/(2*'Inputs'!$B$12^2))-('Inputs'!$B$29*(3*332*'Inputs'!$B$12-332^2)/(2*'Inputs'!$B$12^2)))*'Inputs'!$B$46</x:f>
        <x:v>603887.9245637059</x:v>
      </x:c>
      <x:c r="D1066" s="78" t="n">
        <x:f>IF('Inputs'!$C$46&gt;0,('Inputs'!$B$30*(3*333*'Inputs'!$B$12-333^2)/(2*'Inputs'!$B$12^2))-('Inputs'!$B$30*(3*332*'Inputs'!$B$12-332^2)/(2*'Inputs'!$B$12^2)),0)</x:f>
        <x:v>258809.1105273068</x:v>
      </x:c>
      <x:c r="E1066" s="78" t="n">
        <x:f>C1066+D1066</x:f>
        <x:v>862697.0350910127</x:v>
      </x:c>
      <x:c r="F1066" s="78" t="n">
        <x:f>'Inputs'!$B$13*E1066+(1-'Inputs'!$B$13)/'Inputs'!$B$14*SUM(E1011:E1066)</x:f>
        <x:v>872914.7119534623</x:v>
      </x:c>
      <x:c r="G1066" s="78" t="n">
        <x:f>F1066*'Inputs'!$F$46</x:f>
        <x:v>436457.35597673117</x:v>
      </x:c>
      <x:c r="H1066" s="78" t="n">
        <x:f>U1065</x:f>
        <x:v>151582544.73831168</x:v>
      </x:c>
      <x:c r="I1066" s="78" t="n">
        <x:f>V1065</x:f>
        <x:v>192.20178693635157</x:v>
      </x:c>
      <x:c r="J1066" s="79" t="n">
        <x:f>IF(H1066&gt;0,I1066/H1066,0)</x:f>
        <x:v>0.0000012679678076929235</x:v>
      </x:c>
      <x:c r="K1066" s="80" t="n">
        <x:f>(H1066*J1066+I1066)*'Inputs'!$D$46*(1+'Inputs'!$G$46)^(B1066/30)</x:f>
        <x:v>384.40357387270313</x:v>
      </x:c>
      <x:c r="L1066" s="80" t="n">
        <x:f>MAX(0,K1066*'Inputs'!$E$46)</x:f>
        <x:v>0</x:v>
      </x:c>
      <x:c r="M1066" s="80" t="n">
        <x:f>MAX(0,-K1066*'Inputs'!$E$46)</x:f>
        <x:v>0</x:v>
      </x:c>
      <x:c r="N1066" s="78" t="n">
        <x:f>H1066*(L1066*(1-'Inputs'!$B$15))/(I1066+L1066*(1-'Inputs'!$B$15))</x:f>
        <x:v>0</x:v>
      </x:c>
      <x:c r="O1066" s="78" t="n">
        <x:f>H1066-N1066</x:f>
        <x:v>151582544.73831168</x:v>
      </x:c>
      <x:c r="P1066" s="78" t="n">
        <x:f>I1066+L1066*(1-'Inputs'!$B$17)</x:f>
        <x:v>192.20178693635157</x:v>
      </x:c>
      <x:c r="Q1066" s="78" t="n">
        <x:f>IF(J1066&gt;0,M1066/J1066,0)</x:f>
        <x:v>0</x:v>
      </x:c>
      <x:c r="R1066" s="78" t="n">
        <x:f>IF(B1066='Inputs'!$H$46,'Inputs'!$B$27*'Inputs'!$I$46,0)</x:f>
        <x:v>0</x:v>
      </x:c>
      <x:c r="S1066" s="78" t="n">
        <x:f>Q1066+G1066+R1066</x:f>
        <x:v>436457.35597673117</x:v>
      </x:c>
      <x:c r="T1066" s="78" t="n">
        <x:f>P1066*(S1066*(1-'Inputs'!$B$15))/(O1066+S1066*(1-'Inputs'!$B$15))</x:f>
        <x:v>0.5463224216912406</x:v>
      </x:c>
      <x:c r="U1066" s="78" t="n">
        <x:f>O1066+S1066*(1-'Inputs'!$B$17)</x:f>
        <x:v>152017245.72665873</x:v>
      </x:c>
      <x:c r="V1066" s="78" t="n">
        <x:f>P1066-T1066</x:f>
        <x:v>191.65546451466034</x:v>
      </x:c>
      <x:c r="W1066" s="79" t="n">
        <x:f>IF(U1066&gt;0,V1066/U1066,0)</x:f>
        <x:v>0.0000012607481710284031</x:v>
      </x:c>
      <x:c r="X1066" s="80" t="n">
        <x:f>W1066*('Inputs'!$B$6-AC1066)</x:f>
        <x:v>1131.9633249804524</x:v>
      </x:c>
      <x:c r="Y1066" s="80" t="n">
        <x:f>2*V1066</x:f>
        <x:v>383.3109290293207</x:v>
      </x:c>
      <x:c r="Z1066" s="80" t="n">
        <x:f>K1066*'Inputs'!$B$16+(G1066+R1066)*J1066*'Inputs'!$B$16</x:f>
        <x:v>2.3097419264970744</x:v>
      </x:c>
      <x:c r="AA1066" s="80" t="n">
        <x:f>K1066*(1+'Inputs'!$E$46)/2*'Inputs'!$B$17</x:f>
        <x:v>0.7734478347539299</x:v>
      </x:c>
      <x:c r="AB1066" s="78" t="n">
        <x:f>(IF(J1066&gt;0,K1066*(1-'Inputs'!$E$46)/2/J1066,0)+G1066+R1066)*'Inputs'!$B$17</x:f>
        <x:v>611746.4873009594</x:v>
      </x:c>
      <x:c r="AC1066" s="78" t="n">
        <x:f>AC1065+AB1066</x:f>
        <x:v>102149540.25505339</x:v>
      </x:c>
      <x:c r="AD1066" s="80" t="n">
        <x:f>Z1066/(1+'Inputs'!$C$46)</x:f>
        <x:v>1.1548709632485372</x:v>
      </x:c>
      <x:c r="AE1066" s="80" t="n">
        <x:f>Z1066-AD1066</x:f>
        <x:v>1.1548709632485372</x:v>
      </x:c>
      <x:c r="AF1066" s="80" t="n">
        <x:f>D1066*W1066</x:f>
        <x:v>0.3262931127427899</x:v>
      </x:c>
      <x:c r="AG1066" s="80" t="n">
        <x:f>C1066*W1066</x:f>
        <x:v>0.7613505963998305</x:v>
      </x:c>
      <x:c r="AH1066" s="80" t="n">
        <x:f>2*'Inputs'!$B$8*'Inputs'!$C$46</x:f>
        <x:v>5000</x:v>
      </x:c>
      <x:c r="AI1066" s="81" t="n">
        <x:f>IF(AH1066&gt;0,(AE1066+AF1066)/AH1066*365,0)</x:f>
        <x:v>0.10812497754736689</x:v>
      </x:c>
      <x:c r="AJ1066" s="81" t="n">
        <x:f>IF('Inputs'!$B$46&gt;0,AG1066/('Inputs'!$B$19*'Inputs'!$B$46)*365,0)</x:f>
        <x:v>0.02778929676859381</x:v>
      </x:c>
      <x:c r="AK1066" s="81" t="n">
        <x:f>W1066/MAX($W$734:W1066)-1</x:f>
        <x:v>-0.9985040690174296</x:v>
      </x:c>
      <x:c r="AL1066" s="83" t="n">
        <x:f>'Inputs'!$B$46</x:f>
        <x:v>1</x:v>
      </x:c>
      <x:c r="AM1066" s="83" t="n">
        <x:f>'Inputs'!$C$46</x:f>
        <x:v>1</x:v>
      </x:c>
      <x:c r="AN1066" s="83" t="n">
        <x:f>'Inputs'!$D$46</x:f>
        <x:v>1</x:v>
      </x:c>
      <x:c r="AO1066" s="81" t="n">
        <x:f>'Inputs'!$E$46</x:f>
        <x:v>0</x:v>
      </x:c>
    </x:row>
    <x:row r="1067">
      <x:c r="A1067" s="59" t="str">
        <x:v>Base</x:v>
      </x:c>
      <x:c r="B1067" s="59" t="n">
        <x:v>334</x:v>
      </x:c>
      <x:c r="C1067" s="78" t="n">
        <x:f>(('Inputs'!$B$29*(3*334*'Inputs'!$B$12-334^2)/(2*'Inputs'!$B$12^2))-('Inputs'!$B$29*(3*333*'Inputs'!$B$12-333^2)/(2*'Inputs'!$B$12^2)))*'Inputs'!$B$46</x:f>
        <x:v>603562.8166635334</x:v>
      </x:c>
      <x:c r="D1067" s="78" t="n">
        <x:f>IF('Inputs'!$C$46&gt;0,('Inputs'!$B$30*(3*334*'Inputs'!$B$12-334^2)/(2*'Inputs'!$B$12^2))-('Inputs'!$B$30*(3*333*'Inputs'!$B$12-333^2)/(2*'Inputs'!$B$12^2)),0)</x:f>
        <x:v>258669.77857008576</x:v>
      </x:c>
      <x:c r="E1067" s="78" t="n">
        <x:f>C1067+D1067</x:f>
        <x:v>862232.5952336192</x:v>
      </x:c>
      <x:c r="F1067" s="78" t="n">
        <x:f>'Inputs'!$B$13*E1067+(1-'Inputs'!$B$13)/'Inputs'!$B$14*SUM(E1012:E1067)</x:f>
        <x:v>872450.2720960763</x:v>
      </x:c>
      <x:c r="G1067" s="78" t="n">
        <x:f>F1067*'Inputs'!$F$46</x:f>
        <x:v>436225.13604803814</x:v>
      </x:c>
      <x:c r="H1067" s="78" t="n">
        <x:f>U1066</x:f>
        <x:v>152017245.72665873</x:v>
      </x:c>
      <x:c r="I1067" s="78" t="n">
        <x:f>V1066</x:f>
        <x:v>191.65546451466034</x:v>
      </x:c>
      <x:c r="J1067" s="79" t="n">
        <x:f>IF(H1067&gt;0,I1067/H1067,0)</x:f>
        <x:v>0.0000012607481710284031</x:v>
      </x:c>
      <x:c r="K1067" s="80" t="n">
        <x:f>(H1067*J1067+I1067)*'Inputs'!$D$46*(1+'Inputs'!$G$46)^(B1067/30)</x:f>
        <x:v>383.3109290293207</x:v>
      </x:c>
      <x:c r="L1067" s="80" t="n">
        <x:f>MAX(0,K1067*'Inputs'!$E$46)</x:f>
        <x:v>0</x:v>
      </x:c>
      <x:c r="M1067" s="80" t="n">
        <x:f>MAX(0,-K1067*'Inputs'!$E$46)</x:f>
        <x:v>0</x:v>
      </x:c>
      <x:c r="N1067" s="78" t="n">
        <x:f>H1067*(L1067*(1-'Inputs'!$B$15))/(I1067+L1067*(1-'Inputs'!$B$15))</x:f>
        <x:v>0</x:v>
      </x:c>
      <x:c r="O1067" s="78" t="n">
        <x:f>H1067-N1067</x:f>
        <x:v>152017245.72665873</x:v>
      </x:c>
      <x:c r="P1067" s="78" t="n">
        <x:f>I1067+L1067*(1-'Inputs'!$B$17)</x:f>
        <x:v>191.65546451466034</x:v>
      </x:c>
      <x:c r="Q1067" s="78" t="n">
        <x:f>IF(J1067&gt;0,M1067/J1067,0)</x:f>
        <x:v>0</x:v>
      </x:c>
      <x:c r="R1067" s="78" t="n">
        <x:f>IF(B1067='Inputs'!$H$46,'Inputs'!$B$27*'Inputs'!$I$46,0)</x:f>
        <x:v>0</x:v>
      </x:c>
      <x:c r="S1067" s="78" t="n">
        <x:f>Q1067+G1067+R1067</x:f>
        <x:v>436225.13604803814</x:v>
      </x:c>
      <x:c r="T1067" s="78" t="n">
        <x:f>P1067*(S1067*(1-'Inputs'!$B$15))/(O1067+S1067*(1-'Inputs'!$B$15))</x:f>
        <x:v>0.5429279483847036</x:v>
      </x:c>
      <x:c r="U1067" s="78" t="n">
        <x:f>O1067+S1067*(1-'Inputs'!$B$17)</x:f>
        <x:v>152451715.42956373</x:v>
      </x:c>
      <x:c r="V1067" s="78" t="n">
        <x:f>P1067-T1067</x:f>
        <x:v>191.11253656627562</x:v>
      </x:c>
      <x:c r="W1067" s="79" t="n">
        <x:f>IF(U1067&gt;0,V1067/U1067,0)</x:f>
        <x:v>0.0000012535938741507576</x:v>
      </x:c>
      <x:c r="X1067" s="80" t="n">
        <x:f>W1067*('Inputs'!$B$6-AC1067)</x:f>
        <x:v>1124.7707628507064</x:v>
      </x:c>
      <x:c r="Y1067" s="80" t="n">
        <x:f>2*V1067</x:f>
        <x:v>382.22507313255124</x:v>
      </x:c>
      <x:c r="Z1067" s="80" t="n">
        <x:f>K1067*'Inputs'!$B$16+(G1067+R1067)*J1067*'Inputs'!$B$16</x:f>
        <x:v>2.3031653944304993</x:v>
      </x:c>
      <x:c r="AA1067" s="80" t="n">
        <x:f>K1067*(1+'Inputs'!$E$46)/2*'Inputs'!$B$17</x:f>
        <x:v>0.7712493541837439</x:v>
      </x:c>
      <x:c r="AB1067" s="78" t="n">
        <x:f>(IF(J1067&gt;0,K1067*(1-'Inputs'!$E$46)/2/J1067,0)+G1067+R1067)*'Inputs'!$B$17</x:f>
        <x:v>613494.8525662245</x:v>
      </x:c>
      <x:c r="AC1067" s="78" t="n">
        <x:f>AC1066+AB1067</x:f>
        <x:v>102763035.10761961</x:v>
      </x:c>
      <x:c r="AD1067" s="80" t="n">
        <x:f>Z1067/(1+'Inputs'!$C$46)</x:f>
        <x:v>1.1515826972152496</x:v>
      </x:c>
      <x:c r="AE1067" s="80" t="n">
        <x:f>Z1067-AD1067</x:f>
        <x:v>1.1515826972152496</x:v>
      </x:c>
      <x:c r="AF1067" s="80" t="n">
        <x:f>D1067*W1067</x:f>
        <x:v>0.32426684984339244</x:v>
      </x:c>
      <x:c r="AG1067" s="80" t="n">
        <x:f>C1067*W1067</x:f>
        <x:v>0.7566226496345824</x:v>
      </x:c>
      <x:c r="AH1067" s="80" t="n">
        <x:f>2*'Inputs'!$B$8*'Inputs'!$C$46</x:f>
        <x:v>5000</x:v>
      </x:c>
      <x:c r="AI1067" s="81" t="n">
        <x:f>IF(AH1067&gt;0,(AE1067+AF1067)/AH1067*365,0)</x:f>
        <x:v>0.10773701693528089</x:v>
      </x:c>
      <x:c r="AJ1067" s="81" t="n">
        <x:f>IF('Inputs'!$B$46&gt;0,AG1067/('Inputs'!$B$19*'Inputs'!$B$46)*365,0)</x:f>
        <x:v>0.027616726711662255</x:v>
      </x:c>
      <x:c r="AK1067" s="81" t="n">
        <x:f>W1067/MAX($W$734:W1067)-1</x:f>
        <x:v>-0.9985125578930066</x:v>
      </x:c>
      <x:c r="AL1067" s="83" t="n">
        <x:f>'Inputs'!$B$46</x:f>
        <x:v>1</x:v>
      </x:c>
      <x:c r="AM1067" s="83" t="n">
        <x:f>'Inputs'!$C$46</x:f>
        <x:v>1</x:v>
      </x:c>
      <x:c r="AN1067" s="83" t="n">
        <x:f>'Inputs'!$D$46</x:f>
        <x:v>1</x:v>
      </x:c>
      <x:c r="AO1067" s="81" t="n">
        <x:f>'Inputs'!$E$46</x:f>
        <x:v>0</x:v>
      </x:c>
    </x:row>
    <x:row r="1068">
      <x:c r="A1068" s="59" t="str">
        <x:v>Base</x:v>
      </x:c>
      <x:c r="B1068" s="59" t="n">
        <x:v>335</x:v>
      </x:c>
      <x:c r="C1068" s="78" t="n">
        <x:f>(('Inputs'!$B$29*(3*335*'Inputs'!$B$12-335^2)/(2*'Inputs'!$B$12^2))-('Inputs'!$B$29*(3*334*'Inputs'!$B$12-334^2)/(2*'Inputs'!$B$12^2)))*'Inputs'!$B$46</x:f>
        <x:v>603237.7087633908</x:v>
      </x:c>
      <x:c r="D1068" s="78" t="n">
        <x:f>IF('Inputs'!$C$46&gt;0,('Inputs'!$B$30*(3*335*'Inputs'!$B$12-335^2)/(2*'Inputs'!$B$12^2))-('Inputs'!$B$30*(3*334*'Inputs'!$B$12-334^2)/(2*'Inputs'!$B$12^2)),0)</x:f>
        <x:v>258530.44661287963</x:v>
      </x:c>
      <x:c r="E1068" s="78" t="n">
        <x:f>C1068+D1068</x:f>
        <x:v>861768.1553762704</x:v>
      </x:c>
      <x:c r="F1068" s="78" t="n">
        <x:f>'Inputs'!$B$13*E1068+(1-'Inputs'!$B$13)/'Inputs'!$B$14*SUM(E1013:E1068)</x:f>
        <x:v>871985.8322386995</x:v>
      </x:c>
      <x:c r="G1068" s="78" t="n">
        <x:f>F1068*'Inputs'!$F$46</x:f>
        <x:v>435992.9161193498</x:v>
      </x:c>
      <x:c r="H1068" s="78" t="n">
        <x:f>U1067</x:f>
        <x:v>152451715.42956373</x:v>
      </x:c>
      <x:c r="I1068" s="78" t="n">
        <x:f>V1067</x:f>
        <x:v>191.11253656627562</x:v>
      </x:c>
      <x:c r="J1068" s="79" t="n">
        <x:f>IF(H1068&gt;0,I1068/H1068,0)</x:f>
        <x:v>0.0000012535938741507576</x:v>
      </x:c>
      <x:c r="K1068" s="80" t="n">
        <x:f>(H1068*J1068+I1068)*'Inputs'!$D$46*(1+'Inputs'!$G$46)^(B1068/30)</x:f>
        <x:v>382.22507313255124</x:v>
      </x:c>
      <x:c r="L1068" s="80" t="n">
        <x:f>MAX(0,K1068*'Inputs'!$E$46)</x:f>
        <x:v>0</x:v>
      </x:c>
      <x:c r="M1068" s="80" t="n">
        <x:f>MAX(0,-K1068*'Inputs'!$E$46)</x:f>
        <x:v>0</x:v>
      </x:c>
      <x:c r="N1068" s="78" t="n">
        <x:f>H1068*(L1068*(1-'Inputs'!$B$15))/(I1068+L1068*(1-'Inputs'!$B$15))</x:f>
        <x:v>0</x:v>
      </x:c>
      <x:c r="O1068" s="78" t="n">
        <x:f>H1068-N1068</x:f>
        <x:v>152451715.42956373</x:v>
      </x:c>
      <x:c r="P1068" s="78" t="n">
        <x:f>I1068+L1068*(1-'Inputs'!$B$17)</x:f>
        <x:v>191.11253656627562</x:v>
      </x:c>
      <x:c r="Q1068" s="78" t="n">
        <x:f>IF(J1068&gt;0,M1068/J1068,0)</x:f>
        <x:v>0</x:v>
      </x:c>
      <x:c r="R1068" s="78" t="n">
        <x:f>IF(B1068='Inputs'!$H$46,'Inputs'!$B$27*'Inputs'!$I$46,0)</x:f>
        <x:v>0</x:v>
      </x:c>
      <x:c r="S1068" s="78" t="n">
        <x:f>Q1068+G1068+R1068</x:f>
        <x:v>435992.9161193498</x:v>
      </x:c>
      <x:c r="T1068" s="78" t="n">
        <x:f>P1068*(S1068*(1-'Inputs'!$B$15))/(O1068+S1068*(1-'Inputs'!$B$15))</x:f>
        <x:v>0.5395648110643866</x:v>
      </x:c>
      <x:c r="U1068" s="78" t="n">
        <x:f>O1068+S1068*(1-'Inputs'!$B$17)</x:f>
        <x:v>152885953.84702668</x:v>
      </x:c>
      <x:c r="V1068" s="78" t="n">
        <x:f>P1068-T1068</x:f>
        <x:v>190.57297175521123</x:v>
      </x:c>
      <x:c r="W1068" s="79" t="n">
        <x:f>IF(U1068&gt;0,V1068/U1068,0)</x:f>
        <x:v>0.0000012465041225820725</x:v>
      </x:c>
      <x:c r="X1068" s="80" t="n">
        <x:f>W1068*('Inputs'!$B$6-AC1068)</x:f>
        <x:v>1117.6426736241149</x:v>
      </x:c>
      <x:c r="Y1068" s="80" t="n">
        <x:f>2*V1068</x:f>
        <x:v>381.14594351042246</x:v>
      </x:c>
      <x:c r="Z1068" s="80" t="n">
        <x:f>K1068*'Inputs'!$B$16+(G1068+R1068)*J1068*'Inputs'!$B$16</x:f>
        <x:v>2.2966297870882295</x:v>
      </x:c>
      <x:c r="AA1068" s="80" t="n">
        <x:f>K1068*(1+'Inputs'!$E$46)/2*'Inputs'!$B$17</x:f>
        <x:v>0.769064533465898</x:v>
      </x:c>
      <x:c r="AB1068" s="78" t="n">
        <x:f>(IF(J1068&gt;0,K1068*(1-'Inputs'!$E$46)/2/J1068,0)+G1068+R1068)*'Inputs'!$B$17</x:f>
        <x:v>615242.2871053645</x:v>
      </x:c>
      <x:c r="AC1068" s="78" t="n">
        <x:f>AC1067+AB1068</x:f>
        <x:v>103378277.39472498</x:v>
      </x:c>
      <x:c r="AD1068" s="80" t="n">
        <x:f>Z1068/(1+'Inputs'!$C$46)</x:f>
        <x:v>1.1483148935441148</x:v>
      </x:c>
      <x:c r="AE1068" s="80" t="n">
        <x:f>Z1068-AD1068</x:f>
        <x:v>1.1483148935441148</x:v>
      </x:c>
      <x:c r="AF1068" s="80" t="n">
        <x:f>D1068*W1068</x:f>
        <x:v>0.32225926751593886</x:v>
      </x:c>
      <x:c r="AG1068" s="80" t="n">
        <x:f>C1068*W1068</x:f>
        <x:v>0.7519382908705302</x:v>
      </x:c>
      <x:c r="AH1068" s="80" t="n">
        <x:f>2*'Inputs'!$B$8*'Inputs'!$C$46</x:f>
        <x:v>5000</x:v>
      </x:c>
      <x:c r="AI1068" s="81" t="n">
        <x:f>IF(AH1068&gt;0,(AE1068+AF1068)/AH1068*365,0)</x:f>
        <x:v>0.10735191375738391</x:v>
      </x:c>
      <x:c r="AJ1068" s="81" t="n">
        <x:f>IF('Inputs'!$B$46&gt;0,AG1068/('Inputs'!$B$19*'Inputs'!$B$46)*365,0)</x:f>
        <x:v>0.027445747616774353</x:v>
      </x:c>
      <x:c r="AK1068" s="81" t="n">
        <x:f>W1068/MAX($W$734:W1068)-1</x:f>
        <x:v>-0.9985209701828469</x:v>
      </x:c>
      <x:c r="AL1068" s="83" t="n">
        <x:f>'Inputs'!$B$46</x:f>
        <x:v>1</x:v>
      </x:c>
      <x:c r="AM1068" s="83" t="n">
        <x:f>'Inputs'!$C$46</x:f>
        <x:v>1</x:v>
      </x:c>
      <x:c r="AN1068" s="83" t="n">
        <x:f>'Inputs'!$D$46</x:f>
        <x:v>1</x:v>
      </x:c>
      <x:c r="AO1068" s="81" t="n">
        <x:f>'Inputs'!$E$46</x:f>
        <x:v>0</x:v>
      </x:c>
    </x:row>
    <x:row r="1069">
      <x:c r="A1069" s="59" t="str">
        <x:v>Base</x:v>
      </x:c>
      <x:c r="B1069" s="59" t="n">
        <x:v>336</x:v>
      </x:c>
      <x:c r="C1069" s="78" t="n">
        <x:f>(('Inputs'!$B$29*(3*336*'Inputs'!$B$12-336^2)/(2*'Inputs'!$B$12^2))-('Inputs'!$B$29*(3*335*'Inputs'!$B$12-335^2)/(2*'Inputs'!$B$12^2)))*'Inputs'!$B$46</x:f>
        <x:v>602912.6008631885</x:v>
      </x:c>
      <x:c r="D1069" s="78" t="n">
        <x:f>IF('Inputs'!$C$46&gt;0,('Inputs'!$B$30*(3*336*'Inputs'!$B$12-336^2)/(2*'Inputs'!$B$12^2))-('Inputs'!$B$30*(3*335*'Inputs'!$B$12-335^2)/(2*'Inputs'!$B$12^2)),0)</x:f>
        <x:v>258391.1146556586</x:v>
      </x:c>
      <x:c r="E1069" s="78" t="n">
        <x:f>C1069+D1069</x:f>
        <x:v>861303.7155188471</x:v>
      </x:c>
      <x:c r="F1069" s="78" t="n">
        <x:f>'Inputs'!$B$13*E1069+(1-'Inputs'!$B$13)/'Inputs'!$B$14*SUM(E1014:E1069)</x:f>
        <x:v>871521.3923813077</x:v>
      </x:c>
      <x:c r="G1069" s="78" t="n">
        <x:f>F1069*'Inputs'!$F$46</x:f>
        <x:v>435760.69619065383</x:v>
      </x:c>
      <x:c r="H1069" s="78" t="n">
        <x:f>U1068</x:f>
        <x:v>152885953.84702668</x:v>
      </x:c>
      <x:c r="I1069" s="78" t="n">
        <x:f>V1068</x:f>
        <x:v>190.57297175521123</x:v>
      </x:c>
      <x:c r="J1069" s="79" t="n">
        <x:f>IF(H1069&gt;0,I1069/H1069,0)</x:f>
        <x:v>0.0000012465041225820725</x:v>
      </x:c>
      <x:c r="K1069" s="80" t="n">
        <x:f>(H1069*J1069+I1069)*'Inputs'!$D$46*(1+'Inputs'!$G$46)^(B1069/30)</x:f>
        <x:v>381.14594351042246</x:v>
      </x:c>
      <x:c r="L1069" s="80" t="n">
        <x:f>MAX(0,K1069*'Inputs'!$E$46)</x:f>
        <x:v>0</x:v>
      </x:c>
      <x:c r="M1069" s="80" t="n">
        <x:f>MAX(0,-K1069*'Inputs'!$E$46)</x:f>
        <x:v>0</x:v>
      </x:c>
      <x:c r="N1069" s="78" t="n">
        <x:f>H1069*(L1069*(1-'Inputs'!$B$15))/(I1069+L1069*(1-'Inputs'!$B$15))</x:f>
        <x:v>0</x:v>
      </x:c>
      <x:c r="O1069" s="78" t="n">
        <x:f>H1069-N1069</x:f>
        <x:v>152885953.84702668</x:v>
      </x:c>
      <x:c r="P1069" s="78" t="n">
        <x:f>I1069+L1069*(1-'Inputs'!$B$17)</x:f>
        <x:v>190.57297175521123</x:v>
      </x:c>
      <x:c r="Q1069" s="78" t="n">
        <x:f>IF(J1069&gt;0,M1069/J1069,0)</x:f>
        <x:v>0</x:v>
      </x:c>
      <x:c r="R1069" s="78" t="n">
        <x:f>IF(B1069='Inputs'!$H$46,'Inputs'!$B$27*'Inputs'!$I$46,0)</x:f>
        <x:v>0</x:v>
      </x:c>
      <x:c r="S1069" s="78" t="n">
        <x:f>Q1069+G1069+R1069</x:f>
        <x:v>435760.69619065383</x:v>
      </x:c>
      <x:c r="T1069" s="78" t="n">
        <x:f>P1069*(S1069*(1-'Inputs'!$B$15))/(O1069+S1069*(1-'Inputs'!$B$15))</x:f>
        <x:v>0.536232624808963</x:v>
      </x:c>
      <x:c r="U1069" s="78" t="n">
        <x:f>O1069+S1069*(1-'Inputs'!$B$17)</x:f>
        <x:v>153319960.97904754</x:v>
      </x:c>
      <x:c r="V1069" s="78" t="n">
        <x:f>P1069-T1069</x:f>
        <x:v>190.03673913040225</x:v>
      </x:c>
      <x:c r="W1069" s="79" t="n">
        <x:f>IF(U1069&gt;0,V1069/U1069,0)</x:f>
        <x:v>0.0000012394781339422097</x:v>
      </x:c>
      <x:c r="X1069" s="80" t="n">
        <x:f>W1069*('Inputs'!$B$6-AC1069)</x:f>
        <x:v>1110.5782754716051</x:v>
      </x:c>
      <x:c r="Y1069" s="80" t="n">
        <x:f>2*V1069</x:f>
        <x:v>380.0734782608045</x:v>
      </x:c>
      <x:c r="Z1069" s="80" t="n">
        <x:f>K1069*'Inputs'!$B$16+(G1069+R1069)*J1069*'Inputs'!$B$16</x:f>
        <x:v>2.2901347260881</x:v>
      </x:c>
      <x:c r="AA1069" s="80" t="n">
        <x:f>K1069*(1+'Inputs'!$E$46)/2*'Inputs'!$B$17</x:f>
        <x:v>0.766893246499844</x:v>
      </x:c>
      <x:c r="AB1069" s="78" t="n">
        <x:f>(IF(J1069&gt;0,K1069*(1-'Inputs'!$E$46)/2/J1069,0)+G1069+R1069)*'Inputs'!$B$17</x:f>
        <x:v>616988.7909183797</x:v>
      </x:c>
      <x:c r="AC1069" s="78" t="n">
        <x:f>AC1068+AB1069</x:f>
        <x:v>103995266.18564336</x:v>
      </x:c>
      <x:c r="AD1069" s="80" t="n">
        <x:f>Z1069/(1+'Inputs'!$C$46)</x:f>
        <x:v>1.14506736304405</x:v>
      </x:c>
      <x:c r="AE1069" s="80" t="n">
        <x:f>Z1069-AD1069</x:f>
        <x:v>1.14506736304405</x:v>
      </x:c>
      <x:c r="AF1069" s="80" t="n">
        <x:f>D1069*W1069</x:f>
        <x:v>0.3202701366206433</x:v>
      </x:c>
      <x:c r="AG1069" s="80" t="n">
        <x:f>C1069*W1069</x:f>
        <x:v>0.7472969854481492</x:v>
      </x:c>
      <x:c r="AH1069" s="80" t="n">
        <x:f>2*'Inputs'!$B$8*'Inputs'!$C$46</x:f>
        <x:v>5000</x:v>
      </x:c>
      <x:c r="AI1069" s="81" t="n">
        <x:f>IF(AH1069&gt;0,(AE1069+AF1069)/AH1069*365,0)</x:f>
        <x:v>0.10696963747552261</x:v>
      </x:c>
      <x:c r="AJ1069" s="81" t="n">
        <x:f>IF('Inputs'!$B$46&gt;0,AG1069/('Inputs'!$B$19*'Inputs'!$B$46)*365,0)</x:f>
        <x:v>0.027276339968857442</x:v>
      </x:c>
      <x:c r="AK1069" s="81" t="n">
        <x:f>W1069/MAX($W$734:W1069)-1</x:f>
        <x:v>-0.9985293068152776</x:v>
      </x:c>
      <x:c r="AL1069" s="83" t="n">
        <x:f>'Inputs'!$B$46</x:f>
        <x:v>1</x:v>
      </x:c>
      <x:c r="AM1069" s="83" t="n">
        <x:f>'Inputs'!$C$46</x:f>
        <x:v>1</x:v>
      </x:c>
      <x:c r="AN1069" s="83" t="n">
        <x:f>'Inputs'!$D$46</x:f>
        <x:v>1</x:v>
      </x:c>
      <x:c r="AO1069" s="81" t="n">
        <x:f>'Inputs'!$E$46</x:f>
        <x:v>0</x:v>
      </x:c>
    </x:row>
    <x:row r="1070">
      <x:c r="A1070" s="59" t="str">
        <x:v>Base</x:v>
      </x:c>
      <x:c r="B1070" s="59" t="n">
        <x:v>337</x:v>
      </x:c>
      <x:c r="C1070" s="78" t="n">
        <x:f>(('Inputs'!$B$29*(3*337*'Inputs'!$B$12-337^2)/(2*'Inputs'!$B$12^2))-('Inputs'!$B$29*(3*336*'Inputs'!$B$12-336^2)/(2*'Inputs'!$B$12^2)))*'Inputs'!$B$46</x:f>
        <x:v>602587.4929630458</x:v>
      </x:c>
      <x:c r="D1070" s="78" t="n">
        <x:f>IF('Inputs'!$C$46&gt;0,('Inputs'!$B$30*(3*337*'Inputs'!$B$12-337^2)/(2*'Inputs'!$B$12^2))-('Inputs'!$B$30*(3*336*'Inputs'!$B$12-336^2)/(2*'Inputs'!$B$12^2)),0)</x:f>
        <x:v>258251.78269843757</x:v>
      </x:c>
      <x:c r="E1070" s="78" t="n">
        <x:f>C1070+D1070</x:f>
        <x:v>860839.2756614834</x:v>
      </x:c>
      <x:c r="F1070" s="78" t="n">
        <x:f>'Inputs'!$B$13*E1070+(1-'Inputs'!$B$13)/'Inputs'!$B$14*SUM(E1015:E1070)</x:f>
        <x:v>871056.9525239277</x:v>
      </x:c>
      <x:c r="G1070" s="78" t="n">
        <x:f>F1070*'Inputs'!$F$46</x:f>
        <x:v>435528.47626196383</x:v>
      </x:c>
      <x:c r="H1070" s="78" t="n">
        <x:f>U1069</x:f>
        <x:v>153319960.97904754</x:v>
      </x:c>
      <x:c r="I1070" s="78" t="n">
        <x:f>V1069</x:f>
        <x:v>190.03673913040225</x:v>
      </x:c>
      <x:c r="J1070" s="79" t="n">
        <x:f>IF(H1070&gt;0,I1070/H1070,0)</x:f>
        <x:v>0.0000012394781339422097</x:v>
      </x:c>
      <x:c r="K1070" s="80" t="n">
        <x:f>(H1070*J1070+I1070)*'Inputs'!$D$46*(1+'Inputs'!$G$46)^(B1070/30)</x:f>
        <x:v>380.0734782608045</x:v>
      </x:c>
      <x:c r="L1070" s="80" t="n">
        <x:f>MAX(0,K1070*'Inputs'!$E$46)</x:f>
        <x:v>0</x:v>
      </x:c>
      <x:c r="M1070" s="80" t="n">
        <x:f>MAX(0,-K1070*'Inputs'!$E$46)</x:f>
        <x:v>0</x:v>
      </x:c>
      <x:c r="N1070" s="78" t="n">
        <x:f>H1070*(L1070*(1-'Inputs'!$B$15))/(I1070+L1070*(1-'Inputs'!$B$15))</x:f>
        <x:v>0</x:v>
      </x:c>
      <x:c r="O1070" s="78" t="n">
        <x:f>H1070-N1070</x:f>
        <x:v>153319960.97904754</x:v>
      </x:c>
      <x:c r="P1070" s="78" t="n">
        <x:f>I1070+L1070*(1-'Inputs'!$B$17)</x:f>
        <x:v>190.03673913040225</x:v>
      </x:c>
      <x:c r="Q1070" s="78" t="n">
        <x:f>IF(J1070&gt;0,M1070/J1070,0)</x:f>
        <x:v>0</x:v>
      </x:c>
      <x:c r="R1070" s="78" t="n">
        <x:f>IF(B1070='Inputs'!$H$46,'Inputs'!$B$27*'Inputs'!$I$46,0)</x:f>
        <x:v>0</x:v>
      </x:c>
      <x:c r="S1070" s="78" t="n">
        <x:f>Q1070+G1070+R1070</x:f>
        <x:v>435528.47626196383</x:v>
      </x:c>
      <x:c r="T1070" s="78" t="n">
        <x:f>P1070*(S1070*(1-'Inputs'!$B$15))/(O1070+S1070*(1-'Inputs'!$B$15))</x:f>
        <x:v>0.5329310105907519</x:v>
      </x:c>
      <x:c r="U1070" s="78" t="n">
        <x:f>O1070+S1070*(1-'Inputs'!$B$17)</x:f>
        <x:v>153753736.82562634</x:v>
      </x:c>
      <x:c r="V1070" s="78" t="n">
        <x:f>P1070-T1070</x:f>
        <x:v>189.5038081198115</x:v>
      </x:c>
      <x:c r="W1070" s="79" t="n">
        <x:f>IF(U1070&gt;0,V1070/U1070,0)</x:f>
        <x:v>0.0000012325151377278698</x:v>
      </x:c>
      <x:c r="X1070" s="80" t="n">
        <x:f>W1070*('Inputs'!$B$6-AC1070)</x:f>
        <x:v>1103.5767984321562</x:v>
      </x:c>
      <x:c r="Y1070" s="80" t="n">
        <x:f>2*V1070</x:f>
        <x:v>379.007616239623</x:v>
      </x:c>
      <x:c r="Z1070" s="80" t="n">
        <x:f>K1070*'Inputs'!$B$16+(G1070+R1070)*J1070*'Inputs'!$B$16</x:f>
        <x:v>2.2836798377030427</x:v>
      </x:c>
      <x:c r="AA1070" s="80" t="n">
        <x:f>K1070*(1+'Inputs'!$E$46)/2*'Inputs'!$B$17</x:f>
        <x:v>0.7647353687340132</x:v>
      </x:c>
      <x:c r="AB1070" s="78" t="n">
        <x:f>(IF(J1070&gt;0,K1070*(1-'Inputs'!$E$46)/2/J1070,0)+G1070+R1070)*'Inputs'!$B$17</x:f>
        <x:v>618734.3640052697</x:v>
      </x:c>
      <x:c r="AC1070" s="78" t="n">
        <x:f>AC1069+AB1070</x:f>
        <x:v>104614000.54964863</x:v>
      </x:c>
      <x:c r="AD1070" s="80" t="n">
        <x:f>Z1070/(1+'Inputs'!$C$46)</x:f>
        <x:v>1.1418399188515214</x:v>
      </x:c>
      <x:c r="AE1070" s="80" t="n">
        <x:f>Z1070-AD1070</x:f>
        <x:v>1.1418399188515214</x:v>
      </x:c>
      <x:c r="AF1070" s="80" t="n">
        <x:f>D1070*W1070</x:f>
        <x:v>0.3182992315210327</x:v>
      </x:c>
      <x:c r="AG1070" s="80" t="n">
        <x:f>C1070*W1070</x:f>
        <x:v>0.7426982068824403</x:v>
      </x:c>
      <x:c r="AH1070" s="80" t="n">
        <x:f>2*'Inputs'!$B$8*'Inputs'!$C$46</x:f>
        <x:v>5000</x:v>
      </x:c>
      <x:c r="AI1070" s="81" t="n">
        <x:f>IF(AH1070&gt;0,(AE1070+AF1070)/AH1070*365,0)</x:f>
        <x:v>0.10659015797719644</x:v>
      </x:c>
      <x:c r="AJ1070" s="81" t="n">
        <x:f>IF('Inputs'!$B$46&gt;0,AG1070/('Inputs'!$B$19*'Inputs'!$B$46)*365,0)</x:f>
        <x:v>0.02710848455120907</x:v>
      </x:c>
      <x:c r="AK1070" s="81" t="n">
        <x:f>W1070/MAX($W$734:W1070)-1</x:f>
        <x:v>-0.9985375687045335</x:v>
      </x:c>
      <x:c r="AL1070" s="83" t="n">
        <x:f>'Inputs'!$B$46</x:f>
        <x:v>1</x:v>
      </x:c>
      <x:c r="AM1070" s="83" t="n">
        <x:f>'Inputs'!$C$46</x:f>
        <x:v>1</x:v>
      </x:c>
      <x:c r="AN1070" s="83" t="n">
        <x:f>'Inputs'!$D$46</x:f>
        <x:v>1</x:v>
      </x:c>
      <x:c r="AO1070" s="81" t="n">
        <x:f>'Inputs'!$E$46</x:f>
        <x:v>0</x:v>
      </x:c>
    </x:row>
    <x:row r="1071">
      <x:c r="A1071" s="59" t="str">
        <x:v>Base</x:v>
      </x:c>
      <x:c r="B1071" s="59" t="n">
        <x:v>338</x:v>
      </x:c>
      <x:c r="C1071" s="78" t="n">
        <x:f>(('Inputs'!$B$29*(3*338*'Inputs'!$B$12-338^2)/(2*'Inputs'!$B$12^2))-('Inputs'!$B$29*(3*337*'Inputs'!$B$12-337^2)/(2*'Inputs'!$B$12^2)))*'Inputs'!$B$46</x:f>
        <x:v>602262.3850628436</x:v>
      </x:c>
      <x:c r="D1071" s="78" t="n">
        <x:f>IF('Inputs'!$C$46&gt;0,('Inputs'!$B$30*(3*338*'Inputs'!$B$12-338^2)/(2*'Inputs'!$B$12^2))-('Inputs'!$B$30*(3*337*'Inputs'!$B$12-337^2)/(2*'Inputs'!$B$12^2)),0)</x:f>
        <x:v>258112.45074123144</x:v>
      </x:c>
      <x:c r="E1071" s="78" t="n">
        <x:f>C1071+D1071</x:f>
        <x:v>860374.835804075</x:v>
      </x:c>
      <x:c r="F1071" s="78" t="n">
        <x:f>'Inputs'!$B$13*E1071+(1-'Inputs'!$B$13)/'Inputs'!$B$14*SUM(E1016:E1071)</x:f>
        <x:v>870592.5126665385</x:v>
      </x:c>
      <x:c r="G1071" s="78" t="n">
        <x:f>F1071*'Inputs'!$F$46</x:f>
        <x:v>435296.25633326924</x:v>
      </x:c>
      <x:c r="H1071" s="78" t="n">
        <x:f>U1070</x:f>
        <x:v>153753736.82562634</x:v>
      </x:c>
      <x:c r="I1071" s="78" t="n">
        <x:f>V1070</x:f>
        <x:v>189.5038081198115</x:v>
      </x:c>
      <x:c r="J1071" s="79" t="n">
        <x:f>IF(H1071&gt;0,I1071/H1071,0)</x:f>
        <x:v>0.0000012325151377278698</x:v>
      </x:c>
      <x:c r="K1071" s="80" t="n">
        <x:f>(H1071*J1071+I1071)*'Inputs'!$D$46*(1+'Inputs'!$G$46)^(B1071/30)</x:f>
        <x:v>379.007616239623</x:v>
      </x:c>
      <x:c r="L1071" s="80" t="n">
        <x:f>MAX(0,K1071*'Inputs'!$E$46)</x:f>
        <x:v>0</x:v>
      </x:c>
      <x:c r="M1071" s="80" t="n">
        <x:f>MAX(0,-K1071*'Inputs'!$E$46)</x:f>
        <x:v>0</x:v>
      </x:c>
      <x:c r="N1071" s="78" t="n">
        <x:f>H1071*(L1071*(1-'Inputs'!$B$15))/(I1071+L1071*(1-'Inputs'!$B$15))</x:f>
        <x:v>0</x:v>
      </x:c>
      <x:c r="O1071" s="78" t="n">
        <x:f>H1071-N1071</x:f>
        <x:v>153753736.82562634</x:v>
      </x:c>
      <x:c r="P1071" s="78" t="n">
        <x:f>I1071+L1071*(1-'Inputs'!$B$17)</x:f>
        <x:v>189.5038081198115</x:v>
      </x:c>
      <x:c r="Q1071" s="78" t="n">
        <x:f>IF(J1071&gt;0,M1071/J1071,0)</x:f>
        <x:v>0</x:v>
      </x:c>
      <x:c r="R1071" s="78" t="n">
        <x:f>IF(B1071='Inputs'!$H$46,'Inputs'!$B$27*'Inputs'!$I$46,0)</x:f>
        <x:v>0</x:v>
      </x:c>
      <x:c r="S1071" s="78" t="n">
        <x:f>Q1071+G1071+R1071</x:f>
        <x:v>435296.25633326924</x:v>
      </x:c>
      <x:c r="T1071" s="78" t="n">
        <x:f>P1071*(S1071*(1-'Inputs'!$B$15))/(O1071+S1071*(1-'Inputs'!$B$15))</x:f>
        <x:v>0.5296595951676797</x:v>
      </x:c>
      <x:c r="U1071" s="78" t="n">
        <x:f>O1071+S1071*(1-'Inputs'!$B$17)</x:f>
        <x:v>154187281.3867631</x:v>
      </x:c>
      <x:c r="V1071" s="78" t="n">
        <x:f>P1071-T1071</x:f>
        <x:v>188.97414852464382</x:v>
      </x:c>
      <x:c r="W1071" s="79" t="n">
        <x:f>IF(U1071&gt;0,V1071/U1071,0)</x:f>
        <x:v>0.0000012256143750963571</x:v>
      </x:c>
      <x:c r="X1071" s="80" t="n">
        <x:f>W1071*('Inputs'!$B$6-AC1071)</x:f>
        <x:v>1096.6374841967217</x:v>
      </x:c>
      <x:c r="Y1071" s="80" t="n">
        <x:f>2*V1071</x:f>
        <x:v>377.94829704928765</x:v>
      </x:c>
      <x:c r="Z1071" s="80" t="n">
        <x:f>K1071*'Inputs'!$B$16+(G1071+R1071)*J1071*'Inputs'!$B$16</x:f>
        <x:v>2.2772647527897005</x:v>
      </x:c>
      <x:c r="AA1071" s="80" t="n">
        <x:f>K1071*(1+'Inputs'!$E$46)/2*'Inputs'!$B$17</x:f>
        <x:v>0.7625907771420987</x:v>
      </x:c>
      <x:c r="AB1071" s="78" t="n">
        <x:f>(IF(J1071&gt;0,K1071*(1-'Inputs'!$E$46)/2/J1071,0)+G1071+R1071)*'Inputs'!$B$17</x:f>
        <x:v>620479.0063660347</x:v>
      </x:c>
      <x:c r="AC1071" s="78" t="n">
        <x:f>AC1070+AB1071</x:f>
        <x:v>105234479.55601466</x:v>
      </x:c>
      <x:c r="AD1071" s="80" t="n">
        <x:f>Z1071/(1+'Inputs'!$C$46)</x:f>
        <x:v>1.1386323763948503</x:v>
      </x:c>
      <x:c r="AE1071" s="80" t="n">
        <x:f>Z1071-AD1071</x:f>
        <x:v>1.1386323763948503</x:v>
      </x:c>
      <x:c r="AF1071" s="80" t="n">
        <x:f>D1071*W1071</x:f>
        <x:v>0.3163463300198036</x:v>
      </x:c>
      <x:c r="AG1071" s="80" t="n">
        <x:f>C1071*W1071</x:f>
        <x:v>0.7381414367128386</x:v>
      </x:c>
      <x:c r="AH1071" s="80" t="n">
        <x:f>2*'Inputs'!$B$8*'Inputs'!$C$46</x:f>
        <x:v>5000</x:v>
      </x:c>
      <x:c r="AI1071" s="81" t="n">
        <x:f>IF(AH1071&gt;0,(AE1071+AF1071)/AH1071*365,0)</x:f>
        <x:v>0.10621344556826975</x:v>
      </x:c>
      <x:c r="AJ1071" s="81" t="n">
        <x:f>IF('Inputs'!$B$46&gt;0,AG1071/('Inputs'!$B$19*'Inputs'!$B$46)*365,0)</x:f>
        <x:v>0.02694216244001861</x:v>
      </x:c>
      <x:c r="AK1071" s="81" t="n">
        <x:f>W1071/MAX($W$734:W1071)-1</x:f>
        <x:v>-0.9985457567510134</x:v>
      </x:c>
      <x:c r="AL1071" s="83" t="n">
        <x:f>'Inputs'!$B$46</x:f>
        <x:v>1</x:v>
      </x:c>
      <x:c r="AM1071" s="83" t="n">
        <x:f>'Inputs'!$C$46</x:f>
        <x:v>1</x:v>
      </x:c>
      <x:c r="AN1071" s="83" t="n">
        <x:f>'Inputs'!$D$46</x:f>
        <x:v>1</x:v>
      </x:c>
      <x:c r="AO1071" s="81" t="n">
        <x:f>'Inputs'!$E$46</x:f>
        <x:v>0</x:v>
      </x:c>
    </x:row>
    <x:row r="1072">
      <x:c r="A1072" s="59" t="str">
        <x:v>Base</x:v>
      </x:c>
      <x:c r="B1072" s="59" t="n">
        <x:v>339</x:v>
      </x:c>
      <x:c r="C1072" s="78" t="n">
        <x:f>(('Inputs'!$B$29*(3*339*'Inputs'!$B$12-339^2)/(2*'Inputs'!$B$12^2))-('Inputs'!$B$29*(3*338*'Inputs'!$B$12-338^2)/(2*'Inputs'!$B$12^2)))*'Inputs'!$B$46</x:f>
        <x:v>601937.2771627009</x:v>
      </x:c>
      <x:c r="D1072" s="78" t="n">
        <x:f>IF('Inputs'!$C$46&gt;0,('Inputs'!$B$30*(3*339*'Inputs'!$B$12-339^2)/(2*'Inputs'!$B$12^2))-('Inputs'!$B$30*(3*338*'Inputs'!$B$12-338^2)/(2*'Inputs'!$B$12^2)),0)</x:f>
        <x:v>257973.1187840104</x:v>
      </x:c>
      <x:c r="E1072" s="78" t="n">
        <x:f>C1072+D1072</x:f>
        <x:v>859910.3959467113</x:v>
      </x:c>
      <x:c r="F1072" s="78" t="n">
        <x:f>'Inputs'!$B$13*E1072+(1-'Inputs'!$B$13)/'Inputs'!$B$14*SUM(E1017:E1072)</x:f>
        <x:v>870128.0728091584</x:v>
      </x:c>
      <x:c r="G1072" s="78" t="n">
        <x:f>F1072*'Inputs'!$F$46</x:f>
        <x:v>435064.0364045792</x:v>
      </x:c>
      <x:c r="H1072" s="78" t="n">
        <x:f>U1071</x:f>
        <x:v>154187281.3867631</x:v>
      </x:c>
      <x:c r="I1072" s="78" t="n">
        <x:f>V1071</x:f>
        <x:v>188.97414852464382</x:v>
      </x:c>
      <x:c r="J1072" s="79" t="n">
        <x:f>IF(H1072&gt;0,I1072/H1072,0)</x:f>
        <x:v>0.0000012256143750963571</x:v>
      </x:c>
      <x:c r="K1072" s="80" t="n">
        <x:f>(H1072*J1072+I1072)*'Inputs'!$D$46*(1+'Inputs'!$G$46)^(B1072/30)</x:f>
        <x:v>377.94829704928765</x:v>
      </x:c>
      <x:c r="L1072" s="80" t="n">
        <x:f>MAX(0,K1072*'Inputs'!$E$46)</x:f>
        <x:v>0</x:v>
      </x:c>
      <x:c r="M1072" s="80" t="n">
        <x:f>MAX(0,-K1072*'Inputs'!$E$46)</x:f>
        <x:v>0</x:v>
      </x:c>
      <x:c r="N1072" s="78" t="n">
        <x:f>H1072*(L1072*(1-'Inputs'!$B$15))/(I1072+L1072*(1-'Inputs'!$B$15))</x:f>
        <x:v>0</x:v>
      </x:c>
      <x:c r="O1072" s="78" t="n">
        <x:f>H1072-N1072</x:f>
        <x:v>154187281.3867631</x:v>
      </x:c>
      <x:c r="P1072" s="78" t="n">
        <x:f>I1072+L1072*(1-'Inputs'!$B$17)</x:f>
        <x:v>188.97414852464382</x:v>
      </x:c>
      <x:c r="Q1072" s="78" t="n">
        <x:f>IF(J1072&gt;0,M1072/J1072,0)</x:f>
        <x:v>0</x:v>
      </x:c>
      <x:c r="R1072" s="78" t="n">
        <x:f>IF(B1072='Inputs'!$H$46,'Inputs'!$B$27*'Inputs'!$I$46,0)</x:f>
        <x:v>0</x:v>
      </x:c>
      <x:c r="S1072" s="78" t="n">
        <x:f>Q1072+G1072+R1072</x:f>
        <x:v>435064.0364045792</x:v>
      </x:c>
      <x:c r="T1072" s="78" t="n">
        <x:f>P1072*(S1072*(1-'Inputs'!$B$15))/(O1072+S1072*(1-'Inputs'!$B$15))</x:f>
        <x:v>0.5264180109776587</x:v>
      </x:c>
      <x:c r="U1072" s="78" t="n">
        <x:f>O1072+S1072*(1-'Inputs'!$B$17)</x:f>
        <x:v>154620594.6624578</x:v>
      </x:c>
      <x:c r="V1072" s="78" t="n">
        <x:f>P1072-T1072</x:f>
        <x:v>188.44773051366616</x:v>
      </x:c>
      <x:c r="W1072" s="79" t="n">
        <x:f>IF(U1072&gt;0,V1072/U1072,0)</x:f>
        <x:v>0.0000012187750986539289</x:v>
      </x:c>
      <x:c r="X1072" s="80" t="n">
        <x:f>W1072*('Inputs'!$B$6-AC1072)</x:f>
        <x:v>1089.7595858967363</x:v>
      </x:c>
      <x:c r="Y1072" s="80" t="n">
        <x:f>2*V1072</x:f>
        <x:v>376.8954610273323</x:v>
      </x:c>
      <x:c r="Z1072" s="80" t="n">
        <x:f>K1072*'Inputs'!$B$16+(G1072+R1072)*J1072*'Inputs'!$B$16</x:f>
        <x:v>2.2708891067183554</x:v>
      </x:c>
      <x:c r="AA1072" s="80" t="n">
        <x:f>K1072*(1+'Inputs'!$E$46)/2*'Inputs'!$B$17</x:f>
        <x:v>0.760459350199774</x:v>
      </x:c>
      <x:c r="AB1072" s="78" t="n">
        <x:f>(IF(J1072&gt;0,K1072*(1-'Inputs'!$E$46)/2/J1072,0)+G1072+R1072)*'Inputs'!$B$17</x:f>
        <x:v>622222.7180006749</x:v>
      </x:c>
      <x:c r="AC1072" s="78" t="n">
        <x:f>AC1071+AB1072</x:f>
        <x:v>105856702.27401534</x:v>
      </x:c>
      <x:c r="AD1072" s="80" t="n">
        <x:f>Z1072/(1+'Inputs'!$C$46)</x:f>
        <x:v>1.1354445533591777</x:v>
      </x:c>
      <x:c r="AE1072" s="80" t="n">
        <x:f>Z1072-AD1072</x:f>
        <x:v>1.1354445533591777</x:v>
      </x:c>
      <x:c r="AF1072" s="80" t="n">
        <x:f>D1072*W1072</x:f>
        <x:v>0.314411213296044</x:v>
      </x:c>
      <x:c r="AG1072" s="80" t="n">
        <x:f>C1072*W1072</x:f>
        <x:v>0.7336261643574481</x:v>
      </x:c>
      <x:c r="AH1072" s="80" t="n">
        <x:f>2*'Inputs'!$B$8*'Inputs'!$C$46</x:f>
        <x:v>5000</x:v>
      </x:c>
      <x:c r="AI1072" s="81" t="n">
        <x:f>IF(AH1072&gt;0,(AE1072+AF1072)/AH1072*365,0)</x:f>
        <x:v>0.10583947096583118</x:v>
      </x:c>
      <x:c r="AJ1072" s="81" t="n">
        <x:f>IF('Inputs'!$B$46&gt;0,AG1072/('Inputs'!$B$19*'Inputs'!$B$46)*365,0)</x:f>
        <x:v>0.026777354999046855</x:v>
      </x:c>
      <x:c r="AK1072" s="81" t="n">
        <x:f>W1072/MAX($W$734:W1072)-1</x:f>
        <x:v>-0.9985538718415317</x:v>
      </x:c>
      <x:c r="AL1072" s="83" t="n">
        <x:f>'Inputs'!$B$46</x:f>
        <x:v>1</x:v>
      </x:c>
      <x:c r="AM1072" s="83" t="n">
        <x:f>'Inputs'!$C$46</x:f>
        <x:v>1</x:v>
      </x:c>
      <x:c r="AN1072" s="83" t="n">
        <x:f>'Inputs'!$D$46</x:f>
        <x:v>1</x:v>
      </x:c>
      <x:c r="AO1072" s="81" t="n">
        <x:f>'Inputs'!$E$46</x:f>
        <x:v>0</x:v>
      </x:c>
    </x:row>
    <x:row r="1073">
      <x:c r="A1073" s="59" t="str">
        <x:v>Base</x:v>
      </x:c>
      <x:c r="B1073" s="59" t="n">
        <x:v>340</x:v>
      </x:c>
      <x:c r="C1073" s="78" t="n">
        <x:f>(('Inputs'!$B$29*(3*340*'Inputs'!$B$12-340^2)/(2*'Inputs'!$B$12^2))-('Inputs'!$B$29*(3*339*'Inputs'!$B$12-339^2)/(2*'Inputs'!$B$12^2)))*'Inputs'!$B$46</x:f>
        <x:v>601612.1692625284</x:v>
      </x:c>
      <x:c r="D1073" s="78" t="n">
        <x:f>IF('Inputs'!$C$46&gt;0,('Inputs'!$B$30*(3*340*'Inputs'!$B$12-340^2)/(2*'Inputs'!$B$12^2))-('Inputs'!$B$30*(3*339*'Inputs'!$B$12-339^2)/(2*'Inputs'!$B$12^2)),0)</x:f>
        <x:v>257833.78682678938</x:v>
      </x:c>
      <x:c r="E1073" s="78" t="n">
        <x:f>C1073+D1073</x:f>
        <x:v>859445.9560893178</x:v>
      </x:c>
      <x:c r="F1073" s="78" t="n">
        <x:f>'Inputs'!$B$13*E1073+(1-'Inputs'!$B$13)/'Inputs'!$B$14*SUM(E1018:E1073)</x:f>
        <x:v>869663.6329517725</x:v>
      </x:c>
      <x:c r="G1073" s="78" t="n">
        <x:f>F1073*'Inputs'!$F$46</x:f>
        <x:v>434831.81647588627</x:v>
      </x:c>
      <x:c r="H1073" s="78" t="n">
        <x:f>U1072</x:f>
        <x:v>154620594.6624578</x:v>
      </x:c>
      <x:c r="I1073" s="78" t="n">
        <x:f>V1072</x:f>
        <x:v>188.44773051366616</x:v>
      </x:c>
      <x:c r="J1073" s="79" t="n">
        <x:f>IF(H1073&gt;0,I1073/H1073,0)</x:f>
        <x:v>0.0000012187750986539289</x:v>
      </x:c>
      <x:c r="K1073" s="80" t="n">
        <x:f>(H1073*J1073+I1073)*'Inputs'!$D$46*(1+'Inputs'!$G$46)^(B1073/30)</x:f>
        <x:v>376.8954610273323</x:v>
      </x:c>
      <x:c r="L1073" s="80" t="n">
        <x:f>MAX(0,K1073*'Inputs'!$E$46)</x:f>
        <x:v>0</x:v>
      </x:c>
      <x:c r="M1073" s="80" t="n">
        <x:f>MAX(0,-K1073*'Inputs'!$E$46)</x:f>
        <x:v>0</x:v>
      </x:c>
      <x:c r="N1073" s="78" t="n">
        <x:f>H1073*(L1073*(1-'Inputs'!$B$15))/(I1073+L1073*(1-'Inputs'!$B$15))</x:f>
        <x:v>0</x:v>
      </x:c>
      <x:c r="O1073" s="78" t="n">
        <x:f>H1073-N1073</x:f>
        <x:v>154620594.6624578</x:v>
      </x:c>
      <x:c r="P1073" s="78" t="n">
        <x:f>I1073+L1073*(1-'Inputs'!$B$17)</x:f>
        <x:v>188.44773051366616</x:v>
      </x:c>
      <x:c r="Q1073" s="78" t="n">
        <x:f>IF(J1073&gt;0,M1073/J1073,0)</x:f>
        <x:v>0</x:v>
      </x:c>
      <x:c r="R1073" s="78" t="n">
        <x:f>IF(B1073='Inputs'!$H$46,'Inputs'!$B$27*'Inputs'!$I$46,0)</x:f>
        <x:v>0</x:v>
      </x:c>
      <x:c r="S1073" s="78" t="n">
        <x:f>Q1073+G1073+R1073</x:f>
        <x:v>434831.81647588627</x:v>
      </x:c>
      <x:c r="T1073" s="78" t="n">
        <x:f>P1073*(S1073*(1-'Inputs'!$B$15))/(O1073+S1073*(1-'Inputs'!$B$15))</x:f>
        <x:v>0.523205896035114</x:v>
      </x:c>
      <x:c r="U1073" s="78" t="n">
        <x:f>O1073+S1073*(1-'Inputs'!$B$17)</x:f>
        <x:v>155053676.65271044</x:v>
      </x:c>
      <x:c r="V1073" s="78" t="n">
        <x:f>P1073-T1073</x:f>
        <x:v>187.92452461763105</x:v>
      </x:c>
      <x:c r="W1073" s="79" t="n">
        <x:f>IF(U1073&gt;0,V1073/U1073,0)</x:f>
        <x:v>0.0000012119965722486207</x:v>
      </x:c>
      <x:c r="X1073" s="80" t="n">
        <x:f>W1073*('Inputs'!$B$6-AC1073)</x:f>
        <x:v>1082.942367897092</x:v>
      </x:c>
      <x:c r="Y1073" s="80" t="n">
        <x:f>2*V1073</x:f>
        <x:v>375.8490492352621</x:v>
      </x:c>
      <x:c r="Z1073" s="80" t="n">
        <x:f>K1073*'Inputs'!$B$16+(G1073+R1073)*J1073*'Inputs'!$B$16</x:f>
        <x:v>2.2645525393041335</x:v>
      </x:c>
      <x:c r="AA1073" s="80" t="n">
        <x:f>K1073*(1+'Inputs'!$E$46)/2*'Inputs'!$B$17</x:f>
        <x:v>0.7583409678618357</x:v>
      </x:c>
      <x:c r="AB1073" s="78" t="n">
        <x:f>(IF(J1073&gt;0,K1073*(1-'Inputs'!$E$46)/2/J1073,0)+G1073+R1073)*'Inputs'!$B$17</x:f>
        <x:v>623965.49890919</x:v>
      </x:c>
      <x:c r="AC1073" s="78" t="n">
        <x:f>AC1072+AB1073</x:f>
        <x:v>106480667.77292453</x:v>
      </x:c>
      <x:c r="AD1073" s="80" t="n">
        <x:f>Z1073/(1+'Inputs'!$C$46)</x:f>
        <x:v>1.1322762696520667</x:v>
      </x:c>
      <x:c r="AE1073" s="80" t="n">
        <x:f>Z1073-AD1073</x:f>
        <x:v>1.1322762696520667</x:v>
      </x:c>
      <x:c r="AF1073" s="80" t="n">
        <x:f>D1073*W1073</x:f>
        <x:v>0.31249366584395033</x:v>
      </x:c>
      <x:c r="AG1073" s="80" t="n">
        <x:f>C1073*W1073</x:f>
        <x:v>0.7291518869692415</x:v>
      </x:c>
      <x:c r="AH1073" s="80" t="n">
        <x:f>2*'Inputs'!$B$8*'Inputs'!$C$46</x:f>
        <x:v>5000</x:v>
      </x:c>
      <x:c r="AI1073" s="81" t="n">
        <x:f>IF(AH1073&gt;0,(AE1073+AF1073)/AH1073*365,0)</x:f>
        <x:v>0.10546820529120925</x:v>
      </x:c>
      <x:c r="AJ1073" s="81" t="n">
        <x:f>IF('Inputs'!$B$46&gt;0,AG1073/('Inputs'!$B$19*'Inputs'!$B$46)*365,0)</x:f>
        <x:v>0.026614043874377314</x:v>
      </x:c>
      <x:c r="AK1073" s="81" t="n">
        <x:f>W1073/MAX($W$734:W1073)-1</x:f>
        <x:v>-0.9985619148495636</x:v>
      </x:c>
      <x:c r="AL1073" s="83" t="n">
        <x:f>'Inputs'!$B$46</x:f>
        <x:v>1</x:v>
      </x:c>
      <x:c r="AM1073" s="83" t="n">
        <x:f>'Inputs'!$C$46</x:f>
        <x:v>1</x:v>
      </x:c>
      <x:c r="AN1073" s="83" t="n">
        <x:f>'Inputs'!$D$46</x:f>
        <x:v>1</x:v>
      </x:c>
      <x:c r="AO1073" s="81" t="n">
        <x:f>'Inputs'!$E$46</x:f>
        <x:v>0</x:v>
      </x:c>
    </x:row>
    <x:row r="1074">
      <x:c r="A1074" s="59" t="str">
        <x:v>Base</x:v>
      </x:c>
      <x:c r="B1074" s="59" t="n">
        <x:v>341</x:v>
      </x:c>
      <x:c r="C1074" s="78" t="n">
        <x:f>(('Inputs'!$B$29*(3*341*'Inputs'!$B$12-341^2)/(2*'Inputs'!$B$12^2))-('Inputs'!$B$29*(3*340*'Inputs'!$B$12-340^2)/(2*'Inputs'!$B$12^2)))*'Inputs'!$B$46</x:f>
        <x:v>601287.061362356</x:v>
      </x:c>
      <x:c r="D1074" s="78" t="n">
        <x:f>IF('Inputs'!$C$46&gt;0,('Inputs'!$B$30*(3*341*'Inputs'!$B$12-341^2)/(2*'Inputs'!$B$12^2))-('Inputs'!$B$30*(3*340*'Inputs'!$B$12-340^2)/(2*'Inputs'!$B$12^2)),0)</x:f>
        <x:v>257694.45486958325</x:v>
      </x:c>
      <x:c r="E1074" s="78" t="n">
        <x:f>C1074+D1074</x:f>
        <x:v>858981.5162319392</x:v>
      </x:c>
      <x:c r="F1074" s="78" t="n">
        <x:f>'Inputs'!$B$13*E1074+(1-'Inputs'!$B$13)/'Inputs'!$B$14*SUM(E1019:E1074)</x:f>
        <x:v>869199.1930943893</x:v>
      </x:c>
      <x:c r="G1074" s="78" t="n">
        <x:f>F1074*'Inputs'!$F$46</x:f>
        <x:v>434599.59654719464</x:v>
      </x:c>
      <x:c r="H1074" s="78" t="n">
        <x:f>U1073</x:f>
        <x:v>155053676.65271044</x:v>
      </x:c>
      <x:c r="I1074" s="78" t="n">
        <x:f>V1073</x:f>
        <x:v>187.92452461763105</x:v>
      </x:c>
      <x:c r="J1074" s="79" t="n">
        <x:f>IF(H1074&gt;0,I1074/H1074,0)</x:f>
        <x:v>0.0000012119965722486207</x:v>
      </x:c>
      <x:c r="K1074" s="80" t="n">
        <x:f>(H1074*J1074+I1074)*'Inputs'!$D$46*(1+'Inputs'!$G$46)^(B1074/30)</x:f>
        <x:v>375.8490492352621</x:v>
      </x:c>
      <x:c r="L1074" s="80" t="n">
        <x:f>MAX(0,K1074*'Inputs'!$E$46)</x:f>
        <x:v>0</x:v>
      </x:c>
      <x:c r="M1074" s="80" t="n">
        <x:f>MAX(0,-K1074*'Inputs'!$E$46)</x:f>
        <x:v>0</x:v>
      </x:c>
      <x:c r="N1074" s="78" t="n">
        <x:f>H1074*(L1074*(1-'Inputs'!$B$15))/(I1074+L1074*(1-'Inputs'!$B$15))</x:f>
        <x:v>0</x:v>
      </x:c>
      <x:c r="O1074" s="78" t="n">
        <x:f>H1074-N1074</x:f>
        <x:v>155053676.65271044</x:v>
      </x:c>
      <x:c r="P1074" s="78" t="n">
        <x:f>I1074+L1074*(1-'Inputs'!$B$17)</x:f>
        <x:v>187.92452461763105</x:v>
      </x:c>
      <x:c r="Q1074" s="78" t="n">
        <x:f>IF(J1074&gt;0,M1074/J1074,0)</x:f>
        <x:v>0</x:v>
      </x:c>
      <x:c r="R1074" s="78" t="n">
        <x:f>IF(B1074='Inputs'!$H$46,'Inputs'!$B$27*'Inputs'!$I$46,0)</x:f>
        <x:v>0</x:v>
      </x:c>
      <x:c r="S1074" s="78" t="n">
        <x:f>Q1074+G1074+R1074</x:f>
        <x:v>434599.59654719464</x:v>
      </x:c>
      <x:c r="T1074" s="78" t="n">
        <x:f>P1074*(S1074*(1-'Inputs'!$B$15))/(O1074+S1074*(1-'Inputs'!$B$15))</x:f>
        <x:v>0.5200228938297778</x:v>
      </x:c>
      <x:c r="U1074" s="78" t="n">
        <x:f>O1074+S1074*(1-'Inputs'!$B$17)</x:f>
        <x:v>155486527.35752103</x:v>
      </x:c>
      <x:c r="V1074" s="78" t="n">
        <x:f>P1074-T1074</x:f>
        <x:v>187.40450172380127</x:v>
      </x:c>
      <x:c r="W1074" s="79" t="n">
        <x:f>IF(U1074&gt;0,V1074/U1074,0)</x:f>
        <x:v>0.000001205278070767437</x:v>
      </x:c>
      <x:c r="X1074" s="80" t="n">
        <x:f>W1074*('Inputs'!$B$6-AC1074)</x:f>
        <x:v>1076.18510559348</x:v>
      </x:c>
      <x:c r="Y1074" s="80" t="n">
        <x:f>2*V1074</x:f>
        <x:v>374.80900344760255</x:v>
      </x:c>
      <x:c r="Z1074" s="80" t="n">
        <x:f>K1074*'Inputs'!$B$16+(G1074+R1074)*J1074*'Inputs'!$B$16</x:f>
        <x:v>2.2582546947394677</x:v>
      </x:c>
      <x:c r="AA1074" s="80" t="n">
        <x:f>K1074*(1+'Inputs'!$E$46)/2*'Inputs'!$B$17</x:f>
        <x:v>0.7562355115397629</x:v>
      </x:c>
      <x:c r="AB1074" s="78" t="n">
        <x:f>(IF(J1074&gt;0,K1074*(1-'Inputs'!$E$46)/2/J1074,0)+G1074+R1074)*'Inputs'!$B$17</x:f>
        <x:v>625707.34909158</x:v>
      </x:c>
      <x:c r="AC1074" s="78" t="n">
        <x:f>AC1073+AB1074</x:f>
        <x:v>107106375.1220161</x:v>
      </x:c>
      <x:c r="AD1074" s="80" t="n">
        <x:f>Z1074/(1+'Inputs'!$C$46)</x:f>
        <x:v>1.1291273473697339</x:v>
      </x:c>
      <x:c r="AE1074" s="80" t="n">
        <x:f>Z1074-AD1074</x:f>
        <x:v>1.1291273473697339</x:v>
      </x:c>
      <x:c r="AF1074" s="80" t="n">
        <x:f>D1074*W1074</x:f>
        <x:v>0.3105934754126777</x:v>
      </x:c>
      <x:c r="AG1074" s="80" t="n">
        <x:f>C1074*W1074</x:f>
        <x:v>0.7247181092962419</x:v>
      </x:c>
      <x:c r="AH1074" s="80" t="n">
        <x:f>2*'Inputs'!$B$8*'Inputs'!$C$46</x:f>
        <x:v>5000</x:v>
      </x:c>
      <x:c r="AI1074" s="81" t="n">
        <x:f>IF(AH1074&gt;0,(AE1074+AF1074)/AH1074*365,0)</x:f>
        <x:v>0.10509962006311604</x:v>
      </x:c>
      <x:c r="AJ1074" s="81" t="n">
        <x:f>IF('Inputs'!$B$46&gt;0,AG1074/('Inputs'!$B$19*'Inputs'!$B$46)*365,0)</x:f>
        <x:v>0.02645221098931283</x:v>
      </x:c>
      <x:c r="AK1074" s="81" t="n">
        <x:f>W1074/MAX($W$734:W1074)-1</x:f>
        <x:v>-0.9985698866354865</x:v>
      </x:c>
      <x:c r="AL1074" s="83" t="n">
        <x:f>'Inputs'!$B$46</x:f>
        <x:v>1</x:v>
      </x:c>
      <x:c r="AM1074" s="83" t="n">
        <x:f>'Inputs'!$C$46</x:f>
        <x:v>1</x:v>
      </x:c>
      <x:c r="AN1074" s="83" t="n">
        <x:f>'Inputs'!$D$46</x:f>
        <x:v>1</x:v>
      </x:c>
      <x:c r="AO1074" s="81" t="n">
        <x:f>'Inputs'!$E$46</x:f>
        <x:v>0</x:v>
      </x:c>
    </x:row>
    <x:row r="1075">
      <x:c r="A1075" s="59" t="str">
        <x:v>Base</x:v>
      </x:c>
      <x:c r="B1075" s="59" t="n">
        <x:v>342</x:v>
      </x:c>
      <x:c r="C1075" s="78" t="n">
        <x:f>(('Inputs'!$B$29*(3*342*'Inputs'!$B$12-342^2)/(2*'Inputs'!$B$12^2))-('Inputs'!$B$29*(3*341*'Inputs'!$B$12-341^2)/(2*'Inputs'!$B$12^2)))*'Inputs'!$B$46</x:f>
        <x:v>600961.9534621835</x:v>
      </x:c>
      <x:c r="D1075" s="78" t="n">
        <x:f>IF('Inputs'!$C$46&gt;0,('Inputs'!$B$30*(3*342*'Inputs'!$B$12-342^2)/(2*'Inputs'!$B$12^2))-('Inputs'!$B$30*(3*341*'Inputs'!$B$12-341^2)/(2*'Inputs'!$B$12^2)),0)</x:f>
        <x:v>257555.12291236222</x:v>
      </x:c>
      <x:c r="E1075" s="78" t="n">
        <x:f>C1075+D1075</x:f>
        <x:v>858517.0763745457</x:v>
      </x:c>
      <x:c r="F1075" s="78" t="n">
        <x:f>'Inputs'!$B$13*E1075+(1-'Inputs'!$B$13)/'Inputs'!$B$14*SUM(E1020:E1075)</x:f>
        <x:v>868734.7532370031</x:v>
      </x:c>
      <x:c r="G1075" s="78" t="n">
        <x:f>F1075*'Inputs'!$F$46</x:f>
        <x:v>434367.37661850156</x:v>
      </x:c>
      <x:c r="H1075" s="78" t="n">
        <x:f>U1074</x:f>
        <x:v>155486527.35752103</x:v>
      </x:c>
      <x:c r="I1075" s="78" t="n">
        <x:f>V1074</x:f>
        <x:v>187.40450172380127</x:v>
      </x:c>
      <x:c r="J1075" s="79" t="n">
        <x:f>IF(H1075&gt;0,I1075/H1075,0)</x:f>
        <x:v>0.000001205278070767437</x:v>
      </x:c>
      <x:c r="K1075" s="80" t="n">
        <x:f>(H1075*J1075+I1075)*'Inputs'!$D$46*(1+'Inputs'!$G$46)^(B1075/30)</x:f>
        <x:v>374.80900344760255</x:v>
      </x:c>
      <x:c r="L1075" s="80" t="n">
        <x:f>MAX(0,K1075*'Inputs'!$E$46)</x:f>
        <x:v>0</x:v>
      </x:c>
      <x:c r="M1075" s="80" t="n">
        <x:f>MAX(0,-K1075*'Inputs'!$E$46)</x:f>
        <x:v>0</x:v>
      </x:c>
      <x:c r="N1075" s="78" t="n">
        <x:f>H1075*(L1075*(1-'Inputs'!$B$15))/(I1075+L1075*(1-'Inputs'!$B$15))</x:f>
        <x:v>0</x:v>
      </x:c>
      <x:c r="O1075" s="78" t="n">
        <x:f>H1075-N1075</x:f>
        <x:v>155486527.35752103</x:v>
      </x:c>
      <x:c r="P1075" s="78" t="n">
        <x:f>I1075+L1075*(1-'Inputs'!$B$17)</x:f>
        <x:v>187.40450172380127</x:v>
      </x:c>
      <x:c r="Q1075" s="78" t="n">
        <x:f>IF(J1075&gt;0,M1075/J1075,0)</x:f>
        <x:v>0</x:v>
      </x:c>
      <x:c r="R1075" s="78" t="n">
        <x:f>IF(B1075='Inputs'!$H$46,'Inputs'!$B$27*'Inputs'!$I$46,0)</x:f>
        <x:v>0</x:v>
      </x:c>
      <x:c r="S1075" s="78" t="n">
        <x:f>Q1075+G1075+R1075</x:f>
        <x:v>434367.37661850156</x:v>
      </x:c>
      <x:c r="T1075" s="78" t="n">
        <x:f>P1075*(S1075*(1-'Inputs'!$B$15))/(O1075+S1075*(1-'Inputs'!$B$15))</x:f>
        <x:v>0.516868653227567</x:v>
      </x:c>
      <x:c r="U1075" s="78" t="n">
        <x:f>O1075+S1075*(1-'Inputs'!$B$17)</x:f>
        <x:v>155919146.77688956</x:v>
      </x:c>
      <x:c r="V1075" s="78" t="n">
        <x:f>P1075-T1075</x:f>
        <x:v>186.8876330705737</x:v>
      </x:c>
      <x:c r="W1075" s="79" t="n">
        <x:f>IF(U1075&gt;0,V1075/U1075,0)</x:f>
        <x:v>0.000001198618879937806</x:v>
      </x:c>
      <x:c r="X1075" s="80" t="n">
        <x:f>W1075*('Inputs'!$B$6-AC1075)</x:f>
        <x:v>1069.4870852139907</x:v>
      </x:c>
      <x:c r="Y1075" s="80" t="n">
        <x:f>2*V1075</x:f>
        <x:v>373.7752661411474</x:v>
      </x:c>
      <x:c r="Z1075" s="80" t="n">
        <x:f>K1075*'Inputs'!$B$16+(G1075+R1075)*J1075*'Inputs'!$B$16</x:f>
        <x:v>2.2519952215277854</x:v>
      </x:c>
      <x:c r="AA1075" s="80" t="n">
        <x:f>K1075*(1+'Inputs'!$E$46)/2*'Inputs'!$B$17</x:f>
        <x:v>0.7541428640796832</x:v>
      </x:c>
      <x:c r="AB1075" s="78" t="n">
        <x:f>(IF(J1075&gt;0,K1075*(1-'Inputs'!$E$46)/2/J1075,0)+G1075+R1075)*'Inputs'!$B$17</x:f>
        <x:v>627448.2685478453</x:v>
      </x:c>
      <x:c r="AC1075" s="78" t="n">
        <x:f>AC1074+AB1075</x:f>
        <x:v>107733823.39056395</x:v>
      </x:c>
      <x:c r="AD1075" s="80" t="n">
        <x:f>Z1075/(1+'Inputs'!$C$46)</x:f>
        <x:v>1.1259976107638927</x:v>
      </x:c>
      <x:c r="AE1075" s="80" t="n">
        <x:f>Z1075-AD1075</x:f>
        <x:v>1.1259976107638927</x:v>
      </x:c>
      <x:c r="AF1075" s="80" t="n">
        <x:f>D1075*W1075</x:f>
        <x:v>0.30871043294745953</x:v>
      </x:c>
      <x:c r="AG1075" s="80" t="n">
        <x:f>C1075*W1075</x:f>
        <x:v>0.7203243435440781</x:v>
      </x:c>
      <x:c r="AH1075" s="80" t="n">
        <x:f>2*'Inputs'!$B$8*'Inputs'!$C$46</x:f>
        <x:v>5000</x:v>
      </x:c>
      <x:c r="AI1075" s="81" t="n">
        <x:f>IF(AH1075&gt;0,(AE1075+AF1075)/AH1075*365,0)</x:f>
        <x:v>0.10473368719092871</x:v>
      </x:c>
      <x:c r="AJ1075" s="81" t="n">
        <x:f>IF('Inputs'!$B$46&gt;0,AG1075/('Inputs'!$B$19*'Inputs'!$B$46)*365,0)</x:f>
        <x:v>0.026291838539358854</x:v>
      </x:c>
      <x:c r="AK1075" s="81" t="n">
        <x:f>W1075/MAX($W$734:W1075)-1</x:f>
        <x:v>-0.998577788046815</x:v>
      </x:c>
      <x:c r="AL1075" s="83" t="n">
        <x:f>'Inputs'!$B$46</x:f>
        <x:v>1</x:v>
      </x:c>
      <x:c r="AM1075" s="83" t="n">
        <x:f>'Inputs'!$C$46</x:f>
        <x:v>1</x:v>
      </x:c>
      <x:c r="AN1075" s="83" t="n">
        <x:f>'Inputs'!$D$46</x:f>
        <x:v>1</x:v>
      </x:c>
      <x:c r="AO1075" s="81" t="n">
        <x:f>'Inputs'!$E$46</x:f>
        <x:v>0</x:v>
      </x:c>
    </x:row>
    <x:row r="1076">
      <x:c r="A1076" s="59" t="str">
        <x:v>Base</x:v>
      </x:c>
      <x:c r="B1076" s="59" t="n">
        <x:v>343</x:v>
      </x:c>
      <x:c r="C1076" s="78" t="n">
        <x:f>(('Inputs'!$B$29*(3*343*'Inputs'!$B$12-343^2)/(2*'Inputs'!$B$12^2))-('Inputs'!$B$29*(3*342*'Inputs'!$B$12-342^2)/(2*'Inputs'!$B$12^2)))*'Inputs'!$B$46</x:f>
        <x:v>600636.8455620408</x:v>
      </x:c>
      <x:c r="D1076" s="78" t="n">
        <x:f>IF('Inputs'!$C$46&gt;0,('Inputs'!$B$30*(3*343*'Inputs'!$B$12-343^2)/(2*'Inputs'!$B$12^2))-('Inputs'!$B$30*(3*342*'Inputs'!$B$12-342^2)/(2*'Inputs'!$B$12^2)),0)</x:f>
        <x:v>257415.7909551561</x:v>
      </x:c>
      <x:c r="E1076" s="78" t="n">
        <x:f>C1076+D1076</x:f>
        <x:v>858052.6365171969</x:v>
      </x:c>
      <x:c r="F1076" s="78" t="n">
        <x:f>'Inputs'!$B$13*E1076+(1-'Inputs'!$B$13)/'Inputs'!$B$14*SUM(E1021:E1076)</x:f>
        <x:v>868270.3133796263</x:v>
      </x:c>
      <x:c r="G1076" s="78" t="n">
        <x:f>F1076*'Inputs'!$F$46</x:f>
        <x:v>434135.1566898131</x:v>
      </x:c>
      <x:c r="H1076" s="78" t="n">
        <x:f>U1075</x:f>
        <x:v>155919146.77688956</x:v>
      </x:c>
      <x:c r="I1076" s="78" t="n">
        <x:f>V1075</x:f>
        <x:v>186.8876330705737</x:v>
      </x:c>
      <x:c r="J1076" s="79" t="n">
        <x:f>IF(H1076&gt;0,I1076/H1076,0)</x:f>
        <x:v>0.000001198618879937806</x:v>
      </x:c>
      <x:c r="K1076" s="80" t="n">
        <x:f>(H1076*J1076+I1076)*'Inputs'!$D$46*(1+'Inputs'!$G$46)^(B1076/30)</x:f>
        <x:v>373.7752661411474</x:v>
      </x:c>
      <x:c r="L1076" s="80" t="n">
        <x:f>MAX(0,K1076*'Inputs'!$E$46)</x:f>
        <x:v>0</x:v>
      </x:c>
      <x:c r="M1076" s="80" t="n">
        <x:f>MAX(0,-K1076*'Inputs'!$E$46)</x:f>
        <x:v>0</x:v>
      </x:c>
      <x:c r="N1076" s="78" t="n">
        <x:f>H1076*(L1076*(1-'Inputs'!$B$15))/(I1076+L1076*(1-'Inputs'!$B$15))</x:f>
        <x:v>0</x:v>
      </x:c>
      <x:c r="O1076" s="78" t="n">
        <x:f>H1076-N1076</x:f>
        <x:v>155919146.77688956</x:v>
      </x:c>
      <x:c r="P1076" s="78" t="n">
        <x:f>I1076+L1076*(1-'Inputs'!$B$17)</x:f>
        <x:v>186.8876330705737</x:v>
      </x:c>
      <x:c r="Q1076" s="78" t="n">
        <x:f>IF(J1076&gt;0,M1076/J1076,0)</x:f>
        <x:v>0</x:v>
      </x:c>
      <x:c r="R1076" s="78" t="n">
        <x:f>IF(B1076='Inputs'!$H$46,'Inputs'!$B$27*'Inputs'!$I$46,0)</x:f>
        <x:v>0</x:v>
      </x:c>
      <x:c r="S1076" s="78" t="n">
        <x:f>Q1076+G1076+R1076</x:f>
        <x:v>434135.1566898131</x:v>
      </x:c>
      <x:c r="T1076" s="78" t="n">
        <x:f>P1076*(S1076*(1-'Inputs'!$B$15))/(O1076+S1076*(1-'Inputs'!$B$15))</x:f>
        <x:v>0.5137428283735872</x:v>
      </x:c>
      <x:c r="U1076" s="78" t="n">
        <x:f>O1076+S1076*(1-'Inputs'!$B$17)</x:f>
        <x:v>156351534.91081604</x:v>
      </x:c>
      <x:c r="V1076" s="78" t="n">
        <x:f>P1076-T1076</x:f>
        <x:v>186.37389024220013</x:v>
      </x:c>
      <x:c r="W1076" s="79" t="n">
        <x:f>IF(U1076&gt;0,V1076/U1076,0)</x:f>
        <x:v>0.0000011920182961331913</x:v>
      </x:c>
      <x:c r="X1076" s="80" t="n">
        <x:f>W1076*('Inputs'!$B$6-AC1076)</x:f>
        <x:v>1062.8476036248696</x:v>
      </x:c>
      <x:c r="Y1076" s="80" t="n">
        <x:f>2*V1076</x:f>
        <x:v>372.74778048440027</x:v>
      </x:c>
      <x:c r="Z1076" s="80" t="n">
        <x:f>K1076*'Inputs'!$B$16+(G1076+R1076)*J1076*'Inputs'!$B$16</x:f>
        <x:v>2.2457737724184037</x:v>
      </x:c>
      <x:c r="AA1076" s="80" t="n">
        <x:f>K1076*(1+'Inputs'!$E$46)/2*'Inputs'!$B$17</x:f>
        <x:v>0.7520629097407393</x:v>
      </x:c>
      <x:c r="AB1076" s="78" t="n">
        <x:f>(IF(J1076&gt;0,K1076*(1-'Inputs'!$E$46)/2/J1076,0)+G1076+R1076)*'Inputs'!$B$17</x:f>
        <x:v>629188.2572779855</x:v>
      </x:c>
      <x:c r="AC1076" s="78" t="n">
        <x:f>AC1075+AB1076</x:f>
        <x:v>108363011.64784193</x:v>
      </x:c>
      <x:c r="AD1076" s="80" t="n">
        <x:f>Z1076/(1+'Inputs'!$C$46)</x:f>
        <x:v>1.1228868862092019</x:v>
      </x:c>
      <x:c r="AE1076" s="80" t="n">
        <x:f>Z1076-AD1076</x:f>
        <x:v>1.1228868862092019</x:v>
      </x:c>
      <x:c r="AF1076" s="80" t="n">
        <x:f>D1076*W1076</x:f>
        <x:v>0.30684433253214294</x:v>
      </x:c>
      <x:c r="AG1076" s="80" t="n">
        <x:f>C1076*W1076</x:f>
        <x:v>0.7159701092416787</x:v>
      </x:c>
      <x:c r="AH1076" s="80" t="n">
        <x:f>2*'Inputs'!$B$8*'Inputs'!$C$46</x:f>
        <x:v>5000</x:v>
      </x:c>
      <x:c r="AI1076" s="81" t="n">
        <x:f>IF(AH1076&gt;0,(AE1076+AF1076)/AH1076*365,0)</x:f>
        <x:v>0.10437037896811818</x:v>
      </x:c>
      <x:c r="AJ1076" s="81" t="n">
        <x:f>IF('Inputs'!$B$46&gt;0,AG1076/('Inputs'!$B$19*'Inputs'!$B$46)*365,0)</x:f>
        <x:v>0.026132908987321273</x:v>
      </x:c>
      <x:c r="AK1076" s="81" t="n">
        <x:f>W1076/MAX($W$734:W1076)-1</x:f>
        <x:v>-0.9985856199184316</x:v>
      </x:c>
      <x:c r="AL1076" s="83" t="n">
        <x:f>'Inputs'!$B$46</x:f>
        <x:v>1</x:v>
      </x:c>
      <x:c r="AM1076" s="83" t="n">
        <x:f>'Inputs'!$C$46</x:f>
        <x:v>1</x:v>
      </x:c>
      <x:c r="AN1076" s="83" t="n">
        <x:f>'Inputs'!$D$46</x:f>
        <x:v>1</x:v>
      </x:c>
      <x:c r="AO1076" s="81" t="n">
        <x:f>'Inputs'!$E$46</x:f>
        <x:v>0</x:v>
      </x:c>
    </x:row>
    <x:row r="1077">
      <x:c r="A1077" s="59" t="str">
        <x:v>Base</x:v>
      </x:c>
      <x:c r="B1077" s="59" t="n">
        <x:v>344</x:v>
      </x:c>
      <x:c r="C1077" s="78" t="n">
        <x:f>(('Inputs'!$B$29*(3*344*'Inputs'!$B$12-344^2)/(2*'Inputs'!$B$12^2))-('Inputs'!$B$29*(3*343*'Inputs'!$B$12-343^2)/(2*'Inputs'!$B$12^2)))*'Inputs'!$B$46</x:f>
        <x:v>600311.7376618385</x:v>
      </x:c>
      <x:c r="D1077" s="78" t="n">
        <x:f>IF('Inputs'!$C$46&gt;0,('Inputs'!$B$30*(3*344*'Inputs'!$B$12-344^2)/(2*'Inputs'!$B$12^2))-('Inputs'!$B$30*(3*343*'Inputs'!$B$12-343^2)/(2*'Inputs'!$B$12^2)),0)</x:f>
        <x:v>257276.45899793506</x:v>
      </x:c>
      <x:c r="E1077" s="78" t="n">
        <x:f>C1077+D1077</x:f>
        <x:v>857588.1966597736</x:v>
      </x:c>
      <x:c r="F1077" s="78" t="n">
        <x:f>'Inputs'!$B$13*E1077+(1-'Inputs'!$B$13)/'Inputs'!$B$14*SUM(E1022:E1077)</x:f>
        <x:v>867805.8735222345</x:v>
      </x:c>
      <x:c r="G1077" s="78" t="n">
        <x:f>F1077*'Inputs'!$F$46</x:f>
        <x:v>433902.93676111725</x:v>
      </x:c>
      <x:c r="H1077" s="78" t="n">
        <x:f>U1076</x:f>
        <x:v>156351534.91081604</x:v>
      </x:c>
      <x:c r="I1077" s="78" t="n">
        <x:f>V1076</x:f>
        <x:v>186.37389024220013</x:v>
      </x:c>
      <x:c r="J1077" s="79" t="n">
        <x:f>IF(H1077&gt;0,I1077/H1077,0)</x:f>
        <x:v>0.0000011920182961331913</x:v>
      </x:c>
      <x:c r="K1077" s="80" t="n">
        <x:f>(H1077*J1077+I1077)*'Inputs'!$D$46*(1+'Inputs'!$G$46)^(B1077/30)</x:f>
        <x:v>372.74778048440027</x:v>
      </x:c>
      <x:c r="L1077" s="80" t="n">
        <x:f>MAX(0,K1077*'Inputs'!$E$46)</x:f>
        <x:v>0</x:v>
      </x:c>
      <x:c r="M1077" s="80" t="n">
        <x:f>MAX(0,-K1077*'Inputs'!$E$46)</x:f>
        <x:v>0</x:v>
      </x:c>
      <x:c r="N1077" s="78" t="n">
        <x:f>H1077*(L1077*(1-'Inputs'!$B$15))/(I1077+L1077*(1-'Inputs'!$B$15))</x:f>
        <x:v>0</x:v>
      </x:c>
      <x:c r="O1077" s="78" t="n">
        <x:f>H1077-N1077</x:f>
        <x:v>156351534.91081604</x:v>
      </x:c>
      <x:c r="P1077" s="78" t="n">
        <x:f>I1077+L1077*(1-'Inputs'!$B$17)</x:f>
        <x:v>186.37389024220013</x:v>
      </x:c>
      <x:c r="Q1077" s="78" t="n">
        <x:f>IF(J1077&gt;0,M1077/J1077,0)</x:f>
        <x:v>0</x:v>
      </x:c>
      <x:c r="R1077" s="78" t="n">
        <x:f>IF(B1077='Inputs'!$H$46,'Inputs'!$B$27*'Inputs'!$I$46,0)</x:f>
        <x:v>0</x:v>
      </x:c>
      <x:c r="S1077" s="78" t="n">
        <x:f>Q1077+G1077+R1077</x:f>
        <x:v>433902.93676111725</x:v>
      </x:c>
      <x:c r="T1077" s="78" t="n">
        <x:f>P1077*(S1077*(1-'Inputs'!$B$15))/(O1077+S1077*(1-'Inputs'!$B$15))</x:f>
        <x:v>0.5106450785971229</x:v>
      </x:c>
      <x:c r="U1077" s="78" t="n">
        <x:f>O1077+S1077*(1-'Inputs'!$B$17)</x:f>
        <x:v>156783691.75930047</x:v>
      </x:c>
      <x:c r="V1077" s="78" t="n">
        <x:f>P1077-T1077</x:f>
        <x:v>185.863245163603</x:v>
      </x:c>
      <x:c r="W1077" s="79" t="n">
        <x:f>IF(U1077&gt;0,V1077/U1077,0)</x:f>
        <x:v>0.0000011854756261827694</x:v>
      </x:c>
      <x:c r="X1077" s="80" t="n">
        <x:f>W1077*('Inputs'!$B$6-AC1077)</x:f>
        <x:v>1056.2659681403336</x:v>
      </x:c>
      <x:c r="Y1077" s="80" t="n">
        <x:f>2*V1077</x:f>
        <x:v>371.726490327206</x:v>
      </x:c>
      <x:c r="Z1077" s="80" t="n">
        <x:f>K1077*'Inputs'!$B$16+(G1077+R1077)*J1077*'Inputs'!$B$16</x:f>
        <x:v>2.2395900043425927</x:v>
      </x:c>
      <x:c r="AA1077" s="80" t="n">
        <x:f>K1077*(1+'Inputs'!$E$46)/2*'Inputs'!$B$17</x:f>
        <x:v>0.7499955341738437</x:v>
      </x:c>
      <x:c r="AB1077" s="78" t="n">
        <x:f>(IF(J1077&gt;0,K1077*(1-'Inputs'!$E$46)/2/J1077,0)+G1077+R1077)*'Inputs'!$B$17</x:f>
        <x:v>630927.3152820007</x:v>
      </x:c>
      <x:c r="AC1077" s="78" t="n">
        <x:f>AC1076+AB1077</x:f>
        <x:v>108993938.96312393</x:v>
      </x:c>
      <x:c r="AD1077" s="80" t="n">
        <x:f>Z1077/(1+'Inputs'!$C$46)</x:f>
        <x:v>1.1197950021712963</x:v>
      </x:c>
      <x:c r="AE1077" s="80" t="n">
        <x:f>Z1077-AD1077</x:f>
        <x:v>1.1197950021712963</x:v>
      </x:c>
      <x:c r="AF1077" s="80" t="n">
        <x:f>D1077*W1077</x:f>
        <x:v>0.3049949713326627</x:v>
      </x:c>
      <x:c r="AG1077" s="80" t="n">
        <x:f>C1077*W1077</x:f>
        <x:v>0.7116549331095344</x:v>
      </x:c>
      <x:c r="AH1077" s="80" t="n">
        <x:f>2*'Inputs'!$B$8*'Inputs'!$C$46</x:f>
        <x:v>5000</x:v>
      </x:c>
      <x:c r="AI1077" s="81" t="n">
        <x:f>IF(AH1077&gt;0,(AE1077+AF1077)/AH1077*365,0)</x:f>
        <x:v>0.10400966806578901</x:v>
      </x:c>
      <x:c r="AJ1077" s="81" t="n">
        <x:f>IF('Inputs'!$B$46&gt;0,AG1077/('Inputs'!$B$19*'Inputs'!$B$46)*365,0)</x:f>
        <x:v>0.02597540505849801</x:v>
      </x:c>
      <x:c r="AK1077" s="81" t="n">
        <x:f>W1077/MAX($W$734:W1077)-1</x:f>
        <x:v>-0.9985933830728129</x:v>
      </x:c>
      <x:c r="AL1077" s="83" t="n">
        <x:f>'Inputs'!$B$46</x:f>
        <x:v>1</x:v>
      </x:c>
      <x:c r="AM1077" s="83" t="n">
        <x:f>'Inputs'!$C$46</x:f>
        <x:v>1</x:v>
      </x:c>
      <x:c r="AN1077" s="83" t="n">
        <x:f>'Inputs'!$D$46</x:f>
        <x:v>1</x:v>
      </x:c>
      <x:c r="AO1077" s="81" t="n">
        <x:f>'Inputs'!$E$46</x:f>
        <x:v>0</x:v>
      </x:c>
    </x:row>
    <x:row r="1078">
      <x:c r="A1078" s="59" t="str">
        <x:v>Base</x:v>
      </x:c>
      <x:c r="B1078" s="59" t="n">
        <x:v>345</x:v>
      </x:c>
      <x:c r="C1078" s="78" t="n">
        <x:f>(('Inputs'!$B$29*(3*345*'Inputs'!$B$12-345^2)/(2*'Inputs'!$B$12^2))-('Inputs'!$B$29*(3*344*'Inputs'!$B$12-344^2)/(2*'Inputs'!$B$12^2)))*'Inputs'!$B$46</x:f>
        <x:v>599986.6297616661</x:v>
      </x:c>
      <x:c r="D1078" s="78" t="n">
        <x:f>IF('Inputs'!$C$46&gt;0,('Inputs'!$B$30*(3*345*'Inputs'!$B$12-345^2)/(2*'Inputs'!$B$12^2))-('Inputs'!$B$30*(3*344*'Inputs'!$B$12-344^2)/(2*'Inputs'!$B$12^2)),0)</x:f>
        <x:v>257137.12704072893</x:v>
      </x:c>
      <x:c r="E1078" s="78" t="n">
        <x:f>C1078+D1078</x:f>
        <x:v>857123.756802395</x:v>
      </x:c>
      <x:c r="F1078" s="78" t="n">
        <x:f>'Inputs'!$B$13*E1078+(1-'Inputs'!$B$13)/'Inputs'!$B$14*SUM(E1023:E1078)</x:f>
        <x:v>867341.4336648512</x:v>
      </x:c>
      <x:c r="G1078" s="78" t="n">
        <x:f>F1078*'Inputs'!$F$46</x:f>
        <x:v>433670.7168324256</x:v>
      </x:c>
      <x:c r="H1078" s="78" t="n">
        <x:f>U1077</x:f>
        <x:v>156783691.75930047</x:v>
      </x:c>
      <x:c r="I1078" s="78" t="n">
        <x:f>V1077</x:f>
        <x:v>185.863245163603</x:v>
      </x:c>
      <x:c r="J1078" s="79" t="n">
        <x:f>IF(H1078&gt;0,I1078/H1078,0)</x:f>
        <x:v>0.0000011854756261827694</x:v>
      </x:c>
      <x:c r="K1078" s="80" t="n">
        <x:f>(H1078*J1078+I1078)*'Inputs'!$D$46*(1+'Inputs'!$G$46)^(B1078/30)</x:f>
        <x:v>371.7264903272061</x:v>
      </x:c>
      <x:c r="L1078" s="80" t="n">
        <x:f>MAX(0,K1078*'Inputs'!$E$46)</x:f>
        <x:v>0</x:v>
      </x:c>
      <x:c r="M1078" s="80" t="n">
        <x:f>MAX(0,-K1078*'Inputs'!$E$46)</x:f>
        <x:v>0</x:v>
      </x:c>
      <x:c r="N1078" s="78" t="n">
        <x:f>H1078*(L1078*(1-'Inputs'!$B$15))/(I1078+L1078*(1-'Inputs'!$B$15))</x:f>
        <x:v>0</x:v>
      </x:c>
      <x:c r="O1078" s="78" t="n">
        <x:f>H1078-N1078</x:f>
        <x:v>156783691.75930047</x:v>
      </x:c>
      <x:c r="P1078" s="78" t="n">
        <x:f>I1078+L1078*(1-'Inputs'!$B$17)</x:f>
        <x:v>185.863245163603</x:v>
      </x:c>
      <x:c r="Q1078" s="78" t="n">
        <x:f>IF(J1078&gt;0,M1078/J1078,0)</x:f>
        <x:v>0</x:v>
      </x:c>
      <x:c r="R1078" s="78" t="n">
        <x:f>IF(B1078='Inputs'!$H$46,'Inputs'!$B$27*'Inputs'!$I$46,0)</x:f>
        <x:v>0</x:v>
      </x:c>
      <x:c r="S1078" s="78" t="n">
        <x:f>Q1078+G1078+R1078</x:f>
        <x:v>433670.7168324256</x:v>
      </x:c>
      <x:c r="T1078" s="78" t="n">
        <x:f>P1078*(S1078*(1-'Inputs'!$B$15))/(O1078+S1078*(1-'Inputs'!$B$15))</x:f>
        <x:v>0.507575068318699</x:v>
      </x:c>
      <x:c r="U1078" s="78" t="n">
        <x:f>O1078+S1078*(1-'Inputs'!$B$17)</x:f>
        <x:v>157215617.3223428</x:v>
      </x:c>
      <x:c r="V1078" s="78" t="n">
        <x:f>P1078-T1078</x:f>
        <x:v>185.35567009528432</x:v>
      </x:c>
      <x:c r="W1078" s="79" t="n">
        <x:f>IF(U1078&gt;0,V1078/U1078,0)</x:f>
        <x:v>0.000001178990187185064</x:v>
      </x:c>
      <x:c r="X1078" s="80" t="n">
        <x:f>W1078*('Inputs'!$B$6-AC1078)</x:f>
        <x:v>1049.7414963363437</x:v>
      </x:c>
      <x:c r="Y1078" s="80" t="n">
        <x:f>2*V1078</x:f>
        <x:v>370.71134019056865</x:v>
      </x:c>
      <x:c r="Z1078" s="80" t="n">
        <x:f>K1078*'Inputs'!$B$16+(G1078+R1078)*J1078*'Inputs'!$B$16</x:f>
        <x:v>2.233443578350801</x:v>
      </x:c>
      <x:c r="AA1078" s="80" t="n">
        <x:f>K1078*(1+'Inputs'!$E$46)/2*'Inputs'!$B$17</x:f>
        <x:v>0.7479406244008171</x:v>
      </x:c>
      <x:c r="AB1078" s="78" t="n">
        <x:f>(IF(J1078&gt;0,K1078*(1-'Inputs'!$E$46)/2/J1078,0)+G1078+R1078)*'Inputs'!$B$17</x:f>
        <x:v>632665.442559891</x:v>
      </x:c>
      <x:c r="AC1078" s="78" t="n">
        <x:f>AC1077+AB1078</x:f>
        <x:v>109626604.40568383</x:v>
      </x:c>
      <x:c r="AD1078" s="80" t="n">
        <x:f>Z1078/(1+'Inputs'!$C$46)</x:f>
        <x:v>1.1167217891754004</x:v>
      </x:c>
      <x:c r="AE1078" s="80" t="n">
        <x:f>Z1078-AD1078</x:f>
        <x:v>1.1167217891754004</x:v>
      </x:c>
      <x:c r="AF1078" s="80" t="n">
        <x:f>D1078*W1078</x:f>
        <x:v>0.30316214954197857</x:v>
      </x:c>
      <x:c r="AG1078" s="80" t="n">
        <x:f>C1078*W1078</x:f>
        <x:v>0.7073783489312423</x:v>
      </x:c>
      <x:c r="AH1078" s="80" t="n">
        <x:f>2*'Inputs'!$B$8*'Inputs'!$C$46</x:f>
        <x:v>5000</x:v>
      </x:c>
      <x:c r="AI1078" s="81" t="n">
        <x:f>IF(AH1078&gt;0,(AE1078+AF1078)/AH1078*365,0)</x:f>
        <x:v>0.10365152752636866</x:v>
      </x:c>
      <x:c r="AJ1078" s="81" t="n">
        <x:f>IF('Inputs'!$B$46&gt;0,AG1078/('Inputs'!$B$19*'Inputs'!$B$46)*365,0)</x:f>
        <x:v>0.02581930973599034</x:v>
      </x:c>
      <x:c r="AK1078" s="81" t="n">
        <x:f>W1078/MAX($W$734:W1078)-1</x:f>
        <x:v>-0.9986010783202501</x:v>
      </x:c>
      <x:c r="AL1078" s="83" t="n">
        <x:f>'Inputs'!$B$46</x:f>
        <x:v>1</x:v>
      </x:c>
      <x:c r="AM1078" s="83" t="n">
        <x:f>'Inputs'!$C$46</x:f>
        <x:v>1</x:v>
      </x:c>
      <x:c r="AN1078" s="83" t="n">
        <x:f>'Inputs'!$D$46</x:f>
        <x:v>1</x:v>
      </x:c>
      <x:c r="AO1078" s="81" t="n">
        <x:f>'Inputs'!$E$46</x:f>
        <x:v>0</x:v>
      </x:c>
    </x:row>
    <x:row r="1079">
      <x:c r="A1079" s="59" t="str">
        <x:v>Base</x:v>
      </x:c>
      <x:c r="B1079" s="59" t="n">
        <x:v>346</x:v>
      </x:c>
      <x:c r="C1079" s="78" t="n">
        <x:f>(('Inputs'!$B$29*(3*346*'Inputs'!$B$12-346^2)/(2*'Inputs'!$B$12^2))-('Inputs'!$B$29*(3*345*'Inputs'!$B$12-345^2)/(2*'Inputs'!$B$12^2)))*'Inputs'!$B$46</x:f>
        <x:v>599661.5218615234</x:v>
      </x:c>
      <x:c r="D1079" s="78" t="n">
        <x:f>IF('Inputs'!$C$46&gt;0,('Inputs'!$B$30*(3*346*'Inputs'!$B$12-346^2)/(2*'Inputs'!$B$12^2))-('Inputs'!$B$30*(3*345*'Inputs'!$B$12-345^2)/(2*'Inputs'!$B$12^2)),0)</x:f>
        <x:v>256997.795083493</x:v>
      </x:c>
      <x:c r="E1079" s="78" t="n">
        <x:f>C1079+D1079</x:f>
        <x:v>856659.3169450164</x:v>
      </x:c>
      <x:c r="F1079" s="78" t="n">
        <x:f>'Inputs'!$B$13*E1079+(1-'Inputs'!$B$13)/'Inputs'!$B$14*SUM(E1024:E1079)</x:f>
        <x:v>866876.9938074681</x:v>
      </x:c>
      <x:c r="G1079" s="78" t="n">
        <x:f>F1079*'Inputs'!$F$46</x:f>
        <x:v>433438.49690373405</x:v>
      </x:c>
      <x:c r="H1079" s="78" t="n">
        <x:f>U1078</x:f>
        <x:v>157215617.3223428</x:v>
      </x:c>
      <x:c r="I1079" s="78" t="n">
        <x:f>V1078</x:f>
        <x:v>185.35567009528432</x:v>
      </x:c>
      <x:c r="J1079" s="79" t="n">
        <x:f>IF(H1079&gt;0,I1079/H1079,0)</x:f>
        <x:v>0.000001178990187185064</x:v>
      </x:c>
      <x:c r="K1079" s="80" t="n">
        <x:f>(H1079*J1079+I1079)*'Inputs'!$D$46*(1+'Inputs'!$G$46)^(B1079/30)</x:f>
        <x:v>370.71134019056865</x:v>
      </x:c>
      <x:c r="L1079" s="80" t="n">
        <x:f>MAX(0,K1079*'Inputs'!$E$46)</x:f>
        <x:v>0</x:v>
      </x:c>
      <x:c r="M1079" s="80" t="n">
        <x:f>MAX(0,-K1079*'Inputs'!$E$46)</x:f>
        <x:v>0</x:v>
      </x:c>
      <x:c r="N1079" s="78" t="n">
        <x:f>H1079*(L1079*(1-'Inputs'!$B$15))/(I1079+L1079*(1-'Inputs'!$B$15))</x:f>
        <x:v>0</x:v>
      </x:c>
      <x:c r="O1079" s="78" t="n">
        <x:f>H1079-N1079</x:f>
        <x:v>157215617.3223428</x:v>
      </x:c>
      <x:c r="P1079" s="78" t="n">
        <x:f>I1079+L1079*(1-'Inputs'!$B$17)</x:f>
        <x:v>185.35567009528432</x:v>
      </x:c>
      <x:c r="Q1079" s="78" t="n">
        <x:f>IF(J1079&gt;0,M1079/J1079,0)</x:f>
        <x:v>0</x:v>
      </x:c>
      <x:c r="R1079" s="78" t="n">
        <x:f>IF(B1079='Inputs'!$H$46,'Inputs'!$B$27*'Inputs'!$I$46,0)</x:f>
        <x:v>0</x:v>
      </x:c>
      <x:c r="S1079" s="78" t="n">
        <x:f>Q1079+G1079+R1079</x:f>
        <x:v>433438.49690373405</x:v>
      </x:c>
      <x:c r="T1079" s="78" t="n">
        <x:f>P1079*(S1079*(1-'Inputs'!$B$15))/(O1079+S1079*(1-'Inputs'!$B$15))</x:f>
        <x:v>0.5045324669589825</x:v>
      </x:c>
      <x:c r="U1079" s="78" t="n">
        <x:f>O1079+S1079*(1-'Inputs'!$B$17)</x:f>
        <x:v>157647311.5999431</x:v>
      </x:c>
      <x:c r="V1079" s="78" t="n">
        <x:f>P1079-T1079</x:f>
        <x:v>184.85113762832535</x:v>
      </x:c>
      <x:c r="W1079" s="79" t="n">
        <x:f>IF(U1079&gt;0,V1079/U1079,0)</x:f>
        <x:v>0.000001172561306325455</x:v>
      </x:c>
      <x:c r="X1079" s="80" t="n">
        <x:f>W1079*('Inputs'!$B$6-AC1079)</x:f>
        <x:v>1043.2735158682494</x:v>
      </x:c>
      <x:c r="Y1079" s="80" t="n">
        <x:f>2*V1079</x:f>
        <x:v>369.7022752566507</x:v>
      </x:c>
      <x:c r="Z1079" s="80" t="n">
        <x:f>K1079*'Inputs'!$B$16+(G1079+R1079)*J1079*'Inputs'!$B$16</x:f>
        <x:v>2.2273341595509986</x:v>
      </x:c>
      <x:c r="AA1079" s="80" t="n">
        <x:f>K1079*(1+'Inputs'!$E$46)/2*'Inputs'!$B$17</x:f>
        <x:v>0.7458980687939007</x:v>
      </x:c>
      <x:c r="AB1079" s="78" t="n">
        <x:f>(IF(J1079&gt;0,K1079*(1-'Inputs'!$E$46)/2/J1079,0)+G1079+R1079)*'Inputs'!$B$17</x:f>
        <x:v>634402.6391116562</x:v>
      </x:c>
      <x:c r="AC1079" s="78" t="n">
        <x:f>AC1078+AB1079</x:f>
        <x:v>110261007.04479548</x:v>
      </x:c>
      <x:c r="AD1079" s="80" t="n">
        <x:f>Z1079/(1+'Inputs'!$C$46)</x:f>
        <x:v>1.1136670797754993</x:v>
      </x:c>
      <x:c r="AE1079" s="80" t="n">
        <x:f>Z1079-AD1079</x:f>
        <x:v>1.1136670797754993</x:v>
      </x:c>
      <x:c r="AF1079" s="80" t="n">
        <x:f>D1079*W1079</x:f>
        <x:v>0.3013456703258622</x:v>
      </x:c>
      <x:c r="AG1079" s="80" t="n">
        <x:f>C1079*W1079</x:f>
        <x:v>0.7031398974270583</x:v>
      </x:c>
      <x:c r="AH1079" s="80" t="n">
        <x:f>2*'Inputs'!$B$8*'Inputs'!$C$46</x:f>
        <x:v>5000</x:v>
      </x:c>
      <x:c r="AI1079" s="81" t="n">
        <x:f>IF(AH1079&gt;0,(AE1079+AF1079)/AH1079*365,0)</x:f>
        <x:v>0.10329593075739939</x:v>
      </x:c>
      <x:c r="AJ1079" s="81" t="n">
        <x:f>IF('Inputs'!$B$46&gt;0,AG1079/('Inputs'!$B$19*'Inputs'!$B$46)*365,0)</x:f>
        <x:v>0.02566460625608763</x:v>
      </x:c>
      <x:c r="AK1079" s="81" t="n">
        <x:f>W1079/MAX($W$734:W1079)-1</x:f>
        <x:v>-0.9986087064590666</x:v>
      </x:c>
      <x:c r="AL1079" s="83" t="n">
        <x:f>'Inputs'!$B$46</x:f>
        <x:v>1</x:v>
      </x:c>
      <x:c r="AM1079" s="83" t="n">
        <x:f>'Inputs'!$C$46</x:f>
        <x:v>1</x:v>
      </x:c>
      <x:c r="AN1079" s="83" t="n">
        <x:f>'Inputs'!$D$46</x:f>
        <x:v>1</x:v>
      </x:c>
      <x:c r="AO1079" s="81" t="n">
        <x:f>'Inputs'!$E$46</x:f>
        <x:v>0</x:v>
      </x:c>
    </x:row>
    <x:row r="1080">
      <x:c r="A1080" s="59" t="str">
        <x:v>Base</x:v>
      </x:c>
      <x:c r="B1080" s="59" t="n">
        <x:v>347</x:v>
      </x:c>
      <x:c r="C1080" s="78" t="n">
        <x:f>(('Inputs'!$B$29*(3*347*'Inputs'!$B$12-347^2)/(2*'Inputs'!$B$12^2))-('Inputs'!$B$29*(3*346*'Inputs'!$B$12-346^2)/(2*'Inputs'!$B$12^2)))*'Inputs'!$B$46</x:f>
        <x:v>599336.4139613509</x:v>
      </x:c>
      <x:c r="D1080" s="78" t="n">
        <x:f>IF('Inputs'!$C$46&gt;0,('Inputs'!$B$30*(3*347*'Inputs'!$B$12-347^2)/(2*'Inputs'!$B$12^2))-('Inputs'!$B$30*(3*346*'Inputs'!$B$12-346^2)/(2*'Inputs'!$B$12^2)),0)</x:f>
        <x:v>256858.46312630177</x:v>
      </x:c>
      <x:c r="E1080" s="78" t="n">
        <x:f>C1080+D1080</x:f>
        <x:v>856194.8770876527</x:v>
      </x:c>
      <x:c r="F1080" s="78" t="n">
        <x:f>'Inputs'!$B$13*E1080+(1-'Inputs'!$B$13)/'Inputs'!$B$14*SUM(E1025:E1080)</x:f>
        <x:v>866412.5539500884</x:v>
      </x:c>
      <x:c r="G1080" s="78" t="n">
        <x:f>F1080*'Inputs'!$F$46</x:f>
        <x:v>433206.2769750442</x:v>
      </x:c>
      <x:c r="H1080" s="78" t="n">
        <x:f>U1079</x:f>
        <x:v>157647311.5999431</x:v>
      </x:c>
      <x:c r="I1080" s="78" t="n">
        <x:f>V1079</x:f>
        <x:v>184.85113762832535</x:v>
      </x:c>
      <x:c r="J1080" s="79" t="n">
        <x:f>IF(H1080&gt;0,I1080/H1080,0)</x:f>
        <x:v>0.000001172561306325455</x:v>
      </x:c>
      <x:c r="K1080" s="80" t="n">
        <x:f>(H1080*J1080+I1080)*'Inputs'!$D$46*(1+'Inputs'!$G$46)^(B1080/30)</x:f>
        <x:v>369.7022752566507</x:v>
      </x:c>
      <x:c r="L1080" s="80" t="n">
        <x:f>MAX(0,K1080*'Inputs'!$E$46)</x:f>
        <x:v>0</x:v>
      </x:c>
      <x:c r="M1080" s="80" t="n">
        <x:f>MAX(0,-K1080*'Inputs'!$E$46)</x:f>
        <x:v>0</x:v>
      </x:c>
      <x:c r="N1080" s="78" t="n">
        <x:f>H1080*(L1080*(1-'Inputs'!$B$15))/(I1080+L1080*(1-'Inputs'!$B$15))</x:f>
        <x:v>0</x:v>
      </x:c>
      <x:c r="O1080" s="78" t="n">
        <x:f>H1080-N1080</x:f>
        <x:v>157647311.5999431</x:v>
      </x:c>
      <x:c r="P1080" s="78" t="n">
        <x:f>I1080+L1080*(1-'Inputs'!$B$17)</x:f>
        <x:v>184.85113762832535</x:v>
      </x:c>
      <x:c r="Q1080" s="78" t="n">
        <x:f>IF(J1080&gt;0,M1080/J1080,0)</x:f>
        <x:v>0</x:v>
      </x:c>
      <x:c r="R1080" s="78" t="n">
        <x:f>IF(B1080='Inputs'!$H$46,'Inputs'!$B$27*'Inputs'!$I$46,0)</x:f>
        <x:v>0</x:v>
      </x:c>
      <x:c r="S1080" s="78" t="n">
        <x:f>Q1080+G1080+R1080</x:f>
        <x:v>433206.2769750442</x:v>
      </x:c>
      <x:c r="T1080" s="78" t="n">
        <x:f>P1080*(S1080*(1-'Inputs'!$B$15))/(O1080+S1080*(1-'Inputs'!$B$15))</x:f>
        <x:v>0.5015169488496539</x:v>
      </x:c>
      <x:c r="U1080" s="78" t="n">
        <x:f>O1080+S1080*(1-'Inputs'!$B$17)</x:f>
        <x:v>158078774.59210134</x:v>
      </x:c>
      <x:c r="V1080" s="78" t="n">
        <x:f>P1080-T1080</x:f>
        <x:v>184.3496206794757</x:v>
      </x:c>
      <x:c r="W1080" s="79" t="n">
        <x:f>IF(U1080&gt;0,V1080/U1080,0)</x:f>
        <x:v>0.0000011661883206974646</x:v>
      </x:c>
      <x:c r="X1080" s="80" t="n">
        <x:f>W1080*('Inputs'!$B$6-AC1080)</x:f>
        <x:v>1036.8613642922041</x:v>
      </x:c>
      <x:c r="Y1080" s="80" t="n">
        <x:f>2*V1080</x:f>
        <x:v>368.6992413589514</x:v>
      </x:c>
      <x:c r="Z1080" s="80" t="n">
        <x:f>K1080*'Inputs'!$B$16+(G1080+R1080)*J1080*'Inputs'!$B$16</x:f>
        <x:v>2.2212614170481335</x:v>
      </x:c>
      <x:c r="AA1080" s="80" t="n">
        <x:f>K1080*(1+'Inputs'!$E$46)/2*'Inputs'!$B$17</x:f>
        <x:v>0.7438677570556352</x:v>
      </x:c>
      <x:c r="AB1080" s="78" t="n">
        <x:f>(IF(J1080&gt;0,K1080*(1-'Inputs'!$E$46)/2/J1080,0)+G1080+R1080)*'Inputs'!$B$17</x:f>
        <x:v>636138.9049372964</x:v>
      </x:c>
      <x:c r="AC1080" s="78" t="n">
        <x:f>AC1079+AB1080</x:f>
        <x:v>110897145.94973278</x:v>
      </x:c>
      <x:c r="AD1080" s="80" t="n">
        <x:f>Z1080/(1+'Inputs'!$C$46)</x:f>
        <x:v>1.1106307085240668</x:v>
      </x:c>
      <x:c r="AE1080" s="80" t="n">
        <x:f>Z1080-AD1080</x:f>
        <x:v>1.1106307085240668</x:v>
      </x:c>
      <x:c r="AF1080" s="80" t="n">
        <x:f>D1080*W1080</x:f>
        <x:v>0.2995453397701935</x:v>
      </x:c>
      <x:c r="AG1080" s="80" t="n">
        <x:f>C1080*W1080</x:f>
        <x:v>0.6989391261304283</x:v>
      </x:c>
      <x:c r="AH1080" s="80" t="n">
        <x:f>2*'Inputs'!$B$8*'Inputs'!$C$46</x:f>
        <x:v>5000</x:v>
      </x:c>
      <x:c r="AI1080" s="81" t="n">
        <x:f>IF(AH1080&gt;0,(AE1080+AF1080)/AH1080*365,0)</x:f>
        <x:v>0.102942851525481</x:v>
      </x:c>
      <x:c r="AJ1080" s="81" t="n">
        <x:f>IF('Inputs'!$B$46&gt;0,AG1080/('Inputs'!$B$19*'Inputs'!$B$46)*365,0)</x:f>
        <x:v>0.02551127810376063</x:v>
      </x:c>
      <x:c r="AK1080" s="81" t="n">
        <x:f>W1080/MAX($W$734:W1080)-1</x:f>
        <x:v>-0.9986162682758286</x:v>
      </x:c>
      <x:c r="AL1080" s="83" t="n">
        <x:f>'Inputs'!$B$46</x:f>
        <x:v>1</x:v>
      </x:c>
      <x:c r="AM1080" s="83" t="n">
        <x:f>'Inputs'!$C$46</x:f>
        <x:v>1</x:v>
      </x:c>
      <x:c r="AN1080" s="83" t="n">
        <x:f>'Inputs'!$D$46</x:f>
        <x:v>1</x:v>
      </x:c>
      <x:c r="AO1080" s="81" t="n">
        <x:f>'Inputs'!$E$46</x:f>
        <x:v>0</x:v>
      </x:c>
    </x:row>
    <x:row r="1081">
      <x:c r="A1081" s="59" t="str">
        <x:v>Base</x:v>
      </x:c>
      <x:c r="B1081" s="59" t="n">
        <x:v>348</x:v>
      </x:c>
      <x:c r="C1081" s="78" t="n">
        <x:f>(('Inputs'!$B$29*(3*348*'Inputs'!$B$12-348^2)/(2*'Inputs'!$B$12^2))-('Inputs'!$B$29*(3*347*'Inputs'!$B$12-347^2)/(2*'Inputs'!$B$12^2)))*'Inputs'!$B$46</x:f>
        <x:v>599011.3060611784</x:v>
      </x:c>
      <x:c r="D1081" s="78" t="n">
        <x:f>IF('Inputs'!$C$46&gt;0,('Inputs'!$B$30*(3*348*'Inputs'!$B$12-348^2)/(2*'Inputs'!$B$12^2))-('Inputs'!$B$30*(3*347*'Inputs'!$B$12-347^2)/(2*'Inputs'!$B$12^2)),0)</x:f>
        <x:v>256719.13116906583</x:v>
      </x:c>
      <x:c r="E1081" s="78" t="n">
        <x:f>C1081+D1081</x:f>
        <x:v>855730.4372302443</x:v>
      </x:c>
      <x:c r="F1081" s="78" t="n">
        <x:f>'Inputs'!$B$13*E1081+(1-'Inputs'!$B$13)/'Inputs'!$B$14*SUM(E1026:E1081)</x:f>
        <x:v>865948.1140926994</x:v>
      </x:c>
      <x:c r="G1081" s="78" t="n">
        <x:f>F1081*'Inputs'!$F$46</x:f>
        <x:v>432974.0570463497</x:v>
      </x:c>
      <x:c r="H1081" s="78" t="n">
        <x:f>U1080</x:f>
        <x:v>158078774.59210134</x:v>
      </x:c>
      <x:c r="I1081" s="78" t="n">
        <x:f>V1080</x:f>
        <x:v>184.3496206794757</x:v>
      </x:c>
      <x:c r="J1081" s="79" t="n">
        <x:f>IF(H1081&gt;0,I1081/H1081,0)</x:f>
        <x:v>0.0000011661883206974646</x:v>
      </x:c>
      <x:c r="K1081" s="80" t="n">
        <x:f>(H1081*J1081+I1081)*'Inputs'!$D$46*(1+'Inputs'!$G$46)^(B1081/30)</x:f>
        <x:v>368.6992413589514</x:v>
      </x:c>
      <x:c r="L1081" s="80" t="n">
        <x:f>MAX(0,K1081*'Inputs'!$E$46)</x:f>
        <x:v>0</x:v>
      </x:c>
      <x:c r="M1081" s="80" t="n">
        <x:f>MAX(0,-K1081*'Inputs'!$E$46)</x:f>
        <x:v>0</x:v>
      </x:c>
      <x:c r="N1081" s="78" t="n">
        <x:f>H1081*(L1081*(1-'Inputs'!$B$15))/(I1081+L1081*(1-'Inputs'!$B$15))</x:f>
        <x:v>0</x:v>
      </x:c>
      <x:c r="O1081" s="78" t="n">
        <x:f>H1081-N1081</x:f>
        <x:v>158078774.59210134</x:v>
      </x:c>
      <x:c r="P1081" s="78" t="n">
        <x:f>I1081+L1081*(1-'Inputs'!$B$17)</x:f>
        <x:v>184.3496206794757</x:v>
      </x:c>
      <x:c r="Q1081" s="78" t="n">
        <x:f>IF(J1081&gt;0,M1081/J1081,0)</x:f>
        <x:v>0</x:v>
      </x:c>
      <x:c r="R1081" s="78" t="n">
        <x:f>IF(B1081='Inputs'!$H$46,'Inputs'!$B$27*'Inputs'!$I$46,0)</x:f>
        <x:v>0</x:v>
      </x:c>
      <x:c r="S1081" s="78" t="n">
        <x:f>Q1081+G1081+R1081</x:f>
        <x:v>432974.0570463497</x:v>
      </x:c>
      <x:c r="T1081" s="78" t="n">
        <x:f>P1081*(S1081*(1-'Inputs'!$B$15))/(O1081+S1081*(1-'Inputs'!$B$15))</x:f>
        <x:v>0.498528193146086</x:v>
      </x:c>
      <x:c r="U1081" s="78" t="n">
        <x:f>O1081+S1081*(1-'Inputs'!$B$17)</x:f>
        <x:v>158510006.29881752</x:v>
      </x:c>
      <x:c r="V1081" s="78" t="n">
        <x:f>P1081-T1081</x:f>
        <x:v>183.8510924863296</x:v>
      </x:c>
      <x:c r="W1081" s="79" t="n">
        <x:f>IF(U1081&gt;0,V1081/U1081,0)</x:f>
        <x:v>0.00000115987057712773</x:v>
      </x:c>
      <x:c r="X1081" s="80" t="n">
        <x:f>W1081*('Inputs'!$B$6-AC1081)</x:f>
        <x:v>1030.504388890269</x:v>
      </x:c>
      <x:c r="Y1081" s="80" t="n">
        <x:f>2*V1081</x:f>
        <x:v>367.7021849726592</x:v>
      </x:c>
      <x:c r="Z1081" s="80" t="n">
        <x:f>K1081*'Inputs'!$B$16+(G1081+R1081)*J1081*'Inputs'!$B$16</x:f>
        <x:v>2.215225023884663</x:v>
      </x:c>
      <x:c r="AA1081" s="80" t="n">
        <x:f>K1081*(1+'Inputs'!$E$46)/2*'Inputs'!$B$17</x:f>
        <x:v>0.7418495801990974</x:v>
      </x:c>
      <x:c r="AB1081" s="78" t="n">
        <x:f>(IF(J1081&gt;0,K1081*(1-'Inputs'!$E$46)/2/J1081,0)+G1081+R1081)*'Inputs'!$B$17</x:f>
        <x:v>637874.2400368117</x:v>
      </x:c>
      <x:c r="AC1081" s="78" t="n">
        <x:f>AC1080+AB1081</x:f>
        <x:v>111535020.1897696</x:v>
      </x:c>
      <x:c r="AD1081" s="80" t="n">
        <x:f>Z1081/(1+'Inputs'!$C$46)</x:f>
        <x:v>1.1076125119423315</x:v>
      </x:c>
      <x:c r="AE1081" s="80" t="n">
        <x:f>Z1081-AD1081</x:f>
        <x:v>1.1076125119423315</x:v>
      </x:c>
      <x:c r="AF1081" s="80" t="n">
        <x:f>D1081*W1081</x:f>
        <x:v>0.2977609668287938</x:v>
      </x:c>
      <x:c r="AG1081" s="80" t="n">
        <x:f>C1081*W1081</x:f>
        <x:v>0.6947755892672144</x:v>
      </x:c>
      <x:c r="AH1081" s="80" t="n">
        <x:f>2*'Inputs'!$B$8*'Inputs'!$C$46</x:f>
        <x:v>5000</x:v>
      </x:c>
      <x:c r="AI1081" s="81" t="n">
        <x:f>IF(AH1081&gt;0,(AE1081+AF1081)/AH1081*365,0)</x:f>
        <x:v>0.10259226395029215</x:v>
      </x:c>
      <x:c r="AJ1081" s="81" t="n">
        <x:f>IF('Inputs'!$B$46&gt;0,AG1081/('Inputs'!$B$19*'Inputs'!$B$46)*365,0)</x:f>
        <x:v>0.02535930900825332</x:v>
      </x:c>
      <x:c r="AK1081" s="81" t="n">
        <x:f>W1081/MAX($W$734:W1081)-1</x:f>
        <x:v>-0.9986237645455541</x:v>
      </x:c>
      <x:c r="AL1081" s="83" t="n">
        <x:f>'Inputs'!$B$46</x:f>
        <x:v>1</x:v>
      </x:c>
      <x:c r="AM1081" s="83" t="n">
        <x:f>'Inputs'!$C$46</x:f>
        <x:v>1</x:v>
      </x:c>
      <x:c r="AN1081" s="83" t="n">
        <x:f>'Inputs'!$D$46</x:f>
        <x:v>1</x:v>
      </x:c>
      <x:c r="AO1081" s="81" t="n">
        <x:f>'Inputs'!$E$46</x:f>
        <x:v>0</x:v>
      </x:c>
    </x:row>
    <x:row r="1082">
      <x:c r="A1082" s="59" t="str">
        <x:v>Base</x:v>
      </x:c>
      <x:c r="B1082" s="59" t="n">
        <x:v>349</x:v>
      </x:c>
      <x:c r="C1082" s="78" t="n">
        <x:f>(('Inputs'!$B$29*(3*349*'Inputs'!$B$12-349^2)/(2*'Inputs'!$B$12^2))-('Inputs'!$B$29*(3*348*'Inputs'!$B$12-348^2)/(2*'Inputs'!$B$12^2)))*'Inputs'!$B$46</x:f>
        <x:v>598686.198161006</x:v>
      </x:c>
      <x:c r="D1082" s="78" t="n">
        <x:f>IF('Inputs'!$C$46&gt;0,('Inputs'!$B$30*(3*349*'Inputs'!$B$12-349^2)/(2*'Inputs'!$B$12^2))-('Inputs'!$B$30*(3*348*'Inputs'!$B$12-348^2)/(2*'Inputs'!$B$12^2)),0)</x:f>
        <x:v>256579.7992118597</x:v>
      </x:c>
      <x:c r="E1082" s="78" t="n">
        <x:f>C1082+D1082</x:f>
        <x:v>855265.9973728657</x:v>
      </x:c>
      <x:c r="F1082" s="78" t="n">
        <x:f>'Inputs'!$B$13*E1082+(1-'Inputs'!$B$13)/'Inputs'!$B$14*SUM(E1027:E1082)</x:f>
        <x:v>865483.6742353166</x:v>
      </x:c>
      <x:c r="G1082" s="78" t="n">
        <x:f>F1082*'Inputs'!$F$46</x:f>
        <x:v>432741.8371176583</x:v>
      </x:c>
      <x:c r="H1082" s="78" t="n">
        <x:f>U1081</x:f>
        <x:v>158510006.29881752</x:v>
      </x:c>
      <x:c r="I1082" s="78" t="n">
        <x:f>V1081</x:f>
        <x:v>183.8510924863296</x:v>
      </x:c>
      <x:c r="J1082" s="79" t="n">
        <x:f>IF(H1082&gt;0,I1082/H1082,0)</x:f>
        <x:v>0.00000115987057712773</x:v>
      </x:c>
      <x:c r="K1082" s="80" t="n">
        <x:f>(H1082*J1082+I1082)*'Inputs'!$D$46*(1+'Inputs'!$G$46)^(B1082/30)</x:f>
        <x:v>367.7021849726592</x:v>
      </x:c>
      <x:c r="L1082" s="80" t="n">
        <x:f>MAX(0,K1082*'Inputs'!$E$46)</x:f>
        <x:v>0</x:v>
      </x:c>
      <x:c r="M1082" s="80" t="n">
        <x:f>MAX(0,-K1082*'Inputs'!$E$46)</x:f>
        <x:v>0</x:v>
      </x:c>
      <x:c r="N1082" s="78" t="n">
        <x:f>H1082*(L1082*(1-'Inputs'!$B$15))/(I1082+L1082*(1-'Inputs'!$B$15))</x:f>
        <x:v>0</x:v>
      </x:c>
      <x:c r="O1082" s="78" t="n">
        <x:f>H1082-N1082</x:f>
        <x:v>158510006.29881752</x:v>
      </x:c>
      <x:c r="P1082" s="78" t="n">
        <x:f>I1082+L1082*(1-'Inputs'!$B$17)</x:f>
        <x:v>183.8510924863296</x:v>
      </x:c>
      <x:c r="Q1082" s="78" t="n">
        <x:f>IF(J1082&gt;0,M1082/J1082,0)</x:f>
        <x:v>0</x:v>
      </x:c>
      <x:c r="R1082" s="78" t="n">
        <x:f>IF(B1082='Inputs'!$H$46,'Inputs'!$B$27*'Inputs'!$I$46,0)</x:f>
        <x:v>0</x:v>
      </x:c>
      <x:c r="S1082" s="78" t="n">
        <x:f>Q1082+G1082+R1082</x:f>
        <x:v>432741.8371176583</x:v>
      </x:c>
      <x:c r="T1082" s="78" t="n">
        <x:f>P1082*(S1082*(1-'Inputs'!$B$15))/(O1082+S1082*(1-'Inputs'!$B$15))</x:f>
        <x:v>0.49556588374186883</x:v>
      </x:c>
      <x:c r="U1082" s="78" t="n">
        <x:f>O1082+S1082*(1-'Inputs'!$B$17)</x:f>
        <x:v>158941006.72009164</x:v>
      </x:c>
      <x:c r="V1082" s="78" t="n">
        <x:f>P1082-T1082</x:f>
        <x:v>183.35552660258773</x:v>
      </x:c>
      <x:c r="W1082" s="79" t="n">
        <x:f>IF(U1082&gt;0,V1082/U1082,0)</x:f>
        <x:v>0.0000011536074320045807</x:v>
      </x:c>
      <x:c r="X1082" s="80" t="n">
        <x:f>W1082*('Inputs'!$B$6-AC1082)</x:f>
        <x:v>1024.2019464991156</x:v>
      </x:c>
      <x:c r="Y1082" s="80" t="n">
        <x:f>2*V1082</x:f>
        <x:v>366.71105320517546</x:v>
      </x:c>
      <x:c r="Z1082" s="80" t="n">
        <x:f>K1082*'Inputs'!$B$16+(G1082+R1082)*J1082*'Inputs'!$B$16</x:f>
        <x:v>2.2092246569821454</x:v>
      </x:c>
      <x:c r="AA1082" s="80" t="n">
        <x:f>K1082*(1+'Inputs'!$E$46)/2*'Inputs'!$B$17</x:f>
        <x:v>0.7398434305284894</x:v>
      </x:c>
      <x:c r="AB1082" s="78" t="n">
        <x:f>(IF(J1082&gt;0,K1082*(1-'Inputs'!$E$46)/2/J1082,0)+G1082+R1082)*'Inputs'!$B$17</x:f>
        <x:v>639608.644410202</x:v>
      </x:c>
      <x:c r="AC1082" s="78" t="n">
        <x:f>AC1081+AB1082</x:f>
        <x:v>112174628.8341798</x:v>
      </x:c>
      <x:c r="AD1082" s="80" t="n">
        <x:f>Z1082/(1+'Inputs'!$C$46)</x:f>
        <x:v>1.1046123284910727</x:v>
      </x:c>
      <x:c r="AE1082" s="80" t="n">
        <x:f>Z1082-AD1082</x:f>
        <x:v>1.1046123284910727</x:v>
      </x:c>
      <x:c r="AF1082" s="80" t="n">
        <x:f>D1082*W1082</x:f>
        <x:v>0.2959923632730444</x:v>
      </x:c>
      <x:c r="AG1082" s="80" t="n">
        <x:f>C1082*W1082</x:f>
        <x:v>0.6906488476371037</x:v>
      </x:c>
      <x:c r="AH1082" s="80" t="n">
        <x:f>2*'Inputs'!$B$8*'Inputs'!$C$46</x:f>
        <x:v>5000</x:v>
      </x:c>
      <x:c r="AI1082" s="81" t="n">
        <x:f>IF(AH1082&gt;0,(AE1082+AF1082)/AH1082*365,0)</x:f>
        <x:v>0.10224414249878054</x:v>
      </x:c>
      <x:c r="AJ1082" s="81" t="n">
        <x:f>IF('Inputs'!$B$46&gt;0,AG1082/('Inputs'!$B$19*'Inputs'!$B$46)*365,0)</x:f>
        <x:v>0.025208682938754282</x:v>
      </x:c>
      <x:c r="AK1082" s="81" t="n">
        <x:f>W1082/MAX($W$734:W1082)-1</x:f>
        <x:v>-0.9986311960319154</x:v>
      </x:c>
      <x:c r="AL1082" s="83" t="n">
        <x:f>'Inputs'!$B$46</x:f>
        <x:v>1</x:v>
      </x:c>
      <x:c r="AM1082" s="83" t="n">
        <x:f>'Inputs'!$C$46</x:f>
        <x:v>1</x:v>
      </x:c>
      <x:c r="AN1082" s="83" t="n">
        <x:f>'Inputs'!$D$46</x:f>
        <x:v>1</x:v>
      </x:c>
      <x:c r="AO1082" s="81" t="n">
        <x:f>'Inputs'!$E$46</x:f>
        <x:v>0</x:v>
      </x:c>
    </x:row>
    <x:row r="1083">
      <x:c r="A1083" s="59" t="str">
        <x:v>Base</x:v>
      </x:c>
      <x:c r="B1083" s="59" t="n">
        <x:v>350</x:v>
      </x:c>
      <x:c r="C1083" s="78" t="n">
        <x:f>(('Inputs'!$B$29*(3*350*'Inputs'!$B$12-350^2)/(2*'Inputs'!$B$12^2))-('Inputs'!$B$29*(3*349*'Inputs'!$B$12-349^2)/(2*'Inputs'!$B$12^2)))*'Inputs'!$B$46</x:f>
        <x:v>598361.0902608335</x:v>
      </x:c>
      <x:c r="D1083" s="78" t="n">
        <x:f>IF('Inputs'!$C$46&gt;0,('Inputs'!$B$30*(3*350*'Inputs'!$B$12-350^2)/(2*'Inputs'!$B$12^2))-('Inputs'!$B$30*(3*349*'Inputs'!$B$12-349^2)/(2*'Inputs'!$B$12^2)),0)</x:f>
        <x:v>256440.46725465357</x:v>
      </x:c>
      <x:c r="E1083" s="78" t="n">
        <x:f>C1083+D1083</x:f>
        <x:v>854801.5575154871</x:v>
      </x:c>
      <x:c r="F1083" s="78" t="n">
        <x:f>'Inputs'!$B$13*E1083+(1-'Inputs'!$B$13)/'Inputs'!$B$14*SUM(E1028:E1083)</x:f>
        <x:v>865019.2343779332</x:v>
      </x:c>
      <x:c r="G1083" s="78" t="n">
        <x:f>F1083*'Inputs'!$F$46</x:f>
        <x:v>432509.6171889666</x:v>
      </x:c>
      <x:c r="H1083" s="78" t="n">
        <x:f>U1082</x:f>
        <x:v>158941006.72009164</x:v>
      </x:c>
      <x:c r="I1083" s="78" t="n">
        <x:f>V1082</x:f>
        <x:v>183.35552660258773</x:v>
      </x:c>
      <x:c r="J1083" s="79" t="n">
        <x:f>IF(H1083&gt;0,I1083/H1083,0)</x:f>
        <x:v>0.0000011536074320045807</x:v>
      </x:c>
      <x:c r="K1083" s="80" t="n">
        <x:f>(H1083*J1083+I1083)*'Inputs'!$D$46*(1+'Inputs'!$G$46)^(B1083/30)</x:f>
        <x:v>366.71105320517546</x:v>
      </x:c>
      <x:c r="L1083" s="80" t="n">
        <x:f>MAX(0,K1083*'Inputs'!$E$46)</x:f>
        <x:v>0</x:v>
      </x:c>
      <x:c r="M1083" s="80" t="n">
        <x:f>MAX(0,-K1083*'Inputs'!$E$46)</x:f>
        <x:v>0</x:v>
      </x:c>
      <x:c r="N1083" s="78" t="n">
        <x:f>H1083*(L1083*(1-'Inputs'!$B$15))/(I1083+L1083*(1-'Inputs'!$B$15))</x:f>
        <x:v>0</x:v>
      </x:c>
      <x:c r="O1083" s="78" t="n">
        <x:f>H1083-N1083</x:f>
        <x:v>158941006.72009164</x:v>
      </x:c>
      <x:c r="P1083" s="78" t="n">
        <x:f>I1083+L1083*(1-'Inputs'!$B$17)</x:f>
        <x:v>183.35552660258773</x:v>
      </x:c>
      <x:c r="Q1083" s="78" t="n">
        <x:f>IF(J1083&gt;0,M1083/J1083,0)</x:f>
        <x:v>0</x:v>
      </x:c>
      <x:c r="R1083" s="78" t="n">
        <x:f>IF(B1083='Inputs'!$H$46,'Inputs'!$B$27*'Inputs'!$I$46,0)</x:f>
        <x:v>0</x:v>
      </x:c>
      <x:c r="S1083" s="78" t="n">
        <x:f>Q1083+G1083+R1083</x:f>
        <x:v>432509.6171889666</x:v>
      </x:c>
      <x:c r="T1083" s="78" t="n">
        <x:f>P1083*(S1083*(1-'Inputs'!$B$15))/(O1083+S1083*(1-'Inputs'!$B$15))</x:f>
        <x:v>0.4926297091850433</x:v>
      </x:c>
      <x:c r="U1083" s="78" t="n">
        <x:f>O1083+S1083*(1-'Inputs'!$B$17)</x:f>
        <x:v>159371775.8559237</x:v>
      </x:c>
      <x:c r="V1083" s="78" t="n">
        <x:f>P1083-T1083</x:f>
        <x:v>182.86289689340268</x:v>
      </x:c>
      <x:c r="W1083" s="79" t="n">
        <x:f>IF(U1083&gt;0,V1083/U1083,0)</x:f>
        <x:v>0.0000011473982511101311</x:v>
      </x:c>
      <x:c r="X1083" s="80" t="n">
        <x:f>W1083*('Inputs'!$B$6-AC1083)</x:f>
        <x:v>1017.9534033422427</x:v>
      </x:c>
      <x:c r="Y1083" s="80" t="n">
        <x:f>2*V1083</x:f>
        <x:v>365.72579378680535</x:v>
      </x:c>
      <x:c r="Z1083" s="80" t="n">
        <x:f>K1083*'Inputs'!$B$16+(G1083+R1083)*J1083*'Inputs'!$B$16</x:f>
        <x:v>2.2032599970838684</x:v>
      </x:c>
      <x:c r="AA1083" s="80" t="n">
        <x:f>K1083*(1+'Inputs'!$E$46)/2*'Inputs'!$B$17</x:f>
        <x:v>0.7378492016200714</x:v>
      </x:c>
      <x:c r="AB1083" s="78" t="n">
        <x:f>(IF(J1083&gt;0,K1083*(1-'Inputs'!$E$46)/2/J1083,0)+G1083+R1083)*'Inputs'!$B$17</x:f>
        <x:v>641342.1180574673</x:v>
      </x:c>
      <x:c r="AC1083" s="78" t="n">
        <x:f>AC1082+AB1083</x:f>
        <x:v>112815970.95223728</x:v>
      </x:c>
      <x:c r="AD1083" s="80" t="n">
        <x:f>Z1083/(1+'Inputs'!$C$46)</x:f>
        <x:v>1.1016299985419342</x:v>
      </x:c>
      <x:c r="AE1083" s="80" t="n">
        <x:f>Z1083-AD1083</x:f>
        <x:v>1.1016299985419342</x:v>
      </x:c>
      <x:c r="AF1083" s="80" t="n">
        <x:f>D1083*W1083</x:f>
        <x:v>0.2942393436418544</x:v>
      </x:c>
      <x:c r="AG1083" s="80" t="n">
        <x:f>C1083*W1083</x:f>
        <x:v>0.6865584684976317</x:v>
      </x:c>
      <x:c r="AH1083" s="80" t="n">
        <x:f>2*'Inputs'!$B$8*'Inputs'!$C$46</x:f>
        <x:v>5000</x:v>
      </x:c>
      <x:c r="AI1083" s="81" t="n">
        <x:f>IF(AH1083&gt;0,(AE1083+AF1083)/AH1083*365,0)</x:f>
        <x:v>0.10189846197941657</x:v>
      </x:c>
      <x:c r="AJ1083" s="81" t="n">
        <x:f>IF('Inputs'!$B$46&gt;0,AG1083/('Inputs'!$B$19*'Inputs'!$B$46)*365,0)</x:f>
        <x:v>0.025059384100163555</x:v>
      </x:c>
      <x:c r="AK1083" s="81" t="n">
        <x:f>W1083/MAX($W$734:W1083)-1</x:f>
        <x:v>-0.9986385634874388</x:v>
      </x:c>
      <x:c r="AL1083" s="83" t="n">
        <x:f>'Inputs'!$B$46</x:f>
        <x:v>1</x:v>
      </x:c>
      <x:c r="AM1083" s="83" t="n">
        <x:f>'Inputs'!$C$46</x:f>
        <x:v>1</x:v>
      </x:c>
      <x:c r="AN1083" s="83" t="n">
        <x:f>'Inputs'!$D$46</x:f>
        <x:v>1</x:v>
      </x:c>
      <x:c r="AO1083" s="81" t="n">
        <x:f>'Inputs'!$E$46</x:f>
        <x:v>0</x:v>
      </x:c>
    </x:row>
    <x:row r="1084">
      <x:c r="A1084" s="59" t="str">
        <x:v>Base</x:v>
      </x:c>
      <x:c r="B1084" s="59" t="n">
        <x:v>351</x:v>
      </x:c>
      <x:c r="C1084" s="78" t="n">
        <x:f>(('Inputs'!$B$29*(3*351*'Inputs'!$B$12-351^2)/(2*'Inputs'!$B$12^2))-('Inputs'!$B$29*(3*350*'Inputs'!$B$12-350^2)/(2*'Inputs'!$B$12^2)))*'Inputs'!$B$46</x:f>
        <x:v>598035.982360661</x:v>
      </x:c>
      <x:c r="D1084" s="78" t="n">
        <x:f>IF('Inputs'!$C$46&gt;0,('Inputs'!$B$30*(3*351*'Inputs'!$B$12-351^2)/(2*'Inputs'!$B$12^2))-('Inputs'!$B$30*(3*350*'Inputs'!$B$12-350^2)/(2*'Inputs'!$B$12^2)),0)</x:f>
        <x:v>256301.13529741764</x:v>
      </x:c>
      <x:c r="E1084" s="78" t="n">
        <x:f>C1084+D1084</x:f>
        <x:v>854337.1176580787</x:v>
      </x:c>
      <x:c r="F1084" s="78" t="n">
        <x:f>'Inputs'!$B$13*E1084+(1-'Inputs'!$B$13)/'Inputs'!$B$14*SUM(E1029:E1084)</x:f>
        <x:v>864554.7945205442</x:v>
      </x:c>
      <x:c r="G1084" s="78" t="n">
        <x:f>F1084*'Inputs'!$F$46</x:f>
        <x:v>432277.3972602721</x:v>
      </x:c>
      <x:c r="H1084" s="78" t="n">
        <x:f>U1083</x:f>
        <x:v>159371775.8559237</x:v>
      </x:c>
      <x:c r="I1084" s="78" t="n">
        <x:f>V1083</x:f>
        <x:v>182.86289689340268</x:v>
      </x:c>
      <x:c r="J1084" s="79" t="n">
        <x:f>IF(H1084&gt;0,I1084/H1084,0)</x:f>
        <x:v>0.0000011473982511101311</x:v>
      </x:c>
      <x:c r="K1084" s="80" t="n">
        <x:f>(H1084*J1084+I1084)*'Inputs'!$D$46*(1+'Inputs'!$G$46)^(B1084/30)</x:f>
        <x:v>365.72579378680535</x:v>
      </x:c>
      <x:c r="L1084" s="80" t="n">
        <x:f>MAX(0,K1084*'Inputs'!$E$46)</x:f>
        <x:v>0</x:v>
      </x:c>
      <x:c r="M1084" s="80" t="n">
        <x:f>MAX(0,-K1084*'Inputs'!$E$46)</x:f>
        <x:v>0</x:v>
      </x:c>
      <x:c r="N1084" s="78" t="n">
        <x:f>H1084*(L1084*(1-'Inputs'!$B$15))/(I1084+L1084*(1-'Inputs'!$B$15))</x:f>
        <x:v>0</x:v>
      </x:c>
      <x:c r="O1084" s="78" t="n">
        <x:f>H1084-N1084</x:f>
        <x:v>159371775.8559237</x:v>
      </x:c>
      <x:c r="P1084" s="78" t="n">
        <x:f>I1084+L1084*(1-'Inputs'!$B$17)</x:f>
        <x:v>182.86289689340268</x:v>
      </x:c>
      <x:c r="Q1084" s="78" t="n">
        <x:f>IF(J1084&gt;0,M1084/J1084,0)</x:f>
        <x:v>0</x:v>
      </x:c>
      <x:c r="R1084" s="78" t="n">
        <x:f>IF(B1084='Inputs'!$H$46,'Inputs'!$B$27*'Inputs'!$I$46,0)</x:f>
        <x:v>0</x:v>
      </x:c>
      <x:c r="S1084" s="78" t="n">
        <x:f>Q1084+G1084+R1084</x:f>
        <x:v>432277.3972602721</x:v>
      </x:c>
      <x:c r="T1084" s="78" t="n">
        <x:f>P1084*(S1084*(1-'Inputs'!$B$15))/(O1084+S1084*(1-'Inputs'!$B$15))</x:f>
        <x:v>0.48971936259610055</x:v>
      </x:c>
      <x:c r="U1084" s="78" t="n">
        <x:f>O1084+S1084*(1-'Inputs'!$B$17)</x:f>
        <x:v>159802313.70631373</x:v>
      </x:c>
      <x:c r="V1084" s="78" t="n">
        <x:f>P1084-T1084</x:f>
        <x:v>182.37317753080657</x:v>
      </x:c>
      <x:c r="W1084" s="79" t="n">
        <x:f>IF(U1084&gt;0,V1084/U1084,0)</x:f>
        <x:v>0.0000011412424094558092</x:v>
      </x:c>
      <x:c r="X1084" s="80" t="n">
        <x:f>W1084*('Inputs'!$B$6-AC1084)</x:f>
        <x:v>1011.7581348656261</x:v>
      </x:c>
      <x:c r="Y1084" s="80" t="n">
        <x:f>2*V1084</x:f>
        <x:v>364.74635506161314</x:v>
      </x:c>
      <x:c r="Z1084" s="80" t="n">
        <x:f>K1084*'Inputs'!$B$16+(G1084+R1084)*J1084*'Inputs'!$B$16</x:f>
        <x:v>2.197330728698497</x:v>
      </x:c>
      <x:c r="AA1084" s="80" t="n">
        <x:f>K1084*(1+'Inputs'!$E$46)/2*'Inputs'!$B$17</x:f>
        <x:v>0.7358667883034313</x:v>
      </x:c>
      <x:c r="AB1084" s="78" t="n">
        <x:f>(IF(J1084&gt;0,K1084*(1-'Inputs'!$E$46)/2/J1084,0)+G1084+R1084)*'Inputs'!$B$17</x:f>
        <x:v>643074.6609786077</x:v>
      </x:c>
      <x:c r="AC1084" s="78" t="n">
        <x:f>AC1083+AB1084</x:f>
        <x:v>113459045.61321588</x:v>
      </x:c>
      <x:c r="AD1084" s="80" t="n">
        <x:f>Z1084/(1+'Inputs'!$C$46)</x:f>
        <x:v>1.0986653643492486</x:v>
      </x:c>
      <x:c r="AE1084" s="80" t="n">
        <x:f>Z1084-AD1084</x:f>
        <x:v>1.0986653643492486</x:v>
      </x:c>
      <x:c r="AF1084" s="80" t="n">
        <x:f>D1084*W1084</x:f>
        <x:v>0.29250172519308426</x:v>
      </x:c>
      <x:c r="AG1084" s="80" t="n">
        <x:f>C1084*W1084</x:f>
        <x:v>0.6825040254505526</x:v>
      </x:c>
      <x:c r="AH1084" s="80" t="n">
        <x:f>2*'Inputs'!$B$8*'Inputs'!$C$46</x:f>
        <x:v>5000</x:v>
      </x:c>
      <x:c r="AI1084" s="81" t="n">
        <x:f>IF(AH1084&gt;0,(AE1084+AF1084)/AH1084*365,0)</x:f>
        <x:v>0.1015551975365903</x:v>
      </x:c>
      <x:c r="AJ1084" s="81" t="n">
        <x:f>IF('Inputs'!$B$46&gt;0,AG1084/('Inputs'!$B$19*'Inputs'!$B$46)*365,0)</x:f>
        <x:v>0.024911396928945166</x:v>
      </x:c>
      <x:c r="AK1084" s="81" t="n">
        <x:f>W1084/MAX($W$734:W1084)-1</x:f>
        <x:v>-0.9986458676536999</x:v>
      </x:c>
      <x:c r="AL1084" s="83" t="n">
        <x:f>'Inputs'!$B$46</x:f>
        <x:v>1</x:v>
      </x:c>
      <x:c r="AM1084" s="83" t="n">
        <x:f>'Inputs'!$C$46</x:f>
        <x:v>1</x:v>
      </x:c>
      <x:c r="AN1084" s="83" t="n">
        <x:f>'Inputs'!$D$46</x:f>
        <x:v>1</x:v>
      </x:c>
      <x:c r="AO1084" s="81" t="n">
        <x:f>'Inputs'!$E$46</x:f>
        <x:v>0</x:v>
      </x:c>
    </x:row>
    <x:row r="1085">
      <x:c r="A1085" s="59" t="str">
        <x:v>Base</x:v>
      </x:c>
      <x:c r="B1085" s="59" t="n">
        <x:v>352</x:v>
      </x:c>
      <x:c r="C1085" s="78" t="n">
        <x:f>(('Inputs'!$B$29*(3*352*'Inputs'!$B$12-352^2)/(2*'Inputs'!$B$12^2))-('Inputs'!$B$29*(3*351*'Inputs'!$B$12-351^2)/(2*'Inputs'!$B$12^2)))*'Inputs'!$B$46</x:f>
        <x:v>597710.8744604886</x:v>
      </x:c>
      <x:c r="D1085" s="78" t="n">
        <x:f>IF('Inputs'!$C$46&gt;0,('Inputs'!$B$30*(3*352*'Inputs'!$B$12-352^2)/(2*'Inputs'!$B$12^2))-('Inputs'!$B$30*(3*351*'Inputs'!$B$12-351^2)/(2*'Inputs'!$B$12^2)),0)</x:f>
        <x:v>256161.8033402264</x:v>
      </x:c>
      <x:c r="E1085" s="78" t="n">
        <x:f>C1085+D1085</x:f>
        <x:v>853872.677800715</x:v>
      </x:c>
      <x:c r="F1085" s="78" t="n">
        <x:f>'Inputs'!$B$13*E1085+(1-'Inputs'!$B$13)/'Inputs'!$B$14*SUM(E1030:E1085)</x:f>
        <x:v>864090.3546631641</x:v>
      </x:c>
      <x:c r="G1085" s="78" t="n">
        <x:f>F1085*'Inputs'!$F$46</x:f>
        <x:v>432045.17733158206</x:v>
      </x:c>
      <x:c r="H1085" s="78" t="n">
        <x:f>U1084</x:f>
        <x:v>159802313.70631373</x:v>
      </x:c>
      <x:c r="I1085" s="78" t="n">
        <x:f>V1084</x:f>
        <x:v>182.37317753080657</x:v>
      </x:c>
      <x:c r="J1085" s="79" t="n">
        <x:f>IF(H1085&gt;0,I1085/H1085,0)</x:f>
        <x:v>0.0000011412424094558092</x:v>
      </x:c>
      <x:c r="K1085" s="80" t="n">
        <x:f>(H1085*J1085+I1085)*'Inputs'!$D$46*(1+'Inputs'!$G$46)^(B1085/30)</x:f>
        <x:v>364.74635506161314</x:v>
      </x:c>
      <x:c r="L1085" s="80" t="n">
        <x:f>MAX(0,K1085*'Inputs'!$E$46)</x:f>
        <x:v>0</x:v>
      </x:c>
      <x:c r="M1085" s="80" t="n">
        <x:f>MAX(0,-K1085*'Inputs'!$E$46)</x:f>
        <x:v>0</x:v>
      </x:c>
      <x:c r="N1085" s="78" t="n">
        <x:f>H1085*(L1085*(1-'Inputs'!$B$15))/(I1085+L1085*(1-'Inputs'!$B$15))</x:f>
        <x:v>0</x:v>
      </x:c>
      <x:c r="O1085" s="78" t="n">
        <x:f>H1085-N1085</x:f>
        <x:v>159802313.70631373</x:v>
      </x:c>
      <x:c r="P1085" s="78" t="n">
        <x:f>I1085+L1085*(1-'Inputs'!$B$17)</x:f>
        <x:v>182.37317753080657</x:v>
      </x:c>
      <x:c r="Q1085" s="78" t="n">
        <x:f>IF(J1085&gt;0,M1085/J1085,0)</x:f>
        <x:v>0</x:v>
      </x:c>
      <x:c r="R1085" s="78" t="n">
        <x:f>IF(B1085='Inputs'!$H$46,'Inputs'!$B$27*'Inputs'!$I$46,0)</x:f>
        <x:v>0</x:v>
      </x:c>
      <x:c r="S1085" s="78" t="n">
        <x:f>Q1085+G1085+R1085</x:f>
        <x:v>432045.17733158206</x:v>
      </x:c>
      <x:c r="T1085" s="78" t="n">
        <x:f>P1085*(S1085*(1-'Inputs'!$B$15))/(O1085+S1085*(1-'Inputs'!$B$15))</x:f>
        <x:v>0.4868345415876578</x:v>
      </x:c>
      <x:c r="U1085" s="78" t="n">
        <x:f>O1085+S1085*(1-'Inputs'!$B$17)</x:f>
        <x:v>160232620.2712617</x:v>
      </x:c>
      <x:c r="V1085" s="78" t="n">
        <x:f>P1085-T1085</x:f>
        <x:v>181.88634298921892</x:v>
      </x:c>
      <x:c r="W1085" s="79" t="n">
        <x:f>IF(U1085&gt;0,V1085/U1085,0)</x:f>
        <x:v>0.0000011351392911212405</x:v>
      </x:c>
      <x:c r="X1085" s="80" t="n">
        <x:f>W1085*('Inputs'!$B$6-AC1085)</x:f>
        <x:v>1005.6155255767213</x:v>
      </x:c>
      <x:c r="Y1085" s="80" t="n">
        <x:f>2*V1085</x:f>
        <x:v>363.77268597843783</x:v>
      </x:c>
      <x:c r="Z1085" s="80" t="n">
        <x:f>K1085*'Inputs'!$B$16+(G1085+R1085)*J1085*'Inputs'!$B$16</x:f>
        <x:v>2.191436540044709</x:v>
      </x:c>
      <x:c r="AA1085" s="80" t="n">
        <x:f>K1085*(1+'Inputs'!$E$46)/2*'Inputs'!$B$17</x:f>
        <x:v>0.7338960866430848</x:v>
      </x:c>
      <x:c r="AB1085" s="78" t="n">
        <x:f>(IF(J1085&gt;0,K1085*(1-'Inputs'!$E$46)/2/J1085,0)+G1085+R1085)*'Inputs'!$B$17</x:f>
        <x:v>644806.2731736231</x:v>
      </x:c>
      <x:c r="AC1085" s="78" t="n">
        <x:f>AC1084+AB1085</x:f>
        <x:v>114103851.88638951</x:v>
      </x:c>
      <x:c r="AD1085" s="80" t="n">
        <x:f>Z1085/(1+'Inputs'!$C$46)</x:f>
        <x:v>1.0957182700223544</x:v>
      </x:c>
      <x:c r="AE1085" s="80" t="n">
        <x:f>Z1085-AD1085</x:f>
        <x:v>1.0957182700223544</x:v>
      </x:c>
      <x:c r="AF1085" s="80" t="n">
        <x:f>D1085*W1085</x:f>
        <x:v>0.2907793278559632</x:v>
      </x:c>
      <x:c r="AG1085" s="80" t="n">
        <x:f>C1085*W1085</x:f>
        <x:v>0.6784850983305358</x:v>
      </x:c>
      <x:c r="AH1085" s="80" t="n">
        <x:f>2*'Inputs'!$B$8*'Inputs'!$C$46</x:f>
        <x:v>5000</x:v>
      </x:c>
      <x:c r="AI1085" s="81" t="n">
        <x:f>IF(AH1085&gt;0,(AE1085+AF1085)/AH1085*365,0)</x:f>
        <x:v>0.10121432464511719</x:v>
      </x:c>
      <x:c r="AJ1085" s="81" t="n">
        <x:f>IF('Inputs'!$B$46&gt;0,AG1085/('Inputs'!$B$19*'Inputs'!$B$46)*365,0)</x:f>
        <x:v>0.02476470608906456</x:v>
      </x:c>
      <x:c r="AK1085" s="81" t="n">
        <x:f>W1085/MAX($W$734:W1085)-1</x:f>
        <x:v>-0.9986531092615141</x:v>
      </x:c>
      <x:c r="AL1085" s="83" t="n">
        <x:f>'Inputs'!$B$46</x:f>
        <x:v>1</x:v>
      </x:c>
      <x:c r="AM1085" s="83" t="n">
        <x:f>'Inputs'!$C$46</x:f>
        <x:v>1</x:v>
      </x:c>
      <x:c r="AN1085" s="83" t="n">
        <x:f>'Inputs'!$D$46</x:f>
        <x:v>1</x:v>
      </x:c>
      <x:c r="AO1085" s="81" t="n">
        <x:f>'Inputs'!$E$46</x:f>
        <x:v>0</x:v>
      </x:c>
    </x:row>
    <x:row r="1086">
      <x:c r="A1086" s="59" t="str">
        <x:v>Base</x:v>
      </x:c>
      <x:c r="B1086" s="59" t="n">
        <x:v>353</x:v>
      </x:c>
      <x:c r="C1086" s="78" t="n">
        <x:f>(('Inputs'!$B$29*(3*353*'Inputs'!$B$12-353^2)/(2*'Inputs'!$B$12^2))-('Inputs'!$B$29*(3*352*'Inputs'!$B$12-352^2)/(2*'Inputs'!$B$12^2)))*'Inputs'!$B$46</x:f>
        <x:v>597385.7665603459</x:v>
      </x:c>
      <x:c r="D1086" s="78" t="n">
        <x:f>IF('Inputs'!$C$46&gt;0,('Inputs'!$B$30*(3*353*'Inputs'!$B$12-353^2)/(2*'Inputs'!$B$12^2))-('Inputs'!$B$30*(3*352*'Inputs'!$B$12-352^2)/(2*'Inputs'!$B$12^2)),0)</x:f>
        <x:v>256022.47138299048</x:v>
      </x:c>
      <x:c r="E1086" s="78" t="n">
        <x:f>C1086+D1086</x:f>
        <x:v>853408.2379433364</x:v>
      </x:c>
      <x:c r="F1086" s="78" t="n">
        <x:f>'Inputs'!$B$13*E1086+(1-'Inputs'!$B$13)/'Inputs'!$B$14*SUM(E1031:E1086)</x:f>
        <x:v>863625.9148057816</x:v>
      </x:c>
      <x:c r="G1086" s="78" t="n">
        <x:f>F1086*'Inputs'!$F$46</x:f>
        <x:v>431812.9574028908</x:v>
      </x:c>
      <x:c r="H1086" s="78" t="n">
        <x:f>U1085</x:f>
        <x:v>160232620.2712617</x:v>
      </x:c>
      <x:c r="I1086" s="78" t="n">
        <x:f>V1085</x:f>
        <x:v>181.88634298921892</x:v>
      </x:c>
      <x:c r="J1086" s="79" t="n">
        <x:f>IF(H1086&gt;0,I1086/H1086,0)</x:f>
        <x:v>0.0000011351392911212405</x:v>
      </x:c>
      <x:c r="K1086" s="80" t="n">
        <x:f>(H1086*J1086+I1086)*'Inputs'!$D$46*(1+'Inputs'!$G$46)^(B1086/30)</x:f>
        <x:v>363.77268597843783</x:v>
      </x:c>
      <x:c r="L1086" s="80" t="n">
        <x:f>MAX(0,K1086*'Inputs'!$E$46)</x:f>
        <x:v>0</x:v>
      </x:c>
      <x:c r="M1086" s="80" t="n">
        <x:f>MAX(0,-K1086*'Inputs'!$E$46)</x:f>
        <x:v>0</x:v>
      </x:c>
      <x:c r="N1086" s="78" t="n">
        <x:f>H1086*(L1086*(1-'Inputs'!$B$15))/(I1086+L1086*(1-'Inputs'!$B$15))</x:f>
        <x:v>0</x:v>
      </x:c>
      <x:c r="O1086" s="78" t="n">
        <x:f>H1086-N1086</x:f>
        <x:v>160232620.2712617</x:v>
      </x:c>
      <x:c r="P1086" s="78" t="n">
        <x:f>I1086+L1086*(1-'Inputs'!$B$17)</x:f>
        <x:v>181.88634298921892</x:v>
      </x:c>
      <x:c r="Q1086" s="78" t="n">
        <x:f>IF(J1086&gt;0,M1086/J1086,0)</x:f>
        <x:v>0</x:v>
      </x:c>
      <x:c r="R1086" s="78" t="n">
        <x:f>IF(B1086='Inputs'!$H$46,'Inputs'!$B$27*'Inputs'!$I$46,0)</x:f>
        <x:v>0</x:v>
      </x:c>
      <x:c r="S1086" s="78" t="n">
        <x:f>Q1086+G1086+R1086</x:f>
        <x:v>431812.9574028908</x:v>
      </x:c>
      <x:c r="T1086" s="78" t="n">
        <x:f>P1086*(S1086*(1-'Inputs'!$B$15))/(O1086+S1086*(1-'Inputs'!$B$15))</x:f>
        <x:v>0.48397494818574055</x:v>
      </x:c>
      <x:c r="U1086" s="78" t="n">
        <x:f>O1086+S1086*(1-'Inputs'!$B$17)</x:f>
        <x:v>160662695.5507676</x:v>
      </x:c>
      <x:c r="V1086" s="78" t="n">
        <x:f>P1086-T1086</x:f>
        <x:v>181.40236804103318</x:v>
      </x:c>
      <x:c r="W1086" s="79" t="n">
        <x:f>IF(U1086&gt;0,V1086/U1086,0)</x:f>
        <x:v>0.0000011290882890964075</x:v>
      </x:c>
      <x:c r="X1086" s="80" t="n">
        <x:f>W1086*('Inputs'!$B$6-AC1086)</x:f>
        <x:v>999.5249688867391</x:v>
      </x:c>
      <x:c r="Y1086" s="80" t="n">
        <x:f>2*V1086</x:f>
        <x:v>362.80473608206637</x:v>
      </x:c>
      <x:c r="Z1086" s="80" t="n">
        <x:f>K1086*'Inputs'!$B$16+(G1086+R1086)*J1086*'Inputs'!$B$16</x:f>
        <x:v>2.1855771229968064</x:v>
      </x:c>
      <x:c r="AA1086" s="80" t="n">
        <x:f>K1086*(1+'Inputs'!$E$46)/2*'Inputs'!$B$17</x:f>
        <x:v>0.7319369939203981</x:v>
      </x:c>
      <x:c r="AB1086" s="78" t="n">
        <x:f>(IF(J1086&gt;0,K1086*(1-'Inputs'!$E$46)/2/J1086,0)+G1086+R1086)*'Inputs'!$B$17</x:f>
        <x:v>646536.9546425134</x:v>
      </x:c>
      <x:c r="AC1086" s="78" t="n">
        <x:f>AC1085+AB1086</x:f>
        <x:v>114750388.84103203</x:v>
      </x:c>
      <x:c r="AD1086" s="80" t="n">
        <x:f>Z1086/(1+'Inputs'!$C$46)</x:f>
        <x:v>1.0927885614984032</x:v>
      </x:c>
      <x:c r="AE1086" s="80" t="n">
        <x:f>Z1086-AD1086</x:f>
        <x:v>1.0927885614984032</x:v>
      </x:c>
      <x:c r="AF1086" s="80" t="n">
        <x:f>D1086*W1086</x:f>
        <x:v>0.28907197418405467</x:v>
      </x:c>
      <x:c r="AG1086" s="80" t="n">
        <x:f>C1086*W1086</x:f>
        <x:v>0.6745012730961668</x:v>
      </x:c>
      <x:c r="AH1086" s="80" t="n">
        <x:f>2*'Inputs'!$B$8*'Inputs'!$C$46</x:f>
        <x:v>5000</x:v>
      </x:c>
      <x:c r="AI1086" s="81" t="n">
        <x:f>IF(AH1086&gt;0,(AE1086+AF1086)/AH1086*365,0)</x:f>
        <x:v>0.10087581910481942</x:v>
      </x:c>
      <x:c r="AJ1086" s="81" t="n">
        <x:f>IF('Inputs'!$B$46&gt;0,AG1086/('Inputs'!$B$19*'Inputs'!$B$46)*365,0)</x:f>
        <x:v>0.024619296468010088</x:v>
      </x:c>
      <x:c r="AK1086" s="81" t="n">
        <x:f>W1086/MAX($W$734:W1086)-1</x:f>
        <x:v>-0.9986602890311244</x:v>
      </x:c>
      <x:c r="AL1086" s="83" t="n">
        <x:f>'Inputs'!$B$46</x:f>
        <x:v>1</x:v>
      </x:c>
      <x:c r="AM1086" s="83" t="n">
        <x:f>'Inputs'!$C$46</x:f>
        <x:v>1</x:v>
      </x:c>
      <x:c r="AN1086" s="83" t="n">
        <x:f>'Inputs'!$D$46</x:f>
        <x:v>1</x:v>
      </x:c>
      <x:c r="AO1086" s="81" t="n">
        <x:f>'Inputs'!$E$46</x:f>
        <x:v>0</x:v>
      </x:c>
    </x:row>
    <x:row r="1087">
      <x:c r="A1087" s="59" t="str">
        <x:v>Base</x:v>
      </x:c>
      <x:c r="B1087" s="59" t="n">
        <x:v>354</x:v>
      </x:c>
      <x:c r="C1087" s="78" t="n">
        <x:f>(('Inputs'!$B$29*(3*354*'Inputs'!$B$12-354^2)/(2*'Inputs'!$B$12^2))-('Inputs'!$B$29*(3*353*'Inputs'!$B$12-353^2)/(2*'Inputs'!$B$12^2)))*'Inputs'!$B$46</x:f>
        <x:v>597060.6586601734</x:v>
      </x:c>
      <x:c r="D1087" s="78" t="n">
        <x:f>IF('Inputs'!$C$46&gt;0,('Inputs'!$B$30*(3*354*'Inputs'!$B$12-354^2)/(2*'Inputs'!$B$12^2))-('Inputs'!$B$30*(3*353*'Inputs'!$B$12-353^2)/(2*'Inputs'!$B$12^2)),0)</x:f>
        <x:v>255883.13942578435</x:v>
      </x:c>
      <x:c r="E1087" s="78" t="n">
        <x:f>C1087+D1087</x:f>
        <x:v>852943.7980859578</x:v>
      </x:c>
      <x:c r="F1087" s="78" t="n">
        <x:f>'Inputs'!$B$13*E1087+(1-'Inputs'!$B$13)/'Inputs'!$B$14*SUM(E1032:E1087)</x:f>
        <x:v>863161.4749483985</x:v>
      </x:c>
      <x:c r="G1087" s="78" t="n">
        <x:f>F1087*'Inputs'!$F$46</x:f>
        <x:v>431580.73747419927</x:v>
      </x:c>
      <x:c r="H1087" s="78" t="n">
        <x:f>U1086</x:f>
        <x:v>160662695.5507676</x:v>
      </x:c>
      <x:c r="I1087" s="78" t="n">
        <x:f>V1086</x:f>
        <x:v>181.40236804103318</x:v>
      </x:c>
      <x:c r="J1087" s="79" t="n">
        <x:f>IF(H1087&gt;0,I1087/H1087,0)</x:f>
        <x:v>0.0000011290882890964075</x:v>
      </x:c>
      <x:c r="K1087" s="80" t="n">
        <x:f>(H1087*J1087+I1087)*'Inputs'!$D$46*(1+'Inputs'!$G$46)^(B1087/30)</x:f>
        <x:v>362.80473608206637</x:v>
      </x:c>
      <x:c r="L1087" s="80" t="n">
        <x:f>MAX(0,K1087*'Inputs'!$E$46)</x:f>
        <x:v>0</x:v>
      </x:c>
      <x:c r="M1087" s="80" t="n">
        <x:f>MAX(0,-K1087*'Inputs'!$E$46)</x:f>
        <x:v>0</x:v>
      </x:c>
      <x:c r="N1087" s="78" t="n">
        <x:f>H1087*(L1087*(1-'Inputs'!$B$15))/(I1087+L1087*(1-'Inputs'!$B$15))</x:f>
        <x:v>0</x:v>
      </x:c>
      <x:c r="O1087" s="78" t="n">
        <x:f>H1087-N1087</x:f>
        <x:v>160662695.5507676</x:v>
      </x:c>
      <x:c r="P1087" s="78" t="n">
        <x:f>I1087+L1087*(1-'Inputs'!$B$17)</x:f>
        <x:v>181.40236804103318</x:v>
      </x:c>
      <x:c r="Q1087" s="78" t="n">
        <x:f>IF(J1087&gt;0,M1087/J1087,0)</x:f>
        <x:v>0</x:v>
      </x:c>
      <x:c r="R1087" s="78" t="n">
        <x:f>IF(B1087='Inputs'!$H$46,'Inputs'!$B$27*'Inputs'!$I$46,0)</x:f>
        <x:v>0</x:v>
      </x:c>
      <x:c r="S1087" s="78" t="n">
        <x:f>Q1087+G1087+R1087</x:f>
        <x:v>431580.73747419927</x:v>
      </x:c>
      <x:c r="T1087" s="78" t="n">
        <x:f>P1087*(S1087*(1-'Inputs'!$B$15))/(O1087+S1087*(1-'Inputs'!$B$15))</x:f>
        <x:v>0.4811402887527165</x:v>
      </x:c>
      <x:c r="U1087" s="78" t="n">
        <x:f>O1087+S1087*(1-'Inputs'!$B$17)</x:f>
        <x:v>161092539.54483145</x:v>
      </x:c>
      <x:c r="V1087" s="78" t="n">
        <x:f>P1087-T1087</x:f>
        <x:v>180.92122775228046</x:v>
      </x:c>
      <x:c r="W1087" s="79" t="n">
        <x:f>IF(U1087&gt;0,V1087/U1087,0)</x:f>
        <x:v>0.0000011230888051270105</x:v>
      </x:c>
      <x:c r="X1087" s="80" t="n">
        <x:f>W1087*('Inputs'!$B$6-AC1087)</x:f>
        <x:v>993.4858669561212</x:v>
      </x:c>
      <x:c r="Y1087" s="80" t="n">
        <x:f>2*V1087</x:f>
        <x:v>361.8424555045609</x:v>
      </x:c>
      <x:c r="Z1087" s="80" t="n">
        <x:f>K1087*'Inputs'!$B$16+(G1087+R1087)*J1087*'Inputs'!$B$16</x:f>
        <x:v>2.1797521730312885</x:v>
      </x:c>
      <x:c r="AA1087" s="80" t="n">
        <x:f>K1087*(1+'Inputs'!$E$46)/2*'Inputs'!$B$17</x:f>
        <x:v>0.7299894086158277</x:v>
      </x:c>
      <x:c r="AB1087" s="78" t="n">
        <x:f>(IF(J1087&gt;0,K1087*(1-'Inputs'!$E$46)/2/J1087,0)+G1087+R1087)*'Inputs'!$B$17</x:f>
        <x:v>648266.7053852789</x:v>
      </x:c>
      <x:c r="AC1087" s="78" t="n">
        <x:f>AC1086+AB1087</x:f>
        <x:v>115398655.54641731</x:v>
      </x:c>
      <x:c r="AD1087" s="80" t="n">
        <x:f>Z1087/(1+'Inputs'!$C$46)</x:f>
        <x:v>1.0898760865156443</x:v>
      </x:c>
      <x:c r="AE1087" s="80" t="n">
        <x:f>Z1087-AD1087</x:f>
        <x:v>1.0898760865156443</x:v>
      </x:c>
      <x:c r="AF1087" s="80" t="n">
        <x:f>D1087*W1087</x:f>
        <x:v>0.28737948930985235</x:v>
      </x:c>
      <x:c r="AG1087" s="80" t="n">
        <x:f>C1087*W1087</x:f>
        <x:v>0.670552141723</x:v>
      </x:c>
      <x:c r="AH1087" s="80" t="n">
        <x:f>2*'Inputs'!$B$8*'Inputs'!$C$46</x:f>
        <x:v>5000</x:v>
      </x:c>
      <x:c r="AI1087" s="81" t="n">
        <x:f>IF(AH1087&gt;0,(AE1087+AF1087)/AH1087*365,0)</x:f>
        <x:v>0.10053965703526126</x:v>
      </x:c>
      <x:c r="AJ1087" s="81" t="n">
        <x:f>IF('Inputs'!$B$46&gt;0,AG1087/('Inputs'!$B$19*'Inputs'!$B$46)*365,0)</x:f>
        <x:v>0.0244751531728895</x:v>
      </x:c>
      <x:c r="AK1087" s="81" t="n">
        <x:f>W1087/MAX($W$734:W1087)-1</x:f>
        <x:v>-0.9986674076723847</x:v>
      </x:c>
      <x:c r="AL1087" s="83" t="n">
        <x:f>'Inputs'!$B$46</x:f>
        <x:v>1</x:v>
      </x:c>
      <x:c r="AM1087" s="83" t="n">
        <x:f>'Inputs'!$C$46</x:f>
        <x:v>1</x:v>
      </x:c>
      <x:c r="AN1087" s="83" t="n">
        <x:f>'Inputs'!$D$46</x:f>
        <x:v>1</x:v>
      </x:c>
      <x:c r="AO1087" s="81" t="n">
        <x:f>'Inputs'!$E$46</x:f>
        <x:v>0</x:v>
      </x:c>
    </x:row>
    <x:row r="1088">
      <x:c r="A1088" s="59" t="str">
        <x:v>Base</x:v>
      </x:c>
      <x:c r="B1088" s="59" t="n">
        <x:v>355</x:v>
      </x:c>
      <x:c r="C1088" s="78" t="n">
        <x:f>(('Inputs'!$B$29*(3*355*'Inputs'!$B$12-355^2)/(2*'Inputs'!$B$12^2))-('Inputs'!$B$29*(3*354*'Inputs'!$B$12-354^2)/(2*'Inputs'!$B$12^2)))*'Inputs'!$B$46</x:f>
        <x:v>596735.5507599711</x:v>
      </x:c>
      <x:c r="D1088" s="78" t="n">
        <x:f>IF('Inputs'!$C$46&gt;0,('Inputs'!$B$30*(3*355*'Inputs'!$B$12-355^2)/(2*'Inputs'!$B$12^2))-('Inputs'!$B$30*(3*354*'Inputs'!$B$12-354^2)/(2*'Inputs'!$B$12^2)),0)</x:f>
        <x:v>255743.80746856332</x:v>
      </x:c>
      <x:c r="E1088" s="78" t="n">
        <x:f>C1088+D1088</x:f>
        <x:v>852479.3582285345</x:v>
      </x:c>
      <x:c r="F1088" s="78" t="n">
        <x:f>'Inputs'!$B$13*E1088+(1-'Inputs'!$B$13)/'Inputs'!$B$14*SUM(E1033:E1088)</x:f>
        <x:v>862697.0350910062</x:v>
      </x:c>
      <x:c r="G1088" s="78" t="n">
        <x:f>F1088*'Inputs'!$F$46</x:f>
        <x:v>431348.5175455031</x:v>
      </x:c>
      <x:c r="H1088" s="78" t="n">
        <x:f>U1087</x:f>
        <x:v>161092539.54483145</x:v>
      </x:c>
      <x:c r="I1088" s="78" t="n">
        <x:f>V1087</x:f>
        <x:v>180.92122775228046</x:v>
      </x:c>
      <x:c r="J1088" s="79" t="n">
        <x:f>IF(H1088&gt;0,I1088/H1088,0)</x:f>
        <x:v>0.0000011230888051270105</x:v>
      </x:c>
      <x:c r="K1088" s="80" t="n">
        <x:f>(H1088*J1088+I1088)*'Inputs'!$D$46*(1+'Inputs'!$G$46)^(B1088/30)</x:f>
        <x:v>361.8424555045609</x:v>
      </x:c>
      <x:c r="L1088" s="80" t="n">
        <x:f>MAX(0,K1088*'Inputs'!$E$46)</x:f>
        <x:v>0</x:v>
      </x:c>
      <x:c r="M1088" s="80" t="n">
        <x:f>MAX(0,-K1088*'Inputs'!$E$46)</x:f>
        <x:v>0</x:v>
      </x:c>
      <x:c r="N1088" s="78" t="n">
        <x:f>H1088*(L1088*(1-'Inputs'!$B$15))/(I1088+L1088*(1-'Inputs'!$B$15))</x:f>
        <x:v>0</x:v>
      </x:c>
      <x:c r="O1088" s="78" t="n">
        <x:f>H1088-N1088</x:f>
        <x:v>161092539.54483145</x:v>
      </x:c>
      <x:c r="P1088" s="78" t="n">
        <x:f>I1088+L1088*(1-'Inputs'!$B$17)</x:f>
        <x:v>180.92122775228046</x:v>
      </x:c>
      <x:c r="Q1088" s="78" t="n">
        <x:f>IF(J1088&gt;0,M1088/J1088,0)</x:f>
        <x:v>0</x:v>
      </x:c>
      <x:c r="R1088" s="78" t="n">
        <x:f>IF(B1088='Inputs'!$H$46,'Inputs'!$B$27*'Inputs'!$I$46,0)</x:f>
        <x:v>0</x:v>
      </x:c>
      <x:c r="S1088" s="78" t="n">
        <x:f>Q1088+G1088+R1088</x:f>
        <x:v>431348.5175455031</x:v>
      </x:c>
      <x:c r="T1088" s="78" t="n">
        <x:f>P1088*(S1088*(1-'Inputs'!$B$15))/(O1088+S1088*(1-'Inputs'!$B$15))</x:f>
        <x:v>0.4783302739117611</x:v>
      </x:c>
      <x:c r="U1088" s="78" t="n">
        <x:f>O1088+S1088*(1-'Inputs'!$B$17)</x:f>
        <x:v>161522152.25345322</x:v>
      </x:c>
      <x:c r="V1088" s="78" t="n">
        <x:f>P1088-T1088</x:f>
        <x:v>180.4428974783687</x:v>
      </x:c>
      <x:c r="W1088" s="79" t="n">
        <x:f>IF(U1088&gt;0,V1088/U1088,0)</x:f>
        <x:v>0.0000011171402495629572</x:v>
      </x:c>
      <x:c r="X1088" s="80" t="n">
        <x:f>W1088*('Inputs'!$B$6-AC1088)</x:f>
        <x:v>987.4976305431406</x:v>
      </x:c>
      <x:c r="Y1088" s="80" t="n">
        <x:f>2*V1088</x:f>
        <x:v>360.8857949567374</x:v>
      </x:c>
      <x:c r="Z1088" s="80" t="n">
        <x:f>K1088*'Inputs'!$B$16+(G1088+R1088)*J1088*'Inputs'!$B$16</x:f>
        <x:v>2.173961389174347</x:v>
      </x:c>
      <x:c r="AA1088" s="80" t="n">
        <x:f>K1088*(1+'Inputs'!$E$46)/2*'Inputs'!$B$17</x:f>
        <x:v>0.7280532303914707</x:v>
      </x:c>
      <x:c r="AB1088" s="78" t="n">
        <x:f>(IF(J1088&gt;0,K1088*(1-'Inputs'!$E$46)/2/J1088,0)+G1088+R1088)*'Inputs'!$B$17</x:f>
        <x:v>649995.5254019194</x:v>
      </x:c>
      <x:c r="AC1088" s="78" t="n">
        <x:f>AC1087+AB1088</x:f>
        <x:v>116048651.07181923</x:v>
      </x:c>
      <x:c r="AD1088" s="80" t="n">
        <x:f>Z1088/(1+'Inputs'!$C$46)</x:f>
        <x:v>1.0869806945871734</x:v>
      </x:c>
      <x:c r="AE1088" s="80" t="n">
        <x:f>Z1088-AD1088</x:f>
        <x:v>1.0869806945871734</x:v>
      </x:c>
      <x:c r="AF1088" s="80" t="n">
        <x:f>D1088*W1088</x:f>
        <x:v>0.2857017008996117</x:v>
      </x:c>
      <x:c r="AG1088" s="80" t="n">
        <x:f>C1088*W1088</x:f>
        <x:v>0.6666373020990829</x:v>
      </x:c>
      <x:c r="AH1088" s="80" t="n">
        <x:f>2*'Inputs'!$B$8*'Inputs'!$C$46</x:f>
        <x:v>5000</x:v>
      </x:c>
      <x:c r="AI1088" s="81" t="n">
        <x:f>IF(AH1088&gt;0,(AE1088+AF1088)/AH1088*365,0)</x:f>
        <x:v>0.10020581487053531</x:v>
      </x:c>
      <x:c r="AJ1088" s="81" t="n">
        <x:f>IF('Inputs'!$B$46&gt;0,AG1088/('Inputs'!$B$19*'Inputs'!$B$46)*365,0)</x:f>
        <x:v>0.02433226152661653</x:v>
      </x:c>
      <x:c r="AK1088" s="81" t="n">
        <x:f>W1088/MAX($W$734:W1088)-1</x:f>
        <x:v>-0.99867446588494</x:v>
      </x:c>
      <x:c r="AL1088" s="83" t="n">
        <x:f>'Inputs'!$B$46</x:f>
        <x:v>1</x:v>
      </x:c>
      <x:c r="AM1088" s="83" t="n">
        <x:f>'Inputs'!$C$46</x:f>
        <x:v>1</x:v>
      </x:c>
      <x:c r="AN1088" s="83" t="n">
        <x:f>'Inputs'!$D$46</x:f>
        <x:v>1</x:v>
      </x:c>
      <x:c r="AO1088" s="81" t="n">
        <x:f>'Inputs'!$E$46</x:f>
        <x:v>0</x:v>
      </x:c>
    </x:row>
    <x:row r="1089">
      <x:c r="A1089" s="59" t="str">
        <x:v>Base</x:v>
      </x:c>
      <x:c r="B1089" s="59" t="n">
        <x:v>356</x:v>
      </x:c>
      <x:c r="C1089" s="78" t="n">
        <x:f>(('Inputs'!$B$29*(3*356*'Inputs'!$B$12-356^2)/(2*'Inputs'!$B$12^2))-('Inputs'!$B$29*(3*355*'Inputs'!$B$12-355^2)/(2*'Inputs'!$B$12^2)))*'Inputs'!$B$46</x:f>
        <x:v>596410.4428598285</x:v>
      </x:c>
      <x:c r="D1089" s="78" t="n">
        <x:f>IF('Inputs'!$C$46&gt;0,('Inputs'!$B$30*(3*356*'Inputs'!$B$12-356^2)/(2*'Inputs'!$B$12^2))-('Inputs'!$B$30*(3*355*'Inputs'!$B$12-355^2)/(2*'Inputs'!$B$12^2)),0)</x:f>
        <x:v>255604.4755113572</x:v>
      </x:c>
      <x:c r="E1089" s="78" t="n">
        <x:f>C1089+D1089</x:f>
        <x:v>852014.9183711857</x:v>
      </x:c>
      <x:c r="F1089" s="78" t="n">
        <x:f>'Inputs'!$B$13*E1089+(1-'Inputs'!$B$13)/'Inputs'!$B$14*SUM(E1034:E1089)</x:f>
        <x:v>862232.5952336293</x:v>
      </x:c>
      <x:c r="G1089" s="78" t="n">
        <x:f>F1089*'Inputs'!$F$46</x:f>
        <x:v>431116.29761681467</x:v>
      </x:c>
      <x:c r="H1089" s="78" t="n">
        <x:f>U1088</x:f>
        <x:v>161522152.25345322</x:v>
      </x:c>
      <x:c r="I1089" s="78" t="n">
        <x:f>V1088</x:f>
        <x:v>180.4428974783687</x:v>
      </x:c>
      <x:c r="J1089" s="79" t="n">
        <x:f>IF(H1089&gt;0,I1089/H1089,0)</x:f>
        <x:v>0.0000011171402495629572</x:v>
      </x:c>
      <x:c r="K1089" s="80" t="n">
        <x:f>(H1089*J1089+I1089)*'Inputs'!$D$46*(1+'Inputs'!$G$46)^(B1089/30)</x:f>
        <x:v>360.8857949567374</x:v>
      </x:c>
      <x:c r="L1089" s="80" t="n">
        <x:f>MAX(0,K1089*'Inputs'!$E$46)</x:f>
        <x:v>0</x:v>
      </x:c>
      <x:c r="M1089" s="80" t="n">
        <x:f>MAX(0,-K1089*'Inputs'!$E$46)</x:f>
        <x:v>0</x:v>
      </x:c>
      <x:c r="N1089" s="78" t="n">
        <x:f>H1089*(L1089*(1-'Inputs'!$B$15))/(I1089+L1089*(1-'Inputs'!$B$15))</x:f>
        <x:v>0</x:v>
      </x:c>
      <x:c r="O1089" s="78" t="n">
        <x:f>H1089-N1089</x:f>
        <x:v>161522152.25345322</x:v>
      </x:c>
      <x:c r="P1089" s="78" t="n">
        <x:f>I1089+L1089*(1-'Inputs'!$B$17)</x:f>
        <x:v>180.4428974783687</x:v>
      </x:c>
      <x:c r="Q1089" s="78" t="n">
        <x:f>IF(J1089&gt;0,M1089/J1089,0)</x:f>
        <x:v>0</x:v>
      </x:c>
      <x:c r="R1089" s="78" t="n">
        <x:f>IF(B1089='Inputs'!$H$46,'Inputs'!$B$27*'Inputs'!$I$46,0)</x:f>
        <x:v>0</x:v>
      </x:c>
      <x:c r="S1089" s="78" t="n">
        <x:f>Q1089+G1089+R1089</x:f>
        <x:v>431116.29761681467</x:v>
      </x:c>
      <x:c r="T1089" s="78" t="n">
        <x:f>P1089*(S1089*(1-'Inputs'!$B$15))/(O1089+S1089*(1-'Inputs'!$B$15))</x:f>
        <x:v>0.4755446184728907</x:v>
      </x:c>
      <x:c r="U1089" s="78" t="n">
        <x:f>O1089+S1089*(1-'Inputs'!$B$17)</x:f>
        <x:v>161951533.67663294</x:v>
      </x:c>
      <x:c r="V1089" s="78" t="n">
        <x:f>P1089-T1089</x:f>
        <x:v>179.9673528598958</x:v>
      </x:c>
      <x:c r="W1089" s="79" t="n">
        <x:f>IF(U1089&gt;0,V1089/U1089,0)</x:f>
        <x:v>0.0000011112420412099022</x:v>
      </x:c>
      <x:c r="X1089" s="80" t="n">
        <x:f>W1089*('Inputs'!$B$6-AC1089)</x:f>
        <x:v>981.5596788555509</x:v>
      </x:c>
      <x:c r="Y1089" s="80" t="n">
        <x:f>2*V1089</x:f>
        <x:v>359.9347057197916</x:v>
      </x:c>
      <x:c r="Z1089" s="80" t="n">
        <x:f>K1089*'Inputs'!$B$16+(G1089+R1089)*J1089*'Inputs'!$B$16</x:f>
        <x:v>2.1682044739502864</x:v>
      </x:c>
      <x:c r="AA1089" s="80" t="n">
        <x:f>K1089*(1+'Inputs'!$E$46)/2*'Inputs'!$B$17</x:f>
        <x:v>0.7261283600739183</x:v>
      </x:c>
      <x:c r="AB1089" s="78" t="n">
        <x:f>(IF(J1089&gt;0,K1089*(1-'Inputs'!$E$46)/2/J1089,0)+G1089+R1089)*'Inputs'!$B$17</x:f>
        <x:v>651723.4146924348</x:v>
      </x:c>
      <x:c r="AC1089" s="78" t="n">
        <x:f>AC1088+AB1089</x:f>
        <x:v>116700374.48651166</x:v>
      </x:c>
      <x:c r="AD1089" s="80" t="n">
        <x:f>Z1089/(1+'Inputs'!$C$46)</x:f>
        <x:v>1.0841022369751432</x:v>
      </x:c>
      <x:c r="AE1089" s="80" t="n">
        <x:f>Z1089-AD1089</x:f>
        <x:v>1.0841022369751432</x:v>
      </x:c>
      <x:c r="AF1089" s="80" t="n">
        <x:f>D1089*W1089</x:f>
        <x:v>0.284038439109627</x:v>
      </x:c>
      <x:c r="AG1089" s="80" t="n">
        <x:f>C1089*W1089</x:f>
        <x:v>0.6627563579224575</x:v>
      </x:c>
      <x:c r="AH1089" s="80" t="n">
        <x:f>2*'Inputs'!$B$8*'Inputs'!$C$46</x:f>
        <x:v>5000</x:v>
      </x:c>
      <x:c r="AI1089" s="81" t="n">
        <x:f>IF(AH1089&gt;0,(AE1089+AF1089)/AH1089*365,0)</x:f>
        <x:v>0.09987426935418822</x:v>
      </x:c>
      <x:c r="AJ1089" s="81" t="n">
        <x:f>IF('Inputs'!$B$46&gt;0,AG1089/('Inputs'!$B$19*'Inputs'!$B$46)*365,0)</x:f>
        <x:v>0.024190607064169697</x:v>
      </x:c>
      <x:c r="AK1089" s="81" t="n">
        <x:f>W1089/MAX($W$734:W1089)-1</x:f>
        <x:v>-0.9986814643584019</x:v>
      </x:c>
      <x:c r="AL1089" s="83" t="n">
        <x:f>'Inputs'!$B$46</x:f>
        <x:v>1</x:v>
      </x:c>
      <x:c r="AM1089" s="83" t="n">
        <x:f>'Inputs'!$C$46</x:f>
        <x:v>1</x:v>
      </x:c>
      <x:c r="AN1089" s="83" t="n">
        <x:f>'Inputs'!$D$46</x:f>
        <x:v>1</x:v>
      </x:c>
      <x:c r="AO1089" s="81" t="n">
        <x:f>'Inputs'!$E$46</x:f>
        <x:v>0</x:v>
      </x:c>
    </x:row>
    <x:row r="1090">
      <x:c r="A1090" s="59" t="str">
        <x:v>Base</x:v>
      </x:c>
      <x:c r="B1090" s="59" t="n">
        <x:v>357</x:v>
      </x:c>
      <x:c r="C1090" s="78" t="n">
        <x:f>(('Inputs'!$B$29*(3*357*'Inputs'!$B$12-357^2)/(2*'Inputs'!$B$12^2))-('Inputs'!$B$29*(3*356*'Inputs'!$B$12-356^2)/(2*'Inputs'!$B$12^2)))*'Inputs'!$B$46</x:f>
        <x:v>596085.334959656</x:v>
      </x:c>
      <x:c r="D1090" s="78" t="n">
        <x:f>IF('Inputs'!$C$46&gt;0,('Inputs'!$B$30*(3*357*'Inputs'!$B$12-357^2)/(2*'Inputs'!$B$12^2))-('Inputs'!$B$30*(3*356*'Inputs'!$B$12-356^2)/(2*'Inputs'!$B$12^2)),0)</x:f>
        <x:v>255465.14355413616</x:v>
      </x:c>
      <x:c r="E1090" s="78" t="n">
        <x:f>C1090+D1090</x:f>
        <x:v>851550.4785137922</x:v>
      </x:c>
      <x:c r="F1090" s="78" t="n">
        <x:f>'Inputs'!$B$13*E1090+(1-'Inputs'!$B$13)/'Inputs'!$B$14*SUM(E1035:E1090)</x:f>
        <x:v>861768.1553762429</x:v>
      </x:c>
      <x:c r="G1090" s="78" t="n">
        <x:f>F1090*'Inputs'!$F$46</x:f>
        <x:v>430884.07768812147</x:v>
      </x:c>
      <x:c r="H1090" s="78" t="n">
        <x:f>U1089</x:f>
        <x:v>161951533.67663294</x:v>
      </x:c>
      <x:c r="I1090" s="78" t="n">
        <x:f>V1089</x:f>
        <x:v>179.9673528598958</x:v>
      </x:c>
      <x:c r="J1090" s="79" t="n">
        <x:f>IF(H1090&gt;0,I1090/H1090,0)</x:f>
        <x:v>0.0000011112420412099022</x:v>
      </x:c>
      <x:c r="K1090" s="80" t="n">
        <x:f>(H1090*J1090+I1090)*'Inputs'!$D$46*(1+'Inputs'!$G$46)^(B1090/30)</x:f>
        <x:v>359.9347057197916</x:v>
      </x:c>
      <x:c r="L1090" s="80" t="n">
        <x:f>MAX(0,K1090*'Inputs'!$E$46)</x:f>
        <x:v>0</x:v>
      </x:c>
      <x:c r="M1090" s="80" t="n">
        <x:f>MAX(0,-K1090*'Inputs'!$E$46)</x:f>
        <x:v>0</x:v>
      </x:c>
      <x:c r="N1090" s="78" t="n">
        <x:f>H1090*(L1090*(1-'Inputs'!$B$15))/(I1090+L1090*(1-'Inputs'!$B$15))</x:f>
        <x:v>0</x:v>
      </x:c>
      <x:c r="O1090" s="78" t="n">
        <x:f>H1090-N1090</x:f>
        <x:v>161951533.67663294</x:v>
      </x:c>
      <x:c r="P1090" s="78" t="n">
        <x:f>I1090+L1090*(1-'Inputs'!$B$17)</x:f>
        <x:v>179.9673528598958</x:v>
      </x:c>
      <x:c r="Q1090" s="78" t="n">
        <x:f>IF(J1090&gt;0,M1090/J1090,0)</x:f>
        <x:v>0</x:v>
      </x:c>
      <x:c r="R1090" s="78" t="n">
        <x:f>IF(B1090='Inputs'!$H$46,'Inputs'!$B$27*'Inputs'!$I$46,0)</x:f>
        <x:v>0</x:v>
      </x:c>
      <x:c r="S1090" s="78" t="n">
        <x:f>Q1090+G1090+R1090</x:f>
        <x:v>430884.07768812147</x:v>
      </x:c>
      <x:c r="T1090" s="78" t="n">
        <x:f>P1090*(S1090*(1-'Inputs'!$B$15))/(O1090+S1090*(1-'Inputs'!$B$15))</x:f>
        <x:v>0.4727830413604193</x:v>
      </x:c>
      <x:c r="U1090" s="78" t="n">
        <x:f>O1090+S1090*(1-'Inputs'!$B$17)</x:f>
        <x:v>162380683.8143706</x:v>
      </x:c>
      <x:c r="V1090" s="78" t="n">
        <x:f>P1090-T1090</x:f>
        <x:v>179.49456981853538</x:v>
      </x:c>
      <x:c r="W1090" s="79" t="n">
        <x:f>IF(U1090&gt;0,V1090/U1090,0)</x:f>
        <x:v>0.0000011053936071837765</x:v>
      </x:c>
      <x:c r="X1090" s="80" t="n">
        <x:f>W1090*('Inputs'!$B$6-AC1090)</x:f>
        <x:v>975.6714394052239</x:v>
      </x:c>
      <x:c r="Y1090" s="80" t="n">
        <x:f>2*V1090</x:f>
        <x:v>358.98913963707076</x:v>
      </x:c>
      <x:c r="Z1090" s="80" t="n">
        <x:f>K1090*'Inputs'!$B$16+(G1090+R1090)*J1090*'Inputs'!$B$16</x:f>
        <x:v>2.16248113333084</x:v>
      </x:c>
      <x:c r="AA1090" s="80" t="n">
        <x:f>K1090*(1+'Inputs'!$E$46)/2*'Inputs'!$B$17</x:f>
        <x:v>0.7242146996374077</x:v>
      </x:c>
      <x:c r="AB1090" s="78" t="n">
        <x:f>(IF(J1090&gt;0,K1090*(1-'Inputs'!$E$46)/2/J1090,0)+G1090+R1090)*'Inputs'!$B$17</x:f>
        <x:v>653450.3732568253</x:v>
      </x:c>
      <x:c r="AC1090" s="78" t="n">
        <x:f>AC1089+AB1090</x:f>
        <x:v>117353824.8597685</x:v>
      </x:c>
      <x:c r="AD1090" s="80" t="n">
        <x:f>Z1090/(1+'Inputs'!$C$46)</x:f>
        <x:v>1.08124056666542</x:v>
      </x:c>
      <x:c r="AE1090" s="80" t="n">
        <x:f>Z1090-AD1090</x:f>
        <x:v>1.08124056666542</x:v>
      </x:c>
      <x:c r="AF1090" s="80" t="n">
        <x:f>D1090*W1090</x:f>
        <x:v>0.28238953654302784</x:v>
      </x:c>
      <x:c r="AG1090" s="80" t="n">
        <x:f>C1090*W1090</x:f>
        <x:v>0.6589089186004038</x:v>
      </x:c>
      <x:c r="AH1090" s="80" t="n">
        <x:f>2*'Inputs'!$B$8*'Inputs'!$C$46</x:f>
        <x:v>5000</x:v>
      </x:c>
      <x:c r="AI1090" s="81" t="n">
        <x:f>IF(AH1090&gt;0,(AE1090+AF1090)/AH1090*365,0)</x:f>
        <x:v>0.09954499753421668</x:v>
      </x:c>
      <x:c r="AJ1090" s="81" t="n">
        <x:f>IF('Inputs'!$B$46&gt;0,AG1090/('Inputs'!$B$19*'Inputs'!$B$46)*365,0)</x:f>
        <x:v>0.02405017552891474</x:v>
      </x:c>
      <x:c r="AK1090" s="81" t="n">
        <x:f>W1090/MAX($W$734:W1090)-1</x:f>
        <x:v>-0.9986884037725213</x:v>
      </x:c>
      <x:c r="AL1090" s="83" t="n">
        <x:f>'Inputs'!$B$46</x:f>
        <x:v>1</x:v>
      </x:c>
      <x:c r="AM1090" s="83" t="n">
        <x:f>'Inputs'!$C$46</x:f>
        <x:v>1</x:v>
      </x:c>
      <x:c r="AN1090" s="83" t="n">
        <x:f>'Inputs'!$D$46</x:f>
        <x:v>1</x:v>
      </x:c>
      <x:c r="AO1090" s="81" t="n">
        <x:f>'Inputs'!$E$46</x:f>
        <x:v>0</x:v>
      </x:c>
    </x:row>
    <x:row r="1091">
      <x:c r="A1091" s="59" t="str">
        <x:v>Base</x:v>
      </x:c>
      <x:c r="B1091" s="59" t="n">
        <x:v>358</x:v>
      </x:c>
      <x:c r="C1091" s="78" t="n">
        <x:f>(('Inputs'!$B$29*(3*358*'Inputs'!$B$12-358^2)/(2*'Inputs'!$B$12^2))-('Inputs'!$B$29*(3*357*'Inputs'!$B$12-357^2)/(2*'Inputs'!$B$12^2)))*'Inputs'!$B$46</x:f>
        <x:v>595760.2270594835</x:v>
      </x:c>
      <x:c r="D1091" s="78" t="n">
        <x:f>IF('Inputs'!$C$46&gt;0,('Inputs'!$B$30*(3*358*'Inputs'!$B$12-358^2)/(2*'Inputs'!$B$12^2))-('Inputs'!$B$30*(3*357*'Inputs'!$B$12-357^2)/(2*'Inputs'!$B$12^2)),0)</x:f>
        <x:v>255325.81159693003</x:v>
      </x:c>
      <x:c r="E1091" s="78" t="n">
        <x:f>C1091+D1091</x:f>
        <x:v>851086.0386564136</x:v>
      </x:c>
      <x:c r="F1091" s="78" t="n">
        <x:f>'Inputs'!$B$13*E1091+(1-'Inputs'!$B$13)/'Inputs'!$B$14*SUM(E1036:E1091)</x:f>
        <x:v>861303.7155188601</x:v>
      </x:c>
      <x:c r="G1091" s="78" t="n">
        <x:f>F1091*'Inputs'!$F$46</x:f>
        <x:v>430651.8577594301</x:v>
      </x:c>
      <x:c r="H1091" s="78" t="n">
        <x:f>U1090</x:f>
        <x:v>162380683.8143706</x:v>
      </x:c>
      <x:c r="I1091" s="78" t="n">
        <x:f>V1090</x:f>
        <x:v>179.49456981853538</x:v>
      </x:c>
      <x:c r="J1091" s="79" t="n">
        <x:f>IF(H1091&gt;0,I1091/H1091,0)</x:f>
        <x:v>0.0000011053936071837765</x:v>
      </x:c>
      <x:c r="K1091" s="80" t="n">
        <x:f>(H1091*J1091+I1091)*'Inputs'!$D$46*(1+'Inputs'!$G$46)^(B1091/30)</x:f>
        <x:v>358.9891396370708</x:v>
      </x:c>
      <x:c r="L1091" s="80" t="n">
        <x:f>MAX(0,K1091*'Inputs'!$E$46)</x:f>
        <x:v>0</x:v>
      </x:c>
      <x:c r="M1091" s="80" t="n">
        <x:f>MAX(0,-K1091*'Inputs'!$E$46)</x:f>
        <x:v>0</x:v>
      </x:c>
      <x:c r="N1091" s="78" t="n">
        <x:f>H1091*(L1091*(1-'Inputs'!$B$15))/(I1091+L1091*(1-'Inputs'!$B$15))</x:f>
        <x:v>0</x:v>
      </x:c>
      <x:c r="O1091" s="78" t="n">
        <x:f>H1091-N1091</x:f>
        <x:v>162380683.8143706</x:v>
      </x:c>
      <x:c r="P1091" s="78" t="n">
        <x:f>I1091+L1091*(1-'Inputs'!$B$17)</x:f>
        <x:v>179.49456981853538</x:v>
      </x:c>
      <x:c r="Q1091" s="78" t="n">
        <x:f>IF(J1091&gt;0,M1091/J1091,0)</x:f>
        <x:v>0</x:v>
      </x:c>
      <x:c r="R1091" s="78" t="n">
        <x:f>IF(B1091='Inputs'!$H$46,'Inputs'!$B$27*'Inputs'!$I$46,0)</x:f>
        <x:v>0</x:v>
      </x:c>
      <x:c r="S1091" s="78" t="n">
        <x:f>Q1091+G1091+R1091</x:f>
        <x:v>430651.8577594301</x:v>
      </x:c>
      <x:c r="T1091" s="78" t="n">
        <x:f>P1091*(S1091*(1-'Inputs'!$B$15))/(O1091+S1091*(1-'Inputs'!$B$15))</x:f>
        <x:v>0.47004526554197223</x:v>
      </x:c>
      <x:c r="U1091" s="78" t="n">
        <x:f>O1091+S1091*(1-'Inputs'!$B$17)</x:f>
        <x:v>162809602.6666662</x:v>
      </x:c>
      <x:c r="V1091" s="78" t="n">
        <x:f>P1091-T1091</x:f>
        <x:v>179.0245245529934</x:v>
      </x:c>
      <x:c r="W1091" s="79" t="n">
        <x:f>IF(U1091&gt;0,V1091/U1091,0)</x:f>
        <x:v>0.0000010995943827682288</x:v>
      </x:c>
      <x:c r="X1091" s="80" t="n">
        <x:f>W1091*('Inputs'!$B$6-AC1091)</x:f>
        <x:v>969.8323478656944</x:v>
      </x:c>
      <x:c r="Y1091" s="80" t="n">
        <x:f>2*V1091</x:f>
        <x:v>358.0490491059868</x:v>
      </x:c>
      <x:c r="Z1091" s="80" t="n">
        <x:f>K1091*'Inputs'!$B$16+(G1091+R1091)*J1091*'Inputs'!$B$16</x:f>
        <x:v>2.1567910766853595</x:v>
      </x:c>
      <x:c r="AA1091" s="80" t="n">
        <x:f>K1091*(1+'Inputs'!$E$46)/2*'Inputs'!$B$17</x:f>
        <x:v>0.7223121521872653</x:v>
      </x:c>
      <x:c r="AB1091" s="78" t="n">
        <x:f>(IF(J1091&gt;0,K1091*(1-'Inputs'!$E$46)/2/J1091,0)+G1091+R1091)*'Inputs'!$B$17</x:f>
        <x:v>655176.4010950907</x:v>
      </x:c>
      <x:c r="AC1091" s="78" t="n">
        <x:f>AC1090+AB1091</x:f>
        <x:v>118009001.26086359</x:v>
      </x:c>
      <x:c r="AD1091" s="80" t="n">
        <x:f>Z1091/(1+'Inputs'!$C$46)</x:f>
        <x:v>1.0783955383426798</x:v>
      </x:c>
      <x:c r="AE1091" s="80" t="n">
        <x:f>Z1091-AD1091</x:f>
        <x:v>1.0783955383426798</x:v>
      </x:c>
      <x:c r="AF1091" s="80" t="n">
        <x:f>D1091*W1091</x:f>
        <x:v>0.28075482820772335</x:v>
      </x:c>
      <x:c r="AG1091" s="80" t="n">
        <x:f>C1091*W1091</x:f>
        <x:v>0.6550945991513326</x:v>
      </x:c>
      <x:c r="AH1091" s="80" t="n">
        <x:f>2*'Inputs'!$B$8*'Inputs'!$C$46</x:f>
        <x:v>5000</x:v>
      </x:c>
      <x:c r="AI1091" s="81" t="n">
        <x:f>IF(AH1091&gt;0,(AE1091+AF1091)/AH1091*365,0)</x:f>
        <x:v>0.09921797675817941</x:v>
      </x:c>
      <x:c r="AJ1091" s="81" t="n">
        <x:f>IF('Inputs'!$B$46&gt;0,AG1091/('Inputs'!$B$19*'Inputs'!$B$46)*365,0)</x:f>
        <x:v>0.02391095286902364</x:v>
      </x:c>
      <x:c r="AK1091" s="81" t="n">
        <x:f>W1091/MAX($W$734:W1091)-1</x:f>
        <x:v>-0.9986952847973584</x:v>
      </x:c>
      <x:c r="AL1091" s="83" t="n">
        <x:f>'Inputs'!$B$46</x:f>
        <x:v>1</x:v>
      </x:c>
      <x:c r="AM1091" s="83" t="n">
        <x:f>'Inputs'!$C$46</x:f>
        <x:v>1</x:v>
      </x:c>
      <x:c r="AN1091" s="83" t="n">
        <x:f>'Inputs'!$D$46</x:f>
        <x:v>1</x:v>
      </x:c>
      <x:c r="AO1091" s="81" t="n">
        <x:f>'Inputs'!$E$46</x:f>
        <x:v>0</x:v>
      </x:c>
    </x:row>
    <x:row r="1092">
      <x:c r="A1092" s="59" t="str">
        <x:v>Base</x:v>
      </x:c>
      <x:c r="B1092" s="59" t="n">
        <x:v>359</x:v>
      </x:c>
      <x:c r="C1092" s="78" t="n">
        <x:f>(('Inputs'!$B$29*(3*359*'Inputs'!$B$12-359^2)/(2*'Inputs'!$B$12^2))-('Inputs'!$B$29*(3*358*'Inputs'!$B$12-358^2)/(2*'Inputs'!$B$12^2)))*'Inputs'!$B$46</x:f>
        <x:v>595435.119159311</x:v>
      </x:c>
      <x:c r="D1092" s="78" t="n">
        <x:f>IF('Inputs'!$C$46&gt;0,('Inputs'!$B$30*(3*359*'Inputs'!$B$12-359^2)/(2*'Inputs'!$B$12^2))-('Inputs'!$B$30*(3*358*'Inputs'!$B$12-358^2)/(2*'Inputs'!$B$12^2)),0)</x:f>
        <x:v>255186.479639709</x:v>
      </x:c>
      <x:c r="E1092" s="78" t="n">
        <x:f>C1092+D1092</x:f>
        <x:v>850621.59879902</x:v>
      </x:c>
      <x:c r="F1092" s="78" t="n">
        <x:f>'Inputs'!$B$13*E1092+(1-'Inputs'!$B$13)/'Inputs'!$B$14*SUM(E1037:E1092)</x:f>
        <x:v>860839.2756614743</x:v>
      </x:c>
      <x:c r="G1092" s="78" t="n">
        <x:f>F1092*'Inputs'!$F$46</x:f>
        <x:v>430419.63783073716</x:v>
      </x:c>
      <x:c r="H1092" s="78" t="n">
        <x:f>U1091</x:f>
        <x:v>162809602.6666662</x:v>
      </x:c>
      <x:c r="I1092" s="78" t="n">
        <x:f>V1091</x:f>
        <x:v>179.0245245529934</x:v>
      </x:c>
      <x:c r="J1092" s="79" t="n">
        <x:f>IF(H1092&gt;0,I1092/H1092,0)</x:f>
        <x:v>0.0000010995943827682288</x:v>
      </x:c>
      <x:c r="K1092" s="80" t="n">
        <x:f>(H1092*J1092+I1092)*'Inputs'!$D$46*(1+'Inputs'!$G$46)^(B1092/30)</x:f>
        <x:v>358.0490491059868</x:v>
      </x:c>
      <x:c r="L1092" s="80" t="n">
        <x:f>MAX(0,K1092*'Inputs'!$E$46)</x:f>
        <x:v>0</x:v>
      </x:c>
      <x:c r="M1092" s="80" t="n">
        <x:f>MAX(0,-K1092*'Inputs'!$E$46)</x:f>
        <x:v>0</x:v>
      </x:c>
      <x:c r="N1092" s="78" t="n">
        <x:f>H1092*(L1092*(1-'Inputs'!$B$15))/(I1092+L1092*(1-'Inputs'!$B$15))</x:f>
        <x:v>0</x:v>
      </x:c>
      <x:c r="O1092" s="78" t="n">
        <x:f>H1092-N1092</x:f>
        <x:v>162809602.6666662</x:v>
      </x:c>
      <x:c r="P1092" s="78" t="n">
        <x:f>I1092+L1092*(1-'Inputs'!$B$17)</x:f>
        <x:v>179.0245245529934</x:v>
      </x:c>
      <x:c r="Q1092" s="78" t="n">
        <x:f>IF(J1092&gt;0,M1092/J1092,0)</x:f>
        <x:v>0</x:v>
      </x:c>
      <x:c r="R1092" s="78" t="n">
        <x:f>IF(B1092='Inputs'!$H$46,'Inputs'!$B$27*'Inputs'!$I$46,0)</x:f>
        <x:v>0</x:v>
      </x:c>
      <x:c r="S1092" s="78" t="n">
        <x:f>Q1092+G1092+R1092</x:f>
        <x:v>430419.63783073716</x:v>
      </x:c>
      <x:c r="T1092" s="78" t="n">
        <x:f>P1092*(S1092*(1-'Inputs'!$B$15))/(O1092+S1092*(1-'Inputs'!$B$15))</x:f>
        <x:v>0.4673310179588449</x:v>
      </x:c>
      <x:c r="U1092" s="78" t="n">
        <x:f>O1092+S1092*(1-'Inputs'!$B$17)</x:f>
        <x:v>163238290.23351976</x:v>
      </x:c>
      <x:c r="V1092" s="78" t="n">
        <x:f>P1092-T1092</x:f>
        <x:v>178.55719353503454</x:v>
      </x:c>
      <x:c r="W1092" s="79" t="n">
        <x:f>IF(U1092&gt;0,V1092/U1092,0)</x:f>
        <x:v>0.0000010938438112749183</x:v>
      </x:c>
      <x:c r="X1092" s="80" t="n">
        <x:f>W1092*('Inputs'!$B$6-AC1092)</x:f>
        <x:v>964.0418479325574</x:v>
      </x:c>
      <x:c r="Y1092" s="80" t="n">
        <x:f>2*V1092</x:f>
        <x:v>357.1143870700691</x:v>
      </x:c>
      <x:c r="Z1092" s="80" t="n">
        <x:f>K1092*'Inputs'!$B$16+(G1092+R1092)*J1092*'Inputs'!$B$16</x:f>
        <x:v>2.1511340167318718</x:v>
      </x:c>
      <x:c r="AA1092" s="80" t="n">
        <x:f>K1092*(1+'Inputs'!$E$46)/2*'Inputs'!$B$17</x:f>
        <x:v>0.7204206219436354</x:v>
      </x:c>
      <x:c r="AB1092" s="78" t="n">
        <x:f>(IF(J1092&gt;0,K1092*(1-'Inputs'!$E$46)/2/J1092,0)+G1092+R1092)*'Inputs'!$B$17</x:f>
        <x:v>656901.4982072312</x:v>
      </x:c>
      <x:c r="AC1092" s="78" t="n">
        <x:f>AC1091+AB1092</x:f>
        <x:v>118665902.75907081</x:v>
      </x:c>
      <x:c r="AD1092" s="80" t="n">
        <x:f>Z1092/(1+'Inputs'!$C$46)</x:f>
        <x:v>1.0755670083659359</x:v>
      </x:c>
      <x:c r="AE1092" s="80" t="n">
        <x:f>Z1092-AD1092</x:f>
        <x:v>1.0755670083659359</x:v>
      </x:c>
      <x:c r="AF1092" s="80" t="n">
        <x:f>D1092*W1092</x:f>
        <x:v>0.27913415147492865</x:v>
      </x:c>
      <x:c r="AG1092" s="80" t="n">
        <x:f>C1092*W1092</x:f>
        <x:v>0.651313020108156</x:v>
      </x:c>
      <x:c r="AH1092" s="80" t="n">
        <x:f>2*'Inputs'!$B$8*'Inputs'!$C$46</x:f>
        <x:v>5000</x:v>
      </x:c>
      <x:c r="AI1092" s="81" t="n">
        <x:f>IF(AH1092&gt;0,(AE1092+AF1092)/AH1092*365,0)</x:f>
        <x:v>0.09889318466838312</x:v>
      </x:c>
      <x:c r="AJ1092" s="81" t="n">
        <x:f>IF('Inputs'!$B$46&gt;0,AG1092/('Inputs'!$B$19*'Inputs'!$B$46)*365,0)</x:f>
        <x:v>0.02377292523394769</x:v>
      </x:c>
      <x:c r="AK1092" s="81" t="n">
        <x:f>W1092/MAX($W$734:W1092)-1</x:f>
        <x:v>-0.9987021080934472</x:v>
      </x:c>
      <x:c r="AL1092" s="83" t="n">
        <x:f>'Inputs'!$B$46</x:f>
        <x:v>1</x:v>
      </x:c>
      <x:c r="AM1092" s="83" t="n">
        <x:f>'Inputs'!$C$46</x:f>
        <x:v>1</x:v>
      </x:c>
      <x:c r="AN1092" s="83" t="n">
        <x:f>'Inputs'!$D$46</x:f>
        <x:v>1</x:v>
      </x:c>
      <x:c r="AO1092" s="81" t="n">
        <x:f>'Inputs'!$E$46</x:f>
        <x:v>0</x:v>
      </x:c>
    </x:row>
    <x:row r="1093">
      <x:c r="A1093" s="59" t="str">
        <x:v>Base</x:v>
      </x:c>
      <x:c r="B1093" s="59" t="n">
        <x:v>360</x:v>
      </x:c>
      <x:c r="C1093" s="78" t="n">
        <x:f>(('Inputs'!$B$29*(3*360*'Inputs'!$B$12-360^2)/(2*'Inputs'!$B$12^2))-('Inputs'!$B$29*(3*359*'Inputs'!$B$12-359^2)/(2*'Inputs'!$B$12^2)))*'Inputs'!$B$46</x:f>
        <x:v>595110.0112591684</x:v>
      </x:c>
      <x:c r="D1093" s="78" t="n">
        <x:f>IF('Inputs'!$C$46&gt;0,('Inputs'!$B$30*(3*360*'Inputs'!$B$12-360^2)/(2*'Inputs'!$B$12^2))-('Inputs'!$B$30*(3*359*'Inputs'!$B$12-359^2)/(2*'Inputs'!$B$12^2)),0)</x:f>
        <x:v>255047.14768248796</x:v>
      </x:c>
      <x:c r="E1093" s="78" t="n">
        <x:f>C1093+D1093</x:f>
        <x:v>850157.1589416564</x:v>
      </x:c>
      <x:c r="F1093" s="78" t="n">
        <x:f>'Inputs'!$B$13*E1093+(1-'Inputs'!$B$13)/'Inputs'!$B$14*SUM(E1038:E1093)</x:f>
        <x:v>860374.8358040944</x:v>
      </x:c>
      <x:c r="G1093" s="78" t="n">
        <x:f>F1093*'Inputs'!$F$46</x:f>
        <x:v>430187.4179020472</x:v>
      </x:c>
      <x:c r="H1093" s="78" t="n">
        <x:f>U1092</x:f>
        <x:v>163238290.23351976</x:v>
      </x:c>
      <x:c r="I1093" s="78" t="n">
        <x:f>V1092</x:f>
        <x:v>178.55719353503454</x:v>
      </x:c>
      <x:c r="J1093" s="79" t="n">
        <x:f>IF(H1093&gt;0,I1093/H1093,0)</x:f>
        <x:v>0.0000010938438112749183</x:v>
      </x:c>
      <x:c r="K1093" s="80" t="n">
        <x:f>(H1093*J1093+I1093)*'Inputs'!$D$46*(1+'Inputs'!$G$46)^(B1093/30)</x:f>
        <x:v>357.1143870700691</x:v>
      </x:c>
      <x:c r="L1093" s="80" t="n">
        <x:f>MAX(0,K1093*'Inputs'!$E$46)</x:f>
        <x:v>0</x:v>
      </x:c>
      <x:c r="M1093" s="80" t="n">
        <x:f>MAX(0,-K1093*'Inputs'!$E$46)</x:f>
        <x:v>0</x:v>
      </x:c>
      <x:c r="N1093" s="78" t="n">
        <x:f>H1093*(L1093*(1-'Inputs'!$B$15))/(I1093+L1093*(1-'Inputs'!$B$15))</x:f>
        <x:v>0</x:v>
      </x:c>
      <x:c r="O1093" s="78" t="n">
        <x:f>H1093-N1093</x:f>
        <x:v>163238290.23351976</x:v>
      </x:c>
      <x:c r="P1093" s="78" t="n">
        <x:f>I1093+L1093*(1-'Inputs'!$B$17)</x:f>
        <x:v>178.55719353503454</x:v>
      </x:c>
      <x:c r="Q1093" s="78" t="n">
        <x:f>IF(J1093&gt;0,M1093/J1093,0)</x:f>
        <x:v>0</x:v>
      </x:c>
      <x:c r="R1093" s="78" t="n">
        <x:f>IF(B1093='Inputs'!$H$46,'Inputs'!$B$27*'Inputs'!$I$46,0)</x:f>
        <x:v>0</x:v>
      </x:c>
      <x:c r="S1093" s="78" t="n">
        <x:f>Q1093+G1093+R1093</x:f>
        <x:v>430187.4179020472</x:v>
      </x:c>
      <x:c r="T1093" s="78" t="n">
        <x:f>P1093*(S1093*(1-'Inputs'!$B$15))/(O1093+S1093*(1-'Inputs'!$B$15))</x:f>
        <x:v>0.4646400294578077</x:v>
      </x:c>
      <x:c r="U1093" s="78" t="n">
        <x:f>O1093+S1093*(1-'Inputs'!$B$17)</x:f>
        <x:v>163666746.51493126</x:v>
      </x:c>
      <x:c r="V1093" s="78" t="n">
        <x:f>P1093-T1093</x:f>
        <x:v>178.09255350557675</x:v>
      </x:c>
      <x:c r="W1093" s="79" t="n">
        <x:f>IF(U1093&gt;0,V1093/U1093,0)</x:f>
        <x:v>0.0000010881413439065914</x:v>
      </x:c>
      <x:c r="X1093" s="80" t="n">
        <x:f>W1093*('Inputs'!$B$6-AC1093)</x:f>
        <x:v>958.2993911866453</x:v>
      </x:c>
      <x:c r="Y1093" s="80" t="n">
        <x:f>2*V1093</x:f>
        <x:v>356.1851070111535</x:v>
      </x:c>
      <x:c r="Z1093" s="80" t="n">
        <x:f>K1093*'Inputs'!$B$16+(G1093+R1093)*J1093*'Inputs'!$B$16</x:f>
        <x:v>2.1455096694889777</x:v>
      </x:c>
      <x:c r="AA1093" s="80" t="n">
        <x:f>K1093*(1+'Inputs'!$E$46)/2*'Inputs'!$B$17</x:f>
        <x:v>0.7185400142254912</x:v>
      </x:c>
      <x:c r="AB1093" s="78" t="n">
        <x:f>(IF(J1093&gt;0,K1093*(1-'Inputs'!$E$46)/2/J1093,0)+G1093+R1093)*'Inputs'!$B$17</x:f>
        <x:v>658625.6645932468</x:v>
      </x:c>
      <x:c r="AC1093" s="78" t="n">
        <x:f>AC1092+AB1093</x:f>
        <x:v>119324528.42366406</x:v>
      </x:c>
      <x:c r="AD1093" s="80" t="n">
        <x:f>Z1093/(1+'Inputs'!$C$46)</x:f>
        <x:v>1.0727548347444888</x:v>
      </x:c>
      <x:c r="AE1093" s="80" t="n">
        <x:f>Z1093-AD1093</x:f>
        <x:v>1.0727548347444888</x:v>
      </x:c>
      <x:c r="AF1093" s="80" t="n">
        <x:f>D1093*W1093</x:f>
        <x:v>0.27752734603876533</x:v>
      </x:c>
      <x:c r="AG1093" s="80" t="n">
        <x:f>C1093*W1093</x:f>
        <x:v>0.6475638074238182</x:v>
      </x:c>
      <x:c r="AH1093" s="80" t="n">
        <x:f>2*'Inputs'!$B$8*'Inputs'!$C$46</x:f>
        <x:v>5000</x:v>
      </x:c>
      <x:c r="AI1093" s="81" t="n">
        <x:f>IF(AH1093&gt;0,(AE1093+AF1093)/AH1093*365,0)</x:f>
        <x:v>0.09857059919717755</x:v>
      </x:c>
      <x:c r="AJ1093" s="81" t="n">
        <x:f>IF('Inputs'!$B$46&gt;0,AG1093/('Inputs'!$B$19*'Inputs'!$B$46)*365,0)</x:f>
        <x:v>0.023636078970969365</x:v>
      </x:c>
      <x:c r="AK1093" s="81" t="n">
        <x:f>W1093/MAX($W$734:W1093)-1</x:f>
        <x:v>-0.9987088743119589</x:v>
      </x:c>
      <x:c r="AL1093" s="83" t="n">
        <x:f>'Inputs'!$B$46</x:f>
        <x:v>1</x:v>
      </x:c>
      <x:c r="AM1093" s="83" t="n">
        <x:f>'Inputs'!$C$46</x:f>
        <x:v>1</x:v>
      </x:c>
      <x:c r="AN1093" s="83" t="n">
        <x:f>'Inputs'!$D$46</x:f>
        <x:v>1</x:v>
      </x:c>
      <x:c r="AO1093" s="81" t="n">
        <x:f>'Inputs'!$E$46</x:f>
        <x:v>0</x:v>
      </x:c>
    </x:row>
    <x:row r="1094">
      <x:c r="A1094" s="59" t="str">
        <x:v>Base</x:v>
      </x:c>
      <x:c r="B1094" s="59" t="n">
        <x:v>361</x:v>
      </x:c>
      <x:c r="C1094" s="78" t="n">
        <x:f>(('Inputs'!$B$29*(3*361*'Inputs'!$B$12-361^2)/(2*'Inputs'!$B$12^2))-('Inputs'!$B$29*(3*360*'Inputs'!$B$12-360^2)/(2*'Inputs'!$B$12^2)))*'Inputs'!$B$46</x:f>
        <x:v>594784.9033589661</x:v>
      </x:c>
      <x:c r="D1094" s="78" t="n">
        <x:f>IF('Inputs'!$C$46&gt;0,('Inputs'!$B$30*(3*361*'Inputs'!$B$12-361^2)/(2*'Inputs'!$B$12^2))-('Inputs'!$B$30*(3*360*'Inputs'!$B$12-360^2)/(2*'Inputs'!$B$12^2)),0)</x:f>
        <x:v>254907.81572526693</x:v>
      </x:c>
      <x:c r="E1094" s="78" t="n">
        <x:f>C1094+D1094</x:f>
        <x:v>849692.719084233</x:v>
      </x:c>
      <x:c r="F1094" s="78" t="n">
        <x:f>'Inputs'!$B$13*E1094+(1-'Inputs'!$B$13)/'Inputs'!$B$14*SUM(E1039:E1094)</x:f>
        <x:v>859910.395946702</x:v>
      </x:c>
      <x:c r="G1094" s="78" t="n">
        <x:f>F1094*'Inputs'!$F$46</x:f>
        <x:v>429955.197973351</x:v>
      </x:c>
      <x:c r="H1094" s="78" t="n">
        <x:f>U1093</x:f>
        <x:v>163666746.51493126</x:v>
      </x:c>
      <x:c r="I1094" s="78" t="n">
        <x:f>V1093</x:f>
        <x:v>178.09255350557675</x:v>
      </x:c>
      <x:c r="J1094" s="79" t="n">
        <x:f>IF(H1094&gt;0,I1094/H1094,0)</x:f>
        <x:v>0.0000010881413439065914</x:v>
      </x:c>
      <x:c r="K1094" s="80" t="n">
        <x:f>(H1094*J1094+I1094)*'Inputs'!$D$46*(1+'Inputs'!$G$46)^(B1094/30)</x:f>
        <x:v>356.1851070111535</x:v>
      </x:c>
      <x:c r="L1094" s="80" t="n">
        <x:f>MAX(0,K1094*'Inputs'!$E$46)</x:f>
        <x:v>0</x:v>
      </x:c>
      <x:c r="M1094" s="80" t="n">
        <x:f>MAX(0,-K1094*'Inputs'!$E$46)</x:f>
        <x:v>0</x:v>
      </x:c>
      <x:c r="N1094" s="78" t="n">
        <x:f>H1094*(L1094*(1-'Inputs'!$B$15))/(I1094+L1094*(1-'Inputs'!$B$15))</x:f>
        <x:v>0</x:v>
      </x:c>
      <x:c r="O1094" s="78" t="n">
        <x:f>H1094-N1094</x:f>
        <x:v>163666746.51493126</x:v>
      </x:c>
      <x:c r="P1094" s="78" t="n">
        <x:f>I1094+L1094*(1-'Inputs'!$B$17)</x:f>
        <x:v>178.09255350557675</x:v>
      </x:c>
      <x:c r="Q1094" s="78" t="n">
        <x:f>IF(J1094&gt;0,M1094/J1094,0)</x:f>
        <x:v>0</x:v>
      </x:c>
      <x:c r="R1094" s="78" t="n">
        <x:f>IF(B1094='Inputs'!$H$46,'Inputs'!$B$27*'Inputs'!$I$46,0)</x:f>
        <x:v>0</x:v>
      </x:c>
      <x:c r="S1094" s="78" t="n">
        <x:f>Q1094+G1094+R1094</x:f>
        <x:v>429955.197973351</x:v>
      </x:c>
      <x:c r="T1094" s="78" t="n">
        <x:f>P1094*(S1094*(1-'Inputs'!$B$15))/(O1094+S1094*(1-'Inputs'!$B$15))</x:f>
        <x:v>0.46197203472423026</x:v>
      </x:c>
      <x:c r="U1094" s="78" t="n">
        <x:f>O1094+S1094*(1-'Inputs'!$B$17)</x:f>
        <x:v>164094971.5109007</x:v>
      </x:c>
      <x:c r="V1094" s="78" t="n">
        <x:f>P1094-T1094</x:f>
        <x:v>177.63058147085252</x:v>
      </x:c>
      <x:c r="W1094" s="79" t="n">
        <x:f>IF(U1094&gt;0,V1094/U1094,0)</x:f>
        <x:v>0.000001082486439622878</x:v>
      </x:c>
      <x:c r="X1094" s="80" t="n">
        <x:f>W1094*('Inputs'!$B$6-AC1094)</x:f>
        <x:v>952.6044369599232</x:v>
      </x:c>
      <x:c r="Y1094" s="80" t="n">
        <x:f>2*V1094</x:f>
        <x:v>355.26116294170504</x:v>
      </x:c>
      <x:c r="Z1094" s="80" t="n">
        <x:f>K1094*'Inputs'!$B$16+(G1094+R1094)*J1094*'Inputs'!$B$16</x:f>
        <x:v>2.1399177542285748</x:v>
      </x:c>
      <x:c r="AA1094" s="80" t="n">
        <x:f>K1094*(1+'Inputs'!$E$46)/2*'Inputs'!$B$17</x:f>
        <x:v>0.7166702354349166</x:v>
      </x:c>
      <x:c r="AB1094" s="78" t="n">
        <x:f>(IF(J1094&gt;0,K1094*(1-'Inputs'!$E$46)/2/J1094,0)+G1094+R1094)*'Inputs'!$B$17</x:f>
        <x:v>660348.9002531373</x:v>
      </x:c>
      <x:c r="AC1094" s="78" t="n">
        <x:f>AC1093+AB1094</x:f>
        <x:v>119984877.3239172</x:v>
      </x:c>
      <x:c r="AD1094" s="80" t="n">
        <x:f>Z1094/(1+'Inputs'!$C$46)</x:f>
        <x:v>1.0699588771142874</x:v>
      </x:c>
      <x:c r="AE1094" s="80" t="n">
        <x:f>Z1094-AD1094</x:f>
        <x:v>1.0699588771142874</x:v>
      </x:c>
      <x:c r="AF1094" s="80" t="n">
        <x:f>D1094*W1094</x:f>
        <x:v>0.2759342538764889</x:v>
      </x:c>
      <x:c r="AG1094" s="80" t="n">
        <x:f>C1094*W1094</x:f>
        <x:v>0.6438465923784848</x:v>
      </x:c>
      <x:c r="AH1094" s="80" t="n">
        <x:f>2*'Inputs'!$B$8*'Inputs'!$C$46</x:f>
        <x:v>5000</x:v>
      </x:c>
      <x:c r="AI1094" s="81" t="n">
        <x:f>IF(AH1094&gt;0,(AE1094+AF1094)/AH1094*365,0)</x:f>
        <x:v>0.09825019856232667</x:v>
      </x:c>
      <x:c r="AJ1094" s="81" t="n">
        <x:f>IF('Inputs'!$B$46&gt;0,AG1094/('Inputs'!$B$19*'Inputs'!$B$46)*365,0)</x:f>
        <x:v>0.023500400621814698</x:v>
      </x:c>
      <x:c r="AK1094" s="81" t="n">
        <x:f>W1094/MAX($W$734:W1094)-1</x:f>
        <x:v>-0.9987155840948607</x:v>
      </x:c>
      <x:c r="AL1094" s="83" t="n">
        <x:f>'Inputs'!$B$46</x:f>
        <x:v>1</x:v>
      </x:c>
      <x:c r="AM1094" s="83" t="n">
        <x:f>'Inputs'!$C$46</x:f>
        <x:v>1</x:v>
      </x:c>
      <x:c r="AN1094" s="83" t="n">
        <x:f>'Inputs'!$D$46</x:f>
        <x:v>1</x:v>
      </x:c>
      <x:c r="AO1094" s="81" t="n">
        <x:f>'Inputs'!$E$46</x:f>
        <x:v>0</x:v>
      </x:c>
    </x:row>
    <x:row r="1095">
      <x:c r="A1095" s="59" t="str">
        <x:v>Base</x:v>
      </x:c>
      <x:c r="B1095" s="59" t="n">
        <x:v>362</x:v>
      </x:c>
      <x:c r="C1095" s="78" t="n">
        <x:f>(('Inputs'!$B$29*(3*362*'Inputs'!$B$12-362^2)/(2*'Inputs'!$B$12^2))-('Inputs'!$B$29*(3*361*'Inputs'!$B$12-361^2)/(2*'Inputs'!$B$12^2)))*'Inputs'!$B$46</x:f>
        <x:v>594459.7954588234</x:v>
      </x:c>
      <x:c r="D1095" s="78" t="n">
        <x:f>IF('Inputs'!$C$46&gt;0,('Inputs'!$B$30*(3*362*'Inputs'!$B$12-362^2)/(2*'Inputs'!$B$12^2))-('Inputs'!$B$30*(3*361*'Inputs'!$B$12-361^2)/(2*'Inputs'!$B$12^2)),0)</x:f>
        <x:v>254768.4837680757</x:v>
      </x:c>
      <x:c r="E1095" s="78" t="n">
        <x:f>C1095+D1095</x:f>
        <x:v>849228.2792268991</x:v>
      </x:c>
      <x:c r="F1095" s="78" t="n">
        <x:f>'Inputs'!$B$13*E1095+(1-'Inputs'!$B$13)/'Inputs'!$B$14*SUM(E1040:E1095)</x:f>
        <x:v>859445.9560893283</x:v>
      </x:c>
      <x:c r="G1095" s="78" t="n">
        <x:f>F1095*'Inputs'!$F$46</x:f>
        <x:v>429722.97804466414</x:v>
      </x:c>
      <x:c r="H1095" s="78" t="n">
        <x:f>U1094</x:f>
        <x:v>164094971.5109007</x:v>
      </x:c>
      <x:c r="I1095" s="78" t="n">
        <x:f>V1094</x:f>
        <x:v>177.63058147085252</x:v>
      </x:c>
      <x:c r="J1095" s="79" t="n">
        <x:f>IF(H1095&gt;0,I1095/H1095,0)</x:f>
        <x:v>0.000001082486439622878</x:v>
      </x:c>
      <x:c r="K1095" s="80" t="n">
        <x:f>(H1095*J1095+I1095)*'Inputs'!$D$46*(1+'Inputs'!$G$46)^(B1095/30)</x:f>
        <x:v>355.26116294170504</x:v>
      </x:c>
      <x:c r="L1095" s="80" t="n">
        <x:f>MAX(0,K1095*'Inputs'!$E$46)</x:f>
        <x:v>0</x:v>
      </x:c>
      <x:c r="M1095" s="80" t="n">
        <x:f>MAX(0,-K1095*'Inputs'!$E$46)</x:f>
        <x:v>0</x:v>
      </x:c>
      <x:c r="N1095" s="78" t="n">
        <x:f>H1095*(L1095*(1-'Inputs'!$B$15))/(I1095+L1095*(1-'Inputs'!$B$15))</x:f>
        <x:v>0</x:v>
      </x:c>
      <x:c r="O1095" s="78" t="n">
        <x:f>H1095-N1095</x:f>
        <x:v>164094971.5109007</x:v>
      </x:c>
      <x:c r="P1095" s="78" t="n">
        <x:f>I1095+L1095*(1-'Inputs'!$B$17)</x:f>
        <x:v>177.63058147085252</x:v>
      </x:c>
      <x:c r="Q1095" s="78" t="n">
        <x:f>IF(J1095&gt;0,M1095/J1095,0)</x:f>
        <x:v>0</x:v>
      </x:c>
      <x:c r="R1095" s="78" t="n">
        <x:f>IF(B1095='Inputs'!$H$46,'Inputs'!$B$27*'Inputs'!$I$46,0)</x:f>
        <x:v>0</x:v>
      </x:c>
      <x:c r="S1095" s="78" t="n">
        <x:f>Q1095+G1095+R1095</x:f>
        <x:v>429722.97804466414</x:v>
      </x:c>
      <x:c r="T1095" s="78" t="n">
        <x:f>P1095*(S1095*(1-'Inputs'!$B$15))/(O1095+S1095*(1-'Inputs'!$B$15))</x:f>
        <x:v>0.459326772216603</x:v>
      </x:c>
      <x:c r="U1095" s="78" t="n">
        <x:f>O1095+S1095*(1-'Inputs'!$B$17)</x:f>
        <x:v>164522965.2214281</x:v>
      </x:c>
      <x:c r="V1095" s="78" t="n">
        <x:f>P1095-T1095</x:f>
        <x:v>177.17125469863592</x:v>
      </x:c>
      <x:c r="W1095" s="79" t="n">
        <x:f>IF(U1095&gt;0,V1095/U1095,0)</x:f>
        <x:v>0.0000010768785650087497</x:v>
      </x:c>
      <x:c r="X1095" s="80" t="n">
        <x:f>W1095*('Inputs'!$B$6-AC1095)</x:f>
        <x:v>946.9564522040436</x:v>
      </x:c>
      <x:c r="Y1095" s="80" t="n">
        <x:f>2*V1095</x:f>
        <x:v>354.34250939727184</x:v>
      </x:c>
      <x:c r="Z1095" s="80" t="n">
        <x:f>K1095*'Inputs'!$B$16+(G1095+R1095)*J1095*'Inputs'!$B$16</x:f>
        <x:v>2.1343579934293966</x:v>
      </x:c>
      <x:c r="AA1095" s="80" t="n">
        <x:f>K1095*(1+'Inputs'!$E$46)/2*'Inputs'!$B$17</x:f>
        <x:v>0.7148111930416601</x:v>
      </x:c>
      <x:c r="AB1095" s="78" t="n">
        <x:f>(IF(J1095&gt;0,K1095*(1-'Inputs'!$E$46)/2/J1095,0)+G1095+R1095)*'Inputs'!$B$17</x:f>
        <x:v>662071.2051869029</x:v>
      </x:c>
      <x:c r="AC1095" s="78" t="n">
        <x:f>AC1094+AB1095</x:f>
        <x:v>120646948.5291041</x:v>
      </x:c>
      <x:c r="AD1095" s="80" t="n">
        <x:f>Z1095/(1+'Inputs'!$C$46)</x:f>
        <x:v>1.0671789967146983</x:v>
      </x:c>
      <x:c r="AE1095" s="80" t="n">
        <x:f>Z1095-AD1095</x:f>
        <x:v>1.0671789967146983</x:v>
      </x:c>
      <x:c r="AF1095" s="80" t="n">
        <x:f>D1095*W1095</x:f>
        <x:v>0.2743547192096203</x:v>
      </x:c>
      <x:c r="AG1095" s="80" t="n">
        <x:f>C1095*W1095</x:f>
        <x:v>0.6401610114890927</x:v>
      </x:c>
      <x:c r="AH1095" s="80" t="n">
        <x:f>2*'Inputs'!$B$8*'Inputs'!$C$46</x:f>
        <x:v>5000</x:v>
      </x:c>
      <x:c r="AI1095" s="81" t="n">
        <x:f>IF(AH1095&gt;0,(AE1095+AF1095)/AH1095*365,0)</x:f>
        <x:v>0.09793196126247525</x:v>
      </x:c>
      <x:c r="AJ1095" s="81" t="n">
        <x:f>IF('Inputs'!$B$46&gt;0,AG1095/('Inputs'!$B$19*'Inputs'!$B$46)*365,0)</x:f>
        <x:v>0.023365876919351884</x:v>
      </x:c>
      <x:c r="AK1095" s="81" t="n">
        <x:f>W1095/MAX($W$734:W1095)-1</x:f>
        <x:v>-0.9987222380750722</x:v>
      </x:c>
      <x:c r="AL1095" s="83" t="n">
        <x:f>'Inputs'!$B$46</x:f>
        <x:v>1</x:v>
      </x:c>
      <x:c r="AM1095" s="83" t="n">
        <x:f>'Inputs'!$C$46</x:f>
        <x:v>1</x:v>
      </x:c>
      <x:c r="AN1095" s="83" t="n">
        <x:f>'Inputs'!$D$46</x:f>
        <x:v>1</x:v>
      </x:c>
      <x:c r="AO1095" s="81" t="n">
        <x:f>'Inputs'!$E$46</x:f>
        <x:v>0</x:v>
      </x:c>
    </x:row>
    <x:row r="1096">
      <x:c r="A1096" s="59" t="str">
        <x:v>Base</x:v>
      </x:c>
      <x:c r="B1096" s="59" t="n">
        <x:v>363</x:v>
      </x:c>
      <x:c r="C1096" s="78" t="n">
        <x:f>(('Inputs'!$B$29*(3*363*'Inputs'!$B$12-363^2)/(2*'Inputs'!$B$12^2))-('Inputs'!$B$29*(3*362*'Inputs'!$B$12-362^2)/(2*'Inputs'!$B$12^2)))*'Inputs'!$B$46</x:f>
        <x:v>594134.6875586212</x:v>
      </x:c>
      <x:c r="D1096" s="78" t="n">
        <x:f>IF('Inputs'!$C$46&gt;0,('Inputs'!$B$30*(3*363*'Inputs'!$B$12-363^2)/(2*'Inputs'!$B$12^2))-('Inputs'!$B$30*(3*362*'Inputs'!$B$12-362^2)/(2*'Inputs'!$B$12^2)),0)</x:f>
        <x:v>254629.15181083977</x:v>
      </x:c>
      <x:c r="E1096" s="78" t="n">
        <x:f>C1096+D1096</x:f>
        <x:v>848763.8393694609</x:v>
      </x:c>
      <x:c r="F1096" s="78" t="n">
        <x:f>'Inputs'!$B$13*E1096+(1-'Inputs'!$B$13)/'Inputs'!$B$14*SUM(E1041:E1096)</x:f>
        <x:v>858981.5162319329</x:v>
      </x:c>
      <x:c r="G1096" s="78" t="n">
        <x:f>F1096*'Inputs'!$F$46</x:f>
        <x:v>429490.75811596646</x:v>
      </x:c>
      <x:c r="H1096" s="78" t="n">
        <x:f>U1095</x:f>
        <x:v>164522965.2214281</x:v>
      </x:c>
      <x:c r="I1096" s="78" t="n">
        <x:f>V1095</x:f>
        <x:v>177.17125469863592</x:v>
      </x:c>
      <x:c r="J1096" s="79" t="n">
        <x:f>IF(H1096&gt;0,I1096/H1096,0)</x:f>
        <x:v>0.0000010768785650087497</x:v>
      </x:c>
      <x:c r="K1096" s="80" t="n">
        <x:f>(H1096*J1096+I1096)*'Inputs'!$D$46*(1+'Inputs'!$G$46)^(B1096/30)</x:f>
        <x:v>354.34250939727184</x:v>
      </x:c>
      <x:c r="L1096" s="80" t="n">
        <x:f>MAX(0,K1096*'Inputs'!$E$46)</x:f>
        <x:v>0</x:v>
      </x:c>
      <x:c r="M1096" s="80" t="n">
        <x:f>MAX(0,-K1096*'Inputs'!$E$46)</x:f>
        <x:v>0</x:v>
      </x:c>
      <x:c r="N1096" s="78" t="n">
        <x:f>H1096*(L1096*(1-'Inputs'!$B$15))/(I1096+L1096*(1-'Inputs'!$B$15))</x:f>
        <x:v>0</x:v>
      </x:c>
      <x:c r="O1096" s="78" t="n">
        <x:f>H1096-N1096</x:f>
        <x:v>164522965.2214281</x:v>
      </x:c>
      <x:c r="P1096" s="78" t="n">
        <x:f>I1096+L1096*(1-'Inputs'!$B$17)</x:f>
        <x:v>177.17125469863592</x:v>
      </x:c>
      <x:c r="Q1096" s="78" t="n">
        <x:f>IF(J1096&gt;0,M1096/J1096,0)</x:f>
        <x:v>0</x:v>
      </x:c>
      <x:c r="R1096" s="78" t="n">
        <x:f>IF(B1096='Inputs'!$H$46,'Inputs'!$B$27*'Inputs'!$I$46,0)</x:f>
        <x:v>0</x:v>
      </x:c>
      <x:c r="S1096" s="78" t="n">
        <x:f>Q1096+G1096+R1096</x:f>
        <x:v>429490.75811596646</x:v>
      </x:c>
      <x:c r="T1096" s="78" t="n">
        <x:f>P1096*(S1096*(1-'Inputs'!$B$15))/(O1096+S1096*(1-'Inputs'!$B$15))</x:f>
        <x:v>0.4567039841022516</x:v>
      </x:c>
      <x:c r="U1096" s="78" t="n">
        <x:f>O1096+S1096*(1-'Inputs'!$B$17)</x:f>
        <x:v>164950727.6465134</x:v>
      </x:c>
      <x:c r="V1096" s="78" t="n">
        <x:f>P1096-T1096</x:f>
        <x:v>176.71455071453366</x:v>
      </x:c>
      <x:c r="W1096" s="79" t="n">
        <x:f>IF(U1096&gt;0,V1096/U1096,0)</x:f>
        <x:v>0.000001071317194145575</x:v>
      </x:c>
      <x:c r="X1096" s="80" t="n">
        <x:f>W1096*('Inputs'!$B$6-AC1096)</x:f>
        <x:v>941.3549113614979</x:v>
      </x:c>
      <x:c r="Y1096" s="80" t="n">
        <x:f>2*V1096</x:f>
        <x:v>353.4291014290673</x:v>
      </x:c>
      <x:c r="Z1096" s="80" t="n">
        <x:f>K1096*'Inputs'!$B$16+(G1096+R1096)*J1096*'Inputs'!$B$16</x:f>
        <x:v>2.128830112731338</x:v>
      </x:c>
      <x:c r="AA1096" s="80" t="n">
        <x:f>K1096*(1+'Inputs'!$E$46)/2*'Inputs'!$B$17</x:f>
        <x:v>0.7129627955679515</x:v>
      </x:c>
      <x:c r="AB1096" s="78" t="n">
        <x:f>(IF(J1096&gt;0,K1096*(1-'Inputs'!$E$46)/2/J1096,0)+G1096+R1096)*'Inputs'!$B$17</x:f>
        <x:v>663792.5793945437</x:v>
      </x:c>
      <x:c r="AC1096" s="78" t="n">
        <x:f>AC1095+AB1096</x:f>
        <x:v>121310741.10849865</x:v>
      </x:c>
      <x:c r="AD1096" s="80" t="n">
        <x:f>Z1096/(1+'Inputs'!$C$46)</x:f>
        <x:v>1.064415056365669</x:v>
      </x:c>
      <x:c r="AE1096" s="80" t="n">
        <x:f>Z1096-AD1096</x:f>
        <x:v>1.064415056365669</x:v>
      </x:c>
      <x:c r="AF1096" s="80" t="n">
        <x:f>D1096*W1096</x:f>
        <x:v>0.2727885884656565</x:v>
      </x:c>
      <x:c r="AG1096" s="80" t="n">
        <x:f>C1096*W1096</x:f>
        <x:v>0.63650670641986</x:v>
      </x:c>
      <x:c r="AH1096" s="80" t="n">
        <x:f>2*'Inputs'!$B$8*'Inputs'!$C$46</x:f>
        <x:v>5000</x:v>
      </x:c>
      <x:c r="AI1096" s="81" t="n">
        <x:f>IF(AH1096&gt;0,(AE1096+AF1096)/AH1096*365,0)</x:f>
        <x:v>0.09761586607268675</x:v>
      </x:c>
      <x:c r="AJ1096" s="81" t="n">
        <x:f>IF('Inputs'!$B$46&gt;0,AG1096/('Inputs'!$B$19*'Inputs'!$B$46)*365,0)</x:f>
        <x:v>0.02323249478432489</x:v>
      </x:c>
      <x:c r="AK1096" s="81" t="n">
        <x:f>W1096/MAX($W$734:W1096)-1</x:f>
        <x:v>-0.998728836876618</x:v>
      </x:c>
      <x:c r="AL1096" s="83" t="n">
        <x:f>'Inputs'!$B$46</x:f>
        <x:v>1</x:v>
      </x:c>
      <x:c r="AM1096" s="83" t="n">
        <x:f>'Inputs'!$C$46</x:f>
        <x:v>1</x:v>
      </x:c>
      <x:c r="AN1096" s="83" t="n">
        <x:f>'Inputs'!$D$46</x:f>
        <x:v>1</x:v>
      </x:c>
      <x:c r="AO1096" s="81" t="n">
        <x:f>'Inputs'!$E$46</x:f>
        <x:v>0</x:v>
      </x:c>
    </x:row>
    <x:row r="1097">
      <x:c r="A1097" s="59" t="str">
        <x:v>Base</x:v>
      </x:c>
      <x:c r="B1097" s="59" t="n">
        <x:v>364</x:v>
      </x:c>
      <x:c r="C1097" s="78" t="n">
        <x:f>(('Inputs'!$B$29*(3*364*'Inputs'!$B$12-364^2)/(2*'Inputs'!$B$12^2))-('Inputs'!$B$29*(3*363*'Inputs'!$B$12-363^2)/(2*'Inputs'!$B$12^2)))*'Inputs'!$B$46</x:f>
        <x:v>593809.5796584785</x:v>
      </x:c>
      <x:c r="D1097" s="78" t="n">
        <x:f>IF('Inputs'!$C$46&gt;0,('Inputs'!$B$30*(3*364*'Inputs'!$B$12-364^2)/(2*'Inputs'!$B$12^2))-('Inputs'!$B$30*(3*363*'Inputs'!$B$12-363^2)/(2*'Inputs'!$B$12^2)),0)</x:f>
        <x:v>254489.81985363364</x:v>
      </x:c>
      <x:c r="E1097" s="78" t="n">
        <x:f>C1097+D1097</x:f>
        <x:v>848299.3995121121</x:v>
      </x:c>
      <x:c r="F1097" s="78" t="n">
        <x:f>'Inputs'!$B$13*E1097+(1-'Inputs'!$B$13)/'Inputs'!$B$14*SUM(E1042:E1097)</x:f>
        <x:v>858517.0763745559</x:v>
      </x:c>
      <x:c r="G1097" s="78" t="n">
        <x:f>F1097*'Inputs'!$F$46</x:f>
        <x:v>429258.53818727797</x:v>
      </x:c>
      <x:c r="H1097" s="78" t="n">
        <x:f>U1096</x:f>
        <x:v>164950727.6465134</x:v>
      </x:c>
      <x:c r="I1097" s="78" t="n">
        <x:f>V1096</x:f>
        <x:v>176.71455071453366</x:v>
      </x:c>
      <x:c r="J1097" s="79" t="n">
        <x:f>IF(H1097&gt;0,I1097/H1097,0)</x:f>
        <x:v>0.000001071317194145575</x:v>
      </x:c>
      <x:c r="K1097" s="80" t="n">
        <x:f>(H1097*J1097+I1097)*'Inputs'!$D$46*(1+'Inputs'!$G$46)^(B1097/30)</x:f>
        <x:v>353.4291014290673</x:v>
      </x:c>
      <x:c r="L1097" s="80" t="n">
        <x:f>MAX(0,K1097*'Inputs'!$E$46)</x:f>
        <x:v>0</x:v>
      </x:c>
      <x:c r="M1097" s="80" t="n">
        <x:f>MAX(0,-K1097*'Inputs'!$E$46)</x:f>
        <x:v>0</x:v>
      </x:c>
      <x:c r="N1097" s="78" t="n">
        <x:f>H1097*(L1097*(1-'Inputs'!$B$15))/(I1097+L1097*(1-'Inputs'!$B$15))</x:f>
        <x:v>0</x:v>
      </x:c>
      <x:c r="O1097" s="78" t="n">
        <x:f>H1097-N1097</x:f>
        <x:v>164950727.6465134</x:v>
      </x:c>
      <x:c r="P1097" s="78" t="n">
        <x:f>I1097+L1097*(1-'Inputs'!$B$17)</x:f>
        <x:v>176.71455071453366</x:v>
      </x:c>
      <x:c r="Q1097" s="78" t="n">
        <x:f>IF(J1097&gt;0,M1097/J1097,0)</x:f>
        <x:v>0</x:v>
      </x:c>
      <x:c r="R1097" s="78" t="n">
        <x:f>IF(B1097='Inputs'!$H$46,'Inputs'!$B$27*'Inputs'!$I$46,0)</x:f>
        <x:v>0</x:v>
      </x:c>
      <x:c r="S1097" s="78" t="n">
        <x:f>Q1097+G1097+R1097</x:f>
        <x:v>429258.53818727797</x:v>
      </x:c>
      <x:c r="T1097" s="78" t="n">
        <x:f>P1097*(S1097*(1-'Inputs'!$B$15))/(O1097+S1097*(1-'Inputs'!$B$15))</x:f>
        <x:v>0.4541034161944717</x:v>
      </x:c>
      <x:c r="U1097" s="78" t="n">
        <x:f>O1097+S1097*(1-'Inputs'!$B$17)</x:f>
        <x:v>165378258.78615665</x:v>
      </x:c>
      <x:c r="V1097" s="78" t="n">
        <x:f>P1097-T1097</x:f>
        <x:v>176.2604472983392</x:v>
      </x:c>
      <x:c r="W1097" s="79" t="n">
        <x:f>IF(U1097&gt;0,V1097/U1097,0)</x:f>
        <x:v>0.0000010658018084847163</x:v>
      </x:c>
      <x:c r="X1097" s="80" t="n">
        <x:f>W1097*('Inputs'!$B$6-AC1097)</x:f>
        <x:v>935.7992962393058</x:v>
      </x:c>
      <x:c r="Y1097" s="80" t="n">
        <x:f>2*V1097</x:f>
        <x:v>352.5208945966784</x:v>
      </x:c>
      <x:c r="Z1097" s="80" t="n">
        <x:f>K1097*'Inputs'!$B$16+(G1097+R1097)*J1097*'Inputs'!$B$16</x:f>
        <x:v>2.1233338408905666</x:v>
      </x:c>
      <x:c r="AA1097" s="80" t="n">
        <x:f>K1097*(1+'Inputs'!$E$46)/2*'Inputs'!$B$17</x:f>
        <x:v>0.7111249525735761</x:v>
      </x:c>
      <x:c r="AB1097" s="78" t="n">
        <x:f>(IF(J1097&gt;0,K1097*(1-'Inputs'!$E$46)/2/J1097,0)+G1097+R1097)*'Inputs'!$B$17</x:f>
        <x:v>665513.022876059</x:v>
      </x:c>
      <x:c r="AC1097" s="78" t="n">
        <x:f>AC1096+AB1097</x:f>
        <x:v>121976254.1313747</x:v>
      </x:c>
      <x:c r="AD1097" s="80" t="n">
        <x:f>Z1097/(1+'Inputs'!$C$46)</x:f>
        <x:v>1.0616669204452833</x:v>
      </x:c>
      <x:c r="AE1097" s="80" t="n">
        <x:f>Z1097-AD1097</x:f>
        <x:v>1.0616669204452833</x:v>
      </x:c>
      <x:c r="AF1097" s="80" t="n">
        <x:f>D1097*W1097</x:f>
        <x:v>0.2712357102409524</x:v>
      </x:c>
      <x:c r="AG1097" s="80" t="n">
        <x:f>C1097*W1097</x:f>
        <x:v>0.6328833238955556</x:v>
      </x:c>
      <x:c r="AH1097" s="80" t="n">
        <x:f>2*'Inputs'!$B$8*'Inputs'!$C$46</x:f>
        <x:v>5000</x:v>
      </x:c>
      <x:c r="AI1097" s="81" t="n">
        <x:f>IF(AH1097&gt;0,(AE1097+AF1097)/AH1097*365,0)</x:f>
        <x:v>0.0973018920400952</x:v>
      </x:c>
      <x:c r="AJ1097" s="81" t="n">
        <x:f>IF('Inputs'!$B$46&gt;0,AG1097/('Inputs'!$B$19*'Inputs'!$B$46)*365,0)</x:f>
        <x:v>0.023100241322187777</x:v>
      </x:c>
      <x:c r="AK1097" s="81" t="n">
        <x:f>W1097/MAX($W$734:W1097)-1</x:f>
        <x:v>-0.9987353811147779</x:v>
      </x:c>
      <x:c r="AL1097" s="83" t="n">
        <x:f>'Inputs'!$B$46</x:f>
        <x:v>1</x:v>
      </x:c>
      <x:c r="AM1097" s="83" t="n">
        <x:f>'Inputs'!$C$46</x:f>
        <x:v>1</x:v>
      </x:c>
      <x:c r="AN1097" s="83" t="n">
        <x:f>'Inputs'!$D$46</x:f>
        <x:v>1</x:v>
      </x:c>
      <x:c r="AO1097" s="81" t="n">
        <x:f>'Inputs'!$E$46</x:f>
        <x:v>0</x:v>
      </x:c>
    </x:row>
    <x:row r="1098">
      <x:c r="A1098" s="59" t="str">
        <x:v>Base</x:v>
      </x:c>
      <x:c r="B1098" s="59" t="n">
        <x:v>365</x:v>
      </x:c>
      <x:c r="C1098" s="78" t="n">
        <x:f>(('Inputs'!$B$29*(3*365*'Inputs'!$B$12-365^2)/(2*'Inputs'!$B$12^2))-('Inputs'!$B$29*(3*364*'Inputs'!$B$12-364^2)/(2*'Inputs'!$B$12^2)))*'Inputs'!$B$46</x:f>
        <x:v>593484.471758306</x:v>
      </x:c>
      <x:c r="D1098" s="78" t="n">
        <x:f>IF('Inputs'!$C$46&gt;0,('Inputs'!$B$30*(3*365*'Inputs'!$B$12-365^2)/(2*'Inputs'!$B$12^2))-('Inputs'!$B$30*(3*364*'Inputs'!$B$12-364^2)/(2*'Inputs'!$B$12^2)),0)</x:f>
        <x:v>254350.4878964126</x:v>
      </x:c>
      <x:c r="E1098" s="78" t="n">
        <x:f>C1098+D1098</x:f>
        <x:v>847834.9596547186</x:v>
      </x:c>
      <x:c r="F1098" s="78" t="n">
        <x:f>'Inputs'!$B$13*E1098+(1-'Inputs'!$B$13)/'Inputs'!$B$14*SUM(E1043:E1098)</x:f>
        <x:v>858052.6365171699</x:v>
      </x:c>
      <x:c r="G1098" s="78" t="n">
        <x:f>F1098*'Inputs'!$F$46</x:f>
        <x:v>429026.31825858494</x:v>
      </x:c>
      <x:c r="H1098" s="78" t="n">
        <x:f>U1097</x:f>
        <x:v>165378258.78615665</x:v>
      </x:c>
      <x:c r="I1098" s="78" t="n">
        <x:f>V1097</x:f>
        <x:v>176.2604472983392</x:v>
      </x:c>
      <x:c r="J1098" s="79" t="n">
        <x:f>IF(H1098&gt;0,I1098/H1098,0)</x:f>
        <x:v>0.0000010658018084847163</x:v>
      </x:c>
      <x:c r="K1098" s="80" t="n">
        <x:f>(H1098*J1098+I1098)*'Inputs'!$D$46*(1+'Inputs'!$G$46)^(B1098/30)</x:f>
        <x:v>352.5208945966784</x:v>
      </x:c>
      <x:c r="L1098" s="80" t="n">
        <x:f>MAX(0,K1098*'Inputs'!$E$46)</x:f>
        <x:v>0</x:v>
      </x:c>
      <x:c r="M1098" s="80" t="n">
        <x:f>MAX(0,-K1098*'Inputs'!$E$46)</x:f>
        <x:v>0</x:v>
      </x:c>
      <x:c r="N1098" s="78" t="n">
        <x:f>H1098*(L1098*(1-'Inputs'!$B$15))/(I1098+L1098*(1-'Inputs'!$B$15))</x:f>
        <x:v>0</x:v>
      </x:c>
      <x:c r="O1098" s="78" t="n">
        <x:f>H1098-N1098</x:f>
        <x:v>165378258.78615665</x:v>
      </x:c>
      <x:c r="P1098" s="78" t="n">
        <x:f>I1098+L1098*(1-'Inputs'!$B$17)</x:f>
        <x:v>176.2604472983392</x:v>
      </x:c>
      <x:c r="Q1098" s="78" t="n">
        <x:f>IF(J1098&gt;0,M1098/J1098,0)</x:f>
        <x:v>0</x:v>
      </x:c>
      <x:c r="R1098" s="78" t="n">
        <x:f>IF(B1098='Inputs'!$H$46,'Inputs'!$B$27*'Inputs'!$I$46,0)</x:f>
        <x:v>0</x:v>
      </x:c>
      <x:c r="S1098" s="78" t="n">
        <x:f>Q1098+G1098+R1098</x:f>
        <x:v>429026.31825858494</x:v>
      </x:c>
      <x:c r="T1098" s="78" t="n">
        <x:f>P1098*(S1098*(1-'Inputs'!$B$15))/(O1098+S1098*(1-'Inputs'!$B$15))</x:f>
        <x:v>0.45152481789074456</x:v>
      </x:c>
      <x:c r="U1098" s="78" t="n">
        <x:f>O1098+S1098*(1-'Inputs'!$B$17)</x:f>
        <x:v>165805558.64035785</x:v>
      </x:c>
      <x:c r="V1098" s="78" t="n">
        <x:f>P1098-T1098</x:f>
        <x:v>175.80892248044844</x:v>
      </x:c>
      <x:c r="W1098" s="79" t="n">
        <x:f>IF(U1098&gt;0,V1098/U1098,0)</x:f>
        <x:v>0.0000010603318967236104</x:v>
      </x:c>
      <x:c r="X1098" s="80" t="n">
        <x:f>W1098*('Inputs'!$B$6-AC1098)</x:f>
        <x:v>930.289095885187</x:v>
      </x:c>
      <x:c r="Y1098" s="80" t="n">
        <x:f>2*V1098</x:f>
        <x:v>351.6178449608969</x:v>
      </x:c>
      <x:c r="Z1098" s="80" t="n">
        <x:f>K1098*'Inputs'!$B$16+(G1098+R1098)*J1098*'Inputs'!$B$16</x:f>
        <x:v>2.1178689097353955</x:v>
      </x:c>
      <x:c r="AA1098" s="80" t="n">
        <x:f>K1098*(1+'Inputs'!$E$46)/2*'Inputs'!$B$17</x:f>
        <x:v>0.709297574641204</x:v>
      </x:c>
      <x:c r="AB1098" s="78" t="n">
        <x:f>(IF(J1098&gt;0,K1098*(1-'Inputs'!$E$46)/2/J1098,0)+G1098+R1098)*'Inputs'!$B$17</x:f>
        <x:v>667232.5356314497</x:v>
      </x:c>
      <x:c r="AC1098" s="78" t="n">
        <x:f>AC1097+AB1098</x:f>
        <x:v>122643486.66700615</x:v>
      </x:c>
      <x:c r="AD1098" s="80" t="n">
        <x:f>Z1098/(1+'Inputs'!$C$46)</x:f>
        <x:v>1.0589344548676978</x:v>
      </x:c>
      <x:c r="AE1098" s="80" t="n">
        <x:f>Z1098-AD1098</x:f>
        <x:v>1.0589344548676978</x:v>
      </x:c>
      <x:c r="AF1098" s="80" t="n">
        <x:f>D1098*W1098</x:f>
        <x:v>0.2696959352637789</x:v>
      </x:c>
      <x:c r="AG1098" s="80" t="n">
        <x:f>C1098*W1098</x:f>
        <x:v>0.6292905156154946</x:v>
      </x:c>
      <x:c r="AH1098" s="80" t="n">
        <x:f>2*'Inputs'!$B$8*'Inputs'!$C$46</x:f>
        <x:v>5000</x:v>
      </x:c>
      <x:c r="AI1098" s="81" t="n">
        <x:f>IF(AH1098&gt;0,(AE1098+AF1098)/AH1098*365,0)</x:f>
        <x:v>0.09699001847959779</x:v>
      </x:c>
      <x:c r="AJ1098" s="81" t="n">
        <x:f>IF('Inputs'!$B$46&gt;0,AG1098/('Inputs'!$B$19*'Inputs'!$B$46)*365,0)</x:f>
        <x:v>0.02296910381996556</x:v>
      </x:c>
      <x:c r="AK1098" s="81" t="n">
        <x:f>W1098/MAX($W$734:W1098)-1</x:f>
        <x:v>-0.998741871396234</x:v>
      </x:c>
      <x:c r="AL1098" s="83" t="n">
        <x:f>'Inputs'!$B$46</x:f>
        <x:v>1</x:v>
      </x:c>
      <x:c r="AM1098" s="83" t="n">
        <x:f>'Inputs'!$C$46</x:f>
        <x:v>1</x:v>
      </x:c>
      <x:c r="AN1098" s="83" t="n">
        <x:f>'Inputs'!$D$46</x:f>
        <x:v>1</x:v>
      </x:c>
      <x:c r="AO1098" s="81" t="n">
        <x:f>'Inputs'!$E$46</x:f>
        <x:v>0</x:v>
      </x:c>
    </x:row>
    <x:row r="1099">
      <x:c r="A1099" s="59" t="str">
        <x:v>Growth</x:v>
      </x:c>
      <x:c r="B1099" s="59" t="n">
        <x:v>1</x:v>
      </x:c>
      <x:c r="C1099" s="78" t="n">
        <x:f>(('Inputs'!$B$29*(3*1*'Inputs'!$B$12-1^2)/(2*'Inputs'!$B$12^2))-('Inputs'!$B$29*(3*0*'Inputs'!$B$12-0^2)/(2*'Inputs'!$B$12^2)))*'Inputs'!$B$47</x:f>
        <x:v>711823.7474197786</x:v>
      </x:c>
      <x:c r="D1099" s="78" t="n">
        <x:f>IF('Inputs'!$C$47&gt;0,('Inputs'!$B$30*(3*1*'Inputs'!$B$12-1^2)/(2*'Inputs'!$B$12^2))-('Inputs'!$B$30*(3*0*'Inputs'!$B$12-0^2)/(2*'Inputs'!$B$12^2)),0)</x:f>
        <x:v>305067.32032276224</x:v>
      </x:c>
      <x:c r="E1099" s="78" t="n">
        <x:f>C1099+D1099</x:f>
        <x:v>1016891.0677425409</x:v>
      </x:c>
      <x:c r="F1099" s="78" t="n">
        <x:f>'Inputs'!$B$13*E1099+(1-'Inputs'!$B$13)/'Inputs'!$B$14*SUM(E1099:E1099)</x:f>
        <x:v>217905.22880197305</x:v>
      </x:c>
      <x:c r="G1099" s="78" t="n">
        <x:f>F1099*'Inputs'!$F$47</x:f>
        <x:v>76266.83008069056</x:v>
      </x:c>
      <x:c r="H1099" s="78" t="n">
        <x:f>'Inputs'!$B$26*(1+'Inputs'!$C$47)</x:f>
        <x:v>7142857.142857144</x:v>
      </x:c>
      <x:c r="I1099" s="78" t="n">
        <x:f>'Inputs'!$B$8*(1+'Inputs'!$C$47)</x:f>
        <x:v>6250</x:v>
      </x:c>
      <x:c r="J1099" s="79" t="n">
        <x:f>IF(H1099&gt;0,I1099/H1099,0)</x:f>
        <x:v>0.0008749999999999999</x:v>
      </x:c>
      <x:c r="K1099" s="80" t="n">
        <x:f>(H1099*J1099+I1099)*'Inputs'!$D$47*(1+'Inputs'!$G$47)^(B1099/30)</x:f>
        <x:v>18768.48335566991</x:v>
      </x:c>
      <x:c r="L1099" s="80" t="n">
        <x:f>MAX(0,K1099*'Inputs'!$E$47)</x:f>
        <x:v>938.4241677834955</x:v>
      </x:c>
      <x:c r="M1099" s="80" t="n">
        <x:f>MAX(0,-K1099*'Inputs'!$E$47)</x:f>
        <x:v>0</x:v>
      </x:c>
      <x:c r="N1099" s="78" t="n">
        <x:f>H1099*(L1099*(1-'Inputs'!$B$15))/(I1099+L1099*(1-'Inputs'!$B$15))</x:f>
        <x:v>924357.5102643358</x:v>
      </x:c>
      <x:c r="O1099" s="78" t="n">
        <x:f>H1099-N1099</x:f>
        <x:v>6218499.6325928075</x:v>
      </x:c>
      <x:c r="P1099" s="78" t="n">
        <x:f>I1099+L1099*(1-'Inputs'!$B$17)</x:f>
        <x:v>7184.647812983561</x:v>
      </x:c>
      <x:c r="Q1099" s="78" t="n">
        <x:f>IF(J1099&gt;0,M1099/J1099,0)</x:f>
        <x:v>0</x:v>
      </x:c>
      <x:c r="R1099" s="78" t="n">
        <x:f>IF(B1099='Inputs'!$H$47,'Inputs'!$B$27*'Inputs'!$I$47,0)</x:f>
        <x:v>0</x:v>
      </x:c>
      <x:c r="S1099" s="78" t="n">
        <x:f>Q1099+G1099+R1099</x:f>
        <x:v>76266.83008069056</x:v>
      </x:c>
      <x:c r="T1099" s="78" t="n">
        <x:f>P1099*(S1099*(1-'Inputs'!$B$15))/(O1099+S1099*(1-'Inputs'!$B$15))</x:f>
        <x:v>86.18851029101818</x:v>
      </x:c>
      <x:c r="U1099" s="78" t="n">
        <x:f>O1099+S1099*(1-'Inputs'!$B$17)</x:f>
        <x:v>6294459.553900538</x:v>
      </x:c>
      <x:c r="V1099" s="78" t="n">
        <x:f>P1099-T1099</x:f>
        <x:v>7098.459302692543</x:v>
      </x:c>
      <x:c r="W1099" s="79" t="n">
        <x:f>IF(U1099&gt;0,V1099/U1099,0)</x:f>
        <x:v>0.0011277313392686404</x:v>
      </x:c>
      <x:c r="X1099" s="80" t="n">
        <x:f>W1099*('Inputs'!$B$6-AC1099)</x:f>
        <x:v>1127684.755695447</x:v>
      </x:c>
      <x:c r="Y1099" s="80" t="n">
        <x:f>2*V1099</x:f>
        <x:v>14196.918605385086</x:v>
      </x:c>
      <x:c r="Z1099" s="80" t="n">
        <x:f>K1099*'Inputs'!$B$16+(G1099+R1099)*J1099*'Inputs'!$B$16</x:f>
        <x:v>113.01130099194309</x:v>
      </x:c>
      <x:c r="AA1099" s="80" t="n">
        <x:f>K1099*(1+'Inputs'!$E$47)/2*'Inputs'!$B$17</x:f>
        <x:v>39.651725399302634</x:v>
      </x:c>
      <x:c r="AB1099" s="78" t="n">
        <x:f>(IF(J1099&gt;0,K1099*(1-'Inputs'!$E$47)/2/J1099,0)+G1099+R1099)*'Inputs'!$B$17</x:f>
        <x:v>41307.33231509657</x:v>
      </x:c>
      <x:c r="AC1099" s="78" t="n">
        <x:f>AB1099</x:f>
        <x:v>41307.33231509657</x:v>
      </x:c>
      <x:c r="AD1099" s="80" t="n">
        <x:f>Z1099/(1+'Inputs'!$C$47)</x:f>
        <x:v>45.204520396777234</x:v>
      </x:c>
      <x:c r="AE1099" s="80" t="n">
        <x:f>Z1099-AD1099</x:f>
        <x:v>67.80678059516586</x:v>
      </x:c>
      <x:c r="AF1099" s="80" t="n">
        <x:f>D1099*W1099</x:f>
        <x:v>344.033977714684</x:v>
      </x:c>
      <x:c r="AG1099" s="80" t="n">
        <x:f>C1099*W1099</x:f>
        <x:v>802.7459480009294</x:v>
      </x:c>
      <x:c r="AH1099" s="80" t="n">
        <x:f>2*'Inputs'!$B$8*'Inputs'!$C$47</x:f>
        <x:v>7500</x:v>
      </x:c>
      <x:c r="AI1099" s="81" t="n">
        <x:f>IF(AH1099&gt;0,(AE1099+AF1099)/AH1099*365,0)</x:f>
        <x:v>20.042916904412696</x:v>
      </x:c>
      <x:c r="AJ1099" s="81" t="n">
        <x:f>IF('Inputs'!$B$47&gt;0,AG1099/('Inputs'!$B$19*'Inputs'!$B$47)*365,0)</x:f>
        <x:v>29.300227102033922</x:v>
      </x:c>
      <x:c r="AK1099" s="81" t="n">
        <x:f>W1099/MAX($W$1099:W1099)-1</x:f>
        <x:v>0</x:v>
      </x:c>
      <x:c r="AL1099" s="83" t="n">
        <x:f>'Inputs'!$B$47</x:f>
        <x:v>1</x:v>
      </x:c>
      <x:c r="AM1099" s="83" t="n">
        <x:f>'Inputs'!$C$47</x:f>
        <x:v>1.5</x:v>
      </x:c>
      <x:c r="AN1099" s="83" t="n">
        <x:f>'Inputs'!$D$47</x:f>
        <x:v>1.5</x:v>
      </x:c>
      <x:c r="AO1099" s="81" t="n">
        <x:f>'Inputs'!$E$47</x:f>
        <x:v>0.05</x:v>
      </x:c>
    </x:row>
    <x:row r="1100">
      <x:c r="A1100" s="59" t="str">
        <x:v>Growth</x:v>
      </x:c>
      <x:c r="B1100" s="59" t="n">
        <x:v>2</x:v>
      </x:c>
      <x:c r="C1100" s="78" t="n">
        <x:f>(('Inputs'!$B$29*(3*2*'Inputs'!$B$12-2^2)/(2*'Inputs'!$B$12^2))-('Inputs'!$B$29*(3*1*'Inputs'!$B$12-1^2)/(2*'Inputs'!$B$12^2)))*'Inputs'!$B$47</x:f>
        <x:v>711498.6395196096</x:v>
      </x:c>
      <x:c r="D1100" s="78" t="n">
        <x:f>IF('Inputs'!$C$47&gt;0,('Inputs'!$B$30*(3*2*'Inputs'!$B$12-2^2)/(2*'Inputs'!$B$12^2))-('Inputs'!$B$30*(3*1*'Inputs'!$B$12-1^2)/(2*'Inputs'!$B$12^2)),0)</x:f>
        <x:v>304927.98836554703</x:v>
      </x:c>
      <x:c r="E1100" s="78" t="n">
        <x:f>C1100+D1100</x:f>
        <x:v>1016426.6278851567</x:v>
      </x:c>
      <x:c r="F1100" s="78" t="n">
        <x:f>'Inputs'!$B$13*E1100+(1-'Inputs'!$B$13)/'Inputs'!$B$14*SUM(E1099:E1100)</x:f>
        <x:v>232332.7212288556</x:v>
      </x:c>
      <x:c r="G1100" s="78" t="n">
        <x:f>F1100*'Inputs'!$F$47</x:f>
        <x:v>81316.45243009945</x:v>
      </x:c>
      <x:c r="H1100" s="78" t="n">
        <x:f>U1099</x:f>
        <x:v>6294459.553900538</x:v>
      </x:c>
      <x:c r="I1100" s="78" t="n">
        <x:f>V1099</x:f>
        <x:v>7098.459302692543</x:v>
      </x:c>
      <x:c r="J1100" s="79" t="n">
        <x:f>IF(H1100&gt;0,I1100/H1100,0)</x:f>
        <x:v>0.0011277313392686404</x:v>
      </x:c>
      <x:c r="K1100" s="80" t="n">
        <x:f>(H1100*J1100+I1100)*'Inputs'!$D$47*(1+'Inputs'!$G$47)^(B1100/30)</x:f>
        <x:v>21337.38367343782</x:v>
      </x:c>
      <x:c r="L1100" s="80" t="n">
        <x:f>MAX(0,K1100*'Inputs'!$E$47)</x:f>
        <x:v>1066.869183671891</x:v>
      </x:c>
      <x:c r="M1100" s="80" t="n">
        <x:f>MAX(0,-K1100*'Inputs'!$E$47)</x:f>
        <x:v>0</x:v>
      </x:c>
      <x:c r="N1100" s="78" t="n">
        <x:f>H1100*(L1100*(1-'Inputs'!$B$15))/(I1100+L1100*(1-'Inputs'!$B$15))</x:f>
        <x:v>815265.313842732</x:v>
      </x:c>
      <x:c r="O1100" s="78" t="n">
        <x:f>H1100-N1100</x:f>
        <x:v>5479194.240057806</x:v>
      </x:c>
      <x:c r="P1100" s="78" t="n">
        <x:f>I1100+L1100*(1-'Inputs'!$B$17)</x:f>
        <x:v>8161.035250212837</x:v>
      </x:c>
      <x:c r="Q1100" s="78" t="n">
        <x:f>IF(J1100&gt;0,M1100/J1100,0)</x:f>
        <x:v>0</x:v>
      </x:c>
      <x:c r="R1100" s="78" t="n">
        <x:f>IF(B1100='Inputs'!$H$47,'Inputs'!$B$27*'Inputs'!$I$47,0)</x:f>
        <x:v>0</x:v>
      </x:c>
      <x:c r="S1100" s="78" t="n">
        <x:f>Q1100+G1100+R1100</x:f>
        <x:v>81316.45243009945</x:v>
      </x:c>
      <x:c r="T1100" s="78" t="n">
        <x:f>P1100*(S1100*(1-'Inputs'!$B$15))/(O1100+S1100*(1-'Inputs'!$B$15))</x:f>
        <x:v>118.17012833032575</x:v>
      </x:c>
      <x:c r="U1100" s="78" t="n">
        <x:f>O1100+S1100*(1-'Inputs'!$B$17)</x:f>
        <x:v>5560183.463303075</x:v>
      </x:c>
      <x:c r="V1100" s="78" t="n">
        <x:f>P1100-T1100</x:f>
        <x:v>8042.865121882512</x:v>
      </x:c>
      <x:c r="W1100" s="79" t="n">
        <x:f>IF(U1100&gt;0,V1100/U1100,0)</x:f>
        <x:v>0.0014465107446480871</x:v>
      </x:c>
      <x:c r="X1100" s="80" t="n">
        <x:f>W1100*('Inputs'!$B$6-AC1100)</x:f>
        <x:v>1446398.2050282366</x:v>
      </x:c>
      <x:c r="Y1100" s="80" t="n">
        <x:f>2*V1100</x:f>
        <x:v>16085.730243765023</x:v>
      </x:c>
      <x:c r="Z1100" s="80" t="n">
        <x:f>K1100*'Inputs'!$B$16+(G1100+R1100)*J1100*'Inputs'!$B$16</x:f>
        <x:v>128.57452071144837</x:v>
      </x:c>
      <x:c r="AA1100" s="80" t="n">
        <x:f>K1100*(1+'Inputs'!$E$47)/2*'Inputs'!$B$17</x:f>
        <x:v>45.07897959177005</x:v>
      </x:c>
      <x:c r="AB1100" s="78" t="n">
        <x:f>(IF(J1100&gt;0,K1100*(1-'Inputs'!$E$47)/2/J1100,0)+G1100+R1100)*'Inputs'!$B$17</x:f>
        <x:v>36493.417016962674</x:v>
      </x:c>
      <x:c r="AC1100" s="78" t="n">
        <x:f>AC1099+AB1100</x:f>
        <x:v>77800.74933205925</x:v>
      </x:c>
      <x:c r="AD1100" s="80" t="n">
        <x:f>Z1100/(1+'Inputs'!$C$47)</x:f>
        <x:v>51.42980828457935</x:v>
      </x:c>
      <x:c r="AE1100" s="80" t="n">
        <x:f>Z1100-AD1100</x:f>
        <x:v>77.14471242686902</x:v>
      </x:c>
      <x:c r="AF1100" s="80" t="n">
        <x:f>D1100*W1100</x:f>
        <x:v>441.0816115146907</x:v>
      </x:c>
      <x:c r="AG1100" s="80" t="n">
        <x:f>C1100*W1100</x:f>
        <x:v>1029.1904268676114</x:v>
      </x:c>
      <x:c r="AH1100" s="80" t="n">
        <x:f>2*'Inputs'!$B$8*'Inputs'!$C$47</x:f>
        <x:v>7500</x:v>
      </x:c>
      <x:c r="AI1100" s="81" t="n">
        <x:f>IF(AH1100&gt;0,(AE1100+AF1100)/AH1100*365,0)</x:f>
        <x:v>25.220347765155907</x:v>
      </x:c>
      <x:c r="AJ1100" s="81" t="n">
        <x:f>IF('Inputs'!$B$47&gt;0,AG1100/('Inputs'!$B$19*'Inputs'!$B$47)*365,0)</x:f>
        <x:v>37.56545058066782</x:v>
      </x:c>
      <x:c r="AK1100" s="81" t="n">
        <x:f>W1100/MAX($W$1099:W1100)-1</x:f>
        <x:v>0</x:v>
      </x:c>
      <x:c r="AL1100" s="83" t="n">
        <x:f>'Inputs'!$B$47</x:f>
        <x:v>1</x:v>
      </x:c>
      <x:c r="AM1100" s="83" t="n">
        <x:f>'Inputs'!$C$47</x:f>
        <x:v>1.5</x:v>
      </x:c>
      <x:c r="AN1100" s="83" t="n">
        <x:f>'Inputs'!$D$47</x:f>
        <x:v>1.5</x:v>
      </x:c>
      <x:c r="AO1100" s="81" t="n">
        <x:f>'Inputs'!$E$47</x:f>
        <x:v>0.05</x:v>
      </x:c>
    </x:row>
    <x:row r="1101">
      <x:c r="A1101" s="59" t="str">
        <x:v>Growth</x:v>
      </x:c>
      <x:c r="B1101" s="59" t="n">
        <x:v>3</x:v>
      </x:c>
      <x:c r="C1101" s="78" t="n">
        <x:f>(('Inputs'!$B$29*(3*3*'Inputs'!$B$12-3^2)/(2*'Inputs'!$B$12^2))-('Inputs'!$B$29*(3*2*'Inputs'!$B$12-2^2)/(2*'Inputs'!$B$12^2)))*'Inputs'!$B$47</x:f>
        <x:v>711173.5316194408</x:v>
      </x:c>
      <x:c r="D1101" s="78" t="n">
        <x:f>IF('Inputs'!$C$47&gt;0,('Inputs'!$B$30*(3*3*'Inputs'!$B$12-3^2)/(2*'Inputs'!$B$12^2))-('Inputs'!$B$30*(3*2*'Inputs'!$B$12-2^2)/(2*'Inputs'!$B$12^2)),0)</x:f>
        <x:v>304788.6564083317</x:v>
      </x:c>
      <x:c r="E1101" s="78" t="n">
        <x:f>C1101+D1101</x:f>
        <x:v>1015962.1880277725</x:v>
      </x:c>
      <x:c r="F1101" s="78" t="n">
        <x:f>'Inputs'!$B$13*E1101+(1-'Inputs'!$B$13)/'Inputs'!$B$14*SUM(E1099:E1101)</x:f>
        <x:v>246753.57880063265</x:v>
      </x:c>
      <x:c r="G1101" s="78" t="n">
        <x:f>F1101*'Inputs'!$F$47</x:f>
        <x:v>86363.75258022142</x:v>
      </x:c>
      <x:c r="H1101" s="78" t="n">
        <x:f>U1100</x:f>
        <x:v>5560183.463303075</x:v>
      </x:c>
      <x:c r="I1101" s="78" t="n">
        <x:f>V1100</x:f>
        <x:v>8042.865121882512</x:v>
      </x:c>
      <x:c r="J1101" s="79" t="n">
        <x:f>IF(H1101&gt;0,I1101/H1101,0)</x:f>
        <x:v>0.0014465107446480871</x:v>
      </x:c>
      <x:c r="K1101" s="80" t="n">
        <x:f>(H1101*J1101+I1101)*'Inputs'!$D$47*(1+'Inputs'!$G$47)^(B1101/30)</x:f>
        <x:v>24200.022115978893</x:v>
      </x:c>
      <x:c r="L1101" s="80" t="n">
        <x:f>MAX(0,K1101*'Inputs'!$E$47)</x:f>
        <x:v>1210.0011057989448</x:v>
      </x:c>
      <x:c r="M1101" s="80" t="n">
        <x:f>MAX(0,-K1101*'Inputs'!$E$47)</x:f>
        <x:v>0</x:v>
      </x:c>
      <x:c r="N1101" s="78" t="n">
        <x:f>H1101*(L1101*(1-'Inputs'!$B$15))/(I1101+L1101*(1-'Inputs'!$B$15))</x:f>
        <x:v>720778.95939727</x:v>
      </x:c>
      <x:c r="O1101" s="78" t="n">
        <x:f>H1101-N1101</x:f>
        <x:v>4839404.503905805</x:v>
      </x:c>
      <x:c r="P1101" s="78" t="n">
        <x:f>I1101+L1101*(1-'Inputs'!$B$17)</x:f>
        <x:v>9247.99700793981</x:v>
      </x:c>
      <x:c r="Q1101" s="78" t="n">
        <x:f>IF(J1101&gt;0,M1101/J1101,0)</x:f>
        <x:v>0</x:v>
      </x:c>
      <x:c r="R1101" s="78" t="n">
        <x:f>IF(B1101='Inputs'!$H$47,'Inputs'!$B$27*'Inputs'!$I$47,0)</x:f>
        <x:v>0</x:v>
      </x:c>
      <x:c r="S1101" s="78" t="n">
        <x:f>Q1101+G1101+R1101</x:f>
        <x:v>86363.75258022142</x:v>
      </x:c>
      <x:c r="T1101" s="78" t="n">
        <x:f>P1101*(S1101*(1-'Inputs'!$B$15))/(O1101+S1101*(1-'Inputs'!$B$15))</x:f>
        <x:v>160.5523090046598</x:v>
      </x:c>
      <x:c r="U1101" s="78" t="n">
        <x:f>O1101+S1101*(1-'Inputs'!$B$17)</x:f>
        <x:v>4925420.716234194</x:v>
      </x:c>
      <x:c r="V1101" s="78" t="n">
        <x:f>P1101-T1101</x:f>
        <x:v>9087.44469893515</x:v>
      </x:c>
      <x:c r="W1101" s="79" t="n">
        <x:f>IF(U1101&gt;0,V1101/U1101,0)</x:f>
        <x:v>0.0018450088271612858</x:v>
      </x:c>
      <x:c r="X1101" s="80" t="n">
        <x:f>W1101*('Inputs'!$B$6-AC1101)</x:f>
        <x:v>1844805.6418240138</x:v>
      </x:c>
      <x:c r="Y1101" s="80" t="n">
        <x:f>2*V1101</x:f>
        <x:v>18174.8893978703</x:v>
      </x:c>
      <x:c r="Z1101" s="80" t="n">
        <x:f>K1101*'Inputs'!$B$16+(G1101+R1101)*J1101*'Inputs'!$B$16</x:f>
        <x:v>145.94968927220586</x:v>
      </x:c>
      <x:c r="AA1101" s="80" t="n">
        <x:f>K1101*(1+'Inputs'!$E$47)/2*'Inputs'!$B$17</x:f>
        <x:v>51.12680728727936</x:v>
      </x:c>
      <x:c r="AB1101" s="78" t="n">
        <x:f>(IF(J1101&gt;0,K1101*(1-'Inputs'!$E$47)/2/J1101,0)+G1101+R1101)*'Inputs'!$B$17</x:f>
        <x:v>32326.277856637866</x:v>
      </x:c>
      <x:c r="AC1101" s="78" t="n">
        <x:f>AC1100+AB1101</x:f>
        <x:v>110127.02718869712</x:v>
      </x:c>
      <x:c r="AD1101" s="80" t="n">
        <x:f>Z1101/(1+'Inputs'!$C$47)</x:f>
        <x:v>58.379875708882345</x:v>
      </x:c>
      <x:c r="AE1101" s="80" t="n">
        <x:f>Z1101-AD1101</x:f>
        <x:v>87.56981356332352</x:v>
      </x:c>
      <x:c r="AF1101" s="80" t="n">
        <x:f>D1101*W1101</x:f>
        <x:v>562.3377614920003</x:v>
      </x:c>
      <x:c r="AG1101" s="80" t="n">
        <x:f>C1101*W1101</x:f>
        <x:v>1312.121443481334</x:v>
      </x:c>
      <x:c r="AH1101" s="80" t="n">
        <x:f>2*'Inputs'!$B$8*'Inputs'!$C$47</x:f>
        <x:v>7500</x:v>
      </x:c>
      <x:c r="AI1101" s="81" t="n">
        <x:f>IF(AH1101&gt;0,(AE1101+AF1101)/AH1101*365,0)</x:f>
        <x:v>31.628835319359094</x:v>
      </x:c>
      <x:c r="AJ1101" s="81" t="n">
        <x:f>IF('Inputs'!$B$47&gt;0,AG1101/('Inputs'!$B$19*'Inputs'!$B$47)*365,0)</x:f>
        <x:v>47.892432687068684</x:v>
      </x:c>
      <x:c r="AK1101" s="81" t="n">
        <x:f>W1101/MAX($W$1099:W1101)-1</x:f>
        <x:v>0</x:v>
      </x:c>
      <x:c r="AL1101" s="83" t="n">
        <x:f>'Inputs'!$B$47</x:f>
        <x:v>1</x:v>
      </x:c>
      <x:c r="AM1101" s="83" t="n">
        <x:f>'Inputs'!$C$47</x:f>
        <x:v>1.5</x:v>
      </x:c>
      <x:c r="AN1101" s="83" t="n">
        <x:f>'Inputs'!$D$47</x:f>
        <x:v>1.5</x:v>
      </x:c>
      <x:c r="AO1101" s="81" t="n">
        <x:f>'Inputs'!$E$47</x:f>
        <x:v>0.05</x:v>
      </x:c>
    </x:row>
    <x:row r="1102">
      <x:c r="A1102" s="59" t="str">
        <x:v>Growth</x:v>
      </x:c>
      <x:c r="B1102" s="59" t="n">
        <x:v>4</x:v>
      </x:c>
      <x:c r="C1102" s="78" t="n">
        <x:f>(('Inputs'!$B$29*(3*4*'Inputs'!$B$12-4^2)/(2*'Inputs'!$B$12^2))-('Inputs'!$B$29*(3*3*'Inputs'!$B$12-3^2)/(2*'Inputs'!$B$12^2)))*'Inputs'!$B$47</x:f>
        <x:v>710848.423719272</x:v>
      </x:c>
      <x:c r="D1102" s="78" t="n">
        <x:f>IF('Inputs'!$C$47&gt;0,('Inputs'!$B$30*(3*4*'Inputs'!$B$12-4^2)/(2*'Inputs'!$B$12^2))-('Inputs'!$B$30*(3*3*'Inputs'!$B$12-3^2)/(2*'Inputs'!$B$12^2)),0)</x:f>
        <x:v>304649.3244511165</x:v>
      </x:c>
      <x:c r="E1102" s="78" t="n">
        <x:f>C1102+D1102</x:f>
        <x:v>1015497.7481703885</x:v>
      </x:c>
      <x:c r="F1102" s="78" t="n">
        <x:f>'Inputs'!$B$13*E1102+(1-'Inputs'!$B$13)/'Inputs'!$B$14*SUM(E1099:E1102)</x:f>
        <x:v>261167.80151730427</x:v>
      </x:c>
      <x:c r="G1102" s="78" t="n">
        <x:f>F1102*'Inputs'!$F$47</x:f>
        <x:v>91408.73053105648</x:v>
      </x:c>
      <x:c r="H1102" s="78" t="n">
        <x:f>U1101</x:f>
        <x:v>4925420.716234194</x:v>
      </x:c>
      <x:c r="I1102" s="78" t="n">
        <x:f>V1101</x:f>
        <x:v>9087.44469893515</x:v>
      </x:c>
      <x:c r="J1102" s="79" t="n">
        <x:f>IF(H1102&gt;0,I1102/H1102,0)</x:f>
        <x:v>0.0018450088271612858</x:v>
      </x:c>
      <x:c r="K1102" s="80" t="n">
        <x:f>(H1102*J1102+I1102)*'Inputs'!$D$47*(1+'Inputs'!$G$47)^(B1102/30)</x:f>
        <x:v>27369.991698398117</x:v>
      </x:c>
      <x:c r="L1102" s="80" t="n">
        <x:f>MAX(0,K1102*'Inputs'!$E$47)</x:f>
        <x:v>1368.4995849199058</x:v>
      </x:c>
      <x:c r="M1102" s="80" t="n">
        <x:f>MAX(0,-K1102*'Inputs'!$E$47)</x:f>
        <x:v>0</x:v>
      </x:c>
      <x:c r="N1102" s="78" t="n">
        <x:f>H1102*(L1102*(1-'Inputs'!$B$15))/(I1102+L1102*(1-'Inputs'!$B$15))</x:f>
        <x:v>639041.0024897509</x:v>
      </x:c>
      <x:c r="O1102" s="78" t="n">
        <x:f>H1102-N1102</x:f>
        <x:v>4286379.713744443</x:v>
      </x:c>
      <x:c r="P1102" s="78" t="n">
        <x:f>I1102+L1102*(1-'Inputs'!$B$17)</x:f>
        <x:v>10450.437243271877</x:v>
      </x:c>
      <x:c r="Q1102" s="78" t="n">
        <x:f>IF(J1102&gt;0,M1102/J1102,0)</x:f>
        <x:v>0</x:v>
      </x:c>
      <x:c r="R1102" s="78" t="n">
        <x:f>IF(B1102='Inputs'!$H$47,'Inputs'!$B$27*'Inputs'!$I$47,0)</x:f>
        <x:v>0</x:v>
      </x:c>
      <x:c r="S1102" s="78" t="n">
        <x:f>Q1102+G1102+R1102</x:f>
        <x:v>91408.73053105648</x:v>
      </x:c>
      <x:c r="T1102" s="78" t="n">
        <x:f>P1102*(S1102*(1-'Inputs'!$B$15))/(O1102+S1102*(1-'Inputs'!$B$15))</x:f>
        <x:v>216.06939399046075</x:v>
      </x:c>
      <x:c r="U1102" s="78" t="n">
        <x:f>O1102+S1102*(1-'Inputs'!$B$17)</x:f>
        <x:v>4377420.6023015315</x:v>
      </x:c>
      <x:c r="V1102" s="78" t="n">
        <x:f>P1102-T1102</x:f>
        <x:v>10234.367849281416</x:v>
      </x:c>
      <x:c r="W1102" s="79" t="n">
        <x:f>IF(U1102&gt;0,V1102/U1102,0)</x:f>
        <x:v>0.0023379905152135613</x:v>
      </x:c>
      <x:c r="X1102" s="80" t="n">
        <x:f>W1102*('Inputs'!$B$6-AC1102)</x:f>
        <x:v>2337665.883432561</x:v>
      </x:c>
      <x:c r="Y1102" s="80" t="n">
        <x:f>2*V1102</x:f>
        <x:v>20468.735698562832</x:v>
      </x:c>
      <x:c r="Z1102" s="80" t="n">
        <x:f>K1102*'Inputs'!$B$16+(G1102+R1102)*J1102*'Inputs'!$B$16</x:f>
        <x:v>165.23184967864515</x:v>
      </x:c>
      <x:c r="AA1102" s="80" t="n">
        <x:f>K1102*(1+'Inputs'!$E$47)/2*'Inputs'!$B$17</x:f>
        <x:v>57.82392612337631</x:v>
      </x:c>
      <x:c r="AB1102" s="78" t="n">
        <x:f>(IF(J1102&gt;0,K1102*(1-'Inputs'!$E$47)/2/J1102,0)+G1102+R1102)*'Inputs'!$B$17</x:f>
        <x:v>28723.74183201473</x:v>
      </x:c>
      <x:c r="AC1102" s="78" t="n">
        <x:f>AC1101+AB1102</x:f>
        <x:v>138850.76902071186</x:v>
      </x:c>
      <x:c r="AD1102" s="80" t="n">
        <x:f>Z1102/(1+'Inputs'!$C$47)</x:f>
        <x:v>66.09273987145806</x:v>
      </x:c>
      <x:c r="AE1102" s="80" t="n">
        <x:f>Z1102-AD1102</x:f>
        <x:v>99.13910980718708</x:v>
      </x:c>
      <x:c r="AF1102" s="80" t="n">
        <x:f>D1102*W1102</x:f>
        <x:v>712.2672310329293</x:v>
      </x:c>
      <x:c r="AG1102" s="80" t="n">
        <x:f>C1102*W1102</x:f>
        <x:v>1661.9568724101687</x:v>
      </x:c>
      <x:c r="AH1102" s="80" t="n">
        <x:f>2*'Inputs'!$B$8*'Inputs'!$C$47</x:f>
        <x:v>7500</x:v>
      </x:c>
      <x:c r="AI1102" s="81" t="n">
        <x:f>IF(AH1102&gt;0,(AE1102+AF1102)/AH1102*365,0)</x:f>
        <x:v>39.48844192088566</x:v>
      </x:c>
      <x:c r="AJ1102" s="81" t="n">
        <x:f>IF('Inputs'!$B$47&gt;0,AG1102/('Inputs'!$B$19*'Inputs'!$B$47)*365,0)</x:f>
        <x:v>60.66142584297115</x:v>
      </x:c>
      <x:c r="AK1102" s="81" t="n">
        <x:f>W1102/MAX($W$1099:W1102)-1</x:f>
        <x:v>0</x:v>
      </x:c>
      <x:c r="AL1102" s="83" t="n">
        <x:f>'Inputs'!$B$47</x:f>
        <x:v>1</x:v>
      </x:c>
      <x:c r="AM1102" s="83" t="n">
        <x:f>'Inputs'!$C$47</x:f>
        <x:v>1.5</x:v>
      </x:c>
      <x:c r="AN1102" s="83" t="n">
        <x:f>'Inputs'!$D$47</x:f>
        <x:v>1.5</x:v>
      </x:c>
      <x:c r="AO1102" s="81" t="n">
        <x:f>'Inputs'!$E$47</x:f>
        <x:v>0.05</x:v>
      </x:c>
    </x:row>
    <x:row r="1103">
      <x:c r="A1103" s="59" t="str">
        <x:v>Growth</x:v>
      </x:c>
      <x:c r="B1103" s="59" t="n">
        <x:v>5</x:v>
      </x:c>
      <x:c r="C1103" s="78" t="n">
        <x:f>(('Inputs'!$B$29*(3*5*'Inputs'!$B$12-5^2)/(2*'Inputs'!$B$12^2))-('Inputs'!$B$29*(3*4*'Inputs'!$B$12-4^2)/(2*'Inputs'!$B$12^2)))*'Inputs'!$B$47</x:f>
        <x:v>710523.3158191028</x:v>
      </x:c>
      <x:c r="D1103" s="78" t="n">
        <x:f>IF('Inputs'!$C$47&gt;0,('Inputs'!$B$30*(3*5*'Inputs'!$B$12-5^2)/(2*'Inputs'!$B$12^2))-('Inputs'!$B$30*(3*4*'Inputs'!$B$12-4^2)/(2*'Inputs'!$B$12^2)),0)</x:f>
        <x:v>304509.9924939014</x:v>
      </x:c>
      <x:c r="E1103" s="78" t="n">
        <x:f>C1103+D1103</x:f>
        <x:v>1015033.3083130042</x:v>
      </x:c>
      <x:c r="F1103" s="78" t="n">
        <x:f>'Inputs'!$B$13*E1103+(1-'Inputs'!$B$13)/'Inputs'!$B$14*SUM(E1099:E1103)</x:f>
        <x:v>275575.3893788703</x:v>
      </x:c>
      <x:c r="G1103" s="78" t="n">
        <x:f>F1103*'Inputs'!$F$47</x:f>
        <x:v>96451.38628260461</x:v>
      </x:c>
      <x:c r="H1103" s="78" t="n">
        <x:f>U1102</x:f>
        <x:v>4377420.6023015315</x:v>
      </x:c>
      <x:c r="I1103" s="78" t="n">
        <x:f>V1102</x:f>
        <x:v>10234.367849281416</x:v>
      </x:c>
      <x:c r="J1103" s="79" t="n">
        <x:f>IF(H1103&gt;0,I1103/H1103,0)</x:f>
        <x:v>0.0023379905152135613</x:v>
      </x:c>
      <x:c r="K1103" s="80" t="n">
        <x:f>(H1103*J1103+I1103)*'Inputs'!$D$47*(1+'Inputs'!$G$47)^(B1103/30)</x:f>
        <x:v>30854.734571451754</x:v>
      </x:c>
      <x:c r="L1103" s="80" t="n">
        <x:f>MAX(0,K1103*'Inputs'!$E$47)</x:f>
        <x:v>1542.7367285725877</x:v>
      </x:c>
      <x:c r="M1103" s="80" t="n">
        <x:f>MAX(0,-K1103*'Inputs'!$E$47)</x:f>
        <x:v>0</x:v>
      </x:c>
      <x:c r="N1103" s="78" t="n">
        <x:f>H1103*(L1103*(1-'Inputs'!$B$15))/(I1103+L1103*(1-'Inputs'!$B$15))</x:f>
        <x:v>568428.7491054243</x:v>
      </x:c>
      <x:c r="O1103" s="78" t="n">
        <x:f>H1103-N1103</x:f>
        <x:v>3808991.8531961073</x:v>
      </x:c>
      <x:c r="P1103" s="78" t="n">
        <x:f>I1103+L1103*(1-'Inputs'!$B$17)</x:f>
        <x:v>11770.896381763168</x:v>
      </x:c>
      <x:c r="Q1103" s="78" t="n">
        <x:f>IF(J1103&gt;0,M1103/J1103,0)</x:f>
        <x:v>0</x:v>
      </x:c>
      <x:c r="R1103" s="78" t="n">
        <x:f>IF(B1103='Inputs'!$H$47,'Inputs'!$B$27*'Inputs'!$I$47,0)</x:f>
        <x:v>0</x:v>
      </x:c>
      <x:c r="S1103" s="78" t="n">
        <x:f>Q1103+G1103+R1103</x:f>
        <x:v>96451.38628260461</x:v>
      </x:c>
      <x:c r="T1103" s="78" t="n">
        <x:f>P1103*(S1103*(1-'Inputs'!$B$15))/(O1103+S1103*(1-'Inputs'!$B$15))</x:f>
        <x:v>287.86584844166623</x:v>
      </x:c>
      <x:c r="U1103" s="78" t="n">
        <x:f>O1103+S1103*(1-'Inputs'!$B$17)</x:f>
        <x:v>3905055.1051274743</x:v>
      </x:c>
      <x:c r="V1103" s="78" t="n">
        <x:f>P1103-T1103</x:f>
        <x:v>11483.030533321502</x:v>
      </x:c>
      <x:c r="W1103" s="79" t="n">
        <x:f>IF(U1103&gt;0,V1103/U1103,0)</x:f>
        <x:v>0.002940555312073287</x:v>
      </x:c>
      <x:c r="X1103" s="80" t="n">
        <x:f>W1103*('Inputs'!$B$6-AC1103)</x:f>
        <x:v>2940071.6942875786</x:v>
      </x:c>
      <x:c r="Y1103" s="80" t="n">
        <x:f>2*V1103</x:f>
        <x:v>22966.061066643004</x:v>
      </x:c>
      <x:c r="Z1103" s="80" t="n">
        <x:f>K1103*'Inputs'!$B$16+(G1103+R1103)*J1103*'Inputs'!$B$16</x:f>
        <x:v>186.4814219865581</x:v>
      </x:c>
      <x:c r="AA1103" s="80" t="n">
        <x:f>K1103*(1+'Inputs'!$E$47)/2*'Inputs'!$B$17</x:f>
        <x:v>65.18605895377132</x:v>
      </x:c>
      <x:c r="AB1103" s="78" t="n">
        <x:f>(IF(J1103&gt;0,K1103*(1-'Inputs'!$E$47)/2/J1103,0)+G1103+R1103)*'Inputs'!$B$17</x:f>
        <x:v>25614.01207792686</x:v>
      </x:c>
      <x:c r="AC1103" s="78" t="n">
        <x:f>AC1102+AB1103</x:f>
        <x:v>164464.78109863872</x:v>
      </x:c>
      <x:c r="AD1103" s="80" t="n">
        <x:f>Z1103/(1+'Inputs'!$C$47)</x:f>
        <x:v>74.59256879462325</x:v>
      </x:c>
      <x:c r="AE1103" s="80" t="n">
        <x:f>Z1103-AD1103</x:f>
        <x:v>111.88885319193486</x:v>
      </x:c>
      <x:c r="AF1103" s="80" t="n">
        <x:f>D1103*W1103</x:f>
        <x:v>895.4284760073385</x:v>
      </x:c>
      <x:c r="AG1103" s="80" t="n">
        <x:f>C1103*W1103</x:f>
        <x:v>2089.3331106837886</x:v>
      </x:c>
      <x:c r="AH1103" s="80" t="n">
        <x:f>2*'Inputs'!$B$8*'Inputs'!$C$47</x:f>
        <x:v>7500</x:v>
      </x:c>
      <x:c r="AI1103" s="81" t="n">
        <x:f>IF(AH1103&gt;0,(AE1103+AF1103)/AH1103*365,0)</x:f>
        <x:v>49.02277668769797</x:v>
      </x:c>
      <x:c r="AJ1103" s="81" t="n">
        <x:f>IF('Inputs'!$B$47&gt;0,AG1103/('Inputs'!$B$19*'Inputs'!$B$47)*365,0)</x:f>
        <x:v>76.26065853995829</x:v>
      </x:c>
      <x:c r="AK1103" s="81" t="n">
        <x:f>W1103/MAX($W$1099:W1103)-1</x:f>
        <x:v>0</x:v>
      </x:c>
      <x:c r="AL1103" s="83" t="n">
        <x:f>'Inputs'!$B$47</x:f>
        <x:v>1</x:v>
      </x:c>
      <x:c r="AM1103" s="83" t="n">
        <x:f>'Inputs'!$C$47</x:f>
        <x:v>1.5</x:v>
      </x:c>
      <x:c r="AN1103" s="83" t="n">
        <x:f>'Inputs'!$D$47</x:f>
        <x:v>1.5</x:v>
      </x:c>
      <x:c r="AO1103" s="81" t="n">
        <x:f>'Inputs'!$E$47</x:f>
        <x:v>0.05</x:v>
      </x:c>
    </x:row>
    <x:row r="1104">
      <x:c r="A1104" s="59" t="str">
        <x:v>Growth</x:v>
      </x:c>
      <x:c r="B1104" s="59" t="n">
        <x:v>6</x:v>
      </x:c>
      <x:c r="C1104" s="78" t="n">
        <x:f>(('Inputs'!$B$29*(3*6*'Inputs'!$B$12-6^2)/(2*'Inputs'!$B$12^2))-('Inputs'!$B$29*(3*5*'Inputs'!$B$12-5^2)/(2*'Inputs'!$B$12^2)))*'Inputs'!$B$47</x:f>
        <x:v>710198.2079189345</x:v>
      </x:c>
      <x:c r="D1104" s="78" t="n">
        <x:f>IF('Inputs'!$C$47&gt;0,('Inputs'!$B$30*(3*6*'Inputs'!$B$12-6^2)/(2*'Inputs'!$B$12^2))-('Inputs'!$B$30*(3*5*'Inputs'!$B$12-5^2)/(2*'Inputs'!$B$12^2)),0)</x:f>
        <x:v>304370.66053668596</x:v>
      </x:c>
      <x:c r="E1104" s="78" t="n">
        <x:f>C1104+D1104</x:f>
        <x:v>1014568.8684556205</x:v>
      </x:c>
      <x:c r="F1104" s="78" t="n">
        <x:f>'Inputs'!$B$13*E1104+(1-'Inputs'!$B$13)/'Inputs'!$B$14*SUM(E1099:E1104)</x:f>
        <x:v>289976.342385331</x:v>
      </x:c>
      <x:c r="G1104" s="78" t="n">
        <x:f>F1104*'Inputs'!$F$47</x:f>
        <x:v>101491.71983486584</x:v>
      </x:c>
      <x:c r="H1104" s="78" t="n">
        <x:f>U1103</x:f>
        <x:v>3905055.1051274743</x:v>
      </x:c>
      <x:c r="I1104" s="78" t="n">
        <x:f>V1103</x:f>
        <x:v>11483.030533321502</x:v>
      </x:c>
      <x:c r="J1104" s="79" t="n">
        <x:f>IF(H1104&gt;0,I1104/H1104,0)</x:f>
        <x:v>0.002940555312073287</x:v>
      </x:c>
      <x:c r="K1104" s="80" t="n">
        <x:f>(H1104*J1104+I1104)*'Inputs'!$D$47*(1+'Inputs'!$G$47)^(B1104/30)</x:f>
        <x:v>34653.34954430125</x:v>
      </x:c>
      <x:c r="L1104" s="80" t="n">
        <x:f>MAX(0,K1104*'Inputs'!$E$47)</x:f>
        <x:v>1732.6674772150627</x:v>
      </x:c>
      <x:c r="M1104" s="80" t="n">
        <x:f>MAX(0,-K1104*'Inputs'!$E$47)</x:f>
        <x:v>0</x:v>
      </x:c>
      <x:c r="N1104" s="78" t="n">
        <x:f>H1104*(L1104*(1-'Inputs'!$B$15))/(I1104+L1104*(1-'Inputs'!$B$15))</x:f>
        <x:v>507524.76856457477</x:v>
      </x:c>
      <x:c r="O1104" s="78" t="n">
        <x:f>H1104-N1104</x:f>
        <x:v>3397530.3365628994</x:v>
      </x:c>
      <x:c r="P1104" s="78" t="n">
        <x:f>I1104+L1104*(1-'Inputs'!$B$17)</x:f>
        <x:v>13208.725505598073</x:v>
      </x:c>
      <x:c r="Q1104" s="78" t="n">
        <x:f>IF(J1104&gt;0,M1104/J1104,0)</x:f>
        <x:v>0</x:v>
      </x:c>
      <x:c r="R1104" s="78" t="n">
        <x:f>IF(B1104='Inputs'!$H$47,'Inputs'!$B$27*'Inputs'!$I$47,0)</x:f>
        <x:v>0</x:v>
      </x:c>
      <x:c r="S1104" s="78" t="n">
        <x:f>Q1104+G1104+R1104</x:f>
        <x:v>101491.71983486584</x:v>
      </x:c>
      <x:c r="T1104" s="78" t="n">
        <x:f>P1104*(S1104*(1-'Inputs'!$B$15))/(O1104+S1104*(1-'Inputs'!$B$15))</x:f>
        <x:v>379.40760349896135</x:v>
      </x:c>
      <x:c r="U1104" s="78" t="n">
        <x:f>O1104+S1104*(1-'Inputs'!$B$17)</x:f>
        <x:v>3498613.639014124</x:v>
      </x:c>
      <x:c r="V1104" s="78" t="n">
        <x:f>P1104-T1104</x:f>
        <x:v>12829.317902099112</x:v>
      </x:c>
      <x:c r="W1104" s="79" t="n">
        <x:f>IF(U1104&gt;0,V1104/U1104,0)</x:f>
        <x:v>0.0036669718996791803</x:v>
      </x:c>
      <x:c r="X1104" s="80" t="n">
        <x:f>W1104*('Inputs'!$B$6-AC1104)</x:f>
        <x:v>3666284.712273928</x:v>
      </x:c>
      <x:c r="Y1104" s="80" t="n">
        <x:f>2*V1104</x:f>
        <x:v>25658.635804198224</x:v>
      </x:c>
      <x:c r="Z1104" s="80" t="n">
        <x:f>K1104*'Inputs'!$B$16+(G1104+R1104)*J1104*'Inputs'!$B$16</x:f>
        <x:v>209.71074936115872</x:v>
      </x:c>
      <x:c r="AA1104" s="80" t="n">
        <x:f>K1104*(1+'Inputs'!$E$47)/2*'Inputs'!$B$17</x:f>
        <x:v>73.21130185415758</x:v>
      </x:c>
      <x:c r="AB1104" s="78" t="n">
        <x:f>(IF(J1104&gt;0,K1104*(1-'Inputs'!$E$47)/2/J1104,0)+G1104+R1104)*'Inputs'!$B$17</x:f>
        <x:v>22934.365677728532</x:v>
      </x:c>
      <x:c r="AC1104" s="78" t="n">
        <x:f>AC1103+AB1104</x:f>
        <x:v>187399.14677636724</x:v>
      </x:c>
      <x:c r="AD1104" s="80" t="n">
        <x:f>Z1104/(1+'Inputs'!$C$47)</x:f>
        <x:v>83.88429974446349</x:v>
      </x:c>
      <x:c r="AE1104" s="80" t="n">
        <x:f>Z1104-AD1104</x:f>
        <x:v>125.82644961669523</x:v>
      </x:c>
      <x:c r="AF1104" s="80" t="n">
        <x:f>D1104*W1104</x:f>
        <x:v>1116.1186592748181</x:v>
      </x:c>
      <x:c r="AG1104" s="80" t="n">
        <x:f>C1104*W1104</x:f>
        <x:v>2604.2768716412447</x:v>
      </x:c>
      <x:c r="AH1104" s="80" t="n">
        <x:f>2*'Inputs'!$B$8*'Inputs'!$C$47</x:f>
        <x:v>7500</x:v>
      </x:c>
      <x:c r="AI1104" s="81" t="n">
        <x:f>IF(AH1104&gt;0,(AE1104+AF1104)/AH1104*365,0)</x:f>
        <x:v>60.44132863272032</x:v>
      </x:c>
      <x:c r="AJ1104" s="81" t="n">
        <x:f>IF('Inputs'!$B$47&gt;0,AG1104/('Inputs'!$B$19*'Inputs'!$B$47)*365,0)</x:f>
        <x:v>95.05610581490542</x:v>
      </x:c>
      <x:c r="AK1104" s="81" t="n">
        <x:f>W1104/MAX($W$1099:W1104)-1</x:f>
        <x:v>0</x:v>
      </x:c>
      <x:c r="AL1104" s="83" t="n">
        <x:f>'Inputs'!$B$47</x:f>
        <x:v>1</x:v>
      </x:c>
      <x:c r="AM1104" s="83" t="n">
        <x:f>'Inputs'!$C$47</x:f>
        <x:v>1.5</x:v>
      </x:c>
      <x:c r="AN1104" s="83" t="n">
        <x:f>'Inputs'!$D$47</x:f>
        <x:v>1.5</x:v>
      </x:c>
      <x:c r="AO1104" s="81" t="n">
        <x:f>'Inputs'!$E$47</x:f>
        <x:v>0.05</x:v>
      </x:c>
    </x:row>
    <x:row r="1105">
      <x:c r="A1105" s="59" t="str">
        <x:v>Growth</x:v>
      </x:c>
      <x:c r="B1105" s="59" t="n">
        <x:v>7</x:v>
      </x:c>
      <x:c r="C1105" s="78" t="n">
        <x:f>(('Inputs'!$B$29*(3*7*'Inputs'!$B$12-7^2)/(2*'Inputs'!$B$12^2))-('Inputs'!$B$29*(3*6*'Inputs'!$B$12-6^2)/(2*'Inputs'!$B$12^2)))*'Inputs'!$B$47</x:f>
        <x:v>709873.1000187648</x:v>
      </x:c>
      <x:c r="D1105" s="78" t="n">
        <x:f>IF('Inputs'!$C$47&gt;0,('Inputs'!$B$30*(3*7*'Inputs'!$B$12-7^2)/(2*'Inputs'!$B$12^2))-('Inputs'!$B$30*(3*6*'Inputs'!$B$12-6^2)/(2*'Inputs'!$B$12^2)),0)</x:f>
        <x:v>304231.32857947075</x:v>
      </x:c>
      <x:c r="E1105" s="78" t="n">
        <x:f>C1105+D1105</x:f>
        <x:v>1014104.4285982356</x:v>
      </x:c>
      <x:c r="F1105" s="78" t="n">
        <x:f>'Inputs'!$B$13*E1105+(1-'Inputs'!$B$13)/'Inputs'!$B$14*SUM(E1099:E1105)</x:f>
        <x:v>304370.66053668596</x:v>
      </x:c>
      <x:c r="G1105" s="78" t="n">
        <x:f>F1105*'Inputs'!$F$47</x:f>
        <x:v>106529.73118784008</x:v>
      </x:c>
      <x:c r="H1105" s="78" t="n">
        <x:f>U1104</x:f>
        <x:v>3498613.639014124</x:v>
      </x:c>
      <x:c r="I1105" s="78" t="n">
        <x:f>V1104</x:f>
        <x:v>12829.317902099112</x:v>
      </x:c>
      <x:c r="J1105" s="79" t="n">
        <x:f>IF(H1105&gt;0,I1105/H1105,0)</x:f>
        <x:v>0.0036669718996791803</x:v>
      </x:c>
      <x:c r="K1105" s="80" t="n">
        <x:f>(H1105*J1105+I1105)*'Inputs'!$D$47*(1+'Inputs'!$G$47)^(B1105/30)</x:f>
        <x:v>38754.32472754654</x:v>
      </x:c>
      <x:c r="L1105" s="80" t="n">
        <x:f>MAX(0,K1105*'Inputs'!$E$47)</x:f>
        <x:v>1937.716236377327</x:v>
      </x:c>
      <x:c r="M1105" s="80" t="n">
        <x:f>MAX(0,-K1105*'Inputs'!$E$47)</x:f>
        <x:v>0</x:v>
      </x:c>
      <x:c r="N1105" s="78" t="n">
        <x:f>H1105*(L1105*(1-'Inputs'!$B$15))/(I1105+L1105*(1-'Inputs'!$B$15))</x:f>
        <x:v>455091.08731430734</x:v>
      </x:c>
      <x:c r="O1105" s="78" t="n">
        <x:f>H1105-N1105</x:f>
        <x:v>3043522.5516998167</x:v>
      </x:c>
      <x:c r="P1105" s="78" t="n">
        <x:f>I1105+L1105*(1-'Inputs'!$B$17)</x:f>
        <x:v>14759.236487625825</x:v>
      </x:c>
      <x:c r="Q1105" s="78" t="n">
        <x:f>IF(J1105&gt;0,M1105/J1105,0)</x:f>
        <x:v>0</x:v>
      </x:c>
      <x:c r="R1105" s="78" t="n">
        <x:f>IF(B1105='Inputs'!$H$47,'Inputs'!$B$27*'Inputs'!$I$47,0)</x:f>
        <x:v>0</x:v>
      </x:c>
      <x:c r="S1105" s="78" t="n">
        <x:f>Q1105+G1105+R1105</x:f>
        <x:v>106529.73118784008</x:v>
      </x:c>
      <x:c r="T1105" s="78" t="n">
        <x:f>P1105*(S1105*(1-'Inputs'!$B$15))/(O1105+S1105*(1-'Inputs'!$B$15))</x:f>
        <x:v>494.30960741944193</x:v>
      </x:c>
      <x:c r="U1105" s="78" t="n">
        <x:f>O1105+S1105*(1-'Inputs'!$B$17)</x:f>
        <x:v>3149623.5918164784</x:v>
      </x:c>
      <x:c r="V1105" s="78" t="n">
        <x:f>P1105-T1105</x:f>
        <x:v>14264.926880206383</x:v>
      </x:c>
      <x:c r="W1105" s="79" t="n">
        <x:f>IF(U1105&gt;0,V1105/U1105,0)</x:f>
        <x:v>0.004529089417945143</x:v>
      </x:c>
      <x:c r="X1105" s="80" t="n">
        <x:f>W1105*('Inputs'!$B$6-AC1105)</x:f>
        <x:v>4528147.2352749845</x:v>
      </x:c>
      <x:c r="Y1105" s="80" t="n">
        <x:f>2*V1105</x:f>
        <x:v>28529.853760412767</x:v>
      </x:c>
      <x:c r="Z1105" s="80" t="n">
        <x:f>K1105*'Inputs'!$B$16+(G1105+R1105)*J1105*'Inputs'!$B$16</x:f>
        <x:v>234.86979754975636</x:v>
      </x:c>
      <x:c r="AA1105" s="80" t="n">
        <x:f>K1105*(1+'Inputs'!$E$47)/2*'Inputs'!$B$17</x:f>
        <x:v>81.87533393143637</x:v>
      </x:c>
      <x:c r="AB1105" s="78" t="n">
        <x:f>(IF(J1105&gt;0,K1105*(1-'Inputs'!$E$47)/2/J1105,0)+G1105+R1105)*'Inputs'!$B$17</x:f>
        <x:v>20630.01388123442</x:v>
      </x:c>
      <x:c r="AC1105" s="78" t="n">
        <x:f>AC1104+AB1105</x:f>
        <x:v>208029.16065760166</x:v>
      </x:c>
      <x:c r="AD1105" s="80" t="n">
        <x:f>Z1105/(1+'Inputs'!$C$47)</x:f>
        <x:v>93.94791901990254</x:v>
      </x:c>
      <x:c r="AE1105" s="80" t="n">
        <x:f>Z1105-AD1105</x:f>
        <x:v>140.9218785298538</x:v>
      </x:c>
      <x:c r="AF1105" s="80" t="n">
        <x:f>D1105*W1105</x:f>
        <x:v>1377.8908908766728</x:v>
      </x:c>
      <x:c r="AG1105" s="80" t="n">
        <x:f>C1105*W1105</x:f>
        <x:v>3215.078745378902</x:v>
      </x:c>
      <x:c r="AH1105" s="80" t="n">
        <x:f>2*'Inputs'!$B$8*'Inputs'!$C$47</x:f>
        <x:v>7500</x:v>
      </x:c>
      <x:c r="AI1105" s="81" t="n">
        <x:f>IF(AH1105&gt;0,(AE1105+AF1105)/AH1105*365,0)</x:f>
        <x:v>73.9155547777843</x:v>
      </x:c>
      <x:c r="AJ1105" s="81" t="n">
        <x:f>IF('Inputs'!$B$47&gt;0,AG1105/('Inputs'!$B$19*'Inputs'!$B$47)*365,0)</x:f>
        <x:v>117.35037420632993</x:v>
      </x:c>
      <x:c r="AK1105" s="81" t="n">
        <x:f>W1105/MAX($W$1099:W1105)-1</x:f>
        <x:v>0</x:v>
      </x:c>
      <x:c r="AL1105" s="83" t="n">
        <x:f>'Inputs'!$B$47</x:f>
        <x:v>1</x:v>
      </x:c>
      <x:c r="AM1105" s="83" t="n">
        <x:f>'Inputs'!$C$47</x:f>
        <x:v>1.5</x:v>
      </x:c>
      <x:c r="AN1105" s="83" t="n">
        <x:f>'Inputs'!$D$47</x:f>
        <x:v>1.5</x:v>
      </x:c>
      <x:c r="AO1105" s="81" t="n">
        <x:f>'Inputs'!$E$47</x:f>
        <x:v>0.05</x:v>
      </x:c>
    </x:row>
    <x:row r="1106">
      <x:c r="A1106" s="59" t="str">
        <x:v>Growth</x:v>
      </x:c>
      <x:c r="B1106" s="59" t="n">
        <x:v>8</x:v>
      </x:c>
      <x:c r="C1106" s="78" t="n">
        <x:f>(('Inputs'!$B$29*(3*8*'Inputs'!$B$12-8^2)/(2*'Inputs'!$B$12^2))-('Inputs'!$B$29*(3*7*'Inputs'!$B$12-7^2)/(2*'Inputs'!$B$12^2)))*'Inputs'!$B$47</x:f>
        <x:v>709547.9921185961</x:v>
      </x:c>
      <x:c r="D1106" s="78" t="n">
        <x:f>IF('Inputs'!$C$47&gt;0,('Inputs'!$B$30*(3*8*'Inputs'!$B$12-8^2)/(2*'Inputs'!$B$12^2))-('Inputs'!$B$30*(3*7*'Inputs'!$B$12-7^2)/(2*'Inputs'!$B$12^2)),0)</x:f>
        <x:v>304091.99662225554</x:v>
      </x:c>
      <x:c r="E1106" s="78" t="n">
        <x:f>C1106+D1106</x:f>
        <x:v>1013639.9887408516</x:v>
      </x:c>
      <x:c r="F1106" s="78" t="n">
        <x:f>'Inputs'!$B$13*E1106+(1-'Inputs'!$B$13)/'Inputs'!$B$14*SUM(E1099:E1106)</x:f>
        <x:v>318758.3438329357</x:v>
      </x:c>
      <x:c r="G1106" s="78" t="n">
        <x:f>F1106*'Inputs'!$F$47</x:f>
        <x:v>111565.42034152748</x:v>
      </x:c>
      <x:c r="H1106" s="78" t="n">
        <x:f>U1105</x:f>
        <x:v>3149623.5918164784</x:v>
      </x:c>
      <x:c r="I1106" s="78" t="n">
        <x:f>V1105</x:f>
        <x:v>14264.926880206383</x:v>
      </x:c>
      <x:c r="J1106" s="79" t="n">
        <x:f>IF(H1106&gt;0,I1106/H1106,0)</x:f>
        <x:v>0.004529089417945143</x:v>
      </x:c>
      <x:c r="K1106" s="80" t="n">
        <x:f>(H1106*J1106+I1106)*'Inputs'!$D$47*(1+'Inputs'!$G$47)^(B1106/30)</x:f>
        <x:v>43133.436912471356</x:v>
      </x:c>
      <x:c r="L1106" s="80" t="n">
        <x:f>MAX(0,K1106*'Inputs'!$E$47)</x:f>
        <x:v>2156.671845623568</x:v>
      </x:c>
      <x:c r="M1106" s="80" t="n">
        <x:f>MAX(0,-K1106*'Inputs'!$E$47)</x:f>
        <x:v>0</x:v>
      </x:c>
      <x:c r="N1106" s="78" t="n">
        <x:f>H1106*(L1106*(1-'Inputs'!$B$15))/(I1106+L1106*(1-'Inputs'!$B$15))</x:f>
        <x:v>410046.6070133878</x:v>
      </x:c>
      <x:c r="O1106" s="78" t="n">
        <x:f>H1106-N1106</x:f>
        <x:v>2739576.984803091</x:v>
      </x:c>
      <x:c r="P1106" s="78" t="n">
        <x:f>I1106+L1106*(1-'Inputs'!$B$17)</x:f>
        <x:v>16412.919965887806</x:v>
      </x:c>
      <x:c r="Q1106" s="78" t="n">
        <x:f>IF(J1106&gt;0,M1106/J1106,0)</x:f>
        <x:v>0</x:v>
      </x:c>
      <x:c r="R1106" s="78" t="n">
        <x:f>IF(B1106='Inputs'!$H$47,'Inputs'!$B$27*'Inputs'!$I$47,0)</x:f>
        <x:v>0</x:v>
      </x:c>
      <x:c r="S1106" s="78" t="n">
        <x:f>Q1106+G1106+R1106</x:f>
        <x:v>111565.42034152748</x:v>
      </x:c>
      <x:c r="T1106" s="78" t="n">
        <x:f>P1106*(S1106*(1-'Inputs'!$B$15))/(O1106+S1106*(1-'Inputs'!$B$15))</x:f>
        <x:v>636.0653180806792</x:v>
      </x:c>
      <x:c r="U1106" s="78" t="n">
        <x:f>O1106+S1106*(1-'Inputs'!$B$17)</x:f>
        <x:v>2850693.4497307693</x:v>
      </x:c>
      <x:c r="V1106" s="78" t="n">
        <x:f>P1106-T1106</x:f>
        <x:v>15776.854647807128</x:v>
      </x:c>
      <x:c r="W1106" s="79" t="n">
        <x:f>IF(U1106&gt;0,V1106/U1106,0)</x:f>
        <x:v>0.005534391868510855</x:v>
      </x:c>
      <x:c r="X1106" s="80" t="n">
        <x:f>W1106*('Inputs'!$B$6-AC1106)</x:f>
        <x:v>5533137.320025267</x:v>
      </x:c>
      <x:c r="Y1106" s="80" t="n">
        <x:f>2*V1106</x:f>
        <x:v>31553.709295614255</x:v>
      </x:c>
      <x:c r="Z1106" s="80" t="n">
        <x:f>K1106*'Inputs'!$B$16+(G1106+R1106)*J1106*'Inputs'!$B$16</x:f>
        <x:v>261.8323600628926</x:v>
      </x:c>
      <x:c r="AA1106" s="80" t="n">
        <x:f>K1106*(1+'Inputs'!$E$47)/2*'Inputs'!$B$17</x:f>
        <x:v>91.12697939254512</x:v>
      </x:c>
      <x:c r="AB1106" s="78" t="n">
        <x:f>(IF(J1106&gt;0,K1106*(1-'Inputs'!$E$47)/2/J1106,0)+G1106+R1106)*'Inputs'!$B$17</x:f>
        <x:v>18653.104601922616</x:v>
      </x:c>
      <x:c r="AC1106" s="78" t="n">
        <x:f>AC1105+AB1106</x:f>
        <x:v>226682.26525952428</x:v>
      </x:c>
      <x:c r="AD1106" s="80" t="n">
        <x:f>Z1106/(1+'Inputs'!$C$47)</x:f>
        <x:v>104.73294402515702</x:v>
      </x:c>
      <x:c r="AE1106" s="80" t="n">
        <x:f>Z1106-AD1106</x:f>
        <x:v>157.09941603773555</x:v>
      </x:c>
      <x:c r="AF1106" s="80" t="n">
        <x:f>D1106*W1106</x:f>
        <x:v>1682.9642733854414</x:v>
      </x:c>
      <x:c r="AG1106" s="80" t="n">
        <x:f>C1106*W1106</x:f>
        <x:v>3926.9166378993623</x:v>
      </x:c>
      <x:c r="AH1106" s="80" t="n">
        <x:f>2*'Inputs'!$B$8*'Inputs'!$C$47</x:f>
        <x:v>7500</x:v>
      </x:c>
      <x:c r="AI1106" s="81" t="n">
        <x:f>IF(AH1106&gt;0,(AE1106+AF1106)/AH1106*365,0)</x:f>
        <x:v>89.54976621859463</x:v>
      </x:c>
      <x:c r="AJ1106" s="81" t="n">
        <x:f>IF('Inputs'!$B$47&gt;0,AG1106/('Inputs'!$B$19*'Inputs'!$B$47)*365,0)</x:f>
        <x:v>143.33245728332673</x:v>
      </x:c>
      <x:c r="AK1106" s="81" t="n">
        <x:f>W1106/MAX($W$1099:W1106)-1</x:f>
        <x:v>0</x:v>
      </x:c>
      <x:c r="AL1106" s="83" t="n">
        <x:f>'Inputs'!$B$47</x:f>
        <x:v>1</x:v>
      </x:c>
      <x:c r="AM1106" s="83" t="n">
        <x:f>'Inputs'!$C$47</x:f>
        <x:v>1.5</x:v>
      </x:c>
      <x:c r="AN1106" s="83" t="n">
        <x:f>'Inputs'!$D$47</x:f>
        <x:v>1.5</x:v>
      </x:c>
      <x:c r="AO1106" s="81" t="n">
        <x:f>'Inputs'!$E$47</x:f>
        <x:v>0.05</x:v>
      </x:c>
    </x:row>
    <x:row r="1107">
      <x:c r="A1107" s="59" t="str">
        <x:v>Growth</x:v>
      </x:c>
      <x:c r="B1107" s="59" t="n">
        <x:v>9</x:v>
      </x:c>
      <x:c r="C1107" s="78" t="n">
        <x:f>(('Inputs'!$B$29*(3*9*'Inputs'!$B$12-9^2)/(2*'Inputs'!$B$12^2))-('Inputs'!$B$29*(3*8*'Inputs'!$B$12-8^2)/(2*'Inputs'!$B$12^2)))*'Inputs'!$B$47</x:f>
        <x:v>709222.8842184283</x:v>
      </x:c>
      <x:c r="D1107" s="78" t="n">
        <x:f>IF('Inputs'!$C$47&gt;0,('Inputs'!$B$30*(3*9*'Inputs'!$B$12-9^2)/(2*'Inputs'!$B$12^2))-('Inputs'!$B$30*(3*8*'Inputs'!$B$12-8^2)/(2*'Inputs'!$B$12^2)),0)</x:f>
        <x:v>303952.66466504056</x:v>
      </x:c>
      <x:c r="E1107" s="78" t="n">
        <x:f>C1107+D1107</x:f>
        <x:v>1013175.5488834688</x:v>
      </x:c>
      <x:c r="F1107" s="78" t="n">
        <x:f>'Inputs'!$B$13*E1107+(1-'Inputs'!$B$13)/'Inputs'!$B$14*SUM(E1099:E1107)</x:f>
        <x:v>333139.3922740801</x:v>
      </x:c>
      <x:c r="G1107" s="78" t="n">
        <x:f>F1107*'Inputs'!$F$47</x:f>
        <x:v>116598.78729592802</x:v>
      </x:c>
      <x:c r="H1107" s="78" t="n">
        <x:f>U1106</x:f>
        <x:v>2850693.4497307693</x:v>
      </x:c>
      <x:c r="I1107" s="78" t="n">
        <x:f>V1106</x:f>
        <x:v>15776.854647807128</x:v>
      </x:c>
      <x:c r="J1107" s="79" t="n">
        <x:f>IF(H1107&gt;0,I1107/H1107,0)</x:f>
        <x:v>0.005534391868510855</x:v>
      </x:c>
      <x:c r="K1107" s="80" t="n">
        <x:f>(H1107*J1107+I1107)*'Inputs'!$D$47*(1+'Inputs'!$G$47)^(B1107/30)</x:f>
        <x:v>47752.14081082843</x:v>
      </x:c>
      <x:c r="L1107" s="80" t="n">
        <x:f>MAX(0,K1107*'Inputs'!$E$47)</x:f>
        <x:v>2387.6070405414216</x:v>
      </x:c>
      <x:c r="M1107" s="80" t="n">
        <x:f>MAX(0,-K1107*'Inputs'!$E$47)</x:f>
        <x:v>0</x:v>
      </x:c>
      <x:c r="N1107" s="78" t="n">
        <x:f>H1107*(L1107*(1-'Inputs'!$B$15))/(I1107+L1107*(1-'Inputs'!$B$15))</x:f>
        <x:v>371447.3465965477</x:v>
      </x:c>
      <x:c r="O1107" s="78" t="n">
        <x:f>H1107-N1107</x:f>
        <x:v>2479246.1031342214</x:v>
      </x:c>
      <x:c r="P1107" s="78" t="n">
        <x:f>I1107+L1107*(1-'Inputs'!$B$17)</x:f>
        <x:v>18154.853611726652</x:v>
      </x:c>
      <x:c r="Q1107" s="78" t="n">
        <x:f>IF(J1107&gt;0,M1107/J1107,0)</x:f>
        <x:v>0</x:v>
      </x:c>
      <x:c r="R1107" s="78" t="n">
        <x:f>IF(B1107='Inputs'!$H$47,'Inputs'!$B$27*'Inputs'!$I$47,0)</x:f>
        <x:v>0</x:v>
      </x:c>
      <x:c r="S1107" s="78" t="n">
        <x:f>Q1107+G1107+R1107</x:f>
        <x:v>116598.78729592802</x:v>
      </x:c>
      <x:c r="T1107" s="78" t="n">
        <x:f>P1107*(S1107*(1-'Inputs'!$B$15))/(O1107+S1107*(1-'Inputs'!$B$15))</x:f>
        <x:v>807.6781961152942</x:v>
      </x:c>
      <x:c r="U1107" s="78" t="n">
        <x:f>O1107+S1107*(1-'Inputs'!$B$17)</x:f>
        <x:v>2595375.680018496</x:v>
      </x:c>
      <x:c r="V1107" s="78" t="n">
        <x:f>P1107-T1107</x:f>
        <x:v>17347.175415611357</x:v>
      </x:c>
      <x:c r="W1107" s="79" t="n">
        <x:f>IF(U1107&gt;0,V1107/U1107,0)</x:f>
        <x:v>0.0066838783876898055</x:v>
      </x:c>
      <x:c r="X1107" s="80" t="n">
        <x:f>W1107*('Inputs'!$B$6-AC1107)</x:f>
        <x:v>6682249.900056578</x:v>
      </x:c>
      <x:c r="Y1107" s="80" t="n">
        <x:f>2*V1107</x:f>
        <x:v>34694.35083122271</x:v>
      </x:c>
      <x:c r="Z1107" s="80" t="n">
        <x:f>K1107*'Inputs'!$B$16+(G1107+R1107)*J1107*'Inputs'!$B$16</x:f>
        <x:v>290.38466514670347</x:v>
      </x:c>
      <x:c r="AA1107" s="80" t="n">
        <x:f>K1107*(1+'Inputs'!$E$47)/2*'Inputs'!$B$17</x:f>
        <x:v>100.88480452991922</x:v>
      </x:c>
      <x:c r="AB1107" s="78" t="n">
        <x:f>(IF(J1107&gt;0,K1107*(1-'Inputs'!$E$47)/2/J1107,0)+G1107+R1107)*'Inputs'!$B$17</x:f>
        <x:v>16961.849544665027</x:v>
      </x:c>
      <x:c r="AC1107" s="78" t="n">
        <x:f>AC1106+AB1107</x:f>
        <x:v>243644.1148041893</x:v>
      </x:c>
      <x:c r="AD1107" s="80" t="n">
        <x:f>Z1107/(1+'Inputs'!$C$47)</x:f>
        <x:v>116.15386605868139</x:v>
      </x:c>
      <x:c r="AE1107" s="80" t="n">
        <x:f>Z1107-AD1107</x:f>
        <x:v>174.23079908802208</x:v>
      </x:c>
      <x:c r="AF1107" s="80" t="n">
        <x:f>D1107*W1107</x:f>
        <x:v>2031.5826462353914</x:v>
      </x:c>
      <x:c r="AG1107" s="80" t="n">
        <x:f>C1107*W1107</x:f>
        <x:v>4740.359507882582</x:v>
      </x:c>
      <x:c r="AH1107" s="80" t="n">
        <x:f>2*'Inputs'!$B$8*'Inputs'!$C$47</x:f>
        <x:v>7500</x:v>
      </x:c>
      <x:c r="AI1107" s="81" t="n">
        <x:f>IF(AH1107&gt;0,(AE1107+AF1107)/AH1107*365,0)</x:f>
        <x:v>107.34958767240613</x:v>
      </x:c>
      <x:c r="AJ1107" s="81" t="n">
        <x:f>IF('Inputs'!$B$47&gt;0,AG1107/('Inputs'!$B$19*'Inputs'!$B$47)*365,0)</x:f>
        <x:v>173.02312203771424</x:v>
      </x:c>
      <x:c r="AK1107" s="81" t="n">
        <x:f>W1107/MAX($W$1099:W1107)-1</x:f>
        <x:v>0</x:v>
      </x:c>
      <x:c r="AL1107" s="83" t="n">
        <x:f>'Inputs'!$B$47</x:f>
        <x:v>1</x:v>
      </x:c>
      <x:c r="AM1107" s="83" t="n">
        <x:f>'Inputs'!$C$47</x:f>
        <x:v>1.5</x:v>
      </x:c>
      <x:c r="AN1107" s="83" t="n">
        <x:f>'Inputs'!$D$47</x:f>
        <x:v>1.5</x:v>
      </x:c>
      <x:c r="AO1107" s="81" t="n">
        <x:f>'Inputs'!$E$47</x:f>
        <x:v>0.05</x:v>
      </x:c>
    </x:row>
    <x:row r="1108">
      <x:c r="A1108" s="59" t="str">
        <x:v>Growth</x:v>
      </x:c>
      <x:c r="B1108" s="59" t="n">
        <x:v>10</x:v>
      </x:c>
      <x:c r="C1108" s="78" t="n">
        <x:f>(('Inputs'!$B$29*(3*10*'Inputs'!$B$12-10^2)/(2*'Inputs'!$B$12^2))-('Inputs'!$B$29*(3*9*'Inputs'!$B$12-9^2)/(2*'Inputs'!$B$12^2)))*'Inputs'!$B$47</x:f>
        <x:v>708897.7763182586</x:v>
      </x:c>
      <x:c r="D1108" s="78" t="n">
        <x:f>IF('Inputs'!$C$47&gt;0,('Inputs'!$B$30*(3*10*'Inputs'!$B$12-10^2)/(2*'Inputs'!$B$12^2))-('Inputs'!$B$30*(3*9*'Inputs'!$B$12-9^2)/(2*'Inputs'!$B$12^2)),0)</x:f>
        <x:v>303813.3327078251</x:v>
      </x:c>
      <x:c r="E1108" s="78" t="n">
        <x:f>C1108+D1108</x:f>
        <x:v>1012711.1090260837</x:v>
      </x:c>
      <x:c r="F1108" s="78" t="n">
        <x:f>'Inputs'!$B$13*E1108+(1-'Inputs'!$B$13)/'Inputs'!$B$14*SUM(E1099:E1108)</x:f>
        <x:v>347513.8058601185</x:v>
      </x:c>
      <x:c r="G1108" s="78" t="n">
        <x:f>F1108*'Inputs'!$F$47</x:f>
        <x:v>121629.83205104146</x:v>
      </x:c>
      <x:c r="H1108" s="78" t="n">
        <x:f>U1107</x:f>
        <x:v>2595375.680018496</x:v>
      </x:c>
      <x:c r="I1108" s="78" t="n">
        <x:f>V1107</x:f>
        <x:v>17347.175415611357</x:v>
      </x:c>
      <x:c r="J1108" s="79" t="n">
        <x:f>IF(H1108&gt;0,I1108/H1108,0)</x:f>
        <x:v>0.0066838783876898055</x:v>
      </x:c>
      <x:c r="K1108" s="80" t="n">
        <x:f>(H1108*J1108+I1108)*'Inputs'!$D$47*(1+'Inputs'!$G$47)^(B1108/30)</x:f>
        <x:v>52556.822395131654</x:v>
      </x:c>
      <x:c r="L1108" s="80" t="n">
        <x:f>MAX(0,K1108*'Inputs'!$E$47)</x:f>
        <x:v>2627.841119756583</x:v>
      </x:c>
      <x:c r="M1108" s="80" t="n">
        <x:f>MAX(0,-K1108*'Inputs'!$E$47)</x:f>
        <x:v>0</x:v>
      </x:c>
      <x:c r="N1108" s="78" t="n">
        <x:f>H1108*(L1108*(1-'Inputs'!$B$15))/(I1108+L1108*(1-'Inputs'!$B$15))</x:f>
        <x:v>338469.1573877644</x:v>
      </x:c>
      <x:c r="O1108" s="78" t="n">
        <x:f>H1108-N1108</x:f>
        <x:v>2256906.5226307316</x:v>
      </x:c>
      <x:c r="P1108" s="78" t="n">
        <x:f>I1108+L1108*(1-'Inputs'!$B$17)</x:f>
        <x:v>19964.441722008756</x:v>
      </x:c>
      <x:c r="Q1108" s="78" t="n">
        <x:f>IF(J1108&gt;0,M1108/J1108,0)</x:f>
        <x:v>0</x:v>
      </x:c>
      <x:c r="R1108" s="78" t="n">
        <x:f>IF(B1108='Inputs'!$H$47,'Inputs'!$B$27*'Inputs'!$I$47,0)</x:f>
        <x:v>0</x:v>
      </x:c>
      <x:c r="S1108" s="78" t="n">
        <x:f>Q1108+G1108+R1108</x:f>
        <x:v>121629.83205104146</x:v>
      </x:c>
      <x:c r="T1108" s="78" t="n">
        <x:f>P1108*(S1108*(1-'Inputs'!$B$15))/(O1108+S1108*(1-'Inputs'!$B$15))</x:f>
        <x:v>1011.218060551712</x:v>
      </x:c>
      <x:c r="U1108" s="78" t="n">
        <x:f>O1108+S1108*(1-'Inputs'!$B$17)</x:f>
        <x:v>2378046.8986171815</x:v>
      </x:c>
      <x:c r="V1108" s="78" t="n">
        <x:f>P1108-T1108</x:f>
        <x:v>18953.223661457043</x:v>
      </x:c>
      <x:c r="W1108" s="79" t="n">
        <x:f>IF(U1108&gt;0,V1108/U1108,0)</x:f>
        <x:v>0.007970079846818082</x:v>
      </x:c>
      <x:c r="X1108" s="80" t="n">
        <x:f>W1108*('Inputs'!$B$6-AC1108)</x:f>
        <x:v>7968014.290038574</x:v>
      </x:c>
      <x:c r="Y1108" s="80" t="n">
        <x:f>2*V1108</x:f>
        <x:v>37906.447322914086</x:v>
      </x:c>
      <x:c r="Z1108" s="80" t="n">
        <x:f>K1108*'Inputs'!$B$16+(G1108+R1108)*J1108*'Inputs'!$B$16</x:f>
        <x:v>320.2186884052557</x:v>
      </x:c>
      <x:c r="AA1108" s="80" t="n">
        <x:f>K1108*(1+'Inputs'!$E$47)/2*'Inputs'!$B$17</x:f>
        <x:v>111.03554027140493</x:v>
      </x:c>
      <x:c r="AB1108" s="78" t="n">
        <x:f>(IF(J1108&gt;0,K1108*(1-'Inputs'!$E$47)/2/J1108,0)+G1108+R1108)*'Inputs'!$B$17</x:f>
        <x:v>15519.760490424696</x:v>
      </x:c>
      <x:c r="AC1108" s="78" t="n">
        <x:f>AC1107+AB1108</x:f>
        <x:v>259163.875294614</x:v>
      </x:c>
      <x:c r="AD1108" s="80" t="n">
        <x:f>Z1108/(1+'Inputs'!$C$47)</x:f>
        <x:v>128.08747536210228</x:v>
      </x:c>
      <x:c r="AE1108" s="80" t="n">
        <x:f>Z1108-AD1108</x:f>
        <x:v>192.13121304315342</x:v>
      </x:c>
      <x:c r="AF1108" s="80" t="n">
        <x:f>D1108*W1108</x:f>
        <x:v>2421.416520209274</x:v>
      </x:c>
      <x:c r="AG1108" s="80" t="n">
        <x:f>C1108*W1108</x:f>
        <x:v>5649.971880488306</x:v>
      </x:c>
      <x:c r="AH1108" s="80" t="n">
        <x:f>2*'Inputs'!$B$8*'Inputs'!$C$47</x:f>
        <x:v>7500</x:v>
      </x:c>
      <x:c r="AI1108" s="81" t="n">
        <x:f>IF(AH1108&gt;0,(AE1108+AF1108)/AH1108*365,0)</x:f>
        <x:v>127.19265635161813</x:v>
      </x:c>
      <x:c r="AJ1108" s="81" t="n">
        <x:f>IF('Inputs'!$B$47&gt;0,AG1108/('Inputs'!$B$19*'Inputs'!$B$47)*365,0)</x:f>
        <x:v>206.22397363782318</x:v>
      </x:c>
      <x:c r="AK1108" s="81" t="n">
        <x:f>W1108/MAX($W$1099:W1108)-1</x:f>
        <x:v>0</x:v>
      </x:c>
      <x:c r="AL1108" s="83" t="n">
        <x:f>'Inputs'!$B$47</x:f>
        <x:v>1</x:v>
      </x:c>
      <x:c r="AM1108" s="83" t="n">
        <x:f>'Inputs'!$C$47</x:f>
        <x:v>1.5</x:v>
      </x:c>
      <x:c r="AN1108" s="83" t="n">
        <x:f>'Inputs'!$D$47</x:f>
        <x:v>1.5</x:v>
      </x:c>
      <x:c r="AO1108" s="81" t="n">
        <x:f>'Inputs'!$E$47</x:f>
        <x:v>0.05</x:v>
      </x:c>
    </x:row>
    <x:row r="1109">
      <x:c r="A1109" s="59" t="str">
        <x:v>Growth</x:v>
      </x:c>
      <x:c r="B1109" s="59" t="n">
        <x:v>11</x:v>
      </x:c>
      <x:c r="C1109" s="78" t="n">
        <x:f>(('Inputs'!$B$29*(3*11*'Inputs'!$B$12-11^2)/(2*'Inputs'!$B$12^2))-('Inputs'!$B$29*(3*10*'Inputs'!$B$12-10^2)/(2*'Inputs'!$B$12^2)))*'Inputs'!$B$47</x:f>
        <x:v>708572.6684180889</x:v>
      </x:c>
      <x:c r="D1109" s="78" t="n">
        <x:f>IF('Inputs'!$C$47&gt;0,('Inputs'!$B$30*(3*11*'Inputs'!$B$12-11^2)/(2*'Inputs'!$B$12^2))-('Inputs'!$B$30*(3*10*'Inputs'!$B$12-10^2)/(2*'Inputs'!$B$12^2)),0)</x:f>
        <x:v>303674.0007506097</x:v>
      </x:c>
      <x:c r="E1109" s="78" t="n">
        <x:f>C1109+D1109</x:f>
        <x:v>1012246.6691686986</x:v>
      </x:c>
      <x:c r="F1109" s="78" t="n">
        <x:f>'Inputs'!$B$13*E1109+(1-'Inputs'!$B$13)/'Inputs'!$B$14*SUM(E1099:E1109)</x:f>
        <x:v>361881.58459105145</x:v>
      </x:c>
      <x:c r="G1109" s="78" t="n">
        <x:f>F1109*'Inputs'!$F$47</x:f>
        <x:v>126658.554606868</x:v>
      </x:c>
      <x:c r="H1109" s="78" t="n">
        <x:f>U1108</x:f>
        <x:v>2378046.8986171815</x:v>
      </x:c>
      <x:c r="I1109" s="78" t="n">
        <x:f>V1108</x:f>
        <x:v>18953.223661457043</x:v>
      </x:c>
      <x:c r="J1109" s="79" t="n">
        <x:f>IF(H1109&gt;0,I1109/H1109,0)</x:f>
        <x:v>0.007970079846818082</x:v>
      </x:c>
      <x:c r="K1109" s="80" t="n">
        <x:f>(H1109*J1109+I1109)*'Inputs'!$D$47*(1+'Inputs'!$G$47)^(B1109/30)</x:f>
        <x:v>57479.28070366562</x:v>
      </x:c>
      <x:c r="L1109" s="80" t="n">
        <x:f>MAX(0,K1109*'Inputs'!$E$47)</x:f>
        <x:v>2873.9640351832813</x:v>
      </x:c>
      <x:c r="M1109" s="80" t="n">
        <x:f>MAX(0,-K1109*'Inputs'!$E$47)</x:f>
        <x:v>0</x:v>
      </x:c>
      <x:c r="N1109" s="78" t="n">
        <x:f>H1109*(L1109*(1-'Inputs'!$B$15))/(I1109+L1109*(1-'Inputs'!$B$15))</x:f>
        <x:v>310392.6036627626</x:v>
      </x:c>
      <x:c r="O1109" s="78" t="n">
        <x:f>H1109-N1109</x:f>
        <x:v>2067654.294954419</x:v>
      </x:c>
      <x:c r="P1109" s="78" t="n">
        <x:f>I1109+L1109*(1-'Inputs'!$B$17)</x:f>
        <x:v>21815.622449013834</x:v>
      </x:c>
      <x:c r="Q1109" s="78" t="n">
        <x:f>IF(J1109&gt;0,M1109/J1109,0)</x:f>
        <x:v>0</x:v>
      </x:c>
      <x:c r="R1109" s="78" t="n">
        <x:f>IF(B1109='Inputs'!$H$47,'Inputs'!$B$27*'Inputs'!$I$47,0)</x:f>
        <x:v>0</x:v>
      </x:c>
      <x:c r="S1109" s="78" t="n">
        <x:f>Q1109+G1109+R1109</x:f>
        <x:v>126658.554606868</x:v>
      </x:c>
      <x:c r="T1109" s="78" t="n">
        <x:f>P1109*(S1109*(1-'Inputs'!$B$15))/(O1109+S1109*(1-'Inputs'!$B$15))</x:f>
        <x:v>1247.3534644729405</x:v>
      </x:c>
      <x:c r="U1109" s="78" t="n">
        <x:f>O1109+S1109*(1-'Inputs'!$B$17)</x:f>
        <x:v>2193803.157188623</x:v>
      </x:c>
      <x:c r="V1109" s="78" t="n">
        <x:f>P1109-T1109</x:f>
        <x:v>20568.268984540893</x:v>
      </x:c>
      <x:c r="W1109" s="79" t="n">
        <x:f>IF(U1109&gt;0,V1109/U1109,0)</x:f>
        <x:v>0.00937562192721944</x:v>
      </x:c>
      <x:c r="X1109" s="80" t="n">
        <x:f>W1109*('Inputs'!$B$6-AC1109)</x:f>
        <x:v>9373058.080368549</x:v>
      </x:c>
      <x:c r="Y1109" s="80" t="n">
        <x:f>2*V1109</x:f>
        <x:v>41136.537969081786</x:v>
      </x:c>
      <x:c r="Z1109" s="80" t="n">
        <x:f>K1109*'Inputs'!$B$16+(G1109+R1109)*J1109*'Inputs'!$B$16</x:f>
        <x:v>350.9325569829896</x:v>
      </x:c>
      <x:c r="AA1109" s="80" t="n">
        <x:f>K1109*(1+'Inputs'!$E$47)/2*'Inputs'!$B$17</x:f>
        <x:v>121.43510007816683</x:v>
      </x:c>
      <x:c r="AB1109" s="78" t="n">
        <x:f>(IF(J1109&gt;0,K1109*(1-'Inputs'!$E$47)/2/J1109,0)+G1109+R1109)*'Inputs'!$B$17</x:f>
        <x:v>14294.9811731939</x:v>
      </x:c>
      <x:c r="AC1109" s="78" t="n">
        <x:f>AC1108+AB1109</x:f>
        <x:v>273458.8564678079</x:v>
      </x:c>
      <x:c r="AD1109" s="80" t="n">
        <x:f>Z1109/(1+'Inputs'!$C$47)</x:f>
        <x:v>140.37302279319584</x:v>
      </x:c>
      <x:c r="AE1109" s="80" t="n">
        <x:f>Z1109-AD1109</x:f>
        <x:v>210.55953418979374</x:v>
      </x:c>
      <x:c r="AF1109" s="80" t="n">
        <x:f>D1109*W1109</x:f>
        <x:v>2847.132620163869</x:v>
      </x:c>
      <x:c r="AG1109" s="80" t="n">
        <x:f>C1109*W1109</x:f>
        <x:v>6643.309447049025</x:v>
      </x:c>
      <x:c r="AH1109" s="80" t="n">
        <x:f>2*'Inputs'!$B$8*'Inputs'!$C$47</x:f>
        <x:v>7500</x:v>
      </x:c>
      <x:c r="AI1109" s="81" t="n">
        <x:f>IF(AH1109&gt;0,(AE1109+AF1109)/AH1109*365,0)</x:f>
        <x:v>148.8076848452116</x:v>
      </x:c>
      <x:c r="AJ1109" s="81" t="n">
        <x:f>IF('Inputs'!$B$47&gt;0,AG1109/('Inputs'!$B$19*'Inputs'!$B$47)*365,0)</x:f>
        <x:v>242.48079481728942</x:v>
      </x:c>
      <x:c r="AK1109" s="81" t="n">
        <x:f>W1109/MAX($W$1099:W1109)-1</x:f>
        <x:v>0</x:v>
      </x:c>
      <x:c r="AL1109" s="83" t="n">
        <x:f>'Inputs'!$B$47</x:f>
        <x:v>1</x:v>
      </x:c>
      <x:c r="AM1109" s="83" t="n">
        <x:f>'Inputs'!$C$47</x:f>
        <x:v>1.5</x:v>
      </x:c>
      <x:c r="AN1109" s="83" t="n">
        <x:f>'Inputs'!$D$47</x:f>
        <x:v>1.5</x:v>
      </x:c>
      <x:c r="AO1109" s="81" t="n">
        <x:f>'Inputs'!$E$47</x:f>
        <x:v>0.05</x:v>
      </x:c>
    </x:row>
    <x:row r="1110">
      <x:c r="A1110" s="59" t="str">
        <x:v>Growth</x:v>
      </x:c>
      <x:c r="B1110" s="59" t="n">
        <x:v>12</x:v>
      </x:c>
      <x:c r="C1110" s="78" t="n">
        <x:f>(('Inputs'!$B$29*(3*12*'Inputs'!$B$12-12^2)/(2*'Inputs'!$B$12^2))-('Inputs'!$B$29*(3*11*'Inputs'!$B$12-11^2)/(2*'Inputs'!$B$12^2)))*'Inputs'!$B$47</x:f>
        <x:v>708247.5605179211</x:v>
      </x:c>
      <x:c r="D1110" s="78" t="n">
        <x:f>IF('Inputs'!$C$47&gt;0,('Inputs'!$B$30*(3*12*'Inputs'!$B$12-12^2)/(2*'Inputs'!$B$12^2))-('Inputs'!$B$30*(3*11*'Inputs'!$B$12-11^2)/(2*'Inputs'!$B$12^2)),0)</x:f>
        <x:v>303534.6687933947</x:v>
      </x:c>
      <x:c r="E1110" s="78" t="n">
        <x:f>C1110+D1110</x:f>
        <x:v>1011782.2293113158</x:v>
      </x:c>
      <x:c r="F1110" s="78" t="n">
        <x:f>'Inputs'!$B$13*E1110+(1-'Inputs'!$B$13)/'Inputs'!$B$14*SUM(E1099:E1110)</x:f>
        <x:v>376242.7284668794</x:v>
      </x:c>
      <x:c r="G1110" s="78" t="n">
        <x:f>F1110*'Inputs'!$F$47</x:f>
        <x:v>131684.95496340777</x:v>
      </x:c>
      <x:c r="H1110" s="78" t="n">
        <x:f>U1109</x:f>
        <x:v>2193803.157188623</x:v>
      </x:c>
      <x:c r="I1110" s="78" t="n">
        <x:f>V1109</x:f>
        <x:v>20568.268984540893</x:v>
      </x:c>
      <x:c r="J1110" s="79" t="n">
        <x:f>IF(H1110&gt;0,I1110/H1110,0)</x:f>
        <x:v>0.00937562192721944</x:v>
      </x:c>
      <x:c r="K1110" s="80" t="n">
        <x:f>(H1110*J1110+I1110)*'Inputs'!$D$47*(1+'Inputs'!$G$47)^(B1110/30)</x:f>
        <x:v>62438.70510851848</x:v>
      </x:c>
      <x:c r="L1110" s="80" t="n">
        <x:f>MAX(0,K1110*'Inputs'!$E$47)</x:f>
        <x:v>3121.935255425924</x:v>
      </x:c>
      <x:c r="M1110" s="80" t="n">
        <x:f>MAX(0,-K1110*'Inputs'!$E$47)</x:f>
        <x:v>0</x:v>
      </x:c>
      <x:c r="N1110" s="78" t="n">
        <x:f>H1110*(L1110*(1-'Inputs'!$B$15))/(I1110+L1110*(1-'Inputs'!$B$15))</x:f>
        <x:v>286589.73907626845</x:v>
      </x:c>
      <x:c r="O1110" s="78" t="n">
        <x:f>H1110-N1110</x:f>
        <x:v>1907213.4181123548</x:v>
      </x:c>
      <x:c r="P1110" s="78" t="n">
        <x:f>I1110+L1110*(1-'Inputs'!$B$17)</x:f>
        <x:v>23677.64112022667</x:v>
      </x:c>
      <x:c r="Q1110" s="78" t="n">
        <x:f>IF(J1110&gt;0,M1110/J1110,0)</x:f>
        <x:v>0</x:v>
      </x:c>
      <x:c r="R1110" s="78" t="n">
        <x:f>IF(B1110='Inputs'!$H$47,'Inputs'!$B$27*'Inputs'!$I$47,0)</x:f>
        <x:v>0</x:v>
      </x:c>
      <x:c r="S1110" s="78" t="n">
        <x:f>Q1110+G1110+R1110</x:f>
        <x:v>131684.95496340777</x:v>
      </x:c>
      <x:c r="T1110" s="78" t="n">
        <x:f>P1110*(S1110*(1-'Inputs'!$B$15))/(O1110+S1110*(1-'Inputs'!$B$15))</x:f>
        <x:v>1514.9377719961594</x:v>
      </x:c>
      <x:c r="U1110" s="78" t="n">
        <x:f>O1110+S1110*(1-'Inputs'!$B$17)</x:f>
        <x:v>2038368.4537398936</x:v>
      </x:c>
      <x:c r="V1110" s="78" t="n">
        <x:f>P1110-T1110</x:f>
        <x:v>22162.703348230512</x:v>
      </x:c>
      <x:c r="W1110" s="79" t="n">
        <x:f>IF(U1110&gt;0,V1110/U1110,0)</x:f>
        <x:v>0.010872766063253934</x:v>
      </x:c>
      <x:c r="X1110" s="80" t="n">
        <x:f>W1110*('Inputs'!$B$6-AC1110)</x:f>
        <x:v>10869648.639432376</x:v>
      </x:c>
      <x:c r="Y1110" s="80" t="n">
        <x:f>2*V1110</x:f>
        <x:v>44325.406696461025</x:v>
      </x:c>
      <x:c r="Z1110" s="80" t="n">
        <x:f>K1110*'Inputs'!$B$16+(G1110+R1110)*J1110*'Inputs'!$B$16</x:f>
        <x:v>382.04000075854987</x:v>
      </x:c>
      <x:c r="AA1110" s="80" t="n">
        <x:f>K1110*(1+'Inputs'!$E$47)/2*'Inputs'!$B$17</x:f>
        <x:v>131.91275727151793</x:v>
      </x:c>
      <x:c r="AB1110" s="78" t="n">
        <x:f>(IF(J1110&gt;0,K1110*(1-'Inputs'!$E$47)/2/J1110,0)+G1110+R1110)*'Inputs'!$B$17</x:f>
        <x:v>13259.70285933578</x:v>
      </x:c>
      <x:c r="AC1110" s="78" t="n">
        <x:f>AC1109+AB1110</x:f>
        <x:v>286718.55932714365</x:v>
      </x:c>
      <x:c r="AD1110" s="80" t="n">
        <x:f>Z1110/(1+'Inputs'!$C$47)</x:f>
        <x:v>152.81600030341994</x:v>
      </x:c>
      <x:c r="AE1110" s="80" t="n">
        <x:f>Z1110-AD1110</x:f>
        <x:v>229.22400045512993</x:v>
      </x:c>
      <x:c r="AF1110" s="80" t="n">
        <x:f>D1110*W1110</x:f>
        <x:v>3300.261445877845</x:v>
      </x:c>
      <x:c r="AG1110" s="80" t="n">
        <x:f>C1110*W1110</x:f>
        <x:v>7700.61004038164</x:v>
      </x:c>
      <x:c r="AH1110" s="80" t="n">
        <x:f>2*'Inputs'!$B$8*'Inputs'!$C$47</x:f>
        <x:v>7500</x:v>
      </x:c>
      <x:c r="AI1110" s="81" t="n">
        <x:f>IF(AH1110&gt;0,(AE1110+AF1110)/AH1110*365,0)</x:f>
        <x:v>171.7682917215381</x:v>
      </x:c>
      <x:c r="AJ1110" s="81" t="n">
        <x:f>IF('Inputs'!$B$47&gt;0,AG1110/('Inputs'!$B$19*'Inputs'!$B$47)*365,0)</x:f>
        <x:v>281.07226647392986</x:v>
      </x:c>
      <x:c r="AK1110" s="81" t="n">
        <x:f>W1110/MAX($W$1099:W1110)-1</x:f>
        <x:v>0</x:v>
      </x:c>
      <x:c r="AL1110" s="83" t="n">
        <x:f>'Inputs'!$B$47</x:f>
        <x:v>1</x:v>
      </x:c>
      <x:c r="AM1110" s="83" t="n">
        <x:f>'Inputs'!$C$47</x:f>
        <x:v>1.5</x:v>
      </x:c>
      <x:c r="AN1110" s="83" t="n">
        <x:f>'Inputs'!$D$47</x:f>
        <x:v>1.5</x:v>
      </x:c>
      <x:c r="AO1110" s="81" t="n">
        <x:f>'Inputs'!$E$47</x:f>
        <x:v>0.05</x:v>
      </x:c>
    </x:row>
    <x:row r="1111">
      <x:c r="A1111" s="59" t="str">
        <x:v>Growth</x:v>
      </x:c>
      <x:c r="B1111" s="59" t="n">
        <x:v>13</x:v>
      </x:c>
      <x:c r="C1111" s="78" t="n">
        <x:f>(('Inputs'!$B$29*(3*13*'Inputs'!$B$12-13^2)/(2*'Inputs'!$B$12^2))-('Inputs'!$B$29*(3*12*'Inputs'!$B$12-12^2)/(2*'Inputs'!$B$12^2)))*'Inputs'!$B$47</x:f>
        <x:v>707922.4526177514</x:v>
      </x:c>
      <x:c r="D1111" s="78" t="n">
        <x:f>IF('Inputs'!$C$47&gt;0,('Inputs'!$B$30*(3*13*'Inputs'!$B$12-13^2)/(2*'Inputs'!$B$12^2))-('Inputs'!$B$30*(3*12*'Inputs'!$B$12-12^2)/(2*'Inputs'!$B$12^2)),0)</x:f>
        <x:v>303395.3368361797</x:v>
      </x:c>
      <x:c r="E1111" s="78" t="n">
        <x:f>C1111+D1111</x:f>
        <x:v>1011317.7894539312</x:v>
      </x:c>
      <x:c r="F1111" s="78" t="n">
        <x:f>'Inputs'!$B$13*E1111+(1-'Inputs'!$B$13)/'Inputs'!$B$14*SUM(E1099:E1111)</x:f>
        <x:v>390597.23748760147</x:v>
      </x:c>
      <x:c r="G1111" s="78" t="n">
        <x:f>F1111*'Inputs'!$F$47</x:f>
        <x:v>136709.03312066052</x:v>
      </x:c>
      <x:c r="H1111" s="78" t="n">
        <x:f>U1110</x:f>
        <x:v>2038368.4537398936</x:v>
      </x:c>
      <x:c r="I1111" s="78" t="n">
        <x:f>V1110</x:f>
        <x:v>22162.703348230512</x:v>
      </x:c>
      <x:c r="J1111" s="79" t="n">
        <x:f>IF(H1111&gt;0,I1111/H1111,0)</x:f>
        <x:v>0.010872766063253934</x:v>
      </x:c>
      <x:c r="K1111" s="80" t="n">
        <x:f>(H1111*J1111+I1111)*'Inputs'!$D$47*(1+'Inputs'!$G$47)^(B1111/30)</x:f>
        <x:v>67345.22147175774</x:v>
      </x:c>
      <x:c r="L1111" s="80" t="n">
        <x:f>MAX(0,K1111*'Inputs'!$E$47)</x:f>
        <x:v>3367.2610735878875</x:v>
      </x:c>
      <x:c r="M1111" s="80" t="n">
        <x:f>MAX(0,-K1111*'Inputs'!$E$47)</x:f>
        <x:v>0</x:v>
      </x:c>
      <x:c r="N1111" s="78" t="n">
        <x:f>H1111*(L1111*(1-'Inputs'!$B$15))/(I1111+L1111*(1-'Inputs'!$B$15))</x:f>
        <x:v>266512.54271710076</x:v>
      </x:c>
      <x:c r="O1111" s="78" t="n">
        <x:f>H1111-N1111</x:f>
        <x:v>1771855.9110227928</x:v>
      </x:c>
      <x:c r="P1111" s="78" t="n">
        <x:f>I1111+L1111*(1-'Inputs'!$B$17)</x:f>
        <x:v>25516.414075445813</x:v>
      </x:c>
      <x:c r="Q1111" s="78" t="n">
        <x:f>IF(J1111&gt;0,M1111/J1111,0)</x:f>
        <x:v>0</x:v>
      </x:c>
      <x:c r="R1111" s="78" t="n">
        <x:f>IF(B1111='Inputs'!$H$47,'Inputs'!$B$27*'Inputs'!$I$47,0)</x:f>
        <x:v>0</x:v>
      </x:c>
      <x:c r="S1111" s="78" t="n">
        <x:f>Q1111+G1111+R1111</x:f>
        <x:v>136709.03312066052</x:v>
      </x:c>
      <x:c r="T1111" s="78" t="n">
        <x:f>P1111*(S1111*(1-'Inputs'!$B$15))/(O1111+S1111*(1-'Inputs'!$B$15))</x:f>
        <x:v>1810.7408453129353</x:v>
      </x:c>
      <x:c r="U1111" s="78" t="n">
        <x:f>O1111+S1111*(1-'Inputs'!$B$17)</x:f>
        <x:v>1908014.8071892455</x:v>
      </x:c>
      <x:c r="V1111" s="78" t="n">
        <x:f>P1111-T1111</x:f>
        <x:v>23705.673230132878</x:v>
      </x:c>
      <x:c r="W1111" s="79" t="n">
        <x:f>IF(U1111&gt;0,V1111/U1111,0)</x:f>
        <x:v>0.012424260619368266</x:v>
      </x:c>
      <x:c r="X1111" s="80" t="n">
        <x:f>W1111*('Inputs'!$B$6-AC1111)</x:f>
        <x:v>12420544.420982324</x:v>
      </x:c>
      <x:c r="Y1111" s="80" t="n">
        <x:f>2*V1111</x:f>
        <x:v>47411.346460265755</x:v>
      </x:c>
      <x:c r="Z1111" s="80" t="n">
        <x:f>K1111*'Inputs'!$B$16+(G1111+R1111)*J1111*'Inputs'!$B$16</x:f>
        <x:v>412.9897608456739</x:v>
      </x:c>
      <x:c r="AA1111" s="80" t="n">
        <x:f>K1111*(1+'Inputs'!$E$47)/2*'Inputs'!$B$17</x:f>
        <x:v>142.27863691216425</x:v>
      </x:c>
      <x:c r="AB1111" s="78" t="n">
        <x:f>(IF(J1111&gt;0,K1111*(1-'Inputs'!$E$47)/2/J1111,0)+G1111+R1111)*'Inputs'!$B$17</x:f>
        <x:v>12389.653208920003</x:v>
      </x:c>
      <x:c r="AC1111" s="78" t="n">
        <x:f>AC1110+AB1111</x:f>
        <x:v>299108.2125360636</x:v>
      </x:c>
      <x:c r="AD1111" s="80" t="n">
        <x:f>Z1111/(1+'Inputs'!$C$47)</x:f>
        <x:v>165.19590433826957</x:v>
      </x:c>
      <x:c r="AE1111" s="80" t="n">
        <x:f>Z1111-AD1111</x:f>
        <x:v>247.79385650740434</x:v>
      </x:c>
      <x:c r="AF1111" s="80" t="n">
        <x:f>D1111*W1111</x:f>
        <x:v>3769.462735553718</x:v>
      </x:c>
      <x:c r="AG1111" s="80" t="n">
        <x:f>C1111*W1111</x:f>
        <x:v>8795.413049625327</x:v>
      </x:c>
      <x:c r="AH1111" s="80" t="n">
        <x:f>2*'Inputs'!$B$8*'Inputs'!$C$47</x:f>
        <x:v>7500</x:v>
      </x:c>
      <x:c r="AI1111" s="81" t="n">
        <x:f>IF(AH1111&gt;0,(AE1111+AF1111)/AH1111*365,0)</x:f>
        <x:v>195.50648748030795</x:v>
      </x:c>
      <x:c r="AJ1111" s="81" t="n">
        <x:f>IF('Inputs'!$B$47&gt;0,AG1111/('Inputs'!$B$19*'Inputs'!$B$47)*365,0)</x:f>
        <x:v>321.0325763113244</x:v>
      </x:c>
      <x:c r="AK1111" s="81" t="n">
        <x:f>W1111/MAX($W$1099:W1111)-1</x:f>
        <x:v>0</x:v>
      </x:c>
      <x:c r="AL1111" s="83" t="n">
        <x:f>'Inputs'!$B$47</x:f>
        <x:v>1</x:v>
      </x:c>
      <x:c r="AM1111" s="83" t="n">
        <x:f>'Inputs'!$C$47</x:f>
        <x:v>1.5</x:v>
      </x:c>
      <x:c r="AN1111" s="83" t="n">
        <x:f>'Inputs'!$D$47</x:f>
        <x:v>1.5</x:v>
      </x:c>
      <x:c r="AO1111" s="81" t="n">
        <x:f>'Inputs'!$E$47</x:f>
        <x:v>0.05</x:v>
      </x:c>
    </x:row>
    <x:row r="1112">
      <x:c r="A1112" s="59" t="str">
        <x:v>Growth</x:v>
      </x:c>
      <x:c r="B1112" s="59" t="n">
        <x:v>14</x:v>
      </x:c>
      <x:c r="C1112" s="78" t="n">
        <x:f>(('Inputs'!$B$29*(3*14*'Inputs'!$B$12-14^2)/(2*'Inputs'!$B$12^2))-('Inputs'!$B$29*(3*13*'Inputs'!$B$12-13^2)/(2*'Inputs'!$B$12^2)))*'Inputs'!$B$47</x:f>
        <x:v>707597.3447175827</x:v>
      </x:c>
      <x:c r="D1112" s="78" t="n">
        <x:f>IF('Inputs'!$C$47&gt;0,('Inputs'!$B$30*(3*14*'Inputs'!$B$12-14^2)/(2*'Inputs'!$B$12^2))-('Inputs'!$B$30*(3*13*'Inputs'!$B$12-13^2)/(2*'Inputs'!$B$12^2)),0)</x:f>
        <x:v>303256.0048789638</x:v>
      </x:c>
      <x:c r="E1112" s="78" t="n">
        <x:f>C1112+D1112</x:f>
        <x:v>1010853.3495965465</x:v>
      </x:c>
      <x:c r="F1112" s="78" t="n">
        <x:f>'Inputs'!$B$13*E1112+(1-'Inputs'!$B$13)/'Inputs'!$B$14*SUM(E1099:E1112)</x:f>
        <x:v>404945.1116532181</x:v>
      </x:c>
      <x:c r="G1112" s="78" t="n">
        <x:f>F1112*'Inputs'!$F$47</x:f>
        <x:v>141730.78907862632</x:v>
      </x:c>
      <x:c r="H1112" s="78" t="n">
        <x:f>U1111</x:f>
        <x:v>1908014.8071892455</x:v>
      </x:c>
      <x:c r="I1112" s="78" t="n">
        <x:f>V1111</x:f>
        <x:v>23705.673230132878</x:v>
      </x:c>
      <x:c r="J1112" s="79" t="n">
        <x:f>IF(H1112&gt;0,I1112/H1112,0)</x:f>
        <x:v>0.012424260619368266</x:v>
      </x:c>
      <x:c r="K1112" s="80" t="n">
        <x:f>(H1112*J1112+I1112)*'Inputs'!$D$47*(1+'Inputs'!$G$47)^(B1112/30)</x:f>
        <x:v>72104.81271909179</x:v>
      </x:c>
      <x:c r="L1112" s="80" t="n">
        <x:f>MAX(0,K1112*'Inputs'!$E$47)</x:f>
        <x:v>3605.2406359545894</x:v>
      </x:c>
      <x:c r="M1112" s="80" t="n">
        <x:f>MAX(0,-K1112*'Inputs'!$E$47)</x:f>
        <x:v>0</x:v>
      </x:c>
      <x:c r="N1112" s="78" t="n">
        <x:f>H1112*(L1112*(1-'Inputs'!$B$15))/(I1112+L1112*(1-'Inputs'!$B$15))</x:f>
        <x:v>249682.80780337442</x:v>
      </x:c>
      <x:c r="O1112" s="78" t="n">
        <x:f>H1112-N1112</x:f>
        <x:v>1658331.999385871</x:v>
      </x:c>
      <x:c r="P1112" s="78" t="n">
        <x:f>I1112+L1112*(1-'Inputs'!$B$17)</x:f>
        <x:v>27296.405855480003</x:v>
      </x:c>
      <x:c r="Q1112" s="78" t="n">
        <x:f>IF(J1112&gt;0,M1112/J1112,0)</x:f>
        <x:v>0</x:v>
      </x:c>
      <x:c r="R1112" s="78" t="n">
        <x:f>IF(B1112='Inputs'!$H$47,'Inputs'!$B$27*'Inputs'!$I$47,0)</x:f>
        <x:v>0</x:v>
      </x:c>
      <x:c r="S1112" s="78" t="n">
        <x:f>Q1112+G1112+R1112</x:f>
        <x:v>141730.78907862632</x:v>
      </x:c>
      <x:c r="T1112" s="78" t="n">
        <x:f>P1112*(S1112*(1-'Inputs'!$B$15))/(O1112+S1112*(1-'Inputs'!$B$15))</x:f>
        <x:v>2129.410031529323</x:v>
      </x:c>
      <x:c r="U1112" s="78" t="n">
        <x:f>O1112+S1112*(1-'Inputs'!$B$17)</x:f>
        <x:v>1799492.4432368167</x:v>
      </x:c>
      <x:c r="V1112" s="78" t="n">
        <x:f>P1112-T1112</x:f>
        <x:v>25166.99582395068</x:v>
      </x:c>
      <x:c r="W1112" s="79" t="n">
        <x:f>IF(U1112&gt;0,V1112/U1112,0)</x:f>
        <x:v>0.013985607952141123</x:v>
      </x:c>
      <x:c r="X1112" s="80" t="n">
        <x:f>W1112*('Inputs'!$B$6-AC1112)</x:f>
        <x:v>13981261.618719101</x:v>
      </x:c>
      <x:c r="Y1112" s="80" t="n">
        <x:f>2*V1112</x:f>
        <x:v>50333.99164790136</x:v>
      </x:c>
      <x:c r="Z1112" s="80" t="n">
        <x:f>K1112*'Inputs'!$B$16+(G1112+R1112)*J1112*'Inputs'!$B$16</x:f>
        <x:v>443.1942778823601</x:v>
      </x:c>
      <x:c r="AA1112" s="80" t="n">
        <x:f>K1112*(1+'Inputs'!$E$47)/2*'Inputs'!$B$17</x:f>
        <x:v>152.33411137836293</x:v>
      </x:c>
      <x:c r="AB1112" s="78" t="n">
        <x:f>(IF(J1112&gt;0,K1112*(1-'Inputs'!$E$47)/2/J1112,0)+G1112+R1112)*'Inputs'!$B$17</x:f>
        <x:v>11663.649287645474</x:v>
      </x:c>
      <x:c r="AC1112" s="78" t="n">
        <x:f>AC1111+AB1112</x:f>
        <x:v>310771.8618237091</x:v>
      </x:c>
      <x:c r="AD1112" s="80" t="n">
        <x:f>Z1112/(1+'Inputs'!$C$47)</x:f>
        <x:v>177.27771115294405</x:v>
      </x:c>
      <x:c r="AE1112" s="80" t="n">
        <x:f>Z1112-AD1112</x:f>
        <x:v>265.91656672941605</x:v>
      </x:c>
      <x:c r="AF1112" s="80" t="n">
        <x:f>D1112*W1112</x:f>
        <x:v>4241.219593369784</x:v>
      </x:c>
      <x:c r="AG1112" s="80" t="n">
        <x:f>C1112*W1112</x:f>
        <x:v>9896.179051196168</x:v>
      </x:c>
      <x:c r="AH1112" s="80" t="n">
        <x:f>2*'Inputs'!$B$8*'Inputs'!$C$47</x:f>
        <x:v>7500</x:v>
      </x:c>
      <x:c r="AI1112" s="81" t="n">
        <x:f>IF(AH1112&gt;0,(AE1112+AF1112)/AH1112*365,0)</x:f>
        <x:v>219.34729312482776</x:v>
      </x:c>
      <x:c r="AJ1112" s="81" t="n">
        <x:f>IF('Inputs'!$B$47&gt;0,AG1112/('Inputs'!$B$19*'Inputs'!$B$47)*365,0)</x:f>
        <x:v>361.21053536866015</x:v>
      </x:c>
      <x:c r="AK1112" s="81" t="n">
        <x:f>W1112/MAX($W$1099:W1112)-1</x:f>
        <x:v>0</x:v>
      </x:c>
      <x:c r="AL1112" s="83" t="n">
        <x:f>'Inputs'!$B$47</x:f>
        <x:v>1</x:v>
      </x:c>
      <x:c r="AM1112" s="83" t="n">
        <x:f>'Inputs'!$C$47</x:f>
        <x:v>1.5</x:v>
      </x:c>
      <x:c r="AN1112" s="83" t="n">
        <x:f>'Inputs'!$D$47</x:f>
        <x:v>1.5</x:v>
      </x:c>
      <x:c r="AO1112" s="81" t="n">
        <x:f>'Inputs'!$E$47</x:f>
        <x:v>0.05</x:v>
      </x:c>
    </x:row>
    <x:row r="1113">
      <x:c r="A1113" s="59" t="str">
        <x:v>Growth</x:v>
      </x:c>
      <x:c r="B1113" s="59" t="n">
        <x:v>15</x:v>
      </x:c>
      <x:c r="C1113" s="78" t="n">
        <x:f>(('Inputs'!$B$29*(3*15*'Inputs'!$B$12-15^2)/(2*'Inputs'!$B$12^2))-('Inputs'!$B$29*(3*14*'Inputs'!$B$12-14^2)/(2*'Inputs'!$B$12^2)))*'Inputs'!$B$47</x:f>
        <x:v>707272.2368174158</x:v>
      </x:c>
      <x:c r="D1113" s="78" t="n">
        <x:f>IF('Inputs'!$C$47&gt;0,('Inputs'!$B$30*(3*15*'Inputs'!$B$12-15^2)/(2*'Inputs'!$B$12^2))-('Inputs'!$B$30*(3*14*'Inputs'!$B$12-14^2)/(2*'Inputs'!$B$12^2)),0)</x:f>
        <x:v>303116.67292174883</x:v>
      </x:c>
      <x:c r="E1113" s="78" t="n">
        <x:f>C1113+D1113</x:f>
        <x:v>1010388.9097391646</x:v>
      </x:c>
      <x:c r="F1113" s="78" t="n">
        <x:f>'Inputs'!$B$13*E1113+(1-'Inputs'!$B$13)/'Inputs'!$B$14*SUM(E1099:E1113)</x:f>
        <x:v>419286.3509637298</x:v>
      </x:c>
      <x:c r="G1113" s="78" t="n">
        <x:f>F1113*'Inputs'!$F$47</x:f>
        <x:v>146750.22283730542</x:v>
      </x:c>
      <x:c r="H1113" s="78" t="n">
        <x:f>U1112</x:f>
        <x:v>1799492.4432368167</x:v>
      </x:c>
      <x:c r="I1113" s="78" t="n">
        <x:f>V1112</x:f>
        <x:v>25166.99582395068</x:v>
      </x:c>
      <x:c r="J1113" s="79" t="n">
        <x:f>IF(H1113&gt;0,I1113/H1113,0)</x:f>
        <x:v>0.013985607952141123</x:v>
      </x:c>
      <x:c r="K1113" s="80" t="n">
        <x:f>(H1113*J1113+I1113)*'Inputs'!$D$47*(1+'Inputs'!$G$47)^(B1113/30)</x:f>
        <x:v>76625.13349092126</x:v>
      </x:c>
      <x:c r="L1113" s="80" t="n">
        <x:f>MAX(0,K1113*'Inputs'!$E$47)</x:f>
        <x:v>3831.256674546063</x:v>
      </x:c>
      <x:c r="M1113" s="80" t="n">
        <x:f>MAX(0,-K1113*'Inputs'!$E$47)</x:f>
        <x:v>0</x:v>
      </x:c>
      <x:c r="N1113" s="78" t="n">
        <x:f>H1113*(L1113*(1-'Inputs'!$B$15))/(I1113+L1113*(1-'Inputs'!$B$15))</x:f>
        <x:v>235683.30168128377</x:v>
      </x:c>
      <x:c r="O1113" s="78" t="n">
        <x:f>H1113-N1113</x:f>
        <x:v>1563809.1415555328</x:v>
      </x:c>
      <x:c r="P1113" s="78" t="n">
        <x:f>I1113+L1113*(1-'Inputs'!$B$17)</x:f>
        <x:v>28982.834966607224</x:v>
      </x:c>
      <x:c r="Q1113" s="78" t="n">
        <x:f>IF(J1113&gt;0,M1113/J1113,0)</x:f>
        <x:v>0</x:v>
      </x:c>
      <x:c r="R1113" s="78" t="n">
        <x:f>IF(B1113='Inputs'!$H$47,'Inputs'!$B$27*'Inputs'!$I$47,0)</x:f>
        <x:v>0</x:v>
      </x:c>
      <x:c r="S1113" s="78" t="n">
        <x:f>Q1113+G1113+R1113</x:f>
        <x:v>146750.22283730542</x:v>
      </x:c>
      <x:c r="T1113" s="78" t="n">
        <x:f>P1113*(S1113*(1-'Inputs'!$B$15))/(O1113+S1113*(1-'Inputs'!$B$15))</x:f>
        <x:v>2463.7090656881255</x:v>
      </x:c>
      <x:c r="U1113" s="78" t="n">
        <x:f>O1113+S1113*(1-'Inputs'!$B$17)</x:f>
        <x:v>1709968.8202365513</x:v>
      </x:c>
      <x:c r="V1113" s="78" t="n">
        <x:f>P1113-T1113</x:f>
        <x:v>26519.125900919098</x:v>
      </x:c>
      <x:c r="W1113" s="79" t="n">
        <x:f>IF(U1113&gt;0,V1113/U1113,0)</x:f>
        <x:v>0.015508543540139247</x:v>
      </x:c>
      <x:c r="X1113" s="80" t="n">
        <x:f>W1113*('Inputs'!$B$6-AC1113)</x:f>
        <x:v>15503552.34696586</x:v>
      </x:c>
      <x:c r="Y1113" s="80" t="n">
        <x:f>2*V1113</x:f>
        <x:v>53038.251801838196</x:v>
      </x:c>
      <x:c r="Z1113" s="80" t="n">
        <x:f>K1113*'Inputs'!$B$16+(G1113+R1113)*J1113*'Inputs'!$B$16</x:f>
        <x:v>472.06514744647893</x:v>
      </x:c>
      <x:c r="AA1113" s="80" t="n">
        <x:f>K1113*(1+'Inputs'!$E$47)/2*'Inputs'!$B$17</x:f>
        <x:v>161.88408483997452</x:v>
      </x:c>
      <x:c r="AB1113" s="78" t="n">
        <x:f>(IF(J1113&gt;0,K1113*(1-'Inputs'!$E$47)/2/J1113,0)+G1113+R1113)*'Inputs'!$B$17</x:f>
        <x:v>11063.206728529996</x:v>
      </x:c>
      <x:c r="AC1113" s="78" t="n">
        <x:f>AC1112+AB1113</x:f>
        <x:v>321835.0685522391</x:v>
      </x:c>
      <x:c r="AD1113" s="80" t="n">
        <x:f>Z1113/(1+'Inputs'!$C$47)</x:f>
        <x:v>188.82605897859156</x:v>
      </x:c>
      <x:c r="AE1113" s="80" t="n">
        <x:f>Z1113-AD1113</x:f>
        <x:v>283.23908846788737</x:v>
      </x:c>
      <x:c r="AF1113" s="80" t="n">
        <x:f>D1113*W1113</x:f>
        <x:v>4700.898119749089</x:v>
      </x:c>
      <x:c r="AG1113" s="80" t="n">
        <x:f>C1113*W1113</x:f>
        <x:v>10968.76227941457</x:v>
      </x:c>
      <x:c r="AH1113" s="80" t="n">
        <x:f>2*'Inputs'!$B$8*'Inputs'!$C$47</x:f>
        <x:v>7500</x:v>
      </x:c>
      <x:c r="AI1113" s="81" t="n">
        <x:f>IF(AH1113&gt;0,(AE1113+AF1113)/AH1113*365,0)</x:f>
        <x:v>242.56134413322619</x:v>
      </x:c>
      <x:c r="AJ1113" s="81" t="n">
        <x:f>IF('Inputs'!$B$47&gt;0,AG1113/('Inputs'!$B$19*'Inputs'!$B$47)*365,0)</x:f>
        <x:v>400.35982319863183</x:v>
      </x:c>
      <x:c r="AK1113" s="81" t="n">
        <x:f>W1113/MAX($W$1099:W1113)-1</x:f>
        <x:v>0</x:v>
      </x:c>
      <x:c r="AL1113" s="83" t="n">
        <x:f>'Inputs'!$B$47</x:f>
        <x:v>1</x:v>
      </x:c>
      <x:c r="AM1113" s="83" t="n">
        <x:f>'Inputs'!$C$47</x:f>
        <x:v>1.5</x:v>
      </x:c>
      <x:c r="AN1113" s="83" t="n">
        <x:f>'Inputs'!$D$47</x:f>
        <x:v>1.5</x:v>
      </x:c>
      <x:c r="AO1113" s="81" t="n">
        <x:f>'Inputs'!$E$47</x:f>
        <x:v>0.05</x:v>
      </x:c>
    </x:row>
    <x:row r="1114">
      <x:c r="A1114" s="59" t="str">
        <x:v>Growth</x:v>
      </x:c>
      <x:c r="B1114" s="59" t="n">
        <x:v>16</x:v>
      </x:c>
      <x:c r="C1114" s="78" t="n">
        <x:f>(('Inputs'!$B$29*(3*16*'Inputs'!$B$12-16^2)/(2*'Inputs'!$B$12^2))-('Inputs'!$B$29*(3*15*'Inputs'!$B$12-15^2)/(2*'Inputs'!$B$12^2)))*'Inputs'!$B$47</x:f>
        <x:v>706947.1289172452</x:v>
      </x:c>
      <x:c r="D1114" s="78" t="n">
        <x:f>IF('Inputs'!$C$47&gt;0,('Inputs'!$B$30*(3*16*'Inputs'!$B$12-16^2)/(2*'Inputs'!$B$12^2))-('Inputs'!$B$30*(3*15*'Inputs'!$B$12-15^2)/(2*'Inputs'!$B$12^2)),0)</x:f>
        <x:v>302977.3409645343</x:v>
      </x:c>
      <x:c r="E1114" s="78" t="n">
        <x:f>C1114+D1114</x:f>
        <x:v>1009924.4698817795</x:v>
      </x:c>
      <x:c r="F1114" s="78" t="n">
        <x:f>'Inputs'!$B$13*E1114+(1-'Inputs'!$B$13)/'Inputs'!$B$14*SUM(E1099:E1114)</x:f>
        <x:v>433620.9554191353</x:v>
      </x:c>
      <x:c r="G1114" s="78" t="n">
        <x:f>F1114*'Inputs'!$F$47</x:f>
        <x:v>151767.33439669735</x:v>
      </x:c>
      <x:c r="H1114" s="78" t="n">
        <x:f>U1113</x:f>
        <x:v>1709968.8202365513</x:v>
      </x:c>
      <x:c r="I1114" s="78" t="n">
        <x:f>V1113</x:f>
        <x:v>26519.125900919098</x:v>
      </x:c>
      <x:c r="J1114" s="79" t="n">
        <x:f>IF(H1114&gt;0,I1114/H1114,0)</x:f>
        <x:v>0.015508543540139247</x:v>
      </x:c>
      <x:c r="K1114" s="80" t="n">
        <x:f>(H1114*J1114+I1114)*'Inputs'!$D$47*(1+'Inputs'!$G$47)^(B1114/30)</x:f>
        <x:v>80821.51363744614</x:v>
      </x:c>
      <x:c r="L1114" s="80" t="n">
        <x:f>MAX(0,K1114*'Inputs'!$E$47)</x:f>
        <x:v>4041.0756818723075</x:v>
      </x:c>
      <x:c r="M1114" s="80" t="n">
        <x:f>MAX(0,-K1114*'Inputs'!$E$47)</x:f>
        <x:v>0</x:v>
      </x:c>
      <x:c r="N1114" s="78" t="n">
        <x:f>H1114*(L1114*(1-'Inputs'!$B$15))/(I1114+L1114*(1-'Inputs'!$B$15))</x:f>
        <x:v>224150.0382838093</x:v>
      </x:c>
      <x:c r="O1114" s="78" t="n">
        <x:f>H1114-N1114</x:f>
        <x:v>1485818.781952742</x:v>
      </x:c>
      <x:c r="P1114" s="78" t="n">
        <x:f>I1114+L1114*(1-'Inputs'!$B$17)</x:f>
        <x:v>30543.93970882009</x:v>
      </x:c>
      <x:c r="Q1114" s="78" t="n">
        <x:f>IF(J1114&gt;0,M1114/J1114,0)</x:f>
        <x:v>0</x:v>
      </x:c>
      <x:c r="R1114" s="78" t="n">
        <x:f>IF(B1114='Inputs'!$H$47,'Inputs'!$B$27*'Inputs'!$I$47,0)</x:f>
        <x:v>0</x:v>
      </x:c>
      <x:c r="S1114" s="78" t="n">
        <x:f>Q1114+G1114+R1114</x:f>
        <x:v>151767.33439669735</x:v>
      </x:c>
      <x:c r="T1114" s="78" t="n">
        <x:f>P1114*(S1114*(1-'Inputs'!$B$15))/(O1114+S1114*(1-'Inputs'!$B$15))</x:f>
        <x:v>2805.0272640396497</x:v>
      </x:c>
      <x:c r="U1114" s="78" t="n">
        <x:f>O1114+S1114*(1-'Inputs'!$B$17)</x:f>
        <x:v>1636975.3826094125</x:v>
      </x:c>
      <x:c r="V1114" s="78" t="n">
        <x:f>P1114-T1114</x:f>
        <x:v>27738.91244478044</x:v>
      </x:c>
      <x:c r="W1114" s="79" t="n">
        <x:f>IF(U1114&gt;0,V1114/U1114,0)</x:f>
        <x:v>0.01694522271957649</x:v>
      </x:c>
      <x:c r="X1114" s="80" t="n">
        <x:f>W1114*('Inputs'!$B$6-AC1114)</x:f>
        <x:v>16939590.00441058</x:v>
      </x:c>
      <x:c r="Y1114" s="80" t="n">
        <x:f>2*V1114</x:f>
        <x:v>55477.82488956088</x:v>
      </x:c>
      <x:c r="Z1114" s="80" t="n">
        <x:f>K1114*'Inputs'!$B$16+(G1114+R1114)*J1114*'Inputs'!$B$16</x:f>
        <x:v>499.0512237054492</x:v>
      </x:c>
      <x:c r="AA1114" s="80" t="n">
        <x:f>K1114*(1+'Inputs'!$E$47)/2*'Inputs'!$B$17</x:f>
        <x:v>170.74967669882992</x:v>
      </x:c>
      <x:c r="AB1114" s="78" t="n">
        <x:f>(IF(J1114&gt;0,K1114*(1-'Inputs'!$E$47)/2/J1114,0)+G1114+R1114)*'Inputs'!$B$17</x:f>
        <x:v>10572.19803405734</x:v>
      </x:c>
      <x:c r="AC1114" s="78" t="n">
        <x:f>AC1113+AB1114</x:f>
        <x:v>332407.26658629643</x:v>
      </x:c>
      <x:c r="AD1114" s="80" t="n">
        <x:f>Z1114/(1+'Inputs'!$C$47)</x:f>
        <x:v>199.6204894821797</x:v>
      </x:c>
      <x:c r="AE1114" s="80" t="n">
        <x:f>Z1114-AD1114</x:f>
        <x:v>299.4307342232695</x:v>
      </x:c>
      <x:c r="AF1114" s="80" t="n">
        <x:f>D1114*W1114</x:f>
        <x:v>5134.0185216291</x:v>
      </x:c>
      <x:c r="AG1114" s="80" t="n">
        <x:f>C1114*W1114</x:f>
        <x:v>11979.376550467874</x:v>
      </x:c>
      <x:c r="AH1114" s="80" t="n">
        <x:f>2*'Inputs'!$B$8*'Inputs'!$C$47</x:f>
        <x:v>7500</x:v>
      </x:c>
      <x:c r="AI1114" s="81" t="n">
        <x:f>IF(AH1114&gt;0,(AE1114+AF1114)/AH1114*365,0)</x:f>
        <x:v>264.4278637848153</x:v>
      </x:c>
      <x:c r="AJ1114" s="81" t="n">
        <x:f>IF('Inputs'!$B$47&gt;0,AG1114/('Inputs'!$B$19*'Inputs'!$B$47)*365,0)</x:f>
        <x:v>437.24724409207744</x:v>
      </x:c>
      <x:c r="AK1114" s="81" t="n">
        <x:f>W1114/MAX($W$1099:W1114)-1</x:f>
        <x:v>0</x:v>
      </x:c>
      <x:c r="AL1114" s="83" t="n">
        <x:f>'Inputs'!$B$47</x:f>
        <x:v>1</x:v>
      </x:c>
      <x:c r="AM1114" s="83" t="n">
        <x:f>'Inputs'!$C$47</x:f>
        <x:v>1.5</x:v>
      </x:c>
      <x:c r="AN1114" s="83" t="n">
        <x:f>'Inputs'!$D$47</x:f>
        <x:v>1.5</x:v>
      </x:c>
      <x:c r="AO1114" s="81" t="n">
        <x:f>'Inputs'!$E$47</x:f>
        <x:v>0.05</x:v>
      </x:c>
    </x:row>
    <x:row r="1115">
      <x:c r="A1115" s="59" t="str">
        <x:v>Growth</x:v>
      </x:c>
      <x:c r="B1115" s="59" t="n">
        <x:v>17</x:v>
      </x:c>
      <x:c r="C1115" s="78" t="n">
        <x:f>(('Inputs'!$B$29*(3*17*'Inputs'!$B$12-17^2)/(2*'Inputs'!$B$12^2))-('Inputs'!$B$29*(3*16*'Inputs'!$B$12-16^2)/(2*'Inputs'!$B$12^2)))*'Inputs'!$B$47</x:f>
        <x:v>706622.0210170764</x:v>
      </x:c>
      <x:c r="D1115" s="78" t="n">
        <x:f>IF('Inputs'!$C$47&gt;0,('Inputs'!$B$30*(3*17*'Inputs'!$B$12-17^2)/(2*'Inputs'!$B$12^2))-('Inputs'!$B$30*(3*16*'Inputs'!$B$12-16^2)/(2*'Inputs'!$B$12^2)),0)</x:f>
        <x:v>302838.00900731795</x:v>
      </x:c>
      <x:c r="E1115" s="78" t="n">
        <x:f>C1115+D1115</x:f>
        <x:v>1009460.0300243944</x:v>
      </x:c>
      <x:c r="F1115" s="78" t="n">
        <x:f>'Inputs'!$B$13*E1115+(1-'Inputs'!$B$13)/'Inputs'!$B$14*SUM(E1099:E1115)</x:f>
        <x:v>447948.92501943535</x:v>
      </x:c>
      <x:c r="G1115" s="78" t="n">
        <x:f>F1115*'Inputs'!$F$47</x:f>
        <x:v>156782.12375680235</x:v>
      </x:c>
      <x:c r="H1115" s="78" t="n">
        <x:f>U1114</x:f>
        <x:v>1636975.3826094125</x:v>
      </x:c>
      <x:c r="I1115" s="78" t="n">
        <x:f>V1114</x:f>
        <x:v>27738.91244478044</x:v>
      </x:c>
      <x:c r="J1115" s="79" t="n">
        <x:f>IF(H1115&gt;0,I1115/H1115,0)</x:f>
        <x:v>0.01694522271957649</x:v>
      </x:c>
      <x:c r="K1115" s="80" t="n">
        <x:f>(H1115*J1115+I1115)*'Inputs'!$D$47*(1+'Inputs'!$G$47)^(B1115/30)</x:f>
        <x:v>84622.35586409319</x:v>
      </x:c>
      <x:c r="L1115" s="80" t="n">
        <x:f>MAX(0,K1115*'Inputs'!$E$47)</x:f>
        <x:v>4231.117793204659</x:v>
      </x:c>
      <x:c r="M1115" s="80" t="n">
        <x:f>MAX(0,-K1115*'Inputs'!$E$47)</x:f>
        <x:v>0</x:v>
      </x:c>
      <x:c r="N1115" s="78" t="n">
        <x:f>H1115*(L1115*(1-'Inputs'!$B$15))/(I1115+L1115*(1-'Inputs'!$B$15))</x:f>
        <x:v>214765.52392657293</x:v>
      </x:c>
      <x:c r="O1115" s="78" t="n">
        <x:f>H1115-N1115</x:f>
        <x:v>1422209.8586828397</x:v>
      </x:c>
      <x:c r="P1115" s="78" t="n">
        <x:f>I1115+L1115*(1-'Inputs'!$B$17)</x:f>
        <x:v>31953.003607026527</x:v>
      </x:c>
      <x:c r="Q1115" s="78" t="n">
        <x:f>IF(J1115&gt;0,M1115/J1115,0)</x:f>
        <x:v>0</x:v>
      </x:c>
      <x:c r="R1115" s="78" t="n">
        <x:f>IF(B1115='Inputs'!$H$47,'Inputs'!$B$27*'Inputs'!$I$47,0)</x:f>
        <x:v>0</x:v>
      </x:c>
      <x:c r="S1115" s="78" t="n">
        <x:f>Q1115+G1115+R1115</x:f>
        <x:v>156782.12375680235</x:v>
      </x:c>
      <x:c r="T1115" s="78" t="n">
        <x:f>P1115*(S1115*(1-'Inputs'!$B$15))/(O1115+S1115*(1-'Inputs'!$B$15))</x:f>
        <x:v>3144.0897700462333</x:v>
      </x:c>
      <x:c r="U1115" s="78" t="n">
        <x:f>O1115+S1115*(1-'Inputs'!$B$17)</x:f>
        <x:v>1578361.0684607413</x:v>
      </x:c>
      <x:c r="V1115" s="78" t="n">
        <x:f>P1115-T1115</x:f>
        <x:v>28808.913836980293</x:v>
      </x:c>
      <x:c r="W1115" s="79" t="n">
        <x:f>IF(U1115&gt;0,V1115/U1115,0)</x:f>
        <x:v>0.01825242298017113</x:v>
      </x:c>
      <x:c r="X1115" s="80" t="n">
        <x:f>W1115*('Inputs'!$B$6-AC1115)</x:f>
        <x:v>18246169.995373834</x:v>
      </x:c>
      <x:c r="Y1115" s="80" t="n">
        <x:f>2*V1115</x:f>
        <x:v>57617.827673960586</x:v>
      </x:c>
      <x:c r="Z1115" s="80" t="n">
        <x:f>K1115*'Inputs'!$B$16+(G1115+R1115)*J1115*'Inputs'!$B$16</x:f>
        <x:v>523.6743832176024</x:v>
      </x:c>
      <x:c r="AA1115" s="80" t="n">
        <x:f>K1115*(1+'Inputs'!$E$47)/2*'Inputs'!$B$17</x:f>
        <x:v>178.77962506498565</x:v>
      </x:c>
      <x:c r="AB1115" s="78" t="n">
        <x:f>(IF(J1115&gt;0,K1115*(1-'Inputs'!$E$47)/2/J1115,0)+G1115+R1115)*'Inputs'!$B$17</x:f>
        <x:v>10176.553878902952</x:v>
      </x:c>
      <x:c r="AC1115" s="78" t="n">
        <x:f>AC1114+AB1115</x:f>
        <x:v>342583.8204651994</x:v>
      </x:c>
      <x:c r="AD1115" s="80" t="n">
        <x:f>Z1115/(1+'Inputs'!$C$47)</x:f>
        <x:v>209.469753287041</x:v>
      </x:c>
      <x:c r="AE1115" s="80" t="n">
        <x:f>Z1115-AD1115</x:f>
        <x:v>314.20462993056145</x:v>
      </x:c>
      <x:c r="AF1115" s="80" t="n">
        <x:f>D1115*W1115</x:f>
        <x:v>5527.5274348744415</x:v>
      </x:c>
      <x:c r="AG1115" s="80" t="n">
        <x:f>C1115*W1115</x:f>
        <x:v>12897.564014707054</x:v>
      </x:c>
      <x:c r="AH1115" s="80" t="n">
        <x:f>2*'Inputs'!$B$8*'Inputs'!$C$47</x:f>
        <x:v>7500</x:v>
      </x:c>
      <x:c r="AI1115" s="81" t="n">
        <x:f>IF(AH1115&gt;0,(AE1115+AF1115)/AH1115*365,0)</x:f>
        <x:v>284.29762715384345</x:v>
      </x:c>
      <x:c r="AJ1115" s="81" t="n">
        <x:f>IF('Inputs'!$B$47&gt;0,AG1115/('Inputs'!$B$19*'Inputs'!$B$47)*365,0)</x:f>
        <x:v>470.7610865368074</x:v>
      </x:c>
      <x:c r="AK1115" s="81" t="n">
        <x:f>W1115/MAX($W$1099:W1115)-1</x:f>
        <x:v>0</x:v>
      </x:c>
      <x:c r="AL1115" s="83" t="n">
        <x:f>'Inputs'!$B$47</x:f>
        <x:v>1</x:v>
      </x:c>
      <x:c r="AM1115" s="83" t="n">
        <x:f>'Inputs'!$C$47</x:f>
        <x:v>1.5</x:v>
      </x:c>
      <x:c r="AN1115" s="83" t="n">
        <x:f>'Inputs'!$D$47</x:f>
        <x:v>1.5</x:v>
      </x:c>
      <x:c r="AO1115" s="81" t="n">
        <x:f>'Inputs'!$E$47</x:f>
        <x:v>0.05</x:v>
      </x:c>
    </x:row>
    <x:row r="1116">
      <x:c r="A1116" s="59" t="str">
        <x:v>Growth</x:v>
      </x:c>
      <x:c r="B1116" s="59" t="n">
        <x:v>18</x:v>
      </x:c>
      <x:c r="C1116" s="78" t="n">
        <x:f>(('Inputs'!$B$29*(3*18*'Inputs'!$B$12-18^2)/(2*'Inputs'!$B$12^2))-('Inputs'!$B$29*(3*17*'Inputs'!$B$12-17^2)/(2*'Inputs'!$B$12^2)))*'Inputs'!$B$47</x:f>
        <x:v>706296.9131169058</x:v>
      </x:c>
      <x:c r="D1116" s="78" t="n">
        <x:f>IF('Inputs'!$C$47&gt;0,('Inputs'!$B$30*(3*18*'Inputs'!$B$12-18^2)/(2*'Inputs'!$B$12^2))-('Inputs'!$B$30*(3*17*'Inputs'!$B$12-17^2)/(2*'Inputs'!$B$12^2)),0)</x:f>
        <x:v>302698.67705010343</x:v>
      </x:c>
      <x:c r="E1116" s="78" t="n">
        <x:f>C1116+D1116</x:f>
        <x:v>1008995.5901670093</x:v>
      </x:c>
      <x:c r="F1116" s="78" t="n">
        <x:f>'Inputs'!$B$13*E1116+(1-'Inputs'!$B$13)/'Inputs'!$B$14*SUM(E1099:E1116)</x:f>
        <x:v>462270.2597646299</x:v>
      </x:c>
      <x:c r="G1116" s="78" t="n">
        <x:f>F1116*'Inputs'!$F$47</x:f>
        <x:v>161794.59091762046</x:v>
      </x:c>
      <x:c r="H1116" s="78" t="n">
        <x:f>U1115</x:f>
        <x:v>1578361.0684607413</x:v>
      </x:c>
      <x:c r="I1116" s="78" t="n">
        <x:f>V1115</x:f>
        <x:v>28808.913836980293</x:v>
      </x:c>
      <x:c r="J1116" s="79" t="n">
        <x:f>IF(H1116&gt;0,I1116/H1116,0)</x:f>
        <x:v>0.01825242298017113</x:v>
      </x:c>
      <x:c r="K1116" s="80" t="n">
        <x:f>(H1116*J1116+I1116)*'Inputs'!$D$47*(1+'Inputs'!$G$47)^(B1116/30)</x:f>
        <x:v>87973.21714205047</x:v>
      </x:c>
      <x:c r="L1116" s="80" t="n">
        <x:f>MAX(0,K1116*'Inputs'!$E$47)</x:f>
        <x:v>4398.660857102524</x:v>
      </x:c>
      <x:c r="M1116" s="80" t="n">
        <x:f>MAX(0,-K1116*'Inputs'!$E$47)</x:f>
        <x:v>0</x:v>
      </x:c>
      <x:c r="N1116" s="78" t="n">
        <x:f>H1116*(L1116*(1-'Inputs'!$B$15))/(I1116+L1116*(1-'Inputs'!$B$15))</x:f>
        <x:v>207252.8546063257</x:v>
      </x:c>
      <x:c r="O1116" s="78" t="n">
        <x:f>H1116-N1116</x:f>
        <x:v>1371108.2138544156</x:v>
      </x:c>
      <x:c r="P1116" s="78" t="n">
        <x:f>I1116+L1116*(1-'Inputs'!$B$17)</x:f>
        <x:v>33189.87384556329</x:v>
      </x:c>
      <x:c r="Q1116" s="78" t="n">
        <x:f>IF(J1116&gt;0,M1116/J1116,0)</x:f>
        <x:v>0</x:v>
      </x:c>
      <x:c r="R1116" s="78" t="n">
        <x:f>IF(B1116='Inputs'!$H$47,'Inputs'!$B$27*'Inputs'!$I$47,0)</x:f>
        <x:v>0</x:v>
      </x:c>
      <x:c r="S1116" s="78" t="n">
        <x:f>Q1116+G1116+R1116</x:f>
        <x:v>161794.59091762046</x:v>
      </x:c>
      <x:c r="T1116" s="78" t="n">
        <x:f>P1116*(S1116*(1-'Inputs'!$B$15))/(O1116+S1116*(1-'Inputs'!$B$15))</x:f>
        <x:v>3471.7528943528573</x:v>
      </x:c>
      <x:c r="U1116" s="78" t="n">
        <x:f>O1116+S1116*(1-'Inputs'!$B$17)</x:f>
        <x:v>1532251.7198991282</x:v>
      </x:c>
      <x:c r="V1116" s="78" t="n">
        <x:f>P1116-T1116</x:f>
        <x:v>29718.120951210436</x:v>
      </x:c>
      <x:c r="W1116" s="79" t="n">
        <x:f>IF(U1116&gt;0,V1116/U1116,0)</x:f>
        <x:v>0.019395064508830738</x:v>
      </x:c>
      <x:c r="X1116" s="80" t="n">
        <x:f>W1116*('Inputs'!$B$6-AC1116)</x:f>
        <x:v>19388228.760577336</x:v>
      </x:c>
      <x:c r="Y1116" s="80" t="n">
        <x:f>2*V1116</x:f>
        <x:v>59436.24190242087</x:v>
      </x:c>
      <x:c r="Z1116" s="80" t="n">
        <x:f>K1116*'Inputs'!$B$16+(G1116+R1116)*J1116*'Inputs'!$B$16</x:f>
        <x:v>545.5581627082958</x:v>
      </x:c>
      <x:c r="AA1116" s="80" t="n">
        <x:f>K1116*(1+'Inputs'!$E$47)/2*'Inputs'!$B$17</x:f>
        <x:v>185.85890945503624</x:v>
      </x:c>
      <x:c r="AB1116" s="78" t="n">
        <x:f>(IF(J1116&gt;0,K1116*(1-'Inputs'!$E$47)/2/J1116,0)+G1116+R1116)*'Inputs'!$B$17</x:f>
        <x:v>9864.00203564247</x:v>
      </x:c>
      <x:c r="AC1116" s="78" t="n">
        <x:f>AC1115+AB1116</x:f>
        <x:v>352447.82250084187</x:v>
      </x:c>
      <x:c r="AD1116" s="80" t="n">
        <x:f>Z1116/(1+'Inputs'!$C$47)</x:f>
        <x:v>218.2232650833183</x:v>
      </x:c>
      <x:c r="AE1116" s="80" t="n">
        <x:f>Z1116-AD1116</x:f>
        <x:v>327.33489762497743</x:v>
      </x:c>
      <x:c r="AF1116" s="80" t="n">
        <x:f>D1116*W1116</x:f>
        <x:v>5870.860368124479</x:v>
      </x:c>
      <x:c r="AG1116" s="80" t="n">
        <x:f>C1116*W1116</x:f>
        <x:v>13698.674192290408</x:v>
      </x:c>
      <x:c r="AH1116" s="80" t="n">
        <x:f>2*'Inputs'!$B$8*'Inputs'!$C$47</x:f>
        <x:v>7500</x:v>
      </x:c>
      <x:c r="AI1116" s="81" t="n">
        <x:f>IF(AH1116&gt;0,(AE1116+AF1116)/AH1116*365,0)</x:f>
        <x:v>301.64550293314016</x:v>
      </x:c>
      <x:c r="AJ1116" s="81" t="n">
        <x:f>IF('Inputs'!$B$47&gt;0,AG1116/('Inputs'!$B$19*'Inputs'!$B$47)*365,0)</x:f>
        <x:v>500.0016080185999</x:v>
      </x:c>
      <x:c r="AK1116" s="81" t="n">
        <x:f>W1116/MAX($W$1099:W1116)-1</x:f>
        <x:v>0</x:v>
      </x:c>
      <x:c r="AL1116" s="83" t="n">
        <x:f>'Inputs'!$B$47</x:f>
        <x:v>1</x:v>
      </x:c>
      <x:c r="AM1116" s="83" t="n">
        <x:f>'Inputs'!$C$47</x:f>
        <x:v>1.5</x:v>
      </x:c>
      <x:c r="AN1116" s="83" t="n">
        <x:f>'Inputs'!$D$47</x:f>
        <x:v>1.5</x:v>
      </x:c>
      <x:c r="AO1116" s="81" t="n">
        <x:f>'Inputs'!$E$47</x:f>
        <x:v>0.05</x:v>
      </x:c>
    </x:row>
    <x:row r="1117">
      <x:c r="A1117" s="59" t="str">
        <x:v>Growth</x:v>
      </x:c>
      <x:c r="B1117" s="59" t="n">
        <x:v>19</x:v>
      </x:c>
      <x:c r="C1117" s="78" t="n">
        <x:f>(('Inputs'!$B$29*(3*19*'Inputs'!$B$12-19^2)/(2*'Inputs'!$B$12^2))-('Inputs'!$B$29*(3*18*'Inputs'!$B$12-18^2)/(2*'Inputs'!$B$12^2)))*'Inputs'!$B$47</x:f>
        <x:v>705971.805216739</x:v>
      </x:c>
      <x:c r="D1117" s="78" t="n">
        <x:f>IF('Inputs'!$C$47&gt;0,('Inputs'!$B$30*(3*19*'Inputs'!$B$12-19^2)/(2*'Inputs'!$B$12^2))-('Inputs'!$B$30*(3*18*'Inputs'!$B$12-18^2)/(2*'Inputs'!$B$12^2)),0)</x:f>
        <x:v>302559.345092888</x:v>
      </x:c>
      <x:c r="E1117" s="78" t="n">
        <x:f>C1117+D1117</x:f>
        <x:v>1008531.150309627</x:v>
      </x:c>
      <x:c r="F1117" s="78" t="n">
        <x:f>'Inputs'!$B$13*E1117+(1-'Inputs'!$B$13)/'Inputs'!$B$14*SUM(E1099:E1117)</x:f>
        <x:v>476584.95965471945</x:v>
      </x:c>
      <x:c r="G1117" s="78" t="n">
        <x:f>F1117*'Inputs'!$F$47</x:f>
        <x:v>166804.7358791518</x:v>
      </x:c>
      <x:c r="H1117" s="78" t="n">
        <x:f>U1116</x:f>
        <x:v>1532251.7198991282</x:v>
      </x:c>
      <x:c r="I1117" s="78" t="n">
        <x:f>V1116</x:f>
        <x:v>29718.120951210436</x:v>
      </x:c>
      <x:c r="J1117" s="79" t="n">
        <x:f>IF(H1117&gt;0,I1117/H1117,0)</x:f>
        <x:v>0.019395064508830738</x:v>
      </x:c>
      <x:c r="K1117" s="80" t="n">
        <x:f>(H1117*J1117+I1117)*'Inputs'!$D$47*(1+'Inputs'!$G$47)^(B1117/30)</x:f>
        <x:v>90839.10422884078</x:v>
      </x:c>
      <x:c r="L1117" s="80" t="n">
        <x:f>MAX(0,K1117*'Inputs'!$E$47)</x:f>
        <x:v>4541.955211442039</x:v>
      </x:c>
      <x:c r="M1117" s="80" t="n">
        <x:f>MAX(0,-K1117*'Inputs'!$E$47)</x:f>
        <x:v>0</x:v>
      </x:c>
      <x:c r="N1117" s="78" t="n">
        <x:f>H1117*(L1117*(1-'Inputs'!$B$15))/(I1117+L1117*(1-'Inputs'!$B$15))</x:f>
        <x:v>201370.55812129503</x:v>
      </x:c>
      <x:c r="O1117" s="78" t="n">
        <x:f>H1117-N1117</x:f>
        <x:v>1330881.1617778332</x:v>
      </x:c>
      <x:c r="P1117" s="78" t="n">
        <x:f>I1117+L1117*(1-'Inputs'!$B$17)</x:f>
        <x:v>34241.79867689215</x:v>
      </x:c>
      <x:c r="Q1117" s="78" t="n">
        <x:f>IF(J1117&gt;0,M1117/J1117,0)</x:f>
        <x:v>0</x:v>
      </x:c>
      <x:c r="R1117" s="78" t="n">
        <x:f>IF(B1117='Inputs'!$H$47,'Inputs'!$B$27*'Inputs'!$I$47,0)</x:f>
        <x:v>0</x:v>
      </x:c>
      <x:c r="S1117" s="78" t="n">
        <x:f>Q1117+G1117+R1117</x:f>
        <x:v>166804.7358791518</x:v>
      </x:c>
      <x:c r="T1117" s="78" t="n">
        <x:f>P1117*(S1117*(1-'Inputs'!$B$15))/(O1117+S1117*(1-'Inputs'!$B$15))</x:f>
        <x:v>3779.752521907226</x:v>
      </x:c>
      <x:c r="U1117" s="78" t="n">
        <x:f>O1117+S1117*(1-'Inputs'!$B$17)</x:f>
        <x:v>1497014.6512349362</x:v>
      </x:c>
      <x:c r="V1117" s="78" t="n">
        <x:f>P1117-T1117</x:f>
        <x:v>30462.04615498492</x:v>
      </x:c>
      <x:c r="W1117" s="79" t="n">
        <x:f>IF(U1117&gt;0,V1117/U1117,0)</x:f>
        <x:v>0.020348529074084735</x:v>
      </x:c>
      <x:c r="X1117" s="80" t="n">
        <x:f>W1117*('Inputs'!$B$6-AC1117)</x:f>
        <x:v>20341161.448349427</x:v>
      </x:c>
      <x:c r="Y1117" s="80" t="n">
        <x:f>2*V1117</x:f>
        <x:v>60924.09230996984</x:v>
      </x:c>
      <x:c r="Z1117" s="80" t="n">
        <x:f>K1117*'Inputs'!$B$16+(G1117+R1117)*J1117*'Inputs'!$B$16</x:f>
        <x:v>564.4457570495724</x:v>
      </x:c>
      <x:c r="AA1117" s="80" t="n">
        <x:f>K1117*(1+'Inputs'!$E$47)/2*'Inputs'!$B$17</x:f>
        <x:v>191.91360048346644</x:v>
      </x:c>
      <x:c r="AB1117" s="78" t="n">
        <x:f>(IF(J1117&gt;0,K1117*(1-'Inputs'!$E$47)/2/J1117,0)+G1117+R1117)*'Inputs'!$B$17</x:f>
        <x:v>9623.839214100624</x:v>
      </x:c>
      <x:c r="AC1117" s="78" t="n">
        <x:f>AC1116+AB1117</x:f>
        <x:v>362071.6617149425</x:v>
      </x:c>
      <x:c r="AD1117" s="80" t="n">
        <x:f>Z1117/(1+'Inputs'!$C$47)</x:f>
        <x:v>225.77830281982898</x:v>
      </x:c>
      <x:c r="AE1117" s="80" t="n">
        <x:f>Z1117-AD1117</x:f>
        <x:v>338.66745422974344</x:v>
      </x:c>
      <x:c r="AF1117" s="80" t="n">
        <x:f>D1117*W1117</x:f>
        <x:v>6156.637630258668</x:v>
      </x:c>
      <x:c r="AG1117" s="80" t="n">
        <x:f>C1117*W1117</x:f>
        <x:v>14365.487803936898</x:v>
      </x:c>
      <x:c r="AH1117" s="80" t="n">
        <x:f>2*'Inputs'!$B$8*'Inputs'!$C$47</x:f>
        <x:v>7500</x:v>
      </x:c>
      <x:c r="AI1117" s="81" t="n">
        <x:f>IF(AH1117&gt;0,(AE1117+AF1117)/AH1117*365,0)</x:f>
        <x:v>316.1048474451027</x:v>
      </x:c>
      <x:c r="AJ1117" s="81" t="n">
        <x:f>IF('Inputs'!$B$47&gt;0,AG1117/('Inputs'!$B$19*'Inputs'!$B$47)*365,0)</x:f>
        <x:v>524.3403048436968</x:v>
      </x:c>
      <x:c r="AK1117" s="81" t="n">
        <x:f>W1117/MAX($W$1099:W1117)-1</x:f>
        <x:v>0</x:v>
      </x:c>
      <x:c r="AL1117" s="83" t="n">
        <x:f>'Inputs'!$B$47</x:f>
        <x:v>1</x:v>
      </x:c>
      <x:c r="AM1117" s="83" t="n">
        <x:f>'Inputs'!$C$47</x:f>
        <x:v>1.5</x:v>
      </x:c>
      <x:c r="AN1117" s="83" t="n">
        <x:f>'Inputs'!$D$47</x:f>
        <x:v>1.5</x:v>
      </x:c>
      <x:c r="AO1117" s="81" t="n">
        <x:f>'Inputs'!$E$47</x:f>
        <x:v>0.05</x:v>
      </x:c>
    </x:row>
    <x:row r="1118">
      <x:c r="A1118" s="59" t="str">
        <x:v>Growth</x:v>
      </x:c>
      <x:c r="B1118" s="59" t="n">
        <x:v>20</x:v>
      </x:c>
      <x:c r="C1118" s="78" t="n">
        <x:f>(('Inputs'!$B$29*(3*20*'Inputs'!$B$12-20^2)/(2*'Inputs'!$B$12^2))-('Inputs'!$B$29*(3*19*'Inputs'!$B$12-19^2)/(2*'Inputs'!$B$12^2)))*'Inputs'!$B$47</x:f>
        <x:v>705646.6973165702</x:v>
      </x:c>
      <x:c r="D1118" s="78" t="n">
        <x:f>IF('Inputs'!$C$47&gt;0,('Inputs'!$B$30*(3*20*'Inputs'!$B$12-20^2)/(2*'Inputs'!$B$12^2))-('Inputs'!$B$30*(3*19*'Inputs'!$B$12-19^2)/(2*'Inputs'!$B$12^2)),0)</x:f>
        <x:v>302420.01313567255</x:v>
      </x:c>
      <x:c r="E1118" s="78" t="n">
        <x:f>C1118+D1118</x:f>
        <x:v>1008066.7104522428</x:v>
      </x:c>
      <x:c r="F1118" s="78" t="n">
        <x:f>'Inputs'!$B$13*E1118+(1-'Inputs'!$B$13)/'Inputs'!$B$14*SUM(E1099:E1118)</x:f>
        <x:v>490893.02468970325</x:v>
      </x:c>
      <x:c r="G1118" s="78" t="n">
        <x:f>F1118*'Inputs'!$F$47</x:f>
        <x:v>171812.5586413961</x:v>
      </x:c>
      <x:c r="H1118" s="78" t="n">
        <x:f>U1117</x:f>
        <x:v>1497014.6512349362</x:v>
      </x:c>
      <x:c r="I1118" s="78" t="n">
        <x:f>V1117</x:f>
        <x:v>30462.04615498492</x:v>
      </x:c>
      <x:c r="J1118" s="79" t="n">
        <x:f>IF(H1118&gt;0,I1118/H1118,0)</x:f>
        <x:v>0.020348529074084735</x:v>
      </x:c>
      <x:c r="K1118" s="80" t="n">
        <x:f>(H1118*J1118+I1118)*'Inputs'!$D$47*(1+'Inputs'!$G$47)^(B1118/30)</x:f>
        <x:v>93204.84237799225</x:v>
      </x:c>
      <x:c r="L1118" s="80" t="n">
        <x:f>MAX(0,K1118*'Inputs'!$E$47)</x:f>
        <x:v>4660.242118899612</x:v>
      </x:c>
      <x:c r="M1118" s="80" t="n">
        <x:f>MAX(0,-K1118*'Inputs'!$E$47)</x:f>
        <x:v>0</x:v>
      </x:c>
      <x:c r="N1118" s="78" t="n">
        <x:f>H1118*(L1118*(1-'Inputs'!$B$15))/(I1118+L1118*(1-'Inputs'!$B$15))</x:f>
        <x:v>196908.08761366367</x:v>
      </x:c>
      <x:c r="O1118" s="78" t="n">
        <x:f>H1118-N1118</x:f>
        <x:v>1300106.5636212726</x:v>
      </x:c>
      <x:c r="P1118" s="78" t="n">
        <x:f>I1118+L1118*(1-'Inputs'!$B$17)</x:f>
        <x:v>35103.53478447246</x:v>
      </x:c>
      <x:c r="Q1118" s="78" t="n">
        <x:f>IF(J1118&gt;0,M1118/J1118,0)</x:f>
        <x:v>0</x:v>
      </x:c>
      <x:c r="R1118" s="78" t="n">
        <x:f>IF(B1118='Inputs'!$H$47,'Inputs'!$B$27*'Inputs'!$I$47,0)</x:f>
        <x:v>0</x:v>
      </x:c>
      <x:c r="S1118" s="78" t="n">
        <x:f>Q1118+G1118+R1118</x:f>
        <x:v>171812.5586413961</x:v>
      </x:c>
      <x:c r="T1118" s="78" t="n">
        <x:f>P1118*(S1118*(1-'Inputs'!$B$15))/(O1118+S1118*(1-'Inputs'!$B$15))</x:f>
        <x:v>4061.2922048681708</x:v>
      </x:c>
      <x:c r="U1118" s="78" t="n">
        <x:f>O1118+S1118*(1-'Inputs'!$B$17)</x:f>
        <x:v>1471227.7236363452</x:v>
      </x:c>
      <x:c r="V1118" s="78" t="n">
        <x:f>P1118-T1118</x:f>
        <x:v>31042.242579604288</x:v>
      </x:c>
      <x:c r="W1118" s="79" t="n">
        <x:f>IF(U1118&gt;0,V1118/U1118,0)</x:f>
        <x:v>0.02109954977117957</x:v>
      </x:c>
      <x:c r="X1118" s="80" t="n">
        <x:f>W1118*('Inputs'!$B$6-AC1118)</x:f>
        <x:v>21091710.900346998</x:v>
      </x:c>
      <x:c r="Y1118" s="80" t="n">
        <x:f>2*V1118</x:f>
        <x:v>62084.485159208576</x:v>
      </x:c>
      <x:c r="Z1118" s="80" t="n">
        <x:f>K1118*'Inputs'!$B$16+(G1118+R1118)*J1118*'Inputs'!$B$16</x:f>
        <x:v>580.2058513367975</x:v>
      </x:c>
      <x:c r="AA1118" s="80" t="n">
        <x:f>K1118*(1+'Inputs'!$E$47)/2*'Inputs'!$B$17</x:f>
        <x:v>196.91163882674422</x:v>
      </x:c>
      <x:c r="AB1118" s="78" t="n">
        <x:f>(IF(J1118&gt;0,K1118*(1-'Inputs'!$E$47)/2/J1118,0)+G1118+R1118)*'Inputs'!$B$17</x:f>
        <x:v>9446.731690744879</x:v>
      </x:c>
      <x:c r="AC1118" s="78" t="n">
        <x:f>AC1117+AB1118</x:f>
        <x:v>371518.39340568735</x:v>
      </x:c>
      <x:c r="AD1118" s="80" t="n">
        <x:f>Z1118/(1+'Inputs'!$C$47)</x:f>
        <x:v>232.082340534719</x:v>
      </x:c>
      <x:c r="AE1118" s="80" t="n">
        <x:f>Z1118-AD1118</x:f>
        <x:v>348.1235108020785</x:v>
      </x:c>
      <x:c r="AF1118" s="80" t="n">
        <x:f>D1118*W1118</x:f>
        <x:v>6380.926118956902</x:v>
      </x:c>
      <x:c r="AG1118" s="80" t="n">
        <x:f>C1118*W1118</x:f>
        <x:v>14888.827610899458</x:v>
      </x:c>
      <x:c r="AH1118" s="80" t="n">
        <x:f>2*'Inputs'!$B$8*'Inputs'!$C$47</x:f>
        <x:v>7500</x:v>
      </x:c>
      <x:c r="AI1118" s="81" t="n">
        <x:f>IF(AH1118&gt;0,(AE1118+AF1118)/AH1118*365,0)</x:f>
        <x:v>327.4804153149371</x:v>
      </x:c>
      <x:c r="AJ1118" s="81" t="n">
        <x:f>IF('Inputs'!$B$47&gt;0,AG1118/('Inputs'!$B$19*'Inputs'!$B$47)*365,0)</x:f>
        <x:v>543.4422077978302</x:v>
      </x:c>
      <x:c r="AK1118" s="81" t="n">
        <x:f>W1118/MAX($W$1099:W1118)-1</x:f>
        <x:v>0</x:v>
      </x:c>
      <x:c r="AL1118" s="83" t="n">
        <x:f>'Inputs'!$B$47</x:f>
        <x:v>1</x:v>
      </x:c>
      <x:c r="AM1118" s="83" t="n">
        <x:f>'Inputs'!$C$47</x:f>
        <x:v>1.5</x:v>
      </x:c>
      <x:c r="AN1118" s="83" t="n">
        <x:f>'Inputs'!$D$47</x:f>
        <x:v>1.5</x:v>
      </x:c>
      <x:c r="AO1118" s="81" t="n">
        <x:f>'Inputs'!$E$47</x:f>
        <x:v>0.05</x:v>
      </x:c>
    </x:row>
    <x:row r="1119">
      <x:c r="A1119" s="59" t="str">
        <x:v>Growth</x:v>
      </x:c>
      <x:c r="B1119" s="59" t="n">
        <x:v>21</x:v>
      </x:c>
      <x:c r="C1119" s="78" t="n">
        <x:f>(('Inputs'!$B$29*(3*21*'Inputs'!$B$12-21^2)/(2*'Inputs'!$B$12^2))-('Inputs'!$B$29*(3*20*'Inputs'!$B$12-20^2)/(2*'Inputs'!$B$12^2)))*'Inputs'!$B$47</x:f>
        <x:v>705321.5894164015</x:v>
      </x:c>
      <x:c r="D1119" s="78" t="n">
        <x:f>IF('Inputs'!$C$47&gt;0,('Inputs'!$B$30*(3*21*'Inputs'!$B$12-21^2)/(2*'Inputs'!$B$12^2))-('Inputs'!$B$30*(3*20*'Inputs'!$B$12-20^2)/(2*'Inputs'!$B$12^2)),0)</x:f>
        <x:v>302280.6811784571</x:v>
      </x:c>
      <x:c r="E1119" s="78" t="n">
        <x:f>C1119+D1119</x:f>
        <x:v>1007602.2705948586</x:v>
      </x:c>
      <x:c r="F1119" s="78" t="n">
        <x:f>'Inputs'!$B$13*E1119+(1-'Inputs'!$B$13)/'Inputs'!$B$14*SUM(E1099:E1119)</x:f>
        <x:v>505194.45486958156</x:v>
      </x:c>
      <x:c r="G1119" s="78" t="n">
        <x:f>F1119*'Inputs'!$F$47</x:f>
        <x:v>176818.05920435354</x:v>
      </x:c>
      <x:c r="H1119" s="78" t="n">
        <x:f>U1118</x:f>
        <x:v>1471227.7236363452</x:v>
      </x:c>
      <x:c r="I1119" s="78" t="n">
        <x:f>V1118</x:f>
        <x:v>31042.242579604288</x:v>
      </x:c>
      <x:c r="J1119" s="79" t="n">
        <x:f>IF(H1119&gt;0,I1119/H1119,0)</x:f>
        <x:v>0.02109954977117957</x:v>
      </x:c>
      <x:c r="K1119" s="80" t="n">
        <x:f>(H1119*J1119+I1119)*'Inputs'!$D$47*(1+'Inputs'!$G$47)^(B1119/30)</x:f>
        <x:v>95073.70101648889</x:v>
      </x:c>
      <x:c r="L1119" s="80" t="n">
        <x:f>MAX(0,K1119*'Inputs'!$E$47)</x:f>
        <x:v>4753.685050824445</x:v>
      </x:c>
      <x:c r="M1119" s="80" t="n">
        <x:f>MAX(0,-K1119*'Inputs'!$E$47)</x:f>
        <x:v>0</x:v>
      </x:c>
      <x:c r="N1119" s="78" t="n">
        <x:f>H1119*(L1119*(1-'Inputs'!$B$15))/(I1119+L1119*(1-'Inputs'!$B$15))</x:f>
        <x:v>193681.8847727133</x:v>
      </x:c>
      <x:c r="O1119" s="78" t="n">
        <x:f>H1119-N1119</x:f>
        <x:v>1277545.838863632</x:v>
      </x:c>
      <x:c r="P1119" s="78" t="n">
        <x:f>I1119+L1119*(1-'Inputs'!$B$17)</x:f>
        <x:v>35776.79811312159</x:v>
      </x:c>
      <x:c r="Q1119" s="78" t="n">
        <x:f>IF(J1119&gt;0,M1119/J1119,0)</x:f>
        <x:v>0</x:v>
      </x:c>
      <x:c r="R1119" s="78" t="n">
        <x:f>IF(B1119='Inputs'!$H$47,'Inputs'!$B$27*'Inputs'!$I$47,0)</x:f>
        <x:v>0</x:v>
      </x:c>
      <x:c r="S1119" s="78" t="n">
        <x:f>Q1119+G1119+R1119</x:f>
        <x:v>176818.05920435354</x:v>
      </x:c>
      <x:c r="T1119" s="78" t="n">
        <x:f>P1119*(S1119*(1-'Inputs'!$B$15))/(O1119+S1119*(1-'Inputs'!$B$15))</x:f>
        <x:v>4311.4020587375035</x:v>
      </x:c>
      <x:c r="U1119" s="78" t="n">
        <x:f>O1119+S1119*(1-'Inputs'!$B$17)</x:f>
        <x:v>1453652.3565822537</x:v>
      </x:c>
      <x:c r="V1119" s="78" t="n">
        <x:f>P1119-T1119</x:f>
        <x:v>31465.396054384088</x:v>
      </x:c>
      <x:c r="W1119" s="79" t="n">
        <x:f>IF(U1119&gt;0,V1119/U1119,0)</x:f>
        <x:v>0.021645750383099693</x:v>
      </x:c>
      <x:c r="X1119" s="80" t="n">
        <x:f>W1119*('Inputs'!$B$6-AC1119)</x:f>
        <x:v>21637506.752003826</x:v>
      </x:c>
      <x:c r="Y1119" s="80" t="n">
        <x:f>2*V1119</x:f>
        <x:v>62930.792108768175</x:v>
      </x:c>
      <x:c r="Z1119" s="80" t="n">
        <x:f>K1119*'Inputs'!$B$16+(G1119+R1119)*J1119*'Inputs'!$B$16</x:f>
        <x:v>592.8268947426872</x:v>
      </x:c>
      <x:c r="AA1119" s="80" t="n">
        <x:f>K1119*(1+'Inputs'!$E$47)/2*'Inputs'!$B$17</x:f>
        <x:v>200.85993172497658</x:v>
      </x:c>
      <x:c r="AB1119" s="78" t="n">
        <x:f>(IF(J1119&gt;0,K1119*(1-'Inputs'!$E$47)/2/J1119,0)+G1119+R1119)*'Inputs'!$B$17</x:f>
        <x:v>9324.541117888233</x:v>
      </x:c>
      <x:c r="AC1119" s="78" t="n">
        <x:f>AC1118+AB1119</x:f>
        <x:v>380842.9345235756</x:v>
      </x:c>
      <x:c r="AD1119" s="80" t="n">
        <x:f>Z1119/(1+'Inputs'!$C$47)</x:f>
        <x:v>237.13075789707486</x:v>
      </x:c>
      <x:c r="AE1119" s="80" t="n">
        <x:f>Z1119-AD1119</x:f>
        <x:v>355.6961368456123</x:v>
      </x:c>
      <x:c r="AF1119" s="80" t="n">
        <x:f>D1119*W1119</x:f>
        <x:v>6543.092170422224</x:v>
      </x:c>
      <x:c r="AG1119" s="80" t="n">
        <x:f>C1119*W1119</x:f>
        <x:v>15267.215064318556</x:v>
      </x:c>
      <x:c r="AH1119" s="80" t="n">
        <x:f>2*'Inputs'!$B$8*'Inputs'!$C$47</x:f>
        <x:v>7500</x:v>
      </x:c>
      <x:c r="AI1119" s="81" t="n">
        <x:f>IF(AH1119&gt;0,(AE1119+AF1119)/AH1119*365,0)</x:f>
        <x:v>335.74103095370134</x:v>
      </x:c>
      <x:c r="AJ1119" s="81" t="n">
        <x:f>IF('Inputs'!$B$47&gt;0,AG1119/('Inputs'!$B$19*'Inputs'!$B$47)*365,0)</x:f>
        <x:v>557.2533498476273</x:v>
      </x:c>
      <x:c r="AK1119" s="81" t="n">
        <x:f>W1119/MAX($W$1099:W1119)-1</x:f>
        <x:v>0</x:v>
      </x:c>
      <x:c r="AL1119" s="83" t="n">
        <x:f>'Inputs'!$B$47</x:f>
        <x:v>1</x:v>
      </x:c>
      <x:c r="AM1119" s="83" t="n">
        <x:f>'Inputs'!$C$47</x:f>
        <x:v>1.5</x:v>
      </x:c>
      <x:c r="AN1119" s="83" t="n">
        <x:f>'Inputs'!$D$47</x:f>
        <x:v>1.5</x:v>
      </x:c>
      <x:c r="AO1119" s="81" t="n">
        <x:f>'Inputs'!$E$47</x:f>
        <x:v>0.05</x:v>
      </x:c>
    </x:row>
    <x:row r="1120">
      <x:c r="A1120" s="59" t="str">
        <x:v>Growth</x:v>
      </x:c>
      <x:c r="B1120" s="59" t="n">
        <x:v>22</x:v>
      </x:c>
      <x:c r="C1120" s="78" t="n">
        <x:f>(('Inputs'!$B$29*(3*22*'Inputs'!$B$12-22^2)/(2*'Inputs'!$B$12^2))-('Inputs'!$B$29*(3*21*'Inputs'!$B$12-21^2)/(2*'Inputs'!$B$12^2)))*'Inputs'!$B$47</x:f>
        <x:v>704996.4815162309</x:v>
      </x:c>
      <x:c r="D1120" s="78" t="n">
        <x:f>IF('Inputs'!$C$47&gt;0,('Inputs'!$B$30*(3*22*'Inputs'!$B$12-22^2)/(2*'Inputs'!$B$12^2))-('Inputs'!$B$30*(3*21*'Inputs'!$B$12-21^2)/(2*'Inputs'!$B$12^2)),0)</x:f>
        <x:v>302141.3492212426</x:v>
      </x:c>
      <x:c r="E1120" s="78" t="n">
        <x:f>C1120+D1120</x:f>
        <x:v>1007137.8307374734</x:v>
      </x:c>
      <x:c r="F1120" s="78" t="n">
        <x:f>'Inputs'!$B$13*E1120+(1-'Inputs'!$B$13)/'Inputs'!$B$14*SUM(E1099:E1120)</x:f>
        <x:v>519489.25019435416</x:v>
      </x:c>
      <x:c r="G1120" s="78" t="n">
        <x:f>F1120*'Inputs'!$F$47</x:f>
        <x:v>181821.23756802393</x:v>
      </x:c>
      <x:c r="H1120" s="78" t="n">
        <x:f>U1119</x:f>
        <x:v>1453652.3565822537</x:v>
      </x:c>
      <x:c r="I1120" s="78" t="n">
        <x:f>V1119</x:f>
        <x:v>31465.396054384088</x:v>
      </x:c>
      <x:c r="J1120" s="79" t="n">
        <x:f>IF(H1120&gt;0,I1120/H1120,0)</x:f>
        <x:v>0.021645750383099693</x:v>
      </x:c>
      <x:c r="K1120" s="80" t="n">
        <x:f>(H1120*J1120+I1120)*'Inputs'!$D$47*(1+'Inputs'!$G$47)^(B1120/30)</x:f>
        <x:v>96464.70090405078</x:v>
      </x:c>
      <x:c r="L1120" s="80" t="n">
        <x:f>MAX(0,K1120*'Inputs'!$E$47)</x:f>
        <x:v>4823.235045202539</x:v>
      </x:c>
      <x:c r="M1120" s="80" t="n">
        <x:f>MAX(0,-K1120*'Inputs'!$E$47)</x:f>
        <x:v>0</x:v>
      </x:c>
      <x:c r="N1120" s="78" t="n">
        <x:f>H1120*(L1120*(1-'Inputs'!$B$15))/(I1120+L1120*(1-'Inputs'!$B$15))</x:f>
        <x:v>191531.94113451763</x:v>
      </x:c>
      <x:c r="O1120" s="78" t="n">
        <x:f>H1120-N1120</x:f>
        <x:v>1262120.4154477362</x:v>
      </x:c>
      <x:c r="P1120" s="78" t="n">
        <x:f>I1120+L1120*(1-'Inputs'!$B$17)</x:f>
        <x:v>36269.22170302646</x:v>
      </x:c>
      <x:c r="Q1120" s="78" t="n">
        <x:f>IF(J1120&gt;0,M1120/J1120,0)</x:f>
        <x:v>0</x:v>
      </x:c>
      <x:c r="R1120" s="78" t="n">
        <x:f>IF(B1120='Inputs'!$H$47,'Inputs'!$B$27*'Inputs'!$I$47,0)</x:f>
        <x:v>0</x:v>
      </x:c>
      <x:c r="S1120" s="78" t="n">
        <x:f>Q1120+G1120+R1120</x:f>
        <x:v>181821.23756802393</x:v>
      </x:c>
      <x:c r="T1120" s="78" t="n">
        <x:f>P1120*(S1120*(1-'Inputs'!$B$15))/(O1120+S1120*(1-'Inputs'!$B$15))</x:f>
        <x:v>4527.053263220584</x:v>
      </x:c>
      <x:c r="U1120" s="78" t="n">
        <x:f>O1120+S1120*(1-'Inputs'!$B$17)</x:f>
        <x:v>1443209.9780154864</x:v>
      </x:c>
      <x:c r="V1120" s="78" t="n">
        <x:f>P1120-T1120</x:f>
        <x:v>31742.168439805875</x:v>
      </x:c>
      <x:c r="W1120" s="79" t="n">
        <x:f>IF(U1120&gt;0,V1120/U1120,0)</x:f>
        <x:v>0.02199414425020367</x:v>
      </x:c>
      <x:c r="X1120" s="80" t="n">
        <x:f>W1120*('Inputs'!$B$6-AC1120)</x:f>
        <x:v>21985564.48614003</x:v>
      </x:c>
      <x:c r="Y1120" s="80" t="n">
        <x:f>2*V1120</x:f>
        <x:v>63484.33687961175</x:v>
      </x:c>
      <x:c r="Z1120" s="80" t="n">
        <x:f>K1120*'Inputs'!$B$16+(G1120+R1120)*J1120*'Inputs'!$B$16</x:f>
        <x:v>602.402148160767</x:v>
      </x:c>
      <x:c r="AA1120" s="80" t="n">
        <x:f>K1120*(1+'Inputs'!$E$47)/2*'Inputs'!$B$17</x:f>
        <x:v>203.79866388179747</x:v>
      </x:c>
      <x:c r="AB1120" s="78" t="n">
        <x:f>(IF(J1120&gt;0,K1120*(1-'Inputs'!$E$47)/2/J1120,0)+G1120+R1120)*'Inputs'!$B$17</x:f>
        <x:v>9250.172352326337</x:v>
      </x:c>
      <x:c r="AC1120" s="78" t="n">
        <x:f>AC1119+AB1120</x:f>
        <x:v>390093.1068759019</x:v>
      </x:c>
      <x:c r="AD1120" s="80" t="n">
        <x:f>Z1120/(1+'Inputs'!$C$47)</x:f>
        <x:v>240.96085926430678</x:v>
      </x:c>
      <x:c r="AE1120" s="80" t="n">
        <x:f>Z1120-AD1120</x:f>
        <x:v>361.44128889646015</x:v>
      </x:c>
      <x:c r="AF1120" s="80" t="n">
        <x:f>D1120*W1120</x:f>
        <x:v>6645.340418723172</x:v>
      </x:c>
      <x:c r="AG1120" s="80" t="n">
        <x:f>C1120*W1120</x:f>
        <x:v>15505.794310354027</x:v>
      </x:c>
      <x:c r="AH1120" s="80" t="n">
        <x:f>2*'Inputs'!$B$8*'Inputs'!$C$47</x:f>
        <x:v>7500</x:v>
      </x:c>
      <x:c r="AI1120" s="81" t="n">
        <x:f>IF(AH1120&gt;0,(AE1120+AF1120)/AH1120*365,0)</x:f>
        <x:v>340.99670977082206</x:v>
      </x:c>
      <x:c r="AJ1120" s="81" t="n">
        <x:f>IF('Inputs'!$B$47&gt;0,AG1120/('Inputs'!$B$19*'Inputs'!$B$47)*365,0)</x:f>
        <x:v>565.961492327922</x:v>
      </x:c>
      <x:c r="AK1120" s="81" t="n">
        <x:f>W1120/MAX($W$1099:W1120)-1</x:f>
        <x:v>0</x:v>
      </x:c>
      <x:c r="AL1120" s="83" t="n">
        <x:f>'Inputs'!$B$47</x:f>
        <x:v>1</x:v>
      </x:c>
      <x:c r="AM1120" s="83" t="n">
        <x:f>'Inputs'!$C$47</x:f>
        <x:v>1.5</x:v>
      </x:c>
      <x:c r="AN1120" s="83" t="n">
        <x:f>'Inputs'!$D$47</x:f>
        <x:v>1.5</x:v>
      </x:c>
      <x:c r="AO1120" s="81" t="n">
        <x:f>'Inputs'!$E$47</x:f>
        <x:v>0.05</x:v>
      </x:c>
    </x:row>
    <x:row r="1121">
      <x:c r="A1121" s="59" t="str">
        <x:v>Growth</x:v>
      </x:c>
      <x:c r="B1121" s="59" t="n">
        <x:v>23</x:v>
      </x:c>
      <x:c r="C1121" s="78" t="n">
        <x:f>(('Inputs'!$B$29*(3*23*'Inputs'!$B$12-23^2)/(2*'Inputs'!$B$12^2))-('Inputs'!$B$29*(3*22*'Inputs'!$B$12-22^2)/(2*'Inputs'!$B$12^2)))*'Inputs'!$B$47</x:f>
        <x:v>704671.373616064</x:v>
      </x:c>
      <x:c r="D1121" s="78" t="n">
        <x:f>IF('Inputs'!$C$47&gt;0,('Inputs'!$B$30*(3*23*'Inputs'!$B$12-23^2)/(2*'Inputs'!$B$12^2))-('Inputs'!$B$30*(3*22*'Inputs'!$B$12-22^2)/(2*'Inputs'!$B$12^2)),0)</x:f>
        <x:v>302002.01726402715</x:v>
      </x:c>
      <x:c r="E1121" s="78" t="n">
        <x:f>C1121+D1121</x:f>
        <x:v>1006673.3908800911</x:v>
      </x:c>
      <x:c r="F1121" s="78" t="n">
        <x:f>'Inputs'!$B$13*E1121+(1-'Inputs'!$B$13)/'Inputs'!$B$14*SUM(E1099:E1121)</x:f>
        <x:v>533777.4106640219</x:v>
      </x:c>
      <x:c r="G1121" s="78" t="n">
        <x:f>F1121*'Inputs'!$F$47</x:f>
        <x:v>186822.09373240764</x:v>
      </x:c>
      <x:c r="H1121" s="78" t="n">
        <x:f>U1120</x:f>
        <x:v>1443209.9780154864</x:v>
      </x:c>
      <x:c r="I1121" s="78" t="n">
        <x:f>V1120</x:f>
        <x:v>31742.168439805875</x:v>
      </x:c>
      <x:c r="J1121" s="79" t="n">
        <x:f>IF(H1121&gt;0,I1121/H1121,0)</x:f>
        <x:v>0.02199414425020367</x:v>
      </x:c>
      <x:c r="K1121" s="80" t="n">
        <x:f>(H1121*J1121+I1121)*'Inputs'!$D$47*(1+'Inputs'!$G$47)^(B1121/30)</x:f>
        <x:v>97409.14219860797</x:v>
      </x:c>
      <x:c r="L1121" s="80" t="n">
        <x:f>MAX(0,K1121*'Inputs'!$E$47)</x:f>
        <x:v>4870.4571099303985</x:v>
      </x:c>
      <x:c r="M1121" s="80" t="n">
        <x:f>MAX(0,-K1121*'Inputs'!$E$47)</x:f>
        <x:v>0</x:v>
      </x:c>
      <x:c r="N1121" s="78" t="n">
        <x:f>H1121*(L1121*(1-'Inputs'!$B$15))/(I1121+L1121*(1-'Inputs'!$B$15))</x:f>
        <x:v>190318.79484774967</x:v>
      </x:c>
      <x:c r="O1121" s="78" t="n">
        <x:f>H1121-N1121</x:f>
        <x:v>1252891.1831677367</x:v>
      </x:c>
      <x:c r="P1121" s="78" t="n">
        <x:f>I1121+L1121*(1-'Inputs'!$B$17)</x:f>
        <x:v>36593.02612474661</x:v>
      </x:c>
      <x:c r="Q1121" s="78" t="n">
        <x:f>IF(J1121&gt;0,M1121/J1121,0)</x:f>
        <x:v>0</x:v>
      </x:c>
      <x:c r="R1121" s="78" t="n">
        <x:f>IF(B1121='Inputs'!$H$47,'Inputs'!$B$27*'Inputs'!$I$47,0)</x:f>
        <x:v>0</x:v>
      </x:c>
      <x:c r="S1121" s="78" t="n">
        <x:f>Q1121+G1121+R1121</x:f>
        <x:v>186822.09373240764</x:v>
      </x:c>
      <x:c r="T1121" s="78" t="n">
        <x:f>P1121*(S1121*(1-'Inputs'!$B$15))/(O1121+S1121*(1-'Inputs'!$B$15))</x:f>
        <x:v>4707.059269701006</x:v>
      </x:c>
      <x:c r="U1121" s="78" t="n">
        <x:f>O1121+S1121*(1-'Inputs'!$B$17)</x:f>
        <x:v>1438961.477730195</x:v>
      </x:c>
      <x:c r="V1121" s="78" t="n">
        <x:f>P1121-T1121</x:f>
        <x:v>31885.966855045604</x:v>
      </x:c>
      <x:c r="W1121" s="79" t="n">
        <x:f>IF(U1121&gt;0,V1121/U1121,0)</x:f>
        <x:v>0.02215901353060698</x:v>
      </x:c>
      <x:c r="X1121" s="80" t="n">
        <x:f>W1121*('Inputs'!$B$6-AC1121)</x:f>
        <x:v>22150165.20278394</x:v>
      </x:c>
      <x:c r="Y1121" s="80" t="n">
        <x:f>2*V1121</x:f>
        <x:v>63771.93371009121</x:v>
      </x:c>
      <x:c r="Z1121" s="80" t="n">
        <x:f>K1121*'Inputs'!$B$16+(G1121+R1121)*J1121*'Inputs'!$B$16</x:f>
        <x:v>609.1088056637017</x:v>
      </x:c>
      <x:c r="AA1121" s="80" t="n">
        <x:f>K1121*(1+'Inputs'!$E$47)/2*'Inputs'!$B$17</x:f>
        <x:v>205.7939623914253</x:v>
      </x:c>
      <x:c r="AB1121" s="78" t="n">
        <x:f>(IF(J1121&gt;0,K1121*(1-'Inputs'!$E$47)/2/J1121,0)+G1121+R1121)*'Inputs'!$B$17</x:f>
        <x:v>9217.440537198318</x:v>
      </x:c>
      <x:c r="AC1121" s="78" t="n">
        <x:f>AC1120+AB1121</x:f>
        <x:v>399310.54741310026</x:v>
      </x:c>
      <x:c r="AD1121" s="80" t="n">
        <x:f>Z1121/(1+'Inputs'!$C$47)</x:f>
        <x:v>243.64352226548067</x:v>
      </x:c>
      <x:c r="AE1121" s="80" t="n">
        <x:f>Z1121-AD1121</x:f>
        <x:v>365.465283398221</x:v>
      </x:c>
      <x:c r="AF1121" s="80" t="n">
        <x:f>D1121*W1121</x:f>
        <x:v>6692.066786824181</x:v>
      </x:c>
      <x:c r="AG1121" s="80" t="n">
        <x:f>C1121*W1121</x:f>
        <x:v>15614.822502589768</x:v>
      </x:c>
      <x:c r="AH1121" s="80" t="n">
        <x:f>2*'Inputs'!$B$8*'Inputs'!$C$47</x:f>
        <x:v>7500</x:v>
      </x:c>
      <x:c r="AI1121" s="81" t="n">
        <x:f>IF(AH1121&gt;0,(AE1121+AF1121)/AH1121*365,0)</x:f>
        <x:v>343.46656075082353</x:v>
      </x:c>
      <x:c r="AJ1121" s="81" t="n">
        <x:f>IF('Inputs'!$B$47&gt;0,AG1121/('Inputs'!$B$19*'Inputs'!$B$47)*365,0)</x:f>
        <x:v>569.9410213445266</x:v>
      </x:c>
      <x:c r="AK1121" s="81" t="n">
        <x:f>W1121/MAX($W$1099:W1121)-1</x:f>
        <x:v>0</x:v>
      </x:c>
      <x:c r="AL1121" s="83" t="n">
        <x:f>'Inputs'!$B$47</x:f>
        <x:v>1</x:v>
      </x:c>
      <x:c r="AM1121" s="83" t="n">
        <x:f>'Inputs'!$C$47</x:f>
        <x:v>1.5</x:v>
      </x:c>
      <x:c r="AN1121" s="83" t="n">
        <x:f>'Inputs'!$D$47</x:f>
        <x:v>1.5</x:v>
      </x:c>
      <x:c r="AO1121" s="81" t="n">
        <x:f>'Inputs'!$E$47</x:f>
        <x:v>0.05</x:v>
      </x:c>
    </x:row>
    <x:row r="1122">
      <x:c r="A1122" s="59" t="str">
        <x:v>Growth</x:v>
      </x:c>
      <x:c r="B1122" s="59" t="n">
        <x:v>24</x:v>
      </x:c>
      <x:c r="C1122" s="78" t="n">
        <x:f>(('Inputs'!$B$29*(3*24*'Inputs'!$B$12-24^2)/(2*'Inputs'!$B$12^2))-('Inputs'!$B$29*(3*23*'Inputs'!$B$12-23^2)/(2*'Inputs'!$B$12^2)))*'Inputs'!$B$47</x:f>
        <x:v>704346.2657158952</x:v>
      </x:c>
      <x:c r="D1122" s="78" t="n">
        <x:f>IF('Inputs'!$C$47&gt;0,('Inputs'!$B$30*(3*24*'Inputs'!$B$12-24^2)/(2*'Inputs'!$B$12^2))-('Inputs'!$B$30*(3*23*'Inputs'!$B$12-23^2)/(2*'Inputs'!$B$12^2)),0)</x:f>
        <x:v>301862.6853068117</x:v>
      </x:c>
      <x:c r="E1122" s="78" t="n">
        <x:f>C1122+D1122</x:f>
        <x:v>1006208.9510227069</x:v>
      </x:c>
      <x:c r="F1122" s="78" t="n">
        <x:f>'Inputs'!$B$13*E1122+(1-'Inputs'!$B$13)/'Inputs'!$B$14*SUM(E1099:E1122)</x:f>
        <x:v>548058.9362785837</x:v>
      </x:c>
      <x:c r="G1122" s="78" t="n">
        <x:f>F1122*'Inputs'!$F$47</x:f>
        <x:v>191820.6276975043</x:v>
      </x:c>
      <x:c r="H1122" s="78" t="n">
        <x:f>U1121</x:f>
        <x:v>1438961.477730195</x:v>
      </x:c>
      <x:c r="I1122" s="78" t="n">
        <x:f>V1121</x:f>
        <x:v>31885.966855045604</x:v>
      </x:c>
      <x:c r="J1122" s="79" t="n">
        <x:f>IF(H1122&gt;0,I1122/H1122,0)</x:f>
        <x:v>0.02215901353060698</x:v>
      </x:c>
      <x:c r="K1122" s="80" t="n">
        <x:f>(H1122*J1122+I1122)*'Inputs'!$D$47*(1+'Inputs'!$G$47)^(B1122/30)</x:f>
        <x:v>97946.88412023161</x:v>
      </x:c>
      <x:c r="L1122" s="80" t="n">
        <x:f>MAX(0,K1122*'Inputs'!$E$47)</x:f>
        <x:v>4897.34420601158</x:v>
      </x:c>
      <x:c r="M1122" s="80" t="n">
        <x:f>MAX(0,-K1122*'Inputs'!$E$47)</x:f>
        <x:v>0</x:v>
      </x:c>
      <x:c r="N1122" s="78" t="n">
        <x:f>H1122*(L1122*(1-'Inputs'!$B$15))/(I1122+L1122*(1-'Inputs'!$B$15))</x:f>
        <x:v>189920.9081007502</x:v>
      </x:c>
      <x:c r="O1122" s="78" t="n">
        <x:f>H1122-N1122</x:f>
        <x:v>1249040.5696294447</x:v>
      </x:c>
      <x:c r="P1122" s="78" t="n">
        <x:f>I1122+L1122*(1-'Inputs'!$B$17)</x:f>
        <x:v>36763.60343849778</x:v>
      </x:c>
      <x:c r="Q1122" s="78" t="n">
        <x:f>IF(J1122&gt;0,M1122/J1122,0)</x:f>
        <x:v>0</x:v>
      </x:c>
      <x:c r="R1122" s="78" t="n">
        <x:f>IF(B1122='Inputs'!$H$47,'Inputs'!$B$27*'Inputs'!$I$47,0)</x:f>
        <x:v>0</x:v>
      </x:c>
      <x:c r="S1122" s="78" t="n">
        <x:f>Q1122+G1122+R1122</x:f>
        <x:v>191820.6276975043</x:v>
      </x:c>
      <x:c r="T1122" s="78" t="n">
        <x:f>P1122*(S1122*(1-'Inputs'!$B$15))/(O1122+S1122*(1-'Inputs'!$B$15))</x:f>
        <x:v>4851.8234263197155</x:v>
      </x:c>
      <x:c r="U1122" s="78" t="n">
        <x:f>O1122+S1122*(1-'Inputs'!$B$17)</x:f>
        <x:v>1440089.2833321905</x:v>
      </x:c>
      <x:c r="V1122" s="78" t="n">
        <x:f>P1122-T1122</x:f>
        <x:v>31911.780012178067</x:v>
      </x:c>
      <x:c r="W1122" s="79" t="n">
        <x:f>IF(U1122&gt;0,V1122/U1122,0)</x:f>
        <x:v>0.02215958439628001</x:v>
      </x:c>
      <x:c r="X1122" s="80" t="n">
        <x:f>W1122*('Inputs'!$B$6-AC1122)</x:f>
        <x:v>22150531.507973388</x:v>
      </x:c>
      <x:c r="Y1122" s="80" t="n">
        <x:f>2*V1122</x:f>
        <x:v>63823.560024356135</x:v>
      </x:c>
      <x:c r="Z1122" s="80" t="n">
        <x:f>K1122*'Inputs'!$B$16+(G1122+R1122)*J1122*'Inputs'!$B$16</x:f>
        <x:v>613.1846400289808</x:v>
      </x:c>
      <x:c r="AA1122" s="80" t="n">
        <x:f>K1122*(1+'Inputs'!$E$47)/2*'Inputs'!$B$17</x:f>
        <x:v>206.93003687372877</x:v>
      </x:c>
      <x:c r="AB1122" s="78" t="n">
        <x:f>(IF(J1122&gt;0,K1122*(1-'Inputs'!$E$47)/2/J1122,0)+G1122+R1122)*'Inputs'!$B$17</x:f>
        <x:v>9220.95501617978</x:v>
      </x:c>
      <x:c r="AC1122" s="78" t="n">
        <x:f>AC1121+AB1122</x:f>
        <x:v>408531.50242928</x:v>
      </x:c>
      <x:c r="AD1122" s="80" t="n">
        <x:f>Z1122/(1+'Inputs'!$C$47)</x:f>
        <x:v>245.2738560115923</x:v>
      </x:c>
      <x:c r="AE1122" s="80" t="n">
        <x:f>Z1122-AD1122</x:f>
        <x:v>367.91078401738844</x:v>
      </x:c>
      <x:c r="AF1122" s="80" t="n">
        <x:f>D1122*W1122</x:f>
        <x:v>6689.151651144007</x:v>
      </x:c>
      <x:c r="AG1122" s="80" t="n">
        <x:f>C1122*W1122</x:f>
        <x:v>15608.020519336043</x:v>
      </x:c>
      <x:c r="AH1122" s="80" t="n">
        <x:f>2*'Inputs'!$B$8*'Inputs'!$C$47</x:f>
        <x:v>7500</x:v>
      </x:c>
      <x:c r="AI1122" s="81" t="n">
        <x:f>IF(AH1122&gt;0,(AE1122+AF1122)/AH1122*365,0)</x:f>
        <x:v>343.44370517785455</x:v>
      </x:c>
      <x:c r="AJ1122" s="81" t="n">
        <x:f>IF('Inputs'!$B$47&gt;0,AG1122/('Inputs'!$B$19*'Inputs'!$B$47)*365,0)</x:f>
        <x:v>569.6927489557655</x:v>
      </x:c>
      <x:c r="AK1122" s="81" t="n">
        <x:f>W1122/MAX($W$1099:W1122)-1</x:f>
        <x:v>0</x:v>
      </x:c>
      <x:c r="AL1122" s="83" t="n">
        <x:f>'Inputs'!$B$47</x:f>
        <x:v>1</x:v>
      </x:c>
      <x:c r="AM1122" s="83" t="n">
        <x:f>'Inputs'!$C$47</x:f>
        <x:v>1.5</x:v>
      </x:c>
      <x:c r="AN1122" s="83" t="n">
        <x:f>'Inputs'!$D$47</x:f>
        <x:v>1.5</x:v>
      </x:c>
      <x:c r="AO1122" s="81" t="n">
        <x:f>'Inputs'!$E$47</x:f>
        <x:v>0.05</x:v>
      </x:c>
    </x:row>
    <x:row r="1123">
      <x:c r="A1123" s="59" t="str">
        <x:v>Growth</x:v>
      </x:c>
      <x:c r="B1123" s="59" t="n">
        <x:v>25</x:v>
      </x:c>
      <x:c r="C1123" s="78" t="n">
        <x:f>(('Inputs'!$B$29*(3*25*'Inputs'!$B$12-25^2)/(2*'Inputs'!$B$12^2))-('Inputs'!$B$29*(3*24*'Inputs'!$B$12-24^2)/(2*'Inputs'!$B$12^2)))*'Inputs'!$B$47</x:f>
        <x:v>704021.1578157246</x:v>
      </x:c>
      <x:c r="D1123" s="78" t="n">
        <x:f>IF('Inputs'!$C$47&gt;0,('Inputs'!$B$30*(3*25*'Inputs'!$B$12-25^2)/(2*'Inputs'!$B$12^2))-('Inputs'!$B$30*(3*24*'Inputs'!$B$12-24^2)/(2*'Inputs'!$B$12^2)),0)</x:f>
        <x:v>301723.35334959626</x:v>
      </x:c>
      <x:c r="E1123" s="78" t="n">
        <x:f>C1123+D1123</x:f>
        <x:v>1005744.5111653209</x:v>
      </x:c>
      <x:c r="F1123" s="78" t="n">
        <x:f>'Inputs'!$B$13*E1123+(1-'Inputs'!$B$13)/'Inputs'!$B$14*SUM(E1099:E1123)</x:f>
        <x:v>562333.8270380397</x:v>
      </x:c>
      <x:c r="G1123" s="78" t="n">
        <x:f>F1123*'Inputs'!$F$47</x:f>
        <x:v>196816.83946331387</x:v>
      </x:c>
      <x:c r="H1123" s="78" t="n">
        <x:f>U1122</x:f>
        <x:v>1440089.2833321905</x:v>
      </x:c>
      <x:c r="I1123" s="78" t="n">
        <x:f>V1122</x:f>
        <x:v>31911.780012178067</x:v>
      </x:c>
      <x:c r="J1123" s="79" t="n">
        <x:f>IF(H1123&gt;0,I1123/H1123,0)</x:f>
        <x:v>0.02215958439628001</x:v>
      </x:c>
      <x:c r="K1123" s="80" t="n">
        <x:f>(H1123*J1123+I1123)*'Inputs'!$D$47*(1+'Inputs'!$G$47)^(B1123/30)</x:f>
        <x:v>98122.80877246361</x:v>
      </x:c>
      <x:c r="L1123" s="80" t="n">
        <x:f>MAX(0,K1123*'Inputs'!$E$47)</x:f>
        <x:v>4906.140438623181</x:v>
      </x:c>
      <x:c r="M1123" s="80" t="n">
        <x:f>MAX(0,-K1123*'Inputs'!$E$47)</x:f>
        <x:v>0</x:v>
      </x:c>
      <x:c r="N1123" s="78" t="n">
        <x:f>H1123*(L1123*(1-'Inputs'!$B$15))/(I1123+L1123*(1-'Inputs'!$B$15))</x:f>
        <x:v>190232.37725904022</x:v>
      </x:c>
      <x:c r="O1123" s="78" t="n">
        <x:f>H1123-N1123</x:f>
        <x:v>1249856.9060731502</x:v>
      </x:c>
      <x:c r="P1123" s="78" t="n">
        <x:f>I1123+L1123*(1-'Inputs'!$B$17)</x:f>
        <x:v>36798.17743092751</x:v>
      </x:c>
      <x:c r="Q1123" s="78" t="n">
        <x:f>IF(J1123&gt;0,M1123/J1123,0)</x:f>
        <x:v>0</x:v>
      </x:c>
      <x:c r="R1123" s="78" t="n">
        <x:f>IF(B1123='Inputs'!$H$47,'Inputs'!$B$27*'Inputs'!$I$47,0)</x:f>
        <x:v>0</x:v>
      </x:c>
      <x:c r="S1123" s="78" t="n">
        <x:f>Q1123+G1123+R1123</x:f>
        <x:v>196816.83946331387</x:v>
      </x:c>
      <x:c r="T1123" s="78" t="n">
        <x:f>P1123*(S1123*(1-'Inputs'!$B$15))/(O1123+S1123*(1-'Inputs'!$B$15))</x:f>
        <x:v>4963.001516441048</x:v>
      </x:c>
      <x:c r="U1123" s="78" t="n">
        <x:f>O1123+S1123*(1-'Inputs'!$B$17)</x:f>
        <x:v>1445881.7260617625</x:v>
      </x:c>
      <x:c r="V1123" s="78" t="n">
        <x:f>P1123-T1123</x:f>
        <x:v>31835.175914486466</x:v>
      </x:c>
      <x:c r="W1123" s="79" t="n">
        <x:f>IF(U1123&gt;0,V1123/U1123,0)</x:f>
        <x:v>0.02201782852681727</x:v>
      </x:c>
      <x:c r="X1123" s="80" t="n">
        <x:f>W1123*('Inputs'!$B$6-AC1123)</x:f>
        <x:v>22008629.75283266</x:v>
      </x:c>
      <x:c r="Y1123" s="80" t="n">
        <x:f>2*V1123</x:f>
        <x:v>63670.35182897293</x:v>
      </x:c>
      <x:c r="Z1123" s="80" t="n">
        <x:f>K1123*'Inputs'!$B$16+(G1123+R1123)*J1123*'Inputs'!$B$16</x:f>
        <x:v>614.9051288229601</x:v>
      </x:c>
      <x:c r="AA1123" s="80" t="n">
        <x:f>K1123*(1+'Inputs'!$E$47)/2*'Inputs'!$B$17</x:f>
        <x:v>207.30170867421893</x:v>
      </x:c>
      <x:c r="AB1123" s="78" t="n">
        <x:f>(IF(J1123&gt;0,K1123*(1-'Inputs'!$E$47)/2/J1123,0)+G1123+R1123)*'Inputs'!$B$17</x:f>
        <x:v>9256.017961603131</x:v>
      </x:c>
      <x:c r="AC1123" s="78" t="n">
        <x:f>AC1122+AB1123</x:f>
        <x:v>417787.52039088315</x:v>
      </x:c>
      <x:c r="AD1123" s="80" t="n">
        <x:f>Z1123/(1+'Inputs'!$C$47)</x:f>
        <x:v>245.96205152918407</x:v>
      </x:c>
      <x:c r="AE1123" s="80" t="n">
        <x:f>Z1123-AD1123</x:f>
        <x:v>368.94307729377607</x:v>
      </x:c>
      <x:c r="AF1123" s="80" t="n">
        <x:f>D1123*W1123</x:f>
        <x:v>6643.293056587708</x:v>
      </x:c>
      <x:c r="AG1123" s="80" t="n">
        <x:f>C1123*W1123</x:f>
        <x:v>15501.017132037985</x:v>
      </x:c>
      <x:c r="AH1123" s="80" t="n">
        <x:f>2*'Inputs'!$B$8*'Inputs'!$C$47</x:f>
        <x:v>7500</x:v>
      </x:c>
      <x:c r="AI1123" s="81" t="n">
        <x:f>IF(AH1123&gt;0,(AE1123+AF1123)/AH1123*365,0)</x:f>
        <x:v>341.26215851556555</x:v>
      </x:c>
      <x:c r="AJ1123" s="81" t="n">
        <x:f>IF('Inputs'!$B$47&gt;0,AG1123/('Inputs'!$B$19*'Inputs'!$B$47)*365,0)</x:f>
        <x:v>565.7871253193864</x:v>
      </x:c>
      <x:c r="AK1123" s="81" t="n">
        <x:f>W1123/MAX($W$1099:W1123)-1</x:f>
        <x:v>-0.006397045491815967</x:v>
      </x:c>
      <x:c r="AL1123" s="83" t="n">
        <x:f>'Inputs'!$B$47</x:f>
        <x:v>1</x:v>
      </x:c>
      <x:c r="AM1123" s="83" t="n">
        <x:f>'Inputs'!$C$47</x:f>
        <x:v>1.5</x:v>
      </x:c>
      <x:c r="AN1123" s="83" t="n">
        <x:f>'Inputs'!$D$47</x:f>
        <x:v>1.5</x:v>
      </x:c>
      <x:c r="AO1123" s="81" t="n">
        <x:f>'Inputs'!$E$47</x:f>
        <x:v>0.05</x:v>
      </x:c>
    </x:row>
    <x:row r="1124">
      <x:c r="A1124" s="59" t="str">
        <x:v>Growth</x:v>
      </x:c>
      <x:c r="B1124" s="59" t="n">
        <x:v>26</x:v>
      </x:c>
      <x:c r="C1124" s="78" t="n">
        <x:f>(('Inputs'!$B$29*(3*26*'Inputs'!$B$12-26^2)/(2*'Inputs'!$B$12^2))-('Inputs'!$B$29*(3*25*'Inputs'!$B$12-25^2)/(2*'Inputs'!$B$12^2)))*'Inputs'!$B$47</x:f>
        <x:v>703696.0499155559</x:v>
      </x:c>
      <x:c r="D1124" s="78" t="n">
        <x:f>IF('Inputs'!$C$47&gt;0,('Inputs'!$B$30*(3*26*'Inputs'!$B$12-26^2)/(2*'Inputs'!$B$12^2))-('Inputs'!$B$30*(3*25*'Inputs'!$B$12-25^2)/(2*'Inputs'!$B$12^2)),0)</x:f>
        <x:v>301584.02139238175</x:v>
      </x:c>
      <x:c r="E1124" s="78" t="n">
        <x:f>C1124+D1124</x:f>
        <x:v>1005280.0713079376</x:v>
      </x:c>
      <x:c r="F1124" s="78" t="n">
        <x:f>'Inputs'!$B$13*E1124+(1-'Inputs'!$B$13)/'Inputs'!$B$14*SUM(E1099:E1124)</x:f>
        <x:v>576602.0829423906</x:v>
      </x:c>
      <x:c r="G1124" s="78" t="n">
        <x:f>F1124*'Inputs'!$F$47</x:f>
        <x:v>201810.7290298367</x:v>
      </x:c>
      <x:c r="H1124" s="78" t="n">
        <x:f>U1123</x:f>
        <x:v>1445881.7260617625</x:v>
      </x:c>
      <x:c r="I1124" s="78" t="n">
        <x:f>V1123</x:f>
        <x:v>31835.175914486466</x:v>
      </x:c>
      <x:c r="J1124" s="79" t="n">
        <x:f>IF(H1124&gt;0,I1124/H1124,0)</x:f>
        <x:v>0.02201782852681727</x:v>
      </x:c>
      <x:c r="K1124" s="80" t="n">
        <x:f>(H1124*J1124+I1124)*'Inputs'!$D$47*(1+'Inputs'!$G$47)^(B1124/30)</x:f>
        <x:v>97983.7605779723</x:v>
      </x:c>
      <x:c r="L1124" s="80" t="n">
        <x:f>MAX(0,K1124*'Inputs'!$E$47)</x:f>
        <x:v>4899.188028898615</x:v>
      </x:c>
      <x:c r="M1124" s="80" t="n">
        <x:f>MAX(0,-K1124*'Inputs'!$E$47)</x:f>
        <x:v>0</x:v>
      </x:c>
      <x:c r="N1124" s="78" t="n">
        <x:f>H1124*(L1124*(1-'Inputs'!$B$15))/(I1124+L1124*(1-'Inputs'!$B$15))</x:f>
        <x:v>191160.93376477945</x:v>
      </x:c>
      <x:c r="O1124" s="78" t="n">
        <x:f>H1124-N1124</x:f>
        <x:v>1254720.792296983</x:v>
      </x:c>
      <x:c r="P1124" s="78" t="n">
        <x:f>I1124+L1124*(1-'Inputs'!$B$17)</x:f>
        <x:v>36714.648901015265</x:v>
      </x:c>
      <x:c r="Q1124" s="78" t="n">
        <x:f>IF(J1124&gt;0,M1124/J1124,0)</x:f>
        <x:v>0</x:v>
      </x:c>
      <x:c r="R1124" s="78" t="n">
        <x:f>IF(B1124='Inputs'!$H$47,'Inputs'!$B$27*'Inputs'!$I$47,0)</x:f>
        <x:v>0</x:v>
      </x:c>
      <x:c r="S1124" s="78" t="n">
        <x:f>Q1124+G1124+R1124</x:f>
        <x:v>201810.7290298367</x:v>
      </x:c>
      <x:c r="T1124" s="78" t="n">
        <x:f>P1124*(S1124*(1-'Inputs'!$B$15))/(O1124+S1124*(1-'Inputs'!$B$15))</x:f>
        <x:v>5043.1408121728855</x:v>
      </x:c>
      <x:c r="U1124" s="78" t="n">
        <x:f>O1124+S1124*(1-'Inputs'!$B$17)</x:f>
        <x:v>1455719.4057170418</x:v>
      </x:c>
      <x:c r="V1124" s="78" t="n">
        <x:f>P1124-T1124</x:f>
        <x:v>31671.50808884238</x:v>
      </x:c>
      <x:c r="W1124" s="79" t="n">
        <x:f>IF(U1124&gt;0,V1124/U1124,0)</x:f>
        <x:v>0.02175660224385206</x:v>
      </x:c>
      <x:c r="X1124" s="80" t="n">
        <x:f>W1124*('Inputs'!$B$6-AC1124)</x:f>
        <x:v>21747309.867270205</x:v>
      </x:c>
      <x:c r="Y1124" s="80" t="n">
        <x:f>2*V1124</x:f>
        <x:v>63343.01617768476</x:v>
      </x:c>
      <x:c r="Z1124" s="80" t="n">
        <x:f>K1124*'Inputs'!$B$16+(G1124+R1124)*J1124*'Inputs'!$B$16</x:f>
        <x:v>614.5631676277394</x:v>
      </x:c>
      <x:c r="AA1124" s="80" t="n">
        <x:f>K1124*(1+'Inputs'!$E$47)/2*'Inputs'!$B$17</x:f>
        <x:v>207.00794488304007</x:v>
      </x:c>
      <x:c r="AB1124" s="78" t="n">
        <x:f>(IF(J1124&gt;0,K1124*(1-'Inputs'!$E$47)/2/J1124,0)+G1124+R1124)*'Inputs'!$B$17</x:f>
        <x:v>9318.535863033587</x:v>
      </x:c>
      <x:c r="AC1124" s="78" t="n">
        <x:f>AC1123+AB1124</x:f>
        <x:v>427106.05625391676</x:v>
      </x:c>
      <x:c r="AD1124" s="80" t="n">
        <x:f>Z1124/(1+'Inputs'!$C$47)</x:f>
        <x:v>245.82526705109575</x:v>
      </x:c>
      <x:c r="AE1124" s="80" t="n">
        <x:f>Z1124-AD1124</x:f>
        <x:v>368.73790057664365</x:v>
      </x:c>
      <x:c r="AF1124" s="80" t="n">
        <x:f>D1124*W1124</x:f>
        <x:v>6561.4435965354205</x:v>
      </x:c>
      <x:c r="AG1124" s="80" t="n">
        <x:f>C1124*W1124</x:f>
        <x:v>15310.035058582615</x:v>
      </x:c>
      <x:c r="AH1124" s="80" t="n">
        <x:f>2*'Inputs'!$B$8*'Inputs'!$C$47</x:f>
        <x:v>7500</x:v>
      </x:c>
      <x:c r="AI1124" s="81" t="n">
        <x:f>IF(AH1124&gt;0,(AE1124+AF1124)/AH1124*365,0)</x:f>
        <x:v>337.26883285945377</x:v>
      </x:c>
      <x:c r="AJ1124" s="81" t="n">
        <x:f>IF('Inputs'!$B$47&gt;0,AG1124/('Inputs'!$B$19*'Inputs'!$B$47)*365,0)</x:f>
        <x:v>558.8162796382654</x:v>
      </x:c>
      <x:c r="AK1124" s="81" t="n">
        <x:f>W1124/MAX($W$1099:W1124)-1</x:f>
        <x:v>-0.018185456244188325</x:v>
      </x:c>
      <x:c r="AL1124" s="83" t="n">
        <x:f>'Inputs'!$B$47</x:f>
        <x:v>1</x:v>
      </x:c>
      <x:c r="AM1124" s="83" t="n">
        <x:f>'Inputs'!$C$47</x:f>
        <x:v>1.5</x:v>
      </x:c>
      <x:c r="AN1124" s="83" t="n">
        <x:f>'Inputs'!$D$47</x:f>
        <x:v>1.5</x:v>
      </x:c>
      <x:c r="AO1124" s="81" t="n">
        <x:f>'Inputs'!$E$47</x:f>
        <x:v>0.05</x:v>
      </x:c>
    </x:row>
    <x:row r="1125">
      <x:c r="A1125" s="59" t="str">
        <x:v>Growth</x:v>
      </x:c>
      <x:c r="B1125" s="59" t="n">
        <x:v>27</x:v>
      </x:c>
      <x:c r="C1125" s="78" t="n">
        <x:f>(('Inputs'!$B$29*(3*27*'Inputs'!$B$12-27^2)/(2*'Inputs'!$B$12^2))-('Inputs'!$B$29*(3*26*'Inputs'!$B$12-26^2)/(2*'Inputs'!$B$12^2)))*'Inputs'!$B$47</x:f>
        <x:v>703370.9420153871</x:v>
      </x:c>
      <x:c r="D1125" s="78" t="n">
        <x:f>IF('Inputs'!$C$47&gt;0,('Inputs'!$B$30*(3*27*'Inputs'!$B$12-27^2)/(2*'Inputs'!$B$12^2))-('Inputs'!$B$30*(3*26*'Inputs'!$B$12-26^2)/(2*'Inputs'!$B$12^2)),0)</x:f>
        <x:v>301444.6894351663</x:v>
      </x:c>
      <x:c r="E1125" s="78" t="n">
        <x:f>C1125+D1125</x:f>
        <x:v>1004815.6314505534</x:v>
      </x:c>
      <x:c r="F1125" s="78" t="n">
        <x:f>'Inputs'!$B$13*E1125+(1-'Inputs'!$B$13)/'Inputs'!$B$14*SUM(E1099:E1125)</x:f>
        <x:v>590863.7039916359</x:v>
      </x:c>
      <x:c r="G1125" s="78" t="n">
        <x:f>F1125*'Inputs'!$F$47</x:f>
        <x:v>206802.29639707255</x:v>
      </x:c>
      <x:c r="H1125" s="78" t="n">
        <x:f>U1124</x:f>
        <x:v>1455719.4057170418</x:v>
      </x:c>
      <x:c r="I1125" s="78" t="n">
        <x:f>V1124</x:f>
        <x:v>31671.50808884238</x:v>
      </x:c>
      <x:c r="J1125" s="79" t="n">
        <x:f>IF(H1125&gt;0,I1125/H1125,0)</x:f>
        <x:v>0.02175660224385206</x:v>
      </x:c>
      <x:c r="K1125" s="80" t="n">
        <x:f>(H1125*J1125+I1125)*'Inputs'!$D$47*(1+'Inputs'!$G$47)^(B1125/30)</x:f>
        <x:v>97576.11000793135</x:v>
      </x:c>
      <x:c r="L1125" s="80" t="n">
        <x:f>MAX(0,K1125*'Inputs'!$E$47)</x:f>
        <x:v>4878.805500396567</x:v>
      </x:c>
      <x:c r="M1125" s="80" t="n">
        <x:f>MAX(0,-K1125*'Inputs'!$E$47)</x:f>
        <x:v>0</x:v>
      </x:c>
      <x:c r="N1125" s="78" t="n">
        <x:f>H1125*(L1125*(1-'Inputs'!$B$15))/(I1125+L1125*(1-'Inputs'!$B$15))</x:f>
        <x:v>192626.19910544035</x:v>
      </x:c>
      <x:c r="O1125" s="78" t="n">
        <x:f>H1125-N1125</x:f>
        <x:v>1263093.2066116014</x:v>
      </x:c>
      <x:c r="P1125" s="78" t="n">
        <x:f>I1125+L1125*(1-'Inputs'!$B$17)</x:f>
        <x:v>36530.68056911663</x:v>
      </x:c>
      <x:c r="Q1125" s="78" t="n">
        <x:f>IF(J1125&gt;0,M1125/J1125,0)</x:f>
        <x:v>0</x:v>
      </x:c>
      <x:c r="R1125" s="78" t="n">
        <x:f>IF(B1125='Inputs'!$H$47,'Inputs'!$B$27*'Inputs'!$I$47,0)</x:f>
        <x:v>0</x:v>
      </x:c>
      <x:c r="S1125" s="78" t="n">
        <x:f>Q1125+G1125+R1125</x:f>
        <x:v>206802.29639707255</x:v>
      </x:c>
      <x:c r="T1125" s="78" t="n">
        <x:f>P1125*(S1125*(1-'Inputs'!$B$15))/(O1125+S1125*(1-'Inputs'!$B$15))</x:f>
        <x:v>5095.341547977454</x:v>
      </x:c>
      <x:c r="U1125" s="78" t="n">
        <x:f>O1125+S1125*(1-'Inputs'!$B$17)</x:f>
        <x:v>1469063.3006086857</x:v>
      </x:c>
      <x:c r="V1125" s="78" t="n">
        <x:f>P1125-T1125</x:f>
        <x:v>31435.339021139174</x:v>
      </x:c>
      <x:c r="W1125" s="79" t="n">
        <x:f>IF(U1125&gt;0,V1125/U1125,0)</x:f>
        <x:v>0.021398219537656672</x:v>
      </x:c>
      <x:c r="X1125" s="80" t="n">
        <x:f>W1125*('Inputs'!$B$6-AC1125)</x:f>
        <x:v>21388878.97947998</x:v>
      </x:c>
      <x:c r="Y1125" s="80" t="n">
        <x:f>2*V1125</x:f>
        <x:v>62870.67804227835</x:v>
      </x:c>
      <x:c r="Z1125" s="80" t="n">
        <x:f>K1125*'Inputs'!$B$16+(G1125+R1125)*J1125*'Inputs'!$B$16</x:f>
        <x:v>612.452551882546</x:v>
      </x:c>
      <x:c r="AA1125" s="80" t="n">
        <x:f>K1125*(1+'Inputs'!$E$47)/2*'Inputs'!$B$17</x:f>
        <x:v>206.14671128436203</x:v>
      </x:c>
      <x:c r="AB1125" s="78" t="n">
        <x:f>(IF(J1125&gt;0,K1125*(1-'Inputs'!$E$47)/2/J1125,0)+G1125+R1125)*'Inputs'!$B$17</x:f>
        <x:v>9404.942254840626</x:v>
      </x:c>
      <x:c r="AC1125" s="78" t="n">
        <x:f>AC1124+AB1125</x:f>
        <x:v>436510.9985087574</x:v>
      </x:c>
      <x:c r="AD1125" s="80" t="n">
        <x:f>Z1125/(1+'Inputs'!$C$47)</x:f>
        <x:v>244.9810207530184</x:v>
      </x:c>
      <x:c r="AE1125" s="80" t="n">
        <x:f>Z1125-AD1125</x:f>
        <x:v>367.4715311295276</x:v>
      </x:c>
      <x:c r="AF1125" s="80" t="n">
        <x:f>D1125*W1125</x:f>
        <x:v>6450.379642994423</x:v>
      </x:c>
      <x:c r="AG1125" s="80" t="n">
        <x:f>C1125*W1125</x:f>
        <x:v>15050.885833653634</x:v>
      </x:c>
      <x:c r="AH1125" s="80" t="n">
        <x:f>2*'Inputs'!$B$8*'Inputs'!$C$47</x:f>
        <x:v>7500</x:v>
      </x:c>
      <x:c r="AI1125" s="81" t="n">
        <x:f>IF(AH1125&gt;0,(AE1125+AF1125)/AH1125*365,0)</x:f>
        <x:v>331.80209047403224</x:v>
      </x:c>
      <x:c r="AJ1125" s="81" t="n">
        <x:f>IF('Inputs'!$B$47&gt;0,AG1125/('Inputs'!$B$19*'Inputs'!$B$47)*365,0)</x:f>
        <x:v>549.3573329283577</x:v>
      </x:c>
      <x:c r="AK1125" s="81" t="n">
        <x:f>W1125/MAX($W$1099:W1125)-1</x:f>
        <x:v>-0.03435826435224787</x:v>
      </x:c>
      <x:c r="AL1125" s="83" t="n">
        <x:f>'Inputs'!$B$47</x:f>
        <x:v>1</x:v>
      </x:c>
      <x:c r="AM1125" s="83" t="n">
        <x:f>'Inputs'!$C$47</x:f>
        <x:v>1.5</x:v>
      </x:c>
      <x:c r="AN1125" s="83" t="n">
        <x:f>'Inputs'!$D$47</x:f>
        <x:v>1.5</x:v>
      </x:c>
      <x:c r="AO1125" s="81" t="n">
        <x:f>'Inputs'!$E$47</x:f>
        <x:v>0.05</x:v>
      </x:c>
    </x:row>
    <x:row r="1126">
      <x:c r="A1126" s="59" t="str">
        <x:v>Growth</x:v>
      </x:c>
      <x:c r="B1126" s="59" t="n">
        <x:v>28</x:v>
      </x:c>
      <x:c r="C1126" s="78" t="n">
        <x:f>(('Inputs'!$B$29*(3*28*'Inputs'!$B$12-28^2)/(2*'Inputs'!$B$12^2))-('Inputs'!$B$29*(3*27*'Inputs'!$B$12-27^2)/(2*'Inputs'!$B$12^2)))*'Inputs'!$B$47</x:f>
        <x:v>703045.8341152184</x:v>
      </x:c>
      <x:c r="D1126" s="78" t="n">
        <x:f>IF('Inputs'!$C$47&gt;0,('Inputs'!$B$30*(3*28*'Inputs'!$B$12-28^2)/(2*'Inputs'!$B$12^2))-('Inputs'!$B$30*(3*27*'Inputs'!$B$12-27^2)/(2*'Inputs'!$B$12^2)),0)</x:f>
        <x:v>301305.35747795086</x:v>
      </x:c>
      <x:c r="E1126" s="78" t="n">
        <x:f>C1126+D1126</x:f>
        <x:v>1004351.1915931692</x:v>
      </x:c>
      <x:c r="F1126" s="78" t="n">
        <x:f>'Inputs'!$B$13*E1126+(1-'Inputs'!$B$13)/'Inputs'!$B$14*SUM(E1099:E1126)</x:f>
        <x:v>605118.690185776</x:v>
      </x:c>
      <x:c r="G1126" s="78" t="n">
        <x:f>F1126*'Inputs'!$F$47</x:f>
        <x:v>211791.5415650216</x:v>
      </x:c>
      <x:c r="H1126" s="78" t="n">
        <x:f>U1125</x:f>
        <x:v>1469063.3006086857</x:v>
      </x:c>
      <x:c r="I1126" s="78" t="n">
        <x:f>V1125</x:f>
        <x:v>31435.339021139174</x:v>
      </x:c>
      <x:c r="J1126" s="79" t="n">
        <x:f>IF(H1126&gt;0,I1126/H1126,0)</x:f>
        <x:v>0.021398219537656672</x:v>
      </x:c>
      <x:c r="K1126" s="80" t="n">
        <x:f>(H1126*J1126+I1126)*'Inputs'!$D$47*(1+'Inputs'!$G$47)^(B1126/30)</x:f>
        <x:v>96943.9727100783</x:v>
      </x:c>
      <x:c r="L1126" s="80" t="n">
        <x:f>MAX(0,K1126*'Inputs'!$E$47)</x:f>
        <x:v>4847.198635503915</x:v>
      </x:c>
      <x:c r="M1126" s="80" t="n">
        <x:f>MAX(0,-K1126*'Inputs'!$E$47)</x:f>
        <x:v>0</x:v>
      </x:c>
      <x:c r="N1126" s="78" t="n">
        <x:f>H1126*(L1126*(1-'Inputs'!$B$15))/(I1126+L1126*(1-'Inputs'!$B$15))</x:f>
        <x:v>194558.16176041786</x:v>
      </x:c>
      <x:c r="O1126" s="78" t="n">
        <x:f>H1126-N1126</x:f>
        <x:v>1274505.138848268</x:v>
      </x:c>
      <x:c r="P1126" s="78" t="n">
        <x:f>I1126+L1126*(1-'Inputs'!$B$17)</x:f>
        <x:v>36263.03182712396</x:v>
      </x:c>
      <x:c r="Q1126" s="78" t="n">
        <x:f>IF(J1126&gt;0,M1126/J1126,0)</x:f>
        <x:v>0</x:v>
      </x:c>
      <x:c r="R1126" s="78" t="n">
        <x:f>IF(B1126='Inputs'!$H$47,'Inputs'!$B$27*'Inputs'!$I$47,0)</x:f>
        <x:v>0</x:v>
      </x:c>
      <x:c r="S1126" s="78" t="n">
        <x:f>Q1126+G1126+R1126</x:f>
        <x:v>211791.5415650216</x:v>
      </x:c>
      <x:c r="T1126" s="78" t="n">
        <x:f>P1126*(S1126*(1-'Inputs'!$B$15))/(O1126+S1126*(1-'Inputs'!$B$15))</x:f>
        <x:v>5122.968713526392</x:v>
      </x:c>
      <x:c r="U1126" s="78" t="n">
        <x:f>O1126+S1126*(1-'Inputs'!$B$17)</x:f>
        <x:v>1485444.4005679574</x:v>
      </x:c>
      <x:c r="V1126" s="78" t="n">
        <x:f>P1126-T1126</x:f>
        <x:v>31140.063113597567</x:v>
      </x:c>
      <x:c r="W1126" s="79" t="n">
        <x:f>IF(U1126&gt;0,V1126/U1126,0)</x:f>
        <x:v>0.020963465951126282</x:v>
      </x:c>
      <x:c r="X1126" s="80" t="n">
        <x:f>W1126*('Inputs'!$B$6-AC1126)</x:f>
        <x:v>20954115.76045283</x:v>
      </x:c>
      <x:c r="Y1126" s="80" t="n">
        <x:f>2*V1126</x:f>
        <x:v>62280.126227195135</x:v>
      </x:c>
      <x:c r="Z1126" s="80" t="n">
        <x:f>K1126*'Inputs'!$B$16+(G1126+R1126)*J1126*'Inputs'!$B$16</x:f>
        <x:v>608.8556076762322</x:v>
      </x:c>
      <x:c r="AA1126" s="80" t="n">
        <x:f>K1126*(1+'Inputs'!$E$47)/2*'Inputs'!$B$17</x:f>
        <x:v>204.8112099508697</x:v>
      </x:c>
      <x:c r="AB1126" s="78" t="n">
        <x:f>(IF(J1126&gt;0,K1126*(1-'Inputs'!$E$47)/2/J1126,0)+G1126+R1126)*'Inputs'!$B$17</x:f>
        <x:v>9512.130264458681</x:v>
      </x:c>
      <x:c r="AC1126" s="78" t="n">
        <x:f>AC1125+AB1126</x:f>
        <x:v>446023.12877321604</x:v>
      </x:c>
      <x:c r="AD1126" s="80" t="n">
        <x:f>Z1126/(1+'Inputs'!$C$47)</x:f>
        <x:v>243.5422430704929</x:v>
      </x:c>
      <x:c r="AE1126" s="80" t="n">
        <x:f>Z1126-AD1126</x:f>
        <x:v>365.31336460573937</x:v>
      </x:c>
      <x:c r="AF1126" s="80" t="n">
        <x:f>D1126*W1126</x:f>
        <x:v>6316.404602380956</x:v>
      </x:c>
      <x:c r="AG1126" s="80" t="n">
        <x:f>C1126*W1126</x:f>
        <x:v>14738.277405555556</x:v>
      </x:c>
      <x:c r="AH1126" s="80" t="n">
        <x:f>2*'Inputs'!$B$8*'Inputs'!$C$47</x:f>
        <x:v>7500</x:v>
      </x:c>
      <x:c r="AI1126" s="81" t="n">
        <x:f>IF(AH1126&gt;0,(AE1126+AF1126)/AH1126*365,0)</x:f>
        <x:v>325.1769410600192</x:v>
      </x:c>
      <x:c r="AJ1126" s="81" t="n">
        <x:f>IF('Inputs'!$B$47&gt;0,AG1126/('Inputs'!$B$19*'Inputs'!$B$47)*365,0)</x:f>
        <x:v>537.9471253027777</x:v>
      </x:c>
      <x:c r="AK1126" s="81" t="n">
        <x:f>W1126/MAX($W$1099:W1126)-1</x:f>
        <x:v>-0.05397747646181128</x:v>
      </x:c>
      <x:c r="AL1126" s="83" t="n">
        <x:f>'Inputs'!$B$47</x:f>
        <x:v>1</x:v>
      </x:c>
      <x:c r="AM1126" s="83" t="n">
        <x:f>'Inputs'!$C$47</x:f>
        <x:v>1.5</x:v>
      </x:c>
      <x:c r="AN1126" s="83" t="n">
        <x:f>'Inputs'!$D$47</x:f>
        <x:v>1.5</x:v>
      </x:c>
      <x:c r="AO1126" s="81" t="n">
        <x:f>'Inputs'!$E$47</x:f>
        <x:v>0.05</x:v>
      </x:c>
    </x:row>
    <x:row r="1127">
      <x:c r="A1127" s="59" t="str">
        <x:v>Growth</x:v>
      </x:c>
      <x:c r="B1127" s="59" t="n">
        <x:v>29</x:v>
      </x:c>
      <x:c r="C1127" s="78" t="n">
        <x:f>(('Inputs'!$B$29*(3*29*'Inputs'!$B$12-29^2)/(2*'Inputs'!$B$12^2))-('Inputs'!$B$29*(3*28*'Inputs'!$B$12-28^2)/(2*'Inputs'!$B$12^2)))*'Inputs'!$B$47</x:f>
        <x:v>702720.7262150496</x:v>
      </x:c>
      <x:c r="D1127" s="78" t="n">
        <x:f>IF('Inputs'!$C$47&gt;0,('Inputs'!$B$30*(3*29*'Inputs'!$B$12-29^2)/(2*'Inputs'!$B$12^2))-('Inputs'!$B$30*(3*28*'Inputs'!$B$12-28^2)/(2*'Inputs'!$B$12^2)),0)</x:f>
        <x:v>301166.0255207345</x:v>
      </x:c>
      <x:c r="E1127" s="78" t="n">
        <x:f>C1127+D1127</x:f>
        <x:v>1003886.7517357841</x:v>
      </x:c>
      <x:c r="F1127" s="78" t="n">
        <x:f>'Inputs'!$B$13*E1127+(1-'Inputs'!$B$13)/'Inputs'!$B$14*SUM(E1099:E1127)</x:f>
        <x:v>619367.0415248101</x:v>
      </x:c>
      <x:c r="G1127" s="78" t="n">
        <x:f>F1127*'Inputs'!$F$47</x:f>
        <x:v>216778.46453368352</x:v>
      </x:c>
      <x:c r="H1127" s="78" t="n">
        <x:f>U1126</x:f>
        <x:v>1485444.4005679574</x:v>
      </x:c>
      <x:c r="I1127" s="78" t="n">
        <x:f>V1126</x:f>
        <x:v>31140.063113597567</x:v>
      </x:c>
      <x:c r="J1127" s="79" t="n">
        <x:f>IF(H1127&gt;0,I1127/H1127,0)</x:f>
        <x:v>0.020963465951126282</x:v>
      </x:c>
      <x:c r="K1127" s="80" t="n">
        <x:f>(H1127*J1127+I1127)*'Inputs'!$D$47*(1+'Inputs'!$G$47)^(B1127/30)</x:f>
        <x:v>96128.03402673568</x:v>
      </x:c>
      <x:c r="L1127" s="80" t="n">
        <x:f>MAX(0,K1127*'Inputs'!$E$47)</x:f>
        <x:v>4806.401701336784</x:v>
      </x:c>
      <x:c r="M1127" s="80" t="n">
        <x:f>MAX(0,-K1127*'Inputs'!$E$47)</x:f>
        <x:v>0</x:v>
      </x:c>
      <x:c r="N1127" s="78" t="n">
        <x:f>H1127*(L1127*(1-'Inputs'!$B$15))/(I1127+L1127*(1-'Inputs'!$B$15))</x:f>
        <x:v>196895.8480623758</x:v>
      </x:c>
      <x:c r="O1127" s="78" t="n">
        <x:f>H1127-N1127</x:f>
        <x:v>1288548.5525055816</x:v>
      </x:c>
      <x:c r="P1127" s="78" t="n">
        <x:f>I1127+L1127*(1-'Inputs'!$B$17)</x:f>
        <x:v>35927.12315818853</x:v>
      </x:c>
      <x:c r="Q1127" s="78" t="n">
        <x:f>IF(J1127&gt;0,M1127/J1127,0)</x:f>
        <x:v>0</x:v>
      </x:c>
      <x:c r="R1127" s="78" t="n">
        <x:f>IF(B1127='Inputs'!$H$47,'Inputs'!$B$27*'Inputs'!$I$47,0)</x:f>
        <x:v>0</x:v>
      </x:c>
      <x:c r="S1127" s="78" t="n">
        <x:f>Q1127+G1127+R1127</x:f>
        <x:v>216778.46453368352</x:v>
      </x:c>
      <x:c r="T1127" s="78" t="n">
        <x:f>P1127*(S1127*(1-'Inputs'!$B$15))/(O1127+S1127*(1-'Inputs'!$B$15))</x:f>
        <x:v>5129.426185362762</x:v>
      </x:c>
      <x:c r="U1127" s="78" t="n">
        <x:f>O1127+S1127*(1-'Inputs'!$B$17)</x:f>
        <x:v>1504454.6690934557</x:v>
      </x:c>
      <x:c r="V1127" s="78" t="n">
        <x:f>P1127-T1127</x:f>
        <x:v>30797.696972825768</x:v>
      </x:c>
      <x:c r="W1127" s="79" t="n">
        <x:f>IF(U1127&gt;0,V1127/U1127,0)</x:f>
        <x:v>0.02047100361713367</x:v>
      </x:c>
      <x:c r="X1127" s="80" t="n">
        <x:f>W1127*('Inputs'!$B$6-AC1127)</x:f>
        <x:v>20461675.788929097</x:v>
      </x:c>
      <x:c r="Y1127" s="80" t="n">
        <x:f>2*V1127</x:f>
        <x:v>61595.393945651536</x:v>
      </x:c>
      <x:c r="Z1127" s="80" t="n">
        <x:f>K1127*'Inputs'!$B$16+(G1127+R1127)*J1127*'Inputs'!$B$16</x:f>
        <x:v>604.03477192155</x:v>
      </x:c>
      <x:c r="AA1127" s="80" t="n">
        <x:f>K1127*(1+'Inputs'!$E$47)/2*'Inputs'!$B$17</x:f>
        <x:v>203.08739583113174</x:v>
      </x:c>
      <x:c r="AB1127" s="78" t="n">
        <x:f>(IF(J1127&gt;0,K1127*(1-'Inputs'!$E$47)/2/J1127,0)+G1127+R1127)*'Inputs'!$B$17</x:f>
        <x:v>9637.393740893764</x:v>
      </x:c>
      <x:c r="AC1127" s="78" t="n">
        <x:f>AC1126+AB1127</x:f>
        <x:v>455660.5225141098</x:v>
      </x:c>
      <x:c r="AD1127" s="80" t="n">
        <x:f>Z1127/(1+'Inputs'!$C$47)</x:f>
        <x:v>241.61390876862</x:v>
      </x:c>
      <x:c r="AE1127" s="80" t="n">
        <x:f>Z1127-AD1127</x:f>
        <x:v>362.42086315293</x:v>
      </x:c>
      <x:c r="AF1127" s="80" t="n">
        <x:f>D1127*W1127</x:f>
        <x:v>6165.170797792726</x:v>
      </x:c>
      <x:c r="AG1127" s="80" t="n">
        <x:f>C1127*W1127</x:f>
        <x:v>14385.39852818308</x:v>
      </x:c>
      <x:c r="AH1127" s="80" t="n">
        <x:f>2*'Inputs'!$B$8*'Inputs'!$C$47</x:f>
        <x:v>7500</x:v>
      </x:c>
      <x:c r="AI1127" s="81" t="n">
        <x:f>IF(AH1127&gt;0,(AE1127+AF1127)/AH1127*365,0)</x:f>
        <x:v>317.6761274993553</x:v>
      </x:c>
      <x:c r="AJ1127" s="81" t="n">
        <x:f>IF('Inputs'!$B$47&gt;0,AG1127/('Inputs'!$B$19*'Inputs'!$B$47)*365,0)</x:f>
        <x:v>525.0670462786824</x:v>
      </x:c>
      <x:c r="AK1127" s="81" t="n">
        <x:f>W1127/MAX($W$1099:W1127)-1</x:f>
        <x:v>-0.07620092276774859</x:v>
      </x:c>
      <x:c r="AL1127" s="83" t="n">
        <x:f>'Inputs'!$B$47</x:f>
        <x:v>1</x:v>
      </x:c>
      <x:c r="AM1127" s="83" t="n">
        <x:f>'Inputs'!$C$47</x:f>
        <x:v>1.5</x:v>
      </x:c>
      <x:c r="AN1127" s="83" t="n">
        <x:f>'Inputs'!$D$47</x:f>
        <x:v>1.5</x:v>
      </x:c>
      <x:c r="AO1127" s="81" t="n">
        <x:f>'Inputs'!$E$47</x:f>
        <x:v>0.05</x:v>
      </x:c>
    </x:row>
    <x:row r="1128">
      <x:c r="A1128" s="59" t="str">
        <x:v>Growth</x:v>
      </x:c>
      <x:c r="B1128" s="59" t="n">
        <x:v>30</x:v>
      </x:c>
      <x:c r="C1128" s="78" t="n">
        <x:f>(('Inputs'!$B$29*(3*30*'Inputs'!$B$12-30^2)/(2*'Inputs'!$B$12^2))-('Inputs'!$B$29*(3*29*'Inputs'!$B$12-29^2)/(2*'Inputs'!$B$12^2)))*'Inputs'!$B$47</x:f>
        <x:v>702395.6183148809</x:v>
      </x:c>
      <x:c r="D1128" s="78" t="n">
        <x:f>IF('Inputs'!$C$47&gt;0,('Inputs'!$B$30*(3*30*'Inputs'!$B$12-30^2)/(2*'Inputs'!$B$12^2))-('Inputs'!$B$30*(3*29*'Inputs'!$B$12-29^2)/(2*'Inputs'!$B$12^2)),0)</x:f>
        <x:v>301026.6935635209</x:v>
      </x:c>
      <x:c r="E1128" s="78" t="n">
        <x:f>C1128+D1128</x:f>
        <x:v>1003422.3118784018</x:v>
      </x:c>
      <x:c r="F1128" s="78" t="n">
        <x:f>'Inputs'!$B$13*E1128+(1-'Inputs'!$B$13)/'Inputs'!$B$14*SUM(E1099:E1128)</x:f>
        <x:v>633608.7580087393</x:v>
      </x:c>
      <x:c r="G1128" s="78" t="n">
        <x:f>F1128*'Inputs'!$F$47</x:f>
        <x:v>221763.06530305874</x:v>
      </x:c>
      <x:c r="H1128" s="78" t="n">
        <x:f>U1127</x:f>
        <x:v>1504454.6690934557</x:v>
      </x:c>
      <x:c r="I1128" s="78" t="n">
        <x:f>V1127</x:f>
        <x:v>30797.696972825768</x:v>
      </x:c>
      <x:c r="J1128" s="79" t="n">
        <x:f>IF(H1128&gt;0,I1128/H1128,0)</x:f>
        <x:v>0.02047100361713367</x:v>
      </x:c>
      <x:c r="K1128" s="80" t="n">
        <x:f>(H1128*J1128+I1128)*'Inputs'!$D$47*(1+'Inputs'!$G$47)^(B1128/30)</x:f>
        <x:v>95164.88364603162</x:v>
      </x:c>
      <x:c r="L1128" s="80" t="n">
        <x:f>MAX(0,K1128*'Inputs'!$E$47)</x:f>
        <x:v>4758.2441823015815</x:v>
      </x:c>
      <x:c r="M1128" s="80" t="n">
        <x:f>MAX(0,-K1128*'Inputs'!$E$47)</x:f>
        <x:v>0</x:v>
      </x:c>
      <x:c r="N1128" s="78" t="n">
        <x:f>H1128*(L1128*(1-'Inputs'!$B$15))/(I1128+L1128*(1-'Inputs'!$B$15))</x:f>
        <x:v>199586.16243581887</x:v>
      </x:c>
      <x:c r="O1128" s="78" t="n">
        <x:f>H1128-N1128</x:f>
        <x:v>1304868.5066576367</x:v>
      </x:c>
      <x:c r="P1128" s="78" t="n">
        <x:f>I1128+L1128*(1-'Inputs'!$B$17)</x:f>
        <x:v>35536.793291214664</x:v>
      </x:c>
      <x:c r="Q1128" s="78" t="n">
        <x:f>IF(J1128&gt;0,M1128/J1128,0)</x:f>
        <x:v>0</x:v>
      </x:c>
      <x:c r="R1128" s="78" t="n">
        <x:f>IF(B1128='Inputs'!$H$47,'Inputs'!$B$27*'Inputs'!$I$47,0)</x:f>
        <x:v>0</x:v>
      </x:c>
      <x:c r="S1128" s="78" t="n">
        <x:f>Q1128+G1128+R1128</x:f>
        <x:v>221763.06530305874</x:v>
      </x:c>
      <x:c r="T1128" s="78" t="n">
        <x:f>P1128*(S1128*(1-'Inputs'!$B$15))/(O1128+S1128*(1-'Inputs'!$B$15))</x:f>
        <x:v>5117.993556589562</x:v>
      </x:c>
      <x:c r="U1128" s="78" t="n">
        <x:f>O1128+S1128*(1-'Inputs'!$B$17)</x:f>
        <x:v>1525739.1652592747</x:v>
      </x:c>
      <x:c r="V1128" s="78" t="n">
        <x:f>P1128-T1128</x:f>
        <x:v>30418.799734625103</x:v>
      </x:c>
      <x:c r="W1128" s="79" t="n">
        <x:f>IF(U1128&gt;0,V1128/U1128,0)</x:f>
        <x:v>0.01993709044589933</x:v>
      </x:c>
      <x:c r="X1128" s="80" t="n">
        <x:f>W1128*('Inputs'!$B$6-AC1128)</x:f>
        <x:v>19927810.94848503</x:v>
      </x:c>
      <x:c r="Y1128" s="80" t="n">
        <x:f>2*V1128</x:f>
        <x:v>60837.599469250206</x:v>
      </x:c>
      <x:c r="Z1128" s="80" t="n">
        <x:f>K1128*'Inputs'!$B$16+(G1128+R1128)*J1128*'Inputs'!$B$16</x:f>
        <x:v>598.2275769479832</x:v>
      </x:c>
      <x:c r="AA1128" s="80" t="n">
        <x:f>K1128*(1+'Inputs'!$E$47)/2*'Inputs'!$B$17</x:f>
        <x:v>201.05257108316542</x:v>
      </x:c>
      <x:c r="AB1128" s="78" t="n">
        <x:f>(IF(J1128&gt;0,K1128*(1-'Inputs'!$E$47)/2/J1128,0)+G1128+R1128)*'Inputs'!$B$17</x:f>
        <x:v>9778.375878732308</x:v>
      </x:c>
      <x:c r="AC1128" s="78" t="n">
        <x:f>AC1127+AB1128</x:f>
        <x:v>465438.8983928421</x:v>
      </x:c>
      <x:c r="AD1128" s="80" t="n">
        <x:f>Z1128/(1+'Inputs'!$C$47)</x:f>
        <x:v>239.29103077919325</x:v>
      </x:c>
      <x:c r="AE1128" s="80" t="n">
        <x:f>Z1128-AD1128</x:f>
        <x:v>358.9365461687899</x:v>
      </x:c>
      <x:c r="AF1128" s="80" t="n">
        <x:f>D1128*W1128</x:f>
        <x:v>6001.596416205938</x:v>
      </x:c>
      <x:c r="AG1128" s="80" t="n">
        <x:f>C1128*W1128</x:f>
        <x:v>14003.724971147163</x:v>
      </x:c>
      <x:c r="AH1128" s="80" t="n">
        <x:f>2*'Inputs'!$B$8*'Inputs'!$C$47</x:f>
        <x:v>7500</x:v>
      </x:c>
      <x:c r="AI1128" s="81" t="n">
        <x:f>IF(AH1128&gt;0,(AE1128+AF1128)/AH1128*365,0)</x:f>
        <x:v>309.54593750223677</x:v>
      </x:c>
      <x:c r="AJ1128" s="81" t="n">
        <x:f>IF('Inputs'!$B$47&gt;0,AG1128/('Inputs'!$B$19*'Inputs'!$B$47)*365,0)</x:f>
        <x:v>511.1359614468714</x:v>
      </x:c>
      <x:c r="AK1128" s="81" t="n">
        <x:f>W1128/MAX($W$1099:W1128)-1</x:f>
        <x:v>-0.10029492930173256</x:v>
      </x:c>
      <x:c r="AL1128" s="83" t="n">
        <x:f>'Inputs'!$B$47</x:f>
        <x:v>1</x:v>
      </x:c>
      <x:c r="AM1128" s="83" t="n">
        <x:f>'Inputs'!$C$47</x:f>
        <x:v>1.5</x:v>
      </x:c>
      <x:c r="AN1128" s="83" t="n">
        <x:f>'Inputs'!$D$47</x:f>
        <x:v>1.5</x:v>
      </x:c>
      <x:c r="AO1128" s="81" t="n">
        <x:f>'Inputs'!$E$47</x:f>
        <x:v>0.05</x:v>
      </x:c>
    </x:row>
    <x:row r="1129">
      <x:c r="A1129" s="59" t="str">
        <x:v>Growth</x:v>
      </x:c>
      <x:c r="B1129" s="59" t="n">
        <x:v>31</x:v>
      </x:c>
      <x:c r="C1129" s="78" t="n">
        <x:f>(('Inputs'!$B$29*(3*31*'Inputs'!$B$12-31^2)/(2*'Inputs'!$B$12^2))-('Inputs'!$B$29*(3*30*'Inputs'!$B$12-30^2)/(2*'Inputs'!$B$12^2)))*'Inputs'!$B$47</x:f>
        <x:v>702070.5104147121</x:v>
      </x:c>
      <x:c r="D1129" s="78" t="n">
        <x:f>IF('Inputs'!$C$47&gt;0,('Inputs'!$B$30*(3*31*'Inputs'!$B$12-31^2)/(2*'Inputs'!$B$12^2))-('Inputs'!$B$30*(3*30*'Inputs'!$B$12-30^2)/(2*'Inputs'!$B$12^2)),0)</x:f>
        <x:v>300887.36160630547</x:v>
      </x:c>
      <x:c r="E1129" s="78" t="n">
        <x:f>C1129+D1129</x:f>
        <x:v>1002957.8720210176</x:v>
      </x:c>
      <x:c r="F1129" s="78" t="n">
        <x:f>'Inputs'!$B$13*E1129+(1-'Inputs'!$B$13)/'Inputs'!$B$14*SUM(E1099:E1129)</x:f>
        <x:v>647843.8396375627</x:v>
      </x:c>
      <x:c r="G1129" s="78" t="n">
        <x:f>F1129*'Inputs'!$F$47</x:f>
        <x:v>226745.34387314695</x:v>
      </x:c>
      <x:c r="H1129" s="78" t="n">
        <x:f>U1128</x:f>
        <x:v>1525739.1652592747</x:v>
      </x:c>
      <x:c r="I1129" s="78" t="n">
        <x:f>V1128</x:f>
        <x:v>30418.799734625103</x:v>
      </x:c>
      <x:c r="J1129" s="79" t="n">
        <x:f>IF(H1129&gt;0,I1129/H1129,0)</x:f>
        <x:v>0.01993709044589933</x:v>
      </x:c>
      <x:c r="K1129" s="80" t="n">
        <x:f>(H1129*J1129+I1129)*'Inputs'!$D$47*(1+'Inputs'!$G$47)^(B1129/30)</x:f>
        <x:v>94086.74857829287</x:v>
      </x:c>
      <x:c r="L1129" s="80" t="n">
        <x:f>MAX(0,K1129*'Inputs'!$E$47)</x:f>
        <x:v>4704.337428914644</x:v>
      </x:c>
      <x:c r="M1129" s="80" t="n">
        <x:f>MAX(0,-K1129*'Inputs'!$E$47)</x:f>
        <x:v>0</x:v>
      </x:c>
      <x:c r="N1129" s="78" t="n">
        <x:f>H1129*(L1129*(1-'Inputs'!$B$15))/(I1129+L1129*(1-'Inputs'!$B$15))</x:f>
        <x:v>202582.87556093073</x:v>
      </x:c>
      <x:c r="O1129" s="78" t="n">
        <x:f>H1129-N1129</x:f>
        <x:v>1323156.289698344</x:v>
      </x:c>
      <x:c r="P1129" s="78" t="n">
        <x:f>I1129+L1129*(1-'Inputs'!$B$17)</x:f>
        <x:v>35104.20622821212</x:v>
      </x:c>
      <x:c r="Q1129" s="78" t="n">
        <x:f>IF(J1129&gt;0,M1129/J1129,0)</x:f>
        <x:v>0</x:v>
      </x:c>
      <x:c r="R1129" s="78" t="n">
        <x:f>IF(B1129='Inputs'!$H$47,'Inputs'!$B$27*'Inputs'!$I$47,0)</x:f>
        <x:v>0</x:v>
      </x:c>
      <x:c r="S1129" s="78" t="n">
        <x:f>Q1129+G1129+R1129</x:f>
        <x:v>226745.34387314695</x:v>
      </x:c>
      <x:c r="T1129" s="78" t="n">
        <x:f>P1129*(S1129*(1-'Inputs'!$B$15))/(O1129+S1129*(1-'Inputs'!$B$15))</x:f>
        <x:v>5091.71887041662</x:v>
      </x:c>
      <x:c r="U1129" s="78" t="n">
        <x:f>O1129+S1129*(1-'Inputs'!$B$17)</x:f>
        <x:v>1548989.1774593254</x:v>
      </x:c>
      <x:c r="V1129" s="78" t="n">
        <x:f>P1129-T1129</x:f>
        <x:v>30012.4873577955</x:v>
      </x:c>
      <x:c r="W1129" s="79" t="n">
        <x:f>IF(U1129&gt;0,V1129/U1129,0)</x:f>
        <x:v>0.019375530697394814</x:v>
      </x:c>
      <x:c r="X1129" s="80" t="n">
        <x:f>W1129*('Inputs'!$B$6-AC1129)</x:f>
        <x:v>19366320.11411227</x:v>
      </x:c>
      <x:c r="Y1129" s="80" t="n">
        <x:f>2*V1129</x:f>
        <x:v>60024.974715591</x:v>
      </x:c>
      <x:c r="Z1129" s="80" t="n">
        <x:f>K1129*'Inputs'!$B$16+(G1129+R1129)*J1129*'Inputs'!$B$16</x:f>
        <x:v>591.64434604367</x:v>
      </x:c>
      <x:c r="AA1129" s="80" t="n">
        <x:f>K1129*(1+'Inputs'!$E$47)/2*'Inputs'!$B$17</x:f>
        <x:v>198.77482094005538</x:v>
      </x:c>
      <x:c r="AB1129" s="78" t="n">
        <x:f>(IF(J1129&gt;0,K1129*(1-'Inputs'!$E$47)/2/J1129,0)+G1129+R1129)*'Inputs'!$B$17</x:f>
        <x:v>9933.024389189246</x:v>
      </x:c>
      <x:c r="AC1129" s="78" t="n">
        <x:f>AC1128+AB1129</x:f>
        <x:v>475371.92278203135</x:v>
      </x:c>
      <x:c r="AD1129" s="80" t="n">
        <x:f>Z1129/(1+'Inputs'!$C$47)</x:f>
        <x:v>236.657738417468</x:v>
      </x:c>
      <x:c r="AE1129" s="80" t="n">
        <x:f>Z1129-AD1129</x:f>
        <x:v>354.986607626202</x:v>
      </x:c>
      <x:c r="AF1129" s="80" t="n">
        <x:f>D1129*W1129</x:f>
        <x:v>5829.852311261106</x:v>
      </x:c>
      <x:c r="AG1129" s="80" t="n">
        <x:f>C1129*W1129</x:f>
        <x:v>13602.9887262759</x:v>
      </x:c>
      <x:c r="AH1129" s="80" t="n">
        <x:f>2*'Inputs'!$B$8*'Inputs'!$C$47</x:f>
        <x:v>7500</x:v>
      </x:c>
      <x:c r="AI1129" s="81" t="n">
        <x:f>IF(AH1129&gt;0,(AE1129+AF1129)/AH1129*365,0)</x:f>
        <x:v>300.99549405251565</x:v>
      </x:c>
      <x:c r="AJ1129" s="81" t="n">
        <x:f>IF('Inputs'!$B$47&gt;0,AG1129/('Inputs'!$B$19*'Inputs'!$B$47)*365,0)</x:f>
        <x:v>496.50908850907035</x:v>
      </x:c>
      <x:c r="AK1129" s="81" t="n">
        <x:f>W1129/MAX($W$1099:W1129)-1</x:f>
        <x:v>-0.12563654846128613</x:v>
      </x:c>
      <x:c r="AL1129" s="83" t="n">
        <x:f>'Inputs'!$B$47</x:f>
        <x:v>1</x:v>
      </x:c>
      <x:c r="AM1129" s="83" t="n">
        <x:f>'Inputs'!$C$47</x:f>
        <x:v>1.5</x:v>
      </x:c>
      <x:c r="AN1129" s="83" t="n">
        <x:f>'Inputs'!$D$47</x:f>
        <x:v>1.5</x:v>
      </x:c>
      <x:c r="AO1129" s="81" t="n">
        <x:f>'Inputs'!$E$47</x:f>
        <x:v>0.05</x:v>
      </x:c>
    </x:row>
    <x:row r="1130">
      <x:c r="A1130" s="59" t="str">
        <x:v>Growth</x:v>
      </x:c>
      <x:c r="B1130" s="59" t="n">
        <x:v>32</x:v>
      </x:c>
      <x:c r="C1130" s="78" t="n">
        <x:f>(('Inputs'!$B$29*(3*32*'Inputs'!$B$12-32^2)/(2*'Inputs'!$B$12^2))-('Inputs'!$B$29*(3*31*'Inputs'!$B$12-31^2)/(2*'Inputs'!$B$12^2)))*'Inputs'!$B$47</x:f>
        <x:v>701745.4025145434</x:v>
      </x:c>
      <x:c r="D1130" s="78" t="n">
        <x:f>IF('Inputs'!$C$47&gt;0,('Inputs'!$B$30*(3*32*'Inputs'!$B$12-32^2)/(2*'Inputs'!$B$12^2))-('Inputs'!$B$30*(3*31*'Inputs'!$B$12-31^2)/(2*'Inputs'!$B$12^2)),0)</x:f>
        <x:v>300748.02964909</x:v>
      </x:c>
      <x:c r="E1130" s="78" t="n">
        <x:f>C1130+D1130</x:f>
        <x:v>1002493.4321636334</x:v>
      </x:c>
      <x:c r="F1130" s="78" t="n">
        <x:f>'Inputs'!$B$13*E1130+(1-'Inputs'!$B$13)/'Inputs'!$B$14*SUM(E1099:E1130)</x:f>
        <x:v>662072.2864112806</x:v>
      </x:c>
      <x:c r="G1130" s="78" t="n">
        <x:f>F1130*'Inputs'!$F$47</x:f>
        <x:v>231725.3002439482</x:v>
      </x:c>
      <x:c r="H1130" s="78" t="n">
        <x:f>U1129</x:f>
        <x:v>1548989.1774593254</x:v>
      </x:c>
      <x:c r="I1130" s="78" t="n">
        <x:f>V1129</x:f>
        <x:v>30012.4873577955</x:v>
      </x:c>
      <x:c r="J1130" s="79" t="n">
        <x:f>IF(H1130&gt;0,I1130/H1130,0)</x:f>
        <x:v>0.019375530697394814</x:v>
      </x:c>
      <x:c r="K1130" s="80" t="n">
        <x:f>(H1130*J1130+I1130)*'Inputs'!$D$47*(1+'Inputs'!$G$47)^(B1130/30)</x:f>
        <x:v>92921.51555052433</x:v>
      </x:c>
      <x:c r="L1130" s="80" t="n">
        <x:f>MAX(0,K1130*'Inputs'!$E$47)</x:f>
        <x:v>4646.075777526216</x:v>
      </x:c>
      <x:c r="M1130" s="80" t="n">
        <x:f>MAX(0,-K1130*'Inputs'!$E$47)</x:f>
        <x:v>0</x:v>
      </x:c>
      <x:c r="N1130" s="78" t="n">
        <x:f>H1130*(L1130*(1-'Inputs'!$B$15))/(I1130+L1130*(1-'Inputs'!$B$15))</x:f>
        <x:v>205845.74171072475</x:v>
      </x:c>
      <x:c r="O1130" s="78" t="n">
        <x:f>H1130-N1130</x:f>
        <x:v>1343143.4357486006</x:v>
      </x:c>
      <x:c r="P1130" s="78" t="n">
        <x:f>I1130+L1130*(1-'Inputs'!$B$17)</x:f>
        <x:v>34639.8666533196</x:v>
      </x:c>
      <x:c r="Q1130" s="78" t="n">
        <x:f>IF(J1130&gt;0,M1130/J1130,0)</x:f>
        <x:v>0</x:v>
      </x:c>
      <x:c r="R1130" s="78" t="n">
        <x:f>IF(B1130='Inputs'!$H$47,'Inputs'!$B$27*'Inputs'!$I$47,0)</x:f>
        <x:v>0</x:v>
      </x:c>
      <x:c r="S1130" s="78" t="n">
        <x:f>Q1130+G1130+R1130</x:f>
        <x:v>231725.3002439482</x:v>
      </x:c>
      <x:c r="T1130" s="78" t="n">
        <x:f>P1130*(S1130*(1-'Inputs'!$B$15))/(O1130+S1130*(1-'Inputs'!$B$15))</x:f>
        <x:v>5053.357077082282</x:v>
      </x:c>
      <x:c r="U1130" s="78" t="n">
        <x:f>O1130+S1130*(1-'Inputs'!$B$17)</x:f>
        <x:v>1573936.2398145047</x:v>
      </x:c>
      <x:c r="V1130" s="78" t="n">
        <x:f>P1130-T1130</x:f>
        <x:v>29586.50957623732</x:v>
      </x:c>
      <x:c r="W1130" s="79" t="n">
        <x:f>IF(U1130&gt;0,V1130/U1130,0)</x:f>
        <x:v>0.018797781528763973</x:v>
      </x:c>
      <x:c r="X1130" s="80" t="n">
        <x:f>W1130*('Inputs'!$B$6-AC1130)</x:f>
        <x:v>18788655.74203526</x:v>
      </x:c>
      <x:c r="Y1130" s="80" t="n">
        <x:f>2*V1130</x:f>
        <x:v>59173.01915247464</x:v>
      </x:c>
      <x:c r="Z1130" s="80" t="n">
        <x:f>K1130*'Inputs'!$B$16+(G1130+R1130)*J1130*'Inputs'!$B$16</x:f>
        <x:v>584.4678973125838</x:v>
      </x:c>
      <x:c r="AA1130" s="80" t="n">
        <x:f>K1130*(1+'Inputs'!$E$47)/2*'Inputs'!$B$17</x:f>
        <x:v>196.3130610222345</x:v>
      </x:c>
      <x:c r="AB1130" s="78" t="n">
        <x:f>(IF(J1130&gt;0,K1130*(1-'Inputs'!$E$47)/2/J1130,0)+G1130+R1130)*'Inputs'!$B$17</x:f>
        <x:v>10099.55238899981</x:v>
      </x:c>
      <x:c r="AC1130" s="78" t="n">
        <x:f>AC1129+AB1130</x:f>
        <x:v>485471.47517103114</x:v>
      </x:c>
      <x:c r="AD1130" s="80" t="n">
        <x:f>Z1130/(1+'Inputs'!$C$47)</x:f>
        <x:v>233.7871589250335</x:v>
      </x:c>
      <x:c r="AE1130" s="80" t="n">
        <x:f>Z1130-AD1130</x:f>
        <x:v>350.68073838755026</x:v>
      </x:c>
      <x:c r="AF1130" s="80" t="n">
        <x:f>D1130*W1130</x:f>
        <x:v>5653.395756549824</x:v>
      </x:c>
      <x:c r="AG1130" s="80" t="n">
        <x:f>C1130*W1130</x:f>
        <x:v>13191.256765282924</x:v>
      </x:c>
      <x:c r="AH1130" s="80" t="n">
        <x:f>2*'Inputs'!$B$8*'Inputs'!$C$47</x:f>
        <x:v>7500</x:v>
      </x:c>
      <x:c r="AI1130" s="81" t="n">
        <x:f>IF(AH1130&gt;0,(AE1130+AF1130)/AH1130*365,0)</x:f>
        <x:v>292.19838942028554</x:v>
      </x:c>
      <x:c r="AJ1130" s="81" t="n">
        <x:f>IF('Inputs'!$B$47&gt;0,AG1130/('Inputs'!$B$19*'Inputs'!$B$47)*365,0)</x:f>
        <x:v>481.48087193282674</x:v>
      </x:c>
      <x:c r="AK1130" s="81" t="n">
        <x:f>W1130/MAX($W$1099:W1130)-1</x:f>
        <x:v>-0.15170875082297985</x:v>
      </x:c>
      <x:c r="AL1130" s="83" t="n">
        <x:f>'Inputs'!$B$47</x:f>
        <x:v>1</x:v>
      </x:c>
      <x:c r="AM1130" s="83" t="n">
        <x:f>'Inputs'!$C$47</x:f>
        <x:v>1.5</x:v>
      </x:c>
      <x:c r="AN1130" s="83" t="n">
        <x:f>'Inputs'!$D$47</x:f>
        <x:v>1.5</x:v>
      </x:c>
      <x:c r="AO1130" s="81" t="n">
        <x:f>'Inputs'!$E$47</x:f>
        <x:v>0.05</x:v>
      </x:c>
    </x:row>
    <x:row r="1131">
      <x:c r="A1131" s="59" t="str">
        <x:v>Growth</x:v>
      </x:c>
      <x:c r="B1131" s="59" t="n">
        <x:v>33</x:v>
      </x:c>
      <x:c r="C1131" s="78" t="n">
        <x:f>(('Inputs'!$B$29*(3*33*'Inputs'!$B$12-33^2)/(2*'Inputs'!$B$12^2))-('Inputs'!$B$29*(3*32*'Inputs'!$B$12-32^2)/(2*'Inputs'!$B$12^2)))*'Inputs'!$B$47</x:f>
        <x:v>701420.2946143746</x:v>
      </x:c>
      <x:c r="D1131" s="78" t="n">
        <x:f>IF('Inputs'!$C$47&gt;0,('Inputs'!$B$30*(3*33*'Inputs'!$B$12-33^2)/(2*'Inputs'!$B$12^2))-('Inputs'!$B$30*(3*32*'Inputs'!$B$12-32^2)/(2*'Inputs'!$B$12^2)),0)</x:f>
        <x:v>300608.6976918746</x:v>
      </x:c>
      <x:c r="E1131" s="78" t="n">
        <x:f>C1131+D1131</x:f>
        <x:v>1002028.9923062492</x:v>
      </x:c>
      <x:c r="F1131" s="78" t="n">
        <x:f>'Inputs'!$B$13*E1131+(1-'Inputs'!$B$13)/'Inputs'!$B$14*SUM(E1099:E1131)</x:f>
        <x:v>676294.0983298931</x:v>
      </x:c>
      <x:c r="G1131" s="78" t="n">
        <x:f>F1131*'Inputs'!$F$47</x:f>
        <x:v>236702.93441546257</x:v>
      </x:c>
      <x:c r="H1131" s="78" t="n">
        <x:f>U1130</x:f>
        <x:v>1573936.2398145047</x:v>
      </x:c>
      <x:c r="I1131" s="78" t="n">
        <x:f>V1130</x:f>
        <x:v>29586.50957623732</x:v>
      </x:c>
      <x:c r="J1131" s="79" t="n">
        <x:f>IF(H1131&gt;0,I1131/H1131,0)</x:f>
        <x:v>0.018797781528763973</x:v>
      </x:c>
      <x:c r="K1131" s="80" t="n">
        <x:f>(H1131*J1131+I1131)*'Inputs'!$D$47*(1+'Inputs'!$G$47)^(B1131/30)</x:f>
        <x:v>91692.94778492299</x:v>
      </x:c>
      <x:c r="L1131" s="80" t="n">
        <x:f>MAX(0,K1131*'Inputs'!$E$47)</x:f>
        <x:v>4584.64738924615</x:v>
      </x:c>
      <x:c r="M1131" s="80" t="n">
        <x:f>MAX(0,-K1131*'Inputs'!$E$47)</x:f>
        <x:v>0</x:v>
      </x:c>
      <x:c r="N1131" s="78" t="n">
        <x:f>H1131*(L1131*(1-'Inputs'!$B$15))/(I1131+L1131*(1-'Inputs'!$B$15))</x:f>
        <x:v>209339.728871881</x:v>
      </x:c>
      <x:c r="O1131" s="78" t="n">
        <x:f>H1131-N1131</x:f>
        <x:v>1364596.5109426237</x:v>
      </x:c>
      <x:c r="P1131" s="78" t="n">
        <x:f>I1131+L1131*(1-'Inputs'!$B$17)</x:f>
        <x:v>34152.70768021487</x:v>
      </x:c>
      <x:c r="Q1131" s="78" t="n">
        <x:f>IF(J1131&gt;0,M1131/J1131,0)</x:f>
        <x:v>0</x:v>
      </x:c>
      <x:c r="R1131" s="78" t="n">
        <x:f>IF(B1131='Inputs'!$H$47,'Inputs'!$B$27*'Inputs'!$I$47,0)</x:f>
        <x:v>0</x:v>
      </x:c>
      <x:c r="S1131" s="78" t="n">
        <x:f>Q1131+G1131+R1131</x:f>
        <x:v>236702.93441546257</x:v>
      </x:c>
      <x:c r="T1131" s="78" t="n">
        <x:f>P1131*(S1131*(1-'Inputs'!$B$15))/(O1131+S1131*(1-'Inputs'!$B$15))</x:f>
        <x:v>5005.343305773112</x:v>
      </x:c>
      <x:c r="U1131" s="78" t="n">
        <x:f>O1131+S1131*(1-'Inputs'!$B$17)</x:f>
        <x:v>1600346.91845903</x:v>
      </x:c>
      <x:c r="V1131" s="78" t="n">
        <x:f>P1131-T1131</x:f>
        <x:v>29147.36437444176</x:v>
      </x:c>
      <x:c r="W1131" s="79" t="n">
        <x:f>IF(U1131&gt;0,V1131/U1131,0)</x:f>
        <x:v>0.018213153684519656</x:v>
      </x:c>
      <x:c r="X1131" s="80" t="n">
        <x:f>W1131*('Inputs'!$B$6-AC1131)</x:f>
        <x:v>18204124.552202396</x:v>
      </x:c>
      <x:c r="Y1131" s="80" t="n">
        <x:f>2*V1131</x:f>
        <x:v>58294.72874888352</x:v>
      </x:c>
      <x:c r="Z1131" s="80" t="n">
        <x:f>K1131*'Inputs'!$B$16+(G1131+R1131)*J1131*'Inputs'!$B$16</x:f>
        <x:v>576.8546269996932</x:v>
      </x:c>
      <x:c r="AA1131" s="80" t="n">
        <x:f>K1131*(1+'Inputs'!$E$47)/2*'Inputs'!$B$17</x:f>
        <x:v>193.71749532025984</x:v>
      </x:c>
      <x:c r="AB1131" s="78" t="n">
        <x:f>(IF(J1131&gt;0,K1131*(1-'Inputs'!$E$47)/2/J1131,0)+G1131+R1131)*'Inputs'!$B$17</x:f>
        <x:v>10276.404282324627</x:v>
      </x:c>
      <x:c r="AC1131" s="78" t="n">
        <x:f>AC1130+AB1131</x:f>
        <x:v>495747.8794533558</x:v>
      </x:c>
      <x:c r="AD1131" s="80" t="n">
        <x:f>Z1131/(1+'Inputs'!$C$47)</x:f>
        <x:v>230.74185079987728</x:v>
      </x:c>
      <x:c r="AE1131" s="80" t="n">
        <x:f>Z1131-AD1131</x:f>
        <x:v>346.1127761998159</x:v>
      </x:c>
      <x:c r="AF1131" s="80" t="n">
        <x:f>D1131*W1131</x:f>
        <x:v>5475.032409965421</x:v>
      </x:c>
      <x:c r="AG1131" s="80" t="n">
        <x:f>C1131*W1131</x:f>
        <x:v>12775.07562325266</x:v>
      </x:c>
      <x:c r="AH1131" s="80" t="n">
        <x:f>2*'Inputs'!$B$8*'Inputs'!$C$47</x:f>
        <x:v>7500</x:v>
      </x:c>
      <x:c r="AI1131" s="81" t="n">
        <x:f>IF(AH1131&gt;0,(AE1131+AF1131)/AH1131*365,0)</x:f>
        <x:v>283.29573239337486</x:v>
      </x:c>
      <x:c r="AJ1131" s="81" t="n">
        <x:f>IF('Inputs'!$B$47&gt;0,AG1131/('Inputs'!$B$19*'Inputs'!$B$47)*365,0)</x:f>
        <x:v>466.2902602487221</x:v>
      </x:c>
      <x:c r="AK1131" s="81" t="n">
        <x:f>W1131/MAX($W$1099:W1131)-1</x:f>
        <x:v>-0.17809136855575913</x:v>
      </x:c>
      <x:c r="AL1131" s="83" t="n">
        <x:f>'Inputs'!$B$47</x:f>
        <x:v>1</x:v>
      </x:c>
      <x:c r="AM1131" s="83" t="n">
        <x:f>'Inputs'!$C$47</x:f>
        <x:v>1.5</x:v>
      </x:c>
      <x:c r="AN1131" s="83" t="n">
        <x:f>'Inputs'!$D$47</x:f>
        <x:v>1.5</x:v>
      </x:c>
      <x:c r="AO1131" s="81" t="n">
        <x:f>'Inputs'!$E$47</x:f>
        <x:v>0.05</x:v>
      </x:c>
    </x:row>
    <x:row r="1132">
      <x:c r="A1132" s="59" t="str">
        <x:v>Growth</x:v>
      </x:c>
      <x:c r="B1132" s="59" t="n">
        <x:v>34</x:v>
      </x:c>
      <x:c r="C1132" s="78" t="n">
        <x:f>(('Inputs'!$B$29*(3*34*'Inputs'!$B$12-34^2)/(2*'Inputs'!$B$12^2))-('Inputs'!$B$29*(3*33*'Inputs'!$B$12-33^2)/(2*'Inputs'!$B$12^2)))*'Inputs'!$B$47</x:f>
        <x:v>701095.1867142059</x:v>
      </x:c>
      <x:c r="D1132" s="78" t="n">
        <x:f>IF('Inputs'!$C$47&gt;0,('Inputs'!$B$30*(3*34*'Inputs'!$B$12-34^2)/(2*'Inputs'!$B$12^2))-('Inputs'!$B$30*(3*33*'Inputs'!$B$12-33^2)/(2*'Inputs'!$B$12^2)),0)</x:f>
        <x:v>300469.36573465914</x:v>
      </x:c>
      <x:c r="E1132" s="78" t="n">
        <x:f>C1132+D1132</x:f>
        <x:v>1001564.552448865</x:v>
      </x:c>
      <x:c r="F1132" s="78" t="n">
        <x:f>'Inputs'!$B$13*E1132+(1-'Inputs'!$B$13)/'Inputs'!$B$14*SUM(E1099:E1132)</x:f>
        <x:v>690509.2753934</x:v>
      </x:c>
      <x:c r="G1132" s="78" t="n">
        <x:f>F1132*'Inputs'!$F$47</x:f>
        <x:v>241678.24638769</x:v>
      </x:c>
      <x:c r="H1132" s="78" t="n">
        <x:f>U1131</x:f>
        <x:v>1600346.91845903</x:v>
      </x:c>
      <x:c r="I1132" s="78" t="n">
        <x:f>V1131</x:f>
        <x:v>29147.36437444176</x:v>
      </x:c>
      <x:c r="J1132" s="79" t="n">
        <x:f>IF(H1132&gt;0,I1132/H1132,0)</x:f>
        <x:v>0.018213153684519656</x:v>
      </x:c>
      <x:c r="K1132" s="80" t="n">
        <x:f>(H1132*J1132+I1132)*'Inputs'!$D$47*(1+'Inputs'!$G$47)^(B1132/30)</x:f>
        <x:v>90421.01952859206</x:v>
      </x:c>
      <x:c r="L1132" s="80" t="n">
        <x:f>MAX(0,K1132*'Inputs'!$E$47)</x:f>
        <x:v>4521.050976429603</x:v>
      </x:c>
      <x:c r="M1132" s="80" t="n">
        <x:f>MAX(0,-K1132*'Inputs'!$E$47)</x:f>
        <x:v>0</x:v>
      </x:c>
      <x:c r="N1132" s="78" t="n">
        <x:f>H1132*(L1132*(1-'Inputs'!$B$15))/(I1132+L1132*(1-'Inputs'!$B$15))</x:f>
        <x:v>213034.34732624996</x:v>
      </x:c>
      <x:c r="O1132" s="78" t="n">
        <x:f>H1132-N1132</x:f>
        <x:v>1387312.57113278</x:v>
      </x:c>
      <x:c r="P1132" s="78" t="n">
        <x:f>I1132+L1132*(1-'Inputs'!$B$17)</x:f>
        <x:v>33650.22198678111</x:v>
      </x:c>
      <x:c r="Q1132" s="78" t="n">
        <x:f>IF(J1132&gt;0,M1132/J1132,0)</x:f>
        <x:v>0</x:v>
      </x:c>
      <x:c r="R1132" s="78" t="n">
        <x:f>IF(B1132='Inputs'!$H$47,'Inputs'!$B$27*'Inputs'!$I$47,0)</x:f>
        <x:v>0</x:v>
      </x:c>
      <x:c r="S1132" s="78" t="n">
        <x:f>Q1132+G1132+R1132</x:f>
        <x:v>241678.24638769</x:v>
      </x:c>
      <x:c r="T1132" s="78" t="n">
        <x:f>P1132*(S1132*(1-'Inputs'!$B$15))/(O1132+S1132*(1-'Inputs'!$B$15))</x:f>
        <x:v>4949.790910463172</x:v>
      </x:c>
      <x:c r="U1132" s="78" t="n">
        <x:f>O1132+S1132*(1-'Inputs'!$B$17)</x:f>
        <x:v>1628018.269245268</x:v>
      </x:c>
      <x:c r="V1132" s="78" t="n">
        <x:f>P1132-T1132</x:f>
        <x:v>28700.431076317935</x:v>
      </x:c>
      <x:c r="W1132" s="79" t="n">
        <x:f>IF(U1132&gt;0,V1132/U1132,0)</x:f>
        <x:v>0.01762905958642783</x:v>
      </x:c>
      <x:c r="X1132" s="80" t="n">
        <x:f>W1132*('Inputs'!$B$6-AC1132)</x:f>
        <x:v>17620135.5783155</x:v>
      </x:c>
      <x:c r="Y1132" s="80" t="n">
        <x:f>2*V1132</x:f>
        <x:v>57400.86215263587</x:v>
      </x:c>
      <x:c r="Z1132" s="80" t="n">
        <x:f>K1132*'Inputs'!$B$16+(G1132+R1132)*J1132*'Inputs'!$B$16</x:f>
        <x:v>568.9364554335376</x:v>
      </x:c>
      <x:c r="AA1132" s="80" t="n">
        <x:f>K1132*(1+'Inputs'!$E$47)/2*'Inputs'!$B$17</x:f>
        <x:v>191.03032294772973</x:v>
      </x:c>
      <x:c r="AB1132" s="78" t="n">
        <x:f>(IF(J1132&gt;0,K1132*(1-'Inputs'!$E$47)/2/J1132,0)+G1132+R1132)*'Inputs'!$B$17</x:f>
        <x:v>10462.226002150119</x:v>
      </x:c>
      <x:c r="AC1132" s="78" t="n">
        <x:f>AC1131+AB1132</x:f>
        <x:v>506210.1054555059</x:v>
      </x:c>
      <x:c r="AD1132" s="80" t="n">
        <x:f>Z1132/(1+'Inputs'!$C$47)</x:f>
        <x:v>227.57458217341505</x:v>
      </x:c>
      <x:c r="AE1132" s="80" t="n">
        <x:f>Z1132-AD1132</x:f>
        <x:v>341.3618732601226</x:v>
      </x:c>
      <x:c r="AF1132" s="80" t="n">
        <x:f>D1132*W1132</x:f>
        <x:v>5296.992352432482</x:v>
      </x:c>
      <x:c r="AG1132" s="80" t="n">
        <x:f>C1132*W1132</x:f>
        <x:v>12359.64882234248</x:v>
      </x:c>
      <x:c r="AH1132" s="80" t="n">
        <x:f>2*'Inputs'!$B$8*'Inputs'!$C$47</x:f>
        <x:v>7500</x:v>
      </x:c>
      <x:c r="AI1132" s="81" t="n">
        <x:f>IF(AH1132&gt;0,(AE1132+AF1132)/AH1132*365,0)</x:f>
        <x:v>274.39990565037346</x:v>
      </x:c>
      <x:c r="AJ1132" s="81" t="n">
        <x:f>IF('Inputs'!$B$47&gt;0,AG1132/('Inputs'!$B$19*'Inputs'!$B$47)*365,0)</x:f>
        <x:v>451.1271820155005</x:v>
      </x:c>
      <x:c r="AK1132" s="81" t="n">
        <x:f>W1132/MAX($W$1099:W1132)-1</x:f>
        <x:v>-0.20444989981909278</x:v>
      </x:c>
      <x:c r="AL1132" s="83" t="n">
        <x:f>'Inputs'!$B$47</x:f>
        <x:v>1</x:v>
      </x:c>
      <x:c r="AM1132" s="83" t="n">
        <x:f>'Inputs'!$C$47</x:f>
        <x:v>1.5</x:v>
      </x:c>
      <x:c r="AN1132" s="83" t="n">
        <x:f>'Inputs'!$D$47</x:f>
        <x:v>1.5</x:v>
      </x:c>
      <x:c r="AO1132" s="81" t="n">
        <x:f>'Inputs'!$E$47</x:f>
        <x:v>0.05</x:v>
      </x:c>
    </x:row>
    <x:row r="1133">
      <x:c r="A1133" s="59" t="str">
        <x:v>Growth</x:v>
      </x:c>
      <x:c r="B1133" s="59" t="n">
        <x:v>35</x:v>
      </x:c>
      <x:c r="C1133" s="78" t="n">
        <x:f>(('Inputs'!$B$29*(3*35*'Inputs'!$B$12-35^2)/(2*'Inputs'!$B$12^2))-('Inputs'!$B$29*(3*34*'Inputs'!$B$12-34^2)/(2*'Inputs'!$B$12^2)))*'Inputs'!$B$47</x:f>
        <x:v>700770.0788140334</x:v>
      </x:c>
      <x:c r="D1133" s="78" t="n">
        <x:f>IF('Inputs'!$C$47&gt;0,('Inputs'!$B$30*(3*35*'Inputs'!$B$12-35^2)/(2*'Inputs'!$B$12^2))-('Inputs'!$B$30*(3*34*'Inputs'!$B$12-34^2)/(2*'Inputs'!$B$12^2)),0)</x:f>
        <x:v>300330.0337774437</x:v>
      </x:c>
      <x:c r="E1133" s="78" t="n">
        <x:f>C1133+D1133</x:f>
        <x:v>1001100.1125914771</x:v>
      </x:c>
      <x:c r="F1133" s="78" t="n">
        <x:f>'Inputs'!$B$13*E1133+(1-'Inputs'!$B$13)/'Inputs'!$B$14*SUM(E1099:E1133)</x:f>
        <x:v>704717.8176018007</x:v>
      </x:c>
      <x:c r="G1133" s="78" t="n">
        <x:f>F1133*'Inputs'!$F$47</x:f>
        <x:v>246651.23616063021</x:v>
      </x:c>
      <x:c r="H1133" s="78" t="n">
        <x:f>U1132</x:f>
        <x:v>1628018.269245268</x:v>
      </x:c>
      <x:c r="I1133" s="78" t="n">
        <x:f>V1132</x:f>
        <x:v>28700.431076317935</x:v>
      </x:c>
      <x:c r="J1133" s="79" t="n">
        <x:f>IF(H1133&gt;0,I1133/H1133,0)</x:f>
        <x:v>0.01762905958642783</x:v>
      </x:c>
      <x:c r="K1133" s="80" t="n">
        <x:f>(H1133*J1133+I1133)*'Inputs'!$D$47*(1+'Inputs'!$G$47)^(B1133/30)</x:f>
        <x:v>89122.31042178713</x:v>
      </x:c>
      <x:c r="L1133" s="80" t="n">
        <x:f>MAX(0,K1133*'Inputs'!$E$47)</x:f>
        <x:v>4456.115521089357</x:v>
      </x:c>
      <x:c r="M1133" s="80" t="n">
        <x:f>MAX(0,-K1133*'Inputs'!$E$47)</x:f>
        <x:v>0</x:v>
      </x:c>
      <x:c r="N1133" s="78" t="n">
        <x:f>H1133*(L1133*(1-'Inputs'!$B$15))/(I1133+L1133*(1-'Inputs'!$B$15))</x:f>
        <x:v>216903.06417767185</x:v>
      </x:c>
      <x:c r="O1133" s="78" t="n">
        <x:f>H1133-N1133</x:f>
        <x:v>1411115.2050675962</x:v>
      </x:c>
      <x:c r="P1133" s="78" t="n">
        <x:f>I1133+L1133*(1-'Inputs'!$B$17)</x:f>
        <x:v>33138.61454299647</x:v>
      </x:c>
      <x:c r="Q1133" s="78" t="n">
        <x:f>IF(J1133&gt;0,M1133/J1133,0)</x:f>
        <x:v>0</x:v>
      </x:c>
      <x:c r="R1133" s="78" t="n">
        <x:f>IF(B1133='Inputs'!$H$47,'Inputs'!$B$27*'Inputs'!$I$47,0)</x:f>
        <x:v>0</x:v>
      </x:c>
      <x:c r="S1133" s="78" t="n">
        <x:f>Q1133+G1133+R1133</x:f>
        <x:v>246651.23616063021</x:v>
      </x:c>
      <x:c r="T1133" s="78" t="n">
        <x:f>P1133*(S1133*(1-'Inputs'!$B$15))/(O1133+S1133*(1-'Inputs'!$B$15))</x:f>
        <x:v>4888.505882317317</x:v>
      </x:c>
      <x:c r="U1133" s="78" t="n">
        <x:f>O1133+S1133*(1-'Inputs'!$B$17)</x:f>
        <x:v>1656773.880921745</x:v>
      </x:c>
      <x:c r="V1133" s="78" t="n">
        <x:f>P1133-T1133</x:f>
        <x:v>28250.10866067915</x:v>
      </x:c>
      <x:c r="W1133" s="79" t="n">
        <x:f>IF(U1133&gt;0,V1133/U1133,0)</x:f>
        <x:v>0.017051275968306686</x:v>
      </x:c>
      <x:c r="X1133" s="80" t="n">
        <x:f>W1133*('Inputs'!$B$6-AC1133)</x:f>
        <x:v>17042462.744448174</x:v>
      </x:c>
      <x:c r="Y1133" s="80" t="n">
        <x:f>2*V1133</x:f>
        <x:v>56500.2173213583</x:v>
      </x:c>
      <x:c r="Z1133" s="80" t="n">
        <x:f>K1133*'Inputs'!$B$16+(G1133+R1133)*J1133*'Inputs'!$B$16</x:f>
        <x:v>560.8232385667739</x:v>
      </x:c>
      <x:c r="AA1133" s="80" t="n">
        <x:f>K1133*(1+'Inputs'!$E$47)/2*'Inputs'!$B$17</x:f>
        <x:v>188.28657131363482</x:v>
      </x:c>
      <x:c r="AB1133" s="78" t="n">
        <x:f>(IF(J1133&gt;0,K1133*(1-'Inputs'!$E$47)/2/J1133,0)+G1133+R1133)*'Inputs'!$B$17</x:f>
        <x:v>10655.839057547864</x:v>
      </x:c>
      <x:c r="AC1133" s="78" t="n">
        <x:f>AC1132+AB1133</x:f>
        <x:v>516865.94451305375</x:v>
      </x:c>
      <x:c r="AD1133" s="80" t="n">
        <x:f>Z1133/(1+'Inputs'!$C$47)</x:f>
        <x:v>224.32929542670954</x:v>
      </x:c>
      <x:c r="AE1133" s="80" t="n">
        <x:f>Z1133-AD1133</x:f>
        <x:v>336.4939431400643</x:v>
      </x:c>
      <x:c r="AF1133" s="80" t="n">
        <x:f>D1133*W1133</x:f>
        <x:v>5121.010287510061</x:v>
      </x:c>
      <x:c r="AG1133" s="80" t="n">
        <x:f>C1133*W1133</x:f>
        <x:v>11949.02400419011</x:v>
      </x:c>
      <x:c r="AH1133" s="80" t="n">
        <x:f>2*'Inputs'!$B$8*'Inputs'!$C$47</x:f>
        <x:v>7500</x:v>
      </x:c>
      <x:c r="AI1133" s="81" t="n">
        <x:f>IF(AH1133&gt;0,(AE1133+AF1133)/AH1133*365,0)</x:f>
        <x:v>265.59853922497274</x:v>
      </x:c>
      <x:c r="AJ1133" s="81" t="n">
        <x:f>IF('Inputs'!$B$47&gt;0,AG1133/('Inputs'!$B$19*'Inputs'!$B$47)*365,0)</x:f>
        <x:v>436.139376152939</x:v>
      </x:c>
      <x:c r="AK1133" s="81" t="n">
        <x:f>W1133/MAX($W$1099:W1133)-1</x:f>
        <x:v>-0.2305236567898299</x:v>
      </x:c>
      <x:c r="AL1133" s="83" t="n">
        <x:f>'Inputs'!$B$47</x:f>
        <x:v>1</x:v>
      </x:c>
      <x:c r="AM1133" s="83" t="n">
        <x:f>'Inputs'!$C$47</x:f>
        <x:v>1.5</x:v>
      </x:c>
      <x:c r="AN1133" s="83" t="n">
        <x:f>'Inputs'!$D$47</x:f>
        <x:v>1.5</x:v>
      </x:c>
      <x:c r="AO1133" s="81" t="n">
        <x:f>'Inputs'!$E$47</x:f>
        <x:v>0.05</x:v>
      </x:c>
    </x:row>
    <x:row r="1134">
      <x:c r="A1134" s="59" t="str">
        <x:v>Growth</x:v>
      </x:c>
      <x:c r="B1134" s="59" t="n">
        <x:v>36</x:v>
      </x:c>
      <x:c r="C1134" s="78" t="n">
        <x:f>(('Inputs'!$B$29*(3*36*'Inputs'!$B$12-36^2)/(2*'Inputs'!$B$12^2))-('Inputs'!$B$29*(3*35*'Inputs'!$B$12-35^2)/(2*'Inputs'!$B$12^2)))*'Inputs'!$B$47</x:f>
        <x:v>700444.9709138684</x:v>
      </x:c>
      <x:c r="D1134" s="78" t="n">
        <x:f>IF('Inputs'!$C$47&gt;0,('Inputs'!$B$30*(3*36*'Inputs'!$B$12-36^2)/(2*'Inputs'!$B$12^2))-('Inputs'!$B$30*(3*35*'Inputs'!$B$12-35^2)/(2*'Inputs'!$B$12^2)),0)</x:f>
        <x:v>300190.7018202301</x:v>
      </x:c>
      <x:c r="E1134" s="78" t="n">
        <x:f>C1134+D1134</x:f>
        <x:v>1000635.6727340985</x:v>
      </x:c>
      <x:c r="F1134" s="78" t="n">
        <x:f>'Inputs'!$B$13*E1134+(1-'Inputs'!$B$13)/'Inputs'!$B$14*SUM(E1099:E1134)</x:f>
        <x:v>718919.7249550978</x:v>
      </x:c>
      <x:c r="G1134" s="78" t="n">
        <x:f>F1134*'Inputs'!$F$47</x:f>
        <x:v>251621.9037342842</x:v>
      </x:c>
      <x:c r="H1134" s="78" t="n">
        <x:f>U1133</x:f>
        <x:v>1656773.880921745</x:v>
      </x:c>
      <x:c r="I1134" s="78" t="n">
        <x:f>V1133</x:f>
        <x:v>28250.10866067915</x:v>
      </x:c>
      <x:c r="J1134" s="79" t="n">
        <x:f>IF(H1134&gt;0,I1134/H1134,0)</x:f>
        <x:v>0.017051275968306686</x:v>
      </x:c>
      <x:c r="K1134" s="80" t="n">
        <x:f>(H1134*J1134+I1134)*'Inputs'!$D$47*(1+'Inputs'!$G$47)^(B1134/30)</x:f>
        <x:v>87810.41850054493</x:v>
      </x:c>
      <x:c r="L1134" s="80" t="n">
        <x:f>MAX(0,K1134*'Inputs'!$E$47)</x:f>
        <x:v>4390.520925027246</x:v>
      </x:c>
      <x:c r="M1134" s="80" t="n">
        <x:f>MAX(0,-K1134*'Inputs'!$E$47)</x:f>
        <x:v>0</x:v>
      </x:c>
      <x:c r="N1134" s="78" t="n">
        <x:f>H1134*(L1134*(1-'Inputs'!$B$15))/(I1134+L1134*(1-'Inputs'!$B$15))</x:f>
        <x:v>220922.79288972498</x:v>
      </x:c>
      <x:c r="O1134" s="78" t="n">
        <x:f>H1134-N1134</x:f>
        <x:v>1435851.08803202</x:v>
      </x:c>
      <x:c r="P1134" s="78" t="n">
        <x:f>I1134+L1134*(1-'Inputs'!$B$17)</x:f>
        <x:v>32622.961493452767</x:v>
      </x:c>
      <x:c r="Q1134" s="78" t="n">
        <x:f>IF(J1134&gt;0,M1134/J1134,0)</x:f>
        <x:v>0</x:v>
      </x:c>
      <x:c r="R1134" s="78" t="n">
        <x:f>IF(B1134='Inputs'!$H$47,'Inputs'!$B$27*'Inputs'!$I$47,0)</x:f>
        <x:v>0</x:v>
      </x:c>
      <x:c r="S1134" s="78" t="n">
        <x:f>Q1134+G1134+R1134</x:f>
        <x:v>251621.9037342842</x:v>
      </x:c>
      <x:c r="T1134" s="78" t="n">
        <x:f>P1134*(S1134*(1-'Inputs'!$B$15))/(O1134+S1134*(1-'Inputs'!$B$15))</x:f>
        <x:v>4823.011065445135</x:v>
      </x:c>
      <x:c r="U1134" s="78" t="n">
        <x:f>O1134+S1134*(1-'Inputs'!$B$17)</x:f>
        <x:v>1686460.4287734097</x:v>
      </x:c>
      <x:c r="V1134" s="78" t="n">
        <x:f>P1134-T1134</x:f>
        <x:v>27799.950428007633</x:v>
      </x:c>
      <x:c r="W1134" s="79" t="n">
        <x:f>IF(U1134&gt;0,V1134/U1134,0)</x:f>
        <x:v>0.01648419966084054</x:v>
      </x:c>
      <x:c r="X1134" s="80" t="n">
        <x:f>W1134*('Inputs'!$B$6-AC1134)</x:f>
        <x:v>16475500.583349822</x:v>
      </x:c>
      <x:c r="Y1134" s="80" t="n">
        <x:f>2*V1134</x:f>
        <x:v>55599.900856015265</x:v>
      </x:c>
      <x:c r="Z1134" s="80" t="n">
        <x:f>K1134*'Inputs'!$B$16+(G1134+R1134)*J1134*'Inputs'!$B$16</x:f>
        <x:v>552.6053581247335</x:v>
      </x:c>
      <x:c r="AA1134" s="80" t="n">
        <x:f>K1134*(1+'Inputs'!$E$47)/2*'Inputs'!$B$17</x:f>
        <x:v>185.51496866312308</x:v>
      </x:c>
      <x:c r="AB1134" s="78" t="n">
        <x:f>(IF(J1134&gt;0,K1134*(1-'Inputs'!$E$47)/2/J1134,0)+G1134+R1134)*'Inputs'!$B$17</x:f>
        <x:v>10856.217903029696</x:v>
      </x:c>
      <x:c r="AC1134" s="78" t="n">
        <x:f>AC1133+AB1134</x:f>
        <x:v>527722.1624160834</x:v>
      </x:c>
      <x:c r="AD1134" s="80" t="n">
        <x:f>Z1134/(1+'Inputs'!$C$47)</x:f>
        <x:v>221.0421432498934</x:v>
      </x:c>
      <x:c r="AE1134" s="80" t="n">
        <x:f>Z1134-AD1134</x:f>
        <x:v>331.56321487484007</x:v>
      </x:c>
      <x:c r="AF1134" s="80" t="n">
        <x:f>D1134*W1134</x:f>
        <x:v>4948.403465132521</x:v>
      </x:c>
      <x:c r="AG1134" s="80" t="n">
        <x:f>C1134*W1134</x:f>
        <x:v>11546.27475197585</x:v>
      </x:c>
      <x:c r="AH1134" s="80" t="n">
        <x:f>2*'Inputs'!$B$8*'Inputs'!$C$47</x:f>
        <x:v>7500</x:v>
      </x:c>
      <x:c r="AI1134" s="81" t="n">
        <x:f>IF(AH1134&gt;0,(AE1134+AF1134)/AH1134*365,0)</x:f>
        <x:v>256.9583784270249</x:v>
      </x:c>
      <x:c r="AJ1134" s="81" t="n">
        <x:f>IF('Inputs'!$B$47&gt;0,AG1134/('Inputs'!$B$19*'Inputs'!$B$47)*365,0)</x:f>
        <x:v>421.4390284471186</x:v>
      </x:c>
      <x:c r="AK1134" s="81" t="n">
        <x:f>W1134/MAX($W$1099:W1134)-1</x:f>
        <x:v>-0.25611422280971163</x:v>
      </x:c>
      <x:c r="AL1134" s="83" t="n">
        <x:f>'Inputs'!$B$47</x:f>
        <x:v>1</x:v>
      </x:c>
      <x:c r="AM1134" s="83" t="n">
        <x:f>'Inputs'!$C$47</x:f>
        <x:v>1.5</x:v>
      </x:c>
      <x:c r="AN1134" s="83" t="n">
        <x:f>'Inputs'!$D$47</x:f>
        <x:v>1.5</x:v>
      </x:c>
      <x:c r="AO1134" s="81" t="n">
        <x:f>'Inputs'!$E$47</x:f>
        <x:v>0.05</x:v>
      </x:c>
    </x:row>
    <x:row r="1135">
      <x:c r="A1135" s="59" t="str">
        <x:v>Growth</x:v>
      </x:c>
      <x:c r="B1135" s="59" t="n">
        <x:v>37</x:v>
      </x:c>
      <x:c r="C1135" s="78" t="n">
        <x:f>(('Inputs'!$B$29*(3*37*'Inputs'!$B$12-37^2)/(2*'Inputs'!$B$12^2))-('Inputs'!$B$29*(3*36*'Inputs'!$B$12-36^2)/(2*'Inputs'!$B$12^2)))*'Inputs'!$B$47</x:f>
        <x:v>700119.8630136997</x:v>
      </x:c>
      <x:c r="D1135" s="78" t="n">
        <x:f>IF('Inputs'!$C$47&gt;0,('Inputs'!$B$30*(3*37*'Inputs'!$B$12-37^2)/(2*'Inputs'!$B$12^2))-('Inputs'!$B$30*(3*36*'Inputs'!$B$12-36^2)/(2*'Inputs'!$B$12^2)),0)</x:f>
        <x:v>300051.3698630128</x:v>
      </x:c>
      <x:c r="E1135" s="78" t="n">
        <x:f>C1135+D1135</x:f>
        <x:v>1000171.2328767125</x:v>
      </x:c>
      <x:c r="F1135" s="78" t="n">
        <x:f>'Inputs'!$B$13*E1135+(1-'Inputs'!$B$13)/'Inputs'!$B$14*SUM(E1099:E1135)</x:f>
        <x:v>733114.9974532878</x:v>
      </x:c>
      <x:c r="G1135" s="78" t="n">
        <x:f>F1135*'Inputs'!$F$47</x:f>
        <x:v>256590.24910865072</x:v>
      </x:c>
      <x:c r="H1135" s="78" t="n">
        <x:f>U1134</x:f>
        <x:v>1686460.4287734097</x:v>
      </x:c>
      <x:c r="I1135" s="78" t="n">
        <x:f>V1134</x:f>
        <x:v>27799.950428007633</x:v>
      </x:c>
      <x:c r="J1135" s="79" t="n">
        <x:f>IF(H1135&gt;0,I1135/H1135,0)</x:f>
        <x:v>0.01648419966084054</x:v>
      </x:c>
      <x:c r="K1135" s="80" t="n">
        <x:f>(H1135*J1135+I1135)*'Inputs'!$D$47*(1+'Inputs'!$G$47)^(B1135/30)</x:f>
        <x:v>86496.364339373</x:v>
      </x:c>
      <x:c r="L1135" s="80" t="n">
        <x:f>MAX(0,K1135*'Inputs'!$E$47)</x:f>
        <x:v>4324.818216968651</x:v>
      </x:c>
      <x:c r="M1135" s="80" t="n">
        <x:f>MAX(0,-K1135*'Inputs'!$E$47)</x:f>
        <x:v>0</x:v>
      </x:c>
      <x:c r="N1135" s="78" t="n">
        <x:f>H1135*(L1135*(1-'Inputs'!$B$15))/(I1135+L1135*(1-'Inputs'!$B$15))</x:f>
        <x:v>225073.44828253044</x:v>
      </x:c>
      <x:c r="O1135" s="78" t="n">
        <x:f>H1135-N1135</x:f>
        <x:v>1461386.9804908792</x:v>
      </x:c>
      <x:c r="P1135" s="78" t="n">
        <x:f>I1135+L1135*(1-'Inputs'!$B$17)</x:f>
        <x:v>32107.36494993818</x:v>
      </x:c>
      <x:c r="Q1135" s="78" t="n">
        <x:f>IF(J1135&gt;0,M1135/J1135,0)</x:f>
        <x:v>0</x:v>
      </x:c>
      <x:c r="R1135" s="78" t="n">
        <x:f>IF(B1135='Inputs'!$H$47,'Inputs'!$B$27*'Inputs'!$I$47,0)</x:f>
        <x:v>0</x:v>
      </x:c>
      <x:c r="S1135" s="78" t="n">
        <x:f>Q1135+G1135+R1135</x:f>
        <x:v>256590.24910865072</x:v>
      </x:c>
      <x:c r="T1135" s="78" t="n">
        <x:f>P1135*(S1135*(1-'Inputs'!$B$15))/(O1135+S1135*(1-'Inputs'!$B$15))</x:f>
        <x:v>4754.575345359211</x:v>
      </x:c>
      <x:c r="U1135" s="78" t="n">
        <x:f>O1135+S1135*(1-'Inputs'!$B$17)</x:f>
        <x:v>1716944.6732650886</x:v>
      </x:c>
      <x:c r="V1135" s="78" t="n">
        <x:f>P1135-T1135</x:f>
        <x:v>27352.789604578968</x:v>
      </x:c>
      <x:c r="W1135" s="79" t="n">
        <x:f>IF(U1135&gt;0,V1135/U1135,0)</x:f>
        <x:v>0.01593108387852858</x:v>
      </x:c>
      <x:c r="X1135" s="80" t="n">
        <x:f>W1135*('Inputs'!$B$6-AC1135)</x:f>
        <x:v>15922500.455353793</x:v>
      </x:c>
      <x:c r="Y1135" s="80" t="n">
        <x:f>2*V1135</x:f>
        <x:v>54705.579209157935</x:v>
      </x:c>
      <x:c r="Z1135" s="80" t="n">
        <x:f>K1135*'Inputs'!$B$16+(G1135+R1135)*J1135*'Inputs'!$B$16</x:f>
        <x:v>544.3562954202289</x:v>
      </x:c>
      <x:c r="AA1135" s="80" t="n">
        <x:f>K1135*(1+'Inputs'!$E$47)/2*'Inputs'!$B$17</x:f>
        <x:v>182.73879790008382</x:v>
      </x:c>
      <x:c r="AB1135" s="78" t="n">
        <x:f>(IF(J1135&gt;0,K1135*(1-'Inputs'!$E$47)/2/J1135,0)+G1135+R1135)*'Inputs'!$B$17</x:f>
        <x:v>11062.470207345046</x:v>
      </x:c>
      <x:c r="AC1135" s="78" t="n">
        <x:f>AC1134+AB1135</x:f>
        <x:v>538784.6326234285</x:v>
      </x:c>
      <x:c r="AD1135" s="80" t="n">
        <x:f>Z1135/(1+'Inputs'!$C$47)</x:f>
        <x:v>217.74251816809155</x:v>
      </x:c>
      <x:c r="AE1135" s="80" t="n">
        <x:f>Z1135-AD1135</x:f>
        <x:v>326.6137772521373</x:v>
      </x:c>
      <x:c r="AF1135" s="80" t="n">
        <x:f>D1135*W1135</x:f>
        <x:v>4780.143541155059</x:v>
      </x:c>
      <x:c r="AG1135" s="80" t="n">
        <x:f>C1135*W1135</x:f>
        <x:v>11153.668262695188</x:v>
      </x:c>
      <x:c r="AH1135" s="80" t="n">
        <x:f>2*'Inputs'!$B$8*'Inputs'!$C$47</x:f>
        <x:v>7500</x:v>
      </x:c>
      <x:c r="AI1135" s="81" t="n">
        <x:f>IF(AH1135&gt;0,(AE1135+AF1135)/AH1135*365,0)</x:f>
        <x:v>248.52885616248358</x:v>
      </x:c>
      <x:c r="AJ1135" s="81" t="n">
        <x:f>IF('Inputs'!$B$47&gt;0,AG1135/('Inputs'!$B$19*'Inputs'!$B$47)*365,0)</x:f>
        <x:v>407.1088915883744</x:v>
      </x:c>
      <x:c r="AK1135" s="81" t="n">
        <x:f>W1135/MAX($W$1099:W1135)-1</x:f>
        <x:v>-0.2810747894169453</x:v>
      </x:c>
      <x:c r="AL1135" s="83" t="n">
        <x:f>'Inputs'!$B$47</x:f>
        <x:v>1</x:v>
      </x:c>
      <x:c r="AM1135" s="83" t="n">
        <x:f>'Inputs'!$C$47</x:f>
        <x:v>1.5</x:v>
      </x:c>
      <x:c r="AN1135" s="83" t="n">
        <x:f>'Inputs'!$D$47</x:f>
        <x:v>1.5</x:v>
      </x:c>
      <x:c r="AO1135" s="81" t="n">
        <x:f>'Inputs'!$E$47</x:f>
        <x:v>0.05</x:v>
      </x:c>
    </x:row>
    <x:row r="1136">
      <x:c r="A1136" s="59" t="str">
        <x:v>Growth</x:v>
      </x:c>
      <x:c r="B1136" s="59" t="n">
        <x:v>38</x:v>
      </x:c>
      <x:c r="C1136" s="78" t="n">
        <x:f>(('Inputs'!$B$29*(3*38*'Inputs'!$B$12-38^2)/(2*'Inputs'!$B$12^2))-('Inputs'!$B$29*(3*37*'Inputs'!$B$12-37^2)/(2*'Inputs'!$B$12^2)))*'Inputs'!$B$47</x:f>
        <x:v>699794.7551135309</x:v>
      </x:c>
      <x:c r="D1136" s="78" t="n">
        <x:f>IF('Inputs'!$C$47&gt;0,('Inputs'!$B$30*(3*38*'Inputs'!$B$12-38^2)/(2*'Inputs'!$B$12^2))-('Inputs'!$B$30*(3*37*'Inputs'!$B$12-37^2)/(2*'Inputs'!$B$12^2)),0)</x:f>
        <x:v>299912.0379057992</x:v>
      </x:c>
      <x:c r="E1136" s="78" t="n">
        <x:f>C1136+D1136</x:f>
        <x:v>999706.7930193301</x:v>
      </x:c>
      <x:c r="F1136" s="78" t="n">
        <x:f>'Inputs'!$B$13*E1136+(1-'Inputs'!$B$13)/'Inputs'!$B$14*SUM(E1099:E1136)</x:f>
        <x:v>747303.6350963733</x:v>
      </x:c>
      <x:c r="G1136" s="78" t="n">
        <x:f>F1136*'Inputs'!$F$47</x:f>
        <x:v>261556.27228373062</x:v>
      </x:c>
      <x:c r="H1136" s="78" t="n">
        <x:f>U1135</x:f>
        <x:v>1716944.6732650886</x:v>
      </x:c>
      <x:c r="I1136" s="78" t="n">
        <x:f>V1135</x:f>
        <x:v>27352.789604578968</x:v>
      </x:c>
      <x:c r="J1136" s="79" t="n">
        <x:f>IF(H1136&gt;0,I1136/H1136,0)</x:f>
        <x:v>0.01593108387852858</x:v>
      </x:c>
      <x:c r="K1136" s="80" t="n">
        <x:f>(H1136*J1136+I1136)*'Inputs'!$D$47*(1+'Inputs'!$G$47)^(B1136/30)</x:f>
        <x:v>85188.96940292651</x:v>
      </x:c>
      <x:c r="L1136" s="80" t="n">
        <x:f>MAX(0,K1136*'Inputs'!$E$47)</x:f>
        <x:v>4259.448470146325</x:v>
      </x:c>
      <x:c r="M1136" s="80" t="n">
        <x:f>MAX(0,-K1136*'Inputs'!$E$47)</x:f>
        <x:v>0</x:v>
      </x:c>
      <x:c r="N1136" s="78" t="n">
        <x:f>H1136*(L1136*(1-'Inputs'!$B$15))/(I1136+L1136*(1-'Inputs'!$B$15))</x:f>
        <x:v>229337.55864555042</x:v>
      </x:c>
      <x:c r="O1136" s="78" t="n">
        <x:f>H1136-N1136</x:f>
        <x:v>1487607.1146195382</x:v>
      </x:c>
      <x:c r="P1136" s="78" t="n">
        <x:f>I1136+L1136*(1-'Inputs'!$B$17)</x:f>
        <x:v>31595.097437018467</x:v>
      </x:c>
      <x:c r="Q1136" s="78" t="n">
        <x:f>IF(J1136&gt;0,M1136/J1136,0)</x:f>
        <x:v>0</x:v>
      </x:c>
      <x:c r="R1136" s="78" t="n">
        <x:f>IF(B1136='Inputs'!$H$47,'Inputs'!$B$27*'Inputs'!$I$47,0)</x:f>
        <x:v>0</x:v>
      </x:c>
      <x:c r="S1136" s="78" t="n">
        <x:f>Q1136+G1136+R1136</x:f>
        <x:v>261556.27228373062</x:v>
      </x:c>
      <x:c r="T1136" s="78" t="n">
        <x:f>P1136*(S1136*(1-'Inputs'!$B$15))/(O1136+S1136*(1-'Inputs'!$B$15))</x:f>
        <x:v>4684.244448231003</x:v>
      </x:c>
      <x:c r="U1136" s="78" t="n">
        <x:f>O1136+S1136*(1-'Inputs'!$B$17)</x:f>
        <x:v>1748110.8465721472</x:v>
      </x:c>
      <x:c r="V1136" s="78" t="n">
        <x:f>P1136-T1136</x:f>
        <x:v>26910.852988787465</x:v>
      </x:c>
      <x:c r="W1136" s="79" t="n">
        <x:f>IF(U1136&gt;0,V1136/U1136,0)</x:f>
        <x:v>0.015394248620764914</x:v>
      </x:c>
      <x:c r="X1136" s="80" t="n">
        <x:f>W1136*('Inputs'!$B$6-AC1136)</x:f>
        <x:v>15385780.884194626</x:v>
      </x:c>
      <x:c r="Y1136" s="80" t="n">
        <x:f>2*V1136</x:f>
        <x:v>53821.70597757493</x:v>
      </x:c>
      <x:c r="Z1136" s="80" t="n">
        <x:f>K1136*'Inputs'!$B$16+(G1136+R1136)*J1136*'Inputs'!$B$16</x:f>
        <x:v>536.1350658938032</x:v>
      </x:c>
      <x:c r="AA1136" s="80" t="n">
        <x:f>K1136*(1+'Inputs'!$E$47)/2*'Inputs'!$B$17</x:f>
        <x:v>179.97669592167574</x:v>
      </x:c>
      <x:c r="AB1136" s="78" t="n">
        <x:f>(IF(J1136&gt;0,K1136*(1-'Inputs'!$E$47)/2/J1136,0)+G1136+R1136)*'Inputs'!$B$17</x:f>
        <x:v>11273.819652506363</x:v>
      </x:c>
      <x:c r="AC1136" s="78" t="n">
        <x:f>AC1135+AB1136</x:f>
        <x:v>550058.4522759349</x:v>
      </x:c>
      <x:c r="AD1136" s="80" t="n">
        <x:f>Z1136/(1+'Inputs'!$C$47)</x:f>
        <x:v>214.4540263575213</x:v>
      </x:c>
      <x:c r="AE1136" s="80" t="n">
        <x:f>Z1136-AD1136</x:f>
        <x:v>321.68103953628196</x:v>
      </x:c>
      <x:c r="AF1136" s="80" t="n">
        <x:f>D1136*W1136</x:f>
        <x:v>4616.920475882144</x:v>
      </x:c>
      <x:c r="AG1136" s="80" t="n">
        <x:f>C1136*W1136</x:f>
        <x:v>10772.814443724994</x:v>
      </x:c>
      <x:c r="AH1136" s="80" t="n">
        <x:f>2*'Inputs'!$B$8*'Inputs'!$C$47</x:f>
        <x:v>7500</x:v>
      </x:c>
      <x:c r="AI1136" s="81" t="n">
        <x:f>IF(AH1136&gt;0,(AE1136+AF1136)/AH1136*365,0)</x:f>
        <x:v>240.34527375036342</x:v>
      </x:c>
      <x:c r="AJ1136" s="81" t="n">
        <x:f>IF('Inputs'!$B$47&gt;0,AG1136/('Inputs'!$B$19*'Inputs'!$B$47)*365,0)</x:f>
        <x:v>393.20772719596226</x:v>
      </x:c>
      <x:c r="AK1136" s="81" t="n">
        <x:f>W1136/MAX($W$1099:W1136)-1</x:f>
        <x:v>-0.30530066153455526</x:v>
      </x:c>
      <x:c r="AL1136" s="83" t="n">
        <x:f>'Inputs'!$B$47</x:f>
        <x:v>1</x:v>
      </x:c>
      <x:c r="AM1136" s="83" t="n">
        <x:f>'Inputs'!$C$47</x:f>
        <x:v>1.5</x:v>
      </x:c>
      <x:c r="AN1136" s="83" t="n">
        <x:f>'Inputs'!$D$47</x:f>
        <x:v>1.5</x:v>
      </x:c>
      <x:c r="AO1136" s="81" t="n">
        <x:f>'Inputs'!$E$47</x:f>
        <x:v>0.05</x:v>
      </x:c>
    </x:row>
    <x:row r="1137">
      <x:c r="A1137" s="59" t="str">
        <x:v>Growth</x:v>
      </x:c>
      <x:c r="B1137" s="59" t="n">
        <x:v>39</x:v>
      </x:c>
      <x:c r="C1137" s="78" t="n">
        <x:f>(('Inputs'!$B$29*(3*39*'Inputs'!$B$12-39^2)/(2*'Inputs'!$B$12^2))-('Inputs'!$B$29*(3*38*'Inputs'!$B$12-38^2)/(2*'Inputs'!$B$12^2)))*'Inputs'!$B$47</x:f>
        <x:v>699469.6472133584</x:v>
      </x:c>
      <x:c r="D1137" s="78" t="n">
        <x:f>IF('Inputs'!$C$47&gt;0,('Inputs'!$B$30*(3*39*'Inputs'!$B$12-39^2)/(2*'Inputs'!$B$12^2))-('Inputs'!$B$30*(3*38*'Inputs'!$B$12-38^2)/(2*'Inputs'!$B$12^2)),0)</x:f>
        <x:v>299772.7059485819</x:v>
      </x:c>
      <x:c r="E1137" s="78" t="n">
        <x:f>C1137+D1137</x:f>
        <x:v>999242.3531619404</x:v>
      </x:c>
      <x:c r="F1137" s="78" t="n">
        <x:f>'Inputs'!$B$13*E1137+(1-'Inputs'!$B$13)/'Inputs'!$B$14*SUM(E1099:E1137)</x:f>
        <x:v>761485.6378843514</x:v>
      </x:c>
      <x:c r="G1137" s="78" t="n">
        <x:f>F1137*'Inputs'!$F$47</x:f>
        <x:v>266519.973259523</x:v>
      </x:c>
      <x:c r="H1137" s="78" t="n">
        <x:f>U1136</x:f>
        <x:v>1748110.8465721472</x:v>
      </x:c>
      <x:c r="I1137" s="78" t="n">
        <x:f>V1136</x:f>
        <x:v>26910.852988787465</x:v>
      </x:c>
      <x:c r="J1137" s="79" t="n">
        <x:f>IF(H1137&gt;0,I1137/H1137,0)</x:f>
        <x:v>0.015394248620764914</x:v>
      </x:c>
      <x:c r="K1137" s="80" t="n">
        <x:f>(H1137*J1137+I1137)*'Inputs'!$D$47*(1+'Inputs'!$G$47)^(B1137/30)</x:f>
        <x:v>83895.19939463069</x:v>
      </x:c>
      <x:c r="L1137" s="80" t="n">
        <x:f>MAX(0,K1137*'Inputs'!$E$47)</x:f>
        <x:v>4194.7599697315345</x:v>
      </x:c>
      <x:c r="M1137" s="80" t="n">
        <x:f>MAX(0,-K1137*'Inputs'!$E$47)</x:f>
        <x:v>0</x:v>
      </x:c>
      <x:c r="N1137" s="78" t="n">
        <x:f>H1137*(L1137*(1-'Inputs'!$B$15))/(I1137+L1137*(1-'Inputs'!$B$15))</x:f>
        <x:v>233699.92768011123</x:v>
      </x:c>
      <x:c r="O1137" s="78" t="n">
        <x:f>H1137-N1137</x:f>
        <x:v>1514410.918892036</x:v>
      </x:c>
      <x:c r="P1137" s="78" t="n">
        <x:f>I1137+L1137*(1-'Inputs'!$B$17)</x:f>
        <x:v>31088.732636709214</x:v>
      </x:c>
      <x:c r="Q1137" s="78" t="n">
        <x:f>IF(J1137&gt;0,M1137/J1137,0)</x:f>
        <x:v>0</x:v>
      </x:c>
      <x:c r="R1137" s="78" t="n">
        <x:f>IF(B1137='Inputs'!$H$47,'Inputs'!$B$27*'Inputs'!$I$47,0)</x:f>
        <x:v>0</x:v>
      </x:c>
      <x:c r="S1137" s="78" t="n">
        <x:f>Q1137+G1137+R1137</x:f>
        <x:v>266519.973259523</x:v>
      </x:c>
      <x:c r="T1137" s="78" t="n">
        <x:f>P1137*(S1137*(1-'Inputs'!$B$15))/(O1137+S1137*(1-'Inputs'!$B$15))</x:f>
        <x:v>4612.871149721023</x:v>
      </x:c>
      <x:c r="U1137" s="78" t="n">
        <x:f>O1137+S1137*(1-'Inputs'!$B$17)</x:f>
        <x:v>1779858.3771686233</x:v>
      </x:c>
      <x:c r="V1137" s="78" t="n">
        <x:f>P1137-T1137</x:f>
        <x:v>26475.86148698819</x:v>
      </x:c>
      <x:c r="W1137" s="79" t="n">
        <x:f>IF(U1137&gt;0,V1137/U1137,0)</x:f>
        <x:v>0.01487526301340091</x:v>
      </x:c>
      <x:c r="X1137" s="80" t="n">
        <x:f>W1137*('Inputs'!$B$6-AC1137)</x:f>
        <x:v>14866909.838563405</x:v>
      </x:c>
      <x:c r="Y1137" s="80" t="n">
        <x:f>2*V1137</x:f>
        <x:v>52951.72297397638</x:v>
      </x:c>
      <x:c r="Z1137" s="80" t="n">
        <x:f>K1137*'Inputs'!$B$16+(G1137+R1137)*J1137*'Inputs'!$B$16</x:f>
        <x:v>527.9884447523244</x:v>
      </x:c>
      <x:c r="AA1137" s="80" t="n">
        <x:f>K1137*(1+'Inputs'!$E$47)/2*'Inputs'!$B$17</x:f>
        <x:v>177.24337900274094</x:v>
      </x:c>
      <x:c r="AB1137" s="78" t="n">
        <x:f>(IF(J1137&gt;0,K1137*(1-'Inputs'!$E$47)/2/J1137,0)+G1137+R1137)*'Inputs'!$B$17</x:f>
        <x:v>11489.590940553173</x:v>
      </x:c>
      <x:c r="AC1137" s="78" t="n">
        <x:f>AC1136+AB1137</x:f>
        <x:v>561548.0432164881</x:v>
      </x:c>
      <x:c r="AD1137" s="80" t="n">
        <x:f>Z1137/(1+'Inputs'!$C$47)</x:f>
        <x:v>211.19537790092977</x:v>
      </x:c>
      <x:c r="AE1137" s="80" t="n">
        <x:f>Z1137-AD1137</x:f>
        <x:v>316.79306685139466</x:v>
      </x:c>
      <x:c r="AF1137" s="80" t="n">
        <x:f>D1137*W1137</x:f>
        <x:v>4459.197845224047</x:v>
      </x:c>
      <x:c r="AG1137" s="80" t="n">
        <x:f>C1137*W1137</x:f>
        <x:v>10404.794972189453</x:v>
      </x:c>
      <x:c r="AH1137" s="80" t="n">
        <x:f>2*'Inputs'!$B$8*'Inputs'!$C$47</x:f>
        <x:v>7500</x:v>
      </x:c>
      <x:c r="AI1137" s="81" t="n">
        <x:f>IF(AH1137&gt;0,(AE1137+AF1137)/AH1137*365,0)</x:f>
        <x:v>232.43155772100482</x:v>
      </x:c>
      <x:c r="AJ1137" s="81" t="n">
        <x:f>IF('Inputs'!$B$47&gt;0,AG1137/('Inputs'!$B$19*'Inputs'!$B$47)*365,0)</x:f>
        <x:v>379.775016484915</x:v>
      </x:c>
      <x:c r="AK1137" s="81" t="n">
        <x:f>W1137/MAX($W$1099:W1137)-1</x:f>
        <x:v>-0.32872102890620714</x:v>
      </x:c>
      <x:c r="AL1137" s="83" t="n">
        <x:f>'Inputs'!$B$47</x:f>
        <x:v>1</x:v>
      </x:c>
      <x:c r="AM1137" s="83" t="n">
        <x:f>'Inputs'!$C$47</x:f>
        <x:v>1.5</x:v>
      </x:c>
      <x:c r="AN1137" s="83" t="n">
        <x:f>'Inputs'!$D$47</x:f>
        <x:v>1.5</x:v>
      </x:c>
      <x:c r="AO1137" s="81" t="n">
        <x:f>'Inputs'!$E$47</x:f>
        <x:v>0.05</x:v>
      </x:c>
    </x:row>
    <x:row r="1138">
      <x:c r="A1138" s="59" t="str">
        <x:v>Growth</x:v>
      </x:c>
      <x:c r="B1138" s="59" t="n">
        <x:v>40</x:v>
      </x:c>
      <x:c r="C1138" s="78" t="n">
        <x:f>(('Inputs'!$B$29*(3*40*'Inputs'!$B$12-40^2)/(2*'Inputs'!$B$12^2))-('Inputs'!$B$29*(3*39*'Inputs'!$B$12-39^2)/(2*'Inputs'!$B$12^2)))*'Inputs'!$B$47</x:f>
        <x:v>699144.5393131934</x:v>
      </x:c>
      <x:c r="D1138" s="78" t="n">
        <x:f>IF('Inputs'!$C$47&gt;0,('Inputs'!$B$30*(3*40*'Inputs'!$B$12-40^2)/(2*'Inputs'!$B$12^2))-('Inputs'!$B$30*(3*39*'Inputs'!$B$12-39^2)/(2*'Inputs'!$B$12^2)),0)</x:f>
        <x:v>299633.37399136834</x:v>
      </x:c>
      <x:c r="E1138" s="78" t="n">
        <x:f>C1138+D1138</x:f>
        <x:v>998777.9133045617</x:v>
      </x:c>
      <x:c r="F1138" s="78" t="n">
        <x:f>'Inputs'!$B$13*E1138+(1-'Inputs'!$B$13)/'Inputs'!$B$14*SUM(E1099:E1138)</x:f>
        <x:v>775661.0058172266</x:v>
      </x:c>
      <x:c r="G1138" s="78" t="n">
        <x:f>F1138*'Inputs'!$F$47</x:f>
        <x:v>271481.3520360293</x:v>
      </x:c>
      <x:c r="H1138" s="78" t="n">
        <x:f>U1137</x:f>
        <x:v>1779858.3771686233</x:v>
      </x:c>
      <x:c r="I1138" s="78" t="n">
        <x:f>V1137</x:f>
        <x:v>26475.86148698819</x:v>
      </x:c>
      <x:c r="J1138" s="79" t="n">
        <x:f>IF(H1138&gt;0,I1138/H1138,0)</x:f>
        <x:v>0.01487526301340091</x:v>
      </x:c>
      <x:c r="K1138" s="80" t="n">
        <x:f>(H1138*J1138+I1138)*'Inputs'!$D$47*(1+'Inputs'!$G$47)^(B1138/30)</x:f>
        <x:v>82620.46875584249</x:v>
      </x:c>
      <x:c r="L1138" s="80" t="n">
        <x:f>MAX(0,K1138*'Inputs'!$E$47)</x:f>
        <x:v>4131.023437792125</x:v>
      </x:c>
      <x:c r="M1138" s="80" t="n">
        <x:f>MAX(0,-K1138*'Inputs'!$E$47)</x:f>
        <x:v>0</x:v>
      </x:c>
      <x:c r="N1138" s="78" t="n">
        <x:f>H1138*(L1138*(1-'Inputs'!$B$15))/(I1138+L1138*(1-'Inputs'!$B$15))</x:f>
        <x:v>238147.33990915408</x:v>
      </x:c>
      <x:c r="O1138" s="78" t="n">
        <x:f>H1138-N1138</x:f>
        <x:v>1541711.0372594693</x:v>
      </x:c>
      <x:c r="P1138" s="78" t="n">
        <x:f>I1138+L1138*(1-'Inputs'!$B$17)</x:f>
        <x:v>30590.261088008516</x:v>
      </x:c>
      <x:c r="Q1138" s="78" t="n">
        <x:f>IF(J1138&gt;0,M1138/J1138,0)</x:f>
        <x:v>0</x:v>
      </x:c>
      <x:c r="R1138" s="78" t="n">
        <x:f>IF(B1138='Inputs'!$H$47,'Inputs'!$B$27*'Inputs'!$I$47,0)</x:f>
        <x:v>0</x:v>
      </x:c>
      <x:c r="S1138" s="78" t="n">
        <x:f>Q1138+G1138+R1138</x:f>
        <x:v>271481.3520360293</x:v>
      </x:c>
      <x:c r="T1138" s="78" t="n">
        <x:f>P1138*(S1138*(1-'Inputs'!$B$15))/(O1138+S1138*(1-'Inputs'!$B$15))</x:f>
        <x:v>4541.143560640124</x:v>
      </x:c>
      <x:c r="U1138" s="78" t="n">
        <x:f>O1138+S1138*(1-'Inputs'!$B$17)</x:f>
        <x:v>1812099.9090056152</x:v>
      </x:c>
      <x:c r="V1138" s="78" t="n">
        <x:f>P1138-T1138</x:f>
        <x:v>26049.11752736839</x:v>
      </x:c>
      <x:c r="W1138" s="79" t="n">
        <x:f>IF(U1138&gt;0,V1138/U1138,0)</x:f>
        <x:v>0.014375100069213498</x:v>
      </x:c>
      <x:c r="X1138" s="80" t="n">
        <x:f>W1138*('Inputs'!$B$6-AC1138)</x:f>
        <x:v>14366859.439023918</x:v>
      </x:c>
      <x:c r="Y1138" s="80" t="n">
        <x:f>2*V1138</x:f>
        <x:v>52098.23505473678</x:v>
      </x:c>
      <x:c r="Z1138" s="80" t="n">
        <x:f>K1138*'Inputs'!$B$16+(G1138+R1138)*J1138*'Inputs'!$B$16</x:f>
        <x:v>519.9529516236727</x:v>
      </x:c>
      <x:c r="AA1138" s="80" t="n">
        <x:f>K1138*(1+'Inputs'!$E$47)/2*'Inputs'!$B$17</x:f>
        <x:v>174.5502861038926</x:v>
      </x:c>
      <x:c r="AB1138" s="78" t="n">
        <x:f>(IF(J1138&gt;0,K1138*(1-'Inputs'!$E$47)/2/J1138,0)+G1138+R1138)*'Inputs'!$B$17</x:f>
        <x:v>11709.196726414295</x:v>
      </x:c>
      <x:c r="AC1138" s="78" t="n">
        <x:f>AC1137+AB1138</x:f>
        <x:v>573257.2399429023</x:v>
      </x:c>
      <x:c r="AD1138" s="80" t="n">
        <x:f>Z1138/(1+'Inputs'!$C$47)</x:f>
        <x:v>207.98118064946908</x:v>
      </x:c>
      <x:c r="AE1138" s="80" t="n">
        <x:f>Z1138-AD1138</x:f>
        <x:v>311.9717709742036</x:v>
      </x:c>
      <x:c r="AF1138" s="80" t="n">
        <x:f>D1138*W1138</x:f>
        <x:v>4307.259735201993</x:v>
      </x:c>
      <x:c r="AG1138" s="80" t="n">
        <x:f>C1138*W1138</x:f>
        <x:v>10050.272715471325</x:v>
      </x:c>
      <x:c r="AH1138" s="80" t="n">
        <x:f>2*'Inputs'!$B$8*'Inputs'!$C$47</x:f>
        <x:v>7500</x:v>
      </x:c>
      <x:c r="AI1138" s="81" t="n">
        <x:f>IF(AH1138&gt;0,(AE1138+AF1138)/AH1138*365,0)</x:f>
        <x:v>224.80259996724158</x:v>
      </x:c>
      <x:c r="AJ1138" s="81" t="n">
        <x:f>IF('Inputs'!$B$47&gt;0,AG1138/('Inputs'!$B$19*'Inputs'!$B$47)*365,0)</x:f>
        <x:v>366.83495411470335</x:v>
      </x:c>
      <x:c r="AK1138" s="81" t="n">
        <x:f>W1138/MAX($W$1099:W1138)-1</x:f>
        <x:v>-0.3512919821895809</x:v>
      </x:c>
      <x:c r="AL1138" s="83" t="n">
        <x:f>'Inputs'!$B$47</x:f>
        <x:v>1</x:v>
      </x:c>
      <x:c r="AM1138" s="83" t="n">
        <x:f>'Inputs'!$C$47</x:f>
        <x:v>1.5</x:v>
      </x:c>
      <x:c r="AN1138" s="83" t="n">
        <x:f>'Inputs'!$D$47</x:f>
        <x:v>1.5</x:v>
      </x:c>
      <x:c r="AO1138" s="81" t="n">
        <x:f>'Inputs'!$E$47</x:f>
        <x:v>0.05</x:v>
      </x:c>
    </x:row>
    <x:row r="1139">
      <x:c r="A1139" s="59" t="str">
        <x:v>Growth</x:v>
      </x:c>
      <x:c r="B1139" s="59" t="n">
        <x:v>41</x:v>
      </x:c>
      <x:c r="C1139" s="78" t="n">
        <x:f>(('Inputs'!$B$29*(3*41*'Inputs'!$B$12-41^2)/(2*'Inputs'!$B$12^2))-('Inputs'!$B$29*(3*40*'Inputs'!$B$12-40^2)/(2*'Inputs'!$B$12^2)))*'Inputs'!$B$47</x:f>
        <x:v>698819.4314130247</x:v>
      </x:c>
      <x:c r="D1139" s="78" t="n">
        <x:f>IF('Inputs'!$C$47&gt;0,('Inputs'!$B$30*(3*41*'Inputs'!$B$12-41^2)/(2*'Inputs'!$B$12^2))-('Inputs'!$B$30*(3*40*'Inputs'!$B$12-40^2)/(2*'Inputs'!$B$12^2)),0)</x:f>
        <x:v>299494.0420341529</x:v>
      </x:c>
      <x:c r="E1139" s="78" t="n">
        <x:f>C1139+D1139</x:f>
        <x:v>998313.4734471776</x:v>
      </x:c>
      <x:c r="F1139" s="78" t="n">
        <x:f>'Inputs'!$B$13*E1139+(1-'Inputs'!$B$13)/'Inputs'!$B$14*SUM(E1099:E1139)</x:f>
        <x:v>789829.7388949952</x:v>
      </x:c>
      <x:c r="G1139" s="78" t="n">
        <x:f>F1139*'Inputs'!$F$47</x:f>
        <x:v>276440.4086132483</x:v>
      </x:c>
      <x:c r="H1139" s="78" t="n">
        <x:f>U1138</x:f>
        <x:v>1812099.9090056152</x:v>
      </x:c>
      <x:c r="I1139" s="78" t="n">
        <x:f>V1138</x:f>
        <x:v>26049.11752736839</x:v>
      </x:c>
      <x:c r="J1139" s="79" t="n">
        <x:f>IF(H1139&gt;0,I1139/H1139,0)</x:f>
        <x:v>0.014375100069213498</x:v>
      </x:c>
      <x:c r="K1139" s="80" t="n">
        <x:f>(H1139*J1139+I1139)*'Inputs'!$D$47*(1+'Inputs'!$G$47)^(B1139/30)</x:f>
        <x:v>81368.90600450907</x:v>
      </x:c>
      <x:c r="L1139" s="80" t="n">
        <x:f>MAX(0,K1139*'Inputs'!$E$47)</x:f>
        <x:v>4068.445300225454</x:v>
      </x:c>
      <x:c r="M1139" s="80" t="n">
        <x:f>MAX(0,-K1139*'Inputs'!$E$47)</x:f>
        <x:v>0</x:v>
      </x:c>
      <x:c r="N1139" s="78" t="n">
        <x:f>H1139*(L1139*(1-'Inputs'!$B$15))/(I1139+L1139*(1-'Inputs'!$B$15))</x:f>
        <x:v>242668.30399910634</x:v>
      </x:c>
      <x:c r="O1139" s="78" t="n">
        <x:f>H1139-N1139</x:f>
        <x:v>1569431.6050065088</x:v>
      </x:c>
      <x:c r="P1139" s="78" t="n">
        <x:f>I1139+L1139*(1-'Inputs'!$B$17)</x:f>
        <x:v>30101.19081431326</x:v>
      </x:c>
      <x:c r="Q1139" s="78" t="n">
        <x:f>IF(J1139&gt;0,M1139/J1139,0)</x:f>
        <x:v>0</x:v>
      </x:c>
      <x:c r="R1139" s="78" t="n">
        <x:f>IF(B1139='Inputs'!$H$47,'Inputs'!$B$27*'Inputs'!$I$47,0)</x:f>
        <x:v>0</x:v>
      </x:c>
      <x:c r="S1139" s="78" t="n">
        <x:f>Q1139+G1139+R1139</x:f>
        <x:v>276440.4086132483</x:v>
      </x:c>
      <x:c r="T1139" s="78" t="n">
        <x:f>P1139*(S1139*(1-'Inputs'!$B$15))/(O1139+S1139*(1-'Inputs'!$B$15))</x:f>
        <x:v>4469.610776363779</x:v>
      </x:c>
      <x:c r="U1139" s="78" t="n">
        <x:f>O1139+S1139*(1-'Inputs'!$B$17)</x:f>
        <x:v>1844759.5773677924</x:v>
      </x:c>
      <x:c r="V1139" s="78" t="n">
        <x:f>P1139-T1139</x:f>
        <x:v>25631.580037949483</x:v>
      </x:c>
      <x:c r="W1139" s="79" t="n">
        <x:f>IF(U1139&gt;0,V1139/U1139,0)</x:f>
        <x:v>0.013894265872045005</x:v>
      </x:c>
      <x:c r="X1139" s="80" t="n">
        <x:f>W1139*('Inputs'!$B$6-AC1139)</x:f>
        <x:v>13886135.095405892</x:v>
      </x:c>
      <x:c r="Y1139" s="80" t="n">
        <x:f>2*V1139</x:f>
        <x:v>51263.160075898966</x:v>
      </x:c>
      <x:c r="Z1139" s="80" t="n">
        <x:f>K1139*'Inputs'!$B$16+(G1139+R1139)*J1139*'Inputs'!$B$16</x:f>
        <x:v>512.0565872489927</x:v>
      </x:c>
      <x:c r="AA1139" s="80" t="n">
        <x:f>K1139*(1+'Inputs'!$E$47)/2*'Inputs'!$B$17</x:f>
        <x:v>171.90613944614594</x:v>
      </x:c>
      <x:c r="AB1139" s="78" t="n">
        <x:f>(IF(J1139&gt;0,K1139*(1-'Inputs'!$E$47)/2/J1139,0)+G1139+R1139)*'Inputs'!$B$17</x:f>
        <x:v>11932.126230934808</x:v>
      </x:c>
      <x:c r="AC1139" s="78" t="n">
        <x:f>AC1138+AB1139</x:f>
        <x:v>585189.3661738371</x:v>
      </x:c>
      <x:c r="AD1139" s="80" t="n">
        <x:f>Z1139/(1+'Inputs'!$C$47)</x:f>
        <x:v>204.8226348995971</x:v>
      </x:c>
      <x:c r="AE1139" s="80" t="n">
        <x:f>Z1139-AD1139</x:f>
        <x:v>307.2339523493956</x:v>
      </x:c>
      <x:c r="AF1139" s="80" t="n">
        <x:f>D1139*W1139</x:f>
        <x:v>4161.249847115942</x:v>
      </x:c>
      <x:c r="AG1139" s="80" t="n">
        <x:f>C1139*W1139</x:f>
        <x:v>9709.582976603884</x:v>
      </x:c>
      <x:c r="AH1139" s="80" t="n">
        <x:f>2*'Inputs'!$B$8*'Inputs'!$C$47</x:f>
        <x:v>7500</x:v>
      </x:c>
      <x:c r="AI1139" s="81" t="n">
        <x:f>IF(AH1139&gt;0,(AE1139+AF1139)/AH1139*365,0)</x:f>
        <x:v>217.46621157397976</x:v>
      </x:c>
      <x:c r="AJ1139" s="81" t="n">
        <x:f>IF('Inputs'!$B$47&gt;0,AG1139/('Inputs'!$B$19*'Inputs'!$B$47)*365,0)</x:f>
        <x:v>354.3997786460418</x:v>
      </x:c>
      <x:c r="AK1139" s="81" t="n">
        <x:f>W1139/MAX($W$1099:W1139)-1</x:f>
        <x:v>-0.37299068323783746</x:v>
      </x:c>
      <x:c r="AL1139" s="83" t="n">
        <x:f>'Inputs'!$B$47</x:f>
        <x:v>1</x:v>
      </x:c>
      <x:c r="AM1139" s="83" t="n">
        <x:f>'Inputs'!$C$47</x:f>
        <x:v>1.5</x:v>
      </x:c>
      <x:c r="AN1139" s="83" t="n">
        <x:f>'Inputs'!$D$47</x:f>
        <x:v>1.5</x:v>
      </x:c>
      <x:c r="AO1139" s="81" t="n">
        <x:f>'Inputs'!$E$47</x:f>
        <x:v>0.05</x:v>
      </x:c>
    </x:row>
    <x:row r="1140">
      <x:c r="A1140" s="59" t="str">
        <x:v>Growth</x:v>
      </x:c>
      <x:c r="B1140" s="59" t="n">
        <x:v>42</x:v>
      </x:c>
      <x:c r="C1140" s="78" t="n">
        <x:f>(('Inputs'!$B$29*(3*42*'Inputs'!$B$12-42^2)/(2*'Inputs'!$B$12^2))-('Inputs'!$B$29*(3*41*'Inputs'!$B$12-41^2)/(2*'Inputs'!$B$12^2)))*'Inputs'!$B$47</x:f>
        <x:v>698494.3235128522</x:v>
      </x:c>
      <x:c r="D1140" s="78" t="n">
        <x:f>IF('Inputs'!$C$47&gt;0,('Inputs'!$B$30*(3*42*'Inputs'!$B$12-42^2)/(2*'Inputs'!$B$12^2))-('Inputs'!$B$30*(3*41*'Inputs'!$B$12-41^2)/(2*'Inputs'!$B$12^2)),0)</x:f>
        <x:v>299354.71007693745</x:v>
      </x:c>
      <x:c r="E1140" s="78" t="n">
        <x:f>C1140+D1140</x:f>
        <x:v>997849.0335897896</x:v>
      </x:c>
      <x:c r="F1140" s="78" t="n">
        <x:f>'Inputs'!$B$13*E1140+(1-'Inputs'!$B$13)/'Inputs'!$B$14*SUM(E1099:E1140)</x:f>
        <x:v>803991.8371176574</x:v>
      </x:c>
      <x:c r="G1140" s="78" t="n">
        <x:f>F1140*'Inputs'!$F$47</x:f>
        <x:v>281397.14299118007</x:v>
      </x:c>
      <x:c r="H1140" s="78" t="n">
        <x:f>U1139</x:f>
        <x:v>1844759.5773677924</x:v>
      </x:c>
      <x:c r="I1140" s="78" t="n">
        <x:f>V1139</x:f>
        <x:v>25631.580037949483</x:v>
      </x:c>
      <x:c r="J1140" s="79" t="n">
        <x:f>IF(H1140&gt;0,I1140/H1140,0)</x:f>
        <x:v>0.013894265872045005</x:v>
      </x:c>
      <x:c r="K1140" s="80" t="n">
        <x:f>(H1140*J1140+I1140)*'Inputs'!$D$47*(1+'Inputs'!$G$47)^(B1140/30)</x:f>
        <x:v>80143.58178208931</x:v>
      </x:c>
      <x:c r="L1140" s="80" t="n">
        <x:f>MAX(0,K1140*'Inputs'!$E$47)</x:f>
        <x:v>4007.1790891044657</x:v>
      </x:c>
      <x:c r="M1140" s="80" t="n">
        <x:f>MAX(0,-K1140*'Inputs'!$E$47)</x:f>
        <x:v>0</x:v>
      </x:c>
      <x:c r="N1140" s="78" t="n">
        <x:f>H1140*(L1140*(1-'Inputs'!$B$15))/(I1140+L1140*(1-'Inputs'!$B$15))</x:f>
        <x:v>247252.8291443349</x:v>
      </x:c>
      <x:c r="O1140" s="78" t="n">
        <x:f>H1140-N1140</x:f>
        <x:v>1597506.7482234575</x:v>
      </x:c>
      <x:c r="P1140" s="78" t="n">
        <x:f>I1140+L1140*(1-'Inputs'!$B$17)</x:f>
        <x:v>29622.633657882503</x:v>
      </x:c>
      <x:c r="Q1140" s="78" t="n">
        <x:f>IF(J1140&gt;0,M1140/J1140,0)</x:f>
        <x:v>0</x:v>
      </x:c>
      <x:c r="R1140" s="78" t="n">
        <x:f>IF(B1140='Inputs'!$H$47,'Inputs'!$B$27*'Inputs'!$I$47,0)</x:f>
        <x:v>0</x:v>
      </x:c>
      <x:c r="S1140" s="78" t="n">
        <x:f>Q1140+G1140+R1140</x:f>
        <x:v>281397.14299118007</x:v>
      </x:c>
      <x:c r="T1140" s="78" t="n">
        <x:f>P1140*(S1140*(1-'Inputs'!$B$15))/(O1140+S1140*(1-'Inputs'!$B$15))</x:f>
        <x:v>4398.705599013831</x:v>
      </x:c>
      <x:c r="U1140" s="78" t="n">
        <x:f>O1140+S1140*(1-'Inputs'!$B$17)</x:f>
        <x:v>1877771.5083454577</x:v>
      </x:c>
      <x:c r="V1140" s="78" t="n">
        <x:f>P1140-T1140</x:f>
        <x:v>25223.928058868674</x:v>
      </x:c>
      <x:c r="W1140" s="79" t="n">
        <x:f>IF(U1140&gt;0,V1140/U1140,0)</x:f>
        <x:v>0.013432905945566287</x:v>
      </x:c>
      <x:c r="X1140" s="80" t="n">
        <x:f>W1140*('Inputs'!$B$6-AC1140)</x:f>
        <x:v>13424881.83544849</x:v>
      </x:c>
      <x:c r="Y1140" s="80" t="n">
        <x:f>2*V1140</x:f>
        <x:v>50447.85611773735</x:v>
      </x:c>
      <x:c r="Z1140" s="80" t="n">
        <x:f>K1140*'Inputs'!$B$16+(G1140+R1140)*J1140*'Inputs'!$B$16</x:f>
        <x:v>504.32033101465584</x:v>
      </x:c>
      <x:c r="AA1140" s="80" t="n">
        <x:f>K1140*(1+'Inputs'!$E$47)/2*'Inputs'!$B$17</x:f>
        <x:v>169.3174263001887</x:v>
      </x:c>
      <x:c r="AB1140" s="78" t="n">
        <x:f>(IF(J1140&gt;0,K1140*(1-'Inputs'!$E$47)/2/J1140,0)+G1140+R1140)*'Inputs'!$B$17</x:f>
        <x:v>12157.935319342814</x:v>
      </x:c>
      <x:c r="AC1140" s="78" t="n">
        <x:f>AC1139+AB1140</x:f>
        <x:v>597347.3014931799</x:v>
      </x:c>
      <x:c r="AD1140" s="80" t="n">
        <x:f>Z1140/(1+'Inputs'!$C$47)</x:f>
        <x:v>201.72813240586234</x:v>
      </x:c>
      <x:c r="AE1140" s="80" t="n">
        <x:f>Z1140-AD1140</x:f>
        <x:v>302.5921986087935</x:v>
      </x:c>
      <x:c r="AF1140" s="80" t="n">
        <x:f>D1140*W1140</x:f>
        <x:v>4021.2036648257654</x:v>
      </x:c>
      <x:c r="AG1140" s="80" t="n">
        <x:f>C1140*W1140</x:f>
        <x:v>9382.808551260094</x:v>
      </x:c>
      <x:c r="AH1140" s="80" t="n">
        <x:f>2*'Inputs'!$B$8*'Inputs'!$C$47</x:f>
        <x:v>7500</x:v>
      </x:c>
      <x:c r="AI1140" s="81" t="n">
        <x:f>IF(AH1140&gt;0,(AE1140+AF1140)/AH1140*365,0)</x:f>
        <x:v>210.42473202048185</x:v>
      </x:c>
      <x:c r="AJ1140" s="81" t="n">
        <x:f>IF('Inputs'!$B$47&gt;0,AG1140/('Inputs'!$B$19*'Inputs'!$B$47)*365,0)</x:f>
        <x:v>342.47251212099343</x:v>
      </x:c>
      <x:c r="AK1140" s="81" t="n">
        <x:f>W1140/MAX($W$1099:W1140)-1</x:f>
        <x:v>-0.39381056497515776</x:v>
      </x:c>
      <x:c r="AL1140" s="83" t="n">
        <x:f>'Inputs'!$B$47</x:f>
        <x:v>1</x:v>
      </x:c>
      <x:c r="AM1140" s="83" t="n">
        <x:f>'Inputs'!$C$47</x:f>
        <x:v>1.5</x:v>
      </x:c>
      <x:c r="AN1140" s="83" t="n">
        <x:f>'Inputs'!$D$47</x:f>
        <x:v>1.5</x:v>
      </x:c>
      <x:c r="AO1140" s="81" t="n">
        <x:f>'Inputs'!$E$47</x:f>
        <x:v>0.05</x:v>
      </x:c>
    </x:row>
    <x:row r="1141">
      <x:c r="A1141" s="59" t="str">
        <x:v>Growth</x:v>
      </x:c>
      <x:c r="B1141" s="59" t="n">
        <x:v>43</x:v>
      </x:c>
      <x:c r="C1141" s="78" t="n">
        <x:f>(('Inputs'!$B$29*(3*43*'Inputs'!$B$12-43^2)/(2*'Inputs'!$B$12^2))-('Inputs'!$B$29*(3*42*'Inputs'!$B$12-42^2)/(2*'Inputs'!$B$12^2)))*'Inputs'!$B$47</x:f>
        <x:v>698169.2156126872</x:v>
      </x:c>
      <x:c r="D1141" s="78" t="n">
        <x:f>IF('Inputs'!$C$47&gt;0,('Inputs'!$B$30*(3*43*'Inputs'!$B$12-43^2)/(2*'Inputs'!$B$12^2))-('Inputs'!$B$30*(3*42*'Inputs'!$B$12-42^2)/(2*'Inputs'!$B$12^2)),0)</x:f>
        <x:v>299215.378119722</x:v>
      </x:c>
      <x:c r="E1141" s="78" t="n">
        <x:f>C1141+D1141</x:f>
        <x:v>997384.5937324092</x:v>
      </x:c>
      <x:c r="F1141" s="78" t="n">
        <x:f>'Inputs'!$B$13*E1141+(1-'Inputs'!$B$13)/'Inputs'!$B$14*SUM(E1099:E1141)</x:f>
        <x:v>818147.3004852157</x:v>
      </x:c>
      <x:c r="G1141" s="78" t="n">
        <x:f>F1141*'Inputs'!$F$47</x:f>
        <x:v>286351.5551698255</x:v>
      </x:c>
      <x:c r="H1141" s="78" t="n">
        <x:f>U1140</x:f>
        <x:v>1877771.5083454577</x:v>
      </x:c>
      <x:c r="I1141" s="78" t="n">
        <x:f>V1140</x:f>
        <x:v>25223.928058868674</x:v>
      </x:c>
      <x:c r="J1141" s="79" t="n">
        <x:f>IF(H1141&gt;0,I1141/H1141,0)</x:f>
        <x:v>0.013432905945566287</x:v>
      </x:c>
      <x:c r="K1141" s="80" t="n">
        <x:f>(H1141*J1141+I1141)*'Inputs'!$D$47*(1+'Inputs'!$G$47)^(B1141/30)</x:f>
        <x:v>78946.70269533053</x:v>
      </x:c>
      <x:c r="L1141" s="80" t="n">
        <x:f>MAX(0,K1141*'Inputs'!$E$47)</x:f>
        <x:v>3947.3351347665266</x:v>
      </x:c>
      <x:c r="M1141" s="80" t="n">
        <x:f>MAX(0,-K1141*'Inputs'!$E$47)</x:f>
        <x:v>0</x:v>
      </x:c>
      <x:c r="N1141" s="78" t="n">
        <x:f>H1141*(L1141*(1-'Inputs'!$B$15))/(I1141+L1141*(1-'Inputs'!$B$15))</x:f>
        <x:v>251892.23028116534</x:v>
      </x:c>
      <x:c r="O1141" s="78" t="n">
        <x:f>H1141-N1141</x:f>
        <x:v>1625879.2780642924</x:v>
      </x:c>
      <x:c r="P1141" s="78" t="n">
        <x:f>I1141+L1141*(1-'Inputs'!$B$17)</x:f>
        <x:v>29155.378545205556</x:v>
      </x:c>
      <x:c r="Q1141" s="78" t="n">
        <x:f>IF(J1141&gt;0,M1141/J1141,0)</x:f>
        <x:v>0</x:v>
      </x:c>
      <x:c r="R1141" s="78" t="n">
        <x:f>IF(B1141='Inputs'!$H$47,'Inputs'!$B$27*'Inputs'!$I$47,0)</x:f>
        <x:v>0</x:v>
      </x:c>
      <x:c r="S1141" s="78" t="n">
        <x:f>Q1141+G1141+R1141</x:f>
        <x:v>286351.5551698255</x:v>
      </x:c>
      <x:c r="T1141" s="78" t="n">
        <x:f>P1141*(S1141*(1-'Inputs'!$B$15))/(O1141+S1141*(1-'Inputs'!$B$15))</x:f>
        <x:v>4328.764314525393</x:v>
      </x:c>
      <x:c r="U1141" s="78" t="n">
        <x:f>O1141+S1141*(1-'Inputs'!$B$17)</x:f>
        <x:v>1911078.5130925893</x:v>
      </x:c>
      <x:c r="V1141" s="78" t="n">
        <x:f>P1141-T1141</x:f>
        <x:v>24826.614230680163</x:v>
      </x:c>
      <x:c r="W1141" s="79" t="n">
        <x:f>IF(U1141&gt;0,V1141/U1141,0)</x:f>
        <x:v>0.012990891823960005</x:v>
      </x:c>
      <x:c r="X1141" s="80" t="n">
        <x:f>W1141*('Inputs'!$B$6-AC1141)</x:f>
        <x:v>12982970.841508858</x:v>
      </x:c>
      <x:c r="Y1141" s="80" t="n">
        <x:f>2*V1141</x:f>
        <x:v>49653.228461360326</x:v>
      </x:c>
      <x:c r="Z1141" s="80" t="n">
        <x:f>K1141*'Inputs'!$B$16+(G1141+R1141)*J1141*'Inputs'!$B$16</x:f>
        <x:v>496.7594172197606</x:v>
      </x:c>
      <x:c r="AA1141" s="80" t="n">
        <x:f>K1141*(1+'Inputs'!$E$47)/2*'Inputs'!$B$17</x:f>
        <x:v>166.78880851126172</x:v>
      </x:c>
      <x:c r="AB1141" s="78" t="n">
        <x:f>(IF(J1141&gt;0,K1141*(1-'Inputs'!$E$47)/2/J1141,0)+G1141+R1141)*'Inputs'!$B$17</x:f>
        <x:v>12386.237857704078</x:v>
      </x:c>
      <x:c r="AC1141" s="78" t="n">
        <x:f>AC1140+AB1141</x:f>
        <x:v>609733.5393508839</x:v>
      </x:c>
      <x:c r="AD1141" s="80" t="n">
        <x:f>Z1141/(1+'Inputs'!$C$47)</x:f>
        <x:v>198.70376688790424</x:v>
      </x:c>
      <x:c r="AE1141" s="80" t="n">
        <x:f>Z1141-AD1141</x:f>
        <x:v>298.0556503318564</x:v>
      </x:c>
      <x:c r="AF1141" s="80" t="n">
        <x:f>D1141*W1141</x:f>
        <x:v>3887.074609218598</x:v>
      </x:c>
      <x:c r="AG1141" s="80" t="n">
        <x:f>C1141*W1141</x:f>
        <x:v>9069.840754843428</x:v>
      </x:c>
      <x:c r="AH1141" s="80" t="n">
        <x:f>2*'Inputs'!$B$8*'Inputs'!$C$47</x:f>
        <x:v>7500</x:v>
      </x:c>
      <x:c r="AI1141" s="81" t="n">
        <x:f>IF(AH1141&gt;0,(AE1141+AF1141)/AH1141*365,0)</x:f>
        <x:v>203.67633929812212</x:v>
      </x:c>
      <x:c r="AJ1141" s="81" t="n">
        <x:f>IF('Inputs'!$B$47&gt;0,AG1141/('Inputs'!$B$19*'Inputs'!$B$47)*365,0)</x:f>
        <x:v>331.0491875517851</x:v>
      </x:c>
      <x:c r="AK1141" s="81" t="n">
        <x:f>W1141/MAX($W$1099:W1141)-1</x:f>
        <x:v>-0.4137574247041915</x:v>
      </x:c>
      <x:c r="AL1141" s="83" t="n">
        <x:f>'Inputs'!$B$47</x:f>
        <x:v>1</x:v>
      </x:c>
      <x:c r="AM1141" s="83" t="n">
        <x:f>'Inputs'!$C$47</x:f>
        <x:v>1.5</x:v>
      </x:c>
      <x:c r="AN1141" s="83" t="n">
        <x:f>'Inputs'!$D$47</x:f>
        <x:v>1.5</x:v>
      </x:c>
      <x:c r="AO1141" s="81" t="n">
        <x:f>'Inputs'!$E$47</x:f>
        <x:v>0.05</x:v>
      </x:c>
    </x:row>
    <x:row r="1142">
      <x:c r="A1142" s="59" t="str">
        <x:v>Growth</x:v>
      </x:c>
      <x:c r="B1142" s="59" t="n">
        <x:v>44</x:v>
      </x:c>
      <x:c r="C1142" s="78" t="n">
        <x:f>(('Inputs'!$B$29*(3*44*'Inputs'!$B$12-44^2)/(2*'Inputs'!$B$12^2))-('Inputs'!$B$29*(3*43*'Inputs'!$B$12-43^2)/(2*'Inputs'!$B$12^2)))*'Inputs'!$B$47</x:f>
        <x:v>697844.1077125147</x:v>
      </x:c>
      <x:c r="D1142" s="78" t="n">
        <x:f>IF('Inputs'!$C$47&gt;0,('Inputs'!$B$30*(3*44*'Inputs'!$B$12-44^2)/(2*'Inputs'!$B$12^2))-('Inputs'!$B$30*(3*43*'Inputs'!$B$12-43^2)/(2*'Inputs'!$B$12^2)),0)</x:f>
        <x:v>299076.0461625084</x:v>
      </x:c>
      <x:c r="E1142" s="78" t="n">
        <x:f>C1142+D1142</x:f>
        <x:v>996920.1538750231</x:v>
      </x:c>
      <x:c r="F1142" s="78" t="n">
        <x:f>'Inputs'!$B$13*E1142+(1-'Inputs'!$B$13)/'Inputs'!$B$14*SUM(E1099:E1142)</x:f>
        <x:v>832296.1289976675</x:v>
      </x:c>
      <x:c r="G1142" s="78" t="n">
        <x:f>F1142*'Inputs'!$F$47</x:f>
        <x:v>291303.6451491836</x:v>
      </x:c>
      <x:c r="H1142" s="78" t="n">
        <x:f>U1141</x:f>
        <x:v>1911078.5130925893</x:v>
      </x:c>
      <x:c r="I1142" s="78" t="n">
        <x:f>V1141</x:f>
        <x:v>24826.614230680163</x:v>
      </x:c>
      <x:c r="J1142" s="79" t="n">
        <x:f>IF(H1142&gt;0,I1142/H1142,0)</x:f>
        <x:v>0.012990891823960005</x:v>
      </x:c>
      <x:c r="K1142" s="80" t="n">
        <x:f>(H1142*J1142+I1142)*'Inputs'!$D$47*(1+'Inputs'!$G$47)^(B1142/30)</x:f>
        <x:v>77779.774602443</x:v>
      </x:c>
      <x:c r="L1142" s="80" t="n">
        <x:f>MAX(0,K1142*'Inputs'!$E$47)</x:f>
        <x:v>3888.9887301221497</x:v>
      </x:c>
      <x:c r="M1142" s="80" t="n">
        <x:f>MAX(0,-K1142*'Inputs'!$E$47)</x:f>
        <x:v>0</x:v>
      </x:c>
      <x:c r="N1142" s="78" t="n">
        <x:f>H1142*(L1142*(1-'Inputs'!$B$15))/(I1142+L1142*(1-'Inputs'!$B$15))</x:f>
        <x:v>256578.95843707348</x:v>
      </x:c>
      <x:c r="O1142" s="78" t="n">
        <x:f>H1142-N1142</x:f>
        <x:v>1654499.5546555158</x:v>
      </x:c>
      <x:c r="P1142" s="78" t="n">
        <x:f>I1142+L1142*(1-'Inputs'!$B$17)</x:f>
        <x:v>28699.953106757555</x:v>
      </x:c>
      <x:c r="Q1142" s="78" t="n">
        <x:f>IF(J1142&gt;0,M1142/J1142,0)</x:f>
        <x:v>0</x:v>
      </x:c>
      <x:c r="R1142" s="78" t="n">
        <x:f>IF(B1142='Inputs'!$H$47,'Inputs'!$B$27*'Inputs'!$I$47,0)</x:f>
        <x:v>0</x:v>
      </x:c>
      <x:c r="S1142" s="78" t="n">
        <x:f>Q1142+G1142+R1142</x:f>
        <x:v>291303.6451491836</x:v>
      </x:c>
      <x:c r="T1142" s="78" t="n">
        <x:f>P1142*(S1142*(1-'Inputs'!$B$15))/(O1142+S1142*(1-'Inputs'!$B$15))</x:f>
        <x:v>4260.043672138528</x:v>
      </x:c>
      <x:c r="U1142" s="78" t="n">
        <x:f>O1142+S1142*(1-'Inputs'!$B$17)</x:f>
        <x:v>1944630.9517356886</x:v>
      </x:c>
      <x:c r="V1142" s="78" t="n">
        <x:f>P1142-T1142</x:f>
        <x:v>24439.90943461903</x:v>
      </x:c>
      <x:c r="W1142" s="79" t="n">
        <x:f>IF(U1142&gt;0,V1142/U1142,0)</x:f>
        <x:v>0.012567890793265984</x:v>
      </x:c>
      <x:c r="X1142" s="80" t="n">
        <x:f>W1142*('Inputs'!$B$6-AC1142)</x:f>
        <x:v>12560069.163445486</x:v>
      </x:c>
      <x:c r="Y1142" s="80" t="n">
        <x:f>2*V1142</x:f>
        <x:v>48879.81886923806</x:v>
      </x:c>
      <x:c r="Z1142" s="80" t="n">
        <x:f>K1142*'Inputs'!$B$16+(G1142+R1142)*J1142*'Inputs'!$B$16</x:f>
        <x:v>489.3844124670076</x:v>
      </x:c>
      <x:c r="AA1142" s="80" t="n">
        <x:f>K1142*(1+'Inputs'!$E$47)/2*'Inputs'!$B$17</x:f>
        <x:v>164.32346746995</x:v>
      </x:c>
      <x:c r="AB1142" s="78" t="n">
        <x:f>(IF(J1142&gt;0,K1142*(1-'Inputs'!$E$47)/2/J1142,0)+G1142+R1142)*'Inputs'!$B$17</x:f>
        <x:v>12616.698183743012</x:v>
      </x:c>
      <x:c r="AC1142" s="78" t="n">
        <x:f>AC1141+AB1142</x:f>
        <x:v>622350.237534627</x:v>
      </x:c>
      <x:c r="AD1142" s="80" t="n">
        <x:f>Z1142/(1+'Inputs'!$C$47)</x:f>
        <x:v>195.75376498680305</x:v>
      </x:c>
      <x:c r="AE1142" s="80" t="n">
        <x:f>Z1142-AD1142</x:f>
        <x:v>293.6306474802046</x:v>
      </x:c>
      <x:c r="AF1142" s="80" t="n">
        <x:f>D1142*W1142</x:f>
        <x:v>3758.7550870521823</x:v>
      </x:c>
      <x:c r="AG1142" s="80" t="n">
        <x:f>C1142*W1142</x:f>
        <x:v>8770.428536455029</x:v>
      </x:c>
      <x:c r="AH1142" s="80" t="n">
        <x:f>2*'Inputs'!$B$8*'Inputs'!$C$47</x:f>
        <x:v>7500</x:v>
      </x:c>
      <x:c r="AI1142" s="81" t="n">
        <x:f>IF(AH1142&gt;0,(AE1142+AF1142)/AH1142*365,0)</x:f>
        <x:v>197.21610574724284</x:v>
      </x:c>
      <x:c r="AJ1142" s="81" t="n">
        <x:f>IF('Inputs'!$B$47&gt;0,AG1142/('Inputs'!$B$19*'Inputs'!$B$47)*365,0)</x:f>
        <x:v>320.12064158060855</x:v>
      </x:c>
      <x:c r="AK1142" s="81" t="n">
        <x:f>W1142/MAX($W$1099:W1142)-1</x:f>
        <x:v>-0.4328462768744078</x:v>
      </x:c>
      <x:c r="AL1142" s="83" t="n">
        <x:f>'Inputs'!$B$47</x:f>
        <x:v>1</x:v>
      </x:c>
      <x:c r="AM1142" s="83" t="n">
        <x:f>'Inputs'!$C$47</x:f>
        <x:v>1.5</x:v>
      </x:c>
      <x:c r="AN1142" s="83" t="n">
        <x:f>'Inputs'!$D$47</x:f>
        <x:v>1.5</x:v>
      </x:c>
      <x:c r="AO1142" s="81" t="n">
        <x:f>'Inputs'!$E$47</x:f>
        <x:v>0.05</x:v>
      </x:c>
    </x:row>
    <x:row r="1143">
      <x:c r="A1143" s="59" t="str">
        <x:v>Growth</x:v>
      </x:c>
      <x:c r="B1143" s="59" t="n">
        <x:v>45</x:v>
      </x:c>
      <x:c r="C1143" s="78" t="n">
        <x:f>(('Inputs'!$B$29*(3*45*'Inputs'!$B$12-45^2)/(2*'Inputs'!$B$12^2))-('Inputs'!$B$29*(3*44*'Inputs'!$B$12-44^2)/(2*'Inputs'!$B$12^2)))*'Inputs'!$B$47</x:f>
        <x:v>697518.999812346</x:v>
      </x:c>
      <x:c r="D1143" s="78" t="n">
        <x:f>IF('Inputs'!$C$47&gt;0,('Inputs'!$B$30*(3*45*'Inputs'!$B$12-45^2)/(2*'Inputs'!$B$12^2))-('Inputs'!$B$30*(3*44*'Inputs'!$B$12-44^2)/(2*'Inputs'!$B$12^2)),0)</x:f>
        <x:v>298936.7142052911</x:v>
      </x:c>
      <x:c r="E1143" s="78" t="n">
        <x:f>C1143+D1143</x:f>
        <x:v>996455.7140176371</x:v>
      </x:c>
      <x:c r="F1143" s="78" t="n">
        <x:f>'Inputs'!$B$13*E1143+(1-'Inputs'!$B$13)/'Inputs'!$B$14*SUM(E1099:E1143)</x:f>
        <x:v>846438.3226550135</x:v>
      </x:c>
      <x:c r="G1143" s="78" t="n">
        <x:f>F1143*'Inputs'!$F$47</x:f>
        <x:v>296253.4129292547</x:v>
      </x:c>
      <x:c r="H1143" s="78" t="n">
        <x:f>U1142</x:f>
        <x:v>1944630.9517356886</x:v>
      </x:c>
      <x:c r="I1143" s="78" t="n">
        <x:f>V1142</x:f>
        <x:v>24439.90943461903</x:v>
      </x:c>
      <x:c r="J1143" s="79" t="n">
        <x:f>IF(H1143&gt;0,I1143/H1143,0)</x:f>
        <x:v>0.012567890793265984</x:v>
      </x:c>
      <x:c r="K1143" s="80" t="n">
        <x:f>(H1143*J1143+I1143)*'Inputs'!$D$47*(1+'Inputs'!$G$47)^(B1143/30)</x:f>
        <x:v>76643.73913020045</x:v>
      </x:c>
      <x:c r="L1143" s="80" t="n">
        <x:f>MAX(0,K1143*'Inputs'!$E$47)</x:f>
        <x:v>3832.186956510023</x:v>
      </x:c>
      <x:c r="M1143" s="80" t="n">
        <x:f>MAX(0,-K1143*'Inputs'!$E$47)</x:f>
        <x:v>0</x:v>
      </x:c>
      <x:c r="N1143" s="78" t="n">
        <x:f>H1143*(L1143*(1-'Inputs'!$B$15))/(I1143+L1143*(1-'Inputs'!$B$15))</x:f>
        <x:v>261306.45299117573</x:v>
      </x:c>
      <x:c r="O1143" s="78" t="n">
        <x:f>H1143-N1143</x:f>
        <x:v>1683324.498744513</x:v>
      </x:c>
      <x:c r="P1143" s="78" t="n">
        <x:f>I1143+L1143*(1-'Inputs'!$B$17)</x:f>
        <x:v>28256.675115650138</x:v>
      </x:c>
      <x:c r="Q1143" s="78" t="n">
        <x:f>IF(J1143&gt;0,M1143/J1143,0)</x:f>
        <x:v>0</x:v>
      </x:c>
      <x:c r="R1143" s="78" t="n">
        <x:f>IF(B1143='Inputs'!$H$47,'Inputs'!$B$27*'Inputs'!$I$47,0)</x:f>
        <x:v>0</x:v>
      </x:c>
      <x:c r="S1143" s="78" t="n">
        <x:f>Q1143+G1143+R1143</x:f>
        <x:v>296253.4129292547</x:v>
      </x:c>
      <x:c r="T1143" s="78" t="n">
        <x:f>P1143*(S1143*(1-'Inputs'!$B$15))/(O1143+S1143*(1-'Inputs'!$B$15))</x:f>
        <x:v>4192.7353043916</x:v>
      </x:c>
      <x:c r="U1143" s="78" t="n">
        <x:f>O1143+S1143*(1-'Inputs'!$B$17)</x:f>
        <x:v>1978385.745022141</x:v>
      </x:c>
      <x:c r="V1143" s="78" t="n">
        <x:f>P1143-T1143</x:f>
        <x:v>24063.939811258537</x:v>
      </x:c>
      <x:c r="W1143" s="79" t="n">
        <x:f>IF(U1143&gt;0,V1143/U1143,0)</x:f>
        <x:v>0.012163421553054724</x:v>
      </x:c>
      <x:c r="X1143" s="80" t="n">
        <x:f>W1143*('Inputs'!$B$6-AC1143)</x:f>
        <x:v>12155695.35665981</x:v>
      </x:c>
      <x:c r="Y1143" s="80" t="n">
        <x:f>2*V1143</x:f>
        <x:v>48127.87962251707</x:v>
      </x:c>
      <x:c r="Z1143" s="80" t="n">
        <x:f>K1143*'Inputs'!$B$16+(G1143+R1143)*J1143*'Inputs'!$B$16</x:f>
        <x:v>482.202118026166</x:v>
      </x:c>
      <x:c r="AA1143" s="80" t="n">
        <x:f>K1143*(1+'Inputs'!$E$47)/2*'Inputs'!$B$17</x:f>
        <x:v>161.92339252859253</x:v>
      </x:c>
      <x:c r="AB1143" s="78" t="n">
        <x:f>(IF(J1143&gt;0,K1143*(1-'Inputs'!$E$47)/2/J1143,0)+G1143+R1143)*'Inputs'!$B$17</x:f>
        <x:v>12849.024549228532</x:v>
      </x:c>
      <x:c r="AC1143" s="78" t="n">
        <x:f>AC1142+AB1143</x:f>
        <x:v>635199.2620838555</x:v>
      </x:c>
      <x:c r="AD1143" s="80" t="n">
        <x:f>Z1143/(1+'Inputs'!$C$47)</x:f>
        <x:v>192.88084721046638</x:v>
      </x:c>
      <x:c r="AE1143" s="80" t="n">
        <x:f>Z1143-AD1143</x:f>
        <x:v>289.32127081569956</x:v>
      </x:c>
      <x:c r="AF1143" s="80" t="n">
        <x:f>D1143*W1143</x:f>
        <x:v>3636.093272563998</x:v>
      </x:c>
      <x:c r="AG1143" s="80" t="n">
        <x:f>C1143*W1143</x:f>
        <x:v>8484.217635982663</x:v>
      </x:c>
      <x:c r="AH1143" s="80" t="n">
        <x:f>2*'Inputs'!$B$8*'Inputs'!$C$47</x:f>
        <x:v>7500</x:v>
      </x:c>
      <x:c r="AI1143" s="81" t="n">
        <x:f>IF(AH1143&gt;0,(AE1143+AF1143)/AH1143*365,0)</x:f>
        <x:v>191.03684111114526</x:v>
      </x:c>
      <x:c r="AJ1143" s="81" t="n">
        <x:f>IF('Inputs'!$B$47&gt;0,AG1143/('Inputs'!$B$19*'Inputs'!$B$47)*365,0)</x:f>
        <x:v>309.6739437133672</x:v>
      </x:c>
      <x:c r="AK1143" s="81" t="n">
        <x:f>W1143/MAX($W$1099:W1143)-1</x:f>
        <x:v>-0.4510988412266147</x:v>
      </x:c>
      <x:c r="AL1143" s="83" t="n">
        <x:f>'Inputs'!$B$47</x:f>
        <x:v>1</x:v>
      </x:c>
      <x:c r="AM1143" s="83" t="n">
        <x:f>'Inputs'!$C$47</x:f>
        <x:v>1.5</x:v>
      </x:c>
      <x:c r="AN1143" s="83" t="n">
        <x:f>'Inputs'!$D$47</x:f>
        <x:v>1.5</x:v>
      </x:c>
      <x:c r="AO1143" s="81" t="n">
        <x:f>'Inputs'!$E$47</x:f>
        <x:v>0.05</x:v>
      </x:c>
    </x:row>
    <x:row r="1144">
      <x:c r="A1144" s="59" t="str">
        <x:v>Growth</x:v>
      </x:c>
      <x:c r="B1144" s="59" t="n">
        <x:v>46</x:v>
      </x:c>
      <x:c r="C1144" s="78" t="n">
        <x:f>(('Inputs'!$B$29*(3*46*'Inputs'!$B$12-46^2)/(2*'Inputs'!$B$12^2))-('Inputs'!$B$29*(3*45*'Inputs'!$B$12-45^2)/(2*'Inputs'!$B$12^2)))*'Inputs'!$B$47</x:f>
        <x:v>697193.8919121809</x:v>
      </x:c>
      <x:c r="D1144" s="78" t="n">
        <x:f>IF('Inputs'!$C$47&gt;0,('Inputs'!$B$30*(3*46*'Inputs'!$B$12-46^2)/(2*'Inputs'!$B$12^2))-('Inputs'!$B$30*(3*45*'Inputs'!$B$12-45^2)/(2*'Inputs'!$B$12^2)),0)</x:f>
        <x:v>298797.3822480757</x:v>
      </x:c>
      <x:c r="E1144" s="78" t="n">
        <x:f>C1144+D1144</x:f>
        <x:v>995991.2741602566</x:v>
      </x:c>
      <x:c r="F1144" s="78" t="n">
        <x:f>'Inputs'!$B$13*E1144+(1-'Inputs'!$B$13)/'Inputs'!$B$14*SUM(E1099:E1144)</x:f>
        <x:v>860573.8814572555</x:v>
      </x:c>
      <x:c r="G1144" s="78" t="n">
        <x:f>F1144*'Inputs'!$F$47</x:f>
        <x:v>301200.8585100394</x:v>
      </x:c>
      <x:c r="H1144" s="78" t="n">
        <x:f>U1143</x:f>
        <x:v>1978385.745022141</x:v>
      </x:c>
      <x:c r="I1144" s="78" t="n">
        <x:f>V1143</x:f>
        <x:v>24063.939811258537</x:v>
      </x:c>
      <x:c r="J1144" s="79" t="n">
        <x:f>IF(H1144&gt;0,I1144/H1144,0)</x:f>
        <x:v>0.012163421553054724</x:v>
      </x:c>
      <x:c r="K1144" s="80" t="n">
        <x:f>(H1144*J1144+I1144)*'Inputs'!$D$47*(1+'Inputs'!$G$47)^(B1144/30)</x:f>
        <x:v>75539.08708377437</x:v>
      </x:c>
      <x:c r="L1144" s="80" t="n">
        <x:f>MAX(0,K1144*'Inputs'!$E$47)</x:f>
        <x:v>3776.9543541887188</x:v>
      </x:c>
      <x:c r="M1144" s="80" t="n">
        <x:f>MAX(0,-K1144*'Inputs'!$E$47)</x:f>
        <x:v>0</x:v>
      </x:c>
      <x:c r="N1144" s="78" t="n">
        <x:f>H1144*(L1144*(1-'Inputs'!$B$15))/(I1144+L1144*(1-'Inputs'!$B$15))</x:f>
        <x:v>266069.01303311303</x:v>
      </x:c>
      <x:c r="O1144" s="78" t="n">
        <x:f>H1144-N1144</x:f>
        <x:v>1712316.731989028</x:v>
      </x:c>
      <x:c r="P1144" s="78" t="n">
        <x:f>I1144+L1144*(1-'Inputs'!$B$17)</x:f>
        <x:v>27825.695153961587</x:v>
      </x:c>
      <x:c r="Q1144" s="78" t="n">
        <x:f>IF(J1144&gt;0,M1144/J1144,0)</x:f>
        <x:v>0</x:v>
      </x:c>
      <x:c r="R1144" s="78" t="n">
        <x:f>IF(B1144='Inputs'!$H$47,'Inputs'!$B$27*'Inputs'!$I$47,0)</x:f>
        <x:v>0</x:v>
      </x:c>
      <x:c r="S1144" s="78" t="n">
        <x:f>Q1144+G1144+R1144</x:f>
        <x:v>301200.8585100394</x:v>
      </x:c>
      <x:c r="T1144" s="78" t="n">
        <x:f>P1144*(S1144*(1-'Inputs'!$B$15))/(O1144+S1144*(1-'Inputs'!$B$15))</x:f>
        <x:v>4126.977866145915</x:v>
      </x:c>
      <x:c r="U1144" s="78" t="n">
        <x:f>O1144+S1144*(1-'Inputs'!$B$17)</x:f>
        <x:v>2012305.514609691</x:v>
      </x:c>
      <x:c r="V1144" s="78" t="n">
        <x:f>P1144-T1144</x:f>
        <x:v>23698.71728781567</x:v>
      </x:c>
      <x:c r="W1144" s="79" t="n">
        <x:f>IF(U1144&gt;0,V1144/U1144,0)</x:f>
        <x:v>0.01177689824718902</x:v>
      </x:c>
      <x:c r="X1144" s="80" t="n">
        <x:f>W1144*('Inputs'!$B$6-AC1144)</x:f>
        <x:v>11769263.493383925</x:v>
      </x:c>
      <x:c r="Y1144" s="80" t="n">
        <x:f>2*V1144</x:f>
        <x:v>47397.43457563134</x:v>
      </x:c>
      <x:c r="Z1144" s="80" t="n">
        <x:f>K1144*'Inputs'!$B$16+(G1144+R1144)*J1144*'Inputs'!$B$16</x:f>
        <x:v>475.2163205878438</x:v>
      </x:c>
      <x:c r="AA1144" s="80" t="n">
        <x:f>K1144*(1+'Inputs'!$E$47)/2*'Inputs'!$B$17</x:f>
        <x:v>159.58962059952336</x:v>
      </x:c>
      <x:c r="AB1144" s="78" t="n">
        <x:f>(IF(J1144&gt;0,K1144*(1-'Inputs'!$E$47)/2/J1144,0)+G1144+R1144)*'Inputs'!$B$17</x:f>
        <x:v>13082.963409310487</x:v>
      </x:c>
      <x:c r="AC1144" s="78" t="n">
        <x:f>AC1143+AB1144</x:f>
        <x:v>648282.2254931659</x:v>
      </x:c>
      <x:c r="AD1144" s="80" t="n">
        <x:f>Z1144/(1+'Inputs'!$C$47)</x:f>
        <x:v>190.08652823513754</x:v>
      </x:c>
      <x:c r="AE1144" s="80" t="n">
        <x:f>Z1144-AD1144</x:f>
        <x:v>285.1297923527063</x:v>
      </x:c>
      <x:c r="AF1144" s="80" t="n">
        <x:f>D1144*W1144</x:f>
        <x:v>3518.90636726203</x:v>
      </x:c>
      <x:c r="AG1144" s="80" t="n">
        <x:f>C1144*W1144</x:f>
        <x:v>8210.781523611455</x:v>
      </x:c>
      <x:c r="AH1144" s="80" t="n">
        <x:f>2*'Inputs'!$B$8*'Inputs'!$C$47</x:f>
        <x:v>7500</x:v>
      </x:c>
      <x:c r="AI1144" s="81" t="n">
        <x:f>IF(AH1144&gt;0,(AE1144+AF1144)/AH1144*365,0)</x:f>
        <x:v>185.12975976791716</x:v>
      </x:c>
      <x:c r="AJ1144" s="81" t="n">
        <x:f>IF('Inputs'!$B$47&gt;0,AG1144/('Inputs'!$B$19*'Inputs'!$B$47)*365,0)</x:f>
        <x:v>299.6935256118181</x:v>
      </x:c>
      <x:c r="AK1144" s="81" t="n">
        <x:f>W1144/MAX($W$1099:W1144)-1</x:f>
        <x:v>-0.4685415558079672</x:v>
      </x:c>
      <x:c r="AL1144" s="83" t="n">
        <x:f>'Inputs'!$B$47</x:f>
        <x:v>1</x:v>
      </x:c>
      <x:c r="AM1144" s="83" t="n">
        <x:f>'Inputs'!$C$47</x:f>
        <x:v>1.5</x:v>
      </x:c>
      <x:c r="AN1144" s="83" t="n">
        <x:f>'Inputs'!$D$47</x:f>
        <x:v>1.5</x:v>
      </x:c>
      <x:c r="AO1144" s="81" t="n">
        <x:f>'Inputs'!$E$47</x:f>
        <x:v>0.05</x:v>
      </x:c>
    </x:row>
    <x:row r="1145">
      <x:c r="A1145" s="59" t="str">
        <x:v>Growth</x:v>
      </x:c>
      <x:c r="B1145" s="59" t="n">
        <x:v>47</x:v>
      </x:c>
      <x:c r="C1145" s="78" t="n">
        <x:f>(('Inputs'!$B$29*(3*47*'Inputs'!$B$12-47^2)/(2*'Inputs'!$B$12^2))-('Inputs'!$B$29*(3*46*'Inputs'!$B$12-46^2)/(2*'Inputs'!$B$12^2)))*'Inputs'!$B$47</x:f>
        <x:v>696868.7840120085</x:v>
      </x:c>
      <x:c r="D1145" s="78" t="n">
        <x:f>IF('Inputs'!$C$47&gt;0,('Inputs'!$B$30*(3*47*'Inputs'!$B$12-47^2)/(2*'Inputs'!$B$12^2))-('Inputs'!$B$30*(3*46*'Inputs'!$B$12-46^2)/(2*'Inputs'!$B$12^2)),0)</x:f>
        <x:v>298658.0502908621</x:v>
      </x:c>
      <x:c r="E1145" s="78" t="n">
        <x:f>C1145+D1145</x:f>
        <x:v>995526.8343028706</x:v>
      </x:c>
      <x:c r="F1145" s="78" t="n">
        <x:f>'Inputs'!$B$13*E1145+(1-'Inputs'!$B$13)/'Inputs'!$B$14*SUM(E1099:E1145)</x:f>
        <x:v>874702.8054043907</x:v>
      </x:c>
      <x:c r="G1145" s="78" t="n">
        <x:f>F1145*'Inputs'!$F$47</x:f>
        <x:v>306145.98189153674</x:v>
      </x:c>
      <x:c r="H1145" s="78" t="n">
        <x:f>U1144</x:f>
        <x:v>2012305.514609691</x:v>
      </x:c>
      <x:c r="I1145" s="78" t="n">
        <x:f>V1144</x:f>
        <x:v>23698.71728781567</x:v>
      </x:c>
      <x:c r="J1145" s="79" t="n">
        <x:f>IF(H1145&gt;0,I1145/H1145,0)</x:f>
        <x:v>0.01177689824718902</x:v>
      </x:c>
      <x:c r="K1145" s="80" t="n">
        <x:f>(H1145*J1145+I1145)*'Inputs'!$D$47*(1+'Inputs'!$G$47)^(B1145/30)</x:f>
        <x:v>74465.95213852073</x:v>
      </x:c>
      <x:c r="L1145" s="80" t="n">
        <x:f>MAX(0,K1145*'Inputs'!$E$47)</x:f>
        <x:v>3723.2976069260367</x:v>
      </x:c>
      <x:c r="M1145" s="80" t="n">
        <x:f>MAX(0,-K1145*'Inputs'!$E$47)</x:f>
        <x:v>0</x:v>
      </x:c>
      <x:c r="N1145" s="78" t="n">
        <x:f>H1145*(L1145*(1-'Inputs'!$B$15))/(I1145+L1145*(1-'Inputs'!$B$15))</x:f>
        <x:v>270861.6853663229</x:v>
      </x:c>
      <x:c r="O1145" s="78" t="n">
        <x:f>H1145-N1145</x:f>
        <x:v>1741443.829243368</x:v>
      </x:c>
      <x:c r="P1145" s="78" t="n">
        <x:f>I1145+L1145*(1-'Inputs'!$B$17)</x:f>
        <x:v>27407.031805780236</x:v>
      </x:c>
      <x:c r="Q1145" s="78" t="n">
        <x:f>IF(J1145&gt;0,M1145/J1145,0)</x:f>
        <x:v>0</x:v>
      </x:c>
      <x:c r="R1145" s="78" t="n">
        <x:f>IF(B1145='Inputs'!$H$47,'Inputs'!$B$27*'Inputs'!$I$47,0)</x:f>
        <x:v>0</x:v>
      </x:c>
      <x:c r="S1145" s="78" t="n">
        <x:f>Q1145+G1145+R1145</x:f>
        <x:v>306145.98189153674</x:v>
      </x:c>
      <x:c r="T1145" s="78" t="n">
        <x:f>P1145*(S1145*(1-'Inputs'!$B$15))/(O1145+S1145*(1-'Inputs'!$B$15))</x:f>
        <x:v>4062.8671795807313</x:v>
      </x:c>
      <x:c r="U1145" s="78" t="n">
        <x:f>O1145+S1145*(1-'Inputs'!$B$17)</x:f>
        <x:v>2046357.835352645</x:v>
      </x:c>
      <x:c r="V1145" s="78" t="n">
        <x:f>P1145-T1145</x:f>
        <x:v>23344.164626199505</x:v>
      </x:c>
      <x:c r="W1145" s="79" t="n">
        <x:f>IF(U1145&gt;0,V1145/U1145,0)</x:f>
        <x:v>0.011407664985521287</x:v>
      </x:c>
      <x:c r="X1145" s="80" t="n">
        <x:f>W1145*('Inputs'!$B$6-AC1145)</x:f>
        <x:v>11400117.668435529</x:v>
      </x:c>
      <x:c r="Y1145" s="80" t="n">
        <x:f>2*V1145</x:f>
        <x:v>46688.32925239901</x:v>
      </x:c>
      <x:c r="Z1145" s="80" t="n">
        <x:f>K1145*'Inputs'!$B$16+(G1145+R1145)*J1145*'Inputs'!$B$16</x:f>
        <x:v>468.42841329625884</x:v>
      </x:c>
      <x:c r="AA1145" s="80" t="n">
        <x:f>K1145*(1+'Inputs'!$E$47)/2*'Inputs'!$B$17</x:f>
        <x:v>157.32243409546635</x:v>
      </x:c>
      <x:c r="AB1145" s="78" t="n">
        <x:f>(IF(J1145&gt;0,K1145*(1-'Inputs'!$E$47)/2/J1145,0)+G1145+R1145)*'Inputs'!$B$17</x:f>
        <x:v>13318.294450077674</x:v>
      </x:c>
      <x:c r="AC1145" s="78" t="n">
        <x:f>AC1144+AB1145</x:f>
        <x:v>661600.5199432436</x:v>
      </x:c>
      <x:c r="AD1145" s="80" t="n">
        <x:f>Z1145/(1+'Inputs'!$C$47)</x:f>
        <x:v>187.37136531850354</x:v>
      </x:c>
      <x:c r="AE1145" s="80" t="n">
        <x:f>Z1145-AD1145</x:f>
        <x:v>281.0570479777553</x:v>
      </x:c>
      <x:c r="AF1145" s="80" t="n">
        <x:f>D1145*W1145</x:f>
        <x:v>3406.9909829471235</x:v>
      </x:c>
      <x:c r="AG1145" s="80" t="n">
        <x:f>C1145*W1145</x:f>
        <x:v>7949.645626876586</x:v>
      </x:c>
      <x:c r="AH1145" s="80" t="n">
        <x:f>2*'Inputs'!$B$8*'Inputs'!$C$47</x:f>
        <x:v>7500</x:v>
      </x:c>
      <x:c r="AI1145" s="81" t="n">
        <x:f>IF(AH1145&gt;0,(AE1145+AF1145)/AH1145*365,0)</x:f>
        <x:v>179.48500417167745</x:v>
      </x:c>
      <x:c r="AJ1145" s="81" t="n">
        <x:f>IF('Inputs'!$B$47&gt;0,AG1145/('Inputs'!$B$19*'Inputs'!$B$47)*365,0)</x:f>
        <x:v>290.1620653809954</x:v>
      </x:c>
      <x:c r="AK1145" s="81" t="n">
        <x:f>W1145/MAX($W$1099:W1145)-1</x:f>
        <x:v>-0.4852040191044231</x:v>
      </x:c>
      <x:c r="AL1145" s="83" t="n">
        <x:f>'Inputs'!$B$47</x:f>
        <x:v>1</x:v>
      </x:c>
      <x:c r="AM1145" s="83" t="n">
        <x:f>'Inputs'!$C$47</x:f>
        <x:v>1.5</x:v>
      </x:c>
      <x:c r="AN1145" s="83" t="n">
        <x:f>'Inputs'!$D$47</x:f>
        <x:v>1.5</x:v>
      </x:c>
      <x:c r="AO1145" s="81" t="n">
        <x:f>'Inputs'!$E$47</x:f>
        <x:v>0.05</x:v>
      </x:c>
    </x:row>
    <x:row r="1146">
      <x:c r="A1146" s="59" t="str">
        <x:v>Growth</x:v>
      </x:c>
      <x:c r="B1146" s="59" t="n">
        <x:v>48</x:v>
      </x:c>
      <x:c r="C1146" s="78" t="n">
        <x:f>(('Inputs'!$B$29*(3*48*'Inputs'!$B$12-48^2)/(2*'Inputs'!$B$12^2))-('Inputs'!$B$29*(3*47*'Inputs'!$B$12-47^2)/(2*'Inputs'!$B$12^2)))*'Inputs'!$B$47</x:f>
        <x:v>696543.6761118434</x:v>
      </x:c>
      <x:c r="D1146" s="78" t="n">
        <x:f>IF('Inputs'!$C$47&gt;0,('Inputs'!$B$30*(3*48*'Inputs'!$B$12-48^2)/(2*'Inputs'!$B$12^2))-('Inputs'!$B$30*(3*47*'Inputs'!$B$12-47^2)/(2*'Inputs'!$B$12^2)),0)</x:f>
        <x:v>298518.71833364666</x:v>
      </x:c>
      <x:c r="E1146" s="78" t="n">
        <x:f>C1146+D1146</x:f>
        <x:v>995062.3944454901</x:v>
      </x:c>
      <x:c r="F1146" s="78" t="n">
        <x:f>'Inputs'!$B$13*E1146+(1-'Inputs'!$B$13)/'Inputs'!$B$14*SUM(E1099:E1146)</x:f>
        <x:v>888825.0944964217</x:v>
      </x:c>
      <x:c r="G1146" s="78" t="n">
        <x:f>F1146*'Inputs'!$F$47</x:f>
        <x:v>311088.7830737476</x:v>
      </x:c>
      <x:c r="H1146" s="78" t="n">
        <x:f>U1145</x:f>
        <x:v>2046357.835352645</x:v>
      </x:c>
      <x:c r="I1146" s="78" t="n">
        <x:f>V1145</x:f>
        <x:v>23344.164626199505</x:v>
      </x:c>
      <x:c r="J1146" s="79" t="n">
        <x:f>IF(H1146&gt;0,I1146/H1146,0)</x:f>
        <x:v>0.011407664985521287</x:v>
      </x:c>
      <x:c r="K1146" s="80" t="n">
        <x:f>(H1146*J1146+I1146)*'Inputs'!$D$47*(1+'Inputs'!$G$47)^(B1146/30)</x:f>
        <x:v>73424.18785865462</x:v>
      </x:c>
      <x:c r="L1146" s="80" t="n">
        <x:f>MAX(0,K1146*'Inputs'!$E$47)</x:f>
        <x:v>3671.209392932731</x:v>
      </x:c>
      <x:c r="M1146" s="80" t="n">
        <x:f>MAX(0,-K1146*'Inputs'!$E$47)</x:f>
        <x:v>0</x:v>
      </x:c>
      <x:c r="N1146" s="78" t="n">
        <x:f>H1146*(L1146*(1-'Inputs'!$B$15))/(I1146+L1146*(1-'Inputs'!$B$15))</x:f>
        <x:v>275680.167015092</x:v>
      </x:c>
      <x:c r="O1146" s="78" t="n">
        <x:f>H1146-N1146</x:f>
        <x:v>1770677.668337553</x:v>
      </x:c>
      <x:c r="P1146" s="78" t="n">
        <x:f>I1146+L1146*(1-'Inputs'!$B$17)</x:f>
        <x:v>27000.60054068985</x:v>
      </x:c>
      <x:c r="Q1146" s="78" t="n">
        <x:f>IF(J1146&gt;0,M1146/J1146,0)</x:f>
        <x:v>0</x:v>
      </x:c>
      <x:c r="R1146" s="78" t="n">
        <x:f>IF(B1146='Inputs'!$H$47,'Inputs'!$B$27*'Inputs'!$I$47,0)</x:f>
        <x:v>0</x:v>
      </x:c>
      <x:c r="S1146" s="78" t="n">
        <x:f>Q1146+G1146+R1146</x:f>
        <x:v>311088.7830737476</x:v>
      </x:c>
      <x:c r="T1146" s="78" t="n">
        <x:f>P1146*(S1146*(1-'Inputs'!$B$15))/(O1146+S1146*(1-'Inputs'!$B$15))</x:f>
        <x:v>4000.464661155803</x:v>
      </x:c>
      <x:c r="U1146" s="78" t="n">
        <x:f>O1146+S1146*(1-'Inputs'!$B$17)</x:f>
        <x:v>2080514.585081024</x:v>
      </x:c>
      <x:c r="V1146" s="78" t="n">
        <x:f>P1146-T1146</x:f>
        <x:v>23000.13587953405</x:v>
      </x:c>
      <x:c r="W1146" s="79" t="n">
        <x:f>IF(U1146&gt;0,V1146/U1146,0)</x:f>
        <x:v>0.01105502265855941</x:v>
      </x:c>
      <x:c r="X1146" s="80" t="n">
        <x:f>W1146*('Inputs'!$B$6-AC1146)</x:f>
        <x:v>11047558.80090909</x:v>
      </x:c>
      <x:c r="Y1146" s="80" t="n">
        <x:f>2*V1146</x:f>
        <x:v>46000.2717590681</x:v>
      </x:c>
      <x:c r="Z1146" s="80" t="n">
        <x:f>K1146*'Inputs'!$B$16+(G1146+R1146)*J1146*'Inputs'!$B$16</x:f>
        <x:v>461.83790686028067</x:v>
      </x:c>
      <x:c r="AA1146" s="80" t="n">
        <x:f>K1146*(1+'Inputs'!$E$47)/2*'Inputs'!$B$17</x:f>
        <x:v>155.12152364504502</x:v>
      </x:c>
      <x:c r="AB1146" s="78" t="n">
        <x:f>(IF(J1146&gt;0,K1146*(1-'Inputs'!$E$47)/2/J1146,0)+G1146+R1146)*'Inputs'!$B$17</x:f>
        <x:v>13554.826259481333</x:v>
      </x:c>
      <x:c r="AC1146" s="78" t="n">
        <x:f>AC1145+AB1146</x:f>
        <x:v>675155.346202725</x:v>
      </x:c>
      <x:c r="AD1146" s="80" t="n">
        <x:f>Z1146/(1+'Inputs'!$C$47)</x:f>
        <x:v>184.73516274411227</x:v>
      </x:c>
      <x:c r="AE1146" s="80" t="n">
        <x:f>Z1146-AD1146</x:f>
        <x:v>277.1027441161684</x:v>
      </x:c>
      <x:c r="AF1146" s="80" t="n">
        <x:f>D1146*W1146</x:f>
        <x:v>3300.131195182578</x:v>
      </x:c>
      <x:c r="AG1146" s="80" t="n">
        <x:f>C1146*W1146</x:f>
        <x:v>7700.306122092696</x:v>
      </x:c>
      <x:c r="AH1146" s="80" t="n">
        <x:f>2*'Inputs'!$B$8*'Inputs'!$C$47</x:f>
        <x:v>7500</x:v>
      </x:c>
      <x:c r="AI1146" s="81" t="n">
        <x:f>IF(AH1146&gt;0,(AE1146+AF1146)/AH1146*365,0)</x:f>
        <x:v>174.09205171253896</x:v>
      </x:c>
      <x:c r="AJ1146" s="81" t="n">
        <x:f>IF('Inputs'!$B$47&gt;0,AG1146/('Inputs'!$B$19*'Inputs'!$B$47)*365,0)</x:f>
        <x:v>281.0611734563834</x:v>
      </x:c>
      <x:c r="AK1146" s="81" t="n">
        <x:f>W1146/MAX($W$1099:W1146)-1</x:f>
        <x:v>-0.5011177799699507</x:v>
      </x:c>
      <x:c r="AL1146" s="83" t="n">
        <x:f>'Inputs'!$B$47</x:f>
        <x:v>1</x:v>
      </x:c>
      <x:c r="AM1146" s="83" t="n">
        <x:f>'Inputs'!$C$47</x:f>
        <x:v>1.5</x:v>
      </x:c>
      <x:c r="AN1146" s="83" t="n">
        <x:f>'Inputs'!$D$47</x:f>
        <x:v>1.5</x:v>
      </x:c>
      <x:c r="AO1146" s="81" t="n">
        <x:f>'Inputs'!$E$47</x:f>
        <x:v>0.05</x:v>
      </x:c>
    </x:row>
    <x:row r="1147">
      <x:c r="A1147" s="59" t="str">
        <x:v>Growth</x:v>
      </x:c>
      <x:c r="B1147" s="59" t="n">
        <x:v>49</x:v>
      </x:c>
      <x:c r="C1147" s="78" t="n">
        <x:f>(('Inputs'!$B$29*(3*49*'Inputs'!$B$12-49^2)/(2*'Inputs'!$B$12^2))-('Inputs'!$B$29*(3*48*'Inputs'!$B$12-48^2)/(2*'Inputs'!$B$12^2)))*'Inputs'!$B$47</x:f>
        <x:v>696218.5682116672</x:v>
      </x:c>
      <x:c r="D1147" s="78" t="n">
        <x:f>IF('Inputs'!$C$47&gt;0,('Inputs'!$B$30*(3*49*'Inputs'!$B$12-49^2)/(2*'Inputs'!$B$12^2))-('Inputs'!$B$30*(3*48*'Inputs'!$B$12-48^2)/(2*'Inputs'!$B$12^2)),0)</x:f>
        <x:v>298379.3863764312</x:v>
      </x:c>
      <x:c r="E1147" s="78" t="n">
        <x:f>C1147+D1147</x:f>
        <x:v>994597.9545880985</x:v>
      </x:c>
      <x:c r="F1147" s="78" t="n">
        <x:f>'Inputs'!$B$13*E1147+(1-'Inputs'!$B$13)/'Inputs'!$B$14*SUM(E1099:E1147)</x:f>
        <x:v>902940.7487333447</x:v>
      </x:c>
      <x:c r="G1147" s="78" t="n">
        <x:f>F1147*'Inputs'!$F$47</x:f>
        <x:v>316029.2620566706</x:v>
      </x:c>
      <x:c r="H1147" s="78" t="n">
        <x:f>U1146</x:f>
        <x:v>2080514.585081024</x:v>
      </x:c>
      <x:c r="I1147" s="78" t="n">
        <x:f>V1146</x:f>
        <x:v>23000.13587953405</x:v>
      </x:c>
      <x:c r="J1147" s="79" t="n">
        <x:f>IF(H1147&gt;0,I1147/H1147,0)</x:f>
        <x:v>0.01105502265855941</x:v>
      </x:c>
      <x:c r="K1147" s="80" t="n">
        <x:f>(H1147*J1147+I1147)*'Inputs'!$D$47*(1+'Inputs'!$G$47)^(B1147/30)</x:f>
        <x:v>72413.43072076017</x:v>
      </x:c>
      <x:c r="L1147" s="80" t="n">
        <x:f>MAX(0,K1147*'Inputs'!$E$47)</x:f>
        <x:v>3620.6715360380085</x:v>
      </x:c>
      <x:c r="M1147" s="80" t="n">
        <x:f>MAX(0,-K1147*'Inputs'!$E$47)</x:f>
        <x:v>0</x:v>
      </x:c>
      <x:c r="N1147" s="78" t="n">
        <x:f>H1147*(L1147*(1-'Inputs'!$B$15))/(I1147+L1147*(1-'Inputs'!$B$15))</x:f>
        <x:v>280520.7203683997</x:v>
      </x:c>
      <x:c r="O1147" s="78" t="n">
        <x:f>H1147-N1147</x:f>
        <x:v>1799993.8647126243</x:v>
      </x:c>
      <x:c r="P1147" s="78" t="n">
        <x:f>I1147+L1147*(1-'Inputs'!$B$17)</x:f>
        <x:v>26606.237308787197</x:v>
      </x:c>
      <x:c r="Q1147" s="78" t="n">
        <x:f>IF(J1147&gt;0,M1147/J1147,0)</x:f>
        <x:v>0</x:v>
      </x:c>
      <x:c r="R1147" s="78" t="n">
        <x:f>IF(B1147='Inputs'!$H$47,'Inputs'!$B$27*'Inputs'!$I$47,0)</x:f>
        <x:v>0</x:v>
      </x:c>
      <x:c r="S1147" s="78" t="n">
        <x:f>Q1147+G1147+R1147</x:f>
        <x:v>316029.2620566706</x:v>
      </x:c>
      <x:c r="T1147" s="78" t="n">
        <x:f>P1147*(S1147*(1-'Inputs'!$B$15))/(O1147+S1147*(1-'Inputs'!$B$15))</x:f>
        <x:v>3939.8042848941077</x:v>
      </x:c>
      <x:c r="U1147" s="78" t="n">
        <x:f>O1147+S1147*(1-'Inputs'!$B$17)</x:f>
        <x:v>2114751.379235868</x:v>
      </x:c>
      <x:c r="V1147" s="78" t="n">
        <x:f>P1147-T1147</x:f>
        <x:v>22666.43302389309</x:v>
      </x:c>
      <x:c r="W1147" s="79" t="n">
        <x:f>IF(U1147&gt;0,V1147/U1147,0)</x:f>
        <x:v>0.010718249552381542</x:v>
      </x:c>
      <x:c r="X1147" s="80" t="n">
        <x:f>W1147*('Inputs'!$B$6-AC1147)</x:f>
        <x:v>10710865.238588946</x:v>
      </x:c>
      <x:c r="Y1147" s="80" t="n">
        <x:f>2*V1147</x:f>
        <x:v>45332.86604778618</x:v>
      </x:c>
      <x:c r="Z1147" s="80" t="n">
        <x:f>K1147*'Inputs'!$B$16+(G1147+R1147)*J1147*'Inputs'!$B$16</x:f>
        <x:v>455.4428482413868</x:v>
      </x:c>
      <x:c r="AA1147" s="80" t="n">
        <x:f>K1147*(1+'Inputs'!$E$47)/2*'Inputs'!$B$17</x:f>
        <x:v>152.98612124104264</x:v>
      </x:c>
      <x:c r="AB1147" s="78" t="n">
        <x:f>(IF(J1147&gt;0,K1147*(1-'Inputs'!$E$47)/2/J1147,0)+G1147+R1147)*'Inputs'!$B$17</x:f>
        <x:v>13792.392558881993</x:v>
      </x:c>
      <x:c r="AC1147" s="78" t="n">
        <x:f>AC1146+AB1147</x:f>
        <x:v>688947.738761607</x:v>
      </x:c>
      <x:c r="AD1147" s="80" t="n">
        <x:f>Z1147/(1+'Inputs'!$C$47)</x:f>
        <x:v>182.1771392965547</x:v>
      </x:c>
      <x:c r="AE1147" s="80" t="n">
        <x:f>Z1147-AD1147</x:f>
        <x:v>273.2657089448321</x:v>
      </x:c>
      <x:c r="AF1147" s="80" t="n">
        <x:f>D1147*W1147</x:f>
        <x:v>3198.104724469063</x:v>
      </x:c>
      <x:c r="AG1147" s="80" t="n">
        <x:f>C1147*W1147</x:f>
        <x:v>7462.244357094421</x:v>
      </x:c>
      <x:c r="AH1147" s="80" t="n">
        <x:f>2*'Inputs'!$B$8*'Inputs'!$C$47</x:f>
        <x:v>7500</x:v>
      </x:c>
      <x:c r="AI1147" s="81" t="n">
        <x:f>IF(AH1147&gt;0,(AE1147+AF1147)/AH1147*365,0)</x:f>
        <x:v>168.94002775947624</x:v>
      </x:c>
      <x:c r="AJ1147" s="81" t="n">
        <x:f>IF('Inputs'!$B$47&gt;0,AG1147/('Inputs'!$B$19*'Inputs'!$B$47)*365,0)</x:f>
        <x:v>272.37191903394637</x:v>
      </x:c>
      <x:c r="AK1147" s="81" t="n">
        <x:f>W1147/MAX($W$1099:W1147)-1</x:f>
        <x:v>-0.5163154073331427</x:v>
      </x:c>
      <x:c r="AL1147" s="83" t="n">
        <x:f>'Inputs'!$B$47</x:f>
        <x:v>1</x:v>
      </x:c>
      <x:c r="AM1147" s="83" t="n">
        <x:f>'Inputs'!$C$47</x:f>
        <x:v>1.5</x:v>
      </x:c>
      <x:c r="AN1147" s="83" t="n">
        <x:f>'Inputs'!$D$47</x:f>
        <x:v>1.5</x:v>
      </x:c>
      <x:c r="AO1147" s="81" t="n">
        <x:f>'Inputs'!$E$47</x:f>
        <x:v>0.05</x:v>
      </x:c>
    </x:row>
    <x:row r="1148">
      <x:c r="A1148" s="59" t="str">
        <x:v>Growth</x:v>
      </x:c>
      <x:c r="B1148" s="59" t="n">
        <x:v>50</x:v>
      </x:c>
      <x:c r="C1148" s="78" t="n">
        <x:f>(('Inputs'!$B$29*(3*50*'Inputs'!$B$12-50^2)/(2*'Inputs'!$B$12^2))-('Inputs'!$B$29*(3*49*'Inputs'!$B$12-49^2)/(2*'Inputs'!$B$12^2)))*'Inputs'!$B$47</x:f>
        <x:v>695893.4603115022</x:v>
      </x:c>
      <x:c r="D1148" s="78" t="n">
        <x:f>IF('Inputs'!$C$47&gt;0,('Inputs'!$B$30*(3*50*'Inputs'!$B$12-50^2)/(2*'Inputs'!$B$12^2))-('Inputs'!$B$30*(3*49*'Inputs'!$B$12-49^2)/(2*'Inputs'!$B$12^2)),0)</x:f>
        <x:v>298240.0544192139</x:v>
      </x:c>
      <x:c r="E1148" s="78" t="n">
        <x:f>C1148+D1148</x:f>
        <x:v>994133.5147307161</x:v>
      </x:c>
      <x:c r="F1148" s="78" t="n">
        <x:f>'Inputs'!$B$13*E1148+(1-'Inputs'!$B$13)/'Inputs'!$B$14*SUM(E1099:E1148)</x:f>
        <x:v>917049.7681151642</x:v>
      </x:c>
      <x:c r="G1148" s="78" t="n">
        <x:f>F1148*'Inputs'!$F$47</x:f>
        <x:v>320967.41884030745</x:v>
      </x:c>
      <x:c r="H1148" s="78" t="n">
        <x:f>U1147</x:f>
        <x:v>2114751.379235868</x:v>
      </x:c>
      <x:c r="I1148" s="78" t="n">
        <x:f>V1147</x:f>
        <x:v>22666.43302389309</x:v>
      </x:c>
      <x:c r="J1148" s="79" t="n">
        <x:f>IF(H1148&gt;0,I1148/H1148,0)</x:f>
        <x:v>0.010718249552381542</x:v>
      </x:c>
      <x:c r="K1148" s="80" t="n">
        <x:f>(H1148*J1148+I1148)*'Inputs'!$D$47*(1+'Inputs'!$G$47)^(B1148/30)</x:f>
        <x:v>71433.15146034873</x:v>
      </x:c>
      <x:c r="L1148" s="80" t="n">
        <x:f>MAX(0,K1148*'Inputs'!$E$47)</x:f>
        <x:v>3571.657573017437</x:v>
      </x:c>
      <x:c r="M1148" s="80" t="n">
        <x:f>MAX(0,-K1148*'Inputs'!$E$47)</x:f>
        <x:v>0</x:v>
      </x:c>
      <x:c r="N1148" s="78" t="n">
        <x:f>H1148*(L1148*(1-'Inputs'!$B$15))/(I1148+L1148*(1-'Inputs'!$B$15))</x:f>
        <x:v>285380.0993324283</x:v>
      </x:c>
      <x:c r="O1148" s="78" t="n">
        <x:f>H1148-N1148</x:f>
        <x:v>1829371.2799034396</x:v>
      </x:c>
      <x:c r="P1148" s="78" t="n">
        <x:f>I1148+L1148*(1-'Inputs'!$B$17)</x:f>
        <x:v>26223.717729413474</x:v>
      </x:c>
      <x:c r="Q1148" s="78" t="n">
        <x:f>IF(J1148&gt;0,M1148/J1148,0)</x:f>
        <x:v>0</x:v>
      </x:c>
      <x:c r="R1148" s="78" t="n">
        <x:f>IF(B1148='Inputs'!$H$47,'Inputs'!$B$27*'Inputs'!$I$47,0)</x:f>
        <x:v>0</x:v>
      </x:c>
      <x:c r="S1148" s="78" t="n">
        <x:f>Q1148+G1148+R1148</x:f>
        <x:v>320967.41884030745</x:v>
      </x:c>
      <x:c r="T1148" s="78" t="n">
        <x:f>P1148*(S1148*(1-'Inputs'!$B$15))/(O1148+S1148*(1-'Inputs'!$B$15))</x:f>
        <x:v>3880.898309691589</x:v>
      </x:c>
      <x:c r="U1148" s="78" t="n">
        <x:f>O1148+S1148*(1-'Inputs'!$B$17)</x:f>
        <x:v>2149047.0793520357</x:v>
      </x:c>
      <x:c r="V1148" s="78" t="n">
        <x:f>P1148-T1148</x:f>
        <x:v>22342.819419721884</x:v>
      </x:c>
      <x:c r="W1148" s="79" t="n">
        <x:f>IF(U1148&gt;0,V1148/U1148,0)</x:f>
        <x:v>0.010396617009646211</x:v>
      </x:c>
      <x:c r="X1148" s="80" t="n">
        <x:f>W1148*('Inputs'!$B$6-AC1148)</x:f>
        <x:v>10389308.410504073</x:v>
      </x:c>
      <x:c r="Y1148" s="80" t="n">
        <x:f>2*V1148</x:f>
        <x:v>44685.63883944377</x:v>
      </x:c>
      <x:c r="Z1148" s="80" t="n">
        <x:f>K1148*'Inputs'!$B$16+(G1148+R1148)*J1148*'Inputs'!$B$16</x:f>
        <x:v>449.2401621219775</x:v>
      </x:c>
      <x:c r="AA1148" s="80" t="n">
        <x:f>K1148*(1+'Inputs'!$E$47)/2*'Inputs'!$B$17</x:f>
        <x:v>150.91510871904663</x:v>
      </x:c>
      <x:c r="AB1148" s="78" t="n">
        <x:f>(IF(J1148&gt;0,K1148*(1-'Inputs'!$E$47)/2/J1148,0)+G1148+R1148)*'Inputs'!$B$17</x:f>
        <x:v>14030.848923053727</x:v>
      </x:c>
      <x:c r="AC1148" s="78" t="n">
        <x:f>AC1147+AB1148</x:f>
        <x:v>702978.5876846607</x:v>
      </x:c>
      <x:c r="AD1148" s="80" t="n">
        <x:f>Z1148/(1+'Inputs'!$C$47)</x:f>
        <x:v>179.696064848791</x:v>
      </x:c>
      <x:c r="AE1148" s="80" t="n">
        <x:f>Z1148-AD1148</x:f>
        <x:v>269.5440972731865</x:v>
      </x:c>
      <x:c r="AF1148" s="80" t="n">
        <x:f>D1148*W1148</x:f>
        <x:v>3100.687622732611</x:v>
      </x:c>
      <x:c r="AG1148" s="80" t="n">
        <x:f>C1148*W1148</x:f>
        <x:v>7234.937786376125</x:v>
      </x:c>
      <x:c r="AH1148" s="80" t="n">
        <x:f>2*'Inputs'!$B$8*'Inputs'!$C$47</x:f>
        <x:v>7500</x:v>
      </x:c>
      <x:c r="AI1148" s="81" t="n">
        <x:f>IF(AH1148&gt;0,(AE1148+AF1148)/AH1148*365,0)</x:f>
        <x:v>164.0179437069488</x:v>
      </x:c>
      <x:c r="AJ1148" s="81" t="n">
        <x:f>IF('Inputs'!$B$47&gt;0,AG1148/('Inputs'!$B$19*'Inputs'!$B$47)*365,0)</x:f>
        <x:v>264.07522920272856</x:v>
      </x:c>
      <x:c r="AK1148" s="81" t="n">
        <x:f>W1148/MAX($W$1099:W1148)-1</x:f>
        <x:v>-0.5308297834596789</x:v>
      </x:c>
      <x:c r="AL1148" s="83" t="n">
        <x:f>'Inputs'!$B$47</x:f>
        <x:v>1</x:v>
      </x:c>
      <x:c r="AM1148" s="83" t="n">
        <x:f>'Inputs'!$C$47</x:f>
        <x:v>1.5</x:v>
      </x:c>
      <x:c r="AN1148" s="83" t="n">
        <x:f>'Inputs'!$D$47</x:f>
        <x:v>1.5</x:v>
      </x:c>
      <x:c r="AO1148" s="81" t="n">
        <x:f>'Inputs'!$E$47</x:f>
        <x:v>0.05</x:v>
      </x:c>
    </x:row>
    <x:row r="1149">
      <x:c r="A1149" s="59" t="str">
        <x:v>Growth</x:v>
      </x:c>
      <x:c r="B1149" s="59" t="n">
        <x:v>51</x:v>
      </x:c>
      <x:c r="C1149" s="78" t="n">
        <x:f>(('Inputs'!$B$29*(3*51*'Inputs'!$B$12-51^2)/(2*'Inputs'!$B$12^2))-('Inputs'!$B$29*(3*50*'Inputs'!$B$12-50^2)/(2*'Inputs'!$B$12^2)))*'Inputs'!$B$47</x:f>
        <x:v>695568.3524113372</x:v>
      </x:c>
      <x:c r="D1149" s="78" t="n">
        <x:f>IF('Inputs'!$C$47&gt;0,('Inputs'!$B$30*(3*51*'Inputs'!$B$12-51^2)/(2*'Inputs'!$B$12^2))-('Inputs'!$B$30*(3*50*'Inputs'!$B$12-50^2)/(2*'Inputs'!$B$12^2)),0)</x:f>
        <x:v>298100.7224620003</x:v>
      </x:c>
      <x:c r="E1149" s="78" t="n">
        <x:f>C1149+D1149</x:f>
        <x:v>993669.0748733375</x:v>
      </x:c>
      <x:c r="F1149" s="78" t="n">
        <x:f>'Inputs'!$B$13*E1149+(1-'Inputs'!$B$13)/'Inputs'!$B$14*SUM(E1099:E1149)</x:f>
        <x:v>931152.152641879</x:v>
      </x:c>
      <x:c r="G1149" s="78" t="n">
        <x:f>F1149*'Inputs'!$F$47</x:f>
        <x:v>325903.2534246576</x:v>
      </x:c>
      <x:c r="H1149" s="78" t="n">
        <x:f>U1148</x:f>
        <x:v>2149047.0793520357</x:v>
      </x:c>
      <x:c r="I1149" s="78" t="n">
        <x:f>V1148</x:f>
        <x:v>22342.819419721884</x:v>
      </x:c>
      <x:c r="J1149" s="79" t="n">
        <x:f>IF(H1149&gt;0,I1149/H1149,0)</x:f>
        <x:v>0.010396617009646211</x:v>
      </x:c>
      <x:c r="K1149" s="80" t="n">
        <x:f>(H1149*J1149+I1149)*'Inputs'!$D$47*(1+'Inputs'!$G$47)^(B1149/30)</x:f>
        <x:v>70482.6967242008</x:v>
      </x:c>
      <x:c r="L1149" s="80" t="n">
        <x:f>MAX(0,K1149*'Inputs'!$E$47)</x:f>
        <x:v>3524.13483621004</x:v>
      </x:c>
      <x:c r="M1149" s="80" t="n">
        <x:f>MAX(0,-K1149*'Inputs'!$E$47)</x:f>
        <x:v>0</x:v>
      </x:c>
      <x:c r="N1149" s="78" t="n">
        <x:f>H1149*(L1149*(1-'Inputs'!$B$15))/(I1149+L1149*(1-'Inputs'!$B$15))</x:f>
        <x:v>290255.48507210176</x:v>
      </x:c>
      <x:c r="O1149" s="78" t="n">
        <x:f>H1149-N1149</x:f>
        <x:v>1858791.594279934</x:v>
      </x:c>
      <x:c r="P1149" s="78" t="n">
        <x:f>I1149+L1149*(1-'Inputs'!$B$17)</x:f>
        <x:v>25852.772626812366</x:v>
      </x:c>
      <x:c r="Q1149" s="78" t="n">
        <x:f>IF(J1149&gt;0,M1149/J1149,0)</x:f>
        <x:v>0</x:v>
      </x:c>
      <x:c r="R1149" s="78" t="n">
        <x:f>IF(B1149='Inputs'!$H$47,'Inputs'!$B$27*'Inputs'!$I$47,0)</x:f>
        <x:v>0</x:v>
      </x:c>
      <x:c r="S1149" s="78" t="n">
        <x:f>Q1149+G1149+R1149</x:f>
        <x:v>325903.2534246576</x:v>
      </x:c>
      <x:c r="T1149" s="78" t="n">
        <x:f>P1149*(S1149*(1-'Inputs'!$B$15))/(O1149+S1149*(1-'Inputs'!$B$15))</x:f>
        <x:v>3823.7419703240116</x:v>
      </x:c>
      <x:c r="U1149" s="78" t="n">
        <x:f>O1149+S1149*(1-'Inputs'!$B$17)</x:f>
        <x:v>2183383.3657994624</x:v>
      </x:c>
      <x:c r="V1149" s="78" t="n">
        <x:f>P1149-T1149</x:f>
        <x:v>22029.030656488354</x:v>
      </x:c>
      <x:c r="W1149" s="79" t="n">
        <x:f>IF(U1149&gt;0,V1149/U1149,0)</x:f>
        <x:v>0.010089401156732847</x:v>
      </x:c>
      <x:c r="X1149" s="80" t="n">
        <x:f>W1149*('Inputs'!$B$6-AC1149)</x:f>
        <x:v>10082164.547297087</x:v>
      </x:c>
      <x:c r="Y1149" s="80" t="n">
        <x:f>2*V1149</x:f>
        <x:v>44058.06131297671</x:v>
      </x:c>
      <x:c r="Z1149" s="80" t="n">
        <x:f>K1149*'Inputs'!$B$16+(G1149+R1149)*J1149*'Inputs'!$B$16</x:f>
        <x:v>443.2259281935278</x:v>
      </x:c>
      <x:c r="AA1149" s="80" t="n">
        <x:f>K1149*(1+'Inputs'!$E$47)/2*'Inputs'!$B$17</x:f>
        <x:v>148.9071057553538</x:v>
      </x:c>
      <x:c r="AB1149" s="78" t="n">
        <x:f>(IF(J1149&gt;0,K1149*(1-'Inputs'!$E$47)/2/J1149,0)+G1149+R1149)*'Inputs'!$B$17</x:f>
        <x:v>14270.06992571293</x:v>
      </x:c>
      <x:c r="AC1149" s="78" t="n">
        <x:f>AC1148+AB1149</x:f>
        <x:v>717248.6576103736</x:v>
      </x:c>
      <x:c r="AD1149" s="80" t="n">
        <x:f>Z1149/(1+'Inputs'!$C$47)</x:f>
        <x:v>177.2903712774111</x:v>
      </x:c>
      <x:c r="AE1149" s="80" t="n">
        <x:f>Z1149-AD1149</x:f>
        <x:v>265.9355569161167</x:v>
      </x:c>
      <x:c r="AF1149" s="80" t="n">
        <x:f>D1149*W1149</x:f>
        <x:v>3007.6577740310036</x:v>
      </x:c>
      <x:c r="AG1149" s="80" t="n">
        <x:f>C1149*W1149</x:f>
        <x:v>7017.868139405706</x:v>
      </x:c>
      <x:c r="AH1149" s="80" t="n">
        <x:f>2*'Inputs'!$B$8*'Inputs'!$C$47</x:f>
        <x:v>7500</x:v>
      </x:c>
      <x:c r="AI1149" s="81" t="n">
        <x:f>IF(AH1149&gt;0,(AE1149+AF1149)/AH1149*365,0)</x:f>
        <x:v>159.31487543942652</x:v>
      </x:c>
      <x:c r="AJ1149" s="81" t="n">
        <x:f>IF('Inputs'!$B$47&gt;0,AG1149/('Inputs'!$B$19*'Inputs'!$B$47)*365,0)</x:f>
        <x:v>256.15218708830827</x:v>
      </x:c>
      <x:c r="AK1149" s="81" t="n">
        <x:f>W1149/MAX($W$1099:W1149)-1</x:f>
        <x:v>-0.5446935747393087</x:v>
      </x:c>
      <x:c r="AL1149" s="83" t="n">
        <x:f>'Inputs'!$B$47</x:f>
        <x:v>1</x:v>
      </x:c>
      <x:c r="AM1149" s="83" t="n">
        <x:f>'Inputs'!$C$47</x:f>
        <x:v>1.5</x:v>
      </x:c>
      <x:c r="AN1149" s="83" t="n">
        <x:f>'Inputs'!$D$47</x:f>
        <x:v>1.5</x:v>
      </x:c>
      <x:c r="AO1149" s="81" t="n">
        <x:f>'Inputs'!$E$47</x:f>
        <x:v>0.05</x:v>
      </x:c>
    </x:row>
    <x:row r="1150">
      <x:c r="A1150" s="59" t="str">
        <x:v>Growth</x:v>
      </x:c>
      <x:c r="B1150" s="59" t="n">
        <x:v>52</x:v>
      </x:c>
      <x:c r="C1150" s="78" t="n">
        <x:f>(('Inputs'!$B$29*(3*52*'Inputs'!$B$12-52^2)/(2*'Inputs'!$B$12^2))-('Inputs'!$B$29*(3*51*'Inputs'!$B$12-51^2)/(2*'Inputs'!$B$12^2)))*'Inputs'!$B$47</x:f>
        <x:v>695243.2445111647</x:v>
      </x:c>
      <x:c r="D1150" s="78" t="n">
        <x:f>IF('Inputs'!$C$47&gt;0,('Inputs'!$B$30*(3*52*'Inputs'!$B$12-52^2)/(2*'Inputs'!$B$12^2))-('Inputs'!$B$30*(3*51*'Inputs'!$B$12-51^2)/(2*'Inputs'!$B$12^2)),0)</x:f>
        <x:v>297961.39050478674</x:v>
      </x:c>
      <x:c r="E1150" s="78" t="n">
        <x:f>C1150+D1150</x:f>
        <x:v>993204.6350159515</x:v>
      </x:c>
      <x:c r="F1150" s="78" t="n">
        <x:f>'Inputs'!$B$13*E1150+(1-'Inputs'!$B$13)/'Inputs'!$B$14*SUM(E1099:E1150)</x:f>
        <x:v>945247.9023134868</x:v>
      </x:c>
      <x:c r="G1150" s="78" t="n">
        <x:f>F1150*'Inputs'!$F$47</x:f>
        <x:v>330836.7658097204</x:v>
      </x:c>
      <x:c r="H1150" s="78" t="n">
        <x:f>U1149</x:f>
        <x:v>2183383.3657994624</x:v>
      </x:c>
      <x:c r="I1150" s="78" t="n">
        <x:f>V1149</x:f>
        <x:v>22029.030656488354</x:v>
      </x:c>
      <x:c r="J1150" s="79" t="n">
        <x:f>IF(H1150&gt;0,I1150/H1150,0)</x:f>
        <x:v>0.010089401156732847</x:v>
      </x:c>
      <x:c r="K1150" s="80" t="n">
        <x:f>(H1150*J1150+I1150)*'Inputs'!$D$47*(1+'Inputs'!$G$47)^(B1150/30)</x:f>
        <x:v>69561.32270847046</x:v>
      </x:c>
      <x:c r="L1150" s="80" t="n">
        <x:f>MAX(0,K1150*'Inputs'!$E$47)</x:f>
        <x:v>3478.066135423523</x:v>
      </x:c>
      <x:c r="M1150" s="80" t="n">
        <x:f>MAX(0,-K1150*'Inputs'!$E$47)</x:f>
        <x:v>0</x:v>
      </x:c>
      <x:c r="N1150" s="78" t="n">
        <x:f>H1150*(L1150*(1-'Inputs'!$B$15))/(I1150+L1150*(1-'Inputs'!$B$15))</x:f>
        <x:v>295144.4301039779</x:v>
      </x:c>
      <x:c r="O1150" s="78" t="n">
        <x:f>H1150-N1150</x:f>
        <x:v>1888238.9356954845</x:v>
      </x:c>
      <x:c r="P1150" s="78" t="n">
        <x:f>I1150+L1150*(1-'Inputs'!$B$17)</x:f>
        <x:v>25493.10054991822</x:v>
      </x:c>
      <x:c r="Q1150" s="78" t="n">
        <x:f>IF(J1150&gt;0,M1150/J1150,0)</x:f>
        <x:v>0</x:v>
      </x:c>
      <x:c r="R1150" s="78" t="n">
        <x:f>IF(B1150='Inputs'!$H$47,'Inputs'!$B$27*'Inputs'!$I$47,0)</x:f>
        <x:v>0</x:v>
      </x:c>
      <x:c r="S1150" s="78" t="n">
        <x:f>Q1150+G1150+R1150</x:f>
        <x:v>330836.7658097204</x:v>
      </x:c>
      <x:c r="T1150" s="78" t="n">
        <x:f>P1150*(S1150*(1-'Inputs'!$B$15))/(O1150+S1150*(1-'Inputs'!$B$15))</x:f>
        <x:v>3768.3173045681906</x:v>
      </x:c>
      <x:c r="U1150" s="78" t="n">
        <x:f>O1150+S1150*(1-'Inputs'!$B$17)</x:f>
        <x:v>2217744.366431524</x:v>
      </x:c>
      <x:c r="V1150" s="78" t="n">
        <x:f>P1150-T1150</x:f>
        <x:v>21724.78324535003</x:v>
      </x:c>
      <x:c r="W1150" s="79" t="n">
        <x:f>IF(U1150&gt;0,V1150/U1150,0)</x:f>
        <x:v>0.009795891525724597</x:v>
      </x:c>
      <x:c r="X1150" s="80" t="n">
        <x:f>W1150*('Inputs'!$B$6-AC1150)</x:f>
        <x:v>9788723.29781419</x:v>
      </x:c>
      <x:c r="Y1150" s="80" t="n">
        <x:f>2*V1150</x:f>
        <x:v>43449.56649070006</x:v>
      </x:c>
      <x:c r="Z1150" s="80" t="n">
        <x:f>K1150*'Inputs'!$B$16+(G1150+R1150)*J1150*'Inputs'!$B$16</x:f>
        <x:v>437.3956053367248</x:v>
      </x:c>
      <x:c r="AA1150" s="80" t="n">
        <x:f>K1150*(1+'Inputs'!$E$47)/2*'Inputs'!$B$17</x:f>
        <x:v>146.9605409333883</x:v>
      </x:c>
      <x:c r="AB1150" s="78" t="n">
        <x:f>(IF(J1150&gt;0,K1150*(1-'Inputs'!$E$47)/2/J1150,0)+G1150+R1150)*'Inputs'!$B$17</x:f>
        <x:v>14509.946655697675</x:v>
      </x:c>
      <x:c r="AC1150" s="78" t="n">
        <x:f>AC1149+AB1150</x:f>
        <x:v>731758.6042660712</x:v>
      </x:c>
      <x:c r="AD1150" s="80" t="n">
        <x:f>Z1150/(1+'Inputs'!$C$47)</x:f>
        <x:v>174.95824213468993</x:v>
      </x:c>
      <x:c r="AE1150" s="80" t="n">
        <x:f>Z1150-AD1150</x:f>
        <x:v>262.43736320203493</x:v>
      </x:c>
      <x:c r="AF1150" s="80" t="n">
        <x:f>D1150*W1150</x:f>
        <x:v>2918.7974602389577</x:v>
      </x:c>
      <x:c r="AG1150" s="80" t="n">
        <x:f>C1150*W1150</x:f>
        <x:v>6810.527407224193</x:v>
      </x:c>
      <x:c r="AH1150" s="80" t="n">
        <x:f>2*'Inputs'!$B$8*'Inputs'!$C$47</x:f>
        <x:v>7500</x:v>
      </x:c>
      <x:c r="AI1150" s="81" t="n">
        <x:f>IF(AH1150&gt;0,(AE1150+AF1150)/AH1150*365,0)</x:f>
        <x:v>154.82009474079499</x:v>
      </x:c>
      <x:c r="AJ1150" s="81" t="n">
        <x:f>IF('Inputs'!$B$47&gt;0,AG1150/('Inputs'!$B$19*'Inputs'!$B$47)*365,0)</x:f>
        <x:v>248.58425036368303</x:v>
      </x:c>
      <x:c r="AK1150" s="81" t="n">
        <x:f>W1150/MAX($W$1099:W1150)-1</x:f>
        <x:v>-0.5579388425999063</x:v>
      </x:c>
      <x:c r="AL1150" s="83" t="n">
        <x:f>'Inputs'!$B$47</x:f>
        <x:v>1</x:v>
      </x:c>
      <x:c r="AM1150" s="83" t="n">
        <x:f>'Inputs'!$C$47</x:f>
        <x:v>1.5</x:v>
      </x:c>
      <x:c r="AN1150" s="83" t="n">
        <x:f>'Inputs'!$D$47</x:f>
        <x:v>1.5</x:v>
      </x:c>
      <x:c r="AO1150" s="81" t="n">
        <x:f>'Inputs'!$E$47</x:f>
        <x:v>0.05</x:v>
      </x:c>
    </x:row>
    <x:row r="1151">
      <x:c r="A1151" s="59" t="str">
        <x:v>Growth</x:v>
      </x:c>
      <x:c r="B1151" s="59" t="n">
        <x:v>53</x:v>
      </x:c>
      <x:c r="C1151" s="78" t="n">
        <x:f>(('Inputs'!$B$29*(3*53*'Inputs'!$B$12-53^2)/(2*'Inputs'!$B$12^2))-('Inputs'!$B$29*(3*52*'Inputs'!$B$12-52^2)/(2*'Inputs'!$B$12^2)))*'Inputs'!$B$47</x:f>
        <x:v>694918.1366109997</x:v>
      </x:c>
      <x:c r="D1151" s="78" t="n">
        <x:f>IF('Inputs'!$C$47&gt;0,('Inputs'!$B$30*(3*53*'Inputs'!$B$12-53^2)/(2*'Inputs'!$B$12^2))-('Inputs'!$B$30*(3*52*'Inputs'!$B$12-52^2)/(2*'Inputs'!$B$12^2)),0)</x:f>
        <x:v>297822.05854756944</x:v>
      </x:c>
      <x:c r="E1151" s="78" t="n">
        <x:f>C1151+D1151</x:f>
        <x:v>992740.1951585691</x:v>
      </x:c>
      <x:c r="F1151" s="78" t="n">
        <x:f>'Inputs'!$B$13*E1151+(1-'Inputs'!$B$13)/'Inputs'!$B$14*SUM(E1099:E1151)</x:f>
        <x:v>959337.0171299899</x:v>
      </x:c>
      <x:c r="G1151" s="78" t="n">
        <x:f>F1151*'Inputs'!$F$47</x:f>
        <x:v>335767.9559954965</x:v>
      </x:c>
      <x:c r="H1151" s="78" t="n">
        <x:f>U1150</x:f>
        <x:v>2217744.366431524</x:v>
      </x:c>
      <x:c r="I1151" s="78" t="n">
        <x:f>V1150</x:f>
        <x:v>21724.78324535003</x:v>
      </x:c>
      <x:c r="J1151" s="79" t="n">
        <x:f>IF(H1151&gt;0,I1151/H1151,0)</x:f>
        <x:v>0.009795891525724597</x:v>
      </x:c>
      <x:c r="K1151" s="80" t="n">
        <x:f>(H1151*J1151+I1151)*'Inputs'!$D$47*(1+'Inputs'!$G$47)^(B1151/30)</x:f>
        <x:v>68668.2221955021</x:v>
      </x:c>
      <x:c r="L1151" s="80" t="n">
        <x:f>MAX(0,K1151*'Inputs'!$E$47)</x:f>
        <x:v>3433.4111097751047</x:v>
      </x:c>
      <x:c r="M1151" s="80" t="n">
        <x:f>MAX(0,-K1151*'Inputs'!$E$47)</x:f>
        <x:v>0</x:v>
      </x:c>
      <x:c r="N1151" s="78" t="n">
        <x:f>H1151*(L1151*(1-'Inputs'!$B$15))/(I1151+L1151*(1-'Inputs'!$B$15))</x:f>
        <x:v>300044.8096615936</x:v>
      </x:c>
      <x:c r="O1151" s="78" t="n">
        <x:f>H1151-N1151</x:f>
        <x:v>1917699.5567699305</x:v>
      </x:c>
      <x:c r="P1151" s="78" t="n">
        <x:f>I1151+L1151*(1-'Inputs'!$B$17)</x:f>
        <x:v>25144.377811423827</x:v>
      </x:c>
      <x:c r="Q1151" s="78" t="n">
        <x:f>IF(J1151&gt;0,M1151/J1151,0)</x:f>
        <x:v>0</x:v>
      </x:c>
      <x:c r="R1151" s="78" t="n">
        <x:f>IF(B1151='Inputs'!$H$47,'Inputs'!$B$27*'Inputs'!$I$47,0)</x:f>
        <x:v>0</x:v>
      </x:c>
      <x:c r="S1151" s="78" t="n">
        <x:f>Q1151+G1151+R1151</x:f>
        <x:v>335767.9559954965</x:v>
      </x:c>
      <x:c r="T1151" s="78" t="n">
        <x:f>P1151*(S1151*(1-'Inputs'!$B$15))/(O1151+S1151*(1-'Inputs'!$B$15))</x:f>
        <x:v>3714.5962635913</x:v>
      </x:c>
      <x:c r="U1151" s="78" t="n">
        <x:f>O1151+S1151*(1-'Inputs'!$B$17)</x:f>
        <x:v>2252116.3338680607</x:v>
      </x:c>
      <x:c r="V1151" s="78" t="n">
        <x:f>P1151-T1151</x:f>
        <x:v>21429.78154783253</x:v>
      </x:c>
      <x:c r="W1151" s="79" t="n">
        <x:f>IF(U1151&gt;0,V1151/U1151,0)</x:f>
        <x:v>0.009515397240171157</x:v>
      </x:c>
      <x:c r="X1151" s="80" t="n">
        <x:f>W1151*('Inputs'!$B$6-AC1151)</x:f>
        <x:v>9508293.910599157</x:v>
      </x:c>
      <x:c r="Y1151" s="80" t="n">
        <x:f>2*V1151</x:f>
        <x:v>42859.56309566506</x:v>
      </x:c>
      <x:c r="Z1151" s="80" t="n">
        <x:f>K1151*'Inputs'!$B$16+(G1151+R1151)*J1151*'Inputs'!$B$16</x:f>
        <x:v>431.7442120214895</x:v>
      </x:c>
      <x:c r="AA1151" s="80" t="n">
        <x:f>K1151*(1+'Inputs'!$E$47)/2*'Inputs'!$B$17</x:f>
        <x:v>145.0737088637368</x:v>
      </x:c>
      <x:c r="AB1151" s="78" t="n">
        <x:f>(IF(J1151&gt;0,K1151*(1-'Inputs'!$E$47)/2/J1151,0)+G1151+R1151)*'Inputs'!$B$17</x:f>
        <x:v>14750.384555956765</x:v>
      </x:c>
      <x:c r="AC1151" s="78" t="n">
        <x:f>AC1150+AB1151</x:f>
        <x:v>746508.988822028</x:v>
      </x:c>
      <x:c r="AD1151" s="80" t="n">
        <x:f>Z1151/(1+'Inputs'!$C$47)</x:f>
        <x:v>172.6976848085958</x:v>
      </x:c>
      <x:c r="AE1151" s="80" t="n">
        <x:f>Z1151-AD1151</x:f>
        <x:v>259.0465272128937</x:v>
      </x:c>
      <x:c r="AF1151" s="80" t="n">
        <x:f>D1151*W1151</x:f>
        <x:v>2833.895193965635</x:v>
      </x:c>
      <x:c r="AG1151" s="80" t="n">
        <x:f>C1151*W1151</x:f>
        <x:v>6612.4221192531895</x:v>
      </x:c>
      <x:c r="AH1151" s="80" t="n">
        <x:f>2*'Inputs'!$B$8*'Inputs'!$C$47</x:f>
        <x:v>7500</x:v>
      </x:c>
      <x:c r="AI1151" s="81" t="n">
        <x:f>IF(AH1151&gt;0,(AE1151+AF1151)/AH1151*365,0)</x:f>
        <x:v>150.52316376402172</x:v>
      </x:c>
      <x:c r="AJ1151" s="81" t="n">
        <x:f>IF('Inputs'!$B$47&gt;0,AG1151/('Inputs'!$B$19*'Inputs'!$B$47)*365,0)</x:f>
        <x:v>241.3534073527414</x:v>
      </x:c>
      <x:c r="AK1151" s="81" t="n">
        <x:f>W1151/MAX($W$1099:W1151)-1</x:f>
        <x:v>-0.5705967643613148</x:v>
      </x:c>
      <x:c r="AL1151" s="83" t="n">
        <x:f>'Inputs'!$B$47</x:f>
        <x:v>1</x:v>
      </x:c>
      <x:c r="AM1151" s="83" t="n">
        <x:f>'Inputs'!$C$47</x:f>
        <x:v>1.5</x:v>
      </x:c>
      <x:c r="AN1151" s="83" t="n">
        <x:f>'Inputs'!$D$47</x:f>
        <x:v>1.5</x:v>
      </x:c>
      <x:c r="AO1151" s="81" t="n">
        <x:f>'Inputs'!$E$47</x:f>
        <x:v>0.05</x:v>
      </x:c>
    </x:row>
    <x:row r="1152">
      <x:c r="A1152" s="59" t="str">
        <x:v>Growth</x:v>
      </x:c>
      <x:c r="B1152" s="59" t="n">
        <x:v>54</x:v>
      </x:c>
      <x:c r="C1152" s="78" t="n">
        <x:f>(('Inputs'!$B$29*(3*54*'Inputs'!$B$12-54^2)/(2*'Inputs'!$B$12^2))-('Inputs'!$B$29*(3*53*'Inputs'!$B$12-53^2)/(2*'Inputs'!$B$12^2)))*'Inputs'!$B$47</x:f>
        <x:v>694593.0287108272</x:v>
      </x:c>
      <x:c r="D1152" s="78" t="n">
        <x:f>IF('Inputs'!$C$47&gt;0,('Inputs'!$B$30*(3*54*'Inputs'!$B$12-54^2)/(2*'Inputs'!$B$12^2))-('Inputs'!$B$30*(3*53*'Inputs'!$B$12-53^2)/(2*'Inputs'!$B$12^2)),0)</x:f>
        <x:v>297682.726590354</x:v>
      </x:c>
      <x:c r="E1152" s="78" t="n">
        <x:f>C1152+D1152</x:f>
        <x:v>992275.7553011812</x:v>
      </x:c>
      <x:c r="F1152" s="78" t="n">
        <x:f>'Inputs'!$B$13*E1152+(1-'Inputs'!$B$13)/'Inputs'!$B$14*SUM(E1099:E1152)</x:f>
        <x:v>973419.4970913864</x:v>
      </x:c>
      <x:c r="G1152" s="78" t="n">
        <x:f>F1152*'Inputs'!$F$47</x:f>
        <x:v>340696.8239819852</x:v>
      </x:c>
      <x:c r="H1152" s="78" t="n">
        <x:f>U1151</x:f>
        <x:v>2252116.3338680607</x:v>
      </x:c>
      <x:c r="I1152" s="78" t="n">
        <x:f>V1151</x:f>
        <x:v>21429.78154783253</x:v>
      </x:c>
      <x:c r="J1152" s="79" t="n">
        <x:f>IF(H1152&gt;0,I1152/H1152,0)</x:f>
        <x:v>0.009515397240171157</x:v>
      </x:c>
      <x:c r="K1152" s="80" t="n">
        <x:f>(H1152*J1152+I1152)*'Inputs'!$D$47*(1+'Inputs'!$G$47)^(B1152/30)</x:f>
        <x:v>67802.54617071299</x:v>
      </x:c>
      <x:c r="L1152" s="80" t="n">
        <x:f>MAX(0,K1152*'Inputs'!$E$47)</x:f>
        <x:v>3390.1273085356497</x:v>
      </x:c>
      <x:c r="M1152" s="80" t="n">
        <x:f>MAX(0,-K1152*'Inputs'!$E$47)</x:f>
        <x:v>0</x:v>
      </x:c>
      <x:c r="N1152" s="78" t="n">
        <x:f>H1152*(L1152*(1-'Inputs'!$B$15))/(I1152+L1152*(1-'Inputs'!$B$15))</x:f>
        <x:v>304954.77939290367</x:v>
      </x:c>
      <x:c r="O1152" s="78" t="n">
        <x:f>H1152-N1152</x:f>
        <x:v>1947161.554475157</x:v>
      </x:c>
      <x:c r="P1152" s="78" t="n">
        <x:f>I1152+L1152*(1-'Inputs'!$B$17)</x:f>
        <x:v>24806.266492953546</x:v>
      </x:c>
      <x:c r="Q1152" s="78" t="n">
        <x:f>IF(J1152&gt;0,M1152/J1152,0)</x:f>
        <x:v>0</x:v>
      </x:c>
      <x:c r="R1152" s="78" t="n">
        <x:f>IF(B1152='Inputs'!$H$47,'Inputs'!$B$27*'Inputs'!$I$47,0)</x:f>
        <x:v>0</x:v>
      </x:c>
      <x:c r="S1152" s="78" t="n">
        <x:f>Q1152+G1152+R1152</x:f>
        <x:v>340696.8239819852</x:v>
      </x:c>
      <x:c r="T1152" s="78" t="n">
        <x:f>P1152*(S1152*(1-'Inputs'!$B$15))/(O1152+S1152*(1-'Inputs'!$B$15))</x:f>
        <x:v>3662.5432300676766</x:v>
      </x:c>
      <x:c r="U1152" s="78" t="n">
        <x:f>O1152+S1152*(1-'Inputs'!$B$17)</x:f>
        <x:v>2286487.3650809573</x:v>
      </x:c>
      <x:c r="V1152" s="78" t="n">
        <x:f>P1152-T1152</x:f>
        <x:v>21143.72326288587</x:v>
      </x:c>
      <x:c r="W1152" s="79" t="n">
        <x:f>IF(U1152&gt;0,V1152/U1152,0)</x:f>
        <x:v>0.009247251301621445</x:v>
      </x:c>
      <x:c r="X1152" s="80" t="n">
        <x:f>W1152*('Inputs'!$B$6-AC1152)</x:f>
        <x:v>9240209.517070176</x:v>
      </x:c>
      <x:c r="Y1152" s="80" t="n">
        <x:f>2*V1152</x:f>
        <x:v>42287.44652577174</x:v>
      </x:c>
      <x:c r="Z1152" s="80" t="n">
        <x:f>K1152*'Inputs'!$B$16+(G1152+R1152)*J1152*'Inputs'!$B$16</x:f>
        <x:v>426.2664707361975</x:v>
      </x:c>
      <x:c r="AA1152" s="80" t="n">
        <x:f>K1152*(1+'Inputs'!$E$47)/2*'Inputs'!$B$17</x:f>
        <x:v>143.244815853619</x:v>
      </x:c>
      <x:c r="AB1152" s="78" t="n">
        <x:f>(IF(J1152&gt;0,K1152*(1-'Inputs'!$E$47)/2/J1152,0)+G1152+R1152)*'Inputs'!$B$17</x:f>
        <x:v>14991.301543645457</x:v>
      </x:c>
      <x:c r="AC1152" s="78" t="n">
        <x:f>AC1151+AB1152</x:f>
        <x:v>761500.2903656735</x:v>
      </x:c>
      <x:c r="AD1152" s="80" t="n">
        <x:f>Z1152/(1+'Inputs'!$C$47)</x:f>
        <x:v>170.506588294479</x:v>
      </x:c>
      <x:c r="AE1152" s="80" t="n">
        <x:f>Z1152-AD1152</x:f>
        <x:v>255.7598824417185</x:v>
      </x:c>
      <x:c r="AF1152" s="80" t="n">
        <x:f>D1152*W1152</x:f>
        <x:v>2752.746980932872</x:v>
      </x:c>
      <x:c r="AG1152" s="80" t="n">
        <x:f>C1152*W1152</x:f>
        <x:v>6423.076288843378</x:v>
      </x:c>
      <x:c r="AH1152" s="80" t="n">
        <x:f>2*'Inputs'!$B$8*'Inputs'!$C$47</x:f>
        <x:v>7500</x:v>
      </x:c>
      <x:c r="AI1152" s="81" t="n">
        <x:f>IF(AH1152&gt;0,(AE1152+AF1152)/AH1152*365,0)</x:f>
        <x:v>146.41400068423007</x:v>
      </x:c>
      <x:c r="AJ1152" s="81" t="n">
        <x:f>IF('Inputs'!$B$47&gt;0,AG1152/('Inputs'!$B$19*'Inputs'!$B$47)*365,0)</x:f>
        <x:v>234.44228454278328</x:v>
      </x:c>
      <x:c r="AK1152" s="81" t="n">
        <x:f>W1152/MAX($W$1099:W1152)-1</x:f>
        <x:v>-0.5826974397961269</x:v>
      </x:c>
      <x:c r="AL1152" s="83" t="n">
        <x:f>'Inputs'!$B$47</x:f>
        <x:v>1</x:v>
      </x:c>
      <x:c r="AM1152" s="83" t="n">
        <x:f>'Inputs'!$C$47</x:f>
        <x:v>1.5</x:v>
      </x:c>
      <x:c r="AN1152" s="83" t="n">
        <x:f>'Inputs'!$D$47</x:f>
        <x:v>1.5</x:v>
      </x:c>
      <x:c r="AO1152" s="81" t="n">
        <x:f>'Inputs'!$E$47</x:f>
        <x:v>0.05</x:v>
      </x:c>
    </x:row>
    <x:row r="1153">
      <x:c r="A1153" s="59" t="str">
        <x:v>Growth</x:v>
      </x:c>
      <x:c r="B1153" s="59" t="n">
        <x:v>55</x:v>
      </x:c>
      <x:c r="C1153" s="78" t="n">
        <x:f>(('Inputs'!$B$29*(3*55*'Inputs'!$B$12-55^2)/(2*'Inputs'!$B$12^2))-('Inputs'!$B$29*(3*54*'Inputs'!$B$12-54^2)/(2*'Inputs'!$B$12^2)))*'Inputs'!$B$47</x:f>
        <x:v>694267.9208106548</x:v>
      </x:c>
      <x:c r="D1153" s="78" t="n">
        <x:f>IF('Inputs'!$C$47&gt;0,('Inputs'!$B$30*(3*55*'Inputs'!$B$12-55^2)/(2*'Inputs'!$B$12^2))-('Inputs'!$B$30*(3*54*'Inputs'!$B$12-54^2)/(2*'Inputs'!$B$12^2)),0)</x:f>
        <x:v>297543.3946331404</x:v>
      </x:c>
      <x:c r="E1153" s="78" t="n">
        <x:f>C1153+D1153</x:f>
        <x:v>991811.3154437952</x:v>
      </x:c>
      <x:c r="F1153" s="78" t="n">
        <x:f>'Inputs'!$B$13*E1153+(1-'Inputs'!$B$13)/'Inputs'!$B$14*SUM(E1099:E1153)</x:f>
        <x:v>987495.3421976777</x:v>
      </x:c>
      <x:c r="G1153" s="78" t="n">
        <x:f>F1153*'Inputs'!$F$47</x:f>
        <x:v>345623.3697691872</x:v>
      </x:c>
      <x:c r="H1153" s="78" t="n">
        <x:f>U1152</x:f>
        <x:v>2286487.3650809573</x:v>
      </x:c>
      <x:c r="I1153" s="78" t="n">
        <x:f>V1152</x:f>
        <x:v>21143.72326288587</x:v>
      </x:c>
      <x:c r="J1153" s="79" t="n">
        <x:f>IF(H1153&gt;0,I1153/H1153,0)</x:f>
        <x:v>0.009247251301621445</x:v>
      </x:c>
      <x:c r="K1153" s="80" t="n">
        <x:f>(H1153*J1153+I1153)*'Inputs'!$D$47*(1+'Inputs'!$G$47)^(B1153/30)</x:f>
        <x:v>66963.4210025394</x:v>
      </x:c>
      <x:c r="L1153" s="80" t="n">
        <x:f>MAX(0,K1153*'Inputs'!$E$47)</x:f>
        <x:v>3348.17105012697</x:v>
      </x:c>
      <x:c r="M1153" s="80" t="n">
        <x:f>MAX(0,-K1153*'Inputs'!$E$47)</x:f>
        <x:v>0</x:v>
      </x:c>
      <x:c r="N1153" s="78" t="n">
        <x:f>H1153*(L1153*(1-'Inputs'!$B$15))/(I1153+L1153*(1-'Inputs'!$B$15))</x:f>
        <x:v>309872.7385703044</x:v>
      </x:c>
      <x:c r="O1153" s="78" t="n">
        <x:f>H1153-N1153</x:f>
        <x:v>1976614.626510653</x:v>
      </x:c>
      <x:c r="P1153" s="78" t="n">
        <x:f>I1153+L1153*(1-'Inputs'!$B$17)</x:f>
        <x:v>24478.420787660216</x:v>
      </x:c>
      <x:c r="Q1153" s="78" t="n">
        <x:f>IF(J1153&gt;0,M1153/J1153,0)</x:f>
        <x:v>0</x:v>
      </x:c>
      <x:c r="R1153" s="78" t="n">
        <x:f>IF(B1153='Inputs'!$H$47,'Inputs'!$B$27*'Inputs'!$I$47,0)</x:f>
        <x:v>0</x:v>
      </x:c>
      <x:c r="S1153" s="78" t="n">
        <x:f>Q1153+G1153+R1153</x:f>
        <x:v>345623.3697691872</x:v>
      </x:c>
      <x:c r="T1153" s="78" t="n">
        <x:f>P1153*(S1153*(1-'Inputs'!$B$15))/(O1153+S1153*(1-'Inputs'!$B$15))</x:f>
        <x:v>3612.1170485400185</x:v>
      </x:c>
      <x:c r="U1153" s="78" t="n">
        <x:f>O1153+S1153*(1-'Inputs'!$B$17)</x:f>
        <x:v>2320847.1577697024</x:v>
      </x:c>
      <x:c r="V1153" s="78" t="n">
        <x:f>P1153-T1153</x:f>
        <x:v>20866.303739120198</x:v>
      </x:c>
      <x:c r="W1153" s="79" t="n">
        <x:f>IF(U1153&gt;0,V1153/U1153,0)</x:f>
        <x:v>0.00899081340589976</x:v>
      </x:c>
      <x:c r="X1153" s="80" t="n">
        <x:f>W1153*('Inputs'!$B$6-AC1153)</x:f>
        <x:v>8983829.945179125</x:v>
      </x:c>
      <x:c r="Y1153" s="80" t="n">
        <x:f>2*V1153</x:f>
        <x:v>41732.607478240396</x:v>
      </x:c>
      <x:c r="Z1153" s="80" t="n">
        <x:f>K1153*'Inputs'!$B$16+(G1153+R1153)*J1153*'Inputs'!$B$16</x:f>
        <x:v>420.9569229510498</x:v>
      </x:c>
      <x:c r="AA1153" s="80" t="n">
        <x:f>K1153*(1+'Inputs'!$E$47)/2*'Inputs'!$B$17</x:f>
        <x:v>141.47201620254805</x:v>
      </x:c>
      <x:c r="AB1153" s="78" t="n">
        <x:f>(IF(J1153&gt;0,K1153*(1-'Inputs'!$E$47)/2/J1153,0)+G1153+R1153)*'Inputs'!$B$17</x:f>
        <x:v>15232.626374979174</x:v>
      </x:c>
      <x:c r="AC1153" s="78" t="n">
        <x:f>AC1152+AB1153</x:f>
        <x:v>776732.9167406526</x:v>
      </x:c>
      <x:c r="AD1153" s="80" t="n">
        <x:f>Z1153/(1+'Inputs'!$C$47)</x:f>
        <x:v>168.38276918041993</x:v>
      </x:c>
      <x:c r="AE1153" s="80" t="n">
        <x:f>Z1153-AD1153</x:f>
        <x:v>252.5741537706299</x:v>
      </x:c>
      <x:c r="AF1153" s="80" t="n">
        <x:f>D1153*W1153</x:f>
        <x:v>2675.1571413045617</x:v>
      </x:c>
      <x:c r="AG1153" s="80" t="n">
        <x:f>C1153*W1153</x:f>
        <x:v>6242.033329710588</x:v>
      </x:c>
      <x:c r="AH1153" s="80" t="n">
        <x:f>2*'Inputs'!$B$8*'Inputs'!$C$47</x:f>
        <x:v>7500</x:v>
      </x:c>
      <x:c r="AI1153" s="81" t="n">
        <x:f>IF(AH1153&gt;0,(AE1153+AF1153)/AH1153*365,0)</x:f>
        <x:v>142.48292302699267</x:v>
      </x:c>
      <x:c r="AJ1153" s="81" t="n">
        <x:f>IF('Inputs'!$B$47&gt;0,AG1153/('Inputs'!$B$19*'Inputs'!$B$47)*365,0)</x:f>
        <x:v>227.83421653443645</x:v>
      </x:c>
      <x:c r="AK1153" s="81" t="n">
        <x:f>W1153/MAX($W$1099:W1153)-1</x:f>
        <x:v>-0.594269764039028</x:v>
      </x:c>
      <x:c r="AL1153" s="83" t="n">
        <x:f>'Inputs'!$B$47</x:f>
        <x:v>1</x:v>
      </x:c>
      <x:c r="AM1153" s="83" t="n">
        <x:f>'Inputs'!$C$47</x:f>
        <x:v>1.5</x:v>
      </x:c>
      <x:c r="AN1153" s="83" t="n">
        <x:f>'Inputs'!$D$47</x:f>
        <x:v>1.5</x:v>
      </x:c>
      <x:c r="AO1153" s="81" t="n">
        <x:f>'Inputs'!$E$47</x:f>
        <x:v>0.05</x:v>
      </x:c>
    </x:row>
    <x:row r="1154">
      <x:c r="A1154" s="59" t="str">
        <x:v>Growth</x:v>
      </x:c>
      <x:c r="B1154" s="59" t="n">
        <x:v>56</x:v>
      </x:c>
      <x:c r="C1154" s="78" t="n">
        <x:f>(('Inputs'!$B$29*(3*56*'Inputs'!$B$12-56^2)/(2*'Inputs'!$B$12^2))-('Inputs'!$B$29*(3*55*'Inputs'!$B$12-55^2)/(2*'Inputs'!$B$12^2)))*'Inputs'!$B$47</x:f>
        <x:v>693942.8129104897</x:v>
      </x:c>
      <x:c r="D1154" s="78" t="n">
        <x:f>IF('Inputs'!$C$47&gt;0,('Inputs'!$B$30*(3*56*'Inputs'!$B$12-56^2)/(2*'Inputs'!$B$12^2))-('Inputs'!$B$30*(3*55*'Inputs'!$B$12-55^2)/(2*'Inputs'!$B$12^2)),0)</x:f>
        <x:v>297404.0626759231</x:v>
      </x:c>
      <x:c r="E1154" s="78" t="n">
        <x:f>C1154+D1154</x:f>
        <x:v>991346.8755864128</x:v>
      </x:c>
      <x:c r="F1154" s="78" t="n">
        <x:f>'Inputs'!$B$13*E1154+(1-'Inputs'!$B$13)/'Inputs'!$B$14*SUM(E1099:E1154)</x:f>
        <x:v>1001564.5524488643</x:v>
      </x:c>
      <x:c r="G1154" s="78" t="n">
        <x:f>F1154*'Inputs'!$F$47</x:f>
        <x:v>350547.5933571025</x:v>
      </x:c>
      <x:c r="H1154" s="78" t="n">
        <x:f>U1153</x:f>
        <x:v>2320847.1577697024</x:v>
      </x:c>
      <x:c r="I1154" s="78" t="n">
        <x:f>V1153</x:f>
        <x:v>20866.303739120198</x:v>
      </x:c>
      <x:c r="J1154" s="79" t="n">
        <x:f>IF(H1154&gt;0,I1154/H1154,0)</x:f>
        <x:v>0.00899081340589976</x:v>
      </x:c>
      <x:c r="K1154" s="80" t="n">
        <x:f>(H1154*J1154+I1154)*'Inputs'!$D$47*(1+'Inputs'!$G$47)^(B1154/30)</x:f>
        <x:v>66149.96200019609</x:v>
      </x:c>
      <x:c r="L1154" s="80" t="n">
        <x:f>MAX(0,K1154*'Inputs'!$E$47)</x:f>
        <x:v>3307.4981000098046</x:v>
      </x:c>
      <x:c r="M1154" s="80" t="n">
        <x:f>MAX(0,-K1154*'Inputs'!$E$47)</x:f>
        <x:v>0</x:v>
      </x:c>
      <x:c r="N1154" s="78" t="n">
        <x:f>H1154*(L1154*(1-'Inputs'!$B$15))/(I1154+L1154*(1-'Inputs'!$B$15))</x:f>
        <x:v>314797.2980991585</x:v>
      </x:c>
      <x:c r="O1154" s="78" t="n">
        <x:f>H1154-N1154</x:f>
        <x:v>2006049.8596705438</x:v>
      </x:c>
      <x:c r="P1154" s="78" t="n">
        <x:f>I1154+L1154*(1-'Inputs'!$B$17)</x:f>
        <x:v>24160.49198762091</x:v>
      </x:c>
      <x:c r="Q1154" s="78" t="n">
        <x:f>IF(J1154&gt;0,M1154/J1154,0)</x:f>
        <x:v>0</x:v>
      </x:c>
      <x:c r="R1154" s="78" t="n">
        <x:f>IF(B1154='Inputs'!$H$47,'Inputs'!$B$27*'Inputs'!$I$47,0)</x:f>
        <x:v>0</x:v>
      </x:c>
      <x:c r="S1154" s="78" t="n">
        <x:f>Q1154+G1154+R1154</x:f>
        <x:v>350547.5933571025</x:v>
      </x:c>
      <x:c r="T1154" s="78" t="n">
        <x:f>P1154*(S1154*(1-'Inputs'!$B$15))/(O1154+S1154*(1-'Inputs'!$B$15))</x:f>
        <x:v>3563.2726552970653</x:v>
      </x:c>
      <x:c r="U1154" s="78" t="n">
        <x:f>O1154+S1154*(1-'Inputs'!$B$17)</x:f>
        <x:v>2355186.7987284227</x:v>
      </x:c>
      <x:c r="V1154" s="78" t="n">
        <x:f>P1154-T1154</x:f>
        <x:v>20597.219332323846</x:v>
      </x:c>
      <x:c r="W1154" s="79" t="n">
        <x:f>IF(U1154&gt;0,V1154/U1154,0)</x:f>
        <x:v>0.008745471630294628</x:v>
      </x:c>
      <x:c r="X1154" s="80" t="n">
        <x:f>W1154*('Inputs'!$B$6-AC1154)</x:f>
        <x:v>8738543.404579593</x:v>
      </x:c>
      <x:c r="Y1154" s="80" t="n">
        <x:f>2*V1154</x:f>
        <x:v>41194.43866464769</x:v>
      </x:c>
      <x:c r="Z1154" s="80" t="n">
        <x:f>K1154*'Inputs'!$B$16+(G1154+R1154)*J1154*'Inputs'!$B$16</x:f>
        <x:v>415.81002001174215</x:v>
      </x:c>
      <x:c r="AA1154" s="80" t="n">
        <x:f>K1154*(1+'Inputs'!$E$47)/2*'Inputs'!$B$17</x:f>
        <x:v>139.7534408454847</x:v>
      </x:c>
      <x:c r="AB1154" s="78" t="n">
        <x:f>(IF(J1154&gt;0,K1154*(1-'Inputs'!$E$47)/2/J1154,0)+G1154+R1154)*'Inputs'!$B$17</x:f>
        <x:v>15474.29722316863</x:v>
      </x:c>
      <x:c r="AC1154" s="78" t="n">
        <x:f>AC1153+AB1154</x:f>
        <x:v>792207.2139638213</x:v>
      </x:c>
      <x:c r="AD1154" s="80" t="n">
        <x:f>Z1154/(1+'Inputs'!$C$47)</x:f>
        <x:v>166.32400800469685</x:v>
      </x:c>
      <x:c r="AE1154" s="80" t="n">
        <x:f>Z1154-AD1154</x:f>
        <x:v>249.4860120070453</x:v>
      </x:c>
      <x:c r="AF1154" s="80" t="n">
        <x:f>D1154*W1154</x:f>
        <x:v>2600.938792866651</x:v>
      </x:c>
      <x:c r="AG1154" s="80" t="n">
        <x:f>C1154*W1154</x:f>
        <x:v>6068.857183355541</x:v>
      </x:c>
      <x:c r="AH1154" s="80" t="n">
        <x:f>2*'Inputs'!$B$8*'Inputs'!$C$47</x:f>
        <x:v>7500</x:v>
      </x:c>
      <x:c r="AI1154" s="81" t="n">
        <x:f>IF(AH1154&gt;0,(AE1154+AF1154)/AH1154*365,0)</x:f>
        <x:v>138.72067383718655</x:v>
      </x:c>
      <x:c r="AJ1154" s="81" t="n">
        <x:f>IF('Inputs'!$B$47&gt;0,AG1154/('Inputs'!$B$19*'Inputs'!$B$47)*365,0)</x:f>
        <x:v>221.51328719247724</x:v>
      </x:c>
      <x:c r="AK1154" s="81" t="n">
        <x:f>W1154/MAX($W$1099:W1154)-1</x:f>
        <x:v>-0.6053413514486872</x:v>
      </x:c>
      <x:c r="AL1154" s="83" t="n">
        <x:f>'Inputs'!$B$47</x:f>
        <x:v>1</x:v>
      </x:c>
      <x:c r="AM1154" s="83" t="n">
        <x:f>'Inputs'!$C$47</x:f>
        <x:v>1.5</x:v>
      </x:c>
      <x:c r="AN1154" s="83" t="n">
        <x:f>'Inputs'!$D$47</x:f>
        <x:v>1.5</x:v>
      </x:c>
      <x:c r="AO1154" s="81" t="n">
        <x:f>'Inputs'!$E$47</x:f>
        <x:v>0.05</x:v>
      </x:c>
    </x:row>
    <x:row r="1155">
      <x:c r="A1155" s="59" t="str">
        <x:v>Growth</x:v>
      </x:c>
      <x:c r="B1155" s="59" t="n">
        <x:v>57</x:v>
      </x:c>
      <x:c r="C1155" s="78" t="n">
        <x:f>(('Inputs'!$B$29*(3*57*'Inputs'!$B$12-57^2)/(2*'Inputs'!$B$12^2))-('Inputs'!$B$29*(3*56*'Inputs'!$B$12-56^2)/(2*'Inputs'!$B$12^2)))*'Inputs'!$B$47</x:f>
        <x:v>693617.7050103247</x:v>
      </x:c>
      <x:c r="D1155" s="78" t="n">
        <x:f>IF('Inputs'!$C$47&gt;0,('Inputs'!$B$30*(3*57*'Inputs'!$B$12-57^2)/(2*'Inputs'!$B$12^2))-('Inputs'!$B$30*(3*56*'Inputs'!$B$12-56^2)/(2*'Inputs'!$B$12^2)),0)</x:f>
        <x:v>297264.7307187095</x:v>
      </x:c>
      <x:c r="E1155" s="78" t="n">
        <x:f>C1155+D1155</x:f>
        <x:v>990882.4357290342</x:v>
      </x:c>
      <x:c r="F1155" s="78" t="n">
        <x:f>'Inputs'!$B$13*E1155+(1-'Inputs'!$B$13)/'Inputs'!$B$14*SUM(E1100:E1155)</x:f>
        <x:v>1001100.1125914815</x:v>
      </x:c>
      <x:c r="G1155" s="78" t="n">
        <x:f>F1155*'Inputs'!$F$47</x:f>
        <x:v>350385.0394070185</x:v>
      </x:c>
      <x:c r="H1155" s="78" t="n">
        <x:f>U1154</x:f>
        <x:v>2355186.7987284227</x:v>
      </x:c>
      <x:c r="I1155" s="78" t="n">
        <x:f>V1154</x:f>
        <x:v>20597.219332323846</x:v>
      </x:c>
      <x:c r="J1155" s="79" t="n">
        <x:f>IF(H1155&gt;0,I1155/H1155,0)</x:f>
        <x:v>0.008745471630294628</x:v>
      </x:c>
      <x:c r="K1155" s="80" t="n">
        <x:f>(H1155*J1155+I1155)*'Inputs'!$D$47*(1+'Inputs'!$G$47)^(B1155/30)</x:f>
        <x:v>65361.28402235598</x:v>
      </x:c>
      <x:c r="L1155" s="80" t="n">
        <x:f>MAX(0,K1155*'Inputs'!$E$47)</x:f>
        <x:v>3268.0642011177993</x:v>
      </x:c>
      <x:c r="M1155" s="80" t="n">
        <x:f>MAX(0,-K1155*'Inputs'!$E$47)</x:f>
        <x:v>0</x:v>
      </x:c>
      <x:c r="N1155" s="78" t="n">
        <x:f>H1155*(L1155*(1-'Inputs'!$B$15))/(I1155+L1155*(1-'Inputs'!$B$15))</x:f>
        <x:v>319727.2527026751</x:v>
      </x:c>
      <x:c r="O1155" s="78" t="n">
        <x:f>H1155-N1155</x:f>
        <x:v>2035459.5460257477</x:v>
      </x:c>
      <x:c r="P1155" s="78" t="n">
        <x:f>I1155+L1155*(1-'Inputs'!$B$17)</x:f>
        <x:v>23852.13236965445</x:v>
      </x:c>
      <x:c r="Q1155" s="78" t="n">
        <x:f>IF(J1155&gt;0,M1155/J1155,0)</x:f>
        <x:v>0</x:v>
      </x:c>
      <x:c r="R1155" s="78" t="n">
        <x:f>IF(B1155='Inputs'!$H$47,'Inputs'!$B$27*'Inputs'!$I$47,0)</x:f>
        <x:v>0</x:v>
      </x:c>
      <x:c r="S1155" s="78" t="n">
        <x:f>Q1155+G1155+R1155</x:f>
        <x:v>350385.0394070185</x:v>
      </x:c>
      <x:c r="T1155" s="78" t="n">
        <x:f>P1155*(S1155*(1-'Inputs'!$B$15))/(O1155+S1155*(1-'Inputs'!$B$15))</x:f>
        <x:v>3472.994402182179</x:v>
      </x:c>
      <x:c r="U1155" s="78" t="n">
        <x:f>O1155+S1155*(1-'Inputs'!$B$17)</x:f>
        <x:v>2384434.5852741865</x:v>
      </x:c>
      <x:c r="V1155" s="78" t="n">
        <x:f>P1155-T1155</x:f>
        <x:v>20379.13796747227</x:v>
      </x:c>
      <x:c r="W1155" s="79" t="n">
        <x:f>IF(U1155&gt;0,V1155/U1155,0)</x:f>
        <x:v>0.0085467381212007</x:v>
      </x:c>
      <x:c r="X1155" s="80" t="n">
        <x:f>W1155*('Inputs'!$B$6-AC1155)</x:f>
        <x:v>8539833.185714245</x:v>
      </x:c>
      <x:c r="Y1155" s="80" t="n">
        <x:f>2*V1155</x:f>
        <x:v>40758.27593494454</x:v>
      </x:c>
      <x:c r="Z1155" s="80" t="n">
        <x:f>K1155*'Inputs'!$B$16+(G1155+R1155)*J1155*'Inputs'!$B$16</x:f>
        <x:v>410.5533986650184</x:v>
      </x:c>
      <x:c r="AA1155" s="80" t="n">
        <x:f>K1155*(1+'Inputs'!$E$47)/2*'Inputs'!$B$17</x:f>
        <x:v>138.08721976554082</x:v>
      </x:c>
      <x:c r="AB1155" s="78" t="n">
        <x:f>(IF(J1155&gt;0,K1155*(1-'Inputs'!$E$47)/2/J1155,0)+G1155+R1155)*'Inputs'!$B$17</x:f>
        <x:v>15695.799856970141</x:v>
      </x:c>
      <x:c r="AC1155" s="78" t="n">
        <x:f>AC1154+AB1155</x:f>
        <x:v>807903.0138207914</x:v>
      </x:c>
      <x:c r="AD1155" s="80" t="n">
        <x:f>Z1155/(1+'Inputs'!$C$47)</x:f>
        <x:v>164.22135946600736</x:v>
      </x:c>
      <x:c r="AE1155" s="80" t="n">
        <x:f>Z1155-AD1155</x:f>
        <x:v>246.33203919901104</x:v>
      </x:c>
      <x:c r="AF1155" s="80" t="n">
        <x:f>D1155*W1155</x:f>
        <x:v>2540.6438061220556</x:v>
      </x:c>
      <x:c r="AG1155" s="80" t="n">
        <x:f>C1155*W1155</x:f>
        <x:v>5928.168880951484</x:v>
      </x:c>
      <x:c r="AH1155" s="80" t="n">
        <x:f>2*'Inputs'!$B$8*'Inputs'!$C$47</x:f>
        <x:v>7500</x:v>
      </x:c>
      <x:c r="AI1155" s="81" t="n">
        <x:f>IF(AH1155&gt;0,(AE1155+AF1155)/AH1155*365,0)</x:f>
        <x:v>135.6328244722919</x:v>
      </x:c>
      <x:c r="AJ1155" s="81" t="n">
        <x:f>IF('Inputs'!$B$47&gt;0,AG1155/('Inputs'!$B$19*'Inputs'!$B$47)*365,0)</x:f>
        <x:v>216.37816415472918</x:v>
      </x:c>
      <x:c r="AK1155" s="81" t="n">
        <x:f>W1155/MAX($W$1099:W1155)-1</x:f>
        <x:v>-0.6143096382874642</x:v>
      </x:c>
      <x:c r="AL1155" s="83" t="n">
        <x:f>'Inputs'!$B$47</x:f>
        <x:v>1</x:v>
      </x:c>
      <x:c r="AM1155" s="83" t="n">
        <x:f>'Inputs'!$C$47</x:f>
        <x:v>1.5</x:v>
      </x:c>
      <x:c r="AN1155" s="83" t="n">
        <x:f>'Inputs'!$D$47</x:f>
        <x:v>1.5</x:v>
      </x:c>
      <x:c r="AO1155" s="81" t="n">
        <x:f>'Inputs'!$E$47</x:f>
        <x:v>0.05</x:v>
      </x:c>
    </x:row>
    <x:row r="1156">
      <x:c r="A1156" s="59" t="str">
        <x:v>Growth</x:v>
      </x:c>
      <x:c r="B1156" s="59" t="n">
        <x:v>58</x:v>
      </x:c>
      <x:c r="C1156" s="78" t="n">
        <x:f>(('Inputs'!$B$29*(3*58*'Inputs'!$B$12-58^2)/(2*'Inputs'!$B$12^2))-('Inputs'!$B$29*(3*57*'Inputs'!$B$12-57^2)/(2*'Inputs'!$B$12^2)))*'Inputs'!$B$47</x:f>
        <x:v>693292.5971101522</x:v>
      </x:c>
      <x:c r="D1156" s="78" t="n">
        <x:f>IF('Inputs'!$C$47&gt;0,('Inputs'!$B$30*(3*58*'Inputs'!$B$12-58^2)/(2*'Inputs'!$B$12^2))-('Inputs'!$B$30*(3*57*'Inputs'!$B$12-57^2)/(2*'Inputs'!$B$12^2)),0)</x:f>
        <x:v>297125.3987614922</x:v>
      </x:c>
      <x:c r="E1156" s="78" t="n">
        <x:f>C1156+D1156</x:f>
        <x:v>990417.9958716445</x:v>
      </x:c>
      <x:c r="F1156" s="78" t="n">
        <x:f>'Inputs'!$B$13*E1156+(1-'Inputs'!$B$13)/'Inputs'!$B$14*SUM(E1101:E1156)</x:f>
        <x:v>1000635.6727340964</x:v>
      </x:c>
      <x:c r="G1156" s="78" t="n">
        <x:f>F1156*'Inputs'!$F$47</x:f>
        <x:v>350222.48545693373</x:v>
      </x:c>
      <x:c r="H1156" s="78" t="n">
        <x:f>U1155</x:f>
        <x:v>2384434.5852741865</x:v>
      </x:c>
      <x:c r="I1156" s="78" t="n">
        <x:f>V1155</x:f>
        <x:v>20379.13796747227</x:v>
      </x:c>
      <x:c r="J1156" s="79" t="n">
        <x:f>IF(H1156&gt;0,I1156/H1156,0)</x:f>
        <x:v>0.0085467381212007</x:v>
      </x:c>
      <x:c r="K1156" s="80" t="n">
        <x:f>(H1156*J1156+I1156)*'Inputs'!$D$47*(1+'Inputs'!$G$47)^(B1156/30)</x:f>
        <x:v>64732.99465465784</x:v>
      </x:c>
      <x:c r="L1156" s="80" t="n">
        <x:f>MAX(0,K1156*'Inputs'!$E$47)</x:f>
        <x:v>3236.6497327328925</x:v>
      </x:c>
      <x:c r="M1156" s="80" t="n">
        <x:f>MAX(0,-K1156*'Inputs'!$E$47)</x:f>
        <x:v>0</x:v>
      </x:c>
      <x:c r="N1156" s="78" t="n">
        <x:f>H1156*(L1156*(1-'Inputs'!$B$15))/(I1156+L1156*(1-'Inputs'!$B$15))</x:f>
        <x:v>323973.5109587472</x:v>
      </x:c>
      <x:c r="O1156" s="78" t="n">
        <x:f>H1156-N1156</x:f>
        <x:v>2060461.0743154392</x:v>
      </x:c>
      <x:c r="P1156" s="78" t="n">
        <x:f>I1156+L1156*(1-'Inputs'!$B$17)</x:f>
        <x:v>23602.762952789737</x:v>
      </x:c>
      <x:c r="Q1156" s="78" t="n">
        <x:f>IF(J1156&gt;0,M1156/J1156,0)</x:f>
        <x:v>0</x:v>
      </x:c>
      <x:c r="R1156" s="78" t="n">
        <x:f>IF(B1156='Inputs'!$H$47,'Inputs'!$B$27*'Inputs'!$I$47,0)</x:f>
        <x:v>0</x:v>
      </x:c>
      <x:c r="S1156" s="78" t="n">
        <x:f>Q1156+G1156+R1156</x:f>
        <x:v>350222.48545693373</x:v>
      </x:c>
      <x:c r="T1156" s="78" t="n">
        <x:f>P1156*(S1156*(1-'Inputs'!$B$15))/(O1156+S1156*(1-'Inputs'!$B$15))</x:f>
        <x:v>3399.6425625352927</x:v>
      </x:c>
      <x:c r="U1156" s="78" t="n">
        <x:f>O1156+S1156*(1-'Inputs'!$B$17)</x:f>
        <x:v>2409274.2137544374</x:v>
      </x:c>
      <x:c r="V1156" s="78" t="n">
        <x:f>P1156-T1156</x:f>
        <x:v>20203.120390254444</x:v>
      </x:c>
      <x:c r="W1156" s="79" t="n">
        <x:f>IF(U1156&gt;0,V1156/U1156,0)</x:f>
        <x:v>0.008385562869894902</x:v>
      </x:c>
      <x:c r="X1156" s="80" t="n">
        <x:f>W1156*('Inputs'!$B$6-AC1156)</x:f>
        <x:v>8378654.928528675</x:v>
      </x:c>
      <x:c r="Y1156" s="80" t="n">
        <x:f>2*V1156</x:f>
        <x:v>40406.24078050889</x:v>
      </x:c>
      <x:c r="Z1156" s="80" t="n">
        <x:f>K1156*'Inputs'!$B$16+(G1156+R1156)*J1156*'Inputs'!$B$16</x:f>
        <x:v>406.3575271320857</x:v>
      </x:c>
      <x:c r="AA1156" s="80" t="n">
        <x:f>K1156*(1+'Inputs'!$E$47)/2*'Inputs'!$B$17</x:f>
        <x:v>136.7598478619532</x:v>
      </x:c>
      <x:c r="AB1156" s="78" t="n">
        <x:f>(IF(J1156&gt;0,K1156*(1-'Inputs'!$E$47)/2/J1156,0)+G1156+R1156)*'Inputs'!$B$17</x:f>
        <x:v>15886.810834553125</x:v>
      </x:c>
      <x:c r="AC1156" s="78" t="n">
        <x:f>AC1155+AB1156</x:f>
        <x:v>823789.8246553445</x:v>
      </x:c>
      <x:c r="AD1156" s="80" t="n">
        <x:f>Z1156/(1+'Inputs'!$C$47)</x:f>
        <x:v>162.54301085283427</x:v>
      </x:c>
      <x:c r="AE1156" s="80" t="n">
        <x:f>Z1156-AD1156</x:f>
        <x:v>243.81451627925142</x:v>
      </x:c>
      <x:c r="AF1156" s="80" t="n">
        <x:f>D1156*W1156</x:f>
        <x:v>2491.5637115570858</x:v>
      </x:c>
      <x:c r="AG1156" s="80" t="n">
        <x:f>C1156*W1156</x:f>
        <x:v>5813.648660299898</x:v>
      </x:c>
      <x:c r="AH1156" s="80" t="n">
        <x:f>2*'Inputs'!$B$8*'Inputs'!$C$47</x:f>
        <x:v>7500</x:v>
      </x:c>
      <x:c r="AI1156" s="81" t="n">
        <x:f>IF(AH1156&gt;0,(AE1156+AF1156)/AH1156*365,0)</x:f>
        <x:v>133.12174042136843</x:v>
      </x:c>
      <x:c r="AJ1156" s="81" t="n">
        <x:f>IF('Inputs'!$B$47&gt;0,AG1156/('Inputs'!$B$19*'Inputs'!$B$47)*365,0)</x:f>
        <x:v>212.19817610094628</x:v>
      </x:c>
      <x:c r="AK1156" s="81" t="n">
        <x:f>W1156/MAX($W$1099:W1156)-1</x:f>
        <x:v>-0.6215830261102455</x:v>
      </x:c>
      <x:c r="AL1156" s="83" t="n">
        <x:f>'Inputs'!$B$47</x:f>
        <x:v>1</x:v>
      </x:c>
      <x:c r="AM1156" s="83" t="n">
        <x:f>'Inputs'!$C$47</x:f>
        <x:v>1.5</x:v>
      </x:c>
      <x:c r="AN1156" s="83" t="n">
        <x:f>'Inputs'!$D$47</x:f>
        <x:v>1.5</x:v>
      </x:c>
      <x:c r="AO1156" s="81" t="n">
        <x:f>'Inputs'!$E$47</x:f>
        <x:v>0.05</x:v>
      </x:c>
    </x:row>
    <x:row r="1157">
      <x:c r="A1157" s="59" t="str">
        <x:v>Growth</x:v>
      </x:c>
      <x:c r="B1157" s="59" t="n">
        <x:v>59</x:v>
      </x:c>
      <x:c r="C1157" s="78" t="n">
        <x:f>(('Inputs'!$B$29*(3*59*'Inputs'!$B$12-59^2)/(2*'Inputs'!$B$12^2))-('Inputs'!$B$29*(3*58*'Inputs'!$B$12-58^2)/(2*'Inputs'!$B$12^2)))*'Inputs'!$B$47</x:f>
        <x:v>692967.4892099798</x:v>
      </x:c>
      <x:c r="D1157" s="78" t="n">
        <x:f>IF('Inputs'!$C$47&gt;0,('Inputs'!$B$30*(3*59*'Inputs'!$B$12-59^2)/(2*'Inputs'!$B$12^2))-('Inputs'!$B$30*(3*58*'Inputs'!$B$12-58^2)/(2*'Inputs'!$B$12^2)),0)</x:f>
        <x:v>296986.06680427864</x:v>
      </x:c>
      <x:c r="E1157" s="78" t="n">
        <x:f>C1157+D1157</x:f>
        <x:v>989953.5560142584</x:v>
      </x:c>
      <x:c r="F1157" s="78" t="n">
        <x:f>'Inputs'!$B$13*E1157+(1-'Inputs'!$B$13)/'Inputs'!$B$14*SUM(E1102:E1157)</x:f>
        <x:v>1000171.2328767116</x:v>
      </x:c>
      <x:c r="G1157" s="78" t="n">
        <x:f>F1157*'Inputs'!$F$47</x:f>
        <x:v>350059.93150684907</x:v>
      </x:c>
      <x:c r="H1157" s="78" t="n">
        <x:f>U1156</x:f>
        <x:v>2409274.2137544374</x:v>
      </x:c>
      <x:c r="I1157" s="78" t="n">
        <x:f>V1156</x:f>
        <x:v>20203.120390254444</x:v>
      </x:c>
      <x:c r="J1157" s="79" t="n">
        <x:f>IF(H1157&gt;0,I1157/H1157,0)</x:f>
        <x:v>0.008385562869894902</x:v>
      </x:c>
      <x:c r="K1157" s="80" t="n">
        <x:f>(H1157*J1157+I1157)*'Inputs'!$D$47*(1+'Inputs'!$G$47)^(B1157/30)</x:f>
        <x:v>64237.14763688986</x:v>
      </x:c>
      <x:c r="L1157" s="80" t="n">
        <x:f>MAX(0,K1157*'Inputs'!$E$47)</x:f>
        <x:v>3211.857381844493</x:v>
      </x:c>
      <x:c r="M1157" s="80" t="n">
        <x:f>MAX(0,-K1157*'Inputs'!$E$47)</x:f>
        <x:v>0</x:v>
      </x:c>
      <x:c r="N1157" s="78" t="n">
        <x:f>H1157*(L1157*(1-'Inputs'!$B$15))/(I1157+L1157*(1-'Inputs'!$B$15))</x:f>
        <x:v>327627.28679539694</x:v>
      </x:c>
      <x:c r="O1157" s="78" t="n">
        <x:f>H1157-N1157</x:f>
        <x:v>2081646.9269590406</x:v>
      </x:c>
      <x:c r="P1157" s="78" t="n">
        <x:f>I1157+L1157*(1-'Inputs'!$B$17)</x:f>
        <x:v>23402.052792695136</x:v>
      </x:c>
      <x:c r="Q1157" s="78" t="n">
        <x:f>IF(J1157&gt;0,M1157/J1157,0)</x:f>
        <x:v>0</x:v>
      </x:c>
      <x:c r="R1157" s="78" t="n">
        <x:f>IF(B1157='Inputs'!$H$47,'Inputs'!$B$27*'Inputs'!$I$47,0)</x:f>
        <x:v>0</x:v>
      </x:c>
      <x:c r="S1157" s="78" t="n">
        <x:f>Q1157+G1157+R1157</x:f>
        <x:v>350059.93150684907</x:v>
      </x:c>
      <x:c r="T1157" s="78" t="n">
        <x:f>P1157*(S1157*(1-'Inputs'!$B$15))/(O1157+S1157*(1-'Inputs'!$B$15))</x:f>
        <x:v>3339.9962450428216</x:v>
      </x:c>
      <x:c r="U1157" s="78" t="n">
        <x:f>O1157+S1157*(1-'Inputs'!$B$17)</x:f>
        <x:v>2430298.1665885984</x:v>
      </x:c>
      <x:c r="V1157" s="78" t="n">
        <x:f>P1157-T1157</x:f>
        <x:v>20062.056547652315</x:v>
      </x:c>
      <x:c r="W1157" s="79" t="n">
        <x:f>IF(U1157&gt;0,V1157/U1157,0)</x:f>
        <x:v>0.008254977444110637</x:v>
      </x:c>
      <x:c r="X1157" s="80" t="n">
        <x:f>W1157*('Inputs'!$B$6-AC1157)</x:f>
        <x:v>8248044.573788981</x:v>
      </x:c>
      <x:c r="Y1157" s="80" t="n">
        <x:f>2*V1157</x:f>
        <x:v>40124.11309530463</x:v>
      </x:c>
      <x:c r="Z1157" s="80" t="n">
        <x:f>K1157*'Inputs'!$B$16+(G1157+R1157)*J1157*'Inputs'!$B$16</x:f>
        <x:v>403.03558320462986</x:v>
      </x:c>
      <x:c r="AA1157" s="80" t="n">
        <x:f>K1157*(1+'Inputs'!$E$47)/2*'Inputs'!$B$17</x:f>
        <x:v>135.71228373990817</x:v>
      </x:c>
      <x:c r="AB1157" s="78" t="n">
        <x:f>(IF(J1157&gt;0,K1157*(1-'Inputs'!$E$47)/2/J1157,0)+G1157+R1157)*'Inputs'!$B$17</x:f>
        <x:v>16051.394608306062</x:v>
      </x:c>
      <x:c r="AC1157" s="78" t="n">
        <x:f>AC1156+AB1157</x:f>
        <x:v>839841.2192636506</x:v>
      </x:c>
      <x:c r="AD1157" s="80" t="n">
        <x:f>Z1157/(1+'Inputs'!$C$47)</x:f>
        <x:v>161.21423328185193</x:v>
      </x:c>
      <x:c r="AE1157" s="80" t="n">
        <x:f>Z1157-AD1157</x:f>
        <x:v>241.82134992277793</x:v>
      </x:c>
      <x:c r="AF1157" s="80" t="n">
        <x:f>D1157*W1157</x:f>
        <x:v>2451.613282684455</x:v>
      </x:c>
      <x:c r="AG1157" s="80" t="n">
        <x:f>C1157*W1157</x:f>
        <x:v>5720.4309929303645</x:v>
      </x:c>
      <x:c r="AH1157" s="80" t="n">
        <x:f>2*'Inputs'!$B$8*'Inputs'!$C$47</x:f>
        <x:v>7500</x:v>
      </x:c>
      <x:c r="AI1157" s="81" t="n">
        <x:f>IF(AH1157&gt;0,(AE1157+AF1157)/AH1157*365,0)</x:f>
        <x:v>131.080485453552</x:v>
      </x:c>
      <x:c r="AJ1157" s="81" t="n">
        <x:f>IF('Inputs'!$B$47&gt;0,AG1157/('Inputs'!$B$19*'Inputs'!$B$47)*365,0)</x:f>
        <x:v>208.7957312419583</x:v>
      </x:c>
      <x:c r="AK1157" s="81" t="n">
        <x:f>W1157/MAX($W$1099:W1157)-1</x:f>
        <x:v>-0.6274759807545658</x:v>
      </x:c>
      <x:c r="AL1157" s="83" t="n">
        <x:f>'Inputs'!$B$47</x:f>
        <x:v>1</x:v>
      </x:c>
      <x:c r="AM1157" s="83" t="n">
        <x:f>'Inputs'!$C$47</x:f>
        <x:v>1.5</x:v>
      </x:c>
      <x:c r="AN1157" s="83" t="n">
        <x:f>'Inputs'!$D$47</x:f>
        <x:v>1.5</x:v>
      </x:c>
      <x:c r="AO1157" s="81" t="n">
        <x:f>'Inputs'!$E$47</x:f>
        <x:v>0.05</x:v>
      </x:c>
    </x:row>
    <x:row r="1158">
      <x:c r="A1158" s="59" t="str">
        <x:v>Growth</x:v>
      </x:c>
      <x:c r="B1158" s="59" t="n">
        <x:v>60</x:v>
      </x:c>
      <x:c r="C1158" s="78" t="n">
        <x:f>(('Inputs'!$B$29*(3*60*'Inputs'!$B$12-60^2)/(2*'Inputs'!$B$12^2))-('Inputs'!$B$29*(3*59*'Inputs'!$B$12-59^2)/(2*'Inputs'!$B$12^2)))*'Inputs'!$B$47</x:f>
        <x:v>692642.3813098148</x:v>
      </x:c>
      <x:c r="D1158" s="78" t="n">
        <x:f>IF('Inputs'!$C$47&gt;0,('Inputs'!$B$30*(3*60*'Inputs'!$B$12-60^2)/(2*'Inputs'!$B$12^2))-('Inputs'!$B$30*(3*59*'Inputs'!$B$12-59^2)/(2*'Inputs'!$B$12^2)),0)</x:f>
        <x:v>296846.73484706506</x:v>
      </x:c>
      <x:c r="E1158" s="78" t="n">
        <x:f>C1158+D1158</x:f>
        <x:v>989489.1161568798</x:v>
      </x:c>
      <x:c r="F1158" s="78" t="n">
        <x:f>'Inputs'!$B$13*E1158+(1-'Inputs'!$B$13)/'Inputs'!$B$14*SUM(E1103:E1158)</x:f>
        <x:v>999706.7930193288</x:v>
      </x:c>
      <x:c r="G1158" s="78" t="n">
        <x:f>F1158*'Inputs'!$F$47</x:f>
        <x:v>349897.3775567651</x:v>
      </x:c>
      <x:c r="H1158" s="78" t="n">
        <x:f>U1157</x:f>
        <x:v>2430298.1665885984</x:v>
      </x:c>
      <x:c r="I1158" s="78" t="n">
        <x:f>V1157</x:f>
        <x:v>20062.056547652315</x:v>
      </x:c>
      <x:c r="J1158" s="79" t="n">
        <x:f>IF(H1158&gt;0,I1158/H1158,0)</x:f>
        <x:v>0.008254977444110637</x:v>
      </x:c>
      <x:c r="K1158" s="80" t="n">
        <x:f>(H1158*J1158+I1158)*'Inputs'!$D$47*(1+'Inputs'!$G$47)^(B1158/30)</x:f>
        <x:v>63851.50737421302</x:v>
      </x:c>
      <x:c r="L1158" s="80" t="n">
        <x:f>MAX(0,K1158*'Inputs'!$E$47)</x:f>
        <x:v>3192.575368710651</x:v>
      </x:c>
      <x:c r="M1158" s="80" t="n">
        <x:f>MAX(0,-K1158*'Inputs'!$E$47)</x:f>
        <x:v>0</x:v>
      </x:c>
      <x:c r="N1158" s="78" t="n">
        <x:f>H1158*(L1158*(1-'Inputs'!$B$15))/(I1158+L1158*(1-'Inputs'!$B$15))</x:f>
        <x:v>330767.69394629385</x:v>
      </x:c>
      <x:c r="O1158" s="78" t="n">
        <x:f>H1158-N1158</x:f>
        <x:v>2099530.4726423044</x:v>
      </x:c>
      <x:c r="P1158" s="78" t="n">
        <x:f>I1158+L1158*(1-'Inputs'!$B$17)</x:f>
        <x:v>23241.784530573386</x:v>
      </x:c>
      <x:c r="Q1158" s="78" t="n">
        <x:f>IF(J1158&gt;0,M1158/J1158,0)</x:f>
        <x:v>0</x:v>
      </x:c>
      <x:c r="R1158" s="78" t="n">
        <x:f>IF(B1158='Inputs'!$H$47,'Inputs'!$B$27*'Inputs'!$I$47,0)</x:f>
        <x:v>0</x:v>
      </x:c>
      <x:c r="S1158" s="78" t="n">
        <x:f>Q1158+G1158+R1158</x:f>
        <x:v>349897.3775567651</x:v>
      </x:c>
      <x:c r="T1158" s="78" t="n">
        <x:f>P1158*(S1158*(1-'Inputs'!$B$15))/(O1158+S1158*(1-'Inputs'!$B$15))</x:f>
        <x:v>3291.5581233864004</x:v>
      </x:c>
      <x:c r="U1158" s="78" t="n">
        <x:f>O1158+S1158*(1-'Inputs'!$B$17)</x:f>
        <x:v>2448019.8124624225</x:v>
      </x:c>
      <x:c r="V1158" s="78" t="n">
        <x:f>P1158-T1158</x:f>
        <x:v>19950.226407186987</x:v>
      </x:c>
      <x:c r="W1158" s="79" t="n">
        <x:f>IF(U1158&gt;0,V1158/U1158,0)</x:f>
        <x:v>0.008149536333662015</x:v>
      </x:c>
      <x:c r="X1158" s="80" t="n">
        <x:f>W1158*('Inputs'!$B$6-AC1158)</x:f>
        <x:v>8142560.051062374</x:v>
      </x:c>
      <x:c r="Y1158" s="80" t="n">
        <x:f>2*V1158</x:f>
        <x:v>39900.45281437397</x:v>
      </x:c>
      <x:c r="Z1158" s="80" t="n">
        <x:f>K1158*'Inputs'!$B$16+(G1158+R1158)*J1158*'Inputs'!$B$16</x:f>
        <x:v>400.4394140021855</x:v>
      </x:c>
      <x:c r="AA1158" s="80" t="n">
        <x:f>K1158*(1+'Inputs'!$E$47)/2*'Inputs'!$B$17</x:f>
        <x:v>134.89755079059088</x:v>
      </x:c>
      <x:c r="AB1158" s="78" t="n">
        <x:f>(IF(J1158&gt;0,K1158*(1-'Inputs'!$E$47)/2/J1158,0)+G1158+R1158)*'Inputs'!$B$17</x:f>
        <x:v>16193.07692389333</x:v>
      </x:c>
      <x:c r="AC1158" s="78" t="n">
        <x:f>AC1157+AB1158</x:f>
        <x:v>856034.2961875439</x:v>
      </x:c>
      <x:c r="AD1158" s="80" t="n">
        <x:f>Z1158/(1+'Inputs'!$C$47)</x:f>
        <x:v>160.1757656008742</x:v>
      </x:c>
      <x:c r="AE1158" s="80" t="n">
        <x:f>Z1158-AD1158</x:f>
        <x:v>240.26364840131131</x:v>
      </x:c>
      <x:c r="AF1158" s="80" t="n">
        <x:f>D1158*W1158</x:f>
        <x:v>2419.163251165091</x:v>
      </x:c>
      <x:c r="AG1158" s="80" t="n">
        <x:f>C1158*W1158</x:f>
        <x:v>5644.714252718515</x:v>
      </x:c>
      <x:c r="AH1158" s="80" t="n">
        <x:f>2*'Inputs'!$B$8*'Inputs'!$C$47</x:f>
        <x:v>7500</x:v>
      </x:c>
      <x:c r="AI1158" s="81" t="n">
        <x:f>IF(AH1158&gt;0,(AE1158+AF1158)/AH1158*365,0)</x:f>
        <x:v>129.42544244556493</x:v>
      </x:c>
      <x:c r="AJ1158" s="81" t="n">
        <x:f>IF('Inputs'!$B$47&gt;0,AG1158/('Inputs'!$B$19*'Inputs'!$B$47)*365,0)</x:f>
        <x:v>206.03207022422583</x:v>
      </x:c>
      <x:c r="AK1158" s="81" t="n">
        <x:f>W1158/MAX($W$1099:W1158)-1</x:f>
        <x:v>-0.6322342428484309</x:v>
      </x:c>
      <x:c r="AL1158" s="83" t="n">
        <x:f>'Inputs'!$B$47</x:f>
        <x:v>1</x:v>
      </x:c>
      <x:c r="AM1158" s="83" t="n">
        <x:f>'Inputs'!$C$47</x:f>
        <x:v>1.5</x:v>
      </x:c>
      <x:c r="AN1158" s="83" t="n">
        <x:f>'Inputs'!$D$47</x:f>
        <x:v>1.5</x:v>
      </x:c>
      <x:c r="AO1158" s="81" t="n">
        <x:f>'Inputs'!$E$47</x:f>
        <x:v>0.05</x:v>
      </x:c>
    </x:row>
    <x:row r="1159">
      <x:c r="A1159" s="59" t="str">
        <x:v>Growth</x:v>
      </x:c>
      <x:c r="B1159" s="59" t="n">
        <x:v>61</x:v>
      </x:c>
      <x:c r="C1159" s="78" t="n">
        <x:f>(('Inputs'!$B$29*(3*61*'Inputs'!$B$12-61^2)/(2*'Inputs'!$B$12^2))-('Inputs'!$B$29*(3*60*'Inputs'!$B$12-60^2)/(2*'Inputs'!$B$12^2)))*'Inputs'!$B$47</x:f>
        <x:v>692317.2734096497</x:v>
      </x:c>
      <x:c r="D1159" s="78" t="n">
        <x:f>IF('Inputs'!$C$47&gt;0,('Inputs'!$B$30*(3*61*'Inputs'!$B$12-61^2)/(2*'Inputs'!$B$12^2))-('Inputs'!$B$30*(3*60*'Inputs'!$B$12-60^2)/(2*'Inputs'!$B$12^2)),0)</x:f>
        <x:v>296707.40288984776</x:v>
      </x:c>
      <x:c r="E1159" s="78" t="n">
        <x:f>C1159+D1159</x:f>
        <x:v>989024.6762994975</x:v>
      </x:c>
      <x:c r="F1159" s="78" t="n">
        <x:f>'Inputs'!$B$13*E1159+(1-'Inputs'!$B$13)/'Inputs'!$B$14*SUM(E1104:E1159)</x:f>
        <x:v>999242.3531619449</x:v>
      </x:c>
      <x:c r="G1159" s="78" t="n">
        <x:f>F1159*'Inputs'!$F$47</x:f>
        <x:v>349734.8236066807</x:v>
      </x:c>
      <x:c r="H1159" s="78" t="n">
        <x:f>U1158</x:f>
        <x:v>2448019.8124624225</x:v>
      </x:c>
      <x:c r="I1159" s="78" t="n">
        <x:f>V1158</x:f>
        <x:v>19950.226407186987</x:v>
      </x:c>
      <x:c r="J1159" s="79" t="n">
        <x:f>IF(H1159&gt;0,I1159/H1159,0)</x:f>
        <x:v>0.008149536333662015</x:v>
      </x:c>
      <x:c r="K1159" s="80" t="n">
        <x:f>(H1159*J1159+I1159)*'Inputs'!$D$47*(1+'Inputs'!$G$47)^(B1159/30)</x:f>
        <x:v>63558.17819905312</x:v>
      </x:c>
      <x:c r="L1159" s="80" t="n">
        <x:f>MAX(0,K1159*'Inputs'!$E$47)</x:f>
        <x:v>3177.9089099526564</x:v>
      </x:c>
      <x:c r="M1159" s="80" t="n">
        <x:f>MAX(0,-K1159*'Inputs'!$E$47)</x:f>
        <x:v>0</x:v>
      </x:c>
      <x:c r="N1159" s="78" t="n">
        <x:f>H1159*(L1159*(1-'Inputs'!$B$15))/(I1159+L1159*(1-'Inputs'!$B$15))</x:f>
        <x:v>333463.3419221757</x:v>
      </x:c>
      <x:c r="O1159" s="78" t="n">
        <x:f>H1159-N1159</x:f>
        <x:v>2114556.470540247</x:v>
      </x:c>
      <x:c r="P1159" s="78" t="n">
        <x:f>I1159+L1159*(1-'Inputs'!$B$17)</x:f>
        <x:v>23115.346951304822</x:v>
      </x:c>
      <x:c r="Q1159" s="78" t="n">
        <x:f>IF(J1159&gt;0,M1159/J1159,0)</x:f>
        <x:v>0</x:v>
      </x:c>
      <x:c r="R1159" s="78" t="n">
        <x:f>IF(B1159='Inputs'!$H$47,'Inputs'!$B$27*'Inputs'!$I$47,0)</x:f>
        <x:v>0</x:v>
      </x:c>
      <x:c r="S1159" s="78" t="n">
        <x:f>Q1159+G1159+R1159</x:f>
        <x:v>349734.8236066807</x:v>
      </x:c>
      <x:c r="T1159" s="78" t="n">
        <x:f>P1159*(S1159*(1-'Inputs'!$B$15))/(O1159+S1159*(1-'Inputs'!$B$15))</x:f>
        <x:v>3252.364702877691</x:v>
      </x:c>
      <x:c r="U1159" s="78" t="n">
        <x:f>O1159+S1159*(1-'Inputs'!$B$17)</x:f>
        <x:v>2462883.910550925</x:v>
      </x:c>
      <x:c r="V1159" s="78" t="n">
        <x:f>P1159-T1159</x:f>
        <x:v>19862.98224842713</x:v>
      </x:c>
      <x:c r="W1159" s="79" t="n">
        <x:f>IF(U1159&gt;0,V1159/U1159,0)</x:f>
        <x:v>0.008064928340038554</x:v>
      </x:c>
      <x:c r="X1159" s="80" t="n">
        <x:f>W1159*('Inputs'!$B$6-AC1159)</x:f>
        <x:v>8057892.906156297</x:v>
      </x:c>
      <x:c r="Y1159" s="80" t="n">
        <x:f>2*V1159</x:f>
        <x:v>39725.96449685426</x:v>
      </x:c>
      <x:c r="Z1159" s="80" t="n">
        <x:f>K1159*'Inputs'!$B$16+(G1159+R1159)*J1159*'Inputs'!$B$16</x:f>
        <x:v>398.4501291070959</x:v>
      </x:c>
      <x:c r="AA1159" s="80" t="n">
        <x:f>K1159*(1+'Inputs'!$E$47)/2*'Inputs'!$B$17</x:f>
        <x:v>134.2778412656052</x:v>
      </x:c>
      <x:c r="AB1159" s="78" t="n">
        <x:f>(IF(J1159&gt;0,K1159*(1-'Inputs'!$E$47)/2/J1159,0)+G1159+R1159)*'Inputs'!$B$17</x:f>
        <x:v>16314.915810929871</x:v>
      </x:c>
      <x:c r="AC1159" s="78" t="n">
        <x:f>AC1158+AB1159</x:f>
        <x:v>872349.2119984737</x:v>
      </x:c>
      <x:c r="AD1159" s="80" t="n">
        <x:f>Z1159/(1+'Inputs'!$C$47)</x:f>
        <x:v>159.38005164283837</x:v>
      </x:c>
      <x:c r="AE1159" s="80" t="n">
        <x:f>Z1159-AD1159</x:f>
        <x:v>239.07007746425754</x:v>
      </x:c>
      <x:c r="AF1159" s="80" t="n">
        <x:f>D1159*W1159</x:f>
        <x:v>2392.92394226557</x:v>
      </x:c>
      <x:c r="AG1159" s="80" t="n">
        <x:f>C1159*W1159</x:f>
        <x:v>5583.4891986197035</x:v>
      </x:c>
      <x:c r="AH1159" s="80" t="n">
        <x:f>2*'Inputs'!$B$8*'Inputs'!$C$47</x:f>
        <x:v>7500</x:v>
      </x:c>
      <x:c r="AI1159" s="81" t="n">
        <x:f>IF(AH1159&gt;0,(AE1159+AF1159)/AH1159*365,0)</x:f>
        <x:v>128.0903756268516</x:v>
      </x:c>
      <x:c r="AJ1159" s="81" t="n">
        <x:f>IF('Inputs'!$B$47&gt;0,AG1159/('Inputs'!$B$19*'Inputs'!$B$47)*365,0)</x:f>
        <x:v>203.79735574961916</x:v>
      </x:c>
      <x:c r="AK1159" s="81" t="n">
        <x:f>W1159/MAX($W$1099:W1159)-1</x:f>
        <x:v>-0.6360523647098528</x:v>
      </x:c>
      <x:c r="AL1159" s="83" t="n">
        <x:f>'Inputs'!$B$47</x:f>
        <x:v>1</x:v>
      </x:c>
      <x:c r="AM1159" s="83" t="n">
        <x:f>'Inputs'!$C$47</x:f>
        <x:v>1.5</x:v>
      </x:c>
      <x:c r="AN1159" s="83" t="n">
        <x:f>'Inputs'!$D$47</x:f>
        <x:v>1.5</x:v>
      </x:c>
      <x:c r="AO1159" s="81" t="n">
        <x:f>'Inputs'!$E$47</x:f>
        <x:v>0.05</x:v>
      </x:c>
    </x:row>
    <x:row r="1160">
      <x:c r="A1160" s="59" t="str">
        <x:v>Growth</x:v>
      </x:c>
      <x:c r="B1160" s="59" t="n">
        <x:v>62</x:v>
      </x:c>
      <x:c r="C1160" s="78" t="n">
        <x:f>(('Inputs'!$B$29*(3*62*'Inputs'!$B$12-62^2)/(2*'Inputs'!$B$12^2))-('Inputs'!$B$29*(3*61*'Inputs'!$B$12-61^2)/(2*'Inputs'!$B$12^2)))*'Inputs'!$B$47</x:f>
        <x:v>691992.1655094698</x:v>
      </x:c>
      <x:c r="D1160" s="78" t="n">
        <x:f>IF('Inputs'!$C$47&gt;0,('Inputs'!$B$30*(3*62*'Inputs'!$B$12-62^2)/(2*'Inputs'!$B$12^2))-('Inputs'!$B$30*(3*61*'Inputs'!$B$12-61^2)/(2*'Inputs'!$B$12^2)),0)</x:f>
        <x:v>296568.0709326342</x:v>
      </x:c>
      <x:c r="E1160" s="78" t="n">
        <x:f>C1160+D1160</x:f>
        <x:v>988560.236442104</x:v>
      </x:c>
      <x:c r="F1160" s="78" t="n">
        <x:f>'Inputs'!$B$13*E1160+(1-'Inputs'!$B$13)/'Inputs'!$B$14*SUM(E1105:E1160)</x:f>
        <x:v>998777.913304559</x:v>
      </x:c>
      <x:c r="G1160" s="78" t="n">
        <x:f>F1160*'Inputs'!$F$47</x:f>
        <x:v>349572.2696565956</x:v>
      </x:c>
      <x:c r="H1160" s="78" t="n">
        <x:f>U1159</x:f>
        <x:v>2462883.910550925</x:v>
      </x:c>
      <x:c r="I1160" s="78" t="n">
        <x:f>V1159</x:f>
        <x:v>19862.98224842713</x:v>
      </x:c>
      <x:c r="J1160" s="79" t="n">
        <x:f>IF(H1160&gt;0,I1160/H1160,0)</x:f>
        <x:v>0.008064928340038554</x:v>
      </x:c>
      <x:c r="K1160" s="80" t="n">
        <x:f>(H1160*J1160+I1160)*'Inputs'!$D$47*(1+'Inputs'!$G$47)^(B1160/30)</x:f>
        <x:v>63342.612814113636</x:v>
      </x:c>
      <x:c r="L1160" s="80" t="n">
        <x:f>MAX(0,K1160*'Inputs'!$E$47)</x:f>
        <x:v>3167.130640705682</x:v>
      </x:c>
      <x:c r="M1160" s="80" t="n">
        <x:f>MAX(0,-K1160*'Inputs'!$E$47)</x:f>
        <x:v>0</x:v>
      </x:c>
      <x:c r="N1160" s="78" t="n">
        <x:f>H1160*(L1160*(1-'Inputs'!$B$15))/(I1160+L1160*(1-'Inputs'!$B$15))</x:f>
        <x:v>335773.7227043694</x:v>
      </x:c>
      <x:c r="O1160" s="78" t="n">
        <x:f>H1160-N1160</x:f>
        <x:v>2127110.1878465554</x:v>
      </x:c>
      <x:c r="P1160" s="78" t="n">
        <x:f>I1160+L1160*(1-'Inputs'!$B$17)</x:f>
        <x:v>23017.367896614884</x:v>
      </x:c>
      <x:c r="Q1160" s="78" t="n">
        <x:f>IF(J1160&gt;0,M1160/J1160,0)</x:f>
        <x:v>0</x:v>
      </x:c>
      <x:c r="R1160" s="78" t="n">
        <x:f>IF(B1160='Inputs'!$H$47,'Inputs'!$B$27*'Inputs'!$I$47,0)</x:f>
        <x:v>0</x:v>
      </x:c>
      <x:c r="S1160" s="78" t="n">
        <x:f>Q1160+G1160+R1160</x:f>
        <x:v>349572.2696565956</x:v>
      </x:c>
      <x:c r="T1160" s="78" t="n">
        <x:f>P1160*(S1160*(1-'Inputs'!$B$15))/(O1160+S1160*(1-'Inputs'!$B$15))</x:f>
        <x:v>3220.8531162092295</x:v>
      </x:c>
      <x:c r="U1160" s="78" t="n">
        <x:f>O1160+S1160*(1-'Inputs'!$B$17)</x:f>
        <x:v>2475275.7280477923</x:v>
      </x:c>
      <x:c r="V1160" s="78" t="n">
        <x:f>P1160-T1160</x:f>
        <x:v>19796.514780405654</x:v>
      </x:c>
      <x:c r="W1160" s="79" t="n">
        <x:f>IF(U1160&gt;0,V1160/U1160,0)</x:f>
        <x:v>0.0079977008444303</x:v>
      </x:c>
      <x:c r="X1160" s="80" t="n">
        <x:f>W1160*('Inputs'!$B$6-AC1160)</x:f>
        <x:v>7990592.737645808</x:v>
      </x:c>
      <x:c r="Y1160" s="80" t="n">
        <x:f>2*V1160</x:f>
        <x:v>39593.02956081131</x:v>
      </x:c>
      <x:c r="Z1160" s="80" t="n">
        <x:f>K1160*'Inputs'!$B$16+(G1160+R1160)*J1160*'Inputs'!$B$16</x:f>
        <x:v>396.97132871135227</x:v>
      </x:c>
      <x:c r="AA1160" s="80" t="n">
        <x:f>K1160*(1+'Inputs'!$E$47)/2*'Inputs'!$B$17</x:f>
        <x:v>133.82242143826826</x:v>
      </x:c>
      <x:c r="AB1160" s="78" t="n">
        <x:f>(IF(J1160&gt;0,K1160*(1-'Inputs'!$E$47)/2/J1160,0)+G1160+R1160)*'Inputs'!$B$17</x:f>
        <x:v>16419.56327301886</x:v>
      </x:c>
      <x:c r="AC1160" s="78" t="n">
        <x:f>AC1159+AB1160</x:f>
        <x:v>888768.7752714925</x:v>
      </x:c>
      <x:c r="AD1160" s="80" t="n">
        <x:f>Z1160/(1+'Inputs'!$C$47)</x:f>
        <x:v>158.7885314845409</x:v>
      </x:c>
      <x:c r="AE1160" s="80" t="n">
        <x:f>Z1160-AD1160</x:f>
        <x:v>238.18279722681137</x:v>
      </x:c>
      <x:c r="AF1160" s="80" t="n">
        <x:f>D1160*W1160</x:f>
        <x:v>2371.8627113289936</x:v>
      </x:c>
      <x:c r="AG1160" s="80" t="n">
        <x:f>C1160*W1160</x:f>
        <x:v>5534.346326434238</x:v>
      </x:c>
      <x:c r="AH1160" s="80" t="n">
        <x:f>2*'Inputs'!$B$8*'Inputs'!$C$47</x:f>
        <x:v>7500</x:v>
      </x:c>
      <x:c r="AI1160" s="81" t="n">
        <x:f>IF(AH1160&gt;0,(AE1160+AF1160)/AH1160*365,0)</x:f>
        <x:v>127.02221474971586</x:v>
      </x:c>
      <x:c r="AJ1160" s="81" t="n">
        <x:f>IF('Inputs'!$B$47&gt;0,AG1160/('Inputs'!$B$19*'Inputs'!$B$47)*365,0)</x:f>
        <x:v>202.0036409148497</x:v>
      </x:c>
      <x:c r="AK1160" s="81" t="n">
        <x:f>W1160/MAX($W$1099:W1160)-1</x:f>
        <x:v>-0.6390861533588645</x:v>
      </x:c>
      <x:c r="AL1160" s="83" t="n">
        <x:f>'Inputs'!$B$47</x:f>
        <x:v>1</x:v>
      </x:c>
      <x:c r="AM1160" s="83" t="n">
        <x:f>'Inputs'!$C$47</x:f>
        <x:v>1.5</x:v>
      </x:c>
      <x:c r="AN1160" s="83" t="n">
        <x:f>'Inputs'!$D$47</x:f>
        <x:v>1.5</x:v>
      </x:c>
      <x:c r="AO1160" s="81" t="n">
        <x:f>'Inputs'!$E$47</x:f>
        <x:v>0.05</x:v>
      </x:c>
    </x:row>
    <x:row r="1161">
      <x:c r="A1161" s="59" t="str">
        <x:v>Growth</x:v>
      </x:c>
      <x:c r="B1161" s="59" t="n">
        <x:v>63</x:v>
      </x:c>
      <x:c r="C1161" s="78" t="n">
        <x:f>(('Inputs'!$B$29*(3*63*'Inputs'!$B$12-63^2)/(2*'Inputs'!$B$12^2))-('Inputs'!$B$29*(3*62*'Inputs'!$B$12-62^2)/(2*'Inputs'!$B$12^2)))*'Inputs'!$B$47</x:f>
        <x:v>691667.0576093122</x:v>
      </x:c>
      <x:c r="D1161" s="78" t="n">
        <x:f>IF('Inputs'!$C$47&gt;0,('Inputs'!$B$30*(3*63*'Inputs'!$B$12-63^2)/(2*'Inputs'!$B$12^2))-('Inputs'!$B$30*(3*62*'Inputs'!$B$12-62^2)/(2*'Inputs'!$B$12^2)),0)</x:f>
        <x:v>296428.73897541687</x:v>
      </x:c>
      <x:c r="E1161" s="78" t="n">
        <x:f>C1161+D1161</x:f>
        <x:v>988095.7965847291</x:v>
      </x:c>
      <x:c r="F1161" s="78" t="n">
        <x:f>'Inputs'!$B$13*E1161+(1-'Inputs'!$B$13)/'Inputs'!$B$14*SUM(E1106:E1161)</x:f>
        <x:v>998313.4734471765</x:v>
      </x:c>
      <x:c r="G1161" s="78" t="n">
        <x:f>F1161*'Inputs'!$F$47</x:f>
        <x:v>349409.71570651175</x:v>
      </x:c>
      <x:c r="H1161" s="78" t="n">
        <x:f>U1160</x:f>
        <x:v>2475275.7280477923</x:v>
      </x:c>
      <x:c r="I1161" s="78" t="n">
        <x:f>V1160</x:f>
        <x:v>19796.514780405654</x:v>
      </x:c>
      <x:c r="J1161" s="79" t="n">
        <x:f>IF(H1161&gt;0,I1161/H1161,0)</x:f>
        <x:v>0.0079977008444303</x:v>
      </x:c>
      <x:c r="K1161" s="80" t="n">
        <x:f>(H1161*J1161+I1161)*'Inputs'!$D$47*(1+'Inputs'!$G$47)^(B1161/30)</x:f>
        <x:v>63192.882389456296</x:v>
      </x:c>
      <x:c r="L1161" s="80" t="n">
        <x:f>MAX(0,K1161*'Inputs'!$E$47)</x:f>
        <x:v>3159.644119472815</x:v>
      </x:c>
      <x:c r="M1161" s="80" t="n">
        <x:f>MAX(0,-K1161*'Inputs'!$E$47)</x:f>
        <x:v>0</x:v>
      </x:c>
      <x:c r="N1161" s="78" t="n">
        <x:f>H1161*(L1161*(1-'Inputs'!$B$15))/(I1161+L1161*(1-'Inputs'!$B$15))</x:f>
        <x:v>337750.4154407563</x:v>
      </x:c>
      <x:c r="O1161" s="78" t="n">
        <x:f>H1161-N1161</x:f>
        <x:v>2137525.312607036</x:v>
      </x:c>
      <x:c r="P1161" s="78" t="n">
        <x:f>I1161+L1161*(1-'Inputs'!$B$17)</x:f>
        <x:v>22943.444034206546</x:v>
      </x:c>
      <x:c r="Q1161" s="78" t="n">
        <x:f>IF(J1161&gt;0,M1161/J1161,0)</x:f>
        <x:v>0</x:v>
      </x:c>
      <x:c r="R1161" s="78" t="n">
        <x:f>IF(B1161='Inputs'!$H$47,'Inputs'!$B$27*'Inputs'!$I$47,0)</x:f>
        <x:v>0</x:v>
      </x:c>
      <x:c r="S1161" s="78" t="n">
        <x:f>Q1161+G1161+R1161</x:f>
        <x:v>349409.71570651175</x:v>
      </x:c>
      <x:c r="T1161" s="78" t="n">
        <x:f>P1161*(S1161*(1-'Inputs'!$B$15))/(O1161+S1161*(1-'Inputs'!$B$15))</x:f>
        <x:v>3195.765816363235</x:v>
      </x:c>
      <x:c r="U1161" s="78" t="n">
        <x:f>O1161+S1161*(1-'Inputs'!$B$17)</x:f>
        <x:v>2485528.9529988333</x:v>
      </x:c>
      <x:c r="V1161" s="78" t="n">
        <x:f>P1161-T1161</x:f>
        <x:v>19747.678217843313</x:v>
      </x:c>
      <x:c r="W1161" s="79" t="n">
        <x:f>IF(U1161&gt;0,V1161/U1161,0)</x:f>
        <x:v>0.007945060625432427</x:v>
      </x:c>
      <x:c r="X1161" s="80" t="n">
        <x:f>W1161*('Inputs'!$B$6-AC1161)</x:f>
        <x:v>7937868.13609145</x:v>
      </x:c>
      <x:c r="Y1161" s="80" t="n">
        <x:f>2*V1161</x:f>
        <x:v>39495.356435686626</x:v>
      </x:c>
      <x:c r="Z1161" s="80" t="n">
        <x:f>K1161*'Inputs'!$B$16+(G1161+R1161)*J1161*'Inputs'!$B$16</x:f>
        <x:v>395.9241406068865</x:v>
      </x:c>
      <x:c r="AA1161" s="80" t="n">
        <x:f>K1161*(1+'Inputs'!$E$47)/2*'Inputs'!$B$17</x:f>
        <x:v>133.50608955518936</x:v>
      </x:c>
      <x:c r="AB1161" s="78" t="n">
        <x:f>(IF(J1161&gt;0,K1161*(1-'Inputs'!$E$47)/2/J1161,0)+G1161+R1161)*'Inputs'!$B$17</x:f>
        <x:v>16509.31888844554</x:v>
      </x:c>
      <x:c r="AC1161" s="78" t="n">
        <x:f>AC1160+AB1161</x:f>
        <x:v>905278.094159938</x:v>
      </x:c>
      <x:c r="AD1161" s="80" t="n">
        <x:f>Z1161/(1+'Inputs'!$C$47)</x:f>
        <x:v>158.36965624275462</x:v>
      </x:c>
      <x:c r="AE1161" s="80" t="n">
        <x:f>Z1161-AD1161</x:f>
        <x:v>237.5544843641319</x:v>
      </x:c>
      <x:c r="AF1161" s="80" t="n">
        <x:f>D1161*W1161</x:f>
        <x:v>2355.144302280171</x:v>
      </x:c>
      <x:c r="AG1161" s="80" t="n">
        <x:f>C1161*W1161</x:f>
        <x:v>5495.336705320448</x:v>
      </x:c>
      <x:c r="AH1161" s="80" t="n">
        <x:f>2*'Inputs'!$B$8*'Inputs'!$C$47</x:f>
        <x:v>7500</x:v>
      </x:c>
      <x:c r="AI1161" s="81" t="n">
        <x:f>IF(AH1161&gt;0,(AE1161+AF1161)/AH1161*365,0)</x:f>
        <x:v>126.17800761668941</x:v>
      </x:c>
      <x:c r="AJ1161" s="81" t="n">
        <x:f>IF('Inputs'!$B$47&gt;0,AG1161/('Inputs'!$B$19*'Inputs'!$B$47)*365,0)</x:f>
        <x:v>200.57978974419638</x:v>
      </x:c>
      <x:c r="AK1161" s="81" t="n">
        <x:f>W1161/MAX($W$1099:W1161)-1</x:f>
        <x:v>-0.6414616590568284</x:v>
      </x:c>
      <x:c r="AL1161" s="83" t="n">
        <x:f>'Inputs'!$B$47</x:f>
        <x:v>1</x:v>
      </x:c>
      <x:c r="AM1161" s="83" t="n">
        <x:f>'Inputs'!$C$47</x:f>
        <x:v>1.5</x:v>
      </x:c>
      <x:c r="AN1161" s="83" t="n">
        <x:f>'Inputs'!$D$47</x:f>
        <x:v>1.5</x:v>
      </x:c>
      <x:c r="AO1161" s="81" t="n">
        <x:f>'Inputs'!$E$47</x:f>
        <x:v>0.05</x:v>
      </x:c>
    </x:row>
    <x:row r="1162">
      <x:c r="A1162" s="59" t="str">
        <x:v>Growth</x:v>
      </x:c>
      <x:c r="B1162" s="59" t="n">
        <x:v>64</x:v>
      </x:c>
      <x:c r="C1162" s="78" t="n">
        <x:f>(('Inputs'!$B$29*(3*64*'Inputs'!$B$12-64^2)/(2*'Inputs'!$B$12^2))-('Inputs'!$B$29*(3*63*'Inputs'!$B$12-63^2)/(2*'Inputs'!$B$12^2)))*'Inputs'!$B$47</x:f>
        <x:v>691341.9497091398</x:v>
      </x:c>
      <x:c r="D1162" s="78" t="n">
        <x:f>IF('Inputs'!$C$47&gt;0,('Inputs'!$B$30*(3*64*'Inputs'!$B$12-64^2)/(2*'Inputs'!$B$12^2))-('Inputs'!$B$30*(3*63*'Inputs'!$B$12-63^2)/(2*'Inputs'!$B$12^2)),0)</x:f>
        <x:v>296289.40701819956</x:v>
      </x:c>
      <x:c r="E1162" s="78" t="n">
        <x:f>C1162+D1162</x:f>
        <x:v>987631.3567273393</x:v>
      </x:c>
      <x:c r="F1162" s="78" t="n">
        <x:f>'Inputs'!$B$13*E1162+(1-'Inputs'!$B$13)/'Inputs'!$B$14*SUM(E1107:E1162)</x:f>
        <x:v>997849.0335897914</x:v>
      </x:c>
      <x:c r="G1162" s="78" t="n">
        <x:f>F1162*'Inputs'!$F$47</x:f>
        <x:v>349247.16175642697</x:v>
      </x:c>
      <x:c r="H1162" s="78" t="n">
        <x:f>U1161</x:f>
        <x:v>2485528.9529988333</x:v>
      </x:c>
      <x:c r="I1162" s="78" t="n">
        <x:f>V1161</x:f>
        <x:v>19747.678217843313</x:v>
      </x:c>
      <x:c r="J1162" s="79" t="n">
        <x:f>IF(H1162&gt;0,I1162/H1162,0)</x:f>
        <x:v>0.007945060625432427</x:v>
      </x:c>
      <x:c r="K1162" s="80" t="n">
        <x:f>(H1162*J1162+I1162)*'Inputs'!$D$47*(1+'Inputs'!$G$47)^(B1162/30)</x:f>
        <x:v>63099.13068250054</x:v>
      </x:c>
      <x:c r="L1162" s="80" t="n">
        <x:f>MAX(0,K1162*'Inputs'!$E$47)</x:f>
        <x:v>3154.9565341250272</x:v>
      </x:c>
      <x:c r="M1162" s="80" t="n">
        <x:f>MAX(0,-K1162*'Inputs'!$E$47)</x:f>
        <x:v>0</x:v>
      </x:c>
      <x:c r="N1162" s="78" t="n">
        <x:f>H1162*(L1162*(1-'Inputs'!$B$15))/(I1162+L1162*(1-'Inputs'!$B$15))</x:f>
        <x:v>339438.1328897186</x:v>
      </x:c>
      <x:c r="O1162" s="78" t="n">
        <x:f>H1162-N1162</x:f>
        <x:v>2146090.8201091145</x:v>
      </x:c>
      <x:c r="P1162" s="78" t="n">
        <x:f>I1162+L1162*(1-'Inputs'!$B$17)</x:f>
        <x:v>22889.938749818943</x:v>
      </x:c>
      <x:c r="Q1162" s="78" t="n">
        <x:f>IF(J1162&gt;0,M1162/J1162,0)</x:f>
        <x:v>0</x:v>
      </x:c>
      <x:c r="R1162" s="78" t="n">
        <x:f>IF(B1162='Inputs'!$H$47,'Inputs'!$B$27*'Inputs'!$I$47,0)</x:f>
        <x:v>0</x:v>
      </x:c>
      <x:c r="S1162" s="78" t="n">
        <x:f>Q1162+G1162+R1162</x:f>
        <x:v>349247.16175642697</x:v>
      </x:c>
      <x:c r="T1162" s="78" t="n">
        <x:f>P1162*(S1162*(1-'Inputs'!$B$15))/(O1162+S1162*(1-'Inputs'!$B$15))</x:f>
        <x:v>3176.0812005370262</x:v>
      </x:c>
      <x:c r="U1162" s="78" t="n">
        <x:f>O1162+S1162*(1-'Inputs'!$B$17)</x:f>
        <x:v>2493932.560691471</x:v>
      </x:c>
      <x:c r="V1162" s="78" t="n">
        <x:f>P1162-T1162</x:f>
        <x:v>19713.857549281915</x:v>
      </x:c>
      <x:c r="W1162" s="79" t="n">
        <x:f>IF(U1162&gt;0,V1162/U1162,0)</x:f>
        <x:v>0.007904727601702279</x:v>
      </x:c>
      <x:c r="X1162" s="80" t="n">
        <x:f>W1162*('Inputs'!$B$6-AC1162)</x:f>
        <x:v>7897440.51575795</x:v>
      </x:c>
      <x:c r="Y1162" s="80" t="n">
        <x:f>2*V1162</x:f>
        <x:v>39427.71509856383</x:v>
      </x:c>
      <x:c r="Z1162" s="80" t="n">
        <x:f>K1162*'Inputs'!$B$16+(G1162+R1162)*J1162*'Inputs'!$B$16</x:f>
        <x:v>395.2435233354933</x:v>
      </x:c>
      <x:c r="AA1162" s="80" t="n">
        <x:f>K1162*(1+'Inputs'!$E$47)/2*'Inputs'!$B$17</x:f>
        <x:v>133.30802256866315</x:v>
      </x:c>
      <x:c r="AB1162" s="78" t="n">
        <x:f>(IF(J1162&gt;0,K1162*(1-'Inputs'!$E$47)/2/J1162,0)+G1162+R1162)*'Inputs'!$B$17</x:f>
        <x:v>16586.176376010713</x:v>
      </x:c>
      <x:c r="AC1162" s="78" t="n">
        <x:f>AC1161+AB1162</x:f>
        <x:v>921864.2705359488</x:v>
      </x:c>
      <x:c r="AD1162" s="80" t="n">
        <x:f>Z1162/(1+'Inputs'!$C$47)</x:f>
        <x:v>158.09740933419732</x:v>
      </x:c>
      <x:c r="AE1162" s="80" t="n">
        <x:f>Z1162-AD1162</x:f>
        <x:v>237.14611400129598</x:v>
      </x:c>
      <x:c r="AF1162" s="80" t="n">
        <x:f>D1162*W1162</x:f>
        <x:v>2342.087053748763</x:v>
      </x:c>
      <x:c r="AG1162" s="80" t="n">
        <x:f>C1162*W1162</x:f>
        <x:v>5464.869792080505</x:v>
      </x:c>
      <x:c r="AH1162" s="80" t="n">
        <x:f>2*'Inputs'!$B$8*'Inputs'!$C$47</x:f>
        <x:v>7500</x:v>
      </x:c>
      <x:c r="AI1162" s="81" t="n">
        <x:f>IF(AH1162&gt;0,(AE1162+AF1162)/AH1162*365,0)</x:f>
        <x:v>125.52268083050289</x:v>
      </x:c>
      <x:c r="AJ1162" s="81" t="n">
        <x:f>IF('Inputs'!$B$47&gt;0,AG1162/('Inputs'!$B$19*'Inputs'!$B$47)*365,0)</x:f>
        <x:v>199.46774741093844</x:v>
      </x:c>
      <x:c r="AK1162" s="81" t="n">
        <x:f>W1162/MAX($W$1099:W1162)-1</x:f>
        <x:v>-0.6432817754908224</x:v>
      </x:c>
      <x:c r="AL1162" s="83" t="n">
        <x:f>'Inputs'!$B$47</x:f>
        <x:v>1</x:v>
      </x:c>
      <x:c r="AM1162" s="83" t="n">
        <x:f>'Inputs'!$C$47</x:f>
        <x:v>1.5</x:v>
      </x:c>
      <x:c r="AN1162" s="83" t="n">
        <x:f>'Inputs'!$D$47</x:f>
        <x:v>1.5</x:v>
      </x:c>
      <x:c r="AO1162" s="81" t="n">
        <x:f>'Inputs'!$E$47</x:f>
        <x:v>0.05</x:v>
      </x:c>
    </x:row>
    <x:row r="1163">
      <x:c r="A1163" s="59" t="str">
        <x:v>Growth</x:v>
      </x:c>
      <x:c r="B1163" s="59" t="n">
        <x:v>65</x:v>
      </x:c>
      <x:c r="C1163" s="78" t="n">
        <x:f>(('Inputs'!$B$29*(3*65*'Inputs'!$B$12-65^2)/(2*'Inputs'!$B$12^2))-('Inputs'!$B$29*(3*64*'Inputs'!$B$12-64^2)/(2*'Inputs'!$B$12^2)))*'Inputs'!$B$47</x:f>
        <x:v>691016.8418089673</x:v>
      </x:c>
      <x:c r="D1163" s="78" t="n">
        <x:f>IF('Inputs'!$C$47&gt;0,('Inputs'!$B$30*(3*65*'Inputs'!$B$12-65^2)/(2*'Inputs'!$B$12^2))-('Inputs'!$B$30*(3*64*'Inputs'!$B$12-64^2)/(2*'Inputs'!$B$12^2)),0)</x:f>
        <x:v>296150.0750609897</x:v>
      </x:c>
      <x:c r="E1163" s="78" t="n">
        <x:f>C1163+D1163</x:f>
        <x:v>987166.916869957</x:v>
      </x:c>
      <x:c r="F1163" s="78" t="n">
        <x:f>'Inputs'!$B$13*E1163+(1-'Inputs'!$B$13)/'Inputs'!$B$14*SUM(E1108:E1163)</x:f>
        <x:v>997384.5937324078</x:v>
      </x:c>
      <x:c r="G1163" s="78" t="n">
        <x:f>F1163*'Inputs'!$F$47</x:f>
        <x:v>349084.6078063427</x:v>
      </x:c>
      <x:c r="H1163" s="78" t="n">
        <x:f>U1162</x:f>
        <x:v>2493932.560691471</x:v>
      </x:c>
      <x:c r="I1163" s="78" t="n">
        <x:f>V1162</x:f>
        <x:v>19713.857549281915</x:v>
      </x:c>
      <x:c r="J1163" s="79" t="n">
        <x:f>IF(H1163&gt;0,I1163/H1163,0)</x:f>
        <x:v>0.007904727601702279</x:v>
      </x:c>
      <x:c r="K1163" s="80" t="n">
        <x:f>(H1163*J1163+I1163)*'Inputs'!$D$47*(1+'Inputs'!$G$47)^(B1163/30)</x:f>
        <x:v>63053.15983824241</x:v>
      </x:c>
      <x:c r="L1163" s="80" t="n">
        <x:f>MAX(0,K1163*'Inputs'!$E$47)</x:f>
        <x:v>3152.657991912121</x:v>
      </x:c>
      <x:c r="M1163" s="80" t="n">
        <x:f>MAX(0,-K1163*'Inputs'!$E$47)</x:f>
        <x:v>0</x:v>
      </x:c>
      <x:c r="N1163" s="78" t="n">
        <x:f>H1163*(L1163*(1-'Inputs'!$B$15))/(I1163+L1163*(1-'Inputs'!$B$15))</x:f>
        <x:v>340875.6302780232</x:v>
      </x:c>
      <x:c r="O1163" s="78" t="n">
        <x:f>H1163-N1163</x:f>
        <x:v>2153056.9304134483</x:v>
      </x:c>
      <x:c r="P1163" s="78" t="n">
        <x:f>I1163+L1163*(1-'Inputs'!$B$17)</x:f>
        <x:v>22853.828788711493</x:v>
      </x:c>
      <x:c r="Q1163" s="78" t="n">
        <x:f>IF(J1163&gt;0,M1163/J1163,0)</x:f>
        <x:v>0</x:v>
      </x:c>
      <x:c r="R1163" s="78" t="n">
        <x:f>IF(B1163='Inputs'!$H$47,'Inputs'!$B$27*'Inputs'!$I$47,0)</x:f>
        <x:v>0</x:v>
      </x:c>
      <x:c r="S1163" s="78" t="n">
        <x:f>Q1163+G1163+R1163</x:f>
        <x:v>349084.6078063427</x:v>
      </x:c>
      <x:c r="T1163" s="78" t="n">
        <x:f>P1163*(S1163*(1-'Inputs'!$B$15))/(O1163+S1163*(1-'Inputs'!$B$15))</x:f>
        <x:v>3160.9623089071847</x:v>
      </x:c>
      <x:c r="U1163" s="78" t="n">
        <x:f>O1163+S1163*(1-'Inputs'!$B$17)</x:f>
        <x:v>2500736.771186365</x:v>
      </x:c>
      <x:c r="V1163" s="78" t="n">
        <x:f>P1163-T1163</x:f>
        <x:v>19692.86647980431</x:v>
      </x:c>
      <x:c r="W1163" s="79" t="n">
        <x:f>IF(U1163&gt;0,V1163/U1163,0)</x:f>
        <x:v>0.007874825814018759</x:v>
      </x:c>
      <x:c r="X1163" s="80" t="n">
        <x:f>W1163*('Inputs'!$B$6-AC1163)</x:f>
        <x:v>7867435.162935297</x:v>
      </x:c>
      <x:c r="Y1163" s="80" t="n">
        <x:f>2*V1163</x:f>
        <x:v>39385.73295960862</x:v>
      </x:c>
      <x:c r="Z1163" s="80" t="n">
        <x:f>K1163*'Inputs'!$B$16+(G1163+R1163)*J1163*'Inputs'!$B$16</x:f>
        <x:v>394.87547143739175</x:v>
      </x:c>
      <x:c r="AA1163" s="80" t="n">
        <x:f>K1163*(1+'Inputs'!$E$47)/2*'Inputs'!$B$17</x:f>
        <x:v>133.21090106670934</x:v>
      </x:c>
      <x:c r="AB1163" s="78" t="n">
        <x:f>(IF(J1163&gt;0,K1163*(1-'Inputs'!$E$47)/2/J1163,0)+G1163+R1163)*'Inputs'!$B$17</x:f>
        <x:v>16651.864043854315</x:v>
      </x:c>
      <x:c r="AC1163" s="78" t="n">
        <x:f>AC1162+AB1163</x:f>
        <x:v>938516.1345798031</x:v>
      </x:c>
      <x:c r="AD1163" s="80" t="n">
        <x:f>Z1163/(1+'Inputs'!$C$47)</x:f>
        <x:v>157.9501885749567</x:v>
      </x:c>
      <x:c r="AE1163" s="80" t="n">
        <x:f>Z1163-AD1163</x:f>
        <x:v>236.92528286243504</x:v>
      </x:c>
      <x:c r="AF1163" s="80" t="n">
        <x:f>D1163*W1163</x:f>
        <x:v>2332.130255913875</x:v>
      </x:c>
      <x:c r="AG1163" s="80" t="n">
        <x:f>C1163*W1163</x:f>
        <x:v>5441.6372637989725</x:v>
      </x:c>
      <x:c r="AH1163" s="80" t="n">
        <x:f>2*'Inputs'!$B$8*'Inputs'!$C$47</x:f>
        <x:v>7500</x:v>
      </x:c>
      <x:c r="AI1163" s="81" t="n">
        <x:f>IF(AH1163&gt;0,(AE1163+AF1163)/AH1163*365,0)</x:f>
        <x:v>125.0273695537804</x:v>
      </x:c>
      <x:c r="AJ1163" s="81" t="n">
        <x:f>IF('Inputs'!$B$47&gt;0,AG1163/('Inputs'!$B$19*'Inputs'!$B$47)*365,0)</x:f>
        <x:v>198.6197601286625</x:v>
      </x:c>
      <x:c r="AK1163" s="81" t="n">
        <x:f>W1163/MAX($W$1099:W1163)-1</x:f>
        <x:v>-0.6446311594480658</x:v>
      </x:c>
      <x:c r="AL1163" s="83" t="n">
        <x:f>'Inputs'!$B$47</x:f>
        <x:v>1</x:v>
      </x:c>
      <x:c r="AM1163" s="83" t="n">
        <x:f>'Inputs'!$C$47</x:f>
        <x:v>1.5</x:v>
      </x:c>
      <x:c r="AN1163" s="83" t="n">
        <x:f>'Inputs'!$D$47</x:f>
        <x:v>1.5</x:v>
      </x:c>
      <x:c r="AO1163" s="81" t="n">
        <x:f>'Inputs'!$E$47</x:f>
        <x:v>0.05</x:v>
      </x:c>
    </x:row>
    <x:row r="1164">
      <x:c r="A1164" s="59" t="str">
        <x:v>Growth</x:v>
      </x:c>
      <x:c r="B1164" s="59" t="n">
        <x:v>66</x:v>
      </x:c>
      <x:c r="C1164" s="78" t="n">
        <x:f>(('Inputs'!$B$29*(3*66*'Inputs'!$B$12-66^2)/(2*'Inputs'!$B$12^2))-('Inputs'!$B$29*(3*65*'Inputs'!$B$12-65^2)/(2*'Inputs'!$B$12^2)))*'Inputs'!$B$47</x:f>
        <x:v>690691.7339088023</x:v>
      </x:c>
      <x:c r="D1164" s="78" t="n">
        <x:f>IF('Inputs'!$C$47&gt;0,('Inputs'!$B$30*(3*66*'Inputs'!$B$12-66^2)/(2*'Inputs'!$B$12^2))-('Inputs'!$B$30*(3*65*'Inputs'!$B$12-65^2)/(2*'Inputs'!$B$12^2)),0)</x:f>
        <x:v>296010.7431037724</x:v>
      </x:c>
      <x:c r="E1164" s="78" t="n">
        <x:f>C1164+D1164</x:f>
        <x:v>986702.4770125747</x:v>
      </x:c>
      <x:c r="F1164" s="78" t="n">
        <x:f>'Inputs'!$B$13*E1164+(1-'Inputs'!$B$13)/'Inputs'!$B$14*SUM(E1109:E1164)</x:f>
        <x:v>996920.1538750238</x:v>
      </x:c>
      <x:c r="G1164" s="78" t="n">
        <x:f>F1164*'Inputs'!$F$47</x:f>
        <x:v>348922.05385625834</x:v>
      </x:c>
      <x:c r="H1164" s="78" t="n">
        <x:f>U1163</x:f>
        <x:v>2500736.771186365</x:v>
      </x:c>
      <x:c r="I1164" s="78" t="n">
        <x:f>V1163</x:f>
        <x:v>19692.86647980431</x:v>
      </x:c>
      <x:c r="J1164" s="79" t="n">
        <x:f>IF(H1164&gt;0,I1164/H1164,0)</x:f>
        <x:v>0.007874825814018759</x:v>
      </x:c>
      <x:c r="K1164" s="80" t="n">
        <x:f>(H1164*J1164+I1164)*'Inputs'!$D$47*(1+'Inputs'!$G$47)^(B1164/30)</x:f>
        <x:v>63048.111916046684</x:v>
      </x:c>
      <x:c r="L1164" s="80" t="n">
        <x:f>MAX(0,K1164*'Inputs'!$E$47)</x:f>
        <x:v>3152.4055958023346</x:v>
      </x:c>
      <x:c r="M1164" s="80" t="n">
        <x:f>MAX(0,-K1164*'Inputs'!$E$47)</x:f>
        <x:v>0</x:v>
      </x:c>
      <x:c r="N1164" s="78" t="n">
        <x:f>H1164*(L1164*(1-'Inputs'!$B$15))/(I1164+L1164*(1-'Inputs'!$B$15))</x:f>
        <x:v>342096.4945559874</x:v>
      </x:c>
      <x:c r="O1164" s="78" t="n">
        <x:f>H1164-N1164</x:f>
        <x:v>2158640.2766303774</x:v>
      </x:c>
      <x:c r="P1164" s="78" t="n">
        <x:f>I1164+L1164*(1-'Inputs'!$B$17)</x:f>
        <x:v>22832.586338802612</x:v>
      </x:c>
      <x:c r="Q1164" s="78" t="n">
        <x:f>IF(J1164&gt;0,M1164/J1164,0)</x:f>
        <x:v>0</x:v>
      </x:c>
      <x:c r="R1164" s="78" t="n">
        <x:f>IF(B1164='Inputs'!$H$47,'Inputs'!$B$27*'Inputs'!$I$47,0)</x:f>
        <x:v>0</x:v>
      </x:c>
      <x:c r="S1164" s="78" t="n">
        <x:f>Q1164+G1164+R1164</x:f>
        <x:v>348922.05385625834</x:v>
      </x:c>
      <x:c r="T1164" s="78" t="n">
        <x:f>P1164*(S1164*(1-'Inputs'!$B$15))/(O1164+S1164*(1-'Inputs'!$B$15))</x:f>
        <x:v>3149.718336756971</x:v>
      </x:c>
      <x:c r="U1164" s="78" t="n">
        <x:f>O1164+S1164*(1-'Inputs'!$B$17)</x:f>
        <x:v>2506158.217593854</x:v>
      </x:c>
      <x:c r="V1164" s="78" t="n">
        <x:f>P1164-T1164</x:f>
        <x:v>19682.86800204564</x:v>
      </x:c>
      <x:c r="W1164" s="79" t="n">
        <x:f>IF(U1164&gt;0,V1164/U1164,0)</x:f>
        <x:v>0.007853801034534457</x:v>
      </x:c>
      <x:c r="X1164" s="80" t="n">
        <x:f>W1164*('Inputs'!$B$6-AC1164)</x:f>
        <x:v>7846298.895181166</x:v>
      </x:c>
      <x:c r="Y1164" s="80" t="n">
        <x:f>2*V1164</x:f>
        <x:v>39365.73600409128</x:v>
      </x:c>
      <x:c r="Z1164" s="80" t="n">
        <x:f>K1164*'Inputs'!$B$16+(G1164+R1164)*J1164*'Inputs'!$B$16</x:f>
        <x:v>394.77487387700637</x:v>
      </x:c>
      <x:c r="AA1164" s="80" t="n">
        <x:f>K1164*(1+'Inputs'!$E$47)/2*'Inputs'!$B$17</x:f>
        <x:v>133.20023644235215</x:v>
      </x:c>
      <x:c r="AB1164" s="78" t="n">
        <x:f>(IF(J1164&gt;0,K1164*(1-'Inputs'!$E$47)/2/J1164,0)+G1164+R1164)*'Inputs'!$B$17</x:f>
        <x:v>16707.87992008267</x:v>
      </x:c>
      <x:c r="AC1164" s="78" t="n">
        <x:f>AC1163+AB1164</x:f>
        <x:v>955224.0144998857</x:v>
      </x:c>
      <x:c r="AD1164" s="80" t="n">
        <x:f>Z1164/(1+'Inputs'!$C$47)</x:f>
        <x:v>157.90994955080254</x:v>
      </x:c>
      <x:c r="AE1164" s="80" t="n">
        <x:f>Z1164-AD1164</x:f>
        <x:v>236.86492432620383</x:v>
      </x:c>
      <x:c r="AF1164" s="80" t="n">
        <x:f>D1164*W1164</x:f>
        <x:v>2324.809480421721</x:v>
      </x:c>
      <x:c r="AG1164" s="80" t="n">
        <x:f>C1164*W1164</x:f>
        <x:v>5424.555454317349</x:v>
      </x:c>
      <x:c r="AH1164" s="80" t="n">
        <x:f>2*'Inputs'!$B$8*'Inputs'!$C$47</x:f>
        <x:v>7500</x:v>
      </x:c>
      <x:c r="AI1164" s="81" t="n">
        <x:f>IF(AH1164&gt;0,(AE1164+AF1164)/AH1164*365,0)</x:f>
        <x:v>124.66815436439902</x:v>
      </x:c>
      <x:c r="AJ1164" s="81" t="n">
        <x:f>IF('Inputs'!$B$47&gt;0,AG1164/('Inputs'!$B$19*'Inputs'!$B$47)*365,0)</x:f>
        <x:v>197.99627408258326</x:v>
      </x:c>
      <x:c r="AK1164" s="81" t="n">
        <x:f>W1164/MAX($W$1099:W1164)-1</x:f>
        <x:v>-0.6455799488796867</x:v>
      </x:c>
      <x:c r="AL1164" s="83" t="n">
        <x:f>'Inputs'!$B$47</x:f>
        <x:v>1</x:v>
      </x:c>
      <x:c r="AM1164" s="83" t="n">
        <x:f>'Inputs'!$C$47</x:f>
        <x:v>1.5</x:v>
      </x:c>
      <x:c r="AN1164" s="83" t="n">
        <x:f>'Inputs'!$D$47</x:f>
        <x:v>1.5</x:v>
      </x:c>
      <x:c r="AO1164" s="81" t="n">
        <x:f>'Inputs'!$E$47</x:f>
        <x:v>0.05</x:v>
      </x:c>
    </x:row>
    <x:row r="1165">
      <x:c r="A1165" s="59" t="str">
        <x:v>Growth</x:v>
      </x:c>
      <x:c r="B1165" s="59" t="n">
        <x:v>67</x:v>
      </x:c>
      <x:c r="C1165" s="78" t="n">
        <x:f>(('Inputs'!$B$29*(3*67*'Inputs'!$B$12-67^2)/(2*'Inputs'!$B$12^2))-('Inputs'!$B$29*(3*66*'Inputs'!$B$12-66^2)/(2*'Inputs'!$B$12^2)))*'Inputs'!$B$47</x:f>
        <x:v>690366.6260086298</x:v>
      </x:c>
      <x:c r="D1165" s="78" t="n">
        <x:f>IF('Inputs'!$C$47&gt;0,('Inputs'!$B$30*(3*67*'Inputs'!$B$12-67^2)/(2*'Inputs'!$B$12^2))-('Inputs'!$B$30*(3*66*'Inputs'!$B$12-66^2)/(2*'Inputs'!$B$12^2)),0)</x:f>
        <x:v>295871.4111465551</x:v>
      </x:c>
      <x:c r="E1165" s="78" t="n">
        <x:f>C1165+D1165</x:f>
        <x:v>986238.0371551849</x:v>
      </x:c>
      <x:c r="F1165" s="78" t="n">
        <x:f>'Inputs'!$B$13*E1165+(1-'Inputs'!$B$13)/'Inputs'!$B$14*SUM(E1110:E1165)</x:f>
        <x:v>996455.7140176386</x:v>
      </x:c>
      <x:c r="G1165" s="78" t="n">
        <x:f>F1165*'Inputs'!$F$47</x:f>
        <x:v>348759.4999061735</x:v>
      </x:c>
      <x:c r="H1165" s="78" t="n">
        <x:f>U1164</x:f>
        <x:v>2506158.217593854</x:v>
      </x:c>
      <x:c r="I1165" s="78" t="n">
        <x:f>V1164</x:f>
        <x:v>19682.86800204564</x:v>
      </x:c>
      <x:c r="J1165" s="79" t="n">
        <x:f>IF(H1165&gt;0,I1165/H1165,0)</x:f>
        <x:v>0.007853801034534457</x:v>
      </x:c>
      <x:c r="K1165" s="80" t="n">
        <x:f>(H1165*J1165+I1165)*'Inputs'!$D$47*(1+'Inputs'!$G$47)^(B1165/30)</x:f>
        <x:v>63078.22102590934</x:v>
      </x:c>
      <x:c r="L1165" s="80" t="n">
        <x:f>MAX(0,K1165*'Inputs'!$E$47)</x:f>
        <x:v>3153.911051295467</x:v>
      </x:c>
      <x:c r="M1165" s="80" t="n">
        <x:f>MAX(0,-K1165*'Inputs'!$E$47)</x:f>
        <x:v>0</x:v>
      </x:c>
      <x:c r="N1165" s="78" t="n">
        <x:f>H1165*(L1165*(1-'Inputs'!$B$15))/(I1165+L1165*(1-'Inputs'!$B$15))</x:f>
        <x:v>343129.8296967684</x:v>
      </x:c>
      <x:c r="O1165" s="78" t="n">
        <x:f>H1165-N1165</x:f>
        <x:v>2163028.3878970854</x:v>
      </x:c>
      <x:c r="P1165" s="78" t="n">
        <x:f>I1165+L1165*(1-'Inputs'!$B$17)</x:f>
        <x:v>22824.087258366075</x:v>
      </x:c>
      <x:c r="Q1165" s="78" t="n">
        <x:f>IF(J1165&gt;0,M1165/J1165,0)</x:f>
        <x:v>0</x:v>
      </x:c>
      <x:c r="R1165" s="78" t="n">
        <x:f>IF(B1165='Inputs'!$H$47,'Inputs'!$B$27*'Inputs'!$I$47,0)</x:f>
        <x:v>0</x:v>
      </x:c>
      <x:c r="S1165" s="78" t="n">
        <x:f>Q1165+G1165+R1165</x:f>
        <x:v>348759.4999061735</x:v>
      </x:c>
      <x:c r="T1165" s="78" t="n">
        <x:f>P1165*(S1165*(1-'Inputs'!$B$15))/(O1165+S1165*(1-'Inputs'!$B$15))</x:f>
        <x:v>3141.775371979897</x:v>
      </x:c>
      <x:c r="U1165" s="78" t="n">
        <x:f>O1165+S1165*(1-'Inputs'!$B$17)</x:f>
        <x:v>2510384.429051121</x:v>
      </x:c>
      <x:c r="V1165" s="78" t="n">
        <x:f>P1165-T1165</x:f>
        <x:v>19682.31188638618</x:v>
      </x:c>
      <x:c r="W1165" s="79" t="n">
        <x:f>IF(U1165&gt;0,V1165/U1165,0)</x:f>
        <x:v>0.007840357699249165</x:v>
      </x:c>
      <x:c r="X1165" s="80" t="n">
        <x:f>W1165*('Inputs'!$B$6-AC1165)</x:f>
        <x:v>7832737.032004614</x:v>
      </x:c>
      <x:c r="Y1165" s="80" t="n">
        <x:f>2*V1165</x:f>
        <x:v>39364.62377277236</x:v>
      </x:c>
      <x:c r="Z1165" s="80" t="n">
        <x:f>K1165*'Inputs'!$B$16+(G1165+R1165)*J1165*'Inputs'!$B$16</x:f>
        <x:v>394.90385248245695</x:v>
      </x:c>
      <x:c r="AA1165" s="80" t="n">
        <x:f>K1165*(1+'Inputs'!$E$47)/2*'Inputs'!$B$17</x:f>
        <x:v>133.26384723783664</x:v>
      </x:c>
      <x:c r="AB1165" s="78" t="n">
        <x:f>(IF(J1165&gt;0,K1165*(1-'Inputs'!$E$47)/2/J1165,0)+G1165+R1165)*'Inputs'!$B$17</x:f>
        <x:v>16755.522260320293</x:v>
      </x:c>
      <x:c r="AC1165" s="78" t="n">
        <x:f>AC1164+AB1165</x:f>
        <x:v>971979.536760206</x:v>
      </x:c>
      <x:c r="AD1165" s="80" t="n">
        <x:f>Z1165/(1+'Inputs'!$C$47)</x:f>
        <x:v>157.96154099298278</x:v>
      </x:c>
      <x:c r="AE1165" s="80" t="n">
        <x:f>Z1165-AD1165</x:f>
        <x:v>236.94231148947418</x:v>
      </x:c>
      <x:c r="AF1165" s="80" t="n">
        <x:f>D1165*W1165</x:f>
        <x:v>2319.7376963706083</x:v>
      </x:c>
      <x:c r="AG1165" s="80" t="n">
        <x:f>C1165*W1165</x:f>
        <x:v>5412.721291531429</x:v>
      </x:c>
      <x:c r="AH1165" s="80" t="n">
        <x:f>2*'Inputs'!$B$8*'Inputs'!$C$47</x:f>
        <x:v>7500</x:v>
      </x:c>
      <x:c r="AI1165" s="81" t="n">
        <x:f>IF(AH1165&gt;0,(AE1165+AF1165)/AH1165*365,0)</x:f>
        <x:v>124.42509371585736</x:v>
      </x:c>
      <x:c r="AJ1165" s="81" t="n">
        <x:f>IF('Inputs'!$B$47&gt;0,AG1165/('Inputs'!$B$19*'Inputs'!$B$47)*365,0)</x:f>
        <x:v>197.56432714089718</x:v>
      </x:c>
      <x:c r="AK1165" s="81" t="n">
        <x:f>W1165/MAX($W$1099:W1165)-1</x:f>
        <x:v>-0.6461866089616126</x:v>
      </x:c>
      <x:c r="AL1165" s="83" t="n">
        <x:f>'Inputs'!$B$47</x:f>
        <x:v>1</x:v>
      </x:c>
      <x:c r="AM1165" s="83" t="n">
        <x:f>'Inputs'!$C$47</x:f>
        <x:v>1.5</x:v>
      </x:c>
      <x:c r="AN1165" s="83" t="n">
        <x:f>'Inputs'!$D$47</x:f>
        <x:v>1.5</x:v>
      </x:c>
      <x:c r="AO1165" s="81" t="n">
        <x:f>'Inputs'!$E$47</x:f>
        <x:v>0.05</x:v>
      </x:c>
    </x:row>
    <x:row r="1166">
      <x:c r="A1166" s="59" t="str">
        <x:v>Growth</x:v>
      </x:c>
      <x:c r="B1166" s="59" t="n">
        <x:v>68</x:v>
      </x:c>
      <x:c r="C1166" s="78" t="n">
        <x:f>(('Inputs'!$B$29*(3*68*'Inputs'!$B$12-68^2)/(2*'Inputs'!$B$12^2))-('Inputs'!$B$29*(3*67*'Inputs'!$B$12-67^2)/(2*'Inputs'!$B$12^2)))*'Inputs'!$B$47</x:f>
        <x:v>690041.5181084648</x:v>
      </x:c>
      <x:c r="D1166" s="78" t="n">
        <x:f>IF('Inputs'!$C$47&gt;0,('Inputs'!$B$30*(3*68*'Inputs'!$B$12-68^2)/(2*'Inputs'!$B$12^2))-('Inputs'!$B$30*(3*67*'Inputs'!$B$12-67^2)/(2*'Inputs'!$B$12^2)),0)</x:f>
        <x:v>295732.0791893415</x:v>
      </x:c>
      <x:c r="E1166" s="78" t="n">
        <x:f>C1166+D1166</x:f>
        <x:v>985773.5972978063</x:v>
      </x:c>
      <x:c r="F1166" s="78" t="n">
        <x:f>'Inputs'!$B$13*E1166+(1-'Inputs'!$B$13)/'Inputs'!$B$14*SUM(E1111:E1166)</x:f>
        <x:v>995991.2741602554</x:v>
      </x:c>
      <x:c r="G1166" s="78" t="n">
        <x:f>F1166*'Inputs'!$F$47</x:f>
        <x:v>348596.94595608936</x:v>
      </x:c>
      <x:c r="H1166" s="78" t="n">
        <x:f>U1165</x:f>
        <x:v>2510384.429051121</x:v>
      </x:c>
      <x:c r="I1166" s="78" t="n">
        <x:f>V1165</x:f>
        <x:v>19682.31188638618</x:v>
      </x:c>
      <x:c r="J1166" s="79" t="n">
        <x:f>IF(H1166&gt;0,I1166/H1166,0)</x:f>
        <x:v>0.007840357699249165</x:v>
      </x:c>
      <x:c r="K1166" s="80" t="n">
        <x:f>(H1166*J1166+I1166)*'Inputs'!$D$47*(1+'Inputs'!$G$47)^(B1166/30)</x:f>
        <x:v>63138.61825380858</x:v>
      </x:c>
      <x:c r="L1166" s="80" t="n">
        <x:f>MAX(0,K1166*'Inputs'!$E$47)</x:f>
        <x:v>3156.930912690429</x:v>
      </x:c>
      <x:c r="M1166" s="80" t="n">
        <x:f>MAX(0,-K1166*'Inputs'!$E$47)</x:f>
        <x:v>0</x:v>
      </x:c>
      <x:c r="N1166" s="78" t="n">
        <x:f>H1166*(L1166*(1-'Inputs'!$B$15))/(I1166+L1166*(1-'Inputs'!$B$15))</x:f>
        <x:v>344000.8516518542</x:v>
      </x:c>
      <x:c r="O1166" s="78" t="n">
        <x:f>H1166-N1166</x:f>
        <x:v>2166383.577399267</x:v>
      </x:c>
      <x:c r="P1166" s="78" t="n">
        <x:f>I1166+L1166*(1-'Inputs'!$B$17)</x:f>
        <x:v>22826.538851741836</x:v>
      </x:c>
      <x:c r="Q1166" s="78" t="n">
        <x:f>IF(J1166&gt;0,M1166/J1166,0)</x:f>
        <x:v>0</x:v>
      </x:c>
      <x:c r="R1166" s="78" t="n">
        <x:f>IF(B1166='Inputs'!$H$47,'Inputs'!$B$27*'Inputs'!$I$47,0)</x:f>
        <x:v>0</x:v>
      </x:c>
      <x:c r="S1166" s="78" t="n">
        <x:f>Q1166+G1166+R1166</x:f>
        <x:v>348596.94595608936</x:v>
      </x:c>
      <x:c r="T1166" s="78" t="n">
        <x:f>P1166*(S1166*(1-'Inputs'!$B$15))/(O1166+S1166*(1-'Inputs'!$B$15))</x:f>
        <x:v>3136.653870477565</x:v>
      </x:c>
      <x:c r="U1166" s="78" t="n">
        <x:f>O1166+S1166*(1-'Inputs'!$B$17)</x:f>
        <x:v>2513577.718743863</x:v>
      </x:c>
      <x:c r="V1166" s="78" t="n">
        <x:f>P1166-T1166</x:f>
        <x:v>19689.884981264273</x:v>
      </x:c>
      <x:c r="W1166" s="79" t="n">
        <x:f>IF(U1166&gt;0,V1166/U1166,0)</x:f>
        <x:v>0.007833410057081549</x:v>
      </x:c>
      <x:c r="X1166" s="80" t="n">
        <x:f>W1166*('Inputs'!$B$6-AC1166)</x:f>
        <x:v>7825664.573505412</x:v>
      </x:c>
      <x:c r="Y1166" s="80" t="n">
        <x:f>2*V1166</x:f>
        <x:v>39379.769962528546</x:v>
      </x:c>
      <x:c r="Z1166" s="80" t="n">
        <x:f>K1166*'Inputs'!$B$16+(G1166+R1166)*J1166*'Inputs'!$B$16</x:f>
        <x:v>395.2304580178209</x:v>
      </x:c>
      <x:c r="AA1166" s="80" t="n">
        <x:f>K1166*(1+'Inputs'!$E$47)/2*'Inputs'!$B$17</x:f>
        <x:v>133.39144701508857</x:v>
      </x:c>
      <x:c r="AB1166" s="78" t="n">
        <x:f>(IF(J1166&gt;0,K1166*(1-'Inputs'!$E$47)/2/J1166,0)+G1166+R1166)*'Inputs'!$B$17</x:f>
        <x:v>16795.91603699319</x:v>
      </x:c>
      <x:c r="AC1166" s="78" t="n">
        <x:f>AC1165+AB1166</x:f>
        <x:v>988775.4527971991</x:v>
      </x:c>
      <x:c r="AD1166" s="80" t="n">
        <x:f>Z1166/(1+'Inputs'!$C$47)</x:f>
        <x:v>158.09218320712836</x:v>
      </x:c>
      <x:c r="AE1166" s="80" t="n">
        <x:f>Z1166-AD1166</x:f>
        <x:v>237.13827481069256</x:v>
      </x:c>
      <x:c r="AF1166" s="80" t="n">
        <x:f>D1166*W1166</x:f>
        <x:v>2316.590643323425</x:v>
      </x:c>
      <x:c r="AG1166" s="80" t="n">
        <x:f>C1166*W1166</x:f>
        <x:v>5405.378167754668</x:v>
      </x:c>
      <x:c r="AH1166" s="80" t="n">
        <x:f>2*'Inputs'!$B$8*'Inputs'!$C$47</x:f>
        <x:v>7500</x:v>
      </x:c>
      <x:c r="AI1166" s="81" t="n">
        <x:f>IF(AH1166&gt;0,(AE1166+AF1166)/AH1166*365,0)</x:f>
        <x:v>124.28147401586038</x:v>
      </x:c>
      <x:c r="AJ1166" s="81" t="n">
        <x:f>IF('Inputs'!$B$47&gt;0,AG1166/('Inputs'!$B$19*'Inputs'!$B$47)*365,0)</x:f>
        <x:v>197.29630312304536</x:v>
      </x:c>
      <x:c r="AK1166" s="81" t="n">
        <x:f>W1166/MAX($W$1099:W1166)-1</x:f>
        <x:v>-0.6465001366001898</x:v>
      </x:c>
      <x:c r="AL1166" s="83" t="n">
        <x:f>'Inputs'!$B$47</x:f>
        <x:v>1</x:v>
      </x:c>
      <x:c r="AM1166" s="83" t="n">
        <x:f>'Inputs'!$C$47</x:f>
        <x:v>1.5</x:v>
      </x:c>
      <x:c r="AN1166" s="83" t="n">
        <x:f>'Inputs'!$D$47</x:f>
        <x:v>1.5</x:v>
      </x:c>
      <x:c r="AO1166" s="81" t="n">
        <x:f>'Inputs'!$E$47</x:f>
        <x:v>0.05</x:v>
      </x:c>
    </x:row>
    <x:row r="1167">
      <x:c r="A1167" s="59" t="str">
        <x:v>Growth</x:v>
      </x:c>
      <x:c r="B1167" s="59" t="n">
        <x:v>69</x:v>
      </x:c>
      <x:c r="C1167" s="78" t="n">
        <x:f>(('Inputs'!$B$29*(3*69*'Inputs'!$B$12-69^2)/(2*'Inputs'!$B$12^2))-('Inputs'!$B$29*(3*68*'Inputs'!$B$12-68^2)/(2*'Inputs'!$B$12^2)))*'Inputs'!$B$47</x:f>
        <x:v>689716.4102082923</x:v>
      </x:c>
      <x:c r="D1167" s="78" t="n">
        <x:f>IF('Inputs'!$C$47&gt;0,('Inputs'!$B$30*(3*69*'Inputs'!$B$12-69^2)/(2*'Inputs'!$B$12^2))-('Inputs'!$B$30*(3*68*'Inputs'!$B$12-68^2)/(2*'Inputs'!$B$12^2)),0)</x:f>
        <x:v>295592.7472321242</x:v>
      </x:c>
      <x:c r="E1167" s="78" t="n">
        <x:f>C1167+D1167</x:f>
        <x:v>985309.1574404165</x:v>
      </x:c>
      <x:c r="F1167" s="78" t="n">
        <x:f>'Inputs'!$B$13*E1167+(1-'Inputs'!$B$13)/'Inputs'!$B$14*SUM(E1112:E1167)</x:f>
        <x:v>995526.8343028703</x:v>
      </x:c>
      <x:c r="G1167" s="78" t="n">
        <x:f>F1167*'Inputs'!$F$47</x:f>
        <x:v>348434.3920060046</x:v>
      </x:c>
      <x:c r="H1167" s="78" t="n">
        <x:f>U1166</x:f>
        <x:v>2513577.718743863</x:v>
      </x:c>
      <x:c r="I1167" s="78" t="n">
        <x:f>V1166</x:f>
        <x:v>19689.884981264273</x:v>
      </x:c>
      <x:c r="J1167" s="79" t="n">
        <x:f>IF(H1167&gt;0,I1167/H1167,0)</x:f>
        <x:v>0.007833410057081549</x:v>
      </x:c>
      <x:c r="K1167" s="80" t="n">
        <x:f>(H1167*J1167+I1167)*'Inputs'!$D$47*(1+'Inputs'!$G$47)^(B1167/30)</x:f>
        <x:v>63225.17655112009</x:v>
      </x:c>
      <x:c r="L1167" s="80" t="n">
        <x:f>MAX(0,K1167*'Inputs'!$E$47)</x:f>
        <x:v>3161.2588275560047</x:v>
      </x:c>
      <x:c r="M1167" s="80" t="n">
        <x:f>MAX(0,-K1167*'Inputs'!$E$47)</x:f>
        <x:v>0</x:v>
      </x:c>
      <x:c r="N1167" s="78" t="n">
        <x:f>H1167*(L1167*(1-'Inputs'!$B$15))/(I1167+L1167*(1-'Inputs'!$B$15))</x:f>
        <x:v>344731.404803068</x:v>
      </x:c>
      <x:c r="O1167" s="78" t="n">
        <x:f>H1167-N1167</x:f>
        <x:v>2168846.313940795</x:v>
      </x:c>
      <x:c r="P1167" s="78" t="n">
        <x:f>I1167+L1167*(1-'Inputs'!$B$17)</x:f>
        <x:v>22838.422445329106</x:v>
      </x:c>
      <x:c r="Q1167" s="78" t="n">
        <x:f>IF(J1167&gt;0,M1167/J1167,0)</x:f>
        <x:v>0</x:v>
      </x:c>
      <x:c r="R1167" s="78" t="n">
        <x:f>IF(B1167='Inputs'!$H$47,'Inputs'!$B$27*'Inputs'!$I$47,0)</x:f>
        <x:v>0</x:v>
      </x:c>
      <x:c r="S1167" s="78" t="n">
        <x:f>Q1167+G1167+R1167</x:f>
        <x:v>348434.3920060046</x:v>
      </x:c>
      <x:c r="T1167" s="78" t="n">
        <x:f>P1167*(S1167*(1-'Inputs'!$B$15))/(O1167+S1167*(1-'Inputs'!$B$15))</x:f>
        <x:v>3133.951118606794</x:v>
      </x:c>
      <x:c r="U1167" s="78" t="n">
        <x:f>O1167+S1167*(1-'Inputs'!$B$17)</x:f>
        <x:v>2515878.5554759507</x:v>
      </x:c>
      <x:c r="V1167" s="78" t="n">
        <x:f>P1167-T1167</x:f>
        <x:v>19704.471326722312</x:v>
      </x:c>
      <x:c r="W1167" s="79" t="n">
        <x:f>IF(U1167&gt;0,V1167/U1167,0)</x:f>
        <x:v>0.007832043913182703</x:v>
      </x:c>
      <x:c r="X1167" s="80" t="n">
        <x:f>W1167*('Inputs'!$B$6-AC1167)</x:f>
        <x:v>7824167.966835604</x:v>
      </x:c>
      <x:c r="Y1167" s="80" t="n">
        <x:f>2*V1167</x:f>
        <x:v>39408.942653444625</x:v>
      </x:c>
      <x:c r="Z1167" s="80" t="n">
        <x:f>K1167*'Inputs'!$B$16+(G1167+R1167)*J1167*'Inputs'!$B$16</x:f>
        <x:v>395.7276361301581</x:v>
      </x:c>
      <x:c r="AA1167" s="80" t="n">
        <x:f>K1167*(1+'Inputs'!$E$47)/2*'Inputs'!$B$17</x:f>
        <x:v>133.57431665729598</x:v>
      </x:c>
      <x:c r="AB1167" s="78" t="n">
        <x:f>(IF(J1167&gt;0,K1167*(1-'Inputs'!$E$47)/2/J1167,0)+G1167+R1167)*'Inputs'!$B$17</x:f>
        <x:v>16830.03593649911</x:v>
      </x:c>
      <x:c r="AC1167" s="78" t="n">
        <x:f>AC1166+AB1167</x:f>
        <x:v>1005605.4887336983</x:v>
      </x:c>
      <x:c r="AD1167" s="80" t="n">
        <x:f>Z1167/(1+'Inputs'!$C$47)</x:f>
        <x:v>158.29105445206324</x:v>
      </x:c>
      <x:c r="AE1167" s="80" t="n">
        <x:f>Z1167-AD1167</x:f>
        <x:v>237.43658167809485</x:v>
      </x:c>
      <x:c r="AF1167" s="80" t="n">
        <x:f>D1167*W1167</x:f>
        <x:v>2315.0953767403116</x:v>
      </x:c>
      <x:c r="AG1167" s="80" t="n">
        <x:f>C1167*W1167</x:f>
        <x:v>5401.8892123940805</x:v>
      </x:c>
      <x:c r="AH1167" s="80" t="n">
        <x:f>2*'Inputs'!$B$8*'Inputs'!$C$47</x:f>
        <x:v>7500</x:v>
      </x:c>
      <x:c r="AI1167" s="81" t="n">
        <x:f>IF(AH1167&gt;0,(AE1167+AF1167)/AH1167*365,0)</x:f>
        <x:v>124.22322197636244</x:v>
      </x:c>
      <x:c r="AJ1167" s="81" t="n">
        <x:f>IF('Inputs'!$B$47&gt;0,AG1167/('Inputs'!$B$19*'Inputs'!$B$47)*365,0)</x:f>
        <x:v>197.16895625238396</x:v>
      </x:c>
      <x:c r="AK1167" s="81" t="n">
        <x:f>W1167/MAX($W$1099:W1167)-1</x:f>
        <x:v>-0.6465617868493287</x:v>
      </x:c>
      <x:c r="AL1167" s="83" t="n">
        <x:f>'Inputs'!$B$47</x:f>
        <x:v>1</x:v>
      </x:c>
      <x:c r="AM1167" s="83" t="n">
        <x:f>'Inputs'!$C$47</x:f>
        <x:v>1.5</x:v>
      </x:c>
      <x:c r="AN1167" s="83" t="n">
        <x:f>'Inputs'!$D$47</x:f>
        <x:v>1.5</x:v>
      </x:c>
      <x:c r="AO1167" s="81" t="n">
        <x:f>'Inputs'!$E$47</x:f>
        <x:v>0.05</x:v>
      </x:c>
    </x:row>
    <x:row r="1168">
      <x:c r="A1168" s="59" t="str">
        <x:v>Growth</x:v>
      </x:c>
      <x:c r="B1168" s="59" t="n">
        <x:v>70</x:v>
      </x:c>
      <x:c r="C1168" s="78" t="n">
        <x:f>(('Inputs'!$B$29*(3*70*'Inputs'!$B$12-70^2)/(2*'Inputs'!$B$12^2))-('Inputs'!$B$29*(3*69*'Inputs'!$B$12-69^2)/(2*'Inputs'!$B$12^2)))*'Inputs'!$B$47</x:f>
        <x:v>689391.3023081273</x:v>
      </x:c>
      <x:c r="D1168" s="78" t="n">
        <x:f>IF('Inputs'!$C$47&gt;0,('Inputs'!$B$30*(3*70*'Inputs'!$B$12-70^2)/(2*'Inputs'!$B$12^2))-('Inputs'!$B$30*(3*69*'Inputs'!$B$12-69^2)/(2*'Inputs'!$B$12^2)),0)</x:f>
        <x:v>295453.4152749106</x:v>
      </x:c>
      <x:c r="E1168" s="78" t="n">
        <x:f>C1168+D1168</x:f>
        <x:v>984844.7175830379</x:v>
      </x:c>
      <x:c r="F1168" s="78" t="n">
        <x:f>'Inputs'!$B$13*E1168+(1-'Inputs'!$B$13)/'Inputs'!$B$14*SUM(E1113:E1168)</x:f>
        <x:v>995062.3944454873</x:v>
      </x:c>
      <x:c r="G1168" s="78" t="n">
        <x:f>F1168*'Inputs'!$F$47</x:f>
        <x:v>348271.83805592055</x:v>
      </x:c>
      <x:c r="H1168" s="78" t="n">
        <x:f>U1167</x:f>
        <x:v>2515878.5554759507</x:v>
      </x:c>
      <x:c r="I1168" s="78" t="n">
        <x:f>V1167</x:f>
        <x:v>19704.471326722312</x:v>
      </x:c>
      <x:c r="J1168" s="79" t="n">
        <x:f>IF(H1168&gt;0,I1168/H1168,0)</x:f>
        <x:v>0.007832043913182703</x:v>
      </x:c>
      <x:c r="K1168" s="80" t="n">
        <x:f>(H1168*J1168+I1168)*'Inputs'!$D$47*(1+'Inputs'!$G$47)^(B1168/30)</x:f>
        <x:v>63334.38623524851</x:v>
      </x:c>
      <x:c r="L1168" s="80" t="n">
        <x:f>MAX(0,K1168*'Inputs'!$E$47)</x:f>
        <x:v>3166.7193117624256</x:v>
      </x:c>
      <x:c r="M1168" s="80" t="n">
        <x:f>MAX(0,-K1168*'Inputs'!$E$47)</x:f>
        <x:v>0</x:v>
      </x:c>
      <x:c r="N1168" s="78" t="n">
        <x:f>H1168*(L1168*(1-'Inputs'!$B$15))/(I1168+L1168*(1-'Inputs'!$B$15))</x:f>
        <x:v>345340.4102088577</x:v>
      </x:c>
      <x:c r="O1168" s="78" t="n">
        <x:f>H1168-N1168</x:f>
        <x:v>2170538.145267093</x:v>
      </x:c>
      <x:c r="P1168" s="78" t="n">
        <x:f>I1168+L1168*(1-'Inputs'!$B$17)</x:f>
        <x:v>22858.447301214066</x:v>
      </x:c>
      <x:c r="Q1168" s="78" t="n">
        <x:f>IF(J1168&gt;0,M1168/J1168,0)</x:f>
        <x:v>0</x:v>
      </x:c>
      <x:c r="R1168" s="78" t="n">
        <x:f>IF(B1168='Inputs'!$H$47,'Inputs'!$B$27*'Inputs'!$I$47,0)</x:f>
        <x:v>0</x:v>
      </x:c>
      <x:c r="S1168" s="78" t="n">
        <x:f>Q1168+G1168+R1168</x:f>
        <x:v>348271.83805592055</x:v>
      </x:c>
      <x:c r="T1168" s="78" t="n">
        <x:f>P1168*(S1168*(1-'Inputs'!$B$15))/(O1168+S1168*(1-'Inputs'!$B$15))</x:f>
        <x:v>3133.3274329658834</x:v>
      </x:c>
      <x:c r="U1168" s="78" t="n">
        <x:f>O1168+S1168*(1-'Inputs'!$B$17)</x:f>
        <x:v>2517408.4869928085</x:v>
      </x:c>
      <x:c r="V1168" s="78" t="n">
        <x:f>P1168-T1168</x:f>
        <x:v>19725.119868248185</x:v>
      </x:c>
      <x:c r="W1168" s="79" t="n">
        <x:f>IF(U1168&gt;0,V1168/U1168,0)</x:f>
        <x:v>0.007835486362330887</x:v>
      </x:c>
      <x:c r="X1168" s="80" t="n">
        <x:f>W1168*('Inputs'!$B$6-AC1168)</x:f>
        <x:v>7827474.857917847</x:v>
      </x:c>
      <x:c r="Y1168" s="80" t="n">
        <x:f>2*V1168</x:f>
        <x:v>39450.23973649637</x:v>
      </x:c>
      <x:c r="Z1168" s="80" t="n">
        <x:f>K1168*'Inputs'!$B$16+(G1168+R1168)*J1168*'Inputs'!$B$16</x:f>
        <x:v>396.372399387764</x:v>
      </x:c>
      <x:c r="AA1168" s="80" t="n">
        <x:f>K1168*(1+'Inputs'!$E$47)/2*'Inputs'!$B$17</x:f>
        <x:v>133.80504134207433</x:v>
      </x:c>
      <x:c r="AB1168" s="78" t="n">
        <x:f>(IF(J1168&gt;0,K1168*(1-'Inputs'!$E$47)/2/J1168,0)+G1168+R1168)*'Inputs'!$B$17</x:f>
        <x:v>16858.72632193574</x:v>
      </x:c>
      <x:c r="AC1168" s="78" t="n">
        <x:f>AC1167+AB1168</x:f>
        <x:v>1022464.215055634</x:v>
      </x:c>
      <x:c r="AD1168" s="80" t="n">
        <x:f>Z1168/(1+'Inputs'!$C$47)</x:f>
        <x:v>158.5489597551056</x:v>
      </x:c>
      <x:c r="AE1168" s="80" t="n">
        <x:f>Z1168-AD1168</x:f>
        <x:v>237.8234396326584</x:v>
      </x:c>
      <x:c r="AF1168" s="80" t="n">
        <x:f>D1168*W1168</x:f>
        <x:v>2315.0212060906465</x:v>
      </x:c>
      <x:c r="AG1168" s="80" t="n">
        <x:f>C1168*W1168</x:f>
        <x:v>5401.716147544861</x:v>
      </x:c>
      <x:c r="AH1168" s="80" t="n">
        <x:f>2*'Inputs'!$B$8*'Inputs'!$C$47</x:f>
        <x:v>7500</x:v>
      </x:c>
      <x:c r="AI1168" s="81" t="n">
        <x:f>IF(AH1168&gt;0,(AE1168+AF1168)/AH1168*365,0)</x:f>
        <x:v>124.23843942520084</x:v>
      </x:c>
      <x:c r="AJ1168" s="81" t="n">
        <x:f>IF('Inputs'!$B$47&gt;0,AG1168/('Inputs'!$B$19*'Inputs'!$B$47)*365,0)</x:f>
        <x:v>197.16263938538745</x:v>
      </x:c>
      <x:c r="AK1168" s="81" t="n">
        <x:f>W1168/MAX($W$1099:W1168)-1</x:f>
        <x:v>-0.6464064387576578</x:v>
      </x:c>
      <x:c r="AL1168" s="83" t="n">
        <x:f>'Inputs'!$B$47</x:f>
        <x:v>1</x:v>
      </x:c>
      <x:c r="AM1168" s="83" t="n">
        <x:f>'Inputs'!$C$47</x:f>
        <x:v>1.5</x:v>
      </x:c>
      <x:c r="AN1168" s="83" t="n">
        <x:f>'Inputs'!$D$47</x:f>
        <x:v>1.5</x:v>
      </x:c>
      <x:c r="AO1168" s="81" t="n">
        <x:f>'Inputs'!$E$47</x:f>
        <x:v>0.05</x:v>
      </x:c>
    </x:row>
    <x:row r="1169">
      <x:c r="A1169" s="59" t="str">
        <x:v>Growth</x:v>
      </x:c>
      <x:c r="B1169" s="59" t="n">
        <x:v>71</x:v>
      </x:c>
      <x:c r="C1169" s="78" t="n">
        <x:f>(('Inputs'!$B$29*(3*71*'Inputs'!$B$12-71^2)/(2*'Inputs'!$B$12^2))-('Inputs'!$B$29*(3*70*'Inputs'!$B$12-70^2)/(2*'Inputs'!$B$12^2)))*'Inputs'!$B$47</x:f>
        <x:v>689066.1944079548</x:v>
      </x:c>
      <x:c r="D1169" s="78" t="n">
        <x:f>IF('Inputs'!$C$47&gt;0,('Inputs'!$B$30*(3*71*'Inputs'!$B$12-71^2)/(2*'Inputs'!$B$12^2))-('Inputs'!$B$30*(3*70*'Inputs'!$B$12-70^2)/(2*'Inputs'!$B$12^2)),0)</x:f>
        <x:v>295314.08331769705</x:v>
      </x:c>
      <x:c r="E1169" s="78" t="n">
        <x:f>C1169+D1169</x:f>
        <x:v>984380.2777256519</x:v>
      </x:c>
      <x:c r="F1169" s="78" t="n">
        <x:f>'Inputs'!$B$13*E1169+(1-'Inputs'!$B$13)/'Inputs'!$B$14*SUM(E1114:E1169)</x:f>
        <x:v>994597.9545881028</x:v>
      </x:c>
      <x:c r="G1169" s="78" t="n">
        <x:f>F1169*'Inputs'!$F$47</x:f>
        <x:v>348109.28410583595</x:v>
      </x:c>
      <x:c r="H1169" s="78" t="n">
        <x:f>U1168</x:f>
        <x:v>2517408.4869928085</x:v>
      </x:c>
      <x:c r="I1169" s="78" t="n">
        <x:f>V1168</x:f>
        <x:v>19725.119868248185</x:v>
      </x:c>
      <x:c r="J1169" s="79" t="n">
        <x:f>IF(H1169&gt;0,I1169/H1169,0)</x:f>
        <x:v>0.007835486362330887</x:v>
      </x:c>
      <x:c r="K1169" s="80" t="n">
        <x:f>(H1169*J1169+I1169)*'Inputs'!$D$47*(1+'Inputs'!$G$47)^(B1169/30)</x:f>
        <x:v>63463.25419603518</x:v>
      </x:c>
      <x:c r="L1169" s="80" t="n">
        <x:f>MAX(0,K1169*'Inputs'!$E$47)</x:f>
        <x:v>3173.1627098017593</x:v>
      </x:c>
      <x:c r="M1169" s="80" t="n">
        <x:f>MAX(0,-K1169*'Inputs'!$E$47)</x:f>
        <x:v>0</x:v>
      </x:c>
      <x:c r="N1169" s="78" t="n">
        <x:f>H1169*(L1169*(1-'Inputs'!$B$15))/(I1169+L1169*(1-'Inputs'!$B$15))</x:f>
        <x:v>345844.25459984766</x:v>
      </x:c>
      <x:c r="O1169" s="78" t="n">
        <x:f>H1169-N1169</x:f>
        <x:v>2171564.2323929607</x:v>
      </x:c>
      <x:c r="P1169" s="78" t="n">
        <x:f>I1169+L1169*(1-'Inputs'!$B$17)</x:f>
        <x:v>22885.51331161211</x:v>
      </x:c>
      <x:c r="Q1169" s="78" t="n">
        <x:f>IF(J1169&gt;0,M1169/J1169,0)</x:f>
        <x:v>0</x:v>
      </x:c>
      <x:c r="R1169" s="78" t="n">
        <x:f>IF(B1169='Inputs'!$H$47,'Inputs'!$B$27*'Inputs'!$I$47,0)</x:f>
        <x:v>0</x:v>
      </x:c>
      <x:c r="S1169" s="78" t="n">
        <x:f>Q1169+G1169+R1169</x:f>
        <x:v>348109.28410583595</x:v>
      </x:c>
      <x:c r="T1169" s="78" t="n">
        <x:f>P1169*(S1169*(1-'Inputs'!$B$15))/(O1169+S1169*(1-'Inputs'!$B$15))</x:f>
        <x:v>3134.495193845989</x:v>
      </x:c>
      <x:c r="U1169" s="78" t="n">
        <x:f>O1169+S1169*(1-'Inputs'!$B$17)</x:f>
        <x:v>2518272.674309236</x:v>
      </x:c>
      <x:c r="V1169" s="78" t="n">
        <x:f>P1169-T1169</x:f>
        <x:v>19751.01811776612</x:v>
      </x:c>
      <x:c r="W1169" s="79" t="n">
        <x:f>IF(U1169&gt;0,V1169/U1169,0)</x:f>
        <x:v>0.007843081616721207</x:v>
      </x:c>
      <x:c r="X1169" s="80" t="n">
        <x:f>W1169*('Inputs'!$B$6-AC1169)</x:f>
        <x:v>7834929.933892775</x:v>
      </x:c>
      <x:c r="Y1169" s="80" t="n">
        <x:f>2*V1169</x:f>
        <x:v>39502.03623553224</x:v>
      </x:c>
      <x:c r="Z1169" s="80" t="n">
        <x:f>K1169*'Inputs'!$B$16+(G1169+R1169)*J1169*'Inputs'!$B$16</x:f>
        <x:v>397.1451584654834</x:v>
      </x:c>
      <x:c r="AA1169" s="80" t="n">
        <x:f>K1169*(1+'Inputs'!$E$47)/2*'Inputs'!$B$17</x:f>
        <x:v>134.07729759725746</x:v>
      </x:c>
      <x:c r="AB1169" s="78" t="n">
        <x:f>(IF(J1169&gt;0,K1169*(1-'Inputs'!$E$47)/2/J1169,0)+G1169+R1169)*'Inputs'!$B$17</x:f>
        <x:v>16882.71855943252</x:v>
      </x:c>
      <x:c r="AC1169" s="78" t="n">
        <x:f>AC1168+AB1169</x:f>
        <x:v>1039346.9336150666</x:v>
      </x:c>
      <x:c r="AD1169" s="80" t="n">
        <x:f>Z1169/(1+'Inputs'!$C$47)</x:f>
        <x:v>158.85806338619335</x:v>
      </x:c>
      <x:c r="AE1169" s="80" t="n">
        <x:f>Z1169-AD1169</x:f>
        <x:v>238.28709507929005</x:v>
      </x:c>
      <x:c r="AF1169" s="80" t="n">
        <x:f>D1169*W1169</x:f>
        <x:v>2316.1724580279047</x:v>
      </x:c>
      <x:c r="AG1169" s="80" t="n">
        <x:f>C1169*W1169</x:f>
        <x:v>5404.402402065072</x:v>
      </x:c>
      <x:c r="AH1169" s="80" t="n">
        <x:f>2*'Inputs'!$B$8*'Inputs'!$C$47</x:f>
        <x:v>7500</x:v>
      </x:c>
      <x:c r="AI1169" s="81" t="n">
        <x:f>IF(AH1169&gt;0,(AE1169+AF1169)/AH1169*365,0)</x:f>
        <x:v>124.31703158455014</x:v>
      </x:c>
      <x:c r="AJ1169" s="81" t="n">
        <x:f>IF('Inputs'!$B$47&gt;0,AG1169/('Inputs'!$B$19*'Inputs'!$B$47)*365,0)</x:f>
        <x:v>197.26068767537515</x:v>
      </x:c>
      <x:c r="AK1169" s="81" t="n">
        <x:f>W1169/MAX($W$1099:W1169)-1</x:f>
        <x:v>-0.6460636861926956</x:v>
      </x:c>
      <x:c r="AL1169" s="83" t="n">
        <x:f>'Inputs'!$B$47</x:f>
        <x:v>1</x:v>
      </x:c>
      <x:c r="AM1169" s="83" t="n">
        <x:f>'Inputs'!$C$47</x:f>
        <x:v>1.5</x:v>
      </x:c>
      <x:c r="AN1169" s="83" t="n">
        <x:f>'Inputs'!$D$47</x:f>
        <x:v>1.5</x:v>
      </x:c>
      <x:c r="AO1169" s="81" t="n">
        <x:f>'Inputs'!$E$47</x:f>
        <x:v>0.05</x:v>
      </x:c>
    </x:row>
    <x:row r="1170">
      <x:c r="A1170" s="59" t="str">
        <x:v>Growth</x:v>
      </x:c>
      <x:c r="B1170" s="59" t="n">
        <x:v>72</x:v>
      </x:c>
      <x:c r="C1170" s="78" t="n">
        <x:f>(('Inputs'!$B$29*(3*72*'Inputs'!$B$12-72^2)/(2*'Inputs'!$B$12^2))-('Inputs'!$B$29*(3*71*'Inputs'!$B$12-71^2)/(2*'Inputs'!$B$12^2)))*'Inputs'!$B$47</x:f>
        <x:v>688741.0865077898</x:v>
      </x:c>
      <x:c r="D1170" s="78" t="n">
        <x:f>IF('Inputs'!$C$47&gt;0,('Inputs'!$B$30*(3*72*'Inputs'!$B$12-72^2)/(2*'Inputs'!$B$12^2))-('Inputs'!$B$30*(3*71*'Inputs'!$B$12-71^2)/(2*'Inputs'!$B$12^2)),0)</x:f>
        <x:v>295174.75136047974</x:v>
      </x:c>
      <x:c r="E1170" s="78" t="n">
        <x:f>C1170+D1170</x:f>
        <x:v>983915.8378682695</x:v>
      </x:c>
      <x:c r="F1170" s="78" t="n">
        <x:f>'Inputs'!$B$13*E1170+(1-'Inputs'!$B$13)/'Inputs'!$B$14*SUM(E1115:E1170)</x:f>
        <x:v>994133.5147307189</x:v>
      </x:c>
      <x:c r="G1170" s="78" t="n">
        <x:f>F1170*'Inputs'!$F$47</x:f>
        <x:v>347946.7301557516</x:v>
      </x:c>
      <x:c r="H1170" s="78" t="n">
        <x:f>U1169</x:f>
        <x:v>2518272.674309236</x:v>
      </x:c>
      <x:c r="I1170" s="78" t="n">
        <x:f>V1169</x:f>
        <x:v>19751.01811776612</x:v>
      </x:c>
      <x:c r="J1170" s="79" t="n">
        <x:f>IF(H1170&gt;0,I1170/H1170,0)</x:f>
        <x:v>0.007843081616721207</x:v>
      </x:c>
      <x:c r="K1170" s="80" t="n">
        <x:f>(H1170*J1170+I1170)*'Inputs'!$D$47*(1+'Inputs'!$G$47)^(B1170/30)</x:f>
        <x:v>63609.221650042695</x:v>
      </x:c>
      <x:c r="L1170" s="80" t="n">
        <x:f>MAX(0,K1170*'Inputs'!$E$47)</x:f>
        <x:v>3180.461082502135</x:v>
      </x:c>
      <x:c r="M1170" s="80" t="n">
        <x:f>MAX(0,-K1170*'Inputs'!$E$47)</x:f>
        <x:v>0</x:v>
      </x:c>
      <x:c r="N1170" s="78" t="n">
        <x:f>H1170*(L1170*(1-'Inputs'!$B$15))/(I1170+L1170*(1-'Inputs'!$B$15))</x:f>
        <x:v>346257.1279098771</x:v>
      </x:c>
      <x:c r="O1170" s="78" t="n">
        <x:f>H1170-N1170</x:f>
        <x:v>2172015.5463993587</x:v>
      </x:c>
      <x:c r="P1170" s="78" t="n">
        <x:f>I1170+L1170*(1-'Inputs'!$B$17)</x:f>
        <x:v>22918.680564121365</x:v>
      </x:c>
      <x:c r="Q1170" s="78" t="n">
        <x:f>IF(J1170&gt;0,M1170/J1170,0)</x:f>
        <x:v>0</x:v>
      </x:c>
      <x:c r="R1170" s="78" t="n">
        <x:f>IF(B1170='Inputs'!$H$47,'Inputs'!$B$27*'Inputs'!$I$47,0)</x:f>
        <x:v>0</x:v>
      </x:c>
      <x:c r="S1170" s="78" t="n">
        <x:f>Q1170+G1170+R1170</x:f>
        <x:v>347946.7301557516</x:v>
      </x:c>
      <x:c r="T1170" s="78" t="n">
        <x:f>P1170*(S1170*(1-'Inputs'!$B$15))/(O1170+S1170*(1-'Inputs'!$B$15))</x:f>
        <x:v>3137.210050917957</x:v>
      </x:c>
      <x:c r="U1170" s="78" t="n">
        <x:f>O1170+S1170*(1-'Inputs'!$B$17)</x:f>
        <x:v>2518562.088506194</x:v>
      </x:c>
      <x:c r="V1170" s="78" t="n">
        <x:f>P1170-T1170</x:f>
        <x:v>19781.470513203407</x:v>
      </x:c>
      <x:c r="W1170" s="79" t="n">
        <x:f>IF(U1170&gt;0,V1170/U1170,0)</x:f>
        <x:v>0.007854271531950266</x:v>
      </x:c>
      <x:c r="X1170" s="80" t="n">
        <x:f>W1170*('Inputs'!$B$6-AC1170)</x:f>
        <x:v>7845975.460946036</x:v>
      </x:c>
      <x:c r="Y1170" s="80" t="n">
        <x:f>2*V1170</x:f>
        <x:v>39562.941026406814</x:v>
      </x:c>
      <x:c r="Z1170" s="80" t="n">
        <x:f>K1170*'Inputs'!$B$16+(G1170+R1170)*J1170*'Inputs'!$B$16</x:f>
        <x:v>398.02917751755314</x:v>
      </x:c>
      <x:c r="AA1170" s="80" t="n">
        <x:f>K1170*(1+'Inputs'!$E$47)/2*'Inputs'!$B$17</x:f>
        <x:v>134.38567954234375</x:v>
      </x:c>
      <x:c r="AB1170" s="78" t="n">
        <x:f>(IF(J1170&gt;0,K1170*(1-'Inputs'!$E$47)/2/J1170,0)+G1170+R1170)*'Inputs'!$B$17</x:f>
        <x:v>16902.646054228353</x:v>
      </x:c>
      <x:c r="AC1170" s="78" t="n">
        <x:f>AC1169+AB1170</x:f>
        <x:v>1056249.5796692949</x:v>
      </x:c>
      <x:c r="AD1170" s="80" t="n">
        <x:f>Z1170/(1+'Inputs'!$C$47)</x:f>
        <x:v>159.21167100702127</x:v>
      </x:c>
      <x:c r="AE1170" s="80" t="n">
        <x:f>Z1170-AD1170</x:f>
        <x:v>238.81750651053187</x:v>
      </x:c>
      <x:c r="AF1170" s="80" t="n">
        <x:f>D1170*W1170</x:f>
        <x:v>2318.382646561114</x:v>
      </x:c>
      <x:c r="AG1170" s="80" t="n">
        <x:f>C1170*W1170</x:f>
        <x:v>5409.559508642629</x:v>
      </x:c>
      <x:c r="AH1170" s="80" t="n">
        <x:f>2*'Inputs'!$B$8*'Inputs'!$C$47</x:f>
        <x:v>7500</x:v>
      </x:c>
      <x:c r="AI1170" s="81" t="n">
        <x:f>IF(AH1170&gt;0,(AE1170+AF1170)/AH1170*365,0)</x:f>
        <x:v>124.45040744948678</x:v>
      </x:c>
      <x:c r="AJ1170" s="81" t="n">
        <x:f>IF('Inputs'!$B$47&gt;0,AG1170/('Inputs'!$B$19*'Inputs'!$B$47)*365,0)</x:f>
        <x:v>197.44892206545597</x:v>
      </x:c>
      <x:c r="AK1170" s="81" t="n">
        <x:f>W1170/MAX($W$1099:W1170)-1</x:f>
        <x:v>-0.6455587166486396</x:v>
      </x:c>
      <x:c r="AL1170" s="83" t="n">
        <x:f>'Inputs'!$B$47</x:f>
        <x:v>1</x:v>
      </x:c>
      <x:c r="AM1170" s="83" t="n">
        <x:f>'Inputs'!$C$47</x:f>
        <x:v>1.5</x:v>
      </x:c>
      <x:c r="AN1170" s="83" t="n">
        <x:f>'Inputs'!$D$47</x:f>
        <x:v>1.5</x:v>
      </x:c>
      <x:c r="AO1170" s="81" t="n">
        <x:f>'Inputs'!$E$47</x:f>
        <x:v>0.05</x:v>
      </x:c>
    </x:row>
    <x:row r="1171">
      <x:c r="A1171" s="59" t="str">
        <x:v>Growth</x:v>
      </x:c>
      <x:c r="B1171" s="59" t="n">
        <x:v>73</x:v>
      </x:c>
      <x:c r="C1171" s="78" t="n">
        <x:f>(('Inputs'!$B$29*(3*73*'Inputs'!$B$12-73^2)/(2*'Inputs'!$B$12^2))-('Inputs'!$B$29*(3*72*'Inputs'!$B$12-72^2)/(2*'Inputs'!$B$12^2)))*'Inputs'!$B$47</x:f>
        <x:v>688415.9786076173</x:v>
      </x:c>
      <x:c r="D1171" s="78" t="n">
        <x:f>IF('Inputs'!$C$47&gt;0,('Inputs'!$B$30*(3*73*'Inputs'!$B$12-73^2)/(2*'Inputs'!$B$12^2))-('Inputs'!$B$30*(3*72*'Inputs'!$B$12-72^2)/(2*'Inputs'!$B$12^2)),0)</x:f>
        <x:v>295035.41940326616</x:v>
      </x:c>
      <x:c r="E1171" s="78" t="n">
        <x:f>C1171+D1171</x:f>
        <x:v>983451.3980108835</x:v>
      </x:c>
      <x:c r="F1171" s="78" t="n">
        <x:f>'Inputs'!$B$13*E1171+(1-'Inputs'!$B$13)/'Inputs'!$B$14*SUM(E1116:E1171)</x:f>
        <x:v>993669.0748733344</x:v>
      </x:c>
      <x:c r="G1171" s="78" t="n">
        <x:f>F1171*'Inputs'!$F$47</x:f>
        <x:v>347784.176205667</x:v>
      </x:c>
      <x:c r="H1171" s="78" t="n">
        <x:f>U1170</x:f>
        <x:v>2518562.088506194</x:v>
      </x:c>
      <x:c r="I1171" s="78" t="n">
        <x:f>V1170</x:f>
        <x:v>19781.470513203407</x:v>
      </x:c>
      <x:c r="J1171" s="79" t="n">
        <x:f>IF(H1171&gt;0,I1171/H1171,0)</x:f>
        <x:v>0.007854271531950266</x:v>
      </x:c>
      <x:c r="K1171" s="80" t="n">
        <x:f>(H1171*J1171+I1171)*'Inputs'!$D$47*(1+'Inputs'!$G$47)^(B1171/30)</x:f>
        <x:v>63770.09654771951</x:v>
      </x:c>
      <x:c r="L1171" s="80" t="n">
        <x:f>MAX(0,K1171*'Inputs'!$E$47)</x:f>
        <x:v>3188.5048273859757</x:v>
      </x:c>
      <x:c r="M1171" s="80" t="n">
        <x:f>MAX(0,-K1171*'Inputs'!$E$47)</x:f>
        <x:v>0</x:v>
      </x:c>
      <x:c r="N1171" s="78" t="n">
        <x:f>H1171*(L1171*(1-'Inputs'!$B$15))/(I1171+L1171*(1-'Inputs'!$B$15))</x:f>
        <x:v>346591.3161116095</x:v>
      </x:c>
      <x:c r="O1171" s="78" t="n">
        <x:f>H1171-N1171</x:f>
        <x:v>2171970.7723945845</x:v>
      </x:c>
      <x:c r="P1171" s="78" t="n">
        <x:f>I1171+L1171*(1-'Inputs'!$B$17)</x:f>
        <x:v>22957.144335247787</x:v>
      </x:c>
      <x:c r="Q1171" s="78" t="n">
        <x:f>IF(J1171&gt;0,M1171/J1171,0)</x:f>
        <x:v>0</x:v>
      </x:c>
      <x:c r="R1171" s="78" t="n">
        <x:f>IF(B1171='Inputs'!$H$47,'Inputs'!$B$27*'Inputs'!$I$47,0)</x:f>
        <x:v>0</x:v>
      </x:c>
      <x:c r="S1171" s="78" t="n">
        <x:f>Q1171+G1171+R1171</x:f>
        <x:v>347784.176205667</x:v>
      </x:c>
      <x:c r="T1171" s="78" t="n">
        <x:f>P1171*(S1171*(1-'Inputs'!$B$15))/(O1171+S1171*(1-'Inputs'!$B$15))</x:f>
        <x:v>3141.2638114782694</x:v>
      </x:c>
      <x:c r="U1171" s="78" t="n">
        <x:f>O1171+S1171*(1-'Inputs'!$B$17)</x:f>
        <x:v>2518355.414691979</x:v>
      </x:c>
      <x:c r="V1171" s="78" t="n">
        <x:f>P1171-T1171</x:f>
        <x:v>19815.88052376952</x:v>
      </x:c>
      <x:c r="W1171" s="79" t="n">
        <x:f>IF(U1171&gt;0,V1171/U1171,0)</x:f>
        <x:v>0.007868579791464108</x:v>
      </x:c>
      <x:c r="X1171" s="80" t="n">
        <x:f>W1171*('Inputs'!$B$6-AC1171)</x:f>
        <x:v>7860135.478414439</x:v>
      </x:c>
      <x:c r="Y1171" s="80" t="n">
        <x:f>2*V1171</x:f>
        <x:v>39631.76104753904</x:v>
      </x:c>
      <x:c r="Z1171" s="80" t="n">
        <x:f>K1171*'Inputs'!$B$16+(G1171+R1171)*J1171*'Inputs'!$B$16</x:f>
        <x:v>399.01012741292675</x:v>
      </x:c>
      <x:c r="AA1171" s="80" t="n">
        <x:f>K1171*(1+'Inputs'!$E$47)/2*'Inputs'!$B$17</x:f>
        <x:v>134.72555608673136</x:v>
      </x:c>
      <x:c r="AB1171" s="78" t="n">
        <x:f>(IF(J1171&gt;0,K1171*(1-'Inputs'!$E$47)/2/J1171,0)+G1171+R1171)*'Inputs'!$B$17</x:f>
        <x:v>16919.057297460593</x:v>
      </x:c>
      <x:c r="AC1171" s="78" t="n">
        <x:f>AC1170+AB1171</x:f>
        <x:v>1073168.6369667554</x:v>
      </x:c>
      <x:c r="AD1171" s="80" t="n">
        <x:f>Z1171/(1+'Inputs'!$C$47)</x:f>
        <x:v>159.6040509651707</x:v>
      </x:c>
      <x:c r="AE1171" s="80" t="n">
        <x:f>Z1171-AD1171</x:f>
        <x:v>239.40607644775605</x:v>
      </x:c>
      <x:c r="AF1171" s="80" t="n">
        <x:f>D1171*W1171</x:f>
        <x:v>2321.509738882678</x:v>
      </x:c>
      <x:c r="AG1171" s="80" t="n">
        <x:f>C1171*W1171</x:f>
        <x:v>5416.856057392885</x:v>
      </x:c>
      <x:c r="AH1171" s="80" t="n">
        <x:f>2*'Inputs'!$B$8*'Inputs'!$C$47</x:f>
        <x:v>7500</x:v>
      </x:c>
      <x:c r="AI1171" s="81" t="n">
        <x:f>IF(AH1171&gt;0,(AE1171+AF1171)/AH1171*365,0)</x:f>
        <x:v>124.63123634608114</x:v>
      </x:c>
      <x:c r="AJ1171" s="81" t="n">
        <x:f>IF('Inputs'!$B$47&gt;0,AG1171/('Inputs'!$B$19*'Inputs'!$B$47)*365,0)</x:f>
        <x:v>197.7152460948403</x:v>
      </x:c>
      <x:c r="AK1171" s="81" t="n">
        <x:f>W1171/MAX($W$1099:W1171)-1</x:f>
        <x:v>-0.6449130249579487</x:v>
      </x:c>
      <x:c r="AL1171" s="83" t="n">
        <x:f>'Inputs'!$B$47</x:f>
        <x:v>1</x:v>
      </x:c>
      <x:c r="AM1171" s="83" t="n">
        <x:f>'Inputs'!$C$47</x:f>
        <x:v>1.5</x:v>
      </x:c>
      <x:c r="AN1171" s="83" t="n">
        <x:f>'Inputs'!$D$47</x:f>
        <x:v>1.5</x:v>
      </x:c>
      <x:c r="AO1171" s="81" t="n">
        <x:f>'Inputs'!$E$47</x:f>
        <x:v>0.05</x:v>
      </x:c>
    </x:row>
    <x:row r="1172">
      <x:c r="A1172" s="59" t="str">
        <x:v>Growth</x:v>
      </x:c>
      <x:c r="B1172" s="59" t="n">
        <x:v>74</x:v>
      </x:c>
      <x:c r="C1172" s="78" t="n">
        <x:f>(('Inputs'!$B$29*(3*74*'Inputs'!$B$12-74^2)/(2*'Inputs'!$B$12^2))-('Inputs'!$B$29*(3*73*'Inputs'!$B$12-73^2)/(2*'Inputs'!$B$12^2)))*'Inputs'!$B$47</x:f>
        <x:v>688090.8707074523</x:v>
      </x:c>
      <x:c r="D1172" s="78" t="n">
        <x:f>IF('Inputs'!$C$47&gt;0,('Inputs'!$B$30*(3*74*'Inputs'!$B$12-74^2)/(2*'Inputs'!$B$12^2))-('Inputs'!$B$30*(3*73*'Inputs'!$B$12-73^2)/(2*'Inputs'!$B$12^2)),0)</x:f>
        <x:v>294896.08744604886</x:v>
      </x:c>
      <x:c r="E1172" s="78" t="n">
        <x:f>C1172+D1172</x:f>
        <x:v>982986.9581535012</x:v>
      </x:c>
      <x:c r="F1172" s="78" t="n">
        <x:f>'Inputs'!$B$13*E1172+(1-'Inputs'!$B$13)/'Inputs'!$B$14*SUM(E1117:E1172)</x:f>
        <x:v>993204.6350159508</x:v>
      </x:c>
      <x:c r="G1172" s="78" t="n">
        <x:f>F1172*'Inputs'!$F$47</x:f>
        <x:v>347621.62225558277</x:v>
      </x:c>
      <x:c r="H1172" s="78" t="n">
        <x:f>U1171</x:f>
        <x:v>2518355.414691979</x:v>
      </x:c>
      <x:c r="I1172" s="78" t="n">
        <x:f>V1171</x:f>
        <x:v>19815.88052376952</x:v>
      </x:c>
      <x:c r="J1172" s="79" t="n">
        <x:f>IF(H1172&gt;0,I1172/H1172,0)</x:f>
        <x:v>0.007868579791464108</x:v>
      </x:c>
      <x:c r="K1172" s="80" t="n">
        <x:f>(H1172*J1172+I1172)*'Inputs'!$D$47*(1+'Inputs'!$G$47)^(B1172/30)</x:f>
        <x:v>63943.99766145128</x:v>
      </x:c>
      <x:c r="L1172" s="80" t="n">
        <x:f>MAX(0,K1172*'Inputs'!$E$47)</x:f>
        <x:v>3197.1998830725643</x:v>
      </x:c>
      <x:c r="M1172" s="80" t="n">
        <x:f>MAX(0,-K1172*'Inputs'!$E$47)</x:f>
        <x:v>0</x:v>
      </x:c>
      <x:c r="N1172" s="78" t="n">
        <x:f>H1172*(L1172*(1-'Inputs'!$B$15))/(I1172+L1172*(1-'Inputs'!$B$15))</x:f>
        <x:v>346857.4552407434</x:v>
      </x:c>
      <x:c r="O1172" s="78" t="n">
        <x:f>H1172-N1172</x:f>
        <x:v>2171497.959451236</x:v>
      </x:c>
      <x:c r="P1172" s="78" t="n">
        <x:f>I1172+L1172*(1-'Inputs'!$B$17)</x:f>
        <x:v>23000.21441133676</x:v>
      </x:c>
      <x:c r="Q1172" s="78" t="n">
        <x:f>IF(J1172&gt;0,M1172/J1172,0)</x:f>
        <x:v>0</x:v>
      </x:c>
      <x:c r="R1172" s="78" t="n">
        <x:f>IF(B1172='Inputs'!$H$47,'Inputs'!$B$27*'Inputs'!$I$47,0)</x:f>
        <x:v>0</x:v>
      </x:c>
      <x:c r="S1172" s="78" t="n">
        <x:f>Q1172+G1172+R1172</x:f>
        <x:v>347621.62225558277</x:v>
      </x:c>
      <x:c r="T1172" s="78" t="n">
        <x:f>P1172*(S1172*(1-'Inputs'!$B$15))/(O1172+S1172*(1-'Inputs'!$B$15))</x:f>
        <x:v>3146.4786448028353</x:v>
      </x:c>
      <x:c r="U1172" s="78" t="n">
        <x:f>O1172+S1172*(1-'Inputs'!$B$17)</x:f>
        <x:v>2517720.7019391907</x:v>
      </x:c>
      <x:c r="V1172" s="78" t="n">
        <x:f>P1172-T1172</x:f>
        <x:v>19853.735766533926</x:v>
      </x:c>
      <x:c r="W1172" s="79" t="n">
        <x:f>IF(U1172&gt;0,V1172/U1172,0)</x:f>
        <x:v>0.007885598967050732</x:v>
      </x:c>
      <x:c r="X1172" s="80" t="n">
        <x:f>W1172*('Inputs'!$B$6-AC1172)</x:f>
        <x:v>7877002.867225273</x:v>
      </x:c>
      <x:c r="Y1172" s="80" t="n">
        <x:f>2*V1172</x:f>
        <x:v>39707.47153306785</x:v>
      </x:c>
      <x:c r="Z1172" s="80" t="n">
        <x:f>K1172*'Inputs'!$B$16+(G1172+R1172)*J1172*'Inputs'!$B$16</x:f>
        <x:v>400.07571680044515</x:v>
      </x:c>
      <x:c r="AA1172" s="80" t="n">
        <x:f>K1172*(1+'Inputs'!$E$47)/2*'Inputs'!$B$17</x:f>
        <x:v>135.09295280588302</x:v>
      </x:c>
      <x:c r="AB1172" s="78" t="n">
        <x:f>(IF(J1172&gt;0,K1172*(1-'Inputs'!$E$47)/2/J1172,0)+G1172+R1172)*'Inputs'!$B$17</x:f>
        <x:v>16932.42718531502</x:v>
      </x:c>
      <x:c r="AC1172" s="78" t="n">
        <x:f>AC1171+AB1172</x:f>
        <x:v>1090101.0641520703</x:v>
      </x:c>
      <x:c r="AD1172" s="80" t="n">
        <x:f>Z1172/(1+'Inputs'!$C$47)</x:f>
        <x:v>160.03028672017805</x:v>
      </x:c>
      <x:c r="AE1172" s="80" t="n">
        <x:f>Z1172-AD1172</x:f>
        <x:v>240.0454300802671</x:v>
      </x:c>
      <x:c r="AF1172" s="80" t="n">
        <x:f>D1172*W1172</x:f>
        <x:v>2325.4322825518652</x:v>
      </x:c>
      <x:c r="AG1172" s="80" t="n">
        <x:f>C1172*W1172</x:f>
        <x:v>5426.008659287724</x:v>
      </x:c>
      <x:c r="AH1172" s="80" t="n">
        <x:f>2*'Inputs'!$B$8*'Inputs'!$C$47</x:f>
        <x:v>7500</x:v>
      </x:c>
      <x:c r="AI1172" s="81" t="n">
        <x:f>IF(AH1172&gt;0,(AE1172+AF1172)/AH1172*365,0)</x:f>
        <x:v>124.85324868143043</x:v>
      </x:c>
      <x:c r="AJ1172" s="81" t="n">
        <x:f>IF('Inputs'!$B$47&gt;0,AG1172/('Inputs'!$B$19*'Inputs'!$B$47)*365,0)</x:f>
        <x:v>198.04931606400194</x:v>
      </x:c>
      <x:c r="AK1172" s="81" t="n">
        <x:f>W1172/MAX($W$1099:W1172)-1</x:f>
        <x:v>-0.6441449972150872</x:v>
      </x:c>
      <x:c r="AL1172" s="83" t="n">
        <x:f>'Inputs'!$B$47</x:f>
        <x:v>1</x:v>
      </x:c>
      <x:c r="AM1172" s="83" t="n">
        <x:f>'Inputs'!$C$47</x:f>
        <x:v>1.5</x:v>
      </x:c>
      <x:c r="AN1172" s="83" t="n">
        <x:f>'Inputs'!$D$47</x:f>
        <x:v>1.5</x:v>
      </x:c>
      <x:c r="AO1172" s="81" t="n">
        <x:f>'Inputs'!$E$47</x:f>
        <x:v>0.05</x:v>
      </x:c>
    </x:row>
    <x:row r="1173">
      <x:c r="A1173" s="59" t="str">
        <x:v>Growth</x:v>
      </x:c>
      <x:c r="B1173" s="59" t="n">
        <x:v>75</x:v>
      </x:c>
      <x:c r="C1173" s="78" t="n">
        <x:f>(('Inputs'!$B$29*(3*75*'Inputs'!$B$12-75^2)/(2*'Inputs'!$B$12^2))-('Inputs'!$B$29*(3*74*'Inputs'!$B$12-74^2)/(2*'Inputs'!$B$12^2)))*'Inputs'!$B$47</x:f>
        <x:v>687765.7628072798</x:v>
      </x:c>
      <x:c r="D1173" s="78" t="n">
        <x:f>IF('Inputs'!$C$47&gt;0,('Inputs'!$B$30*(3*75*'Inputs'!$B$12-75^2)/(2*'Inputs'!$B$12^2))-('Inputs'!$B$30*(3*74*'Inputs'!$B$12-74^2)/(2*'Inputs'!$B$12^2)),0)</x:f>
        <x:v>294756.7554888353</x:v>
      </x:c>
      <x:c r="E1173" s="78" t="n">
        <x:f>C1173+D1173</x:f>
        <x:v>982522.5182961151</x:v>
      </x:c>
      <x:c r="F1173" s="78" t="n">
        <x:f>'Inputs'!$B$13*E1173+(1-'Inputs'!$B$13)/'Inputs'!$B$14*SUM(E1118:E1173)</x:f>
        <x:v>992740.1951585663</x:v>
      </x:c>
      <x:c r="G1173" s="78" t="n">
        <x:f>F1173*'Inputs'!$F$47</x:f>
        <x:v>347459.0683054982</x:v>
      </x:c>
      <x:c r="H1173" s="78" t="n">
        <x:f>U1172</x:f>
        <x:v>2517720.7019391907</x:v>
      </x:c>
      <x:c r="I1173" s="78" t="n">
        <x:f>V1172</x:f>
        <x:v>19853.735766533926</x:v>
      </x:c>
      <x:c r="J1173" s="79" t="n">
        <x:f>IF(H1173&gt;0,I1173/H1173,0)</x:f>
        <x:v>0.007885598967050732</x:v>
      </x:c>
      <x:c r="K1173" s="80" t="n">
        <x:f>(H1173*J1173+I1173)*'Inputs'!$D$47*(1+'Inputs'!$G$47)^(B1173/30)</x:f>
        <x:v>64129.30806427486</x:v>
      </x:c>
      <x:c r="L1173" s="80" t="n">
        <x:f>MAX(0,K1173*'Inputs'!$E$47)</x:f>
        <x:v>3206.4654032137432</x:v>
      </x:c>
      <x:c r="M1173" s="80" t="n">
        <x:f>MAX(0,-K1173*'Inputs'!$E$47)</x:f>
        <x:v>0</x:v>
      </x:c>
      <x:c r="N1173" s="78" t="n">
        <x:f>H1173*(L1173*(1-'Inputs'!$B$15))/(I1173+L1173*(1-'Inputs'!$B$15))</x:f>
        <x:v>347064.7517228109</x:v>
      </x:c>
      <x:c r="O1173" s="78" t="n">
        <x:f>H1173-N1173</x:f>
        <x:v>2170655.95021638</x:v>
      </x:c>
      <x:c r="P1173" s="78" t="n">
        <x:f>I1173+L1173*(1-'Inputs'!$B$17)</x:f>
        <x:v>23047.29788844701</x:v>
      </x:c>
      <x:c r="Q1173" s="78" t="n">
        <x:f>IF(J1173&gt;0,M1173/J1173,0)</x:f>
        <x:v>0</x:v>
      </x:c>
      <x:c r="R1173" s="78" t="n">
        <x:f>IF(B1173='Inputs'!$H$47,'Inputs'!$B$27*'Inputs'!$I$47,0)</x:f>
        <x:v>0</x:v>
      </x:c>
      <x:c r="S1173" s="78" t="n">
        <x:f>Q1173+G1173+R1173</x:f>
        <x:v>347459.0683054982</x:v>
      </x:c>
      <x:c r="T1173" s="78" t="n">
        <x:f>P1173*(S1173*(1-'Inputs'!$B$15))/(O1173+S1173*(1-'Inputs'!$B$15))</x:f>
        <x:v>3152.702325548719</x:v>
      </x:c>
      <x:c r="U1173" s="78" t="n">
        <x:f>O1173+S1173*(1-'Inputs'!$B$17)</x:f>
        <x:v>2516716.7928948943</x:v>
      </x:c>
      <x:c r="V1173" s="78" t="n">
        <x:f>P1173-T1173</x:f>
        <x:v>19894.595562898292</x:v>
      </x:c>
      <x:c r="W1173" s="79" t="n">
        <x:f>IF(U1173&gt;0,V1173/U1173,0)</x:f>
        <x:v>0.007904979860691521</x:v>
      </x:c>
      <x:c r="X1173" s="80" t="n">
        <x:f>W1173*('Inputs'!$B$6-AC1173)</x:f>
        <x:v>7896228.69834065</x:v>
      </x:c>
      <x:c r="Y1173" s="80" t="n">
        <x:f>2*V1173</x:f>
        <x:v>39789.191125796584</x:v>
      </x:c>
      <x:c r="Z1173" s="80" t="n">
        <x:f>K1173*'Inputs'!$B$16+(G1173+R1173)*J1173*'Inputs'!$B$16</x:f>
        <x:v>401.21538560638265</x:v>
      </x:c>
      <x:c r="AA1173" s="80" t="n">
        <x:f>K1173*(1+'Inputs'!$E$47)/2*'Inputs'!$B$17</x:f>
        <x:v>135.48445365691873</x:v>
      </x:c>
      <x:c r="AB1173" s="78" t="n">
        <x:f>(IF(J1173&gt;0,K1173*(1-'Inputs'!$E$47)/2/J1173,0)+G1173+R1173)*'Inputs'!$B$17</x:f>
        <x:v>16943.166837975506</x:v>
      </x:c>
      <x:c r="AC1173" s="78" t="n">
        <x:f>AC1172+AB1173</x:f>
        <x:v>1107044.230990046</x:v>
      </x:c>
      <x:c r="AD1173" s="80" t="n">
        <x:f>Z1173/(1+'Inputs'!$C$47)</x:f>
        <x:v>160.48615424255306</x:v>
      </x:c>
      <x:c r="AE1173" s="80" t="n">
        <x:f>Z1173-AD1173</x:f>
        <x:v>240.7292313638296</x:v>
      </x:c>
      <x:c r="AF1173" s="80" t="n">
        <x:f>D1173*W1173</x:f>
        <x:v>2330.0462159420176</x:v>
      </x:c>
      <x:c r="AG1173" s="80" t="n">
        <x:f>C1173*W1173</x:f>
        <x:v>5436.774503864689</x:v>
      </x:c>
      <x:c r="AH1173" s="80" t="n">
        <x:f>2*'Inputs'!$B$8*'Inputs'!$C$47</x:f>
        <x:v>7500</x:v>
      </x:c>
      <x:c r="AI1173" s="81" t="n">
        <x:f>IF(AH1173&gt;0,(AE1173+AF1173)/AH1173*365,0)</x:f>
        <x:v>125.11107176888456</x:v>
      </x:c>
      <x:c r="AJ1173" s="81" t="n">
        <x:f>IF('Inputs'!$B$47&gt;0,AG1173/('Inputs'!$B$19*'Inputs'!$B$47)*365,0)</x:f>
        <x:v>198.44226939106113</x:v>
      </x:c>
      <x:c r="AK1173" s="81" t="n">
        <x:f>W1173/MAX($W$1099:W1173)-1</x:f>
        <x:v>-0.6432703917489286</x:v>
      </x:c>
      <x:c r="AL1173" s="83" t="n">
        <x:f>'Inputs'!$B$47</x:f>
        <x:v>1</x:v>
      </x:c>
      <x:c r="AM1173" s="83" t="n">
        <x:f>'Inputs'!$C$47</x:f>
        <x:v>1.5</x:v>
      </x:c>
      <x:c r="AN1173" s="83" t="n">
        <x:f>'Inputs'!$D$47</x:f>
        <x:v>1.5</x:v>
      </x:c>
      <x:c r="AO1173" s="81" t="n">
        <x:f>'Inputs'!$E$47</x:f>
        <x:v>0.05</x:v>
      </x:c>
    </x:row>
    <x:row r="1174">
      <x:c r="A1174" s="59" t="str">
        <x:v>Growth</x:v>
      </x:c>
      <x:c r="B1174" s="59" t="n">
        <x:v>76</x:v>
      </x:c>
      <x:c r="C1174" s="78" t="n">
        <x:f>(('Inputs'!$B$29*(3*76*'Inputs'!$B$12-76^2)/(2*'Inputs'!$B$12^2))-('Inputs'!$B$29*(3*75*'Inputs'!$B$12-75^2)/(2*'Inputs'!$B$12^2)))*'Inputs'!$B$47</x:f>
        <x:v>687440.6549071074</x:v>
      </x:c>
      <x:c r="D1174" s="78" t="n">
        <x:f>IF('Inputs'!$C$47&gt;0,('Inputs'!$B$30*(3*76*'Inputs'!$B$12-76^2)/(2*'Inputs'!$B$12^2))-('Inputs'!$B$30*(3*75*'Inputs'!$B$12-75^2)/(2*'Inputs'!$B$12^2)),0)</x:f>
        <x:v>294617.4235316217</x:v>
      </x:c>
      <x:c r="E1174" s="78" t="n">
        <x:f>C1174+D1174</x:f>
        <x:v>982058.078438729</x:v>
      </x:c>
      <x:c r="F1174" s="78" t="n">
        <x:f>'Inputs'!$B$13*E1174+(1-'Inputs'!$B$13)/'Inputs'!$B$14*SUM(E1119:E1174)</x:f>
        <x:v>992275.7553011818</x:v>
      </x:c>
      <x:c r="G1174" s="78" t="n">
        <x:f>F1174*'Inputs'!$F$47</x:f>
        <x:v>347296.5143554136</x:v>
      </x:c>
      <x:c r="H1174" s="78" t="n">
        <x:f>U1173</x:f>
        <x:v>2516716.7928948943</x:v>
      </x:c>
      <x:c r="I1174" s="78" t="n">
        <x:f>V1173</x:f>
        <x:v>19894.595562898292</x:v>
      </x:c>
      <x:c r="J1174" s="79" t="n">
        <x:f>IF(H1174&gt;0,I1174/H1174,0)</x:f>
        <x:v>0.007904979860691521</x:v>
      </x:c>
      <x:c r="K1174" s="80" t="n">
        <x:f>(H1174*J1174+I1174)*'Inputs'!$D$47*(1+'Inputs'!$G$47)^(B1174/30)</x:f>
        <x:v>64324.636217703286</x:v>
      </x:c>
      <x:c r="L1174" s="80" t="n">
        <x:f>MAX(0,K1174*'Inputs'!$E$47)</x:f>
        <x:v>3216.2318108851646</x:v>
      </x:c>
      <x:c r="M1174" s="80" t="n">
        <x:f>MAX(0,-K1174*'Inputs'!$E$47)</x:f>
        <x:v>0</x:v>
      </x:c>
      <x:c r="N1174" s="78" t="n">
        <x:f>H1174*(L1174*(1-'Inputs'!$B$15))/(I1174+L1174*(1-'Inputs'!$B$15))</x:f>
        <x:v>347221.17344669084</x:v>
      </x:c>
      <x:c r="O1174" s="78" t="n">
        <x:f>H1174-N1174</x:f>
        <x:v>2169495.6194482036</x:v>
      </x:c>
      <x:c r="P1174" s="78" t="n">
        <x:f>I1174+L1174*(1-'Inputs'!$B$17)</x:f>
        <x:v>23097.884791043478</x:v>
      </x:c>
      <x:c r="Q1174" s="78" t="n">
        <x:f>IF(J1174&gt;0,M1174/J1174,0)</x:f>
        <x:v>0</x:v>
      </x:c>
      <x:c r="R1174" s="78" t="n">
        <x:f>IF(B1174='Inputs'!$H$47,'Inputs'!$B$27*'Inputs'!$I$47,0)</x:f>
        <x:v>0</x:v>
      </x:c>
      <x:c r="S1174" s="78" t="n">
        <x:f>Q1174+G1174+R1174</x:f>
        <x:v>347296.5143554136</x:v>
      </x:c>
      <x:c r="T1174" s="78" t="n">
        <x:f>P1174*(S1174*(1-'Inputs'!$B$15))/(O1174+S1174*(1-'Inputs'!$B$15))</x:f>
        <x:v>3159.8043046705984</x:v>
      </x:c>
      <x:c r="U1174" s="78" t="n">
        <x:f>O1174+S1174*(1-'Inputs'!$B$17)</x:f>
        <x:v>2515394.5623172773</x:v>
      </x:c>
      <x:c r="V1174" s="78" t="n">
        <x:f>P1174-T1174</x:f>
        <x:v>19938.08048637288</x:v>
      </x:c>
      <x:c r="W1174" s="79" t="n">
        <x:f>IF(U1174&gt;0,V1174/U1174,0)</x:f>
        <x:v>0.007926422671441717</x:v>
      </x:c>
      <x:c r="X1174" s="80" t="n">
        <x:f>W1174*('Inputs'!$B$6-AC1174)</x:f>
        <x:v>7917513.405149786</x:v>
      </x:c>
      <x:c r="Y1174" s="80" t="n">
        <x:f>2*V1174</x:f>
        <x:v>39876.16097274576</x:v>
      </x:c>
      <x:c r="Z1174" s="80" t="n">
        <x:f>K1174*'Inputs'!$B$16+(G1174+R1174)*J1174*'Inputs'!$B$16</x:f>
        <x:v>402.4200490162272</x:v>
      </x:c>
      <x:c r="AA1174" s="80" t="n">
        <x:f>K1174*(1+'Inputs'!$E$47)/2*'Inputs'!$B$17</x:f>
        <x:v>135.89711876979567</x:v>
      </x:c>
      <x:c r="AB1174" s="78" t="n">
        <x:f>(IF(J1174&gt;0,K1174*(1-'Inputs'!$E$47)/2/J1174,0)+G1174+R1174)*'Inputs'!$B$17</x:f>
        <x:v>16951.632116047505</x:v>
      </x:c>
      <x:c r="AC1174" s="78" t="n">
        <x:f>AC1173+AB1174</x:f>
        <x:v>1123995.8631060934</x:v>
      </x:c>
      <x:c r="AD1174" s="80" t="n">
        <x:f>Z1174/(1+'Inputs'!$C$47)</x:f>
        <x:v>160.96801960649088</x:v>
      </x:c>
      <x:c r="AE1174" s="80" t="n">
        <x:f>Z1174-AD1174</x:f>
        <x:v>241.45202940973633</x:v>
      </x:c>
      <x:c r="AF1174" s="80" t="n">
        <x:f>D1174*W1174</x:f>
        <x:v>2335.2622252827928</x:v>
      </x:c>
      <x:c r="AG1174" s="80" t="n">
        <x:f>C1174*W1174</x:f>
        <x:v>5448.945192326438</x:v>
      </x:c>
      <x:c r="AH1174" s="80" t="n">
        <x:f>2*'Inputs'!$B$8*'Inputs'!$C$47</x:f>
        <x:v>7500</x:v>
      </x:c>
      <x:c r="AI1174" s="81" t="n">
        <x:f>IF(AH1174&gt;0,(AE1174+AF1174)/AH1174*365,0)</x:f>
        <x:v>125.40009372836975</x:v>
      </x:c>
      <x:c r="AJ1174" s="81" t="n">
        <x:f>IF('Inputs'!$B$47&gt;0,AG1174/('Inputs'!$B$19*'Inputs'!$B$47)*365,0)</x:f>
        <x:v>198.88649951991496</x:v>
      </x:c>
      <x:c r="AK1174" s="81" t="n">
        <x:f>W1174/MAX($W$1099:W1174)-1</x:f>
        <x:v>-0.6423027377367083</x:v>
      </x:c>
      <x:c r="AL1174" s="83" t="n">
        <x:f>'Inputs'!$B$47</x:f>
        <x:v>1</x:v>
      </x:c>
      <x:c r="AM1174" s="83" t="n">
        <x:f>'Inputs'!$C$47</x:f>
        <x:v>1.5</x:v>
      </x:c>
      <x:c r="AN1174" s="83" t="n">
        <x:f>'Inputs'!$D$47</x:f>
        <x:v>1.5</x:v>
      </x:c>
      <x:c r="AO1174" s="81" t="n">
        <x:f>'Inputs'!$E$47</x:f>
        <x:v>0.05</x:v>
      </x:c>
    </x:row>
    <x:row r="1175">
      <x:c r="A1175" s="59" t="str">
        <x:v>Growth</x:v>
      </x:c>
      <x:c r="B1175" s="59" t="n">
        <x:v>77</x:v>
      </x:c>
      <x:c r="C1175" s="78" t="n">
        <x:f>(('Inputs'!$B$29*(3*77*'Inputs'!$B$12-77^2)/(2*'Inputs'!$B$12^2))-('Inputs'!$B$29*(3*76*'Inputs'!$B$12-76^2)/(2*'Inputs'!$B$12^2)))*'Inputs'!$B$47</x:f>
        <x:v>687115.5470069498</x:v>
      </x:c>
      <x:c r="D1175" s="78" t="n">
        <x:f>IF('Inputs'!$C$47&gt;0,('Inputs'!$B$30*(3*77*'Inputs'!$B$12-77^2)/(2*'Inputs'!$B$12^2))-('Inputs'!$B$30*(3*76*'Inputs'!$B$12-76^2)/(2*'Inputs'!$B$12^2)),0)</x:f>
        <x:v>294478.09157440066</x:v>
      </x:c>
      <x:c r="E1175" s="78" t="n">
        <x:f>C1175+D1175</x:f>
        <x:v>981593.6385813504</x:v>
      </x:c>
      <x:c r="F1175" s="78" t="n">
        <x:f>'Inputs'!$B$13*E1175+(1-'Inputs'!$B$13)/'Inputs'!$B$14*SUM(E1120:E1175)</x:f>
        <x:v>991811.3154437987</x:v>
      </x:c>
      <x:c r="G1175" s="78" t="n">
        <x:f>F1175*'Inputs'!$F$47</x:f>
        <x:v>347133.96040532953</x:v>
      </x:c>
      <x:c r="H1175" s="78" t="n">
        <x:f>U1174</x:f>
        <x:v>2515394.5623172773</x:v>
      </x:c>
      <x:c r="I1175" s="78" t="n">
        <x:f>V1174</x:f>
        <x:v>19938.08048637288</x:v>
      </x:c>
      <x:c r="J1175" s="79" t="n">
        <x:f>IF(H1175&gt;0,I1175/H1175,0)</x:f>
        <x:v>0.007926422671441717</x:v>
      </x:c>
      <x:c r="K1175" s="80" t="n">
        <x:f>(H1175*J1175+I1175)*'Inputs'!$D$47*(1+'Inputs'!$G$47)^(B1175/30)</x:f>
        <x:v>64528.783270283726</x:v>
      </x:c>
      <x:c r="L1175" s="80" t="n">
        <x:f>MAX(0,K1175*'Inputs'!$E$47)</x:f>
        <x:v>3226.4391635141865</x:v>
      </x:c>
      <x:c r="M1175" s="80" t="n">
        <x:f>MAX(0,-K1175*'Inputs'!$E$47)</x:f>
        <x:v>0</x:v>
      </x:c>
      <x:c r="N1175" s="78" t="n">
        <x:f>H1175*(L1175*(1-'Inputs'!$B$15))/(I1175+L1175*(1-'Inputs'!$B$15))</x:f>
        <x:v>347333.6154463109</x:v>
      </x:c>
      <x:c r="O1175" s="78" t="n">
        <x:f>H1175-N1175</x:f>
        <x:v>2168060.9468709663</x:v>
      </x:c>
      <x:c r="P1175" s="78" t="n">
        <x:f>I1175+L1175*(1-'Inputs'!$B$17)</x:f>
        <x:v>23151.535991281376</x:v>
      </x:c>
      <x:c r="Q1175" s="78" t="n">
        <x:f>IF(J1175&gt;0,M1175/J1175,0)</x:f>
        <x:v>0</x:v>
      </x:c>
      <x:c r="R1175" s="78" t="n">
        <x:f>IF(B1175='Inputs'!$H$47,'Inputs'!$B$27*'Inputs'!$I$47,0)</x:f>
        <x:v>0</x:v>
      </x:c>
      <x:c r="S1175" s="78" t="n">
        <x:f>Q1175+G1175+R1175</x:f>
        <x:v>347133.96040532953</x:v>
      </x:c>
      <x:c r="T1175" s="78" t="n">
        <x:f>P1175*(S1175*(1-'Inputs'!$B$15))/(O1175+S1175*(1-'Inputs'!$B$15))</x:f>
        <x:v>3167.67244482736</x:v>
      </x:c>
      <x:c r="U1175" s="78" t="n">
        <x:f>O1175+S1175*(1-'Inputs'!$B$17)</x:f>
        <x:v>2513797.9899306004</x:v>
      </x:c>
      <x:c r="V1175" s="78" t="n">
        <x:f>P1175-T1175</x:f>
        <x:v>19983.863546454017</x:v>
      </x:c>
      <x:c r="W1175" s="79" t="n">
        <x:f>IF(U1175&gt;0,V1175/U1175,0)</x:f>
        <x:v>0.00794966963395723</x:v>
      </x:c>
      <x:c r="X1175" s="80" t="n">
        <x:f>W1175*('Inputs'!$B$6-AC1175)</x:f>
        <x:v>7940599.426636493</x:v>
      </x:c>
      <x:c r="Y1175" s="80" t="n">
        <x:f>2*V1175</x:f>
        <x:v>39967.72709290803</x:v>
      </x:c>
      <x:c r="Z1175" s="80" t="n">
        <x:f>K1175*'Inputs'!$B$16+(G1175+R1175)*J1175*'Inputs'!$B$16</x:f>
        <x:v>403.6818825844073</x:v>
      </x:c>
      <x:c r="AA1175" s="80" t="n">
        <x:f>K1175*(1+'Inputs'!$E$47)/2*'Inputs'!$B$17</x:f>
        <x:v>136.32841535975436</x:v>
      </x:c>
      <x:c r="AB1175" s="78" t="n">
        <x:f>(IF(J1175&gt;0,K1175*(1-'Inputs'!$E$47)/2/J1175,0)+G1175+R1175)*'Inputs'!$B$17</x:f>
        <x:v>16958.131006236836</x:v>
      </x:c>
      <x:c r="AC1175" s="78" t="n">
        <x:f>AC1174+AB1175</x:f>
        <x:v>1140953.9941123303</x:v>
      </x:c>
      <x:c r="AD1175" s="80" t="n">
        <x:f>Z1175/(1+'Inputs'!$C$47)</x:f>
        <x:v>161.4727530337629</x:v>
      </x:c>
      <x:c r="AE1175" s="80" t="n">
        <x:f>Z1175-AD1175</x:f>
        <x:v>242.20912955064438</x:v>
      </x:c>
      <x:c r="AF1175" s="80" t="n">
        <x:f>D1175*W1175</x:f>
        <x:v>2341.0035424546895</x:v>
      </x:c>
      <x:c r="AG1175" s="80" t="n">
        <x:f>C1175*W1175</x:f>
        <x:v>5462.34159906106</x:v>
      </x:c>
      <x:c r="AH1175" s="80" t="n">
        <x:f>2*'Inputs'!$B$8*'Inputs'!$C$47</x:f>
        <x:v>7500</x:v>
      </x:c>
      <x:c r="AI1175" s="81" t="n">
        <x:f>IF(AH1175&gt;0,(AE1175+AF1175)/AH1175*365,0)</x:f>
        <x:v>125.7163500375929</x:v>
      </x:c>
      <x:c r="AJ1175" s="81" t="n">
        <x:f>IF('Inputs'!$B$47&gt;0,AG1175/('Inputs'!$B$19*'Inputs'!$B$47)*365,0)</x:f>
        <x:v>199.3754683657287</x:v>
      </x:c>
      <x:c r="AK1175" s="81" t="n">
        <x:f>W1175/MAX($W$1099:W1175)-1</x:f>
        <x:v>-0.6412536674066973</x:v>
      </x:c>
      <x:c r="AL1175" s="83" t="n">
        <x:f>'Inputs'!$B$47</x:f>
        <x:v>1</x:v>
      </x:c>
      <x:c r="AM1175" s="83" t="n">
        <x:f>'Inputs'!$C$47</x:f>
        <x:v>1.5</x:v>
      </x:c>
      <x:c r="AN1175" s="83" t="n">
        <x:f>'Inputs'!$D$47</x:f>
        <x:v>1.5</x:v>
      </x:c>
      <x:c r="AO1175" s="81" t="n">
        <x:f>'Inputs'!$E$47</x:f>
        <x:v>0.05</x:v>
      </x:c>
    </x:row>
    <x:row r="1176">
      <x:c r="A1176" s="59" t="str">
        <x:v>Growth</x:v>
      </x:c>
      <x:c r="B1176" s="59" t="n">
        <x:v>78</x:v>
      </x:c>
      <x:c r="C1176" s="78" t="n">
        <x:f>(('Inputs'!$B$29*(3*78*'Inputs'!$B$12-78^2)/(2*'Inputs'!$B$12^2))-('Inputs'!$B$29*(3*77*'Inputs'!$B$12-77^2)/(2*'Inputs'!$B$12^2)))*'Inputs'!$B$47</x:f>
        <x:v>686790.4391067699</x:v>
      </x:c>
      <x:c r="D1176" s="78" t="n">
        <x:f>IF('Inputs'!$C$47&gt;0,('Inputs'!$B$30*(3*78*'Inputs'!$B$12-78^2)/(2*'Inputs'!$B$12^2))-('Inputs'!$B$30*(3*77*'Inputs'!$B$12-77^2)/(2*'Inputs'!$B$12^2)),0)</x:f>
        <x:v>294338.7596171908</x:v>
      </x:c>
      <x:c r="E1176" s="78" t="n">
        <x:f>C1176+D1176</x:f>
        <x:v>981129.1987239607</x:v>
      </x:c>
      <x:c r="F1176" s="78" t="n">
        <x:f>'Inputs'!$B$13*E1176+(1-'Inputs'!$B$13)/'Inputs'!$B$14*SUM(E1121:E1176)</x:f>
        <x:v>991346.8755864135</x:v>
      </x:c>
      <x:c r="G1176" s="78" t="n">
        <x:f>F1176*'Inputs'!$F$47</x:f>
        <x:v>346971.4064552447</x:v>
      </x:c>
      <x:c r="H1176" s="78" t="n">
        <x:f>U1175</x:f>
        <x:v>2513797.9899306004</x:v>
      </x:c>
      <x:c r="I1176" s="78" t="n">
        <x:f>V1175</x:f>
        <x:v>19983.863546454017</x:v>
      </x:c>
      <x:c r="J1176" s="79" t="n">
        <x:f>IF(H1176&gt;0,I1176/H1176,0)</x:f>
        <x:v>0.00794966963395723</x:v>
      </x:c>
      <x:c r="K1176" s="80" t="n">
        <x:f>(H1176*J1176+I1176)*'Inputs'!$D$47*(1+'Inputs'!$G$47)^(B1176/30)</x:f>
        <x:v>64740.71545981481</x:v>
      </x:c>
      <x:c r="L1176" s="80" t="n">
        <x:f>MAX(0,K1176*'Inputs'!$E$47)</x:f>
        <x:v>3237.035772990741</x:v>
      </x:c>
      <x:c r="M1176" s="80" t="n">
        <x:f>MAX(0,-K1176*'Inputs'!$E$47)</x:f>
        <x:v>0</x:v>
      </x:c>
      <x:c r="N1176" s="78" t="n">
        <x:f>H1176*(L1176*(1-'Inputs'!$B$15))/(I1176+L1176*(1-'Inputs'!$B$15))</x:f>
        <x:v>347408.04354529624</x:v>
      </x:c>
      <x:c r="O1176" s="78" t="n">
        <x:f>H1176-N1176</x:f>
        <x:v>2166389.946385304</x:v>
      </x:c>
      <x:c r="P1176" s="78" t="n">
        <x:f>I1176+L1176*(1-'Inputs'!$B$17)</x:f>
        <x:v>23207.873018547412</x:v>
      </x:c>
      <x:c r="Q1176" s="78" t="n">
        <x:f>IF(J1176&gt;0,M1176/J1176,0)</x:f>
        <x:v>0</x:v>
      </x:c>
      <x:c r="R1176" s="78" t="n">
        <x:f>IF(B1176='Inputs'!$H$47,'Inputs'!$B$27*'Inputs'!$I$47,0)</x:f>
        <x:v>0</x:v>
      </x:c>
      <x:c r="S1176" s="78" t="n">
        <x:f>Q1176+G1176+R1176</x:f>
        <x:v>346971.4064552447</x:v>
      </x:c>
      <x:c r="T1176" s="78" t="n">
        <x:f>P1176*(S1176*(1-'Inputs'!$B$15))/(O1176+S1176*(1-'Inputs'!$B$15))</x:f>
        <x:v>3176.210293503752</x:v>
      </x:c>
      <x:c r="U1176" s="78" t="n">
        <x:f>O1176+S1176*(1-'Inputs'!$B$17)</x:f>
        <x:v>2511965.0896354974</x:v>
      </x:c>
      <x:c r="V1176" s="78" t="n">
        <x:f>P1176-T1176</x:f>
        <x:v>20031.66272504366</x:v>
      </x:c>
      <x:c r="W1176" s="79" t="n">
        <x:f>IF(U1176&gt;0,V1176/U1176,0)</x:f>
        <x:v>0.007974498852589702</x:v>
      </x:c>
      <x:c r="X1176" s="80" t="n">
        <x:f>W1176*('Inputs'!$B$6-AC1176)</x:f>
        <x:v>7965265.045406771</x:v>
      </x:c>
      <x:c r="Y1176" s="80" t="n">
        <x:f>2*V1176</x:f>
        <x:v>40063.32545008732</x:v>
      </x:c>
      <x:c r="Z1176" s="80" t="n">
        <x:f>K1176*'Inputs'!$B$16+(G1176+R1176)*J1176*'Inputs'!$B$16</x:f>
        <x:v>404.99414108138103</x:v>
      </x:c>
      <x:c r="AA1176" s="80" t="n">
        <x:f>K1176*(1+'Inputs'!$E$47)/2*'Inputs'!$B$17</x:f>
        <x:v>136.776159422144</x:v>
      </x:c>
      <x:c r="AB1176" s="78" t="n">
        <x:f>(IF(J1176&gt;0,K1176*(1-'Inputs'!$E$47)/2/J1176,0)+G1176+R1176)*'Inputs'!$B$17</x:f>
        <x:v>16962.930025543556</x:v>
      </x:c>
      <x:c r="AC1176" s="78" t="n">
        <x:f>AC1175+AB1176</x:f>
        <x:v>1157916.9241378738</x:v>
      </x:c>
      <x:c r="AD1176" s="80" t="n">
        <x:f>Z1176/(1+'Inputs'!$C$47)</x:f>
        <x:v>161.99765643255242</x:v>
      </x:c>
      <x:c r="AE1176" s="80" t="n">
        <x:f>Z1176-AD1176</x:f>
        <x:v>242.9964846488286</x:v>
      </x:c>
      <x:c r="AF1176" s="80" t="n">
        <x:f>D1176*W1176</x:f>
        <x:v>2347.204100839964</x:v>
      </x:c>
      <x:c r="AG1176" s="80" t="n">
        <x:f>C1176*W1176</x:f>
        <x:v>5476.809568626514</x:v>
      </x:c>
      <x:c r="AH1176" s="80" t="n">
        <x:f>2*'Inputs'!$B$8*'Inputs'!$C$47</x:f>
        <x:v>7500</x:v>
      </x:c>
      <x:c r="AI1176" s="81" t="n">
        <x:f>IF(AH1176&gt;0,(AE1176+AF1176)/AH1176*365,0)</x:f>
        <x:v>126.05642849378792</x:v>
      </x:c>
      <x:c r="AJ1176" s="81" t="n">
        <x:f>IF('Inputs'!$B$47&gt;0,AG1176/('Inputs'!$B$19*'Inputs'!$B$47)*365,0)</x:f>
        <x:v>199.90354925486776</x:v>
      </x:c>
      <x:c r="AK1176" s="81" t="n">
        <x:f>W1176/MAX($W$1099:W1176)-1</x:f>
        <x:v>-0.6401331942882285</x:v>
      </x:c>
      <x:c r="AL1176" s="83" t="n">
        <x:f>'Inputs'!$B$47</x:f>
        <x:v>1</x:v>
      </x:c>
      <x:c r="AM1176" s="83" t="n">
        <x:f>'Inputs'!$C$47</x:f>
        <x:v>1.5</x:v>
      </x:c>
      <x:c r="AN1176" s="83" t="n">
        <x:f>'Inputs'!$D$47</x:f>
        <x:v>1.5</x:v>
      </x:c>
      <x:c r="AO1176" s="81" t="n">
        <x:f>'Inputs'!$E$47</x:f>
        <x:v>0.05</x:v>
      </x:c>
    </x:row>
    <x:row r="1177">
      <x:c r="A1177" s="59" t="str">
        <x:v>Growth</x:v>
      </x:c>
      <x:c r="B1177" s="59" t="n">
        <x:v>79</x:v>
      </x:c>
      <x:c r="C1177" s="78" t="n">
        <x:f>(('Inputs'!$B$29*(3*79*'Inputs'!$B$12-79^2)/(2*'Inputs'!$B$12^2))-('Inputs'!$B$29*(3*78*'Inputs'!$B$12-78^2)/(2*'Inputs'!$B$12^2)))*'Inputs'!$B$47</x:f>
        <x:v>686465.3312066048</x:v>
      </x:c>
      <x:c r="D1177" s="78" t="n">
        <x:f>IF('Inputs'!$C$47&gt;0,('Inputs'!$B$30*(3*79*'Inputs'!$B$12-79^2)/(2*'Inputs'!$B$12^2))-('Inputs'!$B$30*(3*78*'Inputs'!$B$12-78^2)/(2*'Inputs'!$B$12^2)),0)</x:f>
        <x:v>294199.4276599735</x:v>
      </x:c>
      <x:c r="E1177" s="78" t="n">
        <x:f>C1177+D1177</x:f>
        <x:v>980664.7588665783</x:v>
      </x:c>
      <x:c r="F1177" s="78" t="n">
        <x:f>'Inputs'!$B$13*E1177+(1-'Inputs'!$B$13)/'Inputs'!$B$14*SUM(E1122:E1177)</x:f>
        <x:v>990882.4357290296</x:v>
      </x:c>
      <x:c r="G1177" s="78" t="n">
        <x:f>F1177*'Inputs'!$F$47</x:f>
        <x:v>346808.8525051603</x:v>
      </x:c>
      <x:c r="H1177" s="78" t="n">
        <x:f>U1176</x:f>
        <x:v>2511965.0896354974</x:v>
      </x:c>
      <x:c r="I1177" s="78" t="n">
        <x:f>V1176</x:f>
        <x:v>20031.66272504366</x:v>
      </x:c>
      <x:c r="J1177" s="79" t="n">
        <x:f>IF(H1177&gt;0,I1177/H1177,0)</x:f>
        <x:v>0.007974498852589702</x:v>
      </x:c>
      <x:c r="K1177" s="80" t="n">
        <x:f>(H1177*J1177+I1177)*'Inputs'!$D$47*(1+'Inputs'!$G$47)^(B1177/30)</x:f>
        <x:v>64959.54073557842</x:v>
      </x:c>
      <x:c r="L1177" s="80" t="n">
        <x:f>MAX(0,K1177*'Inputs'!$E$47)</x:f>
        <x:v>3247.977036778921</x:v>
      </x:c>
      <x:c r="M1177" s="80" t="n">
        <x:f>MAX(0,-K1177*'Inputs'!$E$47)</x:f>
        <x:v>0</x:v>
      </x:c>
      <x:c r="N1177" s="78" t="n">
        <x:f>H1177*(L1177*(1-'Inputs'!$B$15))/(I1177+L1177*(1-'Inputs'!$B$15))</x:f>
        <x:v>347449.61887870025</x:v>
      </x:c>
      <x:c r="O1177" s="78" t="n">
        <x:f>H1177-N1177</x:f>
        <x:v>2164515.470756797</x:v>
      </x:c>
      <x:c r="P1177" s="78" t="n">
        <x:f>I1177+L1177*(1-'Inputs'!$B$17)</x:f>
        <x:v>23266.569431694697</x:v>
      </x:c>
      <x:c r="Q1177" s="78" t="n">
        <x:f>IF(J1177&gt;0,M1177/J1177,0)</x:f>
        <x:v>0</x:v>
      </x:c>
      <x:c r="R1177" s="78" t="n">
        <x:f>IF(B1177='Inputs'!$H$47,'Inputs'!$B$27*'Inputs'!$I$47,0)</x:f>
        <x:v>0</x:v>
      </x:c>
      <x:c r="S1177" s="78" t="n">
        <x:f>Q1177+G1177+R1177</x:f>
        <x:v>346808.8525051603</x:v>
      </x:c>
      <x:c r="T1177" s="78" t="n">
        <x:f>P1177*(S1177*(1-'Inputs'!$B$15))/(O1177+S1177*(1-'Inputs'!$B$15))</x:f>
        <x:v>3185.3347944055267</x:v>
      </x:c>
      <x:c r="U1177" s="78" t="n">
        <x:f>O1177+S1177*(1-'Inputs'!$B$17)</x:f>
        <x:v>2509928.7141975504</x:v>
      </x:c>
      <x:c r="V1177" s="78" t="n">
        <x:f>P1177-T1177</x:f>
        <x:v>20081.23463728917</x:v>
      </x:c>
      <x:c r="W1177" s="79" t="n">
        <x:f>IF(U1177&gt;0,V1177/U1177,0)</x:f>
        <x:v>0.008000719113534402</x:v>
      </x:c>
      <x:c r="X1177" s="80" t="n">
        <x:f>W1177*('Inputs'!$B$6-AC1177)</x:f>
        <x:v>7991319.203188711</x:v>
      </x:c>
      <x:c r="Y1177" s="80" t="n">
        <x:f>2*V1177</x:f>
        <x:v>40162.46927457834</x:v>
      </x:c>
      <x:c r="Z1177" s="80" t="n">
        <x:f>K1177*'Inputs'!$B$16+(G1177+R1177)*J1177*'Inputs'!$B$16</x:f>
        <x:v>406.35100519169265</x:v>
      </x:c>
      <x:c r="AA1177" s="80" t="n">
        <x:f>K1177*(1+'Inputs'!$E$47)/2*'Inputs'!$B$17</x:f>
        <x:v>137.23846634277132</x:v>
      </x:c>
      <x:c r="AB1177" s="78" t="n">
        <x:f>(IF(J1177&gt;0,K1177*(1-'Inputs'!$E$47)/2/J1177,0)+G1177+R1177)*'Inputs'!$B$17</x:f>
        <x:v>16966.25977364444</x:v>
      </x:c>
      <x:c r="AC1177" s="78" t="n">
        <x:f>AC1176+AB1177</x:f>
        <x:v>1174883.1839115182</x:v>
      </x:c>
      <x:c r="AD1177" s="80" t="n">
        <x:f>Z1177/(1+'Inputs'!$C$47)</x:f>
        <x:v>162.54040207667705</x:v>
      </x:c>
      <x:c r="AE1177" s="80" t="n">
        <x:f>Z1177-AD1177</x:f>
        <x:v>243.8106031150156</x:v>
      </x:c>
      <x:c r="AF1177" s="80" t="n">
        <x:f>D1177*W1177</x:f>
        <x:v>2353.806984070032</x:v>
      </x:c>
      <x:c r="AG1177" s="80" t="n">
        <x:f>C1177*W1177</x:f>
        <x:v>5492.216296163408</x:v>
      </x:c>
      <x:c r="AH1177" s="80" t="n">
        <x:f>2*'Inputs'!$B$8*'Inputs'!$C$47</x:f>
        <x:v>7500</x:v>
      </x:c>
      <x:c r="AI1177" s="81" t="n">
        <x:f>IF(AH1177&gt;0,(AE1177+AF1177)/AH1177*365,0)</x:f>
        <x:v>126.41738924300563</x:v>
      </x:c>
      <x:c r="AJ1177" s="81" t="n">
        <x:f>IF('Inputs'!$B$47&gt;0,AG1177/('Inputs'!$B$19*'Inputs'!$B$47)*365,0)</x:f>
        <x:v>200.4658948099644</x:v>
      </x:c>
      <x:c r="AK1177" s="81" t="n">
        <x:f>W1177/MAX($W$1099:W1177)-1</x:f>
        <x:v>-0.6389499473249369</x:v>
      </x:c>
      <x:c r="AL1177" s="83" t="n">
        <x:f>'Inputs'!$B$47</x:f>
        <x:v>1</x:v>
      </x:c>
      <x:c r="AM1177" s="83" t="n">
        <x:f>'Inputs'!$C$47</x:f>
        <x:v>1.5</x:v>
      </x:c>
      <x:c r="AN1177" s="83" t="n">
        <x:f>'Inputs'!$D$47</x:f>
        <x:v>1.5</x:v>
      </x:c>
      <x:c r="AO1177" s="81" t="n">
        <x:f>'Inputs'!$E$47</x:f>
        <x:v>0.05</x:v>
      </x:c>
    </x:row>
    <x:row r="1178">
      <x:c r="A1178" s="59" t="str">
        <x:v>Growth</x:v>
      </x:c>
      <x:c r="B1178" s="59" t="n">
        <x:v>80</x:v>
      </x:c>
      <x:c r="C1178" s="78" t="n">
        <x:f>(('Inputs'!$B$29*(3*80*'Inputs'!$B$12-80^2)/(2*'Inputs'!$B$12^2))-('Inputs'!$B$29*(3*79*'Inputs'!$B$12-79^2)/(2*'Inputs'!$B$12^2)))*'Inputs'!$B$47</x:f>
        <x:v>686140.2233064398</x:v>
      </x:c>
      <x:c r="D1178" s="78" t="n">
        <x:f>IF('Inputs'!$C$47&gt;0,('Inputs'!$B$30*(3*80*'Inputs'!$B$12-80^2)/(2*'Inputs'!$B$12^2))-('Inputs'!$B$30*(3*79*'Inputs'!$B$12-79^2)/(2*'Inputs'!$B$12^2)),0)</x:f>
        <x:v>294060.0957027599</x:v>
      </x:c>
      <x:c r="E1178" s="78" t="n">
        <x:f>C1178+D1178</x:f>
        <x:v>980200.3190091997</x:v>
      </x:c>
      <x:c r="F1178" s="78" t="n">
        <x:f>'Inputs'!$B$13*E1178+(1-'Inputs'!$B$13)/'Inputs'!$B$14*SUM(E1123:E1178)</x:f>
        <x:v>990417.9958716466</x:v>
      </x:c>
      <x:c r="G1178" s="78" t="n">
        <x:f>F1178*'Inputs'!$F$47</x:f>
        <x:v>346646.2985550763</x:v>
      </x:c>
      <x:c r="H1178" s="78" t="n">
        <x:f>U1177</x:f>
        <x:v>2509928.7141975504</x:v>
      </x:c>
      <x:c r="I1178" s="78" t="n">
        <x:f>V1177</x:f>
        <x:v>20081.23463728917</x:v>
      </x:c>
      <x:c r="J1178" s="79" t="n">
        <x:f>IF(H1178&gt;0,I1178/H1178,0)</x:f>
        <x:v>0.008000719113534402</x:v>
      </x:c>
      <x:c r="K1178" s="80" t="n">
        <x:f>(H1178*J1178+I1178)*'Inputs'!$D$47*(1+'Inputs'!$G$47)^(B1178/30)</x:f>
        <x:v>65184.48888978288</x:v>
      </x:c>
      <x:c r="L1178" s="80" t="n">
        <x:f>MAX(0,K1178*'Inputs'!$E$47)</x:f>
        <x:v>3259.224444489144</x:v>
      </x:c>
      <x:c r="M1178" s="80" t="n">
        <x:f>MAX(0,-K1178*'Inputs'!$E$47)</x:f>
        <x:v>0</x:v>
      </x:c>
      <x:c r="N1178" s="78" t="n">
        <x:f>H1178*(L1178*(1-'Inputs'!$B$15))/(I1178+L1178*(1-'Inputs'!$B$15))</x:f>
        <x:v>347462.805822861</x:v>
      </x:c>
      <x:c r="O1178" s="78" t="n">
        <x:f>H1178-N1178</x:f>
        <x:v>2162465.9083746895</x:v>
      </x:c>
      <x:c r="P1178" s="78" t="n">
        <x:f>I1178+L1178*(1-'Inputs'!$B$17)</x:f>
        <x:v>23327.3434904524</x:v>
      </x:c>
      <x:c r="Q1178" s="78" t="n">
        <x:f>IF(J1178&gt;0,M1178/J1178,0)</x:f>
        <x:v>0</x:v>
      </x:c>
      <x:c r="R1178" s="78" t="n">
        <x:f>IF(B1178='Inputs'!$H$47,'Inputs'!$B$27*'Inputs'!$I$47,0)</x:f>
        <x:v>0</x:v>
      </x:c>
      <x:c r="S1178" s="78" t="n">
        <x:f>Q1178+G1178+R1178</x:f>
        <x:v>346646.2985550763</x:v>
      </x:c>
      <x:c r="T1178" s="78" t="n">
        <x:f>P1178*(S1178*(1-'Inputs'!$B$15))/(O1178+S1178*(1-'Inputs'!$B$15))</x:f>
        <x:v>3194.974358476403</x:v>
      </x:c>
      <x:c r="U1178" s="78" t="n">
        <x:f>O1178+S1178*(1-'Inputs'!$B$17)</x:f>
        <x:v>2507717.2520060027</x:v>
      </x:c>
      <x:c r="V1178" s="78" t="n">
        <x:f>P1178-T1178</x:f>
        <x:v>20132.369131975996</x:v>
      </x:c>
      <x:c r="W1178" s="79" t="n">
        <x:f>IF(U1178&gt;0,V1178/U1178,0)</x:f>
        <x:v>0.008028165502259665</x:v>
      </x:c>
      <x:c r="X1178" s="80" t="n">
        <x:f>W1178*('Inputs'!$B$6-AC1178)</x:f>
        <x:v>8018597.121134184</x:v>
      </x:c>
      <x:c r="Y1178" s="80" t="n">
        <x:f>2*V1178</x:f>
        <x:v>40264.73826395199</x:v>
      </x:c>
      <x:c r="Z1178" s="80" t="n">
        <x:f>K1178*'Inputs'!$B$16+(G1178+R1178)*J1178*'Inputs'!$B$16</x:f>
        <x:v>407.7474513376106</x:v>
      </x:c>
      <x:c r="AA1178" s="80" t="n">
        <x:f>K1178*(1+'Inputs'!$E$47)/2*'Inputs'!$B$17</x:f>
        <x:v>137.7137089220765</x:v>
      </x:c>
      <x:c r="AB1178" s="78" t="n">
        <x:f>(IF(J1178&gt;0,K1178*(1-'Inputs'!$E$47)/2/J1178,0)+G1178+R1178)*'Inputs'!$B$17</x:f>
        <x:v>16968.31974610595</x:v>
      </x:c>
      <x:c r="AC1178" s="78" t="n">
        <x:f>AC1177+AB1178</x:f>
        <x:v>1191851.5036576241</x:v>
      </x:c>
      <x:c r="AD1178" s="80" t="n">
        <x:f>Z1178/(1+'Inputs'!$C$47)</x:f>
        <x:v>163.09898053504423</x:v>
      </x:c>
      <x:c r="AE1178" s="80" t="n">
        <x:f>Z1178-AD1178</x:f>
        <x:v>244.64847080256635</x:v>
      </x:c>
      <x:c r="AF1178" s="80" t="n">
        <x:f>D1178*W1178</x:f>
        <x:v>2360.763115912073</x:v>
      </x:c>
      <x:c r="AG1178" s="80" t="n">
        <x:f>C1178*W1178</x:f>
        <x:v>5508.447270461503</x:v>
      </x:c>
      <x:c r="AH1178" s="80" t="n">
        <x:f>2*'Inputs'!$B$8*'Inputs'!$C$47</x:f>
        <x:v>7500</x:v>
      </x:c>
      <x:c r="AI1178" s="81" t="n">
        <x:f>IF(AH1178&gt;0,(AE1178+AF1178)/AH1178*365,0)</x:f>
        <x:v>126.79669722011243</x:v>
      </x:c>
      <x:c r="AJ1178" s="81" t="n">
        <x:f>IF('Inputs'!$B$47&gt;0,AG1178/('Inputs'!$B$19*'Inputs'!$B$47)*365,0)</x:f>
        <x:v>201.05832537184486</x:v>
      </x:c>
      <x:c r="AK1178" s="81" t="n">
        <x:f>W1178/MAX($W$1099:W1178)-1</x:f>
        <x:v>-0.6377113686478987</x:v>
      </x:c>
      <x:c r="AL1178" s="83" t="n">
        <x:f>'Inputs'!$B$47</x:f>
        <x:v>1</x:v>
      </x:c>
      <x:c r="AM1178" s="83" t="n">
        <x:f>'Inputs'!$C$47</x:f>
        <x:v>1.5</x:v>
      </x:c>
      <x:c r="AN1178" s="83" t="n">
        <x:f>'Inputs'!$D$47</x:f>
        <x:v>1.5</x:v>
      </x:c>
      <x:c r="AO1178" s="81" t="n">
        <x:f>'Inputs'!$E$47</x:f>
        <x:v>0.05</x:v>
      </x:c>
    </x:row>
    <x:row r="1179">
      <x:c r="A1179" s="59" t="str">
        <x:v>Growth</x:v>
      </x:c>
      <x:c r="B1179" s="59" t="n">
        <x:v>81</x:v>
      </x:c>
      <x:c r="C1179" s="78" t="n">
        <x:f>(('Inputs'!$B$29*(3*81*'Inputs'!$B$12-81^2)/(2*'Inputs'!$B$12^2))-('Inputs'!$B$29*(3*80*'Inputs'!$B$12-80^2)/(2*'Inputs'!$B$12^2)))*'Inputs'!$B$47</x:f>
        <x:v>685815.1154062673</x:v>
      </x:c>
      <x:c r="D1179" s="78" t="n">
        <x:f>IF('Inputs'!$C$47&gt;0,('Inputs'!$B$30*(3*81*'Inputs'!$B$12-81^2)/(2*'Inputs'!$B$12^2))-('Inputs'!$B$30*(3*80*'Inputs'!$B$12-80^2)/(2*'Inputs'!$B$12^2)),0)</x:f>
        <x:v>293920.7637455426</x:v>
      </x:c>
      <x:c r="E1179" s="78" t="n">
        <x:f>C1179+D1179</x:f>
        <x:v>979735.87915181</x:v>
      </x:c>
      <x:c r="F1179" s="78" t="n">
        <x:f>'Inputs'!$B$13*E1179+(1-'Inputs'!$B$13)/'Inputs'!$B$14*SUM(E1124:E1179)</x:f>
        <x:v>989953.5560142614</x:v>
      </x:c>
      <x:c r="G1179" s="78" t="n">
        <x:f>F1179*'Inputs'!$F$47</x:f>
        <x:v>346483.74460499146</x:v>
      </x:c>
      <x:c r="H1179" s="78" t="n">
        <x:f>U1178</x:f>
        <x:v>2507717.2520060027</x:v>
      </x:c>
      <x:c r="I1179" s="78" t="n">
        <x:f>V1178</x:f>
        <x:v>20132.369131975996</x:v>
      </x:c>
      <x:c r="J1179" s="79" t="n">
        <x:f>IF(H1179&gt;0,I1179/H1179,0)</x:f>
        <x:v>0.008028165502259665</x:v>
      </x:c>
      <x:c r="K1179" s="80" t="n">
        <x:f>(H1179*J1179+I1179)*'Inputs'!$D$47*(1+'Inputs'!$G$47)^(B1179/30)</x:f>
        <x:v>65414.894622237465</x:v>
      </x:c>
      <x:c r="L1179" s="80" t="n">
        <x:f>MAX(0,K1179*'Inputs'!$E$47)</x:f>
        <x:v>3270.7447311118735</x:v>
      </x:c>
      <x:c r="M1179" s="80" t="n">
        <x:f>MAX(0,-K1179*'Inputs'!$E$47)</x:f>
        <x:v>0</x:v>
      </x:c>
      <x:c r="N1179" s="78" t="n">
        <x:f>H1179*(L1179*(1-'Inputs'!$B$15))/(I1179+L1179*(1-'Inputs'!$B$15))</x:f>
        <x:v>347451.4655313891</x:v>
      </x:c>
      <x:c r="O1179" s="78" t="n">
        <x:f>H1179-N1179</x:f>
        <x:v>2160265.7864746135</x:v>
      </x:c>
      <x:c r="P1179" s="78" t="n">
        <x:f>I1179+L1179*(1-'Inputs'!$B$17)</x:f>
        <x:v>23389.95191245965</x:v>
      </x:c>
      <x:c r="Q1179" s="78" t="n">
        <x:f>IF(J1179&gt;0,M1179/J1179,0)</x:f>
        <x:v>0</x:v>
      </x:c>
      <x:c r="R1179" s="78" t="n">
        <x:f>IF(B1179='Inputs'!$H$47,'Inputs'!$B$27*'Inputs'!$I$47,0)</x:f>
        <x:v>0</x:v>
      </x:c>
      <x:c r="S1179" s="78" t="n">
        <x:f>Q1179+G1179+R1179</x:f>
        <x:v>346483.74460499146</x:v>
      </x:c>
      <x:c r="T1179" s="78" t="n">
        <x:f>P1179*(S1179*(1-'Inputs'!$B$15))/(O1179+S1179*(1-'Inputs'!$B$15))</x:f>
        <x:v>3205.067231832236</x:v>
      </x:c>
      <x:c r="U1179" s="78" t="n">
        <x:f>O1179+S1179*(1-'Inputs'!$B$17)</x:f>
        <x:v>2505355.230296486</x:v>
      </x:c>
      <x:c r="V1179" s="78" t="n">
        <x:f>P1179-T1179</x:f>
        <x:v>20184.884680627416</x:v>
      </x:c>
      <x:c r="W1179" s="79" t="n">
        <x:f>IF(U1179&gt;0,V1179/U1179,0)</x:f>
        <x:v>0.008056695687915968</x:v>
      </x:c>
      <x:c r="X1179" s="80" t="n">
        <x:f>W1179*('Inputs'!$B$6-AC1179)</x:f>
        <x:v>8046956.586700618</x:v>
      </x:c>
      <x:c r="Y1179" s="80" t="n">
        <x:f>2*V1179</x:f>
        <x:v>40369.76936125483</x:v>
      </x:c>
      <x:c r="Z1179" s="80" t="n">
        <x:f>K1179*'Inputs'!$B$16+(G1179+R1179)*J1179*'Inputs'!$B$16</x:f>
        <x:v>409.17914080661404</x:v>
      </x:c>
      <x:c r="AA1179" s="80" t="n">
        <x:f>K1179*(1+'Inputs'!$E$47)/2*'Inputs'!$B$17</x:f>
        <x:v>138.20048159627635</x:v>
      </x:c>
      <x:c r="AB1179" s="78" t="n">
        <x:f>(IF(J1179&gt;0,K1179*(1-'Inputs'!$E$47)/2/J1179,0)+G1179+R1179)*'Inputs'!$B$17</x:f>
        <x:v>16969.282506261447</x:v>
      </x:c>
      <x:c r="AC1179" s="78" t="n">
        <x:f>AC1178+AB1179</x:f>
        <x:v>1208820.7861638856</x:v>
      </x:c>
      <x:c r="AD1179" s="80" t="n">
        <x:f>Z1179/(1+'Inputs'!$C$47)</x:f>
        <x:v>163.67165632264562</x:v>
      </x:c>
      <x:c r="AE1179" s="80" t="n">
        <x:f>Z1179-AD1179</x:f>
        <x:v>245.50748448396843</x:v>
      </x:c>
      <x:c r="AF1179" s="80" t="n">
        <x:f>D1179*W1179</x:f>
        <x:v>2368.0301498576814</x:v>
      </x:c>
      <x:c r="AG1179" s="80" t="n">
        <x:f>C1179*W1179</x:f>
        <x:v>5525.4036830012665</x:v>
      </x:c>
      <x:c r="AH1179" s="80" t="n">
        <x:f>2*'Inputs'!$B$8*'Inputs'!$C$47</x:f>
        <x:v>7500</x:v>
      </x:c>
      <x:c r="AI1179" s="81" t="n">
        <x:f>IF(AH1179&gt;0,(AE1179+AF1179)/AH1179*365,0)</x:f>
        <x:v>127.19216487129361</x:v>
      </x:c>
      <x:c r="AJ1179" s="81" t="n">
        <x:f>IF('Inputs'!$B$47&gt;0,AG1179/('Inputs'!$B$19*'Inputs'!$B$47)*365,0)</x:f>
        <x:v>201.67723442954622</x:v>
      </x:c>
      <x:c r="AK1179" s="81" t="n">
        <x:f>W1179/MAX($W$1099:W1179)-1</x:f>
        <x:v>-0.6364238812498456</x:v>
      </x:c>
      <x:c r="AL1179" s="83" t="n">
        <x:f>'Inputs'!$B$47</x:f>
        <x:v>1</x:v>
      </x:c>
      <x:c r="AM1179" s="83" t="n">
        <x:f>'Inputs'!$C$47</x:f>
        <x:v>1.5</x:v>
      </x:c>
      <x:c r="AN1179" s="83" t="n">
        <x:f>'Inputs'!$D$47</x:f>
        <x:v>1.5</x:v>
      </x:c>
      <x:c r="AO1179" s="81" t="n">
        <x:f>'Inputs'!$E$47</x:f>
        <x:v>0.05</x:v>
      </x:c>
    </x:row>
    <x:row r="1180">
      <x:c r="A1180" s="59" t="str">
        <x:v>Growth</x:v>
      </x:c>
      <x:c r="B1180" s="59" t="n">
        <x:v>82</x:v>
      </x:c>
      <x:c r="C1180" s="78" t="n">
        <x:f>(('Inputs'!$B$29*(3*82*'Inputs'!$B$12-82^2)/(2*'Inputs'!$B$12^2))-('Inputs'!$B$29*(3*81*'Inputs'!$B$12-81^2)/(2*'Inputs'!$B$12^2)))*'Inputs'!$B$47</x:f>
        <x:v>685490.0075060949</x:v>
      </x:c>
      <x:c r="D1180" s="78" t="n">
        <x:f>IF('Inputs'!$C$47&gt;0,('Inputs'!$B$30*(3*82*'Inputs'!$B$12-82^2)/(2*'Inputs'!$B$12^2))-('Inputs'!$B$30*(3*81*'Inputs'!$B$12-81^2)/(2*'Inputs'!$B$12^2)),0)</x:f>
        <x:v>293781.43178832904</x:v>
      </x:c>
      <x:c r="E1180" s="78" t="n">
        <x:f>C1180+D1180</x:f>
        <x:v>979271.4392944239</x:v>
      </x:c>
      <x:c r="F1180" s="78" t="n">
        <x:f>'Inputs'!$B$13*E1180+(1-'Inputs'!$B$13)/'Inputs'!$B$14*SUM(E1125:E1180)</x:f>
        <x:v>989489.1161568769</x:v>
      </x:c>
      <x:c r="G1180" s="78" t="n">
        <x:f>F1180*'Inputs'!$F$47</x:f>
        <x:v>346321.1906549069</x:v>
      </x:c>
      <x:c r="H1180" s="78" t="n">
        <x:f>U1179</x:f>
        <x:v>2505355.230296486</x:v>
      </x:c>
      <x:c r="I1180" s="78" t="n">
        <x:f>V1179</x:f>
        <x:v>20184.884680627416</x:v>
      </x:c>
      <x:c r="J1180" s="79" t="n">
        <x:f>IF(H1180&gt;0,I1180/H1180,0)</x:f>
        <x:v>0.008056695687915968</x:v>
      </x:c>
      <x:c r="K1180" s="80" t="n">
        <x:f>(H1180*J1180+I1180)*'Inputs'!$D$47*(1+'Inputs'!$G$47)^(B1180/30)</x:f>
        <x:v>65650.18306829107</x:v>
      </x:c>
      <x:c r="L1180" s="80" t="n">
        <x:f>MAX(0,K1180*'Inputs'!$E$47)</x:f>
        <x:v>3282.5091534145536</x:v>
      </x:c>
      <x:c r="M1180" s="80" t="n">
        <x:f>MAX(0,-K1180*'Inputs'!$E$47)</x:f>
        <x:v>0</x:v>
      </x:c>
      <x:c r="N1180" s="78" t="n">
        <x:f>H1180*(L1180*(1-'Inputs'!$B$15))/(I1180+L1180*(1-'Inputs'!$B$15))</x:f>
        <x:v>347418.9369858207</x:v>
      </x:c>
      <x:c r="O1180" s="78" t="n">
        <x:f>H1180-N1180</x:f>
        <x:v>2157936.2933106655</x:v>
      </x:c>
      <x:c r="P1180" s="78" t="n">
        <x:f>I1180+L1180*(1-'Inputs'!$B$17)</x:f>
        <x:v>23454.184541674105</x:v>
      </x:c>
      <x:c r="Q1180" s="78" t="n">
        <x:f>IF(J1180&gt;0,M1180/J1180,0)</x:f>
        <x:v>0</x:v>
      </x:c>
      <x:c r="R1180" s="78" t="n">
        <x:f>IF(B1180='Inputs'!$H$47,'Inputs'!$B$27*'Inputs'!$I$47,0)</x:f>
        <x:v>0</x:v>
      </x:c>
      <x:c r="S1180" s="78" t="n">
        <x:f>Q1180+G1180+R1180</x:f>
        <x:v>346321.1906549069</x:v>
      </x:c>
      <x:c r="T1180" s="78" t="n">
        <x:f>P1180*(S1180*(1-'Inputs'!$B$15))/(O1180+S1180*(1-'Inputs'!$B$15))</x:f>
        <x:v>3215.560110239876</x:v>
      </x:c>
      <x:c r="U1180" s="78" t="n">
        <x:f>O1180+S1180*(1-'Inputs'!$B$17)</x:f>
        <x:v>2502863.837323098</x:v>
      </x:c>
      <x:c r="V1180" s="78" t="n">
        <x:f>P1180-T1180</x:f>
        <x:v>20238.62443143423</x:v>
      </x:c>
      <x:c r="W1180" s="79" t="n">
        <x:f>IF(U1180&gt;0,V1180/U1180,0)</x:f>
        <x:v>0.008086186763192104</x:v>
      </x:c>
      <x:c r="X1180" s="80" t="n">
        <x:f>W1180*('Inputs'!$B$6-AC1180)</x:f>
        <x:v>8076274.79564474</x:v>
      </x:c>
      <x:c r="Y1180" s="80" t="n">
        <x:f>2*V1180</x:f>
        <x:v>40477.24886286846</x:v>
      </x:c>
      <x:c r="Z1180" s="80" t="n">
        <x:f>K1180*'Inputs'!$B$16+(G1180+R1180)*J1180*'Inputs'!$B$16</x:f>
        <x:v>410.6423250700463</x:v>
      </x:c>
      <x:c r="AA1180" s="80" t="n">
        <x:f>K1180*(1+'Inputs'!$E$47)/2*'Inputs'!$B$17</x:f>
        <x:v>138.6975698625868</x:v>
      </x:c>
      <x:c r="AB1180" s="78" t="n">
        <x:f>(IF(J1180&gt;0,K1180*(1-'Inputs'!$E$47)/2/J1180,0)+G1180+R1180)*'Inputs'!$B$17</x:f>
        <x:v>16969.297300713686</x:v>
      </x:c>
      <x:c r="AC1180" s="78" t="n">
        <x:f>AC1179+AB1180</x:f>
        <x:v>1225790.0834645992</x:v>
      </x:c>
      <x:c r="AD1180" s="80" t="n">
        <x:f>Z1180/(1+'Inputs'!$C$47)</x:f>
        <x:v>164.25693002801853</x:v>
      </x:c>
      <x:c r="AE1180" s="80" t="n">
        <x:f>Z1180-AD1180</x:f>
        <x:v>246.38539504202777</x:v>
      </x:c>
      <x:c r="AF1180" s="80" t="n">
        <x:f>D1180*W1180</x:f>
        <x:v>2375.57152499841</x:v>
      </x:c>
      <x:c r="AG1180" s="80" t="n">
        <x:f>C1180*W1180</x:f>
        <x:v>5543.00022499624</x:v>
      </x:c>
      <x:c r="AH1180" s="80" t="n">
        <x:f>2*'Inputs'!$B$8*'Inputs'!$C$47</x:f>
        <x:v>7500</x:v>
      </x:c>
      <x:c r="AI1180" s="81" t="n">
        <x:f>IF(AH1180&gt;0,(AE1180+AF1180)/AH1180*365,0)</x:f>
        <x:v>127.60190344196796</x:v>
      </x:c>
      <x:c r="AJ1180" s="81" t="n">
        <x:f>IF('Inputs'!$B$47&gt;0,AG1180/('Inputs'!$B$19*'Inputs'!$B$47)*365,0)</x:f>
        <x:v>202.31950821236273</x:v>
      </x:c>
      <x:c r="AK1180" s="81" t="n">
        <x:f>W1180/MAX($W$1099:W1180)-1</x:f>
        <x:v>-0.635093031593609</x:v>
      </x:c>
      <x:c r="AL1180" s="83" t="n">
        <x:f>'Inputs'!$B$47</x:f>
        <x:v>1</x:v>
      </x:c>
      <x:c r="AM1180" s="83" t="n">
        <x:f>'Inputs'!$C$47</x:f>
        <x:v>1.5</x:v>
      </x:c>
      <x:c r="AN1180" s="83" t="n">
        <x:f>'Inputs'!$D$47</x:f>
        <x:v>1.5</x:v>
      </x:c>
      <x:c r="AO1180" s="81" t="n">
        <x:f>'Inputs'!$E$47</x:f>
        <x:v>0.05</x:v>
      </x:c>
    </x:row>
    <x:row r="1181">
      <x:c r="A1181" s="59" t="str">
        <x:v>Growth</x:v>
      </x:c>
      <x:c r="B1181" s="59" t="n">
        <x:v>83</x:v>
      </x:c>
      <x:c r="C1181" s="78" t="n">
        <x:f>(('Inputs'!$B$29*(3*83*'Inputs'!$B$12-83^2)/(2*'Inputs'!$B$12^2))-('Inputs'!$B$29*(3*82*'Inputs'!$B$12-82^2)/(2*'Inputs'!$B$12^2)))*'Inputs'!$B$47</x:f>
        <x:v>685164.8996059299</x:v>
      </x:c>
      <x:c r="D1181" s="78" t="n">
        <x:f>IF('Inputs'!$C$47&gt;0,('Inputs'!$B$30*(3*83*'Inputs'!$B$12-83^2)/(2*'Inputs'!$B$12^2))-('Inputs'!$B$30*(3*82*'Inputs'!$B$12-82^2)/(2*'Inputs'!$B$12^2)),0)</x:f>
        <x:v>293642.09983111173</x:v>
      </x:c>
      <x:c r="E1181" s="78" t="n">
        <x:f>C1181+D1181</x:f>
        <x:v>978806.9994370416</x:v>
      </x:c>
      <x:c r="F1181" s="78" t="n">
        <x:f>'Inputs'!$B$13*E1181+(1-'Inputs'!$B$13)/'Inputs'!$B$14*SUM(E1126:E1181)</x:f>
        <x:v>989024.6762994933</x:v>
      </x:c>
      <x:c r="G1181" s="78" t="n">
        <x:f>F1181*'Inputs'!$F$47</x:f>
        <x:v>346158.63670482265</x:v>
      </x:c>
      <x:c r="H1181" s="78" t="n">
        <x:f>U1180</x:f>
        <x:v>2502863.837323098</x:v>
      </x:c>
      <x:c r="I1181" s="78" t="n">
        <x:f>V1180</x:f>
        <x:v>20238.62443143423</x:v>
      </x:c>
      <x:c r="J1181" s="79" t="n">
        <x:f>IF(H1181&gt;0,I1181/H1181,0)</x:f>
        <x:v>0.008086186763192104</x:v>
      </x:c>
      <x:c r="K1181" s="80" t="n">
        <x:f>(H1181*J1181+I1181)*'Inputs'!$D$47*(1+'Inputs'!$G$47)^(B1181/30)</x:f>
        <x:v>65889.85740408249</x:v>
      </x:c>
      <x:c r="L1181" s="80" t="n">
        <x:f>MAX(0,K1181*'Inputs'!$E$47)</x:f>
        <x:v>3294.4928702041248</x:v>
      </x:c>
      <x:c r="M1181" s="80" t="n">
        <x:f>MAX(0,-K1181*'Inputs'!$E$47)</x:f>
        <x:v>0</x:v>
      </x:c>
      <x:c r="N1181" s="78" t="n">
        <x:f>H1181*(L1181*(1-'Inputs'!$B$15))/(I1181+L1181*(1-'Inputs'!$B$15))</x:f>
        <x:v>347368.10721789504</x:v>
      </x:c>
      <x:c r="O1181" s="78" t="n">
        <x:f>H1181-N1181</x:f>
        <x:v>2155495.730105203</x:v>
      </x:c>
      <x:c r="P1181" s="78" t="n">
        <x:f>I1181+L1181*(1-'Inputs'!$B$17)</x:f>
        <x:v>23519.859785058055</x:v>
      </x:c>
      <x:c r="Q1181" s="78" t="n">
        <x:f>IF(J1181&gt;0,M1181/J1181,0)</x:f>
        <x:v>0</x:v>
      </x:c>
      <x:c r="R1181" s="78" t="n">
        <x:f>IF(B1181='Inputs'!$H$47,'Inputs'!$B$27*'Inputs'!$I$47,0)</x:f>
        <x:v>0</x:v>
      </x:c>
      <x:c r="S1181" s="78" t="n">
        <x:f>Q1181+G1181+R1181</x:f>
        <x:v>346158.63670482265</x:v>
      </x:c>
      <x:c r="T1181" s="78" t="n">
        <x:f>P1181*(S1181*(1-'Inputs'!$B$15))/(O1181+S1181*(1-'Inputs'!$B$15))</x:f>
        <x:v>3226.4069593813383</x:v>
      </x:c>
      <x:c r="U1181" s="78" t="n">
        <x:f>O1181+S1181*(1-'Inputs'!$B$17)</x:f>
        <x:v>2500261.3743081954</x:v>
      </x:c>
      <x:c r="V1181" s="78" t="n">
        <x:f>P1181-T1181</x:f>
        <x:v>20293.452825676715</x:v>
      </x:c>
      <x:c r="W1181" s="79" t="n">
        <x:f>IF(U1181&gt;0,V1181/U1181,0)</x:f>
        <x:v>0.008116532549038706</x:v>
      </x:c>
      <x:c r="X1181" s="80" t="n">
        <x:f>W1181*('Inputs'!$B$6-AC1181)</x:f>
        <x:v>8106445.658600674</x:v>
      </x:c>
      <x:c r="Y1181" s="80" t="n">
        <x:f>2*V1181</x:f>
        <x:v>40586.90565135343</x:v>
      </x:c>
      <x:c r="Z1181" s="80" t="n">
        <x:f>K1181*'Inputs'!$B$16+(G1181+R1181)*J1181*'Inputs'!$B$16</x:f>
        <x:v>412.1337647410179</x:v>
      </x:c>
      <x:c r="AA1181" s="80" t="n">
        <x:f>K1181*(1+'Inputs'!$E$47)/2*'Inputs'!$B$17</x:f>
        <x:v>139.20392409313203</x:v>
      </x:c>
      <x:c r="AB1181" s="78" t="n">
        <x:f>(IF(J1181&gt;0,K1181*(1-'Inputs'!$E$47)/2/J1181,0)+G1181+R1181)*'Inputs'!$B$17</x:f>
        <x:v>16968.493192234204</x:v>
      </x:c>
      <x:c r="AC1181" s="78" t="n">
        <x:f>AC1180+AB1181</x:f>
        <x:v>1242758.5766568335</x:v>
      </x:c>
      <x:c r="AD1181" s="80" t="n">
        <x:f>Z1181/(1+'Inputs'!$C$47)</x:f>
        <x:v>164.85350589640717</x:v>
      </x:c>
      <x:c r="AE1181" s="80" t="n">
        <x:f>Z1181-AD1181</x:f>
        <x:v>247.28025884461073</x:v>
      </x:c>
      <x:c r="AF1181" s="80" t="n">
        <x:f>D1181*W1181</x:f>
        <x:v>2383.3556610472915</x:v>
      </x:c>
      <x:c r="AG1181" s="80" t="n">
        <x:f>C1181*W1181</x:f>
        <x:v>5561.163209110367</x:v>
      </x:c>
      <x:c r="AH1181" s="80" t="n">
        <x:f>2*'Inputs'!$B$8*'Inputs'!$C$47</x:f>
        <x:v>7500</x:v>
      </x:c>
      <x:c r="AI1181" s="81" t="n">
        <x:f>IF(AH1181&gt;0,(AE1181+AF1181)/AH1181*365,0)</x:f>
        <x:v>128.02428143473924</x:v>
      </x:c>
      <x:c r="AJ1181" s="81" t="n">
        <x:f>IF('Inputs'!$B$47&gt;0,AG1181/('Inputs'!$B$19*'Inputs'!$B$47)*365,0)</x:f>
        <x:v>202.9824571325284</x:v>
      </x:c>
      <x:c r="AK1181" s="81" t="n">
        <x:f>W1181/MAX($W$1099:W1181)-1</x:f>
        <x:v>-0.6337236112423998</x:v>
      </x:c>
      <x:c r="AL1181" s="83" t="n">
        <x:f>'Inputs'!$B$47</x:f>
        <x:v>1</x:v>
      </x:c>
      <x:c r="AM1181" s="83" t="n">
        <x:f>'Inputs'!$C$47</x:f>
        <x:v>1.5</x:v>
      </x:c>
      <x:c r="AN1181" s="83" t="n">
        <x:f>'Inputs'!$D$47</x:f>
        <x:v>1.5</x:v>
      </x:c>
      <x:c r="AO1181" s="81" t="n">
        <x:f>'Inputs'!$E$47</x:f>
        <x:v>0.05</x:v>
      </x:c>
    </x:row>
    <x:row r="1182">
      <x:c r="A1182" s="59" t="str">
        <x:v>Growth</x:v>
      </x:c>
      <x:c r="B1182" s="59" t="n">
        <x:v>84</x:v>
      </x:c>
      <x:c r="C1182" s="78" t="n">
        <x:f>(('Inputs'!$B$29*(3*84*'Inputs'!$B$12-84^2)/(2*'Inputs'!$B$12^2))-('Inputs'!$B$29*(3*83*'Inputs'!$B$12-83^2)/(2*'Inputs'!$B$12^2)))*'Inputs'!$B$47</x:f>
        <x:v>684839.7917057648</x:v>
      </x:c>
      <x:c r="D1182" s="78" t="n">
        <x:f>IF('Inputs'!$C$47&gt;0,('Inputs'!$B$30*(3*84*'Inputs'!$B$12-84^2)/(2*'Inputs'!$B$12^2))-('Inputs'!$B$30*(3*83*'Inputs'!$B$12-83^2)/(2*'Inputs'!$B$12^2)),0)</x:f>
        <x:v>293502.76787389815</x:v>
      </x:c>
      <x:c r="E1182" s="78" t="n">
        <x:f>C1182+D1182</x:f>
        <x:v>978342.559579663</x:v>
      </x:c>
      <x:c r="F1182" s="78" t="n">
        <x:f>'Inputs'!$B$13*E1182+(1-'Inputs'!$B$13)/'Inputs'!$B$14*SUM(E1127:E1182)</x:f>
        <x:v>988560.2364421103</x:v>
      </x:c>
      <x:c r="G1182" s="78" t="n">
        <x:f>F1182*'Inputs'!$F$47</x:f>
        <x:v>345996.08275473857</x:v>
      </x:c>
      <x:c r="H1182" s="78" t="n">
        <x:f>U1181</x:f>
        <x:v>2500261.3743081954</x:v>
      </x:c>
      <x:c r="I1182" s="78" t="n">
        <x:f>V1181</x:f>
        <x:v>20293.452825676715</x:v>
      </x:c>
      <x:c r="J1182" s="79" t="n">
        <x:f>IF(H1182&gt;0,I1182/H1182,0)</x:f>
        <x:v>0.008116532549038706</x:v>
      </x:c>
      <x:c r="K1182" s="80" t="n">
        <x:f>(H1182*J1182+I1182)*'Inputs'!$D$47*(1+'Inputs'!$G$47)^(B1182/30)</x:f>
        <x:v>66133.48821023133</x:v>
      </x:c>
      <x:c r="L1182" s="80" t="n">
        <x:f>MAX(0,K1182*'Inputs'!$E$47)</x:f>
        <x:v>3306.6744105115667</x:v>
      </x:c>
      <x:c r="M1182" s="80" t="n">
        <x:f>MAX(0,-K1182*'Inputs'!$E$47)</x:f>
        <x:v>0</x:v>
      </x:c>
      <x:c r="N1182" s="78" t="n">
        <x:f>H1182*(L1182*(1-'Inputs'!$B$15))/(I1182+L1182*(1-'Inputs'!$B$15))</x:f>
        <x:v>347301.4721417958</x:v>
      </x:c>
      <x:c r="O1182" s="78" t="n">
        <x:f>H1182-N1182</x:f>
        <x:v>2152959.9021663996</x:v>
      </x:c>
      <x:c r="P1182" s="78" t="n">
        <x:f>I1182+L1182*(1-'Inputs'!$B$17)</x:f>
        <x:v>23586.820699325057</x:v>
      </x:c>
      <x:c r="Q1182" s="78" t="n">
        <x:f>IF(J1182&gt;0,M1182/J1182,0)</x:f>
        <x:v>0</x:v>
      </x:c>
      <x:c r="R1182" s="78" t="n">
        <x:f>IF(B1182='Inputs'!$H$47,'Inputs'!$B$27*'Inputs'!$I$47,0)</x:f>
        <x:v>0</x:v>
      </x:c>
      <x:c r="S1182" s="78" t="n">
        <x:f>Q1182+G1182+R1182</x:f>
        <x:v>345996.08275473857</x:v>
      </x:c>
      <x:c r="T1182" s="78" t="n">
        <x:f>P1182*(S1182*(1-'Inputs'!$B$15))/(O1182+S1182*(1-'Inputs'!$B$15))</x:f>
        <x:v>3237.5680076963317</x:v>
      </x:c>
      <x:c r="U1182" s="78" t="n">
        <x:f>O1182+S1182*(1-'Inputs'!$B$17)</x:f>
        <x:v>2497563.6465599523</x:v>
      </x:c>
      <x:c r="V1182" s="78" t="n">
        <x:f>P1182-T1182</x:f>
        <x:v>20349.252691628724</x:v>
      </x:c>
      <x:c r="W1182" s="79" t="n">
        <x:f>IF(U1182&gt;0,V1182/U1182,0)</x:f>
        <x:v>0.008147641290205756</x:v>
      </x:c>
      <x:c r="X1182" s="80" t="n">
        <x:f>W1182*('Inputs'!$B$6-AC1182)</x:f>
        <x:v>8137377.498231556</x:v>
      </x:c>
      <x:c r="Y1182" s="80" t="n">
        <x:f>2*V1182</x:f>
        <x:v>40698.50538325745</x:v>
      </x:c>
      <x:c r="Z1182" s="80" t="n">
        <x:f>K1182*'Inputs'!$B$16+(G1182+R1182)*J1182*'Inputs'!$B$16</x:f>
        <x:v>413.65066006650034</x:v>
      </x:c>
      <x:c r="AA1182" s="80" t="n">
        <x:f>K1182*(1+'Inputs'!$E$47)/2*'Inputs'!$B$17</x:f>
        <x:v>139.718637063869</x:v>
      </x:c>
      <x:c r="AB1182" s="78" t="n">
        <x:f>(IF(J1182&gt;0,K1182*(1-'Inputs'!$E$47)/2/J1182,0)+G1182+R1182)*'Inputs'!$B$17</x:f>
        <x:v>16966.981774106924</x:v>
      </x:c>
      <x:c r="AC1182" s="78" t="n">
        <x:f>AC1181+AB1182</x:f>
        <x:v>1259725.5584309404</x:v>
      </x:c>
      <x:c r="AD1182" s="80" t="n">
        <x:f>Z1182/(1+'Inputs'!$C$47)</x:f>
        <x:v>165.46026402660013</x:v>
      </x:c>
      <x:c r="AE1182" s="80" t="n">
        <x:f>Z1182-AD1182</x:f>
        <x:v>248.1903960399002</x:v>
      </x:c>
      <x:c r="AF1182" s="80" t="n">
        <x:f>D1182*W1182</x:f>
        <x:v>2391.355270319048</x:v>
      </x:c>
      <x:c r="AG1182" s="80" t="n">
        <x:f>C1182*W1182</x:f>
        <x:v>5579.828964077798</x:v>
      </x:c>
      <x:c r="AH1182" s="80" t="n">
        <x:f>2*'Inputs'!$B$8*'Inputs'!$C$47</x:f>
        <x:v>7500</x:v>
      </x:c>
      <x:c r="AI1182" s="81" t="n">
        <x:f>IF(AH1182&gt;0,(AE1182+AF1182)/AH1182*365,0)</x:f>
        <x:v>128.4578890961355</x:v>
      </x:c>
      <x:c r="AJ1182" s="81" t="n">
        <x:f>IF('Inputs'!$B$47&gt;0,AG1182/('Inputs'!$B$19*'Inputs'!$B$47)*365,0)</x:f>
        <x:v>203.66375718883964</x:v>
      </x:c>
      <x:c r="AK1182" s="81" t="n">
        <x:f>W1182/MAX($W$1099:W1182)-1</x:f>
        <x:v>-0.6323197608537494</x:v>
      </x:c>
      <x:c r="AL1182" s="83" t="n">
        <x:f>'Inputs'!$B$47</x:f>
        <x:v>1</x:v>
      </x:c>
      <x:c r="AM1182" s="83" t="n">
        <x:f>'Inputs'!$C$47</x:f>
        <x:v>1.5</x:v>
      </x:c>
      <x:c r="AN1182" s="83" t="n">
        <x:f>'Inputs'!$D$47</x:f>
        <x:v>1.5</x:v>
      </x:c>
      <x:c r="AO1182" s="81" t="n">
        <x:f>'Inputs'!$E$47</x:f>
        <x:v>0.05</x:v>
      </x:c>
    </x:row>
    <x:row r="1183">
      <x:c r="A1183" s="59" t="str">
        <x:v>Growth</x:v>
      </x:c>
      <x:c r="B1183" s="59" t="n">
        <x:v>85</x:v>
      </x:c>
      <x:c r="C1183" s="78" t="n">
        <x:f>(('Inputs'!$B$29*(3*85*'Inputs'!$B$12-85^2)/(2*'Inputs'!$B$12^2))-('Inputs'!$B$29*(3*84*'Inputs'!$B$12-84^2)/(2*'Inputs'!$B$12^2)))*'Inputs'!$B$47</x:f>
        <x:v>684514.6838055924</x:v>
      </x:c>
      <x:c r="D1183" s="78" t="n">
        <x:f>IF('Inputs'!$C$47&gt;0,('Inputs'!$B$30*(3*85*'Inputs'!$B$12-85^2)/(2*'Inputs'!$B$12^2))-('Inputs'!$B$30*(3*84*'Inputs'!$B$12-84^2)/(2*'Inputs'!$B$12^2)),0)</x:f>
        <x:v>293363.43591668084</x:v>
      </x:c>
      <x:c r="E1183" s="78" t="n">
        <x:f>C1183+D1183</x:f>
        <x:v>977878.1197222732</x:v>
      </x:c>
      <x:c r="F1183" s="78" t="n">
        <x:f>'Inputs'!$B$13*E1183+(1-'Inputs'!$B$13)/'Inputs'!$B$14*SUM(E1128:E1183)</x:f>
        <x:v>988095.7965847249</x:v>
      </x:c>
      <x:c r="G1183" s="78" t="n">
        <x:f>F1183*'Inputs'!$F$47</x:f>
        <x:v>345833.5288046537</x:v>
      </x:c>
      <x:c r="H1183" s="78" t="n">
        <x:f>U1182</x:f>
        <x:v>2497563.6465599523</x:v>
      </x:c>
      <x:c r="I1183" s="78" t="n">
        <x:f>V1182</x:f>
        <x:v>20349.252691628724</x:v>
      </x:c>
      <x:c r="J1183" s="79" t="n">
        <x:f>IF(H1183&gt;0,I1183/H1183,0)</x:f>
        <x:v>0.008147641290205756</x:v>
      </x:c>
      <x:c r="K1183" s="80" t="n">
        <x:f>(H1183*J1183+I1183)*'Inputs'!$D$47*(1+'Inputs'!$G$47)^(B1183/30)</x:f>
        <x:v>66380.70432905032</x:v>
      </x:c>
      <x:c r="L1183" s="80" t="n">
        <x:f>MAX(0,K1183*'Inputs'!$E$47)</x:f>
        <x:v>3319.035216452516</x:v>
      </x:c>
      <x:c r="M1183" s="80" t="n">
        <x:f>MAX(0,-K1183*'Inputs'!$E$47)</x:f>
        <x:v>0</x:v>
      </x:c>
      <x:c r="N1183" s="78" t="n">
        <x:f>H1183*(L1183*(1-'Inputs'!$B$15))/(I1183+L1183*(1-'Inputs'!$B$15))</x:f>
        <x:v>347221.1892447635</x:v>
      </x:c>
      <x:c r="O1183" s="78" t="n">
        <x:f>H1183-N1183</x:f>
        <x:v>2150342.457315189</x:v>
      </x:c>
      <x:c r="P1183" s="78" t="n">
        <x:f>I1183+L1183*(1-'Inputs'!$B$17)</x:f>
        <x:v>23654.931629544208</x:v>
      </x:c>
      <x:c r="Q1183" s="78" t="n">
        <x:f>IF(J1183&gt;0,M1183/J1183,0)</x:f>
        <x:v>0</x:v>
      </x:c>
      <x:c r="R1183" s="78" t="n">
        <x:f>IF(B1183='Inputs'!$H$47,'Inputs'!$B$27*'Inputs'!$I$47,0)</x:f>
        <x:v>0</x:v>
      </x:c>
      <x:c r="S1183" s="78" t="n">
        <x:f>Q1183+G1183+R1183</x:f>
        <x:v>345833.5288046537</x:v>
      </x:c>
      <x:c r="T1183" s="78" t="n">
        <x:f>P1183*(S1183*(1-'Inputs'!$B$15))/(O1183+S1183*(1-'Inputs'!$B$15))</x:f>
        <x:v>3249.00888457415</x:v>
      </x:c>
      <x:c r="U1183" s="78" t="n">
        <x:f>O1183+S1183*(1-'Inputs'!$B$17)</x:f>
        <x:v>2494784.301899301</x:v>
      </x:c>
      <x:c r="V1183" s="78" t="n">
        <x:f>P1183-T1183</x:f>
        <x:v>20405.922744970056</x:v>
      </x:c>
      <x:c r="W1183" s="79" t="n">
        <x:f>IF(U1183&gt;0,V1183/U1183,0)</x:f>
        <x:v>0.008179433680673255</x:v>
      </x:c>
      <x:c r="X1183" s="80" t="n">
        <x:f>W1183*('Inputs'!$B$6-AC1183)</x:f>
        <x:v>8168991.076068862</x:v>
      </x:c>
      <x:c r="Y1183" s="80" t="n">
        <x:f>2*V1183</x:f>
        <x:v>40811.84548994011</x:v>
      </x:c>
      <x:c r="Z1183" s="80" t="n">
        <x:f>K1183*'Inputs'!$B$16+(G1183+R1183)*J1183*'Inputs'!$B$16</x:f>
        <x:v>415.19059120726007</x:v>
      </x:c>
      <x:c r="AA1183" s="80" t="n">
        <x:f>K1183*(1+'Inputs'!$E$47)/2*'Inputs'!$B$17</x:f>
        <x:v>140.24092463883875</x:v>
      </x:c>
      <x:c r="AB1183" s="78" t="n">
        <x:f>(IF(J1183&gt;0,K1183*(1-'Inputs'!$E$47)/2/J1183,0)+G1183+R1183)*'Inputs'!$B$17</x:f>
        <x:v>16964.859521513194</x:v>
      </x:c>
      <x:c r="AC1183" s="78" t="n">
        <x:f>AC1182+AB1183</x:f>
        <x:v>1276690.4179524535</x:v>
      </x:c>
      <x:c r="AD1183" s="80" t="n">
        <x:f>Z1183/(1+'Inputs'!$C$47)</x:f>
        <x:v>166.07623648290402</x:v>
      </x:c>
      <x:c r="AE1183" s="80" t="n">
        <x:f>Z1183-AD1183</x:f>
        <x:v>249.11435472435605</x:v>
      </x:c>
      <x:c r="AF1183" s="80" t="n">
        <x:f>D1183*W1183</x:f>
        <x:v>2399.5467684149294</x:v>
      </x:c>
      <x:c r="AG1183" s="80" t="n">
        <x:f>C1183*W1183</x:f>
        <x:v>5598.942459634866</x:v>
      </x:c>
      <x:c r="AH1183" s="80" t="n">
        <x:f>2*'Inputs'!$B$8*'Inputs'!$C$47</x:f>
        <x:v>7500</x:v>
      </x:c>
      <x:c r="AI1183" s="81" t="n">
        <x:f>IF(AH1183&gt;0,(AE1183+AF1183)/AH1183*365,0)</x:f>
        <x:v>128.90150799277856</x:v>
      </x:c>
      <x:c r="AJ1183" s="81" t="n">
        <x:f>IF('Inputs'!$B$47&gt;0,AG1183/('Inputs'!$B$19*'Inputs'!$B$47)*365,0)</x:f>
        <x:v>204.3613997766726</x:v>
      </x:c>
      <x:c r="AK1183" s="81" t="n">
        <x:f>W1183/MAX($W$1099:W1183)-1</x:f>
        <x:v>-0.6308850592862942</x:v>
      </x:c>
      <x:c r="AL1183" s="83" t="n">
        <x:f>'Inputs'!$B$47</x:f>
        <x:v>1</x:v>
      </x:c>
      <x:c r="AM1183" s="83" t="n">
        <x:f>'Inputs'!$C$47</x:f>
        <x:v>1.5</x:v>
      </x:c>
      <x:c r="AN1183" s="83" t="n">
        <x:f>'Inputs'!$D$47</x:f>
        <x:v>1.5</x:v>
      </x:c>
      <x:c r="AO1183" s="81" t="n">
        <x:f>'Inputs'!$E$47</x:f>
        <x:v>0.05</x:v>
      </x:c>
    </x:row>
    <x:row r="1184">
      <x:c r="A1184" s="59" t="str">
        <x:v>Growth</x:v>
      </x:c>
      <x:c r="B1184" s="59" t="n">
        <x:v>86</x:v>
      </x:c>
      <x:c r="C1184" s="78" t="n">
        <x:f>(('Inputs'!$B$29*(3*86*'Inputs'!$B$12-86^2)/(2*'Inputs'!$B$12^2))-('Inputs'!$B$29*(3*85*'Inputs'!$B$12-85^2)/(2*'Inputs'!$B$12^2)))*'Inputs'!$B$47</x:f>
        <x:v>684189.5759054199</x:v>
      </x:c>
      <x:c r="D1184" s="78" t="n">
        <x:f>IF('Inputs'!$C$47&gt;0,('Inputs'!$B$30*(3*86*'Inputs'!$B$12-86^2)/(2*'Inputs'!$B$12^2))-('Inputs'!$B$30*(3*85*'Inputs'!$B$12-85^2)/(2*'Inputs'!$B$12^2)),0)</x:f>
        <x:v>293224.10395946726</x:v>
      </x:c>
      <x:c r="E1184" s="78" t="n">
        <x:f>C1184+D1184</x:f>
        <x:v>977413.6798648871</x:v>
      </x:c>
      <x:c r="F1184" s="78" t="n">
        <x:f>'Inputs'!$B$13*E1184+(1-'Inputs'!$B$13)/'Inputs'!$B$14*SUM(E1129:E1184)</x:f>
        <x:v>987631.3567273404</x:v>
      </x:c>
      <x:c r="G1184" s="78" t="n">
        <x:f>F1184*'Inputs'!$F$47</x:f>
        <x:v>345670.9748545691</x:v>
      </x:c>
      <x:c r="H1184" s="78" t="n">
        <x:f>U1183</x:f>
        <x:v>2494784.301899301</x:v>
      </x:c>
      <x:c r="I1184" s="78" t="n">
        <x:f>V1183</x:f>
        <x:v>20405.922744970056</x:v>
      </x:c>
      <x:c r="J1184" s="79" t="n">
        <x:f>IF(H1184&gt;0,I1184/H1184,0)</x:f>
        <x:v>0.008179433680673255</x:v>
      </x:c>
      <x:c r="K1184" s="80" t="n">
        <x:f>(H1184*J1184+I1184)*'Inputs'!$D$47*(1+'Inputs'!$G$47)^(B1184/30)</x:f>
        <x:v>66631.18499405538</x:v>
      </x:c>
      <x:c r="L1184" s="80" t="n">
        <x:f>MAX(0,K1184*'Inputs'!$E$47)</x:f>
        <x:v>3331.559249702769</x:v>
      </x:c>
      <x:c r="M1184" s="80" t="n">
        <x:f>MAX(0,-K1184*'Inputs'!$E$47)</x:f>
        <x:v>0</x:v>
      </x:c>
      <x:c r="N1184" s="78" t="n">
        <x:f>H1184*(L1184*(1-'Inputs'!$B$15))/(I1184+L1184*(1-'Inputs'!$B$15))</x:f>
        <x:v>347129.12321947503</x:v>
      </x:c>
      <x:c r="O1184" s="78" t="n">
        <x:f>H1184-N1184</x:f>
        <x:v>2147655.1786798257</x:v>
      </x:c>
      <x:c r="P1184" s="78" t="n">
        <x:f>I1184+L1184*(1-'Inputs'!$B$17)</x:f>
        <x:v>23724.07531761165</x:v>
      </x:c>
      <x:c r="Q1184" s="78" t="n">
        <x:f>IF(J1184&gt;0,M1184/J1184,0)</x:f>
        <x:v>0</x:v>
      </x:c>
      <x:c r="R1184" s="78" t="n">
        <x:f>IF(B1184='Inputs'!$H$47,'Inputs'!$B$27*'Inputs'!$I$47,0)</x:f>
        <x:v>0</x:v>
      </x:c>
      <x:c r="S1184" s="78" t="n">
        <x:f>Q1184+G1184+R1184</x:f>
        <x:v>345670.9748545691</x:v>
      </x:c>
      <x:c r="T1184" s="78" t="n">
        <x:f>P1184*(S1184*(1-'Inputs'!$B$15))/(O1184+S1184*(1-'Inputs'!$B$15))</x:f>
        <x:v>3260.699881433101</x:v>
      </x:c>
      <x:c r="U1184" s="78" t="n">
        <x:f>O1184+S1184*(1-'Inputs'!$B$17)</x:f>
        <x:v>2491935.123454497</x:v>
      </x:c>
      <x:c r="V1184" s="78" t="n">
        <x:f>P1184-T1184</x:f>
        <x:v>20463.375436178547</x:v>
      </x:c>
      <x:c r="W1184" s="79" t="n">
        <x:f>IF(U1184&gt;0,V1184/U1184,0)</x:f>
        <x:v>0.008211841168565723</x:v>
      </x:c>
      <x:c r="X1184" s="80" t="n">
        <x:f>W1184*('Inputs'!$B$6-AC1184)</x:f>
        <x:v>8201217.8986590905</x:v>
      </x:c>
      <x:c r="Y1184" s="80" t="n">
        <x:f>2*V1184</x:f>
        <x:v>40926.75087235709</x:v>
      </x:c>
      <x:c r="Z1184" s="80" t="n">
        <x:f>K1184*'Inputs'!$B$16+(G1184+R1184)*J1184*'Inputs'!$B$16</x:f>
        <x:v>416.751466849272</x:v>
      </x:c>
      <x:c r="AA1184" s="80" t="n">
        <x:f>K1184*(1+'Inputs'!$E$47)/2*'Inputs'!$B$17</x:f>
        <x:v>140.77010914237053</x:v>
      </x:c>
      <x:c r="AB1184" s="78" t="n">
        <x:f>(IF(J1184&gt;0,K1184*(1-'Inputs'!$E$47)/2/J1184,0)+G1184+R1184)*'Inputs'!$B$17</x:f>
        <x:v>16962.209828213563</x:v>
      </x:c>
      <x:c r="AC1184" s="78" t="n">
        <x:f>AC1183+AB1184</x:f>
        <x:v>1293652.627780667</x:v>
      </x:c>
      <x:c r="AD1184" s="80" t="n">
        <x:f>Z1184/(1+'Inputs'!$C$47)</x:f>
        <x:v>166.7005867397088</x:v>
      </x:c>
      <x:c r="AE1184" s="80" t="n">
        <x:f>Z1184-AD1184</x:f>
        <x:v>250.0508801095632</x:v>
      </x:c>
      <x:c r="AF1184" s="80" t="n">
        <x:f>D1184*W1184</x:f>
        <x:v>2407.9097685101488</x:v>
      </x:c>
      <x:c r="AG1184" s="80" t="n">
        <x:f>C1184*W1184</x:f>
        <x:v>5618.45612652365</x:v>
      </x:c>
      <x:c r="AH1184" s="80" t="n">
        <x:f>2*'Inputs'!$B$8*'Inputs'!$C$47</x:f>
        <x:v>7500</x:v>
      </x:c>
      <x:c r="AI1184" s="81" t="n">
        <x:f>IF(AH1184&gt;0,(AE1184+AF1184)/AH1184*365,0)</x:f>
        <x:v>129.35408489949265</x:v>
      </x:c>
      <x:c r="AJ1184" s="81" t="n">
        <x:f>IF('Inputs'!$B$47&gt;0,AG1184/('Inputs'!$B$19*'Inputs'!$B$47)*365,0)</x:f>
        <x:v>205.07364861811322</x:v>
      </x:c>
      <x:c r="AK1184" s="81" t="n">
        <x:f>W1184/MAX($W$1099:W1184)-1</x:f>
        <x:v>-0.6294226000942388</x:v>
      </x:c>
      <x:c r="AL1184" s="83" t="n">
        <x:f>'Inputs'!$B$47</x:f>
        <x:v>1</x:v>
      </x:c>
      <x:c r="AM1184" s="83" t="n">
        <x:f>'Inputs'!$C$47</x:f>
        <x:v>1.5</x:v>
      </x:c>
      <x:c r="AN1184" s="83" t="n">
        <x:f>'Inputs'!$D$47</x:f>
        <x:v>1.5</x:v>
      </x:c>
      <x:c r="AO1184" s="81" t="n">
        <x:f>'Inputs'!$E$47</x:f>
        <x:v>0.05</x:v>
      </x:c>
    </x:row>
    <x:row r="1185">
      <x:c r="A1185" s="59" t="str">
        <x:v>Growth</x:v>
      </x:c>
      <x:c r="B1185" s="59" t="n">
        <x:v>87</x:v>
      </x:c>
      <x:c r="C1185" s="78" t="n">
        <x:f>(('Inputs'!$B$29*(3*87*'Inputs'!$B$12-87^2)/(2*'Inputs'!$B$12^2))-('Inputs'!$B$29*(3*86*'Inputs'!$B$12-86^2)/(2*'Inputs'!$B$12^2)))*'Inputs'!$B$47</x:f>
        <x:v>683864.4680052549</x:v>
      </x:c>
      <x:c r="D1185" s="78" t="n">
        <x:f>IF('Inputs'!$C$47&gt;0,('Inputs'!$B$30*(3*87*'Inputs'!$B$12-87^2)/(2*'Inputs'!$B$12^2))-('Inputs'!$B$30*(3*86*'Inputs'!$B$12-86^2)/(2*'Inputs'!$B$12^2)),0)</x:f>
        <x:v>293084.7720022537</x:v>
      </x:c>
      <x:c r="E1185" s="78" t="n">
        <x:f>C1185+D1185</x:f>
        <x:v>976949.2400075085</x:v>
      </x:c>
      <x:c r="F1185" s="78" t="n">
        <x:f>'Inputs'!$B$13*E1185+(1-'Inputs'!$B$13)/'Inputs'!$B$14*SUM(E1130:E1185)</x:f>
        <x:v>987166.9168699573</x:v>
      </x:c>
      <x:c r="G1185" s="78" t="n">
        <x:f>F1185*'Inputs'!$F$47</x:f>
        <x:v>345508.42090448504</x:v>
      </x:c>
      <x:c r="H1185" s="78" t="n">
        <x:f>U1184</x:f>
        <x:v>2491935.123454497</x:v>
      </x:c>
      <x:c r="I1185" s="78" t="n">
        <x:f>V1184</x:f>
        <x:v>20463.375436178547</x:v>
      </x:c>
      <x:c r="J1185" s="79" t="n">
        <x:f>IF(H1185&gt;0,I1185/H1185,0)</x:f>
        <x:v>0.008211841168565723</x:v>
      </x:c>
      <x:c r="K1185" s="80" t="n">
        <x:f>(H1185*J1185+I1185)*'Inputs'!$D$47*(1+'Inputs'!$G$47)^(B1185/30)</x:f>
        <x:v>66884.65304617136</x:v>
      </x:c>
      <x:c r="L1185" s="80" t="n">
        <x:f>MAX(0,K1185*'Inputs'!$E$47)</x:f>
        <x:v>3344.232652308568</x:v>
      </x:c>
      <x:c r="M1185" s="80" t="n">
        <x:f>MAX(0,-K1185*'Inputs'!$E$47)</x:f>
        <x:v>0</x:v>
      </x:c>
      <x:c r="N1185" s="78" t="n">
        <x:f>H1185*(L1185*(1-'Inputs'!$B$15))/(I1185+L1185*(1-'Inputs'!$B$15))</x:f>
        <x:v>347026.8854782575</x:v>
      </x:c>
      <x:c r="O1185" s="78" t="n">
        <x:f>H1185-N1185</x:f>
        <x:v>2144908.2379762395</x:v>
      </x:c>
      <x:c r="P1185" s="78" t="n">
        <x:f>I1185+L1185*(1-'Inputs'!$B$17)</x:f>
        <x:v>23794.150411817864</x:v>
      </x:c>
      <x:c r="Q1185" s="78" t="n">
        <x:f>IF(J1185&gt;0,M1185/J1185,0)</x:f>
        <x:v>0</x:v>
      </x:c>
      <x:c r="R1185" s="78" t="n">
        <x:f>IF(B1185='Inputs'!$H$47,'Inputs'!$B$27*'Inputs'!$I$47,0)</x:f>
        <x:v>0</x:v>
      </x:c>
      <x:c r="S1185" s="78" t="n">
        <x:f>Q1185+G1185+R1185</x:f>
        <x:v>345508.42090448504</x:v>
      </x:c>
      <x:c r="T1185" s="78" t="n">
        <x:f>P1185*(S1185*(1-'Inputs'!$B$15))/(O1185+S1185*(1-'Inputs'!$B$15))</x:f>
        <x:v>3272.615317054084</x:v>
      </x:c>
      <x:c r="U1185" s="78" t="n">
        <x:f>O1185+S1185*(1-'Inputs'!$B$17)</x:f>
        <x:v>2489026.282941471</x:v>
      </x:c>
      <x:c r="V1185" s="78" t="n">
        <x:f>P1185-T1185</x:f>
        <x:v>20521.535094763778</x:v>
      </x:c>
      <x:c r="W1185" s="79" t="n">
        <x:f>IF(U1185&gt;0,V1185/U1185,0)</x:f>
        <x:v>0.008244804498613782</x:v>
      </x:c>
      <x:c r="X1185" s="80" t="n">
        <x:f>W1185*('Inputs'!$B$6-AC1185)</x:f>
        <x:v>8233998.761105308</x:v>
      </x:c>
      <x:c r="Y1185" s="80" t="n">
        <x:f>2*V1185</x:f>
        <x:v>41043.070189527556</x:v>
      </x:c>
      <x:c r="Z1185" s="80" t="n">
        <x:f>K1185*'Inputs'!$B$16+(G1185+R1185)*J1185*'Inputs'!$B$16</x:f>
        <x:v>418.33147992624566</x:v>
      </x:c>
      <x:c r="AA1185" s="80" t="n">
        <x:f>K1185*(1+'Inputs'!$E$47)/2*'Inputs'!$B$17</x:f>
        <x:v>141.3056050271226</x:v>
      </x:c>
      <x:c r="AB1185" s="78" t="n">
        <x:f>(IF(J1185&gt;0,K1185*(1-'Inputs'!$E$47)/2/J1185,0)+G1185+R1185)*'Inputs'!$B$17</x:f>
        <x:v>16959.104770403355</x:v>
      </x:c>
      <x:c r="AC1185" s="78" t="n">
        <x:f>AC1184+AB1185</x:f>
        <x:v>1310611.7325510704</x:v>
      </x:c>
      <x:c r="AD1185" s="80" t="n">
        <x:f>Z1185/(1+'Inputs'!$C$47)</x:f>
        <x:v>167.33259197049827</x:v>
      </x:c>
      <x:c r="AE1185" s="80" t="n">
        <x:f>Z1185-AD1185</x:f>
        <x:v>250.9988879557474</x:v>
      </x:c>
      <x:c r="AF1185" s="80" t="n">
        <x:f>D1185*W1185</x:f>
        <x:v>2416.4266466793756</x:v>
      </x:c>
      <x:c r="AG1185" s="80" t="n">
        <x:f>C1185*W1185</x:f>
        <x:v>5638.328842251846</x:v>
      </x:c>
      <x:c r="AH1185" s="80" t="n">
        <x:f>2*'Inputs'!$B$8*'Inputs'!$C$47</x:f>
        <x:v>7500</x:v>
      </x:c>
      <x:c r="AI1185" s="81" t="n">
        <x:f>IF(AH1185&gt;0,(AE1185+AF1185)/AH1185*365,0)</x:f>
        <x:v>129.81470935224266</x:v>
      </x:c>
      <x:c r="AJ1185" s="81" t="n">
        <x:f>IF('Inputs'!$B$47&gt;0,AG1185/('Inputs'!$B$19*'Inputs'!$B$47)*365,0)</x:f>
        <x:v>205.79900274219239</x:v>
      </x:c>
      <x:c r="AK1185" s="81" t="n">
        <x:f>W1185/MAX($W$1099:W1185)-1</x:f>
        <x:v>-0.6279350573019835</x:v>
      </x:c>
      <x:c r="AL1185" s="83" t="n">
        <x:f>'Inputs'!$B$47</x:f>
        <x:v>1</x:v>
      </x:c>
      <x:c r="AM1185" s="83" t="n">
        <x:f>'Inputs'!$C$47</x:f>
        <x:v>1.5</x:v>
      </x:c>
      <x:c r="AN1185" s="83" t="n">
        <x:f>'Inputs'!$D$47</x:f>
        <x:v>1.5</x:v>
      </x:c>
      <x:c r="AO1185" s="81" t="n">
        <x:f>'Inputs'!$E$47</x:f>
        <x:v>0.05</x:v>
      </x:c>
    </x:row>
    <x:row r="1186">
      <x:c r="A1186" s="59" t="str">
        <x:v>Growth</x:v>
      </x:c>
      <x:c r="B1186" s="59" t="n">
        <x:v>88</x:v>
      </x:c>
      <x:c r="C1186" s="78" t="n">
        <x:f>(('Inputs'!$B$29*(3*88*'Inputs'!$B$12-88^2)/(2*'Inputs'!$B$12^2))-('Inputs'!$B$29*(3*87*'Inputs'!$B$12-87^2)/(2*'Inputs'!$B$12^2)))*'Inputs'!$B$47</x:f>
        <x:v>683539.3601050824</x:v>
      </x:c>
      <x:c r="D1186" s="78" t="n">
        <x:f>IF('Inputs'!$C$47&gt;0,('Inputs'!$B$30*(3*88*'Inputs'!$B$12-88^2)/(2*'Inputs'!$B$12^2))-('Inputs'!$B$30*(3*87*'Inputs'!$B$12-87^2)/(2*'Inputs'!$B$12^2)),0)</x:f>
        <x:v>292945.4400450364</x:v>
      </x:c>
      <x:c r="E1186" s="78" t="n">
        <x:f>C1186+D1186</x:f>
        <x:v>976484.8001501188</x:v>
      </x:c>
      <x:c r="F1186" s="78" t="n">
        <x:f>'Inputs'!$B$13*E1186+(1-'Inputs'!$B$13)/'Inputs'!$B$14*SUM(E1131:E1186)</x:f>
        <x:v>986702.4770125719</x:v>
      </x:c>
      <x:c r="G1186" s="78" t="n">
        <x:f>F1186*'Inputs'!$F$47</x:f>
        <x:v>345345.86695440015</x:v>
      </x:c>
      <x:c r="H1186" s="78" t="n">
        <x:f>U1185</x:f>
        <x:v>2489026.282941471</x:v>
      </x:c>
      <x:c r="I1186" s="78" t="n">
        <x:f>V1185</x:f>
        <x:v>20521.535094763778</x:v>
      </x:c>
      <x:c r="J1186" s="79" t="n">
        <x:f>IF(H1186&gt;0,I1186/H1186,0)</x:f>
        <x:v>0.008244804498613782</x:v>
      </x:c>
      <x:c r="K1186" s="80" t="n">
        <x:f>(H1186*J1186+I1186)*'Inputs'!$D$47*(1+'Inputs'!$G$47)^(B1186/30)</x:f>
        <x:v>67140.8690802574</x:v>
      </x:c>
      <x:c r="L1186" s="80" t="n">
        <x:f>MAX(0,K1186*'Inputs'!$E$47)</x:f>
        <x:v>3357.04345401287</x:v>
      </x:c>
      <x:c r="M1186" s="80" t="n">
        <x:f>MAX(0,-K1186*'Inputs'!$E$47)</x:f>
        <x:v>0</x:v>
      </x:c>
      <x:c r="N1186" s="78" t="n">
        <x:f>H1186*(L1186*(1-'Inputs'!$B$15))/(I1186+L1186*(1-'Inputs'!$B$15))</x:f>
        <x:v>346915.8683647346</x:v>
      </x:c>
      <x:c r="O1186" s="78" t="n">
        <x:f>H1186-N1186</x:f>
        <x:v>2142110.4145767363</x:v>
      </x:c>
      <x:c r="P1186" s="78" t="n">
        <x:f>I1186+L1186*(1-'Inputs'!$B$17)</x:f>
        <x:v>23865.069319585447</x:v>
      </x:c>
      <x:c r="Q1186" s="78" t="n">
        <x:f>IF(J1186&gt;0,M1186/J1186,0)</x:f>
        <x:v>0</x:v>
      </x:c>
      <x:c r="R1186" s="78" t="n">
        <x:f>IF(B1186='Inputs'!$H$47,'Inputs'!$B$27*'Inputs'!$I$47,0)</x:f>
        <x:v>0</x:v>
      </x:c>
      <x:c r="S1186" s="78" t="n">
        <x:f>Q1186+G1186+R1186</x:f>
        <x:v>345345.86695440015</x:v>
      </x:c>
      <x:c r="T1186" s="78" t="n">
        <x:f>P1186*(S1186*(1-'Inputs'!$B$15))/(O1186+S1186*(1-'Inputs'!$B$15))</x:f>
        <x:v>3284.732991631038</x:v>
      </x:c>
      <x:c r="U1186" s="78" t="n">
        <x:f>O1186+S1186*(1-'Inputs'!$B$17)</x:f>
        <x:v>2486066.559732527</x:v>
      </x:c>
      <x:c r="V1186" s="78" t="n">
        <x:f>P1186-T1186</x:f>
        <x:v>20580.33632795441</x:v>
      </x:c>
      <x:c r="W1186" s="79" t="n">
        <x:f>IF(U1186&gt;0,V1186/U1186,0)</x:f>
        <x:v>0.00827827245710132</x:v>
      </x:c>
      <x:c r="X1186" s="80" t="n">
        <x:f>W1186*('Inputs'!$B$6-AC1186)</x:f>
        <x:v>8267282.492962397</x:v>
      </x:c>
      <x:c r="Y1186" s="80" t="n">
        <x:f>2*V1186</x:f>
        <x:v>41160.67265590882</x:v>
      </x:c>
      <x:c r="Z1186" s="80" t="n">
        <x:f>K1186*'Inputs'!$B$16+(G1186+R1186)*J1186*'Inputs'!$B$16</x:f>
        <x:v>419.9290694262043</x:v>
      </x:c>
      <x:c r="AA1186" s="80" t="n">
        <x:f>K1186*(1+'Inputs'!$E$47)/2*'Inputs'!$B$17</x:f>
        <x:v>141.84690650758608</x:v>
      </x:c>
      <x:c r="AB1186" s="78" t="n">
        <x:f>(IF(J1186&gt;0,K1186*(1-'Inputs'!$E$47)/2/J1186,0)+G1186+R1186)*'Inputs'!$B$17</x:f>
        <x:v>16955.60663407929</x:v>
      </x:c>
      <x:c r="AC1186" s="78" t="n">
        <x:f>AC1185+AB1186</x:f>
        <x:v>1327567.3391851496</x:v>
      </x:c>
      <x:c r="AD1186" s="80" t="n">
        <x:f>Z1186/(1+'Inputs'!$C$47)</x:f>
        <x:v>167.97162777048172</x:v>
      </x:c>
      <x:c r="AE1186" s="80" t="n">
        <x:f>Z1186-AD1186</x:f>
        <x:v>251.9574416557226</x:v>
      </x:c>
      <x:c r="AF1186" s="80" t="n">
        <x:f>D1186*W1186</x:f>
        <x:v>2425.0821677582508</x:v>
      </x:c>
      <x:c r="AG1186" s="80" t="n">
        <x:f>C1186*W1186</x:f>
        <x:v>5658.525058102565</x:v>
      </x:c>
      <x:c r="AH1186" s="80" t="n">
        <x:f>2*'Inputs'!$B$8*'Inputs'!$C$47</x:f>
        <x:v>7500</x:v>
      </x:c>
      <x:c r="AI1186" s="81" t="n">
        <x:f>IF(AH1186&gt;0,(AE1186+AF1186)/AH1186*365,0)</x:f>
        <x:v>130.28259432481337</x:v>
      </x:c>
      <x:c r="AJ1186" s="81" t="n">
        <x:f>IF('Inputs'!$B$47&gt;0,AG1186/('Inputs'!$B$19*'Inputs'!$B$47)*365,0)</x:f>
        <x:v>206.53616462074362</x:v>
      </x:c>
      <x:c r="AK1186" s="81" t="n">
        <x:f>W1186/MAX($W$1099:W1186)-1</x:f>
        <x:v>-0.6264247420411451</x:v>
      </x:c>
      <x:c r="AL1186" s="83" t="n">
        <x:f>'Inputs'!$B$47</x:f>
        <x:v>1</x:v>
      </x:c>
      <x:c r="AM1186" s="83" t="n">
        <x:f>'Inputs'!$C$47</x:f>
        <x:v>1.5</x:v>
      </x:c>
      <x:c r="AN1186" s="83" t="n">
        <x:f>'Inputs'!$D$47</x:f>
        <x:v>1.5</x:v>
      </x:c>
      <x:c r="AO1186" s="81" t="n">
        <x:f>'Inputs'!$E$47</x:f>
        <x:v>0.05</x:v>
      </x:c>
    </x:row>
    <x:row r="1187">
      <x:c r="A1187" s="59" t="str">
        <x:v>Growth</x:v>
      </x:c>
      <x:c r="B1187" s="59" t="n">
        <x:v>89</x:v>
      </x:c>
      <x:c r="C1187" s="78" t="n">
        <x:f>(('Inputs'!$B$29*(3*89*'Inputs'!$B$12-89^2)/(2*'Inputs'!$B$12^2))-('Inputs'!$B$29*(3*88*'Inputs'!$B$12-88^2)/(2*'Inputs'!$B$12^2)))*'Inputs'!$B$47</x:f>
        <x:v>683214.2522049174</x:v>
      </x:c>
      <x:c r="D1187" s="78" t="n">
        <x:f>IF('Inputs'!$C$47&gt;0,('Inputs'!$B$30*(3*89*'Inputs'!$B$12-89^2)/(2*'Inputs'!$B$12^2))-('Inputs'!$B$30*(3*88*'Inputs'!$B$12-88^2)/(2*'Inputs'!$B$12^2)),0)</x:f>
        <x:v>292806.10808781907</x:v>
      </x:c>
      <x:c r="E1187" s="78" t="n">
        <x:f>C1187+D1187</x:f>
        <x:v>976020.3602927364</x:v>
      </x:c>
      <x:c r="F1187" s="78" t="n">
        <x:f>'Inputs'!$B$13*E1187+(1-'Inputs'!$B$13)/'Inputs'!$B$14*SUM(E1132:E1187)</x:f>
        <x:v>986238.0371551884</x:v>
      </x:c>
      <x:c r="G1187" s="78" t="n">
        <x:f>F1187*'Inputs'!$F$47</x:f>
        <x:v>345183.3130043159</x:v>
      </x:c>
      <x:c r="H1187" s="78" t="n">
        <x:f>U1186</x:f>
        <x:v>2486066.559732527</x:v>
      </x:c>
      <x:c r="I1187" s="78" t="n">
        <x:f>V1186</x:f>
        <x:v>20580.33632795441</x:v>
      </x:c>
      <x:c r="J1187" s="79" t="n">
        <x:f>IF(H1187&gt;0,I1187/H1187,0)</x:f>
        <x:v>0.00827827245710132</x:v>
      </x:c>
      <x:c r="K1187" s="80" t="n">
        <x:f>(H1187*J1187+I1187)*'Inputs'!$D$47*(1+'Inputs'!$G$47)^(B1187/30)</x:f>
        <x:v>67399.62638969235</x:v>
      </x:c>
      <x:c r="L1187" s="80" t="n">
        <x:f>MAX(0,K1187*'Inputs'!$E$47)</x:f>
        <x:v>3369.9813194846174</x:v>
      </x:c>
      <x:c r="M1187" s="80" t="n">
        <x:f>MAX(0,-K1187*'Inputs'!$E$47)</x:f>
        <x:v>0</x:v>
      </x:c>
      <x:c r="N1187" s="78" t="n">
        <x:f>H1187*(L1187*(1-'Inputs'!$B$15))/(I1187+L1187*(1-'Inputs'!$B$15))</x:f>
        <x:v>346797.27477040153</x:v>
      </x:c>
      <x:c r="O1187" s="78" t="n">
        <x:f>H1187-N1187</x:f>
        <x:v>2139269.2849621256</x:v>
      </x:c>
      <x:c r="P1187" s="78" t="n">
        <x:f>I1187+L1187*(1-'Inputs'!$B$17)</x:f>
        <x:v>23936.75635440287</x:v>
      </x:c>
      <x:c r="Q1187" s="78" t="n">
        <x:f>IF(J1187&gt;0,M1187/J1187,0)</x:f>
        <x:v>0</x:v>
      </x:c>
      <x:c r="R1187" s="78" t="n">
        <x:f>IF(B1187='Inputs'!$H$47,'Inputs'!$B$27*'Inputs'!$I$47,0)</x:f>
        <x:v>0</x:v>
      </x:c>
      <x:c r="S1187" s="78" t="n">
        <x:f>Q1187+G1187+R1187</x:f>
        <x:v>345183.3130043159</x:v>
      </x:c>
      <x:c r="T1187" s="78" t="n">
        <x:f>P1187*(S1187*(1-'Inputs'!$B$15))/(O1187+S1187*(1-'Inputs'!$B$15))</x:f>
        <x:v>3297.033716521</x:v>
      </x:c>
      <x:c r="U1187" s="78" t="n">
        <x:f>O1187+S1187*(1-'Inputs'!$B$17)</x:f>
        <x:v>2483063.5303084766</x:v>
      </x:c>
      <x:c r="V1187" s="78" t="n">
        <x:f>P1187-T1187</x:f>
        <x:v>20639.72263788187</x:v>
      </x:c>
      <x:c r="W1187" s="79" t="n">
        <x:f>IF(U1187&gt;0,V1187/U1187,0)</x:f>
        <x:v>0.00831220078985162</x:v>
      </x:c>
      <x:c r="X1187" s="80" t="n">
        <x:f>W1187*('Inputs'!$B$6-AC1187)</x:f>
        <x:v>8301024.877056619</x:v>
      </x:c>
      <x:c r="Y1187" s="80" t="n">
        <x:f>2*V1187</x:f>
        <x:v>41279.44527576374</x:v>
      </x:c>
      <x:c r="Z1187" s="80" t="n">
        <x:f>K1187*'Inputs'!$B$16+(G1187+R1187)*J1187*'Inputs'!$B$16</x:f>
        <x:v>421.5428874143218</x:v>
      </x:c>
      <x:c r="AA1187" s="80" t="n">
        <x:f>K1187*(1+'Inputs'!$E$47)/2*'Inputs'!$B$17</x:f>
        <x:v>142.39357687963175</x:v>
      </x:c>
      <x:c r="AB1187" s="78" t="n">
        <x:f>(IF(J1187&gt;0,K1187*(1-'Inputs'!$E$47)/2/J1187,0)+G1187+R1187)*'Inputs'!$B$17</x:f>
        <x:v>16951.76923744262</x:v>
      </x:c>
      <x:c r="AC1187" s="78" t="n">
        <x:f>AC1186+AB1187</x:f>
        <x:v>1344519.1084225923</x:v>
      </x:c>
      <x:c r="AD1187" s="80" t="n">
        <x:f>Z1187/(1+'Inputs'!$C$47)</x:f>
        <x:v>168.61715496572873</x:v>
      </x:c>
      <x:c r="AE1187" s="80" t="n">
        <x:f>Z1187-AD1187</x:f>
        <x:v>252.92573244859307</x:v>
      </x:c>
      <x:c r="AF1187" s="80" t="n">
        <x:f>D1187*W1187</x:f>
        <x:v>2433.8631629209485</x:v>
      </x:c>
      <x:c r="AG1187" s="80" t="n">
        <x:f>C1187*W1187</x:f>
        <x:v>5679.014046815599</x:v>
      </x:c>
      <x:c r="AH1187" s="80" t="n">
        <x:f>2*'Inputs'!$B$8*'Inputs'!$C$47</x:f>
        <x:v>7500</x:v>
      </x:c>
      <x:c r="AI1187" s="81" t="n">
        <x:f>IF(AH1187&gt;0,(AE1187+AF1187)/AH1187*365,0)</x:f>
        <x:v>130.757059574651</x:v>
      </x:c>
      <x:c r="AJ1187" s="81" t="n">
        <x:f>IF('Inputs'!$B$47&gt;0,AG1187/('Inputs'!$B$19*'Inputs'!$B$47)*365,0)</x:f>
        <x:v>207.28401270876938</x:v>
      </x:c>
      <x:c r="AK1187" s="81" t="n">
        <x:f>W1187/MAX($W$1099:W1187)-1</x:f>
        <x:v>-0.6248936513788133</x:v>
      </x:c>
      <x:c r="AL1187" s="83" t="n">
        <x:f>'Inputs'!$B$47</x:f>
        <x:v>1</x:v>
      </x:c>
      <x:c r="AM1187" s="83" t="n">
        <x:f>'Inputs'!$C$47</x:f>
        <x:v>1.5</x:v>
      </x:c>
      <x:c r="AN1187" s="83" t="n">
        <x:f>'Inputs'!$D$47</x:f>
        <x:v>1.5</x:v>
      </x:c>
      <x:c r="AO1187" s="81" t="n">
        <x:f>'Inputs'!$E$47</x:f>
        <x:v>0.05</x:v>
      </x:c>
    </x:row>
    <x:row r="1188">
      <x:c r="A1188" s="59" t="str">
        <x:v>Growth</x:v>
      </x:c>
      <x:c r="B1188" s="59" t="n">
        <x:v>90</x:v>
      </x:c>
      <x:c r="C1188" s="78" t="n">
        <x:f>(('Inputs'!$B$29*(3*90*'Inputs'!$B$12-90^2)/(2*'Inputs'!$B$12^2))-('Inputs'!$B$29*(3*89*'Inputs'!$B$12-89^2)/(2*'Inputs'!$B$12^2)))*'Inputs'!$B$47</x:f>
        <x:v>682889.1443047523</x:v>
      </x:c>
      <x:c r="D1188" s="78" t="n">
        <x:f>IF('Inputs'!$C$47&gt;0,('Inputs'!$B$30*(3*90*'Inputs'!$B$12-90^2)/(2*'Inputs'!$B$12^2))-('Inputs'!$B$30*(3*89*'Inputs'!$B$12-89^2)/(2*'Inputs'!$B$12^2)),0)</x:f>
        <x:v>292666.7761306055</x:v>
      </x:c>
      <x:c r="E1188" s="78" t="n">
        <x:f>C1188+D1188</x:f>
        <x:v>975555.9204353578</x:v>
      </x:c>
      <x:c r="F1188" s="78" t="n">
        <x:f>'Inputs'!$B$13*E1188+(1-'Inputs'!$B$13)/'Inputs'!$B$14*SUM(E1133:E1188)</x:f>
        <x:v>985773.5972978052</x:v>
      </x:c>
      <x:c r="G1188" s="78" t="n">
        <x:f>F1188*'Inputs'!$F$47</x:f>
        <x:v>345020.7590542318</x:v>
      </x:c>
      <x:c r="H1188" s="78" t="n">
        <x:f>U1187</x:f>
        <x:v>2483063.5303084766</x:v>
      </x:c>
      <x:c r="I1188" s="78" t="n">
        <x:f>V1187</x:f>
        <x:v>20639.72263788187</x:v>
      </x:c>
      <x:c r="J1188" s="79" t="n">
        <x:f>IF(H1188&gt;0,I1188/H1188,0)</x:f>
        <x:v>0.00831220078985162</x:v>
      </x:c>
      <x:c r="K1188" s="80" t="n">
        <x:f>(H1188*J1188+I1188)*'Inputs'!$D$47*(1+'Inputs'!$G$47)^(B1188/30)</x:f>
        <x:v>67660.74659677425</x:v>
      </x:c>
      <x:c r="L1188" s="80" t="n">
        <x:f>MAX(0,K1188*'Inputs'!$E$47)</x:f>
        <x:v>3383.0373298387126</x:v>
      </x:c>
      <x:c r="M1188" s="80" t="n">
        <x:f>MAX(0,-K1188*'Inputs'!$E$47)</x:f>
        <x:v>0</x:v>
      </x:c>
      <x:c r="N1188" s="78" t="n">
        <x:f>H1188*(L1188*(1-'Inputs'!$B$15))/(I1188+L1188*(1-'Inputs'!$B$15))</x:f>
        <x:v>346672.1437697828</x:v>
      </x:c>
      <x:c r="O1188" s="78" t="n">
        <x:f>H1188-N1188</x:f>
        <x:v>2136391.3865386937</x:v>
      </x:c>
      <x:c r="P1188" s="78" t="n">
        <x:f>I1188+L1188*(1-'Inputs'!$B$17)</x:f>
        <x:v>24009.146135407347</x:v>
      </x:c>
      <x:c r="Q1188" s="78" t="n">
        <x:f>IF(J1188&gt;0,M1188/J1188,0)</x:f>
        <x:v>0</x:v>
      </x:c>
      <x:c r="R1188" s="78" t="n">
        <x:f>IF(B1188='Inputs'!$H$47,'Inputs'!$B$27*'Inputs'!$I$47,0)</x:f>
        <x:v>0</x:v>
      </x:c>
      <x:c r="S1188" s="78" t="n">
        <x:f>Q1188+G1188+R1188</x:f>
        <x:v>345020.7590542318</x:v>
      </x:c>
      <x:c r="T1188" s="78" t="n">
        <x:f>P1188*(S1188*(1-'Inputs'!$B$15))/(O1188+S1188*(1-'Inputs'!$B$15))</x:f>
        <x:v>3309.5009087405556</x:v>
      </x:c>
      <x:c r="U1188" s="78" t="n">
        <x:f>O1188+S1188*(1-'Inputs'!$B$17)</x:f>
        <x:v>2480023.7320756046</x:v>
      </x:c>
      <x:c r="V1188" s="78" t="n">
        <x:f>P1188-T1188</x:f>
        <x:v>20699.64522666679</x:v>
      </x:c>
      <x:c r="W1188" s="79" t="n">
        <x:f>IF(U1188&gt;0,V1188/U1188,0)</x:f>
        <x:v>0.008346551268419778</x:v>
      </x:c>
      <x:c r="X1188" s="80" t="n">
        <x:f>W1188*('Inputs'!$B$6-AC1188)</x:f>
        <x:v>8335187.716411536</x:v>
      </x:c>
      <x:c r="Y1188" s="80" t="n">
        <x:f>2*V1188</x:f>
        <x:v>41399.29045333358</x:v>
      </x:c>
      <x:c r="Z1188" s="80" t="n">
        <x:f>K1188*'Inputs'!$B$16+(G1188+R1188)*J1188*'Inputs'!$B$16</x:f>
        <x:v>423.17177053620026</x:v>
      </x:c>
      <x:c r="AA1188" s="80" t="n">
        <x:f>K1188*(1+'Inputs'!$E$47)/2*'Inputs'!$B$17</x:f>
        <x:v>142.9452392889597</x:v>
      </x:c>
      <x:c r="AB1188" s="78" t="n">
        <x:f>(IF(J1188&gt;0,K1188*(1-'Inputs'!$E$47)/2/J1188,0)+G1188+R1188)*'Inputs'!$B$17</x:f>
        <x:v>16947.639075686377</x:v>
      </x:c>
      <x:c r="AC1188" s="78" t="n">
        <x:f>AC1187+AB1188</x:f>
        <x:v>1361466.7474982787</x:v>
      </x:c>
      <x:c r="AD1188" s="80" t="n">
        <x:f>Z1188/(1+'Inputs'!$C$47)</x:f>
        <x:v>169.2687082144801</x:v>
      </x:c>
      <x:c r="AE1188" s="80" t="n">
        <x:f>Z1188-AD1188</x:f>
        <x:v>253.90306232172014</x:v>
      </x:c>
      <x:c r="AF1188" s="80" t="n">
        <x:f>D1188*W1188</x:f>
        <x:v>2442.7582515372324</x:v>
      </x:c>
      <x:c r="AG1188" s="80" t="n">
        <x:f>C1188*W1188</x:f>
        <x:v>5699.769253586928</x:v>
      </x:c>
      <x:c r="AH1188" s="80" t="n">
        <x:f>2*'Inputs'!$B$8*'Inputs'!$C$47</x:f>
        <x:v>7500</x:v>
      </x:c>
      <x:c r="AI1188" s="81" t="n">
        <x:f>IF(AH1188&gt;0,(AE1188+AF1188)/AH1188*365,0)</x:f>
        <x:v>131.237517274469</x:v>
      </x:c>
      <x:c r="AJ1188" s="81" t="n">
        <x:f>IF('Inputs'!$B$47&gt;0,AG1188/('Inputs'!$B$19*'Inputs'!$B$47)*365,0)</x:f>
        <x:v>208.04157775592287</x:v>
      </x:c>
      <x:c r="AK1188" s="81" t="n">
        <x:f>W1188/MAX($W$1099:W1188)-1</x:f>
        <x:v>-0.6233435104576719</x:v>
      </x:c>
      <x:c r="AL1188" s="83" t="n">
        <x:f>'Inputs'!$B$47</x:f>
        <x:v>1</x:v>
      </x:c>
      <x:c r="AM1188" s="83" t="n">
        <x:f>'Inputs'!$C$47</x:f>
        <x:v>1.5</x:v>
      </x:c>
      <x:c r="AN1188" s="83" t="n">
        <x:f>'Inputs'!$D$47</x:f>
        <x:v>1.5</x:v>
      </x:c>
      <x:c r="AO1188" s="81" t="n">
        <x:f>'Inputs'!$E$47</x:f>
        <x:v>0.05</x:v>
      </x:c>
    </x:row>
    <x:row r="1189">
      <x:c r="A1189" s="59" t="str">
        <x:v>Growth</x:v>
      </x:c>
      <x:c r="B1189" s="59" t="n">
        <x:v>91</x:v>
      </x:c>
      <x:c r="C1189" s="78" t="n">
        <x:f>(('Inputs'!$B$29*(3*91*'Inputs'!$B$12-91^2)/(2*'Inputs'!$B$12^2))-('Inputs'!$B$29*(3*90*'Inputs'!$B$12-90^2)/(2*'Inputs'!$B$12^2)))*'Inputs'!$B$47</x:f>
        <x:v>682564.0364045799</x:v>
      </x:c>
      <x:c r="D1189" s="78" t="n">
        <x:f>IF('Inputs'!$C$47&gt;0,('Inputs'!$B$30*(3*91*'Inputs'!$B$12-91^2)/(2*'Inputs'!$B$12^2))-('Inputs'!$B$30*(3*90*'Inputs'!$B$12-90^2)/(2*'Inputs'!$B$12^2)),0)</x:f>
        <x:v>292527.4441733919</x:v>
      </x:c>
      <x:c r="E1189" s="78" t="n">
        <x:f>C1189+D1189</x:f>
        <x:v>975091.4805779718</x:v>
      </x:c>
      <x:c r="F1189" s="78" t="n">
        <x:f>'Inputs'!$B$13*E1189+(1-'Inputs'!$B$13)/'Inputs'!$B$14*SUM(E1134:E1189)</x:f>
        <x:v>985309.1574404209</x:v>
      </x:c>
      <x:c r="G1189" s="78" t="n">
        <x:f>F1189*'Inputs'!$F$47</x:f>
        <x:v>344858.2051041473</x:v>
      </x:c>
      <x:c r="H1189" s="78" t="n">
        <x:f>U1188</x:f>
        <x:v>2480023.7320756046</x:v>
      </x:c>
      <x:c r="I1189" s="78" t="n">
        <x:f>V1188</x:f>
        <x:v>20699.64522666679</x:v>
      </x:c>
      <x:c r="J1189" s="79" t="n">
        <x:f>IF(H1189&gt;0,I1189/H1189,0)</x:f>
        <x:v>0.008346551268419778</x:v>
      </x:c>
      <x:c r="K1189" s="80" t="n">
        <x:f>(H1189*J1189+I1189)*'Inputs'!$D$47*(1+'Inputs'!$G$47)^(B1189/30)</x:f>
        <x:v>67924.07587337994</x:v>
      </x:c>
      <x:c r="L1189" s="80" t="n">
        <x:f>MAX(0,K1189*'Inputs'!$E$47)</x:f>
        <x:v>3396.2037936689976</x:v>
      </x:c>
      <x:c r="M1189" s="80" t="n">
        <x:f>MAX(0,-K1189*'Inputs'!$E$47)</x:f>
        <x:v>0</x:v>
      </x:c>
      <x:c r="N1189" s="78" t="n">
        <x:f>H1189*(L1189*(1-'Inputs'!$B$15))/(I1189+L1189*(1-'Inputs'!$B$15))</x:f>
        <x:v>346541.37280634354</x:v>
      </x:c>
      <x:c r="O1189" s="78" t="n">
        <x:f>H1189-N1189</x:f>
        <x:v>2133482.359269261</x:v>
      </x:c>
      <x:c r="P1189" s="78" t="n">
        <x:f>I1189+L1189*(1-'Inputs'!$B$17)</x:f>
        <x:v>24082.182204264685</x:v>
      </x:c>
      <x:c r="Q1189" s="78" t="n">
        <x:f>IF(J1189&gt;0,M1189/J1189,0)</x:f>
        <x:v>0</x:v>
      </x:c>
      <x:c r="R1189" s="78" t="n">
        <x:f>IF(B1189='Inputs'!$H$47,'Inputs'!$B$27*'Inputs'!$I$47,0)</x:f>
        <x:v>0</x:v>
      </x:c>
      <x:c r="S1189" s="78" t="n">
        <x:f>Q1189+G1189+R1189</x:f>
        <x:v>344858.2051041473</x:v>
      </x:c>
      <x:c r="T1189" s="78" t="n">
        <x:f>P1189*(S1189*(1-'Inputs'!$B$15))/(O1189+S1189*(1-'Inputs'!$B$15))</x:f>
        <x:v>3322.1202409565517</x:v>
      </x:c>
      <x:c r="U1189" s="78" t="n">
        <x:f>O1189+S1189*(1-'Inputs'!$B$17)</x:f>
        <x:v>2476952.8049967317</x:v>
      </x:c>
      <x:c r="V1189" s="78" t="n">
        <x:f>P1189-T1189</x:f>
        <x:v>20760.061963308133</x:v>
      </x:c>
      <x:c r="W1189" s="79" t="n">
        <x:f>IF(U1189&gt;0,V1189/U1189,0)</x:f>
        <x:v>0.008381290883471447</x:v>
      </x:c>
      <x:c r="X1189" s="80" t="n">
        <x:f>W1189*('Inputs'!$B$6-AC1189)</x:f>
        <x:v>8369738.028272826</x:v>
      </x:c>
      <x:c r="Y1189" s="80" t="n">
        <x:f>2*V1189</x:f>
        <x:v>41520.12392661627</x:v>
      </x:c>
      <x:c r="Z1189" s="80" t="n">
        <x:f>K1189*'Inputs'!$B$16+(G1189+R1189)*J1189*'Inputs'!$B$16</x:f>
        <x:v>424.8147153757016</x:v>
      </x:c>
      <x:c r="AA1189" s="80" t="n">
        <x:f>K1189*(1+'Inputs'!$E$47)/2*'Inputs'!$B$17</x:f>
        <x:v>143.50156874657736</x:v>
      </x:c>
      <x:c r="AB1189" s="78" t="n">
        <x:f>(IF(J1189&gt;0,K1189*(1-'Inputs'!$E$47)/2/J1189,0)+G1189+R1189)*'Inputs'!$B$17</x:f>
        <x:v>16943.256311886376</x:v>
      </x:c>
      <x:c r="AC1189" s="78" t="n">
        <x:f>AC1188+AB1189</x:f>
        <x:v>1378410.0038101652</x:v>
      </x:c>
      <x:c r="AD1189" s="80" t="n">
        <x:f>Z1189/(1+'Inputs'!$C$47)</x:f>
        <x:v>169.92588615028063</x:v>
      </x:c>
      <x:c r="AE1189" s="80" t="n">
        <x:f>Z1189-AD1189</x:f>
        <x:v>254.88882922542098</x:v>
      </x:c>
      <x:c r="AF1189" s="80" t="n">
        <x:f>D1189*W1189</x:f>
        <x:v>2451.757601015652</x:v>
      </x:c>
      <x:c r="AG1189" s="80" t="n">
        <x:f>C1189*W1189</x:f>
        <x:v>5720.767735703178</x:v>
      </x:c>
      <x:c r="AH1189" s="80" t="n">
        <x:f>2*'Inputs'!$B$8*'Inputs'!$C$47</x:f>
        <x:v>7500</x:v>
      </x:c>
      <x:c r="AI1189" s="81" t="n">
        <x:f>IF(AH1189&gt;0,(AE1189+AF1189)/AH1189*365,0)</x:f>
        <x:v>131.72345960506556</x:v>
      </x:c>
      <x:c r="AJ1189" s="81" t="n">
        <x:f>IF('Inputs'!$B$47&gt;0,AG1189/('Inputs'!$B$19*'Inputs'!$B$47)*365,0)</x:f>
        <x:v>208.808022353166</x:v>
      </x:c>
      <x:c r="AK1189" s="81" t="n">
        <x:f>W1189/MAX($W$1099:W1189)-1</x:f>
        <x:v>-0.6217758088965586</x:v>
      </x:c>
      <x:c r="AL1189" s="83" t="n">
        <x:f>'Inputs'!$B$47</x:f>
        <x:v>1</x:v>
      </x:c>
      <x:c r="AM1189" s="83" t="n">
        <x:f>'Inputs'!$C$47</x:f>
        <x:v>1.5</x:v>
      </x:c>
      <x:c r="AN1189" s="83" t="n">
        <x:f>'Inputs'!$D$47</x:f>
        <x:v>1.5</x:v>
      </x:c>
      <x:c r="AO1189" s="81" t="n">
        <x:f>'Inputs'!$E$47</x:f>
        <x:v>0.05</x:v>
      </x:c>
    </x:row>
    <x:row r="1190">
      <x:c r="A1190" s="59" t="str">
        <x:v>Growth</x:v>
      </x:c>
      <x:c r="B1190" s="59" t="n">
        <x:v>92</x:v>
      </x:c>
      <x:c r="C1190" s="78" t="n">
        <x:f>(('Inputs'!$B$29*(3*92*'Inputs'!$B$12-92^2)/(2*'Inputs'!$B$12^2))-('Inputs'!$B$29*(3*91*'Inputs'!$B$12-91^2)/(2*'Inputs'!$B$12^2)))*'Inputs'!$B$47</x:f>
        <x:v>682238.9285044074</x:v>
      </x:c>
      <x:c r="D1190" s="78" t="n">
        <x:f>IF('Inputs'!$C$47&gt;0,('Inputs'!$B$30*(3*92*'Inputs'!$B$12-92^2)/(2*'Inputs'!$B$12^2))-('Inputs'!$B$30*(3*91*'Inputs'!$B$12-91^2)/(2*'Inputs'!$B$12^2)),0)</x:f>
        <x:v>292388.1122161746</x:v>
      </x:c>
      <x:c r="E1190" s="78" t="n">
        <x:f>C1190+D1190</x:f>
        <x:v>974627.040720582</x:v>
      </x:c>
      <x:c r="F1190" s="78" t="n">
        <x:f>'Inputs'!$B$13*E1190+(1-'Inputs'!$B$13)/'Inputs'!$B$14*SUM(E1135:E1190)</x:f>
        <x:v>984844.7175830356</x:v>
      </x:c>
      <x:c r="G1190" s="78" t="n">
        <x:f>F1190*'Inputs'!$F$47</x:f>
        <x:v>344695.6511540624</x:v>
      </x:c>
      <x:c r="H1190" s="78" t="n">
        <x:f>U1189</x:f>
        <x:v>2476952.8049967317</x:v>
      </x:c>
      <x:c r="I1190" s="78" t="n">
        <x:f>V1189</x:f>
        <x:v>20760.061963308133</x:v>
      </x:c>
      <x:c r="J1190" s="79" t="n">
        <x:f>IF(H1190&gt;0,I1190/H1190,0)</x:f>
        <x:v>0.008381290883471447</x:v>
      </x:c>
      <x:c r="K1190" s="80" t="n">
        <x:f>(H1190*J1190+I1190)*'Inputs'!$D$47*(1+'Inputs'!$G$47)^(B1190/30)</x:f>
        <x:v>68189.48167031932</x:v>
      </x:c>
      <x:c r="L1190" s="80" t="n">
        <x:f>MAX(0,K1190*'Inputs'!$E$47)</x:f>
        <x:v>3409.4740835159664</x:v>
      </x:c>
      <x:c r="M1190" s="80" t="n">
        <x:f>MAX(0,-K1190*'Inputs'!$E$47)</x:f>
        <x:v>0</x:v>
      </x:c>
      <x:c r="N1190" s="78" t="n">
        <x:f>H1190*(L1190*(1-'Inputs'!$B$15))/(I1190+L1190*(1-'Inputs'!$B$15))</x:f>
        <x:v>346405.7368906134</x:v>
      </x:c>
      <x:c r="O1190" s="78" t="n">
        <x:f>H1190-N1190</x:f>
        <x:v>2130547.068106118</x:v>
      </x:c>
      <x:c r="P1190" s="78" t="n">
        <x:f>I1190+L1190*(1-'Inputs'!$B$17)</x:f>
        <x:v>24155.815829184197</x:v>
      </x:c>
      <x:c r="Q1190" s="78" t="n">
        <x:f>IF(J1190&gt;0,M1190/J1190,0)</x:f>
        <x:v>0</x:v>
      </x:c>
      <x:c r="R1190" s="78" t="n">
        <x:f>IF(B1190='Inputs'!$H$47,'Inputs'!$B$27*'Inputs'!$I$47,0)</x:f>
        <x:v>0</x:v>
      </x:c>
      <x:c r="S1190" s="78" t="n">
        <x:f>Q1190+G1190+R1190</x:f>
        <x:v>344695.6511540624</x:v>
      </x:c>
      <x:c r="T1190" s="78" t="n">
        <x:f>P1190*(S1190*(1-'Inputs'!$B$15))/(O1190+S1190*(1-'Inputs'!$B$15))</x:f>
        <x:v>3334.8793391278773</x:v>
      </x:c>
      <x:c r="U1190" s="78" t="n">
        <x:f>O1190+S1190*(1-'Inputs'!$B$17)</x:f>
        <x:v>2473855.6140241483</x:v>
      </x:c>
      <x:c r="V1190" s="78" t="n">
        <x:f>P1190-T1190</x:f>
        <x:v>20820.93649005632</x:v>
      </x:c>
      <x:c r="W1190" s="79" t="n">
        <x:f>IF(U1190&gt;0,V1190/U1190,0)</x:f>
        <x:v>0.00841639114749608</x:v>
      </x:c>
      <x:c r="X1190" s="80" t="n">
        <x:f>W1190*('Inputs'!$B$6-AC1190)</x:f>
        <x:v>8404647.34739106</x:v>
      </x:c>
      <x:c r="Y1190" s="80" t="n">
        <x:f>2*V1190</x:f>
        <x:v>41641.87298011264</x:v>
      </x:c>
      <x:c r="Z1190" s="80" t="n">
        <x:f>K1190*'Inputs'!$B$16+(G1190+R1190)*J1190*'Inputs'!$B$16</x:f>
        <x:v>426.47085713345473</x:v>
      </x:c>
      <x:c r="AA1190" s="80" t="n">
        <x:f>K1190*(1+'Inputs'!$E$47)/2*'Inputs'!$B$17</x:f>
        <x:v>144.0622852189845</x:v>
      </x:c>
      <x:c r="AB1190" s="78" t="n">
        <x:f>(IF(J1190&gt;0,K1190*(1-'Inputs'!$E$47)/2/J1190,0)+G1190+R1190)*'Inputs'!$B$17</x:f>
        <x:v>16938.655634566618</x:v>
      </x:c>
      <x:c r="AC1190" s="78" t="n">
        <x:f>AC1189+AB1190</x:f>
        <x:v>1395348.659444732</x:v>
      </x:c>
      <x:c r="AD1190" s="80" t="n">
        <x:f>Z1190/(1+'Inputs'!$C$47)</x:f>
        <x:v>170.5883428533819</x:v>
      </x:c>
      <x:c r="AE1190" s="80" t="n">
        <x:f>Z1190-AD1190</x:f>
        <x:v>255.88251428007283</x:v>
      </x:c>
      <x:c r="AF1190" s="80" t="n">
        <x:f>D1190*W1190</x:f>
        <x:v>2460.8527192893025</x:v>
      </x:c>
      <x:c r="AG1190" s="80" t="n">
        <x:f>C1190*W1190</x:f>
        <x:v>5741.989678341705</x:v>
      </x:c>
      <x:c r="AH1190" s="80" t="n">
        <x:f>2*'Inputs'!$B$8*'Inputs'!$C$47</x:f>
        <x:v>7500</x:v>
      </x:c>
      <x:c r="AI1190" s="81" t="n">
        <x:f>IF(AH1190&gt;0,(AE1190+AF1190)/AH1190*365,0)</x:f>
        <x:v>132.2144480337096</x:v>
      </x:c>
      <x:c r="AJ1190" s="81" t="n">
        <x:f>IF('Inputs'!$B$47&gt;0,AG1190/('Inputs'!$B$19*'Inputs'!$B$47)*365,0)</x:f>
        <x:v>209.58262325947226</x:v>
      </x:c>
      <x:c r="AK1190" s="81" t="n">
        <x:f>W1190/MAX($W$1099:W1190)-1</x:f>
        <x:v>-0.6201918322570633</x:v>
      </x:c>
      <x:c r="AL1190" s="83" t="n">
        <x:f>'Inputs'!$B$47</x:f>
        <x:v>1</x:v>
      </x:c>
      <x:c r="AM1190" s="83" t="n">
        <x:f>'Inputs'!$C$47</x:f>
        <x:v>1.5</x:v>
      </x:c>
      <x:c r="AN1190" s="83" t="n">
        <x:f>'Inputs'!$D$47</x:f>
        <x:v>1.5</x:v>
      </x:c>
      <x:c r="AO1190" s="81" t="n">
        <x:f>'Inputs'!$E$47</x:f>
        <x:v>0.05</x:v>
      </x:c>
    </x:row>
    <x:row r="1191">
      <x:c r="A1191" s="59" t="str">
        <x:v>Growth</x:v>
      </x:c>
      <x:c r="B1191" s="59" t="n">
        <x:v>93</x:v>
      </x:c>
      <x:c r="C1191" s="78" t="n">
        <x:f>(('Inputs'!$B$29*(3*93*'Inputs'!$B$12-93^2)/(2*'Inputs'!$B$12^2))-('Inputs'!$B$29*(3*92*'Inputs'!$B$12-92^2)/(2*'Inputs'!$B$12^2)))*'Inputs'!$B$47</x:f>
        <x:v>681913.8206042424</x:v>
      </x:c>
      <x:c r="D1191" s="78" t="n">
        <x:f>IF('Inputs'!$C$47&gt;0,('Inputs'!$B$30*(3*93*'Inputs'!$B$12-93^2)/(2*'Inputs'!$B$12^2))-('Inputs'!$B$30*(3*92*'Inputs'!$B$12-92^2)/(2*'Inputs'!$B$12^2)),0)</x:f>
        <x:v>292248.780258961</x:v>
      </x:c>
      <x:c r="E1191" s="78" t="n">
        <x:f>C1191+D1191</x:f>
        <x:v>974162.6008632034</x:v>
      </x:c>
      <x:c r="F1191" s="78" t="n">
        <x:f>'Inputs'!$B$13*E1191+(1-'Inputs'!$B$13)/'Inputs'!$B$14*SUM(E1136:E1191)</x:f>
        <x:v>984380.2777256526</x:v>
      </x:c>
      <x:c r="G1191" s="78" t="n">
        <x:f>F1191*'Inputs'!$F$47</x:f>
        <x:v>344533.0972039784</x:v>
      </x:c>
      <x:c r="H1191" s="78" t="n">
        <x:f>U1190</x:f>
        <x:v>2473855.6140241483</x:v>
      </x:c>
      <x:c r="I1191" s="78" t="n">
        <x:f>V1190</x:f>
        <x:v>20820.93649005632</x:v>
      </x:c>
      <x:c r="J1191" s="79" t="n">
        <x:f>IF(H1191&gt;0,I1191/H1191,0)</x:f>
        <x:v>0.00841639114749608</x:v>
      </x:c>
      <x:c r="K1191" s="80" t="n">
        <x:f>(H1191*J1191+I1191)*'Inputs'!$D$47*(1+'Inputs'!$G$47)^(B1191/30)</x:f>
        <x:v>68456.84988559045</x:v>
      </x:c>
      <x:c r="L1191" s="80" t="n">
        <x:f>MAX(0,K1191*'Inputs'!$E$47)</x:f>
        <x:v>3422.8424942795227</x:v>
      </x:c>
      <x:c r="M1191" s="80" t="n">
        <x:f>MAX(0,-K1191*'Inputs'!$E$47)</x:f>
        <x:v>0</x:v>
      </x:c>
      <x:c r="N1191" s="78" t="n">
        <x:f>H1191*(L1191*(1-'Inputs'!$B$15))/(I1191+L1191*(1-'Inputs'!$B$15))</x:f>
        <x:v>346265.90521059406</x:v>
      </x:c>
      <x:c r="O1191" s="78" t="n">
        <x:f>H1191-N1191</x:f>
        <x:v>2127589.708813554</x:v>
      </x:c>
      <x:c r="P1191" s="78" t="n">
        <x:f>I1191+L1191*(1-'Inputs'!$B$17)</x:f>
        <x:v>24230.004970274356</x:v>
      </x:c>
      <x:c r="Q1191" s="78" t="n">
        <x:f>IF(J1191&gt;0,M1191/J1191,0)</x:f>
        <x:v>0</x:v>
      </x:c>
      <x:c r="R1191" s="78" t="n">
        <x:f>IF(B1191='Inputs'!$H$47,'Inputs'!$B$27*'Inputs'!$I$47,0)</x:f>
        <x:v>0</x:v>
      </x:c>
      <x:c r="S1191" s="78" t="n">
        <x:f>Q1191+G1191+R1191</x:f>
        <x:v>344533.0972039784</x:v>
      </x:c>
      <x:c r="T1191" s="78" t="n">
        <x:f>P1191*(S1191*(1-'Inputs'!$B$15))/(O1191+S1191*(1-'Inputs'!$B$15))</x:f>
        <x:v>3347.767521128839</x:v>
      </x:c>
      <x:c r="U1191" s="78" t="n">
        <x:f>O1191+S1191*(1-'Inputs'!$B$17)</x:f>
        <x:v>2470736.354922144</x:v>
      </x:c>
      <x:c r="V1191" s="78" t="n">
        <x:f>P1191-T1191</x:f>
        <x:v>20882.23744914552</x:v>
      </x:c>
      <x:c r="W1191" s="79" t="n">
        <x:f>IF(U1191&gt;0,V1191/U1191,0)</x:f>
        <x:v>0.00845182749164815</x:v>
      </x:c>
      <x:c r="X1191" s="80" t="n">
        <x:f>W1191*('Inputs'!$B$6-AC1191)</x:f>
        <x:v>8439891.123365171</x:v>
      </x:c>
      <x:c r="Y1191" s="80" t="n">
        <x:f>2*V1191</x:f>
        <x:v>41764.47489829104</x:v>
      </x:c>
      <x:c r="Z1191" s="80" t="n">
        <x:f>K1191*'Inputs'!$B$16+(G1191+R1191)*J1191*'Inputs'!$B$16</x:f>
        <x:v>428.1394511695045</x:v>
      </x:c>
      <x:c r="AA1191" s="80" t="n">
        <x:f>K1191*(1+'Inputs'!$E$47)/2*'Inputs'!$B$17</x:f>
        <x:v>144.62714764561363</x:v>
      </x:c>
      <x:c r="AB1191" s="78" t="n">
        <x:f>(IF(J1191&gt;0,K1191*(1-'Inputs'!$E$47)/2/J1191,0)+G1191+R1191)*'Inputs'!$B$17</x:f>
        <x:v>16933.86699977573</x:v>
      </x:c>
      <x:c r="AC1191" s="78" t="n">
        <x:f>AC1190+AB1191</x:f>
        <x:v>1412282.5264445075</x:v>
      </x:c>
      <x:c r="AD1191" s="80" t="n">
        <x:f>Z1191/(1+'Inputs'!$C$47)</x:f>
        <x:v>171.2557804678018</x:v>
      </x:c>
      <x:c r="AE1191" s="80" t="n">
        <x:f>Z1191-AD1191</x:f>
        <x:v>256.8836707017027</x:v>
      </x:c>
      <x:c r="AF1191" s="80" t="n">
        <x:f>D1191*W1191</x:f>
        <x:v>2470.036275393326</x:v>
      </x:c>
      <x:c r="AG1191" s="80" t="n">
        <x:f>C1191*W1191</x:f>
        <x:v>5763.4179759177605</x:v>
      </x:c>
      <x:c r="AH1191" s="80" t="n">
        <x:f>2*'Inputs'!$B$8*'Inputs'!$C$47</x:f>
        <x:v>7500</x:v>
      </x:c>
      <x:c r="AI1191" s="81" t="n">
        <x:f>IF(AH1191&gt;0,(AE1191+AF1191)/AH1191*365,0)</x:f>
        <x:v>132.71010404329138</x:v>
      </x:c>
      <x:c r="AJ1191" s="81" t="n">
        <x:f>IF('Inputs'!$B$47&gt;0,AG1191/('Inputs'!$B$19*'Inputs'!$B$47)*365,0)</x:f>
        <x:v>210.36475612099827</x:v>
      </x:c>
      <x:c r="AK1191" s="81" t="n">
        <x:f>W1191/MAX($W$1099:W1191)-1</x:f>
        <x:v>-0.6185926892623952</x:v>
      </x:c>
      <x:c r="AL1191" s="83" t="n">
        <x:f>'Inputs'!$B$47</x:f>
        <x:v>1</x:v>
      </x:c>
      <x:c r="AM1191" s="83" t="n">
        <x:f>'Inputs'!$C$47</x:f>
        <x:v>1.5</x:v>
      </x:c>
      <x:c r="AN1191" s="83" t="n">
        <x:f>'Inputs'!$D$47</x:f>
        <x:v>1.5</x:v>
      </x:c>
      <x:c r="AO1191" s="81" t="n">
        <x:f>'Inputs'!$E$47</x:f>
        <x:v>0.05</x:v>
      </x:c>
    </x:row>
    <x:row r="1192">
      <x:c r="A1192" s="59" t="str">
        <x:v>Growth</x:v>
      </x:c>
      <x:c r="B1192" s="59" t="n">
        <x:v>94</x:v>
      </x:c>
      <x:c r="C1192" s="78" t="n">
        <x:f>(('Inputs'!$B$29*(3*94*'Inputs'!$B$12-94^2)/(2*'Inputs'!$B$12^2))-('Inputs'!$B$29*(3*93*'Inputs'!$B$12-93^2)/(2*'Inputs'!$B$12^2)))*'Inputs'!$B$47</x:f>
        <x:v>681588.7127040699</x:v>
      </x:c>
      <x:c r="D1192" s="78" t="n">
        <x:f>IF('Inputs'!$C$47&gt;0,('Inputs'!$B$30*(3*94*'Inputs'!$B$12-94^2)/(2*'Inputs'!$B$12^2))-('Inputs'!$B$30*(3*93*'Inputs'!$B$12-93^2)/(2*'Inputs'!$B$12^2)),0)</x:f>
        <x:v>292109.44830174744</x:v>
      </x:c>
      <x:c r="E1192" s="78" t="n">
        <x:f>C1192+D1192</x:f>
        <x:v>973698.1610058174</x:v>
      </x:c>
      <x:c r="F1192" s="78" t="n">
        <x:f>'Inputs'!$B$13*E1192+(1-'Inputs'!$B$13)/'Inputs'!$B$14*SUM(E1137:E1192)</x:f>
        <x:v>983915.8378682681</x:v>
      </x:c>
      <x:c r="G1192" s="78" t="n">
        <x:f>F1192*'Inputs'!$F$47</x:f>
        <x:v>344370.54325389385</x:v>
      </x:c>
      <x:c r="H1192" s="78" t="n">
        <x:f>U1191</x:f>
        <x:v>2470736.354922144</x:v>
      </x:c>
      <x:c r="I1192" s="78" t="n">
        <x:f>V1191</x:f>
        <x:v>20882.23744914552</x:v>
      </x:c>
      <x:c r="J1192" s="79" t="n">
        <x:f>IF(H1192&gt;0,I1192/H1192,0)</x:f>
        <x:v>0.00845182749164815</x:v>
      </x:c>
      <x:c r="K1192" s="80" t="n">
        <x:f>(H1192*J1192+I1192)*'Inputs'!$D$47*(1+'Inputs'!$G$47)^(B1192/30)</x:f>
        <x:v>68726.0824116902</x:v>
      </x:c>
      <x:c r="L1192" s="80" t="n">
        <x:f>MAX(0,K1192*'Inputs'!$E$47)</x:f>
        <x:v>3436.3041205845097</x:v>
      </x:c>
      <x:c r="M1192" s="80" t="n">
        <x:f>MAX(0,-K1192*'Inputs'!$E$47)</x:f>
        <x:v>0</x:v>
      </x:c>
      <x:c r="N1192" s="78" t="n">
        <x:f>H1192*(L1192*(1-'Inputs'!$B$15))/(I1192+L1192*(1-'Inputs'!$B$15))</x:f>
        <x:v>346122.45550126745</x:v>
      </x:c>
      <x:c r="O1192" s="78" t="n">
        <x:f>H1192-N1192</x:f>
        <x:v>2124613.899420877</x:v>
      </x:c>
      <x:c r="P1192" s="78" t="n">
        <x:f>I1192+L1192*(1-'Inputs'!$B$17)</x:f>
        <x:v>24304.713384134116</x:v>
      </x:c>
      <x:c r="Q1192" s="78" t="n">
        <x:f>IF(J1192&gt;0,M1192/J1192,0)</x:f>
        <x:v>0</x:v>
      </x:c>
      <x:c r="R1192" s="78" t="n">
        <x:f>IF(B1192='Inputs'!$H$47,'Inputs'!$B$27*'Inputs'!$I$47,0)</x:f>
        <x:v>0</x:v>
      </x:c>
      <x:c r="S1192" s="78" t="n">
        <x:f>Q1192+G1192+R1192</x:f>
        <x:v>344370.54325389385</x:v>
      </x:c>
      <x:c r="T1192" s="78" t="n">
        <x:f>P1192*(S1192*(1-'Inputs'!$B$15))/(O1192+S1192*(1-'Inputs'!$B$15))</x:f>
        <x:v>3360.7755706666785</x:v>
      </x:c>
      <x:c r="U1192" s="78" t="n">
        <x:f>O1192+S1192*(1-'Inputs'!$B$17)</x:f>
        <x:v>2467598.645720027</x:v>
      </x:c>
      <x:c r="V1192" s="78" t="n">
        <x:f>P1192-T1192</x:f>
        <x:v>20943.937813467437</x:v>
      </x:c>
      <x:c r="W1192" s="79" t="n">
        <x:f>IF(U1192&gt;0,V1192/U1192,0)</x:f>
        <x:v>0.008487578743728866</x:v>
      </x:c>
      <x:c r="X1192" s="80" t="n">
        <x:f>W1192*('Inputs'!$B$6-AC1192)</x:f>
        <x:v>8475448.199067362</x:v>
      </x:c>
      <x:c r="Y1192" s="80" t="n">
        <x:f>2*V1192</x:f>
        <x:v>41887.875626934874</x:v>
      </x:c>
      <x:c r="Z1192" s="80" t="n">
        <x:f>K1192*'Inputs'!$B$16+(G1192+R1192)*J1192*'Inputs'!$B$16</x:f>
        <x:v>429.81985701886356</x:v>
      </x:c>
      <x:c r="AA1192" s="80" t="n">
        <x:f>K1192*(1+'Inputs'!$E$47)/2*'Inputs'!$B$17</x:f>
        <x:v>145.19594875709197</x:v>
      </x:c>
      <x:c r="AB1192" s="78" t="n">
        <x:f>(IF(J1192&gt;0,K1192*(1-'Inputs'!$E$47)/2/J1192,0)+G1192+R1192)*'Inputs'!$B$17</x:f>
        <x:v>16928.916273139053</x:v>
      </x:c>
      <x:c r="AC1192" s="78" t="n">
        <x:f>AC1191+AB1192</x:f>
        <x:v>1429211.4427176465</x:v>
      </x:c>
      <x:c r="AD1192" s="80" t="n">
        <x:f>Z1192/(1+'Inputs'!$C$47)</x:f>
        <x:v>171.92794280754543</x:v>
      </x:c>
      <x:c r="AE1192" s="80" t="n">
        <x:f>Z1192-AD1192</x:f>
        <x:v>257.8919142113181</x:v>
      </x:c>
      <x:c r="AF1192" s="80" t="n">
        <x:f>D1192*W1192</x:f>
        <x:v>2479.301944248278</x:v>
      </x:c>
      <x:c r="AG1192" s="80" t="n">
        <x:f>C1192*W1192</x:f>
        <x:v>5785.037869912585</x:v>
      </x:c>
      <x:c r="AH1192" s="80" t="n">
        <x:f>2*'Inputs'!$B$8*'Inputs'!$C$47</x:f>
        <x:v>7500</x:v>
      </x:c>
      <x:c r="AI1192" s="81" t="n">
        <x:f>IF(AH1192&gt;0,(AE1192+AF1192)/AH1192*365,0)</x:f>
        <x:v>133.21010111170034</x:v>
      </x:c>
      <x:c r="AJ1192" s="81" t="n">
        <x:f>IF('Inputs'!$B$47&gt;0,AG1192/('Inputs'!$B$19*'Inputs'!$B$47)*365,0)</x:f>
        <x:v>211.15388225180934</x:v>
      </x:c>
      <x:c r="AK1192" s="81" t="n">
        <x:f>W1192/MAX($W$1099:W1192)-1</x:f>
        <x:v>-0.6169793353546063</x:v>
      </x:c>
      <x:c r="AL1192" s="83" t="n">
        <x:f>'Inputs'!$B$47</x:f>
        <x:v>1</x:v>
      </x:c>
      <x:c r="AM1192" s="83" t="n">
        <x:f>'Inputs'!$C$47</x:f>
        <x:v>1.5</x:v>
      </x:c>
      <x:c r="AN1192" s="83" t="n">
        <x:f>'Inputs'!$D$47</x:f>
        <x:v>1.5</x:v>
      </x:c>
      <x:c r="AO1192" s="81" t="n">
        <x:f>'Inputs'!$E$47</x:f>
        <x:v>0.05</x:v>
      </x:c>
    </x:row>
    <x:row r="1193">
      <x:c r="A1193" s="59" t="str">
        <x:v>Growth</x:v>
      </x:c>
      <x:c r="B1193" s="59" t="n">
        <x:v>95</x:v>
      </x:c>
      <x:c r="C1193" s="78" t="n">
        <x:f>(('Inputs'!$B$29*(3*95*'Inputs'!$B$12-95^2)/(2*'Inputs'!$B$12^2))-('Inputs'!$B$29*(3*94*'Inputs'!$B$12-94^2)/(2*'Inputs'!$B$12^2)))*'Inputs'!$B$47</x:f>
        <x:v>681263.6048039049</x:v>
      </x:c>
      <x:c r="D1193" s="78" t="n">
        <x:f>IF('Inputs'!$C$47&gt;0,('Inputs'!$B$30*(3*95*'Inputs'!$B$12-95^2)/(2*'Inputs'!$B$12^2))-('Inputs'!$B$30*(3*94*'Inputs'!$B$12-94^2)/(2*'Inputs'!$B$12^2)),0)</x:f>
        <x:v>291970.11634453014</x:v>
      </x:c>
      <x:c r="E1193" s="78" t="n">
        <x:f>C1193+D1193</x:f>
        <x:v>973233.721148435</x:v>
      </x:c>
      <x:c r="F1193" s="78" t="n">
        <x:f>'Inputs'!$B$13*E1193+(1-'Inputs'!$B$13)/'Inputs'!$B$14*SUM(E1138:E1193)</x:f>
        <x:v>983451.3980108844</x:v>
      </x:c>
      <x:c r="G1193" s="78" t="n">
        <x:f>F1193*'Inputs'!$F$47</x:f>
        <x:v>344207.98930380953</x:v>
      </x:c>
      <x:c r="H1193" s="78" t="n">
        <x:f>U1192</x:f>
        <x:v>2467598.645720027</x:v>
      </x:c>
      <x:c r="I1193" s="78" t="n">
        <x:f>V1192</x:f>
        <x:v>20943.937813467437</x:v>
      </x:c>
      <x:c r="J1193" s="79" t="n">
        <x:f>IF(H1193&gt;0,I1193/H1193,0)</x:f>
        <x:v>0.008487578743728866</x:v>
      </x:c>
      <x:c r="K1193" s="80" t="n">
        <x:f>(H1193*J1193+I1193)*'Inputs'!$D$47*(1+'Inputs'!$G$47)^(B1193/30)</x:f>
        <x:v>68997.09501056837</x:v>
      </x:c>
      <x:c r="L1193" s="80" t="n">
        <x:f>MAX(0,K1193*'Inputs'!$E$47)</x:f>
        <x:v>3449.8547505284187</x:v>
      </x:c>
      <x:c r="M1193" s="80" t="n">
        <x:f>MAX(0,-K1193*'Inputs'!$E$47)</x:f>
        <x:v>0</x:v>
      </x:c>
      <x:c r="N1193" s="78" t="n">
        <x:f>H1193*(L1193*(1-'Inputs'!$B$15))/(I1193+L1193*(1-'Inputs'!$B$15))</x:f>
        <x:v>345975.88647380506</x:v>
      </x:c>
      <x:c r="O1193" s="78" t="n">
        <x:f>H1193-N1193</x:f>
        <x:v>2121622.7592462217</x:v>
      </x:c>
      <x:c r="P1193" s="78" t="n">
        <x:f>I1193+L1193*(1-'Inputs'!$B$17)</x:f>
        <x:v>24379.90984870198</x:v>
      </x:c>
      <x:c r="Q1193" s="78" t="n">
        <x:f>IF(J1193&gt;0,M1193/J1193,0)</x:f>
        <x:v>0</x:v>
      </x:c>
      <x:c r="R1193" s="78" t="n">
        <x:f>IF(B1193='Inputs'!$H$47,'Inputs'!$B$27*'Inputs'!$I$47,0)</x:f>
        <x:v>0</x:v>
      </x:c>
      <x:c r="S1193" s="78" t="n">
        <x:f>Q1193+G1193+R1193</x:f>
        <x:v>344207.98930380953</x:v>
      </x:c>
      <x:c r="T1193" s="78" t="n">
        <x:f>P1193*(S1193*(1-'Inputs'!$B$15))/(O1193+S1193*(1-'Inputs'!$B$15))</x:f>
        <x:v>3373.8955416314184</x:v>
      </x:c>
      <x:c r="U1193" s="78" t="n">
        <x:f>O1193+S1193*(1-'Inputs'!$B$17)</x:f>
        <x:v>2464445.6057359315</x:v>
      </x:c>
      <x:c r="V1193" s="78" t="n">
        <x:f>P1193-T1193</x:f>
        <x:v>21006.01430707056</x:v>
      </x:c>
      <x:c r="W1193" s="79" t="n">
        <x:f>IF(U1193&gt;0,V1193/U1193,0)</x:f>
        <x:v>0.008523626676190223</x:v>
      </x:c>
      <x:c r="X1193" s="80" t="n">
        <x:f>W1193*('Inputs'!$B$6-AC1193)</x:f>
        <x:v>8511300.359038232</x:v>
      </x:c>
      <x:c r="Y1193" s="80" t="n">
        <x:f>2*V1193</x:f>
        <x:v>42012.02861414112</x:v>
      </x:c>
      <x:c r="Z1193" s="80" t="n">
        <x:f>K1193*'Inputs'!$B$16+(G1193+R1193)*J1193*'Inputs'!$B$16</x:f>
        <x:v>431.5115245440303</x:v>
      </x:c>
      <x:c r="AA1193" s="80" t="n">
        <x:f>K1193*(1+'Inputs'!$E$47)/2*'Inputs'!$B$17</x:f>
        <x:v>145.76851058570784</x:v>
      </x:c>
      <x:c r="AB1193" s="78" t="n">
        <x:f>(IF(J1193&gt;0,K1193*(1-'Inputs'!$E$47)/2/J1193,0)+G1193+R1193)*'Inputs'!$B$17</x:f>
        <x:v>16923.825785291836</x:v>
      </x:c>
      <x:c r="AC1193" s="78" t="n">
        <x:f>AC1192+AB1193</x:f>
        <x:v>1446135.2685029383</x:v>
      </x:c>
      <x:c r="AD1193" s="80" t="n">
        <x:f>Z1193/(1+'Inputs'!$C$47)</x:f>
        <x:v>172.60460981761213</x:v>
      </x:c>
      <x:c r="AE1193" s="80" t="n">
        <x:f>Z1193-AD1193</x:f>
        <x:v>258.90691472641817</x:v>
      </x:c>
      <x:c r="AF1193" s="80" t="n">
        <x:f>D1193*W1193</x:f>
        <x:v>2488.6442723246</x:v>
      </x:c>
      <x:c r="AG1193" s="80" t="n">
        <x:f>C1193*W1193</x:f>
        <x:v>5806.836635424078</x:v>
      </x:c>
      <x:c r="AH1193" s="80" t="n">
        <x:f>2*'Inputs'!$B$8*'Inputs'!$C$47</x:f>
        <x:v>7500</x:v>
      </x:c>
      <x:c r="AI1193" s="81" t="n">
        <x:f>IF(AH1193&gt;0,(AE1193+AF1193)/AH1193*365,0)</x:f>
        <x:v>133.7141577698162</x:v>
      </x:c>
      <x:c r="AJ1193" s="81" t="n">
        <x:f>IF('Inputs'!$B$47&gt;0,AG1193/('Inputs'!$B$19*'Inputs'!$B$47)*365,0)</x:f>
        <x:v>211.94953719297882</x:v>
      </x:c>
      <x:c r="AK1193" s="81" t="n">
        <x:f>W1193/MAX($W$1099:W1193)-1</x:f>
        <x:v>-0.6153525930919035</x:v>
      </x:c>
      <x:c r="AL1193" s="83" t="n">
        <x:f>'Inputs'!$B$47</x:f>
        <x:v>1</x:v>
      </x:c>
      <x:c r="AM1193" s="83" t="n">
        <x:f>'Inputs'!$C$47</x:f>
        <x:v>1.5</x:v>
      </x:c>
      <x:c r="AN1193" s="83" t="n">
        <x:f>'Inputs'!$D$47</x:f>
        <x:v>1.5</x:v>
      </x:c>
      <x:c r="AO1193" s="81" t="n">
        <x:f>'Inputs'!$E$47</x:f>
        <x:v>0.05</x:v>
      </x:c>
    </x:row>
    <x:row r="1194">
      <x:c r="A1194" s="59" t="str">
        <x:v>Growth</x:v>
      </x:c>
      <x:c r="B1194" s="59" t="n">
        <x:v>96</x:v>
      </x:c>
      <x:c r="C1194" s="78" t="n">
        <x:f>(('Inputs'!$B$29*(3*96*'Inputs'!$B$12-96^2)/(2*'Inputs'!$B$12^2))-('Inputs'!$B$29*(3*95*'Inputs'!$B$12-95^2)/(2*'Inputs'!$B$12^2)))*'Inputs'!$B$47</x:f>
        <x:v>680938.4969037324</x:v>
      </x:c>
      <x:c r="D1194" s="78" t="n">
        <x:f>IF('Inputs'!$C$47&gt;0,('Inputs'!$B$30*(3*96*'Inputs'!$B$12-96^2)/(2*'Inputs'!$B$12^2))-('Inputs'!$B$30*(3*95*'Inputs'!$B$12-95^2)/(2*'Inputs'!$B$12^2)),0)</x:f>
        <x:v>291830.78438731283</x:v>
      </x:c>
      <x:c r="E1194" s="78" t="n">
        <x:f>C1194+D1194</x:f>
        <x:v>972769.2812910452</x:v>
      </x:c>
      <x:c r="F1194" s="78" t="n">
        <x:f>'Inputs'!$B$13*E1194+(1-'Inputs'!$B$13)/'Inputs'!$B$14*SUM(E1139:E1194)</x:f>
        <x:v>982986.9581534993</x:v>
      </x:c>
      <x:c r="G1194" s="78" t="n">
        <x:f>F1194*'Inputs'!$F$47</x:f>
        <x:v>344045.43535372475</x:v>
      </x:c>
      <x:c r="H1194" s="78" t="n">
        <x:f>U1193</x:f>
        <x:v>2464445.6057359315</x:v>
      </x:c>
      <x:c r="I1194" s="78" t="n">
        <x:f>V1193</x:f>
        <x:v>21006.01430707056</x:v>
      </x:c>
      <x:c r="J1194" s="79" t="n">
        <x:f>IF(H1194&gt;0,I1194/H1194,0)</x:f>
        <x:v>0.008523626676190223</x:v>
      </x:c>
      <x:c r="K1194" s="80" t="n">
        <x:f>(H1194*J1194+I1194)*'Inputs'!$D$47*(1+'Inputs'!$G$47)^(B1194/30)</x:f>
        <x:v>69269.81547198739</x:v>
      </x:c>
      <x:c r="L1194" s="80" t="n">
        <x:f>MAX(0,K1194*'Inputs'!$E$47)</x:f>
        <x:v>3463.4907735993693</x:v>
      </x:c>
      <x:c r="M1194" s="80" t="n">
        <x:f>MAX(0,-K1194*'Inputs'!$E$47)</x:f>
        <x:v>0</x:v>
      </x:c>
      <x:c r="N1194" s="78" t="n">
        <x:f>H1194*(L1194*(1-'Inputs'!$B$15))/(I1194+L1194*(1-'Inputs'!$B$15))</x:f>
        <x:v>345826.6285649855</x:v>
      </x:c>
      <x:c r="O1194" s="78" t="n">
        <x:f>H1194-N1194</x:f>
        <x:v>2118618.977170946</x:v>
      </x:c>
      <x:c r="P1194" s="78" t="n">
        <x:f>I1194+L1194*(1-'Inputs'!$B$17)</x:f>
        <x:v>24455.567492043774</x:v>
      </x:c>
      <x:c r="Q1194" s="78" t="n">
        <x:f>IF(J1194&gt;0,M1194/J1194,0)</x:f>
        <x:v>0</x:v>
      </x:c>
      <x:c r="R1194" s="78" t="n">
        <x:f>IF(B1194='Inputs'!$H$47,'Inputs'!$B$27*'Inputs'!$I$47,0)</x:f>
        <x:v>0</x:v>
      </x:c>
      <x:c r="S1194" s="78" t="n">
        <x:f>Q1194+G1194+R1194</x:f>
        <x:v>344045.43535372475</x:v>
      </x:c>
      <x:c r="T1194" s="78" t="n">
        <x:f>P1194*(S1194*(1-'Inputs'!$B$15))/(O1194+S1194*(1-'Inputs'!$B$15))</x:f>
        <x:v>3387.1205887124506</x:v>
      </x:c>
      <x:c r="U1194" s="78" t="n">
        <x:f>O1194+S1194*(1-'Inputs'!$B$17)</x:f>
        <x:v>2461279.9238512153</x:v>
      </x:c>
      <x:c r="V1194" s="78" t="n">
        <x:f>P1194-T1194</x:f>
        <x:v>21068.44690333132</x:v>
      </x:c>
      <x:c r="W1194" s="79" t="n">
        <x:f>IF(U1194&gt;0,V1194/U1194,0)</x:f>
        <x:v>0.00855995561462391</x:v>
      </x:c>
      <x:c r="X1194" s="80" t="n">
        <x:f>W1194*('Inputs'!$B$6-AC1194)</x:f>
        <x:v>8547431.93832093</x:v>
      </x:c>
      <x:c r="Y1194" s="80" t="n">
        <x:f>2*V1194</x:f>
        <x:v>42136.89380666264</x:v>
      </x:c>
      <x:c r="Z1194" s="80" t="n">
        <x:f>K1194*'Inputs'!$B$16+(G1194+R1194)*J1194*'Inputs'!$B$16</x:f>
        <x:v>433.2139819355392</x:v>
      </x:c>
      <x:c r="AA1194" s="80" t="n">
        <x:f>K1194*(1+'Inputs'!$E$47)/2*'Inputs'!$B$17</x:f>
        <x:v>146.34468057462126</x:v>
      </x:c>
      <x:c r="AB1194" s="78" t="n">
        <x:f>(IF(J1194&gt;0,K1194*(1-'Inputs'!$E$47)/2/J1194,0)+G1194+R1194)*'Inputs'!$B$17</x:f>
        <x:v>16918.614812312808</x:v>
      </x:c>
      <x:c r="AC1194" s="78" t="n">
        <x:f>AC1193+AB1194</x:f>
        <x:v>1463053.8833152512</x:v>
      </x:c>
      <x:c r="AD1194" s="80" t="n">
        <x:f>Z1194/(1+'Inputs'!$C$47)</x:f>
        <x:v>173.28559277421567</x:v>
      </x:c>
      <x:c r="AE1194" s="80" t="n">
        <x:f>Z1194-AD1194</x:f>
        <x:v>259.92838916132354</x:v>
      </x:c>
      <x:c r="AF1194" s="80" t="n">
        <x:f>D1194*W1194</x:f>
        <x:v>2498.058561336278</x:v>
      </x:c>
      <x:c r="AG1194" s="80" t="n">
        <x:f>C1194*W1194</x:f>
        <x:v>5828.80330978467</x:v>
      </x:c>
      <x:c r="AH1194" s="80" t="n">
        <x:f>2*'Inputs'!$B$8*'Inputs'!$C$47</x:f>
        <x:v>7500</x:v>
      </x:c>
      <x:c r="AI1194" s="81" t="n">
        <x:f>IF(AH1194&gt;0,(AE1194+AF1194)/AH1194*365,0)</x:f>
        <x:v>134.2220315908833</x:v>
      </x:c>
      <x:c r="AJ1194" s="81" t="n">
        <x:f>IF('Inputs'!$B$47&gt;0,AG1194/('Inputs'!$B$19*'Inputs'!$B$47)*365,0)</x:f>
        <x:v>212.75132080714047</x:v>
      </x:c>
      <x:c r="AK1194" s="81" t="n">
        <x:f>W1194/MAX($W$1099:W1194)-1</x:f>
        <x:v>-0.6137131698164477</x:v>
      </x:c>
      <x:c r="AL1194" s="83" t="n">
        <x:f>'Inputs'!$B$47</x:f>
        <x:v>1</x:v>
      </x:c>
      <x:c r="AM1194" s="83" t="n">
        <x:f>'Inputs'!$C$47</x:f>
        <x:v>1.5</x:v>
      </x:c>
      <x:c r="AN1194" s="83" t="n">
        <x:f>'Inputs'!$D$47</x:f>
        <x:v>1.5</x:v>
      </x:c>
      <x:c r="AO1194" s="81" t="n">
        <x:f>'Inputs'!$E$47</x:f>
        <x:v>0.05</x:v>
      </x:c>
    </x:row>
    <x:row r="1195">
      <x:c r="A1195" s="59" t="str">
        <x:v>Growth</x:v>
      </x:c>
      <x:c r="B1195" s="59" t="n">
        <x:v>97</x:v>
      </x:c>
      <x:c r="C1195" s="78" t="n">
        <x:f>(('Inputs'!$B$29*(3*97*'Inputs'!$B$12-97^2)/(2*'Inputs'!$B$12^2))-('Inputs'!$B$29*(3*96*'Inputs'!$B$12-96^2)/(2*'Inputs'!$B$12^2)))*'Inputs'!$B$47</x:f>
        <x:v>680613.38900356</x:v>
      </x:c>
      <x:c r="D1195" s="78" t="n">
        <x:f>IF('Inputs'!$C$47&gt;0,('Inputs'!$B$30*(3*97*'Inputs'!$B$12-97^2)/(2*'Inputs'!$B$12^2))-('Inputs'!$B$30*(3*96*'Inputs'!$B$12-96^2)/(2*'Inputs'!$B$12^2)),0)</x:f>
        <x:v>291691.45243009925</x:v>
      </x:c>
      <x:c r="E1195" s="78" t="n">
        <x:f>C1195+D1195</x:f>
        <x:v>972304.8414336592</x:v>
      </x:c>
      <x:c r="F1195" s="78" t="n">
        <x:f>'Inputs'!$B$13*E1195+(1-'Inputs'!$B$13)/'Inputs'!$B$14*SUM(E1140:E1195)</x:f>
        <x:v>982522.5182961144</x:v>
      </x:c>
      <x:c r="G1195" s="78" t="n">
        <x:f>F1195*'Inputs'!$F$47</x:f>
        <x:v>343882.88140364</x:v>
      </x:c>
      <x:c r="H1195" s="78" t="n">
        <x:f>U1194</x:f>
        <x:v>2461279.9238512153</x:v>
      </x:c>
      <x:c r="I1195" s="78" t="n">
        <x:f>V1194</x:f>
        <x:v>21068.44690333132</x:v>
      </x:c>
      <x:c r="J1195" s="79" t="n">
        <x:f>IF(H1195&gt;0,I1195/H1195,0)</x:f>
        <x:v>0.00855995561462391</x:v>
      </x:c>
      <x:c r="K1195" s="80" t="n">
        <x:f>(H1195*J1195+I1195)*'Inputs'!$D$47*(1+'Inputs'!$G$47)^(B1195/30)</x:f>
        <x:v>69544.1820171702</x:v>
      </x:c>
      <x:c r="L1195" s="80" t="n">
        <x:f>MAX(0,K1195*'Inputs'!$E$47)</x:f>
        <x:v>3477.2091008585103</x:v>
      </x:c>
      <x:c r="M1195" s="80" t="n">
        <x:f>MAX(0,-K1195*'Inputs'!$E$47)</x:f>
        <x:v>0</x:v>
      </x:c>
      <x:c r="N1195" s="78" t="n">
        <x:f>H1195*(L1195*(1-'Inputs'!$B$15))/(I1195+L1195*(1-'Inputs'!$B$15))</x:f>
        <x:v>345675.05323256017</x:v>
      </x:c>
      <x:c r="O1195" s="78" t="n">
        <x:f>H1195-N1195</x:f>
        <x:v>2115604.8706186553</x:v>
      </x:c>
      <x:c r="P1195" s="78" t="n">
        <x:f>I1195+L1195*(1-'Inputs'!$B$17)</x:f>
        <x:v>24531.663211027422</x:v>
      </x:c>
      <x:c r="Q1195" s="78" t="n">
        <x:f>IF(J1195&gt;0,M1195/J1195,0)</x:f>
        <x:v>0</x:v>
      </x:c>
      <x:c r="R1195" s="78" t="n">
        <x:f>IF(B1195='Inputs'!$H$47,'Inputs'!$B$27*'Inputs'!$I$47,0)</x:f>
        <x:v>0</x:v>
      </x:c>
      <x:c r="S1195" s="78" t="n">
        <x:f>Q1195+G1195+R1195</x:f>
        <x:v>343882.88140364</x:v>
      </x:c>
      <x:c r="T1195" s="78" t="n">
        <x:f>P1195*(S1195*(1-'Inputs'!$B$15))/(O1195+S1195*(1-'Inputs'!$B$15))</x:f>
        <x:v>3400.4448207065666</x:v>
      </x:c>
      <x:c r="U1195" s="78" t="n">
        <x:f>O1195+S1195*(1-'Inputs'!$B$17)</x:f>
        <x:v>2458103.917489484</x:v>
      </x:c>
      <x:c r="V1195" s="78" t="n">
        <x:f>P1195-T1195</x:f>
        <x:v>21131.218390320857</x:v>
      </x:c>
      <x:c r="W1195" s="79" t="n">
        <x:f>IF(U1195&gt;0,V1195/U1195,0)</x:f>
        <x:v>0.008596552098538877</x:v>
      </x:c>
      <x:c r="X1195" s="80" t="n">
        <x:f>W1195*('Inputs'!$B$6-AC1195)</x:f>
        <x:v>8583829.483543456</x:v>
      </x:c>
      <x:c r="Y1195" s="80" t="n">
        <x:f>2*V1195</x:f>
        <x:v>42262.436780641714</x:v>
      </x:c>
      <x:c r="Z1195" s="80" t="n">
        <x:f>K1195*'Inputs'!$B$16+(G1195+R1195)*J1195*'Inputs'!$B$16</x:f>
        <x:v>434.926825311686</x:v>
      </x:c>
      <x:c r="AA1195" s="80" t="n">
        <x:f>K1195*(1+'Inputs'!$E$47)/2*'Inputs'!$B$17</x:f>
        <x:v>146.92432820528916</x:v>
      </x:c>
      <x:c r="AB1195" s="78" t="n">
        <x:f>(IF(J1195&gt;0,K1195*(1-'Inputs'!$E$47)/2/J1195,0)+G1195+R1195)*'Inputs'!$B$17</x:f>
        <x:v>16913.299991227963</x:v>
      </x:c>
      <x:c r="AC1195" s="78" t="n">
        <x:f>AC1194+AB1195</x:f>
        <x:v>1479967.1833064791</x:v>
      </x:c>
      <x:c r="AD1195" s="80" t="n">
        <x:f>Z1195/(1+'Inputs'!$C$47)</x:f>
        <x:v>173.9707301246744</x:v>
      </x:c>
      <x:c r="AE1195" s="80" t="n">
        <x:f>Z1195-AD1195</x:f>
        <x:v>260.9560951870116</x:v>
      </x:c>
      <x:c r="AF1195" s="80" t="n">
        <x:f>D1195*W1195</x:f>
        <x:v>2507.5407675138226</x:v>
      </x:c>
      <x:c r="AG1195" s="80" t="n">
        <x:f>C1195*W1195</x:f>
        <x:v>5850.92845753221</x:v>
      </x:c>
      <x:c r="AH1195" s="80" t="n">
        <x:f>2*'Inputs'!$B$8*'Inputs'!$C$47</x:f>
        <x:v>7500</x:v>
      </x:c>
      <x:c r="AI1195" s="81" t="n">
        <x:f>IF(AH1195&gt;0,(AE1195+AF1195)/AH1195*365,0)</x:f>
        <x:v>134.73351398477394</x:v>
      </x:c>
      <x:c r="AJ1195" s="81" t="n">
        <x:f>IF('Inputs'!$B$47&gt;0,AG1195/('Inputs'!$B$19*'Inputs'!$B$47)*365,0)</x:f>
        <x:v>213.55888869992566</x:v>
      </x:c>
      <x:c r="AK1195" s="81" t="n">
        <x:f>W1195/MAX($W$1099:W1195)-1</x:f>
        <x:v>-0.6120616729625126</x:v>
      </x:c>
      <x:c r="AL1195" s="83" t="n">
        <x:f>'Inputs'!$B$47</x:f>
        <x:v>1</x:v>
      </x:c>
      <x:c r="AM1195" s="83" t="n">
        <x:f>'Inputs'!$C$47</x:f>
        <x:v>1.5</x:v>
      </x:c>
      <x:c r="AN1195" s="83" t="n">
        <x:f>'Inputs'!$D$47</x:f>
        <x:v>1.5</x:v>
      </x:c>
      <x:c r="AO1195" s="81" t="n">
        <x:f>'Inputs'!$E$47</x:f>
        <x:v>0.05</x:v>
      </x:c>
    </x:row>
    <x:row r="1196">
      <x:c r="A1196" s="59" t="str">
        <x:v>Growth</x:v>
      </x:c>
      <x:c r="B1196" s="59" t="n">
        <x:v>98</x:v>
      </x:c>
      <x:c r="C1196" s="78" t="n">
        <x:f>(('Inputs'!$B$29*(3*98*'Inputs'!$B$12-98^2)/(2*'Inputs'!$B$12^2))-('Inputs'!$B$29*(3*97*'Inputs'!$B$12-97^2)/(2*'Inputs'!$B$12^2)))*'Inputs'!$B$47</x:f>
        <x:v>680288.2811034024</x:v>
      </x:c>
      <x:c r="D1196" s="78" t="n">
        <x:f>IF('Inputs'!$C$47&gt;0,('Inputs'!$B$30*(3*98*'Inputs'!$B$12-98^2)/(2*'Inputs'!$B$12^2))-('Inputs'!$B$30*(3*97*'Inputs'!$B$12-97^2)/(2*'Inputs'!$B$12^2)),0)</x:f>
        <x:v>291552.12047288567</x:v>
      </x:c>
      <x:c r="E1196" s="78" t="n">
        <x:f>C1196+D1196</x:f>
        <x:v>971840.401576288</x:v>
      </x:c>
      <x:c r="F1196" s="78" t="n">
        <x:f>'Inputs'!$B$13*E1196+(1-'Inputs'!$B$13)/'Inputs'!$B$14*SUM(E1141:E1196)</x:f>
        <x:v>982058.078438733</x:v>
      </x:c>
      <x:c r="G1196" s="78" t="n">
        <x:f>F1196*'Inputs'!$F$47</x:f>
        <x:v>343720.3274535565</x:v>
      </x:c>
      <x:c r="H1196" s="78" t="n">
        <x:f>U1195</x:f>
        <x:v>2458103.917489484</x:v>
      </x:c>
      <x:c r="I1196" s="78" t="n">
        <x:f>V1195</x:f>
        <x:v>21131.218390320857</x:v>
      </x:c>
      <x:c r="J1196" s="79" t="n">
        <x:f>IF(H1196&gt;0,I1196/H1196,0)</x:f>
        <x:v>0.008596552098538877</x:v>
      </x:c>
      <x:c r="K1196" s="80" t="n">
        <x:f>(H1196*J1196+I1196)*'Inputs'!$D$47*(1+'Inputs'!$G$47)^(B1196/30)</x:f>
        <x:v>69820.1419148518</x:v>
      </x:c>
      <x:c r="L1196" s="80" t="n">
        <x:f>MAX(0,K1196*'Inputs'!$E$47)</x:f>
        <x:v>3491.0070957425905</x:v>
      </x:c>
      <x:c r="M1196" s="80" t="n">
        <x:f>MAX(0,-K1196*'Inputs'!$E$47)</x:f>
        <x:v>0</x:v>
      </x:c>
      <x:c r="N1196" s="78" t="n">
        <x:f>H1196*(L1196*(1-'Inputs'!$B$15))/(I1196+L1196*(1-'Inputs'!$B$15))</x:f>
        <x:v>345521.4809921342</x:v>
      </x:c>
      <x:c r="O1196" s="78" t="n">
        <x:f>H1196-N1196</x:f>
        <x:v>2112582.4364973498</x:v>
      </x:c>
      <x:c r="P1196" s="78" t="n">
        <x:f>I1196+L1196*(1-'Inputs'!$B$17)</x:f>
        <x:v>24608.177167770722</x:v>
      </x:c>
      <x:c r="Q1196" s="78" t="n">
        <x:f>IF(J1196&gt;0,M1196/J1196,0)</x:f>
        <x:v>0</x:v>
      </x:c>
      <x:c r="R1196" s="78" t="n">
        <x:f>IF(B1196='Inputs'!$H$47,'Inputs'!$B$27*'Inputs'!$I$47,0)</x:f>
        <x:v>0</x:v>
      </x:c>
      <x:c r="S1196" s="78" t="n">
        <x:f>Q1196+G1196+R1196</x:f>
        <x:v>343720.3274535565</x:v>
      </x:c>
      <x:c r="T1196" s="78" t="n">
        <x:f>P1196*(S1196*(1-'Inputs'!$B$15))/(O1196+S1196*(1-'Inputs'!$B$15))</x:f>
        <x:v>3413.863173443079</x:v>
      </x:c>
      <x:c r="U1196" s="78" t="n">
        <x:f>O1196+S1196*(1-'Inputs'!$B$17)</x:f>
        <x:v>2454919.583558739</x:v>
      </x:c>
      <x:c r="V1196" s="78" t="n">
        <x:f>P1196-T1196</x:f>
        <x:v>21194.313994327644</x:v>
      </x:c>
      <x:c r="W1196" s="79" t="n">
        <x:f>IF(U1196&gt;0,V1196/U1196,0)</x:f>
        <x:v>0.008633404587372922</x:v>
      </x:c>
      <x:c r="X1196" s="80" t="n">
        <x:f>W1196*('Inputs'!$B$6-AC1196)</x:f>
        <x:v>8620481.459199281</x:v>
      </x:c>
      <x:c r="Y1196" s="80" t="n">
        <x:f>2*V1196</x:f>
        <x:v>42388.62798865529</x:v>
      </x:c>
      <x:c r="Z1196" s="80" t="n">
        <x:f>K1196*'Inputs'!$B$16+(G1196+R1196)*J1196*'Inputs'!$B$16</x:f>
        <x:v>436.6497097027989</x:v>
      </x:c>
      <x:c r="AA1196" s="80" t="n">
        <x:f>K1196*(1+'Inputs'!$E$47)/2*'Inputs'!$B$17</x:f>
        <x:v>147.50734207363058</x:v>
      </x:c>
      <x:c r="AB1196" s="78" t="n">
        <x:f>(IF(J1196&gt;0,K1196*(1-'Inputs'!$E$47)/2/J1196,0)+G1196+R1196)*'Inputs'!$B$17</x:f>
        <x:v>16907.89567930978</x:v>
      </x:c>
      <x:c r="AC1196" s="78" t="n">
        <x:f>AC1195+AB1196</x:f>
        <x:v>1496875.0789857889</x:v>
      </x:c>
      <x:c r="AD1196" s="80" t="n">
        <x:f>Z1196/(1+'Inputs'!$C$47)</x:f>
        <x:v>174.65988388111955</x:v>
      </x:c>
      <x:c r="AE1196" s="80" t="n">
        <x:f>Z1196-AD1196</x:f>
        <x:v>261.98982582167935</x:v>
      </x:c>
      <x:c r="AF1196" s="80" t="n">
        <x:f>D1196*W1196</x:f>
        <x:v>2517.087414348914</x:v>
      </x:c>
      <x:c r="AG1196" s="80" t="n">
        <x:f>C1196*W1196</x:f>
        <x:v>5873.203966814154</x:v>
      </x:c>
      <x:c r="AH1196" s="80" t="n">
        <x:f>2*'Inputs'!$B$8*'Inputs'!$C$47</x:f>
        <x:v>7500</x:v>
      </x:c>
      <x:c r="AI1196" s="81" t="n">
        <x:f>IF(AH1196&gt;0,(AE1196+AF1196)/AH1196*365,0)</x:f>
        <x:v>135.24842568830223</x:v>
      </x:c>
      <x:c r="AJ1196" s="81" t="n">
        <x:f>IF('Inputs'!$B$47&gt;0,AG1196/('Inputs'!$B$19*'Inputs'!$B$47)*365,0)</x:f>
        <x:v>214.37194478871663</x:v>
      </x:c>
      <x:c r="AK1196" s="81" t="n">
        <x:f>W1196/MAX($W$1099:W1196)-1</x:f>
        <x:v>-0.6103986233233583</x:v>
      </x:c>
      <x:c r="AL1196" s="83" t="n">
        <x:f>'Inputs'!$B$47</x:f>
        <x:v>1</x:v>
      </x:c>
      <x:c r="AM1196" s="83" t="n">
        <x:f>'Inputs'!$C$47</x:f>
        <x:v>1.5</x:v>
      </x:c>
      <x:c r="AN1196" s="83" t="n">
        <x:f>'Inputs'!$D$47</x:f>
        <x:v>1.5</x:v>
      </x:c>
      <x:c r="AO1196" s="81" t="n">
        <x:f>'Inputs'!$E$47</x:f>
        <x:v>0.05</x:v>
      </x:c>
    </x:row>
    <x:row r="1197">
      <x:c r="A1197" s="59" t="str">
        <x:v>Growth</x:v>
      </x:c>
      <x:c r="B1197" s="59" t="n">
        <x:v>99</x:v>
      </x:c>
      <x:c r="C1197" s="78" t="n">
        <x:f>(('Inputs'!$B$29*(3*99*'Inputs'!$B$12-99^2)/(2*'Inputs'!$B$12^2))-('Inputs'!$B$29*(3*98*'Inputs'!$B$12-98^2)/(2*'Inputs'!$B$12^2)))*'Inputs'!$B$47</x:f>
        <x:v>679963.1732032299</x:v>
      </x:c>
      <x:c r="D1197" s="78" t="n">
        <x:f>IF('Inputs'!$C$47&gt;0,('Inputs'!$B$30*(3*99*'Inputs'!$B$12-99^2)/(2*'Inputs'!$B$12^2))-('Inputs'!$B$30*(3*98*'Inputs'!$B$12-98^2)/(2*'Inputs'!$B$12^2)),0)</x:f>
        <x:v>291412.78851566836</x:v>
      </x:c>
      <x:c r="E1197" s="78" t="n">
        <x:f>C1197+D1197</x:f>
        <x:v>971375.9617188983</x:v>
      </x:c>
      <x:c r="F1197" s="78" t="n">
        <x:f>'Inputs'!$B$13*E1197+(1-'Inputs'!$B$13)/'Inputs'!$B$14*SUM(E1142:E1197)</x:f>
        <x:v>981593.6385813479</x:v>
      </x:c>
      <x:c r="G1197" s="78" t="n">
        <x:f>F1197*'Inputs'!$F$47</x:f>
        <x:v>343557.77350347175</x:v>
      </x:c>
      <x:c r="H1197" s="78" t="n">
        <x:f>U1196</x:f>
        <x:v>2454919.583558739</x:v>
      </x:c>
      <x:c r="I1197" s="78" t="n">
        <x:f>V1196</x:f>
        <x:v>21194.313994327644</x:v>
      </x:c>
      <x:c r="J1197" s="79" t="n">
        <x:f>IF(H1197&gt;0,I1197/H1197,0)</x:f>
        <x:v>0.008633404587372922</x:v>
      </x:c>
      <x:c r="K1197" s="80" t="n">
        <x:f>(H1197*J1197+I1197)*'Inputs'!$D$47*(1+'Inputs'!$G$47)^(B1197/30)</x:f>
        <x:v>70097.65028133521</x:v>
      </x:c>
      <x:c r="L1197" s="80" t="n">
        <x:f>MAX(0,K1197*'Inputs'!$E$47)</x:f>
        <x:v>3504.882514066761</x:v>
      </x:c>
      <x:c r="M1197" s="80" t="n">
        <x:f>MAX(0,-K1197*'Inputs'!$E$47)</x:f>
        <x:v>0</x:v>
      </x:c>
      <x:c r="N1197" s="78" t="n">
        <x:f>H1197*(L1197*(1-'Inputs'!$B$15))/(I1197+L1197*(1-'Inputs'!$B$15))</x:f>
        <x:v>345366.1883649894</x:v>
      </x:c>
      <x:c r="O1197" s="78" t="n">
        <x:f>H1197-N1197</x:f>
        <x:v>2109553.3951937496</x:v>
      </x:c>
      <x:c r="P1197" s="78" t="n">
        <x:f>I1197+L1197*(1-'Inputs'!$B$17)</x:f>
        <x:v>24685.09235340822</x:v>
      </x:c>
      <x:c r="Q1197" s="78" t="n">
        <x:f>IF(J1197&gt;0,M1197/J1197,0)</x:f>
        <x:v>0</x:v>
      </x:c>
      <x:c r="R1197" s="78" t="n">
        <x:f>IF(B1197='Inputs'!$H$47,'Inputs'!$B$27*'Inputs'!$I$47,0)</x:f>
        <x:v>0</x:v>
      </x:c>
      <x:c r="S1197" s="78" t="n">
        <x:f>Q1197+G1197+R1197</x:f>
        <x:v>343557.77350347175</x:v>
      </x:c>
      <x:c r="T1197" s="78" t="n">
        <x:f>P1197*(S1197*(1-'Inputs'!$B$15))/(O1197+S1197*(1-'Inputs'!$B$15))</x:f>
        <x:v>3427.3712996789454</x:v>
      </x:c>
      <x:c r="U1197" s="78" t="n">
        <x:f>O1197+S1197*(1-'Inputs'!$B$17)</x:f>
        <x:v>2451728.6424456984</x:v>
      </x:c>
      <x:c r="V1197" s="78" t="n">
        <x:f>P1197-T1197</x:f>
        <x:v>21257.721053729278</x:v>
      </x:c>
      <x:c r="W1197" s="79" t="n">
        <x:f>IF(U1197&gt;0,V1197/U1197,0)</x:f>
        <x:v>0.008670503205658127</x:v>
      </x:c>
      <x:c r="X1197" s="80" t="n">
        <x:f>W1197*('Inputs'!$B$6-AC1197)</x:f>
        <x:v>8657377.993050246</x:v>
      </x:c>
      <x:c r="Y1197" s="80" t="n">
        <x:f>2*V1197</x:f>
        <x:v>42515.442107458555</x:v>
      </x:c>
      <x:c r="Z1197" s="80" t="n">
        <x:f>K1197*'Inputs'!$B$16+(G1197+R1197)*J1197*'Inputs'!$B$16</x:f>
        <x:v>438.3823412347663</x:v>
      </x:c>
      <x:c r="AA1197" s="80" t="n">
        <x:f>K1197*(1+'Inputs'!$E$47)/2*'Inputs'!$B$17</x:f>
        <x:v>148.09362735493357</x:v>
      </x:c>
      <x:c r="AB1197" s="78" t="n">
        <x:f>(IF(J1197&gt;0,K1197*(1-'Inputs'!$E$47)/2/J1197,0)+G1197+R1197)*'Inputs'!$B$17</x:f>
        <x:v>16902.414264731655</x:v>
      </x:c>
      <x:c r="AC1197" s="78" t="n">
        <x:f>AC1196+AB1197</x:f>
        <x:v>1513777.4932505204</x:v>
      </x:c>
      <x:c r="AD1197" s="80" t="n">
        <x:f>Z1197/(1+'Inputs'!$C$47)</x:f>
        <x:v>175.3529364939065</x:v>
      </x:c>
      <x:c r="AE1197" s="80" t="n">
        <x:f>Z1197-AD1197</x:f>
        <x:v>263.0294047408598</x:v>
      </x:c>
      <x:c r="AF1197" s="80" t="n">
        <x:f>D1197*W1197</x:f>
        <x:v>2526.6955169948765</x:v>
      </x:c>
      <x:c r="AG1197" s="80" t="n">
        <x:f>C1197*W1197</x:f>
        <x:v>5895.622872988078</x:v>
      </x:c>
      <x:c r="AH1197" s="80" t="n">
        <x:f>2*'Inputs'!$B$8*'Inputs'!$C$47</x:f>
        <x:v>7500</x:v>
      </x:c>
      <x:c r="AI1197" s="81" t="n">
        <x:f>IF(AH1197&gt;0,(AE1197+AF1197)/AH1197*365,0)</x:f>
        <x:v>135.76661285780582</x:v>
      </x:c>
      <x:c r="AJ1197" s="81" t="n">
        <x:f>IF('Inputs'!$B$47&gt;0,AG1197/('Inputs'!$B$19*'Inputs'!$B$47)*365,0)</x:f>
        <x:v>215.19023486406485</x:v>
      </x:c>
      <x:c r="AK1197" s="81" t="n">
        <x:f>W1197/MAX($W$1099:W1197)-1</x:f>
        <x:v>-0.6087244665512017</x:v>
      </x:c>
      <x:c r="AL1197" s="83" t="n">
        <x:f>'Inputs'!$B$47</x:f>
        <x:v>1</x:v>
      </x:c>
      <x:c r="AM1197" s="83" t="n">
        <x:f>'Inputs'!$C$47</x:f>
        <x:v>1.5</x:v>
      </x:c>
      <x:c r="AN1197" s="83" t="n">
        <x:f>'Inputs'!$D$47</x:f>
        <x:v>1.5</x:v>
      </x:c>
      <x:c r="AO1197" s="81" t="n">
        <x:f>'Inputs'!$E$47</x:f>
        <x:v>0.05</x:v>
      </x:c>
    </x:row>
    <x:row r="1198">
      <x:c r="A1198" s="59" t="str">
        <x:v>Growth</x:v>
      </x:c>
      <x:c r="B1198" s="59" t="n">
        <x:v>100</x:v>
      </x:c>
      <x:c r="C1198" s="78" t="n">
        <x:f>(('Inputs'!$B$29*(3*100*'Inputs'!$B$12-100^2)/(2*'Inputs'!$B$12^2))-('Inputs'!$B$29*(3*99*'Inputs'!$B$12-99^2)/(2*'Inputs'!$B$12^2)))*'Inputs'!$B$47</x:f>
        <x:v>679638.0653030574</x:v>
      </x:c>
      <x:c r="D1198" s="78" t="n">
        <x:f>IF('Inputs'!$C$47&gt;0,('Inputs'!$B$30*(3*100*'Inputs'!$B$12-100^2)/(2*'Inputs'!$B$12^2))-('Inputs'!$B$30*(3*99*'Inputs'!$B$12-99^2)/(2*'Inputs'!$B$12^2)),0)</x:f>
        <x:v>291273.4565584548</x:v>
      </x:c>
      <x:c r="E1198" s="78" t="n">
        <x:f>C1198+D1198</x:f>
        <x:v>970911.5218615122</x:v>
      </x:c>
      <x:c r="F1198" s="78" t="n">
        <x:f>'Inputs'!$B$13*E1198+(1-'Inputs'!$B$13)/'Inputs'!$B$14*SUM(E1143:E1198)</x:f>
        <x:v>981129.1987239633</x:v>
      </x:c>
      <x:c r="G1198" s="78" t="n">
        <x:f>F1198*'Inputs'!$F$47</x:f>
        <x:v>343395.21955338714</x:v>
      </x:c>
      <x:c r="H1198" s="78" t="n">
        <x:f>U1197</x:f>
        <x:v>2451728.6424456984</x:v>
      </x:c>
      <x:c r="I1198" s="78" t="n">
        <x:f>V1197</x:f>
        <x:v>21257.721053729278</x:v>
      </x:c>
      <x:c r="J1198" s="79" t="n">
        <x:f>IF(H1198&gt;0,I1198/H1198,0)</x:f>
        <x:v>0.008670503205658127</x:v>
      </x:c>
      <x:c r="K1198" s="80" t="n">
        <x:f>(H1198*J1198+I1198)*'Inputs'!$D$47*(1+'Inputs'!$G$47)^(B1198/30)</x:f>
        <x:v>70376.66904000507</x:v>
      </x:c>
      <x:c r="L1198" s="80" t="n">
        <x:f>MAX(0,K1198*'Inputs'!$E$47)</x:f>
        <x:v>3518.8334520002536</x:v>
      </x:c>
      <x:c r="M1198" s="80" t="n">
        <x:f>MAX(0,-K1198*'Inputs'!$E$47)</x:f>
        <x:v>0</x:v>
      </x:c>
      <x:c r="N1198" s="78" t="n">
        <x:f>H1198*(L1198*(1-'Inputs'!$B$15))/(I1198+L1198*(1-'Inputs'!$B$15))</x:f>
        <x:v>345209.4138835867</x:v>
      </x:c>
      <x:c r="O1198" s="78" t="n">
        <x:f>H1198-N1198</x:f>
        <x:v>2106519.2285621115</x:v>
      </x:c>
      <x:c r="P1198" s="78" t="n">
        <x:f>I1198+L1198*(1-'Inputs'!$B$17)</x:f>
        <x:v>24762.394210148042</x:v>
      </x:c>
      <x:c r="Q1198" s="78" t="n">
        <x:f>IF(J1198&gt;0,M1198/J1198,0)</x:f>
        <x:v>0</x:v>
      </x:c>
      <x:c r="R1198" s="78" t="n">
        <x:f>IF(B1198='Inputs'!$H$47,'Inputs'!$B$27*'Inputs'!$I$47,0)</x:f>
        <x:v>0</x:v>
      </x:c>
      <x:c r="S1198" s="78" t="n">
        <x:f>Q1198+G1198+R1198</x:f>
        <x:v>343395.21955338714</x:v>
      </x:c>
      <x:c r="T1198" s="78" t="n">
        <x:f>P1198*(S1198*(1-'Inputs'!$B$15))/(O1198+S1198*(1-'Inputs'!$B$15))</x:f>
        <x:v>3440.9654736818693</x:v>
      </x:c>
      <x:c r="U1198" s="78" t="n">
        <x:f>O1198+S1198*(1-'Inputs'!$B$17)</x:f>
        <x:v>2448532.5760046197</x:v>
      </x:c>
      <x:c r="V1198" s="78" t="n">
        <x:f>P1198-T1198</x:f>
        <x:v>21321.428736466172</x:v>
      </x:c>
      <x:c r="W1198" s="79" t="n">
        <x:f>IF(U1198&gt;0,V1198/U1198,0)</x:f>
        <x:v>0.008707839522093393</x:v>
      </x:c>
      <x:c r="X1198" s="80" t="n">
        <x:f>W1198*('Inputs'!$B$6-AC1198)</x:f>
        <x:v>8694510.655408667</x:v>
      </x:c>
      <x:c r="Y1198" s="80" t="n">
        <x:f>2*V1198</x:f>
        <x:v>42642.857472932345</x:v>
      </x:c>
      <x:c r="Z1198" s="80" t="n">
        <x:f>K1198*'Inputs'!$B$16+(G1198+R1198)*J1198*'Inputs'!$B$16</x:f>
        <x:v>440.12447035170237</x:v>
      </x:c>
      <x:c r="AA1198" s="80" t="n">
        <x:f>K1198*(1+'Inputs'!$E$47)/2*'Inputs'!$B$17</x:f>
        <x:v>148.68310360564453</x:v>
      </x:c>
      <x:c r="AB1198" s="78" t="n">
        <x:f>(IF(J1198&gt;0,K1198*(1-'Inputs'!$E$47)/2/J1198,0)+G1198+R1198)*'Inputs'!$B$17</x:f>
        <x:v>16896.8664351262</x:v>
      </x:c>
      <x:c r="AC1198" s="78" t="n">
        <x:f>AC1197+AB1198</x:f>
        <x:v>1530674.3596856466</x:v>
      </x:c>
      <x:c r="AD1198" s="80" t="n">
        <x:f>Z1198/(1+'Inputs'!$C$47)</x:f>
        <x:v>176.04978814068096</x:v>
      </x:c>
      <x:c r="AE1198" s="80" t="n">
        <x:f>Z1198-AD1198</x:f>
        <x:v>264.0746822110214</x:v>
      </x:c>
      <x:c r="AF1198" s="80" t="n">
        <x:f>D1198*W1198</x:f>
        <x:v>2536.3625167564655</x:v>
      </x:c>
      <x:c r="AG1198" s="80" t="n">
        <x:f>C1198*W1198</x:f>
        <x:v>5918.179205765054</x:v>
      </x:c>
      <x:c r="AH1198" s="80" t="n">
        <x:f>2*'Inputs'!$B$8*'Inputs'!$C$47</x:f>
        <x:v>7500</x:v>
      </x:c>
      <x:c r="AI1198" s="81" t="n">
        <x:f>IF(AH1198&gt;0,(AE1198+AF1198)/AH1198*365,0)</x:f>
        <x:v>136.28794368308436</x:v>
      </x:c>
      <x:c r="AJ1198" s="81" t="n">
        <x:f>IF('Inputs'!$B$47&gt;0,AG1198/('Inputs'!$B$19*'Inputs'!$B$47)*365,0)</x:f>
        <x:v>216.01354101042446</x:v>
      </x:c>
      <x:c r="AK1198" s="81" t="n">
        <x:f>W1198/MAX($W$1099:W1198)-1</x:f>
        <x:v>-0.6070395831270553</x:v>
      </x:c>
      <x:c r="AL1198" s="83" t="n">
        <x:f>'Inputs'!$B$47</x:f>
        <x:v>1</x:v>
      </x:c>
      <x:c r="AM1198" s="83" t="n">
        <x:f>'Inputs'!$C$47</x:f>
        <x:v>1.5</x:v>
      </x:c>
      <x:c r="AN1198" s="83" t="n">
        <x:f>'Inputs'!$D$47</x:f>
        <x:v>1.5</x:v>
      </x:c>
      <x:c r="AO1198" s="81" t="n">
        <x:f>'Inputs'!$E$47</x:f>
        <x:v>0.05</x:v>
      </x:c>
    </x:row>
    <x:row r="1199">
      <x:c r="A1199" s="59" t="str">
        <x:v>Growth</x:v>
      </x:c>
      <x:c r="B1199" s="59" t="n">
        <x:v>101</x:v>
      </x:c>
      <x:c r="C1199" s="78" t="n">
        <x:f>(('Inputs'!$B$29*(3*101*'Inputs'!$B$12-101^2)/(2*'Inputs'!$B$12^2))-('Inputs'!$B$29*(3*100*'Inputs'!$B$12-100^2)/(2*'Inputs'!$B$12^2)))*'Inputs'!$B$47</x:f>
        <x:v>679312.957402885</x:v>
      </x:c>
      <x:c r="D1199" s="78" t="n">
        <x:f>IF('Inputs'!$C$47&gt;0,('Inputs'!$B$30*(3*101*'Inputs'!$B$12-101^2)/(2*'Inputs'!$B$12^2))-('Inputs'!$B$30*(3*100*'Inputs'!$B$12-100^2)/(2*'Inputs'!$B$12^2)),0)</x:f>
        <x:v>291134.1246012375</x:v>
      </x:c>
      <x:c r="E1199" s="78" t="n">
        <x:f>C1199+D1199</x:f>
        <x:v>970447.0820041224</x:v>
      </x:c>
      <x:c r="F1199" s="78" t="n">
        <x:f>'Inputs'!$B$13*E1199+(1-'Inputs'!$B$13)/'Inputs'!$B$14*SUM(E1144:E1199)</x:f>
        <x:v>980664.7588665781</x:v>
      </x:c>
      <x:c r="G1199" s="78" t="n">
        <x:f>F1199*'Inputs'!$F$47</x:f>
        <x:v>343232.6656033023</x:v>
      </x:c>
      <x:c r="H1199" s="78" t="n">
        <x:f>U1198</x:f>
        <x:v>2448532.5760046197</x:v>
      </x:c>
      <x:c r="I1199" s="78" t="n">
        <x:f>V1198</x:f>
        <x:v>21321.428736466172</x:v>
      </x:c>
      <x:c r="J1199" s="79" t="n">
        <x:f>IF(H1199&gt;0,I1199/H1199,0)</x:f>
        <x:v>0.008707839522093393</x:v>
      </x:c>
      <x:c r="K1199" s="80" t="n">
        <x:f>(H1199*J1199+I1199)*'Inputs'!$D$47*(1+'Inputs'!$G$47)^(B1199/30)</x:f>
        <x:v>70657.16601906413</x:v>
      </x:c>
      <x:c r="L1199" s="80" t="n">
        <x:f>MAX(0,K1199*'Inputs'!$E$47)</x:f>
        <x:v>3532.8583009532067</x:v>
      </x:c>
      <x:c r="M1199" s="80" t="n">
        <x:f>MAX(0,-K1199*'Inputs'!$E$47)</x:f>
        <x:v>0</x:v>
      </x:c>
      <x:c r="N1199" s="78" t="n">
        <x:f>H1199*(L1199*(1-'Inputs'!$B$15))/(I1199+L1199*(1-'Inputs'!$B$15))</x:f>
        <x:v>345051.36328183475</x:v>
      </x:c>
      <x:c r="O1199" s="78" t="n">
        <x:f>H1199-N1199</x:f>
        <x:v>2103481.212722785</x:v>
      </x:c>
      <x:c r="P1199" s="78" t="n">
        <x:f>I1199+L1199*(1-'Inputs'!$B$17)</x:f>
        <x:v>24840.070303813933</x:v>
      </x:c>
      <x:c r="Q1199" s="78" t="n">
        <x:f>IF(J1199&gt;0,M1199/J1199,0)</x:f>
        <x:v>0</x:v>
      </x:c>
      <x:c r="R1199" s="78" t="n">
        <x:f>IF(B1199='Inputs'!$H$47,'Inputs'!$B$27*'Inputs'!$I$47,0)</x:f>
        <x:v>0</x:v>
      </x:c>
      <x:c r="S1199" s="78" t="n">
        <x:f>Q1199+G1199+R1199</x:f>
        <x:v>343232.6656033023</x:v>
      </x:c>
      <x:c r="T1199" s="78" t="n">
        <x:f>P1199*(S1199*(1-'Inputs'!$B$15))/(O1199+S1199*(1-'Inputs'!$B$15))</x:f>
        <x:v>3454.642508531418</x:v>
      </x:c>
      <x:c r="U1199" s="78" t="n">
        <x:f>O1199+S1199*(1-'Inputs'!$B$17)</x:f>
        <x:v>2445332.6603558525</x:v>
      </x:c>
      <x:c r="V1199" s="78" t="n">
        <x:f>P1199-T1199</x:f>
        <x:v>21385.427795282514</x:v>
      </x:c>
      <x:c r="W1199" s="79" t="n">
        <x:f>IF(U1199&gt;0,V1199/U1199,0)</x:f>
        <x:v>0.008745406357992388</x:v>
      </x:c>
      <x:c r="X1199" s="80" t="n">
        <x:f>W1199*('Inputs'!$B$6-AC1199)</x:f>
        <x:v>8731872.26777025</x:v>
      </x:c>
      <x:c r="Y1199" s="80" t="n">
        <x:f>2*V1199</x:f>
        <x:v>42770.85559056503</x:v>
      </x:c>
      <x:c r="Z1199" s="80" t="n">
        <x:f>K1199*'Inputs'!$B$16+(G1199+R1199)*J1199*'Inputs'!$B$16</x:f>
        <x:v>441.8758859392682</x:v>
      </x:c>
      <x:c r="AA1199" s="80" t="n">
        <x:f>K1199*(1+'Inputs'!$E$47)/2*'Inputs'!$B$17</x:f>
        <x:v>149.27570285717778</x:v>
      </x:c>
      <x:c r="AB1199" s="78" t="n">
        <x:f>(IF(J1199&gt;0,K1199*(1-'Inputs'!$E$47)/2/J1199,0)+G1199+R1199)*'Inputs'!$B$17</x:f>
        <x:v>16891.261409719547</x:v>
      </x:c>
      <x:c r="AC1199" s="78" t="n">
        <x:f>AC1198+AB1199</x:f>
        <x:v>1547565.621095366</x:v>
      </x:c>
      <x:c r="AD1199" s="80" t="n">
        <x:f>Z1199/(1+'Inputs'!$C$47)</x:f>
        <x:v>176.75035437570727</x:v>
      </x:c>
      <x:c r="AE1199" s="80" t="n">
        <x:f>Z1199-AD1199</x:f>
        <x:v>265.1255315635609</x:v>
      </x:c>
      <x:c r="AF1199" s="80" t="n">
        <x:f>D1199*W1199</x:f>
        <x:v>2546.0862243162105</x:v>
      </x:c>
      <x:c r="AG1199" s="80" t="n">
        <x:f>C1199*W1199</x:f>
        <x:v>5940.867856737803</x:v>
      </x:c>
      <x:c r="AH1199" s="80" t="n">
        <x:f>2*'Inputs'!$B$8*'Inputs'!$C$47</x:f>
        <x:v>7500</x:v>
      </x:c>
      <x:c r="AI1199" s="81" t="n">
        <x:f>IF(AH1199&gt;0,(AE1199+AF1199)/AH1199*365,0)</x:f>
        <x:v>136.81230545281554</x:v>
      </x:c>
      <x:c r="AJ1199" s="81" t="n">
        <x:f>IF('Inputs'!$B$47&gt;0,AG1199/('Inputs'!$B$19*'Inputs'!$B$47)*365,0)</x:f>
        <x:v>216.8416767709298</x:v>
      </x:c>
      <x:c r="AK1199" s="81" t="n">
        <x:f>W1199/MAX($W$1099:W1199)-1</x:f>
        <x:v>-0.6053442970049336</x:v>
      </x:c>
      <x:c r="AL1199" s="83" t="n">
        <x:f>'Inputs'!$B$47</x:f>
        <x:v>1</x:v>
      </x:c>
      <x:c r="AM1199" s="83" t="n">
        <x:f>'Inputs'!$C$47</x:f>
        <x:v>1.5</x:v>
      </x:c>
      <x:c r="AN1199" s="83" t="n">
        <x:f>'Inputs'!$D$47</x:f>
        <x:v>1.5</x:v>
      </x:c>
      <x:c r="AO1199" s="81" t="n">
        <x:f>'Inputs'!$E$47</x:f>
        <x:v>0.05</x:v>
      </x:c>
    </x:row>
    <x:row r="1200">
      <x:c r="A1200" s="59" t="str">
        <x:v>Growth</x:v>
      </x:c>
      <x:c r="B1200" s="59" t="n">
        <x:v>102</x:v>
      </x:c>
      <x:c r="C1200" s="78" t="n">
        <x:f>(('Inputs'!$B$29*(3*102*'Inputs'!$B$12-102^2)/(2*'Inputs'!$B$12^2))-('Inputs'!$B$29*(3*101*'Inputs'!$B$12-101^2)/(2*'Inputs'!$B$12^2)))*'Inputs'!$B$47</x:f>
        <x:v>678987.8495027274</x:v>
      </x:c>
      <x:c r="D1200" s="78" t="n">
        <x:f>IF('Inputs'!$C$47&gt;0,('Inputs'!$B$30*(3*102*'Inputs'!$B$12-102^2)/(2*'Inputs'!$B$12^2))-('Inputs'!$B$30*(3*101*'Inputs'!$B$12-101^2)/(2*'Inputs'!$B$12^2)),0)</x:f>
        <x:v>290994.7926440239</x:v>
      </x:c>
      <x:c r="E1200" s="78" t="n">
        <x:f>C1200+D1200</x:f>
        <x:v>969982.6421467513</x:v>
      </x:c>
      <x:c r="F1200" s="78" t="n">
        <x:f>'Inputs'!$B$13*E1200+(1-'Inputs'!$B$13)/'Inputs'!$B$14*SUM(E1145:E1200)</x:f>
        <x:v>980200.3190091965</x:v>
      </x:c>
      <x:c r="G1200" s="78" t="n">
        <x:f>F1200*'Inputs'!$F$47</x:f>
        <x:v>343070.11165321874</x:v>
      </x:c>
      <x:c r="H1200" s="78" t="n">
        <x:f>U1199</x:f>
        <x:v>2445332.6603558525</x:v>
      </x:c>
      <x:c r="I1200" s="78" t="n">
        <x:f>V1199</x:f>
        <x:v>21385.427795282514</x:v>
      </x:c>
      <x:c r="J1200" s="79" t="n">
        <x:f>IF(H1200&gt;0,I1200/H1200,0)</x:f>
        <x:v>0.008745406357992388</x:v>
      </x:c>
      <x:c r="K1200" s="80" t="n">
        <x:f>(H1200*J1200+I1200)*'Inputs'!$D$47*(1+'Inputs'!$G$47)^(B1200/30)</x:f>
        <x:v>70939.11416911361</x:v>
      </x:c>
      <x:c r="L1200" s="80" t="n">
        <x:f>MAX(0,K1200*'Inputs'!$E$47)</x:f>
        <x:v>3546.955708455681</x:v>
      </x:c>
      <x:c r="M1200" s="80" t="n">
        <x:f>MAX(0,-K1200*'Inputs'!$E$47)</x:f>
        <x:v>0</x:v>
      </x:c>
      <x:c r="N1200" s="78" t="n">
        <x:f>H1200*(L1200*(1-'Inputs'!$B$15))/(I1200+L1200*(1-'Inputs'!$B$15))</x:f>
        <x:v>344892.2139801676</x:v>
      </x:c>
      <x:c r="O1200" s="78" t="n">
        <x:f>H1200-N1200</x:f>
        <x:v>2100440.446375685</x:v>
      </x:c>
      <x:c r="P1200" s="78" t="n">
        <x:f>I1200+L1200*(1-'Inputs'!$B$17)</x:f>
        <x:v>24918.11004012268</x:v>
      </x:c>
      <x:c r="Q1200" s="78" t="n">
        <x:f>IF(J1200&gt;0,M1200/J1200,0)</x:f>
        <x:v>0</x:v>
      </x:c>
      <x:c r="R1200" s="78" t="n">
        <x:f>IF(B1200='Inputs'!$H$47,'Inputs'!$B$27*'Inputs'!$I$47,0)</x:f>
        <x:v>0</x:v>
      </x:c>
      <x:c r="S1200" s="78" t="n">
        <x:f>Q1200+G1200+R1200</x:f>
        <x:v>343070.11165321874</x:v>
      </x:c>
      <x:c r="T1200" s="78" t="n">
        <x:f>P1200*(S1200*(1-'Inputs'!$B$15))/(O1200+S1200*(1-'Inputs'!$B$15))</x:f>
        <x:v>3468.3996844368394</x:v>
      </x:c>
      <x:c r="U1200" s="78" t="n">
        <x:f>O1200+S1200*(1-'Inputs'!$B$17)</x:f>
        <x:v>2442129.994199313</x:v>
      </x:c>
      <x:c r="V1200" s="78" t="n">
        <x:f>P1200-T1200</x:f>
        <x:v>21449.710355685842</x:v>
      </x:c>
      <x:c r="W1200" s="79" t="n">
        <x:f>IF(U1200&gt;0,V1200/U1200,0)</x:f>
        <x:v>0.008783197621189053</x:v>
      </x:c>
      <x:c r="X1200" s="80" t="n">
        <x:f>W1200*('Inputs'!$B$6-AC1200)</x:f>
        <x:v>8769456.73688275</x:v>
      </x:c>
      <x:c r="Y1200" s="80" t="n">
        <x:f>2*V1200</x:f>
        <x:v>42899.420711371684</x:v>
      </x:c>
      <x:c r="Z1200" s="80" t="n">
        <x:f>K1200*'Inputs'!$B$16+(G1200+R1200)*J1200*'Inputs'!$B$16</x:f>
        <x:v>443.636410228817</x:v>
      </x:c>
      <x:c r="AA1200" s="80" t="n">
        <x:f>K1200*(1+'Inputs'!$E$47)/2*'Inputs'!$B$17</x:f>
        <x:v>149.8713679629161</x:v>
      </x:c>
      <x:c r="AB1200" s="78" t="n">
        <x:f>(IF(J1200&gt;0,K1200*(1-'Inputs'!$E$47)/2/J1200,0)+G1200+R1200)*'Inputs'!$B$17</x:f>
        <x:v>16885.607139953914</x:v>
      </x:c>
      <x:c r="AC1200" s="78" t="n">
        <x:f>AC1199+AB1200</x:f>
        <x:v>1564451.22823532</x:v>
      </x:c>
      <x:c r="AD1200" s="80" t="n">
        <x:f>Z1200/(1+'Inputs'!$C$47)</x:f>
        <x:v>177.4545640915268</x:v>
      </x:c>
      <x:c r="AE1200" s="80" t="n">
        <x:f>Z1200-AD1200</x:f>
        <x:v>266.1818461372902</x:v>
      </x:c>
      <x:c r="AF1200" s="80" t="n">
        <x:f>D1200*W1200</x:f>
        <x:v>2555.8647705293924</x:v>
      </x:c>
      <x:c r="AG1200" s="80" t="n">
        <x:f>C1200*W1200</x:f>
        <x:v>5963.684464568626</x:v>
      </x:c>
      <x:c r="AH1200" s="80" t="n">
        <x:f>2*'Inputs'!$B$8*'Inputs'!$C$47</x:f>
        <x:v>7500</x:v>
      </x:c>
      <x:c r="AI1200" s="81" t="n">
        <x:f>IF(AH1200&gt;0,(AE1200+AF1200)/AH1200*365,0)</x:f>
        <x:v>137.3396020111119</x:v>
      </x:c>
      <x:c r="AJ1200" s="81" t="n">
        <x:f>IF('Inputs'!$B$47&gt;0,AG1200/('Inputs'!$B$19*'Inputs'!$B$47)*365,0)</x:f>
        <x:v>217.67448295675484</x:v>
      </x:c>
      <x:c r="AK1200" s="81" t="n">
        <x:f>W1200/MAX($W$1099:W1200)-1</x:f>
        <x:v>-0.6036388831072341</x:v>
      </x:c>
      <x:c r="AL1200" s="83" t="n">
        <x:f>'Inputs'!$B$47</x:f>
        <x:v>1</x:v>
      </x:c>
      <x:c r="AM1200" s="83" t="n">
        <x:f>'Inputs'!$C$47</x:f>
        <x:v>1.5</x:v>
      </x:c>
      <x:c r="AN1200" s="83" t="n">
        <x:f>'Inputs'!$D$47</x:f>
        <x:v>1.5</x:v>
      </x:c>
      <x:c r="AO1200" s="81" t="n">
        <x:f>'Inputs'!$E$47</x:f>
        <x:v>0.05</x:v>
      </x:c>
    </x:row>
    <x:row r="1201">
      <x:c r="A1201" s="59" t="str">
        <x:v>Growth</x:v>
      </x:c>
      <x:c r="B1201" s="59" t="n">
        <x:v>103</x:v>
      </x:c>
      <x:c r="C1201" s="78" t="n">
        <x:f>(('Inputs'!$B$29*(3*103*'Inputs'!$B$12-103^2)/(2*'Inputs'!$B$12^2))-('Inputs'!$B$29*(3*102*'Inputs'!$B$12-102^2)/(2*'Inputs'!$B$12^2)))*'Inputs'!$B$47</x:f>
        <x:v>678662.7416025549</x:v>
      </x:c>
      <x:c r="D1201" s="78" t="n">
        <x:f>IF('Inputs'!$C$47&gt;0,('Inputs'!$B$30*(3*103*'Inputs'!$B$12-103^2)/(2*'Inputs'!$B$12^2))-('Inputs'!$B$30*(3*102*'Inputs'!$B$12-102^2)/(2*'Inputs'!$B$12^2)),0)</x:f>
        <x:v>290855.4606868066</x:v>
      </x:c>
      <x:c r="E1201" s="78" t="n">
        <x:f>C1201+D1201</x:f>
        <x:v>969518.2022893615</x:v>
      </x:c>
      <x:c r="F1201" s="78" t="n">
        <x:f>'Inputs'!$B$13*E1201+(1-'Inputs'!$B$13)/'Inputs'!$B$14*SUM(E1146:E1201)</x:f>
        <x:v>979735.8791518115</x:v>
      </x:c>
      <x:c r="G1201" s="78" t="n">
        <x:f>F1201*'Inputs'!$F$47</x:f>
        <x:v>342907.557703134</x:v>
      </x:c>
      <x:c r="H1201" s="78" t="n">
        <x:f>U1200</x:f>
        <x:v>2442129.994199313</x:v>
      </x:c>
      <x:c r="I1201" s="78" t="n">
        <x:f>V1200</x:f>
        <x:v>21449.710355685842</x:v>
      </x:c>
      <x:c r="J1201" s="79" t="n">
        <x:f>IF(H1201&gt;0,I1201/H1201,0)</x:f>
        <x:v>0.008783197621189053</x:v>
      </x:c>
      <x:c r="K1201" s="80" t="n">
        <x:f>(H1201*J1201+I1201)*'Inputs'!$D$47*(1+'Inputs'!$G$47)^(B1201/30)</x:f>
        <x:v>71222.4908846593</x:v>
      </x:c>
      <x:c r="L1201" s="80" t="n">
        <x:f>MAX(0,K1201*'Inputs'!$E$47)</x:f>
        <x:v>3561.1245442329655</x:v>
      </x:c>
      <x:c r="M1201" s="80" t="n">
        <x:f>MAX(0,-K1201*'Inputs'!$E$47)</x:f>
        <x:v>0</x:v>
      </x:c>
      <x:c r="N1201" s="78" t="n">
        <x:f>H1201*(L1201*(1-'Inputs'!$B$15))/(I1201+L1201*(1-'Inputs'!$B$15))</x:f>
        <x:v>344732.11896070413</x:v>
      </x:c>
      <x:c r="O1201" s="78" t="n">
        <x:f>H1201-N1201</x:f>
        <x:v>2097397.875238609</x:v>
      </x:c>
      <x:c r="P1201" s="78" t="n">
        <x:f>I1201+L1201*(1-'Inputs'!$B$17)</x:f>
        <x:v>24996.504418855497</x:v>
      </x:c>
      <x:c r="Q1201" s="78" t="n">
        <x:f>IF(J1201&gt;0,M1201/J1201,0)</x:f>
        <x:v>0</x:v>
      </x:c>
      <x:c r="R1201" s="78" t="n">
        <x:f>IF(B1201='Inputs'!$H$47,'Inputs'!$B$27*'Inputs'!$I$47,0)</x:f>
        <x:v>0</x:v>
      </x:c>
      <x:c r="S1201" s="78" t="n">
        <x:f>Q1201+G1201+R1201</x:f>
        <x:v>342907.557703134</x:v>
      </x:c>
      <x:c r="T1201" s="78" t="n">
        <x:f>P1201*(S1201*(1-'Inputs'!$B$15))/(O1201+S1201*(1-'Inputs'!$B$15))</x:f>
        <x:v>3482.2346866002563</x:v>
      </x:c>
      <x:c r="U1201" s="78" t="n">
        <x:f>O1201+S1201*(1-'Inputs'!$B$17)</x:f>
        <x:v>2438925.523252797</x:v>
      </x:c>
      <x:c r="V1201" s="78" t="n">
        <x:f>P1201-T1201</x:f>
        <x:v>21514.26973225524</x:v>
      </x:c>
      <x:c r="W1201" s="79" t="n">
        <x:f>IF(U1201&gt;0,V1201/U1201,0)</x:f>
        <x:v>0.008821208162011296</x:v>
      </x:c>
      <x:c r="X1201" s="80" t="n">
        <x:f>W1201*('Inputs'!$B$6-AC1201)</x:f>
        <x:v>8807258.910863593</x:v>
      </x:c>
      <x:c r="Y1201" s="80" t="n">
        <x:f>2*V1201</x:f>
        <x:v>43028.53946451048</x:v>
      </x:c>
      <x:c r="Z1201" s="80" t="n">
        <x:f>K1201*'Inputs'!$B$16+(G1201+R1201)*J1201*'Inputs'!$B$16</x:f>
        <x:v>445.4058943785913</x:v>
      </x:c>
      <x:c r="AA1201" s="80" t="n">
        <x:f>K1201*(1+'Inputs'!$E$47)/2*'Inputs'!$B$17</x:f>
        <x:v>150.4700511647732</x:v>
      </x:c>
      <x:c r="AB1201" s="78" t="n">
        <x:f>(IF(J1201&gt;0,K1201*(1-'Inputs'!$E$47)/2/J1201,0)+G1201+R1201)*'Inputs'!$B$17</x:f>
        <x:v>16879.910482851967</x:v>
      </x:c>
      <x:c r="AC1201" s="78" t="n">
        <x:f>AC1200+AB1201</x:f>
        <x:v>1581331.138718172</x:v>
      </x:c>
      <x:c r="AD1201" s="80" t="n">
        <x:f>Z1201/(1+'Inputs'!$C$47)</x:f>
        <x:v>178.16235775143653</x:v>
      </x:c>
      <x:c r="AE1201" s="80" t="n">
        <x:f>Z1201-AD1201</x:f>
        <x:v>267.24353662715475</x:v>
      </x:c>
      <x:c r="AF1201" s="80" t="n">
        <x:f>D1201*W1201</x:f>
        <x:v>2565.6965637760136</x:v>
      </x:c>
      <x:c r="AG1201" s="80" t="n">
        <x:f>C1201*W1201</x:f>
        <x:v>5986.62531547742</x:v>
      </x:c>
      <x:c r="AH1201" s="80" t="n">
        <x:f>2*'Inputs'!$B$8*'Inputs'!$C$47</x:f>
        <x:v>7500</x:v>
      </x:c>
      <x:c r="AI1201" s="81" t="n">
        <x:f>IF(AH1201&gt;0,(AE1201+AF1201)/AH1201*365,0)</x:f>
        <x:v>137.8697515529542</x:v>
      </x:c>
      <x:c r="AJ1201" s="81" t="n">
        <x:f>IF('Inputs'!$B$47&gt;0,AG1201/('Inputs'!$B$19*'Inputs'!$B$47)*365,0)</x:f>
        <x:v>218.51182401492585</x:v>
      </x:c>
      <x:c r="AK1201" s="81" t="n">
        <x:f>W1201/MAX($W$1099:W1201)-1</x:f>
        <x:v>-0.6019235738242394</x:v>
      </x:c>
      <x:c r="AL1201" s="83" t="n">
        <x:f>'Inputs'!$B$47</x:f>
        <x:v>1</x:v>
      </x:c>
      <x:c r="AM1201" s="83" t="n">
        <x:f>'Inputs'!$C$47</x:f>
        <x:v>1.5</x:v>
      </x:c>
      <x:c r="AN1201" s="83" t="n">
        <x:f>'Inputs'!$D$47</x:f>
        <x:v>1.5</x:v>
      </x:c>
      <x:c r="AO1201" s="81" t="n">
        <x:f>'Inputs'!$E$47</x:f>
        <x:v>0.05</x:v>
      </x:c>
    </x:row>
    <x:row r="1202">
      <x:c r="A1202" s="59" t="str">
        <x:v>Growth</x:v>
      </x:c>
      <x:c r="B1202" s="59" t="n">
        <x:v>104</x:v>
      </x:c>
      <x:c r="C1202" s="78" t="n">
        <x:f>(('Inputs'!$B$29*(3*104*'Inputs'!$B$12-104^2)/(2*'Inputs'!$B$12^2))-('Inputs'!$B$29*(3*103*'Inputs'!$B$12-103^2)/(2*'Inputs'!$B$12^2)))*'Inputs'!$B$47</x:f>
        <x:v>678337.6337023824</x:v>
      </x:c>
      <x:c r="D1202" s="78" t="n">
        <x:f>IF('Inputs'!$C$47&gt;0,('Inputs'!$B$30*(3*104*'Inputs'!$B$12-104^2)/(2*'Inputs'!$B$12^2))-('Inputs'!$B$30*(3*103*'Inputs'!$B$12-103^2)/(2*'Inputs'!$B$12^2)),0)</x:f>
        <x:v>290716.128729593</x:v>
      </x:c>
      <x:c r="E1202" s="78" t="n">
        <x:f>C1202+D1202</x:f>
        <x:v>969053.7624319755</x:v>
      </x:c>
      <x:c r="F1202" s="78" t="n">
        <x:f>'Inputs'!$B$13*E1202+(1-'Inputs'!$B$13)/'Inputs'!$B$14*SUM(E1147:E1202)</x:f>
        <x:v>979271.4392944269</x:v>
      </x:c>
      <x:c r="G1202" s="78" t="n">
        <x:f>F1202*'Inputs'!$F$47</x:f>
        <x:v>342745.0037530494</x:v>
      </x:c>
      <x:c r="H1202" s="78" t="n">
        <x:f>U1201</x:f>
        <x:v>2438925.523252797</x:v>
      </x:c>
      <x:c r="I1202" s="78" t="n">
        <x:f>V1201</x:f>
        <x:v>21514.26973225524</x:v>
      </x:c>
      <x:c r="J1202" s="79" t="n">
        <x:f>IF(H1202&gt;0,I1202/H1202,0)</x:f>
        <x:v>0.008821208162011296</x:v>
      </x:c>
      <x:c r="K1202" s="80" t="n">
        <x:f>(H1202*J1202+I1202)*'Inputs'!$D$47*(1+'Inputs'!$G$47)^(B1202/30)</x:f>
        <x:v>71507.2774157516</x:v>
      </x:c>
      <x:c r="L1202" s="80" t="n">
        <x:f>MAX(0,K1202*'Inputs'!$E$47)</x:f>
        <x:v>3575.36387078758</x:v>
      </x:c>
      <x:c r="M1202" s="80" t="n">
        <x:f>MAX(0,-K1202*'Inputs'!$E$47)</x:f>
        <x:v>0</x:v>
      </x:c>
      <x:c r="N1202" s="78" t="n">
        <x:f>H1202*(L1202*(1-'Inputs'!$B$15))/(I1202+L1202*(1-'Inputs'!$B$15))</x:f>
        <x:v>344571.2101149641</x:v>
      </x:c>
      <x:c r="O1202" s="78" t="n">
        <x:f>H1202-N1202</x:f>
        <x:v>2094354.3131378328</x:v>
      </x:c>
      <x:c r="P1202" s="78" t="n">
        <x:f>I1202+L1202*(1-'Inputs'!$B$17)</x:f>
        <x:v>25075.245820866614</x:v>
      </x:c>
      <x:c r="Q1202" s="78" t="n">
        <x:f>IF(J1202&gt;0,M1202/J1202,0)</x:f>
        <x:v>0</x:v>
      </x:c>
      <x:c r="R1202" s="78" t="n">
        <x:f>IF(B1202='Inputs'!$H$47,'Inputs'!$B$27*'Inputs'!$I$47,0)</x:f>
        <x:v>0</x:v>
      </x:c>
      <x:c r="S1202" s="78" t="n">
        <x:f>Q1202+G1202+R1202</x:f>
        <x:v>342745.0037530494</x:v>
      </x:c>
      <x:c r="T1202" s="78" t="n">
        <x:f>P1202*(S1202*(1-'Inputs'!$B$15))/(O1202+S1202*(1-'Inputs'!$B$15))</x:f>
        <x:v>3496.145551352775</x:v>
      </x:c>
      <x:c r="U1202" s="78" t="n">
        <x:f>O1202+S1202*(1-'Inputs'!$B$17)</x:f>
        <x:v>2435720.0613425802</x:v>
      </x:c>
      <x:c r="V1202" s="78" t="n">
        <x:f>P1202-T1202</x:f>
        <x:v>21579.100269513838</x:v>
      </x:c>
      <x:c r="W1202" s="79" t="n">
        <x:f>IF(U1202&gt;0,V1202/U1202,0)</x:f>
        <x:v>0.008859433648388697</x:v>
      </x:c>
      <x:c r="X1202" s="80" t="n">
        <x:f>W1202*('Inputs'!$B$6-AC1202)</x:f>
        <x:v>8845274.45443448</x:v>
      </x:c>
      <x:c r="Y1202" s="80" t="n">
        <x:f>2*V1202</x:f>
        <x:v>43158.200539027675</x:v>
      </x:c>
      <x:c r="Z1202" s="80" t="n">
        <x:f>K1202*'Inputs'!$B$16+(G1202+R1202)*J1202*'Inputs'!$B$16</x:f>
        <x:v>447.18421464207955</x:v>
      </x:c>
      <x:c r="AA1202" s="80" t="n">
        <x:f>K1202*(1+'Inputs'!$E$47)/2*'Inputs'!$B$17</x:f>
        <x:v>151.07171285017944</x:v>
      </x:c>
      <x:c r="AB1202" s="78" t="n">
        <x:f>(IF(J1202&gt;0,K1202*(1-'Inputs'!$E$47)/2/J1202,0)+G1202+R1202)*'Inputs'!$B$17</x:f>
        <x:v>16874.177350805647</x:v>
      </x:c>
      <x:c r="AC1202" s="78" t="n">
        <x:f>AC1201+AB1202</x:f>
        <x:v>1598205.3160689776</x:v>
      </x:c>
      <x:c r="AD1202" s="80" t="n">
        <x:f>Z1202/(1+'Inputs'!$C$47)</x:f>
        <x:v>178.87368585683183</x:v>
      </x:c>
      <x:c r="AE1202" s="80" t="n">
        <x:f>Z1202-AD1202</x:f>
        <x:v>268.3105287852477</x:v>
      </x:c>
      <x:c r="AF1202" s="80" t="n">
        <x:f>D1202*W1202</x:f>
        <x:v>2575.580252996256</x:v>
      </x:c>
      <x:c r="AG1202" s="80" t="n">
        <x:f>C1202*W1202</x:f>
        <x:v>6009.687256991254</x:v>
      </x:c>
      <x:c r="AH1202" s="80" t="n">
        <x:f>2*'Inputs'!$B$8*'Inputs'!$C$47</x:f>
        <x:v>7500</x:v>
      </x:c>
      <x:c r="AI1202" s="81" t="n">
        <x:f>IF(AH1202&gt;0,(AE1202+AF1202)/AH1202*365,0)</x:f>
        <x:v>138.40268471336654</x:v>
      </x:c>
      <x:c r="AJ1202" s="81" t="n">
        <x:f>IF('Inputs'!$B$47&gt;0,AG1202/('Inputs'!$B$19*'Inputs'!$B$47)*365,0)</x:f>
        <x:v>219.35358488018076</x:v>
      </x:c>
      <x:c r="AK1202" s="81" t="n">
        <x:f>W1202/MAX($W$1099:W1202)-1</x:f>
        <x:v>-0.6001985646501586</x:v>
      </x:c>
      <x:c r="AL1202" s="83" t="n">
        <x:f>'Inputs'!$B$47</x:f>
        <x:v>1</x:v>
      </x:c>
      <x:c r="AM1202" s="83" t="n">
        <x:f>'Inputs'!$C$47</x:f>
        <x:v>1.5</x:v>
      </x:c>
      <x:c r="AN1202" s="83" t="n">
        <x:f>'Inputs'!$D$47</x:f>
        <x:v>1.5</x:v>
      </x:c>
      <x:c r="AO1202" s="81" t="n">
        <x:f>'Inputs'!$E$47</x:f>
        <x:v>0.05</x:v>
      </x:c>
    </x:row>
    <x:row r="1203">
      <x:c r="A1203" s="59" t="str">
        <x:v>Growth</x:v>
      </x:c>
      <x:c r="B1203" s="59" t="n">
        <x:v>105</x:v>
      </x:c>
      <x:c r="C1203" s="78" t="n">
        <x:f>(('Inputs'!$B$29*(3*105*'Inputs'!$B$12-105^2)/(2*'Inputs'!$B$12^2))-('Inputs'!$B$29*(3*104*'Inputs'!$B$12-104^2)/(2*'Inputs'!$B$12^2)))*'Inputs'!$B$47</x:f>
        <x:v>678012.52580221</x:v>
      </x:c>
      <x:c r="D1203" s="78" t="n">
        <x:f>IF('Inputs'!$C$47&gt;0,('Inputs'!$B$30*(3*105*'Inputs'!$B$12-105^2)/(2*'Inputs'!$B$12^2))-('Inputs'!$B$30*(3*104*'Inputs'!$B$12-104^2)/(2*'Inputs'!$B$12^2)),0)</x:f>
        <x:v>290576.7967723794</x:v>
      </x:c>
      <x:c r="E1203" s="78" t="n">
        <x:f>C1203+D1203</x:f>
        <x:v>968589.3225745894</x:v>
      </x:c>
      <x:c r="F1203" s="78" t="n">
        <x:f>'Inputs'!$B$13*E1203+(1-'Inputs'!$B$13)/'Inputs'!$B$14*SUM(E1148:E1203)</x:f>
        <x:v>978806.9994370425</x:v>
      </x:c>
      <x:c r="G1203" s="78" t="n">
        <x:f>F1203*'Inputs'!$F$47</x:f>
        <x:v>342582.44980296487</x:v>
      </x:c>
      <x:c r="H1203" s="78" t="n">
        <x:f>U1202</x:f>
        <x:v>2435720.0613425802</x:v>
      </x:c>
      <x:c r="I1203" s="78" t="n">
        <x:f>V1202</x:f>
        <x:v>21579.100269513838</x:v>
      </x:c>
      <x:c r="J1203" s="79" t="n">
        <x:f>IF(H1203&gt;0,I1203/H1203,0)</x:f>
        <x:v>0.008859433648388697</x:v>
      </x:c>
      <x:c r="K1203" s="80" t="n">
        <x:f>(H1203*J1203+I1203)*'Inputs'!$D$47*(1+'Inputs'!$G$47)^(B1203/30)</x:f>
        <x:v>71793.45835780592</x:v>
      </x:c>
      <x:c r="L1203" s="80" t="n">
        <x:f>MAX(0,K1203*'Inputs'!$E$47)</x:f>
        <x:v>3589.6729178902965</x:v>
      </x:c>
      <x:c r="M1203" s="80" t="n">
        <x:f>MAX(0,-K1203*'Inputs'!$E$47)</x:f>
        <x:v>0</x:v>
      </x:c>
      <x:c r="N1203" s="78" t="n">
        <x:f>H1203*(L1203*(1-'Inputs'!$B$15))/(I1203+L1203*(1-'Inputs'!$B$15))</x:f>
        <x:v>344409.60113553045</x:v>
      </x:c>
      <x:c r="O1203" s="78" t="n">
        <x:f>H1203-N1203</x:f>
        <x:v>2091310.4602070497</x:v>
      </x:c>
      <x:c r="P1203" s="78" t="n">
        <x:f>I1203+L1203*(1-'Inputs'!$B$17)</x:f>
        <x:v>25154.327823549444</x:v>
      </x:c>
      <x:c r="Q1203" s="78" t="n">
        <x:f>IF(J1203&gt;0,M1203/J1203,0)</x:f>
        <x:v>0</x:v>
      </x:c>
      <x:c r="R1203" s="78" t="n">
        <x:f>IF(B1203='Inputs'!$H$47,'Inputs'!$B$27*'Inputs'!$I$47,0)</x:f>
        <x:v>0</x:v>
      </x:c>
      <x:c r="S1203" s="78" t="n">
        <x:f>Q1203+G1203+R1203</x:f>
        <x:v>342582.44980296487</x:v>
      </x:c>
      <x:c r="T1203" s="78" t="n">
        <x:f>P1203*(S1203*(1-'Inputs'!$B$15))/(O1203+S1203*(1-'Inputs'!$B$15))</x:f>
        <x:v>3510.1306194615395</x:v>
      </x:c>
      <x:c r="U1203" s="78" t="n">
        <x:f>O1203+S1203*(1-'Inputs'!$B$17)</x:f>
        <x:v>2432514.308602357</x:v>
      </x:c>
      <x:c r="V1203" s="78" t="n">
        <x:f>P1203-T1203</x:f>
        <x:v>21644.197204087905</x:v>
      </x:c>
      <x:c r="W1203" s="79" t="n">
        <x:f>IF(U1203&gt;0,V1203/U1203,0)</x:f>
        <x:v>0.008897870457553013</x:v>
      </x:c>
      <x:c r="X1203" s="80" t="n">
        <x:f>W1203*('Inputs'!$B$6-AC1203)</x:f>
        <x:v>8883499.740733774</x:v>
      </x:c>
      <x:c r="Y1203" s="80" t="n">
        <x:f>2*V1203</x:f>
        <x:v>43288.39440817581</x:v>
      </x:c>
      <x:c r="Z1203" s="80" t="n">
        <x:f>K1203*'Inputs'!$B$16+(G1203+R1203)*J1203*'Inputs'!$B$16</x:f>
        <x:v>448.97126904562646</x:v>
      </x:c>
      <x:c r="AA1203" s="80" t="n">
        <x:f>K1203*(1+'Inputs'!$E$47)/2*'Inputs'!$B$17</x:f>
        <x:v>151.6763204742379</x:v>
      </x:c>
      <x:c r="AB1203" s="78" t="n">
        <x:f>(IF(J1203&gt;0,K1203*(1-'Inputs'!$E$47)/2/J1203,0)+G1203+R1203)*'Inputs'!$B$17</x:f>
        <x:v>16868.41284097751</x:v>
      </x:c>
      <x:c r="AC1203" s="78" t="n">
        <x:f>AC1202+AB1203</x:f>
        <x:v>1615073.7289099551</x:v>
      </x:c>
      <x:c r="AD1203" s="80" t="n">
        <x:f>Z1203/(1+'Inputs'!$C$47)</x:f>
        <x:v>179.5885076182506</x:v>
      </x:c>
      <x:c r="AE1203" s="80" t="n">
        <x:f>Z1203-AD1203</x:f>
        <x:v>269.38276142737584</x:v>
      </x:c>
      <x:c r="AF1203" s="80" t="n">
        <x:f>D1203*W1203</x:f>
        <x:v>2585.514695651341</x:v>
      </x:c>
      <x:c r="AG1203" s="80" t="n">
        <x:f>C1203*W1203</x:f>
        <x:v>6032.867623186385</x:v>
      </x:c>
      <x:c r="AH1203" s="80" t="n">
        <x:f>2*'Inputs'!$B$8*'Inputs'!$C$47</x:f>
        <x:v>7500</x:v>
      </x:c>
      <x:c r="AI1203" s="81" t="n">
        <x:f>IF(AH1203&gt;0,(AE1203+AF1203)/AH1203*365,0)</x:f>
        <x:v>138.93834291116423</x:v>
      </x:c>
      <x:c r="AJ1203" s="81" t="n">
        <x:f>IF('Inputs'!$B$47&gt;0,AG1203/('Inputs'!$B$19*'Inputs'!$B$47)*365,0)</x:f>
        <x:v>220.19966824630302</x:v>
      </x:c>
      <x:c r="AK1203" s="81" t="n">
        <x:f>W1203/MAX($W$1099:W1203)-1</x:f>
        <x:v>-0.5984640190703792</x:v>
      </x:c>
      <x:c r="AL1203" s="83" t="n">
        <x:f>'Inputs'!$B$47</x:f>
        <x:v>1</x:v>
      </x:c>
      <x:c r="AM1203" s="83" t="n">
        <x:f>'Inputs'!$C$47</x:f>
        <x:v>1.5</x:v>
      </x:c>
      <x:c r="AN1203" s="83" t="n">
        <x:f>'Inputs'!$D$47</x:f>
        <x:v>1.5</x:v>
      </x:c>
      <x:c r="AO1203" s="81" t="n">
        <x:f>'Inputs'!$E$47</x:f>
        <x:v>0.05</x:v>
      </x:c>
    </x:row>
    <x:row r="1204">
      <x:c r="A1204" s="59" t="str">
        <x:v>Growth</x:v>
      </x:c>
      <x:c r="B1204" s="59" t="n">
        <x:v>106</x:v>
      </x:c>
      <x:c r="C1204" s="78" t="n">
        <x:f>(('Inputs'!$B$29*(3*106*'Inputs'!$B$12-106^2)/(2*'Inputs'!$B$12^2))-('Inputs'!$B$29*(3*105*'Inputs'!$B$12-105^2)/(2*'Inputs'!$B$12^2)))*'Inputs'!$B$47</x:f>
        <x:v>677687.4179020375</x:v>
      </x:c>
      <x:c r="D1204" s="78" t="n">
        <x:f>IF('Inputs'!$C$47&gt;0,('Inputs'!$B$30*(3*106*'Inputs'!$B$12-106^2)/(2*'Inputs'!$B$12^2))-('Inputs'!$B$30*(3*105*'Inputs'!$B$12-105^2)/(2*'Inputs'!$B$12^2)),0)</x:f>
        <x:v>290437.4648151621</x:v>
      </x:c>
      <x:c r="E1204" s="78" t="n">
        <x:f>C1204+D1204</x:f>
        <x:v>968124.8827171996</x:v>
      </x:c>
      <x:c r="F1204" s="78" t="n">
        <x:f>'Inputs'!$B$13*E1204+(1-'Inputs'!$B$13)/'Inputs'!$B$14*SUM(E1149:E1204)</x:f>
        <x:v>978342.5595796569</x:v>
      </x:c>
      <x:c r="G1204" s="78" t="n">
        <x:f>F1204*'Inputs'!$F$47</x:f>
        <x:v>342419.8958528799</x:v>
      </x:c>
      <x:c r="H1204" s="78" t="n">
        <x:f>U1203</x:f>
        <x:v>2432514.308602357</x:v>
      </x:c>
      <x:c r="I1204" s="78" t="n">
        <x:f>V1203</x:f>
        <x:v>21644.197204087905</x:v>
      </x:c>
      <x:c r="J1204" s="79" t="n">
        <x:f>IF(H1204&gt;0,I1204/H1204,0)</x:f>
        <x:v>0.008897870457553013</x:v>
      </x:c>
      <x:c r="K1204" s="80" t="n">
        <x:f>(H1204*J1204+I1204)*'Inputs'!$D$47*(1+'Inputs'!$G$47)^(B1204/30)</x:f>
        <x:v>72081.02120923882</x:v>
      </x:c>
      <x:c r="L1204" s="80" t="n">
        <x:f>MAX(0,K1204*'Inputs'!$E$47)</x:f>
        <x:v>3604.0510604619412</x:v>
      </x:c>
      <x:c r="M1204" s="80" t="n">
        <x:f>MAX(0,-K1204*'Inputs'!$E$47)</x:f>
        <x:v>0</x:v>
      </x:c>
      <x:c r="N1204" s="78" t="n">
        <x:f>H1204*(L1204*(1-'Inputs'!$B$15))/(I1204+L1204*(1-'Inputs'!$B$15))</x:f>
        <x:v>344247.39001343364</x:v>
      </x:c>
      <x:c r="O1204" s="78" t="n">
        <x:f>H1204-N1204</x:f>
        <x:v>2088266.9185889233</x:v>
      </x:c>
      <x:c r="P1204" s="78" t="n">
        <x:f>I1204+L1204*(1-'Inputs'!$B$17)</x:f>
        <x:v>25233.745040966496</x:v>
      </x:c>
      <x:c r="Q1204" s="78" t="n">
        <x:f>IF(J1204&gt;0,M1204/J1204,0)</x:f>
        <x:v>0</x:v>
      </x:c>
      <x:c r="R1204" s="78" t="n">
        <x:f>IF(B1204='Inputs'!$H$47,'Inputs'!$B$27*'Inputs'!$I$47,0)</x:f>
        <x:v>0</x:v>
      </x:c>
      <x:c r="S1204" s="78" t="n">
        <x:f>Q1204+G1204+R1204</x:f>
        <x:v>342419.8958528799</x:v>
      </x:c>
      <x:c r="T1204" s="78" t="n">
        <x:f>P1204*(S1204*(1-'Inputs'!$B$15))/(O1204+S1204*(1-'Inputs'!$B$15))</x:f>
        <x:v>3524.1884956538433</x:v>
      </x:c>
      <x:c r="U1204" s="78" t="n">
        <x:f>O1204+S1204*(1-'Inputs'!$B$17)</x:f>
        <x:v>2429308.86717479</x:v>
      </x:c>
      <x:c r="V1204" s="78" t="n">
        <x:f>P1204-T1204</x:f>
        <x:v>21709.556545312655</x:v>
      </x:c>
      <x:c r="W1204" s="79" t="n">
        <x:f>IF(U1204&gt;0,V1204/U1204,0)</x:f>
        <x:v>0.00893651558212941</x:v>
      </x:c>
      <x:c r="X1204" s="80" t="n">
        <x:f>W1204*('Inputs'!$B$6-AC1204)</x:f>
        <x:v>8921931.757506294</x:v>
      </x:c>
      <x:c r="Y1204" s="80" t="n">
        <x:f>2*V1204</x:f>
        <x:v>43419.11309062531</x:v>
      </x:c>
      <x:c r="Z1204" s="80" t="n">
        <x:f>K1204*'Inputs'!$B$16+(G1204+R1204)*J1204*'Inputs'!$B$16</x:f>
        <x:v>450.7669745077593</x:v>
      </x:c>
      <x:c r="AA1204" s="80" t="n">
        <x:f>K1204*(1+'Inputs'!$E$47)/2*'Inputs'!$B$17</x:f>
        <x:v>152.28384762515248</x:v>
      </x:c>
      <x:c r="AB1204" s="78" t="n">
        <x:f>(IF(J1204&gt;0,K1204*(1-'Inputs'!$E$47)/2/J1204,0)+G1204+R1204)*'Inputs'!$B$17</x:f>
        <x:v>16862.621347073808</x:v>
      </x:c>
      <x:c r="AC1204" s="78" t="n">
        <x:f>AC1203+AB1204</x:f>
        <x:v>1631936.3502570288</x:v>
      </x:c>
      <x:c r="AD1204" s="80" t="n">
        <x:f>Z1204/(1+'Inputs'!$C$47)</x:f>
        <x:v>180.30678980310373</x:v>
      </x:c>
      <x:c r="AE1204" s="80" t="n">
        <x:f>Z1204-AD1204</x:f>
        <x:v>270.4601847046556</x:v>
      </x:c>
      <x:c r="AF1204" s="80" t="n">
        <x:f>D1204*W1204</x:f>
        <x:v>2595.4989299548583</x:v>
      </x:c>
      <x:c r="AG1204" s="80" t="n">
        <x:f>C1204*W1204</x:f>
        <x:v>6056.164169894603</x:v>
      </x:c>
      <x:c r="AH1204" s="80" t="n">
        <x:f>2*'Inputs'!$B$8*'Inputs'!$C$47</x:f>
        <x:v>7500</x:v>
      </x:c>
      <x:c r="AI1204" s="81" t="n">
        <x:f>IF(AH1204&gt;0,(AE1204+AF1204)/AH1204*365,0)</x:f>
        <x:v>139.47667691342969</x:v>
      </x:c>
      <x:c r="AJ1204" s="81" t="n">
        <x:f>IF('Inputs'!$B$47&gt;0,AG1204/('Inputs'!$B$19*'Inputs'!$B$47)*365,0)</x:f>
        <x:v>221.04999220115303</x:v>
      </x:c>
      <x:c r="AK1204" s="81" t="n">
        <x:f>W1204/MAX($W$1099:W1204)-1</x:f>
        <x:v>-0.5967200727993072</x:v>
      </x:c>
      <x:c r="AL1204" s="83" t="n">
        <x:f>'Inputs'!$B$47</x:f>
        <x:v>1</x:v>
      </x:c>
      <x:c r="AM1204" s="83" t="n">
        <x:f>'Inputs'!$C$47</x:f>
        <x:v>1.5</x:v>
      </x:c>
      <x:c r="AN1204" s="83" t="n">
        <x:f>'Inputs'!$D$47</x:f>
        <x:v>1.5</x:v>
      </x:c>
      <x:c r="AO1204" s="81" t="n">
        <x:f>'Inputs'!$E$47</x:f>
        <x:v>0.05</x:v>
      </x:c>
    </x:row>
    <x:row r="1205">
      <x:c r="A1205" s="59" t="str">
        <x:v>Growth</x:v>
      </x:c>
      <x:c r="B1205" s="59" t="n">
        <x:v>107</x:v>
      </x:c>
      <x:c r="C1205" s="78" t="n">
        <x:f>(('Inputs'!$B$29*(3*107*'Inputs'!$B$12-107^2)/(2*'Inputs'!$B$12^2))-('Inputs'!$B$29*(3*106*'Inputs'!$B$12-106^2)/(2*'Inputs'!$B$12^2)))*'Inputs'!$B$47</x:f>
        <x:v>677362.3100018799</x:v>
      </x:c>
      <x:c r="D1205" s="78" t="n">
        <x:f>IF('Inputs'!$C$47&gt;0,('Inputs'!$B$30*(3*107*'Inputs'!$B$12-107^2)/(2*'Inputs'!$B$12^2))-('Inputs'!$B$30*(3*106*'Inputs'!$B$12-106^2)/(2*'Inputs'!$B$12^2)),0)</x:f>
        <x:v>290298.1328579448</x:v>
      </x:c>
      <x:c r="E1205" s="78" t="n">
        <x:f>C1205+D1205</x:f>
        <x:v>967660.4428598247</x:v>
      </x:c>
      <x:c r="F1205" s="78" t="n">
        <x:f>'Inputs'!$B$13*E1205+(1-'Inputs'!$B$13)/'Inputs'!$B$14*SUM(E1150:E1205)</x:f>
        <x:v>977878.1197222748</x:v>
      </x:c>
      <x:c r="G1205" s="78" t="n">
        <x:f>F1205*'Inputs'!$F$47</x:f>
        <x:v>342257.3419027962</x:v>
      </x:c>
      <x:c r="H1205" s="78" t="n">
        <x:f>U1204</x:f>
        <x:v>2429308.86717479</x:v>
      </x:c>
      <x:c r="I1205" s="78" t="n">
        <x:f>V1204</x:f>
        <x:v>21709.556545312655</x:v>
      </x:c>
      <x:c r="J1205" s="79" t="n">
        <x:f>IF(H1205&gt;0,I1205/H1205,0)</x:f>
        <x:v>0.00893651558212941</x:v>
      </x:c>
      <x:c r="K1205" s="80" t="n">
        <x:f>(H1205*J1205+I1205)*'Inputs'!$D$47*(1+'Inputs'!$G$47)^(B1205/30)</x:f>
        <x:v>72369.95598793161</x:v>
      </x:c>
      <x:c r="L1205" s="80" t="n">
        <x:f>MAX(0,K1205*'Inputs'!$E$47)</x:f>
        <x:v>3618.4977993965804</x:v>
      </x:c>
      <x:c r="M1205" s="80" t="n">
        <x:f>MAX(0,-K1205*'Inputs'!$E$47)</x:f>
        <x:v>0</x:v>
      </x:c>
      <x:c r="N1205" s="78" t="n">
        <x:f>H1205*(L1205*(1-'Inputs'!$B$15))/(I1205+L1205*(1-'Inputs'!$B$15))</x:f>
        <x:v>344084.66119471885</x:v>
      </x:c>
      <x:c r="O1205" s="78" t="n">
        <x:f>H1205-N1205</x:f>
        <x:v>2085224.2059800709</x:v>
      </x:c>
      <x:c r="P1205" s="78" t="n">
        <x:f>I1205+L1205*(1-'Inputs'!$B$17)</x:f>
        <x:v>25313.492985355526</x:v>
      </x:c>
      <x:c r="Q1205" s="78" t="n">
        <x:f>IF(J1205&gt;0,M1205/J1205,0)</x:f>
        <x:v>0</x:v>
      </x:c>
      <x:c r="R1205" s="78" t="n">
        <x:f>IF(B1205='Inputs'!$H$47,'Inputs'!$B$27*'Inputs'!$I$47,0)</x:f>
        <x:v>0</x:v>
      </x:c>
      <x:c r="S1205" s="78" t="n">
        <x:f>Q1205+G1205+R1205</x:f>
        <x:v>342257.3419027962</x:v>
      </x:c>
      <x:c r="T1205" s="78" t="n">
        <x:f>P1205*(S1205*(1-'Inputs'!$B$15))/(O1205+S1205*(1-'Inputs'!$B$15))</x:f>
        <x:v>3538.318013531638</x:v>
      </x:c>
      <x:c r="U1205" s="78" t="n">
        <x:f>O1205+S1205*(1-'Inputs'!$B$17)</x:f>
        <x:v>2426104.2547564977</x:v>
      </x:c>
      <x:c r="V1205" s="78" t="n">
        <x:f>P1205-T1205</x:f>
        <x:v>21775.174971823886</x:v>
      </x:c>
      <x:c r="W1205" s="79" t="n">
        <x:f>IF(U1205&gt;0,V1205/U1205,0)</x:f>
        <x:v>0.008975366548709758</x:v>
      </x:c>
      <x:c r="X1205" s="80" t="n">
        <x:f>W1205*('Inputs'!$B$6-AC1205)</x:f>
        <x:v>8960568.025763461</x:v>
      </x:c>
      <x:c r="Y1205" s="80" t="n">
        <x:f>2*V1205</x:f>
        <x:v>43550.34994364777</x:v>
      </x:c>
      <x:c r="Z1205" s="80" t="n">
        <x:f>K1205*'Inputs'!$B$16+(G1205+R1205)*J1205*'Inputs'!$B$16</x:f>
        <x:v>452.57126434166486</x:v>
      </x:c>
      <x:c r="AA1205" s="80" t="n">
        <x:f>K1205*(1+'Inputs'!$E$47)/2*'Inputs'!$B$17</x:f>
        <x:v>152.89427321394004</x:v>
      </x:c>
      <x:c r="AB1205" s="78" t="n">
        <x:f>(IF(J1205&gt;0,K1205*(1-'Inputs'!$E$47)/2/J1205,0)+G1205+R1205)*'Inputs'!$B$17</x:f>
        <x:v>16856.806655877423</x:v>
      </x:c>
      <x:c r="AC1205" s="78" t="n">
        <x:f>AC1204+AB1205</x:f>
        <x:v>1648793.1569129063</x:v>
      </x:c>
      <x:c r="AD1205" s="80" t="n">
        <x:f>Z1205/(1+'Inputs'!$C$47)</x:f>
        <x:v>181.02850573666595</x:v>
      </x:c>
      <x:c r="AE1205" s="80" t="n">
        <x:f>Z1205-AD1205</x:f>
        <x:v>271.5427586049989</x:v>
      </x:c>
      <x:c r="AF1205" s="80" t="n">
        <x:f>D1205*W1205</x:f>
        <x:v>2605.5321508060993</x:v>
      </x:c>
      <x:c r="AG1205" s="80" t="n">
        <x:f>C1205*W1205</x:f>
        <x:v>6079.575018547643</x:v>
      </x:c>
      <x:c r="AH1205" s="80" t="n">
        <x:f>2*'Inputs'!$B$8*'Inputs'!$C$47</x:f>
        <x:v>7500</x:v>
      </x:c>
      <x:c r="AI1205" s="81" t="n">
        <x:f>IF(AH1205&gt;0,(AE1205+AF1205)/AH1205*365,0)</x:f>
        <x:v>140.01764559134008</x:v>
      </x:c>
      <x:c r="AJ1205" s="81" t="n">
        <x:f>IF('Inputs'!$B$47&gt;0,AG1205/('Inputs'!$B$19*'Inputs'!$B$47)*365,0)</x:f>
        <x:v>221.90448817698896</x:v>
      </x:c>
      <x:c r="AK1205" s="81" t="n">
        <x:f>W1205/MAX($W$1099:W1205)-1</x:f>
        <x:v>-0.5949668374549264</x:v>
      </x:c>
      <x:c r="AL1205" s="83" t="n">
        <x:f>'Inputs'!$B$47</x:f>
        <x:v>1</x:v>
      </x:c>
      <x:c r="AM1205" s="83" t="n">
        <x:f>'Inputs'!$C$47</x:f>
        <x:v>1.5</x:v>
      </x:c>
      <x:c r="AN1205" s="83" t="n">
        <x:f>'Inputs'!$D$47</x:f>
        <x:v>1.5</x:v>
      </x:c>
      <x:c r="AO1205" s="81" t="n">
        <x:f>'Inputs'!$E$47</x:f>
        <x:v>0.05</x:v>
      </x:c>
    </x:row>
    <x:row r="1206">
      <x:c r="A1206" s="59" t="str">
        <x:v>Growth</x:v>
      </x:c>
      <x:c r="B1206" s="59" t="n">
        <x:v>108</x:v>
      </x:c>
      <x:c r="C1206" s="78" t="n">
        <x:f>(('Inputs'!$B$29*(3*108*'Inputs'!$B$12-108^2)/(2*'Inputs'!$B$12^2))-('Inputs'!$B$29*(3*107*'Inputs'!$B$12-107^2)/(2*'Inputs'!$B$12^2)))*'Inputs'!$B$47</x:f>
        <x:v>677037.2021017075</x:v>
      </x:c>
      <x:c r="D1206" s="78" t="n">
        <x:f>IF('Inputs'!$C$47&gt;0,('Inputs'!$B$30*(3*108*'Inputs'!$B$12-108^2)/(2*'Inputs'!$B$12^2))-('Inputs'!$B$30*(3*107*'Inputs'!$B$12-107^2)/(2*'Inputs'!$B$12^2)),0)</x:f>
        <x:v>290158.80090073124</x:v>
      </x:c>
      <x:c r="E1206" s="78" t="n">
        <x:f>C1206+D1206</x:f>
        <x:v>967196.0030024387</x:v>
      </x:c>
      <x:c r="F1206" s="78" t="n">
        <x:f>'Inputs'!$B$13*E1206+(1-'Inputs'!$B$13)/'Inputs'!$B$14*SUM(E1151:E1206)</x:f>
        <x:v>977413.6798648901</x:v>
      </x:c>
      <x:c r="G1206" s="78" t="n">
        <x:f>F1206*'Inputs'!$F$47</x:f>
        <x:v>342094.7879527115</x:v>
      </x:c>
      <x:c r="H1206" s="78" t="n">
        <x:f>U1205</x:f>
        <x:v>2426104.2547564977</x:v>
      </x:c>
      <x:c r="I1206" s="78" t="n">
        <x:f>V1205</x:f>
        <x:v>21775.174971823886</x:v>
      </x:c>
      <x:c r="J1206" s="79" t="n">
        <x:f>IF(H1206&gt;0,I1206/H1206,0)</x:f>
        <x:v>0.008975366548709758</x:v>
      </x:c>
      <x:c r="K1206" s="80" t="n">
        <x:f>(H1206*J1206+I1206)*'Inputs'!$D$47*(1+'Inputs'!$G$47)^(B1206/30)</x:f>
        <x:v>72660.254898725</x:v>
      </x:c>
      <x:c r="L1206" s="80" t="n">
        <x:f>MAX(0,K1206*'Inputs'!$E$47)</x:f>
        <x:v>3633.0127449362503</x:v>
      </x:c>
      <x:c r="M1206" s="80" t="n">
        <x:f>MAX(0,-K1206*'Inputs'!$E$47)</x:f>
        <x:v>0</x:v>
      </x:c>
      <x:c r="N1206" s="78" t="n">
        <x:f>H1206*(L1206*(1-'Inputs'!$B$15))/(I1206+L1206*(1-'Inputs'!$B$15))</x:f>
        <x:v>343921.4874424461</x:v>
      </x:c>
      <x:c r="O1206" s="78" t="n">
        <x:f>H1206-N1206</x:f>
        <x:v>2082182.7673140515</x:v>
      </x:c>
      <x:c r="P1206" s="78" t="n">
        <x:f>I1206+L1206*(1-'Inputs'!$B$17)</x:f>
        <x:v>25393.567947162806</x:v>
      </x:c>
      <x:c r="Q1206" s="78" t="n">
        <x:f>IF(J1206&gt;0,M1206/J1206,0)</x:f>
        <x:v>0</x:v>
      </x:c>
      <x:c r="R1206" s="78" t="n">
        <x:f>IF(B1206='Inputs'!$H$47,'Inputs'!$B$27*'Inputs'!$I$47,0)</x:f>
        <x:v>0</x:v>
      </x:c>
      <x:c r="S1206" s="78" t="n">
        <x:f>Q1206+G1206+R1206</x:f>
        <x:v>342094.7879527115</x:v>
      </x:c>
      <x:c r="T1206" s="78" t="n">
        <x:f>P1206*(S1206*(1-'Inputs'!$B$15))/(O1206+S1206*(1-'Inputs'!$B$15))</x:f>
        <x:v>3552.51820515997</x:v>
      </x:c>
      <x:c r="U1206" s="78" t="n">
        <x:f>O1206+S1206*(1-'Inputs'!$B$17)</x:f>
        <x:v>2422900.916281038</x:v>
      </x:c>
      <x:c r="V1206" s="78" t="n">
        <x:f>P1206-T1206</x:f>
        <x:v>21841.049742002837</x:v>
      </x:c>
      <x:c r="W1206" s="79" t="n">
        <x:f>IF(U1206&gt;0,V1206/U1206,0)</x:f>
        <x:v>0.00901442134725308</x:v>
      </x:c>
      <x:c r="X1206" s="80" t="n">
        <x:f>W1206*('Inputs'!$B$6-AC1206)</x:f>
        <x:v>8999406.529260205</x:v>
      </x:c>
      <x:c r="Y1206" s="80" t="n">
        <x:f>2*V1206</x:f>
        <x:v>43682.099484005674</x:v>
      </x:c>
      <x:c r="Z1206" s="80" t="n">
        <x:f>K1206*'Inputs'!$B$16+(G1206+R1206)*J1206*'Inputs'!$B$16</x:f>
        <x:v>454.3840860900224</x:v>
      </x:c>
      <x:c r="AA1206" s="80" t="n">
        <x:f>K1206*(1+'Inputs'!$E$47)/2*'Inputs'!$B$17</x:f>
        <x:v>153.50758077195425</x:v>
      </x:c>
      <x:c r="AB1206" s="78" t="n">
        <x:f>(IF(J1206&gt;0,K1206*(1-'Inputs'!$E$47)/2/J1206,0)+G1206+R1206)*'Inputs'!$B$17</x:f>
        <x:v>16850.972030606903</x:v>
      </x:c>
      <x:c r="AC1206" s="78" t="n">
        <x:f>AC1205+AB1206</x:f>
        <x:v>1665644.1289435131</x:v>
      </x:c>
      <x:c r="AD1206" s="80" t="n">
        <x:f>Z1206/(1+'Inputs'!$C$47)</x:f>
        <x:v>181.75363443600895</x:v>
      </x:c>
      <x:c r="AE1206" s="80" t="n">
        <x:f>Z1206-AD1206</x:f>
        <x:v>272.6304516540134</x:v>
      </x:c>
      <x:c r="AF1206" s="80" t="n">
        <x:f>D1206*W1206</x:f>
        <x:v>2615.613688932908</x:v>
      </x:c>
      <x:c r="AG1206" s="80" t="n">
        <x:f>C1206*W1206</x:f>
        <x:v>6103.09860751013</x:v>
      </x:c>
      <x:c r="AH1206" s="80" t="n">
        <x:f>2*'Inputs'!$B$8*'Inputs'!$C$47</x:f>
        <x:v>7500</x:v>
      </x:c>
      <x:c r="AI1206" s="81" t="n">
        <x:f>IF(AH1206&gt;0,(AE1206+AF1206)/AH1206*365,0)</x:f>
        <x:v>140.56121484189686</x:v>
      </x:c>
      <x:c r="AJ1206" s="81" t="n">
        <x:f>IF('Inputs'!$B$47&gt;0,AG1206/('Inputs'!$B$19*'Inputs'!$B$47)*365,0)</x:f>
        <x:v>222.76309917411976</x:v>
      </x:c>
      <x:c r="AK1206" s="81" t="n">
        <x:f>W1206/MAX($W$1099:W1206)-1</x:f>
        <x:v>-0.5932044037447581</x:v>
      </x:c>
      <x:c r="AL1206" s="83" t="n">
        <x:f>'Inputs'!$B$47</x:f>
        <x:v>1</x:v>
      </x:c>
      <x:c r="AM1206" s="83" t="n">
        <x:f>'Inputs'!$C$47</x:f>
        <x:v>1.5</x:v>
      </x:c>
      <x:c r="AN1206" s="83" t="n">
        <x:f>'Inputs'!$D$47</x:f>
        <x:v>1.5</x:v>
      </x:c>
      <x:c r="AO1206" s="81" t="n">
        <x:f>'Inputs'!$E$47</x:f>
        <x:v>0.05</x:v>
      </x:c>
    </x:row>
    <x:row r="1207">
      <x:c r="A1207" s="59" t="str">
        <x:v>Growth</x:v>
      </x:c>
      <x:c r="B1207" s="59" t="n">
        <x:v>109</x:v>
      </x:c>
      <x:c r="C1207" s="78" t="n">
        <x:f>(('Inputs'!$B$29*(3*109*'Inputs'!$B$12-109^2)/(2*'Inputs'!$B$12^2))-('Inputs'!$B$29*(3*108*'Inputs'!$B$12-108^2)/(2*'Inputs'!$B$12^2)))*'Inputs'!$B$47</x:f>
        <x:v>676712.0942015499</x:v>
      </x:c>
      <x:c r="D1207" s="78" t="n">
        <x:f>IF('Inputs'!$C$47&gt;0,('Inputs'!$B$30*(3*109*'Inputs'!$B$12-109^2)/(2*'Inputs'!$B$12^2))-('Inputs'!$B$30*(3*108*'Inputs'!$B$12-108^2)/(2*'Inputs'!$B$12^2)),0)</x:f>
        <x:v>290019.46894351766</x:v>
      </x:c>
      <x:c r="E1207" s="78" t="n">
        <x:f>C1207+D1207</x:f>
        <x:v>966731.5631450675</x:v>
      </x:c>
      <x:c r="F1207" s="78" t="n">
        <x:f>'Inputs'!$B$13*E1207+(1-'Inputs'!$B$13)/'Inputs'!$B$14*SUM(E1152:E1207)</x:f>
        <x:v>976949.2400075087</x:v>
      </x:c>
      <x:c r="G1207" s="78" t="n">
        <x:f>F1207*'Inputs'!$F$47</x:f>
        <x:v>341932.234002628</x:v>
      </x:c>
      <x:c r="H1207" s="78" t="n">
        <x:f>U1206</x:f>
        <x:v>2422900.916281038</x:v>
      </x:c>
      <x:c r="I1207" s="78" t="n">
        <x:f>V1206</x:f>
        <x:v>21841.049742002837</x:v>
      </x:c>
      <x:c r="J1207" s="79" t="n">
        <x:f>IF(H1207&gt;0,I1207/H1207,0)</x:f>
        <x:v>0.00901442134725308</x:v>
      </x:c>
      <x:c r="K1207" s="80" t="n">
        <x:f>(H1207*J1207+I1207)*'Inputs'!$D$47*(1+'Inputs'!$G$47)^(B1207/30)</x:f>
        <x:v>72951.91204518173</x:v>
      </x:c>
      <x:c r="L1207" s="80" t="n">
        <x:f>MAX(0,K1207*'Inputs'!$E$47)</x:f>
        <x:v>3647.5956022590867</x:v>
      </x:c>
      <x:c r="M1207" s="80" t="n">
        <x:f>MAX(0,-K1207*'Inputs'!$E$47)</x:f>
        <x:v>0</x:v>
      </x:c>
      <x:c r="N1207" s="78" t="n">
        <x:f>H1207*(L1207*(1-'Inputs'!$B$15))/(I1207+L1207*(1-'Inputs'!$B$15))</x:f>
        <x:v>343757.93144413404</x:v>
      </x:c>
      <x:c r="O1207" s="78" t="n">
        <x:f>H1207-N1207</x:f>
        <x:v>2079142.9848369039</x:v>
      </x:c>
      <x:c r="P1207" s="78" t="n">
        <x:f>I1207+L1207*(1-'Inputs'!$B$17)</x:f>
        <x:v>25473.96689113412</x:v>
      </x:c>
      <x:c r="Q1207" s="78" t="n">
        <x:f>IF(J1207&gt;0,M1207/J1207,0)</x:f>
        <x:v>0</x:v>
      </x:c>
      <x:c r="R1207" s="78" t="n">
        <x:f>IF(B1207='Inputs'!$H$47,'Inputs'!$B$27*'Inputs'!$I$47,0)</x:f>
        <x:v>0</x:v>
      </x:c>
      <x:c r="S1207" s="78" t="n">
        <x:f>Q1207+G1207+R1207</x:f>
        <x:v>341932.234002628</x:v>
      </x:c>
      <x:c r="T1207" s="78" t="n">
        <x:f>P1207*(S1207*(1-'Inputs'!$B$15))/(O1207+S1207*(1-'Inputs'!$B$15))</x:f>
        <x:v>3566.788274708592</x:v>
      </x:c>
      <x:c r="U1207" s="78" t="n">
        <x:f>O1207+S1207*(1-'Inputs'!$B$17)</x:f>
        <x:v>2419699.233994451</x:v>
      </x:c>
      <x:c r="V1207" s="78" t="n">
        <x:f>P1207-T1207</x:f>
        <x:v>21907.178616425528</x:v>
      </x:c>
      <x:c r="W1207" s="79" t="n">
        <x:f>IF(U1207&gt;0,V1207/U1207,0)</x:f>
        <x:v>0.009053678369877836</x:v>
      </x:c>
      <x:c r="X1207" s="80" t="n">
        <x:f>W1207*('Inputs'!$B$6-AC1207)</x:f>
        <x:v>9038445.653354563</x:v>
      </x:c>
      <x:c r="Y1207" s="80" t="n">
        <x:f>2*V1207</x:f>
        <x:v>43814.357232851056</x:v>
      </x:c>
      <x:c r="Z1207" s="80" t="n">
        <x:f>K1207*'Inputs'!$B$16+(G1207+R1207)*J1207*'Inputs'!$B$16</x:f>
        <x:v>456.2053996481337</x:v>
      </x:c>
      <x:c r="AA1207" s="80" t="n">
        <x:f>K1207*(1+'Inputs'!$E$47)/2*'Inputs'!$B$17</x:f>
        <x:v>154.12375784193324</x:v>
      </x:c>
      <x:c r="AB1207" s="78" t="n">
        <x:f>(IF(J1207&gt;0,K1207*(1-'Inputs'!$E$47)/2/J1207,0)+G1207+R1207)*'Inputs'!$B$17</x:f>
        <x:v>16845.1202828895</x:v>
      </x:c>
      <x:c r="AC1207" s="78" t="n">
        <x:f>AC1206+AB1207</x:f>
        <x:v>1682489.2492264027</x:v>
      </x:c>
      <x:c r="AD1207" s="80" t="n">
        <x:f>Z1207/(1+'Inputs'!$C$47)</x:f>
        <x:v>182.4821598592535</x:v>
      </x:c>
      <x:c r="AE1207" s="80" t="n">
        <x:f>Z1207-AD1207</x:f>
        <x:v>273.7232397888802</x:v>
      </x:c>
      <x:c r="AF1207" s="80" t="n">
        <x:f>D1207*W1207</x:f>
        <x:v>2625.7429928173824</x:v>
      </x:c>
      <x:c r="AG1207" s="80" t="n">
        <x:f>C1207*W1207</x:f>
        <x:v>6126.733649907304</x:v>
      </x:c>
      <x:c r="AH1207" s="80" t="n">
        <x:f>2*'Inputs'!$B$8*'Inputs'!$C$47</x:f>
        <x:v>7500</x:v>
      </x:c>
      <x:c r="AI1207" s="81" t="n">
        <x:f>IF(AH1207&gt;0,(AE1207+AF1207)/AH1207*365,0)</x:f>
        <x:v>141.10735665350478</x:v>
      </x:c>
      <x:c r="AJ1207" s="81" t="n">
        <x:f>IF('Inputs'!$B$47&gt;0,AG1207/('Inputs'!$B$19*'Inputs'!$B$47)*365,0)</x:f>
        <x:v>223.6257782216166</x:v>
      </x:c>
      <x:c r="AK1207" s="81" t="n">
        <x:f>W1207/MAX($W$1099:W1207)-1</x:f>
        <x:v>-0.5914328442279946</x:v>
      </x:c>
      <x:c r="AL1207" s="83" t="n">
        <x:f>'Inputs'!$B$47</x:f>
        <x:v>1</x:v>
      </x:c>
      <x:c r="AM1207" s="83" t="n">
        <x:f>'Inputs'!$C$47</x:f>
        <x:v>1.5</x:v>
      </x:c>
      <x:c r="AN1207" s="83" t="n">
        <x:f>'Inputs'!$D$47</x:f>
        <x:v>1.5</x:v>
      </x:c>
      <x:c r="AO1207" s="81" t="n">
        <x:f>'Inputs'!$E$47</x:f>
        <x:v>0.05</x:v>
      </x:c>
    </x:row>
    <x:row r="1208">
      <x:c r="A1208" s="59" t="str">
        <x:v>Growth</x:v>
      </x:c>
      <x:c r="B1208" s="59" t="n">
        <x:v>110</x:v>
      </x:c>
      <x:c r="C1208" s="78" t="n">
        <x:f>(('Inputs'!$B$29*(3*110*'Inputs'!$B$12-110^2)/(2*'Inputs'!$B$12^2))-('Inputs'!$B$29*(3*109*'Inputs'!$B$12-109^2)/(2*'Inputs'!$B$12^2)))*'Inputs'!$B$47</x:f>
        <x:v>676386.9863013625</x:v>
      </x:c>
      <x:c r="D1208" s="78" t="n">
        <x:f>IF('Inputs'!$C$47&gt;0,('Inputs'!$B$30*(3*110*'Inputs'!$B$12-110^2)/(2*'Inputs'!$B$12^2))-('Inputs'!$B$30*(3*109*'Inputs'!$B$12-109^2)/(2*'Inputs'!$B$12^2)),0)</x:f>
        <x:v>289880.13698630035</x:v>
      </x:c>
      <x:c r="E1208" s="78" t="n">
        <x:f>C1208+D1208</x:f>
        <x:v>966267.1232876629</x:v>
      </x:c>
      <x:c r="F1208" s="78" t="n">
        <x:f>'Inputs'!$B$13*E1208+(1-'Inputs'!$B$13)/'Inputs'!$B$14*SUM(E1153:E1208)</x:f>
        <x:v>976484.8001501204</x:v>
      </x:c>
      <x:c r="G1208" s="78" t="n">
        <x:f>F1208*'Inputs'!$F$47</x:f>
        <x:v>341769.6800525421</x:v>
      </x:c>
      <x:c r="H1208" s="78" t="n">
        <x:f>U1207</x:f>
        <x:v>2419699.233994451</x:v>
      </x:c>
      <x:c r="I1208" s="78" t="n">
        <x:f>V1207</x:f>
        <x:v>21907.178616425528</x:v>
      </x:c>
      <x:c r="J1208" s="79" t="n">
        <x:f>IF(H1208&gt;0,I1208/H1208,0)</x:f>
        <x:v>0.009053678369877836</x:v>
      </x:c>
      <x:c r="K1208" s="80" t="n">
        <x:f>(H1208*J1208+I1208)*'Inputs'!$D$47*(1+'Inputs'!$G$47)^(B1208/30)</x:f>
        <x:v>73244.92317974826</x:v>
      </x:c>
      <x:c r="L1208" s="80" t="n">
        <x:f>MAX(0,K1208*'Inputs'!$E$47)</x:f>
        <x:v>3662.2461589874133</x:v>
      </x:c>
      <x:c r="M1208" s="80" t="n">
        <x:f>MAX(0,-K1208*'Inputs'!$E$47)</x:f>
        <x:v>0</x:v>
      </x:c>
      <x:c r="N1208" s="78" t="n">
        <x:f>H1208*(L1208*(1-'Inputs'!$B$15))/(I1208+L1208*(1-'Inputs'!$B$15))</x:f>
        <x:v>343594.04719925433</x:v>
      </x:c>
      <x:c r="O1208" s="78" t="n">
        <x:f>H1208-N1208</x:f>
        <x:v>2076105.1867951965</x:v>
      </x:c>
      <x:c r="P1208" s="78" t="n">
        <x:f>I1208+L1208*(1-'Inputs'!$B$17)</x:f>
        <x:v>25554.687366322447</x:v>
      </x:c>
      <x:c r="Q1208" s="78" t="n">
        <x:f>IF(J1208&gt;0,M1208/J1208,0)</x:f>
        <x:v>0</x:v>
      </x:c>
      <x:c r="R1208" s="78" t="n">
        <x:f>IF(B1208='Inputs'!$H$47,'Inputs'!$B$27*'Inputs'!$I$47,0)</x:f>
        <x:v>0</x:v>
      </x:c>
      <x:c r="S1208" s="78" t="n">
        <x:f>Q1208+G1208+R1208</x:f>
        <x:v>341769.6800525421</x:v>
      </x:c>
      <x:c r="T1208" s="78" t="n">
        <x:f>P1208*(S1208*(1-'Inputs'!$B$15))/(O1208+S1208*(1-'Inputs'!$B$15))</x:f>
        <x:v>3581.12757560797</x:v>
      </x:c>
      <x:c r="U1208" s="78" t="n">
        <x:f>O1208+S1208*(1-'Inputs'!$B$17)</x:f>
        <x:v>2416499.536143302</x:v>
      </x:c>
      <x:c r="V1208" s="78" t="n">
        <x:f>P1208-T1208</x:f>
        <x:v>21973.559790714477</x:v>
      </x:c>
      <x:c r="W1208" s="79" t="n">
        <x:f>IF(U1208&gt;0,V1208/U1208,0)</x:f>
        <x:v>0.009093136357801235</x:v>
      </x:c>
      <x:c r="X1208" s="80" t="n">
        <x:f>W1208*('Inputs'!$B$6-AC1208)</x:f>
        <x:v>9077684.1320062</x:v>
      </x:c>
      <x:c r="Y1208" s="80" t="n">
        <x:f>2*V1208</x:f>
        <x:v>43947.11958142895</x:v>
      </x:c>
      <x:c r="Z1208" s="80" t="n">
        <x:f>K1208*'Inputs'!$B$16+(G1208+R1208)*J1208*'Inputs'!$B$16</x:f>
        <x:v>458.03517563712023</x:v>
      </x:c>
      <x:c r="AA1208" s="80" t="n">
        <x:f>K1208*(1+'Inputs'!$E$47)/2*'Inputs'!$B$17</x:f>
        <x:v>154.7427954501724</x:v>
      </x:c>
      <x:c r="AB1208" s="78" t="n">
        <x:f>(IF(J1208&gt;0,K1208*(1-'Inputs'!$E$47)/2/J1208,0)+G1208+R1208)*'Inputs'!$B$17</x:f>
        <x:v>16839.25383489464</x:v>
      </x:c>
      <x:c r="AC1208" s="78" t="n">
        <x:f>AC1207+AB1208</x:f>
        <x:v>1699328.5030612973</x:v>
      </x:c>
      <x:c r="AD1208" s="80" t="n">
        <x:f>Z1208/(1+'Inputs'!$C$47)</x:f>
        <x:v>183.21407025484808</x:v>
      </x:c>
      <x:c r="AE1208" s="80" t="n">
        <x:f>Z1208-AD1208</x:f>
        <x:v>274.82110538227215</x:v>
      </x:c>
      <x:c r="AF1208" s="80" t="n">
        <x:f>D1208*W1208</x:f>
        <x:v>2635.9196130345304</x:v>
      </x:c>
      <x:c r="AG1208" s="80" t="n">
        <x:f>C1208*W1208</x:f>
        <x:v>6150.479097080525</x:v>
      </x:c>
      <x:c r="AH1208" s="80" t="n">
        <x:f>2*'Inputs'!$B$8*'Inputs'!$C$47</x:f>
        <x:v>7500</x:v>
      </x:c>
      <x:c r="AI1208" s="81" t="n">
        <x:f>IF(AH1208&gt;0,(AE1208+AF1208)/AH1208*365,0)</x:f>
        <x:v>141.65604829628438</x:v>
      </x:c>
      <x:c r="AJ1208" s="81" t="n">
        <x:f>IF('Inputs'!$B$47&gt;0,AG1208/('Inputs'!$B$19*'Inputs'!$B$47)*365,0)</x:f>
        <x:v>224.49248704343918</x:v>
      </x:c>
      <x:c r="AK1208" s="81" t="n">
        <x:f>W1208/MAX($W$1099:W1208)-1</x:f>
        <x:v>-0.5896522157099785</x:v>
      </x:c>
      <x:c r="AL1208" s="83" t="n">
        <x:f>'Inputs'!$B$47</x:f>
        <x:v>1</x:v>
      </x:c>
      <x:c r="AM1208" s="83" t="n">
        <x:f>'Inputs'!$C$47</x:f>
        <x:v>1.5</x:v>
      </x:c>
      <x:c r="AN1208" s="83" t="n">
        <x:f>'Inputs'!$D$47</x:f>
        <x:v>1.5</x:v>
      </x:c>
      <x:c r="AO1208" s="81" t="n">
        <x:f>'Inputs'!$E$47</x:f>
        <x:v>0.05</x:v>
      </x:c>
    </x:row>
    <x:row r="1209">
      <x:c r="A1209" s="59" t="str">
        <x:v>Growth</x:v>
      </x:c>
      <x:c r="B1209" s="59" t="n">
        <x:v>111</x:v>
      </x:c>
      <x:c r="C1209" s="78" t="n">
        <x:f>(('Inputs'!$B$29*(3*111*'Inputs'!$B$12-111^2)/(2*'Inputs'!$B$12^2))-('Inputs'!$B$29*(3*110*'Inputs'!$B$12-110^2)/(2*'Inputs'!$B$12^2)))*'Inputs'!$B$47</x:f>
        <x:v>676061.878401205</x:v>
      </x:c>
      <x:c r="D1209" s="78" t="n">
        <x:f>IF('Inputs'!$C$47&gt;0,('Inputs'!$B$30*(3*111*'Inputs'!$B$12-111^2)/(2*'Inputs'!$B$12^2))-('Inputs'!$B$30*(3*110*'Inputs'!$B$12-110^2)/(2*'Inputs'!$B$12^2)),0)</x:f>
        <x:v>289740.80502908677</x:v>
      </x:c>
      <x:c r="E1209" s="78" t="n">
        <x:f>C1209+D1209</x:f>
        <x:v>965802.6834302917</x:v>
      </x:c>
      <x:c r="F1209" s="78" t="n">
        <x:f>'Inputs'!$B$13*E1209+(1-'Inputs'!$B$13)/'Inputs'!$B$14*SUM(E1154:E1209)</x:f>
        <x:v>976020.3602927391</x:v>
      </x:c>
      <x:c r="G1209" s="78" t="n">
        <x:f>F1209*'Inputs'!$F$47</x:f>
        <x:v>341607.1261024587</x:v>
      </x:c>
      <x:c r="H1209" s="78" t="n">
        <x:f>U1208</x:f>
        <x:v>2416499.536143302</x:v>
      </x:c>
      <x:c r="I1209" s="78" t="n">
        <x:f>V1208</x:f>
        <x:v>21973.559790714477</x:v>
      </x:c>
      <x:c r="J1209" s="79" t="n">
        <x:f>IF(H1209&gt;0,I1209/H1209,0)</x:f>
        <x:v>0.009093136357801235</x:v>
      </x:c>
      <x:c r="K1209" s="80" t="n">
        <x:f>(H1209*J1209+I1209)*'Inputs'!$D$47*(1+'Inputs'!$G$47)^(B1209/30)</x:f>
        <x:v>73539.28548722468</x:v>
      </x:c>
      <x:c r="L1209" s="80" t="n">
        <x:f>MAX(0,K1209*'Inputs'!$E$47)</x:f>
        <x:v>3676.9642743612344</x:v>
      </x:c>
      <x:c r="M1209" s="80" t="n">
        <x:f>MAX(0,-K1209*'Inputs'!$E$47)</x:f>
        <x:v>0</x:v>
      </x:c>
      <x:c r="N1209" s="78" t="n">
        <x:f>H1209*(L1209*(1-'Inputs'!$B$15))/(I1209+L1209*(1-'Inputs'!$B$15))</x:f>
        <x:v>343429.88121670333</x:v>
      </x:c>
      <x:c r="O1209" s="78" t="n">
        <x:f>H1209-N1209</x:f>
        <x:v>2073069.6549265985</x:v>
      </x:c>
      <x:c r="P1209" s="78" t="n">
        <x:f>I1209+L1209*(1-'Inputs'!$B$17)</x:f>
        <x:v>25635.72742815675</x:v>
      </x:c>
      <x:c r="Q1209" s="78" t="n">
        <x:f>IF(J1209&gt;0,M1209/J1209,0)</x:f>
        <x:v>0</x:v>
      </x:c>
      <x:c r="R1209" s="78" t="n">
        <x:f>IF(B1209='Inputs'!$H$47,'Inputs'!$B$27*'Inputs'!$I$47,0)</x:f>
        <x:v>0</x:v>
      </x:c>
      <x:c r="S1209" s="78" t="n">
        <x:f>Q1209+G1209+R1209</x:f>
        <x:v>341607.1261024587</x:v>
      </x:c>
      <x:c r="T1209" s="78" t="n">
        <x:f>P1209*(S1209*(1-'Inputs'!$B$15))/(O1209+S1209*(1-'Inputs'!$B$15))</x:f>
        <x:v>3595.535590753214</x:v>
      </x:c>
      <x:c r="U1209" s="78" t="n">
        <x:f>O1209+S1209*(1-'Inputs'!$B$17)</x:f>
        <x:v>2413302.104465265</x:v>
      </x:c>
      <x:c r="V1209" s="78" t="n">
        <x:f>P1209-T1209</x:f>
        <x:v>22040.191837403538</x:v>
      </x:c>
      <x:c r="W1209" s="79" t="n">
        <x:f>IF(U1209&gt;0,V1209/U1209,0)</x:f>
        <x:v>0.009132794355345397</x:v>
      </x:c>
      <x:c r="X1209" s="80" t="n">
        <x:f>W1209*('Inputs'!$B$6-AC1209)</x:f>
        <x:v>9117121.001834653</x:v>
      </x:c>
      <x:c r="Y1209" s="80" t="n">
        <x:f>2*V1209</x:f>
        <x:v>44080.383674807075</x:v>
      </x:c>
      <x:c r="Z1209" s="80" t="n">
        <x:f>K1209*'Inputs'!$B$16+(G1209+R1209)*J1209*'Inputs'!$B$16</x:f>
        <x:v>459.87339399402566</x:v>
      </x:c>
      <x:c r="AA1209" s="80" t="n">
        <x:f>K1209*(1+'Inputs'!$E$47)/2*'Inputs'!$B$17</x:f>
        <x:v>155.36468764906624</x:v>
      </x:c>
      <x:c r="AB1209" s="78" t="n">
        <x:f>(IF(J1209&gt;0,K1209*(1-'Inputs'!$E$47)/2/J1209,0)+G1209+R1209)*'Inputs'!$B$17</x:f>
        <x:v>16833.37477296556</x:v>
      </x:c>
      <x:c r="AC1209" s="78" t="n">
        <x:f>AC1208+AB1209</x:f>
        <x:v>1716161.8778342628</x:v>
      </x:c>
      <x:c r="AD1209" s="80" t="n">
        <x:f>Z1209/(1+'Inputs'!$C$47)</x:f>
        <x:v>183.94935759761026</x:v>
      </x:c>
      <x:c r="AE1209" s="80" t="n">
        <x:f>Z1209-AD1209</x:f>
        <x:v>275.92403639641543</x:v>
      </x:c>
      <x:c r="AF1209" s="80" t="n">
        <x:f>D1209*W1209</x:f>
        <x:v>2646.143188682875</x:v>
      </x:c>
      <x:c r="AG1209" s="80" t="n">
        <x:f>C1209*W1209</x:f>
        <x:v>6174.334106926731</x:v>
      </x:c>
      <x:c r="AH1209" s="80" t="n">
        <x:f>2*'Inputs'!$B$8*'Inputs'!$C$47</x:f>
        <x:v>7500</x:v>
      </x:c>
      <x:c r="AI1209" s="81" t="n">
        <x:f>IF(AH1209&gt;0,(AE1209+AF1209)/AH1209*365,0)</x:f>
        <x:v>142.20727162052546</x:v>
      </x:c>
      <x:c r="AJ1209" s="81" t="n">
        <x:f>IF('Inputs'!$B$47&gt;0,AG1209/('Inputs'!$B$19*'Inputs'!$B$47)*365,0)</x:f>
        <x:v>225.36319490282568</x:v>
      </x:c>
      <x:c r="AK1209" s="81" t="n">
        <x:f>W1209/MAX($W$1099:W1209)-1</x:f>
        <x:v>-0.587862561317777</x:v>
      </x:c>
      <x:c r="AL1209" s="83" t="n">
        <x:f>'Inputs'!$B$47</x:f>
        <x:v>1</x:v>
      </x:c>
      <x:c r="AM1209" s="83" t="n">
        <x:f>'Inputs'!$C$47</x:f>
        <x:v>1.5</x:v>
      </x:c>
      <x:c r="AN1209" s="83" t="n">
        <x:f>'Inputs'!$D$47</x:f>
        <x:v>1.5</x:v>
      </x:c>
      <x:c r="AO1209" s="81" t="n">
        <x:f>'Inputs'!$E$47</x:f>
        <x:v>0.05</x:v>
      </x:c>
    </x:row>
    <x:row r="1210">
      <x:c r="A1210" s="59" t="str">
        <x:v>Growth</x:v>
      </x:c>
      <x:c r="B1210" s="59" t="n">
        <x:v>112</x:v>
      </x:c>
      <x:c r="C1210" s="78" t="n">
        <x:f>(('Inputs'!$B$29*(3*112*'Inputs'!$B$12-112^2)/(2*'Inputs'!$B$12^2))-('Inputs'!$B$29*(3*111*'Inputs'!$B$12-111^2)/(2*'Inputs'!$B$12^2)))*'Inputs'!$B$47</x:f>
        <x:v>675736.7705010325</x:v>
      </x:c>
      <x:c r="D1210" s="78" t="n">
        <x:f>IF('Inputs'!$C$47&gt;0,('Inputs'!$B$30*(3*112*'Inputs'!$B$12-112^2)/(2*'Inputs'!$B$12^2))-('Inputs'!$B$30*(3*111*'Inputs'!$B$12-111^2)/(2*'Inputs'!$B$12^2)),0)</x:f>
        <x:v>289601.4730718732</x:v>
      </x:c>
      <x:c r="E1210" s="78" t="n">
        <x:f>C1210+D1210</x:f>
        <x:v>965338.2435729057</x:v>
      </x:c>
      <x:c r="F1210" s="78" t="n">
        <x:f>'Inputs'!$B$13*E1210+(1-'Inputs'!$B$13)/'Inputs'!$B$14*SUM(E1155:E1210)</x:f>
        <x:v>975555.9204353546</x:v>
      </x:c>
      <x:c r="G1210" s="78" t="n">
        <x:f>F1210*'Inputs'!$F$47</x:f>
        <x:v>341444.5721523741</x:v>
      </x:c>
      <x:c r="H1210" s="78" t="n">
        <x:f>U1209</x:f>
        <x:v>2413302.104465265</x:v>
      </x:c>
      <x:c r="I1210" s="78" t="n">
        <x:f>V1209</x:f>
        <x:v>22040.191837403538</x:v>
      </x:c>
      <x:c r="J1210" s="79" t="n">
        <x:f>IF(H1210&gt;0,I1210/H1210,0)</x:f>
        <x:v>0.009132794355345397</x:v>
      </x:c>
      <x:c r="K1210" s="80" t="n">
        <x:f>(H1210*J1210+I1210)*'Inputs'!$D$47*(1+'Inputs'!$G$47)^(B1210/30)</x:f>
        <x:v>73834.99739712387</x:v>
      </x:c>
      <x:c r="L1210" s="80" t="n">
        <x:f>MAX(0,K1210*'Inputs'!$E$47)</x:f>
        <x:v>3691.7498698561935</x:v>
      </x:c>
      <x:c r="M1210" s="80" t="n">
        <x:f>MAX(0,-K1210*'Inputs'!$E$47)</x:f>
        <x:v>0</x:v>
      </x:c>
      <x:c r="N1210" s="78" t="n">
        <x:f>H1210*(L1210*(1-'Inputs'!$B$15))/(I1210+L1210*(1-'Inputs'!$B$15))</x:f>
        <x:v>343265.4735481328</x:v>
      </x:c>
      <x:c r="O1210" s="78" t="n">
        <x:f>H1210-N1210</x:f>
        <x:v>2070036.630917132</x:v>
      </x:c>
      <x:c r="P1210" s="78" t="n">
        <x:f>I1210+L1210*(1-'Inputs'!$B$17)</x:f>
        <x:v>25717.085570962525</x:v>
      </x:c>
      <x:c r="Q1210" s="78" t="n">
        <x:f>IF(J1210&gt;0,M1210/J1210,0)</x:f>
        <x:v>0</x:v>
      </x:c>
      <x:c r="R1210" s="78" t="n">
        <x:f>IF(B1210='Inputs'!$H$47,'Inputs'!$B$27*'Inputs'!$I$47,0)</x:f>
        <x:v>0</x:v>
      </x:c>
      <x:c r="S1210" s="78" t="n">
        <x:f>Q1210+G1210+R1210</x:f>
        <x:v>341444.5721523741</x:v>
      </x:c>
      <x:c r="T1210" s="78" t="n">
        <x:f>P1210*(S1210*(1-'Inputs'!$B$15))/(O1210+S1210*(1-'Inputs'!$B$15))</x:f>
        <x:v>3610.011915350418</x:v>
      </x:c>
      <x:c r="U1210" s="78" t="n">
        <x:f>O1210+S1210*(1-'Inputs'!$B$17)</x:f>
        <x:v>2410107.1806463576</x:v>
      </x:c>
      <x:c r="V1210" s="78" t="n">
        <x:f>P1210-T1210</x:f>
        <x:v>22107.07365561211</x:v>
      </x:c>
      <x:c r="W1210" s="79" t="n">
        <x:f>IF(U1210&gt;0,V1210/U1210,0)</x:f>
        <x:v>0.009172651670073566</x:v>
      </x:c>
      <x:c r="X1210" s="80" t="n">
        <x:f>W1210*('Inputs'!$B$6-AC1210)</x:f>
        <x:v>9156755.56230132</x:v>
      </x:c>
      <x:c r="Y1210" s="80" t="n">
        <x:f>2*V1210</x:f>
        <x:v>44214.14731122422</x:v>
      </x:c>
      <x:c r="Z1210" s="80" t="n">
        <x:f>K1210*'Inputs'!$B$16+(G1210+R1210)*J1210*'Inputs'!$B$16</x:f>
        <x:v>461.72004275004235</x:v>
      </x:c>
      <x:c r="AA1210" s="80" t="n">
        <x:f>K1210*(1+'Inputs'!$E$47)/2*'Inputs'!$B$17</x:f>
        <x:v>155.98943112068423</x:v>
      </x:c>
      <x:c r="AB1210" s="78" t="n">
        <x:f>(IF(J1210&gt;0,K1210*(1-'Inputs'!$E$47)/2/J1210,0)+G1210+R1210)*'Inputs'!$B$17</x:f>
        <x:v>16827.48489390591</x:v>
      </x:c>
      <x:c r="AC1210" s="78" t="n">
        <x:f>AC1209+AB1210</x:f>
        <x:v>1732989.3627281687</x:v>
      </x:c>
      <x:c r="AD1210" s="80" t="n">
        <x:f>Z1210/(1+'Inputs'!$C$47)</x:f>
        <x:v>184.68801710001694</x:v>
      </x:c>
      <x:c r="AE1210" s="80" t="n">
        <x:f>Z1210-AD1210</x:f>
        <x:v>277.0320256500254</x:v>
      </x:c>
      <x:c r="AF1210" s="80" t="n">
        <x:f>D1210*W1210</x:f>
        <x:v>2656.4134356284826</x:v>
      </x:c>
      <x:c r="AG1210" s="80" t="n">
        <x:f>C1210*W1210</x:f>
        <x:v>6198.298016466414</x:v>
      </x:c>
      <x:c r="AH1210" s="80" t="n">
        <x:f>2*'Inputs'!$B$8*'Inputs'!$C$47</x:f>
        <x:v>7500</x:v>
      </x:c>
      <x:c r="AI1210" s="81" t="n">
        <x:f>IF(AH1210&gt;0,(AE1210+AF1210)/AH1210*365,0)</x:f>
        <x:v>142.76101244888739</x:v>
      </x:c>
      <x:c r="AJ1210" s="81" t="n">
        <x:f>IF('Inputs'!$B$47&gt;0,AG1210/('Inputs'!$B$19*'Inputs'!$B$47)*365,0)</x:f>
        <x:v>226.2378776010241</x:v>
      </x:c>
      <x:c r="AK1210" s="81" t="n">
        <x:f>W1210/MAX($W$1099:W1210)-1</x:f>
        <x:v>-0.5860639122991221</x:v>
      </x:c>
      <x:c r="AL1210" s="83" t="n">
        <x:f>'Inputs'!$B$47</x:f>
        <x:v>1</x:v>
      </x:c>
      <x:c r="AM1210" s="83" t="n">
        <x:f>'Inputs'!$C$47</x:f>
        <x:v>1.5</x:v>
      </x:c>
      <x:c r="AN1210" s="83" t="n">
        <x:f>'Inputs'!$D$47</x:f>
        <x:v>1.5</x:v>
      </x:c>
      <x:c r="AO1210" s="81" t="n">
        <x:f>'Inputs'!$E$47</x:f>
        <x:v>0.05</x:v>
      </x:c>
    </x:row>
    <x:row r="1211">
      <x:c r="A1211" s="59" t="str">
        <x:v>Growth</x:v>
      </x:c>
      <x:c r="B1211" s="59" t="n">
        <x:v>113</x:v>
      </x:c>
      <x:c r="C1211" s="78" t="n">
        <x:f>(('Inputs'!$B$29*(3*113*'Inputs'!$B$12-113^2)/(2*'Inputs'!$B$12^2))-('Inputs'!$B$29*(3*112*'Inputs'!$B$12-112^2)/(2*'Inputs'!$B$12^2)))*'Inputs'!$B$47</x:f>
        <x:v>675411.66260086</x:v>
      </x:c>
      <x:c r="D1211" s="78" t="n">
        <x:f>IF('Inputs'!$C$47&gt;0,('Inputs'!$B$30*(3*113*'Inputs'!$B$12-113^2)/(2*'Inputs'!$B$12^2))-('Inputs'!$B$30*(3*112*'Inputs'!$B$12-112^2)/(2*'Inputs'!$B$12^2)),0)</x:f>
        <x:v>289462.14111465216</x:v>
      </x:c>
      <x:c r="E1211" s="78" t="n">
        <x:f>C1211+D1211</x:f>
        <x:v>964873.8037155122</x:v>
      </x:c>
      <x:c r="F1211" s="78" t="n">
        <x:f>'Inputs'!$B$13*E1211+(1-'Inputs'!$B$13)/'Inputs'!$B$14*SUM(E1156:E1211)</x:f>
        <x:v>975091.4805779682</x:v>
      </x:c>
      <x:c r="G1211" s="78" t="n">
        <x:f>F1211*'Inputs'!$F$47</x:f>
        <x:v>341282.01820228883</x:v>
      </x:c>
      <x:c r="H1211" s="78" t="n">
        <x:f>U1210</x:f>
        <x:v>2410107.1806463576</x:v>
      </x:c>
      <x:c r="I1211" s="78" t="n">
        <x:f>V1210</x:f>
        <x:v>22107.07365561211</x:v>
      </x:c>
      <x:c r="J1211" s="79" t="n">
        <x:f>IF(H1211&gt;0,I1211/H1211,0)</x:f>
        <x:v>0.009172651670073566</x:v>
      </x:c>
      <x:c r="K1211" s="80" t="n">
        <x:f>(H1211*J1211+I1211)*'Inputs'!$D$47*(1+'Inputs'!$G$47)^(B1211/30)</x:f>
        <x:v>74132.05842108723</x:v>
      </x:c>
      <x:c r="L1211" s="80" t="n">
        <x:f>MAX(0,K1211*'Inputs'!$E$47)</x:f>
        <x:v>3706.602921054362</x:v>
      </x:c>
      <x:c r="M1211" s="80" t="n">
        <x:f>MAX(0,-K1211*'Inputs'!$E$47)</x:f>
        <x:v>0</x:v>
      </x:c>
      <x:c r="N1211" s="78" t="n">
        <x:f>H1211*(L1211*(1-'Inputs'!$B$15))/(I1211+L1211*(1-'Inputs'!$B$15))</x:f>
        <x:v>343100.85867951234</x:v>
      </x:c>
      <x:c r="O1211" s="78" t="n">
        <x:f>H1211-N1211</x:f>
        <x:v>2067006.3219668453</x:v>
      </x:c>
      <x:c r="P1211" s="78" t="n">
        <x:f>I1211+L1211*(1-'Inputs'!$B$17)</x:f>
        <x:v>25798.76066953949</x:v>
      </x:c>
      <x:c r="Q1211" s="78" t="n">
        <x:f>IF(J1211&gt;0,M1211/J1211,0)</x:f>
        <x:v>0</x:v>
      </x:c>
      <x:c r="R1211" s="78" t="n">
        <x:f>IF(B1211='Inputs'!$H$47,'Inputs'!$B$27*'Inputs'!$I$47,0)</x:f>
        <x:v>0</x:v>
      </x:c>
      <x:c r="S1211" s="78" t="n">
        <x:f>Q1211+G1211+R1211</x:f>
        <x:v>341282.01820228883</x:v>
      </x:c>
      <x:c r="T1211" s="78" t="n">
        <x:f>P1211*(S1211*(1-'Inputs'!$B$15))/(O1211+S1211*(1-'Inputs'!$B$15))</x:f>
        <x:v>3624.556242054808</x:v>
      </x:c>
      <x:c r="U1211" s="78" t="n">
        <x:f>O1211+S1211*(1-'Inputs'!$B$17)</x:f>
        <x:v>2406914.97188663</x:v>
      </x:c>
      <x:c r="V1211" s="78" t="n">
        <x:f>P1211-T1211</x:f>
        <x:v>22174.20442748468</x:v>
      </x:c>
      <x:c r="W1211" s="79" t="n">
        <x:f>IF(U1211&gt;0,V1211/U1211,0)</x:f>
        <x:v>0.009212707838243121</x:v>
      </x:c>
      <x:c r="X1211" s="80" t="n">
        <x:f>W1211*('Inputs'!$B$6-AC1211)</x:f>
        <x:v>9196587.34120268</x:v>
      </x:c>
      <x:c r="Y1211" s="80" t="n">
        <x:f>2*V1211</x:f>
        <x:v>44348.40885496936</x:v>
      </x:c>
      <x:c r="Z1211" s="80" t="n">
        <x:f>K1211*'Inputs'!$B$16+(G1211+R1211)*J1211*'Inputs'!$B$16</x:f>
        <x:v>463.5751169718992</x:v>
      </x:c>
      <x:c r="AA1211" s="80" t="n">
        <x:f>K1211*(1+'Inputs'!$E$47)/2*'Inputs'!$B$17</x:f>
        <x:v>156.6170248332829</x:v>
      </x:c>
      <x:c r="AB1211" s="78" t="n">
        <x:f>(IF(J1211&gt;0,K1211*(1-'Inputs'!$E$47)/2/J1211,0)+G1211+R1211)*'Inputs'!$B$17</x:f>
        <x:v>16821.585744921686</x:v>
      </x:c>
      <x:c r="AC1211" s="78" t="n">
        <x:f>AC1210+AB1211</x:f>
        <x:v>1749810.9484730903</x:v>
      </x:c>
      <x:c r="AD1211" s="80" t="n">
        <x:f>Z1211/(1+'Inputs'!$C$47)</x:f>
        <x:v>185.43004678875968</x:v>
      </x:c>
      <x:c r="AE1211" s="80" t="n">
        <x:f>Z1211-AD1211</x:f>
        <x:v>278.1450701831395</x:v>
      </x:c>
      <x:c r="AF1211" s="80" t="n">
        <x:f>D1211*W1211</x:f>
        <x:v>2666.7301363215925</x:v>
      </x:c>
      <x:c r="AG1211" s="80" t="n">
        <x:f>C1211*W1211</x:f>
        <x:v>6222.370318083761</x:v>
      </x:c>
      <x:c r="AH1211" s="80" t="n">
        <x:f>2*'Inputs'!$B$8*'Inputs'!$C$47</x:f>
        <x:v>7500</x:v>
      </x:c>
      <x:c r="AI1211" s="81" t="n">
        <x:f>IF(AH1211&gt;0,(AE1211+AF1211)/AH1211*365,0)</x:f>
        <x:v>143.31726004989696</x:v>
      </x:c>
      <x:c r="AJ1211" s="81" t="n">
        <x:f>IF('Inputs'!$B$47&gt;0,AG1211/('Inputs'!$B$19*'Inputs'!$B$47)*365,0)</x:f>
        <x:v>227.11651661005726</x:v>
      </x:c>
      <x:c r="AK1211" s="81" t="n">
        <x:f>W1211/MAX($W$1099:W1211)-1</x:f>
        <x:v>-0.58425628958142</x:v>
      </x:c>
      <x:c r="AL1211" s="83" t="n">
        <x:f>'Inputs'!$B$47</x:f>
        <x:v>1</x:v>
      </x:c>
      <x:c r="AM1211" s="83" t="n">
        <x:f>'Inputs'!$C$47</x:f>
        <x:v>1.5</x:v>
      </x:c>
      <x:c r="AN1211" s="83" t="n">
        <x:f>'Inputs'!$D$47</x:f>
        <x:v>1.5</x:v>
      </x:c>
      <x:c r="AO1211" s="81" t="n">
        <x:f>'Inputs'!$E$47</x:f>
        <x:v>0.05</x:v>
      </x:c>
    </x:row>
    <x:row r="1212">
      <x:c r="A1212" s="59" t="str">
        <x:v>Growth</x:v>
      </x:c>
      <x:c r="B1212" s="59" t="n">
        <x:v>114</x:v>
      </x:c>
      <x:c r="C1212" s="78" t="n">
        <x:f>(('Inputs'!$B$29*(3*114*'Inputs'!$B$12-114^2)/(2*'Inputs'!$B$12^2))-('Inputs'!$B$29*(3*113*'Inputs'!$B$12-113^2)/(2*'Inputs'!$B$12^2)))*'Inputs'!$B$47</x:f>
        <x:v>675086.5547006875</x:v>
      </x:c>
      <x:c r="D1212" s="78" t="n">
        <x:f>IF('Inputs'!$C$47&gt;0,('Inputs'!$B$30*(3*114*'Inputs'!$B$12-114^2)/(2*'Inputs'!$B$12^2))-('Inputs'!$B$30*(3*113*'Inputs'!$B$12-113^2)/(2*'Inputs'!$B$12^2)),0)</x:f>
        <x:v>289322.8091574386</x:v>
      </x:c>
      <x:c r="E1212" s="78" t="n">
        <x:f>C1212+D1212</x:f>
        <x:v>964409.3638581261</x:v>
      </x:c>
      <x:c r="F1212" s="78" t="n">
        <x:f>'Inputs'!$B$13*E1212+(1-'Inputs'!$B$13)/'Inputs'!$B$14*SUM(E1157:E1212)</x:f>
        <x:v>974627.0407205839</x:v>
      </x:c>
      <x:c r="G1212" s="78" t="n">
        <x:f>F1212*'Inputs'!$F$47</x:f>
        <x:v>341119.46425220434</x:v>
      </x:c>
      <x:c r="H1212" s="78" t="n">
        <x:f>U1211</x:f>
        <x:v>2406914.97188663</x:v>
      </x:c>
      <x:c r="I1212" s="78" t="n">
        <x:f>V1211</x:f>
        <x:v>22174.20442748468</x:v>
      </x:c>
      <x:c r="J1212" s="79" t="n">
        <x:f>IF(H1212&gt;0,I1212/H1212,0)</x:f>
        <x:v>0.009212707838243121</x:v>
      </x:c>
      <x:c r="K1212" s="80" t="n">
        <x:f>(H1212*J1212+I1212)*'Inputs'!$D$47*(1+'Inputs'!$G$47)^(B1212/30)</x:f>
        <x:v>74430.46901202919</x:v>
      </x:c>
      <x:c r="L1212" s="80" t="n">
        <x:f>MAX(0,K1212*'Inputs'!$E$47)</x:f>
        <x:v>3721.52345060146</x:v>
      </x:c>
      <x:c r="M1212" s="80" t="n">
        <x:f>MAX(0,-K1212*'Inputs'!$E$47)</x:f>
        <x:v>0</x:v>
      </x:c>
      <x:c r="N1212" s="78" t="n">
        <x:f>H1212*(L1212*(1-'Inputs'!$B$15))/(I1212+L1212*(1-'Inputs'!$B$15))</x:f>
        <x:v>342936.06630026555</x:v>
      </x:c>
      <x:c r="O1212" s="78" t="n">
        <x:f>H1212-N1212</x:f>
        <x:v>2063978.9055863647</x:v>
      </x:c>
      <x:c r="P1212" s="78" t="n">
        <x:f>I1212+L1212*(1-'Inputs'!$B$17)</x:f>
        <x:v>25880.75192858674</x:v>
      </x:c>
      <x:c r="Q1212" s="78" t="n">
        <x:f>IF(J1212&gt;0,M1212/J1212,0)</x:f>
        <x:v>0</x:v>
      </x:c>
      <x:c r="R1212" s="78" t="n">
        <x:f>IF(B1212='Inputs'!$H$47,'Inputs'!$B$27*'Inputs'!$I$47,0)</x:f>
        <x:v>0</x:v>
      </x:c>
      <x:c r="S1212" s="78" t="n">
        <x:f>Q1212+G1212+R1212</x:f>
        <x:v>341119.46425220434</x:v>
      </x:c>
      <x:c r="T1212" s="78" t="n">
        <x:f>P1212*(S1212*(1-'Inputs'!$B$15))/(O1212+S1212*(1-'Inputs'!$B$15))</x:f>
        <x:v>3639.1683480955544</x:v>
      </x:c>
      <x:c r="U1212" s="78" t="n">
        <x:f>O1212+S1212*(1-'Inputs'!$B$17)</x:f>
        <x:v>2403725.655696709</x:v>
      </x:c>
      <x:c r="V1212" s="78" t="n">
        <x:f>P1212-T1212</x:f>
        <x:v>22241.583580491184</x:v>
      </x:c>
      <x:c r="W1212" s="79" t="n">
        <x:f>IF(U1212&gt;0,V1212/U1212,0)</x:f>
        <x:v>0.00925296259487007</x:v>
      </x:c>
      <x:c r="X1212" s="80" t="n">
        <x:f>W1212*('Inputs'!$B$6-AC1212)</x:f>
        <x:v>9236616.064770123</x:v>
      </x:c>
      <x:c r="Y1212" s="80" t="n">
        <x:f>2*V1212</x:f>
        <x:v>44483.16716098237</x:v>
      </x:c>
      <x:c r="Z1212" s="80" t="n">
        <x:f>K1212*'Inputs'!$B$16+(G1212+R1212)*J1212*'Inputs'!$B$16</x:f>
        <x:v>465.4386178447366</x:v>
      </x:c>
      <x:c r="AA1212" s="80" t="n">
        <x:f>K1212*(1+'Inputs'!$E$47)/2*'Inputs'!$B$17</x:f>
        <x:v>157.24746974372368</x:v>
      </x:c>
      <x:c r="AB1212" s="78" t="n">
        <x:f>(IF(J1212&gt;0,K1212*(1-'Inputs'!$E$47)/2/J1212,0)+G1212+R1212)*'Inputs'!$B$17</x:f>
        <x:v>16815.67865808334</x:v>
      </x:c>
      <x:c r="AC1212" s="78" t="n">
        <x:f>AC1211+AB1212</x:f>
        <x:v>1766626.6271311736</x:v>
      </x:c>
      <x:c r="AD1212" s="80" t="n">
        <x:f>Z1212/(1+'Inputs'!$C$47)</x:f>
        <x:v>186.17544713789465</x:v>
      </x:c>
      <x:c r="AE1212" s="80" t="n">
        <x:f>Z1212-AD1212</x:f>
        <x:v>279.26317070684195</x:v>
      </x:c>
      <x:c r="AF1212" s="80" t="n">
        <x:f>D1212*W1212</x:f>
        <x:v>2677.093130976511</x:v>
      </x:c>
      <x:c r="AG1212" s="80" t="n">
        <x:f>C1212*W1212</x:f>
        <x:v>6246.550638945169</x:v>
      </x:c>
      <x:c r="AH1212" s="80" t="n">
        <x:f>2*'Inputs'!$B$8*'Inputs'!$C$47</x:f>
        <x:v>7500</x:v>
      </x:c>
      <x:c r="AI1212" s="81" t="n">
        <x:f>IF(AH1212&gt;0,(AE1212+AF1212)/AH1212*365,0)</x:f>
        <x:v>143.8760066819232</x:v>
      </x:c>
      <x:c r="AJ1212" s="81" t="n">
        <x:f>IF('Inputs'!$B$47&gt;0,AG1212/('Inputs'!$B$19*'Inputs'!$B$47)*365,0)</x:f>
        <x:v>227.9990983214987</x:v>
      </x:c>
      <x:c r="AK1212" s="81" t="n">
        <x:f>W1212/MAX($W$1099:W1212)-1</x:f>
        <x:v>-0.5824397051226561</x:v>
      </x:c>
      <x:c r="AL1212" s="83" t="n">
        <x:f>'Inputs'!$B$47</x:f>
        <x:v>1</x:v>
      </x:c>
      <x:c r="AM1212" s="83" t="n">
        <x:f>'Inputs'!$C$47</x:f>
        <x:v>1.5</x:v>
      </x:c>
      <x:c r="AN1212" s="83" t="n">
        <x:f>'Inputs'!$D$47</x:f>
        <x:v>1.5</x:v>
      </x:c>
      <x:c r="AO1212" s="81" t="n">
        <x:f>'Inputs'!$E$47</x:f>
        <x:v>0.05</x:v>
      </x:c>
    </x:row>
    <x:row r="1213">
      <x:c r="A1213" s="59" t="str">
        <x:v>Growth</x:v>
      </x:c>
      <x:c r="B1213" s="59" t="n">
        <x:v>115</x:v>
      </x:c>
      <x:c r="C1213" s="78" t="n">
        <x:f>(('Inputs'!$B$29*(3*115*'Inputs'!$B$12-115^2)/(2*'Inputs'!$B$12^2))-('Inputs'!$B$29*(3*114*'Inputs'!$B$12-114^2)/(2*'Inputs'!$B$12^2)))*'Inputs'!$B$47</x:f>
        <x:v>674761.44680053</x:v>
      </x:c>
      <x:c r="D1213" s="78" t="n">
        <x:f>IF('Inputs'!$C$47&gt;0,('Inputs'!$B$30*(3*115*'Inputs'!$B$12-115^2)/(2*'Inputs'!$B$12^2))-('Inputs'!$B$30*(3*114*'Inputs'!$B$12-114^2)/(2*'Inputs'!$B$12^2)),0)</x:f>
        <x:v>289183.47720023245</x:v>
      </x:c>
      <x:c r="E1213" s="78" t="n">
        <x:f>C1213+D1213</x:f>
        <x:v>963944.9240007624</x:v>
      </x:c>
      <x:c r="F1213" s="78" t="n">
        <x:f>'Inputs'!$B$13*E1213+(1-'Inputs'!$B$13)/'Inputs'!$B$14*SUM(E1158:E1213)</x:f>
        <x:v>974162.6008632038</x:v>
      </x:c>
      <x:c r="G1213" s="78" t="n">
        <x:f>F1213*'Inputs'!$F$47</x:f>
        <x:v>340956.9103021213</x:v>
      </x:c>
      <x:c r="H1213" s="78" t="n">
        <x:f>U1212</x:f>
        <x:v>2403725.655696709</x:v>
      </x:c>
      <x:c r="I1213" s="78" t="n">
        <x:f>V1212</x:f>
        <x:v>22241.583580491184</x:v>
      </x:c>
      <x:c r="J1213" s="79" t="n">
        <x:f>IF(H1213&gt;0,I1213/H1213,0)</x:f>
        <x:v>0.00925296259487007</x:v>
      </x:c>
      <x:c r="K1213" s="80" t="n">
        <x:f>(H1213*J1213+I1213)*'Inputs'!$D$47*(1+'Inputs'!$G$47)^(B1213/30)</x:f>
        <x:v>74730.23044212462</x:v>
      </x:c>
      <x:c r="L1213" s="80" t="n">
        <x:f>MAX(0,K1213*'Inputs'!$E$47)</x:f>
        <x:v>3736.5115221062315</x:v>
      </x:c>
      <x:c r="M1213" s="80" t="n">
        <x:f>MAX(0,-K1213*'Inputs'!$E$47)</x:f>
        <x:v>0</x:v>
      </x:c>
      <x:c r="N1213" s="78" t="n">
        <x:f>H1213*(L1213*(1-'Inputs'!$B$15))/(I1213+L1213*(1-'Inputs'!$B$15))</x:f>
        <x:v>342771.1219666987</x:v>
      </x:c>
      <x:c r="O1213" s="78" t="n">
        <x:f>H1213-N1213</x:f>
        <x:v>2060954.5337300105</x:v>
      </x:c>
      <x:c r="P1213" s="78" t="n">
        <x:f>I1213+L1213*(1-'Inputs'!$B$17)</x:f>
        <x:v>25963.05883892697</x:v>
      </x:c>
      <x:c r="Q1213" s="78" t="n">
        <x:f>IF(J1213&gt;0,M1213/J1213,0)</x:f>
        <x:v>0</x:v>
      </x:c>
      <x:c r="R1213" s="78" t="n">
        <x:f>IF(B1213='Inputs'!$H$47,'Inputs'!$B$27*'Inputs'!$I$47,0)</x:f>
        <x:v>0</x:v>
      </x:c>
      <x:c r="S1213" s="78" t="n">
        <x:f>Q1213+G1213+R1213</x:f>
        <x:v>340956.9103021213</x:v>
      </x:c>
      <x:c r="T1213" s="78" t="n">
        <x:f>P1213*(S1213*(1-'Inputs'!$B$15))/(O1213+S1213*(1-'Inputs'!$B$15))</x:f>
        <x:v>3653.8480841231826</x:v>
      </x:c>
      <x:c r="U1213" s="78" t="n">
        <x:f>O1213+S1213*(1-'Inputs'!$B$17)</x:f>
        <x:v>2400539.384030916</x:v>
      </x:c>
      <x:c r="V1213" s="78" t="n">
        <x:f>P1213-T1213</x:f>
        <x:v>22309.210754803786</x:v>
      </x:c>
      <x:c r="W1213" s="79" t="n">
        <x:f>IF(U1213&gt;0,V1213/U1213,0)</x:f>
        <x:v>0.009293415847792844</x:v>
      </x:c>
      <x:c r="X1213" s="80" t="n">
        <x:f>W1213*('Inputs'!$B$6-AC1213)</x:f>
        <x:v>9276841.631764725</x:v>
      </x:c>
      <x:c r="Y1213" s="80" t="n">
        <x:f>2*V1213</x:f>
        <x:v>44618.42150960757</x:v>
      </x:c>
      <x:c r="Z1213" s="80" t="n">
        <x:f>K1213*'Inputs'!$B$16+(G1213+R1213)*J1213*'Inputs'!$B$16</x:f>
        <x:v>467.3105518776757</x:v>
      </x:c>
      <x:c r="AA1213" s="80" t="n">
        <x:f>K1213*(1+'Inputs'!$E$47)/2*'Inputs'!$B$17</x:f>
        <x:v>157.88076853969991</x:v>
      </x:c>
      <x:c r="AB1213" s="78" t="n">
        <x:f>(IF(J1213&gt;0,K1213*(1-'Inputs'!$E$47)/2/J1213,0)+G1213+R1213)*'Inputs'!$B$17</x:f>
        <x:v>16809.76478005566</x:v>
      </x:c>
      <x:c r="AC1213" s="78" t="n">
        <x:f>AC1212+AB1213</x:f>
        <x:v>1783436.3919112294</x:v>
      </x:c>
      <x:c r="AD1213" s="80" t="n">
        <x:f>Z1213/(1+'Inputs'!$C$47)</x:f>
        <x:v>186.9242207510703</x:v>
      </x:c>
      <x:c r="AE1213" s="80" t="n">
        <x:f>Z1213-AD1213</x:f>
        <x:v>280.38633112660546</x:v>
      </x:c>
      <x:c r="AF1213" s="80" t="n">
        <x:f>D1213*W1213</x:f>
        <x:v>2687.502309932481</x:v>
      </x:c>
      <x:c r="AG1213" s="80" t="n">
        <x:f>C1213*W1213</x:f>
        <x:v>6270.838723175673</x:v>
      </x:c>
      <x:c r="AH1213" s="80" t="n">
        <x:f>2*'Inputs'!$B$8*'Inputs'!$C$47</x:f>
        <x:v>7500</x:v>
      </x:c>
      <x:c r="AI1213" s="81" t="n">
        <x:f>IF(AH1213&gt;0,(AE1213+AF1213)/AH1213*365,0)</x:f>
        <x:v>144.43724719820887</x:v>
      </x:c>
      <x:c r="AJ1213" s="81" t="n">
        <x:f>IF('Inputs'!$B$47&gt;0,AG1213/('Inputs'!$B$19*'Inputs'!$B$47)*365,0)</x:f>
        <x:v>228.8856133959121</x:v>
      </x:c>
      <x:c r="AK1213" s="81" t="n">
        <x:f>W1213/MAX($W$1099:W1213)-1</x:f>
        <x:v>-0.580614163081824</x:v>
      </x:c>
      <x:c r="AL1213" s="83" t="n">
        <x:f>'Inputs'!$B$47</x:f>
        <x:v>1</x:v>
      </x:c>
      <x:c r="AM1213" s="83" t="n">
        <x:f>'Inputs'!$C$47</x:f>
        <x:v>1.5</x:v>
      </x:c>
      <x:c r="AN1213" s="83" t="n">
        <x:f>'Inputs'!$D$47</x:f>
        <x:v>1.5</x:v>
      </x:c>
      <x:c r="AO1213" s="81" t="n">
        <x:f>'Inputs'!$E$47</x:f>
        <x:v>0.05</x:v>
      </x:c>
    </x:row>
    <x:row r="1214">
      <x:c r="A1214" s="59" t="str">
        <x:v>Growth</x:v>
      </x:c>
      <x:c r="B1214" s="59" t="n">
        <x:v>116</x:v>
      </x:c>
      <x:c r="C1214" s="78" t="n">
        <x:f>(('Inputs'!$B$29*(3*116*'Inputs'!$B$12-116^2)/(2*'Inputs'!$B$12^2))-('Inputs'!$B$29*(3*115*'Inputs'!$B$12-115^2)/(2*'Inputs'!$B$12^2)))*'Inputs'!$B$47</x:f>
        <x:v>674436.3389003575</x:v>
      </x:c>
      <x:c r="D1214" s="78" t="n">
        <x:f>IF('Inputs'!$C$47&gt;0,('Inputs'!$B$30*(3*116*'Inputs'!$B$12-116^2)/(2*'Inputs'!$B$12^2))-('Inputs'!$B$30*(3*115*'Inputs'!$B$12-115^2)/(2*'Inputs'!$B$12^2)),0)</x:f>
        <x:v>289044.14524300396</x:v>
      </x:c>
      <x:c r="E1214" s="78" t="n">
        <x:f>C1214+D1214</x:f>
        <x:v>963480.4841433614</x:v>
      </x:c>
      <x:c r="F1214" s="78" t="n">
        <x:f>'Inputs'!$B$13*E1214+(1-'Inputs'!$B$13)/'Inputs'!$B$14*SUM(E1159:E1214)</x:f>
        <x:v>973698.1610058163</x:v>
      </x:c>
      <x:c r="G1214" s="78" t="n">
        <x:f>F1214*'Inputs'!$F$47</x:f>
        <x:v>340794.3563520357</x:v>
      </x:c>
      <x:c r="H1214" s="78" t="n">
        <x:f>U1213</x:f>
        <x:v>2400539.384030916</x:v>
      </x:c>
      <x:c r="I1214" s="78" t="n">
        <x:f>V1213</x:f>
        <x:v>22309.210754803786</x:v>
      </x:c>
      <x:c r="J1214" s="79" t="n">
        <x:f>IF(H1214&gt;0,I1214/H1214,0)</x:f>
        <x:v>0.009293415847792844</x:v>
      </x:c>
      <x:c r="K1214" s="80" t="n">
        <x:f>(H1214*J1214+I1214)*'Inputs'!$D$47*(1+'Inputs'!$G$47)^(B1214/30)</x:f>
        <x:v>75031.34469713434</x:v>
      </x:c>
      <x:c r="L1214" s="80" t="n">
        <x:f>MAX(0,K1214*'Inputs'!$E$47)</x:f>
        <x:v>3751.567234856717</x:v>
      </x:c>
      <x:c r="M1214" s="80" t="n">
        <x:f>MAX(0,-K1214*'Inputs'!$E$47)</x:f>
        <x:v>0</x:v>
      </x:c>
      <x:c r="N1214" s="78" t="n">
        <x:f>H1214*(L1214*(1-'Inputs'!$B$15))/(I1214+L1214*(1-'Inputs'!$B$15))</x:f>
        <x:v>342606.04767416883</x:v>
      </x:c>
      <x:c r="O1214" s="78" t="n">
        <x:f>H1214-N1214</x:f>
        <x:v>2057933.336356747</x:v>
      </x:c>
      <x:c r="P1214" s="78" t="n">
        <x:f>I1214+L1214*(1-'Inputs'!$B$17)</x:f>
        <x:v>26045.681139620836</x:v>
      </x:c>
      <x:c r="Q1214" s="78" t="n">
        <x:f>IF(J1214&gt;0,M1214/J1214,0)</x:f>
        <x:v>0</x:v>
      </x:c>
      <x:c r="R1214" s="78" t="n">
        <x:f>IF(B1214='Inputs'!$H$47,'Inputs'!$B$27*'Inputs'!$I$47,0)</x:f>
        <x:v>0</x:v>
      </x:c>
      <x:c r="S1214" s="78" t="n">
        <x:f>Q1214+G1214+R1214</x:f>
        <x:v>340794.3563520357</x:v>
      </x:c>
      <x:c r="T1214" s="78" t="n">
        <x:f>P1214*(S1214*(1-'Inputs'!$B$15))/(O1214+S1214*(1-'Inputs'!$B$15))</x:f>
        <x:v>3668.5953645503278</x:v>
      </x:c>
      <x:c r="U1214" s="78" t="n">
        <x:f>O1214+S1214*(1-'Inputs'!$B$17)</x:f>
        <x:v>2397356.286848211</x:v>
      </x:c>
      <x:c r="V1214" s="78" t="n">
        <x:f>P1214-T1214</x:f>
        <x:v>22377.085775070507</x:v>
      </x:c>
      <x:c r="W1214" s="79" t="n">
        <x:f>IF(U1214&gt;0,V1214/U1214,0)</x:f>
        <x:v>0.009334067655204274</x:v>
      </x:c>
      <x:c r="X1214" s="80" t="n">
        <x:f>W1214*('Inputs'!$B$6-AC1214)</x:f>
        <x:v>9317264.091036411</x:v>
      </x:c>
      <x:c r="Y1214" s="80" t="n">
        <x:f>2*V1214</x:f>
        <x:v>44754.171550141014</x:v>
      </x:c>
      <x:c r="Z1214" s="80" t="n">
        <x:f>K1214*'Inputs'!$B$16+(G1214+R1214)*J1214*'Inputs'!$B$16</x:f>
        <x:v>469.1909302157683</x:v>
      </x:c>
      <x:c r="AA1214" s="80" t="n">
        <x:f>K1214*(1+'Inputs'!$E$47)/2*'Inputs'!$B$17</x:f>
        <x:v>158.516925416481</x:v>
      </x:c>
      <x:c r="AB1214" s="78" t="n">
        <x:f>(IF(J1214&gt;0,K1214*(1-'Inputs'!$E$47)/2/J1214,0)+G1214+R1214)*'Inputs'!$B$17</x:f>
        <x:v>16803.84509774161</x:v>
      </x:c>
      <x:c r="AC1214" s="78" t="n">
        <x:f>AC1213+AB1214</x:f>
        <x:v>1800240.237008971</x:v>
      </x:c>
      <x:c r="AD1214" s="80" t="n">
        <x:f>Z1214/(1+'Inputs'!$C$47)</x:f>
        <x:v>187.6763720863073</x:v>
      </x:c>
      <x:c r="AE1214" s="80" t="n">
        <x:f>Z1214-AD1214</x:f>
        <x:v>281.51455812946097</x:v>
      </x:c>
      <x:c r="AF1214" s="80" t="n">
        <x:f>D1214*W1214</x:f>
        <x:v>2697.95760703889</x:v>
      </x:c>
      <x:c r="AG1214" s="80" t="n">
        <x:f>C1214*W1214</x:f>
        <x:v>6295.234416424215</x:v>
      </x:c>
      <x:c r="AH1214" s="80" t="n">
        <x:f>2*'Inputs'!$B$8*'Inputs'!$C$47</x:f>
        <x:v>7500</x:v>
      </x:c>
      <x:c r="AI1214" s="81" t="n">
        <x:f>IF(AH1214&gt;0,(AE1214+AF1214)/AH1214*365,0)</x:f>
        <x:v>145.00097870485973</x:v>
      </x:c>
      <x:c r="AJ1214" s="81" t="n">
        <x:f>IF('Inputs'!$B$47&gt;0,AG1214/('Inputs'!$B$19*'Inputs'!$B$47)*365,0)</x:f>
        <x:v>229.77605619948383</x:v>
      </x:c>
      <x:c r="AK1214" s="81" t="n">
        <x:f>W1214/MAX($W$1099:W1214)-1</x:f>
        <x:v>-0.5787796608328444</x:v>
      </x:c>
      <x:c r="AL1214" s="83" t="n">
        <x:f>'Inputs'!$B$47</x:f>
        <x:v>1</x:v>
      </x:c>
      <x:c r="AM1214" s="83" t="n">
        <x:f>'Inputs'!$C$47</x:f>
        <x:v>1.5</x:v>
      </x:c>
      <x:c r="AN1214" s="83" t="n">
        <x:f>'Inputs'!$D$47</x:f>
        <x:v>1.5</x:v>
      </x:c>
      <x:c r="AO1214" s="81" t="n">
        <x:f>'Inputs'!$E$47</x:f>
        <x:v>0.05</x:v>
      </x:c>
    </x:row>
    <x:row r="1215">
      <x:c r="A1215" s="59" t="str">
        <x:v>Growth</x:v>
      </x:c>
      <x:c r="B1215" s="59" t="n">
        <x:v>117</x:v>
      </x:c>
      <x:c r="C1215" s="78" t="n">
        <x:f>(('Inputs'!$B$29*(3*117*'Inputs'!$B$12-117^2)/(2*'Inputs'!$B$12^2))-('Inputs'!$B$29*(3*116*'Inputs'!$B$12-116^2)/(2*'Inputs'!$B$12^2)))*'Inputs'!$B$47</x:f>
        <x:v>674111.231000185</x:v>
      </x:c>
      <x:c r="D1215" s="78" t="n">
        <x:f>IF('Inputs'!$C$47&gt;0,('Inputs'!$B$30*(3*117*'Inputs'!$B$12-117^2)/(2*'Inputs'!$B$12^2))-('Inputs'!$B$30*(3*116*'Inputs'!$B$12-116^2)/(2*'Inputs'!$B$12^2)),0)</x:f>
        <x:v>288904.81328579783</x:v>
      </x:c>
      <x:c r="E1215" s="78" t="n">
        <x:f>C1215+D1215</x:f>
        <x:v>963016.0442859828</x:v>
      </x:c>
      <x:c r="F1215" s="78" t="n">
        <x:f>'Inputs'!$B$13*E1215+(1-'Inputs'!$B$13)/'Inputs'!$B$14*SUM(E1160:E1215)</x:f>
        <x:v>973233.7211484333</x:v>
      </x:c>
      <x:c r="G1215" s="78" t="n">
        <x:f>F1215*'Inputs'!$F$47</x:f>
        <x:v>340631.80240195163</x:v>
      </x:c>
      <x:c r="H1215" s="78" t="n">
        <x:f>U1214</x:f>
        <x:v>2397356.286848211</x:v>
      </x:c>
      <x:c r="I1215" s="78" t="n">
        <x:f>V1214</x:f>
        <x:v>22377.085775070507</x:v>
      </x:c>
      <x:c r="J1215" s="79" t="n">
        <x:f>IF(H1215&gt;0,I1215/H1215,0)</x:f>
        <x:v>0.009334067655204274</x:v>
      </x:c>
      <x:c r="K1215" s="80" t="n">
        <x:f>(H1215*J1215+I1215)*'Inputs'!$D$47*(1+'Inputs'!$G$47)^(B1215/30)</x:f>
        <x:v>75333.81438489565</x:v>
      </x:c>
      <x:c r="L1215" s="80" t="n">
        <x:f>MAX(0,K1215*'Inputs'!$E$47)</x:f>
        <x:v>3766.690719244783</x:v>
      </x:c>
      <x:c r="M1215" s="80" t="n">
        <x:f>MAX(0,-K1215*'Inputs'!$E$47)</x:f>
        <x:v>0</x:v>
      </x:c>
      <x:c r="N1215" s="78" t="n">
        <x:f>H1215*(L1215*(1-'Inputs'!$B$15))/(I1215+L1215*(1-'Inputs'!$B$15))</x:f>
        <x:v>342440.862350475</x:v>
      </x:c>
      <x:c r="O1215" s="78" t="n">
        <x:f>H1215-N1215</x:f>
        <x:v>2054915.4244977362</x:v>
      </x:c>
      <x:c r="P1215" s="78" t="n">
        <x:f>I1215+L1215*(1-'Inputs'!$B$17)</x:f>
        <x:v>26128.61878518352</x:v>
      </x:c>
      <x:c r="Q1215" s="78" t="n">
        <x:f>IF(J1215&gt;0,M1215/J1215,0)</x:f>
        <x:v>0</x:v>
      </x:c>
      <x:c r="R1215" s="78" t="n">
        <x:f>IF(B1215='Inputs'!$H$47,'Inputs'!$B$27*'Inputs'!$I$47,0)</x:f>
        <x:v>0</x:v>
      </x:c>
      <x:c r="S1215" s="78" t="n">
        <x:f>Q1215+G1215+R1215</x:f>
        <x:v>340631.80240195163</x:v>
      </x:c>
      <x:c r="T1215" s="78" t="n">
        <x:f>P1215*(S1215*(1-'Inputs'!$B$15))/(O1215+S1215*(1-'Inputs'!$B$15))</x:f>
        <x:v>3683.410159187162</x:v>
      </x:c>
      <x:c r="U1215" s="78" t="n">
        <x:f>O1215+S1215*(1-'Inputs'!$B$17)</x:f>
        <x:v>2394176.4751797603</x:v>
      </x:c>
      <x:c r="V1215" s="78" t="n">
        <x:f>P1215-T1215</x:f>
        <x:v>22445.208625996358</x:v>
      </x:c>
      <x:c r="W1215" s="79" t="n">
        <x:f>IF(U1215&gt;0,V1215/U1215,0)</x:f>
        <x:v>0.009374918206190762</x:v>
      </x:c>
      <x:c r="X1215" s="80" t="n">
        <x:f>W1215*('Inputs'!$B$6-AC1215)</x:f>
        <x:v>9357883.622086959</x:v>
      </x:c>
      <x:c r="Y1215" s="80" t="n">
        <x:f>2*V1215</x:f>
        <x:v>44890.417251992716</x:v>
      </x:c>
      <x:c r="Z1215" s="80" t="n">
        <x:f>K1215*'Inputs'!$B$16+(G1215+R1215)*J1215*'Inputs'!$B$16</x:f>
        <x:v>471.07976804417785</x:v>
      </x:c>
      <x:c r="AA1215" s="80" t="n">
        <x:f>K1215*(1+'Inputs'!$E$47)/2*'Inputs'!$B$17</x:f>
        <x:v>159.15594588358238</x:v>
      </x:c>
      <x:c r="AB1215" s="78" t="n">
        <x:f>(IF(J1215&gt;0,K1215*(1-'Inputs'!$E$47)/2/J1215,0)+G1215+R1215)*'Inputs'!$B$17</x:f>
        <x:v>16797.92046039878</x:v>
      </x:c>
      <x:c r="AC1215" s="78" t="n">
        <x:f>AC1214+AB1215</x:f>
        <x:v>1817038.1574693697</x:v>
      </x:c>
      <x:c r="AD1215" s="80" t="n">
        <x:f>Z1215/(1+'Inputs'!$C$47)</x:f>
        <x:v>188.43190721767115</x:v>
      </x:c>
      <x:c r="AE1215" s="80" t="n">
        <x:f>Z1215-AD1215</x:f>
        <x:v>282.6478608265067</x:v>
      </x:c>
      <x:c r="AF1215" s="80" t="n">
        <x:f>D1215*W1215</x:f>
        <x:v>2708.4589939291686</x:v>
      </x:c>
      <x:c r="AG1215" s="80" t="n">
        <x:f>C1215*W1215</x:f>
        <x:v>6319.7376525013005</x:v>
      </x:c>
      <x:c r="AH1215" s="80" t="n">
        <x:f>2*'Inputs'!$B$8*'Inputs'!$C$47</x:f>
        <x:v>7500</x:v>
      </x:c>
      <x:c r="AI1215" s="81" t="n">
        <x:f>IF(AH1215&gt;0,(AE1215+AF1215)/AH1215*365,0)</x:f>
        <x:v>145.5672002647762</x:v>
      </x:c>
      <x:c r="AJ1215" s="81" t="n">
        <x:f>IF('Inputs'!$B$47&gt;0,AG1215/('Inputs'!$B$19*'Inputs'!$B$47)*365,0)</x:f>
        <x:v>230.67042431629747</x:v>
      </x:c>
      <x:c r="AK1215" s="81" t="n">
        <x:f>W1215/MAX($W$1099:W1215)-1</x:f>
        <x:v>-0.5769361898427772</x:v>
      </x:c>
      <x:c r="AL1215" s="83" t="n">
        <x:f>'Inputs'!$B$47</x:f>
        <x:v>1</x:v>
      </x:c>
      <x:c r="AM1215" s="83" t="n">
        <x:f>'Inputs'!$C$47</x:f>
        <x:v>1.5</x:v>
      </x:c>
      <x:c r="AN1215" s="83" t="n">
        <x:f>'Inputs'!$D$47</x:f>
        <x:v>1.5</x:v>
      </x:c>
      <x:c r="AO1215" s="81" t="n">
        <x:f>'Inputs'!$E$47</x:f>
        <x:v>0.05</x:v>
      </x:c>
    </x:row>
    <x:row r="1216">
      <x:c r="A1216" s="59" t="str">
        <x:v>Growth</x:v>
      </x:c>
      <x:c r="B1216" s="59" t="n">
        <x:v>118</x:v>
      </x:c>
      <x:c r="C1216" s="78" t="n">
        <x:f>(('Inputs'!$B$29*(3*118*'Inputs'!$B$12-118^2)/(2*'Inputs'!$B$12^2))-('Inputs'!$B$29*(3*117*'Inputs'!$B$12-117^2)/(2*'Inputs'!$B$12^2)))*'Inputs'!$B$47</x:f>
        <x:v>673786.1231000274</x:v>
      </x:c>
      <x:c r="D1216" s="78" t="n">
        <x:f>IF('Inputs'!$C$47&gt;0,('Inputs'!$B$30*(3*118*'Inputs'!$B$12-118^2)/(2*'Inputs'!$B$12^2))-('Inputs'!$B$30*(3*117*'Inputs'!$B$12-117^2)/(2*'Inputs'!$B$12^2)),0)</x:f>
        <x:v>288765.4813285768</x:v>
      </x:c>
      <x:c r="E1216" s="78" t="n">
        <x:f>C1216+D1216</x:f>
        <x:v>962551.6044286042</x:v>
      </x:c>
      <x:c r="F1216" s="78" t="n">
        <x:f>'Inputs'!$B$13*E1216+(1-'Inputs'!$B$13)/'Inputs'!$B$14*SUM(E1161:E1216)</x:f>
        <x:v>972769.2812910504</x:v>
      </x:c>
      <x:c r="G1216" s="78" t="n">
        <x:f>F1216*'Inputs'!$F$47</x:f>
        <x:v>340469.2484518676</x:v>
      </x:c>
      <x:c r="H1216" s="78" t="n">
        <x:f>U1215</x:f>
        <x:v>2394176.4751797603</x:v>
      </x:c>
      <x:c r="I1216" s="78" t="n">
        <x:f>V1215</x:f>
        <x:v>22445.208625996358</x:v>
      </x:c>
      <x:c r="J1216" s="79" t="n">
        <x:f>IF(H1216&gt;0,I1216/H1216,0)</x:f>
        <x:v>0.009374918206190762</x:v>
      </x:c>
      <x:c r="K1216" s="80" t="n">
        <x:f>(H1216*J1216+I1216)*'Inputs'!$D$47*(1+'Inputs'!$G$47)^(B1216/30)</x:f>
        <x:v>75637.64265609221</x:v>
      </x:c>
      <x:c r="L1216" s="80" t="n">
        <x:f>MAX(0,K1216*'Inputs'!$E$47)</x:f>
        <x:v>3781.8821328046106</x:v>
      </x:c>
      <x:c r="M1216" s="80" t="n">
        <x:f>MAX(0,-K1216*'Inputs'!$E$47)</x:f>
        <x:v>0</x:v>
      </x:c>
      <x:c r="N1216" s="78" t="n">
        <x:f>H1216*(L1216*(1-'Inputs'!$B$15))/(I1216+L1216*(1-'Inputs'!$B$15))</x:f>
        <x:v>342275.5822812606</x:v>
      </x:c>
      <x:c r="O1216" s="78" t="n">
        <x:f>H1216-N1216</x:f>
        <x:v>2051900.8928984997</x:v>
      </x:c>
      <x:c r="P1216" s="78" t="n">
        <x:f>I1216+L1216*(1-'Inputs'!$B$17)</x:f>
        <x:v>26211.871917220265</x:v>
      </x:c>
      <x:c r="Q1216" s="78" t="n">
        <x:f>IF(J1216&gt;0,M1216/J1216,0)</x:f>
        <x:v>0</x:v>
      </x:c>
      <x:c r="R1216" s="78" t="n">
        <x:f>IF(B1216='Inputs'!$H$47,'Inputs'!$B$27*'Inputs'!$I$47,0)</x:f>
        <x:v>0</x:v>
      </x:c>
      <x:c r="S1216" s="78" t="n">
        <x:f>Q1216+G1216+R1216</x:f>
        <x:v>340469.2484518676</x:v>
      </x:c>
      <x:c r="T1216" s="78" t="n">
        <x:f>P1216*(S1216*(1-'Inputs'!$B$15))/(O1216+S1216*(1-'Inputs'!$B$15))</x:f>
        <x:v>3698.2924859986133</x:v>
      </x:c>
      <x:c r="U1216" s="78" t="n">
        <x:f>O1216+S1216*(1-'Inputs'!$B$17)</x:f>
        <x:v>2391000.0437710844</x:v>
      </x:c>
      <x:c r="V1216" s="78" t="n">
        <x:f>P1216-T1216</x:f>
        <x:v>22513.579431221653</x:v>
      </x:c>
      <x:c r="W1216" s="79" t="n">
        <x:f>IF(U1216&gt;0,V1216/U1216,0)</x:f>
        <x:v>0.009415967803878935</x:v>
      </x:c>
      <x:c r="X1216" s="80" t="n">
        <x:f>W1216*('Inputs'!$B$6-AC1216)</x:f>
        <x:v>9398700.518237527</x:v>
      </x:c>
      <x:c r="Y1216" s="80" t="n">
        <x:f>2*V1216</x:f>
        <x:v>45027.158862443306</x:v>
      </x:c>
      <x:c r="Z1216" s="80" t="n">
        <x:f>K1216*'Inputs'!$B$16+(G1216+R1216)*J1216*'Inputs'!$B$16</x:f>
        <x:v>472.9770840723103</x:v>
      </x:c>
      <x:c r="AA1216" s="80" t="n">
        <x:f>K1216*(1+'Inputs'!$E$47)/2*'Inputs'!$B$17</x:f>
        <x:v>159.79783659737794</x:v>
      </x:c>
      <x:c r="AB1216" s="78" t="n">
        <x:f>(IF(J1216&gt;0,K1216*(1-'Inputs'!$E$47)/2/J1216,0)+G1216+R1216)*'Inputs'!$B$17</x:f>
        <x:v>16791.991598710665</x:v>
      </x:c>
      <x:c r="AC1216" s="78" t="n">
        <x:f>AC1215+AB1216</x:f>
        <x:v>1833830.1490680804</x:v>
      </x:c>
      <x:c r="AD1216" s="80" t="n">
        <x:f>Z1216/(1+'Inputs'!$C$47)</x:f>
        <x:v>189.1908336289241</x:v>
      </x:c>
      <x:c r="AE1216" s="80" t="n">
        <x:f>Z1216-AD1216</x:f>
        <x:v>283.78625044338617</x:v>
      </x:c>
      <x:c r="AF1216" s="80" t="n">
        <x:f>D1216*W1216</x:f>
        <x:v>2719.006475061483</x:v>
      </x:c>
      <x:c r="AG1216" s="80" t="n">
        <x:f>C1216*W1216</x:f>
        <x:v>6344.348441810267</x:v>
      </x:c>
      <x:c r="AH1216" s="80" t="n">
        <x:f>2*'Inputs'!$B$8*'Inputs'!$C$47</x:f>
        <x:v>7500</x:v>
      </x:c>
      <x:c r="AI1216" s="81" t="n">
        <x:f>IF(AH1216&gt;0,(AE1216+AF1216)/AH1216*365,0)</x:f>
        <x:v>146.13591264123696</x:v>
      </x:c>
      <x:c r="AJ1216" s="81" t="n">
        <x:f>IF('Inputs'!$B$47&gt;0,AG1216/('Inputs'!$B$19*'Inputs'!$B$47)*365,0)</x:f>
        <x:v>231.56871812607474</x:v>
      </x:c>
      <x:c r="AK1216" s="81" t="n">
        <x:f>W1216/MAX($W$1099:W1216)-1</x:f>
        <x:v>-0.5750837364323664</x:v>
      </x:c>
      <x:c r="AL1216" s="83" t="n">
        <x:f>'Inputs'!$B$47</x:f>
        <x:v>1</x:v>
      </x:c>
      <x:c r="AM1216" s="83" t="n">
        <x:f>'Inputs'!$C$47</x:f>
        <x:v>1.5</x:v>
      </x:c>
      <x:c r="AN1216" s="83" t="n">
        <x:f>'Inputs'!$D$47</x:f>
        <x:v>1.5</x:v>
      </x:c>
      <x:c r="AO1216" s="81" t="n">
        <x:f>'Inputs'!$E$47</x:f>
        <x:v>0.05</x:v>
      </x:c>
    </x:row>
    <x:row r="1217">
      <x:c r="A1217" s="59" t="str">
        <x:v>Growth</x:v>
      </x:c>
      <x:c r="B1217" s="59" t="n">
        <x:v>119</x:v>
      </x:c>
      <x:c r="C1217" s="78" t="n">
        <x:f>(('Inputs'!$B$29*(3*119*'Inputs'!$B$12-119^2)/(2*'Inputs'!$B$12^2))-('Inputs'!$B$29*(3*118*'Inputs'!$B$12-118^2)/(2*'Inputs'!$B$12^2)))*'Inputs'!$B$47</x:f>
        <x:v>673461.0151998401</x:v>
      </x:c>
      <x:c r="D1217" s="78" t="n">
        <x:f>IF('Inputs'!$C$47&gt;0,('Inputs'!$B$30*(3*119*'Inputs'!$B$12-119^2)/(2*'Inputs'!$B$12^2))-('Inputs'!$B$30*(3*118*'Inputs'!$B$12-118^2)/(2*'Inputs'!$B$12^2)),0)</x:f>
        <x:v>288626.1493713632</x:v>
      </x:c>
      <x:c r="E1217" s="78" t="n">
        <x:f>C1217+D1217</x:f>
        <x:v>962087.1645712033</x:v>
      </x:c>
      <x:c r="F1217" s="78" t="n">
        <x:f>'Inputs'!$B$13*E1217+(1-'Inputs'!$B$13)/'Inputs'!$B$14*SUM(E1162:E1217)</x:f>
        <x:v>972304.8414336627</x:v>
      </x:c>
      <x:c r="G1217" s="78" t="n">
        <x:f>F1217*'Inputs'!$F$47</x:f>
        <x:v>340306.6945017819</x:v>
      </x:c>
      <x:c r="H1217" s="78" t="n">
        <x:f>U1216</x:f>
        <x:v>2391000.0437710844</x:v>
      </x:c>
      <x:c r="I1217" s="78" t="n">
        <x:f>V1216</x:f>
        <x:v>22513.579431221653</x:v>
      </x:c>
      <x:c r="J1217" s="79" t="n">
        <x:f>IF(H1217&gt;0,I1217/H1217,0)</x:f>
        <x:v>0.009415967803878935</x:v>
      </x:c>
      <x:c r="K1217" s="80" t="n">
        <x:f>(H1217*J1217+I1217)*'Inputs'!$D$47*(1+'Inputs'!$G$47)^(B1217/30)</x:f>
        <x:v>75942.83313566819</x:v>
      </x:c>
      <x:c r="L1217" s="80" t="n">
        <x:f>MAX(0,K1217*'Inputs'!$E$47)</x:f>
        <x:v>3797.1416567834094</x:v>
      </x:c>
      <x:c r="M1217" s="80" t="n">
        <x:f>MAX(0,-K1217*'Inputs'!$E$47)</x:f>
        <x:v>0</x:v>
      </x:c>
      <x:c r="N1217" s="78" t="n">
        <x:f>H1217*(L1217*(1-'Inputs'!$B$15))/(I1217+L1217*(1-'Inputs'!$B$15))</x:f>
        <x:v>342110.22147674224</x:v>
      </x:c>
      <x:c r="O1217" s="78" t="n">
        <x:f>H1217-N1217</x:f>
        <x:v>2048889.822294342</x:v>
      </x:c>
      <x:c r="P1217" s="78" t="n">
        <x:f>I1217+L1217*(1-'Inputs'!$B$17)</x:f>
        <x:v>26295.440839889234</x:v>
      </x:c>
      <x:c r="Q1217" s="78" t="n">
        <x:f>IF(J1217&gt;0,M1217/J1217,0)</x:f>
        <x:v>0</x:v>
      </x:c>
      <x:c r="R1217" s="78" t="n">
        <x:f>IF(B1217='Inputs'!$H$47,'Inputs'!$B$27*'Inputs'!$I$47,0)</x:f>
        <x:v>0</x:v>
      </x:c>
      <x:c r="S1217" s="78" t="n">
        <x:f>Q1217+G1217+R1217</x:f>
        <x:v>340306.6945017819</x:v>
      </x:c>
      <x:c r="T1217" s="78" t="n">
        <x:f>P1217*(S1217*(1-'Inputs'!$B$15))/(O1217+S1217*(1-'Inputs'!$B$15))</x:f>
        <x:v>3713.242404834268</x:v>
      </x:c>
      <x:c r="U1217" s="78" t="n">
        <x:f>O1217+S1217*(1-'Inputs'!$B$17)</x:f>
        <x:v>2387827.0733574852</x:v>
      </x:c>
      <x:c r="V1217" s="78" t="n">
        <x:f>P1217-T1217</x:f>
        <x:v>22582.198435054965</x:v>
      </x:c>
      <x:c r="W1217" s="79" t="n">
        <x:f>IF(U1217&gt;0,V1217/U1217,0)</x:f>
        <x:v>0.009457216850842762</x:v>
      </x:c>
      <x:c r="X1217" s="80" t="n">
        <x:f>W1217*('Inputs'!$B$6-AC1217)</x:f>
        <x:v>9439715.172054043</x:v>
      </x:c>
      <x:c r="Y1217" s="80" t="n">
        <x:f>2*V1217</x:f>
        <x:v>45164.39687010993</x:v>
      </x:c>
      <x:c r="Z1217" s="80" t="n">
        <x:f>K1217*'Inputs'!$B$16+(G1217+R1217)*J1217*'Inputs'!$B$16</x:f>
        <x:v>474.8829000872486</x:v>
      </x:c>
      <x:c r="AA1217" s="80" t="n">
        <x:f>K1217*(1+'Inputs'!$E$47)/2*'Inputs'!$B$17</x:f>
        <x:v>160.4426052162004</x:v>
      </x:c>
      <x:c r="AB1217" s="78" t="n">
        <x:f>(IF(J1217&gt;0,K1217*(1-'Inputs'!$E$47)/2/J1217,0)+G1217+R1217)*'Inputs'!$B$17</x:f>
        <x:v>16786.059141230016</x:v>
      </x:c>
      <x:c r="AC1217" s="78" t="n">
        <x:f>AC1216+AB1217</x:f>
        <x:v>1850616.2082093104</x:v>
      </x:c>
      <x:c r="AD1217" s="80" t="n">
        <x:f>Z1217/(1+'Inputs'!$C$47)</x:f>
        <x:v>189.95316003489944</x:v>
      </x:c>
      <x:c r="AE1217" s="80" t="n">
        <x:f>Z1217-AD1217</x:f>
        <x:v>284.92974005234913</x:v>
      </x:c>
      <x:c r="AF1217" s="80" t="n">
        <x:f>D1217*W1217</x:f>
        <x:v>2729.600083428716</x:v>
      </x:c>
      <x:c r="AG1217" s="80" t="n">
        <x:f>C1217*W1217</x:f>
        <x:v>6369.066861333601</x:v>
      </x:c>
      <x:c r="AH1217" s="80" t="n">
        <x:f>2*'Inputs'!$B$8*'Inputs'!$C$47</x:f>
        <x:v>7500</x:v>
      </x:c>
      <x:c r="AI1217" s="81" t="n">
        <x:f>IF(AH1217&gt;0,(AE1217+AF1217)/AH1217*365,0)</x:f>
        <x:v>146.7071180760785</x:v>
      </x:c>
      <x:c r="AJ1217" s="81" t="n">
        <x:f>IF('Inputs'!$B$47&gt;0,AG1217/('Inputs'!$B$19*'Inputs'!$B$47)*365,0)</x:f>
        <x:v>232.47094043867645</x:v>
      </x:c>
      <x:c r="AK1217" s="81" t="n">
        <x:f>W1217/MAX($W$1099:W1217)-1</x:f>
        <x:v>-0.5732222824345762</x:v>
      </x:c>
      <x:c r="AL1217" s="83" t="n">
        <x:f>'Inputs'!$B$47</x:f>
        <x:v>1</x:v>
      </x:c>
      <x:c r="AM1217" s="83" t="n">
        <x:f>'Inputs'!$C$47</x:f>
        <x:v>1.5</x:v>
      </x:c>
      <x:c r="AN1217" s="83" t="n">
        <x:f>'Inputs'!$D$47</x:f>
        <x:v>1.5</x:v>
      </x:c>
      <x:c r="AO1217" s="81" t="n">
        <x:f>'Inputs'!$E$47</x:f>
        <x:v>0.05</x:v>
      </x:c>
    </x:row>
    <x:row r="1218">
      <x:c r="A1218" s="59" t="str">
        <x:v>Growth</x:v>
      </x:c>
      <x:c r="B1218" s="59" t="n">
        <x:v>120</x:v>
      </x:c>
      <x:c r="C1218" s="78" t="n">
        <x:f>(('Inputs'!$B$29*(3*120*'Inputs'!$B$12-120^2)/(2*'Inputs'!$B$12^2))-('Inputs'!$B$29*(3*119*'Inputs'!$B$12-119^2)/(2*'Inputs'!$B$12^2)))*'Inputs'!$B$47</x:f>
        <x:v>673135.9072996825</x:v>
      </x:c>
      <x:c r="D1218" s="78" t="n">
        <x:f>IF('Inputs'!$C$47&gt;0,('Inputs'!$B$30*(3*120*'Inputs'!$B$12-120^2)/(2*'Inputs'!$B$12^2))-('Inputs'!$B$30*(3*119*'Inputs'!$B$12-119^2)/(2*'Inputs'!$B$12^2)),0)</x:f>
        <x:v>288486.81741414964</x:v>
      </x:c>
      <x:c r="E1218" s="78" t="n">
        <x:f>C1218+D1218</x:f>
        <x:v>961622.7247138321</x:v>
      </x:c>
      <x:c r="F1218" s="78" t="n">
        <x:f>'Inputs'!$B$13*E1218+(1-'Inputs'!$B$13)/'Inputs'!$B$14*SUM(E1163:E1218)</x:f>
        <x:v>971840.4015762811</x:v>
      </x:c>
      <x:c r="G1218" s="78" t="n">
        <x:f>F1218*'Inputs'!$F$47</x:f>
        <x:v>340144.14055169834</x:v>
      </x:c>
      <x:c r="H1218" s="78" t="n">
        <x:f>U1217</x:f>
        <x:v>2387827.0733574852</x:v>
      </x:c>
      <x:c r="I1218" s="78" t="n">
        <x:f>V1217</x:f>
        <x:v>22582.198435054965</x:v>
      </x:c>
      <x:c r="J1218" s="79" t="n">
        <x:f>IF(H1218&gt;0,I1218/H1218,0)</x:f>
        <x:v>0.009457216850842762</x:v>
      </x:c>
      <x:c r="K1218" s="80" t="n">
        <x:f>(H1218*J1218+I1218)*'Inputs'!$D$47*(1+'Inputs'!$G$47)^(B1218/30)</x:f>
        <x:v>76249.38986346775</x:v>
      </x:c>
      <x:c r="L1218" s="80" t="n">
        <x:f>MAX(0,K1218*'Inputs'!$E$47)</x:f>
        <x:v>3812.4694931733875</x:v>
      </x:c>
      <x:c r="M1218" s="80" t="n">
        <x:f>MAX(0,-K1218*'Inputs'!$E$47)</x:f>
        <x:v>0</x:v>
      </x:c>
      <x:c r="N1218" s="78" t="n">
        <x:f>H1218*(L1218*(1-'Inputs'!$B$15))/(I1218+L1218*(1-'Inputs'!$B$15))</x:f>
        <x:v>341944.79198781314</x:v>
      </x:c>
      <x:c r="O1218" s="78" t="n">
        <x:f>H1218-N1218</x:f>
        <x:v>2045882.2813696722</x:v>
      </x:c>
      <x:c r="P1218" s="78" t="n">
        <x:f>I1218+L1218*(1-'Inputs'!$B$17)</x:f>
        <x:v>26379.32599867836</x:v>
      </x:c>
      <x:c r="Q1218" s="78" t="n">
        <x:f>IF(J1218&gt;0,M1218/J1218,0)</x:f>
        <x:v>0</x:v>
      </x:c>
      <x:c r="R1218" s="78" t="n">
        <x:f>IF(B1218='Inputs'!$H$47,'Inputs'!$B$27*'Inputs'!$I$47,0)</x:f>
        <x:v>0</x:v>
      </x:c>
      <x:c r="S1218" s="78" t="n">
        <x:f>Q1218+G1218+R1218</x:f>
        <x:v>340144.14055169834</x:v>
      </x:c>
      <x:c r="T1218" s="78" t="n">
        <x:f>P1218*(S1218*(1-'Inputs'!$B$15))/(O1218+S1218*(1-'Inputs'!$B$15))</x:f>
        <x:v>3728.2600120010284</x:v>
      </x:c>
      <x:c r="U1218" s="78" t="n">
        <x:f>O1218+S1218*(1-'Inputs'!$B$17)</x:f>
        <x:v>2384657.632623376</x:v>
      </x:c>
      <x:c r="V1218" s="78" t="n">
        <x:f>P1218-T1218</x:f>
        <x:v>22651.06598667733</x:v>
      </x:c>
      <x:c r="W1218" s="79" t="n">
        <x:f>IF(U1218&gt;0,V1218/U1218,0)</x:f>
        <x:v>0.009498665836470101</x:v>
      </x:c>
      <x:c r="X1218" s="80" t="n">
        <x:f>W1218*('Inputs'!$B$6-AC1218)</x:f>
        <x:v>9480928.062729724</x:v>
      </x:c>
      <x:c r="Y1218" s="80" t="n">
        <x:f>2*V1218</x:f>
        <x:v>45302.13197335466</x:v>
      </x:c>
      <x:c r="Z1218" s="80" t="n">
        <x:f>K1218*'Inputs'!$B$16+(G1218+R1218)*J1218*'Inputs'!$B$16</x:f>
        <x:v>476.7972405672522</x:v>
      </x:c>
      <x:c r="AA1218" s="80" t="n">
        <x:f>K1218*(1+'Inputs'!$E$47)/2*'Inputs'!$B$17</x:f>
        <x:v>161.0902602749319</x:v>
      </x:c>
      <x:c r="AB1218" s="78" t="n">
        <x:f>(IF(J1218&gt;0,K1218*(1-'Inputs'!$E$47)/2/J1218,0)+G1218+R1218)*'Inputs'!$B$17</x:f>
        <x:v>16780.123628554207</x:v>
      </x:c>
      <x:c r="AC1218" s="78" t="n">
        <x:f>AC1217+AB1218</x:f>
        <x:v>1867396.3318378646</x:v>
      </x:c>
      <x:c r="AD1218" s="80" t="n">
        <x:f>Z1218/(1+'Inputs'!$C$47)</x:f>
        <x:v>190.71889622690088</x:v>
      </x:c>
      <x:c r="AE1218" s="80" t="n">
        <x:f>Z1218-AD1218</x:f>
        <x:v>286.0783443403513</x:v>
      </x:c>
      <x:c r="AF1218" s="80" t="n">
        <x:f>D1218*W1218</x:f>
        <x:v>2740.239876843771</x:v>
      </x:c>
      <x:c r="AG1218" s="80" t="n">
        <x:f>C1218*W1218</x:f>
        <x:v>6393.893045968799</x:v>
      </x:c>
      <x:c r="AH1218" s="80" t="n">
        <x:f>2*'Inputs'!$B$8*'Inputs'!$C$47</x:f>
        <x:v>7500</x:v>
      </x:c>
      <x:c r="AI1218" s="81" t="n">
        <x:f>IF(AH1218&gt;0,(AE1218+AF1218)/AH1218*365,0)</x:f>
        <x:v>147.28082009762727</x:v>
      </x:c>
      <x:c r="AJ1218" s="81" t="n">
        <x:f>IF('Inputs'!$B$47&gt;0,AG1218/('Inputs'!$B$19*'Inputs'!$B$47)*365,0)</x:f>
        <x:v>233.37709617786118</x:v>
      </x:c>
      <x:c r="AK1218" s="81" t="n">
        <x:f>W1218/MAX($W$1099:W1218)-1</x:f>
        <x:v>-0.5713518057647025</x:v>
      </x:c>
      <x:c r="AL1218" s="83" t="n">
        <x:f>'Inputs'!$B$47</x:f>
        <x:v>1</x:v>
      </x:c>
      <x:c r="AM1218" s="83" t="n">
        <x:f>'Inputs'!$C$47</x:f>
        <x:v>1.5</x:v>
      </x:c>
      <x:c r="AN1218" s="83" t="n">
        <x:f>'Inputs'!$D$47</x:f>
        <x:v>1.5</x:v>
      </x:c>
      <x:c r="AO1218" s="81" t="n">
        <x:f>'Inputs'!$E$47</x:f>
        <x:v>0.05</x:v>
      </x:c>
    </x:row>
    <x:row r="1219">
      <x:c r="A1219" s="59" t="str">
        <x:v>Growth</x:v>
      </x:c>
      <x:c r="B1219" s="59" t="n">
        <x:v>121</x:v>
      </x:c>
      <x:c r="C1219" s="78" t="n">
        <x:f>(('Inputs'!$B$29*(3*121*'Inputs'!$B$12-121^2)/(2*'Inputs'!$B$12^2))-('Inputs'!$B$29*(3*120*'Inputs'!$B$12-120^2)/(2*'Inputs'!$B$12^2)))*'Inputs'!$B$47</x:f>
        <x:v>672810.79939951</x:v>
      </x:c>
      <x:c r="D1219" s="78" t="n">
        <x:f>IF('Inputs'!$C$47&gt;0,('Inputs'!$B$30*(3*121*'Inputs'!$B$12-121^2)/(2*'Inputs'!$B$12^2))-('Inputs'!$B$30*(3*120*'Inputs'!$B$12-120^2)/(2*'Inputs'!$B$12^2)),0)</x:f>
        <x:v>288347.48545693606</x:v>
      </x:c>
      <x:c r="E1219" s="78" t="n">
        <x:f>C1219+D1219</x:f>
        <x:v>961158.2848564461</x:v>
      </x:c>
      <x:c r="F1219" s="78" t="n">
        <x:f>'Inputs'!$B$13*E1219+(1-'Inputs'!$B$13)/'Inputs'!$B$14*SUM(E1164:E1219)</x:f>
        <x:v>971375.9617188966</x:v>
      </x:c>
      <x:c r="G1219" s="78" t="n">
        <x:f>F1219*'Inputs'!$F$47</x:f>
        <x:v>339981.5866016138</x:v>
      </x:c>
      <x:c r="H1219" s="78" t="n">
        <x:f>U1218</x:f>
        <x:v>2384657.632623376</x:v>
      </x:c>
      <x:c r="I1219" s="78" t="n">
        <x:f>V1218</x:f>
        <x:v>22651.06598667733</x:v>
      </x:c>
      <x:c r="J1219" s="79" t="n">
        <x:f>IF(H1219&gt;0,I1219/H1219,0)</x:f>
        <x:v>0.009498665836470101</x:v>
      </x:c>
      <x:c r="K1219" s="80" t="n">
        <x:f>(H1219*J1219+I1219)*'Inputs'!$D$47*(1+'Inputs'!$G$47)^(B1219/30)</x:f>
        <x:v>76557.31724286893</x:v>
      </x:c>
      <x:c r="L1219" s="80" t="n">
        <x:f>MAX(0,K1219*'Inputs'!$E$47)</x:f>
        <x:v>3827.8658621434465</x:v>
      </x:c>
      <x:c r="M1219" s="80" t="n">
        <x:f>MAX(0,-K1219*'Inputs'!$E$47)</x:f>
        <x:v>0</x:v>
      </x:c>
      <x:c r="N1219" s="78" t="n">
        <x:f>H1219*(L1219*(1-'Inputs'!$B$15))/(I1219+L1219*(1-'Inputs'!$B$15))</x:f>
        <x:v>341779.30417847243</x:v>
      </x:c>
      <x:c r="O1219" s="78" t="n">
        <x:f>H1219-N1219</x:f>
        <x:v>2042878.3284449035</x:v>
      </x:c>
      <x:c r="P1219" s="78" t="n">
        <x:f>I1219+L1219*(1-'Inputs'!$B$17)</x:f>
        <x:v>26463.52796205159</x:v>
      </x:c>
      <x:c r="Q1219" s="78" t="n">
        <x:f>IF(J1219&gt;0,M1219/J1219,0)</x:f>
        <x:v>0</x:v>
      </x:c>
      <x:c r="R1219" s="78" t="n">
        <x:f>IF(B1219='Inputs'!$H$47,'Inputs'!$B$27*'Inputs'!$I$47,0)</x:f>
        <x:v>0</x:v>
      </x:c>
      <x:c r="S1219" s="78" t="n">
        <x:f>Q1219+G1219+R1219</x:f>
        <x:v>339981.5866016138</x:v>
      </x:c>
      <x:c r="T1219" s="78" t="n">
        <x:f>P1219*(S1219*(1-'Inputs'!$B$15))/(O1219+S1219*(1-'Inputs'!$B$15))</x:f>
        <x:v>3743.345435565822</x:v>
      </x:c>
      <x:c r="U1219" s="78" t="n">
        <x:f>O1219+S1219*(1-'Inputs'!$B$17)</x:f>
        <x:v>2381491.779889167</x:v>
      </x:c>
      <x:c r="V1219" s="78" t="n">
        <x:f>P1219-T1219</x:f>
        <x:v>22720.18252648577</x:v>
      </x:c>
      <x:c r="W1219" s="79" t="n">
        <x:f>IF(U1219&gt;0,V1219/U1219,0)</x:f>
        <x:v>0.00954031532602777</x:v>
      </x:c>
      <x:c r="X1219" s="80" t="n">
        <x:f>W1219*('Inputs'!$B$6-AC1219)</x:f>
        <x:v>9522339.745164117</x:v>
      </x:c>
      <x:c r="Y1219" s="80" t="n">
        <x:f>2*V1219</x:f>
        <x:v>45440.36505297154</x:v>
      </x:c>
      <x:c r="Z1219" s="80" t="n">
        <x:f>K1219*'Inputs'!$B$16+(G1219+R1219)*J1219*'Inputs'!$B$16</x:f>
        <x:v>478.7201323473035</x:v>
      </x:c>
      <x:c r="AA1219" s="80" t="n">
        <x:f>K1219*(1+'Inputs'!$E$47)/2*'Inputs'!$B$17</x:f>
        <x:v>161.74081107648365</x:v>
      </x:c>
      <x:c r="AB1219" s="78" t="n">
        <x:f>(IF(J1219&gt;0,K1219*(1-'Inputs'!$E$47)/2/J1219,0)+G1219+R1219)*'Inputs'!$B$17</x:f>
        <x:v>16774.1855255438</x:v>
      </x:c>
      <x:c r="AC1219" s="78" t="n">
        <x:f>AC1218+AB1219</x:f>
        <x:v>1884170.5173634083</x:v>
      </x:c>
      <x:c r="AD1219" s="80" t="n">
        <x:f>Z1219/(1+'Inputs'!$C$47)</x:f>
        <x:v>191.48805293892138</x:v>
      </x:c>
      <x:c r="AE1219" s="80" t="n">
        <x:f>Z1219-AD1219</x:f>
        <x:v>287.2320794083821</x:v>
      </x:c>
      <x:c r="AF1219" s="80" t="n">
        <x:f>D1219*W1219</x:f>
        <x:v>2750.9259347263765</x:v>
      </x:c>
      <x:c r="AG1219" s="80" t="n">
        <x:f>C1219*W1219</x:f>
        <x:v>6418.827181028141</x:v>
      </x:c>
      <x:c r="AH1219" s="80" t="n">
        <x:f>2*'Inputs'!$B$8*'Inputs'!$C$47</x:f>
        <x:v>7500</x:v>
      </x:c>
      <x:c r="AI1219" s="81" t="n">
        <x:f>IF(AH1219&gt;0,(AE1219+AF1219)/AH1219*365,0)</x:f>
        <x:v>147.85702335455827</x:v>
      </x:c>
      <x:c r="AJ1219" s="81" t="n">
        <x:f>IF('Inputs'!$B$47&gt;0,AG1219/('Inputs'!$B$19*'Inputs'!$B$47)*365,0)</x:f>
        <x:v>234.28719210752718</x:v>
      </x:c>
      <x:c r="AK1219" s="81" t="n">
        <x:f>W1219/MAX($W$1099:W1219)-1</x:f>
        <x:v>-0.5694722809138366</x:v>
      </x:c>
      <x:c r="AL1219" s="83" t="n">
        <x:f>'Inputs'!$B$47</x:f>
        <x:v>1</x:v>
      </x:c>
      <x:c r="AM1219" s="83" t="n">
        <x:f>'Inputs'!$C$47</x:f>
        <x:v>1.5</x:v>
      </x:c>
      <x:c r="AN1219" s="83" t="n">
        <x:f>'Inputs'!$D$47</x:f>
        <x:v>1.5</x:v>
      </x:c>
      <x:c r="AO1219" s="81" t="n">
        <x:f>'Inputs'!$E$47</x:f>
        <x:v>0.05</x:v>
      </x:c>
    </x:row>
    <x:row r="1220">
      <x:c r="A1220" s="59" t="str">
        <x:v>Growth</x:v>
      </x:c>
      <x:c r="B1220" s="59" t="n">
        <x:v>122</x:v>
      </x:c>
      <x:c r="C1220" s="78" t="n">
        <x:f>(('Inputs'!$B$29*(3*122*'Inputs'!$B$12-122^2)/(2*'Inputs'!$B$12^2))-('Inputs'!$B$29*(3*121*'Inputs'!$B$12-121^2)/(2*'Inputs'!$B$12^2)))*'Inputs'!$B$47</x:f>
        <x:v>672485.6914993525</x:v>
      </x:c>
      <x:c r="D1220" s="78" t="n">
        <x:f>IF('Inputs'!$C$47&gt;0,('Inputs'!$B$30*(3*122*'Inputs'!$B$12-122^2)/(2*'Inputs'!$B$12^2))-('Inputs'!$B$30*(3*121*'Inputs'!$B$12-121^2)/(2*'Inputs'!$B$12^2)),0)</x:f>
        <x:v>288208.15349971503</x:v>
      </x:c>
      <x:c r="E1220" s="78" t="n">
        <x:f>C1220+D1220</x:f>
        <x:v>960693.8449990675</x:v>
      </x:c>
      <x:c r="F1220" s="78" t="n">
        <x:f>'Inputs'!$B$13*E1220+(1-'Inputs'!$B$13)/'Inputs'!$B$14*SUM(E1165:E1220)</x:f>
        <x:v>970911.5218615136</x:v>
      </x:c>
      <x:c r="G1220" s="78" t="n">
        <x:f>F1220*'Inputs'!$F$47</x:f>
        <x:v>339819.03265152976</x:v>
      </x:c>
      <x:c r="H1220" s="78" t="n">
        <x:f>U1219</x:f>
        <x:v>2381491.779889167</x:v>
      </x:c>
      <x:c r="I1220" s="78" t="n">
        <x:f>V1219</x:f>
        <x:v>22720.18252648577</x:v>
      </x:c>
      <x:c r="J1220" s="79" t="n">
        <x:f>IF(H1220&gt;0,I1220/H1220,0)</x:f>
        <x:v>0.00954031532602777</x:v>
      </x:c>
      <x:c r="K1220" s="80" t="n">
        <x:f>(H1220*J1220+I1220)*'Inputs'!$D$47*(1+'Inputs'!$G$47)^(B1220/30)</x:f>
        <x:v>76866.61999634557</x:v>
      </x:c>
      <x:c r="L1220" s="80" t="n">
        <x:f>MAX(0,K1220*'Inputs'!$E$47)</x:f>
        <x:v>3843.330999817279</x:v>
      </x:c>
      <x:c r="M1220" s="80" t="n">
        <x:f>MAX(0,-K1220*'Inputs'!$E$47)</x:f>
        <x:v>0</x:v>
      </x:c>
      <x:c r="N1220" s="78" t="n">
        <x:f>H1220*(L1220*(1-'Inputs'!$B$15))/(I1220+L1220*(1-'Inputs'!$B$15))</x:f>
        <x:v>341613.76696058066</x:v>
      </x:c>
      <x:c r="O1220" s="78" t="n">
        <x:f>H1220-N1220</x:f>
        <x:v>2039878.0129285862</x:v>
      </x:c>
      <x:c r="P1220" s="78" t="n">
        <x:f>I1220+L1220*(1-'Inputs'!$B$17)</x:f>
        <x:v>26548.047405579437</x:v>
      </x:c>
      <x:c r="Q1220" s="78" t="n">
        <x:f>IF(J1220&gt;0,M1220/J1220,0)</x:f>
        <x:v>0</x:v>
      </x:c>
      <x:c r="R1220" s="78" t="n">
        <x:f>IF(B1220='Inputs'!$H$47,'Inputs'!$B$27*'Inputs'!$I$47,0)</x:f>
        <x:v>0</x:v>
      </x:c>
      <x:c r="S1220" s="78" t="n">
        <x:f>Q1220+G1220+R1220</x:f>
        <x:v>339819.03265152976</x:v>
      </x:c>
      <x:c r="T1220" s="78" t="n">
        <x:f>P1220*(S1220*(1-'Inputs'!$B$15))/(O1220+S1220*(1-'Inputs'!$B$15))</x:f>
        <x:v>3758.4988312912737</x:v>
      </x:c>
      <x:c r="U1220" s="78" t="n">
        <x:f>O1220+S1220*(1-'Inputs'!$B$17)</x:f>
        <x:v>2378329.5645634094</x:v>
      </x:c>
      <x:c r="V1220" s="78" t="n">
        <x:f>P1220-T1220</x:f>
        <x:v>22789.548574288165</x:v>
      </x:c>
      <x:c r="W1220" s="79" t="n">
        <x:f>IF(U1220&gt;0,V1220/U1220,0)</x:f>
        <x:v>0.009582165951198462</x:v>
      </x:c>
      <x:c r="X1220" s="80" t="n">
        <x:f>W1220*('Inputs'!$B$6-AC1220)</x:f>
        <x:v>9563950.840512209</x:v>
      </x:c>
      <x:c r="Y1220" s="80" t="n">
        <x:f>2*V1220</x:f>
        <x:v>45579.09714857633</x:v>
      </x:c>
      <x:c r="Z1220" s="80" t="n">
        <x:f>K1220*'Inputs'!$B$16+(G1220+R1220)*J1220*'Inputs'!$B$16</x:f>
        <x:v>480.65160432976137</x:v>
      </x:c>
      <x:c r="AA1220" s="80" t="n">
        <x:f>K1220*(1+'Inputs'!$E$47)/2*'Inputs'!$B$17</x:f>
        <x:v>162.3942675979132</x:v>
      </x:c>
      <x:c r="AB1220" s="78" t="n">
        <x:f>(IF(J1220&gt;0,K1220*(1-'Inputs'!$E$47)/2/J1220,0)+G1220+R1220)*'Inputs'!$B$17</x:f>
        <x:v>16768.24523185288</x:v>
      </x:c>
      <x:c r="AC1220" s="78" t="n">
        <x:f>AC1219+AB1220</x:f>
        <x:v>1900938.7625952612</x:v>
      </x:c>
      <x:c r="AD1220" s="80" t="n">
        <x:f>Z1220/(1+'Inputs'!$C$47)</x:f>
        <x:v>192.26064173190454</x:v>
      </x:c>
      <x:c r="AE1220" s="80" t="n">
        <x:f>Z1220-AD1220</x:f>
        <x:v>288.39096259785686</x:v>
      </x:c>
      <x:c r="AF1220" s="80" t="n">
        <x:f>D1220*W1220</x:f>
        <x:v>2761.6583553227492</x:v>
      </x:c>
      <x:c r="AG1220" s="80" t="n">
        <x:f>C1220*W1220</x:f>
        <x:v>6443.869495753248</x:v>
      </x:c>
      <x:c r="AH1220" s="80" t="n">
        <x:f>2*'Inputs'!$B$8*'Inputs'!$C$47</x:f>
        <x:v>7500</x:v>
      </x:c>
      <x:c r="AI1220" s="81" t="n">
        <x:f>IF(AH1220&gt;0,(AE1220+AF1220)/AH1220*365,0)</x:f>
        <x:v>148.43573347213615</x:v>
      </x:c>
      <x:c r="AJ1220" s="81" t="n">
        <x:f>IF('Inputs'!$B$47&gt;0,AG1220/('Inputs'!$B$19*'Inputs'!$B$47)*365,0)</x:f>
        <x:v>235.20123659499356</x:v>
      </x:c>
      <x:c r="AK1220" s="81" t="n">
        <x:f>W1220/MAX($W$1099:W1220)-1</x:f>
        <x:v>-0.567583679375907</x:v>
      </x:c>
      <x:c r="AL1220" s="83" t="n">
        <x:f>'Inputs'!$B$47</x:f>
        <x:v>1</x:v>
      </x:c>
      <x:c r="AM1220" s="83" t="n">
        <x:f>'Inputs'!$C$47</x:f>
        <x:v>1.5</x:v>
      </x:c>
      <x:c r="AN1220" s="83" t="n">
        <x:f>'Inputs'!$D$47</x:f>
        <x:v>1.5</x:v>
      </x:c>
      <x:c r="AO1220" s="81" t="n">
        <x:f>'Inputs'!$E$47</x:f>
        <x:v>0.05</x:v>
      </x:c>
    </x:row>
    <x:row r="1221">
      <x:c r="A1221" s="59" t="str">
        <x:v>Growth</x:v>
      </x:c>
      <x:c r="B1221" s="59" t="n">
        <x:v>123</x:v>
      </x:c>
      <x:c r="C1221" s="78" t="n">
        <x:f>(('Inputs'!$B$29*(3*123*'Inputs'!$B$12-123^2)/(2*'Inputs'!$B$12^2))-('Inputs'!$B$29*(3*122*'Inputs'!$B$12-122^2)/(2*'Inputs'!$B$12^2)))*'Inputs'!$B$47</x:f>
        <x:v>672160.5835991651</x:v>
      </x:c>
      <x:c r="D1221" s="78" t="n">
        <x:f>IF('Inputs'!$C$47&gt;0,('Inputs'!$B$30*(3*123*'Inputs'!$B$12-123^2)/(2*'Inputs'!$B$12^2))-('Inputs'!$B$30*(3*122*'Inputs'!$B$12-122^2)/(2*'Inputs'!$B$12^2)),0)</x:f>
        <x:v>288068.8215425089</x:v>
      </x:c>
      <x:c r="E1221" s="78" t="n">
        <x:f>C1221+D1221</x:f>
        <x:v>960229.405141674</x:v>
      </x:c>
      <x:c r="F1221" s="78" t="n">
        <x:f>'Inputs'!$B$13*E1221+(1-'Inputs'!$B$13)/'Inputs'!$B$14*SUM(E1166:E1221)</x:f>
        <x:v>970447.0820041276</x:v>
      </x:c>
      <x:c r="G1221" s="78" t="n">
        <x:f>F1221*'Inputs'!$F$47</x:f>
        <x:v>339656.47870144463</x:v>
      </x:c>
      <x:c r="H1221" s="78" t="n">
        <x:f>U1220</x:f>
        <x:v>2378329.5645634094</x:v>
      </x:c>
      <x:c r="I1221" s="78" t="n">
        <x:f>V1220</x:f>
        <x:v>22789.548574288165</x:v>
      </x:c>
      <x:c r="J1221" s="79" t="n">
        <x:f>IF(H1221&gt;0,I1221/H1221,0)</x:f>
        <x:v>0.009582165951198462</x:v>
      </x:c>
      <x:c r="K1221" s="80" t="n">
        <x:f>(H1221*J1221+I1221)*'Inputs'!$D$47*(1+'Inputs'!$G$47)^(B1221/30)</x:f>
        <x:v>77177.30312703058</x:v>
      </x:c>
      <x:c r="L1221" s="80" t="n">
        <x:f>MAX(0,K1221*'Inputs'!$E$47)</x:f>
        <x:v>3858.865156351529</x:v>
      </x:c>
      <x:c r="M1221" s="80" t="n">
        <x:f>MAX(0,-K1221*'Inputs'!$E$47)</x:f>
        <x:v>0</x:v>
      </x:c>
      <x:c r="N1221" s="78" t="n">
        <x:f>H1221*(L1221*(1-'Inputs'!$B$15))/(I1221+L1221*(1-'Inputs'!$B$15))</x:f>
        <x:v>341448.18799612107</x:v>
      </x:c>
      <x:c r="O1221" s="78" t="n">
        <x:f>H1221-N1221</x:f>
        <x:v>2036881.3765672883</x:v>
      </x:c>
      <x:c r="P1221" s="78" t="n">
        <x:f>I1221+L1221*(1-'Inputs'!$B$17)</x:f>
        <x:v>26632.88509821977</x:v>
      </x:c>
      <x:c r="Q1221" s="78" t="n">
        <x:f>IF(J1221&gt;0,M1221/J1221,0)</x:f>
        <x:v>0</x:v>
      </x:c>
      <x:c r="R1221" s="78" t="n">
        <x:f>IF(B1221='Inputs'!$H$47,'Inputs'!$B$27*'Inputs'!$I$47,0)</x:f>
        <x:v>0</x:v>
      </x:c>
      <x:c r="S1221" s="78" t="n">
        <x:f>Q1221+G1221+R1221</x:f>
        <x:v>339656.47870144463</x:v>
      </x:c>
      <x:c r="T1221" s="78" t="n">
        <x:f>P1221*(S1221*(1-'Inputs'!$B$15))/(O1221+S1221*(1-'Inputs'!$B$15))</x:f>
        <x:v>3773.720379119281</x:v>
      </x:c>
      <x:c r="U1221" s="78" t="n">
        <x:f>O1221+S1221*(1-'Inputs'!$B$17)</x:f>
        <x:v>2375171.0283926707</x:v>
      </x:c>
      <x:c r="V1221" s="78" t="n">
        <x:f>P1221-T1221</x:f>
        <x:v>22859.16471910049</x:v>
      </x:c>
      <x:c r="W1221" s="79" t="n">
        <x:f>IF(U1221&gt;0,V1221/U1221,0)</x:f>
        <x:v>0.009624218401893264</x:v>
      </x:c>
      <x:c r="X1221" s="80" t="n">
        <x:f>W1221*('Inputs'!$B$6-AC1221)</x:f>
        <x:v>9605762.028007556</x:v>
      </x:c>
      <x:c r="Y1221" s="80" t="n">
        <x:f>2*V1221</x:f>
        <x:v>45718.32943820098</x:v>
      </x:c>
      <x:c r="Z1221" s="80" t="n">
        <x:f>K1221*'Inputs'!$B$16+(G1221+R1221)*J1221*'Inputs'!$B$16</x:f>
        <x:v>482.59168723408516</x:v>
      </x:c>
      <x:c r="AA1221" s="80" t="n">
        <x:f>K1221*(1+'Inputs'!$E$47)/2*'Inputs'!$B$17</x:f>
        <x:v>163.05064040921954</x:v>
      </x:c>
      <x:c r="AB1221" s="78" t="n">
        <x:f>(IF(J1221&gt;0,K1221*(1-'Inputs'!$E$47)/2/J1221,0)+G1221+R1221)*'Inputs'!$B$17</x:f>
        <x:v>16762.3030910032</x:v>
      </x:c>
      <x:c r="AC1221" s="78" t="n">
        <x:f>AC1220+AB1221</x:f>
        <x:v>1917701.0656862643</x:v>
      </x:c>
      <x:c r="AD1221" s="80" t="n">
        <x:f>Z1221/(1+'Inputs'!$C$47)</x:f>
        <x:v>193.03667489363406</x:v>
      </x:c>
      <x:c r="AE1221" s="80" t="n">
        <x:f>Z1221-AD1221</x:f>
        <x:v>289.55501234045107</x:v>
      </x:c>
      <x:c r="AF1221" s="80" t="n">
        <x:f>D1221*W1221</x:f>
        <x:v>2772.437253301121</x:v>
      </x:c>
      <x:c r="AG1221" s="80" t="n">
        <x:f>C1221*W1221</x:f>
        <x:v>6469.0202577024</x:v>
      </x:c>
      <x:c r="AH1221" s="80" t="n">
        <x:f>2*'Inputs'!$B$8*'Inputs'!$C$47</x:f>
        <x:v>7500</x:v>
      </x:c>
      <x:c r="AI1221" s="81" t="n">
        <x:f>IF(AH1221&gt;0,(AE1221+AF1221)/AH1221*365,0)</x:f>
        <x:v>149.01695692788985</x:v>
      </x:c>
      <x:c r="AJ1221" s="81" t="n">
        <x:f>IF('Inputs'!$B$47&gt;0,AG1221/('Inputs'!$B$19*'Inputs'!$B$47)*365,0)</x:f>
        <x:v>236.1192394061376</x:v>
      </x:c>
      <x:c r="AK1221" s="81" t="n">
        <x:f>W1221/MAX($W$1099:W1221)-1</x:f>
        <x:v>-0.5656859700171584</x:v>
      </x:c>
      <x:c r="AL1221" s="83" t="n">
        <x:f>'Inputs'!$B$47</x:f>
        <x:v>1</x:v>
      </x:c>
      <x:c r="AM1221" s="83" t="n">
        <x:f>'Inputs'!$C$47</x:f>
        <x:v>1.5</x:v>
      </x:c>
      <x:c r="AN1221" s="83" t="n">
        <x:f>'Inputs'!$D$47</x:f>
        <x:v>1.5</x:v>
      </x:c>
      <x:c r="AO1221" s="81" t="n">
        <x:f>'Inputs'!$E$47</x:f>
        <x:v>0.05</x:v>
      </x:c>
    </x:row>
    <x:row r="1222">
      <x:c r="A1222" s="59" t="str">
        <x:v>Growth</x:v>
      </x:c>
      <x:c r="B1222" s="59" t="n">
        <x:v>124</x:v>
      </x:c>
      <x:c r="C1222" s="78" t="n">
        <x:f>(('Inputs'!$B$29*(3*124*'Inputs'!$B$12-124^2)/(2*'Inputs'!$B$12^2))-('Inputs'!$B$29*(3*123*'Inputs'!$B$12-123^2)/(2*'Inputs'!$B$12^2)))*'Inputs'!$B$47</x:f>
        <x:v>671835.4756990075</x:v>
      </x:c>
      <x:c r="D1222" s="78" t="n">
        <x:f>IF('Inputs'!$C$47&gt;0,('Inputs'!$B$30*(3*124*'Inputs'!$B$12-124^2)/(2*'Inputs'!$B$12^2))-('Inputs'!$B$30*(3*123*'Inputs'!$B$12-123^2)/(2*'Inputs'!$B$12^2)),0)</x:f>
        <x:v>287929.48958528787</x:v>
      </x:c>
      <x:c r="E1222" s="78" t="n">
        <x:f>C1222+D1222</x:f>
        <x:v>959764.9652842954</x:v>
      </x:c>
      <x:c r="F1222" s="78" t="n">
        <x:f>'Inputs'!$B$13*E1222+(1-'Inputs'!$B$13)/'Inputs'!$B$14*SUM(E1167:E1222)</x:f>
        <x:v>969982.6421467445</x:v>
      </x:c>
      <x:c r="G1222" s="78" t="n">
        <x:f>F1222*'Inputs'!$F$47</x:f>
        <x:v>339493.92475136055</x:v>
      </x:c>
      <x:c r="H1222" s="78" t="n">
        <x:f>U1221</x:f>
        <x:v>2375171.0283926707</x:v>
      </x:c>
      <x:c r="I1222" s="78" t="n">
        <x:f>V1221</x:f>
        <x:v>22859.16471910049</x:v>
      </x:c>
      <x:c r="J1222" s="79" t="n">
        <x:f>IF(H1222&gt;0,I1222/H1222,0)</x:f>
        <x:v>0.009624218401893264</x:v>
      </x:c>
      <x:c r="K1222" s="80" t="n">
        <x:f>(H1222*J1222+I1222)*'Inputs'!$D$47*(1+'Inputs'!$G$47)^(B1222/30)</x:f>
        <x:v>77489.37188547933</x:v>
      </x:c>
      <x:c r="L1222" s="80" t="n">
        <x:f>MAX(0,K1222*'Inputs'!$E$47)</x:f>
        <x:v>3874.4685942739666</x:v>
      </x:c>
      <x:c r="M1222" s="80" t="n">
        <x:f>MAX(0,-K1222*'Inputs'!$E$47)</x:f>
        <x:v>0</x:v>
      </x:c>
      <x:c r="N1222" s="78" t="n">
        <x:f>H1222*(L1222*(1-'Inputs'!$B$15))/(I1222+L1222*(1-'Inputs'!$B$15))</x:f>
        <x:v>341282.573871444</x:v>
      </x:c>
      <x:c r="O1222" s="78" t="n">
        <x:f>H1222-N1222</x:f>
        <x:v>2033888.4545212267</x:v>
      </x:c>
      <x:c r="P1222" s="78" t="n">
        <x:f>I1222+L1222*(1-'Inputs'!$B$17)</x:f>
        <x:v>26718.04189045987</x:v>
      </x:c>
      <x:c r="Q1222" s="78" t="n">
        <x:f>IF(J1222&gt;0,M1222/J1222,0)</x:f>
        <x:v>0</x:v>
      </x:c>
      <x:c r="R1222" s="78" t="n">
        <x:f>IF(B1222='Inputs'!$H$47,'Inputs'!$B$27*'Inputs'!$I$47,0)</x:f>
        <x:v>0</x:v>
      </x:c>
      <x:c r="S1222" s="78" t="n">
        <x:f>Q1222+G1222+R1222</x:f>
        <x:v>339493.92475136055</x:v>
      </x:c>
      <x:c r="T1222" s="78" t="n">
        <x:f>P1222*(S1222*(1-'Inputs'!$B$15))/(O1222+S1222*(1-'Inputs'!$B$15))</x:f>
        <x:v>3789.01028012952</x:v>
      </x:c>
      <x:c r="U1222" s="78" t="n">
        <x:f>O1222+S1222*(1-'Inputs'!$B$17)</x:f>
        <x:v>2372016.2065371694</x:v>
      </x:c>
      <x:c r="V1222" s="78" t="n">
        <x:f>P1222-T1222</x:f>
        <x:v>22929.03161033035</x:v>
      </x:c>
      <x:c r="W1222" s="79" t="n">
        <x:f>IF(U1222&gt;0,V1222/U1222,0)</x:f>
        <x:v>0.009666473419169302</x:v>
      </x:c>
      <x:c r="X1222" s="80" t="n">
        <x:f>W1222*('Inputs'!$B$6-AC1222)</x:f>
        <x:v>9647774.037889209</x:v>
      </x:c>
      <x:c r="Y1222" s="80" t="n">
        <x:f>2*V1222</x:f>
        <x:v>45858.0632206607</x:v>
      </x:c>
      <x:c r="Z1222" s="80" t="n">
        <x:f>K1222*'Inputs'!$B$16+(G1222+R1222)*J1222*'Inputs'!$B$16</x:f>
        <x:v>484.54041338041407</x:v>
      </x:c>
      <x:c r="AA1222" s="80" t="n">
        <x:f>K1222*(1+'Inputs'!$E$47)/2*'Inputs'!$B$17</x:f>
        <x:v>163.70994060312537</x:v>
      </x:c>
      <x:c r="AB1222" s="78" t="n">
        <x:f>(IF(J1222&gt;0,K1222*(1-'Inputs'!$E$47)/2/J1222,0)+G1222+R1222)*'Inputs'!$B$17</x:f>
        <x:v>16756.359398202356</x:v>
      </x:c>
      <x:c r="AC1222" s="78" t="n">
        <x:f>AC1221+AB1222</x:f>
        <x:v>1934457.4250844666</x:v>
      </x:c>
      <x:c r="AD1222" s="80" t="n">
        <x:f>Z1222/(1+'Inputs'!$C$47)</x:f>
        <x:v>193.81616535216563</x:v>
      </x:c>
      <x:c r="AE1222" s="80" t="n">
        <x:f>Z1222-AD1222</x:f>
        <x:v>290.72424802824844</x:v>
      </x:c>
      <x:c r="AF1222" s="80" t="n">
        <x:f>D1222*W1222</x:f>
        <x:v>2783.2627576711693</x:v>
      </x:c>
      <x:c r="AG1222" s="80" t="n">
        <x:f>C1222*W1222</x:f>
        <x:v>6494.279767899419</x:v>
      </x:c>
      <x:c r="AH1222" s="80" t="n">
        <x:f>2*'Inputs'!$B$8*'Inputs'!$C$47</x:f>
        <x:v>7500</x:v>
      </x:c>
      <x:c r="AI1222" s="81" t="n">
        <x:f>IF(AH1222&gt;0,(AE1222+AF1222)/AH1222*365,0)</x:f>
        <x:v>149.60070094403832</x:v>
      </x:c>
      <x:c r="AJ1222" s="81" t="n">
        <x:f>IF('Inputs'!$B$47&gt;0,AG1222/('Inputs'!$B$19*'Inputs'!$B$47)*365,0)</x:f>
        <x:v>237.0412115283288</x:v>
      </x:c>
      <x:c r="AK1222" s="81" t="n">
        <x:f>W1222/MAX($W$1099:W1222)-1</x:f>
        <x:v>-0.5637791193957573</x:v>
      </x:c>
      <x:c r="AL1222" s="83" t="n">
        <x:f>'Inputs'!$B$47</x:f>
        <x:v>1</x:v>
      </x:c>
      <x:c r="AM1222" s="83" t="n">
        <x:f>'Inputs'!$C$47</x:f>
        <x:v>1.5</x:v>
      </x:c>
      <x:c r="AN1222" s="83" t="n">
        <x:f>'Inputs'!$D$47</x:f>
        <x:v>1.5</x:v>
      </x:c>
      <x:c r="AO1222" s="81" t="n">
        <x:f>'Inputs'!$E$47</x:f>
        <x:v>0.05</x:v>
      </x:c>
    </x:row>
    <x:row r="1223">
      <x:c r="A1223" s="59" t="str">
        <x:v>Growth</x:v>
      </x:c>
      <x:c r="B1223" s="59" t="n">
        <x:v>125</x:v>
      </x:c>
      <x:c r="C1223" s="78" t="n">
        <x:f>(('Inputs'!$B$29*(3*125*'Inputs'!$B$12-125^2)/(2*'Inputs'!$B$12^2))-('Inputs'!$B$29*(3*124*'Inputs'!$B$12-124^2)/(2*'Inputs'!$B$12^2)))*'Inputs'!$B$47</x:f>
        <x:v>671510.367798835</x:v>
      </x:c>
      <x:c r="D1223" s="78" t="n">
        <x:f>IF('Inputs'!$C$47&gt;0,('Inputs'!$B$30*(3*125*'Inputs'!$B$12-125^2)/(2*'Inputs'!$B$12^2))-('Inputs'!$B$30*(3*124*'Inputs'!$B$12-124^2)/(2*'Inputs'!$B$12^2)),0)</x:f>
        <x:v>287790.1576280743</x:v>
      </x:c>
      <x:c r="E1223" s="78" t="n">
        <x:f>C1223+D1223</x:f>
        <x:v>959300.5254269093</x:v>
      </x:c>
      <x:c r="F1223" s="78" t="n">
        <x:f>'Inputs'!$B$13*E1223+(1-'Inputs'!$B$13)/'Inputs'!$B$14*SUM(E1168:E1223)</x:f>
        <x:v>969518.2022893602</x:v>
      </x:c>
      <x:c r="G1223" s="78" t="n">
        <x:f>F1223*'Inputs'!$F$47</x:f>
        <x:v>339331.37080127606</x:v>
      </x:c>
      <x:c r="H1223" s="78" t="n">
        <x:f>U1222</x:f>
        <x:v>2372016.2065371694</x:v>
      </x:c>
      <x:c r="I1223" s="78" t="n">
        <x:f>V1222</x:f>
        <x:v>22929.03161033035</x:v>
      </x:c>
      <x:c r="J1223" s="79" t="n">
        <x:f>IF(H1223&gt;0,I1223/H1223,0)</x:f>
        <x:v>0.009666473419169302</x:v>
      </x:c>
      <x:c r="K1223" s="80" t="n">
        <x:f>(H1223*J1223+I1223)*'Inputs'!$D$47*(1+'Inputs'!$G$47)^(B1223/30)</x:f>
        <x:v>77802.83174093615</x:v>
      </x:c>
      <x:c r="L1223" s="80" t="n">
        <x:f>MAX(0,K1223*'Inputs'!$E$47)</x:f>
        <x:v>3890.1415870468077</x:v>
      </x:c>
      <x:c r="M1223" s="80" t="n">
        <x:f>MAX(0,-K1223*'Inputs'!$E$47)</x:f>
        <x:v>0</x:v>
      </x:c>
      <x:c r="N1223" s="78" t="n">
        <x:f>H1223*(L1223*(1-'Inputs'!$B$15))/(I1223+L1223*(1-'Inputs'!$B$15))</x:f>
        <x:v>341116.93024734885</x:v>
      </x:c>
      <x:c r="O1223" s="78" t="n">
        <x:f>H1223-N1223</x:f>
        <x:v>2030899.2762898207</x:v>
      </x:c>
      <x:c r="P1223" s="78" t="n">
        <x:f>I1223+L1223*(1-'Inputs'!$B$17)</x:f>
        <x:v>26803.51870406912</x:v>
      </x:c>
      <x:c r="Q1223" s="78" t="n">
        <x:f>IF(J1223&gt;0,M1223/J1223,0)</x:f>
        <x:v>0</x:v>
      </x:c>
      <x:c r="R1223" s="78" t="n">
        <x:f>IF(B1223='Inputs'!$H$47,'Inputs'!$B$27*'Inputs'!$I$47,0)</x:f>
        <x:v>0</x:v>
      </x:c>
      <x:c r="S1223" s="78" t="n">
        <x:f>Q1223+G1223+R1223</x:f>
        <x:v>339331.37080127606</x:v>
      </x:c>
      <x:c r="T1223" s="78" t="n">
        <x:f>P1223*(S1223*(1-'Inputs'!$B$15))/(O1223+S1223*(1-'Inputs'!$B$15))</x:f>
        <x:v>3804.368753909009</x:v>
      </x:c>
      <x:c r="U1223" s="78" t="n">
        <x:f>O1223+S1223*(1-'Inputs'!$B$17)</x:f>
        <x:v>2368865.128496323</x:v>
      </x:c>
      <x:c r="V1223" s="78" t="n">
        <x:f>P1223-T1223</x:f>
        <x:v>22999.14995016011</x:v>
      </x:c>
      <x:c r="W1223" s="79" t="n">
        <x:f>IF(U1223&gt;0,V1223/U1223,0)</x:f>
        <x:v>0.009708931789104942</x:v>
      </x:c>
      <x:c r="X1223" s="80" t="n">
        <x:f>W1223*('Inputs'!$B$6-AC1223)</x:f>
        <x:v>9689987.645284953</x:v>
      </x:c>
      <x:c r="Y1223" s="80" t="n">
        <x:f>2*V1223</x:f>
        <x:v>45998.29990032022</x:v>
      </x:c>
      <x:c r="Z1223" s="80" t="n">
        <x:f>K1223*'Inputs'!$B$16+(G1223+R1223)*J1223*'Inputs'!$B$16</x:f>
        <x:v>486.49781650246183</x:v>
      </x:c>
      <x:c r="AA1223" s="80" t="n">
        <x:f>K1223*(1+'Inputs'!$E$47)/2*'Inputs'!$B$17</x:f>
        <x:v>164.37217973437214</x:v>
      </x:c>
      <x:c r="AB1223" s="78" t="n">
        <x:f>(IF(J1223&gt;0,K1223*(1-'Inputs'!$E$47)/2/J1223,0)+G1223+R1223)*'Inputs'!$B$17</x:f>
        <x:v>16750.414407078886</x:v>
      </x:c>
      <x:c r="AC1223" s="78" t="n">
        <x:f>AC1222+AB1223</x:f>
        <x:v>1951207.8394915455</x:v>
      </x:c>
      <x:c r="AD1223" s="80" t="n">
        <x:f>Z1223/(1+'Inputs'!$C$47)</x:f>
        <x:v>194.59912660098473</x:v>
      </x:c>
      <x:c r="AE1223" s="80" t="n">
        <x:f>Z1223-AD1223</x:f>
        <x:v>291.8986899014771</x:v>
      </x:c>
      <x:c r="AF1223" s="80" t="n">
        <x:f>D1223*W1223</x:f>
        <x:v>2794.1350099867323</x:v>
      </x:c>
      <x:c r="AG1223" s="80" t="n">
        <x:f>C1223*W1223</x:f>
        <x:v>6519.648356635661</x:v>
      </x:c>
      <x:c r="AH1223" s="80" t="n">
        <x:f>2*'Inputs'!$B$8*'Inputs'!$C$47</x:f>
        <x:v>7500</x:v>
      </x:c>
      <x:c r="AI1223" s="81" t="n">
        <x:f>IF(AH1223&gt;0,(AE1223+AF1223)/AH1223*365,0)</x:f>
        <x:v>150.18697339455952</x:v>
      </x:c>
      <x:c r="AJ1223" s="81" t="n">
        <x:f>IF('Inputs'!$B$47&gt;0,AG1223/('Inputs'!$B$19*'Inputs'!$B$47)*365,0)</x:f>
        <x:v>237.96716501720164</x:v>
      </x:c>
      <x:c r="AK1223" s="81" t="n">
        <x:f>W1223/MAX($W$1099:W1223)-1</x:f>
        <x:v>-0.561863092038188</x:v>
      </x:c>
      <x:c r="AL1223" s="83" t="n">
        <x:f>'Inputs'!$B$47</x:f>
        <x:v>1</x:v>
      </x:c>
      <x:c r="AM1223" s="83" t="n">
        <x:f>'Inputs'!$C$47</x:f>
        <x:v>1.5</x:v>
      </x:c>
      <x:c r="AN1223" s="83" t="n">
        <x:f>'Inputs'!$D$47</x:f>
        <x:v>1.5</x:v>
      </x:c>
      <x:c r="AO1223" s="81" t="n">
        <x:f>'Inputs'!$E$47</x:f>
        <x:v>0.05</x:v>
      </x:c>
    </x:row>
    <x:row r="1224">
      <x:c r="A1224" s="59" t="str">
        <x:v>Growth</x:v>
      </x:c>
      <x:c r="B1224" s="59" t="n">
        <x:v>126</x:v>
      </x:c>
      <x:c r="C1224" s="78" t="n">
        <x:f>(('Inputs'!$B$29*(3*126*'Inputs'!$B$12-126^2)/(2*'Inputs'!$B$12^2))-('Inputs'!$B$29*(3*125*'Inputs'!$B$12-125^2)/(2*'Inputs'!$B$12^2)))*'Inputs'!$B$47</x:f>
        <x:v>671185.2598986775</x:v>
      </x:c>
      <x:c r="D1224" s="78" t="n">
        <x:f>IF('Inputs'!$C$47&gt;0,('Inputs'!$B$30*(3*126*'Inputs'!$B$12-126^2)/(2*'Inputs'!$B$12^2))-('Inputs'!$B$30*(3*125*'Inputs'!$B$12-125^2)/(2*'Inputs'!$B$12^2)),0)</x:f>
        <x:v>287650.82567085326</x:v>
      </x:c>
      <x:c r="E1224" s="78" t="n">
        <x:f>C1224+D1224</x:f>
        <x:v>958836.0855695307</x:v>
      </x:c>
      <x:c r="F1224" s="78" t="n">
        <x:f>'Inputs'!$B$13*E1224+(1-'Inputs'!$B$13)/'Inputs'!$B$14*SUM(E1169:E1224)</x:f>
        <x:v>969053.7624319772</x:v>
      </x:c>
      <x:c r="G1224" s="78" t="n">
        <x:f>F1224*'Inputs'!$F$47</x:f>
        <x:v>339168.816851192</x:v>
      </x:c>
      <x:c r="H1224" s="78" t="n">
        <x:f>U1223</x:f>
        <x:v>2368865.128496323</x:v>
      </x:c>
      <x:c r="I1224" s="78" t="n">
        <x:f>V1223</x:f>
        <x:v>22999.14995016011</x:v>
      </x:c>
      <x:c r="J1224" s="79" t="n">
        <x:f>IF(H1224&gt;0,I1224/H1224,0)</x:f>
        <x:v>0.009708931789104942</x:v>
      </x:c>
      <x:c r="K1224" s="80" t="n">
        <x:f>(H1224*J1224+I1224)*'Inputs'!$D$47*(1+'Inputs'!$G$47)^(B1224/30)</x:f>
        <x:v>78117.68835650217</x:v>
      </x:c>
      <x:c r="L1224" s="80" t="n">
        <x:f>MAX(0,K1224*'Inputs'!$E$47)</x:f>
        <x:v>3905.884417825109</x:v>
      </x:c>
      <x:c r="M1224" s="80" t="n">
        <x:f>MAX(0,-K1224*'Inputs'!$E$47)</x:f>
        <x:v>0</x:v>
      </x:c>
      <x:c r="N1224" s="78" t="n">
        <x:f>H1224*(L1224*(1-'Inputs'!$B$15))/(I1224+L1224*(1-'Inputs'!$B$15))</x:f>
        <x:v>340951.2619883397</x:v>
      </x:c>
      <x:c r="O1224" s="78" t="n">
        <x:f>H1224-N1224</x:f>
        <x:v>2027913.866507983</x:v>
      </x:c>
      <x:c r="P1224" s="78" t="n">
        <x:f>I1224+L1224*(1-'Inputs'!$B$17)</x:f>
        <x:v>26889.31652324548</x:v>
      </x:c>
      <x:c r="Q1224" s="78" t="n">
        <x:f>IF(J1224&gt;0,M1224/J1224,0)</x:f>
        <x:v>0</x:v>
      </x:c>
      <x:c r="R1224" s="78" t="n">
        <x:f>IF(B1224='Inputs'!$H$47,'Inputs'!$B$27*'Inputs'!$I$47,0)</x:f>
        <x:v>0</x:v>
      </x:c>
      <x:c r="S1224" s="78" t="n">
        <x:f>Q1224+G1224+R1224</x:f>
        <x:v>339168.816851192</x:v>
      </x:c>
      <x:c r="T1224" s="78" t="n">
        <x:f>P1224*(S1224*(1-'Inputs'!$B$15))/(O1224+S1224*(1-'Inputs'!$B$15))</x:f>
        <x:v>3819.7960362779227</x:v>
      </x:c>
      <x:c r="U1224" s="78" t="n">
        <x:f>O1224+S1224*(1-'Inputs'!$B$17)</x:f>
        <x:v>2365717.8189050453</x:v>
      </x:c>
      <x:c r="V1224" s="78" t="n">
        <x:f>P1224-T1224</x:f>
        <x:v>23069.520486967558</x:v>
      </x:c>
      <x:c r="W1224" s="79" t="n">
        <x:f>IF(U1224&gt;0,V1224/U1224,0)</x:f>
        <x:v>0.009751594337504341</x:v>
      </x:c>
      <x:c r="X1224" s="80" t="n">
        <x:f>W1224*('Inputs'!$B$6-AC1224)</x:f>
        <x:v>9732403.664922856</x:v>
      </x:c>
      <x:c r="Y1224" s="80" t="n">
        <x:f>2*V1224</x:f>
        <x:v>46139.040973935116</x:v>
      </x:c>
      <x:c r="Z1224" s="80" t="n">
        <x:f>K1224*'Inputs'!$B$16+(G1224+R1224)*J1224*'Inputs'!$B$16</x:f>
        <x:v>488.46393158581094</x:v>
      </x:c>
      <x:c r="AA1224" s="80" t="n">
        <x:f>K1224*(1+'Inputs'!$E$47)/2*'Inputs'!$B$17</x:f>
        <x:v>165.03736976725813</x:v>
      </x:c>
      <x:c r="AB1224" s="78" t="n">
        <x:f>(IF(J1224&gt;0,K1224*(1-'Inputs'!$E$47)/2/J1224,0)+G1224+R1224)*'Inputs'!$B$17</x:f>
        <x:v>16744.46833548351</x:v>
      </x:c>
      <x:c r="AC1224" s="78" t="n">
        <x:f>AC1223+AB1224</x:f>
        <x:v>1967952.307827029</x:v>
      </x:c>
      <x:c r="AD1224" s="80" t="n">
        <x:f>Z1224/(1+'Inputs'!$C$47)</x:f>
        <x:v>195.38557263432438</x:v>
      </x:c>
      <x:c r="AE1224" s="80" t="n">
        <x:f>Z1224-AD1224</x:f>
        <x:v>293.07835895148656</x:v>
      </x:c>
      <x:c r="AF1224" s="80" t="n">
        <x:f>D1224*W1224</x:f>
        <x:v>2805.054162790341</x:v>
      </x:c>
      <x:c r="AG1224" s="80" t="n">
        <x:f>C1224*W1224</x:f>
        <x:v>6545.126379844322</x:v>
      </x:c>
      <x:c r="AH1224" s="80" t="n">
        <x:f>2*'Inputs'!$B$8*'Inputs'!$C$47</x:f>
        <x:v>7500</x:v>
      </x:c>
      <x:c r="AI1224" s="81" t="n">
        <x:f>IF(AH1224&gt;0,(AE1224+AF1224)/AH1224*365,0)</x:f>
        <x:v>150.77578272476893</x:v>
      </x:c>
      <x:c r="AJ1224" s="81" t="n">
        <x:f>IF('Inputs'!$B$47&gt;0,AG1224/('Inputs'!$B$19*'Inputs'!$B$47)*365,0)</x:f>
        <x:v>238.8971128643178</x:v>
      </x:c>
      <x:c r="AK1224" s="81" t="n">
        <x:f>W1224/MAX($W$1099:W1224)-1</x:f>
        <x:v>-0.5599378506782209</x:v>
      </x:c>
      <x:c r="AL1224" s="83" t="n">
        <x:f>'Inputs'!$B$47</x:f>
        <x:v>1</x:v>
      </x:c>
      <x:c r="AM1224" s="83" t="n">
        <x:f>'Inputs'!$C$47</x:f>
        <x:v>1.5</x:v>
      </x:c>
      <x:c r="AN1224" s="83" t="n">
        <x:f>'Inputs'!$D$47</x:f>
        <x:v>1.5</x:v>
      </x:c>
      <x:c r="AO1224" s="81" t="n">
        <x:f>'Inputs'!$E$47</x:f>
        <x:v>0.05</x:v>
      </x:c>
    </x:row>
    <x:row r="1225">
      <x:c r="A1225" s="59" t="str">
        <x:v>Growth</x:v>
      </x:c>
      <x:c r="B1225" s="59" t="n">
        <x:v>127</x:v>
      </x:c>
      <x:c r="C1225" s="78" t="n">
        <x:f>(('Inputs'!$B$29*(3*127*'Inputs'!$B$12-127^2)/(2*'Inputs'!$B$12^2))-('Inputs'!$B$29*(3*126*'Inputs'!$B$12-126^2)/(2*'Inputs'!$B$12^2)))*'Inputs'!$B$47</x:f>
        <x:v>670860.1519984901</x:v>
      </x:c>
      <x:c r="D1225" s="78" t="n">
        <x:f>IF('Inputs'!$C$47&gt;0,('Inputs'!$B$30*(3*127*'Inputs'!$B$12-127^2)/(2*'Inputs'!$B$12^2))-('Inputs'!$B$30*(3*126*'Inputs'!$B$12-126^2)/(2*'Inputs'!$B$12^2)),0)</x:f>
        <x:v>287511.4937136397</x:v>
      </x:c>
      <x:c r="E1225" s="78" t="n">
        <x:f>C1225+D1225</x:f>
        <x:v>958371.6457121298</x:v>
      </x:c>
      <x:c r="F1225" s="78" t="n">
        <x:f>'Inputs'!$B$13*E1225+(1-'Inputs'!$B$13)/'Inputs'!$B$14*SUM(E1170:E1225)</x:f>
        <x:v>968589.3225745896</x:v>
      </x:c>
      <x:c r="G1225" s="78" t="n">
        <x:f>F1225*'Inputs'!$F$47</x:f>
        <x:v>339006.2629011063</x:v>
      </x:c>
      <x:c r="H1225" s="78" t="n">
        <x:f>U1224</x:f>
        <x:v>2365717.8189050453</x:v>
      </x:c>
      <x:c r="I1225" s="78" t="n">
        <x:f>V1224</x:f>
        <x:v>23069.520486967558</x:v>
      </x:c>
      <x:c r="J1225" s="79" t="n">
        <x:f>IF(H1225&gt;0,I1225/H1225,0)</x:f>
        <x:v>0.009751594337504341</x:v>
      </x:c>
      <x:c r="K1225" s="80" t="n">
        <x:f>(H1225*J1225+I1225)*'Inputs'!$D$47*(1+'Inputs'!$G$47)^(B1225/30)</x:f>
        <x:v>78433.94756768027</x:v>
      </x:c>
      <x:c r="L1225" s="80" t="n">
        <x:f>MAX(0,K1225*'Inputs'!$E$47)</x:f>
        <x:v>3921.6973783840135</x:v>
      </x:c>
      <x:c r="M1225" s="80" t="n">
        <x:f>MAX(0,-K1225*'Inputs'!$E$47)</x:f>
        <x:v>0</x:v>
      </x:c>
      <x:c r="N1225" s="78" t="n">
        <x:f>H1225*(L1225*(1-'Inputs'!$B$15))/(I1225+L1225*(1-'Inputs'!$B$15))</x:f>
        <x:v>340785.5732739269</x:v>
      </x:c>
      <x:c r="O1225" s="78" t="n">
        <x:f>H1225-N1225</x:f>
        <x:v>2024932.2456311183</x:v>
      </x:c>
      <x:c r="P1225" s="78" t="n">
        <x:f>I1225+L1225*(1-'Inputs'!$B$17)</x:f>
        <x:v>26975.436386967733</x:v>
      </x:c>
      <x:c r="Q1225" s="78" t="n">
        <x:f>IF(J1225&gt;0,M1225/J1225,0)</x:f>
        <x:v>0</x:v>
      </x:c>
      <x:c r="R1225" s="78" t="n">
        <x:f>IF(B1225='Inputs'!$H$47,'Inputs'!$B$27*'Inputs'!$I$47,0)</x:f>
        <x:v>0</x:v>
      </x:c>
      <x:c r="S1225" s="78" t="n">
        <x:f>Q1225+G1225+R1225</x:f>
        <x:v>339006.2629011063</x:v>
      </x:c>
      <x:c r="T1225" s="78" t="n">
        <x:f>P1225*(S1225*(1-'Inputs'!$B$15))/(O1225+S1225*(1-'Inputs'!$B$15))</x:f>
        <x:v>3835.2923773236266</x:v>
      </x:c>
      <x:c r="U1225" s="78" t="n">
        <x:f>O1225+S1225*(1-'Inputs'!$B$17)</x:f>
        <x:v>2362574.298218739</x:v>
      </x:c>
      <x:c r="V1225" s="78" t="n">
        <x:f>P1225-T1225</x:f>
        <x:v>23140.144009644107</x:v>
      </x:c>
      <x:c r="W1225" s="79" t="n">
        <x:f>IF(U1225&gt;0,V1225/U1225,0)</x:f>
        <x:v>0.009794461925320443</x:v>
      </x:c>
      <x:c r="X1225" s="80" t="n">
        <x:f>W1225*('Inputs'!$B$6-AC1225)</x:f>
        <x:v>9775022.946560334</x:v>
      </x:c>
      <x:c r="Y1225" s="80" t="n">
        <x:f>2*V1225</x:f>
        <x:v>46280.288019288215</x:v>
      </x:c>
      <x:c r="Z1225" s="80" t="n">
        <x:f>K1225*'Inputs'!$B$16+(G1225+R1225)*J1225*'Inputs'!$B$16</x:f>
        <x:v>490.4387947281913</x:v>
      </x:c>
      <x:c r="AA1225" s="80" t="n">
        <x:f>K1225*(1+'Inputs'!$E$47)/2*'Inputs'!$B$17</x:f>
        <x:v>165.70552303031045</x:v>
      </x:c>
      <x:c r="AB1225" s="78" t="n">
        <x:f>(IF(J1225&gt;0,K1225*(1-'Inputs'!$E$47)/2/J1225,0)+G1225+R1225)*'Inputs'!$B$17</x:f>
        <x:v>16738.521370485312</x:v>
      </x:c>
      <x:c r="AC1225" s="78" t="n">
        <x:f>AC1224+AB1225</x:f>
        <x:v>1984690.8291975143</x:v>
      </x:c>
      <x:c r="AD1225" s="80" t="n">
        <x:f>Z1225/(1+'Inputs'!$C$47)</x:f>
        <x:v>196.1755178912765</x:v>
      </x:c>
      <x:c r="AE1225" s="80" t="n">
        <x:f>Z1225-AD1225</x:f>
        <x:v>294.26327683691477</x:v>
      </x:c>
      <x:c r="AF1225" s="80" t="n">
        <x:f>D1225*W1225</x:f>
        <x:v>2816.0203782702515</x:v>
      </x:c>
      <x:c r="AG1225" s="80" t="n">
        <x:f>C1225*W1225</x:f>
        <x:v>6570.714215963896</x:v>
      </x:c>
      <x:c r="AH1225" s="80" t="n">
        <x:f>2*'Inputs'!$B$8*'Inputs'!$C$47</x:f>
        <x:v>7500</x:v>
      </x:c>
      <x:c r="AI1225" s="81" t="n">
        <x:f>IF(AH1225&gt;0,(AE1225+AF1225)/AH1225*365,0)</x:f>
        <x:v>151.3671378818821</x:v>
      </x:c>
      <x:c r="AJ1225" s="81" t="n">
        <x:f>IF('Inputs'!$B$47&gt;0,AG1225/('Inputs'!$B$19*'Inputs'!$B$47)*365,0)</x:f>
        <x:v>239.83106888268222</x:v>
      </x:c>
      <x:c r="AK1225" s="81" t="n">
        <x:f>W1225/MAX($W$1099:W1225)-1</x:f>
        <x:v>-0.5580033564634603</x:v>
      </x:c>
      <x:c r="AL1225" s="83" t="n">
        <x:f>'Inputs'!$B$47</x:f>
        <x:v>1</x:v>
      </x:c>
      <x:c r="AM1225" s="83" t="n">
        <x:f>'Inputs'!$C$47</x:f>
        <x:v>1.5</x:v>
      </x:c>
      <x:c r="AN1225" s="83" t="n">
        <x:f>'Inputs'!$D$47</x:f>
        <x:v>1.5</x:v>
      </x:c>
      <x:c r="AO1225" s="81" t="n">
        <x:f>'Inputs'!$E$47</x:f>
        <x:v>0.05</x:v>
      </x:c>
    </x:row>
    <x:row r="1226">
      <x:c r="A1226" s="59" t="str">
        <x:v>Growth</x:v>
      </x:c>
      <x:c r="B1226" s="59" t="n">
        <x:v>128</x:v>
      </x:c>
      <x:c r="C1226" s="78" t="n">
        <x:f>(('Inputs'!$B$29*(3*128*'Inputs'!$B$12-128^2)/(2*'Inputs'!$B$12^2))-('Inputs'!$B$29*(3*127*'Inputs'!$B$12-127^2)/(2*'Inputs'!$B$12^2)))*'Inputs'!$B$47</x:f>
        <x:v>670535.0440983325</x:v>
      </x:c>
      <x:c r="D1226" s="78" t="n">
        <x:f>IF('Inputs'!$C$47&gt;0,('Inputs'!$B$30*(3*128*'Inputs'!$B$12-128^2)/(2*'Inputs'!$B$12^2))-('Inputs'!$B$30*(3*127*'Inputs'!$B$12-127^2)/(2*'Inputs'!$B$12^2)),0)</x:f>
        <x:v>287372.16175643355</x:v>
      </x:c>
      <x:c r="E1226" s="78" t="n">
        <x:f>C1226+D1226</x:f>
        <x:v>957907.2058547661</x:v>
      </x:c>
      <x:c r="F1226" s="78" t="n">
        <x:f>'Inputs'!$B$13*E1226+(1-'Inputs'!$B$13)/'Inputs'!$B$14*SUM(E1171:E1226)</x:f>
        <x:v>968124.8827172098</x:v>
      </x:c>
      <x:c r="G1226" s="78" t="n">
        <x:f>F1226*'Inputs'!$F$47</x:f>
        <x:v>338843.7089510234</x:v>
      </x:c>
      <x:c r="H1226" s="78" t="n">
        <x:f>U1225</x:f>
        <x:v>2362574.298218739</x:v>
      </x:c>
      <x:c r="I1226" s="78" t="n">
        <x:f>V1225</x:f>
        <x:v>23140.144009644107</x:v>
      </x:c>
      <x:c r="J1226" s="79" t="n">
        <x:f>IF(H1226&gt;0,I1226/H1226,0)</x:f>
        <x:v>0.009794461925320443</x:v>
      </x:c>
      <x:c r="K1226" s="80" t="n">
        <x:f>(H1226*J1226+I1226)*'Inputs'!$D$47*(1+'Inputs'!$G$47)^(B1226/30)</x:f>
        <x:v>78751.61536384535</x:v>
      </x:c>
      <x:c r="L1226" s="80" t="n">
        <x:f>MAX(0,K1226*'Inputs'!$E$47)</x:f>
        <x:v>3937.580768192268</x:v>
      </x:c>
      <x:c r="M1226" s="80" t="n">
        <x:f>MAX(0,-K1226*'Inputs'!$E$47)</x:f>
        <x:v>0</x:v>
      </x:c>
      <x:c r="N1226" s="78" t="n">
        <x:f>H1226*(L1226*(1-'Inputs'!$B$15))/(I1226+L1226*(1-'Inputs'!$B$15))</x:f>
        <x:v>340619.8676944559</x:v>
      </x:c>
      <x:c r="O1226" s="78" t="n">
        <x:f>H1226-N1226</x:f>
        <x:v>2021954.4305242833</x:v>
      </x:c>
      <x:c r="P1226" s="78" t="n">
        <x:f>I1226+L1226*(1-'Inputs'!$B$17)</x:f>
        <x:v>27061.879382390933</x:v>
      </x:c>
      <x:c r="Q1226" s="78" t="n">
        <x:f>IF(J1226&gt;0,M1226/J1226,0)</x:f>
        <x:v>0</x:v>
      </x:c>
      <x:c r="R1226" s="78" t="n">
        <x:f>IF(B1226='Inputs'!$H$47,'Inputs'!$B$27*'Inputs'!$I$47,0)</x:f>
        <x:v>0</x:v>
      </x:c>
      <x:c r="S1226" s="78" t="n">
        <x:f>Q1226+G1226+R1226</x:f>
        <x:v>338843.7089510234</x:v>
      </x:c>
      <x:c r="T1226" s="78" t="n">
        <x:f>P1226*(S1226*(1-'Inputs'!$B$15))/(O1226+S1226*(1-'Inputs'!$B$15))</x:f>
        <x:v>3850.8580397018245</x:v>
      </x:c>
      <x:c r="U1226" s="78" t="n">
        <x:f>O1226+S1226*(1-'Inputs'!$B$17)</x:f>
        <x:v>2359434.5833024657</x:v>
      </x:c>
      <x:c r="V1226" s="78" t="n">
        <x:f>P1226-T1226</x:f>
        <x:v>23211.02134268911</x:v>
      </x:c>
      <x:c r="W1226" s="79" t="n">
        <x:f>IF(U1226&gt;0,V1226/U1226,0)</x:f>
        <x:v>0.009837535444700054</x:v>
      </x:c>
      <x:c r="X1226" s="80" t="n">
        <x:f>W1226*('Inputs'!$B$6-AC1226)</x:f>
        <x:v>9817846.371034468</x:v>
      </x:c>
      <x:c r="Y1226" s="80" t="n">
        <x:f>2*V1226</x:f>
        <x:v>46422.04268537822</x:v>
      </x:c>
      <x:c r="Z1226" s="80" t="n">
        <x:f>K1226*'Inputs'!$B$16+(G1226+R1226)*J1226*'Inputs'!$B$16</x:f>
        <x:v>492.4224430188031</x:v>
      </x:c>
      <x:c r="AA1226" s="80" t="n">
        <x:f>K1226*(1+'Inputs'!$E$47)/2*'Inputs'!$B$17</x:f>
        <x:v>166.3766521771381</x:v>
      </x:c>
      <x:c r="AB1226" s="78" t="n">
        <x:f>(IF(J1226&gt;0,K1226*(1-'Inputs'!$E$47)/2/J1226,0)+G1226+R1226)*'Inputs'!$B$17</x:f>
        <x:v>16732.57367267398</x:v>
      </x:c>
      <x:c r="AC1226" s="78" t="n">
        <x:f>AC1225+AB1226</x:f>
        <x:v>2001423.4028701882</x:v>
      </x:c>
      <x:c r="AD1226" s="80" t="n">
        <x:f>Z1226/(1+'Inputs'!$C$47)</x:f>
        <x:v>196.96897720752125</x:v>
      </x:c>
      <x:c r="AE1226" s="80" t="n">
        <x:f>Z1226-AD1226</x:f>
        <x:v>295.45346581128183</x:v>
      </x:c>
      <x:c r="AF1226" s="80" t="n">
        <x:f>D1226*W1226</x:f>
        <x:v>2827.0338270989923</x:v>
      </x:c>
      <x:c r="AG1226" s="80" t="n">
        <x:f>C1226*W1226</x:f>
        <x:v>6596.41226323086</x:v>
      </x:c>
      <x:c r="AH1226" s="80" t="n">
        <x:f>2*'Inputs'!$B$8*'Inputs'!$C$47</x:f>
        <x:v>7500</x:v>
      </x:c>
      <x:c r="AI1226" s="81" t="n">
        <x:f>IF(AH1226&gt;0,(AE1226+AF1226)/AH1226*365,0)</x:f>
        <x:v>151.96104825496667</x:v>
      </x:c>
      <x:c r="AJ1226" s="81" t="n">
        <x:f>IF('Inputs'!$B$47&gt;0,AG1226/('Inputs'!$B$19*'Inputs'!$B$47)*365,0)</x:f>
        <x:v>240.76904760792638</x:v>
      </x:c>
      <x:c r="AK1226" s="81" t="n">
        <x:f>W1226/MAX($W$1099:W1226)-1</x:f>
        <x:v>-0.5560595691338187</x:v>
      </x:c>
      <x:c r="AL1226" s="83" t="n">
        <x:f>'Inputs'!$B$47</x:f>
        <x:v>1</x:v>
      </x:c>
      <x:c r="AM1226" s="83" t="n">
        <x:f>'Inputs'!$C$47</x:f>
        <x:v>1.5</x:v>
      </x:c>
      <x:c r="AN1226" s="83" t="n">
        <x:f>'Inputs'!$D$47</x:f>
        <x:v>1.5</x:v>
      </x:c>
      <x:c r="AO1226" s="81" t="n">
        <x:f>'Inputs'!$E$47</x:f>
        <x:v>0.05</x:v>
      </x:c>
    </x:row>
    <x:row r="1227">
      <x:c r="A1227" s="59" t="str">
        <x:v>Growth</x:v>
      </x:c>
      <x:c r="B1227" s="59" t="n">
        <x:v>129</x:v>
      </x:c>
      <x:c r="C1227" s="78" t="n">
        <x:f>(('Inputs'!$B$29*(3*129*'Inputs'!$B$12-129^2)/(2*'Inputs'!$B$12^2))-('Inputs'!$B$29*(3*128*'Inputs'!$B$12-128^2)/(2*'Inputs'!$B$12^2)))*'Inputs'!$B$47</x:f>
        <x:v>670209.93619816</x:v>
      </x:c>
      <x:c r="D1227" s="78" t="n">
        <x:f>IF('Inputs'!$C$47&gt;0,('Inputs'!$B$30*(3*129*'Inputs'!$B$12-129^2)/(2*'Inputs'!$B$12^2))-('Inputs'!$B$30*(3*128*'Inputs'!$B$12-128^2)/(2*'Inputs'!$B$12^2)),0)</x:f>
        <x:v>287232.8297992125</x:v>
      </x:c>
      <x:c r="E1227" s="78" t="n">
        <x:f>C1227+D1227</x:f>
        <x:v>957442.7659973726</x:v>
      </x:c>
      <x:c r="F1227" s="78" t="n">
        <x:f>'Inputs'!$B$13*E1227+(1-'Inputs'!$B$13)/'Inputs'!$B$14*SUM(E1172:E1227)</x:f>
        <x:v>967660.4428598238</x:v>
      </x:c>
      <x:c r="G1227" s="78" t="n">
        <x:f>F1227*'Inputs'!$F$47</x:f>
        <x:v>338681.15500093834</x:v>
      </x:c>
      <x:c r="H1227" s="78" t="n">
        <x:f>U1226</x:f>
        <x:v>2359434.5833024657</x:v>
      </x:c>
      <x:c r="I1227" s="78" t="n">
        <x:f>V1226</x:f>
        <x:v>23211.02134268911</x:v>
      </x:c>
      <x:c r="J1227" s="79" t="n">
        <x:f>IF(H1227&gt;0,I1227/H1227,0)</x:f>
        <x:v>0.009837535444700054</x:v>
      </x:c>
      <x:c r="K1227" s="80" t="n">
        <x:f>(H1227*J1227+I1227)*'Inputs'!$D$47*(1+'Inputs'!$G$47)^(B1227/30)</x:f>
        <x:v>79070.69787224627</x:v>
      </x:c>
      <x:c r="L1227" s="80" t="n">
        <x:f>MAX(0,K1227*'Inputs'!$E$47)</x:f>
        <x:v>3953.5348936123137</x:v>
      </x:c>
      <x:c r="M1227" s="80" t="n">
        <x:f>MAX(0,-K1227*'Inputs'!$E$47)</x:f>
        <x:v>0</x:v>
      </x:c>
      <x:c r="N1227" s="78" t="n">
        <x:f>H1227*(L1227*(1-'Inputs'!$B$15))/(I1227+L1227*(1-'Inputs'!$B$15))</x:f>
        <x:v>340454.1483336016</x:v>
      </x:c>
      <x:c r="O1227" s="78" t="n">
        <x:f>H1227-N1227</x:f>
        <x:v>2018980.434968864</x:v>
      </x:c>
      <x:c r="P1227" s="78" t="n">
        <x:f>I1227+L1227*(1-'Inputs'!$B$17)</x:f>
        <x:v>27148.64663914403</x:v>
      </x:c>
      <x:c r="Q1227" s="78" t="n">
        <x:f>IF(J1227&gt;0,M1227/J1227,0)</x:f>
        <x:v>0</x:v>
      </x:c>
      <x:c r="R1227" s="78" t="n">
        <x:f>IF(B1227='Inputs'!$H$47,'Inputs'!$B$27*'Inputs'!$I$47,0)</x:f>
        <x:v>0</x:v>
      </x:c>
      <x:c r="S1227" s="78" t="n">
        <x:f>Q1227+G1227+R1227</x:f>
        <x:v>338681.15500093834</x:v>
      </x:c>
      <x:c r="T1227" s="78" t="n">
        <x:f>P1227*(S1227*(1-'Inputs'!$B$15))/(O1227+S1227*(1-'Inputs'!$B$15))</x:f>
        <x:v>3866.493297168534</x:v>
      </x:c>
      <x:c r="U1227" s="78" t="n">
        <x:f>O1227+S1227*(1-'Inputs'!$B$17)</x:f>
        <x:v>2356298.6879376057</x:v>
      </x:c>
      <x:c r="V1227" s="78" t="n">
        <x:f>P1227-T1227</x:f>
        <x:v>23282.153341975496</x:v>
      </x:c>
      <x:c r="W1227" s="79" t="n">
        <x:f>IF(U1227&gt;0,V1227/U1227,0)</x:f>
        <x:v>0.009880815815567778</x:v>
      </x:c>
      <x:c r="X1227" s="80" t="n">
        <x:f>W1227*('Inputs'!$B$6-AC1227)</x:f>
        <x:v>9860874.846850455</x:v>
      </x:c>
      <x:c r="Y1227" s="80" t="n">
        <x:f>2*V1227</x:f>
        <x:v>46564.30668395099</x:v>
      </x:c>
      <x:c r="Z1227" s="80" t="n">
        <x:f>K1227*'Inputs'!$B$16+(G1227+R1227)*J1227*'Inputs'!$B$16</x:f>
        <x:v>494.4149144341197</x:v>
      </x:c>
      <x:c r="AA1227" s="80" t="n">
        <x:f>K1227*(1+'Inputs'!$E$47)/2*'Inputs'!$B$17</x:f>
        <x:v>167.050770152633</x:v>
      </x:c>
      <x:c r="AB1227" s="78" t="n">
        <x:f>(IF(J1227&gt;0,K1227*(1-'Inputs'!$E$47)/2/J1227,0)+G1227+R1227)*'Inputs'!$B$17</x:f>
        <x:v>16726.62537986388</x:v>
      </x:c>
      <x:c r="AC1227" s="78" t="n">
        <x:f>AC1226+AB1227</x:f>
        <x:v>2018150.0282500521</x:v>
      </x:c>
      <x:c r="AD1227" s="80" t="n">
        <x:f>Z1227/(1+'Inputs'!$C$47)</x:f>
        <x:v>197.76596577364788</x:v>
      </x:c>
      <x:c r="AE1227" s="80" t="n">
        <x:f>Z1227-AD1227</x:f>
        <x:v>296.6489486604718</x:v>
      </x:c>
      <x:c r="AF1227" s="80" t="n">
        <x:f>D1227*W1227</x:f>
        <x:v>2838.0946874303468</x:v>
      </x:c>
      <x:c r="AG1227" s="80" t="n">
        <x:f>C1227*W1227</x:f>
        <x:v>6622.220937337451</x:v>
      </x:c>
      <x:c r="AH1227" s="80" t="n">
        <x:f>2*'Inputs'!$B$8*'Inputs'!$C$47</x:f>
        <x:v>7500</x:v>
      </x:c>
      <x:c r="AI1227" s="81" t="n">
        <x:f>IF(AH1227&gt;0,(AE1227+AF1227)/AH1227*365,0)</x:f>
        <x:v>152.5575236230865</x:v>
      </x:c>
      <x:c r="AJ1227" s="81" t="n">
        <x:f>IF('Inputs'!$B$47&gt;0,AG1227/('Inputs'!$B$19*'Inputs'!$B$47)*365,0)</x:f>
        <x:v>241.71106421281695</x:v>
      </x:c>
      <x:c r="AK1227" s="81" t="n">
        <x:f>W1227/MAX($W$1099:W1227)-1</x:f>
        <x:v>-0.5541064471756746</x:v>
      </x:c>
      <x:c r="AL1227" s="83" t="n">
        <x:f>'Inputs'!$B$47</x:f>
        <x:v>1</x:v>
      </x:c>
      <x:c r="AM1227" s="83" t="n">
        <x:f>'Inputs'!$C$47</x:f>
        <x:v>1.5</x:v>
      </x:c>
      <x:c r="AN1227" s="83" t="n">
        <x:f>'Inputs'!$D$47</x:f>
        <x:v>1.5</x:v>
      </x:c>
      <x:c r="AO1227" s="81" t="n">
        <x:f>'Inputs'!$E$47</x:f>
        <x:v>0.05</x:v>
      </x:c>
    </x:row>
    <x:row r="1228">
      <x:c r="A1228" s="59" t="str">
        <x:v>Growth</x:v>
      </x:c>
      <x:c r="B1228" s="59" t="n">
        <x:v>130</x:v>
      </x:c>
      <x:c r="C1228" s="78" t="n">
        <x:f>(('Inputs'!$B$29*(3*130*'Inputs'!$B$12-130^2)/(2*'Inputs'!$B$12^2))-('Inputs'!$B$29*(3*129*'Inputs'!$B$12-129^2)/(2*'Inputs'!$B$12^2)))*'Inputs'!$B$47</x:f>
        <x:v>669884.8282979876</x:v>
      </x:c>
      <x:c r="D1228" s="78" t="n">
        <x:f>IF('Inputs'!$C$47&gt;0,('Inputs'!$B$30*(3*130*'Inputs'!$B$12-130^2)/(2*'Inputs'!$B$12^2))-('Inputs'!$B$30*(3*129*'Inputs'!$B$12-129^2)/(2*'Inputs'!$B$12^2)),0)</x:f>
        <x:v>287093.4978419915</x:v>
      </x:c>
      <x:c r="E1228" s="78" t="n">
        <x:f>C1228+D1228</x:f>
        <x:v>956978.3261399791</x:v>
      </x:c>
      <x:c r="F1228" s="78" t="n">
        <x:f>'Inputs'!$B$13*E1228+(1-'Inputs'!$B$13)/'Inputs'!$B$14*SUM(E1173:E1228)</x:f>
        <x:v>967196.0030024375</x:v>
      </x:c>
      <x:c r="G1228" s="78" t="n">
        <x:f>F1228*'Inputs'!$F$47</x:f>
        <x:v>338518.6010508531</x:v>
      </x:c>
      <x:c r="H1228" s="78" t="n">
        <x:f>U1227</x:f>
        <x:v>2356298.6879376057</x:v>
      </x:c>
      <x:c r="I1228" s="78" t="n">
        <x:f>V1227</x:f>
        <x:v>23282.153341975496</x:v>
      </x:c>
      <x:c r="J1228" s="79" t="n">
        <x:f>IF(H1228&gt;0,I1228/H1228,0)</x:f>
        <x:v>0.009880815815567778</x:v>
      </x:c>
      <x:c r="K1228" s="80" t="n">
        <x:f>(H1228*J1228+I1228)*'Inputs'!$D$47*(1+'Inputs'!$G$47)^(B1228/30)</x:f>
        <x:v>79391.20134420012</x:v>
      </x:c>
      <x:c r="L1228" s="80" t="n">
        <x:f>MAX(0,K1228*'Inputs'!$E$47)</x:f>
        <x:v>3969.5600672100063</x:v>
      </x:c>
      <x:c r="M1228" s="80" t="n">
        <x:f>MAX(0,-K1228*'Inputs'!$E$47)</x:f>
        <x:v>0</x:v>
      </x:c>
      <x:c r="N1228" s="78" t="n">
        <x:f>H1228*(L1228*(1-'Inputs'!$B$15))/(I1228+L1228*(1-'Inputs'!$B$15))</x:f>
        <x:v>340288.4178393737</x:v>
      </x:c>
      <x:c r="O1228" s="78" t="n">
        <x:f>H1228-N1228</x:f>
        <x:v>2016010.270098232</x:v>
      </x:c>
      <x:c r="P1228" s="78" t="n">
        <x:f>I1228+L1228*(1-'Inputs'!$B$17)</x:f>
        <x:v>27235.739324407998</x:v>
      </x:c>
      <x:c r="Q1228" s="78" t="n">
        <x:f>IF(J1228&gt;0,M1228/J1228,0)</x:f>
        <x:v>0</x:v>
      </x:c>
      <x:c r="R1228" s="78" t="n">
        <x:f>IF(B1228='Inputs'!$H$47,'Inputs'!$B$27*'Inputs'!$I$47,0)</x:f>
        <x:v>0</x:v>
      </x:c>
      <x:c r="S1228" s="78" t="n">
        <x:f>Q1228+G1228+R1228</x:f>
        <x:v>338518.6010508531</x:v>
      </x:c>
      <x:c r="T1228" s="78" t="n">
        <x:f>P1228*(S1228*(1-'Inputs'!$B$15))/(O1228+S1228*(1-'Inputs'!$B$15))</x:f>
        <x:v>3882.1984333124574</x:v>
      </x:c>
      <x:c r="U1228" s="78" t="n">
        <x:f>O1228+S1228*(1-'Inputs'!$B$17)</x:f>
        <x:v>2353166.6232575323</x:v>
      </x:c>
      <x:c r="V1228" s="78" t="n">
        <x:f>P1228-T1228</x:f>
        <x:v>23353.54089109554</x:v>
      </x:c>
      <x:c r="W1228" s="79" t="n">
        <x:f>IF(U1228&gt;0,V1228/U1228,0)</x:f>
        <x:v>0.009924303982676247</x:v>
      </x:c>
      <x:c r="X1228" s="80" t="n">
        <x:f>W1228*('Inputs'!$B$6-AC1228)</x:f>
        <x:v>9904109.30723577</x:v>
      </x:c>
      <x:c r="Y1228" s="80" t="n">
        <x:f>2*V1228</x:f>
        <x:v>46707.08178219108</x:v>
      </x:c>
      <x:c r="Z1228" s="80" t="n">
        <x:f>K1228*'Inputs'!$B$16+(G1228+R1228)*J1228*'Inputs'!$B$16</x:f>
        <x:v>496.4162477479636</x:v>
      </x:c>
      <x:c r="AA1228" s="80" t="n">
        <x:f>K1228*(1+'Inputs'!$E$47)/2*'Inputs'!$B$17</x:f>
        <x:v>167.7278901638031</x:v>
      </x:c>
      <x:c r="AB1228" s="78" t="n">
        <x:f>(IF(J1228&gt;0,K1228*(1-'Inputs'!$E$47)/2/J1228,0)+G1228+R1228)*'Inputs'!$B$17</x:f>
        <x:v>16720.676610282757</x:v>
      </x:c>
      <x:c r="AC1228" s="78" t="n">
        <x:f>AC1227+AB1228</x:f>
        <x:v>2034870.704860335</x:v>
      </x:c>
      <x:c r="AD1228" s="80" t="n">
        <x:f>Z1228/(1+'Inputs'!$C$47)</x:f>
        <x:v>198.56649909918545</x:v>
      </x:c>
      <x:c r="AE1228" s="80" t="n">
        <x:f>Z1228-AD1228</x:f>
        <x:v>297.84974864877813</x:v>
      </x:c>
      <x:c r="AF1228" s="80" t="n">
        <x:f>D1228*W1228</x:f>
        <x:v>2849.2031440337305</x:v>
      </x:c>
      <x:c r="AG1228" s="80" t="n">
        <x:f>C1228*W1228</x:f>
        <x:v>6648.1406694121115</x:v>
      </x:c>
      <x:c r="AH1228" s="80" t="n">
        <x:f>2*'Inputs'!$B$8*'Inputs'!$C$47</x:f>
        <x:v>7500</x:v>
      </x:c>
      <x:c r="AI1228" s="81" t="n">
        <x:f>IF(AH1228&gt;0,(AE1228+AF1228)/AH1228*365,0)</x:f>
        <x:v>153.15657411054875</x:v>
      </x:c>
      <x:c r="AJ1228" s="81" t="n">
        <x:f>IF('Inputs'!$B$47&gt;0,AG1228/('Inputs'!$B$19*'Inputs'!$B$47)*365,0)</x:f>
        <x:v>242.65713443354207</x:v>
      </x:c>
      <x:c r="AK1228" s="81" t="n">
        <x:f>W1228/MAX($W$1099:W1228)-1</x:f>
        <x:v>-0.5521439479549866</x:v>
      </x:c>
      <x:c r="AL1228" s="83" t="n">
        <x:f>'Inputs'!$B$47</x:f>
        <x:v>1</x:v>
      </x:c>
      <x:c r="AM1228" s="83" t="n">
        <x:f>'Inputs'!$C$47</x:f>
        <x:v>1.5</x:v>
      </x:c>
      <x:c r="AN1228" s="83" t="n">
        <x:f>'Inputs'!$D$47</x:f>
        <x:v>1.5</x:v>
      </x:c>
      <x:c r="AO1228" s="81" t="n">
        <x:f>'Inputs'!$E$47</x:f>
        <x:v>0.05</x:v>
      </x:c>
    </x:row>
    <x:row r="1229">
      <x:c r="A1229" s="59" t="str">
        <x:v>Growth</x:v>
      </x:c>
      <x:c r="B1229" s="59" t="n">
        <x:v>131</x:v>
      </x:c>
      <x:c r="C1229" s="78" t="n">
        <x:f>(('Inputs'!$B$29*(3*131*'Inputs'!$B$12-131^2)/(2*'Inputs'!$B$12^2))-('Inputs'!$B$29*(3*130*'Inputs'!$B$12-130^2)/(2*'Inputs'!$B$12^2)))*'Inputs'!$B$47</x:f>
        <x:v>669559.72039783</x:v>
      </x:c>
      <x:c r="D1229" s="78" t="n">
        <x:f>IF('Inputs'!$C$47&gt;0,('Inputs'!$B$30*(3*131*'Inputs'!$B$12-131^2)/(2*'Inputs'!$B$12^2))-('Inputs'!$B$30*(3*130*'Inputs'!$B$12-130^2)/(2*'Inputs'!$B$12^2)),0)</x:f>
        <x:v>286954.16588478535</x:v>
      </x:c>
      <x:c r="E1229" s="78" t="n">
        <x:f>C1229+D1229</x:f>
        <x:v>956513.8862826154</x:v>
      </x:c>
      <x:c r="F1229" s="78" t="n">
        <x:f>'Inputs'!$B$13*E1229+(1-'Inputs'!$B$13)/'Inputs'!$B$14*SUM(E1174:E1229)</x:f>
        <x:v>966731.5631450575</x:v>
      </x:c>
      <x:c r="G1229" s="78" t="n">
        <x:f>F1229*'Inputs'!$F$47</x:f>
        <x:v>338356.0471007701</x:v>
      </x:c>
      <x:c r="H1229" s="78" t="n">
        <x:f>U1228</x:f>
        <x:v>2353166.6232575323</x:v>
      </x:c>
      <x:c r="I1229" s="78" t="n">
        <x:f>V1228</x:f>
        <x:v>23353.54089109554</x:v>
      </x:c>
      <x:c r="J1229" s="79" t="n">
        <x:f>IF(H1229&gt;0,I1229/H1229,0)</x:f>
        <x:v>0.009924303982676247</x:v>
      </x:c>
      <x:c r="K1229" s="80" t="n">
        <x:f>(H1229*J1229+I1229)*'Inputs'!$D$47*(1+'Inputs'!$G$47)^(B1229/30)</x:f>
        <x:v>79713.13214318332</x:v>
      </x:c>
      <x:c r="L1229" s="80" t="n">
        <x:f>MAX(0,K1229*'Inputs'!$E$47)</x:f>
        <x:v>3985.656607159166</x:v>
      </x:c>
      <x:c r="M1229" s="80" t="n">
        <x:f>MAX(0,-K1229*'Inputs'!$E$47)</x:f>
        <x:v>0</x:v>
      </x:c>
      <x:c r="N1229" s="78" t="n">
        <x:f>H1229*(L1229*(1-'Inputs'!$B$15))/(I1229+L1229*(1-'Inputs'!$B$15))</x:f>
        <x:v>340122.67848522565</x:v>
      </x:c>
      <x:c r="O1229" s="78" t="n">
        <x:f>H1229-N1229</x:f>
        <x:v>2013043.9447723066</x:v>
      </x:c>
      <x:c r="P1229" s="78" t="n">
        <x:f>I1229+L1229*(1-'Inputs'!$B$17)</x:f>
        <x:v>27323.158638668552</x:v>
      </x:c>
      <x:c r="Q1229" s="78" t="n">
        <x:f>IF(J1229&gt;0,M1229/J1229,0)</x:f>
        <x:v>0</x:v>
      </x:c>
      <x:c r="R1229" s="78" t="n">
        <x:f>IF(B1229='Inputs'!$H$47,'Inputs'!$B$27*'Inputs'!$I$47,0)</x:f>
        <x:v>0</x:v>
      </x:c>
      <x:c r="S1229" s="78" t="n">
        <x:f>Q1229+G1229+R1229</x:f>
        <x:v>338356.0471007701</x:v>
      </x:c>
      <x:c r="T1229" s="78" t="n">
        <x:f>P1229*(S1229*(1-'Inputs'!$B$15))/(O1229+S1229*(1-'Inputs'!$B$15))</x:f>
        <x:v>3897.9737404601765</x:v>
      </x:c>
      <x:c r="U1229" s="78" t="n">
        <x:f>O1229+S1229*(1-'Inputs'!$B$17)</x:f>
        <x:v>2350038.398122168</x:v>
      </x:c>
      <x:c r="V1229" s="78" t="n">
        <x:f>P1229-T1229</x:f>
        <x:v>23425.184898208376</x:v>
      </x:c>
      <x:c r="W1229" s="79" t="n">
        <x:f>IF(U1229&gt;0,V1229/U1229,0)</x:f>
        <x:v>0.009968000913060231</x:v>
      </x:c>
      <x:c r="X1229" s="80" t="n">
        <x:f>W1229*('Inputs'!$B$6-AC1229)</x:f>
        <x:v>9947550.70759759</x:v>
      </x:c>
      <x:c r="Y1229" s="80" t="n">
        <x:f>2*V1229</x:f>
        <x:v>46850.36979641675</x:v>
      </x:c>
      <x:c r="Z1229" s="80" t="n">
        <x:f>K1229*'Inputs'!$B$16+(G1229+R1229)*J1229*'Inputs'!$B$16</x:f>
        <x:v>498.42648245392854</x:v>
      </x:c>
      <x:c r="AA1229" s="80" t="n">
        <x:f>K1229*(1+'Inputs'!$E$47)/2*'Inputs'!$B$17</x:f>
        <x:v>168.40802565461266</x:v>
      </x:c>
      <x:c r="AB1229" s="78" t="n">
        <x:f>(IF(J1229&gt;0,K1229*(1-'Inputs'!$E$47)/2/J1229,0)+G1229+R1229)*'Inputs'!$B$17</x:f>
        <x:v>16714.727465316413</x:v>
      </x:c>
      <x:c r="AC1229" s="78" t="n">
        <x:f>AC1228+AB1229</x:f>
        <x:v>2051585.4323256514</x:v>
      </x:c>
      <x:c r="AD1229" s="80" t="n">
        <x:f>Z1229/(1+'Inputs'!$C$47)</x:f>
        <x:v>199.3705929815714</x:v>
      </x:c>
      <x:c r="AE1229" s="80" t="n">
        <x:f>Z1229-AD1229</x:f>
        <x:v>299.05588947235714</x:v>
      </x:c>
      <x:c r="AF1229" s="80" t="n">
        <x:f>D1229*W1229</x:f>
        <x:v>2860.3593875459774</x:v>
      </x:c>
      <x:c r="AG1229" s="80" t="n">
        <x:f>C1229*W1229</x:f>
        <x:v>6674.171904273922</x:v>
      </x:c>
      <x:c r="AH1229" s="80" t="n">
        <x:f>2*'Inputs'!$B$8*'Inputs'!$C$47</x:f>
        <x:v>7500</x:v>
      </x:c>
      <x:c r="AI1229" s="81" t="n">
        <x:f>IF(AH1229&gt;0,(AE1229+AF1229)/AH1229*365,0)</x:f>
        <x:v>153.7582101482256</x:v>
      </x:c>
      <x:c r="AJ1229" s="81" t="n">
        <x:f>IF('Inputs'!$B$47&gt;0,AG1229/('Inputs'!$B$19*'Inputs'!$B$47)*365,0)</x:f>
        <x:v>243.60727450599816</x:v>
      </x:c>
      <x:c r="AK1229" s="81" t="n">
        <x:f>W1229/MAX($W$1099:W1229)-1</x:f>
        <x:v>-0.5501720278321832</x:v>
      </x:c>
      <x:c r="AL1229" s="83" t="n">
        <x:f>'Inputs'!$B$47</x:f>
        <x:v>1</x:v>
      </x:c>
      <x:c r="AM1229" s="83" t="n">
        <x:f>'Inputs'!$C$47</x:f>
        <x:v>1.5</x:v>
      </x:c>
      <x:c r="AN1229" s="83" t="n">
        <x:f>'Inputs'!$D$47</x:f>
        <x:v>1.5</x:v>
      </x:c>
      <x:c r="AO1229" s="81" t="n">
        <x:f>'Inputs'!$E$47</x:f>
        <x:v>0.05</x:v>
      </x:c>
    </x:row>
    <x:row r="1230">
      <x:c r="A1230" s="59" t="str">
        <x:v>Growth</x:v>
      </x:c>
      <x:c r="B1230" s="59" t="n">
        <x:v>132</x:v>
      </x:c>
      <x:c r="C1230" s="78" t="n">
        <x:f>(('Inputs'!$B$29*(3*132*'Inputs'!$B$12-132^2)/(2*'Inputs'!$B$12^2))-('Inputs'!$B$29*(3*131*'Inputs'!$B$12-131^2)/(2*'Inputs'!$B$12^2)))*'Inputs'!$B$47</x:f>
        <x:v>669234.6124976575</x:v>
      </x:c>
      <x:c r="D1230" s="78" t="n">
        <x:f>IF('Inputs'!$C$47&gt;0,('Inputs'!$B$30*(3*132*'Inputs'!$B$12-132^2)/(2*'Inputs'!$B$12^2))-('Inputs'!$B$30*(3*131*'Inputs'!$B$12-131^2)/(2*'Inputs'!$B$12^2)),0)</x:f>
        <x:v>286814.8339275643</x:v>
      </x:c>
      <x:c r="E1230" s="78" t="n">
        <x:f>C1230+D1230</x:f>
        <x:v>956049.4464252219</x:v>
      </x:c>
      <x:c r="F1230" s="78" t="n">
        <x:f>'Inputs'!$B$13*E1230+(1-'Inputs'!$B$13)/'Inputs'!$B$14*SUM(E1175:E1230)</x:f>
        <x:v>966267.1232876717</x:v>
      </x:c>
      <x:c r="G1230" s="78" t="n">
        <x:f>F1230*'Inputs'!$F$47</x:f>
        <x:v>338193.4931506851</x:v>
      </x:c>
      <x:c r="H1230" s="78" t="n">
        <x:f>U1229</x:f>
        <x:v>2350038.398122168</x:v>
      </x:c>
      <x:c r="I1230" s="78" t="n">
        <x:f>V1229</x:f>
        <x:v>23425.184898208376</x:v>
      </x:c>
      <x:c r="J1230" s="79" t="n">
        <x:f>IF(H1230&gt;0,I1230/H1230,0)</x:f>
        <x:v>0.009968000913060231</x:v>
      </x:c>
      <x:c r="K1230" s="80" t="n">
        <x:f>(H1230*J1230+I1230)*'Inputs'!$D$47*(1+'Inputs'!$G$47)^(B1230/30)</x:f>
        <x:v>80036.49673456472</x:v>
      </x:c>
      <x:c r="L1230" s="80" t="n">
        <x:f>MAX(0,K1230*'Inputs'!$E$47)</x:f>
        <x:v>4001.824836728236</x:v>
      </x:c>
      <x:c r="M1230" s="80" t="n">
        <x:f>MAX(0,-K1230*'Inputs'!$E$47)</x:f>
        <x:v>0</x:v>
      </x:c>
      <x:c r="N1230" s="78" t="n">
        <x:f>H1230*(L1230*(1-'Inputs'!$B$15))/(I1230+L1230*(1-'Inputs'!$B$15))</x:f>
        <x:v>339956.9322226385</x:v>
      </x:c>
      <x:c r="O1230" s="78" t="n">
        <x:f>H1230-N1230</x:f>
        <x:v>2010081.4658995296</x:v>
      </x:c>
      <x:c r="P1230" s="78" t="n">
        <x:f>I1230+L1230*(1-'Inputs'!$B$17)</x:f>
        <x:v>27410.90581205239</x:v>
      </x:c>
      <x:c r="Q1230" s="78" t="n">
        <x:f>IF(J1230&gt;0,M1230/J1230,0)</x:f>
        <x:v>0</x:v>
      </x:c>
      <x:c r="R1230" s="78" t="n">
        <x:f>IF(B1230='Inputs'!$H$47,'Inputs'!$B$27*'Inputs'!$I$47,0)</x:f>
        <x:v>0</x:v>
      </x:c>
      <x:c r="S1230" s="78" t="n">
        <x:f>Q1230+G1230+R1230</x:f>
        <x:v>338193.4931506851</x:v>
      </x:c>
      <x:c r="T1230" s="78" t="n">
        <x:f>P1230*(S1230*(1-'Inputs'!$B$15))/(O1230+S1230*(1-'Inputs'!$B$15))</x:f>
        <x:v>3913.8195187311835</x:v>
      </x:c>
      <x:c r="U1230" s="78" t="n">
        <x:f>O1230+S1230*(1-'Inputs'!$B$17)</x:f>
        <x:v>2346914.0194399506</x:v>
      </x:c>
      <x:c r="V1230" s="78" t="n">
        <x:f>P1230-T1230</x:f>
        <x:v>23497.08629332121</x:v>
      </x:c>
      <x:c r="W1230" s="79" t="n">
        <x:f>IF(U1230&gt;0,V1230/U1230,0)</x:f>
        <x:v>0.010011907593840345</x:v>
      </x:c>
      <x:c r="X1230" s="80" t="n">
        <x:f>W1230*('Inputs'!$B$6-AC1230)</x:f>
        <x:v>9991200.02332937</x:v>
      </x:c>
      <x:c r="Y1230" s="80" t="n">
        <x:f>2*V1230</x:f>
        <x:v>46994.17258664242</x:v>
      </x:c>
      <x:c r="Z1230" s="80" t="n">
        <x:f>K1230*'Inputs'!$B$16+(G1230+R1230)*J1230*'Inputs'!$B$16</x:f>
        <x:v>500.44565869849066</x:v>
      </x:c>
      <x:c r="AA1230" s="80" t="n">
        <x:f>K1230*(1+'Inputs'!$E$47)/2*'Inputs'!$B$17</x:f>
        <x:v>169.09119028429166</x:v>
      </x:c>
      <x:c r="AB1230" s="78" t="n">
        <x:f>(IF(J1230&gt;0,K1230*(1-'Inputs'!$E$47)/2/J1230,0)+G1230+R1230)*'Inputs'!$B$17</x:f>
        <x:v>16708.77803187072</x:v>
      </x:c>
      <x:c r="AC1230" s="78" t="n">
        <x:f>AC1229+AB1230</x:f>
        <x:v>2068294.2103575221</x:v>
      </x:c>
      <x:c r="AD1230" s="80" t="n">
        <x:f>Z1230/(1+'Inputs'!$C$47)</x:f>
        <x:v>200.17826347939626</x:v>
      </x:c>
      <x:c r="AE1230" s="80" t="n">
        <x:f>Z1230-AD1230</x:f>
        <x:v>300.2673952190944</x:v>
      </x:c>
      <x:c r="AF1230" s="80" t="n">
        <x:f>D1230*W1230</x:f>
        <x:v>2871.563613825439</x:v>
      </x:c>
      <x:c r="AG1230" s="80" t="n">
        <x:f>C1230*W1230</x:f>
        <x:v>6700.3150989260985</x:v>
      </x:c>
      <x:c r="AH1230" s="80" t="n">
        <x:f>2*'Inputs'!$B$8*'Inputs'!$C$47</x:f>
        <x:v>7500</x:v>
      </x:c>
      <x:c r="AI1230" s="81" t="n">
        <x:f>IF(AH1230&gt;0,(AE1230+AF1230)/AH1230*365,0)</x:f>
        <x:v>154.36244244016729</x:v>
      </x:c>
      <x:c r="AJ1230" s="81" t="n">
        <x:f>IF('Inputs'!$B$47&gt;0,AG1230/('Inputs'!$B$19*'Inputs'!$B$47)*365,0)</x:f>
        <x:v>244.5615011108026</x:v>
      </x:c>
      <x:c r="AK1230" s="81" t="n">
        <x:f>W1230/MAX($W$1099:W1230)-1</x:f>
        <x:v>-0.5481906422612749</x:v>
      </x:c>
      <x:c r="AL1230" s="83" t="n">
        <x:f>'Inputs'!$B$47</x:f>
        <x:v>1</x:v>
      </x:c>
      <x:c r="AM1230" s="83" t="n">
        <x:f>'Inputs'!$C$47</x:f>
        <x:v>1.5</x:v>
      </x:c>
      <x:c r="AN1230" s="83" t="n">
        <x:f>'Inputs'!$D$47</x:f>
        <x:v>1.5</x:v>
      </x:c>
      <x:c r="AO1230" s="81" t="n">
        <x:f>'Inputs'!$E$47</x:f>
        <x:v>0.05</x:v>
      </x:c>
    </x:row>
    <x:row r="1231">
      <x:c r="A1231" s="59" t="str">
        <x:v>Growth</x:v>
      </x:c>
      <x:c r="B1231" s="59" t="n">
        <x:v>133</x:v>
      </x:c>
      <x:c r="C1231" s="78" t="n">
        <x:f>(('Inputs'!$B$29*(3*133*'Inputs'!$B$12-133^2)/(2*'Inputs'!$B$12^2))-('Inputs'!$B$29*(3*132*'Inputs'!$B$12-132^2)/(2*'Inputs'!$B$12^2)))*'Inputs'!$B$47</x:f>
        <x:v>668909.5045974851</x:v>
      </x:c>
      <x:c r="D1231" s="78" t="n">
        <x:f>IF('Inputs'!$C$47&gt;0,('Inputs'!$B$30*(3*133*'Inputs'!$B$12-133^2)/(2*'Inputs'!$B$12^2))-('Inputs'!$B$30*(3*132*'Inputs'!$B$12-132^2)/(2*'Inputs'!$B$12^2)),0)</x:f>
        <x:v>286675.50197035074</x:v>
      </x:c>
      <x:c r="E1231" s="78" t="n">
        <x:f>C1231+D1231</x:f>
        <x:v>955585.0065678358</x:v>
      </x:c>
      <x:c r="F1231" s="78" t="n">
        <x:f>'Inputs'!$B$13*E1231+(1-'Inputs'!$B$13)/'Inputs'!$B$14*SUM(E1176:E1231)</x:f>
        <x:v>965802.683430287</x:v>
      </x:c>
      <x:c r="G1231" s="78" t="n">
        <x:f>F1231*'Inputs'!$F$47</x:f>
        <x:v>338030.93920060043</x:v>
      </x:c>
      <x:c r="H1231" s="78" t="n">
        <x:f>U1230</x:f>
        <x:v>2346914.0194399506</x:v>
      </x:c>
      <x:c r="I1231" s="78" t="n">
        <x:f>V1230</x:f>
        <x:v>23497.08629332121</x:v>
      </x:c>
      <x:c r="J1231" s="79" t="n">
        <x:f>IF(H1231&gt;0,I1231/H1231,0)</x:f>
        <x:v>0.010011907593840345</x:v>
      </x:c>
      <x:c r="K1231" s="80" t="n">
        <x:f>(H1231*J1231+I1231)*'Inputs'!$D$47*(1+'Inputs'!$G$47)^(B1231/30)</x:f>
        <x:v>80361.3016767597</x:v>
      </x:c>
      <x:c r="L1231" s="80" t="n">
        <x:f>MAX(0,K1231*'Inputs'!$E$47)</x:f>
        <x:v>4018.065083837985</x:v>
      </x:c>
      <x:c r="M1231" s="80" t="n">
        <x:f>MAX(0,-K1231*'Inputs'!$E$47)</x:f>
        <x:v>0</x:v>
      </x:c>
      <x:c r="N1231" s="78" t="n">
        <x:f>H1231*(L1231*(1-'Inputs'!$B$15))/(I1231+L1231*(1-'Inputs'!$B$15))</x:f>
        <x:v>339791.18072635954</x:v>
      </x:c>
      <x:c r="O1231" s="78" t="n">
        <x:f>H1231-N1231</x:f>
        <x:v>2007122.838713591</x:v>
      </x:c>
      <x:c r="P1231" s="78" t="n">
        <x:f>I1231+L1231*(1-'Inputs'!$B$17)</x:f>
        <x:v>27498.982101167894</x:v>
      </x:c>
      <x:c r="Q1231" s="78" t="n">
        <x:f>IF(J1231&gt;0,M1231/J1231,0)</x:f>
        <x:v>0</x:v>
      </x:c>
      <x:c r="R1231" s="78" t="n">
        <x:f>IF(B1231='Inputs'!$H$47,'Inputs'!$B$27*'Inputs'!$I$47,0)</x:f>
        <x:v>0</x:v>
      </x:c>
      <x:c r="S1231" s="78" t="n">
        <x:f>Q1231+G1231+R1231</x:f>
        <x:v>338030.93920060043</x:v>
      </x:c>
      <x:c r="T1231" s="78" t="n">
        <x:f>P1231*(S1231*(1-'Inputs'!$B$15))/(O1231+S1231*(1-'Inputs'!$B$15))</x:f>
        <x:v>3929.7360752227337</x:v>
      </x:c>
      <x:c r="U1231" s="78" t="n">
        <x:f>O1231+S1231*(1-'Inputs'!$B$17)</x:f>
        <x:v>2343793.492444571</x:v>
      </x:c>
      <x:c r="V1231" s="78" t="n">
        <x:f>P1231-T1231</x:f>
        <x:v>23569.24602594516</x:v>
      </x:c>
      <x:c r="W1231" s="79" t="n">
        <x:f>IF(U1231&gt;0,V1231/U1231,0)</x:f>
        <x:v>0.010056025030329142</x:v>
      </x:c>
      <x:c r="X1231" s="80" t="n">
        <x:f>W1231*('Inputs'!$B$6-AC1231)</x:f>
        <x:v>10035058.24791939</x:v>
      </x:c>
      <x:c r="Y1231" s="80" t="n">
        <x:f>2*V1231</x:f>
        <x:v>47138.49205189032</x:v>
      </x:c>
      <x:c r="Z1231" s="80" t="n">
        <x:f>K1231*'Inputs'!$B$16+(G1231+R1231)*J1231*'Inputs'!$B$16</x:f>
        <x:v>502.4738172233711</x:v>
      </x:c>
      <x:c r="AA1231" s="80" t="n">
        <x:f>K1231*(1+'Inputs'!$E$47)/2*'Inputs'!$B$17</x:f>
        <x:v>169.7773979086473</x:v>
      </x:c>
      <x:c r="AB1231" s="78" t="n">
        <x:f>(IF(J1231&gt;0,K1231*(1-'Inputs'!$E$47)/2/J1231,0)+G1231+R1231)*'Inputs'!$B$17</x:f>
        <x:v>16702.82838440414</x:v>
      </x:c>
      <x:c r="AC1231" s="78" t="n">
        <x:f>AC1230+AB1231</x:f>
        <x:v>2084997.0387419262</x:v>
      </x:c>
      <x:c r="AD1231" s="80" t="n">
        <x:f>Z1231/(1+'Inputs'!$C$47)</x:f>
        <x:v>200.98952688934844</x:v>
      </x:c>
      <x:c r="AE1231" s="80" t="n">
        <x:f>Z1231-AD1231</x:f>
        <x:v>301.48429033402266</x:v>
      </x:c>
      <x:c r="AF1231" s="80" t="n">
        <x:f>D1231*W1231</x:f>
        <x:v>2882.8160233960184</x:v>
      </x:c>
      <x:c r="AG1231" s="80" t="n">
        <x:f>C1231*W1231</x:f>
        <x:v>6726.570721257376</x:v>
      </x:c>
      <x:c r="AH1231" s="80" t="n">
        <x:f>2*'Inputs'!$B$8*'Inputs'!$C$47</x:f>
        <x:v>7500</x:v>
      </x:c>
      <x:c r="AI1231" s="81" t="n">
        <x:f>IF(AH1231&gt;0,(AE1231+AF1231)/AH1231*365,0)</x:f>
        <x:v>154.969281934862</x:v>
      </x:c>
      <x:c r="AJ1231" s="81" t="n">
        <x:f>IF('Inputs'!$B$47&gt;0,AG1231/('Inputs'!$B$19*'Inputs'!$B$47)*365,0)</x:f>
        <x:v>245.51983132589424</x:v>
      </x:c>
      <x:c r="AK1231" s="81" t="n">
        <x:f>W1231/MAX($W$1099:W1231)-1</x:f>
        <x:v>-0.5461997458753209</x:v>
      </x:c>
      <x:c r="AL1231" s="83" t="n">
        <x:f>'Inputs'!$B$47</x:f>
        <x:v>1</x:v>
      </x:c>
      <x:c r="AM1231" s="83" t="n">
        <x:f>'Inputs'!$C$47</x:f>
        <x:v>1.5</x:v>
      </x:c>
      <x:c r="AN1231" s="83" t="n">
        <x:f>'Inputs'!$D$47</x:f>
        <x:v>1.5</x:v>
      </x:c>
      <x:c r="AO1231" s="81" t="n">
        <x:f>'Inputs'!$E$47</x:f>
        <x:v>0.05</x:v>
      </x:c>
    </x:row>
    <x:row r="1232">
      <x:c r="A1232" s="59" t="str">
        <x:v>Growth</x:v>
      </x:c>
      <x:c r="B1232" s="59" t="n">
        <x:v>134</x:v>
      </x:c>
      <x:c r="C1232" s="78" t="n">
        <x:f>(('Inputs'!$B$29*(3*134*'Inputs'!$B$12-134^2)/(2*'Inputs'!$B$12^2))-('Inputs'!$B$29*(3*133*'Inputs'!$B$12-133^2)/(2*'Inputs'!$B$12^2)))*'Inputs'!$B$47</x:f>
        <x:v>668584.3966973126</x:v>
      </x:c>
      <x:c r="D1232" s="78" t="n">
        <x:f>IF('Inputs'!$C$47&gt;0,('Inputs'!$B$30*(3*134*'Inputs'!$B$12-134^2)/(2*'Inputs'!$B$12^2))-('Inputs'!$B$30*(3*133*'Inputs'!$B$12-133^2)/(2*'Inputs'!$B$12^2)),0)</x:f>
        <x:v>286536.17001313716</x:v>
      </x:c>
      <x:c r="E1232" s="78" t="n">
        <x:f>C1232+D1232</x:f>
        <x:v>955120.5667104498</x:v>
      </x:c>
      <x:c r="F1232" s="78" t="n">
        <x:f>'Inputs'!$B$13*E1232+(1-'Inputs'!$B$13)/'Inputs'!$B$14*SUM(E1177:E1232)</x:f>
        <x:v>965338.2435729025</x:v>
      </x:c>
      <x:c r="G1232" s="78" t="n">
        <x:f>F1232*'Inputs'!$F$47</x:f>
        <x:v>337868.3852505159</x:v>
      </x:c>
      <x:c r="H1232" s="78" t="n">
        <x:f>U1231</x:f>
        <x:v>2343793.492444571</x:v>
      </x:c>
      <x:c r="I1232" s="78" t="n">
        <x:f>V1231</x:f>
        <x:v>23569.24602594516</x:v>
      </x:c>
      <x:c r="J1232" s="79" t="n">
        <x:f>IF(H1232&gt;0,I1232/H1232,0)</x:f>
        <x:v>0.010056025030329142</x:v>
      </x:c>
      <x:c r="K1232" s="80" t="n">
        <x:f>(H1232*J1232+I1232)*'Inputs'!$D$47*(1+'Inputs'!$G$47)^(B1232/30)</x:f>
        <x:v>80687.55361361329</x:v>
      </x:c>
      <x:c r="L1232" s="80" t="n">
        <x:f>MAX(0,K1232*'Inputs'!$E$47)</x:f>
        <x:v>4034.3776806806645</x:v>
      </x:c>
      <x:c r="M1232" s="80" t="n">
        <x:f>MAX(0,-K1232*'Inputs'!$E$47)</x:f>
        <x:v>0</x:v>
      </x:c>
      <x:c r="N1232" s="78" t="n">
        <x:f>H1232*(L1232*(1-'Inputs'!$B$15))/(I1232+L1232*(1-'Inputs'!$B$15))</x:f>
        <x:v>339625.4254333222</x:v>
      </x:c>
      <x:c r="O1232" s="78" t="n">
        <x:f>H1232-N1232</x:f>
        <x:v>2004168.0670112488</x:v>
      </x:c>
      <x:c r="P1232" s="78" t="n">
        <x:f>I1232+L1232*(1-'Inputs'!$B$17)</x:f>
        <x:v>27587.388786381638</x:v>
      </x:c>
      <x:c r="Q1232" s="78" t="n">
        <x:f>IF(J1232&gt;0,M1232/J1232,0)</x:f>
        <x:v>0</x:v>
      </x:c>
      <x:c r="R1232" s="78" t="n">
        <x:f>IF(B1232='Inputs'!$H$47,'Inputs'!$B$27*'Inputs'!$I$47,0)</x:f>
        <x:v>0</x:v>
      </x:c>
      <x:c r="S1232" s="78" t="n">
        <x:f>Q1232+G1232+R1232</x:f>
        <x:v>337868.3852505159</x:v>
      </x:c>
      <x:c r="T1232" s="78" t="n">
        <x:f>P1232*(S1232*(1-'Inputs'!$B$15))/(O1232+S1232*(1-'Inputs'!$B$15))</x:f>
        <x:v>3945.7237233065725</x:v>
      </x:c>
      <x:c r="U1232" s="78" t="n">
        <x:f>O1232+S1232*(1-'Inputs'!$B$17)</x:f>
        <x:v>2340676.820932789</x:v>
      </x:c>
      <x:c r="V1232" s="78" t="n">
        <x:f>P1232-T1232</x:f>
        <x:v>23641.665063075066</x:v>
      </x:c>
      <x:c r="W1232" s="79" t="n">
        <x:f>IF(U1232&gt;0,V1232/U1232,0)</x:f>
        <x:v>0.010100354244399092</x:v>
      </x:c>
      <x:c r="X1232" s="80" t="n">
        <x:f>W1232*('Inputs'!$B$6-AC1232)</x:f>
        <x:v>10079126.391320774</x:v>
      </x:c>
      <x:c r="Y1232" s="80" t="n">
        <x:f>2*V1232</x:f>
        <x:v>47283.33012615013</x:v>
      </x:c>
      <x:c r="Z1232" s="80" t="n">
        <x:f>K1232*'Inputs'!$B$16+(G1232+R1232)*J1232*'Inputs'!$B$16</x:f>
        <x:v>504.5109993158962</x:v>
      </x:c>
      <x:c r="AA1232" s="80" t="n">
        <x:f>K1232*(1+'Inputs'!$E$47)/2*'Inputs'!$B$17</x:f>
        <x:v>170.46666256397177</x:v>
      </x:c>
      <x:c r="AB1232" s="78" t="n">
        <x:f>(IF(J1232&gt;0,K1232*(1-'Inputs'!$E$47)/2/J1232,0)+G1232+R1232)*'Inputs'!$B$17</x:f>
        <x:v>16696.878586676492</x:v>
      </x:c>
      <x:c r="AC1232" s="78" t="n">
        <x:f>AC1231+AB1232</x:f>
        <x:v>2101693.9173286026</x:v>
      </x:c>
      <x:c r="AD1232" s="80" t="n">
        <x:f>Z1232/(1+'Inputs'!$C$47)</x:f>
        <x:v>201.80439972635847</x:v>
      </x:c>
      <x:c r="AE1232" s="80" t="n">
        <x:f>Z1232-AD1232</x:f>
        <x:v>302.70659958953775</x:v>
      </x:c>
      <x:c r="AF1232" s="80" t="n">
        <x:f>D1232*W1232</x:f>
        <x:v>2894.1168209660495</x:v>
      </x:c>
      <x:c r="AG1232" s="80" t="n">
        <x:f>C1232*W1232</x:f>
        <x:v>6752.9392489207075</x:v>
      </x:c>
      <x:c r="AH1232" s="80" t="n">
        <x:f>2*'Inputs'!$B$8*'Inputs'!$C$47</x:f>
        <x:v>7500</x:v>
      </x:c>
      <x:c r="AI1232" s="81" t="n">
        <x:f>IF(AH1232&gt;0,(AE1232+AF1232)/AH1232*365,0)</x:f>
        <x:v>155.57873980037192</x:v>
      </x:c>
      <x:c r="AJ1232" s="81" t="n">
        <x:f>IF('Inputs'!$B$47&gt;0,AG1232/('Inputs'!$B$19*'Inputs'!$B$47)*365,0)</x:f>
        <x:v>246.48228258560582</x:v>
      </x:c>
      <x:c r="AK1232" s="81" t="n">
        <x:f>W1232/MAX($W$1099:W1232)-1</x:f>
        <x:v>-0.5441992925600776</x:v>
      </x:c>
      <x:c r="AL1232" s="83" t="n">
        <x:f>'Inputs'!$B$47</x:f>
        <x:v>1</x:v>
      </x:c>
      <x:c r="AM1232" s="83" t="n">
        <x:f>'Inputs'!$C$47</x:f>
        <x:v>1.5</x:v>
      </x:c>
      <x:c r="AN1232" s="83" t="n">
        <x:f>'Inputs'!$D$47</x:f>
        <x:v>1.5</x:v>
      </x:c>
      <x:c r="AO1232" s="81" t="n">
        <x:f>'Inputs'!$E$47</x:f>
        <x:v>0.05</x:v>
      </x:c>
    </x:row>
    <x:row r="1233">
      <x:c r="A1233" s="59" t="str">
        <x:v>Growth</x:v>
      </x:c>
      <x:c r="B1233" s="59" t="n">
        <x:v>135</x:v>
      </x:c>
      <x:c r="C1233" s="78" t="n">
        <x:f>(('Inputs'!$B$29*(3*135*'Inputs'!$B$12-135^2)/(2*'Inputs'!$B$12^2))-('Inputs'!$B$29*(3*134*'Inputs'!$B$12-134^2)/(2*'Inputs'!$B$12^2)))*'Inputs'!$B$47</x:f>
        <x:v>668259.288797155</x:v>
      </x:c>
      <x:c r="D1233" s="78" t="n">
        <x:f>IF('Inputs'!$C$47&gt;0,('Inputs'!$B$30*(3*135*'Inputs'!$B$12-135^2)/(2*'Inputs'!$B$12^2))-('Inputs'!$B$30*(3*134*'Inputs'!$B$12-134^2)/(2*'Inputs'!$B$12^2)),0)</x:f>
        <x:v>286396.83805591613</x:v>
      </x:c>
      <x:c r="E1233" s="78" t="n">
        <x:f>C1233+D1233</x:f>
        <x:v>954656.1268530712</x:v>
      </x:c>
      <x:c r="F1233" s="78" t="n">
        <x:f>'Inputs'!$B$13*E1233+(1-'Inputs'!$B$13)/'Inputs'!$B$14*SUM(E1178:E1233)</x:f>
        <x:v>964873.8037155196</x:v>
      </x:c>
      <x:c r="G1233" s="78" t="n">
        <x:f>F1233*'Inputs'!$F$47</x:f>
        <x:v>337705.83130043186</x:v>
      </x:c>
      <x:c r="H1233" s="78" t="n">
        <x:f>U1232</x:f>
        <x:v>2340676.820932789</x:v>
      </x:c>
      <x:c r="I1233" s="78" t="n">
        <x:f>V1232</x:f>
        <x:v>23641.665063075066</x:v>
      </x:c>
      <x:c r="J1233" s="79" t="n">
        <x:f>IF(H1233&gt;0,I1233/H1233,0)</x:f>
        <x:v>0.010100354244399092</x:v>
      </x:c>
      <x:c r="K1233" s="80" t="n">
        <x:f>(H1233*J1233+I1233)*'Inputs'!$D$47*(1+'Inputs'!$G$47)^(B1233/30)</x:f>
        <x:v>81015.25926784684</x:v>
      </x:c>
      <x:c r="L1233" s="80" t="n">
        <x:f>MAX(0,K1233*'Inputs'!$E$47)</x:f>
        <x:v>4050.762963392342</x:v>
      </x:c>
      <x:c r="M1233" s="80" t="n">
        <x:f>MAX(0,-K1233*'Inputs'!$E$47)</x:f>
        <x:v>0</x:v>
      </x:c>
      <x:c r="N1233" s="78" t="n">
        <x:f>H1233*(L1233*(1-'Inputs'!$B$15))/(I1233+L1233*(1-'Inputs'!$B$15))</x:f>
        <x:v>339459.6675761196</x:v>
      </x:c>
      <x:c r="O1233" s="78" t="n">
        <x:f>H1233-N1233</x:f>
        <x:v>2001217.1533566692</x:v>
      </x:c>
      <x:c r="P1233" s="78" t="n">
        <x:f>I1233+L1233*(1-'Inputs'!$B$17)</x:f>
        <x:v>27676.127169471867</x:v>
      </x:c>
      <x:c r="Q1233" s="78" t="n">
        <x:f>IF(J1233&gt;0,M1233/J1233,0)</x:f>
        <x:v>0</x:v>
      </x:c>
      <x:c r="R1233" s="78" t="n">
        <x:f>IF(B1233='Inputs'!$H$47,'Inputs'!$B$27*'Inputs'!$I$47,0)</x:f>
        <x:v>0</x:v>
      </x:c>
      <x:c r="S1233" s="78" t="n">
        <x:f>Q1233+G1233+R1233</x:f>
        <x:v>337705.83130043186</x:v>
      </x:c>
      <x:c r="T1233" s="78" t="n">
        <x:f>P1233*(S1233*(1-'Inputs'!$B$15))/(O1233+S1233*(1-'Inputs'!$B$15))</x:f>
        <x:v>3961.782782022801</x:v>
      </x:c>
      <x:c r="U1233" s="78" t="n">
        <x:f>O1233+S1233*(1-'Inputs'!$B$17)</x:f>
        <x:v>2337564.0074687693</x:v>
      </x:c>
      <x:c r="V1233" s="78" t="n">
        <x:f>P1233-T1233</x:f>
        <x:v>23714.344387449066</x:v>
      </x:c>
      <x:c r="W1233" s="79" t="n">
        <x:f>IF(U1233&gt;0,V1233/U1233,0)</x:f>
        <x:v>0.010144896273077091</x:v>
      </x:c>
      <x:c r="X1233" s="80" t="n">
        <x:f>W1233*('Inputs'!$B$6-AC1233)</x:f>
        <x:v>10123405.47854774</x:v>
      </x:c>
      <x:c r="Y1233" s="80" t="n">
        <x:f>2*V1233</x:f>
        <x:v>47428.68877489813</x:v>
      </x:c>
      <x:c r="Z1233" s="80" t="n">
        <x:f>K1233*'Inputs'!$B$16+(G1233+R1233)*J1233*'Inputs'!$B$16</x:f>
        <x:v>506.5572467662829</x:v>
      </x:c>
      <x:c r="AA1233" s="80" t="n">
        <x:f>K1233*(1+'Inputs'!$E$47)/2*'Inputs'!$B$17</x:f>
        <x:v>171.15899845319757</x:v>
      </x:c>
      <x:c r="AB1233" s="78" t="n">
        <x:f>(IF(J1233&gt;0,K1233*(1-'Inputs'!$E$47)/2/J1233,0)+G1233+R1233)*'Inputs'!$B$17</x:f>
        <x:v>16690.928693253216</x:v>
      </x:c>
      <x:c r="AC1233" s="78" t="n">
        <x:f>AC1232+AB1233</x:f>
        <x:v>2118384.8460218557</x:v>
      </x:c>
      <x:c r="AD1233" s="80" t="n">
        <x:f>Z1233/(1+'Inputs'!$C$47)</x:f>
        <x:v>202.62289870651315</x:v>
      </x:c>
      <x:c r="AE1233" s="80" t="n">
        <x:f>Z1233-AD1233</x:f>
        <x:v>303.9343480597697</x:v>
      </x:c>
      <x:c r="AF1233" s="80" t="n">
        <x:f>D1233*W1233</x:f>
        <x:v>2905.466215014527</x:v>
      </x:c>
      <x:c r="AG1233" s="80" t="n">
        <x:f>C1233*W1233</x:f>
        <x:v>6779.421168367406</x:v>
      </x:c>
      <x:c r="AH1233" s="80" t="n">
        <x:f>2*'Inputs'!$B$8*'Inputs'!$C$47</x:f>
        <x:v>7500</x:v>
      </x:c>
      <x:c r="AI1233" s="81" t="n">
        <x:f>IF(AH1233&gt;0,(AE1233+AF1233)/AH1233*365,0)</x:f>
        <x:v>156.1908274029491</x:v>
      </x:c>
      <x:c r="AJ1233" s="81" t="n">
        <x:f>IF('Inputs'!$B$47&gt;0,AG1233/('Inputs'!$B$19*'Inputs'!$B$47)*365,0)</x:f>
        <x:v>247.4488726454103</x:v>
      </x:c>
      <x:c r="AK1233" s="81" t="n">
        <x:f>W1233/MAX($W$1099:W1233)-1</x:f>
        <x:v>-0.5421892355174249</x:v>
      </x:c>
      <x:c r="AL1233" s="83" t="n">
        <x:f>'Inputs'!$B$47</x:f>
        <x:v>1</x:v>
      </x:c>
      <x:c r="AM1233" s="83" t="n">
        <x:f>'Inputs'!$C$47</x:f>
        <x:v>1.5</x:v>
      </x:c>
      <x:c r="AN1233" s="83" t="n">
        <x:f>'Inputs'!$D$47</x:f>
        <x:v>1.5</x:v>
      </x:c>
      <x:c r="AO1233" s="81" t="n">
        <x:f>'Inputs'!$E$47</x:f>
        <x:v>0.05</x:v>
      </x:c>
    </x:row>
    <x:row r="1234">
      <x:c r="A1234" s="59" t="str">
        <x:v>Growth</x:v>
      </x:c>
      <x:c r="B1234" s="59" t="n">
        <x:v>136</x:v>
      </x:c>
      <x:c r="C1234" s="78" t="n">
        <x:f>(('Inputs'!$B$29*(3*136*'Inputs'!$B$12-136^2)/(2*'Inputs'!$B$12^2))-('Inputs'!$B$29*(3*135*'Inputs'!$B$12-135^2)/(2*'Inputs'!$B$12^2)))*'Inputs'!$B$47</x:f>
        <x:v>667934.1808969676</x:v>
      </x:c>
      <x:c r="D1234" s="78" t="n">
        <x:f>IF('Inputs'!$C$47&gt;0,('Inputs'!$B$30*(3*136*'Inputs'!$B$12-136^2)/(2*'Inputs'!$B$12^2))-('Inputs'!$B$30*(3*135*'Inputs'!$B$12-135^2)/(2*'Inputs'!$B$12^2)),0)</x:f>
        <x:v>286257.50609871</x:v>
      </x:c>
      <x:c r="E1234" s="78" t="n">
        <x:f>C1234+D1234</x:f>
        <x:v>954191.6869956776</x:v>
      </x:c>
      <x:c r="F1234" s="78" t="n">
        <x:f>'Inputs'!$B$13*E1234+(1-'Inputs'!$B$13)/'Inputs'!$B$14*SUM(E1179:E1234)</x:f>
        <x:v>964409.3638581334</x:v>
      </x:c>
      <x:c r="G1234" s="78" t="n">
        <x:f>F1234*'Inputs'!$F$47</x:f>
        <x:v>337543.2773503467</x:v>
      </x:c>
      <x:c r="H1234" s="78" t="n">
        <x:f>U1233</x:f>
        <x:v>2337564.0074687693</x:v>
      </x:c>
      <x:c r="I1234" s="78" t="n">
        <x:f>V1233</x:f>
        <x:v>23714.344387449066</x:v>
      </x:c>
      <x:c r="J1234" s="79" t="n">
        <x:f>IF(H1234&gt;0,I1234/H1234,0)</x:f>
        <x:v>0.010144896273077091</x:v>
      </x:c>
      <x:c r="K1234" s="80" t="n">
        <x:f>(H1234*J1234+I1234)*'Inputs'!$D$47*(1+'Inputs'!$G$47)^(B1234/30)</x:f>
        <x:v>81344.42543542474</x:v>
      </x:c>
      <x:c r="L1234" s="80" t="n">
        <x:f>MAX(0,K1234*'Inputs'!$E$47)</x:f>
        <x:v>4067.2212717712373</x:v>
      </x:c>
      <x:c r="M1234" s="80" t="n">
        <x:f>MAX(0,-K1234*'Inputs'!$E$47)</x:f>
        <x:v>0</x:v>
      </x:c>
      <x:c r="N1234" s="78" t="n">
        <x:f>H1234*(L1234*(1-'Inputs'!$B$15))/(I1234+L1234*(1-'Inputs'!$B$15))</x:f>
        <x:v>339293.9082117923</x:v>
      </x:c>
      <x:c r="O1234" s="78" t="n">
        <x:f>H1234-N1234</x:f>
        <x:v>1998270.099256977</x:v>
      </x:c>
      <x:c r="P1234" s="78" t="n">
        <x:f>I1234+L1234*(1-'Inputs'!$B$17)</x:f>
        <x:v>27765.198571607543</x:v>
      </x:c>
      <x:c r="Q1234" s="78" t="n">
        <x:f>IF(J1234&gt;0,M1234/J1234,0)</x:f>
        <x:v>0</x:v>
      </x:c>
      <x:c r="R1234" s="78" t="n">
        <x:f>IF(B1234='Inputs'!$H$47,'Inputs'!$B$27*'Inputs'!$I$47,0)</x:f>
        <x:v>0</x:v>
      </x:c>
      <x:c r="S1234" s="78" t="n">
        <x:f>Q1234+G1234+R1234</x:f>
        <x:v>337543.2773503467</x:v>
      </x:c>
      <x:c r="T1234" s="78" t="n">
        <x:f>P1234*(S1234*(1-'Inputs'!$B$15))/(O1234+S1234*(1-'Inputs'!$B$15))</x:f>
        <x:v>3977.9135755575703</x:v>
      </x:c>
      <x:c r="U1234" s="78" t="n">
        <x:f>O1234+S1234*(1-'Inputs'!$B$17)</x:f>
        <x:v>2334455.053559636</x:v>
      </x:c>
      <x:c r="V1234" s="78" t="n">
        <x:f>P1234-T1234</x:f>
        <x:v>23787.284996049973</x:v>
      </x:c>
      <x:c r="W1234" s="79" t="n">
        <x:f>IF(U1234&gt;0,V1234/U1234,0)</x:f>
        <x:v>0.01018965216733495</x:v>
      </x:c>
      <x:c r="X1234" s="80" t="n">
        <x:f>W1234*('Inputs'!$B$6-AC1234)</x:f>
        <x:v>10167896.548467545</x:v>
      </x:c>
      <x:c r="Y1234" s="80" t="n">
        <x:f>2*V1234</x:f>
        <x:v>47574.56999209995</x:v>
      </x:c>
      <x:c r="Z1234" s="80" t="n">
        <x:f>K1234*'Inputs'!$B$16+(G1234+R1234)*J1234*'Inputs'!$B$16</x:f>
        <x:v>508.612601830911</x:v>
      </x:c>
      <x:c r="AA1234" s="80" t="n">
        <x:f>K1234*(1+'Inputs'!$E$47)/2*'Inputs'!$B$17</x:f>
        <x:v>171.85441993399596</x:v>
      </x:c>
      <x:c r="AB1234" s="78" t="n">
        <x:f>(IF(J1234&gt;0,K1234*(1-'Inputs'!$E$47)/2/J1234,0)+G1234+R1234)*'Inputs'!$B$17</x:f>
        <x:v>16684.978750799288</x:v>
      </x:c>
      <x:c r="AC1234" s="78" t="n">
        <x:f>AC1233+AB1234</x:f>
        <x:v>2135069.824772655</x:v>
      </x:c>
      <x:c r="AD1234" s="80" t="n">
        <x:f>Z1234/(1+'Inputs'!$C$47)</x:f>
        <x:v>203.4450407323644</x:v>
      </x:c>
      <x:c r="AE1234" s="80" t="n">
        <x:f>Z1234-AD1234</x:f>
        <x:v>305.16756109854657</x:v>
      </x:c>
      <x:c r="AF1234" s="80" t="n">
        <x:f>D1234*W1234</x:f>
        <x:v>2916.864417434618</x:v>
      </x:c>
      <x:c r="AG1234" s="80" t="n">
        <x:f>C1234*W1234</x:f>
        <x:v>6806.016974013881</x:v>
      </x:c>
      <x:c r="AH1234" s="80" t="n">
        <x:f>2*'Inputs'!$B$8*'Inputs'!$C$47</x:f>
        <x:v>7500</x:v>
      </x:c>
      <x:c r="AI1234" s="81" t="n">
        <x:f>IF(AH1234&gt;0,(AE1234+AF1234)/AH1234*365,0)</x:f>
        <x:v>156.805556288614</x:v>
      </x:c>
      <x:c r="AJ1234" s="81" t="n">
        <x:f>IF('Inputs'!$B$47&gt;0,AG1234/('Inputs'!$B$19*'Inputs'!$B$47)*365,0)</x:f>
        <x:v>248.41961955150666</x:v>
      </x:c>
      <x:c r="AK1234" s="81" t="n">
        <x:f>W1234/MAX($W$1099:W1234)-1</x:f>
        <x:v>-0.5401695273199476</x:v>
      </x:c>
      <x:c r="AL1234" s="83" t="n">
        <x:f>'Inputs'!$B$47</x:f>
        <x:v>1</x:v>
      </x:c>
      <x:c r="AM1234" s="83" t="n">
        <x:f>'Inputs'!$C$47</x:f>
        <x:v>1.5</x:v>
      </x:c>
      <x:c r="AN1234" s="83" t="n">
        <x:f>'Inputs'!$D$47</x:f>
        <x:v>1.5</x:v>
      </x:c>
      <x:c r="AO1234" s="81" t="n">
        <x:f>'Inputs'!$E$47</x:f>
        <x:v>0.05</x:v>
      </x:c>
    </x:row>
    <x:row r="1235">
      <x:c r="A1235" s="59" t="str">
        <x:v>Growth</x:v>
      </x:c>
      <x:c r="B1235" s="59" t="n">
        <x:v>137</x:v>
      </x:c>
      <x:c r="C1235" s="78" t="n">
        <x:f>(('Inputs'!$B$29*(3*137*'Inputs'!$B$12-137^2)/(2*'Inputs'!$B$12^2))-('Inputs'!$B$29*(3*136*'Inputs'!$B$12-136^2)/(2*'Inputs'!$B$12^2)))*'Inputs'!$B$47</x:f>
        <x:v>667609.0729968101</x:v>
      </x:c>
      <x:c r="D1235" s="78" t="n">
        <x:f>IF('Inputs'!$C$47&gt;0,('Inputs'!$B$30*(3*137*'Inputs'!$B$12-137^2)/(2*'Inputs'!$B$12^2))-('Inputs'!$B$30*(3*136*'Inputs'!$B$12-136^2)/(2*'Inputs'!$B$12^2)),0)</x:f>
        <x:v>286118.17414148897</x:v>
      </x:c>
      <x:c r="E1235" s="78" t="n">
        <x:f>C1235+D1235</x:f>
        <x:v>953727.247138299</x:v>
      </x:c>
      <x:c r="F1235" s="78" t="n">
        <x:f>'Inputs'!$B$13*E1235+(1-'Inputs'!$B$13)/'Inputs'!$B$14*SUM(E1180:E1235)</x:f>
        <x:v>963944.9240007505</x:v>
      </x:c>
      <x:c r="G1235" s="78" t="n">
        <x:f>F1235*'Inputs'!$F$47</x:f>
        <x:v>337380.72340026265</x:v>
      </x:c>
      <x:c r="H1235" s="78" t="n">
        <x:f>U1234</x:f>
        <x:v>2334455.053559636</x:v>
      </x:c>
      <x:c r="I1235" s="78" t="n">
        <x:f>V1234</x:f>
        <x:v>23787.284996049973</x:v>
      </x:c>
      <x:c r="J1235" s="79" t="n">
        <x:f>IF(H1235&gt;0,I1235/H1235,0)</x:f>
        <x:v>0.01018965216733495</x:v>
      </x:c>
      <x:c r="K1235" s="80" t="n">
        <x:f>(H1235*J1235+I1235)*'Inputs'!$D$47*(1+'Inputs'!$G$47)^(B1235/30)</x:f>
        <x:v>81675.05898071683</x:v>
      </x:c>
      <x:c r="L1235" s="80" t="n">
        <x:f>MAX(0,K1235*'Inputs'!$E$47)</x:f>
        <x:v>4083.7529490358415</x:v>
      </x:c>
      <x:c r="M1235" s="80" t="n">
        <x:f>MAX(0,-K1235*'Inputs'!$E$47)</x:f>
        <x:v>0</x:v>
      </x:c>
      <x:c r="N1235" s="78" t="n">
        <x:f>H1235*(L1235*(1-'Inputs'!$B$15))/(I1235+L1235*(1-'Inputs'!$B$15))</x:f>
        <x:v>339128.1482465815</x:v>
      </x:c>
      <x:c r="O1235" s="78" t="n">
        <x:f>H1235-N1235</x:f>
        <x:v>1995326.9053130548</x:v>
      </x:c>
      <x:c r="P1235" s="78" t="n">
        <x:f>I1235+L1235*(1-'Inputs'!$B$17)</x:f>
        <x:v>27854.60433160881</x:v>
      </x:c>
      <x:c r="Q1235" s="78" t="n">
        <x:f>IF(J1235&gt;0,M1235/J1235,0)</x:f>
        <x:v>0</x:v>
      </x:c>
      <x:c r="R1235" s="78" t="n">
        <x:f>IF(B1235='Inputs'!$H$47,'Inputs'!$B$27*'Inputs'!$I$47,0)</x:f>
        <x:v>0</x:v>
      </x:c>
      <x:c r="S1235" s="78" t="n">
        <x:f>Q1235+G1235+R1235</x:f>
        <x:v>337380.72340026265</x:v>
      </x:c>
      <x:c r="T1235" s="78" t="n">
        <x:f>P1235*(S1235*(1-'Inputs'!$B$15))/(O1235+S1235*(1-'Inputs'!$B$15))</x:f>
        <x:v>3994.1164327934116</x:v>
      </x:c>
      <x:c r="U1235" s="78" t="n">
        <x:f>O1235+S1235*(1-'Inputs'!$B$17)</x:f>
        <x:v>2331349.959806274</x:v>
      </x:c>
      <x:c r="V1235" s="78" t="n">
        <x:f>P1235-T1235</x:f>
        <x:v>23860.487898815398</x:v>
      </x:c>
      <x:c r="W1235" s="79" t="n">
        <x:f>IF(U1235&gt;0,V1235/U1235,0)</x:f>
        <x:v>0.010234622991049405</x:v>
      </x:c>
      <x:c r="X1235" s="80" t="n">
        <x:f>W1235*('Inputs'!$B$6-AC1235)</x:f>
        <x:v>10212600.652761674</x:v>
      </x:c>
      <x:c r="Y1235" s="80" t="n">
        <x:f>2*V1235</x:f>
        <x:v>47720.975797630796</x:v>
      </x:c>
      <x:c r="Z1235" s="80" t="n">
        <x:f>K1235*'Inputs'!$B$16+(G1235+R1235)*J1235*'Inputs'!$B$16</x:f>
        <x:v>510.6771072007761</x:v>
      </x:c>
      <x:c r="AA1235" s="80" t="n">
        <x:f>K1235*(1+'Inputs'!$E$47)/2*'Inputs'!$B$17</x:f>
        <x:v>172.5529415085567</x:v>
      </x:c>
      <x:c r="AB1235" s="78" t="n">
        <x:f>(IF(J1235&gt;0,K1235*(1-'Inputs'!$E$47)/2/J1235,0)+G1235+R1235)*'Inputs'!$B$17</x:f>
        <x:v>16679.02879919196</x:v>
      </x:c>
      <x:c r="AC1235" s="78" t="n">
        <x:f>AC1234+AB1235</x:f>
        <x:v>2151748.853571847</x:v>
      </x:c>
      <x:c r="AD1235" s="80" t="n">
        <x:f>Z1235/(1+'Inputs'!$C$47)</x:f>
        <x:v>204.27084288031045</x:v>
      </x:c>
      <x:c r="AE1235" s="80" t="n">
        <x:f>Z1235-AD1235</x:f>
        <x:v>306.40626432046565</x:v>
      </x:c>
      <x:c r="AF1235" s="80" t="n">
        <x:f>D1235*W1235</x:f>
        <x:v>2928.31164322556</x:v>
      </x:c>
      <x:c r="AG1235" s="80" t="n">
        <x:f>C1235*W1235</x:f>
        <x:v>6832.727167526333</x:v>
      </x:c>
      <x:c r="AH1235" s="80" t="n">
        <x:f>2*'Inputs'!$B$8*'Inputs'!$C$47</x:f>
        <x:v>7500</x:v>
      </x:c>
      <x:c r="AI1235" s="81" t="n">
        <x:f>IF(AH1235&gt;0,(AE1235+AF1235)/AH1235*365,0)</x:f>
        <x:v>157.42293816723992</x:v>
      </x:c>
      <x:c r="AJ1235" s="81" t="n">
        <x:f>IF('Inputs'!$B$47&gt;0,AG1235/('Inputs'!$B$19*'Inputs'!$B$47)*365,0)</x:f>
        <x:v>249.39454161471113</x:v>
      </x:c>
      <x:c r="AK1235" s="81" t="n">
        <x:f>W1235/MAX($W$1099:W1235)-1</x:f>
        <x:v>-0.538140119957867</x:v>
      </x:c>
      <x:c r="AL1235" s="83" t="n">
        <x:f>'Inputs'!$B$47</x:f>
        <x:v>1</x:v>
      </x:c>
      <x:c r="AM1235" s="83" t="n">
        <x:f>'Inputs'!$C$47</x:f>
        <x:v>1.5</x:v>
      </x:c>
      <x:c r="AN1235" s="83" t="n">
        <x:f>'Inputs'!$D$47</x:f>
        <x:v>1.5</x:v>
      </x:c>
      <x:c r="AO1235" s="81" t="n">
        <x:f>'Inputs'!$E$47</x:f>
        <x:v>0.05</x:v>
      </x:c>
    </x:row>
    <x:row r="1236">
      <x:c r="A1236" s="59" t="str">
        <x:v>Growth</x:v>
      </x:c>
      <x:c r="B1236" s="59" t="n">
        <x:v>138</x:v>
      </x:c>
      <x:c r="C1236" s="78" t="n">
        <x:f>(('Inputs'!$B$29*(3*138*'Inputs'!$B$12-138^2)/(2*'Inputs'!$B$12^2))-('Inputs'!$B$29*(3*137*'Inputs'!$B$12-137^2)/(2*'Inputs'!$B$12^2)))*'Inputs'!$B$47</x:f>
        <x:v>667283.9650966525</x:v>
      </x:c>
      <x:c r="D1236" s="78" t="n">
        <x:f>IF('Inputs'!$C$47&gt;0,('Inputs'!$B$30*(3*138*'Inputs'!$B$12-138^2)/(2*'Inputs'!$B$12^2))-('Inputs'!$B$30*(3*137*'Inputs'!$B$12-137^2)/(2*'Inputs'!$B$12^2)),0)</x:f>
        <x:v>285978.8421842754</x:v>
      </x:c>
      <x:c r="E1236" s="78" t="n">
        <x:f>C1236+D1236</x:f>
        <x:v>953262.8072809279</x:v>
      </x:c>
      <x:c r="F1236" s="78" t="n">
        <x:f>'Inputs'!$B$13*E1236+(1-'Inputs'!$B$13)/'Inputs'!$B$14*SUM(E1181:E1236)</x:f>
        <x:v>963480.4841433691</x:v>
      </x:c>
      <x:c r="G1236" s="78" t="n">
        <x:f>F1236*'Inputs'!$F$47</x:f>
        <x:v>337218.16945017915</x:v>
      </x:c>
      <x:c r="H1236" s="78" t="n">
        <x:f>U1235</x:f>
        <x:v>2331349.959806274</x:v>
      </x:c>
      <x:c r="I1236" s="78" t="n">
        <x:f>V1235</x:f>
        <x:v>23860.487898815398</x:v>
      </x:c>
      <x:c r="J1236" s="79" t="n">
        <x:f>IF(H1236&gt;0,I1236/H1236,0)</x:f>
        <x:v>0.010234622991049405</x:v>
      </x:c>
      <x:c r="K1236" s="80" t="n">
        <x:f>(H1236*J1236+I1236)*'Inputs'!$D$47*(1+'Inputs'!$G$47)^(B1236/30)</x:f>
        <x:v>82007.16683234874</x:v>
      </x:c>
      <x:c r="L1236" s="80" t="n">
        <x:f>MAX(0,K1236*'Inputs'!$E$47)</x:f>
        <x:v>4100.358341617437</x:v>
      </x:c>
      <x:c r="M1236" s="80" t="n">
        <x:f>MAX(0,-K1236*'Inputs'!$E$47)</x:f>
        <x:v>0</x:v>
      </x:c>
      <x:c r="N1236" s="78" t="n">
        <x:f>H1236*(L1236*(1-'Inputs'!$B$15))/(I1236+L1236*(1-'Inputs'!$B$15))</x:f>
        <x:v>338962.3884572121</x:v>
      </x:c>
      <x:c r="O1236" s="78" t="n">
        <x:f>H1236-N1236</x:f>
        <x:v>1992387.571349062</x:v>
      </x:c>
      <x:c r="P1236" s="78" t="n">
        <x:f>I1236+L1236*(1-'Inputs'!$B$17)</x:f>
        <x:v>27944.34580445047</x:v>
      </x:c>
      <x:c r="Q1236" s="78" t="n">
        <x:f>IF(J1236&gt;0,M1236/J1236,0)</x:f>
        <x:v>0</x:v>
      </x:c>
      <x:c r="R1236" s="78" t="n">
        <x:f>IF(B1236='Inputs'!$H$47,'Inputs'!$B$27*'Inputs'!$I$47,0)</x:f>
        <x:v>0</x:v>
      </x:c>
      <x:c r="S1236" s="78" t="n">
        <x:f>Q1236+G1236+R1236</x:f>
        <x:v>337218.16945017915</x:v>
      </x:c>
      <x:c r="T1236" s="78" t="n">
        <x:f>P1236*(S1236*(1-'Inputs'!$B$15))/(O1236+S1236*(1-'Inputs'!$B$15))</x:f>
        <x:v>4010.3916869221557</x:v>
      </x:c>
      <x:c r="U1236" s="78" t="n">
        <x:f>O1236+S1236*(1-'Inputs'!$B$17)</x:f>
        <x:v>2328248.726032842</x:v>
      </x:c>
      <x:c r="V1236" s="78" t="n">
        <x:f>P1236-T1236</x:f>
        <x:v>23933.954117528316</x:v>
      </x:c>
      <x:c r="W1236" s="79" t="n">
        <x:f>IF(U1236&gt;0,V1236/U1236,0)</x:f>
        <x:v>0.010279809820108845</x:v>
      </x:c>
      <x:c r="X1236" s="80" t="n">
        <x:f>W1236*('Inputs'!$B$6-AC1236)</x:f>
        <x:v>10257518.855033563</x:v>
      </x:c>
      <x:c r="Y1236" s="80" t="n">
        <x:f>2*V1236</x:f>
        <x:v>47867.90823505663</x:v>
      </x:c>
      <x:c r="Z1236" s="80" t="n">
        <x:f>K1236*'Inputs'!$B$16+(G1236+R1236)*J1236*'Inputs'!$B$16</x:f>
        <x:v>512.7508059744189</x:v>
      </x:c>
      <x:c r="AA1236" s="80" t="n">
        <x:f>K1236*(1+'Inputs'!$E$47)/2*'Inputs'!$B$17</x:f>
        <x:v>173.2545778148213</x:v>
      </x:c>
      <x:c r="AB1236" s="78" t="n">
        <x:f>(IF(J1236&gt;0,K1236*(1-'Inputs'!$E$47)/2/J1236,0)+G1236+R1236)*'Inputs'!$B$17</x:f>
        <x:v>16673.078872477592</x:v>
      </x:c>
      <x:c r="AC1236" s="78" t="n">
        <x:f>AC1235+AB1236</x:f>
        <x:v>2168421.9324443247</x:v>
      </x:c>
      <x:c r="AD1236" s="80" t="n">
        <x:f>Z1236/(1+'Inputs'!$C$47)</x:f>
        <x:v>205.10032238976754</x:v>
      </x:c>
      <x:c r="AE1236" s="80" t="n">
        <x:f>Z1236-AD1236</x:f>
        <x:v>307.65048358465134</x:v>
      </x:c>
      <x:c r="AF1236" s="80" t="n">
        <x:f>D1236*W1236</x:f>
        <x:v>2939.8081102292717</x:v>
      </x:c>
      <x:c r="AG1236" s="80" t="n">
        <x:f>C1236*W1236</x:f>
        <x:v>6859.552257201736</x:v>
      </x:c>
      <x:c r="AH1236" s="80" t="n">
        <x:f>2*'Inputs'!$B$8*'Inputs'!$C$47</x:f>
        <x:v>7500</x:v>
      </x:c>
      <x:c r="AI1236" s="81" t="n">
        <x:f>IF(AH1236&gt;0,(AE1236+AF1236)/AH1236*365,0)</x:f>
        <x:v>158.04298489894427</x:v>
      </x:c>
      <x:c r="AJ1236" s="81" t="n">
        <x:f>IF('Inputs'!$B$47&gt;0,AG1236/('Inputs'!$B$19*'Inputs'!$B$47)*365,0)</x:f>
        <x:v>250.37365738786337</x:v>
      </x:c>
      <x:c r="AK1236" s="81" t="n">
        <x:f>W1236/MAX($W$1099:W1236)-1</x:f>
        <x:v>-0.5361009648793529</x:v>
      </x:c>
      <x:c r="AL1236" s="83" t="n">
        <x:f>'Inputs'!$B$47</x:f>
        <x:v>1</x:v>
      </x:c>
      <x:c r="AM1236" s="83" t="n">
        <x:f>'Inputs'!$C$47</x:f>
        <x:v>1.5</x:v>
      </x:c>
      <x:c r="AN1236" s="83" t="n">
        <x:f>'Inputs'!$D$47</x:f>
        <x:v>1.5</x:v>
      </x:c>
      <x:c r="AO1236" s="81" t="n">
        <x:f>'Inputs'!$E$47</x:f>
        <x:v>0.05</x:v>
      </x:c>
    </x:row>
    <x:row r="1237">
      <x:c r="A1237" s="59" t="str">
        <x:v>Growth</x:v>
      </x:c>
      <x:c r="B1237" s="59" t="n">
        <x:v>139</x:v>
      </x:c>
      <x:c r="C1237" s="78" t="n">
        <x:f>(('Inputs'!$B$29*(3*139*'Inputs'!$B$12-139^2)/(2*'Inputs'!$B$12^2))-('Inputs'!$B$29*(3*138*'Inputs'!$B$12-138^2)/(2*'Inputs'!$B$12^2)))*'Inputs'!$B$47</x:f>
        <x:v>666958.8571964651</x:v>
      </x:c>
      <x:c r="D1237" s="78" t="n">
        <x:f>IF('Inputs'!$C$47&gt;0,('Inputs'!$B$30*(3*139*'Inputs'!$B$12-139^2)/(2*'Inputs'!$B$12^2))-('Inputs'!$B$30*(3*138*'Inputs'!$B$12-138^2)/(2*'Inputs'!$B$12^2)),0)</x:f>
        <x:v>285839.51022705436</x:v>
      </x:c>
      <x:c r="E1237" s="78" t="n">
        <x:f>C1237+D1237</x:f>
        <x:v>952798.3674235195</x:v>
      </x:c>
      <x:c r="F1237" s="78" t="n">
        <x:f>'Inputs'!$B$13*E1237+(1-'Inputs'!$B$13)/'Inputs'!$B$14*SUM(E1182:E1237)</x:f>
        <x:v>963016.04428598</x:v>
      </x:c>
      <x:c r="G1237" s="78" t="n">
        <x:f>F1237*'Inputs'!$F$47</x:f>
        <x:v>337055.615500093</x:v>
      </x:c>
      <x:c r="H1237" s="78" t="n">
        <x:f>U1236</x:f>
        <x:v>2328248.726032842</x:v>
      </x:c>
      <x:c r="I1237" s="78" t="n">
        <x:f>V1236</x:f>
        <x:v>23933.954117528316</x:v>
      </x:c>
      <x:c r="J1237" s="79" t="n">
        <x:f>IF(H1237&gt;0,I1237/H1237,0)</x:f>
        <x:v>0.010279809820108845</x:v>
      </x:c>
      <x:c r="K1237" s="80" t="n">
        <x:f>(H1237*J1237+I1237)*'Inputs'!$D$47*(1+'Inputs'!$G$47)^(B1237/30)</x:f>
        <x:v>82340.75597964763</x:v>
      </x:c>
      <x:c r="L1237" s="80" t="n">
        <x:f>MAX(0,K1237*'Inputs'!$E$47)</x:f>
        <x:v>4117.037798982382</x:v>
      </x:c>
      <x:c r="M1237" s="80" t="n">
        <x:f>MAX(0,-K1237*'Inputs'!$E$47)</x:f>
        <x:v>0</x:v>
      </x:c>
      <x:c r="N1237" s="78" t="n">
        <x:f>H1237*(L1237*(1-'Inputs'!$B$15))/(I1237+L1237*(1-'Inputs'!$B$15))</x:f>
        <x:v>338796.62950918643</x:v>
      </x:c>
      <x:c r="O1237" s="78" t="n">
        <x:f>H1237-N1237</x:f>
        <x:v>1989452.0965236556</x:v>
      </x:c>
      <x:c r="P1237" s="78" t="n">
        <x:f>I1237+L1237*(1-'Inputs'!$B$17)</x:f>
        <x:v>28034.424359975557</x:v>
      </x:c>
      <x:c r="Q1237" s="78" t="n">
        <x:f>IF(J1237&gt;0,M1237/J1237,0)</x:f>
        <x:v>0</x:v>
      </x:c>
      <x:c r="R1237" s="78" t="n">
        <x:f>IF(B1237='Inputs'!$H$47,'Inputs'!$B$27*'Inputs'!$I$47,0)</x:f>
        <x:v>0</x:v>
      </x:c>
      <x:c r="S1237" s="78" t="n">
        <x:f>Q1237+G1237+R1237</x:f>
        <x:v>337055.615500093</x:v>
      </x:c>
      <x:c r="T1237" s="78" t="n">
        <x:f>P1237*(S1237*(1-'Inputs'!$B$15))/(O1237+S1237*(1-'Inputs'!$B$15))</x:f>
        <x:v>4026.7396751121723</x:v>
      </x:c>
      <x:c r="U1237" s="78" t="n">
        <x:f>O1237+S1237*(1-'Inputs'!$B$17)</x:f>
        <x:v>2325151.3513979935</x:v>
      </x:c>
      <x:c r="V1237" s="78" t="n">
        <x:f>P1237-T1237</x:f>
        <x:v>24007.684684863387</x:v>
      </x:c>
      <x:c r="W1237" s="79" t="n">
        <x:f>IF(U1237&gt;0,V1237/U1237,0)</x:f>
        <x:v>0.010325213741646884</x:v>
      </x:c>
      <x:c r="X1237" s="80" t="n">
        <x:f>W1237*('Inputs'!$B$6-AC1237)</x:f>
        <x:v>10302652.23004294</x:v>
      </x:c>
      <x:c r="Y1237" s="80" t="n">
        <x:f>2*V1237</x:f>
        <x:v>48015.36936972677</x:v>
      </x:c>
      <x:c r="Z1237" s="80" t="n">
        <x:f>K1237*'Inputs'!$B$16+(G1237+R1237)*J1237*'Inputs'!$B$16</x:f>
        <x:v>514.8337416347299</x:v>
      </x:c>
      <x:c r="AA1237" s="80" t="n">
        <x:f>K1237*(1+'Inputs'!$E$47)/2*'Inputs'!$B$17</x:f>
        <x:v>173.9593436189739</x:v>
      </x:c>
      <x:c r="AB1237" s="78" t="n">
        <x:f>(IF(J1237&gt;0,K1237*(1-'Inputs'!$E$47)/2/J1237,0)+G1237+R1237)*'Inputs'!$B$17</x:f>
        <x:v>16667.128999694236</x:v>
      </x:c>
      <x:c r="AC1237" s="78" t="n">
        <x:f>AC1236+AB1237</x:f>
        <x:v>2185089.061444019</x:v>
      </x:c>
      <x:c r="AD1237" s="80" t="n">
        <x:f>Z1237/(1+'Inputs'!$C$47)</x:f>
        <x:v>205.93349665389195</x:v>
      </x:c>
      <x:c r="AE1237" s="80" t="n">
        <x:f>Z1237-AD1237</x:f>
        <x:v>308.90024498083795</x:v>
      </x:c>
      <x:c r="AF1237" s="80" t="n">
        <x:f>D1237*W1237</x:f>
        <x:v>2951.354038901997</x:v>
      </x:c>
      <x:c r="AG1237" s="80" t="n">
        <x:f>C1237*W1237</x:f>
        <x:v>6886.492757438044</x:v>
      </x:c>
      <x:c r="AH1237" s="80" t="n">
        <x:f>2*'Inputs'!$B$8*'Inputs'!$C$47</x:f>
        <x:v>7500</x:v>
      </x:c>
      <x:c r="AI1237" s="81" t="n">
        <x:f>IF(AH1237&gt;0,(AE1237+AF1237)/AH1237*365,0)</x:f>
        <x:v>158.66570848229796</x:v>
      </x:c>
      <x:c r="AJ1237" s="81" t="n">
        <x:f>IF('Inputs'!$B$47&gt;0,AG1237/('Inputs'!$B$19*'Inputs'!$B$47)*365,0)</x:f>
        <x:v>251.35698564648857</x:v>
      </x:c>
      <x:c r="AK1237" s="81" t="n">
        <x:f>W1237/MAX($W$1099:W1237)-1</x:f>
        <x:v>-0.5340520130251085</x:v>
      </x:c>
      <x:c r="AL1237" s="83" t="n">
        <x:f>'Inputs'!$B$47</x:f>
        <x:v>1</x:v>
      </x:c>
      <x:c r="AM1237" s="83" t="n">
        <x:f>'Inputs'!$C$47</x:f>
        <x:v>1.5</x:v>
      </x:c>
      <x:c r="AN1237" s="83" t="n">
        <x:f>'Inputs'!$D$47</x:f>
        <x:v>1.5</x:v>
      </x:c>
      <x:c r="AO1237" s="81" t="n">
        <x:f>'Inputs'!$E$47</x:f>
        <x:v>0.05</x:v>
      </x:c>
    </x:row>
    <x:row r="1238">
      <x:c r="A1238" s="59" t="str">
        <x:v>Growth</x:v>
      </x:c>
      <x:c r="B1238" s="59" t="n">
        <x:v>140</x:v>
      </x:c>
      <x:c r="C1238" s="78" t="n">
        <x:f>(('Inputs'!$B$29*(3*140*'Inputs'!$B$12-140^2)/(2*'Inputs'!$B$12^2))-('Inputs'!$B$29*(3*139*'Inputs'!$B$12-139^2)/(2*'Inputs'!$B$12^2)))*'Inputs'!$B$47</x:f>
        <x:v>666633.7492963076</x:v>
      </x:c>
      <x:c r="D1238" s="78" t="n">
        <x:f>IF('Inputs'!$C$47&gt;0,('Inputs'!$B$30*(3*140*'Inputs'!$B$12-140^2)/(2*'Inputs'!$B$12^2))-('Inputs'!$B$30*(3*139*'Inputs'!$B$12-139^2)/(2*'Inputs'!$B$12^2)),0)</x:f>
        <x:v>285700.1782698482</x:v>
      </x:c>
      <x:c r="E1238" s="78" t="n">
        <x:f>C1238+D1238</x:f>
        <x:v>952333.9275661558</x:v>
      </x:c>
      <x:c r="F1238" s="78" t="n">
        <x:f>'Inputs'!$B$13*E1238+(1-'Inputs'!$B$13)/'Inputs'!$B$14*SUM(E1183:E1238)</x:f>
        <x:v>962551.6044286</x:v>
      </x:c>
      <x:c r="G1238" s="78" t="n">
        <x:f>F1238*'Inputs'!$F$47</x:f>
        <x:v>336893.06155001</x:v>
      </x:c>
      <x:c r="H1238" s="78" t="n">
        <x:f>U1237</x:f>
        <x:v>2325151.3513979935</x:v>
      </x:c>
      <x:c r="I1238" s="78" t="n">
        <x:f>V1237</x:f>
        <x:v>24007.684684863387</x:v>
      </x:c>
      <x:c r="J1238" s="79" t="n">
        <x:f>IF(H1238&gt;0,I1238/H1238,0)</x:f>
        <x:v>0.010325213741646884</x:v>
      </x:c>
      <x:c r="K1238" s="80" t="n">
        <x:f>(H1238*J1238+I1238)*'Inputs'!$D$47*(1+'Inputs'!$G$47)^(B1238/30)</x:f>
        <x:v>82675.83346960235</x:v>
      </x:c>
      <x:c r="L1238" s="80" t="n">
        <x:f>MAX(0,K1238*'Inputs'!$E$47)</x:f>
        <x:v>4133.791673480117</x:v>
      </x:c>
      <x:c r="M1238" s="80" t="n">
        <x:f>MAX(0,-K1238*'Inputs'!$E$47)</x:f>
        <x:v>0</x:v>
      </x:c>
      <x:c r="N1238" s="78" t="n">
        <x:f>H1238*(L1238*(1-'Inputs'!$B$15))/(I1238+L1238*(1-'Inputs'!$B$15))</x:f>
        <x:v>338630.8719725087</x:v>
      </x:c>
      <x:c r="O1238" s="78" t="n">
        <x:f>H1238-N1238</x:f>
        <x:v>1986520.4794254848</x:v>
      </x:c>
      <x:c r="P1238" s="78" t="n">
        <x:f>I1238+L1238*(1-'Inputs'!$B$17)</x:f>
        <x:v>28124.841381790262</x:v>
      </x:c>
      <x:c r="Q1238" s="78" t="n">
        <x:f>IF(J1238&gt;0,M1238/J1238,0)</x:f>
        <x:v>0</x:v>
      </x:c>
      <x:c r="R1238" s="78" t="n">
        <x:f>IF(B1238='Inputs'!$H$47,'Inputs'!$B$27*'Inputs'!$I$47,0)</x:f>
        <x:v>0</x:v>
      </x:c>
      <x:c r="S1238" s="78" t="n">
        <x:f>Q1238+G1238+R1238</x:f>
        <x:v>336893.06155001</x:v>
      </x:c>
      <x:c r="T1238" s="78" t="n">
        <x:f>P1238*(S1238*(1-'Inputs'!$B$15))/(O1238+S1238*(1-'Inputs'!$B$15))</x:f>
        <x:v>4043.1607382226243</x:v>
      </x:c>
      <x:c r="U1238" s="78" t="n">
        <x:f>O1238+S1238*(1-'Inputs'!$B$17)</x:f>
        <x:v>2322057.834490384</x:v>
      </x:c>
      <x:c r="V1238" s="78" t="n">
        <x:f>P1238-T1238</x:f>
        <x:v>24081.680643567637</x:v>
      </x:c>
      <x:c r="W1238" s="79" t="n">
        <x:f>IF(U1238&gt;0,V1238/U1238,0)</x:f>
        <x:v>0.01037083585338553</x:v>
      </x:c>
      <x:c r="X1238" s="80" t="n">
        <x:f>W1238*('Inputs'!$B$6-AC1238)</x:f>
        <x:v>10348001.863049602</x:v>
      </x:c>
      <x:c r="Y1238" s="80" t="n">
        <x:f>2*V1238</x:f>
        <x:v>48163.361287135274</x:v>
      </x:c>
      <x:c r="Z1238" s="80" t="n">
        <x:f>K1238*'Inputs'!$B$16+(G1238+R1238)*J1238*'Inputs'!$B$16</x:f>
        <x:v>516.9259580291041</x:v>
      </x:c>
      <x:c r="AA1238" s="80" t="n">
        <x:f>K1238*(1+'Inputs'!$E$47)/2*'Inputs'!$B$17</x:f>
        <x:v>174.6672538090191</x:v>
      </x:c>
      <x:c r="AB1238" s="78" t="n">
        <x:f>(IF(J1238&gt;0,K1238*(1-'Inputs'!$E$47)/2/J1238,0)+G1238+R1238)*'Inputs'!$B$17</x:f>
        <x:v>16661.179205578843</x:v>
      </x:c>
      <x:c r="AC1238" s="78" t="n">
        <x:f>AC1237+AB1238</x:f>
        <x:v>2201750.2406495977</x:v>
      </x:c>
      <x:c r="AD1238" s="80" t="n">
        <x:f>Z1238/(1+'Inputs'!$C$47)</x:f>
        <x:v>206.77038321164164</x:v>
      </x:c>
      <x:c r="AE1238" s="80" t="n">
        <x:f>Z1238-AD1238</x:f>
        <x:v>310.1555748174625</x:v>
      </x:c>
      <x:c r="AF1238" s="80" t="n">
        <x:f>D1238*W1238</x:f>
        <x:v>2962.9496521195797</x:v>
      </x:c>
      <x:c r="AG1238" s="80" t="n">
        <x:f>C1238*W1238</x:f>
        <x:v>6913.549188278967</x:v>
      </x:c>
      <x:c r="AH1238" s="80" t="n">
        <x:f>2*'Inputs'!$B$8*'Inputs'!$C$47</x:f>
        <x:v>7500</x:v>
      </x:c>
      <x:c r="AI1238" s="81" t="n">
        <x:f>IF(AH1238&gt;0,(AE1238+AF1238)/AH1238*365,0)</x:f>
        <x:v>159.2911210442694</x:v>
      </x:c>
      <x:c r="AJ1238" s="81" t="n">
        <x:f>IF('Inputs'!$B$47&gt;0,AG1238/('Inputs'!$B$19*'Inputs'!$B$47)*365,0)</x:f>
        <x:v>252.34454537218232</x:v>
      </x:c>
      <x:c r="AK1238" s="81" t="n">
        <x:f>W1238/MAX($W$1099:W1238)-1</x:f>
        <x:v>-0.5319932148580137</x:v>
      </x:c>
      <x:c r="AL1238" s="83" t="n">
        <x:f>'Inputs'!$B$47</x:f>
        <x:v>1</x:v>
      </x:c>
      <x:c r="AM1238" s="83" t="n">
        <x:f>'Inputs'!$C$47</x:f>
        <x:v>1.5</x:v>
      </x:c>
      <x:c r="AN1238" s="83" t="n">
        <x:f>'Inputs'!$D$47</x:f>
        <x:v>1.5</x:v>
      </x:c>
      <x:c r="AO1238" s="81" t="n">
        <x:f>'Inputs'!$E$47</x:f>
        <x:v>0.05</x:v>
      </x:c>
    </x:row>
    <x:row r="1239">
      <x:c r="A1239" s="59" t="str">
        <x:v>Growth</x:v>
      </x:c>
      <x:c r="B1239" s="59" t="n">
        <x:v>141</x:v>
      </x:c>
      <x:c r="C1239" s="78" t="n">
        <x:f>(('Inputs'!$B$29*(3*141*'Inputs'!$B$12-141^2)/(2*'Inputs'!$B$12^2))-('Inputs'!$B$29*(3*140*'Inputs'!$B$12-140^2)/(2*'Inputs'!$B$12^2)))*'Inputs'!$B$47</x:f>
        <x:v>666308.6413961351</x:v>
      </x:c>
      <x:c r="D1239" s="78" t="n">
        <x:f>IF('Inputs'!$C$47&gt;0,('Inputs'!$B$30*(3*141*'Inputs'!$B$12-141^2)/(2*'Inputs'!$B$12^2))-('Inputs'!$B$30*(3*140*'Inputs'!$B$12-140^2)/(2*'Inputs'!$B$12^2)),0)</x:f>
        <x:v>285560.8463126272</x:v>
      </x:c>
      <x:c r="E1239" s="78" t="n">
        <x:f>C1239+D1239</x:f>
        <x:v>951869.4877087623</x:v>
      </x:c>
      <x:c r="F1239" s="78" t="n">
        <x:f>'Inputs'!$B$13*E1239+(1-'Inputs'!$B$13)/'Inputs'!$B$14*SUM(E1184:E1239)</x:f>
        <x:v>962087.164571214</x:v>
      </x:c>
      <x:c r="G1239" s="78" t="n">
        <x:f>F1239*'Inputs'!$F$47</x:f>
        <x:v>336730.50759992487</x:v>
      </x:c>
      <x:c r="H1239" s="78" t="n">
        <x:f>U1238</x:f>
        <x:v>2322057.834490384</x:v>
      </x:c>
      <x:c r="I1239" s="78" t="n">
        <x:f>V1238</x:f>
        <x:v>24081.680643567637</x:v>
      </x:c>
      <x:c r="J1239" s="79" t="n">
        <x:f>IF(H1239&gt;0,I1239/H1239,0)</x:f>
        <x:v>0.01037083585338553</x:v>
      </x:c>
      <x:c r="K1239" s="80" t="n">
        <x:f>(H1239*J1239+I1239)*'Inputs'!$D$47*(1+'Inputs'!$G$47)^(B1239/30)</x:f>
        <x:v>83012.40640426824</x:v>
      </x:c>
      <x:c r="L1239" s="80" t="n">
        <x:f>MAX(0,K1239*'Inputs'!$E$47)</x:f>
        <x:v>4150.620320213412</x:v>
      </x:c>
      <x:c r="M1239" s="80" t="n">
        <x:f>MAX(0,-K1239*'Inputs'!$E$47)</x:f>
        <x:v>0</x:v>
      </x:c>
      <x:c r="N1239" s="78" t="n">
        <x:f>H1239*(L1239*(1-'Inputs'!$B$15))/(I1239+L1239*(1-'Inputs'!$B$15))</x:f>
        <x:v>338465.11633519945</x:v>
      </x:c>
      <x:c r="O1239" s="78" t="n">
        <x:f>H1239-N1239</x:f>
        <x:v>1983592.7181551845</x:v>
      </x:c>
      <x:c r="P1239" s="78" t="n">
        <x:f>I1239+L1239*(1-'Inputs'!$B$17)</x:f>
        <x:v>28215.598266315403</x:v>
      </x:c>
      <x:c r="Q1239" s="78" t="n">
        <x:f>IF(J1239&gt;0,M1239/J1239,0)</x:f>
        <x:v>0</x:v>
      </x:c>
      <x:c r="R1239" s="78" t="n">
        <x:f>IF(B1239='Inputs'!$H$47,'Inputs'!$B$27*'Inputs'!$I$47,0)</x:f>
        <x:v>0</x:v>
      </x:c>
      <x:c r="S1239" s="78" t="n">
        <x:f>Q1239+G1239+R1239</x:f>
        <x:v>336730.50759992487</x:v>
      </x:c>
      <x:c r="T1239" s="78" t="n">
        <x:f>P1239*(S1239*(1-'Inputs'!$B$15))/(O1239+S1239*(1-'Inputs'!$B$15))</x:f>
        <x:v>4059.655220557875</x:v>
      </x:c>
      <x:c r="U1239" s="78" t="n">
        <x:f>O1239+S1239*(1-'Inputs'!$B$17)</x:f>
        <x:v>2318968.173410643</x:v>
      </x:c>
      <x:c r="V1239" s="78" t="n">
        <x:f>P1239-T1239</x:f>
        <x:v>24155.94304575753</x:v>
      </x:c>
      <x:c r="W1239" s="79" t="n">
        <x:f>IF(U1239&gt;0,V1239/U1239,0)</x:f>
        <x:v>0.010416677263073413</x:v>
      </x:c>
      <x:c r="X1239" s="80" t="n">
        <x:f>W1239*('Inputs'!$B$6-AC1239)</x:f>
        <x:v>10393568.849252112</x:v>
      </x:c>
      <x:c r="Y1239" s="80" t="n">
        <x:f>2*V1239</x:f>
        <x:v>48311.88609151506</x:v>
      </x:c>
      <x:c r="Z1239" s="80" t="n">
        <x:f>K1239*'Inputs'!$B$16+(G1239+R1239)*J1239*'Inputs'!$B$16</x:f>
        <x:v>519.0274993524855</x:v>
      </x:c>
      <x:c r="AA1239" s="80" t="n">
        <x:f>K1239*(1+'Inputs'!$E$47)/2*'Inputs'!$B$17</x:f>
        <x:v>175.37832338929914</x:v>
      </x:c>
      <x:c r="AB1239" s="78" t="n">
        <x:f>(IF(J1239&gt;0,K1239*(1-'Inputs'!$E$47)/2/J1239,0)+G1239+R1239)*'Inputs'!$B$17</x:f>
        <x:v>16655.22951117504</x:v>
      </x:c>
      <x:c r="AC1239" s="78" t="n">
        <x:f>AC1238+AB1239</x:f>
        <x:v>2218405.4701607726</x:v>
      </x:c>
      <x:c r="AD1239" s="80" t="n">
        <x:f>Z1239/(1+'Inputs'!$C$47)</x:f>
        <x:v>207.6109997409942</x:v>
      </x:c>
      <x:c r="AE1239" s="80" t="n">
        <x:f>Z1239-AD1239</x:f>
        <x:v>311.4164996114913</x:v>
      </x:c>
      <x:c r="AF1239" s="80" t="n">
        <x:f>D1239*W1239</x:f>
        <x:v>2974.595175008745</x:v>
      </x:c>
      <x:c r="AG1239" s="80" t="n">
        <x:f>C1239*W1239</x:f>
        <x:v>6940.722075020457</x:v>
      </x:c>
      <x:c r="AH1239" s="80" t="n">
        <x:f>2*'Inputs'!$B$8*'Inputs'!$C$47</x:f>
        <x:v>7500</x:v>
      </x:c>
      <x:c r="AI1239" s="81" t="n">
        <x:f>IF(AH1239&gt;0,(AE1239+AF1239)/AH1239*365,0)</x:f>
        <x:v>159.9192348315182</x:v>
      </x:c>
      <x:c r="AJ1239" s="81" t="n">
        <x:f>IF('Inputs'!$B$47&gt;0,AG1239/('Inputs'!$B$19*'Inputs'!$B$47)*365,0)</x:f>
        <x:v>253.33635573824668</x:v>
      </x:c>
      <x:c r="AK1239" s="81" t="n">
        <x:f>W1239/MAX($W$1099:W1239)-1</x:f>
        <x:v>-0.5299245203884739</x:v>
      </x:c>
      <x:c r="AL1239" s="83" t="n">
        <x:f>'Inputs'!$B$47</x:f>
        <x:v>1</x:v>
      </x:c>
      <x:c r="AM1239" s="83" t="n">
        <x:f>'Inputs'!$C$47</x:f>
        <x:v>1.5</x:v>
      </x:c>
      <x:c r="AN1239" s="83" t="n">
        <x:f>'Inputs'!$D$47</x:f>
        <x:v>1.5</x:v>
      </x:c>
      <x:c r="AO1239" s="81" t="n">
        <x:f>'Inputs'!$E$47</x:f>
        <x:v>0.05</x:v>
      </x:c>
    </x:row>
    <x:row r="1240">
      <x:c r="A1240" s="59" t="str">
        <x:v>Growth</x:v>
      </x:c>
      <x:c r="B1240" s="59" t="n">
        <x:v>142</x:v>
      </x:c>
      <x:c r="C1240" s="78" t="n">
        <x:f>(('Inputs'!$B$29*(3*142*'Inputs'!$B$12-142^2)/(2*'Inputs'!$B$12^2))-('Inputs'!$B$29*(3*141*'Inputs'!$B$12-141^2)/(2*'Inputs'!$B$12^2)))*'Inputs'!$B$47</x:f>
        <x:v>665983.5334959626</x:v>
      </x:c>
      <x:c r="D1240" s="78" t="n">
        <x:f>IF('Inputs'!$C$47&gt;0,('Inputs'!$B$30*(3*142*'Inputs'!$B$12-142^2)/(2*'Inputs'!$B$12^2))-('Inputs'!$B$30*(3*141*'Inputs'!$B$12-141^2)/(2*'Inputs'!$B$12^2)),0)</x:f>
        <x:v>285421.5143554136</x:v>
      </x:c>
      <x:c r="E1240" s="78" t="n">
        <x:f>C1240+D1240</x:f>
        <x:v>951405.0478513762</x:v>
      </x:c>
      <x:c r="F1240" s="78" t="n">
        <x:f>'Inputs'!$B$13*E1240+(1-'Inputs'!$B$13)/'Inputs'!$B$14*SUM(E1185:E1240)</x:f>
        <x:v>961622.7247138293</x:v>
      </x:c>
      <x:c r="G1240" s="78" t="n">
        <x:f>F1240*'Inputs'!$F$47</x:f>
        <x:v>336567.95364984026</x:v>
      </x:c>
      <x:c r="H1240" s="78" t="n">
        <x:f>U1239</x:f>
        <x:v>2318968.173410643</x:v>
      </x:c>
      <x:c r="I1240" s="78" t="n">
        <x:f>V1239</x:f>
        <x:v>24155.94304575753</x:v>
      </x:c>
      <x:c r="J1240" s="79" t="n">
        <x:f>IF(H1240&gt;0,I1240/H1240,0)</x:f>
        <x:v>0.010416677263073413</x:v>
      </x:c>
      <x:c r="K1240" s="80" t="n">
        <x:f>(H1240*J1240+I1240)*'Inputs'!$D$47*(1+'Inputs'!$G$47)^(B1240/30)</x:f>
        <x:v>83350.48193855707</x:v>
      </x:c>
      <x:c r="L1240" s="80" t="n">
        <x:f>MAX(0,K1240*'Inputs'!$E$47)</x:f>
        <x:v>4167.524096927854</x:v>
      </x:c>
      <x:c r="M1240" s="80" t="n">
        <x:f>MAX(0,-K1240*'Inputs'!$E$47)</x:f>
        <x:v>0</x:v>
      </x:c>
      <x:c r="N1240" s="78" t="n">
        <x:f>H1240*(L1240*(1-'Inputs'!$B$15))/(I1240+L1240*(1-'Inputs'!$B$15))</x:f>
        <x:v>338299.36301490467</x:v>
      </x:c>
      <x:c r="O1240" s="78" t="n">
        <x:f>H1240-N1240</x:f>
        <x:v>1980668.810395738</x:v>
      </x:c>
      <x:c r="P1240" s="78" t="n">
        <x:f>I1240+L1240*(1-'Inputs'!$B$17)</x:f>
        <x:v>28306.6964219734</x:v>
      </x:c>
      <x:c r="Q1240" s="78" t="n">
        <x:f>IF(J1240&gt;0,M1240/J1240,0)</x:f>
        <x:v>0</x:v>
      </x:c>
      <x:c r="R1240" s="78" t="n">
        <x:f>IF(B1240='Inputs'!$H$47,'Inputs'!$B$27*'Inputs'!$I$47,0)</x:f>
        <x:v>0</x:v>
      </x:c>
      <x:c r="S1240" s="78" t="n">
        <x:f>Q1240+G1240+R1240</x:f>
        <x:v>336567.95364984026</x:v>
      </x:c>
      <x:c r="T1240" s="78" t="n">
        <x:f>P1240*(S1240*(1-'Inputs'!$B$15))/(O1240+S1240*(1-'Inputs'!$B$15))</x:f>
        <x:v>4076.223469657401</x:v>
      </x:c>
      <x:c r="U1240" s="78" t="n">
        <x:f>O1240+S1240*(1-'Inputs'!$B$17)</x:f>
        <x:v>2315882.365841756</x:v>
      </x:c>
      <x:c r="V1240" s="78" t="n">
        <x:f>P1240-T1240</x:f>
        <x:v>24230.472952316</x:v>
      </x:c>
      <x:c r="W1240" s="79" t="n">
        <x:f>IF(U1240&gt;0,V1240/U1240,0)</x:f>
        <x:v>0.010462739088005848</x:v>
      </x:c>
      <x:c r="X1240" s="80" t="n">
        <x:f>W1240*('Inputs'!$B$6-AC1240)</x:f>
        <x:v>10439354.293308195</x:v>
      </x:c>
      <x:c r="Y1240" s="80" t="n">
        <x:f>2*V1240</x:f>
        <x:v>48460.945904632</x:v>
      </x:c>
      <x:c r="Z1240" s="80" t="n">
        <x:f>K1240*'Inputs'!$B$16+(G1240+R1240)*J1240*'Inputs'!$B$16</x:f>
        <x:v>521.1384101329231</x:v>
      </x:c>
      <x:c r="AA1240" s="80" t="n">
        <x:f>K1240*(1+'Inputs'!$E$47)/2*'Inputs'!$B$17</x:f>
        <x:v>176.0925674758248</x:v>
      </x:c>
      <x:c r="AB1240" s="78" t="n">
        <x:f>(IF(J1240&gt;0,K1240*(1-'Inputs'!$E$47)/2/J1240,0)+G1240+R1240)*'Inputs'!$B$17</x:f>
        <x:v>16649.279934355436</x:v>
      </x:c>
      <x:c r="AC1240" s="78" t="n">
        <x:f>AC1239+AB1240</x:f>
        <x:v>2235054.750095128</x:v>
      </x:c>
      <x:c r="AD1240" s="80" t="n">
        <x:f>Z1240/(1+'Inputs'!$C$47)</x:f>
        <x:v>208.45536405316926</x:v>
      </x:c>
      <x:c r="AE1240" s="80" t="n">
        <x:f>Z1240-AD1240</x:f>
        <x:v>312.68304607975386</x:v>
      </x:c>
      <x:c r="AF1240" s="80" t="n">
        <x:f>D1240*W1240</x:f>
        <x:v>2986.2908348042083</x:v>
      </x:c>
      <x:c r="AG1240" s="80" t="n">
        <x:f>C1240*W1240</x:f>
        <x:v>6968.01194787646</x:v>
      </x:c>
      <x:c r="AH1240" s="80" t="n">
        <x:f>2*'Inputs'!$B$8*'Inputs'!$C$47</x:f>
        <x:v>7500</x:v>
      </x:c>
      <x:c r="AI1240" s="81" t="n">
        <x:f>IF(AH1240&gt;0,(AE1240+AF1240)/AH1240*365,0)</x:f>
        <x:v>160.5500622030195</x:v>
      </x:c>
      <x:c r="AJ1240" s="81" t="n">
        <x:f>IF('Inputs'!$B$47&gt;0,AG1240/('Inputs'!$B$19*'Inputs'!$B$47)*365,0)</x:f>
        <x:v>254.33243609749078</x:v>
      </x:c>
      <x:c r="AK1240" s="81" t="n">
        <x:f>W1240/MAX($W$1099:W1240)-1</x:f>
        <x:v>-0.5278458791960802</x:v>
      </x:c>
      <x:c r="AL1240" s="83" t="n">
        <x:f>'Inputs'!$B$47</x:f>
        <x:v>1</x:v>
      </x:c>
      <x:c r="AM1240" s="83" t="n">
        <x:f>'Inputs'!$C$47</x:f>
        <x:v>1.5</x:v>
      </x:c>
      <x:c r="AN1240" s="83" t="n">
        <x:f>'Inputs'!$D$47</x:f>
        <x:v>1.5</x:v>
      </x:c>
      <x:c r="AO1240" s="81" t="n">
        <x:f>'Inputs'!$E$47</x:f>
        <x:v>0.05</x:v>
      </x:c>
    </x:row>
    <x:row r="1241">
      <x:c r="A1241" s="59" t="str">
        <x:v>Growth</x:v>
      </x:c>
      <x:c r="B1241" s="59" t="n">
        <x:v>143</x:v>
      </x:c>
      <x:c r="C1241" s="78" t="n">
        <x:f>(('Inputs'!$B$29*(3*143*'Inputs'!$B$12-143^2)/(2*'Inputs'!$B$12^2))-('Inputs'!$B$29*(3*142*'Inputs'!$B$12-142^2)/(2*'Inputs'!$B$12^2)))*'Inputs'!$B$47</x:f>
        <x:v>665658.4255957901</x:v>
      </x:c>
      <x:c r="D1241" s="78" t="n">
        <x:f>IF('Inputs'!$C$47&gt;0,('Inputs'!$B$30*(3*143*'Inputs'!$B$12-143^2)/(2*'Inputs'!$B$12^2))-('Inputs'!$B$30*(3*142*'Inputs'!$B$12-142^2)/(2*'Inputs'!$B$12^2)),0)</x:f>
        <x:v>285282.18239820004</x:v>
      </x:c>
      <x:c r="E1241" s="78" t="n">
        <x:f>C1241+D1241</x:f>
        <x:v>950940.6079939902</x:v>
      </x:c>
      <x:c r="F1241" s="78" t="n">
        <x:f>'Inputs'!$B$13*E1241+(1-'Inputs'!$B$13)/'Inputs'!$B$14*SUM(E1186:E1241)</x:f>
        <x:v>961158.2848564449</x:v>
      </x:c>
      <x:c r="G1241" s="78" t="n">
        <x:f>F1241*'Inputs'!$F$47</x:f>
        <x:v>336405.3996997557</x:v>
      </x:c>
      <x:c r="H1241" s="78" t="n">
        <x:f>U1240</x:f>
        <x:v>2315882.365841756</x:v>
      </x:c>
      <x:c r="I1241" s="78" t="n">
        <x:f>V1240</x:f>
        <x:v>24230.472952316</x:v>
      </x:c>
      <x:c r="J1241" s="79" t="n">
        <x:f>IF(H1241&gt;0,I1241/H1241,0)</x:f>
        <x:v>0.010462739088005848</x:v>
      </x:c>
      <x:c r="K1241" s="80" t="n">
        <x:f>(H1241*J1241+I1241)*'Inputs'!$D$47*(1+'Inputs'!$G$47)^(B1241/30)</x:f>
        <x:v>83690.06727835894</x:v>
      </x:c>
      <x:c r="L1241" s="80" t="n">
        <x:f>MAX(0,K1241*'Inputs'!$E$47)</x:f>
        <x:v>4184.503363917947</x:v>
      </x:c>
      <x:c r="M1241" s="80" t="n">
        <x:f>MAX(0,-K1241*'Inputs'!$E$47)</x:f>
        <x:v>0</x:v>
      </x:c>
      <x:c r="N1241" s="78" t="n">
        <x:f>H1241*(L1241*(1-'Inputs'!$B$15))/(I1241+L1241*(1-'Inputs'!$B$15))</x:f>
        <x:v>338133.61236887326</x:v>
      </x:c>
      <x:c r="O1241" s="78" t="n">
        <x:f>H1241-N1241</x:f>
        <x:v>1977748.7534728828</x:v>
      </x:c>
      <x:c r="P1241" s="78" t="n">
        <x:f>I1241+L1241*(1-'Inputs'!$B$17)</x:f>
        <x:v>28398.13726849182</x:v>
      </x:c>
      <x:c r="Q1241" s="78" t="n">
        <x:f>IF(J1241&gt;0,M1241/J1241,0)</x:f>
        <x:v>0</x:v>
      </x:c>
      <x:c r="R1241" s="78" t="n">
        <x:f>IF(B1241='Inputs'!$H$47,'Inputs'!$B$27*'Inputs'!$I$47,0)</x:f>
        <x:v>0</x:v>
      </x:c>
      <x:c r="S1241" s="78" t="n">
        <x:f>Q1241+G1241+R1241</x:f>
        <x:v>336405.3996997557</x:v>
      </x:c>
      <x:c r="T1241" s="78" t="n">
        <x:f>P1241*(S1241*(1-'Inputs'!$B$15))/(O1241+S1241*(1-'Inputs'!$B$15))</x:f>
        <x:v>4092.865836115602</x:v>
      </x:c>
      <x:c r="U1241" s="78" t="n">
        <x:f>O1241+S1241*(1-'Inputs'!$B$17)</x:f>
        <x:v>2312800.40910946</x:v>
      </x:c>
      <x:c r="V1241" s="78" t="n">
        <x:f>P1241-T1241</x:f>
        <x:v>24305.27143237622</x:v>
      </x:c>
      <x:c r="W1241" s="79" t="n">
        <x:f>IF(U1241&gt;0,V1241/U1241,0)</x:f>
        <x:v>0.010509022454615926</x:v>
      </x:c>
      <x:c r="X1241" s="80" t="n">
        <x:f>W1241*('Inputs'!$B$6-AC1241)</x:f>
        <x:v>10485359.308926038</x:v>
      </x:c>
      <x:c r="Y1241" s="80" t="n">
        <x:f>2*V1241</x:f>
        <x:v>48610.54286475244</x:v>
      </x:c>
      <x:c r="Z1241" s="80" t="n">
        <x:f>K1241*'Inputs'!$B$16+(G1241+R1241)*J1241*'Inputs'!$B$16</x:f>
        <x:v>523.2587352192828</x:v>
      </x:c>
      <x:c r="AA1241" s="80" t="n">
        <x:f>K1241*(1+'Inputs'!$E$47)/2*'Inputs'!$B$17</x:f>
        <x:v>176.81000129230762</x:v>
      </x:c>
      <x:c r="AB1241" s="78" t="n">
        <x:f>(IF(J1241&gt;0,K1241*(1-'Inputs'!$E$47)/2/J1241,0)+G1241+R1241)*'Inputs'!$B$17</x:f>
        <x:v>16643.33049027047</x:v>
      </x:c>
      <x:c r="AC1241" s="78" t="n">
        <x:f>AC1240+AB1241</x:f>
        <x:v>2251698.0805853987</x:v>
      </x:c>
      <x:c r="AD1241" s="80" t="n">
        <x:f>Z1241/(1+'Inputs'!$C$47)</x:f>
        <x:v>209.30349408771312</x:v>
      </x:c>
      <x:c r="AE1241" s="80" t="n">
        <x:f>Z1241-AD1241</x:f>
        <x:v>313.95524113156966</x:v>
      </x:c>
      <x:c r="AF1241" s="80" t="n">
        <x:f>D1241*W1241</x:f>
        <x:v>2998.0368607245205</x:v>
      </x:c>
      <x:c r="AG1241" s="80" t="n">
        <x:f>C1241*W1241</x:f>
        <x:v>6995.419341690444</x:v>
      </x:c>
      <x:c r="AH1241" s="80" t="n">
        <x:f>2*'Inputs'!$B$8*'Inputs'!$C$47</x:f>
        <x:v>7500</x:v>
      </x:c>
      <x:c r="AI1241" s="81" t="n">
        <x:f>IF(AH1241&gt;0,(AE1241+AF1241)/AH1241*365,0)</x:f>
        <x:v>161.18361562366303</x:v>
      </x:c>
      <x:c r="AJ1241" s="81" t="n">
        <x:f>IF('Inputs'!$B$47&gt;0,AG1241/('Inputs'!$B$19*'Inputs'!$B$47)*365,0)</x:f>
        <x:v>255.33280597170116</x:v>
      </x:c>
      <x:c r="AK1241" s="81" t="n">
        <x:f>W1241/MAX($W$1099:W1241)-1</x:f>
        <x:v>-0.5257572404480606</x:v>
      </x:c>
      <x:c r="AL1241" s="83" t="n">
        <x:f>'Inputs'!$B$47</x:f>
        <x:v>1</x:v>
      </x:c>
      <x:c r="AM1241" s="83" t="n">
        <x:f>'Inputs'!$C$47</x:f>
        <x:v>1.5</x:v>
      </x:c>
      <x:c r="AN1241" s="83" t="n">
        <x:f>'Inputs'!$D$47</x:f>
        <x:v>1.5</x:v>
      </x:c>
      <x:c r="AO1241" s="81" t="n">
        <x:f>'Inputs'!$E$47</x:f>
        <x:v>0.05</x:v>
      </x:c>
    </x:row>
    <x:row r="1242">
      <x:c r="A1242" s="59" t="str">
        <x:v>Growth</x:v>
      </x:c>
      <x:c r="B1242" s="59" t="n">
        <x:v>144</x:v>
      </x:c>
      <x:c r="C1242" s="78" t="n">
        <x:f>(('Inputs'!$B$29*(3*144*'Inputs'!$B$12-144^2)/(2*'Inputs'!$B$12^2))-('Inputs'!$B$29*(3*143*'Inputs'!$B$12-143^2)/(2*'Inputs'!$B$12^2)))*'Inputs'!$B$47</x:f>
        <x:v>665333.3176956326</x:v>
      </x:c>
      <x:c r="D1242" s="78" t="n">
        <x:f>IF('Inputs'!$C$47&gt;0,('Inputs'!$B$30*(3*144*'Inputs'!$B$12-144^2)/(2*'Inputs'!$B$12^2))-('Inputs'!$B$30*(3*143*'Inputs'!$B$12-143^2)/(2*'Inputs'!$B$12^2)),0)</x:f>
        <x:v>285142.85044098645</x:v>
      </x:c>
      <x:c r="E1242" s="78" t="n">
        <x:f>C1242+D1242</x:f>
        <x:v>950476.168136619</x:v>
      </x:c>
      <x:c r="F1242" s="78" t="n">
        <x:f>'Inputs'!$B$13*E1242+(1-'Inputs'!$B$13)/'Inputs'!$B$14*SUM(E1187:E1242)</x:f>
        <x:v>960693.8449990635</x:v>
      </x:c>
      <x:c r="G1242" s="78" t="n">
        <x:f>F1242*'Inputs'!$F$47</x:f>
        <x:v>336242.8457496722</x:v>
      </x:c>
      <x:c r="H1242" s="78" t="n">
        <x:f>U1241</x:f>
        <x:v>2312800.40910946</x:v>
      </x:c>
      <x:c r="I1242" s="78" t="n">
        <x:f>V1241</x:f>
        <x:v>24305.27143237622</x:v>
      </x:c>
      <x:c r="J1242" s="79" t="n">
        <x:f>IF(H1242&gt;0,I1242/H1242,0)</x:f>
        <x:v>0.010509022454615926</x:v>
      </x:c>
      <x:c r="K1242" s="80" t="n">
        <x:f>(H1242*J1242+I1242)*'Inputs'!$D$47*(1+'Inputs'!$G$47)^(B1242/30)</x:f>
        <x:v>84031.1696789518</x:v>
      </x:c>
      <x:c r="L1242" s="80" t="n">
        <x:f>MAX(0,K1242*'Inputs'!$E$47)</x:f>
        <x:v>4201.5584839475905</x:v>
      </x:c>
      <x:c r="M1242" s="80" t="n">
        <x:f>MAX(0,-K1242*'Inputs'!$E$47)</x:f>
        <x:v>0</x:v>
      </x:c>
      <x:c r="N1242" s="78" t="n">
        <x:f>H1242*(L1242*(1-'Inputs'!$B$15))/(I1242+L1242*(1-'Inputs'!$B$15))</x:f>
        <x:v>337967.86470252514</x:v>
      </x:c>
      <x:c r="O1242" s="78" t="n">
        <x:f>H1242-N1242</x:f>
        <x:v>1974832.544406935</x:v>
      </x:c>
      <x:c r="P1242" s="78" t="n">
        <x:f>I1242+L1242*(1-'Inputs'!$B$17)</x:f>
        <x:v>28489.922236307924</x:v>
      </x:c>
      <x:c r="Q1242" s="78" t="n">
        <x:f>IF(J1242&gt;0,M1242/J1242,0)</x:f>
        <x:v>0</x:v>
      </x:c>
      <x:c r="R1242" s="78" t="n">
        <x:f>IF(B1242='Inputs'!$H$47,'Inputs'!$B$27*'Inputs'!$I$47,0)</x:f>
        <x:v>0</x:v>
      </x:c>
      <x:c r="S1242" s="78" t="n">
        <x:f>Q1242+G1242+R1242</x:f>
        <x:v>336242.8457496722</x:v>
      </x:c>
      <x:c r="T1242" s="78" t="n">
        <x:f>P1242*(S1242*(1-'Inputs'!$B$15))/(O1242+S1242*(1-'Inputs'!$B$15))</x:f>
        <x:v>4109.582673427971</x:v>
      </x:c>
      <x:c r="U1242" s="78" t="n">
        <x:f>O1242+S1242*(1-'Inputs'!$B$17)</x:f>
        <x:v>2309722.3002340733</x:v>
      </x:c>
      <x:c r="V1242" s="78" t="n">
        <x:f>P1242-T1242</x:f>
        <x:v>24380.339562879955</x:v>
      </x:c>
      <x:c r="W1242" s="79" t="n">
        <x:f>IF(U1242&gt;0,V1242/U1242,0)</x:f>
        <x:v>0.01055552849812689</x:v>
      </x:c>
      <x:c r="X1242" s="80" t="n">
        <x:f>W1242*('Inputs'!$B$6-AC1242)</x:f>
        <x:v>10531585.01851679</x:v>
      </x:c>
      <x:c r="Y1242" s="80" t="n">
        <x:f>2*V1242</x:f>
        <x:v>48760.67912575991</x:v>
      </x:c>
      <x:c r="Z1242" s="80" t="n">
        <x:f>K1242*'Inputs'!$B$16+(G1242+R1242)*J1242*'Inputs'!$B$16</x:f>
        <x:v>525.3885197708344</x:v>
      </x:c>
      <x:c r="AA1242" s="80" t="n">
        <x:f>K1242*(1+'Inputs'!$E$47)/2*'Inputs'!$B$17</x:f>
        <x:v>177.5306401667996</x:v>
      </x:c>
      <x:c r="AB1242" s="78" t="n">
        <x:f>(IF(J1242&gt;0,K1242*(1-'Inputs'!$E$47)/2/J1242,0)+G1242+R1242)*'Inputs'!$B$17</x:f>
        <x:v>16637.38119173398</x:v>
      </x:c>
      <x:c r="AC1242" s="78" t="n">
        <x:f>AC1241+AB1242</x:f>
        <x:v>2268335.4617771325</x:v>
      </x:c>
      <x:c r="AD1242" s="80" t="n">
        <x:f>Z1242/(1+'Inputs'!$C$47)</x:f>
        <x:v>210.15540790833376</x:v>
      </x:c>
      <x:c r="AE1242" s="80" t="n">
        <x:f>Z1242-AD1242</x:f>
        <x:v>315.2331118625006</x:v>
      </x:c>
      <x:c r="AF1242" s="80" t="n">
        <x:f>D1242*W1242</x:f>
        <x:v>3009.833483866966</x:v>
      </x:c>
      <x:c r="AG1242" s="80" t="n">
        <x:f>C1242*W1242</x:f>
        <x:v>7022.944795689562</x:v>
      </x:c>
      <x:c r="AH1242" s="80" t="n">
        <x:f>2*'Inputs'!$B$8*'Inputs'!$C$47</x:f>
        <x:v>7500</x:v>
      </x:c>
      <x:c r="AI1242" s="81" t="n">
        <x:f>IF(AH1242&gt;0,(AE1242+AF1242)/AH1242*365,0)</x:f>
        <x:v>161.81990765883407</x:v>
      </x:c>
      <x:c r="AJ1242" s="81" t="n">
        <x:f>IF('Inputs'!$B$47&gt;0,AG1242/('Inputs'!$B$19*'Inputs'!$B$47)*365,0)</x:f>
        <x:v>256.337485042669</x:v>
      </x:c>
      <x:c r="AK1242" s="81" t="n">
        <x:f>W1242/MAX($W$1099:W1242)-1</x:f>
        <x:v>-0.5236585529149691</x:v>
      </x:c>
      <x:c r="AL1242" s="83" t="n">
        <x:f>'Inputs'!$B$47</x:f>
        <x:v>1</x:v>
      </x:c>
      <x:c r="AM1242" s="83" t="n">
        <x:f>'Inputs'!$C$47</x:f>
        <x:v>1.5</x:v>
      </x:c>
      <x:c r="AN1242" s="83" t="n">
        <x:f>'Inputs'!$D$47</x:f>
        <x:v>1.5</x:v>
      </x:c>
      <x:c r="AO1242" s="81" t="n">
        <x:f>'Inputs'!$E$47</x:f>
        <x:v>0.05</x:v>
      </x:c>
    </x:row>
    <x:row r="1243">
      <x:c r="A1243" s="59" t="str">
        <x:v>Growth</x:v>
      </x:c>
      <x:c r="B1243" s="59" t="n">
        <x:v>145</x:v>
      </x:c>
      <x:c r="C1243" s="78" t="n">
        <x:f>(('Inputs'!$B$29*(3*145*'Inputs'!$B$12-145^2)/(2*'Inputs'!$B$12^2))-('Inputs'!$B$29*(3*144*'Inputs'!$B$12-144^2)/(2*'Inputs'!$B$12^2)))*'Inputs'!$B$47</x:f>
        <x:v>665008.2097954601</x:v>
      </x:c>
      <x:c r="D1243" s="78" t="n">
        <x:f>IF('Inputs'!$C$47&gt;0,('Inputs'!$B$30*(3*145*'Inputs'!$B$12-145^2)/(2*'Inputs'!$B$12^2))-('Inputs'!$B$30*(3*144*'Inputs'!$B$12-144^2)/(2*'Inputs'!$B$12^2)),0)</x:f>
        <x:v>285003.5184837654</x:v>
      </x:c>
      <x:c r="E1243" s="78" t="n">
        <x:f>C1243+D1243</x:f>
        <x:v>950011.7282792255</x:v>
      </x:c>
      <x:c r="F1243" s="78" t="n">
        <x:f>'Inputs'!$B$13*E1243+(1-'Inputs'!$B$13)/'Inputs'!$B$14*SUM(E1188:E1243)</x:f>
        <x:v>960229.4051416776</x:v>
      </x:c>
      <x:c r="G1243" s="78" t="n">
        <x:f>F1243*'Inputs'!$F$47</x:f>
        <x:v>336080.29179958714</x:v>
      </x:c>
      <x:c r="H1243" s="78" t="n">
        <x:f>U1242</x:f>
        <x:v>2309722.3002340733</x:v>
      </x:c>
      <x:c r="I1243" s="78" t="n">
        <x:f>V1242</x:f>
        <x:v>24380.339562879955</x:v>
      </x:c>
      <x:c r="J1243" s="79" t="n">
        <x:f>IF(H1243&gt;0,I1243/H1243,0)</x:f>
        <x:v>0.01055552849812689</x:v>
      </x:c>
      <x:c r="K1243" s="80" t="n">
        <x:f>(H1243*J1243+I1243)*'Inputs'!$D$47*(1+'Inputs'!$G$47)^(B1243/30)</x:f>
        <x:v>84373.7964436596</x:v>
      </x:c>
      <x:c r="L1243" s="80" t="n">
        <x:f>MAX(0,K1243*'Inputs'!$E$47)</x:f>
        <x:v>4218.68982218298</x:v>
      </x:c>
      <x:c r="M1243" s="80" t="n">
        <x:f>MAX(0,-K1243*'Inputs'!$E$47)</x:f>
        <x:v>0</x:v>
      </x:c>
      <x:c r="N1243" s="78" t="n">
        <x:f>H1243*(L1243*(1-'Inputs'!$B$15))/(I1243+L1243*(1-'Inputs'!$B$15))</x:f>
        <x:v>337802.1202768122</x:v>
      </x:c>
      <x:c r="O1243" s="78" t="n">
        <x:f>H1243-N1243</x:f>
        <x:v>1971920.179957261</x:v>
      </x:c>
      <x:c r="P1243" s="78" t="n">
        <x:f>I1243+L1243*(1-'Inputs'!$B$17)</x:f>
        <x:v>28582.052766060187</x:v>
      </x:c>
      <x:c r="Q1243" s="78" t="n">
        <x:f>IF(J1243&gt;0,M1243/J1243,0)</x:f>
        <x:v>0</x:v>
      </x:c>
      <x:c r="R1243" s="78" t="n">
        <x:f>IF(B1243='Inputs'!$H$47,'Inputs'!$B$27*'Inputs'!$I$47,0)</x:f>
        <x:v>0</x:v>
      </x:c>
      <x:c r="S1243" s="78" t="n">
        <x:f>Q1243+G1243+R1243</x:f>
        <x:v>336080.29179958714</x:v>
      </x:c>
      <x:c r="T1243" s="78" t="n">
        <x:f>P1243*(S1243*(1-'Inputs'!$B$15))/(O1243+S1243*(1-'Inputs'!$B$15))</x:f>
        <x:v>4126.374337859744</x:v>
      </x:c>
      <x:c r="U1243" s="78" t="n">
        <x:f>O1243+S1243*(1-'Inputs'!$B$17)</x:f>
        <x:v>2306648.0359749584</x:v>
      </x:c>
      <x:c r="V1243" s="78" t="n">
        <x:f>P1243-T1243</x:f>
        <x:v>24455.678428200445</x:v>
      </x:c>
      <x:c r="W1243" s="79" t="n">
        <x:f>IF(U1243&gt;0,V1243/U1243,0)</x:f>
        <x:v>0.010602258362257545</x:v>
      </x:c>
      <x:c r="X1243" s="80" t="n">
        <x:f>W1243*('Inputs'!$B$6-AC1243)</x:f>
        <x:v>10578032.552899988</x:v>
      </x:c>
      <x:c r="Y1243" s="80" t="n">
        <x:f>2*V1243</x:f>
        <x:v>48911.35685640089</x:v>
      </x:c>
      <x:c r="Z1243" s="80" t="n">
        <x:f>K1243*'Inputs'!$B$16+(G1243+R1243)*J1243*'Inputs'!$B$16</x:f>
        <x:v>527.5278092484537</x:v>
      </x:c>
      <x:c r="AA1243" s="80" t="n">
        <x:f>K1243*(1+'Inputs'!$E$47)/2*'Inputs'!$B$17</x:f>
        <x:v>178.25449952885833</x:v>
      </x:c>
      <x:c r="AB1243" s="78" t="n">
        <x:f>(IF(J1243&gt;0,K1243*(1-'Inputs'!$E$47)/2/J1243,0)+G1243+R1243)*'Inputs'!$B$17</x:f>
        <x:v>16631.432049554456</x:v>
      </x:c>
      <x:c r="AC1243" s="78" t="n">
        <x:f>AC1242+AB1243</x:f>
        <x:v>2284966.893826687</x:v>
      </x:c>
      <x:c r="AD1243" s="80" t="n">
        <x:f>Z1243/(1+'Inputs'!$C$47)</x:f>
        <x:v>211.01112369938147</x:v>
      </x:c>
      <x:c r="AE1243" s="80" t="n">
        <x:f>Z1243-AD1243</x:f>
        <x:v>316.5166855490722</x:v>
      </x:c>
      <x:c r="AF1243" s="80" t="n">
        <x:f>D1243*W1243</x:f>
        <x:v>3021.680937117325</x:v>
      </x:c>
      <x:c r="AG1243" s="80" t="n">
        <x:f>C1243*W1243</x:f>
        <x:v>7050.588853273836</x:v>
      </x:c>
      <x:c r="AH1243" s="80" t="n">
        <x:f>2*'Inputs'!$B$8*'Inputs'!$C$47</x:f>
        <x:v>7500</x:v>
      </x:c>
      <x:c r="AI1243" s="81" t="n">
        <x:f>IF(AH1243&gt;0,(AE1243+AF1243)/AH1243*365,0)</x:f>
        <x:v>162.45895096976463</x:v>
      </x:c>
      <x:c r="AJ1243" s="81" t="n">
        <x:f>IF('Inputs'!$B$47&gt;0,AG1243/('Inputs'!$B$19*'Inputs'!$B$47)*365,0)</x:f>
        <x:v>257.346493144495</x:v>
      </x:c>
      <x:c r="AK1243" s="81" t="n">
        <x:f>W1243/MAX($W$1099:W1243)-1</x:f>
        <x:v>-0.521549764983978</x:v>
      </x:c>
      <x:c r="AL1243" s="83" t="n">
        <x:f>'Inputs'!$B$47</x:f>
        <x:v>1</x:v>
      </x:c>
      <x:c r="AM1243" s="83" t="n">
        <x:f>'Inputs'!$C$47</x:f>
        <x:v>1.5</x:v>
      </x:c>
      <x:c r="AN1243" s="83" t="n">
        <x:f>'Inputs'!$D$47</x:f>
        <x:v>1.5</x:v>
      </x:c>
      <x:c r="AO1243" s="81" t="n">
        <x:f>'Inputs'!$E$47</x:f>
        <x:v>0.05</x:v>
      </x:c>
    </x:row>
    <x:row r="1244">
      <x:c r="A1244" s="59" t="str">
        <x:v>Growth</x:v>
      </x:c>
      <x:c r="B1244" s="59" t="n">
        <x:v>146</x:v>
      </x:c>
      <x:c r="C1244" s="78" t="n">
        <x:f>(('Inputs'!$B$29*(3*146*'Inputs'!$B$12-146^2)/(2*'Inputs'!$B$12^2))-('Inputs'!$B$29*(3*145*'Inputs'!$B$12-145^2)/(2*'Inputs'!$B$12^2)))*'Inputs'!$B$47</x:f>
        <x:v>664683.1018952876</x:v>
      </x:c>
      <x:c r="D1244" s="78" t="n">
        <x:f>IF('Inputs'!$C$47&gt;0,('Inputs'!$B$30*(3*146*'Inputs'!$B$12-146^2)/(2*'Inputs'!$B$12^2))-('Inputs'!$B$30*(3*145*'Inputs'!$B$12-145^2)/(2*'Inputs'!$B$12^2)),0)</x:f>
        <x:v>284864.18652655184</x:v>
      </x:c>
      <x:c r="E1244" s="78" t="n">
        <x:f>C1244+D1244</x:f>
        <x:v>949547.2884218395</x:v>
      </x:c>
      <x:c r="F1244" s="78" t="n">
        <x:f>'Inputs'!$B$13*E1244+(1-'Inputs'!$B$13)/'Inputs'!$B$14*SUM(E1189:E1244)</x:f>
        <x:v>959764.9652842929</x:v>
      </x:c>
      <x:c r="G1244" s="78" t="n">
        <x:f>F1244*'Inputs'!$F$47</x:f>
        <x:v>335917.73784950253</x:v>
      </x:c>
      <x:c r="H1244" s="78" t="n">
        <x:f>U1243</x:f>
        <x:v>2306648.0359749584</x:v>
      </x:c>
      <x:c r="I1244" s="78" t="n">
        <x:f>V1243</x:f>
        <x:v>24455.678428200445</x:v>
      </x:c>
      <x:c r="J1244" s="79" t="n">
        <x:f>IF(H1244&gt;0,I1244/H1244,0)</x:f>
        <x:v>0.010602258362257545</x:v>
      </x:c>
      <x:c r="K1244" s="80" t="n">
        <x:f>(H1244*J1244+I1244)*'Inputs'!$D$47*(1+'Inputs'!$G$47)^(B1244/30)</x:f>
        <x:v>84717.95492272492</x:v>
      </x:c>
      <x:c r="L1244" s="80" t="n">
        <x:f>MAX(0,K1244*'Inputs'!$E$47)</x:f>
        <x:v>4235.8977461362465</x:v>
      </x:c>
      <x:c r="M1244" s="80" t="n">
        <x:f>MAX(0,-K1244*'Inputs'!$E$47)</x:f>
        <x:v>0</x:v>
      </x:c>
      <x:c r="N1244" s="78" t="n">
        <x:f>H1244*(L1244*(1-'Inputs'!$B$15))/(I1244+L1244*(1-'Inputs'!$B$15))</x:f>
        <x:v>337636.37931453733</x:v>
      </x:c>
      <x:c r="O1244" s="78" t="n">
        <x:f>H1244-N1244</x:f>
        <x:v>1969011.656660421</x:v>
      </x:c>
      <x:c r="P1244" s="78" t="n">
        <x:f>I1244+L1244*(1-'Inputs'!$B$17)</x:f>
        <x:v>28674.530308155056</x:v>
      </x:c>
      <x:c r="Q1244" s="78" t="n">
        <x:f>IF(J1244&gt;0,M1244/J1244,0)</x:f>
        <x:v>0</x:v>
      </x:c>
      <x:c r="R1244" s="78" t="n">
        <x:f>IF(B1244='Inputs'!$H$47,'Inputs'!$B$27*'Inputs'!$I$47,0)</x:f>
        <x:v>0</x:v>
      </x:c>
      <x:c r="S1244" s="78" t="n">
        <x:f>Q1244+G1244+R1244</x:f>
        <x:v>335917.73784950253</x:v>
      </x:c>
      <x:c r="T1244" s="78" t="n">
        <x:f>P1244*(S1244*(1-'Inputs'!$B$15))/(O1244+S1244*(1-'Inputs'!$B$15))</x:f>
        <x:v>4143.241188334243</x:v>
      </x:c>
      <x:c r="U1244" s="78" t="n">
        <x:f>O1244+S1244*(1-'Inputs'!$B$17)</x:f>
        <x:v>2303577.6128686783</x:v>
      </x:c>
      <x:c r="V1244" s="78" t="n">
        <x:f>P1244-T1244</x:f>
        <x:v>24531.289119820813</x:v>
      </x:c>
      <x:c r="W1244" s="79" t="n">
        <x:f>IF(U1244&gt;0,V1244/U1244,0)</x:f>
        <x:v>0.01064921319897342</x:v>
      </x:c>
      <x:c r="X1244" s="80" t="n">
        <x:f>W1244*('Inputs'!$B$6-AC1244)</x:f>
        <x:v>10624703.051054686</x:v>
      </x:c>
      <x:c r="Y1244" s="80" t="n">
        <x:f>2*V1244</x:f>
        <x:v>49062.578239641625</x:v>
      </x:c>
      <x:c r="Z1244" s="80" t="n">
        <x:f>K1244*'Inputs'!$B$16+(G1244+R1244)*J1244*'Inputs'!$B$16</x:f>
        <x:v>529.6766494072227</x:v>
      </x:c>
      <x:c r="AA1244" s="80" t="n">
        <x:f>K1244*(1+'Inputs'!$E$47)/2*'Inputs'!$B$17</x:f>
        <x:v>178.98159490716534</x:v>
      </x:c>
      <x:c r="AB1244" s="78" t="n">
        <x:f>(IF(J1244&gt;0,K1244*(1-'Inputs'!$E$47)/2/J1244,0)+G1244+R1244)*'Inputs'!$B$17</x:f>
        <x:v>16625.483072819487</x:v>
      </x:c>
      <x:c r="AC1244" s="78" t="n">
        <x:f>AC1243+AB1244</x:f>
        <x:v>2301592.3768995064</x:v>
      </x:c>
      <x:c r="AD1244" s="80" t="n">
        <x:f>Z1244/(1+'Inputs'!$C$47)</x:f>
        <x:v>211.8706597628891</x:v>
      </x:c>
      <x:c r="AE1244" s="80" t="n">
        <x:f>Z1244-AD1244</x:f>
        <x:v>317.80598964433364</x:v>
      </x:c>
      <x:c r="AF1244" s="80" t="n">
        <x:f>D1244*W1244</x:f>
        <x:v>3033.579455073382</x:v>
      </x:c>
      <x:c r="AG1244" s="80" t="n">
        <x:f>C1244*W1244</x:f>
        <x:v>7078.352061837892</x:v>
      </x:c>
      <x:c r="AH1244" s="80" t="n">
        <x:f>2*'Inputs'!$B$8*'Inputs'!$C$47</x:f>
        <x:v>7500</x:v>
      </x:c>
      <x:c r="AI1244" s="81" t="n">
        <x:f>IF(AH1244&gt;0,(AE1244+AF1244)/AH1244*365,0)</x:f>
        <x:v>163.1007583095955</x:v>
      </x:c>
      <x:c r="AJ1244" s="81" t="n">
        <x:f>IF('Inputs'!$B$47&gt;0,AG1244/('Inputs'!$B$19*'Inputs'!$B$47)*365,0)</x:f>
        <x:v>258.35985025708305</x:v>
      </x:c>
      <x:c r="AK1244" s="81" t="n">
        <x:f>W1244/MAX($W$1099:W1244)-1</x:f>
        <x:v>-0.5194308246701083</x:v>
      </x:c>
      <x:c r="AL1244" s="83" t="n">
        <x:f>'Inputs'!$B$47</x:f>
        <x:v>1</x:v>
      </x:c>
      <x:c r="AM1244" s="83" t="n">
        <x:f>'Inputs'!$C$47</x:f>
        <x:v>1.5</x:v>
      </x:c>
      <x:c r="AN1244" s="83" t="n">
        <x:f>'Inputs'!$D$47</x:f>
        <x:v>1.5</x:v>
      </x:c>
      <x:c r="AO1244" s="81" t="n">
        <x:f>'Inputs'!$E$47</x:f>
        <x:v>0.05</x:v>
      </x:c>
    </x:row>
    <x:row r="1245">
      <x:c r="A1245" s="59" t="str">
        <x:v>Growth</x:v>
      </x:c>
      <x:c r="B1245" s="59" t="n">
        <x:v>147</x:v>
      </x:c>
      <x:c r="C1245" s="78" t="n">
        <x:f>(('Inputs'!$B$29*(3*147*'Inputs'!$B$12-147^2)/(2*'Inputs'!$B$12^2))-('Inputs'!$B$29*(3*146*'Inputs'!$B$12-146^2)/(2*'Inputs'!$B$12^2)))*'Inputs'!$B$47</x:f>
        <x:v>664357.9939951152</x:v>
      </x:c>
      <x:c r="D1245" s="78" t="n">
        <x:f>IF('Inputs'!$C$47&gt;0,('Inputs'!$B$30*(3*147*'Inputs'!$B$12-147^2)/(2*'Inputs'!$B$12^2))-('Inputs'!$B$30*(3*146*'Inputs'!$B$12-146^2)/(2*'Inputs'!$B$12^2)),0)</x:f>
        <x:v>284724.85456933826</x:v>
      </x:c>
      <x:c r="E1245" s="78" t="n">
        <x:f>C1245+D1245</x:f>
        <x:v>949082.8485644534</x:v>
      </x:c>
      <x:c r="F1245" s="78" t="n">
        <x:f>'Inputs'!$B$13*E1245+(1-'Inputs'!$B$13)/'Inputs'!$B$14*SUM(E1190:E1245)</x:f>
        <x:v>959300.5254269083</x:v>
      </x:c>
      <x:c r="G1245" s="78" t="n">
        <x:f>F1245*'Inputs'!$F$47</x:f>
        <x:v>335755.18389941787</x:v>
      </x:c>
      <x:c r="H1245" s="78" t="n">
        <x:f>U1244</x:f>
        <x:v>2303577.6128686783</x:v>
      </x:c>
      <x:c r="I1245" s="78" t="n">
        <x:f>V1244</x:f>
        <x:v>24531.289119820813</x:v>
      </x:c>
      <x:c r="J1245" s="79" t="n">
        <x:f>IF(H1245&gt;0,I1245/H1245,0)</x:f>
        <x:v>0.01064921319897342</x:v>
      </x:c>
      <x:c r="K1245" s="80" t="n">
        <x:f>(H1245*J1245+I1245)*'Inputs'!$D$47*(1+'Inputs'!$G$47)^(B1245/30)</x:f>
        <x:v>85063.6525123673</x:v>
      </x:c>
      <x:c r="L1245" s="80" t="n">
        <x:f>MAX(0,K1245*'Inputs'!$E$47)</x:f>
        <x:v>4253.182625618366</x:v>
      </x:c>
      <x:c r="M1245" s="80" t="n">
        <x:f>MAX(0,-K1245*'Inputs'!$E$47)</x:f>
        <x:v>0</x:v>
      </x:c>
      <x:c r="N1245" s="78" t="n">
        <x:f>H1245*(L1245*(1-'Inputs'!$B$15))/(I1245+L1245*(1-'Inputs'!$B$15))</x:f>
        <x:v>337470.6420057829</x:v>
      </x:c>
      <x:c r="O1245" s="78" t="n">
        <x:f>H1245-N1245</x:f>
        <x:v>1966106.9708628953</x:v>
      </x:c>
      <x:c r="P1245" s="78" t="n">
        <x:f>I1245+L1245*(1-'Inputs'!$B$17)</x:f>
        <x:v>28767.35632239846</x:v>
      </x:c>
      <x:c r="Q1245" s="78" t="n">
        <x:f>IF(J1245&gt;0,M1245/J1245,0)</x:f>
        <x:v>0</x:v>
      </x:c>
      <x:c r="R1245" s="78" t="n">
        <x:f>IF(B1245='Inputs'!$H$47,'Inputs'!$B$27*'Inputs'!$I$47,0)</x:f>
        <x:v>0</x:v>
      </x:c>
      <x:c r="S1245" s="78" t="n">
        <x:f>Q1245+G1245+R1245</x:f>
        <x:v>335755.18389941787</x:v>
      </x:c>
      <x:c r="T1245" s="78" t="n">
        <x:f>P1245*(S1245*(1-'Inputs'!$B$15))/(O1245+S1245*(1-'Inputs'!$B$15))</x:f>
        <x:v>4160.183586337902</x:v>
      </x:c>
      <x:c r="U1245" s="78" t="n">
        <x:f>O1245+S1245*(1-'Inputs'!$B$17)</x:f>
        <x:v>2300511.0272617117</x:v>
      </x:c>
      <x:c r="V1245" s="78" t="n">
        <x:f>P1245-T1245</x:f>
        <x:v>24607.17273606056</x:v>
      </x:c>
      <x:c r="W1245" s="79" t="n">
        <x:f>IF(U1245&gt;0,V1245/U1245,0)</x:f>
        <x:v>0.010696394168277633</x:v>
      </x:c>
      <x:c r="X1245" s="80" t="n">
        <x:f>W1245*('Inputs'!$B$6-AC1245)</x:f>
        <x:v>10671597.659910176</x:v>
      </x:c>
      <x:c r="Y1245" s="80" t="n">
        <x:f>2*V1245</x:f>
        <x:v>49214.34547212112</x:v>
      </x:c>
      <x:c r="Z1245" s="80" t="n">
        <x:f>K1245*'Inputs'!$B$16+(G1245+R1245)*J1245*'Inputs'!$B$16</x:f>
        <x:v>531.8350862902364</x:v>
      </x:c>
      <x:c r="AA1245" s="80" t="n">
        <x:f>K1245*(1+'Inputs'!$E$47)/2*'Inputs'!$B$17</x:f>
        <x:v>179.7119419275366</x:v>
      </x:c>
      <x:c r="AB1245" s="78" t="n">
        <x:f>(IF(J1245&gt;0,K1245*(1-'Inputs'!$E$47)/2/J1245,0)+G1245+R1245)*'Inputs'!$B$17</x:f>
        <x:v>16619.534269140106</x:v>
      </x:c>
      <x:c r="AC1245" s="78" t="n">
        <x:f>AC1244+AB1245</x:f>
        <x:v>2318211.9111686465</x:v>
      </x:c>
      <x:c r="AD1245" s="80" t="n">
        <x:f>Z1245/(1+'Inputs'!$C$47)</x:f>
        <x:v>212.73403451609457</x:v>
      </x:c>
      <x:c r="AE1245" s="80" t="n">
        <x:f>Z1245-AD1245</x:f>
        <x:v>319.10105177414187</x:v>
      </x:c>
      <x:c r="AF1245" s="80" t="n">
        <x:f>D1245*W1245</x:f>
        <x:v>3045.529273979167</x:v>
      </x:c>
      <x:c r="AG1245" s="80" t="n">
        <x:f>C1245*W1245</x:f>
        <x:v>7106.234972617976</x:v>
      </x:c>
      <x:c r="AH1245" s="80" t="n">
        <x:f>2*'Inputs'!$B$8*'Inputs'!$C$47</x:f>
        <x:v>7500</x:v>
      </x:c>
      <x:c r="AI1245" s="81" t="n">
        <x:f>IF(AH1245&gt;0,(AE1245+AF1245)/AH1245*365,0)</x:f>
        <x:v>163.74534251999438</x:v>
      </x:c>
      <x:c r="AJ1245" s="81" t="n">
        <x:f>IF('Inputs'!$B$47&gt;0,AG1245/('Inputs'!$B$19*'Inputs'!$B$47)*365,0)</x:f>
        <x:v>259.37757650055613</x:v>
      </x:c>
      <x:c r="AK1245" s="81" t="n">
        <x:f>W1245/MAX($W$1099:W1245)-1</x:f>
        <x:v>-0.5173016796256673</x:v>
      </x:c>
      <x:c r="AL1245" s="83" t="n">
        <x:f>'Inputs'!$B$47</x:f>
        <x:v>1</x:v>
      </x:c>
      <x:c r="AM1245" s="83" t="n">
        <x:f>'Inputs'!$C$47</x:f>
        <x:v>1.5</x:v>
      </x:c>
      <x:c r="AN1245" s="83" t="n">
        <x:f>'Inputs'!$D$47</x:f>
        <x:v>1.5</x:v>
      </x:c>
      <x:c r="AO1245" s="81" t="n">
        <x:f>'Inputs'!$E$47</x:f>
        <x:v>0.05</x:v>
      </x:c>
    </x:row>
    <x:row r="1246">
      <x:c r="A1246" s="59" t="str">
        <x:v>Growth</x:v>
      </x:c>
      <x:c r="B1246" s="59" t="n">
        <x:v>148</x:v>
      </x:c>
      <x:c r="C1246" s="78" t="n">
        <x:f>(('Inputs'!$B$29*(3*148*'Inputs'!$B$12-148^2)/(2*'Inputs'!$B$12^2))-('Inputs'!$B$29*(3*147*'Inputs'!$B$12-147^2)/(2*'Inputs'!$B$12^2)))*'Inputs'!$B$47</x:f>
        <x:v>664032.8860949576</x:v>
      </x:c>
      <x:c r="D1246" s="78" t="n">
        <x:f>IF('Inputs'!$C$47&gt;0,('Inputs'!$B$30*(3*148*'Inputs'!$B$12-148^2)/(2*'Inputs'!$B$12^2))-('Inputs'!$B$30*(3*147*'Inputs'!$B$12-147^2)/(2*'Inputs'!$B$12^2)),0)</x:f>
        <x:v>284585.5226121247</x:v>
      </x:c>
      <x:c r="E1246" s="78" t="n">
        <x:f>C1246+D1246</x:f>
        <x:v>948618.4087070823</x:v>
      </x:c>
      <x:c r="F1246" s="78" t="n">
        <x:f>'Inputs'!$B$13*E1246+(1-'Inputs'!$B$13)/'Inputs'!$B$14*SUM(E1191:E1246)</x:f>
        <x:v>958836.0855695269</x:v>
      </x:c>
      <x:c r="G1246" s="78" t="n">
        <x:f>F1246*'Inputs'!$F$47</x:f>
        <x:v>335592.62994933437</x:v>
      </x:c>
      <x:c r="H1246" s="78" t="n">
        <x:f>U1245</x:f>
        <x:v>2300511.0272617117</x:v>
      </x:c>
      <x:c r="I1246" s="78" t="n">
        <x:f>V1245</x:f>
        <x:v>24607.17273606056</x:v>
      </x:c>
      <x:c r="J1246" s="79" t="n">
        <x:f>IF(H1246&gt;0,I1246/H1246,0)</x:f>
        <x:v>0.010696394168277633</x:v>
      </x:c>
      <x:c r="K1246" s="80" t="n">
        <x:f>(H1246*J1246+I1246)*'Inputs'!$D$47*(1+'Inputs'!$G$47)^(B1246/30)</x:f>
        <x:v>85410.89665400202</x:v>
      </x:c>
      <x:c r="L1246" s="80" t="n">
        <x:f>MAX(0,K1246*'Inputs'!$E$47)</x:f>
        <x:v>4270.544832700101</x:v>
      </x:c>
      <x:c r="M1246" s="80" t="n">
        <x:f>MAX(0,-K1246*'Inputs'!$E$47)</x:f>
        <x:v>0</x:v>
      </x:c>
      <x:c r="N1246" s="78" t="n">
        <x:f>H1246*(L1246*(1-'Inputs'!$B$15))/(I1246+L1246*(1-'Inputs'!$B$15))</x:f>
        <x:v>337304.9085125687</x:v>
      </x:c>
      <x:c r="O1246" s="78" t="n">
        <x:f>H1246-N1246</x:f>
        <x:v>1963206.118749143</x:v>
      </x:c>
      <x:c r="P1246" s="78" t="n">
        <x:f>I1246+L1246*(1-'Inputs'!$B$17)</x:f>
        <x:v>28860.532277683396</x:v>
      </x:c>
      <x:c r="Q1246" s="78" t="n">
        <x:f>IF(J1246&gt;0,M1246/J1246,0)</x:f>
        <x:v>0</x:v>
      </x:c>
      <x:c r="R1246" s="78" t="n">
        <x:f>IF(B1246='Inputs'!$H$47,'Inputs'!$B$27*'Inputs'!$I$47,0)</x:f>
        <x:v>0</x:v>
      </x:c>
      <x:c r="S1246" s="78" t="n">
        <x:f>Q1246+G1246+R1246</x:f>
        <x:v>335592.62994933437</x:v>
      </x:c>
      <x:c r="T1246" s="78" t="n">
        <x:f>P1246*(S1246*(1-'Inputs'!$B$15))/(O1246+S1246*(1-'Inputs'!$B$15))</x:f>
        <x:v>4177.201895840006</x:v>
      </x:c>
      <x:c r="U1246" s="78" t="n">
        <x:f>O1246+S1246*(1-'Inputs'!$B$17)</x:f>
        <x:v>2297448.2753385203</x:v>
      </x:c>
      <x:c r="V1246" s="78" t="n">
        <x:f>P1246-T1246</x:f>
        <x:v>24683.330381843392</x:v>
      </x:c>
      <x:c r="W1246" s="79" t="n">
        <x:f>IF(U1246&gt;0,V1246/U1246,0)</x:f>
        <x:v>0.01074380243803591</x:v>
      </x:c>
      <x:c r="X1246" s="80" t="n">
        <x:f>W1246*('Inputs'!$B$6-AC1246)</x:f>
        <x:v>10718717.534170857</x:v>
      </x:c>
      <x:c r="Y1246" s="80" t="n">
        <x:f>2*V1246</x:f>
        <x:v>49366.660763686785</x:v>
      </x:c>
      <x:c r="Z1246" s="80" t="n">
        <x:f>K1246*'Inputs'!$B$16+(G1246+R1246)*J1246*'Inputs'!$B$16</x:f>
        <x:v>534.0031662234543</x:v>
      </x:c>
      <x:c r="AA1246" s="80" t="n">
        <x:f>K1246*(1+'Inputs'!$E$47)/2*'Inputs'!$B$17</x:f>
        <x:v>180.4455563112719</x:v>
      </x:c>
      <x:c r="AB1246" s="78" t="n">
        <x:f>(IF(J1246&gt;0,K1246*(1-'Inputs'!$E$47)/2/J1246,0)+G1246+R1246)*'Inputs'!$B$17</x:f>
        <x:v>16613.585644860526</x:v>
      </x:c>
      <x:c r="AC1246" s="78" t="n">
        <x:f>AC1245+AB1246</x:f>
        <x:v>2334825.4968135073</x:v>
      </x:c>
      <x:c r="AD1246" s="80" t="n">
        <x:f>Z1246/(1+'Inputs'!$C$47)</x:f>
        <x:v>213.60126648938171</x:v>
      </x:c>
      <x:c r="AE1246" s="80" t="n">
        <x:f>Z1246-AD1246</x:f>
        <x:v>320.4018997340726</x:v>
      </x:c>
      <x:c r="AF1246" s="80" t="n">
        <x:f>D1246*W1246</x:f>
        <x:v>3057.530631669869</x:v>
      </x:c>
      <x:c r="AG1246" s="80" t="n">
        <x:f>C1246*W1246</x:f>
        <x:v>7134.238140563027</x:v>
      </x:c>
      <x:c r="AH1246" s="80" t="n">
        <x:f>2*'Inputs'!$B$8*'Inputs'!$C$47</x:f>
        <x:v>7500</x:v>
      </x:c>
      <x:c r="AI1246" s="81" t="n">
        <x:f>IF(AH1246&gt;0,(AE1246+AF1246)/AH1246*365,0)</x:f>
        <x:v>164.39271652832514</x:v>
      </x:c>
      <x:c r="AJ1246" s="81" t="n">
        <x:f>IF('Inputs'!$B$47&gt;0,AG1246/('Inputs'!$B$19*'Inputs'!$B$47)*365,0)</x:f>
        <x:v>260.3996921305505</x:v>
      </x:c>
      <x:c r="AK1246" s="81" t="n">
        <x:f>W1246/MAX($W$1099:W1246)-1</x:f>
        <x:v>-0.5151622771481444</x:v>
      </x:c>
      <x:c r="AL1246" s="83" t="n">
        <x:f>'Inputs'!$B$47</x:f>
        <x:v>1</x:v>
      </x:c>
      <x:c r="AM1246" s="83" t="n">
        <x:f>'Inputs'!$C$47</x:f>
        <x:v>1.5</x:v>
      </x:c>
      <x:c r="AN1246" s="83" t="n">
        <x:f>'Inputs'!$D$47</x:f>
        <x:v>1.5</x:v>
      </x:c>
      <x:c r="AO1246" s="81" t="n">
        <x:f>'Inputs'!$E$47</x:f>
        <x:v>0.05</x:v>
      </x:c>
    </x:row>
    <x:row r="1247">
      <x:c r="A1247" s="59" t="str">
        <x:v>Growth</x:v>
      </x:c>
      <x:c r="B1247" s="59" t="n">
        <x:v>149</x:v>
      </x:c>
      <x:c r="C1247" s="78" t="n">
        <x:f>(('Inputs'!$B$29*(3*149*'Inputs'!$B$12-149^2)/(2*'Inputs'!$B$12^2))-('Inputs'!$B$29*(3*148*'Inputs'!$B$12-148^2)/(2*'Inputs'!$B$12^2)))*'Inputs'!$B$47</x:f>
        <x:v>663707.7781947851</x:v>
      </x:c>
      <x:c r="D1247" s="78" t="n">
        <x:f>IF('Inputs'!$C$47&gt;0,('Inputs'!$B$30*(3*149*'Inputs'!$B$12-149^2)/(2*'Inputs'!$B$12^2))-('Inputs'!$B$30*(3*148*'Inputs'!$B$12-148^2)/(2*'Inputs'!$B$12^2)),0)</x:f>
        <x:v>284446.19065490365</x:v>
      </x:c>
      <x:c r="E1247" s="78" t="n">
        <x:f>C1247+D1247</x:f>
        <x:v>948153.9688496888</x:v>
      </x:c>
      <x:c r="F1247" s="78" t="n">
        <x:f>'Inputs'!$B$13*E1247+(1-'Inputs'!$B$13)/'Inputs'!$B$14*SUM(E1192:E1247)</x:f>
        <x:v>958371.645712141</x:v>
      </x:c>
      <x:c r="G1247" s="78" t="n">
        <x:f>F1247*'Inputs'!$F$47</x:f>
        <x:v>335430.0759992493</x:v>
      </x:c>
      <x:c r="H1247" s="78" t="n">
        <x:f>U1246</x:f>
        <x:v>2297448.2753385203</x:v>
      </x:c>
      <x:c r="I1247" s="78" t="n">
        <x:f>V1246</x:f>
        <x:v>24683.330381843392</x:v>
      </x:c>
      <x:c r="J1247" s="79" t="n">
        <x:f>IF(H1247&gt;0,I1247/H1247,0)</x:f>
        <x:v>0.01074380243803591</x:v>
      </x:c>
      <x:c r="K1247" s="80" t="n">
        <x:f>(H1247*J1247+I1247)*'Inputs'!$D$47*(1+'Inputs'!$G$47)^(B1247/30)</x:f>
        <x:v>85759.69483359759</x:v>
      </x:c>
      <x:c r="L1247" s="80" t="n">
        <x:f>MAX(0,K1247*'Inputs'!$E$47)</x:f>
        <x:v>4287.984741679879</x:v>
      </x:c>
      <x:c r="M1247" s="80" t="n">
        <x:f>MAX(0,-K1247*'Inputs'!$E$47)</x:f>
        <x:v>0</x:v>
      </x:c>
      <x:c r="N1247" s="78" t="n">
        <x:f>H1247*(L1247*(1-'Inputs'!$B$15))/(I1247+L1247*(1-'Inputs'!$B$15))</x:f>
        <x:v>337139.178972852</x:v>
      </x:c>
      <x:c r="O1247" s="78" t="n">
        <x:f>H1247-N1247</x:f>
        <x:v>1960309.0963656683</x:v>
      </x:c>
      <x:c r="P1247" s="78" t="n">
        <x:f>I1247+L1247*(1-'Inputs'!$B$17)</x:f>
        <x:v>28954.059651725765</x:v>
      </x:c>
      <x:c r="Q1247" s="78" t="n">
        <x:f>IF(J1247&gt;0,M1247/J1247,0)</x:f>
        <x:v>0</x:v>
      </x:c>
      <x:c r="R1247" s="78" t="n">
        <x:f>IF(B1247='Inputs'!$H$47,'Inputs'!$B$27*'Inputs'!$I$47,0)</x:f>
        <x:v>0</x:v>
      </x:c>
      <x:c r="S1247" s="78" t="n">
        <x:f>Q1247+G1247+R1247</x:f>
        <x:v>335430.0759992493</x:v>
      </x:c>
      <x:c r="T1247" s="78" t="n">
        <x:f>P1247*(S1247*(1-'Inputs'!$B$15))/(O1247+S1247*(1-'Inputs'!$B$15))</x:f>
        <x:v>4194.296483224908</x:v>
      </x:c>
      <x:c r="U1247" s="78" t="n">
        <x:f>O1247+S1247*(1-'Inputs'!$B$17)</x:f>
        <x:v>2294389.353145605</x:v>
      </x:c>
      <x:c r="V1247" s="78" t="n">
        <x:f>P1247-T1247</x:f>
        <x:v>24759.763168500856</x:v>
      </x:c>
      <x:c r="W1247" s="79" t="n">
        <x:f>IF(U1247&gt;0,V1247/U1247,0)</x:f>
        <x:v>0.010791439183831311</x:v>
      </x:c>
      <x:c r="X1247" s="80" t="n">
        <x:f>W1247*('Inputs'!$B$6-AC1247)</x:f>
        <x:v>10766063.836170701</x:v>
      </x:c>
      <x:c r="Y1247" s="80" t="n">
        <x:f>2*V1247</x:f>
        <x:v>49519.52633700171</x:v>
      </x:c>
      <x:c r="Z1247" s="80" t="n">
        <x:f>K1247*'Inputs'!$B$16+(G1247+R1247)*J1247*'Inputs'!$B$16</x:f>
        <x:v>536.1809358114533</x:v>
      </x:c>
      <x:c r="AA1247" s="80" t="n">
        <x:f>K1247*(1+'Inputs'!$E$47)/2*'Inputs'!$B$17</x:f>
        <x:v>181.18245387379775</x:v>
      </x:c>
      <x:c r="AB1247" s="78" t="n">
        <x:f>(IF(J1247&gt;0,K1247*(1-'Inputs'!$E$47)/2/J1247,0)+G1247+R1247)*'Inputs'!$B$17</x:f>
        <x:v>16607.637205238247</x:v>
      </x:c>
      <x:c r="AC1247" s="78" t="n">
        <x:f>AC1246+AB1247</x:f>
        <x:v>2351433.1340187457</x:v>
      </x:c>
      <x:c r="AD1247" s="80" t="n">
        <x:f>Z1247/(1+'Inputs'!$C$47)</x:f>
        <x:v>214.47237432458132</x:v>
      </x:c>
      <x:c r="AE1247" s="80" t="n">
        <x:f>Z1247-AD1247</x:f>
        <x:v>321.708561486872</x:v>
      </x:c>
      <x:c r="AF1247" s="80" t="n">
        <x:f>D1247*W1247</x:f>
        <x:v>3069.583767524879</x:v>
      </x:c>
      <x:c r="AG1247" s="80" t="n">
        <x:f>C1247*W1247</x:f>
        <x:v>7162.362124224825</x:v>
      </x:c>
      <x:c r="AH1247" s="80" t="n">
        <x:f>2*'Inputs'!$B$8*'Inputs'!$C$47</x:f>
        <x:v>7500</x:v>
      </x:c>
      <x:c r="AI1247" s="81" t="n">
        <x:f>IF(AH1247&gt;0,(AE1247+AF1247)/AH1247*365,0)</x:f>
        <x:v>165.04289334523855</x:v>
      </x:c>
      <x:c r="AJ1247" s="81" t="n">
        <x:f>IF('Inputs'!$B$47&gt;0,AG1247/('Inputs'!$B$19*'Inputs'!$B$47)*365,0)</x:f>
        <x:v>261.4262175342061</x:v>
      </x:c>
      <x:c r="AK1247" s="81" t="n">
        <x:f>W1247/MAX($W$1099:W1247)-1</x:f>
        <x:v>-0.5130125641867678</x:v>
      </x:c>
      <x:c r="AL1247" s="83" t="n">
        <x:f>'Inputs'!$B$47</x:f>
        <x:v>1</x:v>
      </x:c>
      <x:c r="AM1247" s="83" t="n">
        <x:f>'Inputs'!$C$47</x:f>
        <x:v>1.5</x:v>
      </x:c>
      <x:c r="AN1247" s="83" t="n">
        <x:f>'Inputs'!$D$47</x:f>
        <x:v>1.5</x:v>
      </x:c>
      <x:c r="AO1247" s="81" t="n">
        <x:f>'Inputs'!$E$47</x:f>
        <x:v>0.05</x:v>
      </x:c>
    </x:row>
    <x:row r="1248">
      <x:c r="A1248" s="59" t="str">
        <x:v>Growth</x:v>
      </x:c>
      <x:c r="B1248" s="59" t="n">
        <x:v>150</x:v>
      </x:c>
      <x:c r="C1248" s="78" t="n">
        <x:f>(('Inputs'!$B$29*(3*150*'Inputs'!$B$12-150^2)/(2*'Inputs'!$B$12^2))-('Inputs'!$B$29*(3*149*'Inputs'!$B$12-149^2)/(2*'Inputs'!$B$12^2)))*'Inputs'!$B$47</x:f>
        <x:v>663382.6702946126</x:v>
      </x:c>
      <x:c r="D1248" s="78" t="n">
        <x:f>IF('Inputs'!$C$47&gt;0,('Inputs'!$B$30*(3*150*'Inputs'!$B$12-150^2)/(2*'Inputs'!$B$12^2))-('Inputs'!$B$30*(3*149*'Inputs'!$B$12-149^2)/(2*'Inputs'!$B$12^2)),0)</x:f>
        <x:v>284306.85869769007</x:v>
      </x:c>
      <x:c r="E1248" s="78" t="n">
        <x:f>C1248+D1248</x:f>
        <x:v>947689.5289923027</x:v>
      </x:c>
      <x:c r="F1248" s="78" t="n">
        <x:f>'Inputs'!$B$13*E1248+(1-'Inputs'!$B$13)/'Inputs'!$B$14*SUM(E1193:E1248)</x:f>
        <x:v>957907.2058547564</x:v>
      </x:c>
      <x:c r="G1248" s="78" t="n">
        <x:f>F1248*'Inputs'!$F$47</x:f>
        <x:v>335267.52204916475</x:v>
      </x:c>
      <x:c r="H1248" s="78" t="n">
        <x:f>U1247</x:f>
        <x:v>2294389.353145605</x:v>
      </x:c>
      <x:c r="I1248" s="78" t="n">
        <x:f>V1247</x:f>
        <x:v>24759.763168500856</x:v>
      </x:c>
      <x:c r="J1248" s="79" t="n">
        <x:f>IF(H1248&gt;0,I1248/H1248,0)</x:f>
        <x:v>0.010791439183831311</x:v>
      </x:c>
      <x:c r="K1248" s="80" t="n">
        <x:f>(H1248*J1248+I1248)*'Inputs'!$D$47*(1+'Inputs'!$G$47)^(B1248/30)</x:f>
        <x:v>86110.0545811532</x:v>
      </x:c>
      <x:c r="L1248" s="80" t="n">
        <x:f>MAX(0,K1248*'Inputs'!$E$47)</x:f>
        <x:v>4305.502729057661</x:v>
      </x:c>
      <x:c r="M1248" s="80" t="n">
        <x:f>MAX(0,-K1248*'Inputs'!$E$47)</x:f>
        <x:v>0</x:v>
      </x:c>
      <x:c r="N1248" s="78" t="n">
        <x:f>H1248*(L1248*(1-'Inputs'!$B$15))/(I1248+L1248*(1-'Inputs'!$B$15))</x:f>
        <x:v>336973.4535039598</x:v>
      </x:c>
      <x:c r="O1248" s="78" t="n">
        <x:f>H1248-N1248</x:f>
        <x:v>1957415.8996416451</x:v>
      </x:c>
      <x:c r="P1248" s="78" t="n">
        <x:f>I1248+L1248*(1-'Inputs'!$B$17)</x:f>
        <x:v>29047.93993084199</x:v>
      </x:c>
      <x:c r="Q1248" s="78" t="n">
        <x:f>IF(J1248&gt;0,M1248/J1248,0)</x:f>
        <x:v>0</x:v>
      </x:c>
      <x:c r="R1248" s="78" t="n">
        <x:f>IF(B1248='Inputs'!$H$47,'Inputs'!$B$27*'Inputs'!$I$47,0)</x:f>
        <x:v>0</x:v>
      </x:c>
      <x:c r="S1248" s="78" t="n">
        <x:f>Q1248+G1248+R1248</x:f>
        <x:v>335267.52204916475</x:v>
      </x:c>
      <x:c r="T1248" s="78" t="n">
        <x:f>P1248*(S1248*(1-'Inputs'!$B$15))/(O1248+S1248*(1-'Inputs'!$B$15))</x:f>
        <x:v>4211.467717235291</x:v>
      </x:c>
      <x:c r="U1248" s="78" t="n">
        <x:f>O1248+S1248*(1-'Inputs'!$B$17)</x:f>
        <x:v>2291334.256612141</x:v>
      </x:c>
      <x:c r="V1248" s="78" t="n">
        <x:f>P1248-T1248</x:f>
        <x:v>24836.4722136067</x:v>
      </x:c>
      <x:c r="W1248" s="79" t="n">
        <x:f>IF(U1248&gt;0,V1248/U1248,0)</x:f>
        <x:v>0.010839305588844439</x:v>
      </x:c>
      <x:c r="X1248" s="80" t="n">
        <x:f>W1248*('Inputs'!$B$6-AC1248)</x:f>
        <x:v>10813637.735753205</x:v>
      </x:c>
      <x:c r="Y1248" s="80" t="n">
        <x:f>2*V1248</x:f>
        <x:v>49672.9444272134</x:v>
      </x:c>
      <x:c r="Z1248" s="80" t="n">
        <x:f>K1248*'Inputs'!$B$16+(G1248+R1248)*J1248*'Inputs'!$B$16</x:f>
        <x:v>538.3684419339636</x:v>
      </x:c>
      <x:c r="AA1248" s="80" t="n">
        <x:f>K1248*(1+'Inputs'!$E$47)/2*'Inputs'!$B$17</x:f>
        <x:v>181.92265052356314</x:v>
      </x:c>
      <x:c r="AB1248" s="78" t="n">
        <x:f>(IF(J1248&gt;0,K1248*(1-'Inputs'!$E$47)/2/J1248,0)+G1248+R1248)*'Inputs'!$B$17</x:f>
        <x:v>16601.68895459864</x:v>
      </x:c>
      <x:c r="AC1248" s="78" t="n">
        <x:f>AC1247+AB1248</x:f>
        <x:v>2368034.8229733445</x:v>
      </x:c>
      <x:c r="AD1248" s="80" t="n">
        <x:f>Z1248/(1+'Inputs'!$C$47)</x:f>
        <x:v>215.34737677358544</x:v>
      </x:c>
      <x:c r="AE1248" s="80" t="n">
        <x:f>Z1248-AD1248</x:f>
        <x:v>323.02106516037816</x:v>
      </x:c>
      <x:c r="AF1248" s="80" t="n">
        <x:f>D1248*W1248</x:f>
        <x:v>3081.6889224286783</x:v>
      </x:c>
      <x:c r="AG1248" s="80" t="n">
        <x:f>C1248*W1248</x:f>
        <x:v>7190.607485666943</x:v>
      </x:c>
      <x:c r="AH1248" s="80" t="n">
        <x:f>2*'Inputs'!$B$8*'Inputs'!$C$47</x:f>
        <x:v>7500</x:v>
      </x:c>
      <x:c r="AI1248" s="81" t="n">
        <x:f>IF(AH1248&gt;0,(AE1248+AF1248)/AH1248*365,0)</x:f>
        <x:v>165.69588606266743</x:v>
      </x:c>
      <x:c r="AJ1248" s="81" t="n">
        <x:f>IF('Inputs'!$B$47&gt;0,AG1248/('Inputs'!$B$19*'Inputs'!$B$47)*365,0)</x:f>
        <x:v>262.45717322684345</x:v>
      </x:c>
      <x:c r="AK1248" s="81" t="n">
        <x:f>W1248/MAX($W$1099:W1248)-1</x:f>
        <x:v>-0.5108524873479097</x:v>
      </x:c>
      <x:c r="AL1248" s="83" t="n">
        <x:f>'Inputs'!$B$47</x:f>
        <x:v>1</x:v>
      </x:c>
      <x:c r="AM1248" s="83" t="n">
        <x:f>'Inputs'!$C$47</x:f>
        <x:v>1.5</x:v>
      </x:c>
      <x:c r="AN1248" s="83" t="n">
        <x:f>'Inputs'!$D$47</x:f>
        <x:v>1.5</x:v>
      </x:c>
      <x:c r="AO1248" s="81" t="n">
        <x:f>'Inputs'!$E$47</x:f>
        <x:v>0.05</x:v>
      </x:c>
    </x:row>
    <x:row r="1249">
      <x:c r="A1249" s="59" t="str">
        <x:v>Growth</x:v>
      </x:c>
      <x:c r="B1249" s="59" t="n">
        <x:v>151</x:v>
      </x:c>
      <x:c r="C1249" s="78" t="n">
        <x:f>(('Inputs'!$B$29*(3*151*'Inputs'!$B$12-151^2)/(2*'Inputs'!$B$12^2))-('Inputs'!$B$29*(3*150*'Inputs'!$B$12-150^2)/(2*'Inputs'!$B$12^2)))*'Inputs'!$B$47</x:f>
        <x:v>663057.5623944402</x:v>
      </x:c>
      <x:c r="D1249" s="78" t="n">
        <x:f>IF('Inputs'!$C$47&gt;0,('Inputs'!$B$30*(3*151*'Inputs'!$B$12-151^2)/(2*'Inputs'!$B$12^2))-('Inputs'!$B$30*(3*150*'Inputs'!$B$12-150^2)/(2*'Inputs'!$B$12^2)),0)</x:f>
        <x:v>284167.5267404765</x:v>
      </x:c>
      <x:c r="E1249" s="78" t="n">
        <x:f>C1249+D1249</x:f>
        <x:v>947225.0891349167</x:v>
      </x:c>
      <x:c r="F1249" s="78" t="n">
        <x:f>'Inputs'!$B$13*E1249+(1-'Inputs'!$B$13)/'Inputs'!$B$14*SUM(E1194:E1249)</x:f>
        <x:v>957442.7659973718</x:v>
      </x:c>
      <x:c r="G1249" s="78" t="n">
        <x:f>F1249*'Inputs'!$F$47</x:f>
        <x:v>335104.9680990801</x:v>
      </x:c>
      <x:c r="H1249" s="78" t="n">
        <x:f>U1248</x:f>
        <x:v>2291334.256612141</x:v>
      </x:c>
      <x:c r="I1249" s="78" t="n">
        <x:f>V1248</x:f>
        <x:v>24836.4722136067</x:v>
      </x:c>
      <x:c r="J1249" s="79" t="n">
        <x:f>IF(H1249&gt;0,I1249/H1249,0)</x:f>
        <x:v>0.010839305588844439</x:v>
      </x:c>
      <x:c r="K1249" s="80" t="n">
        <x:f>(H1249*J1249+I1249)*'Inputs'!$D$47*(1+'Inputs'!$G$47)^(B1249/30)</x:f>
        <x:v>86461.98347027974</x:v>
      </x:c>
      <x:c r="L1249" s="80" t="n">
        <x:f>MAX(0,K1249*'Inputs'!$E$47)</x:f>
        <x:v>4323.099173513987</x:v>
      </x:c>
      <x:c r="M1249" s="80" t="n">
        <x:f>MAX(0,-K1249*'Inputs'!$E$47)</x:f>
        <x:v>0</x:v>
      </x:c>
      <x:c r="N1249" s="78" t="n">
        <x:f>H1249*(L1249*(1-'Inputs'!$B$15))/(I1249+L1249*(1-'Inputs'!$B$15))</x:f>
        <x:v>336807.7322055342</x:v>
      </x:c>
      <x:c r="O1249" s="78" t="n">
        <x:f>H1249-N1249</x:f>
        <x:v>1954526.524406607</x:v>
      </x:c>
      <x:c r="P1249" s="78" t="n">
        <x:f>I1249+L1249*(1-'Inputs'!$B$17)</x:f>
        <x:v>29142.174609762482</x:v>
      </x:c>
      <x:c r="Q1249" s="78" t="n">
        <x:f>IF(J1249&gt;0,M1249/J1249,0)</x:f>
        <x:v>0</x:v>
      </x:c>
      <x:c r="R1249" s="78" t="n">
        <x:f>IF(B1249='Inputs'!$H$47,'Inputs'!$B$27*'Inputs'!$I$47,0)</x:f>
        <x:v>0</x:v>
      </x:c>
      <x:c r="S1249" s="78" t="n">
        <x:f>Q1249+G1249+R1249</x:f>
        <x:v>335104.9680990801</x:v>
      </x:c>
      <x:c r="T1249" s="78" t="n">
        <x:f>P1249*(S1249*(1-'Inputs'!$B$15))/(O1249+S1249*(1-'Inputs'!$B$15))</x:f>
        <x:v>4228.715968924625</x:v>
      </x:c>
      <x:c r="U1249" s="78" t="n">
        <x:f>O1249+S1249*(1-'Inputs'!$B$17)</x:f>
        <x:v>2288282.9815676627</x:v>
      </x:c>
      <x:c r="V1249" s="78" t="n">
        <x:f>P1249-T1249</x:f>
        <x:v>24913.458640837856</x:v>
      </x:c>
      <x:c r="W1249" s="79" t="n">
        <x:f>IF(U1249&gt;0,V1249/U1249,0)</x:f>
        <x:v>0.010887402843755837</x:v>
      </x:c>
      <x:c r="X1249" s="80" t="n">
        <x:f>W1249*('Inputs'!$B$6-AC1249)</x:f>
        <x:v>10861440.410173453</x:v>
      </x:c>
      <x:c r="Y1249" s="80" t="n">
        <x:f>2*V1249</x:f>
        <x:v>49826.91728167571</x:v>
      </x:c>
      <x:c r="Z1249" s="80" t="n">
        <x:f>K1249*'Inputs'!$B$16+(G1249+R1249)*J1249*'Inputs'!$B$16</x:f>
        <x:v>540.5657317430738</x:v>
      </x:c>
      <x:c r="AA1249" s="80" t="n">
        <x:f>K1249*(1+'Inputs'!$E$47)/2*'Inputs'!$B$17</x:f>
        <x:v>182.66616226115443</x:v>
      </x:c>
      <x:c r="AB1249" s="78" t="n">
        <x:f>(IF(J1249&gt;0,K1249*(1-'Inputs'!$E$47)/2/J1249,0)+G1249+R1249)*'Inputs'!$B$17</x:f>
        <x:v>16595.740896467614</x:v>
      </x:c>
      <x:c r="AC1249" s="78" t="n">
        <x:f>AC1248+AB1249</x:f>
        <x:v>2384630.563869812</x:v>
      </x:c>
      <x:c r="AD1249" s="80" t="n">
        <x:f>Z1249/(1+'Inputs'!$C$47)</x:f>
        <x:v>216.22629269722952</x:v>
      </x:c>
      <x:c r="AE1249" s="80" t="n">
        <x:f>Z1249-AD1249</x:f>
        <x:v>324.3394390458443</x:v>
      </x:c>
      <x:c r="AF1249" s="80" t="n">
        <x:f>D1249*W1249</x:f>
        <x:v>3093.8463387373267</x:v>
      </x:c>
      <x:c r="AG1249" s="80" t="n">
        <x:f>C1249*W1249</x:f>
        <x:v>7218.974790387041</x:v>
      </x:c>
      <x:c r="AH1249" s="80" t="n">
        <x:f>2*'Inputs'!$B$8*'Inputs'!$C$47</x:f>
        <x:v>7500</x:v>
      </x:c>
      <x:c r="AI1249" s="81" t="n">
        <x:f>IF(AH1249&gt;0,(AE1249+AF1249)/AH1249*365,0)</x:f>
        <x:v>166.35170785211434</x:v>
      </x:c>
      <x:c r="AJ1249" s="81" t="n">
        <x:f>IF('Inputs'!$B$47&gt;0,AG1249/('Inputs'!$B$19*'Inputs'!$B$47)*365,0)</x:f>
        <x:v>263.492579849127</x:v>
      </x:c>
      <x:c r="AK1249" s="81" t="n">
        <x:f>W1249/MAX($W$1099:W1249)-1</x:f>
        <x:v>-0.5086819928994907</x:v>
      </x:c>
      <x:c r="AL1249" s="83" t="n">
        <x:f>'Inputs'!$B$47</x:f>
        <x:v>1</x:v>
      </x:c>
      <x:c r="AM1249" s="83" t="n">
        <x:f>'Inputs'!$C$47</x:f>
        <x:v>1.5</x:v>
      </x:c>
      <x:c r="AN1249" s="83" t="n">
        <x:f>'Inputs'!$D$47</x:f>
        <x:v>1.5</x:v>
      </x:c>
      <x:c r="AO1249" s="81" t="n">
        <x:f>'Inputs'!$E$47</x:f>
        <x:v>0.05</x:v>
      </x:c>
    </x:row>
    <x:row r="1250">
      <x:c r="A1250" s="59" t="str">
        <x:v>Growth</x:v>
      </x:c>
      <x:c r="B1250" s="59" t="n">
        <x:v>152</x:v>
      </x:c>
      <x:c r="C1250" s="78" t="n">
        <x:f>(('Inputs'!$B$29*(3*152*'Inputs'!$B$12-152^2)/(2*'Inputs'!$B$12^2))-('Inputs'!$B$29*(3*151*'Inputs'!$B$12-151^2)/(2*'Inputs'!$B$12^2)))*'Inputs'!$B$47</x:f>
        <x:v>662732.4544942826</x:v>
      </x:c>
      <x:c r="D1250" s="78" t="n">
        <x:f>IF('Inputs'!$C$47&gt;0,('Inputs'!$B$30*(3*152*'Inputs'!$B$12-152^2)/(2*'Inputs'!$B$12^2))-('Inputs'!$B$30*(3*151*'Inputs'!$B$12-151^2)/(2*'Inputs'!$B$12^2)),0)</x:f>
        <x:v>284028.1947832629</x:v>
      </x:c>
      <x:c r="E1250" s="78" t="n">
        <x:f>C1250+D1250</x:f>
        <x:v>946760.6492775455</x:v>
      </x:c>
      <x:c r="F1250" s="78" t="n">
        <x:f>'Inputs'!$B$13*E1250+(1-'Inputs'!$B$13)/'Inputs'!$B$14*SUM(E1195:E1250)</x:f>
        <x:v>956978.3261399904</x:v>
      </x:c>
      <x:c r="G1250" s="78" t="n">
        <x:f>F1250*'Inputs'!$F$47</x:f>
        <x:v>334942.4141489966</x:v>
      </x:c>
      <x:c r="H1250" s="78" t="n">
        <x:f>U1249</x:f>
        <x:v>2288282.9815676627</x:v>
      </x:c>
      <x:c r="I1250" s="78" t="n">
        <x:f>V1249</x:f>
        <x:v>24913.458640837856</x:v>
      </x:c>
      <x:c r="J1250" s="79" t="n">
        <x:f>IF(H1250&gt;0,I1250/H1250,0)</x:f>
        <x:v>0.010887402843755837</x:v>
      </x:c>
      <x:c r="K1250" s="80" t="n">
        <x:f>(H1250*J1250+I1250)*'Inputs'!$D$47*(1+'Inputs'!$G$47)^(B1250/30)</x:f>
        <x:v>86815.4891178704</x:v>
      </x:c>
      <x:c r="L1250" s="80" t="n">
        <x:f>MAX(0,K1250*'Inputs'!$E$47)</x:f>
        <x:v>4340.77445589352</x:v>
      </x:c>
      <x:c r="M1250" s="80" t="n">
        <x:f>MAX(0,-K1250*'Inputs'!$E$47)</x:f>
        <x:v>0</x:v>
      </x:c>
      <x:c r="N1250" s="78" t="n">
        <x:f>H1250*(L1250*(1-'Inputs'!$B$15))/(I1250+L1250*(1-'Inputs'!$B$15))</x:f>
        <x:v>336642.0151620601</x:v>
      </x:c>
      <x:c r="O1250" s="78" t="n">
        <x:f>H1250-N1250</x:f>
        <x:v>1951640.9664056026</x:v>
      </x:c>
      <x:c r="P1250" s="78" t="n">
        <x:f>I1250+L1250*(1-'Inputs'!$B$17)</x:f>
        <x:v>29236.765191476272</x:v>
      </x:c>
      <x:c r="Q1250" s="78" t="n">
        <x:f>IF(J1250&gt;0,M1250/J1250,0)</x:f>
        <x:v>0</x:v>
      </x:c>
      <x:c r="R1250" s="78" t="n">
        <x:f>IF(B1250='Inputs'!$H$47,'Inputs'!$B$27*'Inputs'!$I$47,0)</x:f>
        <x:v>0</x:v>
      </x:c>
      <x:c r="S1250" s="78" t="n">
        <x:f>Q1250+G1250+R1250</x:f>
        <x:v>334942.4141489966</x:v>
      </x:c>
      <x:c r="T1250" s="78" t="n">
        <x:f>P1250*(S1250*(1-'Inputs'!$B$15))/(O1250+S1250*(1-'Inputs'!$B$15))</x:f>
        <x:v>4246.04161161789</x:v>
      </x:c>
      <x:c r="U1250" s="78" t="n">
        <x:f>O1250+S1250*(1-'Inputs'!$B$17)</x:f>
        <x:v>2285235.523757219</x:v>
      </x:c>
      <x:c r="V1250" s="78" t="n">
        <x:f>P1250-T1250</x:f>
        <x:v>24990.723579858382</x:v>
      </x:c>
      <x:c r="W1250" s="79" t="n">
        <x:f>IF(U1250&gt;0,V1250/U1250,0)</x:f>
        <x:v>0.01093573214666751</x:v>
      </x:c>
      <x:c r="X1250" s="80" t="n">
        <x:f>W1250*('Inputs'!$B$6-AC1250)</x:f>
        <x:v>10909473.044019287</x:v>
      </x:c>
      <x:c r="Y1250" s="80" t="n">
        <x:f>2*V1250</x:f>
        <x:v>49981.447159716765</x:v>
      </x:c>
      <x:c r="Z1250" s="80" t="n">
        <x:f>K1250*'Inputs'!$B$16+(G1250+R1250)*J1250*'Inputs'!$B$16</x:f>
        <x:v>542.7728526610238</x:v>
      </x:c>
      <x:c r="AA1250" s="80" t="n">
        <x:f>K1250*(1+'Inputs'!$E$47)/2*'Inputs'!$B$17</x:f>
        <x:v>183.41300517859946</x:v>
      </x:c>
      <x:c r="AB1250" s="78" t="n">
        <x:f>(IF(J1250&gt;0,K1250*(1-'Inputs'!$E$47)/2/J1250,0)+G1250+R1250)*'Inputs'!$B$17</x:f>
        <x:v>16589.793033685502</x:v>
      </x:c>
      <x:c r="AC1250" s="78" t="n">
        <x:f>AC1249+AB1250</x:f>
        <x:v>2401220.3569034976</x:v>
      </x:c>
      <x:c r="AD1250" s="80" t="n">
        <x:f>Z1250/(1+'Inputs'!$C$47)</x:f>
        <x:v>217.1091410644095</x:v>
      </x:c>
      <x:c r="AE1250" s="80" t="n">
        <x:f>Z1250-AD1250</x:f>
        <x:v>325.66371159661423</x:v>
      </x:c>
      <x:c r="AF1250" s="80" t="n">
        <x:f>D1250*W1250</x:f>
        <x:v>3106.056260251269</x:v>
      </x:c>
      <x:c r="AG1250" s="80" t="n">
        <x:f>C1250*W1250</x:f>
        <x:v>7247.464607252989</x:v>
      </x:c>
      <x:c r="AH1250" s="80" t="n">
        <x:f>2*'Inputs'!$B$8*'Inputs'!$C$47</x:f>
        <x:v>7500</x:v>
      </x:c>
      <x:c r="AI1250" s="81" t="n">
        <x:f>IF(AH1250&gt;0,(AE1250+AF1250)/AH1250*365,0)</x:f>
        <x:v>167.01037196326365</x:v>
      </x:c>
      <x:c r="AJ1250" s="81" t="n">
        <x:f>IF('Inputs'!$B$47&gt;0,AG1250/('Inputs'!$B$19*'Inputs'!$B$47)*365,0)</x:f>
        <x:v>264.53245816473407</x:v>
      </x:c>
      <x:c r="AK1250" s="81" t="n">
        <x:f>W1250/MAX($W$1099:W1250)-1</x:f>
        <x:v>-0.5065010267745219</x:v>
      </x:c>
      <x:c r="AL1250" s="83" t="n">
        <x:f>'Inputs'!$B$47</x:f>
        <x:v>1</x:v>
      </x:c>
      <x:c r="AM1250" s="83" t="n">
        <x:f>'Inputs'!$C$47</x:f>
        <x:v>1.5</x:v>
      </x:c>
      <x:c r="AN1250" s="83" t="n">
        <x:f>'Inputs'!$D$47</x:f>
        <x:v>1.5</x:v>
      </x:c>
      <x:c r="AO1250" s="81" t="n">
        <x:f>'Inputs'!$E$47</x:f>
        <x:v>0.05</x:v>
      </x:c>
    </x:row>
    <x:row r="1251">
      <x:c r="A1251" s="59" t="str">
        <x:v>Growth</x:v>
      </x:c>
      <x:c r="B1251" s="59" t="n">
        <x:v>153</x:v>
      </x:c>
      <x:c r="C1251" s="78" t="n">
        <x:f>(('Inputs'!$B$29*(3*153*'Inputs'!$B$12-153^2)/(2*'Inputs'!$B$12^2))-('Inputs'!$B$29*(3*152*'Inputs'!$B$12-152^2)/(2*'Inputs'!$B$12^2)))*'Inputs'!$B$47</x:f>
        <x:v>662407.3465941101</x:v>
      </x:c>
      <x:c r="D1251" s="78" t="n">
        <x:f>IF('Inputs'!$C$47&gt;0,('Inputs'!$B$30*(3*153*'Inputs'!$B$12-153^2)/(2*'Inputs'!$B$12^2))-('Inputs'!$B$30*(3*152*'Inputs'!$B$12-152^2)/(2*'Inputs'!$B$12^2)),0)</x:f>
        <x:v>283888.8628260493</x:v>
      </x:c>
      <x:c r="E1251" s="78" t="n">
        <x:f>C1251+D1251</x:f>
        <x:v>946296.2094201595</x:v>
      </x:c>
      <x:c r="F1251" s="78" t="n">
        <x:f>'Inputs'!$B$13*E1251+(1-'Inputs'!$B$13)/'Inputs'!$B$14*SUM(E1196:E1251)</x:f>
        <x:v>956513.8862826059</x:v>
      </x:c>
      <x:c r="G1251" s="78" t="n">
        <x:f>F1251*'Inputs'!$F$47</x:f>
        <x:v>334779.86019891204</x:v>
      </x:c>
      <x:c r="H1251" s="78" t="n">
        <x:f>U1250</x:f>
        <x:v>2285235.523757219</x:v>
      </x:c>
      <x:c r="I1251" s="78" t="n">
        <x:f>V1250</x:f>
        <x:v>24990.723579858382</x:v>
      </x:c>
      <x:c r="J1251" s="79" t="n">
        <x:f>IF(H1251&gt;0,I1251/H1251,0)</x:f>
        <x:v>0.01093573214666751</x:v>
      </x:c>
      <x:c r="K1251" s="80" t="n">
        <x:f>(H1251*J1251+I1251)*'Inputs'!$D$47*(1+'Inputs'!$G$47)^(B1251/30)</x:f>
        <x:v>87170.57918384894</x:v>
      </x:c>
      <x:c r="L1251" s="80" t="n">
        <x:f>MAX(0,K1251*'Inputs'!$E$47)</x:f>
        <x:v>4358.5289591924475</x:v>
      </x:c>
      <x:c r="M1251" s="80" t="n">
        <x:f>MAX(0,-K1251*'Inputs'!$E$47)</x:f>
        <x:v>0</x:v>
      </x:c>
      <x:c r="N1251" s="78" t="n">
        <x:f>H1251*(L1251*(1-'Inputs'!$B$15))/(I1251+L1251*(1-'Inputs'!$B$15))</x:f>
        <x:v>336476.3024450335</x:v>
      </x:c>
      <x:c r="O1251" s="78" t="n">
        <x:f>H1251-N1251</x:f>
        <x:v>1948759.2213121853</x:v>
      </x:c>
      <x:c r="P1251" s="78" t="n">
        <x:f>I1251+L1251*(1-'Inputs'!$B$17)</x:f>
        <x:v>29331.71318710237</x:v>
      </x:c>
      <x:c r="Q1251" s="78" t="n">
        <x:f>IF(J1251&gt;0,M1251/J1251,0)</x:f>
        <x:v>0</x:v>
      </x:c>
      <x:c r="R1251" s="78" t="n">
        <x:f>IF(B1251='Inputs'!$H$47,'Inputs'!$B$27*'Inputs'!$I$47,0)</x:f>
        <x:v>0</x:v>
      </x:c>
      <x:c r="S1251" s="78" t="n">
        <x:f>Q1251+G1251+R1251</x:f>
        <x:v>334779.86019891204</x:v>
      </x:c>
      <x:c r="T1251" s="78" t="n">
        <x:f>P1251*(S1251*(1-'Inputs'!$B$15))/(O1251+S1251*(1-'Inputs'!$B$15))</x:f>
        <x:v>4263.445020879198</x:v>
      </x:c>
      <x:c r="U1251" s="78" t="n">
        <x:f>O1251+S1251*(1-'Inputs'!$B$17)</x:f>
        <x:v>2282191.8788543614</x:v>
      </x:c>
      <x:c r="V1251" s="78" t="n">
        <x:f>P1251-T1251</x:f>
        <x:v>25068.268166223173</x:v>
      </x:c>
      <x:c r="W1251" s="79" t="n">
        <x:f>IF(U1251&gt;0,V1251/U1251,0)</x:f>
        <x:v>0.010984294703041011</x:v>
      </x:c>
      <x:c r="X1251" s="80" t="n">
        <x:f>W1251*('Inputs'!$B$6-AC1251)</x:f>
        <x:v>10957736.829149004</x:v>
      </x:c>
      <x:c r="Y1251" s="80" t="n">
        <x:f>2*V1251</x:f>
        <x:v>50136.53633244635</x:v>
      </x:c>
      <x:c r="Z1251" s="80" t="n">
        <x:f>K1251*'Inputs'!$B$16+(G1251+R1251)*J1251*'Inputs'!$B$16</x:f>
        <x:v>544.9898523784983</x:v>
      </x:c>
      <x:c r="AA1251" s="80" t="n">
        <x:f>K1251*(1+'Inputs'!$E$47)/2*'Inputs'!$B$17</x:f>
        <x:v>184.16319545883582</x:v>
      </x:c>
      <x:c r="AB1251" s="78" t="n">
        <x:f>(IF(J1251&gt;0,K1251*(1-'Inputs'!$E$47)/2/J1251,0)+G1251+R1251)*'Inputs'!$B$17</x:f>
        <x:v>16583.845368504677</x:v>
      </x:c>
      <x:c r="AC1251" s="78" t="n">
        <x:f>AC1250+AB1251</x:f>
        <x:v>2417804.202272002</x:v>
      </x:c>
      <x:c r="AD1251" s="80" t="n">
        <x:f>Z1251/(1+'Inputs'!$C$47)</x:f>
        <x:v>217.99594095139932</x:v>
      </x:c>
      <x:c r="AE1251" s="80" t="n">
        <x:f>Z1251-AD1251</x:f>
        <x:v>326.99391142709896</x:v>
      </x:c>
      <x:c r="AF1251" s="80" t="n">
        <x:f>D1251*W1251</x:f>
        <x:v>3118.3189321925097</x:v>
      </x:c>
      <x:c r="AG1251" s="80" t="n">
        <x:f>C1251*W1251</x:f>
        <x:v>7276.077508449135</x:v>
      </x:c>
      <x:c r="AH1251" s="80" t="n">
        <x:f>2*'Inputs'!$B$8*'Inputs'!$C$47</x:f>
        <x:v>7500</x:v>
      </x:c>
      <x:c r="AI1251" s="81" t="n">
        <x:f>IF(AH1251&gt;0,(AE1251+AF1251)/AH1251*365,0)</x:f>
        <x:v>167.67189172282093</x:v>
      </x:c>
      <x:c r="AJ1251" s="81" t="n">
        <x:f>IF('Inputs'!$B$47&gt;0,AG1251/('Inputs'!$B$19*'Inputs'!$B$47)*365,0)</x:f>
        <x:v>265.5768290583934</x:v>
      </x:c>
      <x:c r="AK1251" s="81" t="n">
        <x:f>W1251/MAX($W$1099:W1251)-1</x:f>
        <x:v>-0.5043095345738986</x:v>
      </x:c>
      <x:c r="AL1251" s="83" t="n">
        <x:f>'Inputs'!$B$47</x:f>
        <x:v>1</x:v>
      </x:c>
      <x:c r="AM1251" s="83" t="n">
        <x:f>'Inputs'!$C$47</x:f>
        <x:v>1.5</x:v>
      </x:c>
      <x:c r="AN1251" s="83" t="n">
        <x:f>'Inputs'!$D$47</x:f>
        <x:v>1.5</x:v>
      </x:c>
      <x:c r="AO1251" s="81" t="n">
        <x:f>'Inputs'!$E$47</x:f>
        <x:v>0.05</x:v>
      </x:c>
    </x:row>
    <x:row r="1252">
      <x:c r="A1252" s="59" t="str">
        <x:v>Growth</x:v>
      </x:c>
      <x:c r="B1252" s="59" t="n">
        <x:v>154</x:v>
      </x:c>
      <x:c r="C1252" s="78" t="n">
        <x:f>(('Inputs'!$B$29*(3*154*'Inputs'!$B$12-154^2)/(2*'Inputs'!$B$12^2))-('Inputs'!$B$29*(3*153*'Inputs'!$B$12-153^2)/(2*'Inputs'!$B$12^2)))*'Inputs'!$B$47</x:f>
        <x:v>662082.2386939377</x:v>
      </x:c>
      <x:c r="D1252" s="78" t="n">
        <x:f>IF('Inputs'!$C$47&gt;0,('Inputs'!$B$30*(3*154*'Inputs'!$B$12-154^2)/(2*'Inputs'!$B$12^2))-('Inputs'!$B$30*(3*153*'Inputs'!$B$12-153^2)/(2*'Inputs'!$B$12^2)),0)</x:f>
        <x:v>283749.5308688283</x:v>
      </x:c>
      <x:c r="E1252" s="78" t="n">
        <x:f>C1252+D1252</x:f>
        <x:v>945831.769562766</x:v>
      </x:c>
      <x:c r="F1252" s="78" t="n">
        <x:f>'Inputs'!$B$13*E1252+(1-'Inputs'!$B$13)/'Inputs'!$B$14*SUM(E1197:E1252)</x:f>
        <x:v>956049.4464252198</x:v>
      </x:c>
      <x:c r="G1252" s="78" t="n">
        <x:f>F1252*'Inputs'!$F$47</x:f>
        <x:v>334617.3062488269</x:v>
      </x:c>
      <x:c r="H1252" s="78" t="n">
        <x:f>U1251</x:f>
        <x:v>2282191.8788543614</x:v>
      </x:c>
      <x:c r="I1252" s="78" t="n">
        <x:f>V1251</x:f>
        <x:v>25068.268166223173</x:v>
      </x:c>
      <x:c r="J1252" s="79" t="n">
        <x:f>IF(H1252&gt;0,I1252/H1252,0)</x:f>
        <x:v>0.010984294703041011</x:v>
      </x:c>
      <x:c r="K1252" s="80" t="n">
        <x:f>(H1252*J1252+I1252)*'Inputs'!$D$47*(1+'Inputs'!$G$47)^(B1252/30)</x:f>
        <x:v>87527.2613709852</x:v>
      </x:c>
      <x:c r="L1252" s="80" t="n">
        <x:f>MAX(0,K1252*'Inputs'!$E$47)</x:f>
        <x:v>4376.36306854926</x:v>
      </x:c>
      <x:c r="M1252" s="80" t="n">
        <x:f>MAX(0,-K1252*'Inputs'!$E$47)</x:f>
        <x:v>0</x:v>
      </x:c>
      <x:c r="N1252" s="78" t="n">
        <x:f>H1252*(L1252*(1-'Inputs'!$B$15))/(I1252+L1252*(1-'Inputs'!$B$15))</x:f>
        <x:v>336310.59411482053</x:v>
      </x:c>
      <x:c r="O1252" s="78" t="n">
        <x:f>H1252-N1252</x:f>
        <x:v>1945881.284739541</x:v>
      </x:c>
      <x:c r="P1252" s="78" t="n">
        <x:f>I1252+L1252*(1-'Inputs'!$B$17)</x:f>
        <x:v>29427.020115784308</x:v>
      </x:c>
      <x:c r="Q1252" s="78" t="n">
        <x:f>IF(J1252&gt;0,M1252/J1252,0)</x:f>
        <x:v>0</x:v>
      </x:c>
      <x:c r="R1252" s="78" t="n">
        <x:f>IF(B1252='Inputs'!$H$47,'Inputs'!$B$27*'Inputs'!$I$47,0)</x:f>
        <x:v>0</x:v>
      </x:c>
      <x:c r="S1252" s="78" t="n">
        <x:f>Q1252+G1252+R1252</x:f>
        <x:v>334617.3062488269</x:v>
      </x:c>
      <x:c r="T1252" s="78" t="n">
        <x:f>P1252*(S1252*(1-'Inputs'!$B$15))/(O1252+S1252*(1-'Inputs'!$B$15))</x:f>
        <x:v>4280.926574485606</x:v>
      </x:c>
      <x:c r="U1252" s="78" t="n">
        <x:f>O1252+S1252*(1-'Inputs'!$B$17)</x:f>
        <x:v>2279152.042472276</x:v>
      </x:c>
      <x:c r="V1252" s="78" t="n">
        <x:f>P1252-T1252</x:f>
        <x:v>25146.093541298702</x:v>
      </x:c>
      <x:c r="W1252" s="79" t="n">
        <x:f>IF(U1252&gt;0,V1252/U1252,0)</x:f>
        <x:v>0.011033091725649797</x:v>
      </x:c>
      <x:c r="X1252" s="80" t="n">
        <x:f>W1252*('Inputs'!$B$6-AC1252)</x:f>
        <x:v>11006232.96464329</x:v>
      </x:c>
      <x:c r="Y1252" s="80" t="n">
        <x:f>2*V1252</x:f>
        <x:v>50292.187082597404</x:v>
      </x:c>
      <x:c r="Z1252" s="80" t="n">
        <x:f>K1252*'Inputs'!$B$16+(G1252+R1252)*J1252*'Inputs'!$B$16</x:f>
        <x:v>547.2167788533603</x:v>
      </x:c>
      <x:c r="AA1252" s="80" t="n">
        <x:f>K1252*(1+'Inputs'!$E$47)/2*'Inputs'!$B$17</x:f>
        <x:v>184.91674937532088</x:v>
      </x:c>
      <x:c r="AB1252" s="78" t="n">
        <x:f>(IF(J1252&gt;0,K1252*(1-'Inputs'!$E$47)/2/J1252,0)+G1252+R1252)*'Inputs'!$B$17</x:f>
        <x:v>16577.897902673445</x:v>
      </x:c>
      <x:c r="AC1252" s="78" t="n">
        <x:f>AC1251+AB1252</x:f>
        <x:v>2434382.1001746757</x:v>
      </x:c>
      <x:c r="AD1252" s="80" t="n">
        <x:f>Z1252/(1+'Inputs'!$C$47)</x:f>
        <x:v>218.88671154134414</x:v>
      </x:c>
      <x:c r="AE1252" s="80" t="n">
        <x:f>Z1252-AD1252</x:f>
        <x:v>328.3300673120162</x:v>
      </x:c>
      <x:c r="AF1252" s="80" t="n">
        <x:f>D1252*W1252</x:f>
        <x:v>3130.6346011858814</x:v>
      </x:c>
      <x:c r="AG1252" s="80" t="n">
        <x:f>C1252*W1252</x:f>
        <x:v>7304.814069433778</x:v>
      </x:c>
      <x:c r="AH1252" s="80" t="n">
        <x:f>2*'Inputs'!$B$8*'Inputs'!$C$47</x:f>
        <x:v>7500</x:v>
      </x:c>
      <x:c r="AI1252" s="81" t="n">
        <x:f>IF(AH1252&gt;0,(AE1252+AF1252)/AH1252*365,0)</x:f>
        <x:v>168.33628053356435</x:v>
      </x:c>
      <x:c r="AJ1252" s="81" t="n">
        <x:f>IF('Inputs'!$B$47&gt;0,AG1252/('Inputs'!$B$19*'Inputs'!$B$47)*365,0)</x:f>
        <x:v>266.62571353433293</x:v>
      </x:c>
      <x:c r="AK1252" s="81" t="n">
        <x:f>W1252/MAX($W$1099:W1252)-1</x:f>
        <x:v>-0.5021074615685504</x:v>
      </x:c>
      <x:c r="AL1252" s="83" t="n">
        <x:f>'Inputs'!$B$47</x:f>
        <x:v>1</x:v>
      </x:c>
      <x:c r="AM1252" s="83" t="n">
        <x:f>'Inputs'!$C$47</x:f>
        <x:v>1.5</x:v>
      </x:c>
      <x:c r="AN1252" s="83" t="n">
        <x:f>'Inputs'!$D$47</x:f>
        <x:v>1.5</x:v>
      </x:c>
      <x:c r="AO1252" s="81" t="n">
        <x:f>'Inputs'!$E$47</x:f>
        <x:v>0.05</x:v>
      </x:c>
    </x:row>
    <x:row r="1253">
      <x:c r="A1253" s="59" t="str">
        <x:v>Growth</x:v>
      </x:c>
      <x:c r="B1253" s="59" t="n">
        <x:v>155</x:v>
      </x:c>
      <x:c r="C1253" s="78" t="n">
        <x:f>(('Inputs'!$B$29*(3*155*'Inputs'!$B$12-155^2)/(2*'Inputs'!$B$12^2))-('Inputs'!$B$29*(3*154*'Inputs'!$B$12-154^2)/(2*'Inputs'!$B$12^2)))*'Inputs'!$B$47</x:f>
        <x:v>661757.1307937652</x:v>
      </x:c>
      <x:c r="D1253" s="78" t="n">
        <x:f>IF('Inputs'!$C$47&gt;0,('Inputs'!$B$30*(3*155*'Inputs'!$B$12-155^2)/(2*'Inputs'!$B$12^2))-('Inputs'!$B$30*(3*154*'Inputs'!$B$12-154^2)/(2*'Inputs'!$B$12^2)),0)</x:f>
        <x:v>283610.1989116147</x:v>
      </x:c>
      <x:c r="E1253" s="78" t="n">
        <x:f>C1253+D1253</x:f>
        <x:v>945367.3297053799</x:v>
      </x:c>
      <x:c r="F1253" s="78" t="n">
        <x:f>'Inputs'!$B$13*E1253+(1-'Inputs'!$B$13)/'Inputs'!$B$14*SUM(E1198:E1253)</x:f>
        <x:v>955585.0065678353</x:v>
      </x:c>
      <x:c r="G1253" s="78" t="n">
        <x:f>F1253*'Inputs'!$F$47</x:f>
        <x:v>334454.75229874236</x:v>
      </x:c>
      <x:c r="H1253" s="78" t="n">
        <x:f>U1252</x:f>
        <x:v>2279152.042472276</x:v>
      </x:c>
      <x:c r="I1253" s="78" t="n">
        <x:f>V1252</x:f>
        <x:v>25146.093541298702</x:v>
      </x:c>
      <x:c r="J1253" s="79" t="n">
        <x:f>IF(H1253&gt;0,I1253/H1253,0)</x:f>
        <x:v>0.011033091725649797</x:v>
      </x:c>
      <x:c r="K1253" s="80" t="n">
        <x:f>(H1253*J1253+I1253)*'Inputs'!$D$47*(1+'Inputs'!$G$47)^(B1253/30)</x:f>
        <x:v>87885.54342476814</x:v>
      </x:c>
      <x:c r="L1253" s="80" t="n">
        <x:f>MAX(0,K1253*'Inputs'!$E$47)</x:f>
        <x:v>4394.277171238407</x:v>
      </x:c>
      <x:c r="M1253" s="80" t="n">
        <x:f>MAX(0,-K1253*'Inputs'!$E$47)</x:f>
        <x:v>0</x:v>
      </x:c>
      <x:c r="N1253" s="78" t="n">
        <x:f>H1253*(L1253*(1-'Inputs'!$B$15))/(I1253+L1253*(1-'Inputs'!$B$15))</x:f>
        <x:v>336144.8902222535</x:v>
      </x:c>
      <x:c r="O1253" s="78" t="n">
        <x:f>H1253-N1253</x:f>
        <x:v>1943007.1522500224</x:v>
      </x:c>
      <x:c r="P1253" s="78" t="n">
        <x:f>I1253+L1253*(1-'Inputs'!$B$17)</x:f>
        <x:v>29522.68750460456</x:v>
      </x:c>
      <x:c r="Q1253" s="78" t="n">
        <x:f>IF(J1253&gt;0,M1253/J1253,0)</x:f>
        <x:v>0</x:v>
      </x:c>
      <x:c r="R1253" s="78" t="n">
        <x:f>IF(B1253='Inputs'!$H$47,'Inputs'!$B$27*'Inputs'!$I$47,0)</x:f>
        <x:v>0</x:v>
      </x:c>
      <x:c r="S1253" s="78" t="n">
        <x:f>Q1253+G1253+R1253</x:f>
        <x:v>334454.75229874236</x:v>
      </x:c>
      <x:c r="T1253" s="78" t="n">
        <x:f>P1253*(S1253*(1-'Inputs'!$B$15))/(O1253+S1253*(1-'Inputs'!$B$15))</x:f>
        <x:v>4298.486652406054</x:v>
      </x:c>
      <x:c r="U1253" s="78" t="n">
        <x:f>O1253+S1253*(1-'Inputs'!$B$17)</x:f>
        <x:v>2276116.010173317</x:v>
      </x:c>
      <x:c r="V1253" s="78" t="n">
        <x:f>P1253-T1253</x:f>
        <x:v>25224.200852198504</x:v>
      </x:c>
      <x:c r="W1253" s="79" t="n">
        <x:f>IF(U1253&gt;0,V1253/U1253,0)</x:f>
        <x:v>0.011082124434543995</x:v>
      </x:c>
      <x:c r="X1253" s="80" t="n">
        <x:f>W1253*('Inputs'!$B$6-AC1253)</x:f>
        <x:v>11054962.656769546</x:v>
      </x:c>
      <x:c r="Y1253" s="80" t="n">
        <x:f>2*V1253</x:f>
        <x:v>50448.40170439701</x:v>
      </x:c>
      <x:c r="Z1253" s="80" t="n">
        <x:f>K1253*'Inputs'!$B$16+(G1253+R1253)*J1253*'Inputs'!$B$16</x:f>
        <x:v>549.4536803097578</x:v>
      </x:c>
      <x:c r="AA1253" s="80" t="n">
        <x:f>K1253*(1+'Inputs'!$E$47)/2*'Inputs'!$B$17</x:f>
        <x:v>185.6736832917637</x:v>
      </x:c>
      <x:c r="AB1253" s="78" t="n">
        <x:f>(IF(J1253&gt;0,K1253*(1-'Inputs'!$E$47)/2/J1253,0)+G1253+R1253)*'Inputs'!$B$17</x:f>
        <x:v>16571.950637507864</x:v>
      </x:c>
      <x:c r="AC1253" s="78" t="n">
        <x:f>AC1252+AB1253</x:f>
        <x:v>2450954.0508121834</x:v>
      </x:c>
      <x:c r="AD1253" s="80" t="n">
        <x:f>Z1253/(1+'Inputs'!$C$47)</x:f>
        <x:v>219.78147212390314</x:v>
      </x:c>
      <x:c r="AE1253" s="80" t="n">
        <x:f>Z1253-AD1253</x:f>
        <x:v>329.6722081858547</x:v>
      </x:c>
      <x:c r="AF1253" s="80" t="n">
        <x:f>D1253*W1253</x:f>
        <x:v>3143.0035152442883</x:v>
      </x:c>
      <x:c r="AG1253" s="80" t="n">
        <x:f>C1253*W1253</x:f>
        <x:v>7333.674868903312</x:v>
      </x:c>
      <x:c r="AH1253" s="80" t="n">
        <x:f>2*'Inputs'!$B$8*'Inputs'!$C$47</x:f>
        <x:v>7500</x:v>
      </x:c>
      <x:c r="AI1253" s="81" t="n">
        <x:f>IF(AH1253&gt;0,(AE1253+AF1253)/AH1253*365,0)</x:f>
        <x:v>169.0035518736003</x:v>
      </x:c>
      <x:c r="AJ1253" s="81" t="n">
        <x:f>IF('Inputs'!$B$47&gt;0,AG1253/('Inputs'!$B$19*'Inputs'!$B$47)*365,0)</x:f>
        <x:v>267.6791327149709</x:v>
      </x:c>
      <x:c r="AK1253" s="81" t="n">
        <x:f>W1253/MAX($W$1099:W1253)-1</x:f>
        <x:v>-0.4998947527010307</x:v>
      </x:c>
      <x:c r="AL1253" s="83" t="n">
        <x:f>'Inputs'!$B$47</x:f>
        <x:v>1</x:v>
      </x:c>
      <x:c r="AM1253" s="83" t="n">
        <x:f>'Inputs'!$C$47</x:f>
        <x:v>1.5</x:v>
      </x:c>
      <x:c r="AN1253" s="83" t="n">
        <x:f>'Inputs'!$D$47</x:f>
        <x:v>1.5</x:v>
      </x:c>
      <x:c r="AO1253" s="81" t="n">
        <x:f>'Inputs'!$E$47</x:f>
        <x:v>0.05</x:v>
      </x:c>
    </x:row>
    <x:row r="1254">
      <x:c r="A1254" s="59" t="str">
        <x:v>Growth</x:v>
      </x:c>
      <x:c r="B1254" s="59" t="n">
        <x:v>156</x:v>
      </x:c>
      <x:c r="C1254" s="78" t="n">
        <x:f>(('Inputs'!$B$29*(3*156*'Inputs'!$B$12-156^2)/(2*'Inputs'!$B$12^2))-('Inputs'!$B$29*(3*155*'Inputs'!$B$12-155^2)/(2*'Inputs'!$B$12^2)))*'Inputs'!$B$47</x:f>
        <x:v>661432.0228936076</x:v>
      </x:c>
      <x:c r="D1254" s="78" t="n">
        <x:f>IF('Inputs'!$C$47&gt;0,('Inputs'!$B$30*(3*156*'Inputs'!$B$12-156^2)/(2*'Inputs'!$B$12^2))-('Inputs'!$B$30*(3*155*'Inputs'!$B$12-155^2)/(2*'Inputs'!$B$12^2)),0)</x:f>
        <x:v>283470.86695440114</x:v>
      </x:c>
      <x:c r="E1254" s="78" t="n">
        <x:f>C1254+D1254</x:f>
        <x:v>944902.8898480088</x:v>
      </x:c>
      <x:c r="F1254" s="78" t="n">
        <x:f>'Inputs'!$B$13*E1254+(1-'Inputs'!$B$13)/'Inputs'!$B$14*SUM(E1199:E1254)</x:f>
        <x:v>955120.5667104537</x:v>
      </x:c>
      <x:c r="G1254" s="78" t="n">
        <x:f>F1254*'Inputs'!$F$47</x:f>
        <x:v>334292.1983486588</x:v>
      </x:c>
      <x:c r="H1254" s="78" t="n">
        <x:f>U1253</x:f>
        <x:v>2276116.010173317</x:v>
      </x:c>
      <x:c r="I1254" s="78" t="n">
        <x:f>V1253</x:f>
        <x:v>25224.200852198504</x:v>
      </x:c>
      <x:c r="J1254" s="79" t="n">
        <x:f>IF(H1254&gt;0,I1254/H1254,0)</x:f>
        <x:v>0.011082124434543995</x:v>
      </x:c>
      <x:c r="K1254" s="80" t="n">
        <x:f>(H1254*J1254+I1254)*'Inputs'!$D$47*(1+'Inputs'!$G$47)^(B1254/30)</x:f>
        <x:v>88245.4331333296</x:v>
      </x:c>
      <x:c r="L1254" s="80" t="n">
        <x:f>MAX(0,K1254*'Inputs'!$E$47)</x:f>
        <x:v>4412.27165666648</x:v>
      </x:c>
      <x:c r="M1254" s="80" t="n">
        <x:f>MAX(0,-K1254*'Inputs'!$E$47)</x:f>
        <x:v>0</x:v>
      </x:c>
      <x:c r="N1254" s="78" t="n">
        <x:f>H1254*(L1254*(1-'Inputs'!$B$15))/(I1254+L1254*(1-'Inputs'!$B$15))</x:f>
        <x:v>335979.1908099978</x:v>
      </x:c>
      <x:c r="O1254" s="78" t="n">
        <x:f>H1254-N1254</x:f>
        <x:v>1940136.8193633193</x:v>
      </x:c>
      <x:c r="P1254" s="78" t="n">
        <x:f>I1254+L1254*(1-'Inputs'!$B$17)</x:f>
        <x:v>29618.716888516225</x:v>
      </x:c>
      <x:c r="Q1254" s="78" t="n">
        <x:f>IF(J1254&gt;0,M1254/J1254,0)</x:f>
        <x:v>0</x:v>
      </x:c>
      <x:c r="R1254" s="78" t="n">
        <x:f>IF(B1254='Inputs'!$H$47,'Inputs'!$B$27*'Inputs'!$I$47,0)</x:f>
        <x:v>0</x:v>
      </x:c>
      <x:c r="S1254" s="78" t="n">
        <x:f>Q1254+G1254+R1254</x:f>
        <x:v>334292.1983486588</x:v>
      </x:c>
      <x:c r="T1254" s="78" t="n">
        <x:f>P1254*(S1254*(1-'Inputs'!$B$15))/(O1254+S1254*(1-'Inputs'!$B$15))</x:f>
        <x:v>4316.125636784848</x:v>
      </x:c>
      <x:c r="U1254" s="78" t="n">
        <x:f>O1254+S1254*(1-'Inputs'!$B$17)</x:f>
        <x:v>2273083.7774771745</x:v>
      </x:c>
      <x:c r="V1254" s="78" t="n">
        <x:f>P1254-T1254</x:f>
        <x:v>25302.591251731377</x:v>
      </x:c>
      <x:c r="W1254" s="79" t="n">
        <x:f>IF(U1254&gt;0,V1254/U1254,0)</x:f>
        <x:v>0.011131394057025889</x:v>
      </x:c>
      <x:c r="X1254" s="80" t="n">
        <x:f>W1254*('Inputs'!$B$6-AC1254)</x:f>
        <x:v>11103927.118956903</x:v>
      </x:c>
      <x:c r="Y1254" s="80" t="n">
        <x:f>2*V1254</x:f>
        <x:v>50605.182503462755</x:v>
      </x:c>
      <x:c r="Z1254" s="80" t="n">
        <x:f>K1254*'Inputs'!$B$16+(G1254+R1254)*J1254*'Inputs'!$B$16</x:f>
        <x:v>551.7006052375602</x:v>
      </x:c>
      <x:c r="AA1254" s="80" t="n">
        <x:f>K1254*(1+'Inputs'!$E$47)/2*'Inputs'!$B$17</x:f>
        <x:v>186.43401366196397</x:v>
      </x:c>
      <x:c r="AB1254" s="78" t="n">
        <x:f>(IF(J1254&gt;0,K1254*(1-'Inputs'!$E$47)/2/J1254,0)+G1254+R1254)*'Inputs'!$B$17</x:f>
        <x:v>16566.003573953436</x:v>
      </x:c>
      <x:c r="AC1254" s="78" t="n">
        <x:f>AC1253+AB1254</x:f>
        <x:v>2467520.054386137</x:v>
      </x:c>
      <x:c r="AD1254" s="80" t="n">
        <x:f>Z1254/(1+'Inputs'!$C$47)</x:f>
        <x:v>220.68024209502408</x:v>
      </x:c>
      <x:c r="AE1254" s="80" t="n">
        <x:f>Z1254-AD1254</x:f>
        <x:v>331.02036314253616</x:v>
      </x:c>
      <x:c r="AF1254" s="80" t="n">
        <x:f>D1254*W1254</x:f>
        <x:v>3155.4259237561973</x:v>
      </x:c>
      <x:c r="AG1254" s="80" t="n">
        <x:f>C1254*W1254</x:f>
        <x:v>7362.660488764515</x:v>
      </x:c>
      <x:c r="AH1254" s="80" t="n">
        <x:f>2*'Inputs'!$B$8*'Inputs'!$C$47</x:f>
        <x:v>7500</x:v>
      </x:c>
      <x:c r="AI1254" s="81" t="n">
        <x:f>IF(AH1254&gt;0,(AE1254+AF1254)/AH1254*365,0)</x:f>
        <x:v>169.67371929573835</x:v>
      </x:c>
      <x:c r="AJ1254" s="81" t="n">
        <x:f>IF('Inputs'!$B$47&gt;0,AG1254/('Inputs'!$B$19*'Inputs'!$B$47)*365,0)</x:f>
        <x:v>268.7371078399048</x:v>
      </x:c>
      <x:c r="AK1254" s="81" t="n">
        <x:f>W1254/MAX($W$1099:W1254)-1</x:f>
        <x:v>-0.497671352586624</x:v>
      </x:c>
      <x:c r="AL1254" s="83" t="n">
        <x:f>'Inputs'!$B$47</x:f>
        <x:v>1</x:v>
      </x:c>
      <x:c r="AM1254" s="83" t="n">
        <x:f>'Inputs'!$C$47</x:f>
        <x:v>1.5</x:v>
      </x:c>
      <x:c r="AN1254" s="83" t="n">
        <x:f>'Inputs'!$D$47</x:f>
        <x:v>1.5</x:v>
      </x:c>
      <x:c r="AO1254" s="81" t="n">
        <x:f>'Inputs'!$E$47</x:f>
        <x:v>0.05</x:v>
      </x:c>
    </x:row>
    <x:row r="1255">
      <x:c r="A1255" s="59" t="str">
        <x:v>Growth</x:v>
      </x:c>
      <x:c r="B1255" s="59" t="n">
        <x:v>157</x:v>
      </x:c>
      <x:c r="C1255" s="78" t="n">
        <x:f>(('Inputs'!$B$29*(3*157*'Inputs'!$B$12-157^2)/(2*'Inputs'!$B$12^2))-('Inputs'!$B$29*(3*156*'Inputs'!$B$12-156^2)/(2*'Inputs'!$B$12^2)))*'Inputs'!$B$47</x:f>
        <x:v>661106.9149934351</x:v>
      </x:c>
      <x:c r="D1255" s="78" t="n">
        <x:f>IF('Inputs'!$C$47&gt;0,('Inputs'!$B$30*(3*157*'Inputs'!$B$12-157^2)/(2*'Inputs'!$B$12^2))-('Inputs'!$B$30*(3*156*'Inputs'!$B$12-156^2)/(2*'Inputs'!$B$12^2)),0)</x:f>
        <x:v>283331.53499718755</x:v>
      </x:c>
      <x:c r="E1255" s="78" t="n">
        <x:f>C1255+D1255</x:f>
        <x:v>944438.4499906227</x:v>
      </x:c>
      <x:c r="F1255" s="78" t="n">
        <x:f>'Inputs'!$B$13*E1255+(1-'Inputs'!$B$13)/'Inputs'!$B$14*SUM(E1200:E1255)</x:f>
        <x:v>954656.1268530695</x:v>
      </x:c>
      <x:c r="G1255" s="78" t="n">
        <x:f>F1255*'Inputs'!$F$47</x:f>
        <x:v>334129.6443985743</x:v>
      </x:c>
      <x:c r="H1255" s="78" t="n">
        <x:f>U1254</x:f>
        <x:v>2273083.7774771745</x:v>
      </x:c>
      <x:c r="I1255" s="78" t="n">
        <x:f>V1254</x:f>
        <x:v>25302.591251731377</x:v>
      </x:c>
      <x:c r="J1255" s="79" t="n">
        <x:f>IF(H1255&gt;0,I1255/H1255,0)</x:f>
        <x:v>0.011131394057025889</x:v>
      </x:c>
      <x:c r="K1255" s="80" t="n">
        <x:f>(H1255*J1255+I1255)*'Inputs'!$D$47*(1+'Inputs'!$G$47)^(B1255/30)</x:f>
        <x:v>88606.9383274113</x:v>
      </x:c>
      <x:c r="L1255" s="80" t="n">
        <x:f>MAX(0,K1255*'Inputs'!$E$47)</x:f>
        <x:v>4430.346916370566</x:v>
      </x:c>
      <x:c r="M1255" s="80" t="n">
        <x:f>MAX(0,-K1255*'Inputs'!$E$47)</x:f>
        <x:v>0</x:v>
      </x:c>
      <x:c r="N1255" s="78" t="n">
        <x:f>H1255*(L1255*(1-'Inputs'!$B$15))/(I1255+L1255*(1-'Inputs'!$B$15))</x:f>
        <x:v>335813.49591372523</x:v>
      </x:c>
      <x:c r="O1255" s="78" t="n">
        <x:f>H1255-N1255</x:f>
        <x:v>1937270.2815634492</x:v>
      </x:c>
      <x:c r="P1255" s="78" t="n">
        <x:f>I1255+L1255*(1-'Inputs'!$B$17)</x:f>
        <x:v>29715.109810289585</x:v>
      </x:c>
      <x:c r="Q1255" s="78" t="n">
        <x:f>IF(J1255&gt;0,M1255/J1255,0)</x:f>
        <x:v>0</x:v>
      </x:c>
      <x:c r="R1255" s="78" t="n">
        <x:f>IF(B1255='Inputs'!$H$47,'Inputs'!$B$27*'Inputs'!$I$47,0)</x:f>
        <x:v>0</x:v>
      </x:c>
      <x:c r="S1255" s="78" t="n">
        <x:f>Q1255+G1255+R1255</x:f>
        <x:v>334129.6443985743</x:v>
      </x:c>
      <x:c r="T1255" s="78" t="n">
        <x:f>P1255*(S1255*(1-'Inputs'!$B$15))/(O1255+S1255*(1-'Inputs'!$B$15))</x:f>
        <x:v>4333.843911929044</x:v>
      </x:c>
      <x:c r="U1255" s="78" t="n">
        <x:f>O1255+S1255*(1-'Inputs'!$B$17)</x:f>
        <x:v>2270055.3398678643</x:v>
      </x:c>
      <x:c r="V1255" s="78" t="n">
        <x:f>P1255-T1255</x:f>
        <x:v>25381.26589836054</x:v>
      </x:c>
      <x:c r="W1255" s="79" t="n">
        <x:f>IF(U1255&gt;0,V1255/U1255,0)</x:f>
        <x:v>0.01118090182763471</x:v>
      </x:c>
      <x:c r="X1255" s="80" t="n">
        <x:f>W1255*('Inputs'!$B$6-AC1255)</x:f>
        <x:v>11153127.571780536</x:v>
      </x:c>
      <x:c r="Y1255" s="80" t="n">
        <x:f>2*V1255</x:f>
        <x:v>50762.53179672108</x:v>
      </x:c>
      <x:c r="Z1255" s="80" t="n">
        <x:f>K1255*'Inputs'!$B$16+(G1255+R1255)*J1255*'Inputs'!$B$16</x:f>
        <x:v>553.9576023920746</x:v>
      </x:c>
      <x:c r="AA1255" s="80" t="n">
        <x:f>K1255*(1+'Inputs'!$E$47)/2*'Inputs'!$B$17</x:f>
        <x:v>187.19775702974223</x:v>
      </x:c>
      <x:c r="AB1255" s="78" t="n">
        <x:f>(IF(J1255&gt;0,K1255*(1-'Inputs'!$E$47)/2/J1255,0)+G1255+R1255)*'Inputs'!$B$17</x:f>
        <x:v>16560.05671263795</x:v>
      </x:c>
      <x:c r="AC1255" s="78" t="n">
        <x:f>AC1254+AB1255</x:f>
        <x:v>2484080.111098775</x:v>
      </x:c>
      <x:c r="AD1255" s="80" t="n">
        <x:f>Z1255/(1+'Inputs'!$C$47)</x:f>
        <x:v>221.58304095682985</x:v>
      </x:c>
      <x:c r="AE1255" s="80" t="n">
        <x:f>Z1255-AD1255</x:f>
        <x:v>332.37456143524474</x:v>
      </x:c>
      <x:c r="AF1255" s="80" t="n">
        <x:f>D1255*W1255</x:f>
        <x:v>3167.9020774766022</x:v>
      </x:c>
      <x:c r="AG1255" s="80" t="n">
        <x:f>C1255*W1255</x:f>
        <x:v>7391.771514112044</x:v>
      </x:c>
      <x:c r="AH1255" s="80" t="n">
        <x:f>2*'Inputs'!$B$8*'Inputs'!$C$47</x:f>
        <x:v>7500</x:v>
      </x:c>
      <x:c r="AI1255" s="81" t="n">
        <x:f>IF(AH1255&gt;0,(AE1255+AF1255)/AH1255*365,0)</x:f>
        <x:v>170.34679642704322</x:v>
      </x:c>
      <x:c r="AJ1255" s="81" t="n">
        <x:f>IF('Inputs'!$B$47&gt;0,AG1255/('Inputs'!$B$19*'Inputs'!$B$47)*365,0)</x:f>
        <x:v>269.79966026508964</x:v>
      </x:c>
      <x:c r="AK1255" s="81" t="n">
        <x:f>W1255/MAX($W$1099:W1255)-1</x:f>
        <x:v>-0.49543720551403125</x:v>
      </x:c>
      <x:c r="AL1255" s="83" t="n">
        <x:f>'Inputs'!$B$47</x:f>
        <x:v>1</x:v>
      </x:c>
      <x:c r="AM1255" s="83" t="n">
        <x:f>'Inputs'!$C$47</x:f>
        <x:v>1.5</x:v>
      </x:c>
      <x:c r="AN1255" s="83" t="n">
        <x:f>'Inputs'!$D$47</x:f>
        <x:v>1.5</x:v>
      </x:c>
      <x:c r="AO1255" s="81" t="n">
        <x:f>'Inputs'!$E$47</x:f>
        <x:v>0.05</x:v>
      </x:c>
    </x:row>
    <x:row r="1256">
      <x:c r="A1256" s="59" t="str">
        <x:v>Growth</x:v>
      </x:c>
      <x:c r="B1256" s="59" t="n">
        <x:v>158</x:v>
      </x:c>
      <x:c r="C1256" s="78" t="n">
        <x:f>(('Inputs'!$B$29*(3*158*'Inputs'!$B$12-158^2)/(2*'Inputs'!$B$12^2))-('Inputs'!$B$29*(3*157*'Inputs'!$B$12-157^2)/(2*'Inputs'!$B$12^2)))*'Inputs'!$B$47</x:f>
        <x:v>660781.8070932627</x:v>
      </x:c>
      <x:c r="D1256" s="78" t="n">
        <x:f>IF('Inputs'!$C$47&gt;0,('Inputs'!$B$30*(3*158*'Inputs'!$B$12-158^2)/(2*'Inputs'!$B$12^2))-('Inputs'!$B$30*(3*157*'Inputs'!$B$12-157^2)/(2*'Inputs'!$B$12^2)),0)</x:f>
        <x:v>283192.2030399665</x:v>
      </x:c>
      <x:c r="E1256" s="78" t="n">
        <x:f>C1256+D1256</x:f>
        <x:v>943974.0101332292</x:v>
      </x:c>
      <x:c r="F1256" s="78" t="n">
        <x:f>'Inputs'!$B$13*E1256+(1-'Inputs'!$B$13)/'Inputs'!$B$14*SUM(E1201:E1256)</x:f>
        <x:v>954191.6869956832</x:v>
      </x:c>
      <x:c r="G1256" s="78" t="n">
        <x:f>F1256*'Inputs'!$F$47</x:f>
        <x:v>333967.0904484891</x:v>
      </x:c>
      <x:c r="H1256" s="78" t="n">
        <x:f>U1255</x:f>
        <x:v>2270055.3398678643</x:v>
      </x:c>
      <x:c r="I1256" s="78" t="n">
        <x:f>V1255</x:f>
        <x:v>25381.26589836054</x:v>
      </x:c>
      <x:c r="J1256" s="79" t="n">
        <x:f>IF(H1256&gt;0,I1256/H1256,0)</x:f>
        <x:v>0.01118090182763471</x:v>
      </x:c>
      <x:c r="K1256" s="80" t="n">
        <x:f>(H1256*J1256+I1256)*'Inputs'!$D$47*(1+'Inputs'!$G$47)^(B1256/30)</x:f>
        <x:v>88970.06688037</x:v>
      </x:c>
      <x:c r="L1256" s="80" t="n">
        <x:f>MAX(0,K1256*'Inputs'!$E$47)</x:f>
        <x:v>4448.5033440185</x:v>
      </x:c>
      <x:c r="M1256" s="80" t="n">
        <x:f>MAX(0,-K1256*'Inputs'!$E$47)</x:f>
        <x:v>0</x:v>
      </x:c>
      <x:c r="N1256" s="78" t="n">
        <x:f>H1256*(L1256*(1-'Inputs'!$B$15))/(I1256+L1256*(1-'Inputs'!$B$15))</x:f>
        <x:v>335647.8055631192</x:v>
      </x:c>
      <x:c r="O1256" s="78" t="n">
        <x:f>H1256-N1256</x:f>
        <x:v>1934407.534304745</x:v>
      </x:c>
      <x:c r="P1256" s="78" t="n">
        <x:f>I1256+L1256*(1-'Inputs'!$B$17)</x:f>
        <x:v>29811.86782047152</x:v>
      </x:c>
      <x:c r="Q1256" s="78" t="n">
        <x:f>IF(J1256&gt;0,M1256/J1256,0)</x:f>
        <x:v>0</x:v>
      </x:c>
      <x:c r="R1256" s="78" t="n">
        <x:f>IF(B1256='Inputs'!$H$47,'Inputs'!$B$27*'Inputs'!$I$47,0)</x:f>
        <x:v>0</x:v>
      </x:c>
      <x:c r="S1256" s="78" t="n">
        <x:f>Q1256+G1256+R1256</x:f>
        <x:v>333967.0904484891</x:v>
      </x:c>
      <x:c r="T1256" s="78" t="n">
        <x:f>P1256*(S1256*(1-'Inputs'!$B$15))/(O1256+S1256*(1-'Inputs'!$B$15))</x:f>
        <x:v>4351.641864299294</x:v>
      </x:c>
      <x:c r="U1256" s="78" t="n">
        <x:f>O1256+S1256*(1-'Inputs'!$B$17)</x:f>
        <x:v>2267030.692799719</x:v>
      </x:c>
      <x:c r="V1256" s="78" t="n">
        <x:f>P1256-T1256</x:f>
        <x:v>25460.225956172228</x:v>
      </x:c>
      <x:c r="W1256" s="79" t="n">
        <x:f>IF(U1256&gt;0,V1256/U1256,0)</x:f>
        <x:v>0.011230648988139445</x:v>
      </x:c>
      <x:c r="X1256" s="80" t="n">
        <x:f>W1256*('Inputs'!$B$6-AC1256)</x:f>
        <x:v>11202565.242953949</x:v>
      </x:c>
      <x:c r="Y1256" s="80" t="n">
        <x:f>2*V1256</x:f>
        <x:v>50920.451912344455</x:v>
      </x:c>
      <x:c r="Z1256" s="80" t="n">
        <x:f>K1256*'Inputs'!$B$16+(G1256+R1256)*J1256*'Inputs'!$B$16</x:f>
        <x:v>556.2247207940122</x:v>
      </x:c>
      <x:c r="AA1256" s="80" t="n">
        <x:f>K1256*(1+'Inputs'!$E$47)/2*'Inputs'!$B$17</x:f>
        <x:v>187.96493002895073</x:v>
      </x:c>
      <x:c r="AB1256" s="78" t="n">
        <x:f>(IF(J1256&gt;0,K1256*(1-'Inputs'!$E$47)/2/J1256,0)+G1256+R1256)*'Inputs'!$B$17</x:f>
        <x:v>16554.110053916815</x:v>
      </x:c>
      <x:c r="AC1256" s="78" t="n">
        <x:f>AC1255+AB1256</x:f>
        <x:v>2500634.221152692</x:v>
      </x:c>
      <x:c r="AD1256" s="80" t="n">
        <x:f>Z1256/(1+'Inputs'!$C$47)</x:f>
        <x:v>222.48988831760488</x:v>
      </x:c>
      <x:c r="AE1256" s="80" t="n">
        <x:f>Z1256-AD1256</x:f>
        <x:v>333.73483247640735</x:v>
      </x:c>
      <x:c r="AF1256" s="80" t="n">
        <x:f>D1256*W1256</x:f>
        <x:v>3180.43222851978</x:v>
      </x:c>
      <x:c r="AG1256" s="80" t="n">
        <x:f>C1256*W1256</x:f>
        <x:v>7421.008533212904</x:v>
      </x:c>
      <x:c r="AH1256" s="80" t="n">
        <x:f>2*'Inputs'!$B$8*'Inputs'!$C$47</x:f>
        <x:v>7500</x:v>
      </x:c>
      <x:c r="AI1256" s="81" t="n">
        <x:f>IF(AH1256&gt;0,(AE1256+AF1256)/AH1256*365,0)</x:f>
        <x:v>171.02279696848112</x:v>
      </x:c>
      <x:c r="AJ1256" s="81" t="n">
        <x:f>IF('Inputs'!$B$47&gt;0,AG1256/('Inputs'!$B$19*'Inputs'!$B$47)*365,0)</x:f>
        <x:v>270.866811462271</x:v>
      </x:c>
      <x:c r="AK1256" s="81" t="n">
        <x:f>W1256/MAX($W$1099:W1256)-1</x:f>
        <x:v>-0.4931922554456949</x:v>
      </x:c>
      <x:c r="AL1256" s="83" t="n">
        <x:f>'Inputs'!$B$47</x:f>
        <x:v>1</x:v>
      </x:c>
      <x:c r="AM1256" s="83" t="n">
        <x:f>'Inputs'!$C$47</x:f>
        <x:v>1.5</x:v>
      </x:c>
      <x:c r="AN1256" s="83" t="n">
        <x:f>'Inputs'!$D$47</x:f>
        <x:v>1.5</x:v>
      </x:c>
      <x:c r="AO1256" s="81" t="n">
        <x:f>'Inputs'!$E$47</x:f>
        <x:v>0.05</x:v>
      </x:c>
    </x:row>
    <x:row r="1257">
      <x:c r="A1257" s="59" t="str">
        <x:v>Growth</x:v>
      </x:c>
      <x:c r="B1257" s="59" t="n">
        <x:v>159</x:v>
      </x:c>
      <x:c r="C1257" s="78" t="n">
        <x:f>(('Inputs'!$B$29*(3*159*'Inputs'!$B$12-159^2)/(2*'Inputs'!$B$12^2))-('Inputs'!$B$29*(3*158*'Inputs'!$B$12-158^2)/(2*'Inputs'!$B$12^2)))*'Inputs'!$B$47</x:f>
        <x:v>660456.6991930902</x:v>
      </x:c>
      <x:c r="D1257" s="78" t="n">
        <x:f>IF('Inputs'!$C$47&gt;0,('Inputs'!$B$30*(3*159*'Inputs'!$B$12-159^2)/(2*'Inputs'!$B$12^2))-('Inputs'!$B$30*(3*158*'Inputs'!$B$12-158^2)/(2*'Inputs'!$B$12^2)),0)</x:f>
        <x:v>283052.87108275294</x:v>
      </x:c>
      <x:c r="E1257" s="78" t="n">
        <x:f>C1257+D1257</x:f>
        <x:v>943509.5702758431</x:v>
      </x:c>
      <x:c r="F1257" s="78" t="n">
        <x:f>'Inputs'!$B$13*E1257+(1-'Inputs'!$B$13)/'Inputs'!$B$14*SUM(E1202:E1257)</x:f>
        <x:v>953727.2471382986</x:v>
      </x:c>
      <x:c r="G1257" s="78" t="n">
        <x:f>F1257*'Inputs'!$F$47</x:f>
        <x:v>333804.53649840446</x:v>
      </x:c>
      <x:c r="H1257" s="78" t="n">
        <x:f>U1256</x:f>
        <x:v>2267030.692799719</x:v>
      </x:c>
      <x:c r="I1257" s="78" t="n">
        <x:f>V1256</x:f>
        <x:v>25460.225956172228</x:v>
      </x:c>
      <x:c r="J1257" s="79" t="n">
        <x:f>IF(H1257&gt;0,I1257/H1257,0)</x:f>
        <x:v>0.011230648988139445</x:v>
      </x:c>
      <x:c r="K1257" s="80" t="n">
        <x:f>(H1257*J1257+I1257)*'Inputs'!$D$47*(1+'Inputs'!$G$47)^(B1257/30)</x:f>
        <x:v>89334.82670821474</x:v>
      </x:c>
      <x:c r="L1257" s="80" t="n">
        <x:f>MAX(0,K1257*'Inputs'!$E$47)</x:f>
        <x:v>4466.741335410737</x:v>
      </x:c>
      <x:c r="M1257" s="80" t="n">
        <x:f>MAX(0,-K1257*'Inputs'!$E$47)</x:f>
        <x:v>0</x:v>
      </x:c>
      <x:c r="N1257" s="78" t="n">
        <x:f>H1257*(L1257*(1-'Inputs'!$B$15))/(I1257+L1257*(1-'Inputs'!$B$15))</x:f>
        <x:v>335482.119782736</x:v>
      </x:c>
      <x:c r="O1257" s="78" t="n">
        <x:f>H1257-N1257</x:f>
        <x:v>1931548.573016983</x:v>
      </x:c>
      <x:c r="P1257" s="78" t="n">
        <x:f>I1257+L1257*(1-'Inputs'!$B$17)</x:f>
        <x:v>29908.992477355958</x:v>
      </x:c>
      <x:c r="Q1257" s="78" t="n">
        <x:f>IF(J1257&gt;0,M1257/J1257,0)</x:f>
        <x:v>0</x:v>
      </x:c>
      <x:c r="R1257" s="78" t="n">
        <x:f>IF(B1257='Inputs'!$H$47,'Inputs'!$B$27*'Inputs'!$I$47,0)</x:f>
        <x:v>0</x:v>
      </x:c>
      <x:c r="S1257" s="78" t="n">
        <x:f>Q1257+G1257+R1257</x:f>
        <x:v>333804.53649840446</x:v>
      </x:c>
      <x:c r="T1257" s="78" t="n">
        <x:f>P1257*(S1257*(1-'Inputs'!$B$15))/(O1257+S1257*(1-'Inputs'!$B$15))</x:f>
        <x:v>4369.519882503533</x:v>
      </x:c>
      <x:c r="U1257" s="78" t="n">
        <x:f>O1257+S1257*(1-'Inputs'!$B$17)</x:f>
        <x:v>2264009.8317025164</x:v>
      </x:c>
      <x:c r="V1257" s="78" t="n">
        <x:f>P1257-T1257</x:f>
        <x:v>25539.472594852425</x:v>
      </x:c>
      <x:c r="W1257" s="79" t="n">
        <x:f>IF(U1257&gt;0,V1257/U1257,0)</x:f>
        <x:v>0.011280636787538574</x:v>
      </x:c>
      <x:c r="X1257" s="80" t="n">
        <x:f>W1257*('Inputs'!$B$6-AC1257)</x:f>
        <x:v>11252241.367328214</x:v>
      </x:c>
      <x:c r="Y1257" s="80" t="n">
        <x:f>2*V1257</x:f>
        <x:v>51078.94518970485</x:v>
      </x:c>
      <x:c r="Z1257" s="80" t="n">
        <x:f>K1257*'Inputs'!$B$16+(G1257+R1257)*J1257*'Inputs'!$B$16</x:f>
        <x:v>558.5020097296614</x:v>
      </x:c>
      <x:c r="AA1257" s="80" t="n">
        <x:f>K1257*(1+'Inputs'!$E$47)/2*'Inputs'!$B$17</x:f>
        <x:v>188.7355493835523</x:v>
      </x:c>
      <x:c r="AB1257" s="78" t="n">
        <x:f>(IF(J1257&gt;0,K1257*(1-'Inputs'!$E$47)/2/J1257,0)+G1257+R1257)*'Inputs'!$B$17</x:f>
        <x:v>16548.16359791191</x:v>
      </x:c>
      <x:c r="AC1257" s="78" t="n">
        <x:f>AC1256+AB1257</x:f>
        <x:v>2517182.384750604</x:v>
      </x:c>
      <x:c r="AD1257" s="80" t="n">
        <x:f>Z1257/(1+'Inputs'!$C$47)</x:f>
        <x:v>223.40080389186454</x:v>
      </x:c>
      <x:c r="AE1257" s="80" t="n">
        <x:f>Z1257-AD1257</x:f>
        <x:v>335.10120583779684</x:v>
      </x:c>
      <x:c r="AF1257" s="80" t="n">
        <x:f>D1257*W1257</x:f>
        <x:v>3193.0166303545166</x:v>
      </x:c>
      <x:c r="AG1257" s="80" t="n">
        <x:f>C1257*W1257</x:f>
        <x:v>7450.372137493871</x:v>
      </x:c>
      <x:c r="AH1257" s="80" t="n">
        <x:f>2*'Inputs'!$B$8*'Inputs'!$C$47</x:f>
        <x:v>7500</x:v>
      </x:c>
      <x:c r="AI1257" s="81" t="n">
        <x:f>IF(AH1257&gt;0,(AE1257+AF1257)/AH1257*365,0)</x:f>
        <x:v>171.7017346946926</x:v>
      </x:c>
      <x:c r="AJ1257" s="81" t="n">
        <x:f>IF('Inputs'!$B$47&gt;0,AG1257/('Inputs'!$B$19*'Inputs'!$B$47)*365,0)</x:f>
        <x:v>271.9385830185263</x:v>
      </x:c>
      <x:c r="AK1257" s="81" t="n">
        <x:f>W1257/MAX($W$1099:W1257)-1</x:f>
        <x:v>-0.4909364460178104</x:v>
      </x:c>
      <x:c r="AL1257" s="83" t="n">
        <x:f>'Inputs'!$B$47</x:f>
        <x:v>1</x:v>
      </x:c>
      <x:c r="AM1257" s="83" t="n">
        <x:f>'Inputs'!$C$47</x:f>
        <x:v>1.5</x:v>
      </x:c>
      <x:c r="AN1257" s="83" t="n">
        <x:f>'Inputs'!$D$47</x:f>
        <x:v>1.5</x:v>
      </x:c>
      <x:c r="AO1257" s="81" t="n">
        <x:f>'Inputs'!$E$47</x:f>
        <x:v>0.05</x:v>
      </x:c>
    </x:row>
    <x:row r="1258">
      <x:c r="A1258" s="59" t="str">
        <x:v>Growth</x:v>
      </x:c>
      <x:c r="B1258" s="59" t="n">
        <x:v>160</x:v>
      </x:c>
      <x:c r="C1258" s="78" t="n">
        <x:f>(('Inputs'!$B$29*(3*160*'Inputs'!$B$12-160^2)/(2*'Inputs'!$B$12^2))-('Inputs'!$B$29*(3*159*'Inputs'!$B$12-159^2)/(2*'Inputs'!$B$12^2)))*'Inputs'!$B$47</x:f>
        <x:v>660131.5912929177</x:v>
      </x:c>
      <x:c r="D1258" s="78" t="n">
        <x:f>IF('Inputs'!$C$47&gt;0,('Inputs'!$B$30*(3*160*'Inputs'!$B$12-160^2)/(2*'Inputs'!$B$12^2))-('Inputs'!$B$30*(3*159*'Inputs'!$B$12-159^2)/(2*'Inputs'!$B$12^2)),0)</x:f>
        <x:v>282913.53912553936</x:v>
      </x:c>
      <x:c r="E1258" s="78" t="n">
        <x:f>C1258+D1258</x:f>
        <x:v>943045.1304184571</x:v>
      </x:c>
      <x:c r="F1258" s="78" t="n">
        <x:f>'Inputs'!$B$13*E1258+(1-'Inputs'!$B$13)/'Inputs'!$B$14*SUM(E1203:E1258)</x:f>
        <x:v>953262.807280914</x:v>
      </x:c>
      <x:c r="G1258" s="78" t="n">
        <x:f>F1258*'Inputs'!$F$47</x:f>
        <x:v>333641.9825483199</x:v>
      </x:c>
      <x:c r="H1258" s="78" t="n">
        <x:f>U1257</x:f>
        <x:v>2264009.8317025164</x:v>
      </x:c>
      <x:c r="I1258" s="78" t="n">
        <x:f>V1257</x:f>
        <x:v>25539.472594852425</x:v>
      </x:c>
      <x:c r="J1258" s="79" t="n">
        <x:f>IF(H1258&gt;0,I1258/H1258,0)</x:f>
        <x:v>0.011280636787538574</x:v>
      </x:c>
      <x:c r="K1258" s="80" t="n">
        <x:f>(H1258*J1258+I1258)*'Inputs'!$D$47*(1+'Inputs'!$G$47)^(B1258/30)</x:f>
        <x:v>89701.2257696729</x:v>
      </x:c>
      <x:c r="L1258" s="80" t="n">
        <x:f>MAX(0,K1258*'Inputs'!$E$47)</x:f>
        <x:v>4485.0612884836455</x:v>
      </x:c>
      <x:c r="M1258" s="80" t="n">
        <x:f>MAX(0,-K1258*'Inputs'!$E$47)</x:f>
        <x:v>0</x:v>
      </x:c>
      <x:c r="N1258" s="78" t="n">
        <x:f>H1258*(L1258*(1-'Inputs'!$B$15))/(I1258+L1258*(1-'Inputs'!$B$15))</x:f>
        <x:v>335316.438592744</x:v>
      </x:c>
      <x:c r="O1258" s="78" t="n">
        <x:f>H1258-N1258</x:f>
        <x:v>1928693.3931097724</x:v>
      </x:c>
      <x:c r="P1258" s="78" t="n">
        <x:f>I1258+L1258*(1-'Inputs'!$B$17)</x:f>
        <x:v>30006.485346963902</x:v>
      </x:c>
      <x:c r="Q1258" s="78" t="n">
        <x:f>IF(J1258&gt;0,M1258/J1258,0)</x:f>
        <x:v>0</x:v>
      </x:c>
      <x:c r="R1258" s="78" t="n">
        <x:f>IF(B1258='Inputs'!$H$47,'Inputs'!$B$27*'Inputs'!$I$47,0)</x:f>
        <x:v>0</x:v>
      </x:c>
      <x:c r="S1258" s="78" t="n">
        <x:f>Q1258+G1258+R1258</x:f>
        <x:v>333641.9825483199</x:v>
      </x:c>
      <x:c r="T1258" s="78" t="n">
        <x:f>P1258*(S1258*(1-'Inputs'!$B$15))/(O1258+S1258*(1-'Inputs'!$B$15))</x:f>
        <x:v>4387.47835729318</x:v>
      </x:c>
      <x:c r="U1258" s="78" t="n">
        <x:f>O1258+S1258*(1-'Inputs'!$B$17)</x:f>
        <x:v>2260992.7519858656</x:v>
      </x:c>
      <x:c r="V1258" s="78" t="n">
        <x:f>P1258-T1258</x:f>
        <x:v>25619.00698967072</x:v>
      </x:c>
      <x:c r="W1258" s="79" t="n">
        <x:f>IF(U1258&gt;0,V1258/U1258,0)</x:f>
        <x:v>0.01133086648206596</x:v>
      </x:c>
      <x:c r="X1258" s="80" t="n">
        <x:f>W1258*('Inputs'!$B$6-AC1258)</x:f>
        <x:v>11302157.186897295</x:v>
      </x:c>
      <x:c r="Y1258" s="80" t="n">
        <x:f>2*V1258</x:f>
        <x:v>51238.01397934144</x:v>
      </x:c>
      <x:c r="Z1258" s="80" t="n">
        <x:f>K1258*'Inputs'!$B$16+(G1258+R1258)*J1258*'Inputs'!$B$16</x:f>
        <x:v>560.7895187512488</x:v>
      </x:c>
      <x:c r="AA1258" s="80" t="n">
        <x:f>K1258*(1+'Inputs'!$E$47)/2*'Inputs'!$B$17</x:f>
        <x:v>189.50963190775968</x:v>
      </x:c>
      <x:c r="AB1258" s="78" t="n">
        <x:f>(IF(J1258&gt;0,K1258*(1-'Inputs'!$E$47)/2/J1258,0)+G1258+R1258)*'Inputs'!$B$17</x:f>
        <x:v>16542.217344544915</x:v>
      </x:c>
      <x:c r="AC1258" s="78" t="n">
        <x:f>AC1257+AB1258</x:f>
        <x:v>2533724.602095149</x:v>
      </x:c>
      <x:c r="AD1258" s="80" t="n">
        <x:f>Z1258/(1+'Inputs'!$C$47)</x:f>
        <x:v>224.31580750049952</x:v>
      </x:c>
      <x:c r="AE1258" s="80" t="n">
        <x:f>Z1258-AD1258</x:f>
        <x:v>336.47371125074926</x:v>
      </x:c>
      <x:c r="AF1258" s="80" t="n">
        <x:f>D1258*W1258</x:f>
        <x:v>3205.655537800231</x:v>
      </x:c>
      <x:c r="AG1258" s="80" t="n">
        <x:f>C1258*W1258</x:f>
        <x:v>7479.862921533787</x:v>
      </x:c>
      <x:c r="AH1258" s="80" t="n">
        <x:f>2*'Inputs'!$B$8*'Inputs'!$C$47</x:f>
        <x:v>7500</x:v>
      </x:c>
      <x:c r="AI1258" s="81" t="n">
        <x:f>IF(AH1258&gt;0,(AE1258+AF1258)/AH1258*365,0)</x:f>
        <x:v>172.38362345381435</x:v>
      </x:c>
      <x:c r="AJ1258" s="81" t="n">
        <x:f>IF('Inputs'!$B$47&gt;0,AG1258/('Inputs'!$B$19*'Inputs'!$B$47)*365,0)</x:f>
        <x:v>273.0149966359832</x:v>
      </x:c>
      <x:c r="AK1258" s="81" t="n">
        <x:f>W1258/MAX($W$1099:W1258)-1</x:f>
        <x:v>-0.48866972054006097</x:v>
      </x:c>
      <x:c r="AL1258" s="83" t="n">
        <x:f>'Inputs'!$B$47</x:f>
        <x:v>1</x:v>
      </x:c>
      <x:c r="AM1258" s="83" t="n">
        <x:f>'Inputs'!$C$47</x:f>
        <x:v>1.5</x:v>
      </x:c>
      <x:c r="AN1258" s="83" t="n">
        <x:f>'Inputs'!$D$47</x:f>
        <x:v>1.5</x:v>
      </x:c>
      <x:c r="AO1258" s="81" t="n">
        <x:f>'Inputs'!$E$47</x:f>
        <x:v>0.05</x:v>
      </x:c>
    </x:row>
    <x:row r="1259">
      <x:c r="A1259" s="59" t="str">
        <x:v>Growth</x:v>
      </x:c>
      <x:c r="B1259" s="59" t="n">
        <x:v>161</x:v>
      </x:c>
      <x:c r="C1259" s="78" t="n">
        <x:f>(('Inputs'!$B$29*(3*161*'Inputs'!$B$12-161^2)/(2*'Inputs'!$B$12^2))-('Inputs'!$B$29*(3*160*'Inputs'!$B$12-160^2)/(2*'Inputs'!$B$12^2)))*'Inputs'!$B$47</x:f>
        <x:v>659806.4833927602</x:v>
      </x:c>
      <x:c r="D1259" s="78" t="n">
        <x:f>IF('Inputs'!$C$47&gt;0,('Inputs'!$B$30*(3*161*'Inputs'!$B$12-161^2)/(2*'Inputs'!$B$12^2))-('Inputs'!$B$30*(3*160*'Inputs'!$B$12-160^2)/(2*'Inputs'!$B$12^2)),0)</x:f>
        <x:v>282774.2071683258</x:v>
      </x:c>
      <x:c r="E1259" s="78" t="n">
        <x:f>C1259+D1259</x:f>
        <x:v>942580.6905610859</x:v>
      </x:c>
      <x:c r="F1259" s="78" t="n">
        <x:f>'Inputs'!$B$13*E1259+(1-'Inputs'!$B$13)/'Inputs'!$B$14*SUM(E1204:E1259)</x:f>
        <x:v>952798.3674235325</x:v>
      </x:c>
      <x:c r="G1259" s="78" t="n">
        <x:f>F1259*'Inputs'!$F$47</x:f>
        <x:v>333479.42859823635</x:v>
      </x:c>
      <x:c r="H1259" s="78" t="n">
        <x:f>U1258</x:f>
        <x:v>2260992.7519858656</x:v>
      </x:c>
      <x:c r="I1259" s="78" t="n">
        <x:f>V1258</x:f>
        <x:v>25619.00698967072</x:v>
      </x:c>
      <x:c r="J1259" s="79" t="n">
        <x:f>IF(H1259&gt;0,I1259/H1259,0)</x:f>
        <x:v>0.01133086648206596</x:v>
      </x:c>
      <x:c r="K1259" s="80" t="n">
        <x:f>(H1259*J1259+I1259)*'Inputs'!$D$47*(1+'Inputs'!$G$47)^(B1259/30)</x:f>
        <x:v>90069.272066281</x:v>
      </x:c>
      <x:c r="L1259" s="80" t="n">
        <x:f>MAX(0,K1259*'Inputs'!$E$47)</x:f>
        <x:v>4503.4636033140505</x:v>
      </x:c>
      <x:c r="M1259" s="80" t="n">
        <x:f>MAX(0,-K1259*'Inputs'!$E$47)</x:f>
        <x:v>0</x:v>
      </x:c>
      <x:c r="N1259" s="78" t="n">
        <x:f>H1259*(L1259*(1-'Inputs'!$B$15))/(I1259+L1259*(1-'Inputs'!$B$15))</x:f>
        <x:v>335150.7620095563</x:v>
      </x:c>
      <x:c r="O1259" s="78" t="n">
        <x:f>H1259-N1259</x:f>
        <x:v>1925841.9899763092</x:v>
      </x:c>
      <x:c r="P1259" s="78" t="n">
        <x:f>I1259+L1259*(1-'Inputs'!$B$17)</x:f>
        <x:v>30104.348003031795</x:v>
      </x:c>
      <x:c r="Q1259" s="78" t="n">
        <x:f>IF(J1259&gt;0,M1259/J1259,0)</x:f>
        <x:v>0</x:v>
      </x:c>
      <x:c r="R1259" s="78" t="n">
        <x:f>IF(B1259='Inputs'!$H$47,'Inputs'!$B$27*'Inputs'!$I$47,0)</x:f>
        <x:v>0</x:v>
      </x:c>
      <x:c r="S1259" s="78" t="n">
        <x:f>Q1259+G1259+R1259</x:f>
        <x:v>333479.42859823635</x:v>
      </x:c>
      <x:c r="T1259" s="78" t="n">
        <x:f>P1259*(S1259*(1-'Inputs'!$B$15))/(O1259+S1259*(1-'Inputs'!$B$15))</x:f>
        <x:v>4405.517681561615</x:v>
      </x:c>
      <x:c r="U1259" s="78" t="n">
        <x:f>O1259+S1259*(1-'Inputs'!$B$17)</x:f>
        <x:v>2257979.4490429633</x:v>
      </x:c>
      <x:c r="V1259" s="78" t="n">
        <x:f>P1259-T1259</x:f>
        <x:v>25698.83032147018</x:v>
      </x:c>
      <x:c r="W1259" s="79" t="n">
        <x:f>IF(U1259&gt;0,V1259/U1259,0)</x:f>
        <x:v>0.011381339335201895</x:v>
      </x:c>
      <x:c r="X1259" s="80" t="n">
        <x:f>W1259*('Inputs'!$B$6-AC1259)</x:f>
        <x:v>11352313.950808568</x:v>
      </x:c>
      <x:c r="Y1259" s="80" t="n">
        <x:f>2*V1259</x:f>
        <x:v>51397.66064294036</x:v>
      </x:c>
      <x:c r="Z1259" s="80" t="n">
        <x:f>K1259*'Inputs'!$B$16+(G1259+R1259)*J1259*'Inputs'!$B$16</x:f>
        <x:v>563.0872976774597</x:v>
      </x:c>
      <x:c r="AA1259" s="80" t="n">
        <x:f>K1259*(1+'Inputs'!$E$47)/2*'Inputs'!$B$17</x:f>
        <x:v>190.2871945062275</x:v>
      </x:c>
      <x:c r="AB1259" s="78" t="n">
        <x:f>(IF(J1259&gt;0,K1259*(1-'Inputs'!$E$47)/2/J1259,0)+G1259+R1259)*'Inputs'!$B$17</x:f>
        <x:v>16536.27129356584</x:v>
      </x:c>
      <x:c r="AC1259" s="78" t="n">
        <x:f>AC1258+AB1259</x:f>
        <x:v>2550260.8733887146</x:v>
      </x:c>
      <x:c r="AD1259" s="80" t="n">
        <x:f>Z1259/(1+'Inputs'!$C$47)</x:f>
        <x:v>225.23491907098386</x:v>
      </x:c>
      <x:c r="AE1259" s="80" t="n">
        <x:f>Z1259-AD1259</x:f>
        <x:v>337.8523786064758</x:v>
      </x:c>
      <x:c r="AF1259" s="80" t="n">
        <x:f>D1259*W1259</x:f>
        <x:v>3218.349207025396</x:v>
      </x:c>
      <x:c r="AG1259" s="80" t="n">
        <x:f>C1259*W1259</x:f>
        <x:v>7509.481483059257</x:v>
      </x:c>
      <x:c r="AH1259" s="80" t="n">
        <x:f>2*'Inputs'!$B$8*'Inputs'!$C$47</x:f>
        <x:v>7500</x:v>
      </x:c>
      <x:c r="AI1259" s="81" t="n">
        <x:f>IF(AH1259&gt;0,(AE1259+AF1259)/AH1259*365,0)</x:f>
        <x:v>173.06847716741777</x:v>
      </x:c>
      <x:c r="AJ1259" s="81" t="n">
        <x:f>IF('Inputs'!$B$47&gt;0,AG1259/('Inputs'!$B$19*'Inputs'!$B$47)*365,0)</x:f>
        <x:v>274.0960741316629</x:v>
      </x:c>
      <x:c r="AK1259" s="81" t="n">
        <x:f>W1259/MAX($W$1099:W1259)-1</x:f>
        <x:v>-0.48639202199511866</x:v>
      </x:c>
      <x:c r="AL1259" s="83" t="n">
        <x:f>'Inputs'!$B$47</x:f>
        <x:v>1</x:v>
      </x:c>
      <x:c r="AM1259" s="83" t="n">
        <x:f>'Inputs'!$C$47</x:f>
        <x:v>1.5</x:v>
      </x:c>
      <x:c r="AN1259" s="83" t="n">
        <x:f>'Inputs'!$D$47</x:f>
        <x:v>1.5</x:v>
      </x:c>
      <x:c r="AO1259" s="81" t="n">
        <x:f>'Inputs'!$E$47</x:f>
        <x:v>0.05</x:v>
      </x:c>
    </x:row>
    <x:row r="1260">
      <x:c r="A1260" s="59" t="str">
        <x:v>Growth</x:v>
      </x:c>
      <x:c r="B1260" s="59" t="n">
        <x:v>162</x:v>
      </x:c>
      <x:c r="C1260" s="78" t="n">
        <x:f>(('Inputs'!$B$29*(3*162*'Inputs'!$B$12-162^2)/(2*'Inputs'!$B$12^2))-('Inputs'!$B$29*(3*161*'Inputs'!$B$12-161^2)/(2*'Inputs'!$B$12^2)))*'Inputs'!$B$47</x:f>
        <x:v>659481.3754925877</x:v>
      </x:c>
      <x:c r="D1260" s="78" t="n">
        <x:f>IF('Inputs'!$C$47&gt;0,('Inputs'!$B$30*(3*162*'Inputs'!$B$12-162^2)/(2*'Inputs'!$B$12^2))-('Inputs'!$B$30*(3*161*'Inputs'!$B$12-161^2)/(2*'Inputs'!$B$12^2)),0)</x:f>
        <x:v>282634.8752111122</x:v>
      </x:c>
      <x:c r="E1260" s="78" t="n">
        <x:f>C1260+D1260</x:f>
        <x:v>942116.2507036999</x:v>
      </x:c>
      <x:c r="F1260" s="78" t="n">
        <x:f>'Inputs'!$B$13*E1260+(1-'Inputs'!$B$13)/'Inputs'!$B$14*SUM(E1205:E1260)</x:f>
        <x:v>952333.9275661482</x:v>
      </x:c>
      <x:c r="G1260" s="78" t="n">
        <x:f>F1260*'Inputs'!$F$47</x:f>
        <x:v>333316.87464815186</x:v>
      </x:c>
      <x:c r="H1260" s="78" t="n">
        <x:f>U1259</x:f>
        <x:v>2257979.4490429633</x:v>
      </x:c>
      <x:c r="I1260" s="78" t="n">
        <x:f>V1259</x:f>
        <x:v>25698.83032147018</x:v>
      </x:c>
      <x:c r="J1260" s="79" t="n">
        <x:f>IF(H1260&gt;0,I1260/H1260,0)</x:f>
        <x:v>0.011381339335201895</x:v>
      </x:c>
      <x:c r="K1260" s="80" t="n">
        <x:f>(H1260*J1260+I1260)*'Inputs'!$D$47*(1+'Inputs'!$G$47)^(B1260/30)</x:f>
        <x:v>90438.97364249654</x:v>
      </x:c>
      <x:c r="L1260" s="80" t="n">
        <x:f>MAX(0,K1260*'Inputs'!$E$47)</x:f>
        <x:v>4521.948682124827</x:v>
      </x:c>
      <x:c r="M1260" s="80" t="n">
        <x:f>MAX(0,-K1260*'Inputs'!$E$47)</x:f>
        <x:v>0</x:v>
      </x:c>
      <x:c r="N1260" s="78" t="n">
        <x:f>H1260*(L1260*(1-'Inputs'!$B$15))/(I1260+L1260*(1-'Inputs'!$B$15))</x:f>
        <x:v>334985.0900463723</x:v>
      </x:c>
      <x:c r="O1260" s="78" t="n">
        <x:f>H1260-N1260</x:f>
        <x:v>1922994.358996591</x:v>
      </x:c>
      <x:c r="P1260" s="78" t="n">
        <x:f>I1260+L1260*(1-'Inputs'!$B$17)</x:f>
        <x:v>30202.58202700698</x:v>
      </x:c>
      <x:c r="Q1260" s="78" t="n">
        <x:f>IF(J1260&gt;0,M1260/J1260,0)</x:f>
        <x:v>0</x:v>
      </x:c>
      <x:c r="R1260" s="78" t="n">
        <x:f>IF(B1260='Inputs'!$H$47,'Inputs'!$B$27*'Inputs'!$I$47,0)</x:f>
        <x:v>0</x:v>
      </x:c>
      <x:c r="S1260" s="78" t="n">
        <x:f>Q1260+G1260+R1260</x:f>
        <x:v>333316.87464815186</x:v>
      </x:c>
      <x:c r="T1260" s="78" t="n">
        <x:f>P1260*(S1260*(1-'Inputs'!$B$15))/(O1260+S1260*(1-'Inputs'!$B$15))</x:f>
        <x:v>4423.638250344439</x:v>
      </x:c>
      <x:c r="U1260" s="78" t="n">
        <x:f>O1260+S1260*(1-'Inputs'!$B$17)</x:f>
        <x:v>2254969.9182538046</x:v>
      </x:c>
      <x:c r="V1260" s="78" t="n">
        <x:f>P1260-T1260</x:f>
        <x:v>25778.94377666254</x:v>
      </x:c>
      <x:c r="W1260" s="79" t="n">
        <x:f>IF(U1260&gt;0,V1260/U1260,0)</x:f>
        <x:v>0.011432056617688783</x:v>
      </x:c>
      <x:c r="X1260" s="80" t="n">
        <x:f>W1260*('Inputs'!$B$6-AC1260)</x:f>
        <x:v>11402712.915377935</x:v>
      </x:c>
      <x:c r="Y1260" s="80" t="n">
        <x:f>2*V1260</x:f>
        <x:v>51557.88755332508</x:v>
      </x:c>
      <x:c r="Z1260" s="80" t="n">
        <x:f>K1260*'Inputs'!$B$16+(G1260+R1260)*J1260*'Inputs'!$B$16</x:f>
        <x:v>565.3953965940966</x:v>
      </x:c>
      <x:c r="AA1260" s="80" t="n">
        <x:f>K1260*(1+'Inputs'!$E$47)/2*'Inputs'!$B$17</x:f>
        <x:v>191.06825417428848</x:v>
      </x:c>
      <x:c r="AB1260" s="78" t="n">
        <x:f>(IF(J1260&gt;0,K1260*(1-'Inputs'!$E$47)/2/J1260,0)+G1260+R1260)*'Inputs'!$B$17</x:f>
        <x:v>16530.325444577447</x:v>
      </x:c>
      <x:c r="AC1260" s="78" t="n">
        <x:f>AC1259+AB1260</x:f>
        <x:v>2566791.198833292</x:v>
      </x:c>
      <x:c r="AD1260" s="80" t="n">
        <x:f>Z1260/(1+'Inputs'!$C$47)</x:f>
        <x:v>226.15815863763865</x:v>
      </x:c>
      <x:c r="AE1260" s="80" t="n">
        <x:f>Z1260-AD1260</x:f>
        <x:v>339.237237956458</x:v>
      </x:c>
      <x:c r="AF1260" s="80" t="n">
        <x:f>D1260*W1260</x:f>
        <x:v>3231.0978955468386</x:v>
      </x:c>
      <x:c r="AG1260" s="80" t="n">
        <x:f>C1260*W1260</x:f>
        <x:v>7539.228422942539</x:v>
      </x:c>
      <x:c r="AH1260" s="80" t="n">
        <x:f>2*'Inputs'!$B$8*'Inputs'!$C$47</x:f>
        <x:v>7500</x:v>
      </x:c>
      <x:c r="AI1260" s="81" t="n">
        <x:f>IF(AH1260&gt;0,(AE1260+AF1260)/AH1260*365,0)</x:f>
        <x:v>173.7563098304938</x:v>
      </x:c>
      <x:c r="AJ1260" s="81" t="n">
        <x:f>IF('Inputs'!$B$47&gt;0,AG1260/('Inputs'!$B$19*'Inputs'!$B$47)*365,0)</x:f>
        <x:v>275.1818374374027</x:v>
      </x:c>
      <x:c r="AK1260" s="81" t="n">
        <x:f>W1260/MAX($W$1099:W1260)-1</x:f>
        <x:v>-0.4841032930379364</x:v>
      </x:c>
      <x:c r="AL1260" s="83" t="n">
        <x:f>'Inputs'!$B$47</x:f>
        <x:v>1</x:v>
      </x:c>
      <x:c r="AM1260" s="83" t="n">
        <x:f>'Inputs'!$C$47</x:f>
        <x:v>1.5</x:v>
      </x:c>
      <x:c r="AN1260" s="83" t="n">
        <x:f>'Inputs'!$D$47</x:f>
        <x:v>1.5</x:v>
      </x:c>
      <x:c r="AO1260" s="81" t="n">
        <x:f>'Inputs'!$E$47</x:f>
        <x:v>0.05</x:v>
      </x:c>
    </x:row>
    <x:row r="1261">
      <x:c r="A1261" s="59" t="str">
        <x:v>Growth</x:v>
      </x:c>
      <x:c r="B1261" s="59" t="n">
        <x:v>163</x:v>
      </x:c>
      <x:c r="C1261" s="78" t="n">
        <x:f>(('Inputs'!$B$29*(3*163*'Inputs'!$B$12-163^2)/(2*'Inputs'!$B$12^2))-('Inputs'!$B$29*(3*162*'Inputs'!$B$12-162^2)/(2*'Inputs'!$B$12^2)))*'Inputs'!$B$47</x:f>
        <x:v>659156.2675924152</x:v>
      </x:c>
      <x:c r="D1261" s="78" t="n">
        <x:f>IF('Inputs'!$C$47&gt;0,('Inputs'!$B$30*(3*163*'Inputs'!$B$12-163^2)/(2*'Inputs'!$B$12^2))-('Inputs'!$B$30*(3*162*'Inputs'!$B$12-162^2)/(2*'Inputs'!$B$12^2)),0)</x:f>
        <x:v>282495.54325389117</x:v>
      </x:c>
      <x:c r="E1261" s="78" t="n">
        <x:f>C1261+D1261</x:f>
        <x:v>941651.8108463064</x:v>
      </x:c>
      <x:c r="F1261" s="78" t="n">
        <x:f>'Inputs'!$B$13*E1261+(1-'Inputs'!$B$13)/'Inputs'!$B$14*SUM(E1206:E1261)</x:f>
        <x:v>951869.4877087622</x:v>
      </x:c>
      <x:c r="G1261" s="78" t="n">
        <x:f>F1261*'Inputs'!$F$47</x:f>
        <x:v>333154.32069806673</x:v>
      </x:c>
      <x:c r="H1261" s="78" t="n">
        <x:f>U1260</x:f>
        <x:v>2254969.9182538046</x:v>
      </x:c>
      <x:c r="I1261" s="78" t="n">
        <x:f>V1260</x:f>
        <x:v>25778.94377666254</x:v>
      </x:c>
      <x:c r="J1261" s="79" t="n">
        <x:f>IF(H1261&gt;0,I1261/H1261,0)</x:f>
        <x:v>0.011432056617688783</x:v>
      </x:c>
      <x:c r="K1261" s="80" t="n">
        <x:f>(H1261*J1261+I1261)*'Inputs'!$D$47*(1+'Inputs'!$G$47)^(B1261/30)</x:f>
        <x:v>90810.33858582911</x:v>
      </x:c>
      <x:c r="L1261" s="80" t="n">
        <x:f>MAX(0,K1261*'Inputs'!$E$47)</x:f>
        <x:v>4540.516929291456</x:v>
      </x:c>
      <x:c r="M1261" s="80" t="n">
        <x:f>MAX(0,-K1261*'Inputs'!$E$47)</x:f>
        <x:v>0</x:v>
      </x:c>
      <x:c r="N1261" s="78" t="n">
        <x:f>H1261*(L1261*(1-'Inputs'!$B$15))/(I1261+L1261*(1-'Inputs'!$B$15))</x:f>
        <x:v>334819.4227136429</x:v>
      </x:c>
      <x:c r="O1261" s="78" t="n">
        <x:f>H1261-N1261</x:f>
        <x:v>1920150.4955401616</x:v>
      </x:c>
      <x:c r="P1261" s="78" t="n">
        <x:f>I1261+L1261*(1-'Inputs'!$B$17)</x:f>
        <x:v>30301.189008049405</x:v>
      </x:c>
      <x:c r="Q1261" s="78" t="n">
        <x:f>IF(J1261&gt;0,M1261/J1261,0)</x:f>
        <x:v>0</x:v>
      </x:c>
      <x:c r="R1261" s="78" t="n">
        <x:f>IF(B1261='Inputs'!$H$47,'Inputs'!$B$27*'Inputs'!$I$47,0)</x:f>
        <x:v>0</x:v>
      </x:c>
      <x:c r="S1261" s="78" t="n">
        <x:f>Q1261+G1261+R1261</x:f>
        <x:v>333154.32069806673</x:v>
      </x:c>
      <x:c r="T1261" s="78" t="n">
        <x:f>P1261*(S1261*(1-'Inputs'!$B$15))/(O1261+S1261*(1-'Inputs'!$B$15))</x:f>
        <x:v>4441.84046082152</x:v>
      </x:c>
      <x:c r="U1261" s="78" t="n">
        <x:f>O1261+S1261*(1-'Inputs'!$B$17)</x:f>
        <x:v>2251964.1549879345</x:v>
      </x:c>
      <x:c r="V1261" s="78" t="n">
        <x:f>P1261-T1261</x:f>
        <x:v>25859.348547227884</x:v>
      </x:c>
      <x:c r="W1261" s="79" t="n">
        <x:f>IF(U1261&gt;0,V1261/U1261,0)</x:f>
        <x:v>0.01148301960755074</x:v>
      </x:c>
      <x:c r="X1261" s="80" t="n">
        <x:f>W1261*('Inputs'!$B$6-AC1261)</x:f>
        <x:v>11453355.344108837</x:v>
      </x:c>
      <x:c r="Y1261" s="80" t="n">
        <x:f>2*V1261</x:f>
        <x:v>51718.69709445577</x:v>
      </x:c>
      <x:c r="Z1261" s="80" t="n">
        <x:f>K1261*'Inputs'!$B$16+(G1261+R1261)*J1261*'Inputs'!$B$16</x:f>
        <x:v>567.7138658548623</x:v>
      </x:c>
      <x:c r="AA1261" s="80" t="n">
        <x:f>K1261*(1+'Inputs'!$E$47)/2*'Inputs'!$B$17</x:f>
        <x:v>191.85282799823057</x:v>
      </x:c>
      <x:c r="AB1261" s="78" t="n">
        <x:f>(IF(J1261&gt;0,K1261*(1-'Inputs'!$E$47)/2/J1261,0)+G1261+R1261)*'Inputs'!$B$17</x:f>
        <x:v>16524.379797056266</x:v>
      </x:c>
      <x:c r="AC1261" s="78" t="n">
        <x:f>AC1260+AB1261</x:f>
        <x:v>2583315.578630348</x:v>
      </x:c>
      <x:c r="AD1261" s="80" t="n">
        <x:f>Z1261/(1+'Inputs'!$C$47)</x:f>
        <x:v>227.08554634194493</x:v>
      </x:c>
      <x:c r="AE1261" s="80" t="n">
        <x:f>Z1261-AD1261</x:f>
        <x:v>340.6283195129174</x:v>
      </x:c>
      <x:c r="AF1261" s="80" t="n">
        <x:f>D1261*W1261</x:f>
        <x:v>3243.9018622301305</x:v>
      </x:c>
      <x:c r="AG1261" s="80" t="n">
        <x:f>C1261*W1261</x:f>
        <x:v>7569.104345203666</x:v>
      </x:c>
      <x:c r="AH1261" s="80" t="n">
        <x:f>2*'Inputs'!$B$8*'Inputs'!$C$47</x:f>
        <x:v>7500</x:v>
      </x:c>
      <x:c r="AI1261" s="81" t="n">
        <x:f>IF(AH1261&gt;0,(AE1261+AF1261)/AH1261*365,0)</x:f>
        <x:v>174.447135511495</x:v>
      </x:c>
      <x:c r="AJ1261" s="81" t="n">
        <x:f>IF('Inputs'!$B$47&gt;0,AG1261/('Inputs'!$B$19*'Inputs'!$B$47)*365,0)</x:f>
        <x:v>276.2723085999338</x:v>
      </x:c>
      <x:c r="AK1261" s="81" t="n">
        <x:f>W1261/MAX($W$1099:W1261)-1</x:f>
        <x:v>-0.4818034759948645</x:v>
      </x:c>
      <x:c r="AL1261" s="83" t="n">
        <x:f>'Inputs'!$B$47</x:f>
        <x:v>1</x:v>
      </x:c>
      <x:c r="AM1261" s="83" t="n">
        <x:f>'Inputs'!$C$47</x:f>
        <x:v>1.5</x:v>
      </x:c>
      <x:c r="AN1261" s="83" t="n">
        <x:f>'Inputs'!$D$47</x:f>
        <x:v>1.5</x:v>
      </x:c>
      <x:c r="AO1261" s="81" t="n">
        <x:f>'Inputs'!$E$47</x:f>
        <x:v>0.05</x:v>
      </x:c>
    </x:row>
    <x:row r="1262">
      <x:c r="A1262" s="59" t="str">
        <x:v>Growth</x:v>
      </x:c>
      <x:c r="B1262" s="59" t="n">
        <x:v>164</x:v>
      </x:c>
      <x:c r="C1262" s="78" t="n">
        <x:f>(('Inputs'!$B$29*(3*164*'Inputs'!$B$12-164^2)/(2*'Inputs'!$B$12^2))-('Inputs'!$B$29*(3*163*'Inputs'!$B$12-163^2)/(2*'Inputs'!$B$12^2)))*'Inputs'!$B$47</x:f>
        <x:v>658831.1596922576</x:v>
      </x:c>
      <x:c r="D1262" s="78" t="n">
        <x:f>IF('Inputs'!$C$47&gt;0,('Inputs'!$B$30*(3*164*'Inputs'!$B$12-164^2)/(2*'Inputs'!$B$12^2))-('Inputs'!$B$30*(3*163*'Inputs'!$B$12-163^2)/(2*'Inputs'!$B$12^2)),0)</x:f>
        <x:v>282356.2112966776</x:v>
      </x:c>
      <x:c r="E1262" s="78" t="n">
        <x:f>C1262+D1262</x:f>
        <x:v>941187.3709889352</x:v>
      </x:c>
      <x:c r="F1262" s="78" t="n">
        <x:f>'Inputs'!$B$13*E1262+(1-'Inputs'!$B$13)/'Inputs'!$B$14*SUM(E1207:E1262)</x:f>
        <x:v>951405.0478513807</x:v>
      </x:c>
      <x:c r="G1262" s="78" t="n">
        <x:f>F1262*'Inputs'!$F$47</x:f>
        <x:v>332991.76674798323</x:v>
      </x:c>
      <x:c r="H1262" s="78" t="n">
        <x:f>U1261</x:f>
        <x:v>2251964.1549879345</x:v>
      </x:c>
      <x:c r="I1262" s="78" t="n">
        <x:f>V1261</x:f>
        <x:v>25859.348547227884</x:v>
      </x:c>
      <x:c r="J1262" s="79" t="n">
        <x:f>IF(H1262&gt;0,I1262/H1262,0)</x:f>
        <x:v>0.01148301960755074</x:v>
      </x:c>
      <x:c r="K1262" s="80" t="n">
        <x:f>(H1262*J1262+I1262)*'Inputs'!$D$47*(1+'Inputs'!$G$47)^(B1262/30)</x:f>
        <x:v>91183.37502698739</x:v>
      </x:c>
      <x:c r="L1262" s="80" t="n">
        <x:f>MAX(0,K1262*'Inputs'!$E$47)</x:f>
        <x:v>4559.16875134937</x:v>
      </x:c>
      <x:c r="M1262" s="80" t="n">
        <x:f>MAX(0,-K1262*'Inputs'!$E$47)</x:f>
        <x:v>0</x:v>
      </x:c>
      <x:c r="N1262" s="78" t="n">
        <x:f>H1262*(L1262*(1-'Inputs'!$B$15))/(I1262+L1262*(1-'Inputs'!$B$15))</x:f>
        <x:v>334653.7600194679</x:v>
      </x:c>
      <x:c r="O1262" s="78" t="n">
        <x:f>H1262-N1262</x:f>
        <x:v>1917310.3949684666</x:v>
      </x:c>
      <x:c r="P1262" s="78" t="n">
        <x:f>I1262+L1262*(1-'Inputs'!$B$17)</x:f>
        <x:v>30400.170543038625</x:v>
      </x:c>
      <x:c r="Q1262" s="78" t="n">
        <x:f>IF(J1262&gt;0,M1262/J1262,0)</x:f>
        <x:v>0</x:v>
      </x:c>
      <x:c r="R1262" s="78" t="n">
        <x:f>IF(B1262='Inputs'!$H$47,'Inputs'!$B$27*'Inputs'!$I$47,0)</x:f>
        <x:v>0</x:v>
      </x:c>
      <x:c r="S1262" s="78" t="n">
        <x:f>Q1262+G1262+R1262</x:f>
        <x:v>332991.76674798323</x:v>
      </x:c>
      <x:c r="T1262" s="78" t="n">
        <x:f>P1262*(S1262*(1-'Inputs'!$B$15))/(O1262+S1262*(1-'Inputs'!$B$15))</x:f>
        <x:v>4460.124712320368</x:v>
      </x:c>
      <x:c r="U1262" s="78" t="n">
        <x:f>O1262+S1262*(1-'Inputs'!$B$17)</x:f>
        <x:v>2248962.1546068</x:v>
      </x:c>
      <x:c r="V1262" s="78" t="n">
        <x:f>P1262-T1262</x:f>
        <x:v>25940.045830718256</x:v>
      </x:c>
      <x:c r="W1262" s="79" t="n">
        <x:f>IF(U1262&gt;0,V1262/U1262,0)</x:f>
        <x:v>0.011534229590116653</x:v>
      </x:c>
      <x:c r="X1262" s="80" t="n">
        <x:f>W1262*('Inputs'!$B$6-AC1262)</x:f>
        <x:v>11504242.50771474</x:v>
      </x:c>
      <x:c r="Y1262" s="80" t="n">
        <x:f>2*V1262</x:f>
        <x:v>51880.09166143651</x:v>
      </x:c>
      <x:c r="Z1262" s="80" t="n">
        <x:f>K1262*'Inputs'!$B$16+(G1262+R1262)*J1262*'Inputs'!$B$16</x:f>
        <x:v>570.0427560822446</x:v>
      </x:c>
      <x:c r="AA1262" s="80" t="n">
        <x:f>K1262*(1+'Inputs'!$E$47)/2*'Inputs'!$B$17</x:f>
        <x:v>192.64093315560717</x:v>
      </x:c>
      <x:c r="AB1262" s="78" t="n">
        <x:f>(IF(J1262&gt;0,K1262*(1-'Inputs'!$E$47)/2/J1262,0)+G1262+R1262)*'Inputs'!$B$17</x:f>
        <x:v>16518.43435037052</x:v>
      </x:c>
      <x:c r="AC1262" s="78" t="n">
        <x:f>AC1261+AB1262</x:f>
        <x:v>2599834.0129807186</x:v>
      </x:c>
      <x:c r="AD1262" s="80" t="n">
        <x:f>Z1262/(1+'Inputs'!$C$47)</x:f>
        <x:v>228.01710243289784</x:v>
      </x:c>
      <x:c r="AE1262" s="80" t="n">
        <x:f>Z1262-AD1262</x:f>
        <x:v>342.0256536493468</x:v>
      </x:c>
      <x:c r="AF1262" s="80" t="n">
        <x:f>D1262*W1262</x:f>
        <x:v>3256.761367291369</x:v>
      </x:c>
      <x:c r="AG1262" s="80" t="n">
        <x:f>C1262*W1262</x:f>
        <x:v>7599.109857013308</x:v>
      </x:c>
      <x:c r="AH1262" s="80" t="n">
        <x:f>2*'Inputs'!$B$8*'Inputs'!$C$47</x:f>
        <x:v>7500</x:v>
      </x:c>
      <x:c r="AI1262" s="81" t="n">
        <x:f>IF(AH1262&gt;0,(AE1262+AF1262)/AH1262*365,0)</x:f>
        <x:v>175.14096835244814</x:v>
      </x:c>
      <x:c r="AJ1262" s="81" t="n">
        <x:f>IF('Inputs'!$B$47&gt;0,AG1262/('Inputs'!$B$19*'Inputs'!$B$47)*365,0)</x:f>
        <x:v>277.36750978098576</x:v>
      </x:c>
      <x:c r="AK1262" s="81" t="n">
        <x:f>W1262/MAX($W$1099:W1262)-1</x:f>
        <x:v>-0.47949251286260874</x:v>
      </x:c>
      <x:c r="AL1262" s="83" t="n">
        <x:f>'Inputs'!$B$47</x:f>
        <x:v>1</x:v>
      </x:c>
      <x:c r="AM1262" s="83" t="n">
        <x:f>'Inputs'!$C$47</x:f>
        <x:v>1.5</x:v>
      </x:c>
      <x:c r="AN1262" s="83" t="n">
        <x:f>'Inputs'!$D$47</x:f>
        <x:v>1.5</x:v>
      </x:c>
      <x:c r="AO1262" s="81" t="n">
        <x:f>'Inputs'!$E$47</x:f>
        <x:v>0.05</x:v>
      </x:c>
    </x:row>
    <x:row r="1263">
      <x:c r="A1263" s="59" t="str">
        <x:v>Growth</x:v>
      </x:c>
      <x:c r="B1263" s="59" t="n">
        <x:v>165</x:v>
      </x:c>
      <x:c r="C1263" s="78" t="n">
        <x:f>(('Inputs'!$B$29*(3*165*'Inputs'!$B$12-165^2)/(2*'Inputs'!$B$12^2))-('Inputs'!$B$29*(3*164*'Inputs'!$B$12-164^2)/(2*'Inputs'!$B$12^2)))*'Inputs'!$B$47</x:f>
        <x:v>658506.0517920852</x:v>
      </x:c>
      <x:c r="D1263" s="78" t="n">
        <x:f>IF('Inputs'!$C$47&gt;0,('Inputs'!$B$30*(3*165*'Inputs'!$B$12-165^2)/(2*'Inputs'!$B$12^2))-('Inputs'!$B$30*(3*164*'Inputs'!$B$12-164^2)/(2*'Inputs'!$B$12^2)),0)</x:f>
        <x:v>282216.879339464</x:v>
      </x:c>
      <x:c r="E1263" s="78" t="n">
        <x:f>C1263+D1263</x:f>
        <x:v>940722.9311315492</x:v>
      </x:c>
      <x:c r="F1263" s="78" t="n">
        <x:f>'Inputs'!$B$13*E1263+(1-'Inputs'!$B$13)/'Inputs'!$B$14*SUM(E1208:E1263)</x:f>
        <x:v>950940.6079939961</x:v>
      </x:c>
      <x:c r="G1263" s="78" t="n">
        <x:f>F1263*'Inputs'!$F$47</x:f>
        <x:v>332829.2127978986</x:v>
      </x:c>
      <x:c r="H1263" s="78" t="n">
        <x:f>U1262</x:f>
        <x:v>2248962.1546068</x:v>
      </x:c>
      <x:c r="I1263" s="78" t="n">
        <x:f>V1262</x:f>
        <x:v>25940.045830718256</x:v>
      </x:c>
      <x:c r="J1263" s="79" t="n">
        <x:f>IF(H1263&gt;0,I1263/H1263,0)</x:f>
        <x:v>0.011534229590116653</x:v>
      </x:c>
      <x:c r="K1263" s="80" t="n">
        <x:f>(H1263*J1263+I1263)*'Inputs'!$D$47*(1+'Inputs'!$G$47)^(B1263/30)</x:f>
        <x:v>91558.09114004028</x:v>
      </x:c>
      <x:c r="L1263" s="80" t="n">
        <x:f>MAX(0,K1263*'Inputs'!$E$47)</x:f>
        <x:v>4577.904557002014</x:v>
      </x:c>
      <x:c r="M1263" s="80" t="n">
        <x:f>MAX(0,-K1263*'Inputs'!$E$47)</x:f>
        <x:v>0</x:v>
      </x:c>
      <x:c r="N1263" s="78" t="n">
        <x:f>H1263*(L1263*(1-'Inputs'!$B$15))/(I1263+L1263*(1-'Inputs'!$B$15))</x:f>
        <x:v>334488.1019699369</x:v>
      </x:c>
      <x:c r="O1263" s="78" t="n">
        <x:f>H1263-N1263</x:f>
        <x:v>1914474.0526368632</x:v>
      </x:c>
      <x:c r="P1263" s="78" t="n">
        <x:f>I1263+L1263*(1-'Inputs'!$B$17)</x:f>
        <x:v>30499.528236585455</x:v>
      </x:c>
      <x:c r="Q1263" s="78" t="n">
        <x:f>IF(J1263&gt;0,M1263/J1263,0)</x:f>
        <x:v>0</x:v>
      </x:c>
      <x:c r="R1263" s="78" t="n">
        <x:f>IF(B1263='Inputs'!$H$47,'Inputs'!$B$27*'Inputs'!$I$47,0)</x:f>
        <x:v>0</x:v>
      </x:c>
      <x:c r="S1263" s="78" t="n">
        <x:f>Q1263+G1263+R1263</x:f>
        <x:v>332829.2127978986</x:v>
      </x:c>
      <x:c r="T1263" s="78" t="n">
        <x:f>P1263*(S1263*(1-'Inputs'!$B$15))/(O1263+S1263*(1-'Inputs'!$B$15))</x:f>
        <x:v>4478.491406320685</x:v>
      </x:c>
      <x:c r="U1263" s="78" t="n">
        <x:f>O1263+S1263*(1-'Inputs'!$B$17)</x:f>
        <x:v>2245963.9124657563</x:v>
      </x:c>
      <x:c r="V1263" s="78" t="n">
        <x:f>P1263-T1263</x:f>
        <x:v>26021.03683026477</x:v>
      </x:c>
      <x:c r="W1263" s="79" t="n">
        <x:f>IF(U1263&gt;0,V1263/U1263,0)</x:f>
        <x:v>0.011585687858046341</x:v>
      </x:c>
      <x:c r="X1263" s="80" t="n">
        <x:f>W1263*('Inputs'!$B$6-AC1263)</x:f>
        <x:v>11555375.684144698</x:v>
      </x:c>
      <x:c r="Y1263" s="80" t="n">
        <x:f>2*V1263</x:f>
        <x:v>52042.07366052954</x:v>
      </x:c>
      <x:c r="Z1263" s="80" t="n">
        <x:f>K1263*'Inputs'!$B$16+(G1263+R1263)*J1263*'Inputs'!$B$16</x:f>
        <x:v>572.3821181684942</x:v>
      </x:c>
      <x:c r="AA1263" s="80" t="n">
        <x:f>K1263*(1+'Inputs'!$E$47)/2*'Inputs'!$B$17</x:f>
        <x:v>193.4325869155781</x:v>
      </x:c>
      <x:c r="AB1263" s="78" t="n">
        <x:f>(IF(J1263&gt;0,K1263*(1-'Inputs'!$E$47)/2/J1263,0)+G1263+R1263)*'Inputs'!$B$17</x:f>
        <x:v>16512.48910379546</x:v>
      </x:c>
      <x:c r="AC1263" s="78" t="n">
        <x:f>AC1262+AB1263</x:f>
        <x:v>2616346.502084514</x:v>
      </x:c>
      <x:c r="AD1263" s="80" t="n">
        <x:f>Z1263/(1+'Inputs'!$C$47)</x:f>
        <x:v>228.9528472673977</x:v>
      </x:c>
      <x:c r="AE1263" s="80" t="n">
        <x:f>Z1263-AD1263</x:f>
        <x:v>343.4292709010965</x:v>
      </x:c>
      <x:c r="AF1263" s="80" t="n">
        <x:f>D1263*W1263</x:f>
        <x:v>3269.6766722989573</x:v>
      </x:c>
      <x:c r="AG1263" s="80" t="n">
        <x:f>C1263*W1263</x:f>
        <x:v>7629.245568697596</x:v>
      </x:c>
      <x:c r="AH1263" s="80" t="n">
        <x:f>2*'Inputs'!$B$8*'Inputs'!$C$47</x:f>
        <x:v>7500</x:v>
      </x:c>
      <x:c r="AI1263" s="81" t="n">
        <x:f>IF(AH1263&gt;0,(AE1263+AF1263)/AH1263*365,0)</x:f>
        <x:v>175.8378225690693</x:v>
      </x:c>
      <x:c r="AJ1263" s="81" t="n">
        <x:f>IF('Inputs'!$B$47&gt;0,AG1263/('Inputs'!$B$19*'Inputs'!$B$47)*365,0)</x:f>
        <x:v>278.46746325746227</x:v>
      </x:c>
      <x:c r="AK1263" s="81" t="n">
        <x:f>W1263/MAX($W$1099:W1263)-1</x:f>
        <x:v>-0.4771703453070508</x:v>
      </x:c>
      <x:c r="AL1263" s="83" t="n">
        <x:f>'Inputs'!$B$47</x:f>
        <x:v>1</x:v>
      </x:c>
      <x:c r="AM1263" s="83" t="n">
        <x:f>'Inputs'!$C$47</x:f>
        <x:v>1.5</x:v>
      </x:c>
      <x:c r="AN1263" s="83" t="n">
        <x:f>'Inputs'!$D$47</x:f>
        <x:v>1.5</x:v>
      </x:c>
      <x:c r="AO1263" s="81" t="n">
        <x:f>'Inputs'!$E$47</x:f>
        <x:v>0.05</x:v>
      </x:c>
    </x:row>
    <x:row r="1264">
      <x:c r="A1264" s="59" t="str">
        <x:v>Growth</x:v>
      </x:c>
      <x:c r="B1264" s="59" t="n">
        <x:v>166</x:v>
      </x:c>
      <x:c r="C1264" s="78" t="n">
        <x:f>(('Inputs'!$B$29*(3*166*'Inputs'!$B$12-166^2)/(2*'Inputs'!$B$12^2))-('Inputs'!$B$29*(3*165*'Inputs'!$B$12-165^2)/(2*'Inputs'!$B$12^2)))*'Inputs'!$B$47</x:f>
        <x:v>658180.9438919127</x:v>
      </x:c>
      <x:c r="D1264" s="78" t="n">
        <x:f>IF('Inputs'!$C$47&gt;0,('Inputs'!$B$30*(3*166*'Inputs'!$B$12-166^2)/(2*'Inputs'!$B$12^2))-('Inputs'!$B$30*(3*165*'Inputs'!$B$12-165^2)/(2*'Inputs'!$B$12^2)),0)</x:f>
        <x:v>282077.5473822504</x:v>
      </x:c>
      <x:c r="E1264" s="78" t="n">
        <x:f>C1264+D1264</x:f>
        <x:v>940258.4912741631</x:v>
      </x:c>
      <x:c r="F1264" s="78" t="n">
        <x:f>'Inputs'!$B$13*E1264+(1-'Inputs'!$B$13)/'Inputs'!$B$14*SUM(E1209:E1264)</x:f>
        <x:v>950476.1681366118</x:v>
      </x:c>
      <x:c r="G1264" s="78" t="n">
        <x:f>F1264*'Inputs'!$F$47</x:f>
        <x:v>332666.65884781413</x:v>
      </x:c>
      <x:c r="H1264" s="78" t="n">
        <x:f>U1263</x:f>
        <x:v>2245963.9124657563</x:v>
      </x:c>
      <x:c r="I1264" s="78" t="n">
        <x:f>V1263</x:f>
        <x:v>26021.03683026477</x:v>
      </x:c>
      <x:c r="J1264" s="79" t="n">
        <x:f>IF(H1264&gt;0,I1264/H1264,0)</x:f>
        <x:v>0.011585687858046341</x:v>
      </x:c>
      <x:c r="K1264" s="80" t="n">
        <x:f>(H1264*J1264+I1264)*'Inputs'!$D$47*(1+'Inputs'!$G$47)^(B1264/30)</x:f>
        <x:v>91934.4951425912</x:v>
      </x:c>
      <x:c r="L1264" s="80" t="n">
        <x:f>MAX(0,K1264*'Inputs'!$E$47)</x:f>
        <x:v>4596.72475712956</x:v>
      </x:c>
      <x:c r="M1264" s="80" t="n">
        <x:f>MAX(0,-K1264*'Inputs'!$E$47)</x:f>
        <x:v>0</x:v>
      </x:c>
      <x:c r="N1264" s="78" t="n">
        <x:f>H1264*(L1264*(1-'Inputs'!$B$15))/(I1264+L1264*(1-'Inputs'!$B$15))</x:f>
        <x:v>334322.44856942096</x:v>
      </x:c>
      <x:c r="O1264" s="78" t="n">
        <x:f>H1264-N1264</x:f>
        <x:v>1911641.4638963353</x:v>
      </x:c>
      <x:c r="P1264" s="78" t="n">
        <x:f>I1264+L1264*(1-'Inputs'!$B$17)</x:f>
        <x:v>30599.263701047734</x:v>
      </x:c>
      <x:c r="Q1264" s="78" t="n">
        <x:f>IF(J1264&gt;0,M1264/J1264,0)</x:f>
        <x:v>0</x:v>
      </x:c>
      <x:c r="R1264" s="78" t="n">
        <x:f>IF(B1264='Inputs'!$H$47,'Inputs'!$B$27*'Inputs'!$I$47,0)</x:f>
        <x:v>0</x:v>
      </x:c>
      <x:c r="S1264" s="78" t="n">
        <x:f>Q1264+G1264+R1264</x:f>
        <x:v>332666.65884781413</x:v>
      </x:c>
      <x:c r="T1264" s="78" t="n">
        <x:f>P1264*(S1264*(1-'Inputs'!$B$15))/(O1264+S1264*(1-'Inputs'!$B$15))</x:f>
        <x:v>4496.9409464601995</x:v>
      </x:c>
      <x:c r="U1264" s="78" t="n">
        <x:f>O1264+S1264*(1-'Inputs'!$B$17)</x:f>
        <x:v>2242969.423915788</x:v>
      </x:c>
      <x:c r="V1264" s="78" t="n">
        <x:f>P1264-T1264</x:f>
        <x:v>26102.322754587534</x:v>
      </x:c>
      <x:c r="W1264" s="79" t="n">
        <x:f>IF(U1264&gt;0,V1264/U1264,0)</x:f>
        <x:v>0.011637395711359256</x:v>
      </x:c>
      <x:c r="X1264" s="80" t="n">
        <x:f>W1264*('Inputs'!$B$6-AC1264)</x:f>
        <x:v>11606756.158611456</x:v>
      </x:c>
      <x:c r="Y1264" s="80" t="n">
        <x:f>2*V1264</x:f>
        <x:v>52204.64550917507</x:v>
      </x:c>
      <x:c r="Z1264" s="80" t="n">
        <x:f>K1264*'Inputs'!$B$16+(G1264+R1264)*J1264*'Inputs'!$B$16</x:f>
        <x:v>574.7320032766869</x:v>
      </x:c>
      <x:c r="AA1264" s="80" t="n">
        <x:f>K1264*(1+'Inputs'!$E$47)/2*'Inputs'!$B$17</x:f>
        <x:v>194.2278066392772</x:v>
      </x:c>
      <x:c r="AB1264" s="78" t="n">
        <x:f>(IF(J1264&gt;0,K1264*(1-'Inputs'!$E$47)/2/J1264,0)+G1264+R1264)*'Inputs'!$B$17</x:f>
        <x:v>16506.544056526596</x:v>
      </x:c>
      <x:c r="AC1264" s="78" t="n">
        <x:f>AC1263+AB1264</x:f>
        <x:v>2632853.0461410405</x:v>
      </x:c>
      <x:c r="AD1264" s="80" t="n">
        <x:f>Z1264/(1+'Inputs'!$C$47)</x:f>
        <x:v>229.89280131067477</x:v>
      </x:c>
      <x:c r="AE1264" s="80" t="n">
        <x:f>Z1264-AD1264</x:f>
        <x:v>344.8392019660121</x:v>
      </x:c>
      <x:c r="AF1264" s="80" t="n">
        <x:f>D1264*W1264</x:f>
        <x:v>3282.6480401769386</x:v>
      </x:c>
      <x:c r="AG1264" s="80" t="n">
        <x:f>C1264*W1264</x:f>
        <x:v>7659.512093746132</x:v>
      </x:c>
      <x:c r="AH1264" s="80" t="n">
        <x:f>2*'Inputs'!$B$8*'Inputs'!$C$47</x:f>
        <x:v>7500</x:v>
      </x:c>
      <x:c r="AI1264" s="81" t="n">
        <x:f>IF(AH1264&gt;0,(AE1264+AF1264)/AH1264*365,0)</x:f>
        <x:v>176.53771245095695</x:v>
      </x:c>
      <x:c r="AJ1264" s="81" t="n">
        <x:f>IF('Inputs'!$B$47&gt;0,AG1264/('Inputs'!$B$19*'Inputs'!$B$47)*365,0)</x:f>
        <x:v>279.57219142173386</x:v>
      </x:c>
      <x:c r="AK1264" s="81" t="n">
        <x:f>W1264/MAX($W$1099:W1264)-1</x:f>
        <x:v>-0.4748369146619529</x:v>
      </x:c>
      <x:c r="AL1264" s="83" t="n">
        <x:f>'Inputs'!$B$47</x:f>
        <x:v>1</x:v>
      </x:c>
      <x:c r="AM1264" s="83" t="n">
        <x:f>'Inputs'!$C$47</x:f>
        <x:v>1.5</x:v>
      </x:c>
      <x:c r="AN1264" s="83" t="n">
        <x:f>'Inputs'!$D$47</x:f>
        <x:v>1.5</x:v>
      </x:c>
      <x:c r="AO1264" s="81" t="n">
        <x:f>'Inputs'!$E$47</x:f>
        <x:v>0.05</x:v>
      </x:c>
    </x:row>
    <x:row r="1265">
      <x:c r="A1265" s="59" t="str">
        <x:v>Growth</x:v>
      </x:c>
      <x:c r="B1265" s="59" t="n">
        <x:v>167</x:v>
      </x:c>
      <x:c r="C1265" s="78" t="n">
        <x:f>(('Inputs'!$B$29*(3*167*'Inputs'!$B$12-167^2)/(2*'Inputs'!$B$12^2))-('Inputs'!$B$29*(3*166*'Inputs'!$B$12-166^2)/(2*'Inputs'!$B$12^2)))*'Inputs'!$B$47</x:f>
        <x:v>657855.8359917402</x:v>
      </x:c>
      <x:c r="D1265" s="78" t="n">
        <x:f>IF('Inputs'!$C$47&gt;0,('Inputs'!$B$30*(3*167*'Inputs'!$B$12-167^2)/(2*'Inputs'!$B$12^2))-('Inputs'!$B$30*(3*166*'Inputs'!$B$12-166^2)/(2*'Inputs'!$B$12^2)),0)</x:f>
        <x:v>281938.2154250294</x:v>
      </x:c>
      <x:c r="E1265" s="78" t="n">
        <x:f>C1265+D1265</x:f>
        <x:v>939794.0514167696</x:v>
      </x:c>
      <x:c r="F1265" s="78" t="n">
        <x:f>'Inputs'!$B$13*E1265+(1-'Inputs'!$B$13)/'Inputs'!$B$14*SUM(E1210:E1265)</x:f>
        <x:v>950011.7282792255</x:v>
      </x:c>
      <x:c r="G1265" s="78" t="n">
        <x:f>F1265*'Inputs'!$F$47</x:f>
        <x:v>332504.1048977289</x:v>
      </x:c>
      <x:c r="H1265" s="78" t="n">
        <x:f>U1264</x:f>
        <x:v>2242969.423915788</x:v>
      </x:c>
      <x:c r="I1265" s="78" t="n">
        <x:f>V1264</x:f>
        <x:v>26102.322754587534</x:v>
      </x:c>
      <x:c r="J1265" s="79" t="n">
        <x:f>IF(H1265&gt;0,I1265/H1265,0)</x:f>
        <x:v>0.011637395711359256</x:v>
      </x:c>
      <x:c r="K1265" s="80" t="n">
        <x:f>(H1265*J1265+I1265)*'Inputs'!$D$47*(1+'Inputs'!$G$47)^(B1265/30)</x:f>
        <x:v>92312.59529596254</x:v>
      </x:c>
      <x:c r="L1265" s="80" t="n">
        <x:f>MAX(0,K1265*'Inputs'!$E$47)</x:f>
        <x:v>4615.629764798127</x:v>
      </x:c>
      <x:c r="M1265" s="80" t="n">
        <x:f>MAX(0,-K1265*'Inputs'!$E$47)</x:f>
        <x:v>0</x:v>
      </x:c>
      <x:c r="N1265" s="78" t="n">
        <x:f>H1265*(L1265*(1-'Inputs'!$B$15))/(I1265+L1265*(1-'Inputs'!$B$15))</x:f>
        <x:v>334156.79982082197</x:v>
      </x:c>
      <x:c r="O1265" s="78" t="n">
        <x:f>H1265-N1265</x:f>
        <x:v>1908812.624094966</x:v>
      </x:c>
      <x:c r="P1265" s="78" t="n">
        <x:f>I1265+L1265*(1-'Inputs'!$B$17)</x:f>
        <x:v>30699.37855654945</x:v>
      </x:c>
      <x:c r="Q1265" s="78" t="n">
        <x:f>IF(J1265&gt;0,M1265/J1265,0)</x:f>
        <x:v>0</x:v>
      </x:c>
      <x:c r="R1265" s="78" t="n">
        <x:f>IF(B1265='Inputs'!$H$47,'Inputs'!$B$27*'Inputs'!$I$47,0)</x:f>
        <x:v>0</x:v>
      </x:c>
      <x:c r="S1265" s="78" t="n">
        <x:f>Q1265+G1265+R1265</x:f>
        <x:v>332504.1048977289</x:v>
      </x:c>
      <x:c r="T1265" s="78" t="n">
        <x:f>P1265*(S1265*(1-'Inputs'!$B$15))/(O1265+S1265*(1-'Inputs'!$B$15))</x:f>
        <x:v>4515.473738541217</x:v>
      </x:c>
      <x:c r="U1265" s="78" t="n">
        <x:f>O1265+S1265*(1-'Inputs'!$B$17)</x:f>
        <x:v>2239978.684304978</x:v>
      </x:c>
      <x:c r="V1265" s="78" t="n">
        <x:f>P1265-T1265</x:f>
        <x:v>26183.90481800823</x:v>
      </x:c>
      <x:c r="W1265" s="79" t="n">
        <x:f>IF(U1265&gt;0,V1265/U1265,0)</x:f>
        <x:v>0.01168935445746556</x:v>
      </x:c>
      <x:c r="X1265" s="80" t="n">
        <x:f>W1265*('Inputs'!$B$6-AC1265)</x:f>
        <x:v>11658385.2236219</x:v>
      </x:c>
      <x:c r="Y1265" s="80" t="n">
        <x:f>2*V1265</x:f>
        <x:v>52367.80963601646</x:v>
      </x:c>
      <x:c r="Z1265" s="80" t="n">
        <x:f>K1265*'Inputs'!$B$16+(G1265+R1265)*J1265*'Inputs'!$B$16</x:f>
        <x:v>577.0924628418524</x:v>
      </x:c>
      <x:c r="AA1265" s="80" t="n">
        <x:f>K1265*(1+'Inputs'!$E$47)/2*'Inputs'!$B$17</x:f>
        <x:v>195.02660978020256</x:v>
      </x:c>
      <x:c r="AB1265" s="78" t="n">
        <x:f>(IF(J1265&gt;0,K1265*(1-'Inputs'!$E$47)/2/J1265,0)+G1265+R1265)*'Inputs'!$B$17</x:f>
        <x:v>16500.599207690917</x:v>
      </x:c>
      <x:c r="AC1265" s="78" t="n">
        <x:f>AC1264+AB1265</x:f>
        <x:v>2649353.6453487314</x:v>
      </x:c>
      <x:c r="AD1265" s="80" t="n">
        <x:f>Z1265/(1+'Inputs'!$C$47)</x:f>
        <x:v>230.83698513674094</x:v>
      </x:c>
      <x:c r="AE1265" s="80" t="n">
        <x:f>Z1265-AD1265</x:f>
        <x:v>346.2554777051114</x:v>
      </x:c>
      <x:c r="AF1265" s="80" t="n">
        <x:f>D1265*W1265</x:f>
        <x:v>3295.6757352084524</x:v>
      </x:c>
      <x:c r="AG1265" s="80" t="n">
        <x:f>C1265*W1265</x:f>
        <x:v>7689.91004881978</x:v>
      </x:c>
      <x:c r="AH1265" s="80" t="n">
        <x:f>2*'Inputs'!$B$8*'Inputs'!$C$47</x:f>
        <x:v>7500</x:v>
      </x:c>
      <x:c r="AI1265" s="81" t="n">
        <x:f>IF(AH1265&gt;0,(AE1265+AF1265)/AH1265*365,0)</x:f>
        <x:v>177.24065236179345</x:v>
      </x:c>
      <x:c r="AJ1265" s="81" t="n">
        <x:f>IF('Inputs'!$B$47&gt;0,AG1265/('Inputs'!$B$19*'Inputs'!$B$47)*365,0)</x:f>
        <x:v>280.681716781922</x:v>
      </x:c>
      <x:c r="AK1265" s="81" t="n">
        <x:f>W1265/MAX($W$1099:W1265)-1</x:f>
        <x:v>-0.4724921619275547</x:v>
      </x:c>
      <x:c r="AL1265" s="83" t="n">
        <x:f>'Inputs'!$B$47</x:f>
        <x:v>1</x:v>
      </x:c>
      <x:c r="AM1265" s="83" t="n">
        <x:f>'Inputs'!$C$47</x:f>
        <x:v>1.5</x:v>
      </x:c>
      <x:c r="AN1265" s="83" t="n">
        <x:f>'Inputs'!$D$47</x:f>
        <x:v>1.5</x:v>
      </x:c>
      <x:c r="AO1265" s="81" t="n">
        <x:f>'Inputs'!$E$47</x:f>
        <x:v>0.05</x:v>
      </x:c>
    </x:row>
    <x:row r="1266">
      <x:c r="A1266" s="59" t="str">
        <x:v>Growth</x:v>
      </x:c>
      <x:c r="B1266" s="59" t="n">
        <x:v>168</x:v>
      </x:c>
      <x:c r="C1266" s="78" t="n">
        <x:f>(('Inputs'!$B$29*(3*168*'Inputs'!$B$12-168^2)/(2*'Inputs'!$B$12^2))-('Inputs'!$B$29*(3*167*'Inputs'!$B$12-167^2)/(2*'Inputs'!$B$12^2)))*'Inputs'!$B$47</x:f>
        <x:v>657530.7280915678</x:v>
      </x:c>
      <x:c r="D1266" s="78" t="n">
        <x:f>IF('Inputs'!$C$47&gt;0,('Inputs'!$B$30*(3*168*'Inputs'!$B$12-168^2)/(2*'Inputs'!$B$12^2))-('Inputs'!$B$30*(3*167*'Inputs'!$B$12-167^2)/(2*'Inputs'!$B$12^2)),0)</x:f>
        <x:v>281798.88346782327</x:v>
      </x:c>
      <x:c r="E1266" s="78" t="n">
        <x:f>C1266+D1266</x:f>
        <x:v>939329.611559391</x:v>
      </x:c>
      <x:c r="F1266" s="78" t="n">
        <x:f>'Inputs'!$B$13*E1266+(1-'Inputs'!$B$13)/'Inputs'!$B$14*SUM(E1211:E1266)</x:f>
        <x:v>949547.2884218425</x:v>
      </x:c>
      <x:c r="G1266" s="78" t="n">
        <x:f>F1266*'Inputs'!$F$47</x:f>
        <x:v>332341.55094764486</x:v>
      </x:c>
      <x:c r="H1266" s="78" t="n">
        <x:f>U1265</x:f>
        <x:v>2239978.684304978</x:v>
      </x:c>
      <x:c r="I1266" s="78" t="n">
        <x:f>V1265</x:f>
        <x:v>26183.90481800823</x:v>
      </x:c>
      <x:c r="J1266" s="79" t="n">
        <x:f>IF(H1266&gt;0,I1266/H1266,0)</x:f>
        <x:v>0.01168935445746556</x:v>
      </x:c>
      <x:c r="K1266" s="80" t="n">
        <x:f>(H1266*J1266+I1266)*'Inputs'!$D$47*(1+'Inputs'!$G$47)^(B1266/30)</x:f>
        <x:v>92692.39990539031</x:v>
      </x:c>
      <x:c r="L1266" s="80" t="n">
        <x:f>MAX(0,K1266*'Inputs'!$E$47)</x:f>
        <x:v>4634.619995269516</x:v>
      </x:c>
      <x:c r="M1266" s="80" t="n">
        <x:f>MAX(0,-K1266*'Inputs'!$E$47)</x:f>
        <x:v>0</x:v>
      </x:c>
      <x:c r="N1266" s="78" t="n">
        <x:f>H1266*(L1266*(1-'Inputs'!$B$15))/(I1266+L1266*(1-'Inputs'!$B$15))</x:f>
        <x:v>333991.1557257869</x:v>
      </x:c>
      <x:c r="O1266" s="78" t="n">
        <x:f>H1266-N1266</x:f>
        <x:v>1905987.5285791908</x:v>
      </x:c>
      <x:c r="P1266" s="78" t="n">
        <x:f>I1266+L1266*(1-'Inputs'!$B$17)</x:f>
        <x:v>30799.874431003023</x:v>
      </x:c>
      <x:c r="Q1266" s="78" t="n">
        <x:f>IF(J1266&gt;0,M1266/J1266,0)</x:f>
        <x:v>0</x:v>
      </x:c>
      <x:c r="R1266" s="78" t="n">
        <x:f>IF(B1266='Inputs'!$H$47,'Inputs'!$B$27*'Inputs'!$I$47,0)</x:f>
        <x:v>0</x:v>
      </x:c>
      <x:c r="S1266" s="78" t="n">
        <x:f>Q1266+G1266+R1266</x:f>
        <x:v>332341.55094764486</x:v>
      </x:c>
      <x:c r="T1266" s="78" t="n">
        <x:f>P1266*(S1266*(1-'Inputs'!$B$15))/(O1266+S1266*(1-'Inputs'!$B$15))</x:f>
        <x:v>4534.090190538159</x:v>
      </x:c>
      <x:c r="U1266" s="78" t="n">
        <x:f>O1266+S1266*(1-'Inputs'!$B$17)</x:f>
        <x:v>2236991.6889797626</x:v>
      </x:c>
      <x:c r="V1266" s="78" t="n">
        <x:f>P1266-T1266</x:f>
        <x:v>26265.784240464865</x:v>
      </x:c>
      <x:c r="W1266" s="79" t="n">
        <x:f>IF(U1266&gt;0,V1266/U1266,0)</x:f>
        <x:v>0.011741565411199202</x:v>
      </x:c>
      <x:c r="X1266" s="80" t="n">
        <x:f>W1266*('Inputs'!$B$6-AC1266)</x:f>
        <x:v>11710264.179009533</x:v>
      </x:c>
      <x:c r="Y1266" s="80" t="n">
        <x:f>2*V1266</x:f>
        <x:v>52531.56848092973</x:v>
      </x:c>
      <x:c r="Z1266" s="80" t="n">
        <x:f>K1266*'Inputs'!$B$16+(G1266+R1266)*J1266*'Inputs'!$B$16</x:f>
        <x:v>579.463548572167</x:v>
      </x:c>
      <x:c r="AA1266" s="80" t="n">
        <x:f>K1266*(1+'Inputs'!$E$47)/2*'Inputs'!$B$17</x:f>
        <x:v>195.82901388462744</x:v>
      </x:c>
      <x:c r="AB1266" s="78" t="n">
        <x:f>(IF(J1266&gt;0,K1266*(1-'Inputs'!$E$47)/2/J1266,0)+G1266+R1266)*'Inputs'!$B$17</x:f>
        <x:v>16494.65455635657</x:v>
      </x:c>
      <x:c r="AC1266" s="78" t="n">
        <x:f>AC1265+AB1266</x:f>
        <x:v>2665848.299905088</x:v>
      </x:c>
      <x:c r="AD1266" s="80" t="n">
        <x:f>Z1266/(1+'Inputs'!$C$47)</x:f>
        <x:v>231.78541942886682</x:v>
      </x:c>
      <x:c r="AE1266" s="80" t="n">
        <x:f>Z1266-AD1266</x:f>
        <x:v>347.6781291433002</x:v>
      </x:c>
      <x:c r="AF1266" s="80" t="n">
        <x:f>D1266*W1266</x:f>
        <x:v>3308.760023040348</x:v>
      </x:c>
      <x:c r="AG1266" s="80" t="n">
        <x:f>C1266*W1266</x:f>
        <x:v>7720.44005376058</x:v>
      </x:c>
      <x:c r="AH1266" s="80" t="n">
        <x:f>2*'Inputs'!$B$8*'Inputs'!$C$47</x:f>
        <x:v>7500</x:v>
      </x:c>
      <x:c r="AI1266" s="81" t="n">
        <x:f>IF(AH1266&gt;0,(AE1266+AF1266)/AH1266*365,0)</x:f>
        <x:v>177.94665673960424</x:v>
      </x:c>
      <x:c r="AJ1266" s="81" t="n">
        <x:f>IF('Inputs'!$B$47&gt;0,AG1266/('Inputs'!$B$19*'Inputs'!$B$47)*365,0)</x:f>
        <x:v>281.79606196226115</x:v>
      </x:c>
      <x:c r="AK1266" s="81" t="n">
        <x:f>W1266/MAX($W$1099:W1266)-1</x:f>
        <x:v>-0.4701360277690816</x:v>
      </x:c>
      <x:c r="AL1266" s="83" t="n">
        <x:f>'Inputs'!$B$47</x:f>
        <x:v>1</x:v>
      </x:c>
      <x:c r="AM1266" s="83" t="n">
        <x:f>'Inputs'!$C$47</x:f>
        <x:v>1.5</x:v>
      </x:c>
      <x:c r="AN1266" s="83" t="n">
        <x:f>'Inputs'!$D$47</x:f>
        <x:v>1.5</x:v>
      </x:c>
      <x:c r="AO1266" s="81" t="n">
        <x:f>'Inputs'!$E$47</x:f>
        <x:v>0.05</x:v>
      </x:c>
    </x:row>
    <x:row r="1267">
      <x:c r="A1267" s="59" t="str">
        <x:v>Growth</x:v>
      </x:c>
      <x:c r="B1267" s="59" t="n">
        <x:v>169</x:v>
      </x:c>
      <x:c r="C1267" s="78" t="n">
        <x:f>(('Inputs'!$B$29*(3*169*'Inputs'!$B$12-169^2)/(2*'Inputs'!$B$12^2))-('Inputs'!$B$29*(3*168*'Inputs'!$B$12-168^2)/(2*'Inputs'!$B$12^2)))*'Inputs'!$B$47</x:f>
        <x:v>657205.6201914102</x:v>
      </x:c>
      <x:c r="D1267" s="78" t="n">
        <x:f>IF('Inputs'!$C$47&gt;0,('Inputs'!$B$30*(3*169*'Inputs'!$B$12-169^2)/(2*'Inputs'!$B$12^2))-('Inputs'!$B$30*(3*168*'Inputs'!$B$12-168^2)/(2*'Inputs'!$B$12^2)),0)</x:f>
        <x:v>281659.55151060224</x:v>
      </x:c>
      <x:c r="E1267" s="78" t="n">
        <x:f>C1267+D1267</x:f>
        <x:v>938865.1717020124</x:v>
      </x:c>
      <x:c r="F1267" s="78" t="n">
        <x:f>'Inputs'!$B$13*E1267+(1-'Inputs'!$B$13)/'Inputs'!$B$14*SUM(E1212:E1267)</x:f>
        <x:v>949082.8485644596</x:v>
      </x:c>
      <x:c r="G1267" s="78" t="n">
        <x:f>F1267*'Inputs'!$F$47</x:f>
        <x:v>332178.99699756084</x:v>
      </x:c>
      <x:c r="H1267" s="78" t="n">
        <x:f>U1266</x:f>
        <x:v>2236991.6889797626</x:v>
      </x:c>
      <x:c r="I1267" s="78" t="n">
        <x:f>V1266</x:f>
        <x:v>26265.784240464865</x:v>
      </x:c>
      <x:c r="J1267" s="79" t="n">
        <x:f>IF(H1267&gt;0,I1267/H1267,0)</x:f>
        <x:v>0.011741565411199202</x:v>
      </x:c>
      <x:c r="K1267" s="80" t="n">
        <x:f>(H1267*J1267+I1267)*'Inputs'!$D$47*(1+'Inputs'!$G$47)^(B1267/30)</x:f>
        <x:v>93073.917320227</x:v>
      </x:c>
      <x:c r="L1267" s="80" t="n">
        <x:f>MAX(0,K1267*'Inputs'!$E$47)</x:f>
        <x:v>4653.6958660113505</x:v>
      </x:c>
      <x:c r="M1267" s="80" t="n">
        <x:f>MAX(0,-K1267*'Inputs'!$E$47)</x:f>
        <x:v>0</x:v>
      </x:c>
      <x:c r="N1267" s="78" t="n">
        <x:f>H1267*(L1267*(1-'Inputs'!$B$15))/(I1267+L1267*(1-'Inputs'!$B$15))</x:f>
        <x:v>333825.51628489105</x:v>
      </x:c>
      <x:c r="O1267" s="78" t="n">
        <x:f>H1267-N1267</x:f>
        <x:v>1903166.1726948717</x:v>
      </x:c>
      <x:c r="P1267" s="78" t="n">
        <x:f>I1267+L1267*(1-'Inputs'!$B$17)</x:f>
        <x:v>30900.752960134116</x:v>
      </x:c>
      <x:c r="Q1267" s="78" t="n">
        <x:f>IF(J1267&gt;0,M1267/J1267,0)</x:f>
        <x:v>0</x:v>
      </x:c>
      <x:c r="R1267" s="78" t="n">
        <x:f>IF(B1267='Inputs'!$H$47,'Inputs'!$B$27*'Inputs'!$I$47,0)</x:f>
        <x:v>0</x:v>
      </x:c>
      <x:c r="S1267" s="78" t="n">
        <x:f>Q1267+G1267+R1267</x:f>
        <x:v>332178.99699756084</x:v>
      </x:c>
      <x:c r="T1267" s="78" t="n">
        <x:f>P1267*(S1267*(1-'Inputs'!$B$15))/(O1267+S1267*(1-'Inputs'!$B$15))</x:f>
        <x:v>4552.790712605657</x:v>
      </x:c>
      <x:c r="U1267" s="78" t="n">
        <x:f>O1267+S1267*(1-'Inputs'!$B$17)</x:f>
        <x:v>2234008.433286004</x:v>
      </x:c>
      <x:c r="V1267" s="78" t="n">
        <x:f>P1267-T1267</x:f>
        <x:v>26347.96224752846</x:v>
      </x:c>
      <x:c r="W1267" s="79" t="n">
        <x:f>IF(U1267&gt;0,V1267/U1267,0)</x:f>
        <x:v>0.011794029894852828</x:v>
      </x:c>
      <x:c r="X1267" s="80" t="n">
        <x:f>W1267*('Inputs'!$B$6-AC1267)</x:f>
        <x:v>11762394.33196874</x:v>
      </x:c>
      <x:c r="Y1267" s="80" t="n">
        <x:f>2*V1267</x:f>
        <x:v>52695.92449505692</x:v>
      </x:c>
      <x:c r="Z1267" s="80" t="n">
        <x:f>K1267*'Inputs'!$B$16+(G1267+R1267)*J1267*'Inputs'!$B$16</x:f>
        <x:v>581.8453124502024</x:v>
      </x:c>
      <x:c r="AA1267" s="80" t="n">
        <x:f>K1267*(1+'Inputs'!$E$47)/2*'Inputs'!$B$17</x:f>
        <x:v>196.6350365920289</x:v>
      </x:c>
      <x:c r="AB1267" s="78" t="n">
        <x:f>(IF(J1267&gt;0,K1267*(1-'Inputs'!$E$47)/2/J1267,0)+G1267+R1267)*'Inputs'!$B$17</x:f>
        <x:v>16488.710101541128</x:v>
      </x:c>
      <x:c r="AC1267" s="78" t="n">
        <x:f>AC1266+AB1267</x:f>
        <x:v>2682337.010006629</x:v>
      </x:c>
      <x:c r="AD1267" s="80" t="n">
        <x:f>Z1267/(1+'Inputs'!$C$47)</x:f>
        <x:v>232.73812498008095</x:v>
      </x:c>
      <x:c r="AE1267" s="80" t="n">
        <x:f>Z1267-AD1267</x:f>
        <x:v>349.10718747012146</x:v>
      </x:c>
      <x:c r="AF1267" s="80" t="n">
        <x:f>D1267*W1267</x:f>
        <x:v>3321.901170686883</x:v>
      </x:c>
      <x:c r="AG1267" s="80" t="n">
        <x:f>C1267*W1267</x:f>
        <x:v>7751.102731602785</x:v>
      </x:c>
      <x:c r="AH1267" s="80" t="n">
        <x:f>2*'Inputs'!$B$8*'Inputs'!$C$47</x:f>
        <x:v>7500</x:v>
      </x:c>
      <x:c r="AI1267" s="81" t="n">
        <x:f>IF(AH1267&gt;0,(AE1267+AF1267)/AH1267*365,0)</x:f>
        <x:v>178.6557400969742</x:v>
      </x:c>
      <x:c r="AJ1267" s="81" t="n">
        <x:f>IF('Inputs'!$B$47&gt;0,AG1267/('Inputs'!$B$19*'Inputs'!$B$47)*365,0)</x:f>
        <x:v>282.9152497035016</x:v>
      </x:c>
      <x:c r="AK1267" s="81" t="n">
        <x:f>W1267/MAX($W$1099:W1267)-1</x:f>
        <x:v>-0.46776845251516874</x:v>
      </x:c>
      <x:c r="AL1267" s="83" t="n">
        <x:f>'Inputs'!$B$47</x:f>
        <x:v>1</x:v>
      </x:c>
      <x:c r="AM1267" s="83" t="n">
        <x:f>'Inputs'!$C$47</x:f>
        <x:v>1.5</x:v>
      </x:c>
      <x:c r="AN1267" s="83" t="n">
        <x:f>'Inputs'!$D$47</x:f>
        <x:v>1.5</x:v>
      </x:c>
      <x:c r="AO1267" s="81" t="n">
        <x:f>'Inputs'!$E$47</x:f>
        <x:v>0.05</x:v>
      </x:c>
    </x:row>
    <x:row r="1268">
      <x:c r="A1268" s="59" t="str">
        <x:v>Growth</x:v>
      </x:c>
      <x:c r="B1268" s="59" t="n">
        <x:v>170</x:v>
      </x:c>
      <x:c r="C1268" s="78" t="n">
        <x:f>(('Inputs'!$B$29*(3*170*'Inputs'!$B$12-170^2)/(2*'Inputs'!$B$12^2))-('Inputs'!$B$29*(3*169*'Inputs'!$B$12-169^2)/(2*'Inputs'!$B$12^2)))*'Inputs'!$B$47</x:f>
        <x:v>656880.5122912377</x:v>
      </x:c>
      <x:c r="D1268" s="78" t="n">
        <x:f>IF('Inputs'!$C$47&gt;0,('Inputs'!$B$30*(3*170*'Inputs'!$B$12-170^2)/(2*'Inputs'!$B$12^2))-('Inputs'!$B$30*(3*169*'Inputs'!$B$12-169^2)/(2*'Inputs'!$B$12^2)),0)</x:f>
        <x:v>281520.2195533812</x:v>
      </x:c>
      <x:c r="E1268" s="78" t="n">
        <x:f>C1268+D1268</x:f>
        <x:v>938400.7318446189</x:v>
      </x:c>
      <x:c r="F1268" s="78" t="n">
        <x:f>'Inputs'!$B$13*E1268+(1-'Inputs'!$B$13)/'Inputs'!$B$14*SUM(E1213:E1268)</x:f>
        <x:v>948618.4087070738</x:v>
      </x:c>
      <x:c r="G1268" s="78" t="n">
        <x:f>F1268*'Inputs'!$F$47</x:f>
        <x:v>332016.4430474758</x:v>
      </x:c>
      <x:c r="H1268" s="78" t="n">
        <x:f>U1267</x:f>
        <x:v>2234008.433286004</x:v>
      </x:c>
      <x:c r="I1268" s="78" t="n">
        <x:f>V1267</x:f>
        <x:v>26347.96224752846</x:v>
      </x:c>
      <x:c r="J1268" s="79" t="n">
        <x:f>IF(H1268&gt;0,I1268/H1268,0)</x:f>
        <x:v>0.011794029894852828</x:v>
      </x:c>
      <x:c r="K1268" s="80" t="n">
        <x:f>(H1268*J1268+I1268)*'Inputs'!$D$47*(1+'Inputs'!$G$47)^(B1268/30)</x:f>
        <x:v>93457.15593415215</x:v>
      </x:c>
      <x:c r="L1268" s="80" t="n">
        <x:f>MAX(0,K1268*'Inputs'!$E$47)</x:f>
        <x:v>4672.857796707608</x:v>
      </x:c>
      <x:c r="M1268" s="80" t="n">
        <x:f>MAX(0,-K1268*'Inputs'!$E$47)</x:f>
        <x:v>0</x:v>
      </x:c>
      <x:c r="N1268" s="78" t="n">
        <x:f>H1268*(L1268*(1-'Inputs'!$B$15))/(I1268+L1268*(1-'Inputs'!$B$15))</x:f>
        <x:v>333659.8814977939</x:v>
      </x:c>
      <x:c r="O1268" s="78" t="n">
        <x:f>H1268-N1268</x:f>
        <x:v>1900348.55178821</x:v>
      </x:c>
      <x:c r="P1268" s="78" t="n">
        <x:f>I1268+L1268*(1-'Inputs'!$B$17)</x:f>
        <x:v>31002.015787508873</x:v>
      </x:c>
      <x:c r="Q1268" s="78" t="n">
        <x:f>IF(J1268&gt;0,M1268/J1268,0)</x:f>
        <x:v>0</x:v>
      </x:c>
      <x:c r="R1268" s="78" t="n">
        <x:f>IF(B1268='Inputs'!$H$47,'Inputs'!$B$27*'Inputs'!$I$47,0)</x:f>
        <x:v>0</x:v>
      </x:c>
      <x:c r="S1268" s="78" t="n">
        <x:f>Q1268+G1268+R1268</x:f>
        <x:v>332016.4430474758</x:v>
      </x:c>
      <x:c r="T1268" s="78" t="n">
        <x:f>P1268*(S1268*(1-'Inputs'!$B$15))/(O1268+S1268*(1-'Inputs'!$B$15))</x:f>
        <x:v>4571.5757170874085</x:v>
      </x:c>
      <x:c r="U1268" s="78" t="n">
        <x:f>O1268+S1268*(1-'Inputs'!$B$17)</x:f>
        <x:v>2231028.912569901</x:v>
      </x:c>
      <x:c r="V1268" s="78" t="n">
        <x:f>P1268-T1268</x:f>
        <x:v>26430.440070421464</x:v>
      </x:c>
      <x:c r="W1268" s="79" t="n">
        <x:f>IF(U1268&gt;0,V1268/U1268,0)</x:f>
        <x:v>0.011846749238214261</x:v>
      </x:c>
      <x:c r="X1268" s="80" t="n">
        <x:f>W1268*('Inputs'!$B$6-AC1268)</x:f>
        <x:v>11814776.997090645</x:v>
      </x:c>
      <x:c r="Y1268" s="80" t="n">
        <x:f>2*V1268</x:f>
        <x:v>52860.88014084293</x:v>
      </x:c>
      <x:c r="Z1268" s="80" t="n">
        <x:f>K1268*'Inputs'!$B$16+(G1268+R1268)*J1268*'Inputs'!$B$16</x:f>
        <x:v>584.2378067342206</x:v>
      </x:c>
      <x:c r="AA1268" s="80" t="n">
        <x:f>K1268*(1+'Inputs'!$E$47)/2*'Inputs'!$B$17</x:f>
        <x:v>197.44469563553272</x:v>
      </x:c>
      <x:c r="AB1268" s="78" t="n">
        <x:f>(IF(J1268&gt;0,K1268*(1-'Inputs'!$E$47)/2/J1268,0)+G1268+R1268)*'Inputs'!$B$17</x:f>
        <x:v>16482.765842218625</x:v>
      </x:c>
      <x:c r="AC1268" s="78" t="n">
        <x:f>AC1267+AB1268</x:f>
        <x:v>2698819.7758488473</x:v>
      </x:c>
      <x:c r="AD1268" s="80" t="n">
        <x:f>Z1268/(1+'Inputs'!$C$47)</x:f>
        <x:v>233.69512269368823</x:v>
      </x:c>
      <x:c r="AE1268" s="80" t="n">
        <x:f>Z1268-AD1268</x:f>
        <x:v>350.5426840405324</x:v>
      </x:c>
      <x:c r="AF1268" s="80" t="n">
        <x:f>D1268*W1268</x:f>
        <x:v>3335.0994465359304</x:v>
      </x:c>
      <x:c r="AG1268" s="80" t="n">
        <x:f>C1268*W1268</x:f>
        <x:v>7781.898708584014</x:v>
      </x:c>
      <x:c r="AH1268" s="80" t="n">
        <x:f>2*'Inputs'!$B$8*'Inputs'!$C$47</x:f>
        <x:v>7500</x:v>
      </x:c>
      <x:c r="AI1268" s="81" t="n">
        <x:f>IF(AH1268&gt;0,(AE1268+AF1268)/AH1268*365,0)</x:f>
        <x:v>179.36791702138785</x:v>
      </x:c>
      <x:c r="AJ1268" s="81" t="n">
        <x:f>IF('Inputs'!$B$47&gt;0,AG1268/('Inputs'!$B$19*'Inputs'!$B$47)*365,0)</x:f>
        <x:v>284.0393028633165</x:v>
      </x:c>
      <x:c r="AK1268" s="81" t="n">
        <x:f>W1268/MAX($W$1099:W1268)-1</x:f>
        <x:v>-0.4653893761562149</x:v>
      </x:c>
      <x:c r="AL1268" s="83" t="n">
        <x:f>'Inputs'!$B$47</x:f>
        <x:v>1</x:v>
      </x:c>
      <x:c r="AM1268" s="83" t="n">
        <x:f>'Inputs'!$C$47</x:f>
        <x:v>1.5</x:v>
      </x:c>
      <x:c r="AN1268" s="83" t="n">
        <x:f>'Inputs'!$D$47</x:f>
        <x:v>1.5</x:v>
      </x:c>
      <x:c r="AO1268" s="81" t="n">
        <x:f>'Inputs'!$E$47</x:f>
        <x:v>0.05</x:v>
      </x:c>
    </x:row>
    <x:row r="1269">
      <x:c r="A1269" s="59" t="str">
        <x:v>Growth</x:v>
      </x:c>
      <x:c r="B1269" s="59" t="n">
        <x:v>171</x:v>
      </x:c>
      <x:c r="C1269" s="78" t="n">
        <x:f>(('Inputs'!$B$29*(3*171*'Inputs'!$B$12-171^2)/(2*'Inputs'!$B$12^2))-('Inputs'!$B$29*(3*170*'Inputs'!$B$12-170^2)/(2*'Inputs'!$B$12^2)))*'Inputs'!$B$47</x:f>
        <x:v>656555.4043910652</x:v>
      </x:c>
      <x:c r="D1269" s="78" t="n">
        <x:f>IF('Inputs'!$C$47&gt;0,('Inputs'!$B$30*(3*171*'Inputs'!$B$12-171^2)/(2*'Inputs'!$B$12^2))-('Inputs'!$B$30*(3*170*'Inputs'!$B$12-170^2)/(2*'Inputs'!$B$12^2)),0)</x:f>
        <x:v>281380.8875961751</x:v>
      </x:c>
      <x:c r="E1269" s="78" t="n">
        <x:f>C1269+D1269</x:f>
        <x:v>937936.2919872403</x:v>
      </x:c>
      <x:c r="F1269" s="78" t="n">
        <x:f>'Inputs'!$B$13*E1269+(1-'Inputs'!$B$13)/'Inputs'!$B$14*SUM(E1214:E1269)</x:f>
        <x:v>948153.9688496906</x:v>
      </x:c>
      <x:c r="G1269" s="78" t="n">
        <x:f>F1269*'Inputs'!$F$47</x:f>
        <x:v>331853.8890973917</x:v>
      </x:c>
      <x:c r="H1269" s="78" t="n">
        <x:f>U1268</x:f>
        <x:v>2231028.912569901</x:v>
      </x:c>
      <x:c r="I1269" s="78" t="n">
        <x:f>V1268</x:f>
        <x:v>26430.440070421464</x:v>
      </x:c>
      <x:c r="J1269" s="79" t="n">
        <x:f>IF(H1269&gt;0,I1269/H1269,0)</x:f>
        <x:v>0.011846749238214261</x:v>
      </x:c>
      <x:c r="K1269" s="80" t="n">
        <x:f>(H1269*J1269+I1269)*'Inputs'!$D$47*(1+'Inputs'!$G$47)^(B1269/30)</x:f>
        <x:v>93842.1241853896</x:v>
      </x:c>
      <x:c r="L1269" s="80" t="n">
        <x:f>MAX(0,K1269*'Inputs'!$E$47)</x:f>
        <x:v>4692.10620926948</x:v>
      </x:c>
      <x:c r="M1269" s="80" t="n">
        <x:f>MAX(0,-K1269*'Inputs'!$E$47)</x:f>
        <x:v>0</x:v>
      </x:c>
      <x:c r="N1269" s="78" t="n">
        <x:f>H1269*(L1269*(1-'Inputs'!$B$15))/(I1269+L1269*(1-'Inputs'!$B$15))</x:f>
        <x:v>333494.25136337284</x:v>
      </x:c>
      <x:c r="O1269" s="78" t="n">
        <x:f>H1269-N1269</x:f>
        <x:v>1897534.661206528</x:v>
      </x:c>
      <x:c r="P1269" s="78" t="n">
        <x:f>I1269+L1269*(1-'Inputs'!$B$17)</x:f>
        <x:v>31103.6645645631</x:v>
      </x:c>
      <x:c r="Q1269" s="78" t="n">
        <x:f>IF(J1269&gt;0,M1269/J1269,0)</x:f>
        <x:v>0</x:v>
      </x:c>
      <x:c r="R1269" s="78" t="n">
        <x:f>IF(B1269='Inputs'!$H$47,'Inputs'!$B$27*'Inputs'!$I$47,0)</x:f>
        <x:v>0</x:v>
      </x:c>
      <x:c r="S1269" s="78" t="n">
        <x:f>Q1269+G1269+R1269</x:f>
        <x:v>331853.8890973917</x:v>
      </x:c>
      <x:c r="T1269" s="78" t="n">
        <x:f>P1269*(S1269*(1-'Inputs'!$B$15))/(O1269+S1269*(1-'Inputs'!$B$15))</x:f>
        <x:v>4590.445618525552</x:v>
      </x:c>
      <x:c r="U1269" s="78" t="n">
        <x:f>O1269+S1269*(1-'Inputs'!$B$17)</x:f>
        <x:v>2228053.1221787794</x:v>
      </x:c>
      <x:c r="V1269" s="78" t="n">
        <x:f>P1269-T1269</x:f>
        <x:v>26513.21894603755</x:v>
      </x:c>
      <x:c r="W1269" s="79" t="n">
        <x:f>IF(U1269&gt;0,V1269/U1269,0)</x:f>
        <x:v>0.011899724778604324</x:v>
      </x:c>
      <x:c r="X1269" s="80" t="n">
        <x:f>W1269*('Inputs'!$B$6-AC1269)</x:f>
        <x:v>11867413.496400291</x:v>
      </x:c>
      <x:c r="Y1269" s="80" t="n">
        <x:f>2*V1269</x:f>
        <x:v>53026.4378920751</x:v>
      </x:c>
      <x:c r="Z1269" s="80" t="n">
        <x:f>K1269*'Inputs'!$B$16+(G1269+R1269)*J1269*'Inputs'!$B$16</x:f>
        <x:v>586.6410839595154</x:v>
      </x:c>
      <x:c r="AA1269" s="80" t="n">
        <x:f>K1269*(1+'Inputs'!$E$47)/2*'Inputs'!$B$17</x:f>
        <x:v>198.25800884237242</x:v>
      </x:c>
      <x:c r="AB1269" s="78" t="n">
        <x:f>(IF(J1269&gt;0,K1269*(1-'Inputs'!$E$47)/2/J1269,0)+G1269+R1269)*'Inputs'!$B$17</x:f>
        <x:v>16476.821777325622</x:v>
      </x:c>
      <x:c r="AC1269" s="78" t="n">
        <x:f>AC1268+AB1269</x:f>
        <x:v>2715296.597626173</x:v>
      </x:c>
      <x:c r="AD1269" s="80" t="n">
        <x:f>Z1269/(1+'Inputs'!$C$47)</x:f>
        <x:v>234.65643358380618</x:v>
      </x:c>
      <x:c r="AE1269" s="80" t="n">
        <x:f>Z1269-AD1269</x:f>
        <x:v>351.98465037570924</x:v>
      </x:c>
      <x:c r="AF1269" s="80" t="n">
        <x:f>D1269*W1269</x:f>
        <x:v>3348.3551203538827</x:v>
      </x:c>
      <x:c r="AG1269" s="80" t="n">
        <x:f>C1269*W1269</x:f>
        <x:v>7812.8286141589415</x:v>
      </x:c>
      <x:c r="AH1269" s="80" t="n">
        <x:f>2*'Inputs'!$B$8*'Inputs'!$C$47</x:f>
        <x:v>7500</x:v>
      </x:c>
      <x:c r="AI1269" s="81" t="n">
        <x:f>IF(AH1269&gt;0,(AE1269+AF1269)/AH1269*365,0)</x:f>
        <x:v>180.0832021755068</x:v>
      </x:c>
      <x:c r="AJ1269" s="81" t="n">
        <x:f>IF('Inputs'!$B$47&gt;0,AG1269/('Inputs'!$B$19*'Inputs'!$B$47)*365,0)</x:f>
        <x:v>285.1682444168014</x:v>
      </x:c>
      <x:c r="AK1269" s="81" t="n">
        <x:f>W1269/MAX($W$1099:W1269)-1</x:f>
        <x:v>-0.4629987383426756</x:v>
      </x:c>
      <x:c r="AL1269" s="83" t="n">
        <x:f>'Inputs'!$B$47</x:f>
        <x:v>1</x:v>
      </x:c>
      <x:c r="AM1269" s="83" t="n">
        <x:f>'Inputs'!$C$47</x:f>
        <x:v>1.5</x:v>
      </x:c>
      <x:c r="AN1269" s="83" t="n">
        <x:f>'Inputs'!$D$47</x:f>
        <x:v>1.5</x:v>
      </x:c>
      <x:c r="AO1269" s="81" t="n">
        <x:f>'Inputs'!$E$47</x:f>
        <x:v>0.05</x:v>
      </x:c>
    </x:row>
    <x:row r="1270">
      <x:c r="A1270" s="59" t="str">
        <x:v>Growth</x:v>
      </x:c>
      <x:c r="B1270" s="59" t="n">
        <x:v>172</x:v>
      </x:c>
      <x:c r="C1270" s="78" t="n">
        <x:f>(('Inputs'!$B$29*(3*172*'Inputs'!$B$12-172^2)/(2*'Inputs'!$B$12^2))-('Inputs'!$B$29*(3*171*'Inputs'!$B$12-171^2)/(2*'Inputs'!$B$12^2)))*'Inputs'!$B$47</x:f>
        <x:v>656230.2964908928</x:v>
      </x:c>
      <x:c r="D1270" s="78" t="n">
        <x:f>IF('Inputs'!$C$47&gt;0,('Inputs'!$B$30*(3*172*'Inputs'!$B$12-172^2)/(2*'Inputs'!$B$12^2))-('Inputs'!$B$30*(3*171*'Inputs'!$B$12-171^2)/(2*'Inputs'!$B$12^2)),0)</x:f>
        <x:v>281241.55563895404</x:v>
      </x:c>
      <x:c r="E1270" s="78" t="n">
        <x:f>C1270+D1270</x:f>
        <x:v>937471.8521298468</x:v>
      </x:c>
      <x:c r="F1270" s="78" t="n">
        <x:f>'Inputs'!$B$13*E1270+(1-'Inputs'!$B$13)/'Inputs'!$B$14*SUM(E1215:E1270)</x:f>
        <x:v>947689.5289923045</x:v>
      </x:c>
      <x:c r="G1270" s="78" t="n">
        <x:f>F1270*'Inputs'!$F$47</x:f>
        <x:v>331691.33514730656</x:v>
      </x:c>
      <x:c r="H1270" s="78" t="n">
        <x:f>U1269</x:f>
        <x:v>2228053.1221787794</x:v>
      </x:c>
      <x:c r="I1270" s="78" t="n">
        <x:f>V1269</x:f>
        <x:v>26513.21894603755</x:v>
      </x:c>
      <x:c r="J1270" s="79" t="n">
        <x:f>IF(H1270&gt;0,I1270/H1270,0)</x:f>
        <x:v>0.011899724778604324</x:v>
      </x:c>
      <x:c r="K1270" s="80" t="n">
        <x:f>(H1270*J1270+I1270)*'Inputs'!$D$47*(1+'Inputs'!$G$47)^(B1270/30)</x:f>
        <x:v>94228.83055693065</x:v>
      </x:c>
      <x:c r="L1270" s="80" t="n">
        <x:f>MAX(0,K1270*'Inputs'!$E$47)</x:f>
        <x:v>4711.441527846533</x:v>
      </x:c>
      <x:c r="M1270" s="80" t="n">
        <x:f>MAX(0,-K1270*'Inputs'!$E$47)</x:f>
        <x:v>0</x:v>
      </x:c>
      <x:c r="N1270" s="78" t="n">
        <x:f>H1270*(L1270*(1-'Inputs'!$B$15))/(I1270+L1270*(1-'Inputs'!$B$15))</x:f>
        <x:v>333328.62587983947</x:v>
      </x:c>
      <x:c r="O1270" s="78" t="n">
        <x:f>H1270-N1270</x:f>
        <x:v>1894724.49629894</x:v>
      </x:c>
      <x:c r="P1270" s="78" t="n">
        <x:f>I1270+L1270*(1-'Inputs'!$B$17)</x:f>
        <x:v>31205.70095063319</x:v>
      </x:c>
      <x:c r="Q1270" s="78" t="n">
        <x:f>IF(J1270&gt;0,M1270/J1270,0)</x:f>
        <x:v>0</x:v>
      </x:c>
      <x:c r="R1270" s="78" t="n">
        <x:f>IF(B1270='Inputs'!$H$47,'Inputs'!$B$27*'Inputs'!$I$47,0)</x:f>
        <x:v>0</x:v>
      </x:c>
      <x:c r="S1270" s="78" t="n">
        <x:f>Q1270+G1270+R1270</x:f>
        <x:v>331691.33514730656</x:v>
      </x:c>
      <x:c r="T1270" s="78" t="n">
        <x:f>P1270*(S1270*(1-'Inputs'!$B$15))/(O1270+S1270*(1-'Inputs'!$B$15))</x:f>
        <x:v>4609.400833670424</x:v>
      </x:c>
      <x:c r="U1270" s="78" t="n">
        <x:f>O1270+S1270*(1-'Inputs'!$B$17)</x:f>
        <x:v>2225081.05746175</x:v>
      </x:c>
      <x:c r="V1270" s="78" t="n">
        <x:f>P1270-T1270</x:f>
        <x:v>26596.300116962764</x:v>
      </x:c>
      <x:c r="W1270" s="79" t="n">
        <x:f>IF(U1270&gt;0,V1270/U1270,0)</x:f>
        <x:v>0.011952957860916023</x:v>
      </x:c>
      <x:c r="X1270" s="80" t="n">
        <x:f>W1270*('Inputs'!$B$6-AC1270)</x:f>
        <x:v>11920305.159395168</x:v>
      </x:c>
      <x:c r="Y1270" s="80" t="n">
        <x:f>2*V1270</x:f>
        <x:v>53192.60023392553</x:v>
      </x:c>
      <x:c r="Z1270" s="80" t="n">
        <x:f>K1270*'Inputs'!$B$16+(G1270+R1270)*J1270*'Inputs'!$B$16</x:f>
        <x:v>589.0551969397884</x:v>
      </x:c>
      <x:c r="AA1270" s="80" t="n">
        <x:f>K1270*(1+'Inputs'!$E$47)/2*'Inputs'!$B$17</x:f>
        <x:v>199.07499413436054</x:v>
      </x:c>
      <x:c r="AB1270" s="78" t="n">
        <x:f>(IF(J1270&gt;0,K1270*(1-'Inputs'!$E$47)/2/J1270,0)+G1270+R1270)*'Inputs'!$B$17</x:f>
        <x:v>16470.877905766403</x:v>
      </x:c>
      <x:c r="AC1270" s="78" t="n">
        <x:f>AC1269+AB1270</x:f>
        <x:v>2731767.4755319394</x:v>
      </x:c>
      <x:c r="AD1270" s="80" t="n">
        <x:f>Z1270/(1+'Inputs'!$C$47)</x:f>
        <x:v>235.62207877591536</x:v>
      </x:c>
      <x:c r="AE1270" s="80" t="n">
        <x:f>Z1270-AD1270</x:f>
        <x:v>353.433118163873</x:v>
      </x:c>
      <x:c r="AF1270" s="80" t="n">
        <x:f>D1270*W1270</x:f>
        <x:v>3361.668463290887</x:v>
      </x:c>
      <x:c r="AG1270" s="80" t="n">
        <x:f>C1270*W1270</x:f>
        <x:v>7843.893081012069</x:v>
      </x:c>
      <x:c r="AH1270" s="80" t="n">
        <x:f>2*'Inputs'!$B$8*'Inputs'!$C$47</x:f>
        <x:v>7500</x:v>
      </x:c>
      <x:c r="AI1270" s="81" t="n">
        <x:f>IF(AH1270&gt;0,(AE1270+AF1270)/AH1270*365,0)</x:f>
        <x:v>180.80161029746498</x:v>
      </x:c>
      <x:c r="AJ1270" s="81" t="n">
        <x:f>IF('Inputs'!$B$47&gt;0,AG1270/('Inputs'!$B$19*'Inputs'!$B$47)*365,0)</x:f>
        <x:v>286.3020974569405</x:v>
      </x:c>
      <x:c r="AK1270" s="81" t="n">
        <x:f>W1270/MAX($W$1099:W1270)-1</x:f>
        <x:v>-0.460596478383295</x:v>
      </x:c>
      <x:c r="AL1270" s="83" t="n">
        <x:f>'Inputs'!$B$47</x:f>
        <x:v>1</x:v>
      </x:c>
      <x:c r="AM1270" s="83" t="n">
        <x:f>'Inputs'!$C$47</x:f>
        <x:v>1.5</x:v>
      </x:c>
      <x:c r="AN1270" s="83" t="n">
        <x:f>'Inputs'!$D$47</x:f>
        <x:v>1.5</x:v>
      </x:c>
      <x:c r="AO1270" s="81" t="n">
        <x:f>'Inputs'!$E$47</x:f>
        <x:v>0.05</x:v>
      </x:c>
    </x:row>
    <x:row r="1271">
      <x:c r="A1271" s="59" t="str">
        <x:v>Growth</x:v>
      </x:c>
      <x:c r="B1271" s="59" t="n">
        <x:v>173</x:v>
      </x:c>
      <x:c r="C1271" s="78" t="n">
        <x:f>(('Inputs'!$B$29*(3*173*'Inputs'!$B$12-173^2)/(2*'Inputs'!$B$12^2))-('Inputs'!$B$29*(3*172*'Inputs'!$B$12-172^2)/(2*'Inputs'!$B$12^2)))*'Inputs'!$B$47</x:f>
        <x:v>655905.1885907352</x:v>
      </x:c>
      <x:c r="D1271" s="78" t="n">
        <x:f>IF('Inputs'!$C$47&gt;0,('Inputs'!$B$30*(3*173*'Inputs'!$B$12-173^2)/(2*'Inputs'!$B$12^2))-('Inputs'!$B$30*(3*172*'Inputs'!$B$12-172^2)/(2*'Inputs'!$B$12^2)),0)</x:f>
        <x:v>281102.2236817479</x:v>
      </x:c>
      <x:c r="E1271" s="78" t="n">
        <x:f>C1271+D1271</x:f>
        <x:v>937007.4122724831</x:v>
      </x:c>
      <x:c r="F1271" s="78" t="n">
        <x:f>'Inputs'!$B$13*E1271+(1-'Inputs'!$B$13)/'Inputs'!$B$14*SUM(E1216:E1271)</x:f>
        <x:v>947225.0891349247</x:v>
      </x:c>
      <x:c r="G1271" s="78" t="n">
        <x:f>F1271*'Inputs'!$F$47</x:f>
        <x:v>331528.78119722364</x:v>
      </x:c>
      <x:c r="H1271" s="78" t="n">
        <x:f>U1270</x:f>
        <x:v>2225081.05746175</x:v>
      </x:c>
      <x:c r="I1271" s="78" t="n">
        <x:f>V1270</x:f>
        <x:v>26596.300116962764</x:v>
      </x:c>
      <x:c r="J1271" s="79" t="n">
        <x:f>IF(H1271&gt;0,I1271/H1271,0)</x:f>
        <x:v>0.011952957860916023</x:v>
      </x:c>
      <x:c r="K1271" s="80" t="n">
        <x:f>(H1271*J1271+I1271)*'Inputs'!$D$47*(1+'Inputs'!$G$47)^(B1271/30)</x:f>
        <x:v>94617.28357676267</x:v>
      </x:c>
      <x:c r="L1271" s="80" t="n">
        <x:f>MAX(0,K1271*'Inputs'!$E$47)</x:f>
        <x:v>4730.864178838134</x:v>
      </x:c>
      <x:c r="M1271" s="80" t="n">
        <x:f>MAX(0,-K1271*'Inputs'!$E$47)</x:f>
        <x:v>0</x:v>
      </x:c>
      <x:c r="N1271" s="78" t="n">
        <x:f>H1271*(L1271*(1-'Inputs'!$B$15))/(I1271+L1271*(1-'Inputs'!$B$15))</x:f>
        <x:v>333163.0050448355</x:v>
      </x:c>
      <x:c r="O1271" s="78" t="n">
        <x:f>H1271-N1271</x:f>
        <x:v>1891918.0524169146</x:v>
      </x:c>
      <x:c r="P1271" s="78" t="n">
        <x:f>I1271+L1271*(1-'Inputs'!$B$17)</x:f>
        <x:v>31308.12661298867</x:v>
      </x:c>
      <x:c r="Q1271" s="78" t="n">
        <x:f>IF(J1271&gt;0,M1271/J1271,0)</x:f>
        <x:v>0</x:v>
      </x:c>
      <x:c r="R1271" s="78" t="n">
        <x:f>IF(B1271='Inputs'!$H$47,'Inputs'!$B$27*'Inputs'!$I$47,0)</x:f>
        <x:v>0</x:v>
      </x:c>
      <x:c r="S1271" s="78" t="n">
        <x:f>Q1271+G1271+R1271</x:f>
        <x:v>331528.78119722364</x:v>
      </x:c>
      <x:c r="T1271" s="78" t="n">
        <x:f>P1271*(S1271*(1-'Inputs'!$B$15))/(O1271+S1271*(1-'Inputs'!$B$15))</x:f>
        <x:v>4628.441781490922</x:v>
      </x:c>
      <x:c r="U1271" s="78" t="n">
        <x:f>O1271+S1271*(1-'Inputs'!$B$17)</x:f>
        <x:v>2222112.713770286</x:v>
      </x:c>
      <x:c r="V1271" s="78" t="n">
        <x:f>P1271-T1271</x:f>
        <x:v>26679.68483149775</x:v>
      </x:c>
      <x:c r="W1271" s="79" t="n">
        <x:f>IF(U1271&gt;0,V1271/U1271,0)</x:f>
        <x:v>0.012006449837654724</x:v>
      </x:c>
      <x:c r="X1271" s="80" t="n">
        <x:f>W1271*('Inputs'!$B$6-AC1271)</x:f>
        <x:v>11973453.323084744</x:v>
      </x:c>
      <x:c r="Y1271" s="80" t="n">
        <x:f>2*V1271</x:f>
        <x:v>53359.3696629955</x:v>
      </x:c>
      <x:c r="Z1271" s="80" t="n">
        <x:f>K1271*'Inputs'!$B$16+(G1271+R1271)*J1271*'Inputs'!$B$16</x:f>
        <x:v>591.4801987685636</x:v>
      </x:c>
      <x:c r="AA1271" s="80" t="n">
        <x:f>K1271*(1+'Inputs'!$E$47)/2*'Inputs'!$B$17</x:f>
        <x:v>199.89566952837185</x:v>
      </x:c>
      <x:c r="AB1271" s="78" t="n">
        <x:f>(IF(J1271&gt;0,K1271*(1-'Inputs'!$E$47)/2/J1271,0)+G1271+R1271)*'Inputs'!$B$17</x:f>
        <x:v>16464.93422641738</x:v>
      </x:c>
      <x:c r="AC1271" s="78" t="n">
        <x:f>AC1270+AB1271</x:f>
        <x:v>2748232.409758357</x:v>
      </x:c>
      <x:c r="AD1271" s="80" t="n">
        <x:f>Z1271/(1+'Inputs'!$C$47)</x:f>
        <x:v>236.59207950742544</x:v>
      </x:c>
      <x:c r="AE1271" s="80" t="n">
        <x:f>Z1271-AD1271</x:f>
        <x:v>354.8881192611382</x:v>
      </x:c>
      <x:c r="AF1271" s="80" t="n">
        <x:f>D1271*W1271</x:f>
        <x:v>3375.039747888104</x:v>
      </x:c>
      <x:c r="AG1271" s="80" t="n">
        <x:f>C1271*W1271</x:f>
        <x:v>7875.092745072124</x:v>
      </x:c>
      <x:c r="AH1271" s="80" t="n">
        <x:f>2*'Inputs'!$B$8*'Inputs'!$C$47</x:f>
        <x:v>7500</x:v>
      </x:c>
      <x:c r="AI1271" s="81" t="n">
        <x:f>IF(AH1271&gt;0,(AE1271+AF1271)/AH1271*365,0)</x:f>
        <x:v>181.52315620126313</x:v>
      </x:c>
      <x:c r="AJ1271" s="81" t="n">
        <x:f>IF('Inputs'!$B$47&gt;0,AG1271/('Inputs'!$B$19*'Inputs'!$B$47)*365,0)</x:f>
        <x:v>287.4408851951325</x:v>
      </x:c>
      <x:c r="AK1271" s="81" t="n">
        <x:f>W1271/MAX($W$1099:W1271)-1</x:f>
        <x:v>-0.45818253524329267</x:v>
      </x:c>
      <x:c r="AL1271" s="83" t="n">
        <x:f>'Inputs'!$B$47</x:f>
        <x:v>1</x:v>
      </x:c>
      <x:c r="AM1271" s="83" t="n">
        <x:f>'Inputs'!$C$47</x:f>
        <x:v>1.5</x:v>
      </x:c>
      <x:c r="AN1271" s="83" t="n">
        <x:f>'Inputs'!$D$47</x:f>
        <x:v>1.5</x:v>
      </x:c>
      <x:c r="AO1271" s="81" t="n">
        <x:f>'Inputs'!$E$47</x:f>
        <x:v>0.05</x:v>
      </x:c>
    </x:row>
    <x:row r="1272">
      <x:c r="A1272" s="59" t="str">
        <x:v>Growth</x:v>
      </x:c>
      <x:c r="B1272" s="59" t="n">
        <x:v>174</x:v>
      </x:c>
      <x:c r="C1272" s="78" t="n">
        <x:f>(('Inputs'!$B$29*(3*174*'Inputs'!$B$12-174^2)/(2*'Inputs'!$B$12^2))-('Inputs'!$B$29*(3*173*'Inputs'!$B$12-173^2)/(2*'Inputs'!$B$12^2)))*'Inputs'!$B$47</x:f>
        <x:v>655580.0806905627</x:v>
      </x:c>
      <x:c r="D1272" s="78" t="n">
        <x:f>IF('Inputs'!$C$47&gt;0,('Inputs'!$B$30*(3*174*'Inputs'!$B$12-174^2)/(2*'Inputs'!$B$12^2))-('Inputs'!$B$30*(3*173*'Inputs'!$B$12-173^2)/(2*'Inputs'!$B$12^2)),0)</x:f>
        <x:v>280962.89172451943</x:v>
      </x:c>
      <x:c r="E1272" s="78" t="n">
        <x:f>C1272+D1272</x:f>
        <x:v>936542.9724150822</x:v>
      </x:c>
      <x:c r="F1272" s="78" t="n">
        <x:f>'Inputs'!$B$13*E1272+(1-'Inputs'!$B$13)/'Inputs'!$B$14*SUM(E1217:E1272)</x:f>
        <x:v>946760.6492775369</x:v>
      </x:c>
      <x:c r="G1272" s="78" t="n">
        <x:f>F1272*'Inputs'!$F$47</x:f>
        <x:v>331366.22724713787</x:v>
      </x:c>
      <x:c r="H1272" s="78" t="n">
        <x:f>U1271</x:f>
        <x:v>2222112.713770286</x:v>
      </x:c>
      <x:c r="I1272" s="78" t="n">
        <x:f>V1271</x:f>
        <x:v>26679.68483149775</x:v>
      </x:c>
      <x:c r="J1272" s="79" t="n">
        <x:f>IF(H1272&gt;0,I1272/H1272,0)</x:f>
        <x:v>0.012006449837654724</x:v>
      </x:c>
      <x:c r="K1272" s="80" t="n">
        <x:f>(H1272*J1272+I1272)*'Inputs'!$D$47*(1+'Inputs'!$G$47)^(B1272/30)</x:f>
        <x:v>95007.49181810235</x:v>
      </x:c>
      <x:c r="L1272" s="80" t="n">
        <x:f>MAX(0,K1272*'Inputs'!$E$47)</x:f>
        <x:v>4750.374590905118</x:v>
      </x:c>
      <x:c r="M1272" s="80" t="n">
        <x:f>MAX(0,-K1272*'Inputs'!$E$47)</x:f>
        <x:v>0</x:v>
      </x:c>
      <x:c r="N1272" s="78" t="n">
        <x:f>H1272*(L1272*(1-'Inputs'!$B$15))/(I1272+L1272*(1-'Inputs'!$B$15))</x:f>
        <x:v>332997.3888555184</x:v>
      </x:c>
      <x:c r="O1272" s="78" t="n">
        <x:f>H1272-N1272</x:f>
        <x:v>1889115.3249147679</x:v>
      </x:c>
      <x:c r="P1272" s="78" t="n">
        <x:f>I1272+L1272*(1-'Inputs'!$B$17)</x:f>
        <x:v>31410.943226866028</x:v>
      </x:c>
      <x:c r="Q1272" s="78" t="n">
        <x:f>IF(J1272&gt;0,M1272/J1272,0)</x:f>
        <x:v>0</x:v>
      </x:c>
      <x:c r="R1272" s="78" t="n">
        <x:f>IF(B1272='Inputs'!$H$47,'Inputs'!$B$27*'Inputs'!$I$47,0)</x:f>
        <x:v>0</x:v>
      </x:c>
      <x:c r="S1272" s="78" t="n">
        <x:f>Q1272+G1272+R1272</x:f>
        <x:v>331366.22724713787</x:v>
      </x:c>
      <x:c r="T1272" s="78" t="n">
        <x:f>P1272*(S1272*(1-'Inputs'!$B$15))/(O1272+S1272*(1-'Inputs'!$B$15))</x:f>
        <x:v>4647.568883184975</x:v>
      </x:c>
      <x:c r="U1272" s="78" t="n">
        <x:f>O1272+S1272*(1-'Inputs'!$B$17)</x:f>
        <x:v>2219148.086458698</x:v>
      </x:c>
      <x:c r="V1272" s="78" t="n">
        <x:f>P1272-T1272</x:f>
        <x:v>26763.374343681055</x:v>
      </x:c>
      <x:c r="W1272" s="79" t="n">
        <x:f>IF(U1272&gt;0,V1272/U1272,0)</x:f>
        <x:v>0.012060202068979486</x:v>
      </x:c>
      <x:c r="X1272" s="80" t="n">
        <x:f>W1272*('Inputs'!$B$6-AC1272)</x:f>
        <x:v>12026859.332031129</x:v>
      </x:c>
      <x:c r="Y1272" s="80" t="n">
        <x:f>2*V1272</x:f>
        <x:v>53526.74868736211</x:v>
      </x:c>
      <x:c r="Z1272" s="80" t="n">
        <x:f>K1272*'Inputs'!$B$16+(G1272+R1272)*J1272*'Inputs'!$B$16</x:f>
        <x:v>593.9161428206281</x:v>
      </x:c>
      <x:c r="AA1272" s="80" t="n">
        <x:f>K1272*(1+'Inputs'!$E$47)/2*'Inputs'!$B$17</x:f>
        <x:v>200.720053136836</x:v>
      </x:c>
      <x:c r="AB1272" s="78" t="n">
        <x:f>(IF(J1272&gt;0,K1272*(1-'Inputs'!$E$47)/2/J1272,0)+G1272+R1272)*'Inputs'!$B$17</x:f>
        <x:v>16458.99073813086</x:v>
      </x:c>
      <x:c r="AC1272" s="78" t="n">
        <x:f>AC1271+AB1272</x:f>
        <x:v>2764691.4004964875</x:v>
      </x:c>
      <x:c r="AD1272" s="80" t="n">
        <x:f>Z1272/(1+'Inputs'!$C$47)</x:f>
        <x:v>237.56645712825124</x:v>
      </x:c>
      <x:c r="AE1272" s="80" t="n">
        <x:f>Z1272-AD1272</x:f>
        <x:v>356.34968569237685</x:v>
      </x:c>
      <x:c r="AF1272" s="80" t="n">
        <x:f>D1272*W1272</x:f>
        <x:v>3388.469248082509</x:v>
      </x:c>
      <x:c r="AG1272" s="80" t="n">
        <x:f>C1272*W1272</x:f>
        <x:v>7906.428245526063</x:v>
      </x:c>
      <x:c r="AH1272" s="80" t="n">
        <x:f>2*'Inputs'!$B$8*'Inputs'!$C$47</x:f>
        <x:v>7500</x:v>
      </x:c>
      <x:c r="AI1272" s="81" t="n">
        <x:f>IF(AH1272&gt;0,(AE1272+AF1272)/AH1272*365,0)</x:f>
        <x:v>182.24785477704444</x:v>
      </x:c>
      <x:c r="AJ1272" s="81" t="n">
        <x:f>IF('Inputs'!$B$47&gt;0,AG1272/('Inputs'!$B$19*'Inputs'!$B$47)*365,0)</x:f>
        <x:v>288.5846309617013</x:v>
      </x:c>
      <x:c r="AK1272" s="81" t="n">
        <x:f>W1272/MAX($W$1099:W1272)-1</x:f>
        <x:v>-0.4557568475424988</x:v>
      </x:c>
      <x:c r="AL1272" s="83" t="n">
        <x:f>'Inputs'!$B$47</x:f>
        <x:v>1</x:v>
      </x:c>
      <x:c r="AM1272" s="83" t="n">
        <x:f>'Inputs'!$C$47</x:f>
        <x:v>1.5</x:v>
      </x:c>
      <x:c r="AN1272" s="83" t="n">
        <x:f>'Inputs'!$D$47</x:f>
        <x:v>1.5</x:v>
      </x:c>
      <x:c r="AO1272" s="81" t="n">
        <x:f>'Inputs'!$E$47</x:f>
        <x:v>0.05</x:v>
      </x:c>
    </x:row>
    <x:row r="1273">
      <x:c r="A1273" s="59" t="str">
        <x:v>Growth</x:v>
      </x:c>
      <x:c r="B1273" s="59" t="n">
        <x:v>175</x:v>
      </x:c>
      <x:c r="C1273" s="78" t="n">
        <x:f>(('Inputs'!$B$29*(3*175*'Inputs'!$B$12-175^2)/(2*'Inputs'!$B$12^2))-('Inputs'!$B$29*(3*174*'Inputs'!$B$12-174^2)/(2*'Inputs'!$B$12^2)))*'Inputs'!$B$47</x:f>
        <x:v>655254.9727903903</x:v>
      </x:c>
      <x:c r="D1273" s="78" t="n">
        <x:f>IF('Inputs'!$C$47&gt;0,('Inputs'!$B$30*(3*175*'Inputs'!$B$12-175^2)/(2*'Inputs'!$B$12^2))-('Inputs'!$B$30*(3*174*'Inputs'!$B$12-174^2)/(2*'Inputs'!$B$12^2)),0)</x:f>
        <x:v>280823.5597673133</x:v>
      </x:c>
      <x:c r="E1273" s="78" t="n">
        <x:f>C1273+D1273</x:f>
        <x:v>936078.5325577036</x:v>
      </x:c>
      <x:c r="F1273" s="78" t="n">
        <x:f>'Inputs'!$B$13*E1273+(1-'Inputs'!$B$13)/'Inputs'!$B$14*SUM(E1218:E1273)</x:f>
        <x:v>946296.2094201541</x:v>
      </x:c>
      <x:c r="G1273" s="78" t="n">
        <x:f>F1273*'Inputs'!$F$47</x:f>
        <x:v>331203.6732970539</x:v>
      </x:c>
      <x:c r="H1273" s="78" t="n">
        <x:f>U1272</x:f>
        <x:v>2219148.086458698</x:v>
      </x:c>
      <x:c r="I1273" s="78" t="n">
        <x:f>V1272</x:f>
        <x:v>26763.374343681055</x:v>
      </x:c>
      <x:c r="J1273" s="79" t="n">
        <x:f>IF(H1273&gt;0,I1273/H1273,0)</x:f>
        <x:v>0.012060202068979486</x:v>
      </x:c>
      <x:c r="K1273" s="80" t="n">
        <x:f>(H1273*J1273+I1273)*'Inputs'!$D$47*(1+'Inputs'!$G$47)^(B1273/30)</x:f>
        <x:v>95399.46389963393</x:v>
      </x:c>
      <x:c r="L1273" s="80" t="n">
        <x:f>MAX(0,K1273*'Inputs'!$E$47)</x:f>
        <x:v>4769.973194981697</x:v>
      </x:c>
      <x:c r="M1273" s="80" t="n">
        <x:f>MAX(0,-K1273*'Inputs'!$E$47)</x:f>
        <x:v>0</x:v>
      </x:c>
      <x:c r="N1273" s="78" t="n">
        <x:f>H1273*(L1273*(1-'Inputs'!$B$15))/(I1273+L1273*(1-'Inputs'!$B$15))</x:f>
        <x:v>332831.77730863163</x:v>
      </x:c>
      <x:c r="O1273" s="78" t="n">
        <x:f>H1273-N1273</x:f>
        <x:v>1886316.3091500662</x:v>
      </x:c>
      <x:c r="P1273" s="78" t="n">
        <x:f>I1273+L1273*(1-'Inputs'!$B$17)</x:f>
        <x:v>31514.15247550387</x:v>
      </x:c>
      <x:c r="Q1273" s="78" t="n">
        <x:f>IF(J1273&gt;0,M1273/J1273,0)</x:f>
        <x:v>0</x:v>
      </x:c>
      <x:c r="R1273" s="78" t="n">
        <x:f>IF(B1273='Inputs'!$H$47,'Inputs'!$B$27*'Inputs'!$I$47,0)</x:f>
        <x:v>0</x:v>
      </x:c>
      <x:c r="S1273" s="78" t="n">
        <x:f>Q1273+G1273+R1273</x:f>
        <x:v>331203.6732970539</x:v>
      </x:c>
      <x:c r="T1273" s="78" t="n">
        <x:f>P1273*(S1273*(1-'Inputs'!$B$15))/(O1273+S1273*(1-'Inputs'!$B$15))</x:f>
        <x:v>4666.782562190761</x:v>
      </x:c>
      <x:c r="U1273" s="78" t="n">
        <x:f>O1273+S1273*(1-'Inputs'!$B$17)</x:f>
        <x:v>2216187.1708845566</x:v>
      </x:c>
      <x:c r="V1273" s="78" t="n">
        <x:f>P1273-T1273</x:f>
        <x:v>26847.36991331311</x:v>
      </x:c>
      <x:c r="W1273" s="79" t="n">
        <x:f>IF(U1273&gt;0,V1273/U1273,0)</x:f>
        <x:v>0.012114215922745098</x:v>
      </x:c>
      <x:c r="X1273" s="80" t="n">
        <x:f>W1273*('Inputs'!$B$6-AC1273)</x:f>
        <x:v>12080524.538390456</x:v>
      </x:c>
      <x:c r="Y1273" s="80" t="n">
        <x:f>2*V1273</x:f>
        <x:v>53694.73982662622</x:v>
      </x:c>
      <x:c r="Z1273" s="80" t="n">
        <x:f>K1273*'Inputs'!$B$16+(G1273+R1273)*J1273*'Inputs'!$B$16</x:f>
        <x:v>596.363082753508</x:v>
      </x:c>
      <x:c r="AA1273" s="80" t="n">
        <x:f>K1273*(1+'Inputs'!$E$47)/2*'Inputs'!$B$17</x:f>
        <x:v>201.54816316824073</x:v>
      </x:c>
      <x:c r="AB1273" s="78" t="n">
        <x:f>(IF(J1273&gt;0,K1273*(1-'Inputs'!$E$47)/2/J1273,0)+G1273+R1273)*'Inputs'!$B$17</x:f>
        <x:v>16453.047439738337</x:v>
      </x:c>
      <x:c r="AC1273" s="78" t="n">
        <x:f>AC1272+AB1273</x:f>
        <x:v>2781144.4479362257</x:v>
      </x:c>
      <x:c r="AD1273" s="80" t="n">
        <x:f>Z1273/(1+'Inputs'!$C$47)</x:f>
        <x:v>238.5452331014032</x:v>
      </x:c>
      <x:c r="AE1273" s="80" t="n">
        <x:f>Z1273-AD1273</x:f>
        <x:v>357.8178496521048</x:v>
      </x:c>
      <x:c r="AF1273" s="80" t="n">
        <x:f>D1273*W1273</x:f>
        <x:v>3401.9572392151467</x:v>
      </x:c>
      <x:c r="AG1273" s="80" t="n">
        <x:f>C1273*W1273</x:f>
        <x:v>7937.900224835252</x:v>
      </x:c>
      <x:c r="AH1273" s="80" t="n">
        <x:f>2*'Inputs'!$B$8*'Inputs'!$C$47</x:f>
        <x:v>7500</x:v>
      </x:c>
      <x:c r="AI1273" s="81" t="n">
        <x:f>IF(AH1273&gt;0,(AE1273+AF1273)/AH1273*365,0)</x:f>
        <x:v>182.9757209915396</x:v>
      </x:c>
      <x:c r="AJ1273" s="81" t="n">
        <x:f>IF('Inputs'!$B$47&gt;0,AG1273/('Inputs'!$B$19*'Inputs'!$B$47)*365,0)</x:f>
        <x:v>289.7333582064867</x:v>
      </x:c>
      <x:c r="AK1273" s="81" t="n">
        <x:f>W1273/MAX($W$1099:W1273)-1</x:f>
        <x:v>-0.4533193535534563</x:v>
      </x:c>
      <x:c r="AL1273" s="83" t="n">
        <x:f>'Inputs'!$B$47</x:f>
        <x:v>1</x:v>
      </x:c>
      <x:c r="AM1273" s="83" t="n">
        <x:f>'Inputs'!$C$47</x:f>
        <x:v>1.5</x:v>
      </x:c>
      <x:c r="AN1273" s="83" t="n">
        <x:f>'Inputs'!$D$47</x:f>
        <x:v>1.5</x:v>
      </x:c>
      <x:c r="AO1273" s="81" t="n">
        <x:f>'Inputs'!$E$47</x:f>
        <x:v>0.05</x:v>
      </x:c>
    </x:row>
    <x:row r="1274">
      <x:c r="A1274" s="59" t="str">
        <x:v>Growth</x:v>
      </x:c>
      <x:c r="B1274" s="59" t="n">
        <x:v>176</x:v>
      </x:c>
      <x:c r="C1274" s="78" t="n">
        <x:f>(('Inputs'!$B$29*(3*176*'Inputs'!$B$12-176^2)/(2*'Inputs'!$B$12^2))-('Inputs'!$B$29*(3*175*'Inputs'!$B$12-175^2)/(2*'Inputs'!$B$12^2)))*'Inputs'!$B$47</x:f>
        <x:v>654929.8648902178</x:v>
      </x:c>
      <x:c r="D1274" s="78" t="n">
        <x:f>IF('Inputs'!$C$47&gt;0,('Inputs'!$B$30*(3*176*'Inputs'!$B$12-176^2)/(2*'Inputs'!$B$12^2))-('Inputs'!$B$30*(3*175*'Inputs'!$B$12-175^2)/(2*'Inputs'!$B$12^2)),0)</x:f>
        <x:v>280684.2278100997</x:v>
      </x:c>
      <x:c r="E1274" s="78" t="n">
        <x:f>C1274+D1274</x:f>
        <x:v>935614.0927003175</x:v>
      </x:c>
      <x:c r="F1274" s="78" t="n">
        <x:f>'Inputs'!$B$13*E1274+(1-'Inputs'!$B$13)/'Inputs'!$B$14*SUM(E1219:E1274)</x:f>
        <x:v>945831.7695627694</x:v>
      </x:c>
      <x:c r="G1274" s="78" t="n">
        <x:f>F1274*'Inputs'!$F$47</x:f>
        <x:v>331041.1193469693</x:v>
      </x:c>
      <x:c r="H1274" s="78" t="n">
        <x:f>U1273</x:f>
        <x:v>2216187.1708845566</x:v>
      </x:c>
      <x:c r="I1274" s="78" t="n">
        <x:f>V1273</x:f>
        <x:v>26847.36991331311</x:v>
      </x:c>
      <x:c r="J1274" s="79" t="n">
        <x:f>IF(H1274&gt;0,I1274/H1274,0)</x:f>
        <x:v>0.012114215922745098</x:v>
      </x:c>
      <x:c r="K1274" s="80" t="n">
        <x:f>(H1274*J1274+I1274)*'Inputs'!$D$47*(1+'Inputs'!$G$47)^(B1274/30)</x:f>
        <x:v>95793.20848575045</x:v>
      </x:c>
      <x:c r="L1274" s="80" t="n">
        <x:f>MAX(0,K1274*'Inputs'!$E$47)</x:f>
        <x:v>4789.660424287523</x:v>
      </x:c>
      <x:c r="M1274" s="80" t="n">
        <x:f>MAX(0,-K1274*'Inputs'!$E$47)</x:f>
        <x:v>0</x:v>
      </x:c>
      <x:c r="N1274" s="78" t="n">
        <x:f>H1274*(L1274*(1-'Inputs'!$B$15))/(I1274+L1274*(1-'Inputs'!$B$15))</x:f>
        <x:v>332666.1704005671</x:v>
      </x:c>
      <x:c r="O1274" s="78" t="n">
        <x:f>H1274-N1274</x:f>
        <x:v>1883521.0004839895</x:v>
      </x:c>
      <x:c r="P1274" s="78" t="n">
        <x:f>I1274+L1274*(1-'Inputs'!$B$17)</x:f>
        <x:v>31617.756050178952</x:v>
      </x:c>
      <x:c r="Q1274" s="78" t="n">
        <x:f>IF(J1274&gt;0,M1274/J1274,0)</x:f>
        <x:v>0</x:v>
      </x:c>
      <x:c r="R1274" s="78" t="n">
        <x:f>IF(B1274='Inputs'!$H$47,'Inputs'!$B$27*'Inputs'!$I$47,0)</x:f>
        <x:v>0</x:v>
      </x:c>
      <x:c r="S1274" s="78" t="n">
        <x:f>Q1274+G1274+R1274</x:f>
        <x:v>331041.1193469693</x:v>
      </x:c>
      <x:c r="T1274" s="78" t="n">
        <x:f>P1274*(S1274*(1-'Inputs'!$B$15))/(O1274+S1274*(1-'Inputs'!$B$15))</x:f>
        <x:v>4686.083244197733</x:v>
      </x:c>
      <x:c r="U1274" s="78" t="n">
        <x:f>O1274+S1274*(1-'Inputs'!$B$17)</x:f>
        <x:v>2213229.9624090395</x:v>
      </x:c>
      <x:c r="V1274" s="78" t="n">
        <x:f>P1274-T1274</x:f>
        <x:v>26931.67280598122</x:v>
      </x:c>
      <x:c r="W1274" s="79" t="n">
        <x:f>IF(U1274&gt;0,V1274/U1274,0)</x:f>
        <x:v>0.012168492774545145</x:v>
      </x:c>
      <x:c r="X1274" s="80" t="n">
        <x:f>W1274*('Inputs'!$B$6-AC1274)</x:f>
        <x:v>12134450.301955264</x:v>
      </x:c>
      <x:c r="Y1274" s="80" t="n">
        <x:f>2*V1274</x:f>
        <x:v>53863.34561196244</x:v>
      </x:c>
      <x:c r="Z1274" s="80" t="n">
        <x:f>K1274*'Inputs'!$B$16+(G1274+R1274)*J1274*'Inputs'!$B$16</x:f>
        <x:v>598.8210725089612</x:v>
      </x:c>
      <x:c r="AA1274" s="80" t="n">
        <x:f>K1274*(1+'Inputs'!$E$47)/2*'Inputs'!$B$17</x:f>
        <x:v>202.38001792764183</x:v>
      </x:c>
      <x:c r="AB1274" s="78" t="n">
        <x:f>(IF(J1274&gt;0,K1274*(1-'Inputs'!$E$47)/2/J1274,0)+G1274+R1274)*'Inputs'!$B$17</x:f>
        <x:v>16447.104330053222</x:v>
      </x:c>
      <x:c r="AC1274" s="78" t="n">
        <x:f>AC1273+AB1274</x:f>
        <x:v>2797591.552266279</x:v>
      </x:c>
      <x:c r="AD1274" s="80" t="n">
        <x:f>Z1274/(1+'Inputs'!$C$47)</x:f>
        <x:v>239.52842900358445</x:v>
      </x:c>
      <x:c r="AE1274" s="80" t="n">
        <x:f>Z1274-AD1274</x:f>
        <x:v>359.2926435053767</x:v>
      </x:c>
      <x:c r="AF1274" s="80" t="n">
        <x:f>D1274*W1274</x:f>
        <x:v>3415.5039980359816</x:v>
      </x:c>
      <x:c r="AG1274" s="80" t="n">
        <x:f>C1274*W1274</x:f>
        <x:v>7969.509328750442</x:v>
      </x:c>
      <x:c r="AH1274" s="80" t="n">
        <x:f>2*'Inputs'!$B$8*'Inputs'!$C$47</x:f>
        <x:v>7500</x:v>
      </x:c>
      <x:c r="AI1274" s="81" t="n">
        <x:f>IF(AH1274&gt;0,(AE1274+AF1274)/AH1274*365,0)</x:f>
        <x:v>183.7067698883461</x:v>
      </x:c>
      <x:c r="AJ1274" s="81" t="n">
        <x:f>IF('Inputs'!$B$47&gt;0,AG1274/('Inputs'!$B$19*'Inputs'!$B$47)*365,0)</x:f>
        <x:v>290.88709049939115</x:v>
      </x:c>
      <x:c r="AK1274" s="81" t="n">
        <x:f>W1274/MAX($W$1099:W1274)-1</x:f>
        <x:v>-0.45086999119947824</x:v>
      </x:c>
      <x:c r="AL1274" s="83" t="n">
        <x:f>'Inputs'!$B$47</x:f>
        <x:v>1</x:v>
      </x:c>
      <x:c r="AM1274" s="83" t="n">
        <x:f>'Inputs'!$C$47</x:f>
        <x:v>1.5</x:v>
      </x:c>
      <x:c r="AN1274" s="83" t="n">
        <x:f>'Inputs'!$D$47</x:f>
        <x:v>1.5</x:v>
      </x:c>
      <x:c r="AO1274" s="81" t="n">
        <x:f>'Inputs'!$E$47</x:f>
        <x:v>0.05</x:v>
      </x:c>
    </x:row>
    <x:row r="1275">
      <x:c r="A1275" s="59" t="str">
        <x:v>Growth</x:v>
      </x:c>
      <x:c r="B1275" s="59" t="n">
        <x:v>177</x:v>
      </x:c>
      <x:c r="C1275" s="78" t="n">
        <x:f>(('Inputs'!$B$29*(3*177*'Inputs'!$B$12-177^2)/(2*'Inputs'!$B$12^2))-('Inputs'!$B$29*(3*176*'Inputs'!$B$12-176^2)/(2*'Inputs'!$B$12^2)))*'Inputs'!$B$47</x:f>
        <x:v>654604.7569900602</x:v>
      </x:c>
      <x:c r="D1275" s="78" t="n">
        <x:f>IF('Inputs'!$C$47&gt;0,('Inputs'!$B$30*(3*177*'Inputs'!$B$12-177^2)/(2*'Inputs'!$B$12^2))-('Inputs'!$B$30*(3*176*'Inputs'!$B$12-176^2)/(2*'Inputs'!$B$12^2)),0)</x:f>
        <x:v>280544.8958528787</x:v>
      </x:c>
      <x:c r="E1275" s="78" t="n">
        <x:f>C1275+D1275</x:f>
        <x:v>935149.6528429389</x:v>
      </x:c>
      <x:c r="F1275" s="78" t="n">
        <x:f>'Inputs'!$B$13*E1275+(1-'Inputs'!$B$13)/'Inputs'!$B$14*SUM(E1220:E1275)</x:f>
        <x:v>945367.3297053867</x:v>
      </x:c>
      <x:c r="G1275" s="78" t="n">
        <x:f>F1275*'Inputs'!$F$47</x:f>
        <x:v>330878.56539688533</x:v>
      </x:c>
      <x:c r="H1275" s="78" t="n">
        <x:f>U1274</x:f>
        <x:v>2213229.9624090395</x:v>
      </x:c>
      <x:c r="I1275" s="78" t="n">
        <x:f>V1274</x:f>
        <x:v>26931.67280598122</x:v>
      </x:c>
      <x:c r="J1275" s="79" t="n">
        <x:f>IF(H1275&gt;0,I1275/H1275,0)</x:f>
        <x:v>0.012168492774545145</x:v>
      </x:c>
      <x:c r="K1275" s="80" t="n">
        <x:f>(H1275*J1275+I1275)*'Inputs'!$D$47*(1+'Inputs'!$G$47)^(B1275/30)</x:f>
        <x:v>96188.73428679958</x:v>
      </x:c>
      <x:c r="L1275" s="80" t="n">
        <x:f>MAX(0,K1275*'Inputs'!$E$47)</x:f>
        <x:v>4809.436714339979</x:v>
      </x:c>
      <x:c r="M1275" s="80" t="n">
        <x:f>MAX(0,-K1275*'Inputs'!$E$47)</x:f>
        <x:v>0</x:v>
      </x:c>
      <x:c r="N1275" s="78" t="n">
        <x:f>H1275*(L1275*(1-'Inputs'!$B$15))/(I1275+L1275*(1-'Inputs'!$B$15))</x:f>
        <x:v>332500.5681274169</x:v>
      </x:c>
      <x:c r="O1275" s="78" t="n">
        <x:f>H1275-N1275</x:f>
        <x:v>1880729.3942816225</x:v>
      </x:c>
      <x:c r="P1275" s="78" t="n">
        <x:f>I1275+L1275*(1-'Inputs'!$B$17)</x:f>
        <x:v>31721.755650243373</x:v>
      </x:c>
      <x:c r="Q1275" s="78" t="n">
        <x:f>IF(J1275&gt;0,M1275/J1275,0)</x:f>
        <x:v>0</x:v>
      </x:c>
      <x:c r="R1275" s="78" t="n">
        <x:f>IF(B1275='Inputs'!$H$47,'Inputs'!$B$27*'Inputs'!$I$47,0)</x:f>
        <x:v>0</x:v>
      </x:c>
      <x:c r="S1275" s="78" t="n">
        <x:f>Q1275+G1275+R1275</x:f>
        <x:v>330878.56539688533</x:v>
      </x:c>
      <x:c r="T1275" s="78" t="n">
        <x:f>P1275*(S1275*(1-'Inputs'!$B$15))/(O1275+S1275*(1-'Inputs'!$B$15))</x:f>
        <x:v>4705.471357158317</x:v>
      </x:c>
      <x:c r="U1275" s="78" t="n">
        <x:f>O1275+S1275*(1-'Inputs'!$B$17)</x:f>
        <x:v>2210276.4563972326</x:v>
      </x:c>
      <x:c r="V1275" s="78" t="n">
        <x:f>P1275-T1275</x:f>
        <x:v>27016.284293085057</x:v>
      </x:c>
      <x:c r="W1275" s="79" t="n">
        <x:f>IF(U1275&gt;0,V1275/U1275,0)</x:f>
        <x:v>0.012223034007755665</x:v>
      </x:c>
      <x:c r="X1275" s="80" t="n">
        <x:f>W1275*('Inputs'!$B$6-AC1275)</x:f>
        <x:v>12188637.990197489</x:v>
      </x:c>
      <x:c r="Y1275" s="80" t="n">
        <x:f>2*V1275</x:f>
        <x:v>54032.56858617011</x:v>
      </x:c>
      <x:c r="Z1275" s="80" t="n">
        <x:f>K1275*'Inputs'!$B$16+(G1275+R1275)*J1275*'Inputs'!$B$16</x:f>
        <x:v>601.2901663145007</x:v>
      </x:c>
      <x:c r="AA1275" s="80" t="n">
        <x:f>K1275*(1+'Inputs'!$E$47)/2*'Inputs'!$B$17</x:f>
        <x:v>203.21563581718223</x:v>
      </x:c>
      <x:c r="AB1275" s="78" t="n">
        <x:f>(IF(J1275&gt;0,K1275*(1-'Inputs'!$E$47)/2/J1275,0)+G1275+R1275)*'Inputs'!$B$17</x:f>
        <x:v>16441.161407873213</x:v>
      </x:c>
      <x:c r="AC1275" s="78" t="n">
        <x:f>AC1274+AB1275</x:f>
        <x:v>2814032.713674152</x:v>
      </x:c>
      <x:c r="AD1275" s="80" t="n">
        <x:f>Z1275/(1+'Inputs'!$C$47)</x:f>
        <x:v>240.51606652580026</x:v>
      </x:c>
      <x:c r="AE1275" s="80" t="n">
        <x:f>Z1275-AD1275</x:f>
        <x:v>360.77409978870037</x:v>
      </x:c>
      <x:c r="AF1275" s="80" t="n">
        <x:f>D1275*W1275</x:f>
        <x:v>3429.1098027120074</x:v>
      </x:c>
      <x:c r="AG1275" s="80" t="n">
        <x:f>C1275*W1275</x:f>
        <x:v>8001.256206328138</x:v>
      </x:c>
      <x:c r="AH1275" s="80" t="n">
        <x:f>2*'Inputs'!$B$8*'Inputs'!$C$47</x:f>
        <x:v>7500</x:v>
      </x:c>
      <x:c r="AI1275" s="81" t="n">
        <x:f>IF(AH1275&gt;0,(AE1275+AF1275)/AH1275*365,0)</x:f>
        <x:v>184.4410165883678</x:v>
      </x:c>
      <x:c r="AJ1275" s="81" t="n">
        <x:f>IF('Inputs'!$B$47&gt;0,AG1275/('Inputs'!$B$19*'Inputs'!$B$47)*365,0)</x:f>
        <x:v>292.0458515309771</x:v>
      </x:c>
      <x:c r="AK1275" s="81" t="n">
        <x:f>W1275/MAX($W$1099:W1275)-1</x:f>
        <x:v>-0.44840869805267736</x:v>
      </x:c>
      <x:c r="AL1275" s="83" t="n">
        <x:f>'Inputs'!$B$47</x:f>
        <x:v>1</x:v>
      </x:c>
      <x:c r="AM1275" s="83" t="n">
        <x:f>'Inputs'!$C$47</x:f>
        <x:v>1.5</x:v>
      </x:c>
      <x:c r="AN1275" s="83" t="n">
        <x:f>'Inputs'!$D$47</x:f>
        <x:v>1.5</x:v>
      </x:c>
      <x:c r="AO1275" s="81" t="n">
        <x:f>'Inputs'!$E$47</x:f>
        <x:v>0.05</x:v>
      </x:c>
    </x:row>
    <x:row r="1276">
      <x:c r="A1276" s="59" t="str">
        <x:v>Growth</x:v>
      </x:c>
      <x:c r="B1276" s="59" t="n">
        <x:v>178</x:v>
      </x:c>
      <x:c r="C1276" s="78" t="n">
        <x:f>(('Inputs'!$B$29*(3*178*'Inputs'!$B$12-178^2)/(2*'Inputs'!$B$12^2))-('Inputs'!$B$29*(3*177*'Inputs'!$B$12-177^2)/(2*'Inputs'!$B$12^2)))*'Inputs'!$B$47</x:f>
        <x:v>654279.6490898877</x:v>
      </x:c>
      <x:c r="D1276" s="78" t="n">
        <x:f>IF('Inputs'!$C$47&gt;0,('Inputs'!$B$30*(3*178*'Inputs'!$B$12-178^2)/(2*'Inputs'!$B$12^2))-('Inputs'!$B$30*(3*177*'Inputs'!$B$12-177^2)/(2*'Inputs'!$B$12^2)),0)</x:f>
        <x:v>280405.5638956651</x:v>
      </x:c>
      <x:c r="E1276" s="78" t="n">
        <x:f>C1276+D1276</x:f>
        <x:v>934685.2129855528</x:v>
      </x:c>
      <x:c r="F1276" s="78" t="n">
        <x:f>'Inputs'!$B$13*E1276+(1-'Inputs'!$B$13)/'Inputs'!$B$14*SUM(E1221:E1276)</x:f>
        <x:v>944902.889848002</x:v>
      </x:c>
      <x:c r="G1276" s="78" t="n">
        <x:f>F1276*'Inputs'!$F$47</x:f>
        <x:v>330716.01144680066</x:v>
      </x:c>
      <x:c r="H1276" s="78" t="n">
        <x:f>U1275</x:f>
        <x:v>2210276.4563972326</x:v>
      </x:c>
      <x:c r="I1276" s="78" t="n">
        <x:f>V1275</x:f>
        <x:v>27016.284293085057</x:v>
      </x:c>
      <x:c r="J1276" s="79" t="n">
        <x:f>IF(H1276&gt;0,I1276/H1276,0)</x:f>
        <x:v>0.012223034007755665</x:v>
      </x:c>
      <x:c r="K1276" s="80" t="n">
        <x:f>(H1276*J1276+I1276)*'Inputs'!$D$47*(1+'Inputs'!$G$47)^(B1276/30)</x:f>
        <x:v>96586.05005933224</x:v>
      </x:c>
      <x:c r="L1276" s="80" t="n">
        <x:f>MAX(0,K1276*'Inputs'!$E$47)</x:f>
        <x:v>4829.302502966612</x:v>
      </x:c>
      <x:c r="M1276" s="80" t="n">
        <x:f>MAX(0,-K1276*'Inputs'!$E$47)</x:f>
        <x:v>0</x:v>
      </x:c>
      <x:c r="N1276" s="78" t="n">
        <x:f>H1276*(L1276*(1-'Inputs'!$B$15))/(I1276+L1276*(1-'Inputs'!$B$15))</x:f>
        <x:v>332334.9704850184</x:v>
      </x:c>
      <x:c r="O1276" s="78" t="n">
        <x:f>H1276-N1276</x:f>
        <x:v>1877941.4859122143</x:v>
      </x:c>
      <x:c r="P1276" s="78" t="n">
        <x:f>I1276+L1276*(1-'Inputs'!$B$17)</x:f>
        <x:v>31826.15298316247</x:v>
      </x:c>
      <x:c r="Q1276" s="78" t="n">
        <x:f>IF(J1276&gt;0,M1276/J1276,0)</x:f>
        <x:v>0</x:v>
      </x:c>
      <x:c r="R1276" s="78" t="n">
        <x:f>IF(B1276='Inputs'!$H$47,'Inputs'!$B$27*'Inputs'!$I$47,0)</x:f>
        <x:v>0</x:v>
      </x:c>
      <x:c r="S1276" s="78" t="n">
        <x:f>Q1276+G1276+R1276</x:f>
        <x:v>330716.01144680066</x:v>
      </x:c>
      <x:c r="T1276" s="78" t="n">
        <x:f>P1276*(S1276*(1-'Inputs'!$B$15))/(O1276+S1276*(1-'Inputs'!$B$15))</x:f>
        <x:v>4724.947331299609</x:v>
      </x:c>
      <x:c r="U1276" s="78" t="n">
        <x:f>O1276+S1276*(1-'Inputs'!$B$17)</x:f>
        <x:v>2207326.648218384</x:v>
      </x:c>
      <x:c r="V1276" s="78" t="n">
        <x:f>P1276-T1276</x:f>
        <x:v>27101.20565186286</x:v>
      </x:c>
      <x:c r="W1276" s="79" t="n">
        <x:f>IF(U1276&gt;0,V1276/U1276,0)</x:f>
        <x:v>0.012277841013579597</x:v>
      </x:c>
      <x:c r="X1276" s="80" t="n">
        <x:f>W1276*('Inputs'!$B$6-AC1276)</x:f>
        <x:v>12243088.978312217</x:v>
      </x:c>
      <x:c r="Y1276" s="80" t="n">
        <x:f>2*V1276</x:f>
        <x:v>54202.41130372572</x:v>
      </x:c>
      <x:c r="Z1276" s="80" t="n">
        <x:f>K1276*'Inputs'!$B$16+(G1276+R1276)*J1276*'Inputs'!$B$16</x:f>
        <x:v>603.7704186849347</x:v>
      </x:c>
      <x:c r="AA1276" s="80" t="n">
        <x:f>K1276*(1+'Inputs'!$E$47)/2*'Inputs'!$B$17</x:f>
        <x:v>204.05503533661744</x:v>
      </x:c>
      <x:c r="AB1276" s="78" t="n">
        <x:f>(IF(J1276&gt;0,K1276*(1-'Inputs'!$E$47)/2/J1276,0)+G1276+R1276)*'Inputs'!$B$17</x:f>
        <x:v>16435.218671982315</x:v>
      </x:c>
      <x:c r="AC1276" s="78" t="n">
        <x:f>AC1275+AB1276</x:f>
        <x:v>2830467.932346134</x:v>
      </x:c>
      <x:c r="AD1276" s="80" t="n">
        <x:f>Z1276/(1+'Inputs'!$C$47)</x:f>
        <x:v>241.50816747397388</x:v>
      </x:c>
      <x:c r="AE1276" s="80" t="n">
        <x:f>Z1276-AD1276</x:f>
        <x:v>362.2622512109608</x:v>
      </x:c>
      <x:c r="AF1276" s="80" t="n">
        <x:f>D1276*W1276</x:f>
        <x:v>3442.7749328341115</x:v>
      </x:c>
      <x:c r="AG1276" s="80" t="n">
        <x:f>C1276*W1276</x:f>
        <x:v>8033.14150994629</x:v>
      </x:c>
      <x:c r="AH1276" s="80" t="n">
        <x:f>2*'Inputs'!$B$8*'Inputs'!$C$47</x:f>
        <x:v>7500</x:v>
      </x:c>
      <x:c r="AI1276" s="81" t="n">
        <x:f>IF(AH1276&gt;0,(AE1276+AF1276)/AH1276*365,0)</x:f>
        <x:v>185.17847629019354</x:v>
      </x:c>
      <x:c r="AJ1276" s="81" t="n">
        <x:f>IF('Inputs'!$B$47&gt;0,AG1276/('Inputs'!$B$19*'Inputs'!$B$47)*365,0)</x:f>
        <x:v>293.2096651130396</x:v>
      </x:c>
      <x:c r="AK1276" s="81" t="n">
        <x:f>W1276/MAX($W$1099:W1276)-1</x:f>
        <x:v>-0.44593541133196013</x:v>
      </x:c>
      <x:c r="AL1276" s="83" t="n">
        <x:f>'Inputs'!$B$47</x:f>
        <x:v>1</x:v>
      </x:c>
      <x:c r="AM1276" s="83" t="n">
        <x:f>'Inputs'!$C$47</x:f>
        <x:v>1.5</x:v>
      </x:c>
      <x:c r="AN1276" s="83" t="n">
        <x:f>'Inputs'!$D$47</x:f>
        <x:v>1.5</x:v>
      </x:c>
      <x:c r="AO1276" s="81" t="n">
        <x:f>'Inputs'!$E$47</x:f>
        <x:v>0.05</x:v>
      </x:c>
    </x:row>
    <x:row r="1277">
      <x:c r="A1277" s="59" t="str">
        <x:v>Growth</x:v>
      </x:c>
      <x:c r="B1277" s="59" t="n">
        <x:v>179</x:v>
      </x:c>
      <x:c r="C1277" s="78" t="n">
        <x:f>(('Inputs'!$B$29*(3*179*'Inputs'!$B$12-179^2)/(2*'Inputs'!$B$12^2))-('Inputs'!$B$29*(3*178*'Inputs'!$B$12-178^2)/(2*'Inputs'!$B$12^2)))*'Inputs'!$B$47</x:f>
        <x:v>653954.5411897153</x:v>
      </x:c>
      <x:c r="D1277" s="78" t="n">
        <x:f>IF('Inputs'!$C$47&gt;0,('Inputs'!$B$30*(3*179*'Inputs'!$B$12-179^2)/(2*'Inputs'!$B$12^2))-('Inputs'!$B$30*(3*178*'Inputs'!$B$12-178^2)/(2*'Inputs'!$B$12^2)),0)</x:f>
        <x:v>280266.2319384515</x:v>
      </x:c>
      <x:c r="E1277" s="78" t="n">
        <x:f>C1277+D1277</x:f>
        <x:v>934220.7731281668</x:v>
      </x:c>
      <x:c r="F1277" s="78" t="n">
        <x:f>'Inputs'!$B$13*E1277+(1-'Inputs'!$B$13)/'Inputs'!$B$14*SUM(E1222:E1277)</x:f>
        <x:v>944438.4499906176</x:v>
      </x:c>
      <x:c r="G1277" s="78" t="n">
        <x:f>F1277*'Inputs'!$F$47</x:f>
        <x:v>330553.4574967161</x:v>
      </x:c>
      <x:c r="H1277" s="78" t="n">
        <x:f>U1276</x:f>
        <x:v>2207326.648218384</x:v>
      </x:c>
      <x:c r="I1277" s="78" t="n">
        <x:f>V1276</x:f>
        <x:v>27101.20565186286</x:v>
      </x:c>
      <x:c r="J1277" s="79" t="n">
        <x:f>IF(H1277&gt;0,I1277/H1277,0)</x:f>
        <x:v>0.012277841013579597</x:v>
      </x:c>
      <x:c r="K1277" s="80" t="n">
        <x:f>(H1277*J1277+I1277)*'Inputs'!$D$47*(1+'Inputs'!$G$47)^(B1277/30)</x:f>
        <x:v>96985.16460635475</x:v>
      </x:c>
      <x:c r="L1277" s="80" t="n">
        <x:f>MAX(0,K1277*'Inputs'!$E$47)</x:f>
        <x:v>4849.258230317738</x:v>
      </x:c>
      <x:c r="M1277" s="80" t="n">
        <x:f>MAX(0,-K1277*'Inputs'!$E$47)</x:f>
        <x:v>0</x:v>
      </x:c>
      <x:c r="N1277" s="78" t="n">
        <x:f>H1277*(L1277*(1-'Inputs'!$B$15))/(I1277+L1277*(1-'Inputs'!$B$15))</x:f>
        <x:v>332169.3774689922</x:v>
      </x:c>
      <x:c r="O1277" s="78" t="n">
        <x:f>H1277-N1277</x:f>
        <x:v>1875157.2707493918</x:v>
      </x:c>
      <x:c r="P1277" s="78" t="n">
        <x:f>I1277+L1277*(1-'Inputs'!$B$17)</x:f>
        <x:v>31930.949764553563</x:v>
      </x:c>
      <x:c r="Q1277" s="78" t="n">
        <x:f>IF(J1277&gt;0,M1277/J1277,0)</x:f>
        <x:v>0</x:v>
      </x:c>
      <x:c r="R1277" s="78" t="n">
        <x:f>IF(B1277='Inputs'!$H$47,'Inputs'!$B$27*'Inputs'!$I$47,0)</x:f>
        <x:v>0</x:v>
      </x:c>
      <x:c r="S1277" s="78" t="n">
        <x:f>Q1277+G1277+R1277</x:f>
        <x:v>330553.4574967161</x:v>
      </x:c>
      <x:c r="T1277" s="78" t="n">
        <x:f>P1277*(S1277*(1-'Inputs'!$B$15))/(O1277+S1277*(1-'Inputs'!$B$15))</x:f>
        <x:v>4744.51159913544</x:v>
      </x:c>
      <x:c r="U1277" s="78" t="n">
        <x:f>O1277+S1277*(1-'Inputs'!$B$17)</x:f>
        <x:v>2204380.533246121</x:v>
      </x:c>
      <x:c r="V1277" s="78" t="n">
        <x:f>P1277-T1277</x:f>
        <x:v>27186.438165418123</x:v>
      </x:c>
      <x:c r="W1277" s="79" t="n">
        <x:f>IF(U1277&gt;0,V1277/U1277,0)</x:f>
        <x:v>0.012332915191091798</x:v>
      </x:c>
      <x:c r="X1277" s="80" t="n">
        <x:f>W1277*('Inputs'!$B$6-AC1277)</x:f>
        <x:v>12297804.649262017</x:v>
      </x:c>
      <x:c r="Y1277" s="80" t="n">
        <x:f>2*V1277</x:f>
        <x:v>54372.87633083625</x:v>
      </x:c>
      <x:c r="Z1277" s="80" t="n">
        <x:f>K1277*'Inputs'!$B$16+(G1277+R1277)*J1277*'Inputs'!$B$16</x:f>
        <x:v>606.2618844239308</x:v>
      </x:c>
      <x:c r="AA1277" s="80" t="n">
        <x:f>K1277*(1+'Inputs'!$E$47)/2*'Inputs'!$B$17</x:f>
        <x:v>204.8982350838481</x:v>
      </x:c>
      <x:c r="AB1277" s="78" t="n">
        <x:f>(IF(J1277&gt;0,K1277*(1-'Inputs'!$E$47)/2/J1277,0)+G1277+R1277)*'Inputs'!$B$17</x:f>
        <x:v>16429.27612115259</x:v>
      </x:c>
      <x:c r="AC1277" s="78" t="n">
        <x:f>AC1276+AB1277</x:f>
        <x:v>2846897.2084672865</x:v>
      </x:c>
      <x:c r="AD1277" s="80" t="n">
        <x:f>Z1277/(1+'Inputs'!$C$47)</x:f>
        <x:v>242.50475376957235</x:v>
      </x:c>
      <x:c r="AE1277" s="80" t="n">
        <x:f>Z1277-AD1277</x:f>
        <x:v>363.7571306543585</x:v>
      </x:c>
      <x:c r="AF1277" s="80" t="n">
        <x:f>D1277*W1277</x:f>
        <x:v>3456.499669423786</x:v>
      </x:c>
      <x:c r="AG1277" s="80" t="n">
        <x:f>C1277*W1277</x:f>
        <x:v>8065.165895322107</x:v>
      </x:c>
      <x:c r="AH1277" s="80" t="n">
        <x:f>2*'Inputs'!$B$8*'Inputs'!$C$47</x:f>
        <x:v>7500</x:v>
      </x:c>
      <x:c r="AI1277" s="81" t="n">
        <x:f>IF(AH1277&gt;0,(AE1277+AF1277)/AH1277*365,0)</x:f>
        <x:v>185.9191642704697</x:v>
      </x:c>
      <x:c r="AJ1277" s="81" t="n">
        <x:f>IF('Inputs'!$B$47&gt;0,AG1277/('Inputs'!$B$19*'Inputs'!$B$47)*365,0)</x:f>
        <x:v>294.3785551792569</x:v>
      </x:c>
      <x:c r="AK1277" s="81" t="n">
        <x:f>W1277/MAX($W$1099:W1277)-1</x:f>
        <x:v>-0.4434500679009955</x:v>
      </x:c>
      <x:c r="AL1277" s="83" t="n">
        <x:f>'Inputs'!$B$47</x:f>
        <x:v>1</x:v>
      </x:c>
      <x:c r="AM1277" s="83" t="n">
        <x:f>'Inputs'!$C$47</x:f>
        <x:v>1.5</x:v>
      </x:c>
      <x:c r="AN1277" s="83" t="n">
        <x:f>'Inputs'!$D$47</x:f>
        <x:v>1.5</x:v>
      </x:c>
      <x:c r="AO1277" s="81" t="n">
        <x:f>'Inputs'!$E$47</x:f>
        <x:v>0.05</x:v>
      </x:c>
    </x:row>
    <x:row r="1278">
      <x:c r="A1278" s="59" t="str">
        <x:v>Growth</x:v>
      </x:c>
      <x:c r="B1278" s="59" t="n">
        <x:v>180</x:v>
      </x:c>
      <x:c r="C1278" s="78" t="n">
        <x:f>(('Inputs'!$B$29*(3*180*'Inputs'!$B$12-180^2)/(2*'Inputs'!$B$12^2))-('Inputs'!$B$29*(3*179*'Inputs'!$B$12-179^2)/(2*'Inputs'!$B$12^2)))*'Inputs'!$B$47</x:f>
        <x:v>653629.4332895428</x:v>
      </x:c>
      <x:c r="D1278" s="78" t="n">
        <x:f>IF('Inputs'!$C$47&gt;0,('Inputs'!$B$30*(3*180*'Inputs'!$B$12-180^2)/(2*'Inputs'!$B$12^2))-('Inputs'!$B$30*(3*179*'Inputs'!$B$12-179^2)/(2*'Inputs'!$B$12^2)),0)</x:f>
        <x:v>280126.8999812305</x:v>
      </x:c>
      <x:c r="E1278" s="78" t="n">
        <x:f>C1278+D1278</x:f>
        <x:v>933756.3332707733</x:v>
      </x:c>
      <x:c r="F1278" s="78" t="n">
        <x:f>'Inputs'!$B$13*E1278+(1-'Inputs'!$B$13)/'Inputs'!$B$14*SUM(E1223:E1278)</x:f>
        <x:v>943974.0101332314</x:v>
      </x:c>
      <x:c r="G1278" s="78" t="n">
        <x:f>F1278*'Inputs'!$F$47</x:f>
        <x:v>330390.903546631</x:v>
      </x:c>
      <x:c r="H1278" s="78" t="n">
        <x:f>U1277</x:f>
        <x:v>2204380.533246121</x:v>
      </x:c>
      <x:c r="I1278" s="78" t="n">
        <x:f>V1277</x:f>
        <x:v>27186.438165418123</x:v>
      </x:c>
      <x:c r="J1278" s="79" t="n">
        <x:f>IF(H1278&gt;0,I1278/H1278,0)</x:f>
        <x:v>0.012332915191091798</x:v>
      </x:c>
      <x:c r="K1278" s="80" t="n">
        <x:f>(H1278*J1278+I1278)*'Inputs'!$D$47*(1+'Inputs'!$G$47)^(B1278/30)</x:f>
        <x:v>97386.0867775835</x:v>
      </x:c>
      <x:c r="L1278" s="80" t="n">
        <x:f>MAX(0,K1278*'Inputs'!$E$47)</x:f>
        <x:v>4869.304338879176</x:v>
      </x:c>
      <x:c r="M1278" s="80" t="n">
        <x:f>MAX(0,-K1278*'Inputs'!$E$47)</x:f>
        <x:v>0</x:v>
      </x:c>
      <x:c r="N1278" s="78" t="n">
        <x:f>H1278*(L1278*(1-'Inputs'!$B$15))/(I1278+L1278*(1-'Inputs'!$B$15))</x:f>
        <x:v>332003.78907477524</x:v>
      </x:c>
      <x:c r="O1278" s="78" t="n">
        <x:f>H1278-N1278</x:f>
        <x:v>1872376.7441713456</x:v>
      </x:c>
      <x:c r="P1278" s="78" t="n">
        <x:f>I1278+L1278*(1-'Inputs'!$B$17)</x:f>
        <x:v>32036.14771822535</x:v>
      </x:c>
      <x:c r="Q1278" s="78" t="n">
        <x:f>IF(J1278&gt;0,M1278/J1278,0)</x:f>
        <x:v>0</x:v>
      </x:c>
      <x:c r="R1278" s="78" t="n">
        <x:f>IF(B1278='Inputs'!$H$47,'Inputs'!$B$27*'Inputs'!$I$47,0)</x:f>
        <x:v>0</x:v>
      </x:c>
      <x:c r="S1278" s="78" t="n">
        <x:f>Q1278+G1278+R1278</x:f>
        <x:v>330390.903546631</x:v>
      </x:c>
      <x:c r="T1278" s="78" t="n">
        <x:f>P1278*(S1278*(1-'Inputs'!$B$15))/(O1278+S1278*(1-'Inputs'!$B$15))</x:f>
        <x:v>4764.16459547852</x:v>
      </x:c>
      <x:c r="U1278" s="78" t="n">
        <x:f>O1278+S1278*(1-'Inputs'!$B$17)</x:f>
        <x:v>2201438.106858634</x:v>
      </x:c>
      <x:c r="V1278" s="78" t="n">
        <x:f>P1278-T1278</x:f>
        <x:v>27271.98312274683</x:v>
      </x:c>
      <x:c r="W1278" s="79" t="n">
        <x:f>IF(U1278&gt;0,V1278/U1278,0)</x:f>
        <x:v>0.012388257947284688</x:v>
      </x:c>
      <x:c r="X1278" s="80" t="n">
        <x:f>W1278*('Inputs'!$B$6-AC1278)</x:f>
        <x:v>12352786.39382189</x:v>
      </x:c>
      <x:c r="Y1278" s="80" t="n">
        <x:f>2*V1278</x:f>
        <x:v>54543.96624549366</x:v>
      </x:c>
      <x:c r="Z1278" s="80" t="n">
        <x:f>K1278*'Inputs'!$B$16+(G1278+R1278)*J1278*'Inputs'!$B$16</x:f>
        <x:v>608.7646186255937</x:v>
      </x:c>
      <x:c r="AA1278" s="80" t="n">
        <x:f>K1278*(1+'Inputs'!$E$47)/2*'Inputs'!$B$17</x:f>
        <x:v>205.74525375545815</x:v>
      </x:c>
      <x:c r="AB1278" s="78" t="n">
        <x:f>(IF(J1278&gt;0,K1278*(1-'Inputs'!$E$47)/2/J1278,0)+G1278+R1278)*'Inputs'!$B$17</x:f>
        <x:v>16423.333754145606</x:v>
      </x:c>
      <x:c r="AC1278" s="78" t="n">
        <x:f>AC1277+AB1278</x:f>
        <x:v>2863320.542221432</x:v>
      </x:c>
      <x:c r="AD1278" s="80" t="n">
        <x:f>Z1278/(1+'Inputs'!$C$47)</x:f>
        <x:v>243.50584745023747</x:v>
      </x:c>
      <x:c r="AE1278" s="80" t="n">
        <x:f>Z1278-AD1278</x:f>
        <x:v>365.25877117535623</x:v>
      </x:c>
      <x:c r="AF1278" s="80" t="n">
        <x:f>D1278*W1278</x:f>
        <x:v>3470.284294940702</x:v>
      </x:c>
      <x:c r="AG1278" s="80" t="n">
        <x:f>C1278*W1278</x:f>
        <x:v>8097.330021528365</x:v>
      </x:c>
      <x:c r="AH1278" s="80" t="n">
        <x:f>2*'Inputs'!$B$8*'Inputs'!$C$47</x:f>
        <x:v>7500</x:v>
      </x:c>
      <x:c r="AI1278" s="81" t="n">
        <x:f>IF(AH1278&gt;0,(AE1278+AF1278)/AH1278*365,0)</x:f>
        <x:v>186.66309588431483</x:v>
      </x:c>
      <x:c r="AJ1278" s="81" t="n">
        <x:f>IF('Inputs'!$B$47&gt;0,AG1278/('Inputs'!$B$19*'Inputs'!$B$47)*365,0)</x:f>
        <x:v>295.5525457857853</x:v>
      </x:c>
      <x:c r="AK1278" s="81" t="n">
        <x:f>W1278/MAX($W$1099:W1278)-1</x:f>
        <x:v>-0.4409526042661549</x:v>
      </x:c>
      <x:c r="AL1278" s="83" t="n">
        <x:f>'Inputs'!$B$47</x:f>
        <x:v>1</x:v>
      </x:c>
      <x:c r="AM1278" s="83" t="n">
        <x:f>'Inputs'!$C$47</x:f>
        <x:v>1.5</x:v>
      </x:c>
      <x:c r="AN1278" s="83" t="n">
        <x:f>'Inputs'!$D$47</x:f>
        <x:v>1.5</x:v>
      </x:c>
      <x:c r="AO1278" s="81" t="n">
        <x:f>'Inputs'!$E$47</x:f>
        <x:v>0.05</x:v>
      </x:c>
    </x:row>
    <x:row r="1279">
      <x:c r="A1279" s="59" t="str">
        <x:v>Growth</x:v>
      </x:c>
      <x:c r="B1279" s="59" t="n">
        <x:v>181</x:v>
      </x:c>
      <x:c r="C1279" s="78" t="n">
        <x:f>(('Inputs'!$B$29*(3*181*'Inputs'!$B$12-181^2)/(2*'Inputs'!$B$12^2))-('Inputs'!$B$29*(3*180*'Inputs'!$B$12-180^2)/(2*'Inputs'!$B$12^2)))*'Inputs'!$B$47</x:f>
        <x:v>653304.3253893852</x:v>
      </x:c>
      <x:c r="D1279" s="78" t="n">
        <x:f>IF('Inputs'!$C$47&gt;0,('Inputs'!$B$30*(3*181*'Inputs'!$B$12-181^2)/(2*'Inputs'!$B$12^2))-('Inputs'!$B$30*(3*180*'Inputs'!$B$12-180^2)/(2*'Inputs'!$B$12^2)),0)</x:f>
        <x:v>279987.56802402437</x:v>
      </x:c>
      <x:c r="E1279" s="78" t="n">
        <x:f>C1279+D1279</x:f>
        <x:v>933291.8934134096</x:v>
      </x:c>
      <x:c r="F1279" s="78" t="n">
        <x:f>'Inputs'!$B$13*E1279+(1-'Inputs'!$B$13)/'Inputs'!$B$14*SUM(E1224:E1279)</x:f>
        <x:v>943509.5702758515</x:v>
      </x:c>
      <x:c r="G1279" s="78" t="n">
        <x:f>F1279*'Inputs'!$F$47</x:f>
        <x:v>330228.349596548</x:v>
      </x:c>
      <x:c r="H1279" s="78" t="n">
        <x:f>U1278</x:f>
        <x:v>2201438.106858634</x:v>
      </x:c>
      <x:c r="I1279" s="78" t="n">
        <x:f>V1278</x:f>
        <x:v>27271.98312274683</x:v>
      </x:c>
      <x:c r="J1279" s="79" t="n">
        <x:f>IF(H1279&gt;0,I1279/H1279,0)</x:f>
        <x:v>0.012388257947284688</x:v>
      </x:c>
      <x:c r="K1279" s="80" t="n">
        <x:f>(H1279*J1279+I1279)*'Inputs'!$D$47*(1+'Inputs'!$G$47)^(B1279/30)</x:f>
        <x:v>97788.82546970264</x:v>
      </x:c>
      <x:c r="L1279" s="80" t="n">
        <x:f>MAX(0,K1279*'Inputs'!$E$47)</x:f>
        <x:v>4889.441273485132</x:v>
      </x:c>
      <x:c r="M1279" s="80" t="n">
        <x:f>MAX(0,-K1279*'Inputs'!$E$47)</x:f>
        <x:v>0</x:v>
      </x:c>
      <x:c r="N1279" s="78" t="n">
        <x:f>H1279*(L1279*(1-'Inputs'!$B$15))/(I1279+L1279*(1-'Inputs'!$B$15))</x:f>
        <x:v>331838.2052976483</x:v>
      </x:c>
      <x:c r="O1279" s="78" t="n">
        <x:f>H1279-N1279</x:f>
        <x:v>1869599.9015609855</x:v>
      </x:c>
      <x:c r="P1279" s="78" t="n">
        <x:f>I1279+L1279*(1-'Inputs'!$B$17)</x:f>
        <x:v>32141.74857621794</x:v>
      </x:c>
      <x:c r="Q1279" s="78" t="n">
        <x:f>IF(J1279&gt;0,M1279/J1279,0)</x:f>
        <x:v>0</x:v>
      </x:c>
      <x:c r="R1279" s="78" t="n">
        <x:f>IF(B1279='Inputs'!$H$47,'Inputs'!$B$27*'Inputs'!$I$47,0)</x:f>
        <x:v>0</x:v>
      </x:c>
      <x:c r="S1279" s="78" t="n">
        <x:f>Q1279+G1279+R1279</x:f>
        <x:v>330228.349596548</x:v>
      </x:c>
      <x:c r="T1279" s="78" t="n">
        <x:f>P1279*(S1279*(1-'Inputs'!$B$15))/(O1279+S1279*(1-'Inputs'!$B$15))</x:f>
        <x:v>4783.9067574528935</x:v>
      </x:c>
      <x:c r="U1279" s="78" t="n">
        <x:f>O1279+S1279*(1-'Inputs'!$B$17)</x:f>
        <x:v>2198499.364438835</x:v>
      </x:c>
      <x:c r="V1279" s="78" t="n">
        <x:f>P1279-T1279</x:f>
        <x:v>27357.841818765046</x:v>
      </x:c>
      <x:c r="W1279" s="79" t="n">
        <x:f>IF(U1279&gt;0,V1279/U1279,0)</x:f>
        <x:v>0.012443870697114397</x:v>
      </x:c>
      <x:c r="X1279" s="80" t="n">
        <x:f>W1279*('Inputs'!$B$6-AC1279)</x:f>
        <x:v>12408035.610624725</x:v>
      </x:c>
      <x:c r="Y1279" s="80" t="n">
        <x:f>2*V1279</x:f>
        <x:v>54715.68363753009</x:v>
      </x:c>
      <x:c r="Z1279" s="80" t="n">
        <x:f>K1279*'Inputs'!$B$16+(G1279+R1279)*J1279*'Inputs'!$B$16</x:f>
        <x:v>611.2786766760647</x:v>
      </x:c>
      <x:c r="AA1279" s="80" t="n">
        <x:f>K1279*(1+'Inputs'!$E$47)/2*'Inputs'!$B$17</x:f>
        <x:v>206.59611014725914</x:v>
      </x:c>
      <x:c r="AB1279" s="78" t="n">
        <x:f>(IF(J1279&gt;0,K1279*(1-'Inputs'!$E$47)/2/J1279,0)+G1279+R1279)*'Inputs'!$B$17</x:f>
        <x:v>16417.391569713727</x:v>
      </x:c>
      <x:c r="AC1279" s="78" t="n">
        <x:f>AC1278+AB1279</x:f>
        <x:v>2879737.9337911457</x:v>
      </x:c>
      <x:c r="AD1279" s="80" t="n">
        <x:f>Z1279/(1+'Inputs'!$C$47)</x:f>
        <x:v>244.5114706704259</x:v>
      </x:c>
      <x:c r="AE1279" s="80" t="n">
        <x:f>Z1279-AD1279</x:f>
        <x:v>366.76720600563885</x:v>
      </x:c>
      <x:c r="AF1279" s="80" t="n">
        <x:f>D1279*W1279</x:f>
        <x:v>3484.129093290481</x:v>
      </x:c>
      <x:c r="AG1279" s="80" t="n">
        <x:f>C1279*W1279</x:f>
        <x:v>8129.63455101106</x:v>
      </x:c>
      <x:c r="AH1279" s="80" t="n">
        <x:f>2*'Inputs'!$B$8*'Inputs'!$C$47</x:f>
        <x:v>7500</x:v>
      </x:c>
      <x:c r="AI1279" s="81" t="n">
        <x:f>IF(AH1279&gt;0,(AE1279+AF1279)/AH1279*365,0)</x:f>
        <x:v>187.4102865657445</x:v>
      </x:c>
      <x:c r="AJ1279" s="81" t="n">
        <x:f>IF('Inputs'!$B$47&gt;0,AG1279/('Inputs'!$B$19*'Inputs'!$B$47)*365,0)</x:f>
        <x:v>296.73166111190363</x:v>
      </x:c>
      <x:c r="AK1279" s="81" t="n">
        <x:f>W1279/MAX($W$1099:W1279)-1</x:f>
        <x:v>-0.43844295657443</x:v>
      </x:c>
      <x:c r="AL1279" s="83" t="n">
        <x:f>'Inputs'!$B$47</x:f>
        <x:v>1</x:v>
      </x:c>
      <x:c r="AM1279" s="83" t="n">
        <x:f>'Inputs'!$C$47</x:f>
        <x:v>1.5</x:v>
      </x:c>
      <x:c r="AN1279" s="83" t="n">
        <x:f>'Inputs'!$D$47</x:f>
        <x:v>1.5</x:v>
      </x:c>
      <x:c r="AO1279" s="81" t="n">
        <x:f>'Inputs'!$E$47</x:f>
        <x:v>0.05</x:v>
      </x:c>
    </x:row>
    <x:row r="1280">
      <x:c r="A1280" s="59" t="str">
        <x:v>Growth</x:v>
      </x:c>
      <x:c r="B1280" s="59" t="n">
        <x:v>182</x:v>
      </x:c>
      <x:c r="C1280" s="78" t="n">
        <x:f>(('Inputs'!$B$29*(3*182*'Inputs'!$B$12-182^2)/(2*'Inputs'!$B$12^2))-('Inputs'!$B$29*(3*181*'Inputs'!$B$12-181^2)/(2*'Inputs'!$B$12^2)))*'Inputs'!$B$47</x:f>
        <x:v>652979.2174892128</x:v>
      </x:c>
      <x:c r="D1280" s="78" t="n">
        <x:f>IF('Inputs'!$C$47&gt;0,('Inputs'!$B$30*(3*182*'Inputs'!$B$12-182^2)/(2*'Inputs'!$B$12^2))-('Inputs'!$B$30*(3*181*'Inputs'!$B$12-181^2)/(2*'Inputs'!$B$12^2)),0)</x:f>
        <x:v>279848.23606680334</x:v>
      </x:c>
      <x:c r="E1280" s="78" t="n">
        <x:f>C1280+D1280</x:f>
        <x:v>932827.4535560161</x:v>
      </x:c>
      <x:c r="F1280" s="78" t="n">
        <x:f>'Inputs'!$B$13*E1280+(1-'Inputs'!$B$13)/'Inputs'!$B$14*SUM(E1225:E1280)</x:f>
        <x:v>943045.1304184655</x:v>
      </x:c>
      <x:c r="G1280" s="78" t="n">
        <x:f>F1280*'Inputs'!$F$47</x:f>
        <x:v>330065.7956464629</x:v>
      </x:c>
      <x:c r="H1280" s="78" t="n">
        <x:f>U1279</x:f>
        <x:v>2198499.364438835</x:v>
      </x:c>
      <x:c r="I1280" s="78" t="n">
        <x:f>V1279</x:f>
        <x:v>27357.841818765046</x:v>
      </x:c>
      <x:c r="J1280" s="79" t="n">
        <x:f>IF(H1280&gt;0,I1280/H1280,0)</x:f>
        <x:v>0.012443870697114397</x:v>
      </x:c>
      <x:c r="K1280" s="80" t="n">
        <x:f>(H1280*J1280+I1280)*'Inputs'!$D$47*(1+'Inputs'!$G$47)^(B1280/30)</x:f>
        <x:v>98193.38962662421</x:v>
      </x:c>
      <x:c r="L1280" s="80" t="n">
        <x:f>MAX(0,K1280*'Inputs'!$E$47)</x:f>
        <x:v>4909.669481331211</x:v>
      </x:c>
      <x:c r="M1280" s="80" t="n">
        <x:f>MAX(0,-K1280*'Inputs'!$E$47)</x:f>
        <x:v>0</x:v>
      </x:c>
      <x:c r="N1280" s="78" t="n">
        <x:f>H1280*(L1280*(1-'Inputs'!$B$15))/(I1280+L1280*(1-'Inputs'!$B$15))</x:f>
        <x:v>331672.626132761</x:v>
      </x:c>
      <x:c r="O1280" s="78" t="n">
        <x:f>H1280-N1280</x:f>
        <x:v>1866826.738306074</x:v>
      </x:c>
      <x:c r="P1280" s="78" t="n">
        <x:f>I1280+L1280*(1-'Inputs'!$B$17)</x:f>
        <x:v>32247.754078843413</x:v>
      </x:c>
      <x:c r="Q1280" s="78" t="n">
        <x:f>IF(J1280&gt;0,M1280/J1280,0)</x:f>
        <x:v>0</x:v>
      </x:c>
      <x:c r="R1280" s="78" t="n">
        <x:f>IF(B1280='Inputs'!$H$47,'Inputs'!$B$27*'Inputs'!$I$47,0)</x:f>
        <x:v>0</x:v>
      </x:c>
      <x:c r="S1280" s="78" t="n">
        <x:f>Q1280+G1280+R1280</x:f>
        <x:v>330065.7956464629</x:v>
      </x:c>
      <x:c r="T1280" s="78" t="n">
        <x:f>P1280*(S1280*(1-'Inputs'!$B$15))/(O1280+S1280*(1-'Inputs'!$B$15))</x:f>
        <x:v>4803.7385245063415</x:v>
      </x:c>
      <x:c r="U1280" s="78" t="n">
        <x:f>O1280+S1280*(1-'Inputs'!$B$17)</x:f>
        <x:v>2195564.3013744825</x:v>
      </x:c>
      <x:c r="V1280" s="78" t="n">
        <x:f>P1280-T1280</x:f>
        <x:v>27444.01555433707</x:v>
      </x:c>
      <x:c r="W1280" s="79" t="n">
        <x:f>IF(U1280&gt;0,V1280/U1280,0)</x:f>
        <x:v>0.012499754863547553</x:v>
      </x:c>
      <x:c r="X1280" s="80" t="n">
        <x:f>W1280*('Inputs'!$B$6-AC1280)</x:f>
        <x:v>12463553.706207367</x:v>
      </x:c>
      <x:c r="Y1280" s="80" t="n">
        <x:f>2*V1280</x:f>
        <x:v>54888.03110867414</x:v>
      </x:c>
      <x:c r="Z1280" s="80" t="n">
        <x:f>K1280*'Inputs'!$B$16+(G1280+R1280)*J1280*'Inputs'!$B$16</x:f>
        <x:v>613.8041142551339</x:v>
      </x:c>
      <x:c r="AA1280" s="80" t="n">
        <x:f>K1280*(1+'Inputs'!$E$47)/2*'Inputs'!$B$17</x:f>
        <x:v>207.45082315483992</x:v>
      </x:c>
      <x:c r="AB1280" s="78" t="n">
        <x:f>(IF(J1280&gt;0,K1280*(1-'Inputs'!$E$47)/2/J1280,0)+G1280+R1280)*'Inputs'!$B$17</x:f>
        <x:v>16411.449566601168</x:v>
      </x:c>
      <x:c r="AC1280" s="78" t="n">
        <x:f>AC1279+AB1280</x:f>
        <x:v>2896149.383357747</x:v>
      </x:c>
      <x:c r="AD1280" s="80" t="n">
        <x:f>Z1280/(1+'Inputs'!$C$47)</x:f>
        <x:v>245.52164570205355</x:v>
      </x:c>
      <x:c r="AE1280" s="80" t="n">
        <x:f>Z1280-AD1280</x:f>
        <x:v>368.2824685530803</x:v>
      </x:c>
      <x:c r="AF1280" s="80" t="n">
        <x:f>D1280*W1280</x:f>
        <x:v>3498.0343498312286</x:v>
      </x:c>
      <x:c r="AG1280" s="80" t="n">
        <x:f>C1280*W1280</x:f>
        <x:v>8162.080149606262</x:v>
      </x:c>
      <x:c r="AH1280" s="80" t="n">
        <x:f>2*'Inputs'!$B$8*'Inputs'!$C$47</x:f>
        <x:v>7500</x:v>
      </x:c>
      <x:c r="AI1280" s="81" t="n">
        <x:f>IF(AH1280&gt;0,(AE1280+AF1280)/AH1280*365,0)</x:f>
        <x:v>188.16075182803638</x:v>
      </x:c>
      <x:c r="AJ1280" s="81" t="n">
        <x:f>IF('Inputs'!$B$47&gt;0,AG1280/('Inputs'!$B$19*'Inputs'!$B$47)*365,0)</x:f>
        <x:v>297.91592546062856</x:v>
      </x:c>
      <x:c r="AK1280" s="81" t="n">
        <x:f>W1280/MAX($W$1099:W1280)-1</x:f>
        <x:v>-0.43592106061132074</x:v>
      </x:c>
      <x:c r="AL1280" s="83" t="n">
        <x:f>'Inputs'!$B$47</x:f>
        <x:v>1</x:v>
      </x:c>
      <x:c r="AM1280" s="83" t="n">
        <x:f>'Inputs'!$C$47</x:f>
        <x:v>1.5</x:v>
      </x:c>
      <x:c r="AN1280" s="83" t="n">
        <x:f>'Inputs'!$D$47</x:f>
        <x:v>1.5</x:v>
      </x:c>
      <x:c r="AO1280" s="81" t="n">
        <x:f>'Inputs'!$E$47</x:f>
        <x:v>0.05</x:v>
      </x:c>
    </x:row>
    <x:row r="1281">
      <x:c r="A1281" s="59" t="str">
        <x:v>Growth</x:v>
      </x:c>
      <x:c r="B1281" s="59" t="n">
        <x:v>183</x:v>
      </x:c>
      <x:c r="C1281" s="78" t="n">
        <x:f>(('Inputs'!$B$29*(3*183*'Inputs'!$B$12-183^2)/(2*'Inputs'!$B$12^2))-('Inputs'!$B$29*(3*182*'Inputs'!$B$12-182^2)/(2*'Inputs'!$B$12^2)))*'Inputs'!$B$47</x:f>
        <x:v>652654.1095890403</x:v>
      </x:c>
      <x:c r="D1281" s="78" t="n">
        <x:f>IF('Inputs'!$C$47&gt;0,('Inputs'!$B$30*(3*183*'Inputs'!$B$12-183^2)/(2*'Inputs'!$B$12^2))-('Inputs'!$B$30*(3*182*'Inputs'!$B$12-182^2)/(2*'Inputs'!$B$12^2)),0)</x:f>
        <x:v>279708.90410958976</x:v>
      </x:c>
      <x:c r="E1281" s="78" t="n">
        <x:f>C1281+D1281</x:f>
        <x:v>932363.01369863</x:v>
      </x:c>
      <x:c r="F1281" s="78" t="n">
        <x:f>'Inputs'!$B$13*E1281+(1-'Inputs'!$B$13)/'Inputs'!$B$14*SUM(E1226:E1281)</x:f>
        <x:v>942580.690561081</x:v>
      </x:c>
      <x:c r="G1281" s="78" t="n">
        <x:f>F1281*'Inputs'!$F$47</x:f>
        <x:v>329903.24169637833</x:v>
      </x:c>
      <x:c r="H1281" s="78" t="n">
        <x:f>U1280</x:f>
        <x:v>2195564.3013744825</x:v>
      </x:c>
      <x:c r="I1281" s="78" t="n">
        <x:f>V1280</x:f>
        <x:v>27444.01555433707</x:v>
      </x:c>
      <x:c r="J1281" s="79" t="n">
        <x:f>IF(H1281&gt;0,I1281/H1281,0)</x:f>
        <x:v>0.012499754863547553</x:v>
      </x:c>
      <x:c r="K1281" s="80" t="n">
        <x:f>(H1281*J1281+I1281)*'Inputs'!$D$47*(1+'Inputs'!$G$47)^(B1281/30)</x:f>
        <x:v>98599.7882397509</x:v>
      </x:c>
      <x:c r="L1281" s="80" t="n">
        <x:f>MAX(0,K1281*'Inputs'!$E$47)</x:f>
        <x:v>4929.989411987545</x:v>
      </x:c>
      <x:c r="M1281" s="80" t="n">
        <x:f>MAX(0,-K1281*'Inputs'!$E$47)</x:f>
        <x:v>0</x:v>
      </x:c>
      <x:c r="N1281" s="78" t="n">
        <x:f>H1281*(L1281*(1-'Inputs'!$B$15))/(I1281+L1281*(1-'Inputs'!$B$15))</x:f>
        <x:v>331507.05157515</x:v>
      </x:c>
      <x:c r="O1281" s="78" t="n">
        <x:f>H1281-N1281</x:f>
        <x:v>1864057.2497993326</x:v>
      </x:c>
      <x:c r="P1281" s="78" t="n">
        <x:f>I1281+L1281*(1-'Inputs'!$B$17)</x:f>
        <x:v>32354.165974727082</x:v>
      </x:c>
      <x:c r="Q1281" s="78" t="n">
        <x:f>IF(J1281&gt;0,M1281/J1281,0)</x:f>
        <x:v>0</x:v>
      </x:c>
      <x:c r="R1281" s="78" t="n">
        <x:f>IF(B1281='Inputs'!$H$47,'Inputs'!$B$27*'Inputs'!$I$47,0)</x:f>
        <x:v>0</x:v>
      </x:c>
      <x:c r="S1281" s="78" t="n">
        <x:f>Q1281+G1281+R1281</x:f>
        <x:v>329903.24169637833</x:v>
      </x:c>
      <x:c r="T1281" s="78" t="n">
        <x:f>P1281*(S1281*(1-'Inputs'!$B$15))/(O1281+S1281*(1-'Inputs'!$B$15))</x:f>
        <x:v>4823.660338423303</x:v>
      </x:c>
      <x:c r="U1281" s="78" t="n">
        <x:f>O1281+S1281*(1-'Inputs'!$B$17)</x:f>
        <x:v>2192632.913058301</x:v>
      </x:c>
      <x:c r="V1281" s="78" t="n">
        <x:f>P1281-T1281</x:f>
        <x:v>27530.50563630378</x:v>
      </x:c>
      <x:c r="W1281" s="79" t="n">
        <x:f>IF(U1281&gt;0,V1281/U1281,0)</x:f>
        <x:v>0.012555911877608378</x:v>
      </x:c>
      <x:c r="X1281" s="80" t="n">
        <x:f>W1281*('Inputs'!$B$6-AC1281)</x:f>
        <x:v>12519342.095057013</x:v>
      </x:c>
      <x:c r="Y1281" s="80" t="n">
        <x:f>2*V1281</x:f>
        <x:v>55061.01127260756</x:v>
      </x:c>
      <x:c r="Z1281" s="80" t="n">
        <x:f>K1281*'Inputs'!$B$16+(G1281+R1281)*J1281*'Inputs'!$B$16</x:f>
        <x:v>616.3409873378719</x:v>
      </x:c>
      <x:c r="AA1281" s="80" t="n">
        <x:f>K1281*(1+'Inputs'!$E$47)/2*'Inputs'!$B$17</x:f>
        <x:v>208.30941177412166</x:v>
      </x:c>
      <x:c r="AB1281" s="78" t="n">
        <x:f>(IF(J1281&gt;0,K1281*(1-'Inputs'!$E$47)/2/J1281,0)+G1281+R1281)*'Inputs'!$B$17</x:f>
        <x:v>16405.5077435449</x:v>
      </x:c>
      <x:c r="AC1281" s="78" t="n">
        <x:f>AC1280+AB1281</x:f>
        <x:v>2912554.891101292</x:v>
      </x:c>
      <x:c r="AD1281" s="80" t="n">
        <x:f>Z1281/(1+'Inputs'!$C$47)</x:f>
        <x:v>246.53639493514873</x:v>
      </x:c>
      <x:c r="AE1281" s="80" t="n">
        <x:f>Z1281-AD1281</x:f>
        <x:v>369.80459240272313</x:v>
      </x:c>
      <x:c r="AF1281" s="80" t="n">
        <x:f>D1281*W1281</x:f>
        <x:v>3512.000351382421</x:v>
      </x:c>
      <x:c r="AG1281" s="80" t="n">
        <x:f>C1281*W1281</x:f>
        <x:v>8194.66748655895</x:v>
      </x:c>
      <x:c r="AH1281" s="80" t="n">
        <x:f>2*'Inputs'!$B$8*'Inputs'!$C$47</x:f>
        <x:v>7500</x:v>
      </x:c>
      <x:c r="AI1281" s="81" t="n">
        <x:f>IF(AH1281&gt;0,(AE1281+AF1281)/AH1281*365,0)</x:f>
        <x:v>188.91450726421033</x:v>
      </x:c>
      <x:c r="AJ1281" s="81" t="n">
        <x:f>IF('Inputs'!$B$47&gt;0,AG1281/('Inputs'!$B$19*'Inputs'!$B$47)*365,0)</x:f>
        <x:v>299.10536325940166</x:v>
      </x:c>
      <x:c r="AK1281" s="81" t="n">
        <x:f>W1281/MAX($W$1099:W1281)-1</x:f>
        <x:v>-0.43338685179871095</x:v>
      </x:c>
      <x:c r="AL1281" s="83" t="n">
        <x:f>'Inputs'!$B$47</x:f>
        <x:v>1</x:v>
      </x:c>
      <x:c r="AM1281" s="83" t="n">
        <x:f>'Inputs'!$C$47</x:f>
        <x:v>1.5</x:v>
      </x:c>
      <x:c r="AN1281" s="83" t="n">
        <x:f>'Inputs'!$D$47</x:f>
        <x:v>1.5</x:v>
      </x:c>
      <x:c r="AO1281" s="81" t="n">
        <x:f>'Inputs'!$E$47</x:f>
        <x:v>0.05</x:v>
      </x:c>
    </x:row>
    <x:row r="1282">
      <x:c r="A1282" s="59" t="str">
        <x:v>Growth</x:v>
      </x:c>
      <x:c r="B1282" s="59" t="n">
        <x:v>184</x:v>
      </x:c>
      <x:c r="C1282" s="78" t="n">
        <x:f>(('Inputs'!$B$29*(3*184*'Inputs'!$B$12-184^2)/(2*'Inputs'!$B$12^2))-('Inputs'!$B$29*(3*183*'Inputs'!$B$12-183^2)/(2*'Inputs'!$B$12^2)))*'Inputs'!$B$47</x:f>
        <x:v>652329.0016888678</x:v>
      </x:c>
      <x:c r="D1282" s="78" t="n">
        <x:f>IF('Inputs'!$C$47&gt;0,('Inputs'!$B$30*(3*184*'Inputs'!$B$12-184^2)/(2*'Inputs'!$B$12^2))-('Inputs'!$B$30*(3*183*'Inputs'!$B$12-183^2)/(2*'Inputs'!$B$12^2)),0)</x:f>
        <x:v>279569.5721523687</x:v>
      </x:c>
      <x:c r="E1282" s="78" t="n">
        <x:f>C1282+D1282</x:f>
        <x:v>931898.5738412365</x:v>
      </x:c>
      <x:c r="F1282" s="78" t="n">
        <x:f>'Inputs'!$B$13*E1282+(1-'Inputs'!$B$13)/'Inputs'!$B$14*SUM(E1227:E1282)</x:f>
        <x:v>942116.2507036949</x:v>
      </x:c>
      <x:c r="G1282" s="78" t="n">
        <x:f>F1282*'Inputs'!$F$47</x:f>
        <x:v>329740.6877462932</x:v>
      </x:c>
      <x:c r="H1282" s="78" t="n">
        <x:f>U1281</x:f>
        <x:v>2192632.913058301</x:v>
      </x:c>
      <x:c r="I1282" s="78" t="n">
        <x:f>V1281</x:f>
        <x:v>27530.50563630378</x:v>
      </x:c>
      <x:c r="J1282" s="79" t="n">
        <x:f>IF(H1282&gt;0,I1282/H1282,0)</x:f>
        <x:v>0.012555911877608378</x:v>
      </x:c>
      <x:c r="K1282" s="80" t="n">
        <x:f>(H1282*J1282+I1282)*'Inputs'!$D$47*(1+'Inputs'!$G$47)^(B1282/30)</x:f>
        <x:v>99008.03034824097</x:v>
      </x:c>
      <x:c r="L1282" s="80" t="n">
        <x:f>MAX(0,K1282*'Inputs'!$E$47)</x:f>
        <x:v>4950.401517412049</x:v>
      </x:c>
      <x:c r="M1282" s="80" t="n">
        <x:f>MAX(0,-K1282*'Inputs'!$E$47)</x:f>
        <x:v>0</x:v>
      </x:c>
      <x:c r="N1282" s="78" t="n">
        <x:f>H1282*(L1282*(1-'Inputs'!$B$15))/(I1282+L1282*(1-'Inputs'!$B$15))</x:f>
        <x:v>331341.48161975865</x:v>
      </x:c>
      <x:c r="O1282" s="78" t="n">
        <x:f>H1282-N1282</x:f>
        <x:v>1861291.4314385424</x:v>
      </x:c>
      <x:c r="P1282" s="78" t="n">
        <x:f>I1282+L1282*(1-'Inputs'!$B$17)</x:f>
        <x:v>32460.986020848977</x:v>
      </x:c>
      <x:c r="Q1282" s="78" t="n">
        <x:f>IF(J1282&gt;0,M1282/J1282,0)</x:f>
        <x:v>0</x:v>
      </x:c>
      <x:c r="R1282" s="78" t="n">
        <x:f>IF(B1282='Inputs'!$H$47,'Inputs'!$B$27*'Inputs'!$I$47,0)</x:f>
        <x:v>0</x:v>
      </x:c>
      <x:c r="S1282" s="78" t="n">
        <x:f>Q1282+G1282+R1282</x:f>
        <x:v>329740.6877462932</x:v>
      </x:c>
      <x:c r="T1282" s="78" t="n">
        <x:f>P1282*(S1282*(1-'Inputs'!$B$15))/(O1282+S1282*(1-'Inputs'!$B$15))</x:f>
        <x:v>4843.672643337555</x:v>
      </x:c>
      <x:c r="U1282" s="78" t="n">
        <x:f>O1282+S1282*(1-'Inputs'!$B$17)</x:f>
        <x:v>2189705.1948880698</x:v>
      </x:c>
      <x:c r="V1282" s="78" t="n">
        <x:f>P1282-T1282</x:f>
        <x:v>27617.313377511422</x:v>
      </x:c>
      <x:c r="W1282" s="79" t="n">
        <x:f>IF(U1282&gt;0,V1282/U1282,0)</x:f>
        <x:v>0.01261234317842641</x:v>
      </x:c>
      <x:c r="X1282" s="80" t="n">
        <x:f>W1282*('Inputs'!$B$6-AC1282)</x:f>
        <x:v>12575402.199658215</x:v>
      </x:c>
      <x:c r="Y1282" s="80" t="n">
        <x:f>2*V1282</x:f>
        <x:v>55234.626755022844</x:v>
      </x:c>
      <x:c r="Z1282" s="80" t="n">
        <x:f>K1282*'Inputs'!$B$16+(G1282+R1282)*J1282*'Inputs'!$B$16</x:f>
        <x:v>618.8893521962725</x:v>
      </x:c>
      <x:c r="AA1282" s="80" t="n">
        <x:f>K1282*(1+'Inputs'!$E$47)/2*'Inputs'!$B$17</x:f>
        <x:v>209.17189510191756</x:v>
      </x:c>
      <x:c r="AB1282" s="78" t="n">
        <x:f>(IF(J1282&gt;0,K1282*(1-'Inputs'!$E$47)/2/J1282,0)+G1282+R1282)*'Inputs'!$B$17</x:f>
        <x:v>16399.566099275482</x:v>
      </x:c>
      <x:c r="AC1282" s="78" t="n">
        <x:f>AC1281+AB1282</x:f>
        <x:v>2928954.4572005672</x:v>
      </x:c>
      <x:c r="AD1282" s="80" t="n">
        <x:f>Z1282/(1+'Inputs'!$C$47)</x:f>
        <x:v>247.555740878509</x:v>
      </x:c>
      <x:c r="AE1282" s="80" t="n">
        <x:f>Z1282-AD1282</x:f>
        <x:v>371.3336113177635</x:v>
      </x:c>
      <x:c r="AF1282" s="80" t="n">
        <x:f>D1282*W1282</x:f>
        <x:v>3526.027386231518</x:v>
      </x:c>
      <x:c r="AG1282" s="80" t="n">
        <x:f>C1282*W1282</x:f>
        <x:v>8227.397234540302</x:v>
      </x:c>
      <x:c r="AH1282" s="80" t="n">
        <x:f>2*'Inputs'!$B$8*'Inputs'!$C$47</x:f>
        <x:v>7500</x:v>
      </x:c>
      <x:c r="AI1282" s="81" t="n">
        <x:f>IF(AH1282&gt;0,(AE1282+AF1282)/AH1282*365,0)</x:f>
        <x:v>189.67156854739838</x:v>
      </x:c>
      <x:c r="AJ1282" s="81" t="n">
        <x:f>IF('Inputs'!$B$47&gt;0,AG1282/('Inputs'!$B$19*'Inputs'!$B$47)*365,0)</x:f>
        <x:v>300.299999060721</x:v>
      </x:c>
      <x:c r="AK1282" s="81" t="n">
        <x:f>W1282/MAX($W$1099:W1282)-1</x:f>
        <x:v>-0.4308402651927137</x:v>
      </x:c>
      <x:c r="AL1282" s="83" t="n">
        <x:f>'Inputs'!$B$47</x:f>
        <x:v>1</x:v>
      </x:c>
      <x:c r="AM1282" s="83" t="n">
        <x:f>'Inputs'!$C$47</x:f>
        <x:v>1.5</x:v>
      </x:c>
      <x:c r="AN1282" s="83" t="n">
        <x:f>'Inputs'!$D$47</x:f>
        <x:v>1.5</x:v>
      </x:c>
      <x:c r="AO1282" s="81" t="n">
        <x:f>'Inputs'!$E$47</x:f>
        <x:v>0.05</x:v>
      </x:c>
    </x:row>
    <x:row r="1283">
      <x:c r="A1283" s="59" t="str">
        <x:v>Growth</x:v>
      </x:c>
      <x:c r="B1283" s="59" t="n">
        <x:v>185</x:v>
      </x:c>
      <x:c r="C1283" s="78" t="n">
        <x:f>(('Inputs'!$B$29*(3*185*'Inputs'!$B$12-185^2)/(2*'Inputs'!$B$12^2))-('Inputs'!$B$29*(3*184*'Inputs'!$B$12-184^2)/(2*'Inputs'!$B$12^2)))*'Inputs'!$B$47</x:f>
        <x:v>652003.8937887102</x:v>
      </x:c>
      <x:c r="D1283" s="78" t="n">
        <x:f>IF('Inputs'!$C$47&gt;0,('Inputs'!$B$30*(3*185*'Inputs'!$B$12-185^2)/(2*'Inputs'!$B$12^2))-('Inputs'!$B$30*(3*184*'Inputs'!$B$12-184^2)/(2*'Inputs'!$B$12^2)),0)</x:f>
        <x:v>279430.2401951626</x:v>
      </x:c>
      <x:c r="E1283" s="78" t="n">
        <x:f>C1283+D1283</x:f>
        <x:v>931434.1339838728</x:v>
      </x:c>
      <x:c r="F1283" s="78" t="n">
        <x:f>'Inputs'!$B$13*E1283+(1-'Inputs'!$B$13)/'Inputs'!$B$14*SUM(E1228:E1283)</x:f>
        <x:v>941651.810846315</x:v>
      </x:c>
      <x:c r="G1283" s="78" t="n">
        <x:f>F1283*'Inputs'!$F$47</x:f>
        <x:v>329578.1337962102</x:v>
      </x:c>
      <x:c r="H1283" s="78" t="n">
        <x:f>U1282</x:f>
        <x:v>2189705.1948880698</x:v>
      </x:c>
      <x:c r="I1283" s="78" t="n">
        <x:f>V1282</x:f>
        <x:v>27617.313377511422</x:v>
      </x:c>
      <x:c r="J1283" s="79" t="n">
        <x:f>IF(H1283&gt;0,I1283/H1283,0)</x:f>
        <x:v>0.01261234317842641</x:v>
      </x:c>
      <x:c r="K1283" s="80" t="n">
        <x:f>(H1283*J1283+I1283)*'Inputs'!$D$47*(1+'Inputs'!$G$47)^(B1283/30)</x:f>
        <x:v>99418.12503927547</x:v>
      </x:c>
      <x:c r="L1283" s="80" t="n">
        <x:f>MAX(0,K1283*'Inputs'!$E$47)</x:f>
        <x:v>4970.906251963774</x:v>
      </x:c>
      <x:c r="M1283" s="80" t="n">
        <x:f>MAX(0,-K1283*'Inputs'!$E$47)</x:f>
        <x:v>0</x:v>
      </x:c>
      <x:c r="N1283" s="78" t="n">
        <x:f>H1283*(L1283*(1-'Inputs'!$B$15))/(I1283+L1283*(1-'Inputs'!$B$15))</x:f>
        <x:v>331175.9162614504</x:v>
      </x:c>
      <x:c r="O1283" s="78" t="n">
        <x:f>H1283-N1283</x:f>
        <x:v>1858529.2786266194</x:v>
      </x:c>
      <x:c r="P1283" s="78" t="n">
        <x:f>I1283+L1283*(1-'Inputs'!$B$17)</x:f>
        <x:v>32568.215982586007</x:v>
      </x:c>
      <x:c r="Q1283" s="78" t="n">
        <x:f>IF(J1283&gt;0,M1283/J1283,0)</x:f>
        <x:v>0</x:v>
      </x:c>
      <x:c r="R1283" s="78" t="n">
        <x:f>IF(B1283='Inputs'!$H$47,'Inputs'!$B$27*'Inputs'!$I$47,0)</x:f>
        <x:v>0</x:v>
      </x:c>
      <x:c r="S1283" s="78" t="n">
        <x:f>Q1283+G1283+R1283</x:f>
        <x:v>329578.1337962102</x:v>
      </x:c>
      <x:c r="T1283" s="78" t="n">
        <x:f>P1283*(S1283*(1-'Inputs'!$B$15))/(O1283+S1283*(1-'Inputs'!$B$15))</x:f>
        <x:v>4863.775885745319</x:v>
      </x:c>
      <x:c r="U1283" s="78" t="n">
        <x:f>O1283+S1283*(1-'Inputs'!$B$17)</x:f>
        <x:v>2186781.142266708</x:v>
      </x:c>
      <x:c r="V1283" s="78" t="n">
        <x:f>P1283-T1283</x:f>
        <x:v>27704.440096840688</x:v>
      </x:c>
      <x:c r="W1283" s="79" t="n">
        <x:f>IF(U1283&gt;0,V1283/U1283,0)</x:f>
        <x:v>0.01266905021328456</x:v>
      </x:c>
      <x:c r="X1283" s="80" t="n">
        <x:f>W1283*('Inputs'!$B$6-AC1283)</x:f>
        <x:v>12631735.450540215</x:v>
      </x:c>
      <x:c r="Y1283" s="80" t="n">
        <x:f>2*V1283</x:f>
        <x:v>55408.880193681376</x:v>
      </x:c>
      <x:c r="Z1283" s="80" t="n">
        <x:f>K1283*'Inputs'!$B$16+(G1283+R1283)*J1283*'Inputs'!$B$16</x:f>
        <x:v>621.4492654009117</x:v>
      </x:c>
      <x:c r="AA1283" s="80" t="n">
        <x:f>K1283*(1+'Inputs'!$E$47)/2*'Inputs'!$B$17</x:f>
        <x:v>210.0382923364975</x:v>
      </x:c>
      <x:c r="AB1283" s="78" t="n">
        <x:f>(IF(J1283&gt;0,K1283*(1-'Inputs'!$E$47)/2/J1283,0)+G1283+R1283)*'Inputs'!$B$17</x:f>
        <x:v>16393.62463251769</x:v>
      </x:c>
      <x:c r="AC1283" s="78" t="n">
        <x:f>AC1282+AB1283</x:f>
        <x:v>2945348.081833085</x:v>
      </x:c>
      <x:c r="AD1283" s="80" t="n">
        <x:f>Z1283/(1+'Inputs'!$C$47)</x:f>
        <x:v>248.57970616036468</x:v>
      </x:c>
      <x:c r="AE1283" s="80" t="n">
        <x:f>Z1283-AD1283</x:f>
        <x:v>372.869559240547</x:v>
      </x:c>
      <x:c r="AF1283" s="80" t="n">
        <x:f>D1283*W1283</x:f>
        <x:v>3540.1157441426803</x:v>
      </x:c>
      <x:c r="AG1283" s="80" t="n">
        <x:f>C1283*W1283</x:f>
        <x:v>8260.270069666223</x:v>
      </x:c>
      <x:c r="AH1283" s="80" t="n">
        <x:f>2*'Inputs'!$B$8*'Inputs'!$C$47</x:f>
        <x:v>7500</x:v>
      </x:c>
      <x:c r="AI1283" s="81" t="n">
        <x:f>IF(AH1283&gt;0,(AE1283+AF1283)/AH1283*365,0)</x:f>
        <x:v>190.4319514313171</x:v>
      </x:c>
      <x:c r="AJ1283" s="81" t="n">
        <x:f>IF('Inputs'!$B$47&gt;0,AG1283/('Inputs'!$B$19*'Inputs'!$B$47)*365,0)</x:f>
        <x:v>301.49985754281715</x:v>
      </x:c>
      <x:c r="AK1283" s="81" t="n">
        <x:f>W1283/MAX($W$1099:W1283)-1</x:f>
        <x:v>-0.42828123548150354</x:v>
      </x:c>
      <x:c r="AL1283" s="83" t="n">
        <x:f>'Inputs'!$B$47</x:f>
        <x:v>1</x:v>
      </x:c>
      <x:c r="AM1283" s="83" t="n">
        <x:f>'Inputs'!$C$47</x:f>
        <x:v>1.5</x:v>
      </x:c>
      <x:c r="AN1283" s="83" t="n">
        <x:f>'Inputs'!$D$47</x:f>
        <x:v>1.5</x:v>
      </x:c>
      <x:c r="AO1283" s="81" t="n">
        <x:f>'Inputs'!$E$47</x:f>
        <x:v>0.05</x:v>
      </x:c>
    </x:row>
    <x:row r="1284">
      <x:c r="A1284" s="59" t="str">
        <x:v>Growth</x:v>
      </x:c>
      <x:c r="B1284" s="59" t="n">
        <x:v>186</x:v>
      </x:c>
      <x:c r="C1284" s="78" t="n">
        <x:f>(('Inputs'!$B$29*(3*186*'Inputs'!$B$12-186^2)/(2*'Inputs'!$B$12^2))-('Inputs'!$B$29*(3*185*'Inputs'!$B$12-185^2)/(2*'Inputs'!$B$12^2)))*'Inputs'!$B$47</x:f>
        <x:v>651678.7858885229</x:v>
      </x:c>
      <x:c r="D1284" s="78" t="n">
        <x:f>IF('Inputs'!$C$47&gt;0,('Inputs'!$B$30*(3*186*'Inputs'!$B$12-186^2)/(2*'Inputs'!$B$12^2))-('Inputs'!$B$30*(3*185*'Inputs'!$B$12-185^2)/(2*'Inputs'!$B$12^2)),0)</x:f>
        <x:v>279290.90823794156</x:v>
      </x:c>
      <x:c r="E1284" s="78" t="n">
        <x:f>C1284+D1284</x:f>
        <x:v>930969.6941264644</x:v>
      </x:c>
      <x:c r="F1284" s="78" t="n">
        <x:f>'Inputs'!$B$13*E1284+(1-'Inputs'!$B$13)/'Inputs'!$B$14*SUM(E1229:E1284)</x:f>
        <x:v>941187.3709889259</x:v>
      </x:c>
      <x:c r="G1284" s="78" t="n">
        <x:f>F1284*'Inputs'!$F$47</x:f>
        <x:v>329415.57984612405</x:v>
      </x:c>
      <x:c r="H1284" s="78" t="n">
        <x:f>U1283</x:f>
        <x:v>2186781.142266708</x:v>
      </x:c>
      <x:c r="I1284" s="78" t="n">
        <x:f>V1283</x:f>
        <x:v>27704.440096840688</x:v>
      </x:c>
      <x:c r="J1284" s="79" t="n">
        <x:f>IF(H1284&gt;0,I1284/H1284,0)</x:f>
        <x:v>0.01266905021328456</x:v>
      </x:c>
      <x:c r="K1284" s="80" t="n">
        <x:f>(H1284*J1284+I1284)*'Inputs'!$D$47*(1+'Inputs'!$G$47)^(B1284/30)</x:f>
        <x:v>99830.08144832766</x:v>
      </x:c>
      <x:c r="L1284" s="80" t="n">
        <x:f>MAX(0,K1284*'Inputs'!$E$47)</x:f>
        <x:v>4991.504072416384</x:v>
      </x:c>
      <x:c r="M1284" s="80" t="n">
        <x:f>MAX(0,-K1284*'Inputs'!$E$47)</x:f>
        <x:v>0</x:v>
      </x:c>
      <x:c r="N1284" s="78" t="n">
        <x:f>H1284*(L1284*(1-'Inputs'!$B$15))/(I1284+L1284*(1-'Inputs'!$B$15))</x:f>
        <x:v>331010.35549502284</x:v>
      </x:c>
      <x:c r="O1284" s="78" t="n">
        <x:f>H1284-N1284</x:f>
        <x:v>1855770.7867716851</x:v>
      </x:c>
      <x:c r="P1284" s="78" t="n">
        <x:f>I1284+L1284*(1-'Inputs'!$B$17)</x:f>
        <x:v>32675.85763375439</x:v>
      </x:c>
      <x:c r="Q1284" s="78" t="n">
        <x:f>IF(J1284&gt;0,M1284/J1284,0)</x:f>
        <x:v>0</x:v>
      </x:c>
      <x:c r="R1284" s="78" t="n">
        <x:f>IF(B1284='Inputs'!$H$47,'Inputs'!$B$27*'Inputs'!$I$47,0)</x:f>
        <x:v>0</x:v>
      </x:c>
      <x:c r="S1284" s="78" t="n">
        <x:f>Q1284+G1284+R1284</x:f>
        <x:v>329415.57984612405</x:v>
      </x:c>
      <x:c r="T1284" s="78" t="n">
        <x:f>P1284*(S1284*(1-'Inputs'!$B$15))/(O1284+S1284*(1-'Inputs'!$B$15))</x:f>
        <x:v>4883.970514518223</x:v>
      </x:c>
      <x:c r="U1284" s="78" t="n">
        <x:f>O1284+S1284*(1-'Inputs'!$B$17)</x:f>
        <x:v>2183860.750602332</x:v>
      </x:c>
      <x:c r="V1284" s="78" t="n">
        <x:f>P1284-T1284</x:f>
        <x:v>27791.887119236166</x:v>
      </x:c>
      <x:c r="W1284" s="79" t="n">
        <x:f>IF(U1284&gt;0,V1284/U1284,0)</x:f>
        <x:v>0.012726034437667726</x:v>
      </x:c>
      <x:c r="X1284" s="80" t="n">
        <x:f>W1284*('Inputs'!$B$6-AC1284)</x:f>
        <x:v>12688343.286324834</x:v>
      </x:c>
      <x:c r="Y1284" s="80" t="n">
        <x:f>2*V1284</x:f>
        <x:v>55583.77423847233</x:v>
      </x:c>
      <x:c r="Z1284" s="80" t="n">
        <x:f>K1284*'Inputs'!$B$16+(G1284+R1284)*J1284*'Inputs'!$B$16</x:f>
        <x:v>624.0207838226188</x:v>
      </x:c>
      <x:c r="AA1284" s="80" t="n">
        <x:f>K1284*(1+'Inputs'!$E$47)/2*'Inputs'!$B$17</x:f>
        <x:v>210.90862277815705</x:v>
      </x:c>
      <x:c r="AB1284" s="78" t="n">
        <x:f>(IF(J1284&gt;0,K1284*(1-'Inputs'!$E$47)/2/J1284,0)+G1284+R1284)*'Inputs'!$B$17</x:f>
        <x:v>16387.683341991113</x:v>
      </x:c>
      <x:c r="AC1284" s="78" t="n">
        <x:f>AC1283+AB1284</x:f>
        <x:v>2961735.765175076</x:v>
      </x:c>
      <x:c r="AD1284" s="80" t="n">
        <x:f>Z1284/(1+'Inputs'!$C$47)</x:f>
        <x:v>249.6083135290475</x:v>
      </x:c>
      <x:c r="AE1284" s="80" t="n">
        <x:f>Z1284-AD1284</x:f>
        <x:v>374.4124702935713</x:v>
      </x:c>
      <x:c r="AF1284" s="80" t="n">
        <x:f>D1284*W1284</x:f>
        <x:v>3554.265716363541</x:v>
      </x:c>
      <x:c r="AG1284" s="80" t="n">
        <x:f>C1284*W1284</x:f>
        <x:v>8293.286671514834</x:v>
      </x:c>
      <x:c r="AH1284" s="80" t="n">
        <x:f>2*'Inputs'!$B$8*'Inputs'!$C$47</x:f>
        <x:v>7500</x:v>
      </x:c>
      <x:c r="AI1284" s="81" t="n">
        <x:f>IF(AH1284&gt;0,(AE1284+AF1284)/AH1284*365,0)</x:f>
        <x:v>191.1956717506461</x:v>
      </x:c>
      <x:c r="AJ1284" s="81" t="n">
        <x:f>IF('Inputs'!$B$47&gt;0,AG1284/('Inputs'!$B$19*'Inputs'!$B$47)*365,0)</x:f>
        <x:v>302.7049635102914</x:v>
      </x:c>
      <x:c r="AK1284" s="81" t="n">
        <x:f>W1284/MAX($W$1099:W1284)-1</x:f>
        <x:v>-0.4257096969831221</x:v>
      </x:c>
      <x:c r="AL1284" s="83" t="n">
        <x:f>'Inputs'!$B$47</x:f>
        <x:v>1</x:v>
      </x:c>
      <x:c r="AM1284" s="83" t="n">
        <x:f>'Inputs'!$C$47</x:f>
        <x:v>1.5</x:v>
      </x:c>
      <x:c r="AN1284" s="83" t="n">
        <x:f>'Inputs'!$D$47</x:f>
        <x:v>1.5</x:v>
      </x:c>
      <x:c r="AO1284" s="81" t="n">
        <x:f>'Inputs'!$E$47</x:f>
        <x:v>0.05</x:v>
      </x:c>
    </x:row>
    <x:row r="1285">
      <x:c r="A1285" s="59" t="str">
        <x:v>Growth</x:v>
      </x:c>
      <x:c r="B1285" s="59" t="n">
        <x:v>187</x:v>
      </x:c>
      <x:c r="C1285" s="78" t="n">
        <x:f>(('Inputs'!$B$29*(3*187*'Inputs'!$B$12-187^2)/(2*'Inputs'!$B$12^2))-('Inputs'!$B$29*(3*186*'Inputs'!$B$12-186^2)/(2*'Inputs'!$B$12^2)))*'Inputs'!$B$47</x:f>
        <x:v>651353.6779883653</x:v>
      </x:c>
      <x:c r="D1285" s="78" t="n">
        <x:f>IF('Inputs'!$C$47&gt;0,('Inputs'!$B$30*(3*187*'Inputs'!$B$12-187^2)/(2*'Inputs'!$B$12^2))-('Inputs'!$B$30*(3*186*'Inputs'!$B$12-186^2)/(2*'Inputs'!$B$12^2)),0)</x:f>
        <x:v>279151.576280728</x:v>
      </x:c>
      <x:c r="E1285" s="78" t="n">
        <x:f>C1285+D1285</x:f>
        <x:v>930505.2542690933</x:v>
      </x:c>
      <x:c r="F1285" s="78" t="n">
        <x:f>'Inputs'!$B$13*E1285+(1-'Inputs'!$B$13)/'Inputs'!$B$14*SUM(E1230:E1285)</x:f>
        <x:v>940722.9311315443</x:v>
      </x:c>
      <x:c r="G1285" s="78" t="n">
        <x:f>F1285*'Inputs'!$F$47</x:f>
        <x:v>329253.0258960405</x:v>
      </x:c>
      <x:c r="H1285" s="78" t="n">
        <x:f>U1284</x:f>
        <x:v>2183860.750602332</x:v>
      </x:c>
      <x:c r="I1285" s="78" t="n">
        <x:f>V1284</x:f>
        <x:v>27791.887119236166</x:v>
      </x:c>
      <x:c r="J1285" s="79" t="n">
        <x:f>IF(H1285&gt;0,I1285/H1285,0)</x:f>
        <x:v>0.012726034437667726</x:v>
      </x:c>
      <x:c r="K1285" s="80" t="n">
        <x:f>(H1285*J1285+I1285)*'Inputs'!$D$47*(1+'Inputs'!$G$47)^(B1285/30)</x:f>
        <x:v>100243.90875943475</x:v>
      </x:c>
      <x:c r="L1285" s="80" t="n">
        <x:f>MAX(0,K1285*'Inputs'!$E$47)</x:f>
        <x:v>5012.195437971738</x:v>
      </x:c>
      <x:c r="M1285" s="80" t="n">
        <x:f>MAX(0,-K1285*'Inputs'!$E$47)</x:f>
        <x:v>0</x:v>
      </x:c>
      <x:c r="N1285" s="78" t="n">
        <x:f>H1285*(L1285*(1-'Inputs'!$B$15))/(I1285+L1285*(1-'Inputs'!$B$15))</x:f>
        <x:v>330844.7993152165</x:v>
      </x:c>
      <x:c r="O1285" s="78" t="n">
        <x:f>H1285-N1285</x:f>
        <x:v>1853015.9512871155</x:v>
      </x:c>
      <x:c r="P1285" s="78" t="n">
        <x:f>I1285+L1285*(1-'Inputs'!$B$17)</x:f>
        <x:v>32783.91275665269</x:v>
      </x:c>
      <x:c r="Q1285" s="78" t="n">
        <x:f>IF(J1285&gt;0,M1285/J1285,0)</x:f>
        <x:v>0</x:v>
      </x:c>
      <x:c r="R1285" s="78" t="n">
        <x:f>IF(B1285='Inputs'!$H$47,'Inputs'!$B$27*'Inputs'!$I$47,0)</x:f>
        <x:v>0</x:v>
      </x:c>
      <x:c r="S1285" s="78" t="n">
        <x:f>Q1285+G1285+R1285</x:f>
        <x:v>329253.0258960405</x:v>
      </x:c>
      <x:c r="T1285" s="78" t="n">
        <x:f>P1285*(S1285*(1-'Inputs'!$B$15))/(O1285+S1285*(1-'Inputs'!$B$15))</x:f>
        <x:v>4904.256980916814</x:v>
      </x:c>
      <x:c r="U1285" s="78" t="n">
        <x:f>O1285+S1285*(1-'Inputs'!$B$17)</x:f>
        <x:v>2180944.015308323</x:v>
      </x:c>
      <x:c r="V1285" s="78" t="n">
        <x:f>P1285-T1285</x:f>
        <x:v>27879.655775735875</x:v>
      </x:c>
      <x:c r="W1285" s="79" t="n">
        <x:f>IF(U1285&gt;0,V1285/U1285,0)</x:f>
        <x:v>0.012783297315311642</x:v>
      </x:c>
      <x:c r="X1285" s="80" t="n">
        <x:f>W1285*('Inputs'!$B$6-AC1285)</x:f>
        <x:v>12745227.153774595</x:v>
      </x:c>
      <x:c r="Y1285" s="80" t="n">
        <x:f>2*V1285</x:f>
        <x:v>55759.31155147175</x:v>
      </x:c>
      <x:c r="Z1285" s="80" t="n">
        <x:f>K1285*'Inputs'!$B$16+(G1285+R1285)*J1285*'Inputs'!$B$16</x:f>
        <x:v>626.6039646341644</x:v>
      </x:c>
      <x:c r="AA1285" s="80" t="n">
        <x:f>K1285*(1+'Inputs'!$E$47)/2*'Inputs'!$B$17</x:f>
        <x:v>211.78290582979173</x:v>
      </x:c>
      <x:c r="AB1285" s="78" t="n">
        <x:f>(IF(J1285&gt;0,K1285*(1-'Inputs'!$E$47)/2/J1285,0)+G1285+R1285)*'Inputs'!$B$17</x:f>
        <x:v>16381.742226410617</x:v>
      </x:c>
      <x:c r="AC1285" s="78" t="n">
        <x:f>AC1284+AB1285</x:f>
        <x:v>2978117.507401487</x:v>
      </x:c>
      <x:c r="AD1285" s="80" t="n">
        <x:f>Z1285/(1+'Inputs'!$C$47)</x:f>
        <x:v>250.64158585366576</x:v>
      </x:c>
      <x:c r="AE1285" s="80" t="n">
        <x:f>Z1285-AD1285</x:f>
        <x:v>375.9623787804986</x:v>
      </x:c>
      <x:c r="AF1285" s="80" t="n">
        <x:f>D1285*W1285</x:f>
        <x:v>3568.477595634443</x:v>
      </x:c>
      <x:c r="AG1285" s="80" t="n">
        <x:f>C1285*W1285</x:f>
        <x:v>8326.447723147034</x:v>
      </x:c>
      <x:c r="AH1285" s="80" t="n">
        <x:f>2*'Inputs'!$B$8*'Inputs'!$C$47</x:f>
        <x:v>7500</x:v>
      </x:c>
      <x:c r="AI1285" s="81" t="n">
        <x:f>IF(AH1285&gt;0,(AE1285+AF1285)/AH1285*365,0)</x:f>
        <x:v>191.96274542152713</x:v>
      </x:c>
      <x:c r="AJ1285" s="81" t="n">
        <x:f>IF('Inputs'!$B$47&gt;0,AG1285/('Inputs'!$B$19*'Inputs'!$B$47)*365,0)</x:f>
        <x:v>303.91534189486674</x:v>
      </x:c>
      <x:c r="AK1285" s="81" t="n">
        <x:f>W1285/MAX($W$1099:W1285)-1</x:f>
        <x:v>-0.423125583643274</x:v>
      </x:c>
      <x:c r="AL1285" s="83" t="n">
        <x:f>'Inputs'!$B$47</x:f>
        <x:v>1</x:v>
      </x:c>
      <x:c r="AM1285" s="83" t="n">
        <x:f>'Inputs'!$C$47</x:f>
        <x:v>1.5</x:v>
      </x:c>
      <x:c r="AN1285" s="83" t="n">
        <x:f>'Inputs'!$D$47</x:f>
        <x:v>1.5</x:v>
      </x:c>
      <x:c r="AO1285" s="81" t="n">
        <x:f>'Inputs'!$E$47</x:f>
        <x:v>0.05</x:v>
      </x:c>
    </x:row>
    <x:row r="1286">
      <x:c r="A1286" s="59" t="str">
        <x:v>Growth</x:v>
      </x:c>
      <x:c r="B1286" s="59" t="n">
        <x:v>188</x:v>
      </x:c>
      <x:c r="C1286" s="78" t="n">
        <x:f>(('Inputs'!$B$29*(3*188*'Inputs'!$B$12-188^2)/(2*'Inputs'!$B$12^2))-('Inputs'!$B$29*(3*187*'Inputs'!$B$12-187^2)/(2*'Inputs'!$B$12^2)))*'Inputs'!$B$47</x:f>
        <x:v>651028.5700882077</x:v>
      </x:c>
      <x:c r="D1286" s="78" t="n">
        <x:f>IF('Inputs'!$C$47&gt;0,('Inputs'!$B$30*(3*188*'Inputs'!$B$12-188^2)/(2*'Inputs'!$B$12^2))-('Inputs'!$B$30*(3*187*'Inputs'!$B$12-187^2)/(2*'Inputs'!$B$12^2)),0)</x:f>
        <x:v>279012.2443235144</x:v>
      </x:c>
      <x:c r="E1286" s="78" t="n">
        <x:f>C1286+D1286</x:f>
        <x:v>930040.8144117221</x:v>
      </x:c>
      <x:c r="F1286" s="78" t="n">
        <x:f>'Inputs'!$B$13*E1286+(1-'Inputs'!$B$13)/'Inputs'!$B$14*SUM(E1231:E1286)</x:f>
        <x:v>940258.4912741629</x:v>
      </x:c>
      <x:c r="G1286" s="78" t="n">
        <x:f>F1286*'Inputs'!$F$47</x:f>
        <x:v>329090.471945957</x:v>
      </x:c>
      <x:c r="H1286" s="78" t="n">
        <x:f>U1285</x:f>
        <x:v>2180944.015308323</x:v>
      </x:c>
      <x:c r="I1286" s="78" t="n">
        <x:f>V1285</x:f>
        <x:v>27879.655775735875</x:v>
      </x:c>
      <x:c r="J1286" s="79" t="n">
        <x:f>IF(H1286&gt;0,I1286/H1286,0)</x:f>
        <x:v>0.012783297315311642</x:v>
      </x:c>
      <x:c r="K1286" s="80" t="n">
        <x:f>(H1286*J1286+I1286)*'Inputs'!$D$47*(1+'Inputs'!$G$47)^(B1286/30)</x:f>
        <x:v>100659.61620547103</x:v>
      </x:c>
      <x:c r="L1286" s="80" t="n">
        <x:f>MAX(0,K1286*'Inputs'!$E$47)</x:f>
        <x:v>5032.9808102735515</x:v>
      </x:c>
      <x:c r="M1286" s="80" t="n">
        <x:f>MAX(0,-K1286*'Inputs'!$E$47)</x:f>
        <x:v>0</x:v>
      </x:c>
      <x:c r="N1286" s="78" t="n">
        <x:f>H1286*(L1286*(1-'Inputs'!$B$15))/(I1286+L1286*(1-'Inputs'!$B$15))</x:f>
        <x:v>330679.24771672627</x:v>
      </x:c>
      <x:c r="O1286" s="78" t="n">
        <x:f>H1286-N1286</x:f>
        <x:v>1850264.7675915966</x:v>
      </x:c>
      <x:c r="P1286" s="78" t="n">
        <x:f>I1286+L1286*(1-'Inputs'!$B$17)</x:f>
        <x:v>32892.3831421049</x:v>
      </x:c>
      <x:c r="Q1286" s="78" t="n">
        <x:f>IF(J1286&gt;0,M1286/J1286,0)</x:f>
        <x:v>0</x:v>
      </x:c>
      <x:c r="R1286" s="78" t="n">
        <x:f>IF(B1286='Inputs'!$H$47,'Inputs'!$B$27*'Inputs'!$I$47,0)</x:f>
        <x:v>0</x:v>
      </x:c>
      <x:c r="S1286" s="78" t="n">
        <x:f>Q1286+G1286+R1286</x:f>
        <x:v>329090.471945957</x:v>
      </x:c>
      <x:c r="T1286" s="78" t="n">
        <x:f>P1286*(S1286*(1-'Inputs'!$B$15))/(O1286+S1286*(1-'Inputs'!$B$15))</x:f>
        <x:v>4924.635738603628</x:v>
      </x:c>
      <x:c r="U1286" s="78" t="n">
        <x:f>O1286+S1286*(1-'Inputs'!$B$17)</x:f>
        <x:v>2178030.931803365</x:v>
      </x:c>
      <x:c r="V1286" s="78" t="n">
        <x:f>P1286-T1286</x:f>
        <x:v>27967.747403501275</x:v>
      </x:c>
      <x:c r="W1286" s="79" t="n">
        <x:f>IF(U1286&gt;0,V1286/U1286,0)</x:f>
        <x:v>0.0128408403182523</x:v>
      </x:c>
      <x:c r="X1286" s="80" t="n">
        <x:f>W1286*('Inputs'!$B$6-AC1286)</x:f>
        <x:v>12802388.507841388</x:v>
      </x:c>
      <x:c r="Y1286" s="80" t="n">
        <x:f>2*V1286</x:f>
        <x:v>55935.49480700255</x:v>
      </x:c>
      <x:c r="Z1286" s="80" t="n">
        <x:f>K1286*'Inputs'!$B$16+(G1286+R1286)*J1286*'Inputs'!$B$16</x:f>
        <x:v>629.1988653119545</x:v>
      </x:c>
      <x:c r="AA1286" s="80" t="n">
        <x:f>K1286*(1+'Inputs'!$E$47)/2*'Inputs'!$B$17</x:f>
        <x:v>212.66116099747404</x:v>
      </x:c>
      <x:c r="AB1286" s="78" t="n">
        <x:f>(IF(J1286&gt;0,K1286*(1-'Inputs'!$E$47)/2/J1286,0)+G1286+R1286)*'Inputs'!$B$17</x:f>
        <x:v>16375.801284486784</x:v>
      </x:c>
      <x:c r="AC1286" s="78" t="n">
        <x:f>AC1285+AB1286</x:f>
        <x:v>2994493.3086859738</x:v>
      </x:c>
      <x:c r="AD1286" s="80" t="n">
        <x:f>Z1286/(1+'Inputs'!$C$47)</x:f>
        <x:v>251.67954612478178</x:v>
      </x:c>
      <x:c r="AE1286" s="80" t="n">
        <x:f>Z1286-AD1286</x:f>
        <x:v>377.5193191871727</x:v>
      </x:c>
      <x:c r="AF1286" s="80" t="n">
        <x:f>D1286*W1286</x:f>
        <x:v>3582.7516761954453</x:v>
      </x:c>
      <x:c r="AG1286" s="80" t="n">
        <x:f>C1286*W1286</x:f>
        <x:v>8359.753911122802</x:v>
      </x:c>
      <x:c r="AH1286" s="80" t="n">
        <x:f>2*'Inputs'!$B$8*'Inputs'!$C$47</x:f>
        <x:v>7500</x:v>
      </x:c>
      <x:c r="AI1286" s="81" t="n">
        <x:f>IF(AH1286&gt;0,(AE1286+AF1286)/AH1286*365,0)</x:f>
        <x:v>192.73318844195407</x:v>
      </x:c>
      <x:c r="AJ1286" s="81" t="n">
        <x:f>IF('Inputs'!$B$47&gt;0,AG1286/('Inputs'!$B$19*'Inputs'!$B$47)*365,0)</x:f>
        <x:v>305.13101775598227</x:v>
      </x:c>
      <x:c r="AK1286" s="81" t="n">
        <x:f>W1286/MAX($W$1099:W1286)-1</x:f>
        <x:v>-0.4205288290330965</x:v>
      </x:c>
      <x:c r="AL1286" s="83" t="n">
        <x:f>'Inputs'!$B$47</x:f>
        <x:v>1</x:v>
      </x:c>
      <x:c r="AM1286" s="83" t="n">
        <x:f>'Inputs'!$C$47</x:f>
        <x:v>1.5</x:v>
      </x:c>
      <x:c r="AN1286" s="83" t="n">
        <x:f>'Inputs'!$D$47</x:f>
        <x:v>1.5</x:v>
      </x:c>
      <x:c r="AO1286" s="81" t="n">
        <x:f>'Inputs'!$E$47</x:f>
        <x:v>0.05</x:v>
      </x:c>
    </x:row>
    <x:row r="1287">
      <x:c r="A1287" s="59" t="str">
        <x:v>Growth</x:v>
      </x:c>
      <x:c r="B1287" s="59" t="n">
        <x:v>189</x:v>
      </x:c>
      <x:c r="C1287" s="78" t="n">
        <x:f>(('Inputs'!$B$29*(3*189*'Inputs'!$B$12-189^2)/(2*'Inputs'!$B$12^2))-('Inputs'!$B$29*(3*188*'Inputs'!$B$12-188^2)/(2*'Inputs'!$B$12^2)))*'Inputs'!$B$47</x:f>
        <x:v>650703.4621880203</x:v>
      </x:c>
      <x:c r="D1287" s="78" t="n">
        <x:f>IF('Inputs'!$C$47&gt;0,('Inputs'!$B$30*(3*189*'Inputs'!$B$12-189^2)/(2*'Inputs'!$B$12^2))-('Inputs'!$B$30*(3*188*'Inputs'!$B$12-188^2)/(2*'Inputs'!$B$12^2)),0)</x:f>
        <x:v>278872.91236629337</x:v>
      </x:c>
      <x:c r="E1287" s="78" t="n">
        <x:f>C1287+D1287</x:f>
        <x:v>929576.3745543137</x:v>
      </x:c>
      <x:c r="F1287" s="78" t="n">
        <x:f>'Inputs'!$B$13*E1287+(1-'Inputs'!$B$13)/'Inputs'!$B$14*SUM(E1232:E1287)</x:f>
        <x:v>939794.0514167738</x:v>
      </x:c>
      <x:c r="G1287" s="78" t="n">
        <x:f>F1287*'Inputs'!$F$47</x:f>
        <x:v>328927.9179958708</x:v>
      </x:c>
      <x:c r="H1287" s="78" t="n">
        <x:f>U1286</x:f>
        <x:v>2178030.931803365</x:v>
      </x:c>
      <x:c r="I1287" s="78" t="n">
        <x:f>V1286</x:f>
        <x:v>27967.747403501275</x:v>
      </x:c>
      <x:c r="J1287" s="79" t="n">
        <x:f>IF(H1287&gt;0,I1287/H1287,0)</x:f>
        <x:v>0.0128408403182523</x:v>
      </x:c>
      <x:c r="K1287" s="80" t="n">
        <x:f>(H1287*J1287+I1287)*'Inputs'!$D$47*(1+'Inputs'!$G$47)^(B1287/30)</x:f>
        <x:v>101077.21306842388</x:v>
      </x:c>
      <x:c r="L1287" s="80" t="n">
        <x:f>MAX(0,K1287*'Inputs'!$E$47)</x:f>
        <x:v>5053.860653421194</x:v>
      </x:c>
      <x:c r="M1287" s="80" t="n">
        <x:f>MAX(0,-K1287*'Inputs'!$E$47)</x:f>
        <x:v>0</x:v>
      </x:c>
      <x:c r="N1287" s="78" t="n">
        <x:f>H1287*(L1287*(1-'Inputs'!$B$15))/(I1287+L1287*(1-'Inputs'!$B$15))</x:f>
        <x:v>330513.7006942081</x:v>
      </x:c>
      <x:c r="O1287" s="78" t="n">
        <x:f>H1287-N1287</x:f>
        <x:v>1847517.2311091567</x:v>
      </x:c>
      <x:c r="P1287" s="78" t="n">
        <x:f>I1287+L1287*(1-'Inputs'!$B$17)</x:f>
        <x:v>33001.270589504275</x:v>
      </x:c>
      <x:c r="Q1287" s="78" t="n">
        <x:f>IF(J1287&gt;0,M1287/J1287,0)</x:f>
        <x:v>0</x:v>
      </x:c>
      <x:c r="R1287" s="78" t="n">
        <x:f>IF(B1287='Inputs'!$H$47,'Inputs'!$B$27*'Inputs'!$I$47,0)</x:f>
        <x:v>0</x:v>
      </x:c>
      <x:c r="S1287" s="78" t="n">
        <x:f>Q1287+G1287+R1287</x:f>
        <x:v>328927.9179958708</x:v>
      </x:c>
      <x:c r="T1287" s="78" t="n">
        <x:f>P1287*(S1287*(1-'Inputs'!$B$15))/(O1287+S1287*(1-'Inputs'!$B$15))</x:f>
        <x:v>4945.1072436568065</x:v>
      </x:c>
      <x:c r="U1287" s="78" t="n">
        <x:f>O1287+S1287*(1-'Inputs'!$B$17)</x:f>
        <x:v>2175121.495511483</x:v>
      </x:c>
      <x:c r="V1287" s="78" t="n">
        <x:f>P1287-T1287</x:f>
        <x:v>28056.163345847468</x:v>
      </x:c>
      <x:c r="W1287" s="79" t="n">
        <x:f>IF(U1287&gt;0,V1287/U1287,0)</x:f>
        <x:v>0.012898664926875738</x:v>
      </x:c>
      <x:c r="X1287" s="80" t="n">
        <x:f>W1287*('Inputs'!$B$6-AC1287)</x:f>
        <x:v>12859828.811715545</x:v>
      </x:c>
      <x:c r="Y1287" s="80" t="n">
        <x:f>2*V1287</x:f>
        <x:v>56112.326691694936</x:v>
      </x:c>
      <x:c r="Z1287" s="80" t="n">
        <x:f>K1287*'Inputs'!$B$16+(G1287+R1287)*J1287*'Inputs'!$B$16</x:f>
        <x:v>631.8055436377442</x:v>
      </x:c>
      <x:c r="AA1287" s="80" t="n">
        <x:f>K1287*(1+'Inputs'!$E$47)/2*'Inputs'!$B$17</x:f>
        <x:v>213.5434078910364</x:v>
      </x:c>
      <x:c r="AB1287" s="78" t="n">
        <x:f>(IF(J1287&gt;0,K1287*(1-'Inputs'!$E$47)/2/J1287,0)+G1287+R1287)*'Inputs'!$B$17</x:f>
        <x:v>16369.860514926255</x:v>
      </x:c>
      <x:c r="AC1287" s="78" t="n">
        <x:f>AC1286+AB1287</x:f>
        <x:v>3010863.1692009</x:v>
      </x:c>
      <x:c r="AD1287" s="80" t="n">
        <x:f>Z1287/(1+'Inputs'!$C$47)</x:f>
        <x:v>252.72221745509768</x:v>
      </x:c>
      <x:c r="AE1287" s="80" t="n">
        <x:f>Z1287-AD1287</x:f>
        <x:v>379.08332618264654</x:v>
      </x:c>
      <x:c r="AF1287" s="80" t="n">
        <x:f>D1287*W1287</x:f>
        <x:v>3597.0882537947996</x:v>
      </x:c>
      <x:c r="AG1287" s="80" t="n">
        <x:f>C1287*W1287</x:f>
        <x:v>8393.205925521232</x:v>
      </x:c>
      <x:c r="AH1287" s="80" t="n">
        <x:f>2*'Inputs'!$B$8*'Inputs'!$C$47</x:f>
        <x:v>7500</x:v>
      </x:c>
      <x:c r="AI1287" s="81" t="n">
        <x:f>IF(AH1287&gt;0,(AE1287+AF1287)/AH1287*365,0)</x:f>
        <x:v>193.5070168922357</x:v>
      </x:c>
      <x:c r="AJ1287" s="81" t="n">
        <x:f>IF('Inputs'!$B$47&gt;0,AG1287/('Inputs'!$B$19*'Inputs'!$B$47)*365,0)</x:f>
        <x:v>306.352016281525</x:v>
      </x:c>
      <x:c r="AK1287" s="81" t="n">
        <x:f>W1287/MAX($W$1099:W1287)-1</x:f>
        <x:v>-0.4179193663469125</x:v>
      </x:c>
      <x:c r="AL1287" s="83" t="n">
        <x:f>'Inputs'!$B$47</x:f>
        <x:v>1</x:v>
      </x:c>
      <x:c r="AM1287" s="83" t="n">
        <x:f>'Inputs'!$C$47</x:f>
        <x:v>1.5</x:v>
      </x:c>
      <x:c r="AN1287" s="83" t="n">
        <x:f>'Inputs'!$D$47</x:f>
        <x:v>1.5</x:v>
      </x:c>
      <x:c r="AO1287" s="81" t="n">
        <x:f>'Inputs'!$E$47</x:f>
        <x:v>0.05</x:v>
      </x:c>
    </x:row>
    <x:row r="1288">
      <x:c r="A1288" s="59" t="str">
        <x:v>Growth</x:v>
      </x:c>
      <x:c r="B1288" s="59" t="n">
        <x:v>190</x:v>
      </x:c>
      <x:c r="C1288" s="78" t="n">
        <x:f>(('Inputs'!$B$29*(3*190*'Inputs'!$B$12-190^2)/(2*'Inputs'!$B$12^2))-('Inputs'!$B$29*(3*189*'Inputs'!$B$12-189^2)/(2*'Inputs'!$B$12^2)))*'Inputs'!$B$47</x:f>
        <x:v>650378.3542878628</x:v>
      </x:c>
      <x:c r="D1288" s="78" t="n">
        <x:f>IF('Inputs'!$C$47&gt;0,('Inputs'!$B$30*(3*190*'Inputs'!$B$12-190^2)/(2*'Inputs'!$B$12^2))-('Inputs'!$B$30*(3*189*'Inputs'!$B$12-189^2)/(2*'Inputs'!$B$12^2)),0)</x:f>
        <x:v>278733.58040908724</x:v>
      </x:c>
      <x:c r="E1288" s="78" t="n">
        <x:f>C1288+D1288</x:f>
        <x:v>929111.93469695</x:v>
      </x:c>
      <x:c r="F1288" s="78" t="n">
        <x:f>'Inputs'!$B$13*E1288+(1-'Inputs'!$B$13)/'Inputs'!$B$14*SUM(E1233:E1288)</x:f>
        <x:v>939329.6115593938</x:v>
      </x:c>
      <x:c r="G1288" s="78" t="n">
        <x:f>F1288*'Inputs'!$F$47</x:f>
        <x:v>328765.36404578784</x:v>
      </x:c>
      <x:c r="H1288" s="78" t="n">
        <x:f>U1287</x:f>
        <x:v>2175121.495511483</x:v>
      </x:c>
      <x:c r="I1288" s="78" t="n">
        <x:f>V1287</x:f>
        <x:v>28056.163345847468</x:v>
      </x:c>
      <x:c r="J1288" s="79" t="n">
        <x:f>IF(H1288&gt;0,I1288/H1288,0)</x:f>
        <x:v>0.012898664926875738</x:v>
      </x:c>
      <x:c r="K1288" s="80" t="n">
        <x:f>(H1288*J1288+I1288)*'Inputs'!$D$47*(1+'Inputs'!$G$47)^(B1288/30)</x:f>
        <x:v>101496.70867967133</x:v>
      </x:c>
      <x:c r="L1288" s="80" t="n">
        <x:f>MAX(0,K1288*'Inputs'!$E$47)</x:f>
        <x:v>5074.835433983567</x:v>
      </x:c>
      <x:c r="M1288" s="80" t="n">
        <x:f>MAX(0,-K1288*'Inputs'!$E$47)</x:f>
        <x:v>0</x:v>
      </x:c>
      <x:c r="N1288" s="78" t="n">
        <x:f>H1288*(L1288*(1-'Inputs'!$B$15))/(I1288+L1288*(1-'Inputs'!$B$15))</x:f>
        <x:v>330348.15824228525</x:v>
      </x:c>
      <x:c r="O1288" s="78" t="n">
        <x:f>H1288-N1288</x:f>
        <x:v>1844773.3372691977</x:v>
      </x:c>
      <x:c r="P1288" s="78" t="n">
        <x:f>I1288+L1288*(1-'Inputs'!$B$17)</x:f>
        <x:v>33110.576906857255</x:v>
      </x:c>
      <x:c r="Q1288" s="78" t="n">
        <x:f>IF(J1288&gt;0,M1288/J1288,0)</x:f>
        <x:v>0</x:v>
      </x:c>
      <x:c r="R1288" s="78" t="n">
        <x:f>IF(B1288='Inputs'!$H$47,'Inputs'!$B$27*'Inputs'!$I$47,0)</x:f>
        <x:v>0</x:v>
      </x:c>
      <x:c r="S1288" s="78" t="n">
        <x:f>Q1288+G1288+R1288</x:f>
        <x:v>328765.36404578784</x:v>
      </x:c>
      <x:c r="T1288" s="78" t="n">
        <x:f>P1288*(S1288*(1-'Inputs'!$B$15))/(O1288+S1288*(1-'Inputs'!$B$15))</x:f>
        <x:v>4965.671954583791</x:v>
      </x:c>
      <x:c r="U1288" s="78" t="n">
        <x:f>O1288+S1288*(1-'Inputs'!$B$17)</x:f>
        <x:v>2172215.701862085</x:v>
      </x:c>
      <x:c r="V1288" s="78" t="n">
        <x:f>P1288-T1288</x:f>
        <x:v>28144.904952273464</x:v>
      </x:c>
      <x:c r="W1288" s="79" t="n">
        <x:f>IF(U1288&gt;0,V1288/U1288,0)</x:f>
        <x:v>0.012956772629968033</x:v>
      </x:c>
      <x:c r="X1288" s="80" t="n">
        <x:f>W1288*('Inputs'!$B$6-AC1288)</x:f>
        <x:v>12917549.53687506</x:v>
      </x:c>
      <x:c r="Y1288" s="80" t="n">
        <x:f>2*V1288</x:f>
        <x:v>56289.80990454693</x:v>
      </x:c>
      <x:c r="Z1288" s="80" t="n">
        <x:f>K1288*'Inputs'!$B$16+(G1288+R1288)*J1288*'Inputs'!$B$16</x:f>
        <x:v>634.4240577003616</x:v>
      </x:c>
      <x:c r="AA1288" s="80" t="n">
        <x:f>K1288*(1+'Inputs'!$E$47)/2*'Inputs'!$B$17</x:f>
        <x:v>214.42966622465775</x:v>
      </x:c>
      <x:c r="AB1288" s="78" t="n">
        <x:f>(IF(J1288&gt;0,K1288*(1-'Inputs'!$E$47)/2/J1288,0)+G1288+R1288)*'Inputs'!$B$17</x:f>
        <x:v>16363.919916432014</x:v>
      </x:c>
      <x:c r="AC1288" s="78" t="n">
        <x:f>AC1287+AB1288</x:f>
        <x:v>3027227.089117332</x:v>
      </x:c>
      <x:c r="AD1288" s="80" t="n">
        <x:f>Z1288/(1+'Inputs'!$C$47)</x:f>
        <x:v>253.76962308014464</x:v>
      </x:c>
      <x:c r="AE1288" s="80" t="n">
        <x:f>Z1288-AD1288</x:f>
        <x:v>380.65443462021693</x:v>
      </x:c>
      <x:c r="AF1288" s="80" t="n">
        <x:f>D1288*W1288</x:f>
        <x:v>3611.4876256974553</x:v>
      </x:c>
      <x:c r="AG1288" s="80" t="n">
        <x:f>C1288*W1288</x:f>
        <x:v>8426.804459960633</x:v>
      </x:c>
      <x:c r="AH1288" s="80" t="n">
        <x:f>2*'Inputs'!$B$8*'Inputs'!$C$47</x:f>
        <x:v>7500</x:v>
      </x:c>
      <x:c r="AI1288" s="81" t="n">
        <x:f>IF(AH1288&gt;0,(AE1288+AF1288)/AH1288*365,0)</x:f>
        <x:v>194.28424693546003</x:v>
      </x:c>
      <x:c r="AJ1288" s="81" t="n">
        <x:f>IF('Inputs'!$B$47&gt;0,AG1288/('Inputs'!$B$19*'Inputs'!$B$47)*365,0)</x:f>
        <x:v>307.5783627885631</x:v>
      </x:c>
      <x:c r="AK1288" s="81" t="n">
        <x:f>W1288/MAX($W$1099:W1288)-1</x:f>
        <x:v>-0.4152971283999748</x:v>
      </x:c>
      <x:c r="AL1288" s="83" t="n">
        <x:f>'Inputs'!$B$47</x:f>
        <x:v>1</x:v>
      </x:c>
      <x:c r="AM1288" s="83" t="n">
        <x:f>'Inputs'!$C$47</x:f>
        <x:v>1.5</x:v>
      </x:c>
      <x:c r="AN1288" s="83" t="n">
        <x:f>'Inputs'!$D$47</x:f>
        <x:v>1.5</x:v>
      </x:c>
      <x:c r="AO1288" s="81" t="n">
        <x:f>'Inputs'!$E$47</x:f>
        <x:v>0.05</x:v>
      </x:c>
    </x:row>
    <x:row r="1289">
      <x:c r="A1289" s="59" t="str">
        <x:v>Growth</x:v>
      </x:c>
      <x:c r="B1289" s="59" t="n">
        <x:v>191</x:v>
      </x:c>
      <x:c r="C1289" s="78" t="n">
        <x:f>(('Inputs'!$B$29*(3*191*'Inputs'!$B$12-191^2)/(2*'Inputs'!$B$12^2))-('Inputs'!$B$29*(3*190*'Inputs'!$B$12-190^2)/(2*'Inputs'!$B$12^2)))*'Inputs'!$B$47</x:f>
        <x:v>650053.2463876903</x:v>
      </x:c>
      <x:c r="D1289" s="78" t="n">
        <x:f>IF('Inputs'!$C$47&gt;0,('Inputs'!$B$30*(3*191*'Inputs'!$B$12-191^2)/(2*'Inputs'!$B$12^2))-('Inputs'!$B$30*(3*190*'Inputs'!$B$12-190^2)/(2*'Inputs'!$B$12^2)),0)</x:f>
        <x:v>278594.2484518662</x:v>
      </x:c>
      <x:c r="E1289" s="78" t="n">
        <x:f>C1289+D1289</x:f>
        <x:v>928647.4948395565</x:v>
      </x:c>
      <x:c r="F1289" s="78" t="n">
        <x:f>'Inputs'!$B$13*E1289+(1-'Inputs'!$B$13)/'Inputs'!$B$14*SUM(E1234:E1289)</x:f>
        <x:v>938865.1717020079</x:v>
      </x:c>
      <x:c r="G1289" s="78" t="n">
        <x:f>F1289*'Inputs'!$F$47</x:f>
        <x:v>328602.81009570276</x:v>
      </x:c>
      <x:c r="H1289" s="78" t="n">
        <x:f>U1288</x:f>
        <x:v>2172215.701862085</x:v>
      </x:c>
      <x:c r="I1289" s="78" t="n">
        <x:f>V1288</x:f>
        <x:v>28144.904952273464</x:v>
      </x:c>
      <x:c r="J1289" s="79" t="n">
        <x:f>IF(H1289&gt;0,I1289/H1289,0)</x:f>
        <x:v>0.012956772629968033</x:v>
      </x:c>
      <x:c r="K1289" s="80" t="n">
        <x:f>(H1289*J1289+I1289)*'Inputs'!$D$47*(1+'Inputs'!$G$47)^(B1289/30)</x:f>
        <x:v>101918.11242026111</x:v>
      </x:c>
      <x:c r="L1289" s="80" t="n">
        <x:f>MAX(0,K1289*'Inputs'!$E$47)</x:f>
        <x:v>5095.905621013056</x:v>
      </x:c>
      <x:c r="M1289" s="80" t="n">
        <x:f>MAX(0,-K1289*'Inputs'!$E$47)</x:f>
        <x:v>0</x:v>
      </x:c>
      <x:c r="N1289" s="78" t="n">
        <x:f>H1289*(L1289*(1-'Inputs'!$B$15))/(I1289+L1289*(1-'Inputs'!$B$15))</x:f>
        <x:v>330182.62035555585</x:v>
      </x:c>
      <x:c r="O1289" s="78" t="n">
        <x:f>H1289-N1289</x:f>
        <x:v>1842033.0815065294</x:v>
      </x:c>
      <x:c r="P1289" s="78" t="n">
        <x:f>I1289+L1289*(1-'Inputs'!$B$17)</x:f>
        <x:v>33220.303910827715</x:v>
      </x:c>
      <x:c r="Q1289" s="78" t="n">
        <x:f>IF(J1289&gt;0,M1289/J1289,0)</x:f>
        <x:v>0</x:v>
      </x:c>
      <x:c r="R1289" s="78" t="n">
        <x:f>IF(B1289='Inputs'!$H$47,'Inputs'!$B$27*'Inputs'!$I$47,0)</x:f>
        <x:v>0</x:v>
      </x:c>
      <x:c r="S1289" s="78" t="n">
        <x:f>Q1289+G1289+R1289</x:f>
        <x:v>328602.81009570276</x:v>
      </x:c>
      <x:c r="T1289" s="78" t="n">
        <x:f>P1289*(S1289*(1-'Inputs'!$B$15))/(O1289+S1289*(1-'Inputs'!$B$15))</x:f>
        <x:v>4986.330332334727</x:v>
      </x:c>
      <x:c r="U1289" s="78" t="n">
        <x:f>O1289+S1289*(1-'Inputs'!$B$17)</x:f>
        <x:v>2169313.5462899758</x:v>
      </x:c>
      <x:c r="V1289" s="78" t="n">
        <x:f>P1289-T1289</x:f>
        <x:v>28233.973578492987</x:v>
      </x:c>
      <x:c r="W1289" s="79" t="n">
        <x:f>IF(U1289&gt;0,V1289/U1289,0)</x:f>
        <x:v>0.013015164924765977</x:v>
      </x:c>
      <x:c r="X1289" s="80" t="n">
        <x:f>W1289*('Inputs'!$B$6-AC1289)</x:f>
        <x:v>12975552.163135527</x:v>
      </x:c>
      <x:c r="Y1289" s="80" t="n">
        <x:f>2*V1289</x:f>
        <x:v>56467.947156985974</x:v>
      </x:c>
      <x:c r="Z1289" s="80" t="n">
        <x:f>K1289*'Inputs'!$B$16+(G1289+R1289)*J1289*'Inputs'!$B$16</x:f>
        <x:v>637.0544658974383</x:v>
      </x:c>
      <x:c r="AA1289" s="80" t="n">
        <x:f>K1289*(1+'Inputs'!$E$47)/2*'Inputs'!$B$17</x:f>
        <x:v>215.3199558174531</x:v>
      </x:c>
      <x:c r="AB1289" s="78" t="n">
        <x:f>(IF(J1289&gt;0,K1289*(1-'Inputs'!$E$47)/2/J1289,0)+G1289+R1289)*'Inputs'!$B$17</x:f>
        <x:v>16357.979487703684</x:v>
      </x:c>
      <x:c r="AC1289" s="78" t="n">
        <x:f>AC1288+AB1289</x:f>
        <x:v>3043585.0686050355</x:v>
      </x:c>
      <x:c r="AD1289" s="80" t="n">
        <x:f>Z1289/(1+'Inputs'!$C$47)</x:f>
        <x:v>254.82178635897532</x:v>
      </x:c>
      <x:c r="AE1289" s="80" t="n">
        <x:f>Z1289-AD1289</x:f>
        <x:v>382.23267953846295</x:v>
      </x:c>
      <x:c r="AF1289" s="80" t="n">
        <x:f>D1289*W1289</x:f>
        <x:v>3625.950090692267</x:v>
      </x:c>
      <x:c r="AG1289" s="80" t="n">
        <x:f>C1289*W1289</x:f>
        <x:v>8460.550211615322</x:v>
      </x:c>
      <x:c r="AH1289" s="80" t="n">
        <x:f>2*'Inputs'!$B$8*'Inputs'!$C$47</x:f>
        <x:v>7500</x:v>
      </x:c>
      <x:c r="AI1289" s="81" t="n">
        <x:f>IF(AH1289&gt;0,(AE1289+AF1289)/AH1289*365,0)</x:f>
        <x:v>195.06489481789552</x:v>
      </x:c>
      <x:c r="AJ1289" s="81" t="n">
        <x:f>IF('Inputs'!$B$47&gt;0,AG1289/('Inputs'!$B$19*'Inputs'!$B$47)*365,0)</x:f>
        <x:v>308.8100827239592</x:v>
      </x:c>
      <x:c r="AK1289" s="81" t="n">
        <x:f>W1289/MAX($W$1099:W1289)-1</x:f>
        <x:v>-0.41266204762617886</x:v>
      </x:c>
      <x:c r="AL1289" s="83" t="n">
        <x:f>'Inputs'!$B$47</x:f>
        <x:v>1</x:v>
      </x:c>
      <x:c r="AM1289" s="83" t="n">
        <x:f>'Inputs'!$C$47</x:f>
        <x:v>1.5</x:v>
      </x:c>
      <x:c r="AN1289" s="83" t="n">
        <x:f>'Inputs'!$D$47</x:f>
        <x:v>1.5</x:v>
      </x:c>
      <x:c r="AO1289" s="81" t="n">
        <x:f>'Inputs'!$E$47</x:f>
        <x:v>0.05</x:v>
      </x:c>
    </x:row>
    <x:row r="1290">
      <x:c r="A1290" s="59" t="str">
        <x:v>Growth</x:v>
      </x:c>
      <x:c r="B1290" s="59" t="n">
        <x:v>192</x:v>
      </x:c>
      <x:c r="C1290" s="78" t="n">
        <x:f>(('Inputs'!$B$29*(3*192*'Inputs'!$B$12-192^2)/(2*'Inputs'!$B$12^2))-('Inputs'!$B$29*(3*191*'Inputs'!$B$12-191^2)/(2*'Inputs'!$B$12^2)))*'Inputs'!$B$47</x:f>
        <x:v>649728.1384875178</x:v>
      </x:c>
      <x:c r="D1290" s="78" t="n">
        <x:f>IF('Inputs'!$C$47&gt;0,('Inputs'!$B$30*(3*192*'Inputs'!$B$12-192^2)/(2*'Inputs'!$B$12^2))-('Inputs'!$B$30*(3*191*'Inputs'!$B$12-191^2)/(2*'Inputs'!$B$12^2)),0)</x:f>
        <x:v>278454.9164946526</x:v>
      </x:c>
      <x:c r="E1290" s="78" t="n">
        <x:f>C1290+D1290</x:f>
        <x:v>928183.0549821705</x:v>
      </x:c>
      <x:c r="F1290" s="78" t="n">
        <x:f>'Inputs'!$B$13*E1290+(1-'Inputs'!$B$13)/'Inputs'!$B$14*SUM(E1235:E1290)</x:f>
        <x:v>938400.7318446233</x:v>
      </x:c>
      <x:c r="G1290" s="78" t="n">
        <x:f>F1290*'Inputs'!$F$47</x:f>
        <x:v>328440.25614561816</x:v>
      </x:c>
      <x:c r="H1290" s="78" t="n">
        <x:f>U1289</x:f>
        <x:v>2169313.5462899758</x:v>
      </x:c>
      <x:c r="I1290" s="78" t="n">
        <x:f>V1289</x:f>
        <x:v>28233.973578492987</x:v>
      </x:c>
      <x:c r="J1290" s="79" t="n">
        <x:f>IF(H1290&gt;0,I1290/H1290,0)</x:f>
        <x:v>0.013015164924765977</x:v>
      </x:c>
      <x:c r="K1290" s="80" t="n">
        <x:f>(H1290*J1290+I1290)*'Inputs'!$D$47*(1+'Inputs'!$G$47)^(B1290/30)</x:f>
        <x:v>102341.43372119275</x:v>
      </x:c>
      <x:c r="L1290" s="80" t="n">
        <x:f>MAX(0,K1290*'Inputs'!$E$47)</x:f>
        <x:v>5117.071686059638</x:v>
      </x:c>
      <x:c r="M1290" s="80" t="n">
        <x:f>MAX(0,-K1290*'Inputs'!$E$47)</x:f>
        <x:v>0</x:v>
      </x:c>
      <x:c r="N1290" s="78" t="n">
        <x:f>H1290*(L1290*(1-'Inputs'!$B$15))/(I1290+L1290*(1-'Inputs'!$B$15))</x:f>
        <x:v>330017.0870285956</x:v>
      </x:c>
      <x:c r="O1290" s="78" t="n">
        <x:f>H1290-N1290</x:f>
        <x:v>1839296.4592613801</x:v>
      </x:c>
      <x:c r="P1290" s="78" t="n">
        <x:f>I1290+L1290*(1-'Inputs'!$B$17)</x:f>
        <x:v>33330.45342678176</x:v>
      </x:c>
      <x:c r="Q1290" s="78" t="n">
        <x:f>IF(J1290&gt;0,M1290/J1290,0)</x:f>
        <x:v>0</x:v>
      </x:c>
      <x:c r="R1290" s="78" t="n">
        <x:f>IF(B1290='Inputs'!$H$47,'Inputs'!$B$27*'Inputs'!$I$47,0)</x:f>
        <x:v>0</x:v>
      </x:c>
      <x:c r="S1290" s="78" t="n">
        <x:f>Q1290+G1290+R1290</x:f>
        <x:v>328440.25614561816</x:v>
      </x:c>
      <x:c r="T1290" s="78" t="n">
        <x:f>P1290*(S1290*(1-'Inputs'!$B$15))/(O1290+S1290*(1-'Inputs'!$B$15))</x:f>
        <x:v>5007.082840316548</x:v>
      </x:c>
      <x:c r="U1290" s="78" t="n">
        <x:f>O1290+S1290*(1-'Inputs'!$B$17)</x:f>
        <x:v>2166415.024235386</x:v>
      </x:c>
      <x:c r="V1290" s="78" t="n">
        <x:f>P1290-T1290</x:f>
        <x:v>28323.37058646521</x:v>
      </x:c>
      <x:c r="W1290" s="79" t="n">
        <x:f>IF(U1290&gt;0,V1290/U1290,0)</x:f>
        <x:v>0.013073843317007856</x:v>
      </x:c>
      <x:c r="X1290" s="80" t="n">
        <x:f>W1290*('Inputs'!$B$6-AC1290)</x:f>
        <x:v>13033838.178700157</x:v>
      </x:c>
      <x:c r="Y1290" s="80" t="n">
        <x:f>2*V1290</x:f>
        <x:v>56646.74117293042</x:v>
      </x:c>
      <x:c r="Z1290" s="80" t="n">
        <x:f>K1290*'Inputs'!$B$16+(G1290+R1290)*J1290*'Inputs'!$B$16</x:f>
        <x:v>639.6968269371621</x:v>
      </x:c>
      <x:c r="AA1290" s="80" t="n">
        <x:f>K1290*(1+'Inputs'!$E$47)/2*'Inputs'!$B$17</x:f>
        <x:v>216.21429659406922</x:v>
      </x:c>
      <x:c r="AB1290" s="78" t="n">
        <x:f>(IF(J1290&gt;0,K1290*(1-'Inputs'!$E$47)/2/J1290,0)+G1290+R1290)*'Inputs'!$B$17</x:f>
        <x:v>16352.039227437717</x:v>
      </x:c>
      <x:c r="AC1290" s="78" t="n">
        <x:f>AC1289+AB1290</x:f>
        <x:v>3059937.1078324732</x:v>
      </x:c>
      <x:c r="AD1290" s="80" t="n">
        <x:f>Z1290/(1+'Inputs'!$C$47)</x:f>
        <x:v>255.87873077486483</x:v>
      </x:c>
      <x:c r="AE1290" s="80" t="n">
        <x:f>Z1290-AD1290</x:f>
        <x:v>383.81809616229725</x:v>
      </x:c>
      <x:c r="AF1290" s="80" t="n">
        <x:f>D1290*W1290</x:f>
        <x:v>3640.475949101595</x:v>
      </x:c>
      <x:c r="AG1290" s="80" t="n">
        <x:f>C1290*W1290</x:f>
        <x:v>8494.44388123699</x:v>
      </x:c>
      <x:c r="AH1290" s="80" t="n">
        <x:f>2*'Inputs'!$B$8*'Inputs'!$C$47</x:f>
        <x:v>7500</x:v>
      </x:c>
      <x:c r="AI1290" s="81" t="n">
        <x:f>IF(AH1290&gt;0,(AE1290+AF1290)/AH1290*365,0)</x:f>
        <x:v>195.84897686950944</x:v>
      </x:c>
      <x:c r="AJ1290" s="81" t="n">
        <x:f>IF('Inputs'!$B$47&gt;0,AG1290/('Inputs'!$B$19*'Inputs'!$B$47)*365,0)</x:f>
        <x:v>310.04720166515017</x:v>
      </x:c>
      <x:c r="AK1290" s="81" t="n">
        <x:f>W1290/MAX($W$1099:W1290)-1</x:f>
        <x:v>-0.410014056075772</x:v>
      </x:c>
      <x:c r="AL1290" s="83" t="n">
        <x:f>'Inputs'!$B$47</x:f>
        <x:v>1</x:v>
      </x:c>
      <x:c r="AM1290" s="83" t="n">
        <x:f>'Inputs'!$C$47</x:f>
        <x:v>1.5</x:v>
      </x:c>
      <x:c r="AN1290" s="83" t="n">
        <x:f>'Inputs'!$D$47</x:f>
        <x:v>1.5</x:v>
      </x:c>
      <x:c r="AO1290" s="81" t="n">
        <x:f>'Inputs'!$E$47</x:f>
        <x:v>0.05</x:v>
      </x:c>
    </x:row>
    <x:row r="1291">
      <x:c r="A1291" s="59" t="str">
        <x:v>Growth</x:v>
      </x:c>
      <x:c r="B1291" s="59" t="n">
        <x:v>193</x:v>
      </x:c>
      <x:c r="C1291" s="78" t="n">
        <x:f>(('Inputs'!$B$29*(3*193*'Inputs'!$B$12-193^2)/(2*'Inputs'!$B$12^2))-('Inputs'!$B$29*(3*192*'Inputs'!$B$12-192^2)/(2*'Inputs'!$B$12^2)))*'Inputs'!$B$47</x:f>
        <x:v>649403.0305873603</x:v>
      </x:c>
      <x:c r="D1291" s="78" t="n">
        <x:f>IF('Inputs'!$C$47&gt;0,('Inputs'!$B$30*(3*193*'Inputs'!$B$12-193^2)/(2*'Inputs'!$B$12^2))-('Inputs'!$B$30*(3*192*'Inputs'!$B$12-192^2)/(2*'Inputs'!$B$12^2)),0)</x:f>
        <x:v>278315.5845374316</x:v>
      </x:c>
      <x:c r="E1291" s="78" t="n">
        <x:f>C1291+D1291</x:f>
        <x:v>927718.6151247919</x:v>
      </x:c>
      <x:c r="F1291" s="78" t="n">
        <x:f>'Inputs'!$B$13*E1291+(1-'Inputs'!$B$13)/'Inputs'!$B$14*SUM(E1236:E1291)</x:f>
        <x:v>937936.2919872404</x:v>
      </x:c>
      <x:c r="G1291" s="78" t="n">
        <x:f>F1291*'Inputs'!$F$47</x:f>
        <x:v>328277.70219553413</x:v>
      </x:c>
      <x:c r="H1291" s="78" t="n">
        <x:f>U1290</x:f>
        <x:v>2166415.024235386</x:v>
      </x:c>
      <x:c r="I1291" s="78" t="n">
        <x:f>V1290</x:f>
        <x:v>28323.37058646521</x:v>
      </x:c>
      <x:c r="J1291" s="79" t="n">
        <x:f>IF(H1291&gt;0,I1291/H1291,0)</x:f>
        <x:v>0.013073843317007856</x:v>
      </x:c>
      <x:c r="K1291" s="80" t="n">
        <x:f>(H1291*J1291+I1291)*'Inputs'!$D$47*(1+'Inputs'!$G$47)^(B1291/30)</x:f>
        <x:v>102766.68206370027</x:v>
      </x:c>
      <x:c r="L1291" s="80" t="n">
        <x:f>MAX(0,K1291*'Inputs'!$E$47)</x:f>
        <x:v>5138.334103185014</x:v>
      </x:c>
      <x:c r="M1291" s="80" t="n">
        <x:f>MAX(0,-K1291*'Inputs'!$E$47)</x:f>
        <x:v>0</x:v>
      </x:c>
      <x:c r="N1291" s="78" t="n">
        <x:f>H1291*(L1291*(1-'Inputs'!$B$15))/(I1291+L1291*(1-'Inputs'!$B$15))</x:f>
        <x:v>329851.55825596367</x:v>
      </x:c>
      <x:c r="O1291" s="78" t="n">
        <x:f>H1291-N1291</x:f>
        <x:v>1836563.4659794222</x:v>
      </x:c>
      <x:c r="P1291" s="78" t="n">
        <x:f>I1291+L1291*(1-'Inputs'!$B$17)</x:f>
        <x:v>33441.02728883258</x:v>
      </x:c>
      <x:c r="Q1291" s="78" t="n">
        <x:f>IF(J1291&gt;0,M1291/J1291,0)</x:f>
        <x:v>0</x:v>
      </x:c>
      <x:c r="R1291" s="78" t="n">
        <x:f>IF(B1291='Inputs'!$H$47,'Inputs'!$B$27*'Inputs'!$I$47,0)</x:f>
        <x:v>0</x:v>
      </x:c>
      <x:c r="S1291" s="78" t="n">
        <x:f>Q1291+G1291+R1291</x:f>
        <x:v>328277.70219553413</x:v>
      </x:c>
      <x:c r="T1291" s="78" t="n">
        <x:f>P1291*(S1291*(1-'Inputs'!$B$15))/(O1291+S1291*(1-'Inputs'!$B$15))</x:f>
        <x:v>5027.929944406702</x:v>
      </x:c>
      <x:c r="U1291" s="78" t="n">
        <x:f>O1291+S1291*(1-'Inputs'!$B$17)</x:f>
        <x:v>2163520.1311439886</x:v>
      </x:c>
      <x:c r="V1291" s="78" t="n">
        <x:f>P1291-T1291</x:f>
        <x:v>28413.097344425878</x:v>
      </x:c>
      <x:c r="W1291" s="79" t="n">
        <x:f>IF(U1291&gt;0,V1291/U1291,0)</x:f>
        <x:v>0.013132809320984729</x:v>
      </x:c>
      <x:c r="X1291" s="80" t="n">
        <x:f>W1291*('Inputs'!$B$6-AC1291)</x:f>
        <x:v>13092409.080210287</x:v>
      </x:c>
      <x:c r="Y1291" s="80" t="n">
        <x:f>2*V1291</x:f>
        <x:v>56826.194688851756</x:v>
      </x:c>
      <x:c r="Z1291" s="80" t="n">
        <x:f>K1291*'Inputs'!$B$16+(G1291+R1291)*J1291*'Inputs'!$B$16</x:f>
        <x:v>642.3511998400323</x:v>
      </x:c>
      <x:c r="AA1291" s="80" t="n">
        <x:f>K1291*(1+'Inputs'!$E$47)/2*'Inputs'!$B$17</x:f>
        <x:v>217.11270858528226</x:v>
      </x:c>
      <x:c r="AB1291" s="78" t="n">
        <x:f>(IF(J1291&gt;0,K1291*(1-'Inputs'!$E$47)/2/J1291,0)+G1291+R1291)*'Inputs'!$B$17</x:f>
        <x:v>16346.099134327576</x:v>
      </x:c>
      <x:c r="AC1291" s="78" t="n">
        <x:f>AC1290+AB1291</x:f>
        <x:v>3076283.2069668006</x:v>
      </x:c>
      <x:c r="AD1291" s="80" t="n">
        <x:f>Z1291/(1+'Inputs'!$C$47)</x:f>
        <x:v>256.94047993601293</x:v>
      </x:c>
      <x:c r="AE1291" s="80" t="n">
        <x:f>Z1291-AD1291</x:f>
        <x:v>385.4107199040194</x:v>
      </x:c>
      <x:c r="AF1291" s="80" t="n">
        <x:f>D1291*W1291</x:f>
        <x:v>3655.065502788495</x:v>
      </x:c>
      <x:c r="AG1291" s="80" t="n">
        <x:f>C1291*W1291</x:f>
        <x:v>8528.486173173416</x:v>
      </x:c>
      <x:c r="AH1291" s="80" t="n">
        <x:f>2*'Inputs'!$B$8*'Inputs'!$C$47</x:f>
        <x:v>7500</x:v>
      </x:c>
      <x:c r="AI1291" s="81" t="n">
        <x:f>IF(AH1291&gt;0,(AE1291+AF1291)/AH1291*365,0)</x:f>
        <x:v>196.63650950436903</x:v>
      </x:c>
      <x:c r="AJ1291" s="81" t="n">
        <x:f>IF('Inputs'!$B$47&gt;0,AG1291/('Inputs'!$B$19*'Inputs'!$B$47)*365,0)</x:f>
        <x:v>311.2897453208297</x:v>
      </x:c>
      <x:c r="AK1291" s="81" t="n">
        <x:f>W1291/MAX($W$1099:W1291)-1</x:f>
        <x:v>-0.4073530854130383</x:v>
      </x:c>
      <x:c r="AL1291" s="83" t="n">
        <x:f>'Inputs'!$B$47</x:f>
        <x:v>1</x:v>
      </x:c>
      <x:c r="AM1291" s="83" t="n">
        <x:f>'Inputs'!$C$47</x:f>
        <x:v>1.5</x:v>
      </x:c>
      <x:c r="AN1291" s="83" t="n">
        <x:f>'Inputs'!$D$47</x:f>
        <x:v>1.5</x:v>
      </x:c>
      <x:c r="AO1291" s="81" t="n">
        <x:f>'Inputs'!$E$47</x:f>
        <x:v>0.05</x:v>
      </x:c>
    </x:row>
    <x:row r="1292">
      <x:c r="A1292" s="59" t="str">
        <x:v>Growth</x:v>
      </x:c>
      <x:c r="B1292" s="59" t="n">
        <x:v>194</x:v>
      </x:c>
      <x:c r="C1292" s="78" t="n">
        <x:f>(('Inputs'!$B$29*(3*194*'Inputs'!$B$12-194^2)/(2*'Inputs'!$B$12^2))-('Inputs'!$B$29*(3*193*'Inputs'!$B$12-193^2)/(2*'Inputs'!$B$12^2)))*'Inputs'!$B$47</x:f>
        <x:v>649077.9226871729</x:v>
      </x:c>
      <x:c r="D1292" s="78" t="n">
        <x:f>IF('Inputs'!$C$47&gt;0,('Inputs'!$B$30*(3*194*'Inputs'!$B$12-194^2)/(2*'Inputs'!$B$12^2))-('Inputs'!$B$30*(3*193*'Inputs'!$B$12-193^2)/(2*'Inputs'!$B$12^2)),0)</x:f>
        <x:v>278176.25258022547</x:v>
      </x:c>
      <x:c r="E1292" s="78" t="n">
        <x:f>C1292+D1292</x:f>
        <x:v>927254.1752673984</x:v>
      </x:c>
      <x:c r="F1292" s="78" t="n">
        <x:f>'Inputs'!$B$13*E1292+(1-'Inputs'!$B$13)/'Inputs'!$B$14*SUM(E1237:E1292)</x:f>
        <x:v>937471.8521298541</x:v>
      </x:c>
      <x:c r="G1292" s="78" t="n">
        <x:f>F1292*'Inputs'!$F$47</x:f>
        <x:v>328115.14824544895</x:v>
      </x:c>
      <x:c r="H1292" s="78" t="n">
        <x:f>U1291</x:f>
        <x:v>2163520.1311439886</x:v>
      </x:c>
      <x:c r="I1292" s="78" t="n">
        <x:f>V1291</x:f>
        <x:v>28413.097344425878</x:v>
      </x:c>
      <x:c r="J1292" s="79" t="n">
        <x:f>IF(H1292&gt;0,I1292/H1292,0)</x:f>
        <x:v>0.013132809320984729</x:v>
      </x:c>
      <x:c r="K1292" s="80" t="n">
        <x:f>(H1292*J1292+I1292)*'Inputs'!$D$47*(1+'Inputs'!$G$47)^(B1292/30)</x:f>
        <x:v>103193.86697953774</x:v>
      </x:c>
      <x:c r="L1292" s="80" t="n">
        <x:f>MAX(0,K1292*'Inputs'!$E$47)</x:f>
        <x:v>5159.693348976887</x:v>
      </x:c>
      <x:c r="M1292" s="80" t="n">
        <x:f>MAX(0,-K1292*'Inputs'!$E$47)</x:f>
        <x:v>0</x:v>
      </x:c>
      <x:c r="N1292" s="78" t="n">
        <x:f>H1292*(L1292*(1-'Inputs'!$B$15))/(I1292+L1292*(1-'Inputs'!$B$15))</x:f>
        <x:v>329686.0340322054</x:v>
      </x:c>
      <x:c r="O1292" s="78" t="n">
        <x:f>H1292-N1292</x:f>
        <x:v>1833834.0971117832</x:v>
      </x:c>
      <x:c r="P1292" s="78" t="n">
        <x:f>I1292+L1292*(1-'Inputs'!$B$17)</x:f>
        <x:v>33552.02733988575</x:v>
      </x:c>
      <x:c r="Q1292" s="78" t="n">
        <x:f>IF(J1292&gt;0,M1292/J1292,0)</x:f>
        <x:v>0</x:v>
      </x:c>
      <x:c r="R1292" s="78" t="n">
        <x:f>IF(B1292='Inputs'!$H$47,'Inputs'!$B$27*'Inputs'!$I$47,0)</x:f>
        <x:v>0</x:v>
      </x:c>
      <x:c r="S1292" s="78" t="n">
        <x:f>Q1292+G1292+R1292</x:f>
        <x:v>328115.14824544895</x:v>
      </x:c>
      <x:c r="T1292" s="78" t="n">
        <x:f>P1292*(S1292*(1-'Inputs'!$B$15))/(O1292+S1292*(1-'Inputs'!$B$15))</x:f>
        <x:v>5048.872112967164</x:v>
      </x:c>
      <x:c r="U1292" s="78" t="n">
        <x:f>O1292+S1292*(1-'Inputs'!$B$17)</x:f>
        <x:v>2160628.8624669085</x:v>
      </x:c>
      <x:c r="V1292" s="78" t="n">
        <x:f>P1292-T1292</x:f>
        <x:v>28503.15522691859</x:v>
      </x:c>
      <x:c r="W1292" s="79" t="n">
        <x:f>IF(U1292&gt;0,V1292/U1292,0)</x:f>
        <x:v>0.01319206445959209</x:v>
      </x:c>
      <x:c r="X1292" s="80" t="n">
        <x:f>W1292*('Inputs'!$B$6-AC1292)</x:f>
        <x:v>13151266.372796284</x:v>
      </x:c>
      <x:c r="Y1292" s="80" t="n">
        <x:f>2*V1292</x:f>
        <x:v>57006.31045383718</x:v>
      </x:c>
      <x:c r="Z1292" s="80" t="n">
        <x:f>K1292*'Inputs'!$B$16+(G1292+R1292)*J1292*'Inputs'!$B$16</x:f>
        <x:v>645.0176439406312</x:v>
      </x:c>
      <x:c r="AA1292" s="80" t="n">
        <x:f>K1292*(1+'Inputs'!$E$47)/2*'Inputs'!$B$17</x:f>
        <x:v>218.01521192860088</x:v>
      </x:c>
      <x:c r="AB1292" s="78" t="n">
        <x:f>(IF(J1292&gt;0,K1292*(1-'Inputs'!$E$47)/2/J1292,0)+G1292+R1292)*'Inputs'!$B$17</x:f>
        <x:v>16340.159207063929</x:v>
      </x:c>
      <x:c r="AC1292" s="78" t="n">
        <x:f>AC1291+AB1292</x:f>
        <x:v>3092623.3661738643</x:v>
      </x:c>
      <x:c r="AD1292" s="80" t="n">
        <x:f>Z1292/(1+'Inputs'!$C$47)</x:f>
        <x:v>258.00705757625246</x:v>
      </x:c>
      <x:c r="AE1292" s="80" t="n">
        <x:f>Z1292-AD1292</x:f>
        <x:v>387.0105863643787</x:v>
      </x:c>
      <x:c r="AF1292" s="80" t="n">
        <x:f>D1292*W1292</x:f>
        <x:v>3669.7190551661047</x:v>
      </x:c>
      <x:c r="AG1292" s="80" t="n">
        <x:f>C1292*W1292</x:f>
        <x:v>8562.677795387315</x:v>
      </x:c>
      <x:c r="AH1292" s="80" t="n">
        <x:f>2*'Inputs'!$B$8*'Inputs'!$C$47</x:f>
        <x:v>7500</x:v>
      </x:c>
      <x:c r="AI1292" s="81" t="n">
        <x:f>IF(AH1292&gt;0,(AE1292+AF1292)/AH1292*365,0)</x:f>
        <x:v>197.4275092211502</x:v>
      </x:c>
      <x:c r="AJ1292" s="81" t="n">
        <x:f>IF('Inputs'!$B$47&gt;0,AG1292/('Inputs'!$B$19*'Inputs'!$B$47)*365,0)</x:f>
        <x:v>312.53773953163704</x:v>
      </x:c>
      <x:c r="AK1292" s="81" t="n">
        <x:f>W1292/MAX($W$1099:W1292)-1</x:f>
        <x:v>-0.40467906691396793</x:v>
      </x:c>
      <x:c r="AL1292" s="83" t="n">
        <x:f>'Inputs'!$B$47</x:f>
        <x:v>1</x:v>
      </x:c>
      <x:c r="AM1292" s="83" t="n">
        <x:f>'Inputs'!$C$47</x:f>
        <x:v>1.5</x:v>
      </x:c>
      <x:c r="AN1292" s="83" t="n">
        <x:f>'Inputs'!$D$47</x:f>
        <x:v>1.5</x:v>
      </x:c>
      <x:c r="AO1292" s="81" t="n">
        <x:f>'Inputs'!$E$47</x:f>
        <x:v>0.05</x:v>
      </x:c>
    </x:row>
    <x:row r="1293">
      <x:c r="A1293" s="59" t="str">
        <x:v>Growth</x:v>
      </x:c>
      <x:c r="B1293" s="59" t="n">
        <x:v>195</x:v>
      </x:c>
      <x:c r="C1293" s="78" t="n">
        <x:f>(('Inputs'!$B$29*(3*195*'Inputs'!$B$12-195^2)/(2*'Inputs'!$B$12^2))-('Inputs'!$B$29*(3*194*'Inputs'!$B$12-194^2)/(2*'Inputs'!$B$12^2)))*'Inputs'!$B$47</x:f>
        <x:v>648752.8147870153</x:v>
      </x:c>
      <x:c r="D1293" s="78" t="n">
        <x:f>IF('Inputs'!$C$47&gt;0,('Inputs'!$B$30*(3*195*'Inputs'!$B$12-195^2)/(2*'Inputs'!$B$12^2))-('Inputs'!$B$30*(3*194*'Inputs'!$B$12-194^2)/(2*'Inputs'!$B$12^2)),0)</x:f>
        <x:v>278036.92062300444</x:v>
      </x:c>
      <x:c r="E1293" s="78" t="n">
        <x:f>C1293+D1293</x:f>
        <x:v>926789.7354100198</x:v>
      </x:c>
      <x:c r="F1293" s="78" t="n">
        <x:f>'Inputs'!$B$13*E1293+(1-'Inputs'!$B$13)/'Inputs'!$B$14*SUM(E1238:E1293)</x:f>
        <x:v>937007.4122724712</x:v>
      </x:c>
      <x:c r="G1293" s="78" t="n">
        <x:f>F1293*'Inputs'!$F$47</x:f>
        <x:v>327952.5942953649</x:v>
      </x:c>
      <x:c r="H1293" s="78" t="n">
        <x:f>U1292</x:f>
        <x:v>2160628.8624669085</x:v>
      </x:c>
      <x:c r="I1293" s="78" t="n">
        <x:f>V1292</x:f>
        <x:v>28503.15522691859</x:v>
      </x:c>
      <x:c r="J1293" s="79" t="n">
        <x:f>IF(H1293&gt;0,I1293/H1293,0)</x:f>
        <x:v>0.01319206445959209</x:v>
      </x:c>
      <x:c r="K1293" s="80" t="n">
        <x:f>(H1293*J1293+I1293)*'Inputs'!$D$47*(1+'Inputs'!$G$47)^(B1293/30)</x:f>
        <x:v>103622.99805126627</x:v>
      </x:c>
      <x:c r="L1293" s="80" t="n">
        <x:f>MAX(0,K1293*'Inputs'!$E$47)</x:f>
        <x:v>5181.149902563314</x:v>
      </x:c>
      <x:c r="M1293" s="80" t="n">
        <x:f>MAX(0,-K1293*'Inputs'!$E$47)</x:f>
        <x:v>0</x:v>
      </x:c>
      <x:c r="N1293" s="78" t="n">
        <x:f>H1293*(L1293*(1-'Inputs'!$B$15))/(I1293+L1293*(1-'Inputs'!$B$15))</x:f>
        <x:v>329520.51435185526</x:v>
      </x:c>
      <x:c r="O1293" s="78" t="n">
        <x:f>H1293-N1293</x:f>
        <x:v>1831108.3481150533</x:v>
      </x:c>
      <x:c r="P1293" s="78" t="n">
        <x:f>I1293+L1293*(1-'Inputs'!$B$17)</x:f>
        <x:v>33663.455431684866</x:v>
      </x:c>
      <x:c r="Q1293" s="78" t="n">
        <x:f>IF(J1293&gt;0,M1293/J1293,0)</x:f>
        <x:v>0</x:v>
      </x:c>
      <x:c r="R1293" s="78" t="n">
        <x:f>IF(B1293='Inputs'!$H$47,'Inputs'!$B$27*'Inputs'!$I$47,0)</x:f>
        <x:v>0</x:v>
      </x:c>
      <x:c r="S1293" s="78" t="n">
        <x:f>Q1293+G1293+R1293</x:f>
        <x:v>327952.5942953649</x:v>
      </x:c>
      <x:c r="T1293" s="78" t="n">
        <x:f>P1293*(S1293*(1-'Inputs'!$B$15))/(O1293+S1293*(1-'Inputs'!$B$15))</x:f>
        <x:v>5069.909816858616</x:v>
      </x:c>
      <x:c r="U1293" s="78" t="n">
        <x:f>O1293+S1293*(1-'Inputs'!$B$17)</x:f>
        <x:v>2157741.2136607384</x:v>
      </x:c>
      <x:c r="V1293" s="78" t="n">
        <x:f>P1293-T1293</x:f>
        <x:v>28593.54561482625</x:v>
      </x:c>
      <x:c r="W1293" s="79" t="n">
        <x:f>IF(U1293&gt;0,V1293/U1293,0)</x:f>
        <x:v>0.013251610264381784</x:v>
      </x:c>
      <x:c r="X1293" s="80" t="n">
        <x:f>W1293*('Inputs'!$B$6-AC1293)</x:f>
        <x:v>13210411.570128677</x:v>
      </x:c>
      <x:c r="Y1293" s="80" t="n">
        <x:f>2*V1293</x:f>
        <x:v>57187.0912296525</x:v>
      </x:c>
      <x:c r="Z1293" s="80" t="n">
        <x:f>K1293*'Inputs'!$B$16+(G1293+R1293)*J1293*'Inputs'!$B$16</x:f>
        <x:v>647.6962188894071</x:v>
      </x:c>
      <x:c r="AA1293" s="80" t="n">
        <x:f>K1293*(1+'Inputs'!$E$47)/2*'Inputs'!$B$17</x:f>
        <x:v>218.92182686887244</x:v>
      </x:c>
      <x:c r="AB1293" s="78" t="n">
        <x:f>(IF(J1293&gt;0,K1293*(1-'Inputs'!$E$47)/2/J1293,0)+G1293+R1293)*'Inputs'!$B$17</x:f>
        <x:v>16334.21944433473</x:v>
      </x:c>
      <x:c r="AC1293" s="78" t="n">
        <x:f>AC1292+AB1293</x:f>
        <x:v>3108957.585618199</x:v>
      </x:c>
      <x:c r="AD1293" s="80" t="n">
        <x:f>Z1293/(1+'Inputs'!$C$47)</x:f>
        <x:v>259.0784875557628</x:v>
      </x:c>
      <x:c r="AE1293" s="80" t="n">
        <x:f>Z1293-AD1293</x:f>
        <x:v>388.61773133364426</x:v>
      </x:c>
      <x:c r="AF1293" s="80" t="n">
        <x:f>D1293*W1293</x:f>
        <x:v>3684.436911204909</x:v>
      </x:c>
      <x:c r="AG1293" s="80" t="n">
        <x:f>C1293*W1293</x:f>
        <x:v>8597.019459478186</x:v>
      </x:c>
      <x:c r="AH1293" s="80" t="n">
        <x:f>2*'Inputs'!$B$8*'Inputs'!$C$47</x:f>
        <x:v>7500</x:v>
      </x:c>
      <x:c r="AI1293" s="81" t="n">
        <x:f>IF(AH1293&gt;0,(AE1293+AF1293)/AH1293*365,0)</x:f>
        <x:v>198.22199260354293</x:v>
      </x:c>
      <x:c r="AJ1293" s="81" t="n">
        <x:f>IF('Inputs'!$B$47&gt;0,AG1293/('Inputs'!$B$19*'Inputs'!$B$47)*365,0)</x:f>
        <x:v>313.7912102709538</x:v>
      </x:c>
      <x:c r="AK1293" s="81" t="n">
        <x:f>W1293/MAX($W$1099:W1293)-1</x:f>
        <x:v>-0.40199193146391454</x:v>
      </x:c>
      <x:c r="AL1293" s="83" t="n">
        <x:f>'Inputs'!$B$47</x:f>
        <x:v>1</x:v>
      </x:c>
      <x:c r="AM1293" s="83" t="n">
        <x:f>'Inputs'!$C$47</x:f>
        <x:v>1.5</x:v>
      </x:c>
      <x:c r="AN1293" s="83" t="n">
        <x:f>'Inputs'!$D$47</x:f>
        <x:v>1.5</x:v>
      </x:c>
      <x:c r="AO1293" s="81" t="n">
        <x:f>'Inputs'!$E$47</x:f>
        <x:v>0.05</x:v>
      </x:c>
    </x:row>
    <x:row r="1294">
      <x:c r="A1294" s="59" t="str">
        <x:v>Growth</x:v>
      </x:c>
      <x:c r="B1294" s="59" t="n">
        <x:v>196</x:v>
      </x:c>
      <x:c r="C1294" s="78" t="n">
        <x:f>(('Inputs'!$B$29*(3*196*'Inputs'!$B$12-196^2)/(2*'Inputs'!$B$12^2))-('Inputs'!$B$29*(3*195*'Inputs'!$B$12-195^2)/(2*'Inputs'!$B$12^2)))*'Inputs'!$B$47</x:f>
        <x:v>648427.7068868428</x:v>
      </x:c>
      <x:c r="D1294" s="78" t="n">
        <x:f>IF('Inputs'!$C$47&gt;0,('Inputs'!$B$30*(3*196*'Inputs'!$B$12-196^2)/(2*'Inputs'!$B$12^2))-('Inputs'!$B$30*(3*195*'Inputs'!$B$12-195^2)/(2*'Inputs'!$B$12^2)),0)</x:f>
        <x:v>277897.58866579086</x:v>
      </x:c>
      <x:c r="E1294" s="78" t="n">
        <x:f>C1294+D1294</x:f>
        <x:v>926325.2955526337</x:v>
      </x:c>
      <x:c r="F1294" s="78" t="n">
        <x:f>'Inputs'!$B$13*E1294+(1-'Inputs'!$B$13)/'Inputs'!$B$14*SUM(E1239:E1294)</x:f>
        <x:v>936542.9724150866</x:v>
      </x:c>
      <x:c r="G1294" s="78" t="n">
        <x:f>F1294*'Inputs'!$F$47</x:f>
        <x:v>327790.04034528026</x:v>
      </x:c>
      <x:c r="H1294" s="78" t="n">
        <x:f>U1293</x:f>
        <x:v>2157741.2136607384</x:v>
      </x:c>
      <x:c r="I1294" s="78" t="n">
        <x:f>V1293</x:f>
        <x:v>28593.54561482625</x:v>
      </x:c>
      <x:c r="J1294" s="79" t="n">
        <x:f>IF(H1294&gt;0,I1294/H1294,0)</x:f>
        <x:v>0.013251610264381784</x:v>
      </x:c>
      <x:c r="K1294" s="80" t="n">
        <x:f>(H1294*J1294+I1294)*'Inputs'!$D$47*(1+'Inputs'!$G$47)^(B1294/30)</x:f>
        <x:v>104054.08491254284</x:v>
      </x:c>
      <x:c r="L1294" s="80" t="n">
        <x:f>MAX(0,K1294*'Inputs'!$E$47)</x:f>
        <x:v>5202.704245627142</x:v>
      </x:c>
      <x:c r="M1294" s="80" t="n">
        <x:f>MAX(0,-K1294*'Inputs'!$E$47)</x:f>
        <x:v>0</x:v>
      </x:c>
      <x:c r="N1294" s="78" t="n">
        <x:f>H1294*(L1294*(1-'Inputs'!$B$15))/(I1294+L1294*(1-'Inputs'!$B$15))</x:f>
        <x:v>329354.99920944014</x:v>
      </x:c>
      <x:c r="O1294" s="78" t="n">
        <x:f>H1294-N1294</x:f>
        <x:v>1828386.2144512984</x:v>
      </x:c>
      <x:c r="P1294" s="78" t="n">
        <x:f>I1294+L1294*(1-'Inputs'!$B$17)</x:f>
        <x:v>33775.313424857304</x:v>
      </x:c>
      <x:c r="Q1294" s="78" t="n">
        <x:f>IF(J1294&gt;0,M1294/J1294,0)</x:f>
        <x:v>0</x:v>
      </x:c>
      <x:c r="R1294" s="78" t="n">
        <x:f>IF(B1294='Inputs'!$H$47,'Inputs'!$B$27*'Inputs'!$I$47,0)</x:f>
        <x:v>0</x:v>
      </x:c>
      <x:c r="S1294" s="78" t="n">
        <x:f>Q1294+G1294+R1294</x:f>
        <x:v>327790.04034528026</x:v>
      </x:c>
      <x:c r="T1294" s="78" t="n">
        <x:f>P1294*(S1294*(1-'Inputs'!$B$15))/(O1294+S1294*(1-'Inputs'!$B$15))</x:f>
        <x:v>5091.043529454506</x:v>
      </x:c>
      <x:c r="U1294" s="78" t="n">
        <x:f>O1294+S1294*(1-'Inputs'!$B$17)</x:f>
        <x:v>2154857.1801875434</x:v>
      </x:c>
      <x:c r="V1294" s="78" t="n">
        <x:f>P1294-T1294</x:f>
        <x:v>28684.2698954028</x:v>
      </x:c>
      <x:c r="W1294" s="79" t="n">
        <x:f>IF(U1294&gt;0,V1294/U1294,0)</x:f>
        <x:v>0.013311448275614406</x:v>
      </x:c>
      <x:c r="X1294" s="80" t="n">
        <x:f>W1294*('Inputs'!$B$6-AC1294)</x:f>
        <x:v>13269846.194469787</x:v>
      </x:c>
      <x:c r="Y1294" s="80" t="n">
        <x:f>2*V1294</x:f>
        <x:v>57368.5397908056</x:v>
      </x:c>
      <x:c r="Z1294" s="80" t="n">
        <x:f>K1294*'Inputs'!$B$16+(G1294+R1294)*J1294*'Inputs'!$B$16</x:f>
        <x:v>650.3869846544669</x:v>
      </x:c>
      <x:c r="AA1294" s="80" t="n">
        <x:f>K1294*(1+'Inputs'!$E$47)/2*'Inputs'!$B$17</x:f>
        <x:v>219.83257375889335</x:v>
      </x:c>
      <x:c r="AB1294" s="78" t="n">
        <x:f>(IF(J1294&gt;0,K1294*(1-'Inputs'!$E$47)/2/J1294,0)+G1294+R1294)*'Inputs'!$B$17</x:f>
        <x:v>16328.279844825383</x:v>
      </x:c>
      <x:c r="AC1294" s="78" t="n">
        <x:f>AC1293+AB1294</x:f>
        <x:v>3125285.865463024</x:v>
      </x:c>
      <x:c r="AD1294" s="80" t="n">
        <x:f>Z1294/(1+'Inputs'!$C$47)</x:f>
        <x:v>260.15479386178674</x:v>
      </x:c>
      <x:c r="AE1294" s="80" t="n">
        <x:f>Z1294-AD1294</x:f>
        <x:v>390.23219079268017</x:v>
      </x:c>
      <x:c r="AF1294" s="80" t="n">
        <x:f>D1294*W1294</x:f>
        <x:v>3699.2193774426432</x:v>
      </x:c>
      <x:c r="AG1294" s="80" t="n">
        <x:f>C1294*W1294</x:f>
        <x:v>8631.511880699469</x:v>
      </x:c>
      <x:c r="AH1294" s="80" t="n">
        <x:f>2*'Inputs'!$B$8*'Inputs'!$C$47</x:f>
        <x:v>7500</x:v>
      </x:c>
      <x:c r="AI1294" s="81" t="n">
        <x:f>IF(AH1294&gt;0,(AE1294+AF1294)/AH1294*365,0)</x:f>
        <x:v>199.01997632078576</x:v>
      </x:c>
      <x:c r="AJ1294" s="81" t="n">
        <x:f>IF('Inputs'!$B$47&gt;0,AG1294/('Inputs'!$B$19*'Inputs'!$B$47)*365,0)</x:f>
        <x:v>315.0501836455306</x:v>
      </x:c>
      <x:c r="AK1294" s="81" t="n">
        <x:f>W1294/MAX($W$1099:W1294)-1</x:f>
        <x:v>-0.3992916095552299</x:v>
      </x:c>
      <x:c r="AL1294" s="83" t="n">
        <x:f>'Inputs'!$B$47</x:f>
        <x:v>1</x:v>
      </x:c>
      <x:c r="AM1294" s="83" t="n">
        <x:f>'Inputs'!$C$47</x:f>
        <x:v>1.5</x:v>
      </x:c>
      <x:c r="AN1294" s="83" t="n">
        <x:f>'Inputs'!$D$47</x:f>
        <x:v>1.5</x:v>
      </x:c>
      <x:c r="AO1294" s="81" t="n">
        <x:f>'Inputs'!$E$47</x:f>
        <x:v>0.05</x:v>
      </x:c>
    </x:row>
    <x:row r="1295">
      <x:c r="A1295" s="59" t="str">
        <x:v>Growth</x:v>
      </x:c>
      <x:c r="B1295" s="59" t="n">
        <x:v>197</x:v>
      </x:c>
      <x:c r="C1295" s="78" t="n">
        <x:f>(('Inputs'!$B$29*(3*197*'Inputs'!$B$12-197^2)/(2*'Inputs'!$B$12^2))-('Inputs'!$B$29*(3*196*'Inputs'!$B$12-196^2)/(2*'Inputs'!$B$12^2)))*'Inputs'!$B$47</x:f>
        <x:v>648102.5989866853</x:v>
      </x:c>
      <x:c r="D1295" s="78" t="n">
        <x:f>IF('Inputs'!$C$47&gt;0,('Inputs'!$B$30*(3*197*'Inputs'!$B$12-197^2)/(2*'Inputs'!$B$12^2))-('Inputs'!$B$30*(3*196*'Inputs'!$B$12-196^2)/(2*'Inputs'!$B$12^2)),0)</x:f>
        <x:v>277758.2567085773</x:v>
      </x:c>
      <x:c r="E1295" s="78" t="n">
        <x:f>C1295+D1295</x:f>
        <x:v>925860.8556952626</x:v>
      </x:c>
      <x:c r="F1295" s="78" t="n">
        <x:f>'Inputs'!$B$13*E1295+(1-'Inputs'!$B$13)/'Inputs'!$B$14*SUM(E1240:E1295)</x:f>
        <x:v>936078.5325577052</x:v>
      </x:c>
      <x:c r="G1295" s="78" t="n">
        <x:f>F1295*'Inputs'!$F$47</x:f>
        <x:v>327627.4863951968</x:v>
      </x:c>
      <x:c r="H1295" s="78" t="n">
        <x:f>U1294</x:f>
        <x:v>2154857.1801875434</x:v>
      </x:c>
      <x:c r="I1295" s="78" t="n">
        <x:f>V1294</x:f>
        <x:v>28684.2698954028</x:v>
      </x:c>
      <x:c r="J1295" s="79" t="n">
        <x:f>IF(H1295&gt;0,I1295/H1295,0)</x:f>
        <x:v>0.013311448275614406</x:v>
      </x:c>
      <x:c r="K1295" s="80" t="n">
        <x:f>(H1295*J1295+I1295)*'Inputs'!$D$47*(1+'Inputs'!$G$47)^(B1295/30)</x:f>
        <x:v>104487.13724841122</x:v>
      </x:c>
      <x:c r="L1295" s="80" t="n">
        <x:f>MAX(0,K1295*'Inputs'!$E$47)</x:f>
        <x:v>5224.356862420562</x:v>
      </x:c>
      <x:c r="M1295" s="80" t="n">
        <x:f>MAX(0,-K1295*'Inputs'!$E$47)</x:f>
        <x:v>0</x:v>
      </x:c>
      <x:c r="N1295" s="78" t="n">
        <x:f>H1295*(L1295*(1-'Inputs'!$B$15))/(I1295+L1295*(1-'Inputs'!$B$15))</x:f>
        <x:v>329189.4885994806</x:v>
      </x:c>
      <x:c r="O1295" s="78" t="n">
        <x:f>H1295-N1295</x:f>
        <x:v>1825667.6915880628</x:v>
      </x:c>
      <x:c r="P1295" s="78" t="n">
        <x:f>I1295+L1295*(1-'Inputs'!$B$17)</x:f>
        <x:v>33887.6031889605</x:v>
      </x:c>
      <x:c r="Q1295" s="78" t="n">
        <x:f>IF(J1295&gt;0,M1295/J1295,0)</x:f>
        <x:v>0</x:v>
      </x:c>
      <x:c r="R1295" s="78" t="n">
        <x:f>IF(B1295='Inputs'!$H$47,'Inputs'!$B$27*'Inputs'!$I$47,0)</x:f>
        <x:v>0</x:v>
      </x:c>
      <x:c r="S1295" s="78" t="n">
        <x:f>Q1295+G1295+R1295</x:f>
        <x:v>327627.4863951968</x:v>
      </x:c>
      <x:c r="T1295" s="78" t="n">
        <x:f>P1295*(S1295*(1-'Inputs'!$B$15))/(O1295+S1295*(1-'Inputs'!$B$15))</x:f>
        <x:v>5112.273726655455</x:v>
      </x:c>
      <x:c r="U1295" s="78" t="n">
        <x:f>O1295+S1295*(1-'Inputs'!$B$17)</x:f>
        <x:v>2151976.7575148684</x:v>
      </x:c>
      <x:c r="V1295" s="78" t="n">
        <x:f>P1295-T1295</x:f>
        <x:v>28775.329462305046</x:v>
      </x:c>
      <x:c r="W1295" s="79" t="n">
        <x:f>IF(U1295&gt;0,V1295/U1295,0)</x:f>
        <x:v>0.013371580042311973</x:v>
      </x:c>
      <x:c r="X1295" s="80" t="n">
        <x:f>W1295*('Inputs'!$B$6-AC1295)</x:f>
        <x:v>13329571.776725594</x:v>
      </x:c>
      <x:c r="Y1295" s="80" t="n">
        <x:f>2*V1295</x:f>
        <x:v>57550.65892461009</x:v>
      </x:c>
      <x:c r="Z1295" s="80" t="n">
        <x:f>K1295*'Inputs'!$B$16+(G1295+R1295)*J1295*'Inputs'!$B$16</x:f>
        <x:v>653.0900015233826</x:v>
      </x:c>
      <x:c r="AA1295" s="80" t="n">
        <x:f>K1295*(1+'Inputs'!$E$47)/2*'Inputs'!$B$17</x:f>
        <x:v>220.74747306002374</x:v>
      </x:c>
      <x:c r="AB1295" s="78" t="n">
        <x:f>(IF(J1295&gt;0,K1295*(1-'Inputs'!$E$47)/2/J1295,0)+G1295+R1295)*'Inputs'!$B$17</x:f>
        <x:v>16322.340407218813</x:v>
      </x:c>
      <x:c r="AC1295" s="78" t="n">
        <x:f>AC1294+AB1295</x:f>
        <x:v>3141608.205870243</x:v>
      </x:c>
      <x:c r="AD1295" s="80" t="n">
        <x:f>Z1295/(1+'Inputs'!$C$47)</x:f>
        <x:v>261.236000609353</x:v>
      </x:c>
      <x:c r="AE1295" s="80" t="n">
        <x:f>Z1295-AD1295</x:f>
        <x:v>391.8540009140296</x:v>
      </x:c>
      <x:c r="AF1295" s="80" t="n">
        <x:f>D1295*W1295</x:f>
        <x:v>3714.0667619917776</x:v>
      </x:c>
      <x:c r="AG1295" s="80" t="n">
        <x:f>C1295*W1295</x:f>
        <x:v>8666.15577798088</x:v>
      </x:c>
      <x:c r="AH1295" s="80" t="n">
        <x:f>2*'Inputs'!$B$8*'Inputs'!$C$47</x:f>
        <x:v>7500</x:v>
      </x:c>
      <x:c r="AI1295" s="81" t="n">
        <x:f>IF(AH1295&gt;0,(AE1295+AF1295)/AH1295*365,0)</x:f>
        <x:v>199.82147712808262</x:v>
      </x:c>
      <x:c r="AJ1295" s="81" t="n">
        <x:f>IF('Inputs'!$B$47&gt;0,AG1295/('Inputs'!$B$19*'Inputs'!$B$47)*365,0)</x:f>
        <x:v>316.31468589630214</x:v>
      </x:c>
      <x:c r="AK1295" s="81" t="n">
        <x:f>W1295/MAX($W$1099:W1295)-1</x:f>
        <x:v>-0.39657803128488744</x:v>
      </x:c>
      <x:c r="AL1295" s="83" t="n">
        <x:f>'Inputs'!$B$47</x:f>
        <x:v>1</x:v>
      </x:c>
      <x:c r="AM1295" s="83" t="n">
        <x:f>'Inputs'!$C$47</x:f>
        <x:v>1.5</x:v>
      </x:c>
      <x:c r="AN1295" s="83" t="n">
        <x:f>'Inputs'!$D$47</x:f>
        <x:v>1.5</x:v>
      </x:c>
      <x:c r="AO1295" s="81" t="n">
        <x:f>'Inputs'!$E$47</x:f>
        <x:v>0.05</x:v>
      </x:c>
    </x:row>
    <x:row r="1296">
      <x:c r="A1296" s="59" t="str">
        <x:v>Growth</x:v>
      </x:c>
      <x:c r="B1296" s="59" t="n">
        <x:v>198</x:v>
      </x:c>
      <x:c r="C1296" s="78" t="n">
        <x:f>(('Inputs'!$B$29*(3*198*'Inputs'!$B$12-198^2)/(2*'Inputs'!$B$12^2))-('Inputs'!$B$29*(3*197*'Inputs'!$B$12-197^2)/(2*'Inputs'!$B$12^2)))*'Inputs'!$B$47</x:f>
        <x:v>647777.4910865128</x:v>
      </x:c>
      <x:c r="D1296" s="78" t="n">
        <x:f>IF('Inputs'!$C$47&gt;0,('Inputs'!$B$30*(3*198*'Inputs'!$B$12-198^2)/(2*'Inputs'!$B$12^2))-('Inputs'!$B$30*(3*197*'Inputs'!$B$12-197^2)/(2*'Inputs'!$B$12^2)),0)</x:f>
        <x:v>277618.92475135624</x:v>
      </x:c>
      <x:c r="E1296" s="78" t="n">
        <x:f>C1296+D1296</x:f>
        <x:v>925396.415837869</x:v>
      </x:c>
      <x:c r="F1296" s="78" t="n">
        <x:f>'Inputs'!$B$13*E1296+(1-'Inputs'!$B$13)/'Inputs'!$B$14*SUM(E1241:E1296)</x:f>
        <x:v>935614.0927003194</x:v>
      </x:c>
      <x:c r="G1296" s="78" t="n">
        <x:f>F1296*'Inputs'!$F$47</x:f>
        <x:v>327464.93244511174</x:v>
      </x:c>
      <x:c r="H1296" s="78" t="n">
        <x:f>U1295</x:f>
        <x:v>2151976.7575148684</x:v>
      </x:c>
      <x:c r="I1296" s="78" t="n">
        <x:f>V1295</x:f>
        <x:v>28775.329462305046</x:v>
      </x:c>
      <x:c r="J1296" s="79" t="n">
        <x:f>IF(H1296&gt;0,I1296/H1296,0)</x:f>
        <x:v>0.013371580042311973</x:v>
      </x:c>
      <x:c r="K1296" s="80" t="n">
        <x:f>(H1296*J1296+I1296)*'Inputs'!$D$47*(1+'Inputs'!$G$47)^(B1296/30)</x:f>
        <x:v>104922.16479559446</x:v>
      </x:c>
      <x:c r="L1296" s="80" t="n">
        <x:f>MAX(0,K1296*'Inputs'!$E$47)</x:f>
        <x:v>5246.108239779724</x:v>
      </x:c>
      <x:c r="M1296" s="80" t="n">
        <x:f>MAX(0,-K1296*'Inputs'!$E$47)</x:f>
        <x:v>0</x:v>
      </x:c>
      <x:c r="N1296" s="78" t="n">
        <x:f>H1296*(L1296*(1-'Inputs'!$B$15))/(I1296+L1296*(1-'Inputs'!$B$15))</x:f>
        <x:v>329023.9825164937</x:v>
      </x:c>
      <x:c r="O1296" s="78" t="n">
        <x:f>H1296-N1296</x:f>
        <x:v>1822952.7749983747</x:v>
      </x:c>
      <x:c r="P1296" s="78" t="n">
        <x:f>I1296+L1296*(1-'Inputs'!$B$17)</x:f>
        <x:v>34000.32660252831</x:v>
      </x:c>
      <x:c r="Q1296" s="78" t="n">
        <x:f>IF(J1296&gt;0,M1296/J1296,0)</x:f>
        <x:v>0</x:v>
      </x:c>
      <x:c r="R1296" s="78" t="n">
        <x:f>IF(B1296='Inputs'!$H$47,'Inputs'!$B$27*'Inputs'!$I$47,0)</x:f>
        <x:v>0</x:v>
      </x:c>
      <x:c r="S1296" s="78" t="n">
        <x:f>Q1296+G1296+R1296</x:f>
        <x:v>327464.93244511174</x:v>
      </x:c>
      <x:c r="T1296" s="78" t="n">
        <x:f>P1296*(S1296*(1-'Inputs'!$B$15))/(O1296+S1296*(1-'Inputs'!$B$15))</x:f>
        <x:v>5133.600886903504</x:v>
      </x:c>
      <x:c r="U1296" s="78" t="n">
        <x:f>O1296+S1296*(1-'Inputs'!$B$17)</x:f>
        <x:v>2149099.9411157398</x:v>
      </x:c>
      <x:c r="V1296" s="78" t="n">
        <x:f>P1296-T1296</x:f>
        <x:v>28866.725715624805</x:v>
      </x:c>
      <x:c r="W1296" s="79" t="n">
        <x:f>IF(U1296&gt;0,V1296/U1296,0)</x:f>
        <x:v>0.013432007122311018</x:v>
      </x:c>
      <x:c r="X1296" s="80" t="n">
        <x:f>W1296*('Inputs'!$B$6-AC1296)</x:f>
        <x:v>13389589.856498066</x:v>
      </x:c>
      <x:c r="Y1296" s="80" t="n">
        <x:f>2*V1296</x:f>
        <x:v>57733.45143124961</x:v>
      </x:c>
      <x:c r="Z1296" s="80" t="n">
        <x:f>K1296*'Inputs'!$B$16+(G1296+R1296)*J1296*'Inputs'!$B$16</x:f>
        <x:v>655.8053301050073</x:v>
      </x:c>
      <x:c r="AA1296" s="80" t="n">
        <x:f>K1296*(1+'Inputs'!$E$47)/2*'Inputs'!$B$17</x:f>
        <x:v>221.66654534280525</x:v>
      </x:c>
      <x:c r="AB1296" s="78" t="n">
        <x:f>(IF(J1296&gt;0,K1296*(1-'Inputs'!$E$47)/2/J1296,0)+G1296+R1296)*'Inputs'!$B$17</x:f>
        <x:v>16316.401130195536</x:v>
      </x:c>
      <x:c r="AC1296" s="78" t="n">
        <x:f>AC1295+AB1296</x:f>
        <x:v>3157924.6070004385</x:v>
      </x:c>
      <x:c r="AD1296" s="80" t="n">
        <x:f>Z1296/(1+'Inputs'!$C$47)</x:f>
        <x:v>262.3221320420029</x:v>
      </x:c>
      <x:c r="AE1296" s="80" t="n">
        <x:f>Z1296-AD1296</x:f>
        <x:v>393.4831980630044</x:v>
      </x:c>
      <x:c r="AF1296" s="80" t="n">
        <x:f>D1296*W1296</x:f>
        <x:v>3728.9793745485435</x:v>
      </x:c>
      <x:c r="AG1296" s="80" t="n">
        <x:f>C1296*W1296</x:f>
        <x:v>8700.951873946802</x:v>
      </x:c>
      <x:c r="AH1296" s="80" t="n">
        <x:f>2*'Inputs'!$B$8*'Inputs'!$C$47</x:f>
        <x:v>7500</x:v>
      </x:c>
      <x:c r="AI1296" s="81" t="n">
        <x:f>IF(AH1296&gt;0,(AE1296+AF1296)/AH1296*365,0)</x:f>
        <x:v>200.62651186709533</x:v>
      </x:c>
      <x:c r="AJ1296" s="81" t="n">
        <x:f>IF('Inputs'!$B$47&gt;0,AG1296/('Inputs'!$B$19*'Inputs'!$B$47)*365,0)</x:f>
        <x:v>317.58474339905825</x:v>
      </x:c>
      <x:c r="AK1296" s="81" t="n">
        <x:f>W1296/MAX($W$1099:W1296)-1</x:f>
        <x:v>-0.39385112635208597</x:v>
      </x:c>
      <x:c r="AL1296" s="83" t="n">
        <x:f>'Inputs'!$B$47</x:f>
        <x:v>1</x:v>
      </x:c>
      <x:c r="AM1296" s="83" t="n">
        <x:f>'Inputs'!$C$47</x:f>
        <x:v>1.5</x:v>
      </x:c>
      <x:c r="AN1296" s="83" t="n">
        <x:f>'Inputs'!$D$47</x:f>
        <x:v>1.5</x:v>
      </x:c>
      <x:c r="AO1296" s="81" t="n">
        <x:f>'Inputs'!$E$47</x:f>
        <x:v>0.05</x:v>
      </x:c>
    </x:row>
    <x:row r="1297">
      <x:c r="A1297" s="59" t="str">
        <x:v>Growth</x:v>
      </x:c>
      <x:c r="B1297" s="59" t="n">
        <x:v>199</x:v>
      </x:c>
      <x:c r="C1297" s="78" t="n">
        <x:f>(('Inputs'!$B$29*(3*199*'Inputs'!$B$12-199^2)/(2*'Inputs'!$B$12^2))-('Inputs'!$B$29*(3*198*'Inputs'!$B$12-198^2)/(2*'Inputs'!$B$12^2)))*'Inputs'!$B$47</x:f>
        <x:v>647452.3831863403</x:v>
      </x:c>
      <x:c r="D1297" s="78" t="n">
        <x:f>IF('Inputs'!$C$47&gt;0,('Inputs'!$B$30*(3*199*'Inputs'!$B$12-199^2)/(2*'Inputs'!$B$12^2))-('Inputs'!$B$30*(3*198*'Inputs'!$B$12-198^2)/(2*'Inputs'!$B$12^2)),0)</x:f>
        <x:v>277479.5927941501</x:v>
      </x:c>
      <x:c r="E1297" s="78" t="n">
        <x:f>C1297+D1297</x:f>
        <x:v>924931.9759804904</x:v>
      </x:c>
      <x:c r="F1297" s="78" t="n">
        <x:f>'Inputs'!$B$13*E1297+(1-'Inputs'!$B$13)/'Inputs'!$B$14*SUM(E1242:E1297)</x:f>
        <x:v>935149.6528429365</x:v>
      </x:c>
      <x:c r="G1297" s="78" t="n">
        <x:f>F1297*'Inputs'!$F$47</x:f>
        <x:v>327302.3784950277</x:v>
      </x:c>
      <x:c r="H1297" s="78" t="n">
        <x:f>U1296</x:f>
        <x:v>2149099.9411157398</x:v>
      </x:c>
      <x:c r="I1297" s="78" t="n">
        <x:f>V1296</x:f>
        <x:v>28866.725715624805</x:v>
      </x:c>
      <x:c r="J1297" s="79" t="n">
        <x:f>IF(H1297&gt;0,I1297/H1297,0)</x:f>
        <x:v>0.013432007122311018</x:v>
      </x:c>
      <x:c r="K1297" s="80" t="n">
        <x:f>(H1297*J1297+I1297)*'Inputs'!$D$47*(1+'Inputs'!$G$47)^(B1297/30)</x:f>
        <x:v>105359.1773427896</x:v>
      </x:c>
      <x:c r="L1297" s="80" t="n">
        <x:f>MAX(0,K1297*'Inputs'!$E$47)</x:f>
        <x:v>5267.95886713948</x:v>
      </x:c>
      <x:c r="M1297" s="80" t="n">
        <x:f>MAX(0,-K1297*'Inputs'!$E$47)</x:f>
        <x:v>0</x:v>
      </x:c>
      <x:c r="N1297" s="78" t="n">
        <x:f>H1297*(L1297*(1-'Inputs'!$B$15))/(I1297+L1297*(1-'Inputs'!$B$15))</x:f>
        <x:v>328858.48095499387</x:v>
      </x:c>
      <x:c r="O1297" s="78" t="n">
        <x:f>H1297-N1297</x:f>
        <x:v>1820241.4601607458</x:v>
      </x:c>
      <x:c r="P1297" s="78" t="n">
        <x:f>I1297+L1297*(1-'Inputs'!$B$17)</x:f>
        <x:v>34113.48555311785</x:v>
      </x:c>
      <x:c r="Q1297" s="78" t="n">
        <x:f>IF(J1297&gt;0,M1297/J1297,0)</x:f>
        <x:v>0</x:v>
      </x:c>
      <x:c r="R1297" s="78" t="n">
        <x:f>IF(B1297='Inputs'!$H$47,'Inputs'!$B$27*'Inputs'!$I$47,0)</x:f>
        <x:v>0</x:v>
      </x:c>
      <x:c r="S1297" s="78" t="n">
        <x:f>Q1297+G1297+R1297</x:f>
        <x:v>327302.3784950277</x:v>
      </x:c>
      <x:c r="T1297" s="78" t="n">
        <x:f>P1297*(S1297*(1-'Inputs'!$B$15))/(O1297+S1297*(1-'Inputs'!$B$15))</x:f>
        <x:v>5155.025491196752</x:v>
      </x:c>
      <x:c r="U1297" s="78" t="n">
        <x:f>O1297+S1297*(1-'Inputs'!$B$17)</x:f>
        <x:v>2146226.7264686706</x:v>
      </x:c>
      <x:c r="V1297" s="78" t="n">
        <x:f>P1297-T1297</x:f>
        <x:v>28958.460061921094</x:v>
      </x:c>
      <x:c r="W1297" s="79" t="n">
        <x:f>IF(U1297&gt;0,V1297/U1297,0)</x:f>
        <x:v>0.013492731082315973</x:v>
      </x:c>
      <x:c r="X1297" s="80" t="n">
        <x:f>W1297*('Inputs'!$B$6-AC1297)</x:f>
        <x:v>13449901.982137725</x:v>
      </x:c>
      <x:c r="Y1297" s="80" t="n">
        <x:f>2*V1297</x:f>
        <x:v>57916.92012384219</x:v>
      </x:c>
      <x:c r="Z1297" s="80" t="n">
        <x:f>K1297*'Inputs'!$B$16+(G1297+R1297)*J1297*'Inputs'!$B$16</x:f>
        <x:v>658.5330313313049</x:v>
      </x:c>
      <x:c r="AA1297" s="80" t="n">
        <x:f>K1297*(1+'Inputs'!$E$47)/2*'Inputs'!$B$17</x:f>
        <x:v>222.5898112875837</x:v>
      </x:c>
      <x:c r="AB1297" s="78" t="n">
        <x:f>(IF(J1297&gt;0,K1297*(1-'Inputs'!$E$47)/2/J1297,0)+G1297+R1297)*'Inputs'!$B$17</x:f>
        <x:v>16310.462012433762</x:v>
      </x:c>
      <x:c r="AC1297" s="78" t="n">
        <x:f>AC1296+AB1297</x:f>
        <x:v>3174235.0690128724</x:v>
      </x:c>
      <x:c r="AD1297" s="80" t="n">
        <x:f>Z1297/(1+'Inputs'!$C$47)</x:f>
        <x:v>263.4132125325219</x:v>
      </x:c>
      <x:c r="AE1297" s="80" t="n">
        <x:f>Z1297-AD1297</x:f>
        <x:v>395.11981879878294</x:v>
      </x:c>
      <x:c r="AF1297" s="80" t="n">
        <x:f>D1297*W1297</x:f>
        <x:v>3743.9575264020086</x:v>
      </x:c>
      <x:c r="AG1297" s="80" t="n">
        <x:f>C1297*W1297</x:f>
        <x:v>8735.900894937886</x:v>
      </x:c>
      <x:c r="AH1297" s="80" t="n">
        <x:f>2*'Inputs'!$B$8*'Inputs'!$C$47</x:f>
        <x:v>7500</x:v>
      </x:c>
      <x:c r="AI1297" s="81" t="n">
        <x:f>IF(AH1297&gt;0,(AE1297+AF1297)/AH1297*365,0)</x:f>
        <x:v>201.4350974664385</x:v>
      </x:c>
      <x:c r="AJ1297" s="81" t="n">
        <x:f>IF('Inputs'!$B$47&gt;0,AG1297/('Inputs'!$B$19*'Inputs'!$B$47)*365,0)</x:f>
        <x:v>318.8603826652328</x:v>
      </x:c>
      <x:c r="AK1297" s="81" t="n">
        <x:f>W1297/MAX($W$1099:W1297)-1</x:f>
        <x:v>-0.3911108240558413</x:v>
      </x:c>
      <x:c r="AL1297" s="83" t="n">
        <x:f>'Inputs'!$B$47</x:f>
        <x:v>1</x:v>
      </x:c>
      <x:c r="AM1297" s="83" t="n">
        <x:f>'Inputs'!$C$47</x:f>
        <x:v>1.5</x:v>
      </x:c>
      <x:c r="AN1297" s="83" t="n">
        <x:f>'Inputs'!$D$47</x:f>
        <x:v>1.5</x:v>
      </x:c>
      <x:c r="AO1297" s="81" t="n">
        <x:f>'Inputs'!$E$47</x:f>
        <x:v>0.05</x:v>
      </x:c>
    </x:row>
    <x:row r="1298">
      <x:c r="A1298" s="59" t="str">
        <x:v>Growth</x:v>
      </x:c>
      <x:c r="B1298" s="59" t="n">
        <x:v>200</x:v>
      </x:c>
      <x:c r="C1298" s="78" t="n">
        <x:f>(('Inputs'!$B$29*(3*200*'Inputs'!$B$12-200^2)/(2*'Inputs'!$B$12^2))-('Inputs'!$B$29*(3*199*'Inputs'!$B$12-199^2)/(2*'Inputs'!$B$12^2)))*'Inputs'!$B$47</x:f>
        <x:v>647127.2752861679</x:v>
      </x:c>
      <x:c r="D1298" s="78" t="n">
        <x:f>IF('Inputs'!$C$47&gt;0,('Inputs'!$B$30*(3*200*'Inputs'!$B$12-200^2)/(2*'Inputs'!$B$12^2))-('Inputs'!$B$30*(3*199*'Inputs'!$B$12-199^2)/(2*'Inputs'!$B$12^2)),0)</x:f>
        <x:v>277340.2608369291</x:v>
      </x:c>
      <x:c r="E1298" s="78" t="n">
        <x:f>C1298+D1298</x:f>
        <x:v>924467.536123097</x:v>
      </x:c>
      <x:c r="F1298" s="78" t="n">
        <x:f>'Inputs'!$B$13*E1298+(1-'Inputs'!$B$13)/'Inputs'!$B$14*SUM(E1243:E1298)</x:f>
        <x:v>934685.2129855503</x:v>
      </x:c>
      <x:c r="G1298" s="78" t="n">
        <x:f>F1298*'Inputs'!$F$47</x:f>
        <x:v>327139.8245449426</x:v>
      </x:c>
      <x:c r="H1298" s="78" t="n">
        <x:f>U1297</x:f>
        <x:v>2146226.7264686706</x:v>
      </x:c>
      <x:c r="I1298" s="78" t="n">
        <x:f>V1297</x:f>
        <x:v>28958.460061921094</x:v>
      </x:c>
      <x:c r="J1298" s="79" t="n">
        <x:f>IF(H1298&gt;0,I1298/H1298,0)</x:f>
        <x:v>0.013492731082315973</x:v>
      </x:c>
      <x:c r="K1298" s="80" t="n">
        <x:f>(H1298*J1298+I1298)*'Inputs'!$D$47*(1+'Inputs'!$G$47)^(B1298/30)</x:f>
        <x:v>105798.1847309637</x:v>
      </x:c>
      <x:c r="L1298" s="80" t="n">
        <x:f>MAX(0,K1298*'Inputs'!$E$47)</x:f>
        <x:v>5289.909236548185</x:v>
      </x:c>
      <x:c r="M1298" s="80" t="n">
        <x:f>MAX(0,-K1298*'Inputs'!$E$47)</x:f>
        <x:v>0</x:v>
      </x:c>
      <x:c r="N1298" s="78" t="n">
        <x:f>H1298*(L1298*(1-'Inputs'!$B$15))/(I1298+L1298*(1-'Inputs'!$B$15))</x:f>
        <x:v>328692.9839094942</x:v>
      </x:c>
      <x:c r="O1298" s="78" t="n">
        <x:f>H1298-N1298</x:f>
        <x:v>1817533.7425591764</x:v>
      </x:c>
      <x:c r="P1298" s="78" t="n">
        <x:f>I1298+L1298*(1-'Inputs'!$B$17)</x:f>
        <x:v>34227.08193735641</x:v>
      </x:c>
      <x:c r="Q1298" s="78" t="n">
        <x:f>IF(J1298&gt;0,M1298/J1298,0)</x:f>
        <x:v>0</x:v>
      </x:c>
      <x:c r="R1298" s="78" t="n">
        <x:f>IF(B1298='Inputs'!$H$47,'Inputs'!$B$27*'Inputs'!$I$47,0)</x:f>
        <x:v>0</x:v>
      </x:c>
      <x:c r="S1298" s="78" t="n">
        <x:f>Q1298+G1298+R1298</x:f>
        <x:v>327139.8245449426</x:v>
      </x:c>
      <x:c r="T1298" s="78" t="n">
        <x:f>P1298*(S1298*(1-'Inputs'!$B$15))/(O1298+S1298*(1-'Inputs'!$B$15))</x:f>
        <x:v>5176.548023103749</x:v>
      </x:c>
      <x:c r="U1298" s="78" t="n">
        <x:f>O1298+S1298*(1-'Inputs'!$B$17)</x:f>
        <x:v>2143357.10905766</x:v>
      </x:c>
      <x:c r="V1298" s="78" t="n">
        <x:f>P1298-T1298</x:f>
        <x:v>29050.533914252657</x:v>
      </x:c>
      <x:c r="W1298" s="79" t="n">
        <x:f>IF(U1298&gt;0,V1298/U1298,0)</x:f>
        <x:v>0.013553753497952984</x:v>
      </x:c>
      <x:c r="X1298" s="80" t="n">
        <x:f>W1298*('Inputs'!$B$6-AC1298)</x:f>
        <x:v>13510509.71079667</x:v>
      </x:c>
      <x:c r="Y1298" s="80" t="n">
        <x:f>2*V1298</x:f>
        <x:v>58101.067828505315</x:v>
      </x:c>
      <x:c r="Z1298" s="80" t="n">
        <x:f>K1298*'Inputs'!$B$16+(G1298+R1298)*J1298*'Inputs'!$B$16</x:f>
        <x:v>661.2731664591878</x:v>
      </x:c>
      <x:c r="AA1298" s="80" t="n">
        <x:f>K1298*(1+'Inputs'!$E$47)/2*'Inputs'!$B$17</x:f>
        <x:v>223.5172916851346</x:v>
      </x:c>
      <x:c r="AB1298" s="78" t="n">
        <x:f>(IF(J1298&gt;0,K1298*(1-'Inputs'!$E$47)/2/J1298,0)+G1298+R1298)*'Inputs'!$B$17</x:f>
        <x:v>16304.523052609422</x:v>
      </x:c>
      <x:c r="AC1298" s="78" t="n">
        <x:f>AC1297+AB1298</x:f>
        <x:v>3190539.592065482</x:v>
      </x:c>
      <x:c r="AD1298" s="80" t="n">
        <x:f>Z1298/(1+'Inputs'!$C$47)</x:f>
        <x:v>264.5092665836751</x:v>
      </x:c>
      <x:c r="AE1298" s="80" t="n">
        <x:f>Z1298-AD1298</x:f>
        <x:v>396.76389987551266</x:v>
      </x:c>
      <x:c r="AF1298" s="80" t="n">
        <x:f>D1298*W1298</x:f>
        <x:v>3759.0015304417207</x:v>
      </x:c>
      <x:c r="AG1298" s="80" t="n">
        <x:f>C1298*W1298</x:f>
        <x:v>8771.003571030682</x:v>
      </x:c>
      <x:c r="AH1298" s="80" t="n">
        <x:f>2*'Inputs'!$B$8*'Inputs'!$C$47</x:f>
        <x:v>7500</x:v>
      </x:c>
      <x:c r="AI1298" s="81" t="n">
        <x:f>IF(AH1298&gt;0,(AE1298+AF1298)/AH1298*365,0)</x:f>
        <x:v>202.24725094210535</x:v>
      </x:c>
      <x:c r="AJ1298" s="81" t="n">
        <x:f>IF('Inputs'!$B$47&gt;0,AG1298/('Inputs'!$B$19*'Inputs'!$B$47)*365,0)</x:f>
        <x:v>320.1416303426199</x:v>
      </x:c>
      <x:c r="AK1298" s="81" t="n">
        <x:f>W1298/MAX($W$1099:W1298)-1</x:f>
        <x:v>-0.38835705329255676</x:v>
      </x:c>
      <x:c r="AL1298" s="83" t="n">
        <x:f>'Inputs'!$B$47</x:f>
        <x:v>1</x:v>
      </x:c>
      <x:c r="AM1298" s="83" t="n">
        <x:f>'Inputs'!$C$47</x:f>
        <x:v>1.5</x:v>
      </x:c>
      <x:c r="AN1298" s="83" t="n">
        <x:f>'Inputs'!$D$47</x:f>
        <x:v>1.5</x:v>
      </x:c>
      <x:c r="AO1298" s="81" t="n">
        <x:f>'Inputs'!$E$47</x:f>
        <x:v>0.05</x:v>
      </x:c>
    </x:row>
    <x:row r="1299">
      <x:c r="A1299" s="59" t="str">
        <x:v>Growth</x:v>
      </x:c>
      <x:c r="B1299" s="59" t="n">
        <x:v>201</x:v>
      </x:c>
      <x:c r="C1299" s="78" t="n">
        <x:f>(('Inputs'!$B$29*(3*201*'Inputs'!$B$12-201^2)/(2*'Inputs'!$B$12^2))-('Inputs'!$B$29*(3*200*'Inputs'!$B$12-200^2)/(2*'Inputs'!$B$12^2)))*'Inputs'!$B$47</x:f>
        <x:v>646802.1673859954</x:v>
      </x:c>
      <x:c r="D1299" s="78" t="n">
        <x:f>IF('Inputs'!$C$47&gt;0,('Inputs'!$B$30*(3*201*'Inputs'!$B$12-201^2)/(2*'Inputs'!$B$12^2))-('Inputs'!$B$30*(3*200*'Inputs'!$B$12-200^2)/(2*'Inputs'!$B$12^2)),0)</x:f>
        <x:v>277200.9288797155</x:v>
      </x:c>
      <x:c r="E1299" s="78" t="n">
        <x:f>C1299+D1299</x:f>
        <x:v>924003.0962657109</x:v>
      </x:c>
      <x:c r="F1299" s="78" t="n">
        <x:f>'Inputs'!$B$13*E1299+(1-'Inputs'!$B$13)/'Inputs'!$B$14*SUM(E1244:E1299)</x:f>
        <x:v>934220.7731281656</x:v>
      </x:c>
      <x:c r="G1299" s="78" t="n">
        <x:f>F1299*'Inputs'!$F$47</x:f>
        <x:v>326977.2705948579</x:v>
      </x:c>
      <x:c r="H1299" s="78" t="n">
        <x:f>U1298</x:f>
        <x:v>2143357.10905766</x:v>
      </x:c>
      <x:c r="I1299" s="78" t="n">
        <x:f>V1298</x:f>
        <x:v>29050.533914252657</x:v>
      </x:c>
      <x:c r="J1299" s="79" t="n">
        <x:f>IF(H1299&gt;0,I1299/H1299,0)</x:f>
        <x:v>0.013553753497952984</x:v>
      </x:c>
      <x:c r="K1299" s="80" t="n">
        <x:f>(H1299*J1299+I1299)*'Inputs'!$D$47*(1+'Inputs'!$G$47)^(B1299/30)</x:f>
        <x:v>106239.1968536523</x:v>
      </x:c>
      <x:c r="L1299" s="80" t="n">
        <x:f>MAX(0,K1299*'Inputs'!$E$47)</x:f>
        <x:v>5311.959842682616</x:v>
      </x:c>
      <x:c r="M1299" s="80" t="n">
        <x:f>MAX(0,-K1299*'Inputs'!$E$47)</x:f>
        <x:v>0</x:v>
      </x:c>
      <x:c r="N1299" s="78" t="n">
        <x:f>H1299*(L1299*(1-'Inputs'!$B$15))/(I1299+L1299*(1-'Inputs'!$B$15))</x:f>
        <x:v>328527.4913745085</x:v>
      </x:c>
      <x:c r="O1299" s="78" t="n">
        <x:f>H1299-N1299</x:f>
        <x:v>1814829.6176831517</x:v>
      </x:c>
      <x:c r="P1299" s="78" t="n">
        <x:f>I1299+L1299*(1-'Inputs'!$B$17)</x:f>
        <x:v>34341.117660988864</x:v>
      </x:c>
      <x:c r="Q1299" s="78" t="n">
        <x:f>IF(J1299&gt;0,M1299/J1299,0)</x:f>
        <x:v>0</x:v>
      </x:c>
      <x:c r="R1299" s="78" t="n">
        <x:f>IF(B1299='Inputs'!$H$47,'Inputs'!$B$27*'Inputs'!$I$47,0)</x:f>
        <x:v>0</x:v>
      </x:c>
      <x:c r="S1299" s="78" t="n">
        <x:f>Q1299+G1299+R1299</x:f>
        <x:v>326977.2705948579</x:v>
      </x:c>
      <x:c r="T1299" s="78" t="n">
        <x:f>P1299*(S1299*(1-'Inputs'!$B$15))/(O1299+S1299*(1-'Inputs'!$B$15))</x:f>
        <x:v>5198.1689687783</x:v>
      </x:c>
      <x:c r="U1299" s="78" t="n">
        <x:f>O1299+S1299*(1-'Inputs'!$B$17)</x:f>
        <x:v>2140491.0843721954</x:v>
      </x:c>
      <x:c r="V1299" s="78" t="n">
        <x:f>P1299-T1299</x:f>
        <x:v>29142.948692210564</x:v>
      </x:c>
      <x:c r="W1299" s="79" t="n">
        <x:f>IF(U1299&gt;0,V1299/U1299,0)</x:f>
        <x:v>0.013615075953824014</x:v>
      </x:c>
      <x:c r="X1299" s="80" t="n">
        <x:f>W1299*('Inputs'!$B$6-AC1299)</x:f>
        <x:v>13571414.608481865</x:v>
      </x:c>
      <x:c r="Y1299" s="80" t="n">
        <x:f>2*V1299</x:f>
        <x:v>58285.89738442113</x:v>
      </x:c>
      <x:c r="Z1299" s="80" t="n">
        <x:f>K1299*'Inputs'!$B$16+(G1299+R1299)*J1299*'Inputs'!$B$16</x:f>
        <x:v>664.0257970723709</x:v>
      </x:c>
      <x:c r="AA1299" s="80" t="n">
        <x:f>K1299*(1+'Inputs'!$E$47)/2*'Inputs'!$B$17</x:f>
        <x:v>224.44900743729366</x:v>
      </x:c>
      <x:c r="AB1299" s="78" t="n">
        <x:f>(IF(J1299&gt;0,K1299*(1-'Inputs'!$E$47)/2/J1299,0)+G1299+R1299)*'Inputs'!$B$17</x:f>
        <x:v>16298.584249396241</x:v>
      </x:c>
      <x:c r="AC1299" s="78" t="n">
        <x:f>AC1298+AB1299</x:f>
        <x:v>3206838.1763148783</x:v>
      </x:c>
      <x:c r="AD1299" s="80" t="n">
        <x:f>Z1299/(1+'Inputs'!$C$47)</x:f>
        <x:v>265.6103188289484</x:v>
      </x:c>
      <x:c r="AE1299" s="80" t="n">
        <x:f>Z1299-AD1299</x:f>
        <x:v>398.4154782434225</x:v>
      </x:c>
      <x:c r="AF1299" s="80" t="n">
        <x:f>D1299*W1299</x:f>
        <x:v>3774.1117011678953</x:v>
      </x:c>
      <x:c r="AG1299" s="80" t="n">
        <x:f>C1299*W1299</x:f>
        <x:v>8806.260636058321</x:v>
      </x:c>
      <x:c r="AH1299" s="80" t="n">
        <x:f>2*'Inputs'!$B$8*'Inputs'!$C$47</x:f>
        <x:v>7500</x:v>
      </x:c>
      <x:c r="AI1299" s="81" t="n">
        <x:f>IF(AH1299&gt;0,(AE1299+AF1299)/AH1299*365,0)</x:f>
        <x:v>203.06298939801746</x:v>
      </x:c>
      <x:c r="AJ1299" s="81" t="n">
        <x:f>IF('Inputs'!$B$47&gt;0,AG1299/('Inputs'!$B$19*'Inputs'!$B$47)*365,0)</x:f>
        <x:v>321.42851321612875</x:v>
      </x:c>
      <x:c r="AK1299" s="81" t="n">
        <x:f>W1299/MAX($W$1099:W1299)-1</x:f>
        <x:v>-0.3855897425535826</x:v>
      </x:c>
      <x:c r="AL1299" s="83" t="n">
        <x:f>'Inputs'!$B$47</x:f>
        <x:v>1</x:v>
      </x:c>
      <x:c r="AM1299" s="83" t="n">
        <x:f>'Inputs'!$C$47</x:f>
        <x:v>1.5</x:v>
      </x:c>
      <x:c r="AN1299" s="83" t="n">
        <x:f>'Inputs'!$D$47</x:f>
        <x:v>1.5</x:v>
      </x:c>
      <x:c r="AO1299" s="81" t="n">
        <x:f>'Inputs'!$E$47</x:f>
        <x:v>0.05</x:v>
      </x:c>
    </x:row>
    <x:row r="1300">
      <x:c r="A1300" s="59" t="str">
        <x:v>Growth</x:v>
      </x:c>
      <x:c r="B1300" s="59" t="n">
        <x:v>202</x:v>
      </x:c>
      <x:c r="C1300" s="78" t="n">
        <x:f>(('Inputs'!$B$29*(3*202*'Inputs'!$B$12-202^2)/(2*'Inputs'!$B$12^2))-('Inputs'!$B$29*(3*201*'Inputs'!$B$12-201^2)/(2*'Inputs'!$B$12^2)))*'Inputs'!$B$47</x:f>
        <x:v>646477.0594858229</x:v>
      </x:c>
      <x:c r="D1300" s="78" t="n">
        <x:f>IF('Inputs'!$C$47&gt;0,('Inputs'!$B$30*(3*202*'Inputs'!$B$12-202^2)/(2*'Inputs'!$B$12^2))-('Inputs'!$B$30*(3*201*'Inputs'!$B$12-201^2)/(2*'Inputs'!$B$12^2)),0)</x:f>
        <x:v>277061.5969224945</x:v>
      </x:c>
      <x:c r="E1300" s="78" t="n">
        <x:f>C1300+D1300</x:f>
        <x:v>923538.6564083174</x:v>
      </x:c>
      <x:c r="F1300" s="78" t="n">
        <x:f>'Inputs'!$B$13*E1300+(1-'Inputs'!$B$13)/'Inputs'!$B$14*SUM(E1245:E1300)</x:f>
        <x:v>933756.3332707796</x:v>
      </x:c>
      <x:c r="G1300" s="78" t="n">
        <x:f>F1300*'Inputs'!$F$47</x:f>
        <x:v>326814.71664477285</x:v>
      </x:c>
      <x:c r="H1300" s="78" t="n">
        <x:f>U1299</x:f>
        <x:v>2140491.0843721954</x:v>
      </x:c>
      <x:c r="I1300" s="78" t="n">
        <x:f>V1299</x:f>
        <x:v>29142.948692210564</x:v>
      </x:c>
      <x:c r="J1300" s="79" t="n">
        <x:f>IF(H1300&gt;0,I1300/H1300,0)</x:f>
        <x:v>0.013615075953824014</x:v>
      </x:c>
      <x:c r="K1300" s="80" t="n">
        <x:f>(H1300*J1300+I1300)*'Inputs'!$D$47*(1+'Inputs'!$G$47)^(B1300/30)</x:f>
        <x:v>106682.22365725928</x:v>
      </x:c>
      <x:c r="L1300" s="80" t="n">
        <x:f>MAX(0,K1300*'Inputs'!$E$47)</x:f>
        <x:v>5334.111182862965</x:v>
      </x:c>
      <x:c r="M1300" s="80" t="n">
        <x:f>MAX(0,-K1300*'Inputs'!$E$47)</x:f>
        <x:v>0</x:v>
      </x:c>
      <x:c r="N1300" s="78" t="n">
        <x:f>H1300*(L1300*(1-'Inputs'!$B$15))/(I1300+L1300*(1-'Inputs'!$B$15))</x:f>
        <x:v>328362.0033445514</x:v>
      </x:c>
      <x:c r="O1300" s="78" t="n">
        <x:f>H1300-N1300</x:f>
        <x:v>1812129.081027644</x:v>
      </x:c>
      <x:c r="P1300" s="78" t="n">
        <x:f>I1300+L1300*(1-'Inputs'!$B$17)</x:f>
        <x:v>34455.594638925184</x:v>
      </x:c>
      <x:c r="Q1300" s="78" t="n">
        <x:f>IF(J1300&gt;0,M1300/J1300,0)</x:f>
        <x:v>0</x:v>
      </x:c>
      <x:c r="R1300" s="78" t="n">
        <x:f>IF(B1300='Inputs'!$H$47,'Inputs'!$B$27*'Inputs'!$I$47,0)</x:f>
        <x:v>0</x:v>
      </x:c>
      <x:c r="S1300" s="78" t="n">
        <x:f>Q1300+G1300+R1300</x:f>
        <x:v>326814.71664477285</x:v>
      </x:c>
      <x:c r="T1300" s="78" t="n">
        <x:f>P1300*(S1300*(1-'Inputs'!$B$15))/(O1300+S1300*(1-'Inputs'!$B$15))</x:f>
        <x:v>5219.8888169741085</x:v>
      </x:c>
      <x:c r="U1300" s="78" t="n">
        <x:f>O1300+S1300*(1-'Inputs'!$B$17)</x:f>
        <x:v>2137628.647907247</x:v>
      </x:c>
      <x:c r="V1300" s="78" t="n">
        <x:f>P1300-T1300</x:f>
        <x:v>29235.705821951076</x:v>
      </x:c>
      <x:c r="W1300" s="79" t="n">
        <x:f>IF(U1300&gt;0,V1300/U1300,0)</x:f>
        <x:v>0.01367670004356137</x:v>
      </x:c>
      <x:c r="X1300" s="80" t="n">
        <x:f>W1300*('Inputs'!$B$6-AC1300)</x:f>
        <x:v>13632618.250108862</x:v>
      </x:c>
      <x:c r="Y1300" s="80" t="n">
        <x:f>2*V1300</x:f>
        <x:v>58471.41164390215</x:v>
      </x:c>
      <x:c r="Z1300" s="80" t="n">
        <x:f>K1300*'Inputs'!$B$16+(G1300+R1300)*J1300*'Inputs'!$B$16</x:f>
        <x:v>666.790985083232</x:v>
      </x:c>
      <x:c r="AA1300" s="80" t="n">
        <x:f>K1300*(1+'Inputs'!$E$47)/2*'Inputs'!$B$17</x:f>
        <x:v>225.38497955759004</x:v>
      </x:c>
      <x:c r="AB1300" s="78" t="n">
        <x:f>(IF(J1300&gt;0,K1300*(1-'Inputs'!$E$47)/2/J1300,0)+G1300+R1300)*'Inputs'!$B$17</x:f>
        <x:v>16292.645601465758</x:v>
      </x:c>
      <x:c r="AC1300" s="78" t="n">
        <x:f>AC1299+AB1300</x:f>
        <x:v>3223130.821916344</x:v>
      </x:c>
      <x:c r="AD1300" s="80" t="n">
        <x:f>Z1300/(1+'Inputs'!$C$47)</x:f>
        <x:v>266.71639403329283</x:v>
      </x:c>
      <x:c r="AE1300" s="80" t="n">
        <x:f>Z1300-AD1300</x:f>
        <x:v>400.0745910499392</x:v>
      </x:c>
      <x:c r="AF1300" s="80" t="n">
        <x:f>D1300*W1300</x:f>
        <x:v>3789.288354699063</x:v>
      </x:c>
      <x:c r="AG1300" s="80" t="n">
        <x:f>C1300*W1300</x:f>
        <x:v>8841.67282763118</x:v>
      </x:c>
      <x:c r="AH1300" s="80" t="n">
        <x:f>2*'Inputs'!$B$8*'Inputs'!$C$47</x:f>
        <x:v>7500</x:v>
      </x:c>
      <x:c r="AI1300" s="81" t="n">
        <x:f>IF(AH1300&gt;0,(AE1300+AF1300)/AH1300*365,0)</x:f>
        <x:v>203.88233002645146</x:v>
      </x:c>
      <x:c r="AJ1300" s="81" t="n">
        <x:f>IF('Inputs'!$B$47&gt;0,AG1300/('Inputs'!$B$19*'Inputs'!$B$47)*365,0)</x:f>
        <x:v>322.72105820853807</x:v>
      </x:c>
      <x:c r="AK1300" s="81" t="n">
        <x:f>W1300/MAX($W$1099:W1300)-1</x:f>
        <x:v>-0.38280881992275473</x:v>
      </x:c>
      <x:c r="AL1300" s="83" t="n">
        <x:f>'Inputs'!$B$47</x:f>
        <x:v>1</x:v>
      </x:c>
      <x:c r="AM1300" s="83" t="n">
        <x:f>'Inputs'!$C$47</x:f>
        <x:v>1.5</x:v>
      </x:c>
      <x:c r="AN1300" s="83" t="n">
        <x:f>'Inputs'!$D$47</x:f>
        <x:v>1.5</x:v>
      </x:c>
      <x:c r="AO1300" s="81" t="n">
        <x:f>'Inputs'!$E$47</x:f>
        <x:v>0.05</x:v>
      </x:c>
    </x:row>
    <x:row r="1301">
      <x:c r="A1301" s="59" t="str">
        <x:v>Growth</x:v>
      </x:c>
      <x:c r="B1301" s="59" t="n">
        <x:v>203</x:v>
      </x:c>
      <x:c r="C1301" s="78" t="n">
        <x:f>(('Inputs'!$B$29*(3*203*'Inputs'!$B$12-203^2)/(2*'Inputs'!$B$12^2))-('Inputs'!$B$29*(3*202*'Inputs'!$B$12-202^2)/(2*'Inputs'!$B$12^2)))*'Inputs'!$B$47</x:f>
        <x:v>646151.9515856802</x:v>
      </x:c>
      <x:c r="D1301" s="78" t="n">
        <x:f>IF('Inputs'!$C$47&gt;0,('Inputs'!$B$30*(3*203*'Inputs'!$B$12-203^2)/(2*'Inputs'!$B$12^2))-('Inputs'!$B$30*(3*202*'Inputs'!$B$12-202^2)/(2*'Inputs'!$B$12^2)),0)</x:f>
        <x:v>276922.26496528834</x:v>
      </x:c>
      <x:c r="E1301" s="78" t="n">
        <x:f>C1301+D1301</x:f>
        <x:v>923074.2165509686</x:v>
      </x:c>
      <x:c r="F1301" s="78" t="n">
        <x:f>'Inputs'!$B$13*E1301+(1-'Inputs'!$B$13)/'Inputs'!$B$14*SUM(E1246:E1301)</x:f>
        <x:v>933291.8934134028</x:v>
      </x:c>
      <x:c r="G1301" s="78" t="n">
        <x:f>F1301*'Inputs'!$F$47</x:f>
        <x:v>326652.162694691</x:v>
      </x:c>
      <x:c r="H1301" s="78" t="n">
        <x:f>U1300</x:f>
        <x:v>2137628.647907247</x:v>
      </x:c>
      <x:c r="I1301" s="78" t="n">
        <x:f>V1300</x:f>
        <x:v>29235.705821951076</x:v>
      </x:c>
      <x:c r="J1301" s="79" t="n">
        <x:f>IF(H1301&gt;0,I1301/H1301,0)</x:f>
        <x:v>0.01367670004356137</x:v>
      </x:c>
      <x:c r="K1301" s="80" t="n">
        <x:f>(H1301*J1301+I1301)*'Inputs'!$D$47*(1+'Inputs'!$G$47)^(B1301/30)</x:f>
        <x:v>107127.27514135893</x:v>
      </x:c>
      <x:c r="L1301" s="80" t="n">
        <x:f>MAX(0,K1301*'Inputs'!$E$47)</x:f>
        <x:v>5356.363757067947</x:v>
      </x:c>
      <x:c r="M1301" s="80" t="n">
        <x:f>MAX(0,-K1301*'Inputs'!$E$47)</x:f>
        <x:v>0</x:v>
      </x:c>
      <x:c r="N1301" s="78" t="n">
        <x:f>H1301*(L1301*(1-'Inputs'!$B$15))/(I1301+L1301*(1-'Inputs'!$B$15))</x:f>
        <x:v>328196.51981413964</x:v>
      </x:c>
      <x:c r="O1301" s="78" t="n">
        <x:f>H1301-N1301</x:f>
        <x:v>1809432.1280931071</x:v>
      </x:c>
      <x:c r="P1301" s="78" t="n">
        <x:f>I1301+L1301*(1-'Inputs'!$B$17)</x:f>
        <x:v>34570.51479528837</x:v>
      </x:c>
      <x:c r="Q1301" s="78" t="n">
        <x:f>IF(J1301&gt;0,M1301/J1301,0)</x:f>
        <x:v>0</x:v>
      </x:c>
      <x:c r="R1301" s="78" t="n">
        <x:f>IF(B1301='Inputs'!$H$47,'Inputs'!$B$27*'Inputs'!$I$47,0)</x:f>
        <x:v>0</x:v>
      </x:c>
      <x:c r="S1301" s="78" t="n">
        <x:f>Q1301+G1301+R1301</x:f>
        <x:v>326652.162694691</x:v>
      </x:c>
      <x:c r="T1301" s="78" t="n">
        <x:f>P1301*(S1301*(1-'Inputs'!$B$15))/(O1301+S1301*(1-'Inputs'!$B$15))</x:f>
        <x:v>5241.708059059744</x:v>
      </x:c>
      <x:c r="U1301" s="78" t="n">
        <x:f>O1301+S1301*(1-'Inputs'!$B$17)</x:f>
        <x:v>2134769.795163272</x:v>
      </x:c>
      <x:c r="V1301" s="78" t="n">
        <x:f>P1301-T1301</x:f>
        <x:v>29328.806736228627</x:v>
      </x:c>
      <x:c r="W1301" s="79" t="n">
        <x:f>IF(U1301&gt;0,V1301/U1301,0)</x:f>
        <x:v>0.013738627369882518</x:v>
      </x:c>
      <x:c r="X1301" s="80" t="n">
        <x:f>W1301*('Inputs'!$B$6-AC1301)</x:f>
        <x:v>13694122.219555793</x:v>
      </x:c>
      <x:c r="Y1301" s="80" t="n">
        <x:f>2*V1301</x:f>
        <x:v>58657.613472457255</x:v>
      </x:c>
      <x:c r="Z1301" s="80" t="n">
        <x:f>K1301*'Inputs'!$B$16+(G1301+R1301)*J1301*'Inputs'!$B$16</x:f>
        <x:v>669.5687927346889</x:v>
      </x:c>
      <x:c r="AA1301" s="80" t="n">
        <x:f>K1301*(1+'Inputs'!$E$47)/2*'Inputs'!$B$17</x:f>
        <x:v>226.3252291718851</x:v>
      </x:c>
      <x:c r="AB1301" s="78" t="n">
        <x:f>(IF(J1301&gt;0,K1301*(1-'Inputs'!$E$47)/2/J1301,0)+G1301+R1301)*'Inputs'!$B$17</x:f>
        <x:v>16286.7071074874</x:v>
      </x:c>
      <x:c r="AC1301" s="78" t="n">
        <x:f>AC1300+AB1301</x:f>
        <x:v>3239417.5290238317</x:v>
      </x:c>
      <x:c r="AD1301" s="80" t="n">
        <x:f>Z1301/(1+'Inputs'!$C$47)</x:f>
        <x:v>267.8275170938756</x:v>
      </x:c>
      <x:c r="AE1301" s="80" t="n">
        <x:f>Z1301-AD1301</x:f>
        <x:v>401.74127564081334</x:v>
      </x:c>
      <x:c r="AF1301" s="80" t="n">
        <x:f>D1301*W1301</x:f>
        <x:v>3804.531808781969</x:v>
      </x:c>
      <x:c r="AG1301" s="80" t="n">
        <x:f>C1301*W1301</x:f>
        <x:v>8877.24088715803</x:v>
      </x:c>
      <x:c r="AH1301" s="80" t="n">
        <x:f>2*'Inputs'!$B$8*'Inputs'!$C$47</x:f>
        <x:v>7500</x:v>
      </x:c>
      <x:c r="AI1301" s="81" t="n">
        <x:f>IF(AH1301&gt;0,(AE1301+AF1301)/AH1301*365,0)</x:f>
        <x:v>204.70529010857544</x:v>
      </x:c>
      <x:c r="AJ1301" s="81" t="n">
        <x:f>IF('Inputs'!$B$47&gt;0,AG1301/('Inputs'!$B$19*'Inputs'!$B$47)*365,0)</x:f>
        <x:v>324.0192923812681</x:v>
      </x:c>
      <x:c r="AK1301" s="81" t="n">
        <x:f>W1301/MAX($W$1099:W1301)-1</x:f>
        <x:v>-0.38001421307392114</x:v>
      </x:c>
      <x:c r="AL1301" s="83" t="n">
        <x:f>'Inputs'!$B$47</x:f>
        <x:v>1</x:v>
      </x:c>
      <x:c r="AM1301" s="83" t="n">
        <x:f>'Inputs'!$C$47</x:f>
        <x:v>1.5</x:v>
      </x:c>
      <x:c r="AN1301" s="83" t="n">
        <x:f>'Inputs'!$D$47</x:f>
        <x:v>1.5</x:v>
      </x:c>
      <x:c r="AO1301" s="81" t="n">
        <x:f>'Inputs'!$E$47</x:f>
        <x:v>0.05</x:v>
      </x:c>
    </x:row>
    <x:row r="1302">
      <x:c r="A1302" s="59" t="str">
        <x:v>Growth</x:v>
      </x:c>
      <x:c r="B1302" s="59" t="n">
        <x:v>204</x:v>
      </x:c>
      <x:c r="C1302" s="78" t="n">
        <x:f>(('Inputs'!$B$29*(3*204*'Inputs'!$B$12-204^2)/(2*'Inputs'!$B$12^2))-('Inputs'!$B$29*(3*203*'Inputs'!$B$12-203^2)/(2*'Inputs'!$B$12^2)))*'Inputs'!$B$47</x:f>
        <x:v>645826.843685478</x:v>
      </x:c>
      <x:c r="D1302" s="78" t="n">
        <x:f>IF('Inputs'!$C$47&gt;0,('Inputs'!$B$30*(3*204*'Inputs'!$B$12-204^2)/(2*'Inputs'!$B$12^2))-('Inputs'!$B$30*(3*203*'Inputs'!$B$12-203^2)/(2*'Inputs'!$B$12^2)),0)</x:f>
        <x:v>276782.9330080673</x:v>
      </x:c>
      <x:c r="E1302" s="78" t="n">
        <x:f>C1302+D1302</x:f>
        <x:v>922609.7766935453</x:v>
      </x:c>
      <x:c r="F1302" s="78" t="n">
        <x:f>'Inputs'!$B$13*E1302+(1-'Inputs'!$B$13)/'Inputs'!$B$14*SUM(E1247:E1302)</x:f>
        <x:v>932827.4535560105</x:v>
      </x:c>
      <x:c r="G1302" s="78" t="n">
        <x:f>F1302*'Inputs'!$F$47</x:f>
        <x:v>326489.60874460364</x:v>
      </x:c>
      <x:c r="H1302" s="78" t="n">
        <x:f>U1301</x:f>
        <x:v>2134769.795163272</x:v>
      </x:c>
      <x:c r="I1302" s="78" t="n">
        <x:f>V1301</x:f>
        <x:v>29328.806736228627</x:v>
      </x:c>
      <x:c r="J1302" s="79" t="n">
        <x:f>IF(H1302&gt;0,I1302/H1302,0)</x:f>
        <x:v>0.013738627369882518</x:v>
      </x:c>
      <x:c r="K1302" s="80" t="n">
        <x:f>(H1302*J1302+I1302)*'Inputs'!$D$47*(1+'Inputs'!$G$47)^(B1302/30)</x:f>
        <x:v>107574.36135899945</x:v>
      </x:c>
      <x:c r="L1302" s="80" t="n">
        <x:f>MAX(0,K1302*'Inputs'!$E$47)</x:f>
        <x:v>5378.7180679499725</x:v>
      </x:c>
      <x:c r="M1302" s="80" t="n">
        <x:f>MAX(0,-K1302*'Inputs'!$E$47)</x:f>
        <x:v>0</x:v>
      </x:c>
      <x:c r="N1302" s="78" t="n">
        <x:f>H1302*(L1302*(1-'Inputs'!$B$15))/(I1302+L1302*(1-'Inputs'!$B$15))</x:f>
        <x:v>328031.0407777928</x:v>
      </x:c>
      <x:c r="O1302" s="78" t="n">
        <x:f>H1302-N1302</x:f>
        <x:v>1806738.7543854793</x:v>
      </x:c>
      <x:c r="P1302" s="78" t="n">
        <x:f>I1302+L1302*(1-'Inputs'!$B$17)</x:f>
        <x:v>34685.8800634625</x:v>
      </x:c>
      <x:c r="Q1302" s="78" t="n">
        <x:f>IF(J1302&gt;0,M1302/J1302,0)</x:f>
        <x:v>0</x:v>
      </x:c>
      <x:c r="R1302" s="78" t="n">
        <x:f>IF(B1302='Inputs'!$H$47,'Inputs'!$B$27*'Inputs'!$I$47,0)</x:f>
        <x:v>0</x:v>
      </x:c>
      <x:c r="S1302" s="78" t="n">
        <x:f>Q1302+G1302+R1302</x:f>
        <x:v>326489.60874460364</x:v>
      </x:c>
      <x:c r="T1302" s="78" t="n">
        <x:f>P1302*(S1302*(1-'Inputs'!$B$15))/(O1302+S1302*(1-'Inputs'!$B$15))</x:f>
        <x:v>5263.627189033319</x:v>
      </x:c>
      <x:c r="U1302" s="78" t="n">
        <x:f>O1302+S1302*(1-'Inputs'!$B$17)</x:f>
        <x:v>2131914.521646201</x:v>
      </x:c>
      <x:c r="V1302" s="78" t="n">
        <x:f>P1302-T1302</x:f>
        <x:v>29422.25287442918</x:v>
      </x:c>
      <x:c r="W1302" s="79" t="n">
        <x:f>IF(U1302&gt;0,V1302/U1302,0)</x:f>
        <x:v>0.013800859544645435</x:v>
      </x:c>
      <x:c r="X1302" s="80" t="n">
        <x:f>W1302*('Inputs'!$B$6-AC1302)</x:f>
        <x:v>13755928.109717894</x:v>
      </x:c>
      <x:c r="Y1302" s="80" t="n">
        <x:f>2*V1302</x:f>
        <x:v>58844.50574885836</x:v>
      </x:c>
      <x:c r="Z1302" s="80" t="n">
        <x:f>K1302*'Inputs'!$B$16+(G1302+R1302)*J1302*'Inputs'!$B$16</x:f>
        <x:v>672.3592826020817</x:v>
      </x:c>
      <x:c r="AA1302" s="80" t="n">
        <x:f>K1302*(1+'Inputs'!$E$47)/2*'Inputs'!$B$17</x:f>
        <x:v>227.26977751901293</x:v>
      </x:c>
      <x:c r="AB1302" s="78" t="n">
        <x:f>(IF(J1302&gt;0,K1302*(1-'Inputs'!$E$47)/2/J1302,0)+G1302+R1302)*'Inputs'!$B$17</x:f>
        <x:v>16280.768766128447</x:v>
      </x:c>
      <x:c r="AC1302" s="78" t="n">
        <x:f>AC1301+AB1302</x:f>
        <x:v>3255698.29778996</x:v>
      </x:c>
      <x:c r="AD1302" s="80" t="n">
        <x:f>Z1302/(1+'Inputs'!$C$47)</x:f>
        <x:v>268.9437130408327</x:v>
      </x:c>
      <x:c r="AE1302" s="80" t="n">
        <x:f>Z1302-AD1302</x:f>
        <x:v>403.4155695612491</x:v>
      </x:c>
      <x:c r="AF1302" s="80" t="n">
        <x:f>D1302*W1302</x:f>
        <x:v>3819.842382799344</x:v>
      </x:c>
      <x:c r="AG1302" s="80" t="n">
        <x:f>C1302*W1302</x:f>
        <x:v>8912.965559864964</x:v>
      </x:c>
      <x:c r="AH1302" s="80" t="n">
        <x:f>2*'Inputs'!$B$8*'Inputs'!$C$47</x:f>
        <x:v>7500</x:v>
      </x:c>
      <x:c r="AI1302" s="81" t="n">
        <x:f>IF(AH1302&gt;0,(AE1302+AF1302)/AH1302*365,0)</x:f>
        <x:v>205.5318870148822</x:v>
      </x:c>
      <x:c r="AJ1302" s="81" t="n">
        <x:f>IF('Inputs'!$B$47&gt;0,AG1302/('Inputs'!$B$19*'Inputs'!$B$47)*365,0)</x:f>
        <x:v>325.32324293507116</x:v>
      </x:c>
      <x:c r="AK1302" s="81" t="n">
        <x:f>W1302/MAX($W$1099:W1302)-1</x:f>
        <x:v>-0.3772058492684446</x:v>
      </x:c>
      <x:c r="AL1302" s="83" t="n">
        <x:f>'Inputs'!$B$47</x:f>
        <x:v>1</x:v>
      </x:c>
      <x:c r="AM1302" s="83" t="n">
        <x:f>'Inputs'!$C$47</x:f>
        <x:v>1.5</x:v>
      </x:c>
      <x:c r="AN1302" s="83" t="n">
        <x:f>'Inputs'!$D$47</x:f>
        <x:v>1.5</x:v>
      </x:c>
      <x:c r="AO1302" s="81" t="n">
        <x:f>'Inputs'!$E$47</x:f>
        <x:v>0.05</x:v>
      </x:c>
    </x:row>
    <x:row r="1303">
      <x:c r="A1303" s="59" t="str">
        <x:v>Growth</x:v>
      </x:c>
      <x:c r="B1303" s="59" t="n">
        <x:v>205</x:v>
      </x:c>
      <x:c r="C1303" s="78" t="n">
        <x:f>(('Inputs'!$B$29*(3*205*'Inputs'!$B$12-205^2)/(2*'Inputs'!$B$12^2))-('Inputs'!$B$29*(3*204*'Inputs'!$B$12-204^2)/(2*'Inputs'!$B$12^2)))*'Inputs'!$B$47</x:f>
        <x:v>645501.7357853353</x:v>
      </x:c>
      <x:c r="D1303" s="78" t="n">
        <x:f>IF('Inputs'!$C$47&gt;0,('Inputs'!$B$30*(3*205*'Inputs'!$B$12-205^2)/(2*'Inputs'!$B$12^2))-('Inputs'!$B$30*(3*204*'Inputs'!$B$12-204^2)/(2*'Inputs'!$B$12^2)),0)</x:f>
        <x:v>276643.60105085373</x:v>
      </x:c>
      <x:c r="E1303" s="78" t="n">
        <x:f>C1303+D1303</x:f>
        <x:v>922145.336836189</x:v>
      </x:c>
      <x:c r="F1303" s="78" t="n">
        <x:f>'Inputs'!$B$13*E1303+(1-'Inputs'!$B$13)/'Inputs'!$B$14*SUM(E1248:E1303)</x:f>
        <x:v>932363.0136986321</x:v>
      </x:c>
      <x:c r="G1303" s="78" t="n">
        <x:f>F1303*'Inputs'!$F$47</x:f>
        <x:v>326327.05479452125</x:v>
      </x:c>
      <x:c r="H1303" s="78" t="n">
        <x:f>U1302</x:f>
        <x:v>2131914.521646201</x:v>
      </x:c>
      <x:c r="I1303" s="78" t="n">
        <x:f>V1302</x:f>
        <x:v>29422.25287442918</x:v>
      </x:c>
      <x:c r="J1303" s="79" t="n">
        <x:f>IF(H1303&gt;0,I1303/H1303,0)</x:f>
        <x:v>0.013800859544645435</x:v>
      </x:c>
      <x:c r="K1303" s="80" t="n">
        <x:f>(H1303*J1303+I1303)*'Inputs'!$D$47*(1+'Inputs'!$G$47)^(B1303/30)</x:f>
        <x:v>108023.49241700917</x:v>
      </x:c>
      <x:c r="L1303" s="80" t="n">
        <x:f>MAX(0,K1303*'Inputs'!$E$47)</x:f>
        <x:v>5401.174620850459</x:v>
      </x:c>
      <x:c r="M1303" s="80" t="n">
        <x:f>MAX(0,-K1303*'Inputs'!$E$47)</x:f>
        <x:v>0</x:v>
      </x:c>
      <x:c r="N1303" s="78" t="n">
        <x:f>H1303*(L1303*(1-'Inputs'!$B$15))/(I1303+L1303*(1-'Inputs'!$B$15))</x:f>
        <x:v>327865.5662300328</x:v>
      </x:c>
      <x:c r="O1303" s="78" t="n">
        <x:f>H1303-N1303</x:f>
        <x:v>1804048.9554161683</x:v>
      </x:c>
      <x:c r="P1303" s="78" t="n">
        <x:f>I1303+L1303*(1-'Inputs'!$B$17)</x:f>
        <x:v>34801.69238614141</x:v>
      </x:c>
      <x:c r="Q1303" s="78" t="n">
        <x:f>IF(J1303&gt;0,M1303/J1303,0)</x:f>
        <x:v>0</x:v>
      </x:c>
      <x:c r="R1303" s="78" t="n">
        <x:f>IF(B1303='Inputs'!$H$47,'Inputs'!$B$27*'Inputs'!$I$47,0)</x:f>
        <x:v>0</x:v>
      </x:c>
      <x:c r="S1303" s="78" t="n">
        <x:f>Q1303+G1303+R1303</x:f>
        <x:v>326327.05479452125</x:v>
      </x:c>
      <x:c r="T1303" s="78" t="n">
        <x:f>P1303*(S1303*(1-'Inputs'!$B$15))/(O1303+S1303*(1-'Inputs'!$B$15))</x:f>
        <x:v>5285.646703538014</x:v>
      </x:c>
      <x:c r="U1303" s="78" t="n">
        <x:f>O1303+S1303*(1-'Inputs'!$B$17)</x:f>
        <x:v>2129062.822867452</x:v>
      </x:c>
      <x:c r="V1303" s="78" t="n">
        <x:f>P1303-T1303</x:f>
        <x:v>29516.0456826034</x:v>
      </x:c>
      <x:c r="W1303" s="79" t="n">
        <x:f>IF(U1303&gt;0,V1303/U1303,0)</x:f>
        <x:v>0.013863398188903964</x:v>
      </x:c>
      <x:c r="X1303" s="80" t="n">
        <x:f>W1303*('Inputs'!$B$6-AC1303)</x:f>
        <x:v>13818037.522562033</x:v>
      </x:c>
      <x:c r="Y1303" s="80" t="n">
        <x:f>2*V1303</x:f>
        <x:v>59032.0913652068</x:v>
      </x:c>
      <x:c r="Z1303" s="80" t="n">
        <x:f>K1303*'Inputs'!$B$16+(G1303+R1303)*J1303*'Inputs'!$B$16</x:f>
        <x:v>675.162517595077</x:v>
      </x:c>
      <x:c r="AA1303" s="80" t="n">
        <x:f>K1303*(1+'Inputs'!$E$47)/2*'Inputs'!$B$17</x:f>
        <x:v>228.21864595142785</x:v>
      </x:c>
      <x:c r="AB1303" s="78" t="n">
        <x:f>(IF(J1303&gt;0,K1303*(1-'Inputs'!$E$47)/2/J1303,0)+G1303+R1303)*'Inputs'!$B$17</x:f>
        <x:v>16274.830576054099</x:v>
      </x:c>
      <x:c r="AC1303" s="78" t="n">
        <x:f>AC1302+AB1303</x:f>
        <x:v>3271973.1283660145</x:v>
      </x:c>
      <x:c r="AD1303" s="80" t="n">
        <x:f>Z1303/(1+'Inputs'!$C$47)</x:f>
        <x:v>270.0650070380308</x:v>
      </x:c>
      <x:c r="AE1303" s="80" t="n">
        <x:f>Z1303-AD1303</x:f>
        <x:v>405.09751055704623</x:v>
      </x:c>
      <x:c r="AF1303" s="80" t="n">
        <x:f>D1303*W1303</x:f>
        <x:v>3835.2203977802765</x:v>
      </x:c>
      <x:c r="AG1303" s="80" t="n">
        <x:f>C1303*W1303</x:f>
        <x:v>8948.847594820783</x:v>
      </x:c>
      <x:c r="AH1303" s="80" t="n">
        <x:f>2*'Inputs'!$B$8*'Inputs'!$C$47</x:f>
        <x:v>7500</x:v>
      </x:c>
      <x:c r="AI1303" s="81" t="n">
        <x:f>IF(AH1303&gt;0,(AE1303+AF1303)/AH1303*365,0)</x:f>
        <x:v>206.36213820574972</x:v>
      </x:c>
      <x:c r="AJ1303" s="81" t="n">
        <x:f>IF('Inputs'!$B$47&gt;0,AG1303/('Inputs'!$B$19*'Inputs'!$B$47)*365,0)</x:f>
        <x:v>326.6329372109586</x:v>
      </x:c>
      <x:c r="AK1303" s="81" t="n">
        <x:f>W1303/MAX($W$1099:W1303)-1</x:f>
        <x:v>-0.3743836553527037</x:v>
      </x:c>
      <x:c r="AL1303" s="83" t="n">
        <x:f>'Inputs'!$B$47</x:f>
        <x:v>1</x:v>
      </x:c>
      <x:c r="AM1303" s="83" t="n">
        <x:f>'Inputs'!$C$47</x:f>
        <x:v>1.5</x:v>
      </x:c>
      <x:c r="AN1303" s="83" t="n">
        <x:f>'Inputs'!$D$47</x:f>
        <x:v>1.5</x:v>
      </x:c>
      <x:c r="AO1303" s="81" t="n">
        <x:f>'Inputs'!$E$47</x:f>
        <x:v>0.05</x:v>
      </x:c>
    </x:row>
    <x:row r="1304">
      <x:c r="A1304" s="59" t="str">
        <x:v>Growth</x:v>
      </x:c>
      <x:c r="B1304" s="59" t="n">
        <x:v>206</x:v>
      </x:c>
      <x:c r="C1304" s="78" t="n">
        <x:f>(('Inputs'!$B$29*(3*206*'Inputs'!$B$12-206^2)/(2*'Inputs'!$B$12^2))-('Inputs'!$B$29*(3*205*'Inputs'!$B$12-205^2)/(2*'Inputs'!$B$12^2)))*'Inputs'!$B$47</x:f>
        <x:v>645176.6278851628</x:v>
      </x:c>
      <x:c r="D1304" s="78" t="n">
        <x:f>IF('Inputs'!$C$47&gt;0,('Inputs'!$B$30*(3*206*'Inputs'!$B$12-206^2)/(2*'Inputs'!$B$12^2))-('Inputs'!$B$30*(3*205*'Inputs'!$B$12-205^2)/(2*'Inputs'!$B$12^2)),0)</x:f>
        <x:v>276504.26909364015</x:v>
      </x:c>
      <x:c r="E1304" s="78" t="n">
        <x:f>C1304+D1304</x:f>
        <x:v>921680.896978803</x:v>
      </x:c>
      <x:c r="F1304" s="78" t="n">
        <x:f>'Inputs'!$B$13*E1304+(1-'Inputs'!$B$13)/'Inputs'!$B$14*SUM(E1249:E1304)</x:f>
        <x:v>931898.5738412478</x:v>
      </x:c>
      <x:c r="G1304" s="78" t="n">
        <x:f>F1304*'Inputs'!$F$47</x:f>
        <x:v>326164.5008444367</x:v>
      </x:c>
      <x:c r="H1304" s="78" t="n">
        <x:f>U1303</x:f>
        <x:v>2129062.822867452</x:v>
      </x:c>
      <x:c r="I1304" s="78" t="n">
        <x:f>V1303</x:f>
        <x:v>29516.0456826034</x:v>
      </x:c>
      <x:c r="J1304" s="79" t="n">
        <x:f>IF(H1304&gt;0,I1304/H1304,0)</x:f>
        <x:v>0.013863398188903964</x:v>
      </x:c>
      <x:c r="K1304" s="80" t="n">
        <x:f>(H1304*J1304+I1304)*'Inputs'!$D$47*(1+'Inputs'!$G$47)^(B1304/30)</x:f>
        <x:v>108474.6784763033</x:v>
      </x:c>
      <x:c r="L1304" s="80" t="n">
        <x:f>MAX(0,K1304*'Inputs'!$E$47)</x:f>
        <x:v>5423.733923815165</x:v>
      </x:c>
      <x:c r="M1304" s="80" t="n">
        <x:f>MAX(0,-K1304*'Inputs'!$E$47)</x:f>
        <x:v>0</x:v>
      </x:c>
      <x:c r="N1304" s="78" t="n">
        <x:f>H1304*(L1304*(1-'Inputs'!$B$15))/(I1304+L1304*(1-'Inputs'!$B$15))</x:f>
        <x:v>327700.0961653866</x:v>
      </x:c>
      <x:c r="O1304" s="78" t="n">
        <x:f>H1304-N1304</x:f>
        <x:v>1801362.7267020657</x:v>
      </x:c>
      <x:c r="P1304" s="78" t="n">
        <x:f>I1304+L1304*(1-'Inputs'!$B$17)</x:f>
        <x:v>34917.95371537705</x:v>
      </x:c>
      <x:c r="Q1304" s="78" t="n">
        <x:f>IF(J1304&gt;0,M1304/J1304,0)</x:f>
        <x:v>0</x:v>
      </x:c>
      <x:c r="R1304" s="78" t="n">
        <x:f>IF(B1304='Inputs'!$H$47,'Inputs'!$B$27*'Inputs'!$I$47,0)</x:f>
        <x:v>0</x:v>
      </x:c>
      <x:c r="S1304" s="78" t="n">
        <x:f>Q1304+G1304+R1304</x:f>
        <x:v>326164.5008444367</x:v>
      </x:c>
      <x:c r="T1304" s="78" t="n">
        <x:f>P1304*(S1304*(1-'Inputs'!$B$15))/(O1304+S1304*(1-'Inputs'!$B$15))</x:f>
        <x:v>5307.767101876606</x:v>
      </x:c>
      <x:c r="U1304" s="78" t="n">
        <x:f>O1304+S1304*(1-'Inputs'!$B$17)</x:f>
        <x:v>2126214.694343909</x:v>
      </x:c>
      <x:c r="V1304" s="78" t="n">
        <x:f>P1304-T1304</x:f>
        <x:v>29610.186613500446</x:v>
      </x:c>
      <x:c r="W1304" s="79" t="n">
        <x:f>IF(U1304&gt;0,V1304/U1304,0)</x:f>
        <x:v>0.013926244932963992</x:v>
      </x:c>
      <x:c r="X1304" s="80" t="n">
        <x:f>W1304*('Inputs'!$B$6-AC1304)</x:f>
        <x:v>13880452.069182048</x:v>
      </x:c>
      <x:c r="Y1304" s="80" t="n">
        <x:f>2*V1304</x:f>
        <x:v>59220.37322700089</x:v>
      </x:c>
      <x:c r="Z1304" s="80" t="n">
        <x:f>K1304*'Inputs'!$B$16+(G1304+R1304)*J1304*'Inputs'!$B$16</x:f>
        <x:v>677.978560959569</x:v>
      </x:c>
      <x:c r="AA1304" s="80" t="n">
        <x:f>K1304*(1+'Inputs'!$E$47)/2*'Inputs'!$B$17</x:f>
        <x:v>229.1718559358521</x:v>
      </x:c>
      <x:c r="AB1304" s="78" t="n">
        <x:f>(IF(J1304&gt;0,K1304*(1-'Inputs'!$E$47)/2/J1304,0)+G1304+R1304)*'Inputs'!$B$17</x:f>
        <x:v>16268.892535927513</x:v>
      </x:c>
      <x:c r="AC1304" s="78" t="n">
        <x:f>AC1303+AB1304</x:f>
        <x:v>3288242.020901942</x:v>
      </x:c>
      <x:c r="AD1304" s="80" t="n">
        <x:f>Z1304/(1+'Inputs'!$C$47)</x:f>
        <x:v>271.1914243838276</x:v>
      </x:c>
      <x:c r="AE1304" s="80" t="n">
        <x:f>Z1304-AD1304</x:f>
        <x:v>406.7871365757414</x:v>
      </x:c>
      <x:c r="AF1304" s="80" t="n">
        <x:f>D1304*W1304</x:f>
        <x:v>3850.6661764082182</x:v>
      </x:c>
      <x:c r="AG1304" s="80" t="n">
        <x:f>C1304*W1304</x:f>
        <x:v>8984.887744952544</x:v>
      </x:c>
      <x:c r="AH1304" s="80" t="n">
        <x:f>2*'Inputs'!$B$8*'Inputs'!$C$47</x:f>
        <x:v>7500</x:v>
      </x:c>
      <x:c r="AI1304" s="81" t="n">
        <x:f>IF(AH1304&gt;0,(AE1304+AF1304)/AH1304*365,0)</x:f>
        <x:v>207.196061231886</x:v>
      </x:c>
      <x:c r="AJ1304" s="81" t="n">
        <x:f>IF('Inputs'!$B$47&gt;0,AG1304/('Inputs'!$B$19*'Inputs'!$B$47)*365,0)</x:f>
        <x:v>327.94840269076786</x:v>
      </x:c>
      <x:c r="AK1304" s="81" t="n">
        <x:f>W1304/MAX($W$1099:W1304)-1</x:f>
        <x:v>-0.37154755775555837</x:v>
      </x:c>
      <x:c r="AL1304" s="83" t="n">
        <x:f>'Inputs'!$B$47</x:f>
        <x:v>1</x:v>
      </x:c>
      <x:c r="AM1304" s="83" t="n">
        <x:f>'Inputs'!$C$47</x:f>
        <x:v>1.5</x:v>
      </x:c>
      <x:c r="AN1304" s="83" t="n">
        <x:f>'Inputs'!$D$47</x:f>
        <x:v>1.5</x:v>
      </x:c>
      <x:c r="AO1304" s="81" t="n">
        <x:f>'Inputs'!$E$47</x:f>
        <x:v>0.05</x:v>
      </x:c>
    </x:row>
    <x:row r="1305">
      <x:c r="A1305" s="59" t="str">
        <x:v>Growth</x:v>
      </x:c>
      <x:c r="B1305" s="59" t="n">
        <x:v>207</x:v>
      </x:c>
      <x:c r="C1305" s="78" t="n">
        <x:f>(('Inputs'!$B$29*(3*207*'Inputs'!$B$12-207^2)/(2*'Inputs'!$B$12^2))-('Inputs'!$B$29*(3*206*'Inputs'!$B$12-206^2)/(2*'Inputs'!$B$12^2)))*'Inputs'!$B$47</x:f>
        <x:v>644851.5199849904</x:v>
      </x:c>
      <x:c r="D1305" s="78" t="n">
        <x:f>IF('Inputs'!$C$47&gt;0,('Inputs'!$B$30*(3*207*'Inputs'!$B$12-207^2)/(2*'Inputs'!$B$12^2))-('Inputs'!$B$30*(3*206*'Inputs'!$B$12-206^2)/(2*'Inputs'!$B$12^2)),0)</x:f>
        <x:v>276364.93713642657</x:v>
      </x:c>
      <x:c r="E1305" s="78" t="n">
        <x:f>C1305+D1305</x:f>
        <x:v>921216.4571214169</x:v>
      </x:c>
      <x:c r="F1305" s="78" t="n">
        <x:f>'Inputs'!$B$13*E1305+(1-'Inputs'!$B$13)/'Inputs'!$B$14*SUM(E1250:E1305)</x:f>
        <x:v>931434.1339838634</x:v>
      </x:c>
      <x:c r="G1305" s="78" t="n">
        <x:f>F1305*'Inputs'!$F$47</x:f>
        <x:v>326001.94689435215</x:v>
      </x:c>
      <x:c r="H1305" s="78" t="n">
        <x:f>U1304</x:f>
        <x:v>2126214.694343909</x:v>
      </x:c>
      <x:c r="I1305" s="78" t="n">
        <x:f>V1304</x:f>
        <x:v>29610.186613500446</x:v>
      </x:c>
      <x:c r="J1305" s="79" t="n">
        <x:f>IF(H1305&gt;0,I1305/H1305,0)</x:f>
        <x:v>0.013926244932963992</x:v>
      </x:c>
      <x:c r="K1305" s="80" t="n">
        <x:f>(H1305*J1305+I1305)*'Inputs'!$D$47*(1+'Inputs'!$G$47)^(B1305/30)</x:f>
        <x:v>108927.92975219419</x:v>
      </x:c>
      <x:c r="L1305" s="80" t="n">
        <x:f>MAX(0,K1305*'Inputs'!$E$47)</x:f>
        <x:v>5446.39648760971</x:v>
      </x:c>
      <x:c r="M1305" s="80" t="n">
        <x:f>MAX(0,-K1305*'Inputs'!$E$47)</x:f>
        <x:v>0</x:v>
      </x:c>
      <x:c r="N1305" s="78" t="n">
        <x:f>H1305*(L1305*(1-'Inputs'!$B$15))/(I1305+L1305*(1-'Inputs'!$B$15))</x:f>
        <x:v>327534.6305783847</x:v>
      </x:c>
      <x:c r="O1305" s="78" t="n">
        <x:f>H1305-N1305</x:f>
        <x:v>1798680.0637655244</x:v>
      </x:c>
      <x:c r="P1305" s="78" t="n">
        <x:f>I1305+L1305*(1-'Inputs'!$B$17)</x:f>
        <x:v>35034.666012628826</x:v>
      </x:c>
      <x:c r="Q1305" s="78" t="n">
        <x:f>IF(J1305&gt;0,M1305/J1305,0)</x:f>
        <x:v>0</x:v>
      </x:c>
      <x:c r="R1305" s="78" t="n">
        <x:f>IF(B1305='Inputs'!$H$47,'Inputs'!$B$27*'Inputs'!$I$47,0)</x:f>
        <x:v>0</x:v>
      </x:c>
      <x:c r="S1305" s="78" t="n">
        <x:f>Q1305+G1305+R1305</x:f>
        <x:v>326001.94689435215</x:v>
      </x:c>
      <x:c r="T1305" s="78" t="n">
        <x:f>P1305*(S1305*(1-'Inputs'!$B$15))/(O1305+S1305*(1-'Inputs'!$B$15))</x:f>
        <x:v>5329.98888602716</x:v>
      </x:c>
      <x:c r="U1305" s="78" t="n">
        <x:f>O1305+S1305*(1-'Inputs'!$B$17)</x:f>
        <x:v>2123370.1315979273</x:v>
      </x:c>
      <x:c r="V1305" s="78" t="n">
        <x:f>P1305-T1305</x:f>
        <x:v>29704.677126601666</x:v>
      </x:c>
      <x:c r="W1305" s="79" t="n">
        <x:f>IF(U1305&gt;0,V1305/U1305,0)</x:f>
        <x:v>0.013989401416439638</x:v>
      </x:c>
      <x:c r="X1305" s="80" t="n">
        <x:f>W1305*('Inputs'!$B$6-AC1305)</x:f>
        <x:v>13943173.369854098</x:v>
      </x:c>
      <x:c r="Y1305" s="80" t="n">
        <x:f>2*V1305</x:f>
        <x:v>59409.35425320333</x:v>
      </x:c>
      <x:c r="Z1305" s="80" t="n">
        <x:f>K1305*'Inputs'!$B$16+(G1305+R1305)*J1305*'Inputs'!$B$16</x:f>
        <x:v>680.8074762796083</x:v>
      </x:c>
      <x:c r="AA1305" s="80" t="n">
        <x:f>K1305*(1+'Inputs'!$E$47)/2*'Inputs'!$B$17</x:f>
        <x:v>230.12942905393143</x:v>
      </x:c>
      <x:c r="AB1305" s="78" t="n">
        <x:f>(IF(J1305&gt;0,K1305*(1-'Inputs'!$E$47)/2/J1305,0)+G1305+R1305)*'Inputs'!$B$17</x:f>
        <x:v>16262.954644409776</x:v>
      </x:c>
      <x:c r="AC1305" s="78" t="n">
        <x:f>AC1304+AB1305</x:f>
        <x:v>3304504.975546352</x:v>
      </x:c>
      <x:c r="AD1305" s="80" t="n">
        <x:f>Z1305/(1+'Inputs'!$C$47)</x:f>
        <x:v>272.32299051184333</x:v>
      </x:c>
      <x:c r="AE1305" s="80" t="n">
        <x:f>Z1305-AD1305</x:f>
        <x:v>408.48448576776497</x:v>
      </x:c>
      <x:c r="AF1305" s="80" t="n">
        <x:f>D1305*W1305</x:f>
        <x:v>3866.1800430305775</x:v>
      </x:c>
      <x:c r="AG1305" s="80" t="n">
        <x:f>C1305*W1305</x:f>
        <x:v>9021.086767071278</x:v>
      </x:c>
      <x:c r="AH1305" s="80" t="n">
        <x:f>2*'Inputs'!$B$8*'Inputs'!$C$47</x:f>
        <x:v>7500</x:v>
      </x:c>
      <x:c r="AI1305" s="81" t="n">
        <x:f>IF(AH1305&gt;0,(AE1305+AF1305)/AH1305*365,0)</x:f>
        <x:v>208.03367373485267</x:v>
      </x:c>
      <x:c r="AJ1305" s="81" t="n">
        <x:f>IF('Inputs'!$B$47&gt;0,AG1305/('Inputs'!$B$19*'Inputs'!$B$47)*365,0)</x:f>
        <x:v>329.2696669981016</x:v>
      </x:c>
      <x:c r="AK1305" s="81" t="n">
        <x:f>W1305/MAX($W$1099:W1305)-1</x:f>
        <x:v>-0.36869748248581424</x:v>
      </x:c>
      <x:c r="AL1305" s="83" t="n">
        <x:f>'Inputs'!$B$47</x:f>
        <x:v>1</x:v>
      </x:c>
      <x:c r="AM1305" s="83" t="n">
        <x:f>'Inputs'!$C$47</x:f>
        <x:v>1.5</x:v>
      </x:c>
      <x:c r="AN1305" s="83" t="n">
        <x:f>'Inputs'!$D$47</x:f>
        <x:v>1.5</x:v>
      </x:c>
      <x:c r="AO1305" s="81" t="n">
        <x:f>'Inputs'!$E$47</x:f>
        <x:v>0.05</x:v>
      </x:c>
    </x:row>
    <x:row r="1306">
      <x:c r="A1306" s="59" t="str">
        <x:v>Growth</x:v>
      </x:c>
      <x:c r="B1306" s="59" t="n">
        <x:v>208</x:v>
      </x:c>
      <x:c r="C1306" s="78" t="n">
        <x:f>(('Inputs'!$B$29*(3*208*'Inputs'!$B$12-208^2)/(2*'Inputs'!$B$12^2))-('Inputs'!$B$29*(3*207*'Inputs'!$B$12-207^2)/(2*'Inputs'!$B$12^2)))*'Inputs'!$B$47</x:f>
        <x:v>644526.4120848179</x:v>
      </x:c>
      <x:c r="D1306" s="78" t="n">
        <x:f>IF('Inputs'!$C$47&gt;0,('Inputs'!$B$30*(3*208*'Inputs'!$B$12-208^2)/(2*'Inputs'!$B$12^2))-('Inputs'!$B$30*(3*207*'Inputs'!$B$12-207^2)/(2*'Inputs'!$B$12^2)),0)</x:f>
        <x:v>276225.60517920554</x:v>
      </x:c>
      <x:c r="E1306" s="78" t="n">
        <x:f>C1306+D1306</x:f>
        <x:v>920752.0172640234</x:v>
      </x:c>
      <x:c r="F1306" s="78" t="n">
        <x:f>'Inputs'!$B$13*E1306+(1-'Inputs'!$B$13)/'Inputs'!$B$14*SUM(E1251:E1306)</x:f>
        <x:v>930969.6941264772</x:v>
      </x:c>
      <x:c r="G1306" s="78" t="n">
        <x:f>F1306*'Inputs'!$F$47</x:f>
        <x:v>325839.392944267</x:v>
      </x:c>
      <x:c r="H1306" s="78" t="n">
        <x:f>U1305</x:f>
        <x:v>2123370.1315979273</x:v>
      </x:c>
      <x:c r="I1306" s="78" t="n">
        <x:f>V1305</x:f>
        <x:v>29704.677126601666</x:v>
      </x:c>
      <x:c r="J1306" s="79" t="n">
        <x:f>IF(H1306&gt;0,I1306/H1306,0)</x:f>
        <x:v>0.013989401416439638</x:v>
      </x:c>
      <x:c r="K1306" s="80" t="n">
        <x:f>(H1306*J1306+I1306)*'Inputs'!$D$47*(1+'Inputs'!$G$47)^(B1306/30)</x:f>
        <x:v>109383.25651470202</x:v>
      </x:c>
      <x:c r="L1306" s="80" t="n">
        <x:f>MAX(0,K1306*'Inputs'!$E$47)</x:f>
        <x:v>5469.162825735101</x:v>
      </x:c>
      <x:c r="M1306" s="80" t="n">
        <x:f>MAX(0,-K1306*'Inputs'!$E$47)</x:f>
        <x:v>0</x:v>
      </x:c>
      <x:c r="N1306" s="78" t="n">
        <x:f>H1306*(L1306*(1-'Inputs'!$B$15))/(I1306+L1306*(1-'Inputs'!$B$15))</x:f>
        <x:v>327369.1694635618</x:v>
      </x:c>
      <x:c r="O1306" s="78" t="n">
        <x:f>H1306-N1306</x:f>
        <x:v>1796000.9621343655</x:v>
      </x:c>
      <x:c r="P1306" s="78" t="n">
        <x:f>I1306+L1306*(1-'Inputs'!$B$17)</x:f>
        <x:v>35151.83124881268</x:v>
      </x:c>
      <x:c r="Q1306" s="78" t="n">
        <x:f>IF(J1306&gt;0,M1306/J1306,0)</x:f>
        <x:v>0</x:v>
      </x:c>
      <x:c r="R1306" s="78" t="n">
        <x:f>IF(B1306='Inputs'!$H$47,'Inputs'!$B$27*'Inputs'!$I$47,0)</x:f>
        <x:v>0</x:v>
      </x:c>
      <x:c r="S1306" s="78" t="n">
        <x:f>Q1306+G1306+R1306</x:f>
        <x:v>325839.392944267</x:v>
      </x:c>
      <x:c r="T1306" s="78" t="n">
        <x:f>P1306*(S1306*(1-'Inputs'!$B$15))/(O1306+S1306*(1-'Inputs'!$B$15))</x:f>
        <x:v>5352.312560658118</x:v>
      </x:c>
      <x:c r="U1306" s="78" t="n">
        <x:f>O1306+S1306*(1-'Inputs'!$B$17)</x:f>
        <x:v>2120529.1301573277</x:v>
      </x:c>
      <x:c r="V1306" s="78" t="n">
        <x:f>P1306-T1306</x:f>
        <x:v>29799.518688154567</x:v>
      </x:c>
      <x:c r="W1306" s="79" t="n">
        <x:f>IF(U1306&gt;0,V1306/U1306,0)</x:f>
        <x:v>0.01405286928830997</x:v>
      </x:c>
      <x:c r="X1306" s="80" t="n">
        <x:f>W1306*('Inputs'!$B$6-AC1306)</x:f>
        <x:v>14006203.054092532</x:v>
      </x:c>
      <x:c r="Y1306" s="80" t="n">
        <x:f>2*V1306</x:f>
        <x:v>59599.037376309134</x:v>
      </x:c>
      <x:c r="Z1306" s="80" t="n">
        <x:f>K1306*'Inputs'!$B$16+(G1306+R1306)*J1306*'Inputs'!$B$16</x:f>
        <x:v>683.6493274793303</x:v>
      </x:c>
      <x:c r="AA1306" s="80" t="n">
        <x:f>K1306*(1+'Inputs'!$E$47)/2*'Inputs'!$B$17</x:f>
        <x:v>231.09138700289162</x:v>
      </x:c>
      <x:c r="AB1306" s="78" t="n">
        <x:f>(IF(J1306&gt;0,K1306*(1-'Inputs'!$E$47)/2/J1306,0)+G1306+R1306)*'Inputs'!$B$17</x:f>
        <x:v>16257.016900159922</x:v>
      </x:c>
      <x:c r="AC1306" s="78" t="n">
        <x:f>AC1305+AB1306</x:f>
        <x:v>3320761.992446512</x:v>
      </x:c>
      <x:c r="AD1306" s="80" t="n">
        <x:f>Z1306/(1+'Inputs'!$C$47)</x:f>
        <x:v>273.4597309917321</x:v>
      </x:c>
      <x:c r="AE1306" s="80" t="n">
        <x:f>Z1306-AD1306</x:f>
        <x:v>410.1895964875982</x:v>
      </x:c>
      <x:c r="AF1306" s="80" t="n">
        <x:f>D1306*W1306</x:f>
        <x:v>3881.762323667693</x:v>
      </x:c>
      <x:c r="AG1306" s="80" t="n">
        <x:f>C1306*W1306</x:f>
        <x:v>9057.445421891354</x:v>
      </x:c>
      <x:c r="AH1306" s="80" t="n">
        <x:f>2*'Inputs'!$B$8*'Inputs'!$C$47</x:f>
        <x:v>7500</x:v>
      </x:c>
      <x:c r="AI1306" s="81" t="n">
        <x:f>IF(AH1306&gt;0,(AE1306+AF1306)/AH1306*365,0)</x:f>
        <x:v>208.8749934475575</x:v>
      </x:c>
      <x:c r="AJ1306" s="81" t="n">
        <x:f>IF('Inputs'!$B$47&gt;0,AG1306/('Inputs'!$B$19*'Inputs'!$B$47)*365,0)</x:f>
        <x:v>330.59675789903446</x:v>
      </x:c>
      <x:c r="AK1306" s="81" t="n">
        <x:f>W1306/MAX($W$1099:W1306)-1</x:f>
        <x:v>-0.36583335512966275</x:v>
      </x:c>
      <x:c r="AL1306" s="83" t="n">
        <x:f>'Inputs'!$B$47</x:f>
        <x:v>1</x:v>
      </x:c>
      <x:c r="AM1306" s="83" t="n">
        <x:f>'Inputs'!$C$47</x:f>
        <x:v>1.5</x:v>
      </x:c>
      <x:c r="AN1306" s="83" t="n">
        <x:f>'Inputs'!$D$47</x:f>
        <x:v>1.5</x:v>
      </x:c>
      <x:c r="AO1306" s="81" t="n">
        <x:f>'Inputs'!$E$47</x:f>
        <x:v>0.05</x:v>
      </x:c>
    </x:row>
    <x:row r="1307">
      <x:c r="A1307" s="59" t="str">
        <x:v>Growth</x:v>
      </x:c>
      <x:c r="B1307" s="59" t="n">
        <x:v>209</x:v>
      </x:c>
      <x:c r="C1307" s="78" t="n">
        <x:f>(('Inputs'!$B$29*(3*209*'Inputs'!$B$12-209^2)/(2*'Inputs'!$B$12^2))-('Inputs'!$B$29*(3*208*'Inputs'!$B$12-208^2)/(2*'Inputs'!$B$12^2)))*'Inputs'!$B$47</x:f>
        <x:v>644201.3041846454</x:v>
      </x:c>
      <x:c r="D1307" s="78" t="n">
        <x:f>IF('Inputs'!$C$47&gt;0,('Inputs'!$B$30*(3*209*'Inputs'!$B$12-209^2)/(2*'Inputs'!$B$12^2))-('Inputs'!$B$30*(3*208*'Inputs'!$B$12-208^2)/(2*'Inputs'!$B$12^2)),0)</x:f>
        <x:v>276086.27322199196</x:v>
      </x:c>
      <x:c r="E1307" s="78" t="n">
        <x:f>C1307+D1307</x:f>
        <x:v>920287.5774066374</x:v>
      </x:c>
      <x:c r="F1307" s="78" t="n">
        <x:f>'Inputs'!$B$13*E1307+(1-'Inputs'!$B$13)/'Inputs'!$B$14*SUM(E1252:E1307)</x:f>
        <x:v>930505.2542690926</x:v>
      </x:c>
      <x:c r="G1307" s="78" t="n">
        <x:f>F1307*'Inputs'!$F$47</x:f>
        <x:v>325676.83899418236</x:v>
      </x:c>
      <x:c r="H1307" s="78" t="n">
        <x:f>U1306</x:f>
        <x:v>2120529.1301573277</x:v>
      </x:c>
      <x:c r="I1307" s="78" t="n">
        <x:f>V1306</x:f>
        <x:v>29799.518688154567</x:v>
      </x:c>
      <x:c r="J1307" s="79" t="n">
        <x:f>IF(H1307&gt;0,I1307/H1307,0)</x:f>
        <x:v>0.01405286928830997</x:v>
      </x:c>
      <x:c r="K1307" s="80" t="n">
        <x:f>(H1307*J1307+I1307)*'Inputs'!$D$47*(1+'Inputs'!$G$47)^(B1307/30)</x:f>
        <x:v>109840.66908886847</x:v>
      </x:c>
      <x:c r="L1307" s="80" t="n">
        <x:f>MAX(0,K1307*'Inputs'!$E$47)</x:f>
        <x:v>5492.033454443424</x:v>
      </x:c>
      <x:c r="M1307" s="80" t="n">
        <x:f>MAX(0,-K1307*'Inputs'!$E$47)</x:f>
        <x:v>0</x:v>
      </x:c>
      <x:c r="N1307" s="78" t="n">
        <x:f>H1307*(L1307*(1-'Inputs'!$B$15))/(I1307+L1307*(1-'Inputs'!$B$15))</x:f>
        <x:v>327203.7128154583</x:v>
      </x:c>
      <x:c r="O1307" s="78" t="n">
        <x:f>H1307-N1307</x:f>
        <x:v>1793325.4173418693</x:v>
      </x:c>
      <x:c r="P1307" s="78" t="n">
        <x:f>I1307+L1307*(1-'Inputs'!$B$17)</x:f>
        <x:v>35269.45140435074</x:v>
      </x:c>
      <x:c r="Q1307" s="78" t="n">
        <x:f>IF(J1307&gt;0,M1307/J1307,0)</x:f>
        <x:v>0</x:v>
      </x:c>
      <x:c r="R1307" s="78" t="n">
        <x:f>IF(B1307='Inputs'!$H$47,'Inputs'!$B$27*'Inputs'!$I$47,0)</x:f>
        <x:v>0</x:v>
      </x:c>
      <x:c r="S1307" s="78" t="n">
        <x:f>Q1307+G1307+R1307</x:f>
        <x:v>325676.83899418236</x:v>
      </x:c>
      <x:c r="T1307" s="78" t="n">
        <x:f>P1307*(S1307*(1-'Inputs'!$B$15))/(O1307+S1307*(1-'Inputs'!$B$15))</x:f>
        <x:v>5374.73863314378</x:v>
      </x:c>
      <x:c r="U1307" s="78" t="n">
        <x:f>O1307+S1307*(1-'Inputs'!$B$17)</x:f>
        <x:v>2117691.685555391</x:v>
      </x:c>
      <x:c r="V1307" s="78" t="n">
        <x:f>P1307-T1307</x:f>
        <x:v>29894.712771206956</x:v>
      </x:c>
      <x:c r="W1307" s="79" t="n">
        <x:f>IF(U1307&gt;0,V1307/U1307,0)</x:f>
        <x:v>0.014116650206976044</x:v>
      </x:c>
      <x:c r="X1307" s="80" t="n">
        <x:f>W1307*('Inputs'!$B$6-AC1307)</x:f>
        <x:v>14069542.760706065</x:v>
      </x:c>
      <x:c r="Y1307" s="80" t="n">
        <x:f>2*V1307</x:f>
        <x:v>59789.42554241391</x:v>
      </x:c>
      <x:c r="Z1307" s="80" t="n">
        <x:f>K1307*'Inputs'!$B$16+(G1307+R1307)*J1307*'Inputs'!$B$16</x:f>
        <x:v>686.504178824902</x:v>
      </x:c>
      <x:c r="AA1307" s="80" t="n">
        <x:f>K1307*(1+'Inputs'!$E$47)/2*'Inputs'!$B$17</x:f>
        <x:v>232.05775159620103</x:v>
      </x:c>
      <x:c r="AB1307" s="78" t="n">
        <x:f>(IF(J1307&gt;0,K1307*(1-'Inputs'!$E$47)/2/J1307,0)+G1307+R1307)*'Inputs'!$B$17</x:f>
        <x:v>16251.079301834994</x:v>
      </x:c>
      <x:c r="AC1307" s="78" t="n">
        <x:f>AC1306+AB1307</x:f>
        <x:v>3337013.071748347</x:v>
      </x:c>
      <x:c r="AD1307" s="80" t="n">
        <x:f>Z1307/(1+'Inputs'!$C$47)</x:f>
        <x:v>274.6016715299608</x:v>
      </x:c>
      <x:c r="AE1307" s="80" t="n">
        <x:f>Z1307-AD1307</x:f>
        <x:v>411.90250729494124</x:v>
      </x:c>
      <x:c r="AF1307" s="80" t="n">
        <x:f>D1307*W1307</x:f>
        <x:v>3897.413346022477</x:v>
      </x:c>
      <x:c r="AG1307" s="80" t="n">
        <x:f>C1307*W1307</x:f>
        <x:v>9093.964474052413</x:v>
      </x:c>
      <x:c r="AH1307" s="80" t="n">
        <x:f>2*'Inputs'!$B$8*'Inputs'!$C$47</x:f>
        <x:v>7500</x:v>
      </x:c>
      <x:c r="AI1307" s="81" t="n">
        <x:f>IF(AH1307&gt;0,(AE1307+AF1307)/AH1307*365,0)</x:f>
        <x:v>209.72003819478104</x:v>
      </x:c>
      <x:c r="AJ1307" s="81" t="n">
        <x:f>IF('Inputs'!$B$47&gt;0,AG1307/('Inputs'!$B$19*'Inputs'!$B$47)*365,0)</x:f>
        <x:v>331.9297033029131</x:v>
      </x:c>
      <x:c r="AK1307" s="81" t="n">
        <x:f>W1307/MAX($W$1099:W1307)-1</x:f>
        <x:v>-0.36295510084810767</x:v>
      </x:c>
      <x:c r="AL1307" s="83" t="n">
        <x:f>'Inputs'!$B$47</x:f>
        <x:v>1</x:v>
      </x:c>
      <x:c r="AM1307" s="83" t="n">
        <x:f>'Inputs'!$C$47</x:f>
        <x:v>1.5</x:v>
      </x:c>
      <x:c r="AN1307" s="83" t="n">
        <x:f>'Inputs'!$D$47</x:f>
        <x:v>1.5</x:v>
      </x:c>
      <x:c r="AO1307" s="81" t="n">
        <x:f>'Inputs'!$E$47</x:f>
        <x:v>0.05</x:v>
      </x:c>
    </x:row>
    <x:row r="1308">
      <x:c r="A1308" s="59" t="str">
        <x:v>Growth</x:v>
      </x:c>
      <x:c r="B1308" s="59" t="n">
        <x:v>210</x:v>
      </x:c>
      <x:c r="C1308" s="78" t="n">
        <x:f>(('Inputs'!$B$29*(3*210*'Inputs'!$B$12-210^2)/(2*'Inputs'!$B$12^2))-('Inputs'!$B$29*(3*209*'Inputs'!$B$12-209^2)/(2*'Inputs'!$B$12^2)))*'Inputs'!$B$47</x:f>
        <x:v>643876.196284473</x:v>
      </x:c>
      <x:c r="D1308" s="78" t="n">
        <x:f>IF('Inputs'!$C$47&gt;0,('Inputs'!$B$30*(3*210*'Inputs'!$B$12-210^2)/(2*'Inputs'!$B$12^2))-('Inputs'!$B$30*(3*209*'Inputs'!$B$12-209^2)/(2*'Inputs'!$B$12^2)),0)</x:f>
        <x:v>275946.9412647784</x:v>
      </x:c>
      <x:c r="E1308" s="78" t="n">
        <x:f>C1308+D1308</x:f>
        <x:v>919823.1375492513</x:v>
      </x:c>
      <x:c r="F1308" s="78" t="n">
        <x:f>'Inputs'!$B$13*E1308+(1-'Inputs'!$B$13)/'Inputs'!$B$14*SUM(E1253:E1308)</x:f>
        <x:v>930040.814411708</x:v>
      </x:c>
      <x:c r="G1308" s="78" t="n">
        <x:f>F1308*'Inputs'!$F$47</x:f>
        <x:v>325514.2850440978</x:v>
      </x:c>
      <x:c r="H1308" s="78" t="n">
        <x:f>U1307</x:f>
        <x:v>2117691.685555391</x:v>
      </x:c>
      <x:c r="I1308" s="78" t="n">
        <x:f>V1307</x:f>
        <x:v>29894.712771206956</x:v>
      </x:c>
      <x:c r="J1308" s="79" t="n">
        <x:f>IF(H1308&gt;0,I1308/H1308,0)</x:f>
        <x:v>0.014116650206976044</x:v>
      </x:c>
      <x:c r="K1308" s="80" t="n">
        <x:f>(H1308*J1308+I1308)*'Inputs'!$D$47*(1+'Inputs'!$G$47)^(B1308/30)</x:f>
        <x:v>110300.17785507161</x:v>
      </x:c>
      <x:c r="L1308" s="80" t="n">
        <x:f>MAX(0,K1308*'Inputs'!$E$47)</x:f>
        <x:v>5515.008892753581</x:v>
      </x:c>
      <x:c r="M1308" s="80" t="n">
        <x:f>MAX(0,-K1308*'Inputs'!$E$47)</x:f>
        <x:v>0</x:v>
      </x:c>
      <x:c r="N1308" s="78" t="n">
        <x:f>H1308*(L1308*(1-'Inputs'!$B$15))/(I1308+L1308*(1-'Inputs'!$B$15))</x:f>
        <x:v>327038.2606286193</x:v>
      </x:c>
      <x:c r="O1308" s="78" t="n">
        <x:f>H1308-N1308</x:f>
        <x:v>1790653.4249267718</x:v>
      </x:c>
      <x:c r="P1308" s="78" t="n">
        <x:f>I1308+L1308*(1-'Inputs'!$B$17)</x:f>
        <x:v>35387.528469221084</x:v>
      </x:c>
      <x:c r="Q1308" s="78" t="n">
        <x:f>IF(J1308&gt;0,M1308/J1308,0)</x:f>
        <x:v>0</x:v>
      </x:c>
      <x:c r="R1308" s="78" t="n">
        <x:f>IF(B1308='Inputs'!$H$47,'Inputs'!$B$27*'Inputs'!$I$47,0)</x:f>
        <x:v>0</x:v>
      </x:c>
      <x:c r="S1308" s="78" t="n">
        <x:f>Q1308+G1308+R1308</x:f>
        <x:v>325514.2850440978</x:v>
      </x:c>
      <x:c r="T1308" s="78" t="n">
        <x:f>P1308*(S1308*(1-'Inputs'!$B$15))/(O1308+S1308*(1-'Inputs'!$B$15))</x:f>
        <x:v>5397.267613579777</x:v>
      </x:c>
      <x:c r="U1308" s="78" t="n">
        <x:f>O1308+S1308*(1-'Inputs'!$B$17)</x:f>
        <x:v>2114857.793330853</x:v>
      </x:c>
      <x:c r="V1308" s="78" t="n">
        <x:f>P1308-T1308</x:f>
        <x:v>29990.260855641307</x:v>
      </x:c>
      <x:c r="W1308" s="79" t="n">
        <x:f>IF(U1308&gt;0,V1308/U1308,0)</x:f>
        <x:v>0.014180745840318336</x:v>
      </x:c>
      <x:c r="X1308" s="80" t="n">
        <x:f>W1308*('Inputs'!$B$6-AC1308)</x:f>
        <x:v>14133194.137854364</x:v>
      </x:c>
      <x:c r="Y1308" s="80" t="n">
        <x:f>2*V1308</x:f>
        <x:v>59980.521711282614</x:v>
      </x:c>
      <x:c r="Z1308" s="80" t="n">
        <x:f>K1308*'Inputs'!$B$16+(G1308+R1308)*J1308*'Inputs'!$B$16</x:f>
        <x:v>689.3720949264782</x:v>
      </x:c>
      <x:c r="AA1308" s="80" t="n">
        <x:f>K1308*(1+'Inputs'!$E$47)/2*'Inputs'!$B$17</x:f>
        <x:v>233.02854476423582</x:v>
      </x:c>
      <x:c r="AB1308" s="78" t="n">
        <x:f>(IF(J1308&gt;0,K1308*(1-'Inputs'!$E$47)/2/J1308,0)+G1308+R1308)*'Inputs'!$B$17</x:f>
        <x:v>16245.141848090003</x:v>
      </x:c>
      <x:c r="AC1308" s="78" t="n">
        <x:f>AC1307+AB1308</x:f>
        <x:v>3353258.213596437</x:v>
      </x:c>
      <x:c r="AD1308" s="80" t="n">
        <x:f>Z1308/(1+'Inputs'!$C$47)</x:f>
        <x:v>275.7488379705913</x:v>
      </x:c>
      <x:c r="AE1308" s="80" t="n">
        <x:f>Z1308-AD1308</x:f>
        <x:v>413.6232569558869</x:v>
      </x:c>
      <x:c r="AF1308" s="80" t="n">
        <x:f>D1308*W1308</x:f>
        <x:v>3913.133439489074</x:v>
      </x:c>
      <x:c r="AG1308" s="80" t="n">
        <x:f>C1308*W1308</x:f>
        <x:v>9130.644692141032</x:v>
      </x:c>
      <x:c r="AH1308" s="80" t="n">
        <x:f>2*'Inputs'!$B$8*'Inputs'!$C$47</x:f>
        <x:v>7500</x:v>
      </x:c>
      <x:c r="AI1308" s="81" t="n">
        <x:f>IF(AH1308&gt;0,(AE1308+AF1308)/AH1308*365,0)</x:f>
        <x:v>210.56882589365475</x:v>
      </x:c>
      <x:c r="AJ1308" s="81" t="n">
        <x:f>IF('Inputs'!$B$47&gt;0,AG1308/('Inputs'!$B$19*'Inputs'!$B$47)*365,0)</x:f>
        <x:v>333.2685312631476</x:v>
      </x:c>
      <x:c r="AK1308" s="81" t="n">
        <x:f>W1308/MAX($W$1099:W1308)-1</x:f>
        <x:v>-0.36006264437437296</x:v>
      </x:c>
      <x:c r="AL1308" s="83" t="n">
        <x:f>'Inputs'!$B$47</x:f>
        <x:v>1</x:v>
      </x:c>
      <x:c r="AM1308" s="83" t="n">
        <x:f>'Inputs'!$C$47</x:f>
        <x:v>1.5</x:v>
      </x:c>
      <x:c r="AN1308" s="83" t="n">
        <x:f>'Inputs'!$D$47</x:f>
        <x:v>1.5</x:v>
      </x:c>
      <x:c r="AO1308" s="81" t="n">
        <x:f>'Inputs'!$E$47</x:f>
        <x:v>0.05</x:v>
      </x:c>
    </x:row>
    <x:row r="1309">
      <x:c r="A1309" s="59" t="str">
        <x:v>Growth</x:v>
      </x:c>
      <x:c r="B1309" s="59" t="n">
        <x:v>211</x:v>
      </x:c>
      <x:c r="C1309" s="78" t="n">
        <x:f>(('Inputs'!$B$29*(3*211*'Inputs'!$B$12-211^2)/(2*'Inputs'!$B$12^2))-('Inputs'!$B$29*(3*210*'Inputs'!$B$12-210^2)/(2*'Inputs'!$B$12^2)))*'Inputs'!$B$47</x:f>
        <x:v>643551.0883843303</x:v>
      </x:c>
      <x:c r="D1309" s="78" t="n">
        <x:f>IF('Inputs'!$C$47&gt;0,('Inputs'!$B$30*(3*211*'Inputs'!$B$12-211^2)/(2*'Inputs'!$B$12^2))-('Inputs'!$B$30*(3*210*'Inputs'!$B$12-210^2)/(2*'Inputs'!$B$12^2)),0)</x:f>
        <x:v>275807.6093075648</x:v>
      </x:c>
      <x:c r="E1309" s="78" t="n">
        <x:f>C1309+D1309</x:f>
        <x:v>919358.6976918951</x:v>
      </x:c>
      <x:c r="F1309" s="78" t="n">
        <x:f>'Inputs'!$B$13*E1309+(1-'Inputs'!$B$13)/'Inputs'!$B$14*SUM(E1254:E1309)</x:f>
        <x:v>929576.3745543299</x:v>
      </x:c>
      <x:c r="G1309" s="78" t="n">
        <x:f>F1309*'Inputs'!$F$47</x:f>
        <x:v>325351.7310940155</x:v>
      </x:c>
      <x:c r="H1309" s="78" t="n">
        <x:f>U1308</x:f>
        <x:v>2114857.793330853</x:v>
      </x:c>
      <x:c r="I1309" s="78" t="n">
        <x:f>V1308</x:f>
        <x:v>29990.260855641307</x:v>
      </x:c>
      <x:c r="J1309" s="79" t="n">
        <x:f>IF(H1309&gt;0,I1309/H1309,0)</x:f>
        <x:v>0.014180745840318336</x:v>
      </x:c>
      <x:c r="K1309" s="80" t="n">
        <x:f>(H1309*J1309+I1309)*'Inputs'!$D$47*(1+'Inputs'!$G$47)^(B1309/30)</x:f>
        <x:v>110761.79324934307</x:v>
      </x:c>
      <x:c r="L1309" s="80" t="n">
        <x:f>MAX(0,K1309*'Inputs'!$E$47)</x:f>
        <x:v>5538.089662467154</x:v>
      </x:c>
      <x:c r="M1309" s="80" t="n">
        <x:f>MAX(0,-K1309*'Inputs'!$E$47)</x:f>
        <x:v>0</x:v>
      </x:c>
      <x:c r="N1309" s="78" t="n">
        <x:f>H1309*(L1309*(1-'Inputs'!$B$15))/(I1309+L1309*(1-'Inputs'!$B$15))</x:f>
        <x:v>326872.8128975954</x:v>
      </x:c>
      <x:c r="O1309" s="78" t="n">
        <x:f>H1309-N1309</x:f>
        <x:v>1787984.9804332575</x:v>
      </x:c>
      <x:c r="P1309" s="78" t="n">
        <x:f>I1309+L1309*(1-'Inputs'!$B$17)</x:f>
        <x:v>35506.06444300799</x:v>
      </x:c>
      <x:c r="Q1309" s="78" t="n">
        <x:f>IF(J1309&gt;0,M1309/J1309,0)</x:f>
        <x:v>0</x:v>
      </x:c>
      <x:c r="R1309" s="78" t="n">
        <x:f>IF(B1309='Inputs'!$H$47,'Inputs'!$B$27*'Inputs'!$I$47,0)</x:f>
        <x:v>0</x:v>
      </x:c>
      <x:c r="S1309" s="78" t="n">
        <x:f>Q1309+G1309+R1309</x:f>
        <x:v>325351.7310940155</x:v>
      </x:c>
      <x:c r="T1309" s="78" t="n">
        <x:f>P1309*(S1309*(1-'Inputs'!$B$15))/(O1309+S1309*(1-'Inputs'!$B$15))</x:f>
        <x:v>5419.900014798722</x:v>
      </x:c>
      <x:c r="U1309" s="78" t="n">
        <x:f>O1309+S1309*(1-'Inputs'!$B$17)</x:f>
        <x:v>2112027.4490279006</x:v>
      </x:c>
      <x:c r="V1309" s="78" t="n">
        <x:f>P1309-T1309</x:f>
        <x:v>30086.16442820927</x:v>
      </x:c>
      <x:c r="W1309" s="79" t="n">
        <x:f>IF(U1309&gt;0,V1309/U1309,0)</x:f>
        <x:v>0.014245157865754528</x:v>
      </x:c>
      <x:c r="X1309" s="80" t="n">
        <x:f>W1309*('Inputs'!$B$6-AC1309)</x:f>
        <x:v>14197158.843104959</x:v>
      </x:c>
      <x:c r="Y1309" s="80" t="n">
        <x:f>2*V1309</x:f>
        <x:v>60172.32885641854</x:v>
      </x:c>
      <x:c r="Z1309" s="80" t="n">
        <x:f>K1309*'Inputs'!$B$16+(G1309+R1309)*J1309*'Inputs'!$B$16</x:f>
        <x:v>692.2531407401694</x:v>
      </x:c>
      <x:c r="AA1309" s="80" t="n">
        <x:f>K1309*(1+'Inputs'!$E$47)/2*'Inputs'!$B$17</x:f>
        <x:v>234.00378855495018</x:v>
      </x:c>
      <x:c r="AB1309" s="78" t="n">
        <x:f>(IF(J1309&gt;0,K1309*(1-'Inputs'!$E$47)/2/J1309,0)+G1309+R1309)*'Inputs'!$B$17</x:f>
        <x:v>16239.20453757795</x:v>
      </x:c>
      <x:c r="AC1309" s="78" t="n">
        <x:f>AC1308+AB1309</x:f>
        <x:v>3369497.418134015</x:v>
      </x:c>
      <x:c r="AD1309" s="80" t="n">
        <x:f>Z1309/(1+'Inputs'!$C$47)</x:f>
        <x:v>276.9012562960678</x:v>
      </x:c>
      <x:c r="AE1309" s="80" t="n">
        <x:f>Z1309-AD1309</x:f>
        <x:v>415.35188444410164</x:v>
      </x:c>
      <x:c r="AF1309" s="80" t="n">
        <x:f>D1309*W1309</x:f>
        <x:v>3928.9229351626086</x:v>
      </x:c>
      <x:c r="AG1309" s="80" t="n">
        <x:f>C1309*W1309</x:f>
        <x:v>9167.48684871293</x:v>
      </x:c>
      <x:c r="AH1309" s="80" t="n">
        <x:f>2*'Inputs'!$B$8*'Inputs'!$C$47</x:f>
        <x:v>7500</x:v>
      </x:c>
      <x:c r="AI1309" s="81" t="n">
        <x:f>IF(AH1309&gt;0,(AE1309+AF1309)/AH1309*365,0)</x:f>
        <x:v>211.42137455419322</x:v>
      </x:c>
      <x:c r="AJ1309" s="81" t="n">
        <x:f>IF('Inputs'!$B$47&gt;0,AG1309/('Inputs'!$B$19*'Inputs'!$B$47)*365,0)</x:f>
        <x:v>334.61326997802195</x:v>
      </x:c>
      <x:c r="AK1309" s="81" t="n">
        <x:f>W1309/MAX($W$1099:W1309)-1</x:f>
        <x:v>-0.357155910011295</x:v>
      </x:c>
      <x:c r="AL1309" s="83" t="n">
        <x:f>'Inputs'!$B$47</x:f>
        <x:v>1</x:v>
      </x:c>
      <x:c r="AM1309" s="83" t="n">
        <x:f>'Inputs'!$C$47</x:f>
        <x:v>1.5</x:v>
      </x:c>
      <x:c r="AN1309" s="83" t="n">
        <x:f>'Inputs'!$D$47</x:f>
        <x:v>1.5</x:v>
      </x:c>
      <x:c r="AO1309" s="81" t="n">
        <x:f>'Inputs'!$E$47</x:f>
        <x:v>0.05</x:v>
      </x:c>
    </x:row>
    <x:row r="1310">
      <x:c r="A1310" s="59" t="str">
        <x:v>Growth</x:v>
      </x:c>
      <x:c r="B1310" s="59" t="n">
        <x:v>212</x:v>
      </x:c>
      <x:c r="C1310" s="78" t="n">
        <x:f>(('Inputs'!$B$29*(3*212*'Inputs'!$B$12-212^2)/(2*'Inputs'!$B$12^2))-('Inputs'!$B$29*(3*211*'Inputs'!$B$12-211^2)/(2*'Inputs'!$B$12^2)))*'Inputs'!$B$47</x:f>
        <x:v>643225.980484128</x:v>
      </x:c>
      <x:c r="D1310" s="78" t="n">
        <x:f>IF('Inputs'!$C$47&gt;0,('Inputs'!$B$30*(3*212*'Inputs'!$B$12-212^2)/(2*'Inputs'!$B$12^2))-('Inputs'!$B$30*(3*211*'Inputs'!$B$12-211^2)/(2*'Inputs'!$B$12^2)),0)</x:f>
        <x:v>275668.27735034376</x:v>
      </x:c>
      <x:c r="E1310" s="78" t="n">
        <x:f>C1310+D1310</x:f>
        <x:v>918894.2578344718</x:v>
      </x:c>
      <x:c r="F1310" s="78" t="n">
        <x:f>'Inputs'!$B$13*E1310+(1-'Inputs'!$B$13)/'Inputs'!$B$14*SUM(E1255:E1310)</x:f>
        <x:v>929111.9346969374</x:v>
      </x:c>
      <x:c r="G1310" s="78" t="n">
        <x:f>F1310*'Inputs'!$F$47</x:f>
        <x:v>325189.1771439281</x:v>
      </x:c>
      <x:c r="H1310" s="78" t="n">
        <x:f>U1309</x:f>
        <x:v>2112027.4490279006</x:v>
      </x:c>
      <x:c r="I1310" s="78" t="n">
        <x:f>V1309</x:f>
        <x:v>30086.16442820927</x:v>
      </x:c>
      <x:c r="J1310" s="79" t="n">
        <x:f>IF(H1310&gt;0,I1310/H1310,0)</x:f>
        <x:v>0.014245157865754528</x:v>
      </x:c>
      <x:c r="K1310" s="80" t="n">
        <x:f>(H1310*J1310+I1310)*'Inputs'!$D$47*(1+'Inputs'!$G$47)^(B1310/30)</x:f>
        <x:v>111225.52576368714</x:v>
      </x:c>
      <x:c r="L1310" s="80" t="n">
        <x:f>MAX(0,K1310*'Inputs'!$E$47)</x:f>
        <x:v>5561.276288184357</x:v>
      </x:c>
      <x:c r="M1310" s="80" t="n">
        <x:f>MAX(0,-K1310*'Inputs'!$E$47)</x:f>
        <x:v>0</x:v>
      </x:c>
      <x:c r="N1310" s="78" t="n">
        <x:f>H1310*(L1310*(1-'Inputs'!$B$15))/(I1310+L1310*(1-'Inputs'!$B$15))</x:f>
        <x:v>326707.3696169432</x:v>
      </x:c>
      <x:c r="O1310" s="78" t="n">
        <x:f>H1310-N1310</x:f>
        <x:v>1785320.0794109574</x:v>
      </x:c>
      <x:c r="P1310" s="78" t="n">
        <x:f>I1310+L1310*(1-'Inputs'!$B$17)</x:f>
        <x:v>35625.06133495225</x:v>
      </x:c>
      <x:c r="Q1310" s="78" t="n">
        <x:f>IF(J1310&gt;0,M1310/J1310,0)</x:f>
        <x:v>0</x:v>
      </x:c>
      <x:c r="R1310" s="78" t="n">
        <x:f>IF(B1310='Inputs'!$H$47,'Inputs'!$B$27*'Inputs'!$I$47,0)</x:f>
        <x:v>0</x:v>
      </x:c>
      <x:c r="S1310" s="78" t="n">
        <x:f>Q1310+G1310+R1310</x:f>
        <x:v>325189.1771439281</x:v>
      </x:c>
      <x:c r="T1310" s="78" t="n">
        <x:f>P1310*(S1310*(1-'Inputs'!$B$15))/(O1310+S1310*(1-'Inputs'!$B$15))</x:f>
        <x:v>5442.636352385728</x:v>
      </x:c>
      <x:c r="U1310" s="78" t="n">
        <x:f>O1310+S1310*(1-'Inputs'!$B$17)</x:f>
        <x:v>2109200.6481961575</x:v>
      </x:c>
      <x:c r="V1310" s="78" t="n">
        <x:f>P1310-T1310</x:f>
        <x:v>30182.424982566517</x:v>
      </x:c>
      <x:c r="W1310" s="79" t="n">
        <x:f>IF(U1310&gt;0,V1310/U1310,0)</x:f>
        <x:v>0.0143098879702978</x:v>
      </x:c>
      <x:c r="X1310" s="80" t="n">
        <x:f>W1310*('Inputs'!$B$6-AC1310)</x:f>
        <x:v>14261438.543490654</x:v>
      </x:c>
      <x:c r="Y1310" s="80" t="n">
        <x:f>2*V1310</x:f>
        <x:v>60364.849965133035</x:v>
      </x:c>
      <x:c r="Z1310" s="80" t="n">
        <x:f>K1310*'Inputs'!$B$16+(G1310+R1310)*J1310*'Inputs'!$B$16</x:f>
        <x:v>695.1473815700233</x:v>
      </x:c>
      <x:c r="AA1310" s="80" t="n">
        <x:f>K1310*(1+'Inputs'!$E$47)/2*'Inputs'!$B$17</x:f>
        <x:v>234.98350513455034</x:v>
      </x:c>
      <x:c r="AB1310" s="78" t="n">
        <x:f>(IF(J1310&gt;0,K1310*(1-'Inputs'!$E$47)/2/J1310,0)+G1310+R1310)*'Inputs'!$B$17</x:f>
        <x:v>16233.267368949832</x:v>
      </x:c>
      <x:c r="AC1310" s="78" t="n">
        <x:f>AC1309+AB1310</x:f>
        <x:v>3385730.685502965</x:v>
      </x:c>
      <x:c r="AD1310" s="80" t="n">
        <x:f>Z1310/(1+'Inputs'!$C$47)</x:f>
        <x:v>278.0589526280093</x:v>
      </x:c>
      <x:c r="AE1310" s="80" t="n">
        <x:f>Z1310-AD1310</x:f>
        <x:v>417.088428942014</x:v>
      </x:c>
      <x:c r="AF1310" s="80" t="n">
        <x:f>D1310*W1310</x:f>
        <x:v>3944.7821658484017</x:v>
      </x:c>
      <x:c r="AG1310" s="80" t="n">
        <x:f>C1310*W1310</x:f>
        <x:v>9204.491720312832</x:v>
      </x:c>
      <x:c r="AH1310" s="80" t="n">
        <x:f>2*'Inputs'!$B$8*'Inputs'!$C$47</x:f>
        <x:v>7500</x:v>
      </x:c>
      <x:c r="AI1310" s="81" t="n">
        <x:f>IF(AH1310&gt;0,(AE1310+AF1310)/AH1310*365,0)</x:f>
        <x:v>212.27770227980022</x:v>
      </x:c>
      <x:c r="AJ1310" s="81" t="n">
        <x:f>IF('Inputs'!$B$47&gt;0,AG1310/('Inputs'!$B$19*'Inputs'!$B$47)*365,0)</x:f>
        <x:v>335.9639477914184</x:v>
      </x:c>
      <x:c r="AK1310" s="81" t="n">
        <x:f>W1310/MAX($W$1099:W1310)-1</x:f>
        <x:v>-0.3542348216286926</x:v>
      </x:c>
      <x:c r="AL1310" s="83" t="n">
        <x:f>'Inputs'!$B$47</x:f>
        <x:v>1</x:v>
      </x:c>
      <x:c r="AM1310" s="83" t="n">
        <x:f>'Inputs'!$C$47</x:f>
        <x:v>1.5</x:v>
      </x:c>
      <x:c r="AN1310" s="83" t="n">
        <x:f>'Inputs'!$D$47</x:f>
        <x:v>1.5</x:v>
      </x:c>
      <x:c r="AO1310" s="81" t="n">
        <x:f>'Inputs'!$E$47</x:f>
        <x:v>0.05</x:v>
      </x:c>
    </x:row>
    <x:row r="1311">
      <x:c r="A1311" s="59" t="str">
        <x:v>Growth</x:v>
      </x:c>
      <x:c r="B1311" s="59" t="n">
        <x:v>213</x:v>
      </x:c>
      <x:c r="C1311" s="78" t="n">
        <x:f>(('Inputs'!$B$29*(3*213*'Inputs'!$B$12-213^2)/(2*'Inputs'!$B$12^2))-('Inputs'!$B$29*(3*212*'Inputs'!$B$12-212^2)/(2*'Inputs'!$B$12^2)))*'Inputs'!$B$47</x:f>
        <x:v>642900.8725839853</x:v>
      </x:c>
      <x:c r="D1311" s="78" t="n">
        <x:f>IF('Inputs'!$C$47&gt;0,('Inputs'!$B$30*(3*213*'Inputs'!$B$12-213^2)/(2*'Inputs'!$B$12^2))-('Inputs'!$B$30*(3*212*'Inputs'!$B$12-212^2)/(2*'Inputs'!$B$12^2)),0)</x:f>
        <x:v>275528.9453931302</x:v>
      </x:c>
      <x:c r="E1311" s="78" t="n">
        <x:f>C1311+D1311</x:f>
        <x:v>918429.8179771155</x:v>
      </x:c>
      <x:c r="F1311" s="78" t="n">
        <x:f>'Inputs'!$B$13*E1311+(1-'Inputs'!$B$13)/'Inputs'!$B$14*SUM(E1256:E1311)</x:f>
        <x:v>928647.4948395591</x:v>
      </x:c>
      <x:c r="G1311" s="78" t="n">
        <x:f>F1311*'Inputs'!$F$47</x:f>
        <x:v>325026.6231938457</x:v>
      </x:c>
      <x:c r="H1311" s="78" t="n">
        <x:f>U1310</x:f>
        <x:v>2109200.6481961575</x:v>
      </x:c>
      <x:c r="I1311" s="78" t="n">
        <x:f>V1310</x:f>
        <x:v>30182.424982566517</x:v>
      </x:c>
      <x:c r="J1311" s="79" t="n">
        <x:f>IF(H1311&gt;0,I1311/H1311,0)</x:f>
        <x:v>0.0143098879702978</x:v>
      </x:c>
      <x:c r="K1311" s="80" t="n">
        <x:f>(H1311*J1311+I1311)*'Inputs'!$D$47*(1+'Inputs'!$G$47)^(B1311/30)</x:f>
        <x:v>111691.38594640204</x:v>
      </x:c>
      <x:c r="L1311" s="80" t="n">
        <x:f>MAX(0,K1311*'Inputs'!$E$47)</x:f>
        <x:v>5584.569297320102</x:v>
      </x:c>
      <x:c r="M1311" s="80" t="n">
        <x:f>MAX(0,-K1311*'Inputs'!$E$47)</x:f>
        <x:v>0</x:v>
      </x:c>
      <x:c r="N1311" s="78" t="n">
        <x:f>H1311*(L1311*(1-'Inputs'!$B$15))/(I1311+L1311*(1-'Inputs'!$B$15))</x:f>
        <x:v>326541.9307812238</x:v>
      </x:c>
      <x:c r="O1311" s="78" t="n">
        <x:f>H1311-N1311</x:f>
        <x:v>1782658.7174149337</x:v>
      </x:c>
      <x:c r="P1311" s="78" t="n">
        <x:f>I1311+L1311*(1-'Inputs'!$B$17)</x:f>
        <x:v>35744.52116400203</x:v>
      </x:c>
      <x:c r="Q1311" s="78" t="n">
        <x:f>IF(J1311&gt;0,M1311/J1311,0)</x:f>
        <x:v>0</x:v>
      </x:c>
      <x:c r="R1311" s="78" t="n">
        <x:f>IF(B1311='Inputs'!$H$47,'Inputs'!$B$27*'Inputs'!$I$47,0)</x:f>
        <x:v>0</x:v>
      </x:c>
      <x:c r="S1311" s="78" t="n">
        <x:f>Q1311+G1311+R1311</x:f>
        <x:v>325026.6231938457</x:v>
      </x:c>
      <x:c r="T1311" s="78" t="n">
        <x:f>P1311*(S1311*(1-'Inputs'!$B$15))/(O1311+S1311*(1-'Inputs'!$B$15))</x:f>
        <x:v>5465.477144694628</x:v>
      </x:c>
      <x:c r="U1311" s="78" t="n">
        <x:f>O1311+S1311*(1-'Inputs'!$B$17)</x:f>
        <x:v>2106377.3863906953</x:v>
      </x:c>
      <x:c r="V1311" s="78" t="n">
        <x:f>P1311-T1311</x:f>
        <x:v>30279.0440193074</x:v>
      </x:c>
      <x:c r="W1311" s="79" t="n">
        <x:f>IF(U1311&gt;0,V1311/U1311,0)</x:f>
        <x:v>0.01437493785061514</x:v>
      </x:c>
      <x:c r="X1311" s="80" t="n">
        <x:f>W1311*('Inputs'!$B$6-AC1311)</x:f>
        <x:v>14326034.915566983</x:v>
      </x:c>
      <x:c r="Y1311" s="80" t="n">
        <x:f>2*V1311</x:f>
        <x:v>60558.0880386148</x:v>
      </x:c>
      <x:c r="Z1311" s="80" t="n">
        <x:f>K1311*'Inputs'!$B$16+(G1311+R1311)*J1311*'Inputs'!$B$16</x:f>
        <x:v>698.054883070021</x:v>
      </x:c>
      <x:c r="AA1311" s="80" t="n">
        <x:f>K1311*(1+'Inputs'!$E$47)/2*'Inputs'!$B$17</x:f>
        <x:v>235.96771678817333</x:v>
      </x:c>
      <x:c r="AB1311" s="78" t="n">
        <x:f>(IF(J1311&gt;0,K1311*(1-'Inputs'!$E$47)/2/J1311,0)+G1311+R1311)*'Inputs'!$B$17</x:f>
        <x:v>16227.330340854636</x:v>
      </x:c>
      <x:c r="AC1311" s="78" t="n">
        <x:f>AC1310+AB1311</x:f>
        <x:v>3401958.01584382</x:v>
      </x:c>
      <x:c r="AD1311" s="80" t="n">
        <x:f>Z1311/(1+'Inputs'!$C$47)</x:f>
        <x:v>279.2219532280084</x:v>
      </x:c>
      <x:c r="AE1311" s="80" t="n">
        <x:f>Z1311-AD1311</x:f>
        <x:v>418.8329298420126</x:v>
      </x:c>
      <x:c r="AF1311" s="80" t="n">
        <x:f>D1311*W1311</x:f>
        <x:v>3960.711466071779</x:v>
      </x:c>
      <x:c r="AG1311" s="80" t="n">
        <x:f>C1311*W1311</x:f>
        <x:v>9241.660087501032</x:v>
      </x:c>
      <x:c r="AH1311" s="80" t="n">
        <x:f>2*'Inputs'!$B$8*'Inputs'!$C$47</x:f>
        <x:v>7500</x:v>
      </x:c>
      <x:c r="AI1311" s="81" t="n">
        <x:f>IF(AH1311&gt;0,(AE1311+AF1311)/AH1311*365,0)</x:f>
        <x:v>213.13782726780454</x:v>
      </x:c>
      <x:c r="AJ1311" s="81" t="n">
        <x:f>IF('Inputs'!$B$47&gt;0,AG1311/('Inputs'!$B$19*'Inputs'!$B$47)*365,0)</x:f>
        <x:v>337.32059319378766</x:v>
      </x:c>
      <x:c r="AK1311" s="81" t="n">
        <x:f>W1311/MAX($W$1099:W1311)-1</x:f>
        <x:v>-0.35129930266073484</x:v>
      </x:c>
      <x:c r="AL1311" s="83" t="n">
        <x:f>'Inputs'!$B$47</x:f>
        <x:v>1</x:v>
      </x:c>
      <x:c r="AM1311" s="83" t="n">
        <x:f>'Inputs'!$C$47</x:f>
        <x:v>1.5</x:v>
      </x:c>
      <x:c r="AN1311" s="83" t="n">
        <x:f>'Inputs'!$D$47</x:f>
        <x:v>1.5</x:v>
      </x:c>
      <x:c r="AO1311" s="81" t="n">
        <x:f>'Inputs'!$E$47</x:f>
        <x:v>0.05</x:v>
      </x:c>
    </x:row>
    <x:row r="1312">
      <x:c r="A1312" s="59" t="str">
        <x:v>Growth</x:v>
      </x:c>
      <x:c r="B1312" s="59" t="n">
        <x:v>214</x:v>
      </x:c>
      <x:c r="C1312" s="78" t="n">
        <x:f>(('Inputs'!$B$29*(3*214*'Inputs'!$B$12-214^2)/(2*'Inputs'!$B$12^2))-('Inputs'!$B$29*(3*213*'Inputs'!$B$12-213^2)/(2*'Inputs'!$B$12^2)))*'Inputs'!$B$47</x:f>
        <x:v>642575.764683783</x:v>
      </x:c>
      <x:c r="D1312" s="78" t="n">
        <x:f>IF('Inputs'!$C$47&gt;0,('Inputs'!$B$30*(3*214*'Inputs'!$B$12-214^2)/(2*'Inputs'!$B$12^2))-('Inputs'!$B$30*(3*213*'Inputs'!$B$12-213^2)/(2*'Inputs'!$B$12^2)),0)</x:f>
        <x:v>275389.6134359166</x:v>
      </x:c>
      <x:c r="E1312" s="78" t="n">
        <x:f>C1312+D1312</x:f>
        <x:v>917965.3781196997</x:v>
      </x:c>
      <x:c r="F1312" s="78" t="n">
        <x:f>'Inputs'!$B$13*E1312+(1-'Inputs'!$B$13)/'Inputs'!$B$14*SUM(E1257:E1312)</x:f>
        <x:v>928183.0549821684</x:v>
      </x:c>
      <x:c r="G1312" s="78" t="n">
        <x:f>F1312*'Inputs'!$F$47</x:f>
        <x:v>324864.0692437589</x:v>
      </x:c>
      <x:c r="H1312" s="78" t="n">
        <x:f>U1311</x:f>
        <x:v>2106377.3863906953</x:v>
      </x:c>
      <x:c r="I1312" s="78" t="n">
        <x:f>V1311</x:f>
        <x:v>30279.0440193074</x:v>
      </x:c>
      <x:c r="J1312" s="79" t="n">
        <x:f>IF(H1312&gt;0,I1312/H1312,0)</x:f>
        <x:v>0.01437493785061514</x:v>
      </x:c>
      <x:c r="K1312" s="80" t="n">
        <x:f>(H1312*J1312+I1312)*'Inputs'!$D$47*(1+'Inputs'!$G$47)^(B1312/30)</x:f>
        <x:v>112159.38440240199</x:v>
      </x:c>
      <x:c r="L1312" s="80" t="n">
        <x:f>MAX(0,K1312*'Inputs'!$E$47)</x:f>
        <x:v>5607.9692201201</x:v>
      </x:c>
      <x:c r="M1312" s="80" t="n">
        <x:f>MAX(0,-K1312*'Inputs'!$E$47)</x:f>
        <x:v>0</x:v>
      </x:c>
      <x:c r="N1312" s="78" t="n">
        <x:f>H1312*(L1312*(1-'Inputs'!$B$15))/(I1312+L1312*(1-'Inputs'!$B$15))</x:f>
        <x:v>326376.49638500565</x:v>
      </x:c>
      <x:c r="O1312" s="78" t="n">
        <x:f>H1312-N1312</x:f>
        <x:v>1780000.8900056896</x:v>
      </x:c>
      <x:c r="P1312" s="78" t="n">
        <x:f>I1312+L1312*(1-'Inputs'!$B$17)</x:f>
        <x:v>35864.44595886364</x:v>
      </x:c>
      <x:c r="Q1312" s="78" t="n">
        <x:f>IF(J1312&gt;0,M1312/J1312,0)</x:f>
        <x:v>0</x:v>
      </x:c>
      <x:c r="R1312" s="78" t="n">
        <x:f>IF(B1312='Inputs'!$H$47,'Inputs'!$B$27*'Inputs'!$I$47,0)</x:f>
        <x:v>0</x:v>
      </x:c>
      <x:c r="S1312" s="78" t="n">
        <x:f>Q1312+G1312+R1312</x:f>
        <x:v>324864.0692437589</x:v>
      </x:c>
      <x:c r="T1312" s="78" t="n">
        <x:f>P1312*(S1312*(1-'Inputs'!$B$15))/(O1312+S1312*(1-'Inputs'!$B$15))</x:f>
        <x:v>5488.422912863261</x:v>
      </x:c>
      <x:c r="U1312" s="78" t="n">
        <x:f>O1312+S1312*(1-'Inputs'!$B$17)</x:f>
        <x:v>2103557.6591720087</x:v>
      </x:c>
      <x:c r="V1312" s="78" t="n">
        <x:f>P1312-T1312</x:f>
        <x:v>30376.023046000377</x:v>
      </x:c>
      <x:c r="W1312" s="79" t="n">
        <x:f>IF(U1312&gt;0,V1312/U1312,0)</x:f>
        <x:v>0.01444030921308657</x:v>
      </x:c>
      <x:c r="X1312" s="80" t="n">
        <x:f>W1312*('Inputs'!$B$6-AC1312)</x:f>
        <x:v>14390949.645470532</x:v>
      </x:c>
      <x:c r="Y1312" s="80" t="n">
        <x:f>2*V1312</x:f>
        <x:v>60752.04609200075</x:v>
      </x:c>
      <x:c r="Z1312" s="80" t="n">
        <x:f>K1312*'Inputs'!$B$16+(G1312+R1312)*J1312*'Inputs'!$B$16</x:f>
        <x:v>700.9757112460738</x:v>
      </x:c>
      <x:c r="AA1312" s="80" t="n">
        <x:f>K1312*(1+'Inputs'!$E$47)/2*'Inputs'!$B$17</x:f>
        <x:v>236.95644592056763</x:v>
      </x:c>
      <x:c r="AB1312" s="78" t="n">
        <x:f>(IF(J1312&gt;0,K1312*(1-'Inputs'!$E$47)/2/J1312,0)+G1312+R1312)*'Inputs'!$B$17</x:f>
        <x:v>16221.393451939359</x:v>
      </x:c>
      <x:c r="AC1312" s="78" t="n">
        <x:f>AC1311+AB1312</x:f>
        <x:v>3418179.409295759</x:v>
      </x:c>
      <x:c r="AD1312" s="80" t="n">
        <x:f>Z1312/(1+'Inputs'!$C$47)</x:f>
        <x:v>280.39028449842954</x:v>
      </x:c>
      <x:c r="AE1312" s="80" t="n">
        <x:f>Z1312-AD1312</x:f>
        <x:v>420.5854267476443</x:v>
      </x:c>
      <x:c r="AF1312" s="80" t="n">
        <x:f>D1312*W1312</x:f>
        <x:v>3976.7111720870153</x:v>
      </x:c>
      <x:c r="AG1312" s="80" t="n">
        <x:f>C1312*W1312</x:f>
        <x:v>9278.99273486938</x:v>
      </x:c>
      <x:c r="AH1312" s="80" t="n">
        <x:f>2*'Inputs'!$B$8*'Inputs'!$C$47</x:f>
        <x:v>7500</x:v>
      </x:c>
      <x:c r="AI1312" s="81" t="n">
        <x:f>IF(AH1312&gt;0,(AE1312+AF1312)/AH1312*365,0)</x:f>
        <x:v>214.00176780995344</x:v>
      </x:c>
      <x:c r="AJ1312" s="81" t="n">
        <x:f>IF('Inputs'!$B$47&gt;0,AG1312/('Inputs'!$B$19*'Inputs'!$B$47)*365,0)</x:f>
        <x:v>338.6832348227324</x:v>
      </x:c>
      <x:c r="AK1312" s="81" t="n">
        <x:f>W1312/MAX($W$1099:W1312)-1</x:f>
        <x:v>-0.34834927610326916</x:v>
      </x:c>
      <x:c r="AL1312" s="83" t="n">
        <x:f>'Inputs'!$B$47</x:f>
        <x:v>1</x:v>
      </x:c>
      <x:c r="AM1312" s="83" t="n">
        <x:f>'Inputs'!$C$47</x:f>
        <x:v>1.5</x:v>
      </x:c>
      <x:c r="AN1312" s="83" t="n">
        <x:f>'Inputs'!$D$47</x:f>
        <x:v>1.5</x:v>
      </x:c>
      <x:c r="AO1312" s="81" t="n">
        <x:f>'Inputs'!$E$47</x:f>
        <x:v>0.05</x:v>
      </x:c>
    </x:row>
    <x:row r="1313">
      <x:c r="A1313" s="59" t="str">
        <x:v>Growth</x:v>
      </x:c>
      <x:c r="B1313" s="59" t="n">
        <x:v>215</x:v>
      </x:c>
      <x:c r="C1313" s="78" t="n">
        <x:f>(('Inputs'!$B$29*(3*215*'Inputs'!$B$12-215^2)/(2*'Inputs'!$B$12^2))-('Inputs'!$B$29*(3*214*'Inputs'!$B$12-214^2)/(2*'Inputs'!$B$12^2)))*'Inputs'!$B$47</x:f>
        <x:v>642250.6567836404</x:v>
      </x:c>
      <x:c r="D1313" s="78" t="n">
        <x:f>IF('Inputs'!$C$47&gt;0,('Inputs'!$B$30*(3*215*'Inputs'!$B$12-215^2)/(2*'Inputs'!$B$12^2))-('Inputs'!$B$30*(3*214*'Inputs'!$B$12-214^2)/(2*'Inputs'!$B$12^2)),0)</x:f>
        <x:v>275250.281478703</x:v>
      </x:c>
      <x:c r="E1313" s="78" t="n">
        <x:f>C1313+D1313</x:f>
        <x:v>917500.9382623434</x:v>
      </x:c>
      <x:c r="F1313" s="78" t="n">
        <x:f>'Inputs'!$B$13*E1313+(1-'Inputs'!$B$13)/'Inputs'!$B$14*SUM(E1258:E1313)</x:f>
        <x:v>927718.6151247899</x:v>
      </x:c>
      <x:c r="G1313" s="78" t="n">
        <x:f>F1313*'Inputs'!$F$47</x:f>
        <x:v>324701.51529367646</x:v>
      </x:c>
      <x:c r="H1313" s="78" t="n">
        <x:f>U1312</x:f>
        <x:v>2103557.6591720087</x:v>
      </x:c>
      <x:c r="I1313" s="78" t="n">
        <x:f>V1312</x:f>
        <x:v>30376.023046000377</x:v>
      </x:c>
      <x:c r="J1313" s="79" t="n">
        <x:f>IF(H1313&gt;0,I1313/H1313,0)</x:f>
        <x:v>0.01444030921308657</x:v>
      </x:c>
      <x:c r="K1313" s="80" t="n">
        <x:f>(H1313*J1313+I1313)*'Inputs'!$D$47*(1+'Inputs'!$G$47)^(B1313/30)</x:f>
        <x:v>112629.5317935434</x:v>
      </x:c>
      <x:c r="L1313" s="80" t="n">
        <x:f>MAX(0,K1313*'Inputs'!$E$47)</x:f>
        <x:v>5631.4765896771705</x:v>
      </x:c>
      <x:c r="M1313" s="80" t="n">
        <x:f>MAX(0,-K1313*'Inputs'!$E$47)</x:f>
        <x:v>0</x:v>
      </x:c>
      <x:c r="N1313" s="78" t="n">
        <x:f>H1313*(L1313*(1-'Inputs'!$B$15))/(I1313+L1313*(1-'Inputs'!$B$15))</x:f>
        <x:v>326211.0664228619</x:v>
      </x:c>
      <x:c r="O1313" s="78" t="n">
        <x:f>H1313-N1313</x:f>
        <x:v>1777346.5927491467</x:v>
      </x:c>
      <x:c r="P1313" s="78" t="n">
        <x:f>I1313+L1313*(1-'Inputs'!$B$17)</x:f>
        <x:v>35984.837758053094</x:v>
      </x:c>
      <x:c r="Q1313" s="78" t="n">
        <x:f>IF(J1313&gt;0,M1313/J1313,0)</x:f>
        <x:v>0</x:v>
      </x:c>
      <x:c r="R1313" s="78" t="n">
        <x:f>IF(B1313='Inputs'!$H$47,'Inputs'!$B$27*'Inputs'!$I$47,0)</x:f>
        <x:v>0</x:v>
      </x:c>
      <x:c r="S1313" s="78" t="n">
        <x:f>Q1313+G1313+R1313</x:f>
        <x:v>324701.51529367646</x:v>
      </x:c>
      <x:c r="T1313" s="78" t="n">
        <x:f>P1313*(S1313*(1-'Inputs'!$B$15))/(O1313+S1313*(1-'Inputs'!$B$15))</x:f>
        <x:v>5511.474180830085</x:v>
      </x:c>
      <x:c r="U1313" s="78" t="n">
        <x:f>O1313+S1313*(1-'Inputs'!$B$17)</x:f>
        <x:v>2100741.4621060276</x:v>
      </x:c>
      <x:c r="V1313" s="78" t="n">
        <x:f>P1313-T1313</x:f>
        <x:v>30473.363577223008</x:v>
      </x:c>
      <x:c r="W1313" s="79" t="n">
        <x:f>IF(U1313&gt;0,V1313/U1313,0)</x:f>
        <x:v>0.014506003773864188</x:v>
      </x:c>
      <x:c r="X1313" s="80" t="n">
        <x:f>W1313*('Inputs'!$B$6-AC1313)</x:f>
        <x:v>14456184.428977102</x:v>
      </x:c>
      <x:c r="Y1313" s="80" t="n">
        <x:f>2*V1313</x:f>
        <x:v>60946.727154446016</x:v>
      </x:c>
      <x:c r="Z1313" s="80" t="n">
        <x:f>K1313*'Inputs'!$B$16+(G1313+R1313)*J1313*'Inputs'!$B$16</x:f>
        <x:v>703.9099324580511</x:v>
      </x:c>
      <x:c r="AA1313" s="80" t="n">
        <x:f>K1313*(1+'Inputs'!$E$47)/2*'Inputs'!$B$17</x:f>
        <x:v>237.94971505678186</x:v>
      </x:c>
      <x:c r="AB1313" s="78" t="n">
        <x:f>(IF(J1313&gt;0,K1313*(1-'Inputs'!$E$47)/2/J1313,0)+G1313+R1313)*'Inputs'!$B$17</x:f>
        <x:v>16215.45670084901</x:v>
      </x:c>
      <x:c r="AC1313" s="78" t="n">
        <x:f>AC1312+AB1313</x:f>
        <x:v>3434394.865996608</x:v>
      </x:c>
      <x:c r="AD1313" s="80" t="n">
        <x:f>Z1313/(1+'Inputs'!$C$47)</x:f>
        <x:v>281.5639729832204</x:v>
      </x:c>
      <x:c r="AE1313" s="80" t="n">
        <x:f>Z1313-AD1313</x:f>
        <x:v>422.3459594748307</x:v>
      </x:c>
      <x:c r="AF1313" s="80" t="n">
        <x:f>D1313*W1313</x:f>
        <x:v>3992.781621887246</x:v>
      </x:c>
      <x:c r="AG1313" s="80" t="n">
        <x:f>C1313*W1313</x:f>
        <x:v>9316.49045107024</x:v>
      </x:c>
      <x:c r="AH1313" s="80" t="n">
        <x:f>2*'Inputs'!$B$8*'Inputs'!$C$47</x:f>
        <x:v>7500</x:v>
      </x:c>
      <x:c r="AI1313" s="81" t="n">
        <x:f>IF(AH1313&gt;0,(AE1313+AF1313)/AH1313*365,0)</x:f>
        <x:v>214.8695422929544</x:v>
      </x:c>
      <x:c r="AJ1313" s="81" t="n">
        <x:f>IF('Inputs'!$B$47&gt;0,AG1313/('Inputs'!$B$19*'Inputs'!$B$47)*365,0)</x:f>
        <x:v>340.05190146406375</x:v>
      </x:c>
      <x:c r="AK1313" s="81" t="n">
        <x:f>W1313/MAX($W$1099:W1313)-1</x:f>
        <x:v>-0.3453846645111561</x:v>
      </x:c>
      <x:c r="AL1313" s="83" t="n">
        <x:f>'Inputs'!$B$47</x:f>
        <x:v>1</x:v>
      </x:c>
      <x:c r="AM1313" s="83" t="n">
        <x:f>'Inputs'!$C$47</x:f>
        <x:v>1.5</x:v>
      </x:c>
      <x:c r="AN1313" s="83" t="n">
        <x:f>'Inputs'!$D$47</x:f>
        <x:v>1.5</x:v>
      </x:c>
      <x:c r="AO1313" s="81" t="n">
        <x:f>'Inputs'!$E$47</x:f>
        <x:v>0.05</x:v>
      </x:c>
    </x:row>
    <x:row r="1314">
      <x:c r="A1314" s="59" t="str">
        <x:v>Growth</x:v>
      </x:c>
      <x:c r="B1314" s="59" t="n">
        <x:v>216</x:v>
      </x:c>
      <x:c r="C1314" s="78" t="n">
        <x:f>(('Inputs'!$B$29*(3*216*'Inputs'!$B$12-216^2)/(2*'Inputs'!$B$12^2))-('Inputs'!$B$29*(3*215*'Inputs'!$B$12-215^2)/(2*'Inputs'!$B$12^2)))*'Inputs'!$B$47</x:f>
        <x:v>641925.5488834679</x:v>
      </x:c>
      <x:c r="D1314" s="78" t="n">
        <x:f>IF('Inputs'!$C$47&gt;0,('Inputs'!$B$30*(3*216*'Inputs'!$B$12-216^2)/(2*'Inputs'!$B$12^2))-('Inputs'!$B$30*(3*215*'Inputs'!$B$12-215^2)/(2*'Inputs'!$B$12^2)),0)</x:f>
        <x:v>275110.94952148944</x:v>
      </x:c>
      <x:c r="E1314" s="78" t="n">
        <x:f>C1314+D1314</x:f>
        <x:v>917036.4984049574</x:v>
      </x:c>
      <x:c r="F1314" s="78" t="n">
        <x:f>'Inputs'!$B$13*E1314+(1-'Inputs'!$B$13)/'Inputs'!$B$14*SUM(E1259:E1314)</x:f>
        <x:v>927254.1752674056</x:v>
      </x:c>
      <x:c r="G1314" s="78" t="n">
        <x:f>F1314*'Inputs'!$F$47</x:f>
        <x:v>324538.9613435919</x:v>
      </x:c>
      <x:c r="H1314" s="78" t="n">
        <x:f>U1313</x:f>
        <x:v>2100741.4621060276</x:v>
      </x:c>
      <x:c r="I1314" s="78" t="n">
        <x:f>V1313</x:f>
        <x:v>30473.363577223008</x:v>
      </x:c>
      <x:c r="J1314" s="79" t="n">
        <x:f>IF(H1314&gt;0,I1314/H1314,0)</x:f>
        <x:v>0.014506003773864188</x:v>
      </x:c>
      <x:c r="K1314" s="80" t="n">
        <x:f>(H1314*J1314+I1314)*'Inputs'!$D$47*(1+'Inputs'!$G$47)^(B1314/30)</x:f>
        <x:v>113101.83883895054</x:v>
      </x:c>
      <x:c r="L1314" s="80" t="n">
        <x:f>MAX(0,K1314*'Inputs'!$E$47)</x:f>
        <x:v>5655.091941947528</x:v>
      </x:c>
      <x:c r="M1314" s="80" t="n">
        <x:f>MAX(0,-K1314*'Inputs'!$E$47)</x:f>
        <x:v>0</x:v>
      </x:c>
      <x:c r="N1314" s="78" t="n">
        <x:f>H1314*(L1314*(1-'Inputs'!$B$15))/(I1314+L1314*(1-'Inputs'!$B$15))</x:f>
        <x:v>326045.64088937297</x:v>
      </x:c>
      <x:c r="O1314" s="78" t="n">
        <x:f>H1314-N1314</x:f>
        <x:v>1774695.8212166547</x:v>
      </x:c>
      <x:c r="P1314" s="78" t="n">
        <x:f>I1314+L1314*(1-'Inputs'!$B$17)</x:f>
        <x:v>36105.69860994741</x:v>
      </x:c>
      <x:c r="Q1314" s="78" t="n">
        <x:f>IF(J1314&gt;0,M1314/J1314,0)</x:f>
        <x:v>0</x:v>
      </x:c>
      <x:c r="R1314" s="78" t="n">
        <x:f>IF(B1314='Inputs'!$H$47,'Inputs'!$B$27*'Inputs'!$I$47,0)</x:f>
        <x:v>0</x:v>
      </x:c>
      <x:c r="S1314" s="78" t="n">
        <x:f>Q1314+G1314+R1314</x:f>
        <x:v>324538.9613435919</x:v>
      </x:c>
      <x:c r="T1314" s="78" t="n">
        <x:f>P1314*(S1314*(1-'Inputs'!$B$15))/(O1314+S1314*(1-'Inputs'!$B$15))</x:f>
        <x:v>5534.631475349702</x:v>
      </x:c>
      <x:c r="U1314" s="78" t="n">
        <x:f>O1314+S1314*(1-'Inputs'!$B$17)</x:f>
        <x:v>2097928.7907640953</x:v>
      </x:c>
      <x:c r="V1314" s="78" t="n">
        <x:f>P1314-T1314</x:f>
        <x:v>30571.067134597706</x:v>
      </x:c>
      <x:c r="W1314" s="79" t="n">
        <x:f>IF(U1314&gt;0,V1314/U1314,0)</x:f>
        <x:v>0.014572023258932107</x:v>
      </x:c>
      <x:c r="X1314" s="80" t="n">
        <x:f>W1314*('Inputs'!$B$6-AC1314)</x:f>
        <x:v>14521740.971560733</x:v>
      </x:c>
      <x:c r="Y1314" s="80" t="n">
        <x:f>2*V1314</x:f>
        <x:v>61142.13426919541</x:v>
      </x:c>
      <x:c r="Z1314" s="80" t="n">
        <x:f>K1314*'Inputs'!$B$16+(G1314+R1314)*J1314*'Inputs'!$B$16</x:f>
        <x:v>706.8576134217999</x:v>
      </x:c>
      <x:c r="AA1314" s="80" t="n">
        <x:f>K1314*(1+'Inputs'!$E$47)/2*'Inputs'!$B$17</x:f>
        <x:v>238.94754684285328</x:v>
      </x:c>
      <x:c r="AB1314" s="78" t="n">
        <x:f>(IF(J1314&gt;0,K1314*(1-'Inputs'!$E$47)/2/J1314,0)+G1314+R1314)*'Inputs'!$B$17</x:f>
        <x:v>16209.520086226605</x:v>
      </x:c>
      <x:c r="AC1314" s="78" t="n">
        <x:f>AC1313+AB1314</x:f>
        <x:v>3450604.3860828346</x:v>
      </x:c>
      <x:c r="AD1314" s="80" t="n">
        <x:f>Z1314/(1+'Inputs'!$C$47)</x:f>
        <x:v>282.74304536871995</x:v>
      </x:c>
      <x:c r="AE1314" s="80" t="n">
        <x:f>Z1314-AD1314</x:f>
        <x:v>424.11456805307995</x:v>
      </x:c>
      <x:c r="AF1314" s="80" t="n">
        <x:f>D1314*W1314</x:f>
        <x:v>4008.923155214041</x:v>
      </x:c>
      <x:c r="AG1314" s="80" t="n">
        <x:f>C1314*W1314</x:f>
        <x:v>9354.154028832654</x:v>
      </x:c>
      <x:c r="AH1314" s="80" t="n">
        <x:f>2*'Inputs'!$B$8*'Inputs'!$C$47</x:f>
        <x:v>7500</x:v>
      </x:c>
      <x:c r="AI1314" s="81" t="n">
        <x:f>IF(AH1314&gt;0,(AE1314+AF1314)/AH1314*365,0)</x:f>
        <x:v>215.74116919899987</x:v>
      </x:c>
      <x:c r="AJ1314" s="81" t="n">
        <x:f>IF('Inputs'!$B$47&gt;0,AG1314/('Inputs'!$B$19*'Inputs'!$B$47)*365,0)</x:f>
        <x:v>341.42662205239185</x:v>
      </x:c>
      <x:c r="AK1314" s="81" t="n">
        <x:f>W1314/MAX($W$1099:W1314)-1</x:f>
        <x:v>-0.34240538999556536</x:v>
      </x:c>
      <x:c r="AL1314" s="83" t="n">
        <x:f>'Inputs'!$B$47</x:f>
        <x:v>1</x:v>
      </x:c>
      <x:c r="AM1314" s="83" t="n">
        <x:f>'Inputs'!$C$47</x:f>
        <x:v>1.5</x:v>
      </x:c>
      <x:c r="AN1314" s="83" t="n">
        <x:f>'Inputs'!$D$47</x:f>
        <x:v>1.5</x:v>
      </x:c>
      <x:c r="AO1314" s="81" t="n">
        <x:f>'Inputs'!$E$47</x:f>
        <x:v>0.05</x:v>
      </x:c>
    </x:row>
    <x:row r="1315">
      <x:c r="A1315" s="59" t="str">
        <x:v>Growth</x:v>
      </x:c>
      <x:c r="B1315" s="59" t="n">
        <x:v>217</x:v>
      </x:c>
      <x:c r="C1315" s="78" t="n">
        <x:f>(('Inputs'!$B$29*(3*217*'Inputs'!$B$12-217^2)/(2*'Inputs'!$B$12^2))-('Inputs'!$B$29*(3*216*'Inputs'!$B$12-216^2)/(2*'Inputs'!$B$12^2)))*'Inputs'!$B$47</x:f>
        <x:v>641600.4409832954</x:v>
      </x:c>
      <x:c r="D1315" s="78" t="n">
        <x:f>IF('Inputs'!$C$47&gt;0,('Inputs'!$B$30*(3*217*'Inputs'!$B$12-217^2)/(2*'Inputs'!$B$12^2))-('Inputs'!$B$30*(3*216*'Inputs'!$B$12-216^2)/(2*'Inputs'!$B$12^2)),0)</x:f>
        <x:v>274971.6175642684</x:v>
      </x:c>
      <x:c r="E1315" s="78" t="n">
        <x:f>C1315+D1315</x:f>
        <x:v>916572.0585475639</x:v>
      </x:c>
      <x:c r="F1315" s="78" t="n">
        <x:f>'Inputs'!$B$13*E1315+(1-'Inputs'!$B$13)/'Inputs'!$B$14*SUM(E1260:E1315)</x:f>
        <x:v>926789.7354100194</x:v>
      </x:c>
      <x:c r="G1315" s="78" t="n">
        <x:f>F1315*'Inputs'!$F$47</x:f>
        <x:v>324376.4073935068</x:v>
      </x:c>
      <x:c r="H1315" s="78" t="n">
        <x:f>U1314</x:f>
        <x:v>2097928.7907640953</x:v>
      </x:c>
      <x:c r="I1315" s="78" t="n">
        <x:f>V1314</x:f>
        <x:v>30571.067134597706</x:v>
      </x:c>
      <x:c r="J1315" s="79" t="n">
        <x:f>IF(H1315&gt;0,I1315/H1315,0)</x:f>
        <x:v>0.014572023258932107</x:v>
      </x:c>
      <x:c r="K1315" s="80" t="n">
        <x:f>(H1315*J1315+I1315)*'Inputs'!$D$47*(1+'Inputs'!$G$47)^(B1315/30)</x:f>
        <x:v>113576.31631534547</x:v>
      </x:c>
      <x:c r="L1315" s="80" t="n">
        <x:f>MAX(0,K1315*'Inputs'!$E$47)</x:f>
        <x:v>5678.815815767273</x:v>
      </x:c>
      <x:c r="M1315" s="80" t="n">
        <x:f>MAX(0,-K1315*'Inputs'!$E$47)</x:f>
        <x:v>0</x:v>
      </x:c>
      <x:c r="N1315" s="78" t="n">
        <x:f>H1315*(L1315*(1-'Inputs'!$B$15))/(I1315+L1315*(1-'Inputs'!$B$15))</x:f>
        <x:v>325880.2197791246</x:v>
      </x:c>
      <x:c r="O1315" s="78" t="n">
        <x:f>H1315-N1315</x:f>
        <x:v>1772048.5709849708</x:v>
      </x:c>
      <x:c r="P1315" s="78" t="n">
        <x:f>I1315+L1315*(1-'Inputs'!$B$17)</x:f>
        <x:v>36227.03057283674</x:v>
      </x:c>
      <x:c r="Q1315" s="78" t="n">
        <x:f>IF(J1315&gt;0,M1315/J1315,0)</x:f>
        <x:v>0</x:v>
      </x:c>
      <x:c r="R1315" s="78" t="n">
        <x:f>IF(B1315='Inputs'!$H$47,'Inputs'!$B$27*'Inputs'!$I$47,0)</x:f>
        <x:v>0</x:v>
      </x:c>
      <x:c r="S1315" s="78" t="n">
        <x:f>Q1315+G1315+R1315</x:f>
        <x:v>324376.4073935068</x:v>
      </x:c>
      <x:c r="T1315" s="78" t="n">
        <x:f>P1315*(S1315*(1-'Inputs'!$B$15))/(O1315+S1315*(1-'Inputs'!$B$15))</x:f>
        <x:v>5557.8953260094495</x:v>
      </x:c>
      <x:c r="U1315" s="78" t="n">
        <x:f>O1315+S1315*(1-'Inputs'!$B$17)</x:f>
        <x:v>2095119.6407229705</x:v>
      </x:c>
      <x:c r="V1315" s="78" t="n">
        <x:f>P1315-T1315</x:f>
        <x:v>30669.13524682729</x:v>
      </x:c>
      <x:c r="W1315" s="79" t="n">
        <x:f>IF(U1315&gt;0,V1315/U1315,0)</x:f>
        <x:v>0.014638369404166428</x:v>
      </x:c>
      <x:c r="X1315" s="80" t="n">
        <x:f>W1315*('Inputs'!$B$6-AC1315)</x:f>
        <x:v>14587620.988452805</x:v>
      </x:c>
      <x:c r="Y1315" s="80" t="n">
        <x:f>2*V1315</x:f>
        <x:v>61338.27049365458</x:v>
      </x:c>
      <x:c r="Z1315" s="80" t="n">
        <x:f>K1315*'Inputs'!$B$16+(G1315+R1315)*J1315*'Inputs'!$B$16</x:f>
        <x:v>709.8188212111949</x:v>
      </x:c>
      <x:c r="AA1315" s="80" t="n">
        <x:f>K1315*(1+'Inputs'!$E$47)/2*'Inputs'!$B$17</x:f>
        <x:v>239.94996404650453</x:v>
      </x:c>
      <x:c r="AB1315" s="78" t="n">
        <x:f>(IF(J1315&gt;0,K1315*(1-'Inputs'!$E$47)/2/J1315,0)+G1315+R1315)*'Inputs'!$B$17</x:f>
        <x:v>16203.583606713144</x:v>
      </x:c>
      <x:c r="AC1315" s="78" t="n">
        <x:f>AC1314+AB1315</x:f>
        <x:v>3466807.9696895475</x:v>
      </x:c>
      <x:c r="AD1315" s="80" t="n">
        <x:f>Z1315/(1+'Inputs'!$C$47)</x:f>
        <x:v>283.92752848447793</x:v>
      </x:c>
      <x:c r="AE1315" s="80" t="n">
        <x:f>Z1315-AD1315</x:f>
        <x:v>425.8912927267169</x:v>
      </x:c>
      <x:c r="AF1315" s="80" t="n">
        <x:f>D1315*W1315</x:f>
        <x:v>4025.1361135669385</x:v>
      </x:c>
      <x:c r="AG1315" s="80" t="n">
        <x:f>C1315*W1315</x:f>
        <x:v>9391.98426498956</x:v>
      </x:c>
      <x:c r="AH1315" s="80" t="n">
        <x:f>2*'Inputs'!$B$8*'Inputs'!$C$47</x:f>
        <x:v>7500</x:v>
      </x:c>
      <x:c r="AI1315" s="81" t="n">
        <x:f>IF(AH1315&gt;0,(AE1315+AF1315)/AH1315*365,0)</x:f>
        <x:v>216.6166671062912</x:v>
      </x:c>
      <x:c r="AJ1315" s="81" t="n">
        <x:f>IF('Inputs'!$B$47&gt;0,AG1315/('Inputs'!$B$19*'Inputs'!$B$47)*365,0)</x:f>
        <x:v>342.80742567211894</x:v>
      </x:c>
      <x:c r="AK1315" s="81" t="n">
        <x:f>W1315/MAX($W$1099:W1315)-1</x:f>
        <x:v>-0.33941137422126866</x:v>
      </x:c>
      <x:c r="AL1315" s="83" t="n">
        <x:f>'Inputs'!$B$47</x:f>
        <x:v>1</x:v>
      </x:c>
      <x:c r="AM1315" s="83" t="n">
        <x:f>'Inputs'!$C$47</x:f>
        <x:v>1.5</x:v>
      </x:c>
      <x:c r="AN1315" s="83" t="n">
        <x:f>'Inputs'!$D$47</x:f>
        <x:v>1.5</x:v>
      </x:c>
      <x:c r="AO1315" s="81" t="n">
        <x:f>'Inputs'!$E$47</x:f>
        <x:v>0.05</x:v>
      </x:c>
    </x:row>
    <x:row r="1316">
      <x:c r="A1316" s="59" t="str">
        <x:v>Growth</x:v>
      </x:c>
      <x:c r="B1316" s="59" t="n">
        <x:v>218</x:v>
      </x:c>
      <x:c r="C1316" s="78" t="n">
        <x:f>(('Inputs'!$B$29*(3*218*'Inputs'!$B$12-218^2)/(2*'Inputs'!$B$12^2))-('Inputs'!$B$29*(3*217*'Inputs'!$B$12-217^2)/(2*'Inputs'!$B$12^2)))*'Inputs'!$B$47</x:f>
        <x:v>641275.3330831528</x:v>
      </x:c>
      <x:c r="D1316" s="78" t="n">
        <x:f>IF('Inputs'!$C$47&gt;0,('Inputs'!$B$30*(3*218*'Inputs'!$B$12-218^2)/(2*'Inputs'!$B$12^2))-('Inputs'!$B$30*(3*217*'Inputs'!$B$12-217^2)/(2*'Inputs'!$B$12^2)),0)</x:f>
        <x:v>274832.28560705483</x:v>
      </x:c>
      <x:c r="E1316" s="78" t="n">
        <x:f>C1316+D1316</x:f>
        <x:v>916107.6186902076</x:v>
      </x:c>
      <x:c r="F1316" s="78" t="n">
        <x:f>'Inputs'!$B$13*E1316+(1-'Inputs'!$B$13)/'Inputs'!$B$14*SUM(E1261:E1316)</x:f>
        <x:v>926325.2955526412</x:v>
      </x:c>
      <x:c r="G1316" s="78" t="n">
        <x:f>F1316*'Inputs'!$F$47</x:f>
        <x:v>324213.8534434244</x:v>
      </x:c>
      <x:c r="H1316" s="78" t="n">
        <x:f>U1315</x:f>
        <x:v>2095119.6407229705</x:v>
      </x:c>
      <x:c r="I1316" s="78" t="n">
        <x:f>V1315</x:f>
        <x:v>30669.13524682729</x:v>
      </x:c>
      <x:c r="J1316" s="79" t="n">
        <x:f>IF(H1316&gt;0,I1316/H1316,0)</x:f>
        <x:v>0.014638369404166428</x:v>
      </x:c>
      <x:c r="K1316" s="80" t="n">
        <x:f>(H1316*J1316+I1316)*'Inputs'!$D$47*(1+'Inputs'!$G$47)^(B1316/30)</x:f>
        <x:v>114052.97505737837</x:v>
      </x:c>
      <x:c r="L1316" s="80" t="n">
        <x:f>MAX(0,K1316*'Inputs'!$E$47)</x:f>
        <x:v>5702.648752868919</x:v>
      </x:c>
      <x:c r="M1316" s="80" t="n">
        <x:f>MAX(0,-K1316*'Inputs'!$E$47)</x:f>
        <x:v>0</x:v>
      </x:c>
      <x:c r="N1316" s="78" t="n">
        <x:f>H1316*(L1316*(1-'Inputs'!$B$15))/(I1316+L1316*(1-'Inputs'!$B$15))</x:f>
        <x:v>325714.8030867088</x:v>
      </x:c>
      <x:c r="O1316" s="78" t="n">
        <x:f>H1316-N1316</x:f>
        <x:v>1769404.8376362617</x:v>
      </x:c>
      <x:c r="P1316" s="78" t="n">
        <x:f>I1316+L1316*(1-'Inputs'!$B$17)</x:f>
        <x:v>36348.83571497641</x:v>
      </x:c>
      <x:c r="Q1316" s="78" t="n">
        <x:f>IF(J1316&gt;0,M1316/J1316,0)</x:f>
        <x:v>0</x:v>
      </x:c>
      <x:c r="R1316" s="78" t="n">
        <x:f>IF(B1316='Inputs'!$H$47,'Inputs'!$B$27*'Inputs'!$I$47,0)</x:f>
        <x:v>0</x:v>
      </x:c>
      <x:c r="S1316" s="78" t="n">
        <x:f>Q1316+G1316+R1316</x:f>
        <x:v>324213.8534434244</x:v>
      </x:c>
      <x:c r="T1316" s="78" t="n">
        <x:f>P1316*(S1316*(1-'Inputs'!$B$15))/(O1316+S1316*(1-'Inputs'!$B$15))</x:f>
        <x:v>5581.266265245561</x:v>
      </x:c>
      <x:c r="U1316" s="78" t="n">
        <x:f>O1316+S1316*(1-'Inputs'!$B$17)</x:f>
        <x:v>2092314.0075648231</x:v>
      </x:c>
      <x:c r="V1316" s="78" t="n">
        <x:f>P1316-T1316</x:f>
        <x:v>30767.56944973085</x:v>
      </x:c>
      <x:c r="W1316" s="79" t="n">
        <x:f>IF(U1316&gt;0,V1316/U1316,0)</x:f>
        <x:v>0.014705043955395698</x:v>
      </x:c>
      <x:c r="X1316" s="80" t="n">
        <x:f>W1316*('Inputs'!$B$6-AC1316)</x:f>
        <x:v>14653826.20470155</x:v>
      </x:c>
      <x:c r="Y1316" s="80" t="n">
        <x:f>2*V1316</x:f>
        <x:v>61535.1388994617</x:v>
      </x:c>
      <x:c r="Z1316" s="80" t="n">
        <x:f>K1316*'Inputs'!$B$16+(G1316+R1316)*J1316*'Inputs'!$B$16</x:f>
        <x:v>712.793623260189</x:v>
      </x:c>
      <x:c r="AA1316" s="80" t="n">
        <x:f>K1316*(1+'Inputs'!$E$47)/2*'Inputs'!$B$17</x:f>
        <x:v>240.95698955784164</x:v>
      </x:c>
      <x:c r="AB1316" s="78" t="n">
        <x:f>(IF(J1316&gt;0,K1316*(1-'Inputs'!$E$47)/2/J1316,0)+G1316+R1316)*'Inputs'!$B$17</x:f>
        <x:v>16197.64726094765</x:v>
      </x:c>
      <x:c r="AC1316" s="78" t="n">
        <x:f>AC1315+AB1316</x:f>
        <x:v>3483005.616950495</x:v>
      </x:c>
      <x:c r="AD1316" s="80" t="n">
        <x:f>Z1316/(1+'Inputs'!$C$47)</x:f>
        <x:v>285.1174493040756</x:v>
      </x:c>
      <x:c r="AE1316" s="80" t="n">
        <x:f>Z1316-AD1316</x:f>
        <x:v>427.67617395611336</x:v>
      </x:c>
      <x:c r="AF1316" s="80" t="n">
        <x:f>D1316*W1316</x:f>
        <x:v>4041.4208402136055</x:v>
      </x:c>
      <x:c r="AG1316" s="80" t="n">
        <x:f>C1316*W1316</x:f>
        <x:v>9429.981960498779</x:v>
      </x:c>
      <x:c r="AH1316" s="80" t="n">
        <x:f>2*'Inputs'!$B$8*'Inputs'!$C$47</x:f>
        <x:v>7500</x:v>
      </x:c>
      <x:c r="AI1316" s="81" t="n">
        <x:f>IF(AH1316&gt;0,(AE1316+AF1316)/AH1316*365,0)</x:f>
        <x:v>217.496054689593</x:v>
      </x:c>
      <x:c r="AJ1316" s="81" t="n">
        <x:f>IF('Inputs'!$B$47&gt;0,AG1316/('Inputs'!$B$19*'Inputs'!$B$47)*365,0)</x:f>
        <x:v>344.19434155820545</x:v>
      </x:c>
      <x:c r="AK1316" s="81" t="n">
        <x:f>W1316/MAX($W$1099:W1316)-1</x:f>
        <x:v>-0.3364025384039119</x:v>
      </x:c>
      <x:c r="AL1316" s="83" t="n">
        <x:f>'Inputs'!$B$47</x:f>
        <x:v>1</x:v>
      </x:c>
      <x:c r="AM1316" s="83" t="n">
        <x:f>'Inputs'!$C$47</x:f>
        <x:v>1.5</x:v>
      </x:c>
      <x:c r="AN1316" s="83" t="n">
        <x:f>'Inputs'!$D$47</x:f>
        <x:v>1.5</x:v>
      </x:c>
      <x:c r="AO1316" s="81" t="n">
        <x:f>'Inputs'!$E$47</x:f>
        <x:v>0.05</x:v>
      </x:c>
    </x:row>
    <x:row r="1317">
      <x:c r="A1317" s="59" t="str">
        <x:v>Growth</x:v>
      </x:c>
      <x:c r="B1317" s="59" t="n">
        <x:v>219</x:v>
      </x:c>
      <x:c r="C1317" s="78" t="n">
        <x:f>(('Inputs'!$B$29*(3*219*'Inputs'!$B$12-219^2)/(2*'Inputs'!$B$12^2))-('Inputs'!$B$29*(3*218*'Inputs'!$B$12-218^2)/(2*'Inputs'!$B$12^2)))*'Inputs'!$B$47</x:f>
        <x:v>640950.2251829505</x:v>
      </x:c>
      <x:c r="D1317" s="78" t="n">
        <x:f>IF('Inputs'!$C$47&gt;0,('Inputs'!$B$30*(3*219*'Inputs'!$B$12-219^2)/(2*'Inputs'!$B$12^2))-('Inputs'!$B$30*(3*218*'Inputs'!$B$12-218^2)/(2*'Inputs'!$B$12^2)),0)</x:f>
        <x:v>274692.95364984125</x:v>
      </x:c>
      <x:c r="E1317" s="78" t="n">
        <x:f>C1317+D1317</x:f>
        <x:v>915643.1788327917</x:v>
      </x:c>
      <x:c r="F1317" s="78" t="n">
        <x:f>'Inputs'!$B$13*E1317+(1-'Inputs'!$B$13)/'Inputs'!$B$14*SUM(E1262:E1317)</x:f>
        <x:v>925860.8556952506</x:v>
      </x:c>
      <x:c r="G1317" s="78" t="n">
        <x:f>F1317*'Inputs'!$F$47</x:f>
        <x:v>324051.2994933377</x:v>
      </x:c>
      <x:c r="H1317" s="78" t="n">
        <x:f>U1316</x:f>
        <x:v>2092314.0075648231</x:v>
      </x:c>
      <x:c r="I1317" s="78" t="n">
        <x:f>V1316</x:f>
        <x:v>30767.56944973085</x:v>
      </x:c>
      <x:c r="J1317" s="79" t="n">
        <x:f>IF(H1317&gt;0,I1317/H1317,0)</x:f>
        <x:v>0.014705043955395698</x:v>
      </x:c>
      <x:c r="K1317" s="80" t="n">
        <x:f>(H1317*J1317+I1317)*'Inputs'!$D$47*(1+'Inputs'!$G$47)^(B1317/30)</x:f>
        <x:v>114531.82595796064</x:v>
      </x:c>
      <x:c r="L1317" s="80" t="n">
        <x:f>MAX(0,K1317*'Inputs'!$E$47)</x:f>
        <x:v>5726.591297898032</x:v>
      </x:c>
      <x:c r="M1317" s="80" t="n">
        <x:f>MAX(0,-K1317*'Inputs'!$E$47)</x:f>
        <x:v>0</x:v>
      </x:c>
      <x:c r="N1317" s="78" t="n">
        <x:f>H1317*(L1317*(1-'Inputs'!$B$15))/(I1317+L1317*(1-'Inputs'!$B$15))</x:f>
        <x:v>325549.3908067246</x:v>
      </x:c>
      <x:c r="O1317" s="78" t="n">
        <x:f>H1317-N1317</x:f>
        <x:v>1766764.6167580986</x:v>
      </x:c>
      <x:c r="P1317" s="78" t="n">
        <x:f>I1317+L1317*(1-'Inputs'!$B$17)</x:f>
        <x:v>36471.11611463936</x:v>
      </x:c>
      <x:c r="Q1317" s="78" t="n">
        <x:f>IF(J1317&gt;0,M1317/J1317,0)</x:f>
        <x:v>0</x:v>
      </x:c>
      <x:c r="R1317" s="78" t="n">
        <x:f>IF(B1317='Inputs'!$H$47,'Inputs'!$B$27*'Inputs'!$I$47,0)</x:f>
        <x:v>0</x:v>
      </x:c>
      <x:c r="S1317" s="78" t="n">
        <x:f>Q1317+G1317+R1317</x:f>
        <x:v>324051.2994933377</x:v>
      </x:c>
      <x:c r="T1317" s="78" t="n">
        <x:f>P1317*(S1317*(1-'Inputs'!$B$15))/(O1317+S1317*(1-'Inputs'!$B$15))</x:f>
        <x:v>5604.744828359354</x:v>
      </x:c>
      <x:c r="U1317" s="78" t="n">
        <x:f>O1317+S1317*(1-'Inputs'!$B$17)</x:f>
        <x:v>2089511.8868772176</x:v>
      </x:c>
      <x:c r="V1317" s="78" t="n">
        <x:f>P1317-T1317</x:f>
        <x:v>30866.371286280002</x:v>
      </x:c>
      <x:c r="W1317" s="79" t="n">
        <x:f>IF(U1317&gt;0,V1317/U1317,0)</x:f>
        <x:v>0.014772048668461941</x:v>
      </x:c>
      <x:c r="X1317" s="80" t="n">
        <x:f>W1317*('Inputs'!$B$6-AC1317)</x:f>
        <x:v>14720358.355232202</x:v>
      </x:c>
      <x:c r="Y1317" s="80" t="n">
        <x:f>2*V1317</x:f>
        <x:v>61732.742572560004</x:v>
      </x:c>
      <x:c r="Z1317" s="80" t="n">
        <x:f>K1317*'Inputs'!$B$16+(G1317+R1317)*J1317*'Inputs'!$B$16</x:f>
        <x:v>715.7820873648795</x:v>
      </x:c>
      <x:c r="AA1317" s="80" t="n">
        <x:f>K1317*(1+'Inputs'!$E$47)/2*'Inputs'!$B$17</x:f>
        <x:v>241.9686463900577</x:v>
      </x:c>
      <x:c r="AB1317" s="78" t="n">
        <x:f>(IF(J1317&gt;0,K1317*(1-'Inputs'!$E$47)/2/J1317,0)+G1317+R1317)*'Inputs'!$B$17</x:f>
        <x:v>16191.711047567143</x:v>
      </x:c>
      <x:c r="AC1317" s="78" t="n">
        <x:f>AC1316+AB1317</x:f>
        <x:v>3499197.327998062</x:v>
      </x:c>
      <x:c r="AD1317" s="80" t="n">
        <x:f>Z1317/(1+'Inputs'!$C$47)</x:f>
        <x:v>286.3128349459518</x:v>
      </x:c>
      <x:c r="AE1317" s="80" t="n">
        <x:f>Z1317-AD1317</x:f>
        <x:v>429.46925241892774</x:v>
      </x:c>
      <x:c r="AF1317" s="80" t="n">
        <x:f>D1317*W1317</x:f>
        <x:v>4057.7776801990153</x:v>
      </x:c>
      <x:c r="AG1317" s="80" t="n">
        <x:f>C1317*W1317</x:f>
        <x:v>9468.147920464186</x:v>
      </x:c>
      <x:c r="AH1317" s="80" t="n">
        <x:f>2*'Inputs'!$B$8*'Inputs'!$C$47</x:f>
        <x:v>7500</x:v>
      </x:c>
      <x:c r="AI1317" s="81" t="n">
        <x:f>IF(AH1317&gt;0,(AE1317+AF1317)/AH1317*365,0)</x:f>
        <x:v>218.37935072073992</x:v>
      </x:c>
      <x:c r="AJ1317" s="81" t="n">
        <x:f>IF('Inputs'!$B$47&gt;0,AG1317/('Inputs'!$B$19*'Inputs'!$B$47)*365,0)</x:f>
        <x:v>345.58739909694276</x:v>
      </x:c>
      <x:c r="AK1317" s="81" t="n">
        <x:f>W1317/MAX($W$1099:W1317)-1</x:f>
        <x:v>-0.33337880330726033</x:v>
      </x:c>
      <x:c r="AL1317" s="83" t="n">
        <x:f>'Inputs'!$B$47</x:f>
        <x:v>1</x:v>
      </x:c>
      <x:c r="AM1317" s="83" t="n">
        <x:f>'Inputs'!$C$47</x:f>
        <x:v>1.5</x:v>
      </x:c>
      <x:c r="AN1317" s="83" t="n">
        <x:f>'Inputs'!$D$47</x:f>
        <x:v>1.5</x:v>
      </x:c>
      <x:c r="AO1317" s="81" t="n">
        <x:f>'Inputs'!$E$47</x:f>
        <x:v>0.05</x:v>
      </x:c>
    </x:row>
    <x:row r="1318">
      <x:c r="A1318" s="59" t="str">
        <x:v>Growth</x:v>
      </x:c>
      <x:c r="B1318" s="59" t="n">
        <x:v>220</x:v>
      </x:c>
      <x:c r="C1318" s="78" t="n">
        <x:f>(('Inputs'!$B$29*(3*220*'Inputs'!$B$12-220^2)/(2*'Inputs'!$B$12^2))-('Inputs'!$B$29*(3*219*'Inputs'!$B$12-219^2)/(2*'Inputs'!$B$12^2)))*'Inputs'!$B$47</x:f>
        <x:v>640625.117282778</x:v>
      </x:c>
      <x:c r="D1318" s="78" t="n">
        <x:f>IF('Inputs'!$C$47&gt;0,('Inputs'!$B$30*(3*220*'Inputs'!$B$12-220^2)/(2*'Inputs'!$B$12^2))-('Inputs'!$B$30*(3*219*'Inputs'!$B$12-219^2)/(2*'Inputs'!$B$12^2)),0)</x:f>
        <x:v>274553.62169262767</x:v>
      </x:c>
      <x:c r="E1318" s="78" t="n">
        <x:f>C1318+D1318</x:f>
        <x:v>915178.7389754057</x:v>
      </x:c>
      <x:c r="F1318" s="78" t="n">
        <x:f>'Inputs'!$B$13*E1318+(1-'Inputs'!$B$13)/'Inputs'!$B$14*SUM(E1263:E1318)</x:f>
        <x:v>925396.4158378658</x:v>
      </x:c>
      <x:c r="G1318" s="78" t="n">
        <x:f>F1318*'Inputs'!$F$47</x:f>
        <x:v>323888.745543253</x:v>
      </x:c>
      <x:c r="H1318" s="78" t="n">
        <x:f>U1317</x:f>
        <x:v>2089511.8868772176</x:v>
      </x:c>
      <x:c r="I1318" s="78" t="n">
        <x:f>V1317</x:f>
        <x:v>30866.371286280002</x:v>
      </x:c>
      <x:c r="J1318" s="79" t="n">
        <x:f>IF(H1318&gt;0,I1318/H1318,0)</x:f>
        <x:v>0.014772048668461941</x:v>
      </x:c>
      <x:c r="K1318" s="80" t="n">
        <x:f>(H1318*J1318+I1318)*'Inputs'!$D$47*(1+'Inputs'!$G$47)^(B1318/30)</x:f>
        <x:v>115012.87996860026</x:v>
      </x:c>
      <x:c r="L1318" s="80" t="n">
        <x:f>MAX(0,K1318*'Inputs'!$E$47)</x:f>
        <x:v>5750.643998430013</x:v>
      </x:c>
      <x:c r="M1318" s="80" t="n">
        <x:f>MAX(0,-K1318*'Inputs'!$E$47)</x:f>
        <x:v>0</x:v>
      </x:c>
      <x:c r="N1318" s="78" t="n">
        <x:f>H1318*(L1318*(1-'Inputs'!$B$15))/(I1318+L1318*(1-'Inputs'!$B$15))</x:f>
        <x:v>325383.98293377575</x:v>
      </x:c>
      <x:c r="O1318" s="78" t="n">
        <x:f>H1318-N1318</x:f>
        <x:v>1764127.9039434418</x:v>
      </x:c>
      <x:c r="P1318" s="78" t="n">
        <x:f>I1318+L1318*(1-'Inputs'!$B$17)</x:f>
        <x:v>36593.87386016905</x:v>
      </x:c>
      <x:c r="Q1318" s="78" t="n">
        <x:f>IF(J1318&gt;0,M1318/J1318,0)</x:f>
        <x:v>0</x:v>
      </x:c>
      <x:c r="R1318" s="78" t="n">
        <x:f>IF(B1318='Inputs'!$H$47,'Inputs'!$B$27*'Inputs'!$I$47,0)</x:f>
        <x:v>0</x:v>
      </x:c>
      <x:c r="S1318" s="78" t="n">
        <x:f>Q1318+G1318+R1318</x:f>
        <x:v>323888.745543253</x:v>
      </x:c>
      <x:c r="T1318" s="78" t="n">
        <x:f>P1318*(S1318*(1-'Inputs'!$B$15))/(O1318+S1318*(1-'Inputs'!$B$15))</x:f>
        <x:v>5628.331553534124</x:v>
      </x:c>
      <x:c r="U1318" s="78" t="n">
        <x:f>O1318+S1318*(1-'Inputs'!$B$17)</x:f>
        <x:v>2086713.2742531204</x:v>
      </x:c>
      <x:c r="V1318" s="78" t="n">
        <x:f>P1318-T1318</x:f>
        <x:v>30965.542306634925</x:v>
      </x:c>
      <x:c r="W1318" s="79" t="n">
        <x:f>IF(U1318&gt;0,V1318/U1318,0)</x:f>
        <x:v>0.014839385309281727</x:v>
      </x:c>
      <x:c r="X1318" s="80" t="n">
        <x:f>W1318*('Inputs'!$B$6-AC1318)</x:f>
        <x:v>14787219.184907118</x:v>
      </x:c>
      <x:c r="Y1318" s="80" t="n">
        <x:f>2*V1318</x:f>
        <x:v>61931.08461326985</x:v>
      </x:c>
      <x:c r="Z1318" s="80" t="n">
        <x:f>K1318*'Inputs'!$B$16+(G1318+R1318)*J1318*'Inputs'!$B$16</x:f>
        <x:v>718.7842816855937</x:v>
      </x:c>
      <x:c r="AA1318" s="80" t="n">
        <x:f>K1318*(1+'Inputs'!$E$47)/2*'Inputs'!$B$17</x:f>
        <x:v>242.98495768014143</x:v>
      </x:c>
      <x:c r="AB1318" s="78" t="n">
        <x:f>(IF(J1318&gt;0,K1318*(1-'Inputs'!$E$47)/2/J1318,0)+G1318+R1318)*'Inputs'!$B$17</x:f>
        <x:v>16185.774965206641</x:v>
      </x:c>
      <x:c r="AC1318" s="78" t="n">
        <x:f>AC1317+AB1318</x:f>
        <x:v>3515383.1029632688</x:v>
      </x:c>
      <x:c r="AD1318" s="80" t="n">
        <x:f>Z1318/(1+'Inputs'!$C$47)</x:f>
        <x:v>287.51371267423747</x:v>
      </x:c>
      <x:c r="AE1318" s="80" t="n">
        <x:f>Z1318-AD1318</x:f>
        <x:v>431.2705690113562</x:v>
      </x:c>
      <x:c r="AF1318" s="80" t="n">
        <x:f>D1318*W1318</x:f>
        <x:v>4074.206980355672</x:v>
      </x:c>
      <x:c r="AG1318" s="80" t="n">
        <x:f>C1318*W1318</x:f>
        <x:v>9506.482954162939</x:v>
      </x:c>
      <x:c r="AH1318" s="80" t="n">
        <x:f>2*'Inputs'!$B$8*'Inputs'!$C$47</x:f>
        <x:v>7500</x:v>
      </x:c>
      <x:c r="AI1318" s="81" t="n">
        <x:f>IF(AH1318&gt;0,(AE1318+AF1318)/AH1318*365,0)</x:f>
        <x:v>219.26657406919534</x:v>
      </x:c>
      <x:c r="AJ1318" s="81" t="n">
        <x:f>IF('Inputs'!$B$47&gt;0,AG1318/('Inputs'!$B$19*'Inputs'!$B$47)*365,0)</x:f>
        <x:v>346.98662782694726</x:v>
      </x:c>
      <x:c r="AK1318" s="81" t="n">
        <x:f>W1318/MAX($W$1099:W1318)-1</x:f>
        <x:v>-0.33034008924044367</x:v>
      </x:c>
      <x:c r="AL1318" s="83" t="n">
        <x:f>'Inputs'!$B$47</x:f>
        <x:v>1</x:v>
      </x:c>
      <x:c r="AM1318" s="83" t="n">
        <x:f>'Inputs'!$C$47</x:f>
        <x:v>1.5</x:v>
      </x:c>
      <x:c r="AN1318" s="83" t="n">
        <x:f>'Inputs'!$D$47</x:f>
        <x:v>1.5</x:v>
      </x:c>
      <x:c r="AO1318" s="81" t="n">
        <x:f>'Inputs'!$E$47</x:f>
        <x:v>0.05</x:v>
      </x:c>
    </x:row>
    <x:row r="1319">
      <x:c r="A1319" s="59" t="str">
        <x:v>Growth</x:v>
      </x:c>
      <x:c r="B1319" s="59" t="n">
        <x:v>221</x:v>
      </x:c>
      <x:c r="C1319" s="78" t="n">
        <x:f>(('Inputs'!$B$29*(3*221*'Inputs'!$B$12-221^2)/(2*'Inputs'!$B$12^2))-('Inputs'!$B$29*(3*220*'Inputs'!$B$12-220^2)/(2*'Inputs'!$B$12^2)))*'Inputs'!$B$47</x:f>
        <x:v>640300.0093826354</x:v>
      </x:c>
      <x:c r="D1319" s="78" t="n">
        <x:f>IF('Inputs'!$C$47&gt;0,('Inputs'!$B$30*(3*221*'Inputs'!$B$12-221^2)/(2*'Inputs'!$B$12^2))-('Inputs'!$B$30*(3*220*'Inputs'!$B$12-220^2)/(2*'Inputs'!$B$12^2)),0)</x:f>
        <x:v>274414.28973540664</x:v>
      </x:c>
      <x:c r="E1319" s="78" t="n">
        <x:f>C1319+D1319</x:f>
        <x:v>914714.299118042</x:v>
      </x:c>
      <x:c r="F1319" s="78" t="n">
        <x:f>'Inputs'!$B$13*E1319+(1-'Inputs'!$B$13)/'Inputs'!$B$14*SUM(E1264:E1319)</x:f>
        <x:v>924931.9759804859</x:v>
      </x:c>
      <x:c r="G1319" s="78" t="n">
        <x:f>F1319*'Inputs'!$F$47</x:f>
        <x:v>323726.19159317005</x:v>
      </x:c>
      <x:c r="H1319" s="78" t="n">
        <x:f>U1318</x:f>
        <x:v>2086713.2742531204</x:v>
      </x:c>
      <x:c r="I1319" s="78" t="n">
        <x:f>V1318</x:f>
        <x:v>30965.542306634925</x:v>
      </x:c>
      <x:c r="J1319" s="79" t="n">
        <x:f>IF(H1319&gt;0,I1319/H1319,0)</x:f>
        <x:v>0.014839385309281727</x:v>
      </x:c>
      <x:c r="K1319" s="80" t="n">
        <x:f>(H1319*J1319+I1319)*'Inputs'!$D$47*(1+'Inputs'!$G$47)^(B1319/30)</x:f>
        <x:v>115496.14809973814</x:v>
      </x:c>
      <x:c r="L1319" s="80" t="n">
        <x:f>MAX(0,K1319*'Inputs'!$E$47)</x:f>
        <x:v>5774.807404986907</x:v>
      </x:c>
      <x:c r="M1319" s="80" t="n">
        <x:f>MAX(0,-K1319*'Inputs'!$E$47)</x:f>
        <x:v>0</x:v>
      </x:c>
      <x:c r="N1319" s="78" t="n">
        <x:f>H1319*(L1319*(1-'Inputs'!$B$15))/(I1319+L1319*(1-'Inputs'!$B$15))</x:f>
        <x:v>325218.57946247415</x:v>
      </x:c>
      <x:c r="O1319" s="78" t="n">
        <x:f>H1319-N1319</x:f>
        <x:v>1761494.6947906462</x:v>
      </x:c>
      <x:c r="P1319" s="78" t="n">
        <x:f>I1319+L1319*(1-'Inputs'!$B$17)</x:f>
        <x:v>36717.11105003235</x:v>
      </x:c>
      <x:c r="Q1319" s="78" t="n">
        <x:f>IF(J1319&gt;0,M1319/J1319,0)</x:f>
        <x:v>0</x:v>
      </x:c>
      <x:c r="R1319" s="78" t="n">
        <x:f>IF(B1319='Inputs'!$H$47,'Inputs'!$B$27*'Inputs'!$I$47,0)</x:f>
        <x:v>0</x:v>
      </x:c>
      <x:c r="S1319" s="78" t="n">
        <x:f>Q1319+G1319+R1319</x:f>
        <x:v>323726.19159317005</x:v>
      </x:c>
      <x:c r="T1319" s="78" t="n">
        <x:f>P1319*(S1319*(1-'Inputs'!$B$15))/(O1319+S1319*(1-'Inputs'!$B$15))</x:f>
        <x:v>5652.026981851357</x:v>
      </x:c>
      <x:c r="U1319" s="78" t="n">
        <x:f>O1319+S1319*(1-'Inputs'!$B$17)</x:f>
        <x:v>2083918.165290886</x:v>
      </x:c>
      <x:c r="V1319" s="78" t="n">
        <x:f>P1319-T1319</x:f>
        <x:v>31065.084068180993</x:v>
      </x:c>
      <x:c r="W1319" s="79" t="n">
        <x:f>IF(U1319&gt;0,V1319/U1319,0)</x:f>
        <x:v>0.014907055653907954</x:v>
      </x:c>
      <x:c r="X1319" s="80" t="n">
        <x:f>W1319*('Inputs'!$B$6-AC1319)</x:f>
        <x:v>14854410.448586643</x:v>
      </x:c>
      <x:c r="Y1319" s="80" t="n">
        <x:f>2*V1319</x:f>
        <x:v>62130.16813636199</x:v>
      </x:c>
      <x:c r="Z1319" s="80" t="n">
        <x:f>K1319*'Inputs'!$B$16+(G1319+R1319)*J1319*'Inputs'!$B$16</x:f>
        <x:v>721.8002747489734</x:v>
      </x:c>
      <x:c r="AA1319" s="80" t="n">
        <x:f>K1319*(1+'Inputs'!$E$47)/2*'Inputs'!$B$17</x:f>
        <x:v>244.00594668958766</x:v>
      </x:c>
      <x:c r="AB1319" s="78" t="n">
        <x:f>(IF(J1319&gt;0,K1319*(1-'Inputs'!$E$47)/2/J1319,0)+G1319+R1319)*'Inputs'!$B$17</x:f>
        <x:v>16179.839012499191</x:v>
      </x:c>
      <x:c r="AC1319" s="78" t="n">
        <x:f>AC1318+AB1319</x:f>
        <x:v>3531562.9419757677</x:v>
      </x:c>
      <x:c r="AD1319" s="80" t="n">
        <x:f>Z1319/(1+'Inputs'!$C$47)</x:f>
        <x:v>288.7201098995894</x:v>
      </x:c>
      <x:c r="AE1319" s="80" t="n">
        <x:f>Z1319-AD1319</x:f>
        <x:v>433.080164849384</x:v>
      </x:c>
      <x:c r="AF1319" s="80" t="n">
        <x:f>D1319*W1319</x:f>
        <x:v>4090.709089313329</x:v>
      </x:c>
      <x:c r="AG1319" s="80" t="n">
        <x:f>C1319*W1319</x:f>
        <x:v>9544.987875064731</x:v>
      </x:c>
      <x:c r="AH1319" s="80" t="n">
        <x:f>2*'Inputs'!$B$8*'Inputs'!$C$47</x:f>
        <x:v>7500</x:v>
      </x:c>
      <x:c r="AI1319" s="81" t="n">
        <x:f>IF(AH1319&gt;0,(AE1319+AF1319)/AH1319*365,0)</x:f>
        <x:v>220.15774370258538</x:v>
      </x:c>
      <x:c r="AJ1319" s="81" t="n">
        <x:f>IF('Inputs'!$B$47&gt;0,AG1319/('Inputs'!$B$19*'Inputs'!$B$47)*365,0)</x:f>
        <x:v>348.3920574398627</x:v>
      </x:c>
      <x:c r="AK1319" s="81" t="n">
        <x:f>W1319/MAX($W$1099:W1319)-1</x:f>
        <x:v>-0.32728631605516734</x:v>
      </x:c>
      <x:c r="AL1319" s="83" t="n">
        <x:f>'Inputs'!$B$47</x:f>
        <x:v>1</x:v>
      </x:c>
      <x:c r="AM1319" s="83" t="n">
        <x:f>'Inputs'!$C$47</x:f>
        <x:v>1.5</x:v>
      </x:c>
      <x:c r="AN1319" s="83" t="n">
        <x:f>'Inputs'!$D$47</x:f>
        <x:v>1.5</x:v>
      </x:c>
      <x:c r="AO1319" s="81" t="n">
        <x:f>'Inputs'!$E$47</x:f>
        <x:v>0.05</x:v>
      </x:c>
    </x:row>
    <x:row r="1320">
      <x:c r="A1320" s="59" t="str">
        <x:v>Growth</x:v>
      </x:c>
      <x:c r="B1320" s="59" t="n">
        <x:v>222</x:v>
      </x:c>
      <x:c r="C1320" s="78" t="n">
        <x:f>(('Inputs'!$B$29*(3*222*'Inputs'!$B$12-222^2)/(2*'Inputs'!$B$12^2))-('Inputs'!$B$29*(3*221*'Inputs'!$B$12-221^2)/(2*'Inputs'!$B$12^2)))*'Inputs'!$B$47</x:f>
        <x:v>639974.9014824629</x:v>
      </x:c>
      <x:c r="D1320" s="78" t="n">
        <x:f>IF('Inputs'!$C$47&gt;0,('Inputs'!$B$30*(3*222*'Inputs'!$B$12-222^2)/(2*'Inputs'!$B$12^2))-('Inputs'!$B$30*(3*221*'Inputs'!$B$12-221^2)/(2*'Inputs'!$B$12^2)),0)</x:f>
        <x:v>274274.95777819306</x:v>
      </x:c>
      <x:c r="E1320" s="78" t="n">
        <x:f>C1320+D1320</x:f>
        <x:v>914249.8592606559</x:v>
      </x:c>
      <x:c r="F1320" s="78" t="n">
        <x:f>'Inputs'!$B$13*E1320+(1-'Inputs'!$B$13)/'Inputs'!$B$14*SUM(E1265:E1320)</x:f>
        <x:v>924467.5361231014</x:v>
      </x:c>
      <x:c r="G1320" s="78" t="n">
        <x:f>F1320*'Inputs'!$F$47</x:f>
        <x:v>323563.63764308544</x:v>
      </x:c>
      <x:c r="H1320" s="78" t="n">
        <x:f>U1319</x:f>
        <x:v>2083918.165290886</x:v>
      </x:c>
      <x:c r="I1320" s="78" t="n">
        <x:f>V1319</x:f>
        <x:v>31065.084068180993</x:v>
      </x:c>
      <x:c r="J1320" s="79" t="n">
        <x:f>IF(H1320&gt;0,I1320/H1320,0)</x:f>
        <x:v>0.014907055653907954</x:v>
      </x:c>
      <x:c r="K1320" s="80" t="n">
        <x:f>(H1320*J1320+I1320)*'Inputs'!$D$47*(1+'Inputs'!$G$47)^(B1320/30)</x:f>
        <x:v>115981.64142108767</x:v>
      </x:c>
      <x:c r="L1320" s="80" t="n">
        <x:f>MAX(0,K1320*'Inputs'!$E$47)</x:f>
        <x:v>5799.082071054384</x:v>
      </x:c>
      <x:c r="M1320" s="80" t="n">
        <x:f>MAX(0,-K1320*'Inputs'!$E$47)</x:f>
        <x:v>0</x:v>
      </x:c>
      <x:c r="N1320" s="78" t="n">
        <x:f>H1320*(L1320*(1-'Inputs'!$B$15))/(I1320+L1320*(1-'Inputs'!$B$15))</x:f>
        <x:v>325053.18038743734</x:v>
      </x:c>
      <x:c r="O1320" s="78" t="n">
        <x:f>H1320-N1320</x:f>
        <x:v>1758864.9849034487</x:v>
      </x:c>
      <x:c r="P1320" s="78" t="n">
        <x:f>I1320+L1320*(1-'Inputs'!$B$17)</x:f>
        <x:v>36840.82979287299</x:v>
      </x:c>
      <x:c r="Q1320" s="78" t="n">
        <x:f>IF(J1320&gt;0,M1320/J1320,0)</x:f>
        <x:v>0</x:v>
      </x:c>
      <x:c r="R1320" s="78" t="n">
        <x:f>IF(B1320='Inputs'!$H$47,'Inputs'!$B$27*'Inputs'!$I$47,0)</x:f>
        <x:v>0</x:v>
      </x:c>
      <x:c r="S1320" s="78" t="n">
        <x:f>Q1320+G1320+R1320</x:f>
        <x:v>323563.63764308544</x:v>
      </x:c>
      <x:c r="T1320" s="78" t="n">
        <x:f>P1320*(S1320*(1-'Inputs'!$B$15))/(O1320+S1320*(1-'Inputs'!$B$15))</x:f>
        <x:v>5675.831657307518</x:v>
      </x:c>
      <x:c r="U1320" s="78" t="n">
        <x:f>O1320+S1320*(1-'Inputs'!$B$17)</x:f>
        <x:v>2081126.5555942482</x:v>
      </x:c>
      <x:c r="V1320" s="78" t="n">
        <x:f>P1320-T1320</x:f>
        <x:v>31164.99813556547</x:v>
      </x:c>
      <x:c r="W1320" s="79" t="n">
        <x:f>IF(U1320&gt;0,V1320/U1320,0)</x:f>
        <x:v>0.014975061488591965</x:v>
      </x:c>
      <x:c r="X1320" s="80" t="n">
        <x:f>W1320*('Inputs'!$B$6-AC1320)</x:f>
        <x:v>14921933.911190294</x:v>
      </x:c>
      <x:c r="Y1320" s="80" t="n">
        <x:f>2*V1320</x:f>
        <x:v>62329.99627113094</x:v>
      </x:c>
      <x:c r="Z1320" s="80" t="n">
        <x:f>K1320*'Inputs'!$B$16+(G1320+R1320)*J1320*'Inputs'!$B$16</x:f>
        <x:v>724.8301354500843</x:v>
      </x:c>
      <x:c r="AA1320" s="80" t="n">
        <x:f>K1320*(1+'Inputs'!$E$47)/2*'Inputs'!$B$17</x:f>
        <x:v>245.03163680511483</x:v>
      </x:c>
      <x:c r="AB1320" s="78" t="n">
        <x:f>(IF(J1320&gt;0,K1320*(1-'Inputs'!$E$47)/2/J1320,0)+G1320+R1320)*'Inputs'!$B$17</x:f>
        <x:v>16173.903188075816</x:v>
      </x:c>
      <x:c r="AC1320" s="78" t="n">
        <x:f>AC1319+AB1320</x:f>
        <x:v>3547736.8451638436</x:v>
      </x:c>
      <x:c r="AD1320" s="80" t="n">
        <x:f>Z1320/(1+'Inputs'!$C$47)</x:f>
        <x:v>289.93205418003373</x:v>
      </x:c>
      <x:c r="AE1320" s="80" t="n">
        <x:f>Z1320-AD1320</x:f>
        <x:v>434.89808127005057</x:v>
      </x:c>
      <x:c r="AF1320" s="80" t="n">
        <x:f>D1320*W1320</x:f>
        <x:v>4107.284357509406</x:v>
      </x:c>
      <x:c r="AG1320" s="80" t="n">
        <x:f>C1320*W1320</x:f>
        <x:v>9583.663500855468</x:v>
      </x:c>
      <x:c r="AH1320" s="80" t="n">
        <x:f>2*'Inputs'!$B$8*'Inputs'!$C$47</x:f>
        <x:v>7500</x:v>
      </x:c>
      <x:c r="AI1320" s="81" t="n">
        <x:f>IF(AH1320&gt;0,(AE1320+AF1320)/AH1320*365,0)</x:f>
        <x:v>221.05287868726688</x:v>
      </x:c>
      <x:c r="AJ1320" s="81" t="n">
        <x:f>IF('Inputs'!$B$47&gt;0,AG1320/('Inputs'!$B$19*'Inputs'!$B$47)*365,0)</x:f>
        <x:v>349.8037177812246</x:v>
      </x:c>
      <x:c r="AK1320" s="81" t="n">
        <x:f>W1320/MAX($W$1099:W1320)-1</x:f>
        <x:v>-0.3242174031429096</x:v>
      </x:c>
      <x:c r="AL1320" s="83" t="n">
        <x:f>'Inputs'!$B$47</x:f>
        <x:v>1</x:v>
      </x:c>
      <x:c r="AM1320" s="83" t="n">
        <x:f>'Inputs'!$C$47</x:f>
        <x:v>1.5</x:v>
      </x:c>
      <x:c r="AN1320" s="83" t="n">
        <x:f>'Inputs'!$D$47</x:f>
        <x:v>1.5</x:v>
      </x:c>
      <x:c r="AO1320" s="81" t="n">
        <x:f>'Inputs'!$E$47</x:f>
        <x:v>0.05</x:v>
      </x:c>
    </x:row>
    <x:row r="1321">
      <x:c r="A1321" s="59" t="str">
        <x:v>Growth</x:v>
      </x:c>
      <x:c r="B1321" s="59" t="n">
        <x:v>223</x:v>
      </x:c>
      <x:c r="C1321" s="78" t="n">
        <x:f>(('Inputs'!$B$29*(3*223*'Inputs'!$B$12-223^2)/(2*'Inputs'!$B$12^2))-('Inputs'!$B$29*(3*222*'Inputs'!$B$12-222^2)/(2*'Inputs'!$B$12^2)))*'Inputs'!$B$47</x:f>
        <x:v>639649.7935822904</x:v>
      </x:c>
      <x:c r="D1321" s="78" t="n">
        <x:f>IF('Inputs'!$C$47&gt;0,('Inputs'!$B$30*(3*223*'Inputs'!$B$12-223^2)/(2*'Inputs'!$B$12^2))-('Inputs'!$B$30*(3*222*'Inputs'!$B$12-222^2)/(2*'Inputs'!$B$12^2)),0)</x:f>
        <x:v>274135.6258209795</x:v>
      </x:c>
      <x:c r="E1321" s="78" t="n">
        <x:f>C1321+D1321</x:f>
        <x:v>913785.4194032699</x:v>
      </x:c>
      <x:c r="F1321" s="78" t="n">
        <x:f>'Inputs'!$B$13*E1321+(1-'Inputs'!$B$13)/'Inputs'!$B$14*SUM(E1266:E1321)</x:f>
        <x:v>924003.096265717</x:v>
      </x:c>
      <x:c r="G1321" s="78" t="n">
        <x:f>F1321*'Inputs'!$F$47</x:f>
        <x:v>323401.0836930009</x:v>
      </x:c>
      <x:c r="H1321" s="78" t="n">
        <x:f>U1320</x:f>
        <x:v>2081126.5555942482</x:v>
      </x:c>
      <x:c r="I1321" s="78" t="n">
        <x:f>V1320</x:f>
        <x:v>31164.99813556547</x:v>
      </x:c>
      <x:c r="J1321" s="79" t="n">
        <x:f>IF(H1321&gt;0,I1321/H1321,0)</x:f>
        <x:v>0.014975061488591965</x:v>
      </x:c>
      <x:c r="K1321" s="80" t="n">
        <x:f>(H1321*J1321+I1321)*'Inputs'!$D$47*(1+'Inputs'!$G$47)^(B1321/30)</x:f>
        <x:v>116469.37106197597</x:v>
      </x:c>
      <x:c r="L1321" s="80" t="n">
        <x:f>MAX(0,K1321*'Inputs'!$E$47)</x:f>
        <x:v>5823.468553098799</x:v>
      </x:c>
      <x:c r="M1321" s="80" t="n">
        <x:f>MAX(0,-K1321*'Inputs'!$E$47)</x:f>
        <x:v>0</x:v>
      </x:c>
      <x:c r="N1321" s="78" t="n">
        <x:f>H1321*(L1321*(1-'Inputs'!$B$15))/(I1321+L1321*(1-'Inputs'!$B$15))</x:f>
        <x:v>324887.78570328886</x:v>
      </x:c>
      <x:c r="O1321" s="78" t="n">
        <x:f>H1321-N1321</x:f>
        <x:v>1756238.7698909594</x:v>
      </x:c>
      <x:c r="P1321" s="78" t="n">
        <x:f>I1321+L1321*(1-'Inputs'!$B$17)</x:f>
        <x:v>36965.03220756528</x:v>
      </x:c>
      <x:c r="Q1321" s="78" t="n">
        <x:f>IF(J1321&gt;0,M1321/J1321,0)</x:f>
        <x:v>0</x:v>
      </x:c>
      <x:c r="R1321" s="78" t="n">
        <x:f>IF(B1321='Inputs'!$H$47,'Inputs'!$B$27*'Inputs'!$I$47,0)</x:f>
        <x:v>0</x:v>
      </x:c>
      <x:c r="S1321" s="78" t="n">
        <x:f>Q1321+G1321+R1321</x:f>
        <x:v>323401.0836930009</x:v>
      </x:c>
      <x:c r="T1321" s="78" t="n">
        <x:f>P1321*(S1321*(1-'Inputs'!$B$15))/(O1321+S1321*(1-'Inputs'!$B$15))</x:f>
        <x:v>5699.746126830959</x:v>
      </x:c>
      <x:c r="U1321" s="78" t="n">
        <x:f>O1321+S1321*(1-'Inputs'!$B$17)</x:f>
        <x:v>2078338.4407723183</x:v>
      </x:c>
      <x:c r="V1321" s="78" t="n">
        <x:f>P1321-T1321</x:f>
        <x:v>31265.28608073432</x:v>
      </x:c>
      <x:c r="W1321" s="79" t="n">
        <x:f>IF(U1321&gt;0,V1321/U1321,0)</x:f>
        <x:v>0.015043404609845943</x:v>
      </x:c>
      <x:c r="X1321" s="80" t="n">
        <x:f>W1321*('Inputs'!$B$6-AC1321)</x:f>
        <x:v>14989791.347758206</x:v>
      </x:c>
      <x:c r="Y1321" s="80" t="n">
        <x:f>2*V1321</x:f>
        <x:v>62530.57216146864</x:v>
      </x:c>
      <x:c r="Z1321" s="80" t="n">
        <x:f>K1321*'Inputs'!$B$16+(G1321+R1321)*J1321*'Inputs'!$B$16</x:f>
        <x:v>727.8739330545355</x:v>
      </x:c>
      <x:c r="AA1321" s="80" t="n">
        <x:f>K1321*(1+'Inputs'!$E$47)/2*'Inputs'!$B$17</x:f>
        <x:v>246.0620515393859</x:v>
      </x:c>
      <x:c r="AB1321" s="78" t="n">
        <x:f>(IF(J1321&gt;0,K1321*(1-'Inputs'!$E$47)/2/J1321,0)+G1321+R1321)*'Inputs'!$B$17</x:f>
        <x:v>16167.967490565537</x:v>
      </x:c>
      <x:c r="AC1321" s="78" t="n">
        <x:f>AC1320+AB1321</x:f>
        <x:v>3563904.812654409</x:v>
      </x:c>
      <x:c r="AD1321" s="80" t="n">
        <x:f>Z1321/(1+'Inputs'!$C$47)</x:f>
        <x:v>291.1495732218142</x:v>
      </x:c>
      <x:c r="AE1321" s="80" t="n">
        <x:f>Z1321-AD1321</x:f>
        <x:v>436.72435983272135</x:v>
      </x:c>
      <x:c r="AF1321" s="80" t="n">
        <x:f>D1321*W1321</x:f>
        <x:v>4123.933137198325</x:v>
      </x:c>
      <x:c r="AG1321" s="80" t="n">
        <x:f>C1321*W1321</x:f>
        <x:v>9622.510653462834</x:v>
      </x:c>
      <x:c r="AH1321" s="80" t="n">
        <x:f>2*'Inputs'!$B$8*'Inputs'!$C$47</x:f>
        <x:v>7500</x:v>
      </x:c>
      <x:c r="AI1321" s="81" t="n">
        <x:f>IF(AH1321&gt;0,(AE1321+AF1321)/AH1321*365,0)</x:f>
        <x:v>221.95199818884427</x:v>
      </x:c>
      <x:c r="AJ1321" s="81" t="n">
        <x:f>IF('Inputs'!$B$47&gt;0,AG1321/('Inputs'!$B$19*'Inputs'!$B$47)*365,0)</x:f>
        <x:v>351.22163885139344</x:v>
      </x:c>
      <x:c r="AK1321" s="81" t="n">
        <x:f>W1321/MAX($W$1099:W1321)-1</x:f>
        <x:v>-0.3211332694321054</x:v>
      </x:c>
      <x:c r="AL1321" s="83" t="n">
        <x:f>'Inputs'!$B$47</x:f>
        <x:v>1</x:v>
      </x:c>
      <x:c r="AM1321" s="83" t="n">
        <x:f>'Inputs'!$C$47</x:f>
        <x:v>1.5</x:v>
      </x:c>
      <x:c r="AN1321" s="83" t="n">
        <x:f>'Inputs'!$D$47</x:f>
        <x:v>1.5</x:v>
      </x:c>
      <x:c r="AO1321" s="81" t="n">
        <x:f>'Inputs'!$E$47</x:f>
        <x:v>0.05</x:v>
      </x:c>
    </x:row>
    <x:row r="1322">
      <x:c r="A1322" s="59" t="str">
        <x:v>Growth</x:v>
      </x:c>
      <x:c r="B1322" s="59" t="n">
        <x:v>224</x:v>
      </x:c>
      <x:c r="C1322" s="78" t="n">
        <x:f>(('Inputs'!$B$29*(3*224*'Inputs'!$B$12-224^2)/(2*'Inputs'!$B$12^2))-('Inputs'!$B$29*(3*223*'Inputs'!$B$12-223^2)/(2*'Inputs'!$B$12^2)))*'Inputs'!$B$47</x:f>
        <x:v>639324.6856821179</x:v>
      </x:c>
      <x:c r="D1322" s="78" t="n">
        <x:f>IF('Inputs'!$C$47&gt;0,('Inputs'!$B$30*(3*224*'Inputs'!$B$12-224^2)/(2*'Inputs'!$B$12^2))-('Inputs'!$B$30*(3*223*'Inputs'!$B$12-223^2)/(2*'Inputs'!$B$12^2)),0)</x:f>
        <x:v>273996.2938637659</x:v>
      </x:c>
      <x:c r="E1322" s="78" t="n">
        <x:f>C1322+D1322</x:f>
        <x:v>913320.9795458838</x:v>
      </x:c>
      <x:c r="F1322" s="78" t="n">
        <x:f>'Inputs'!$B$13*E1322+(1-'Inputs'!$B$13)/'Inputs'!$B$14*SUM(E1267:E1322)</x:f>
        <x:v>923538.6564083325</x:v>
      </x:c>
      <x:c r="G1322" s="78" t="n">
        <x:f>F1322*'Inputs'!$F$47</x:f>
        <x:v>323238.52974291635</x:v>
      </x:c>
      <x:c r="H1322" s="78" t="n">
        <x:f>U1321</x:f>
        <x:v>2078338.4407723183</x:v>
      </x:c>
      <x:c r="I1322" s="78" t="n">
        <x:f>V1321</x:f>
        <x:v>31265.28608073432</x:v>
      </x:c>
      <x:c r="J1322" s="79" t="n">
        <x:f>IF(H1322&gt;0,I1322/H1322,0)</x:f>
        <x:v>0.015043404609845943</x:v>
      </x:c>
      <x:c r="K1322" s="80" t="n">
        <x:f>(H1322*J1322+I1322)*'Inputs'!$D$47*(1+'Inputs'!$G$47)^(B1322/30)</x:f>
        <x:v>116959.348211687</x:v>
      </x:c>
      <x:c r="L1322" s="80" t="n">
        <x:f>MAX(0,K1322*'Inputs'!$E$47)</x:f>
        <x:v>5847.967410584351</x:v>
      </x:c>
      <x:c r="M1322" s="80" t="n">
        <x:f>MAX(0,-K1322*'Inputs'!$E$47)</x:f>
        <x:v>0</x:v>
      </x:c>
      <x:c r="N1322" s="78" t="n">
        <x:f>H1322*(L1322*(1-'Inputs'!$B$15))/(I1322+L1322*(1-'Inputs'!$B$15))</x:f>
        <x:v>324722.3954046592</x:v>
      </x:c>
      <x:c r="O1322" s="78" t="n">
        <x:f>H1322-N1322</x:f>
        <x:v>1753616.045367659</x:v>
      </x:c>
      <x:c r="P1322" s="78" t="n">
        <x:f>I1322+L1322*(1-'Inputs'!$B$17)</x:f>
        <x:v>37089.72042326803</x:v>
      </x:c>
      <x:c r="Q1322" s="78" t="n">
        <x:f>IF(J1322&gt;0,M1322/J1322,0)</x:f>
        <x:v>0</x:v>
      </x:c>
      <x:c r="R1322" s="78" t="n">
        <x:f>IF(B1322='Inputs'!$H$47,'Inputs'!$B$27*'Inputs'!$I$47,0)</x:f>
        <x:v>0</x:v>
      </x:c>
      <x:c r="S1322" s="78" t="n">
        <x:f>Q1322+G1322+R1322</x:f>
        <x:v>323238.52974291635</x:v>
      </x:c>
      <x:c r="T1322" s="78" t="n">
        <x:f>P1322*(S1322*(1-'Inputs'!$B$15))/(O1322+S1322*(1-'Inputs'!$B$15))</x:f>
        <x:v>5723.770940298702</x:v>
      </x:c>
      <x:c r="U1322" s="78" t="n">
        <x:f>O1322+S1322*(1-'Inputs'!$B$17)</x:f>
        <x:v>2075553.8164395778</x:v>
      </x:c>
      <x:c r="V1322" s="78" t="n">
        <x:f>P1322-T1322</x:f>
        <x:v>31365.94948296933</x:v>
      </x:c>
      <x:c r="W1322" s="79" t="n">
        <x:f>IF(U1322&gt;0,V1322/U1322,0)</x:f>
        <x:v>0.015112086824505827</x:v>
      </x:c>
      <x:c r="X1322" s="80" t="n">
        <x:f>W1322*('Inputs'!$B$6-AC1322)</x:f>
        <x:v>15057984.543513104</x:v>
      </x:c>
      <x:c r="Y1322" s="80" t="n">
        <x:f>2*V1322</x:f>
        <x:v>62731.89896593866</x:v>
      </x:c>
      <x:c r="Z1322" s="80" t="n">
        <x:f>K1322*'Inputs'!$B$16+(G1322+R1322)*J1322*'Inputs'!$B$16</x:f>
        <x:v>730.9317372006085</x:v>
      </x:c>
      <x:c r="AA1322" s="80" t="n">
        <x:f>K1322*(1+'Inputs'!$E$47)/2*'Inputs'!$B$17</x:f>
        <x:v>247.09721453173313</x:v>
      </x:c>
      <x:c r="AB1322" s="78" t="n">
        <x:f>(IF(J1322&gt;0,K1322*(1-'Inputs'!$E$47)/2/J1322,0)+G1322+R1322)*'Inputs'!$B$17</x:f>
        <x:v>16162.03191859538</x:v>
      </x:c>
      <x:c r="AC1322" s="78" t="n">
        <x:f>AC1321+AB1322</x:f>
        <x:v>3580066.8445730046</x:v>
      </x:c>
      <x:c r="AD1322" s="80" t="n">
        <x:f>Z1322/(1+'Inputs'!$C$47)</x:f>
        <x:v>292.3726948802434</x:v>
      </x:c>
      <x:c r="AE1322" s="80" t="n">
        <x:f>Z1322-AD1322</x:f>
        <x:v>438.5590423203651</x:v>
      </x:c>
      <x:c r="AF1322" s="80" t="n">
        <x:f>D1322*W1322</x:f>
        <x:v>4140.655782462043</x:v>
      </x:c>
      <x:c r="AG1322" s="80" t="n">
        <x:f>C1322*W1322</x:f>
        <x:v>9661.530159078064</x:v>
      </x:c>
      <x:c r="AH1322" s="80" t="n">
        <x:f>2*'Inputs'!$B$8*'Inputs'!$C$47</x:f>
        <x:v>7500</x:v>
      </x:c>
      <x:c r="AI1322" s="81" t="n">
        <x:f>IF(AH1322&gt;0,(AE1322+AF1322)/AH1322*365,0)</x:f>
        <x:v>222.85512147274386</x:v>
      </x:c>
      <x:c r="AJ1322" s="81" t="n">
        <x:f>IF('Inputs'!$B$47&gt;0,AG1322/('Inputs'!$B$19*'Inputs'!$B$47)*365,0)</x:f>
        <x:v>352.6458508063493</x:v>
      </x:c>
      <x:c r="AK1322" s="81" t="n">
        <x:f>W1322/MAX($W$1099:W1322)-1</x:f>
        <x:v>-0.3180338333853078</x:v>
      </x:c>
      <x:c r="AL1322" s="83" t="n">
        <x:f>'Inputs'!$B$47</x:f>
        <x:v>1</x:v>
      </x:c>
      <x:c r="AM1322" s="83" t="n">
        <x:f>'Inputs'!$C$47</x:f>
        <x:v>1.5</x:v>
      </x:c>
      <x:c r="AN1322" s="83" t="n">
        <x:f>'Inputs'!$D$47</x:f>
        <x:v>1.5</x:v>
      </x:c>
      <x:c r="AO1322" s="81" t="n">
        <x:f>'Inputs'!$E$47</x:f>
        <x:v>0.05</x:v>
      </x:c>
    </x:row>
    <x:row r="1323">
      <x:c r="A1323" s="59" t="str">
        <x:v>Growth</x:v>
      </x:c>
      <x:c r="B1323" s="59" t="n">
        <x:v>225</x:v>
      </x:c>
      <x:c r="C1323" s="78" t="n">
        <x:f>(('Inputs'!$B$29*(3*225*'Inputs'!$B$12-225^2)/(2*'Inputs'!$B$12^2))-('Inputs'!$B$29*(3*224*'Inputs'!$B$12-224^2)/(2*'Inputs'!$B$12^2)))*'Inputs'!$B$47</x:f>
        <x:v>638999.5777819455</x:v>
      </x:c>
      <x:c r="D1323" s="78" t="n">
        <x:f>IF('Inputs'!$C$47&gt;0,('Inputs'!$B$30*(3*225*'Inputs'!$B$12-225^2)/(2*'Inputs'!$B$12^2))-('Inputs'!$B$30*(3*224*'Inputs'!$B$12-224^2)/(2*'Inputs'!$B$12^2)),0)</x:f>
        <x:v>273856.9619065523</x:v>
      </x:c>
      <x:c r="E1323" s="78" t="n">
        <x:f>C1323+D1323</x:f>
        <x:v>912856.5396884978</x:v>
      </x:c>
      <x:c r="F1323" s="78" t="n">
        <x:f>'Inputs'!$B$13*E1323+(1-'Inputs'!$B$13)/'Inputs'!$B$14*SUM(E1268:E1323)</x:f>
        <x:v>923074.2165509481</x:v>
      </x:c>
      <x:c r="G1323" s="78" t="n">
        <x:f>F1323*'Inputs'!$F$47</x:f>
        <x:v>323075.9757928318</x:v>
      </x:c>
      <x:c r="H1323" s="78" t="n">
        <x:f>U1322</x:f>
        <x:v>2075553.8164395778</x:v>
      </x:c>
      <x:c r="I1323" s="78" t="n">
        <x:f>V1322</x:f>
        <x:v>31365.94948296933</x:v>
      </x:c>
      <x:c r="J1323" s="79" t="n">
        <x:f>IF(H1323&gt;0,I1323/H1323,0)</x:f>
        <x:v>0.015112086824505827</x:v>
      </x:c>
      <x:c r="K1323" s="80" t="n">
        <x:f>(H1323*J1323+I1323)*'Inputs'!$D$47*(1+'Inputs'!$G$47)^(B1323/30)</x:f>
        <x:v>117451.58411980691</x:v>
      </x:c>
      <x:c r="L1323" s="80" t="n">
        <x:f>MAX(0,K1323*'Inputs'!$E$47)</x:f>
        <x:v>5872.579205990346</x:v>
      </x:c>
      <x:c r="M1323" s="80" t="n">
        <x:f>MAX(0,-K1323*'Inputs'!$E$47)</x:f>
        <x:v>0</x:v>
      </x:c>
      <x:c r="N1323" s="78" t="n">
        <x:f>H1323*(L1323*(1-'Inputs'!$B$15))/(I1323+L1323*(1-'Inputs'!$B$15))</x:f>
        <x:v>324557.0094861853</x:v>
      </x:c>
      <x:c r="O1323" s="78" t="n">
        <x:f>H1323-N1323</x:f>
        <x:v>1750996.8069533925</x:v>
      </x:c>
      <x:c r="P1323" s="78" t="n">
        <x:f>I1323+L1323*(1-'Inputs'!$B$17)</x:f>
        <x:v>37214.89657947883</x:v>
      </x:c>
      <x:c r="Q1323" s="78" t="n">
        <x:f>IF(J1323&gt;0,M1323/J1323,0)</x:f>
        <x:v>0</x:v>
      </x:c>
      <x:c r="R1323" s="78" t="n">
        <x:f>IF(B1323='Inputs'!$H$47,'Inputs'!$B$27*'Inputs'!$I$47,0)</x:f>
        <x:v>0</x:v>
      </x:c>
      <x:c r="S1323" s="78" t="n">
        <x:f>Q1323+G1323+R1323</x:f>
        <x:v>323075.9757928318</x:v>
      </x:c>
      <x:c r="T1323" s="78" t="n">
        <x:f>P1323*(S1323*(1-'Inputs'!$B$15))/(O1323+S1323*(1-'Inputs'!$B$15))</x:f>
        <x:v>5747.906650553455</x:v>
      </x:c>
      <x:c r="U1323" s="78" t="n">
        <x:f>O1323+S1323*(1-'Inputs'!$B$17)</x:f>
        <x:v>2072772.6782158709</x:v>
      </x:c>
      <x:c r="V1323" s="78" t="n">
        <x:f>P1323-T1323</x:f>
        <x:v>31466.989928925377</x:v>
      </x:c>
      <x:c r="W1323" s="79" t="n">
        <x:f>IF(U1323&gt;0,V1323/U1323,0)</x:f>
        <x:v>0.01518110994979461</x:v>
      </x:c>
      <x:c r="X1323" s="80" t="n">
        <x:f>W1323*('Inputs'!$B$6-AC1323)</x:f>
        <x:v>15126515.293922648</x:v>
      </x:c>
      <x:c r="Y1323" s="80" t="n">
        <x:f>2*V1323</x:f>
        <x:v>62933.979857850754</x:v>
      </x:c>
      <x:c r="Z1323" s="80" t="n">
        <x:f>K1323*'Inputs'!$B$16+(G1323+R1323)*J1323*'Inputs'!$B$16</x:f>
        <x:v>734.0036179014007</x:v>
      </x:c>
      <x:c r="AA1323" s="80" t="n">
        <x:f>K1323*(1+'Inputs'!$E$47)/2*'Inputs'!$B$17</x:f>
        <x:v>248.13714954888786</x:v>
      </x:c>
      <x:c r="AB1323" s="78" t="n">
        <x:f>(IF(J1323&gt;0,K1323*(1-'Inputs'!$E$47)/2/J1323,0)+G1323+R1323)*'Inputs'!$B$17</x:f>
        <x:v>16156.096470790359</x:v>
      </x:c>
      <x:c r="AC1323" s="78" t="n">
        <x:f>AC1322+AB1323</x:f>
        <x:v>3596222.941043795</x:v>
      </x:c>
      <x:c r="AD1323" s="80" t="n">
        <x:f>Z1323/(1+'Inputs'!$C$47)</x:f>
        <x:v>293.60144716056027</x:v>
      </x:c>
      <x:c r="AE1323" s="80" t="n">
        <x:f>Z1323-AD1323</x:f>
        <x:v>440.40217074084046</x:v>
      </x:c>
      <x:c r="AF1323" s="80" t="n">
        <x:f>D1323*W1323</x:f>
        <x:v>4157.452649220085</x:v>
      </x:c>
      <x:c r="AG1323" s="80" t="n">
        <x:f>C1323*W1323</x:f>
        <x:v>9700.722848180047</x:v>
      </x:c>
      <x:c r="AH1323" s="80" t="n">
        <x:f>2*'Inputs'!$B$8*'Inputs'!$C$47</x:f>
        <x:v>7500</x:v>
      </x:c>
      <x:c r="AI1323" s="81" t="n">
        <x:f>IF(AH1323&gt;0,(AE1323+AF1323)/AH1323*365,0)</x:f>
        <x:v>223.76226790476503</x:v>
      </x:c>
      <x:c r="AJ1323" s="81" t="n">
        <x:f>IF('Inputs'!$B$47&gt;0,AG1323/('Inputs'!$B$19*'Inputs'!$B$47)*365,0)</x:f>
        <x:v>354.0763839585717</x:v>
      </x:c>
      <x:c r="AK1323" s="81" t="n">
        <x:f>W1323/MAX($W$1099:W1323)-1</x:f>
        <x:v>-0.31491901299633107</x:v>
      </x:c>
      <x:c r="AL1323" s="83" t="n">
        <x:f>'Inputs'!$B$47</x:f>
        <x:v>1</x:v>
      </x:c>
      <x:c r="AM1323" s="83" t="n">
        <x:f>'Inputs'!$C$47</x:f>
        <x:v>1.5</x:v>
      </x:c>
      <x:c r="AN1323" s="83" t="n">
        <x:f>'Inputs'!$D$47</x:f>
        <x:v>1.5</x:v>
      </x:c>
      <x:c r="AO1323" s="81" t="n">
        <x:f>'Inputs'!$E$47</x:f>
        <x:v>0.05</x:v>
      </x:c>
    </x:row>
    <x:row r="1324">
      <x:c r="A1324" s="59" t="str">
        <x:v>Growth</x:v>
      </x:c>
      <x:c r="B1324" s="59" t="n">
        <x:v>226</x:v>
      </x:c>
      <x:c r="C1324" s="78" t="n">
        <x:f>(('Inputs'!$B$29*(3*226*'Inputs'!$B$12-226^2)/(2*'Inputs'!$B$12^2))-('Inputs'!$B$29*(3*225*'Inputs'!$B$12-225^2)/(2*'Inputs'!$B$12^2)))*'Inputs'!$B$47</x:f>
        <x:v>638674.469881773</x:v>
      </x:c>
      <x:c r="D1324" s="78" t="n">
        <x:f>IF('Inputs'!$C$47&gt;0,('Inputs'!$B$30*(3*226*'Inputs'!$B$12-226^2)/(2*'Inputs'!$B$12^2))-('Inputs'!$B$30*(3*225*'Inputs'!$B$12-225^2)/(2*'Inputs'!$B$12^2)),0)</x:f>
        <x:v>273717.6299493313</x:v>
      </x:c>
      <x:c r="E1324" s="78" t="n">
        <x:f>C1324+D1324</x:f>
        <x:v>912392.0998311043</x:v>
      </x:c>
      <x:c r="F1324" s="78" t="n">
        <x:f>'Inputs'!$B$13*E1324+(1-'Inputs'!$B$13)/'Inputs'!$B$14*SUM(E1269:E1324)</x:f>
        <x:v>922609.7766935619</x:v>
      </x:c>
      <x:c r="G1324" s="78" t="n">
        <x:f>F1324*'Inputs'!$F$47</x:f>
        <x:v>322913.42184274667</x:v>
      </x:c>
      <x:c r="H1324" s="78" t="n">
        <x:f>U1323</x:f>
        <x:v>2072772.6782158709</x:v>
      </x:c>
      <x:c r="I1324" s="78" t="n">
        <x:f>V1323</x:f>
        <x:v>31466.989928925377</x:v>
      </x:c>
      <x:c r="J1324" s="79" t="n">
        <x:f>IF(H1324&gt;0,I1324/H1324,0)</x:f>
        <x:v>0.01518110994979461</x:v>
      </x:c>
      <x:c r="K1324" s="80" t="n">
        <x:f>(H1324*J1324+I1324)*'Inputs'!$D$47*(1+'Inputs'!$G$47)^(B1324/30)</x:f>
        <x:v>117946.09009657164</x:v>
      </x:c>
      <x:c r="L1324" s="80" t="n">
        <x:f>MAX(0,K1324*'Inputs'!$E$47)</x:f>
        <x:v>5897.304504828582</x:v>
      </x:c>
      <x:c r="M1324" s="80" t="n">
        <x:f>MAX(0,-K1324*'Inputs'!$E$47)</x:f>
        <x:v>0</x:v>
      </x:c>
      <x:c r="N1324" s="78" t="n">
        <x:f>H1324*(L1324*(1-'Inputs'!$B$15))/(I1324+L1324*(1-'Inputs'!$B$15))</x:f>
        <x:v>324391.62794251024</x:v>
      </x:c>
      <x:c r="O1324" s="78" t="n">
        <x:f>H1324-N1324</x:f>
        <x:v>1748381.0502733607</x:v>
      </x:c>
      <x:c r="P1324" s="78" t="n">
        <x:f>I1324+L1324*(1-'Inputs'!$B$17)</x:f>
        <x:v>37340.56282608865</x:v>
      </x:c>
      <x:c r="Q1324" s="78" t="n">
        <x:f>IF(J1324&gt;0,M1324/J1324,0)</x:f>
        <x:v>0</x:v>
      </x:c>
      <x:c r="R1324" s="78" t="n">
        <x:f>IF(B1324='Inputs'!$H$47,'Inputs'!$B$27*'Inputs'!$I$47,0)</x:f>
        <x:v>0</x:v>
      </x:c>
      <x:c r="S1324" s="78" t="n">
        <x:f>Q1324+G1324+R1324</x:f>
        <x:v>322913.42184274667</x:v>
      </x:c>
      <x:c r="T1324" s="78" t="n">
        <x:f>P1324*(S1324*(1-'Inputs'!$B$15))/(O1324+S1324*(1-'Inputs'!$B$15))</x:f>
        <x:v>5772.153813420712</x:v>
      </x:c>
      <x:c r="U1324" s="78" t="n">
        <x:f>O1324+S1324*(1-'Inputs'!$B$17)</x:f>
        <x:v>2069995.021726398</x:v>
      </x:c>
      <x:c r="V1324" s="78" t="n">
        <x:f>P1324-T1324</x:f>
        <x:v>31568.40901266794</x:v>
      </x:c>
      <x:c r="W1324" s="79" t="n">
        <x:f>IF(U1324&gt;0,V1324/U1324,0)</x:f>
        <x:v>0.015250475813386039</x:v>
      </x:c>
      <x:c r="X1324" s="80" t="n">
        <x:f>W1324*('Inputs'!$B$6-AC1324)</x:f>
        <x:v>15195385.404762171</x:v>
      </x:c>
      <x:c r="Y1324" s="80" t="n">
        <x:f>2*V1324</x:f>
        <x:v>63136.81802533588</x:v>
      </x:c>
      <x:c r="Z1324" s="80" t="n">
        <x:f>K1324*'Inputs'!$B$16+(G1324+R1324)*J1324*'Inputs'!$B$16</x:f>
        <x:v>737.0896455469848</x:v>
      </x:c>
      <x:c r="AA1324" s="80" t="n">
        <x:f>K1324*(1+'Inputs'!$E$47)/2*'Inputs'!$B$17</x:f>
        <x:v>249.18188048571477</x:v>
      </x:c>
      <x:c r="AB1324" s="78" t="n">
        <x:f>(IF(J1324&gt;0,K1324*(1-'Inputs'!$E$47)/2/J1324,0)+G1324+R1324)*'Inputs'!$B$17</x:f>
        <x:v>16150.161145773476</x:v>
      </x:c>
      <x:c r="AC1324" s="78" t="n">
        <x:f>AC1323+AB1324</x:f>
        <x:v>3612373.1021895683</x:v>
      </x:c>
      <x:c r="AD1324" s="80" t="n">
        <x:f>Z1324/(1+'Inputs'!$C$47)</x:f>
        <x:v>294.83585821879393</x:v>
      </x:c>
      <x:c r="AE1324" s="80" t="n">
        <x:f>Z1324-AD1324</x:f>
        <x:v>442.25378732819087</x:v>
      </x:c>
      <x:c r="AF1324" s="80" t="n">
        <x:f>D1324*W1324</x:f>
        <x:v>4174.324095239626</x:v>
      </x:c>
      <x:c r="AG1324" s="80" t="n">
        <x:f>C1324*W1324</x:f>
        <x:v>9740.089555559129</x:v>
      </x:c>
      <x:c r="AH1324" s="80" t="n">
        <x:f>2*'Inputs'!$B$8*'Inputs'!$C$47</x:f>
        <x:v>7500</x:v>
      </x:c>
      <x:c r="AI1324" s="81" t="n">
        <x:f>IF(AH1324&gt;0,(AE1324+AF1324)/AH1324*365,0)</x:f>
        <x:v>224.67345695163377</x:v>
      </x:c>
      <x:c r="AJ1324" s="81" t="n">
        <x:f>IF('Inputs'!$B$47&gt;0,AG1324/('Inputs'!$B$19*'Inputs'!$B$47)*365,0)</x:f>
        <x:v>355.5132687779082</x:v>
      </x:c>
      <x:c r="AK1324" s="81" t="n">
        <x:f>W1324/MAX($W$1099:W1324)-1</x:f>
        <x:v>-0.31178872578737626</x:v>
      </x:c>
      <x:c r="AL1324" s="83" t="n">
        <x:f>'Inputs'!$B$47</x:f>
        <x:v>1</x:v>
      </x:c>
      <x:c r="AM1324" s="83" t="n">
        <x:f>'Inputs'!$C$47</x:f>
        <x:v>1.5</x:v>
      </x:c>
      <x:c r="AN1324" s="83" t="n">
        <x:f>'Inputs'!$D$47</x:f>
        <x:v>1.5</x:v>
      </x:c>
      <x:c r="AO1324" s="81" t="n">
        <x:f>'Inputs'!$E$47</x:f>
        <x:v>0.05</x:v>
      </x:c>
    </x:row>
    <x:row r="1325">
      <x:c r="A1325" s="59" t="str">
        <x:v>Growth</x:v>
      </x:c>
      <x:c r="B1325" s="59" t="n">
        <x:v>227</x:v>
      </x:c>
      <x:c r="C1325" s="78" t="n">
        <x:f>(('Inputs'!$B$29*(3*227*'Inputs'!$B$12-227^2)/(2*'Inputs'!$B$12^2))-('Inputs'!$B$29*(3*226*'Inputs'!$B$12-226^2)/(2*'Inputs'!$B$12^2)))*'Inputs'!$B$47</x:f>
        <x:v>638349.3619816005</x:v>
      </x:c>
      <x:c r="D1325" s="78" t="n">
        <x:f>IF('Inputs'!$C$47&gt;0,('Inputs'!$B$30*(3*227*'Inputs'!$B$12-227^2)/(2*'Inputs'!$B$12^2))-('Inputs'!$B$30*(3*226*'Inputs'!$B$12-226^2)/(2*'Inputs'!$B$12^2)),0)</x:f>
        <x:v>273578.2979921177</x:v>
      </x:c>
      <x:c r="E1325" s="78" t="n">
        <x:f>C1325+D1325</x:f>
        <x:v>911927.6599737182</x:v>
      </x:c>
      <x:c r="F1325" s="78" t="n">
        <x:f>'Inputs'!$B$13*E1325+(1-'Inputs'!$B$13)/'Inputs'!$B$14*SUM(E1270:E1325)</x:f>
        <x:v>922145.3368361773</x:v>
      </x:c>
      <x:c r="G1325" s="78" t="n">
        <x:f>F1325*'Inputs'!$F$47</x:f>
        <x:v>322750.867892662</x:v>
      </x:c>
      <x:c r="H1325" s="78" t="n">
        <x:f>U1324</x:f>
        <x:v>2069995.021726398</x:v>
      </x:c>
      <x:c r="I1325" s="78" t="n">
        <x:f>V1324</x:f>
        <x:v>31568.40901266794</x:v>
      </x:c>
      <x:c r="J1325" s="79" t="n">
        <x:f>IF(H1325&gt;0,I1325/H1325,0)</x:f>
        <x:v>0.015250475813386039</x:v>
      </x:c>
      <x:c r="K1325" s="80" t="n">
        <x:f>(H1325*J1325+I1325)*'Inputs'!$D$47*(1+'Inputs'!$G$47)^(B1325/30)</x:f>
        <x:v>118442.87751321646</x:v>
      </x:c>
      <x:c r="L1325" s="80" t="n">
        <x:f>MAX(0,K1325*'Inputs'!$E$47)</x:f>
        <x:v>5922.143875660823</x:v>
      </x:c>
      <x:c r="M1325" s="80" t="n">
        <x:f>MAX(0,-K1325*'Inputs'!$E$47)</x:f>
        <x:v>0</x:v>
      </x:c>
      <x:c r="N1325" s="78" t="n">
        <x:f>H1325*(L1325*(1-'Inputs'!$B$15))/(I1325+L1325*(1-'Inputs'!$B$15))</x:f>
        <x:v>324226.25076828373</x:v>
      </x:c>
      <x:c r="O1325" s="78" t="n">
        <x:f>H1325-N1325</x:f>
        <x:v>1745768.7709581144</x:v>
      </x:c>
      <x:c r="P1325" s="78" t="n">
        <x:f>I1325+L1325*(1-'Inputs'!$B$17)</x:f>
        <x:v>37466.72132343677</x:v>
      </x:c>
      <x:c r="Q1325" s="78" t="n">
        <x:f>IF(J1325&gt;0,M1325/J1325,0)</x:f>
        <x:v>0</x:v>
      </x:c>
      <x:c r="R1325" s="78" t="n">
        <x:f>IF(B1325='Inputs'!$H$47,'Inputs'!$B$27*'Inputs'!$I$47,0)</x:f>
        <x:v>0</x:v>
      </x:c>
      <x:c r="S1325" s="78" t="n">
        <x:f>Q1325+G1325+R1325</x:f>
        <x:v>322750.867892662</x:v>
      </x:c>
      <x:c r="T1325" s="78" t="n">
        <x:f>P1325*(S1325*(1-'Inputs'!$B$15))/(O1325+S1325*(1-'Inputs'!$B$15))</x:f>
        <x:v>5796.512987725991</x:v>
      </x:c>
      <x:c r="U1325" s="78" t="n">
        <x:f>O1325+S1325*(1-'Inputs'!$B$17)</x:f>
        <x:v>2067220.8426017114</x:v>
      </x:c>
      <x:c r="V1325" s="78" t="n">
        <x:f>P1325-T1325</x:f>
        <x:v>31670.208335710777</x:v>
      </x:c>
      <x:c r="W1325" s="79" t="n">
        <x:f>IF(U1325&gt;0,V1325/U1325,0)</x:f>
        <x:v>0.015320186253468726</x:v>
      </x:c>
      <x:c r="X1325" s="80" t="n">
        <x:f>W1325*('Inputs'!$B$6-AC1325)</x:f>
        <x:v>15264596.69217781</x:v>
      </x:c>
      <x:c r="Y1325" s="80" t="n">
        <x:f>2*V1325</x:f>
        <x:v>63340.41667142155</x:v>
      </x:c>
      <x:c r="Z1325" s="80" t="n">
        <x:f>K1325*'Inputs'!$B$16+(G1325+R1325)*J1325*'Inputs'!$B$16</x:f>
        <x:v>740.1898909065771</x:v>
      </x:c>
      <x:c r="AA1325" s="80" t="n">
        <x:f>K1325*(1+'Inputs'!$E$47)/2*'Inputs'!$B$17</x:f>
        <x:v>250.2314313659503</x:v>
      </x:c>
      <x:c r="AB1325" s="78" t="n">
        <x:f>(IF(J1325&gt;0,K1325*(1-'Inputs'!$E$47)/2/J1325,0)+G1325+R1325)*'Inputs'!$B$17</x:f>
        <x:v>16144.22594216573</x:v>
      </x:c>
      <x:c r="AC1325" s="78" t="n">
        <x:f>AC1324+AB1325</x:f>
        <x:v>3628517.328131734</x:v>
      </x:c>
      <x:c r="AD1325" s="80" t="n">
        <x:f>Z1325/(1+'Inputs'!$C$47)</x:f>
        <x:v>296.07595636263085</x:v>
      </x:c>
      <x:c r="AE1325" s="80" t="n">
        <x:f>Z1325-AD1325</x:f>
        <x:v>444.1139345439463</x:v>
      </x:c>
      <x:c r="AF1325" s="80" t="n">
        <x:f>D1325*W1325</x:f>
        <x:v>4191.270480146212</x:v>
      </x:c>
      <x:c r="AG1325" s="80" t="n">
        <x:f>C1325*W1325</x:f>
        <x:v>9779.631120341048</x:v>
      </x:c>
      <x:c r="AH1325" s="80" t="n">
        <x:f>2*'Inputs'!$B$8*'Inputs'!$C$47</x:f>
        <x:v>7500</x:v>
      </x:c>
      <x:c r="AI1325" s="81" t="n">
        <x:f>IF(AH1325&gt;0,(AE1325+AF1325)/AH1325*365,0)</x:f>
        <x:v>225.5887081815877</x:v>
      </x:c>
      <x:c r="AJ1325" s="81" t="n">
        <x:f>IF('Inputs'!$B$47&gt;0,AG1325/('Inputs'!$B$19*'Inputs'!$B$47)*365,0)</x:f>
        <x:v>356.95653589244824</x:v>
      </x:c>
      <x:c r="AK1325" s="81" t="n">
        <x:f>W1325/MAX($W$1099:W1325)-1</x:f>
        <x:v>-0.308642888806138</x:v>
      </x:c>
      <x:c r="AL1325" s="83" t="n">
        <x:f>'Inputs'!$B$47</x:f>
        <x:v>1</x:v>
      </x:c>
      <x:c r="AM1325" s="83" t="n">
        <x:f>'Inputs'!$C$47</x:f>
        <x:v>1.5</x:v>
      </x:c>
      <x:c r="AN1325" s="83" t="n">
        <x:f>'Inputs'!$D$47</x:f>
        <x:v>1.5</x:v>
      </x:c>
      <x:c r="AO1325" s="81" t="n">
        <x:f>'Inputs'!$E$47</x:f>
        <x:v>0.05</x:v>
      </x:c>
    </x:row>
    <x:row r="1326">
      <x:c r="A1326" s="59" t="str">
        <x:v>Growth</x:v>
      </x:c>
      <x:c r="B1326" s="59" t="n">
        <x:v>228</x:v>
      </x:c>
      <x:c r="C1326" s="78" t="n">
        <x:f>(('Inputs'!$B$29*(3*228*'Inputs'!$B$12-228^2)/(2*'Inputs'!$B$12^2))-('Inputs'!$B$29*(3*227*'Inputs'!$B$12-227^2)/(2*'Inputs'!$B$12^2)))*'Inputs'!$B$47</x:f>
        <x:v>638024.2540814579</x:v>
      </x:c>
      <x:c r="D1326" s="78" t="n">
        <x:f>IF('Inputs'!$C$47&gt;0,('Inputs'!$B$30*(3*228*'Inputs'!$B$12-228^2)/(2*'Inputs'!$B$12^2))-('Inputs'!$B$30*(3*227*'Inputs'!$B$12-227^2)/(2*'Inputs'!$B$12^2)),0)</x:f>
        <x:v>273438.9660349041</x:v>
      </x:c>
      <x:c r="E1326" s="78" t="n">
        <x:f>C1326+D1326</x:f>
        <x:v>911463.220116362</x:v>
      </x:c>
      <x:c r="F1326" s="78" t="n">
        <x:f>'Inputs'!$B$13*E1326+(1-'Inputs'!$B$13)/'Inputs'!$B$14*SUM(E1271:E1326)</x:f>
        <x:v>921680.8969787991</x:v>
      </x:c>
      <x:c r="G1326" s="78" t="n">
        <x:f>F1326*'Inputs'!$F$47</x:f>
        <x:v>322588.31394257967</x:v>
      </x:c>
      <x:c r="H1326" s="78" t="n">
        <x:f>U1325</x:f>
        <x:v>2067220.8426017114</x:v>
      </x:c>
      <x:c r="I1326" s="78" t="n">
        <x:f>V1325</x:f>
        <x:v>31670.208335710777</x:v>
      </x:c>
      <x:c r="J1326" s="79" t="n">
        <x:f>IF(H1326&gt;0,I1326/H1326,0)</x:f>
        <x:v>0.015320186253468726</x:v>
      </x:c>
      <x:c r="K1326" s="80" t="n">
        <x:f>(H1326*J1326+I1326)*'Inputs'!$D$47*(1+'Inputs'!$G$47)^(B1326/30)</x:f>
        <x:v>118941.95780232768</x:v>
      </x:c>
      <x:c r="L1326" s="80" t="n">
        <x:f>MAX(0,K1326*'Inputs'!$E$47)</x:f>
        <x:v>5947.097890116384</x:v>
      </x:c>
      <x:c r="M1326" s="80" t="n">
        <x:f>MAX(0,-K1326*'Inputs'!$E$47)</x:f>
        <x:v>0</x:v>
      </x:c>
      <x:c r="N1326" s="78" t="n">
        <x:f>H1326*(L1326*(1-'Inputs'!$B$15))/(I1326+L1326*(1-'Inputs'!$B$15))</x:f>
        <x:v>324060.87795816193</x:v>
      </x:c>
      <x:c r="O1326" s="78" t="n">
        <x:f>H1326-N1326</x:f>
        <x:v>1743159.9646435494</x:v>
      </x:c>
      <x:c r="P1326" s="78" t="n">
        <x:f>I1326+L1326*(1-'Inputs'!$B$17)</x:f>
        <x:v>37593.37424236593</x:v>
      </x:c>
      <x:c r="Q1326" s="78" t="n">
        <x:f>IF(J1326&gt;0,M1326/J1326,0)</x:f>
        <x:v>0</x:v>
      </x:c>
      <x:c r="R1326" s="78" t="n">
        <x:f>IF(B1326='Inputs'!$H$47,'Inputs'!$B$27*'Inputs'!$I$47,0)</x:f>
        <x:v>0</x:v>
      </x:c>
      <x:c r="S1326" s="78" t="n">
        <x:f>Q1326+G1326+R1326</x:f>
        <x:v>322588.31394257967</x:v>
      </x:c>
      <x:c r="T1326" s="78" t="n">
        <x:f>P1326*(S1326*(1-'Inputs'!$B$15))/(O1326+S1326*(1-'Inputs'!$B$15))</x:f>
        <x:v>5820.984735312124</x:v>
      </x:c>
      <x:c r="U1326" s="78" t="n">
        <x:f>O1326+S1326*(1-'Inputs'!$B$17)</x:f>
        <x:v>2064450.1364777084</x:v>
      </x:c>
      <x:c r="V1326" s="78" t="n">
        <x:f>P1326-T1326</x:f>
        <x:v>31772.389507053806</x:v>
      </x:c>
      <x:c r="W1326" s="79" t="n">
        <x:f>IF(U1326&gt;0,V1326/U1326,0)</x:f>
        <x:v>0.015390243118810673</x:v>
      </x:c>
      <x:c r="X1326" s="80" t="n">
        <x:f>W1326*('Inputs'!$B$6-AC1326)</x:f>
        <x:v>15334150.982750073</x:v>
      </x:c>
      <x:c r="Y1326" s="80" t="n">
        <x:f>2*V1326</x:f>
        <x:v>63544.77901410761</x:v>
      </x:c>
      <x:c r="Z1326" s="80" t="n">
        <x:f>K1326*'Inputs'!$B$16+(G1326+R1326)*J1326*'Inputs'!$B$16</x:f>
        <x:v>743.3044251307227</x:v>
      </x:c>
      <x:c r="AA1326" s="80" t="n">
        <x:f>K1326*(1+'Inputs'!$E$47)/2*'Inputs'!$B$17</x:f>
        <x:v>251.28582634294585</x:v>
      </x:c>
      <x:c r="AB1326" s="78" t="n">
        <x:f>(IF(J1326&gt;0,K1326*(1-'Inputs'!$E$47)/2/J1326,0)+G1326+R1326)*'Inputs'!$B$17</x:f>
        <x:v>16138.2908585861</x:v>
      </x:c>
      <x:c r="AC1326" s="78" t="n">
        <x:f>AC1325+AB1326</x:f>
        <x:v>3644655.6189903202</x:v>
      </x:c>
      <x:c r="AD1326" s="80" t="n">
        <x:f>Z1326/(1+'Inputs'!$C$47)</x:f>
        <x:v>297.3217700522891</x:v>
      </x:c>
      <x:c r="AE1326" s="80" t="n">
        <x:f>Z1326-AD1326</x:f>
        <x:v>445.98265507843365</x:v>
      </x:c>
      <x:c r="AF1326" s="80" t="n">
        <x:f>D1326*W1326</x:f>
        <x:v>4208.292165433389</x:v>
      </x:c>
      <x:c r="AG1326" s="80" t="n">
        <x:f>C1326*W1326</x:f>
        <x:v>9819.348386011468</x:v>
      </x:c>
      <x:c r="AH1326" s="80" t="n">
        <x:f>2*'Inputs'!$B$8*'Inputs'!$C$47</x:f>
        <x:v>7500</x:v>
      </x:c>
      <x:c r="AI1326" s="81" t="n">
        <x:f>IF(AH1326&gt;0,(AE1326+AF1326)/AH1326*365,0)</x:f>
        <x:v>226.50804126490868</x:v>
      </x:c>
      <x:c r="AJ1326" s="81" t="n">
        <x:f>IF('Inputs'!$B$47&gt;0,AG1326/('Inputs'!$B$19*'Inputs'!$B$47)*365,0)</x:f>
        <x:v>358.4062160894186</x:v>
      </x:c>
      <x:c r="AK1326" s="81" t="n">
        <x:f>W1326/MAX($W$1099:W1326)-1</x:f>
        <x:v>-0.3054814186228928</x:v>
      </x:c>
      <x:c r="AL1326" s="83" t="n">
        <x:f>'Inputs'!$B$47</x:f>
        <x:v>1</x:v>
      </x:c>
      <x:c r="AM1326" s="83" t="n">
        <x:f>'Inputs'!$C$47</x:f>
        <x:v>1.5</x:v>
      </x:c>
      <x:c r="AN1326" s="83" t="n">
        <x:f>'Inputs'!$D$47</x:f>
        <x:v>1.5</x:v>
      </x:c>
      <x:c r="AO1326" s="81" t="n">
        <x:f>'Inputs'!$E$47</x:f>
        <x:v>0.05</x:v>
      </x:c>
    </x:row>
    <x:row r="1327">
      <x:c r="A1327" s="59" t="str">
        <x:v>Growth</x:v>
      </x:c>
      <x:c r="B1327" s="59" t="n">
        <x:v>229</x:v>
      </x:c>
      <x:c r="C1327" s="78" t="n">
        <x:f>(('Inputs'!$B$29*(3*229*'Inputs'!$B$12-229^2)/(2*'Inputs'!$B$12^2))-('Inputs'!$B$29*(3*228*'Inputs'!$B$12-228^2)/(2*'Inputs'!$B$12^2)))*'Inputs'!$B$47</x:f>
        <x:v>637699.1461812556</x:v>
      </x:c>
      <x:c r="D1327" s="78" t="n">
        <x:f>IF('Inputs'!$C$47&gt;0,('Inputs'!$B$30*(3*229*'Inputs'!$B$12-229^2)/(2*'Inputs'!$B$12^2))-('Inputs'!$B$30*(3*228*'Inputs'!$B$12-228^2)/(2*'Inputs'!$B$12^2)),0)</x:f>
        <x:v>273299.63407769054</x:v>
      </x:c>
      <x:c r="E1327" s="78" t="n">
        <x:f>C1327+D1327</x:f>
        <x:v>910998.7802589461</x:v>
      </x:c>
      <x:c r="F1327" s="78" t="n">
        <x:f>'Inputs'!$B$13*E1327+(1-'Inputs'!$B$13)/'Inputs'!$B$14*SUM(E1272:E1327)</x:f>
        <x:v>921216.4571214083</x:v>
      </x:c>
      <x:c r="G1327" s="78" t="n">
        <x:f>F1327*'Inputs'!$F$47</x:f>
        <x:v>322425.7599924929</x:v>
      </x:c>
      <x:c r="H1327" s="78" t="n">
        <x:f>U1326</x:f>
        <x:v>2064450.1364777084</x:v>
      </x:c>
      <x:c r="I1327" s="78" t="n">
        <x:f>V1326</x:f>
        <x:v>31772.389507053806</x:v>
      </x:c>
      <x:c r="J1327" s="79" t="n">
        <x:f>IF(H1327&gt;0,I1327/H1327,0)</x:f>
        <x:v>0.015390243118810673</x:v>
      </x:c>
      <x:c r="K1327" s="80" t="n">
        <x:f>(H1327*J1327+I1327)*'Inputs'!$D$47*(1+'Inputs'!$G$47)^(B1327/30)</x:f>
        <x:v>119443.34245819665</x:v>
      </x:c>
      <x:c r="L1327" s="80" t="n">
        <x:f>MAX(0,K1327*'Inputs'!$E$47)</x:f>
        <x:v>5972.167122909833</x:v>
      </x:c>
      <x:c r="M1327" s="80" t="n">
        <x:f>MAX(0,-K1327*'Inputs'!$E$47)</x:f>
        <x:v>0</x:v>
      </x:c>
      <x:c r="N1327" s="78" t="n">
        <x:f>H1327*(L1327*(1-'Inputs'!$B$15))/(I1327+L1327*(1-'Inputs'!$B$15))</x:f>
        <x:v>323895.50950680807</x:v>
      </x:c>
      <x:c r="O1327" s="78" t="n">
        <x:f>H1327-N1327</x:f>
        <x:v>1740554.6269709002</x:v>
      </x:c>
      <x:c r="P1327" s="78" t="n">
        <x:f>I1327+L1327*(1-'Inputs'!$B$17)</x:f>
        <x:v>37720.52376427788</x:v>
      </x:c>
      <x:c r="Q1327" s="78" t="n">
        <x:f>IF(J1327&gt;0,M1327/J1327,0)</x:f>
        <x:v>0</x:v>
      </x:c>
      <x:c r="R1327" s="78" t="n">
        <x:f>IF(B1327='Inputs'!$H$47,'Inputs'!$B$27*'Inputs'!$I$47,0)</x:f>
        <x:v>0</x:v>
      </x:c>
      <x:c r="S1327" s="78" t="n">
        <x:f>Q1327+G1327+R1327</x:f>
        <x:v>322425.7599924929</x:v>
      </x:c>
      <x:c r="T1327" s="78" t="n">
        <x:f>P1327*(S1327*(1-'Inputs'!$B$15))/(O1327+S1327*(1-'Inputs'!$B$15))</x:f>
        <x:v>5845.569621056526</x:v>
      </x:c>
      <x:c r="U1327" s="78" t="n">
        <x:f>O1327+S1327*(1-'Inputs'!$B$17)</x:f>
        <x:v>2061682.8989956165</x:v>
      </x:c>
      <x:c r="V1327" s="78" t="n">
        <x:f>P1327-T1327</x:f>
        <x:v>31874.954143221355</x:v>
      </x:c>
      <x:c r="W1327" s="79" t="n">
        <x:f>IF(U1327&gt;0,V1327/U1327,0)</x:f>
        <x:v>0.015460648268824356</x:v>
      </x:c>
      <x:c r="X1327" s="80" t="n">
        <x:f>W1327*('Inputs'!$B$6-AC1327)</x:f>
        <x:v>15404050.113557933</x:v>
      </x:c>
      <x:c r="Y1327" s="80" t="n">
        <x:f>2*V1327</x:f>
        <x:v>63749.90828644271</x:v>
      </x:c>
      <x:c r="Z1327" s="80" t="n">
        <x:f>K1327*'Inputs'!$B$16+(G1327+R1327)*J1327*'Inputs'!$B$16</x:f>
        <x:v>746.4333197534905</x:v>
      </x:c>
      <x:c r="AA1327" s="80" t="n">
        <x:f>K1327*(1+'Inputs'!$E$47)/2*'Inputs'!$B$17</x:f>
        <x:v>252.3450897004155</x:v>
      </x:c>
      <x:c r="AB1327" s="78" t="n">
        <x:f>(IF(J1327&gt;0,K1327*(1-'Inputs'!$E$47)/2/J1327,0)+G1327+R1327)*'Inputs'!$B$17</x:f>
        <x:v>16132.35589365155</x:v>
      </x:c>
      <x:c r="AC1327" s="78" t="n">
        <x:f>AC1326+AB1327</x:f>
        <x:v>3660787.9748839717</x:v>
      </x:c>
      <x:c r="AD1327" s="80" t="n">
        <x:f>Z1327/(1+'Inputs'!$C$47)</x:f>
        <x:v>298.5733279013962</x:v>
      </x:c>
      <x:c r="AE1327" s="80" t="n">
        <x:f>Z1327-AD1327</x:f>
        <x:v>447.8599918520943</x:v>
      </x:c>
      <x:c r="AF1327" s="80" t="n">
        <x:f>D1327*W1327</x:f>
        <x:v>4225.389514473576</x:v>
      </x:c>
      <x:c r="AG1327" s="80" t="n">
        <x:f>C1327*W1327</x:f>
        <x:v>9859.242200437999</x:v>
      </x:c>
      <x:c r="AH1327" s="80" t="n">
        <x:f>2*'Inputs'!$B$8*'Inputs'!$C$47</x:f>
        <x:v>7500</x:v>
      </x:c>
      <x:c r="AI1327" s="81" t="n">
        <x:f>IF(AH1327&gt;0,(AE1327+AF1327)/AH1327*365,0)</x:f>
        <x:v>227.43147597451593</x:v>
      </x:c>
      <x:c r="AJ1327" s="81" t="n">
        <x:f>IF('Inputs'!$B$47&gt;0,AG1327/('Inputs'!$B$19*'Inputs'!$B$47)*365,0)</x:f>
        <x:v>359.86234031598696</x:v>
      </x:c>
      <x:c r="AK1327" s="81" t="n">
        <x:f>W1327/MAX($W$1099:W1327)-1</x:f>
        <x:v>-0.30230423132756146</x:v>
      </x:c>
      <x:c r="AL1327" s="83" t="n">
        <x:f>'Inputs'!$B$47</x:f>
        <x:v>1</x:v>
      </x:c>
      <x:c r="AM1327" s="83" t="n">
        <x:f>'Inputs'!$C$47</x:f>
        <x:v>1.5</x:v>
      </x:c>
      <x:c r="AN1327" s="83" t="n">
        <x:f>'Inputs'!$D$47</x:f>
        <x:v>1.5</x:v>
      </x:c>
      <x:c r="AO1327" s="81" t="n">
        <x:f>'Inputs'!$E$47</x:f>
        <x:v>0.05</x:v>
      </x:c>
    </x:row>
    <x:row r="1328">
      <x:c r="A1328" s="59" t="str">
        <x:v>Growth</x:v>
      </x:c>
      <x:c r="B1328" s="59" t="n">
        <x:v>230</x:v>
      </x:c>
      <x:c r="C1328" s="78" t="n">
        <x:f>(('Inputs'!$B$29*(3*230*'Inputs'!$B$12-230^2)/(2*'Inputs'!$B$12^2))-('Inputs'!$B$29*(3*229*'Inputs'!$B$12-229^2)/(2*'Inputs'!$B$12^2)))*'Inputs'!$B$47</x:f>
        <x:v>637374.0382811129</x:v>
      </x:c>
      <x:c r="D1328" s="78" t="n">
        <x:f>IF('Inputs'!$C$47&gt;0,('Inputs'!$B$30*(3*230*'Inputs'!$B$12-230^2)/(2*'Inputs'!$B$12^2))-('Inputs'!$B$30*(3*229*'Inputs'!$B$12-229^2)/(2*'Inputs'!$B$12^2)),0)</x:f>
        <x:v>273160.3021204695</x:v>
      </x:c>
      <x:c r="E1328" s="78" t="n">
        <x:f>C1328+D1328</x:f>
        <x:v>910534.3404015824</x:v>
      </x:c>
      <x:c r="F1328" s="78" t="n">
        <x:f>'Inputs'!$B$13*E1328+(1-'Inputs'!$B$13)/'Inputs'!$B$14*SUM(E1273:E1328)</x:f>
        <x:v>920752.0172640283</x:v>
      </x:c>
      <x:c r="G1328" s="78" t="n">
        <x:f>F1328*'Inputs'!$F$47</x:f>
        <x:v>322263.2060424099</x:v>
      </x:c>
      <x:c r="H1328" s="78" t="n">
        <x:f>U1327</x:f>
        <x:v>2061682.8989956165</x:v>
      </x:c>
      <x:c r="I1328" s="78" t="n">
        <x:f>V1327</x:f>
        <x:v>31874.954143221355</x:v>
      </x:c>
      <x:c r="J1328" s="79" t="n">
        <x:f>IF(H1328&gt;0,I1328/H1328,0)</x:f>
        <x:v>0.015460648268824356</x:v>
      </x:c>
      <x:c r="K1328" s="80" t="n">
        <x:f>(H1328*J1328+I1328)*'Inputs'!$D$47*(1+'Inputs'!$G$47)^(B1328/30)</x:f>
        <x:v>119947.04303717612</x:v>
      </x:c>
      <x:c r="L1328" s="80" t="n">
        <x:f>MAX(0,K1328*'Inputs'!$E$47)</x:f>
        <x:v>5997.352151858806</x:v>
      </x:c>
      <x:c r="M1328" s="80" t="n">
        <x:f>MAX(0,-K1328*'Inputs'!$E$47)</x:f>
        <x:v>0</x:v>
      </x:c>
      <x:c r="N1328" s="78" t="n">
        <x:f>H1328*(L1328*(1-'Inputs'!$B$15))/(I1328+L1328*(1-'Inputs'!$B$15))</x:f>
        <x:v>323730.14540889044</x:v>
      </x:c>
      <x:c r="O1328" s="78" t="n">
        <x:f>H1328-N1328</x:f>
        <x:v>1737952.753586726</x:v>
      </x:c>
      <x:c r="P1328" s="78" t="n">
        <x:f>I1328+L1328*(1-'Inputs'!$B$17)</x:f>
        <x:v>37848.17208118938</x:v>
      </x:c>
      <x:c r="Q1328" s="78" t="n">
        <x:f>IF(J1328&gt;0,M1328/J1328,0)</x:f>
        <x:v>0</x:v>
      </x:c>
      <x:c r="R1328" s="78" t="n">
        <x:f>IF(B1328='Inputs'!$H$47,'Inputs'!$B$27*'Inputs'!$I$47,0)</x:f>
        <x:v>0</x:v>
      </x:c>
      <x:c r="S1328" s="78" t="n">
        <x:f>Q1328+G1328+R1328</x:f>
        <x:v>322263.2060424099</x:v>
      </x:c>
      <x:c r="T1328" s="78" t="n">
        <x:f>P1328*(S1328*(1-'Inputs'!$B$15))/(O1328+S1328*(1-'Inputs'!$B$15))</x:f>
        <x:v>5870.268212889123</x:v>
      </x:c>
      <x:c r="U1328" s="78" t="n">
        <x:f>O1328+S1328*(1-'Inputs'!$B$17)</x:f>
        <x:v>2058919.1258020035</x:v>
      </x:c>
      <x:c r="V1328" s="78" t="n">
        <x:f>P1328-T1328</x:f>
        <x:v>31977.90386830026</x:v>
      </x:c>
      <x:c r="W1328" s="79" t="n">
        <x:f>IF(U1328&gt;0,V1328/U1328,0)</x:f>
        <x:v>0.015531403573631877</x:v>
      </x:c>
      <x:c r="X1328" s="80" t="n">
        <x:f>W1328*('Inputs'!$B$6-AC1328)</x:f>
        <x:v>15474295.932242993</x:v>
      </x:c>
      <x:c r="Y1328" s="80" t="n">
        <x:f>2*V1328</x:f>
        <x:v>63955.80773660052</x:v>
      </x:c>
      <x:c r="Z1328" s="80" t="n">
        <x:f>K1328*'Inputs'!$B$16+(G1328+R1328)*J1328*'Inputs'!$B$16</x:f>
        <x:v>749.5766466946889</x:v>
      </x:c>
      <x:c r="AA1328" s="80" t="n">
        <x:f>K1328*(1+'Inputs'!$E$47)/2*'Inputs'!$B$17</x:f>
        <x:v>253.40924585318902</x:v>
      </x:c>
      <x:c r="AB1328" s="78" t="n">
        <x:f>(IF(J1328&gt;0,K1328*(1-'Inputs'!$E$47)/2/J1328,0)+G1328+R1328)*'Inputs'!$B$17</x:f>
        <x:v>16126.421045977004</x:v>
      </x:c>
      <x:c r="AC1328" s="78" t="n">
        <x:f>AC1327+AB1328</x:f>
        <x:v>3676914.395929949</x:v>
      </x:c>
      <x:c r="AD1328" s="80" t="n">
        <x:f>Z1328/(1+'Inputs'!$C$47)</x:f>
        <x:v>299.83065867787553</x:v>
      </x:c>
      <x:c r="AE1328" s="80" t="n">
        <x:f>Z1328-AD1328</x:f>
        <x:v>449.7459880168133</x:v>
      </x:c>
      <x:c r="AF1328" s="80" t="n">
        <x:f>D1328*W1328</x:f>
        <x:v>4242.5628925282235</x:v>
      </x:c>
      <x:c r="AG1328" s="80" t="n">
        <x:f>C1328*W1328</x:f>
        <x:v>9899.313415899458</x:v>
      </x:c>
      <x:c r="AH1328" s="80" t="n">
        <x:f>2*'Inputs'!$B$8*'Inputs'!$C$47</x:f>
        <x:v>7500</x:v>
      </x:c>
      <x:c r="AI1328" s="81" t="n">
        <x:f>IF(AH1328&gt;0,(AE1328+AF1328)/AH1328*365,0)</x:f>
        <x:v>228.35903218652513</x:v>
      </x:c>
      <x:c r="AJ1328" s="81" t="n">
        <x:f>IF('Inputs'!$B$47&gt;0,AG1328/('Inputs'!$B$19*'Inputs'!$B$47)*365,0)</x:f>
        <x:v>361.3249396803302</x:v>
      </x:c>
      <x:c r="AK1328" s="81" t="n">
        <x:f>W1328/MAX($W$1099:W1328)-1</x:f>
        <x:v>-0.2991112425267697</x:v>
      </x:c>
      <x:c r="AL1328" s="83" t="n">
        <x:f>'Inputs'!$B$47</x:f>
        <x:v>1</x:v>
      </x:c>
      <x:c r="AM1328" s="83" t="n">
        <x:f>'Inputs'!$C$47</x:f>
        <x:v>1.5</x:v>
      </x:c>
      <x:c r="AN1328" s="83" t="n">
        <x:f>'Inputs'!$D$47</x:f>
        <x:v>1.5</x:v>
      </x:c>
      <x:c r="AO1328" s="81" t="n">
        <x:f>'Inputs'!$E$47</x:f>
        <x:v>0.05</x:v>
      </x:c>
    </x:row>
    <x:row r="1329">
      <x:c r="A1329" s="59" t="str">
        <x:v>Growth</x:v>
      </x:c>
      <x:c r="B1329" s="59" t="n">
        <x:v>231</x:v>
      </x:c>
      <x:c r="C1329" s="78" t="n">
        <x:f>(('Inputs'!$B$29*(3*231*'Inputs'!$B$12-231^2)/(2*'Inputs'!$B$12^2))-('Inputs'!$B$29*(3*230*'Inputs'!$B$12-230^2)/(2*'Inputs'!$B$12^2)))*'Inputs'!$B$47</x:f>
        <x:v>637048.9303809404</x:v>
      </x:c>
      <x:c r="D1329" s="78" t="n">
        <x:f>IF('Inputs'!$C$47&gt;0,('Inputs'!$B$30*(3*231*'Inputs'!$B$12-231^2)/(2*'Inputs'!$B$12^2))-('Inputs'!$B$30*(3*230*'Inputs'!$B$12-230^2)/(2*'Inputs'!$B$12^2)),0)</x:f>
        <x:v>273020.97016325593</x:v>
      </x:c>
      <x:c r="E1329" s="78" t="n">
        <x:f>C1329+D1329</x:f>
        <x:v>910069.9005441964</x:v>
      </x:c>
      <x:c r="F1329" s="78" t="n">
        <x:f>'Inputs'!$B$13*E1329+(1-'Inputs'!$B$13)/'Inputs'!$B$14*SUM(E1274:E1329)</x:f>
        <x:v>920287.5774066439</x:v>
      </x:c>
      <x:c r="G1329" s="78" t="n">
        <x:f>F1329*'Inputs'!$F$47</x:f>
        <x:v>322100.6520923253</x:v>
      </x:c>
      <x:c r="H1329" s="78" t="n">
        <x:f>U1328</x:f>
        <x:v>2058919.1258020035</x:v>
      </x:c>
      <x:c r="I1329" s="78" t="n">
        <x:f>V1328</x:f>
        <x:v>31977.90386830026</x:v>
      </x:c>
      <x:c r="J1329" s="79" t="n">
        <x:f>IF(H1329&gt;0,I1329/H1329,0)</x:f>
        <x:v>0.015531403573631877</x:v>
      </x:c>
      <x:c r="K1329" s="80" t="n">
        <x:f>(H1329*J1329+I1329)*'Inputs'!$D$47*(1+'Inputs'!$G$47)^(B1329/30)</x:f>
        <x:v>120453.07115803783</x:v>
      </x:c>
      <x:c r="L1329" s="80" t="n">
        <x:f>MAX(0,K1329*'Inputs'!$E$47)</x:f>
        <x:v>6022.653557901892</x:v>
      </x:c>
      <x:c r="M1329" s="80" t="n">
        <x:f>MAX(0,-K1329*'Inputs'!$E$47)</x:f>
        <x:v>0</x:v>
      </x:c>
      <x:c r="N1329" s="78" t="n">
        <x:f>H1329*(L1329*(1-'Inputs'!$B$15))/(I1329+L1329*(1-'Inputs'!$B$15))</x:f>
        <x:v>323564.7856590855</x:v>
      </x:c>
      <x:c r="O1329" s="78" t="n">
        <x:f>H1329-N1329</x:f>
        <x:v>1735354.340142918</x:v>
      </x:c>
      <x:c r="P1329" s="78" t="n">
        <x:f>I1329+L1329*(1-'Inputs'!$B$17)</x:f>
        <x:v>37976.32139578806</x:v>
      </x:c>
      <x:c r="Q1329" s="78" t="n">
        <x:f>IF(J1329&gt;0,M1329/J1329,0)</x:f>
        <x:v>0</x:v>
      </x:c>
      <x:c r="R1329" s="78" t="n">
        <x:f>IF(B1329='Inputs'!$H$47,'Inputs'!$B$27*'Inputs'!$I$47,0)</x:f>
        <x:v>0</x:v>
      </x:c>
      <x:c r="S1329" s="78" t="n">
        <x:f>Q1329+G1329+R1329</x:f>
        <x:v>322100.6520923253</x:v>
      </x:c>
      <x:c r="T1329" s="78" t="n">
        <x:f>P1329*(S1329*(1-'Inputs'!$B$15))/(O1329+S1329*(1-'Inputs'!$B$15))</x:f>
        <x:v>5895.081081809469</x:v>
      </x:c>
      <x:c r="U1329" s="78" t="n">
        <x:f>O1329+S1329*(1-'Inputs'!$B$17)</x:f>
        <x:v>2056158.8125487552</x:v>
      </x:c>
      <x:c r="V1329" s="78" t="n">
        <x:f>P1329-T1329</x:f>
        <x:v>32081.24031397859</x:v>
      </x:c>
      <x:c r="W1329" s="79" t="n">
        <x:f>IF(U1329&gt;0,V1329/U1329,0)</x:f>
        <x:v>0.015602510914131</x:v>
      </x:c>
      <x:c r="X1329" s="80" t="n">
        <x:f>W1329*('Inputs'!$B$6-AC1329)</x:f>
        <x:v>15544890.29707452</x:v>
      </x:c>
      <x:c r="Y1329" s="80" t="n">
        <x:f>2*V1329</x:f>
        <x:v>64162.48062795718</x:v>
      </x:c>
      <x:c r="Z1329" s="80" t="n">
        <x:f>K1329*'Inputs'!$B$16+(G1329+R1329)*J1329*'Inputs'!$B$16</x:f>
        <x:v>752.7344782620823</x:v>
      </x:c>
      <x:c r="AA1329" s="80" t="n">
        <x:f>K1329*(1+'Inputs'!$E$47)/2*'Inputs'!$B$17</x:f>
        <x:v>254.47831934796727</x:v>
      </x:c>
      <x:c r="AB1329" s="78" t="n">
        <x:f>(IF(J1329&gt;0,K1329*(1-'Inputs'!$E$47)/2/J1329,0)+G1329+R1329)*'Inputs'!$B$17</x:f>
        <x:v>16120.486314175396</x:v>
      </x:c>
      <x:c r="AC1329" s="78" t="n">
        <x:f>AC1328+AB1329</x:f>
        <x:v>3693034.882244124</x:v>
      </x:c>
      <x:c r="AD1329" s="80" t="n">
        <x:f>Z1329/(1+'Inputs'!$C$47)</x:f>
        <x:v>301.09379130483296</x:v>
      </x:c>
      <x:c r="AE1329" s="80" t="n">
        <x:f>Z1329-AD1329</x:f>
        <x:v>451.6406869572494</x:v>
      </x:c>
      <x:c r="AF1329" s="80" t="n">
        <x:f>D1329*W1329</x:f>
        <x:v>4259.812666758835</x:v>
      </x:c>
      <x:c r="AG1329" s="80" t="n">
        <x:f>C1329*W1329</x:f>
        <x:v>9939.562889104103</x:v>
      </x:c>
      <x:c r="AH1329" s="80" t="n">
        <x:f>2*'Inputs'!$B$8*'Inputs'!$C$47</x:f>
        <x:v>7500</x:v>
      </x:c>
      <x:c r="AI1329" s="81" t="n">
        <x:f>IF(AH1329&gt;0,(AE1329+AF1329)/AH1329*365,0)</x:f>
        <x:v>229.29072988084943</x:v>
      </x:c>
      <x:c r="AJ1329" s="81" t="n">
        <x:f>IF('Inputs'!$B$47&gt;0,AG1329/('Inputs'!$B$19*'Inputs'!$B$47)*365,0)</x:f>
        <x:v>362.79404545229977</x:v>
      </x:c>
      <x:c r="AK1329" s="81" t="n">
        <x:f>W1329/MAX($W$1099:W1329)-1</x:f>
        <x:v>-0.2959023673408677</x:v>
      </x:c>
      <x:c r="AL1329" s="83" t="n">
        <x:f>'Inputs'!$B$47</x:f>
        <x:v>1</x:v>
      </x:c>
      <x:c r="AM1329" s="83" t="n">
        <x:f>'Inputs'!$C$47</x:f>
        <x:v>1.5</x:v>
      </x:c>
      <x:c r="AN1329" s="83" t="n">
        <x:f>'Inputs'!$D$47</x:f>
        <x:v>1.5</x:v>
      </x:c>
      <x:c r="AO1329" s="81" t="n">
        <x:f>'Inputs'!$E$47</x:f>
        <x:v>0.05</x:v>
      </x:c>
    </x:row>
    <x:row r="1330">
      <x:c r="A1330" s="59" t="str">
        <x:v>Growth</x:v>
      </x:c>
      <x:c r="B1330" s="59" t="n">
        <x:v>232</x:v>
      </x:c>
      <x:c r="C1330" s="78" t="n">
        <x:f>(('Inputs'!$B$29*(3*232*'Inputs'!$B$12-232^2)/(2*'Inputs'!$B$12^2))-('Inputs'!$B$29*(3*231*'Inputs'!$B$12-231^2)/(2*'Inputs'!$B$12^2)))*'Inputs'!$B$47</x:f>
        <x:v>636723.822480768</x:v>
      </x:c>
      <x:c r="D1330" s="78" t="n">
        <x:f>IF('Inputs'!$C$47&gt;0,('Inputs'!$B$30*(3*232*'Inputs'!$B$12-232^2)/(2*'Inputs'!$B$12^2))-('Inputs'!$B$30*(3*231*'Inputs'!$B$12-231^2)/(2*'Inputs'!$B$12^2)),0)</x:f>
        <x:v>272881.63820604235</x:v>
      </x:c>
      <x:c r="E1330" s="78" t="n">
        <x:f>C1330+D1330</x:f>
        <x:v>909605.4606868103</x:v>
      </x:c>
      <x:c r="F1330" s="78" t="n">
        <x:f>'Inputs'!$B$13*E1330+(1-'Inputs'!$B$13)/'Inputs'!$B$14*SUM(E1275:E1330)</x:f>
        <x:v>919823.1375492595</x:v>
      </x:c>
      <x:c r="G1330" s="78" t="n">
        <x:f>F1330*'Inputs'!$F$47</x:f>
        <x:v>321938.0981422408</x:v>
      </x:c>
      <x:c r="H1330" s="78" t="n">
        <x:f>U1329</x:f>
        <x:v>2056158.8125487552</x:v>
      </x:c>
      <x:c r="I1330" s="78" t="n">
        <x:f>V1329</x:f>
        <x:v>32081.24031397859</x:v>
      </x:c>
      <x:c r="J1330" s="79" t="n">
        <x:f>IF(H1330&gt;0,I1330/H1330,0)</x:f>
        <x:v>0.015602510914131</x:v>
      </x:c>
      <x:c r="K1330" s="80" t="n">
        <x:f>(H1330*J1330+I1330)*'Inputs'!$D$47*(1+'Inputs'!$G$47)^(B1330/30)</x:f>
        <x:v>120961.4385023336</x:v>
      </x:c>
      <x:c r="L1330" s="80" t="n">
        <x:f>MAX(0,K1330*'Inputs'!$E$47)</x:f>
        <x:v>6048.071925116681</x:v>
      </x:c>
      <x:c r="M1330" s="80" t="n">
        <x:f>MAX(0,-K1330*'Inputs'!$E$47)</x:f>
        <x:v>0</x:v>
      </x:c>
      <x:c r="N1330" s="78" t="n">
        <x:f>H1330*(L1330*(1-'Inputs'!$B$15))/(I1330+L1330*(1-'Inputs'!$B$15))</x:f>
        <x:v>323399.4302520747</x:v>
      </x:c>
      <x:c r="O1330" s="78" t="n">
        <x:f>H1330-N1330</x:f>
        <x:v>1732759.3822966805</x:v>
      </x:c>
      <x:c r="P1330" s="78" t="n">
        <x:f>I1330+L1330*(1-'Inputs'!$B$17)</x:f>
        <x:v>38104.97392148917</x:v>
      </x:c>
      <x:c r="Q1330" s="78" t="n">
        <x:f>IF(J1330&gt;0,M1330/J1330,0)</x:f>
        <x:v>0</x:v>
      </x:c>
      <x:c r="R1330" s="78" t="n">
        <x:f>IF(B1330='Inputs'!$H$47,'Inputs'!$B$27*'Inputs'!$I$47,0)</x:f>
        <x:v>0</x:v>
      </x:c>
      <x:c r="S1330" s="78" t="n">
        <x:f>Q1330+G1330+R1330</x:f>
        <x:v>321938.0981422408</x:v>
      </x:c>
      <x:c r="T1330" s="78" t="n">
        <x:f>P1330*(S1330*(1-'Inputs'!$B$15))/(O1330+S1330*(1-'Inputs'!$B$15))</x:f>
        <x:v>5920.008801904868</x:v>
      </x:c>
      <x:c r="U1330" s="78" t="n">
        <x:f>O1330+S1330*(1-'Inputs'!$B$17)</x:f>
        <x:v>2053401.9548930773</x:v>
      </x:c>
      <x:c r="V1330" s="78" t="n">
        <x:f>P1330-T1330</x:f>
        <x:v>32184.9651195843</x:v>
      </x:c>
      <x:c r="W1330" s="79" t="n">
        <x:f>IF(U1330&gt;0,V1330/U1330,0)</x:f>
        <x:v>0.01567397218206126</x:v>
      </x:c>
      <x:c r="X1330" s="80" t="n">
        <x:f>W1330*('Inputs'!$B$6-AC1330)</x:f>
        <x:v>15615835.07701456</x:v>
      </x:c>
      <x:c r="Y1330" s="80" t="n">
        <x:f>2*V1330</x:f>
        <x:v>64369.9302391686</x:v>
      </x:c>
      <x:c r="Z1330" s="80" t="n">
        <x:f>K1330*'Inputs'!$B$16+(G1330+R1330)*J1330*'Inputs'!$B$16</x:f>
        <x:v>755.906887153635</x:v>
      </x:c>
      <x:c r="AA1330" s="80" t="n">
        <x:f>K1330*(1+'Inputs'!$E$47)/2*'Inputs'!$B$17</x:f>
        <x:v>255.5523348640851</x:v>
      </x:c>
      <x:c r="AB1330" s="78" t="n">
        <x:f>(IF(J1330&gt;0,K1330*(1-'Inputs'!$E$47)/2/J1330,0)+G1330+R1330)*'Inputs'!$B$17</x:f>
        <x:v>16114.551696857585</x:v>
      </x:c>
      <x:c r="AC1330" s="78" t="n">
        <x:f>AC1329+AB1330</x:f>
        <x:v>3709149.4339409815</x:v>
      </x:c>
      <x:c r="AD1330" s="80" t="n">
        <x:f>Z1330/(1+'Inputs'!$C$47)</x:f>
        <x:v>302.362754861454</x:v>
      </x:c>
      <x:c r="AE1330" s="80" t="n">
        <x:f>Z1330-AD1330</x:f>
        <x:v>453.544132292181</x:v>
      </x:c>
      <x:c r="AF1330" s="80" t="n">
        <x:f>D1330*W1330</x:f>
        <x:v>4277.139206236813</x:v>
      </x:c>
      <x:c r="AG1330" s="80" t="n">
        <x:f>C1330*W1330</x:f>
        <x:v>9979.99148121927</x:v>
      </x:c>
      <x:c r="AH1330" s="80" t="n">
        <x:f>2*'Inputs'!$B$8*'Inputs'!$C$47</x:f>
        <x:v>7500</x:v>
      </x:c>
      <x:c r="AI1330" s="81" t="n">
        <x:f>IF(AH1330&gt;0,(AE1330+AF1330)/AH1330*365,0)</x:f>
        <x:v>230.22658914174437</x:v>
      </x:c>
      <x:c r="AJ1330" s="81" t="n">
        <x:f>IF('Inputs'!$B$47&gt;0,AG1330/('Inputs'!$B$19*'Inputs'!$B$47)*365,0)</x:f>
        <x:v>364.2696890645033</x:v>
      </x:c>
      <x:c r="AK1330" s="81" t="n">
        <x:f>W1330/MAX($W$1099:W1330)-1</x:f>
        <x:v>-0.29267752040094697</x:v>
      </x:c>
      <x:c r="AL1330" s="83" t="n">
        <x:f>'Inputs'!$B$47</x:f>
        <x:v>1</x:v>
      </x:c>
      <x:c r="AM1330" s="83" t="n">
        <x:f>'Inputs'!$C$47</x:f>
        <x:v>1.5</x:v>
      </x:c>
      <x:c r="AN1330" s="83" t="n">
        <x:f>'Inputs'!$D$47</x:f>
        <x:v>1.5</x:v>
      </x:c>
      <x:c r="AO1330" s="81" t="n">
        <x:f>'Inputs'!$E$47</x:f>
        <x:v>0.05</x:v>
      </x:c>
    </x:row>
    <x:row r="1331">
      <x:c r="A1331" s="59" t="str">
        <x:v>Growth</x:v>
      </x:c>
      <x:c r="B1331" s="59" t="n">
        <x:v>233</x:v>
      </x:c>
      <x:c r="C1331" s="78" t="n">
        <x:f>(('Inputs'!$B$29*(3*233*'Inputs'!$B$12-233^2)/(2*'Inputs'!$B$12^2))-('Inputs'!$B$29*(3*232*'Inputs'!$B$12-232^2)/(2*'Inputs'!$B$12^2)))*'Inputs'!$B$47</x:f>
        <x:v>636398.7145805955</x:v>
      </x:c>
      <x:c r="D1331" s="78" t="n">
        <x:f>IF('Inputs'!$C$47&gt;0,('Inputs'!$B$30*(3*233*'Inputs'!$B$12-233^2)/(2*'Inputs'!$B$12^2))-('Inputs'!$B$30*(3*232*'Inputs'!$B$12-232^2)/(2*'Inputs'!$B$12^2)),0)</x:f>
        <x:v>272742.30624882877</x:v>
      </x:c>
      <x:c r="E1331" s="78" t="n">
        <x:f>C1331+D1331</x:f>
        <x:v>909141.0208294243</x:v>
      </x:c>
      <x:c r="F1331" s="78" t="n">
        <x:f>'Inputs'!$B$13*E1331+(1-'Inputs'!$B$13)/'Inputs'!$B$14*SUM(E1276:E1331)</x:f>
        <x:v>919358.6976918749</x:v>
      </x:c>
      <x:c r="G1331" s="78" t="n">
        <x:f>F1331*'Inputs'!$F$47</x:f>
        <x:v>321775.54419215623</x:v>
      </x:c>
      <x:c r="H1331" s="78" t="n">
        <x:f>U1330</x:f>
        <x:v>2053401.9548930773</x:v>
      </x:c>
      <x:c r="I1331" s="78" t="n">
        <x:f>V1330</x:f>
        <x:v>32184.9651195843</x:v>
      </x:c>
      <x:c r="J1331" s="79" t="n">
        <x:f>IF(H1331&gt;0,I1331/H1331,0)</x:f>
        <x:v>0.01567397218206126</x:v>
      </x:c>
      <x:c r="K1331" s="80" t="n">
        <x:f>(H1331*J1331+I1331)*'Inputs'!$D$47*(1+'Inputs'!$G$47)^(B1331/30)</x:f>
        <x:v>121472.15681475787</x:v>
      </x:c>
      <x:c r="L1331" s="80" t="n">
        <x:f>MAX(0,K1331*'Inputs'!$E$47)</x:f>
        <x:v>6073.607840737894</x:v>
      </x:c>
      <x:c r="M1331" s="80" t="n">
        <x:f>MAX(0,-K1331*'Inputs'!$E$47)</x:f>
        <x:v>0</x:v>
      </x:c>
      <x:c r="N1331" s="78" t="n">
        <x:f>H1331*(L1331*(1-'Inputs'!$B$15))/(I1331+L1331*(1-'Inputs'!$B$15))</x:f>
        <x:v>323234.0791825468</x:v>
      </x:c>
      <x:c r="O1331" s="78" t="n">
        <x:f>H1331-N1331</x:f>
        <x:v>1730167.8757105304</x:v>
      </x:c>
      <x:c r="P1331" s="78" t="n">
        <x:f>I1331+L1331*(1-'Inputs'!$B$17)</x:f>
        <x:v>38234.131882492264</x:v>
      </x:c>
      <x:c r="Q1331" s="78" t="n">
        <x:f>IF(J1331&gt;0,M1331/J1331,0)</x:f>
        <x:v>0</x:v>
      </x:c>
      <x:c r="R1331" s="78" t="n">
        <x:f>IF(B1331='Inputs'!$H$47,'Inputs'!$B$27*'Inputs'!$I$47,0)</x:f>
        <x:v>0</x:v>
      </x:c>
      <x:c r="S1331" s="78" t="n">
        <x:f>Q1331+G1331+R1331</x:f>
        <x:v>321775.54419215623</x:v>
      </x:c>
      <x:c r="T1331" s="78" t="n">
        <x:f>P1331*(S1331*(1-'Inputs'!$B$15))/(O1331+S1331*(1-'Inputs'!$B$15))</x:f>
        <x:v>5945.051950368064</x:v>
      </x:c>
      <x:c r="U1331" s="78" t="n">
        <x:f>O1331+S1331*(1-'Inputs'!$B$17)</x:f>
        <x:v>2050648.5484974869</x:v>
      </x:c>
      <x:c r="V1331" s="78" t="n">
        <x:f>P1331-T1331</x:f>
        <x:v>32289.0799321242</x:v>
      </x:c>
      <x:c r="W1331" s="79" t="n">
        <x:f>IF(U1331&gt;0,V1331/U1331,0)</x:f>
        <x:v>0.015745789280070668</x:v>
      </x:c>
      <x:c r="X1331" s="80" t="n">
        <x:f>W1331*('Inputs'!$B$6-AC1331)</x:f>
        <x:v>15687132.15178363</x:v>
      </x:c>
      <x:c r="Y1331" s="80" t="n">
        <x:f>2*V1331</x:f>
        <x:v>64578.1598642484</x:v>
      </x:c>
      <x:c r="Z1331" s="80" t="n">
        <x:f>K1331*'Inputs'!$B$16+(G1331+R1331)*J1331*'Inputs'!$B$16</x:f>
        <x:v>759.0939464597601</x:v>
      </x:c>
      <x:c r="AA1331" s="80" t="n">
        <x:f>K1331*(1+'Inputs'!$E$47)/2*'Inputs'!$B$17</x:f>
        <x:v>256.6313172142772</x:v>
      </x:c>
      <x:c r="AB1331" s="78" t="n">
        <x:f>(IF(J1331&gt;0,K1331*(1-'Inputs'!$E$47)/2/J1331,0)+G1331+R1331)*'Inputs'!$B$17</x:f>
        <x:v>16108.617192632444</x:v>
      </x:c>
      <x:c r="AC1331" s="78" t="n">
        <x:f>AC1330+AB1331</x:f>
        <x:v>3725258.051133614</x:v>
      </x:c>
      <x:c r="AD1331" s="80" t="n">
        <x:f>Z1331/(1+'Inputs'!$C$47)</x:f>
        <x:v>303.63757858390403</x:v>
      </x:c>
      <x:c r="AE1331" s="80" t="n">
        <x:f>Z1331-AD1331</x:f>
        <x:v>455.4563678758561</x:v>
      </x:c>
      <x:c r="AF1331" s="80" t="n">
        <x:f>D1331*W1331</x:f>
        <x:v>4294.542881954559</x:v>
      </x:c>
      <x:c r="AG1331" s="80" t="n">
        <x:f>C1331*W1331</x:f>
        <x:v>10020.600057893893</x:v>
      </x:c>
      <x:c r="AH1331" s="80" t="n">
        <x:f>2*'Inputs'!$B$8*'Inputs'!$C$47</x:f>
        <x:v>7500</x:v>
      </x:c>
      <x:c r="AI1331" s="81" t="n">
        <x:f>IF(AH1331&gt;0,(AE1331+AF1331)/AH1331*365,0)</x:f>
        <x:v>231.16663015841348</x:v>
      </x:c>
      <x:c r="AJ1331" s="81" t="n">
        <x:f>IF('Inputs'!$B$47&gt;0,AG1331/('Inputs'!$B$19*'Inputs'!$B$47)*365,0)</x:f>
        <x:v>365.75190211312713</x:v>
      </x:c>
      <x:c r="AK1331" s="81" t="n">
        <x:f>W1331/MAX($W$1099:W1331)-1</x:f>
        <x:v>-0.2894366158458298</x:v>
      </x:c>
      <x:c r="AL1331" s="83" t="n">
        <x:f>'Inputs'!$B$47</x:f>
        <x:v>1</x:v>
      </x:c>
      <x:c r="AM1331" s="83" t="n">
        <x:f>'Inputs'!$C$47</x:f>
        <x:v>1.5</x:v>
      </x:c>
      <x:c r="AN1331" s="83" t="n">
        <x:f>'Inputs'!$D$47</x:f>
        <x:v>1.5</x:v>
      </x:c>
      <x:c r="AO1331" s="81" t="n">
        <x:f>'Inputs'!$E$47</x:f>
        <x:v>0.05</x:v>
      </x:c>
    </x:row>
    <x:row r="1332">
      <x:c r="A1332" s="59" t="str">
        <x:v>Growth</x:v>
      </x:c>
      <x:c r="B1332" s="59" t="n">
        <x:v>234</x:v>
      </x:c>
      <x:c r="C1332" s="78" t="n">
        <x:f>(('Inputs'!$B$29*(3*234*'Inputs'!$B$12-234^2)/(2*'Inputs'!$B$12^2))-('Inputs'!$B$29*(3*233*'Inputs'!$B$12-233^2)/(2*'Inputs'!$B$12^2)))*'Inputs'!$B$47</x:f>
        <x:v>636073.606680423</x:v>
      </x:c>
      <x:c r="D1332" s="78" t="n">
        <x:f>IF('Inputs'!$C$47&gt;0,('Inputs'!$B$30*(3*234*'Inputs'!$B$12-234^2)/(2*'Inputs'!$B$12^2))-('Inputs'!$B$30*(3*233*'Inputs'!$B$12-233^2)/(2*'Inputs'!$B$12^2)),0)</x:f>
        <x:v>272602.97429160774</x:v>
      </x:c>
      <x:c r="E1332" s="78" t="n">
        <x:f>C1332+D1332</x:f>
        <x:v>908676.5809720308</x:v>
      </x:c>
      <x:c r="F1332" s="78" t="n">
        <x:f>'Inputs'!$B$13*E1332+(1-'Inputs'!$B$13)/'Inputs'!$B$14*SUM(E1277:E1332)</x:f>
        <x:v>918894.2578344888</x:v>
      </x:c>
      <x:c r="G1332" s="78" t="n">
        <x:f>F1332*'Inputs'!$F$47</x:f>
        <x:v>321612.99024207104</x:v>
      </x:c>
      <x:c r="H1332" s="78" t="n">
        <x:f>U1331</x:f>
        <x:v>2050648.5484974869</x:v>
      </x:c>
      <x:c r="I1332" s="78" t="n">
        <x:f>V1331</x:f>
        <x:v>32289.0799321242</x:v>
      </x:c>
      <x:c r="J1332" s="79" t="n">
        <x:f>IF(H1332&gt;0,I1332/H1332,0)</x:f>
        <x:v>0.015745789280070668</x:v>
      </x:c>
      <x:c r="K1332" s="80" t="n">
        <x:f>(H1332*J1332+I1332)*'Inputs'!$D$47*(1+'Inputs'!$G$47)^(B1332/30)</x:f>
        <x:v>121985.23790351233</x:v>
      </x:c>
      <x:c r="L1332" s="80" t="n">
        <x:f>MAX(0,K1332*'Inputs'!$E$47)</x:f>
        <x:v>6099.261895175617</x:v>
      </x:c>
      <x:c r="M1332" s="80" t="n">
        <x:f>MAX(0,-K1332*'Inputs'!$E$47)</x:f>
        <x:v>0</x:v>
      </x:c>
      <x:c r="N1332" s="78" t="n">
        <x:f>H1332*(L1332*(1-'Inputs'!$B$15))/(I1332+L1332*(1-'Inputs'!$B$15))</x:f>
        <x:v>323068.73244519695</x:v>
      </x:c>
      <x:c r="O1332" s="78" t="n">
        <x:f>H1332-N1332</x:f>
        <x:v>1727579.81605229</x:v>
      </x:c>
      <x:c r="P1332" s="78" t="n">
        <x:f>I1332+L1332*(1-'Inputs'!$B$17)</x:f>
        <x:v>38363.79751383835</x:v>
      </x:c>
      <x:c r="Q1332" s="78" t="n">
        <x:f>IF(J1332&gt;0,M1332/J1332,0)</x:f>
        <x:v>0</x:v>
      </x:c>
      <x:c r="R1332" s="78" t="n">
        <x:f>IF(B1332='Inputs'!$H$47,'Inputs'!$B$27*'Inputs'!$I$47,0)</x:f>
        <x:v>0</x:v>
      </x:c>
      <x:c r="S1332" s="78" t="n">
        <x:f>Q1332+G1332+R1332</x:f>
        <x:v>321612.99024207104</x:v>
      </x:c>
      <x:c r="T1332" s="78" t="n">
        <x:f>P1332*(S1332*(1-'Inputs'!$B$15))/(O1332+S1332*(1-'Inputs'!$B$15))</x:f>
        <x:v>5970.211107515209</x:v>
      </x:c>
      <x:c r="U1332" s="78" t="n">
        <x:f>O1332+S1332*(1-'Inputs'!$B$17)</x:f>
        <x:v>2047898.5890298053</x:v>
      </x:c>
      <x:c r="V1332" s="78" t="n">
        <x:f>P1332-T1332</x:f>
        <x:v>32393.58640632314</x:v>
      </x:c>
      <x:c r="W1332" s="79" t="n">
        <x:f>IF(U1332&gt;0,V1332/U1332,0)</x:f>
        <x:v>0.01581796412178283</x:v>
      </x:c>
      <x:c r="X1332" s="80" t="n">
        <x:f>W1332*('Inputs'!$B$6-AC1332)</x:f>
        <x:v>15758783.41192682</x:v>
      </x:c>
      <x:c r="Y1332" s="80" t="n">
        <x:f>2*V1332</x:f>
        <x:v>64787.17281264628</x:v>
      </x:c>
      <x:c r="Z1332" s="80" t="n">
        <x:f>K1332*'Inputs'!$B$16+(G1332+R1332)*J1332*'Inputs'!$B$16</x:f>
        <x:v>762.2957296655844</x:v>
      </x:c>
      <x:c r="AA1332" s="80" t="n">
        <x:f>K1332*(1+'Inputs'!$E$47)/2*'Inputs'!$B$17</x:f>
        <x:v>257.71529134544863</x:v>
      </x:c>
      <x:c r="AB1332" s="78" t="n">
        <x:f>(IF(J1332&gt;0,K1332*(1-'Inputs'!$E$47)/2/J1332,0)+G1332+R1332)*'Inputs'!$B$17</x:f>
        <x:v>16102.682800106773</x:v>
      </x:c>
      <x:c r="AC1332" s="78" t="n">
        <x:f>AC1331+AB1332</x:f>
        <x:v>3741360.7339337207</x:v>
      </x:c>
      <x:c r="AD1332" s="80" t="n">
        <x:f>Z1332/(1+'Inputs'!$C$47)</x:f>
        <x:v>304.91829186623374</x:v>
      </x:c>
      <x:c r="AE1332" s="80" t="n">
        <x:f>Z1332-AD1332</x:f>
        <x:v>457.3774377993507</x:v>
      </x:c>
      <x:c r="AF1332" s="80" t="n">
        <x:f>D1332*W1332</x:f>
        <x:v>4312.024066835938</x:v>
      </x:c>
      <x:c r="AG1332" s="80" t="n">
        <x:f>C1332*W1332</x:f>
        <x:v>10061.389489283934</x:v>
      </x:c>
      <x:c r="AH1332" s="80" t="n">
        <x:f>2*'Inputs'!$B$8*'Inputs'!$C$47</x:f>
        <x:v>7500</x:v>
      </x:c>
      <x:c r="AI1332" s="81" t="n">
        <x:f>IF(AH1332&gt;0,(AE1332+AF1332)/AH1332*365,0)</x:f>
        <x:v>232.11087322558407</x:v>
      </x:c>
      <x:c r="AJ1332" s="81" t="n">
        <x:f>IF('Inputs'!$B$47&gt;0,AG1332/('Inputs'!$B$19*'Inputs'!$B$47)*365,0)</x:f>
        <x:v>367.2407163588636</x:v>
      </x:c>
      <x:c r="AK1332" s="81" t="n">
        <x:f>W1332/MAX($W$1099:W1332)-1</x:f>
        <x:v>-0.2861795673190407</x:v>
      </x:c>
      <x:c r="AL1332" s="83" t="n">
        <x:f>'Inputs'!$B$47</x:f>
        <x:v>1</x:v>
      </x:c>
      <x:c r="AM1332" s="83" t="n">
        <x:f>'Inputs'!$C$47</x:f>
        <x:v>1.5</x:v>
      </x:c>
      <x:c r="AN1332" s="83" t="n">
        <x:f>'Inputs'!$D$47</x:f>
        <x:v>1.5</x:v>
      </x:c>
      <x:c r="AO1332" s="81" t="n">
        <x:f>'Inputs'!$E$47</x:f>
        <x:v>0.05</x:v>
      </x:c>
    </x:row>
    <x:row r="1333">
      <x:c r="A1333" s="59" t="str">
        <x:v>Growth</x:v>
      </x:c>
      <x:c r="B1333" s="59" t="n">
        <x:v>235</x:v>
      </x:c>
      <x:c r="C1333" s="78" t="n">
        <x:f>(('Inputs'!$B$29*(3*235*'Inputs'!$B$12-235^2)/(2*'Inputs'!$B$12^2))-('Inputs'!$B$29*(3*234*'Inputs'!$B$12-234^2)/(2*'Inputs'!$B$12^2)))*'Inputs'!$B$47</x:f>
        <x:v>635748.4987802505</x:v>
      </x:c>
      <x:c r="D1333" s="78" t="n">
        <x:f>IF('Inputs'!$C$47&gt;0,('Inputs'!$B$30*(3*235*'Inputs'!$B$12-235^2)/(2*'Inputs'!$B$12^2))-('Inputs'!$B$30*(3*234*'Inputs'!$B$12-234^2)/(2*'Inputs'!$B$12^2)),0)</x:f>
        <x:v>272463.6423344016</x:v>
      </x:c>
      <x:c r="E1333" s="78" t="n">
        <x:f>C1333+D1333</x:f>
        <x:v>908212.1411146522</x:v>
      </x:c>
      <x:c r="F1333" s="78" t="n">
        <x:f>'Inputs'!$B$13*E1333+(1-'Inputs'!$B$13)/'Inputs'!$B$14*SUM(E1278:E1333)</x:f>
        <x:v>918429.8179771056</x:v>
      </x:c>
      <x:c r="G1333" s="78" t="n">
        <x:f>F1333*'Inputs'!$F$47</x:f>
        <x:v>321450.43629198696</x:v>
      </x:c>
      <x:c r="H1333" s="78" t="n">
        <x:f>U1332</x:f>
        <x:v>2047898.5890298053</x:v>
      </x:c>
      <x:c r="I1333" s="78" t="n">
        <x:f>V1332</x:f>
        <x:v>32393.58640632314</x:v>
      </x:c>
      <x:c r="J1333" s="79" t="n">
        <x:f>IF(H1333&gt;0,I1333/H1333,0)</x:f>
        <x:v>0.01581796412178283</x:v>
      </x:c>
      <x:c r="K1333" s="80" t="n">
        <x:f>(H1333*J1333+I1333)*'Inputs'!$D$47*(1+'Inputs'!$G$47)^(B1333/30)</x:f>
        <x:v>122500.69364067349</x:v>
      </x:c>
      <x:c r="L1333" s="80" t="n">
        <x:f>MAX(0,K1333*'Inputs'!$E$47)</x:f>
        <x:v>6125.0346820336745</x:v>
      </x:c>
      <x:c r="M1333" s="80" t="n">
        <x:f>MAX(0,-K1333*'Inputs'!$E$47)</x:f>
        <x:v>0</x:v>
      </x:c>
      <x:c r="N1333" s="78" t="n">
        <x:f>H1333*(L1333*(1-'Inputs'!$B$15))/(I1333+L1333*(1-'Inputs'!$B$15))</x:f>
        <x:v>322903.3900347265</x:v>
      </x:c>
      <x:c r="O1333" s="78" t="n">
        <x:f>H1333-N1333</x:f>
        <x:v>1724995.198995079</x:v>
      </x:c>
      <x:c r="P1333" s="78" t="n">
        <x:f>I1333+L1333*(1-'Inputs'!$B$17)</x:f>
        <x:v>38493.97306146734</x:v>
      </x:c>
      <x:c r="Q1333" s="78" t="n">
        <x:f>IF(J1333&gt;0,M1333/J1333,0)</x:f>
        <x:v>0</x:v>
      </x:c>
      <x:c r="R1333" s="78" t="n">
        <x:f>IF(B1333='Inputs'!$H$47,'Inputs'!$B$27*'Inputs'!$I$47,0)</x:f>
        <x:v>0</x:v>
      </x:c>
      <x:c r="S1333" s="78" t="n">
        <x:f>Q1333+G1333+R1333</x:f>
        <x:v>321450.43629198696</x:v>
      </x:c>
      <x:c r="T1333" s="78" t="n">
        <x:f>P1333*(S1333*(1-'Inputs'!$B$15))/(O1333+S1333*(1-'Inputs'!$B$15))</x:f>
        <x:v>5995.4868568039865</x:v>
      </x:c>
      <x:c r="U1333" s="78" t="n">
        <x:f>O1333+S1333*(1-'Inputs'!$B$17)</x:f>
        <x:v>2045152.0721631544</x:v>
      </x:c>
      <x:c r="V1333" s="78" t="n">
        <x:f>P1333-T1333</x:f>
        <x:v>32498.486204663353</x:v>
      </x:c>
      <x:c r="W1333" s="79" t="n">
        <x:f>IF(U1333&gt;0,V1333/U1333,0)</x:f>
        <x:v>0.015890498631864453</x:v>
      </x:c>
      <x:c r="X1333" s="80" t="n">
        <x:f>W1333*('Inputs'!$B$6-AC1333)</x:f>
        <x:v>15830790.758880267</x:v>
      </x:c>
      <x:c r="Y1333" s="80" t="n">
        <x:f>2*V1333</x:f>
        <x:v>64996.97240932671</x:v>
      </x:c>
      <x:c r="Z1333" s="80" t="n">
        <x:f>K1333*'Inputs'!$B$16+(G1333+R1333)*J1333*'Inputs'!$B$16</x:f>
        <x:v>765.5123106532294</x:v>
      </x:c>
      <x:c r="AA1333" s="80" t="n">
        <x:f>K1333*(1+'Inputs'!$E$47)/2*'Inputs'!$B$17</x:f>
        <x:v>258.8042823394511</x:v>
      </x:c>
      <x:c r="AB1333" s="78" t="n">
        <x:f>(IF(J1333&gt;0,K1333*(1-'Inputs'!$E$47)/2/J1333,0)+G1333+R1333)*'Inputs'!$B$17</x:f>
        <x:v>16096.748517885362</x:v>
      </x:c>
      <x:c r="AC1333" s="78" t="n">
        <x:f>AC1332+AB1333</x:f>
        <x:v>3757457.482451606</x:v>
      </x:c>
      <x:c r="AD1333" s="80" t="n">
        <x:f>Z1333/(1+'Inputs'!$C$47)</x:f>
        <x:v>306.20492426129175</x:v>
      </x:c>
      <x:c r="AE1333" s="80" t="n">
        <x:f>Z1333-AD1333</x:f>
        <x:v>459.30738639193765</x:v>
      </x:c>
      <x:c r="AF1333" s="80" t="n">
        <x:f>D1333*W1333</x:f>
        <x:v>4329.5831357476145</x:v>
      </x:c>
      <x:c r="AG1333" s="80" t="n">
        <x:f>C1333*W1333</x:f>
        <x:v>10102.360650077451</x:v>
      </x:c>
      <x:c r="AH1333" s="80" t="n">
        <x:f>2*'Inputs'!$B$8*'Inputs'!$C$47</x:f>
        <x:v>7500</x:v>
      </x:c>
      <x:c r="AI1333" s="81" t="n">
        <x:f>IF(AH1333&gt;0,(AE1333+AF1333)/AH1333*365,0)</x:f>
        <x:v>233.0593387441249</x:v>
      </x:c>
      <x:c r="AJ1333" s="81" t="n">
        <x:f>IF('Inputs'!$B$47&gt;0,AG1333/('Inputs'!$B$19*'Inputs'!$B$47)*365,0)</x:f>
        <x:v>368.736163727827</x:v>
      </x:c>
      <x:c r="AK1333" s="81" t="n">
        <x:f>W1333/MAX($W$1099:W1333)-1</x:f>
        <x:v>-0.2829062879657601</x:v>
      </x:c>
      <x:c r="AL1333" s="83" t="n">
        <x:f>'Inputs'!$B$47</x:f>
        <x:v>1</x:v>
      </x:c>
      <x:c r="AM1333" s="83" t="n">
        <x:f>'Inputs'!$C$47</x:f>
        <x:v>1.5</x:v>
      </x:c>
      <x:c r="AN1333" s="83" t="n">
        <x:f>'Inputs'!$D$47</x:f>
        <x:v>1.5</x:v>
      </x:c>
      <x:c r="AO1333" s="81" t="n">
        <x:f>'Inputs'!$E$47</x:f>
        <x:v>0.05</x:v>
      </x:c>
    </x:row>
    <x:row r="1334">
      <x:c r="A1334" s="59" t="str">
        <x:v>Growth</x:v>
      </x:c>
      <x:c r="B1334" s="59" t="n">
        <x:v>236</x:v>
      </x:c>
      <x:c r="C1334" s="78" t="n">
        <x:f>(('Inputs'!$B$29*(3*236*'Inputs'!$B$12-236^2)/(2*'Inputs'!$B$12^2))-('Inputs'!$B$29*(3*235*'Inputs'!$B$12-235^2)/(2*'Inputs'!$B$12^2)))*'Inputs'!$B$47</x:f>
        <x:v>635423.3908800781</x:v>
      </x:c>
      <x:c r="D1334" s="78" t="n">
        <x:f>IF('Inputs'!$C$47&gt;0,('Inputs'!$B$30*(3*236*'Inputs'!$B$12-236^2)/(2*'Inputs'!$B$12^2))-('Inputs'!$B$30*(3*235*'Inputs'!$B$12-235^2)/(2*'Inputs'!$B$12^2)),0)</x:f>
        <x:v>272324.3103771806</x:v>
      </x:c>
      <x:c r="E1334" s="78" t="n">
        <x:f>C1334+D1334</x:f>
        <x:v>907747.7012572587</x:v>
      </x:c>
      <x:c r="F1334" s="78" t="n">
        <x:f>'Inputs'!$B$13*E1334+(1-'Inputs'!$B$13)/'Inputs'!$B$14*SUM(E1279:E1334)</x:f>
        <x:v>917965.3781197197</x:v>
      </x:c>
      <x:c r="G1334" s="78" t="n">
        <x:f>F1334*'Inputs'!$F$47</x:f>
        <x:v>321287.8823419019</x:v>
      </x:c>
      <x:c r="H1334" s="78" t="n">
        <x:f>U1333</x:f>
        <x:v>2045152.0721631544</x:v>
      </x:c>
      <x:c r="I1334" s="78" t="n">
        <x:f>V1333</x:f>
        <x:v>32498.486204663353</x:v>
      </x:c>
      <x:c r="J1334" s="79" t="n">
        <x:f>IF(H1334&gt;0,I1334/H1334,0)</x:f>
        <x:v>0.015890498631864453</x:v>
      </x:c>
      <x:c r="K1334" s="80" t="n">
        <x:f>(H1334*J1334+I1334)*'Inputs'!$D$47*(1+'Inputs'!$G$47)^(B1334/30)</x:f>
        <x:v>123018.53596256167</x:v>
      </x:c>
      <x:c r="L1334" s="80" t="n">
        <x:f>MAX(0,K1334*'Inputs'!$E$47)</x:f>
        <x:v>6150.926798128084</x:v>
      </x:c>
      <x:c r="M1334" s="80" t="n">
        <x:f>MAX(0,-K1334*'Inputs'!$E$47)</x:f>
        <x:v>0</x:v>
      </x:c>
      <x:c r="N1334" s="78" t="n">
        <x:f>H1334*(L1334*(1-'Inputs'!$B$15))/(I1334+L1334*(1-'Inputs'!$B$15))</x:f>
        <x:v>322738.05194584356</x:v>
      </x:c>
      <x:c r="O1334" s="78" t="n">
        <x:f>H1334-N1334</x:f>
        <x:v>1722414.0202173109</x:v>
      </x:c>
      <x:c r="P1334" s="78" t="n">
        <x:f>I1334+L1334*(1-'Inputs'!$B$17)</x:f>
        <x:v>38624.66078227583</x:v>
      </x:c>
      <x:c r="Q1334" s="78" t="n">
        <x:f>IF(J1334&gt;0,M1334/J1334,0)</x:f>
        <x:v>0</x:v>
      </x:c>
      <x:c r="R1334" s="78" t="n">
        <x:f>IF(B1334='Inputs'!$H$47,'Inputs'!$B$27*'Inputs'!$I$47,0)</x:f>
        <x:v>0</x:v>
      </x:c>
      <x:c r="S1334" s="78" t="n">
        <x:f>Q1334+G1334+R1334</x:f>
        <x:v>321287.8823419019</x:v>
      </x:c>
      <x:c r="T1334" s="78" t="n">
        <x:f>P1334*(S1334*(1-'Inputs'!$B$15))/(O1334+S1334*(1-'Inputs'!$B$15))</x:f>
        <x:v>6020.879784851685</x:v>
      </x:c>
      <x:c r="U1334" s="78" t="n">
        <x:f>O1334+S1334*(1-'Inputs'!$B$17)</x:f>
        <x:v>2042408.9935759455</x:v>
      </x:c>
      <x:c r="V1334" s="78" t="n">
        <x:f>P1334-T1334</x:f>
        <x:v>32603.780997424146</x:v>
      </x:c>
      <x:c r="W1334" s="79" t="n">
        <x:f>IF(U1334&gt;0,V1334/U1334,0)</x:f>
        <x:v>0.015963394746093394</x:v>
      </x:c>
      <x:c r="X1334" s="80" t="n">
        <x:f>W1334*('Inputs'!$B$6-AC1334)</x:f>
        <x:v>15903156.105038188</x:v>
      </x:c>
      <x:c r="Y1334" s="80" t="n">
        <x:f>2*V1334</x:f>
        <x:v>65207.56199484829</x:v>
      </x:c>
      <x:c r="Z1334" s="80" t="n">
        <x:f>K1334*'Inputs'!$B$16+(G1334+R1334)*J1334*'Inputs'!$B$16</x:f>
        <x:v>768.7437637041018</x:v>
      </x:c>
      <x:c r="AA1334" s="80" t="n">
        <x:f>K1334*(1+'Inputs'!$E$47)/2*'Inputs'!$B$17</x:f>
        <x:v>259.8983154138627</x:v>
      </x:c>
      <x:c r="AB1334" s="78" t="n">
        <x:f>(IF(J1334&gt;0,K1334*(1-'Inputs'!$E$47)/2/J1334,0)+G1334+R1334)*'Inputs'!$B$17</x:f>
        <x:v>16090.81434457095</x:v>
      </x:c>
      <x:c r="AC1334" s="78" t="n">
        <x:f>AC1333+AB1334</x:f>
        <x:v>3773548.296796177</x:v>
      </x:c>
      <x:c r="AD1334" s="80" t="n">
        <x:f>Z1334/(1+'Inputs'!$C$47)</x:f>
        <x:v>307.4975054816407</x:v>
      </x:c>
      <x:c r="AE1334" s="80" t="n">
        <x:f>Z1334-AD1334</x:f>
        <x:v>461.24625822246105</x:v>
      </x:c>
      <x:c r="AF1334" s="80" t="n">
        <x:f>D1334*W1334</x:f>
        <x:v>4347.220465508592</x:v>
      </x:c>
      <x:c r="AG1334" s="80" t="n">
        <x:f>C1334*W1334</x:f>
        <x:v>10143.514419519888</x:v>
      </x:c>
      <x:c r="AH1334" s="80" t="n">
        <x:f>2*'Inputs'!$B$8*'Inputs'!$C$47</x:f>
        <x:v>7500</x:v>
      </x:c>
      <x:c r="AI1334" s="81" t="n">
        <x:f>IF(AH1334&gt;0,(AE1334+AF1334)/AH1334*365,0)</x:f>
        <x:v>234.01204722157786</x:v>
      </x:c>
      <x:c r="AJ1334" s="81" t="n">
        <x:f>IF('Inputs'!$B$47&gt;0,AG1334/('Inputs'!$B$19*'Inputs'!$B$47)*365,0)</x:f>
        <x:v>370.23827631247593</x:v>
      </x:c>
      <x:c r="AK1334" s="81" t="n">
        <x:f>W1334/MAX($W$1099:W1334)-1</x:f>
        <x:v>-0.2796166904297531</x:v>
      </x:c>
      <x:c r="AL1334" s="83" t="n">
        <x:f>'Inputs'!$B$47</x:f>
        <x:v>1</x:v>
      </x:c>
      <x:c r="AM1334" s="83" t="n">
        <x:f>'Inputs'!$C$47</x:f>
        <x:v>1.5</x:v>
      </x:c>
      <x:c r="AN1334" s="83" t="n">
        <x:f>'Inputs'!$D$47</x:f>
        <x:v>1.5</x:v>
      </x:c>
      <x:c r="AO1334" s="81" t="n">
        <x:f>'Inputs'!$E$47</x:f>
        <x:v>0.05</x:v>
      </x:c>
    </x:row>
    <x:row r="1335">
      <x:c r="A1335" s="59" t="str">
        <x:v>Growth</x:v>
      </x:c>
      <x:c r="B1335" s="59" t="n">
        <x:v>237</x:v>
      </x:c>
      <x:c r="C1335" s="78" t="n">
        <x:f>(('Inputs'!$B$29*(3*237*'Inputs'!$B$12-237^2)/(2*'Inputs'!$B$12^2))-('Inputs'!$B$29*(3*236*'Inputs'!$B$12-236^2)/(2*'Inputs'!$B$12^2)))*'Inputs'!$B$47</x:f>
        <x:v>635098.2829799354</x:v>
      </x:c>
      <x:c r="D1335" s="78" t="n">
        <x:f>IF('Inputs'!$C$47&gt;0,('Inputs'!$B$30*(3*237*'Inputs'!$B$12-237^2)/(2*'Inputs'!$B$12^2))-('Inputs'!$B$30*(3*236*'Inputs'!$B$12-236^2)/(2*'Inputs'!$B$12^2)),0)</x:f>
        <x:v>272184.97841997445</x:v>
      </x:c>
      <x:c r="E1335" s="78" t="n">
        <x:f>C1335+D1335</x:f>
        <x:v>907283.2613999099</x:v>
      </x:c>
      <x:c r="F1335" s="78" t="n">
        <x:f>'Inputs'!$B$13*E1335+(1-'Inputs'!$B$13)/'Inputs'!$B$14*SUM(E1280:E1335)</x:f>
        <x:v>917500.9382623427</x:v>
      </x:c>
      <x:c r="G1335" s="78" t="n">
        <x:f>F1335*'Inputs'!$F$47</x:f>
        <x:v>321125.3283918199</x:v>
      </x:c>
      <x:c r="H1335" s="78" t="n">
        <x:f>U1334</x:f>
        <x:v>2042408.9935759455</x:v>
      </x:c>
      <x:c r="I1335" s="78" t="n">
        <x:f>V1334</x:f>
        <x:v>32603.780997424146</x:v>
      </x:c>
      <x:c r="J1335" s="79" t="n">
        <x:f>IF(H1335&gt;0,I1335/H1335,0)</x:f>
        <x:v>0.015963394746093394</x:v>
      </x:c>
      <x:c r="K1335" s="80" t="n">
        <x:f>(H1335*J1335+I1335)*'Inputs'!$D$47*(1+'Inputs'!$G$47)^(B1335/30)</x:f>
        <x:v>123538.77687011307</x:v>
      </x:c>
      <x:c r="L1335" s="80" t="n">
        <x:f>MAX(0,K1335*'Inputs'!$E$47)</x:f>
        <x:v>6176.9388435056535</x:v>
      </x:c>
      <x:c r="M1335" s="80" t="n">
        <x:f>MAX(0,-K1335*'Inputs'!$E$47)</x:f>
        <x:v>0</x:v>
      </x:c>
      <x:c r="N1335" s="78" t="n">
        <x:f>H1335*(L1335*(1-'Inputs'!$B$15))/(I1335+L1335*(1-'Inputs'!$B$15))</x:f>
        <x:v>322572.71817326255</x:v>
      </x:c>
      <x:c r="O1335" s="78" t="n">
        <x:f>H1335-N1335</x:f>
        <x:v>1719836.2754026828</x:v>
      </x:c>
      <x:c r="P1335" s="78" t="n">
        <x:f>I1335+L1335*(1-'Inputs'!$B$17)</x:f>
        <x:v>38755.86294417525</x:v>
      </x:c>
      <x:c r="Q1335" s="78" t="n">
        <x:f>IF(J1335&gt;0,M1335/J1335,0)</x:f>
        <x:v>0</x:v>
      </x:c>
      <x:c r="R1335" s="78" t="n">
        <x:f>IF(B1335='Inputs'!$H$47,'Inputs'!$B$27*'Inputs'!$I$47,0)</x:f>
        <x:v>0</x:v>
      </x:c>
      <x:c r="S1335" s="78" t="n">
        <x:f>Q1335+G1335+R1335</x:f>
        <x:v>321125.3283918199</x:v>
      </x:c>
      <x:c r="T1335" s="78" t="n">
        <x:f>P1335*(S1335*(1-'Inputs'!$B$15))/(O1335+S1335*(1-'Inputs'!$B$15))</x:f>
        <x:v>6046.390481453668</x:v>
      </x:c>
      <x:c r="U1335" s="78" t="n">
        <x:f>O1335+S1335*(1-'Inputs'!$B$17)</x:f>
        <x:v>2039669.3489518797</x:v>
      </x:c>
      <x:c r="V1335" s="78" t="n">
        <x:f>P1335-T1335</x:f>
        <x:v>32709.47246272158</x:v>
      </x:c>
      <x:c r="W1335" s="79" t="n">
        <x:f>IF(U1335&gt;0,V1335/U1335,0)</x:f>
        <x:v>0.01603665441142699</x:v>
      </x:c>
      <x:c r="X1335" s="80" t="n">
        <x:f>W1335*('Inputs'!$B$6-AC1335)</x:f>
        <x:v>15975881.373820161</x:v>
      </x:c>
      <x:c r="Y1335" s="80" t="n">
        <x:f>2*V1335</x:f>
        <x:v>65418.94492544316</x:v>
      </x:c>
      <x:c r="Z1335" s="80" t="n">
        <x:f>K1335*'Inputs'!$B$16+(G1335+R1335)*J1335*'Inputs'!$B$16</x:f>
        <x:v>771.9901635012034</x:v>
      </x:c>
      <x:c r="AA1335" s="80" t="n">
        <x:f>K1335*(1+'Inputs'!$E$47)/2*'Inputs'!$B$17</x:f>
        <x:v>260.9974159227741</x:v>
      </x:c>
      <x:c r="AB1335" s="78" t="n">
        <x:f>(IF(J1335&gt;0,K1335*(1-'Inputs'!$E$47)/2/J1335,0)+G1335+R1335)*'Inputs'!$B$17</x:f>
        <x:v>16084.880278764233</x:v>
      </x:c>
      <x:c r="AC1335" s="78" t="n">
        <x:f>AC1334+AB1335</x:f>
        <x:v>3789633.1770749413</x:v>
      </x:c>
      <x:c r="AD1335" s="80" t="n">
        <x:f>Z1335/(1+'Inputs'!$C$47)</x:f>
        <x:v>308.7960654004813</x:v>
      </x:c>
      <x:c r="AE1335" s="80" t="n">
        <x:f>Z1335-AD1335</x:f>
        <x:v>463.19409810072204</x:v>
      </x:c>
      <x:c r="AF1335" s="80" t="n">
        <x:f>D1335*W1335</x:f>
        <x:v>4364.936434902844</x:v>
      </x:c>
      <x:c r="AG1335" s="80" t="n">
        <x:f>C1335*W1335</x:f>
        <x:v>10184.851681439888</x:v>
      </x:c>
      <x:c r="AH1335" s="80" t="n">
        <x:f>2*'Inputs'!$B$8*'Inputs'!$C$47</x:f>
        <x:v>7500</x:v>
      </x:c>
      <x:c r="AI1335" s="81" t="n">
        <x:f>IF(AH1335&gt;0,(AE1335+AF1335)/AH1335*365,0)</x:f>
        <x:v>234.9690192728402</x:v>
      </x:c>
      <x:c r="AJ1335" s="81" t="n">
        <x:f>IF('Inputs'!$B$47&gt;0,AG1335/('Inputs'!$B$19*'Inputs'!$B$47)*365,0)</x:f>
        <x:v>371.74708637255594</x:v>
      </x:c>
      <x:c r="AK1335" s="81" t="n">
        <x:f>W1335/MAX($W$1099:W1335)-1</x:f>
        <x:v>-0.27631068685028637</x:v>
      </x:c>
      <x:c r="AL1335" s="83" t="n">
        <x:f>'Inputs'!$B$47</x:f>
        <x:v>1</x:v>
      </x:c>
      <x:c r="AM1335" s="83" t="n">
        <x:f>'Inputs'!$C$47</x:f>
        <x:v>1.5</x:v>
      </x:c>
      <x:c r="AN1335" s="83" t="n">
        <x:f>'Inputs'!$D$47</x:f>
        <x:v>1.5</x:v>
      </x:c>
      <x:c r="AO1335" s="81" t="n">
        <x:f>'Inputs'!$E$47</x:f>
        <x:v>0.05</x:v>
      </x:c>
    </x:row>
    <x:row r="1336">
      <x:c r="A1336" s="59" t="str">
        <x:v>Growth</x:v>
      </x:c>
      <x:c r="B1336" s="59" t="n">
        <x:v>238</x:v>
      </x:c>
      <x:c r="C1336" s="78" t="n">
        <x:f>(('Inputs'!$B$29*(3*238*'Inputs'!$B$12-238^2)/(2*'Inputs'!$B$12^2))-('Inputs'!$B$29*(3*237*'Inputs'!$B$12-237^2)/(2*'Inputs'!$B$12^2)))*'Inputs'!$B$47</x:f>
        <x:v>634773.1750797629</x:v>
      </x:c>
      <x:c r="D1336" s="78" t="n">
        <x:f>IF('Inputs'!$C$47&gt;0,('Inputs'!$B$30*(3*238*'Inputs'!$B$12-238^2)/(2*'Inputs'!$B$12^2))-('Inputs'!$B$30*(3*237*'Inputs'!$B$12-237^2)/(2*'Inputs'!$B$12^2)),0)</x:f>
        <x:v>272045.6464627385</x:v>
      </x:c>
      <x:c r="E1336" s="78" t="n">
        <x:f>C1336+D1336</x:f>
        <x:v>906818.8215425014</x:v>
      </x:c>
      <x:c r="F1336" s="78" t="n">
        <x:f>'Inputs'!$B$13*E1336+(1-'Inputs'!$B$13)/'Inputs'!$B$14*SUM(E1281:E1336)</x:f>
        <x:v>917036.4984049537</x:v>
      </x:c>
      <x:c r="G1336" s="78" t="n">
        <x:f>F1336*'Inputs'!$F$47</x:f>
        <x:v>320962.7744417338</x:v>
      </x:c>
      <x:c r="H1336" s="78" t="n">
        <x:f>U1335</x:f>
        <x:v>2039669.3489518797</x:v>
      </x:c>
      <x:c r="I1336" s="78" t="n">
        <x:f>V1335</x:f>
        <x:v>32709.47246272158</x:v>
      </x:c>
      <x:c r="J1336" s="79" t="n">
        <x:f>IF(H1336&gt;0,I1336/H1336,0)</x:f>
        <x:v>0.01603665441142699</x:v>
      </x:c>
      <x:c r="K1336" s="80" t="n">
        <x:f>(H1336*J1336+I1336)*'Inputs'!$D$47*(1+'Inputs'!$G$47)^(B1336/30)</x:f>
        <x:v>124061.4284292533</x:v>
      </x:c>
      <x:c r="L1336" s="80" t="n">
        <x:f>MAX(0,K1336*'Inputs'!$E$47)</x:f>
        <x:v>6203.071421462665</x:v>
      </x:c>
      <x:c r="M1336" s="80" t="n">
        <x:f>MAX(0,-K1336*'Inputs'!$E$47)</x:f>
        <x:v>0</x:v>
      </x:c>
      <x:c r="N1336" s="78" t="n">
        <x:f>H1336*(L1336*(1-'Inputs'!$B$15))/(I1336+L1336*(1-'Inputs'!$B$15))</x:f>
        <x:v>322407.3887117047</x:v>
      </x:c>
      <x:c r="O1336" s="78" t="n">
        <x:f>H1336-N1336</x:f>
        <x:v>1717261.960240175</x:v>
      </x:c>
      <x:c r="P1336" s="78" t="n">
        <x:f>I1336+L1336*(1-'Inputs'!$B$17)</x:f>
        <x:v>38887.58182615019</x:v>
      </x:c>
      <x:c r="Q1336" s="78" t="n">
        <x:f>IF(J1336&gt;0,M1336/J1336,0)</x:f>
        <x:v>0</x:v>
      </x:c>
      <x:c r="R1336" s="78" t="n">
        <x:f>IF(B1336='Inputs'!$H$47,'Inputs'!$B$27*'Inputs'!$I$47,0)</x:f>
        <x:v>0</x:v>
      </x:c>
      <x:c r="S1336" s="78" t="n">
        <x:f>Q1336+G1336+R1336</x:f>
        <x:v>320962.7744417338</x:v>
      </x:c>
      <x:c r="T1336" s="78" t="n">
        <x:f>P1336*(S1336*(1-'Inputs'!$B$15))/(O1336+S1336*(1-'Inputs'!$B$15))</x:f>
        <x:v>6072.019539601459</x:v>
      </x:c>
      <x:c r="U1336" s="78" t="n">
        <x:f>O1336+S1336*(1-'Inputs'!$B$17)</x:f>
        <x:v>2036933.13397993</x:v>
      </x:c>
      <x:c r="V1336" s="78" t="n">
        <x:f>P1336-T1336</x:f>
        <x:v>32815.56228654873</x:v>
      </x:c>
      <x:c r="W1336" s="79" t="n">
        <x:f>IF(U1336&gt;0,V1336/U1336,0)</x:f>
        <x:v>0.016110279586071117</x:v>
      </x:c>
      <x:c r="X1336" s="80" t="n">
        <x:f>W1336*('Inputs'!$B$6-AC1336)</x:f>
        <x:v>16048968.499739138</x:v>
      </x:c>
      <x:c r="Y1336" s="80" t="n">
        <x:f>2*V1336</x:f>
        <x:v>65631.12457309746</x:v>
      </x:c>
      <x:c r="Z1336" s="80" t="n">
        <x:f>K1336*'Inputs'!$B$16+(G1336+R1336)*J1336*'Inputs'!$B$16</x:f>
        <x:v>775.251585131449</x:v>
      </x:c>
      <x:c r="AA1336" s="80" t="n">
        <x:f>K1336*(1+'Inputs'!$E$47)/2*'Inputs'!$B$17</x:f>
        <x:v>262.1016093575774</x:v>
      </x:c>
      <x:c r="AB1336" s="78" t="n">
        <x:f>(IF(J1336&gt;0,K1336*(1-'Inputs'!$E$47)/2/J1336,0)+G1336+R1336)*'Inputs'!$B$17</x:f>
        <x:v>16078.94631906385</x:v>
      </x:c>
      <x:c r="AC1336" s="78" t="n">
        <x:f>AC1335+AB1336</x:f>
        <x:v>3805712.123394005</x:v>
      </x:c>
      <x:c r="AD1336" s="80" t="n">
        <x:f>Z1336/(1+'Inputs'!$C$47)</x:f>
        <x:v>310.1006340525796</x:v>
      </x:c>
      <x:c r="AE1336" s="80" t="n">
        <x:f>Z1336-AD1336</x:f>
        <x:v>465.1509510788694</x:v>
      </x:c>
      <x:c r="AF1336" s="80" t="n">
        <x:f>D1336*W1336</x:f>
        <x:v>4382.731424688176</x:v>
      </x:c>
      <x:c r="AG1336" s="80" t="n">
        <x:f>C1336*W1336</x:f>
        <x:v>10226.373324273052</x:v>
      </x:c>
      <x:c r="AH1336" s="80" t="n">
        <x:f>2*'Inputs'!$B$8*'Inputs'!$C$47</x:f>
        <x:v>7500</x:v>
      </x:c>
      <x:c r="AI1336" s="81" t="n">
        <x:f>IF(AH1336&gt;0,(AE1336+AF1336)/AH1336*365,0)</x:f>
        <x:v>235.93027562066288</x:v>
      </x:c>
      <x:c r="AJ1336" s="81" t="n">
        <x:f>IF('Inputs'!$B$47&gt;0,AG1336/('Inputs'!$B$19*'Inputs'!$B$47)*365,0)</x:f>
        <x:v>373.26262633596644</x:v>
      </x:c>
      <x:c r="AK1336" s="81" t="n">
        <x:f>W1336/MAX($W$1099:W1336)-1</x:f>
        <x:v>-0.27298818885901155</x:v>
      </x:c>
      <x:c r="AL1336" s="83" t="n">
        <x:f>'Inputs'!$B$47</x:f>
        <x:v>1</x:v>
      </x:c>
      <x:c r="AM1336" s="83" t="n">
        <x:f>'Inputs'!$C$47</x:f>
        <x:v>1.5</x:v>
      </x:c>
      <x:c r="AN1336" s="83" t="n">
        <x:f>'Inputs'!$D$47</x:f>
        <x:v>1.5</x:v>
      </x:c>
      <x:c r="AO1336" s="81" t="n">
        <x:f>'Inputs'!$E$47</x:f>
        <x:v>0.05</x:v>
      </x:c>
    </x:row>
    <x:row r="1337">
      <x:c r="A1337" s="59" t="str">
        <x:v>Growth</x:v>
      </x:c>
      <x:c r="B1337" s="59" t="n">
        <x:v>239</x:v>
      </x:c>
      <x:c r="C1337" s="78" t="n">
        <x:f>(('Inputs'!$B$29*(3*239*'Inputs'!$B$12-239^2)/(2*'Inputs'!$B$12^2))-('Inputs'!$B$29*(3*238*'Inputs'!$B$12-238^2)/(2*'Inputs'!$B$12^2)))*'Inputs'!$B$47</x:f>
        <x:v>634448.0671795607</x:v>
      </x:c>
      <x:c r="D1337" s="78" t="n">
        <x:f>IF('Inputs'!$C$47&gt;0,('Inputs'!$B$30*(3*239*'Inputs'!$B$12-239^2)/(2*'Inputs'!$B$12^2))-('Inputs'!$B$30*(3*238*'Inputs'!$B$12-238^2)/(2*'Inputs'!$B$12^2)),0)</x:f>
        <x:v>271906.3145055473</x:v>
      </x:c>
      <x:c r="E1337" s="78" t="n">
        <x:f>C1337+D1337</x:f>
        <x:v>906354.381685108</x:v>
      </x:c>
      <x:c r="F1337" s="78" t="n">
        <x:f>'Inputs'!$B$13*E1337+(1-'Inputs'!$B$13)/'Inputs'!$B$14*SUM(E1282:E1337)</x:f>
        <x:v>916572.0585475676</x:v>
      </x:c>
      <x:c r="G1337" s="78" t="n">
        <x:f>F1337*'Inputs'!$F$47</x:f>
        <x:v>320800.22049164865</x:v>
      </x:c>
      <x:c r="H1337" s="78" t="n">
        <x:f>U1336</x:f>
        <x:v>2036933.13397993</x:v>
      </x:c>
      <x:c r="I1337" s="78" t="n">
        <x:f>V1336</x:f>
        <x:v>32815.56228654873</x:v>
      </x:c>
      <x:c r="J1337" s="79" t="n">
        <x:f>IF(H1337&gt;0,I1337/H1337,0)</x:f>
        <x:v>0.016110279586071117</x:v>
      </x:c>
      <x:c r="K1337" s="80" t="n">
        <x:f>(H1337*J1337+I1337)*'Inputs'!$D$47*(1+'Inputs'!$G$47)^(B1337/30)</x:f>
        <x:v>124586.50277127432</x:v>
      </x:c>
      <x:c r="L1337" s="80" t="n">
        <x:f>MAX(0,K1337*'Inputs'!$E$47)</x:f>
        <x:v>6229.325138563716</x:v>
      </x:c>
      <x:c r="M1337" s="80" t="n">
        <x:f>MAX(0,-K1337*'Inputs'!$E$47)</x:f>
        <x:v>0</x:v>
      </x:c>
      <x:c r="N1337" s="78" t="n">
        <x:f>H1337*(L1337*(1-'Inputs'!$B$15))/(I1337+L1337*(1-'Inputs'!$B$15))</x:f>
        <x:v>322242.0635558968</x:v>
      </x:c>
      <x:c r="O1337" s="78" t="n">
        <x:f>H1337-N1337</x:f>
        <x:v>1714691.0704240333</x:v>
      </x:c>
      <x:c r="P1337" s="78" t="n">
        <x:f>I1337+L1337*(1-'Inputs'!$B$17)</x:f>
        <x:v>39019.81971831742</x:v>
      </x:c>
      <x:c r="Q1337" s="78" t="n">
        <x:f>IF(J1337&gt;0,M1337/J1337,0)</x:f>
        <x:v>0</x:v>
      </x:c>
      <x:c r="R1337" s="78" t="n">
        <x:f>IF(B1337='Inputs'!$H$47,'Inputs'!$B$27*'Inputs'!$I$47,0)</x:f>
        <x:v>0</x:v>
      </x:c>
      <x:c r="S1337" s="78" t="n">
        <x:f>Q1337+G1337+R1337</x:f>
        <x:v>320800.22049164865</x:v>
      </x:c>
      <x:c r="T1337" s="78" t="n">
        <x:f>P1337*(S1337*(1-'Inputs'!$B$15))/(O1337+S1337*(1-'Inputs'!$B$15))</x:f>
        <x:v>6097.7675555017</x:v>
      </x:c>
      <x:c r="U1337" s="78" t="n">
        <x:f>O1337+S1337*(1-'Inputs'!$B$17)</x:f>
        <x:v>2034200.3443543473</x:v>
      </x:c>
      <x:c r="V1337" s="78" t="n">
        <x:f>P1337-T1337</x:f>
        <x:v>32922.05216281572</x:v>
      </x:c>
      <x:c r="W1337" s="79" t="n">
        <x:f>IF(U1337&gt;0,V1337/U1337,0)</x:f>
        <x:v>0.016184272239549317</x:v>
      </x:c>
      <x:c r="X1337" s="80" t="n">
        <x:f>W1337*('Inputs'!$B$6-AC1337)</x:f>
        <x:v>16122419.428469528</x:v>
      </x:c>
      <x:c r="Y1337" s="80" t="n">
        <x:f>2*V1337</x:f>
        <x:v>65844.10432563144</x:v>
      </x:c>
      <x:c r="Z1337" s="80" t="n">
        <x:f>K1337*'Inputs'!$B$16+(G1337+R1337)*J1337*'Inputs'!$B$16</x:f>
        <x:v>778.5281040880083</x:v>
      </x:c>
      <x:c r="AA1337" s="80" t="n">
        <x:f>K1337*(1+'Inputs'!$E$47)/2*'Inputs'!$B$17</x:f>
        <x:v>263.2109213477627</x:v>
      </x:c>
      <x:c r="AB1337" s="78" t="n">
        <x:f>(IF(J1337&gt;0,K1337*(1-'Inputs'!$E$47)/2/J1337,0)+G1337+R1337)*'Inputs'!$B$17</x:f>
        <x:v>16073.012464066376</x:v>
      </x:c>
      <x:c r="AC1337" s="78" t="n">
        <x:f>AC1336+AB1337</x:f>
        <x:v>3821785.1358580715</x:v>
      </x:c>
      <x:c r="AD1337" s="80" t="n">
        <x:f>Z1337/(1+'Inputs'!$C$47)</x:f>
        <x:v>311.4112416352033</x:v>
      </x:c>
      <x:c r="AE1337" s="80" t="n">
        <x:f>Z1337-AD1337</x:f>
        <x:v>467.116862452805</x:v>
      </x:c>
      <x:c r="AF1337" s="80" t="n">
        <x:f>D1337*W1337</x:f>
        <x:v>4400.605817610295</x:v>
      </x:c>
      <x:c r="AG1337" s="80" t="n">
        <x:f>C1337*W1337</x:f>
        <x:v>10268.080241089883</x:v>
      </x:c>
      <x:c r="AH1337" s="80" t="n">
        <x:f>2*'Inputs'!$B$8*'Inputs'!$C$47</x:f>
        <x:v>7500</x:v>
      </x:c>
      <x:c r="AI1337" s="81" t="n">
        <x:f>IF(AH1337&gt;0,(AE1337+AF1337)/AH1337*365,0)</x:f>
        <x:v>236.8958370964042</x:v>
      </x:c>
      <x:c r="AJ1337" s="81" t="n">
        <x:f>IF('Inputs'!$B$47&gt;0,AG1337/('Inputs'!$B$19*'Inputs'!$B$47)*365,0)</x:f>
        <x:v>374.78492879978074</x:v>
      </x:c>
      <x:c r="AK1337" s="81" t="n">
        <x:f>W1337/MAX($W$1099:W1337)-1</x:f>
        <x:v>-0.26964910757684535</x:v>
      </x:c>
      <x:c r="AL1337" s="83" t="n">
        <x:f>'Inputs'!$B$47</x:f>
        <x:v>1</x:v>
      </x:c>
      <x:c r="AM1337" s="83" t="n">
        <x:f>'Inputs'!$C$47</x:f>
        <x:v>1.5</x:v>
      </x:c>
      <x:c r="AN1337" s="83" t="n">
        <x:f>'Inputs'!$D$47</x:f>
        <x:v>1.5</x:v>
      </x:c>
      <x:c r="AO1337" s="81" t="n">
        <x:f>'Inputs'!$E$47</x:f>
        <x:v>0.05</x:v>
      </x:c>
    </x:row>
    <x:row r="1338">
      <x:c r="A1338" s="59" t="str">
        <x:v>Growth</x:v>
      </x:c>
      <x:c r="B1338" s="59" t="n">
        <x:v>240</x:v>
      </x:c>
      <x:c r="C1338" s="78" t="n">
        <x:f>(('Inputs'!$B$29*(3*240*'Inputs'!$B$12-240^2)/(2*'Inputs'!$B$12^2))-('Inputs'!$B$29*(3*239*'Inputs'!$B$12-239^2)/(2*'Inputs'!$B$12^2)))*'Inputs'!$B$47</x:f>
        <x:v>634122.959279418</x:v>
      </x:c>
      <x:c r="D1338" s="78" t="n">
        <x:f>IF('Inputs'!$C$47&gt;0,('Inputs'!$B$30*(3*240*'Inputs'!$B$12-240^2)/(2*'Inputs'!$B$12^2))-('Inputs'!$B$30*(3*239*'Inputs'!$B$12-239^2)/(2*'Inputs'!$B$12^2)),0)</x:f>
        <x:v>271766.98254831135</x:v>
      </x:c>
      <x:c r="E1338" s="78" t="n">
        <x:f>C1338+D1338</x:f>
        <x:v>905889.9418277293</x:v>
      </x:c>
      <x:c r="F1338" s="78" t="n">
        <x:f>'Inputs'!$B$13*E1338+(1-'Inputs'!$B$13)/'Inputs'!$B$14*SUM(E1283:E1338)</x:f>
        <x:v>916107.6186901846</x:v>
      </x:c>
      <x:c r="G1338" s="78" t="n">
        <x:f>F1338*'Inputs'!$F$47</x:f>
        <x:v>320637.66654156457</x:v>
      </x:c>
      <x:c r="H1338" s="78" t="n">
        <x:f>U1337</x:f>
        <x:v>2034200.3443543473</x:v>
      </x:c>
      <x:c r="I1338" s="78" t="n">
        <x:f>V1337</x:f>
        <x:v>32922.05216281572</x:v>
      </x:c>
      <x:c r="J1338" s="79" t="n">
        <x:f>IF(H1338&gt;0,I1338/H1338,0)</x:f>
        <x:v>0.016184272239549317</x:v>
      </x:c>
      <x:c r="K1338" s="80" t="n">
        <x:f>(H1338*J1338+I1338)*'Inputs'!$D$47*(1+'Inputs'!$G$47)^(B1338/30)</x:f>
        <x:v>125114.01209321227</x:v>
      </x:c>
      <x:c r="L1338" s="80" t="n">
        <x:f>MAX(0,K1338*'Inputs'!$E$47)</x:f>
        <x:v>6255.700604660614</x:v>
      </x:c>
      <x:c r="M1338" s="80" t="n">
        <x:f>MAX(0,-K1338*'Inputs'!$E$47)</x:f>
        <x:v>0</x:v>
      </x:c>
      <x:c r="N1338" s="78" t="n">
        <x:f>H1338*(L1338*(1-'Inputs'!$B$15))/(I1338+L1338*(1-'Inputs'!$B$15))</x:f>
        <x:v>322076.74270057277</x:v>
      </x:c>
      <x:c r="O1338" s="78" t="n">
        <x:f>H1338-N1338</x:f>
        <x:v>1712123.6016537745</x:v>
      </x:c>
      <x:c r="P1338" s="78" t="n">
        <x:f>I1338+L1338*(1-'Inputs'!$B$17)</x:f>
        <x:v>39152.57892198474</x:v>
      </x:c>
      <x:c r="Q1338" s="78" t="n">
        <x:f>IF(J1338&gt;0,M1338/J1338,0)</x:f>
        <x:v>0</x:v>
      </x:c>
      <x:c r="R1338" s="78" t="n">
        <x:f>IF(B1338='Inputs'!$H$47,'Inputs'!$B$27*'Inputs'!$I$47,0)</x:f>
        <x:v>0</x:v>
      </x:c>
      <x:c r="S1338" s="78" t="n">
        <x:f>Q1338+G1338+R1338</x:f>
        <x:v>320637.66654156457</x:v>
      </x:c>
      <x:c r="T1338" s="78" t="n">
        <x:f>P1338*(S1338*(1-'Inputs'!$B$15))/(O1338+S1338*(1-'Inputs'!$B$15))</x:f>
        <x:v>6123.635128594449</x:v>
      </x:c>
      <x:c r="U1338" s="78" t="n">
        <x:f>O1338+S1338*(1-'Inputs'!$B$17)</x:f>
        <x:v>2031470.9757746486</x:v>
      </x:c>
      <x:c r="V1338" s="78" t="n">
        <x:f>P1338-T1338</x:f>
        <x:v>33028.943793390295</x:v>
      </x:c>
      <x:c r="W1338" s="79" t="n">
        <x:f>IF(U1338&gt;0,V1338/U1338,0)</x:f>
        <x:v>0.01625863435277266</x:v>
      </x:c>
      <x:c r="X1338" s="80" t="n">
        <x:f>W1338*('Inputs'!$B$6-AC1338)</x:f>
        <x:v>16196236.11691598</x:v>
      </x:c>
      <x:c r="Y1338" s="80" t="n">
        <x:f>2*V1338</x:f>
        <x:v>66057.88758678059</x:v>
      </x:c>
      <x:c r="Z1338" s="80" t="n">
        <x:f>K1338*'Inputs'!$B$16+(G1338+R1338)*J1338*'Inputs'!$B$16</x:f>
        <x:v>781.8197962726488</x:v>
      </x:c>
      <x:c r="AA1338" s="80" t="n">
        <x:f>K1338*(1+'Inputs'!$E$47)/2*'Inputs'!$B$17</x:f>
        <x:v>264.3253776617161</x:v>
      </x:c>
      <x:c r="AB1338" s="78" t="n">
        <x:f>(IF(J1338&gt;0,K1338*(1-'Inputs'!$E$47)/2/J1338,0)+G1338+R1338)*'Inputs'!$B$17</x:f>
        <x:v>16067.078712366356</x:v>
      </x:c>
      <x:c r="AC1338" s="78" t="n">
        <x:f>AC1337+AB1338</x:f>
        <x:v>3837852.214570438</x:v>
      </x:c>
      <x:c r="AD1338" s="80" t="n">
        <x:f>Z1338/(1+'Inputs'!$C$47)</x:f>
        <x:v>312.7279185090595</x:v>
      </x:c>
      <x:c r="AE1338" s="80" t="n">
        <x:f>Z1338-AD1338</x:f>
        <x:v>469.09187776358925</x:v>
      </x:c>
      <x:c r="AF1338" s="80" t="n">
        <x:f>D1338*W1338</x:f>
        <x:v>4418.559998409342</x:v>
      </x:c>
      <x:c r="AG1338" s="80" t="n">
        <x:f>C1338*W1338</x:f>
        <x:v>10309.973329622204</x:v>
      </x:c>
      <x:c r="AH1338" s="80" t="n">
        <x:f>2*'Inputs'!$B$8*'Inputs'!$C$47</x:f>
        <x:v>7500</x:v>
      </x:c>
      <x:c r="AI1338" s="81" t="n">
        <x:f>IF(AH1338&gt;0,(AE1338+AF1338)/AH1338*365,0)</x:f>
        <x:v>237.86572464041598</x:v>
      </x:c>
      <x:c r="AJ1338" s="81" t="n">
        <x:f>IF('Inputs'!$B$47&gt;0,AG1338/('Inputs'!$B$19*'Inputs'!$B$47)*365,0)</x:f>
        <x:v>376.31402653121046</x:v>
      </x:c>
      <x:c r="AK1338" s="81" t="n">
        <x:f>W1338/MAX($W$1099:W1338)-1</x:f>
        <x:v>-0.26629335361081763</x:v>
      </x:c>
      <x:c r="AL1338" s="83" t="n">
        <x:f>'Inputs'!$B$47</x:f>
        <x:v>1</x:v>
      </x:c>
      <x:c r="AM1338" s="83" t="n">
        <x:f>'Inputs'!$C$47</x:f>
        <x:v>1.5</x:v>
      </x:c>
      <x:c r="AN1338" s="83" t="n">
        <x:f>'Inputs'!$D$47</x:f>
        <x:v>1.5</x:v>
      </x:c>
      <x:c r="AO1338" s="81" t="n">
        <x:f>'Inputs'!$E$47</x:f>
        <x:v>0.05</x:v>
      </x:c>
    </x:row>
    <x:row r="1339">
      <x:c r="A1339" s="59" t="str">
        <x:v>Growth</x:v>
      </x:c>
      <x:c r="B1339" s="59" t="n">
        <x:v>241</x:v>
      </x:c>
      <x:c r="C1339" s="78" t="n">
        <x:f>(('Inputs'!$B$29*(3*241*'Inputs'!$B$12-241^2)/(2*'Inputs'!$B$12^2))-('Inputs'!$B$29*(3*240*'Inputs'!$B$12-240^2)/(2*'Inputs'!$B$12^2)))*'Inputs'!$B$47</x:f>
        <x:v>633797.8513792455</x:v>
      </x:c>
      <x:c r="D1339" s="78" t="n">
        <x:f>IF('Inputs'!$C$47&gt;0,('Inputs'!$B$30*(3*241*'Inputs'!$B$12-241^2)/(2*'Inputs'!$B$12^2))-('Inputs'!$B$30*(3*240*'Inputs'!$B$12-240^2)/(2*'Inputs'!$B$12^2)),0)</x:f>
        <x:v>271627.6505911052</x:v>
      </x:c>
      <x:c r="E1339" s="78" t="n">
        <x:f>C1339+D1339</x:f>
        <x:v>905425.5019703507</x:v>
      </x:c>
      <x:c r="F1339" s="78" t="n">
        <x:f>'Inputs'!$B$13*E1339+(1-'Inputs'!$B$13)/'Inputs'!$B$14*SUM(E1284:E1339)</x:f>
        <x:v>915643.1788328014</x:v>
      </x:c>
      <x:c r="G1339" s="78" t="n">
        <x:f>F1339*'Inputs'!$F$47</x:f>
        <x:v>320475.1125914805</x:v>
      </x:c>
      <x:c r="H1339" s="78" t="n">
        <x:f>U1338</x:f>
        <x:v>2031470.9757746486</x:v>
      </x:c>
      <x:c r="I1339" s="78" t="n">
        <x:f>V1338</x:f>
        <x:v>33028.943793390295</x:v>
      </x:c>
      <x:c r="J1339" s="79" t="n">
        <x:f>IF(H1339&gt;0,I1339/H1339,0)</x:f>
        <x:v>0.01625863435277266</x:v>
      </x:c>
      <x:c r="K1339" s="80" t="n">
        <x:f>(H1339*J1339+I1339)*'Inputs'!$D$47*(1+'Inputs'!$G$47)^(B1339/30)</x:f>
        <x:v>125643.9686582287</x:v>
      </x:c>
      <x:c r="L1339" s="80" t="n">
        <x:f>MAX(0,K1339*'Inputs'!$E$47)</x:f>
        <x:v>6282.198432911435</x:v>
      </x:c>
      <x:c r="M1339" s="80" t="n">
        <x:f>MAX(0,-K1339*'Inputs'!$E$47)</x:f>
        <x:v>0</x:v>
      </x:c>
      <x:c r="N1339" s="78" t="n">
        <x:f>H1339*(L1339*(1-'Inputs'!$B$15))/(I1339+L1339*(1-'Inputs'!$B$15))</x:f>
        <x:v>321911.42614047293</x:v>
      </x:c>
      <x:c r="O1339" s="78" t="n">
        <x:f>H1339-N1339</x:f>
        <x:v>1709559.5496341756</x:v>
      </x:c>
      <x:c r="P1339" s="78" t="n">
        <x:f>I1339+L1339*(1-'Inputs'!$B$17)</x:f>
        <x:v>39285.86174971054</x:v>
      </x:c>
      <x:c r="Q1339" s="78" t="n">
        <x:f>IF(J1339&gt;0,M1339/J1339,0)</x:f>
        <x:v>0</x:v>
      </x:c>
      <x:c r="R1339" s="78" t="n">
        <x:f>IF(B1339='Inputs'!$H$47,'Inputs'!$B$27*'Inputs'!$I$47,0)</x:f>
        <x:v>0</x:v>
      </x:c>
      <x:c r="S1339" s="78" t="n">
        <x:f>Q1339+G1339+R1339</x:f>
        <x:v>320475.1125914805</x:v>
      </x:c>
      <x:c r="T1339" s="78" t="n">
        <x:f>P1339*(S1339*(1-'Inputs'!$B$15))/(O1339+S1339*(1-'Inputs'!$B$15))</x:f>
        <x:v>6149.622861571995</x:v>
      </x:c>
      <x:c r="U1339" s="78" t="n">
        <x:f>O1339+S1339*(1-'Inputs'!$B$17)</x:f>
        <x:v>2028745.0239456098</x:v>
      </x:c>
      <x:c r="V1339" s="78" t="n">
        <x:f>P1339-T1339</x:f>
        <x:v>33136.23888813854</x:v>
      </x:c>
      <x:c r="W1339" s="79" t="n">
        <x:f>IF(U1339&gt;0,V1339/U1339,0)</x:f>
        <x:v>0.016333367918110006</x:v>
      </x:c>
      <x:c r="X1339" s="80" t="n">
        <x:f>W1339*('Inputs'!$B$6-AC1339)</x:f>
        <x:v>16270420.533282602</x:v>
      </x:c>
      <x:c r="Y1339" s="80" t="n">
        <x:f>2*V1339</x:f>
        <x:v>66272.47777627708</x:v>
      </x:c>
      <x:c r="Z1339" s="80" t="n">
        <x:f>K1339*'Inputs'!$B$16+(G1339+R1339)*J1339*'Inputs'!$B$16</x:f>
        <x:v>785.1267379981034</x:v>
      </x:c>
      <x:c r="AA1339" s="80" t="n">
        <x:f>K1339*(1+'Inputs'!$E$47)/2*'Inputs'!$B$17</x:f>
        <x:v>265.44500420752547</x:v>
      </x:c>
      <x:c r="AB1339" s="78" t="n">
        <x:f>(IF(J1339&gt;0,K1339*(1-'Inputs'!$E$47)/2/J1339,0)+G1339+R1339)*'Inputs'!$B$17</x:f>
        <x:v>16061.145062556267</x:v>
      </x:c>
      <x:c r="AC1339" s="78" t="n">
        <x:f>AC1338+AB1339</x:f>
        <x:v>3853913.3596329945</x:v>
      </x:c>
      <x:c r="AD1339" s="80" t="n">
        <x:f>Z1339/(1+'Inputs'!$C$47)</x:f>
        <x:v>314.0506951992414</x:v>
      </x:c>
      <x:c r="AE1339" s="80" t="n">
        <x:f>Z1339-AD1339</x:f>
        <x:v>471.07604279886203</x:v>
      </x:c>
      <x:c r="AF1339" s="80" t="n">
        <x:f>D1339*W1339</x:f>
        <x:v>4436.594353836353</x:v>
      </x:c>
      <x:c r="AG1339" s="80" t="n">
        <x:f>C1339*W1339</x:f>
        <x:v>10352.053492284822</x:v>
      </x:c>
      <x:c r="AH1339" s="80" t="n">
        <x:f>2*'Inputs'!$B$8*'Inputs'!$C$47</x:f>
        <x:v>7500</x:v>
      </x:c>
      <x:c r="AI1339" s="81" t="n">
        <x:f>IF(AH1339&gt;0,(AE1339+AF1339)/AH1339*365,0)</x:f>
        <x:v>238.83995930291377</x:v>
      </x:c>
      <x:c r="AJ1339" s="81" t="n">
        <x:f>IF('Inputs'!$B$47&gt;0,AG1339/('Inputs'!$B$19*'Inputs'!$B$47)*365,0)</x:f>
        <x:v>377.84995246839605</x:v>
      </x:c>
      <x:c r="AK1339" s="81" t="n">
        <x:f>W1339/MAX($W$1099:W1339)-1</x:f>
        <x:v>-0.26292083705089997</x:v>
      </x:c>
      <x:c r="AL1339" s="83" t="n">
        <x:f>'Inputs'!$B$47</x:f>
        <x:v>1</x:v>
      </x:c>
      <x:c r="AM1339" s="83" t="n">
        <x:f>'Inputs'!$C$47</x:f>
        <x:v>1.5</x:v>
      </x:c>
      <x:c r="AN1339" s="83" t="n">
        <x:f>'Inputs'!$D$47</x:f>
        <x:v>1.5</x:v>
      </x:c>
      <x:c r="AO1339" s="81" t="n">
        <x:f>'Inputs'!$E$47</x:f>
        <x:v>0.05</x:v>
      </x:c>
    </x:row>
    <x:row r="1340">
      <x:c r="A1340" s="59" t="str">
        <x:v>Growth</x:v>
      </x:c>
      <x:c r="B1340" s="59" t="n">
        <x:v>242</x:v>
      </x:c>
      <x:c r="C1340" s="78" t="n">
        <x:f>(('Inputs'!$B$29*(3*242*'Inputs'!$B$12-242^2)/(2*'Inputs'!$B$12^2))-('Inputs'!$B$29*(3*241*'Inputs'!$B$12-241^2)/(2*'Inputs'!$B$12^2)))*'Inputs'!$B$47</x:f>
        <x:v>633472.743479073</x:v>
      </x:c>
      <x:c r="D1340" s="78" t="n">
        <x:f>IF('Inputs'!$C$47&gt;0,('Inputs'!$B$30*(3*242*'Inputs'!$B$12-242^2)/(2*'Inputs'!$B$12^2))-('Inputs'!$B$30*(3*241*'Inputs'!$B$12-241^2)/(2*'Inputs'!$B$12^2)),0)</x:f>
        <x:v>271488.3186338991</x:v>
      </x:c>
      <x:c r="E1340" s="78" t="n">
        <x:f>C1340+D1340</x:f>
        <x:v>904961.0621129721</x:v>
      </x:c>
      <x:c r="F1340" s="78" t="n">
        <x:f>'Inputs'!$B$13*E1340+(1-'Inputs'!$B$13)/'Inputs'!$B$14*SUM(E1285:E1340)</x:f>
        <x:v>915178.7389754186</x:v>
      </x:c>
      <x:c r="G1340" s="78" t="n">
        <x:f>F1340*'Inputs'!$F$47</x:f>
        <x:v>320312.5586413965</x:v>
      </x:c>
      <x:c r="H1340" s="78" t="n">
        <x:f>U1339</x:f>
        <x:v>2028745.0239456098</x:v>
      </x:c>
      <x:c r="I1340" s="78" t="n">
        <x:f>V1339</x:f>
        <x:v>33136.23888813854</x:v>
      </x:c>
      <x:c r="J1340" s="79" t="n">
        <x:f>IF(H1340&gt;0,I1340/H1340,0)</x:f>
        <x:v>0.016333367918110006</x:v>
      </x:c>
      <x:c r="K1340" s="80" t="n">
        <x:f>(H1340*J1340+I1340)*'Inputs'!$D$47*(1+'Inputs'!$G$47)^(B1340/30)</x:f>
        <x:v>126176.38479599386</x:v>
      </x:c>
      <x:c r="L1340" s="80" t="n">
        <x:f>MAX(0,K1340*'Inputs'!$E$47)</x:f>
        <x:v>6308.819239799694</x:v>
      </x:c>
      <x:c r="M1340" s="80" t="n">
        <x:f>MAX(0,-K1340*'Inputs'!$E$47)</x:f>
        <x:v>0</x:v>
      </x:c>
      <x:c r="N1340" s="78" t="n">
        <x:f>H1340*(L1340*(1-'Inputs'!$B$15))/(I1340+L1340*(1-'Inputs'!$B$15))</x:f>
        <x:v>321746.113870344</x:v>
      </x:c>
      <x:c r="O1340" s="78" t="n">
        <x:f>H1340-N1340</x:f>
        <x:v>1706998.910075266</x:v>
      </x:c>
      <x:c r="P1340" s="78" t="n">
        <x:f>I1340+L1340*(1-'Inputs'!$B$17)</x:f>
        <x:v>39419.67052536359</x:v>
      </x:c>
      <x:c r="Q1340" s="78" t="n">
        <x:f>IF(J1340&gt;0,M1340/J1340,0)</x:f>
        <x:v>0</x:v>
      </x:c>
      <x:c r="R1340" s="78" t="n">
        <x:f>IF(B1340='Inputs'!$H$47,'Inputs'!$B$27*'Inputs'!$I$47,0)</x:f>
        <x:v>0</x:v>
      </x:c>
      <x:c r="S1340" s="78" t="n">
        <x:f>Q1340+G1340+R1340</x:f>
        <x:v>320312.5586413965</x:v>
      </x:c>
      <x:c r="T1340" s="78" t="n">
        <x:f>P1340*(S1340*(1-'Inputs'!$B$15))/(O1340+S1340*(1-'Inputs'!$B$15))</x:f>
        <x:v>6175.731360397775</x:v>
      </x:c>
      <x:c r="U1340" s="78" t="n">
        <x:f>O1340+S1340*(1-'Inputs'!$B$17)</x:f>
        <x:v>2026022.4845772604</x:v>
      </x:c>
      <x:c r="V1340" s="78" t="n">
        <x:f>P1340-T1340</x:f>
        <x:v>33243.939164965814</x:v>
      </x:c>
      <x:c r="W1340" s="79" t="n">
        <x:f>IF(U1340&gt;0,V1340/U1340,0)</x:f>
        <x:v>0.016408474939458694</x:v>
      </x:c>
      <x:c r="X1340" s="80" t="n">
        <x:f>W1340*('Inputs'!$B$6-AC1340)</x:f>
        <x:v>16344974.657142548</x:v>
      </x:c>
      <x:c r="Y1340" s="80" t="n">
        <x:f>2*V1340</x:f>
        <x:v>66487.87832993163</x:v>
      </x:c>
      <x:c r="Z1340" s="80" t="n">
        <x:f>K1340*'Inputs'!$B$16+(G1340+R1340)*J1340*'Inputs'!$B$16</x:f>
        <x:v>788.4490059904499</x:v>
      </x:c>
      <x:c r="AA1340" s="80" t="n">
        <x:f>K1340*(1+'Inputs'!$E$47)/2*'Inputs'!$B$17</x:f>
        <x:v>266.56982703378986</x:v>
      </x:c>
      <x:c r="AB1340" s="78" t="n">
        <x:f>(IF(J1340&gt;0,K1340*(1-'Inputs'!$E$47)/2/J1340,0)+G1340+R1340)*'Inputs'!$B$17</x:f>
        <x:v>16055.211513226517</x:v>
      </x:c>
      <x:c r="AC1340" s="78" t="n">
        <x:f>AC1339+AB1340</x:f>
        <x:v>3869968.571146221</x:v>
      </x:c>
      <x:c r="AD1340" s="80" t="n">
        <x:f>Z1340/(1+'Inputs'!$C$47)</x:f>
        <x:v>315.37960239617996</x:v>
      </x:c>
      <x:c r="AE1340" s="80" t="n">
        <x:f>Z1340-AD1340</x:f>
        <x:v>473.06940359426994</x:v>
      </x:c>
      <x:c r="AF1340" s="80" t="n">
        <x:f>D1340*W1340</x:f>
        <x:v>4454.70927266011</x:v>
      </x:c>
      <x:c r="AG1340" s="80" t="n">
        <x:f>C1340*W1340</x:f>
        <x:v>10394.321636206516</x:v>
      </x:c>
      <x:c r="AH1340" s="80" t="n">
        <x:f>2*'Inputs'!$B$8*'Inputs'!$C$47</x:f>
        <x:v>7500</x:v>
      </x:c>
      <x:c r="AI1340" s="81" t="n">
        <x:f>IF(AH1340&gt;0,(AE1340+AF1340)/AH1340*365,0)</x:f>
        <x:v>239.81856224437985</x:v>
      </x:c>
      <x:c r="AJ1340" s="81" t="n">
        <x:f>IF('Inputs'!$B$47&gt;0,AG1340/('Inputs'!$B$19*'Inputs'!$B$47)*365,0)</x:f>
        <x:v>379.39273972153785</x:v>
      </x:c>
      <x:c r="AK1340" s="81" t="n">
        <x:f>W1340/MAX($W$1099:W1340)-1</x:f>
        <x:v>-0.2595314674668162</x:v>
      </x:c>
      <x:c r="AL1340" s="83" t="n">
        <x:f>'Inputs'!$B$47</x:f>
        <x:v>1</x:v>
      </x:c>
      <x:c r="AM1340" s="83" t="n">
        <x:f>'Inputs'!$C$47</x:f>
        <x:v>1.5</x:v>
      </x:c>
      <x:c r="AN1340" s="83" t="n">
        <x:f>'Inputs'!$D$47</x:f>
        <x:v>1.5</x:v>
      </x:c>
      <x:c r="AO1340" s="81" t="n">
        <x:f>'Inputs'!$E$47</x:f>
        <x:v>0.05</x:v>
      </x:c>
    </x:row>
    <x:row r="1341">
      <x:c r="A1341" s="59" t="str">
        <x:v>Growth</x:v>
      </x:c>
      <x:c r="B1341" s="59" t="n">
        <x:v>243</x:v>
      </x:c>
      <x:c r="C1341" s="78" t="n">
        <x:f>(('Inputs'!$B$29*(3*243*'Inputs'!$B$12-243^2)/(2*'Inputs'!$B$12^2))-('Inputs'!$B$29*(3*242*'Inputs'!$B$12-242^2)/(2*'Inputs'!$B$12^2)))*'Inputs'!$B$47</x:f>
        <x:v>633147.6355789304</x:v>
      </x:c>
      <x:c r="D1341" s="78" t="n">
        <x:f>IF('Inputs'!$C$47&gt;0,('Inputs'!$B$30*(3*243*'Inputs'!$B$12-243^2)/(2*'Inputs'!$B$12^2))-('Inputs'!$B$30*(3*242*'Inputs'!$B$12-242^2)/(2*'Inputs'!$B$12^2)),0)</x:f>
        <x:v>271348.98667666316</x:v>
      </x:c>
      <x:c r="E1341" s="78" t="n">
        <x:f>C1341+D1341</x:f>
        <x:v>904496.6222555935</x:v>
      </x:c>
      <x:c r="F1341" s="78" t="n">
        <x:f>'Inputs'!$B$13*E1341+(1-'Inputs'!$B$13)/'Inputs'!$B$14*SUM(E1286:E1341)</x:f>
        <x:v>914714.2991180358</x:v>
      </x:c>
      <x:c r="G1341" s="78" t="n">
        <x:f>F1341*'Inputs'!$F$47</x:f>
        <x:v>320150.0046913125</x:v>
      </x:c>
      <x:c r="H1341" s="78" t="n">
        <x:f>U1340</x:f>
        <x:v>2026022.4845772604</x:v>
      </x:c>
      <x:c r="I1341" s="78" t="n">
        <x:f>V1340</x:f>
        <x:v>33243.939164965814</x:v>
      </x:c>
      <x:c r="J1341" s="79" t="n">
        <x:f>IF(H1341&gt;0,I1341/H1341,0)</x:f>
        <x:v>0.016408474939458694</x:v>
      </x:c>
      <x:c r="K1341" s="80" t="n">
        <x:f>(H1341*J1341+I1341)*'Inputs'!$D$47*(1+'Inputs'!$G$47)^(B1341/30)</x:f>
        <x:v>126711.27290307231</x:v>
      </x:c>
      <x:c r="L1341" s="80" t="n">
        <x:f>MAX(0,K1341*'Inputs'!$E$47)</x:f>
        <x:v>6335.563645153616</x:v>
      </x:c>
      <x:c r="M1341" s="80" t="n">
        <x:f>MAX(0,-K1341*'Inputs'!$E$47)</x:f>
        <x:v>0</x:v>
      </x:c>
      <x:c r="N1341" s="78" t="n">
        <x:f>H1341*(L1341*(1-'Inputs'!$B$15))/(I1341+L1341*(1-'Inputs'!$B$15))</x:f>
        <x:v>321580.8058849391</x:v>
      </x:c>
      <x:c r="O1341" s="78" t="n">
        <x:f>H1341-N1341</x:f>
        <x:v>1704441.6786923213</x:v>
      </x:c>
      <x:c r="P1341" s="78" t="n">
        <x:f>I1341+L1341*(1-'Inputs'!$B$17)</x:f>
        <x:v>39554.0075841832</x:v>
      </x:c>
      <x:c r="Q1341" s="78" t="n">
        <x:f>IF(J1341&gt;0,M1341/J1341,0)</x:f>
        <x:v>0</x:v>
      </x:c>
      <x:c r="R1341" s="78" t="n">
        <x:f>IF(B1341='Inputs'!$H$47,'Inputs'!$B$27*'Inputs'!$I$47,0)</x:f>
        <x:v>0</x:v>
      </x:c>
      <x:c r="S1341" s="78" t="n">
        <x:f>Q1341+G1341+R1341</x:f>
        <x:v>320150.0046913125</x:v>
      </x:c>
      <x:c r="T1341" s="78" t="n">
        <x:f>P1341*(S1341*(1-'Inputs'!$B$15))/(O1341+S1341*(1-'Inputs'!$B$15))</x:f>
        <x:v>6201.961234325322</x:v>
      </x:c>
      <x:c r="U1341" s="78" t="n">
        <x:f>O1341+S1341*(1-'Inputs'!$B$17)</x:f>
        <x:v>2023303.353384876</x:v>
      </x:c>
      <x:c r="V1341" s="78" t="n">
        <x:f>P1341-T1341</x:f>
        <x:v>33352.046349857876</x:v>
      </x:c>
      <x:c r="W1341" s="79" t="n">
        <x:f>IF(U1341&gt;0,V1341/U1341,0)</x:f>
        <x:v>0.016483957432315687</x:v>
      </x:c>
      <x:c r="X1341" s="80" t="n">
        <x:f>W1341*('Inputs'!$B$6-AC1341)</x:f>
        <x:v>16419900.479508104</x:v>
      </x:c>
      <x:c r="Y1341" s="80" t="n">
        <x:f>2*V1341</x:f>
        <x:v>66704.09269971575</x:v>
      </x:c>
      <x:c r="Z1341" s="80" t="n">
        <x:f>K1341*'Inputs'!$B$16+(G1341+R1341)*J1341*'Inputs'!$B$16</x:f>
        <x:v>791.7866773915038</x:v>
      </x:c>
      <x:c r="AA1341" s="80" t="n">
        <x:f>K1341*(1+'Inputs'!$E$47)/2*'Inputs'!$B$17</x:f>
        <x:v>267.69987233043446</x:v>
      </x:c>
      <x:c r="AB1341" s="78" t="n">
        <x:f>(IF(J1341&gt;0,K1341*(1-'Inputs'!$E$47)/2/J1341,0)+G1341+R1341)*'Inputs'!$B$17</x:f>
        <x:v>16049.27806296545</x:v>
      </x:c>
      <x:c r="AC1341" s="78" t="n">
        <x:f>AC1340+AB1341</x:f>
        <x:v>3886017.849209186</x:v>
      </x:c>
      <x:c r="AD1341" s="80" t="n">
        <x:f>Z1341/(1+'Inputs'!$C$47)</x:f>
        <x:v>316.7146709566015</x:v>
      </x:c>
      <x:c r="AE1341" s="80" t="n">
        <x:f>Z1341-AD1341</x:f>
        <x:v>475.0720064349023</x:v>
      </x:c>
      <x:c r="AF1341" s="80" t="n">
        <x:f>D1341*W1341</x:f>
        <x:v>4472.905145680112</x:v>
      </x:c>
      <x:c r="AG1341" s="80" t="n">
        <x:f>C1341*W1341</x:f>
        <x:v>10436.778673254414</x:v>
      </x:c>
      <x:c r="AH1341" s="80" t="n">
        <x:f>2*'Inputs'!$B$8*'Inputs'!$C$47</x:f>
        <x:v>7500</x:v>
      </x:c>
      <x:c r="AI1341" s="81" t="n">
        <x:f>IF(AH1341&gt;0,(AE1341+AF1341)/AH1341*365,0)</x:f>
        <x:v>240.80155473626402</x:v>
      </x:c>
      <x:c r="AJ1341" s="81" t="n">
        <x:f>IF('Inputs'!$B$47&gt;0,AG1341/('Inputs'!$B$19*'Inputs'!$B$47)*365,0)</x:f>
        <x:v>380.94242157378613</x:v>
      </x:c>
      <x:c r="AK1341" s="81" t="n">
        <x:f>W1341/MAX($W$1099:W1341)-1</x:f>
        <x:v>-0.2561251539048316</x:v>
      </x:c>
      <x:c r="AL1341" s="83" t="n">
        <x:f>'Inputs'!$B$47</x:f>
        <x:v>1</x:v>
      </x:c>
      <x:c r="AM1341" s="83" t="n">
        <x:f>'Inputs'!$C$47</x:f>
        <x:v>1.5</x:v>
      </x:c>
      <x:c r="AN1341" s="83" t="n">
        <x:f>'Inputs'!$D$47</x:f>
        <x:v>1.5</x:v>
      </x:c>
      <x:c r="AO1341" s="81" t="n">
        <x:f>'Inputs'!$E$47</x:f>
        <x:v>0.05</x:v>
      </x:c>
    </x:row>
    <x:row r="1342">
      <x:c r="A1342" s="59" t="str">
        <x:v>Growth</x:v>
      </x:c>
      <x:c r="B1342" s="59" t="n">
        <x:v>244</x:v>
      </x:c>
      <x:c r="C1342" s="78" t="n">
        <x:f>(('Inputs'!$B$29*(3*244*'Inputs'!$B$12-244^2)/(2*'Inputs'!$B$12^2))-('Inputs'!$B$29*(3*243*'Inputs'!$B$12-243^2)/(2*'Inputs'!$B$12^2)))*'Inputs'!$B$47</x:f>
        <x:v>632822.5276787281</x:v>
      </x:c>
      <x:c r="D1342" s="78" t="n">
        <x:f>IF('Inputs'!$C$47&gt;0,('Inputs'!$B$30*(3*244*'Inputs'!$B$12-244^2)/(2*'Inputs'!$B$12^2))-('Inputs'!$B$30*(3*243*'Inputs'!$B$12-243^2)/(2*'Inputs'!$B$12^2)),0)</x:f>
        <x:v>271209.65471947193</x:v>
      </x:c>
      <x:c r="E1342" s="78" t="n">
        <x:f>C1342+D1342</x:f>
        <x:v>904032.1823982</x:v>
      </x:c>
      <x:c r="F1342" s="78" t="n">
        <x:f>'Inputs'!$B$13*E1342+(1-'Inputs'!$B$13)/'Inputs'!$B$14*SUM(E1287:E1342)</x:f>
        <x:v>914249.8592606497</x:v>
      </x:c>
      <x:c r="G1342" s="78" t="n">
        <x:f>F1342*'Inputs'!$F$47</x:f>
        <x:v>319987.45074122737</x:v>
      </x:c>
      <x:c r="H1342" s="78" t="n">
        <x:f>U1341</x:f>
        <x:v>2023303.353384876</x:v>
      </x:c>
      <x:c r="I1342" s="78" t="n">
        <x:f>V1341</x:f>
        <x:v>33352.046349857876</x:v>
      </x:c>
      <x:c r="J1342" s="79" t="n">
        <x:f>IF(H1342&gt;0,I1342/H1342,0)</x:f>
        <x:v>0.016483957432315687</x:v>
      </x:c>
      <x:c r="K1342" s="80" t="n">
        <x:f>(H1342*J1342+I1342)*'Inputs'!$D$47*(1+'Inputs'!$G$47)^(B1342/30)</x:f>
        <x:v>127248.6454433109</x:v>
      </x:c>
      <x:c r="L1342" s="80" t="n">
        <x:f>MAX(0,K1342*'Inputs'!$E$47)</x:f>
        <x:v>6362.432272165545</x:v>
      </x:c>
      <x:c r="M1342" s="80" t="n">
        <x:f>MAX(0,-K1342*'Inputs'!$E$47)</x:f>
        <x:v>0</x:v>
      </x:c>
      <x:c r="N1342" s="78" t="n">
        <x:f>H1342*(L1342*(1-'Inputs'!$B$15))/(I1342+L1342*(1-'Inputs'!$B$15))</x:f>
        <x:v>321415.50217901764</x:v>
      </x:c>
      <x:c r="O1342" s="78" t="n">
        <x:f>H1342-N1342</x:f>
        <x:v>1701887.8512058584</x:v>
      </x:c>
      <x:c r="P1342" s="78" t="n">
        <x:f>I1342+L1342*(1-'Inputs'!$B$17)</x:f>
        <x:v>39688.87527283966</x:v>
      </x:c>
      <x:c r="Q1342" s="78" t="n">
        <x:f>IF(J1342&gt;0,M1342/J1342,0)</x:f>
        <x:v>0</x:v>
      </x:c>
      <x:c r="R1342" s="78" t="n">
        <x:f>IF(B1342='Inputs'!$H$47,'Inputs'!$B$27*'Inputs'!$I$47,0)</x:f>
        <x:v>0</x:v>
      </x:c>
      <x:c r="S1342" s="78" t="n">
        <x:f>Q1342+G1342+R1342</x:f>
        <x:v>319987.45074122737</x:v>
      </x:c>
      <x:c r="T1342" s="78" t="n">
        <x:f>P1342*(S1342*(1-'Inputs'!$B$15))/(O1342+S1342*(1-'Inputs'!$B$15))</x:f>
        <x:v>6228.3130959173495</x:v>
      </x:c>
      <x:c r="U1342" s="78" t="n">
        <x:f>O1342+S1342*(1-'Inputs'!$B$17)</x:f>
        <x:v>2020587.6260889722</x:v>
      </x:c>
      <x:c r="V1342" s="78" t="n">
        <x:f>P1342-T1342</x:f>
        <x:v>33460.56217692231</x:v>
      </x:c>
      <x:c r="W1342" s="79" t="n">
        <x:f>IF(U1342&gt;0,V1342/U1342,0)</x:f>
        <x:v>0.016559817423849228</x:v>
      </x:c>
      <x:c r="X1342" s="80" t="n">
        <x:f>W1342*('Inputs'!$B$6-AC1342)</x:f>
        <x:v>16495200.002901234</x:v>
      </x:c>
      <x:c r="Y1342" s="80" t="n">
        <x:f>2*V1342</x:f>
        <x:v>66921.12435384461</x:v>
      </x:c>
      <x:c r="Z1342" s="80" t="n">
        <x:f>K1342*'Inputs'!$B$16+(G1342+R1342)*J1342*'Inputs'!$B$16</x:f>
        <x:v>795.139829761227</x:v>
      </x:c>
      <x:c r="AA1342" s="80" t="n">
        <x:f>K1342*(1+'Inputs'!$E$47)/2*'Inputs'!$B$17</x:f>
        <x:v>268.8351664295301</x:v>
      </x:c>
      <x:c r="AB1342" s="78" t="n">
        <x:f>(IF(J1342&gt;0,K1342*(1-'Inputs'!$E$47)/2/J1342,0)+G1342+R1342)*'Inputs'!$B$17</x:f>
        <x:v>16043.344710359333</x:v>
      </x:c>
      <x:c r="AC1342" s="78" t="n">
        <x:f>AC1341+AB1342</x:f>
        <x:v>3902061.1939195455</x:v>
      </x:c>
      <x:c r="AD1342" s="80" t="n">
        <x:f>Z1342/(1+'Inputs'!$C$47)</x:f>
        <x:v>318.0559319044908</x:v>
      </x:c>
      <x:c r="AE1342" s="80" t="n">
        <x:f>Z1342-AD1342</x:f>
        <x:v>477.0838978567362</x:v>
      </x:c>
      <x:c r="AF1342" s="80" t="n">
        <x:f>D1342*W1342</x:f>
        <x:v>4491.182365739644</x:v>
      </x:c>
      <x:c r="AG1342" s="80" t="n">
        <x:f>C1342*W1342</x:f>
        <x:v>10479.425520058512</x:v>
      </x:c>
      <x:c r="AH1342" s="80" t="n">
        <x:f>2*'Inputs'!$B$8*'Inputs'!$C$47</x:f>
        <x:v>7500</x:v>
      </x:c>
      <x:c r="AI1342" s="81" t="n">
        <x:f>IF(AH1342&gt;0,(AE1342+AF1342)/AH1342*365,0)</x:f>
        <x:v>241.78895816169052</x:v>
      </x:c>
      <x:c r="AJ1342" s="81" t="n">
        <x:f>IF('Inputs'!$B$47&gt;0,AG1342/('Inputs'!$B$19*'Inputs'!$B$47)*365,0)</x:f>
        <x:v>382.4990314821357</x:v>
      </x:c>
      <x:c r="AK1342" s="81" t="n">
        <x:f>W1342/MAX($W$1099:W1342)-1</x:f>
        <x:v>-0.2527018048845189</x:v>
      </x:c>
      <x:c r="AL1342" s="83" t="n">
        <x:f>'Inputs'!$B$47</x:f>
        <x:v>1</x:v>
      </x:c>
      <x:c r="AM1342" s="83" t="n">
        <x:f>'Inputs'!$C$47</x:f>
        <x:v>1.5</x:v>
      </x:c>
      <x:c r="AN1342" s="83" t="n">
        <x:f>'Inputs'!$D$47</x:f>
        <x:v>1.5</x:v>
      </x:c>
      <x:c r="AO1342" s="81" t="n">
        <x:f>'Inputs'!$E$47</x:f>
        <x:v>0.05</x:v>
      </x:c>
    </x:row>
    <x:row r="1343">
      <x:c r="A1343" s="59" t="str">
        <x:v>Growth</x:v>
      </x:c>
      <x:c r="B1343" s="59" t="n">
        <x:v>245</x:v>
      </x:c>
      <x:c r="C1343" s="78" t="n">
        <x:f>(('Inputs'!$B$29*(3*245*'Inputs'!$B$12-245^2)/(2*'Inputs'!$B$12^2))-('Inputs'!$B$29*(3*244*'Inputs'!$B$12-244^2)/(2*'Inputs'!$B$12^2)))*'Inputs'!$B$47</x:f>
        <x:v>632497.4197785854</x:v>
      </x:c>
      <x:c r="D1343" s="78" t="n">
        <x:f>IF('Inputs'!$C$47&gt;0,('Inputs'!$B$30*(3*245*'Inputs'!$B$12-245^2)/(2*'Inputs'!$B$12^2))-('Inputs'!$B$30*(3*244*'Inputs'!$B$12-244^2)/(2*'Inputs'!$B$12^2)),0)</x:f>
        <x:v>271070.322762236</x:v>
      </x:c>
      <x:c r="E1343" s="78" t="n">
        <x:f>C1343+D1343</x:f>
        <x:v>903567.7425408214</x:v>
      </x:c>
      <x:c r="F1343" s="78" t="n">
        <x:f>'Inputs'!$B$13*E1343+(1-'Inputs'!$B$13)/'Inputs'!$B$14*SUM(E1288:E1343)</x:f>
        <x:v>913785.4194032669</x:v>
      </x:c>
      <x:c r="G1343" s="78" t="n">
        <x:f>F1343*'Inputs'!$F$47</x:f>
        <x:v>319824.8967911434</x:v>
      </x:c>
      <x:c r="H1343" s="78" t="n">
        <x:f>U1342</x:f>
        <x:v>2020587.6260889722</x:v>
      </x:c>
      <x:c r="I1343" s="78" t="n">
        <x:f>V1342</x:f>
        <x:v>33460.56217692231</x:v>
      </x:c>
      <x:c r="J1343" s="79" t="n">
        <x:f>IF(H1343&gt;0,I1343/H1343,0)</x:f>
        <x:v>0.016559817423849228</x:v>
      </x:c>
      <x:c r="K1343" s="80" t="n">
        <x:f>(H1343*J1343+I1343)*'Inputs'!$D$47*(1+'Inputs'!$G$47)^(B1343/30)</x:f>
        <x:v>127788.51494822915</x:v>
      </x:c>
      <x:c r="L1343" s="80" t="n">
        <x:f>MAX(0,K1343*'Inputs'!$E$47)</x:f>
        <x:v>6389.425747411457</x:v>
      </x:c>
      <x:c r="M1343" s="80" t="n">
        <x:f>MAX(0,-K1343*'Inputs'!$E$47)</x:f>
        <x:v>0</x:v>
      </x:c>
      <x:c r="N1343" s="78" t="n">
        <x:f>H1343*(L1343*(1-'Inputs'!$B$15))/(I1343+L1343*(1-'Inputs'!$B$15))</x:f>
        <x:v>321250.2027473453</x:v>
      </x:c>
      <x:c r="O1343" s="78" t="n">
        <x:f>H1343-N1343</x:f>
        <x:v>1699337.4233416268</x:v>
      </x:c>
      <x:c r="P1343" s="78" t="n">
        <x:f>I1343+L1343*(1-'Inputs'!$B$17)</x:f>
        <x:v>39824.27594949509</x:v>
      </x:c>
      <x:c r="Q1343" s="78" t="n">
        <x:f>IF(J1343&gt;0,M1343/J1343,0)</x:f>
        <x:v>0</x:v>
      </x:c>
      <x:c r="R1343" s="78" t="n">
        <x:f>IF(B1343='Inputs'!$H$47,'Inputs'!$B$27*'Inputs'!$I$47,0)</x:f>
        <x:v>0</x:v>
      </x:c>
      <x:c r="S1343" s="78" t="n">
        <x:f>Q1343+G1343+R1343</x:f>
        <x:v>319824.8967911434</x:v>
      </x:c>
      <x:c r="T1343" s="78" t="n">
        <x:f>P1343*(S1343*(1-'Inputs'!$B$15))/(O1343+S1343*(1-'Inputs'!$B$15))</x:f>
        <x:v>6254.787561065037</x:v>
      </x:c>
      <x:c r="U1343" s="78" t="n">
        <x:f>O1343+S1343*(1-'Inputs'!$B$17)</x:f>
        <x:v>2017875.298415301</x:v>
      </x:c>
      <x:c r="V1343" s="78" t="n">
        <x:f>P1343-T1343</x:f>
        <x:v>33569.48838843005</x:v>
      </x:c>
      <x:c r="W1343" s="79" t="n">
        <x:f>IF(U1343&gt;0,V1343/U1343,0)</x:f>
        <x:v>0.01663605695297088</x:v>
      </x:c>
      <x:c r="X1343" s="80" t="n">
        <x:f>W1343*('Inputs'!$B$6-AC1343)</x:f>
        <x:v>16570875.241424529</x:v>
      </x:c>
      <x:c r="Y1343" s="80" t="n">
        <x:f>2*V1343</x:f>
        <x:v>67138.9767768601</x:v>
      </x:c>
      <x:c r="Z1343" s="80" t="n">
        <x:f>K1343*'Inputs'!$B$16+(G1343+R1343)*J1343*'Inputs'!$B$16</x:f>
        <x:v>798.5085410801514</x:v>
      </x:c>
      <x:c r="AA1343" s="80" t="n">
        <x:f>K1343*(1+'Inputs'!$E$47)/2*'Inputs'!$B$17</x:f>
        <x:v>269.97573580611794</x:v>
      </x:c>
      <x:c r="AB1343" s="78" t="n">
        <x:f>(IF(J1343&gt;0,K1343*(1-'Inputs'!$E$47)/2/J1343,0)+G1343+R1343)*'Inputs'!$B$17</x:f>
        <x:v>16037.411453992368</x:v>
      </x:c>
      <x:c r="AC1343" s="78" t="n">
        <x:f>AC1342+AB1343</x:f>
        <x:v>3918098.605373538</x:v>
      </x:c>
      <x:c r="AD1343" s="80" t="n">
        <x:f>Z1343/(1+'Inputs'!$C$47)</x:f>
        <x:v>319.40341643206057</x:v>
      </x:c>
      <x:c r="AE1343" s="80" t="n">
        <x:f>Z1343-AD1343</x:f>
        <x:v>479.10512464809085</x:v>
      </x:c>
      <x:c r="AF1343" s="80" t="n">
        <x:f>D1343*W1343</x:f>
        <x:v>4509.541327732756</x:v>
      </x:c>
      <x:c r="AG1343" s="80" t="n">
        <x:f>C1343*W1343</x:f>
        <x:v>10522.263098043677</x:v>
      </x:c>
      <x:c r="AH1343" s="80" t="n">
        <x:f>2*'Inputs'!$B$8*'Inputs'!$C$47</x:f>
        <x:v>7500</x:v>
      </x:c>
      <x:c r="AI1343" s="81" t="n">
        <x:f>IF(AH1343&gt;0,(AE1343+AF1343)/AH1343*365,0)</x:f>
        <x:v>242.78079401586788</x:v>
      </x:c>
      <x:c r="AJ1343" s="81" t="n">
        <x:f>IF('Inputs'!$B$47&gt;0,AG1343/('Inputs'!$B$19*'Inputs'!$B$47)*365,0)</x:f>
        <x:v>384.0626030785942</x:v>
      </x:c>
      <x:c r="AK1343" s="81" t="n">
        <x:f>W1343/MAX($W$1099:W1343)-1</x:f>
        <x:v>-0.24926132839550819</x:v>
      </x:c>
      <x:c r="AL1343" s="83" t="n">
        <x:f>'Inputs'!$B$47</x:f>
        <x:v>1</x:v>
      </x:c>
      <x:c r="AM1343" s="83" t="n">
        <x:f>'Inputs'!$C$47</x:f>
        <x:v>1.5</x:v>
      </x:c>
      <x:c r="AN1343" s="83" t="n">
        <x:f>'Inputs'!$D$47</x:f>
        <x:v>1.5</x:v>
      </x:c>
      <x:c r="AO1343" s="81" t="n">
        <x:f>'Inputs'!$E$47</x:f>
        <x:v>0.05</x:v>
      </x:c>
    </x:row>
    <x:row r="1344">
      <x:c r="A1344" s="59" t="str">
        <x:v>Growth</x:v>
      </x:c>
      <x:c r="B1344" s="59" t="n">
        <x:v>246</x:v>
      </x:c>
      <x:c r="C1344" s="78" t="n">
        <x:f>(('Inputs'!$B$29*(3*246*'Inputs'!$B$12-246^2)/(2*'Inputs'!$B$12^2))-('Inputs'!$B$29*(3*245*'Inputs'!$B$12-245^2)/(2*'Inputs'!$B$12^2)))*'Inputs'!$B$47</x:f>
        <x:v>632172.3118783832</x:v>
      </x:c>
      <x:c r="D1344" s="78" t="n">
        <x:f>IF('Inputs'!$C$47&gt;0,('Inputs'!$B$30*(3*246*'Inputs'!$B$12-246^2)/(2*'Inputs'!$B$12^2))-('Inputs'!$B$30*(3*245*'Inputs'!$B$12-245^2)/(2*'Inputs'!$B$12^2)),0)</x:f>
        <x:v>270930.99080502987</x:v>
      </x:c>
      <x:c r="E1344" s="78" t="n">
        <x:f>C1344+D1344</x:f>
        <x:v>903103.302683413</x:v>
      </x:c>
      <x:c r="F1344" s="78" t="n">
        <x:f>'Inputs'!$B$13*E1344+(1-'Inputs'!$B$13)/'Inputs'!$B$14*SUM(E1289:E1344)</x:f>
        <x:v>913320.9795458775</x:v>
      </x:c>
      <x:c r="G1344" s="78" t="n">
        <x:f>F1344*'Inputs'!$F$47</x:f>
        <x:v>319662.3428410571</x:v>
      </x:c>
      <x:c r="H1344" s="78" t="n">
        <x:f>U1343</x:f>
        <x:v>2017875.298415301</x:v>
      </x:c>
      <x:c r="I1344" s="78" t="n">
        <x:f>V1343</x:f>
        <x:v>33569.48838843005</x:v>
      </x:c>
      <x:c r="J1344" s="79" t="n">
        <x:f>IF(H1344&gt;0,I1344/H1344,0)</x:f>
        <x:v>0.01663605695297088</x:v>
      </x:c>
      <x:c r="K1344" s="80" t="n">
        <x:f>(H1344*J1344+I1344)*'Inputs'!$D$47*(1+'Inputs'!$G$47)^(B1344/30)</x:f>
        <x:v>128330.89401741185</x:v>
      </x:c>
      <x:c r="L1344" s="80" t="n">
        <x:f>MAX(0,K1344*'Inputs'!$E$47)</x:f>
        <x:v>6416.544700870592</x:v>
      </x:c>
      <x:c r="M1344" s="80" t="n">
        <x:f>MAX(0,-K1344*'Inputs'!$E$47)</x:f>
        <x:v>0</x:v>
      </x:c>
      <x:c r="N1344" s="78" t="n">
        <x:f>H1344*(L1344*(1-'Inputs'!$B$15))/(I1344+L1344*(1-'Inputs'!$B$15))</x:f>
        <x:v>321084.9075846947</x:v>
      </x:c>
      <x:c r="O1344" s="78" t="n">
        <x:f>H1344-N1344</x:f>
        <x:v>1696790.3908306062</x:v>
      </x:c>
      <x:c r="P1344" s="78" t="n">
        <x:f>I1344+L1344*(1-'Inputs'!$B$17)</x:f>
        <x:v>39960.211983864545</x:v>
      </x:c>
      <x:c r="Q1344" s="78" t="n">
        <x:f>IF(J1344&gt;0,M1344/J1344,0)</x:f>
        <x:v>0</x:v>
      </x:c>
      <x:c r="R1344" s="78" t="n">
        <x:f>IF(B1344='Inputs'!$H$47,'Inputs'!$B$27*'Inputs'!$I$47,0)</x:f>
        <x:v>0</x:v>
      </x:c>
      <x:c r="S1344" s="78" t="n">
        <x:f>Q1344+G1344+R1344</x:f>
        <x:v>319662.3428410571</x:v>
      </x:c>
      <x:c r="T1344" s="78" t="n">
        <x:f>P1344*(S1344*(1-'Inputs'!$B$15))/(O1344+S1344*(1-'Inputs'!$B$15))</x:f>
        <x:v>6281.385249007186</x:v>
      </x:c>
      <x:c r="U1344" s="78" t="n">
        <x:f>O1344+S1344*(1-'Inputs'!$B$17)</x:f>
        <x:v>2015166.3660948381</x:v>
      </x:c>
      <x:c r="V1344" s="78" t="n">
        <x:f>P1344-T1344</x:f>
        <x:v>33678.82673485736</x:v>
      </x:c>
      <x:c r="W1344" s="79" t="n">
        <x:f>IF(U1344&gt;0,V1344/U1344,0)</x:f>
        <x:v>0.016712678070408188</x:v>
      </x:c>
      <x:c r="X1344" s="80" t="n">
        <x:f>W1344*('Inputs'!$B$6-AC1344)</x:f>
        <x:v>16646928.22083277</x:v>
      </x:c>
      <x:c r="Y1344" s="80" t="n">
        <x:f>2*V1344</x:f>
        <x:v>67357.65346971471</x:v>
      </x:c>
      <x:c r="Z1344" s="80" t="n">
        <x:f>K1344*'Inputs'!$B$16+(G1344+R1344)*J1344*'Inputs'!$B$16</x:f>
        <x:v>801.8928897518147</x:v>
      </x:c>
      <x:c r="AA1344" s="80" t="n">
        <x:f>K1344*(1+'Inputs'!$E$47)/2*'Inputs'!$B$17</x:f>
        <x:v>271.12160707903917</x:v>
      </x:c>
      <x:c r="AB1344" s="78" t="n">
        <x:f>(IF(J1344&gt;0,K1344*(1-'Inputs'!$E$47)/2/J1344,0)+G1344+R1344)*'Inputs'!$B$17</x:f>
        <x:v>16031.478292446662</x:v>
      </x:c>
      <x:c r="AC1344" s="78" t="n">
        <x:f>AC1343+AB1344</x:f>
        <x:v>3934130.0836659847</x:v>
      </x:c>
      <x:c r="AD1344" s="80" t="n">
        <x:f>Z1344/(1+'Inputs'!$C$47)</x:f>
        <x:v>320.7571559007259</x:v>
      </x:c>
      <x:c r="AE1344" s="80" t="n">
        <x:f>Z1344-AD1344</x:f>
        <x:v>481.1357338510888</x:v>
      </x:c>
      <x:c r="AF1344" s="80" t="n">
        <x:f>D1344*W1344</x:f>
        <x:v>4527.982428621185</x:v>
      </x:c>
      <x:c r="AG1344" s="80" t="n">
        <x:f>C1344*W1344</x:f>
        <x:v>10565.2923334491</x:v>
      </x:c>
      <x:c r="AH1344" s="80" t="n">
        <x:f>2*'Inputs'!$B$8*'Inputs'!$C$47</x:f>
        <x:v>7500</x:v>
      </x:c>
      <x:c r="AI1344" s="81" t="n">
        <x:f>IF(AH1344&gt;0,(AE1344+AF1344)/AH1344*365,0)</x:f>
        <x:v>243.777083906984</x:v>
      </x:c>
      <x:c r="AJ1344" s="81" t="n">
        <x:f>IF('Inputs'!$B$47&gt;0,AG1344/('Inputs'!$B$19*'Inputs'!$B$47)*365,0)</x:f>
        <x:v>385.6331701708922</x:v>
      </x:c>
      <x:c r="AK1344" s="81" t="n">
        <x:f>W1344/MAX($W$1099:W1344)-1</x:f>
        <x:v>-0.24580363189420684</x:v>
      </x:c>
      <x:c r="AL1344" s="83" t="n">
        <x:f>'Inputs'!$B$47</x:f>
        <x:v>1</x:v>
      </x:c>
      <x:c r="AM1344" s="83" t="n">
        <x:f>'Inputs'!$C$47</x:f>
        <x:v>1.5</x:v>
      </x:c>
      <x:c r="AN1344" s="83" t="n">
        <x:f>'Inputs'!$D$47</x:f>
        <x:v>1.5</x:v>
      </x:c>
      <x:c r="AO1344" s="81" t="n">
        <x:f>'Inputs'!$E$47</x:f>
        <x:v>0.05</x:v>
      </x:c>
    </x:row>
    <x:row r="1345">
      <x:c r="A1345" s="59" t="str">
        <x:v>Growth</x:v>
      </x:c>
      <x:c r="B1345" s="59" t="n">
        <x:v>247</x:v>
      </x:c>
      <x:c r="C1345" s="78" t="n">
        <x:f>(('Inputs'!$B$29*(3*247*'Inputs'!$B$12-247^2)/(2*'Inputs'!$B$12^2))-('Inputs'!$B$29*(3*246*'Inputs'!$B$12-246^2)/(2*'Inputs'!$B$12^2)))*'Inputs'!$B$47</x:f>
        <x:v>631847.2039782405</x:v>
      </x:c>
      <x:c r="D1345" s="78" t="n">
        <x:f>IF('Inputs'!$C$47&gt;0,('Inputs'!$B$30*(3*247*'Inputs'!$B$12-247^2)/(2*'Inputs'!$B$12^2))-('Inputs'!$B$30*(3*246*'Inputs'!$B$12-246^2)/(2*'Inputs'!$B$12^2)),0)</x:f>
        <x:v>270791.65884780884</x:v>
      </x:c>
      <x:c r="E1345" s="78" t="n">
        <x:f>C1345+D1345</x:f>
        <x:v>902638.8628260493</x:v>
      </x:c>
      <x:c r="F1345" s="78" t="n">
        <x:f>'Inputs'!$B$13*E1345+(1-'Inputs'!$B$13)/'Inputs'!$B$14*SUM(E1290:E1345)</x:f>
        <x:v>912856.5396884975</x:v>
      </x:c>
      <x:c r="G1345" s="78" t="n">
        <x:f>F1345*'Inputs'!$F$47</x:f>
        <x:v>319499.78889097413</x:v>
      </x:c>
      <x:c r="H1345" s="78" t="n">
        <x:f>U1344</x:f>
        <x:v>2015166.3660948381</x:v>
      </x:c>
      <x:c r="I1345" s="78" t="n">
        <x:f>V1344</x:f>
        <x:v>33678.82673485736</x:v>
      </x:c>
      <x:c r="J1345" s="79" t="n">
        <x:f>IF(H1345&gt;0,I1345/H1345,0)</x:f>
        <x:v>0.016712678070408188</x:v>
      </x:c>
      <x:c r="K1345" s="80" t="n">
        <x:f>(H1345*J1345+I1345)*'Inputs'!$D$47*(1+'Inputs'!$G$47)^(B1345/30)</x:f>
        <x:v>128875.79531890471</x:v>
      </x:c>
      <x:c r="L1345" s="80" t="n">
        <x:f>MAX(0,K1345*'Inputs'!$E$47)</x:f>
        <x:v>6443.789765945236</x:v>
      </x:c>
      <x:c r="M1345" s="80" t="n">
        <x:f>MAX(0,-K1345*'Inputs'!$E$47)</x:f>
        <x:v>0</x:v>
      </x:c>
      <x:c r="N1345" s="78" t="n">
        <x:f>H1345*(L1345*(1-'Inputs'!$B$15))/(I1345+L1345*(1-'Inputs'!$B$15))</x:f>
        <x:v>320919.6166858441</x:v>
      </x:c>
      <x:c r="O1345" s="78" t="n">
        <x:f>H1345-N1345</x:f>
        <x:v>1694246.749408994</x:v>
      </x:c>
      <x:c r="P1345" s="78" t="n">
        <x:f>I1345+L1345*(1-'Inputs'!$B$17)</x:f>
        <x:v>40096.685757277664</x:v>
      </x:c>
      <x:c r="Q1345" s="78" t="n">
        <x:f>IF(J1345&gt;0,M1345/J1345,0)</x:f>
        <x:v>0</x:v>
      </x:c>
      <x:c r="R1345" s="78" t="n">
        <x:f>IF(B1345='Inputs'!$H$47,'Inputs'!$B$27*'Inputs'!$I$47,0)</x:f>
        <x:v>0</x:v>
      </x:c>
      <x:c r="S1345" s="78" t="n">
        <x:f>Q1345+G1345+R1345</x:f>
        <x:v>319499.78889097413</x:v>
      </x:c>
      <x:c r="T1345" s="78" t="n">
        <x:f>P1345*(S1345*(1-'Inputs'!$B$15))/(O1345+S1345*(1-'Inputs'!$B$15))</x:f>
        <x:v>6308.1067823499625</x:v>
      </x:c>
      <x:c r="U1345" s="78" t="n">
        <x:f>O1345+S1345*(1-'Inputs'!$B$17)</x:f>
        <x:v>2012460.8248637873</x:v>
      </x:c>
      <x:c r="V1345" s="78" t="n">
        <x:f>P1345-T1345</x:f>
        <x:v>33788.5789749277</x:v>
      </x:c>
      <x:c r="W1345" s="79" t="n">
        <x:f>IF(U1345&gt;0,V1345/U1345,0)</x:f>
        <x:v>0.01678968283877758</x:v>
      </x:c>
      <x:c r="X1345" s="80" t="n">
        <x:f>W1345*('Inputs'!$B$6-AC1345)</x:f>
        <x:v>16723360.978604699</x:v>
      </x:c>
      <x:c r="Y1345" s="80" t="n">
        <x:f>2*V1345</x:f>
        <x:v>67577.1579498554</x:v>
      </x:c>
      <x:c r="Z1345" s="80" t="n">
        <x:f>K1345*'Inputs'!$B$16+(G1345+R1345)*J1345*'Inputs'!$B$16</x:f>
        <x:v>805.2929546052177</x:v>
      </x:c>
      <x:c r="AA1345" s="80" t="n">
        <x:f>K1345*(1+'Inputs'!$E$47)/2*'Inputs'!$B$17</x:f>
        <x:v>272.2728070117705</x:v>
      </x:c>
      <x:c r="AB1345" s="78" t="n">
        <x:f>(IF(J1345&gt;0,K1345*(1-'Inputs'!$E$47)/2/J1345,0)+G1345+R1345)*'Inputs'!$B$17</x:f>
        <x:v>16025.545224302261</x:v>
      </x:c>
      <x:c r="AC1345" s="78" t="n">
        <x:f>AC1344+AB1345</x:f>
        <x:v>3950155.628890287</x:v>
      </x:c>
      <x:c r="AD1345" s="80" t="n">
        <x:f>Z1345/(1+'Inputs'!$C$47)</x:f>
        <x:v>322.11718184208706</x:v>
      </x:c>
      <x:c r="AE1345" s="80" t="n">
        <x:f>Z1345-AD1345</x:f>
        <x:v>483.1757727631306</x:v>
      </x:c>
      <x:c r="AF1345" s="80" t="n">
        <x:f>D1345*W1345</x:f>
        <x:v>4546.506067441169</x:v>
      </x:c>
      <x:c r="AG1345" s="80" t="n">
        <x:f>C1345*W1345</x:f>
        <x:v>10608.51415736306</x:v>
      </x:c>
      <x:c r="AH1345" s="80" t="n">
        <x:f>2*'Inputs'!$B$8*'Inputs'!$C$47</x:f>
        <x:v>7500</x:v>
      </x:c>
      <x:c r="AI1345" s="81" t="n">
        <x:f>IF(AH1345&gt;0,(AE1345+AF1345)/AH1345*365,0)</x:f>
        <x:v>244.77784955660923</x:v>
      </x:c>
      <x:c r="AJ1345" s="81" t="n">
        <x:f>IF('Inputs'!$B$47&gt;0,AG1345/('Inputs'!$B$19*'Inputs'!$B$47)*365,0)</x:f>
        <x:v>387.2107667437517</x:v>
      </x:c>
      <x:c r="AK1345" s="81" t="n">
        <x:f>W1345/MAX($W$1099:W1345)-1</x:f>
        <x:v>-0.24232862230051078</x:v>
      </x:c>
      <x:c r="AL1345" s="83" t="n">
        <x:f>'Inputs'!$B$47</x:f>
        <x:v>1</x:v>
      </x:c>
      <x:c r="AM1345" s="83" t="n">
        <x:f>'Inputs'!$C$47</x:f>
        <x:v>1.5</x:v>
      </x:c>
      <x:c r="AN1345" s="83" t="n">
        <x:f>'Inputs'!$D$47</x:f>
        <x:v>1.5</x:v>
      </x:c>
      <x:c r="AO1345" s="81" t="n">
        <x:f>'Inputs'!$E$47</x:f>
        <x:v>0.05</x:v>
      </x:c>
    </x:row>
    <x:row r="1346">
      <x:c r="A1346" s="59" t="str">
        <x:v>Growth</x:v>
      </x:c>
      <x:c r="B1346" s="59" t="n">
        <x:v>248</x:v>
      </x:c>
      <x:c r="C1346" s="78" t="n">
        <x:f>(('Inputs'!$B$29*(3*248*'Inputs'!$B$12-248^2)/(2*'Inputs'!$B$12^2))-('Inputs'!$B$29*(3*247*'Inputs'!$B$12-247^2)/(2*'Inputs'!$B$12^2)))*'Inputs'!$B$47</x:f>
        <x:v>631522.096078068</x:v>
      </x:c>
      <x:c r="D1346" s="78" t="n">
        <x:f>IF('Inputs'!$C$47&gt;0,('Inputs'!$B$30*(3*248*'Inputs'!$B$12-248^2)/(2*'Inputs'!$B$12^2))-('Inputs'!$B$30*(3*247*'Inputs'!$B$12-247^2)/(2*'Inputs'!$B$12^2)),0)</x:f>
        <x:v>270652.3268906027</x:v>
      </x:c>
      <x:c r="E1346" s="78" t="n">
        <x:f>C1346+D1346</x:f>
        <x:v>902174.4229686707</x:v>
      </x:c>
      <x:c r="F1346" s="78" t="n">
        <x:f>'Inputs'!$B$13*E1346+(1-'Inputs'!$B$13)/'Inputs'!$B$14*SUM(E1291:E1346)</x:f>
        <x:v>912392.0998311146</x:v>
      </x:c>
      <x:c r="G1346" s="78" t="n">
        <x:f>F1346*'Inputs'!$F$47</x:f>
        <x:v>319337.2349408901</x:v>
      </x:c>
      <x:c r="H1346" s="78" t="n">
        <x:f>U1345</x:f>
        <x:v>2012460.8248637873</x:v>
      </x:c>
      <x:c r="I1346" s="78" t="n">
        <x:f>V1345</x:f>
        <x:v>33788.5789749277</x:v>
      </x:c>
      <x:c r="J1346" s="79" t="n">
        <x:f>IF(H1346&gt;0,I1346/H1346,0)</x:f>
        <x:v>0.01678968283877758</x:v>
      </x:c>
      <x:c r="K1346" s="80" t="n">
        <x:f>(H1346*J1346+I1346)*'Inputs'!$D$47*(1+'Inputs'!$G$47)^(B1346/30)</x:f>
        <x:v>129423.23158961133</x:v>
      </x:c>
      <x:c r="L1346" s="80" t="n">
        <x:f>MAX(0,K1346*'Inputs'!$E$47)</x:f>
        <x:v>6471.161579480567</x:v>
      </x:c>
      <x:c r="M1346" s="80" t="n">
        <x:f>MAX(0,-K1346*'Inputs'!$E$47)</x:f>
        <x:v>0</x:v>
      </x:c>
      <x:c r="N1346" s="78" t="n">
        <x:f>H1346*(L1346*(1-'Inputs'!$B$15))/(I1346+L1346*(1-'Inputs'!$B$15))</x:f>
        <x:v>320754.3300455791</x:v>
      </x:c>
      <x:c r="O1346" s="78" t="n">
        <x:f>H1346-N1346</x:f>
        <x:v>1691706.4948182083</x:v>
      </x:c>
      <x:c r="P1346" s="78" t="n">
        <x:f>I1346+L1346*(1-'Inputs'!$B$17)</x:f>
        <x:v>40233.69966274034</x:v>
      </x:c>
      <x:c r="Q1346" s="78" t="n">
        <x:f>IF(J1346&gt;0,M1346/J1346,0)</x:f>
        <x:v>0</x:v>
      </x:c>
      <x:c r="R1346" s="78" t="n">
        <x:f>IF(B1346='Inputs'!$H$47,'Inputs'!$B$27*'Inputs'!$I$47,0)</x:f>
        <x:v>0</x:v>
      </x:c>
      <x:c r="S1346" s="78" t="n">
        <x:f>Q1346+G1346+R1346</x:f>
        <x:v>319337.2349408901</x:v>
      </x:c>
      <x:c r="T1346" s="78" t="n">
        <x:f>P1346*(S1346*(1-'Inputs'!$B$15))/(O1346+S1346*(1-'Inputs'!$B$15))</x:f>
        <x:v>6334.952787086086</x:v>
      </x:c>
      <x:c r="U1346" s="78" t="n">
        <x:f>O1346+S1346*(1-'Inputs'!$B$17)</x:f>
        <x:v>2009758.6704635615</x:v>
      </x:c>
      <x:c r="V1346" s="78" t="n">
        <x:f>P1346-T1346</x:f>
        <x:v>33898.74687565426</x:v>
      </x:c>
      <x:c r="W1346" s="79" t="n">
        <x:f>IF(U1346&gt;0,V1346/U1346,0)</x:f>
        <x:v>0.01686707333265806</x:v>
      </x:c>
      <x:c r="X1346" s="80" t="n">
        <x:f>W1346*('Inputs'!$B$6-AC1346)</x:f>
        <x:v>16800175.564015605</x:v>
      </x:c>
      <x:c r="Y1346" s="80" t="n">
        <x:f>2*V1346</x:f>
        <x:v>67797.49375130852</x:v>
      </x:c>
      <x:c r="Z1346" s="80" t="n">
        <x:f>K1346*'Inputs'!$B$16+(G1346+R1346)*J1346*'Inputs'!$B$16</x:f>
        <x:v>808.7088148972864</x:v>
      </x:c>
      <x:c r="AA1346" s="80" t="n">
        <x:f>K1346*(1+'Inputs'!$E$47)/2*'Inputs'!$B$17</x:f>
        <x:v>273.4293625132634</x:v>
      </x:c>
      <x:c r="AB1346" s="78" t="n">
        <x:f>(IF(J1346&gt;0,K1346*(1-'Inputs'!$E$47)/2/J1346,0)+G1346+R1346)*'Inputs'!$B$17</x:f>
        <x:v>16019.612248137128</x:v>
      </x:c>
      <x:c r="AC1346" s="78" t="n">
        <x:f>AC1345+AB1346</x:f>
        <x:v>3966175.2411384243</x:v>
      </x:c>
      <x:c r="AD1346" s="80" t="n">
        <x:f>Z1346/(1+'Inputs'!$C$47)</x:f>
        <x:v>323.4835259589146</x:v>
      </x:c>
      <x:c r="AE1346" s="80" t="n">
        <x:f>Z1346-AD1346</x:f>
        <x:v>485.2252889383718</x:v>
      </x:c>
      <x:c r="AF1346" s="80" t="n">
        <x:f>D1346*W1346</x:f>
        <x:v>4565.112645318337</x:v>
      </x:c>
      <x:c r="AG1346" s="80" t="n">
        <x:f>C1346*W1346</x:f>
        <x:v>10651.929505742703</x:v>
      </x:c>
      <x:c r="AH1346" s="80" t="n">
        <x:f>2*'Inputs'!$B$8*'Inputs'!$C$47</x:f>
        <x:v>7500</x:v>
      </x:c>
      <x:c r="AI1346" s="81" t="n">
        <x:f>IF(AH1346&gt;0,(AE1346+AF1346)/AH1346*365,0)</x:f>
        <x:v>245.78311280049314</x:v>
      </x:c>
      <x:c r="AJ1346" s="81" t="n">
        <x:f>IF('Inputs'!$B$47&gt;0,AG1346/('Inputs'!$B$19*'Inputs'!$B$47)*365,0)</x:f>
        <x:v>388.7954269596087</x:v>
      </x:c>
      <x:c r="AK1346" s="81" t="n">
        <x:f>W1346/MAX($W$1099:W1346)-1</x:f>
        <x:v>-0.23883620599447775</x:v>
      </x:c>
      <x:c r="AL1346" s="83" t="n">
        <x:f>'Inputs'!$B$47</x:f>
        <x:v>1</x:v>
      </x:c>
      <x:c r="AM1346" s="83" t="n">
        <x:f>'Inputs'!$C$47</x:f>
        <x:v>1.5</x:v>
      </x:c>
      <x:c r="AN1346" s="83" t="n">
        <x:f>'Inputs'!$D$47</x:f>
        <x:v>1.5</x:v>
      </x:c>
      <x:c r="AO1346" s="81" t="n">
        <x:f>'Inputs'!$E$47</x:f>
        <x:v>0.05</x:v>
      </x:c>
    </x:row>
    <x:row r="1347">
      <x:c r="A1347" s="59" t="str">
        <x:v>Growth</x:v>
      </x:c>
      <x:c r="B1347" s="59" t="n">
        <x:v>249</x:v>
      </x:c>
      <x:c r="C1347" s="78" t="n">
        <x:f>(('Inputs'!$B$29*(3*249*'Inputs'!$B$12-249^2)/(2*'Inputs'!$B$12^2))-('Inputs'!$B$29*(3*248*'Inputs'!$B$12-248^2)/(2*'Inputs'!$B$12^2)))*'Inputs'!$B$47</x:f>
        <x:v>631196.9881778955</x:v>
      </x:c>
      <x:c r="D1347" s="78" t="n">
        <x:f>IF('Inputs'!$C$47&gt;0,('Inputs'!$B$30*(3*249*'Inputs'!$B$12-249^2)/(2*'Inputs'!$B$12^2))-('Inputs'!$B$30*(3*248*'Inputs'!$B$12-248^2)/(2*'Inputs'!$B$12^2)),0)</x:f>
        <x:v>270512.9949333817</x:v>
      </x:c>
      <x:c r="E1347" s="78" t="n">
        <x:f>C1347+D1347</x:f>
        <x:v>901709.9831112772</x:v>
      </x:c>
      <x:c r="F1347" s="78" t="n">
        <x:f>'Inputs'!$B$13*E1347+(1-'Inputs'!$B$13)/'Inputs'!$B$14*SUM(E1292:E1347)</x:f>
        <x:v>911927.6599737286</x:v>
      </x:c>
      <x:c r="G1347" s="78" t="n">
        <x:f>F1347*'Inputs'!$F$47</x:f>
        <x:v>319174.680990805</x:v>
      </x:c>
      <x:c r="H1347" s="78" t="n">
        <x:f>U1346</x:f>
        <x:v>2009758.6704635615</x:v>
      </x:c>
      <x:c r="I1347" s="78" t="n">
        <x:f>V1346</x:f>
        <x:v>33898.74687565426</x:v>
      </x:c>
      <x:c r="J1347" s="79" t="n">
        <x:f>IF(H1347&gt;0,I1347/H1347,0)</x:f>
        <x:v>0.01686707333265806</x:v>
      </x:c>
      <x:c r="K1347" s="80" t="n">
        <x:f>(H1347*J1347+I1347)*'Inputs'!$D$47*(1+'Inputs'!$G$47)^(B1347/30)</x:f>
        <x:v>129973.21563569395</x:v>
      </x:c>
      <x:c r="L1347" s="80" t="n">
        <x:f>MAX(0,K1347*'Inputs'!$E$47)</x:f>
        <x:v>6498.660781784698</x:v>
      </x:c>
      <x:c r="M1347" s="80" t="n">
        <x:f>MAX(0,-K1347*'Inputs'!$E$47)</x:f>
        <x:v>0</x:v>
      </x:c>
      <x:c r="N1347" s="78" t="n">
        <x:f>H1347*(L1347*(1-'Inputs'!$B$15))/(I1347+L1347*(1-'Inputs'!$B$15))</x:f>
        <x:v>320589.0476586909</x:v>
      </x:c>
      <x:c r="O1347" s="78" t="n">
        <x:f>H1347-N1347</x:f>
        <x:v>1689169.6228048706</x:v>
      </x:c>
      <x:c r="P1347" s="78" t="n">
        <x:f>I1347+L1347*(1-'Inputs'!$B$17)</x:f>
        <x:v>40371.25610499717</x:v>
      </x:c>
      <x:c r="Q1347" s="78" t="n">
        <x:f>IF(J1347&gt;0,M1347/J1347,0)</x:f>
        <x:v>0</x:v>
      </x:c>
      <x:c r="R1347" s="78" t="n">
        <x:f>IF(B1347='Inputs'!$H$47,'Inputs'!$B$27*'Inputs'!$I$47,0)</x:f>
        <x:v>0</x:v>
      </x:c>
      <x:c r="S1347" s="78" t="n">
        <x:f>Q1347+G1347+R1347</x:f>
        <x:v>319174.680990805</x:v>
      </x:c>
      <x:c r="T1347" s="78" t="n">
        <x:f>P1347*(S1347*(1-'Inputs'!$B$15))/(O1347+S1347*(1-'Inputs'!$B$15))</x:f>
        <x:v>6361.92389261482</x:v>
      </x:c>
      <x:c r="U1347" s="78" t="n">
        <x:f>O1347+S1347*(1-'Inputs'!$B$17)</x:f>
        <x:v>2007059.898640783</x:v>
      </x:c>
      <x:c r="V1347" s="78" t="n">
        <x:f>P1347-T1347</x:f>
        <x:v>34009.33221238235</x:v>
      </x:c>
      <x:c r="W1347" s="79" t="n">
        <x:f>IF(U1347&gt;0,V1347/U1347,0)</x:f>
        <x:v>0.016944851638665135</x:v>
      </x:c>
      <x:c r="X1347" s="80" t="n">
        <x:f>W1347*('Inputs'!$B$6-AC1347)</x:f>
        <x:v>16877374.03821011</x:v>
      </x:c>
      <x:c r="Y1347" s="80" t="n">
        <x:f>2*V1347</x:f>
        <x:v>68018.6644247647</x:v>
      </x:c>
      <x:c r="Z1347" s="80" t="n">
        <x:f>K1347*'Inputs'!$B$16+(G1347+R1347)*J1347*'Inputs'!$B$16</x:f>
        <x:v>812.1405503153617</x:v>
      </x:c>
      <x:c r="AA1347" s="80" t="n">
        <x:f>K1347*(1+'Inputs'!$E$47)/2*'Inputs'!$B$17</x:f>
        <x:v>274.5913006387901</x:v>
      </x:c>
      <x:c r="AB1347" s="78" t="n">
        <x:f>(IF(J1347&gt;0,K1347*(1-'Inputs'!$E$47)/2/J1347,0)+G1347+R1347)*'Inputs'!$B$17</x:f>
        <x:v>16013.679362527104</x:v>
      </x:c>
      <x:c r="AC1347" s="78" t="n">
        <x:f>AC1346+AB1347</x:f>
        <x:v>3982188.9205009514</x:v>
      </x:c>
      <x:c r="AD1347" s="80" t="n">
        <x:f>Z1347/(1+'Inputs'!$C$47)</x:f>
        <x:v>324.85622012614465</x:v>
      </x:c>
      <x:c r="AE1347" s="80" t="n">
        <x:f>Z1347-AD1347</x:f>
        <x:v>487.28433018921703</x:v>
      </x:c>
      <x:c r="AF1347" s="80" t="n">
        <x:f>D1347*W1347</x:f>
        <x:v>4583.802565477125</x:v>
      </x:c>
      <x:c r="AG1347" s="80" t="n">
        <x:f>C1347*W1347</x:f>
        <x:v>10695.53931944671</x:v>
      </x:c>
      <x:c r="AH1347" s="80" t="n">
        <x:f>2*'Inputs'!$B$8*'Inputs'!$C$47</x:f>
        <x:v>7500</x:v>
      </x:c>
      <x:c r="AI1347" s="81" t="n">
        <x:f>IF(AH1347&gt;0,(AE1347+AF1347)/AH1347*365,0)</x:f>
        <x:v>246.79289558909534</x:v>
      </x:c>
      <x:c r="AJ1347" s="81" t="n">
        <x:f>IF('Inputs'!$B$47&gt;0,AG1347/('Inputs'!$B$19*'Inputs'!$B$47)*365,0)</x:f>
        <x:v>390.3871851598049</x:v>
      </x:c>
      <x:c r="AK1347" s="81" t="n">
        <x:f>W1347/MAX($W$1099:W1347)-1</x:f>
        <x:v>-0.23532628881299256</x:v>
      </x:c>
      <x:c r="AL1347" s="83" t="n">
        <x:f>'Inputs'!$B$47</x:f>
        <x:v>1</x:v>
      </x:c>
      <x:c r="AM1347" s="83" t="n">
        <x:f>'Inputs'!$C$47</x:f>
        <x:v>1.5</x:v>
      </x:c>
      <x:c r="AN1347" s="83" t="n">
        <x:f>'Inputs'!$D$47</x:f>
        <x:v>1.5</x:v>
      </x:c>
      <x:c r="AO1347" s="81" t="n">
        <x:f>'Inputs'!$E$47</x:f>
        <x:v>0.05</x:v>
      </x:c>
    </x:row>
    <x:row r="1348">
      <x:c r="A1348" s="59" t="str">
        <x:v>Growth</x:v>
      </x:c>
      <x:c r="B1348" s="59" t="n">
        <x:v>250</x:v>
      </x:c>
      <x:c r="C1348" s="78" t="n">
        <x:f>(('Inputs'!$B$29*(3*250*'Inputs'!$B$12-250^2)/(2*'Inputs'!$B$12^2))-('Inputs'!$B$29*(3*249*'Inputs'!$B$12-249^2)/(2*'Inputs'!$B$12^2)))*'Inputs'!$B$47</x:f>
        <x:v>630871.8802777231</x:v>
      </x:c>
      <x:c r="D1348" s="78" t="n">
        <x:f>IF('Inputs'!$C$47&gt;0,('Inputs'!$B$30*(3*250*'Inputs'!$B$12-250^2)/(2*'Inputs'!$B$12^2))-('Inputs'!$B$30*(3*249*'Inputs'!$B$12-249^2)/(2*'Inputs'!$B$12^2)),0)</x:f>
        <x:v>270373.66297617555</x:v>
      </x:c>
      <x:c r="E1348" s="78" t="n">
        <x:f>C1348+D1348</x:f>
        <x:v>901245.5432538986</x:v>
      </x:c>
      <x:c r="F1348" s="78" t="n">
        <x:f>'Inputs'!$B$13*E1348+(1-'Inputs'!$B$13)/'Inputs'!$B$14*SUM(E1293:E1348)</x:f>
        <x:v>911463.2201163457</x:v>
      </x:c>
      <x:c r="G1348" s="78" t="n">
        <x:f>F1348*'Inputs'!$F$47</x:f>
        <x:v>319012.12704072095</x:v>
      </x:c>
      <x:c r="H1348" s="78" t="n">
        <x:f>U1347</x:f>
        <x:v>2007059.898640783</x:v>
      </x:c>
      <x:c r="I1348" s="78" t="n">
        <x:f>V1347</x:f>
        <x:v>34009.33221238235</x:v>
      </x:c>
      <x:c r="J1348" s="79" t="n">
        <x:f>IF(H1348&gt;0,I1348/H1348,0)</x:f>
        <x:v>0.016944851638665135</x:v>
      </x:c>
      <x:c r="K1348" s="80" t="n">
        <x:f>(H1348*J1348+I1348)*'Inputs'!$D$47*(1+'Inputs'!$G$47)^(B1348/30)</x:f>
        <x:v>130525.76033297589</x:v>
      </x:c>
      <x:c r="L1348" s="80" t="n">
        <x:f>MAX(0,K1348*'Inputs'!$E$47)</x:f>
        <x:v>6526.288016648795</x:v>
      </x:c>
      <x:c r="M1348" s="80" t="n">
        <x:f>MAX(0,-K1348*'Inputs'!$E$47)</x:f>
        <x:v>0</x:v>
      </x:c>
      <x:c r="N1348" s="78" t="n">
        <x:f>H1348*(L1348*(1-'Inputs'!$B$15))/(I1348+L1348*(1-'Inputs'!$B$15))</x:f>
        <x:v>320423.76951997733</x:v>
      </x:c>
      <x:c r="O1348" s="78" t="n">
        <x:f>H1348-N1348</x:f>
        <x:v>1686636.1291208058</x:v>
      </x:c>
      <x:c r="P1348" s="78" t="n">
        <x:f>I1348+L1348*(1-'Inputs'!$B$17)</x:f>
        <x:v>40509.35750059393</x:v>
      </x:c>
      <x:c r="Q1348" s="78" t="n">
        <x:f>IF(J1348&gt;0,M1348/J1348,0)</x:f>
        <x:v>0</x:v>
      </x:c>
      <x:c r="R1348" s="78" t="n">
        <x:f>IF(B1348='Inputs'!$H$47,'Inputs'!$B$27*'Inputs'!$I$47,0)</x:f>
        <x:v>0</x:v>
      </x:c>
      <x:c r="S1348" s="78" t="n">
        <x:f>Q1348+G1348+R1348</x:f>
        <x:v>319012.12704072095</x:v>
      </x:c>
      <x:c r="T1348" s="78" t="n">
        <x:f>P1348*(S1348*(1-'Inputs'!$B$15))/(O1348+S1348*(1-'Inputs'!$B$15))</x:f>
        <x:v>6389.020731761724</x:v>
      </x:c>
      <x:c r="U1348" s="78" t="n">
        <x:f>O1348+S1348*(1-'Inputs'!$B$17)</x:f>
        <x:v>2004364.5051472783</x:v>
      </x:c>
      <x:c r="V1348" s="78" t="n">
        <x:f>P1348-T1348</x:f>
        <x:v>34120.3367688322</x:v>
      </x:c>
      <x:c r="W1348" s="79" t="n">
        <x:f>IF(U1348&gt;0,V1348/U1348,0)</x:f>
        <x:v>0.017023019855525272</x:v>
      </x:c>
      <x:c r="X1348" s="80" t="n">
        <x:f>W1348*('Inputs'!$B$6-AC1348)</x:f>
        <x:v>16954958.474275496</x:v>
      </x:c>
      <x:c r="Y1348" s="80" t="n">
        <x:f>2*V1348</x:f>
        <x:v>68240.6735376644</x:v>
      </x:c>
      <x:c r="Z1348" s="80" t="n">
        <x:f>K1348*'Inputs'!$B$16+(G1348+R1348)*J1348*'Inputs'!$B$16</x:f>
        <x:v>815.5882409796955</x:v>
      </x:c>
      <x:c r="AA1348" s="80" t="n">
        <x:f>K1348*(1+'Inputs'!$E$47)/2*'Inputs'!$B$17</x:f>
        <x:v>275.7586485907941</x:v>
      </x:c>
      <x:c r="AB1348" s="78" t="n">
        <x:f>(IF(J1348&gt;0,K1348*(1-'Inputs'!$E$47)/2/J1348,0)+G1348+R1348)*'Inputs'!$B$17</x:f>
        <x:v>16007.74656604597</x:v>
      </x:c>
      <x:c r="AC1348" s="78" t="n">
        <x:f>AC1347+AB1348</x:f>
        <x:v>3998196.6670669974</x:v>
      </x:c>
      <x:c r="AD1348" s="80" t="n">
        <x:f>Z1348/(1+'Inputs'!$C$47)</x:f>
        <x:v>326.2352963918782</x:v>
      </x:c>
      <x:c r="AE1348" s="80" t="n">
        <x:f>Z1348-AD1348</x:f>
        <x:v>489.35294458781726</x:v>
      </x:c>
      <x:c r="AF1348" s="80" t="n">
        <x:f>D1348*W1348</x:f>
        <x:v>4602.576233254535</x:v>
      </x:c>
      <x:c r="AG1348" s="80" t="n">
        <x:f>C1348*W1348</x:f>
        <x:v>10739.344544260242</x:v>
      </x:c>
      <x:c r="AH1348" s="80" t="n">
        <x:f>2*'Inputs'!$B$8*'Inputs'!$C$47</x:f>
        <x:v>7500</x:v>
      </x:c>
      <x:c r="AI1348" s="81" t="n">
        <x:f>IF(AH1348&gt;0,(AE1348+AF1348)/AH1348*365,0)</x:f>
        <x:v>247.8072199883278</x:v>
      </x:c>
      <x:c r="AJ1348" s="81" t="n">
        <x:f>IF('Inputs'!$B$47&gt;0,AG1348/('Inputs'!$B$19*'Inputs'!$B$47)*365,0)</x:f>
        <x:v>391.9860758654989</x:v>
      </x:c>
      <x:c r="AK1348" s="81" t="n">
        <x:f>W1348/MAX($W$1099:W1348)-1</x:f>
        <x:v>-0.23179877604640575</x:v>
      </x:c>
      <x:c r="AL1348" s="83" t="n">
        <x:f>'Inputs'!$B$47</x:f>
        <x:v>1</x:v>
      </x:c>
      <x:c r="AM1348" s="83" t="n">
        <x:f>'Inputs'!$C$47</x:f>
        <x:v>1.5</x:v>
      </x:c>
      <x:c r="AN1348" s="83" t="n">
        <x:f>'Inputs'!$D$47</x:f>
        <x:v>1.5</x:v>
      </x:c>
      <x:c r="AO1348" s="81" t="n">
        <x:f>'Inputs'!$E$47</x:f>
        <x:v>0.05</x:v>
      </x:c>
    </x:row>
    <x:row r="1349">
      <x:c r="A1349" s="59" t="str">
        <x:v>Growth</x:v>
      </x:c>
      <x:c r="B1349" s="59" t="n">
        <x:v>251</x:v>
      </x:c>
      <x:c r="C1349" s="78" t="n">
        <x:f>(('Inputs'!$B$29*(3*251*'Inputs'!$B$12-251^2)/(2*'Inputs'!$B$12^2))-('Inputs'!$B$29*(3*250*'Inputs'!$B$12-250^2)/(2*'Inputs'!$B$12^2)))*'Inputs'!$B$47</x:f>
        <x:v>630546.7723775506</x:v>
      </x:c>
      <x:c r="D1349" s="78" t="n">
        <x:f>IF('Inputs'!$C$47&gt;0,('Inputs'!$B$30*(3*251*'Inputs'!$B$12-251^2)/(2*'Inputs'!$B$12^2))-('Inputs'!$B$30*(3*250*'Inputs'!$B$12-250^2)/(2*'Inputs'!$B$12^2)),0)</x:f>
        <x:v>270234.3310189545</x:v>
      </x:c>
      <x:c r="E1349" s="78" t="n">
        <x:f>C1349+D1349</x:f>
        <x:v>900781.1033965051</x:v>
      </x:c>
      <x:c r="F1349" s="78" t="n">
        <x:f>'Inputs'!$B$13*E1349+(1-'Inputs'!$B$13)/'Inputs'!$B$14*SUM(E1294:E1349)</x:f>
        <x:v>910998.7802589597</x:v>
      </x:c>
      <x:c r="G1349" s="78" t="n">
        <x:f>F1349*'Inputs'!$F$47</x:f>
        <x:v>318849.5730906359</x:v>
      </x:c>
      <x:c r="H1349" s="78" t="n">
        <x:f>U1348</x:f>
        <x:v>2004364.5051472783</x:v>
      </x:c>
      <x:c r="I1349" s="78" t="n">
        <x:f>V1348</x:f>
        <x:v>34120.3367688322</x:v>
      </x:c>
      <x:c r="J1349" s="79" t="n">
        <x:f>IF(H1349&gt;0,I1349/H1349,0)</x:f>
        <x:v>0.017023019855525272</x:v>
      </x:c>
      <x:c r="K1349" s="80" t="n">
        <x:f>(H1349*J1349+I1349)*'Inputs'!$D$47*(1+'Inputs'!$G$47)^(B1349/30)</x:f>
        <x:v>131080.87862734613</x:v>
      </x:c>
      <x:c r="L1349" s="80" t="n">
        <x:f>MAX(0,K1349*'Inputs'!$E$47)</x:f>
        <x:v>6554.043931367307</x:v>
      </x:c>
      <x:c r="M1349" s="80" t="n">
        <x:f>MAX(0,-K1349*'Inputs'!$E$47)</x:f>
        <x:v>0</x:v>
      </x:c>
      <x:c r="N1349" s="78" t="n">
        <x:f>H1349*(L1349*(1-'Inputs'!$B$15))/(I1349+L1349*(1-'Inputs'!$B$15))</x:f>
        <x:v>320258.49562424247</x:v>
      </x:c>
      <x:c r="O1349" s="78" t="n">
        <x:f>H1349-N1349</x:f>
        <x:v>1684106.009523036</x:v>
      </x:c>
      <x:c r="P1349" s="78" t="n">
        <x:f>I1349+L1349*(1-'Inputs'!$B$17)</x:f>
        <x:v>40648.00627794048</x:v>
      </x:c>
      <x:c r="Q1349" s="78" t="n">
        <x:f>IF(J1349&gt;0,M1349/J1349,0)</x:f>
        <x:v>0</x:v>
      </x:c>
      <x:c r="R1349" s="78" t="n">
        <x:f>IF(B1349='Inputs'!$H$47,'Inputs'!$B$27*'Inputs'!$I$47,0)</x:f>
        <x:v>0</x:v>
      </x:c>
      <x:c r="S1349" s="78" t="n">
        <x:f>Q1349+G1349+R1349</x:f>
        <x:v>318849.5730906359</x:v>
      </x:c>
      <x:c r="T1349" s="78" t="n">
        <x:f>P1349*(S1349*(1-'Inputs'!$B$15))/(O1349+S1349*(1-'Inputs'!$B$15))</x:f>
        <x:v>6416.243940798466</x:v>
      </x:c>
      <x:c r="U1349" s="78" t="n">
        <x:f>O1349+S1349*(1-'Inputs'!$B$17)</x:f>
        <x:v>2001672.4857400677</x:v>
      </x:c>
      <x:c r="V1349" s="78" t="n">
        <x:f>P1349-T1349</x:f>
        <x:v>34231.76233714202</x:v>
      </x:c>
      <x:c r="W1349" s="79" t="n">
        <x:f>IF(U1349&gt;0,V1349/U1349,0)</x:f>
        <x:v>0.017101580094150963</x:v>
      </x:c>
      <x:c r="X1349" s="80" t="n">
        <x:f>W1349*('Inputs'!$B$6-AC1349)</x:f>
        <x:v>17032930.957315616</x:v>
      </x:c>
      <x:c r="Y1349" s="80" t="n">
        <x:f>2*V1349</x:f>
        <x:v>68463.52467428404</x:v>
      </x:c>
      <x:c r="Z1349" s="80" t="n">
        <x:f>K1349*'Inputs'!$B$16+(G1349+R1349)*J1349*'Inputs'!$B$16</x:f>
        <x:v>819.0519674459626</x:v>
      </x:c>
      <x:c r="AA1349" s="80" t="n">
        <x:f>K1349*(1+'Inputs'!$E$47)/2*'Inputs'!$B$17</x:f>
        <x:v>276.93143371974537</x:v>
      </x:c>
      <x:c r="AB1349" s="78" t="n">
        <x:f>(IF(J1349&gt;0,K1349*(1-'Inputs'!$E$47)/2/J1349,0)+G1349+R1349)*'Inputs'!$B$17</x:f>
        <x:v>16001.813857265388</x:v>
      </x:c>
      <x:c r="AC1349" s="78" t="n">
        <x:f>AC1348+AB1349</x:f>
        <x:v>4014198.4809242627</x:v>
      </x:c>
      <x:c r="AD1349" s="80" t="n">
        <x:f>Z1349/(1+'Inputs'!$C$47)</x:f>
        <x:v>327.62078697838507</x:v>
      </x:c>
      <x:c r="AE1349" s="80" t="n">
        <x:f>Z1349-AD1349</x:f>
        <x:v>491.4311804675776</x:v>
      </x:c>
      <x:c r="AF1349" s="80" t="n">
        <x:f>D1349*W1349</x:f>
        <x:v>4621.434056109954</x:v>
      </x:c>
      <x:c r="AG1349" s="80" t="n">
        <x:f>C1349*W1349</x:f>
        <x:v>10783.346130923057</x:v>
      </x:c>
      <x:c r="AH1349" s="80" t="n">
        <x:f>2*'Inputs'!$B$8*'Inputs'!$C$47</x:f>
        <x:v>7500</x:v>
      </x:c>
      <x:c r="AI1349" s="81" t="n">
        <x:f>IF(AH1349&gt;0,(AE1349+AF1349)/AH1349*365,0)</x:f>
        <x:v>248.82610818010656</x:v>
      </x:c>
      <x:c r="AJ1349" s="81" t="n">
        <x:f>IF('Inputs'!$B$47&gt;0,AG1349/('Inputs'!$B$19*'Inputs'!$B$47)*365,0)</x:f>
        <x:v>393.59213377869156</x:v>
      </x:c>
      <x:c r="AK1349" s="81" t="n">
        <x:f>W1349/MAX($W$1099:W1349)-1</x:f>
        <x:v>-0.22825357243514666</x:v>
      </x:c>
      <x:c r="AL1349" s="83" t="n">
        <x:f>'Inputs'!$B$47</x:f>
        <x:v>1</x:v>
      </x:c>
      <x:c r="AM1349" s="83" t="n">
        <x:f>'Inputs'!$C$47</x:f>
        <x:v>1.5</x:v>
      </x:c>
      <x:c r="AN1349" s="83" t="n">
        <x:f>'Inputs'!$D$47</x:f>
        <x:v>1.5</x:v>
      </x:c>
      <x:c r="AO1349" s="81" t="n">
        <x:f>'Inputs'!$E$47</x:f>
        <x:v>0.05</x:v>
      </x:c>
    </x:row>
    <x:row r="1350">
      <x:c r="A1350" s="59" t="str">
        <x:v>Growth</x:v>
      </x:c>
      <x:c r="B1350" s="59" t="n">
        <x:v>252</x:v>
      </x:c>
      <x:c r="C1350" s="78" t="n">
        <x:f>(('Inputs'!$B$29*(3*252*'Inputs'!$B$12-252^2)/(2*'Inputs'!$B$12^2))-('Inputs'!$B$29*(3*251*'Inputs'!$B$12-251^2)/(2*'Inputs'!$B$12^2)))*'Inputs'!$B$47</x:f>
        <x:v>630221.6644773781</x:v>
      </x:c>
      <x:c r="D1350" s="78" t="n">
        <x:f>IF('Inputs'!$C$47&gt;0,('Inputs'!$B$30*(3*252*'Inputs'!$B$12-252^2)/(2*'Inputs'!$B$12^2))-('Inputs'!$B$30*(3*251*'Inputs'!$B$12-251^2)/(2*'Inputs'!$B$12^2)),0)</x:f>
        <x:v>270094.9990617335</x:v>
      </x:c>
      <x:c r="E1350" s="78" t="n">
        <x:f>C1350+D1350</x:f>
        <x:v>900316.6635391116</x:v>
      </x:c>
      <x:c r="F1350" s="78" t="n">
        <x:f>'Inputs'!$B$13*E1350+(1-'Inputs'!$B$13)/'Inputs'!$B$14*SUM(E1295:E1350)</x:f>
        <x:v>910534.3404015736</x:v>
      </x:c>
      <x:c r="G1350" s="78" t="n">
        <x:f>F1350*'Inputs'!$F$47</x:f>
        <x:v>318687.01914055075</x:v>
      </x:c>
      <x:c r="H1350" s="78" t="n">
        <x:f>U1349</x:f>
        <x:v>2001672.4857400677</x:v>
      </x:c>
      <x:c r="I1350" s="78" t="n">
        <x:f>V1349</x:f>
        <x:v>34231.76233714202</x:v>
      </x:c>
      <x:c r="J1350" s="79" t="n">
        <x:f>IF(H1350&gt;0,I1350/H1350,0)</x:f>
        <x:v>0.017101580094150963</x:v>
      </x:c>
      <x:c r="K1350" s="80" t="n">
        <x:f>(H1350*J1350+I1350)*'Inputs'!$D$47*(1+'Inputs'!$G$47)^(B1350/30)</x:f>
        <x:v>131638.58353516762</x:v>
      </x:c>
      <x:c r="L1350" s="80" t="n">
        <x:f>MAX(0,K1350*'Inputs'!$E$47)</x:f>
        <x:v>6581.929176758382</x:v>
      </x:c>
      <x:c r="M1350" s="80" t="n">
        <x:f>MAX(0,-K1350*'Inputs'!$E$47)</x:f>
        <x:v>0</x:v>
      </x:c>
      <x:c r="N1350" s="78" t="n">
        <x:f>H1350*(L1350*(1-'Inputs'!$B$15))/(I1350+L1350*(1-'Inputs'!$B$15))</x:f>
        <x:v>320093.225966297</x:v>
      </x:c>
      <x:c r="O1350" s="78" t="n">
        <x:f>H1350-N1350</x:f>
        <x:v>1681579.2597737708</x:v>
      </x:c>
      <x:c r="P1350" s="78" t="n">
        <x:f>I1350+L1350*(1-'Inputs'!$B$17)</x:f>
        <x:v>40787.20487737421</x:v>
      </x:c>
      <x:c r="Q1350" s="78" t="n">
        <x:f>IF(J1350&gt;0,M1350/J1350,0)</x:f>
        <x:v>0</x:v>
      </x:c>
      <x:c r="R1350" s="78" t="n">
        <x:f>IF(B1350='Inputs'!$H$47,'Inputs'!$B$27*'Inputs'!$I$47,0)</x:f>
        <x:v>0</x:v>
      </x:c>
      <x:c r="S1350" s="78" t="n">
        <x:f>Q1350+G1350+R1350</x:f>
        <x:v>318687.01914055075</x:v>
      </x:c>
      <x:c r="T1350" s="78" t="n">
        <x:f>P1350*(S1350*(1-'Inputs'!$B$15))/(O1350+S1350*(1-'Inputs'!$B$15))</x:f>
        <x:v>6443.594159463031</x:v>
      </x:c>
      <x:c r="U1350" s="78" t="n">
        <x:f>O1350+S1350*(1-'Inputs'!$B$17)</x:f>
        <x:v>1998983.8361813617</x:v>
      </x:c>
      <x:c r="V1350" s="78" t="n">
        <x:f>P1350-T1350</x:f>
        <x:v>34343.610717911186</x:v>
      </x:c>
      <x:c r="W1350" s="79" t="n">
        <x:f>IF(U1350&gt;0,V1350/U1350,0)</x:f>
        <x:v>0.017180534477716156</x:v>
      </x:c>
      <x:c r="X1350" s="80" t="n">
        <x:f>W1350*('Inputs'!$B$6-AC1350)</x:f>
        <x:v>17111293.584525187</x:v>
      </x:c>
      <x:c r="Y1350" s="80" t="n">
        <x:f>2*V1350</x:f>
        <x:v>68687.22143582237</x:v>
      </x:c>
      <x:c r="Z1350" s="80" t="n">
        <x:f>K1350*'Inputs'!$B$16+(G1350+R1350)*J1350*'Inputs'!$B$16</x:f>
        <x:v>822.5318107077958</x:v>
      </x:c>
      <x:c r="AA1350" s="80" t="n">
        <x:f>K1350*(1+'Inputs'!$E$47)/2*'Inputs'!$B$17</x:f>
        <x:v>278.1096835250021</x:v>
      </x:c>
      <x:c r="AB1350" s="78" t="n">
        <x:f>(IF(J1350&gt;0,K1350*(1-'Inputs'!$E$47)/2/J1350,0)+G1350+R1350)*'Inputs'!$B$17</x:f>
        <x:v>15995.881234754941</x:v>
      </x:c>
      <x:c r="AC1350" s="78" t="n">
        <x:f>AC1349+AB1350</x:f>
        <x:v>4030194.3621590175</x:v>
      </x:c>
      <x:c r="AD1350" s="80" t="n">
        <x:f>Z1350/(1+'Inputs'!$C$47)</x:f>
        <x:v>329.0127242831183</x:v>
      </x:c>
      <x:c r="AE1350" s="80" t="n">
        <x:f>Z1350-AD1350</x:f>
        <x:v>493.5190864246775</x:v>
      </x:c>
      <x:c r="AF1350" s="80" t="n">
        <x:f>D1350*W1350</x:f>
        <x:v>4640.376443638825</x:v>
      </x:c>
      <x:c r="AG1350" s="80" t="n">
        <x:f>C1350*W1350</x:f>
        <x:v>10827.545035157258</x:v>
      </x:c>
      <x:c r="AH1350" s="80" t="n">
        <x:f>2*'Inputs'!$B$8*'Inputs'!$C$47</x:f>
        <x:v>7500</x:v>
      </x:c>
      <x:c r="AI1350" s="81" t="n">
        <x:f>IF(AH1350&gt;0,(AE1350+AF1350)/AH1350*365,0)</x:f>
        <x:v>249.84958246309046</x:v>
      </x:c>
      <x:c r="AJ1350" s="81" t="n">
        <x:f>IF('Inputs'!$B$47&gt;0,AG1350/('Inputs'!$B$19*'Inputs'!$B$47)*365,0)</x:f>
        <x:v>395.2053937832399</x:v>
      </x:c>
      <x:c r="AK1350" s="81" t="n">
        <x:f>W1350/MAX($W$1099:W1350)-1</x:f>
        <x:v>-0.22469058216631987</x:v>
      </x:c>
      <x:c r="AL1350" s="83" t="n">
        <x:f>'Inputs'!$B$47</x:f>
        <x:v>1</x:v>
      </x:c>
      <x:c r="AM1350" s="83" t="n">
        <x:f>'Inputs'!$C$47</x:f>
        <x:v>1.5</x:v>
      </x:c>
      <x:c r="AN1350" s="83" t="n">
        <x:f>'Inputs'!$D$47</x:f>
        <x:v>1.5</x:v>
      </x:c>
      <x:c r="AO1350" s="81" t="n">
        <x:f>'Inputs'!$E$47</x:f>
        <x:v>0.05</x:v>
      </x:c>
    </x:row>
    <x:row r="1351">
      <x:c r="A1351" s="59" t="str">
        <x:v>Growth</x:v>
      </x:c>
      <x:c r="B1351" s="59" t="n">
        <x:v>253</x:v>
      </x:c>
      <x:c r="C1351" s="78" t="n">
        <x:f>(('Inputs'!$B$29*(3*253*'Inputs'!$B$12-253^2)/(2*'Inputs'!$B$12^2))-('Inputs'!$B$29*(3*252*'Inputs'!$B$12-252^2)/(2*'Inputs'!$B$12^2)))*'Inputs'!$B$47</x:f>
        <x:v>629896.5565772355</x:v>
      </x:c>
      <x:c r="D1351" s="78" t="n">
        <x:f>IF('Inputs'!$C$47&gt;0,('Inputs'!$B$30*(3*253*'Inputs'!$B$12-253^2)/(2*'Inputs'!$B$12^2))-('Inputs'!$B$30*(3*252*'Inputs'!$B$12-252^2)/(2*'Inputs'!$B$12^2)),0)</x:f>
        <x:v>269955.66710452735</x:v>
      </x:c>
      <x:c r="E1351" s="78" t="n">
        <x:f>C1351+D1351</x:f>
        <x:v>899852.2236817628</x:v>
      </x:c>
      <x:c r="F1351" s="78" t="n">
        <x:f>'Inputs'!$B$13*E1351+(1-'Inputs'!$B$13)/'Inputs'!$B$14*SUM(E1296:E1351)</x:f>
        <x:v>910069.9005441966</x:v>
      </x:c>
      <x:c r="G1351" s="78" t="n">
        <x:f>F1351*'Inputs'!$F$47</x:f>
        <x:v>318524.46519046876</x:v>
      </x:c>
      <x:c r="H1351" s="78" t="n">
        <x:f>U1350</x:f>
        <x:v>1998983.8361813617</x:v>
      </x:c>
      <x:c r="I1351" s="78" t="n">
        <x:f>V1350</x:f>
        <x:v>34343.610717911186</x:v>
      </x:c>
      <x:c r="J1351" s="79" t="n">
        <x:f>IF(H1351&gt;0,I1351/H1351,0)</x:f>
        <x:v>0.017180534477716156</x:v>
      </x:c>
      <x:c r="K1351" s="80" t="n">
        <x:f>(H1351*J1351+I1351)*'Inputs'!$D$47*(1+'Inputs'!$G$47)^(B1351/30)</x:f>
        <x:v>132198.88814368678</x:v>
      </x:c>
      <x:c r="L1351" s="80" t="n">
        <x:f>MAX(0,K1351*'Inputs'!$E$47)</x:f>
        <x:v>6609.944407184339</x:v>
      </x:c>
      <x:c r="M1351" s="80" t="n">
        <x:f>MAX(0,-K1351*'Inputs'!$E$47)</x:f>
        <x:v>0</x:v>
      </x:c>
      <x:c r="N1351" s="78" t="n">
        <x:f>H1351*(L1351*(1-'Inputs'!$B$15))/(I1351+L1351*(1-'Inputs'!$B$15))</x:f>
        <x:v>319927.96054095763</x:v>
      </x:c>
      <x:c r="O1351" s="78" t="n">
        <x:f>H1351-N1351</x:f>
        <x:v>1679055.875640404</x:v>
      </x:c>
      <x:c r="P1351" s="78" t="n">
        <x:f>I1351+L1351*(1-'Inputs'!$B$17)</x:f>
        <x:v>40926.955751223555</x:v>
      </x:c>
      <x:c r="Q1351" s="78" t="n">
        <x:f>IF(J1351&gt;0,M1351/J1351,0)</x:f>
        <x:v>0</x:v>
      </x:c>
      <x:c r="R1351" s="78" t="n">
        <x:f>IF(B1351='Inputs'!$H$47,'Inputs'!$B$27*'Inputs'!$I$47,0)</x:f>
        <x:v>0</x:v>
      </x:c>
      <x:c r="S1351" s="78" t="n">
        <x:f>Q1351+G1351+R1351</x:f>
        <x:v>318524.46519046876</x:v>
      </x:c>
      <x:c r="T1351" s="78" t="n">
        <x:f>P1351*(S1351*(1-'Inputs'!$B$15))/(O1351+S1351*(1-'Inputs'!$B$15))</x:f>
        <x:v>6471.072030979875</x:v>
      </x:c>
      <x:c r="U1351" s="78" t="n">
        <x:f>O1351+S1351*(1-'Inputs'!$B$17)</x:f>
        <x:v>1996298.552238557</x:v>
      </x:c>
      <x:c r="V1351" s="78" t="n">
        <x:f>P1351-T1351</x:f>
        <x:v>34455.88372024368</x:v>
      </x:c>
      <x:c r="W1351" s="79" t="n">
        <x:f>IF(U1351&gt;0,V1351/U1351,0)</x:f>
        <x:v>0.017259885141732153</x:v>
      </x:c>
      <x:c r="X1351" s="80" t="n">
        <x:f>W1351*('Inputs'!$B$6-AC1351)</x:f>
        <x:v>17190048.4652645</x:v>
      </x:c>
      <x:c r="Y1351" s="80" t="n">
        <x:f>2*V1351</x:f>
        <x:v>68911.76744048735</x:v>
      </x:c>
      <x:c r="Z1351" s="80" t="n">
        <x:f>K1351*'Inputs'!$B$16+(G1351+R1351)*J1351*'Inputs'!$B$16</x:f>
        <x:v>826.0278521993264</x:v>
      </x:c>
      <x:c r="AA1351" s="80" t="n">
        <x:f>K1351*(1+'Inputs'!$E$47)/2*'Inputs'!$B$17</x:f>
        <x:v>279.29342565567634</x:v>
      </x:c>
      <x:c r="AB1351" s="78" t="n">
        <x:f>(IF(J1351&gt;0,K1351*(1-'Inputs'!$E$47)/2/J1351,0)+G1351+R1351)*'Inputs'!$B$17</x:f>
        <x:v>15989.948697082096</x:v>
      </x:c>
      <x:c r="AC1351" s="78" t="n">
        <x:f>AC1350+AB1351</x:f>
        <x:v>4046184.3108560997</x:v>
      </x:c>
      <x:c r="AD1351" s="80" t="n">
        <x:f>Z1351/(1+'Inputs'!$C$47)</x:f>
        <x:v>330.41114087973057</x:v>
      </x:c>
      <x:c r="AE1351" s="80" t="n">
        <x:f>Z1351-AD1351</x:f>
        <x:v>495.6167113195958</x:v>
      </x:c>
      <x:c r="AF1351" s="80" t="n">
        <x:f>D1351*W1351</x:f>
        <x:v>4659.403807583823</x:v>
      </x:c>
      <x:c r="AG1351" s="80" t="n">
        <x:f>C1351*W1351</x:f>
        <x:v>10871.942217695672</x:v>
      </x:c>
      <x:c r="AH1351" s="80" t="n">
        <x:f>2*'Inputs'!$B$8*'Inputs'!$C$47</x:f>
        <x:v>7500</x:v>
      </x:c>
      <x:c r="AI1351" s="81" t="n">
        <x:f>IF(AH1351&gt;0,(AE1351+AF1351)/AH1351*365,0)</x:f>
        <x:v>250.87766525329977</x:v>
      </x:c>
      <x:c r="AJ1351" s="81" t="n">
        <x:f>IF('Inputs'!$B$47&gt;0,AG1351/('Inputs'!$B$19*'Inputs'!$B$47)*365,0)</x:f>
        <x:v>396.825890945892</x:v>
      </x:c>
      <x:c r="AK1351" s="81" t="n">
        <x:f>W1351/MAX($W$1099:W1351)-1</x:f>
        <x:v>-0.22110970887027925</x:v>
      </x:c>
      <x:c r="AL1351" s="83" t="n">
        <x:f>'Inputs'!$B$47</x:f>
        <x:v>1</x:v>
      </x:c>
      <x:c r="AM1351" s="83" t="n">
        <x:f>'Inputs'!$C$47</x:f>
        <x:v>1.5</x:v>
      </x:c>
      <x:c r="AN1351" s="83" t="n">
        <x:f>'Inputs'!$D$47</x:f>
        <x:v>1.5</x:v>
      </x:c>
      <x:c r="AO1351" s="81" t="n">
        <x:f>'Inputs'!$E$47</x:f>
        <x:v>0.05</x:v>
      </x:c>
    </x:row>
    <x:row r="1352">
      <x:c r="A1352" s="59" t="str">
        <x:v>Growth</x:v>
      </x:c>
      <x:c r="B1352" s="59" t="n">
        <x:v>254</x:v>
      </x:c>
      <x:c r="C1352" s="78" t="n">
        <x:f>(('Inputs'!$B$29*(3*254*'Inputs'!$B$12-254^2)/(2*'Inputs'!$B$12^2))-('Inputs'!$B$29*(3*253*'Inputs'!$B$12-253^2)/(2*'Inputs'!$B$12^2)))*'Inputs'!$B$47</x:f>
        <x:v>629571.4486770332</x:v>
      </x:c>
      <x:c r="D1352" s="78" t="n">
        <x:f>IF('Inputs'!$C$47&gt;0,('Inputs'!$B$30*(3*254*'Inputs'!$B$12-254^2)/(2*'Inputs'!$B$12^2))-('Inputs'!$B$30*(3*253*'Inputs'!$B$12-253^2)/(2*'Inputs'!$B$12^2)),0)</x:f>
        <x:v>269816.3351473063</x:v>
      </x:c>
      <x:c r="E1352" s="78" t="n">
        <x:f>C1352+D1352</x:f>
        <x:v>899387.7838243395</x:v>
      </x:c>
      <x:c r="F1352" s="78" t="n">
        <x:f>'Inputs'!$B$13*E1352+(1-'Inputs'!$B$13)/'Inputs'!$B$14*SUM(E1297:E1352)</x:f>
        <x:v>909605.4606868045</x:v>
      </x:c>
      <x:c r="G1352" s="78" t="n">
        <x:f>F1352*'Inputs'!$F$47</x:f>
        <x:v>318361.91124038154</x:v>
      </x:c>
      <x:c r="H1352" s="78" t="n">
        <x:f>U1351</x:f>
        <x:v>1996298.552238557</x:v>
      </x:c>
      <x:c r="I1352" s="78" t="n">
        <x:f>V1351</x:f>
        <x:v>34455.88372024368</x:v>
      </x:c>
      <x:c r="J1352" s="79" t="n">
        <x:f>IF(H1352&gt;0,I1352/H1352,0)</x:f>
        <x:v>0.017259885141732153</x:v>
      </x:c>
      <x:c r="K1352" s="80" t="n">
        <x:f>(H1352*J1352+I1352)*'Inputs'!$D$47*(1+'Inputs'!$G$47)^(B1352/30)</x:f>
        <x:v>132761.80561144603</x:v>
      </x:c>
      <x:c r="L1352" s="80" t="n">
        <x:f>MAX(0,K1352*'Inputs'!$E$47)</x:f>
        <x:v>6638.090280572302</x:v>
      </x:c>
      <x:c r="M1352" s="80" t="n">
        <x:f>MAX(0,-K1352*'Inputs'!$E$47)</x:f>
        <x:v>0</x:v>
      </x:c>
      <x:c r="N1352" s="78" t="n">
        <x:f>H1352*(L1352*(1-'Inputs'!$B$15))/(I1352+L1352*(1-'Inputs'!$B$15))</x:f>
        <x:v>319762.69934304815</x:v>
      </x:c>
      <x:c r="O1352" s="78" t="n">
        <x:f>H1352-N1352</x:f>
        <x:v>1676535.852895509</x:v>
      </x:c>
      <x:c r="P1352" s="78" t="n">
        <x:f>I1352+L1352*(1-'Inputs'!$B$17)</x:f>
        <x:v>41067.26136387203</x:v>
      </x:c>
      <x:c r="Q1352" s="78" t="n">
        <x:f>IF(J1352&gt;0,M1352/J1352,0)</x:f>
        <x:v>0</x:v>
      </x:c>
      <x:c r="R1352" s="78" t="n">
        <x:f>IF(B1352='Inputs'!$H$47,'Inputs'!$B$27*'Inputs'!$I$47,0)</x:f>
        <x:v>0</x:v>
      </x:c>
      <x:c r="S1352" s="78" t="n">
        <x:f>Q1352+G1352+R1352</x:f>
        <x:v>318361.91124038154</x:v>
      </x:c>
      <x:c r="T1352" s="78" t="n">
        <x:f>P1352*(S1352*(1-'Inputs'!$B$15))/(O1352+S1352*(1-'Inputs'!$B$15))</x:f>
        <x:v>6498.678202079967</x:v>
      </x:c>
      <x:c r="U1352" s="78" t="n">
        <x:f>O1352+S1352*(1-'Inputs'!$B$17)</x:f>
        <x:v>1993616.629684219</x:v>
      </x:c>
      <x:c r="V1352" s="78" t="n">
        <x:f>P1352-T1352</x:f>
        <x:v>34568.58316179206</x:v>
      </x:c>
      <x:c r="W1352" s="79" t="n">
        <x:f>IF(U1352&gt;0,V1352/U1352,0)</x:f>
        <x:v>0.017339634234124338</x:v>
      </x:c>
      <x:c r="X1352" s="80" t="n">
        <x:f>W1352*('Inputs'!$B$6-AC1352)</x:f>
        <x:v>17269197.721134998</x:v>
      </x:c>
      <x:c r="Y1352" s="80" t="n">
        <x:f>2*V1352</x:f>
        <x:v>69137.16632358413</x:v>
      </x:c>
      <x:c r="Z1352" s="80" t="n">
        <x:f>K1352*'Inputs'!$B$16+(G1352+R1352)*J1352*'Inputs'!$B$16</x:f>
        <x:v>829.540173797744</x:v>
      </x:c>
      <x:c r="AA1352" s="80" t="n">
        <x:f>K1352*(1+'Inputs'!$E$47)/2*'Inputs'!$B$17</x:f>
        <x:v>280.4826879115057</x:v>
      </x:c>
      <x:c r="AB1352" s="78" t="n">
        <x:f>(IF(J1352&gt;0,K1352*(1-'Inputs'!$E$47)/2/J1352,0)+G1352+R1352)*'Inputs'!$B$17</x:f>
        <x:v>15984.016242812211</x:v>
      </x:c>
      <x:c r="AC1352" s="78" t="n">
        <x:f>AC1351+AB1352</x:f>
        <x:v>4062168.327098912</x:v>
      </x:c>
      <x:c r="AD1352" s="80" t="n">
        <x:f>Z1352/(1+'Inputs'!$C$47)</x:f>
        <x:v>331.8160695190976</x:v>
      </x:c>
      <x:c r="AE1352" s="80" t="n">
        <x:f>Z1352-AD1352</x:f>
        <x:v>497.72410427864645</x:v>
      </x:c>
      <x:c r="AF1352" s="80" t="n">
        <x:f>D1352*W1352</x:f>
        <x:v>4678.516561846199</x:v>
      </x:c>
      <x:c r="AG1352" s="80" t="n">
        <x:f>C1352*W1352</x:f>
        <x:v>10916.538644307539</x:v>
      </x:c>
      <x:c r="AH1352" s="80" t="n">
        <x:f>2*'Inputs'!$B$8*'Inputs'!$C$47</x:f>
        <x:v>7500</x:v>
      </x:c>
      <x:c r="AI1352" s="81" t="n">
        <x:f>IF(AH1352&gt;0,(AE1352+AF1352)/AH1352*365,0)</x:f>
        <x:v>251.91037908474246</x:v>
      </x:c>
      <x:c r="AJ1352" s="81" t="n">
        <x:f>IF('Inputs'!$B$47&gt;0,AG1352/('Inputs'!$B$19*'Inputs'!$B$47)*365,0)</x:f>
        <x:v>398.45366051722516</x:v>
      </x:c>
      <x:c r="AK1352" s="81" t="n">
        <x:f>W1352/MAX($W$1099:W1352)-1</x:f>
        <x:v>-0.2175108556171662</x:v>
      </x:c>
      <x:c r="AL1352" s="83" t="n">
        <x:f>'Inputs'!$B$47</x:f>
        <x:v>1</x:v>
      </x:c>
      <x:c r="AM1352" s="83" t="n">
        <x:f>'Inputs'!$C$47</x:f>
        <x:v>1.5</x:v>
      </x:c>
      <x:c r="AN1352" s="83" t="n">
        <x:f>'Inputs'!$D$47</x:f>
        <x:v>1.5</x:v>
      </x:c>
      <x:c r="AO1352" s="81" t="n">
        <x:f>'Inputs'!$E$47</x:f>
        <x:v>0.05</x:v>
      </x:c>
    </x:row>
    <x:row r="1353">
      <x:c r="A1353" s="59" t="str">
        <x:v>Growth</x:v>
      </x:c>
      <x:c r="B1353" s="59" t="n">
        <x:v>255</x:v>
      </x:c>
      <x:c r="C1353" s="78" t="n">
        <x:f>(('Inputs'!$B$29*(3*255*'Inputs'!$B$12-255^2)/(2*'Inputs'!$B$12^2))-('Inputs'!$B$29*(3*254*'Inputs'!$B$12-254^2)/(2*'Inputs'!$B$12^2)))*'Inputs'!$B$47</x:f>
        <x:v>629246.3407768905</x:v>
      </x:c>
      <x:c r="D1353" s="78" t="n">
        <x:f>IF('Inputs'!$C$47&gt;0,('Inputs'!$B$30*(3*255*'Inputs'!$B$12-255^2)/(2*'Inputs'!$B$12^2))-('Inputs'!$B$30*(3*254*'Inputs'!$B$12-254^2)/(2*'Inputs'!$B$12^2)),0)</x:f>
        <x:v>269677.0031900853</x:v>
      </x:c>
      <x:c r="E1353" s="78" t="n">
        <x:f>C1353+D1353</x:f>
        <x:v>898923.3439669758</x:v>
      </x:c>
      <x:c r="F1353" s="78" t="n">
        <x:f>'Inputs'!$B$13*E1353+(1-'Inputs'!$B$13)/'Inputs'!$B$14*SUM(E1298:E1353)</x:f>
        <x:v>909141.0208294244</x:v>
      </x:c>
      <x:c r="G1353" s="78" t="n">
        <x:f>F1353*'Inputs'!$F$47</x:f>
        <x:v>318199.3572902985</x:v>
      </x:c>
      <x:c r="H1353" s="78" t="n">
        <x:f>U1352</x:f>
        <x:v>1993616.629684219</x:v>
      </x:c>
      <x:c r="I1353" s="78" t="n">
        <x:f>V1352</x:f>
        <x:v>34568.58316179206</x:v>
      </x:c>
      <x:c r="J1353" s="79" t="n">
        <x:f>IF(H1353&gt;0,I1353/H1353,0)</x:f>
        <x:v>0.017339634234124338</x:v>
      </x:c>
      <x:c r="K1353" s="80" t="n">
        <x:f>(H1353*J1353+I1353)*'Inputs'!$D$47*(1+'Inputs'!$G$47)^(B1353/30)</x:f>
        <x:v>133327.3491686999</x:v>
      </x:c>
      <x:c r="L1353" s="80" t="n">
        <x:f>MAX(0,K1353*'Inputs'!$E$47)</x:f>
        <x:v>6666.367458434996</x:v>
      </x:c>
      <x:c r="M1353" s="80" t="n">
        <x:f>MAX(0,-K1353*'Inputs'!$E$47)</x:f>
        <x:v>0</x:v>
      </x:c>
      <x:c r="N1353" s="78" t="n">
        <x:f>H1353*(L1353*(1-'Inputs'!$B$15))/(I1353+L1353*(1-'Inputs'!$B$15))</x:f>
        <x:v>319597.44236739713</x:v>
      </x:c>
      <x:c r="O1353" s="78" t="n">
        <x:f>H1353-N1353</x:f>
        <x:v>1674019.187316822</x:v>
      </x:c>
      <x:c r="P1353" s="78" t="n">
        <x:f>I1353+L1353*(1-'Inputs'!$B$17)</x:f>
        <x:v>41208.12419182289</x:v>
      </x:c>
      <x:c r="Q1353" s="78" t="n">
        <x:f>IF(J1353&gt;0,M1353/J1353,0)</x:f>
        <x:v>0</x:v>
      </x:c>
      <x:c r="R1353" s="78" t="n">
        <x:f>IF(B1353='Inputs'!$H$47,'Inputs'!$B$27*'Inputs'!$I$47,0)</x:f>
        <x:v>0</x:v>
      </x:c>
      <x:c r="S1353" s="78" t="n">
        <x:f>Q1353+G1353+R1353</x:f>
        <x:v>318199.3572902985</x:v>
      </x:c>
      <x:c r="T1353" s="78" t="n">
        <x:f>P1353*(S1353*(1-'Inputs'!$B$15))/(O1353+S1353*(1-'Inputs'!$B$15))</x:f>
        <x:v>6526.413323021815</x:v>
      </x:c>
      <x:c r="U1353" s="78" t="n">
        <x:f>O1353+S1353*(1-'Inputs'!$B$17)</x:f>
        <x:v>1990938.064296093</x:v>
      </x:c>
      <x:c r="V1353" s="78" t="n">
        <x:f>P1353-T1353</x:f>
        <x:v>34681.71086880108</x:v>
      </x:c>
      <x:c r="W1353" s="79" t="n">
        <x:f>IF(U1353&gt;0,V1353/U1353,0)</x:f>
        <x:v>0.017419783915308778</x:v>
      </x:c>
      <x:c r="X1353" s="80" t="n">
        <x:f>W1353*('Inputs'!$B$6-AC1353)</x:f>
        <x:v>17348743.4860547</x:v>
      </x:c>
      <x:c r="Y1353" s="80" t="n">
        <x:f>2*V1353</x:f>
        <x:v>69363.42173760216</x:v>
      </x:c>
      <x:c r="Z1353" s="80" t="n">
        <x:f>K1353*'Inputs'!$B$16+(G1353+R1353)*J1353*'Inputs'!$B$16</x:f>
        <x:v>833.0688578258828</x:v>
      </x:c>
      <x:c r="AA1353" s="80" t="n">
        <x:f>K1353*(1+'Inputs'!$E$47)/2*'Inputs'!$B$17</x:f>
        <x:v>281.67749824373226</x:v>
      </x:c>
      <x:c r="AB1353" s="78" t="n">
        <x:f>(IF(J1353&gt;0,K1353*(1-'Inputs'!$E$47)/2/J1353,0)+G1353+R1353)*'Inputs'!$B$17</x:f>
        <x:v>15978.083870508519</x:v>
      </x:c>
      <x:c r="AC1353" s="78" t="n">
        <x:f>AC1352+AB1353</x:f>
        <x:v>4078146.410969421</x:v>
      </x:c>
      <x:c r="AD1353" s="80" t="n">
        <x:f>Z1353/(1+'Inputs'!$C$47)</x:f>
        <x:v>333.2275431303531</x:v>
      </x:c>
      <x:c r="AE1353" s="80" t="n">
        <x:f>Z1353-AD1353</x:f>
        <x:v>499.84131469552966</x:v>
      </x:c>
      <x:c r="AF1353" s="80" t="n">
        <x:f>D1353*W1353</x:f>
        <x:v>4697.715122499321</x:v>
      </x:c>
      <x:c r="AG1353" s="80" t="n">
        <x:f>C1353*W1353</x:f>
        <x:v>10961.335285832183</x:v>
      </x:c>
      <x:c r="AH1353" s="80" t="n">
        <x:f>2*'Inputs'!$B$8*'Inputs'!$C$47</x:f>
        <x:v>7500</x:v>
      </x:c>
      <x:c r="AI1353" s="81" t="n">
        <x:f>IF(AH1353&gt;0,(AE1353+AF1353)/AH1353*365,0)</x:f>
        <x:v>252.94774661014944</x:v>
      </x:c>
      <x:c r="AJ1353" s="81" t="n">
        <x:f>IF('Inputs'!$B$47&gt;0,AG1353/('Inputs'!$B$19*'Inputs'!$B$47)*365,0)</x:f>
        <x:v>400.08873793287466</x:v>
      </x:c>
      <x:c r="AK1353" s="81" t="n">
        <x:f>W1353/MAX($W$1099:W1353)-1</x:f>
        <x:v>-0.2138939249134525</x:v>
      </x:c>
      <x:c r="AL1353" s="83" t="n">
        <x:f>'Inputs'!$B$47</x:f>
        <x:v>1</x:v>
      </x:c>
      <x:c r="AM1353" s="83" t="n">
        <x:f>'Inputs'!$C$47</x:f>
        <x:v>1.5</x:v>
      </x:c>
      <x:c r="AN1353" s="83" t="n">
        <x:f>'Inputs'!$D$47</x:f>
        <x:v>1.5</x:v>
      </x:c>
      <x:c r="AO1353" s="81" t="n">
        <x:f>'Inputs'!$E$47</x:f>
        <x:v>0.05</x:v>
      </x:c>
    </x:row>
    <x:row r="1354">
      <x:c r="A1354" s="59" t="str">
        <x:v>Growth</x:v>
      </x:c>
      <x:c r="B1354" s="59" t="n">
        <x:v>256</x:v>
      </x:c>
      <x:c r="C1354" s="78" t="n">
        <x:f>(('Inputs'!$B$29*(3*256*'Inputs'!$B$12-256^2)/(2*'Inputs'!$B$12^2))-('Inputs'!$B$29*(3*255*'Inputs'!$B$12-255^2)/(2*'Inputs'!$B$12^2)))*'Inputs'!$B$47</x:f>
        <x:v>628921.232876718</x:v>
      </x:c>
      <x:c r="D1354" s="78" t="n">
        <x:f>IF('Inputs'!$C$47&gt;0,('Inputs'!$B$30*(3*256*'Inputs'!$B$12-256^2)/(2*'Inputs'!$B$12^2))-('Inputs'!$B$30*(3*255*'Inputs'!$B$12-255^2)/(2*'Inputs'!$B$12^2)),0)</x:f>
        <x:v>269537.67123287916</x:v>
      </x:c>
      <x:c r="E1354" s="78" t="n">
        <x:f>C1354+D1354</x:f>
        <x:v>898458.9041095972</x:v>
      </x:c>
      <x:c r="F1354" s="78" t="n">
        <x:f>'Inputs'!$B$13*E1354+(1-'Inputs'!$B$13)/'Inputs'!$B$14*SUM(E1299:E1354)</x:f>
        <x:v>908676.5809720415</x:v>
      </x:c>
      <x:c r="G1354" s="78" t="n">
        <x:f>F1354*'Inputs'!$F$47</x:f>
        <x:v>318036.8033402145</x:v>
      </x:c>
      <x:c r="H1354" s="78" t="n">
        <x:f>U1353</x:f>
        <x:v>1990938.064296093</x:v>
      </x:c>
      <x:c r="I1354" s="78" t="n">
        <x:f>V1353</x:f>
        <x:v>34681.71086880108</x:v>
      </x:c>
      <x:c r="J1354" s="79" t="n">
        <x:f>IF(H1354&gt;0,I1354/H1354,0)</x:f>
        <x:v>0.017419783915308778</x:v>
      </x:c>
      <x:c r="K1354" s="80" t="n">
        <x:f>(H1354*J1354+I1354)*'Inputs'!$D$47*(1+'Inputs'!$G$47)^(B1354/30)</x:f>
        <x:v>133895.5321178314</x:v>
      </x:c>
      <x:c r="L1354" s="80" t="n">
        <x:f>MAX(0,K1354*'Inputs'!$E$47)</x:f>
        <x:v>6694.77660589157</x:v>
      </x:c>
      <x:c r="M1354" s="80" t="n">
        <x:f>MAX(0,-K1354*'Inputs'!$E$47)</x:f>
        <x:v>0</x:v>
      </x:c>
      <x:c r="N1354" s="78" t="n">
        <x:f>H1354*(L1354*(1-'Inputs'!$B$15))/(I1354+L1354*(1-'Inputs'!$B$15))</x:f>
        <x:v>319432.1896088412</x:v>
      </x:c>
      <x:c r="O1354" s="78" t="n">
        <x:f>H1354-N1354</x:f>
        <x:v>1671505.8746872519</x:v>
      </x:c>
      <x:c r="P1354" s="78" t="n">
        <x:f>I1354+L1354*(1-'Inputs'!$B$17)</x:f>
        <x:v>41349.54672376351</x:v>
      </x:c>
      <x:c r="Q1354" s="78" t="n">
        <x:f>IF(J1354&gt;0,M1354/J1354,0)</x:f>
        <x:v>0</x:v>
      </x:c>
      <x:c r="R1354" s="78" t="n">
        <x:f>IF(B1354='Inputs'!$H$47,'Inputs'!$B$27*'Inputs'!$I$47,0)</x:f>
        <x:v>0</x:v>
      </x:c>
      <x:c r="S1354" s="78" t="n">
        <x:f>Q1354+G1354+R1354</x:f>
        <x:v>318036.8033402145</x:v>
      </x:c>
      <x:c r="T1354" s="78" t="n">
        <x:f>P1354*(S1354*(1-'Inputs'!$B$15))/(O1354+S1354*(1-'Inputs'!$B$15))</x:f>
        <x:v>6554.278047611347</x:v>
      </x:c>
      <x:c r="U1354" s="78" t="n">
        <x:f>O1354+S1354*(1-'Inputs'!$B$17)</x:f>
        <x:v>1988262.8518570832</x:v>
      </x:c>
      <x:c r="V1354" s="78" t="n">
        <x:f>P1354-T1354</x:f>
        <x:v>34795.26867615216</x:v>
      </x:c>
      <x:c r="W1354" s="79" t="n">
        <x:f>IF(U1354&gt;0,V1354/U1354,0)</x:f>
        <x:v>0.017500336358270027</x:v>
      </x:c>
      <x:c r="X1354" s="80" t="n">
        <x:f>W1354*('Inputs'!$B$6-AC1354)</x:f>
        <x:v>17428687.906334795</x:v>
      </x:c>
      <x:c r="Y1354" s="80" t="n">
        <x:f>2*V1354</x:f>
        <x:v>69590.53735230432</x:v>
      </x:c>
      <x:c r="Z1354" s="80" t="n">
        <x:f>K1354*'Inputs'!$B$16+(G1354+R1354)*J1354*'Inputs'!$B$16</x:f>
        <x:v>836.613987054801</x:v>
      </x:c>
      <x:c r="AA1354" s="80" t="n">
        <x:f>K1354*(1+'Inputs'!$E$47)/2*'Inputs'!$B$17</x:f>
        <x:v>282.8778847559819</x:v>
      </x:c>
      <x:c r="AB1354" s="78" t="n">
        <x:f>(IF(J1354&gt;0,K1354*(1-'Inputs'!$E$47)/2/J1354,0)+G1354+R1354)*'Inputs'!$B$17</x:f>
        <x:v>15972.151578732175</x:v>
      </x:c>
      <x:c r="AC1354" s="78" t="n">
        <x:f>AC1353+AB1354</x:f>
        <x:v>4094118.562548153</x:v>
      </x:c>
      <x:c r="AD1354" s="80" t="n">
        <x:f>Z1354/(1+'Inputs'!$C$47)</x:f>
        <x:v>334.6455948219204</x:v>
      </x:c>
      <x:c r="AE1354" s="80" t="n">
        <x:f>Z1354-AD1354</x:f>
        <x:v>501.9683922328806</x:v>
      </x:c>
      <x:c r="AF1354" s="80" t="n">
        <x:f>D1354*W1354</x:f>
        <x:v>4716.999907800188</x:v>
      </x:c>
      <x:c r="AG1354" s="80" t="n">
        <x:f>C1354*W1354</x:f>
        <x:v>11006.333118200439</x:v>
      </x:c>
      <x:c r="AH1354" s="80" t="n">
        <x:f>2*'Inputs'!$B$8*'Inputs'!$C$47</x:f>
        <x:v>7500</x:v>
      </x:c>
      <x:c r="AI1354" s="81" t="n">
        <x:f>IF(AH1354&gt;0,(AE1354+AF1354)/AH1354*365,0)</x:f>
        <x:v>253.98979060160937</x:v>
      </x:c>
      <x:c r="AJ1354" s="81" t="n">
        <x:f>IF('Inputs'!$B$47&gt;0,AG1354/('Inputs'!$B$19*'Inputs'!$B$47)*365,0)</x:f>
        <x:v>401.73115881431596</x:v>
      </x:c>
      <x:c r="AK1354" s="81" t="n">
        <x:f>W1354/MAX($W$1099:W1354)-1</x:f>
        <x:v>-0.21025881869842933</x:v>
      </x:c>
      <x:c r="AL1354" s="83" t="n">
        <x:f>'Inputs'!$B$47</x:f>
        <x:v>1</x:v>
      </x:c>
      <x:c r="AM1354" s="83" t="n">
        <x:f>'Inputs'!$C$47</x:f>
        <x:v>1.5</x:v>
      </x:c>
      <x:c r="AN1354" s="83" t="n">
        <x:f>'Inputs'!$D$47</x:f>
        <x:v>1.5</x:v>
      </x:c>
      <x:c r="AO1354" s="81" t="n">
        <x:f>'Inputs'!$E$47</x:f>
        <x:v>0.05</x:v>
      </x:c>
    </x:row>
    <x:row r="1355">
      <x:c r="A1355" s="59" t="str">
        <x:v>Growth</x:v>
      </x:c>
      <x:c r="B1355" s="59" t="n">
        <x:v>257</x:v>
      </x:c>
      <x:c r="C1355" s="78" t="n">
        <x:f>(('Inputs'!$B$29*(3*257*'Inputs'!$B$12-257^2)/(2*'Inputs'!$B$12^2))-('Inputs'!$B$29*(3*256*'Inputs'!$B$12-256^2)/(2*'Inputs'!$B$12^2)))*'Inputs'!$B$47</x:f>
        <x:v>628596.1249765456</x:v>
      </x:c>
      <x:c r="D1355" s="78" t="n">
        <x:f>IF('Inputs'!$C$47&gt;0,('Inputs'!$B$30*(3*257*'Inputs'!$B$12-257^2)/(2*'Inputs'!$B$12^2))-('Inputs'!$B$30*(3*256*'Inputs'!$B$12-256^2)/(2*'Inputs'!$B$12^2)),0)</x:f>
        <x:v>269398.33927565813</x:v>
      </x:c>
      <x:c r="E1355" s="78" t="n">
        <x:f>C1355+D1355</x:f>
        <x:v>897994.4642522037</x:v>
      </x:c>
      <x:c r="F1355" s="78" t="n">
        <x:f>'Inputs'!$B$13*E1355+(1-'Inputs'!$B$13)/'Inputs'!$B$14*SUM(E1300:E1355)</x:f>
        <x:v>908212.1411146556</x:v>
      </x:c>
      <x:c r="G1355" s="78" t="n">
        <x:f>F1355*'Inputs'!$F$47</x:f>
        <x:v>317874.24939012947</x:v>
      </x:c>
      <x:c r="H1355" s="78" t="n">
        <x:f>U1354</x:f>
        <x:v>1988262.8518570832</x:v>
      </x:c>
      <x:c r="I1355" s="78" t="n">
        <x:f>V1354</x:f>
        <x:v>34795.26867615216</x:v>
      </x:c>
      <x:c r="J1355" s="79" t="n">
        <x:f>IF(H1355&gt;0,I1355/H1355,0)</x:f>
        <x:v>0.017500336358270027</x:v>
      </x:c>
      <x:c r="K1355" s="80" t="n">
        <x:f>(H1355*J1355+I1355)*'Inputs'!$D$47*(1+'Inputs'!$G$47)^(B1355/30)</x:f>
        <x:v>134466.36783377343</x:v>
      </x:c>
      <x:c r="L1355" s="80" t="n">
        <x:f>MAX(0,K1355*'Inputs'!$E$47)</x:f>
        <x:v>6723.318391688672</x:v>
      </x:c>
      <x:c r="M1355" s="80" t="n">
        <x:f>MAX(0,-K1355*'Inputs'!$E$47)</x:f>
        <x:v>0</x:v>
      </x:c>
      <x:c r="N1355" s="78" t="n">
        <x:f>H1355*(L1355*(1-'Inputs'!$B$15))/(I1355+L1355*(1-'Inputs'!$B$15))</x:f>
        <x:v>319266.9410622225</x:v>
      </x:c>
      <x:c r="O1355" s="78" t="n">
        <x:f>H1355-N1355</x:f>
        <x:v>1668995.9107948607</x:v>
      </x:c>
      <x:c r="P1355" s="78" t="n">
        <x:f>I1355+L1355*(1-'Inputs'!$B$17)</x:f>
        <x:v>41491.53146063082</x:v>
      </x:c>
      <x:c r="Q1355" s="78" t="n">
        <x:f>IF(J1355&gt;0,M1355/J1355,0)</x:f>
        <x:v>0</x:v>
      </x:c>
      <x:c r="R1355" s="78" t="n">
        <x:f>IF(B1355='Inputs'!$H$47,'Inputs'!$B$27*'Inputs'!$I$47,0)</x:f>
        <x:v>0</x:v>
      </x:c>
      <x:c r="S1355" s="78" t="n">
        <x:f>Q1355+G1355+R1355</x:f>
        <x:v>317874.24939012947</x:v>
      </x:c>
      <x:c r="T1355" s="78" t="n">
        <x:f>P1355*(S1355*(1-'Inputs'!$B$15))/(O1355+S1355*(1-'Inputs'!$B$15))</x:f>
        <x:v>6582.273033223029</x:v>
      </x:c>
      <x:c r="U1355" s="78" t="n">
        <x:f>O1355+S1355*(1-'Inputs'!$B$17)</x:f>
        <x:v>1985590.9881552511</x:v>
      </x:c>
      <x:c r="V1355" s="78" t="n">
        <x:f>P1355-T1355</x:f>
        <x:v>34909.25842740779</x:v>
      </x:c>
      <x:c r="W1355" s="79" t="n">
        <x:f>IF(U1355&gt;0,V1355/U1355,0)</x:f>
        <x:v>0.017581293748638968</x:v>
      </x:c>
      <x:c r="X1355" s="80" t="n">
        <x:f>W1355*('Inputs'!$B$6-AC1355)</x:f>
        <x:v>17509033.140756324</x:v>
      </x:c>
      <x:c r="Y1355" s="80" t="n">
        <x:f>2*V1355</x:f>
        <x:v>69818.51685481558</x:v>
      </x:c>
      <x:c r="Z1355" s="80" t="n">
        <x:f>K1355*'Inputs'!$B$16+(G1355+R1355)*J1355*'Inputs'!$B$16</x:f>
        <x:v>840.1756447063999</x:v>
      </x:c>
      <x:c r="AA1355" s="80" t="n">
        <x:f>K1355*(1+'Inputs'!$E$47)/2*'Inputs'!$B$17</x:f>
        <x:v>284.0838757051552</x:v>
      </x:c>
      <x:c r="AB1355" s="78" t="n">
        <x:f>(IF(J1355&gt;0,K1355*(1-'Inputs'!$E$47)/2/J1355,0)+G1355+R1355)*'Inputs'!$B$17</x:f>
        <x:v>15966.219366042184</x:v>
      </x:c>
      <x:c r="AC1355" s="78" t="n">
        <x:f>AC1354+AB1355</x:f>
        <x:v>4110084.7819141955</x:v>
      </x:c>
      <x:c r="AD1355" s="80" t="n">
        <x:f>Z1355/(1+'Inputs'!$C$47)</x:f>
        <x:v>336.07025788256</x:v>
      </x:c>
      <x:c r="AE1355" s="80" t="n">
        <x:f>Z1355-AD1355</x:f>
        <x:v>504.1053868238399</x:v>
      </x:c>
      <x:c r="AF1355" s="80" t="n">
        <x:f>D1355*W1355</x:f>
        <x:v>4736.371338200848</x:v>
      </x:c>
      <x:c r="AG1355" s="80" t="n">
        <x:f>C1355*W1355</x:f>
        <x:v>11051.53312246882</x:v>
      </x:c>
      <x:c r="AH1355" s="80" t="n">
        <x:f>2*'Inputs'!$B$8*'Inputs'!$C$47</x:f>
        <x:v>7500</x:v>
      </x:c>
      <x:c r="AI1355" s="81" t="n">
        <x:f>IF(AH1355&gt;0,(AE1355+AF1355)/AH1355*365,0)</x:f>
        <x:v>255.03653395120148</x:v>
      </x:c>
      <x:c r="AJ1355" s="81" t="n">
        <x:f>IF('Inputs'!$B$47&gt;0,AG1355/('Inputs'!$B$19*'Inputs'!$B$47)*365,0)</x:f>
        <x:v>403.3809589701119</x:v>
      </x:c>
      <x:c r="AK1355" s="81" t="n">
        <x:f>W1355/MAX($W$1099:W1355)-1</x:f>
        <x:v>-0.20660543834069423</x:v>
      </x:c>
      <x:c r="AL1355" s="83" t="n">
        <x:f>'Inputs'!$B$47</x:f>
        <x:v>1</x:v>
      </x:c>
      <x:c r="AM1355" s="83" t="n">
        <x:f>'Inputs'!$C$47</x:f>
        <x:v>1.5</x:v>
      </x:c>
      <x:c r="AN1355" s="83" t="n">
        <x:f>'Inputs'!$D$47</x:f>
        <x:v>1.5</x:v>
      </x:c>
      <x:c r="AO1355" s="81" t="n">
        <x:f>'Inputs'!$E$47</x:f>
        <x:v>0.05</x:v>
      </x:c>
    </x:row>
    <x:row r="1356">
      <x:c r="A1356" s="59" t="str">
        <x:v>Growth</x:v>
      </x:c>
      <x:c r="B1356" s="59" t="n">
        <x:v>258</x:v>
      </x:c>
      <x:c r="C1356" s="78" t="n">
        <x:f>(('Inputs'!$B$29*(3*258*'Inputs'!$B$12-258^2)/(2*'Inputs'!$B$12^2))-('Inputs'!$B$29*(3*257*'Inputs'!$B$12-257^2)/(2*'Inputs'!$B$12^2)))*'Inputs'!$B$47</x:f>
        <x:v>628271.0170763731</x:v>
      </x:c>
      <x:c r="D1356" s="78" t="n">
        <x:f>IF('Inputs'!$C$47&gt;0,('Inputs'!$B$30*(3*258*'Inputs'!$B$12-258^2)/(2*'Inputs'!$B$12^2))-('Inputs'!$B$30*(3*257*'Inputs'!$B$12-257^2)/(2*'Inputs'!$B$12^2)),0)</x:f>
        <x:v>269259.007318452</x:v>
      </x:c>
      <x:c r="E1356" s="78" t="n">
        <x:f>C1356+D1356</x:f>
        <x:v>897530.0243948251</x:v>
      </x:c>
      <x:c r="F1356" s="78" t="n">
        <x:f>'Inputs'!$B$13*E1356+(1-'Inputs'!$B$13)/'Inputs'!$B$14*SUM(E1301:E1356)</x:f>
        <x:v>907747.7012572729</x:v>
      </x:c>
      <x:c r="G1356" s="78" t="n">
        <x:f>F1356*'Inputs'!$F$47</x:f>
        <x:v>317711.6954400455</x:v>
      </x:c>
      <x:c r="H1356" s="78" t="n">
        <x:f>U1355</x:f>
        <x:v>1985590.9881552511</x:v>
      </x:c>
      <x:c r="I1356" s="78" t="n">
        <x:f>V1355</x:f>
        <x:v>34909.25842740779</x:v>
      </x:c>
      <x:c r="J1356" s="79" t="n">
        <x:f>IF(H1356&gt;0,I1356/H1356,0)</x:f>
        <x:v>0.017581293748638968</x:v>
      </x:c>
      <x:c r="K1356" s="80" t="n">
        <x:f>(H1356*J1356+I1356)*'Inputs'!$D$47*(1+'Inputs'!$G$47)^(B1356/30)</x:f>
        <x:v>135039.86976443123</x:v>
      </x:c>
      <x:c r="L1356" s="80" t="n">
        <x:f>MAX(0,K1356*'Inputs'!$E$47)</x:f>
        <x:v>6751.993488221562</x:v>
      </x:c>
      <x:c r="M1356" s="80" t="n">
        <x:f>MAX(0,-K1356*'Inputs'!$E$47)</x:f>
        <x:v>0</x:v>
      </x:c>
      <x:c r="N1356" s="78" t="n">
        <x:f>H1356*(L1356*(1-'Inputs'!$B$15))/(I1356+L1356*(1-'Inputs'!$B$15))</x:f>
        <x:v>319101.69672238926</x:v>
      </x:c>
      <x:c r="O1356" s="78" t="n">
        <x:f>H1356-N1356</x:f>
        <x:v>1666489.291432862</x:v>
      </x:c>
      <x:c r="P1356" s="78" t="n">
        <x:f>I1356+L1356*(1-'Inputs'!$B$17)</x:f>
        <x:v>41634.08091567675</x:v>
      </x:c>
      <x:c r="Q1356" s="78" t="n">
        <x:f>IF(J1356&gt;0,M1356/J1356,0)</x:f>
        <x:v>0</x:v>
      </x:c>
      <x:c r="R1356" s="78" t="n">
        <x:f>IF(B1356='Inputs'!$H$47,'Inputs'!$B$27*'Inputs'!$I$47,0)</x:f>
        <x:v>0</x:v>
      </x:c>
      <x:c r="S1356" s="78" t="n">
        <x:f>Q1356+G1356+R1356</x:f>
        <x:v>317711.6954400455</x:v>
      </x:c>
      <x:c r="T1356" s="78" t="n">
        <x:f>P1356*(S1356*(1-'Inputs'!$B$15))/(O1356+S1356*(1-'Inputs'!$B$15))</x:f>
        <x:v>6610.398940820601</x:v>
      </x:c>
      <x:c r="U1356" s="78" t="n">
        <x:f>O1356+S1356*(1-'Inputs'!$B$17)</x:f>
        <x:v>1982922.4689838127</x:v>
      </x:c>
      <x:c r="V1356" s="78" t="n">
        <x:f>P1356-T1356</x:f>
        <x:v>35023.68197485615</x:v>
      </x:c>
      <x:c r="W1356" s="79" t="n">
        <x:f>IF(U1356&gt;0,V1356/U1356,0)</x:f>
        <x:v>0.017662658284771322</x:v>
      </x:c>
      <x:c r="X1356" s="80" t="n">
        <x:f>W1356*('Inputs'!$B$6-AC1356)</x:f>
        <x:v>17589781.360647444</x:v>
      </x:c>
      <x:c r="Y1356" s="80" t="n">
        <x:f>2*V1356</x:f>
        <x:v>70047.3639497123</x:v>
      </x:c>
      <x:c r="Z1356" s="80" t="n">
        <x:f>K1356*'Inputs'!$B$16+(G1356+R1356)*J1356*'Inputs'!$B$16</x:f>
        <x:v>843.7539144560448</x:v>
      </x:c>
      <x:c r="AA1356" s="80" t="n">
        <x:f>K1356*(1+'Inputs'!$E$47)/2*'Inputs'!$B$17</x:f>
        <x:v>285.29549950231956</x:v>
      </x:c>
      <x:c r="AB1356" s="78" t="n">
        <x:f>(IF(J1356&gt;0,K1356*(1-'Inputs'!$E$47)/2/J1356,0)+G1356+R1356)*'Inputs'!$B$17</x:f>
        <x:v>15960.28723099543</x:v>
      </x:c>
      <x:c r="AC1356" s="78" t="n">
        <x:f>AC1355+AB1356</x:f>
        <x:v>4126045.069145191</x:v>
      </x:c>
      <x:c r="AD1356" s="80" t="n">
        <x:f>Z1356/(1+'Inputs'!$C$47)</x:f>
        <x:v>337.5015657824179</x:v>
      </x:c>
      <x:c r="AE1356" s="80" t="n">
        <x:f>Z1356-AD1356</x:f>
        <x:v>506.25234867362684</x:v>
      </x:c>
      <x:c r="AF1356" s="80" t="n">
        <x:f>D1356*W1356</x:f>
        <x:v>4755.829836362558</x:v>
      </x:c>
      <x:c r="AG1356" s="80" t="n">
        <x:f>C1356*W1356</x:f>
        <x:v>11096.936284845706</x:v>
      </x:c>
      <x:c r="AH1356" s="80" t="n">
        <x:f>2*'Inputs'!$B$8*'Inputs'!$C$47</x:f>
        <x:v>7500</x:v>
      </x:c>
      <x:c r="AI1356" s="81" t="n">
        <x:f>IF(AH1356&gt;0,(AE1356+AF1356)/AH1356*365,0)</x:f>
        <x:v>256.08799967176105</x:v>
      </x:c>
      <x:c r="AJ1356" s="81" t="n">
        <x:f>IF('Inputs'!$B$47&gt;0,AG1356/('Inputs'!$B$19*'Inputs'!$B$47)*365,0)</x:f>
        <x:v>405.03817439686827</x:v>
      </x:c>
      <x:c r="AK1356" s="81" t="n">
        <x:f>W1356/MAX($W$1099:W1356)-1</x:f>
        <x:v>-0.2029336846346088</x:v>
      </x:c>
      <x:c r="AL1356" s="83" t="n">
        <x:f>'Inputs'!$B$47</x:f>
        <x:v>1</x:v>
      </x:c>
      <x:c r="AM1356" s="83" t="n">
        <x:f>'Inputs'!$C$47</x:f>
        <x:v>1.5</x:v>
      </x:c>
      <x:c r="AN1356" s="83" t="n">
        <x:f>'Inputs'!$D$47</x:f>
        <x:v>1.5</x:v>
      </x:c>
      <x:c r="AO1356" s="81" t="n">
        <x:f>'Inputs'!$E$47</x:f>
        <x:v>0.05</x:v>
      </x:c>
    </x:row>
    <x:row r="1357">
      <x:c r="A1357" s="59" t="str">
        <x:v>Growth</x:v>
      </x:c>
      <x:c r="B1357" s="59" t="n">
        <x:v>259</x:v>
      </x:c>
      <x:c r="C1357" s="78" t="n">
        <x:f>(('Inputs'!$B$29*(3*259*'Inputs'!$B$12-259^2)/(2*'Inputs'!$B$12^2))-('Inputs'!$B$29*(3*258*'Inputs'!$B$12-258^2)/(2*'Inputs'!$B$12^2)))*'Inputs'!$B$47</x:f>
        <x:v>627945.9091762006</x:v>
      </x:c>
      <x:c r="D1357" s="78" t="n">
        <x:f>IF('Inputs'!$C$47&gt;0,('Inputs'!$B$30*(3*259*'Inputs'!$B$12-259^2)/(2*'Inputs'!$B$12^2))-('Inputs'!$B$30*(3*258*'Inputs'!$B$12-258^2)/(2*'Inputs'!$B$12^2)),0)</x:f>
        <x:v>269119.67536123097</x:v>
      </x:c>
      <x:c r="E1357" s="78" t="n">
        <x:f>C1357+D1357</x:f>
        <x:v>897065.5845374316</x:v>
      </x:c>
      <x:c r="F1357" s="78" t="n">
        <x:f>'Inputs'!$B$13*E1357+(1-'Inputs'!$B$13)/'Inputs'!$B$14*SUM(E1302:E1357)</x:f>
        <x:v>907283.2613998865</x:v>
      </x:c>
      <x:c r="G1357" s="78" t="n">
        <x:f>F1357*'Inputs'!$F$47</x:f>
        <x:v>317549.14148996025</x:v>
      </x:c>
      <x:c r="H1357" s="78" t="n">
        <x:f>U1356</x:f>
        <x:v>1982922.4689838127</x:v>
      </x:c>
      <x:c r="I1357" s="78" t="n">
        <x:f>V1356</x:f>
        <x:v>35023.68197485615</x:v>
      </x:c>
      <x:c r="J1357" s="79" t="n">
        <x:f>IF(H1357&gt;0,I1357/H1357,0)</x:f>
        <x:v>0.017662658284771322</x:v>
      </x:c>
      <x:c r="K1357" s="80" t="n">
        <x:f>(H1357*J1357+I1357)*'Inputs'!$D$47*(1+'Inputs'!$G$47)^(B1357/30)</x:f>
        <x:v>135616.05143110795</x:v>
      </x:c>
      <x:c r="L1357" s="80" t="n">
        <x:f>MAX(0,K1357*'Inputs'!$E$47)</x:f>
        <x:v>6780.802571555398</x:v>
      </x:c>
      <x:c r="M1357" s="80" t="n">
        <x:f>MAX(0,-K1357*'Inputs'!$E$47)</x:f>
        <x:v>0</x:v>
      </x:c>
      <x:c r="N1357" s="78" t="n">
        <x:f>H1357*(L1357*(1-'Inputs'!$B$15))/(I1357+L1357*(1-'Inputs'!$B$15))</x:f>
        <x:v>318936.45658419654</x:v>
      </x:c>
      <x:c r="O1357" s="78" t="n">
        <x:f>H1357-N1357</x:f>
        <x:v>1663986.0123996162</x:v>
      </x:c>
      <x:c r="P1357" s="78" t="n">
        <x:f>I1357+L1357*(1-'Inputs'!$B$17)</x:f>
        <x:v>41777.19761453406</x:v>
      </x:c>
      <x:c r="Q1357" s="78" t="n">
        <x:f>IF(J1357&gt;0,M1357/J1357,0)</x:f>
        <x:v>0</x:v>
      </x:c>
      <x:c r="R1357" s="78" t="n">
        <x:f>IF(B1357='Inputs'!$H$47,'Inputs'!$B$27*'Inputs'!$I$47,0)</x:f>
        <x:v>0</x:v>
      </x:c>
      <x:c r="S1357" s="78" t="n">
        <x:f>Q1357+G1357+R1357</x:f>
        <x:v>317549.14148996025</x:v>
      </x:c>
      <x:c r="T1357" s="78" t="n">
        <x:f>P1357*(S1357*(1-'Inputs'!$B$15))/(O1357+S1357*(1-'Inputs'!$B$15))</x:f>
        <x:v>6638.656434977885</x:v>
      </x:c>
      <x:c r="U1357" s="78" t="n">
        <x:f>O1357+S1357*(1-'Inputs'!$B$17)</x:f>
        <x:v>1980257.290141126</x:v>
      </x:c>
      <x:c r="V1357" s="78" t="n">
        <x:f>P1357-T1357</x:f>
        <x:v>35138.541179556174</x:v>
      </x:c>
      <x:c r="W1357" s="79" t="n">
        <x:f>IF(U1357&gt;0,V1357/U1357,0)</x:f>
        <x:v>0.017744432177826737</x:v>
      </x:c>
      <x:c r="X1357" s="80" t="n">
        <x:f>W1357*('Inputs'!$B$6-AC1357)</x:f>
        <x:v>17670934.74996134</x:v>
      </x:c>
      <x:c r="Y1357" s="80" t="n">
        <x:f>2*V1357</x:f>
        <x:v>70277.08235911235</x:v>
      </x:c>
      <x:c r="Z1357" s="80" t="n">
        <x:f>K1357*'Inputs'!$B$16+(G1357+R1357)*J1357*'Inputs'!$B$16</x:f>
        <x:v>847.3488804352056</x:v>
      </x:c>
      <x:c r="AA1357" s="80" t="n">
        <x:f>K1357*(1+'Inputs'!$E$47)/2*'Inputs'!$B$17</x:f>
        <x:v>286.51278471360837</x:v>
      </x:c>
      <x:c r="AB1357" s="78" t="n">
        <x:f>(IF(J1357&gt;0,K1357*(1-'Inputs'!$E$47)/2/J1357,0)+G1357+R1357)*'Inputs'!$B$17</x:f>
        <x:v>15954.355172146681</x:v>
      </x:c>
      <x:c r="AC1357" s="78" t="n">
        <x:f>AC1356+AB1357</x:f>
        <x:v>4141999.4243173376</x:v>
      </x:c>
      <x:c r="AD1357" s="80" t="n">
        <x:f>Z1357/(1+'Inputs'!$C$47)</x:f>
        <x:v>338.9395521740822</x:v>
      </x:c>
      <x:c r="AE1357" s="80" t="n">
        <x:f>Z1357-AD1357</x:f>
        <x:v>508.4093282611234</x:v>
      </x:c>
      <x:c r="AF1357" s="80" t="n">
        <x:f>D1357*W1357</x:f>
        <x:v>4775.375827166112</x:v>
      </x:c>
      <x:c r="AG1357" s="80" t="n">
        <x:f>C1357*W1357</x:f>
        <x:v>11142.54359672084</x:v>
      </x:c>
      <x:c r="AH1357" s="80" t="n">
        <x:f>2*'Inputs'!$B$8*'Inputs'!$C$47</x:f>
        <x:v>7500</x:v>
      </x:c>
      <x:c r="AI1357" s="81" t="n">
        <x:f>IF(AH1357&gt;0,(AE1357+AF1357)/AH1357*365,0)</x:f>
        <x:v>257.1442108974587</x:v>
      </x:c>
      <x:c r="AJ1357" s="81" t="n">
        <x:f>IF('Inputs'!$B$47&gt;0,AG1357/('Inputs'!$B$19*'Inputs'!$B$47)*365,0)</x:f>
        <x:v>406.7028412803106</x:v>
      </x:c>
      <x:c r="AK1357" s="81" t="n">
        <x:f>W1357/MAX($W$1099:W1357)-1</x:f>
        <x:v>-0.19924345779672903</x:v>
      </x:c>
      <x:c r="AL1357" s="83" t="n">
        <x:f>'Inputs'!$B$47</x:f>
        <x:v>1</x:v>
      </x:c>
      <x:c r="AM1357" s="83" t="n">
        <x:f>'Inputs'!$C$47</x:f>
        <x:v>1.5</x:v>
      </x:c>
      <x:c r="AN1357" s="83" t="n">
        <x:f>'Inputs'!$D$47</x:f>
        <x:v>1.5</x:v>
      </x:c>
      <x:c r="AO1357" s="81" t="n">
        <x:f>'Inputs'!$E$47</x:f>
        <x:v>0.05</x:v>
      </x:c>
    </x:row>
    <x:row r="1358">
      <x:c r="A1358" s="59" t="str">
        <x:v>Growth</x:v>
      </x:c>
      <x:c r="B1358" s="59" t="n">
        <x:v>260</x:v>
      </x:c>
      <x:c r="C1358" s="78" t="n">
        <x:f>(('Inputs'!$B$29*(3*260*'Inputs'!$B$12-260^2)/(2*'Inputs'!$B$12^2))-('Inputs'!$B$29*(3*259*'Inputs'!$B$12-259^2)/(2*'Inputs'!$B$12^2)))*'Inputs'!$B$47</x:f>
        <x:v>627620.8012760282</x:v>
      </x:c>
      <x:c r="D1358" s="78" t="n">
        <x:f>IF('Inputs'!$C$47&gt;0,('Inputs'!$B$30*(3*260*'Inputs'!$B$12-260^2)/(2*'Inputs'!$B$12^2))-('Inputs'!$B$30*(3*259*'Inputs'!$B$12-259^2)/(2*'Inputs'!$B$12^2)),0)</x:f>
        <x:v>268980.34340400994</x:v>
      </x:c>
      <x:c r="E1358" s="78" t="n">
        <x:f>C1358+D1358</x:f>
        <x:v>896601.1446800381</x:v>
      </x:c>
      <x:c r="F1358" s="78" t="n">
        <x:f>'Inputs'!$B$13*E1358+(1-'Inputs'!$B$13)/'Inputs'!$B$14*SUM(E1303:E1358)</x:f>
        <x:v>906818.8215425004</x:v>
      </x:c>
      <x:c r="G1358" s="78" t="n">
        <x:f>F1358*'Inputs'!$F$47</x:f>
        <x:v>317386.5875398751</x:v>
      </x:c>
      <x:c r="H1358" s="78" t="n">
        <x:f>U1357</x:f>
        <x:v>1980257.290141126</x:v>
      </x:c>
      <x:c r="I1358" s="78" t="n">
        <x:f>V1357</x:f>
        <x:v>35138.541179556174</x:v>
      </x:c>
      <x:c r="J1358" s="79" t="n">
        <x:f>IF(H1358&gt;0,I1358/H1358,0)</x:f>
        <x:v>0.017744432177826737</x:v>
      </x:c>
      <x:c r="K1358" s="80" t="n">
        <x:f>(H1358*J1358+I1358)*'Inputs'!$D$47*(1+'Inputs'!$G$47)^(B1358/30)</x:f>
        <x:v>136194.92642893296</x:v>
      </x:c>
      <x:c r="L1358" s="80" t="n">
        <x:f>MAX(0,K1358*'Inputs'!$E$47)</x:f>
        <x:v>6809.746321446648</x:v>
      </x:c>
      <x:c r="M1358" s="80" t="n">
        <x:f>MAX(0,-K1358*'Inputs'!$E$47)</x:f>
        <x:v>0</x:v>
      </x:c>
      <x:c r="N1358" s="78" t="n">
        <x:f>H1358*(L1358*(1-'Inputs'!$B$15))/(I1358+L1358*(1-'Inputs'!$B$15))</x:f>
        <x:v>318771.2206425051</x:v>
      </x:c>
      <x:c r="O1358" s="78" t="n">
        <x:f>H1358-N1358</x:f>
        <x:v>1661486.069498621</x:v>
      </x:c>
      <x:c r="P1358" s="78" t="n">
        <x:f>I1358+L1358*(1-'Inputs'!$B$17)</x:f>
        <x:v>41920.884095282716</x:v>
      </x:c>
      <x:c r="Q1358" s="78" t="n">
        <x:f>IF(J1358&gt;0,M1358/J1358,0)</x:f>
        <x:v>0</x:v>
      </x:c>
      <x:c r="R1358" s="78" t="n">
        <x:f>IF(B1358='Inputs'!$H$47,'Inputs'!$B$27*'Inputs'!$I$47,0)</x:f>
        <x:v>0</x:v>
      </x:c>
      <x:c r="S1358" s="78" t="n">
        <x:f>Q1358+G1358+R1358</x:f>
        <x:v>317386.5875398751</x:v>
      </x:c>
      <x:c r="T1358" s="78" t="n">
        <x:f>P1358*(S1358*(1-'Inputs'!$B$15))/(O1358+S1358*(1-'Inputs'!$B$15))</x:f>
        <x:v>6667.046183900036</x:v>
      </x:c>
      <x:c r="U1358" s="78" t="n">
        <x:f>O1358+S1358*(1-'Inputs'!$B$17)</x:f>
        <x:v>1977595.4474306898</x:v>
      </x:c>
      <x:c r="V1358" s="78" t="n">
        <x:f>P1358-T1358</x:f>
        <x:v>35253.83791138268</x:v>
      </x:c>
      <x:c r="W1358" s="79" t="n">
        <x:f>IF(U1358&gt;0,V1358/U1358,0)</x:f>
        <x:v>0.017826617651848255</x:v>
      </x:c>
      <x:c r="X1358" s="80" t="n">
        <x:f>W1358*('Inputs'!$B$6-AC1358)</x:f>
        <x:v>17752495.505354453</x:v>
      </x:c>
      <x:c r="Y1358" s="80" t="n">
        <x:f>2*V1358</x:f>
        <x:v>70507.67582276536</x:v>
      </x:c>
      <x:c r="Z1358" s="80" t="n">
        <x:f>K1358*'Inputs'!$B$16+(G1358+R1358)*J1358*'Inputs'!$B$16</x:f>
        <x:v>850.9606272341168</x:v>
      </x:c>
      <x:c r="AA1358" s="80" t="n">
        <x:f>K1358*(1+'Inputs'!$E$47)/2*'Inputs'!$B$17</x:f>
        <x:v>287.735760061126</x:v>
      </x:c>
      <x:c r="AB1358" s="78" t="n">
        <x:f>(IF(J1358&gt;0,K1358*(1-'Inputs'!$E$47)/2/J1358,0)+G1358+R1358)*'Inputs'!$B$17</x:f>
        <x:v>15948.423188048562</x:v>
      </x:c>
      <x:c r="AC1358" s="78" t="n">
        <x:f>AC1357+AB1358</x:f>
        <x:v>4157947.847505386</x:v>
      </x:c>
      <x:c r="AD1358" s="80" t="n">
        <x:f>Z1358/(1+'Inputs'!$C$47)</x:f>
        <x:v>340.3842508936467</x:v>
      </x:c>
      <x:c r="AE1358" s="80" t="n">
        <x:f>Z1358-AD1358</x:f>
        <x:v>510.5763763404701</x:v>
      </x:c>
      <x:c r="AF1358" s="80" t="n">
        <x:f>D1358*W1358</x:f>
        <x:v>4795.009737726129</x:v>
      </x:c>
      <x:c r="AG1358" s="80" t="n">
        <x:f>C1358*W1358</x:f>
        <x:v>11188.35605469439</x:v>
      </x:c>
      <x:c r="AH1358" s="80" t="n">
        <x:f>2*'Inputs'!$B$8*'Inputs'!$C$47</x:f>
        <x:v>7500</x:v>
      </x:c>
      <x:c r="AI1358" s="81" t="n">
        <x:f>IF(AH1358&gt;0,(AE1358+AF1358)/AH1358*365,0)</x:f>
        <x:v>258.2051908845745</x:v>
      </x:c>
      <x:c r="AJ1358" s="81" t="n">
        <x:f>IF('Inputs'!$B$47&gt;0,AG1358/('Inputs'!$B$19*'Inputs'!$B$47)*365,0)</x:f>
        <x:v>408.37499599634526</x:v>
      </x:c>
      <x:c r="AK1358" s="81" t="n">
        <x:f>W1358/MAX($W$1099:W1358)-1</x:f>
        <x:v>-0.19553465746221943</x:v>
      </x:c>
      <x:c r="AL1358" s="83" t="n">
        <x:f>'Inputs'!$B$47</x:f>
        <x:v>1</x:v>
      </x:c>
      <x:c r="AM1358" s="83" t="n">
        <x:f>'Inputs'!$C$47</x:f>
        <x:v>1.5</x:v>
      </x:c>
      <x:c r="AN1358" s="83" t="n">
        <x:f>'Inputs'!$D$47</x:f>
        <x:v>1.5</x:v>
      </x:c>
      <x:c r="AO1358" s="81" t="n">
        <x:f>'Inputs'!$E$47</x:f>
        <x:v>0.05</x:v>
      </x:c>
    </x:row>
    <x:row r="1359">
      <x:c r="A1359" s="59" t="str">
        <x:v>Growth</x:v>
      </x:c>
      <x:c r="B1359" s="59" t="n">
        <x:v>261</x:v>
      </x:c>
      <x:c r="C1359" s="78" t="n">
        <x:f>(('Inputs'!$B$29*(3*261*'Inputs'!$B$12-261^2)/(2*'Inputs'!$B$12^2))-('Inputs'!$B$29*(3*260*'Inputs'!$B$12-260^2)/(2*'Inputs'!$B$12^2)))*'Inputs'!$B$47</x:f>
        <x:v>627295.6933758855</x:v>
      </x:c>
      <x:c r="D1359" s="78" t="n">
        <x:f>IF('Inputs'!$C$47&gt;0,('Inputs'!$B$30*(3*261*'Inputs'!$B$12-261^2)/(2*'Inputs'!$B$12^2))-('Inputs'!$B$30*(3*260*'Inputs'!$B$12-260^2)/(2*'Inputs'!$B$12^2)),0)</x:f>
        <x:v>268841.0114468038</x:v>
      </x:c>
      <x:c r="E1359" s="78" t="n">
        <x:f>C1359+D1359</x:f>
        <x:v>896136.7048226893</x:v>
      </x:c>
      <x:c r="F1359" s="78" t="n">
        <x:f>'Inputs'!$B$13*E1359+(1-'Inputs'!$B$13)/'Inputs'!$B$14*SUM(E1304:E1359)</x:f>
        <x:v>906354.3816851235</x:v>
      </x:c>
      <x:c r="G1359" s="78" t="n">
        <x:f>F1359*'Inputs'!$F$47</x:f>
        <x:v>317224.0335897932</x:v>
      </x:c>
      <x:c r="H1359" s="78" t="n">
        <x:f>U1358</x:f>
        <x:v>1977595.4474306898</x:v>
      </x:c>
      <x:c r="I1359" s="78" t="n">
        <x:f>V1358</x:f>
        <x:v>35253.83791138268</x:v>
      </x:c>
      <x:c r="J1359" s="79" t="n">
        <x:f>IF(H1359&gt;0,I1359/H1359,0)</x:f>
        <x:v>0.017826617651848255</x:v>
      </x:c>
      <x:c r="K1359" s="80" t="n">
        <x:f>(H1359*J1359+I1359)*'Inputs'!$D$47*(1+'Inputs'!$G$47)^(B1359/30)</x:f>
        <x:v>136776.50842729255</x:v>
      </x:c>
      <x:c r="L1359" s="80" t="n">
        <x:f>MAX(0,K1359*'Inputs'!$E$47)</x:f>
        <x:v>6838.825421364628</x:v>
      </x:c>
      <x:c r="M1359" s="80" t="n">
        <x:f>MAX(0,-K1359*'Inputs'!$E$47)</x:f>
        <x:v>0</x:v>
      </x:c>
      <x:c r="N1359" s="78" t="n">
        <x:f>H1359*(L1359*(1-'Inputs'!$B$15))/(I1359+L1359*(1-'Inputs'!$B$15))</x:f>
        <x:v>318605.98889218253</x:v>
      </x:c>
      <x:c r="O1359" s="78" t="n">
        <x:f>H1359-N1359</x:f>
        <x:v>1658989.4585385073</x:v>
      </x:c>
      <x:c r="P1359" s="78" t="n">
        <x:f>I1359+L1359*(1-'Inputs'!$B$17)</x:f>
        <x:v>42065.142908516464</x:v>
      </x:c>
      <x:c r="Q1359" s="78" t="n">
        <x:f>IF(J1359&gt;0,M1359/J1359,0)</x:f>
        <x:v>0</x:v>
      </x:c>
      <x:c r="R1359" s="78" t="n">
        <x:f>IF(B1359='Inputs'!$H$47,'Inputs'!$B$27*'Inputs'!$I$47,0)</x:f>
        <x:v>0</x:v>
      </x:c>
      <x:c r="S1359" s="78" t="n">
        <x:f>Q1359+G1359+R1359</x:f>
        <x:v>317224.0335897932</x:v>
      </x:c>
      <x:c r="T1359" s="78" t="n">
        <x:f>P1359*(S1359*(1-'Inputs'!$B$15))/(O1359+S1359*(1-'Inputs'!$B$15))</x:f>
        <x:v>6695.568859444686</x:v>
      </x:c>
      <x:c r="U1359" s="78" t="n">
        <x:f>O1359+S1359*(1-'Inputs'!$B$17)</x:f>
        <x:v>1974936.9366611384</x:v>
      </x:c>
      <x:c r="V1359" s="78" t="n">
        <x:f>P1359-T1359</x:f>
        <x:v>35369.57404907178</x:v>
      </x:c>
      <x:c r="W1359" s="79" t="n">
        <x:f>IF(U1359&gt;0,V1359/U1359,0)</x:f>
        <x:v>0.017909216943842357</x:v>
      </x:c>
      <x:c r="X1359" s="80" t="n">
        <x:f>W1359*('Inputs'!$B$6-AC1359)</x:f>
        <x:v>17834465.836265292</x:v>
      </x:c>
      <x:c r="Y1359" s="80" t="n">
        <x:f>2*V1359</x:f>
        <x:v>70739.14809814356</x:v>
      </x:c>
      <x:c r="Z1359" s="80" t="n">
        <x:f>K1359*'Inputs'!$B$16+(G1359+R1359)*J1359*'Inputs'!$B$16</x:f>
        <x:v>854.5892399044492</x:v>
      </x:c>
      <x:c r="AA1359" s="80" t="n">
        <x:f>K1359*(1+'Inputs'!$E$47)/2*'Inputs'!$B$17</x:f>
        <x:v>288.9644544238575</x:v>
      </x:c>
      <x:c r="AB1359" s="78" t="n">
        <x:f>(IF(J1359&gt;0,K1359*(1-'Inputs'!$E$47)/2/J1359,0)+G1359+R1359)*'Inputs'!$B$17</x:f>
        <x:v>15942.49127725159</x:v>
      </x:c>
      <x:c r="AC1359" s="78" t="n">
        <x:f>AC1358+AB1359</x:f>
        <x:v>4173890.3387826374</x:v>
      </x:c>
      <x:c r="AD1359" s="80" t="n">
        <x:f>Z1359/(1+'Inputs'!$C$47)</x:f>
        <x:v>341.83569596177966</x:v>
      </x:c>
      <x:c r="AE1359" s="80" t="n">
        <x:f>Z1359-AD1359</x:f>
        <x:v>512.7535439426695</x:v>
      </x:c>
      <x:c r="AF1359" s="80" t="n">
        <x:f>D1359*W1359</x:f>
        <x:v>4814.731997402816</x:v>
      </x:c>
      <x:c r="AG1359" s="80" t="n">
        <x:f>C1359*W1359</x:f>
        <x:v>11234.374660606749</x:v>
      </x:c>
      <x:c r="AH1359" s="80" t="n">
        <x:f>2*'Inputs'!$B$8*'Inputs'!$C$47</x:f>
        <x:v>7500</x:v>
      </x:c>
      <x:c r="AI1359" s="81" t="n">
        <x:f>IF(AH1359&gt;0,(AE1359+AF1359)/AH1359*365,0)</x:f>
        <x:v>259.2709630121469</x:v>
      </x:c>
      <x:c r="AJ1359" s="81" t="n">
        <x:f>IF('Inputs'!$B$47&gt;0,AG1359/('Inputs'!$B$19*'Inputs'!$B$47)*365,0)</x:f>
        <x:v>410.05467511214636</x:v>
      </x:c>
      <x:c r="AK1359" s="81" t="n">
        <x:f>W1359/MAX($W$1099:W1359)-1</x:f>
        <x:v>-0.19180718268124075</x:v>
      </x:c>
      <x:c r="AL1359" s="83" t="n">
        <x:f>'Inputs'!$B$47</x:f>
        <x:v>1</x:v>
      </x:c>
      <x:c r="AM1359" s="83" t="n">
        <x:f>'Inputs'!$C$47</x:f>
        <x:v>1.5</x:v>
      </x:c>
      <x:c r="AN1359" s="83" t="n">
        <x:f>'Inputs'!$D$47</x:f>
        <x:v>1.5</x:v>
      </x:c>
      <x:c r="AO1359" s="81" t="n">
        <x:f>'Inputs'!$E$47</x:f>
        <x:v>0.05</x:v>
      </x:c>
    </x:row>
    <x:row r="1360">
      <x:c r="A1360" s="59" t="str">
        <x:v>Growth</x:v>
      </x:c>
      <x:c r="B1360" s="59" t="n">
        <x:v>262</x:v>
      </x:c>
      <x:c r="C1360" s="78" t="n">
        <x:f>(('Inputs'!$B$29*(3*262*'Inputs'!$B$12-262^2)/(2*'Inputs'!$B$12^2))-('Inputs'!$B$29*(3*261*'Inputs'!$B$12-261^2)/(2*'Inputs'!$B$12^2)))*'Inputs'!$B$47</x:f>
        <x:v>626970.5854756832</x:v>
      </x:c>
      <x:c r="D1360" s="78" t="n">
        <x:f>IF('Inputs'!$C$47&gt;0,('Inputs'!$B$30*(3*262*'Inputs'!$B$12-262^2)/(2*'Inputs'!$B$12^2))-('Inputs'!$B$30*(3*261*'Inputs'!$B$12-261^2)/(2*'Inputs'!$B$12^2)),0)</x:f>
        <x:v>268701.6794895828</x:v>
      </x:c>
      <x:c r="E1360" s="78" t="n">
        <x:f>C1360+D1360</x:f>
        <x:v>895672.264965266</x:v>
      </x:c>
      <x:c r="F1360" s="78" t="n">
        <x:f>'Inputs'!$B$13*E1360+(1-'Inputs'!$B$13)/'Inputs'!$B$14*SUM(E1305:E1360)</x:f>
        <x:v>905889.9418277313</x:v>
      </x:c>
      <x:c r="G1360" s="78" t="n">
        <x:f>F1360*'Inputs'!$F$47</x:f>
        <x:v>317061.47963970597</x:v>
      </x:c>
      <x:c r="H1360" s="78" t="n">
        <x:f>U1359</x:f>
        <x:v>1974936.9366611384</x:v>
      </x:c>
      <x:c r="I1360" s="78" t="n">
        <x:f>V1359</x:f>
        <x:v>35369.57404907178</x:v>
      </x:c>
      <x:c r="J1360" s="79" t="n">
        <x:f>IF(H1360&gt;0,I1360/H1360,0)</x:f>
        <x:v>0.017909216943842357</x:v>
      </x:c>
      <x:c r="K1360" s="80" t="n">
        <x:f>(H1360*J1360+I1360)*'Inputs'!$D$47*(1+'Inputs'!$G$47)^(B1360/30)</x:f>
        <x:v>137360.81117026313</x:v>
      </x:c>
      <x:c r="L1360" s="80" t="n">
        <x:f>MAX(0,K1360*'Inputs'!$E$47)</x:f>
        <x:v>6868.040558513157</x:v>
      </x:c>
      <x:c r="M1360" s="80" t="n">
        <x:f>MAX(0,-K1360*'Inputs'!$E$47)</x:f>
        <x:v>0</x:v>
      </x:c>
      <x:c r="N1360" s="78" t="n">
        <x:f>H1360*(L1360*(1-'Inputs'!$B$15))/(I1360+L1360*(1-'Inputs'!$B$15))</x:f>
        <x:v>318440.7613281026</x:v>
      </x:c>
      <x:c r="O1360" s="78" t="n">
        <x:f>H1360-N1360</x:f>
        <x:v>1656496.1753330359</x:v>
      </x:c>
      <x:c r="P1360" s="78" t="n">
        <x:f>I1360+L1360*(1-'Inputs'!$B$17)</x:f>
        <x:v>42209.97661740983</x:v>
      </x:c>
      <x:c r="Q1360" s="78" t="n">
        <x:f>IF(J1360&gt;0,M1360/J1360,0)</x:f>
        <x:v>0</x:v>
      </x:c>
      <x:c r="R1360" s="78" t="n">
        <x:f>IF(B1360='Inputs'!$H$47,'Inputs'!$B$27*'Inputs'!$I$47,0)</x:f>
        <x:v>0</x:v>
      </x:c>
      <x:c r="S1360" s="78" t="n">
        <x:f>Q1360+G1360+R1360</x:f>
        <x:v>317061.47963970597</x:v>
      </x:c>
      <x:c r="T1360" s="78" t="n">
        <x:f>P1360*(S1360*(1-'Inputs'!$B$15))/(O1360+S1360*(1-'Inputs'!$B$15))</x:f>
        <x:v>6724.225137143025</x:v>
      </x:c>
      <x:c r="U1360" s="78" t="n">
        <x:f>O1360+S1360*(1-'Inputs'!$B$17)</x:f>
        <x:v>1972281.7536462238</x:v>
      </x:c>
      <x:c r="V1360" s="78" t="n">
        <x:f>P1360-T1360</x:f>
        <x:v>35485.75148026681</x:v>
      </x:c>
      <x:c r="W1360" s="79" t="n">
        <x:f>IF(U1360&gt;0,V1360/U1360,0)</x:f>
        <x:v>0.01799223230385978</x:v>
      </x:c>
      <x:c r="X1360" s="80" t="n">
        <x:f>W1360*('Inputs'!$B$6-AC1360)</x:f>
        <x:v>17916847.964994032</x:v>
      </x:c>
      <x:c r="Y1360" s="80" t="n">
        <x:f>2*V1360</x:f>
        <x:v>70971.50296053362</x:v>
      </x:c>
      <x:c r="Z1360" s="80" t="n">
        <x:f>K1360*'Inputs'!$B$16+(G1360+R1360)*J1360*'Inputs'!$B$16</x:f>
        <x:v>858.2348039619976</x:v>
      </x:c>
      <x:c r="AA1360" s="80" t="n">
        <x:f>K1360*(1+'Inputs'!$E$47)/2*'Inputs'!$B$17</x:f>
        <x:v>290.1988968385841</x:v>
      </x:c>
      <x:c r="AB1360" s="78" t="n">
        <x:f>(IF(J1360&gt;0,K1360*(1-'Inputs'!$E$47)/2/J1360,0)+G1360+R1360)*'Inputs'!$B$17</x:f>
        <x:v>15936.559438304104</x:v>
      </x:c>
      <x:c r="AC1360" s="78" t="n">
        <x:f>AC1359+AB1360</x:f>
        <x:v>4189826.8982209414</x:v>
      </x:c>
      <x:c r="AD1360" s="80" t="n">
        <x:f>Z1360/(1+'Inputs'!$C$47)</x:f>
        <x:v>343.293921584799</x:v>
      </x:c>
      <x:c r="AE1360" s="80" t="n">
        <x:f>Z1360-AD1360</x:f>
        <x:v>514.9408823771986</x:v>
      </x:c>
      <x:c r="AF1360" s="80" t="n">
        <x:f>D1360*W1360</x:f>
        <x:v>4834.543037813848</x:v>
      </x:c>
      <x:c r="AG1360" s="80" t="n">
        <x:f>C1360*W1360</x:f>
        <x:v>11280.600421565468</x:v>
      </x:c>
      <x:c r="AH1360" s="80" t="n">
        <x:f>2*'Inputs'!$B$8*'Inputs'!$C$47</x:f>
        <x:v>7500</x:v>
      </x:c>
      <x:c r="AI1360" s="81" t="n">
        <x:f>IF(AH1360&gt;0,(AE1360+AF1360)/AH1360*365,0)</x:f>
        <x:v>260.3415507826309</x:v>
      </x:c>
      <x:c r="AJ1360" s="81" t="n">
        <x:f>IF('Inputs'!$B$47&gt;0,AG1360/('Inputs'!$B$19*'Inputs'!$B$47)*365,0)</x:f>
        <x:v>411.74191538713956</x:v>
      </x:c>
      <x:c r="AK1360" s="81" t="n">
        <x:f>W1360/MAX($W$1099:W1360)-1</x:f>
        <x:v>-0.18806093191530304</x:v>
      </x:c>
      <x:c r="AL1360" s="83" t="n">
        <x:f>'Inputs'!$B$47</x:f>
        <x:v>1</x:v>
      </x:c>
      <x:c r="AM1360" s="83" t="n">
        <x:f>'Inputs'!$C$47</x:f>
        <x:v>1.5</x:v>
      </x:c>
      <x:c r="AN1360" s="83" t="n">
        <x:f>'Inputs'!$D$47</x:f>
        <x:v>1.5</x:v>
      </x:c>
      <x:c r="AO1360" s="81" t="n">
        <x:f>'Inputs'!$E$47</x:f>
        <x:v>0.05</x:v>
      </x:c>
    </x:row>
    <x:row r="1361">
      <x:c r="A1361" s="59" t="str">
        <x:v>Growth</x:v>
      </x:c>
      <x:c r="B1361" s="59" t="n">
        <x:v>263</x:v>
      </x:c>
      <x:c r="C1361" s="78" t="n">
        <x:f>(('Inputs'!$B$29*(3*263*'Inputs'!$B$12-263^2)/(2*'Inputs'!$B$12^2))-('Inputs'!$B$29*(3*262*'Inputs'!$B$12-262^2)/(2*'Inputs'!$B$12^2)))*'Inputs'!$B$47</x:f>
        <x:v>626645.4775755405</x:v>
      </x:c>
      <x:c r="D1361" s="78" t="n">
        <x:f>IF('Inputs'!$C$47&gt;0,('Inputs'!$B$30*(3*263*'Inputs'!$B$12-263^2)/(2*'Inputs'!$B$12^2))-('Inputs'!$B$30*(3*262*'Inputs'!$B$12-262^2)/(2*'Inputs'!$B$12^2)),0)</x:f>
        <x:v>268562.34753237665</x:v>
      </x:c>
      <x:c r="E1361" s="78" t="n">
        <x:f>C1361+D1361</x:f>
        <x:v>895207.8251079172</x:v>
      </x:c>
      <x:c r="F1361" s="78" t="n">
        <x:f>'Inputs'!$B$13*E1361+(1-'Inputs'!$B$13)/'Inputs'!$B$14*SUM(E1306:E1361)</x:f>
        <x:v>905425.5019703544</x:v>
      </x:c>
      <x:c r="G1361" s="78" t="n">
        <x:f>F1361*'Inputs'!$F$47</x:f>
        <x:v>316898.925689624</x:v>
      </x:c>
      <x:c r="H1361" s="78" t="n">
        <x:f>U1360</x:f>
        <x:v>1972281.7536462238</x:v>
      </x:c>
      <x:c r="I1361" s="78" t="n">
        <x:f>V1360</x:f>
        <x:v>35485.75148026681</x:v>
      </x:c>
      <x:c r="J1361" s="79" t="n">
        <x:f>IF(H1361&gt;0,I1361/H1361,0)</x:f>
        <x:v>0.01799223230385978</x:v>
      </x:c>
      <x:c r="K1361" s="80" t="n">
        <x:f>(H1361*J1361+I1361)*'Inputs'!$D$47*(1+'Inputs'!$G$47)^(B1361/30)</x:f>
        <x:v>137947.84847704865</x:v>
      </x:c>
      <x:c r="L1361" s="80" t="n">
        <x:f>MAX(0,K1361*'Inputs'!$E$47)</x:f>
        <x:v>6897.392423852433</x:v>
      </x:c>
      <x:c r="M1361" s="80" t="n">
        <x:f>MAX(0,-K1361*'Inputs'!$E$47)</x:f>
        <x:v>0</x:v>
      </x:c>
      <x:c r="N1361" s="78" t="n">
        <x:f>H1361*(L1361*(1-'Inputs'!$B$15))/(I1361+L1361*(1-'Inputs'!$B$15))</x:f>
        <x:v>318275.5379451449</x:v>
      </x:c>
      <x:c r="O1361" s="78" t="n">
        <x:f>H1361-N1361</x:f>
        <x:v>1654006.215701079</x:v>
      </x:c>
      <x:c r="P1361" s="78" t="n">
        <x:f>I1361+L1361*(1-'Inputs'!$B$17)</x:f>
        <x:v>42355.38779778583</x:v>
      </x:c>
      <x:c r="Q1361" s="78" t="n">
        <x:f>IF(J1361&gt;0,M1361/J1361,0)</x:f>
        <x:v>0</x:v>
      </x:c>
      <x:c r="R1361" s="78" t="n">
        <x:f>IF(B1361='Inputs'!$H$47,'Inputs'!$B$27*'Inputs'!$I$47,0)</x:f>
        <x:v>0</x:v>
      </x:c>
      <x:c r="S1361" s="78" t="n">
        <x:f>Q1361+G1361+R1361</x:f>
        <x:v>316898.925689624</x:v>
      </x:c>
      <x:c r="T1361" s="78" t="n">
        <x:f>P1361*(S1361*(1-'Inputs'!$B$15))/(O1361+S1361*(1-'Inputs'!$B$15))</x:f>
        <x:v>6753.015696221899</x:v>
      </x:c>
      <x:c r="U1361" s="78" t="n">
        <x:f>O1361+S1361*(1-'Inputs'!$B$17)</x:f>
        <x:v>1969629.8942048294</x:v>
      </x:c>
      <x:c r="V1361" s="78" t="n">
        <x:f>P1361-T1361</x:f>
        <x:v>35602.37210156393</x:v>
      </x:c>
      <x:c r="W1361" s="79" t="n">
        <x:f>IF(U1361&gt;0,V1361/U1361,0)</x:f>
        <x:v>0.018075665995076283</x:v>
      </x:c>
      <x:c r="X1361" s="80" t="n">
        <x:f>W1361*('Inputs'!$B$6-AC1361)</x:f>
        <x:v>17999644.126782004</x:v>
      </x:c>
      <x:c r="Y1361" s="80" t="n">
        <x:f>2*V1361</x:f>
        <x:v>71204.74420312786</x:v>
      </x:c>
      <x:c r="Z1361" s="80" t="n">
        <x:f>K1361*'Inputs'!$B$16+(G1361+R1361)*J1361*'Inputs'!$B$16</x:f>
        <x:v>861.8974053893999</x:v>
      </x:c>
      <x:c r="AA1361" s="80" t="n">
        <x:f>K1361*(1+'Inputs'!$E$47)/2*'Inputs'!$B$17</x:f>
        <x:v>291.439116500807</x:v>
      </x:c>
      <x:c r="AB1361" s="78" t="n">
        <x:f>(IF(J1361&gt;0,K1361*(1-'Inputs'!$E$47)/2/J1361,0)+G1361+R1361)*'Inputs'!$B$17</x:f>
        <x:v>15930.627669752344</x:v>
      </x:c>
      <x:c r="AC1361" s="78" t="n">
        <x:f>AC1360+AB1361</x:f>
        <x:v>4205757.525890694</x:v>
      </x:c>
      <x:c r="AD1361" s="80" t="n">
        <x:f>Z1361/(1+'Inputs'!$C$47)</x:f>
        <x:v>344.75896215575995</x:v>
      </x:c>
      <x:c r="AE1361" s="80" t="n">
        <x:f>Z1361-AD1361</x:f>
        <x:v>517.1384432336399</x:v>
      </x:c>
      <x:c r="AF1361" s="80" t="n">
        <x:f>D1361*W1361</x:f>
        <x:v>4854.4432928488395</x:v>
      </x:c>
      <x:c r="AG1361" s="80" t="n">
        <x:f>C1361*W1361</x:f>
        <x:v>11327.034349980535</x:v>
      </x:c>
      <x:c r="AH1361" s="80" t="n">
        <x:f>2*'Inputs'!$B$8*'Inputs'!$C$47</x:f>
        <x:v>7500</x:v>
      </x:c>
      <x:c r="AI1361" s="81" t="n">
        <x:f>IF(AH1361&gt;0,(AE1361+AF1361)/AH1361*365,0)</x:f>
        <x:v>261.4169778226807</x:v>
      </x:c>
      <x:c r="AJ1361" s="81" t="n">
        <x:f>IF('Inputs'!$B$47&gt;0,AG1361/('Inputs'!$B$19*'Inputs'!$B$47)*365,0)</x:f>
        <x:v>413.43675377428957</x:v>
      </x:c>
      <x:c r="AK1361" s="81" t="n">
        <x:f>W1361/MAX($W$1099:W1361)-1</x:f>
        <x:v>-0.18429580303362114</x:v>
      </x:c>
      <x:c r="AL1361" s="83" t="n">
        <x:f>'Inputs'!$B$47</x:f>
        <x:v>1</x:v>
      </x:c>
      <x:c r="AM1361" s="83" t="n">
        <x:f>'Inputs'!$C$47</x:f>
        <x:v>1.5</x:v>
      </x:c>
      <x:c r="AN1361" s="83" t="n">
        <x:f>'Inputs'!$D$47</x:f>
        <x:v>1.5</x:v>
      </x:c>
      <x:c r="AO1361" s="81" t="n">
        <x:f>'Inputs'!$E$47</x:f>
        <x:v>0.05</x:v>
      </x:c>
    </x:row>
    <x:row r="1362">
      <x:c r="A1362" s="59" t="str">
        <x:v>Growth</x:v>
      </x:c>
      <x:c r="B1362" s="59" t="n">
        <x:v>264</x:v>
      </x:c>
      <x:c r="C1362" s="78" t="n">
        <x:f>(('Inputs'!$B$29*(3*264*'Inputs'!$B$12-264^2)/(2*'Inputs'!$B$12^2))-('Inputs'!$B$29*(3*263*'Inputs'!$B$12-263^2)/(2*'Inputs'!$B$12^2)))*'Inputs'!$B$47</x:f>
        <x:v>626320.3696753681</x:v>
      </x:c>
      <x:c r="D1362" s="78" t="n">
        <x:f>IF('Inputs'!$C$47&gt;0,('Inputs'!$B$30*(3*264*'Inputs'!$B$12-264^2)/(2*'Inputs'!$B$12^2))-('Inputs'!$B$30*(3*263*'Inputs'!$B$12-263^2)/(2*'Inputs'!$B$12^2)),0)</x:f>
        <x:v>268423.0155751556</x:v>
      </x:c>
      <x:c r="E1362" s="78" t="n">
        <x:f>C1362+D1362</x:f>
        <x:v>894743.3852505237</x:v>
      </x:c>
      <x:c r="F1362" s="78" t="n">
        <x:f>'Inputs'!$B$13*E1362+(1-'Inputs'!$B$13)/'Inputs'!$B$14*SUM(E1307:E1362)</x:f>
        <x:v>904961.0621129684</x:v>
      </x:c>
      <x:c r="G1362" s="78" t="n">
        <x:f>F1362*'Inputs'!$F$47</x:f>
        <x:v>316736.3717395389</x:v>
      </x:c>
      <x:c r="H1362" s="78" t="n">
        <x:f>U1361</x:f>
        <x:v>1969629.8942048294</x:v>
      </x:c>
      <x:c r="I1362" s="78" t="n">
        <x:f>V1361</x:f>
        <x:v>35602.37210156393</x:v>
      </x:c>
      <x:c r="J1362" s="79" t="n">
        <x:f>IF(H1362&gt;0,I1362/H1362,0)</x:f>
        <x:v>0.018075665995076283</x:v>
      </x:c>
      <x:c r="K1362" s="80" t="n">
        <x:f>(H1362*J1362+I1362)*'Inputs'!$D$47*(1+'Inputs'!$G$47)^(B1362/30)</x:f>
        <x:v>138537.63424241752</x:v>
      </x:c>
      <x:c r="L1362" s="80" t="n">
        <x:f>MAX(0,K1362*'Inputs'!$E$47)</x:f>
        <x:v>6926.881712120877</x:v>
      </x:c>
      <x:c r="M1362" s="80" t="n">
        <x:f>MAX(0,-K1362*'Inputs'!$E$47)</x:f>
        <x:v>0</x:v>
      </x:c>
      <x:c r="N1362" s="78" t="n">
        <x:f>H1362*(L1362*(1-'Inputs'!$B$15))/(I1362+L1362*(1-'Inputs'!$B$15))</x:f>
        <x:v>318110.31873819605</x:v>
      </x:c>
      <x:c r="O1362" s="78" t="n">
        <x:f>H1362-N1362</x:f>
        <x:v>1651519.5754666333</x:v>
      </x:c>
      <x:c r="P1362" s="78" t="n">
        <x:f>I1362+L1362*(1-'Inputs'!$B$17)</x:f>
        <x:v>42501.37903818332</x:v>
      </x:c>
      <x:c r="Q1362" s="78" t="n">
        <x:f>IF(J1362&gt;0,M1362/J1362,0)</x:f>
        <x:v>0</x:v>
      </x:c>
      <x:c r="R1362" s="78" t="n">
        <x:f>IF(B1362='Inputs'!$H$47,'Inputs'!$B$27*'Inputs'!$I$47,0)</x:f>
        <x:v>0</x:v>
      </x:c>
      <x:c r="S1362" s="78" t="n">
        <x:f>Q1362+G1362+R1362</x:f>
        <x:v>316736.3717395389</x:v>
      </x:c>
      <x:c r="T1362" s="78" t="n">
        <x:f>P1362*(S1362*(1-'Inputs'!$B$15))/(O1362+S1362*(1-'Inputs'!$B$15))</x:f>
        <x:v>6781.941219624608</x:v>
      </x:c>
      <x:c r="U1362" s="78" t="n">
        <x:f>O1362+S1362*(1-'Inputs'!$B$17)</x:f>
        <x:v>1966981.3541609426</x:v>
      </x:c>
      <x:c r="V1362" s="78" t="n">
        <x:f>P1362-T1362</x:f>
        <x:v>35719.43781855871</x:v>
      </x:c>
      <x:c r="W1362" s="79" t="n">
        <x:f>IF(U1362&gt;0,V1362/U1362,0)</x:f>
        <x:v>0.018159520293874666</x:v>
      </x:c>
      <x:c r="X1362" s="80" t="n">
        <x:f>W1362*('Inputs'!$B$6-AC1362)</x:f>
        <x:v>18082856.569892492</x:v>
      </x:c>
      <x:c r="Y1362" s="80" t="n">
        <x:f>2*V1362</x:f>
        <x:v>71438.87563711742</x:v>
      </x:c>
      <x:c r="Z1362" s="80" t="n">
        <x:f>K1362*'Inputs'!$B$16+(G1362+R1362)*J1362*'Inputs'!$B$16</x:f>
        <x:v>865.5771306388425</x:v>
      </x:c>
      <x:c r="AA1362" s="80" t="n">
        <x:f>K1362*(1+'Inputs'!$E$47)/2*'Inputs'!$B$17</x:f>
        <x:v>292.68514276567083</x:v>
      </x:c>
      <x:c r="AB1362" s="78" t="n">
        <x:f>(IF(J1362&gt;0,K1362*(1-'Inputs'!$E$47)/2/J1362,0)+G1362+R1362)*'Inputs'!$B$17</x:f>
        <x:v>15924.695970140368</x:v>
      </x:c>
      <x:c r="AC1362" s="78" t="n">
        <x:f>AC1361+AB1362</x:f>
        <x:v>4221682.221860834</x:v>
      </x:c>
      <x:c r="AD1362" s="80" t="n">
        <x:f>Z1362/(1+'Inputs'!$C$47)</x:f>
        <x:v>346.230852255537</x:v>
      </x:c>
      <x:c r="AE1362" s="80" t="n">
        <x:f>Z1362-AD1362</x:f>
        <x:v>519.3462783833055</x:v>
      </x:c>
      <x:c r="AF1362" s="80" t="n">
        <x:f>D1362*W1362</x:f>
        <x:v>4874.433198680074</x:v>
      </x:c>
      <x:c r="AG1362" s="80" t="n">
        <x:f>C1362*W1362</x:f>
        <x:v>11373.67746358693</x:v>
      </x:c>
      <x:c r="AH1362" s="80" t="n">
        <x:f>2*'Inputs'!$B$8*'Inputs'!$C$47</x:f>
        <x:v>7500</x:v>
      </x:c>
      <x:c r="AI1362" s="81" t="n">
        <x:f>IF(AH1362&gt;0,(AE1362+AF1362)/AH1362*365,0)</x:f>
        <x:v>262.49726788375114</x:v>
      </x:c>
      <x:c r="AJ1362" s="81" t="n">
        <x:f>IF('Inputs'!$B$47&gt;0,AG1362/('Inputs'!$B$19*'Inputs'!$B$47)*365,0)</x:f>
        <x:v>415.1392274209229</x:v>
      </x:c>
      <x:c r="AK1362" s="81" t="n">
        <x:f>W1362/MAX($W$1099:W1362)-1</x:f>
        <x:v>-0.18051169330941264</x:v>
      </x:c>
      <x:c r="AL1362" s="83" t="n">
        <x:f>'Inputs'!$B$47</x:f>
        <x:v>1</x:v>
      </x:c>
      <x:c r="AM1362" s="83" t="n">
        <x:f>'Inputs'!$C$47</x:f>
        <x:v>1.5</x:v>
      </x:c>
      <x:c r="AN1362" s="83" t="n">
        <x:f>'Inputs'!$D$47</x:f>
        <x:v>1.5</x:v>
      </x:c>
      <x:c r="AO1362" s="81" t="n">
        <x:f>'Inputs'!$E$47</x:f>
        <x:v>0.05</x:v>
      </x:c>
    </x:row>
    <x:row r="1363">
      <x:c r="A1363" s="59" t="str">
        <x:v>Growth</x:v>
      </x:c>
      <x:c r="B1363" s="59" t="n">
        <x:v>265</x:v>
      </x:c>
      <x:c r="C1363" s="78" t="n">
        <x:f>(('Inputs'!$B$29*(3*265*'Inputs'!$B$12-265^2)/(2*'Inputs'!$B$12^2))-('Inputs'!$B$29*(3*264*'Inputs'!$B$12-264^2)/(2*'Inputs'!$B$12^2)))*'Inputs'!$B$47</x:f>
        <x:v>625995.2617751658</x:v>
      </x:c>
      <x:c r="D1363" s="78" t="n">
        <x:f>IF('Inputs'!$C$47&gt;0,('Inputs'!$B$30*(3*265*'Inputs'!$B$12-265^2)/(2*'Inputs'!$B$12^2))-('Inputs'!$B$30*(3*264*'Inputs'!$B$12-264^2)/(2*'Inputs'!$B$12^2)),0)</x:f>
        <x:v>268283.6836179346</x:v>
      </x:c>
      <x:c r="E1363" s="78" t="n">
        <x:f>C1363+D1363</x:f>
        <x:v>894278.9453931004</x:v>
      </x:c>
      <x:c r="F1363" s="78" t="n">
        <x:f>'Inputs'!$B$13*E1363+(1-'Inputs'!$B$13)/'Inputs'!$B$14*SUM(E1308:E1363)</x:f>
        <x:v>904496.6222555761</x:v>
      </x:c>
      <x:c r="G1363" s="78" t="n">
        <x:f>F1363*'Inputs'!$F$47</x:f>
        <x:v>316573.8177894516</x:v>
      </x:c>
      <x:c r="H1363" s="78" t="n">
        <x:f>U1362</x:f>
        <x:v>1966981.3541609426</x:v>
      </x:c>
      <x:c r="I1363" s="78" t="n">
        <x:f>V1362</x:f>
        <x:v>35719.43781855871</x:v>
      </x:c>
      <x:c r="J1363" s="79" t="n">
        <x:f>IF(H1363&gt;0,I1363/H1363,0)</x:f>
        <x:v>0.018159520293874666</x:v>
      </x:c>
      <x:c r="K1363" s="80" t="n">
        <x:f>(H1363*J1363+I1363)*'Inputs'!$D$47*(1+'Inputs'!$G$47)^(B1363/30)</x:f>
        <x:v>139130.18243714623</x:v>
      </x:c>
      <x:c r="L1363" s="80" t="n">
        <x:f>MAX(0,K1363*'Inputs'!$E$47)</x:f>
        <x:v>6956.509121857312</x:v>
      </x:c>
      <x:c r="M1363" s="80" t="n">
        <x:f>MAX(0,-K1363*'Inputs'!$E$47)</x:f>
        <x:v>0</x:v>
      </x:c>
      <x:c r="N1363" s="78" t="n">
        <x:f>H1363*(L1363*(1-'Inputs'!$B$15))/(I1363+L1363*(1-'Inputs'!$B$15))</x:f>
        <x:v>317945.10370214813</x:v>
      </x:c>
      <x:c r="O1363" s="78" t="n">
        <x:f>H1363-N1363</x:f>
        <x:v>1649036.2504587944</x:v>
      </x:c>
      <x:c r="P1363" s="78" t="n">
        <x:f>I1363+L1363*(1-'Inputs'!$B$17)</x:f>
        <x:v>42647.95293992565</x:v>
      </x:c>
      <x:c r="Q1363" s="78" t="n">
        <x:f>IF(J1363&gt;0,M1363/J1363,0)</x:f>
        <x:v>0</x:v>
      </x:c>
      <x:c r="R1363" s="78" t="n">
        <x:f>IF(B1363='Inputs'!$H$47,'Inputs'!$B$27*'Inputs'!$I$47,0)</x:f>
        <x:v>0</x:v>
      </x:c>
      <x:c r="S1363" s="78" t="n">
        <x:f>Q1363+G1363+R1363</x:f>
        <x:v>316573.8177894516</x:v>
      </x:c>
      <x:c r="T1363" s="78" t="n">
        <x:f>P1363*(S1363*(1-'Inputs'!$B$15))/(O1363+S1363*(1-'Inputs'!$B$15))</x:f>
        <x:v>6811.002394033259</x:v>
      </x:c>
      <x:c r="U1363" s="78" t="n">
        <x:f>O1363+S1363*(1-'Inputs'!$B$17)</x:f>
        <x:v>1964336.1293436608</x:v>
      </x:c>
      <x:c r="V1363" s="78" t="n">
        <x:f>P1363-T1363</x:f>
        <x:v>35836.95054589239</x:v>
      </x:c>
      <x:c r="W1363" s="79" t="n">
        <x:f>IF(U1363&gt;0,V1363/U1363,0)</x:f>
        <x:v>0.018243797489926793</x:v>
      </x:c>
      <x:c r="X1363" s="80" t="n">
        <x:f>W1363*('Inputs'!$B$6-AC1363)</x:f>
        <x:v>18166487.555691466</x:v>
      </x:c>
      <x:c r="Y1363" s="80" t="n">
        <x:f>2*V1363</x:f>
        <x:v>71673.90109178478</x:v>
      </x:c>
      <x:c r="Z1363" s="80" t="n">
        <x:f>K1363*'Inputs'!$B$16+(G1363+R1363)*J1363*'Inputs'!$B$16</x:f>
        <x:v>869.274066634819</x:v>
      </x:c>
      <x:c r="AA1363" s="80" t="n">
        <x:f>K1363*(1+'Inputs'!$E$47)/2*'Inputs'!$B$17</x:f>
        <x:v>293.93700514890054</x:v>
      </x:c>
      <x:c r="AB1363" s="78" t="n">
        <x:f>(IF(J1363&gt;0,K1363*(1-'Inputs'!$E$47)/2/J1363,0)+G1363+R1363)*'Inputs'!$B$17</x:f>
        <x:v>15918.76433801009</x:v>
      </x:c>
      <x:c r="AC1363" s="78" t="n">
        <x:f>AC1362+AB1363</x:f>
        <x:v>4237600.986198844</x:v>
      </x:c>
      <x:c r="AD1363" s="80" t="n">
        <x:f>Z1363/(1+'Inputs'!$C$47)</x:f>
        <x:v>347.70962665392756</x:v>
      </x:c>
      <x:c r="AE1363" s="80" t="n">
        <x:f>Z1363-AD1363</x:f>
        <x:v>521.5644399808914</x:v>
      </x:c>
      <x:c r="AF1363" s="80" t="n">
        <x:f>D1363*W1363</x:f>
        <x:v>4894.5131937771885</x:v>
      </x:c>
      <x:c r="AG1363" s="80" t="n">
        <x:f>C1363*W1363</x:f>
        <x:v>11420.530785479836</x:v>
      </x:c>
      <x:c r="AH1363" s="80" t="n">
        <x:f>2*'Inputs'!$B$8*'Inputs'!$C$47</x:f>
        <x:v>7500</x:v>
      </x:c>
      <x:c r="AI1363" s="81" t="n">
        <x:f>IF(AH1363&gt;0,(AE1363+AF1363)/AH1363*365,0)</x:f>
        <x:v>263.5824448428932</x:v>
      </x:c>
      <x:c r="AJ1363" s="81" t="n">
        <x:f>IF('Inputs'!$B$47&gt;0,AG1363/('Inputs'!$B$19*'Inputs'!$B$47)*365,0)</x:f>
        <x:v>416.849373670014</x:v>
      </x:c>
      <x:c r="AK1363" s="81" t="n">
        <x:f>W1363/MAX($W$1099:W1363)-1</x:f>
        <x:v>-0.17670849941619704</x:v>
      </x:c>
      <x:c r="AL1363" s="83" t="n">
        <x:f>'Inputs'!$B$47</x:f>
        <x:v>1</x:v>
      </x:c>
      <x:c r="AM1363" s="83" t="n">
        <x:f>'Inputs'!$C$47</x:f>
        <x:v>1.5</x:v>
      </x:c>
      <x:c r="AN1363" s="83" t="n">
        <x:f>'Inputs'!$D$47</x:f>
        <x:v>1.5</x:v>
      </x:c>
      <x:c r="AO1363" s="81" t="n">
        <x:f>'Inputs'!$E$47</x:f>
        <x:v>0.05</x:v>
      </x:c>
    </x:row>
    <x:row r="1364">
      <x:c r="A1364" s="59" t="str">
        <x:v>Growth</x:v>
      </x:c>
      <x:c r="B1364" s="59" t="n">
        <x:v>266</x:v>
      </x:c>
      <x:c r="C1364" s="78" t="n">
        <x:f>(('Inputs'!$B$29*(3*266*'Inputs'!$B$12-266^2)/(2*'Inputs'!$B$12^2))-('Inputs'!$B$29*(3*265*'Inputs'!$B$12-265^2)/(2*'Inputs'!$B$12^2)))*'Inputs'!$B$47</x:f>
        <x:v>625670.1538750231</x:v>
      </x:c>
      <x:c r="D1364" s="78" t="n">
        <x:f>IF('Inputs'!$C$47&gt;0,('Inputs'!$B$30*(3*266*'Inputs'!$B$12-266^2)/(2*'Inputs'!$B$12^2))-('Inputs'!$B$30*(3*265*'Inputs'!$B$12-265^2)/(2*'Inputs'!$B$12^2)),0)</x:f>
        <x:v>268144.35166072845</x:v>
      </x:c>
      <x:c r="E1364" s="78" t="n">
        <x:f>C1364+D1364</x:f>
        <x:v>893814.5055357516</x:v>
      </x:c>
      <x:c r="F1364" s="78" t="n">
        <x:f>'Inputs'!$B$13*E1364+(1-'Inputs'!$B$13)/'Inputs'!$B$14*SUM(E1309:E1364)</x:f>
        <x:v>904032.1823981993</x:v>
      </x:c>
      <x:c r="G1364" s="78" t="n">
        <x:f>F1364*'Inputs'!$F$47</x:f>
        <x:v>316411.26383936976</x:v>
      </x:c>
      <x:c r="H1364" s="78" t="n">
        <x:f>U1363</x:f>
        <x:v>1964336.1293436608</x:v>
      </x:c>
      <x:c r="I1364" s="78" t="n">
        <x:f>V1363</x:f>
        <x:v>35836.95054589239</x:v>
      </x:c>
      <x:c r="J1364" s="79" t="n">
        <x:f>IF(H1364&gt;0,I1364/H1364,0)</x:f>
        <x:v>0.018243797489926793</x:v>
      </x:c>
      <x:c r="K1364" s="80" t="n">
        <x:f>(H1364*J1364+I1364)*'Inputs'!$D$47*(1+'Inputs'!$G$47)^(B1364/30)</x:f>
        <x:v>139725.50710846248</x:v>
      </x:c>
      <x:c r="L1364" s="80" t="n">
        <x:f>MAX(0,K1364*'Inputs'!$E$47)</x:f>
        <x:v>6986.275355423124</x:v>
      </x:c>
      <x:c r="M1364" s="80" t="n">
        <x:f>MAX(0,-K1364*'Inputs'!$E$47)</x:f>
        <x:v>0</x:v>
      </x:c>
      <x:c r="N1364" s="78" t="n">
        <x:f>H1364*(L1364*(1-'Inputs'!$B$15))/(I1364+L1364*(1-'Inputs'!$B$15))</x:f>
        <x:v>317779.89283189946</x:v>
      </x:c>
      <x:c r="O1364" s="78" t="n">
        <x:f>H1364-N1364</x:f>
        <x:v>1646556.2365117613</x:v>
      </x:c>
      <x:c r="P1364" s="78" t="n">
        <x:f>I1364+L1364*(1-'Inputs'!$B$17)</x:f>
        <x:v>42795.11211718906</x:v>
      </x:c>
      <x:c r="Q1364" s="78" t="n">
        <x:f>IF(J1364&gt;0,M1364/J1364,0)</x:f>
        <x:v>0</x:v>
      </x:c>
      <x:c r="R1364" s="78" t="n">
        <x:f>IF(B1364='Inputs'!$H$47,'Inputs'!$B$27*'Inputs'!$I$47,0)</x:f>
        <x:v>0</x:v>
      </x:c>
      <x:c r="S1364" s="78" t="n">
        <x:f>Q1364+G1364+R1364</x:f>
        <x:v>316411.26383936976</x:v>
      </x:c>
      <x:c r="T1364" s="78" t="n">
        <x:f>P1364*(S1364*(1-'Inputs'!$B$15))/(O1364+S1364*(1-'Inputs'!$B$15))</x:f>
        <x:v>6840.199909890542</x:v>
      </x:c>
      <x:c r="U1364" s="78" t="n">
        <x:f>O1364+S1364*(1-'Inputs'!$B$17)</x:f>
        <x:v>1961694.21558719</x:v>
      </x:c>
      <x:c r="V1364" s="78" t="n">
        <x:f>P1364-T1364</x:f>
        <x:v>35954.91220729852</x:v>
      </x:c>
      <x:c r="W1364" s="79" t="n">
        <x:f>IF(U1364&gt;0,V1364/U1364,0)</x:f>
        <x:v>0.018328499886276214</x:v>
      </x:c>
      <x:c r="X1364" s="80" t="n">
        <x:f>W1364*('Inputs'!$B$6-AC1364)</x:f>
        <x:v>18250539.358728934</x:v>
      </x:c>
      <x:c r="Y1364" s="80" t="n">
        <x:f>2*V1364</x:f>
        <x:v>71909.82441459704</x:v>
      </x:c>
      <x:c r="Z1364" s="80" t="n">
        <x:f>K1364*'Inputs'!$B$16+(G1364+R1364)*J1364*'Inputs'!$B$16</x:f>
        <x:v>872.9883007768784</x:v>
      </x:c>
      <x:c r="AA1364" s="80" t="n">
        <x:f>K1364*(1+'Inputs'!$E$47)/2*'Inputs'!$B$17</x:f>
        <x:v>295.19473332773765</x:v>
      </x:c>
      <x:c r="AB1364" s="78" t="n">
        <x:f>(IF(J1364&gt;0,K1364*(1-'Inputs'!$E$47)/2/J1364,0)+G1364+R1364)*'Inputs'!$B$17</x:f>
        <x:v>15912.83277190129</x:v>
      </x:c>
      <x:c r="AC1364" s="78" t="n">
        <x:f>AC1363+AB1364</x:f>
        <x:v>4253513.818970745</x:v>
      </x:c>
      <x:c r="AD1364" s="80" t="n">
        <x:f>Z1364/(1+'Inputs'!$C$47)</x:f>
        <x:v>349.19532031075136</x:v>
      </x:c>
      <x:c r="AE1364" s="80" t="n">
        <x:f>Z1364-AD1364</x:f>
        <x:v>523.7929804661271</x:v>
      </x:c>
      <x:c r="AF1364" s="80" t="n">
        <x:f>D1364*W1364</x:f>
        <x:v>4914.68371891927</x:v>
      </x:c>
      <x:c r="AG1364" s="80" t="n">
        <x:f>C1364*W1364</x:f>
        <x:v>11467.595344144782</x:v>
      </x:c>
      <x:c r="AH1364" s="80" t="n">
        <x:f>2*'Inputs'!$B$8*'Inputs'!$C$47</x:f>
        <x:v>7500</x:v>
      </x:c>
      <x:c r="AI1364" s="81" t="n">
        <x:f>IF(AH1364&gt;0,(AE1364+AF1364)/AH1364*365,0)</x:f>
        <x:v>264.67253270342263</x:v>
      </x:c>
      <x:c r="AJ1364" s="81" t="n">
        <x:f>IF('Inputs'!$B$47&gt;0,AG1364/('Inputs'!$B$19*'Inputs'!$B$47)*365,0)</x:f>
        <x:v>418.5672300612845</x:v>
      </x:c>
      <x:c r="AK1364" s="81" t="n">
        <x:f>W1364/MAX($W$1099:W1364)-1</x:f>
        <x:v>-0.17288611742406723</x:v>
      </x:c>
      <x:c r="AL1364" s="83" t="n">
        <x:f>'Inputs'!$B$47</x:f>
        <x:v>1</x:v>
      </x:c>
      <x:c r="AM1364" s="83" t="n">
        <x:f>'Inputs'!$C$47</x:f>
        <x:v>1.5</x:v>
      </x:c>
      <x:c r="AN1364" s="83" t="n">
        <x:f>'Inputs'!$D$47</x:f>
        <x:v>1.5</x:v>
      </x:c>
      <x:c r="AO1364" s="81" t="n">
        <x:f>'Inputs'!$E$47</x:f>
        <x:v>0.05</x:v>
      </x:c>
    </x:row>
    <x:row r="1365">
      <x:c r="A1365" s="59" t="str">
        <x:v>Growth</x:v>
      </x:c>
      <x:c r="B1365" s="59" t="n">
        <x:v>267</x:v>
      </x:c>
      <x:c r="C1365" s="78" t="n">
        <x:f>(('Inputs'!$B$29*(3*267*'Inputs'!$B$12-267^2)/(2*'Inputs'!$B$12^2))-('Inputs'!$B$29*(3*266*'Inputs'!$B$12-266^2)/(2*'Inputs'!$B$12^2)))*'Inputs'!$B$47</x:f>
        <x:v>625345.0459748805</x:v>
      </x:c>
      <x:c r="D1365" s="78" t="n">
        <x:f>IF('Inputs'!$C$47&gt;0,('Inputs'!$B$30*(3*267*'Inputs'!$B$12-267^2)/(2*'Inputs'!$B$12^2))-('Inputs'!$B$30*(3*266*'Inputs'!$B$12-266^2)/(2*'Inputs'!$B$12^2)),0)</x:f>
        <x:v>268005.0197035074</x:v>
      </x:c>
      <x:c r="E1365" s="78" t="n">
        <x:f>C1365+D1365</x:f>
        <x:v>893350.0656783879</x:v>
      </x:c>
      <x:c r="F1365" s="78" t="n">
        <x:f>'Inputs'!$B$13*E1365+(1-'Inputs'!$B$13)/'Inputs'!$B$14*SUM(E1310:E1365)</x:f>
        <x:v>903567.7425408192</x:v>
      </x:c>
      <x:c r="G1365" s="78" t="n">
        <x:f>F1365*'Inputs'!$F$47</x:f>
        <x:v>316248.7098892867</x:v>
      </x:c>
      <x:c r="H1365" s="78" t="n">
        <x:f>U1364</x:f>
        <x:v>1961694.21558719</x:v>
      </x:c>
      <x:c r="I1365" s="78" t="n">
        <x:f>V1364</x:f>
        <x:v>35954.91220729852</x:v>
      </x:c>
      <x:c r="J1365" s="79" t="n">
        <x:f>IF(H1365&gt;0,I1365/H1365,0)</x:f>
        <x:v>0.018328499886276214</x:v>
      </x:c>
      <x:c r="K1365" s="80" t="n">
        <x:f>(H1365*J1365+I1365)*'Inputs'!$D$47*(1+'Inputs'!$G$47)^(B1365/30)</x:f>
        <x:v>140323.62238049228</x:v>
      </x:c>
      <x:c r="L1365" s="80" t="n">
        <x:f>MAX(0,K1365*'Inputs'!$E$47)</x:f>
        <x:v>7016.181119024614</x:v>
      </x:c>
      <x:c r="M1365" s="80" t="n">
        <x:f>MAX(0,-K1365*'Inputs'!$E$47)</x:f>
        <x:v>0</x:v>
      </x:c>
      <x:c r="N1365" s="78" t="n">
        <x:f>H1365*(L1365*(1-'Inputs'!$B$15))/(I1365+L1365*(1-'Inputs'!$B$15))</x:f>
        <x:v>317614.68612235587</x:v>
      </x:c>
      <x:c r="O1365" s="78" t="n">
        <x:f>H1365-N1365</x:f>
        <x:v>1644079.529464834</x:v>
      </x:c>
      <x:c r="P1365" s="78" t="n">
        <x:f>I1365+L1365*(1-'Inputs'!$B$17)</x:f>
        <x:v>42942.85919707153</x:v>
      </x:c>
      <x:c r="Q1365" s="78" t="n">
        <x:f>IF(J1365&gt;0,M1365/J1365,0)</x:f>
        <x:v>0</x:v>
      </x:c>
      <x:c r="R1365" s="78" t="n">
        <x:f>IF(B1365='Inputs'!$H$47,'Inputs'!$B$27*'Inputs'!$I$47,0)</x:f>
        <x:v>0</x:v>
      </x:c>
      <x:c r="S1365" s="78" t="n">
        <x:f>Q1365+G1365+R1365</x:f>
        <x:v>316248.7098892867</x:v>
      </x:c>
      <x:c r="T1365" s="78" t="n">
        <x:f>P1365*(S1365*(1-'Inputs'!$B$15))/(O1365+S1365*(1-'Inputs'!$B$15))</x:f>
        <x:v>6869.53446142131</x:v>
      </x:c>
      <x:c r="U1365" s="78" t="n">
        <x:f>O1365+S1365*(1-'Inputs'!$B$17)</x:f>
        <x:v>1959055.6087308237</x:v>
      </x:c>
      <x:c r="V1365" s="78" t="n">
        <x:f>P1365-T1365</x:f>
        <x:v>36073.32473565022</x:v>
      </x:c>
      <x:c r="W1365" s="79" t="n">
        <x:f>IF(U1365&gt;0,V1365/U1365,0)</x:f>
        <x:v>0.018413629799421752</x:v>
      </x:c>
      <x:c r="X1365" s="80" t="n">
        <x:f>W1365*('Inputs'!$B$6-AC1365)</x:f>
        <x:v>18335014.26682125</x:v>
      </x:c>
      <x:c r="Y1365" s="80" t="n">
        <x:f>2*V1365</x:f>
        <x:v>72146.64947130044</x:v>
      </x:c>
      <x:c r="Z1365" s="80" t="n">
        <x:f>K1365*'Inputs'!$B$16+(G1365+R1365)*J1365*'Inputs'!$B$16</x:f>
        <x:v>876.7199209423984</x:v>
      </x:c>
      <x:c r="AA1365" s="80" t="n">
        <x:f>K1365*(1+'Inputs'!$E$47)/2*'Inputs'!$B$17</x:f>
        <x:v>296.45835714188513</x:v>
      </x:c>
      <x:c r="AB1365" s="78" t="n">
        <x:f>(IF(J1365&gt;0,K1365*(1-'Inputs'!$E$47)/2/J1365,0)+G1365+R1365)*'Inputs'!$B$17</x:f>
        <x:v>15906.90127035161</x:v>
      </x:c>
      <x:c r="AC1365" s="78" t="n">
        <x:f>AC1364+AB1365</x:f>
        <x:v>4269420.720241097</x:v>
      </x:c>
      <x:c r="AD1365" s="80" t="n">
        <x:f>Z1365/(1+'Inputs'!$C$47)</x:f>
        <x:v>350.68796837695936</x:v>
      </x:c>
      <x:c r="AE1365" s="80" t="n">
        <x:f>Z1365-AD1365</x:f>
        <x:v>526.031952565439</x:v>
      </x:c>
      <x:c r="AF1365" s="80" t="n">
        <x:f>D1365*W1365</x:f>
        <x:v>4934.945217207118</x:v>
      </x:c>
      <x:c r="AG1365" s="80" t="n">
        <x:f>C1365*W1365</x:f>
        <x:v>11514.872173483824</x:v>
      </x:c>
      <x:c r="AH1365" s="80" t="n">
        <x:f>2*'Inputs'!$B$8*'Inputs'!$C$47</x:f>
        <x:v>7500</x:v>
      </x:c>
      <x:c r="AI1365" s="81" t="n">
        <x:f>IF(AH1365&gt;0,(AE1365+AF1365)/AH1365*365,0)</x:f>
        <x:v>265.7675555955978</x:v>
      </x:c>
      <x:c r="AJ1365" s="81" t="n">
        <x:f>IF('Inputs'!$B$47&gt;0,AG1365/('Inputs'!$B$19*'Inputs'!$B$47)*365,0)</x:f>
        <x:v>420.29283433215954</x:v>
      </x:c>
      <x:c r="AK1365" s="81" t="n">
        <x:f>W1365/MAX($W$1099:W1365)-1</x:f>
        <x:v>-0.16904444279591724</x:v>
      </x:c>
      <x:c r="AL1365" s="83" t="n">
        <x:f>'Inputs'!$B$47</x:f>
        <x:v>1</x:v>
      </x:c>
      <x:c r="AM1365" s="83" t="n">
        <x:f>'Inputs'!$C$47</x:f>
        <x:v>1.5</x:v>
      </x:c>
      <x:c r="AN1365" s="83" t="n">
        <x:f>'Inputs'!$D$47</x:f>
        <x:v>1.5</x:v>
      </x:c>
      <x:c r="AO1365" s="81" t="n">
        <x:f>'Inputs'!$E$47</x:f>
        <x:v>0.05</x:v>
      </x:c>
    </x:row>
    <x:row r="1366">
      <x:c r="A1366" s="59" t="str">
        <x:v>Growth</x:v>
      </x:c>
      <x:c r="B1366" s="59" t="n">
        <x:v>268</x:v>
      </x:c>
      <x:c r="C1366" s="78" t="n">
        <x:f>(('Inputs'!$B$29*(3*268*'Inputs'!$B$12-268^2)/(2*'Inputs'!$B$12^2))-('Inputs'!$B$29*(3*267*'Inputs'!$B$12-267^2)/(2*'Inputs'!$B$12^2)))*'Inputs'!$B$47</x:f>
        <x:v>625019.9380746782</x:v>
      </x:c>
      <x:c r="D1366" s="78" t="n">
        <x:f>IF('Inputs'!$C$47&gt;0,('Inputs'!$B$30*(3*268*'Inputs'!$B$12-268^2)/(2*'Inputs'!$B$12^2))-('Inputs'!$B$30*(3*267*'Inputs'!$B$12-267^2)/(2*'Inputs'!$B$12^2)),0)</x:f>
        <x:v>267865.6877462864</x:v>
      </x:c>
      <x:c r="E1366" s="78" t="n">
        <x:f>C1366+D1366</x:f>
        <x:v>892885.6258209646</x:v>
      </x:c>
      <x:c r="F1366" s="78" t="n">
        <x:f>'Inputs'!$B$13*E1366+(1-'Inputs'!$B$13)/'Inputs'!$B$14*SUM(E1311:E1366)</x:f>
        <x:v>903103.3026834275</x:v>
      </x:c>
      <x:c r="G1366" s="78" t="n">
        <x:f>F1366*'Inputs'!$F$47</x:f>
        <x:v>316086.1559391996</x:v>
      </x:c>
      <x:c r="H1366" s="78" t="n">
        <x:f>U1365</x:f>
        <x:v>1959055.6087308237</x:v>
      </x:c>
      <x:c r="I1366" s="78" t="n">
        <x:f>V1365</x:f>
        <x:v>36073.32473565022</x:v>
      </x:c>
      <x:c r="J1366" s="79" t="n">
        <x:f>IF(H1366&gt;0,I1366/H1366,0)</x:f>
        <x:v>0.018413629799421752</x:v>
      </x:c>
      <x:c r="K1366" s="80" t="n">
        <x:f>(H1366*J1366+I1366)*'Inputs'!$D$47*(1+'Inputs'!$G$47)^(B1366/30)</x:f>
        <x:v>140924.5424547106</x:v>
      </x:c>
      <x:c r="L1366" s="80" t="n">
        <x:f>MAX(0,K1366*'Inputs'!$E$47)</x:f>
        <x:v>7046.22712273553</x:v>
      </x:c>
      <x:c r="M1366" s="80" t="n">
        <x:f>MAX(0,-K1366*'Inputs'!$E$47)</x:f>
        <x:v>0</x:v>
      </x:c>
      <x:c r="N1366" s="78" t="n">
        <x:f>H1366*(L1366*(1-'Inputs'!$B$15))/(I1366+L1366*(1-'Inputs'!$B$15))</x:f>
        <x:v>317449.4835684282</x:v>
      </x:c>
      <x:c r="O1366" s="78" t="n">
        <x:f>H1366-N1366</x:f>
        <x:v>1641606.1251623956</x:v>
      </x:c>
      <x:c r="P1366" s="78" t="n">
        <x:f>I1366+L1366*(1-'Inputs'!$B$17)</x:f>
        <x:v>43091.196819662466</x:v>
      </x:c>
      <x:c r="Q1366" s="78" t="n">
        <x:f>IF(J1366&gt;0,M1366/J1366,0)</x:f>
        <x:v>0</x:v>
      </x:c>
      <x:c r="R1366" s="78" t="n">
        <x:f>IF(B1366='Inputs'!$H$47,'Inputs'!$B$27*'Inputs'!$I$47,0)</x:f>
        <x:v>0</x:v>
      </x:c>
      <x:c r="S1366" s="78" t="n">
        <x:f>Q1366+G1366+R1366</x:f>
        <x:v>316086.1559391996</x:v>
      </x:c>
      <x:c r="T1366" s="78" t="n">
        <x:f>P1366*(S1366*(1-'Inputs'!$B$15))/(O1366+S1366*(1-'Inputs'!$B$15))</x:f>
        <x:v>6899.006746655139</x:v>
      </x:c>
      <x:c r="U1366" s="78" t="n">
        <x:f>O1366+S1366*(1-'Inputs'!$B$17)</x:f>
        <x:v>1956420.3046189426</x:v>
      </x:c>
      <x:c r="V1366" s="78" t="n">
        <x:f>P1366-T1366</x:f>
        <x:v>36192.190073007325</x:v>
      </x:c>
      <x:c r="W1366" s="79" t="n">
        <x:f>IF(U1366&gt;0,V1366/U1366,0)</x:f>
        <x:v>0.018499189559401233</x:v>
      </x:c>
      <x:c r="X1366" s="80" t="n">
        <x:f>W1366*('Inputs'!$B$6-AC1366)</x:f>
        <x:v>18419914.58113356</x:v>
      </x:c>
      <x:c r="Y1366" s="80" t="n">
        <x:f>2*V1366</x:f>
        <x:v>72384.38014601465</x:v>
      </x:c>
      <x:c r="Z1366" s="80" t="n">
        <x:f>K1366*'Inputs'!$B$16+(G1366+R1366)*J1366*'Inputs'!$B$16</x:f>
        <x:v>880.4690154893839</x:v>
      </x:c>
      <x:c r="AA1366" s="80" t="n">
        <x:f>K1366*(1+'Inputs'!$E$47)/2*'Inputs'!$B$17</x:f>
        <x:v>297.72790659445906</x:v>
      </x:c>
      <x:c r="AB1366" s="78" t="n">
        <x:f>(IF(J1366&gt;0,K1366*(1-'Inputs'!$E$47)/2/J1366,0)+G1366+R1366)*'Inputs'!$B$17</x:f>
        <x:v>15900.96983189646</x:v>
      </x:c>
      <x:c r="AC1366" s="78" t="n">
        <x:f>AC1365+AB1366</x:f>
        <x:v>4285321.690072993</x:v>
      </x:c>
      <x:c r="AD1366" s="80" t="n">
        <x:f>Z1366/(1+'Inputs'!$C$47)</x:f>
        <x:v>352.1876061957536</x:v>
      </x:c>
      <x:c r="AE1366" s="80" t="n">
        <x:f>Z1366-AD1366</x:f>
        <x:v>528.2814092936303</x:v>
      </x:c>
      <x:c r="AF1366" s="80" t="n">
        <x:f>D1366*W1366</x:f>
        <x:v>4955.2981340779315</x:v>
      </x:c>
      <x:c r="AG1366" s="80" t="n">
        <x:f>C1366*W1366</x:f>
        <x:v>11562.362312848692</x:v>
      </x:c>
      <x:c r="AH1366" s="80" t="n">
        <x:f>2*'Inputs'!$B$8*'Inputs'!$C$47</x:f>
        <x:v>7500</x:v>
      </x:c>
      <x:c r="AI1366" s="81" t="n">
        <x:f>IF(AH1366&gt;0,(AE1366+AF1366)/AH1366*365,0)</x:f>
        <x:v>266.86753777741603</x:v>
      </x:c>
      <x:c r="AJ1366" s="81" t="n">
        <x:f>IF('Inputs'!$B$47&gt;0,AG1366/('Inputs'!$B$19*'Inputs'!$B$47)*365,0)</x:f>
        <x:v>422.0262244189773</x:v>
      </x:c>
      <x:c r="AK1366" s="81" t="n">
        <x:f>W1366/MAX($W$1099:W1366)-1</x:f>
        <x:v>-0.1651833703836637</x:v>
      </x:c>
      <x:c r="AL1366" s="83" t="n">
        <x:f>'Inputs'!$B$47</x:f>
        <x:v>1</x:v>
      </x:c>
      <x:c r="AM1366" s="83" t="n">
        <x:f>'Inputs'!$C$47</x:f>
        <x:v>1.5</x:v>
      </x:c>
      <x:c r="AN1366" s="83" t="n">
        <x:f>'Inputs'!$D$47</x:f>
        <x:v>1.5</x:v>
      </x:c>
      <x:c r="AO1366" s="81" t="n">
        <x:f>'Inputs'!$E$47</x:f>
        <x:v>0.05</x:v>
      </x:c>
    </x:row>
    <x:row r="1367">
      <x:c r="A1367" s="59" t="str">
        <x:v>Growth</x:v>
      </x:c>
      <x:c r="B1367" s="59" t="n">
        <x:v>269</x:v>
      </x:c>
      <x:c r="C1367" s="78" t="n">
        <x:f>(('Inputs'!$B$29*(3*269*'Inputs'!$B$12-269^2)/(2*'Inputs'!$B$12^2))-('Inputs'!$B$29*(3*268*'Inputs'!$B$12-268^2)/(2*'Inputs'!$B$12^2)))*'Inputs'!$B$47</x:f>
        <x:v>624694.8301745057</x:v>
      </x:c>
      <x:c r="D1367" s="78" t="n">
        <x:f>IF('Inputs'!$C$47&gt;0,('Inputs'!$B$30*(3*269*'Inputs'!$B$12-269^2)/(2*'Inputs'!$B$12^2))-('Inputs'!$B$30*(3*268*'Inputs'!$B$12-268^2)/(2*'Inputs'!$B$12^2)),0)</x:f>
        <x:v>267726.35578908026</x:v>
      </x:c>
      <x:c r="E1367" s="78" t="n">
        <x:f>C1367+D1367</x:f>
        <x:v>892421.185963586</x:v>
      </x:c>
      <x:c r="F1367" s="78" t="n">
        <x:f>'Inputs'!$B$13*E1367+(1-'Inputs'!$B$13)/'Inputs'!$B$14*SUM(E1312:E1367)</x:f>
        <x:v>902638.862826044</x:v>
      </x:c>
      <x:c r="G1367" s="78" t="n">
        <x:f>F1367*'Inputs'!$F$47</x:f>
        <x:v>315923.60198911536</x:v>
      </x:c>
      <x:c r="H1367" s="78" t="n">
        <x:f>U1366</x:f>
        <x:v>1956420.3046189426</x:v>
      </x:c>
      <x:c r="I1367" s="78" t="n">
        <x:f>V1366</x:f>
        <x:v>36192.190073007325</x:v>
      </x:c>
      <x:c r="J1367" s="79" t="n">
        <x:f>IF(H1367&gt;0,I1367/H1367,0)</x:f>
        <x:v>0.018499189559401233</x:v>
      </x:c>
      <x:c r="K1367" s="80" t="n">
        <x:f>(H1367*J1367+I1367)*'Inputs'!$D$47*(1+'Inputs'!$G$47)^(B1367/30)</x:f>
        <x:v>141528.28161039393</x:v>
      </x:c>
      <x:c r="L1367" s="80" t="n">
        <x:f>MAX(0,K1367*'Inputs'!$E$47)</x:f>
        <x:v>7076.414080519697</x:v>
      </x:c>
      <x:c r="M1367" s="80" t="n">
        <x:f>MAX(0,-K1367*'Inputs'!$E$47)</x:f>
        <x:v>0</x:v>
      </x:c>
      <x:c r="N1367" s="78" t="n">
        <x:f>H1367*(L1367*(1-'Inputs'!$B$15))/(I1367+L1367*(1-'Inputs'!$B$15))</x:f>
        <x:v>317284.2851650333</x:v>
      </x:c>
      <x:c r="O1367" s="78" t="n">
        <x:f>H1367-N1367</x:f>
        <x:v>1639136.0194539092</x:v>
      </x:c>
      <x:c r="P1367" s="78" t="n">
        <x:f>I1367+L1367*(1-'Inputs'!$B$17)</x:f>
        <x:v>43240.127638112455</x:v>
      </x:c>
      <x:c r="Q1367" s="78" t="n">
        <x:f>IF(J1367&gt;0,M1367/J1367,0)</x:f>
        <x:v>0</x:v>
      </x:c>
      <x:c r="R1367" s="78" t="n">
        <x:f>IF(B1367='Inputs'!$H$47,'Inputs'!$B$27*'Inputs'!$I$47,0)</x:f>
        <x:v>0</x:v>
      </x:c>
      <x:c r="S1367" s="78" t="n">
        <x:f>Q1367+G1367+R1367</x:f>
        <x:v>315923.60198911536</x:v>
      </x:c>
      <x:c r="T1367" s="78" t="n">
        <x:f>P1367*(S1367*(1-'Inputs'!$B$15))/(O1367+S1367*(1-'Inputs'!$B$15))</x:f>
        <x:v>6928.617467448698</x:v>
      </x:c>
      <x:c r="U1367" s="78" t="n">
        <x:f>O1367+S1367*(1-'Inputs'!$B$17)</x:f>
        <x:v>1953788.299101016</x:v>
      </x:c>
      <x:c r="V1367" s="78" t="n">
        <x:f>P1367-T1367</x:f>
        <x:v>36311.51017066376</x:v>
      </x:c>
      <x:c r="W1367" s="79" t="n">
        <x:f>IF(U1367&gt;0,V1367/U1367,0)</x:f>
        <x:v>0.01858518150987573</x:v>
      </x:c>
      <x:c r="X1367" s="80" t="n">
        <x:f>W1367*('Inputs'!$B$6-AC1367)</x:f>
        <x:v>18505242.616262723</x:v>
      </x:c>
      <x:c r="Y1367" s="80" t="n">
        <x:f>2*V1367</x:f>
        <x:v>72623.02034132752</x:v>
      </x:c>
      <x:c r="Z1367" s="80" t="n">
        <x:f>K1367*'Inputs'!$B$16+(G1367+R1367)*J1367*'Inputs'!$B$16</x:f>
        <x:v>884.2356732592764</x:v>
      </x:c>
      <x:c r="AA1367" s="80" t="n">
        <x:f>K1367*(1+'Inputs'!$E$47)/2*'Inputs'!$B$17</x:f>
        <x:v>299.00341185294496</x:v>
      </x:c>
      <x:c r="AB1367" s="78" t="n">
        <x:f>(IF(J1367&gt;0,K1367*(1-'Inputs'!$E$47)/2/J1367,0)+G1367+R1367)*'Inputs'!$B$17</x:f>
        <x:v>15895.038455069141</x:v>
      </x:c>
      <x:c r="AC1367" s="78" t="n">
        <x:f>AC1366+AB1367</x:f>
        <x:v>4301216.728528062</x:v>
      </x:c>
      <x:c r="AD1367" s="80" t="n">
        <x:f>Z1367/(1+'Inputs'!$C$47)</x:f>
        <x:v>353.69426930371054</x:v>
      </x:c>
      <x:c r="AE1367" s="80" t="n">
        <x:f>Z1367-AD1367</x:f>
        <x:v>530.5414039555658</x:v>
      </x:c>
      <x:c r="AF1367" s="80" t="n">
        <x:f>D1367*W1367</x:f>
        <x:v>4975.742917317626</x:v>
      </x:c>
      <x:c r="AG1367" s="80" t="n">
        <x:f>C1367*W1367</x:f>
        <x:v>11610.066807074183</x:v>
      </x:c>
      <x:c r="AH1367" s="80" t="n">
        <x:f>2*'Inputs'!$B$8*'Inputs'!$C$47</x:f>
        <x:v>7500</x:v>
      </x:c>
      <x:c r="AI1367" s="81" t="n">
        <x:f>IF(AH1367&gt;0,(AE1367+AF1367)/AH1367*365,0)</x:f>
        <x:v>267.9725036352953</x:v>
      </x:c>
      <x:c r="AJ1367" s="81" t="n">
        <x:f>IF('Inputs'!$B$47&gt;0,AG1367/('Inputs'!$B$19*'Inputs'!$B$47)*365,0)</x:f>
        <x:v>423.7674384582077</x:v>
      </x:c>
      <x:c r="AK1367" s="81" t="n">
        <x:f>W1367/MAX($W$1099:W1367)-1</x:f>
        <x:v>-0.16130279442444428</x:v>
      </x:c>
      <x:c r="AL1367" s="83" t="n">
        <x:f>'Inputs'!$B$47</x:f>
        <x:v>1</x:v>
      </x:c>
      <x:c r="AM1367" s="83" t="n">
        <x:f>'Inputs'!$C$47</x:f>
        <x:v>1.5</x:v>
      </x:c>
      <x:c r="AN1367" s="83" t="n">
        <x:f>'Inputs'!$D$47</x:f>
        <x:v>1.5</x:v>
      </x:c>
      <x:c r="AO1367" s="81" t="n">
        <x:f>'Inputs'!$E$47</x:f>
        <x:v>0.05</x:v>
      </x:c>
    </x:row>
    <x:row r="1368">
      <x:c r="A1368" s="59" t="str">
        <x:v>Growth</x:v>
      </x:c>
      <x:c r="B1368" s="59" t="n">
        <x:v>270</x:v>
      </x:c>
      <x:c r="C1368" s="78" t="n">
        <x:f>(('Inputs'!$B$29*(3*270*'Inputs'!$B$12-270^2)/(2*'Inputs'!$B$12^2))-('Inputs'!$B$29*(3*269*'Inputs'!$B$12-269^2)/(2*'Inputs'!$B$12^2)))*'Inputs'!$B$47</x:f>
        <x:v>624369.722274363</x:v>
      </x:c>
      <x:c r="D1368" s="78" t="n">
        <x:f>IF('Inputs'!$C$47&gt;0,('Inputs'!$B$30*(3*270*'Inputs'!$B$12-270^2)/(2*'Inputs'!$B$12^2))-('Inputs'!$B$30*(3*269*'Inputs'!$B$12-269^2)/(2*'Inputs'!$B$12^2)),0)</x:f>
        <x:v>267587.02383185923</x:v>
      </x:c>
      <x:c r="E1368" s="78" t="n">
        <x:f>C1368+D1368</x:f>
        <x:v>891956.7461062223</x:v>
      </x:c>
      <x:c r="F1368" s="78" t="n">
        <x:f>'Inputs'!$B$13*E1368+(1-'Inputs'!$B$13)/'Inputs'!$B$14*SUM(E1313:E1368)</x:f>
        <x:v>902174.4229686646</x:v>
      </x:c>
      <x:c r="G1368" s="78" t="n">
        <x:f>F1368*'Inputs'!$F$47</x:f>
        <x:v>315761.04803903255</x:v>
      </x:c>
      <x:c r="H1368" s="78" t="n">
        <x:f>U1367</x:f>
        <x:v>1953788.299101016</x:v>
      </x:c>
      <x:c r="I1368" s="78" t="n">
        <x:f>V1367</x:f>
        <x:v>36311.51017066376</x:v>
      </x:c>
      <x:c r="J1368" s="79" t="n">
        <x:f>IF(H1368&gt;0,I1368/H1368,0)</x:f>
        <x:v>0.01858518150987573</x:v>
      </x:c>
      <x:c r="K1368" s="80" t="n">
        <x:f>(H1368*J1368+I1368)*'Inputs'!$D$47*(1+'Inputs'!$G$47)^(B1368/30)</x:f>
        <x:v>142134.85420507487</x:v>
      </x:c>
      <x:c r="L1368" s="80" t="n">
        <x:f>MAX(0,K1368*'Inputs'!$E$47)</x:f>
        <x:v>7106.742710253744</x:v>
      </x:c>
      <x:c r="M1368" s="80" t="n">
        <x:f>MAX(0,-K1368*'Inputs'!$E$47)</x:f>
        <x:v>0</x:v>
      </x:c>
      <x:c r="N1368" s="78" t="n">
        <x:f>H1368*(L1368*(1-'Inputs'!$B$15))/(I1368+L1368*(1-'Inputs'!$B$15))</x:f>
        <x:v>317119.09090709506</x:v>
      </x:c>
      <x:c r="O1368" s="78" t="n">
        <x:f>H1368-N1368</x:f>
        <x:v>1636669.208193921</x:v>
      </x:c>
      <x:c r="P1368" s="78" t="n">
        <x:f>I1368+L1368*(1-'Inputs'!$B$17)</x:f>
        <x:v>43389.6543187032</x:v>
      </x:c>
      <x:c r="Q1368" s="78" t="n">
        <x:f>IF(J1368&gt;0,M1368/J1368,0)</x:f>
        <x:v>0</x:v>
      </x:c>
      <x:c r="R1368" s="78" t="n">
        <x:f>IF(B1368='Inputs'!$H$47,'Inputs'!$B$27*'Inputs'!$I$47,0)</x:f>
        <x:v>0</x:v>
      </x:c>
      <x:c r="S1368" s="78" t="n">
        <x:f>Q1368+G1368+R1368</x:f>
        <x:v>315761.04803903255</x:v>
      </x:c>
      <x:c r="T1368" s="78" t="n">
        <x:f>P1368*(S1368*(1-'Inputs'!$B$15))/(O1368+S1368*(1-'Inputs'!$B$15))</x:f>
        <x:v>6958.36732950777</x:v>
      </x:c>
      <x:c r="U1368" s="78" t="n">
        <x:f>O1368+S1368*(1-'Inputs'!$B$17)</x:f>
        <x:v>1951159.5880315893</x:v>
      </x:c>
      <x:c r="V1368" s="78" t="n">
        <x:f>P1368-T1368</x:f>
        <x:v>36431.28698919543</x:v>
      </x:c>
      <x:c r="W1368" s="79" t="n">
        <x:f>IF(U1368&gt;0,V1368/U1368,0)</x:f>
        <x:v>0.018671608008214657</x:v>
      </x:c>
      <x:c r="X1368" s="80" t="n">
        <x:f>W1368*('Inputs'!$B$6-AC1368)</x:f>
        <x:v>18591000.70032112</x:v>
      </x:c>
      <x:c r="Y1368" s="80" t="n">
        <x:f>2*V1368</x:f>
        <x:v>72862.57397839086</x:v>
      </x:c>
      <x:c r="Z1368" s="80" t="n">
        <x:f>K1368*'Inputs'!$B$16+(G1368+R1368)*J1368*'Inputs'!$B$16</x:f>
        <x:v>888.0199835797733</x:v>
      </x:c>
      <x:c r="AA1368" s="80" t="n">
        <x:f>K1368*(1+'Inputs'!$E$47)/2*'Inputs'!$B$17</x:f>
        <x:v>300.2849032501582</x:v>
      </x:c>
      <x:c r="AB1368" s="78" t="n">
        <x:f>(IF(J1368&gt;0,K1368*(1-'Inputs'!$E$47)/2/J1368,0)+G1368+R1368)*'Inputs'!$B$17</x:f>
        <x:v>15889.107138400774</x:v>
      </x:c>
      <x:c r="AC1368" s="78" t="n">
        <x:f>AC1367+AB1368</x:f>
        <x:v>4317105.835666463</x:v>
      </x:c>
      <x:c r="AD1368" s="80" t="n">
        <x:f>Z1368/(1+'Inputs'!$C$47)</x:f>
        <x:v>355.20799343190936</x:v>
      </x:c>
      <x:c r="AE1368" s="80" t="n">
        <x:f>Z1368-AD1368</x:f>
        <x:v>532.811990147864</x:v>
      </x:c>
      <x:c r="AF1368" s="80" t="n">
        <x:f>D1368*W1368</x:f>
        <x:v>4996.280017073269</x:v>
      </x:c>
      <x:c r="AG1368" s="80" t="n">
        <x:f>C1368*W1368</x:f>
        <x:v>11657.986706504758</x:v>
      </x:c>
      <x:c r="AH1368" s="80" t="n">
        <x:f>2*'Inputs'!$B$8*'Inputs'!$C$47</x:f>
        <x:v>7500</x:v>
      </x:c>
      <x:c r="AI1368" s="81" t="n">
        <x:f>IF(AH1368&gt;0,(AE1368+AF1368)/AH1368*365,0)</x:f>
        <x:v>269.08247768476184</x:v>
      </x:c>
      <x:c r="AJ1368" s="81" t="n">
        <x:f>IF('Inputs'!$B$47&gt;0,AG1368/('Inputs'!$B$19*'Inputs'!$B$47)*365,0)</x:f>
        <x:v>425.5165147874237</x:v>
      </x:c>
      <x:c r="AK1368" s="81" t="n">
        <x:f>W1368/MAX($W$1099:W1368)-1</x:f>
        <x:v>-0.1574026085367778</x:v>
      </x:c>
      <x:c r="AL1368" s="83" t="n">
        <x:f>'Inputs'!$B$47</x:f>
        <x:v>1</x:v>
      </x:c>
      <x:c r="AM1368" s="83" t="n">
        <x:f>'Inputs'!$C$47</x:f>
        <x:v>1.5</x:v>
      </x:c>
      <x:c r="AN1368" s="83" t="n">
        <x:f>'Inputs'!$D$47</x:f>
        <x:v>1.5</x:v>
      </x:c>
      <x:c r="AO1368" s="81" t="n">
        <x:f>'Inputs'!$E$47</x:f>
        <x:v>0.05</x:v>
      </x:c>
    </x:row>
    <x:row r="1369">
      <x:c r="A1369" s="59" t="str">
        <x:v>Growth</x:v>
      </x:c>
      <x:c r="B1369" s="59" t="n">
        <x:v>271</x:v>
      </x:c>
      <x:c r="C1369" s="78" t="n">
        <x:f>(('Inputs'!$B$29*(3*271*'Inputs'!$B$12-271^2)/(2*'Inputs'!$B$12^2))-('Inputs'!$B$29*(3*270*'Inputs'!$B$12-270^2)/(2*'Inputs'!$B$12^2)))*'Inputs'!$B$47</x:f>
        <x:v>624044.6143741608</x:v>
      </x:c>
      <x:c r="D1369" s="78" t="n">
        <x:f>IF('Inputs'!$C$47&gt;0,('Inputs'!$B$30*(3*271*'Inputs'!$B$12-271^2)/(2*'Inputs'!$B$12^2))-('Inputs'!$B$30*(3*270*'Inputs'!$B$12-270^2)/(2*'Inputs'!$B$12^2)),0)</x:f>
        <x:v>267447.6918746531</x:v>
      </x:c>
      <x:c r="E1369" s="78" t="n">
        <x:f>C1369+D1369</x:f>
        <x:v>891492.3062488139</x:v>
      </x:c>
      <x:c r="F1369" s="78" t="n">
        <x:f>'Inputs'!$B$13*E1369+(1-'Inputs'!$B$13)/'Inputs'!$B$14*SUM(E1314:E1369)</x:f>
        <x:v>901709.9831112752</x:v>
      </x:c>
      <x:c r="G1369" s="78" t="n">
        <x:f>F1369*'Inputs'!$F$47</x:f>
        <x:v>315598.4940889463</x:v>
      </x:c>
      <x:c r="H1369" s="78" t="n">
        <x:f>U1368</x:f>
        <x:v>1951159.5880315893</x:v>
      </x:c>
      <x:c r="I1369" s="78" t="n">
        <x:f>V1368</x:f>
        <x:v>36431.28698919543</x:v>
      </x:c>
      <x:c r="J1369" s="79" t="n">
        <x:f>IF(H1369&gt;0,I1369/H1369,0)</x:f>
        <x:v>0.018671608008214657</x:v>
      </x:c>
      <x:c r="K1369" s="80" t="n">
        <x:f>(H1369*J1369+I1369)*'Inputs'!$D$47*(1+'Inputs'!$G$47)^(B1369/30)</x:f>
        <x:v>142744.27467500142</x:v>
      </x:c>
      <x:c r="L1369" s="80" t="n">
        <x:f>MAX(0,K1369*'Inputs'!$E$47)</x:f>
        <x:v>7137.213733750072</x:v>
      </x:c>
      <x:c r="M1369" s="80" t="n">
        <x:f>MAX(0,-K1369*'Inputs'!$E$47)</x:f>
        <x:v>0</x:v>
      </x:c>
      <x:c r="N1369" s="78" t="n">
        <x:f>H1369*(L1369*(1-'Inputs'!$B$15))/(I1369+L1369*(1-'Inputs'!$B$15))</x:f>
        <x:v>316953.9007895436</x:v>
      </x:c>
      <x:c r="O1369" s="78" t="n">
        <x:f>H1369-N1369</x:f>
        <x:v>1634205.6872420458</x:v>
      </x:c>
      <x:c r="P1369" s="78" t="n">
        <x:f>I1369+L1369*(1-'Inputs'!$B$17)</x:f>
        <x:v>43539.77954091834</x:v>
      </x:c>
      <x:c r="Q1369" s="78" t="n">
        <x:f>IF(J1369&gt;0,M1369/J1369,0)</x:f>
        <x:v>0</x:v>
      </x:c>
      <x:c r="R1369" s="78" t="n">
        <x:f>IF(B1369='Inputs'!$H$47,'Inputs'!$B$27*'Inputs'!$I$47,0)</x:f>
        <x:v>0</x:v>
      </x:c>
      <x:c r="S1369" s="78" t="n">
        <x:f>Q1369+G1369+R1369</x:f>
        <x:v>315598.4940889463</x:v>
      </x:c>
      <x:c r="T1369" s="78" t="n">
        <x:f>P1369*(S1369*(1-'Inputs'!$B$15))/(O1369+S1369*(1-'Inputs'!$B$15))</x:f>
        <x:v>6988.257042409947</x:v>
      </x:c>
      <x:c r="U1369" s="78" t="n">
        <x:f>O1369+S1369*(1-'Inputs'!$B$17)</x:f>
        <x:v>1948534.167270272</x:v>
      </x:c>
      <x:c r="V1369" s="78" t="n">
        <x:f>P1369-T1369</x:f>
        <x:v>36551.52249850839</x:v>
      </x:c>
      <x:c r="W1369" s="79" t="n">
        <x:f>IF(U1369&gt;0,V1369/U1369,0)</x:f>
        <x:v>0.01875847142558137</x:v>
      </x:c>
      <x:c r="X1369" s="80" t="n">
        <x:f>W1369*('Inputs'!$B$6-AC1369)</x:f>
        <x:v>18677191.17502091</x:v>
      </x:c>
      <x:c r="Y1369" s="80" t="n">
        <x:f>2*V1369</x:f>
        <x:v>73103.04499701678</x:v>
      </x:c>
      <x:c r="Z1369" s="80" t="n">
        <x:f>K1369*'Inputs'!$B$16+(G1369+R1369)*J1369*'Inputs'!$B$16</x:f>
        <x:v>891.8220362676785</x:v>
      </x:c>
      <x:c r="AA1369" s="80" t="n">
        <x:f>K1369*(1+'Inputs'!$E$47)/2*'Inputs'!$B$17</x:f>
        <x:v>301.5724112852143</x:v>
      </x:c>
      <x:c r="AB1369" s="78" t="n">
        <x:f>(IF(J1369&gt;0,K1369*(1-'Inputs'!$E$47)/2/J1369,0)+G1369+R1369)*'Inputs'!$B$17</x:f>
        <x:v>15883.175880420311</x:v>
      </x:c>
      <x:c r="AC1369" s="78" t="n">
        <x:f>AC1368+AB1369</x:f>
        <x:v>4332989.011546883</x:v>
      </x:c>
      <x:c r="AD1369" s="80" t="n">
        <x:f>Z1369/(1+'Inputs'!$C$47)</x:f>
        <x:v>356.72881450707143</x:v>
      </x:c>
      <x:c r="AE1369" s="80" t="n">
        <x:f>Z1369-AD1369</x:f>
        <x:v>535.0932217606071</x:v>
      </x:c>
      <x:c r="AF1369" s="80" t="n">
        <x:f>D1369*W1369</x:f>
        <x:v>5016.909885868371</x:v>
      </x:c>
      <x:c r="AG1369" s="80" t="n">
        <x:f>C1369*W1369</x:f>
        <x:v>11706.123067025641</x:v>
      </x:c>
      <x:c r="AH1369" s="80" t="n">
        <x:f>2*'Inputs'!$B$8*'Inputs'!$C$47</x:f>
        <x:v>7500</x:v>
      </x:c>
      <x:c r="AI1369" s="81" t="n">
        <x:f>IF(AH1369&gt;0,(AE1369+AF1369)/AH1369*365,0)</x:f>
        <x:v>270.1974845712769</x:v>
      </x:c>
      <x:c r="AJ1369" s="81" t="n">
        <x:f>IF('Inputs'!$B$47&gt;0,AG1369/('Inputs'!$B$19*'Inputs'!$B$47)*365,0)</x:f>
        <x:v>427.27349194643585</x:v>
      </x:c>
      <x:c r="AK1369" s="81" t="n">
        <x:f>W1369/MAX($W$1099:W1369)-1</x:f>
        <x:v>-0.15348270571670075</x:v>
      </x:c>
      <x:c r="AL1369" s="83" t="n">
        <x:f>'Inputs'!$B$47</x:f>
        <x:v>1</x:v>
      </x:c>
      <x:c r="AM1369" s="83" t="n">
        <x:f>'Inputs'!$C$47</x:f>
        <x:v>1.5</x:v>
      </x:c>
      <x:c r="AN1369" s="83" t="n">
        <x:f>'Inputs'!$D$47</x:f>
        <x:v>1.5</x:v>
      </x:c>
      <x:c r="AO1369" s="81" t="n">
        <x:f>'Inputs'!$E$47</x:f>
        <x:v>0.05</x:v>
      </x:c>
    </x:row>
    <x:row r="1370">
      <x:c r="A1370" s="59" t="str">
        <x:v>Growth</x:v>
      </x:c>
      <x:c r="B1370" s="59" t="n">
        <x:v>272</x:v>
      </x:c>
      <x:c r="C1370" s="78" t="n">
        <x:f>(('Inputs'!$B$29*(3*272*'Inputs'!$B$12-272^2)/(2*'Inputs'!$B$12^2))-('Inputs'!$B$29*(3*271*'Inputs'!$B$12-271^2)/(2*'Inputs'!$B$12^2)))*'Inputs'!$B$47</x:f>
        <x:v>623719.5064740181</x:v>
      </x:c>
      <x:c r="D1370" s="78" t="n">
        <x:f>IF('Inputs'!$C$47&gt;0,('Inputs'!$B$30*(3*272*'Inputs'!$B$12-272^2)/(2*'Inputs'!$B$12^2))-('Inputs'!$B$30*(3*271*'Inputs'!$B$12-271^2)/(2*'Inputs'!$B$12^2)),0)</x:f>
        <x:v>267308.35991743207</x:v>
      </x:c>
      <x:c r="E1370" s="78" t="n">
        <x:f>C1370+D1370</x:f>
        <x:v>891027.8663914502</x:v>
      </x:c>
      <x:c r="F1370" s="78" t="n">
        <x:f>'Inputs'!$B$13*E1370+(1-'Inputs'!$B$13)/'Inputs'!$B$14*SUM(E1315:E1370)</x:f>
        <x:v>901245.5432538954</x:v>
      </x:c>
      <x:c r="G1370" s="78" t="n">
        <x:f>F1370*'Inputs'!$F$47</x:f>
        <x:v>315435.94013886334</x:v>
      </x:c>
      <x:c r="H1370" s="78" t="n">
        <x:f>U1369</x:f>
        <x:v>1948534.167270272</x:v>
      </x:c>
      <x:c r="I1370" s="78" t="n">
        <x:f>V1369</x:f>
        <x:v>36551.52249850839</x:v>
      </x:c>
      <x:c r="J1370" s="79" t="n">
        <x:f>IF(H1370&gt;0,I1370/H1370,0)</x:f>
        <x:v>0.01875847142558137</x:v>
      </x:c>
      <x:c r="K1370" s="80" t="n">
        <x:f>(H1370*J1370+I1370)*'Inputs'!$D$47*(1+'Inputs'!$G$47)^(B1370/30)</x:f>
        <x:v>143356.55753559817</x:v>
      </x:c>
      <x:c r="L1370" s="80" t="n">
        <x:f>MAX(0,K1370*'Inputs'!$E$47)</x:f>
        <x:v>7167.827876779909</x:v>
      </x:c>
      <x:c r="M1370" s="80" t="n">
        <x:f>MAX(0,-K1370*'Inputs'!$E$47)</x:f>
        <x:v>0</x:v>
      </x:c>
      <x:c r="N1370" s="78" t="n">
        <x:f>H1370*(L1370*(1-'Inputs'!$B$15))/(I1370+L1370*(1-'Inputs'!$B$15))</x:f>
        <x:v>316788.7148073143</x:v>
      </x:c>
      <x:c r="O1370" s="78" t="n">
        <x:f>H1370-N1370</x:f>
        <x:v>1631745.4524629577</x:v>
      </x:c>
      <x:c r="P1370" s="78" t="n">
        <x:f>I1370+L1370*(1-'Inputs'!$B$17)</x:f>
        <x:v>43690.50599751454</x:v>
      </x:c>
      <x:c r="Q1370" s="78" t="n">
        <x:f>IF(J1370&gt;0,M1370/J1370,0)</x:f>
        <x:v>0</x:v>
      </x:c>
      <x:c r="R1370" s="78" t="n">
        <x:f>IF(B1370='Inputs'!$H$47,'Inputs'!$B$27*'Inputs'!$I$47,0)</x:f>
        <x:v>0</x:v>
      </x:c>
      <x:c r="S1370" s="78" t="n">
        <x:f>Q1370+G1370+R1370</x:f>
        <x:v>315435.94013886334</x:v>
      </x:c>
      <x:c r="T1370" s="78" t="n">
        <x:f>P1370*(S1370*(1-'Inputs'!$B$15))/(O1370+S1370*(1-'Inputs'!$B$15))</x:f>
        <x:v>7018.287319627652</x:v>
      </x:c>
      <x:c r="U1370" s="78" t="n">
        <x:f>O1370+S1370*(1-'Inputs'!$B$17)</x:f>
        <x:v>1945912.032681745</x:v>
      </x:c>
      <x:c r="V1370" s="78" t="n">
        <x:f>P1370-T1370</x:f>
        <x:v>36672.21867788689</x:v>
      </x:c>
      <x:c r="W1370" s="79" t="n">
        <x:f>IF(U1370&gt;0,V1370/U1370,0)</x:f>
        <x:v>0.018845774147019035</x:v>
      </x:c>
      <x:c r="X1370" s="80" t="n">
        <x:f>W1370*('Inputs'!$B$6-AC1370)</x:f>
        <x:v>18763816.3957586</x:v>
      </x:c>
      <x:c r="Y1370" s="80" t="n">
        <x:f>2*V1370</x:f>
        <x:v>73344.43735577379</x:v>
      </x:c>
      <x:c r="Z1370" s="80" t="n">
        <x:f>K1370*'Inputs'!$B$16+(G1370+R1370)*J1370*'Inputs'!$B$16</x:f>
        <x:v>895.6419216317666</x:v>
      </x:c>
      <x:c r="AA1370" s="80" t="n">
        <x:f>K1370*(1+'Inputs'!$E$47)/2*'Inputs'!$B$17</x:f>
        <x:v>302.86596662450324</x:v>
      </x:c>
      <x:c r="AB1370" s="78" t="n">
        <x:f>(IF(J1370&gt;0,K1370*(1-'Inputs'!$E$47)/2/J1370,0)+G1370+R1370)*'Inputs'!$B$17</x:f>
        <x:v>15877.244679654521</x:v>
      </x:c>
      <x:c r="AC1370" s="78" t="n">
        <x:f>AC1369+AB1370</x:f>
        <x:v>4348866.256226538</x:v>
      </x:c>
      <x:c r="AD1370" s="80" t="n">
        <x:f>Z1370/(1+'Inputs'!$C$47)</x:f>
        <x:v>358.2567686527067</x:v>
      </x:c>
      <x:c r="AE1370" s="80" t="n">
        <x:f>Z1370-AD1370</x:f>
        <x:v>537.38515297906</x:v>
      </x:c>
      <x:c r="AF1370" s="80" t="n">
        <x:f>D1370*W1370</x:f>
        <x:v>5037.632978614</x:v>
      </x:c>
      <x:c r="AG1370" s="80" t="n">
        <x:f>C1370*W1370</x:f>
        <x:v>11754.476950099523</x:v>
      </x:c>
      <x:c r="AH1370" s="80" t="n">
        <x:f>2*'Inputs'!$B$8*'Inputs'!$C$47</x:f>
        <x:v>7500</x:v>
      </x:c>
      <x:c r="AI1370" s="81" t="n">
        <x:f>IF(AH1370&gt;0,(AE1370+AF1370)/AH1370*365,0)</x:f>
        <x:v>271.31754907086224</x:v>
      </x:c>
      <x:c r="AJ1370" s="81" t="n">
        <x:f>IF('Inputs'!$B$47&gt;0,AG1370/('Inputs'!$B$19*'Inputs'!$B$47)*365,0)</x:f>
        <x:v>429.03840867863255</x:v>
      </x:c>
      <x:c r="AK1370" s="81" t="n">
        <x:f>W1370/MAX($W$1099:W1370)-1</x:f>
        <x:v>-0.14954297833389296</x:v>
      </x:c>
      <x:c r="AL1370" s="83" t="n">
        <x:f>'Inputs'!$B$47</x:f>
        <x:v>1</x:v>
      </x:c>
      <x:c r="AM1370" s="83" t="n">
        <x:f>'Inputs'!$C$47</x:f>
        <x:v>1.5</x:v>
      </x:c>
      <x:c r="AN1370" s="83" t="n">
        <x:f>'Inputs'!$D$47</x:f>
        <x:v>1.5</x:v>
      </x:c>
      <x:c r="AO1370" s="81" t="n">
        <x:f>'Inputs'!$E$47</x:f>
        <x:v>0.05</x:v>
      </x:c>
    </x:row>
    <x:row r="1371">
      <x:c r="A1371" s="59" t="str">
        <x:v>Growth</x:v>
      </x:c>
      <x:c r="B1371" s="59" t="n">
        <x:v>273</x:v>
      </x:c>
      <x:c r="C1371" s="78" t="n">
        <x:f>(('Inputs'!$B$29*(3*273*'Inputs'!$B$12-273^2)/(2*'Inputs'!$B$12^2))-('Inputs'!$B$29*(3*272*'Inputs'!$B$12-272^2)/(2*'Inputs'!$B$12^2)))*'Inputs'!$B$47</x:f>
        <x:v>623394.3985738456</x:v>
      </x:c>
      <x:c r="D1371" s="78" t="n">
        <x:f>IF('Inputs'!$C$47&gt;0,('Inputs'!$B$30*(3*273*'Inputs'!$B$12-273^2)/(2*'Inputs'!$B$12^2))-('Inputs'!$B$30*(3*272*'Inputs'!$B$12-272^2)/(2*'Inputs'!$B$12^2)),0)</x:f>
        <x:v>267169.02796022594</x:v>
      </x:c>
      <x:c r="E1371" s="78" t="n">
        <x:f>C1371+D1371</x:f>
        <x:v>890563.4265340716</x:v>
      </x:c>
      <x:c r="F1371" s="78" t="n">
        <x:f>'Inputs'!$B$13*E1371+(1-'Inputs'!$B$13)/'Inputs'!$B$14*SUM(E1316:E1371)</x:f>
        <x:v>900781.1033965126</x:v>
      </x:c>
      <x:c r="G1371" s="78" t="n">
        <x:f>F1371*'Inputs'!$F$47</x:f>
        <x:v>315273.3861887794</x:v>
      </x:c>
      <x:c r="H1371" s="78" t="n">
        <x:f>U1370</x:f>
        <x:v>1945912.032681745</x:v>
      </x:c>
      <x:c r="I1371" s="78" t="n">
        <x:f>V1370</x:f>
        <x:v>36672.21867788689</x:v>
      </x:c>
      <x:c r="J1371" s="79" t="n">
        <x:f>IF(H1371&gt;0,I1371/H1371,0)</x:f>
        <x:v>0.018845774147019035</x:v>
      </x:c>
      <x:c r="K1371" s="80" t="n">
        <x:f>(H1371*J1371+I1371)*'Inputs'!$D$47*(1+'Inputs'!$G$47)^(B1371/30)</x:f>
        <x:v>143971.7173819296</x:v>
      </x:c>
      <x:c r="L1371" s="80" t="n">
        <x:f>MAX(0,K1371*'Inputs'!$E$47)</x:f>
        <x:v>7198.585869096481</x:v>
      </x:c>
      <x:c r="M1371" s="80" t="n">
        <x:f>MAX(0,-K1371*'Inputs'!$E$47)</x:f>
        <x:v>0</x:v>
      </x:c>
      <x:c r="N1371" s="78" t="n">
        <x:f>H1371*(L1371*(1-'Inputs'!$B$15))/(I1371+L1371*(1-'Inputs'!$B$15))</x:f>
        <x:v>316623.53295534983</x:v>
      </x:c>
      <x:c r="O1371" s="78" t="n">
        <x:f>H1371-N1371</x:f>
        <x:v>1629288.4997263951</x:v>
      </x:c>
      <x:c r="P1371" s="78" t="n">
        <x:f>I1371+L1371*(1-'Inputs'!$B$17)</x:f>
        <x:v>43841.83639459264</x:v>
      </x:c>
      <x:c r="Q1371" s="78" t="n">
        <x:f>IF(J1371&gt;0,M1371/J1371,0)</x:f>
        <x:v>0</x:v>
      </x:c>
      <x:c r="R1371" s="78" t="n">
        <x:f>IF(B1371='Inputs'!$H$47,'Inputs'!$B$27*'Inputs'!$I$47,0)</x:f>
        <x:v>0</x:v>
      </x:c>
      <x:c r="S1371" s="78" t="n">
        <x:f>Q1371+G1371+R1371</x:f>
        <x:v>315273.3861887794</x:v>
      </x:c>
      <x:c r="T1371" s="78" t="n">
        <x:f>P1371*(S1371*(1-'Inputs'!$B$15))/(O1371+S1371*(1-'Inputs'!$B$15))</x:f>
        <x:v>7048.458878550461</x:v>
      </x:c>
      <x:c r="U1371" s="78" t="n">
        <x:f>O1371+S1371*(1-'Inputs'!$B$17)</x:f>
        <x:v>1943293.1801357428</x:v>
      </x:c>
      <x:c r="V1371" s="78" t="n">
        <x:f>P1371-T1371</x:f>
        <x:v>36793.37751604218</x:v>
      </x:c>
      <x:c r="W1371" s="79" t="n">
        <x:f>IF(U1371&gt;0,V1371/U1371,0)</x:f>
        <x:v>0.018933518571537463</x:v>
      </x:c>
      <x:c r="X1371" s="80" t="n">
        <x:f>W1371*('Inputs'!$B$6-AC1371)</x:f>
        <x:v>18850878.731700502</x:v>
      </x:c>
      <x:c r="Y1371" s="80" t="n">
        <x:f>2*V1371</x:f>
        <x:v>73586.75503208436</x:v>
      </x:c>
      <x:c r="Z1371" s="80" t="n">
        <x:f>K1371*'Inputs'!$B$16+(G1371+R1371)*J1371*'Inputs'!$B$16</x:f>
        <x:v>899.4797304756555</x:v>
      </x:c>
      <x:c r="AA1371" s="80" t="n">
        <x:f>K1371*(1+'Inputs'!$E$47)/2*'Inputs'!$B$17</x:f>
        <x:v>304.1656001026682</x:v>
      </x:c>
      <x:c r="AB1371" s="78" t="n">
        <x:f>(IF(J1371&gt;0,K1371*(1-'Inputs'!$E$47)/2/J1371,0)+G1371+R1371)*'Inputs'!$B$17</x:f>
        <x:v>15871.313534627998</x:v>
      </x:c>
      <x:c r="AC1371" s="78" t="n">
        <x:f>AC1370+AB1371</x:f>
        <x:v>4364737.569761165</x:v>
      </x:c>
      <x:c r="AD1371" s="80" t="n">
        <x:f>Z1371/(1+'Inputs'!$C$47)</x:f>
        <x:v>359.7918921902622</x:v>
      </x:c>
      <x:c r="AE1371" s="80" t="n">
        <x:f>Z1371-AD1371</x:f>
        <x:v>539.6878382853934</x:v>
      </x:c>
      <x:c r="AF1371" s="80" t="n">
        <x:f>D1371*W1371</x:f>
        <x:v>5058.44975262455</x:v>
      </x:c>
      <x:c r="AG1371" s="80" t="n">
        <x:f>C1371*W1371</x:f>
        <x:v>11803.049422790333</x:v>
      </x:c>
      <x:c r="AH1371" s="80" t="n">
        <x:f>2*'Inputs'!$B$8*'Inputs'!$C$47</x:f>
        <x:v>7500</x:v>
      </x:c>
      <x:c r="AI1371" s="81" t="n">
        <x:f>IF(AH1371&gt;0,(AE1371+AF1371)/AH1371*365,0)</x:f>
        <x:v>272.44269609095056</x:v>
      </x:c>
      <x:c r="AJ1371" s="81" t="n">
        <x:f>IF('Inputs'!$B$47&gt;0,AG1371/('Inputs'!$B$19*'Inputs'!$B$47)*365,0)</x:f>
        <x:v>430.81130393184714</x:v>
      </x:c>
      <x:c r="AK1371" s="81" t="n">
        <x:f>W1371/MAX($W$1099:W1371)-1</x:f>
        <x:v>-0.1455833181277585</x:v>
      </x:c>
      <x:c r="AL1371" s="83" t="n">
        <x:f>'Inputs'!$B$47</x:f>
        <x:v>1</x:v>
      </x:c>
      <x:c r="AM1371" s="83" t="n">
        <x:f>'Inputs'!$C$47</x:f>
        <x:v>1.5</x:v>
      </x:c>
      <x:c r="AN1371" s="83" t="n">
        <x:f>'Inputs'!$D$47</x:f>
        <x:v>1.5</x:v>
      </x:c>
      <x:c r="AO1371" s="81" t="n">
        <x:f>'Inputs'!$E$47</x:f>
        <x:v>0.05</x:v>
      </x:c>
    </x:row>
    <x:row r="1372">
      <x:c r="A1372" s="59" t="str">
        <x:v>Growth</x:v>
      </x:c>
      <x:c r="B1372" s="59" t="n">
        <x:v>274</x:v>
      </x:c>
      <x:c r="C1372" s="78" t="n">
        <x:f>(('Inputs'!$B$29*(3*274*'Inputs'!$B$12-274^2)/(2*'Inputs'!$B$12^2))-('Inputs'!$B$29*(3*273*'Inputs'!$B$12-273^2)/(2*'Inputs'!$B$12^2)))*'Inputs'!$B$47</x:f>
        <x:v>623069.2906736732</x:v>
      </x:c>
      <x:c r="D1372" s="78" t="n">
        <x:f>IF('Inputs'!$C$47&gt;0,('Inputs'!$B$30*(3*274*'Inputs'!$B$12-274^2)/(2*'Inputs'!$B$12^2))-('Inputs'!$B$30*(3*273*'Inputs'!$B$12-273^2)/(2*'Inputs'!$B$12^2)),0)</x:f>
        <x:v>267029.69600299</x:v>
      </x:c>
      <x:c r="E1372" s="78" t="n">
        <x:f>C1372+D1372</x:f>
        <x:v>890098.9866766632</x:v>
      </x:c>
      <x:c r="F1372" s="78" t="n">
        <x:f>'Inputs'!$B$13*E1372+(1-'Inputs'!$B$13)/'Inputs'!$B$14*SUM(E1317:E1372)</x:f>
        <x:v>900316.663539123</x:v>
      </x:c>
      <x:c r="G1372" s="78" t="n">
        <x:f>F1372*'Inputs'!$F$47</x:f>
        <x:v>315110.832238693</x:v>
      </x:c>
      <x:c r="H1372" s="78" t="n">
        <x:f>U1371</x:f>
        <x:v>1943293.1801357428</x:v>
      </x:c>
      <x:c r="I1372" s="78" t="n">
        <x:f>V1371</x:f>
        <x:v>36793.37751604218</x:v>
      </x:c>
      <x:c r="J1372" s="79" t="n">
        <x:f>IF(H1372&gt;0,I1372/H1372,0)</x:f>
        <x:v>0.018933518571537463</x:v>
      </x:c>
      <x:c r="K1372" s="80" t="n">
        <x:f>(H1372*J1372+I1372)*'Inputs'!$D$47*(1+'Inputs'!$G$47)^(B1372/30)</x:f>
        <x:v>144589.76888916775</x:v>
      </x:c>
      <x:c r="L1372" s="80" t="n">
        <x:f>MAX(0,K1372*'Inputs'!$E$47)</x:f>
        <x:v>7229.488444458388</x:v>
      </x:c>
      <x:c r="M1372" s="80" t="n">
        <x:f>MAX(0,-K1372*'Inputs'!$E$47)</x:f>
        <x:v>0</x:v>
      </x:c>
      <x:c r="N1372" s="78" t="n">
        <x:f>H1372*(L1372*(1-'Inputs'!$B$15))/(I1372+L1372*(1-'Inputs'!$B$15))</x:f>
        <x:v>316458.35522859835</x:v>
      </x:c>
      <x:c r="O1372" s="78" t="n">
        <x:f>H1372-N1372</x:f>
        <x:v>1626834.8249071445</x:v>
      </x:c>
      <x:c r="P1372" s="78" t="n">
        <x:f>I1372+L1372*(1-'Inputs'!$B$17)</x:f>
        <x:v>43993.773451669746</x:v>
      </x:c>
      <x:c r="Q1372" s="78" t="n">
        <x:f>IF(J1372&gt;0,M1372/J1372,0)</x:f>
        <x:v>0</x:v>
      </x:c>
      <x:c r="R1372" s="78" t="n">
        <x:f>IF(B1372='Inputs'!$H$47,'Inputs'!$B$27*'Inputs'!$I$47,0)</x:f>
        <x:v>0</x:v>
      </x:c>
      <x:c r="S1372" s="78" t="n">
        <x:f>Q1372+G1372+R1372</x:f>
        <x:v>315110.832238693</x:v>
      </x:c>
      <x:c r="T1372" s="78" t="n">
        <x:f>P1372*(S1372*(1-'Inputs'!$B$15))/(O1372+S1372*(1-'Inputs'!$B$15))</x:f>
        <x:v>7078.772440508426</x:v>
      </x:c>
      <x:c r="U1372" s="78" t="n">
        <x:f>O1372+S1372*(1-'Inputs'!$B$17)</x:f>
        <x:v>1940677.6055070502</x:v>
      </x:c>
      <x:c r="V1372" s="78" t="n">
        <x:f>P1372-T1372</x:f>
        <x:v>36915.00101116132</x:v>
      </x:c>
      <x:c r="W1372" s="79" t="n">
        <x:f>IF(U1372&gt;0,V1372/U1372,0)</x:f>
        <x:v>0.01902170711220031</x:v>
      </x:c>
      <x:c r="X1372" s="80" t="n">
        <x:f>W1372*('Inputs'!$B$6-AC1372)</x:f>
        <x:v>18938380.565868627</x:v>
      </x:c>
      <x:c r="Y1372" s="80" t="n">
        <x:f>2*V1372</x:f>
        <x:v>73830.00202232265</x:v>
      </x:c>
      <x:c r="Z1372" s="80" t="n">
        <x:f>K1372*'Inputs'!$B$16+(G1372+R1372)*J1372*'Inputs'!$B$16</x:f>
        <x:v>903.33555410071</x:v>
      </x:c>
      <x:c r="AA1372" s="80" t="n">
        <x:f>K1372*(1+'Inputs'!$E$47)/2*'Inputs'!$B$17</x:f>
        <x:v>305.4713427235939</x:v>
      </x:c>
      <x:c r="AB1372" s="78" t="n">
        <x:f>(IF(J1372&gt;0,K1372*(1-'Inputs'!$E$47)/2/J1372,0)+G1372+R1372)*'Inputs'!$B$17</x:f>
        <x:v>15865.382443863127</x:v>
      </x:c>
      <x:c r="AC1372" s="78" t="n">
        <x:f>AC1371+AB1372</x:f>
        <x:v>4380602.952205028</x:v>
      </x:c>
      <x:c r="AD1372" s="80" t="n">
        <x:f>Z1372/(1+'Inputs'!$C$47)</x:f>
        <x:v>361.334221640284</x:v>
      </x:c>
      <x:c r="AE1372" s="80" t="n">
        <x:f>Z1372-AD1372</x:f>
        <x:v>542.001332460426</x:v>
      </x:c>
      <x:c r="AF1372" s="80" t="n">
        <x:f>D1372*W1372</x:f>
        <x:v>5079.360667628762</x:v>
      </x:c>
      <x:c r="AG1372" s="80" t="n">
        <x:f>C1372*W1372</x:f>
        <x:v>11851.841557801012</x:v>
      </x:c>
      <x:c r="AH1372" s="80" t="n">
        <x:f>2*'Inputs'!$B$8*'Inputs'!$C$47</x:f>
        <x:v>7500</x:v>
      </x:c>
      <x:c r="AI1372" s="81" t="n">
        <x:f>IF(AH1372&gt;0,(AE1372+AF1372)/AH1372*365,0)</x:f>
        <x:v>273.5729506710071</x:v>
      </x:c>
      <x:c r="AJ1372" s="81" t="n">
        <x:f>IF('Inputs'!$B$47&gt;0,AG1372/('Inputs'!$B$19*'Inputs'!$B$47)*365,0)</x:f>
        <x:v>432.592216859737</x:v>
      </x:c>
      <x:c r="AK1372" s="81" t="n">
        <x:f>W1372/MAX($W$1099:W1372)-1</x:f>
        <x:v>-0.14160361620349082</x:v>
      </x:c>
      <x:c r="AL1372" s="83" t="n">
        <x:f>'Inputs'!$B$47</x:f>
        <x:v>1</x:v>
      </x:c>
      <x:c r="AM1372" s="83" t="n">
        <x:f>'Inputs'!$C$47</x:f>
        <x:v>1.5</x:v>
      </x:c>
      <x:c r="AN1372" s="83" t="n">
        <x:f>'Inputs'!$D$47</x:f>
        <x:v>1.5</x:v>
      </x:c>
      <x:c r="AO1372" s="81" t="n">
        <x:f>'Inputs'!$E$47</x:f>
        <x:v>0.05</x:v>
      </x:c>
    </x:row>
    <x:row r="1373">
      <x:c r="A1373" s="59" t="str">
        <x:v>Growth</x:v>
      </x:c>
      <x:c r="B1373" s="59" t="n">
        <x:v>275</x:v>
      </x:c>
      <x:c r="C1373" s="78" t="n">
        <x:f>(('Inputs'!$B$29*(3*275*'Inputs'!$B$12-275^2)/(2*'Inputs'!$B$12^2))-('Inputs'!$B$29*(3*274*'Inputs'!$B$12-274^2)/(2*'Inputs'!$B$12^2)))*'Inputs'!$B$47</x:f>
        <x:v>622744.1827735007</x:v>
      </x:c>
      <x:c r="D1373" s="78" t="n">
        <x:f>IF('Inputs'!$C$47&gt;0,('Inputs'!$B$30*(3*275*'Inputs'!$B$12-275^2)/(2*'Inputs'!$B$12^2))-('Inputs'!$B$30*(3*274*'Inputs'!$B$12-274^2)/(2*'Inputs'!$B$12^2)),0)</x:f>
        <x:v>266890.3640457988</x:v>
      </x:c>
      <x:c r="E1373" s="78" t="n">
        <x:f>C1373+D1373</x:f>
        <x:v>889634.5468192995</x:v>
      </x:c>
      <x:c r="F1373" s="78" t="n">
        <x:f>'Inputs'!$B$13*E1373+(1-'Inputs'!$B$13)/'Inputs'!$B$14*SUM(E1318:E1373)</x:f>
        <x:v>899852.2236817434</x:v>
      </x:c>
      <x:c r="G1373" s="78" t="n">
        <x:f>F1373*'Inputs'!$F$47</x:f>
        <x:v>314948.27828861016</x:v>
      </x:c>
      <x:c r="H1373" s="78" t="n">
        <x:f>U1372</x:f>
        <x:v>1940677.6055070502</x:v>
      </x:c>
      <x:c r="I1373" s="78" t="n">
        <x:f>V1372</x:f>
        <x:v>36915.00101116132</x:v>
      </x:c>
      <x:c r="J1373" s="79" t="n">
        <x:f>IF(H1373&gt;0,I1373/H1373,0)</x:f>
        <x:v>0.01902170711220031</x:v>
      </x:c>
      <x:c r="K1373" s="80" t="n">
        <x:f>(H1373*J1373+I1373)*'Inputs'!$D$47*(1+'Inputs'!$G$47)^(B1373/30)</x:f>
        <x:v>145210.7268130621</x:v>
      </x:c>
      <x:c r="L1373" s="80" t="n">
        <x:f>MAX(0,K1373*'Inputs'!$E$47)</x:f>
        <x:v>7260.536340653105</x:v>
      </x:c>
      <x:c r="M1373" s="80" t="n">
        <x:f>MAX(0,-K1373*'Inputs'!$E$47)</x:f>
        <x:v>0</x:v>
      </x:c>
      <x:c r="N1373" s="78" t="n">
        <x:f>H1373*(L1373*(1-'Inputs'!$B$15))/(I1373+L1373*(1-'Inputs'!$B$15))</x:f>
        <x:v>316293.18162201403</x:v>
      </x:c>
      <x:c r="O1373" s="78" t="n">
        <x:f>H1373-N1373</x:f>
        <x:v>1624384.4238850363</x:v>
      </x:c>
      <x:c r="P1373" s="78" t="n">
        <x:f>I1373+L1373*(1-'Inputs'!$B$17)</x:f>
        <x:v>44146.319901751434</x:v>
      </x:c>
      <x:c r="Q1373" s="78" t="n">
        <x:f>IF(J1373&gt;0,M1373/J1373,0)</x:f>
        <x:v>0</x:v>
      </x:c>
      <x:c r="R1373" s="78" t="n">
        <x:f>IF(B1373='Inputs'!$H$47,'Inputs'!$B$27*'Inputs'!$I$47,0)</x:f>
        <x:v>0</x:v>
      </x:c>
      <x:c r="S1373" s="78" t="n">
        <x:f>Q1373+G1373+R1373</x:f>
        <x:v>314948.27828861016</x:v>
      </x:c>
      <x:c r="T1373" s="78" t="n">
        <x:f>P1373*(S1373*(1-'Inputs'!$B$15))/(O1373+S1373*(1-'Inputs'!$B$15))</x:f>
        <x:v>7109.228730795268</x:v>
      </x:c>
      <x:c r="U1373" s="78" t="n">
        <x:f>O1373+S1373*(1-'Inputs'!$B$17)</x:f>
        <x:v>1938065.3046755032</x:v>
      </x:c>
      <x:c r="V1373" s="78" t="n">
        <x:f>P1373-T1373</x:f>
        <x:v>37037.09117095616</x:v>
      </x:c>
      <x:c r="W1373" s="79" t="n">
        <x:f>IF(U1373&gt;0,V1373/U1373,0)</x:f>
        <x:v>0.019110342196212736</x:v>
      </x:c>
      <x:c r="X1373" s="80" t="n">
        <x:f>W1373*('Inputs'!$B$6-AC1373)</x:f>
        <x:v>19026324.295226946</x:v>
      </x:c>
      <x:c r="Y1373" s="80" t="n">
        <x:f>2*V1373</x:f>
        <x:v>74074.18234191232</x:v>
      </x:c>
      <x:c r="Z1373" s="80" t="n">
        <x:f>K1373*'Inputs'!$B$16+(G1373+R1373)*J1373*'Inputs'!$B$16</x:f>
        <x:v>907.2094843089587</x:v>
      </x:c>
      <x:c r="AA1373" s="80" t="n">
        <x:f>K1373*(1+'Inputs'!$E$47)/2*'Inputs'!$B$17</x:f>
        <x:v>306.78322566139883</x:v>
      </x:c>
      <x:c r="AB1373" s="78" t="n">
        <x:f>(IF(J1373&gt;0,K1373*(1-'Inputs'!$E$47)/2/J1373,0)+G1373+R1373)*'Inputs'!$B$17</x:f>
        <x:v>15859.451405880156</x:v>
      </x:c>
      <x:c r="AC1373" s="78" t="n">
        <x:f>AC1372+AB1373</x:f>
        <x:v>4396462.403610908</x:v>
      </x:c>
      <x:c r="AD1373" s="80" t="n">
        <x:f>Z1373/(1+'Inputs'!$C$47)</x:f>
        <x:v>362.8837937235835</x:v>
      </x:c>
      <x:c r="AE1373" s="80" t="n">
        <x:f>Z1373-AD1373</x:f>
        <x:v>544.3256905853752</x:v>
      </x:c>
      <x:c r="AF1373" s="80" t="n">
        <x:f>D1373*W1373</x:f>
        <x:v>5100.3661857870065</x:v>
      </x:c>
      <x:c r="AG1373" s="80" t="n">
        <x:f>C1373*W1373</x:f>
        <x:v>11900.854433502447</x:v>
      </x:c>
      <x:c r="AH1373" s="80" t="n">
        <x:f>2*'Inputs'!$B$8*'Inputs'!$C$47</x:f>
        <x:v>7500</x:v>
      </x:c>
      <x:c r="AI1373" s="81" t="n">
        <x:f>IF(AH1373&gt;0,(AE1373+AF1373)/AH1373*365,0)</x:f>
        <x:v>274.7083379834559</x:v>
      </x:c>
      <x:c r="AJ1373" s="81" t="n">
        <x:f>IF('Inputs'!$B$47&gt;0,AG1373/('Inputs'!$B$19*'Inputs'!$B$47)*365,0)</x:f>
        <x:v>434.38118682283937</x:v>
      </x:c>
      <x:c r="AK1373" s="81" t="n">
        <x:f>W1373/MAX($W$1099:W1373)-1</x:f>
        <x:v>-0.13760376302811694</x:v>
      </x:c>
      <x:c r="AL1373" s="83" t="n">
        <x:f>'Inputs'!$B$47</x:f>
        <x:v>1</x:v>
      </x:c>
      <x:c r="AM1373" s="83" t="n">
        <x:f>'Inputs'!$C$47</x:f>
        <x:v>1.5</x:v>
      </x:c>
      <x:c r="AN1373" s="83" t="n">
        <x:f>'Inputs'!$D$47</x:f>
        <x:v>1.5</x:v>
      </x:c>
      <x:c r="AO1373" s="81" t="n">
        <x:f>'Inputs'!$E$47</x:f>
        <x:v>0.05</x:v>
      </x:c>
    </x:row>
    <x:row r="1374">
      <x:c r="A1374" s="59" t="str">
        <x:v>Growth</x:v>
      </x:c>
      <x:c r="B1374" s="59" t="n">
        <x:v>276</x:v>
      </x:c>
      <x:c r="C1374" s="78" t="n">
        <x:f>(('Inputs'!$B$29*(3*276*'Inputs'!$B$12-276^2)/(2*'Inputs'!$B$12^2))-('Inputs'!$B$29*(3*275*'Inputs'!$B$12-275^2)/(2*'Inputs'!$B$12^2)))*'Inputs'!$B$47</x:f>
        <x:v>622419.0748733282</x:v>
      </x:c>
      <x:c r="D1374" s="78" t="n">
        <x:f>IF('Inputs'!$C$47&gt;0,('Inputs'!$B$30*(3*276*'Inputs'!$B$12-276^2)/(2*'Inputs'!$B$12^2))-('Inputs'!$B$30*(3*275*'Inputs'!$B$12-275^2)/(2*'Inputs'!$B$12^2)),0)</x:f>
        <x:v>266751.03208856285</x:v>
      </x:c>
      <x:c r="E1374" s="78" t="n">
        <x:f>C1374+D1374</x:f>
        <x:v>889170.106961891</x:v>
      </x:c>
      <x:c r="F1374" s="78" t="n">
        <x:f>'Inputs'!$B$13*E1374+(1-'Inputs'!$B$13)/'Inputs'!$B$14*SUM(E1319:E1374)</x:f>
        <x:v>899387.7838243543</x:v>
      </x:c>
      <x:c r="G1374" s="78" t="n">
        <x:f>F1374*'Inputs'!$F$47</x:f>
        <x:v>314785.724338524</x:v>
      </x:c>
      <x:c r="H1374" s="78" t="n">
        <x:f>U1373</x:f>
        <x:v>1938065.3046755032</x:v>
      </x:c>
      <x:c r="I1374" s="78" t="n">
        <x:f>V1373</x:f>
        <x:v>37037.09117095616</x:v>
      </x:c>
      <x:c r="J1374" s="79" t="n">
        <x:f>IF(H1374&gt;0,I1374/H1374,0)</x:f>
        <x:v>0.019110342196212736</x:v>
      </x:c>
      <x:c r="K1374" s="80" t="n">
        <x:f>(H1374*J1374+I1374)*'Inputs'!$D$47*(1+'Inputs'!$G$47)^(B1374/30)</x:f>
        <x:v>145834.60599041154</x:v>
      </x:c>
      <x:c r="L1374" s="80" t="n">
        <x:f>MAX(0,K1374*'Inputs'!$E$47)</x:f>
        <x:v>7291.730299520577</x:v>
      </x:c>
      <x:c r="M1374" s="80" t="n">
        <x:f>MAX(0,-K1374*'Inputs'!$E$47)</x:f>
        <x:v>0</x:v>
      </x:c>
      <x:c r="N1374" s="78" t="n">
        <x:f>H1374*(L1374*(1-'Inputs'!$B$15))/(I1374+L1374*(1-'Inputs'!$B$15))</x:f>
        <x:v>316128.01213055826</x:v>
      </x:c>
      <x:c r="O1374" s="78" t="n">
        <x:f>H1374-N1374</x:f>
        <x:v>1621937.292544945</x:v>
      </x:c>
      <x:c r="P1374" s="78" t="n">
        <x:f>I1374+L1374*(1-'Inputs'!$B$17)</x:f>
        <x:v>44299.478491404225</x:v>
      </x:c>
      <x:c r="Q1374" s="78" t="n">
        <x:f>IF(J1374&gt;0,M1374/J1374,0)</x:f>
        <x:v>0</x:v>
      </x:c>
      <x:c r="R1374" s="78" t="n">
        <x:f>IF(B1374='Inputs'!$H$47,'Inputs'!$B$27*'Inputs'!$I$47,0)</x:f>
        <x:v>0</x:v>
      </x:c>
      <x:c r="S1374" s="78" t="n">
        <x:f>Q1374+G1374+R1374</x:f>
        <x:v>314785.724338524</x:v>
      </x:c>
      <x:c r="T1374" s="78" t="n">
        <x:f>P1374*(S1374*(1-'Inputs'!$B$15))/(O1374+S1374*(1-'Inputs'!$B$15))</x:f>
        <x:v>7139.828478691218</x:v>
      </x:c>
      <x:c r="U1374" s="78" t="n">
        <x:f>O1374+S1374*(1-'Inputs'!$B$17)</x:f>
        <x:v>1935456.2735259698</x:v>
      </x:c>
      <x:c r="V1374" s="78" t="n">
        <x:f>P1374-T1374</x:f>
        <x:v>37159.650012713006</x:v>
      </x:c>
      <x:c r="W1374" s="79" t="n">
        <x:f>IF(U1374&gt;0,V1374/U1374,0)</x:f>
        <x:v>0.019199426265010065</x:v>
      </x:c>
      <x:c r="X1374" s="80" t="n">
        <x:f>W1374*('Inputs'!$B$6-AC1374)</x:f>
        <x:v>19114712.33076872</x:v>
      </x:c>
      <x:c r="Y1374" s="80" t="n">
        <x:f>2*V1374</x:f>
        <x:v>74319.30002542601</x:v>
      </x:c>
      <x:c r="Z1374" s="80" t="n">
        <x:f>K1374*'Inputs'!$B$16+(G1374+R1374)*J1374*'Inputs'!$B$16</x:f>
        <x:v>911.1016134060205</x:v>
      </x:c>
      <x:c r="AA1374" s="80" t="n">
        <x:f>K1374*(1+'Inputs'!$E$47)/2*'Inputs'!$B$17</x:f>
        <x:v>308.1012802614329</x:v>
      </x:c>
      <x:c r="AB1374" s="78" t="n">
        <x:f>(IF(J1374&gt;0,K1374*(1-'Inputs'!$E$47)/2/J1374,0)+G1374+R1374)*'Inputs'!$B$17</x:f>
        <x:v>15853.520419197095</x:v>
      </x:c>
      <x:c r="AC1374" s="78" t="n">
        <x:f>AC1373+AB1374</x:f>
        <x:v>4412315.924030106</x:v>
      </x:c>
      <x:c r="AD1374" s="80" t="n">
        <x:f>Z1374/(1+'Inputs'!$C$47)</x:f>
        <x:v>364.4406453624082</x:v>
      </x:c>
      <x:c r="AE1374" s="80" t="n">
        <x:f>Z1374-AD1374</x:f>
        <x:v>546.6609680436123</x:v>
      </x:c>
      <x:c r="AF1374" s="80" t="n">
        <x:f>D1374*W1374</x:f>
        <x:v>5121.466771699696</x:v>
      </x:c>
      <x:c r="AG1374" s="80" t="n">
        <x:f>C1374*W1374</x:f>
        <x:v>11950.089133966243</x:v>
      </x:c>
      <x:c r="AH1374" s="80" t="n">
        <x:f>2*'Inputs'!$B$8*'Inputs'!$C$47</x:f>
        <x:v>7500</x:v>
      </x:c>
      <x:c r="AI1374" s="81" t="n">
        <x:f>IF(AH1374&gt;0,(AE1374+AF1374)/AH1374*365,0)</x:f>
        <x:v>275.84888333417433</x:v>
      </x:c>
      <x:c r="AJ1374" s="81" t="n">
        <x:f>IF('Inputs'!$B$47&gt;0,AG1374/('Inputs'!$B$19*'Inputs'!$B$47)*365,0)</x:f>
        <x:v>436.1782533897679</x:v>
      </x:c>
      <x:c r="AK1374" s="81" t="n">
        <x:f>W1374/MAX($W$1099:W1374)-1</x:f>
        <x:v>-0.1335836484264964</x:v>
      </x:c>
      <x:c r="AL1374" s="83" t="n">
        <x:f>'Inputs'!$B$47</x:f>
        <x:v>1</x:v>
      </x:c>
      <x:c r="AM1374" s="83" t="n">
        <x:f>'Inputs'!$C$47</x:f>
        <x:v>1.5</x:v>
      </x:c>
      <x:c r="AN1374" s="83" t="n">
        <x:f>'Inputs'!$D$47</x:f>
        <x:v>1.5</x:v>
      </x:c>
      <x:c r="AO1374" s="81" t="n">
        <x:f>'Inputs'!$E$47</x:f>
        <x:v>0.05</x:v>
      </x:c>
    </x:row>
    <x:row r="1375">
      <x:c r="A1375" s="59" t="str">
        <x:v>Growth</x:v>
      </x:c>
      <x:c r="B1375" s="59" t="n">
        <x:v>277</x:v>
      </x:c>
      <x:c r="C1375" s="78" t="n">
        <x:f>(('Inputs'!$B$29*(3*277*'Inputs'!$B$12-277^2)/(2*'Inputs'!$B$12^2))-('Inputs'!$B$29*(3*276*'Inputs'!$B$12-276^2)/(2*'Inputs'!$B$12^2)))*'Inputs'!$B$47</x:f>
        <x:v>622093.9669731855</x:v>
      </x:c>
      <x:c r="D1375" s="78" t="n">
        <x:f>IF('Inputs'!$C$47&gt;0,('Inputs'!$B$30*(3*277*'Inputs'!$B$12-277^2)/(2*'Inputs'!$B$12^2))-('Inputs'!$B$30*(3*276*'Inputs'!$B$12-276^2)/(2*'Inputs'!$B$12^2)),0)</x:f>
        <x:v>266611.7001313567</x:v>
      </x:c>
      <x:c r="E1375" s="78" t="n">
        <x:f>C1375+D1375</x:f>
        <x:v>888705.6671045423</x:v>
      </x:c>
      <x:c r="F1375" s="78" t="n">
        <x:f>'Inputs'!$B$13*E1375+(1-'Inputs'!$B$13)/'Inputs'!$B$14*SUM(E1320:E1375)</x:f>
        <x:v>898923.3439669774</x:v>
      </x:c>
      <x:c r="G1375" s="78" t="n">
        <x:f>F1375*'Inputs'!$F$47</x:f>
        <x:v>314623.17038844206</x:v>
      </x:c>
      <x:c r="H1375" s="78" t="n">
        <x:f>U1374</x:f>
        <x:v>1935456.2735259698</x:v>
      </x:c>
      <x:c r="I1375" s="78" t="n">
        <x:f>V1374</x:f>
        <x:v>37159.650012713006</x:v>
      </x:c>
      <x:c r="J1375" s="79" t="n">
        <x:f>IF(H1375&gt;0,I1375/H1375,0)</x:f>
        <x:v>0.019199426265010065</x:v>
      </x:c>
      <x:c r="K1375" s="80" t="n">
        <x:f>(H1375*J1375+I1375)*'Inputs'!$D$47*(1+'Inputs'!$G$47)^(B1375/30)</x:f>
        <x:v>146461.42133954132</x:v>
      </x:c>
      <x:c r="L1375" s="80" t="n">
        <x:f>MAX(0,K1375*'Inputs'!$E$47)</x:f>
        <x:v>7323.071066977067</x:v>
      </x:c>
      <x:c r="M1375" s="80" t="n">
        <x:f>MAX(0,-K1375*'Inputs'!$E$47)</x:f>
        <x:v>0</x:v>
      </x:c>
      <x:c r="N1375" s="78" t="n">
        <x:f>H1375*(L1375*(1-'Inputs'!$B$15))/(I1375+L1375*(1-'Inputs'!$B$15))</x:f>
        <x:v>315962.84674919717</x:v>
      </x:c>
      <x:c r="O1375" s="78" t="n">
        <x:f>H1375-N1375</x:f>
        <x:v>1619493.4267767726</x:v>
      </x:c>
      <x:c r="P1375" s="78" t="n">
        <x:f>I1375+L1375*(1-'Inputs'!$B$17)</x:f>
        <x:v>44453.251980828994</x:v>
      </x:c>
      <x:c r="Q1375" s="78" t="n">
        <x:f>IF(J1375&gt;0,M1375/J1375,0)</x:f>
        <x:v>0</x:v>
      </x:c>
      <x:c r="R1375" s="78" t="n">
        <x:f>IF(B1375='Inputs'!$H$47,'Inputs'!$B$27*'Inputs'!$I$47,0)</x:f>
        <x:v>0</x:v>
      </x:c>
      <x:c r="S1375" s="78" t="n">
        <x:f>Q1375+G1375+R1375</x:f>
        <x:v>314623.17038844206</x:v>
      </x:c>
      <x:c r="T1375" s="78" t="n">
        <x:f>P1375*(S1375*(1-'Inputs'!$B$15))/(O1375+S1375*(1-'Inputs'!$B$15))</x:f>
        <x:v>7170.572417487029</x:v>
      </x:c>
      <x:c r="U1375" s="78" t="n">
        <x:f>O1375+S1375*(1-'Inputs'!$B$17)</x:f>
        <x:v>1932850.5079483597</x:v>
      </x:c>
      <x:c r="V1375" s="78" t="n">
        <x:f>P1375-T1375</x:f>
        <x:v>37282.67956334197</x:v>
      </x:c>
      <x:c r="W1375" s="79" t="n">
        <x:f>IF(U1375&gt;0,V1375/U1375,0)</x:f>
        <x:v>0.019288961774346417</x:v>
      </x:c>
      <x:c r="X1375" s="80" t="n">
        <x:f>W1375*('Inputs'!$B$6-AC1375)</x:f>
        <x:v>19203547.09760372</x:v>
      </x:c>
      <x:c r="Y1375" s="80" t="n">
        <x:f>2*V1375</x:f>
        <x:v>74565.35912668394</x:v>
      </x:c>
      <x:c r="Z1375" s="80" t="n">
        <x:f>K1375*'Inputs'!$B$16+(G1375+R1375)*J1375*'Inputs'!$B$16</x:f>
        <x:v>915.0120342040675</x:v>
      </x:c>
      <x:c r="AA1375" s="80" t="n">
        <x:f>K1375*(1+'Inputs'!$E$47)/2*'Inputs'!$B$17</x:f>
        <x:v>309.42553804128454</x:v>
      </x:c>
      <x:c r="AB1375" s="78" t="n">
        <x:f>(IF(J1375&gt;0,K1375*(1-'Inputs'!$E$47)/2/J1375,0)+G1375+R1375)*'Inputs'!$B$17</x:f>
        <x:v>15847.589482329786</x:v>
      </x:c>
      <x:c r="AC1375" s="78" t="n">
        <x:f>AC1374+AB1375</x:f>
        <x:v>4428163.513512435</x:v>
      </x:c>
      <x:c r="AD1375" s="80" t="n">
        <x:f>Z1375/(1+'Inputs'!$C$47)</x:f>
        <x:v>366.004813681627</x:v>
      </x:c>
      <x:c r="AE1375" s="80" t="n">
        <x:f>Z1375-AD1375</x:f>
        <x:v>549.0072205224405</x:v>
      </x:c>
      <x:c r="AF1375" s="80" t="n">
        <x:f>D1375*W1375</x:f>
        <x:v>5142.662892427249</x:v>
      </x:c>
      <x:c r="AG1375" s="80" t="n">
        <x:f>C1375*W1375</x:f>
        <x:v>11999.546748997298</x:v>
      </x:c>
      <x:c r="AH1375" s="80" t="n">
        <x:f>2*'Inputs'!$B$8*'Inputs'!$C$47</x:f>
        <x:v>7500</x:v>
      </x:c>
      <x:c r="AI1375" s="81" t="n">
        <x:f>IF(AH1375&gt;0,(AE1375+AF1375)/AH1375*365,0)</x:f>
        <x:v>276.99461216355155</x:v>
      </x:c>
      <x:c r="AJ1375" s="81" t="n">
        <x:f>IF('Inputs'!$B$47&gt;0,AG1375/('Inputs'!$B$19*'Inputs'!$B$47)*365,0)</x:f>
        <x:v>437.98345633840137</x:v>
      </x:c>
      <x:c r="AK1375" s="81" t="n">
        <x:f>W1375/MAX($W$1099:W1375)-1</x:f>
        <x:v>-0.12954316157732138</x:v>
      </x:c>
      <x:c r="AL1375" s="83" t="n">
        <x:f>'Inputs'!$B$47</x:f>
        <x:v>1</x:v>
      </x:c>
      <x:c r="AM1375" s="83" t="n">
        <x:f>'Inputs'!$C$47</x:f>
        <x:v>1.5</x:v>
      </x:c>
      <x:c r="AN1375" s="83" t="n">
        <x:f>'Inputs'!$D$47</x:f>
        <x:v>1.5</x:v>
      </x:c>
      <x:c r="AO1375" s="81" t="n">
        <x:f>'Inputs'!$E$47</x:f>
        <x:v>0.05</x:v>
      </x:c>
    </x:row>
    <x:row r="1376">
      <x:c r="A1376" s="59" t="str">
        <x:v>Growth</x:v>
      </x:c>
      <x:c r="B1376" s="59" t="n">
        <x:v>278</x:v>
      </x:c>
      <x:c r="C1376" s="78" t="n">
        <x:f>(('Inputs'!$B$29*(3*278*'Inputs'!$B$12-278^2)/(2*'Inputs'!$B$12^2))-('Inputs'!$B$29*(3*277*'Inputs'!$B$12-277^2)/(2*'Inputs'!$B$12^2)))*'Inputs'!$B$47</x:f>
        <x:v>621768.8590729833</x:v>
      </x:c>
      <x:c r="D1376" s="78" t="n">
        <x:f>IF('Inputs'!$C$47&gt;0,('Inputs'!$B$30*(3*278*'Inputs'!$B$12-278^2)/(2*'Inputs'!$B$12^2))-('Inputs'!$B$30*(3*277*'Inputs'!$B$12-277^2)/(2*'Inputs'!$B$12^2)),0)</x:f>
        <x:v>266472.3681741506</x:v>
      </x:c>
      <x:c r="E1376" s="78" t="n">
        <x:f>C1376+D1376</x:f>
        <x:v>888241.2272471339</x:v>
      </x:c>
      <x:c r="F1376" s="78" t="n">
        <x:f>'Inputs'!$B$13*E1376+(1-'Inputs'!$B$13)/'Inputs'!$B$14*SUM(E1321:E1376)</x:f>
        <x:v>898458.9041095882</x:v>
      </x:c>
      <x:c r="G1376" s="78" t="n">
        <x:f>F1376*'Inputs'!$F$47</x:f>
        <x:v>314460.6164383559</x:v>
      </x:c>
      <x:c r="H1376" s="78" t="n">
        <x:f>U1375</x:f>
        <x:v>1932850.5079483597</x:v>
      </x:c>
      <x:c r="I1376" s="78" t="n">
        <x:f>V1375</x:f>
        <x:v>37282.67956334197</x:v>
      </x:c>
      <x:c r="J1376" s="79" t="n">
        <x:f>IF(H1376&gt;0,I1376/H1376,0)</x:f>
        <x:v>0.019288961774346417</x:v>
      </x:c>
      <x:c r="K1376" s="80" t="n">
        <x:f>(H1376*J1376+I1376)*'Inputs'!$D$47*(1+'Inputs'!$G$47)^(B1376/30)</x:f>
        <x:v>147091.18786078042</x:v>
      </x:c>
      <x:c r="L1376" s="80" t="n">
        <x:f>MAX(0,K1376*'Inputs'!$E$47)</x:f>
        <x:v>7354.559393039021</x:v>
      </x:c>
      <x:c r="M1376" s="80" t="n">
        <x:f>MAX(0,-K1376*'Inputs'!$E$47)</x:f>
        <x:v>0</x:v>
      </x:c>
      <x:c r="N1376" s="78" t="n">
        <x:f>H1376*(L1376*(1-'Inputs'!$B$15))/(I1376+L1376*(1-'Inputs'!$B$15))</x:f>
        <x:v>315797.6854729045</x:v>
      </x:c>
      <x:c r="O1376" s="78" t="n">
        <x:f>H1376-N1376</x:f>
        <x:v>1617052.8224754552</x:v>
      </x:c>
      <x:c r="P1376" s="78" t="n">
        <x:f>I1376+L1376*(1-'Inputs'!$B$17)</x:f>
        <x:v>44607.643143934154</x:v>
      </x:c>
      <x:c r="Q1376" s="78" t="n">
        <x:f>IF(J1376&gt;0,M1376/J1376,0)</x:f>
        <x:v>0</x:v>
      </x:c>
      <x:c r="R1376" s="78" t="n">
        <x:f>IF(B1376='Inputs'!$H$47,'Inputs'!$B$27*'Inputs'!$I$47,0)</x:f>
        <x:v>0</x:v>
      </x:c>
      <x:c r="S1376" s="78" t="n">
        <x:f>Q1376+G1376+R1376</x:f>
        <x:v>314460.6164383559</x:v>
      </x:c>
      <x:c r="T1376" s="78" t="n">
        <x:f>P1376*(S1376*(1-'Inputs'!$B$15))/(O1376+S1376*(1-'Inputs'!$B$15))</x:f>
        <x:v>7201.461284506864</x:v>
      </x:c>
      <x:c r="U1376" s="78" t="n">
        <x:f>O1376+S1376*(1-'Inputs'!$B$17)</x:f>
        <x:v>1930248.0038376004</x:v>
      </x:c>
      <x:c r="V1376" s="78" t="n">
        <x:f>P1376-T1376</x:f>
        <x:v>37406.18185942729</x:v>
      </x:c>
      <x:c r="W1376" s="79" t="n">
        <x:f>IF(U1376&gt;0,V1376/U1376,0)</x:f>
        <x:v>0.01937895119438467</x:v>
      </x:c>
      <x:c r="X1376" s="80" t="n">
        <x:f>W1376*('Inputs'!$B$6-AC1376)</x:f>
        <x:v>19292831.03504683</x:v>
      </x:c>
      <x:c r="Y1376" s="80" t="n">
        <x:f>2*V1376</x:f>
        <x:v>74812.36371885458</x:v>
      </x:c>
      <x:c r="Z1376" s="80" t="n">
        <x:f>K1376*'Inputs'!$B$16+(G1376+R1376)*J1376*'Inputs'!$B$16</x:f>
        <x:v>918.9408400247837</x:v>
      </x:c>
      <x:c r="AA1376" s="80" t="n">
        <x:f>K1376*(1+'Inputs'!$E$47)/2*'Inputs'!$B$17</x:f>
        <x:v>310.7560306917897</x:v>
      </x:c>
      <x:c r="AB1376" s="78" t="n">
        <x:f>(IF(J1376&gt;0,K1376*(1-'Inputs'!$E$47)/2/J1376,0)+G1376+R1376)*'Inputs'!$B$17</x:f>
        <x:v>15841.65859379186</x:v>
      </x:c>
      <x:c r="AC1376" s="78" t="n">
        <x:f>AC1375+AB1376</x:f>
        <x:v>4444005.172106227</x:v>
      </x:c>
      <x:c r="AD1376" s="80" t="n">
        <x:f>Z1376/(1+'Inputs'!$C$47)</x:f>
        <x:v>367.57633600991346</x:v>
      </x:c>
      <x:c r="AE1376" s="80" t="n">
        <x:f>Z1376-AD1376</x:f>
        <x:v>551.3645040148702</x:v>
      </x:c>
      <x:c r="AF1376" s="80" t="n">
        <x:f>D1376*W1376</x:f>
        <x:v>5163.955017498967</x:v>
      </x:c>
      <x:c r="AG1376" s="80" t="n">
        <x:f>C1376*W1376</x:f>
        <x:v>12049.228374163582</x:v>
      </x:c>
      <x:c r="AH1376" s="80" t="n">
        <x:f>2*'Inputs'!$B$8*'Inputs'!$C$47</x:f>
        <x:v>7500</x:v>
      </x:c>
      <x:c r="AI1376" s="81" t="n">
        <x:f>IF(AH1376&gt;0,(AE1376+AF1376)/AH1376*365,0)</x:f>
        <x:v>278.14555004700674</x:v>
      </x:c>
      <x:c r="AJ1376" s="81" t="n">
        <x:f>IF('Inputs'!$B$47&gt;0,AG1376/('Inputs'!$B$19*'Inputs'!$B$47)*365,0)</x:f>
        <x:v>439.79683565697076</x:v>
      </x:c>
      <x:c r="AK1376" s="81" t="n">
        <x:f>W1376/MAX($W$1099:W1376)-1</x:f>
        <x:v>-0.12548219100905755</x:v>
      </x:c>
      <x:c r="AL1376" s="83" t="n">
        <x:f>'Inputs'!$B$47</x:f>
        <x:v>1</x:v>
      </x:c>
      <x:c r="AM1376" s="83" t="n">
        <x:f>'Inputs'!$C$47</x:f>
        <x:v>1.5</x:v>
      </x:c>
      <x:c r="AN1376" s="83" t="n">
        <x:f>'Inputs'!$D$47</x:f>
        <x:v>1.5</x:v>
      </x:c>
      <x:c r="AO1376" s="81" t="n">
        <x:f>'Inputs'!$E$47</x:f>
        <x:v>0.05</x:v>
      </x:c>
    </x:row>
    <x:row r="1377">
      <x:c r="A1377" s="59" t="str">
        <x:v>Growth</x:v>
      </x:c>
      <x:c r="B1377" s="59" t="n">
        <x:v>279</x:v>
      </x:c>
      <x:c r="C1377" s="78" t="n">
        <x:f>(('Inputs'!$B$29*(3*279*'Inputs'!$B$12-279^2)/(2*'Inputs'!$B$12^2))-('Inputs'!$B$29*(3*278*'Inputs'!$B$12-278^2)/(2*'Inputs'!$B$12^2)))*'Inputs'!$B$47</x:f>
        <x:v>621443.7511728406</x:v>
      </x:c>
      <x:c r="D1377" s="78" t="n">
        <x:f>IF('Inputs'!$C$47&gt;0,('Inputs'!$B$30*(3*279*'Inputs'!$B$12-279^2)/(2*'Inputs'!$B$12^2))-('Inputs'!$B$30*(3*278*'Inputs'!$B$12-278^2)/(2*'Inputs'!$B$12^2)),0)</x:f>
        <x:v>266333.03621691465</x:v>
      </x:c>
      <x:c r="E1377" s="78" t="n">
        <x:f>C1377+D1377</x:f>
        <x:v>887776.7873897552</x:v>
      </x:c>
      <x:c r="F1377" s="78" t="n">
        <x:f>'Inputs'!$B$13*E1377+(1-'Inputs'!$B$13)/'Inputs'!$B$14*SUM(E1322:E1377)</x:f>
        <x:v>897994.4642522052</x:v>
      </x:c>
      <x:c r="G1377" s="78" t="n">
        <x:f>F1377*'Inputs'!$F$47</x:f>
        <x:v>314298.0624882718</x:v>
      </x:c>
      <x:c r="H1377" s="78" t="n">
        <x:f>U1376</x:f>
        <x:v>1930248.0038376004</x:v>
      </x:c>
      <x:c r="I1377" s="78" t="n">
        <x:f>V1376</x:f>
        <x:v>37406.18185942729</x:v>
      </x:c>
      <x:c r="J1377" s="79" t="n">
        <x:f>IF(H1377&gt;0,I1377/H1377,0)</x:f>
        <x:v>0.01937895119438467</x:v>
      </x:c>
      <x:c r="K1377" s="80" t="n">
        <x:f>(H1377*J1377+I1377)*'Inputs'!$D$47*(1+'Inputs'!$G$47)^(B1377/30)</x:f>
        <x:v>147723.9206369447</x:v>
      </x:c>
      <x:c r="L1377" s="80" t="n">
        <x:f>MAX(0,K1377*'Inputs'!$E$47)</x:f>
        <x:v>7386.196031847236</x:v>
      </x:c>
      <x:c r="M1377" s="80" t="n">
        <x:f>MAX(0,-K1377*'Inputs'!$E$47)</x:f>
        <x:v>0</x:v>
      </x:c>
      <x:c r="N1377" s="78" t="n">
        <x:f>H1377*(L1377*(1-'Inputs'!$B$15))/(I1377+L1377*(1-'Inputs'!$B$15))</x:f>
        <x:v>315632.52829665865</x:v>
      </x:c>
      <x:c r="O1377" s="78" t="n">
        <x:f>H1377-N1377</x:f>
        <x:v>1614615.4755409416</x:v>
      </x:c>
      <x:c r="P1377" s="78" t="n">
        <x:f>I1377+L1377*(1-'Inputs'!$B$17)</x:f>
        <x:v>44762.65476840995</x:v>
      </x:c>
      <x:c r="Q1377" s="78" t="n">
        <x:f>IF(J1377&gt;0,M1377/J1377,0)</x:f>
        <x:v>0</x:v>
      </x:c>
      <x:c r="R1377" s="78" t="n">
        <x:f>IF(B1377='Inputs'!$H$47,'Inputs'!$B$27*'Inputs'!$I$47,0)</x:f>
        <x:v>0</x:v>
      </x:c>
      <x:c r="S1377" s="78" t="n">
        <x:f>Q1377+G1377+R1377</x:f>
        <x:v>314298.0624882718</x:v>
      </x:c>
      <x:c r="T1377" s="78" t="n">
        <x:f>P1377*(S1377*(1-'Inputs'!$B$15))/(O1377+S1377*(1-'Inputs'!$B$15))</x:f>
        <x:v>7232.495821132704</x:v>
      </x:c>
      <x:c r="U1377" s="78" t="n">
        <x:f>O1377+S1377*(1-'Inputs'!$B$17)</x:f>
        <x:v>1927648.7570936468</x:v>
      </x:c>
      <x:c r="V1377" s="78" t="n">
        <x:f>P1377-T1377</x:f>
        <x:v>37530.15894727725</x:v>
      </x:c>
      <x:c r="W1377" s="79" t="n">
        <x:f>IF(U1377&gt;0,V1377/U1377,0)</x:f>
        <x:v>0.019469397009786258</x:v>
      </x:c>
      <x:c r="X1377" s="80" t="n">
        <x:f>W1377*('Inputs'!$B$6-AC1377)</x:f>
        <x:v>19382566.596706435</x:v>
      </x:c>
      <x:c r="Y1377" s="80" t="n">
        <x:f>2*V1377</x:f>
        <x:v>75060.3178945545</x:v>
      </x:c>
      <x:c r="Z1377" s="80" t="n">
        <x:f>K1377*'Inputs'!$B$16+(G1377+R1377)*J1377*'Inputs'!$B$16</x:f>
        <x:v>922.8881247023675</x:v>
      </x:c>
      <x:c r="AA1377" s="80" t="n">
        <x:f>K1377*(1+'Inputs'!$E$47)/2*'Inputs'!$B$17</x:f>
        <x:v>312.09279007805225</x:v>
      </x:c>
      <x:c r="AB1377" s="78" t="n">
        <x:f>(IF(J1377&gt;0,K1377*(1-'Inputs'!$E$47)/2/J1377,0)+G1377+R1377)*'Inputs'!$B$17</x:f>
        <x:v>15835.727752094745</x:v>
      </x:c>
      <x:c r="AC1377" s="78" t="n">
        <x:f>AC1376+AB1377</x:f>
        <x:v>4459840.899858322</x:v>
      </x:c>
      <x:c r="AD1377" s="80" t="n">
        <x:f>Z1377/(1+'Inputs'!$C$47)</x:f>
        <x:v>369.155249880947</x:v>
      </x:c>
      <x:c r="AE1377" s="80" t="n">
        <x:f>Z1377-AD1377</x:f>
        <x:v>553.7328748214204</x:v>
      </x:c>
      <x:c r="AF1377" s="80" t="n">
        <x:f>D1377*W1377</x:f>
        <x:v>5185.343618928893</x:v>
      </x:c>
      <x:c r="AG1377" s="80" t="n">
        <x:f>C1377*W1377</x:f>
        <x:v>12099.135110834857</x:v>
      </x:c>
      <x:c r="AH1377" s="80" t="n">
        <x:f>2*'Inputs'!$B$8*'Inputs'!$C$47</x:f>
        <x:v>7500</x:v>
      </x:c>
      <x:c r="AI1377" s="81" t="n">
        <x:f>IF(AH1377&gt;0,(AE1377+AF1377)/AH1377*365,0)</x:f>
        <x:v>279.3017226958486</x:v>
      </x:c>
      <x:c r="AJ1377" s="81" t="n">
        <x:f>IF('Inputs'!$B$47&gt;0,AG1377/('Inputs'!$B$19*'Inputs'!$B$47)*365,0)</x:f>
        <x:v>441.61843154547233</x:v>
      </x:c>
      <x:c r="AK1377" s="81" t="n">
        <x:f>W1377/MAX($W$1099:W1377)-1</x:f>
        <x:v>-0.12140062459589085</x:v>
      </x:c>
      <x:c r="AL1377" s="83" t="n">
        <x:f>'Inputs'!$B$47</x:f>
        <x:v>1</x:v>
      </x:c>
      <x:c r="AM1377" s="83" t="n">
        <x:f>'Inputs'!$C$47</x:f>
        <x:v>1.5</x:v>
      </x:c>
      <x:c r="AN1377" s="83" t="n">
        <x:f>'Inputs'!$D$47</x:f>
        <x:v>1.5</x:v>
      </x:c>
      <x:c r="AO1377" s="81" t="n">
        <x:f>'Inputs'!$E$47</x:f>
        <x:v>0.05</x:v>
      </x:c>
    </x:row>
    <x:row r="1378">
      <x:c r="A1378" s="59" t="str">
        <x:v>Growth</x:v>
      </x:c>
      <x:c r="B1378" s="59" t="n">
        <x:v>280</x:v>
      </x:c>
      <x:c r="C1378" s="78" t="n">
        <x:f>(('Inputs'!$B$29*(3*280*'Inputs'!$B$12-280^2)/(2*'Inputs'!$B$12^2))-('Inputs'!$B$29*(3*279*'Inputs'!$B$12-279^2)/(2*'Inputs'!$B$12^2)))*'Inputs'!$B$47</x:f>
        <x:v>621118.6432726383</x:v>
      </x:c>
      <x:c r="D1378" s="78" t="n">
        <x:f>IF('Inputs'!$C$47&gt;0,('Inputs'!$B$30*(3*280*'Inputs'!$B$12-280^2)/(2*'Inputs'!$B$12^2))-('Inputs'!$B$30*(3*279*'Inputs'!$B$12-279^2)/(2*'Inputs'!$B$12^2)),0)</x:f>
        <x:v>266193.7042597234</x:v>
      </x:c>
      <x:c r="E1378" s="78" t="n">
        <x:f>C1378+D1378</x:f>
        <x:v>887312.3475323617</x:v>
      </x:c>
      <x:c r="F1378" s="78" t="n">
        <x:f>'Inputs'!$B$13*E1378+(1-'Inputs'!$B$13)/'Inputs'!$B$14*SUM(E1323:E1378)</x:f>
        <x:v>897530.024394819</x:v>
      </x:c>
      <x:c r="G1378" s="78" t="n">
        <x:f>F1378*'Inputs'!$F$47</x:f>
        <x:v>314135.50853818667</x:v>
      </x:c>
      <x:c r="H1378" s="78" t="n">
        <x:f>U1377</x:f>
        <x:v>1927648.7570936468</x:v>
      </x:c>
      <x:c r="I1378" s="78" t="n">
        <x:f>V1377</x:f>
        <x:v>37530.15894727725</x:v>
      </x:c>
      <x:c r="J1378" s="79" t="n">
        <x:f>IF(H1378&gt;0,I1378/H1378,0)</x:f>
        <x:v>0.019469397009786258</x:v>
      </x:c>
      <x:c r="K1378" s="80" t="n">
        <x:f>(H1378*J1378+I1378)*'Inputs'!$D$47*(1+'Inputs'!$G$47)^(B1378/30)</x:f>
        <x:v>148359.6348338202</x:v>
      </x:c>
      <x:c r="L1378" s="80" t="n">
        <x:f>MAX(0,K1378*'Inputs'!$E$47)</x:f>
        <x:v>7417.98174169101</x:v>
      </x:c>
      <x:c r="M1378" s="80" t="n">
        <x:f>MAX(0,-K1378*'Inputs'!$E$47)</x:f>
        <x:v>0</x:v>
      </x:c>
      <x:c r="N1378" s="78" t="n">
        <x:f>H1378*(L1378*(1-'Inputs'!$B$15))/(I1378+L1378*(1-'Inputs'!$B$15))</x:f>
        <x:v>315467.37521544535</x:v>
      </x:c>
      <x:c r="O1378" s="78" t="n">
        <x:f>H1378-N1378</x:f>
        <x:v>1612181.3818782014</x:v>
      </x:c>
      <x:c r="P1378" s="78" t="n">
        <x:f>I1378+L1378*(1-'Inputs'!$B$17)</x:f>
        <x:v>44918.289655802495</x:v>
      </x:c>
      <x:c r="Q1378" s="78" t="n">
        <x:f>IF(J1378&gt;0,M1378/J1378,0)</x:f>
        <x:v>0</x:v>
      </x:c>
      <x:c r="R1378" s="78" t="n">
        <x:f>IF(B1378='Inputs'!$H$47,'Inputs'!$B$27*'Inputs'!$I$47,0)</x:f>
        <x:v>0</x:v>
      </x:c>
      <x:c r="S1378" s="78" t="n">
        <x:f>Q1378+G1378+R1378</x:f>
        <x:v>314135.50853818667</x:v>
      </x:c>
      <x:c r="T1378" s="78" t="n">
        <x:f>P1378*(S1378*(1-'Inputs'!$B$15))/(O1378+S1378*(1-'Inputs'!$B$15))</x:f>
        <x:v>7263.676772827631</x:v>
      </x:c>
      <x:c r="U1378" s="78" t="n">
        <x:f>O1378+S1378*(1-'Inputs'!$B$17)</x:f>
        <x:v>1925052.7636214658</x:v>
      </x:c>
      <x:c r="V1378" s="78" t="n">
        <x:f>P1378-T1378</x:f>
        <x:v>37654.61288297486</x:v>
      </x:c>
      <x:c r="W1378" s="79" t="n">
        <x:f>IF(U1378&gt;0,V1378/U1378,0)</x:f>
        <x:v>0.019560301719802164</x:v>
      </x:c>
      <x:c r="X1378" s="80" t="n">
        <x:f>W1378*('Inputs'!$B$6-AC1378)</x:f>
        <x:v>19472756.250574004</x:v>
      </x:c>
      <x:c r="Y1378" s="80" t="n">
        <x:f>2*V1378</x:f>
        <x:v>75309.22576594973</x:v>
      </x:c>
      <x:c r="Z1378" s="80" t="n">
        <x:f>K1378*'Inputs'!$B$16+(G1378+R1378)*J1378*'Inputs'!$B$16</x:f>
        <x:v>926.8539825865275</x:v>
      </x:c>
      <x:c r="AA1378" s="80" t="n">
        <x:f>K1378*(1+'Inputs'!$E$47)/2*'Inputs'!$B$17</x:f>
        <x:v>313.43584824046525</x:v>
      </x:c>
      <x:c r="AB1378" s="78" t="n">
        <x:f>(IF(J1378&gt;0,K1378*(1-'Inputs'!$E$47)/2/J1378,0)+G1378+R1378)*'Inputs'!$B$17</x:f>
        <x:v>15829.796955747663</x:v>
      </x:c>
      <x:c r="AC1378" s="78" t="n">
        <x:f>AC1377+AB1378</x:f>
        <x:v>4475670.6968140695</x:v>
      </x:c>
      <x:c r="AD1378" s="80" t="n">
        <x:f>Z1378/(1+'Inputs'!$C$47)</x:f>
        <x:v>370.741593034611</x:v>
      </x:c>
      <x:c r="AE1378" s="80" t="n">
        <x:f>Z1378-AD1378</x:f>
        <x:v>556.1123895519165</x:v>
      </x:c>
      <x:c r="AF1378" s="80" t="n">
        <x:f>D1378*W1378</x:f>
        <x:v>5206.829171231977</x:v>
      </x:c>
      <x:c r="AG1378" s="80" t="n">
        <x:f>C1378*W1378</x:f>
        <x:v>12149.268066206974</x:v>
      </x:c>
      <x:c r="AH1378" s="80" t="n">
        <x:f>2*'Inputs'!$B$8*'Inputs'!$C$47</x:f>
        <x:v>7500</x:v>
      </x:c>
      <x:c r="AI1378" s="81" t="n">
        <x:f>IF(AH1378&gt;0,(AE1378+AF1378)/AH1378*365,0)</x:f>
        <x:v>280.46315595814946</x:v>
      </x:c>
      <x:c r="AJ1378" s="81" t="n">
        <x:f>IF('Inputs'!$B$47&gt;0,AG1378/('Inputs'!$B$19*'Inputs'!$B$47)*365,0)</x:f>
        <x:v>443.4482844165546</x:v>
      </x:c>
      <x:c r="AK1378" s="81" t="n">
        <x:f>W1378/MAX($W$1099:W1378)-1</x:f>
        <x:v>-0.11729834955362217</x:v>
      </x:c>
      <x:c r="AL1378" s="83" t="n">
        <x:f>'Inputs'!$B$47</x:f>
        <x:v>1</x:v>
      </x:c>
      <x:c r="AM1378" s="83" t="n">
        <x:f>'Inputs'!$C$47</x:f>
        <x:v>1.5</x:v>
      </x:c>
      <x:c r="AN1378" s="83" t="n">
        <x:f>'Inputs'!$D$47</x:f>
        <x:v>1.5</x:v>
      </x:c>
      <x:c r="AO1378" s="81" t="n">
        <x:f>'Inputs'!$E$47</x:f>
        <x:v>0.05</x:v>
      </x:c>
    </x:row>
    <x:row r="1379">
      <x:c r="A1379" s="59" t="str">
        <x:v>Growth</x:v>
      </x:c>
      <x:c r="B1379" s="59" t="n">
        <x:v>281</x:v>
      </x:c>
      <x:c r="C1379" s="78" t="n">
        <x:f>(('Inputs'!$B$29*(3*281*'Inputs'!$B$12-281^2)/(2*'Inputs'!$B$12^2))-('Inputs'!$B$29*(3*280*'Inputs'!$B$12-280^2)/(2*'Inputs'!$B$12^2)))*'Inputs'!$B$47</x:f>
        <x:v>620793.5353724957</x:v>
      </x:c>
      <x:c r="D1379" s="78" t="n">
        <x:f>IF('Inputs'!$C$47&gt;0,('Inputs'!$B$30*(3*281*'Inputs'!$B$12-281^2)/(2*'Inputs'!$B$12^2))-('Inputs'!$B$30*(3*280*'Inputs'!$B$12-280^2)/(2*'Inputs'!$B$12^2)),0)</x:f>
        <x:v>266054.3723024875</x:v>
      </x:c>
      <x:c r="E1379" s="78" t="n">
        <x:f>C1379+D1379</x:f>
        <x:v>886847.9076749831</x:v>
      </x:c>
      <x:c r="F1379" s="78" t="n">
        <x:f>'Inputs'!$B$13*E1379+(1-'Inputs'!$B$13)/'Inputs'!$B$14*SUM(E1324:E1379)</x:f>
        <x:v>897065.5845374359</x:v>
      </x:c>
      <x:c r="G1379" s="78" t="n">
        <x:f>F1379*'Inputs'!$F$47</x:f>
        <x:v>313972.9545881025</x:v>
      </x:c>
      <x:c r="H1379" s="78" t="n">
        <x:f>U1378</x:f>
        <x:v>1925052.7636214658</x:v>
      </x:c>
      <x:c r="I1379" s="78" t="n">
        <x:f>V1378</x:f>
        <x:v>37654.61288297486</x:v>
      </x:c>
      <x:c r="J1379" s="79" t="n">
        <x:f>IF(H1379&gt;0,I1379/H1379,0)</x:f>
        <x:v>0.019560301719802164</x:v>
      </x:c>
      <x:c r="K1379" s="80" t="n">
        <x:f>(H1379*J1379+I1379)*'Inputs'!$D$47*(1+'Inputs'!$G$47)^(B1379/30)</x:f>
        <x:v>148998.3457006518</x:v>
      </x:c>
      <x:c r="L1379" s="80" t="n">
        <x:f>MAX(0,K1379*'Inputs'!$E$47)</x:f>
        <x:v>7449.9172850325895</x:v>
      </x:c>
      <x:c r="M1379" s="80" t="n">
        <x:f>MAX(0,-K1379*'Inputs'!$E$47)</x:f>
        <x:v>0</x:v>
      </x:c>
      <x:c r="N1379" s="78" t="n">
        <x:f>H1379*(L1379*(1-'Inputs'!$B$15))/(I1379+L1379*(1-'Inputs'!$B$15))</x:f>
        <x:v>315302.2262242558</x:v>
      </x:c>
      <x:c r="O1379" s="78" t="n">
        <x:f>H1379-N1379</x:f>
        <x:v>1609750.53739721</x:v>
      </x:c>
      <x:c r="P1379" s="78" t="n">
        <x:f>I1379+L1379*(1-'Inputs'!$B$17)</x:f>
        <x:v>45074.55062158881</x:v>
      </x:c>
      <x:c r="Q1379" s="78" t="n">
        <x:f>IF(J1379&gt;0,M1379/J1379,0)</x:f>
        <x:v>0</x:v>
      </x:c>
      <x:c r="R1379" s="78" t="n">
        <x:f>IF(B1379='Inputs'!$H$47,'Inputs'!$B$27*'Inputs'!$I$47,0)</x:f>
        <x:v>0</x:v>
      </x:c>
      <x:c r="S1379" s="78" t="n">
        <x:f>Q1379+G1379+R1379</x:f>
        <x:v>313972.9545881025</x:v>
      </x:c>
      <x:c r="T1379" s="78" t="n">
        <x:f>P1379*(S1379*(1-'Inputs'!$B$15))/(O1379+S1379*(1-'Inputs'!$B$15))</x:f>
        <x:v>7295.004889160186</x:v>
      </x:c>
      <x:c r="U1379" s="78" t="n">
        <x:f>O1379+S1379*(1-'Inputs'!$B$17)</x:f>
        <x:v>1922460.0193310345</x:v>
      </x:c>
      <x:c r="V1379" s="78" t="n">
        <x:f>P1379-T1379</x:f>
        <x:v>37779.545732428625</x:v>
      </x:c>
      <x:c r="W1379" s="79" t="n">
        <x:f>IF(U1379&gt;0,V1379/U1379,0)</x:f>
        <x:v>0.019651667838364157</x:v>
      </x:c>
      <x:c r="X1379" s="80" t="n">
        <x:f>W1379*('Inputs'!$B$6-AC1379)</x:f>
        <x:v>19563402.47911392</x:v>
      </x:c>
      <x:c r="Y1379" s="80" t="n">
        <x:f>2*V1379</x:f>
        <x:v>75559.09146485725</x:v>
      </x:c>
      <x:c r="Z1379" s="80" t="n">
        <x:f>K1379*'Inputs'!$B$16+(G1379+R1379)*J1379*'Inputs'!$B$16</x:f>
        <x:v>930.8385085455169</x:v>
      </x:c>
      <x:c r="AA1379" s="80" t="n">
        <x:f>K1379*(1+'Inputs'!$E$47)/2*'Inputs'!$B$17</x:f>
        <x:v>314.78523739574325</x:v>
      </x:c>
      <x:c r="AB1379" s="78" t="n">
        <x:f>(IF(J1379&gt;0,K1379*(1-'Inputs'!$E$47)/2/J1379,0)+G1379+R1379)*'Inputs'!$B$17</x:f>
        <x:v>15823.866203257629</x:v>
      </x:c>
      <x:c r="AC1379" s="78" t="n">
        <x:f>AC1378+AB1379</x:f>
        <x:v>4491494.563017327</x:v>
      </x:c>
      <x:c r="AD1379" s="80" t="n">
        <x:f>Z1379/(1+'Inputs'!$C$47)</x:f>
        <x:v>372.33540341820674</x:v>
      </x:c>
      <x:c r="AE1379" s="80" t="n">
        <x:f>Z1379-AD1379</x:f>
        <x:v>558.5031051273102</x:v>
      </x:c>
      <x:c r="AF1379" s="80" t="n">
        <x:f>D1379*W1379</x:f>
        <x:v>5228.412151432957</x:v>
      </x:c>
      <x:c r="AG1379" s="80" t="n">
        <x:f>C1379*W1379</x:f>
        <x:v>12199.628353344055</x:v>
      </x:c>
      <x:c r="AH1379" s="80" t="n">
        <x:f>2*'Inputs'!$B$8*'Inputs'!$C$47</x:f>
        <x:v>7500</x:v>
      </x:c>
      <x:c r="AI1379" s="81" t="n">
        <x:f>IF(AH1379&gt;0,(AE1379+AF1379)/AH1379*365,0)</x:f>
        <x:v>281.6298758192664</x:v>
      </x:c>
      <x:c r="AJ1379" s="81" t="n">
        <x:f>IF('Inputs'!$B$47&gt;0,AG1379/('Inputs'!$B$19*'Inputs'!$B$47)*365,0)</x:f>
        <x:v>445.286434897058</x:v>
      </x:c>
      <x:c r="AK1379" s="81" t="n">
        <x:f>W1379/MAX($W$1099:W1379)-1</x:f>
        <x:v>-0.11317525243554938</x:v>
      </x:c>
      <x:c r="AL1379" s="83" t="n">
        <x:f>'Inputs'!$B$47</x:f>
        <x:v>1</x:v>
      </x:c>
      <x:c r="AM1379" s="83" t="n">
        <x:f>'Inputs'!$C$47</x:f>
        <x:v>1.5</x:v>
      </x:c>
      <x:c r="AN1379" s="83" t="n">
        <x:f>'Inputs'!$D$47</x:f>
        <x:v>1.5</x:v>
      </x:c>
      <x:c r="AO1379" s="81" t="n">
        <x:f>'Inputs'!$E$47</x:f>
        <x:v>0.05</x:v>
      </x:c>
    </x:row>
    <x:row r="1380">
      <x:c r="A1380" s="59" t="str">
        <x:v>Growth</x:v>
      </x:c>
      <x:c r="B1380" s="59" t="n">
        <x:v>282</x:v>
      </x:c>
      <x:c r="C1380" s="78" t="n">
        <x:f>(('Inputs'!$B$29*(3*282*'Inputs'!$B$12-282^2)/(2*'Inputs'!$B$12^2))-('Inputs'!$B$29*(3*281*'Inputs'!$B$12-281^2)/(2*'Inputs'!$B$12^2)))*'Inputs'!$B$47</x:f>
        <x:v>620468.4274723232</x:v>
      </x:c>
      <x:c r="D1380" s="78" t="n">
        <x:f>IF('Inputs'!$C$47&gt;0,('Inputs'!$B$30*(3*282*'Inputs'!$B$12-282^2)/(2*'Inputs'!$B$12^2))-('Inputs'!$B$30*(3*281*'Inputs'!$B$12-281^2)/(2*'Inputs'!$B$12^2)),0)</x:f>
        <x:v>265915.04034528136</x:v>
      </x:c>
      <x:c r="E1380" s="78" t="n">
        <x:f>C1380+D1380</x:f>
        <x:v>886383.4678176045</x:v>
      </x:c>
      <x:c r="F1380" s="78" t="n">
        <x:f>'Inputs'!$B$13*E1380+(1-'Inputs'!$B$13)/'Inputs'!$B$14*SUM(E1325:E1380)</x:f>
        <x:v>896601.1446800531</x:v>
      </x:c>
      <x:c r="G1380" s="78" t="n">
        <x:f>F1380*'Inputs'!$F$47</x:f>
        <x:v>313810.40063801856</x:v>
      </x:c>
      <x:c r="H1380" s="78" t="n">
        <x:f>U1379</x:f>
        <x:v>1922460.0193310345</x:v>
      </x:c>
      <x:c r="I1380" s="78" t="n">
        <x:f>V1379</x:f>
        <x:v>37779.545732428625</x:v>
      </x:c>
      <x:c r="J1380" s="79" t="n">
        <x:f>IF(H1380&gt;0,I1380/H1380,0)</x:f>
        <x:v>0.019651667838364157</x:v>
      </x:c>
      <x:c r="K1380" s="80" t="n">
        <x:f>(H1380*J1380+I1380)*'Inputs'!$D$47*(1+'Inputs'!$G$47)^(B1380/30)</x:f>
        <x:v>149640.06857063348</x:v>
      </x:c>
      <x:c r="L1380" s="80" t="n">
        <x:f>MAX(0,K1380*'Inputs'!$E$47)</x:f>
        <x:v>7482.003428531674</x:v>
      </x:c>
      <x:c r="M1380" s="80" t="n">
        <x:f>MAX(0,-K1380*'Inputs'!$E$47)</x:f>
        <x:v>0</x:v>
      </x:c>
      <x:c r="N1380" s="78" t="n">
        <x:f>H1380*(L1380*(1-'Inputs'!$B$15))/(I1380+L1380*(1-'Inputs'!$B$15))</x:f>
        <x:v>315137.0813180876</x:v>
      </x:c>
      <x:c r="O1380" s="78" t="n">
        <x:f>H1380-N1380</x:f>
        <x:v>1607322.9380129469</x:v>
      </x:c>
      <x:c r="P1380" s="78" t="n">
        <x:f>I1380+L1380*(1-'Inputs'!$B$17)</x:f>
        <x:v>45231.440495251925</x:v>
      </x:c>
      <x:c r="Q1380" s="78" t="n">
        <x:f>IF(J1380&gt;0,M1380/J1380,0)</x:f>
        <x:v>0</x:v>
      </x:c>
      <x:c r="R1380" s="78" t="n">
        <x:f>IF(B1380='Inputs'!$H$47,'Inputs'!$B$27*'Inputs'!$I$47,0)</x:f>
        <x:v>0</x:v>
      </x:c>
      <x:c r="S1380" s="78" t="n">
        <x:f>Q1380+G1380+R1380</x:f>
        <x:v>313810.40063801856</x:v>
      </x:c>
      <x:c r="T1380" s="78" t="n">
        <x:f>P1380*(S1380*(1-'Inputs'!$B$15))/(O1380+S1380*(1-'Inputs'!$B$15))</x:f>
        <x:v>7326.480923828336</x:v>
      </x:c>
      <x:c r="U1380" s="78" t="n">
        <x:f>O1380+S1380*(1-'Inputs'!$B$17)</x:f>
        <x:v>1919870.5201373314</x:v>
      </x:c>
      <x:c r="V1380" s="78" t="n">
        <x:f>P1380-T1380</x:f>
        <x:v>37904.95957142359</x:v>
      </x:c>
      <x:c r="W1380" s="79" t="n">
        <x:f>IF(U1380&gt;0,V1380/U1380,0)</x:f>
        <x:v>0.019743497894176835</x:v>
      </x:c>
      <x:c r="X1380" s="80" t="n">
        <x:f>W1380*('Inputs'!$B$6-AC1380)</x:f>
        <x:v>19654507.779354095</x:v>
      </x:c>
      <x:c r="Y1380" s="80" t="n">
        <x:f>2*V1380</x:f>
        <x:v>75809.91914284718</x:v>
      </x:c>
      <x:c r="Z1380" s="80" t="n">
        <x:f>K1380*'Inputs'!$B$16+(G1380+R1380)*J1380*'Inputs'!$B$16</x:f>
        <x:v>934.8417979691749</x:v>
      </x:c>
      <x:c r="AA1380" s="80" t="n">
        <x:f>K1380*(1+'Inputs'!$E$47)/2*'Inputs'!$B$17</x:f>
        <x:v>316.1409899379581</x:v>
      </x:c>
      <x:c r="AB1380" s="78" t="n">
        <x:f>(IF(J1380&gt;0,K1380*(1-'Inputs'!$E$47)/2/J1380,0)+G1380+R1380)*'Inputs'!$B$17</x:f>
        <x:v>15817.935493129446</x:v>
      </x:c>
      <x:c r="AC1380" s="78" t="n">
        <x:f>AC1379+AB1380</x:f>
        <x:v>4507312.498510457</x:v>
      </x:c>
      <x:c r="AD1380" s="80" t="n">
        <x:f>Z1380/(1+'Inputs'!$C$47)</x:f>
        <x:v>373.93671918766995</x:v>
      </x:c>
      <x:c r="AE1380" s="80" t="n">
        <x:f>Z1380-AD1380</x:f>
        <x:v>560.9050787815049</x:v>
      </x:c>
      <x:c r="AF1380" s="80" t="n">
        <x:f>D1380*W1380</x:f>
        <x:v>5250.093039087011</x:v>
      </x:c>
      <x:c r="AG1380" s="80" t="n">
        <x:f>C1380*W1380</x:f>
        <x:v>12250.217091203025</x:v>
      </x:c>
      <x:c r="AH1380" s="80" t="n">
        <x:f>2*'Inputs'!$B$8*'Inputs'!$C$47</x:f>
        <x:v>7500</x:v>
      </x:c>
      <x:c r="AI1380" s="81" t="n">
        <x:f>IF(AH1380&gt;0,(AE1380+AF1380)/AH1380*365,0)</x:f>
        <x:v>282.80190840293443</x:v>
      </x:c>
      <x:c r="AJ1380" s="81" t="n">
        <x:f>IF('Inputs'!$B$47&gt;0,AG1380/('Inputs'!$B$19*'Inputs'!$B$47)*365,0)</x:f>
        <x:v>447.13292382891046</x:v>
      </x:c>
      <x:c r="AK1380" s="81" t="n">
        <x:f>W1380/MAX($W$1099:W1380)-1</x:f>
        <x:v>-0.10903121912831393</x:v>
      </x:c>
      <x:c r="AL1380" s="83" t="n">
        <x:f>'Inputs'!$B$47</x:f>
        <x:v>1</x:v>
      </x:c>
      <x:c r="AM1380" s="83" t="n">
        <x:f>'Inputs'!$C$47</x:f>
        <x:v>1.5</x:v>
      </x:c>
      <x:c r="AN1380" s="83" t="n">
        <x:f>'Inputs'!$D$47</x:f>
        <x:v>1.5</x:v>
      </x:c>
      <x:c r="AO1380" s="81" t="n">
        <x:f>'Inputs'!$E$47</x:f>
        <x:v>0.05</x:v>
      </x:c>
    </x:row>
    <x:row r="1381">
      <x:c r="A1381" s="59" t="str">
        <x:v>Growth</x:v>
      </x:c>
      <x:c r="B1381" s="59" t="n">
        <x:v>283</x:v>
      </x:c>
      <x:c r="C1381" s="78" t="n">
        <x:f>(('Inputs'!$B$29*(3*283*'Inputs'!$B$12-283^2)/(2*'Inputs'!$B$12^2))-('Inputs'!$B$29*(3*282*'Inputs'!$B$12-282^2)/(2*'Inputs'!$B$12^2)))*'Inputs'!$B$47</x:f>
        <x:v>620143.3195721507</x:v>
      </x:c>
      <x:c r="D1381" s="78" t="n">
        <x:f>IF('Inputs'!$C$47&gt;0,('Inputs'!$B$30*(3*283*'Inputs'!$B$12-283^2)/(2*'Inputs'!$B$12^2))-('Inputs'!$B$30*(3*282*'Inputs'!$B$12-282^2)/(2*'Inputs'!$B$12^2)),0)</x:f>
        <x:v>265775.70838807523</x:v>
      </x:c>
      <x:c r="E1381" s="78" t="n">
        <x:f>C1381+D1381</x:f>
        <x:v>885919.0279602259</x:v>
      </x:c>
      <x:c r="F1381" s="78" t="n">
        <x:f>'Inputs'!$B$13*E1381+(1-'Inputs'!$B$13)/'Inputs'!$B$14*SUM(E1326:E1381)</x:f>
        <x:v>896136.7048226703</x:v>
      </x:c>
      <x:c r="G1381" s="78" t="n">
        <x:f>F1381*'Inputs'!$F$47</x:f>
        <x:v>313647.8466879346</x:v>
      </x:c>
      <x:c r="H1381" s="78" t="n">
        <x:f>U1380</x:f>
        <x:v>1919870.5201373314</x:v>
      </x:c>
      <x:c r="I1381" s="78" t="n">
        <x:f>V1380</x:f>
        <x:v>37904.95957142359</x:v>
      </x:c>
      <x:c r="J1381" s="79" t="n">
        <x:f>IF(H1381&gt;0,I1381/H1381,0)</x:f>
        <x:v>0.019743497894176835</x:v>
      </x:c>
      <x:c r="K1381" s="80" t="n">
        <x:f>(H1381*J1381+I1381)*'Inputs'!$D$47*(1+'Inputs'!$G$47)^(B1381/30)</x:f>
        <x:v>150284.81886140254</x:v>
      </x:c>
      <x:c r="L1381" s="80" t="n">
        <x:f>MAX(0,K1381*'Inputs'!$E$47)</x:f>
        <x:v>7514.240943070127</x:v>
      </x:c>
      <x:c r="M1381" s="80" t="n">
        <x:f>MAX(0,-K1381*'Inputs'!$E$47)</x:f>
        <x:v>0</x:v>
      </x:c>
      <x:c r="N1381" s="78" t="n">
        <x:f>H1381*(L1381*(1-'Inputs'!$B$15))/(I1381+L1381*(1-'Inputs'!$B$15))</x:f>
        <x:v>314971.94049194455</x:v>
      </x:c>
      <x:c r="O1381" s="78" t="n">
        <x:f>H1381-N1381</x:f>
        <x:v>1604898.579645387</x:v>
      </x:c>
      <x:c r="P1381" s="78" t="n">
        <x:f>I1381+L1381*(1-'Inputs'!$B$17)</x:f>
        <x:v>45388.96212035661</x:v>
      </x:c>
      <x:c r="Q1381" s="78" t="n">
        <x:f>IF(J1381&gt;0,M1381/J1381,0)</x:f>
        <x:v>0</x:v>
      </x:c>
      <x:c r="R1381" s="78" t="n">
        <x:f>IF(B1381='Inputs'!$H$47,'Inputs'!$B$27*'Inputs'!$I$47,0)</x:f>
        <x:v>0</x:v>
      </x:c>
      <x:c r="S1381" s="78" t="n">
        <x:f>Q1381+G1381+R1381</x:f>
        <x:v>313647.8466879346</x:v>
      </x:c>
      <x:c r="T1381" s="78" t="n">
        <x:f>P1381*(S1381*(1-'Inputs'!$B$15))/(O1381+S1381*(1-'Inputs'!$B$15))</x:f>
        <x:v>7358.105634683858</x:v>
      </x:c>
      <x:c r="U1381" s="78" t="n">
        <x:f>O1381+S1381*(1-'Inputs'!$B$17)</x:f>
        <x:v>1917284.2619603318</x:v>
      </x:c>
      <x:c r="V1381" s="78" t="n">
        <x:f>P1381-T1381</x:f>
        <x:v>38030.85648567275</x:v>
      </x:c>
      <x:c r="W1381" s="79" t="n">
        <x:f>IF(U1381&gt;0,V1381/U1381,0)</x:f>
        <x:v>0.01983579443081018</x:v>
      </x:c>
      <x:c r="X1381" s="80" t="n">
        <x:f>W1381*('Inputs'!$B$6-AC1381)</x:f>
        <x:v>19746074.66297708</x:v>
      </x:c>
      <x:c r="Y1381" s="80" t="n">
        <x:f>2*V1381</x:f>
        <x:v>76061.7129713455</x:v>
      </x:c>
      <x:c r="Z1381" s="80" t="n">
        <x:f>K1381*'Inputs'!$B$16+(G1381+R1381)*J1381*'Inputs'!$B$16</x:f>
        <x:v>938.8639467719933</x:v>
      </x:c>
      <x:c r="AA1381" s="80" t="n">
        <x:f>K1381*(1+'Inputs'!$E$47)/2*'Inputs'!$B$17</x:f>
        <x:v>317.50313843958287</x:v>
      </x:c>
      <x:c r="AB1381" s="78" t="n">
        <x:f>(IF(J1381&gt;0,K1381*(1-'Inputs'!$E$47)/2/J1381,0)+G1381+R1381)*'Inputs'!$B$17</x:f>
        <x:v>15812.0048238657</x:v>
      </x:c>
      <x:c r="AC1381" s="78" t="n">
        <x:f>AC1380+AB1381</x:f>
        <x:v>4523124.503334322</x:v>
      </x:c>
      <x:c r="AD1381" s="80" t="n">
        <x:f>Z1381/(1+'Inputs'!$C$47)</x:f>
        <x:v>375.5455787087973</x:v>
      </x:c>
      <x:c r="AE1381" s="80" t="n">
        <x:f>Z1381-AD1381</x:f>
        <x:v>563.318368063196</x:v>
      </x:c>
      <x:c r="AF1381" s="80" t="n">
        <x:f>D1381*W1381</x:f>
        <x:v>5271.872316288813</x:v>
      </x:c>
      <x:c r="AG1381" s="80" t="n">
        <x:f>C1381*W1381</x:f>
        <x:v>12301.035404673405</x:v>
      </x:c>
      <x:c r="AH1381" s="80" t="n">
        <x:f>2*'Inputs'!$B$8*'Inputs'!$C$47</x:f>
        <x:v>7500</x:v>
      </x:c>
      <x:c r="AI1381" s="81" t="n">
        <x:f>IF(AH1381&gt;0,(AE1381+AF1381)/AH1381*365,0)</x:f>
        <x:v>283.9792799717977</x:v>
      </x:c>
      <x:c r="AJ1381" s="81" t="n">
        <x:f>IF('Inputs'!$B$47&gt;0,AG1381/('Inputs'!$B$19*'Inputs'!$B$47)*365,0)</x:f>
        <x:v>448.98779227057923</x:v>
      </x:c>
      <x:c r="AK1381" s="81" t="n">
        <x:f>W1381/MAX($W$1099:W1381)-1</x:f>
        <x:v>-0.10486613484772445</x:v>
      </x:c>
      <x:c r="AL1381" s="83" t="n">
        <x:f>'Inputs'!$B$47</x:f>
        <x:v>1</x:v>
      </x:c>
      <x:c r="AM1381" s="83" t="n">
        <x:f>'Inputs'!$C$47</x:f>
        <x:v>1.5</x:v>
      </x:c>
      <x:c r="AN1381" s="83" t="n">
        <x:f>'Inputs'!$D$47</x:f>
        <x:v>1.5</x:v>
      </x:c>
      <x:c r="AO1381" s="81" t="n">
        <x:f>'Inputs'!$E$47</x:f>
        <x:v>0.05</x:v>
      </x:c>
    </x:row>
    <x:row r="1382">
      <x:c r="A1382" s="59" t="str">
        <x:v>Growth</x:v>
      </x:c>
      <x:c r="B1382" s="59" t="n">
        <x:v>284</x:v>
      </x:c>
      <x:c r="C1382" s="78" t="n">
        <x:f>(('Inputs'!$B$29*(3*284*'Inputs'!$B$12-284^2)/(2*'Inputs'!$B$12^2))-('Inputs'!$B$29*(3*283*'Inputs'!$B$12-283^2)/(2*'Inputs'!$B$12^2)))*'Inputs'!$B$47</x:f>
        <x:v>619818.2116719782</x:v>
      </x:c>
      <x:c r="D1382" s="78" t="n">
        <x:f>IF('Inputs'!$C$47&gt;0,('Inputs'!$B$30*(3*284*'Inputs'!$B$12-284^2)/(2*'Inputs'!$B$12^2))-('Inputs'!$B$30*(3*283*'Inputs'!$B$12-283^2)/(2*'Inputs'!$B$12^2)),0)</x:f>
        <x:v>265636.3764308393</x:v>
      </x:c>
      <x:c r="E1382" s="78" t="n">
        <x:f>C1382+D1382</x:f>
        <x:v>885454.5881028175</x:v>
      </x:c>
      <x:c r="F1382" s="78" t="n">
        <x:f>'Inputs'!$B$13*E1382+(1-'Inputs'!$B$13)/'Inputs'!$B$14*SUM(E1327:E1382)</x:f>
        <x:v>895672.2649652809</x:v>
      </x:c>
      <x:c r="G1382" s="78" t="n">
        <x:f>F1382*'Inputs'!$F$47</x:f>
        <x:v>313485.2927378483</x:v>
      </x:c>
      <x:c r="H1382" s="78" t="n">
        <x:f>U1381</x:f>
        <x:v>1917284.2619603318</x:v>
      </x:c>
      <x:c r="I1382" s="78" t="n">
        <x:f>V1381</x:f>
        <x:v>38030.85648567275</x:v>
      </x:c>
      <x:c r="J1382" s="79" t="n">
        <x:f>IF(H1382&gt;0,I1382/H1382,0)</x:f>
        <x:v>0.01983579443081018</x:v>
      </x:c>
      <x:c r="K1382" s="80" t="n">
        <x:f>(H1382*J1382+I1382)*'Inputs'!$D$47*(1+'Inputs'!$G$47)^(B1382/30)</x:f>
        <x:v>150932.61207553608</x:v>
      </x:c>
      <x:c r="L1382" s="80" t="n">
        <x:f>MAX(0,K1382*'Inputs'!$E$47)</x:f>
        <x:v>7546.6306037768045</x:v>
      </x:c>
      <x:c r="M1382" s="80" t="n">
        <x:f>MAX(0,-K1382*'Inputs'!$E$47)</x:f>
        <x:v>0</x:v>
      </x:c>
      <x:c r="N1382" s="78" t="n">
        <x:f>H1382*(L1382*(1-'Inputs'!$B$15))/(I1382+L1382*(1-'Inputs'!$B$15))</x:f>
        <x:v>314806.80374083633</x:v>
      </x:c>
      <x:c r="O1382" s="78" t="n">
        <x:f>H1382-N1382</x:f>
        <x:v>1602477.4582194956</x:v>
      </x:c>
      <x:c r="P1382" s="78" t="n">
        <x:f>I1382+L1382*(1-'Inputs'!$B$17)</x:f>
        <x:v>45547.118354625505</x:v>
      </x:c>
      <x:c r="Q1382" s="78" t="n">
        <x:f>IF(J1382&gt;0,M1382/J1382,0)</x:f>
        <x:v>0</x:v>
      </x:c>
      <x:c r="R1382" s="78" t="n">
        <x:f>IF(B1382='Inputs'!$H$47,'Inputs'!$B$27*'Inputs'!$I$47,0)</x:f>
        <x:v>0</x:v>
      </x:c>
      <x:c r="S1382" s="78" t="n">
        <x:f>Q1382+G1382+R1382</x:f>
        <x:v>313485.2927378483</x:v>
      </x:c>
      <x:c r="T1382" s="78" t="n">
        <x:f>P1382*(S1382*(1-'Inputs'!$B$15))/(O1382+S1382*(1-'Inputs'!$B$15))</x:f>
        <x:v>7389.8797837567445</x:v>
      </x:c>
      <x:c r="U1382" s="78" t="n">
        <x:f>O1382+S1382*(1-'Inputs'!$B$17)</x:f>
        <x:v>1914701.2407249985</x:v>
      </x:c>
      <x:c r="V1382" s="78" t="n">
        <x:f>P1382-T1382</x:f>
        <x:v>38157.23857086876</x:v>
      </x:c>
      <x:c r="W1382" s="79" t="n">
        <x:f>IF(U1382&gt;0,V1382/U1382,0)</x:f>
        <x:v>0.0199285600067928</x:v>
      </x:c>
      <x:c r="X1382" s="80" t="n">
        <x:f>W1382*('Inputs'!$B$6-AC1382)</x:f>
        <x:v>19838105.656411864</x:v>
      </x:c>
      <x:c r="Y1382" s="80" t="n">
        <x:f>2*V1382</x:f>
        <x:v>76314.47714173752</x:v>
      </x:c>
      <x:c r="Z1382" s="80" t="n">
        <x:f>K1382*'Inputs'!$B$16+(G1382+R1382)*J1382*'Inputs'!$B$16</x:f>
        <x:v>942.9050513961984</x:v>
      </x:c>
      <x:c r="AA1382" s="80" t="n">
        <x:f>K1382*(1+'Inputs'!$E$47)/2*'Inputs'!$B$17</x:f>
        <x:v>318.871715652541</x:v>
      </x:c>
      <x:c r="AB1382" s="78" t="n">
        <x:f>(IF(J1382&gt;0,K1382*(1-'Inputs'!$E$47)/2/J1382,0)+G1382+R1382)*'Inputs'!$B$17</x:f>
        <x:v>15806.074193966728</x:v>
      </x:c>
      <x:c r="AC1382" s="78" t="n">
        <x:f>AC1381+AB1382</x:f>
        <x:v>4538930.577528289</x:v>
      </x:c>
      <x:c r="AD1382" s="80" t="n">
        <x:f>Z1382/(1+'Inputs'!$C$47)</x:f>
        <x:v>377.16202055847936</x:v>
      </x:c>
      <x:c r="AE1382" s="80" t="n">
        <x:f>Z1382-AD1382</x:f>
        <x:v>565.7430308377191</x:v>
      </x:c>
      <x:c r="AF1382" s="80" t="n">
        <x:f>D1382*W1382</x:f>
        <x:v>5293.750467688982</x:v>
      </x:c>
      <x:c r="AG1382" s="80" t="n">
        <x:f>C1382*W1382</x:f>
        <x:v>12352.08442460802</x:v>
      </x:c>
      <x:c r="AH1382" s="80" t="n">
        <x:f>2*'Inputs'!$B$8*'Inputs'!$C$47</x:f>
        <x:v>7500</x:v>
      </x:c>
      <x:c r="AI1382" s="81" t="n">
        <x:f>IF(AH1382&gt;0,(AE1382+AF1382)/AH1382*365,0)</x:f>
        <x:v>285.16201692829947</x:v>
      </x:c>
      <x:c r="AJ1382" s="81" t="n">
        <x:f>IF('Inputs'!$B$47&gt;0,AG1382/('Inputs'!$B$19*'Inputs'!$B$47)*365,0)</x:f>
        <x:v>450.8510814981927</x:v>
      </x:c>
      <x:c r="AK1382" s="81" t="n">
        <x:f>W1382/MAX($W$1099:W1382)-1</x:f>
        <x:v>-0.10067988413454798</x:v>
      </x:c>
      <x:c r="AL1382" s="83" t="n">
        <x:f>'Inputs'!$B$47</x:f>
        <x:v>1</x:v>
      </x:c>
      <x:c r="AM1382" s="83" t="n">
        <x:f>'Inputs'!$C$47</x:f>
        <x:v>1.5</x:v>
      </x:c>
      <x:c r="AN1382" s="83" t="n">
        <x:f>'Inputs'!$D$47</x:f>
        <x:v>1.5</x:v>
      </x:c>
      <x:c r="AO1382" s="81" t="n">
        <x:f>'Inputs'!$E$47</x:f>
        <x:v>0.05</x:v>
      </x:c>
    </x:row>
    <x:row r="1383">
      <x:c r="A1383" s="59" t="str">
        <x:v>Growth</x:v>
      </x:c>
      <x:c r="B1383" s="59" t="n">
        <x:v>285</x:v>
      </x:c>
      <x:c r="C1383" s="78" t="n">
        <x:f>(('Inputs'!$B$29*(3*285*'Inputs'!$B$12-285^2)/(2*'Inputs'!$B$12^2))-('Inputs'!$B$29*(3*284*'Inputs'!$B$12-284^2)/(2*'Inputs'!$B$12^2)))*'Inputs'!$B$47</x:f>
        <x:v>619493.1037718356</x:v>
      </x:c>
      <x:c r="D1383" s="78" t="n">
        <x:f>IF('Inputs'!$C$47&gt;0,('Inputs'!$B$30*(3*285*'Inputs'!$B$12-285^2)/(2*'Inputs'!$B$12^2))-('Inputs'!$B$30*(3*284*'Inputs'!$B$12-284^2)/(2*'Inputs'!$B$12^2)),0)</x:f>
        <x:v>265497.04447363317</x:v>
      </x:c>
      <x:c r="E1383" s="78" t="n">
        <x:f>C1383+D1383</x:f>
        <x:v>884990.1482454687</x:v>
      </x:c>
      <x:c r="F1383" s="78" t="n">
        <x:f>'Inputs'!$B$13*E1383+(1-'Inputs'!$B$13)/'Inputs'!$B$14*SUM(E1328:E1383)</x:f>
        <x:v>895207.8251079043</x:v>
      </x:c>
      <x:c r="G1383" s="78" t="n">
        <x:f>F1383*'Inputs'!$F$47</x:f>
        <x:v>313322.7387877665</x:v>
      </x:c>
      <x:c r="H1383" s="78" t="n">
        <x:f>U1382</x:f>
        <x:v>1914701.2407249985</x:v>
      </x:c>
      <x:c r="I1383" s="78" t="n">
        <x:f>V1382</x:f>
        <x:v>38157.23857086876</x:v>
      </x:c>
      <x:c r="J1383" s="79" t="n">
        <x:f>IF(H1383&gt;0,I1383/H1383,0)</x:f>
        <x:v>0.0199285600067928</x:v>
      </x:c>
      <x:c r="K1383" s="80" t="n">
        <x:f>(H1383*J1383+I1383)*'Inputs'!$D$47*(1+'Inputs'!$G$47)^(B1383/30)</x:f>
        <x:v>151583.46380105166</x:v>
      </x:c>
      <x:c r="L1383" s="80" t="n">
        <x:f>MAX(0,K1383*'Inputs'!$E$47)</x:f>
        <x:v>7579.173190052584</x:v>
      </x:c>
      <x:c r="M1383" s="80" t="n">
        <x:f>MAX(0,-K1383*'Inputs'!$E$47)</x:f>
        <x:v>0</x:v>
      </x:c>
      <x:c r="N1383" s="78" t="n">
        <x:f>H1383*(L1383*(1-'Inputs'!$B$15))/(I1383+L1383*(1-'Inputs'!$B$15))</x:f>
        <x:v>314641.67105977837</x:v>
      </x:c>
      <x:c r="O1383" s="78" t="n">
        <x:f>H1383-N1383</x:f>
        <x:v>1600059.56966522</x:v>
      </x:c>
      <x:c r="P1383" s="78" t="n">
        <x:f>I1383+L1383*(1-'Inputs'!$B$17)</x:f>
        <x:v>45705.9120700157</x:v>
      </x:c>
      <x:c r="Q1383" s="78" t="n">
        <x:f>IF(J1383&gt;0,M1383/J1383,0)</x:f>
        <x:v>0</x:v>
      </x:c>
      <x:c r="R1383" s="78" t="n">
        <x:f>IF(B1383='Inputs'!$H$47,'Inputs'!$B$27*'Inputs'!$I$47,0)</x:f>
        <x:v>0</x:v>
      </x:c>
      <x:c r="S1383" s="78" t="n">
        <x:f>Q1383+G1383+R1383</x:f>
        <x:v>313322.7387877665</x:v>
      </x:c>
      <x:c r="T1383" s="78" t="n">
        <x:f>P1383*(S1383*(1-'Inputs'!$B$15))/(O1383+S1383*(1-'Inputs'!$B$15))</x:f>
        <x:v>7421.804137280056</x:v>
      </x:c>
      <x:c r="U1383" s="78" t="n">
        <x:f>O1383+S1383*(1-'Inputs'!$B$17)</x:f>
        <x:v>1912121.4523612852</x:v>
      </x:c>
      <x:c r="V1383" s="78" t="n">
        <x:f>P1383-T1383</x:f>
        <x:v>38284.10793273564</x:v>
      </x:c>
      <x:c r="W1383" s="79" t="n">
        <x:f>IF(U1383&gt;0,V1383/U1383,0)</x:f>
        <x:v>0.02002179719570557</x:v>
      </x:c>
      <x:c r="X1383" s="80" t="n">
        <x:f>W1383*('Inputs'!$B$6-AC1383)</x:f>
        <x:v>19930603.300926052</x:v>
      </x:c>
      <x:c r="Y1383" s="80" t="n">
        <x:f>2*V1383</x:f>
        <x:v>76568.21586547128</x:v>
      </x:c>
      <x:c r="Z1383" s="80" t="n">
        <x:f>K1383*'Inputs'!$B$16+(G1383+R1383)*J1383*'Inputs'!$B$16</x:f>
        <x:v>946.965208814858</x:v>
      </x:c>
      <x:c r="AA1383" s="80" t="n">
        <x:f>K1383*(1+'Inputs'!$E$47)/2*'Inputs'!$B$17</x:f>
        <x:v>320.2467545092641</x:v>
      </x:c>
      <x:c r="AB1383" s="78" t="n">
        <x:f>(IF(J1383&gt;0,K1383*(1-'Inputs'!$E$47)/2/J1383,0)+G1383+R1383)*'Inputs'!$B$17</x:f>
        <x:v>15800.143601930684</x:v>
      </x:c>
      <x:c r="AC1383" s="78" t="n">
        <x:f>AC1382+AB1383</x:f>
        <x:v>4554730.721130219</x:v>
      </x:c>
      <x:c r="AD1383" s="80" t="n">
        <x:f>Z1383/(1+'Inputs'!$C$47)</x:f>
        <x:v>378.7860835259432</x:v>
      </x:c>
      <x:c r="AE1383" s="80" t="n">
        <x:f>Z1383-AD1383</x:f>
        <x:v>568.1791252889147</x:v>
      </x:c>
      <x:c r="AF1383" s="80" t="n">
        <x:f>D1383*W1383</x:f>
        <x:v>5315.727980510306</x:v>
      </x:c>
      <x:c r="AG1383" s="80" t="n">
        <x:f>C1383*W1383</x:f>
        <x:v>12403.365287857878</x:v>
      </x:c>
      <x:c r="AH1383" s="80" t="n">
        <x:f>2*'Inputs'!$B$8*'Inputs'!$C$47</x:f>
        <x:v>7500</x:v>
      </x:c>
      <x:c r="AI1383" s="81" t="n">
        <x:f>IF(AH1383&gt;0,(AE1383+AF1383)/AH1383*365,0)</x:f>
        <x:v>286.3501458155621</x:v>
      </x:c>
      <x:c r="AJ1383" s="81" t="n">
        <x:f>IF('Inputs'!$B$47&gt;0,AG1383/('Inputs'!$B$19*'Inputs'!$B$47)*365,0)</x:f>
        <x:v>452.7228330068125</x:v>
      </x:c>
      <x:c r="AK1383" s="81" t="n">
        <x:f>W1383/MAX($W$1099:W1383)-1</x:f>
        <x:v>-0.0964723508502855</x:v>
      </x:c>
      <x:c r="AL1383" s="83" t="n">
        <x:f>'Inputs'!$B$47</x:f>
        <x:v>1</x:v>
      </x:c>
      <x:c r="AM1383" s="83" t="n">
        <x:f>'Inputs'!$C$47</x:f>
        <x:v>1.5</x:v>
      </x:c>
      <x:c r="AN1383" s="83" t="n">
        <x:f>'Inputs'!$D$47</x:f>
        <x:v>1.5</x:v>
      </x:c>
      <x:c r="AO1383" s="81" t="n">
        <x:f>'Inputs'!$E$47</x:f>
        <x:v>0.05</x:v>
      </x:c>
    </x:row>
    <x:row r="1384">
      <x:c r="A1384" s="59" t="str">
        <x:v>Growth</x:v>
      </x:c>
      <x:c r="B1384" s="59" t="n">
        <x:v>286</x:v>
      </x:c>
      <x:c r="C1384" s="78" t="n">
        <x:f>(('Inputs'!$B$29*(3*286*'Inputs'!$B$12-286^2)/(2*'Inputs'!$B$12^2))-('Inputs'!$B$29*(3*285*'Inputs'!$B$12-285^2)/(2*'Inputs'!$B$12^2)))*'Inputs'!$B$47</x:f>
        <x:v>619167.9958716333</x:v>
      </x:c>
      <x:c r="D1384" s="78" t="n">
        <x:f>IF('Inputs'!$C$47&gt;0,('Inputs'!$B$30*(3*286*'Inputs'!$B$12-286^2)/(2*'Inputs'!$B$12^2))-('Inputs'!$B$30*(3*285*'Inputs'!$B$12-285^2)/(2*'Inputs'!$B$12^2)),0)</x:f>
        <x:v>265357.71251642704</x:v>
      </x:c>
      <x:c r="E1384" s="78" t="n">
        <x:f>C1384+D1384</x:f>
        <x:v>884525.7083880603</x:v>
      </x:c>
      <x:c r="F1384" s="78" t="n">
        <x:f>'Inputs'!$B$13*E1384+(1-'Inputs'!$B$13)/'Inputs'!$B$14*SUM(E1329:E1384)</x:f>
        <x:v>894743.3852505152</x:v>
      </x:c>
      <x:c r="G1384" s="78" t="n">
        <x:f>F1384*'Inputs'!$F$47</x:f>
        <x:v>313160.1848376803</x:v>
      </x:c>
      <x:c r="H1384" s="78" t="n">
        <x:f>U1383</x:f>
        <x:v>1912121.4523612852</x:v>
      </x:c>
      <x:c r="I1384" s="78" t="n">
        <x:f>V1383</x:f>
        <x:v>38284.10793273564</x:v>
      </x:c>
      <x:c r="J1384" s="79" t="n">
        <x:f>IF(H1384&gt;0,I1384/H1384,0)</x:f>
        <x:v>0.02002179719570557</x:v>
      </x:c>
      <x:c r="K1384" s="80" t="n">
        <x:f>(H1384*J1384+I1384)*'Inputs'!$D$47*(1+'Inputs'!$G$47)^(B1384/30)</x:f>
        <x:v>152237.3897119094</x:v>
      </x:c>
      <x:c r="L1384" s="80" t="n">
        <x:f>MAX(0,K1384*'Inputs'!$E$47)</x:f>
        <x:v>7611.869485595471</x:v>
      </x:c>
      <x:c r="M1384" s="80" t="n">
        <x:f>MAX(0,-K1384*'Inputs'!$E$47)</x:f>
        <x:v>0</x:v>
      </x:c>
      <x:c r="N1384" s="78" t="n">
        <x:f>H1384*(L1384*(1-'Inputs'!$B$15))/(I1384+L1384*(1-'Inputs'!$B$15))</x:f>
        <x:v>314476.54244379327</x:v>
      </x:c>
      <x:c r="O1384" s="78" t="n">
        <x:f>H1384-N1384</x:f>
        <x:v>1597644.909917492</x:v>
      </x:c>
      <x:c r="P1384" s="78" t="n">
        <x:f>I1384+L1384*(1-'Inputs'!$B$17)</x:f>
        <x:v>45865.346152795515</x:v>
      </x:c>
      <x:c r="Q1384" s="78" t="n">
        <x:f>IF(J1384&gt;0,M1384/J1384,0)</x:f>
        <x:v>0</x:v>
      </x:c>
      <x:c r="R1384" s="78" t="n">
        <x:f>IF(B1384='Inputs'!$H$47,'Inputs'!$B$27*'Inputs'!$I$47,0)</x:f>
        <x:v>0</x:v>
      </x:c>
      <x:c r="S1384" s="78" t="n">
        <x:f>Q1384+G1384+R1384</x:f>
        <x:v>313160.1848376803</x:v>
      </x:c>
      <x:c r="T1384" s="78" t="n">
        <x:f>P1384*(S1384*(1-'Inputs'!$B$15))/(O1384+S1384*(1-'Inputs'!$B$15))</x:f>
        <x:v>7453.8794657141225</x:v>
      </x:c>
      <x:c r="U1384" s="78" t="n">
        <x:f>O1384+S1384*(1-'Inputs'!$B$17)</x:f>
        <x:v>1909544.892804115</x:v>
      </x:c>
      <x:c r="V1384" s="78" t="n">
        <x:f>P1384-T1384</x:f>
        <x:v>38411.466687081396</x:v>
      </x:c>
      <x:c r="W1384" s="79" t="n">
        <x:f>IF(U1384&gt;0,V1384/U1384,0)</x:f>
        <x:v>0.020115508586276386</x:v>
      </x:c>
      <x:c r="X1384" s="80" t="n">
        <x:f>W1384*('Inputs'!$B$6-AC1384)</x:f>
        <x:v>20023570.15271917</x:v>
      </x:c>
      <x:c r="Y1384" s="80" t="n">
        <x:f>2*V1384</x:f>
        <x:v>76822.93337416279</x:v>
      </x:c>
      <x:c r="Z1384" s="80" t="n">
        <x:f>K1384*'Inputs'!$B$16+(G1384+R1384)*J1384*'Inputs'!$B$16</x:f>
        <x:v>951.0445165349947</x:v>
      </x:c>
      <x:c r="AA1384" s="80" t="n">
        <x:f>K1384*(1+'Inputs'!$E$47)/2*'Inputs'!$B$17</x:f>
        <x:v>321.62828812375227</x:v>
      </x:c>
      <x:c r="AB1384" s="78" t="n">
        <x:f>(IF(J1384&gt;0,K1384*(1-'Inputs'!$E$47)/2/J1384,0)+G1384+R1384)*'Inputs'!$B$17</x:f>
        <x:v>15794.21304625346</x:v>
      </x:c>
      <x:c r="AC1384" s="78" t="n">
        <x:f>AC1383+AB1384</x:f>
        <x:v>4570524.934176473</x:v>
      </x:c>
      <x:c r="AD1384" s="80" t="n">
        <x:f>Z1384/(1+'Inputs'!$C$47)</x:f>
        <x:v>380.41780661399787</x:v>
      </x:c>
      <x:c r="AE1384" s="80" t="n">
        <x:f>Z1384-AD1384</x:f>
        <x:v>570.6267099209969</x:v>
      </x:c>
      <x:c r="AF1384" s="80" t="n">
        <x:f>D1384*W1384</x:f>
        <x:v>5337.805344558848</x:v>
      </x:c>
      <x:c r="AG1384" s="80" t="n">
        <x:f>C1384*W1384</x:f>
        <x:v>12454.879137303382</x:v>
      </x:c>
      <x:c r="AH1384" s="80" t="n">
        <x:f>2*'Inputs'!$B$8*'Inputs'!$C$47</x:f>
        <x:v>7500</x:v>
      </x:c>
      <x:c r="AI1384" s="81" t="n">
        <x:f>IF(AH1384&gt;0,(AE1384+AF1384)/AH1384*365,0)</x:f>
        <x:v>287.54369331801917</x:v>
      </x:c>
      <x:c r="AJ1384" s="81" t="n">
        <x:f>IF('Inputs'!$B$47&gt;0,AG1384/('Inputs'!$B$19*'Inputs'!$B$47)*365,0)</x:f>
        <x:v>454.6030885115735</x:v>
      </x:c>
      <x:c r="AK1384" s="81" t="n">
        <x:f>W1384/MAX($W$1099:W1384)-1</x:f>
        <x:v>-0.09224341817289528</x:v>
      </x:c>
      <x:c r="AL1384" s="83" t="n">
        <x:f>'Inputs'!$B$47</x:f>
        <x:v>1</x:v>
      </x:c>
      <x:c r="AM1384" s="83" t="n">
        <x:f>'Inputs'!$C$47</x:f>
        <x:v>1.5</x:v>
      </x:c>
      <x:c r="AN1384" s="83" t="n">
        <x:f>'Inputs'!$D$47</x:f>
        <x:v>1.5</x:v>
      </x:c>
      <x:c r="AO1384" s="81" t="n">
        <x:f>'Inputs'!$E$47</x:f>
        <x:v>0.05</x:v>
      </x:c>
    </x:row>
    <x:row r="1385">
      <x:c r="A1385" s="59" t="str">
        <x:v>Growth</x:v>
      </x:c>
      <x:c r="B1385" s="59" t="n">
        <x:v>287</x:v>
      </x:c>
      <x:c r="C1385" s="78" t="n">
        <x:f>(('Inputs'!$B$29*(3*287*'Inputs'!$B$12-287^2)/(2*'Inputs'!$B$12^2))-('Inputs'!$B$29*(3*286*'Inputs'!$B$12-286^2)/(2*'Inputs'!$B$12^2)))*'Inputs'!$B$47</x:f>
        <x:v>618842.8879714906</x:v>
      </x:c>
      <x:c r="D1385" s="78" t="n">
        <x:f>IF('Inputs'!$C$47&gt;0,('Inputs'!$B$30*(3*287*'Inputs'!$B$12-287^2)/(2*'Inputs'!$B$12^2))-('Inputs'!$B$30*(3*286*'Inputs'!$B$12-286^2)/(2*'Inputs'!$B$12^2)),0)</x:f>
        <x:v>265218.380559206</x:v>
      </x:c>
      <x:c r="E1385" s="78" t="n">
        <x:f>C1385+D1385</x:f>
        <x:v>884061.2685306966</x:v>
      </x:c>
      <x:c r="F1385" s="78" t="n">
        <x:f>'Inputs'!$B$13*E1385+(1-'Inputs'!$B$13)/'Inputs'!$B$14*SUM(E1330:E1385)</x:f>
        <x:v>894278.9453931353</x:v>
      </x:c>
      <x:c r="G1385" s="78" t="n">
        <x:f>F1385*'Inputs'!$F$47</x:f>
        <x:v>312997.63088759733</x:v>
      </x:c>
      <x:c r="H1385" s="78" t="n">
        <x:f>U1384</x:f>
        <x:v>1909544.892804115</x:v>
      </x:c>
      <x:c r="I1385" s="78" t="n">
        <x:f>V1384</x:f>
        <x:v>38411.466687081396</x:v>
      </x:c>
      <x:c r="J1385" s="79" t="n">
        <x:f>IF(H1385&gt;0,I1385/H1385,0)</x:f>
        <x:v>0.020115508586276386</x:v>
      </x:c>
      <x:c r="K1385" s="80" t="n">
        <x:f>(H1385*J1385+I1385)*'Inputs'!$D$47*(1+'Inputs'!$G$47)^(B1385/30)</x:f>
        <x:v>152894.40556851967</x:v>
      </x:c>
      <x:c r="L1385" s="80" t="n">
        <x:f>MAX(0,K1385*'Inputs'!$E$47)</x:f>
        <x:v>7644.720278425983</x:v>
      </x:c>
      <x:c r="M1385" s="80" t="n">
        <x:f>MAX(0,-K1385*'Inputs'!$E$47)</x:f>
        <x:v>0</x:v>
      </x:c>
      <x:c r="N1385" s="78" t="n">
        <x:f>H1385*(L1385*(1-'Inputs'!$B$15))/(I1385+L1385*(1-'Inputs'!$B$15))</x:f>
        <x:v>314311.4178879084</x:v>
      </x:c>
      <x:c r="O1385" s="78" t="n">
        <x:f>H1385-N1385</x:f>
        <x:v>1595233.4749162067</x:v>
      </x:c>
      <x:c r="P1385" s="78" t="n">
        <x:f>I1385+L1385*(1-'Inputs'!$B$17)</x:f>
        <x:v>46025.42350362237</x:v>
      </x:c>
      <x:c r="Q1385" s="78" t="n">
        <x:f>IF(J1385&gt;0,M1385/J1385,0)</x:f>
        <x:v>0</x:v>
      </x:c>
      <x:c r="R1385" s="78" t="n">
        <x:f>IF(B1385='Inputs'!$H$47,'Inputs'!$B$27*'Inputs'!$I$47,0)</x:f>
        <x:v>0</x:v>
      </x:c>
      <x:c r="S1385" s="78" t="n">
        <x:f>Q1385+G1385+R1385</x:f>
        <x:v>312997.63088759733</x:v>
      </x:c>
      <x:c r="T1385" s="78" t="n">
        <x:f>P1385*(S1385*(1-'Inputs'!$B$15))/(O1385+S1385*(1-'Inputs'!$B$15))</x:f>
        <x:v>7486.106543772215</x:v>
      </x:c>
      <x:c r="U1385" s="78" t="n">
        <x:f>O1385+S1385*(1-'Inputs'!$B$17)</x:f>
        <x:v>1906971.557993391</x:v>
      </x:c>
      <x:c r="V1385" s="78" t="n">
        <x:f>P1385-T1385</x:f>
        <x:v>38539.316959850155</x:v>
      </x:c>
      <x:c r="W1385" s="79" t="n">
        <x:f>IF(U1385&gt;0,V1385/U1385,0)</x:f>
        <x:v>0.020209696782474886</x:v>
      </x:c>
      <x:c r="X1385" s="80" t="n">
        <x:f>W1385*('Inputs'!$B$6-AC1385)</x:f>
        <x:v>20117008.783015884</x:v>
      </x:c>
      <x:c r="Y1385" s="80" t="n">
        <x:f>2*V1385</x:f>
        <x:v>77078.63391970031</x:v>
      </x:c>
      <x:c r="Z1385" s="80" t="n">
        <x:f>K1385*'Inputs'!$B$16+(G1385+R1385)*J1385*'Inputs'!$B$16</x:f>
        <x:v>955.1430726007397</x:v>
      </x:c>
      <x:c r="AA1385" s="80" t="n">
        <x:f>K1385*(1+'Inputs'!$E$47)/2*'Inputs'!$B$17</x:f>
        <x:v>323.0163497926472</x:v>
      </x:c>
      <x:c r="AB1385" s="78" t="n">
        <x:f>(IF(J1385&gt;0,K1385*(1-'Inputs'!$E$47)/2/J1385,0)+G1385+R1385)*'Inputs'!$B$17</x:f>
        <x:v>15788.28252542872</x:v>
      </x:c>
      <x:c r="AC1385" s="78" t="n">
        <x:f>AC1384+AB1385</x:f>
        <x:v>4586313.2167019015</x:v>
      </x:c>
      <x:c r="AD1385" s="80" t="n">
        <x:f>Z1385/(1+'Inputs'!$C$47)</x:f>
        <x:v>382.0572290402959</x:v>
      </x:c>
      <x:c r="AE1385" s="80" t="n">
        <x:f>Z1385-AD1385</x:f>
        <x:v>573.0858435604439</x:v>
      </x:c>
      <x:c r="AF1385" s="80" t="n">
        <x:f>D1385*W1385</x:f>
        <x:v>5359.9830522405855</x:v>
      </x:c>
      <x:c r="AG1385" s="80" t="n">
        <x:f>C1385*W1385</x:f>
        <x:v>12506.6271218949</x:v>
      </x:c>
      <x:c r="AH1385" s="80" t="n">
        <x:f>2*'Inputs'!$B$8*'Inputs'!$C$47</x:f>
        <x:v>7500</x:v>
      </x:c>
      <x:c r="AI1385" s="81" t="n">
        <x:f>IF(AH1385&gt;0,(AE1385+AF1385)/AH1385*365,0)</x:f>
        <x:v>288.74268626231674</x:v>
      </x:c>
      <x:c r="AJ1385" s="81" t="n">
        <x:f>IF('Inputs'!$B$47&gt;0,AG1385/('Inputs'!$B$19*'Inputs'!$B$47)*365,0)</x:f>
        <x:v>456.49188994916386</x:v>
      </x:c>
      <x:c r="AK1385" s="81" t="n">
        <x:f>W1385/MAX($W$1099:W1385)-1</x:f>
        <x:v>-0.08799296859251815</x:v>
      </x:c>
      <x:c r="AL1385" s="83" t="n">
        <x:f>'Inputs'!$B$47</x:f>
        <x:v>1</x:v>
      </x:c>
      <x:c r="AM1385" s="83" t="n">
        <x:f>'Inputs'!$C$47</x:f>
        <x:v>1.5</x:v>
      </x:c>
      <x:c r="AN1385" s="83" t="n">
        <x:f>'Inputs'!$D$47</x:f>
        <x:v>1.5</x:v>
      </x:c>
      <x:c r="AO1385" s="81" t="n">
        <x:f>'Inputs'!$E$47</x:f>
        <x:v>0.05</x:v>
      </x:c>
    </x:row>
    <x:row r="1386">
      <x:c r="A1386" s="59" t="str">
        <x:v>Growth</x:v>
      </x:c>
      <x:c r="B1386" s="59" t="n">
        <x:v>288</x:v>
      </x:c>
      <x:c r="C1386" s="78" t="n">
        <x:f>(('Inputs'!$B$29*(3*288*'Inputs'!$B$12-288^2)/(2*'Inputs'!$B$12^2))-('Inputs'!$B$29*(3*287*'Inputs'!$B$12-287^2)/(2*'Inputs'!$B$12^2)))*'Inputs'!$B$47</x:f>
        <x:v>618517.7800712883</x:v>
      </x:c>
      <x:c r="D1386" s="78" t="n">
        <x:f>IF('Inputs'!$C$47&gt;0,('Inputs'!$B$30*(3*288*'Inputs'!$B$12-288^2)/(2*'Inputs'!$B$12^2))-('Inputs'!$B$30*(3*287*'Inputs'!$B$12-287^2)/(2*'Inputs'!$B$12^2)),0)</x:f>
        <x:v>265079.048601985</x:v>
      </x:c>
      <x:c r="E1386" s="78" t="n">
        <x:f>C1386+D1386</x:f>
        <x:v>883596.8286732733</x:v>
      </x:c>
      <x:c r="F1386" s="78" t="n">
        <x:f>'Inputs'!$B$13*E1386+(1-'Inputs'!$B$13)/'Inputs'!$B$14*SUM(E1331:E1386)</x:f>
        <x:v>893814.505535743</x:v>
      </x:c>
      <x:c r="G1386" s="78" t="n">
        <x:f>F1386*'Inputs'!$F$47</x:f>
        <x:v>312835.07693751</x:v>
      </x:c>
      <x:c r="H1386" s="78" t="n">
        <x:f>U1385</x:f>
        <x:v>1906971.557993391</x:v>
      </x:c>
      <x:c r="I1386" s="78" t="n">
        <x:f>V1385</x:f>
        <x:v>38539.316959850155</x:v>
      </x:c>
      <x:c r="J1386" s="79" t="n">
        <x:f>IF(H1386&gt;0,I1386/H1386,0)</x:f>
        <x:v>0.020209696782474886</x:v>
      </x:c>
      <x:c r="K1386" s="80" t="n">
        <x:f>(H1386*J1386+I1386)*'Inputs'!$D$47*(1+'Inputs'!$G$47)^(B1386/30)</x:f>
        <x:v>153554.52721825108</x:v>
      </x:c>
      <x:c r="L1386" s="80" t="n">
        <x:f>MAX(0,K1386*'Inputs'!$E$47)</x:f>
        <x:v>7677.726360912555</x:v>
      </x:c>
      <x:c r="M1386" s="80" t="n">
        <x:f>MAX(0,-K1386*'Inputs'!$E$47)</x:f>
        <x:v>0</x:v>
      </x:c>
      <x:c r="N1386" s="78" t="n">
        <x:f>H1386*(L1386*(1-'Inputs'!$B$15))/(I1386+L1386*(1-'Inputs'!$B$15))</x:f>
        <x:v>314146.2973871584</x:v>
      </x:c>
      <x:c r="O1386" s="78" t="n">
        <x:f>H1386-N1386</x:f>
        <x:v>1592825.2606062326</x:v>
      </x:c>
      <x:c r="P1386" s="78" t="n">
        <x:f>I1386+L1386*(1-'Inputs'!$B$17)</x:f>
        <x:v>46186.147037620205</x:v>
      </x:c>
      <x:c r="Q1386" s="78" t="n">
        <x:f>IF(J1386&gt;0,M1386/J1386,0)</x:f>
        <x:v>0</x:v>
      </x:c>
      <x:c r="R1386" s="78" t="n">
        <x:f>IF(B1386='Inputs'!$H$47,'Inputs'!$B$27*'Inputs'!$I$47,0)</x:f>
        <x:v>0</x:v>
      </x:c>
      <x:c r="S1386" s="78" t="n">
        <x:f>Q1386+G1386+R1386</x:f>
        <x:v>312835.07693751</x:v>
      </x:c>
      <x:c r="T1386" s="78" t="n">
        <x:f>P1386*(S1386*(1-'Inputs'!$B$15))/(O1386+S1386*(1-'Inputs'!$B$15))</x:f>
        <x:v>7518.486150444875</x:v>
      </x:c>
      <x:c r="U1386" s="78" t="n">
        <x:f>O1386+S1386*(1-'Inputs'!$B$17)</x:f>
        <x:v>1904401.443873974</x:v>
      </x:c>
      <x:c r="V1386" s="78" t="n">
        <x:f>P1386-T1386</x:f>
        <x:v>38667.66088717533</x:v>
      </x:c>
      <x:c r="W1386" s="79" t="n">
        <x:f>IF(U1386&gt;0,V1386/U1386,0)</x:f>
        <x:v>0.02030436440360849</x:v>
      </x:c>
      <x:c r="X1386" s="80" t="n">
        <x:f>W1386*('Inputs'!$B$6-AC1386)</x:f>
        <x:v>20210921.77816056</x:v>
      </x:c>
      <x:c r="Y1386" s="80" t="n">
        <x:f>2*V1386</x:f>
        <x:v>77335.32177435065</x:v>
      </x:c>
      <x:c r="Z1386" s="80" t="n">
        <x:f>K1386*'Inputs'!$B$16+(G1386+R1386)*J1386*'Inputs'!$B$16</x:f>
        <x:v>959.2609755964822</x:v>
      </x:c>
      <x:c r="AA1386" s="80" t="n">
        <x:f>K1386*(1+'Inputs'!$E$47)/2*'Inputs'!$B$17</x:f>
        <x:v>324.41097299630513</x:v>
      </x:c>
      <x:c r="AB1386" s="78" t="n">
        <x:f>(IF(J1386&gt;0,K1386*(1-'Inputs'!$E$47)/2/J1386,0)+G1386+R1386)*'Inputs'!$B$17</x:f>
        <x:v>15782.35203794789</x:v>
      </x:c>
      <x:c r="AC1386" s="78" t="n">
        <x:f>AC1385+AB1386</x:f>
        <x:v>4602095.568739849</x:v>
      </x:c>
      <x:c r="AD1386" s="80" t="n">
        <x:f>Z1386/(1+'Inputs'!$C$47)</x:f>
        <x:v>383.7043902385929</x:v>
      </x:c>
      <x:c r="AE1386" s="80" t="n">
        <x:f>Z1386-AD1386</x:f>
        <x:v>575.5565853578894</x:v>
      </x:c>
      <x:c r="AF1386" s="80" t="n">
        <x:f>D1386*W1386</x:f>
        <x:v>5382.261598576549</x:v>
      </x:c>
      <x:c r="AG1386" s="80" t="n">
        <x:f>C1386*W1386</x:f>
        <x:v>12558.61039667841</x:v>
      </x:c>
      <x:c r="AH1386" s="80" t="n">
        <x:f>2*'Inputs'!$B$8*'Inputs'!$C$47</x:f>
        <x:v>7500</x:v>
      </x:c>
      <x:c r="AI1386" s="81" t="n">
        <x:f>IF(AH1386&gt;0,(AE1386+AF1386)/AH1386*365,0)</x:f>
        <x:v>289.94715161814264</x:v>
      </x:c>
      <x:c r="AJ1386" s="81" t="n">
        <x:f>IF('Inputs'!$B$47&gt;0,AG1386/('Inputs'!$B$19*'Inputs'!$B$47)*365,0)</x:f>
        <x:v>458.38927947876203</x:v>
      </x:c>
      <x:c r="AK1386" s="81" t="n">
        <x:f>W1386/MAX($W$1099:W1386)-1</x:f>
        <x:v>-0.08372088390714405</x:v>
      </x:c>
      <x:c r="AL1386" s="83" t="n">
        <x:f>'Inputs'!$B$47</x:f>
        <x:v>1</x:v>
      </x:c>
      <x:c r="AM1386" s="83" t="n">
        <x:f>'Inputs'!$C$47</x:f>
        <x:v>1.5</x:v>
      </x:c>
      <x:c r="AN1386" s="83" t="n">
        <x:f>'Inputs'!$D$47</x:f>
        <x:v>1.5</x:v>
      </x:c>
      <x:c r="AO1386" s="81" t="n">
        <x:f>'Inputs'!$E$47</x:f>
        <x:v>0.05</x:v>
      </x:c>
    </x:row>
    <x:row r="1387">
      <x:c r="A1387" s="59" t="str">
        <x:v>Growth</x:v>
      </x:c>
      <x:c r="B1387" s="59" t="n">
        <x:v>289</x:v>
      </x:c>
      <x:c r="C1387" s="78" t="n">
        <x:f>(('Inputs'!$B$29*(3*289*'Inputs'!$B$12-289^2)/(2*'Inputs'!$B$12^2))-('Inputs'!$B$29*(3*288*'Inputs'!$B$12-288^2)/(2*'Inputs'!$B$12^2)))*'Inputs'!$B$47</x:f>
        <x:v>618192.6721711457</x:v>
      </x:c>
      <x:c r="D1387" s="78" t="n">
        <x:f>IF('Inputs'!$C$47&gt;0,('Inputs'!$B$30*(3*289*'Inputs'!$B$12-289^2)/(2*'Inputs'!$B$12^2))-('Inputs'!$B$30*(3*288*'Inputs'!$B$12-288^2)/(2*'Inputs'!$B$12^2)),0)</x:f>
        <x:v>264939.71664477885</x:v>
      </x:c>
      <x:c r="E1387" s="78" t="n">
        <x:f>C1387+D1387</x:f>
        <x:v>883132.3888159245</x:v>
      </x:c>
      <x:c r="F1387" s="78" t="n">
        <x:f>'Inputs'!$B$13*E1387+(1-'Inputs'!$B$13)/'Inputs'!$B$14*SUM(E1332:E1387)</x:f>
        <x:v>893350.065678366</x:v>
      </x:c>
      <x:c r="G1387" s="78" t="n">
        <x:f>F1387*'Inputs'!$F$47</x:f>
        <x:v>312672.52298742806</x:v>
      </x:c>
      <x:c r="H1387" s="78" t="n">
        <x:f>U1386</x:f>
        <x:v>1904401.443873974</x:v>
      </x:c>
      <x:c r="I1387" s="78" t="n">
        <x:f>V1386</x:f>
        <x:v>38667.66088717533</x:v>
      </x:c>
      <x:c r="J1387" s="79" t="n">
        <x:f>IF(H1387&gt;0,I1387/H1387,0)</x:f>
        <x:v>0.02030436440360849</x:v>
      </x:c>
      <x:c r="K1387" s="80" t="n">
        <x:f>(H1387*J1387+I1387)*'Inputs'!$D$47*(1+'Inputs'!$G$47)^(B1387/30)</x:f>
        <x:v>154217.7705959446</x:v>
      </x:c>
      <x:c r="L1387" s="80" t="n">
        <x:f>MAX(0,K1387*'Inputs'!$E$47)</x:f>
        <x:v>7710.88852979723</x:v>
      </x:c>
      <x:c r="M1387" s="80" t="n">
        <x:f>MAX(0,-K1387*'Inputs'!$E$47)</x:f>
        <x:v>0</x:v>
      </x:c>
      <x:c r="N1387" s="78" t="n">
        <x:f>H1387*(L1387*(1-'Inputs'!$B$15))/(I1387+L1387*(1-'Inputs'!$B$15))</x:f>
        <x:v>313981.1809365827</x:v>
      </x:c>
      <x:c r="O1387" s="78" t="n">
        <x:f>H1387-N1387</x:f>
        <x:v>1590420.2629373914</x:v>
      </x:c>
      <x:c r="P1387" s="78" t="n">
        <x:f>I1387+L1387*(1-'Inputs'!$B$17)</x:f>
        <x:v>46347.51968445828</x:v>
      </x:c>
      <x:c r="Q1387" s="78" t="n">
        <x:f>IF(J1387&gt;0,M1387/J1387,0)</x:f>
        <x:v>0</x:v>
      </x:c>
      <x:c r="R1387" s="78" t="n">
        <x:f>IF(B1387='Inputs'!$H$47,'Inputs'!$B$27*'Inputs'!$I$47,0)</x:f>
        <x:v>0</x:v>
      </x:c>
      <x:c r="S1387" s="78" t="n">
        <x:f>Q1387+G1387+R1387</x:f>
        <x:v>312672.52298742806</x:v>
      </x:c>
      <x:c r="T1387" s="78" t="n">
        <x:f>P1387*(S1387*(1-'Inputs'!$B$15))/(O1387+S1387*(1-'Inputs'!$B$15))</x:f>
        <x:v>7551.019069025908</x:v>
      </x:c>
      <x:c r="U1387" s="78" t="n">
        <x:f>O1387+S1387*(1-'Inputs'!$B$17)</x:f>
        <x:v>1901834.546395695</x:v>
      </x:c>
      <x:c r="V1387" s="78" t="n">
        <x:f>P1387-T1387</x:f>
        <x:v>38796.50061543238</x:v>
      </x:c>
      <x:c r="W1387" s="79" t="n">
        <x:f>IF(U1387&gt;0,V1387/U1387,0)</x:f>
        <x:v>0.020399514084418358</x:v>
      </x:c>
      <x:c r="X1387" s="80" t="n">
        <x:f>W1387*('Inputs'!$B$6-AC1387)</x:f>
        <x:v>20305311.739711743</x:v>
      </x:c>
      <x:c r="Y1387" s="80" t="n">
        <x:f>2*V1387</x:f>
        <x:v>77593.00123086476</x:v>
      </x:c>
      <x:c r="Z1387" s="80" t="n">
        <x:f>K1387*'Inputs'!$B$16+(G1387+R1387)*J1387*'Inputs'!$B$16</x:f>
        <x:v>963.398324650062</x:v>
      </x:c>
      <x:c r="AA1387" s="80" t="n">
        <x:f>K1387*(1+'Inputs'!$E$47)/2*'Inputs'!$B$17</x:f>
        <x:v>325.812191399883</x:v>
      </x:c>
      <x:c r="AB1387" s="78" t="n">
        <x:f>(IF(J1387&gt;0,K1387*(1-'Inputs'!$E$47)/2/J1387,0)+G1387+R1387)*'Inputs'!$B$17</x:f>
        <x:v>15776.421582300167</x:v>
      </x:c>
      <x:c r="AC1387" s="78" t="n">
        <x:f>AC1386+AB1387</x:f>
        <x:v>4617871.990322149</x:v>
      </x:c>
      <x:c r="AD1387" s="80" t="n">
        <x:f>Z1387/(1+'Inputs'!$C$47)</x:f>
        <x:v>385.3593298600248</x:v>
      </x:c>
      <x:c r="AE1387" s="80" t="n">
        <x:f>Z1387-AD1387</x:f>
        <x:v>578.0389947900372</x:v>
      </x:c>
      <x:c r="AF1387" s="80" t="n">
        <x:f>D1387*W1387</x:f>
        <x:v>5404.641481216975</x:v>
      </x:c>
      <x:c r="AG1387" s="80" t="n">
        <x:f>C1387*W1387</x:f>
        <x:v>12610.830122839507</x:v>
      </x:c>
      <x:c r="AH1387" s="80" t="n">
        <x:f>2*'Inputs'!$B$8*'Inputs'!$C$47</x:f>
        <x:v>7500</x:v>
      </x:c>
      <x:c r="AI1387" s="81" t="n">
        <x:f>IF(AH1387&gt;0,(AE1387+AF1387)/AH1387*365,0)</x:f>
        <x:v>291.15711649900794</x:v>
      </x:c>
      <x:c r="AJ1387" s="81" t="n">
        <x:f>IF('Inputs'!$B$47&gt;0,AG1387/('Inputs'!$B$19*'Inputs'!$B$47)*365,0)</x:f>
        <x:v>460.295299483642</x:v>
      </x:c>
      <x:c r="AK1387" s="81" t="n">
        <x:f>W1387/MAX($W$1099:W1387)-1</x:f>
        <x:v>-0.07942704521828114</x:v>
      </x:c>
      <x:c r="AL1387" s="83" t="n">
        <x:f>'Inputs'!$B$47</x:f>
        <x:v>1</x:v>
      </x:c>
      <x:c r="AM1387" s="83" t="n">
        <x:f>'Inputs'!$C$47</x:f>
        <x:v>1.5</x:v>
      </x:c>
      <x:c r="AN1387" s="83" t="n">
        <x:f>'Inputs'!$D$47</x:f>
        <x:v>1.5</x:v>
      </x:c>
      <x:c r="AO1387" s="81" t="n">
        <x:f>'Inputs'!$E$47</x:f>
        <x:v>0.05</x:v>
      </x:c>
    </x:row>
    <x:row r="1388">
      <x:c r="A1388" s="59" t="str">
        <x:v>Growth</x:v>
      </x:c>
      <x:c r="B1388" s="59" t="n">
        <x:v>290</x:v>
      </x:c>
      <x:c r="C1388" s="78" t="n">
        <x:f>(('Inputs'!$B$29*(3*290*'Inputs'!$B$12-290^2)/(2*'Inputs'!$B$12^2))-('Inputs'!$B$29*(3*289*'Inputs'!$B$12-289^2)/(2*'Inputs'!$B$12^2)))*'Inputs'!$B$47</x:f>
        <x:v>617867.5642709732</x:v>
      </x:c>
      <x:c r="D1388" s="78" t="n">
        <x:f>IF('Inputs'!$C$47&gt;0,('Inputs'!$B$30*(3*290*'Inputs'!$B$12-290^2)/(2*'Inputs'!$B$12^2))-('Inputs'!$B$30*(3*289*'Inputs'!$B$12-289^2)/(2*'Inputs'!$B$12^2)),0)</x:f>
        <x:v>264800.3846875578</x:v>
      </x:c>
      <x:c r="E1388" s="78" t="n">
        <x:f>C1388+D1388</x:f>
        <x:v>882667.948958531</x:v>
      </x:c>
      <x:c r="F1388" s="78" t="n">
        <x:f>'Inputs'!$B$13*E1388+(1-'Inputs'!$B$13)/'Inputs'!$B$14*SUM(E1333:E1388)</x:f>
        <x:v>892885.6258209802</x:v>
      </x:c>
      <x:c r="G1388" s="78" t="n">
        <x:f>F1388*'Inputs'!$F$47</x:f>
        <x:v>312509.96903734305</x:v>
      </x:c>
      <x:c r="H1388" s="78" t="n">
        <x:f>U1387</x:f>
        <x:v>1901834.546395695</x:v>
      </x:c>
      <x:c r="I1388" s="78" t="n">
        <x:f>V1387</x:f>
        <x:v>38796.50061543238</x:v>
      </x:c>
      <x:c r="J1388" s="79" t="n">
        <x:f>IF(H1388&gt;0,I1388/H1388,0)</x:f>
        <x:v>0.020399514084418358</x:v>
      </x:c>
      <x:c r="K1388" s="80" t="n">
        <x:f>(H1388*J1388+I1388)*'Inputs'!$D$47*(1+'Inputs'!$G$47)^(B1388/30)</x:f>
        <x:v>154884.15172442776</x:v>
      </x:c>
      <x:c r="L1388" s="80" t="n">
        <x:f>MAX(0,K1388*'Inputs'!$E$47)</x:f>
        <x:v>7744.207586221389</x:v>
      </x:c>
      <x:c r="M1388" s="80" t="n">
        <x:f>MAX(0,-K1388*'Inputs'!$E$47)</x:f>
        <x:v>0</x:v>
      </x:c>
      <x:c r="N1388" s="78" t="n">
        <x:f>H1388*(L1388*(1-'Inputs'!$B$15))/(I1388+L1388*(1-'Inputs'!$B$15))</x:f>
        <x:v>313816.0685312283</x:v>
      </x:c>
      <x:c r="O1388" s="78" t="n">
        <x:f>H1388-N1388</x:f>
        <x:v>1588018.4778644668</x:v>
      </x:c>
      <x:c r="P1388" s="78" t="n">
        <x:f>I1388+L1388*(1-'Inputs'!$B$17)</x:f>
        <x:v>46509.54438842954</x:v>
      </x:c>
      <x:c r="Q1388" s="78" t="n">
        <x:f>IF(J1388&gt;0,M1388/J1388,0)</x:f>
        <x:v>0</x:v>
      </x:c>
      <x:c r="R1388" s="78" t="n">
        <x:f>IF(B1388='Inputs'!$H$47,'Inputs'!$B$27*'Inputs'!$I$47,0)</x:f>
        <x:v>0</x:v>
      </x:c>
      <x:c r="S1388" s="78" t="n">
        <x:f>Q1388+G1388+R1388</x:f>
        <x:v>312509.96903734305</x:v>
      </x:c>
      <x:c r="T1388" s="78" t="n">
        <x:f>P1388*(S1388*(1-'Inputs'!$B$15))/(O1388+S1388*(1-'Inputs'!$B$15))</x:f>
        <x:v>7583.706087136931</x:v>
      </x:c>
      <x:c r="U1388" s="78" t="n">
        <x:f>O1388+S1388*(1-'Inputs'!$B$17)</x:f>
        <x:v>1899270.8615133297</x:v>
      </x:c>
      <x:c r="V1388" s="78" t="n">
        <x:f>P1388-T1388</x:f>
        <x:v>38925.838301292606</x:v>
      </x:c>
      <x:c r="W1388" s="79" t="n">
        <x:f>IF(U1388&gt;0,V1388/U1388,0)</x:f>
        <x:v>0.020495148475176778</x:v>
      </x:c>
      <x:c r="X1388" s="80" t="n">
        <x:f>W1388*('Inputs'!$B$6-AC1388)</x:f>
        <x:v>20400181.284537975</x:v>
      </x:c>
      <x:c r="Y1388" s="80" t="n">
        <x:f>2*V1388</x:f>
        <x:v>77851.67660258521</x:v>
      </x:c>
      <x:c r="Z1388" s="80" t="n">
        <x:f>K1388*'Inputs'!$B$16+(G1388+R1388)*J1388*'Inputs'!$B$16</x:f>
        <x:v>967.5552194359572</x:v>
      </x:c>
      <x:c r="AA1388" s="80" t="n">
        <x:f>K1388*(1+'Inputs'!$E$47)/2*'Inputs'!$B$17</x:f>
        <x:v>327.2200388544249</x:v>
      </x:c>
      <x:c r="AB1388" s="78" t="n">
        <x:f>(IF(J1388&gt;0,K1388*(1-'Inputs'!$E$47)/2/J1388,0)+G1388+R1388)*'Inputs'!$B$17</x:f>
        <x:v>15770.491156972495</x:v>
      </x:c>
      <x:c r="AC1388" s="78" t="n">
        <x:f>AC1387+AB1388</x:f>
        <x:v>4633642.481479122</x:v>
      </x:c>
      <x:c r="AD1388" s="80" t="n">
        <x:f>Z1388/(1+'Inputs'!$C$47)</x:f>
        <x:v>387.02208777438284</x:v>
      </x:c>
      <x:c r="AE1388" s="80" t="n">
        <x:f>Z1388-AD1388</x:f>
        <x:v>580.5331316615743</x:v>
      </x:c>
      <x:c r="AF1388" s="80" t="n">
        <x:f>D1388*W1388</x:f>
        <x:v>5427.123200455425</x:v>
      </x:c>
      <x:c r="AG1388" s="80" t="n">
        <x:f>C1388*W1388</x:f>
        <x:v>12663.287467729426</x:v>
      </x:c>
      <x:c r="AH1388" s="80" t="n">
        <x:f>2*'Inputs'!$B$8*'Inputs'!$C$47</x:f>
        <x:v>7500</x:v>
      </x:c>
      <x:c r="AI1388" s="81" t="n">
        <x:f>IF(AH1388&gt;0,(AE1388+AF1388)/AH1388*365,0)</x:f>
        <x:v>292.37260816302734</x:v>
      </x:c>
      <x:c r="AJ1388" s="81" t="n">
        <x:f>IF('Inputs'!$B$47&gt;0,AG1388/('Inputs'!$B$19*'Inputs'!$B$47)*365,0)</x:f>
        <x:v>462.209992572124</x:v>
      </x:c>
      <x:c r="AK1388" s="81" t="n">
        <x:f>W1388/MAX($W$1099:W1388)-1</x:f>
        <x:v>-0.0751113329265618</x:v>
      </x:c>
      <x:c r="AL1388" s="83" t="n">
        <x:f>'Inputs'!$B$47</x:f>
        <x:v>1</x:v>
      </x:c>
      <x:c r="AM1388" s="83" t="n">
        <x:f>'Inputs'!$C$47</x:f>
        <x:v>1.5</x:v>
      </x:c>
      <x:c r="AN1388" s="83" t="n">
        <x:f>'Inputs'!$D$47</x:f>
        <x:v>1.5</x:v>
      </x:c>
      <x:c r="AO1388" s="81" t="n">
        <x:f>'Inputs'!$E$47</x:f>
        <x:v>0.05</x:v>
      </x:c>
    </x:row>
    <x:row r="1389">
      <x:c r="A1389" s="59" t="str">
        <x:v>Growth</x:v>
      </x:c>
      <x:c r="B1389" s="59" t="n">
        <x:v>291</x:v>
      </x:c>
      <x:c r="C1389" s="78" t="n">
        <x:f>(('Inputs'!$B$29*(3*291*'Inputs'!$B$12-291^2)/(2*'Inputs'!$B$12^2))-('Inputs'!$B$29*(3*290*'Inputs'!$B$12-290^2)/(2*'Inputs'!$B$12^2)))*'Inputs'!$B$47</x:f>
        <x:v>617542.4563708007</x:v>
      </x:c>
      <x:c r="D1389" s="78" t="n">
        <x:f>IF('Inputs'!$C$47&gt;0,('Inputs'!$B$30*(3*291*'Inputs'!$B$12-291^2)/(2*'Inputs'!$B$12^2))-('Inputs'!$B$30*(3*290*'Inputs'!$B$12-290^2)/(2*'Inputs'!$B$12^2)),0)</x:f>
        <x:v>264661.0527303368</x:v>
      </x:c>
      <x:c r="E1389" s="78" t="n">
        <x:f>C1389+D1389</x:f>
        <x:v>882203.5091011375</x:v>
      </x:c>
      <x:c r="F1389" s="78" t="n">
        <x:f>'Inputs'!$B$13*E1389+(1-'Inputs'!$B$13)/'Inputs'!$B$14*SUM(E1334:E1389)</x:f>
        <x:v>892421.1859635941</x:v>
      </x:c>
      <x:c r="G1389" s="78" t="n">
        <x:f>F1389*'Inputs'!$F$47</x:f>
        <x:v>312347.4150872579</x:v>
      </x:c>
      <x:c r="H1389" s="78" t="n">
        <x:f>U1388</x:f>
        <x:v>1899270.8615133297</x:v>
      </x:c>
      <x:c r="I1389" s="78" t="n">
        <x:f>V1388</x:f>
        <x:v>38925.838301292606</x:v>
      </x:c>
      <x:c r="J1389" s="79" t="n">
        <x:f>IF(H1389&gt;0,I1389/H1389,0)</x:f>
        <x:v>0.020495148475176778</x:v>
      </x:c>
      <x:c r="K1389" s="80" t="n">
        <x:f>(H1389*J1389+I1389)*'Inputs'!$D$47*(1+'Inputs'!$G$47)^(B1389/30)</x:f>
        <x:v>155553.6867150354</x:v>
      </x:c>
      <x:c r="L1389" s="80" t="n">
        <x:f>MAX(0,K1389*'Inputs'!$E$47)</x:f>
        <x:v>7777.684335751771</x:v>
      </x:c>
      <x:c r="M1389" s="80" t="n">
        <x:f>MAX(0,-K1389*'Inputs'!$E$47)</x:f>
        <x:v>0</x:v>
      </x:c>
      <x:c r="N1389" s="78" t="n">
        <x:f>H1389*(L1389*(1-'Inputs'!$B$15))/(I1389+L1389*(1-'Inputs'!$B$15))</x:f>
        <x:v>313650.9601661471</x:v>
      </x:c>
      <x:c r="O1389" s="78" t="n">
        <x:f>H1389-N1389</x:f>
        <x:v>1585619.9013471827</x:v>
      </x:c>
      <x:c r="P1389" s="78" t="n">
        <x:f>I1389+L1389*(1-'Inputs'!$B$17)</x:f>
        <x:v>46672.22410853028</x:v>
      </x:c>
      <x:c r="Q1389" s="78" t="n">
        <x:f>IF(J1389&gt;0,M1389/J1389,0)</x:f>
        <x:v>0</x:v>
      </x:c>
      <x:c r="R1389" s="78" t="n">
        <x:f>IF(B1389='Inputs'!$H$47,'Inputs'!$B$27*'Inputs'!$I$47,0)</x:f>
        <x:v>0</x:v>
      </x:c>
      <x:c r="S1389" s="78" t="n">
        <x:f>Q1389+G1389+R1389</x:f>
        <x:v>312347.4150872579</x:v>
      </x:c>
      <x:c r="T1389" s="78" t="n">
        <x:f>P1389*(S1389*(1-'Inputs'!$B$15))/(O1389+S1389*(1-'Inputs'!$B$15))</x:f>
        <x:v>7616.547996753655</x:v>
      </x:c>
      <x:c r="U1389" s="78" t="n">
        <x:f>O1389+S1389*(1-'Inputs'!$B$17)</x:f>
        <x:v>1896710.3851866047</x:v>
      </x:c>
      <x:c r="V1389" s="78" t="n">
        <x:f>P1389-T1389</x:f>
        <x:v>39055.67611177663</x:v>
      </x:c>
      <x:c r="W1389" s="79" t="n">
        <x:f>IF(U1389&gt;0,V1389/U1389,0)</x:f>
        <x:v>0.020591270241784542</x:v>
      </x:c>
      <x:c r="X1389" s="80" t="n">
        <x:f>W1389*('Inputs'!$B$6-AC1389)</x:f>
        <x:v>20495533.04491373</x:v>
      </x:c>
      <x:c r="Y1389" s="80" t="n">
        <x:f>2*V1389</x:f>
        <x:v>78111.35222355326</x:v>
      </x:c>
      <x:c r="Z1389" s="80" t="n">
        <x:f>K1389*'Inputs'!$B$16+(G1389+R1389)*J1389*'Inputs'!$B$16</x:f>
        <x:v>971.7317601785187</x:v>
      </x:c>
      <x:c r="AA1389" s="80" t="n">
        <x:f>K1389*(1+'Inputs'!$E$47)/2*'Inputs'!$B$17</x:f>
        <x:v>328.6345493979622</x:v>
      </x:c>
      <x:c r="AB1389" s="78" t="n">
        <x:f>(IF(J1389&gt;0,K1389*(1-'Inputs'!$E$47)/2/J1389,0)+G1389+R1389)*'Inputs'!$B$17</x:f>
        <x:v>15764.560760449564</x:v>
      </x:c>
      <x:c r="AC1389" s="78" t="n">
        <x:f>AC1388+AB1389</x:f>
        <x:v>4649407.042239572</x:v>
      </x:c>
      <x:c r="AD1389" s="80" t="n">
        <x:f>Z1389/(1+'Inputs'!$C$47)</x:f>
        <x:v>388.6927040714075</x:v>
      </x:c>
      <x:c r="AE1389" s="80" t="n">
        <x:f>Z1389-AD1389</x:f>
        <x:v>583.0390561071113</x:v>
      </x:c>
      <x:c r="AF1389" s="80" t="n">
        <x:f>D1389*W1389</x:f>
        <x:v>5449.707259245553</x:v>
      </x:c>
      <x:c r="AG1389" s="80" t="n">
        <x:f>C1389*W1389</x:f>
        <x:v>12715.983604906598</x:v>
      </x:c>
      <x:c r="AH1389" s="80" t="n">
        <x:f>2*'Inputs'!$B$8*'Inputs'!$C$47</x:f>
        <x:v>7500</x:v>
      </x:c>
      <x:c r="AI1389" s="81" t="n">
        <x:f>IF(AH1389&gt;0,(AE1389+AF1389)/AH1389*365,0)</x:f>
        <x:v>293.5936540138297</x:v>
      </x:c>
      <x:c r="AJ1389" s="81" t="n">
        <x:f>IF('Inputs'!$B$47&gt;0,AG1389/('Inputs'!$B$19*'Inputs'!$B$47)*365,0)</x:f>
        <x:v>464.13340157909084</x:v>
      </x:c>
      <x:c r="AK1389" s="81" t="n">
        <x:f>W1389/MAX($W$1099:W1389)-1</x:f>
        <x:v>-0.0707736267273471</x:v>
      </x:c>
      <x:c r="AL1389" s="83" t="n">
        <x:f>'Inputs'!$B$47</x:f>
        <x:v>1</x:v>
      </x:c>
      <x:c r="AM1389" s="83" t="n">
        <x:f>'Inputs'!$C$47</x:f>
        <x:v>1.5</x:v>
      </x:c>
      <x:c r="AN1389" s="83" t="n">
        <x:f>'Inputs'!$D$47</x:f>
        <x:v>1.5</x:v>
      </x:c>
      <x:c r="AO1389" s="81" t="n">
        <x:f>'Inputs'!$E$47</x:f>
        <x:v>0.05</x:v>
      </x:c>
    </x:row>
    <x:row r="1390">
      <x:c r="A1390" s="59" t="str">
        <x:v>Growth</x:v>
      </x:c>
      <x:c r="B1390" s="59" t="n">
        <x:v>292</x:v>
      </x:c>
      <x:c r="C1390" s="78" t="n">
        <x:f>(('Inputs'!$B$29*(3*292*'Inputs'!$B$12-292^2)/(2*'Inputs'!$B$12^2))-('Inputs'!$B$29*(3*291*'Inputs'!$B$12-291^2)/(2*'Inputs'!$B$12^2)))*'Inputs'!$B$47</x:f>
        <x:v>617217.3484706283</x:v>
      </x:c>
      <x:c r="D1390" s="78" t="n">
        <x:f>IF('Inputs'!$C$47&gt;0,('Inputs'!$B$30*(3*292*'Inputs'!$B$12-292^2)/(2*'Inputs'!$B$12^2))-('Inputs'!$B$30*(3*291*'Inputs'!$B$12-291^2)/(2*'Inputs'!$B$12^2)),0)</x:f>
        <x:v>264521.72077313066</x:v>
      </x:c>
      <x:c r="E1390" s="78" t="n">
        <x:f>C1390+D1390</x:f>
        <x:v>881739.0692437589</x:v>
      </x:c>
      <x:c r="F1390" s="78" t="n">
        <x:f>'Inputs'!$B$13*E1390+(1-'Inputs'!$B$13)/'Inputs'!$B$14*SUM(E1335:E1390)</x:f>
        <x:v>891956.7461062113</x:v>
      </x:c>
      <x:c r="G1390" s="78" t="n">
        <x:f>F1390*'Inputs'!$F$47</x:f>
        <x:v>312184.86113717395</x:v>
      </x:c>
      <x:c r="H1390" s="78" t="n">
        <x:f>U1389</x:f>
        <x:v>1896710.3851866047</x:v>
      </x:c>
      <x:c r="I1390" s="78" t="n">
        <x:f>V1389</x:f>
        <x:v>39055.67611177663</x:v>
      </x:c>
      <x:c r="J1390" s="79" t="n">
        <x:f>IF(H1390&gt;0,I1390/H1390,0)</x:f>
        <x:v>0.020591270241784542</x:v>
      </x:c>
      <x:c r="K1390" s="80" t="n">
        <x:f>(H1390*J1390+I1390)*'Inputs'!$D$47*(1+'Inputs'!$G$47)^(B1390/30)</x:f>
        <x:v>156226.39176813103</x:v>
      </x:c>
      <x:c r="L1390" s="80" t="n">
        <x:f>MAX(0,K1390*'Inputs'!$E$47)</x:f>
        <x:v>7811.319588406552</x:v>
      </x:c>
      <x:c r="M1390" s="80" t="n">
        <x:f>MAX(0,-K1390*'Inputs'!$E$47)</x:f>
        <x:v>0</x:v>
      </x:c>
      <x:c r="N1390" s="78" t="n">
        <x:f>H1390*(L1390*(1-'Inputs'!$B$15))/(I1390+L1390*(1-'Inputs'!$B$15))</x:f>
        <x:v>313485.8558363972</x:v>
      </x:c>
      <x:c r="O1390" s="78" t="n">
        <x:f>H1390-N1390</x:f>
        <x:v>1583224.5293502074</x:v>
      </x:c>
      <x:c r="P1390" s="78" t="n">
        <x:f>I1390+L1390*(1-'Inputs'!$B$17)</x:f>
        <x:v>46835.561818539696</x:v>
      </x:c>
      <x:c r="Q1390" s="78" t="n">
        <x:f>IF(J1390&gt;0,M1390/J1390,0)</x:f>
        <x:v>0</x:v>
      </x:c>
      <x:c r="R1390" s="78" t="n">
        <x:f>IF(B1390='Inputs'!$H$47,'Inputs'!$B$27*'Inputs'!$I$47,0)</x:f>
        <x:v>0</x:v>
      </x:c>
      <x:c r="S1390" s="78" t="n">
        <x:f>Q1390+G1390+R1390</x:f>
        <x:v>312184.86113717395</x:v>
      </x:c>
      <x:c r="T1390" s="78" t="n">
        <x:f>P1390*(S1390*(1-'Inputs'!$B$15))/(O1390+S1390*(1-'Inputs'!$B$15))</x:f>
        <x:v>7649.545594231253</x:v>
      </x:c>
      <x:c r="U1390" s="78" t="n">
        <x:f>O1390+S1390*(1-'Inputs'!$B$17)</x:f>
        <x:v>1894153.1133801895</x:v>
      </x:c>
      <x:c r="V1390" s="78" t="n">
        <x:f>P1390-T1390</x:f>
        <x:v>39186.01622430844</x:v>
      </x:c>
      <x:c r="W1390" s="79" t="n">
        <x:f>IF(U1390&gt;0,V1390/U1390,0)</x:f>
        <x:v>0.02068788206586926</x:v>
      </x:c>
      <x:c r="X1390" s="80" t="n">
        <x:f>W1390*('Inputs'!$B$6-AC1390)</x:f>
        <x:v>20591369.66861613</x:v>
      </x:c>
      <x:c r="Y1390" s="80" t="n">
        <x:f>2*V1390</x:f>
        <x:v>78372.03244861688</x:v>
      </x:c>
      <x:c r="Z1390" s="80" t="n">
        <x:f>K1390*'Inputs'!$B$16+(G1390+R1390)*J1390*'Inputs'!$B$16</x:f>
        <x:v>975.9280476552034</x:v>
      </x:c>
      <x:c r="AA1390" s="80" t="n">
        <x:f>K1390*(1+'Inputs'!$E$47)/2*'Inputs'!$B$17</x:f>
        <x:v>330.0557572566149</x:v>
      </x:c>
      <x:c r="AB1390" s="78" t="n">
        <x:f>(IF(J1390&gt;0,K1390*(1-'Inputs'!$E$47)/2/J1390,0)+G1390+R1390)*'Inputs'!$B$17</x:f>
        <x:v>15758.630391213808</x:v>
      </x:c>
      <x:c r="AC1390" s="78" t="n">
        <x:f>AC1389+AB1390</x:f>
        <x:v>4665165.672630786</x:v>
      </x:c>
      <x:c r="AD1390" s="80" t="n">
        <x:f>Z1390/(1+'Inputs'!$C$47)</x:f>
        <x:v>390.37121906208137</x:v>
      </x:c>
      <x:c r="AE1390" s="80" t="n">
        <x:f>Z1390-AD1390</x:f>
        <x:v>585.556828593122</x:v>
      </x:c>
      <x:c r="AF1390" s="80" t="n">
        <x:f>D1390*W1390</x:f>
        <x:v>5472.3941632153255</x:v>
      </x:c>
      <x:c r="AG1390" s="80" t="n">
        <x:f>C1390*W1390</x:f>
        <x:v>12768.919714168887</x:v>
      </x:c>
      <x:c r="AH1390" s="80" t="n">
        <x:f>2*'Inputs'!$B$8*'Inputs'!$C$47</x:f>
        <x:v>7500</x:v>
      </x:c>
      <x:c r="AI1390" s="81" t="n">
        <x:f>IF(AH1390&gt;0,(AE1390+AF1390)/AH1390*365,0)</x:f>
        <x:v>294.82028160134445</x:v>
      </x:c>
      <x:c r="AJ1390" s="81" t="n">
        <x:f>IF('Inputs'!$B$47&gt;0,AG1390/('Inputs'!$B$19*'Inputs'!$B$47)*365,0)</x:f>
        <x:v>466.0655695671644</x:v>
      </x:c>
      <x:c r="AK1390" s="81" t="n">
        <x:f>W1390/MAX($W$1099:W1390)-1</x:f>
        <x:v>-0.0664138056062914</x:v>
      </x:c>
      <x:c r="AL1390" s="83" t="n">
        <x:f>'Inputs'!$B$47</x:f>
        <x:v>1</x:v>
      </x:c>
      <x:c r="AM1390" s="83" t="n">
        <x:f>'Inputs'!$C$47</x:f>
        <x:v>1.5</x:v>
      </x:c>
      <x:c r="AN1390" s="83" t="n">
        <x:f>'Inputs'!$D$47</x:f>
        <x:v>1.5</x:v>
      </x:c>
      <x:c r="AO1390" s="81" t="n">
        <x:f>'Inputs'!$E$47</x:f>
        <x:v>0.05</x:v>
      </x:c>
    </x:row>
    <x:row r="1391">
      <x:c r="A1391" s="59" t="str">
        <x:v>Growth</x:v>
      </x:c>
      <x:c r="B1391" s="59" t="n">
        <x:v>293</x:v>
      </x:c>
      <x:c r="C1391" s="78" t="n">
        <x:f>(('Inputs'!$B$29*(3*293*'Inputs'!$B$12-293^2)/(2*'Inputs'!$B$12^2))-('Inputs'!$B$29*(3*292*'Inputs'!$B$12-292^2)/(2*'Inputs'!$B$12^2)))*'Inputs'!$B$47</x:f>
        <x:v>616892.2405704558</x:v>
      </x:c>
      <x:c r="D1391" s="78" t="n">
        <x:f>IF('Inputs'!$C$47&gt;0,('Inputs'!$B$30*(3*293*'Inputs'!$B$12-293^2)/(2*'Inputs'!$B$12^2))-('Inputs'!$B$30*(3*292*'Inputs'!$B$12-292^2)/(2*'Inputs'!$B$12^2)),0)</x:f>
        <x:v>264382.3888159096</x:v>
      </x:c>
      <x:c r="E1391" s="78" t="n">
        <x:f>C1391+D1391</x:f>
        <x:v>881274.6293863654</x:v>
      </x:c>
      <x:c r="F1391" s="78" t="n">
        <x:f>'Inputs'!$B$13*E1391+(1-'Inputs'!$B$13)/'Inputs'!$B$14*SUM(E1336:E1391)</x:f>
        <x:v>891492.3062488248</x:v>
      </x:c>
      <x:c r="G1391" s="78" t="n">
        <x:f>F1391*'Inputs'!$F$47</x:f>
        <x:v>312022.30718708865</x:v>
      </x:c>
      <x:c r="H1391" s="78" t="n">
        <x:f>U1390</x:f>
        <x:v>1894153.1133801895</x:v>
      </x:c>
      <x:c r="I1391" s="78" t="n">
        <x:f>V1390</x:f>
        <x:v>39186.01622430844</x:v>
      </x:c>
      <x:c r="J1391" s="79" t="n">
        <x:f>IF(H1391&gt;0,I1391/H1391,0)</x:f>
        <x:v>0.02068788206586926</x:v>
      </x:c>
      <x:c r="K1391" s="80" t="n">
        <x:f>(H1391*J1391+I1391)*'Inputs'!$D$47*(1+'Inputs'!$G$47)^(B1391/30)</x:f>
        <x:v>156902.28317363255</x:v>
      </x:c>
      <x:c r="L1391" s="80" t="n">
        <x:f>MAX(0,K1391*'Inputs'!$E$47)</x:f>
        <x:v>7845.1141586816275</x:v>
      </x:c>
      <x:c r="M1391" s="80" t="n">
        <x:f>MAX(0,-K1391*'Inputs'!$E$47)</x:f>
        <x:v>0</x:v>
      </x:c>
      <x:c r="N1391" s="78" t="n">
        <x:f>H1391*(L1391*(1-'Inputs'!$B$15))/(I1391+L1391*(1-'Inputs'!$B$15))</x:f>
        <x:v>313320.7555370432</x:v>
      </x:c>
      <x:c r="O1391" s="78" t="n">
        <x:f>H1391-N1391</x:f>
        <x:v>1580832.3578431462</x:v>
      </x:c>
      <x:c r="P1391" s="78" t="n">
        <x:f>I1391+L1391*(1-'Inputs'!$B$17)</x:f>
        <x:v>46999.5605071</x:v>
      </x:c>
      <x:c r="Q1391" s="78" t="n">
        <x:f>IF(J1391&gt;0,M1391/J1391,0)</x:f>
        <x:v>0</x:v>
      </x:c>
      <x:c r="R1391" s="78" t="n">
        <x:f>IF(B1391='Inputs'!$H$47,'Inputs'!$B$27*'Inputs'!$I$47,0)</x:f>
        <x:v>0</x:v>
      </x:c>
      <x:c r="S1391" s="78" t="n">
        <x:f>Q1391+G1391+R1391</x:f>
        <x:v>312022.30718708865</x:v>
      </x:c>
      <x:c r="T1391" s="78" t="n">
        <x:f>P1391*(S1391*(1-'Inputs'!$B$15))/(O1391+S1391*(1-'Inputs'!$B$15))</x:f>
        <x:v>7682.699680330189</x:v>
      </x:c>
      <x:c r="U1391" s="78" t="n">
        <x:f>O1391+S1391*(1-'Inputs'!$B$17)</x:f>
        <x:v>1891599.0420636872</x:v>
      </x:c>
      <x:c r="V1391" s="78" t="n">
        <x:f>P1391-T1391</x:f>
        <x:v>39316.860826769815</x:v>
      </x:c>
      <x:c r="W1391" s="79" t="n">
        <x:f>IF(U1391&gt;0,V1391/U1391,0)</x:f>
        <x:v>0.020784986644884373</x:v>
      </x:c>
      <x:c r="X1391" s="80" t="n">
        <x:f>W1391*('Inputs'!$B$6-AC1391)</x:f>
        <x:v>20687693.819022458</x:v>
      </x:c>
      <x:c r="Y1391" s="80" t="n">
        <x:f>2*V1391</x:f>
        <x:v>78633.72165353963</x:v>
      </x:c>
      <x:c r="Z1391" s="80" t="n">
        <x:f>K1391*'Inputs'!$B$16+(G1391+R1391)*J1391*'Inputs'!$B$16</x:f>
        <x:v>980.1441831998368</x:v>
      </x:c>
      <x:c r="AA1391" s="80" t="n">
        <x:f>K1391*(1+'Inputs'!$E$47)/2*'Inputs'!$B$17</x:f>
        <x:v>331.4836968457026</x:v>
      </x:c>
      <x:c r="AB1391" s="78" t="n">
        <x:f>(IF(J1391&gt;0,K1391*(1-'Inputs'!$E$47)/2/J1391,0)+G1391+R1391)*'Inputs'!$B$17</x:f>
        <x:v>15752.700047745413</x:v>
      </x:c>
      <x:c r="AC1391" s="78" t="n">
        <x:f>AC1390+AB1391</x:f>
        <x:v>4680918.372678531</x:v>
      </x:c>
      <x:c r="AD1391" s="80" t="n">
        <x:f>Z1391/(1+'Inputs'!$C$47)</x:f>
        <x:v>392.0576732799347</x:v>
      </x:c>
      <x:c r="AE1391" s="80" t="n">
        <x:f>Z1391-AD1391</x:f>
        <x:v>588.086509919902</x:v>
      </x:c>
      <x:c r="AF1391" s="80" t="n">
        <x:f>D1391*W1391</x:f>
        <x:v>5495.184420681309</x:v>
      </x:c>
      <x:c r="AG1391" s="80" t="n">
        <x:f>C1391*W1391</x:f>
        <x:v>12822.096981589722</x:v>
      </x:c>
      <x:c r="AH1391" s="80" t="n">
        <x:f>2*'Inputs'!$B$8*'Inputs'!$C$47</x:f>
        <x:v>7500</x:v>
      </x:c>
      <x:c r="AI1391" s="81" t="n">
        <x:f>IF(AH1391&gt;0,(AE1391+AF1391)/AH1391*365,0)</x:f>
        <x:v>296.0525186225923</x:v>
      </x:c>
      <x:c r="AJ1391" s="81" t="n">
        <x:f>IF('Inputs'!$B$47&gt;0,AG1391/('Inputs'!$B$19*'Inputs'!$B$47)*365,0)</x:f>
        <x:v>468.0065398280249</x:v>
      </x:c>
      <x:c r="AK1391" s="81" t="n">
        <x:f>W1391/MAX($W$1099:W1391)-1</x:f>
        <x:v>-0.06203174783487331</x:v>
      </x:c>
      <x:c r="AL1391" s="83" t="n">
        <x:f>'Inputs'!$B$47</x:f>
        <x:v>1</x:v>
      </x:c>
      <x:c r="AM1391" s="83" t="n">
        <x:f>'Inputs'!$C$47</x:f>
        <x:v>1.5</x:v>
      </x:c>
      <x:c r="AN1391" s="83" t="n">
        <x:f>'Inputs'!$D$47</x:f>
        <x:v>1.5</x:v>
      </x:c>
      <x:c r="AO1391" s="81" t="n">
        <x:f>'Inputs'!$E$47</x:f>
        <x:v>0.05</x:v>
      </x:c>
    </x:row>
    <x:row r="1392">
      <x:c r="A1392" s="59" t="str">
        <x:v>Growth</x:v>
      </x:c>
      <x:c r="B1392" s="59" t="n">
        <x:v>294</x:v>
      </x:c>
      <x:c r="C1392" s="78" t="n">
        <x:f>(('Inputs'!$B$29*(3*294*'Inputs'!$B$12-294^2)/(2*'Inputs'!$B$12^2))-('Inputs'!$B$29*(3*293*'Inputs'!$B$12-293^2)/(2*'Inputs'!$B$12^2)))*'Inputs'!$B$47</x:f>
        <x:v>616567.1326703131</x:v>
      </x:c>
      <x:c r="D1392" s="78" t="n">
        <x:f>IF('Inputs'!$C$47&gt;0,('Inputs'!$B$30*(3*294*'Inputs'!$B$12-294^2)/(2*'Inputs'!$B$12^2))-('Inputs'!$B$30*(3*293*'Inputs'!$B$12-293^2)/(2*'Inputs'!$B$12^2)),0)</x:f>
        <x:v>264243.0568587035</x:v>
      </x:c>
      <x:c r="E1392" s="78" t="n">
        <x:f>C1392+D1392</x:f>
        <x:v>880810.1895290166</x:v>
      </x:c>
      <x:c r="F1392" s="78" t="n">
        <x:f>'Inputs'!$B$13*E1392+(1-'Inputs'!$B$13)/'Inputs'!$B$14*SUM(E1337:E1392)</x:f>
        <x:v>891027.8663914481</x:v>
      </x:c>
      <x:c r="G1392" s="78" t="n">
        <x:f>F1392*'Inputs'!$F$47</x:f>
        <x:v>311859.7532370068</x:v>
      </x:c>
      <x:c r="H1392" s="78" t="n">
        <x:f>U1391</x:f>
        <x:v>1891599.0420636872</x:v>
      </x:c>
      <x:c r="I1392" s="78" t="n">
        <x:f>V1391</x:f>
        <x:v>39316.860826769815</x:v>
      </x:c>
      <x:c r="J1392" s="79" t="n">
        <x:f>IF(H1392&gt;0,I1392/H1392,0)</x:f>
        <x:v>0.020784986644884373</x:v>
      </x:c>
      <x:c r="K1392" s="80" t="n">
        <x:f>(H1392*J1392+I1392)*'Inputs'!$D$47*(1+'Inputs'!$G$47)^(B1392/30)</x:f>
        <x:v>157581.37731154144</x:v>
      </x:c>
      <x:c r="L1392" s="80" t="n">
        <x:f>MAX(0,K1392*'Inputs'!$E$47)</x:f>
        <x:v>7879.068865577072</x:v>
      </x:c>
      <x:c r="M1392" s="80" t="n">
        <x:f>MAX(0,-K1392*'Inputs'!$E$47)</x:f>
        <x:v>0</x:v>
      </x:c>
      <x:c r="N1392" s="78" t="n">
        <x:f>H1392*(L1392*(1-'Inputs'!$B$15))/(I1392+L1392*(1-'Inputs'!$B$15))</x:f>
        <x:v>313155.65926315525</x:v>
      </x:c>
      <x:c r="O1392" s="78" t="n">
        <x:f>H1392-N1392</x:f>
        <x:v>1578443.382800532</x:v>
      </x:c>
      <x:c r="P1392" s="78" t="n">
        <x:f>I1392+L1392*(1-'Inputs'!$B$17)</x:f>
        <x:v>47164.22317779728</x:v>
      </x:c>
      <x:c r="Q1392" s="78" t="n">
        <x:f>IF(J1392&gt;0,M1392/J1392,0)</x:f>
        <x:v>0</x:v>
      </x:c>
      <x:c r="R1392" s="78" t="n">
        <x:f>IF(B1392='Inputs'!$H$47,'Inputs'!$B$27*'Inputs'!$I$47,0)</x:f>
        <x:v>0</x:v>
      </x:c>
      <x:c r="S1392" s="78" t="n">
        <x:f>Q1392+G1392+R1392</x:f>
        <x:v>311859.7532370068</x:v>
      </x:c>
      <x:c r="T1392" s="78" t="n">
        <x:f>P1392*(S1392*(1-'Inputs'!$B$15))/(O1392+S1392*(1-'Inputs'!$B$15))</x:f>
        <x:v>7716.011060242514</x:v>
      </x:c>
      <x:c r="U1392" s="78" t="n">
        <x:f>O1392+S1392*(1-'Inputs'!$B$17)</x:f>
        <x:v>1889048.1672116355</x:v>
      </x:c>
      <x:c r="V1392" s="78" t="n">
        <x:f>P1392-T1392</x:f>
        <x:v>39448.212117554765</x:v>
      </x:c>
      <x:c r="W1392" s="79" t="n">
        <x:f>IF(U1392&gt;0,V1392/U1392,0)</x:f>
        <x:v>0.02088258669220861</x:v>
      </x:c>
      <x:c r="X1392" s="80" t="n">
        <x:f>W1392*('Inputs'!$B$6-AC1392)</x:f>
        <x:v>20784508.17520802</x:v>
      </x:c>
      <x:c r="Y1392" s="80" t="n">
        <x:f>2*V1392</x:f>
        <x:v>78896.42423510953</x:v>
      </x:c>
      <x:c r="Z1392" s="80" t="n">
        <x:f>K1392*'Inputs'!$B$16+(G1392+R1392)*J1392*'Inputs'!$B$16</x:f>
        <x:v>984.3802687058974</x:v>
      </x:c>
      <x:c r="AA1392" s="80" t="n">
        <x:f>K1392*(1+'Inputs'!$E$47)/2*'Inputs'!$B$17</x:f>
        <x:v>332.91840277086226</x:v>
      </x:c>
      <x:c r="AB1392" s="78" t="n">
        <x:f>(IF(J1392&gt;0,K1392*(1-'Inputs'!$E$47)/2/J1392,0)+G1392+R1392)*'Inputs'!$B$17</x:f>
        <x:v>15746.769728522308</x:v>
      </x:c>
      <x:c r="AC1392" s="78" t="n">
        <x:f>AC1391+AB1392</x:f>
        <x:v>4696665.142407054</x:v>
      </x:c>
      <x:c r="AD1392" s="80" t="n">
        <x:f>Z1392/(1+'Inputs'!$C$47)</x:f>
        <x:v>393.75210748235895</x:v>
      </x:c>
      <x:c r="AE1392" s="80" t="n">
        <x:f>Z1392-AD1392</x:f>
        <x:v>590.6281612235384</x:v>
      </x:c>
      <x:c r="AF1392" s="80" t="n">
        <x:f>D1392*W1392</x:f>
        <x:v>5518.078542666085</x:v>
      </x:c>
      <x:c r="AG1392" s="80" t="n">
        <x:f>C1392*W1392</x:f>
        <x:v>12875.516599554303</x:v>
      </x:c>
      <x:c r="AH1392" s="80" t="n">
        <x:f>2*'Inputs'!$B$8*'Inputs'!$C$47</x:f>
        <x:v>7500</x:v>
      </x:c>
      <x:c r="AI1392" s="81" t="n">
        <x:f>IF(AH1392&gt;0,(AE1392+AF1392)/AH1392*365,0)</x:f>
        <x:v>297.29039292262837</x:v>
      </x:c>
      <x:c r="AJ1392" s="81" t="n">
        <x:f>IF('Inputs'!$B$47&gt;0,AG1392/('Inputs'!$B$19*'Inputs'!$B$47)*365,0)</x:f>
        <x:v>469.95635588373204</x:v>
      </x:c>
      <x:c r="AK1392" s="81" t="n">
        <x:f>W1392/MAX($W$1099:W1392)-1</x:f>
        <x:v>-0.057627330965907886</x:v>
      </x:c>
      <x:c r="AL1392" s="83" t="n">
        <x:f>'Inputs'!$B$47</x:f>
        <x:v>1</x:v>
      </x:c>
      <x:c r="AM1392" s="83" t="n">
        <x:f>'Inputs'!$C$47</x:f>
        <x:v>1.5</x:v>
      </x:c>
      <x:c r="AN1392" s="83" t="n">
        <x:f>'Inputs'!$D$47</x:f>
        <x:v>1.5</x:v>
      </x:c>
      <x:c r="AO1392" s="81" t="n">
        <x:f>'Inputs'!$E$47</x:f>
        <x:v>0.05</x:v>
      </x:c>
    </x:row>
    <x:row r="1393">
      <x:c r="A1393" s="59" t="str">
        <x:v>Growth</x:v>
      </x:c>
      <x:c r="B1393" s="59" t="n">
        <x:v>295</x:v>
      </x:c>
      <x:c r="C1393" s="78" t="n">
        <x:f>(('Inputs'!$B$29*(3*295*'Inputs'!$B$12-295^2)/(2*'Inputs'!$B$12^2))-('Inputs'!$B$29*(3*294*'Inputs'!$B$12-294^2)/(2*'Inputs'!$B$12^2)))*'Inputs'!$B$47</x:f>
        <x:v>616242.0247701108</x:v>
      </x:c>
      <x:c r="D1393" s="78" t="n">
        <x:f>IF('Inputs'!$C$47&gt;0,('Inputs'!$B$30*(3*295*'Inputs'!$B$12-295^2)/(2*'Inputs'!$B$12^2))-('Inputs'!$B$30*(3*294*'Inputs'!$B$12-294^2)/(2*'Inputs'!$B$12^2)),0)</x:f>
        <x:v>264103.72490148246</x:v>
      </x:c>
      <x:c r="E1393" s="78" t="n">
        <x:f>C1393+D1393</x:f>
        <x:v>880345.7496715933</x:v>
      </x:c>
      <x:c r="F1393" s="78" t="n">
        <x:f>'Inputs'!$B$13*E1393+(1-'Inputs'!$B$13)/'Inputs'!$B$14*SUM(E1338:E1393)</x:f>
        <x:v>890563.4265340562</x:v>
      </x:c>
      <x:c r="G1393" s="78" t="n">
        <x:f>F1393*'Inputs'!$F$47</x:f>
        <x:v>311697.19928691967</x:v>
      </x:c>
      <x:c r="H1393" s="78" t="n">
        <x:f>U1392</x:f>
        <x:v>1889048.1672116355</x:v>
      </x:c>
      <x:c r="I1393" s="78" t="n">
        <x:f>V1392</x:f>
        <x:v>39448.212117554765</x:v>
      </x:c>
      <x:c r="J1393" s="79" t="n">
        <x:f>IF(H1393&gt;0,I1393/H1393,0)</x:f>
        <x:v>0.02088258669220861</x:v>
      </x:c>
      <x:c r="K1393" s="80" t="n">
        <x:f>(H1393*J1393+I1393)*'Inputs'!$D$47*(1+'Inputs'!$G$47)^(B1393/30)</x:f>
        <x:v>158263.69065247456</x:v>
      </x:c>
      <x:c r="L1393" s="80" t="n">
        <x:f>MAX(0,K1393*'Inputs'!$E$47)</x:f>
        <x:v>7913.184532623728</x:v>
      </x:c>
      <x:c r="M1393" s="80" t="n">
        <x:f>MAX(0,-K1393*'Inputs'!$E$47)</x:f>
        <x:v>0</x:v>
      </x:c>
      <x:c r="N1393" s="78" t="n">
        <x:f>H1393*(L1393*(1-'Inputs'!$B$15))/(I1393+L1393*(1-'Inputs'!$B$15))</x:f>
        <x:v>312990.5670098105</x:v>
      </x:c>
      <x:c r="O1393" s="78" t="n">
        <x:f>H1393-N1393</x:f>
        <x:v>1576057.6002018251</x:v>
      </x:c>
      <x:c r="P1393" s="78" t="n">
        <x:f>I1393+L1393*(1-'Inputs'!$B$17)</x:f>
        <x:v>47329.552849242384</x:v>
      </x:c>
      <x:c r="Q1393" s="78" t="n">
        <x:f>IF(J1393&gt;0,M1393/J1393,0)</x:f>
        <x:v>0</x:v>
      </x:c>
      <x:c r="R1393" s="78" t="n">
        <x:f>IF(B1393='Inputs'!$H$47,'Inputs'!$B$27*'Inputs'!$I$47,0)</x:f>
        <x:v>0</x:v>
      </x:c>
      <x:c r="S1393" s="78" t="n">
        <x:f>Q1393+G1393+R1393</x:f>
        <x:v>311697.19928691967</x:v>
      </x:c>
      <x:c r="T1393" s="78" t="n">
        <x:f>P1393*(S1393*(1-'Inputs'!$B$15))/(O1393+S1393*(1-'Inputs'!$B$15))</x:f>
        <x:v>7749.4805436175775</x:v>
      </x:c>
      <x:c r="U1393" s="78" t="n">
        <x:f>O1393+S1393*(1-'Inputs'!$B$17)</x:f>
        <x:v>1886500.4848034857</x:v>
      </x:c>
      <x:c r="V1393" s="78" t="n">
        <x:f>P1393-T1393</x:f>
        <x:v>39580.07230562481</x:v>
      </x:c>
      <x:c r="W1393" s="79" t="n">
        <x:f>IF(U1393&gt;0,V1393/U1393,0)</x:f>
        <x:v>0.02098068493724655</x:v>
      </x:c>
      <x:c r="X1393" s="80" t="n">
        <x:f>W1393*('Inputs'!$B$6-AC1393)</x:f>
        <x:v>20881815.432045188</x:v>
      </x:c>
      <x:c r="Y1393" s="80" t="n">
        <x:f>2*V1393</x:f>
        <x:v>79160.14461124962</x:v>
      </x:c>
      <x:c r="Z1393" s="80" t="n">
        <x:f>K1393*'Inputs'!$B$16+(G1393+R1393)*J1393*'Inputs'!$B$16</x:f>
        <x:v>988.6364066298138</x:v>
      </x:c>
      <x:c r="AA1393" s="80" t="n">
        <x:f>K1393*(1+'Inputs'!$E$47)/2*'Inputs'!$B$17</x:f>
        <x:v>334.35990982917167</x:v>
      </x:c>
      <x:c r="AB1393" s="78" t="n">
        <x:f>(IF(J1393&gt;0,K1393*(1-'Inputs'!$E$47)/2/J1393,0)+G1393+R1393)*'Inputs'!$B$17</x:f>
        <x:v>15740.839432020139</x:v>
      </x:c>
      <x:c r="AC1393" s="78" t="n">
        <x:f>AC1392+AB1393</x:f>
        <x:v>4712405.981839074</x:v>
      </x:c>
      <x:c r="AD1393" s="80" t="n">
        <x:f>Z1393/(1+'Inputs'!$C$47)</x:f>
        <x:v>395.4545626519255</x:v>
      </x:c>
      <x:c r="AE1393" s="80" t="n">
        <x:f>Z1393-AD1393</x:f>
        <x:v>593.1818439778883</x:v>
      </x:c>
      <x:c r="AF1393" s="80" t="n">
        <x:f>D1393*W1393</x:f>
        <x:v>5541.07704291124</x:v>
      </x:c>
      <x:c r="AG1393" s="80" t="n">
        <x:f>C1393*W1393</x:f>
        <x:v>12929.17976679258</x:v>
      </x:c>
      <x:c r="AH1393" s="80" t="n">
        <x:f>2*'Inputs'!$B$8*'Inputs'!$C$47</x:f>
        <x:v>7500</x:v>
      </x:c>
      <x:c r="AI1393" s="81" t="n">
        <x:f>IF(AH1393&gt;0,(AE1393+AF1393)/AH1393*365,0)</x:f>
        <x:v>298.5339324952709</x:v>
      </x:c>
      <x:c r="AJ1393" s="81" t="n">
        <x:f>IF('Inputs'!$B$47&gt;0,AG1393/('Inputs'!$B$19*'Inputs'!$B$47)*365,0)</x:f>
        <x:v>471.91506148792917</x:v>
      </x:c>
      <x:c r="AK1393" s="81" t="n">
        <x:f>W1393/MAX($W$1099:W1393)-1</x:f>
        <x:v>-0.053200431829008576</x:v>
      </x:c>
      <x:c r="AL1393" s="83" t="n">
        <x:f>'Inputs'!$B$47</x:f>
        <x:v>1</x:v>
      </x:c>
      <x:c r="AM1393" s="83" t="n">
        <x:f>'Inputs'!$C$47</x:f>
        <x:v>1.5</x:v>
      </x:c>
      <x:c r="AN1393" s="83" t="n">
        <x:f>'Inputs'!$D$47</x:f>
        <x:v>1.5</x:v>
      </x:c>
      <x:c r="AO1393" s="81" t="n">
        <x:f>'Inputs'!$E$47</x:f>
        <x:v>0.05</x:v>
      </x:c>
    </x:row>
    <x:row r="1394">
      <x:c r="A1394" s="59" t="str">
        <x:v>Growth</x:v>
      </x:c>
      <x:c r="B1394" s="59" t="n">
        <x:v>296</x:v>
      </x:c>
      <x:c r="C1394" s="78" t="n">
        <x:f>(('Inputs'!$B$29*(3*296*'Inputs'!$B$12-296^2)/(2*'Inputs'!$B$12^2))-('Inputs'!$B$29*(3*295*'Inputs'!$B$12-295^2)/(2*'Inputs'!$B$12^2)))*'Inputs'!$B$47</x:f>
        <x:v>615916.9168699682</x:v>
      </x:c>
      <x:c r="D1394" s="78" t="n">
        <x:f>IF('Inputs'!$C$47&gt;0,('Inputs'!$B$30*(3*296*'Inputs'!$B$12-296^2)/(2*'Inputs'!$B$12^2))-('Inputs'!$B$30*(3*295*'Inputs'!$B$12-295^2)/(2*'Inputs'!$B$12^2)),0)</x:f>
        <x:v>263964.39294426143</x:v>
      </x:c>
      <x:c r="E1394" s="78" t="n">
        <x:f>C1394+D1394</x:f>
        <x:v>879881.3098142296</x:v>
      </x:c>
      <x:c r="F1394" s="78" t="n">
        <x:f>'Inputs'!$B$13*E1394+(1-'Inputs'!$B$13)/'Inputs'!$B$14*SUM(E1339:E1394)</x:f>
        <x:v>890098.9866766762</x:v>
      </x:c>
      <x:c r="G1394" s="78" t="n">
        <x:f>F1394*'Inputs'!$F$47</x:f>
        <x:v>311534.64533683663</x:v>
      </x:c>
      <x:c r="H1394" s="78" t="n">
        <x:f>U1393</x:f>
        <x:v>1886500.4848034857</x:v>
      </x:c>
      <x:c r="I1394" s="78" t="n">
        <x:f>V1393</x:f>
        <x:v>39580.07230562481</x:v>
      </x:c>
      <x:c r="J1394" s="79" t="n">
        <x:f>IF(H1394&gt;0,I1394/H1394,0)</x:f>
        <x:v>0.02098068493724655</x:v>
      </x:c>
      <x:c r="K1394" s="80" t="n">
        <x:f>(H1394*J1394+I1394)*'Inputs'!$D$47*(1+'Inputs'!$G$47)^(B1394/30)</x:f>
        <x:v>158949.23975820065</x:v>
      </x:c>
      <x:c r="L1394" s="80" t="n">
        <x:f>MAX(0,K1394*'Inputs'!$E$47)</x:f>
        <x:v>7947.461987910033</x:v>
      </x:c>
      <x:c r="M1394" s="80" t="n">
        <x:f>MAX(0,-K1394*'Inputs'!$E$47)</x:f>
        <x:v>0</x:v>
      </x:c>
      <x:c r="N1394" s="78" t="n">
        <x:f>H1394*(L1394*(1-'Inputs'!$B$15))/(I1394+L1394*(1-'Inputs'!$B$15))</x:f>
        <x:v>312825.47877209</x:v>
      </x:c>
      <x:c r="O1394" s="78" t="n">
        <x:f>H1394-N1394</x:f>
        <x:v>1573675.0060313956</x:v>
      </x:c>
      <x:c r="P1394" s="78" t="n">
        <x:f>I1394+L1394*(1-'Inputs'!$B$17)</x:f>
        <x:v>47495.55255515291</x:v>
      </x:c>
      <x:c r="Q1394" s="78" t="n">
        <x:f>IF(J1394&gt;0,M1394/J1394,0)</x:f>
        <x:v>0</x:v>
      </x:c>
      <x:c r="R1394" s="78" t="n">
        <x:f>IF(B1394='Inputs'!$H$47,'Inputs'!$B$27*'Inputs'!$I$47,0)</x:f>
        <x:v>0</x:v>
      </x:c>
      <x:c r="S1394" s="78" t="n">
        <x:f>Q1394+G1394+R1394</x:f>
        <x:v>311534.64533683663</x:v>
      </x:c>
      <x:c r="T1394" s="78" t="n">
        <x:f>P1394*(S1394*(1-'Inputs'!$B$15))/(O1394+S1394*(1-'Inputs'!$B$15))</x:f>
        <x:v>7783.108944589153</x:v>
      </x:c>
      <x:c r="U1394" s="78" t="n">
        <x:f>O1394+S1394*(1-'Inputs'!$B$17)</x:f>
        <x:v>1883955.9908236172</x:v>
      </x:c>
      <x:c r="V1394" s="78" t="n">
        <x:f>P1394-T1394</x:f>
        <x:v>39712.44361056376</x:v>
      </x:c>
      <x:c r="W1394" s="79" t="n">
        <x:f>IF(U1394&gt;0,V1394/U1394,0)</x:f>
        <x:v>0.02107928412552912</x:v>
      </x:c>
      <x:c r="X1394" s="80" t="n">
        <x:f>W1394*('Inputs'!$B$6-AC1394)</x:f>
        <x:v>20979618.300302286</x:v>
      </x:c>
      <x:c r="Y1394" s="80" t="n">
        <x:f>2*V1394</x:f>
        <x:v>79424.88722112752</x:v>
      </x:c>
      <x:c r="Z1394" s="80" t="n">
        <x:f>K1394*'Inputs'!$B$16+(G1394+R1394)*J1394*'Inputs'!$B$16</x:f>
        <x:v>992.912699994298</x:v>
      </x:c>
      <x:c r="AA1394" s="80" t="n">
        <x:f>K1394*(1+'Inputs'!$E$47)/2*'Inputs'!$B$17</x:f>
        <x:v>335.8082530102831</x:v>
      </x:c>
      <x:c r="AB1394" s="78" t="n">
        <x:f>(IF(J1394&gt;0,K1394*(1-'Inputs'!$E$47)/2/J1394,0)+G1394+R1394)*'Inputs'!$B$17</x:f>
        <x:v>15734.90915671229</x:v>
      </x:c>
      <x:c r="AC1394" s="78" t="n">
        <x:f>AC1393+AB1394</x:f>
        <x:v>4728140.8909957865</x:v>
      </x:c>
      <x:c r="AD1394" s="80" t="n">
        <x:f>Z1394/(1+'Inputs'!$C$47)</x:f>
        <x:v>397.1650799977192</x:v>
      </x:c>
      <x:c r="AE1394" s="80" t="n">
        <x:f>Z1394-AD1394</x:f>
        <x:v>595.7476199965788</x:v>
      </x:c>
      <x:c r="AF1394" s="80" t="n">
        <x:f>D1394*W1394</x:f>
        <x:v>5564.1804378949</x:v>
      </x:c>
      <x:c r="AG1394" s="80" t="n">
        <x:f>C1394*W1394</x:f>
        <x:v>12983.087688421958</x:v>
      </x:c>
      <x:c r="AH1394" s="80" t="n">
        <x:f>2*'Inputs'!$B$8*'Inputs'!$C$47</x:f>
        <x:v>7500</x:v>
      </x:c>
      <x:c r="AI1394" s="81" t="n">
        <x:f>IF(AH1394&gt;0,(AE1394+AF1394)/AH1394*365,0)</x:f>
        <x:v>299.78316548405195</x:v>
      </x:c>
      <x:c r="AJ1394" s="81" t="n">
        <x:f>IF('Inputs'!$B$47&gt;0,AG1394/('Inputs'!$B$19*'Inputs'!$B$47)*365,0)</x:f>
        <x:v>473.88270062740145</x:v>
      </x:c>
      <x:c r="AK1394" s="81" t="n">
        <x:f>W1394/MAX($W$1099:W1394)-1</x:f>
        <x:v>-0.04875092652605173</x:v>
      </x:c>
      <x:c r="AL1394" s="83" t="n">
        <x:f>'Inputs'!$B$47</x:f>
        <x:v>1</x:v>
      </x:c>
      <x:c r="AM1394" s="83" t="n">
        <x:f>'Inputs'!$C$47</x:f>
        <x:v>1.5</x:v>
      </x:c>
      <x:c r="AN1394" s="83" t="n">
        <x:f>'Inputs'!$D$47</x:f>
        <x:v>1.5</x:v>
      </x:c>
      <x:c r="AO1394" s="81" t="n">
        <x:f>'Inputs'!$E$47</x:f>
        <x:v>0.05</x:v>
      </x:c>
    </x:row>
    <x:row r="1395">
      <x:c r="A1395" s="59" t="str">
        <x:v>Growth</x:v>
      </x:c>
      <x:c r="B1395" s="59" t="n">
        <x:v>297</x:v>
      </x:c>
      <x:c r="C1395" s="78" t="n">
        <x:f>(('Inputs'!$B$29*(3*297*'Inputs'!$B$12-297^2)/(2*'Inputs'!$B$12^2))-('Inputs'!$B$29*(3*296*'Inputs'!$B$12-296^2)/(2*'Inputs'!$B$12^2)))*'Inputs'!$B$47</x:f>
        <x:v>615591.8089697659</x:v>
      </x:c>
      <x:c r="D1395" s="78" t="n">
        <x:f>IF('Inputs'!$C$47&gt;0,('Inputs'!$B$30*(3*297*'Inputs'!$B$12-297^2)/(2*'Inputs'!$B$12^2))-('Inputs'!$B$30*(3*296*'Inputs'!$B$12-296^2)/(2*'Inputs'!$B$12^2)),0)</x:f>
        <x:v>263825.0609870553</x:v>
      </x:c>
      <x:c r="E1395" s="78" t="n">
        <x:f>C1395+D1395</x:f>
        <x:v>879416.8699568212</x:v>
      </x:c>
      <x:c r="F1395" s="78" t="n">
        <x:f>'Inputs'!$B$13*E1395+(1-'Inputs'!$B$13)/'Inputs'!$B$14*SUM(E1340:E1395)</x:f>
        <x:v>889634.546819287</x:v>
      </x:c>
      <x:c r="G1395" s="78" t="n">
        <x:f>F1395*'Inputs'!$F$47</x:f>
        <x:v>311372.09138675046</x:v>
      </x:c>
      <x:c r="H1395" s="78" t="n">
        <x:f>U1394</x:f>
        <x:v>1883955.9908236172</x:v>
      </x:c>
      <x:c r="I1395" s="78" t="n">
        <x:f>V1394</x:f>
        <x:v>39712.44361056376</x:v>
      </x:c>
      <x:c r="J1395" s="79" t="n">
        <x:f>IF(H1395&gt;0,I1395/H1395,0)</x:f>
        <x:v>0.02107928412552912</x:v>
      </x:c>
      <x:c r="K1395" s="80" t="n">
        <x:f>(H1395*J1395+I1395)*'Inputs'!$D$47*(1+'Inputs'!$G$47)^(B1395/30)</x:f>
        <x:v>159638.04128217787</x:v>
      </x:c>
      <x:c r="L1395" s="80" t="n">
        <x:f>MAX(0,K1395*'Inputs'!$E$47)</x:f>
        <x:v>7981.902064108894</x:v>
      </x:c>
      <x:c r="M1395" s="80" t="n">
        <x:f>MAX(0,-K1395*'Inputs'!$E$47)</x:f>
        <x:v>0</x:v>
      </x:c>
      <x:c r="N1395" s="78" t="n">
        <x:f>H1395*(L1395*(1-'Inputs'!$B$15))/(I1395+L1395*(1-'Inputs'!$B$15))</x:f>
        <x:v>312660.3945450833</x:v>
      </x:c>
      <x:c r="O1395" s="78" t="n">
        <x:f>H1395-N1395</x:f>
        <x:v>1571295.5962785338</x:v>
      </x:c>
      <x:c r="P1395" s="78" t="n">
        <x:f>I1395+L1395*(1-'Inputs'!$B$17)</x:f>
        <x:v>47662.22534443479</x:v>
      </x:c>
      <x:c r="Q1395" s="78" t="n">
        <x:f>IF(J1395&gt;0,M1395/J1395,0)</x:f>
        <x:v>0</x:v>
      </x:c>
      <x:c r="R1395" s="78" t="n">
        <x:f>IF(B1395='Inputs'!$H$47,'Inputs'!$B$27*'Inputs'!$I$47,0)</x:f>
        <x:v>0</x:v>
      </x:c>
      <x:c r="S1395" s="78" t="n">
        <x:f>Q1395+G1395+R1395</x:f>
        <x:v>311372.09138675046</x:v>
      </x:c>
      <x:c r="T1395" s="78" t="n">
        <x:f>P1395*(S1395*(1-'Inputs'!$B$15))/(O1395+S1395*(1-'Inputs'!$B$15))</x:f>
        <x:v>7816.8970818010885</x:v>
      </x:c>
      <x:c r="U1395" s="78" t="n">
        <x:f>O1395+S1395*(1-'Inputs'!$B$17)</x:f>
        <x:v>1881414.6812613134</x:v>
      </x:c>
      <x:c r="V1395" s="78" t="n">
        <x:f>P1395-T1395</x:f>
        <x:v>39845.3282626337</x:v>
      </x:c>
      <x:c r="W1395" s="79" t="n">
        <x:f>IF(U1395&gt;0,V1395/U1395,0)</x:f>
        <x:v>0.02117838701881561</x:v>
      </x:c>
      <x:c r="X1395" s="80" t="n">
        <x:f>W1395*('Inputs'!$B$6-AC1395)</x:f>
        <x:v>21077919.506744035</x:v>
      </x:c>
      <x:c r="Y1395" s="80" t="n">
        <x:f>2*V1395</x:f>
        <x:v>79690.6565252674</x:v>
      </x:c>
      <x:c r="Z1395" s="80" t="n">
        <x:f>K1395*'Inputs'!$B$16+(G1395+R1395)*J1395*'Inputs'!$B$16</x:f>
        <x:v>997.2092523916765</x:v>
      </x:c>
      <x:c r="AA1395" s="80" t="n">
        <x:f>K1395*(1+'Inputs'!$E$47)/2*'Inputs'!$B$17</x:f>
        <x:v>337.2634674975589</x:v>
      </x:c>
      <x:c r="AB1395" s="78" t="n">
        <x:f>(IF(J1395&gt;0,K1395*(1-'Inputs'!$E$47)/2/J1395,0)+G1395+R1395)*'Inputs'!$B$17</x:f>
        <x:v>15728.978901069879</x:v>
      </x:c>
      <x:c r="AC1395" s="78" t="n">
        <x:f>AC1394+AB1395</x:f>
        <x:v>4743869.869896856</x:v>
      </x:c>
      <x:c r="AD1395" s="80" t="n">
        <x:f>Z1395/(1+'Inputs'!$C$47)</x:f>
        <x:v>398.8837009566706</x:v>
      </x:c>
      <x:c r="AE1395" s="80" t="n">
        <x:f>Z1395-AD1395</x:f>
        <x:v>598.3255514350059</x:v>
      </x:c>
      <x:c r="AF1395" s="80" t="n">
        <x:f>D1395*W1395</x:f>
        <x:v>5587.389246846488</x:v>
      </x:c>
      <x:c r="AG1395" s="80" t="n">
        <x:f>C1395*W1395</x:f>
        <x:v>13037.241575974509</x:v>
      </x:c>
      <x:c r="AH1395" s="80" t="n">
        <x:f>2*'Inputs'!$B$8*'Inputs'!$C$47</x:f>
        <x:v>7500</x:v>
      </x:c>
      <x:c r="AI1395" s="81" t="n">
        <x:f>IF(AH1395&gt;0,(AE1395+AF1395)/AH1395*365,0)</x:f>
        <x:v>301.03812018303273</x:v>
      </x:c>
      <x:c r="AJ1395" s="81" t="n">
        <x:f>IF('Inputs'!$B$47&gt;0,AG1395/('Inputs'!$B$19*'Inputs'!$B$47)*365,0)</x:f>
        <x:v>475.8593175230696</x:v>
      </x:c>
      <x:c r="AK1395" s="81" t="n">
        <x:f>W1395/MAX($W$1099:W1395)-1</x:f>
        <x:v>-0.04427869042657295</x:v>
      </x:c>
      <x:c r="AL1395" s="83" t="n">
        <x:f>'Inputs'!$B$47</x:f>
        <x:v>1</x:v>
      </x:c>
      <x:c r="AM1395" s="83" t="n">
        <x:f>'Inputs'!$C$47</x:f>
        <x:v>1.5</x:v>
      </x:c>
      <x:c r="AN1395" s="83" t="n">
        <x:f>'Inputs'!$D$47</x:f>
        <x:v>1.5</x:v>
      </x:c>
      <x:c r="AO1395" s="81" t="n">
        <x:f>'Inputs'!$E$47</x:f>
        <x:v>0.05</x:v>
      </x:c>
    </x:row>
    <x:row r="1396">
      <x:c r="A1396" s="59" t="str">
        <x:v>Growth</x:v>
      </x:c>
      <x:c r="B1396" s="59" t="n">
        <x:v>298</x:v>
      </x:c>
      <x:c r="C1396" s="78" t="n">
        <x:f>(('Inputs'!$B$29*(3*298*'Inputs'!$B$12-298^2)/(2*'Inputs'!$B$12^2))-('Inputs'!$B$29*(3*297*'Inputs'!$B$12-297^2)/(2*'Inputs'!$B$12^2)))*'Inputs'!$B$47</x:f>
        <x:v>615266.7010696232</x:v>
      </x:c>
      <x:c r="D1396" s="78" t="n">
        <x:f>IF('Inputs'!$C$47&gt;0,('Inputs'!$B$30*(3*298*'Inputs'!$B$12-298^2)/(2*'Inputs'!$B$12^2))-('Inputs'!$B$30*(3*297*'Inputs'!$B$12-297^2)/(2*'Inputs'!$B$12^2)),0)</x:f>
        <x:v>263685.72902983427</x:v>
      </x:c>
      <x:c r="E1396" s="78" t="n">
        <x:f>C1396+D1396</x:f>
        <x:v>878952.4300994575</x:v>
      </x:c>
      <x:c r="F1396" s="78" t="n">
        <x:f>'Inputs'!$B$13*E1396+(1-'Inputs'!$B$13)/'Inputs'!$B$14*SUM(E1341:E1396)</x:f>
        <x:v>889170.1069619069</x:v>
      </x:c>
      <x:c r="G1396" s="78" t="n">
        <x:f>F1396*'Inputs'!$F$47</x:f>
        <x:v>311209.53743666736</x:v>
      </x:c>
      <x:c r="H1396" s="78" t="n">
        <x:f>U1395</x:f>
        <x:v>1881414.6812613134</x:v>
      </x:c>
      <x:c r="I1396" s="78" t="n">
        <x:f>V1395</x:f>
        <x:v>39845.3282626337</x:v>
      </x:c>
      <x:c r="J1396" s="79" t="n">
        <x:f>IF(H1396&gt;0,I1396/H1396,0)</x:f>
        <x:v>0.02117838701881561</x:v>
      </x:c>
      <x:c r="K1396" s="80" t="n">
        <x:f>(H1396*J1396+I1396)*'Inputs'!$D$47*(1+'Inputs'!$G$47)^(B1396/30)</x:f>
        <x:v>160330.11197009747</x:v>
      </x:c>
      <x:c r="L1396" s="80" t="n">
        <x:f>MAX(0,K1396*'Inputs'!$E$47)</x:f>
        <x:v>8016.505598504874</x:v>
      </x:c>
      <x:c r="M1396" s="80" t="n">
        <x:f>MAX(0,-K1396*'Inputs'!$E$47)</x:f>
        <x:v>0</x:v>
      </x:c>
      <x:c r="N1396" s="78" t="n">
        <x:f>H1396*(L1396*(1-'Inputs'!$B$15))/(I1396+L1396*(1-'Inputs'!$B$15))</x:f>
        <x:v>312495.314323884</x:v>
      </x:c>
      <x:c r="O1396" s="78" t="n">
        <x:f>H1396-N1396</x:f>
        <x:v>1568919.3669374294</x:v>
      </x:c>
      <x:c r="P1396" s="78" t="n">
        <x:f>I1396+L1396*(1-'Inputs'!$B$17)</x:f>
        <x:v>47829.57428126532</x:v>
      </x:c>
      <x:c r="Q1396" s="78" t="n">
        <x:f>IF(J1396&gt;0,M1396/J1396,0)</x:f>
        <x:v>0</x:v>
      </x:c>
      <x:c r="R1396" s="78" t="n">
        <x:f>IF(B1396='Inputs'!$H$47,'Inputs'!$B$27*'Inputs'!$I$47,0)</x:f>
        <x:v>0</x:v>
      </x:c>
      <x:c r="S1396" s="78" t="n">
        <x:f>Q1396+G1396+R1396</x:f>
        <x:v>311209.53743666736</x:v>
      </x:c>
      <x:c r="T1396" s="78" t="n">
        <x:f>P1396*(S1396*(1-'Inputs'!$B$15))/(O1396+S1396*(1-'Inputs'!$B$15))</x:f>
        <x:v>7850.845778434778</x:v>
      </x:c>
      <x:c r="U1396" s="78" t="n">
        <x:f>O1396+S1396*(1-'Inputs'!$B$17)</x:f>
        <x:v>1878876.5521107703</x:v>
      </x:c>
      <x:c r="V1396" s="78" t="n">
        <x:f>P1396-T1396</x:f>
        <x:v>39978.72850283054</x:v>
      </x:c>
      <x:c r="W1396" s="79" t="n">
        <x:f>IF(U1396&gt;0,V1396/U1396,0)</x:f>
        <x:v>0.02127799639519562</x:v>
      </x:c>
      <x:c r="X1396" s="80" t="n">
        <x:f>W1396*('Inputs'!$B$6-AC1396)</x:f>
        <x:v>21176721.79423189</x:v>
      </x:c>
      <x:c r="Y1396" s="80" t="n">
        <x:f>2*V1396</x:f>
        <x:v>79957.45700566108</x:v>
      </x:c>
      <x:c r="Z1396" s="80" t="n">
        <x:f>K1396*'Inputs'!$B$16+(G1396+R1396)*J1396*'Inputs'!$B$16</x:f>
        <x:v>1001.5261679872667</x:v>
      </x:c>
      <x:c r="AA1396" s="80" t="n">
        <x:f>K1396*(1+'Inputs'!$E$47)/2*'Inputs'!$B$17</x:f>
        <x:v>338.72558866922003</x:v>
      </x:c>
      <x:c r="AB1396" s="78" t="n">
        <x:f>(IF(J1396&gt;0,K1396*(1-'Inputs'!$E$47)/2/J1396,0)+G1396+R1396)*'Inputs'!$B$17</x:f>
        <x:v>15723.048663561738</x:v>
      </x:c>
      <x:c r="AC1396" s="78" t="n">
        <x:f>AC1395+AB1396</x:f>
        <x:v>4759592.918560418</x:v>
      </x:c>
      <x:c r="AD1396" s="80" t="n">
        <x:f>Z1396/(1+'Inputs'!$C$47)</x:f>
        <x:v>400.6104671949067</x:v>
      </x:c>
      <x:c r="AE1396" s="80" t="n">
        <x:f>Z1396-AD1396</x:f>
        <x:v>600.91570079236</x:v>
      </x:c>
      <x:c r="AF1396" s="80" t="n">
        <x:f>D1396*W1396</x:f>
        <x:v>5610.703991761343</x:v>
      </x:c>
      <x:c r="AG1396" s="80" t="n">
        <x:f>C1396*W1396</x:f>
        <x:v>13091.642647443345</x:v>
      </x:c>
      <x:c r="AH1396" s="80" t="n">
        <x:f>2*'Inputs'!$B$8*'Inputs'!$C$47</x:f>
        <x:v>7500</x:v>
      </x:c>
      <x:c r="AI1396" s="81" t="n">
        <x:f>IF(AH1396&gt;0,(AE1396+AF1396)/AH1396*365,0)</x:f>
        <x:v>302.2988250376135</x:v>
      </x:c>
      <x:c r="AJ1396" s="81" t="n">
        <x:f>IF('Inputs'!$B$47&gt;0,AG1396/('Inputs'!$B$19*'Inputs'!$B$47)*365,0)</x:f>
        <x:v>477.84495663168207</x:v>
      </x:c>
      <x:c r="AK1396" s="81" t="n">
        <x:f>W1396/MAX($W$1099:W1396)-1</x:f>
        <x:v>-0.03978359816316701</x:v>
      </x:c>
      <x:c r="AL1396" s="83" t="n">
        <x:f>'Inputs'!$B$47</x:f>
        <x:v>1</x:v>
      </x:c>
      <x:c r="AM1396" s="83" t="n">
        <x:f>'Inputs'!$C$47</x:f>
        <x:v>1.5</x:v>
      </x:c>
      <x:c r="AN1396" s="83" t="n">
        <x:f>'Inputs'!$D$47</x:f>
        <x:v>1.5</x:v>
      </x:c>
      <x:c r="AO1396" s="81" t="n">
        <x:f>'Inputs'!$E$47</x:f>
        <x:v>0.05</x:v>
      </x:c>
    </x:row>
    <x:row r="1397">
      <x:c r="A1397" s="59" t="str">
        <x:v>Growth</x:v>
      </x:c>
      <x:c r="B1397" s="59" t="n">
        <x:v>299</x:v>
      </x:c>
      <x:c r="C1397" s="78" t="n">
        <x:f>(('Inputs'!$B$29*(3*299*'Inputs'!$B$12-299^2)/(2*'Inputs'!$B$12^2))-('Inputs'!$B$29*(3*298*'Inputs'!$B$12-298^2)/(2*'Inputs'!$B$12^2)))*'Inputs'!$B$47</x:f>
        <x:v>614941.5931694508</x:v>
      </x:c>
      <x:c r="D1397" s="78" t="n">
        <x:f>IF('Inputs'!$C$47&gt;0,('Inputs'!$B$30*(3*299*'Inputs'!$B$12-299^2)/(2*'Inputs'!$B$12^2))-('Inputs'!$B$30*(3*298*'Inputs'!$B$12-298^2)/(2*'Inputs'!$B$12^2)),0)</x:f>
        <x:v>263546.39707262814</x:v>
      </x:c>
      <x:c r="E1397" s="78" t="n">
        <x:f>C1397+D1397</x:f>
        <x:v>878487.9902420789</x:v>
      </x:c>
      <x:c r="F1397" s="78" t="n">
        <x:f>'Inputs'!$B$13*E1397+(1-'Inputs'!$B$13)/'Inputs'!$B$14*SUM(E1342:E1397)</x:f>
        <x:v>888705.6671045239</x:v>
      </x:c>
      <x:c r="G1397" s="78" t="n">
        <x:f>F1397*'Inputs'!$F$47</x:f>
        <x:v>311046.98348658334</x:v>
      </x:c>
      <x:c r="H1397" s="78" t="n">
        <x:f>U1396</x:f>
        <x:v>1878876.5521107703</x:v>
      </x:c>
      <x:c r="I1397" s="78" t="n">
        <x:f>V1396</x:f>
        <x:v>39978.72850283054</x:v>
      </x:c>
      <x:c r="J1397" s="79" t="n">
        <x:f>IF(H1397&gt;0,I1397/H1397,0)</x:f>
        <x:v>0.02127799639519562</x:v>
      </x:c>
      <x:c r="K1397" s="80" t="n">
        <x:f>(H1397*J1397+I1397)*'Inputs'!$D$47*(1+'Inputs'!$G$47)^(B1397/30)</x:f>
        <x:v>161025.46866042828</x:v>
      </x:c>
      <x:c r="L1397" s="80" t="n">
        <x:f>MAX(0,K1397*'Inputs'!$E$47)</x:f>
        <x:v>8051.273433021414</x:v>
      </x:c>
      <x:c r="M1397" s="80" t="n">
        <x:f>MAX(0,-K1397*'Inputs'!$E$47)</x:f>
        <x:v>0</x:v>
      </x:c>
      <x:c r="N1397" s="78" t="n">
        <x:f>H1397*(L1397*(1-'Inputs'!$B$15))/(I1397+L1397*(1-'Inputs'!$B$15))</x:f>
        <x:v>312330.2381035932</x:v>
      </x:c>
      <x:c r="O1397" s="78" t="n">
        <x:f>H1397-N1397</x:f>
        <x:v>1566546.314007177</x:v>
      </x:c>
      <x:c r="P1397" s="78" t="n">
        <x:f>I1397+L1397*(1-'Inputs'!$B$17)</x:f>
        <x:v>47997.60244517581</x:v>
      </x:c>
      <x:c r="Q1397" s="78" t="n">
        <x:f>IF(J1397&gt;0,M1397/J1397,0)</x:f>
        <x:v>0</x:v>
      </x:c>
      <x:c r="R1397" s="78" t="n">
        <x:f>IF(B1397='Inputs'!$H$47,'Inputs'!$B$27*'Inputs'!$I$47,0)</x:f>
        <x:v>0</x:v>
      </x:c>
      <x:c r="S1397" s="78" t="n">
        <x:f>Q1397+G1397+R1397</x:f>
        <x:v>311046.98348658334</x:v>
      </x:c>
      <x:c r="T1397" s="78" t="n">
        <x:f>P1397*(S1397*(1-'Inputs'!$B$15))/(O1397+S1397*(1-'Inputs'!$B$15))</x:f>
        <x:v>7884.955862235402</x:v>
      </x:c>
      <x:c r="U1397" s="78" t="n">
        <x:f>O1397+S1397*(1-'Inputs'!$B$17)</x:f>
        <x:v>1876341.599371078</x:v>
      </x:c>
      <x:c r="V1397" s="78" t="n">
        <x:f>P1397-T1397</x:f>
        <x:v>40112.64658294041</x:v>
      </x:c>
      <x:c r="W1397" s="79" t="n">
        <x:f>IF(U1397&gt;0,V1397/U1397,0)</x:f>
        <x:v>0.02137811504919231</x:v>
      </x:c>
      <x:c r="X1397" s="80" t="n">
        <x:f>W1397*('Inputs'!$B$6-AC1397)</x:f>
        <x:v>21276027.921825696</x:v>
      </x:c>
      <x:c r="Y1397" s="80" t="n">
        <x:f>2*V1397</x:f>
        <x:v>80225.29316588082</x:v>
      </x:c>
      <x:c r="Z1397" s="80" t="n">
        <x:f>K1397*'Inputs'!$B$16+(G1397+R1397)*J1397*'Inputs'!$B$16</x:f>
        <x:v>1005.8635515227536</x:v>
      </x:c>
      <x:c r="AA1397" s="80" t="n">
        <x:f>K1397*(1+'Inputs'!$E$47)/2*'Inputs'!$B$17</x:f>
        <x:v>340.1946520994964</x:v>
      </x:c>
      <x:c r="AB1397" s="78" t="n">
        <x:f>(IF(J1397&gt;0,K1397*(1-'Inputs'!$E$47)/2/J1397,0)+G1397+R1397)*'Inputs'!$B$17</x:f>
        <x:v>15717.118442654437</x:v>
      </x:c>
      <x:c r="AC1397" s="78" t="n">
        <x:f>AC1396+AB1397</x:f>
        <x:v>4775310.037003073</x:v>
      </x:c>
      <x:c r="AD1397" s="80" t="n">
        <x:f>Z1397/(1+'Inputs'!$C$47)</x:f>
        <x:v>402.34542060910144</x:v>
      </x:c>
      <x:c r="AE1397" s="80" t="n">
        <x:f>Z1397-AD1397</x:f>
        <x:v>603.5181309136522</x:v>
      </x:c>
      <x:c r="AF1397" s="80" t="n">
        <x:f>D1397*W1397</x:f>
        <x:v>5634.1251974187635</x:v>
      </x:c>
      <x:c r="AG1397" s="80" t="n">
        <x:f>C1397*W1397</x:f>
        <x:v>13146.29212731013</x:v>
      </x:c>
      <x:c r="AH1397" s="80" t="n">
        <x:f>2*'Inputs'!$B$8*'Inputs'!$C$47</x:f>
        <x:v>7500</x:v>
      </x:c>
      <x:c r="AI1397" s="81" t="n">
        <x:f>IF(AH1397&gt;0,(AE1397+AF1397)/AH1397*365,0)</x:f>
        <x:v>303.5653086455109</x:v>
      </x:c>
      <x:c r="AJ1397" s="81" t="n">
        <x:f>IF('Inputs'!$B$47&gt;0,AG1397/('Inputs'!$B$19*'Inputs'!$B$47)*365,0)</x:f>
        <x:v>479.8396626468197</x:v>
      </x:c>
      <x:c r="AK1397" s="81" t="n">
        <x:f>W1397/MAX($W$1099:W1397)-1</x:f>
        <x:v>-0.03526552362682789</x:v>
      </x:c>
      <x:c r="AL1397" s="83" t="n">
        <x:f>'Inputs'!$B$47</x:f>
        <x:v>1</x:v>
      </x:c>
      <x:c r="AM1397" s="83" t="n">
        <x:f>'Inputs'!$C$47</x:f>
        <x:v>1.5</x:v>
      </x:c>
      <x:c r="AN1397" s="83" t="n">
        <x:f>'Inputs'!$D$47</x:f>
        <x:v>1.5</x:v>
      </x:c>
      <x:c r="AO1397" s="81" t="n">
        <x:f>'Inputs'!$E$47</x:f>
        <x:v>0.05</x:v>
      </x:c>
    </x:row>
    <x:row r="1398">
      <x:c r="A1398" s="59" t="str">
        <x:v>Growth</x:v>
      </x:c>
      <x:c r="B1398" s="59" t="n">
        <x:v>300</x:v>
      </x:c>
      <x:c r="C1398" s="78" t="n">
        <x:f>(('Inputs'!$B$29*(3*300*'Inputs'!$B$12-300^2)/(2*'Inputs'!$B$12^2))-('Inputs'!$B$29*(3*299*'Inputs'!$B$12-299^2)/(2*'Inputs'!$B$12^2)))*'Inputs'!$B$47</x:f>
        <x:v>614616.4852692783</x:v>
      </x:c>
      <x:c r="D1398" s="78" t="n">
        <x:f>IF('Inputs'!$C$47&gt;0,('Inputs'!$B$30*(3*300*'Inputs'!$B$12-300^2)/(2*'Inputs'!$B$12^2))-('Inputs'!$B$30*(3*299*'Inputs'!$B$12-299^2)/(2*'Inputs'!$B$12^2)),0)</x:f>
        <x:v>263407.0651154071</x:v>
      </x:c>
      <x:c r="E1398" s="78" t="n">
        <x:f>C1398+D1398</x:f>
        <x:v>878023.5503846854</x:v>
      </x:c>
      <x:c r="F1398" s="78" t="n">
        <x:f>'Inputs'!$B$13*E1398+(1-'Inputs'!$B$13)/'Inputs'!$B$14*SUM(E1343:E1398)</x:f>
        <x:v>888241.2272471378</x:v>
      </x:c>
      <x:c r="G1398" s="78" t="n">
        <x:f>F1398*'Inputs'!$F$47</x:f>
        <x:v>310884.4295364982</x:v>
      </x:c>
      <x:c r="H1398" s="78" t="n">
        <x:f>U1397</x:f>
        <x:v>1876341.599371078</x:v>
      </x:c>
      <x:c r="I1398" s="78" t="n">
        <x:f>V1397</x:f>
        <x:v>40112.64658294041</x:v>
      </x:c>
      <x:c r="J1398" s="79" t="n">
        <x:f>IF(H1398&gt;0,I1398/H1398,0)</x:f>
        <x:v>0.02137811504919231</x:v>
      </x:c>
      <x:c r="K1398" s="80" t="n">
        <x:f>(H1398*J1398+I1398)*'Inputs'!$D$47*(1+'Inputs'!$G$47)^(B1398/30)</x:f>
        <x:v>161724.12828496695</x:v>
      </x:c>
      <x:c r="L1398" s="80" t="n">
        <x:f>MAX(0,K1398*'Inputs'!$E$47)</x:f>
        <x:v>8086.206414248348</x:v>
      </x:c>
      <x:c r="M1398" s="80" t="n">
        <x:f>MAX(0,-K1398*'Inputs'!$E$47)</x:f>
        <x:v>0</x:v>
      </x:c>
      <x:c r="N1398" s="78" t="n">
        <x:f>H1398*(L1398*(1-'Inputs'!$B$15))/(I1398+L1398*(1-'Inputs'!$B$15))</x:f>
        <x:v>312165.165879317</x:v>
      </x:c>
      <x:c r="O1398" s="78" t="n">
        <x:f>H1398-N1398</x:f>
        <x:v>1564176.4334917609</x:v>
      </x:c>
      <x:c r="P1398" s="78" t="n">
        <x:f>I1398+L1398*(1-'Inputs'!$B$17)</x:f>
        <x:v>48166.31293113544</x:v>
      </x:c>
      <x:c r="Q1398" s="78" t="n">
        <x:f>IF(J1398&gt;0,M1398/J1398,0)</x:f>
        <x:v>0</x:v>
      </x:c>
      <x:c r="R1398" s="78" t="n">
        <x:f>IF(B1398='Inputs'!$H$47,'Inputs'!$B$27*'Inputs'!$I$47,0)</x:f>
        <x:v>0</x:v>
      </x:c>
      <x:c r="S1398" s="78" t="n">
        <x:f>Q1398+G1398+R1398</x:f>
        <x:v>310884.4295364982</x:v>
      </x:c>
      <x:c r="T1398" s="78" t="n">
        <x:f>P1398*(S1398*(1-'Inputs'!$B$15))/(O1398+S1398*(1-'Inputs'!$B$15))</x:f>
        <x:v>7919.228165539347</x:v>
      </x:c>
      <x:c r="U1398" s="78" t="n">
        <x:f>O1398+S1398*(1-'Inputs'!$B$17)</x:f>
        <x:v>1873809.8190462207</x:v>
      </x:c>
      <x:c r="V1398" s="78" t="n">
        <x:f>P1398-T1398</x:f>
        <x:v>40247.0847655961</x:v>
      </x:c>
      <x:c r="W1398" s="79" t="n">
        <x:f>IF(U1398&gt;0,V1398/U1398,0)</x:f>
        <x:v>0.02147874579186594</x:v>
      </x:c>
      <x:c r="X1398" s="80" t="n">
        <x:f>W1398*('Inputs'!$B$6-AC1398)</x:f>
        <x:v>21375840.66488558</x:v>
      </x:c>
      <x:c r="Y1398" s="80" t="n">
        <x:f>2*V1398</x:f>
        <x:v>80494.1695311922</x:v>
      </x:c>
      <x:c r="Z1398" s="80" t="n">
        <x:f>K1398*'Inputs'!$B$16+(G1398+R1398)*J1398*'Inputs'!$B$16</x:f>
        <x:v>1010.2215083196045</x:v>
      </x:c>
      <x:c r="AA1398" s="80" t="n">
        <x:f>K1398*(1+'Inputs'!$E$47)/2*'Inputs'!$B$17</x:f>
        <x:v>341.67069355978936</x:v>
      </x:c>
      <x:c r="AB1398" s="78" t="n">
        <x:f>(IF(J1398&gt;0,K1398*(1-'Inputs'!$E$47)/2/J1398,0)+G1398+R1398)*'Inputs'!$B$17</x:f>
        <x:v>15711.188236812235</x:v>
      </x:c>
      <x:c r="AC1398" s="78" t="n">
        <x:f>AC1397+AB1398</x:f>
        <x:v>4791021.225239885</x:v>
      </x:c>
      <x:c r="AD1398" s="80" t="n">
        <x:f>Z1398/(1+'Inputs'!$C$47)</x:f>
        <x:v>404.0886033278418</x:v>
      </x:c>
      <x:c r="AE1398" s="80" t="n">
        <x:f>Z1398-AD1398</x:f>
        <x:v>606.1329049917626</x:v>
      </x:c>
      <x:c r="AF1398" s="80" t="n">
        <x:f>D1398*W1398</x:f>
        <x:v>5657.653391395308</x:v>
      </x:c>
      <x:c r="AG1398" s="80" t="n">
        <x:f>C1398*W1398</x:f>
        <x:v>13201.191246588947</x:v>
      </x:c>
      <x:c r="AH1398" s="80" t="n">
        <x:f>2*'Inputs'!$B$8*'Inputs'!$C$47</x:f>
        <x:v>7500</x:v>
      </x:c>
      <x:c r="AI1398" s="81" t="n">
        <x:f>IF(AH1398&gt;0,(AE1398+AF1398)/AH1398*365,0)</x:f>
        <x:v>304.8375997575041</x:v>
      </x:c>
      <x:c r="AJ1398" s="81" t="n">
        <x:f>IF('Inputs'!$B$47&gt;0,AG1398/('Inputs'!$B$19*'Inputs'!$B$47)*365,0)</x:f>
        <x:v>481.8434805004966</x:v>
      </x:c>
      <x:c r="AK1398" s="81" t="n">
        <x:f>W1398/MAX($W$1099:W1398)-1</x:f>
        <x:v>-0.030724339962276637</x:v>
      </x:c>
      <x:c r="AL1398" s="83" t="n">
        <x:f>'Inputs'!$B$47</x:f>
        <x:v>1</x:v>
      </x:c>
      <x:c r="AM1398" s="83" t="n">
        <x:f>'Inputs'!$C$47</x:f>
        <x:v>1.5</x:v>
      </x:c>
      <x:c r="AN1398" s="83" t="n">
        <x:f>'Inputs'!$D$47</x:f>
        <x:v>1.5</x:v>
      </x:c>
      <x:c r="AO1398" s="81" t="n">
        <x:f>'Inputs'!$E$47</x:f>
        <x:v>0.05</x:v>
      </x:c>
    </x:row>
    <x:row r="1399">
      <x:c r="A1399" s="59" t="str">
        <x:v>Growth</x:v>
      </x:c>
      <x:c r="B1399" s="59" t="n">
        <x:v>301</x:v>
      </x:c>
      <x:c r="C1399" s="78" t="n">
        <x:f>(('Inputs'!$B$29*(3*301*'Inputs'!$B$12-301^2)/(2*'Inputs'!$B$12^2))-('Inputs'!$B$29*(3*300*'Inputs'!$B$12-300^2)/(2*'Inputs'!$B$12^2)))*'Inputs'!$B$47</x:f>
        <x:v>614291.3773691356</x:v>
      </x:c>
      <x:c r="D1399" s="78" t="n">
        <x:f>IF('Inputs'!$C$47&gt;0,('Inputs'!$B$30*(3*301*'Inputs'!$B$12-301^2)/(2*'Inputs'!$B$12^2))-('Inputs'!$B$30*(3*300*'Inputs'!$B$12-300^2)/(2*'Inputs'!$B$12^2)),0)</x:f>
        <x:v>263267.7331581861</x:v>
      </x:c>
      <x:c r="E1399" s="78" t="n">
        <x:f>C1399+D1399</x:f>
        <x:v>877559.1105273217</x:v>
      </x:c>
      <x:c r="F1399" s="78" t="n">
        <x:f>'Inputs'!$B$13*E1399+(1-'Inputs'!$B$13)/'Inputs'!$B$14*SUM(E1344:E1399)</x:f>
        <x:v>887776.7873897578</x:v>
      </x:c>
      <x:c r="G1399" s="78" t="n">
        <x:f>F1399*'Inputs'!$F$47</x:f>
        <x:v>310721.87558641523</x:v>
      </x:c>
      <x:c r="H1399" s="78" t="n">
        <x:f>U1398</x:f>
        <x:v>1873809.8190462207</x:v>
      </x:c>
      <x:c r="I1399" s="78" t="n">
        <x:f>V1398</x:f>
        <x:v>40247.0847655961</x:v>
      </x:c>
      <x:c r="J1399" s="79" t="n">
        <x:f>IF(H1399&gt;0,I1399/H1399,0)</x:f>
        <x:v>0.02147874579186594</x:v>
      </x:c>
      <x:c r="K1399" s="80" t="n">
        <x:f>(H1399*J1399+I1399)*'Inputs'!$D$47*(1+'Inputs'!$G$47)^(B1399/30)</x:f>
        <x:v>162426.10786939008</x:v>
      </x:c>
      <x:c r="L1399" s="80" t="n">
        <x:f>MAX(0,K1399*'Inputs'!$E$47)</x:f>
        <x:v>8121.305393469504</x:v>
      </x:c>
      <x:c r="M1399" s="80" t="n">
        <x:f>MAX(0,-K1399*'Inputs'!$E$47)</x:f>
        <x:v>0</x:v>
      </x:c>
      <x:c r="N1399" s="78" t="n">
        <x:f>H1399*(L1399*(1-'Inputs'!$B$15))/(I1399+L1399*(1-'Inputs'!$B$15))</x:f>
        <x:v>312000.0976461675</x:v>
      </x:c>
      <x:c r="O1399" s="78" t="n">
        <x:f>H1399-N1399</x:f>
        <x:v>1561809.7214000532</x:v>
      </x:c>
      <x:c r="P1399" s="78" t="n">
        <x:f>I1399+L1399*(1-'Inputs'!$B$17)</x:f>
        <x:v>48335.70884963514</x:v>
      </x:c>
      <x:c r="Q1399" s="78" t="n">
        <x:f>IF(J1399&gt;0,M1399/J1399,0)</x:f>
        <x:v>0</x:v>
      </x:c>
      <x:c r="R1399" s="78" t="n">
        <x:f>IF(B1399='Inputs'!$H$47,'Inputs'!$B$27*'Inputs'!$I$47,0)</x:f>
        <x:v>0</x:v>
      </x:c>
      <x:c r="S1399" s="78" t="n">
        <x:f>Q1399+G1399+R1399</x:f>
        <x:v>310721.87558641523</x:v>
      </x:c>
      <x:c r="T1399" s="78" t="n">
        <x:f>P1399*(S1399*(1-'Inputs'!$B$15))/(O1399+S1399*(1-'Inputs'!$B$15))</x:f>
        <x:v>7953.663525301367</x:v>
      </x:c>
      <x:c r="U1399" s="78" t="n">
        <x:f>O1399+S1399*(1-'Inputs'!$B$17)</x:f>
        <x:v>1871281.2071450744</x:v>
      </x:c>
      <x:c r="V1399" s="78" t="n">
        <x:f>P1399-T1399</x:f>
        <x:v>40382.045324333776</x:v>
      </x:c>
      <x:c r="W1399" s="79" t="n">
        <x:f>IF(U1399&gt;0,V1399/U1399,0)</x:f>
        <x:v>0.021579891450918143</x:v>
      </x:c>
      <x:c r="X1399" s="80" t="n">
        <x:f>W1399*('Inputs'!$B$6-AC1399)</x:f>
        <x:v>21476162.815174613</x:v>
      </x:c>
      <x:c r="Y1399" s="80" t="n">
        <x:f>2*V1399</x:f>
        <x:v>80764.09064866755</x:v>
      </x:c>
      <x:c r="Z1399" s="80" t="n">
        <x:f>K1399*'Inputs'!$B$16+(G1399+R1399)*J1399*'Inputs'!$B$16</x:f>
        <x:v>1014.600144282495</x:v>
      </x:c>
      <x:c r="AA1399" s="80" t="n">
        <x:f>K1399*(1+'Inputs'!$E$47)/2*'Inputs'!$B$17</x:f>
        <x:v>343.15374901983824</x:v>
      </x:c>
      <x:c r="AB1399" s="78" t="n">
        <x:f>(IF(J1399&gt;0,K1399*(1-'Inputs'!$E$47)/2/J1399,0)+G1399+R1399)*'Inputs'!$B$17</x:f>
        <x:v>15705.25804449712</x:v>
      </x:c>
      <x:c r="AC1399" s="78" t="n">
        <x:f>AC1398+AB1399</x:f>
        <x:v>4806726.483284382</x:v>
      </x:c>
      <x:c r="AD1399" s="80" t="n">
        <x:f>Z1399/(1+'Inputs'!$C$47)</x:f>
        <x:v>405.840057712998</x:v>
      </x:c>
      <x:c r="AE1399" s="80" t="n">
        <x:f>Z1399-AD1399</x:f>
        <x:v>608.7600865694969</x:v>
      </x:c>
      <x:c r="AF1399" s="80" t="n">
        <x:f>D1399*W1399</x:f>
        <x:v>5681.289104082939</x:v>
      </x:c>
      <x:c r="AG1399" s="80" t="n">
        <x:f>C1399*W1399</x:f>
        <x:v>13256.34124286094</x:v>
      </x:c>
      <x:c r="AH1399" s="80" t="n">
        <x:f>2*'Inputs'!$B$8*'Inputs'!$C$47</x:f>
        <x:v>7500</x:v>
      </x:c>
      <x:c r="AI1399" s="81" t="n">
        <x:f>IF(AH1399&gt;0,(AE1399+AF1399)/AH1399*365,0)</x:f>
        <x:v>306.11572727841855</x:v>
      </x:c>
      <x:c r="AJ1399" s="81" t="n">
        <x:f>IF('Inputs'!$B$47&gt;0,AG1399/('Inputs'!$B$19*'Inputs'!$B$47)*365,0)</x:f>
        <x:v>483.85645536442433</x:v>
      </x:c>
      <x:c r="AK1399" s="81" t="n">
        <x:f>W1399/MAX($W$1099:W1399)-1</x:f>
        <x:v>-0.026159919563255918</x:v>
      </x:c>
      <x:c r="AL1399" s="83" t="n">
        <x:f>'Inputs'!$B$47</x:f>
        <x:v>1</x:v>
      </x:c>
      <x:c r="AM1399" s="83" t="n">
        <x:f>'Inputs'!$C$47</x:f>
        <x:v>1.5</x:v>
      </x:c>
      <x:c r="AN1399" s="83" t="n">
        <x:f>'Inputs'!$D$47</x:f>
        <x:v>1.5</x:v>
      </x:c>
      <x:c r="AO1399" s="81" t="n">
        <x:f>'Inputs'!$E$47</x:f>
        <x:v>0.05</x:v>
      </x:c>
    </x:row>
    <x:row r="1400">
      <x:c r="A1400" s="59" t="str">
        <x:v>Growth</x:v>
      </x:c>
      <x:c r="B1400" s="59" t="n">
        <x:v>302</x:v>
      </x:c>
      <x:c r="C1400" s="78" t="n">
        <x:f>(('Inputs'!$B$29*(3*302*'Inputs'!$B$12-302^2)/(2*'Inputs'!$B$12^2))-('Inputs'!$B$29*(3*301*'Inputs'!$B$12-301^2)/(2*'Inputs'!$B$12^2)))*'Inputs'!$B$47</x:f>
        <x:v>613966.2694689333</x:v>
      </x:c>
      <x:c r="D1400" s="78" t="n">
        <x:f>IF('Inputs'!$C$47&gt;0,('Inputs'!$B$30*(3*302*'Inputs'!$B$12-302^2)/(2*'Inputs'!$B$12^2))-('Inputs'!$B$30*(3*301*'Inputs'!$B$12-301^2)/(2*'Inputs'!$B$12^2)),0)</x:f>
        <x:v>263128.40120097995</x:v>
      </x:c>
      <x:c r="E1400" s="78" t="n">
        <x:f>C1400+D1400</x:f>
        <x:v>877094.6706699133</x:v>
      </x:c>
      <x:c r="F1400" s="78" t="n">
        <x:f>'Inputs'!$B$13*E1400+(1-'Inputs'!$B$13)/'Inputs'!$B$14*SUM(E1345:E1400)</x:f>
        <x:v>887312.3475323691</x:v>
      </x:c>
      <x:c r="G1400" s="78" t="n">
        <x:f>F1400*'Inputs'!$F$47</x:f>
        <x:v>310559.3216363292</x:v>
      </x:c>
      <x:c r="H1400" s="78" t="n">
        <x:f>U1399</x:f>
        <x:v>1871281.2071450744</x:v>
      </x:c>
      <x:c r="I1400" s="78" t="n">
        <x:f>V1399</x:f>
        <x:v>40382.045324333776</x:v>
      </x:c>
      <x:c r="J1400" s="79" t="n">
        <x:f>IF(H1400&gt;0,I1400/H1400,0)</x:f>
        <x:v>0.021579891450918143</x:v>
      </x:c>
      <x:c r="K1400" s="80" t="n">
        <x:f>(H1400*J1400+I1400)*'Inputs'!$D$47*(1+'Inputs'!$G$47)^(B1400/30)</x:f>
        <x:v>163131.42453380994</x:v>
      </x:c>
      <x:c r="L1400" s="80" t="n">
        <x:f>MAX(0,K1400*'Inputs'!$E$47)</x:f>
        <x:v>8156.5712266904975</x:v>
      </x:c>
      <x:c r="M1400" s="80" t="n">
        <x:f>MAX(0,-K1400*'Inputs'!$E$47)</x:f>
        <x:v>0</x:v>
      </x:c>
      <x:c r="N1400" s="78" t="n">
        <x:f>H1400*(L1400*(1-'Inputs'!$B$15))/(I1400+L1400*(1-'Inputs'!$B$15))</x:f>
        <x:v>311835.03339926346</x:v>
      </x:c>
      <x:c r="O1400" s="78" t="n">
        <x:f>H1400-N1400</x:f>
        <x:v>1559446.173745811</x:v>
      </x:c>
      <x:c r="P1400" s="78" t="n">
        <x:f>I1400+L1400*(1-'Inputs'!$B$17)</x:f>
        <x:v>48505.793326772</x:v>
      </x:c>
      <x:c r="Q1400" s="78" t="n">
        <x:f>IF(J1400&gt;0,M1400/J1400,0)</x:f>
        <x:v>0</x:v>
      </x:c>
      <x:c r="R1400" s="78" t="n">
        <x:f>IF(B1400='Inputs'!$H$47,'Inputs'!$B$27*'Inputs'!$I$47,0)</x:f>
        <x:v>0</x:v>
      </x:c>
      <x:c r="S1400" s="78" t="n">
        <x:f>Q1400+G1400+R1400</x:f>
        <x:v>310559.3216363292</x:v>
      </x:c>
      <x:c r="T1400" s="78" t="n">
        <x:f>P1400*(S1400*(1-'Inputs'!$B$15))/(O1400+S1400*(1-'Inputs'!$B$15))</x:f>
        <x:v>7988.262783121664</x:v>
      </x:c>
      <x:c r="U1400" s="78" t="n">
        <x:f>O1400+S1400*(1-'Inputs'!$B$17)</x:f>
        <x:v>1868755.7596813904</x:v>
      </x:c>
      <x:c r="V1400" s="78" t="n">
        <x:f>P1400-T1400</x:f>
        <x:v>40517.53054365033</x:v>
      </x:c>
      <x:c r="W1400" s="79" t="n">
        <x:f>IF(U1400&gt;0,V1400/U1400,0)</x:f>
        <x:v>0.02168155487079718</x:v>
      </x:c>
      <x:c r="X1400" s="80" t="n">
        <x:f>W1400*('Inputs'!$B$6-AC1400)</x:f>
        <x:v>21576997.180962414</x:v>
      </x:c>
      <x:c r="Y1400" s="80" t="n">
        <x:f>2*V1400</x:f>
        <x:v>81035.06108730067</x:v>
      </x:c>
      <x:c r="Z1400" s="80" t="n">
        <x:f>K1400*'Inputs'!$B$16+(G1400+R1400)*J1400*'Inputs'!$B$16</x:f>
        <x:v>1018.9995659027562</x:v>
      </x:c>
      <x:c r="AA1400" s="80" t="n">
        <x:f>K1400*(1+'Inputs'!$E$47)/2*'Inputs'!$B$17</x:f>
        <x:v>344.6438546488943</x:v>
      </x:c>
      <x:c r="AB1400" s="78" t="n">
        <x:f>(IF(J1400&gt;0,K1400*(1-'Inputs'!$E$47)/2/J1400,0)+G1400+R1400)*'Inputs'!$B$17</x:f>
        <x:v>15699.327864168776</x:v>
      </x:c>
      <x:c r="AC1400" s="78" t="n">
        <x:f>AC1399+AB1400</x:f>
        <x:v>4822425.811148551</x:v>
      </x:c>
      <x:c r="AD1400" s="80" t="n">
        <x:f>Z1400/(1+'Inputs'!$C$47)</x:f>
        <x:v>407.5998263611025</x:v>
      </x:c>
      <x:c r="AE1400" s="80" t="n">
        <x:f>Z1400-AD1400</x:f>
        <x:v>611.3997395416537</x:v>
      </x:c>
      <x:c r="AF1400" s="80" t="n">
        <x:f>D1400*W1400</x:f>
        <x:v>5705.032868704181</x:v>
      </x:c>
      <x:c r="AG1400" s="80" t="n">
        <x:f>C1400*W1400</x:f>
        <x:v>13311.743360309325</x:v>
      </x:c>
      <x:c r="AH1400" s="80" t="n">
        <x:f>2*'Inputs'!$B$8*'Inputs'!$C$47</x:f>
        <x:v>7500</x:v>
      </x:c>
      <x:c r="AI1400" s="81" t="n">
        <x:f>IF(AH1400&gt;0,(AE1400+AF1400)/AH1400*365,0)</x:f>
        <x:v>307.39972026796397</x:v>
      </x:c>
      <x:c r="AJ1400" s="81" t="n">
        <x:f>IF('Inputs'!$B$47&gt;0,AG1400/('Inputs'!$B$19*'Inputs'!$B$47)*365,0)</x:f>
        <x:v>485.87863265129033</x:v>
      </x:c>
      <x:c r="AK1400" s="81" t="n">
        <x:f>W1400/MAX($W$1099:W1400)-1</x:f>
        <x:v>-0.02157213406777958</x:v>
      </x:c>
      <x:c r="AL1400" s="83" t="n">
        <x:f>'Inputs'!$B$47</x:f>
        <x:v>1</x:v>
      </x:c>
      <x:c r="AM1400" s="83" t="n">
        <x:f>'Inputs'!$C$47</x:f>
        <x:v>1.5</x:v>
      </x:c>
      <x:c r="AN1400" s="83" t="n">
        <x:f>'Inputs'!$D$47</x:f>
        <x:v>1.5</x:v>
      </x:c>
      <x:c r="AO1400" s="81" t="n">
        <x:f>'Inputs'!$E$47</x:f>
        <x:v>0.05</x:v>
      </x:c>
    </x:row>
    <x:row r="1401">
      <x:c r="A1401" s="59" t="str">
        <x:v>Growth</x:v>
      </x:c>
      <x:c r="B1401" s="59" t="n">
        <x:v>303</x:v>
      </x:c>
      <x:c r="C1401" s="78" t="n">
        <x:f>(('Inputs'!$B$29*(3*303*'Inputs'!$B$12-303^2)/(2*'Inputs'!$B$12^2))-('Inputs'!$B$29*(3*302*'Inputs'!$B$12-302^2)/(2*'Inputs'!$B$12^2)))*'Inputs'!$B$47</x:f>
        <x:v>613641.1615687609</x:v>
      </x:c>
      <x:c r="D1401" s="78" t="n">
        <x:f>IF('Inputs'!$C$47&gt;0,('Inputs'!$B$30*(3*303*'Inputs'!$B$12-303^2)/(2*'Inputs'!$B$12^2))-('Inputs'!$B$30*(3*302*'Inputs'!$B$12-302^2)/(2*'Inputs'!$B$12^2)),0)</x:f>
        <x:v>262989.0692437589</x:v>
      </x:c>
      <x:c r="E1401" s="78" t="n">
        <x:f>C1401+D1401</x:f>
        <x:v>876630.2308125198</x:v>
      </x:c>
      <x:c r="F1401" s="78" t="n">
        <x:f>'Inputs'!$B$13*E1401+(1-'Inputs'!$B$13)/'Inputs'!$B$14*SUM(E1346:E1401)</x:f>
        <x:v>886847.9076749828</x:v>
      </x:c>
      <x:c r="G1401" s="78" t="n">
        <x:f>F1401*'Inputs'!$F$47</x:f>
        <x:v>310396.767686244</x:v>
      </x:c>
      <x:c r="H1401" s="78" t="n">
        <x:f>U1400</x:f>
        <x:v>1868755.7596813904</x:v>
      </x:c>
      <x:c r="I1401" s="78" t="n">
        <x:f>V1400</x:f>
        <x:v>40517.53054365033</x:v>
      </x:c>
      <x:c r="J1401" s="79" t="n">
        <x:f>IF(H1401&gt;0,I1401/H1401,0)</x:f>
        <x:v>0.02168155487079718</x:v>
      </x:c>
      <x:c r="K1401" s="80" t="n">
        <x:f>(H1401*J1401+I1401)*'Inputs'!$D$47*(1+'Inputs'!$G$47)^(B1401/30)</x:f>
        <x:v>163840.09549333496</x:v>
      </x:c>
      <x:c r="L1401" s="80" t="n">
        <x:f>MAX(0,K1401*'Inputs'!$E$47)</x:f>
        <x:v>8192.004774666748</x:v>
      </x:c>
      <x:c r="M1401" s="80" t="n">
        <x:f>MAX(0,-K1401*'Inputs'!$E$47)</x:f>
        <x:v>0</x:v>
      </x:c>
      <x:c r="N1401" s="78" t="n">
        <x:f>H1401*(L1401*(1-'Inputs'!$B$15))/(I1401+L1401*(1-'Inputs'!$B$15))</x:f>
        <x:v>311669.97313372866</x:v>
      </x:c>
      <x:c r="O1401" s="78" t="n">
        <x:f>H1401-N1401</x:f>
        <x:v>1557085.7865476618</x:v>
      </x:c>
      <x:c r="P1401" s="78" t="n">
        <x:f>I1401+L1401*(1-'Inputs'!$B$17)</x:f>
        <x:v>48676.56950433452</x:v>
      </x:c>
      <x:c r="Q1401" s="78" t="n">
        <x:f>IF(J1401&gt;0,M1401/J1401,0)</x:f>
        <x:v>0</x:v>
      </x:c>
      <x:c r="R1401" s="78" t="n">
        <x:f>IF(B1401='Inputs'!$H$47,'Inputs'!$B$27*'Inputs'!$I$47,0)</x:f>
        <x:v>0</x:v>
      </x:c>
      <x:c r="S1401" s="78" t="n">
        <x:f>Q1401+G1401+R1401</x:f>
        <x:v>310396.767686244</x:v>
      </x:c>
      <x:c r="T1401" s="78" t="n">
        <x:f>P1401*(S1401*(1-'Inputs'!$B$15))/(O1401+S1401*(1-'Inputs'!$B$15))</x:f>
        <x:v>8023.026785273887</x:v>
      </x:c>
      <x:c r="U1401" s="78" t="n">
        <x:f>O1401+S1401*(1-'Inputs'!$B$17)</x:f>
        <x:v>1866233.4726738</x:v>
      </x:c>
      <x:c r="V1401" s="78" t="n">
        <x:f>P1401-T1401</x:f>
        <x:v>40653.54271906063</x:v>
      </x:c>
      <x:c r="W1401" s="79" t="n">
        <x:f>IF(U1401&gt;0,V1401/U1401,0)</x:f>
        <x:v>0.02178373891280348</x:v>
      </x:c>
      <x:c r="X1401" s="80" t="n">
        <x:f>W1401*('Inputs'!$B$6-AC1401)</x:f>
        <x:v>21678346.587129027</x:v>
      </x:c>
      <x:c r="Y1401" s="80" t="n">
        <x:f>2*V1401</x:f>
        <x:v>81307.08543812126</x:v>
      </x:c>
      <x:c r="Z1401" s="80" t="n">
        <x:f>K1401*'Inputs'!$B$16+(G1401+R1401)*J1401*'Inputs'!$B$16</x:f>
        <x:v>1023.419880261854</x:v>
      </x:c>
      <x:c r="AA1401" s="80" t="n">
        <x:f>K1401*(1+'Inputs'!$E$47)/2*'Inputs'!$B$17</x:f>
        <x:v>346.1410468169049</x:v>
      </x:c>
      <x:c r="AB1401" s="78" t="n">
        <x:f>(IF(J1401&gt;0,K1401*(1-'Inputs'!$E$47)/2/J1401,0)+G1401+R1401)*'Inputs'!$B$17</x:f>
        <x:v>15693.397694284586</x:v>
      </x:c>
      <x:c r="AC1401" s="78" t="n">
        <x:f>AC1400+AB1401</x:f>
        <x:v>4838119.208842836</x:v>
      </x:c>
      <x:c r="AD1401" s="80" t="n">
        <x:f>Z1401/(1+'Inputs'!$C$47)</x:f>
        <x:v>409.3679521047416</x:v>
      </x:c>
      <x:c r="AE1401" s="80" t="n">
        <x:f>Z1401-AD1401</x:f>
        <x:v>614.0519281571123</x:v>
      </x:c>
      <x:c r="AF1401" s="80" t="n">
        <x:f>D1401*W1401</x:f>
        <x:v>5728.885221327239</x:v>
      </x:c>
      <x:c r="AG1401" s="80" t="n">
        <x:f>C1401*W1401</x:f>
        <x:v>13367.398849763344</x:v>
      </x:c>
      <x:c r="AH1401" s="80" t="n">
        <x:f>2*'Inputs'!$B$8*'Inputs'!$C$47</x:f>
        <x:v>7500</x:v>
      </x:c>
      <x:c r="AI1401" s="81" t="n">
        <x:f>IF(AH1401&gt;0,(AE1401+AF1401)/AH1401*365,0)</x:f>
        <x:v>308.68960794157175</x:v>
      </x:c>
      <x:c r="AJ1401" s="81" t="n">
        <x:f>IF('Inputs'!$B$47&gt;0,AG1401/('Inputs'!$B$19*'Inputs'!$B$47)*365,0)</x:f>
        <x:v>487.91005801636203</x:v>
      </x:c>
      <x:c r="AK1401" s="81" t="n">
        <x:f>W1401/MAX($W$1099:W1401)-1</x:f>
        <x:v>-0.01696085435337058</x:v>
      </x:c>
      <x:c r="AL1401" s="83" t="n">
        <x:f>'Inputs'!$B$47</x:f>
        <x:v>1</x:v>
      </x:c>
      <x:c r="AM1401" s="83" t="n">
        <x:f>'Inputs'!$C$47</x:f>
        <x:v>1.5</x:v>
      </x:c>
      <x:c r="AN1401" s="83" t="n">
        <x:f>'Inputs'!$D$47</x:f>
        <x:v>1.5</x:v>
      </x:c>
      <x:c r="AO1401" s="81" t="n">
        <x:f>'Inputs'!$E$47</x:f>
        <x:v>0.05</x:v>
      </x:c>
    </x:row>
    <x:row r="1402">
      <x:c r="A1402" s="59" t="str">
        <x:v>Growth</x:v>
      </x:c>
      <x:c r="B1402" s="59" t="n">
        <x:v>304</x:v>
      </x:c>
      <x:c r="C1402" s="78" t="n">
        <x:f>(('Inputs'!$B$29*(3*304*'Inputs'!$B$12-304^2)/(2*'Inputs'!$B$12^2))-('Inputs'!$B$29*(3*303*'Inputs'!$B$12-303^2)/(2*'Inputs'!$B$12^2)))*'Inputs'!$B$47</x:f>
        <x:v>613316.0536686182</x:v>
      </x:c>
      <x:c r="D1402" s="78" t="n">
        <x:f>IF('Inputs'!$C$47&gt;0,('Inputs'!$B$30*(3*304*'Inputs'!$B$12-304^2)/(2*'Inputs'!$B$12^2))-('Inputs'!$B$30*(3*303*'Inputs'!$B$12-303^2)/(2*'Inputs'!$B$12^2)),0)</x:f>
        <x:v>262849.7372865379</x:v>
      </x:c>
      <x:c r="E1402" s="78" t="n">
        <x:f>C1402+D1402</x:f>
        <x:v>876165.7909551561</x:v>
      </x:c>
      <x:c r="F1402" s="78" t="n">
        <x:f>'Inputs'!$B$13*E1402+(1-'Inputs'!$B$13)/'Inputs'!$B$14*SUM(E1347:E1402)</x:f>
        <x:v>886383.4678176027</x:v>
      </x:c>
      <x:c r="G1402" s="78" t="n">
        <x:f>F1402*'Inputs'!$F$47</x:f>
        <x:v>310234.2137361609</x:v>
      </x:c>
      <x:c r="H1402" s="78" t="n">
        <x:f>U1401</x:f>
        <x:v>1866233.4726738</x:v>
      </x:c>
      <x:c r="I1402" s="78" t="n">
        <x:f>V1401</x:f>
        <x:v>40653.54271906063</x:v>
      </x:c>
      <x:c r="J1402" s="79" t="n">
        <x:f>IF(H1402&gt;0,I1402/H1402,0)</x:f>
        <x:v>0.02178373891280348</x:v>
      </x:c>
      <x:c r="K1402" s="80" t="n">
        <x:f>(H1402*J1402+I1402)*'Inputs'!$D$47*(1+'Inputs'!$G$47)^(B1402/30)</x:f>
        <x:v>164552.13805863177</x:v>
      </x:c>
      <x:c r="L1402" s="80" t="n">
        <x:f>MAX(0,K1402*'Inputs'!$E$47)</x:f>
        <x:v>8227.60690293159</x:v>
      </x:c>
      <x:c r="M1402" s="80" t="n">
        <x:f>MAX(0,-K1402*'Inputs'!$E$47)</x:f>
        <x:v>0</x:v>
      </x:c>
      <x:c r="N1402" s="78" t="n">
        <x:f>H1402*(L1402*(1-'Inputs'!$B$15))/(I1402+L1402*(1-'Inputs'!$B$15))</x:f>
        <x:v>311504.9168446934</x:v>
      </x:c>
      <x:c r="O1402" s="78" t="n">
        <x:f>H1402-N1402</x:f>
        <x:v>1554728.5558291066</x:v>
      </x:c>
      <x:c r="P1402" s="78" t="n">
        <x:f>I1402+L1402*(1-'Inputs'!$B$17)</x:f>
        <x:v>48848.040539887865</x:v>
      </x:c>
      <x:c r="Q1402" s="78" t="n">
        <x:f>IF(J1402&gt;0,M1402/J1402,0)</x:f>
        <x:v>0</x:v>
      </x:c>
      <x:c r="R1402" s="78" t="n">
        <x:f>IF(B1402='Inputs'!$H$47,'Inputs'!$B$27*'Inputs'!$I$47,0)</x:f>
        <x:v>0</x:v>
      </x:c>
      <x:c r="S1402" s="78" t="n">
        <x:f>Q1402+G1402+R1402</x:f>
        <x:v>310234.2137361609</x:v>
      </x:c>
      <x:c r="T1402" s="78" t="n">
        <x:f>P1402*(S1402*(1-'Inputs'!$B$15))/(O1402+S1402*(1-'Inputs'!$B$15))</x:f>
        <x:v>8057.9563827325155</x:v>
      </x:c>
      <x:c r="U1402" s="78" t="n">
        <x:f>O1402+S1402*(1-'Inputs'!$B$17)</x:f>
        <x:v>1863714.3421458062</x:v>
      </x:c>
      <x:c r="V1402" s="78" t="n">
        <x:f>P1402-T1402</x:f>
        <x:v>40790.08415715535</x:v>
      </x:c>
      <x:c r="W1402" s="79" t="n">
        <x:f>IF(U1402&gt;0,V1402/U1402,0)</x:f>
        <x:v>0.021886446455196173</x:v>
      </x:c>
      <x:c r="X1402" s="80" t="n">
        <x:f>W1402*('Inputs'!$B$6-AC1402)</x:f>
        <x:v>21780213.875269793</x:v>
      </x:c>
      <x:c r="Y1402" s="80" t="n">
        <x:f>2*V1402</x:f>
        <x:v>81580.1683143107</x:v>
      </x:c>
      <x:c r="Z1402" s="80" t="n">
        <x:f>K1402*'Inputs'!$B$16+(G1402+R1402)*J1402*'Inputs'!$B$16</x:f>
        <x:v>1027.861195034875</x:v>
      </x:c>
      <x:c r="AA1402" s="80" t="n">
        <x:f>K1402*(1+'Inputs'!$E$47)/2*'Inputs'!$B$17</x:f>
        <x:v>347.64536209570093</x:v>
      </x:c>
      <x:c r="AB1402" s="78" t="n">
        <x:f>(IF(J1402&gt;0,K1402*(1-'Inputs'!$E$47)/2/J1402,0)+G1402+R1402)*'Inputs'!$B$17</x:f>
        <x:v>15687.467533299656</x:v>
      </x:c>
      <x:c r="AC1402" s="78" t="n">
        <x:f>AC1401+AB1402</x:f>
        <x:v>4853806.676376136</x:v>
      </x:c>
      <x:c r="AD1402" s="80" t="n">
        <x:f>Z1402/(1+'Inputs'!$C$47)</x:f>
        <x:v>411.14447801395</x:v>
      </x:c>
      <x:c r="AE1402" s="80" t="n">
        <x:f>Z1402-AD1402</x:f>
        <x:v>616.716717020925</x:v>
      </x:c>
      <x:c r="AF1402" s="80" t="n">
        <x:f>D1402*W1402</x:f>
        <x:v>5752.846700884193</x:v>
      </x:c>
      <x:c r="AG1402" s="80" t="n">
        <x:f>C1402*W1402</x:f>
        <x:v>13423.308968730435</x:v>
      </x:c>
      <x:c r="AH1402" s="80" t="n">
        <x:f>2*'Inputs'!$B$8*'Inputs'!$C$47</x:f>
        <x:v>7500</x:v>
      </x:c>
      <x:c r="AI1402" s="81" t="n">
        <x:f>IF(AH1402&gt;0,(AE1402+AF1402)/AH1402*365,0)</x:f>
        <x:v>309.9854196713824</x:v>
      </x:c>
      <x:c r="AJ1402" s="81" t="n">
        <x:f>IF('Inputs'!$B$47&gt;0,AG1402/('Inputs'!$B$19*'Inputs'!$B$47)*365,0)</x:f>
        <x:v>489.95077735866084</x:v>
      </x:c>
      <x:c r="AK1402" s="81" t="n">
        <x:f>W1402/MAX($W$1099:W1402)-1</x:f>
        <x:v>-0.01232595053225316</x:v>
      </x:c>
      <x:c r="AL1402" s="83" t="n">
        <x:f>'Inputs'!$B$47</x:f>
        <x:v>1</x:v>
      </x:c>
      <x:c r="AM1402" s="83" t="n">
        <x:f>'Inputs'!$C$47</x:f>
        <x:v>1.5</x:v>
      </x:c>
      <x:c r="AN1402" s="83" t="n">
        <x:f>'Inputs'!$D$47</x:f>
        <x:v>1.5</x:v>
      </x:c>
      <x:c r="AO1402" s="81" t="n">
        <x:f>'Inputs'!$E$47</x:f>
        <x:v>0.05</x:v>
      </x:c>
    </x:row>
    <x:row r="1403">
      <x:c r="A1403" s="59" t="str">
        <x:v>Growth</x:v>
      </x:c>
      <x:c r="B1403" s="59" t="n">
        <x:v>305</x:v>
      </x:c>
      <x:c r="C1403" s="78" t="n">
        <x:f>(('Inputs'!$B$29*(3*305*'Inputs'!$B$12-305^2)/(2*'Inputs'!$B$12^2))-('Inputs'!$B$29*(3*304*'Inputs'!$B$12-304^2)/(2*'Inputs'!$B$12^2)))*'Inputs'!$B$47</x:f>
        <x:v>612990.9457684457</x:v>
      </x:c>
      <x:c r="D1403" s="78" t="n">
        <x:f>IF('Inputs'!$C$47&gt;0,('Inputs'!$B$30*(3*305*'Inputs'!$B$12-305^2)/(2*'Inputs'!$B$12^2))-('Inputs'!$B$30*(3*304*'Inputs'!$B$12-304^2)/(2*'Inputs'!$B$12^2)),0)</x:f>
        <x:v>262710.40532933176</x:v>
      </x:c>
      <x:c r="E1403" s="78" t="n">
        <x:f>C1403+D1403</x:f>
        <x:v>875701.3510977775</x:v>
      </x:c>
      <x:c r="F1403" s="78" t="n">
        <x:f>'Inputs'!$B$13*E1403+(1-'Inputs'!$B$13)/'Inputs'!$B$14*SUM(E1348:E1403)</x:f>
        <x:v>885919.0279602198</x:v>
      </x:c>
      <x:c r="G1403" s="78" t="n">
        <x:f>F1403*'Inputs'!$F$47</x:f>
        <x:v>310071.6597860769</x:v>
      </x:c>
      <x:c r="H1403" s="78" t="n">
        <x:f>U1402</x:f>
        <x:v>1863714.3421458062</x:v>
      </x:c>
      <x:c r="I1403" s="78" t="n">
        <x:f>V1402</x:f>
        <x:v>40790.08415715535</x:v>
      </x:c>
      <x:c r="J1403" s="79" t="n">
        <x:f>IF(H1403&gt;0,I1403/H1403,0)</x:f>
        <x:v>0.021886446455196173</x:v>
      </x:c>
      <x:c r="K1403" s="80" t="n">
        <x:f>(H1403*J1403+I1403)*'Inputs'!$D$47*(1+'Inputs'!$G$47)^(B1403/30)</x:f>
        <x:v>165267.56963649244</x:v>
      </x:c>
      <x:c r="L1403" s="80" t="n">
        <x:f>MAX(0,K1403*'Inputs'!$E$47)</x:f>
        <x:v>8263.378481824622</x:v>
      </x:c>
      <x:c r="M1403" s="80" t="n">
        <x:f>MAX(0,-K1403*'Inputs'!$E$47)</x:f>
        <x:v>0</x:v>
      </x:c>
      <x:c r="N1403" s="78" t="n">
        <x:f>H1403*(L1403*(1-'Inputs'!$B$15))/(I1403+L1403*(1-'Inputs'!$B$15))</x:f>
        <x:v>311339.8645272944</x:v>
      </x:c>
      <x:c r="O1403" s="78" t="n">
        <x:f>H1403-N1403</x:f>
        <x:v>1552374.4776185118</x:v>
      </x:c>
      <x:c r="P1403" s="78" t="n">
        <x:f>I1403+L1403*(1-'Inputs'!$B$17)</x:f>
        <x:v>49020.20960685995</x:v>
      </x:c>
      <x:c r="Q1403" s="78" t="n">
        <x:f>IF(J1403&gt;0,M1403/J1403,0)</x:f>
        <x:v>0</x:v>
      </x:c>
      <x:c r="R1403" s="78" t="n">
        <x:f>IF(B1403='Inputs'!$H$47,'Inputs'!$B$27*'Inputs'!$I$47,0)</x:f>
        <x:v>0</x:v>
      </x:c>
      <x:c r="S1403" s="78" t="n">
        <x:f>Q1403+G1403+R1403</x:f>
        <x:v>310071.6597860769</x:v>
      </x:c>
      <x:c r="T1403" s="78" t="n">
        <x:f>P1403*(S1403*(1-'Inputs'!$B$15))/(O1403+S1403*(1-'Inputs'!$B$15))</x:f>
        <x:v>8093.05243120074</x:v>
      </x:c>
      <x:c r="U1403" s="78" t="n">
        <x:f>O1403+S1403*(1-'Inputs'!$B$17)</x:f>
        <x:v>1861198.3641257714</x:v>
      </x:c>
      <x:c r="V1403" s="78" t="n">
        <x:f>P1403-T1403</x:f>
        <x:v>40927.15717565921</x:v>
      </x:c>
      <x:c r="W1403" s="79" t="n">
        <x:f>IF(U1403&gt;0,V1403/U1403,0)</x:f>
        <x:v>0.021989680393300376</x:v>
      </x:c>
      <x:c r="X1403" s="80" t="n">
        <x:f>W1403*('Inputs'!$B$6-AC1403)</x:f>
        <x:v>21882601.903800942</x:v>
      </x:c>
      <x:c r="Y1403" s="80" t="n">
        <x:f>2*V1403</x:f>
        <x:v>81854.31435131842</x:v>
      </x:c>
      <x:c r="Z1403" s="80" t="n">
        <x:f>K1403*'Inputs'!$B$16+(G1403+R1403)*J1403*'Inputs'!$B$16</x:f>
        <x:v>1032.3236184940454</x:v>
      </x:c>
      <x:c r="AA1403" s="80" t="n">
        <x:f>K1403*(1+'Inputs'!$E$47)/2*'Inputs'!$B$17</x:f>
        <x:v>349.1568372601953</x:v>
      </x:c>
      <x:c r="AB1403" s="78" t="n">
        <x:f>(IF(J1403&gt;0,K1403*(1-'Inputs'!$E$47)/2/J1403,0)+G1403+R1403)*'Inputs'!$B$17</x:f>
        <x:v>15681.537379666774</x:v>
      </x:c>
      <x:c r="AC1403" s="78" t="n">
        <x:f>AC1402+AB1403</x:f>
        <x:v>4869488.213755803</x:v>
      </x:c>
      <x:c r="AD1403" s="80" t="n">
        <x:f>Z1403/(1+'Inputs'!$C$47)</x:f>
        <x:v>412.92944739761816</x:v>
      </x:c>
      <x:c r="AE1403" s="80" t="n">
        <x:f>Z1403-AD1403</x:f>
        <x:v>619.3941710964273</x:v>
      </x:c>
      <x:c r="AF1403" s="80" t="n">
        <x:f>D1403*W1403</x:f>
        <x:v>5776.917849186401</x:v>
      </x:c>
      <x:c r="AG1403" s="80" t="n">
        <x:f>C1403*W1403</x:f>
        <x:v>13479.474981435045</x:v>
      </x:c>
      <x:c r="AH1403" s="80" t="n">
        <x:f>2*'Inputs'!$B$8*'Inputs'!$C$47</x:f>
        <x:v>7500</x:v>
      </x:c>
      <x:c r="AI1403" s="81" t="n">
        <x:f>IF(AH1403&gt;0,(AE1403+AF1403)/AH1403*365,0)</x:f>
        <x:v>311.28718498709765</x:v>
      </x:c>
      <x:c r="AJ1403" s="81" t="n">
        <x:f>IF('Inputs'!$B$47&gt;0,AG1403/('Inputs'!$B$19*'Inputs'!$B$47)*365,0)</x:f>
        <x:v>492.00083682237914</x:v>
      </x:c>
      <x:c r="AK1403" s="81" t="n">
        <x:f>W1403/MAX($W$1099:W1403)-1</x:f>
        <x:v>-0.007667291946511168</x:v>
      </x:c>
      <x:c r="AL1403" s="83" t="n">
        <x:f>'Inputs'!$B$47</x:f>
        <x:v>1</x:v>
      </x:c>
      <x:c r="AM1403" s="83" t="n">
        <x:f>'Inputs'!$C$47</x:f>
        <x:v>1.5</x:v>
      </x:c>
      <x:c r="AN1403" s="83" t="n">
        <x:f>'Inputs'!$D$47</x:f>
        <x:v>1.5</x:v>
      </x:c>
      <x:c r="AO1403" s="81" t="n">
        <x:f>'Inputs'!$E$47</x:f>
        <x:v>0.05</x:v>
      </x:c>
    </x:row>
    <x:row r="1404">
      <x:c r="A1404" s="59" t="str">
        <x:v>Growth</x:v>
      </x:c>
      <x:c r="B1404" s="59" t="n">
        <x:v>306</x:v>
      </x:c>
      <x:c r="C1404" s="78" t="n">
        <x:f>(('Inputs'!$B$29*(3*306*'Inputs'!$B$12-306^2)/(2*'Inputs'!$B$12^2))-('Inputs'!$B$29*(3*305*'Inputs'!$B$12-305^2)/(2*'Inputs'!$B$12^2)))*'Inputs'!$B$47</x:f>
        <x:v>612665.8378682733</x:v>
      </x:c>
      <x:c r="D1404" s="78" t="n">
        <x:f>IF('Inputs'!$C$47&gt;0,('Inputs'!$B$30*(3*306*'Inputs'!$B$12-306^2)/(2*'Inputs'!$B$12^2))-('Inputs'!$B$30*(3*305*'Inputs'!$B$12-305^2)/(2*'Inputs'!$B$12^2)),0)</x:f>
        <x:v>262571.0733721107</x:v>
      </x:c>
      <x:c r="E1404" s="78" t="n">
        <x:f>C1404+D1404</x:f>
        <x:v>875236.911240384</x:v>
      </x:c>
      <x:c r="F1404" s="78" t="n">
        <x:f>'Inputs'!$B$13*E1404+(1-'Inputs'!$B$13)/'Inputs'!$B$14*SUM(E1349:E1404)</x:f>
        <x:v>885454.5881028338</x:v>
      </x:c>
      <x:c r="G1404" s="78" t="n">
        <x:f>F1404*'Inputs'!$F$47</x:f>
        <x:v>309909.1058359918</x:v>
      </x:c>
      <x:c r="H1404" s="78" t="n">
        <x:f>U1403</x:f>
        <x:v>1861198.3641257714</x:v>
      </x:c>
      <x:c r="I1404" s="78" t="n">
        <x:f>V1403</x:f>
        <x:v>40927.15717565921</x:v>
      </x:c>
      <x:c r="J1404" s="79" t="n">
        <x:f>IF(H1404&gt;0,I1404/H1404,0)</x:f>
        <x:v>0.021989680393300376</x:v>
      </x:c>
      <x:c r="K1404" s="80" t="n">
        <x:f>(H1404*J1404+I1404)*'Inputs'!$D$47*(1+'Inputs'!$G$47)^(B1404/30)</x:f>
        <x:v>165986.40773040472</x:v>
      </x:c>
      <x:c r="L1404" s="80" t="n">
        <x:f>MAX(0,K1404*'Inputs'!$E$47)</x:f>
        <x:v>8299.320386520236</x:v>
      </x:c>
      <x:c r="M1404" s="80" t="n">
        <x:f>MAX(0,-K1404*'Inputs'!$E$47)</x:f>
        <x:v>0</x:v>
      </x:c>
      <x:c r="N1404" s="78" t="n">
        <x:f>H1404*(L1404*(1-'Inputs'!$B$15))/(I1404+L1404*(1-'Inputs'!$B$15))</x:f>
        <x:v>311174.81617667334</x:v>
      </x:c>
      <x:c r="O1404" s="78" t="n">
        <x:f>H1404-N1404</x:f>
        <x:v>1550023.547949098</x:v>
      </x:c>
      <x:c r="P1404" s="78" t="n">
        <x:f>I1404+L1404*(1-'Inputs'!$B$17)</x:f>
        <x:v>49193.079894628056</x:v>
      </x:c>
      <x:c r="Q1404" s="78" t="n">
        <x:f>IF(J1404&gt;0,M1404/J1404,0)</x:f>
        <x:v>0</x:v>
      </x:c>
      <x:c r="R1404" s="78" t="n">
        <x:f>IF(B1404='Inputs'!$H$47,'Inputs'!$B$27*'Inputs'!$I$47,0)</x:f>
        <x:v>0</x:v>
      </x:c>
      <x:c r="S1404" s="78" t="n">
        <x:f>Q1404+G1404+R1404</x:f>
        <x:v>309909.1058359918</x:v>
      </x:c>
      <x:c r="T1404" s="78" t="n">
        <x:f>P1404*(S1404*(1-'Inputs'!$B$15))/(O1404+S1404*(1-'Inputs'!$B$15))</x:f>
        <x:v>8128.315791138725</x:v>
      </x:c>
      <x:c r="U1404" s="78" t="n">
        <x:f>O1404+S1404*(1-'Inputs'!$B$17)</x:f>
        <x:v>1858685.534646917</x:v>
      </x:c>
      <x:c r="V1404" s="78" t="n">
        <x:f>P1404-T1404</x:f>
        <x:v>41064.76410348933</x:v>
      </x:c>
      <x:c r="W1404" s="79" t="n">
        <x:f>IF(U1404&gt;0,V1404/U1404,0)</x:f>
        <x:v>0.022093443639615</x:v>
      </x:c>
      <x:c r="X1404" s="80" t="n">
        <x:f>W1404*('Inputs'!$B$6-AC1404)</x:f>
        <x:v>21985513.548065726</x:v>
      </x:c>
      <x:c r="Y1404" s="80" t="n">
        <x:f>2*V1404</x:f>
        <x:v>82129.52820697866</x:v>
      </x:c>
      <x:c r="Z1404" s="80" t="n">
        <x:f>K1404*'Inputs'!$B$16+(G1404+R1404)*J1404*'Inputs'!$B$16</x:f>
        <x:v>1036.80725951227</x:v>
      </x:c>
      <x:c r="AA1404" s="80" t="n">
        <x:f>K1404*(1+'Inputs'!$E$47)/2*'Inputs'!$B$17</x:f>
        <x:v>350.67550928958747</x:v>
      </x:c>
      <x:c r="AB1404" s="78" t="n">
        <x:f>(IF(J1404&gt;0,K1404*(1-'Inputs'!$E$47)/2/J1404,0)+G1404+R1404)*'Inputs'!$B$17</x:f>
        <x:v>15675.607231836415</x:v>
      </x:c>
      <x:c r="AC1404" s="78" t="n">
        <x:f>AC1403+AB1404</x:f>
        <x:v>4885163.82098764</x:v>
      </x:c>
      <x:c r="AD1404" s="80" t="n">
        <x:f>Z1404/(1+'Inputs'!$C$47)</x:f>
        <x:v>414.722903804908</x:v>
      </x:c>
      <x:c r="AE1404" s="80" t="n">
        <x:f>Z1404-AD1404</x:f>
        <x:v>622.0843557073621</x:v>
      </x:c>
      <x:c r="AF1404" s="80" t="n">
        <x:f>D1404*W1404</x:f>
        <x:v>5801.099210939943</x:v>
      </x:c>
      <x:c r="AG1404" s="80" t="n">
        <x:f>C1404*W1404</x:f>
        <x:v>13535.898158860196</x:v>
      </x:c>
      <x:c r="AH1404" s="80" t="n">
        <x:f>2*'Inputs'!$B$8*'Inputs'!$C$47</x:f>
        <x:v>7500</x:v>
      </x:c>
      <x:c r="AI1404" s="81" t="n">
        <x:f>IF(AH1404&gt;0,(AE1404+AF1404)/AH1404*365,0)</x:f>
        <x:v>312.59493357683556</x:v>
      </x:c>
      <x:c r="AJ1404" s="81" t="n">
        <x:f>IF('Inputs'!$B$47&gt;0,AG1404/('Inputs'!$B$19*'Inputs'!$B$47)*365,0)</x:f>
        <x:v>494.06028279839717</x:v>
      </x:c>
      <x:c r="AK1404" s="81" t="n">
        <x:f>W1404/MAX($W$1099:W1404)-1</x:f>
        <x:v>-0.0029847471632235</x:v>
      </x:c>
      <x:c r="AL1404" s="83" t="n">
        <x:f>'Inputs'!$B$47</x:f>
        <x:v>1</x:v>
      </x:c>
      <x:c r="AM1404" s="83" t="n">
        <x:f>'Inputs'!$C$47</x:f>
        <x:v>1.5</x:v>
      </x:c>
      <x:c r="AN1404" s="83" t="n">
        <x:f>'Inputs'!$D$47</x:f>
        <x:v>1.5</x:v>
      </x:c>
      <x:c r="AO1404" s="81" t="n">
        <x:f>'Inputs'!$E$47</x:f>
        <x:v>0.05</x:v>
      </x:c>
    </x:row>
    <x:row r="1405">
      <x:c r="A1405" s="59" t="str">
        <x:v>Growth</x:v>
      </x:c>
      <x:c r="B1405" s="59" t="n">
        <x:v>307</x:v>
      </x:c>
      <x:c r="C1405" s="78" t="n">
        <x:f>(('Inputs'!$B$29*(3*307*'Inputs'!$B$12-307^2)/(2*'Inputs'!$B$12^2))-('Inputs'!$B$29*(3*306*'Inputs'!$B$12-306^2)/(2*'Inputs'!$B$12^2)))*'Inputs'!$B$47</x:f>
        <x:v>612340.7299681008</x:v>
      </x:c>
      <x:c r="D1405" s="78" t="n">
        <x:f>IF('Inputs'!$C$47&gt;0,('Inputs'!$B$30*(3*307*'Inputs'!$B$12-307^2)/(2*'Inputs'!$B$12^2))-('Inputs'!$B$30*(3*306*'Inputs'!$B$12-306^2)/(2*'Inputs'!$B$12^2)),0)</x:f>
        <x:v>262431.7414149046</x:v>
      </x:c>
      <x:c r="E1405" s="78" t="n">
        <x:f>C1405+D1405</x:f>
        <x:v>874772.4713830054</x:v>
      </x:c>
      <x:c r="F1405" s="78" t="n">
        <x:f>'Inputs'!$B$13*E1405+(1-'Inputs'!$B$13)/'Inputs'!$B$14*SUM(E1350:E1405)</x:f>
        <x:v>884990.1482454509</x:v>
      </x:c>
      <x:c r="G1405" s="78" t="n">
        <x:f>F1405*'Inputs'!$F$47</x:f>
        <x:v>309746.55188590783</x:v>
      </x:c>
      <x:c r="H1405" s="78" t="n">
        <x:f>U1404</x:f>
        <x:v>1858685.534646917</x:v>
      </x:c>
      <x:c r="I1405" s="78" t="n">
        <x:f>V1404</x:f>
        <x:v>41064.76410348933</x:v>
      </x:c>
      <x:c r="J1405" s="79" t="n">
        <x:f>IF(H1405&gt;0,I1405/H1405,0)</x:f>
        <x:v>0.022093443639615</x:v>
      </x:c>
      <x:c r="K1405" s="80" t="n">
        <x:f>(H1405*J1405+I1405)*'Inputs'!$D$47*(1+'Inputs'!$G$47)^(B1405/30)</x:f>
        <x:v>166708.6699411258</x:v>
      </x:c>
      <x:c r="L1405" s="80" t="n">
        <x:f>MAX(0,K1405*'Inputs'!$E$47)</x:f>
        <x:v>8335.43349705629</x:v>
      </x:c>
      <x:c r="M1405" s="80" t="n">
        <x:f>MAX(0,-K1405*'Inputs'!$E$47)</x:f>
        <x:v>0</x:v>
      </x:c>
      <x:c r="N1405" s="78" t="n">
        <x:f>H1405*(L1405*(1-'Inputs'!$B$15))/(I1405+L1405*(1-'Inputs'!$B$15))</x:f>
        <x:v>311009.7717879783</x:v>
      </x:c>
      <x:c r="O1405" s="78" t="n">
        <x:f>H1405-N1405</x:f>
        <x:v>1547675.7628589387</x:v>
      </x:c>
      <x:c r="P1405" s="78" t="n">
        <x:f>I1405+L1405*(1-'Inputs'!$B$17)</x:f>
        <x:v>49366.65460860576</x:v>
      </x:c>
      <x:c r="Q1405" s="78" t="n">
        <x:f>IF(J1405&gt;0,M1405/J1405,0)</x:f>
        <x:v>0</x:v>
      </x:c>
      <x:c r="R1405" s="78" t="n">
        <x:f>IF(B1405='Inputs'!$H$47,'Inputs'!$B$27*'Inputs'!$I$47,0)</x:f>
        <x:v>0</x:v>
      </x:c>
      <x:c r="S1405" s="78" t="n">
        <x:f>Q1405+G1405+R1405</x:f>
        <x:v>309746.55188590783</x:v>
      </x:c>
      <x:c r="T1405" s="78" t="n">
        <x:f>P1405*(S1405*(1-'Inputs'!$B$15))/(O1405+S1405*(1-'Inputs'!$B$15))</x:f>
        <x:v>8163.7473277918125</x:v>
      </x:c>
      <x:c r="U1405" s="78" t="n">
        <x:f>O1405+S1405*(1-'Inputs'!$B$17)</x:f>
        <x:v>1856175.8497473176</x:v>
      </x:c>
      <x:c r="V1405" s="78" t="n">
        <x:f>P1405-T1405</x:f>
        <x:v>41202.907280813946</x:v>
      </x:c>
      <x:c r="W1405" s="79" t="n">
        <x:f>IF(U1405&gt;0,V1405/U1405,0)</x:f>
        <x:v>0.022197739123921326</x:v>
      </x:c>
      <x:c r="X1405" s="80" t="n">
        <x:f>W1405*('Inputs'!$B$6-AC1405)</x:f>
        <x:v>22088951.700441264</x:v>
      </x:c>
      <x:c r="Y1405" s="80" t="n">
        <x:f>2*V1405</x:f>
        <x:v>82405.81456162789</x:v>
      </x:c>
      <x:c r="Z1405" s="80" t="n">
        <x:f>K1405*'Inputs'!$B$16+(G1405+R1405)*J1405*'Inputs'!$B$16</x:f>
        <x:v>1041.312227566693</x:v>
      </x:c>
      <x:c r="AA1405" s="80" t="n">
        <x:f>K1405*(1+'Inputs'!$E$47)/2*'Inputs'!$B$17</x:f>
        <x:v>352.2014153685757</x:v>
      </x:c>
      <x:c r="AB1405" s="78" t="n">
        <x:f>(IF(J1405&gt;0,K1405*(1-'Inputs'!$E$47)/2/J1405,0)+G1405+R1405)*'Inputs'!$B$17</x:f>
        <x:v>15669.67708825674</x:v>
      </x:c>
      <x:c r="AC1405" s="78" t="n">
        <x:f>AC1404+AB1405</x:f>
        <x:v>4900833.498075897</x:v>
      </x:c>
      <x:c r="AD1405" s="80" t="n">
        <x:f>Z1405/(1+'Inputs'!$C$47)</x:f>
        <x:v>416.5248910266772</x:v>
      </x:c>
      <x:c r="AE1405" s="80" t="n">
        <x:f>Z1405-AD1405</x:f>
        <x:v>624.7873365400159</x:v>
      </x:c>
      <x:c r="AF1405" s="80" t="n">
        <x:f>D1405*W1405</x:f>
        <x:v>5825.391333764433</x:v>
      </x:c>
      <x:c r="AG1405" s="80" t="n">
        <x:f>C1405*W1405</x:f>
        <x:v>13592.579778783454</x:v>
      </x:c>
      <x:c r="AH1405" s="80" t="n">
        <x:f>2*'Inputs'!$B$8*'Inputs'!$C$47</x:f>
        <x:v>7500</x:v>
      </x:c>
      <x:c r="AI1405" s="81" t="n">
        <x:f>IF(AH1405&gt;0,(AE1405+AF1405)/AH1405*365,0)</x:f>
        <x:v>313.90869528814983</x:v>
      </x:c>
      <x:c r="AJ1405" s="81" t="n">
        <x:f>IF('Inputs'!$B$47&gt;0,AG1405/('Inputs'!$B$19*'Inputs'!$B$47)*365,0)</x:f>
        <x:v>496.12916192559607</x:v>
      </x:c>
      <x:c r="AK1405" s="81" t="n">
        <x:f>W1405/MAX($W$1099:W1405)-1</x:f>
        <x:v>0</x:v>
      </x:c>
      <x:c r="AL1405" s="83" t="n">
        <x:f>'Inputs'!$B$47</x:f>
        <x:v>1</x:v>
      </x:c>
      <x:c r="AM1405" s="83" t="n">
        <x:f>'Inputs'!$C$47</x:f>
        <x:v>1.5</x:v>
      </x:c>
      <x:c r="AN1405" s="83" t="n">
        <x:f>'Inputs'!$D$47</x:f>
        <x:v>1.5</x:v>
      </x:c>
      <x:c r="AO1405" s="81" t="n">
        <x:f>'Inputs'!$E$47</x:f>
        <x:v>0.05</x:v>
      </x:c>
    </x:row>
    <x:row r="1406">
      <x:c r="A1406" s="59" t="str">
        <x:v>Growth</x:v>
      </x:c>
      <x:c r="B1406" s="59" t="n">
        <x:v>308</x:v>
      </x:c>
      <x:c r="C1406" s="78" t="n">
        <x:f>(('Inputs'!$B$29*(3*308*'Inputs'!$B$12-308^2)/(2*'Inputs'!$B$12^2))-('Inputs'!$B$29*(3*307*'Inputs'!$B$12-307^2)/(2*'Inputs'!$B$12^2)))*'Inputs'!$B$47</x:f>
        <x:v>612015.6220679283</x:v>
      </x:c>
      <x:c r="D1406" s="78" t="n">
        <x:f>IF('Inputs'!$C$47&gt;0,('Inputs'!$B$30*(3*308*'Inputs'!$B$12-308^2)/(2*'Inputs'!$B$12^2))-('Inputs'!$B$30*(3*307*'Inputs'!$B$12-307^2)/(2*'Inputs'!$B$12^2)),0)</x:f>
        <x:v>262292.40945768356</x:v>
      </x:c>
      <x:c r="E1406" s="78" t="n">
        <x:f>C1406+D1406</x:f>
        <x:v>874308.0315256119</x:v>
      </x:c>
      <x:c r="F1406" s="78" t="n">
        <x:f>'Inputs'!$B$13*E1406+(1-'Inputs'!$B$13)/'Inputs'!$B$14*SUM(E1351:E1406)</x:f>
        <x:v>884525.7083880651</x:v>
      </x:c>
      <x:c r="G1406" s="78" t="n">
        <x:f>F1406*'Inputs'!$F$47</x:f>
        <x:v>309583.99793582276</x:v>
      </x:c>
      <x:c r="H1406" s="78" t="n">
        <x:f>U1405</x:f>
        <x:v>1856175.8497473176</x:v>
      </x:c>
      <x:c r="I1406" s="78" t="n">
        <x:f>V1405</x:f>
        <x:v>41202.907280813946</x:v>
      </x:c>
      <x:c r="J1406" s="79" t="n">
        <x:f>IF(H1406&gt;0,I1406/H1406,0)</x:f>
        <x:v>0.022197739123921326</x:v>
      </x:c>
      <x:c r="K1406" s="80" t="n">
        <x:f>(H1406*J1406+I1406)*'Inputs'!$D$47*(1+'Inputs'!$G$47)^(B1406/30)</x:f>
        <x:v>167434.3739672594</x:v>
      </x:c>
      <x:c r="L1406" s="80" t="n">
        <x:f>MAX(0,K1406*'Inputs'!$E$47)</x:f>
        <x:v>8371.71869836297</x:v>
      </x:c>
      <x:c r="M1406" s="80" t="n">
        <x:f>MAX(0,-K1406*'Inputs'!$E$47)</x:f>
        <x:v>0</x:v>
      </x:c>
      <x:c r="N1406" s="78" t="n">
        <x:f>H1406*(L1406*(1-'Inputs'!$B$15))/(I1406+L1406*(1-'Inputs'!$B$15))</x:f>
        <x:v>310844.73135636334</x:v>
      </x:c>
      <x:c r="O1406" s="78" t="n">
        <x:f>H1406-N1406</x:f>
        <x:v>1545331.1183909543</x:v>
      </x:c>
      <x:c r="P1406" s="78" t="n">
        <x:f>I1406+L1406*(1-'Inputs'!$B$17)</x:f>
        <x:v>49540.93697033038</x:v>
      </x:c>
      <x:c r="Q1406" s="78" t="n">
        <x:f>IF(J1406&gt;0,M1406/J1406,0)</x:f>
        <x:v>0</x:v>
      </x:c>
      <x:c r="R1406" s="78" t="n">
        <x:f>IF(B1406='Inputs'!$H$47,'Inputs'!$B$27*'Inputs'!$I$47,0)</x:f>
        <x:v>0</x:v>
      </x:c>
      <x:c r="S1406" s="78" t="n">
        <x:f>Q1406+G1406+R1406</x:f>
        <x:v>309583.99793582276</x:v>
      </x:c>
      <x:c r="T1406" s="78" t="n">
        <x:f>P1406*(S1406*(1-'Inputs'!$B$15))/(O1406+S1406*(1-'Inputs'!$B$15))</x:f>
        <x:v>8199.347911218774</x:v>
      </x:c>
      <x:c r="U1406" s="78" t="n">
        <x:f>O1406+S1406*(1-'Inputs'!$B$17)</x:f>
        <x:v>1853669.3054698925</x:v>
      </x:c>
      <x:c r="V1406" s="78" t="n">
        <x:f>P1406-T1406</x:f>
        <x:v>41341.589059111604</x:v>
      </x:c>
      <x:c r="W1406" s="79" t="n">
        <x:f>IF(U1406&gt;0,V1406/U1406,0)</x:f>
        <x:v>0.02230256979339246</x:v>
      </x:c>
      <x:c r="X1406" s="80" t="n">
        <x:f>W1406*('Inputs'!$B$6-AC1406)</x:f>
        <x:v>22192919.270446308</x:v>
      </x:c>
      <x:c r="Y1406" s="80" t="n">
        <x:f>2*V1406</x:f>
        <x:v>82683.17811822321</x:v>
      </x:c>
      <x:c r="Z1406" s="80" t="n">
        <x:f>K1406*'Inputs'!$B$16+(G1406+R1406)*J1406*'Inputs'!$B$16</x:f>
        <x:v>1045.8386327422763</x:v>
      </x:c>
      <x:c r="AA1406" s="80" t="n">
        <x:f>K1406*(1+'Inputs'!$E$47)/2*'Inputs'!$B$17</x:f>
        <x:v>353.73459288857623</x:v>
      </x:c>
      <x:c r="AB1406" s="78" t="n">
        <x:f>(IF(J1406&gt;0,K1406*(1-'Inputs'!$E$47)/2/J1406,0)+G1406+R1406)*'Inputs'!$B$17</x:f>
        <x:v>15663.746947373607</x:v>
      </x:c>
      <x:c r="AC1406" s="78" t="n">
        <x:f>AC1405+AB1406</x:f>
        <x:v>4916497.24502327</x:v>
      </x:c>
      <x:c r="AD1406" s="80" t="n">
        <x:f>Z1406/(1+'Inputs'!$C$47)</x:f>
        <x:v>418.33545309691056</x:v>
      </x:c>
      <x:c r="AE1406" s="80" t="n">
        <x:f>Z1406-AD1406</x:f>
        <x:v>627.5031796453658</x:v>
      </x:c>
      <x:c r="AF1406" s="80" t="n">
        <x:f>D1406*W1406</x:f>
        <x:v>5849.794768207061</x:v>
      </x:c>
      <x:c r="AG1406" s="80" t="n">
        <x:f>C1406*W1406</x:f>
        <x:v>13649.521125816475</x:v>
      </x:c>
      <x:c r="AH1406" s="80" t="n">
        <x:f>2*'Inputs'!$B$8*'Inputs'!$C$47</x:f>
        <x:v>7500</x:v>
      </x:c>
      <x:c r="AI1406" s="81" t="n">
        <x:f>IF(AH1406&gt;0,(AE1406+AF1406)/AH1406*365,0)</x:f>
        <x:v>315.2285001288181</x:v>
      </x:c>
      <x:c r="AJ1406" s="81" t="n">
        <x:f>IF('Inputs'!$B$47&gt;0,AG1406/('Inputs'!$B$19*'Inputs'!$B$47)*365,0)</x:f>
        <x:v>498.20752109230136</x:v>
      </x:c>
      <x:c r="AK1406" s="81" t="n">
        <x:f>W1406/MAX($W$1099:W1406)-1</x:f>
        <x:v>0</x:v>
      </x:c>
      <x:c r="AL1406" s="83" t="n">
        <x:f>'Inputs'!$B$47</x:f>
        <x:v>1</x:v>
      </x:c>
      <x:c r="AM1406" s="83" t="n">
        <x:f>'Inputs'!$C$47</x:f>
        <x:v>1.5</x:v>
      </x:c>
      <x:c r="AN1406" s="83" t="n">
        <x:f>'Inputs'!$D$47</x:f>
        <x:v>1.5</x:v>
      </x:c>
      <x:c r="AO1406" s="81" t="n">
        <x:f>'Inputs'!$E$47</x:f>
        <x:v>0.05</x:v>
      </x:c>
    </x:row>
    <x:row r="1407">
      <x:c r="A1407" s="59" t="str">
        <x:v>Growth</x:v>
      </x:c>
      <x:c r="B1407" s="59" t="n">
        <x:v>309</x:v>
      </x:c>
      <x:c r="C1407" s="78" t="n">
        <x:f>(('Inputs'!$B$29*(3*309*'Inputs'!$B$12-309^2)/(2*'Inputs'!$B$12^2))-('Inputs'!$B$29*(3*308*'Inputs'!$B$12-308^2)/(2*'Inputs'!$B$12^2)))*'Inputs'!$B$47</x:f>
        <x:v>611690.5141677558</x:v>
      </x:c>
      <x:c r="D1407" s="78" t="n">
        <x:f>IF('Inputs'!$C$47&gt;0,('Inputs'!$B$30*(3*309*'Inputs'!$B$12-309^2)/(2*'Inputs'!$B$12^2))-('Inputs'!$B$30*(3*308*'Inputs'!$B$12-308^2)/(2*'Inputs'!$B$12^2)),0)</x:f>
        <x:v>262153.07750047743</x:v>
      </x:c>
      <x:c r="E1407" s="78" t="n">
        <x:f>C1407+D1407</x:f>
        <x:v>873843.5916682333</x:v>
      </x:c>
      <x:c r="F1407" s="78" t="n">
        <x:f>'Inputs'!$B$13*E1407+(1-'Inputs'!$B$13)/'Inputs'!$B$14*SUM(E1352:E1407)</x:f>
        <x:v>884061.2685306818</x:v>
      </x:c>
      <x:c r="G1407" s="78" t="n">
        <x:f>F1407*'Inputs'!$F$47</x:f>
        <x:v>309421.4439857386</x:v>
      </x:c>
      <x:c r="H1407" s="78" t="n">
        <x:f>U1406</x:f>
        <x:v>1853669.3054698925</x:v>
      </x:c>
      <x:c r="I1407" s="78" t="n">
        <x:f>V1406</x:f>
        <x:v>41341.589059111604</x:v>
      </x:c>
      <x:c r="J1407" s="79" t="n">
        <x:f>IF(H1407&gt;0,I1407/H1407,0)</x:f>
        <x:v>0.02230256979339246</x:v>
      </x:c>
      <x:c r="K1407" s="80" t="n">
        <x:f>(H1407*J1407+I1407)*'Inputs'!$D$47*(1+'Inputs'!$G$47)^(B1407/30)</x:f>
        <x:v>168163.5376058372</x:v>
      </x:c>
      <x:c r="L1407" s="80" t="n">
        <x:f>MAX(0,K1407*'Inputs'!$E$47)</x:f>
        <x:v>8408.17688029186</x:v>
      </x:c>
      <x:c r="M1407" s="80" t="n">
        <x:f>MAX(0,-K1407*'Inputs'!$E$47)</x:f>
        <x:v>0</x:v>
      </x:c>
      <x:c r="N1407" s="78" t="n">
        <x:f>H1407*(L1407*(1-'Inputs'!$B$15))/(I1407+L1407*(1-'Inputs'!$B$15))</x:f>
        <x:v>310679.69487698807</x:v>
      </x:c>
      <x:c r="O1407" s="78" t="n">
        <x:f>H1407-N1407</x:f>
        <x:v>1542989.6105929045</x:v>
      </x:c>
      <x:c r="P1407" s="78" t="n">
        <x:f>I1407+L1407*(1-'Inputs'!$B$17)</x:f>
        <x:v>49715.930217551184</x:v>
      </x:c>
      <x:c r="Q1407" s="78" t="n">
        <x:f>IF(J1407&gt;0,M1407/J1407,0)</x:f>
        <x:v>0</x:v>
      </x:c>
      <x:c r="R1407" s="78" t="n">
        <x:f>IF(B1407='Inputs'!$H$47,'Inputs'!$B$27*'Inputs'!$I$47,0)</x:f>
        <x:v>0</x:v>
      </x:c>
      <x:c r="S1407" s="78" t="n">
        <x:f>Q1407+G1407+R1407</x:f>
        <x:v>309421.4439857386</x:v>
      </x:c>
      <x:c r="T1407" s="78" t="n">
        <x:f>P1407*(S1407*(1-'Inputs'!$B$15))/(O1407+S1407*(1-'Inputs'!$B$15))</x:f>
        <x:v>8235.118416320644</x:v>
      </x:c>
      <x:c r="U1407" s="78" t="n">
        <x:f>O1407+S1407*(1-'Inputs'!$B$17)</x:f>
        <x:v>1851165.8978624027</x:v>
      </x:c>
      <x:c r="V1407" s="78" t="n">
        <x:f>P1407-T1407</x:f>
        <x:v>41480.81180123054</x:v>
      </x:c>
      <x:c r="W1407" s="79" t="n">
        <x:f>IF(U1407&gt;0,V1407/U1407,0)</x:f>
        <x:v>0.022407938612703317</x:v>
      </x:c>
      <x:c r="X1407" s="80" t="n">
        <x:f>W1407*('Inputs'!$B$6-AC1407)</x:f>
        <x:v>22297419.18484948</x:v>
      </x:c>
      <x:c r="Y1407" s="80" t="n">
        <x:f>2*V1407</x:f>
        <x:v>82961.62360246108</x:v>
      </x:c>
      <x:c r="Z1407" s="80" t="n">
        <x:f>K1407*'Inputs'!$B$16+(G1407+R1407)*J1407*'Inputs'!$B$16</x:f>
        <x:v>1050.3865857354085</x:v>
      </x:c>
      <x:c r="AA1407" s="80" t="n">
        <x:f>K1407*(1+'Inputs'!$E$47)/2*'Inputs'!$B$17</x:f>
        <x:v>355.2750794489519</x:v>
      </x:c>
      <x:c r="AB1407" s="78" t="n">
        <x:f>(IF(J1407&gt;0,K1407*(1-'Inputs'!$E$47)/2/J1407,0)+G1407+R1407)*'Inputs'!$B$17</x:f>
        <x:v>15657.816807630536</x:v>
      </x:c>
      <x:c r="AC1407" s="78" t="n">
        <x:f>AC1406+AB1407</x:f>
        <x:v>4932155.061830901</x:v>
      </x:c>
      <x:c r="AD1407" s="80" t="n">
        <x:f>Z1407/(1+'Inputs'!$C$47)</x:f>
        <x:v>420.15463429416343</x:v>
      </x:c>
      <x:c r="AE1407" s="80" t="n">
        <x:f>Z1407-AD1407</x:f>
        <x:v>630.2319514412451</x:v>
      </x:c>
      <x:c r="AF1407" s="80" t="n">
        <x:f>D1407*W1407</x:f>
        <x:v>5874.310067761953</x:v>
      </x:c>
      <x:c r="AG1407" s="80" t="n">
        <x:f>C1407*W1407</x:f>
        <x:v>13706.723491444001</x:v>
      </x:c>
      <x:c r="AH1407" s="80" t="n">
        <x:f>2*'Inputs'!$B$8*'Inputs'!$C$47</x:f>
        <x:v>7500</x:v>
      </x:c>
      <x:c r="AI1407" s="81" t="n">
        <x:f>IF(AH1407&gt;0,(AE1407+AF1407)/AH1407*365,0)</x:f>
        <x:v>316.554378267889</x:v>
      </x:c>
      <x:c r="AJ1407" s="81" t="n">
        <x:f>IF('Inputs'!$B$47&gt;0,AG1407/('Inputs'!$B$19*'Inputs'!$B$47)*365,0)</x:f>
        <x:v>500.29540743770605</x:v>
      </x:c>
      <x:c r="AK1407" s="81" t="n">
        <x:f>W1407/MAX($W$1099:W1407)-1</x:f>
        <x:v>0</x:v>
      </x:c>
      <x:c r="AL1407" s="83" t="n">
        <x:f>'Inputs'!$B$47</x:f>
        <x:v>1</x:v>
      </x:c>
      <x:c r="AM1407" s="83" t="n">
        <x:f>'Inputs'!$C$47</x:f>
        <x:v>1.5</x:v>
      </x:c>
      <x:c r="AN1407" s="83" t="n">
        <x:f>'Inputs'!$D$47</x:f>
        <x:v>1.5</x:v>
      </x:c>
      <x:c r="AO1407" s="81" t="n">
        <x:f>'Inputs'!$E$47</x:f>
        <x:v>0.05</x:v>
      </x:c>
    </x:row>
    <x:row r="1408">
      <x:c r="A1408" s="59" t="str">
        <x:v>Growth</x:v>
      </x:c>
      <x:c r="B1408" s="59" t="n">
        <x:v>310</x:v>
      </x:c>
      <x:c r="C1408" s="78" t="n">
        <x:f>(('Inputs'!$B$29*(3*310*'Inputs'!$B$12-310^2)/(2*'Inputs'!$B$12^2))-('Inputs'!$B$29*(3*309*'Inputs'!$B$12-309^2)/(2*'Inputs'!$B$12^2)))*'Inputs'!$B$47</x:f>
        <x:v>611365.4062675834</x:v>
      </x:c>
      <x:c r="D1408" s="78" t="n">
        <x:f>IF('Inputs'!$C$47&gt;0,('Inputs'!$B$30*(3*310*'Inputs'!$B$12-310^2)/(2*'Inputs'!$B$12^2))-('Inputs'!$B$30*(3*309*'Inputs'!$B$12-309^2)/(2*'Inputs'!$B$12^2)),0)</x:f>
        <x:v>262013.7455432415</x:v>
      </x:c>
      <x:c r="E1408" s="78" t="n">
        <x:f>C1408+D1408</x:f>
        <x:v>873379.1518108249</x:v>
      </x:c>
      <x:c r="F1408" s="78" t="n">
        <x:f>'Inputs'!$B$13*E1408+(1-'Inputs'!$B$13)/'Inputs'!$B$14*SUM(E1353:E1408)</x:f>
        <x:v>883596.8286732928</x:v>
      </x:c>
      <x:c r="G1408" s="78" t="n">
        <x:f>F1408*'Inputs'!$F$47</x:f>
        <x:v>309258.89003565244</x:v>
      </x:c>
      <x:c r="H1408" s="78" t="n">
        <x:f>U1407</x:f>
        <x:v>1851165.8978624027</x:v>
      </x:c>
      <x:c r="I1408" s="78" t="n">
        <x:f>V1407</x:f>
        <x:v>41480.81180123054</x:v>
      </x:c>
      <x:c r="J1408" s="79" t="n">
        <x:f>IF(H1408&gt;0,I1408/H1408,0)</x:f>
        <x:v>0.022407938612703317</x:v>
      </x:c>
      <x:c r="K1408" s="80" t="n">
        <x:f>(H1408*J1408+I1408)*'Inputs'!$D$47*(1+'Inputs'!$G$47)^(B1408/30)</x:f>
        <x:v>168896.17875290336</x:v>
      </x:c>
      <x:c r="L1408" s="80" t="n">
        <x:f>MAX(0,K1408*'Inputs'!$E$47)</x:f>
        <x:v>8444.808937645168</x:v>
      </x:c>
      <x:c r="M1408" s="80" t="n">
        <x:f>MAX(0,-K1408*'Inputs'!$E$47)</x:f>
        <x:v>0</x:v>
      </x:c>
      <x:c r="N1408" s="78" t="n">
        <x:f>H1408*(L1408*(1-'Inputs'!$B$15))/(I1408+L1408*(1-'Inputs'!$B$15))</x:f>
        <x:v>310514.6623450185</x:v>
      </x:c>
      <x:c r="O1408" s="78" t="n">
        <x:f>H1408-N1408</x:f>
        <x:v>1540651.2355173843</x:v>
      </x:c>
      <x:c r="P1408" s="78" t="n">
        <x:f>I1408+L1408*(1-'Inputs'!$B$17)</x:f>
        <x:v>49891.63760431778</x:v>
      </x:c>
      <x:c r="Q1408" s="78" t="n">
        <x:f>IF(J1408&gt;0,M1408/J1408,0)</x:f>
        <x:v>0</x:v>
      </x:c>
      <x:c r="R1408" s="78" t="n">
        <x:f>IF(B1408='Inputs'!$H$47,'Inputs'!$B$27*'Inputs'!$I$47,0)</x:f>
        <x:v>0</x:v>
      </x:c>
      <x:c r="S1408" s="78" t="n">
        <x:f>Q1408+G1408+R1408</x:f>
        <x:v>309258.89003565244</x:v>
      </x:c>
      <x:c r="T1408" s="78" t="n">
        <x:f>P1408*(S1408*(1-'Inputs'!$B$15))/(O1408+S1408*(1-'Inputs'!$B$15))</x:f>
        <x:v>8271.059722869262</x:v>
      </x:c>
      <x:c r="U1408" s="78" t="n">
        <x:f>O1408+S1408*(1-'Inputs'!$B$17)</x:f>
        <x:v>1848665.6229774405</x:v>
      </x:c>
      <x:c r="V1408" s="78" t="n">
        <x:f>P1408-T1408</x:f>
        <x:v>41620.57788144852</x:v>
      </x:c>
      <x:c r="W1408" s="79" t="n">
        <x:f>IF(U1408&gt;0,V1408/U1408,0)</x:f>
        <x:v>0.022513848564141563</x:v>
      </x:c>
      <x:c r="X1408" s="80" t="n">
        <x:f>W1408*('Inputs'!$B$6-AC1408)</x:f>
        <x:v>22402454.387778465</x:v>
      </x:c>
      <x:c r="Y1408" s="80" t="n">
        <x:f>2*V1408</x:f>
        <x:v>83241.15576289703</x:v>
      </x:c>
      <x:c r="Z1408" s="80" t="n">
        <x:f>K1408*'Inputs'!$B$16+(G1408+R1408)*J1408*'Inputs'!$B$16</x:f>
        <x:v>1054.9561978575302</x:v>
      </x:c>
      <x:c r="AA1408" s="80" t="n">
        <x:f>K1408*(1+'Inputs'!$E$47)/2*'Inputs'!$B$17</x:f>
        <x:v>356.8229128582466</x:v>
      </x:c>
      <x:c r="AB1408" s="78" t="n">
        <x:f>(IF(J1408&gt;0,K1408*(1-'Inputs'!$E$47)/2/J1408,0)+G1408+R1408)*'Inputs'!$B$17</x:f>
        <x:v>15651.886667468732</x:v>
      </x:c>
      <x:c r="AC1408" s="78" t="n">
        <x:f>AC1407+AB1408</x:f>
        <x:v>4947806.948498369</x:v>
      </x:c>
      <x:c r="AD1408" s="80" t="n">
        <x:f>Z1408/(1+'Inputs'!$C$47)</x:f>
        <x:v>421.9824791430121</x:v>
      </x:c>
      <x:c r="AE1408" s="80" t="n">
        <x:f>Z1408-AD1408</x:f>
        <x:v>632.9737187145181</x:v>
      </x:c>
      <x:c r="AF1408" s="80" t="n">
        <x:f>D1408*W1408</x:f>
        <x:v>5898.937788884061</x:v>
      </x:c>
      <x:c r="AG1408" s="80" t="n">
        <x:f>C1408*W1408</x:f>
        <x:v>13764.188174063254</x:v>
      </x:c>
      <x:c r="AH1408" s="80" t="n">
        <x:f>2*'Inputs'!$B$8*'Inputs'!$C$47</x:f>
        <x:v>7500</x:v>
      </x:c>
      <x:c r="AI1408" s="81" t="n">
        <x:f>IF(AH1408&gt;0,(AE1408+AF1408)/AH1408*365,0)</x:f>
        <x:v>317.88636003646417</x:v>
      </x:c>
      <x:c r="AJ1408" s="81" t="n">
        <x:f>IF('Inputs'!$B$47&gt;0,AG1408/('Inputs'!$B$19*'Inputs'!$B$47)*365,0)</x:f>
        <x:v>502.39286835330876</x:v>
      </x:c>
      <x:c r="AK1408" s="81" t="n">
        <x:f>W1408/MAX($W$1099:W1408)-1</x:f>
        <x:v>0</x:v>
      </x:c>
      <x:c r="AL1408" s="83" t="n">
        <x:f>'Inputs'!$B$47</x:f>
        <x:v>1</x:v>
      </x:c>
      <x:c r="AM1408" s="83" t="n">
        <x:f>'Inputs'!$C$47</x:f>
        <x:v>1.5</x:v>
      </x:c>
      <x:c r="AN1408" s="83" t="n">
        <x:f>'Inputs'!$D$47</x:f>
        <x:v>1.5</x:v>
      </x:c>
      <x:c r="AO1408" s="81" t="n">
        <x:f>'Inputs'!$E$47</x:f>
        <x:v>0.05</x:v>
      </x:c>
    </x:row>
    <x:row r="1409">
      <x:c r="A1409" s="59" t="str">
        <x:v>Growth</x:v>
      </x:c>
      <x:c r="B1409" s="59" t="n">
        <x:v>311</x:v>
      </x:c>
      <x:c r="C1409" s="78" t="n">
        <x:f>(('Inputs'!$B$29*(3*311*'Inputs'!$B$12-311^2)/(2*'Inputs'!$B$12^2))-('Inputs'!$B$29*(3*310*'Inputs'!$B$12-310^2)/(2*'Inputs'!$B$12^2)))*'Inputs'!$B$47</x:f>
        <x:v>611040.2983674109</x:v>
      </x:c>
      <x:c r="D1409" s="78" t="n">
        <x:f>IF('Inputs'!$C$47&gt;0,('Inputs'!$B$30*(3*311*'Inputs'!$B$12-311^2)/(2*'Inputs'!$B$12^2))-('Inputs'!$B$30*(3*310*'Inputs'!$B$12-310^2)/(2*'Inputs'!$B$12^2)),0)</x:f>
        <x:v>261874.41358605027</x:v>
      </x:c>
      <x:c r="E1409" s="78" t="n">
        <x:f>C1409+D1409</x:f>
        <x:v>872914.7119534612</x:v>
      </x:c>
      <x:c r="F1409" s="78" t="n">
        <x:f>'Inputs'!$B$13*E1409+(1-'Inputs'!$B$13)/'Inputs'!$B$14*SUM(E1354:E1409)</x:f>
        <x:v>883132.3888159127</x:v>
      </x:c>
      <x:c r="G1409" s="78" t="n">
        <x:f>F1409*'Inputs'!$F$47</x:f>
        <x:v>309096.3360855694</x:v>
      </x:c>
      <x:c r="H1409" s="78" t="n">
        <x:f>U1408</x:f>
        <x:v>1848665.6229774405</x:v>
      </x:c>
      <x:c r="I1409" s="78" t="n">
        <x:f>V1408</x:f>
        <x:v>41620.57788144852</x:v>
      </x:c>
      <x:c r="J1409" s="79" t="n">
        <x:f>IF(H1409&gt;0,I1409/H1409,0)</x:f>
        <x:v>0.022513848564141563</x:v>
      </x:c>
      <x:c r="K1409" s="80" t="n">
        <x:f>(H1409*J1409+I1409)*'Inputs'!$D$47*(1+'Inputs'!$G$47)^(B1409/30)</x:f>
        <x:v>169632.31540410308</x:v>
      </x:c>
      <x:c r="L1409" s="80" t="n">
        <x:f>MAX(0,K1409*'Inputs'!$E$47)</x:f>
        <x:v>8481.615770205155</x:v>
      </x:c>
      <x:c r="M1409" s="80" t="n">
        <x:f>MAX(0,-K1409*'Inputs'!$E$47)</x:f>
        <x:v>0</x:v>
      </x:c>
      <x:c r="N1409" s="78" t="n">
        <x:f>H1409*(L1409*(1-'Inputs'!$B$15))/(I1409+L1409*(1-'Inputs'!$B$15))</x:f>
        <x:v>310349.6337556261</x:v>
      </x:c>
      <x:c r="O1409" s="78" t="n">
        <x:f>H1409-N1409</x:f>
        <x:v>1538315.9892218143</x:v>
      </x:c>
      <x:c r="P1409" s="78" t="n">
        <x:f>I1409+L1409*(1-'Inputs'!$B$17)</x:f>
        <x:v>50068.06240106934</x:v>
      </x:c>
      <x:c r="Q1409" s="78" t="n">
        <x:f>IF(J1409&gt;0,M1409/J1409,0)</x:f>
        <x:v>0</x:v>
      </x:c>
      <x:c r="R1409" s="78" t="n">
        <x:f>IF(B1409='Inputs'!$H$47,'Inputs'!$B$27*'Inputs'!$I$47,0)</x:f>
        <x:v>0</x:v>
      </x:c>
      <x:c r="S1409" s="78" t="n">
        <x:f>Q1409+G1409+R1409</x:f>
        <x:v>309096.3360855694</x:v>
      </x:c>
      <x:c r="T1409" s="78" t="n">
        <x:f>P1409*(S1409*(1-'Inputs'!$B$15))/(O1409+S1409*(1-'Inputs'!$B$15))</x:f>
        <x:v>8307.172715536572</x:v>
      </x:c>
      <x:c r="U1409" s="78" t="n">
        <x:f>O1409+S1409*(1-'Inputs'!$B$17)</x:f>
        <x:v>1846168.4768724318</x:v>
      </x:c>
      <x:c r="V1409" s="78" t="n">
        <x:f>P1409-T1409</x:f>
        <x:v>41760.88968553277</x:v>
      </x:c>
      <x:c r="W1409" s="79" t="n">
        <x:f>IF(U1409&gt;0,V1409/U1409,0)</x:f>
        <x:v>0.02262030264771897</x:v>
      </x:c>
      <x:c r="X1409" s="80" t="n">
        <x:f>W1409*('Inputs'!$B$6-AC1409)</x:f>
        <x:v>22508027.840829633</x:v>
      </x:c>
      <x:c r="Y1409" s="80" t="n">
        <x:f>2*V1409</x:f>
        <x:v>83521.77937106554</x:v>
      </x:c>
      <x:c r="Z1409" s="80" t="n">
        <x:f>K1409*'Inputs'!$B$16+(G1409+R1409)*J1409*'Inputs'!$B$16</x:f>
        <x:v>1059.5475810387877</x:v>
      </x:c>
      <x:c r="AA1409" s="80" t="n">
        <x:f>K1409*(1+'Inputs'!$E$47)/2*'Inputs'!$B$17</x:f>
        <x:v>358.3781311354291</x:v>
      </x:c>
      <x:c r="AB1409" s="78" t="n">
        <x:f>(IF(J1409&gt;0,K1409*(1-'Inputs'!$E$47)/2/J1409,0)+G1409+R1409)*'Inputs'!$B$17</x:f>
        <x:v>15645.956525327065</x:v>
      </x:c>
      <x:c r="AC1409" s="78" t="n">
        <x:f>AC1408+AB1409</x:f>
        <x:v>4963452.905023696</x:v>
      </x:c>
      <x:c r="AD1409" s="80" t="n">
        <x:f>Z1409/(1+'Inputs'!$C$47)</x:f>
        <x:v>423.8190324155151</x:v>
      </x:c>
      <x:c r="AE1409" s="80" t="n">
        <x:f>Z1409-AD1409</x:f>
        <x:v>635.7285486232727</x:v>
      </x:c>
      <x:c r="AF1409" s="80" t="n">
        <x:f>D1409*W1409</x:f>
        <x:v>5923.678491010386</x:v>
      </x:c>
      <x:c r="AG1409" s="80" t="n">
        <x:f>C1409*W1409</x:f>
        <x:v>13821.916479023335</x:v>
      </x:c>
      <x:c r="AH1409" s="80" t="n">
        <x:f>2*'Inputs'!$B$8*'Inputs'!$C$47</x:f>
        <x:v>7500</x:v>
      </x:c>
      <x:c r="AI1409" s="81" t="n">
        <x:f>IF(AH1409&gt;0,(AE1409+AF1409)/AH1409*365,0)</x:f>
        <x:v>319.22447592883805</x:v>
      </x:c>
      <x:c r="AJ1409" s="81" t="n">
        <x:f>IF('Inputs'!$B$47&gt;0,AG1409/('Inputs'!$B$19*'Inputs'!$B$47)*365,0)</x:f>
        <x:v>504.49995148435175</x:v>
      </x:c>
      <x:c r="AK1409" s="81" t="n">
        <x:f>W1409/MAX($W$1099:W1409)-1</x:f>
        <x:v>0</x:v>
      </x:c>
      <x:c r="AL1409" s="83" t="n">
        <x:f>'Inputs'!$B$47</x:f>
        <x:v>1</x:v>
      </x:c>
      <x:c r="AM1409" s="83" t="n">
        <x:f>'Inputs'!$C$47</x:f>
        <x:v>1.5</x:v>
      </x:c>
      <x:c r="AN1409" s="83" t="n">
        <x:f>'Inputs'!$D$47</x:f>
        <x:v>1.5</x:v>
      </x:c>
      <x:c r="AO1409" s="81" t="n">
        <x:f>'Inputs'!$E$47</x:f>
        <x:v>0.05</x:v>
      </x:c>
    </x:row>
    <x:row r="1410">
      <x:c r="A1410" s="59" t="str">
        <x:v>Growth</x:v>
      </x:c>
      <x:c r="B1410" s="59" t="n">
        <x:v>312</x:v>
      </x:c>
      <x:c r="C1410" s="78" t="n">
        <x:f>(('Inputs'!$B$29*(3*312*'Inputs'!$B$12-312^2)/(2*'Inputs'!$B$12^2))-('Inputs'!$B$29*(3*311*'Inputs'!$B$12-311^2)/(2*'Inputs'!$B$12^2)))*'Inputs'!$B$47</x:f>
        <x:v>610715.1904672682</x:v>
      </x:c>
      <x:c r="D1410" s="78" t="n">
        <x:f>IF('Inputs'!$C$47&gt;0,('Inputs'!$B$30*(3*312*'Inputs'!$B$12-312^2)/(2*'Inputs'!$B$12^2))-('Inputs'!$B$30*(3*311*'Inputs'!$B$12-311^2)/(2*'Inputs'!$B$12^2)),0)</x:f>
        <x:v>261735.08162881434</x:v>
      </x:c>
      <x:c r="E1410" s="78" t="n">
        <x:f>C1410+D1410</x:f>
        <x:v>872450.2720960826</x:v>
      </x:c>
      <x:c r="F1410" s="78" t="n">
        <x:f>'Inputs'!$B$13*E1410+(1-'Inputs'!$B$13)/'Inputs'!$B$14*SUM(E1355:E1410)</x:f>
        <x:v>882667.9489585296</x:v>
      </x:c>
      <x:c r="G1410" s="78" t="n">
        <x:f>F1410*'Inputs'!$F$47</x:f>
        <x:v>308933.7821354853</x:v>
      </x:c>
      <x:c r="H1410" s="78" t="n">
        <x:f>U1409</x:f>
        <x:v>1846168.4768724318</x:v>
      </x:c>
      <x:c r="I1410" s="78" t="n">
        <x:f>V1409</x:f>
        <x:v>41760.88968553277</x:v>
      </x:c>
      <x:c r="J1410" s="79" t="n">
        <x:f>IF(H1410&gt;0,I1410/H1410,0)</x:f>
        <x:v>0.02262030264771897</x:v>
      </x:c>
      <x:c r="K1410" s="80" t="n">
        <x:f>(H1410*J1410+I1410)*'Inputs'!$D$47*(1+'Inputs'!$G$47)^(B1410/30)</x:f>
        <x:v>170371.9656552744</x:v>
      </x:c>
      <x:c r="L1410" s="80" t="n">
        <x:f>MAX(0,K1410*'Inputs'!$E$47)</x:f>
        <x:v>8518.59828276372</x:v>
      </x:c>
      <x:c r="M1410" s="80" t="n">
        <x:f>MAX(0,-K1410*'Inputs'!$E$47)</x:f>
        <x:v>0</x:v>
      </x:c>
      <x:c r="N1410" s="78" t="n">
        <x:f>H1410*(L1410*(1-'Inputs'!$B$15))/(I1410+L1410*(1-'Inputs'!$B$15))</x:f>
        <x:v>310184.60910398886</x:v>
      </x:c>
      <x:c r="O1410" s="78" t="n">
        <x:f>H1410-N1410</x:f>
        <x:v>1535983.867768443</x:v>
      </x:c>
      <x:c r="P1410" s="78" t="n">
        <x:f>I1410+L1410*(1-'Inputs'!$B$17)</x:f>
        <x:v>50245.207894724</x:v>
      </x:c>
      <x:c r="Q1410" s="78" t="n">
        <x:f>IF(J1410&gt;0,M1410/J1410,0)</x:f>
        <x:v>0</x:v>
      </x:c>
      <x:c r="R1410" s="78" t="n">
        <x:f>IF(B1410='Inputs'!$H$47,'Inputs'!$B$27*'Inputs'!$I$47,0)</x:f>
        <x:v>0</x:v>
      </x:c>
      <x:c r="S1410" s="78" t="n">
        <x:f>Q1410+G1410+R1410</x:f>
        <x:v>308933.7821354853</x:v>
      </x:c>
      <x:c r="T1410" s="78" t="n">
        <x:f>P1410*(S1410*(1-'Inputs'!$B$15))/(O1410+S1410*(1-'Inputs'!$B$15))</x:f>
        <x:v>8343.458283923304</x:v>
      </x:c>
      <x:c r="U1410" s="78" t="n">
        <x:f>O1410+S1410*(1-'Inputs'!$B$17)</x:f>
        <x:v>1843674.4556096205</x:v>
      </x:c>
      <x:c r="V1410" s="78" t="n">
        <x:f>P1410-T1410</x:f>
        <x:v>41901.749610800696</x:v>
      </x:c>
      <x:c r="W1410" s="79" t="n">
        <x:f>IF(U1410&gt;0,V1410/U1410,0)</x:f>
        <x:v>0.022727303881284</x:v>
      </x:c>
      <x:c r="X1410" s="80" t="n">
        <x:f>W1410*('Inputs'!$B$6-AC1410)</x:f>
        <x:v>22614142.523178846</x:v>
      </x:c>
      <x:c r="Y1410" s="80" t="n">
        <x:f>2*V1410</x:f>
        <x:v>83803.49922160139</x:v>
      </x:c>
      <x:c r="Z1410" s="80" t="n">
        <x:f>K1410*'Inputs'!$B$16+(G1410+R1410)*J1410*'Inputs'!$B$16</x:f>
        <x:v>1064.1608478317014</x:v>
      </x:c>
      <x:c r="AA1410" s="80" t="n">
        <x:f>K1410*(1+'Inputs'!$E$47)/2*'Inputs'!$B$17</x:f>
        <x:v>359.94077251114317</x:v>
      </x:c>
      <x:c r="AB1410" s="78" t="n">
        <x:f>(IF(J1410&gt;0,K1410*(1-'Inputs'!$E$47)/2/J1410,0)+G1410+R1410)*'Inputs'!$B$17</x:f>
        <x:v>15640.026379642104</x:v>
      </x:c>
      <x:c r="AC1410" s="78" t="n">
        <x:f>AC1409+AB1410</x:f>
        <x:v>4979092.931403338</x:v>
      </x:c>
      <x:c r="AD1410" s="80" t="n">
        <x:f>Z1410/(1+'Inputs'!$C$47)</x:f>
        <x:v>425.66433913268054</x:v>
      </x:c>
      <x:c r="AE1410" s="80" t="n">
        <x:f>Z1410-AD1410</x:f>
        <x:v>638.4965086990209</x:v>
      </x:c>
      <x:c r="AF1410" s="80" t="n">
        <x:f>D1410*W1410</x:f>
        <x:v>5948.532736570737</x:v>
      </x:c>
      <x:c r="AG1410" s="80" t="n">
        <x:f>C1410*W1410</x:f>
        <x:v>13879.909718665844</x:v>
      </x:c>
      <x:c r="AH1410" s="80" t="n">
        <x:f>2*'Inputs'!$B$8*'Inputs'!$C$47</x:f>
        <x:v>7500</x:v>
      </x:c>
      <x:c r="AI1410" s="81" t="n">
        <x:f>IF(AH1410&gt;0,(AE1410+AF1410)/AH1410*365,0)</x:f>
        <x:v>320.5687566031282</x:v>
      </x:c>
      <x:c r="AJ1410" s="81" t="n">
        <x:f>IF('Inputs'!$B$47&gt;0,AG1410/('Inputs'!$B$19*'Inputs'!$B$47)*365,0)</x:f>
        <x:v>506.6167047313033</x:v>
      </x:c>
      <x:c r="AK1410" s="81" t="n">
        <x:f>W1410/MAX($W$1099:W1410)-1</x:f>
        <x:v>0</x:v>
      </x:c>
      <x:c r="AL1410" s="83" t="n">
        <x:f>'Inputs'!$B$47</x:f>
        <x:v>1</x:v>
      </x:c>
      <x:c r="AM1410" s="83" t="n">
        <x:f>'Inputs'!$C$47</x:f>
        <x:v>1.5</x:v>
      </x:c>
      <x:c r="AN1410" s="83" t="n">
        <x:f>'Inputs'!$D$47</x:f>
        <x:v>1.5</x:v>
      </x:c>
      <x:c r="AO1410" s="81" t="n">
        <x:f>'Inputs'!$E$47</x:f>
        <x:v>0.05</x:v>
      </x:c>
    </x:row>
    <x:row r="1411">
      <x:c r="A1411" s="59" t="str">
        <x:v>Growth</x:v>
      </x:c>
      <x:c r="B1411" s="59" t="n">
        <x:v>313</x:v>
      </x:c>
      <x:c r="C1411" s="78" t="n">
        <x:f>(('Inputs'!$B$29*(3*313*'Inputs'!$B$12-313^2)/(2*'Inputs'!$B$12^2))-('Inputs'!$B$29*(3*312*'Inputs'!$B$12-312^2)/(2*'Inputs'!$B$12^2)))*'Inputs'!$B$47</x:f>
        <x:v>610390.0825670958</x:v>
      </x:c>
      <x:c r="D1411" s="78" t="n">
        <x:f>IF('Inputs'!$C$47&gt;0,('Inputs'!$B$30*(3*313*'Inputs'!$B$12-313^2)/(2*'Inputs'!$B$12^2))-('Inputs'!$B$30*(3*312*'Inputs'!$B$12-312^2)/(2*'Inputs'!$B$12^2)),0)</x:f>
        <x:v>261595.7496716082</x:v>
      </x:c>
      <x:c r="E1411" s="78" t="n">
        <x:f>C1411+D1411</x:f>
        <x:v>871985.832238704</x:v>
      </x:c>
      <x:c r="F1411" s="78" t="n">
        <x:f>'Inputs'!$B$13*E1411+(1-'Inputs'!$B$13)/'Inputs'!$B$14*SUM(E1356:E1411)</x:f>
        <x:v>882203.5091011468</x:v>
      </x:c>
      <x:c r="G1411" s="78" t="n">
        <x:f>F1411*'Inputs'!$F$47</x:f>
        <x:v>308771.22818540136</x:v>
      </x:c>
      <x:c r="H1411" s="78" t="n">
        <x:f>U1410</x:f>
        <x:v>1843674.4556096205</x:v>
      </x:c>
      <x:c r="I1411" s="78" t="n">
        <x:f>V1410</x:f>
        <x:v>41901.749610800696</x:v>
      </x:c>
      <x:c r="J1411" s="79" t="n">
        <x:f>IF(H1411&gt;0,I1411/H1411,0)</x:f>
        <x:v>0.022727303881284</x:v>
      </x:c>
      <x:c r="K1411" s="80" t="n">
        <x:f>(H1411*J1411+I1411)*'Inputs'!$D$47*(1+'Inputs'!$G$47)^(B1411/30)</x:f>
        <x:v>171115.14770304447</x:v>
      </x:c>
      <x:c r="L1411" s="80" t="n">
        <x:f>MAX(0,K1411*'Inputs'!$E$47)</x:f>
        <x:v>8555.757385152223</x:v>
      </x:c>
      <x:c r="M1411" s="80" t="n">
        <x:f>MAX(0,-K1411*'Inputs'!$E$47)</x:f>
        <x:v>0</x:v>
      </x:c>
      <x:c r="N1411" s="78" t="n">
        <x:f>H1411*(L1411*(1-'Inputs'!$B$15))/(I1411+L1411*(1-'Inputs'!$B$15))</x:f>
        <x:v>310019.58838529023</x:v>
      </x:c>
      <x:c r="O1411" s="78" t="n">
        <x:f>H1411-N1411</x:f>
        <x:v>1533654.8672243303</x:v>
      </x:c>
      <x:c r="P1411" s="78" t="n">
        <x:f>I1411+L1411*(1-'Inputs'!$B$17)</x:f>
        <x:v>50423.077388769205</x:v>
      </x:c>
      <x:c r="Q1411" s="78" t="n">
        <x:f>IF(J1411&gt;0,M1411/J1411,0)</x:f>
        <x:v>0</x:v>
      </x:c>
      <x:c r="R1411" s="78" t="n">
        <x:f>IF(B1411='Inputs'!$H$47,'Inputs'!$B$27*'Inputs'!$I$47,0)</x:f>
        <x:v>0</x:v>
      </x:c>
      <x:c r="S1411" s="78" t="n">
        <x:f>Q1411+G1411+R1411</x:f>
        <x:v>308771.22818540136</x:v>
      </x:c>
      <x:c r="T1411" s="78" t="n">
        <x:f>P1411*(S1411*(1-'Inputs'!$B$15))/(O1411+S1411*(1-'Inputs'!$B$15))</x:f>
        <x:v>8379.917322588719</x:v>
      </x:c>
      <x:c r="U1411" s="78" t="n">
        <x:f>O1411+S1411*(1-'Inputs'!$B$17)</x:f>
        <x:v>1841183.555256068</x:v>
      </x:c>
      <x:c r="V1411" s="78" t="n">
        <x:f>P1411-T1411</x:f>
        <x:v>42043.160066180484</x:v>
      </x:c>
      <x:c r="W1411" s="79" t="n">
        <x:f>IF(U1411&gt;0,V1411/U1411,0)</x:f>
        <x:v>0.02283485530063471</x:v>
      </x:c>
      <x:c r="X1411" s="80" t="n">
        <x:f>W1411*('Inputs'!$B$6-AC1411)</x:f>
        <x:v>22720801.43169256</x:v>
      </x:c>
      <x:c r="Y1411" s="80" t="n">
        <x:f>2*V1411</x:f>
        <x:v>84086.32013236097</x:v>
      </x:c>
      <x:c r="Z1411" s="80" t="n">
        <x:f>K1411*'Inputs'!$B$16+(G1411+R1411)*J1411*'Inputs'!$B$16</x:f>
        <x:v>1068.7961114148682</x:v>
      </x:c>
      <x:c r="AA1411" s="80" t="n">
        <x:f>K1411*(1+'Inputs'!$E$47)/2*'Inputs'!$B$17</x:f>
        <x:v>361.5108754289672</x:v>
      </x:c>
      <x:c r="AB1411" s="78" t="n">
        <x:f>(IF(J1411&gt;0,K1411*(1-'Inputs'!$E$47)/2/J1411,0)+G1411+R1411)*'Inputs'!$B$17</x:f>
        <x:v>15634.096228848044</x:v>
      </x:c>
      <x:c r="AC1411" s="78" t="n">
        <x:f>AC1410+AB1411</x:f>
        <x:v>4994727.027632186</x:v>
      </x:c>
      <x:c r="AD1411" s="80" t="n">
        <x:f>Z1411/(1+'Inputs'!$C$47)</x:f>
        <x:v>427.5184445659473</x:v>
      </x:c>
      <x:c r="AE1411" s="80" t="n">
        <x:f>Z1411-AD1411</x:f>
        <x:v>641.277666848921</x:v>
      </x:c>
      <x:c r="AF1411" s="80" t="n">
        <x:f>D1411*W1411</x:f>
        <x:v>5973.501091012233</x:v>
      </x:c>
      <x:c r="AG1411" s="80" t="n">
        <x:f>C1411*W1411</x:f>
        <x:v>13938.169212362105</x:v>
      </x:c>
      <x:c r="AH1411" s="80" t="n">
        <x:f>2*'Inputs'!$B$8*'Inputs'!$C$47</x:f>
        <x:v>7500</x:v>
      </x:c>
      <x:c r="AI1411" s="81" t="n">
        <x:f>IF(AH1411&gt;0,(AE1411+AF1411)/AH1411*365,0)</x:f>
        <x:v>321.9192328825761</x:v>
      </x:c>
      <x:c r="AJ1411" s="81" t="n">
        <x:f>IF('Inputs'!$B$47&gt;0,AG1411/('Inputs'!$B$19*'Inputs'!$B$47)*365,0)</x:f>
        <x:v>508.7431762512169</x:v>
      </x:c>
      <x:c r="AK1411" s="81" t="n">
        <x:f>W1411/MAX($W$1099:W1411)-1</x:f>
        <x:v>0</x:v>
      </x:c>
      <x:c r="AL1411" s="83" t="n">
        <x:f>'Inputs'!$B$47</x:f>
        <x:v>1</x:v>
      </x:c>
      <x:c r="AM1411" s="83" t="n">
        <x:f>'Inputs'!$C$47</x:f>
        <x:v>1.5</x:v>
      </x:c>
      <x:c r="AN1411" s="83" t="n">
        <x:f>'Inputs'!$D$47</x:f>
        <x:v>1.5</x:v>
      </x:c>
      <x:c r="AO1411" s="81" t="n">
        <x:f>'Inputs'!$E$47</x:f>
        <x:v>0.05</x:v>
      </x:c>
    </x:row>
    <x:row r="1412">
      <x:c r="A1412" s="59" t="str">
        <x:v>Growth</x:v>
      </x:c>
      <x:c r="B1412" s="59" t="n">
        <x:v>314</x:v>
      </x:c>
      <x:c r="C1412" s="78" t="n">
        <x:f>(('Inputs'!$B$29*(3*314*'Inputs'!$B$12-314^2)/(2*'Inputs'!$B$12^2))-('Inputs'!$B$29*(3*313*'Inputs'!$B$12-313^2)/(2*'Inputs'!$B$12^2)))*'Inputs'!$B$47</x:f>
        <x:v>610064.9746668935</x:v>
      </x:c>
      <x:c r="D1412" s="78" t="n">
        <x:f>IF('Inputs'!$C$47&gt;0,('Inputs'!$B$30*(3*314*'Inputs'!$B$12-314^2)/(2*'Inputs'!$B$12^2))-('Inputs'!$B$30*(3*313*'Inputs'!$B$12-313^2)/(2*'Inputs'!$B$12^2)),0)</x:f>
        <x:v>261456.41771440208</x:v>
      </x:c>
      <x:c r="E1412" s="78" t="n">
        <x:f>C1412+D1412</x:f>
        <x:v>871521.3923812956</x:v>
      </x:c>
      <x:c r="F1412" s="78" t="n">
        <x:f>'Inputs'!$B$13*E1412+(1-'Inputs'!$B$13)/'Inputs'!$B$14*SUM(E1357:E1412)</x:f>
        <x:v>881739.0692437575</x:v>
      </x:c>
      <x:c r="G1412" s="78" t="n">
        <x:f>F1412*'Inputs'!$F$47</x:f>
        <x:v>308608.6742353151</x:v>
      </x:c>
      <x:c r="H1412" s="78" t="n">
        <x:f>U1411</x:f>
        <x:v>1841183.555256068</x:v>
      </x:c>
      <x:c r="I1412" s="78" t="n">
        <x:f>V1411</x:f>
        <x:v>42043.160066180484</x:v>
      </x:c>
      <x:c r="J1412" s="79" t="n">
        <x:f>IF(H1412&gt;0,I1412/H1412,0)</x:f>
        <x:v>0.02283485530063471</x:v>
      </x:c>
      <x:c r="K1412" s="80" t="n">
        <x:f>(H1412*J1412+I1412)*'Inputs'!$D$47*(1+'Inputs'!$G$47)^(B1412/30)</x:f>
        <x:v>171861.87984542895</x:v>
      </x:c>
      <x:c r="L1412" s="80" t="n">
        <x:f>MAX(0,K1412*'Inputs'!$E$47)</x:f>
        <x:v>8593.093992271448</x:v>
      </x:c>
      <x:c r="M1412" s="80" t="n">
        <x:f>MAX(0,-K1412*'Inputs'!$E$47)</x:f>
        <x:v>0</x:v>
      </x:c>
      <x:c r="N1412" s="78" t="n">
        <x:f>H1412*(L1412*(1-'Inputs'!$B$15))/(I1412+L1412*(1-'Inputs'!$B$15))</x:f>
        <x:v>309854.57159471925</x:v>
      </x:c>
      <x:c r="O1412" s="78" t="n">
        <x:f>H1412-N1412</x:f>
        <x:v>1531328.9836613487</x:v>
      </x:c>
      <x:c r="P1412" s="78" t="n">
        <x:f>I1412+L1412*(1-'Inputs'!$B$17)</x:f>
        <x:v>50601.674203352246</x:v>
      </x:c>
      <x:c r="Q1412" s="78" t="n">
        <x:f>IF(J1412&gt;0,M1412/J1412,0)</x:f>
        <x:v>0</x:v>
      </x:c>
      <x:c r="R1412" s="78" t="n">
        <x:f>IF(B1412='Inputs'!$H$47,'Inputs'!$B$27*'Inputs'!$I$47,0)</x:f>
        <x:v>0</x:v>
      </x:c>
      <x:c r="S1412" s="78" t="n">
        <x:f>Q1412+G1412+R1412</x:f>
        <x:v>308608.6742353151</x:v>
      </x:c>
      <x:c r="T1412" s="78" t="n">
        <x:f>P1412*(S1412*(1-'Inputs'!$B$15))/(O1412+S1412*(1-'Inputs'!$B$15))</x:f>
        <x:v>8416.550731079882</x:v>
      </x:c>
      <x:c r="U1412" s="78" t="n">
        <x:f>O1412+S1412*(1-'Inputs'!$B$17)</x:f>
        <x:v>1838695.7718836444</x:v>
      </x:c>
      <x:c r="V1412" s="78" t="n">
        <x:f>P1412-T1412</x:f>
        <x:v>42185.12347227236</x:v>
      </x:c>
      <x:c r="W1412" s="79" t="n">
        <x:f>IF(U1412&gt;0,V1412/U1412,0)</x:f>
        <x:v>0.02294295995963268</x:v>
      </x:c>
      <x:c r="X1412" s="80" t="n">
        <x:f>W1412*('Inputs'!$B$6-AC1412)</x:f>
        <x:v>22828007.581040002</x:v>
      </x:c>
      <x:c r="Y1412" s="80" t="n">
        <x:f>2*V1412</x:f>
        <x:v>84370.24694454472</x:v>
      </x:c>
      <x:c r="Z1412" s="80" t="n">
        <x:f>K1412*'Inputs'!$B$16+(G1412+R1412)*J1412*'Inputs'!$B$16</x:f>
        <x:v>1073.4534855966785</x:v>
      </x:c>
      <x:c r="AA1412" s="80" t="n">
        <x:f>K1412*(1+'Inputs'!$E$47)/2*'Inputs'!$B$17</x:f>
        <x:v>363.08847854668096</x:v>
      </x:c>
      <x:c r="AB1412" s="78" t="n">
        <x:f>(IF(J1412&gt;0,K1412*(1-'Inputs'!$E$47)/2/J1412,0)+G1412+R1412)*'Inputs'!$B$17</x:f>
        <x:v>15628.166071376736</x:v>
      </x:c>
      <x:c r="AC1412" s="78" t="n">
        <x:f>AC1411+AB1412</x:f>
        <x:v>5010355.193703563</x:v>
      </x:c>
      <x:c r="AD1412" s="80" t="n">
        <x:f>Z1412/(1+'Inputs'!$C$47)</x:f>
        <x:v>429.3813942386714</x:v>
      </x:c>
      <x:c r="AE1412" s="80" t="n">
        <x:f>Z1412-AD1412</x:f>
        <x:v>644.0720913580071</x:v>
      </x:c>
      <x:c r="AF1412" s="80" t="n">
        <x:f>D1412*W1412</x:f>
        <x:v>5998.584122810524</x:v>
      </x:c>
      <x:c r="AG1412" s="80" t="n">
        <x:f>C1412*W1412</x:f>
        <x:v>13996.696286556864</x:v>
      </x:c>
      <x:c r="AH1412" s="80" t="n">
        <x:f>2*'Inputs'!$B$8*'Inputs'!$C$47</x:f>
        <x:v>7500</x:v>
      </x:c>
      <x:c r="AI1412" s="81" t="n">
        <x:f>IF(AH1412&gt;0,(AE1412+AF1412)/AH1412*365,0)</x:f>
        <x:v>323.2759357562018</x:v>
      </x:c>
      <x:c r="AJ1412" s="81" t="n">
        <x:f>IF('Inputs'!$B$47&gt;0,AG1412/('Inputs'!$B$19*'Inputs'!$B$47)*365,0)</x:f>
        <x:v>510.8794144593256</x:v>
      </x:c>
      <x:c r="AK1412" s="81" t="n">
        <x:f>W1412/MAX($W$1099:W1412)-1</x:f>
        <x:v>0</x:v>
      </x:c>
      <x:c r="AL1412" s="83" t="n">
        <x:f>'Inputs'!$B$47</x:f>
        <x:v>1</x:v>
      </x:c>
      <x:c r="AM1412" s="83" t="n">
        <x:f>'Inputs'!$C$47</x:f>
        <x:v>1.5</x:v>
      </x:c>
      <x:c r="AN1412" s="83" t="n">
        <x:f>'Inputs'!$D$47</x:f>
        <x:v>1.5</x:v>
      </x:c>
      <x:c r="AO1412" s="81" t="n">
        <x:f>'Inputs'!$E$47</x:f>
        <x:v>0.05</x:v>
      </x:c>
    </x:row>
    <x:row r="1413">
      <x:c r="A1413" s="59" t="str">
        <x:v>Growth</x:v>
      </x:c>
      <x:c r="B1413" s="59" t="n">
        <x:v>315</x:v>
      </x:c>
      <x:c r="C1413" s="78" t="n">
        <x:f>(('Inputs'!$B$29*(3*315*'Inputs'!$B$12-315^2)/(2*'Inputs'!$B$12^2))-('Inputs'!$B$29*(3*314*'Inputs'!$B$12-314^2)/(2*'Inputs'!$B$12^2)))*'Inputs'!$B$47</x:f>
        <x:v>609739.8667667508</x:v>
      </x:c>
      <x:c r="D1413" s="78" t="n">
        <x:f>IF('Inputs'!$C$47&gt;0,('Inputs'!$B$30*(3*315*'Inputs'!$B$12-315^2)/(2*'Inputs'!$B$12^2))-('Inputs'!$B$30*(3*314*'Inputs'!$B$12-314^2)/(2*'Inputs'!$B$12^2)),0)</x:f>
        <x:v>261317.08575716615</x:v>
      </x:c>
      <x:c r="E1413" s="78" t="n">
        <x:f>C1413+D1413</x:f>
        <x:v>871056.952523917</x:v>
      </x:c>
      <x:c r="F1413" s="78" t="n">
        <x:f>'Inputs'!$B$13*E1413+(1-'Inputs'!$B$13)/'Inputs'!$B$14*SUM(E1358:E1413)</x:f>
        <x:v>881274.6293863744</x:v>
      </x:c>
      <x:c r="G1413" s="78" t="n">
        <x:f>F1413*'Inputs'!$F$47</x:f>
        <x:v>308446.12028523104</x:v>
      </x:c>
      <x:c r="H1413" s="78" t="n">
        <x:f>U1412</x:f>
        <x:v>1838695.7718836444</x:v>
      </x:c>
      <x:c r="I1413" s="78" t="n">
        <x:f>V1412</x:f>
        <x:v>42185.12347227236</x:v>
      </x:c>
      <x:c r="J1413" s="79" t="n">
        <x:f>IF(H1413&gt;0,I1413/H1413,0)</x:f>
        <x:v>0.02294295995963268</x:v>
      </x:c>
      <x:c r="K1413" s="80" t="n">
        <x:f>(H1413*J1413+I1413)*'Inputs'!$D$47*(1+'Inputs'!$G$47)^(B1413/30)</x:f>
        <x:v>172612.1804824357</x:v>
      </x:c>
      <x:c r="L1413" s="80" t="n">
        <x:f>MAX(0,K1413*'Inputs'!$E$47)</x:f>
        <x:v>8630.609024121786</x:v>
      </x:c>
      <x:c r="M1413" s="80" t="n">
        <x:f>MAX(0,-K1413*'Inputs'!$E$47)</x:f>
        <x:v>0</x:v>
      </x:c>
      <x:c r="N1413" s="78" t="n">
        <x:f>H1413*(L1413*(1-'Inputs'!$B$15))/(I1413+L1413*(1-'Inputs'!$B$15))</x:f>
        <x:v>309689.5587274711</x:v>
      </x:c>
      <x:c r="O1413" s="78" t="n">
        <x:f>H1413-N1413</x:f>
        <x:v>1529006.2131561732</x:v>
      </x:c>
      <x:c r="P1413" s="78" t="n">
        <x:f>I1413+L1413*(1-'Inputs'!$B$17)</x:f>
        <x:v>50781.001675371524</x:v>
      </x:c>
      <x:c r="Q1413" s="78" t="n">
        <x:f>IF(J1413&gt;0,M1413/J1413,0)</x:f>
        <x:v>0</x:v>
      </x:c>
      <x:c r="R1413" s="78" t="n">
        <x:f>IF(B1413='Inputs'!$H$47,'Inputs'!$B$27*'Inputs'!$I$47,0)</x:f>
        <x:v>0</x:v>
      </x:c>
      <x:c r="S1413" s="78" t="n">
        <x:f>Q1413+G1413+R1413</x:f>
        <x:v>308446.12028523104</x:v>
      </x:c>
      <x:c r="T1413" s="78" t="n">
        <x:f>P1413*(S1413*(1-'Inputs'!$B$15))/(O1413+S1413*(1-'Inputs'!$B$15))</x:f>
        <x:v>8453.359413961616</x:v>
      </x:c>
      <x:c r="U1413" s="78" t="n">
        <x:f>O1413+S1413*(1-'Inputs'!$B$17)</x:f>
        <x:v>1836211.101569029</x:v>
      </x:c>
      <x:c r="V1413" s="78" t="n">
        <x:f>P1413-T1413</x:f>
        <x:v>42327.64226140991</x:v>
      </x:c>
      <x:c r="W1413" s="79" t="n">
        <x:f>IF(U1413&gt;0,V1413/U1413,0)</x:f>
        <x:v>0.023051620930317457</x:v>
      </x:c>
      <x:c r="X1413" s="80" t="n">
        <x:f>W1413*('Inputs'!$B$6-AC1413)</x:f>
        <x:v>22935764.003805775</x:v>
      </x:c>
      <x:c r="Y1413" s="80" t="n">
        <x:f>2*V1413</x:f>
        <x:v>84655.28452281981</x:v>
      </x:c>
      <x:c r="Z1413" s="80" t="n">
        <x:f>K1413*'Inputs'!$B$16+(G1413+R1413)*J1413*'Inputs'!$B$16</x:f>
        <x:v>1078.1330848190628</x:v>
      </x:c>
      <x:c r="AA1413" s="80" t="n">
        <x:f>K1413*(1+'Inputs'!$E$47)/2*'Inputs'!$B$17</x:f>
        <x:v>364.6736207375403</x:v>
      </x:c>
      <x:c r="AB1413" s="78" t="n">
        <x:f>(IF(J1413&gt;0,K1413*(1-'Inputs'!$E$47)/2/J1413,0)+G1413+R1413)*'Inputs'!$B$17</x:f>
        <x:v>15622.235905657713</x:v>
      </x:c>
      <x:c r="AC1413" s="78" t="n">
        <x:f>AC1412+AB1413</x:f>
        <x:v>5025977.4296092205</x:v>
      </x:c>
      <x:c r="AD1413" s="80" t="n">
        <x:f>Z1413/(1+'Inputs'!$C$47)</x:f>
        <x:v>431.2532339276251</x:v>
      </x:c>
      <x:c r="AE1413" s="80" t="n">
        <x:f>Z1413-AD1413</x:f>
        <x:v>646.8798508914376</x:v>
      </x:c>
      <x:c r="AF1413" s="80" t="n">
        <x:f>D1413*W1413</x:f>
        <x:v>6023.782403489453</x:v>
      </x:c>
      <x:c r="AG1413" s="80" t="n">
        <x:f>C1413*W1413</x:f>
        <x:v>14055.49227480941</x:v>
      </x:c>
      <x:c r="AH1413" s="80" t="n">
        <x:f>2*'Inputs'!$B$8*'Inputs'!$C$47</x:f>
        <x:v>7500</x:v>
      </x:c>
      <x:c r="AI1413" s="81" t="n">
        <x:f>IF(AH1413&gt;0,(AE1413+AF1413)/AH1413*365,0)</x:f>
        <x:v>324.63889637987</x:v>
      </x:c>
      <x:c r="AJ1413" s="81" t="n">
        <x:f>IF('Inputs'!$B$47&gt;0,AG1413/('Inputs'!$B$19*'Inputs'!$B$47)*365,0)</x:f>
        <x:v>513.0254680305435</x:v>
      </x:c>
      <x:c r="AK1413" s="81" t="n">
        <x:f>W1413/MAX($W$1099:W1413)-1</x:f>
        <x:v>0</x:v>
      </x:c>
      <x:c r="AL1413" s="83" t="n">
        <x:f>'Inputs'!$B$47</x:f>
        <x:v>1</x:v>
      </x:c>
      <x:c r="AM1413" s="83" t="n">
        <x:f>'Inputs'!$C$47</x:f>
        <x:v>1.5</x:v>
      </x:c>
      <x:c r="AN1413" s="83" t="n">
        <x:f>'Inputs'!$D$47</x:f>
        <x:v>1.5</x:v>
      </x:c>
      <x:c r="AO1413" s="81" t="n">
        <x:f>'Inputs'!$E$47</x:f>
        <x:v>0.05</x:v>
      </x:c>
    </x:row>
    <x:row r="1414">
      <x:c r="A1414" s="59" t="str">
        <x:v>Growth</x:v>
      </x:c>
      <x:c r="B1414" s="59" t="n">
        <x:v>316</x:v>
      </x:c>
      <x:c r="C1414" s="78" t="n">
        <x:f>(('Inputs'!$B$29*(3*316*'Inputs'!$B$12-316^2)/(2*'Inputs'!$B$12^2))-('Inputs'!$B$29*(3*315*'Inputs'!$B$12-315^2)/(2*'Inputs'!$B$12^2)))*'Inputs'!$B$47</x:f>
        <x:v>609414.7588665783</x:v>
      </x:c>
      <x:c r="D1414" s="78" t="n">
        <x:f>IF('Inputs'!$C$47&gt;0,('Inputs'!$B$30*(3*316*'Inputs'!$B$12-316^2)/(2*'Inputs'!$B$12^2))-('Inputs'!$B$30*(3*315*'Inputs'!$B$12-315^2)/(2*'Inputs'!$B$12^2)),0)</x:f>
        <x:v>261177.75379997492</x:v>
      </x:c>
      <x:c r="E1414" s="78" t="n">
        <x:f>C1414+D1414</x:f>
        <x:v>870592.5126665533</x:v>
      </x:c>
      <x:c r="F1414" s="78" t="n">
        <x:f>'Inputs'!$B$13*E1414+(1-'Inputs'!$B$13)/'Inputs'!$B$14*SUM(E1359:E1414)</x:f>
        <x:v>880810.1895289947</x:v>
      </x:c>
      <x:c r="G1414" s="78" t="n">
        <x:f>F1414*'Inputs'!$F$47</x:f>
        <x:v>308283.5663351481</x:v>
      </x:c>
      <x:c r="H1414" s="78" t="n">
        <x:f>U1413</x:f>
        <x:v>1836211.101569029</x:v>
      </x:c>
      <x:c r="I1414" s="78" t="n">
        <x:f>V1413</x:f>
        <x:v>42327.64226140991</x:v>
      </x:c>
      <x:c r="J1414" s="79" t="n">
        <x:f>IF(H1414&gt;0,I1414/H1414,0)</x:f>
        <x:v>0.023051620930317457</x:v>
      </x:c>
      <x:c r="K1414" s="80" t="n">
        <x:f>(H1414*J1414+I1414)*'Inputs'!$D$47*(1+'Inputs'!$G$47)^(B1414/30)</x:f>
        <x:v>173366.0681166713</x:v>
      </x:c>
      <x:c r="L1414" s="80" t="n">
        <x:f>MAX(0,K1414*'Inputs'!$E$47)</x:f>
        <x:v>8668.303405833565</x:v>
      </x:c>
      <x:c r="M1414" s="80" t="n">
        <x:f>MAX(0,-K1414*'Inputs'!$E$47)</x:f>
        <x:v>0</x:v>
      </x:c>
      <x:c r="N1414" s="78" t="n">
        <x:f>H1414*(L1414*(1-'Inputs'!$B$15))/(I1414+L1414*(1-'Inputs'!$B$15))</x:f>
        <x:v>309524.5497787469</x:v>
      </x:c>
      <x:c r="O1414" s="78" t="n">
        <x:f>H1414-N1414</x:f>
        <x:v>1526686.5517902821</x:v>
      </x:c>
      <x:c r="P1414" s="78" t="n">
        <x:f>I1414+L1414*(1-'Inputs'!$B$17)</x:f>
        <x:v>50961.06315856808</x:v>
      </x:c>
      <x:c r="Q1414" s="78" t="n">
        <x:f>IF(J1414&gt;0,M1414/J1414,0)</x:f>
        <x:v>0</x:v>
      </x:c>
      <x:c r="R1414" s="78" t="n">
        <x:f>IF(B1414='Inputs'!$H$47,'Inputs'!$B$27*'Inputs'!$I$47,0)</x:f>
        <x:v>0</x:v>
      </x:c>
      <x:c r="S1414" s="78" t="n">
        <x:f>Q1414+G1414+R1414</x:f>
        <x:v>308283.5663351481</x:v>
      </x:c>
      <x:c r="T1414" s="78" t="n">
        <x:f>P1414*(S1414*(1-'Inputs'!$B$15))/(O1414+S1414*(1-'Inputs'!$B$15))</x:f>
        <x:v>8490.344280846068</x:v>
      </x:c>
      <x:c r="U1414" s="78" t="n">
        <x:f>O1414+S1414*(1-'Inputs'!$B$17)</x:f>
        <x:v>1833729.5403936992</x:v>
      </x:c>
      <x:c r="V1414" s="78" t="n">
        <x:f>P1414-T1414</x:f>
        <x:v>42470.718877722014</x:v>
      </x:c>
      <x:c r="W1414" s="79" t="n">
        <x:f>IF(U1414&gt;0,V1414/U1414,0)</x:f>
        <x:v>0.023160841303022043</x:v>
      </x:c>
      <x:c r="X1414" s="80" t="n">
        <x:f>W1414*('Inputs'!$B$6-AC1414)</x:f>
        <x:v>23044073.750603538</x:v>
      </x:c>
      <x:c r="Y1414" s="80" t="n">
        <x:f>2*V1414</x:f>
        <x:v>84941.43775544403</x:v>
      </x:c>
      <x:c r="Z1414" s="80" t="n">
        <x:f>K1414*'Inputs'!$B$16+(G1414+R1414)*J1414*'Inputs'!$B$16</x:f>
        <x:v>1082.8350241612532</x:v>
      </x:c>
      <x:c r="AA1414" s="80" t="n">
        <x:f>K1414*(1+'Inputs'!$E$47)/2*'Inputs'!$B$17</x:f>
        <x:v>366.2663410915591</x:v>
      </x:c>
      <x:c r="AB1414" s="78" t="n">
        <x:f>(IF(J1414&gt;0,K1414*(1-'Inputs'!$E$47)/2/J1414,0)+G1414+R1414)*'Inputs'!$B$17</x:f>
        <x:v>15616.305730118152</x:v>
      </x:c>
      <x:c r="AC1414" s="78" t="n">
        <x:f>AC1413+AB1414</x:f>
        <x:v>5041593.735339339</x:v>
      </x:c>
      <x:c r="AD1414" s="80" t="n">
        <x:f>Z1414/(1+'Inputs'!$C$47)</x:f>
        <x:v>433.13400966450126</x:v>
      </x:c>
      <x:c r="AE1414" s="80" t="n">
        <x:f>Z1414-AD1414</x:f>
        <x:v>649.7010144967519</x:v>
      </x:c>
      <x:c r="AF1414" s="80" t="n">
        <x:f>D1414*W1414</x:f>
        <x:v>6049.096507640981</x:v>
      </x:c>
      <x:c r="AG1414" s="80" t="n">
        <x:f>C1414*W1414</x:f>
        <x:v>14114.558517828267</x:v>
      </x:c>
      <x:c r="AH1414" s="80" t="n">
        <x:f>2*'Inputs'!$B$8*'Inputs'!$C$47</x:f>
        <x:v>7500</x:v>
      </x:c>
      <x:c r="AI1414" s="81" t="n">
        <x:f>IF(AH1414&gt;0,(AE1414+AF1414)/AH1414*365,0)</x:f>
        <x:v>326.00814607736964</x:v>
      </x:c>
      <x:c r="AJ1414" s="81" t="n">
        <x:f>IF('Inputs'!$B$47&gt;0,AG1414/('Inputs'!$B$19*'Inputs'!$B$47)*365,0)</x:f>
        <x:v>515.1813859007317</x:v>
      </x:c>
      <x:c r="AK1414" s="81" t="n">
        <x:f>W1414/MAX($W$1099:W1414)-1</x:f>
        <x:v>0</x:v>
      </x:c>
      <x:c r="AL1414" s="83" t="n">
        <x:f>'Inputs'!$B$47</x:f>
        <x:v>1</x:v>
      </x:c>
      <x:c r="AM1414" s="83" t="n">
        <x:f>'Inputs'!$C$47</x:f>
        <x:v>1.5</x:v>
      </x:c>
      <x:c r="AN1414" s="83" t="n">
        <x:f>'Inputs'!$D$47</x:f>
        <x:v>1.5</x:v>
      </x:c>
      <x:c r="AO1414" s="81" t="n">
        <x:f>'Inputs'!$E$47</x:f>
        <x:v>0.05</x:v>
      </x:c>
    </x:row>
    <x:row r="1415">
      <x:c r="A1415" s="59" t="str">
        <x:v>Growth</x:v>
      </x:c>
      <x:c r="B1415" s="59" t="n">
        <x:v>317</x:v>
      </x:c>
      <x:c r="C1415" s="78" t="n">
        <x:f>(('Inputs'!$B$29*(3*317*'Inputs'!$B$12-317^2)/(2*'Inputs'!$B$12^2))-('Inputs'!$B$29*(3*316*'Inputs'!$B$12-316^2)/(2*'Inputs'!$B$12^2)))*'Inputs'!$B$47</x:f>
        <x:v>609089.6509664357</x:v>
      </x:c>
      <x:c r="D1415" s="78" t="n">
        <x:f>IF('Inputs'!$C$47&gt;0,('Inputs'!$B$30*(3*317*'Inputs'!$B$12-317^2)/(2*'Inputs'!$B$12^2))-('Inputs'!$B$30*(3*316*'Inputs'!$B$12-316^2)/(2*'Inputs'!$B$12^2)),0)</x:f>
        <x:v>261038.421842739</x:v>
      </x:c>
      <x:c r="E1415" s="78" t="n">
        <x:f>C1415+D1415</x:f>
        <x:v>870128.0728091747</x:v>
      </x:c>
      <x:c r="F1415" s="78" t="n">
        <x:f>'Inputs'!$B$13*E1415+(1-'Inputs'!$B$13)/'Inputs'!$B$14*SUM(E1360:E1415)</x:f>
        <x:v>880345.7496716117</x:v>
      </x:c>
      <x:c r="G1415" s="78" t="n">
        <x:f>F1415*'Inputs'!$F$47</x:f>
        <x:v>308121.0123850641</x:v>
      </x:c>
      <x:c r="H1415" s="78" t="n">
        <x:f>U1414</x:f>
        <x:v>1833729.5403936992</x:v>
      </x:c>
      <x:c r="I1415" s="78" t="n">
        <x:f>V1414</x:f>
        <x:v>42470.718877722014</x:v>
      </x:c>
      <x:c r="J1415" s="79" t="n">
        <x:f>IF(H1415&gt;0,I1415/H1415,0)</x:f>
        <x:v>0.023160841303022043</x:v>
      </x:c>
      <x:c r="K1415" s="80" t="n">
        <x:f>(H1415*J1415+I1415)*'Inputs'!$D$47*(1+'Inputs'!$G$47)^(B1415/30)</x:f>
        <x:v>174123.5613539526</x:v>
      </x:c>
      <x:c r="L1415" s="80" t="n">
        <x:f>MAX(0,K1415*'Inputs'!$E$47)</x:f>
        <x:v>8706.17806769763</x:v>
      </x:c>
      <x:c r="M1415" s="80" t="n">
        <x:f>MAX(0,-K1415*'Inputs'!$E$47)</x:f>
        <x:v>0</x:v>
      </x:c>
      <x:c r="N1415" s="78" t="n">
        <x:f>H1415*(L1415*(1-'Inputs'!$B$15))/(I1415+L1415*(1-'Inputs'!$B$15))</x:f>
        <x:v>309359.5447437541</x:v>
      </x:c>
      <x:c r="O1415" s="78" t="n">
        <x:f>H1415-N1415</x:f>
        <x:v>1524369.995649945</x:v>
      </x:c>
      <x:c r="P1415" s="78" t="n">
        <x:f>I1415+L1415*(1-'Inputs'!$B$17)</x:f>
        <x:v>51141.86202361804</x:v>
      </x:c>
      <x:c r="Q1415" s="78" t="n">
        <x:f>IF(J1415&gt;0,M1415/J1415,0)</x:f>
        <x:v>0</x:v>
      </x:c>
      <x:c r="R1415" s="78" t="n">
        <x:f>IF(B1415='Inputs'!$H$47,'Inputs'!$B$27*'Inputs'!$I$47,0)</x:f>
        <x:v>0</x:v>
      </x:c>
      <x:c r="S1415" s="78" t="n">
        <x:f>Q1415+G1415+R1415</x:f>
        <x:v>308121.0123850641</x:v>
      </x:c>
      <x:c r="T1415" s="78" t="n">
        <x:f>P1415*(S1415*(1-'Inputs'!$B$15))/(O1415+S1415*(1-'Inputs'!$B$15))</x:f>
        <x:v>8527.506246422929</x:v>
      </x:c>
      <x:c r="U1415" s="78" t="n">
        <x:f>O1415+S1415*(1-'Inputs'!$B$17)</x:f>
        <x:v>1831251.0844439224</x:v>
      </x:c>
      <x:c r="V1415" s="78" t="n">
        <x:f>P1415-T1415</x:f>
        <x:v>42614.35577719512</x:v>
      </x:c>
      <x:c r="W1415" s="79" t="n">
        <x:f>IF(U1415&gt;0,V1415/U1415,0)</x:f>
        <x:v>0.02327062418648909</x:v>
      </x:c>
      <x:c r="X1415" s="80" t="n">
        <x:f>W1415*('Inputs'!$B$6-AC1415)</x:f>
        <x:v>23152939.890190378</x:v>
      </x:c>
      <x:c r="Y1415" s="80" t="n">
        <x:f>2*V1415</x:f>
        <x:v>85228.71155439023</x:v>
      </x:c>
      <x:c r="Z1415" s="80" t="n">
        <x:f>K1415*'Inputs'!$B$16+(G1415+R1415)*J1415*'Inputs'!$B$16</x:f>
        <x:v>1087.5594193435772</x:v>
      </x:c>
      <x:c r="AA1415" s="80" t="n">
        <x:f>K1415*(1+'Inputs'!$E$47)/2*'Inputs'!$B$17</x:f>
        <x:v>367.86667891680133</x:v>
      </x:c>
      <x:c r="AB1415" s="78" t="n">
        <x:f>(IF(J1415&gt;0,K1415*(1-'Inputs'!$E$47)/2/J1415,0)+G1415+R1415)*'Inputs'!$B$17</x:f>
        <x:v>15610.375543182878</x:v>
      </x:c>
      <x:c r="AC1415" s="78" t="n">
        <x:f>AC1414+AB1415</x:f>
        <x:v>5057204.110882522</x:v>
      </x:c>
      <x:c r="AD1415" s="80" t="n">
        <x:f>Z1415/(1+'Inputs'!$C$47)</x:f>
        <x:v>435.0237677374309</x:v>
      </x:c>
      <x:c r="AE1415" s="80" t="n">
        <x:f>Z1415-AD1415</x:f>
        <x:v>652.5356516061463</x:v>
      </x:c>
      <x:c r="AF1415" s="80" t="n">
        <x:f>D1415*W1415</x:f>
        <x:v>6074.5270129365845</x:v>
      </x:c>
      <x:c r="AG1415" s="80" t="n">
        <x:f>C1415*W1415</x:f>
        <x:v>14173.896363519736</x:v>
      </x:c>
      <x:c r="AH1415" s="80" t="n">
        <x:f>2*'Inputs'!$B$8*'Inputs'!$C$47</x:f>
        <x:v>7500</x:v>
      </x:c>
      <x:c r="AI1415" s="81" t="n">
        <x:f>IF(AH1415&gt;0,(AE1415+AF1415)/AH1415*365,0)</x:f>
        <x:v>327.38371634107955</x:v>
      </x:c>
      <x:c r="AJ1415" s="81" t="n">
        <x:f>IF('Inputs'!$B$47&gt;0,AG1415/('Inputs'!$B$19*'Inputs'!$B$47)*365,0)</x:f>
        <x:v>517.3472172684703</x:v>
      </x:c>
      <x:c r="AK1415" s="81" t="n">
        <x:f>W1415/MAX($W$1099:W1415)-1</x:f>
        <x:v>0</x:v>
      </x:c>
      <x:c r="AL1415" s="83" t="n">
        <x:f>'Inputs'!$B$47</x:f>
        <x:v>1</x:v>
      </x:c>
      <x:c r="AM1415" s="83" t="n">
        <x:f>'Inputs'!$C$47</x:f>
        <x:v>1.5</x:v>
      </x:c>
      <x:c r="AN1415" s="83" t="n">
        <x:f>'Inputs'!$D$47</x:f>
        <x:v>1.5</x:v>
      </x:c>
      <x:c r="AO1415" s="81" t="n">
        <x:f>'Inputs'!$E$47</x:f>
        <x:v>0.05</x:v>
      </x:c>
    </x:row>
    <x:row r="1416">
      <x:c r="A1416" s="59" t="str">
        <x:v>Growth</x:v>
      </x:c>
      <x:c r="B1416" s="59" t="n">
        <x:v>318</x:v>
      </x:c>
      <x:c r="C1416" s="78" t="n">
        <x:f>(('Inputs'!$B$29*(3*318*'Inputs'!$B$12-318^2)/(2*'Inputs'!$B$12^2))-('Inputs'!$B$29*(3*317*'Inputs'!$B$12-317^2)/(2*'Inputs'!$B$12^2)))*'Inputs'!$B$47</x:f>
        <x:v>608764.5430662334</x:v>
      </x:c>
      <x:c r="D1416" s="78" t="n">
        <x:f>IF('Inputs'!$C$47&gt;0,('Inputs'!$B$30*(3*318*'Inputs'!$B$12-318^2)/(2*'Inputs'!$B$12^2))-('Inputs'!$B$30*(3*317*'Inputs'!$B$12-317^2)/(2*'Inputs'!$B$12^2)),0)</x:f>
        <x:v>260899.08988553286</x:v>
      </x:c>
      <x:c r="E1416" s="78" t="n">
        <x:f>C1416+D1416</x:f>
        <x:v>869663.6329517663</x:v>
      </x:c>
      <x:c r="F1416" s="78" t="n">
        <x:f>'Inputs'!$B$13*E1416+(1-'Inputs'!$B$13)/'Inputs'!$B$14*SUM(E1361:E1416)</x:f>
        <x:v>879881.3098142229</x:v>
      </x:c>
      <x:c r="G1416" s="78" t="n">
        <x:f>F1416*'Inputs'!$F$47</x:f>
        <x:v>307958.458434978</x:v>
      </x:c>
      <x:c r="H1416" s="78" t="n">
        <x:f>U1415</x:f>
        <x:v>1831251.0844439224</x:v>
      </x:c>
      <x:c r="I1416" s="78" t="n">
        <x:f>V1415</x:f>
        <x:v>42614.35577719512</x:v>
      </x:c>
      <x:c r="J1416" s="79" t="n">
        <x:f>IF(H1416&gt;0,I1416/H1416,0)</x:f>
        <x:v>0.02327062418648909</x:v>
      </x:c>
      <x:c r="K1416" s="80" t="n">
        <x:f>(H1416*J1416+I1416)*'Inputs'!$D$47*(1+'Inputs'!$G$47)^(B1416/30)</x:f>
        <x:v>174884.678903922</x:v>
      </x:c>
      <x:c r="L1416" s="80" t="n">
        <x:f>MAX(0,K1416*'Inputs'!$E$47)</x:f>
        <x:v>8744.2339451961</x:v>
      </x:c>
      <x:c r="M1416" s="80" t="n">
        <x:f>MAX(0,-K1416*'Inputs'!$E$47)</x:f>
        <x:v>0</x:v>
      </x:c>
      <x:c r="N1416" s="78" t="n">
        <x:f>H1416*(L1416*(1-'Inputs'!$B$15))/(I1416+L1416*(1-'Inputs'!$B$15))</x:f>
        <x:v>309194.54361770506</x:v>
      </x:c>
      <x:c r="O1416" s="78" t="n">
        <x:f>H1416-N1416</x:f>
        <x:v>1522056.5408262173</x:v>
      </x:c>
      <x:c r="P1416" s="78" t="n">
        <x:f>I1416+L1416*(1-'Inputs'!$B$17)</x:f>
        <x:v>51323.40165822544</x:v>
      </x:c>
      <x:c r="Q1416" s="78" t="n">
        <x:f>IF(J1416&gt;0,M1416/J1416,0)</x:f>
        <x:v>0</x:v>
      </x:c>
      <x:c r="R1416" s="78" t="n">
        <x:f>IF(B1416='Inputs'!$H$47,'Inputs'!$B$27*'Inputs'!$I$47,0)</x:f>
        <x:v>0</x:v>
      </x:c>
      <x:c r="S1416" s="78" t="n">
        <x:f>Q1416+G1416+R1416</x:f>
        <x:v>307958.458434978</x:v>
      </x:c>
      <x:c r="T1416" s="78" t="n">
        <x:f>P1416*(S1416*(1-'Inputs'!$B$15))/(O1416+S1416*(1-'Inputs'!$B$15))</x:f>
        <x:v>8564.846230489766</x:v>
      </x:c>
      <x:c r="U1416" s="78" t="n">
        <x:f>O1416+S1416*(1-'Inputs'!$B$17)</x:f>
        <x:v>1828775.7298107527</x:v>
      </x:c>
      <x:c r="V1416" s="78" t="n">
        <x:f>P1416-T1416</x:f>
        <x:v>42758.55542773567</x:v>
      </x:c>
      <x:c r="W1416" s="79" t="n">
        <x:f>IF(U1416&gt;0,V1416/U1416,0)</x:f>
        <x:v>0.023380972707987797</x:v>
      </x:c>
      <x:c r="X1416" s="80" t="n">
        <x:f>W1416*('Inputs'!$B$6-AC1416)</x:f>
        <x:v>23262365.509581834</x:v>
      </x:c>
      <x:c r="Y1416" s="80" t="n">
        <x:f>2*V1416</x:f>
        <x:v>85517.11085547134</x:v>
      </x:c>
      <x:c r="Z1416" s="80" t="n">
        <x:f>K1416*'Inputs'!$B$16+(G1416+R1416)*J1416*'Inputs'!$B$16</x:f>
        <x:v>1092.3063867312774</x:v>
      </x:c>
      <x:c r="AA1416" s="80" t="n">
        <x:f>K1416*(1+'Inputs'!$E$47)/2*'Inputs'!$B$17</x:f>
        <x:v>369.4746737406804</x:v>
      </x:c>
      <x:c r="AB1416" s="78" t="n">
        <x:f>(IF(J1416&gt;0,K1416*(1-'Inputs'!$E$47)/2/J1416,0)+G1416+R1416)*'Inputs'!$B$17</x:f>
        <x:v>15604.445343274345</x:v>
      </x:c>
      <x:c r="AC1416" s="78" t="n">
        <x:f>AC1415+AB1416</x:f>
        <x:v>5072808.556225796</x:v>
      </x:c>
      <x:c r="AD1416" s="80" t="n">
        <x:f>Z1416/(1+'Inputs'!$C$47)</x:f>
        <x:v>436.92255469251097</x:v>
      </x:c>
      <x:c r="AE1416" s="80" t="n">
        <x:f>Z1416-AD1416</x:f>
        <x:v>655.3838320387664</x:v>
      </x:c>
      <x:c r="AF1416" s="80" t="n">
        <x:f>D1416*W1416</x:f>
        <x:v>6100.074500152498</x:v>
      </x:c>
      <x:c r="AG1416" s="80" t="n">
        <x:f>C1416*W1416</x:f>
        <x:v>14233.507167022264</x:v>
      </x:c>
      <x:c r="AH1416" s="80" t="n">
        <x:f>2*'Inputs'!$B$8*'Inputs'!$C$47</x:f>
        <x:v>7500</x:v>
      </x:c>
      <x:c r="AI1416" s="81" t="n">
        <x:f>IF(AH1416&gt;0,(AE1416+AF1416)/AH1416*365,0)</x:f>
        <x:v>328.76563883330823</x:v>
      </x:c>
      <x:c r="AJ1416" s="81" t="n">
        <x:f>IF('Inputs'!$B$47&gt;0,AG1416/('Inputs'!$B$19*'Inputs'!$B$47)*365,0)</x:f>
        <x:v>519.5230115963126</x:v>
      </x:c>
      <x:c r="AK1416" s="81" t="n">
        <x:f>W1416/MAX($W$1099:W1416)-1</x:f>
        <x:v>0</x:v>
      </x:c>
      <x:c r="AL1416" s="83" t="n">
        <x:f>'Inputs'!$B$47</x:f>
        <x:v>1</x:v>
      </x:c>
      <x:c r="AM1416" s="83" t="n">
        <x:f>'Inputs'!$C$47</x:f>
        <x:v>1.5</x:v>
      </x:c>
      <x:c r="AN1416" s="83" t="n">
        <x:f>'Inputs'!$D$47</x:f>
        <x:v>1.5</x:v>
      </x:c>
      <x:c r="AO1416" s="81" t="n">
        <x:f>'Inputs'!$E$47</x:f>
        <x:v>0.05</x:v>
      </x:c>
    </x:row>
    <x:row r="1417">
      <x:c r="A1417" s="59" t="str">
        <x:v>Growth</x:v>
      </x:c>
      <x:c r="B1417" s="59" t="n">
        <x:v>319</x:v>
      </x:c>
      <x:c r="C1417" s="78" t="n">
        <x:f>(('Inputs'!$B$29*(3*319*'Inputs'!$B$12-319^2)/(2*'Inputs'!$B$12^2))-('Inputs'!$B$29*(3*318*'Inputs'!$B$12-318^2)/(2*'Inputs'!$B$12^2)))*'Inputs'!$B$47</x:f>
        <x:v>608439.4351660609</x:v>
      </x:c>
      <x:c r="D1417" s="78" t="n">
        <x:f>IF('Inputs'!$C$47&gt;0,('Inputs'!$B$30*(3*319*'Inputs'!$B$12-319^2)/(2*'Inputs'!$B$12^2))-('Inputs'!$B$30*(3*318*'Inputs'!$B$12-318^2)/(2*'Inputs'!$B$12^2)),0)</x:f>
        <x:v>260759.75792831182</x:v>
      </x:c>
      <x:c r="E1417" s="78" t="n">
        <x:f>C1417+D1417</x:f>
        <x:v>869199.1930943727</x:v>
      </x:c>
      <x:c r="F1417" s="78" t="n">
        <x:f>'Inputs'!$B$13*E1417+(1-'Inputs'!$B$13)/'Inputs'!$B$14*SUM(E1362:E1417)</x:f>
        <x:v>879416.8699568363</x:v>
      </x:c>
      <x:c r="G1417" s="78" t="n">
        <x:f>F1417*'Inputs'!$F$47</x:f>
        <x:v>307795.9044848927</x:v>
      </x:c>
      <x:c r="H1417" s="78" t="n">
        <x:f>U1416</x:f>
        <x:v>1828775.7298107527</x:v>
      </x:c>
      <x:c r="I1417" s="78" t="n">
        <x:f>V1416</x:f>
        <x:v>42758.55542773567</x:v>
      </x:c>
      <x:c r="J1417" s="79" t="n">
        <x:f>IF(H1417&gt;0,I1417/H1417,0)</x:f>
        <x:v>0.023380972707987797</x:v>
      </x:c>
      <x:c r="K1417" s="80" t="n">
        <x:f>(H1417*J1417+I1417)*'Inputs'!$D$47*(1+'Inputs'!$G$47)^(B1417/30)</x:f>
        <x:v>175649.4395806658</x:v>
      </x:c>
      <x:c r="L1417" s="80" t="n">
        <x:f>MAX(0,K1417*'Inputs'!$E$47)</x:f>
        <x:v>8782.471979033291</x:v>
      </x:c>
      <x:c r="M1417" s="80" t="n">
        <x:f>MAX(0,-K1417*'Inputs'!$E$47)</x:f>
        <x:v>0</x:v>
      </x:c>
      <x:c r="N1417" s="78" t="n">
        <x:f>H1417*(L1417*(1-'Inputs'!$B$15))/(I1417+L1417*(1-'Inputs'!$B$15))</x:f>
        <x:v>309029.54639581824</x:v>
      </x:c>
      <x:c r="O1417" s="78" t="n">
        <x:f>H1417-N1417</x:f>
        <x:v>1519746.1834149344</x:v>
      </x:c>
      <x:c r="P1417" s="78" t="n">
        <x:f>I1417+L1417*(1-'Inputs'!$B$17)</x:f>
        <x:v>51505.68546721551</x:v>
      </x:c>
      <x:c r="Q1417" s="78" t="n">
        <x:f>IF(J1417&gt;0,M1417/J1417,0)</x:f>
        <x:v>0</x:v>
      </x:c>
      <x:c r="R1417" s="78" t="n">
        <x:f>IF(B1417='Inputs'!$H$47,'Inputs'!$B$27*'Inputs'!$I$47,0)</x:f>
        <x:v>0</x:v>
      </x:c>
      <x:c r="S1417" s="78" t="n">
        <x:f>Q1417+G1417+R1417</x:f>
        <x:v>307795.9044848927</x:v>
      </x:c>
      <x:c r="T1417" s="78" t="n">
        <x:f>P1417*(S1417*(1-'Inputs'!$B$15))/(O1417+S1417*(1-'Inputs'!$B$15))</x:f>
        <x:v>8602.365157982538</x:v>
      </x:c>
      <x:c r="U1417" s="78" t="n">
        <x:f>O1417+S1417*(1-'Inputs'!$B$17)</x:f>
        <x:v>1826303.4725900288</x:v>
      </x:c>
      <x:c r="V1417" s="78" t="n">
        <x:f>P1417-T1417</x:f>
        <x:v>42903.32030923297</x:v>
      </x:c>
      <x:c r="W1417" s="79" t="n">
        <x:f>IF(U1417&gt;0,V1417/U1417,0)</x:f>
        <x:v>0.023491890013431504</x:v>
      </x:c>
      <x:c r="X1417" s="80" t="n">
        <x:f>W1417*('Inputs'!$B$6-AC1417)</x:f>
        <x:v>23372353.714167673</x:v>
      </x:c>
      <x:c r="Y1417" s="80" t="n">
        <x:f>2*V1417</x:f>
        <x:v>85806.64061846594</x:v>
      </x:c>
      <x:c r="Z1417" s="80" t="n">
        <x:f>K1417*'Inputs'!$B$16+(G1417+R1417)*J1417*'Inputs'!$B$16</x:f>
        <x:v>1097.076043338345</x:v>
      </x:c>
      <x:c r="AA1417" s="80" t="n">
        <x:f>K1417*(1+'Inputs'!$E$47)/2*'Inputs'!$B$17</x:f>
        <x:v>371.0903653112658</x:v>
      </x:c>
      <x:c r="AB1417" s="78" t="n">
        <x:f>(IF(J1417&gt;0,K1417*(1-'Inputs'!$E$47)/2/J1417,0)+G1417+R1417)*'Inputs'!$B$17</x:f>
        <x:v>15598.515128812649</x:v>
      </x:c>
      <x:c r="AC1417" s="78" t="n">
        <x:f>AC1416+AB1417</x:f>
        <x:v>5088407.071354609</x:v>
      </x:c>
      <x:c r="AD1417" s="80" t="n">
        <x:f>Z1417/(1+'Inputs'!$C$47)</x:f>
        <x:v>438.830417335338</x:v>
      </x:c>
      <x:c r="AE1417" s="80" t="n">
        <x:f>Z1417-AD1417</x:f>
        <x:v>658.245626003007</x:v>
      </x:c>
      <x:c r="AF1417" s="80" t="n">
        <x:f>D1417*W1417</x:f>
        <x:v>6125.739553180925</x:v>
      </x:c>
      <x:c r="AG1417" s="80" t="n">
        <x:f>C1417*W1417</x:f>
        <x:v>14293.392290755492</x:v>
      </x:c>
      <x:c r="AH1417" s="80" t="n">
        <x:f>2*'Inputs'!$B$8*'Inputs'!$C$47</x:f>
        <x:v>7500</x:v>
      </x:c>
      <x:c r="AI1417" s="81" t="n">
        <x:f>IF(AH1417&gt;0,(AE1417+AF1417)/AH1417*365,0)</x:f>
        <x:v>330.15394538695136</x:v>
      </x:c>
      <x:c r="AJ1417" s="81" t="n">
        <x:f>IF('Inputs'!$B$47&gt;0,AG1417/('Inputs'!$B$19*'Inputs'!$B$47)*365,0)</x:f>
        <x:v>521.7088186125754</x:v>
      </x:c>
      <x:c r="AK1417" s="81" t="n">
        <x:f>W1417/MAX($W$1099:W1417)-1</x:f>
        <x:v>0</x:v>
      </x:c>
      <x:c r="AL1417" s="83" t="n">
        <x:f>'Inputs'!$B$47</x:f>
        <x:v>1</x:v>
      </x:c>
      <x:c r="AM1417" s="83" t="n">
        <x:f>'Inputs'!$C$47</x:f>
        <x:v>1.5</x:v>
      </x:c>
      <x:c r="AN1417" s="83" t="n">
        <x:f>'Inputs'!$D$47</x:f>
        <x:v>1.5</x:v>
      </x:c>
      <x:c r="AO1417" s="81" t="n">
        <x:f>'Inputs'!$E$47</x:f>
        <x:v>0.05</x:v>
      </x:c>
    </x:row>
    <x:row r="1418">
      <x:c r="A1418" s="59" t="str">
        <x:v>Growth</x:v>
      </x:c>
      <x:c r="B1418" s="59" t="n">
        <x:v>320</x:v>
      </x:c>
      <x:c r="C1418" s="78" t="n">
        <x:f>(('Inputs'!$B$29*(3*320*'Inputs'!$B$12-320^2)/(2*'Inputs'!$B$12^2))-('Inputs'!$B$29*(3*319*'Inputs'!$B$12-319^2)/(2*'Inputs'!$B$12^2)))*'Inputs'!$B$47</x:f>
        <x:v>608114.3272659183</x:v>
      </x:c>
      <x:c r="D1418" s="78" t="n">
        <x:f>IF('Inputs'!$C$47&gt;0,('Inputs'!$B$30*(3*320*'Inputs'!$B$12-320^2)/(2*'Inputs'!$B$12^2))-('Inputs'!$B$30*(3*319*'Inputs'!$B$12-319^2)/(2*'Inputs'!$B$12^2)),0)</x:f>
        <x:v>260620.4259711057</x:v>
      </x:c>
      <x:c r="E1418" s="78" t="n">
        <x:f>C1418+D1418</x:f>
        <x:v>868734.753237024</x:v>
      </x:c>
      <x:c r="F1418" s="78" t="n">
        <x:f>'Inputs'!$B$13*E1418+(1-'Inputs'!$B$13)/'Inputs'!$B$14*SUM(E1363:E1418)</x:f>
        <x:v>878952.4300994595</x:v>
      </x:c>
      <x:c r="G1418" s="78" t="n">
        <x:f>F1418*'Inputs'!$F$47</x:f>
        <x:v>307633.3505348108</x:v>
      </x:c>
      <x:c r="H1418" s="78" t="n">
        <x:f>U1417</x:f>
        <x:v>1826303.4725900288</x:v>
      </x:c>
      <x:c r="I1418" s="78" t="n">
        <x:f>V1417</x:f>
        <x:v>42903.32030923297</x:v>
      </x:c>
      <x:c r="J1418" s="79" t="n">
        <x:f>IF(H1418&gt;0,I1418/H1418,0)</x:f>
        <x:v>0.023491890013431504</x:v>
      </x:c>
      <x:c r="K1418" s="80" t="n">
        <x:f>(H1418*J1418+I1418)*'Inputs'!$D$47*(1+'Inputs'!$G$47)^(B1418/30)</x:f>
        <x:v>176417.86230333682</x:v>
      </x:c>
      <x:c r="L1418" s="80" t="n">
        <x:f>MAX(0,K1418*'Inputs'!$E$47)</x:f>
        <x:v>8820.893115166842</x:v>
      </x:c>
      <x:c r="M1418" s="80" t="n">
        <x:f>MAX(0,-K1418*'Inputs'!$E$47)</x:f>
        <x:v>0</x:v>
      </x:c>
      <x:c r="N1418" s="78" t="n">
        <x:f>H1418*(L1418*(1-'Inputs'!$B$15))/(I1418+L1418*(1-'Inputs'!$B$15))</x:f>
        <x:v>308864.5530733181</x:v>
      </x:c>
      <x:c r="O1418" s="78" t="n">
        <x:f>H1418-N1418</x:f>
        <x:v>1517438.9195167106</x:v>
      </x:c>
      <x:c r="P1418" s="78" t="n">
        <x:f>I1418+L1418*(1-'Inputs'!$B$17)</x:f>
        <x:v>51688.716872628516</x:v>
      </x:c>
      <x:c r="Q1418" s="78" t="n">
        <x:f>IF(J1418&gt;0,M1418/J1418,0)</x:f>
        <x:v>0</x:v>
      </x:c>
      <x:c r="R1418" s="78" t="n">
        <x:f>IF(B1418='Inputs'!$H$47,'Inputs'!$B$27*'Inputs'!$I$47,0)</x:f>
        <x:v>0</x:v>
      </x:c>
      <x:c r="S1418" s="78" t="n">
        <x:f>Q1418+G1418+R1418</x:f>
        <x:v>307633.3505348108</x:v>
      </x:c>
      <x:c r="T1418" s="78" t="n">
        <x:f>P1418*(S1418*(1-'Inputs'!$B$15))/(O1418+S1418*(1-'Inputs'!$B$15))</x:f>
        <x:v>8640.063959006122</x:v>
      </x:c>
      <x:c r="U1418" s="78" t="n">
        <x:f>O1418+S1418*(1-'Inputs'!$B$17)</x:f>
        <x:v>1823834.3088823673</x:v>
      </x:c>
      <x:c r="V1418" s="78" t="n">
        <x:f>P1418-T1418</x:f>
        <x:v>43048.6529136224</x:v>
      </x:c>
      <x:c r="W1418" s="79" t="n">
        <x:f>IF(U1418&gt;0,V1418/U1418,0)</x:f>
        <x:v>0.023603379267496238</x:v>
      </x:c>
      <x:c r="X1418" s="80" t="n">
        <x:f>W1418*('Inputs'!$B$6-AC1418)</x:f>
        <x:v>23482907.62782853</x:v>
      </x:c>
      <x:c r="Y1418" s="80" t="n">
        <x:f>2*V1418</x:f>
        <x:v>86097.3058272448</x:v>
      </x:c>
      <x:c r="Z1418" s="80" t="n">
        <x:f>K1418*'Inputs'!$B$16+(G1418+R1418)*J1418*'Inputs'!$B$16</x:f>
        <x:v>1101.868506831384</x:v>
      </x:c>
      <x:c r="AA1418" s="80" t="n">
        <x:f>K1418*(1+'Inputs'!$E$47)/2*'Inputs'!$B$17</x:f>
        <x:v>372.71379359859895</x:v>
      </x:c>
      <x:c r="AB1418" s="78" t="n">
        <x:f>(IF(J1418&gt;0,K1418*(1-'Inputs'!$E$47)/2/J1418,0)+G1418+R1418)*'Inputs'!$B$17</x:f>
        <x:v>15592.584898215544</x:v>
      </x:c>
      <x:c r="AC1418" s="78" t="n">
        <x:f>AC1417+AB1418</x:f>
        <x:v>5103999.656252825</x:v>
      </x:c>
      <x:c r="AD1418" s="80" t="n">
        <x:f>Z1418/(1+'Inputs'!$C$47)</x:f>
        <x:v>440.74740273255355</x:v>
      </x:c>
      <x:c r="AE1418" s="80" t="n">
        <x:f>Z1418-AD1418</x:f>
        <x:v>661.1211040988303</x:v>
      </x:c>
      <x:c r="AF1418" s="80" t="n">
        <x:f>D1418*W1418</x:f>
        <x:v>6151.522759052435</x:v>
      </x:c>
      <x:c r="AG1418" s="80" t="n">
        <x:f>C1418*W1418</x:f>
        <x:v>14353.553104455797</x:v>
      </x:c>
      <x:c r="AH1418" s="80" t="n">
        <x:f>2*'Inputs'!$B$8*'Inputs'!$C$47</x:f>
        <x:v>7500</x:v>
      </x:c>
      <x:c r="AI1418" s="81" t="n">
        <x:f>IF(AH1418&gt;0,(AE1418+AF1418)/AH1418*365,0)</x:f>
        <x:v>331.5486680066949</x:v>
      </x:c>
      <x:c r="AJ1418" s="81" t="n">
        <x:f>IF('Inputs'!$B$47&gt;0,AG1418/('Inputs'!$B$19*'Inputs'!$B$47)*365,0)</x:f>
        <x:v>523.9046883126366</x:v>
      </x:c>
      <x:c r="AK1418" s="81" t="n">
        <x:f>W1418/MAX($W$1099:W1418)-1</x:f>
        <x:v>0</x:v>
      </x:c>
      <x:c r="AL1418" s="83" t="n">
        <x:f>'Inputs'!$B$47</x:f>
        <x:v>1</x:v>
      </x:c>
      <x:c r="AM1418" s="83" t="n">
        <x:f>'Inputs'!$C$47</x:f>
        <x:v>1.5</x:v>
      </x:c>
      <x:c r="AN1418" s="83" t="n">
        <x:f>'Inputs'!$D$47</x:f>
        <x:v>1.5</x:v>
      </x:c>
      <x:c r="AO1418" s="81" t="n">
        <x:f>'Inputs'!$E$47</x:f>
        <x:v>0.05</x:v>
      </x:c>
    </x:row>
    <x:row r="1419">
      <x:c r="A1419" s="59" t="str">
        <x:v>Growth</x:v>
      </x:c>
      <x:c r="B1419" s="59" t="n">
        <x:v>321</x:v>
      </x:c>
      <x:c r="C1419" s="78" t="n">
        <x:f>(('Inputs'!$B$29*(3*321*'Inputs'!$B$12-321^2)/(2*'Inputs'!$B$12^2))-('Inputs'!$B$29*(3*320*'Inputs'!$B$12-320^2)/(2*'Inputs'!$B$12^2)))*'Inputs'!$B$47</x:f>
        <x:v>607789.219365716</x:v>
      </x:c>
      <x:c r="D1419" s="78" t="n">
        <x:f>IF('Inputs'!$C$47&gt;0,('Inputs'!$B$30*(3*321*'Inputs'!$B$12-321^2)/(2*'Inputs'!$B$12^2))-('Inputs'!$B$30*(3*320*'Inputs'!$B$12-320^2)/(2*'Inputs'!$B$12^2)),0)</x:f>
        <x:v>260481.09401388466</x:v>
      </x:c>
      <x:c r="E1419" s="78" t="n">
        <x:f>C1419+D1419</x:f>
        <x:v>868270.3133796006</x:v>
      </x:c>
      <x:c r="F1419" s="78" t="n">
        <x:f>'Inputs'!$B$13*E1419+(1-'Inputs'!$B$13)/'Inputs'!$B$14*SUM(E1364:E1419)</x:f>
        <x:v>878487.9902420677</x:v>
      </x:c>
      <x:c r="G1419" s="78" t="n">
        <x:f>F1419*'Inputs'!$F$47</x:f>
        <x:v>307470.7965847237</x:v>
      </x:c>
      <x:c r="H1419" s="78" t="n">
        <x:f>U1418</x:f>
        <x:v>1823834.3088823673</x:v>
      </x:c>
      <x:c r="I1419" s="78" t="n">
        <x:f>V1418</x:f>
        <x:v>43048.6529136224</x:v>
      </x:c>
      <x:c r="J1419" s="79" t="n">
        <x:f>IF(H1419&gt;0,I1419/H1419,0)</x:f>
        <x:v>0.023603379267496238</x:v>
      </x:c>
      <x:c r="K1419" s="80" t="n">
        <x:f>(H1419*J1419+I1419)*'Inputs'!$D$47*(1+'Inputs'!$G$47)^(B1419/30)</x:f>
        <x:v>177189.9660967809</x:v>
      </x:c>
      <x:c r="L1419" s="80" t="n">
        <x:f>MAX(0,K1419*'Inputs'!$E$47)</x:f>
        <x:v>8859.498304839046</x:v>
      </x:c>
      <x:c r="M1419" s="80" t="n">
        <x:f>MAX(0,-K1419*'Inputs'!$E$47)</x:f>
        <x:v>0</x:v>
      </x:c>
      <x:c r="N1419" s="78" t="n">
        <x:f>H1419*(L1419*(1-'Inputs'!$B$15))/(I1419+L1419*(1-'Inputs'!$B$15))</x:f>
        <x:v>308699.56364543556</x:v>
      </x:c>
      <x:c r="O1419" s="78" t="n">
        <x:f>H1419-N1419</x:f>
        <x:v>1515134.7452369318</x:v>
      </x:c>
      <x:c r="P1419" s="78" t="n">
        <x:f>I1419+L1419*(1-'Inputs'!$B$17)</x:f>
        <x:v>51872.4993138142</x:v>
      </x:c>
      <x:c r="Q1419" s="78" t="n">
        <x:f>IF(J1419&gt;0,M1419/J1419,0)</x:f>
        <x:v>0</x:v>
      </x:c>
      <x:c r="R1419" s="78" t="n">
        <x:f>IF(B1419='Inputs'!$H$47,'Inputs'!$B$27*'Inputs'!$I$47,0)</x:f>
        <x:v>0</x:v>
      </x:c>
      <x:c r="S1419" s="78" t="n">
        <x:f>Q1419+G1419+R1419</x:f>
        <x:v>307470.7965847237</x:v>
      </x:c>
      <x:c r="T1419" s="78" t="n">
        <x:f>P1419*(S1419*(1-'Inputs'!$B$15))/(O1419+S1419*(1-'Inputs'!$B$15))</x:f>
        <x:v>8677.9435688649</x:v>
      </x:c>
      <x:c r="U1419" s="78" t="n">
        <x:f>O1419+S1419*(1-'Inputs'!$B$17)</x:f>
        <x:v>1821368.2347931457</x:v>
      </x:c>
      <x:c r="V1419" s="78" t="n">
        <x:f>P1419-T1419</x:f>
        <x:v>43194.555744949306</x:v>
      </x:c>
      <x:c r="W1419" s="79" t="n">
        <x:f>IF(U1419&gt;0,V1419/U1419,0)</x:f>
        <x:v>0.023715443653740315</x:v>
      </x:c>
      <x:c r="X1419" s="80" t="n">
        <x:f>W1419*('Inputs'!$B$6-AC1419)</x:f>
        <x:v>23594030.39305364</x:v>
      </x:c>
      <x:c r="Y1419" s="80" t="n">
        <x:f>2*V1419</x:f>
        <x:v>86389.11148989861</x:v>
      </x:c>
      <x:c r="Z1419" s="80" t="n">
        <x:f>K1419*'Inputs'!$B$16+(G1419+R1419)*J1419*'Inputs'!$B$16</x:f>
        <x:v>1106.683895533496</x:v>
      </x:c>
      <x:c r="AA1419" s="80" t="n">
        <x:f>K1419*(1+'Inputs'!$E$47)/2*'Inputs'!$B$17</x:f>
        <x:v>374.344998796016</x:v>
      </x:c>
      <x:c r="AB1419" s="78" t="n">
        <x:f>(IF(J1419&gt;0,K1419*(1-'Inputs'!$E$47)/2/J1419,0)+G1419+R1419)*'Inputs'!$B$17</x:f>
        <x:v>15586.654649898395</x:v>
      </x:c>
      <x:c r="AC1419" s="78" t="n">
        <x:f>AC1418+AB1419</x:f>
        <x:v>5119586.310902723</x:v>
      </x:c>
      <x:c r="AD1419" s="80" t="n">
        <x:f>Z1419/(1+'Inputs'!$C$47)</x:f>
        <x:v>442.67355821339845</x:v>
      </x:c>
      <x:c r="AE1419" s="80" t="n">
        <x:f>Z1419-AD1419</x:f>
        <x:v>664.0103373200976</x:v>
      </x:c>
      <x:c r="AF1419" s="80" t="n">
        <x:f>D1419*W1419</x:f>
        <x:v>6177.424707950915</x:v>
      </x:c>
      <x:c r="AG1419" s="80" t="n">
        <x:f>C1419*W1419</x:f>
        <x:v>14413.990985218448</x:v>
      </x:c>
      <x:c r="AH1419" s="80" t="n">
        <x:f>2*'Inputs'!$B$8*'Inputs'!$C$47</x:f>
        <x:v>7500</x:v>
      </x:c>
      <x:c r="AI1419" s="81" t="n">
        <x:f>IF(AH1419&gt;0,(AE1419+AF1419)/AH1419*365,0)</x:f>
        <x:v>332.9498388698559</x:v>
      </x:c>
      <x:c r="AJ1419" s="81" t="n">
        <x:f>IF('Inputs'!$B$47&gt;0,AG1419/('Inputs'!$B$19*'Inputs'!$B$47)*365,0)</x:f>
        <x:v>526.1106709604734</x:v>
      </x:c>
      <x:c r="AK1419" s="81" t="n">
        <x:f>W1419/MAX($W$1099:W1419)-1</x:f>
        <x:v>0</x:v>
      </x:c>
      <x:c r="AL1419" s="83" t="n">
        <x:f>'Inputs'!$B$47</x:f>
        <x:v>1</x:v>
      </x:c>
      <x:c r="AM1419" s="83" t="n">
        <x:f>'Inputs'!$C$47</x:f>
        <x:v>1.5</x:v>
      </x:c>
      <x:c r="AN1419" s="83" t="n">
        <x:f>'Inputs'!$D$47</x:f>
        <x:v>1.5</x:v>
      </x:c>
      <x:c r="AO1419" s="81" t="n">
        <x:f>'Inputs'!$E$47</x:f>
        <x:v>0.05</x:v>
      </x:c>
    </x:row>
    <x:row r="1420">
      <x:c r="A1420" s="59" t="str">
        <x:v>Growth</x:v>
      </x:c>
      <x:c r="B1420" s="59" t="n">
        <x:v>322</x:v>
      </x:c>
      <x:c r="C1420" s="78" t="n">
        <x:f>(('Inputs'!$B$29*(3*322*'Inputs'!$B$12-322^2)/(2*'Inputs'!$B$12^2))-('Inputs'!$B$29*(3*321*'Inputs'!$B$12-321^2)/(2*'Inputs'!$B$12^2)))*'Inputs'!$B$47</x:f>
        <x:v>607464.1114655733</x:v>
      </x:c>
      <x:c r="D1420" s="78" t="n">
        <x:f>IF('Inputs'!$C$47&gt;0,('Inputs'!$B$30*(3*322*'Inputs'!$B$12-322^2)/(2*'Inputs'!$B$12^2))-('Inputs'!$B$30*(3*321*'Inputs'!$B$12-321^2)/(2*'Inputs'!$B$12^2)),0)</x:f>
        <x:v>260341.76205667853</x:v>
      </x:c>
      <x:c r="E1420" s="78" t="n">
        <x:f>C1420+D1420</x:f>
        <x:v>867805.8735222518</x:v>
      </x:c>
      <x:c r="F1420" s="78" t="n">
        <x:f>'Inputs'!$B$13*E1420+(1-'Inputs'!$B$13)/'Inputs'!$B$14*SUM(E1365:E1420)</x:f>
        <x:v>878023.5503846909</x:v>
      </x:c>
      <x:c r="G1420" s="78" t="n">
        <x:f>F1420*'Inputs'!$F$47</x:f>
        <x:v>307308.24263464176</x:v>
      </x:c>
      <x:c r="H1420" s="78" t="n">
        <x:f>U1419</x:f>
        <x:v>1821368.2347931457</x:v>
      </x:c>
      <x:c r="I1420" s="78" t="n">
        <x:f>V1419</x:f>
        <x:v>43194.555744949306</x:v>
      </x:c>
      <x:c r="J1420" s="79" t="n">
        <x:f>IF(H1420&gt;0,I1420/H1420,0)</x:f>
        <x:v>0.023715443653740315</x:v>
      </x:c>
      <x:c r="K1420" s="80" t="n">
        <x:f>(H1420*J1420+I1420)*'Inputs'!$D$47*(1+'Inputs'!$G$47)^(B1420/30)</x:f>
        <x:v>177965.77009216885</x:v>
      </x:c>
      <x:c r="L1420" s="80" t="n">
        <x:f>MAX(0,K1420*'Inputs'!$E$47)</x:f>
        <x:v>8898.288504608443</x:v>
      </x:c>
      <x:c r="M1420" s="80" t="n">
        <x:f>MAX(0,-K1420*'Inputs'!$E$47)</x:f>
        <x:v>0</x:v>
      </x:c>
      <x:c r="N1420" s="78" t="n">
        <x:f>H1420*(L1420*(1-'Inputs'!$B$15))/(I1420+L1420*(1-'Inputs'!$B$15))</x:f>
        <x:v>308534.57810740586</x:v>
      </x:c>
      <x:c r="O1420" s="78" t="n">
        <x:f>H1420-N1420</x:f>
        <x:v>1512833.6566857398</x:v>
      </x:c>
      <x:c r="P1420" s="78" t="n">
        <x:f>I1420+L1420*(1-'Inputs'!$B$17)</x:f>
        <x:v>52057.03624752713</x:v>
      </x:c>
      <x:c r="Q1420" s="78" t="n">
        <x:f>IF(J1420&gt;0,M1420/J1420,0)</x:f>
        <x:v>0</x:v>
      </x:c>
      <x:c r="R1420" s="78" t="n">
        <x:f>IF(B1420='Inputs'!$H$47,'Inputs'!$B$27*'Inputs'!$I$47,0)</x:f>
        <x:v>0</x:v>
      </x:c>
      <x:c r="S1420" s="78" t="n">
        <x:f>Q1420+G1420+R1420</x:f>
        <x:v>307308.24263464176</x:v>
      </x:c>
      <x:c r="T1420" s="78" t="n">
        <x:f>P1420*(S1420*(1-'Inputs'!$B$15))/(O1420+S1420*(1-'Inputs'!$B$15))</x:f>
        <x:v>8716.004928094611</x:v>
      </x:c>
      <x:c r="U1420" s="78" t="n">
        <x:f>O1420+S1420*(1-'Inputs'!$B$17)</x:f>
        <x:v>1818905.2464325158</x:v>
      </x:c>
      <x:c r="V1420" s="78" t="n">
        <x:f>P1420-T1420</x:f>
        <x:v>43341.03131943252</x:v>
      </x:c>
      <x:c r="W1420" s="79" t="n">
        <x:f>IF(U1420&gt;0,V1420/U1420,0)</x:f>
        <x:v>0.02382808637472394</x:v>
      </x:c>
      <x:c r="X1420" s="80" t="n">
        <x:f>W1420*('Inputs'!$B$6-AC1420)</x:f>
        <x:v>23705725.171058536</x:v>
      </x:c>
      <x:c r="Y1420" s="80" t="n">
        <x:f>2*V1420</x:f>
        <x:v>86682.06263886504</x:v>
      </x:c>
      <x:c r="Z1420" s="80" t="n">
        <x:f>K1420*'Inputs'!$B$16+(G1420+R1420)*J1420*'Inputs'!$B$16</x:f>
        <x:v>1111.522328428204</x:v>
      </x:c>
      <x:c r="AA1420" s="80" t="n">
        <x:f>K1420*(1+'Inputs'!$E$47)/2*'Inputs'!$B$17</x:f>
        <x:v>375.9840213214835</x:v>
      </x:c>
      <x:c r="AB1420" s="78" t="n">
        <x:f>(IF(J1420&gt;0,K1420*(1-'Inputs'!$E$47)/2/J1420,0)+G1420+R1420)*'Inputs'!$B$17</x:f>
        <x:v>15580.724382274204</x:v>
      </x:c>
      <x:c r="AC1420" s="78" t="n">
        <x:f>AC1419+AB1420</x:f>
        <x:v>5135167.035284997</x:v>
      </x:c>
      <x:c r="AD1420" s="80" t="n">
        <x:f>Z1420/(1+'Inputs'!$C$47)</x:f>
        <x:v>444.6089313712816</x:v>
      </x:c>
      <x:c r="AE1420" s="80" t="n">
        <x:f>Z1420-AD1420</x:f>
        <x:v>666.9133970569223</x:v>
      </x:c>
      <x:c r="AF1420" s="80" t="n">
        <x:f>D1420*W1420</x:f>
        <x:v>6203.445993234364</x:v>
      </x:c>
      <x:c r="AG1420" s="80" t="n">
        <x:f>C1420*W1420</x:f>
        <x:v>14474.707317546612</x:v>
      </x:c>
      <x:c r="AH1420" s="80" t="n">
        <x:f>2*'Inputs'!$B$8*'Inputs'!$C$47</x:f>
        <x:v>7500</x:v>
      </x:c>
      <x:c r="AI1420" s="81" t="n">
        <x:f>IF(AH1420&gt;0,(AE1420+AF1420)/AH1420*365,0)</x:f>
        <x:v>334.3574903275093</x:v>
      </x:c>
      <x:c r="AJ1420" s="81" t="n">
        <x:f>IF('Inputs'!$B$47&gt;0,AG1420/('Inputs'!$B$19*'Inputs'!$B$47)*365,0)</x:f>
        <x:v>528.3268170904513</x:v>
      </x:c>
      <x:c r="AK1420" s="81" t="n">
        <x:f>W1420/MAX($W$1099:W1420)-1</x:f>
        <x:v>0</x:v>
      </x:c>
      <x:c r="AL1420" s="83" t="n">
        <x:f>'Inputs'!$B$47</x:f>
        <x:v>1</x:v>
      </x:c>
      <x:c r="AM1420" s="83" t="n">
        <x:f>'Inputs'!$C$47</x:f>
        <x:v>1.5</x:v>
      </x:c>
      <x:c r="AN1420" s="83" t="n">
        <x:f>'Inputs'!$D$47</x:f>
        <x:v>1.5</x:v>
      </x:c>
      <x:c r="AO1420" s="81" t="n">
        <x:f>'Inputs'!$E$47</x:f>
        <x:v>0.05</x:v>
      </x:c>
    </x:row>
    <x:row r="1421">
      <x:c r="A1421" s="59" t="str">
        <x:v>Growth</x:v>
      </x:c>
      <x:c r="B1421" s="59" t="n">
        <x:v>323</x:v>
      </x:c>
      <x:c r="C1421" s="78" t="n">
        <x:f>(('Inputs'!$B$29*(3*323*'Inputs'!$B$12-323^2)/(2*'Inputs'!$B$12^2))-('Inputs'!$B$29*(3*322*'Inputs'!$B$12-322^2)/(2*'Inputs'!$B$12^2)))*'Inputs'!$B$47</x:f>
        <x:v>607139.0035654008</x:v>
      </x:c>
      <x:c r="D1421" s="78" t="n">
        <x:f>IF('Inputs'!$C$47&gt;0,('Inputs'!$B$30*(3*323*'Inputs'!$B$12-323^2)/(2*'Inputs'!$B$12^2))-('Inputs'!$B$30*(3*322*'Inputs'!$B$12-322^2)/(2*'Inputs'!$B$12^2)),0)</x:f>
        <x:v>260202.4300994575</x:v>
      </x:c>
      <x:c r="E1421" s="78" t="n">
        <x:f>C1421+D1421</x:f>
        <x:v>867341.4336648583</x:v>
      </x:c>
      <x:c r="F1421" s="78" t="n">
        <x:f>'Inputs'!$B$13*E1421+(1-'Inputs'!$B$13)/'Inputs'!$B$14*SUM(E1366:E1421)</x:f>
        <x:v>877559.1105273045</x:v>
      </x:c>
      <x:c r="G1421" s="78" t="n">
        <x:f>F1421*'Inputs'!$F$47</x:f>
        <x:v>307145.6886845565</x:v>
      </x:c>
      <x:c r="H1421" s="78" t="n">
        <x:f>U1420</x:f>
        <x:v>1818905.2464325158</x:v>
      </x:c>
      <x:c r="I1421" s="78" t="n">
        <x:f>V1420</x:f>
        <x:v>43341.03131943252</x:v>
      </x:c>
      <x:c r="J1421" s="79" t="n">
        <x:f>IF(H1421&gt;0,I1421/H1421,0)</x:f>
        <x:v>0.02382808637472394</x:v>
      </x:c>
      <x:c r="K1421" s="80" t="n">
        <x:f>(H1421*J1421+I1421)*'Inputs'!$D$47*(1+'Inputs'!$G$47)^(B1421/30)</x:f>
        <x:v>178745.293527629</x:v>
      </x:c>
      <x:c r="L1421" s="80" t="n">
        <x:f>MAX(0,K1421*'Inputs'!$E$47)</x:f>
        <x:v>8937.26467638145</x:v>
      </x:c>
      <x:c r="M1421" s="80" t="n">
        <x:f>MAX(0,-K1421*'Inputs'!$E$47)</x:f>
        <x:v>0</x:v>
      </x:c>
      <x:c r="N1421" s="78" t="n">
        <x:f>H1421*(L1421*(1-'Inputs'!$B$15))/(I1421+L1421*(1-'Inputs'!$B$15))</x:f>
        <x:v>308369.59645447176</x:v>
      </x:c>
      <x:c r="O1421" s="78" t="n">
        <x:f>H1421-N1421</x:f>
        <x:v>1510535.649978044</x:v>
      </x:c>
      <x:c r="P1421" s="78" t="n">
        <x:f>I1421+L1421*(1-'Inputs'!$B$17)</x:f>
        <x:v>52242.331148021694</x:v>
      </x:c>
      <x:c r="Q1421" s="78" t="n">
        <x:f>IF(J1421&gt;0,M1421/J1421,0)</x:f>
        <x:v>0</x:v>
      </x:c>
      <x:c r="R1421" s="78" t="n">
        <x:f>IF(B1421='Inputs'!$H$47,'Inputs'!$B$27*'Inputs'!$I$47,0)</x:f>
        <x:v>0</x:v>
      </x:c>
      <x:c r="S1421" s="78" t="n">
        <x:f>Q1421+G1421+R1421</x:f>
        <x:v>307145.6886845565</x:v>
      </x:c>
      <x:c r="T1421" s="78" t="n">
        <x:f>P1421*(S1421*(1-'Inputs'!$B$15))/(O1421+S1421*(1-'Inputs'!$B$15))</x:f>
        <x:v>8754.248982492547</x:v>
      </x:c>
      <x:c r="U1421" s="78" t="n">
        <x:f>O1421+S1421*(1-'Inputs'!$B$17)</x:f>
        <x:v>1816445.339915379</x:v>
      </x:c>
      <x:c r="V1421" s="78" t="n">
        <x:f>P1421-T1421</x:f>
        <x:v>43488.08216552915</x:v>
      </x:c>
      <x:c r="W1421" s="79" t="n">
        <x:f>IF(U1421&gt;0,V1421/U1421,0)</x:f>
        <x:v>0.023941310652130655</x:v>
      </x:c>
      <x:c r="X1421" s="80" t="n">
        <x:f>W1421*('Inputs'!$B$6-AC1421)</x:f>
        <x:v>23817995.141904574</x:v>
      </x:c>
      <x:c r="Y1421" s="80" t="n">
        <x:f>2*V1421</x:f>
        <x:v>86976.1643310583</x:v>
      </x:c>
      <x:c r="Z1421" s="80" t="n">
        <x:f>K1421*'Inputs'!$B$16+(G1421+R1421)*J1421*'Inputs'!$B$16</x:f>
        <x:v>1116.3839251633722</x:v>
      </x:c>
      <x:c r="AA1421" s="80" t="n">
        <x:f>K1421*(1+'Inputs'!$E$47)/2*'Inputs'!$B$17</x:f>
        <x:v>377.63090181893455</x:v>
      </x:c>
      <x:c r="AB1421" s="78" t="n">
        <x:f>(IF(J1421&gt;0,K1421*(1-'Inputs'!$E$47)/2/J1421,0)+G1421+R1421)*'Inputs'!$B$17</x:f>
        <x:v>15574.794093753591</x:v>
      </x:c>
      <x:c r="AC1421" s="78" t="n">
        <x:f>AC1420+AB1421</x:f>
        <x:v>5150741.82937875</x:v>
      </x:c>
      <x:c r="AD1421" s="80" t="n">
        <x:f>Z1421/(1+'Inputs'!$C$47)</x:f>
        <x:v>446.5535700653489</x:v>
      </x:c>
      <x:c r="AE1421" s="80" t="n">
        <x:f>Z1421-AD1421</x:f>
        <x:v>669.8303550980233</x:v>
      </x:c>
      <x:c r="AF1421" s="80" t="n">
        <x:f>D1421*W1421</x:f>
        <x:v>6229.587211450425</x:v>
      </x:c>
      <x:c r="AG1421" s="80" t="n">
        <x:f>C1421*W1421</x:f>
        <x:v>14535.703493384322</x:v>
      </x:c>
      <x:c r="AH1421" s="80" t="n">
        <x:f>2*'Inputs'!$B$8*'Inputs'!$C$47</x:f>
        <x:v>7500</x:v>
      </x:c>
      <x:c r="AI1421" s="81" t="n">
        <x:f>IF(AH1421&gt;0,(AE1421+AF1421)/AH1421*365,0)</x:f>
        <x:v>335.7716549053578</x:v>
      </x:c>
      <x:c r="AJ1421" s="81" t="n">
        <x:f>IF('Inputs'!$B$47&gt;0,AG1421/('Inputs'!$B$19*'Inputs'!$B$47)*365,0)</x:f>
        <x:v>530.5531775085277</x:v>
      </x:c>
      <x:c r="AK1421" s="81" t="n">
        <x:f>W1421/MAX($W$1099:W1421)-1</x:f>
        <x:v>0</x:v>
      </x:c>
      <x:c r="AL1421" s="83" t="n">
        <x:f>'Inputs'!$B$47</x:f>
        <x:v>1</x:v>
      </x:c>
      <x:c r="AM1421" s="83" t="n">
        <x:f>'Inputs'!$C$47</x:f>
        <x:v>1.5</x:v>
      </x:c>
      <x:c r="AN1421" s="83" t="n">
        <x:f>'Inputs'!$D$47</x:f>
        <x:v>1.5</x:v>
      </x:c>
      <x:c r="AO1421" s="81" t="n">
        <x:f>'Inputs'!$E$47</x:f>
        <x:v>0.05</x:v>
      </x:c>
    </x:row>
    <x:row r="1422">
      <x:c r="A1422" s="59" t="str">
        <x:v>Growth</x:v>
      </x:c>
      <x:c r="B1422" s="59" t="n">
        <x:v>324</x:v>
      </x:c>
      <x:c r="C1422" s="78" t="n">
        <x:f>(('Inputs'!$B$29*(3*324*'Inputs'!$B$12-324^2)/(2*'Inputs'!$B$12^2))-('Inputs'!$B$29*(3*323*'Inputs'!$B$12-323^2)/(2*'Inputs'!$B$12^2)))*'Inputs'!$B$47</x:f>
        <x:v>606813.8956652284</x:v>
      </x:c>
      <x:c r="D1422" s="78" t="n">
        <x:f>IF('Inputs'!$C$47&gt;0,('Inputs'!$B$30*(3*324*'Inputs'!$B$12-324^2)/(2*'Inputs'!$B$12^2))-('Inputs'!$B$30*(3*323*'Inputs'!$B$12-323^2)/(2*'Inputs'!$B$12^2)),0)</x:f>
        <x:v>260063.09814223647</x:v>
      </x:c>
      <x:c r="E1422" s="78" t="n">
        <x:f>C1422+D1422</x:f>
        <x:v>866876.9938074648</x:v>
      </x:c>
      <x:c r="F1422" s="78" t="n">
        <x:f>'Inputs'!$B$13*E1422+(1-'Inputs'!$B$13)/'Inputs'!$B$14*SUM(E1367:E1422)</x:f>
        <x:v>877094.6706699186</x:v>
      </x:c>
      <x:c r="G1422" s="78" t="n">
        <x:f>F1422*'Inputs'!$F$47</x:f>
        <x:v>306983.1347344715</x:v>
      </x:c>
      <x:c r="H1422" s="78" t="n">
        <x:f>U1421</x:f>
        <x:v>1816445.339915379</x:v>
      </x:c>
      <x:c r="I1422" s="78" t="n">
        <x:f>V1421</x:f>
        <x:v>43488.08216552915</x:v>
      </x:c>
      <x:c r="J1422" s="79" t="n">
        <x:f>IF(H1422&gt;0,I1422/H1422,0)</x:f>
        <x:v>0.023941310652130655</x:v>
      </x:c>
      <x:c r="K1422" s="80" t="n">
        <x:f>(H1422*J1422+I1422)*'Inputs'!$D$47*(1+'Inputs'!$G$47)^(B1422/30)</x:f>
        <x:v>179528.5557488879</x:v>
      </x:c>
      <x:c r="L1422" s="80" t="n">
        <x:f>MAX(0,K1422*'Inputs'!$E$47)</x:f>
        <x:v>8976.427787444396</x:v>
      </x:c>
      <x:c r="M1422" s="80" t="n">
        <x:f>MAX(0,-K1422*'Inputs'!$E$47)</x:f>
        <x:v>0</x:v>
      </x:c>
      <x:c r="N1422" s="78" t="n">
        <x:f>H1422*(L1422*(1-'Inputs'!$B$15))/(I1422+L1422*(1-'Inputs'!$B$15))</x:f>
        <x:v>308204.6186818804</x:v>
      </x:c>
      <x:c r="O1422" s="78" t="n">
        <x:f>H1422-N1422</x:f>
        <x:v>1508240.7212334985</x:v>
      </x:c>
      <x:c r="P1422" s="78" t="n">
        <x:f>I1422+L1422*(1-'Inputs'!$B$17)</x:f>
        <x:v>52428.38750714882</x:v>
      </x:c>
      <x:c r="Q1422" s="78" t="n">
        <x:f>IF(J1422&gt;0,M1422/J1422,0)</x:f>
        <x:v>0</x:v>
      </x:c>
      <x:c r="R1422" s="78" t="n">
        <x:f>IF(B1422='Inputs'!$H$47,'Inputs'!$B$27*'Inputs'!$I$47,0)</x:f>
        <x:v>0</x:v>
      </x:c>
      <x:c r="S1422" s="78" t="n">
        <x:f>Q1422+G1422+R1422</x:f>
        <x:v>306983.1347344715</x:v>
      </x:c>
      <x:c r="T1422" s="78" t="n">
        <x:f>P1422*(S1422*(1-'Inputs'!$B$15))/(O1422+S1422*(1-'Inputs'!$B$15))</x:f>
        <x:v>8792.67668314987</x:v>
      </x:c>
      <x:c r="U1422" s="78" t="n">
        <x:f>O1422+S1422*(1-'Inputs'!$B$17)</x:f>
        <x:v>1813988.5113613927</x:v>
      </x:c>
      <x:c r="V1422" s="78" t="n">
        <x:f>P1422-T1422</x:f>
        <x:v>43635.710823998954</x:v>
      </x:c>
      <x:c r="W1422" s="79" t="n">
        <x:f>IF(U1422&gt;0,V1422/U1422,0)</x:f>
        <x:v>0.024055119726888726</x:v>
      </x:c>
      <x:c r="X1422" s="80" t="n">
        <x:f>W1422*('Inputs'!$B$6-AC1422)</x:f>
        <x:v>23930843.50461842</x:v>
      </x:c>
      <x:c r="Y1422" s="80" t="n">
        <x:f>2*V1422</x:f>
        <x:v>87271.42164799791</x:v>
      </x:c>
      <x:c r="Z1422" s="80" t="n">
        <x:f>K1422*'Inputs'!$B$16+(G1422+R1422)*J1422*'Inputs'!$B$16</x:f>
        <x:v>1121.2688060551848</x:v>
      </x:c>
      <x:c r="AA1422" s="80" t="n">
        <x:f>K1422*(1+'Inputs'!$E$47)/2*'Inputs'!$B$17</x:f>
        <x:v>379.2856811596224</x:v>
      </x:c>
      <x:c r="AB1422" s="78" t="n">
        <x:f>(IF(J1422&gt;0,K1422*(1-'Inputs'!$E$47)/2/J1422,0)+G1422+R1422)*'Inputs'!$B$17</x:f>
        <x:v>15568.863782744786</x:v>
      </x:c>
      <x:c r="AC1422" s="78" t="n">
        <x:f>AC1421+AB1422</x:f>
        <x:v>5166310.693161495</x:v>
      </x:c>
      <x:c r="AD1422" s="80" t="n">
        <x:f>Z1422/(1+'Inputs'!$C$47)</x:f>
        <x:v>448.5075224220739</x:v>
      </x:c>
      <x:c r="AE1422" s="80" t="n">
        <x:f>Z1422-AD1422</x:f>
        <x:v>672.7612836331109</x:v>
      </x:c>
      <x:c r="AF1422" s="80" t="n">
        <x:f>D1422*W1422</x:f>
        <x:v>6255.848962357111</x:v>
      </x:c>
      <x:c r="AG1422" s="80" t="n">
        <x:f>C1422*W1422</x:f>
        <x:v>14596.980912166831</x:v>
      </x:c>
      <x:c r="AH1422" s="80" t="n">
        <x:f>2*'Inputs'!$B$8*'Inputs'!$C$47</x:f>
        <x:v>7500</x:v>
      </x:c>
      <x:c r="AI1422" s="81" t="n">
        <x:f>IF(AH1422&gt;0,(AE1422+AF1422)/AH1422*365,0)</x:f>
        <x:v>337.1923653048575</x:v>
      </x:c>
      <x:c r="AJ1422" s="81" t="n">
        <x:f>IF('Inputs'!$B$47&gt;0,AG1422/('Inputs'!$B$19*'Inputs'!$B$47)*365,0)</x:f>
        <x:v>532.7898032940893</x:v>
      </x:c>
      <x:c r="AK1422" s="81" t="n">
        <x:f>W1422/MAX($W$1099:W1422)-1</x:f>
        <x:v>0</x:v>
      </x:c>
      <x:c r="AL1422" s="83" t="n">
        <x:f>'Inputs'!$B$47</x:f>
        <x:v>1</x:v>
      </x:c>
      <x:c r="AM1422" s="83" t="n">
        <x:f>'Inputs'!$C$47</x:f>
        <x:v>1.5</x:v>
      </x:c>
      <x:c r="AN1422" s="83" t="n">
        <x:f>'Inputs'!$D$47</x:f>
        <x:v>1.5</x:v>
      </x:c>
      <x:c r="AO1422" s="81" t="n">
        <x:f>'Inputs'!$E$47</x:f>
        <x:v>0.05</x:v>
      </x:c>
    </x:row>
    <x:row r="1423">
      <x:c r="A1423" s="59" t="str">
        <x:v>Growth</x:v>
      </x:c>
      <x:c r="B1423" s="59" t="n">
        <x:v>325</x:v>
      </x:c>
      <x:c r="C1423" s="78" t="n">
        <x:f>(('Inputs'!$B$29*(3*325*'Inputs'!$B$12-325^2)/(2*'Inputs'!$B$12^2))-('Inputs'!$B$29*(3*324*'Inputs'!$B$12-324^2)/(2*'Inputs'!$B$12^2)))*'Inputs'!$B$47</x:f>
        <x:v>606488.7877650559</x:v>
      </x:c>
      <x:c r="D1423" s="78" t="n">
        <x:f>IF('Inputs'!$C$47&gt;0,('Inputs'!$B$30*(3*325*'Inputs'!$B$12-325^2)/(2*'Inputs'!$B$12^2))-('Inputs'!$B$30*(3*324*'Inputs'!$B$12-324^2)/(2*'Inputs'!$B$12^2)),0)</x:f>
        <x:v>259923.76618503034</x:v>
      </x:c>
      <x:c r="E1423" s="78" t="n">
        <x:f>C1423+D1423</x:f>
        <x:v>866412.5539500862</x:v>
      </x:c>
      <x:c r="F1423" s="78" t="n">
        <x:f>'Inputs'!$B$13*E1423+(1-'Inputs'!$B$13)/'Inputs'!$B$14*SUM(E1368:E1423)</x:f>
        <x:v>876630.2308125359</x:v>
      </x:c>
      <x:c r="G1423" s="78" t="n">
        <x:f>F1423*'Inputs'!$F$47</x:f>
        <x:v>306820.58078438754</x:v>
      </x:c>
      <x:c r="H1423" s="78" t="n">
        <x:f>U1422</x:f>
        <x:v>1813988.5113613927</x:v>
      </x:c>
      <x:c r="I1423" s="78" t="n">
        <x:f>V1422</x:f>
        <x:v>43635.710823998954</x:v>
      </x:c>
      <x:c r="J1423" s="79" t="n">
        <x:f>IF(H1423&gt;0,I1423/H1423,0)</x:f>
        <x:v>0.024055119726888726</x:v>
      </x:c>
      <x:c r="K1423" s="80" t="n">
        <x:f>(H1423*J1423+I1423)*'Inputs'!$D$47*(1+'Inputs'!$G$47)^(B1423/30)</x:f>
        <x:v>180315.57620991176</x:v>
      </x:c>
      <x:c r="L1423" s="80" t="n">
        <x:f>MAX(0,K1423*'Inputs'!$E$47)</x:f>
        <x:v>9015.778810495589</x:v>
      </x:c>
      <x:c r="M1423" s="80" t="n">
        <x:f>MAX(0,-K1423*'Inputs'!$E$47)</x:f>
        <x:v>0</x:v>
      </x:c>
      <x:c r="N1423" s="78" t="n">
        <x:f>H1423*(L1423*(1-'Inputs'!$B$15))/(I1423+L1423*(1-'Inputs'!$B$15))</x:f>
        <x:v>308039.64478488546</x:v>
      </x:c>
      <x:c r="O1423" s="78" t="n">
        <x:f>H1423-N1423</x:f>
        <x:v>1505948.8665765072</x:v>
      </x:c>
      <x:c r="P1423" s="78" t="n">
        <x:f>I1423+L1423*(1-'Inputs'!$B$17)</x:f>
        <x:v>52615.20883445231</x:v>
      </x:c>
      <x:c r="Q1423" s="78" t="n">
        <x:f>IF(J1423&gt;0,M1423/J1423,0)</x:f>
        <x:v>0</x:v>
      </x:c>
      <x:c r="R1423" s="78" t="n">
        <x:f>IF(B1423='Inputs'!$H$47,'Inputs'!$B$27*'Inputs'!$I$47,0)</x:f>
        <x:v>0</x:v>
      </x:c>
      <x:c r="S1423" s="78" t="n">
        <x:f>Q1423+G1423+R1423</x:f>
        <x:v>306820.58078438754</x:v>
      </x:c>
      <x:c r="T1423" s="78" t="n">
        <x:f>P1423*(S1423*(1-'Inputs'!$B$15))/(O1423+S1423*(1-'Inputs'!$B$15))</x:f>
        <x:v>8831.288986482801</x:v>
      </x:c>
      <x:c r="U1423" s="78" t="n">
        <x:f>O1423+S1423*(1-'Inputs'!$B$17)</x:f>
        <x:v>1811534.7568949615</x:v>
      </x:c>
      <x:c r="V1423" s="78" t="n">
        <x:f>P1423-T1423</x:f>
        <x:v>43783.919847969504</x:v>
      </x:c>
      <x:c r="W1423" s="79" t="n">
        <x:f>IF(U1423&gt;0,V1423/U1423,0)</x:f>
        <x:v>0.024169516859293822</x:v>
      </x:c>
      <x:c r="X1423" s="80" t="n">
        <x:f>W1423*('Inputs'!$B$6-AC1423)</x:f>
        <x:v>24044273.477312762</x:v>
      </x:c>
      <x:c r="Y1423" s="80" t="n">
        <x:f>2*V1423</x:f>
        <x:v>87567.83969593901</x:v>
      </x:c>
      <x:c r="Z1423" s="80" t="n">
        <x:f>K1423*'Inputs'!$B$16+(G1423+R1423)*J1423*'Inputs'!$B$16</x:f>
        <x:v>1126.1770920921224</x:v>
      </x:c>
      <x:c r="AA1423" s="80" t="n">
        <x:f>K1423*(1+'Inputs'!$E$47)/2*'Inputs'!$B$17</x:f>
        <x:v>380.9484004434756</x:v>
      </x:c>
      <x:c r="AB1423" s="78" t="n">
        <x:f>(IF(J1423&gt;0,K1423*(1-'Inputs'!$E$47)/2/J1423,0)+G1423+R1423)*'Inputs'!$B$17</x:f>
        <x:v>15562.93344765365</x:v>
      </x:c>
      <x:c r="AC1423" s="78" t="n">
        <x:f>AC1422+AB1423</x:f>
        <x:v>5181873.626609148</x:v>
      </x:c>
      <x:c r="AD1423" s="80" t="n">
        <x:f>Z1423/(1+'Inputs'!$C$47)</x:f>
        <x:v>450.47083683684895</x:v>
      </x:c>
      <x:c r="AE1423" s="80" t="n">
        <x:f>Z1423-AD1423</x:f>
        <x:v>675.7062552552734</x:v>
      </x:c>
      <x:c r="AF1423" s="80" t="n">
        <x:f>D1423*W1423</x:f>
        <x:v>6282.231848940236</x:v>
      </x:c>
      <x:c r="AG1423" s="80" t="n">
        <x:f>C1423*W1423</x:f>
        <x:v>14658.54098086019</x:v>
      </x:c>
      <x:c r="AH1423" s="80" t="n">
        <x:f>2*'Inputs'!$B$8*'Inputs'!$C$47</x:f>
        <x:v>7500</x:v>
      </x:c>
      <x:c r="AI1423" s="81" t="n">
        <x:f>IF(AH1423&gt;0,(AE1423+AF1423)/AH1423*365,0)</x:f>
        <x:v>338.61965440418146</x:v>
      </x:c>
      <x:c r="AJ1423" s="81" t="n">
        <x:f>IF('Inputs'!$B$47&gt;0,AG1423/('Inputs'!$B$19*'Inputs'!$B$47)*365,0)</x:f>
        <x:v>535.0367458013969</x:v>
      </x:c>
      <x:c r="AK1423" s="81" t="n">
        <x:f>W1423/MAX($W$1099:W1423)-1</x:f>
        <x:v>0</x:v>
      </x:c>
      <x:c r="AL1423" s="83" t="n">
        <x:f>'Inputs'!$B$47</x:f>
        <x:v>1</x:v>
      </x:c>
      <x:c r="AM1423" s="83" t="n">
        <x:f>'Inputs'!$C$47</x:f>
        <x:v>1.5</x:v>
      </x:c>
      <x:c r="AN1423" s="83" t="n">
        <x:f>'Inputs'!$D$47</x:f>
        <x:v>1.5</x:v>
      </x:c>
      <x:c r="AO1423" s="81" t="n">
        <x:f>'Inputs'!$E$47</x:f>
        <x:v>0.05</x:v>
      </x:c>
    </x:row>
    <x:row r="1424">
      <x:c r="A1424" s="59" t="str">
        <x:v>Growth</x:v>
      </x:c>
      <x:c r="B1424" s="59" t="n">
        <x:v>326</x:v>
      </x:c>
      <x:c r="C1424" s="78" t="n">
        <x:f>(('Inputs'!$B$29*(3*326*'Inputs'!$B$12-326^2)/(2*'Inputs'!$B$12^2))-('Inputs'!$B$29*(3*325*'Inputs'!$B$12-325^2)/(2*'Inputs'!$B$12^2)))*'Inputs'!$B$47</x:f>
        <x:v>606163.6798648834</x:v>
      </x:c>
      <x:c r="D1424" s="78" t="n">
        <x:f>IF('Inputs'!$C$47&gt;0,('Inputs'!$B$30*(3*326*'Inputs'!$B$12-326^2)/(2*'Inputs'!$B$12^2))-('Inputs'!$B$30*(3*325*'Inputs'!$B$12-325^2)/(2*'Inputs'!$B$12^2)),0)</x:f>
        <x:v>259784.4342278093</x:v>
      </x:c>
      <x:c r="E1424" s="78" t="n">
        <x:f>C1424+D1424</x:f>
        <x:v>865948.1140926927</x:v>
      </x:c>
      <x:c r="F1424" s="78" t="n">
        <x:f>'Inputs'!$B$13*E1424+(1-'Inputs'!$B$13)/'Inputs'!$B$14*SUM(E1369:E1424)</x:f>
        <x:v>876165.7909551496</x:v>
      </x:c>
      <x:c r="G1424" s="78" t="n">
        <x:f>F1424*'Inputs'!$F$47</x:f>
        <x:v>306658.02683430235</x:v>
      </x:c>
      <x:c r="H1424" s="78" t="n">
        <x:f>U1423</x:f>
        <x:v>1811534.7568949615</x:v>
      </x:c>
      <x:c r="I1424" s="78" t="n">
        <x:f>V1423</x:f>
        <x:v>43783.919847969504</x:v>
      </x:c>
      <x:c r="J1424" s="79" t="n">
        <x:f>IF(H1424&gt;0,I1424/H1424,0)</x:f>
        <x:v>0.024169516859293822</x:v>
      </x:c>
      <x:c r="K1424" s="80" t="n">
        <x:f>(H1424*J1424+I1424)*'Inputs'!$D$47*(1+'Inputs'!$G$47)^(B1424/30)</x:f>
        <x:v>181106.37447355347</x:v>
      </x:c>
      <x:c r="L1424" s="80" t="n">
        <x:f>MAX(0,K1424*'Inputs'!$E$47)</x:f>
        <x:v>9055.318723677674</x:v>
      </x:c>
      <x:c r="M1424" s="80" t="n">
        <x:f>MAX(0,-K1424*'Inputs'!$E$47)</x:f>
        <x:v>0</x:v>
      </x:c>
      <x:c r="N1424" s="78" t="n">
        <x:f>H1424*(L1424*(1-'Inputs'!$B$15))/(I1424+L1424*(1-'Inputs'!$B$15))</x:f>
        <x:v>307874.6747587463</x:v>
      </x:c>
      <x:c r="O1424" s="78" t="n">
        <x:f>H1424-N1424</x:f>
        <x:v>1503660.0821362152</x:v>
      </x:c>
      <x:c r="P1424" s="78" t="n">
        <x:f>I1424+L1424*(1-'Inputs'!$B$17)</x:f>
        <x:v>52802.79865726618</x:v>
      </x:c>
      <x:c r="Q1424" s="78" t="n">
        <x:f>IF(J1424&gt;0,M1424/J1424,0)</x:f>
        <x:v>0</x:v>
      </x:c>
      <x:c r="R1424" s="78" t="n">
        <x:f>IF(B1424='Inputs'!$H$47,'Inputs'!$B$27*'Inputs'!$I$47,0)</x:f>
        <x:v>0</x:v>
      </x:c>
      <x:c r="S1424" s="78" t="n">
        <x:f>Q1424+G1424+R1424</x:f>
        <x:v>306658.02683430235</x:v>
      </x:c>
      <x:c r="T1424" s="78" t="n">
        <x:f>P1424*(S1424*(1-'Inputs'!$B$15))/(O1424+S1424*(1-'Inputs'!$B$15))</x:f>
        <x:v>8870.086854264475</x:v>
      </x:c>
      <x:c r="U1424" s="78" t="n">
        <x:f>O1424+S1424*(1-'Inputs'!$B$17)</x:f>
        <x:v>1809084.0726452286</x:v>
      </x:c>
      <x:c r="V1424" s="78" t="n">
        <x:f>P1424-T1424</x:f>
        <x:v>43932.71180300171</x:v>
      </x:c>
      <x:c r="W1424" s="79" t="n">
        <x:f>IF(U1424&gt;0,V1424/U1424,0)</x:f>
        <x:v>0.02428450532913246</x:v>
      </x:c>
      <x:c r="X1424" s="80" t="n">
        <x:f>W1424*('Inputs'!$B$6-AC1424)</x:f>
        <x:v>24158288.297307808</x:v>
      </x:c>
      <x:c r="Y1424" s="80" t="n">
        <x:f>2*V1424</x:f>
        <x:v>87865.42360600342</x:v>
      </x:c>
      <x:c r="Z1424" s="80" t="n">
        <x:f>K1424*'Inputs'!$B$16+(G1424+R1424)*J1424*'Inputs'!$B$16</x:f>
        <x:v>1131.1089049389775</x:v>
      </x:c>
      <x:c r="AA1424" s="80" t="n">
        <x:f>K1424*(1+'Inputs'!$E$47)/2*'Inputs'!$B$17</x:f>
        <x:v>382.61910100046515</x:v>
      </x:c>
      <x:c r="AB1424" s="78" t="n">
        <x:f>(IF(J1424&gt;0,K1424*(1-'Inputs'!$E$47)/2/J1424,0)+G1424+R1424)*'Inputs'!$B$17</x:f>
        <x:v>15557.003086883655</x:v>
      </x:c>
      <x:c r="AC1424" s="78" t="n">
        <x:f>AC1423+AB1424</x:f>
        <x:v>5197430.629696032</x:v>
      </x:c>
      <x:c r="AD1424" s="80" t="n">
        <x:f>Z1424/(1+'Inputs'!$C$47)</x:f>
        <x:v>452.443561975591</x:v>
      </x:c>
      <x:c r="AE1424" s="80" t="n">
        <x:f>Z1424-AD1424</x:f>
        <x:v>678.6653429633865</x:v>
      </x:c>
      <x:c r="AF1424" s="80" t="n">
        <x:f>D1424*W1424</x:f>
        <x:v>6308.736477430896</x:v>
      </x:c>
      <x:c r="AG1424" s="80" t="n">
        <x:f>C1424*W1424</x:f>
        <x:v>14720.385114005303</x:v>
      </x:c>
      <x:c r="AH1424" s="80" t="n">
        <x:f>2*'Inputs'!$B$8*'Inputs'!$C$47</x:f>
        <x:v>7500</x:v>
      </x:c>
      <x:c r="AI1424" s="81" t="n">
        <x:f>IF(AH1424&gt;0,(AE1424+AF1424)/AH1424*365,0)</x:f>
        <x:v>340.0535552591884</x:v>
      </x:c>
      <x:c r="AJ1424" s="81" t="n">
        <x:f>IF('Inputs'!$B$47&gt;0,AG1424/('Inputs'!$B$19*'Inputs'!$B$47)*365,0)</x:f>
        <x:v>537.2940566611936</x:v>
      </x:c>
      <x:c r="AK1424" s="81" t="n">
        <x:f>W1424/MAX($W$1099:W1424)-1</x:f>
        <x:v>0</x:v>
      </x:c>
      <x:c r="AL1424" s="83" t="n">
        <x:f>'Inputs'!$B$47</x:f>
        <x:v>1</x:v>
      </x:c>
      <x:c r="AM1424" s="83" t="n">
        <x:f>'Inputs'!$C$47</x:f>
        <x:v>1.5</x:v>
      </x:c>
      <x:c r="AN1424" s="83" t="n">
        <x:f>'Inputs'!$D$47</x:f>
        <x:v>1.5</x:v>
      </x:c>
      <x:c r="AO1424" s="81" t="n">
        <x:f>'Inputs'!$E$47</x:f>
        <x:v>0.05</x:v>
      </x:c>
    </x:row>
    <x:row r="1425">
      <x:c r="A1425" s="59" t="str">
        <x:v>Growth</x:v>
      </x:c>
      <x:c r="B1425" s="59" t="n">
        <x:v>327</x:v>
      </x:c>
      <x:c r="C1425" s="78" t="n">
        <x:f>(('Inputs'!$B$29*(3*327*'Inputs'!$B$12-327^2)/(2*'Inputs'!$B$12^2))-('Inputs'!$B$29*(3*326*'Inputs'!$B$12-326^2)/(2*'Inputs'!$B$12^2)))*'Inputs'!$B$47</x:f>
        <x:v>605838.5719647408</x:v>
      </x:c>
      <x:c r="D1425" s="78" t="n">
        <x:f>IF('Inputs'!$C$47&gt;0,('Inputs'!$B$30*(3*327*'Inputs'!$B$12-327^2)/(2*'Inputs'!$B$12^2))-('Inputs'!$B$30*(3*326*'Inputs'!$B$12-326^2)/(2*'Inputs'!$B$12^2)),0)</x:f>
        <x:v>259645.10227058828</x:v>
      </x:c>
      <x:c r="E1425" s="78" t="n">
        <x:f>C1425+D1425</x:f>
        <x:v>865483.674235329</x:v>
      </x:c>
      <x:c r="F1425" s="78" t="n">
        <x:f>'Inputs'!$B$13*E1425+(1-'Inputs'!$B$13)/'Inputs'!$B$14*SUM(E1370:E1425)</x:f>
        <x:v>875701.3510977698</x:v>
      </x:c>
      <x:c r="G1425" s="78" t="n">
        <x:f>F1425*'Inputs'!$F$47</x:f>
        <x:v>306495.47288421943</x:v>
      </x:c>
      <x:c r="H1425" s="78" t="n">
        <x:f>U1424</x:f>
        <x:v>1809084.0726452286</x:v>
      </x:c>
      <x:c r="I1425" s="78" t="n">
        <x:f>V1424</x:f>
        <x:v>43932.71180300171</x:v>
      </x:c>
      <x:c r="J1425" s="79" t="n">
        <x:f>IF(H1425&gt;0,I1425/H1425,0)</x:f>
        <x:v>0.02428450532913246</x:v>
      </x:c>
      <x:c r="K1425" s="80" t="n">
        <x:f>(H1425*J1425+I1425)*'Inputs'!$D$47*(1+'Inputs'!$G$47)^(B1425/30)</x:f>
        <x:v>181900.97021220377</x:v>
      </x:c>
      <x:c r="L1425" s="80" t="n">
        <x:f>MAX(0,K1425*'Inputs'!$E$47)</x:f>
        <x:v>9095.04851061019</x:v>
      </x:c>
      <x:c r="M1425" s="80" t="n">
        <x:f>MAX(0,-K1425*'Inputs'!$E$47)</x:f>
        <x:v>0</x:v>
      </x:c>
      <x:c r="N1425" s="78" t="n">
        <x:f>H1425*(L1425*(1-'Inputs'!$B$15))/(I1425+L1425*(1-'Inputs'!$B$15))</x:f>
        <x:v>307709.70859872794</x:v>
      </x:c>
      <x:c r="O1425" s="78" t="n">
        <x:f>H1425-N1425</x:f>
        <x:v>1501374.3640465005</x:v>
      </x:c>
      <x:c r="P1425" s="78" t="n">
        <x:f>I1425+L1425*(1-'Inputs'!$B$17)</x:f>
        <x:v>52991.160520812664</x:v>
      </x:c>
      <x:c r="Q1425" s="78" t="n">
        <x:f>IF(J1425&gt;0,M1425/J1425,0)</x:f>
        <x:v>0</x:v>
      </x:c>
      <x:c r="R1425" s="78" t="n">
        <x:f>IF(B1425='Inputs'!$H$47,'Inputs'!$B$27*'Inputs'!$I$47,0)</x:f>
        <x:v>0</x:v>
      </x:c>
      <x:c r="S1425" s="78" t="n">
        <x:f>Q1425+G1425+R1425</x:f>
        <x:v>306495.47288421943</x:v>
      </x:c>
      <x:c r="T1425" s="78" t="n">
        <x:f>P1425*(S1425*(1-'Inputs'!$B$15))/(O1425+S1425*(1-'Inputs'!$B$15))</x:f>
        <x:v>8909.071253657221</x:v>
      </x:c>
      <x:c r="U1425" s="78" t="n">
        <x:f>O1425+S1425*(1-'Inputs'!$B$17)</x:f>
        <x:v>1806636.4547460752</x:v>
      </x:c>
      <x:c r="V1425" s="78" t="n">
        <x:f>P1425-T1425</x:f>
        <x:v>44082.08926715545</x:v>
      </x:c>
      <x:c r="W1425" s="79" t="n">
        <x:f>IF(U1425&gt;0,V1425/U1425,0)</x:f>
        <x:v>0.024400088435806103</x:v>
      </x:c>
      <x:c r="X1425" s="80" t="n">
        <x:f>W1425*('Inputs'!$B$6-AC1425)</x:f>
        <x:v>24272891.22125343</x:v>
      </x:c>
      <x:c r="Y1425" s="80" t="n">
        <x:f>2*V1425</x:f>
        <x:v>88164.1785343109</x:v>
      </x:c>
      <x:c r="Z1425" s="80" t="n">
        <x:f>K1425*'Inputs'!$B$16+(G1425+R1425)*J1425*'Inputs'!$B$16</x:f>
        <x:v>1136.0643669408935</x:v>
      </x:c>
      <x:c r="AA1425" s="80" t="n">
        <x:f>K1425*(1+'Inputs'!$E$47)/2*'Inputs'!$B$17</x:f>
        <x:v>384.2978243919798</x:v>
      </x:c>
      <x:c r="AB1425" s="78" t="n">
        <x:f>(IF(J1425&gt;0,K1425*(1-'Inputs'!$E$47)/2/J1425,0)+G1425+R1425)*'Inputs'!$B$17</x:f>
        <x:v>15551.072698835873</x:v>
      </x:c>
      <x:c r="AC1425" s="78" t="n">
        <x:f>AC1424+AB1425</x:f>
        <x:v>5212981.702394868</x:v>
      </x:c>
      <x:c r="AD1425" s="80" t="n">
        <x:f>Z1425/(1+'Inputs'!$C$47)</x:f>
        <x:v>454.4257467763574</x:v>
      </x:c>
      <x:c r="AE1425" s="80" t="n">
        <x:f>Z1425-AD1425</x:f>
        <x:v>681.6386201645361</x:v>
      </x:c>
      <x:c r="AF1425" s="80" t="n">
        <x:f>D1425*W1425</x:f>
        <x:v>6335.363457326274</x:v>
      </x:c>
      <x:c r="AG1425" s="80" t="n">
        <x:f>C1425*W1425</x:f>
        <x:v>14782.514733762155</x:v>
      </x:c>
      <x:c r="AH1425" s="80" t="n">
        <x:f>2*'Inputs'!$B$8*'Inputs'!$C$47</x:f>
        <x:v>7500</x:v>
      </x:c>
      <x:c r="AI1425" s="81" t="n">
        <x:f>IF(AH1425&gt;0,(AE1425+AF1425)/AH1425*365,0)</x:f>
        <x:v>341.4941011045528</x:v>
      </x:c>
      <x:c r="AJ1425" s="81" t="n">
        <x:f>IF('Inputs'!$B$47&gt;0,AG1425/('Inputs'!$B$19*'Inputs'!$B$47)*365,0)</x:f>
        <x:v>539.5617877823187</x:v>
      </x:c>
      <x:c r="AK1425" s="81" t="n">
        <x:f>W1425/MAX($W$1099:W1425)-1</x:f>
        <x:v>0</x:v>
      </x:c>
      <x:c r="AL1425" s="83" t="n">
        <x:f>'Inputs'!$B$47</x:f>
        <x:v>1</x:v>
      </x:c>
      <x:c r="AM1425" s="83" t="n">
        <x:f>'Inputs'!$C$47</x:f>
        <x:v>1.5</x:v>
      </x:c>
      <x:c r="AN1425" s="83" t="n">
        <x:f>'Inputs'!$D$47</x:f>
        <x:v>1.5</x:v>
      </x:c>
      <x:c r="AO1425" s="81" t="n">
        <x:f>'Inputs'!$E$47</x:f>
        <x:v>0.05</x:v>
      </x:c>
    </x:row>
    <x:row r="1426">
      <x:c r="A1426" s="59" t="str">
        <x:v>Growth</x:v>
      </x:c>
      <x:c r="B1426" s="59" t="n">
        <x:v>328</x:v>
      </x:c>
      <x:c r="C1426" s="78" t="n">
        <x:f>(('Inputs'!$B$29*(3*328*'Inputs'!$B$12-328^2)/(2*'Inputs'!$B$12^2))-('Inputs'!$B$29*(3*327*'Inputs'!$B$12-327^2)/(2*'Inputs'!$B$12^2)))*'Inputs'!$B$47</x:f>
        <x:v>605513.4640645385</x:v>
      </x:c>
      <x:c r="D1426" s="78" t="n">
        <x:f>IF('Inputs'!$C$47&gt;0,('Inputs'!$B$30*(3*328*'Inputs'!$B$12-328^2)/(2*'Inputs'!$B$12^2))-('Inputs'!$B$30*(3*327*'Inputs'!$B$12-327^2)/(2*'Inputs'!$B$12^2)),0)</x:f>
        <x:v>259505.77031338215</x:v>
      </x:c>
      <x:c r="E1426" s="78" t="n">
        <x:f>C1426+D1426</x:f>
        <x:v>865019.2343779206</x:v>
      </x:c>
      <x:c r="F1426" s="78" t="n">
        <x:f>'Inputs'!$B$13*E1426+(1-'Inputs'!$B$13)/'Inputs'!$B$14*SUM(E1371:E1426)</x:f>
        <x:v>875236.9112403806</x:v>
      </x:c>
      <x:c r="G1426" s="78" t="n">
        <x:f>F1426*'Inputs'!$F$47</x:f>
        <x:v>306332.9189341332</x:v>
      </x:c>
      <x:c r="H1426" s="78" t="n">
        <x:f>U1425</x:f>
        <x:v>1806636.4547460752</x:v>
      </x:c>
      <x:c r="I1426" s="78" t="n">
        <x:f>V1425</x:f>
        <x:v>44082.08926715545</x:v>
      </x:c>
      <x:c r="J1426" s="79" t="n">
        <x:f>IF(H1426&gt;0,I1426/H1426,0)</x:f>
        <x:v>0.024400088435806103</x:v>
      </x:c>
      <x:c r="K1426" s="80" t="n">
        <x:f>(H1426*J1426+I1426)*'Inputs'!$D$47*(1+'Inputs'!$G$47)^(B1426/30)</x:f>
        <x:v>182699.3832084458</x:v>
      </x:c>
      <x:c r="L1426" s="80" t="n">
        <x:f>MAX(0,K1426*'Inputs'!$E$47)</x:f>
        <x:v>9134.96916042229</x:v>
      </x:c>
      <x:c r="M1426" s="80" t="n">
        <x:f>MAX(0,-K1426*'Inputs'!$E$47)</x:f>
        <x:v>0</x:v>
      </x:c>
      <x:c r="N1426" s="78" t="n">
        <x:f>H1426*(L1426*(1-'Inputs'!$B$15))/(I1426+L1426*(1-'Inputs'!$B$15))</x:f>
        <x:v>307544.74630010145</x:v>
      </x:c>
      <x:c r="O1426" s="78" t="n">
        <x:f>H1426-N1426</x:f>
        <x:v>1499091.7084459737</x:v>
      </x:c>
      <x:c r="P1426" s="78" t="n">
        <x:f>I1426+L1426*(1-'Inputs'!$B$17)</x:f>
        <x:v>53180.297988300386</x:v>
      </x:c>
      <x:c r="Q1426" s="78" t="n">
        <x:f>IF(J1426&gt;0,M1426/J1426,0)</x:f>
        <x:v>0</x:v>
      </x:c>
      <x:c r="R1426" s="78" t="n">
        <x:f>IF(B1426='Inputs'!$H$47,'Inputs'!$B$27*'Inputs'!$I$47,0)</x:f>
        <x:v>0</x:v>
      </x:c>
      <x:c r="S1426" s="78" t="n">
        <x:f>Q1426+G1426+R1426</x:f>
        <x:v>306332.9189341332</x:v>
      </x:c>
      <x:c r="T1426" s="78" t="n">
        <x:f>P1426*(S1426*(1-'Inputs'!$B$15))/(O1426+S1426*(1-'Inputs'!$B$15))</x:f>
        <x:v>8948.243157244391</x:v>
      </x:c>
      <x:c r="U1426" s="78" t="n">
        <x:f>O1426+S1426*(1-'Inputs'!$B$17)</x:f>
        <x:v>1804191.8993361064</x:v>
      </x:c>
      <x:c r="V1426" s="78" t="n">
        <x:f>P1426-T1426</x:f>
        <x:v>44232.054831056</x:v>
      </x:c>
      <x:c r="W1426" s="79" t="n">
        <x:f>IF(U1426&gt;0,V1426/U1426,0)</x:f>
        <x:v>0.02451626949845645</x:v>
      </x:c>
      <x:c r="X1426" s="80" t="n">
        <x:f>W1426*('Inputs'!$B$6-AC1426)</x:f>
        <x:v>24388085.525252443</x:v>
      </x:c>
      <x:c r="Y1426" s="80" t="n">
        <x:f>2*V1426</x:f>
        <x:v>88464.109662112</x:v>
      </x:c>
      <x:c r="Z1426" s="80" t="n">
        <x:f>K1426*'Inputs'!$B$16+(G1426+R1426)*J1426*'Inputs'!$B$16</x:f>
        <x:v>1141.0436011274237</x:v>
      </x:c>
      <x:c r="AA1426" s="80" t="n">
        <x:f>K1426*(1+'Inputs'!$E$47)/2*'Inputs'!$B$17</x:f>
        <x:v>385.9846124122095</x:v>
      </x:c>
      <x:c r="AB1426" s="78" t="n">
        <x:f>(IF(J1426&gt;0,K1426*(1-'Inputs'!$E$47)/2/J1426,0)+G1426+R1426)*'Inputs'!$B$17</x:f>
        <x:v>15545.14228190897</x:v>
      </x:c>
      <x:c r="AC1426" s="78" t="n">
        <x:f>AC1425+AB1426</x:f>
        <x:v>5228526.844676777</x:v>
      </x:c>
      <x:c r="AD1426" s="80" t="n">
        <x:f>Z1426/(1+'Inputs'!$C$47)</x:f>
        <x:v>456.4174404509695</x:v>
      </x:c>
      <x:c r="AE1426" s="80" t="n">
        <x:f>Z1426-AD1426</x:f>
        <x:v>684.6261606764542</x:v>
      </x:c>
      <x:c r="AF1426" s="80" t="n">
        <x:f>D1426*W1426</x:f>
        <x:v>6362.113401407416</x:v>
      </x:c>
      <x:c r="AG1426" s="80" t="n">
        <x:f>C1426*W1426</x:f>
        <x:v>14844.93126995015</x:v>
      </x:c>
      <x:c r="AH1426" s="80" t="n">
        <x:f>2*'Inputs'!$B$8*'Inputs'!$C$47</x:f>
        <x:v>7500</x:v>
      </x:c>
      <x:c r="AI1426" s="81" t="n">
        <x:f>IF(AH1426&gt;0,(AE1426+AF1426)/AH1426*365,0)</x:f>
        <x:v>342.9413253547484</x:v>
      </x:c>
      <x:c r="AJ1426" s="81" t="n">
        <x:f>IF('Inputs'!$B$47&gt;0,AG1426/('Inputs'!$B$19*'Inputs'!$B$47)*365,0)</x:f>
        <x:v>541.8399913531805</x:v>
      </x:c>
      <x:c r="AK1426" s="81" t="n">
        <x:f>W1426/MAX($W$1099:W1426)-1</x:f>
        <x:v>0</x:v>
      </x:c>
      <x:c r="AL1426" s="83" t="n">
        <x:f>'Inputs'!$B$47</x:f>
        <x:v>1</x:v>
      </x:c>
      <x:c r="AM1426" s="83" t="n">
        <x:f>'Inputs'!$C$47</x:f>
        <x:v>1.5</x:v>
      </x:c>
      <x:c r="AN1426" s="83" t="n">
        <x:f>'Inputs'!$D$47</x:f>
        <x:v>1.5</x:v>
      </x:c>
      <x:c r="AO1426" s="81" t="n">
        <x:f>'Inputs'!$E$47</x:f>
        <x:v>0.05</x:v>
      </x:c>
    </x:row>
    <x:row r="1427">
      <x:c r="A1427" s="59" t="str">
        <x:v>Growth</x:v>
      </x:c>
      <x:c r="B1427" s="59" t="n">
        <x:v>329</x:v>
      </x:c>
      <x:c r="C1427" s="78" t="n">
        <x:f>(('Inputs'!$B$29*(3*329*'Inputs'!$B$12-329^2)/(2*'Inputs'!$B$12^2))-('Inputs'!$B$29*(3*328*'Inputs'!$B$12-328^2)/(2*'Inputs'!$B$12^2)))*'Inputs'!$B$47</x:f>
        <x:v>605188.3561643958</x:v>
      </x:c>
      <x:c r="D1427" s="78" t="n">
        <x:f>IF('Inputs'!$C$47&gt;0,('Inputs'!$B$30*(3*329*'Inputs'!$B$12-329^2)/(2*'Inputs'!$B$12^2))-('Inputs'!$B$30*(3*328*'Inputs'!$B$12-328^2)/(2*'Inputs'!$B$12^2)),0)</x:f>
        <x:v>259366.43835616112</x:v>
      </x:c>
      <x:c r="E1427" s="78" t="n">
        <x:f>C1427+D1427</x:f>
        <x:v>864554.7945205569</x:v>
      </x:c>
      <x:c r="F1427" s="78" t="n">
        <x:f>'Inputs'!$B$13*E1427+(1-'Inputs'!$B$13)/'Inputs'!$B$14*SUM(E1372:E1427)</x:f>
        <x:v>874772.4713830006</x:v>
      </x:c>
      <x:c r="G1427" s="78" t="n">
        <x:f>F1427*'Inputs'!$F$47</x:f>
        <x:v>306170.3649840502</x:v>
      </x:c>
      <x:c r="H1427" s="78" t="n">
        <x:f>U1426</x:f>
        <x:v>1804191.8993361064</x:v>
      </x:c>
      <x:c r="I1427" s="78" t="n">
        <x:f>V1426</x:f>
        <x:v>44232.054831056</x:v>
      </x:c>
      <x:c r="J1427" s="79" t="n">
        <x:f>IF(H1427&gt;0,I1427/H1427,0)</x:f>
        <x:v>0.02451626949845645</x:v>
      </x:c>
      <x:c r="K1427" s="80" t="n">
        <x:f>(H1427*J1427+I1427)*'Inputs'!$D$47*(1+'Inputs'!$G$47)^(B1427/30)</x:f>
        <x:v>183501.63335571522</x:v>
      </x:c>
      <x:c r="L1427" s="80" t="n">
        <x:f>MAX(0,K1427*'Inputs'!$E$47)</x:f>
        <x:v>9175.081667785762</x:v>
      </x:c>
      <x:c r="M1427" s="80" t="n">
        <x:f>MAX(0,-K1427*'Inputs'!$E$47)</x:f>
        <x:v>0</x:v>
      </x:c>
      <x:c r="N1427" s="78" t="n">
        <x:f>H1427*(L1427*(1-'Inputs'!$B$15))/(I1427+L1427*(1-'Inputs'!$B$15))</x:f>
        <x:v>307379.7878581431</x:v>
      </x:c>
      <x:c r="O1427" s="78" t="n">
        <x:f>H1427-N1427</x:f>
        <x:v>1496812.1114779632</x:v>
      </x:c>
      <x:c r="P1427" s="78" t="n">
        <x:f>I1427+L1427*(1-'Inputs'!$B$17)</x:f>
        <x:v>53370.214641023704</x:v>
      </x:c>
      <x:c r="Q1427" s="78" t="n">
        <x:f>IF(J1427&gt;0,M1427/J1427,0)</x:f>
        <x:v>0</x:v>
      </x:c>
      <x:c r="R1427" s="78" t="n">
        <x:f>IF(B1427='Inputs'!$H$47,'Inputs'!$B$27*'Inputs'!$I$47,0)</x:f>
        <x:v>0</x:v>
      </x:c>
      <x:c r="S1427" s="78" t="n">
        <x:f>Q1427+G1427+R1427</x:f>
        <x:v>306170.3649840502</x:v>
      </x:c>
      <x:c r="T1427" s="78" t="n">
        <x:f>P1427*(S1427*(1-'Inputs'!$B$15))/(O1427+S1427*(1-'Inputs'!$B$15))</x:f>
        <x:v>8987.60354306342</x:v>
      </x:c>
      <x:c r="U1427" s="78" t="n">
        <x:f>O1427+S1427*(1-'Inputs'!$B$17)</x:f>
        <x:v>1801750.402558657</x:v>
      </x:c>
      <x:c r="V1427" s="78" t="n">
        <x:f>P1427-T1427</x:f>
        <x:v>44382.61109796028</x:v>
      </x:c>
      <x:c r="W1427" s="79" t="n">
        <x:f>IF(U1427&gt;0,V1427/U1427,0)</x:f>
        <x:v>0.024633051856091027</x:v>
      </x:c>
      <x:c r="X1427" s="80" t="n">
        <x:f>W1427*('Inputs'!$B$6-AC1427)</x:f>
        <x:v>24503874.50498422</x:v>
      </x:c>
      <x:c r="Y1427" s="80" t="n">
        <x:f>2*V1427</x:f>
        <x:v>88765.22219592056</x:v>
      </x:c>
      <x:c r="Z1427" s="80" t="n">
        <x:f>K1427*'Inputs'!$B$16+(G1427+R1427)*J1427*'Inputs'!$B$16</x:f>
        <x:v>1146.04673121663</x:v>
      </x:c>
      <x:c r="AA1427" s="80" t="n">
        <x:f>K1427*(1+'Inputs'!$E$47)/2*'Inputs'!$B$17</x:f>
        <x:v>387.67950708953924</x:v>
      </x:c>
      <x:c r="AB1427" s="78" t="n">
        <x:f>(IF(J1427&gt;0,K1427*(1-'Inputs'!$E$47)/2/J1427,0)+G1427+R1427)*'Inputs'!$B$17</x:f>
        <x:v>15539.211834499236</x:v>
      </x:c>
      <x:c r="AC1427" s="78" t="n">
        <x:f>AC1426+AB1427</x:f>
        <x:v>5244066.056511276</x:v>
      </x:c>
      <x:c r="AD1427" s="80" t="n">
        <x:f>Z1427/(1+'Inputs'!$C$47)</x:f>
        <x:v>458.418692486652</x:v>
      </x:c>
      <x:c r="AE1427" s="80" t="n">
        <x:f>Z1427-AD1427</x:f>
        <x:v>687.628038729978</x:v>
      </x:c>
      <x:c r="AF1427" s="80" t="n">
        <x:f>D1427*W1427</x:f>
        <x:v>6388.9869257569535</x:v>
      </x:c>
      <x:c r="AG1427" s="80" t="n">
        <x:f>C1427*W1427</x:f>
        <x:v>14907.636160100048</x:v>
      </x:c>
      <x:c r="AH1427" s="80" t="n">
        <x:f>2*'Inputs'!$B$8*'Inputs'!$C$47</x:f>
        <x:v>7500</x:v>
      </x:c>
      <x:c r="AI1427" s="81" t="n">
        <x:f>IF(AH1427&gt;0,(AE1427+AF1427)/AH1427*365,0)</x:f>
        <x:v>344.39526160503067</x:v>
      </x:c>
      <x:c r="AJ1427" s="81" t="n">
        <x:f>IF('Inputs'!$B$47&gt;0,AG1427/('Inputs'!$B$19*'Inputs'!$B$47)*365,0)</x:f>
        <x:v>544.1287198436518</x:v>
      </x:c>
      <x:c r="AK1427" s="81" t="n">
        <x:f>W1427/MAX($W$1099:W1427)-1</x:f>
        <x:v>0</x:v>
      </x:c>
      <x:c r="AL1427" s="83" t="n">
        <x:f>'Inputs'!$B$47</x:f>
        <x:v>1</x:v>
      </x:c>
      <x:c r="AM1427" s="83" t="n">
        <x:f>'Inputs'!$C$47</x:f>
        <x:v>1.5</x:v>
      </x:c>
      <x:c r="AN1427" s="83" t="n">
        <x:f>'Inputs'!$D$47</x:f>
        <x:v>1.5</x:v>
      </x:c>
      <x:c r="AO1427" s="81" t="n">
        <x:f>'Inputs'!$E$47</x:f>
        <x:v>0.05</x:v>
      </x:c>
    </x:row>
    <x:row r="1428">
      <x:c r="A1428" s="59" t="str">
        <x:v>Growth</x:v>
      </x:c>
      <x:c r="B1428" s="59" t="n">
        <x:v>330</x:v>
      </x:c>
      <x:c r="C1428" s="78" t="n">
        <x:f>(('Inputs'!$B$29*(3*330*'Inputs'!$B$12-330^2)/(2*'Inputs'!$B$12^2))-('Inputs'!$B$29*(3*329*'Inputs'!$B$12-329^2)/(2*'Inputs'!$B$12^2)))*'Inputs'!$B$47</x:f>
        <x:v>604863.2482641935</x:v>
      </x:c>
      <x:c r="D1428" s="78" t="n">
        <x:f>IF('Inputs'!$C$47&gt;0,('Inputs'!$B$30*(3*330*'Inputs'!$B$12-330^2)/(2*'Inputs'!$B$12^2))-('Inputs'!$B$30*(3*329*'Inputs'!$B$12-329^2)/(2*'Inputs'!$B$12^2)),0)</x:f>
        <x:v>259227.106398955</x:v>
      </x:c>
      <x:c r="E1428" s="78" t="n">
        <x:f>C1428+D1428</x:f>
        <x:v>864090.3546631485</x:v>
      </x:c>
      <x:c r="F1428" s="78" t="n">
        <x:f>'Inputs'!$B$13*E1428+(1-'Inputs'!$B$13)/'Inputs'!$B$14*SUM(E1373:E1428)</x:f>
        <x:v>874308.0315256115</x:v>
      </x:c>
      <x:c r="G1428" s="78" t="n">
        <x:f>F1428*'Inputs'!$F$47</x:f>
        <x:v>306007.81103396404</x:v>
      </x:c>
      <x:c r="H1428" s="78" t="n">
        <x:f>U1427</x:f>
        <x:v>1801750.402558657</x:v>
      </x:c>
      <x:c r="I1428" s="78" t="n">
        <x:f>V1427</x:f>
        <x:v>44382.61109796028</x:v>
      </x:c>
      <x:c r="J1428" s="79" t="n">
        <x:f>IF(H1428&gt;0,I1428/H1428,0)</x:f>
        <x:v>0.024633051856091027</x:v>
      </x:c>
      <x:c r="K1428" s="80" t="n">
        <x:f>(H1428*J1428+I1428)*'Inputs'!$D$47*(1+'Inputs'!$G$47)^(B1428/30)</x:f>
        <x:v>184307.74065896196</x:v>
      </x:c>
      <x:c r="L1428" s="80" t="n">
        <x:f>MAX(0,K1428*'Inputs'!$E$47)</x:f>
        <x:v>9215.387032948098</x:v>
      </x:c>
      <x:c r="M1428" s="80" t="n">
        <x:f>MAX(0,-K1428*'Inputs'!$E$47)</x:f>
        <x:v>0</x:v>
      </x:c>
      <x:c r="N1428" s="78" t="n">
        <x:f>H1428*(L1428*(1-'Inputs'!$B$15))/(I1428+L1428*(1-'Inputs'!$B$15))</x:f>
        <x:v>307214.83326813567</x:v>
      </x:c>
      <x:c r="O1428" s="78" t="n">
        <x:f>H1428-N1428</x:f>
        <x:v>1494535.5692905216</x:v>
      </x:c>
      <x:c r="P1428" s="78" t="n">
        <x:f>I1428+L1428*(1-'Inputs'!$B$17)</x:f>
        <x:v>53560.91407846191</x:v>
      </x:c>
      <x:c r="Q1428" s="78" t="n">
        <x:f>IF(J1428&gt;0,M1428/J1428,0)</x:f>
        <x:v>0</x:v>
      </x:c>
      <x:c r="R1428" s="78" t="n">
        <x:f>IF(B1428='Inputs'!$H$47,'Inputs'!$B$27*'Inputs'!$I$47,0)</x:f>
        <x:v>0</x:v>
      </x:c>
      <x:c r="S1428" s="78" t="n">
        <x:f>Q1428+G1428+R1428</x:f>
        <x:v>306007.81103396404</x:v>
      </x:c>
      <x:c r="T1428" s="78" t="n">
        <x:f>P1428*(S1428*(1-'Inputs'!$B$15))/(O1428+S1428*(1-'Inputs'!$B$15))</x:f>
        <x:v>9027.153394637735</x:v>
      </x:c>
      <x:c r="U1428" s="78" t="n">
        <x:f>O1428+S1428*(1-'Inputs'!$B$17)</x:f>
        <x:v>1799311.9605617735</x:v>
      </x:c>
      <x:c r="V1428" s="78" t="n">
        <x:f>P1428-T1428</x:f>
        <x:v>44533.76068382418</x:v>
      </x:c>
      <x:c r="W1428" s="79" t="n">
        <x:f>IF(U1428&gt;0,V1428/U1428,0)</x:f>
        <x:v>0.02475043886771032</x:v>
      </x:c>
      <x:c r="X1428" s="80" t="n">
        <x:f>W1428*('Inputs'!$B$6-AC1428)</x:f>
        <x:v>24620261.47582981</x:v>
      </x:c>
      <x:c r="Y1428" s="80" t="n">
        <x:f>2*V1428</x:f>
        <x:v>89067.52136764835</x:v>
      </x:c>
      <x:c r="Z1428" s="80" t="n">
        <x:f>K1428*'Inputs'!$B$16+(G1428+R1428)*J1428*'Inputs'!$B$16</x:f>
        <x:v>1151.073881619183</x:v>
      </x:c>
      <x:c r="AA1428" s="80" t="n">
        <x:f>K1428*(1+'Inputs'!$E$47)/2*'Inputs'!$B$17</x:f>
        <x:v>389.38255068794786</x:v>
      </x:c>
      <x:c r="AB1428" s="78" t="n">
        <x:f>(IF(J1428&gt;0,K1428*(1-'Inputs'!$E$47)/2/J1428,0)+G1428+R1428)*'Inputs'!$B$17</x:f>
        <x:v>15533.281355000521</x:v>
      </x:c>
      <x:c r="AC1428" s="78" t="n">
        <x:f>AC1427+AB1428</x:f>
        <x:v>5259599.3378662765</x:v>
      </x:c>
      <x:c r="AD1428" s="80" t="n">
        <x:f>Z1428/(1+'Inputs'!$C$47)</x:f>
        <x:v>460.42955264767323</x:v>
      </x:c>
      <x:c r="AE1428" s="80" t="n">
        <x:f>Z1428-AD1428</x:f>
        <x:v>690.6443289715098</x:v>
      </x:c>
      <x:c r="AF1428" s="80" t="n">
        <x:f>D1428*W1428</x:f>
        <x:v>6415.984649780774</x:v>
      </x:c>
      <x:c r="AG1428" s="80" t="n">
        <x:f>C1428*W1428</x:f>
        <x:v>14970.630849487612</x:v>
      </x:c>
      <x:c r="AH1428" s="80" t="n">
        <x:f>2*'Inputs'!$B$8*'Inputs'!$C$47</x:f>
        <x:v>7500</x:v>
      </x:c>
      <x:c r="AI1428" s="81" t="n">
        <x:f>IF(AH1428&gt;0,(AE1428+AF1428)/AH1428*365,0)</x:f>
        <x:v>345.8559436326111</x:v>
      </x:c>
      <x:c r="AJ1428" s="81" t="n">
        <x:f>IF('Inputs'!$B$47&gt;0,AG1428/('Inputs'!$B$19*'Inputs'!$B$47)*365,0)</x:f>
        <x:v>546.4280260062978</x:v>
      </x:c>
      <x:c r="AK1428" s="81" t="n">
        <x:f>W1428/MAX($W$1099:W1428)-1</x:f>
        <x:v>0</x:v>
      </x:c>
      <x:c r="AL1428" s="83" t="n">
        <x:f>'Inputs'!$B$47</x:f>
        <x:v>1</x:v>
      </x:c>
      <x:c r="AM1428" s="83" t="n">
        <x:f>'Inputs'!$C$47</x:f>
        <x:v>1.5</x:v>
      </x:c>
      <x:c r="AN1428" s="83" t="n">
        <x:f>'Inputs'!$D$47</x:f>
        <x:v>1.5</x:v>
      </x:c>
      <x:c r="AO1428" s="81" t="n">
        <x:f>'Inputs'!$E$47</x:f>
        <x:v>0.05</x:v>
      </x:c>
    </x:row>
    <x:row r="1429">
      <x:c r="A1429" s="59" t="str">
        <x:v>Growth</x:v>
      </x:c>
      <x:c r="B1429" s="59" t="n">
        <x:v>331</x:v>
      </x:c>
      <x:c r="C1429" s="78" t="n">
        <x:f>(('Inputs'!$B$29*(3*331*'Inputs'!$B$12-331^2)/(2*'Inputs'!$B$12^2))-('Inputs'!$B$29*(3*330*'Inputs'!$B$12-330^2)/(2*'Inputs'!$B$12^2)))*'Inputs'!$B$47</x:f>
        <x:v>604538.1403640509</x:v>
      </x:c>
      <x:c r="D1429" s="78" t="n">
        <x:f>IF('Inputs'!$C$47&gt;0,('Inputs'!$B$30*(3*331*'Inputs'!$B$12-331^2)/(2*'Inputs'!$B$12^2))-('Inputs'!$B$30*(3*330*'Inputs'!$B$12-330^2)/(2*'Inputs'!$B$12^2)),0)</x:f>
        <x:v>259087.77444173396</x:v>
      </x:c>
      <x:c r="E1429" s="78" t="n">
        <x:f>C1429+D1429</x:f>
        <x:v>863625.9148057848</x:v>
      </x:c>
      <x:c r="F1429" s="78" t="n">
        <x:f>'Inputs'!$B$13*E1429+(1-'Inputs'!$B$13)/'Inputs'!$B$14*SUM(E1374:E1429)</x:f>
        <x:v>873843.5916682314</x:v>
      </x:c>
      <x:c r="G1429" s="78" t="n">
        <x:f>F1429*'Inputs'!$F$47</x:f>
        <x:v>305845.25708388095</x:v>
      </x:c>
      <x:c r="H1429" s="78" t="n">
        <x:f>U1428</x:f>
        <x:v>1799311.9605617735</x:v>
      </x:c>
      <x:c r="I1429" s="78" t="n">
        <x:f>V1428</x:f>
        <x:v>44533.76068382418</x:v>
      </x:c>
      <x:c r="J1429" s="79" t="n">
        <x:f>IF(H1429&gt;0,I1429/H1429,0)</x:f>
        <x:v>0.02475043886771032</x:v>
      </x:c>
      <x:c r="K1429" s="80" t="n">
        <x:f>(H1429*J1429+I1429)*'Inputs'!$D$47*(1+'Inputs'!$G$47)^(B1429/30)</x:f>
        <x:v>185117.72523531973</x:v>
      </x:c>
      <x:c r="L1429" s="80" t="n">
        <x:f>MAX(0,K1429*'Inputs'!$E$47)</x:f>
        <x:v>9255.886261765987</x:v>
      </x:c>
      <x:c r="M1429" s="80" t="n">
        <x:f>MAX(0,-K1429*'Inputs'!$E$47)</x:f>
        <x:v>0</x:v>
      </x:c>
      <x:c r="N1429" s="78" t="n">
        <x:f>H1429*(L1429*(1-'Inputs'!$B$15))/(I1429+L1429*(1-'Inputs'!$B$15))</x:f>
        <x:v>307049.882525367</x:v>
      </x:c>
      <x:c r="O1429" s="78" t="n">
        <x:f>H1429-N1429</x:f>
        <x:v>1492262.0780364065</x:v>
      </x:c>
      <x:c r="P1429" s="78" t="n">
        <x:f>I1429+L1429*(1-'Inputs'!$B$17)</x:f>
        <x:v>53752.39991837984</x:v>
      </x:c>
      <x:c r="Q1429" s="78" t="n">
        <x:f>IF(J1429&gt;0,M1429/J1429,0)</x:f>
        <x:v>0</x:v>
      </x:c>
      <x:c r="R1429" s="78" t="n">
        <x:f>IF(B1429='Inputs'!$H$47,'Inputs'!$B$27*'Inputs'!$I$47,0)</x:f>
        <x:v>0</x:v>
      </x:c>
      <x:c r="S1429" s="78" t="n">
        <x:f>Q1429+G1429+R1429</x:f>
        <x:v>305845.25708388095</x:v>
      </x:c>
      <x:c r="T1429" s="78" t="n">
        <x:f>P1429*(S1429*(1-'Inputs'!$B$15))/(O1429+S1429*(1-'Inputs'!$B$15))</x:f>
        <x:v>9066.893701010391</x:v>
      </x:c>
      <x:c r="U1429" s="78" t="n">
        <x:f>O1429+S1429*(1-'Inputs'!$B$17)</x:f>
        <x:v>1796876.5694982195</x:v>
      </x:c>
      <x:c r="V1429" s="78" t="n">
        <x:f>P1429-T1429</x:f>
        <x:v>44685.506217369446</x:v>
      </x:c>
      <x:c r="W1429" s="79" t="n">
        <x:f>IF(U1429&gt;0,V1429/U1429,0)</x:f>
        <x:v>0.024868433912435033</x:v>
      </x:c>
      <x:c r="X1429" s="80" t="n">
        <x:f>W1429*('Inputs'!$B$6-AC1429)</x:f>
        <x:v>24737249.772997174</x:v>
      </x:c>
      <x:c r="Y1429" s="80" t="n">
        <x:f>2*V1429</x:f>
        <x:v>89371.01243473889</x:v>
      </x:c>
      <x:c r="Z1429" s="80" t="n">
        <x:f>K1429*'Inputs'!$B$16+(G1429+R1429)*J1429*'Inputs'!$B$16</x:f>
        <x:v>1156.125177442521</x:v>
      </x:c>
      <x:c r="AA1429" s="80" t="n">
        <x:f>K1429*(1+'Inputs'!$E$47)/2*'Inputs'!$B$17</x:f>
        <x:v>391.093785708422</x:v>
      </x:c>
      <x:c r="AB1429" s="78" t="n">
        <x:f>(IF(J1429&gt;0,K1429*(1-'Inputs'!$E$47)/2/J1429,0)+G1429+R1429)*'Inputs'!$B$17</x:f>
        <x:v>15527.350841804306</x:v>
      </x:c>
      <x:c r="AC1429" s="78" t="n">
        <x:f>AC1428+AB1429</x:f>
        <x:v>5275126.688708081</x:v>
      </x:c>
      <x:c r="AD1429" s="80" t="n">
        <x:f>Z1429/(1+'Inputs'!$C$47)</x:f>
        <x:v>462.45007097700835</x:v>
      </x:c>
      <x:c r="AE1429" s="80" t="n">
        <x:f>Z1429-AD1429</x:f>
        <x:v>693.6751064655125</x:v>
      </x:c>
      <x:c r="AF1429" s="80" t="n">
        <x:f>D1429*W1429</x:f>
        <x:v>6443.107196224135</x:v>
      </x:c>
      <x:c r="AG1429" s="80" t="n">
        <x:f>C1429*W1429</x:f>
        <x:v>15033.916791189773</x:v>
      </x:c>
      <x:c r="AH1429" s="80" t="n">
        <x:f>2*'Inputs'!$B$8*'Inputs'!$C$47</x:f>
        <x:v>7500</x:v>
      </x:c>
      <x:c r="AI1429" s="81" t="n">
        <x:f>IF(AH1429&gt;0,(AE1429+AF1429)/AH1429*365,0)</x:f>
        <x:v>347.32340539756285</x:v>
      </x:c>
      <x:c r="AJ1429" s="81" t="n">
        <x:f>IF('Inputs'!$B$47&gt;0,AG1429/('Inputs'!$B$19*'Inputs'!$B$47)*365,0)</x:f>
        <x:v>548.7379628784266</x:v>
      </x:c>
      <x:c r="AK1429" s="81" t="n">
        <x:f>W1429/MAX($W$1099:W1429)-1</x:f>
        <x:v>0</x:v>
      </x:c>
      <x:c r="AL1429" s="83" t="n">
        <x:f>'Inputs'!$B$47</x:f>
        <x:v>1</x:v>
      </x:c>
      <x:c r="AM1429" s="83" t="n">
        <x:f>'Inputs'!$C$47</x:f>
        <x:v>1.5</x:v>
      </x:c>
      <x:c r="AN1429" s="83" t="n">
        <x:f>'Inputs'!$D$47</x:f>
        <x:v>1.5</x:v>
      </x:c>
      <x:c r="AO1429" s="81" t="n">
        <x:f>'Inputs'!$E$47</x:f>
        <x:v>0.05</x:v>
      </x:c>
    </x:row>
    <x:row r="1430">
      <x:c r="A1430" s="59" t="str">
        <x:v>Growth</x:v>
      </x:c>
      <x:c r="B1430" s="59" t="n">
        <x:v>332</x:v>
      </x:c>
      <x:c r="C1430" s="78" t="n">
        <x:f>(('Inputs'!$B$29*(3*332*'Inputs'!$B$12-332^2)/(2*'Inputs'!$B$12^2))-('Inputs'!$B$29*(3*331*'Inputs'!$B$12-331^2)/(2*'Inputs'!$B$12^2)))*'Inputs'!$B$47</x:f>
        <x:v>604213.0324638784</x:v>
      </x:c>
      <x:c r="D1430" s="78" t="n">
        <x:f>IF('Inputs'!$C$47&gt;0,('Inputs'!$B$30*(3*332*'Inputs'!$B$12-332^2)/(2*'Inputs'!$B$12^2))-('Inputs'!$B$30*(3*331*'Inputs'!$B$12-331^2)/(2*'Inputs'!$B$12^2)),0)</x:f>
        <x:v>258948.44248451293</x:v>
      </x:c>
      <x:c r="E1430" s="78" t="n">
        <x:f>C1430+D1430</x:f>
        <x:v>863161.4749483913</x:v>
      </x:c>
      <x:c r="F1430" s="78" t="n">
        <x:f>'Inputs'!$B$13*E1430+(1-'Inputs'!$B$13)/'Inputs'!$B$14*SUM(E1375:E1430)</x:f>
        <x:v>873379.1518108456</x:v>
      </x:c>
      <x:c r="G1430" s="78" t="n">
        <x:f>F1430*'Inputs'!$F$47</x:f>
        <x:v>305682.70313379593</x:v>
      </x:c>
      <x:c r="H1430" s="78" t="n">
        <x:f>U1429</x:f>
        <x:v>1796876.5694982195</x:v>
      </x:c>
      <x:c r="I1430" s="78" t="n">
        <x:f>V1429</x:f>
        <x:v>44685.506217369446</x:v>
      </x:c>
      <x:c r="J1430" s="79" t="n">
        <x:f>IF(H1430&gt;0,I1430/H1430,0)</x:f>
        <x:v>0.024868433912435033</x:v>
      </x:c>
      <x:c r="K1430" s="80" t="n">
        <x:f>(H1430*J1430+I1430)*'Inputs'!$D$47*(1+'Inputs'!$G$47)^(B1430/30)</x:f>
        <x:v>185931.60731477602</x:v>
      </x:c>
      <x:c r="L1430" s="80" t="n">
        <x:f>MAX(0,K1430*'Inputs'!$E$47)</x:f>
        <x:v>9296.5803657388</x:v>
      </x:c>
      <x:c r="M1430" s="80" t="n">
        <x:f>MAX(0,-K1430*'Inputs'!$E$47)</x:f>
        <x:v>0</x:v>
      </x:c>
      <x:c r="N1430" s="78" t="n">
        <x:f>H1430*(L1430*(1-'Inputs'!$B$15))/(I1430+L1430*(1-'Inputs'!$B$15))</x:f>
        <x:v>306884.9356251314</x:v>
      </x:c>
      <x:c r="O1430" s="78" t="n">
        <x:f>H1430-N1430</x:f>
        <x:v>1489991.633873088</x:v>
      </x:c>
      <x:c r="P1430" s="78" t="n">
        <x:f>I1430+L1430*(1-'Inputs'!$B$17)</x:f>
        <x:v>53944.67579692821</x:v>
      </x:c>
      <x:c r="Q1430" s="78" t="n">
        <x:f>IF(J1430&gt;0,M1430/J1430,0)</x:f>
        <x:v>0</x:v>
      </x:c>
      <x:c r="R1430" s="78" t="n">
        <x:f>IF(B1430='Inputs'!$H$47,'Inputs'!$B$27*'Inputs'!$I$47,0)</x:f>
        <x:v>0</x:v>
      </x:c>
      <x:c r="S1430" s="78" t="n">
        <x:f>Q1430+G1430+R1430</x:f>
        <x:v>305682.70313379593</x:v>
      </x:c>
      <x:c r="T1430" s="78" t="n">
        <x:f>P1430*(S1430*(1-'Inputs'!$B$15))/(O1430+S1430*(1-'Inputs'!$B$15))</x:f>
        <x:v>9106.82545677642</x:v>
      </x:c>
      <x:c r="U1430" s="78" t="n">
        <x:f>O1430+S1430*(1-'Inputs'!$B$17)</x:f>
        <x:v>1794444.2255254602</x:v>
      </x:c>
      <x:c r="V1430" s="78" t="n">
        <x:f>P1430-T1430</x:f>
        <x:v>44837.850340151796</x:v>
      </x:c>
      <x:c r="W1430" s="79" t="n">
        <x:f>IF(U1430&gt;0,V1430/U1430,0)</x:f>
        <x:v>0.024987040389634903</x:v>
      </x:c>
      <x:c r="X1430" s="80" t="n">
        <x:f>W1430*('Inputs'!$B$6-AC1430)</x:f>
        <x:v>24854842.751647938</x:v>
      </x:c>
      <x:c r="Y1430" s="80" t="n">
        <x:f>2*V1430</x:f>
        <x:v>89675.70068030359</x:v>
      </x:c>
      <x:c r="Z1430" s="80" t="n">
        <x:f>K1430*'Inputs'!$B$16+(G1430+R1430)*J1430*'Inputs'!$B$16</x:f>
        <x:v>1161.200744495</x:v>
      </x:c>
      <x:c r="AA1430" s="80" t="n">
        <x:f>K1430*(1+'Inputs'!$E$47)/2*'Inputs'!$B$17</x:f>
        <x:v>392.8132548903719</x:v>
      </x:c>
      <x:c r="AB1430" s="78" t="n">
        <x:f>(IF(J1430&gt;0,K1430*(1-'Inputs'!$E$47)/2/J1430,0)+G1430+R1430)*'Inputs'!$B$17</x:f>
        <x:v>15521.420293299636</x:v>
      </x:c>
      <x:c r="AC1430" s="78" t="n">
        <x:f>AC1429+AB1430</x:f>
        <x:v>5290648.10900138</x:v>
      </x:c>
      <x:c r="AD1430" s="80" t="n">
        <x:f>Z1430/(1+'Inputs'!$C$47)</x:f>
        <x:v>464.480297798</x:v>
      </x:c>
      <x:c r="AE1430" s="80" t="n">
        <x:f>Z1430-AD1430</x:f>
        <x:v>696.7204466969999</x:v>
      </x:c>
      <x:c r="AF1430" s="80" t="n">
        <x:f>D1430*W1430</x:f>
        <x:v>6470.355191193575</x:v>
      </x:c>
      <x:c r="AG1430" s="80" t="n">
        <x:f>C1430*W1430</x:f>
        <x:v>15097.495446118714</x:v>
      </x:c>
      <x:c r="AH1430" s="80" t="n">
        <x:f>2*'Inputs'!$B$8*'Inputs'!$C$47</x:f>
        <x:v>7500</x:v>
      </x:c>
      <x:c r="AI1430" s="81" t="n">
        <x:f>IF(AH1430&gt;0,(AE1430+AF1430)/AH1430*365,0)</x:f>
        <x:v>348.79768104400796</x:v>
      </x:c>
      <x:c r="AJ1430" s="81" t="n">
        <x:f>IF('Inputs'!$B$47&gt;0,AG1430/('Inputs'!$B$19*'Inputs'!$B$47)*365,0)</x:f>
        <x:v>551.058583783333</x:v>
      </x:c>
      <x:c r="AK1430" s="81" t="n">
        <x:f>W1430/MAX($W$1099:W1430)-1</x:f>
        <x:v>0</x:v>
      </x:c>
      <x:c r="AL1430" s="83" t="n">
        <x:f>'Inputs'!$B$47</x:f>
        <x:v>1</x:v>
      </x:c>
      <x:c r="AM1430" s="83" t="n">
        <x:f>'Inputs'!$C$47</x:f>
        <x:v>1.5</x:v>
      </x:c>
      <x:c r="AN1430" s="83" t="n">
        <x:f>'Inputs'!$D$47</x:f>
        <x:v>1.5</x:v>
      </x:c>
      <x:c r="AO1430" s="81" t="n">
        <x:f>'Inputs'!$E$47</x:f>
        <x:v>0.05</x:v>
      </x:c>
    </x:row>
    <x:row r="1431">
      <x:c r="A1431" s="59" t="str">
        <x:v>Growth</x:v>
      </x:c>
      <x:c r="B1431" s="59" t="n">
        <x:v>333</x:v>
      </x:c>
      <x:c r="C1431" s="78" t="n">
        <x:f>(('Inputs'!$B$29*(3*333*'Inputs'!$B$12-333^2)/(2*'Inputs'!$B$12^2))-('Inputs'!$B$29*(3*332*'Inputs'!$B$12-332^2)/(2*'Inputs'!$B$12^2)))*'Inputs'!$B$47</x:f>
        <x:v>603887.9245637059</x:v>
      </x:c>
      <x:c r="D1431" s="78" t="n">
        <x:f>IF('Inputs'!$C$47&gt;0,('Inputs'!$B$30*(3*333*'Inputs'!$B$12-333^2)/(2*'Inputs'!$B$12^2))-('Inputs'!$B$30*(3*332*'Inputs'!$B$12-332^2)/(2*'Inputs'!$B$12^2)),0)</x:f>
        <x:v>258809.1105273068</x:v>
      </x:c>
      <x:c r="E1431" s="78" t="n">
        <x:f>C1431+D1431</x:f>
        <x:v>862697.0350910127</x:v>
      </x:c>
      <x:c r="F1431" s="78" t="n">
        <x:f>'Inputs'!$B$13*E1431+(1-'Inputs'!$B$13)/'Inputs'!$B$14*SUM(E1376:E1431)</x:f>
        <x:v>872914.7119534623</x:v>
      </x:c>
      <x:c r="G1431" s="78" t="n">
        <x:f>F1431*'Inputs'!$F$47</x:f>
        <x:v>305520.1491837118</x:v>
      </x:c>
      <x:c r="H1431" s="78" t="n">
        <x:f>U1430</x:f>
        <x:v>1794444.2255254602</x:v>
      </x:c>
      <x:c r="I1431" s="78" t="n">
        <x:f>V1430</x:f>
        <x:v>44837.850340151796</x:v>
      </x:c>
      <x:c r="J1431" s="79" t="n">
        <x:f>IF(H1431&gt;0,I1431/H1431,0)</x:f>
        <x:v>0.024987040389634903</x:v>
      </x:c>
      <x:c r="K1431" s="80" t="n">
        <x:f>(H1431*J1431+I1431)*'Inputs'!$D$47*(1+'Inputs'!$G$47)^(B1431/30)</x:f>
        <x:v>186749.40724084963</x:v>
      </x:c>
      <x:c r="L1431" s="80" t="n">
        <x:f>MAX(0,K1431*'Inputs'!$E$47)</x:f>
        <x:v>9337.470362042483</x:v>
      </x:c>
      <x:c r="M1431" s="80" t="n">
        <x:f>MAX(0,-K1431*'Inputs'!$E$47)</x:f>
        <x:v>0</x:v>
      </x:c>
      <x:c r="N1431" s="78" t="n">
        <x:f>H1431*(L1431*(1-'Inputs'!$B$15))/(I1431+L1431*(1-'Inputs'!$B$15))</x:f>
        <x:v>306719.9925627282</x:v>
      </x:c>
      <x:c r="O1431" s="78" t="n">
        <x:f>H1431-N1431</x:f>
        <x:v>1487724.232962732</x:v>
      </x:c>
      <x:c r="P1431" s="78" t="n">
        <x:f>I1431+L1431*(1-'Inputs'!$B$17)</x:f>
        <x:v>54137.74536874541</x:v>
      </x:c>
      <x:c r="Q1431" s="78" t="n">
        <x:f>IF(J1431&gt;0,M1431/J1431,0)</x:f>
        <x:v>0</x:v>
      </x:c>
      <x:c r="R1431" s="78" t="n">
        <x:f>IF(B1431='Inputs'!$H$47,'Inputs'!$B$27*'Inputs'!$I$47,0)</x:f>
        <x:v>0</x:v>
      </x:c>
      <x:c r="S1431" s="78" t="n">
        <x:f>Q1431+G1431+R1431</x:f>
        <x:v>305520.1491837118</x:v>
      </x:c>
      <x:c r="T1431" s="78" t="n">
        <x:f>P1431*(S1431*(1-'Inputs'!$B$15))/(O1431+S1431*(1-'Inputs'!$B$15))</x:f>
        <x:v>9146.949662116693</x:v>
      </x:c>
      <x:c r="U1431" s="78" t="n">
        <x:f>O1431+S1431*(1-'Inputs'!$B$17)</x:f>
        <x:v>1792014.9248056642</x:v>
      </x:c>
      <x:c r="V1431" s="78" t="n">
        <x:f>P1431-T1431</x:f>
        <x:v>44990.79570662872</x:v>
      </x:c>
      <x:c r="W1431" s="79" t="n">
        <x:f>IF(U1431&gt;0,V1431/U1431,0)</x:f>
        <x:v>0.025106261719057818</x:v>
      </x:c>
      <x:c r="X1431" s="80" t="n">
        <x:f>W1431*('Inputs'!$B$6-AC1431)</x:f>
        <x:v>24973043.787024487</x:v>
      </x:c>
      <x:c r="Y1431" s="80" t="n">
        <x:f>2*V1431</x:f>
        <x:v>89981.59141325744</x:v>
      </x:c>
      <x:c r="Z1431" s="80" t="n">
        <x:f>K1431*'Inputs'!$B$16+(G1431+R1431)*J1431*'Inputs'!$B$16</x:f>
        <x:v>1166.300709290102</x:v>
      </x:c>
      <x:c r="AA1431" s="80" t="n">
        <x:f>K1431*(1+'Inputs'!$E$47)/2*'Inputs'!$B$17</x:f>
        <x:v>394.54100121306266</x:v>
      </x:c>
      <x:c r="AB1431" s="78" t="n">
        <x:f>(IF(J1431&gt;0,K1431*(1-'Inputs'!$E$47)/2/J1431,0)+G1431+R1431)*'Inputs'!$B$17</x:f>
        <x:v>15515.489707873134</x:v>
      </x:c>
      <x:c r="AC1431" s="78" t="n">
        <x:f>AC1430+AB1431</x:f>
        <x:v>5306163.598709254</x:v>
      </x:c>
      <x:c r="AD1431" s="80" t="n">
        <x:f>Z1431/(1+'Inputs'!$C$47)</x:f>
        <x:v>466.5202837160408</x:v>
      </x:c>
      <x:c r="AE1431" s="80" t="n">
        <x:f>Z1431-AD1431</x:f>
        <x:v>699.7804255740613</x:v>
      </x:c>
      <x:c r="AF1431" s="80" t="n">
        <x:f>D1431*W1431</x:f>
        <x:v>6497.729264175126</x:v>
      </x:c>
      <x:c r="AG1431" s="80" t="n">
        <x:f>C1431*W1431</x:f>
        <x:v>15161.368283075046</x:v>
      </x:c>
      <x:c r="AH1431" s="80" t="n">
        <x:f>2*'Inputs'!$B$8*'Inputs'!$C$47</x:f>
        <x:v>7500</x:v>
      </x:c>
      <x:c r="AI1431" s="81" t="n">
        <x:f>IF(AH1431&gt;0,(AE1431+AF1431)/AH1431*365,0)</x:f>
        <x:v>350.2788049011271</x:v>
      </x:c>
      <x:c r="AJ1431" s="81" t="n">
        <x:f>IF('Inputs'!$B$47&gt;0,AG1431/('Inputs'!$B$19*'Inputs'!$B$47)*365,0)</x:f>
        <x:v>553.3899423322391</x:v>
      </x:c>
      <x:c r="AK1431" s="81" t="n">
        <x:f>W1431/MAX($W$1099:W1431)-1</x:f>
        <x:v>0</x:v>
      </x:c>
      <x:c r="AL1431" s="83" t="n">
        <x:f>'Inputs'!$B$47</x:f>
        <x:v>1</x:v>
      </x:c>
      <x:c r="AM1431" s="83" t="n">
        <x:f>'Inputs'!$C$47</x:f>
        <x:v>1.5</x:v>
      </x:c>
      <x:c r="AN1431" s="83" t="n">
        <x:f>'Inputs'!$D$47</x:f>
        <x:v>1.5</x:v>
      </x:c>
      <x:c r="AO1431" s="81" t="n">
        <x:f>'Inputs'!$E$47</x:f>
        <x:v>0.05</x:v>
      </x:c>
    </x:row>
    <x:row r="1432">
      <x:c r="A1432" s="59" t="str">
        <x:v>Growth</x:v>
      </x:c>
      <x:c r="B1432" s="59" t="n">
        <x:v>334</x:v>
      </x:c>
      <x:c r="C1432" s="78" t="n">
        <x:f>(('Inputs'!$B$29*(3*334*'Inputs'!$B$12-334^2)/(2*'Inputs'!$B$12^2))-('Inputs'!$B$29*(3*333*'Inputs'!$B$12-333^2)/(2*'Inputs'!$B$12^2)))*'Inputs'!$B$47</x:f>
        <x:v>603562.8166635334</x:v>
      </x:c>
      <x:c r="D1432" s="78" t="n">
        <x:f>IF('Inputs'!$C$47&gt;0,('Inputs'!$B$30*(3*334*'Inputs'!$B$12-334^2)/(2*'Inputs'!$B$12^2))-('Inputs'!$B$30*(3*333*'Inputs'!$B$12-333^2)/(2*'Inputs'!$B$12^2)),0)</x:f>
        <x:v>258669.77857008576</x:v>
      </x:c>
      <x:c r="E1432" s="78" t="n">
        <x:f>C1432+D1432</x:f>
        <x:v>862232.5952336192</x:v>
      </x:c>
      <x:c r="F1432" s="78" t="n">
        <x:f>'Inputs'!$B$13*E1432+(1-'Inputs'!$B$13)/'Inputs'!$B$14*SUM(E1377:E1432)</x:f>
        <x:v>872450.2720960763</x:v>
      </x:c>
      <x:c r="G1432" s="78" t="n">
        <x:f>F1432*'Inputs'!$F$47</x:f>
        <x:v>305357.59523362666</x:v>
      </x:c>
      <x:c r="H1432" s="78" t="n">
        <x:f>U1431</x:f>
        <x:v>1792014.9248056642</x:v>
      </x:c>
      <x:c r="I1432" s="78" t="n">
        <x:f>V1431</x:f>
        <x:v>44990.79570662872</x:v>
      </x:c>
      <x:c r="J1432" s="79" t="n">
        <x:f>IF(H1432&gt;0,I1432/H1432,0)</x:f>
        <x:v>0.025106261719057818</x:v>
      </x:c>
      <x:c r="K1432" s="80" t="n">
        <x:f>(H1432*J1432+I1432)*'Inputs'!$D$47*(1+'Inputs'!$G$47)^(B1432/30)</x:f>
        <x:v>187571.14547127008</x:v>
      </x:c>
      <x:c r="L1432" s="80" t="n">
        <x:f>MAX(0,K1432*'Inputs'!$E$47)</x:f>
        <x:v>9378.557273563505</x:v>
      </x:c>
      <x:c r="M1432" s="80" t="n">
        <x:f>MAX(0,-K1432*'Inputs'!$E$47)</x:f>
        <x:v>0</x:v>
      </x:c>
      <x:c r="N1432" s="78" t="n">
        <x:f>H1432*(L1432*(1-'Inputs'!$B$15))/(I1432+L1432*(1-'Inputs'!$B$15))</x:f>
        <x:v>306555.0533334629</x:v>
      </x:c>
      <x:c r="O1432" s="78" t="n">
        <x:f>H1432-N1432</x:f>
        <x:v>1485459.8714722013</x:v>
      </x:c>
      <x:c r="P1432" s="78" t="n">
        <x:f>I1432+L1432*(1-'Inputs'!$B$17)</x:f>
        <x:v>54331.61230705917</x:v>
      </x:c>
      <x:c r="Q1432" s="78" t="n">
        <x:f>IF(J1432&gt;0,M1432/J1432,0)</x:f>
        <x:v>0</x:v>
      </x:c>
      <x:c r="R1432" s="78" t="n">
        <x:f>IF(B1432='Inputs'!$H$47,'Inputs'!$B$27*'Inputs'!$I$47,0)</x:f>
        <x:v>0</x:v>
      </x:c>
      <x:c r="S1432" s="78" t="n">
        <x:f>Q1432+G1432+R1432</x:f>
        <x:v>305357.59523362666</x:v>
      </x:c>
      <x:c r="T1432" s="78" t="n">
        <x:f>P1432*(S1432*(1-'Inputs'!$B$15))/(O1432+S1432*(1-'Inputs'!$B$15))</x:f>
        <x:v>9187.267322831027</x:v>
      </x:c>
      <x:c r="U1432" s="78" t="n">
        <x:f>O1432+S1432*(1-'Inputs'!$B$17)</x:f>
        <x:v>1789588.6635056927</x:v>
      </x:c>
      <x:c r="V1432" s="78" t="n">
        <x:f>P1432-T1432</x:f>
        <x:v>45144.34498422814</x:v>
      </x:c>
      <x:c r="W1432" s="79" t="n">
        <x:f>IF(U1432&gt;0,V1432/U1432,0)</x:f>
        <x:v>0.02522610134096021</x:v>
      </x:c>
      <x:c r="X1432" s="80" t="n">
        <x:f>W1432*('Inputs'!$B$6-AC1432)</x:f>
        <x:v>25091856.27457825</x:v>
      </x:c>
      <x:c r="Y1432" s="80" t="n">
        <x:f>2*V1432</x:f>
        <x:v>90288.68996845628</x:v>
      </x:c>
      <x:c r="Z1432" s="80" t="n">
        <x:f>K1432*'Inputs'!$B$16+(G1432+R1432)*J1432*'Inputs'!$B$16</x:f>
        <x:v>1171.4251990506457</x:v>
      </x:c>
      <x:c r="AA1432" s="80" t="n">
        <x:f>K1432*(1+'Inputs'!$E$47)/2*'Inputs'!$B$17</x:f>
        <x:v>396.2770678970495</x:v>
      </x:c>
      <x:c r="AB1432" s="78" t="n">
        <x:f>(IF(J1432&gt;0,K1432*(1-'Inputs'!$E$47)/2/J1432,0)+G1432+R1432)*'Inputs'!$B$17</x:f>
        <x:v>15509.55908390901</x:v>
      </x:c>
      <x:c r="AC1432" s="78" t="n">
        <x:f>AC1431+AB1432</x:f>
        <x:v>5321673.157793162</x:v>
      </x:c>
      <x:c r="AD1432" s="80" t="n">
        <x:f>Z1432/(1+'Inputs'!$C$47)</x:f>
        <x:v>468.5700796202583</x:v>
      </x:c>
      <x:c r="AE1432" s="80" t="n">
        <x:f>Z1432-AD1432</x:f>
        <x:v>702.8551194303874</x:v>
      </x:c>
      <x:c r="AF1432" s="80" t="n">
        <x:f>D1432*W1432</x:f>
        <x:v>6525.230048052721</x:v>
      </x:c>
      <x:c r="AG1432" s="80" t="n">
        <x:f>C1432*W1432</x:f>
        <x:v>15225.536778789681</x:v>
      </x:c>
      <x:c r="AH1432" s="80" t="n">
        <x:f>2*'Inputs'!$B$8*'Inputs'!$C$47</x:f>
        <x:v>7500</x:v>
      </x:c>
      <x:c r="AI1432" s="81" t="n">
        <x:f>IF(AH1432&gt;0,(AE1432+AF1432)/AH1432*365,0)</x:f>
        <x:v>351.76681148417794</x:v>
      </x:c>
      <x:c r="AJ1432" s="81" t="n">
        <x:f>IF('Inputs'!$B$47&gt;0,AG1432/('Inputs'!$B$19*'Inputs'!$B$47)*365,0)</x:f>
        <x:v>555.7320924258233</x:v>
      </x:c>
      <x:c r="AK1432" s="81" t="n">
        <x:f>W1432/MAX($W$1099:W1432)-1</x:f>
        <x:v>0</x:v>
      </x:c>
      <x:c r="AL1432" s="83" t="n">
        <x:f>'Inputs'!$B$47</x:f>
        <x:v>1</x:v>
      </x:c>
      <x:c r="AM1432" s="83" t="n">
        <x:f>'Inputs'!$C$47</x:f>
        <x:v>1.5</x:v>
      </x:c>
      <x:c r="AN1432" s="83" t="n">
        <x:f>'Inputs'!$D$47</x:f>
        <x:v>1.5</x:v>
      </x:c>
      <x:c r="AO1432" s="81" t="n">
        <x:f>'Inputs'!$E$47</x:f>
        <x:v>0.05</x:v>
      </x:c>
    </x:row>
    <x:row r="1433">
      <x:c r="A1433" s="59" t="str">
        <x:v>Growth</x:v>
      </x:c>
      <x:c r="B1433" s="59" t="n">
        <x:v>335</x:v>
      </x:c>
      <x:c r="C1433" s="78" t="n">
        <x:f>(('Inputs'!$B$29*(3*335*'Inputs'!$B$12-335^2)/(2*'Inputs'!$B$12^2))-('Inputs'!$B$29*(3*334*'Inputs'!$B$12-334^2)/(2*'Inputs'!$B$12^2)))*'Inputs'!$B$47</x:f>
        <x:v>603237.7087633908</x:v>
      </x:c>
      <x:c r="D1433" s="78" t="n">
        <x:f>IF('Inputs'!$C$47&gt;0,('Inputs'!$B$30*(3*335*'Inputs'!$B$12-335^2)/(2*'Inputs'!$B$12^2))-('Inputs'!$B$30*(3*334*'Inputs'!$B$12-334^2)/(2*'Inputs'!$B$12^2)),0)</x:f>
        <x:v>258530.44661287963</x:v>
      </x:c>
      <x:c r="E1433" s="78" t="n">
        <x:f>C1433+D1433</x:f>
        <x:v>861768.1553762704</x:v>
      </x:c>
      <x:c r="F1433" s="78" t="n">
        <x:f>'Inputs'!$B$13*E1433+(1-'Inputs'!$B$13)/'Inputs'!$B$14*SUM(E1378:E1433)</x:f>
        <x:v>871985.8322386995</x:v>
      </x:c>
      <x:c r="G1433" s="78" t="n">
        <x:f>F1433*'Inputs'!$F$47</x:f>
        <x:v>305195.0412835448</x:v>
      </x:c>
      <x:c r="H1433" s="78" t="n">
        <x:f>U1432</x:f>
        <x:v>1789588.6635056927</x:v>
      </x:c>
      <x:c r="I1433" s="78" t="n">
        <x:f>V1432</x:f>
        <x:v>45144.34498422814</x:v>
      </x:c>
      <x:c r="J1433" s="79" t="n">
        <x:f>IF(H1433&gt;0,I1433/H1433,0)</x:f>
        <x:v>0.02522610134096021</x:v>
      </x:c>
      <x:c r="K1433" s="80" t="n">
        <x:f>(H1433*J1433+I1433)*'Inputs'!$D$47*(1+'Inputs'!$G$47)^(B1433/30)</x:f>
        <x:v>188396.84257866285</x:v>
      </x:c>
      <x:c r="L1433" s="80" t="n">
        <x:f>MAX(0,K1433*'Inputs'!$E$47)</x:f>
        <x:v>9419.842128933144</x:v>
      </x:c>
      <x:c r="M1433" s="80" t="n">
        <x:f>MAX(0,-K1433*'Inputs'!$E$47)</x:f>
        <x:v>0</x:v>
      </x:c>
      <x:c r="N1433" s="78" t="n">
        <x:f>H1433*(L1433*(1-'Inputs'!$B$15))/(I1433+L1433*(1-'Inputs'!$B$15))</x:f>
        <x:v>306390.11793264636</x:v>
      </x:c>
      <x:c r="O1433" s="78" t="n">
        <x:f>H1433-N1433</x:f>
        <x:v>1483198.5455730464</x:v>
      </x:c>
      <x:c r="P1433" s="78" t="n">
        <x:f>I1433+L1433*(1-'Inputs'!$B$17)</x:f>
        <x:v>54526.28030378932</x:v>
      </x:c>
      <x:c r="Q1433" s="78" t="n">
        <x:f>IF(J1433&gt;0,M1433/J1433,0)</x:f>
        <x:v>0</x:v>
      </x:c>
      <x:c r="R1433" s="78" t="n">
        <x:f>IF(B1433='Inputs'!$H$47,'Inputs'!$B$27*'Inputs'!$I$47,0)</x:f>
        <x:v>0</x:v>
      </x:c>
      <x:c r="S1433" s="78" t="n">
        <x:f>Q1433+G1433+R1433</x:f>
        <x:v>305195.0412835448</x:v>
      </x:c>
      <x:c r="T1433" s="78" t="n">
        <x:f>P1433*(S1433*(1-'Inputs'!$B$15))/(O1433+S1433*(1-'Inputs'!$B$15))</x:f>
        <x:v>9227.77945037221</x:v>
      </x:c>
      <x:c r="U1433" s="78" t="n">
        <x:f>O1433+S1433*(1-'Inputs'!$B$17)</x:f>
        <x:v>1787165.4377971</x:v>
      </x:c>
      <x:c r="V1433" s="78" t="n">
        <x:f>P1433-T1433</x:f>
        <x:v>45298.50085341711</x:v>
      </x:c>
      <x:c r="W1433" s="79" t="n">
        <x:f>IF(U1433&gt;0,V1433/U1433,0)</x:f>
        <x:v>0.02534656271623798</x:v>
      </x:c>
      <x:c r="X1433" s="80" t="n">
        <x:f>W1433*('Inputs'!$B$6-AC1433)</x:f>
        <x:v>25211283.630098585</x:v>
      </x:c>
      <x:c r="Y1433" s="80" t="n">
        <x:f>2*V1433</x:f>
        <x:v>90597.00170683421</x:v>
      </x:c>
      <x:c r="Z1433" s="80" t="n">
        <x:f>K1433*'Inputs'!$B$16+(G1433+R1433)*J1433*'Inputs'!$B$16</x:f>
        <x:v>1176.5743417130404</x:v>
      </x:c>
      <x:c r="AA1433" s="80" t="n">
        <x:f>K1433*(1+'Inputs'!$E$47)/2*'Inputs'!$B$17</x:f>
        <x:v>398.0214984056258</x:v>
      </x:c>
      <x:c r="AB1433" s="78" t="n">
        <x:f>(IF(J1433&gt;0,K1433*(1-'Inputs'!$E$47)/2/J1433,0)+G1433+R1433)*'Inputs'!$B$17</x:f>
        <x:v>15503.628419789056</x:v>
      </x:c>
      <x:c r="AC1433" s="78" t="n">
        <x:f>AC1432+AB1433</x:f>
        <x:v>5337176.786212952</x:v>
      </x:c>
      <x:c r="AD1433" s="80" t="n">
        <x:f>Z1433/(1+'Inputs'!$C$47)</x:f>
        <x:v>470.6297366852162</x:v>
      </x:c>
      <x:c r="AE1433" s="80" t="n">
        <x:f>Z1433-AD1433</x:f>
        <x:v>705.9446050278243</x:v>
      </x:c>
      <x:c r="AF1433" s="80" t="n">
        <x:f>D1433*W1433</x:f>
        <x:v>6552.858179130369</x:v>
      </x:c>
      <x:c r="AG1433" s="80" t="n">
        <x:f>C1433*W1433</x:f>
        <x:v>15290.002417970987</x:v>
      </x:c>
      <x:c r="AH1433" s="80" t="n">
        <x:f>2*'Inputs'!$B$8*'Inputs'!$C$47</x:f>
        <x:v>7500</x:v>
      </x:c>
      <x:c r="AI1433" s="81" t="n">
        <x:f>IF(AH1433&gt;0,(AE1433+AF1433)/AH1433*365,0)</x:f>
        <x:v>353.26173549569876</x:v>
      </x:c>
      <x:c r="AJ1433" s="81" t="n">
        <x:f>IF('Inputs'!$B$47&gt;0,AG1433/('Inputs'!$B$19*'Inputs'!$B$47)*365,0)</x:f>
        <x:v>558.0850882559411</x:v>
      </x:c>
      <x:c r="AK1433" s="81" t="n">
        <x:f>W1433/MAX($W$1099:W1433)-1</x:f>
        <x:v>0</x:v>
      </x:c>
      <x:c r="AL1433" s="83" t="n">
        <x:f>'Inputs'!$B$47</x:f>
        <x:v>1</x:v>
      </x:c>
      <x:c r="AM1433" s="83" t="n">
        <x:f>'Inputs'!$C$47</x:f>
        <x:v>1.5</x:v>
      </x:c>
      <x:c r="AN1433" s="83" t="n">
        <x:f>'Inputs'!$D$47</x:f>
        <x:v>1.5</x:v>
      </x:c>
      <x:c r="AO1433" s="81" t="n">
        <x:f>'Inputs'!$E$47</x:f>
        <x:v>0.05</x:v>
      </x:c>
    </x:row>
    <x:row r="1434">
      <x:c r="A1434" s="59" t="str">
        <x:v>Growth</x:v>
      </x:c>
      <x:c r="B1434" s="59" t="n">
        <x:v>336</x:v>
      </x:c>
      <x:c r="C1434" s="78" t="n">
        <x:f>(('Inputs'!$B$29*(3*336*'Inputs'!$B$12-336^2)/(2*'Inputs'!$B$12^2))-('Inputs'!$B$29*(3*335*'Inputs'!$B$12-335^2)/(2*'Inputs'!$B$12^2)))*'Inputs'!$B$47</x:f>
        <x:v>602912.6008631885</x:v>
      </x:c>
      <x:c r="D1434" s="78" t="n">
        <x:f>IF('Inputs'!$C$47&gt;0,('Inputs'!$B$30*(3*336*'Inputs'!$B$12-336^2)/(2*'Inputs'!$B$12^2))-('Inputs'!$B$30*(3*335*'Inputs'!$B$12-335^2)/(2*'Inputs'!$B$12^2)),0)</x:f>
        <x:v>258391.1146556586</x:v>
      </x:c>
      <x:c r="E1434" s="78" t="n">
        <x:f>C1434+D1434</x:f>
        <x:v>861303.7155188471</x:v>
      </x:c>
      <x:c r="F1434" s="78" t="n">
        <x:f>'Inputs'!$B$13*E1434+(1-'Inputs'!$B$13)/'Inputs'!$B$14*SUM(E1379:E1434)</x:f>
        <x:v>871521.3923813077</x:v>
      </x:c>
      <x:c r="G1434" s="78" t="n">
        <x:f>F1434*'Inputs'!$F$47</x:f>
        <x:v>305032.4873334577</x:v>
      </x:c>
      <x:c r="H1434" s="78" t="n">
        <x:f>U1433</x:f>
        <x:v>1787165.4377971</x:v>
      </x:c>
      <x:c r="I1434" s="78" t="n">
        <x:f>V1433</x:f>
        <x:v>45298.50085341711</x:v>
      </x:c>
      <x:c r="J1434" s="79" t="n">
        <x:f>IF(H1434&gt;0,I1434/H1434,0)</x:f>
        <x:v>0.02534656271623798</x:v>
      </x:c>
      <x:c r="K1434" s="80" t="n">
        <x:f>(H1434*J1434+I1434)*'Inputs'!$D$47*(1+'Inputs'!$G$47)^(B1434/30)</x:f>
        <x:v>189226.519251238</x:v>
      </x:c>
      <x:c r="L1434" s="80" t="n">
        <x:f>MAX(0,K1434*'Inputs'!$E$47)</x:f>
        <x:v>9461.325962561901</x:v>
      </x:c>
      <x:c r="M1434" s="80" t="n">
        <x:f>MAX(0,-K1434*'Inputs'!$E$47)</x:f>
        <x:v>0</x:v>
      </x:c>
      <x:c r="N1434" s="78" t="n">
        <x:f>H1434*(L1434*(1-'Inputs'!$B$15))/(I1434+L1434*(1-'Inputs'!$B$15))</x:f>
        <x:v>306225.1863555962</x:v>
      </x:c>
      <x:c r="O1434" s="78" t="n">
        <x:f>H1434-N1434</x:f>
        <x:v>1480940.2514415039</x:v>
      </x:c>
      <x:c r="P1434" s="78" t="n">
        <x:f>I1434+L1434*(1-'Inputs'!$B$17)</x:f>
        <x:v>54721.75306965079</x:v>
      </x:c>
      <x:c r="Q1434" s="78" t="n">
        <x:f>IF(J1434&gt;0,M1434/J1434,0)</x:f>
        <x:v>0</x:v>
      </x:c>
      <x:c r="R1434" s="78" t="n">
        <x:f>IF(B1434='Inputs'!$H$47,'Inputs'!$B$27*'Inputs'!$I$47,0)</x:f>
        <x:v>0</x:v>
      </x:c>
      <x:c r="S1434" s="78" t="n">
        <x:f>Q1434+G1434+R1434</x:f>
        <x:v>305032.4873334577</x:v>
      </x:c>
      <x:c r="T1434" s="78" t="n">
        <x:f>P1434*(S1434*(1-'Inputs'!$B$15))/(O1434+S1434*(1-'Inputs'!$B$15))</x:f>
        <x:v>9268.487061879403</x:v>
      </x:c>
      <x:c r="U1434" s="78" t="n">
        <x:f>O1434+S1434*(1-'Inputs'!$B$17)</x:f>
        <x:v>1784745.2438561146</x:v>
      </x:c>
      <x:c r="V1434" s="78" t="n">
        <x:f>P1434-T1434</x:f>
        <x:v>45453.26600777139</x:v>
      </x:c>
      <x:c r="W1434" s="79" t="n">
        <x:f>IF(U1434&gt;0,V1434/U1434,0)</x:f>
        <x:v>0.025467649326558907</x:v>
      </x:c>
      <x:c r="X1434" s="80" t="n">
        <x:f>W1434*('Inputs'!$B$6-AC1434)</x:f>
        <x:v>25331329.289843038</x:v>
      </x:c>
      <x:c r="Y1434" s="80" t="n">
        <x:f>2*V1434</x:f>
        <x:v>90906.53201554278</x:v>
      </x:c>
      <x:c r="Z1434" s="80" t="n">
        <x:f>K1434*'Inputs'!$B$16+(G1434+R1434)*J1434*'Inputs'!$B$16</x:f>
        <x:v>1181.7482659315533</x:v>
      </x:c>
      <x:c r="AA1434" s="80" t="n">
        <x:f>K1434*(1+'Inputs'!$E$47)/2*'Inputs'!$B$17</x:f>
        <x:v>399.7743364462775</x:v>
      </x:c>
      <x:c r="AB1434" s="78" t="n">
        <x:f>(IF(J1434&gt;0,K1434*(1-'Inputs'!$E$47)/2/J1434,0)+G1434+R1434)*'Inputs'!$B$17</x:f>
        <x:v>15497.69771389262</x:v>
      </x:c>
      <x:c r="AC1434" s="78" t="n">
        <x:f>AC1433+AB1434</x:f>
        <x:v>5352674.483926845</x:v>
      </x:c>
      <x:c r="AD1434" s="80" t="n">
        <x:f>Z1434/(1+'Inputs'!$C$47)</x:f>
        <x:v>472.6993063726213</x:v>
      </x:c>
      <x:c r="AE1434" s="80" t="n">
        <x:f>Z1434-AD1434</x:f>
        <x:v>709.048959558932</x:v>
      </x:c>
      <x:c r="AF1434" s="80" t="n">
        <x:f>D1434*W1434</x:f>
        <x:v>6580.614297148989</x:v>
      </x:c>
      <x:c r="AG1434" s="80" t="n">
        <x:f>C1434*W1434</x:f>
        <x:v>15354.766693347261</x:v>
      </x:c>
      <x:c r="AH1434" s="80" t="n">
        <x:f>2*'Inputs'!$B$8*'Inputs'!$C$47</x:f>
        <x:v>7500</x:v>
      </x:c>
      <x:c r="AI1434" s="81" t="n">
        <x:f>IF(AH1434&gt;0,(AE1434+AF1434)/AH1434*365,0)</x:f>
        <x:v>354.7636118264522</x:v>
      </x:c>
      <x:c r="AJ1434" s="81" t="n">
        <x:f>IF('Inputs'!$B$47&gt;0,AG1434/('Inputs'!$B$19*'Inputs'!$B$47)*365,0)</x:f>
        <x:v>560.448984307175</x:v>
      </x:c>
      <x:c r="AK1434" s="81" t="n">
        <x:f>W1434/MAX($W$1099:W1434)-1</x:f>
        <x:v>0</x:v>
      </x:c>
      <x:c r="AL1434" s="83" t="n">
        <x:f>'Inputs'!$B$47</x:f>
        <x:v>1</x:v>
      </x:c>
      <x:c r="AM1434" s="83" t="n">
        <x:f>'Inputs'!$C$47</x:f>
        <x:v>1.5</x:v>
      </x:c>
      <x:c r="AN1434" s="83" t="n">
        <x:f>'Inputs'!$D$47</x:f>
        <x:v>1.5</x:v>
      </x:c>
      <x:c r="AO1434" s="81" t="n">
        <x:f>'Inputs'!$E$47</x:f>
        <x:v>0.05</x:v>
      </x:c>
    </x:row>
    <x:row r="1435">
      <x:c r="A1435" s="59" t="str">
        <x:v>Growth</x:v>
      </x:c>
      <x:c r="B1435" s="59" t="n">
        <x:v>337</x:v>
      </x:c>
      <x:c r="C1435" s="78" t="n">
        <x:f>(('Inputs'!$B$29*(3*337*'Inputs'!$B$12-337^2)/(2*'Inputs'!$B$12^2))-('Inputs'!$B$29*(3*336*'Inputs'!$B$12-336^2)/(2*'Inputs'!$B$12^2)))*'Inputs'!$B$47</x:f>
        <x:v>602587.4929630458</x:v>
      </x:c>
      <x:c r="D1435" s="78" t="n">
        <x:f>IF('Inputs'!$C$47&gt;0,('Inputs'!$B$30*(3*337*'Inputs'!$B$12-337^2)/(2*'Inputs'!$B$12^2))-('Inputs'!$B$30*(3*336*'Inputs'!$B$12-336^2)/(2*'Inputs'!$B$12^2)),0)</x:f>
        <x:v>258251.78269843757</x:v>
      </x:c>
      <x:c r="E1435" s="78" t="n">
        <x:f>C1435+D1435</x:f>
        <x:v>860839.2756614834</x:v>
      </x:c>
      <x:c r="F1435" s="78" t="n">
        <x:f>'Inputs'!$B$13*E1435+(1-'Inputs'!$B$13)/'Inputs'!$B$14*SUM(E1380:E1435)</x:f>
        <x:v>871056.9525239277</x:v>
      </x:c>
      <x:c r="G1435" s="78" t="n">
        <x:f>F1435*'Inputs'!$F$47</x:f>
        <x:v>304869.93338337465</x:v>
      </x:c>
      <x:c r="H1435" s="78" t="n">
        <x:f>U1434</x:f>
        <x:v>1784745.2438561146</x:v>
      </x:c>
      <x:c r="I1435" s="78" t="n">
        <x:f>V1434</x:f>
        <x:v>45453.26600777139</x:v>
      </x:c>
      <x:c r="J1435" s="79" t="n">
        <x:f>IF(H1435&gt;0,I1435/H1435,0)</x:f>
        <x:v>0.025467649326558907</x:v>
      </x:c>
      <x:c r="K1435" s="80" t="n">
        <x:f>(H1435*J1435+I1435)*'Inputs'!$D$47*(1+'Inputs'!$G$47)^(B1435/30)</x:f>
        <x:v>190060.19629348468</x:v>
      </x:c>
      <x:c r="L1435" s="80" t="n">
        <x:f>MAX(0,K1435*'Inputs'!$E$47)</x:f>
        <x:v>9503.009814674235</x:v>
      </x:c>
      <x:c r="M1435" s="80" t="n">
        <x:f>MAX(0,-K1435*'Inputs'!$E$47)</x:f>
        <x:v>0</x:v>
      </x:c>
      <x:c r="N1435" s="78" t="n">
        <x:f>H1435*(L1435*(1-'Inputs'!$B$15))/(I1435+L1435*(1-'Inputs'!$B$15))</x:f>
        <x:v>306060.2585976336</x:v>
      </x:c>
      <x:c r="O1435" s="78" t="n">
        <x:f>H1435-N1435</x:f>
        <x:v>1478684.985258481</x:v>
      </x:c>
      <x:c r="P1435" s="78" t="n">
        <x:f>I1435+L1435*(1-'Inputs'!$B$17)</x:f>
        <x:v>54918.0343342578</x:v>
      </x:c>
      <x:c r="Q1435" s="78" t="n">
        <x:f>IF(J1435&gt;0,M1435/J1435,0)</x:f>
        <x:v>0</x:v>
      </x:c>
      <x:c r="R1435" s="78" t="n">
        <x:f>IF(B1435='Inputs'!$H$47,'Inputs'!$B$27*'Inputs'!$I$47,0)</x:f>
        <x:v>0</x:v>
      </x:c>
      <x:c r="S1435" s="78" t="n">
        <x:f>Q1435+G1435+R1435</x:f>
        <x:v>304869.93338337465</x:v>
      </x:c>
      <x:c r="T1435" s="78" t="n">
        <x:f>P1435*(S1435*(1-'Inputs'!$B$15))/(O1435+S1435*(1-'Inputs'!$B$15))</x:f>
        <x:v>9309.391180213142</x:v>
      </x:c>
      <x:c r="U1435" s="78" t="n">
        <x:f>O1435+S1435*(1-'Inputs'!$B$17)</x:f>
        <x:v>1782328.077863653</x:v>
      </x:c>
      <x:c r="V1435" s="78" t="n">
        <x:f>P1435-T1435</x:f>
        <x:v>45608.64315404466</x:v>
      </x:c>
      <x:c r="W1435" s="79" t="n">
        <x:f>IF(U1435&gt;0,V1435/U1435,0)</x:f>
        <x:v>0.025589364674494956</x:v>
      </x:c>
      <x:c r="X1435" s="80" t="n">
        <x:f>W1435*('Inputs'!$B$6-AC1435)</x:f>
        <x:v>25451996.71066758</x:v>
      </x:c>
      <x:c r="Y1435" s="80" t="n">
        <x:f>2*V1435</x:f>
        <x:v>91217.28630808931</x:v>
      </x:c>
      <x:c r="Z1435" s="80" t="n">
        <x:f>K1435*'Inputs'!$B$16+(G1435+R1435)*J1435*'Inputs'!$B$16</x:f>
        <x:v>1186.947101082623</x:v>
      </x:c>
      <x:c r="AA1435" s="80" t="n">
        <x:f>K1435*(1+'Inputs'!$E$47)/2*'Inputs'!$B$17</x:f>
        <x:v>401.5356259721508</x:v>
      </x:c>
      <x:c r="AB1435" s="78" t="n">
        <x:f>(IF(J1435&gt;0,K1435*(1-'Inputs'!$E$47)/2/J1435,0)+G1435+R1435)*'Inputs'!$B$17</x:f>
        <x:v>15491.766964596603</x:v>
      </x:c>
      <x:c r="AC1435" s="78" t="n">
        <x:f>AC1434+AB1435</x:f>
        <x:v>5368166.2508914415</x:v>
      </x:c>
      <x:c r="AD1435" s="80" t="n">
        <x:f>Z1435/(1+'Inputs'!$C$47)</x:f>
        <x:v>474.7788404330492</x:v>
      </x:c>
      <x:c r="AE1435" s="80" t="n">
        <x:f>Z1435-AD1435</x:f>
        <x:v>712.1682606495738</x:v>
      </x:c>
      <x:c r="AF1435" s="80" t="n">
        <x:f>D1435*W1435</x:f>
        <x:v>6608.499045308746</x:v>
      </x:c>
      <x:c r="AG1435" s="80" t="n">
        <x:f>C1435*W1435</x:f>
        <x:v>15419.831105721043</x:v>
      </x:c>
      <x:c r="AH1435" s="80" t="n">
        <x:f>2*'Inputs'!$B$8*'Inputs'!$C$47</x:f>
        <x:v>7500</x:v>
      </x:c>
      <x:c r="AI1435" s="81" t="n">
        <x:f>IF(AH1435&gt;0,(AE1435+AF1435)/AH1435*365,0)</x:f>
        <x:v>356.2724755566382</x:v>
      </x:c>
      <x:c r="AJ1435" s="81" t="n">
        <x:f>IF('Inputs'!$B$47&gt;0,AG1435/('Inputs'!$B$19*'Inputs'!$B$47)*365,0)</x:f>
        <x:v>562.8238353588181</x:v>
      </x:c>
      <x:c r="AK1435" s="81" t="n">
        <x:f>W1435/MAX($W$1099:W1435)-1</x:f>
        <x:v>0</x:v>
      </x:c>
      <x:c r="AL1435" s="83" t="n">
        <x:f>'Inputs'!$B$47</x:f>
        <x:v>1</x:v>
      </x:c>
      <x:c r="AM1435" s="83" t="n">
        <x:f>'Inputs'!$C$47</x:f>
        <x:v>1.5</x:v>
      </x:c>
      <x:c r="AN1435" s="83" t="n">
        <x:f>'Inputs'!$D$47</x:f>
        <x:v>1.5</x:v>
      </x:c>
      <x:c r="AO1435" s="81" t="n">
        <x:f>'Inputs'!$E$47</x:f>
        <x:v>0.05</x:v>
      </x:c>
    </x:row>
    <x:row r="1436">
      <x:c r="A1436" s="59" t="str">
        <x:v>Growth</x:v>
      </x:c>
      <x:c r="B1436" s="59" t="n">
        <x:v>338</x:v>
      </x:c>
      <x:c r="C1436" s="78" t="n">
        <x:f>(('Inputs'!$B$29*(3*338*'Inputs'!$B$12-338^2)/(2*'Inputs'!$B$12^2))-('Inputs'!$B$29*(3*337*'Inputs'!$B$12-337^2)/(2*'Inputs'!$B$12^2)))*'Inputs'!$B$47</x:f>
        <x:v>602262.3850628436</x:v>
      </x:c>
      <x:c r="D1436" s="78" t="n">
        <x:f>IF('Inputs'!$C$47&gt;0,('Inputs'!$B$30*(3*338*'Inputs'!$B$12-338^2)/(2*'Inputs'!$B$12^2))-('Inputs'!$B$30*(3*337*'Inputs'!$B$12-337^2)/(2*'Inputs'!$B$12^2)),0)</x:f>
        <x:v>258112.45074123144</x:v>
      </x:c>
      <x:c r="E1436" s="78" t="n">
        <x:f>C1436+D1436</x:f>
        <x:v>860374.835804075</x:v>
      </x:c>
      <x:c r="F1436" s="78" t="n">
        <x:f>'Inputs'!$B$13*E1436+(1-'Inputs'!$B$13)/'Inputs'!$B$14*SUM(E1381:E1436)</x:f>
        <x:v>870592.5126665385</x:v>
      </x:c>
      <x:c r="G1436" s="78" t="n">
        <x:f>F1436*'Inputs'!$F$47</x:f>
        <x:v>304707.3794332885</x:v>
      </x:c>
      <x:c r="H1436" s="78" t="n">
        <x:f>U1435</x:f>
        <x:v>1782328.077863653</x:v>
      </x:c>
      <x:c r="I1436" s="78" t="n">
        <x:f>V1435</x:f>
        <x:v>45608.64315404466</x:v>
      </x:c>
      <x:c r="J1436" s="79" t="n">
        <x:f>IF(H1436&gt;0,I1436/H1436,0)</x:f>
        <x:v>0.025589364674494956</x:v>
      </x:c>
      <x:c r="K1436" s="80" t="n">
        <x:f>(H1436*J1436+I1436)*'Inputs'!$D$47*(1+'Inputs'!$G$47)^(B1436/30)</x:f>
        <x:v>190897.89462686735</x:v>
      </x:c>
      <x:c r="L1436" s="80" t="n">
        <x:f>MAX(0,K1436*'Inputs'!$E$47)</x:f>
        <x:v>9544.894731343367</x:v>
      </x:c>
      <x:c r="M1436" s="80" t="n">
        <x:f>MAX(0,-K1436*'Inputs'!$E$47)</x:f>
        <x:v>0</x:v>
      </x:c>
      <x:c r="N1436" s="78" t="n">
        <x:f>H1436*(L1436*(1-'Inputs'!$B$15))/(I1436+L1436*(1-'Inputs'!$B$15))</x:f>
        <x:v>305895.334654088</x:v>
      </x:c>
      <x:c r="O1436" s="78" t="n">
        <x:f>H1436-N1436</x:f>
        <x:v>1476432.743209565</x:v>
      </x:c>
      <x:c r="P1436" s="78" t="n">
        <x:f>I1436+L1436*(1-'Inputs'!$B$17)</x:f>
        <x:v>55115.12784622769</x:v>
      </x:c>
      <x:c r="Q1436" s="78" t="n">
        <x:f>IF(J1436&gt;0,M1436/J1436,0)</x:f>
        <x:v>0</x:v>
      </x:c>
      <x:c r="R1436" s="78" t="n">
        <x:f>IF(B1436='Inputs'!$H$47,'Inputs'!$B$27*'Inputs'!$I$47,0)</x:f>
        <x:v>0</x:v>
      </x:c>
      <x:c r="S1436" s="78" t="n">
        <x:f>Q1436+G1436+R1436</x:f>
        <x:v>304707.3794332885</x:v>
      </x:c>
      <x:c r="T1436" s="78" t="n">
        <x:f>P1436*(S1436*(1-'Inputs'!$B$15))/(O1436+S1436*(1-'Inputs'!$B$15))</x:f>
        <x:v>9350.492833988668</x:v>
      </x:c>
      <x:c r="U1436" s="78" t="n">
        <x:f>O1436+S1436*(1-'Inputs'!$B$17)</x:f>
        <x:v>1779913.936005295</x:v>
      </x:c>
      <x:c r="V1436" s="78" t="n">
        <x:f>P1436-T1436</x:f>
        <x:v>45764.63501223902</x:v>
      </x:c>
      <x:c r="W1436" s="79" t="n">
        <x:f>IF(U1436&gt;0,V1436/U1436,0)</x:f>
        <x:v>0.025711712283656662</x:v>
      </x:c>
      <x:c r="X1436" s="80" t="n">
        <x:f>W1436*('Inputs'!$B$6-AC1436)</x:f>
        <x:v>25573289.37015882</x:v>
      </x:c>
      <x:c r="Y1436" s="80" t="n">
        <x:f>2*V1436</x:f>
        <x:v>91529.27002447804</x:v>
      </x:c>
      <x:c r="Z1436" s="80" t="n">
        <x:f>K1436*'Inputs'!$B$16+(G1436+R1436)*J1436*'Inputs'!$B$16</x:f>
        <x:v>1192.170977269173</x:v>
      </x:c>
      <x:c r="AA1436" s="80" t="n">
        <x:f>K1436*(1+'Inputs'!$E$47)/2*'Inputs'!$B$17</x:f>
        <x:v>403.3054111835226</x:v>
      </x:c>
      <x:c r="AB1436" s="78" t="n">
        <x:f>(IF(J1436&gt;0,K1436*(1-'Inputs'!$E$47)/2/J1436,0)+G1436+R1436)*'Inputs'!$B$17</x:f>
        <x:v>15485.836170275512</x:v>
      </x:c>
      <x:c r="AC1436" s="78" t="n">
        <x:f>AC1435+AB1436</x:f>
        <x:v>5383652.087061717</x:v>
      </x:c>
      <x:c r="AD1436" s="80" t="n">
        <x:f>Z1436/(1+'Inputs'!$C$47)</x:f>
        <x:v>476.86839090766915</x:v>
      </x:c>
      <x:c r="AE1436" s="80" t="n">
        <x:f>Z1436-AD1436</x:f>
        <x:v>715.3025863615037</x:v>
      </x:c>
      <x:c r="AF1436" s="80" t="n">
        <x:f>D1436*W1436</x:f>
        <x:v>6636.513070288045</x:v>
      </x:c>
      <x:c r="AG1436" s="80" t="n">
        <x:f>C1436*W1436</x:f>
        <x:v>15485.197164004674</x:v>
      </x:c>
      <x:c r="AH1436" s="80" t="n">
        <x:f>2*'Inputs'!$B$8*'Inputs'!$C$47</x:f>
        <x:v>7500</x:v>
      </x:c>
      <x:c r="AI1436" s="81" t="n">
        <x:f>IF(AH1436&gt;0,(AE1436+AF1436)/AH1436*365,0)</x:f>
        <x:v>357.78836195694475</x:v>
      </x:c>
      <x:c r="AJ1436" s="81" t="n">
        <x:f>IF('Inputs'!$B$47&gt;0,AG1436/('Inputs'!$B$19*'Inputs'!$B$47)*365,0)</x:f>
        <x:v>565.2096964861706</x:v>
      </x:c>
      <x:c r="AK1436" s="81" t="n">
        <x:f>W1436/MAX($W$1099:W1436)-1</x:f>
        <x:v>0</x:v>
      </x:c>
      <x:c r="AL1436" s="83" t="n">
        <x:f>'Inputs'!$B$47</x:f>
        <x:v>1</x:v>
      </x:c>
      <x:c r="AM1436" s="83" t="n">
        <x:f>'Inputs'!$C$47</x:f>
        <x:v>1.5</x:v>
      </x:c>
      <x:c r="AN1436" s="83" t="n">
        <x:f>'Inputs'!$D$47</x:f>
        <x:v>1.5</x:v>
      </x:c>
      <x:c r="AO1436" s="81" t="n">
        <x:f>'Inputs'!$E$47</x:f>
        <x:v>0.05</x:v>
      </x:c>
    </x:row>
    <x:row r="1437">
      <x:c r="A1437" s="59" t="str">
        <x:v>Growth</x:v>
      </x:c>
      <x:c r="B1437" s="59" t="n">
        <x:v>339</x:v>
      </x:c>
      <x:c r="C1437" s="78" t="n">
        <x:f>(('Inputs'!$B$29*(3*339*'Inputs'!$B$12-339^2)/(2*'Inputs'!$B$12^2))-('Inputs'!$B$29*(3*338*'Inputs'!$B$12-338^2)/(2*'Inputs'!$B$12^2)))*'Inputs'!$B$47</x:f>
        <x:v>601937.2771627009</x:v>
      </x:c>
      <x:c r="D1437" s="78" t="n">
        <x:f>IF('Inputs'!$C$47&gt;0,('Inputs'!$B$30*(3*339*'Inputs'!$B$12-339^2)/(2*'Inputs'!$B$12^2))-('Inputs'!$B$30*(3*338*'Inputs'!$B$12-338^2)/(2*'Inputs'!$B$12^2)),0)</x:f>
        <x:v>257973.1187840104</x:v>
      </x:c>
      <x:c r="E1437" s="78" t="n">
        <x:f>C1437+D1437</x:f>
        <x:v>859910.3959467113</x:v>
      </x:c>
      <x:c r="F1437" s="78" t="n">
        <x:f>'Inputs'!$B$13*E1437+(1-'Inputs'!$B$13)/'Inputs'!$B$14*SUM(E1382:E1437)</x:f>
        <x:v>870128.0728091584</x:v>
      </x:c>
      <x:c r="G1437" s="78" t="n">
        <x:f>F1437*'Inputs'!$F$47</x:f>
        <x:v>304544.8254832054</x:v>
      </x:c>
      <x:c r="H1437" s="78" t="n">
        <x:f>U1436</x:f>
        <x:v>1779913.936005295</x:v>
      </x:c>
      <x:c r="I1437" s="78" t="n">
        <x:f>V1436</x:f>
        <x:v>45764.63501223902</x:v>
      </x:c>
      <x:c r="J1437" s="79" t="n">
        <x:f>IF(H1437&gt;0,I1437/H1437,0)</x:f>
        <x:v>0.025711712283656662</x:v>
      </x:c>
      <x:c r="K1437" s="80" t="n">
        <x:f>(H1437*J1437+I1437)*'Inputs'!$D$47*(1+'Inputs'!$G$47)^(B1437/30)</x:f>
        <x:v>191739.63529052972</x:v>
      </x:c>
      <x:c r="L1437" s="80" t="n">
        <x:f>MAX(0,K1437*'Inputs'!$E$47)</x:f>
        <x:v>9586.981764526487</x:v>
      </x:c>
      <x:c r="M1437" s="80" t="n">
        <x:f>MAX(0,-K1437*'Inputs'!$E$47)</x:f>
        <x:v>0</x:v>
      </x:c>
      <x:c r="N1437" s="78" t="n">
        <x:f>H1437*(L1437*(1-'Inputs'!$B$15))/(I1437+L1437*(1-'Inputs'!$B$15))</x:f>
        <x:v>305730.4145202927</x:v>
      </x:c>
      <x:c r="O1437" s="78" t="n">
        <x:f>H1437-N1437</x:f>
        <x:v>1474183.5214850022</x:v>
      </x:c>
      <x:c r="P1437" s="78" t="n">
        <x:f>I1437+L1437*(1-'Inputs'!$B$17)</x:f>
        <x:v>55313.03737328653</x:v>
      </x:c>
      <x:c r="Q1437" s="78" t="n">
        <x:f>IF(J1437&gt;0,M1437/J1437,0)</x:f>
        <x:v>0</x:v>
      </x:c>
      <x:c r="R1437" s="78" t="n">
        <x:f>IF(B1437='Inputs'!$H$47,'Inputs'!$B$27*'Inputs'!$I$47,0)</x:f>
        <x:v>0</x:v>
      </x:c>
      <x:c r="S1437" s="78" t="n">
        <x:f>Q1437+G1437+R1437</x:f>
        <x:v>304544.8254832054</x:v>
      </x:c>
      <x:c r="T1437" s="78" t="n">
        <x:f>P1437*(S1437*(1-'Inputs'!$B$15))/(O1437+S1437*(1-'Inputs'!$B$15))</x:f>
        <x:v>9391.793057611434</x:v>
      </x:c>
      <x:c r="U1437" s="78" t="n">
        <x:f>O1437+S1437*(1-'Inputs'!$B$17)</x:f>
        <x:v>1777502.8144712932</x:v>
      </x:c>
      <x:c r="V1437" s="78" t="n">
        <x:f>P1437-T1437</x:f>
        <x:v>45921.244315675096</x:v>
      </x:c>
      <x:c r="W1437" s="79" t="n">
        <x:f>IF(U1437&gt;0,V1437/U1437,0)</x:f>
        <x:v>0.02583469569882739</x:v>
      </x:c>
      <x:c r="X1437" s="80" t="n">
        <x:f>W1437*('Inputs'!$B$6-AC1437)</x:f>
        <x:v>25695210.766766164</x:v>
      </x:c>
      <x:c r="Y1437" s="80" t="n">
        <x:f>2*V1437</x:f>
        <x:v>91842.48863135019</x:v>
      </x:c>
      <x:c r="Z1437" s="80" t="n">
        <x:f>K1437*'Inputs'!$B$16+(G1437+R1437)*J1437*'Inputs'!$B$16</x:f>
        <x:v>1197.420025324982</x:v>
      </x:c>
      <x:c r="AA1437" s="80" t="n">
        <x:f>K1437*(1+'Inputs'!$E$47)/2*'Inputs'!$B$17</x:f>
        <x:v>405.08373652928816</x:v>
      </x:c>
      <x:c r="AB1437" s="78" t="n">
        <x:f>(IF(J1437&gt;0,K1437*(1-'Inputs'!$E$47)/2/J1437,0)+G1437+R1437)*'Inputs'!$B$17</x:f>
        <x:v>15479.905329301373</x:v>
      </x:c>
      <x:c r="AC1437" s="78" t="n">
        <x:f>AC1436+AB1437</x:f>
        <x:v>5399131.992391018</x:v>
      </x:c>
      <x:c r="AD1437" s="80" t="n">
        <x:f>Z1437/(1+'Inputs'!$C$47)</x:f>
        <x:v>478.96801012999276</x:v>
      </x:c>
      <x:c r="AE1437" s="80" t="n">
        <x:f>Z1437-AD1437</x:f>
        <x:v>718.4520151949891</x:v>
      </x:c>
      <x:c r="AF1437" s="80" t="n">
        <x:f>D1437*W1437</x:f>
        <x:v>6664.657022262361</x:v>
      </x:c>
      <x:c r="AG1437" s="80" t="n">
        <x:f>C1437*W1437</x:f>
        <x:v>15550.8663852791</x:v>
      </x:c>
      <x:c r="AH1437" s="80" t="n">
        <x:f>2*'Inputs'!$B$8*'Inputs'!$C$47</x:f>
        <x:v>7500</x:v>
      </x:c>
      <x:c r="AI1437" s="81" t="n">
        <x:f>IF(AH1437&gt;0,(AE1437+AF1437)/AH1437*365,0)</x:f>
        <x:v>359.31130648959106</x:v>
      </x:c>
      <x:c r="AJ1437" s="81" t="n">
        <x:f>IF('Inputs'!$B$47&gt;0,AG1437/('Inputs'!$B$19*'Inputs'!$B$47)*365,0)</x:f>
        <x:v>567.6066230626872</x:v>
      </x:c>
      <x:c r="AK1437" s="81" t="n">
        <x:f>W1437/MAX($W$1099:W1437)-1</x:f>
        <x:v>0</x:v>
      </x:c>
      <x:c r="AL1437" s="83" t="n">
        <x:f>'Inputs'!$B$47</x:f>
        <x:v>1</x:v>
      </x:c>
      <x:c r="AM1437" s="83" t="n">
        <x:f>'Inputs'!$C$47</x:f>
        <x:v>1.5</x:v>
      </x:c>
      <x:c r="AN1437" s="83" t="n">
        <x:f>'Inputs'!$D$47</x:f>
        <x:v>1.5</x:v>
      </x:c>
      <x:c r="AO1437" s="81" t="n">
        <x:f>'Inputs'!$E$47</x:f>
        <x:v>0.05</x:v>
      </x:c>
    </x:row>
    <x:row r="1438">
      <x:c r="A1438" s="59" t="str">
        <x:v>Growth</x:v>
      </x:c>
      <x:c r="B1438" s="59" t="n">
        <x:v>340</x:v>
      </x:c>
      <x:c r="C1438" s="78" t="n">
        <x:f>(('Inputs'!$B$29*(3*340*'Inputs'!$B$12-340^2)/(2*'Inputs'!$B$12^2))-('Inputs'!$B$29*(3*339*'Inputs'!$B$12-339^2)/(2*'Inputs'!$B$12^2)))*'Inputs'!$B$47</x:f>
        <x:v>601612.1692625284</x:v>
      </x:c>
      <x:c r="D1438" s="78" t="n">
        <x:f>IF('Inputs'!$C$47&gt;0,('Inputs'!$B$30*(3*340*'Inputs'!$B$12-340^2)/(2*'Inputs'!$B$12^2))-('Inputs'!$B$30*(3*339*'Inputs'!$B$12-339^2)/(2*'Inputs'!$B$12^2)),0)</x:f>
        <x:v>257833.78682678938</x:v>
      </x:c>
      <x:c r="E1438" s="78" t="n">
        <x:f>C1438+D1438</x:f>
        <x:v>859445.9560893178</x:v>
      </x:c>
      <x:c r="F1438" s="78" t="n">
        <x:f>'Inputs'!$B$13*E1438+(1-'Inputs'!$B$13)/'Inputs'!$B$14*SUM(E1383:E1438)</x:f>
        <x:v>869663.6329517725</x:v>
      </x:c>
      <x:c r="G1438" s="78" t="n">
        <x:f>F1438*'Inputs'!$F$47</x:f>
        <x:v>304382.27153312037</x:v>
      </x:c>
      <x:c r="H1438" s="78" t="n">
        <x:f>U1437</x:f>
        <x:v>1777502.8144712932</x:v>
      </x:c>
      <x:c r="I1438" s="78" t="n">
        <x:f>V1437</x:f>
        <x:v>45921.244315675096</x:v>
      </x:c>
      <x:c r="J1438" s="79" t="n">
        <x:f>IF(H1438&gt;0,I1438/H1438,0)</x:f>
        <x:v>0.02583469569882739</x:v>
      </x:c>
      <x:c r="K1438" s="80" t="n">
        <x:f>(H1438*J1438+I1438)*'Inputs'!$D$47*(1+'Inputs'!$G$47)^(B1438/30)</x:f>
        <x:v>192585.43944200006</x:v>
      </x:c>
      <x:c r="L1438" s="80" t="n">
        <x:f>MAX(0,K1438*'Inputs'!$E$47)</x:f>
        <x:v>9629.271972100003</x:v>
      </x:c>
      <x:c r="M1438" s="80" t="n">
        <x:f>MAX(0,-K1438*'Inputs'!$E$47)</x:f>
        <x:v>0</x:v>
      </x:c>
      <x:c r="N1438" s="78" t="n">
        <x:f>H1438*(L1438*(1-'Inputs'!$B$15))/(I1438+L1438*(1-'Inputs'!$B$15))</x:f>
        <x:v>305565.4981915875</x:v>
      </x:c>
      <x:c r="O1438" s="78" t="n">
        <x:f>H1438-N1438</x:f>
        <x:v>1471937.3162797056</x:v>
      </x:c>
      <x:c r="P1438" s="78" t="n">
        <x:f>I1438+L1438*(1-'Inputs'!$B$17)</x:f>
        <x:v>55511.7667023743</x:v>
      </x:c>
      <x:c r="Q1438" s="78" t="n">
        <x:f>IF(J1438&gt;0,M1438/J1438,0)</x:f>
        <x:v>0</x:v>
      </x:c>
      <x:c r="R1438" s="78" t="n">
        <x:f>IF(B1438='Inputs'!$H$47,'Inputs'!$B$27*'Inputs'!$I$47,0)</x:f>
        <x:v>0</x:v>
      </x:c>
      <x:c r="S1438" s="78" t="n">
        <x:f>Q1438+G1438+R1438</x:f>
        <x:v>304382.27153312037</x:v>
      </x:c>
      <x:c r="T1438" s="78" t="n">
        <x:f>P1438*(S1438*(1-'Inputs'!$B$15))/(O1438+S1438*(1-'Inputs'!$B$15))</x:f>
        <x:v>9433.292891311112</x:v>
      </x:c>
      <x:c r="U1438" s="78" t="n">
        <x:f>O1438+S1438*(1-'Inputs'!$B$17)</x:f>
        <x:v>1775094.709456556</x:v>
      </x:c>
      <x:c r="V1438" s="78" t="n">
        <x:f>P1438-T1438</x:f>
        <x:v>46078.47381106319</x:v>
      </x:c>
      <x:c r="W1438" s="79" t="n">
        <x:f>IF(U1438&gt;0,V1438/U1438,0)</x:f>
        <x:v>0.0259583184860993</x:v>
      </x:c>
      <x:c r="X1438" s="80" t="n">
        <x:f>W1438*('Inputs'!$B$6-AC1438)</x:f>
        <x:v>25817764.419935565</x:v>
      </x:c>
      <x:c r="Y1438" s="80" t="n">
        <x:f>2*V1438</x:f>
        <x:v>92156.94762212638</x:v>
      </x:c>
      <x:c r="Z1438" s="80" t="n">
        <x:f>K1438*'Inputs'!$B$16+(G1438+R1438)*J1438*'Inputs'!$B$16</x:f>
        <x:v>1202.6943768190563</x:v>
      </x:c>
      <x:c r="AA1438" s="80" t="n">
        <x:f>K1438*(1+'Inputs'!$E$47)/2*'Inputs'!$B$17</x:f>
        <x:v>406.8706467084509</x:v>
      </x:c>
      <x:c r="AB1438" s="78" t="n">
        <x:f>(IF(J1438&gt;0,K1438*(1-'Inputs'!$E$47)/2/J1438,0)+G1438+R1438)*'Inputs'!$B$17</x:f>
        <x:v>15473.974440043778</x:v>
      </x:c>
      <x:c r="AC1438" s="78" t="n">
        <x:f>AC1437+AB1438</x:f>
        <x:v>5414605.966831062</x:v>
      </x:c>
      <x:c r="AD1438" s="80" t="n">
        <x:f>Z1438/(1+'Inputs'!$C$47)</x:f>
        <x:v>481.0777507276225</x:v>
      </x:c>
      <x:c r="AE1438" s="80" t="n">
        <x:f>Z1438-AD1438</x:f>
        <x:v>721.6166260914338</x:v>
      </x:c>
      <x:c r="AF1438" s="80" t="n">
        <x:f>D1438*W1438</x:f>
        <x:v>6692.931554926833</x:v>
      </x:c>
      <x:c r="AG1438" s="80" t="n">
        <x:f>C1438*W1438</x:f>
        <x:v>15616.840294829793</x:v>
      </x:c>
      <x:c r="AH1438" s="80" t="n">
        <x:f>2*'Inputs'!$B$8*'Inputs'!$C$47</x:f>
        <x:v>7500</x:v>
      </x:c>
      <x:c r="AI1438" s="81" t="n">
        <x:f>IF(AH1438&gt;0,(AE1438+AF1438)/AH1438*365,0)</x:f>
        <x:v>360.8413448095556</x:v>
      </x:c>
      <x:c r="AJ1438" s="81" t="n">
        <x:f>IF('Inputs'!$B$47&gt;0,AG1438/('Inputs'!$B$19*'Inputs'!$B$47)*365,0)</x:f>
        <x:v>570.0146707612874</x:v>
      </x:c>
      <x:c r="AK1438" s="81" t="n">
        <x:f>W1438/MAX($W$1099:W1438)-1</x:f>
        <x:v>0</x:v>
      </x:c>
      <x:c r="AL1438" s="83" t="n">
        <x:f>'Inputs'!$B$47</x:f>
        <x:v>1</x:v>
      </x:c>
      <x:c r="AM1438" s="83" t="n">
        <x:f>'Inputs'!$C$47</x:f>
        <x:v>1.5</x:v>
      </x:c>
      <x:c r="AN1438" s="83" t="n">
        <x:f>'Inputs'!$D$47</x:f>
        <x:v>1.5</x:v>
      </x:c>
      <x:c r="AO1438" s="81" t="n">
        <x:f>'Inputs'!$E$47</x:f>
        <x:v>0.05</x:v>
      </x:c>
    </x:row>
    <x:row r="1439">
      <x:c r="A1439" s="59" t="str">
        <x:v>Growth</x:v>
      </x:c>
      <x:c r="B1439" s="59" t="n">
        <x:v>341</x:v>
      </x:c>
      <x:c r="C1439" s="78" t="n">
        <x:f>(('Inputs'!$B$29*(3*341*'Inputs'!$B$12-341^2)/(2*'Inputs'!$B$12^2))-('Inputs'!$B$29*(3*340*'Inputs'!$B$12-340^2)/(2*'Inputs'!$B$12^2)))*'Inputs'!$B$47</x:f>
        <x:v>601287.061362356</x:v>
      </x:c>
      <x:c r="D1439" s="78" t="n">
        <x:f>IF('Inputs'!$C$47&gt;0,('Inputs'!$B$30*(3*341*'Inputs'!$B$12-341^2)/(2*'Inputs'!$B$12^2))-('Inputs'!$B$30*(3*340*'Inputs'!$B$12-340^2)/(2*'Inputs'!$B$12^2)),0)</x:f>
        <x:v>257694.45486958325</x:v>
      </x:c>
      <x:c r="E1439" s="78" t="n">
        <x:f>C1439+D1439</x:f>
        <x:v>858981.5162319392</x:v>
      </x:c>
      <x:c r="F1439" s="78" t="n">
        <x:f>'Inputs'!$B$13*E1439+(1-'Inputs'!$B$13)/'Inputs'!$B$14*SUM(E1384:E1439)</x:f>
        <x:v>869199.1930943893</x:v>
      </x:c>
      <x:c r="G1439" s="78" t="n">
        <x:f>F1439*'Inputs'!$F$47</x:f>
        <x:v>304219.7175830362</x:v>
      </x:c>
      <x:c r="H1439" s="78" t="n">
        <x:f>U1438</x:f>
        <x:v>1775094.709456556</x:v>
      </x:c>
      <x:c r="I1439" s="78" t="n">
        <x:f>V1438</x:f>
        <x:v>46078.47381106319</x:v>
      </x:c>
      <x:c r="J1439" s="79" t="n">
        <x:f>IF(H1439&gt;0,I1439/H1439,0)</x:f>
        <x:v>0.0259583184860993</x:v>
      </x:c>
      <x:c r="K1439" s="80" t="n">
        <x:f>(H1439*J1439+I1439)*'Inputs'!$D$47*(1+'Inputs'!$G$47)^(B1439/30)</x:f>
        <x:v>193435.32835790413</x:v>
      </x:c>
      <x:c r="L1439" s="80" t="n">
        <x:f>MAX(0,K1439*'Inputs'!$E$47)</x:f>
        <x:v>9671.766417895207</x:v>
      </x:c>
      <x:c r="M1439" s="80" t="n">
        <x:f>MAX(0,-K1439*'Inputs'!$E$47)</x:f>
        <x:v>0</x:v>
      </x:c>
      <x:c r="N1439" s="78" t="n">
        <x:f>H1439*(L1439*(1-'Inputs'!$B$15))/(I1439+L1439*(1-'Inputs'!$B$15))</x:f>
        <x:v>305400.5856633178</x:v>
      </x:c>
      <x:c r="O1439" s="78" t="n">
        <x:f>H1439-N1439</x:f>
        <x:v>1469694.1237932383</x:v>
      </x:c>
      <x:c r="P1439" s="78" t="n">
        <x:f>I1439+L1439*(1-'Inputs'!$B$17)</x:f>
        <x:v>55711.31963975157</x:v>
      </x:c>
      <x:c r="Q1439" s="78" t="n">
        <x:f>IF(J1439&gt;0,M1439/J1439,0)</x:f>
        <x:v>0</x:v>
      </x:c>
      <x:c r="R1439" s="78" t="n">
        <x:f>IF(B1439='Inputs'!$H$47,'Inputs'!$B$27*'Inputs'!$I$47,0)</x:f>
        <x:v>0</x:v>
      </x:c>
      <x:c r="S1439" s="78" t="n">
        <x:f>Q1439+G1439+R1439</x:f>
        <x:v>304219.7175830362</x:v>
      </x:c>
      <x:c r="T1439" s="78" t="n">
        <x:f>P1439*(S1439*(1-'Inputs'!$B$15))/(O1439+S1439*(1-'Inputs'!$B$15))</x:f>
        <x:v>9474.99338117723</x:v>
      </x:c>
      <x:c r="U1439" s="78" t="n">
        <x:f>O1439+S1439*(1-'Inputs'!$B$17)</x:f>
        <x:v>1772689.6171606486</x:v>
      </x:c>
      <x:c r="V1439" s="78" t="n">
        <x:f>P1439-T1439</x:f>
        <x:v>46236.32625857434</x:v>
      </x:c>
      <x:c r="W1439" s="79" t="n">
        <x:f>IF(U1439&gt;0,V1439/U1439,0)</x:f>
        <x:v>0.026082584233009704</x:v>
      </x:c>
      <x:c r="X1439" s="80" t="n">
        <x:f>W1439*('Inputs'!$B$6-AC1439)</x:f>
        <x:v>25940953.870243743</x:v>
      </x:c>
      <x:c r="Y1439" s="80" t="n">
        <x:f>2*V1439</x:f>
        <x:v>92472.65251714869</x:v>
      </x:c>
      <x:c r="Z1439" s="80" t="n">
        <x:f>K1439*'Inputs'!$B$16+(G1439+R1439)*J1439*'Inputs'!$B$16</x:f>
        <x:v>1207.9941640600546</x:v>
      </x:c>
      <x:c r="AA1439" s="80" t="n">
        <x:f>K1439*(1+'Inputs'!$E$47)/2*'Inputs'!$B$17</x:f>
        <x:v>408.6661866716285</x:v>
      </x:c>
      <x:c r="AB1439" s="78" t="n">
        <x:f>(IF(J1439&gt;0,K1439*(1-'Inputs'!$E$47)/2/J1439,0)+G1439+R1439)*'Inputs'!$B$17</x:f>
        <x:v>15468.043500869886</x:v>
      </x:c>
      <x:c r="AC1439" s="78" t="n">
        <x:f>AC1438+AB1439</x:f>
        <x:v>5430074.0103319315</x:v>
      </x:c>
      <x:c r="AD1439" s="80" t="n">
        <x:f>Z1439/(1+'Inputs'!$C$47)</x:f>
        <x:v>483.19766562402185</x:v>
      </x:c>
      <x:c r="AE1439" s="80" t="n">
        <x:f>Z1439-AD1439</x:f>
        <x:v>724.7964984360327</x:v>
      </x:c>
      <x:c r="AF1439" s="80" t="n">
        <x:f>D1439*W1439</x:f>
        <x:v>6721.337325515423</x:v>
      </x:c>
      <x:c r="AG1439" s="80" t="n">
        <x:f>C1439*W1439</x:f>
        <x:v>15683.120426202524</x:v>
      </x:c>
      <x:c r="AH1439" s="80" t="n">
        <x:f>2*'Inputs'!$B$8*'Inputs'!$C$47</x:f>
        <x:v>7500</x:v>
      </x:c>
      <x:c r="AI1439" s="81" t="n">
        <x:f>IF(AH1439&gt;0,(AE1439+AF1439)/AH1439*365,0)</x:f>
        <x:v>362.3785127656375</x:v>
      </x:c>
      <x:c r="AJ1439" s="81" t="n">
        <x:f>IF('Inputs'!$B$47&gt;0,AG1439/('Inputs'!$B$19*'Inputs'!$B$47)*365,0)</x:f>
        <x:v>572.4338955563921</x:v>
      </x:c>
      <x:c r="AK1439" s="81" t="n">
        <x:f>W1439/MAX($W$1099:W1439)-1</x:f>
        <x:v>0</x:v>
      </x:c>
      <x:c r="AL1439" s="83" t="n">
        <x:f>'Inputs'!$B$47</x:f>
        <x:v>1</x:v>
      </x:c>
      <x:c r="AM1439" s="83" t="n">
        <x:f>'Inputs'!$C$47</x:f>
        <x:v>1.5</x:v>
      </x:c>
      <x:c r="AN1439" s="83" t="n">
        <x:f>'Inputs'!$D$47</x:f>
        <x:v>1.5</x:v>
      </x:c>
      <x:c r="AO1439" s="81" t="n">
        <x:f>'Inputs'!$E$47</x:f>
        <x:v>0.05</x:v>
      </x:c>
    </x:row>
    <x:row r="1440">
      <x:c r="A1440" s="59" t="str">
        <x:v>Growth</x:v>
      </x:c>
      <x:c r="B1440" s="59" t="n">
        <x:v>342</x:v>
      </x:c>
      <x:c r="C1440" s="78" t="n">
        <x:f>(('Inputs'!$B$29*(3*342*'Inputs'!$B$12-342^2)/(2*'Inputs'!$B$12^2))-('Inputs'!$B$29*(3*341*'Inputs'!$B$12-341^2)/(2*'Inputs'!$B$12^2)))*'Inputs'!$B$47</x:f>
        <x:v>600961.9534621835</x:v>
      </x:c>
      <x:c r="D1440" s="78" t="n">
        <x:f>IF('Inputs'!$C$47&gt;0,('Inputs'!$B$30*(3*342*'Inputs'!$B$12-342^2)/(2*'Inputs'!$B$12^2))-('Inputs'!$B$30*(3*341*'Inputs'!$B$12-341^2)/(2*'Inputs'!$B$12^2)),0)</x:f>
        <x:v>257555.12291236222</x:v>
      </x:c>
      <x:c r="E1440" s="78" t="n">
        <x:f>C1440+D1440</x:f>
        <x:v>858517.0763745457</x:v>
      </x:c>
      <x:c r="F1440" s="78" t="n">
        <x:f>'Inputs'!$B$13*E1440+(1-'Inputs'!$B$13)/'Inputs'!$B$14*SUM(E1385:E1440)</x:f>
        <x:v>868734.7532370031</x:v>
      </x:c>
      <x:c r="G1440" s="78" t="n">
        <x:f>F1440*'Inputs'!$F$47</x:f>
        <x:v>304057.1636329511</x:v>
      </x:c>
      <x:c r="H1440" s="78" t="n">
        <x:f>U1439</x:f>
        <x:v>1772689.6171606486</x:v>
      </x:c>
      <x:c r="I1440" s="78" t="n">
        <x:f>V1439</x:f>
        <x:v>46236.32625857434</x:v>
      </x:c>
      <x:c r="J1440" s="79" t="n">
        <x:f>IF(H1440&gt;0,I1440/H1440,0)</x:f>
        <x:v>0.026082584233009704</x:v>
      </x:c>
      <x:c r="K1440" s="80" t="n">
        <x:f>(H1440*J1440+I1440)*'Inputs'!$D$47*(1+'Inputs'!$G$47)^(B1440/30)</x:f>
        <x:v>194289.32343467948</x:v>
      </x:c>
      <x:c r="L1440" s="80" t="n">
        <x:f>MAX(0,K1440*'Inputs'!$E$47)</x:f>
        <x:v>9714.466171733975</x:v>
      </x:c>
      <x:c r="M1440" s="80" t="n">
        <x:f>MAX(0,-K1440*'Inputs'!$E$47)</x:f>
        <x:v>0</x:v>
      </x:c>
      <x:c r="N1440" s="78" t="n">
        <x:f>H1440*(L1440*(1-'Inputs'!$B$15))/(I1440+L1440*(1-'Inputs'!$B$15))</x:f>
        <x:v>305235.6769308345</x:v>
      </x:c>
      <x:c r="O1440" s="78" t="n">
        <x:f>H1440-N1440</x:f>
        <x:v>1467453.940229814</x:v>
      </x:c>
      <x:c r="P1440" s="78" t="n">
        <x:f>I1440+L1440*(1-'Inputs'!$B$17)</x:f>
        <x:v>55911.70001110617</x:v>
      </x:c>
      <x:c r="Q1440" s="78" t="n">
        <x:f>IF(J1440&gt;0,M1440/J1440,0)</x:f>
        <x:v>0</x:v>
      </x:c>
      <x:c r="R1440" s="78" t="n">
        <x:f>IF(B1440='Inputs'!$H$47,'Inputs'!$B$27*'Inputs'!$I$47,0)</x:f>
        <x:v>0</x:v>
      </x:c>
      <x:c r="S1440" s="78" t="n">
        <x:f>Q1440+G1440+R1440</x:f>
        <x:v>304057.1636329511</x:v>
      </x:c>
      <x:c r="T1440" s="78" t="n">
        <x:f>P1440*(S1440*(1-'Inputs'!$B$15))/(O1440+S1440*(1-'Inputs'!$B$15))</x:f>
        <x:v>9516.895579194013</x:v>
      </x:c>
      <x:c r="U1440" s="78" t="n">
        <x:f>O1440+S1440*(1-'Inputs'!$B$17)</x:f>
        <x:v>1770287.5337877835</x:v>
      </x:c>
      <x:c r="V1440" s="78" t="n">
        <x:f>P1440-T1440</x:f>
        <x:v>46394.804431912155</x:v>
      </x:c>
      <x:c r="W1440" s="79" t="n">
        <x:f>IF(U1440&gt;0,V1440/U1440,0)</x:f>
        <x:v>0.026207496548678638</x:v>
      </x:c>
      <x:c r="X1440" s="80" t="n">
        <x:f>W1440*('Inputs'!$B$6-AC1440)</x:f>
        <x:v>26064782.67953355</x:v>
      </x:c>
      <x:c r="Y1440" s="80" t="n">
        <x:f>2*V1440</x:f>
        <x:v>92789.60886382431</x:v>
      </x:c>
      <x:c r="Z1440" s="80" t="n">
        <x:f>K1440*'Inputs'!$B$16+(G1440+R1440)*J1440*'Inputs'!$B$16</x:f>
        <x:v>1213.3195201007156</x:v>
      </x:c>
      <x:c r="AA1440" s="80" t="n">
        <x:f>K1440*(1+'Inputs'!$E$47)/2*'Inputs'!$B$17</x:f>
        <x:v>410.4704016225623</x:v>
      </x:c>
      <x:c r="AB1440" s="78" t="n">
        <x:f>(IF(J1440&gt;0,K1440*(1-'Inputs'!$E$47)/2/J1440,0)+G1440+R1440)*'Inputs'!$B$17</x:f>
        <x:v>15462.112510144367</x:v>
      </x:c>
      <x:c r="AC1440" s="78" t="n">
        <x:f>AC1439+AB1440</x:f>
        <x:v>5445536.122842076</x:v>
      </x:c>
      <x:c r="AD1440" s="80" t="n">
        <x:f>Z1440/(1+'Inputs'!$C$47)</x:f>
        <x:v>485.32780804028624</x:v>
      </x:c>
      <x:c r="AE1440" s="80" t="n">
        <x:f>Z1440-AD1440</x:f>
        <x:v>727.9917120604293</x:v>
      </x:c>
      <x:c r="AF1440" s="80" t="n">
        <x:f>D1440*W1440</x:f>
        <x:v>6749.874994820235</x:v>
      </x:c>
      <x:c r="AG1440" s="80" t="n">
        <x:f>C1440*W1440</x:f>
        <x:v>15749.708321247346</x:v>
      </x:c>
      <x:c r="AH1440" s="80" t="n">
        <x:f>2*'Inputs'!$B$8*'Inputs'!$C$47</x:f>
        <x:v>7500</x:v>
      </x:c>
      <x:c r="AI1440" s="81" t="n">
        <x:f>IF(AH1440&gt;0,(AE1440+AF1440)/AH1440*365,0)</x:f>
        <x:v>363.92284640152565</x:v>
      </x:c>
      <x:c r="AJ1440" s="81" t="n">
        <x:f>IF('Inputs'!$B$47&gt;0,AG1440/('Inputs'!$B$19*'Inputs'!$B$47)*365,0)</x:f>
        <x:v>574.8643537255282</x:v>
      </x:c>
      <x:c r="AK1440" s="81" t="n">
        <x:f>W1440/MAX($W$1099:W1440)-1</x:f>
        <x:v>0</x:v>
      </x:c>
      <x:c r="AL1440" s="83" t="n">
        <x:f>'Inputs'!$B$47</x:f>
        <x:v>1</x:v>
      </x:c>
      <x:c r="AM1440" s="83" t="n">
        <x:f>'Inputs'!$C$47</x:f>
        <x:v>1.5</x:v>
      </x:c>
      <x:c r="AN1440" s="83" t="n">
        <x:f>'Inputs'!$D$47</x:f>
        <x:v>1.5</x:v>
      </x:c>
      <x:c r="AO1440" s="81" t="n">
        <x:f>'Inputs'!$E$47</x:f>
        <x:v>0.05</x:v>
      </x:c>
    </x:row>
    <x:row r="1441">
      <x:c r="A1441" s="59" t="str">
        <x:v>Growth</x:v>
      </x:c>
      <x:c r="B1441" s="59" t="n">
        <x:v>343</x:v>
      </x:c>
      <x:c r="C1441" s="78" t="n">
        <x:f>(('Inputs'!$B$29*(3*343*'Inputs'!$B$12-343^2)/(2*'Inputs'!$B$12^2))-('Inputs'!$B$29*(3*342*'Inputs'!$B$12-342^2)/(2*'Inputs'!$B$12^2)))*'Inputs'!$B$47</x:f>
        <x:v>600636.8455620408</x:v>
      </x:c>
      <x:c r="D1441" s="78" t="n">
        <x:f>IF('Inputs'!$C$47&gt;0,('Inputs'!$B$30*(3*343*'Inputs'!$B$12-343^2)/(2*'Inputs'!$B$12^2))-('Inputs'!$B$30*(3*342*'Inputs'!$B$12-342^2)/(2*'Inputs'!$B$12^2)),0)</x:f>
        <x:v>257415.7909551561</x:v>
      </x:c>
      <x:c r="E1441" s="78" t="n">
        <x:f>C1441+D1441</x:f>
        <x:v>858052.6365171969</x:v>
      </x:c>
      <x:c r="F1441" s="78" t="n">
        <x:f>'Inputs'!$B$13*E1441+(1-'Inputs'!$B$13)/'Inputs'!$B$14*SUM(E1386:E1441)</x:f>
        <x:v>868270.3133796263</x:v>
      </x:c>
      <x:c r="G1441" s="78" t="n">
        <x:f>F1441*'Inputs'!$F$47</x:f>
        <x:v>303894.60968286917</x:v>
      </x:c>
      <x:c r="H1441" s="78" t="n">
        <x:f>U1440</x:f>
        <x:v>1770287.5337877835</x:v>
      </x:c>
      <x:c r="I1441" s="78" t="n">
        <x:f>V1440</x:f>
        <x:v>46394.804431912155</x:v>
      </x:c>
      <x:c r="J1441" s="79" t="n">
        <x:f>IF(H1441&gt;0,I1441/H1441,0)</x:f>
        <x:v>0.026207496548678638</x:v>
      </x:c>
      <x:c r="K1441" s="80" t="n">
        <x:f>(H1441*J1441+I1441)*'Inputs'!$D$47*(1+'Inputs'!$G$47)^(B1441/30)</x:f>
        <x:v>195147.44618929704</x:v>
      </x:c>
      <x:c r="L1441" s="80" t="n">
        <x:f>MAX(0,K1441*'Inputs'!$E$47)</x:f>
        <x:v>9757.372309464852</x:v>
      </x:c>
      <x:c r="M1441" s="80" t="n">
        <x:f>MAX(0,-K1441*'Inputs'!$E$47)</x:f>
        <x:v>0</x:v>
      </x:c>
      <x:c r="N1441" s="78" t="n">
        <x:f>H1441*(L1441*(1-'Inputs'!$B$15))/(I1441+L1441*(1-'Inputs'!$B$15))</x:f>
        <x:v>305070.7719894941</x:v>
      </x:c>
      <x:c r="O1441" s="78" t="n">
        <x:f>H1441-N1441</x:f>
        <x:v>1465216.7617982894</x:v>
      </x:c>
      <x:c r="P1441" s="78" t="n">
        <x:f>I1441+L1441*(1-'Inputs'!$B$17)</x:f>
        <x:v>56112.91166166085</x:v>
      </x:c>
      <x:c r="Q1441" s="78" t="n">
        <x:f>IF(J1441&gt;0,M1441/J1441,0)</x:f>
        <x:v>0</x:v>
      </x:c>
      <x:c r="R1441" s="78" t="n">
        <x:f>IF(B1441='Inputs'!$H$47,'Inputs'!$B$27*'Inputs'!$I$47,0)</x:f>
        <x:v>0</x:v>
      </x:c>
      <x:c r="S1441" s="78" t="n">
        <x:f>Q1441+G1441+R1441</x:f>
        <x:v>303894.60968286917</x:v>
      </x:c>
      <x:c r="T1441" s="78" t="n">
        <x:f>P1441*(S1441*(1-'Inputs'!$B$15))/(O1441+S1441*(1-'Inputs'!$B$15))</x:f>
        <x:v>9559.000543276155</x:v>
      </x:c>
      <x:c r="U1441" s="78" t="n">
        <x:f>O1441+S1441*(1-'Inputs'!$B$17)</x:f>
        <x:v>1767888.455546821</x:v>
      </x:c>
      <x:c r="V1441" s="78" t="n">
        <x:f>P1441-T1441</x:f>
        <x:v>46553.9111183847</x:v>
      </x:c>
      <x:c r="W1441" s="79" t="n">
        <x:f>IF(U1441&gt;0,V1441/U1441,0)</x:f>
        <x:v>0.026333059063947124</x:v>
      </x:c>
      <x:c r="X1441" s="80" t="n">
        <x:f>W1441*('Inputs'!$B$6-AC1441)</x:f>
        <x:v>26189254.431050014</x:v>
      </x:c>
      <x:c r="Y1441" s="80" t="n">
        <x:f>2*V1441</x:f>
        <x:v>93107.8222367694</x:v>
      </x:c>
      <x:c r="Z1441" s="80" t="n">
        <x:f>K1441*'Inputs'!$B$16+(G1441+R1441)*J1441*'Inputs'!$B$16</x:f>
        <x:v>1218.6705787423373</x:v>
      </x:c>
      <x:c r="AA1441" s="80" t="n">
        <x:f>K1441*(1+'Inputs'!$E$47)/2*'Inputs'!$B$17</x:f>
        <x:v>412.2833370196417</x:v>
      </x:c>
      <x:c r="AB1441" s="78" t="n">
        <x:f>(IF(J1441&gt;0,K1441*(1-'Inputs'!$E$47)/2/J1441,0)+G1441+R1441)*'Inputs'!$B$17</x:f>
        <x:v>15456.181466229467</x:v>
      </x:c>
      <x:c r="AC1441" s="78" t="n">
        <x:f>AC1440+AB1441</x:f>
        <x:v>5460992.3043083055</x:v>
      </x:c>
      <x:c r="AD1441" s="80" t="n">
        <x:f>Z1441/(1+'Inputs'!$C$47)</x:f>
        <x:v>487.4682314969349</x:v>
      </x:c>
      <x:c r="AE1441" s="80" t="n">
        <x:f>Z1441-AD1441</x:f>
        <x:v>731.2023472454024</x:v>
      </x:c>
      <x:c r="AF1441" s="80" t="n">
        <x:f>D1441*W1441</x:f>
        <x:v>6778.545227214791</x:v>
      </x:c>
      <x:c r="AG1441" s="80" t="n">
        <x:f>C1441*W1441</x:f>
        <x:v>15816.605530168108</x:v>
      </x:c>
      <x:c r="AH1441" s="80" t="n">
        <x:f>2*'Inputs'!$B$8*'Inputs'!$C$47</x:f>
        <x:v>7500</x:v>
      </x:c>
      <x:c r="AI1441" s="81" t="n">
        <x:f>IF(AH1441&gt;0,(AE1441+AF1441)/AH1441*365,0)</x:f>
        <x:v>365.47438195706275</x:v>
      </x:c>
      <x:c r="AJ1441" s="81" t="n">
        <x:f>IF('Inputs'!$B$47&gt;0,AG1441/('Inputs'!$B$19*'Inputs'!$B$47)*365,0)</x:f>
        <x:v>577.306101851136</x:v>
      </x:c>
      <x:c r="AK1441" s="81" t="n">
        <x:f>W1441/MAX($W$1099:W1441)-1</x:f>
        <x:v>0</x:v>
      </x:c>
      <x:c r="AL1441" s="83" t="n">
        <x:f>'Inputs'!$B$47</x:f>
        <x:v>1</x:v>
      </x:c>
      <x:c r="AM1441" s="83" t="n">
        <x:f>'Inputs'!$C$47</x:f>
        <x:v>1.5</x:v>
      </x:c>
      <x:c r="AN1441" s="83" t="n">
        <x:f>'Inputs'!$D$47</x:f>
        <x:v>1.5</x:v>
      </x:c>
      <x:c r="AO1441" s="81" t="n">
        <x:f>'Inputs'!$E$47</x:f>
        <x:v>0.05</x:v>
      </x:c>
    </x:row>
    <x:row r="1442">
      <x:c r="A1442" s="59" t="str">
        <x:v>Growth</x:v>
      </x:c>
      <x:c r="B1442" s="59" t="n">
        <x:v>344</x:v>
      </x:c>
      <x:c r="C1442" s="78" t="n">
        <x:f>(('Inputs'!$B$29*(3*344*'Inputs'!$B$12-344^2)/(2*'Inputs'!$B$12^2))-('Inputs'!$B$29*(3*343*'Inputs'!$B$12-343^2)/(2*'Inputs'!$B$12^2)))*'Inputs'!$B$47</x:f>
        <x:v>600311.7376618385</x:v>
      </x:c>
      <x:c r="D1442" s="78" t="n">
        <x:f>IF('Inputs'!$C$47&gt;0,('Inputs'!$B$30*(3*344*'Inputs'!$B$12-344^2)/(2*'Inputs'!$B$12^2))-('Inputs'!$B$30*(3*343*'Inputs'!$B$12-343^2)/(2*'Inputs'!$B$12^2)),0)</x:f>
        <x:v>257276.45899793506</x:v>
      </x:c>
      <x:c r="E1442" s="78" t="n">
        <x:f>C1442+D1442</x:f>
        <x:v>857588.1966597736</x:v>
      </x:c>
      <x:c r="F1442" s="78" t="n">
        <x:f>'Inputs'!$B$13*E1442+(1-'Inputs'!$B$13)/'Inputs'!$B$14*SUM(E1387:E1442)</x:f>
        <x:v>867805.8735222345</x:v>
      </x:c>
      <x:c r="G1442" s="78" t="n">
        <x:f>F1442*'Inputs'!$F$47</x:f>
        <x:v>303732.05573278206</x:v>
      </x:c>
      <x:c r="H1442" s="78" t="n">
        <x:f>U1441</x:f>
        <x:v>1767888.455546821</x:v>
      </x:c>
      <x:c r="I1442" s="78" t="n">
        <x:f>V1441</x:f>
        <x:v>46553.9111183847</x:v>
      </x:c>
      <x:c r="J1442" s="79" t="n">
        <x:f>IF(H1442&gt;0,I1442/H1442,0)</x:f>
        <x:v>0.026333059063947124</x:v>
      </x:c>
      <x:c r="K1442" s="80" t="n">
        <x:f>(H1442*J1442+I1442)*'Inputs'!$D$47*(1+'Inputs'!$G$47)^(B1442/30)</x:f>
        <x:v>196009.718259985</x:v>
      </x:c>
      <x:c r="L1442" s="80" t="n">
        <x:f>MAX(0,K1442*'Inputs'!$E$47)</x:f>
        <x:v>9800.485912999251</x:v>
      </x:c>
      <x:c r="M1442" s="80" t="n">
        <x:f>MAX(0,-K1442*'Inputs'!$E$47)</x:f>
        <x:v>0</x:v>
      </x:c>
      <x:c r="N1442" s="78" t="n">
        <x:f>H1442*(L1442*(1-'Inputs'!$B$15))/(I1442+L1442*(1-'Inputs'!$B$15))</x:f>
        <x:v>304905.8708346595</x:v>
      </x:c>
      <x:c r="O1442" s="78" t="n">
        <x:f>H1442-N1442</x:f>
        <x:v>1462982.5847121614</x:v>
      </x:c>
      <x:c r="P1442" s="78" t="n">
        <x:f>I1442+L1442*(1-'Inputs'!$B$17)</x:f>
        <x:v>56314.95845628134</x:v>
      </x:c>
      <x:c r="Q1442" s="78" t="n">
        <x:f>IF(J1442&gt;0,M1442/J1442,0)</x:f>
        <x:v>0</x:v>
      </x:c>
      <x:c r="R1442" s="78" t="n">
        <x:f>IF(B1442='Inputs'!$H$47,'Inputs'!$B$27*'Inputs'!$I$47,0)</x:f>
        <x:v>0</x:v>
      </x:c>
      <x:c r="S1442" s="78" t="n">
        <x:f>Q1442+G1442+R1442</x:f>
        <x:v>303732.05573278206</x:v>
      </x:c>
      <x:c r="T1442" s="78" t="n">
        <x:f>P1442*(S1442*(1-'Inputs'!$B$15))/(O1442+S1442*(1-'Inputs'!$B$15))</x:f>
        <x:v>9601.309337303981</x:v>
      </x:c>
      <x:c r="U1442" s="78" t="n">
        <x:f>O1442+S1442*(1-'Inputs'!$B$17)</x:f>
        <x:v>1765492.3786512502</x:v>
      </x:c>
      <x:c r="V1442" s="78" t="n">
        <x:f>P1442-T1442</x:f>
        <x:v>46713.64911897736</x:v>
      </x:c>
      <x:c r="W1442" s="79" t="n">
        <x:f>IF(U1442&gt;0,V1442/U1442,0)</x:f>
        <x:v>0.026459275431516903</x:v>
      </x:c>
      <x:c r="X1442" s="80" t="n">
        <x:f>W1442*('Inputs'!$B$6-AC1442)</x:f>
        <x:v>26314372.729577854</x:v>
      </x:c>
      <x:c r="Y1442" s="80" t="n">
        <x:f>2*V1442</x:f>
        <x:v>93427.29823795472</x:v>
      </x:c>
      <x:c r="Z1442" s="80" t="n">
        <x:f>K1442*'Inputs'!$B$16+(G1442+R1442)*J1442*'Inputs'!$B$16</x:f>
        <x:v>1224.0474745392626</x:v>
      </x:c>
      <x:c r="AA1442" s="80" t="n">
        <x:f>K1442*(1+'Inputs'!$E$47)/2*'Inputs'!$B$17</x:f>
        <x:v>414.10503857743316</x:v>
      </x:c>
      <x:c r="AB1442" s="78" t="n">
        <x:f>(IF(J1442&gt;0,K1442*(1-'Inputs'!$E$47)/2/J1442,0)+G1442+R1442)*'Inputs'!$B$17</x:f>
        <x:v>15450.250367484943</x:v>
      </x:c>
      <x:c r="AC1442" s="78" t="n">
        <x:f>AC1441+AB1442</x:f>
        <x:v>5476442.5546757905</x:v>
      </x:c>
      <x:c r="AD1442" s="80" t="n">
        <x:f>Z1442/(1+'Inputs'!$C$47)</x:f>
        <x:v>489.61898981570505</x:v>
      </x:c>
      <x:c r="AE1442" s="80" t="n">
        <x:f>Z1442-AD1442</x:f>
        <x:v>734.4284847235575</x:v>
      </x:c>
      <x:c r="AF1442" s="80" t="n">
        <x:f>D1442*W1442</x:f>
        <x:v>6807.348690671729</x:v>
      </x:c>
      <x:c r="AG1442" s="80" t="n">
        <x:f>C1442*W1442</x:f>
        <x:v>15883.813611567104</x:v>
      </x:c>
      <x:c r="AH1442" s="80" t="n">
        <x:f>2*'Inputs'!$B$8*'Inputs'!$C$47</x:f>
        <x:v>7500</x:v>
      </x:c>
      <x:c r="AI1442" s="81" t="n">
        <x:f>IF(AH1442&gt;0,(AE1442+AF1442)/AH1442*365,0)</x:f>
        <x:v>367.03315586923725</x:v>
      </x:c>
      <x:c r="AJ1442" s="81" t="n">
        <x:f>IF('Inputs'!$B$47&gt;0,AG1442/('Inputs'!$B$19*'Inputs'!$B$47)*365,0)</x:f>
        <x:v>579.7591968221993</x:v>
      </x:c>
      <x:c r="AK1442" s="81" t="n">
        <x:f>W1442/MAX($W$1099:W1442)-1</x:f>
        <x:v>0</x:v>
      </x:c>
      <x:c r="AL1442" s="83" t="n">
        <x:f>'Inputs'!$B$47</x:f>
        <x:v>1</x:v>
      </x:c>
      <x:c r="AM1442" s="83" t="n">
        <x:f>'Inputs'!$C$47</x:f>
        <x:v>1.5</x:v>
      </x:c>
      <x:c r="AN1442" s="83" t="n">
        <x:f>'Inputs'!$D$47</x:f>
        <x:v>1.5</x:v>
      </x:c>
      <x:c r="AO1442" s="81" t="n">
        <x:f>'Inputs'!$E$47</x:f>
        <x:v>0.05</x:v>
      </x:c>
    </x:row>
    <x:row r="1443">
      <x:c r="A1443" s="59" t="str">
        <x:v>Growth</x:v>
      </x:c>
      <x:c r="B1443" s="59" t="n">
        <x:v>345</x:v>
      </x:c>
      <x:c r="C1443" s="78" t="n">
        <x:f>(('Inputs'!$B$29*(3*345*'Inputs'!$B$12-345^2)/(2*'Inputs'!$B$12^2))-('Inputs'!$B$29*(3*344*'Inputs'!$B$12-344^2)/(2*'Inputs'!$B$12^2)))*'Inputs'!$B$47</x:f>
        <x:v>599986.6297616661</x:v>
      </x:c>
      <x:c r="D1443" s="78" t="n">
        <x:f>IF('Inputs'!$C$47&gt;0,('Inputs'!$B$30*(3*345*'Inputs'!$B$12-345^2)/(2*'Inputs'!$B$12^2))-('Inputs'!$B$30*(3*344*'Inputs'!$B$12-344^2)/(2*'Inputs'!$B$12^2)),0)</x:f>
        <x:v>257137.12704072893</x:v>
      </x:c>
      <x:c r="E1443" s="78" t="n">
        <x:f>C1443+D1443</x:f>
        <x:v>857123.756802395</x:v>
      </x:c>
      <x:c r="F1443" s="78" t="n">
        <x:f>'Inputs'!$B$13*E1443+(1-'Inputs'!$B$13)/'Inputs'!$B$14*SUM(E1388:E1443)</x:f>
        <x:v>867341.4336648512</x:v>
      </x:c>
      <x:c r="G1443" s="78" t="n">
        <x:f>F1443*'Inputs'!$F$47</x:f>
        <x:v>303569.5017826979</x:v>
      </x:c>
      <x:c r="H1443" s="78" t="n">
        <x:f>U1442</x:f>
        <x:v>1765492.3786512502</x:v>
      </x:c>
      <x:c r="I1443" s="78" t="n">
        <x:f>V1442</x:f>
        <x:v>46713.64911897736</x:v>
      </x:c>
      <x:c r="J1443" s="79" t="n">
        <x:f>IF(H1443&gt;0,I1443/H1443,0)</x:f>
        <x:v>0.026459275431516903</x:v>
      </x:c>
      <x:c r="K1443" s="80" t="n">
        <x:f>(H1443*J1443+I1443)*'Inputs'!$D$47*(1+'Inputs'!$G$47)^(B1443/30)</x:f>
        <x:v>196876.16140696013</x:v>
      </x:c>
      <x:c r="L1443" s="80" t="n">
        <x:f>MAX(0,K1443*'Inputs'!$E$47)</x:f>
        <x:v>9843.808070348008</x:v>
      </x:c>
      <x:c r="M1443" s="80" t="n">
        <x:f>MAX(0,-K1443*'Inputs'!$E$47)</x:f>
        <x:v>0</x:v>
      </x:c>
      <x:c r="N1443" s="78" t="n">
        <x:f>H1443*(L1443*(1-'Inputs'!$B$15))/(I1443+L1443*(1-'Inputs'!$B$15))</x:f>
        <x:v>304740.97346169775</x:v>
      </x:c>
      <x:c r="O1443" s="78" t="n">
        <x:f>H1443-N1443</x:f>
        <x:v>1460751.4051895523</x:v>
      </x:c>
      <x:c r="P1443" s="78" t="n">
        <x:f>I1443+L1443*(1-'Inputs'!$B$17)</x:f>
        <x:v>56517.84427958554</x:v>
      </x:c>
      <x:c r="Q1443" s="78" t="n">
        <x:f>IF(J1443&gt;0,M1443/J1443,0)</x:f>
        <x:v>0</x:v>
      </x:c>
      <x:c r="R1443" s="78" t="n">
        <x:f>IF(B1443='Inputs'!$H$47,'Inputs'!$B$27*'Inputs'!$I$47,0)</x:f>
        <x:v>0</x:v>
      </x:c>
      <x:c r="S1443" s="78" t="n">
        <x:f>Q1443+G1443+R1443</x:f>
        <x:v>303569.5017826979</x:v>
      </x:c>
      <x:c r="T1443" s="78" t="n">
        <x:f>P1443*(S1443*(1-'Inputs'!$B$15))/(O1443+S1443*(1-'Inputs'!$B$15))</x:f>
        <x:v>9643.823031160247</x:v>
      </x:c>
      <x:c r="U1443" s="78" t="n">
        <x:f>O1443+S1443*(1-'Inputs'!$B$17)</x:f>
        <x:v>1763099.2993192011</x:v>
      </x:c>
      <x:c r="V1443" s="78" t="n">
        <x:f>P1443-T1443</x:f>
        <x:v>46874.02124842529</x:v>
      </x:c>
      <x:c r="W1443" s="79" t="n">
        <x:f>IF(U1443&gt;0,V1443/U1443,0)</x:f>
        <x:v>0.026586149326090203</x:v>
      </x:c>
      <x:c r="X1443" s="80" t="n">
        <x:f>W1443*('Inputs'!$B$6-AC1443)</x:f>
        <x:v>26440141.201579023</x:v>
      </x:c>
      <x:c r="Y1443" s="80" t="n">
        <x:f>2*V1443</x:f>
        <x:v>93748.04249685058</x:v>
      </x:c>
      <x:c r="Z1443" s="80" t="n">
        <x:f>K1443*'Inputs'!$B$16+(G1443+R1443)*J1443*'Inputs'!$B$16</x:f>
        <x:v>1229.4503428034213</x:v>
      </x:c>
      <x:c r="AA1443" s="80" t="n">
        <x:f>K1443*(1+'Inputs'!$E$47)/2*'Inputs'!$B$17</x:f>
        <x:v>415.9355522682257</x:v>
      </x:c>
      <x:c r="AB1443" s="78" t="n">
        <x:f>(IF(J1443&gt;0,K1443*(1-'Inputs'!$E$47)/2/J1443,0)+G1443+R1443)*'Inputs'!$B$17</x:f>
        <x:v>15444.319212268081</x:v>
      </x:c>
      <x:c r="AC1443" s="78" t="n">
        <x:f>AC1442+AB1443</x:f>
        <x:v>5491886.873888059</x:v>
      </x:c>
      <x:c r="AD1443" s="80" t="n">
        <x:f>Z1443/(1+'Inputs'!$C$47)</x:f>
        <x:v>491.7801371213685</x:v>
      </x:c>
      <x:c r="AE1443" s="80" t="n">
        <x:f>Z1443-AD1443</x:f>
        <x:v>737.6702056820528</x:v>
      </x:c>
      <x:c r="AF1443" s="80" t="n">
        <x:f>D1443*W1443</x:f>
        <x:v>6836.286056786646</x:v>
      </x:c>
      <x:c r="AG1443" s="80" t="n">
        <x:f>C1443*W1443</x:f>
        <x:v>15951.33413250125</x:v>
      </x:c>
      <x:c r="AH1443" s="80" t="n">
        <x:f>2*'Inputs'!$B$8*'Inputs'!$C$47</x:f>
        <x:v>7500</x:v>
      </x:c>
      <x:c r="AI1443" s="81" t="n">
        <x:f>IF(AH1443&gt;0,(AE1443+AF1443)/AH1443*365,0)</x:f>
        <x:v>368.59920477347674</x:v>
      </x:c>
      <x:c r="AJ1443" s="81" t="n">
        <x:f>IF('Inputs'!$B$47&gt;0,AG1443/('Inputs'!$B$19*'Inputs'!$B$47)*365,0)</x:f>
        <x:v>582.2236958362956</x:v>
      </x:c>
      <x:c r="AK1443" s="81" t="n">
        <x:f>W1443/MAX($W$1099:W1443)-1</x:f>
        <x:v>0</x:v>
      </x:c>
      <x:c r="AL1443" s="83" t="n">
        <x:f>'Inputs'!$B$47</x:f>
        <x:v>1</x:v>
      </x:c>
      <x:c r="AM1443" s="83" t="n">
        <x:f>'Inputs'!$C$47</x:f>
        <x:v>1.5</x:v>
      </x:c>
      <x:c r="AN1443" s="83" t="n">
        <x:f>'Inputs'!$D$47</x:f>
        <x:v>1.5</x:v>
      </x:c>
      <x:c r="AO1443" s="81" t="n">
        <x:f>'Inputs'!$E$47</x:f>
        <x:v>0.05</x:v>
      </x:c>
    </x:row>
    <x:row r="1444">
      <x:c r="A1444" s="59" t="str">
        <x:v>Growth</x:v>
      </x:c>
      <x:c r="B1444" s="59" t="n">
        <x:v>346</x:v>
      </x:c>
      <x:c r="C1444" s="78" t="n">
        <x:f>(('Inputs'!$B$29*(3*346*'Inputs'!$B$12-346^2)/(2*'Inputs'!$B$12^2))-('Inputs'!$B$29*(3*345*'Inputs'!$B$12-345^2)/(2*'Inputs'!$B$12^2)))*'Inputs'!$B$47</x:f>
        <x:v>599661.5218615234</x:v>
      </x:c>
      <x:c r="D1444" s="78" t="n">
        <x:f>IF('Inputs'!$C$47&gt;0,('Inputs'!$B$30*(3*346*'Inputs'!$B$12-346^2)/(2*'Inputs'!$B$12^2))-('Inputs'!$B$30*(3*345*'Inputs'!$B$12-345^2)/(2*'Inputs'!$B$12^2)),0)</x:f>
        <x:v>256997.795083493</x:v>
      </x:c>
      <x:c r="E1444" s="78" t="n">
        <x:f>C1444+D1444</x:f>
        <x:v>856659.3169450164</x:v>
      </x:c>
      <x:c r="F1444" s="78" t="n">
        <x:f>'Inputs'!$B$13*E1444+(1-'Inputs'!$B$13)/'Inputs'!$B$14*SUM(E1389:E1444)</x:f>
        <x:v>866876.9938074681</x:v>
      </x:c>
      <x:c r="G1444" s="78" t="n">
        <x:f>F1444*'Inputs'!$F$47</x:f>
        <x:v>303406.94783261383</x:v>
      </x:c>
      <x:c r="H1444" s="78" t="n">
        <x:f>U1443</x:f>
        <x:v>1763099.2993192011</x:v>
      </x:c>
      <x:c r="I1444" s="78" t="n">
        <x:f>V1443</x:f>
        <x:v>46874.02124842529</x:v>
      </x:c>
      <x:c r="J1444" s="79" t="n">
        <x:f>IF(H1444&gt;0,I1444/H1444,0)</x:f>
        <x:v>0.026586149326090203</x:v>
      </x:c>
      <x:c r="K1444" s="80" t="n">
        <x:f>(H1444*J1444+I1444)*'Inputs'!$D$47*(1+'Inputs'!$G$47)^(B1444/30)</x:f>
        <x:v>197746.79751316</x:v>
      </x:c>
      <x:c r="L1444" s="80" t="n">
        <x:f>MAX(0,K1444*'Inputs'!$E$47)</x:f>
        <x:v>9887.339875658</x:v>
      </x:c>
      <x:c r="M1444" s="80" t="n">
        <x:f>MAX(0,-K1444*'Inputs'!$E$47)</x:f>
        <x:v>0</x:v>
      </x:c>
      <x:c r="N1444" s="78" t="n">
        <x:f>H1444*(L1444*(1-'Inputs'!$B$15))/(I1444+L1444*(1-'Inputs'!$B$15))</x:f>
        <x:v>304576.07986598293</x:v>
      </x:c>
      <x:c r="O1444" s="78" t="n">
        <x:f>H1444-N1444</x:f>
        <x:v>1458523.2194532182</x:v>
      </x:c>
      <x:c r="P1444" s="78" t="n">
        <x:f>I1444+L1444*(1-'Inputs'!$B$17)</x:f>
        <x:v>56721.573036052476</x:v>
      </x:c>
      <x:c r="Q1444" s="78" t="n">
        <x:f>IF(J1444&gt;0,M1444/J1444,0)</x:f>
        <x:v>0</x:v>
      </x:c>
      <x:c r="R1444" s="78" t="n">
        <x:f>IF(B1444='Inputs'!$H$47,'Inputs'!$B$27*'Inputs'!$I$47,0)</x:f>
        <x:v>0</x:v>
      </x:c>
      <x:c r="S1444" s="78" t="n">
        <x:f>Q1444+G1444+R1444</x:f>
        <x:v>303406.94783261383</x:v>
      </x:c>
      <x:c r="T1444" s="78" t="n">
        <x:f>P1444*(S1444*(1-'Inputs'!$B$15))/(O1444+S1444*(1-'Inputs'!$B$15))</x:f>
        <x:v>9686.542700765398</x:v>
      </x:c>
      <x:c r="U1444" s="78" t="n">
        <x:f>O1444+S1444*(1-'Inputs'!$B$17)</x:f>
        <x:v>1760709.213773427</x:v>
      </x:c>
      <x:c r="V1444" s="78" t="n">
        <x:f>P1444-T1444</x:f>
        <x:v>47035.030335287076</x:v>
      </x:c>
      <x:c r="W1444" s="79" t="n">
        <x:f>IF(U1444&gt;0,V1444/U1444,0)</x:f>
        <x:v>0.026713684444511387</x:v>
      </x:c>
      <x:c r="X1444" s="80" t="n">
        <x:f>W1444*('Inputs'!$B$6-AC1444)</x:f>
        <x:v>26566563.495332055</x:v>
      </x:c>
      <x:c r="Y1444" s="80" t="n">
        <x:f>2*V1444</x:f>
        <x:v>94070.06067057415</x:v>
      </x:c>
      <x:c r="Z1444" s="80" t="n">
        <x:f>K1444*'Inputs'!$B$16+(G1444+R1444)*J1444*'Inputs'!$B$16</x:f>
        <x:v>1234.8793196088668</x:v>
      </x:c>
      <x:c r="AA1444" s="80" t="n">
        <x:f>K1444*(1+'Inputs'!$E$47)/2*'Inputs'!$B$17</x:f>
        <x:v>417.7749243235775</x:v>
      </x:c>
      <x:c r="AB1444" s="78" t="n">
        <x:f>(IF(J1444&gt;0,K1444*(1-'Inputs'!$E$47)/2/J1444,0)+G1444+R1444)*'Inputs'!$B$17</x:f>
        <x:v>15438.387998933735</x:v>
      </x:c>
      <x:c r="AC1444" s="78" t="n">
        <x:f>AC1443+AB1444</x:f>
        <x:v>5507325.2618869925</x:v>
      </x:c>
      <x:c r="AD1444" s="80" t="n">
        <x:f>Z1444/(1+'Inputs'!$C$47)</x:f>
        <x:v>493.95172784354673</x:v>
      </x:c>
      <x:c r="AE1444" s="80" t="n">
        <x:f>Z1444-AD1444</x:f>
        <x:v>740.9275917653201</x:v>
      </x:c>
      <x:c r="AF1444" s="80" t="n">
        <x:f>D1444*W1444</x:f>
        <x:v>6865.358000795632</x:v>
      </x:c>
      <x:c r="AG1444" s="80" t="n">
        <x:f>C1444*W1444</x:f>
        <x:v>16019.168668524202</x:v>
      </x:c>
      <x:c r="AH1444" s="80" t="n">
        <x:f>2*'Inputs'!$B$8*'Inputs'!$C$47</x:f>
        <x:v>7500</x:v>
      </x:c>
      <x:c r="AI1444" s="81" t="n">
        <x:f>IF(AH1444&gt;0,(AE1444+AF1444)/AH1444*365,0)</x:f>
        <x:v>370.172565504633</x:v>
      </x:c>
      <x:c r="AJ1444" s="81" t="n">
        <x:f>IF('Inputs'!$B$47&gt;0,AG1444/('Inputs'!$B$19*'Inputs'!$B$47)*365,0)</x:f>
        <x:v>584.6996564011333</x:v>
      </x:c>
      <x:c r="AK1444" s="81" t="n">
        <x:f>W1444/MAX($W$1099:W1444)-1</x:f>
        <x:v>0</x:v>
      </x:c>
      <x:c r="AL1444" s="83" t="n">
        <x:f>'Inputs'!$B$47</x:f>
        <x:v>1</x:v>
      </x:c>
      <x:c r="AM1444" s="83" t="n">
        <x:f>'Inputs'!$C$47</x:f>
        <x:v>1.5</x:v>
      </x:c>
      <x:c r="AN1444" s="83" t="n">
        <x:f>'Inputs'!$D$47</x:f>
        <x:v>1.5</x:v>
      </x:c>
      <x:c r="AO1444" s="81" t="n">
        <x:f>'Inputs'!$E$47</x:f>
        <x:v>0.05</x:v>
      </x:c>
    </x:row>
    <x:row r="1445">
      <x:c r="A1445" s="59" t="str">
        <x:v>Growth</x:v>
      </x:c>
      <x:c r="B1445" s="59" t="n">
        <x:v>347</x:v>
      </x:c>
      <x:c r="C1445" s="78" t="n">
        <x:f>(('Inputs'!$B$29*(3*347*'Inputs'!$B$12-347^2)/(2*'Inputs'!$B$12^2))-('Inputs'!$B$29*(3*346*'Inputs'!$B$12-346^2)/(2*'Inputs'!$B$12^2)))*'Inputs'!$B$47</x:f>
        <x:v>599336.4139613509</x:v>
      </x:c>
      <x:c r="D1445" s="78" t="n">
        <x:f>IF('Inputs'!$C$47&gt;0,('Inputs'!$B$30*(3*347*'Inputs'!$B$12-347^2)/(2*'Inputs'!$B$12^2))-('Inputs'!$B$30*(3*346*'Inputs'!$B$12-346^2)/(2*'Inputs'!$B$12^2)),0)</x:f>
        <x:v>256858.46312630177</x:v>
      </x:c>
      <x:c r="E1445" s="78" t="n">
        <x:f>C1445+D1445</x:f>
        <x:v>856194.8770876527</x:v>
      </x:c>
      <x:c r="F1445" s="78" t="n">
        <x:f>'Inputs'!$B$13*E1445+(1-'Inputs'!$B$13)/'Inputs'!$B$14*SUM(E1390:E1445)</x:f>
        <x:v>866412.5539500884</x:v>
      </x:c>
      <x:c r="G1445" s="78" t="n">
        <x:f>F1445*'Inputs'!$F$47</x:f>
        <x:v>303244.3938825309</x:v>
      </x:c>
      <x:c r="H1445" s="78" t="n">
        <x:f>U1444</x:f>
        <x:v>1760709.213773427</x:v>
      </x:c>
      <x:c r="I1445" s="78" t="n">
        <x:f>V1444</x:f>
        <x:v>47035.030335287076</x:v>
      </x:c>
      <x:c r="J1445" s="79" t="n">
        <x:f>IF(H1445&gt;0,I1445/H1445,0)</x:f>
        <x:v>0.026713684444511387</x:v>
      </x:c>
      <x:c r="K1445" s="80" t="n">
        <x:f>(H1445*J1445+I1445)*'Inputs'!$D$47*(1+'Inputs'!$G$47)^(B1445/30)</x:f>
        <x:v>198621.6485849834</x:v>
      </x:c>
      <x:c r="L1445" s="80" t="n">
        <x:f>MAX(0,K1445*'Inputs'!$E$47)</x:f>
        <x:v>9931.08242924917</x:v>
      </x:c>
      <x:c r="M1445" s="80" t="n">
        <x:f>MAX(0,-K1445*'Inputs'!$E$47)</x:f>
        <x:v>0</x:v>
      </x:c>
      <x:c r="N1445" s="78" t="n">
        <x:f>H1445*(L1445*(1-'Inputs'!$B$15))/(I1445+L1445*(1-'Inputs'!$B$15))</x:f>
        <x:v>304411.1900428944</x:v>
      </x:c>
      <x:c r="O1445" s="78" t="n">
        <x:f>H1445-N1445</x:f>
        <x:v>1456298.0237305327</x:v>
      </x:c>
      <x:c r="P1445" s="78" t="n">
        <x:f>I1445+L1445*(1-'Inputs'!$B$17)</x:f>
        <x:v>56926.14865013283</x:v>
      </x:c>
      <x:c r="Q1445" s="78" t="n">
        <x:f>IF(J1445&gt;0,M1445/J1445,0)</x:f>
        <x:v>0</x:v>
      </x:c>
      <x:c r="R1445" s="78" t="n">
        <x:f>IF(B1445='Inputs'!$H$47,'Inputs'!$B$27*'Inputs'!$I$47,0)</x:f>
        <x:v>0</x:v>
      </x:c>
      <x:c r="S1445" s="78" t="n">
        <x:f>Q1445+G1445+R1445</x:f>
        <x:v>303244.3938825309</x:v>
      </x:c>
      <x:c r="T1445" s="78" t="n">
        <x:f>P1445*(S1445*(1-'Inputs'!$B$15))/(O1445+S1445*(1-'Inputs'!$B$15))</x:f>
        <x:v>9729.469428114451</x:v>
      </x:c>
      <x:c r="U1445" s="78" t="n">
        <x:f>O1445+S1445*(1-'Inputs'!$B$17)</x:f>
        <x:v>1758322.118241303</x:v>
      </x:c>
      <x:c r="V1445" s="78" t="n">
        <x:f>P1445-T1445</x:f>
        <x:v>47196.679222018385</x:v>
      </x:c>
      <x:c r="W1445" s="79" t="n">
        <x:f>IF(U1445&gt;0,V1445/U1445,0)</x:f>
        <x:v>0.026841884505909037</x:v>
      </x:c>
      <x:c r="X1445" s="80" t="n">
        <x:f>W1445*('Inputs'!$B$6-AC1445)</x:f>
        <x:v>26693643.281071916</x:v>
      </x:c>
      <x:c r="Y1445" s="80" t="n">
        <x:f>2*V1445</x:f>
        <x:v>94393.35844403677</x:v>
      </x:c>
      <x:c r="Z1445" s="80" t="n">
        <x:f>K1445*'Inputs'!$B$16+(G1445+R1445)*J1445*'Inputs'!$B$16</x:f>
        <x:v>1240.3345417963708</x:v>
      </x:c>
      <x:c r="AA1445" s="80" t="n">
        <x:f>K1445*(1+'Inputs'!$E$47)/2*'Inputs'!$B$17</x:f>
        <x:v>419.6232012358805</x:v>
      </x:c>
      <x:c r="AB1445" s="78" t="n">
        <x:f>(IF(J1445&gt;0,K1445*(1-'Inputs'!$E$47)/2/J1445,0)+G1445+R1445)*'Inputs'!$B$17</x:f>
        <x:v>15432.456725834258</x:v>
      </x:c>
      <x:c r="AC1445" s="78" t="n">
        <x:f>AC1444+AB1445</x:f>
        <x:v>5522757.718612826</x:v>
      </x:c>
      <x:c r="AD1445" s="80" t="n">
        <x:f>Z1445/(1+'Inputs'!$C$47)</x:f>
        <x:v>496.1338167185483</x:v>
      </x:c>
      <x:c r="AE1445" s="80" t="n">
        <x:f>Z1445-AD1445</x:f>
        <x:v>744.2007250778224</x:v>
      </x:c>
      <x:c r="AF1445" s="80" t="n">
        <x:f>D1445*W1445</x:f>
        <x:v>6894.565201601487</x:v>
      </x:c>
      <x:c r="AG1445" s="80" t="n">
        <x:f>C1445*W1445</x:f>
        <x:v>16087.318803736269</x:v>
      </x:c>
      <x:c r="AH1445" s="80" t="n">
        <x:f>2*'Inputs'!$B$8*'Inputs'!$C$47</x:f>
        <x:v>7500</x:v>
      </x:c>
      <x:c r="AI1445" s="81" t="n">
        <x:f>IF(AH1445&gt;0,(AE1445+AF1445)/AH1445*365,0)</x:f>
        <x:v>371.7532750983931</x:v>
      </x:c>
      <x:c r="AJ1445" s="81" t="n">
        <x:f>IF('Inputs'!$B$47&gt;0,AG1445/('Inputs'!$B$19*'Inputs'!$B$47)*365,0)</x:f>
        <x:v>587.1871363363738</x:v>
      </x:c>
      <x:c r="AK1445" s="81" t="n">
        <x:f>W1445/MAX($W$1099:W1445)-1</x:f>
        <x:v>0</x:v>
      </x:c>
      <x:c r="AL1445" s="83" t="n">
        <x:f>'Inputs'!$B$47</x:f>
        <x:v>1</x:v>
      </x:c>
      <x:c r="AM1445" s="83" t="n">
        <x:f>'Inputs'!$C$47</x:f>
        <x:v>1.5</x:v>
      </x:c>
      <x:c r="AN1445" s="83" t="n">
        <x:f>'Inputs'!$D$47</x:f>
        <x:v>1.5</x:v>
      </x:c>
      <x:c r="AO1445" s="81" t="n">
        <x:f>'Inputs'!$E$47</x:f>
        <x:v>0.05</x:v>
      </x:c>
    </x:row>
    <x:row r="1446">
      <x:c r="A1446" s="59" t="str">
        <x:v>Growth</x:v>
      </x:c>
      <x:c r="B1446" s="59" t="n">
        <x:v>348</x:v>
      </x:c>
      <x:c r="C1446" s="78" t="n">
        <x:f>(('Inputs'!$B$29*(3*348*'Inputs'!$B$12-348^2)/(2*'Inputs'!$B$12^2))-('Inputs'!$B$29*(3*347*'Inputs'!$B$12-347^2)/(2*'Inputs'!$B$12^2)))*'Inputs'!$B$47</x:f>
        <x:v>599011.3060611784</x:v>
      </x:c>
      <x:c r="D1446" s="78" t="n">
        <x:f>IF('Inputs'!$C$47&gt;0,('Inputs'!$B$30*(3*348*'Inputs'!$B$12-348^2)/(2*'Inputs'!$B$12^2))-('Inputs'!$B$30*(3*347*'Inputs'!$B$12-347^2)/(2*'Inputs'!$B$12^2)),0)</x:f>
        <x:v>256719.13116906583</x:v>
      </x:c>
      <x:c r="E1446" s="78" t="n">
        <x:f>C1446+D1446</x:f>
        <x:v>855730.4372302443</x:v>
      </x:c>
      <x:c r="F1446" s="78" t="n">
        <x:f>'Inputs'!$B$13*E1446+(1-'Inputs'!$B$13)/'Inputs'!$B$14*SUM(E1391:E1446)</x:f>
        <x:v>865948.1140926994</x:v>
      </x:c>
      <x:c r="G1446" s="78" t="n">
        <x:f>F1446*'Inputs'!$F$47</x:f>
        <x:v>303081.83993244474</x:v>
      </x:c>
      <x:c r="H1446" s="78" t="n">
        <x:f>U1445</x:f>
        <x:v>1758322.118241303</x:v>
      </x:c>
      <x:c r="I1446" s="78" t="n">
        <x:f>V1445</x:f>
        <x:v>47196.679222018385</x:v>
      </x:c>
      <x:c r="J1446" s="79" t="n">
        <x:f>IF(H1446&gt;0,I1446/H1446,0)</x:f>
        <x:v>0.026841884505909037</x:v>
      </x:c>
      <x:c r="K1446" s="80" t="n">
        <x:f>(H1446*J1446+I1446)*'Inputs'!$D$47*(1+'Inputs'!$G$47)^(B1446/30)</x:f>
        <x:v>199500.7367530335</x:v>
      </x:c>
      <x:c r="L1446" s="80" t="n">
        <x:f>MAX(0,K1446*'Inputs'!$E$47)</x:f>
        <x:v>9975.036837651676</x:v>
      </x:c>
      <x:c r="M1446" s="80" t="n">
        <x:f>MAX(0,-K1446*'Inputs'!$E$47)</x:f>
        <x:v>0</x:v>
      </x:c>
      <x:c r="N1446" s="78" t="n">
        <x:f>H1446*(L1446*(1-'Inputs'!$B$15))/(I1446+L1446*(1-'Inputs'!$B$15))</x:f>
        <x:v>304246.3039878173</x:v>
      </x:c>
      <x:c r="O1446" s="78" t="n">
        <x:f>H1446-N1446</x:f>
        <x:v>1454075.8142534855</x:v>
      </x:c>
      <x:c r="P1446" s="78" t="n">
        <x:f>I1446+L1446*(1-'Inputs'!$B$17)</x:f>
        <x:v>57131.57506635959</x:v>
      </x:c>
      <x:c r="Q1446" s="78" t="n">
        <x:f>IF(J1446&gt;0,M1446/J1446,0)</x:f>
        <x:v>0</x:v>
      </x:c>
      <x:c r="R1446" s="78" t="n">
        <x:f>IF(B1446='Inputs'!$H$47,'Inputs'!$B$27*'Inputs'!$I$47,0)</x:f>
        <x:v>0</x:v>
      </x:c>
      <x:c r="S1446" s="78" t="n">
        <x:f>Q1446+G1446+R1446</x:f>
        <x:v>303081.83993244474</x:v>
      </x:c>
      <x:c r="T1446" s="78" t="n">
        <x:f>P1446*(S1446*(1-'Inputs'!$B$15))/(O1446+S1446*(1-'Inputs'!$B$15))</x:f>
        <x:v>9772.604301313339</x:v>
      </x:c>
      <x:c r="U1446" s="78" t="n">
        <x:f>O1446+S1446*(1-'Inputs'!$B$17)</x:f>
        <x:v>1755938.0089548137</x:v>
      </x:c>
      <x:c r="V1446" s="78" t="n">
        <x:f>P1446-T1446</x:f>
        <x:v>47358.97076504625</x:v>
      </x:c>
      <x:c r="W1446" s="79" t="n">
        <x:f>IF(U1446&gt;0,V1446/U1446,0)</x:f>
        <x:v>0.02697075325183929</x:v>
      </x:c>
      <x:c r="X1446" s="80" t="n">
        <x:f>W1446*('Inputs'!$B$6-AC1446)</x:f>
        <x:v>26821384.251131028</x:v>
      </x:c>
      <x:c r="Y1446" s="80" t="n">
        <x:f>2*V1446</x:f>
        <x:v>94717.9415300925</x:v>
      </x:c>
      <x:c r="Z1446" s="80" t="n">
        <x:f>K1446*'Inputs'!$B$16+(G1446+R1446)*J1446*'Inputs'!$B$16</x:f>
        <x:v>1245.8161469780316</x:v>
      </x:c>
      <x:c r="AA1446" s="80" t="n">
        <x:f>K1446*(1+'Inputs'!$E$47)/2*'Inputs'!$B$17</x:f>
        <x:v>421.48042975993</x:v>
      </x:c>
      <x:c r="AB1446" s="78" t="n">
        <x:f>(IF(J1446&gt;0,K1446*(1-'Inputs'!$E$47)/2/J1446,0)+G1446+R1446)*'Inputs'!$B$17</x:f>
        <x:v>15426.525391319517</x:v>
      </x:c>
      <x:c r="AC1446" s="78" t="n">
        <x:f>AC1445+AB1446</x:f>
        <x:v>5538184.244004146</x:v>
      </x:c>
      <x:c r="AD1446" s="80" t="n">
        <x:f>Z1446/(1+'Inputs'!$C$47)</x:f>
        <x:v>498.32645879121264</x:v>
      </x:c>
      <x:c r="AE1446" s="80" t="n">
        <x:f>Z1446-AD1446</x:f>
        <x:v>747.489688186819</x:v>
      </x:c>
      <x:c r="AF1446" s="80" t="n">
        <x:f>D1446*W1446</x:f>
        <x:v>6923.908341787439</x:v>
      </x:c>
      <x:c r="AG1446" s="80" t="n">
        <x:f>C1446*W1446</x:f>
        <x:v>16155.786130838029</x:v>
      </x:c>
      <x:c r="AH1446" s="80" t="n">
        <x:f>2*'Inputs'!$B$8*'Inputs'!$C$47</x:f>
        <x:v>7500</x:v>
      </x:c>
      <x:c r="AI1446" s="81" t="n">
        <x:f>IF(AH1446&gt;0,(AE1446+AF1446)/AH1446*365,0)</x:f>
        <x:v>373.34137079208057</x:v>
      </x:c>
      <x:c r="AJ1446" s="81" t="n">
        <x:f>IF('Inputs'!$B$47&gt;0,AG1446/('Inputs'!$B$19*'Inputs'!$B$47)*365,0)</x:f>
        <x:v>589.686193775588</x:v>
      </x:c>
      <x:c r="AK1446" s="81" t="n">
        <x:f>W1446/MAX($W$1099:W1446)-1</x:f>
        <x:v>0</x:v>
      </x:c>
      <x:c r="AL1446" s="83" t="n">
        <x:f>'Inputs'!$B$47</x:f>
        <x:v>1</x:v>
      </x:c>
      <x:c r="AM1446" s="83" t="n">
        <x:f>'Inputs'!$C$47</x:f>
        <x:v>1.5</x:v>
      </x:c>
      <x:c r="AN1446" s="83" t="n">
        <x:f>'Inputs'!$D$47</x:f>
        <x:v>1.5</x:v>
      </x:c>
      <x:c r="AO1446" s="81" t="n">
        <x:f>'Inputs'!$E$47</x:f>
        <x:v>0.05</x:v>
      </x:c>
    </x:row>
    <x:row r="1447">
      <x:c r="A1447" s="59" t="str">
        <x:v>Growth</x:v>
      </x:c>
      <x:c r="B1447" s="59" t="n">
        <x:v>349</x:v>
      </x:c>
      <x:c r="C1447" s="78" t="n">
        <x:f>(('Inputs'!$B$29*(3*349*'Inputs'!$B$12-349^2)/(2*'Inputs'!$B$12^2))-('Inputs'!$B$29*(3*348*'Inputs'!$B$12-348^2)/(2*'Inputs'!$B$12^2)))*'Inputs'!$B$47</x:f>
        <x:v>598686.198161006</x:v>
      </x:c>
      <x:c r="D1447" s="78" t="n">
        <x:f>IF('Inputs'!$C$47&gt;0,('Inputs'!$B$30*(3*349*'Inputs'!$B$12-349^2)/(2*'Inputs'!$B$12^2))-('Inputs'!$B$30*(3*348*'Inputs'!$B$12-348^2)/(2*'Inputs'!$B$12^2)),0)</x:f>
        <x:v>256579.7992118597</x:v>
      </x:c>
      <x:c r="E1447" s="78" t="n">
        <x:f>C1447+D1447</x:f>
        <x:v>855265.9973728657</x:v>
      </x:c>
      <x:c r="F1447" s="78" t="n">
        <x:f>'Inputs'!$B$13*E1447+(1-'Inputs'!$B$13)/'Inputs'!$B$14*SUM(E1392:E1447)</x:f>
        <x:v>865483.6742353166</x:v>
      </x:c>
      <x:c r="G1447" s="78" t="n">
        <x:f>F1447*'Inputs'!$F$47</x:f>
        <x:v>302919.2859823608</x:v>
      </x:c>
      <x:c r="H1447" s="78" t="n">
        <x:f>U1446</x:f>
        <x:v>1755938.0089548137</x:v>
      </x:c>
      <x:c r="I1447" s="78" t="n">
        <x:f>V1446</x:f>
        <x:v>47358.97076504625</x:v>
      </x:c>
      <x:c r="J1447" s="79" t="n">
        <x:f>IF(H1447&gt;0,I1447/H1447,0)</x:f>
        <x:v>0.02697075325183929</x:v>
      </x:c>
      <x:c r="K1447" s="80" t="n">
        <x:f>(H1447*J1447+I1447)*'Inputs'!$D$47*(1+'Inputs'!$G$47)^(B1447/30)</x:f>
        <x:v>200384.0842728669</x:v>
      </x:c>
      <x:c r="L1447" s="80" t="n">
        <x:f>MAX(0,K1447*'Inputs'!$E$47)</x:f>
        <x:v>10019.204213643345</x:v>
      </x:c>
      <x:c r="M1447" s="80" t="n">
        <x:f>MAX(0,-K1447*'Inputs'!$E$47)</x:f>
        <x:v>0</x:v>
      </x:c>
      <x:c r="N1447" s="78" t="n">
        <x:f>H1447*(L1447*(1-'Inputs'!$B$15))/(I1447+L1447*(1-'Inputs'!$B$15))</x:f>
        <x:v>304081.4216961413</x:v>
      </x:c>
      <x:c r="O1447" s="78" t="n">
        <x:f>H1447-N1447</x:f>
        <x:v>1451856.5872586723</x:v>
      </x:c>
      <x:c r="P1447" s="78" t="n">
        <x:f>I1447+L1447*(1-'Inputs'!$B$17)</x:f>
        <x:v>57337.85624945964</x:v>
      </x:c>
      <x:c r="Q1447" s="78" t="n">
        <x:f>IF(J1447&gt;0,M1447/J1447,0)</x:f>
        <x:v>0</x:v>
      </x:c>
      <x:c r="R1447" s="78" t="n">
        <x:f>IF(B1447='Inputs'!$H$47,'Inputs'!$B$27*'Inputs'!$I$47,0)</x:f>
        <x:v>0</x:v>
      </x:c>
      <x:c r="S1447" s="78" t="n">
        <x:f>Q1447+G1447+R1447</x:f>
        <x:v>302919.2859823608</x:v>
      </x:c>
      <x:c r="T1447" s="78" t="n">
        <x:f>P1447*(S1447*(1-'Inputs'!$B$15))/(O1447+S1447*(1-'Inputs'!$B$15))</x:f>
        <x:v>9815.948414616187</x:v>
      </x:c>
      <x:c r="U1447" s="78" t="n">
        <x:f>O1447+S1447*(1-'Inputs'!$B$17)</x:f>
        <x:v>1753556.8821505609</x:v>
      </x:c>
      <x:c r="V1447" s="78" t="n">
        <x:f>P1447-T1447</x:f>
        <x:v>47521.907834843456</x:v>
      </x:c>
      <x:c r="W1447" s="79" t="n">
        <x:f>IF(U1447&gt;0,V1447/U1447,0)</x:f>
        <x:v>0.027100294446429717</x:v>
      </x:c>
      <x:c r="X1447" s="80" t="n">
        <x:f>W1447*('Inputs'!$B$6-AC1447)</x:f>
        <x:v>26949790.120080855</x:v>
      </x:c>
      <x:c r="Y1447" s="80" t="n">
        <x:f>2*V1447</x:f>
        <x:v>95043.81566968691</x:v>
      </x:c>
      <x:c r="Z1447" s="80" t="n">
        <x:f>K1447*'Inputs'!$B$16+(G1447+R1447)*J1447*'Inputs'!$B$16</x:f>
        <x:v>1251.3242735419228</x:v>
      </x:c>
      <x:c r="AA1447" s="80" t="n">
        <x:f>K1447*(1+'Inputs'!$E$47)/2*'Inputs'!$B$17</x:f>
        <x:v>423.3466569145076</x:v>
      </x:c>
      <x:c r="AB1447" s="78" t="n">
        <x:f>(IF(J1447&gt;0,K1447*(1-'Inputs'!$E$47)/2/J1447,0)+G1447+R1447)*'Inputs'!$B$17</x:f>
        <x:v>15420.593993736891</x:v>
      </x:c>
      <x:c r="AC1447" s="78" t="n">
        <x:f>AC1446+AB1447</x:f>
        <x:v>5553604.837997883</x:v>
      </x:c>
      <x:c r="AD1447" s="80" t="n">
        <x:f>Z1447/(1+'Inputs'!$C$47)</x:f>
        <x:v>500.52970941676915</x:v>
      </x:c>
      <x:c r="AE1447" s="80" t="n">
        <x:f>Z1447-AD1447</x:f>
        <x:v>750.7945641251537</x:v>
      </x:c>
      <x:c r="AF1447" s="80" t="n">
        <x:f>D1447*W1447</x:f>
        <x:v>6953.3881076472135</x:v>
      </x:c>
      <x:c r="AG1447" s="80" t="n">
        <x:f>C1447*W1447</x:f>
        <x:v>16224.57225117683</x:v>
      </x:c>
      <x:c r="AH1447" s="80" t="n">
        <x:f>2*'Inputs'!$B$8*'Inputs'!$C$47</x:f>
        <x:v>7500</x:v>
      </x:c>
      <x:c r="AI1447" s="81" t="n">
        <x:f>IF(AH1447&gt;0,(AE1447+AF1447)/AH1447*365,0)</x:f>
        <x:v>374.93689002625524</x:v>
      </x:c>
      <x:c r="AJ1447" s="81" t="n">
        <x:f>IF('Inputs'!$B$47&gt;0,AG1447/('Inputs'!$B$19*'Inputs'!$B$47)*365,0)</x:f>
        <x:v>592.1968871679543</x:v>
      </x:c>
      <x:c r="AK1447" s="81" t="n">
        <x:f>W1447/MAX($W$1099:W1447)-1</x:f>
        <x:v>0</x:v>
      </x:c>
      <x:c r="AL1447" s="83" t="n">
        <x:f>'Inputs'!$B$47</x:f>
        <x:v>1</x:v>
      </x:c>
      <x:c r="AM1447" s="83" t="n">
        <x:f>'Inputs'!$C$47</x:f>
        <x:v>1.5</x:v>
      </x:c>
      <x:c r="AN1447" s="83" t="n">
        <x:f>'Inputs'!$D$47</x:f>
        <x:v>1.5</x:v>
      </x:c>
      <x:c r="AO1447" s="81" t="n">
        <x:f>'Inputs'!$E$47</x:f>
        <x:v>0.05</x:v>
      </x:c>
    </x:row>
    <x:row r="1448">
      <x:c r="A1448" s="59" t="str">
        <x:v>Growth</x:v>
      </x:c>
      <x:c r="B1448" s="59" t="n">
        <x:v>350</x:v>
      </x:c>
      <x:c r="C1448" s="78" t="n">
        <x:f>(('Inputs'!$B$29*(3*350*'Inputs'!$B$12-350^2)/(2*'Inputs'!$B$12^2))-('Inputs'!$B$29*(3*349*'Inputs'!$B$12-349^2)/(2*'Inputs'!$B$12^2)))*'Inputs'!$B$47</x:f>
        <x:v>598361.0902608335</x:v>
      </x:c>
      <x:c r="D1448" s="78" t="n">
        <x:f>IF('Inputs'!$C$47&gt;0,('Inputs'!$B$30*(3*350*'Inputs'!$B$12-350^2)/(2*'Inputs'!$B$12^2))-('Inputs'!$B$30*(3*349*'Inputs'!$B$12-349^2)/(2*'Inputs'!$B$12^2)),0)</x:f>
        <x:v>256440.46725465357</x:v>
      </x:c>
      <x:c r="E1448" s="78" t="n">
        <x:f>C1448+D1448</x:f>
        <x:v>854801.5575154871</x:v>
      </x:c>
      <x:c r="F1448" s="78" t="n">
        <x:f>'Inputs'!$B$13*E1448+(1-'Inputs'!$B$13)/'Inputs'!$B$14*SUM(E1393:E1448)</x:f>
        <x:v>865019.2343779332</x:v>
      </x:c>
      <x:c r="G1448" s="78" t="n">
        <x:f>F1448*'Inputs'!$F$47</x:f>
        <x:v>302756.7320322766</x:v>
      </x:c>
      <x:c r="H1448" s="78" t="n">
        <x:f>U1447</x:f>
        <x:v>1753556.8821505609</x:v>
      </x:c>
      <x:c r="I1448" s="78" t="n">
        <x:f>V1447</x:f>
        <x:v>47521.907834843456</x:v>
      </x:c>
      <x:c r="J1448" s="79" t="n">
        <x:f>IF(H1448&gt;0,I1448/H1448,0)</x:f>
        <x:v>0.027100294446429717</x:v>
      </x:c>
      <x:c r="K1448" s="80" t="n">
        <x:f>(H1448*J1448+I1448)*'Inputs'!$D$47*(1+'Inputs'!$G$47)^(B1448/30)</x:f>
        <x:v>201271.71352574593</x:v>
      </x:c>
      <x:c r="L1448" s="80" t="n">
        <x:f>MAX(0,K1448*'Inputs'!$E$47)</x:f>
        <x:v>10063.585676287297</x:v>
      </x:c>
      <x:c r="M1448" s="80" t="n">
        <x:f>MAX(0,-K1448*'Inputs'!$E$47)</x:f>
        <x:v>0</x:v>
      </x:c>
      <x:c r="N1448" s="78" t="n">
        <x:f>H1448*(L1448*(1-'Inputs'!$B$15))/(I1448+L1448*(1-'Inputs'!$B$15))</x:f>
        <x:v>303916.54316326336</x:v>
      </x:c>
      <x:c r="O1448" s="78" t="n">
        <x:f>H1448-N1448</x:f>
        <x:v>1449640.3389872974</x:v>
      </x:c>
      <x:c r="P1448" s="78" t="n">
        <x:f>I1448+L1448*(1-'Inputs'!$B$17)</x:f>
        <x:v>57544.99618446561</x:v>
      </x:c>
      <x:c r="Q1448" s="78" t="n">
        <x:f>IF(J1448&gt;0,M1448/J1448,0)</x:f>
        <x:v>0</x:v>
      </x:c>
      <x:c r="R1448" s="78" t="n">
        <x:f>IF(B1448='Inputs'!$H$47,'Inputs'!$B$27*'Inputs'!$I$47,0)</x:f>
        <x:v>0</x:v>
      </x:c>
      <x:c r="S1448" s="78" t="n">
        <x:f>Q1448+G1448+R1448</x:f>
        <x:v>302756.7320322766</x:v>
      </x:c>
      <x:c r="T1448" s="78" t="n">
        <x:f>P1448*(S1448*(1-'Inputs'!$B$15))/(O1448+S1448*(1-'Inputs'!$B$15))</x:f>
        <x:v>9859.502868461848</x:v>
      </x:c>
      <x:c r="U1448" s="78" t="n">
        <x:f>O1448+S1448*(1-'Inputs'!$B$17)</x:f>
        <x:v>1751178.734069746</x:v>
      </x:c>
      <x:c r="V1448" s="78" t="n">
        <x:f>P1448-T1448</x:f>
        <x:v>47685.49331600376</x:v>
      </x:c>
      <x:c r="W1448" s="79" t="n">
        <x:f>IF(U1448&gt;0,V1448/U1448,0)</x:f>
        <x:v>0.02723051187652473</x:v>
      </x:c>
      <x:c r="X1448" s="80" t="n">
        <x:f>W1448*('Inputs'!$B$6-AC1448)</x:f>
        <x:v>27078864.624874968</x:v>
      </x:c>
      <x:c r="Y1448" s="80" t="n">
        <x:f>2*V1448</x:f>
        <x:v>95370.98663200752</x:v>
      </x:c>
      <x:c r="Z1448" s="80" t="n">
        <x:f>K1448*'Inputs'!$B$16+(G1448+R1448)*J1448*'Inputs'!$B$16</x:f>
        <x:v>1256.8590606567566</x:v>
      </x:c>
      <x:c r="AA1448" s="80" t="n">
        <x:f>K1448*(1+'Inputs'!$E$47)/2*'Inputs'!$B$17</x:f>
        <x:v>425.2219299839703</x:v>
      </x:c>
      <x:c r="AB1448" s="78" t="n">
        <x:f>(IF(J1448&gt;0,K1448*(1-'Inputs'!$E$47)/2/J1448,0)+G1448+R1448)*'Inputs'!$B$17</x:f>
        <x:v>15414.66253143131</x:v>
      </x:c>
      <x:c r="AC1448" s="78" t="n">
        <x:f>AC1447+AB1448</x:f>
        <x:v>5569019.500529314</x:v>
      </x:c>
      <x:c r="AD1448" s="80" t="n">
        <x:f>Z1448/(1+'Inputs'!$C$47)</x:f>
        <x:v>502.7436242627026</x:v>
      </x:c>
      <x:c r="AE1448" s="80" t="n">
        <x:f>Z1448-AD1448</x:f>
        <x:v>754.115436394054</x:v>
      </x:c>
      <x:c r="AF1448" s="80" t="n">
        <x:f>D1448*W1448</x:f>
        <x:v>6983.005189199395</x:v>
      </x:c>
      <x:c r="AG1448" s="80" t="n">
        <x:f>C1448*W1448</x:f>
        <x:v>16293.678774797912</x:v>
      </x:c>
      <x:c r="AH1448" s="80" t="n">
        <x:f>2*'Inputs'!$B$8*'Inputs'!$C$47</x:f>
        <x:v>7500</x:v>
      </x:c>
      <x:c r="AI1448" s="81" t="n">
        <x:f>IF(AH1448&gt;0,(AE1448+AF1448)/AH1448*365,0)</x:f>
        <x:v>376.5398704455479</x:v>
      </x:c>
      <x:c r="AJ1448" s="81" t="n">
        <x:f>IF('Inputs'!$B$47&gt;0,AG1448/('Inputs'!$B$19*'Inputs'!$B$47)*365,0)</x:f>
        <x:v>594.7192752801238</x:v>
      </x:c>
      <x:c r="AK1448" s="81" t="n">
        <x:f>W1448/MAX($W$1099:W1448)-1</x:f>
        <x:v>0</x:v>
      </x:c>
      <x:c r="AL1448" s="83" t="n">
        <x:f>'Inputs'!$B$47</x:f>
        <x:v>1</x:v>
      </x:c>
      <x:c r="AM1448" s="83" t="n">
        <x:f>'Inputs'!$C$47</x:f>
        <x:v>1.5</x:v>
      </x:c>
      <x:c r="AN1448" s="83" t="n">
        <x:f>'Inputs'!$D$47</x:f>
        <x:v>1.5</x:v>
      </x:c>
      <x:c r="AO1448" s="81" t="n">
        <x:f>'Inputs'!$E$47</x:f>
        <x:v>0.05</x:v>
      </x:c>
    </x:row>
    <x:row r="1449">
      <x:c r="A1449" s="59" t="str">
        <x:v>Growth</x:v>
      </x:c>
      <x:c r="B1449" s="59" t="n">
        <x:v>351</x:v>
      </x:c>
      <x:c r="C1449" s="78" t="n">
        <x:f>(('Inputs'!$B$29*(3*351*'Inputs'!$B$12-351^2)/(2*'Inputs'!$B$12^2))-('Inputs'!$B$29*(3*350*'Inputs'!$B$12-350^2)/(2*'Inputs'!$B$12^2)))*'Inputs'!$B$47</x:f>
        <x:v>598035.982360661</x:v>
      </x:c>
      <x:c r="D1449" s="78" t="n">
        <x:f>IF('Inputs'!$C$47&gt;0,('Inputs'!$B$30*(3*351*'Inputs'!$B$12-351^2)/(2*'Inputs'!$B$12^2))-('Inputs'!$B$30*(3*350*'Inputs'!$B$12-350^2)/(2*'Inputs'!$B$12^2)),0)</x:f>
        <x:v>256301.13529741764</x:v>
      </x:c>
      <x:c r="E1449" s="78" t="n">
        <x:f>C1449+D1449</x:f>
        <x:v>854337.1176580787</x:v>
      </x:c>
      <x:c r="F1449" s="78" t="n">
        <x:f>'Inputs'!$B$13*E1449+(1-'Inputs'!$B$13)/'Inputs'!$B$14*SUM(E1394:E1449)</x:f>
        <x:v>864554.7945205442</x:v>
      </x:c>
      <x:c r="G1449" s="78" t="n">
        <x:f>F1449*'Inputs'!$F$47</x:f>
        <x:v>302594.17808219045</x:v>
      </x:c>
      <x:c r="H1449" s="78" t="n">
        <x:f>U1448</x:f>
        <x:v>1751178.734069746</x:v>
      </x:c>
      <x:c r="I1449" s="78" t="n">
        <x:f>V1448</x:f>
        <x:v>47685.49331600376</x:v>
      </x:c>
      <x:c r="J1449" s="79" t="n">
        <x:f>IF(H1449&gt;0,I1449/H1449,0)</x:f>
        <x:v>0.02723051187652473</x:v>
      </x:c>
      <x:c r="K1449" s="80" t="n">
        <x:f>(H1449*J1449+I1449)*'Inputs'!$D$47*(1+'Inputs'!$G$47)^(B1449/30)</x:f>
        <x:v>202163.64701939732</x:v>
      </x:c>
      <x:c r="L1449" s="80" t="n">
        <x:f>MAX(0,K1449*'Inputs'!$E$47)</x:f>
        <x:v>10108.182350969866</x:v>
      </x:c>
      <x:c r="M1449" s="80" t="n">
        <x:f>MAX(0,-K1449*'Inputs'!$E$47)</x:f>
        <x:v>0</x:v>
      </x:c>
      <x:c r="N1449" s="78" t="n">
        <x:f>H1449*(L1449*(1-'Inputs'!$B$15))/(I1449+L1449*(1-'Inputs'!$B$15))</x:f>
        <x:v>303751.66838458466</x:v>
      </x:c>
      <x:c r="O1449" s="78" t="n">
        <x:f>H1449-N1449</x:f>
        <x:v>1447427.0656851614</x:v>
      </x:c>
      <x:c r="P1449" s="78" t="n">
        <x:f>I1449+L1449*(1-'Inputs'!$B$17)</x:f>
        <x:v>57752.99887682888</x:v>
      </x:c>
      <x:c r="Q1449" s="78" t="n">
        <x:f>IF(J1449&gt;0,M1449/J1449,0)</x:f>
        <x:v>0</x:v>
      </x:c>
      <x:c r="R1449" s="78" t="n">
        <x:f>IF(B1449='Inputs'!$H$47,'Inputs'!$B$27*'Inputs'!$I$47,0)</x:f>
        <x:v>0</x:v>
      </x:c>
      <x:c r="S1449" s="78" t="n">
        <x:f>Q1449+G1449+R1449</x:f>
        <x:v>302594.17808219045</x:v>
      </x:c>
      <x:c r="T1449" s="78" t="n">
        <x:f>P1449*(S1449*(1-'Inputs'!$B$15))/(O1449+S1449*(1-'Inputs'!$B$15))</x:f>
        <x:v>9903.26876951152</x:v>
      </x:c>
      <x:c r="U1449" s="78" t="n">
        <x:f>O1449+S1449*(1-'Inputs'!$B$17)</x:f>
        <x:v>1748803.560958168</x:v>
      </x:c>
      <x:c r="V1449" s="78" t="n">
        <x:f>P1449-T1449</x:f>
        <x:v>47849.73010731736</x:v>
      </x:c>
      <x:c r="W1449" s="79" t="n">
        <x:f>IF(U1449&gt;0,V1449/U1449,0)</x:f>
        <x:v>0.027361409351831678</x:v>
      </x:c>
      <x:c r="X1449" s="80" t="n">
        <x:f>W1449*('Inputs'!$B$6-AC1449)</x:f>
        <x:v>27208611.5249928</x:v>
      </x:c>
      <x:c r="Y1449" s="80" t="n">
        <x:f>2*V1449</x:f>
        <x:v>95699.46021463472</x:v>
      </x:c>
      <x:c r="Z1449" s="80" t="n">
        <x:f>K1449*'Inputs'!$B$16+(G1449+R1449)*J1449*'Inputs'!$B$16</x:f>
        <x:v>1262.4206482765899</x:v>
      </x:c>
      <x:c r="AA1449" s="80" t="n">
        <x:f>K1449*(1+'Inputs'!$E$47)/2*'Inputs'!$B$17</x:f>
        <x:v>427.1062965198536</x:v>
      </x:c>
      <x:c r="AB1449" s="78" t="n">
        <x:f>(IF(J1449&gt;0,K1449*(1-'Inputs'!$E$47)/2/J1449,0)+G1449+R1449)*'Inputs'!$B$17</x:f>
        <x:v>15408.731002745157</x:v>
      </x:c>
      <x:c r="AC1449" s="78" t="n">
        <x:f>AC1448+AB1449</x:f>
        <x:v>5584428.23153206</x:v>
      </x:c>
      <x:c r="AD1449" s="80" t="n">
        <x:f>Z1449/(1+'Inputs'!$C$47)</x:f>
        <x:v>504.968259310636</x:v>
      </x:c>
      <x:c r="AE1449" s="80" t="n">
        <x:f>Z1449-AD1449</x:f>
        <x:v>757.4523889659539</x:v>
      </x:c>
      <x:c r="AF1449" s="80" t="n">
        <x:f>D1449*W1449</x:f>
        <x:v>7012.760280211839</x:v>
      </x:c>
      <x:c r="AG1449" s="80" t="n">
        <x:f>C1449*W1449</x:f>
        <x:v>16363.107320494835</x:v>
      </x:c>
      <x:c r="AH1449" s="80" t="n">
        <x:f>2*'Inputs'!$B$8*'Inputs'!$C$47</x:f>
        <x:v>7500</x:v>
      </x:c>
      <x:c r="AI1449" s="81" t="n">
        <x:f>IF(AH1449&gt;0,(AE1449+AF1449)/AH1449*365,0)</x:f>
        <x:v>378.15034989998594</x:v>
      </x:c>
      <x:c r="AJ1449" s="81" t="n">
        <x:f>IF('Inputs'!$B$47&gt;0,AG1449/('Inputs'!$B$19*'Inputs'!$B$47)*365,0)</x:f>
        <x:v>597.2534171980615</x:v>
      </x:c>
      <x:c r="AK1449" s="81" t="n">
        <x:f>W1449/MAX($W$1099:W1449)-1</x:f>
        <x:v>0</x:v>
      </x:c>
      <x:c r="AL1449" s="83" t="n">
        <x:f>'Inputs'!$B$47</x:f>
        <x:v>1</x:v>
      </x:c>
      <x:c r="AM1449" s="83" t="n">
        <x:f>'Inputs'!$C$47</x:f>
        <x:v>1.5</x:v>
      </x:c>
      <x:c r="AN1449" s="83" t="n">
        <x:f>'Inputs'!$D$47</x:f>
        <x:v>1.5</x:v>
      </x:c>
      <x:c r="AO1449" s="81" t="n">
        <x:f>'Inputs'!$E$47</x:f>
        <x:v>0.05</x:v>
      </x:c>
    </x:row>
    <x:row r="1450">
      <x:c r="A1450" s="59" t="str">
        <x:v>Growth</x:v>
      </x:c>
      <x:c r="B1450" s="59" t="n">
        <x:v>352</x:v>
      </x:c>
      <x:c r="C1450" s="78" t="n">
        <x:f>(('Inputs'!$B$29*(3*352*'Inputs'!$B$12-352^2)/(2*'Inputs'!$B$12^2))-('Inputs'!$B$29*(3*351*'Inputs'!$B$12-351^2)/(2*'Inputs'!$B$12^2)))*'Inputs'!$B$47</x:f>
        <x:v>597710.8744604886</x:v>
      </x:c>
      <x:c r="D1450" s="78" t="n">
        <x:f>IF('Inputs'!$C$47&gt;0,('Inputs'!$B$30*(3*352*'Inputs'!$B$12-352^2)/(2*'Inputs'!$B$12^2))-('Inputs'!$B$30*(3*351*'Inputs'!$B$12-351^2)/(2*'Inputs'!$B$12^2)),0)</x:f>
        <x:v>256161.8033402264</x:v>
      </x:c>
      <x:c r="E1450" s="78" t="n">
        <x:f>C1450+D1450</x:f>
        <x:v>853872.677800715</x:v>
      </x:c>
      <x:c r="F1450" s="78" t="n">
        <x:f>'Inputs'!$B$13*E1450+(1-'Inputs'!$B$13)/'Inputs'!$B$14*SUM(E1395:E1450)</x:f>
        <x:v>864090.3546631641</x:v>
      </x:c>
      <x:c r="G1450" s="78" t="n">
        <x:f>F1450*'Inputs'!$F$47</x:f>
        <x:v>302431.6241321074</x:v>
      </x:c>
      <x:c r="H1450" s="78" t="n">
        <x:f>U1449</x:f>
        <x:v>1748803.560958168</x:v>
      </x:c>
      <x:c r="I1450" s="78" t="n">
        <x:f>V1449</x:f>
        <x:v>47849.73010731736</x:v>
      </x:c>
      <x:c r="J1450" s="79" t="n">
        <x:f>IF(H1450&gt;0,I1450/H1450,0)</x:f>
        <x:v>0.027361409351831678</x:v>
      </x:c>
      <x:c r="K1450" s="80" t="n">
        <x:f>(H1450*J1450+I1450)*'Inputs'!$D$47*(1+'Inputs'!$G$47)^(B1450/30)</x:f>
        <x:v>203059.90738877546</x:v>
      </x:c>
      <x:c r="L1450" s="80" t="n">
        <x:f>MAX(0,K1450*'Inputs'!$E$47)</x:f>
        <x:v>10152.995369438773</x:v>
      </x:c>
      <x:c r="M1450" s="80" t="n">
        <x:f>MAX(0,-K1450*'Inputs'!$E$47)</x:f>
        <x:v>0</x:v>
      </x:c>
      <x:c r="N1450" s="78" t="n">
        <x:f>H1450*(L1450*(1-'Inputs'!$B$15))/(I1450+L1450*(1-'Inputs'!$B$15))</x:f>
        <x:v>303586.7973555125</x:v>
      </x:c>
      <x:c r="O1450" s="78" t="n">
        <x:f>H1450-N1450</x:f>
        <x:v>1445216.7636026554</x:v>
      </x:c>
      <x:c r="P1450" s="78" t="n">
        <x:f>I1450+L1450*(1-'Inputs'!$B$17)</x:f>
        <x:v>57961.86835253304</x:v>
      </x:c>
      <x:c r="Q1450" s="78" t="n">
        <x:f>IF(J1450&gt;0,M1450/J1450,0)</x:f>
        <x:v>0</x:v>
      </x:c>
      <x:c r="R1450" s="78" t="n">
        <x:f>IF(B1450='Inputs'!$H$47,'Inputs'!$B$27*'Inputs'!$I$47,0)</x:f>
        <x:v>0</x:v>
      </x:c>
      <x:c r="S1450" s="78" t="n">
        <x:f>Q1450+G1450+R1450</x:f>
        <x:v>302431.6241321074</x:v>
      </x:c>
      <x:c r="T1450" s="78" t="n">
        <x:f>P1450*(S1450*(1-'Inputs'!$B$15))/(O1450+S1450*(1-'Inputs'!$B$15))</x:f>
        <x:v>9947.247230686464</x:v>
      </x:c>
      <x:c r="U1450" s="78" t="n">
        <x:f>O1450+S1450*(1-'Inputs'!$B$17)</x:f>
        <x:v>1746431.3590662233</x:v>
      </x:c>
      <x:c r="V1450" s="78" t="n">
        <x:f>P1450-T1450</x:f>
        <x:v>48014.621121846576</x:v>
      </x:c>
      <x:c r="W1450" s="79" t="n">
        <x:f>IF(U1450&gt;0,V1450/U1450,0)</x:f>
        <x:v>0.027492990705067784</x:v>
      </x:c>
      <x:c r="X1450" s="80" t="n">
        <x:f>W1450*('Inputs'!$B$6-AC1450)</x:f>
        <x:v>27339034.602584254</x:v>
      </x:c>
      <x:c r="Y1450" s="80" t="n">
        <x:f>2*V1450</x:f>
        <x:v>96029.24224369315</x:v>
      </x:c>
      <x:c r="Z1450" s="80" t="n">
        <x:f>K1450*'Inputs'!$B$16+(G1450+R1450)*J1450*'Inputs'!$B$16</x:f>
        <x:v>1268.0091771455602</x:v>
      </x:c>
      <x:c r="AA1450" s="80" t="n">
        <x:f>K1450*(1+'Inputs'!$E$47)/2*'Inputs'!$B$17</x:f>
        <x:v>428.9998043424834</x:v>
      </x:c>
      <x:c r="AB1450" s="78" t="n">
        <x:f>(IF(J1450&gt;0,K1450*(1-'Inputs'!$E$47)/2/J1450,0)+G1450+R1450)*'Inputs'!$B$17</x:f>
        <x:v>15402.799406018365</x:v>
      </x:c>
      <x:c r="AC1450" s="78" t="n">
        <x:f>AC1449+AB1450</x:f>
        <x:v>5599831.030938078</x:v>
      </x:c>
      <x:c r="AD1450" s="80" t="n">
        <x:f>Z1450/(1+'Inputs'!$C$47)</x:f>
        <x:v>507.2036708582241</x:v>
      </x:c>
      <x:c r="AE1450" s="80" t="n">
        <x:f>Z1450-AD1450</x:f>
        <x:v>760.8055062873361</x:v>
      </x:c>
      <x:c r="AF1450" s="80" t="n">
        <x:f>D1450*W1450</x:f>
        <x:v>7042.654078226246</x:v>
      </x:c>
      <x:c r="AG1450" s="80" t="n">
        <x:f>C1450*W1450</x:f>
        <x:v>16432.85951586015</x:v>
      </x:c>
      <x:c r="AH1450" s="80" t="n">
        <x:f>2*'Inputs'!$B$8*'Inputs'!$C$47</x:f>
        <x:v>7500</x:v>
      </x:c>
      <x:c r="AI1450" s="81" t="n">
        <x:f>IF(AH1450&gt;0,(AE1450+AF1450)/AH1450*365,0)</x:f>
        <x:v>379.76836644632766</x:v>
      </x:c>
      <x:c r="AJ1450" s="81" t="n">
        <x:f>IF('Inputs'!$B$47&gt;0,AG1450/('Inputs'!$B$19*'Inputs'!$B$47)*365,0)</x:f>
        <x:v>599.7993723288955</x:v>
      </x:c>
      <x:c r="AK1450" s="81" t="n">
        <x:f>W1450/MAX($W$1099:W1450)-1</x:f>
        <x:v>0</x:v>
      </x:c>
      <x:c r="AL1450" s="83" t="n">
        <x:f>'Inputs'!$B$47</x:f>
        <x:v>1</x:v>
      </x:c>
      <x:c r="AM1450" s="83" t="n">
        <x:f>'Inputs'!$C$47</x:f>
        <x:v>1.5</x:v>
      </x:c>
      <x:c r="AN1450" s="83" t="n">
        <x:f>'Inputs'!$D$47</x:f>
        <x:v>1.5</x:v>
      </x:c>
      <x:c r="AO1450" s="81" t="n">
        <x:f>'Inputs'!$E$47</x:f>
        <x:v>0.05</x:v>
      </x:c>
    </x:row>
    <x:row r="1451">
      <x:c r="A1451" s="59" t="str">
        <x:v>Growth</x:v>
      </x:c>
      <x:c r="B1451" s="59" t="n">
        <x:v>353</x:v>
      </x:c>
      <x:c r="C1451" s="78" t="n">
        <x:f>(('Inputs'!$B$29*(3*353*'Inputs'!$B$12-353^2)/(2*'Inputs'!$B$12^2))-('Inputs'!$B$29*(3*352*'Inputs'!$B$12-352^2)/(2*'Inputs'!$B$12^2)))*'Inputs'!$B$47</x:f>
        <x:v>597385.7665603459</x:v>
      </x:c>
      <x:c r="D1451" s="78" t="n">
        <x:f>IF('Inputs'!$C$47&gt;0,('Inputs'!$B$30*(3*353*'Inputs'!$B$12-353^2)/(2*'Inputs'!$B$12^2))-('Inputs'!$B$30*(3*352*'Inputs'!$B$12-352^2)/(2*'Inputs'!$B$12^2)),0)</x:f>
        <x:v>256022.47138299048</x:v>
      </x:c>
      <x:c r="E1451" s="78" t="n">
        <x:f>C1451+D1451</x:f>
        <x:v>853408.2379433364</x:v>
      </x:c>
      <x:c r="F1451" s="78" t="n">
        <x:f>'Inputs'!$B$13*E1451+(1-'Inputs'!$B$13)/'Inputs'!$B$14*SUM(E1396:E1451)</x:f>
        <x:v>863625.9148057816</x:v>
      </x:c>
      <x:c r="G1451" s="78" t="n">
        <x:f>F1451*'Inputs'!$F$47</x:f>
        <x:v>302269.0701820235</x:v>
      </x:c>
      <x:c r="H1451" s="78" t="n">
        <x:f>U1450</x:f>
        <x:v>1746431.3590662233</x:v>
      </x:c>
      <x:c r="I1451" s="78" t="n">
        <x:f>V1450</x:f>
        <x:v>48014.621121846576</x:v>
      </x:c>
      <x:c r="J1451" s="79" t="n">
        <x:f>IF(H1451&gt;0,I1451/H1451,0)</x:f>
        <x:v>0.027492990705067784</x:v>
      </x:c>
      <x:c r="K1451" s="80" t="n">
        <x:f>(H1451*J1451+I1451)*'Inputs'!$D$47*(1+'Inputs'!$G$47)^(B1451/30)</x:f>
        <x:v>203960.5173968291</x:v>
      </x:c>
      <x:c r="L1451" s="80" t="n">
        <x:f>MAX(0,K1451*'Inputs'!$E$47)</x:f>
        <x:v>10198.025869841455</x:v>
      </x:c>
      <x:c r="M1451" s="80" t="n">
        <x:f>MAX(0,-K1451*'Inputs'!$E$47)</x:f>
        <x:v>0</x:v>
      </x:c>
      <x:c r="N1451" s="78" t="n">
        <x:f>H1451*(L1451*(1-'Inputs'!$B$15))/(I1451+L1451*(1-'Inputs'!$B$15))</x:f>
        <x:v>303421.93007146043</x:v>
      </x:c>
      <x:c r="O1451" s="78" t="n">
        <x:f>H1451-N1451</x:f>
        <x:v>1443009.4289947627</x:v>
      </x:c>
      <x:c r="P1451" s="78" t="n">
        <x:f>I1451+L1451*(1-'Inputs'!$B$17)</x:f>
        <x:v>58171.608658207784</x:v>
      </x:c>
      <x:c r="Q1451" s="78" t="n">
        <x:f>IF(J1451&gt;0,M1451/J1451,0)</x:f>
        <x:v>0</x:v>
      </x:c>
      <x:c r="R1451" s="78" t="n">
        <x:f>IF(B1451='Inputs'!$H$47,'Inputs'!$B$27*'Inputs'!$I$47,0)</x:f>
        <x:v>0</x:v>
      </x:c>
      <x:c r="S1451" s="78" t="n">
        <x:f>Q1451+G1451+R1451</x:f>
        <x:v>302269.0701820235</x:v>
      </x:c>
      <x:c r="T1451" s="78" t="n">
        <x:f>P1451*(S1451*(1-'Inputs'!$B$15))/(O1451+S1451*(1-'Inputs'!$B$15))</x:f>
        <x:v>9991.439371205317</x:v>
      </x:c>
      <x:c r="U1451" s="78" t="n">
        <x:f>O1451+S1451*(1-'Inputs'!$B$17)</x:f>
        <x:v>1744062.1246488907</x:v>
      </x:c>
      <x:c r="V1451" s="78" t="n">
        <x:f>P1451-T1451</x:f>
        <x:v>48180.16928700247</x:v>
      </x:c>
      <x:c r="W1451" s="79" t="n">
        <x:f>IF(U1451&gt;0,V1451/U1451,0)</x:f>
        <x:v>0.027625259792108586</x:v>
      </x:c>
      <x:c r="X1451" s="80" t="n">
        <x:f>W1451*('Inputs'!$B$6-AC1451)</x:f>
        <x:v>27470137.66261572</x:v>
      </x:c>
      <x:c r="Y1451" s="80" t="n">
        <x:f>2*V1451</x:f>
        <x:v>96360.33857400494</x:v>
      </x:c>
      <x:c r="Z1451" s="80" t="n">
        <x:f>K1451*'Inputs'!$B$16+(G1451+R1451)*J1451*'Inputs'!$B$16</x:f>
        <x:v>1273.6247888026376</x:v>
      </x:c>
      <x:c r="AA1451" s="80" t="n">
        <x:f>K1451*(1+'Inputs'!$E$47)/2*'Inputs'!$B$17</x:f>
        <x:v>430.9025015425967</x:v>
      </x:c>
      <x:c r="AB1451" s="78" t="n">
        <x:f>(IF(J1451&gt;0,K1451*(1-'Inputs'!$E$47)/2/J1451,0)+G1451+R1451)*'Inputs'!$B$17</x:f>
        <x:v>15396.867739588357</x:v>
      </x:c>
      <x:c r="AC1451" s="78" t="n">
        <x:f>AC1450+AB1451</x:f>
        <x:v>5615227.898677666</x:v>
      </x:c>
      <x:c r="AD1451" s="80" t="n">
        <x:f>Z1451/(1+'Inputs'!$C$47)</x:f>
        <x:v>509.449915521055</x:v>
      </x:c>
      <x:c r="AE1451" s="80" t="n">
        <x:f>Z1451-AD1451</x:f>
        <x:v>764.1748732815826</x:v>
      </x:c>
      <x:c r="AF1451" s="80" t="n">
        <x:f>D1451*W1451</x:f>
        <x:v>7072.6872845727985</x:v>
      </x:c>
      <x:c r="AG1451" s="80" t="n">
        <x:f>C1451*W1451</x:f>
        <x:v>16502.93699733749</x:v>
      </x:c>
      <x:c r="AH1451" s="80" t="n">
        <x:f>2*'Inputs'!$B$8*'Inputs'!$C$47</x:f>
        <x:v>7500</x:v>
      </x:c>
      <x:c r="AI1451" s="81" t="n">
        <x:f>IF(AH1451&gt;0,(AE1451+AF1451)/AH1451*365,0)</x:f>
        <x:v>381.39395834891315</x:v>
      </x:c>
      <x:c r="AJ1451" s="81" t="n">
        <x:f>IF('Inputs'!$B$47&gt;0,AG1451/('Inputs'!$B$19*'Inputs'!$B$47)*365,0)</x:f>
        <x:v>602.3572004028184</x:v>
      </x:c>
      <x:c r="AK1451" s="81" t="n">
        <x:f>W1451/MAX($W$1099:W1451)-1</x:f>
        <x:v>0</x:v>
      </x:c>
      <x:c r="AL1451" s="83" t="n">
        <x:f>'Inputs'!$B$47</x:f>
        <x:v>1</x:v>
      </x:c>
      <x:c r="AM1451" s="83" t="n">
        <x:f>'Inputs'!$C$47</x:f>
        <x:v>1.5</x:v>
      </x:c>
      <x:c r="AN1451" s="83" t="n">
        <x:f>'Inputs'!$D$47</x:f>
        <x:v>1.5</x:v>
      </x:c>
      <x:c r="AO1451" s="81" t="n">
        <x:f>'Inputs'!$E$47</x:f>
        <x:v>0.05</x:v>
      </x:c>
    </x:row>
    <x:row r="1452">
      <x:c r="A1452" s="59" t="str">
        <x:v>Growth</x:v>
      </x:c>
      <x:c r="B1452" s="59" t="n">
        <x:v>354</x:v>
      </x:c>
      <x:c r="C1452" s="78" t="n">
        <x:f>(('Inputs'!$B$29*(3*354*'Inputs'!$B$12-354^2)/(2*'Inputs'!$B$12^2))-('Inputs'!$B$29*(3*353*'Inputs'!$B$12-353^2)/(2*'Inputs'!$B$12^2)))*'Inputs'!$B$47</x:f>
        <x:v>597060.6586601734</x:v>
      </x:c>
      <x:c r="D1452" s="78" t="n">
        <x:f>IF('Inputs'!$C$47&gt;0,('Inputs'!$B$30*(3*354*'Inputs'!$B$12-354^2)/(2*'Inputs'!$B$12^2))-('Inputs'!$B$30*(3*353*'Inputs'!$B$12-353^2)/(2*'Inputs'!$B$12^2)),0)</x:f>
        <x:v>255883.13942578435</x:v>
      </x:c>
      <x:c r="E1452" s="78" t="n">
        <x:f>C1452+D1452</x:f>
        <x:v>852943.7980859578</x:v>
      </x:c>
      <x:c r="F1452" s="78" t="n">
        <x:f>'Inputs'!$B$13*E1452+(1-'Inputs'!$B$13)/'Inputs'!$B$14*SUM(E1397:E1452)</x:f>
        <x:v>863161.4749483985</x:v>
      </x:c>
      <x:c r="G1452" s="78" t="n">
        <x:f>F1452*'Inputs'!$F$47</x:f>
        <x:v>302106.5162319395</x:v>
      </x:c>
      <x:c r="H1452" s="78" t="n">
        <x:f>U1451</x:f>
        <x:v>1744062.1246488907</x:v>
      </x:c>
      <x:c r="I1452" s="78" t="n">
        <x:f>V1451</x:f>
        <x:v>48180.16928700247</x:v>
      </x:c>
      <x:c r="J1452" s="79" t="n">
        <x:f>IF(H1452&gt;0,I1452/H1452,0)</x:f>
        <x:v>0.027625259792108586</x:v>
      </x:c>
      <x:c r="K1452" s="80" t="n">
        <x:f>(H1452*J1452+I1452)*'Inputs'!$D$47*(1+'Inputs'!$G$47)^(B1452/30)</x:f>
        <x:v>204865.4999352752</x:v>
      </x:c>
      <x:c r="L1452" s="80" t="n">
        <x:f>MAX(0,K1452*'Inputs'!$E$47)</x:f>
        <x:v>10243.274996763761</x:v>
      </x:c>
      <x:c r="M1452" s="80" t="n">
        <x:f>MAX(0,-K1452*'Inputs'!$E$47)</x:f>
        <x:v>0</x:v>
      </x:c>
      <x:c r="N1452" s="78" t="n">
        <x:f>H1452*(L1452*(1-'Inputs'!$B$15))/(I1452+L1452*(1-'Inputs'!$B$15))</x:f>
        <x:v>303257.06652784673</x:v>
      </x:c>
      <x:c r="O1452" s="78" t="n">
        <x:f>H1452-N1452</x:f>
        <x:v>1440805.058121044</x:v>
      </x:c>
      <x:c r="P1452" s="78" t="n">
        <x:f>I1452+L1452*(1-'Inputs'!$B$17)</x:f>
        <x:v>58382.22386124404</x:v>
      </x:c>
      <x:c r="Q1452" s="78" t="n">
        <x:f>IF(J1452&gt;0,M1452/J1452,0)</x:f>
        <x:v>0</x:v>
      </x:c>
      <x:c r="R1452" s="78" t="n">
        <x:f>IF(B1452='Inputs'!$H$47,'Inputs'!$B$27*'Inputs'!$I$47,0)</x:f>
        <x:v>0</x:v>
      </x:c>
      <x:c r="S1452" s="78" t="n">
        <x:f>Q1452+G1452+R1452</x:f>
        <x:v>302106.5162319395</x:v>
      </x:c>
      <x:c r="T1452" s="78" t="n">
        <x:f>P1452*(S1452*(1-'Inputs'!$B$15))/(O1452+S1452*(1-'Inputs'!$B$15))</x:f>
        <x:v>10035.846316622581</x:v>
      </x:c>
      <x:c r="U1452" s="78" t="n">
        <x:f>O1452+S1452*(1-'Inputs'!$B$17)</x:f>
        <x:v>1741695.8539657323</x:v>
      </x:c>
      <x:c r="V1452" s="78" t="n">
        <x:f>P1452-T1452</x:f>
        <x:v>48346.37754462146</x:v>
      </x:c>
      <x:c r="W1452" s="79" t="n">
        <x:f>IF(U1452&gt;0,V1452/U1452,0)</x:f>
        <x:v>0.027758220492136894</x:v>
      </x:c>
      <x:c r="X1452" s="80" t="n">
        <x:f>W1452*('Inputs'!$B$6-AC1452)</x:f>
        <x:v>27601924.53301668</x:v>
      </x:c>
      <x:c r="Y1452" s="80" t="n">
        <x:f>2*V1452</x:f>
        <x:v>96692.75508924291</x:v>
      </x:c>
      <x:c r="Z1452" s="80" t="n">
        <x:f>K1452*'Inputs'!$B$16+(G1452+R1452)*J1452*'Inputs'!$B$16</x:f>
        <x:v>1279.2676255864285</x:v>
      </x:c>
      <x:c r="AA1452" s="80" t="n">
        <x:f>K1452*(1+'Inputs'!$E$47)/2*'Inputs'!$B$17</x:f>
        <x:v>432.81443648297585</x:v>
      </x:c>
      <x:c r="AB1452" s="78" t="n">
        <x:f>(IF(J1452&gt;0,K1452*(1-'Inputs'!$E$47)/2/J1452,0)+G1452+R1452)*'Inputs'!$B$17</x:f>
        <x:v>15390.936001790034</x:v>
      </x:c>
      <x:c r="AC1452" s="78" t="n">
        <x:f>AC1451+AB1452</x:f>
        <x:v>5630618.8346794555</x:v>
      </x:c>
      <x:c r="AD1452" s="80" t="n">
        <x:f>Z1452/(1+'Inputs'!$C$47)</x:f>
        <x:v>511.7070502345714</x:v>
      </x:c>
      <x:c r="AE1452" s="80" t="n">
        <x:f>Z1452-AD1452</x:f>
        <x:v>767.5605753518571</x:v>
      </x:c>
      <x:c r="AF1452" s="80" t="n">
        <x:f>D1452*W1452</x:f>
        <x:v>7102.860604401129</x:v>
      </x:c>
      <x:c r="AG1452" s="80" t="n">
        <x:f>C1452*W1452</x:f>
        <x:v>16573.341410269575</x:v>
      </x:c>
      <x:c r="AH1452" s="80" t="n">
        <x:f>2*'Inputs'!$B$8*'Inputs'!$C$47</x:f>
        <x:v>7500</x:v>
      </x:c>
      <x:c r="AI1452" s="81" t="n">
        <x:f>IF(AH1452&gt;0,(AE1452+AF1452)/AH1452*365,0)</x:f>
        <x:v>383.02716408131204</x:v>
      </x:c>
      <x:c r="AJ1452" s="81" t="n">
        <x:f>IF('Inputs'!$B$47&gt;0,AG1452/('Inputs'!$B$19*'Inputs'!$B$47)*365,0)</x:f>
        <x:v>604.9269614748395</x:v>
      </x:c>
      <x:c r="AK1452" s="81" t="n">
        <x:f>W1452/MAX($W$1099:W1452)-1</x:f>
        <x:v>0</x:v>
      </x:c>
      <x:c r="AL1452" s="83" t="n">
        <x:f>'Inputs'!$B$47</x:f>
        <x:v>1</x:v>
      </x:c>
      <x:c r="AM1452" s="83" t="n">
        <x:f>'Inputs'!$C$47</x:f>
        <x:v>1.5</x:v>
      </x:c>
      <x:c r="AN1452" s="83" t="n">
        <x:f>'Inputs'!$D$47</x:f>
        <x:v>1.5</x:v>
      </x:c>
      <x:c r="AO1452" s="81" t="n">
        <x:f>'Inputs'!$E$47</x:f>
        <x:v>0.05</x:v>
      </x:c>
    </x:row>
    <x:row r="1453">
      <x:c r="A1453" s="59" t="str">
        <x:v>Growth</x:v>
      </x:c>
      <x:c r="B1453" s="59" t="n">
        <x:v>355</x:v>
      </x:c>
      <x:c r="C1453" s="78" t="n">
        <x:f>(('Inputs'!$B$29*(3*355*'Inputs'!$B$12-355^2)/(2*'Inputs'!$B$12^2))-('Inputs'!$B$29*(3*354*'Inputs'!$B$12-354^2)/(2*'Inputs'!$B$12^2)))*'Inputs'!$B$47</x:f>
        <x:v>596735.5507599711</x:v>
      </x:c>
      <x:c r="D1453" s="78" t="n">
        <x:f>IF('Inputs'!$C$47&gt;0,('Inputs'!$B$30*(3*355*'Inputs'!$B$12-355^2)/(2*'Inputs'!$B$12^2))-('Inputs'!$B$30*(3*354*'Inputs'!$B$12-354^2)/(2*'Inputs'!$B$12^2)),0)</x:f>
        <x:v>255743.80746856332</x:v>
      </x:c>
      <x:c r="E1453" s="78" t="n">
        <x:f>C1453+D1453</x:f>
        <x:v>852479.3582285345</x:v>
      </x:c>
      <x:c r="F1453" s="78" t="n">
        <x:f>'Inputs'!$B$13*E1453+(1-'Inputs'!$B$13)/'Inputs'!$B$14*SUM(E1398:E1453)</x:f>
        <x:v>862697.0350910062</x:v>
      </x:c>
      <x:c r="G1453" s="78" t="n">
        <x:f>F1453*'Inputs'!$F$47</x:f>
        <x:v>301943.96228185215</x:v>
      </x:c>
      <x:c r="H1453" s="78" t="n">
        <x:f>U1452</x:f>
        <x:v>1741695.8539657323</x:v>
      </x:c>
      <x:c r="I1453" s="78" t="n">
        <x:f>V1452</x:f>
        <x:v>48346.37754462146</x:v>
      </x:c>
      <x:c r="J1453" s="79" t="n">
        <x:f>IF(H1453&gt;0,I1453/H1453,0)</x:f>
        <x:v>0.027758220492136894</x:v>
      </x:c>
      <x:c r="K1453" s="80" t="n">
        <x:f>(H1453*J1453+I1453)*'Inputs'!$D$47*(1+'Inputs'!$G$47)^(B1453/30)</x:f>
        <x:v>205774.8780253761</x:v>
      </x:c>
      <x:c r="L1453" s="80" t="n">
        <x:f>MAX(0,K1453*'Inputs'!$E$47)</x:f>
        <x:v>10288.743901268805</x:v>
      </x:c>
      <x:c r="M1453" s="80" t="n">
        <x:f>MAX(0,-K1453*'Inputs'!$E$47)</x:f>
        <x:v>0</x:v>
      </x:c>
      <x:c r="N1453" s="78" t="n">
        <x:f>H1453*(L1453*(1-'Inputs'!$B$15))/(I1453+L1453*(1-'Inputs'!$B$15))</x:f>
        <x:v>303092.2067200955</x:v>
      </x:c>
      <x:c r="O1453" s="78" t="n">
        <x:f>H1453-N1453</x:f>
        <x:v>1438603.6472456367</x:v>
      </x:c>
      <x:c r="P1453" s="78" t="n">
        <x:f>I1453+L1453*(1-'Inputs'!$B$17)</x:f>
        <x:v>58593.7180499093</x:v>
      </x:c>
      <x:c r="Q1453" s="78" t="n">
        <x:f>IF(J1453&gt;0,M1453/J1453,0)</x:f>
        <x:v>0</x:v>
      </x:c>
      <x:c r="R1453" s="78" t="n">
        <x:f>IF(B1453='Inputs'!$H$47,'Inputs'!$B$27*'Inputs'!$I$47,0)</x:f>
        <x:v>0</x:v>
      </x:c>
      <x:c r="S1453" s="78" t="n">
        <x:f>Q1453+G1453+R1453</x:f>
        <x:v>301943.96228185215</x:v>
      </x:c>
      <x:c r="T1453" s="78" t="n">
        <x:f>P1453*(S1453*(1-'Inputs'!$B$15))/(O1453+S1453*(1-'Inputs'!$B$15))</x:f>
        <x:v>10080.469198866633</x:v>
      </x:c>
      <x:c r="U1453" s="78" t="n">
        <x:f>O1453+S1453*(1-'Inputs'!$B$17)</x:f>
        <x:v>1739332.5432808818</x:v>
      </x:c>
      <x:c r="V1453" s="78" t="n">
        <x:f>P1453-T1453</x:f>
        <x:v>48513.24885104267</x:v>
      </x:c>
      <x:c r="W1453" s="79" t="n">
        <x:f>IF(U1453&gt;0,V1453/U1453,0)</x:f>
        <x:v>0.027891876707793164</x:v>
      </x:c>
      <x:c r="X1453" s="80" t="n">
        <x:f>W1453*('Inputs'!$B$6-AC1453)</x:f>
        <x:v>27734399.064827662</x:v>
      </x:c>
      <x:c r="Y1453" s="80" t="n">
        <x:f>2*V1453</x:f>
        <x:v>97026.49770208534</x:v>
      </x:c>
      <x:c r="Z1453" s="80" t="n">
        <x:f>K1453*'Inputs'!$B$16+(G1453+R1453)*J1453*'Inputs'!$B$16</x:f>
        <x:v>1284.9378306399913</x:v>
      </x:c>
      <x:c r="AA1453" s="80" t="n">
        <x:f>K1453*(1+'Inputs'!$E$47)/2*'Inputs'!$B$17</x:f>
        <x:v>434.7356578000904</x:v>
      </x:c>
      <x:c r="AB1453" s="78" t="n">
        <x:f>(IF(J1453&gt;0,K1453*(1-'Inputs'!$E$47)/2/J1453,0)+G1453+R1453)*'Inputs'!$B$17</x:f>
        <x:v>15385.004190955791</x:v>
      </x:c>
      <x:c r="AC1453" s="78" t="n">
        <x:f>AC1452+AB1453</x:f>
        <x:v>5646003.838870412</x:v>
      </x:c>
      <x:c r="AD1453" s="80" t="n">
        <x:f>Z1453/(1+'Inputs'!$C$47)</x:f>
        <x:v>513.9751322559965</x:v>
      </x:c>
      <x:c r="AE1453" s="80" t="n">
        <x:f>Z1453-AD1453</x:f>
        <x:v>770.9626983839947</x:v>
      </x:c>
      <x:c r="AF1453" s="80" t="n">
        <x:f>D1453*W1453</x:f>
        <x:v>7133.174746694761</x:v>
      </x:c>
      <x:c r="AG1453" s="80" t="n">
        <x:f>C1453*W1453</x:f>
        <x:v>16644.074408954166</x:v>
      </x:c>
      <x:c r="AH1453" s="80" t="n">
        <x:f>2*'Inputs'!$B$8*'Inputs'!$C$47</x:f>
        <x:v>7500</x:v>
      </x:c>
      <x:c r="AI1453" s="81" t="n">
        <x:f>IF(AH1453&gt;0,(AE1453+AF1453)/AH1453*365,0)</x:f>
        <x:v>384.6680223271661</x:v>
      </x:c>
      <x:c r="AJ1453" s="81" t="n">
        <x:f>IF('Inputs'!$B$47&gt;0,AG1453/('Inputs'!$B$19*'Inputs'!$B$47)*365,0)</x:f>
        <x:v>607.5087159268271</x:v>
      </x:c>
      <x:c r="AK1453" s="81" t="n">
        <x:f>W1453/MAX($W$1099:W1453)-1</x:f>
        <x:v>0</x:v>
      </x:c>
      <x:c r="AL1453" s="83" t="n">
        <x:f>'Inputs'!$B$47</x:f>
        <x:v>1</x:v>
      </x:c>
      <x:c r="AM1453" s="83" t="n">
        <x:f>'Inputs'!$C$47</x:f>
        <x:v>1.5</x:v>
      </x:c>
      <x:c r="AN1453" s="83" t="n">
        <x:f>'Inputs'!$D$47</x:f>
        <x:v>1.5</x:v>
      </x:c>
      <x:c r="AO1453" s="81" t="n">
        <x:f>'Inputs'!$E$47</x:f>
        <x:v>0.05</x:v>
      </x:c>
    </x:row>
    <x:row r="1454">
      <x:c r="A1454" s="59" t="str">
        <x:v>Growth</x:v>
      </x:c>
      <x:c r="B1454" s="59" t="n">
        <x:v>356</x:v>
      </x:c>
      <x:c r="C1454" s="78" t="n">
        <x:f>(('Inputs'!$B$29*(3*356*'Inputs'!$B$12-356^2)/(2*'Inputs'!$B$12^2))-('Inputs'!$B$29*(3*355*'Inputs'!$B$12-355^2)/(2*'Inputs'!$B$12^2)))*'Inputs'!$B$47</x:f>
        <x:v>596410.4428598285</x:v>
      </x:c>
      <x:c r="D1454" s="78" t="n">
        <x:f>IF('Inputs'!$C$47&gt;0,('Inputs'!$B$30*(3*356*'Inputs'!$B$12-356^2)/(2*'Inputs'!$B$12^2))-('Inputs'!$B$30*(3*355*'Inputs'!$B$12-355^2)/(2*'Inputs'!$B$12^2)),0)</x:f>
        <x:v>255604.4755113572</x:v>
      </x:c>
      <x:c r="E1454" s="78" t="n">
        <x:f>C1454+D1454</x:f>
        <x:v>852014.9183711857</x:v>
      </x:c>
      <x:c r="F1454" s="78" t="n">
        <x:f>'Inputs'!$B$13*E1454+(1-'Inputs'!$B$13)/'Inputs'!$B$14*SUM(E1399:E1454)</x:f>
        <x:v>862232.5952336293</x:v>
      </x:c>
      <x:c r="G1454" s="78" t="n">
        <x:f>F1454*'Inputs'!$F$47</x:f>
        <x:v>301781.4083317703</x:v>
      </x:c>
      <x:c r="H1454" s="78" t="n">
        <x:f>U1453</x:f>
        <x:v>1739332.5432808818</x:v>
      </x:c>
      <x:c r="I1454" s="78" t="n">
        <x:f>V1453</x:f>
        <x:v>48513.24885104267</x:v>
      </x:c>
      <x:c r="J1454" s="79" t="n">
        <x:f>IF(H1454&gt;0,I1454/H1454,0)</x:f>
        <x:v>0.027891876707793164</x:v>
      </x:c>
      <x:c r="K1454" s="80" t="n">
        <x:f>(H1454*J1454+I1454)*'Inputs'!$D$47*(1+'Inputs'!$G$47)^(B1454/30)</x:f>
        <x:v>206688.6748187227</x:v>
      </x:c>
      <x:c r="L1454" s="80" t="n">
        <x:f>MAX(0,K1454*'Inputs'!$E$47)</x:f>
        <x:v>10334.433740936136</x:v>
      </x:c>
      <x:c r="M1454" s="80" t="n">
        <x:f>MAX(0,-K1454*'Inputs'!$E$47)</x:f>
        <x:v>0</x:v>
      </x:c>
      <x:c r="N1454" s="78" t="n">
        <x:f>H1454*(L1454*(1-'Inputs'!$B$15))/(I1454+L1454*(1-'Inputs'!$B$15))</x:f>
        <x:v>302927.3506436358</x:v>
      </x:c>
      <x:c r="O1454" s="78" t="n">
        <x:f>H1454-N1454</x:f>
        <x:v>1436405.192637246</x:v>
      </x:c>
      <x:c r="P1454" s="78" t="n">
        <x:f>I1454+L1454*(1-'Inputs'!$B$17)</x:f>
        <x:v>58806.09533346397</x:v>
      </x:c>
      <x:c r="Q1454" s="78" t="n">
        <x:f>IF(J1454&gt;0,M1454/J1454,0)</x:f>
        <x:v>0</x:v>
      </x:c>
      <x:c r="R1454" s="78" t="n">
        <x:f>IF(B1454='Inputs'!$H$47,'Inputs'!$B$27*'Inputs'!$I$47,0)</x:f>
        <x:v>0</x:v>
      </x:c>
      <x:c r="S1454" s="78" t="n">
        <x:f>Q1454+G1454+R1454</x:f>
        <x:v>301781.4083317703</x:v>
      </x:c>
      <x:c r="T1454" s="78" t="n">
        <x:f>P1454*(S1454*(1-'Inputs'!$B$15))/(O1454+S1454*(1-'Inputs'!$B$15))</x:f>
        <x:v>10125.309156278747</x:v>
      </x:c>
      <x:c r="U1454" s="78" t="n">
        <x:f>O1454+S1454*(1-'Inputs'!$B$17)</x:f>
        <x:v>1736972.1888630535</x:v>
      </x:c>
      <x:c r="V1454" s="78" t="n">
        <x:f>P1454-T1454</x:f>
        <x:v>48680.786177185226</x:v>
      </x:c>
      <x:c r="W1454" s="79" t="n">
        <x:f>IF(U1454&gt;0,V1454/U1454,0)</x:f>
        <x:v>0.028026232365326215</x:v>
      </x:c>
      <x:c r="X1454" s="80" t="n">
        <x:f>W1454*('Inputs'!$B$6-AC1454)</x:f>
        <x:v>27867565.132348515</x:v>
      </x:c>
      <x:c r="Y1454" s="80" t="n">
        <x:f>2*V1454</x:f>
        <x:v>97361.57235437045</x:v>
      </x:c>
      <x:c r="Z1454" s="80" t="n">
        <x:f>K1454*'Inputs'!$B$16+(G1454+R1454)*J1454*'Inputs'!$B$16</x:f>
        <x:v>1290.6355479156998</x:v>
      </x:c>
      <x:c r="AA1454" s="80" t="n">
        <x:f>K1454*(1+'Inputs'!$E$47)/2*'Inputs'!$B$17</x:f>
        <x:v>436.6662144057522</x:v>
      </x:c>
      <x:c r="AB1454" s="78" t="n">
        <x:f>(IF(J1454&gt;0,K1454*(1-'Inputs'!$E$47)/2/J1454,0)+G1454+R1454)*'Inputs'!$B$17</x:f>
        <x:v>15379.072305415526</x:v>
      </x:c>
      <x:c r="AC1454" s="78" t="n">
        <x:f>AC1453+AB1454</x:f>
        <x:v>5661382.9111758275</x:v>
      </x:c>
      <x:c r="AD1454" s="80" t="n">
        <x:f>Z1454/(1+'Inputs'!$C$47)</x:f>
        <x:v>516.2542191662799</x:v>
      </x:c>
      <x:c r="AE1454" s="80" t="n">
        <x:f>Z1454-AD1454</x:f>
        <x:v>774.3813287494199</x:v>
      </x:c>
      <x:c r="AF1454" s="80" t="n">
        <x:f>D1454*W1454</x:f>
        <x:v>7163.630424298631</x:v>
      </x:c>
      <x:c r="AG1454" s="80" t="n">
        <x:f>C1454*W1454</x:f>
        <x:v>16715.137656696665</x:v>
      </x:c>
      <x:c r="AH1454" s="80" t="n">
        <x:f>2*'Inputs'!$B$8*'Inputs'!$C$47</x:f>
        <x:v>7500</x:v>
      </x:c>
      <x:c r="AI1454" s="81" t="n">
        <x:f>IF(AH1454&gt;0,(AE1454+AF1454)/AH1454*365,0)</x:f>
        <x:v>386.3165719816718</x:v>
      </x:c>
      <x:c r="AJ1454" s="81" t="n">
        <x:f>IF('Inputs'!$B$47&gt;0,AG1454/('Inputs'!$B$19*'Inputs'!$B$47)*365,0)</x:f>
        <x:v>610.1025244694282</x:v>
      </x:c>
      <x:c r="AK1454" s="81" t="n">
        <x:f>W1454/MAX($W$1099:W1454)-1</x:f>
        <x:v>0</x:v>
      </x:c>
      <x:c r="AL1454" s="83" t="n">
        <x:f>'Inputs'!$B$47</x:f>
        <x:v>1</x:v>
      </x:c>
      <x:c r="AM1454" s="83" t="n">
        <x:f>'Inputs'!$C$47</x:f>
        <x:v>1.5</x:v>
      </x:c>
      <x:c r="AN1454" s="83" t="n">
        <x:f>'Inputs'!$D$47</x:f>
        <x:v>1.5</x:v>
      </x:c>
      <x:c r="AO1454" s="81" t="n">
        <x:f>'Inputs'!$E$47</x:f>
        <x:v>0.05</x:v>
      </x:c>
    </x:row>
    <x:row r="1455">
      <x:c r="A1455" s="59" t="str">
        <x:v>Growth</x:v>
      </x:c>
      <x:c r="B1455" s="59" t="n">
        <x:v>357</x:v>
      </x:c>
      <x:c r="C1455" s="78" t="n">
        <x:f>(('Inputs'!$B$29*(3*357*'Inputs'!$B$12-357^2)/(2*'Inputs'!$B$12^2))-('Inputs'!$B$29*(3*356*'Inputs'!$B$12-356^2)/(2*'Inputs'!$B$12^2)))*'Inputs'!$B$47</x:f>
        <x:v>596085.334959656</x:v>
      </x:c>
      <x:c r="D1455" s="78" t="n">
        <x:f>IF('Inputs'!$C$47&gt;0,('Inputs'!$B$30*(3*357*'Inputs'!$B$12-357^2)/(2*'Inputs'!$B$12^2))-('Inputs'!$B$30*(3*356*'Inputs'!$B$12-356^2)/(2*'Inputs'!$B$12^2)),0)</x:f>
        <x:v>255465.14355413616</x:v>
      </x:c>
      <x:c r="E1455" s="78" t="n">
        <x:f>C1455+D1455</x:f>
        <x:v>851550.4785137922</x:v>
      </x:c>
      <x:c r="F1455" s="78" t="n">
        <x:f>'Inputs'!$B$13*E1455+(1-'Inputs'!$B$13)/'Inputs'!$B$14*SUM(E1400:E1455)</x:f>
        <x:v>861768.1553762429</x:v>
      </x:c>
      <x:c r="G1455" s="78" t="n">
        <x:f>F1455*'Inputs'!$F$47</x:f>
        <x:v>301618.854381685</x:v>
      </x:c>
      <x:c r="H1455" s="78" t="n">
        <x:f>U1454</x:f>
        <x:v>1736972.1888630535</x:v>
      </x:c>
      <x:c r="I1455" s="78" t="n">
        <x:f>V1454</x:f>
        <x:v>48680.786177185226</x:v>
      </x:c>
      <x:c r="J1455" s="79" t="n">
        <x:f>IF(H1455&gt;0,I1455/H1455,0)</x:f>
        <x:v>0.028026232365326215</x:v>
      </x:c>
      <x:c r="K1455" s="80" t="n">
        <x:f>(H1455*J1455+I1455)*'Inputs'!$D$47*(1+'Inputs'!$G$47)^(B1455/30)</x:f>
        <x:v>207606.9135980206</x:v>
      </x:c>
      <x:c r="L1455" s="80" t="n">
        <x:f>MAX(0,K1455*'Inputs'!$E$47)</x:f>
        <x:v>10380.345679901031</x:v>
      </x:c>
      <x:c r="M1455" s="80" t="n">
        <x:f>MAX(0,-K1455*'Inputs'!$E$47)</x:f>
        <x:v>0</x:v>
      </x:c>
      <x:c r="N1455" s="78" t="n">
        <x:f>H1455*(L1455*(1-'Inputs'!$B$15))/(I1455+L1455*(1-'Inputs'!$B$15))</x:f>
        <x:v>302762.498293904</x:v>
      </x:c>
      <x:c r="O1455" s="78" t="n">
        <x:f>H1455-N1455</x:f>
        <x:v>1434209.6905691493</x:v>
      </x:c>
      <x:c r="P1455" s="78" t="n">
        <x:f>I1455+L1455*(1-'Inputs'!$B$17)</x:f>
        <x:v>59019.3598422778</x:v>
      </x:c>
      <x:c r="Q1455" s="78" t="n">
        <x:f>IF(J1455&gt;0,M1455/J1455,0)</x:f>
        <x:v>0</x:v>
      </x:c>
      <x:c r="R1455" s="78" t="n">
        <x:f>IF(B1455='Inputs'!$H$47,'Inputs'!$B$27*'Inputs'!$I$47,0)</x:f>
        <x:v>0</x:v>
      </x:c>
      <x:c r="S1455" s="78" t="n">
        <x:f>Q1455+G1455+R1455</x:f>
        <x:v>301618.854381685</x:v>
      </x:c>
      <x:c r="T1455" s="78" t="n">
        <x:f>P1455*(S1455*(1-'Inputs'!$B$15))/(O1455+S1455*(1-'Inputs'!$B$15))</x:f>
        <x:v>10170.367333650902</x:v>
      </x:c>
      <x:c r="U1455" s="78" t="n">
        <x:f>O1455+S1455*(1-'Inputs'!$B$17)</x:f>
        <x:v>1734614.7869855156</x:v>
      </x:c>
      <x:c r="V1455" s="78" t="n">
        <x:f>P1455-T1455</x:f>
        <x:v>48848.9925086269</x:v>
      </x:c>
      <x:c r="W1455" s="79" t="n">
        <x:f>IF(U1455&gt;0,V1455/U1455,0)</x:f>
        <x:v>0.028161291414746138</x:v>
      </x:c>
      <x:c r="X1455" s="80" t="n">
        <x:f>W1455*('Inputs'!$B$6-AC1455)</x:f>
        <x:v>28001426.63328888</x:v>
      </x:c>
      <x:c r="Y1455" s="80" t="n">
        <x:f>2*V1455</x:f>
        <x:v>97697.9850172538</x:v>
      </x:c>
      <x:c r="Z1455" s="80" t="n">
        <x:f>K1455*'Inputs'!$B$16+(G1455+R1455)*J1455*'Inputs'!$B$16</x:f>
        <x:v>1296.3609221801112</x:v>
      </x:c>
      <x:c r="AA1455" s="80" t="n">
        <x:f>K1455*(1+'Inputs'!$E$47)/2*'Inputs'!$B$17</x:f>
        <x:v>438.606155488776</x:v>
      </x:c>
      <x:c r="AB1455" s="78" t="n">
        <x:f>(IF(J1455&gt;0,K1455*(1-'Inputs'!$E$47)/2/J1455,0)+G1455+R1455)*'Inputs'!$B$17</x:f>
        <x:v>15373.14034349662</x:v>
      </x:c>
      <x:c r="AC1455" s="78" t="n">
        <x:f>AC1454+AB1455</x:f>
        <x:v>5676756.051519324</x:v>
      </x:c>
      <x:c r="AD1455" s="80" t="n">
        <x:f>Z1455/(1+'Inputs'!$C$47)</x:f>
        <x:v>518.5443688720445</x:v>
      </x:c>
      <x:c r="AE1455" s="80" t="n">
        <x:f>Z1455-AD1455</x:f>
        <x:v>777.8165533080667</x:v>
      </x:c>
      <x:c r="AF1455" s="80" t="n">
        <x:f>D1455*W1455</x:f>
        <x:v>7194.228353937984</x:v>
      </x:c>
      <x:c r="AG1455" s="80" t="n">
        <x:f>C1455*W1455</x:f>
        <x:v>16786.532825855436</x:v>
      </x:c>
      <x:c r="AH1455" s="80" t="n">
        <x:f>2*'Inputs'!$B$8*'Inputs'!$C$47</x:f>
        <x:v>7500</x:v>
      </x:c>
      <x:c r="AI1455" s="81" t="n">
        <x:f>IF(AH1455&gt;0,(AE1455+AF1455)/AH1455*365,0)</x:f>
        <x:v>387.9728521526411</x:v>
      </x:c>
      <x:c r="AJ1455" s="81" t="n">
        <x:f>IF('Inputs'!$B$47&gt;0,AG1455/('Inputs'!$B$19*'Inputs'!$B$47)*365,0)</x:f>
        <x:v>612.7084481437234</x:v>
      </x:c>
      <x:c r="AK1455" s="81" t="n">
        <x:f>W1455/MAX($W$1099:W1455)-1</x:f>
        <x:v>0</x:v>
      </x:c>
      <x:c r="AL1455" s="83" t="n">
        <x:f>'Inputs'!$B$47</x:f>
        <x:v>1</x:v>
      </x:c>
      <x:c r="AM1455" s="83" t="n">
        <x:f>'Inputs'!$C$47</x:f>
        <x:v>1.5</x:v>
      </x:c>
      <x:c r="AN1455" s="83" t="n">
        <x:f>'Inputs'!$D$47</x:f>
        <x:v>1.5</x:v>
      </x:c>
      <x:c r="AO1455" s="81" t="n">
        <x:f>'Inputs'!$E$47</x:f>
        <x:v>0.05</x:v>
      </x:c>
    </x:row>
    <x:row r="1456">
      <x:c r="A1456" s="59" t="str">
        <x:v>Growth</x:v>
      </x:c>
      <x:c r="B1456" s="59" t="n">
        <x:v>358</x:v>
      </x:c>
      <x:c r="C1456" s="78" t="n">
        <x:f>(('Inputs'!$B$29*(3*358*'Inputs'!$B$12-358^2)/(2*'Inputs'!$B$12^2))-('Inputs'!$B$29*(3*357*'Inputs'!$B$12-357^2)/(2*'Inputs'!$B$12^2)))*'Inputs'!$B$47</x:f>
        <x:v>595760.2270594835</x:v>
      </x:c>
      <x:c r="D1456" s="78" t="n">
        <x:f>IF('Inputs'!$C$47&gt;0,('Inputs'!$B$30*(3*358*'Inputs'!$B$12-358^2)/(2*'Inputs'!$B$12^2))-('Inputs'!$B$30*(3*357*'Inputs'!$B$12-357^2)/(2*'Inputs'!$B$12^2)),0)</x:f>
        <x:v>255325.81159693003</x:v>
      </x:c>
      <x:c r="E1456" s="78" t="n">
        <x:f>C1456+D1456</x:f>
        <x:v>851086.0386564136</x:v>
      </x:c>
      <x:c r="F1456" s="78" t="n">
        <x:f>'Inputs'!$B$13*E1456+(1-'Inputs'!$B$13)/'Inputs'!$B$14*SUM(E1401:E1456)</x:f>
        <x:v>861303.7155188601</x:v>
      </x:c>
      <x:c r="G1456" s="78" t="n">
        <x:f>F1456*'Inputs'!$F$47</x:f>
        <x:v>301456.300431601</x:v>
      </x:c>
      <x:c r="H1456" s="78" t="n">
        <x:f>U1455</x:f>
        <x:v>1734614.7869855156</x:v>
      </x:c>
      <x:c r="I1456" s="78" t="n">
        <x:f>V1455</x:f>
        <x:v>48848.9925086269</x:v>
      </x:c>
      <x:c r="J1456" s="79" t="n">
        <x:f>IF(H1456&gt;0,I1456/H1456,0)</x:f>
        <x:v>0.028161291414746138</x:v>
      </x:c>
      <x:c r="K1456" s="80" t="n">
        <x:f>(H1456*J1456+I1456)*'Inputs'!$D$47*(1+'Inputs'!$G$47)^(B1456/30)</x:f>
        <x:v>208529.6177778849</x:v>
      </x:c>
      <x:c r="L1456" s="80" t="n">
        <x:f>MAX(0,K1456*'Inputs'!$E$47)</x:f>
        <x:v>10426.480888894246</x:v>
      </x:c>
      <x:c r="M1456" s="80" t="n">
        <x:f>MAX(0,-K1456*'Inputs'!$E$47)</x:f>
        <x:v>0</x:v>
      </x:c>
      <x:c r="N1456" s="78" t="n">
        <x:f>H1456*(L1456*(1-'Inputs'!$B$15))/(I1456+L1456*(1-'Inputs'!$B$15))</x:f>
        <x:v>302597.64966634015</x:v>
      </x:c>
      <x:c r="O1456" s="78" t="n">
        <x:f>H1456-N1456</x:f>
        <x:v>1432017.1373191755</x:v>
      </x:c>
      <x:c r="P1456" s="78" t="n">
        <x:f>I1456+L1456*(1-'Inputs'!$B$17)</x:f>
        <x:v>59233.51572794813</x:v>
      </x:c>
      <x:c r="Q1456" s="78" t="n">
        <x:f>IF(J1456&gt;0,M1456/J1456,0)</x:f>
        <x:v>0</x:v>
      </x:c>
      <x:c r="R1456" s="78" t="n">
        <x:f>IF(B1456='Inputs'!$H$47,'Inputs'!$B$27*'Inputs'!$I$47,0)</x:f>
        <x:v>0</x:v>
      </x:c>
      <x:c r="S1456" s="78" t="n">
        <x:f>Q1456+G1456+R1456</x:f>
        <x:v>301456.300431601</x:v>
      </x:c>
      <x:c r="T1456" s="78" t="n">
        <x:f>P1456*(S1456*(1-'Inputs'!$B$15))/(O1456+S1456*(1-'Inputs'!$B$15))</x:f>
        <x:v>10215.64488226588</x:v>
      </x:c>
      <x:c r="U1456" s="78" t="n">
        <x:f>O1456+S1456*(1-'Inputs'!$B$17)</x:f>
        <x:v>1732260.3339261021</x:v>
      </x:c>
      <x:c r="V1456" s="78" t="n">
        <x:f>P1456-T1456</x:f>
        <x:v>49017.87084568225</x:v>
      </x:c>
      <x:c r="W1456" s="79" t="n">
        <x:f>IF(U1456&gt;0,V1456/U1456,0)</x:f>
        <x:v>0.02829705782997704</x:v>
      </x:c>
      <x:c r="X1456" s="80" t="n">
        <x:f>W1456*('Inputs'!$B$6-AC1456)</x:f>
        <x:v>28135987.488918476</x:v>
      </x:c>
      <x:c r="Y1456" s="80" t="n">
        <x:f>2*V1456</x:f>
        <x:v>98035.7416913645</x:v>
      </x:c>
      <x:c r="Z1456" s="80" t="n">
        <x:f>K1456*'Inputs'!$B$16+(G1456+R1456)*J1456*'Inputs'!$B$16</x:f>
        <x:v>1302.1140990189028</x:v>
      </x:c>
      <x:c r="AA1456" s="80" t="n">
        <x:f>K1456*(1+'Inputs'!$E$47)/2*'Inputs'!$B$17</x:f>
        <x:v>440.55553051665834</x:v>
      </x:c>
      <x:c r="AB1456" s="78" t="n">
        <x:f>(IF(J1456&gt;0,K1456*(1-'Inputs'!$E$47)/2/J1456,0)+G1456+R1456)*'Inputs'!$B$17</x:f>
        <x:v>15367.208303523912</x:v>
      </x:c>
      <x:c r="AC1456" s="78" t="n">
        <x:f>AC1455+AB1456</x:f>
        <x:v>5692123.259822848</x:v>
      </x:c>
      <x:c r="AD1456" s="80" t="n">
        <x:f>Z1456/(1+'Inputs'!$C$47)</x:f>
        <x:v>520.8456396075611</x:v>
      </x:c>
      <x:c r="AE1456" s="80" t="n">
        <x:f>Z1456-AD1456</x:f>
        <x:v>781.2684594113417</x:v>
      </x:c>
      <x:c r="AF1456" s="80" t="n">
        <x:f>D1456*W1456</x:f>
        <x:v>7224.969256244151</x:v>
      </x:c>
      <x:c r="AG1456" s="80" t="n">
        <x:f>C1456*W1456</x:f>
        <x:v>16858.261597902456</x:v>
      </x:c>
      <x:c r="AH1456" s="80" t="n">
        <x:f>2*'Inputs'!$B$8*'Inputs'!$C$47</x:f>
        <x:v>7500</x:v>
      </x:c>
      <x:c r="AI1456" s="81" t="n">
        <x:f>IF(AH1456&gt;0,(AE1456+AF1456)/AH1456*365,0)</x:f>
        <x:v>389.63690216190065</x:v>
      </x:c>
      <x:c r="AJ1456" s="81" t="n">
        <x:f>IF('Inputs'!$B$47&gt;0,AG1456/('Inputs'!$B$19*'Inputs'!$B$47)*365,0)</x:f>
        <x:v>615.3265483234396</x:v>
      </x:c>
      <x:c r="AK1456" s="81" t="n">
        <x:f>W1456/MAX($W$1099:W1456)-1</x:f>
        <x:v>0</x:v>
      </x:c>
      <x:c r="AL1456" s="83" t="n">
        <x:f>'Inputs'!$B$47</x:f>
        <x:v>1</x:v>
      </x:c>
      <x:c r="AM1456" s="83" t="n">
        <x:f>'Inputs'!$C$47</x:f>
        <x:v>1.5</x:v>
      </x:c>
      <x:c r="AN1456" s="83" t="n">
        <x:f>'Inputs'!$D$47</x:f>
        <x:v>1.5</x:v>
      </x:c>
      <x:c r="AO1456" s="81" t="n">
        <x:f>'Inputs'!$E$47</x:f>
        <x:v>0.05</x:v>
      </x:c>
    </x:row>
    <x:row r="1457">
      <x:c r="A1457" s="59" t="str">
        <x:v>Growth</x:v>
      </x:c>
      <x:c r="B1457" s="59" t="n">
        <x:v>359</x:v>
      </x:c>
      <x:c r="C1457" s="78" t="n">
        <x:f>(('Inputs'!$B$29*(3*359*'Inputs'!$B$12-359^2)/(2*'Inputs'!$B$12^2))-('Inputs'!$B$29*(3*358*'Inputs'!$B$12-358^2)/(2*'Inputs'!$B$12^2)))*'Inputs'!$B$47</x:f>
        <x:v>595435.119159311</x:v>
      </x:c>
      <x:c r="D1457" s="78" t="n">
        <x:f>IF('Inputs'!$C$47&gt;0,('Inputs'!$B$30*(3*359*'Inputs'!$B$12-359^2)/(2*'Inputs'!$B$12^2))-('Inputs'!$B$30*(3*358*'Inputs'!$B$12-358^2)/(2*'Inputs'!$B$12^2)),0)</x:f>
        <x:v>255186.479639709</x:v>
      </x:c>
      <x:c r="E1457" s="78" t="n">
        <x:f>C1457+D1457</x:f>
        <x:v>850621.59879902</x:v>
      </x:c>
      <x:c r="F1457" s="78" t="n">
        <x:f>'Inputs'!$B$13*E1457+(1-'Inputs'!$B$13)/'Inputs'!$B$14*SUM(E1402:E1457)</x:f>
        <x:v>860839.2756614743</x:v>
      </x:c>
      <x:c r="G1457" s="78" t="n">
        <x:f>F1457*'Inputs'!$F$47</x:f>
        <x:v>301293.746481516</x:v>
      </x:c>
      <x:c r="H1457" s="78" t="n">
        <x:f>U1456</x:f>
        <x:v>1732260.3339261021</x:v>
      </x:c>
      <x:c r="I1457" s="78" t="n">
        <x:f>V1456</x:f>
        <x:v>49017.87084568225</x:v>
      </x:c>
      <x:c r="J1457" s="79" t="n">
        <x:f>IF(H1457&gt;0,I1457/H1457,0)</x:f>
        <x:v>0.02829705782997704</x:v>
      </x:c>
      <x:c r="K1457" s="80" t="n">
        <x:f>(H1457*J1457+I1457)*'Inputs'!$D$47*(1+'Inputs'!$G$47)^(B1457/30)</x:f>
        <x:v>209456.8109056367</x:v>
      </x:c>
      <x:c r="L1457" s="80" t="n">
        <x:f>MAX(0,K1457*'Inputs'!$E$47)</x:f>
        <x:v>10472.840545281835</x:v>
      </x:c>
      <x:c r="M1457" s="80" t="n">
        <x:f>MAX(0,-K1457*'Inputs'!$E$47)</x:f>
        <x:v>0</x:v>
      </x:c>
      <x:c r="N1457" s="78" t="n">
        <x:f>H1457*(L1457*(1-'Inputs'!$B$15))/(I1457+L1457*(1-'Inputs'!$B$15))</x:f>
        <x:v>302432.804756391</x:v>
      </x:c>
      <x:c r="O1457" s="78" t="n">
        <x:f>H1457-N1457</x:f>
        <x:v>1429827.5291697113</x:v>
      </x:c>
      <x:c r="P1457" s="78" t="n">
        <x:f>I1457+L1457*(1-'Inputs'!$B$17)</x:f>
        <x:v>59448.567163417676</x:v>
      </x:c>
      <x:c r="Q1457" s="78" t="n">
        <x:f>IF(J1457&gt;0,M1457/J1457,0)</x:f>
        <x:v>0</x:v>
      </x:c>
      <x:c r="R1457" s="78" t="n">
        <x:f>IF(B1457='Inputs'!$H$47,'Inputs'!$B$27*'Inputs'!$I$47,0)</x:f>
        <x:v>0</x:v>
      </x:c>
      <x:c r="S1457" s="78" t="n">
        <x:f>Q1457+G1457+R1457</x:f>
        <x:v>301293.746481516</x:v>
      </x:c>
      <x:c r="T1457" s="78" t="n">
        <x:f>P1457*(S1457*(1-'Inputs'!$B$15))/(O1457+S1457*(1-'Inputs'!$B$15))</x:f>
        <x:v>10261.142959935825</x:v>
      </x:c>
      <x:c r="U1457" s="78" t="n">
        <x:f>O1457+S1457*(1-'Inputs'!$B$17)</x:f>
        <x:v>1729908.825967197</x:v>
      </x:c>
      <x:c r="V1457" s="78" t="n">
        <x:f>P1457-T1457</x:f>
        <x:v>49187.42420348185</x:v>
      </x:c>
      <x:c r="W1457" s="79" t="n">
        <x:f>IF(U1457&gt;0,V1457/U1457,0)</x:f>
        <x:v>0.02843353560901166</x:v>
      </x:c>
      <x:c r="X1457" s="80" t="n">
        <x:f>W1457*('Inputs'!$B$6-AC1457)</x:f>
        <x:v>28271251.64421923</x:v>
      </x:c>
      <x:c r="Y1457" s="80" t="n">
        <x:f>2*V1457</x:f>
        <x:v>98374.8484069637</x:v>
      </x:c>
      <x:c r="Z1457" s="80" t="n">
        <x:f>K1457*'Inputs'!$B$16+(G1457+R1457)*J1457*'Inputs'!$B$16</x:f>
        <x:v>1307.8952248418075</x:v>
      </x:c>
      <x:c r="AA1457" s="80" t="n">
        <x:f>K1457*(1+'Inputs'!$E$47)/2*'Inputs'!$B$17</x:f>
        <x:v>442.51438923726073</x:v>
      </x:c>
      <x:c r="AB1457" s="78" t="n">
        <x:f>(IF(J1457&gt;0,K1457*(1-'Inputs'!$E$47)/2/J1457,0)+G1457+R1457)*'Inputs'!$B$17</x:f>
        <x:v>15361.276183819737</x:v>
      </x:c>
      <x:c r="AC1457" s="78" t="n">
        <x:f>AC1456+AB1457</x:f>
        <x:v>5707484.536006668</x:v>
      </x:c>
      <x:c r="AD1457" s="80" t="n">
        <x:f>Z1457/(1+'Inputs'!$C$47)</x:f>
        <x:v>523.158089936723</x:v>
      </x:c>
      <x:c r="AE1457" s="80" t="n">
        <x:f>Z1457-AD1457</x:f>
        <x:v>784.7371349050845</x:v>
      </x:c>
      <x:c r="AF1457" s="80" t="n">
        <x:f>D1457*W1457</x:f>
        <x:v>7255.853855773995</x:v>
      </x:c>
      <x:c r="AG1457" s="80" t="n">
        <x:f>C1457*W1457</x:f>
        <x:v>16930.325663472373</x:v>
      </x:c>
      <x:c r="AH1457" s="80" t="n">
        <x:f>2*'Inputs'!$B$8*'Inputs'!$C$47</x:f>
        <x:v>7500</x:v>
      </x:c>
      <x:c r="AI1457" s="81" t="n">
        <x:f>IF(AH1457&gt;0,(AE1457+AF1457)/AH1457*365,0)</x:f>
        <x:v>391.3087615463819</x:v>
      </x:c>
      <x:c r="AJ1457" s="81" t="n">
        <x:f>IF('Inputs'!$B$47&gt;0,AG1457/('Inputs'!$B$19*'Inputs'!$B$47)*365,0)</x:f>
        <x:v>617.9568867167416</x:v>
      </x:c>
      <x:c r="AK1457" s="81" t="n">
        <x:f>W1457/MAX($W$1099:W1457)-1</x:f>
        <x:v>0</x:v>
      </x:c>
      <x:c r="AL1457" s="83" t="n">
        <x:f>'Inputs'!$B$47</x:f>
        <x:v>1</x:v>
      </x:c>
      <x:c r="AM1457" s="83" t="n">
        <x:f>'Inputs'!$C$47</x:f>
        <x:v>1.5</x:v>
      </x:c>
      <x:c r="AN1457" s="83" t="n">
        <x:f>'Inputs'!$D$47</x:f>
        <x:v>1.5</x:v>
      </x:c>
      <x:c r="AO1457" s="81" t="n">
        <x:f>'Inputs'!$E$47</x:f>
        <x:v>0.05</x:v>
      </x:c>
    </x:row>
    <x:row r="1458">
      <x:c r="A1458" s="59" t="str">
        <x:v>Growth</x:v>
      </x:c>
      <x:c r="B1458" s="59" t="n">
        <x:v>360</x:v>
      </x:c>
      <x:c r="C1458" s="78" t="n">
        <x:f>(('Inputs'!$B$29*(3*360*'Inputs'!$B$12-360^2)/(2*'Inputs'!$B$12^2))-('Inputs'!$B$29*(3*359*'Inputs'!$B$12-359^2)/(2*'Inputs'!$B$12^2)))*'Inputs'!$B$47</x:f>
        <x:v>595110.0112591684</x:v>
      </x:c>
      <x:c r="D1458" s="78" t="n">
        <x:f>IF('Inputs'!$C$47&gt;0,('Inputs'!$B$30*(3*360*'Inputs'!$B$12-360^2)/(2*'Inputs'!$B$12^2))-('Inputs'!$B$30*(3*359*'Inputs'!$B$12-359^2)/(2*'Inputs'!$B$12^2)),0)</x:f>
        <x:v>255047.14768248796</x:v>
      </x:c>
      <x:c r="E1458" s="78" t="n">
        <x:f>C1458+D1458</x:f>
        <x:v>850157.1589416564</x:v>
      </x:c>
      <x:c r="F1458" s="78" t="n">
        <x:f>'Inputs'!$B$13*E1458+(1-'Inputs'!$B$13)/'Inputs'!$B$14*SUM(E1403:E1458)</x:f>
        <x:v>860374.8358040944</x:v>
      </x:c>
      <x:c r="G1458" s="78" t="n">
        <x:f>F1458*'Inputs'!$F$47</x:f>
        <x:v>301131.192531433</x:v>
      </x:c>
      <x:c r="H1458" s="78" t="n">
        <x:f>U1457</x:f>
        <x:v>1729908.825967197</x:v>
      </x:c>
      <x:c r="I1458" s="78" t="n">
        <x:f>V1457</x:f>
        <x:v>49187.42420348185</x:v>
      </x:c>
      <x:c r="J1458" s="79" t="n">
        <x:f>IF(H1458&gt;0,I1458/H1458,0)</x:f>
        <x:v>0.02843353560901166</x:v>
      </x:c>
      <x:c r="K1458" s="80" t="n">
        <x:f>(H1458*J1458+I1458)*'Inputs'!$D$47*(1+'Inputs'!$G$47)^(B1458/30)</x:f>
        <x:v>210388.51666210653</x:v>
      </x:c>
      <x:c r="L1458" s="80" t="n">
        <x:f>MAX(0,K1458*'Inputs'!$E$47)</x:f>
        <x:v>10519.425833105328</x:v>
      </x:c>
      <x:c r="M1458" s="80" t="n">
        <x:f>MAX(0,-K1458*'Inputs'!$E$47)</x:f>
        <x:v>0</x:v>
      </x:c>
      <x:c r="N1458" s="78" t="n">
        <x:f>H1458*(L1458*(1-'Inputs'!$B$15))/(I1458+L1458*(1-'Inputs'!$B$15))</x:f>
        <x:v>302267.96355950827</x:v>
      </x:c>
      <x:c r="O1458" s="78" t="n">
        <x:f>H1458-N1458</x:f>
        <x:v>1427640.8624076887</x:v>
      </x:c>
      <x:c r="P1458" s="78" t="n">
        <x:f>I1458+L1458*(1-'Inputs'!$B$17)</x:f>
        <x:v>59664.5183430938</x:v>
      </x:c>
      <x:c r="Q1458" s="78" t="n">
        <x:f>IF(J1458&gt;0,M1458/J1458,0)</x:f>
        <x:v>0</x:v>
      </x:c>
      <x:c r="R1458" s="78" t="n">
        <x:f>IF(B1458='Inputs'!$H$47,'Inputs'!$B$27*'Inputs'!$I$47,0)</x:f>
        <x:v>0</x:v>
      </x:c>
      <x:c r="S1458" s="78" t="n">
        <x:f>Q1458+G1458+R1458</x:f>
        <x:v>301131.192531433</x:v>
      </x:c>
      <x:c r="T1458" s="78" t="n">
        <x:f>P1458*(S1458*(1-'Inputs'!$B$15))/(O1458+S1458*(1-'Inputs'!$B$15))</x:f>
        <x:v>10306.862731042198</x:v>
      </x:c>
      <x:c r="U1458" s="78" t="n">
        <x:f>O1458+S1458*(1-'Inputs'!$B$17)</x:f>
        <x:v>1727560.2593957358</x:v>
      </x:c>
      <x:c r="V1458" s="78" t="n">
        <x:f>P1458-T1458</x:f>
        <x:v>49357.6556120516</x:v>
      </x:c>
      <x:c r="W1458" s="79" t="n">
        <x:f>IF(U1458&gt;0,V1458/U1458,0)</x:f>
        <x:v>0.02857072877406654</x:v>
      </x:c>
      <x:c r="X1458" s="80" t="n">
        <x:f>W1458*('Inputs'!$B$6-AC1458)</x:f>
        <x:v>28407223.068037953</x:v>
      </x:c>
      <x:c r="Y1458" s="80" t="n">
        <x:f>2*V1458</x:f>
        <x:v>98715.3112241032</x:v>
      </x:c>
      <x:c r="Z1458" s="80" t="n">
        <x:f>K1458*'Inputs'!$B$16+(G1458+R1458)*J1458*'Inputs'!$B$16</x:f>
        <x:v>1313.704446887599</x:v>
      </x:c>
      <x:c r="AA1458" s="80" t="n">
        <x:f>K1458*(1+'Inputs'!$E$47)/2*'Inputs'!$B$17</x:f>
        <x:v>444.48278168050683</x:v>
      </x:c>
      <x:c r="AB1458" s="78" t="n">
        <x:f>(IF(J1458&gt;0,K1458*(1-'Inputs'!$E$47)/2/J1458,0)+G1458+R1458)*'Inputs'!$B$17</x:f>
        <x:v>15355.343982703891</x:v>
      </x:c>
      <x:c r="AC1458" s="78" t="n">
        <x:f>AC1457+AB1458</x:f>
        <x:v>5722839.879989372</x:v>
      </x:c>
      <x:c r="AD1458" s="80" t="n">
        <x:f>Z1458/(1+'Inputs'!$C$47)</x:f>
        <x:v>525.4817787550396</x:v>
      </x:c>
      <x:c r="AE1458" s="80" t="n">
        <x:f>Z1458-AD1458</x:f>
        <x:v>788.2226681325594</x:v>
      </x:c>
      <x:c r="AF1458" s="80" t="n">
        <x:f>D1458*W1458</x:f>
        <x:v>7286.882881035657</x:v>
      </x:c>
      <x:c r="AG1458" s="80" t="n">
        <x:f>C1458*W1458</x:f>
        <x:v>17002.726722417385</x:v>
      </x:c>
      <x:c r="AH1458" s="80" t="n">
        <x:f>2*'Inputs'!$B$8*'Inputs'!$C$47</x:f>
        <x:v>7500</x:v>
      </x:c>
      <x:c r="AI1458" s="81" t="n">
        <x:f>IF(AH1458&gt;0,(AE1458+AF1458)/AH1458*365,0)</x:f>
        <x:v>392.9884700595199</x:v>
      </x:c>
      <x:c r="AJ1458" s="81" t="n">
        <x:f>IF('Inputs'!$B$47&gt;0,AG1458/('Inputs'!$B$19*'Inputs'!$B$47)*365,0)</x:f>
        <x:v>620.5995253682346</x:v>
      </x:c>
      <x:c r="AK1458" s="81" t="n">
        <x:f>W1458/MAX($W$1099:W1458)-1</x:f>
        <x:v>0</x:v>
      </x:c>
      <x:c r="AL1458" s="83" t="n">
        <x:f>'Inputs'!$B$47</x:f>
        <x:v>1</x:v>
      </x:c>
      <x:c r="AM1458" s="83" t="n">
        <x:f>'Inputs'!$C$47</x:f>
        <x:v>1.5</x:v>
      </x:c>
      <x:c r="AN1458" s="83" t="n">
        <x:f>'Inputs'!$D$47</x:f>
        <x:v>1.5</x:v>
      </x:c>
      <x:c r="AO1458" s="81" t="n">
        <x:f>'Inputs'!$E$47</x:f>
        <x:v>0.05</x:v>
      </x:c>
    </x:row>
    <x:row r="1459">
      <x:c r="A1459" s="59" t="str">
        <x:v>Growth</x:v>
      </x:c>
      <x:c r="B1459" s="59" t="n">
        <x:v>361</x:v>
      </x:c>
      <x:c r="C1459" s="78" t="n">
        <x:f>(('Inputs'!$B$29*(3*361*'Inputs'!$B$12-361^2)/(2*'Inputs'!$B$12^2))-('Inputs'!$B$29*(3*360*'Inputs'!$B$12-360^2)/(2*'Inputs'!$B$12^2)))*'Inputs'!$B$47</x:f>
        <x:v>594784.9033589661</x:v>
      </x:c>
      <x:c r="D1459" s="78" t="n">
        <x:f>IF('Inputs'!$C$47&gt;0,('Inputs'!$B$30*(3*361*'Inputs'!$B$12-361^2)/(2*'Inputs'!$B$12^2))-('Inputs'!$B$30*(3*360*'Inputs'!$B$12-360^2)/(2*'Inputs'!$B$12^2)),0)</x:f>
        <x:v>254907.81572526693</x:v>
      </x:c>
      <x:c r="E1459" s="78" t="n">
        <x:f>C1459+D1459</x:f>
        <x:v>849692.719084233</x:v>
      </x:c>
      <x:c r="F1459" s="78" t="n">
        <x:f>'Inputs'!$B$13*E1459+(1-'Inputs'!$B$13)/'Inputs'!$B$14*SUM(E1404:E1459)</x:f>
        <x:v>859910.395946702</x:v>
      </x:c>
      <x:c r="G1459" s="78" t="n">
        <x:f>F1459*'Inputs'!$F$47</x:f>
        <x:v>300968.6385813457</x:v>
      </x:c>
      <x:c r="H1459" s="78" t="n">
        <x:f>U1458</x:f>
        <x:v>1727560.2593957358</x:v>
      </x:c>
      <x:c r="I1459" s="78" t="n">
        <x:f>V1458</x:f>
        <x:v>49357.6556120516</x:v>
      </x:c>
      <x:c r="J1459" s="79" t="n">
        <x:f>IF(H1459&gt;0,I1459/H1459,0)</x:f>
        <x:v>0.02857072877406654</x:v>
      </x:c>
      <x:c r="K1459" s="80" t="n">
        <x:f>(H1459*J1459+I1459)*'Inputs'!$D$47*(1+'Inputs'!$G$47)^(B1459/30)</x:f>
        <x:v>211324.75886244205</x:v>
      </x:c>
      <x:c r="L1459" s="80" t="n">
        <x:f>MAX(0,K1459*'Inputs'!$E$47)</x:f>
        <x:v>10566.237943122103</x:v>
      </x:c>
      <x:c r="M1459" s="80" t="n">
        <x:f>MAX(0,-K1459*'Inputs'!$E$47)</x:f>
        <x:v>0</x:v>
      </x:c>
      <x:c r="N1459" s="78" t="n">
        <x:f>H1459*(L1459*(1-'Inputs'!$B$15))/(I1459+L1459*(1-'Inputs'!$B$15))</x:f>
        <x:v>302103.1260711498</x:v>
      </x:c>
      <x:c r="O1459" s="78" t="n">
        <x:f>H1459-N1459</x:f>
        <x:v>1425457.133324586</x:v>
      </x:c>
      <x:c r="P1459" s="78" t="n">
        <x:f>I1459+L1459*(1-'Inputs'!$B$17)</x:f>
        <x:v>59881.37348296798</x:v>
      </x:c>
      <x:c r="Q1459" s="78" t="n">
        <x:f>IF(J1459&gt;0,M1459/J1459,0)</x:f>
        <x:v>0</x:v>
      </x:c>
      <x:c r="R1459" s="78" t="n">
        <x:f>IF(B1459='Inputs'!$H$47,'Inputs'!$B$27*'Inputs'!$I$47,0)</x:f>
        <x:v>0</x:v>
      </x:c>
      <x:c r="S1459" s="78" t="n">
        <x:f>Q1459+G1459+R1459</x:f>
        <x:v>300968.6385813457</x:v>
      </x:c>
      <x:c r="T1459" s="78" t="n">
        <x:f>P1459*(S1459*(1-'Inputs'!$B$15))/(O1459+S1459*(1-'Inputs'!$B$15))</x:f>
        <x:v>10352.805366575061</x:v>
      </x:c>
      <x:c r="U1459" s="78" t="n">
        <x:f>O1459+S1459*(1-'Inputs'!$B$17)</x:f>
        <x:v>1725214.63050319</x:v>
      </x:c>
      <x:c r="V1459" s="78" t="n">
        <x:f>P1459-T1459</x:f>
        <x:v>49528.56811639292</x:v>
      </x:c>
      <x:c r="W1459" s="79" t="n">
        <x:f>IF(U1459&gt;0,V1459/U1459,0)</x:f>
        <x:v>0.028708641371738782</x:v>
      </x:c>
      <x:c r="X1459" s="80" t="n">
        <x:f>W1459*('Inputs'!$B$6-AC1459)</x:f>
        <x:v>28543905.753240563</x:v>
      </x:c>
      <x:c r="Y1459" s="80" t="n">
        <x:f>2*V1459</x:f>
        <x:v>99057.13623278584</x:v>
      </x:c>
      <x:c r="Z1459" s="80" t="n">
        <x:f>K1459*'Inputs'!$B$16+(G1459+R1459)*J1459*'Inputs'!$B$16</x:f>
        <x:v>1319.5419132290983</x:v>
      </x:c>
      <x:c r="AA1459" s="80" t="n">
        <x:f>K1459*(1+'Inputs'!$E$47)/2*'Inputs'!$B$17</x:f>
        <x:v>446.46075816008886</x:v>
      </x:c>
      <x:c r="AB1459" s="78" t="n">
        <x:f>(IF(J1459&gt;0,K1459*(1-'Inputs'!$E$47)/2/J1459,0)+G1459+R1459)*'Inputs'!$B$17</x:f>
        <x:v>15349.411698493632</x:v>
      </x:c>
      <x:c r="AC1459" s="78" t="n">
        <x:f>AC1458+AB1459</x:f>
        <x:v>5738189.291687865</x:v>
      </x:c>
      <x:c r="AD1459" s="80" t="n">
        <x:f>Z1459/(1+'Inputs'!$C$47)</x:f>
        <x:v>527.8167652916393</x:v>
      </x:c>
      <x:c r="AE1459" s="80" t="n">
        <x:f>Z1459-AD1459</x:f>
        <x:v>791.725147937459</x:v>
      </x:c>
      <x:c r="AF1459" s="80" t="n">
        <x:f>D1459*W1459</x:f>
        <x:v>7318.057064509964</x:v>
      </x:c>
      <x:c r="AG1459" s="80" t="n">
        <x:f>C1459*W1459</x:f>
        <x:v>17075.466483856868</x:v>
      </x:c>
      <x:c r="AH1459" s="80" t="n">
        <x:f>2*'Inputs'!$B$8*'Inputs'!$C$47</x:f>
        <x:v>7500</x:v>
      </x:c>
      <x:c r="AI1459" s="81" t="n">
        <x:f>IF(AH1459&gt;0,(AE1459+AF1459)/AH1459*365,0)</x:f>
        <x:v>394.6760676724413</x:v>
      </x:c>
      <x:c r="AJ1459" s="81" t="n">
        <x:f>IF('Inputs'!$B$47&gt;0,AG1459/('Inputs'!$B$19*'Inputs'!$B$47)*365,0)</x:f>
        <x:v>623.2545266607757</x:v>
      </x:c>
      <x:c r="AK1459" s="81" t="n">
        <x:f>W1459/MAX($W$1099:W1459)-1</x:f>
        <x:v>0</x:v>
      </x:c>
      <x:c r="AL1459" s="83" t="n">
        <x:f>'Inputs'!$B$47</x:f>
        <x:v>1</x:v>
      </x:c>
      <x:c r="AM1459" s="83" t="n">
        <x:f>'Inputs'!$C$47</x:f>
        <x:v>1.5</x:v>
      </x:c>
      <x:c r="AN1459" s="83" t="n">
        <x:f>'Inputs'!$D$47</x:f>
        <x:v>1.5</x:v>
      </x:c>
      <x:c r="AO1459" s="81" t="n">
        <x:f>'Inputs'!$E$47</x:f>
        <x:v>0.05</x:v>
      </x:c>
    </x:row>
    <x:row r="1460">
      <x:c r="A1460" s="59" t="str">
        <x:v>Growth</x:v>
      </x:c>
      <x:c r="B1460" s="59" t="n">
        <x:v>362</x:v>
      </x:c>
      <x:c r="C1460" s="78" t="n">
        <x:f>(('Inputs'!$B$29*(3*362*'Inputs'!$B$12-362^2)/(2*'Inputs'!$B$12^2))-('Inputs'!$B$29*(3*361*'Inputs'!$B$12-361^2)/(2*'Inputs'!$B$12^2)))*'Inputs'!$B$47</x:f>
        <x:v>594459.7954588234</x:v>
      </x:c>
      <x:c r="D1460" s="78" t="n">
        <x:f>IF('Inputs'!$C$47&gt;0,('Inputs'!$B$30*(3*362*'Inputs'!$B$12-362^2)/(2*'Inputs'!$B$12^2))-('Inputs'!$B$30*(3*361*'Inputs'!$B$12-361^2)/(2*'Inputs'!$B$12^2)),0)</x:f>
        <x:v>254768.4837680757</x:v>
      </x:c>
      <x:c r="E1460" s="78" t="n">
        <x:f>C1460+D1460</x:f>
        <x:v>849228.2792268991</x:v>
      </x:c>
      <x:c r="F1460" s="78" t="n">
        <x:f>'Inputs'!$B$13*E1460+(1-'Inputs'!$B$13)/'Inputs'!$B$14*SUM(E1405:E1460)</x:f>
        <x:v>859445.9560893283</x:v>
      </x:c>
      <x:c r="G1460" s="78" t="n">
        <x:f>F1460*'Inputs'!$F$47</x:f>
        <x:v>300806.08463126485</x:v>
      </x:c>
      <x:c r="H1460" s="78" t="n">
        <x:f>U1459</x:f>
        <x:v>1725214.63050319</x:v>
      </x:c>
      <x:c r="I1460" s="78" t="n">
        <x:f>V1459</x:f>
        <x:v>49528.56811639292</x:v>
      </x:c>
      <x:c r="J1460" s="79" t="n">
        <x:f>IF(H1460&gt;0,I1460/H1460,0)</x:f>
        <x:v>0.028708641371738782</x:v>
      </x:c>
      <x:c r="K1460" s="80" t="n">
        <x:f>(H1460*J1460+I1460)*'Inputs'!$D$47*(1+'Inputs'!$G$47)^(B1460/30)</x:f>
        <x:v>212265.56145692224</x:v>
      </x:c>
      <x:c r="L1460" s="80" t="n">
        <x:f>MAX(0,K1460*'Inputs'!$E$47)</x:f>
        <x:v>10613.278072846113</x:v>
      </x:c>
      <x:c r="M1460" s="80" t="n">
        <x:f>MAX(0,-K1460*'Inputs'!$E$47)</x:f>
        <x:v>0</x:v>
      </x:c>
      <x:c r="N1460" s="78" t="n">
        <x:f>H1460*(L1460*(1-'Inputs'!$B$15))/(I1460+L1460*(1-'Inputs'!$B$15))</x:f>
        <x:v>301938.29228677775</x:v>
      </x:c>
      <x:c r="O1460" s="78" t="n">
        <x:f>H1460-N1460</x:f>
        <x:v>1423276.3382164123</x:v>
      </x:c>
      <x:c r="P1460" s="78" t="n">
        <x:f>I1460+L1460*(1-'Inputs'!$B$17)</x:f>
        <x:v>60099.13682073663</x:v>
      </x:c>
      <x:c r="Q1460" s="78" t="n">
        <x:f>IF(J1460&gt;0,M1460/J1460,0)</x:f>
        <x:v>0</x:v>
      </x:c>
      <x:c r="R1460" s="78" t="n">
        <x:f>IF(B1460='Inputs'!$H$47,'Inputs'!$B$27*'Inputs'!$I$47,0)</x:f>
        <x:v>0</x:v>
      </x:c>
      <x:c r="S1460" s="78" t="n">
        <x:f>Q1460+G1460+R1460</x:f>
        <x:v>300806.08463126485</x:v>
      </x:c>
      <x:c r="T1460" s="78" t="n">
        <x:f>P1460*(S1460*(1-'Inputs'!$B$15))/(O1460+S1460*(1-'Inputs'!$B$15))</x:f>
        <x:v>10398.972044174017</x:v>
      </x:c>
      <x:c r="U1460" s="78" t="n">
        <x:f>O1460+S1460*(1-'Inputs'!$B$17)</x:f>
        <x:v>1722871.9355855796</x:v>
      </x:c>
      <x:c r="V1460" s="78" t="n">
        <x:f>P1460-T1460</x:f>
        <x:v>49700.16477656261</x:v>
      </x:c>
      <x:c r="W1460" s="79" t="n">
        <x:f>IF(U1460&gt;0,V1460/U1460,0)</x:f>
        <x:v>0.028847277473162992</x:v>
      </x:c>
      <x:c r="X1460" s="80" t="n">
        <x:f>W1460*('Inputs'!$B$6-AC1460)</x:f>
        <x:v>28681303.71686652</x:v>
      </x:c>
      <x:c r="Y1460" s="80" t="n">
        <x:f>2*V1460</x:f>
        <x:v>99400.32955312522</x:v>
      </x:c>
      <x:c r="Z1460" s="80" t="n">
        <x:f>K1460*'Inputs'!$B$16+(G1460+R1460)*J1460*'Inputs'!$B$16</x:f>
        <x:v>1325.4077727782287</x:v>
      </x:c>
      <x:c r="AA1460" s="80" t="n">
        <x:f>K1460*(1+'Inputs'!$E$47)/2*'Inputs'!$B$17</x:f>
        <x:v>448.4483692751879</x:v>
      </x:c>
      <x:c r="AB1460" s="78" t="n">
        <x:f>(IF(J1460&gt;0,K1460*(1-'Inputs'!$E$47)/2/J1460,0)+G1460+R1460)*'Inputs'!$B$17</x:f>
        <x:v>15343.479329503682</x:v>
      </x:c>
      <x:c r="AC1460" s="78" t="n">
        <x:f>AC1459+AB1460</x:f>
        <x:v>5753532.771017369</x:v>
      </x:c>
      <x:c r="AD1460" s="80" t="n">
        <x:f>Z1460/(1+'Inputs'!$C$47)</x:f>
        <x:v>530.1631091112915</x:v>
      </x:c>
      <x:c r="AE1460" s="80" t="n">
        <x:f>Z1460-AD1460</x:f>
        <x:v>795.2446636669372</x:v>
      </x:c>
      <x:c r="AF1460" s="80" t="n">
        <x:f>D1460*W1460</x:f>
        <x:v>7349.377142674702</x:v>
      </x:c>
      <x:c r="AG1460" s="80" t="n">
        <x:f>C1460*W1460</x:f>
        <x:v>17148.546666240396</x:v>
      </x:c>
      <x:c r="AH1460" s="80" t="n">
        <x:f>2*'Inputs'!$B$8*'Inputs'!$C$47</x:f>
        <x:v>7500</x:v>
      </x:c>
      <x:c r="AI1460" s="81" t="n">
        <x:f>IF(AH1460&gt;0,(AE1460+AF1460)/AH1460*365,0)</x:f>
        <x:v>396.3715945752931</x:v>
      </x:c>
      <x:c r="AJ1460" s="81" t="n">
        <x:f>IF('Inputs'!$B$47&gt;0,AG1460/('Inputs'!$B$19*'Inputs'!$B$47)*365,0)</x:f>
        <x:v>625.9219533177744</x:v>
      </x:c>
      <x:c r="AK1460" s="81" t="n">
        <x:f>W1460/MAX($W$1099:W1460)-1</x:f>
        <x:v>0</x:v>
      </x:c>
      <x:c r="AL1460" s="83" t="n">
        <x:f>'Inputs'!$B$47</x:f>
        <x:v>1</x:v>
      </x:c>
      <x:c r="AM1460" s="83" t="n">
        <x:f>'Inputs'!$C$47</x:f>
        <x:v>1.5</x:v>
      </x:c>
      <x:c r="AN1460" s="83" t="n">
        <x:f>'Inputs'!$D$47</x:f>
        <x:v>1.5</x:v>
      </x:c>
      <x:c r="AO1460" s="81" t="n">
        <x:f>'Inputs'!$E$47</x:f>
        <x:v>0.05</x:v>
      </x:c>
    </x:row>
    <x:row r="1461">
      <x:c r="A1461" s="59" t="str">
        <x:v>Growth</x:v>
      </x:c>
      <x:c r="B1461" s="59" t="n">
        <x:v>363</x:v>
      </x:c>
      <x:c r="C1461" s="78" t="n">
        <x:f>(('Inputs'!$B$29*(3*363*'Inputs'!$B$12-363^2)/(2*'Inputs'!$B$12^2))-('Inputs'!$B$29*(3*362*'Inputs'!$B$12-362^2)/(2*'Inputs'!$B$12^2)))*'Inputs'!$B$47</x:f>
        <x:v>594134.6875586212</x:v>
      </x:c>
      <x:c r="D1461" s="78" t="n">
        <x:f>IF('Inputs'!$C$47&gt;0,('Inputs'!$B$30*(3*363*'Inputs'!$B$12-363^2)/(2*'Inputs'!$B$12^2))-('Inputs'!$B$30*(3*362*'Inputs'!$B$12-362^2)/(2*'Inputs'!$B$12^2)),0)</x:f>
        <x:v>254629.15181083977</x:v>
      </x:c>
      <x:c r="E1461" s="78" t="n">
        <x:f>C1461+D1461</x:f>
        <x:v>848763.8393694609</x:v>
      </x:c>
      <x:c r="F1461" s="78" t="n">
        <x:f>'Inputs'!$B$13*E1461+(1-'Inputs'!$B$13)/'Inputs'!$B$14*SUM(E1406:E1461)</x:f>
        <x:v>858981.5162319329</x:v>
      </x:c>
      <x:c r="G1461" s="78" t="n">
        <x:f>F1461*'Inputs'!$F$47</x:f>
        <x:v>300643.5306811765</x:v>
      </x:c>
      <x:c r="H1461" s="78" t="n">
        <x:f>U1460</x:f>
        <x:v>1722871.9355855796</x:v>
      </x:c>
      <x:c r="I1461" s="78" t="n">
        <x:f>V1460</x:f>
        <x:v>49700.16477656261</x:v>
      </x:c>
      <x:c r="J1461" s="79" t="n">
        <x:f>IF(H1461&gt;0,I1461/H1461,0)</x:f>
        <x:v>0.028847277473162992</x:v>
      </x:c>
      <x:c r="K1461" s="80" t="n">
        <x:f>(H1461*J1461+I1461)*'Inputs'!$D$47*(1+'Inputs'!$G$47)^(B1461/30)</x:f>
        <x:v>213210.94853177405</x:v>
      </x:c>
      <x:c r="L1461" s="80" t="n">
        <x:f>MAX(0,K1461*'Inputs'!$E$47)</x:f>
        <x:v>10660.547426588702</x:v>
      </x:c>
      <x:c r="M1461" s="80" t="n">
        <x:f>MAX(0,-K1461*'Inputs'!$E$47)</x:f>
        <x:v>0</x:v>
      </x:c>
      <x:c r="N1461" s="78" t="n">
        <x:f>H1461*(L1461*(1-'Inputs'!$B$15))/(I1461+L1461*(1-'Inputs'!$B$15))</x:f>
        <x:v>301773.46220186196</x:v>
      </x:c>
      <x:c r="O1461" s="78" t="n">
        <x:f>H1461-N1461</x:f>
        <x:v>1421098.4733837177</x:v>
      </x:c>
      <x:c r="P1461" s="78" t="n">
        <x:f>I1461+L1461*(1-'Inputs'!$B$17)</x:f>
        <x:v>60317.81261592158</x:v>
      </x:c>
      <x:c r="Q1461" s="78" t="n">
        <x:f>IF(J1461&gt;0,M1461/J1461,0)</x:f>
        <x:v>0</x:v>
      </x:c>
      <x:c r="R1461" s="78" t="n">
        <x:f>IF(B1461='Inputs'!$H$47,'Inputs'!$B$27*'Inputs'!$I$47,0)</x:f>
        <x:v>0</x:v>
      </x:c>
      <x:c r="S1461" s="78" t="n">
        <x:f>Q1461+G1461+R1461</x:f>
        <x:v>300643.5306811765</x:v>
      </x:c>
      <x:c r="T1461" s="78" t="n">
        <x:f>P1461*(S1461*(1-'Inputs'!$B$15))/(O1461+S1461*(1-'Inputs'!$B$15))</x:f>
        <x:v>10445.363948167076</x:v>
      </x:c>
      <x:c r="U1461" s="78" t="n">
        <x:f>O1461+S1461*(1-'Inputs'!$B$17)</x:f>
        <x:v>1720532.1709434409</x:v>
      </x:c>
      <x:c r="V1461" s="78" t="n">
        <x:f>P1461-T1461</x:f>
        <x:v>49872.44866775451</x:v>
      </x:c>
      <x:c r="W1461" s="79" t="n">
        <x:f>IF(U1461&gt;0,V1461/U1461,0)</x:f>
        <x:v>0.028986641174170737</x:v>
      </x:c>
      <x:c r="X1461" s="80" t="n">
        <x:f>W1461*('Inputs'!$B$6-AC1461)</x:f>
        <x:v>28819421.000285696</x:v>
      </x:c>
      <x:c r="Y1461" s="80" t="n">
        <x:f>2*V1461</x:f>
        <x:v>99744.89733550901</x:v>
      </x:c>
      <x:c r="Z1461" s="80" t="n">
        <x:f>K1461*'Inputs'!$B$16+(G1461+R1461)*J1461*'Inputs'!$B$16</x:f>
        <x:v>1331.302175291072</x:v>
      </x:c>
      <x:c r="AA1461" s="80" t="n">
        <x:f>K1461*(1+'Inputs'!$E$47)/2*'Inputs'!$B$17</x:f>
        <x:v>450.44566591219876</x:v>
      </x:c>
      <x:c r="AB1461" s="78" t="n">
        <x:f>(IF(J1461&gt;0,K1461*(1-'Inputs'!$E$47)/2/J1461,0)+G1461+R1461)*'Inputs'!$B$17</x:f>
        <x:v>15337.546874046233</x:v>
      </x:c>
      <x:c r="AC1461" s="78" t="n">
        <x:f>AC1460+AB1461</x:f>
        <x:v>5768870.317891415</x:v>
      </x:c>
      <x:c r="AD1461" s="80" t="n">
        <x:f>Z1461/(1+'Inputs'!$C$47)</x:f>
        <x:v>532.5208701164288</x:v>
      </x:c>
      <x:c r="AE1461" s="80" t="n">
        <x:f>Z1461-AD1461</x:f>
        <x:v>798.7813051746432</x:v>
      </x:c>
      <x:c r="AF1461" s="80" t="n">
        <x:f>D1461*W1461</x:f>
        <x:v>7380.843856024259</x:v>
      </x:c>
      <x:c r="AG1461" s="80" t="n">
        <x:f>C1461*W1461</x:f>
        <x:v>17221.968997389795</x:v>
      </x:c>
      <x:c r="AH1461" s="80" t="n">
        <x:f>2*'Inputs'!$B$8*'Inputs'!$C$47</x:f>
        <x:v>7500</x:v>
      </x:c>
      <x:c r="AI1461" s="81" t="n">
        <x:f>IF(AH1461&gt;0,(AE1461+AF1461)/AH1461*365,0)</x:f>
        <x:v>398.0750911783466</x:v>
      </x:c>
      <x:c r="AJ1461" s="81" t="n">
        <x:f>IF('Inputs'!$B$47&gt;0,AG1461/('Inputs'!$B$19*'Inputs'!$B$47)*365,0)</x:f>
        <x:v>628.6018684047275</x:v>
      </x:c>
      <x:c r="AK1461" s="81" t="n">
        <x:f>W1461/MAX($W$1099:W1461)-1</x:f>
        <x:v>0</x:v>
      </x:c>
      <x:c r="AL1461" s="83" t="n">
        <x:f>'Inputs'!$B$47</x:f>
        <x:v>1</x:v>
      </x:c>
      <x:c r="AM1461" s="83" t="n">
        <x:f>'Inputs'!$C$47</x:f>
        <x:v>1.5</x:v>
      </x:c>
      <x:c r="AN1461" s="83" t="n">
        <x:f>'Inputs'!$D$47</x:f>
        <x:v>1.5</x:v>
      </x:c>
      <x:c r="AO1461" s="81" t="n">
        <x:f>'Inputs'!$E$47</x:f>
        <x:v>0.05</x:v>
      </x:c>
    </x:row>
    <x:row r="1462">
      <x:c r="A1462" s="59" t="str">
        <x:v>Growth</x:v>
      </x:c>
      <x:c r="B1462" s="59" t="n">
        <x:v>364</x:v>
      </x:c>
      <x:c r="C1462" s="78" t="n">
        <x:f>(('Inputs'!$B$29*(3*364*'Inputs'!$B$12-364^2)/(2*'Inputs'!$B$12^2))-('Inputs'!$B$29*(3*363*'Inputs'!$B$12-363^2)/(2*'Inputs'!$B$12^2)))*'Inputs'!$B$47</x:f>
        <x:v>593809.5796584785</x:v>
      </x:c>
      <x:c r="D1462" s="78" t="n">
        <x:f>IF('Inputs'!$C$47&gt;0,('Inputs'!$B$30*(3*364*'Inputs'!$B$12-364^2)/(2*'Inputs'!$B$12^2))-('Inputs'!$B$30*(3*363*'Inputs'!$B$12-363^2)/(2*'Inputs'!$B$12^2)),0)</x:f>
        <x:v>254489.81985363364</x:v>
      </x:c>
      <x:c r="E1462" s="78" t="n">
        <x:f>C1462+D1462</x:f>
        <x:v>848299.3995121121</x:v>
      </x:c>
      <x:c r="F1462" s="78" t="n">
        <x:f>'Inputs'!$B$13*E1462+(1-'Inputs'!$B$13)/'Inputs'!$B$14*SUM(E1407:E1462)</x:f>
        <x:v>858517.0763745559</x:v>
      </x:c>
      <x:c r="G1462" s="78" t="n">
        <x:f>F1462*'Inputs'!$F$47</x:f>
        <x:v>300480.97673109453</x:v>
      </x:c>
      <x:c r="H1462" s="78" t="n">
        <x:f>U1461</x:f>
        <x:v>1720532.1709434409</x:v>
      </x:c>
      <x:c r="I1462" s="78" t="n">
        <x:f>V1461</x:f>
        <x:v>49872.44866775451</x:v>
      </x:c>
      <x:c r="J1462" s="79" t="n">
        <x:f>IF(H1462&gt;0,I1462/H1462,0)</x:f>
        <x:v>0.028986641174170737</x:v>
      </x:c>
      <x:c r="K1462" s="80" t="n">
        <x:f>(H1462*J1462+I1462)*'Inputs'!$D$47*(1+'Inputs'!$G$47)^(B1462/30)</x:f>
        <x:v>214160.9443099992</x:v>
      </x:c>
      <x:c r="L1462" s="80" t="n">
        <x:f>MAX(0,K1462*'Inputs'!$E$47)</x:f>
        <x:v>10708.04721549996</x:v>
      </x:c>
      <x:c r="M1462" s="80" t="n">
        <x:f>MAX(0,-K1462*'Inputs'!$E$47)</x:f>
        <x:v>0</x:v>
      </x:c>
      <x:c r="N1462" s="78" t="n">
        <x:f>H1462*(L1462*(1-'Inputs'!$B$15))/(I1462+L1462*(1-'Inputs'!$B$15))</x:f>
        <x:v>301608.6358118749</x:v>
      </x:c>
      <x:c r="O1462" s="78" t="n">
        <x:f>H1462-N1462</x:f>
        <x:v>1418923.535131566</x:v>
      </x:c>
      <x:c r="P1462" s="78" t="n">
        <x:f>I1462+L1462*(1-'Inputs'!$B$17)</x:f>
        <x:v>60537.4051499929</x:v>
      </x:c>
      <x:c r="Q1462" s="78" t="n">
        <x:f>IF(J1462&gt;0,M1462/J1462,0)</x:f>
        <x:v>0</x:v>
      </x:c>
      <x:c r="R1462" s="78" t="n">
        <x:f>IF(B1462='Inputs'!$H$47,'Inputs'!$B$27*'Inputs'!$I$47,0)</x:f>
        <x:v>0</x:v>
      </x:c>
      <x:c r="S1462" s="78" t="n">
        <x:f>Q1462+G1462+R1462</x:f>
        <x:v>300480.97673109453</x:v>
      </x:c>
      <x:c r="T1462" s="78" t="n">
        <x:f>P1462*(S1462*(1-'Inputs'!$B$15))/(O1462+S1462*(1-'Inputs'!$B$15))</x:f>
        <x:v>10491.982269613032</x:v>
      </x:c>
      <x:c r="U1462" s="78" t="n">
        <x:f>O1462+S1462*(1-'Inputs'!$B$17)</x:f>
        <x:v>1718195.3328818514</x:v>
      </x:c>
      <x:c r="V1462" s="78" t="n">
        <x:f>P1462-T1462</x:f>
        <x:v>50045.42288037986</x:v>
      </x:c>
      <x:c r="W1462" s="79" t="n">
        <x:f>IF(U1462&gt;0,V1462/U1462,0)</x:f>
        <x:v>0.02912673659544921</x:v>
      </x:c>
      <x:c r="X1462" s="80" t="n">
        <x:f>W1462*('Inputs'!$B$6-AC1462)</x:f>
        <x:v>28958261.669354495</x:v>
      </x:c>
      <x:c r="Y1462" s="80" t="n">
        <x:f>2*V1462</x:f>
        <x:v>100090.84576075972</x:v>
      </x:c>
      <x:c r="Z1462" s="80" t="n">
        <x:f>K1462*'Inputs'!$B$16+(G1462+R1462)*J1462*'Inputs'!$B$16</x:f>
        <x:v>1337.2252713730068</x:v>
      </x:c>
      <x:c r="AA1462" s="80" t="n">
        <x:f>K1462*(1+'Inputs'!$E$47)/2*'Inputs'!$B$17</x:f>
        <x:v>452.45269924647727</x:v>
      </x:c>
      <x:c r="AB1462" s="78" t="n">
        <x:f>(IF(J1462&gt;0,K1462*(1-'Inputs'!$E$47)/2/J1462,0)+G1462+R1462)*'Inputs'!$B$17</x:f>
        <x:v>15331.614330430908</x:v>
      </x:c>
      <x:c r="AC1462" s="78" t="n">
        <x:f>AC1461+AB1462</x:f>
        <x:v>5784201.932221846</x:v>
      </x:c>
      <x:c r="AD1462" s="80" t="n">
        <x:f>Z1462/(1+'Inputs'!$C$47)</x:f>
        <x:v>534.8901085492028</x:v>
      </x:c>
      <x:c r="AE1462" s="80" t="n">
        <x:f>Z1462-AD1462</x:f>
        <x:v>802.335162823804</x:v>
      </x:c>
      <x:c r="AF1462" s="80" t="n">
        <x:f>D1462*W1462</x:f>
        <x:v>7412.457949100109</x:v>
      </x:c>
      <x:c r="AG1462" s="80" t="n">
        <x:f>C1462*W1462</x:f>
        <x:v>17295.735214566917</x:v>
      </x:c>
      <x:c r="AH1462" s="80" t="n">
        <x:f>2*'Inputs'!$B$8*'Inputs'!$C$47</x:f>
        <x:v>7500</x:v>
      </x:c>
      <x:c r="AI1462" s="81" t="n">
        <x:f>IF(AH1462&gt;0,(AE1462+AF1462)/AH1462*365,0)</x:f>
        <x:v>399.7865981136305</x:v>
      </x:c>
      <x:c r="AJ1462" s="81" t="n">
        <x:f>IF('Inputs'!$B$47&gt;0,AG1462/('Inputs'!$B$19*'Inputs'!$B$47)*365,0)</x:f>
        <x:v>631.2943353316924</x:v>
      </x:c>
      <x:c r="AK1462" s="81" t="n">
        <x:f>W1462/MAX($W$1099:W1462)-1</x:f>
        <x:v>0</x:v>
      </x:c>
      <x:c r="AL1462" s="83" t="n">
        <x:f>'Inputs'!$B$47</x:f>
        <x:v>1</x:v>
      </x:c>
      <x:c r="AM1462" s="83" t="n">
        <x:f>'Inputs'!$C$47</x:f>
        <x:v>1.5</x:v>
      </x:c>
      <x:c r="AN1462" s="83" t="n">
        <x:f>'Inputs'!$D$47</x:f>
        <x:v>1.5</x:v>
      </x:c>
      <x:c r="AO1462" s="81" t="n">
        <x:f>'Inputs'!$E$47</x:f>
        <x:v>0.05</x:v>
      </x:c>
    </x:row>
    <x:row r="1463">
      <x:c r="A1463" s="59" t="str">
        <x:v>Growth</x:v>
      </x:c>
      <x:c r="B1463" s="59" t="n">
        <x:v>365</x:v>
      </x:c>
      <x:c r="C1463" s="78" t="n">
        <x:f>(('Inputs'!$B$29*(3*365*'Inputs'!$B$12-365^2)/(2*'Inputs'!$B$12^2))-('Inputs'!$B$29*(3*364*'Inputs'!$B$12-364^2)/(2*'Inputs'!$B$12^2)))*'Inputs'!$B$47</x:f>
        <x:v>593484.471758306</x:v>
      </x:c>
      <x:c r="D1463" s="78" t="n">
        <x:f>IF('Inputs'!$C$47&gt;0,('Inputs'!$B$30*(3*365*'Inputs'!$B$12-365^2)/(2*'Inputs'!$B$12^2))-('Inputs'!$B$30*(3*364*'Inputs'!$B$12-364^2)/(2*'Inputs'!$B$12^2)),0)</x:f>
        <x:v>254350.4878964126</x:v>
      </x:c>
      <x:c r="E1463" s="78" t="n">
        <x:f>C1463+D1463</x:f>
        <x:v>847834.9596547186</x:v>
      </x:c>
      <x:c r="F1463" s="78" t="n">
        <x:f>'Inputs'!$B$13*E1463+(1-'Inputs'!$B$13)/'Inputs'!$B$14*SUM(E1408:E1463)</x:f>
        <x:v>858052.6365171699</x:v>
      </x:c>
      <x:c r="G1463" s="78" t="n">
        <x:f>F1463*'Inputs'!$F$47</x:f>
        <x:v>300318.42278100946</x:v>
      </x:c>
      <x:c r="H1463" s="78" t="n">
        <x:f>U1462</x:f>
        <x:v>1718195.3328818514</x:v>
      </x:c>
      <x:c r="I1463" s="78" t="n">
        <x:f>V1462</x:f>
        <x:v>50045.42288037986</x:v>
      </x:c>
      <x:c r="J1463" s="79" t="n">
        <x:f>IF(H1463&gt;0,I1463/H1463,0)</x:f>
        <x:v>0.02912673659544921</x:v>
      </x:c>
      <x:c r="K1463" s="80" t="n">
        <x:f>(H1463*J1463+I1463)*'Inputs'!$D$47*(1+'Inputs'!$G$47)^(B1463/30)</x:f>
        <x:v>215115.57315219956</x:v>
      </x:c>
      <x:c r="L1463" s="80" t="n">
        <x:f>MAX(0,K1463*'Inputs'!$E$47)</x:f>
        <x:v>10755.778657609979</x:v>
      </x:c>
      <x:c r="M1463" s="80" t="n">
        <x:f>MAX(0,-K1463*'Inputs'!$E$47)</x:f>
        <x:v>0</x:v>
      </x:c>
      <x:c r="N1463" s="78" t="n">
        <x:f>H1463*(L1463*(1-'Inputs'!$B$15))/(I1463+L1463*(1-'Inputs'!$B$15))</x:f>
        <x:v>301443.81311229756</x:v>
      </x:c>
      <x:c r="O1463" s="78" t="n">
        <x:f>H1463-N1463</x:f>
        <x:v>1416751.5197695538</x:v>
      </x:c>
      <x:c r="P1463" s="78" t="n">
        <x:f>I1463+L1463*(1-'Inputs'!$B$17)</x:f>
        <x:v>60757.9187264904</x:v>
      </x:c>
      <x:c r="Q1463" s="78" t="n">
        <x:f>IF(J1463&gt;0,M1463/J1463,0)</x:f>
        <x:v>0</x:v>
      </x:c>
      <x:c r="R1463" s="78" t="n">
        <x:f>IF(B1463='Inputs'!$H$47,'Inputs'!$B$27*'Inputs'!$I$47,0)</x:f>
        <x:v>0</x:v>
      </x:c>
      <x:c r="S1463" s="78" t="n">
        <x:f>Q1463+G1463+R1463</x:f>
        <x:v>300318.42278100946</x:v>
      </x:c>
      <x:c r="T1463" s="78" t="n">
        <x:f>P1463*(S1463*(1-'Inputs'!$B$15))/(O1463+S1463*(1-'Inputs'!$B$15))</x:f>
        <x:v>10538.828206340464</x:v>
      </x:c>
      <x:c r="U1463" s="78" t="n">
        <x:f>O1463+S1463*(1-'Inputs'!$B$17)</x:f>
        <x:v>1715861.4177103983</x:v>
      </x:c>
      <x:c r="V1463" s="78" t="n">
        <x:f>P1463-T1463</x:f>
        <x:v>50219.09052014994</x:v>
      </x:c>
      <x:c r="W1463" s="79" t="n">
        <x:f>IF(U1463&gt;0,V1463/U1463,0)</x:f>
        <x:v>0.029267567882702912</x:v>
      </x:c>
      <x:c r="X1463" s="80" t="n">
        <x:f>W1463*('Inputs'!$B$6-AC1463)</x:f>
        <x:v>29097829.814574935</x:v>
      </x:c>
      <x:c r="Y1463" s="80" t="n">
        <x:f>2*V1463</x:f>
        <x:v>100438.18104029988</x:v>
      </x:c>
      <x:c r="Z1463" s="80" t="n">
        <x:f>K1463*'Inputs'!$B$16+(G1463+R1463)*J1463*'Inputs'!$B$16</x:f>
        <x:v>1343.177212483817</x:v>
      </x:c>
      <x:c r="AA1463" s="80" t="n">
        <x:f>K1463*(1+'Inputs'!$E$47)/2*'Inputs'!$B$17</x:f>
        <x:v>454.46952074408364</x:v>
      </x:c>
      <x:c r="AB1463" s="78" t="n">
        <x:f>(IF(J1463&gt;0,K1463*(1-'Inputs'!$E$47)/2/J1463,0)+G1463+R1463)*'Inputs'!$B$17</x:f>
        <x:v>15325.681696964815</x:v>
      </x:c>
      <x:c r="AC1463" s="78" t="n">
        <x:f>AC1462+AB1463</x:f>
        <x:v>5799527.61391881</x:v>
      </x:c>
      <x:c r="AD1463" s="80" t="n">
        <x:f>Z1463/(1+'Inputs'!$C$47)</x:f>
        <x:v>537.2708849935268</x:v>
      </x:c>
      <x:c r="AE1463" s="80" t="n">
        <x:f>Z1463-AD1463</x:f>
        <x:v>805.9063274902901</x:v>
      </x:c>
      <x:c r="AF1463" s="80" t="n">
        <x:f>D1463*W1463</x:f>
        <x:v>7444.220170506862</x:v>
      </x:c>
      <x:c r="AG1463" s="80" t="n">
        <x:f>C1463*W1463</x:f>
        <x:v>17369.8470645163</x:v>
      </x:c>
      <x:c r="AH1463" s="80" t="n">
        <x:f>2*'Inputs'!$B$8*'Inputs'!$C$47</x:f>
        <x:v>7500</x:v>
      </x:c>
      <x:c r="AI1463" s="81" t="n">
        <x:f>IF(AH1463&gt;0,(AE1463+AF1463)/AH1463*365,0)</x:f>
        <x:v>401.50615623586145</x:v>
      </x:c>
      <x:c r="AJ1463" s="81" t="n">
        <x:f>IF('Inputs'!$B$47&gt;0,AG1463/('Inputs'!$B$19*'Inputs'!$B$47)*365,0)</x:f>
        <x:v>633.999417854845</x:v>
      </x:c>
      <x:c r="AK1463" s="81" t="n">
        <x:f>W1463/MAX($W$1099:W1463)-1</x:f>
        <x:v>0</x:v>
      </x:c>
      <x:c r="AL1463" s="83" t="n">
        <x:f>'Inputs'!$B$47</x:f>
        <x:v>1</x:v>
      </x:c>
      <x:c r="AM1463" s="83" t="n">
        <x:f>'Inputs'!$C$47</x:f>
        <x:v>1.5</x:v>
      </x:c>
      <x:c r="AN1463" s="83" t="n">
        <x:f>'Inputs'!$D$47</x:f>
        <x:v>1.5</x:v>
      </x:c>
      <x:c r="AO1463" s="81" t="n">
        <x:f>'Inputs'!$E$47</x:f>
        <x:v>0.05</x:v>
      </x:c>
    </x:row>
    <x:row r="1464">
      <x:c r="A1464" s="59" t="str">
        <x:v>Low participation</x:v>
      </x:c>
      <x:c r="B1464" s="59" t="n">
        <x:v>1</x:v>
      </x:c>
      <x:c r="C1464" s="78" t="n">
        <x:f>(('Inputs'!$B$29*(3*1*'Inputs'!$B$12-1^2)/(2*'Inputs'!$B$12^2))-('Inputs'!$B$29*(3*0*'Inputs'!$B$12-0^2)/(2*'Inputs'!$B$12^2)))*'Inputs'!$B$48</x:f>
        <x:v>177955.93685494465</x:v>
      </x:c>
      <x:c r="D1464" s="78" t="n">
        <x:f>IF('Inputs'!$C$48&gt;0,('Inputs'!$B$30*(3*1*'Inputs'!$B$12-1^2)/(2*'Inputs'!$B$12^2))-('Inputs'!$B$30*(3*0*'Inputs'!$B$12-0^2)/(2*'Inputs'!$B$12^2)),0)</x:f>
        <x:v>305067.32032276224</x:v>
      </x:c>
      <x:c r="E1464" s="78" t="n">
        <x:f>C1464+D1464</x:f>
        <x:v>483023.2571777069</x:v>
      </x:c>
      <x:c r="F1464" s="78" t="n">
        <x:f>'Inputs'!$B$13*E1464+(1-'Inputs'!$B$13)/'Inputs'!$B$14*SUM(E1464:E1464)</x:f>
        <x:v>103504.9836809372</x:v>
      </x:c>
      <x:c r="G1464" s="78" t="n">
        <x:f>F1464*'Inputs'!$F$48</x:f>
        <x:v>51752.4918404686</x:v>
      </x:c>
      <x:c r="H1464" s="78" t="n">
        <x:f>'Inputs'!$B$26*(1+'Inputs'!$C$48)</x:f>
        <x:v>3571428.571428572</x:v>
      </x:c>
      <x:c r="I1464" s="78" t="n">
        <x:f>'Inputs'!$B$8*(1+'Inputs'!$C$48)</x:f>
        <x:v>3125</x:v>
      </x:c>
      <x:c r="J1464" s="79" t="n">
        <x:f>IF(H1464&gt;0,I1464/H1464,0)</x:f>
        <x:v>0.0008749999999999999</x:v>
      </x:c>
      <x:c r="K1464" s="80" t="n">
        <x:f>(H1464*J1464+I1464)*'Inputs'!$D$48*(1+'Inputs'!$G$48)^(B1464/30)</x:f>
        <x:v>1875</x:v>
      </x:c>
      <x:c r="L1464" s="80" t="n">
        <x:f>MAX(0,K1464*'Inputs'!$E$48)</x:f>
        <x:v>0</x:v>
      </x:c>
      <x:c r="M1464" s="80" t="n">
        <x:f>MAX(0,-K1464*'Inputs'!$E$48)</x:f>
        <x:v>0</x:v>
      </x:c>
      <x:c r="N1464" s="78" t="n">
        <x:f>H1464*(L1464*(1-'Inputs'!$B$15))/(I1464+L1464*(1-'Inputs'!$B$15))</x:f>
        <x:v>0</x:v>
      </x:c>
      <x:c r="O1464" s="78" t="n">
        <x:f>H1464-N1464</x:f>
        <x:v>3571428.571428572</x:v>
      </x:c>
      <x:c r="P1464" s="78" t="n">
        <x:f>I1464+L1464*(1-'Inputs'!$B$17)</x:f>
        <x:v>3125</x:v>
      </x:c>
      <x:c r="Q1464" s="78" t="n">
        <x:f>IF(J1464&gt;0,M1464/J1464,0)</x:f>
        <x:v>0</x:v>
      </x:c>
      <x:c r="R1464" s="78" t="n">
        <x:f>IF(B1464='Inputs'!$H$48,'Inputs'!$B$27*'Inputs'!$I$48,0)</x:f>
        <x:v>0</x:v>
      </x:c>
      <x:c r="S1464" s="78" t="n">
        <x:f>Q1464+G1464+R1464</x:f>
        <x:v>51752.4918404686</x:v>
      </x:c>
      <x:c r="T1464" s="78" t="n">
        <x:f>P1464*(S1464*(1-'Inputs'!$B$15))/(O1464+S1464*(1-'Inputs'!$B$15))</x:f>
        <x:v>44.19656143511081</x:v>
      </x:c>
      <x:c r="U1464" s="78" t="n">
        <x:f>O1464+S1464*(1-'Inputs'!$B$17)</x:f>
        <x:v>3622972.8037445317</x:v>
      </x:c>
      <x:c r="V1464" s="78" t="n">
        <x:f>P1464-T1464</x:f>
        <x:v>3080.8034385648893</x:v>
      </x:c>
      <x:c r="W1464" s="79" t="n">
        <x:f>IF(U1464&gt;0,V1464/U1464,0)</x:f>
        <x:v>0.0008503523502524552</x:v>
      </x:c>
      <x:c r="X1464" s="80" t="n">
        <x:f>W1464*('Inputs'!$B$6-AC1464)</x:f>
        <x:v>850348.5067930712</x:v>
      </x:c>
      <x:c r="Y1464" s="80" t="n">
        <x:f>2*V1464</x:f>
        <x:v>6161.606877129779</x:v>
      </x:c>
      <x:c r="Z1464" s="80" t="n">
        <x:f>K1464*'Inputs'!$B$16+(G1464+R1464)*J1464*'Inputs'!$B$16</x:f>
        <x:v>11.52170058216246</x:v>
      </x:c>
      <x:c r="AA1464" s="80" t="n">
        <x:f>K1464*(1+'Inputs'!$E$48)/2*'Inputs'!$B$17</x:f>
        <x:v>3.772635814889336</x:v>
      </x:c>
      <x:c r="AB1464" s="78" t="n">
        <x:f>(IF(J1464&gt;0,K1464*(1-'Inputs'!$E$48)/2/J1464,0)+G1464+R1464)*'Inputs'!$B$17</x:f>
        <x:v>4519.843312953884</x:v>
      </x:c>
      <x:c r="AC1464" s="78" t="n">
        <x:f>AB1464</x:f>
        <x:v>4519.843312953884</x:v>
      </x:c>
      <x:c r="AD1464" s="80" t="n">
        <x:f>Z1464/(1+'Inputs'!$C$48)</x:f>
        <x:v>9.217360465729968</x:v>
      </x:c>
      <x:c r="AE1464" s="80" t="n">
        <x:f>Z1464-AD1464</x:f>
        <x:v>2.304340116432492</x:v>
      </x:c>
      <x:c r="AF1464" s="80" t="n">
        <x:f>D1464*W1464</x:f>
        <x:v>259.4147128216795</x:v>
      </x:c>
      <x:c r="AG1464" s="80" t="n">
        <x:f>C1464*W1464</x:f>
        <x:v>151.32524914597968</x:v>
      </x:c>
      <x:c r="AH1464" s="80" t="n">
        <x:f>2*'Inputs'!$B$8*'Inputs'!$C$48</x:f>
        <x:v>1250</x:v>
      </x:c>
      <x:c r="AI1464" s="81" t="n">
        <x:f>IF(AH1464&gt;0,(AE1464+AF1464)/AH1464*365,0)</x:f>
        <x:v>76.4219634579287</x:v>
      </x:c>
      <x:c r="AJ1464" s="81" t="n">
        <x:f>IF('Inputs'!$B$48&gt;0,AG1464/('Inputs'!$B$19*'Inputs'!$B$48)*365,0)</x:f>
        <x:v>22.093486375313034</x:v>
      </x:c>
      <x:c r="AK1464" s="81" t="n">
        <x:f>W1464/MAX($W$1464:W1464)-1</x:f>
        <x:v>0</x:v>
      </x:c>
      <x:c r="AL1464" s="83" t="n">
        <x:f>'Inputs'!$B$48</x:f>
        <x:v>0.25</x:v>
      </x:c>
      <x:c r="AM1464" s="83" t="n">
        <x:f>'Inputs'!$C$48</x:f>
        <x:v>0.25</x:v>
      </x:c>
      <x:c r="AN1464" s="83" t="n">
        <x:f>'Inputs'!$D$48</x:f>
        <x:v>0.3</x:v>
      </x:c>
      <x:c r="AO1464" s="81" t="n">
        <x:f>'Inputs'!$E$48</x:f>
        <x:v>0</x:v>
      </x:c>
    </x:row>
    <x:row r="1465">
      <x:c r="A1465" s="59" t="str">
        <x:v>Low participation</x:v>
      </x:c>
      <x:c r="B1465" s="59" t="n">
        <x:v>2</x:v>
      </x:c>
      <x:c r="C1465" s="78" t="n">
        <x:f>(('Inputs'!$B$29*(3*2*'Inputs'!$B$12-2^2)/(2*'Inputs'!$B$12^2))-('Inputs'!$B$29*(3*1*'Inputs'!$B$12-1^2)/(2*'Inputs'!$B$12^2)))*'Inputs'!$B$48</x:f>
        <x:v>177874.6598799024</x:v>
      </x:c>
      <x:c r="D1465" s="78" t="n">
        <x:f>IF('Inputs'!$C$48&gt;0,('Inputs'!$B$30*(3*2*'Inputs'!$B$12-2^2)/(2*'Inputs'!$B$12^2))-('Inputs'!$B$30*(3*1*'Inputs'!$B$12-1^2)/(2*'Inputs'!$B$12^2)),0)</x:f>
        <x:v>304927.98836554703</x:v>
      </x:c>
      <x:c r="E1465" s="78" t="n">
        <x:f>C1465+D1465</x:f>
        <x:v>482802.6482454494</x:v>
      </x:c>
      <x:c r="F1465" s="78" t="n">
        <x:f>'Inputs'!$B$13*E1465+(1-'Inputs'!$B$13)/'Inputs'!$B$14*SUM(E1464:E1465)</x:f>
        <x:v>110358.04258370641</x:v>
      </x:c>
      <x:c r="G1465" s="78" t="n">
        <x:f>F1465*'Inputs'!$F$48</x:f>
        <x:v>55179.021291853205</x:v>
      </x:c>
      <x:c r="H1465" s="78" t="n">
        <x:f>U1464</x:f>
        <x:v>3622972.8037445317</x:v>
      </x:c>
      <x:c r="I1465" s="78" t="n">
        <x:f>V1464</x:f>
        <x:v>3080.8034385648893</x:v>
      </x:c>
      <x:c r="J1465" s="79" t="n">
        <x:f>IF(H1465&gt;0,I1465/H1465,0)</x:f>
        <x:v>0.0008503523502524552</x:v>
      </x:c>
      <x:c r="K1465" s="80" t="n">
        <x:f>(H1465*J1465+I1465)*'Inputs'!$D$48*(1+'Inputs'!$G$48)^(B1465/30)</x:f>
        <x:v>1848.4820631389334</x:v>
      </x:c>
      <x:c r="L1465" s="80" t="n">
        <x:f>MAX(0,K1465*'Inputs'!$E$48)</x:f>
        <x:v>0</x:v>
      </x:c>
      <x:c r="M1465" s="80" t="n">
        <x:f>MAX(0,-K1465*'Inputs'!$E$48)</x:f>
        <x:v>0</x:v>
      </x:c>
      <x:c r="N1465" s="78" t="n">
        <x:f>H1465*(L1465*(1-'Inputs'!$B$15))/(I1465+L1465*(1-'Inputs'!$B$15))</x:f>
        <x:v>0</x:v>
      </x:c>
      <x:c r="O1465" s="78" t="n">
        <x:f>H1465-N1465</x:f>
        <x:v>3622972.8037445317</x:v>
      </x:c>
      <x:c r="P1465" s="78" t="n">
        <x:f>I1465+L1465*(1-'Inputs'!$B$17)</x:f>
        <x:v>3080.8034385648893</x:v>
      </x:c>
      <x:c r="Q1465" s="78" t="n">
        <x:f>IF(J1465&gt;0,M1465/J1465,0)</x:f>
        <x:v>0</x:v>
      </x:c>
      <x:c r="R1465" s="78" t="n">
        <x:f>IF(B1465='Inputs'!$H$48,'Inputs'!$B$27*'Inputs'!$I$48,0)</x:f>
        <x:v>0</x:v>
      </x:c>
      <x:c r="S1465" s="78" t="n">
        <x:f>Q1465+G1465+R1465</x:f>
        <x:v>55179.021291853205</x:v>
      </x:c>
      <x:c r="T1465" s="78" t="n">
        <x:f>P1465*(S1465*(1-'Inputs'!$B$15))/(O1465+S1465*(1-'Inputs'!$B$15))</x:f>
        <x:v>45.76238844726336</x:v>
      </x:c>
      <x:c r="U1465" s="78" t="n">
        <x:f>O1465+S1465*(1-'Inputs'!$B$17)</x:f>
        <x:v>3677929.776660965</x:v>
      </x:c>
      <x:c r="V1465" s="78" t="n">
        <x:f>P1465-T1465</x:f>
        <x:v>3035.041050117626</x:v>
      </x:c>
      <x:c r="W1465" s="79" t="n">
        <x:f>IF(U1465&gt;0,V1465/U1465,0)</x:f>
        <x:v>0.0008252036429235498</x:v>
      </x:c>
      <x:c r="X1465" s="80" t="n">
        <x:f>W1465*('Inputs'!$B$6-AC1465)</x:f>
        <x:v>825196.1206131225</x:v>
      </x:c>
      <x:c r="Y1465" s="80" t="n">
        <x:f>2*V1465</x:f>
        <x:v>6070.082100235252</x:v>
      </x:c>
      <x:c r="Z1465" s="80" t="n">
        <x:f>K1465*'Inputs'!$B$16+(G1465+R1465)*J1465*'Inputs'!$B$16</x:f>
        <x:v>11.372422041474547</x:v>
      </x:c>
      <x:c r="AA1465" s="80" t="n">
        <x:f>K1465*(1+'Inputs'!$E$48)/2*'Inputs'!$B$17</x:f>
        <x:v>3.7192798051085183</x:v>
      </x:c>
      <x:c r="AB1465" s="78" t="n">
        <x:f>(IF(J1465&gt;0,K1465*(1-'Inputs'!$E$48)/2/J1465,0)+G1465+R1465)*'Inputs'!$B$17</x:f>
        <x:v>4595.858601268461</x:v>
      </x:c>
      <x:c r="AC1465" s="78" t="n">
        <x:f>AC1464+AB1465</x:f>
        <x:v>9115.701914222345</x:v>
      </x:c>
      <x:c r="AD1465" s="80" t="n">
        <x:f>Z1465/(1+'Inputs'!$C$48)</x:f>
        <x:v>9.097937633179637</x:v>
      </x:c>
      <x:c r="AE1465" s="80" t="n">
        <x:f>Z1465-AD1465</x:f>
        <x:v>2.27448440829491</x:v>
      </x:c>
      <x:c r="AF1465" s="80" t="n">
        <x:f>D1465*W1465</x:f>
        <x:v>251.62768682859922</x:v>
      </x:c>
      <x:c r="AG1465" s="80" t="n">
        <x:f>C1465*W1465</x:f>
        <x:v>146.78281731668287</x:v>
      </x:c>
      <x:c r="AH1465" s="80" t="n">
        <x:f>2*'Inputs'!$B$8*'Inputs'!$C$48</x:f>
        <x:v>1250</x:v>
      </x:c>
      <x:c r="AI1465" s="81" t="n">
        <x:f>IF(AH1465&gt;0,(AE1465+AF1465)/AH1465*365,0)</x:f>
        <x:v>74.13943400117309</x:v>
      </x:c>
      <x:c r="AJ1465" s="81" t="n">
        <x:f>IF('Inputs'!$B$48&gt;0,AG1465/('Inputs'!$B$19*'Inputs'!$B$48)*365,0)</x:f>
        <x:v>21.430291328235697</x:v>
      </x:c>
      <x:c r="AK1465" s="81" t="n">
        <x:f>W1465/MAX($W$1464:W1465)-1</x:f>
        <x:v>-0.029574455014370282</x:v>
      </x:c>
      <x:c r="AL1465" s="83" t="n">
        <x:f>'Inputs'!$B$48</x:f>
        <x:v>0.25</x:v>
      </x:c>
      <x:c r="AM1465" s="83" t="n">
        <x:f>'Inputs'!$C$48</x:f>
        <x:v>0.25</x:v>
      </x:c>
      <x:c r="AN1465" s="83" t="n">
        <x:f>'Inputs'!$D$48</x:f>
        <x:v>0.3</x:v>
      </x:c>
      <x:c r="AO1465" s="81" t="n">
        <x:f>'Inputs'!$E$48</x:f>
        <x:v>0</x:v>
      </x:c>
    </x:row>
    <x:row r="1466">
      <x:c r="A1466" s="59" t="str">
        <x:v>Low participation</x:v>
      </x:c>
      <x:c r="B1466" s="59" t="n">
        <x:v>3</x:v>
      </x:c>
      <x:c r="C1466" s="78" t="n">
        <x:f>(('Inputs'!$B$29*(3*3*'Inputs'!$B$12-3^2)/(2*'Inputs'!$B$12^2))-('Inputs'!$B$29*(3*2*'Inputs'!$B$12-2^2)/(2*'Inputs'!$B$12^2)))*'Inputs'!$B$48</x:f>
        <x:v>177793.3829048602</x:v>
      </x:c>
      <x:c r="D1466" s="78" t="n">
        <x:f>IF('Inputs'!$C$48&gt;0,('Inputs'!$B$30*(3*3*'Inputs'!$B$12-3^2)/(2*'Inputs'!$B$12^2))-('Inputs'!$B$30*(3*2*'Inputs'!$B$12-2^2)/(2*'Inputs'!$B$12^2)),0)</x:f>
        <x:v>304788.6564083317</x:v>
      </x:c>
      <x:c r="E1466" s="78" t="n">
        <x:f>C1466+D1466</x:f>
        <x:v>482582.0393131919</x:v>
      </x:c>
      <x:c r="F1466" s="78" t="n">
        <x:f>'Inputs'!$B$13*E1466+(1-'Inputs'!$B$13)/'Inputs'!$B$14*SUM(E1464:E1466)</x:f>
        <x:v>117207.9499303005</x:v>
      </x:c>
      <x:c r="G1466" s="78" t="n">
        <x:f>F1466*'Inputs'!$F$48</x:f>
        <x:v>58603.97496515025</x:v>
      </x:c>
      <x:c r="H1466" s="78" t="n">
        <x:f>U1465</x:f>
        <x:v>3677929.776660965</x:v>
      </x:c>
      <x:c r="I1466" s="78" t="n">
        <x:f>V1465</x:f>
        <x:v>3035.041050117626</x:v>
      </x:c>
      <x:c r="J1466" s="79" t="n">
        <x:f>IF(H1466&gt;0,I1466/H1466,0)</x:f>
        <x:v>0.0008252036429235498</x:v>
      </x:c>
      <x:c r="K1466" s="80" t="n">
        <x:f>(H1466*J1466+I1466)*'Inputs'!$D$48*(1+'Inputs'!$G$48)^(B1466/30)</x:f>
        <x:v>1821.0246300705755</x:v>
      </x:c>
      <x:c r="L1466" s="80" t="n">
        <x:f>MAX(0,K1466*'Inputs'!$E$48)</x:f>
        <x:v>0</x:v>
      </x:c>
      <x:c r="M1466" s="80" t="n">
        <x:f>MAX(0,-K1466*'Inputs'!$E$48)</x:f>
        <x:v>0</x:v>
      </x:c>
      <x:c r="N1466" s="78" t="n">
        <x:f>H1466*(L1466*(1-'Inputs'!$B$15))/(I1466+L1466*(1-'Inputs'!$B$15))</x:f>
        <x:v>0</x:v>
      </x:c>
      <x:c r="O1466" s="78" t="n">
        <x:f>H1466-N1466</x:f>
        <x:v>3677929.776660965</x:v>
      </x:c>
      <x:c r="P1466" s="78" t="n">
        <x:f>I1466+L1466*(1-'Inputs'!$B$17)</x:f>
        <x:v>3035.041050117626</x:v>
      </x:c>
      <x:c r="Q1466" s="78" t="n">
        <x:f>IF(J1466&gt;0,M1466/J1466,0)</x:f>
        <x:v>0</x:v>
      </x:c>
      <x:c r="R1466" s="78" t="n">
        <x:f>IF(B1466='Inputs'!$H$48,'Inputs'!$B$27*'Inputs'!$I$48,0)</x:f>
        <x:v>0</x:v>
      </x:c>
      <x:c r="S1466" s="78" t="n">
        <x:f>Q1466+G1466+R1466</x:f>
        <x:v>58603.97496515025</x:v>
      </x:c>
      <x:c r="T1466" s="78" t="n">
        <x:f>P1466*(S1466*(1-'Inputs'!$B$15))/(O1466+S1466*(1-'Inputs'!$B$15))</x:f>
        <x:v>47.13310479756693</x:v>
      </x:c>
      <x:c r="U1466" s="78" t="n">
        <x:f>O1466+S1466*(1-'Inputs'!$B$17)</x:f>
        <x:v>3736297.9207409434</x:v>
      </x:c>
      <x:c r="V1466" s="78" t="n">
        <x:f>P1466-T1466</x:f>
        <x:v>2987.9079453200593</x:v>
      </x:c>
      <x:c r="W1466" s="79" t="n">
        <x:f>IF(U1466&gt;0,V1466/U1466,0)</x:f>
        <x:v>0.0007996974568686238</x:v>
      </x:c>
      <x:c r="X1466" s="80" t="n">
        <x:f>W1466*('Inputs'!$B$6-AC1466)</x:f>
        <x:v>799686.4276896276</x:v>
      </x:c>
      <x:c r="Y1466" s="80" t="n">
        <x:f>2*V1466</x:f>
        <x:v>5975.815890640119</x:v>
      </x:c>
      <x:c r="Z1466" s="80" t="n">
        <x:f>K1466*'Inputs'!$B$16+(G1466+R1466)*J1466*'Inputs'!$B$16</x:f>
        <x:v>11.216309062209708</x:v>
      </x:c>
      <x:c r="AA1466" s="80" t="n">
        <x:f>K1466*(1+'Inputs'!$E$48)/2*'Inputs'!$B$17</x:f>
        <x:v>3.664033460906591</x:v>
      </x:c>
      <x:c r="AB1466" s="78" t="n">
        <x:f>(IF(J1466&gt;0,K1466*(1-'Inputs'!$E$48)/2/J1466,0)+G1466+R1466)*'Inputs'!$B$17</x:f>
        <x:v>4675.9875571969405</x:v>
      </x:c>
      <x:c r="AC1466" s="78" t="n">
        <x:f>AC1465+AB1466</x:f>
        <x:v>13791.689471419286</x:v>
      </x:c>
      <x:c r="AD1466" s="80" t="n">
        <x:f>Z1466/(1+'Inputs'!$C$48)</x:f>
        <x:v>8.973047249767767</x:v>
      </x:c>
      <x:c r="AE1466" s="80" t="n">
        <x:f>Z1466-AD1466</x:f>
        <x:v>2.2432618124419417</x:v>
      </x:c>
      <x:c r="AF1466" s="80" t="n">
        <x:f>D1466*W1466</x:f>
        <x:v>243.73871341214763</x:v>
      </x:c>
      <x:c r="AG1466" s="80" t="n">
        <x:f>C1466*W1466</x:f>
        <x:v>142.18091615708616</x:v>
      </x:c>
      <x:c r="AH1466" s="80" t="n">
        <x:f>2*'Inputs'!$B$8*'Inputs'!$C$48</x:f>
        <x:v>1250</x:v>
      </x:c>
      <x:c r="AI1466" s="81" t="n">
        <x:f>IF(AH1466&gt;0,(AE1466+AF1466)/AH1466*365,0)</x:f>
        <x:v>71.82673676558015</x:v>
      </x:c>
      <x:c r="AJ1466" s="81" t="n">
        <x:f>IF('Inputs'!$B$48&gt;0,AG1466/('Inputs'!$B$19*'Inputs'!$B$48)*365,0)</x:f>
        <x:v>20.75841375893458</x:v>
      </x:c>
      <x:c r="AK1466" s="81" t="n">
        <x:f>W1466/MAX($W$1464:W1466)-1</x:f>
        <x:v>-0.0595692989721176</x:v>
      </x:c>
      <x:c r="AL1466" s="83" t="n">
        <x:f>'Inputs'!$B$48</x:f>
        <x:v>0.25</x:v>
      </x:c>
      <x:c r="AM1466" s="83" t="n">
        <x:f>'Inputs'!$C$48</x:f>
        <x:v>0.25</x:v>
      </x:c>
      <x:c r="AN1466" s="83" t="n">
        <x:f>'Inputs'!$D$48</x:f>
        <x:v>0.3</x:v>
      </x:c>
      <x:c r="AO1466" s="81" t="n">
        <x:f>'Inputs'!$E$48</x:f>
        <x:v>0</x:v>
      </x:c>
    </x:row>
    <x:row r="1467">
      <x:c r="A1467" s="59" t="str">
        <x:v>Low participation</x:v>
      </x:c>
      <x:c r="B1467" s="59" t="n">
        <x:v>4</x:v>
      </x:c>
      <x:c r="C1467" s="78" t="n">
        <x:f>(('Inputs'!$B$29*(3*4*'Inputs'!$B$12-4^2)/(2*'Inputs'!$B$12^2))-('Inputs'!$B$29*(3*3*'Inputs'!$B$12-3^2)/(2*'Inputs'!$B$12^2)))*'Inputs'!$B$48</x:f>
        <x:v>177712.105929818</x:v>
      </x:c>
      <x:c r="D1467" s="78" t="n">
        <x:f>IF('Inputs'!$C$48&gt;0,('Inputs'!$B$30*(3*4*'Inputs'!$B$12-4^2)/(2*'Inputs'!$B$12^2))-('Inputs'!$B$30*(3*3*'Inputs'!$B$12-3^2)/(2*'Inputs'!$B$12^2)),0)</x:f>
        <x:v>304649.3244511165</x:v>
      </x:c>
      <x:c r="E1467" s="78" t="n">
        <x:f>C1467+D1467</x:f>
        <x:v>482361.4303809345</x:v>
      </x:c>
      <x:c r="F1467" s="78" t="n">
        <x:f>'Inputs'!$B$13*E1467+(1-'Inputs'!$B$13)/'Inputs'!$B$14*SUM(E1464:E1467)</x:f>
        <x:v>124054.70572071953</x:v>
      </x:c>
      <x:c r="G1467" s="78" t="n">
        <x:f>F1467*'Inputs'!$F$48</x:f>
        <x:v>62027.352860359766</x:v>
      </x:c>
      <x:c r="H1467" s="78" t="n">
        <x:f>U1466</x:f>
        <x:v>3736297.9207409434</x:v>
      </x:c>
      <x:c r="I1467" s="78" t="n">
        <x:f>V1466</x:f>
        <x:v>2987.9079453200593</x:v>
      </x:c>
      <x:c r="J1467" s="79" t="n">
        <x:f>IF(H1467&gt;0,I1467/H1467,0)</x:f>
        <x:v>0.0007996974568686238</x:v>
      </x:c>
      <x:c r="K1467" s="80" t="n">
        <x:f>(H1467*J1467+I1467)*'Inputs'!$D$48*(1+'Inputs'!$G$48)^(B1467/30)</x:f>
        <x:v>1792.7447671920356</x:v>
      </x:c>
      <x:c r="L1467" s="80" t="n">
        <x:f>MAX(0,K1467*'Inputs'!$E$48)</x:f>
        <x:v>0</x:v>
      </x:c>
      <x:c r="M1467" s="80" t="n">
        <x:f>MAX(0,-K1467*'Inputs'!$E$48)</x:f>
        <x:v>0</x:v>
      </x:c>
      <x:c r="N1467" s="78" t="n">
        <x:f>H1467*(L1467*(1-'Inputs'!$B$15))/(I1467+L1467*(1-'Inputs'!$B$15))</x:f>
        <x:v>0</x:v>
      </x:c>
      <x:c r="O1467" s="78" t="n">
        <x:f>H1467-N1467</x:f>
        <x:v>3736297.9207409434</x:v>
      </x:c>
      <x:c r="P1467" s="78" t="n">
        <x:f>I1467+L1467*(1-'Inputs'!$B$17)</x:f>
        <x:v>2987.9079453200593</x:v>
      </x:c>
      <x:c r="Q1467" s="78" t="n">
        <x:f>IF(J1467&gt;0,M1467/J1467,0)</x:f>
        <x:v>0</x:v>
      </x:c>
      <x:c r="R1467" s="78" t="n">
        <x:f>IF(B1467='Inputs'!$H$48,'Inputs'!$B$27*'Inputs'!$I$48,0)</x:f>
        <x:v>0</x:v>
      </x:c>
      <x:c r="S1467" s="78" t="n">
        <x:f>Q1467+G1467+R1467</x:f>
        <x:v>62027.352860359766</x:v>
      </x:c>
      <x:c r="T1467" s="78" t="n">
        <x:f>P1467*(S1467*(1-'Inputs'!$B$15))/(O1467+S1467*(1-'Inputs'!$B$15))</x:f>
        <x:v>48.31304701938174</x:v>
      </x:c>
      <x:c r="U1467" s="78" t="n">
        <x:f>O1467+S1467*(1-'Inputs'!$B$17)</x:f>
        <x:v>3798075.666547539</x:v>
      </x:c>
      <x:c r="V1467" s="78" t="n">
        <x:f>P1467-T1467</x:f>
        <x:v>2939.5948983006774</x:v>
      </x:c>
      <x:c r="W1467" s="79" t="n">
        <x:f>IF(U1467&gt;0,V1467/U1467,0)</x:f>
        <x:v>0.0007739695457338735</x:v>
      </x:c>
      <x:c r="X1467" s="80" t="n">
        <x:f>W1467*('Inputs'!$B$6-AC1467)</x:f>
        <x:v>773955.1871145142</x:v>
      </x:c>
      <x:c r="Y1467" s="80" t="n">
        <x:f>2*V1467</x:f>
        <x:v>5879.189796601355</x:v>
      </x:c>
      <x:c r="Z1467" s="80" t="n">
        <x:f>K1467*'Inputs'!$B$16+(G1467+R1467)*J1467*'Inputs'!$B$16</x:f>
        <x:v>11.054087301184548</x:v>
      </x:c>
      <x:c r="AA1467" s="80" t="n">
        <x:f>K1467*(1+'Inputs'!$E$48)/2*'Inputs'!$B$17</x:f>
        <x:v>3.6071323283541967</x:v>
      </x:c>
      <x:c r="AB1467" s="78" t="n">
        <x:f>(IF(J1467&gt;0,K1467*(1-'Inputs'!$E$48)/2/J1467,0)+G1467+R1467)*'Inputs'!$B$17</x:f>
        <x:v>4760.228286046853</x:v>
      </x:c>
      <x:c r="AC1467" s="78" t="n">
        <x:f>AC1466+AB1467</x:f>
        <x:v>18551.917757466137</x:v>
      </x:c>
      <x:c r="AD1467" s="80" t="n">
        <x:f>Z1467/(1+'Inputs'!$C$48)</x:f>
        <x:v>8.843269840947638</x:v>
      </x:c>
      <x:c r="AE1467" s="80" t="n">
        <x:f>Z1467-AD1467</x:f>
        <x:v>2.2108174602369104</x:v>
      </x:c>
      <x:c r="AF1467" s="80" t="n">
        <x:f>D1467*W1467</x:f>
        <x:v>235.78929925356206</x:v>
      </x:c>
      <x:c r="AG1467" s="80" t="n">
        <x:f>C1467*W1467</x:f>
        <x:v>137.54375789791123</x:v>
      </x:c>
      <x:c r="AH1467" s="80" t="n">
        <x:f>2*'Inputs'!$B$8*'Inputs'!$C$48</x:f>
        <x:v>1250</x:v>
      </x:c>
      <x:c r="AI1467" s="81" t="n">
        <x:f>IF(AH1467&gt;0,(AE1467+AF1467)/AH1467*365,0)</x:f>
        <x:v>69.49603408042931</x:v>
      </x:c>
      <x:c r="AJ1467" s="81" t="n">
        <x:f>IF('Inputs'!$B$48&gt;0,AG1467/('Inputs'!$B$19*'Inputs'!$B$48)*365,0)</x:f>
        <x:v>20.08138865309504</x:v>
      </x:c>
      <x:c r="AK1467" s="81" t="n">
        <x:f>W1467/MAX($W$1464:W1467)-1</x:f>
        <x:v>-0.08982488787842469</x:v>
      </x:c>
      <x:c r="AL1467" s="83" t="n">
        <x:f>'Inputs'!$B$48</x:f>
        <x:v>0.25</x:v>
      </x:c>
      <x:c r="AM1467" s="83" t="n">
        <x:f>'Inputs'!$C$48</x:f>
        <x:v>0.25</x:v>
      </x:c>
      <x:c r="AN1467" s="83" t="n">
        <x:f>'Inputs'!$D$48</x:f>
        <x:v>0.3</x:v>
      </x:c>
      <x:c r="AO1467" s="81" t="n">
        <x:f>'Inputs'!$E$48</x:f>
        <x:v>0</x:v>
      </x:c>
    </x:row>
    <x:row r="1468">
      <x:c r="A1468" s="59" t="str">
        <x:v>Low participation</x:v>
      </x:c>
      <x:c r="B1468" s="59" t="n">
        <x:v>5</x:v>
      </x:c>
      <x:c r="C1468" s="78" t="n">
        <x:f>(('Inputs'!$B$29*(3*5*'Inputs'!$B$12-5^2)/(2*'Inputs'!$B$12^2))-('Inputs'!$B$29*(3*4*'Inputs'!$B$12-4^2)/(2*'Inputs'!$B$12^2)))*'Inputs'!$B$48</x:f>
        <x:v>177630.8289547757</x:v>
      </x:c>
      <x:c r="D1468" s="78" t="n">
        <x:f>IF('Inputs'!$C$48&gt;0,('Inputs'!$B$30*(3*5*'Inputs'!$B$12-5^2)/(2*'Inputs'!$B$12^2))-('Inputs'!$B$30*(3*4*'Inputs'!$B$12-4^2)/(2*'Inputs'!$B$12^2)),0)</x:f>
        <x:v>304509.9924939014</x:v>
      </x:c>
      <x:c r="E1468" s="78" t="n">
        <x:f>C1468+D1468</x:f>
        <x:v>482140.8214486771</x:v>
      </x:c>
      <x:c r="F1468" s="78" t="n">
        <x:f>'Inputs'!$B$13*E1468+(1-'Inputs'!$B$13)/'Inputs'!$B$14*SUM(E1464:E1468)</x:f>
        <x:v>130898.30995496344</x:v>
      </x:c>
      <x:c r="G1468" s="78" t="n">
        <x:f>F1468*'Inputs'!$F$48</x:f>
        <x:v>65449.15497748172</x:v>
      </x:c>
      <x:c r="H1468" s="78" t="n">
        <x:f>U1467</x:f>
        <x:v>3798075.666547539</x:v>
      </x:c>
      <x:c r="I1468" s="78" t="n">
        <x:f>V1467</x:f>
        <x:v>2939.5948983006774</x:v>
      </x:c>
      <x:c r="J1468" s="79" t="n">
        <x:f>IF(H1468&gt;0,I1468/H1468,0)</x:f>
        <x:v>0.0007739695457338735</x:v>
      </x:c>
      <x:c r="K1468" s="80" t="n">
        <x:f>(H1468*J1468+I1468)*'Inputs'!$D$48*(1+'Inputs'!$G$48)^(B1468/30)</x:f>
        <x:v>1763.7569389804064</x:v>
      </x:c>
      <x:c r="L1468" s="80" t="n">
        <x:f>MAX(0,K1468*'Inputs'!$E$48)</x:f>
        <x:v>0</x:v>
      </x:c>
      <x:c r="M1468" s="80" t="n">
        <x:f>MAX(0,-K1468*'Inputs'!$E$48)</x:f>
        <x:v>0</x:v>
      </x:c>
      <x:c r="N1468" s="78" t="n">
        <x:f>H1468*(L1468*(1-'Inputs'!$B$15))/(I1468+L1468*(1-'Inputs'!$B$15))</x:f>
        <x:v>0</x:v>
      </x:c>
      <x:c r="O1468" s="78" t="n">
        <x:f>H1468-N1468</x:f>
        <x:v>3798075.666547539</x:v>
      </x:c>
      <x:c r="P1468" s="78" t="n">
        <x:f>I1468+L1468*(1-'Inputs'!$B$17)</x:f>
        <x:v>2939.5948983006774</x:v>
      </x:c>
      <x:c r="Q1468" s="78" t="n">
        <x:f>IF(J1468&gt;0,M1468/J1468,0)</x:f>
        <x:v>0</x:v>
      </x:c>
      <x:c r="R1468" s="78" t="n">
        <x:f>IF(B1468='Inputs'!$H$48,'Inputs'!$B$27*'Inputs'!$I$48,0)</x:f>
        <x:v>0</x:v>
      </x:c>
      <x:c r="S1468" s="78" t="n">
        <x:f>Q1468+G1468+R1468</x:f>
        <x:v>65449.15497748172</x:v>
      </x:c>
      <x:c r="T1468" s="78" t="n">
        <x:f>P1468*(S1468*(1-'Inputs'!$B$15))/(O1468+S1468*(1-'Inputs'!$B$15))</x:f>
        <x:v>49.30790986463614</x:v>
      </x:c>
      <x:c r="U1468" s="78" t="n">
        <x:f>O1468+S1468*(1-'Inputs'!$B$17)</x:f>
        <x:v>3863261.444643824</x:v>
      </x:c>
      <x:c r="V1468" s="78" t="n">
        <x:f>P1468-T1468</x:f>
        <x:v>2890.286988436041</x:v>
      </x:c>
      <x:c r="W1468" s="79" t="n">
        <x:f>IF(U1468&gt;0,V1468/U1468,0)</x:f>
        <x:v>0.0007481468779295918</x:v>
      </x:c>
      <x:c r="X1468" s="80" t="n">
        <x:f>W1468*('Inputs'!$B$6-AC1468)</x:f>
        <x:v>748129.3709210806</x:v>
      </x:c>
      <x:c r="Y1468" s="80" t="n">
        <x:f>2*V1468</x:f>
        <x:v>5780.573976872082</x:v>
      </x:c>
      <x:c r="Z1468" s="80" t="n">
        <x:f>K1468*'Inputs'!$B$16+(G1468+R1468)*J1468*'Inputs'!$B$16</x:f>
        <x:v>10.886475550361963</x:v>
      </x:c>
      <x:c r="AA1468" s="80" t="n">
        <x:f>K1468*(1+'Inputs'!$E$48)/2*'Inputs'!$B$17</x:f>
        <x:v>3.548806718270436</x:v>
      </x:c>
      <x:c r="AB1468" s="78" t="n">
        <x:f>(IF(J1468&gt;0,K1468*(1-'Inputs'!$E$48)/2/J1468,0)+G1468+R1468)*'Inputs'!$B$17</x:f>
        <x:v>4848.578893125728</x:v>
      </x:c>
      <x:c r="AC1468" s="78" t="n">
        <x:f>AC1467+AB1468</x:f>
        <x:v>23400.496650591864</x:v>
      </x:c>
      <x:c r="AD1468" s="80" t="n">
        <x:f>Z1468/(1+'Inputs'!$C$48)</x:f>
        <x:v>8.70918044028957</x:v>
      </x:c>
      <x:c r="AE1468" s="80" t="n">
        <x:f>Z1468-AD1468</x:f>
        <x:v>2.177295110072393</x:v>
      </x:c>
      <x:c r="AF1468" s="80" t="n">
        <x:f>D1468*W1468</x:f>
        <x:v>227.81820018267575</x:v>
      </x:c>
      <x:c r="AG1468" s="80" t="n">
        <x:f>C1468*W1468</x:f>
        <x:v>132.89395010656077</x:v>
      </x:c>
      <x:c r="AH1468" s="80" t="n">
        <x:f>2*'Inputs'!$B$8*'Inputs'!$C$48</x:f>
        <x:v>1250</x:v>
      </x:c>
      <x:c r="AI1468" s="81" t="n">
        <x:f>IF(AH1468&gt;0,(AE1468+AF1468)/AH1468*365,0)</x:f>
        <x:v>67.15868462548246</x:v>
      </x:c>
      <x:c r="AJ1468" s="81" t="n">
        <x:f>IF('Inputs'!$B$48&gt;0,AG1468/('Inputs'!$B$19*'Inputs'!$B$48)*365,0)</x:f>
        <x:v>19.402516715557873</x:v>
      </x:c>
      <x:c r="AK1468" s="81" t="n">
        <x:f>W1468/MAX($W$1464:W1468)-1</x:f>
        <x:v>-0.12019190902749943</x:v>
      </x:c>
      <x:c r="AL1468" s="83" t="n">
        <x:f>'Inputs'!$B$48</x:f>
        <x:v>0.25</x:v>
      </x:c>
      <x:c r="AM1468" s="83" t="n">
        <x:f>'Inputs'!$C$48</x:f>
        <x:v>0.25</x:v>
      </x:c>
      <x:c r="AN1468" s="83" t="n">
        <x:f>'Inputs'!$D$48</x:f>
        <x:v>0.3</x:v>
      </x:c>
      <x:c r="AO1468" s="81" t="n">
        <x:f>'Inputs'!$E$48</x:f>
        <x:v>0</x:v>
      </x:c>
    </x:row>
    <x:row r="1469">
      <x:c r="A1469" s="59" t="str">
        <x:v>Low participation</x:v>
      </x:c>
      <x:c r="B1469" s="59" t="n">
        <x:v>6</x:v>
      </x:c>
      <x:c r="C1469" s="78" t="n">
        <x:f>(('Inputs'!$B$29*(3*6*'Inputs'!$B$12-6^2)/(2*'Inputs'!$B$12^2))-('Inputs'!$B$29*(3*5*'Inputs'!$B$12-5^2)/(2*'Inputs'!$B$12^2)))*'Inputs'!$B$48</x:f>
        <x:v>177549.55197973363</x:v>
      </x:c>
      <x:c r="D1469" s="78" t="n">
        <x:f>IF('Inputs'!$C$48&gt;0,('Inputs'!$B$30*(3*6*'Inputs'!$B$12-6^2)/(2*'Inputs'!$B$12^2))-('Inputs'!$B$30*(3*5*'Inputs'!$B$12-5^2)/(2*'Inputs'!$B$12^2)),0)</x:f>
        <x:v>304370.66053668596</x:v>
      </x:c>
      <x:c r="E1469" s="78" t="n">
        <x:f>C1469+D1469</x:f>
        <x:v>481920.2125164196</x:v>
      </x:c>
      <x:c r="F1469" s="78" t="n">
        <x:f>'Inputs'!$B$13*E1469+(1-'Inputs'!$B$13)/'Inputs'!$B$14*SUM(E1464:E1469)</x:f>
        <x:v>137738.76263303222</x:v>
      </x:c>
      <x:c r="G1469" s="78" t="n">
        <x:f>F1469*'Inputs'!$F$48</x:f>
        <x:v>68869.38131651611</x:v>
      </x:c>
      <x:c r="H1469" s="78" t="n">
        <x:f>U1468</x:f>
        <x:v>3863261.444643824</x:v>
      </x:c>
      <x:c r="I1469" s="78" t="n">
        <x:f>V1468</x:f>
        <x:v>2890.286988436041</x:v>
      </x:c>
      <x:c r="J1469" s="79" t="n">
        <x:f>IF(H1469&gt;0,I1469/H1469,0)</x:f>
        <x:v>0.0007481468779295918</x:v>
      </x:c>
      <x:c r="K1469" s="80" t="n">
        <x:f>(H1469*J1469+I1469)*'Inputs'!$D$48*(1+'Inputs'!$G$48)^(B1469/30)</x:f>
        <x:v>1734.1721930616247</x:v>
      </x:c>
      <x:c r="L1469" s="80" t="n">
        <x:f>MAX(0,K1469*'Inputs'!$E$48)</x:f>
        <x:v>0</x:v>
      </x:c>
      <x:c r="M1469" s="80" t="n">
        <x:f>MAX(0,-K1469*'Inputs'!$E$48)</x:f>
        <x:v>0</x:v>
      </x:c>
      <x:c r="N1469" s="78" t="n">
        <x:f>H1469*(L1469*(1-'Inputs'!$B$15))/(I1469+L1469*(1-'Inputs'!$B$15))</x:f>
        <x:v>0</x:v>
      </x:c>
      <x:c r="O1469" s="78" t="n">
        <x:f>H1469-N1469</x:f>
        <x:v>3863261.444643824</x:v>
      </x:c>
      <x:c r="P1469" s="78" t="n">
        <x:f>I1469+L1469*(1-'Inputs'!$B$17)</x:f>
        <x:v>2890.286988436041</x:v>
      </x:c>
      <x:c r="Q1469" s="78" t="n">
        <x:f>IF(J1469&gt;0,M1469/J1469,0)</x:f>
        <x:v>0</x:v>
      </x:c>
      <x:c r="R1469" s="78" t="n">
        <x:f>IF(B1469='Inputs'!$H$48,'Inputs'!$B$27*'Inputs'!$I$48,0)</x:f>
        <x:v>0</x:v>
      </x:c>
      <x:c r="S1469" s="78" t="n">
        <x:f>Q1469+G1469+R1469</x:f>
        <x:v>68869.38131651611</x:v>
      </x:c>
      <x:c r="T1469" s="78" t="n">
        <x:f>P1469*(S1469*(1-'Inputs'!$B$15))/(O1469+S1469*(1-'Inputs'!$B$15))</x:f>
        <x:v>50.12454649712291</x:v>
      </x:c>
      <x:c r="U1469" s="78" t="n">
        <x:f>O1469+S1469*(1-'Inputs'!$B$17)</x:f>
        <x:v>3931853.6855928693</x:v>
      </x:c>
      <x:c r="V1469" s="78" t="n">
        <x:f>P1469-T1469</x:f>
        <x:v>2840.162441938918</x:v>
      </x:c>
      <x:c r="W1469" s="79" t="n">
        <x:f>IF(U1469&gt;0,V1469/U1469,0)</x:f>
        <x:v>0.0007223469307481773</x:v>
      </x:c>
      <x:c r="X1469" s="80" t="n">
        <x:f>W1469*('Inputs'!$B$6-AC1469)</x:f>
        <x:v>722326.4583279827</x:v>
      </x:c>
      <x:c r="Y1469" s="80" t="n">
        <x:f>2*V1469</x:f>
        <x:v>5680.324883877836</x:v>
      </x:c>
      <x:c r="Z1469" s="80" t="n">
        <x:f>K1469*'Inputs'!$B$16+(G1469+R1469)*J1469*'Inputs'!$B$16</x:f>
        <x:v>10.714179634071114</x:v>
      </x:c>
      <x:c r="AA1469" s="80" t="n">
        <x:f>K1469*(1+'Inputs'!$E$48)/2*'Inputs'!$B$17</x:f>
        <x:v>3.489280066522384</x:v>
      </x:c>
      <x:c r="AB1469" s="78" t="n">
        <x:f>(IF(J1469&gt;0,K1469*(1-'Inputs'!$E$48)/2/J1469,0)+G1469+R1469)*'Inputs'!$B$17</x:f>
        <x:v>4941.0374837411</x:v>
      </x:c>
      <x:c r="AC1469" s="78" t="n">
        <x:f>AC1468+AB1469</x:f>
        <x:v>28341.534134332964</x:v>
      </x:c>
      <x:c r="AD1469" s="80" t="n">
        <x:f>Z1469/(1+'Inputs'!$C$48)</x:f>
        <x:v>8.57134370725689</x:v>
      </x:c>
      <x:c r="AE1469" s="80" t="n">
        <x:f>Z1469-AD1469</x:f>
        <x:v>2.1428359268142234</x:v>
      </x:c>
      <x:c r="AF1469" s="80" t="n">
        <x:f>D1469*W1469</x:f>
        <x:v>219.86121244847047</x:v>
      </x:c>
      <x:c r="AG1469" s="80" t="n">
        <x:f>C1469*W1469</x:f>
        <x:v>128.25237392827455</x:v>
      </x:c>
      <x:c r="AH1469" s="80" t="n">
        <x:f>2*'Inputs'!$B$8*'Inputs'!$C$48</x:f>
        <x:v>1250</x:v>
      </x:c>
      <x:c r="AI1469" s="81" t="n">
        <x:f>IF(AH1469&gt;0,(AE1469+AF1469)/AH1469*365,0)</x:f>
        <x:v>64.82518212558313</x:v>
      </x:c>
      <x:c r="AJ1469" s="81" t="n">
        <x:f>IF('Inputs'!$B$48&gt;0,AG1469/('Inputs'!$B$19*'Inputs'!$B$48)*365,0)</x:f>
        <x:v>18.724846593528085</x:v>
      </x:c>
      <x:c r="AK1469" s="81" t="n">
        <x:f>W1469/MAX($W$1464:W1469)-1</x:f>
        <x:v>-0.15053221110787218</x:v>
      </x:c>
      <x:c r="AL1469" s="83" t="n">
        <x:f>'Inputs'!$B$48</x:f>
        <x:v>0.25</x:v>
      </x:c>
      <x:c r="AM1469" s="83" t="n">
        <x:f>'Inputs'!$C$48</x:f>
        <x:v>0.25</x:v>
      </x:c>
      <x:c r="AN1469" s="83" t="n">
        <x:f>'Inputs'!$D$48</x:f>
        <x:v>0.3</x:v>
      </x:c>
      <x:c r="AO1469" s="81" t="n">
        <x:f>'Inputs'!$E$48</x:f>
        <x:v>0</x:v>
      </x:c>
    </x:row>
    <x:row r="1470">
      <x:c r="A1470" s="59" t="str">
        <x:v>Low participation</x:v>
      </x:c>
      <x:c r="B1470" s="59" t="n">
        <x:v>7</x:v>
      </x:c>
      <x:c r="C1470" s="78" t="n">
        <x:f>(('Inputs'!$B$29*(3*7*'Inputs'!$B$12-7^2)/(2*'Inputs'!$B$12^2))-('Inputs'!$B$29*(3*6*'Inputs'!$B$12-6^2)/(2*'Inputs'!$B$12^2)))*'Inputs'!$B$48</x:f>
        <x:v>177468.2750046912</x:v>
      </x:c>
      <x:c r="D1470" s="78" t="n">
        <x:f>IF('Inputs'!$C$48&gt;0,('Inputs'!$B$30*(3*7*'Inputs'!$B$12-7^2)/(2*'Inputs'!$B$12^2))-('Inputs'!$B$30*(3*6*'Inputs'!$B$12-6^2)/(2*'Inputs'!$B$12^2)),0)</x:f>
        <x:v>304231.32857947075</x:v>
      </x:c>
      <x:c r="E1470" s="78" t="n">
        <x:f>C1470+D1470</x:f>
        <x:v>481699.60358416196</x:v>
      </x:c>
      <x:c r="F1470" s="78" t="n">
        <x:f>'Inputs'!$B$13*E1470+(1-'Inputs'!$B$13)/'Inputs'!$B$14*SUM(E1464:E1470)</x:f>
        <x:v>144576.06375492585</x:v>
      </x:c>
      <x:c r="G1470" s="78" t="n">
        <x:f>F1470*'Inputs'!$F$48</x:f>
        <x:v>72288.03187746293</x:v>
      </x:c>
      <x:c r="H1470" s="78" t="n">
        <x:f>U1469</x:f>
        <x:v>3931853.6855928693</x:v>
      </x:c>
      <x:c r="I1470" s="78" t="n">
        <x:f>V1469</x:f>
        <x:v>2840.162441938918</x:v>
      </x:c>
      <x:c r="J1470" s="79" t="n">
        <x:f>IF(H1470&gt;0,I1470/H1470,0)</x:f>
        <x:v>0.0007223469307481773</x:v>
      </x:c>
      <x:c r="K1470" s="80" t="n">
        <x:f>(H1470*J1470+I1470)*'Inputs'!$D$48*(1+'Inputs'!$G$48)^(B1470/30)</x:f>
        <x:v>1704.0974651633508</x:v>
      </x:c>
      <x:c r="L1470" s="80" t="n">
        <x:f>MAX(0,K1470*'Inputs'!$E$48)</x:f>
        <x:v>0</x:v>
      </x:c>
      <x:c r="M1470" s="80" t="n">
        <x:f>MAX(0,-K1470*'Inputs'!$E$48)</x:f>
        <x:v>0</x:v>
      </x:c>
      <x:c r="N1470" s="78" t="n">
        <x:f>H1470*(L1470*(1-'Inputs'!$B$15))/(I1470+L1470*(1-'Inputs'!$B$15))</x:f>
        <x:v>0</x:v>
      </x:c>
      <x:c r="O1470" s="78" t="n">
        <x:f>H1470-N1470</x:f>
        <x:v>3931853.6855928693</x:v>
      </x:c>
      <x:c r="P1470" s="78" t="n">
        <x:f>I1470+L1470*(1-'Inputs'!$B$17)</x:f>
        <x:v>2840.162441938918</x:v>
      </x:c>
      <x:c r="Q1470" s="78" t="n">
        <x:f>IF(J1470&gt;0,M1470/J1470,0)</x:f>
        <x:v>0</x:v>
      </x:c>
      <x:c r="R1470" s="78" t="n">
        <x:f>IF(B1470='Inputs'!$H$48,'Inputs'!$B$27*'Inputs'!$I$48,0)</x:f>
        <x:v>0</x:v>
      </x:c>
      <x:c r="S1470" s="78" t="n">
        <x:f>Q1470+G1470+R1470</x:f>
        <x:v>72288.03187746293</x:v>
      </x:c>
      <x:c r="T1470" s="78" t="n">
        <x:f>P1470*(S1470*(1-'Inputs'!$B$15))/(O1470+S1470*(1-'Inputs'!$B$15))</x:f>
        <x:v>50.77076965378685</x:v>
      </x:c>
      <x:c r="U1470" s="78" t="n">
        <x:f>O1470+S1470*(1-'Inputs'!$B$17)</x:f>
        <x:v>4003850.8199577467</x:v>
      </x:c>
      <x:c r="V1470" s="78" t="n">
        <x:f>P1470-T1470</x:f>
        <x:v>2789.3916722851313</x:v>
      </x:c>
      <x:c r="W1470" s="79" t="n">
        <x:f>IF(U1470&gt;0,V1470/U1470,0)</x:f>
        <x:v>0.0006966772234322578</x:v>
      </x:c>
      <x:c r="X1470" s="80" t="n">
        <x:f>W1470*('Inputs'!$B$6-AC1470)</x:f>
        <x:v>696653.9689482613</x:v>
      </x:c>
      <x:c r="Y1470" s="80" t="n">
        <x:f>2*V1470</x:f>
        <x:v>5578.783344570263</x:v>
      </x:c>
      <x:c r="Z1470" s="80" t="n">
        <x:f>K1470*'Inputs'!$B$16+(G1470+R1470)*J1470*'Inputs'!$B$16</x:f>
        <x:v>10.537887018719175</x:v>
      </x:c>
      <x:c r="AA1470" s="80" t="n">
        <x:f>K1470*(1+'Inputs'!$E$48)/2*'Inputs'!$B$17</x:f>
        <x:v>3.4287675355399414</x:v>
      </x:c>
      <x:c r="AB1470" s="78" t="n">
        <x:f>(IF(J1470&gt;0,K1470*(1-'Inputs'!$E$48)/2/J1470,0)+G1470+R1470)*'Inputs'!$B$17</x:f>
        <x:v>5037.602163200499</x:v>
      </x:c>
      <x:c r="AC1470" s="78" t="n">
        <x:f>AC1469+AB1470</x:f>
        <x:v>33379.13629753346</x:v>
      </x:c>
      <x:c r="AD1470" s="80" t="n">
        <x:f>Z1470/(1+'Inputs'!$C$48)</x:f>
        <x:v>8.43030961497534</x:v>
      </x:c>
      <x:c r="AE1470" s="80" t="n">
        <x:f>Z1470-AD1470</x:f>
        <x:v>2.1075774037438357</x:v>
      </x:c>
      <x:c r="AF1470" s="80" t="n">
        <x:f>D1470*W1470</x:f>
        <x:v>211.95103727585257</x:v>
      </x:c>
      <x:c r="AG1470" s="80" t="n">
        <x:f>C1470*W1470</x:f>
        <x:v>123.63810507758062</x:v>
      </x:c>
      <x:c r="AH1470" s="80" t="n">
        <x:f>2*'Inputs'!$B$8*'Inputs'!$C$48</x:f>
        <x:v>1250</x:v>
      </x:c>
      <x:c r="AI1470" s="81" t="n">
        <x:f>IF(AH1470&gt;0,(AE1470+AF1470)/AH1470*365,0)</x:f>
        <x:v>62.50511548644215</x:v>
      </x:c>
      <x:c r="AJ1470" s="81" t="n">
        <x:f>IF('Inputs'!$B$48&gt;0,AG1470/('Inputs'!$B$19*'Inputs'!$B$48)*365,0)</x:f>
        <x:v>18.05116334132677</x:v>
      </x:c>
      <x:c r="AK1470" s="81" t="n">
        <x:f>W1470/MAX($W$1464:W1470)-1</x:f>
        <x:v>-0.18071935330639566</x:v>
      </x:c>
      <x:c r="AL1470" s="83" t="n">
        <x:f>'Inputs'!$B$48</x:f>
        <x:v>0.25</x:v>
      </x:c>
      <x:c r="AM1470" s="83" t="n">
        <x:f>'Inputs'!$C$48</x:f>
        <x:v>0.25</x:v>
      </x:c>
      <x:c r="AN1470" s="83" t="n">
        <x:f>'Inputs'!$D$48</x:f>
        <x:v>0.3</x:v>
      </x:c>
      <x:c r="AO1470" s="81" t="n">
        <x:f>'Inputs'!$E$48</x:f>
        <x:v>0</x:v>
      </x:c>
    </x:row>
    <x:row r="1471">
      <x:c r="A1471" s="59" t="str">
        <x:v>Low participation</x:v>
      </x:c>
      <x:c r="B1471" s="59" t="n">
        <x:v>8</x:v>
      </x:c>
      <x:c r="C1471" s="78" t="n">
        <x:f>(('Inputs'!$B$29*(3*8*'Inputs'!$B$12-8^2)/(2*'Inputs'!$B$12^2))-('Inputs'!$B$29*(3*7*'Inputs'!$B$12-7^2)/(2*'Inputs'!$B$12^2)))*'Inputs'!$B$48</x:f>
        <x:v>177386.99802964902</x:v>
      </x:c>
      <x:c r="D1471" s="78" t="n">
        <x:f>IF('Inputs'!$C$48&gt;0,('Inputs'!$B$30*(3*8*'Inputs'!$B$12-8^2)/(2*'Inputs'!$B$12^2))-('Inputs'!$B$30*(3*7*'Inputs'!$B$12-7^2)/(2*'Inputs'!$B$12^2)),0)</x:f>
        <x:v>304091.99662225554</x:v>
      </x:c>
      <x:c r="E1471" s="78" t="n">
        <x:f>C1471+D1471</x:f>
        <x:v>481478.99465190456</x:v>
      </x:c>
      <x:c r="F1471" s="78" t="n">
        <x:f>'Inputs'!$B$13*E1471+(1-'Inputs'!$B$13)/'Inputs'!$B$14*SUM(E1464:E1471)</x:f>
        <x:v>151410.21332064446</x:v>
      </x:c>
      <x:c r="G1471" s="78" t="n">
        <x:f>F1471*'Inputs'!$F$48</x:f>
        <x:v>75705.10666032223</x:v>
      </x:c>
      <x:c r="H1471" s="78" t="n">
        <x:f>U1470</x:f>
        <x:v>4003850.8199577467</x:v>
      </x:c>
      <x:c r="I1471" s="78" t="n">
        <x:f>V1470</x:f>
        <x:v>2789.3916722851313</x:v>
      </x:c>
      <x:c r="J1471" s="79" t="n">
        <x:f>IF(H1471&gt;0,I1471/H1471,0)</x:f>
        <x:v>0.0006966772234322578</x:v>
      </x:c>
      <x:c r="K1471" s="80" t="n">
        <x:f>(H1471*J1471+I1471)*'Inputs'!$D$48*(1+'Inputs'!$G$48)^(B1471/30)</x:f>
        <x:v>1673.6350033710787</x:v>
      </x:c>
      <x:c r="L1471" s="80" t="n">
        <x:f>MAX(0,K1471*'Inputs'!$E$48)</x:f>
        <x:v>0</x:v>
      </x:c>
      <x:c r="M1471" s="80" t="n">
        <x:f>MAX(0,-K1471*'Inputs'!$E$48)</x:f>
        <x:v>0</x:v>
      </x:c>
      <x:c r="N1471" s="78" t="n">
        <x:f>H1471*(L1471*(1-'Inputs'!$B$15))/(I1471+L1471*(1-'Inputs'!$B$15))</x:f>
        <x:v>0</x:v>
      </x:c>
      <x:c r="O1471" s="78" t="n">
        <x:f>H1471-N1471</x:f>
        <x:v>4003850.8199577467</x:v>
      </x:c>
      <x:c r="P1471" s="78" t="n">
        <x:f>I1471+L1471*(1-'Inputs'!$B$17)</x:f>
        <x:v>2789.3916722851313</x:v>
      </x:c>
      <x:c r="Q1471" s="78" t="n">
        <x:f>IF(J1471&gt;0,M1471/J1471,0)</x:f>
        <x:v>0</x:v>
      </x:c>
      <x:c r="R1471" s="78" t="n">
        <x:f>IF(B1471='Inputs'!$H$48,'Inputs'!$B$27*'Inputs'!$I$48,0)</x:f>
        <x:v>0</x:v>
      </x:c>
      <x:c r="S1471" s="78" t="n">
        <x:f>Q1471+G1471+R1471</x:f>
        <x:v>75705.10666032223</x:v>
      </x:c>
      <x:c r="T1471" s="78" t="n">
        <x:f>P1471*(S1471*(1-'Inputs'!$B$15))/(O1471+S1471*(1-'Inputs'!$B$15))</x:f>
        <x:v>51.25515832128824</x:v>
      </x:c>
      <x:c r="U1471" s="78" t="n">
        <x:f>O1471+S1471*(1-'Inputs'!$B$17)</x:f>
        <x:v>4079251.278301528</x:v>
      </x:c>
      <x:c r="V1471" s="78" t="n">
        <x:f>P1471-T1471</x:f>
        <x:v>2738.1365139638433</x:v>
      </x:c>
      <x:c r="W1471" s="79" t="n">
        <x:f>IF(U1471&gt;0,V1471/U1471,0)</x:f>
        <x:v>0.0006712350691727716</x:v>
      </x:c>
      <x:c r="X1471" s="80" t="n">
        <x:f>W1471*('Inputs'!$B$6-AC1471)</x:f>
        <x:v>671209.2149381952</x:v>
      </x:c>
      <x:c r="Y1471" s="80" t="n">
        <x:f>2*V1471</x:f>
        <x:v>5476.273027927687</x:v>
      </x:c>
      <x:c r="Z1471" s="80" t="n">
        <x:f>K1471*'Inputs'!$B$16+(G1471+R1471)*J1471*'Inputs'!$B$16</x:f>
        <x:v>10.35826216127301</x:v>
      </x:c>
      <x:c r="AA1471" s="80" t="n">
        <x:f>K1471*(1+'Inputs'!$E$48)/2*'Inputs'!$B$17</x:f>
        <x:v>3.3674748558774223</x:v>
      </x:c>
      <x:c r="AB1471" s="78" t="n">
        <x:f>(IF(J1471&gt;0,K1471*(1-'Inputs'!$E$48)/2/J1471,0)+G1471+R1471)*'Inputs'!$B$17</x:f>
        <x:v>5138.271036811453</x:v>
      </x:c>
      <x:c r="AC1471" s="78" t="n">
        <x:f>AC1470+AB1471</x:f>
        <x:v>38517.40733434491</x:v>
      </x:c>
      <x:c r="AD1471" s="80" t="n">
        <x:f>Z1471/(1+'Inputs'!$C$48)</x:f>
        <x:v>8.286609729018409</x:v>
      </x:c>
      <x:c r="AE1471" s="80" t="n">
        <x:f>Z1471-AD1471</x:f>
        <x:v>2.071652432254602</x:v>
      </x:c>
      <x:c r="AF1471" s="80" t="n">
        <x:f>D1471*W1471</x:f>
        <x:v>204.11721238762593</x:v>
      </x:c>
      <x:c r="AG1471" s="80" t="n">
        <x:f>C1471*W1471</x:f>
        <x:v>119.06837389278176</x:v>
      </x:c>
      <x:c r="AH1471" s="80" t="n">
        <x:f>2*'Inputs'!$B$8*'Inputs'!$C$48</x:f>
        <x:v>1250</x:v>
      </x:c>
      <x:c r="AI1471" s="81" t="n">
        <x:f>IF(AH1471&gt;0,(AE1471+AF1471)/AH1471*365,0)</x:f>
        <x:v>60.20714852740512</x:v>
      </x:c>
      <x:c r="AJ1471" s="81" t="n">
        <x:f>IF('Inputs'!$B$48&gt;0,AG1471/('Inputs'!$B$19*'Inputs'!$B$48)*365,0)</x:f>
        <x:v>17.383982588346136</x:v>
      </x:c>
      <x:c r="AK1471" s="81" t="n">
        <x:f>W1471/MAX($W$1464:W1471)-1</x:f>
        <x:v>-0.21063889695431148</x:v>
      </x:c>
      <x:c r="AL1471" s="83" t="n">
        <x:f>'Inputs'!$B$48</x:f>
        <x:v>0.25</x:v>
      </x:c>
      <x:c r="AM1471" s="83" t="n">
        <x:f>'Inputs'!$C$48</x:f>
        <x:v>0.25</x:v>
      </x:c>
      <x:c r="AN1471" s="83" t="n">
        <x:f>'Inputs'!$D$48</x:f>
        <x:v>0.3</x:v>
      </x:c>
      <x:c r="AO1471" s="81" t="n">
        <x:f>'Inputs'!$E$48</x:f>
        <x:v>0</x:v>
      </x:c>
    </x:row>
    <x:row r="1472">
      <x:c r="A1472" s="59" t="str">
        <x:v>Low participation</x:v>
      </x:c>
      <x:c r="B1472" s="59" t="n">
        <x:v>9</x:v>
      </x:c>
      <x:c r="C1472" s="78" t="n">
        <x:f>(('Inputs'!$B$29*(3*9*'Inputs'!$B$12-9^2)/(2*'Inputs'!$B$12^2))-('Inputs'!$B$29*(3*8*'Inputs'!$B$12-8^2)/(2*'Inputs'!$B$12^2)))*'Inputs'!$B$48</x:f>
        <x:v>177305.72105460707</x:v>
      </x:c>
      <x:c r="D1472" s="78" t="n">
        <x:f>IF('Inputs'!$C$48&gt;0,('Inputs'!$B$30*(3*9*'Inputs'!$B$12-9^2)/(2*'Inputs'!$B$12^2))-('Inputs'!$B$30*(3*8*'Inputs'!$B$12-8^2)/(2*'Inputs'!$B$12^2)),0)</x:f>
        <x:v>303952.66466504056</x:v>
      </x:c>
      <x:c r="E1472" s="78" t="n">
        <x:f>C1472+D1472</x:f>
        <x:v>481258.38571964763</x:v>
      </x:c>
      <x:c r="F1472" s="78" t="n">
        <x:f>'Inputs'!$B$13*E1472+(1-'Inputs'!$B$13)/'Inputs'!$B$14*SUM(E1464:E1472)</x:f>
        <x:v>158241.21133018803</x:v>
      </x:c>
      <x:c r="G1472" s="78" t="n">
        <x:f>F1472*'Inputs'!$F$48</x:f>
        <x:v>79120.60566509402</x:v>
      </x:c>
      <x:c r="H1472" s="78" t="n">
        <x:f>U1471</x:f>
        <x:v>4079251.278301528</x:v>
      </x:c>
      <x:c r="I1472" s="78" t="n">
        <x:f>V1471</x:f>
        <x:v>2738.1365139638433</x:v>
      </x:c>
      <x:c r="J1472" s="79" t="n">
        <x:f>IF(H1472&gt;0,I1472/H1472,0)</x:f>
        <x:v>0.0006712350691727716</x:v>
      </x:c>
      <x:c r="K1472" s="80" t="n">
        <x:f>(H1472*J1472+I1472)*'Inputs'!$D$48*(1+'Inputs'!$G$48)^(B1472/30)</x:f>
        <x:v>1642.881908378306</x:v>
      </x:c>
      <x:c r="L1472" s="80" t="n">
        <x:f>MAX(0,K1472*'Inputs'!$E$48)</x:f>
        <x:v>0</x:v>
      </x:c>
      <x:c r="M1472" s="80" t="n">
        <x:f>MAX(0,-K1472*'Inputs'!$E$48)</x:f>
        <x:v>0</x:v>
      </x:c>
      <x:c r="N1472" s="78" t="n">
        <x:f>H1472*(L1472*(1-'Inputs'!$B$15))/(I1472+L1472*(1-'Inputs'!$B$15))</x:f>
        <x:v>0</x:v>
      </x:c>
      <x:c r="O1472" s="78" t="n">
        <x:f>H1472-N1472</x:f>
        <x:v>4079251.278301528</x:v>
      </x:c>
      <x:c r="P1472" s="78" t="n">
        <x:f>I1472+L1472*(1-'Inputs'!$B$17)</x:f>
        <x:v>2738.1365139638433</x:v>
      </x:c>
      <x:c r="Q1472" s="78" t="n">
        <x:f>IF(J1472&gt;0,M1472/J1472,0)</x:f>
        <x:v>0</x:v>
      </x:c>
      <x:c r="R1472" s="78" t="n">
        <x:f>IF(B1472='Inputs'!$H$48,'Inputs'!$B$27*'Inputs'!$I$48,0)</x:f>
        <x:v>0</x:v>
      </x:c>
      <x:c r="S1472" s="78" t="n">
        <x:f>Q1472+G1472+R1472</x:f>
        <x:v>79120.60566509402</x:v>
      </x:c>
      <x:c r="T1472" s="78" t="n">
        <x:f>P1472*(S1472*(1-'Inputs'!$B$15))/(O1472+S1472*(1-'Inputs'!$B$15))</x:f>
        <x:v>51.586873665326245</x:v>
      </x:c>
      <x:c r="U1472" s="78" t="n">
        <x:f>O1472+S1472*(1-'Inputs'!$B$17)</x:f>
        <x:v>4158053.4911872856</x:v>
      </x:c>
      <x:c r="V1472" s="78" t="n">
        <x:f>P1472-T1472</x:f>
        <x:v>2686.5496402985173</x:v>
      </x:c>
      <x:c r="W1472" s="79" t="n">
        <x:f>IF(U1472&gt;0,V1472/U1472,0)</x:f>
        <x:v>0.0006461075226647465</x:v>
      </x:c>
      <x:c r="X1472" s="80" t="n">
        <x:f>W1472*('Inputs'!$B$6-AC1472)</x:f>
        <x:v>646079.2487091008</x:v>
      </x:c>
      <x:c r="Y1472" s="80" t="n">
        <x:f>2*V1472</x:f>
        <x:v>5373.0992805970345</x:v>
      </x:c>
      <x:c r="Z1472" s="80" t="n">
        <x:f>K1472*'Inputs'!$B$16+(G1472+R1472)*J1472*'Inputs'!$B$16</x:f>
        <x:v>10.175942601569442</x:v>
      </x:c>
      <x:c r="AA1472" s="80" t="n">
        <x:f>K1472*(1+'Inputs'!$E$48)/2*'Inputs'!$B$17</x:f>
        <x:v>3.305597401163594</x:v>
      </x:c>
      <x:c r="AB1472" s="78" t="n">
        <x:f>(IF(J1472&gt;0,K1472*(1-'Inputs'!$E$48)/2/J1472,0)+G1472+R1472)*'Inputs'!$B$17</x:f>
        <x:v>5243.042209881499</x:v>
      </x:c>
      <x:c r="AC1472" s="78" t="n">
        <x:f>AC1471+AB1472</x:f>
        <x:v>43760.44954422641</x:v>
      </x:c>
      <x:c r="AD1472" s="80" t="n">
        <x:f>Z1472/(1+'Inputs'!$C$48)</x:f>
        <x:v>8.140754081255555</x:v>
      </x:c>
      <x:c r="AE1472" s="80" t="n">
        <x:f>Z1472-AD1472</x:f>
        <x:v>2.0351885203138878</x:v>
      </x:c>
      <x:c r="AF1472" s="80" t="n">
        <x:f>D1472*W1472</x:f>
        <x:v>196.3861031740778</x:v>
      </x:c>
      <x:c r="AG1472" s="80" t="n">
        <x:f>C1472*W1472</x:f>
        <x:v>114.55856018487876</x:v>
      </x:c>
      <x:c r="AH1472" s="80" t="n">
        <x:f>2*'Inputs'!$B$8*'Inputs'!$C$48</x:f>
        <x:v>1250</x:v>
      </x:c>
      <x:c r="AI1472" s="81" t="n">
        <x:f>IF(AH1472&gt;0,(AE1472+AF1472)/AH1472*365,0)</x:f>
        <x:v>57.93901717476237</x:v>
      </x:c>
      <x:c r="AJ1472" s="81" t="n">
        <x:f>IF('Inputs'!$B$48&gt;0,AG1472/('Inputs'!$B$19*'Inputs'!$B$48)*365,0)</x:f>
        <x:v>16.7255497869923</x:v>
      </x:c>
      <x:c r="AK1472" s="81" t="n">
        <x:f>W1472/MAX($W$1464:W1472)-1</x:f>
        <x:v>-0.24018846720076903</x:v>
      </x:c>
      <x:c r="AL1472" s="83" t="n">
        <x:f>'Inputs'!$B$48</x:f>
        <x:v>0.25</x:v>
      </x:c>
      <x:c r="AM1472" s="83" t="n">
        <x:f>'Inputs'!$C$48</x:f>
        <x:v>0.25</x:v>
      </x:c>
      <x:c r="AN1472" s="83" t="n">
        <x:f>'Inputs'!$D$48</x:f>
        <x:v>0.3</x:v>
      </x:c>
      <x:c r="AO1472" s="81" t="n">
        <x:f>'Inputs'!$E$48</x:f>
        <x:v>0</x:v>
      </x:c>
    </x:row>
    <x:row r="1473">
      <x:c r="A1473" s="59" t="str">
        <x:v>Low participation</x:v>
      </x:c>
      <x:c r="B1473" s="59" t="n">
        <x:v>10</x:v>
      </x:c>
      <x:c r="C1473" s="78" t="n">
        <x:f>(('Inputs'!$B$29*(3*10*'Inputs'!$B$12-10^2)/(2*'Inputs'!$B$12^2))-('Inputs'!$B$29*(3*9*'Inputs'!$B$12-9^2)/(2*'Inputs'!$B$12^2)))*'Inputs'!$B$48</x:f>
        <x:v>177224.44407956465</x:v>
      </x:c>
      <x:c r="D1473" s="78" t="n">
        <x:f>IF('Inputs'!$C$48&gt;0,('Inputs'!$B$30*(3*10*'Inputs'!$B$12-10^2)/(2*'Inputs'!$B$12^2))-('Inputs'!$B$30*(3*9*'Inputs'!$B$12-9^2)/(2*'Inputs'!$B$12^2)),0)</x:f>
        <x:v>303813.3327078251</x:v>
      </x:c>
      <x:c r="E1473" s="78" t="n">
        <x:f>C1473+D1473</x:f>
        <x:v>481037.77678738977</x:v>
      </x:c>
      <x:c r="F1473" s="78" t="n">
        <x:f>'Inputs'!$B$13*E1473+(1-'Inputs'!$B$13)/'Inputs'!$B$14*SUM(E1464:E1473)</x:f>
        <x:v>165069.05778355632</x:v>
      </x:c>
      <x:c r="G1473" s="78" t="n">
        <x:f>F1473*'Inputs'!$F$48</x:f>
        <x:v>82534.52889177816</x:v>
      </x:c>
      <x:c r="H1473" s="78" t="n">
        <x:f>U1472</x:f>
        <x:v>4158053.4911872856</x:v>
      </x:c>
      <x:c r="I1473" s="78" t="n">
        <x:f>V1472</x:f>
        <x:v>2686.5496402985173</x:v>
      </x:c>
      <x:c r="J1473" s="79" t="n">
        <x:f>IF(H1473&gt;0,I1473/H1473,0)</x:f>
        <x:v>0.0006461075226647465</x:v>
      </x:c>
      <x:c r="K1473" s="80" t="n">
        <x:f>(H1473*J1473+I1473)*'Inputs'!$D$48*(1+'Inputs'!$G$48)^(B1473/30)</x:f>
        <x:v>1611.9297841791104</x:v>
      </x:c>
      <x:c r="L1473" s="80" t="n">
        <x:f>MAX(0,K1473*'Inputs'!$E$48)</x:f>
        <x:v>0</x:v>
      </x:c>
      <x:c r="M1473" s="80" t="n">
        <x:f>MAX(0,-K1473*'Inputs'!$E$48)</x:f>
        <x:v>0</x:v>
      </x:c>
      <x:c r="N1473" s="78" t="n">
        <x:f>H1473*(L1473*(1-'Inputs'!$B$15))/(I1473+L1473*(1-'Inputs'!$B$15))</x:f>
        <x:v>0</x:v>
      </x:c>
      <x:c r="O1473" s="78" t="n">
        <x:f>H1473-N1473</x:f>
        <x:v>4158053.4911872856</x:v>
      </x:c>
      <x:c r="P1473" s="78" t="n">
        <x:f>I1473+L1473*(1-'Inputs'!$B$17)</x:f>
        <x:v>2686.5496402985173</x:v>
      </x:c>
      <x:c r="Q1473" s="78" t="n">
        <x:f>IF(J1473&gt;0,M1473/J1473,0)</x:f>
        <x:v>0</x:v>
      </x:c>
      <x:c r="R1473" s="78" t="n">
        <x:f>IF(B1473='Inputs'!$H$48,'Inputs'!$B$27*'Inputs'!$I$48,0)</x:f>
        <x:v>0</x:v>
      </x:c>
      <x:c r="S1473" s="78" t="n">
        <x:f>Q1473+G1473+R1473</x:f>
        <x:v>82534.52889177816</x:v>
      </x:c>
      <x:c r="T1473" s="78" t="n">
        <x:f>P1473*(S1473*(1-'Inputs'!$B$15))/(O1473+S1473*(1-'Inputs'!$B$15))</x:f>
        <x:v>51.77548713341964</x:v>
      </x:c>
      <x:c r="U1473" s="78" t="n">
        <x:f>O1473+S1473*(1-'Inputs'!$B$17)</x:f>
        <x:v>4240255.889178091</x:v>
      </x:c>
      <x:c r="V1473" s="78" t="n">
        <x:f>P1473-T1473</x:f>
        <x:v>2634.7741531650977</x:v>
      </x:c>
      <x:c r="W1473" s="79" t="n">
        <x:f>IF(U1473&gt;0,V1473/U1473,0)</x:f>
        <x:v>0.0006213714978592504</x:v>
      </x:c>
      <x:c r="X1473" s="80" t="n">
        <x:f>W1473*('Inputs'!$B$6-AC1473)</x:f>
        <x:v>621340.9808364834</x:v>
      </x:c>
      <x:c r="Y1473" s="80" t="n">
        <x:f>2*V1473</x:f>
        <x:v>5269.548306330195</x:v>
      </x:c>
      <x:c r="Z1473" s="80" t="n">
        <x:f>K1473*'Inputs'!$B$16+(G1473+R1473)*J1473*'Inputs'!$B$16</x:f>
        <x:v>9.991535785054074</x:v>
      </x:c>
      <x:c r="AA1473" s="80" t="n">
        <x:f>K1473*(1+'Inputs'!$E$48)/2*'Inputs'!$B$17</x:f>
        <x:v>3.24331948526984</x:v>
      </x:c>
      <x:c r="AB1473" s="78" t="n">
        <x:f>(IF(J1473&gt;0,K1473*(1-'Inputs'!$E$48)/2/J1473,0)+G1473+R1473)*'Inputs'!$B$17</x:f>
        <x:v>5351.913787718165</x:v>
      </x:c>
      <x:c r="AC1473" s="78" t="n">
        <x:f>AC1472+AB1473</x:f>
        <x:v>49112.36333194457</x:v>
      </x:c>
      <x:c r="AD1473" s="80" t="n">
        <x:f>Z1473/(1+'Inputs'!$C$48)</x:f>
        <x:v>7.993228628043259</x:v>
      </x:c>
      <x:c r="AE1473" s="80" t="n">
        <x:f>Z1473-AD1473</x:f>
        <x:v>1.9983071570108146</x:v>
      </x:c>
      <x:c r="AF1473" s="80" t="n">
        <x:f>D1473*W1473</x:f>
        <x:v>188.78094561427207</x:v>
      </x:c>
      <x:c r="AG1473" s="80" t="n">
        <x:f>C1473*W1473</x:f>
        <x:v>110.12221827499204</x:v>
      </x:c>
      <x:c r="AH1473" s="80" t="n">
        <x:f>2*'Inputs'!$B$8*'Inputs'!$C$48</x:f>
        <x:v>1250</x:v>
      </x:c>
      <x:c r="AI1473" s="81" t="n">
        <x:f>IF(AH1473&gt;0,(AE1473+AF1473)/AH1473*365,0)</x:f>
        <x:v>55.707541809214604</x:v>
      </x:c>
      <x:c r="AJ1473" s="81" t="n">
        <x:f>IF('Inputs'!$B$48&gt;0,AG1473/('Inputs'!$B$19*'Inputs'!$B$48)*365,0)</x:f>
        <x:v>16.077843868148836</x:v>
      </x:c>
      <x:c r="AK1473" s="81" t="n">
        <x:f>W1473/MAX($W$1464:W1473)-1</x:f>
        <x:v>-0.2692776145385195</x:v>
      </x:c>
      <x:c r="AL1473" s="83" t="n">
        <x:f>'Inputs'!$B$48</x:f>
        <x:v>0.25</x:v>
      </x:c>
      <x:c r="AM1473" s="83" t="n">
        <x:f>'Inputs'!$C$48</x:f>
        <x:v>0.25</x:v>
      </x:c>
      <x:c r="AN1473" s="83" t="n">
        <x:f>'Inputs'!$D$48</x:f>
        <x:v>0.3</x:v>
      </x:c>
      <x:c r="AO1473" s="81" t="n">
        <x:f>'Inputs'!$E$48</x:f>
        <x:v>0</x:v>
      </x:c>
    </x:row>
    <x:row r="1474">
      <x:c r="A1474" s="59" t="str">
        <x:v>Low participation</x:v>
      </x:c>
      <x:c r="B1474" s="59" t="n">
        <x:v>11</x:v>
      </x:c>
      <x:c r="C1474" s="78" t="n">
        <x:f>(('Inputs'!$B$29*(3*11*'Inputs'!$B$12-11^2)/(2*'Inputs'!$B$12^2))-('Inputs'!$B$29*(3*10*'Inputs'!$B$12-10^2)/(2*'Inputs'!$B$12^2)))*'Inputs'!$B$48</x:f>
        <x:v>177143.16710452223</x:v>
      </x:c>
      <x:c r="D1474" s="78" t="n">
        <x:f>IF('Inputs'!$C$48&gt;0,('Inputs'!$B$30*(3*11*'Inputs'!$B$12-11^2)/(2*'Inputs'!$B$12^2))-('Inputs'!$B$30*(3*10*'Inputs'!$B$12-10^2)/(2*'Inputs'!$B$12^2)),0)</x:f>
        <x:v>303674.0007506097</x:v>
      </x:c>
      <x:c r="E1474" s="78" t="n">
        <x:f>C1474+D1474</x:f>
        <x:v>480817.1678551319</x:v>
      </x:c>
      <x:c r="F1474" s="78" t="n">
        <x:f>'Inputs'!$B$13*E1474+(1-'Inputs'!$B$13)/'Inputs'!$B$14*SUM(E1464:E1474)</x:f>
        <x:v>171893.75268074946</x:v>
      </x:c>
      <x:c r="G1474" s="78" t="n">
        <x:f>F1474*'Inputs'!$F$48</x:f>
        <x:v>85946.87634037473</x:v>
      </x:c>
      <x:c r="H1474" s="78" t="n">
        <x:f>U1473</x:f>
        <x:v>4240255.889178091</x:v>
      </x:c>
      <x:c r="I1474" s="78" t="n">
        <x:f>V1473</x:f>
        <x:v>2634.7741531650977</x:v>
      </x:c>
      <x:c r="J1474" s="79" t="n">
        <x:f>IF(H1474&gt;0,I1474/H1474,0)</x:f>
        <x:v>0.0006213714978592504</x:v>
      </x:c>
      <x:c r="K1474" s="80" t="n">
        <x:f>(H1474*J1474+I1474)*'Inputs'!$D$48*(1+'Inputs'!$G$48)^(B1474/30)</x:f>
        <x:v>1580.8644918990585</x:v>
      </x:c>
      <x:c r="L1474" s="80" t="n">
        <x:f>MAX(0,K1474*'Inputs'!$E$48)</x:f>
        <x:v>0</x:v>
      </x:c>
      <x:c r="M1474" s="80" t="n">
        <x:f>MAX(0,-K1474*'Inputs'!$E$48)</x:f>
        <x:v>0</x:v>
      </x:c>
      <x:c r="N1474" s="78" t="n">
        <x:f>H1474*(L1474*(1-'Inputs'!$B$15))/(I1474+L1474*(1-'Inputs'!$B$15))</x:f>
        <x:v>0</x:v>
      </x:c>
      <x:c r="O1474" s="78" t="n">
        <x:f>H1474-N1474</x:f>
        <x:v>4240255.889178091</x:v>
      </x:c>
      <x:c r="P1474" s="78" t="n">
        <x:f>I1474+L1474*(1-'Inputs'!$B$17)</x:f>
        <x:v>2634.7741531650977</x:v>
      </x:c>
      <x:c r="Q1474" s="78" t="n">
        <x:f>IF(J1474&gt;0,M1474/J1474,0)</x:f>
        <x:v>0</x:v>
      </x:c>
      <x:c r="R1474" s="78" t="n">
        <x:f>IF(B1474='Inputs'!$H$48,'Inputs'!$B$27*'Inputs'!$I$48,0)</x:f>
        <x:v>0</x:v>
      </x:c>
      <x:c r="S1474" s="78" t="n">
        <x:f>Q1474+G1474+R1474</x:f>
        <x:v>85946.87634037473</x:v>
      </x:c>
      <x:c r="T1474" s="78" t="n">
        <x:f>P1474*(S1474*(1-'Inputs'!$B$15))/(O1474+S1474*(1-'Inputs'!$B$15))</x:f>
        <x:v>51.83082286481516</x:v>
      </x:c>
      <x:c r="U1474" s="78" t="n">
        <x:f>O1474+S1474*(1-'Inputs'!$B$17)</x:f>
        <x:v>4325856.902837016</x:v>
      </x:c>
      <x:c r="V1474" s="78" t="n">
        <x:f>P1474-T1474</x:f>
        <x:v>2582.9433303002825</x:v>
      </x:c>
      <x:c r="W1474" s="79" t="n">
        <x:f>IF(U1474&gt;0,V1474/U1474,0)</x:f>
        <x:v>0.0005970940297646733</x:v>
      </x:c>
      <x:c r="X1474" s="80" t="n">
        <x:f>W1474*('Inputs'!$B$6-AC1474)</x:f>
        <x:v>597061.4420162047</x:v>
      </x:c>
      <x:c r="Y1474" s="80" t="n">
        <x:f>2*V1474</x:f>
        <x:v>5165.886660600565</x:v>
      </x:c>
      <x:c r="Z1474" s="80" t="n">
        <x:f>K1474*'Inputs'!$B$16+(G1474+R1474)*J1474*'Inputs'!$B$16</x:f>
        <x:v>9.805616587122005</x:v>
      </x:c>
      <x:c r="AA1474" s="80" t="n">
        <x:f>K1474*(1+'Inputs'!$E$48)/2*'Inputs'!$B$17</x:f>
        <x:v>3.180813867000118</x:v>
      </x:c>
      <x:c r="AB1474" s="78" t="n">
        <x:f>(IF(J1474&gt;0,K1474*(1-'Inputs'!$E$48)/2/J1474,0)+G1474+R1474)*'Inputs'!$B$17</x:f>
        <x:v>5464.883875628982</x:v>
      </x:c>
      <x:c r="AC1474" s="78" t="n">
        <x:f>AC1473+AB1474</x:f>
        <x:v>54577.24720757356</x:v>
      </x:c>
      <x:c r="AD1474" s="80" t="n">
        <x:f>Z1474/(1+'Inputs'!$C$48)</x:f>
        <x:v>7.844493269697604</x:v>
      </x:c>
      <x:c r="AE1474" s="80" t="n">
        <x:f>Z1474-AD1474</x:f>
        <x:v>1.9611233174244012</x:v>
      </x:c>
      <x:c r="AF1474" s="80" t="n">
        <x:f>D1474*W1474</x:f>
        <x:v>181.32193284294195</x:v>
      </x:c>
      <x:c r="AG1474" s="80" t="n">
        <x:f>C1474*W1474</x:f>
        <x:v>105.7711274917161</x:v>
      </x:c>
      <x:c r="AH1474" s="80" t="n">
        <x:f>2*'Inputs'!$B$8*'Inputs'!$C$48</x:f>
        <x:v>1250</x:v>
      </x:c>
      <x:c r="AI1474" s="81" t="n">
        <x:f>IF(AH1474&gt;0,(AE1474+AF1474)/AH1474*365,0)</x:f>
        <x:v>53.51865239882697</x:v>
      </x:c>
      <x:c r="AJ1474" s="81" t="n">
        <x:f>IF('Inputs'!$B$48&gt;0,AG1474/('Inputs'!$B$19*'Inputs'!$B$48)*365,0)</x:f>
        <x:v>15.442584613790551</x:v>
      </x:c>
      <x:c r="AK1474" s="81" t="n">
        <x:f>W1474/MAX($W$1464:W1474)-1</x:f>
        <x:v>-0.2978275069300317</x:v>
      </x:c>
      <x:c r="AL1474" s="83" t="n">
        <x:f>'Inputs'!$B$48</x:f>
        <x:v>0.25</x:v>
      </x:c>
      <x:c r="AM1474" s="83" t="n">
        <x:f>'Inputs'!$C$48</x:f>
        <x:v>0.25</x:v>
      </x:c>
      <x:c r="AN1474" s="83" t="n">
        <x:f>'Inputs'!$D$48</x:f>
        <x:v>0.3</x:v>
      </x:c>
      <x:c r="AO1474" s="81" t="n">
        <x:f>'Inputs'!$E$48</x:f>
        <x:v>0</x:v>
      </x:c>
    </x:row>
    <x:row r="1475">
      <x:c r="A1475" s="59" t="str">
        <x:v>Low participation</x:v>
      </x:c>
      <x:c r="B1475" s="59" t="n">
        <x:v>12</x:v>
      </x:c>
      <x:c r="C1475" s="78" t="n">
        <x:f>(('Inputs'!$B$29*(3*12*'Inputs'!$B$12-12^2)/(2*'Inputs'!$B$12^2))-('Inputs'!$B$29*(3*11*'Inputs'!$B$12-11^2)/(2*'Inputs'!$B$12^2)))*'Inputs'!$B$48</x:f>
        <x:v>177061.89012948028</x:v>
      </x:c>
      <x:c r="D1475" s="78" t="n">
        <x:f>IF('Inputs'!$C$48&gt;0,('Inputs'!$B$30*(3*12*'Inputs'!$B$12-12^2)/(2*'Inputs'!$B$12^2))-('Inputs'!$B$30*(3*11*'Inputs'!$B$12-11^2)/(2*'Inputs'!$B$12^2)),0)</x:f>
        <x:v>303534.6687933947</x:v>
      </x:c>
      <x:c r="E1475" s="78" t="n">
        <x:f>C1475+D1475</x:f>
        <x:v>480596.558922875</x:v>
      </x:c>
      <x:c r="F1475" s="78" t="n">
        <x:f>'Inputs'!$B$13*E1475+(1-'Inputs'!$B$13)/'Inputs'!$B$14*SUM(E1464:E1475)</x:f>
        <x:v>178715.29602176772</x:v>
      </x:c>
      <x:c r="G1475" s="78" t="n">
        <x:f>F1475*'Inputs'!$F$48</x:f>
        <x:v>89357.64801088386</x:v>
      </x:c>
      <x:c r="H1475" s="78" t="n">
        <x:f>U1474</x:f>
        <x:v>4325856.902837016</x:v>
      </x:c>
      <x:c r="I1475" s="78" t="n">
        <x:f>V1474</x:f>
        <x:v>2582.9433303002825</x:v>
      </x:c>
      <x:c r="J1475" s="79" t="n">
        <x:f>IF(H1475&gt;0,I1475/H1475,0)</x:f>
        <x:v>0.0005970940297646733</x:v>
      </x:c>
      <x:c r="K1475" s="80" t="n">
        <x:f>(H1475*J1475+I1475)*'Inputs'!$D$48*(1+'Inputs'!$G$48)^(B1475/30)</x:f>
        <x:v>1549.7659981801694</x:v>
      </x:c>
      <x:c r="L1475" s="80" t="n">
        <x:f>MAX(0,K1475*'Inputs'!$E$48)</x:f>
        <x:v>0</x:v>
      </x:c>
      <x:c r="M1475" s="80" t="n">
        <x:f>MAX(0,-K1475*'Inputs'!$E$48)</x:f>
        <x:v>0</x:v>
      </x:c>
      <x:c r="N1475" s="78" t="n">
        <x:f>H1475*(L1475*(1-'Inputs'!$B$15))/(I1475+L1475*(1-'Inputs'!$B$15))</x:f>
        <x:v>0</x:v>
      </x:c>
      <x:c r="O1475" s="78" t="n">
        <x:f>H1475-N1475</x:f>
        <x:v>4325856.902837016</x:v>
      </x:c>
      <x:c r="P1475" s="78" t="n">
        <x:f>I1475+L1475*(1-'Inputs'!$B$17)</x:f>
        <x:v>2582.9433303002825</x:v>
      </x:c>
      <x:c r="Q1475" s="78" t="n">
        <x:f>IF(J1475&gt;0,M1475/J1475,0)</x:f>
        <x:v>0</x:v>
      </x:c>
      <x:c r="R1475" s="78" t="n">
        <x:f>IF(B1475='Inputs'!$H$48,'Inputs'!$B$27*'Inputs'!$I$48,0)</x:f>
        <x:v>0</x:v>
      </x:c>
      <x:c r="S1475" s="78" t="n">
        <x:f>Q1475+G1475+R1475</x:f>
        <x:v>89357.64801088386</x:v>
      </x:c>
      <x:c r="T1475" s="78" t="n">
        <x:f>P1475*(S1475*(1-'Inputs'!$B$15))/(O1475+S1475*(1-'Inputs'!$B$15))</x:f>
        <x:v>51.762815812084746</x:v>
      </x:c>
      <x:c r="U1475" s="78" t="n">
        <x:f>O1475+S1475*(1-'Inputs'!$B$17)</x:f>
        <x:v>4414854.962727131</x:v>
      </x:c>
      <x:c r="V1475" s="78" t="n">
        <x:f>P1475-T1475</x:f>
        <x:v>2531.180514488198</x:v>
      </x:c>
      <x:c r="W1475" s="79" t="n">
        <x:f>IF(U1475&gt;0,V1475/U1475,0)</x:f>
        <x:v>0.0005733326543811633</x:v>
      </x:c>
      <x:c r="X1475" s="80" t="n">
        <x:f>W1475*('Inputs'!$B$6-AC1475)</x:f>
        <x:v>573298.163148611</x:v>
      </x:c>
      <x:c r="Y1475" s="80" t="n">
        <x:f>2*V1475</x:f>
        <x:v>5062.361028976396</x:v>
      </x:c>
      <x:c r="Z1475" s="80" t="n">
        <x:f>K1475*'Inputs'!$B$16+(G1475+R1475)*J1475*'Inputs'!$B$16</x:f>
        <x:v>9.618725497927688</x:v>
      </x:c>
      <x:c r="AA1475" s="80" t="n">
        <x:f>K1475*(1+'Inputs'!$E$48)/2*'Inputs'!$B$17</x:f>
        <x:v>3.118241445030522</x:v>
      </x:c>
      <x:c r="AB1475" s="78" t="n">
        <x:f>(IF(J1475&gt;0,K1475*(1-'Inputs'!$E$48)/2/J1475,0)+G1475+R1475)*'Inputs'!$B$17</x:f>
        <x:v>5581.950578921484</x:v>
      </x:c>
      <x:c r="AC1475" s="78" t="n">
        <x:f>AC1474+AB1475</x:f>
        <x:v>60159.19778649504</x:v>
      </x:c>
      <x:c r="AD1475" s="80" t="n">
        <x:f>Z1475/(1+'Inputs'!$C$48)</x:f>
        <x:v>7.6949803983421505</x:v>
      </x:c>
      <x:c r="AE1475" s="80" t="n">
        <x:f>Z1475-AD1475</x:f>
        <x:v>1.9237450995855374</x:v>
      </x:c>
      <x:c r="AF1475" s="80" t="n">
        <x:f>D1475*W1475</x:f>
        <x:v>174.02633735602421</x:v>
      </x:c>
      <x:c r="AG1475" s="80" t="n">
        <x:f>C1475*W1475</x:f>
        <x:v>101.51536345768082</x:v>
      </x:c>
      <x:c r="AH1475" s="80" t="n">
        <x:f>2*'Inputs'!$B$8*'Inputs'!$C$48</x:f>
        <x:v>1250</x:v>
      </x:c>
      <x:c r="AI1475" s="81" t="n">
        <x:f>IF(AH1475&gt;0,(AE1475+AF1475)/AH1475*365,0)</x:f>
        <x:v>51.37742407703805</x:v>
      </x:c>
      <x:c r="AJ1475" s="81" t="n">
        <x:f>IF('Inputs'!$B$48&gt;0,AG1475/('Inputs'!$B$19*'Inputs'!$B$48)*365,0)</x:f>
        <x:v>14.821243064821399</x:v>
      </x:c>
      <x:c r="AK1475" s="81" t="n">
        <x:f>W1475/MAX($W$1464:W1475)-1</x:f>
        <x:v>-0.3257704830110124</x:v>
      </x:c>
      <x:c r="AL1475" s="83" t="n">
        <x:f>'Inputs'!$B$48</x:f>
        <x:v>0.25</x:v>
      </x:c>
      <x:c r="AM1475" s="83" t="n">
        <x:f>'Inputs'!$C$48</x:f>
        <x:v>0.25</x:v>
      </x:c>
      <x:c r="AN1475" s="83" t="n">
        <x:f>'Inputs'!$D$48</x:f>
        <x:v>0.3</x:v>
      </x:c>
      <x:c r="AO1475" s="81" t="n">
        <x:f>'Inputs'!$E$48</x:f>
        <x:v>0</x:v>
      </x:c>
    </x:row>
    <x:row r="1476">
      <x:c r="A1476" s="59" t="str">
        <x:v>Low participation</x:v>
      </x:c>
      <x:c r="B1476" s="59" t="n">
        <x:v>13</x:v>
      </x:c>
      <x:c r="C1476" s="78" t="n">
        <x:f>(('Inputs'!$B$29*(3*13*'Inputs'!$B$12-13^2)/(2*'Inputs'!$B$12^2))-('Inputs'!$B$29*(3*12*'Inputs'!$B$12-12^2)/(2*'Inputs'!$B$12^2)))*'Inputs'!$B$48</x:f>
        <x:v>176980.61315443786</x:v>
      </x:c>
      <x:c r="D1476" s="78" t="n">
        <x:f>IF('Inputs'!$C$48&gt;0,('Inputs'!$B$30*(3*13*'Inputs'!$B$12-13^2)/(2*'Inputs'!$B$12^2))-('Inputs'!$B$30*(3*12*'Inputs'!$B$12-12^2)/(2*'Inputs'!$B$12^2)),0)</x:f>
        <x:v>303395.3368361797</x:v>
      </x:c>
      <x:c r="E1476" s="78" t="n">
        <x:f>C1476+D1476</x:f>
        <x:v>480375.9499906176</x:v>
      </x:c>
      <x:c r="F1476" s="78" t="n">
        <x:f>'Inputs'!$B$13*E1476+(1-'Inputs'!$B$13)/'Inputs'!$B$14*SUM(E1464:E1476)</x:f>
        <x:v>185533.68780661077</x:v>
      </x:c>
      <x:c r="G1476" s="78" t="n">
        <x:f>F1476*'Inputs'!$F$48</x:f>
        <x:v>92766.84390330539</x:v>
      </x:c>
      <x:c r="H1476" s="78" t="n">
        <x:f>U1475</x:f>
        <x:v>4414854.962727131</x:v>
      </x:c>
      <x:c r="I1476" s="78" t="n">
        <x:f>V1475</x:f>
        <x:v>2531.180514488198</x:v>
      </x:c>
      <x:c r="J1476" s="79" t="n">
        <x:f>IF(H1476&gt;0,I1476/H1476,0)</x:f>
        <x:v>0.0005733326543811633</x:v>
      </x:c>
      <x:c r="K1476" s="80" t="n">
        <x:f>(H1476*J1476+I1476)*'Inputs'!$D$48*(1+'Inputs'!$G$48)^(B1476/30)</x:f>
        <x:v>1518.7083086929185</x:v>
      </x:c>
      <x:c r="L1476" s="80" t="n">
        <x:f>MAX(0,K1476*'Inputs'!$E$48)</x:f>
        <x:v>0</x:v>
      </x:c>
      <x:c r="M1476" s="80" t="n">
        <x:f>MAX(0,-K1476*'Inputs'!$E$48)</x:f>
        <x:v>0</x:v>
      </x:c>
      <x:c r="N1476" s="78" t="n">
        <x:f>H1476*(L1476*(1-'Inputs'!$B$15))/(I1476+L1476*(1-'Inputs'!$B$15))</x:f>
        <x:v>0</x:v>
      </x:c>
      <x:c r="O1476" s="78" t="n">
        <x:f>H1476-N1476</x:f>
        <x:v>4414854.962727131</x:v>
      </x:c>
      <x:c r="P1476" s="78" t="n">
        <x:f>I1476+L1476*(1-'Inputs'!$B$17)</x:f>
        <x:v>2531.180514488198</x:v>
      </x:c>
      <x:c r="Q1476" s="78" t="n">
        <x:f>IF(J1476&gt;0,M1476/J1476,0)</x:f>
        <x:v>0</x:v>
      </x:c>
      <x:c r="R1476" s="78" t="n">
        <x:f>IF(B1476='Inputs'!$H$48,'Inputs'!$B$27*'Inputs'!$I$48,0)</x:f>
        <x:v>0</x:v>
      </x:c>
      <x:c r="S1476" s="78" t="n">
        <x:f>Q1476+G1476+R1476</x:f>
        <x:v>92766.84390330539</x:v>
      </x:c>
      <x:c r="T1476" s="78" t="n">
        <x:f>P1476*(S1476*(1-'Inputs'!$B$15))/(O1476+S1476*(1-'Inputs'!$B$15))</x:f>
        <x:v>51.581386327477425</x:v>
      </x:c>
      <x:c r="U1476" s="78" t="n">
        <x:f>O1476+S1476*(1-'Inputs'!$B$17)</x:f>
        <x:v>4507248.49941151</x:v>
      </x:c>
      <x:c r="V1476" s="78" t="n">
        <x:f>P1476-T1476</x:f>
        <x:v>2479.5991281607203</x:v>
      </x:c>
      <x:c r="W1476" s="79" t="n">
        <x:f>IF(U1476&gt;0,V1476/U1476,0)</x:f>
        <x:v>0.0005501358818987836</x:v>
      </x:c>
      <x:c r="X1476" s="80" t="n">
        <x:f>W1476*('Inputs'!$B$6-AC1476)</x:f>
        <x:v>550099.6486789037</x:v>
      </x:c>
      <x:c r="Y1476" s="80" t="n">
        <x:f>2*V1476</x:f>
        <x:v>4959.198256321441</x:v>
      </x:c>
      <x:c r="Z1476" s="80" t="n">
        <x:f>K1476*'Inputs'!$B$16+(G1476+R1476)*J1476*'Inputs'!$B$16</x:f>
        <x:v>9.431367417279382</x:v>
      </x:c>
      <x:c r="AA1476" s="80" t="n">
        <x:f>K1476*(1+'Inputs'!$E$48)/2*'Inputs'!$B$17</x:f>
        <x:v>3.055751124130621</x:v>
      </x:c>
      <x:c r="AB1476" s="78" t="n">
        <x:f>(IF(J1476&gt;0,K1476*(1-'Inputs'!$E$48)/2/J1476,0)+G1476+R1476)*'Inputs'!$B$17</x:f>
        <x:v>5703.112002903199</x:v>
      </x:c>
      <x:c r="AC1476" s="78" t="n">
        <x:f>AC1475+AB1476</x:f>
        <x:v>65862.30978939823</x:v>
      </x:c>
      <x:c r="AD1476" s="80" t="n">
        <x:f>Z1476/(1+'Inputs'!$C$48)</x:f>
        <x:v>7.545093933823506</x:v>
      </x:c>
      <x:c r="AE1476" s="80" t="n">
        <x:f>Z1476-AD1476</x:f>
        <x:v>1.8862734834558763</x:v>
      </x:c>
      <x:c r="AF1476" s="80" t="n">
        <x:f>D1476*W1476</x:f>
        <x:v>166.90866119435023</x:v>
      </x:c>
      <x:c r="AG1476" s="80" t="n">
        <x:f>C1476*W1476</x:f>
        <x:v>97.36338569670413</x:v>
      </x:c>
      <x:c r="AH1476" s="80" t="n">
        <x:f>2*'Inputs'!$B$8*'Inputs'!$C$48</x:f>
        <x:v>1250</x:v>
      </x:c>
      <x:c r="AI1476" s="81" t="n">
        <x:f>IF(AH1476&gt;0,(AE1476+AF1476)/AH1476*365,0)</x:f>
        <x:v>49.28812092591939</x:v>
      </x:c>
      <x:c r="AJ1476" s="81" t="n">
        <x:f>IF('Inputs'!$B$48&gt;0,AG1476/('Inputs'!$B$19*'Inputs'!$B$48)*365,0)</x:f>
        <x:v>14.215054311718802</x:v>
      </x:c>
      <x:c r="AK1476" s="81" t="n">
        <x:f>W1476/MAX($W$1464:W1476)-1</x:f>
        <x:v>-0.35304949561736665</x:v>
      </x:c>
      <x:c r="AL1476" s="83" t="n">
        <x:f>'Inputs'!$B$48</x:f>
        <x:v>0.25</x:v>
      </x:c>
      <x:c r="AM1476" s="83" t="n">
        <x:f>'Inputs'!$C$48</x:f>
        <x:v>0.25</x:v>
      </x:c>
      <x:c r="AN1476" s="83" t="n">
        <x:f>'Inputs'!$D$48</x:f>
        <x:v>0.3</x:v>
      </x:c>
      <x:c r="AO1476" s="81" t="n">
        <x:f>'Inputs'!$E$48</x:f>
        <x:v>0</x:v>
      </x:c>
    </x:row>
    <x:row r="1477">
      <x:c r="A1477" s="59" t="str">
        <x:v>Low participation</x:v>
      </x:c>
      <x:c r="B1477" s="59" t="n">
        <x:v>14</x:v>
      </x:c>
      <x:c r="C1477" s="78" t="n">
        <x:f>(('Inputs'!$B$29*(3*14*'Inputs'!$B$12-14^2)/(2*'Inputs'!$B$12^2))-('Inputs'!$B$29*(3*13*'Inputs'!$B$12-13^2)/(2*'Inputs'!$B$12^2)))*'Inputs'!$B$48</x:f>
        <x:v>176899.33617939567</x:v>
      </x:c>
      <x:c r="D1477" s="78" t="n">
        <x:f>IF('Inputs'!$C$48&gt;0,('Inputs'!$B$30*(3*14*'Inputs'!$B$12-14^2)/(2*'Inputs'!$B$12^2))-('Inputs'!$B$30*(3*13*'Inputs'!$B$12-13^2)/(2*'Inputs'!$B$12^2)),0)</x:f>
        <x:v>303256.0048789638</x:v>
      </x:c>
      <x:c r="E1477" s="78" t="n">
        <x:f>C1477+D1477</x:f>
        <x:v>480155.3410583595</x:v>
      </x:c>
      <x:c r="F1477" s="78" t="n">
        <x:f>'Inputs'!$B$13*E1477+(1-'Inputs'!$B$13)/'Inputs'!$B$14*SUM(E1464:E1477)</x:f>
        <x:v>192348.92803527857</x:v>
      </x:c>
      <x:c r="G1477" s="78" t="n">
        <x:f>F1477*'Inputs'!$F$48</x:f>
        <x:v>96174.46401763929</x:v>
      </x:c>
      <x:c r="H1477" s="78" t="n">
        <x:f>U1476</x:f>
        <x:v>4507248.49941151</x:v>
      </x:c>
      <x:c r="I1477" s="78" t="n">
        <x:f>V1476</x:f>
        <x:v>2479.5991281607203</x:v>
      </x:c>
      <x:c r="J1477" s="79" t="n">
        <x:f>IF(H1477&gt;0,I1477/H1477,0)</x:f>
        <x:v>0.0005501358818987836</x:v>
      </x:c>
      <x:c r="K1477" s="80" t="n">
        <x:f>(H1477*J1477+I1477)*'Inputs'!$D$48*(1+'Inputs'!$G$48)^(B1477/30)</x:f>
        <x:v>1487.759476896432</x:v>
      </x:c>
      <x:c r="L1477" s="80" t="n">
        <x:f>MAX(0,K1477*'Inputs'!$E$48)</x:f>
        <x:v>0</x:v>
      </x:c>
      <x:c r="M1477" s="80" t="n">
        <x:f>MAX(0,-K1477*'Inputs'!$E$48)</x:f>
        <x:v>0</x:v>
      </x:c>
      <x:c r="N1477" s="78" t="n">
        <x:f>H1477*(L1477*(1-'Inputs'!$B$15))/(I1477+L1477*(1-'Inputs'!$B$15))</x:f>
        <x:v>0</x:v>
      </x:c>
      <x:c r="O1477" s="78" t="n">
        <x:f>H1477-N1477</x:f>
        <x:v>4507248.49941151</x:v>
      </x:c>
      <x:c r="P1477" s="78" t="n">
        <x:f>I1477+L1477*(1-'Inputs'!$B$17)</x:f>
        <x:v>2479.5991281607203</x:v>
      </x:c>
      <x:c r="Q1477" s="78" t="n">
        <x:f>IF(J1477&gt;0,M1477/J1477,0)</x:f>
        <x:v>0</x:v>
      </x:c>
      <x:c r="R1477" s="78" t="n">
        <x:f>IF(B1477='Inputs'!$H$48,'Inputs'!$B$27*'Inputs'!$I$48,0)</x:f>
        <x:v>0</x:v>
      </x:c>
      <x:c r="S1477" s="78" t="n">
        <x:f>Q1477+G1477+R1477</x:f>
        <x:v>96174.46401763929</x:v>
      </x:c>
      <x:c r="T1477" s="78" t="n">
        <x:f>P1477*(S1477*(1-'Inputs'!$B$15))/(O1477+S1477*(1-'Inputs'!$B$15))</x:f>
        <x:v>51.296331405110585</x:v>
      </x:c>
      <x:c r="U1477" s="78" t="n">
        <x:f>O1477+S1477*(1-'Inputs'!$B$17)</x:f>
        <x:v>4603035.943453223</x:v>
      </x:c>
      <x:c r="V1477" s="78" t="n">
        <x:f>P1477-T1477</x:f>
        <x:v>2428.3027967556095</x:v>
      </x:c>
      <x:c r="W1477" s="79" t="n">
        <x:f>IF(U1477&gt;0,V1477/U1477,0)</x:f>
        <x:v>0.0005275437399547836</x:v>
      </x:c>
      <x:c r="X1477" s="80" t="n">
        <x:f>W1477*('Inputs'!$B$6-AC1477)</x:f>
        <x:v>527505.9199874244</x:v>
      </x:c>
      <x:c r="Y1477" s="80" t="n">
        <x:f>2*V1477</x:f>
        <x:v>4856.605593511219</x:v>
      </x:c>
      <x:c r="Z1477" s="80" t="n">
        <x:f>K1477*'Inputs'!$B$16+(G1477+R1477)*J1477*'Inputs'!$B$16</x:f>
        <x:v>9.244011002849515</x:v>
      </x:c>
      <x:c r="AA1477" s="80" t="n">
        <x:f>K1477*(1+'Inputs'!$E$48)/2*'Inputs'!$B$17</x:f>
        <x:v>2.993479832789602</x:v>
      </x:c>
      <x:c r="AB1477" s="78" t="n">
        <x:f>(IF(J1477&gt;0,K1477*(1-'Inputs'!$E$48)/2/J1477,0)+G1477+R1477)*'Inputs'!$B$17</x:f>
        <x:v>5828.3662528816585</x:v>
      </x:c>
      <x:c r="AC1477" s="78" t="n">
        <x:f>AC1476+AB1477</x:f>
        <x:v>71690.6760422799</x:v>
      </x:c>
      <x:c r="AD1477" s="80" t="n">
        <x:f>Z1477/(1+'Inputs'!$C$48)</x:f>
        <x:v>7.395208802279612</x:v>
      </x:c>
      <x:c r="AE1477" s="80" t="n">
        <x:f>Z1477-AD1477</x:f>
        <x:v>1.848802200569903</x:v>
      </x:c>
      <x:c r="AF1477" s="80" t="n">
        <x:f>D1477*W1477</x:f>
        <x:v>159.98080697759468</x:v>
      </x:c>
      <x:c r="AG1477" s="80" t="n">
        <x:f>C1477*W1477</x:f>
        <x:v>93.32213740359695</x:v>
      </x:c>
      <x:c r="AH1477" s="80" t="n">
        <x:f>2*'Inputs'!$B$8*'Inputs'!$C$48</x:f>
        <x:v>1250</x:v>
      </x:c>
      <x:c r="AI1477" s="81" t="n">
        <x:f>IF(AH1477&gt;0,(AE1477+AF1477)/AH1477*365,0)</x:f>
        <x:v>47.25424588002406</x:v>
      </x:c>
      <x:c r="AJ1477" s="81" t="n">
        <x:f>IF('Inputs'!$B$48&gt;0,AG1477/('Inputs'!$B$19*'Inputs'!$B$48)*365,0)</x:f>
        <x:v>13.625032060925156</x:v>
      </x:c>
      <x:c r="AK1477" s="81" t="n">
        <x:f>W1477/MAX($W$1464:W1477)-1</x:f>
        <x:v>-0.379617472923824</x:v>
      </x:c>
      <x:c r="AL1477" s="83" t="n">
        <x:f>'Inputs'!$B$48</x:f>
        <x:v>0.25</x:v>
      </x:c>
      <x:c r="AM1477" s="83" t="n">
        <x:f>'Inputs'!$C$48</x:f>
        <x:v>0.25</x:v>
      </x:c>
      <x:c r="AN1477" s="83" t="n">
        <x:f>'Inputs'!$D$48</x:f>
        <x:v>0.3</x:v>
      </x:c>
      <x:c r="AO1477" s="81" t="n">
        <x:f>'Inputs'!$E$48</x:f>
        <x:v>0</x:v>
      </x:c>
    </x:row>
    <x:row r="1478">
      <x:c r="A1478" s="59" t="str">
        <x:v>Low participation</x:v>
      </x:c>
      <x:c r="B1478" s="59" t="n">
        <x:v>15</x:v>
      </x:c>
      <x:c r="C1478" s="78" t="n">
        <x:f>(('Inputs'!$B$29*(3*15*'Inputs'!$B$12-15^2)/(2*'Inputs'!$B$12^2))-('Inputs'!$B$29*(3*14*'Inputs'!$B$12-14^2)/(2*'Inputs'!$B$12^2)))*'Inputs'!$B$48</x:f>
        <x:v>176818.05920435395</x:v>
      </x:c>
      <x:c r="D1478" s="78" t="n">
        <x:f>IF('Inputs'!$C$48&gt;0,('Inputs'!$B$30*(3*15*'Inputs'!$B$12-15^2)/(2*'Inputs'!$B$12^2))-('Inputs'!$B$30*(3*14*'Inputs'!$B$12-14^2)/(2*'Inputs'!$B$12^2)),0)</x:f>
        <x:v>303116.67292174883</x:v>
      </x:c>
      <x:c r="E1478" s="78" t="n">
        <x:f>C1478+D1478</x:f>
        <x:v>479934.7321261028</x:v>
      </x:c>
      <x:c r="F1478" s="78" t="n">
        <x:f>'Inputs'!$B$13*E1478+(1-'Inputs'!$B$13)/'Inputs'!$B$14*SUM(E1464:E1478)</x:f>
        <x:v>199161.01670777157</x:v>
      </x:c>
      <x:c r="G1478" s="78" t="n">
        <x:f>F1478*'Inputs'!$F$48</x:f>
        <x:v>99580.50835388579</x:v>
      </x:c>
      <x:c r="H1478" s="78" t="n">
        <x:f>U1477</x:f>
        <x:v>4603035.943453223</x:v>
      </x:c>
      <x:c r="I1478" s="78" t="n">
        <x:f>V1477</x:f>
        <x:v>2428.3027967556095</x:v>
      </x:c>
      <x:c r="J1478" s="79" t="n">
        <x:f>IF(H1478&gt;0,I1478/H1478,0)</x:f>
        <x:v>0.0005275437399547836</x:v>
      </x:c>
      <x:c r="K1478" s="80" t="n">
        <x:f>(H1478*J1478+I1478)*'Inputs'!$D$48*(1+'Inputs'!$G$48)^(B1478/30)</x:f>
        <x:v>1456.9816780533656</x:v>
      </x:c>
      <x:c r="L1478" s="80" t="n">
        <x:f>MAX(0,K1478*'Inputs'!$E$48)</x:f>
        <x:v>0</x:v>
      </x:c>
      <x:c r="M1478" s="80" t="n">
        <x:f>MAX(0,-K1478*'Inputs'!$E$48)</x:f>
        <x:v>0</x:v>
      </x:c>
      <x:c r="N1478" s="78" t="n">
        <x:f>H1478*(L1478*(1-'Inputs'!$B$15))/(I1478+L1478*(1-'Inputs'!$B$15))</x:f>
        <x:v>0</x:v>
      </x:c>
      <x:c r="O1478" s="78" t="n">
        <x:f>H1478-N1478</x:f>
        <x:v>4603035.943453223</x:v>
      </x:c>
      <x:c r="P1478" s="78" t="n">
        <x:f>I1478+L1478*(1-'Inputs'!$B$17)</x:f>
        <x:v>2428.3027967556095</x:v>
      </x:c>
      <x:c r="Q1478" s="78" t="n">
        <x:f>IF(J1478&gt;0,M1478/J1478,0)</x:f>
        <x:v>0</x:v>
      </x:c>
      <x:c r="R1478" s="78" t="n">
        <x:f>IF(B1478='Inputs'!$H$48,'Inputs'!$B$27*'Inputs'!$I$48,0)</x:f>
        <x:v>0</x:v>
      </x:c>
      <x:c r="S1478" s="78" t="n">
        <x:f>Q1478+G1478+R1478</x:f>
        <x:v>99580.50835388579</x:v>
      </x:c>
      <x:c r="T1478" s="78" t="n">
        <x:f>P1478*(S1478*(1-'Inputs'!$B$15))/(O1478+S1478*(1-'Inputs'!$B$15))</x:f>
        <x:v>50.91723230276609</x:v>
      </x:c>
      <x:c r="U1478" s="78" t="n">
        <x:f>O1478+S1478*(1-'Inputs'!$B$17)</x:f>
        <x:v>4702215.725415343</x:v>
      </x:c>
      <x:c r="V1478" s="78" t="n">
        <x:f>P1478-T1478</x:f>
        <x:v>2377.3855644528435</x:v>
      </x:c>
      <x:c r="W1478" s="79" t="n">
        <x:f>IF(U1478&gt;0,V1478/U1478,0)</x:f>
        <x:v>0.0005055883658427539</x:v>
      </x:c>
      <x:c r="X1478" s="80" t="n">
        <x:f>W1478*('Inputs'!$B$6-AC1478)</x:f>
        <x:v>505549.1077214194</x:v>
      </x:c>
      <x:c r="Y1478" s="80" t="n">
        <x:f>2*V1478</x:f>
        <x:v>4754.771128905687</x:v>
      </x:c>
      <x:c r="Z1478" s="80" t="n">
        <x:f>K1478*'Inputs'!$B$16+(G1478+R1478)*J1478*'Inputs'!$B$16</x:f>
        <x:v>9.057088511141838</x:v>
      </x:c>
      <x:c r="AA1478" s="80" t="n">
        <x:f>K1478*(1+'Inputs'!$E$48)/2*'Inputs'!$B$17</x:f>
        <x:v>2.931552672139569</x:v>
      </x:c>
      <x:c r="AB1478" s="78" t="n">
        <x:f>(IF(J1478&gt;0,K1478*(1-'Inputs'!$E$48)/2/J1478,0)+G1478+R1478)*'Inputs'!$B$17</x:f>
        <x:v>5957.711434164398</x:v>
      </x:c>
      <x:c r="AC1478" s="78" t="n">
        <x:f>AC1477+AB1478</x:f>
        <x:v>77648.3874764443</x:v>
      </x:c>
      <x:c r="AD1478" s="80" t="n">
        <x:f>Z1478/(1+'Inputs'!$C$48)</x:f>
        <x:v>7.245670808913471</x:v>
      </x:c>
      <x:c r="AE1478" s="80" t="n">
        <x:f>Z1478-AD1478</x:f>
        <x:v>1.8114177022283675</x:v>
      </x:c>
      <x:c r="AF1478" s="80" t="n">
        <x:f>D1478*W1478</x:f>
        <x:v>153.25226332219952</x:v>
      </x:c>
      <x:c r="AG1478" s="80" t="n">
        <x:f>C1478*W1478</x:f>
        <x:v>89.39715360461663</x:v>
      </x:c>
      <x:c r="AH1478" s="80" t="n">
        <x:f>2*'Inputs'!$B$8*'Inputs'!$C$48</x:f>
        <x:v>1250</x:v>
      </x:c>
      <x:c r="AI1478" s="81" t="n">
        <x:f>IF(AH1478&gt;0,(AE1478+AF1478)/AH1478*365,0)</x:f>
        <x:v>45.278594859132944</x:v>
      </x:c>
      <x:c r="AJ1478" s="81" t="n">
        <x:f>IF('Inputs'!$B$48&gt;0,AG1478/('Inputs'!$B$19*'Inputs'!$B$48)*365,0)</x:f>
        <x:v>13.051984426274029</x:v>
      </x:c>
      <x:c r="AK1478" s="81" t="n">
        <x:f>W1478/MAX($W$1464:W1478)-1</x:f>
        <x:v>-0.40543662201597563</x:v>
      </x:c>
      <x:c r="AL1478" s="83" t="n">
        <x:f>'Inputs'!$B$48</x:f>
        <x:v>0.25</x:v>
      </x:c>
      <x:c r="AM1478" s="83" t="n">
        <x:f>'Inputs'!$C$48</x:f>
        <x:v>0.25</x:v>
      </x:c>
      <x:c r="AN1478" s="83" t="n">
        <x:f>'Inputs'!$D$48</x:f>
        <x:v>0.3</x:v>
      </x:c>
      <x:c r="AO1478" s="81" t="n">
        <x:f>'Inputs'!$E$48</x:f>
        <x:v>0</x:v>
      </x:c>
    </x:row>
    <x:row r="1479">
      <x:c r="A1479" s="59" t="str">
        <x:v>Low participation</x:v>
      </x:c>
      <x:c r="B1479" s="59" t="n">
        <x:v>16</x:v>
      </x:c>
      <x:c r="C1479" s="78" t="n">
        <x:f>(('Inputs'!$B$29*(3*16*'Inputs'!$B$12-16^2)/(2*'Inputs'!$B$12^2))-('Inputs'!$B$29*(3*15*'Inputs'!$B$12-15^2)/(2*'Inputs'!$B$12^2)))*'Inputs'!$B$48</x:f>
        <x:v>176736.7822293113</x:v>
      </x:c>
      <x:c r="D1479" s="78" t="n">
        <x:f>IF('Inputs'!$C$48&gt;0,('Inputs'!$B$30*(3*16*'Inputs'!$B$12-16^2)/(2*'Inputs'!$B$12^2))-('Inputs'!$B$30*(3*15*'Inputs'!$B$12-15^2)/(2*'Inputs'!$B$12^2)),0)</x:f>
        <x:v>302977.3409645343</x:v>
      </x:c>
      <x:c r="E1479" s="78" t="n">
        <x:f>C1479+D1479</x:f>
        <x:v>479714.1231938456</x:v>
      </x:c>
      <x:c r="F1479" s="78" t="n">
        <x:f>'Inputs'!$B$13*E1479+(1-'Inputs'!$B$13)/'Inputs'!$B$14*SUM(E1464:E1479)</x:f>
        <x:v>205969.95382408937</x:v>
      </x:c>
      <x:c r="G1479" s="78" t="n">
        <x:f>F1479*'Inputs'!$F$48</x:f>
        <x:v>102984.97691204469</x:v>
      </x:c>
      <x:c r="H1479" s="78" t="n">
        <x:f>U1478</x:f>
        <x:v>4702215.725415343</x:v>
      </x:c>
      <x:c r="I1479" s="78" t="n">
        <x:f>V1478</x:f>
        <x:v>2377.3855644528435</x:v>
      </x:c>
      <x:c r="J1479" s="79" t="n">
        <x:f>IF(H1479&gt;0,I1479/H1479,0)</x:f>
        <x:v>0.0005055883658427539</x:v>
      </x:c>
      <x:c r="K1479" s="80" t="n">
        <x:f>(H1479*J1479+I1479)*'Inputs'!$D$48*(1+'Inputs'!$G$48)^(B1479/30)</x:f>
        <x:v>1426.431338671706</x:v>
      </x:c>
      <x:c r="L1479" s="80" t="n">
        <x:f>MAX(0,K1479*'Inputs'!$E$48)</x:f>
        <x:v>0</x:v>
      </x:c>
      <x:c r="M1479" s="80" t="n">
        <x:f>MAX(0,-K1479*'Inputs'!$E$48)</x:f>
        <x:v>0</x:v>
      </x:c>
      <x:c r="N1479" s="78" t="n">
        <x:f>H1479*(L1479*(1-'Inputs'!$B$15))/(I1479+L1479*(1-'Inputs'!$B$15))</x:f>
        <x:v>0</x:v>
      </x:c>
      <x:c r="O1479" s="78" t="n">
        <x:f>H1479-N1479</x:f>
        <x:v>4702215.725415343</x:v>
      </x:c>
      <x:c r="P1479" s="78" t="n">
        <x:f>I1479+L1479*(1-'Inputs'!$B$17)</x:f>
        <x:v>2377.3855644528435</x:v>
      </x:c>
      <x:c r="Q1479" s="78" t="n">
        <x:f>IF(J1479&gt;0,M1479/J1479,0)</x:f>
        <x:v>0</x:v>
      </x:c>
      <x:c r="R1479" s="78" t="n">
        <x:f>IF(B1479='Inputs'!$H$48,'Inputs'!$B$27*'Inputs'!$I$48,0)</x:f>
        <x:v>0</x:v>
      </x:c>
      <x:c r="S1479" s="78" t="n">
        <x:f>Q1479+G1479+R1479</x:f>
        <x:v>102984.97691204469</x:v>
      </x:c>
      <x:c r="T1479" s="78" t="n">
        <x:f>P1479*(S1479*(1-'Inputs'!$B$15))/(O1479+S1479*(1-'Inputs'!$B$15))</x:f>
        <x:v>50.45337789401663</x:v>
      </x:c>
      <x:c r="U1479" s="78" t="n">
        <x:f>O1479+S1479*(1-'Inputs'!$B$17)</x:f>
        <x:v>4804786.275860941</x:v>
      </x:c>
      <x:c r="V1479" s="78" t="n">
        <x:f>P1479-T1479</x:f>
        <x:v>2326.9321865588267</x:v>
      </x:c>
      <x:c r="W1479" s="79" t="n">
        <x:f>IF(U1479&gt;0,V1479/U1479,0)</x:f>
        <x:v>0.00048429462893058184</x:v>
      </x:c>
      <x:c r="X1479" s="80" t="n">
        <x:f>W1479*('Inputs'!$B$6-AC1479)</x:f>
        <x:v>484254.07432445855</x:v>
      </x:c>
      <x:c r="Y1479" s="80" t="n">
        <x:f>2*V1479</x:f>
        <x:v>4653.8643731176535</x:v>
      </x:c>
      <x:c r="Z1479" s="80" t="n">
        <x:f>K1479*'Inputs'!$B$16+(G1479+R1479)*J1479*'Inputs'!$B$16</x:f>
        <x:v>8.870996069130124</x:v>
      </x:c>
      <x:c r="AA1479" s="80" t="n">
        <x:f>K1479*(1+'Inputs'!$E$48)/2*'Inputs'!$B$17</x:f>
        <x:v>2.870083176401823</x:v>
      </x:c>
      <x:c r="AB1479" s="78" t="n">
        <x:f>(IF(J1479&gt;0,K1479*(1-'Inputs'!$E$48)/2/J1479,0)+G1479+R1479)*'Inputs'!$B$17</x:f>
        <x:v>6091.145652058945</x:v>
      </x:c>
      <x:c r="AC1479" s="78" t="n">
        <x:f>AC1478+AB1479</x:f>
        <x:v>83739.53312850324</x:v>
      </x:c>
      <x:c r="AD1479" s="80" t="n">
        <x:f>Z1479/(1+'Inputs'!$C$48)</x:f>
        <x:v>7.096796855304099</x:v>
      </x:c>
      <x:c r="AE1479" s="80" t="n">
        <x:f>Z1479-AD1479</x:f>
        <x:v>1.7741992138260247</x:v>
      </x:c>
      <x:c r="AF1479" s="80" t="n">
        <x:f>D1479*W1479</x:f>
        <x:v>146.73029891679352</x:v>
      </x:c>
      <x:c r="AG1479" s="80" t="n">
        <x:f>C1479*W1479</x:f>
        <x:v>85.59267436812937</x:v>
      </x:c>
      <x:c r="AH1479" s="80" t="n">
        <x:f>2*'Inputs'!$B$8*'Inputs'!$C$48</x:f>
        <x:v>1250</x:v>
      </x:c>
      <x:c r="AI1479" s="81" t="n">
        <x:f>IF(AH1479&gt;0,(AE1479+AF1479)/AH1479*365,0)</x:f>
        <x:v>43.36331345414091</x:v>
      </x:c>
      <x:c r="AJ1479" s="81" t="n">
        <x:f>IF('Inputs'!$B$48&gt;0,AG1479/('Inputs'!$B$19*'Inputs'!$B$48)*365,0)</x:f>
        <x:v>12.496530457746887</x:v>
      </x:c>
      <x:c r="AK1479" s="81" t="n">
        <x:f>W1479/MAX($W$1464:W1479)-1</x:f>
        <x:v>-0.4304776969372719</x:v>
      </x:c>
      <x:c r="AL1479" s="83" t="n">
        <x:f>'Inputs'!$B$48</x:f>
        <x:v>0.25</x:v>
      </x:c>
      <x:c r="AM1479" s="83" t="n">
        <x:f>'Inputs'!$C$48</x:f>
        <x:v>0.25</x:v>
      </x:c>
      <x:c r="AN1479" s="83" t="n">
        <x:f>'Inputs'!$D$48</x:f>
        <x:v>0.3</x:v>
      </x:c>
      <x:c r="AO1479" s="81" t="n">
        <x:f>'Inputs'!$E$48</x:f>
        <x:v>0</x:v>
      </x:c>
    </x:row>
    <x:row r="1480">
      <x:c r="A1480" s="59" t="str">
        <x:v>Low participation</x:v>
      </x:c>
      <x:c r="B1480" s="59" t="n">
        <x:v>17</x:v>
      </x:c>
      <x:c r="C1480" s="78" t="n">
        <x:f>(('Inputs'!$B$29*(3*17*'Inputs'!$B$12-17^2)/(2*'Inputs'!$B$12^2))-('Inputs'!$B$29*(3*16*'Inputs'!$B$12-16^2)/(2*'Inputs'!$B$12^2)))*'Inputs'!$B$48</x:f>
        <x:v>176655.5052542691</x:v>
      </x:c>
      <x:c r="D1480" s="78" t="n">
        <x:f>IF('Inputs'!$C$48&gt;0,('Inputs'!$B$30*(3*17*'Inputs'!$B$12-17^2)/(2*'Inputs'!$B$12^2))-('Inputs'!$B$30*(3*16*'Inputs'!$B$12-16^2)/(2*'Inputs'!$B$12^2)),0)</x:f>
        <x:v>302838.00900731795</x:v>
      </x:c>
      <x:c r="E1480" s="78" t="n">
        <x:f>C1480+D1480</x:f>
        <x:v>479493.51426158706</x:v>
      </x:c>
      <x:c r="F1480" s="78" t="n">
        <x:f>'Inputs'!$B$13*E1480+(1-'Inputs'!$B$13)/'Inputs'!$B$14*SUM(E1464:E1480)</x:f>
        <x:v>212775.73938423174</x:v>
      </x:c>
      <x:c r="G1480" s="78" t="n">
        <x:f>F1480*'Inputs'!$F$48</x:f>
        <x:v>106387.86969211587</x:v>
      </x:c>
      <x:c r="H1480" s="78" t="n">
        <x:f>U1479</x:f>
        <x:v>4804786.275860941</x:v>
      </x:c>
      <x:c r="I1480" s="78" t="n">
        <x:f>V1479</x:f>
        <x:v>2326.9321865588267</x:v>
      </x:c>
      <x:c r="J1480" s="79" t="n">
        <x:f>IF(H1480&gt;0,I1480/H1480,0)</x:f>
        <x:v>0.00048429462893058184</x:v>
      </x:c>
      <x:c r="K1480" s="80" t="n">
        <x:f>(H1480*J1480+I1480)*'Inputs'!$D$48*(1+'Inputs'!$G$48)^(B1480/30)</x:f>
        <x:v>1396.159311935296</x:v>
      </x:c>
      <x:c r="L1480" s="80" t="n">
        <x:f>MAX(0,K1480*'Inputs'!$E$48)</x:f>
        <x:v>0</x:v>
      </x:c>
      <x:c r="M1480" s="80" t="n">
        <x:f>MAX(0,-K1480*'Inputs'!$E$48)</x:f>
        <x:v>0</x:v>
      </x:c>
      <x:c r="N1480" s="78" t="n">
        <x:f>H1480*(L1480*(1-'Inputs'!$B$15))/(I1480+L1480*(1-'Inputs'!$B$15))</x:f>
        <x:v>0</x:v>
      </x:c>
      <x:c r="O1480" s="78" t="n">
        <x:f>H1480-N1480</x:f>
        <x:v>4804786.275860941</x:v>
      </x:c>
      <x:c r="P1480" s="78" t="n">
        <x:f>I1480+L1480*(1-'Inputs'!$B$17)</x:f>
        <x:v>2326.9321865588267</x:v>
      </x:c>
      <x:c r="Q1480" s="78" t="n">
        <x:f>IF(J1480&gt;0,M1480/J1480,0)</x:f>
        <x:v>0</x:v>
      </x:c>
      <x:c r="R1480" s="78" t="n">
        <x:f>IF(B1480='Inputs'!$H$48,'Inputs'!$B$27*'Inputs'!$I$48,0)</x:f>
        <x:v>0</x:v>
      </x:c>
      <x:c r="S1480" s="78" t="n">
        <x:f>Q1480+G1480+R1480</x:f>
        <x:v>106387.86969211587</x:v>
      </x:c>
      <x:c r="T1480" s="78" t="n">
        <x:f>P1480*(S1480*(1-'Inputs'!$B$15))/(O1480+S1480*(1-'Inputs'!$B$15))</x:f>
        <x:v>49.91370281801685</x:v>
      </x:c>
      <x:c r="U1480" s="78" t="n">
        <x:f>O1480+S1480*(1-'Inputs'!$B$17)</x:f>
        <x:v>4910746.025353089</x:v>
      </x:c>
      <x:c r="V1480" s="78" t="n">
        <x:f>P1480-T1480</x:f>
        <x:v>2277.01848374081</x:v>
      </x:c>
      <x:c r="W1480" s="79" t="n">
        <x:f>IF(U1480&gt;0,V1480/U1480,0)</x:f>
        <x:v>0.0004636807670331698</x:v>
      </x:c>
      <x:c r="X1480" s="80" t="n">
        <x:f>W1480*('Inputs'!$B$6-AC1480)</x:f>
        <x:v>463639.0505091201</x:v>
      </x:c>
      <x:c r="Y1480" s="80" t="n">
        <x:f>2*V1480</x:f>
        <x:v>4554.03696748162</x:v>
      </x:c>
      <x:c r="Z1480" s="80" t="n">
        <x:f>K1480*'Inputs'!$B$16+(G1480+R1480)*J1480*'Inputs'!$B$16</x:f>
        <x:v>8.686094314863327</x:v>
      </x:c>
      <x:c r="AA1480" s="80" t="n">
        <x:f>K1480*(1+'Inputs'!$E$48)/2*'Inputs'!$B$17</x:f>
        <x:v>2.809173665865787</x:v>
      </x:c>
      <x:c r="AB1480" s="78" t="n">
        <x:f>(IF(J1480&gt;0,K1480*(1-'Inputs'!$E$48)/2/J1480,0)+G1480+R1480)*'Inputs'!$B$17</x:f>
        <x:v>6228.66701187283</x:v>
      </x:c>
      <x:c r="AC1480" s="78" t="n">
        <x:f>AC1479+AB1480</x:f>
        <x:v>89968.20014037608</x:v>
      </x:c>
      <x:c r="AD1480" s="80" t="n">
        <x:f>Z1480/(1+'Inputs'!$C$48)</x:f>
        <x:v>6.948875451890662</x:v>
      </x:c>
      <x:c r="AE1480" s="80" t="n">
        <x:f>Z1480-AD1480</x:f>
        <x:v>1.7372188629726653</x:v>
      </x:c>
      <x:c r="AF1480" s="80" t="n">
        <x:f>D1480*W1480</x:f>
        <x:v>140.42016030331118</x:v>
      </x:c>
      <x:c r="AG1480" s="80" t="n">
        <x:f>C1480*W1480</x:f>
        <x:v>81.91176017693165</x:v>
      </x:c>
      <x:c r="AH1480" s="80" t="n">
        <x:f>2*'Inputs'!$B$8*'Inputs'!$C$48</x:f>
        <x:v>1250</x:v>
      </x:c>
      <x:c r="AI1480" s="81" t="n">
        <x:f>IF(AH1480&gt;0,(AE1480+AF1480)/AH1480*365,0)</x:f>
        <x:v>41.50995471655489</x:v>
      </x:c>
      <x:c r="AJ1480" s="81" t="n">
        <x:f>IF('Inputs'!$B$48&gt;0,AG1480/('Inputs'!$B$19*'Inputs'!$B$48)*365,0)</x:f>
        <x:v>11.95911698583202</x:v>
      </x:c>
      <x:c r="AK1480" s="81" t="n">
        <x:f>W1480/MAX($W$1464:W1480)-1</x:f>
        <x:v>-0.45471925032545524</x:v>
      </x:c>
      <x:c r="AL1480" s="83" t="n">
        <x:f>'Inputs'!$B$48</x:f>
        <x:v>0.25</x:v>
      </x:c>
      <x:c r="AM1480" s="83" t="n">
        <x:f>'Inputs'!$C$48</x:f>
        <x:v>0.25</x:v>
      </x:c>
      <x:c r="AN1480" s="83" t="n">
        <x:f>'Inputs'!$D$48</x:f>
        <x:v>0.3</x:v>
      </x:c>
      <x:c r="AO1480" s="81" t="n">
        <x:f>'Inputs'!$E$48</x:f>
        <x:v>0</x:v>
      </x:c>
    </x:row>
    <x:row r="1481">
      <x:c r="A1481" s="59" t="str">
        <x:v>Low participation</x:v>
      </x:c>
      <x:c r="B1481" s="59" t="n">
        <x:v>18</x:v>
      </x:c>
      <x:c r="C1481" s="78" t="n">
        <x:f>(('Inputs'!$B$29*(3*18*'Inputs'!$B$12-18^2)/(2*'Inputs'!$B$12^2))-('Inputs'!$B$29*(3*17*'Inputs'!$B$12-17^2)/(2*'Inputs'!$B$12^2)))*'Inputs'!$B$48</x:f>
        <x:v>176574.22827922646</x:v>
      </x:c>
      <x:c r="D1481" s="78" t="n">
        <x:f>IF('Inputs'!$C$48&gt;0,('Inputs'!$B$30*(3*18*'Inputs'!$B$12-18^2)/(2*'Inputs'!$B$12^2))-('Inputs'!$B$30*(3*17*'Inputs'!$B$12-17^2)/(2*'Inputs'!$B$12^2)),0)</x:f>
        <x:v>302698.67705010343</x:v>
      </x:c>
      <x:c r="E1481" s="78" t="n">
        <x:f>C1481+D1481</x:f>
        <x:v>479272.9053293299</x:v>
      </x:c>
      <x:c r="F1481" s="78" t="n">
        <x:f>'Inputs'!$B$13*E1481+(1-'Inputs'!$B$13)/'Inputs'!$B$14*SUM(E1464:E1481)</x:f>
        <x:v>219578.3733881993</x:v>
      </x:c>
      <x:c r="G1481" s="78" t="n">
        <x:f>F1481*'Inputs'!$F$48</x:f>
        <x:v>109789.18669409966</x:v>
      </x:c>
      <x:c r="H1481" s="78" t="n">
        <x:f>U1480</x:f>
        <x:v>4910746.025353089</x:v>
      </x:c>
      <x:c r="I1481" s="78" t="n">
        <x:f>V1480</x:f>
        <x:v>2277.01848374081</x:v>
      </x:c>
      <x:c r="J1481" s="79" t="n">
        <x:f>IF(H1481&gt;0,I1481/H1481,0)</x:f>
        <x:v>0.0004636807670331698</x:v>
      </x:c>
      <x:c r="K1481" s="80" t="n">
        <x:f>(H1481*J1481+I1481)*'Inputs'!$D$48*(1+'Inputs'!$G$48)^(B1481/30)</x:f>
        <x:v>1366.211090244486</x:v>
      </x:c>
      <x:c r="L1481" s="80" t="n">
        <x:f>MAX(0,K1481*'Inputs'!$E$48)</x:f>
        <x:v>0</x:v>
      </x:c>
      <x:c r="M1481" s="80" t="n">
        <x:f>MAX(0,-K1481*'Inputs'!$E$48)</x:f>
        <x:v>0</x:v>
      </x:c>
      <x:c r="N1481" s="78" t="n">
        <x:f>H1481*(L1481*(1-'Inputs'!$B$15))/(I1481+L1481*(1-'Inputs'!$B$15))</x:f>
        <x:v>0</x:v>
      </x:c>
      <x:c r="O1481" s="78" t="n">
        <x:f>H1481-N1481</x:f>
        <x:v>4910746.025353089</x:v>
      </x:c>
      <x:c r="P1481" s="78" t="n">
        <x:f>I1481+L1481*(1-'Inputs'!$B$17)</x:f>
        <x:v>2277.01848374081</x:v>
      </x:c>
      <x:c r="Q1481" s="78" t="n">
        <x:f>IF(J1481&gt;0,M1481/J1481,0)</x:f>
        <x:v>0</x:v>
      </x:c>
      <x:c r="R1481" s="78" t="n">
        <x:f>IF(B1481='Inputs'!$H$48,'Inputs'!$B$27*'Inputs'!$I$48,0)</x:f>
        <x:v>0</x:v>
      </x:c>
      <x:c r="S1481" s="78" t="n">
        <x:f>Q1481+G1481+R1481</x:f>
        <x:v>109789.18669409966</x:v>
      </x:c>
      <x:c r="T1481" s="78" t="n">
        <x:f>P1481*(S1481*(1-'Inputs'!$B$15))/(O1481+S1481*(1-'Inputs'!$B$15))</x:f>
        <x:v>49.30673929289643</x:v>
      </x:c>
      <x:c r="U1481" s="78" t="n">
        <x:f>O1481+S1481*(1-'Inputs'!$B$17)</x:f>
        <x:v>5020093.404454858</x:v>
      </x:c>
      <x:c r="V1481" s="78" t="n">
        <x:f>P1481-T1481</x:f>
        <x:v>2227.7117444479136</x:v>
      </x:c>
      <x:c r="W1481" s="79" t="n">
        <x:f>IF(U1481&gt;0,V1481/U1481,0)</x:f>
        <x:v>0.0004437590229837218</x:v>
      </x:c>
      <x:c r="X1481" s="80" t="n">
        <x:f>W1481*('Inputs'!$B$6-AC1481)</x:f>
        <x:v>443716.2719167306</x:v>
      </x:c>
      <x:c r="Y1481" s="80" t="n">
        <x:f>2*V1481</x:f>
        <x:v>4455.423488895827</x:v>
      </x:c>
      <x:c r="Z1481" s="80" t="n">
        <x:f>K1481*'Inputs'!$B$16+(G1481+R1481)*J1481*'Inputs'!$B$16</x:f>
        <x:v>8.502709347256525</x:v>
      </x:c>
      <x:c r="AA1481" s="80" t="n">
        <x:f>K1481*(1+'Inputs'!$E$48)/2*'Inputs'!$B$17</x:f>
        <x:v>2.7489156745361893</x:v>
      </x:c>
      <x:c r="AB1481" s="78" t="n">
        <x:f>(IF(J1481&gt;0,K1481*(1-'Inputs'!$E$48)/2/J1481,0)+G1481+R1481)*'Inputs'!$B$17</x:f>
        <x:v>6370.273618913587</x:v>
      </x:c>
      <x:c r="AC1481" s="78" t="n">
        <x:f>AC1480+AB1481</x:f>
        <x:v>96338.47375928967</x:v>
      </x:c>
      <x:c r="AD1481" s="80" t="n">
        <x:f>Z1481/(1+'Inputs'!$C$48)</x:f>
        <x:v>6.80216747780522</x:v>
      </x:c>
      <x:c r="AE1481" s="80" t="n">
        <x:f>Z1481-AD1481</x:f>
        <x:v>1.700541869451305</x:v>
      </x:c>
      <x:c r="AF1481" s="80" t="n">
        <x:f>D1481*W1481</x:f>
        <x:v>134.32526918621903</x:v>
      </x:c>
      <x:c r="AG1481" s="80" t="n">
        <x:f>C1481*W1481</x:f>
        <x:v>78.3564070252942</x:v>
      </x:c>
      <x:c r="AH1481" s="80" t="n">
        <x:f>2*'Inputs'!$B$8*'Inputs'!$C$48</x:f>
        <x:v>1250</x:v>
      </x:c>
      <x:c r="AI1481" s="81" t="n">
        <x:f>IF(AH1481&gt;0,(AE1481+AF1481)/AH1481*365,0)</x:f>
        <x:v>39.71953682825574</x:v>
      </x:c>
      <x:c r="AJ1481" s="81" t="n">
        <x:f>IF('Inputs'!$B$48&gt;0,AG1481/('Inputs'!$B$19*'Inputs'!$B$48)*365,0)</x:f>
        <x:v>11.440035425692953</x:v>
      </x:c>
      <x:c r="AK1481" s="81" t="n">
        <x:f>W1481/MAX($W$1464:W1481)-1</x:f>
        <x:v>-0.47814688481547996</x:v>
      </x:c>
      <x:c r="AL1481" s="83" t="n">
        <x:f>'Inputs'!$B$48</x:f>
        <x:v>0.25</x:v>
      </x:c>
      <x:c r="AM1481" s="83" t="n">
        <x:f>'Inputs'!$C$48</x:f>
        <x:v>0.25</x:v>
      </x:c>
      <x:c r="AN1481" s="83" t="n">
        <x:f>'Inputs'!$D$48</x:f>
        <x:v>0.3</x:v>
      </x:c>
      <x:c r="AO1481" s="81" t="n">
        <x:f>'Inputs'!$E$48</x:f>
        <x:v>0</x:v>
      </x:c>
    </x:row>
    <x:row r="1482">
      <x:c r="A1482" s="59" t="str">
        <x:v>Low participation</x:v>
      </x:c>
      <x:c r="B1482" s="59" t="n">
        <x:v>19</x:v>
      </x:c>
      <x:c r="C1482" s="78" t="n">
        <x:f>(('Inputs'!$B$29*(3*19*'Inputs'!$B$12-19^2)/(2*'Inputs'!$B$12^2))-('Inputs'!$B$29*(3*18*'Inputs'!$B$12-18^2)/(2*'Inputs'!$B$12^2)))*'Inputs'!$B$48</x:f>
        <x:v>176492.95130418474</x:v>
      </x:c>
      <x:c r="D1482" s="78" t="n">
        <x:f>IF('Inputs'!$C$48&gt;0,('Inputs'!$B$30*(3*19*'Inputs'!$B$12-19^2)/(2*'Inputs'!$B$12^2))-('Inputs'!$B$30*(3*18*'Inputs'!$B$12-18^2)/(2*'Inputs'!$B$12^2)),0)</x:f>
        <x:v>302559.345092888</x:v>
      </x:c>
      <x:c r="E1482" s="78" t="n">
        <x:f>C1482+D1482</x:f>
        <x:v>479052.2963970727</x:v>
      </x:c>
      <x:c r="F1482" s="78" t="n">
        <x:f>'Inputs'!$B$13*E1482+(1-'Inputs'!$B$13)/'Inputs'!$B$14*SUM(E1464:E1482)</x:f>
        <x:v>226377.8558359918</x:v>
      </x:c>
      <x:c r="G1482" s="78" t="n">
        <x:f>F1482*'Inputs'!$F$48</x:f>
        <x:v>113188.9279179959</x:v>
      </x:c>
      <x:c r="H1482" s="78" t="n">
        <x:f>U1481</x:f>
        <x:v>5020093.404454858</x:v>
      </x:c>
      <x:c r="I1482" s="78" t="n">
        <x:f>V1481</x:f>
        <x:v>2227.7117444479136</x:v>
      </x:c>
      <x:c r="J1482" s="79" t="n">
        <x:f>IF(H1482&gt;0,I1482/H1482,0)</x:f>
        <x:v>0.0004437590229837218</x:v>
      </x:c>
      <x:c r="K1482" s="80" t="n">
        <x:f>(H1482*J1482+I1482)*'Inputs'!$D$48*(1+'Inputs'!$G$48)^(B1482/30)</x:f>
        <x:v>1336.627046668748</x:v>
      </x:c>
      <x:c r="L1482" s="80" t="n">
        <x:f>MAX(0,K1482*'Inputs'!$E$48)</x:f>
        <x:v>0</x:v>
      </x:c>
      <x:c r="M1482" s="80" t="n">
        <x:f>MAX(0,-K1482*'Inputs'!$E$48)</x:f>
        <x:v>0</x:v>
      </x:c>
      <x:c r="N1482" s="78" t="n">
        <x:f>H1482*(L1482*(1-'Inputs'!$B$15))/(I1482+L1482*(1-'Inputs'!$B$15))</x:f>
        <x:v>0</x:v>
      </x:c>
      <x:c r="O1482" s="78" t="n">
        <x:f>H1482-N1482</x:f>
        <x:v>5020093.404454858</x:v>
      </x:c>
      <x:c r="P1482" s="78" t="n">
        <x:f>I1482+L1482*(1-'Inputs'!$B$17)</x:f>
        <x:v>2227.7117444479136</x:v>
      </x:c>
      <x:c r="Q1482" s="78" t="n">
        <x:f>IF(J1482&gt;0,M1482/J1482,0)</x:f>
        <x:v>0</x:v>
      </x:c>
      <x:c r="R1482" s="78" t="n">
        <x:f>IF(B1482='Inputs'!$H$48,'Inputs'!$B$27*'Inputs'!$I$48,0)</x:f>
        <x:v>0</x:v>
      </x:c>
      <x:c r="S1482" s="78" t="n">
        <x:f>Q1482+G1482+R1482</x:f>
        <x:v>113188.9279179959</x:v>
      </x:c>
      <x:c r="T1482" s="78" t="n">
        <x:f>P1482*(S1482*(1-'Inputs'!$B$15))/(O1482+S1482*(1-'Inputs'!$B$15))</x:f>
        <x:v>48.64058132973705</x:v>
      </x:c>
      <x:c r="U1482" s="78" t="n">
        <x:f>O1482+S1482*(1-'Inputs'!$B$17)</x:f>
        <x:v>5132826.843729321</x:v>
      </x:c>
      <x:c r="V1482" s="78" t="n">
        <x:f>P1482-T1482</x:f>
        <x:v>2179.0711631181766</x:v>
      </x:c>
      <x:c r="W1482" s="79" t="n">
        <x:f>IF(U1482&gt;0,V1482/U1482,0)</x:f>
        <x:v>0.0004245362700634071</x:v>
      </x:c>
      <x:c r="X1482" s="80" t="n">
        <x:f>W1482*('Inputs'!$B$6-AC1482)</x:f>
        <x:v>424492.6046242203</x:v>
      </x:c>
      <x:c r="Y1482" s="80" t="n">
        <x:f>2*V1482</x:f>
        <x:v>4358.142326236353</x:v>
      </x:c>
      <x:c r="Z1482" s="80" t="n">
        <x:f>K1482*'Inputs'!$B$16+(G1482+R1482)*J1482*'Inputs'!$B$16</x:f>
        <x:v>8.321133928405278</x:v>
      </x:c>
      <x:c r="AA1482" s="80" t="n">
        <x:f>K1482*(1+'Inputs'!$E$48)/2*'Inputs'!$B$17</x:f>
        <x:v>2.6893904359532157</x:v>
      </x:c>
      <x:c r="AB1482" s="78" t="n">
        <x:f>(IF(J1482&gt;0,K1482*(1-'Inputs'!$E$48)/2/J1482,0)+G1482+R1482)*'Inputs'!$B$17</x:f>
        <x:v>6515.963578488746</x:v>
      </x:c>
      <x:c r="AC1482" s="78" t="n">
        <x:f>AC1481+AB1482</x:f>
        <x:v>102854.43733777842</x:v>
      </x:c>
      <x:c r="AD1482" s="80" t="n">
        <x:f>Z1482/(1+'Inputs'!$C$48)</x:f>
        <x:v>6.656907142724222</x:v>
      </x:c>
      <x:c r="AE1482" s="80" t="n">
        <x:f>Z1482-AD1482</x:f>
        <x:v>1.6642267856810555</x:v>
      </x:c>
      <x:c r="AF1482" s="80" t="n">
        <x:f>D1482*W1482</x:f>
        <x:v>128.44741583856188</x:v>
      </x:c>
      <x:c r="AG1482" s="80" t="n">
        <x:f>C1482*W1482</x:f>
        <x:v>74.92765923916113</x:v>
      </x:c>
      <x:c r="AH1482" s="80" t="n">
        <x:f>2*'Inputs'!$B$8*'Inputs'!$C$48</x:f>
        <x:v>1250</x:v>
      </x:c>
      <x:c r="AI1482" s="81" t="n">
        <x:f>IF(AH1482&gt;0,(AE1482+AF1482)/AH1482*365,0)</x:f>
        <x:v>37.99259964627893</x:v>
      </x:c>
      <x:c r="AJ1482" s="81" t="n">
        <x:f>IF('Inputs'!$B$48&gt;0,AG1482/('Inputs'!$B$19*'Inputs'!$B$48)*365,0)</x:f>
        <x:v>10.939438248917526</x:v>
      </x:c>
      <x:c r="AK1482" s="81" t="n">
        <x:f>W1482/MAX($W$1464:W1482)-1</x:f>
        <x:v>-0.5007525175447924</x:v>
      </x:c>
      <x:c r="AL1482" s="83" t="n">
        <x:f>'Inputs'!$B$48</x:f>
        <x:v>0.25</x:v>
      </x:c>
      <x:c r="AM1482" s="83" t="n">
        <x:f>'Inputs'!$C$48</x:f>
        <x:v>0.25</x:v>
      </x:c>
      <x:c r="AN1482" s="83" t="n">
        <x:f>'Inputs'!$D$48</x:f>
        <x:v>0.3</x:v>
      </x:c>
      <x:c r="AO1482" s="81" t="n">
        <x:f>'Inputs'!$E$48</x:f>
        <x:v>0</x:v>
      </x:c>
    </x:row>
    <x:row r="1483">
      <x:c r="A1483" s="59" t="str">
        <x:v>Low participation</x:v>
      </x:c>
      <x:c r="B1483" s="59" t="n">
        <x:v>20</x:v>
      </x:c>
      <x:c r="C1483" s="78" t="n">
        <x:f>(('Inputs'!$B$29*(3*20*'Inputs'!$B$12-20^2)/(2*'Inputs'!$B$12^2))-('Inputs'!$B$29*(3*19*'Inputs'!$B$12-19^2)/(2*'Inputs'!$B$12^2)))*'Inputs'!$B$48</x:f>
        <x:v>176411.67432914255</x:v>
      </x:c>
      <x:c r="D1483" s="78" t="n">
        <x:f>IF('Inputs'!$C$48&gt;0,('Inputs'!$B$30*(3*20*'Inputs'!$B$12-20^2)/(2*'Inputs'!$B$12^2))-('Inputs'!$B$30*(3*19*'Inputs'!$B$12-19^2)/(2*'Inputs'!$B$12^2)),0)</x:f>
        <x:v>302420.01313567255</x:v>
      </x:c>
      <x:c r="E1483" s="78" t="n">
        <x:f>C1483+D1483</x:f>
        <x:v>478831.6874648151</x:v>
      </x:c>
      <x:c r="F1483" s="78" t="n">
        <x:f>'Inputs'!$B$13*E1483+(1-'Inputs'!$B$13)/'Inputs'!$B$14*SUM(E1464:E1483)</x:f>
        <x:v>233174.18672760902</x:v>
      </x:c>
      <x:c r="G1483" s="78" t="n">
        <x:f>F1483*'Inputs'!$F$48</x:f>
        <x:v>116587.09336380451</x:v>
      </x:c>
      <x:c r="H1483" s="78" t="n">
        <x:f>U1482</x:f>
        <x:v>5132826.843729321</x:v>
      </x:c>
      <x:c r="I1483" s="78" t="n">
        <x:f>V1482</x:f>
        <x:v>2179.0711631181766</x:v>
      </x:c>
      <x:c r="J1483" s="79" t="n">
        <x:f>IF(H1483&gt;0,I1483/H1483,0)</x:f>
        <x:v>0.0004245362700634071</x:v>
      </x:c>
      <x:c r="K1483" s="80" t="n">
        <x:f>(H1483*J1483+I1483)*'Inputs'!$D$48*(1+'Inputs'!$G$48)^(B1483/30)</x:f>
        <x:v>1307.442697870906</x:v>
      </x:c>
      <x:c r="L1483" s="80" t="n">
        <x:f>MAX(0,K1483*'Inputs'!$E$48)</x:f>
        <x:v>0</x:v>
      </x:c>
      <x:c r="M1483" s="80" t="n">
        <x:f>MAX(0,-K1483*'Inputs'!$E$48)</x:f>
        <x:v>0</x:v>
      </x:c>
      <x:c r="N1483" s="78" t="n">
        <x:f>H1483*(L1483*(1-'Inputs'!$B$15))/(I1483+L1483*(1-'Inputs'!$B$15))</x:f>
        <x:v>0</x:v>
      </x:c>
      <x:c r="O1483" s="78" t="n">
        <x:f>H1483-N1483</x:f>
        <x:v>5132826.843729321</x:v>
      </x:c>
      <x:c r="P1483" s="78" t="n">
        <x:f>I1483+L1483*(1-'Inputs'!$B$17)</x:f>
        <x:v>2179.0711631181766</x:v>
      </x:c>
      <x:c r="Q1483" s="78" t="n">
        <x:f>IF(J1483&gt;0,M1483/J1483,0)</x:f>
        <x:v>0</x:v>
      </x:c>
      <x:c r="R1483" s="78" t="n">
        <x:f>IF(B1483='Inputs'!$H$48,'Inputs'!$B$27*'Inputs'!$I$48,0)</x:f>
        <x:v>0</x:v>
      </x:c>
      <x:c r="S1483" s="78" t="n">
        <x:f>Q1483+G1483+R1483</x:f>
        <x:v>116587.09336380451</x:v>
      </x:c>
      <x:c r="T1483" s="78" t="n">
        <x:f>P1483*(S1483*(1-'Inputs'!$B$15))/(O1483+S1483*(1-'Inputs'!$B$15))</x:f>
        <x:v>47.92286001707099</x:v>
      </x:c>
      <x:c r="U1483" s="78" t="n">
        <x:f>O1483+S1483*(1-'Inputs'!$B$17)</x:f>
        <x:v>5248944.773739548</x:v>
      </x:c>
      <x:c r="V1483" s="78" t="n">
        <x:f>P1483-T1483</x:f>
        <x:v>2131.1483031011057</x:v>
      </x:c>
      <x:c r="W1483" s="79" t="n">
        <x:f>IF(U1483&gt;0,V1483/U1483,0)</x:f>
        <x:v>0.00040601461721663236</x:v>
      </x:c>
      <x:c r="X1483" s="80" t="n">
        <x:f>W1483*('Inputs'!$B$6-AC1483)</x:f>
        <x:v>405970.15042578476</x:v>
      </x:c>
      <x:c r="Y1483" s="80" t="n">
        <x:f>2*V1483</x:f>
        <x:v>4262.2966062022115</x:v>
      </x:c>
      <x:c r="Z1483" s="80" t="n">
        <x:f>K1483*'Inputs'!$B$16+(G1483+R1483)*J1483*'Inputs'!$B$16</x:f>
        <x:v>8.141628885750658</x:v>
      </x:c>
      <x:c r="AA1483" s="80" t="n">
        <x:f>K1483*(1+'Inputs'!$E$48)/2*'Inputs'!$B$17</x:f>
        <x:v>2.6306694122151026</x:v>
      </x:c>
      <x:c r="AB1483" s="78" t="n">
        <x:f>(IF(J1483&gt;0,K1483*(1-'Inputs'!$E$48)/2/J1483,0)+G1483+R1483)*'Inputs'!$B$17</x:f>
        <x:v>6665.734995905839</x:v>
      </x:c>
      <x:c r="AC1483" s="78" t="n">
        <x:f>AC1482+AB1483</x:f>
        <x:v>109520.17233368426</x:v>
      </x:c>
      <x:c r="AD1483" s="80" t="n">
        <x:f>Z1483/(1+'Inputs'!$C$48)</x:f>
        <x:v>6.513303108600526</x:v>
      </x:c>
      <x:c r="AE1483" s="80" t="n">
        <x:f>Z1483-AD1483</x:f>
        <x:v>1.6283257771501312</x:v>
      </x:c>
      <x:c r="AF1483" s="80" t="n">
        <x:f>D1483*W1483</x:f>
        <x:v>122.78694587192902</x:v>
      </x:c>
      <x:c r="AG1483" s="80" t="n">
        <x:f>C1483*W1483</x:f>
        <x:v>71.62571842529202</x:v>
      </x:c>
      <x:c r="AH1483" s="80" t="n">
        <x:f>2*'Inputs'!$B$8*'Inputs'!$C$48</x:f>
        <x:v>1250</x:v>
      </x:c>
      <x:c r="AI1483" s="81" t="n">
        <x:f>IF(AH1483&gt;0,(AE1483+AF1483)/AH1483*365,0)</x:f>
        <x:v>36.32925932153112</x:v>
      </x:c>
      <x:c r="AJ1483" s="81" t="n">
        <x:f>IF('Inputs'!$B$48&gt;0,AG1483/('Inputs'!$B$19*'Inputs'!$B$48)*365,0)</x:f>
        <x:v>10.457354890092635</x:v>
      </x:c>
      <x:c r="AK1483" s="81" t="n">
        <x:f>W1483/MAX($W$1464:W1483)-1</x:f>
        <x:v>-0.5225336684303942</x:v>
      </x:c>
      <x:c r="AL1483" s="83" t="n">
        <x:f>'Inputs'!$B$48</x:f>
        <x:v>0.25</x:v>
      </x:c>
      <x:c r="AM1483" s="83" t="n">
        <x:f>'Inputs'!$C$48</x:f>
        <x:v>0.25</x:v>
      </x:c>
      <x:c r="AN1483" s="83" t="n">
        <x:f>'Inputs'!$D$48</x:f>
        <x:v>0.3</x:v>
      </x:c>
      <x:c r="AO1483" s="81" t="n">
        <x:f>'Inputs'!$E$48</x:f>
        <x:v>0</x:v>
      </x:c>
    </x:row>
    <x:row r="1484">
      <x:c r="A1484" s="59" t="str">
        <x:v>Low participation</x:v>
      </x:c>
      <x:c r="B1484" s="59" t="n">
        <x:v>21</x:v>
      </x:c>
      <x:c r="C1484" s="78" t="n">
        <x:f>(('Inputs'!$B$29*(3*21*'Inputs'!$B$12-21^2)/(2*'Inputs'!$B$12^2))-('Inputs'!$B$29*(3*20*'Inputs'!$B$12-20^2)/(2*'Inputs'!$B$12^2)))*'Inputs'!$B$48</x:f>
        <x:v>176330.39735410037</x:v>
      </x:c>
      <x:c r="D1484" s="78" t="n">
        <x:f>IF('Inputs'!$C$48&gt;0,('Inputs'!$B$30*(3*21*'Inputs'!$B$12-21^2)/(2*'Inputs'!$B$12^2))-('Inputs'!$B$30*(3*20*'Inputs'!$B$12-20^2)/(2*'Inputs'!$B$12^2)),0)</x:f>
        <x:v>302280.6811784571</x:v>
      </x:c>
      <x:c r="E1484" s="78" t="n">
        <x:f>C1484+D1484</x:f>
        <x:v>478611.07853255747</x:v>
      </x:c>
      <x:c r="F1484" s="78" t="n">
        <x:f>'Inputs'!$B$13*E1484+(1-'Inputs'!$B$13)/'Inputs'!$B$14*SUM(E1464:E1484)</x:f>
        <x:v>239967.36606305122</x:v>
      </x:c>
      <x:c r="G1484" s="78" t="n">
        <x:f>F1484*'Inputs'!$F$48</x:f>
        <x:v>119983.68303152561</x:v>
      </x:c>
      <x:c r="H1484" s="78" t="n">
        <x:f>U1483</x:f>
        <x:v>5248944.773739548</x:v>
      </x:c>
      <x:c r="I1484" s="78" t="n">
        <x:f>V1483</x:f>
        <x:v>2131.1483031011057</x:v>
      </x:c>
      <x:c r="J1484" s="79" t="n">
        <x:f>IF(H1484&gt;0,I1484/H1484,0)</x:f>
        <x:v>0.00040601461721663236</x:v>
      </x:c>
      <x:c r="K1484" s="80" t="n">
        <x:f>(H1484*J1484+I1484)*'Inputs'!$D$48*(1+'Inputs'!$G$48)^(B1484/30)</x:f>
        <x:v>1278.6889818606635</x:v>
      </x:c>
      <x:c r="L1484" s="80" t="n">
        <x:f>MAX(0,K1484*'Inputs'!$E$48)</x:f>
        <x:v>0</x:v>
      </x:c>
      <x:c r="M1484" s="80" t="n">
        <x:f>MAX(0,-K1484*'Inputs'!$E$48)</x:f>
        <x:v>0</x:v>
      </x:c>
      <x:c r="N1484" s="78" t="n">
        <x:f>H1484*(L1484*(1-'Inputs'!$B$15))/(I1484+L1484*(1-'Inputs'!$B$15))</x:f>
        <x:v>0</x:v>
      </x:c>
      <x:c r="O1484" s="78" t="n">
        <x:f>H1484-N1484</x:f>
        <x:v>5248944.773739548</x:v>
      </x:c>
      <x:c r="P1484" s="78" t="n">
        <x:f>I1484+L1484*(1-'Inputs'!$B$17)</x:f>
        <x:v>2131.1483031011057</x:v>
      </x:c>
      <x:c r="Q1484" s="78" t="n">
        <x:f>IF(J1484&gt;0,M1484/J1484,0)</x:f>
        <x:v>0</x:v>
      </x:c>
      <x:c r="R1484" s="78" t="n">
        <x:f>IF(B1484='Inputs'!$H$48,'Inputs'!$B$27*'Inputs'!$I$48,0)</x:f>
        <x:v>0</x:v>
      </x:c>
      <x:c r="S1484" s="78" t="n">
        <x:f>Q1484+G1484+R1484</x:f>
        <x:v>119983.68303152561</x:v>
      </x:c>
      <x:c r="T1484" s="78" t="n">
        <x:f>P1484*(S1484*(1-'Inputs'!$B$15))/(O1484+S1484*(1-'Inputs'!$B$15))</x:f>
        <x:v>47.160728529961716</x:v>
      </x:c>
      <x:c r="U1484" s="78" t="n">
        <x:f>O1484+S1484*(1-'Inputs'!$B$17)</x:f>
        <x:v>5368445.625048613</x:v>
      </x:c>
      <x:c r="V1484" s="78" t="n">
        <x:f>P1484-T1484</x:f>
        <x:v>2083.9875745711443</x:v>
      </x:c>
      <x:c r="W1484" s="79" t="n">
        <x:f>IF(U1484&gt;0,V1484/U1484,0)</x:f>
        <x:v>0.0003881919870525415</x:v>
      </x:c>
      <x:c r="X1484" s="80" t="n">
        <x:f>W1484*('Inputs'!$B$6-AC1484)</x:f>
        <x:v>388146.82489058987</x:v>
      </x:c>
      <x:c r="Y1484" s="80" t="n">
        <x:f>2*V1484</x:f>
        <x:v>4167.9751491422885</x:v>
      </x:c>
      <x:c r="Z1484" s="80" t="n">
        <x:f>K1484*'Inputs'!$B$16+(G1484+R1484)*J1484*'Inputs'!$B$16</x:f>
        <x:v>7.964424665993701</x:v>
      </x:c>
      <x:c r="AA1484" s="80" t="n">
        <x:f>K1484*(1+'Inputs'!$E$48)/2*'Inputs'!$B$17</x:f>
        <x:v>2.5728148528383574</x:v>
      </x:c>
      <x:c r="AB1484" s="78" t="n">
        <x:f>(IF(J1484&gt;0,K1484*(1-'Inputs'!$E$48)/2/J1484,0)+G1484+R1484)*'Inputs'!$B$17</x:f>
        <x:v>6819.5859764723955</x:v>
      </x:c>
      <x:c r="AC1484" s="78" t="n">
        <x:f>AC1483+AB1484</x:f>
        <x:v>116339.75831015666</x:v>
      </x:c>
      <x:c r="AD1484" s="80" t="n">
        <x:f>Z1484/(1+'Inputs'!$C$48)</x:f>
        <x:v>6.371539732794961</x:v>
      </x:c>
      <x:c r="AE1484" s="80" t="n">
        <x:f>Z1484-AD1484</x:f>
        <x:v>1.5928849331987402</x:v>
      </x:c>
      <x:c r="AF1484" s="80" t="n">
        <x:f>D1484*W1484</x:f>
        <x:v>117.34293827426104</x:v>
      </x:c>
      <x:c r="AG1484" s="80" t="n">
        <x:f>C1484*W1484</x:f>
        <x:v>68.45004732665242</x:v>
      </x:c>
      <x:c r="AH1484" s="80" t="n">
        <x:f>2*'Inputs'!$B$8*'Inputs'!$C$48</x:f>
        <x:v>1250</x:v>
      </x:c>
      <x:c r="AI1484" s="81" t="n">
        <x:f>IF(AH1484&gt;0,(AE1484+AF1484)/AH1484*365,0)</x:f>
        <x:v>34.72926037657826</x:v>
      </x:c>
      <x:c r="AJ1484" s="81" t="n">
        <x:f>IF('Inputs'!$B$48&gt;0,AG1484/('Inputs'!$B$19*'Inputs'!$B$48)*365,0)</x:f>
        <x:v>9.993706909691255</x:v>
      </x:c>
      <x:c r="AK1484" s="81" t="n">
        <x:f>W1484/MAX($W$1464:W1484)-1</x:f>
        <x:v>-0.5434927804488411</x:v>
      </x:c>
      <x:c r="AL1484" s="83" t="n">
        <x:f>'Inputs'!$B$48</x:f>
        <x:v>0.25</x:v>
      </x:c>
      <x:c r="AM1484" s="83" t="n">
        <x:f>'Inputs'!$C$48</x:f>
        <x:v>0.25</x:v>
      </x:c>
      <x:c r="AN1484" s="83" t="n">
        <x:f>'Inputs'!$D$48</x:f>
        <x:v>0.3</x:v>
      </x:c>
      <x:c r="AO1484" s="81" t="n">
        <x:f>'Inputs'!$E$48</x:f>
        <x:v>0</x:v>
      </x:c>
    </x:row>
    <x:row r="1485">
      <x:c r="A1485" s="59" t="str">
        <x:v>Low participation</x:v>
      </x:c>
      <x:c r="B1485" s="59" t="n">
        <x:v>22</x:v>
      </x:c>
      <x:c r="C1485" s="78" t="n">
        <x:f>(('Inputs'!$B$29*(3*22*'Inputs'!$B$12-22^2)/(2*'Inputs'!$B$12^2))-('Inputs'!$B$29*(3*21*'Inputs'!$B$12-21^2)/(2*'Inputs'!$B$12^2)))*'Inputs'!$B$48</x:f>
        <x:v>176249.1203790577</x:v>
      </x:c>
      <x:c r="D1485" s="78" t="n">
        <x:f>IF('Inputs'!$C$48&gt;0,('Inputs'!$B$30*(3*22*'Inputs'!$B$12-22^2)/(2*'Inputs'!$B$12^2))-('Inputs'!$B$30*(3*21*'Inputs'!$B$12-21^2)/(2*'Inputs'!$B$12^2)),0)</x:f>
        <x:v>302141.3492212426</x:v>
      </x:c>
      <x:c r="E1485" s="78" t="n">
        <x:f>C1485+D1485</x:f>
        <x:v>478390.4696003003</x:v>
      </x:c>
      <x:c r="F1485" s="78" t="n">
        <x:f>'Inputs'!$B$13*E1485+(1-'Inputs'!$B$13)/'Inputs'!$B$14*SUM(E1464:E1485)</x:f>
        <x:v>246757.39384231833</x:v>
      </x:c>
      <x:c r="G1485" s="78" t="n">
        <x:f>F1485*'Inputs'!$F$48</x:f>
        <x:v>123378.69692115916</x:v>
      </x:c>
      <x:c r="H1485" s="78" t="n">
        <x:f>U1484</x:f>
        <x:v>5368445.625048613</x:v>
      </x:c>
      <x:c r="I1485" s="78" t="n">
        <x:f>V1484</x:f>
        <x:v>2083.9875745711443</x:v>
      </x:c>
      <x:c r="J1485" s="79" t="n">
        <x:f>IF(H1485&gt;0,I1485/H1485,0)</x:f>
        <x:v>0.0003881919870525415</x:v>
      </x:c>
      <x:c r="K1485" s="80" t="n">
        <x:f>(H1485*J1485+I1485)*'Inputs'!$D$48*(1+'Inputs'!$G$48)^(B1485/30)</x:f>
        <x:v>1250.3925447426866</x:v>
      </x:c>
      <x:c r="L1485" s="80" t="n">
        <x:f>MAX(0,K1485*'Inputs'!$E$48)</x:f>
        <x:v>0</x:v>
      </x:c>
      <x:c r="M1485" s="80" t="n">
        <x:f>MAX(0,-K1485*'Inputs'!$E$48)</x:f>
        <x:v>0</x:v>
      </x:c>
      <x:c r="N1485" s="78" t="n">
        <x:f>H1485*(L1485*(1-'Inputs'!$B$15))/(I1485+L1485*(1-'Inputs'!$B$15))</x:f>
        <x:v>0</x:v>
      </x:c>
      <x:c r="O1485" s="78" t="n">
        <x:f>H1485-N1485</x:f>
        <x:v>5368445.625048613</x:v>
      </x:c>
      <x:c r="P1485" s="78" t="n">
        <x:f>I1485+L1485*(1-'Inputs'!$B$17)</x:f>
        <x:v>2083.9875745711443</x:v>
      </x:c>
      <x:c r="Q1485" s="78" t="n">
        <x:f>IF(J1485&gt;0,M1485/J1485,0)</x:f>
        <x:v>0</x:v>
      </x:c>
      <x:c r="R1485" s="78" t="n">
        <x:f>IF(B1485='Inputs'!$H$48,'Inputs'!$B$27*'Inputs'!$I$48,0)</x:f>
        <x:v>0</x:v>
      </x:c>
      <x:c r="S1485" s="78" t="n">
        <x:f>Q1485+G1485+R1485</x:f>
        <x:v>123378.69692115916</x:v>
      </x:c>
      <x:c r="T1485" s="78" t="n">
        <x:f>P1485*(S1485*(1-'Inputs'!$B$15))/(O1485+S1485*(1-'Inputs'!$B$15))</x:f>
        <x:v>46.36085554264411</x:v>
      </x:c>
      <x:c r="U1485" s="78" t="n">
        <x:f>O1485+S1485*(1-'Inputs'!$B$17)</x:f>
        <x:v>5491327.828219587</x:v>
      </x:c>
      <x:c r="V1485" s="78" t="n">
        <x:f>P1485-T1485</x:f>
        <x:v>2037.6267190285002</x:v>
      </x:c>
      <x:c r="W1485" s="79" t="n">
        <x:f>IF(U1485&gt;0,V1485/U1485,0)</x:f>
        <x:v>0.00037106266148549086</x:v>
      </x:c>
      <x:c r="X1485" s="80" t="n">
        <x:f>W1485*('Inputs'!$B$6-AC1485)</x:f>
        <x:v>371016.9030499882</x:v>
      </x:c>
      <x:c r="Y1485" s="80" t="n">
        <x:f>2*V1485</x:f>
        <x:v>4075.2534380570005</x:v>
      </x:c>
      <x:c r="Z1485" s="80" t="n">
        <x:f>K1485*'Inputs'!$B$16+(G1485+R1485)*J1485*'Inputs'!$B$16</x:f>
        <x:v>7.789722997562788</x:v>
      </x:c>
      <x:c r="AA1485" s="80" t="n">
        <x:f>K1485*(1+'Inputs'!$E$48)/2*'Inputs'!$B$17</x:f>
        <x:v>2.5158803717156673</x:v>
      </x:c>
      <x:c r="AB1485" s="78" t="n">
        <x:f>(IF(J1485&gt;0,K1485*(1-'Inputs'!$E$48)/2/J1485,0)+G1485+R1485)*'Inputs'!$B$17</x:f>
        <x:v>6977.514625495949</x:v>
      </x:c>
      <x:c r="AC1485" s="78" t="n">
        <x:f>AC1484+AB1485</x:f>
        <x:v>123317.27293565261</x:v>
      </x:c>
      <x:c r="AD1485" s="80" t="n">
        <x:f>Z1485/(1+'Inputs'!$C$48)</x:f>
        <x:v>6.23177839805023</x:v>
      </x:c>
      <x:c r="AE1485" s="80" t="n">
        <x:f>Z1485-AD1485</x:f>
        <x:v>1.5579445995125578</x:v>
      </x:c>
      <x:c r="AF1485" s="80" t="n">
        <x:f>D1485*W1485</x:f>
        <x:v>112.11337318685142</x:v>
      </x:c>
      <x:c r="AG1485" s="80" t="n">
        <x:f>C1485*W1485</x:f>
        <x:v>65.39946769232982</x:v>
      </x:c>
      <x:c r="AH1485" s="80" t="n">
        <x:f>2*'Inputs'!$B$8*'Inputs'!$C$48</x:f>
        <x:v>1250</x:v>
      </x:c>
      <x:c r="AI1485" s="81" t="n">
        <x:f>IF(AH1485&gt;0,(AE1485+AF1485)/AH1485*365,0)</x:f>
        <x:v>33.19202479361828</x:v>
      </x:c>
      <x:c r="AJ1485" s="81" t="n">
        <x:f>IF('Inputs'!$B$48&gt;0,AG1485/('Inputs'!$B$19*'Inputs'!$B$48)*365,0)</x:f>
        <x:v>9.548322283080154</x:v>
      </x:c>
      <x:c r="AK1485" s="81" t="n">
        <x:f>W1485/MAX($W$1464:W1485)-1</x:f>
        <x:v>-0.5636365779722621</x:v>
      </x:c>
      <x:c r="AL1485" s="83" t="n">
        <x:f>'Inputs'!$B$48</x:f>
        <x:v>0.25</x:v>
      </x:c>
      <x:c r="AM1485" s="83" t="n">
        <x:f>'Inputs'!$C$48</x:f>
        <x:v>0.25</x:v>
      </x:c>
      <x:c r="AN1485" s="83" t="n">
        <x:f>'Inputs'!$D$48</x:f>
        <x:v>0.3</x:v>
      </x:c>
      <x:c r="AO1485" s="81" t="n">
        <x:f>'Inputs'!$E$48</x:f>
        <x:v>0</x:v>
      </x:c>
    </x:row>
    <x:row r="1486">
      <x:c r="A1486" s="59" t="str">
        <x:v>Low participation</x:v>
      </x:c>
      <x:c r="B1486" s="59" t="n">
        <x:v>23</x:v>
      </x:c>
      <x:c r="C1486" s="78" t="n">
        <x:f>(('Inputs'!$B$29*(3*23*'Inputs'!$B$12-23^2)/(2*'Inputs'!$B$12^2))-('Inputs'!$B$29*(3*22*'Inputs'!$B$12-22^2)/(2*'Inputs'!$B$12^2)))*'Inputs'!$B$48</x:f>
        <x:v>176167.843404016</x:v>
      </x:c>
      <x:c r="D1486" s="78" t="n">
        <x:f>IF('Inputs'!$C$48&gt;0,('Inputs'!$B$30*(3*23*'Inputs'!$B$12-23^2)/(2*'Inputs'!$B$12^2))-('Inputs'!$B$30*(3*22*'Inputs'!$B$12-22^2)/(2*'Inputs'!$B$12^2)),0)</x:f>
        <x:v>302002.01726402715</x:v>
      </x:c>
      <x:c r="E1486" s="78" t="n">
        <x:f>C1486+D1486</x:f>
        <x:v>478169.86066804314</x:v>
      </x:c>
      <x:c r="F1486" s="78" t="n">
        <x:f>'Inputs'!$B$13*E1486+(1-'Inputs'!$B$13)/'Inputs'!$B$14*SUM(E1464:E1486)</x:f>
        <x:v>253544.27006541035</x:v>
      </x:c>
      <x:c r="G1486" s="78" t="n">
        <x:f>F1486*'Inputs'!$F$48</x:f>
        <x:v>126772.13503270518</x:v>
      </x:c>
      <x:c r="H1486" s="78" t="n">
        <x:f>U1485</x:f>
        <x:v>5491327.828219587</x:v>
      </x:c>
      <x:c r="I1486" s="78" t="n">
        <x:f>V1485</x:f>
        <x:v>2037.6267190285002</x:v>
      </x:c>
      <x:c r="J1486" s="79" t="n">
        <x:f>IF(H1486&gt;0,I1486/H1486,0)</x:f>
        <x:v>0.00037106266148549086</x:v>
      </x:c>
      <x:c r="K1486" s="80" t="n">
        <x:f>(H1486*J1486+I1486)*'Inputs'!$D$48*(1+'Inputs'!$G$48)^(B1486/30)</x:f>
        <x:v>1222.5760314171</x:v>
      </x:c>
      <x:c r="L1486" s="80" t="n">
        <x:f>MAX(0,K1486*'Inputs'!$E$48)</x:f>
        <x:v>0</x:v>
      </x:c>
      <x:c r="M1486" s="80" t="n">
        <x:f>MAX(0,-K1486*'Inputs'!$E$48)</x:f>
        <x:v>0</x:v>
      </x:c>
      <x:c r="N1486" s="78" t="n">
        <x:f>H1486*(L1486*(1-'Inputs'!$B$15))/(I1486+L1486*(1-'Inputs'!$B$15))</x:f>
        <x:v>0</x:v>
      </x:c>
      <x:c r="O1486" s="78" t="n">
        <x:f>H1486-N1486</x:f>
        <x:v>5491327.828219587</x:v>
      </x:c>
      <x:c r="P1486" s="78" t="n">
        <x:f>I1486+L1486*(1-'Inputs'!$B$17)</x:f>
        <x:v>2037.6267190285002</x:v>
      </x:c>
      <x:c r="Q1486" s="78" t="n">
        <x:f>IF(J1486&gt;0,M1486/J1486,0)</x:f>
        <x:v>0</x:v>
      </x:c>
      <x:c r="R1486" s="78" t="n">
        <x:f>IF(B1486='Inputs'!$H$48,'Inputs'!$B$27*'Inputs'!$I$48,0)</x:f>
        <x:v>0</x:v>
      </x:c>
      <x:c r="S1486" s="78" t="n">
        <x:f>Q1486+G1486+R1486</x:f>
        <x:v>126772.13503270518</x:v>
      </x:c>
      <x:c r="T1486" s="78" t="n">
        <x:f>P1486*(S1486*(1-'Inputs'!$B$15))/(O1486+S1486*(1-'Inputs'!$B$15))</x:f>
        <x:v>45.52942577979228</x:v>
      </x:c>
      <x:c r="U1486" s="78" t="n">
        <x:f>O1486+S1486*(1-'Inputs'!$B$17)</x:f>
        <x:v>5617589.813815541</x:v>
      </x:c>
      <x:c r="V1486" s="78" t="n">
        <x:f>P1486-T1486</x:f>
        <x:v>1992.097293248708</x:v>
      </x:c>
      <x:c r="W1486" s="79" t="n">
        <x:f>IF(U1486&gt;0,V1486/U1486,0)</x:f>
        <x:v>0.00035461779148585596</x:v>
      </x:c>
      <x:c r="X1486" s="80" t="n">
        <x:f>W1486*('Inputs'!$B$6-AC1486)</x:f>
        <x:v>354571.52918639826</x:v>
      </x:c>
      <x:c r="Y1486" s="80" t="n">
        <x:f>2*V1486</x:f>
        <x:v>3984.194586497416</x:v>
      </x:c>
      <x:c r="Z1486" s="80" t="n">
        <x:f>K1486*'Inputs'!$B$16+(G1486+R1486)*J1486*'Inputs'!$B$16</x:f>
        <x:v>7.617698623467201</x:v>
      </x:c>
      <x:c r="AA1486" s="80" t="n">
        <x:f>K1486*(1+'Inputs'!$E$48)/2*'Inputs'!$B$17</x:f>
        <x:v>2.4599115320263585</x:v>
      </x:c>
      <x:c r="AB1486" s="78" t="n">
        <x:f>(IF(J1486&gt;0,K1486*(1-'Inputs'!$E$48)/2/J1486,0)+G1486+R1486)*'Inputs'!$B$17</x:f>
        <x:v>7139.51904828403</x:v>
      </x:c>
      <x:c r="AC1486" s="78" t="n">
        <x:f>AC1485+AB1486</x:f>
        <x:v>130456.79198393664</x:v>
      </x:c>
      <x:c r="AD1486" s="80" t="n">
        <x:f>Z1486/(1+'Inputs'!$C$48)</x:f>
        <x:v>6.094158898773761</x:v>
      </x:c>
      <x:c r="AE1486" s="80" t="n">
        <x:f>Z1486-AD1486</x:f>
        <x:v>1.52353972469344</x:v>
      </x:c>
      <x:c r="AF1486" s="80" t="n">
        <x:f>D1486*W1486</x:f>
        <x:v>107.09528838644265</x:v>
      </x:c>
      <x:c r="AG1486" s="80" t="n">
        <x:f>C1486*W1486</x:f>
        <x:v>62.472251558758266</x:v>
      </x:c>
      <x:c r="AH1486" s="80" t="n">
        <x:f>2*'Inputs'!$B$8*'Inputs'!$C$48</x:f>
        <x:v>1250</x:v>
      </x:c>
      <x:c r="AI1486" s="81" t="n">
        <x:f>IF(AH1486&gt;0,(AE1486+AF1486)/AH1486*365,0)</x:f>
        <x:v>31.716697808451737</x:v>
      </x:c>
      <x:c r="AJ1486" s="81" t="n">
        <x:f>IF('Inputs'!$B$48&gt;0,AG1486/('Inputs'!$B$19*'Inputs'!$B$48)*365,0)</x:f>
        <x:v>9.120948727578707</x:v>
      </x:c>
      <x:c r="AK1486" s="81" t="n">
        <x:f>W1486/MAX($W$1464:W1486)-1</x:f>
        <x:v>-0.5829754673100205</x:v>
      </x:c>
      <x:c r="AL1486" s="83" t="n">
        <x:f>'Inputs'!$B$48</x:f>
        <x:v>0.25</x:v>
      </x:c>
      <x:c r="AM1486" s="83" t="n">
        <x:f>'Inputs'!$C$48</x:f>
        <x:v>0.25</x:v>
      </x:c>
      <x:c r="AN1486" s="83" t="n">
        <x:f>'Inputs'!$D$48</x:f>
        <x:v>0.3</x:v>
      </x:c>
      <x:c r="AO1486" s="81" t="n">
        <x:f>'Inputs'!$E$48</x:f>
        <x:v>0</x:v>
      </x:c>
    </x:row>
    <x:row r="1487">
      <x:c r="A1487" s="59" t="str">
        <x:v>Low participation</x:v>
      </x:c>
      <x:c r="B1487" s="59" t="n">
        <x:v>24</x:v>
      </x:c>
      <x:c r="C1487" s="78" t="n">
        <x:f>(('Inputs'!$B$29*(3*24*'Inputs'!$B$12-24^2)/(2*'Inputs'!$B$12^2))-('Inputs'!$B$29*(3*23*'Inputs'!$B$12-23^2)/(2*'Inputs'!$B$12^2)))*'Inputs'!$B$48</x:f>
        <x:v>176086.5664289738</x:v>
      </x:c>
      <x:c r="D1487" s="78" t="n">
        <x:f>IF('Inputs'!$C$48&gt;0,('Inputs'!$B$30*(3*24*'Inputs'!$B$12-24^2)/(2*'Inputs'!$B$12^2))-('Inputs'!$B$30*(3*23*'Inputs'!$B$12-23^2)/(2*'Inputs'!$B$12^2)),0)</x:f>
        <x:v>301862.6853068117</x:v>
      </x:c>
      <x:c r="E1487" s="78" t="n">
        <x:f>C1487+D1487</x:f>
        <x:v>477949.2517357855</x:v>
      </x:c>
      <x:c r="F1487" s="78" t="n">
        <x:f>'Inputs'!$B$13*E1487+(1-'Inputs'!$B$13)/'Inputs'!$B$14*SUM(E1464:E1487)</x:f>
        <x:v>260327.9947323272</x:v>
      </x:c>
      <x:c r="G1487" s="78" t="n">
        <x:f>F1487*'Inputs'!$F$48</x:f>
        <x:v>130163.9973661636</x:v>
      </x:c>
      <x:c r="H1487" s="78" t="n">
        <x:f>U1486</x:f>
        <x:v>5617589.813815541</x:v>
      </x:c>
      <x:c r="I1487" s="78" t="n">
        <x:f>V1486</x:f>
        <x:v>1992.097293248708</x:v>
      </x:c>
      <x:c r="J1487" s="79" t="n">
        <x:f>IF(H1487&gt;0,I1487/H1487,0)</x:f>
        <x:v>0.00035461779148585596</x:v>
      </x:c>
      <x:c r="K1487" s="80" t="n">
        <x:f>(H1487*J1487+I1487)*'Inputs'!$D$48*(1+'Inputs'!$G$48)^(B1487/30)</x:f>
        <x:v>1195.2583759492247</x:v>
      </x:c>
      <x:c r="L1487" s="80" t="n">
        <x:f>MAX(0,K1487*'Inputs'!$E$48)</x:f>
        <x:v>0</x:v>
      </x:c>
      <x:c r="M1487" s="80" t="n">
        <x:f>MAX(0,-K1487*'Inputs'!$E$48)</x:f>
        <x:v>0</x:v>
      </x:c>
      <x:c r="N1487" s="78" t="n">
        <x:f>H1487*(L1487*(1-'Inputs'!$B$15))/(I1487+L1487*(1-'Inputs'!$B$15))</x:f>
        <x:v>0</x:v>
      </x:c>
      <x:c r="O1487" s="78" t="n">
        <x:f>H1487-N1487</x:f>
        <x:v>5617589.813815541</x:v>
      </x:c>
      <x:c r="P1487" s="78" t="n">
        <x:f>I1487+L1487*(1-'Inputs'!$B$17)</x:f>
        <x:v>1992.097293248708</x:v>
      </x:c>
      <x:c r="Q1487" s="78" t="n">
        <x:f>IF(J1487&gt;0,M1487/J1487,0)</x:f>
        <x:v>0</x:v>
      </x:c>
      <x:c r="R1487" s="78" t="n">
        <x:f>IF(B1487='Inputs'!$H$48,'Inputs'!$B$27*'Inputs'!$I$48,0)</x:f>
        <x:v>0</x:v>
      </x:c>
      <x:c r="S1487" s="78" t="n">
        <x:f>Q1487+G1487+R1487</x:f>
        <x:v>130163.9973661636</x:v>
      </x:c>
      <x:c r="T1487" s="78" t="n">
        <x:f>P1487*(S1487*(1-'Inputs'!$B$15))/(O1487+S1487*(1-'Inputs'!$B$15))</x:f>
        <x:v>44.67214652015192</x:v>
      </x:c>
      <x:c r="U1487" s="78" t="n">
        <x:f>O1487+S1487*(1-'Inputs'!$B$17)</x:f>
        <x:v>5747230.012399547</x:v>
      </x:c>
      <x:c r="V1487" s="78" t="n">
        <x:f>P1487-T1487</x:f>
        <x:v>1947.425146728556</x:v>
      </x:c>
      <x:c r="W1487" s="79" t="n">
        <x:f>IF(U1487&gt;0,V1487/U1487,0)</x:f>
        <x:v>0.0003388458687971459</x:v>
      </x:c>
      <x:c r="X1487" s="80" t="n">
        <x:f>W1487*('Inputs'!$B$6-AC1487)</x:f>
        <x:v>338799.1885806444</x:v>
      </x:c>
      <x:c r="Y1487" s="80" t="n">
        <x:f>2*V1487</x:f>
        <x:v>3894.850293457112</x:v>
      </x:c>
      <x:c r="Z1487" s="80" t="n">
        <x:f>K1487*'Inputs'!$B$16+(G1487+R1487)*J1487*'Inputs'!$B$16</x:f>
        <x:v>7.448501071357106</x:v>
      </x:c>
      <x:c r="AA1487" s="80" t="n">
        <x:f>K1487*(1+'Inputs'!$E$48)/2*'Inputs'!$B$17</x:f>
        <x:v>2.4049464304813375</x:v>
      </x:c>
      <x:c r="AB1487" s="78" t="n">
        <x:f>(IF(J1487&gt;0,K1487*(1-'Inputs'!$E$48)/2/J1487,0)+G1487+R1487)*'Inputs'!$B$17</x:f>
        <x:v>7305.5973501441695</x:v>
      </x:c>
      <x:c r="AC1487" s="78" t="n">
        <x:f>AC1486+AB1487</x:f>
        <x:v>137762.3893340808</x:v>
      </x:c>
      <x:c r="AD1487" s="80" t="n">
        <x:f>Z1487/(1+'Inputs'!$C$48)</x:f>
        <x:v>5.958800857085685</x:v>
      </x:c>
      <x:c r="AE1487" s="80" t="n">
        <x:f>Z1487-AD1487</x:f>
        <x:v>1.489700214271421</x:v>
      </x:c>
      <x:c r="AF1487" s="80" t="n">
        <x:f>D1487*W1487</x:f>
        <x:v>102.28492386022606</x:v>
      </x:c>
      <x:c r="AG1487" s="80" t="n">
        <x:f>C1487*W1487</x:f>
        <x:v>59.66620558513197</x:v>
      </x:c>
      <x:c r="AH1487" s="80" t="n">
        <x:f>2*'Inputs'!$B$8*'Inputs'!$C$48</x:f>
        <x:v>1250</x:v>
      </x:c>
      <x:c r="AI1487" s="81" t="n">
        <x:f>IF(AH1487&gt;0,(AE1487+AF1487)/AH1487*365,0)</x:f>
        <x:v>30.302190229753265</x:v>
      </x:c>
      <x:c r="AJ1487" s="81" t="n">
        <x:f>IF('Inputs'!$B$48&gt;0,AG1487/('Inputs'!$B$19*'Inputs'!$B$48)*365,0)</x:f>
        <x:v>8.711266015429269</x:v>
      </x:c>
      <x:c r="AK1487" s="81" t="n">
        <x:f>W1487/MAX($W$1464:W1487)-1</x:f>
        <x:v>-0.6015229819773553</x:v>
      </x:c>
      <x:c r="AL1487" s="83" t="n">
        <x:f>'Inputs'!$B$48</x:f>
        <x:v>0.25</x:v>
      </x:c>
      <x:c r="AM1487" s="83" t="n">
        <x:f>'Inputs'!$C$48</x:f>
        <x:v>0.25</x:v>
      </x:c>
      <x:c r="AN1487" s="83" t="n">
        <x:f>'Inputs'!$D$48</x:f>
        <x:v>0.3</x:v>
      </x:c>
      <x:c r="AO1487" s="81" t="n">
        <x:f>'Inputs'!$E$48</x:f>
        <x:v>0</x:v>
      </x:c>
    </x:row>
    <x:row r="1488">
      <x:c r="A1488" s="59" t="str">
        <x:v>Low participation</x:v>
      </x:c>
      <x:c r="B1488" s="59" t="n">
        <x:v>25</x:v>
      </x:c>
      <x:c r="C1488" s="78" t="n">
        <x:f>(('Inputs'!$B$29*(3*25*'Inputs'!$B$12-25^2)/(2*'Inputs'!$B$12^2))-('Inputs'!$B$29*(3*24*'Inputs'!$B$12-24^2)/(2*'Inputs'!$B$12^2)))*'Inputs'!$B$48</x:f>
        <x:v>176005.28945393115</x:v>
      </x:c>
      <x:c r="D1488" s="78" t="n">
        <x:f>IF('Inputs'!$C$48&gt;0,('Inputs'!$B$30*(3*25*'Inputs'!$B$12-25^2)/(2*'Inputs'!$B$12^2))-('Inputs'!$B$30*(3*24*'Inputs'!$B$12-24^2)/(2*'Inputs'!$B$12^2)),0)</x:f>
        <x:v>301723.35334959626</x:v>
      </x:c>
      <x:c r="E1488" s="78" t="n">
        <x:f>C1488+D1488</x:f>
        <x:v>477728.6428035274</x:v>
      </x:c>
      <x:c r="F1488" s="78" t="n">
        <x:f>'Inputs'!$B$13*E1488+(1-'Inputs'!$B$13)/'Inputs'!$B$14*SUM(E1464:E1488)</x:f>
        <x:v>267108.56784306886</x:v>
      </x:c>
      <x:c r="G1488" s="78" t="n">
        <x:f>F1488*'Inputs'!$F$48</x:f>
        <x:v>133554.28392153443</x:v>
      </x:c>
      <x:c r="H1488" s="78" t="n">
        <x:f>U1487</x:f>
        <x:v>5747230.012399547</x:v>
      </x:c>
      <x:c r="I1488" s="78" t="n">
        <x:f>V1487</x:f>
        <x:v>1947.425146728556</x:v>
      </x:c>
      <x:c r="J1488" s="79" t="n">
        <x:f>IF(H1488&gt;0,I1488/H1488,0)</x:f>
        <x:v>0.0003388458687971459</x:v>
      </x:c>
      <x:c r="K1488" s="80" t="n">
        <x:f>(H1488*J1488+I1488)*'Inputs'!$D$48*(1+'Inputs'!$G$48)^(B1488/30)</x:f>
        <x:v>1168.4550880371335</x:v>
      </x:c>
      <x:c r="L1488" s="80" t="n">
        <x:f>MAX(0,K1488*'Inputs'!$E$48)</x:f>
        <x:v>0</x:v>
      </x:c>
      <x:c r="M1488" s="80" t="n">
        <x:f>MAX(0,-K1488*'Inputs'!$E$48)</x:f>
        <x:v>0</x:v>
      </x:c>
      <x:c r="N1488" s="78" t="n">
        <x:f>H1488*(L1488*(1-'Inputs'!$B$15))/(I1488+L1488*(1-'Inputs'!$B$15))</x:f>
        <x:v>0</x:v>
      </x:c>
      <x:c r="O1488" s="78" t="n">
        <x:f>H1488-N1488</x:f>
        <x:v>5747230.012399547</x:v>
      </x:c>
      <x:c r="P1488" s="78" t="n">
        <x:f>I1488+L1488*(1-'Inputs'!$B$17)</x:f>
        <x:v>1947.425146728556</x:v>
      </x:c>
      <x:c r="Q1488" s="78" t="n">
        <x:f>IF(J1488&gt;0,M1488/J1488,0)</x:f>
        <x:v>0</x:v>
      </x:c>
      <x:c r="R1488" s="78" t="n">
        <x:f>IF(B1488='Inputs'!$H$48,'Inputs'!$B$27*'Inputs'!$I$48,0)</x:f>
        <x:v>0</x:v>
      </x:c>
      <x:c r="S1488" s="78" t="n">
        <x:f>Q1488+G1488+R1488</x:f>
        <x:v>133554.28392153443</x:v>
      </x:c>
      <x:c r="T1488" s="78" t="n">
        <x:f>P1488*(S1488*(1-'Inputs'!$B$15))/(O1488+S1488*(1-'Inputs'!$B$15))</x:f>
        <x:v>43.79425896007929</x:v>
      </x:c>
      <x:c r="U1488" s="78" t="n">
        <x:f>O1488+S1488*(1-'Inputs'!$B$17)</x:f>
        <x:v>5880246.854534676</x:v>
      </x:c>
      <x:c r="V1488" s="78" t="n">
        <x:f>P1488-T1488</x:f>
        <x:v>1903.6308877684767</x:v>
      </x:c>
      <x:c r="W1488" s="79" t="n">
        <x:f>IF(U1488&gt;0,V1488/U1488,0)</x:f>
        <x:v>0.000323733158634395</x:v>
      </x:c>
      <x:c r="X1488" s="80" t="n">
        <x:f>W1488*('Inputs'!$B$6-AC1488)</x:f>
        <x:v>323686.14023355936</x:v>
      </x:c>
      <x:c r="Y1488" s="80" t="n">
        <x:f>2*V1488</x:f>
        <x:v>3807.2617755369533</x:v>
      </x:c>
      <x:c r="Z1488" s="80" t="n">
        <x:f>K1488*'Inputs'!$B$16+(G1488+R1488)*J1488*'Inputs'!$B$16</x:f>
        <x:v>7.2822564324246395</x:v>
      </x:c>
      <x:c r="AA1488" s="80" t="n">
        <x:f>K1488*(1+'Inputs'!$E$48)/2*'Inputs'!$B$17</x:f>
        <x:v>2.3510162737165667</x:v>
      </x:c>
      <x:c r="AB1488" s="78" t="n">
        <x:f>(IF(J1488&gt;0,K1488*(1-'Inputs'!$E$48)/2/J1488,0)+G1488+R1488)*'Inputs'!$B$17</x:f>
        <x:v>7475.747636383898</x:v>
      </x:c>
      <x:c r="AC1488" s="78" t="n">
        <x:f>AC1487+AB1488</x:f>
        <x:v>145238.1369704647</x:v>
      </x:c>
      <x:c r="AD1488" s="80" t="n">
        <x:f>Z1488/(1+'Inputs'!$C$48)</x:f>
        <x:v>5.825805145939712</x:v>
      </x:c>
      <x:c r="AE1488" s="80" t="n">
        <x:f>Z1488-AD1488</x:f>
        <x:v>1.4564512864849277</x:v>
      </x:c>
      <x:c r="AF1488" s="80" t="n">
        <x:f>D1488*W1488</x:f>
        <x:v>97.67785421362646</x:v>
      </x:c>
      <x:c r="AG1488" s="80" t="n">
        <x:f>C1488*W1488</x:f>
        <x:v>56.9787482912821</x:v>
      </x:c>
      <x:c r="AH1488" s="80" t="n">
        <x:f>2*'Inputs'!$B$8*'Inputs'!$C$48</x:f>
        <x:v>1250</x:v>
      </x:c>
      <x:c r="AI1488" s="81" t="n">
        <x:f>IF(AH1488&gt;0,(AE1488+AF1488)/AH1488*365,0)</x:f>
        <x:v>28.94721720603253</x:v>
      </x:c>
      <x:c r="AJ1488" s="81" t="n">
        <x:f>IF('Inputs'!$B$48&gt;0,AG1488/('Inputs'!$B$19*'Inputs'!$B$48)*365,0)</x:f>
        <x:v>8.318897250527186</x:v>
      </x:c>
      <x:c r="AK1488" s="81" t="n">
        <x:f>W1488/MAX($W$1464:W1488)-1</x:f>
        <x:v>-0.6192952738493824</x:v>
      </x:c>
      <x:c r="AL1488" s="83" t="n">
        <x:f>'Inputs'!$B$48</x:f>
        <x:v>0.25</x:v>
      </x:c>
      <x:c r="AM1488" s="83" t="n">
        <x:f>'Inputs'!$C$48</x:f>
        <x:v>0.25</x:v>
      </x:c>
      <x:c r="AN1488" s="83" t="n">
        <x:f>'Inputs'!$D$48</x:f>
        <x:v>0.3</x:v>
      </x:c>
      <x:c r="AO1488" s="81" t="n">
        <x:f>'Inputs'!$E$48</x:f>
        <x:v>0</x:v>
      </x:c>
    </x:row>
    <x:row r="1489">
      <x:c r="A1489" s="59" t="str">
        <x:v>Low participation</x:v>
      </x:c>
      <x:c r="B1489" s="59" t="n">
        <x:v>26</x:v>
      </x:c>
      <x:c r="C1489" s="78" t="n">
        <x:f>(('Inputs'!$B$29*(3*26*'Inputs'!$B$12-26^2)/(2*'Inputs'!$B$12^2))-('Inputs'!$B$29*(3*25*'Inputs'!$B$12-25^2)/(2*'Inputs'!$B$12^2)))*'Inputs'!$B$48</x:f>
        <x:v>175924.01247888897</x:v>
      </x:c>
      <x:c r="D1489" s="78" t="n">
        <x:f>IF('Inputs'!$C$48&gt;0,('Inputs'!$B$30*(3*26*'Inputs'!$B$12-26^2)/(2*'Inputs'!$B$12^2))-('Inputs'!$B$30*(3*25*'Inputs'!$B$12-25^2)/(2*'Inputs'!$B$12^2)),0)</x:f>
        <x:v>301584.02139238175</x:v>
      </x:c>
      <x:c r="E1489" s="78" t="n">
        <x:f>C1489+D1489</x:f>
        <x:v>477508.0338712707</x:v>
      </x:c>
      <x:c r="F1489" s="78" t="n">
        <x:f>'Inputs'!$B$13*E1489+(1-'Inputs'!$B$13)/'Inputs'!$B$14*SUM(E1464:E1489)</x:f>
        <x:v>273885.9893976357</x:v>
      </x:c>
      <x:c r="G1489" s="78" t="n">
        <x:f>F1489*'Inputs'!$F$48</x:f>
        <x:v>136942.99469881784</x:v>
      </x:c>
      <x:c r="H1489" s="78" t="n">
        <x:f>U1488</x:f>
        <x:v>5880246.854534676</x:v>
      </x:c>
      <x:c r="I1489" s="78" t="n">
        <x:f>V1488</x:f>
        <x:v>1903.6308877684767</x:v>
      </x:c>
      <x:c r="J1489" s="79" t="n">
        <x:f>IF(H1489&gt;0,I1489/H1489,0)</x:f>
        <x:v>0.000323733158634395</x:v>
      </x:c>
      <x:c r="K1489" s="80" t="n">
        <x:f>(H1489*J1489+I1489)*'Inputs'!$D$48*(1+'Inputs'!$G$48)^(B1489/30)</x:f>
        <x:v>1142.178532661086</x:v>
      </x:c>
      <x:c r="L1489" s="80" t="n">
        <x:f>MAX(0,K1489*'Inputs'!$E$48)</x:f>
        <x:v>0</x:v>
      </x:c>
      <x:c r="M1489" s="80" t="n">
        <x:f>MAX(0,-K1489*'Inputs'!$E$48)</x:f>
        <x:v>0</x:v>
      </x:c>
      <x:c r="N1489" s="78" t="n">
        <x:f>H1489*(L1489*(1-'Inputs'!$B$15))/(I1489+L1489*(1-'Inputs'!$B$15))</x:f>
        <x:v>0</x:v>
      </x:c>
      <x:c r="O1489" s="78" t="n">
        <x:f>H1489-N1489</x:f>
        <x:v>5880246.854534676</x:v>
      </x:c>
      <x:c r="P1489" s="78" t="n">
        <x:f>I1489+L1489*(1-'Inputs'!$B$17)</x:f>
        <x:v>1903.6308877684767</x:v>
      </x:c>
      <x:c r="Q1489" s="78" t="n">
        <x:f>IF(J1489&gt;0,M1489/J1489,0)</x:f>
        <x:v>0</x:v>
      </x:c>
      <x:c r="R1489" s="78" t="n">
        <x:f>IF(B1489='Inputs'!$H$48,'Inputs'!$B$27*'Inputs'!$I$48,0)</x:f>
        <x:v>0</x:v>
      </x:c>
      <x:c r="S1489" s="78" t="n">
        <x:f>Q1489+G1489+R1489</x:f>
        <x:v>136942.99469881784</x:v>
      </x:c>
      <x:c r="T1489" s="78" t="n">
        <x:f>P1489*(S1489*(1-'Inputs'!$B$15))/(O1489+S1489*(1-'Inputs'!$B$15))</x:f>
        <x:v>42.900553447217405</x:v>
      </x:c>
      <x:c r="U1489" s="78" t="n">
        <x:f>O1489+S1489*(1-'Inputs'!$B$17)</x:f>
        <x:v>6016638.770784002</x:v>
      </x:c>
      <x:c r="V1489" s="78" t="n">
        <x:f>P1489-T1489</x:f>
        <x:v>1860.7303343212593</x:v>
      </x:c>
      <x:c r="W1489" s="79" t="n">
        <x:f>IF(U1489&gt;0,V1489/U1489,0)</x:f>
        <x:v>0.0003092640933267788</x:v>
      </x:c>
      <x:c r="X1489" s="80" t="n">
        <x:f>W1489*('Inputs'!$B$6-AC1489)</x:f>
        <x:v>309216.81052561087</x:v>
      </x:c>
      <x:c r="Y1489" s="80" t="n">
        <x:f>2*V1489</x:f>
        <x:v>3721.4606686425186</x:v>
      </x:c>
      <x:c r="Z1489" s="80" t="n">
        <x:f>K1489*'Inputs'!$B$16+(G1489+R1489)*J1489*'Inputs'!$B$16</x:f>
        <x:v>7.119069125326725</x:v>
      </x:c>
      <x:c r="AA1489" s="80" t="n">
        <x:f>K1489*(1+'Inputs'!$E$48)/2*'Inputs'!$B$17</x:f>
        <x:v>2.29814594096798</x:v>
      </x:c>
      <x:c r="AB1489" s="78" t="n">
        <x:f>(IF(J1489&gt;0,K1489*(1-'Inputs'!$E$48)/2/J1489,0)+G1489+R1489)*'Inputs'!$B$17</x:f>
        <x:v>7649.968012310748</x:v>
      </x:c>
      <x:c r="AC1489" s="78" t="n">
        <x:f>AC1488+AB1489</x:f>
        <x:v>152888.10498277543</x:v>
      </x:c>
      <x:c r="AD1489" s="80" t="n">
        <x:f>Z1489/(1+'Inputs'!$C$48)</x:f>
        <x:v>5.69525530026138</x:v>
      </x:c>
      <x:c r="AE1489" s="80" t="n">
        <x:f>Z1489-AD1489</x:f>
        <x:v>1.423813825065345</x:v>
      </x:c>
      <x:c r="AF1489" s="80" t="n">
        <x:f>D1489*W1489</x:f>
        <x:v>93.26910893775882</x:v>
      </x:c>
      <x:c r="AG1489" s="80" t="n">
        <x:f>C1489*W1489</x:f>
        <x:v>54.40698021369252</x:v>
      </x:c>
      <x:c r="AH1489" s="80" t="n">
        <x:f>2*'Inputs'!$B$8*'Inputs'!$C$48</x:f>
        <x:v>1250</x:v>
      </x:c>
      <x:c r="AI1489" s="81" t="n">
        <x:f>IF(AH1489&gt;0,(AE1489+AF1489)/AH1489*365,0)</x:f>
        <x:v>27.650333446744654</x:v>
      </x:c>
      <x:c r="AJ1489" s="81" t="n">
        <x:f>IF('Inputs'!$B$48&gt;0,AG1489/('Inputs'!$B$19*'Inputs'!$B$48)*365,0)</x:f>
        <x:v>7.943419111199107</x:v>
      </x:c>
      <x:c r="AK1489" s="81" t="n">
        <x:f>W1489/MAX($W$1464:W1489)-1</x:f>
        <x:v>-0.636310650244027</x:v>
      </x:c>
      <x:c r="AL1489" s="83" t="n">
        <x:f>'Inputs'!$B$48</x:f>
        <x:v>0.25</x:v>
      </x:c>
      <x:c r="AM1489" s="83" t="n">
        <x:f>'Inputs'!$C$48</x:f>
        <x:v>0.25</x:v>
      </x:c>
      <x:c r="AN1489" s="83" t="n">
        <x:f>'Inputs'!$D$48</x:f>
        <x:v>0.3</x:v>
      </x:c>
      <x:c r="AO1489" s="81" t="n">
        <x:f>'Inputs'!$E$48</x:f>
        <x:v>0</x:v>
      </x:c>
    </x:row>
    <x:row r="1490">
      <x:c r="A1490" s="59" t="str">
        <x:v>Low participation</x:v>
      </x:c>
      <x:c r="B1490" s="59" t="n">
        <x:v>27</x:v>
      </x:c>
      <x:c r="C1490" s="78" t="n">
        <x:f>(('Inputs'!$B$29*(3*27*'Inputs'!$B$12-27^2)/(2*'Inputs'!$B$12^2))-('Inputs'!$B$29*(3*26*'Inputs'!$B$12-26^2)/(2*'Inputs'!$B$12^2)))*'Inputs'!$B$48</x:f>
        <x:v>175842.73550384678</x:v>
      </x:c>
      <x:c r="D1490" s="78" t="n">
        <x:f>IF('Inputs'!$C$48&gt;0,('Inputs'!$B$30*(3*27*'Inputs'!$B$12-27^2)/(2*'Inputs'!$B$12^2))-('Inputs'!$B$30*(3*26*'Inputs'!$B$12-26^2)/(2*'Inputs'!$B$12^2)),0)</x:f>
        <x:v>301444.6894351663</x:v>
      </x:c>
      <x:c r="E1490" s="78" t="n">
        <x:f>C1490+D1490</x:f>
        <x:v>477287.4249390131</x:v>
      </x:c>
      <x:c r="F1490" s="78" t="n">
        <x:f>'Inputs'!$B$13*E1490+(1-'Inputs'!$B$13)/'Inputs'!$B$14*SUM(E1464:E1490)</x:f>
        <x:v>280660.2593960272</x:v>
      </x:c>
      <x:c r="G1490" s="78" t="n">
        <x:f>F1490*'Inputs'!$F$48</x:f>
        <x:v>140330.1296980136</x:v>
      </x:c>
      <x:c r="H1490" s="78" t="n">
        <x:f>U1489</x:f>
        <x:v>6016638.770784002</x:v>
      </x:c>
      <x:c r="I1490" s="78" t="n">
        <x:f>V1489</x:f>
        <x:v>1860.7303343212593</x:v>
      </x:c>
      <x:c r="J1490" s="79" t="n">
        <x:f>IF(H1490&gt;0,I1490/H1490,0)</x:f>
        <x:v>0.0003092640933267788</x:v>
      </x:c>
      <x:c r="K1490" s="80" t="n">
        <x:f>(H1490*J1490+I1490)*'Inputs'!$D$48*(1+'Inputs'!$G$48)^(B1490/30)</x:f>
        <x:v>1116.4382005927555</x:v>
      </x:c>
      <x:c r="L1490" s="80" t="n">
        <x:f>MAX(0,K1490*'Inputs'!$E$48)</x:f>
        <x:v>0</x:v>
      </x:c>
      <x:c r="M1490" s="80" t="n">
        <x:f>MAX(0,-K1490*'Inputs'!$E$48)</x:f>
        <x:v>0</x:v>
      </x:c>
      <x:c r="N1490" s="78" t="n">
        <x:f>H1490*(L1490*(1-'Inputs'!$B$15))/(I1490+L1490*(1-'Inputs'!$B$15))</x:f>
        <x:v>0</x:v>
      </x:c>
      <x:c r="O1490" s="78" t="n">
        <x:f>H1490-N1490</x:f>
        <x:v>6016638.770784002</x:v>
      </x:c>
      <x:c r="P1490" s="78" t="n">
        <x:f>I1490+L1490*(1-'Inputs'!$B$17)</x:f>
        <x:v>1860.7303343212593</x:v>
      </x:c>
      <x:c r="Q1490" s="78" t="n">
        <x:f>IF(J1490&gt;0,M1490/J1490,0)</x:f>
        <x:v>0</x:v>
      </x:c>
      <x:c r="R1490" s="78" t="n">
        <x:f>IF(B1490='Inputs'!$H$48,'Inputs'!$B$27*'Inputs'!$I$48,0)</x:f>
        <x:v>0</x:v>
      </x:c>
      <x:c r="S1490" s="78" t="n">
        <x:f>Q1490+G1490+R1490</x:f>
        <x:v>140330.1296980136</x:v>
      </x:c>
      <x:c r="T1490" s="78" t="n">
        <x:f>P1490*(S1490*(1-'Inputs'!$B$15))/(O1490+S1490*(1-'Inputs'!$B$15))</x:f>
        <x:v>41.99538770102165</x:v>
      </x:c>
      <x:c r="U1490" s="78" t="n">
        <x:f>O1490+S1490*(1-'Inputs'!$B$17)</x:f>
        <x:v>6156404.191710595</x:v>
      </x:c>
      <x:c r="V1490" s="78" t="n">
        <x:f>P1490-T1490</x:f>
        <x:v>1818.7349466202377</x:v>
      </x:c>
      <x:c r="W1490" s="79" t="n">
        <x:f>IF(U1490&gt;0,V1490/U1490,0)</x:f>
        <x:v>0.0002954216276230055</x:v>
      </x:c>
      <x:c r="X1490" s="80" t="n">
        <x:f>W1490*('Inputs'!$B$6-AC1490)</x:f>
        <x:v>295374.148533886</x:v>
      </x:c>
      <x:c r="Y1490" s="80" t="n">
        <x:f>2*V1490</x:f>
        <x:v>3637.4698932404754</x:v>
      </x:c>
      <x:c r="Z1490" s="80" t="n">
        <x:f>K1490*'Inputs'!$B$16+(G1490+R1490)*J1490*'Inputs'!$B$16</x:f>
        <x:v>6.9590236255214455</x:v>
      </x:c>
      <x:c r="AA1490" s="80" t="n">
        <x:f>K1490*(1+'Inputs'!$E$48)/2*'Inputs'!$B$17</x:f>
        <x:v>2.246354528355645</x:v>
      </x:c>
      <x:c r="AB1490" s="78" t="n">
        <x:f>(IF(J1490&gt;0,K1490*(1-'Inputs'!$E$48)/2/J1490,0)+G1490+R1490)*'Inputs'!$B$17</x:f>
        <x:v>7828.256583232251</x:v>
      </x:c>
      <x:c r="AC1490" s="78" t="n">
        <x:f>AC1489+AB1490</x:f>
        <x:v>160716.3615660077</x:v>
      </x:c>
      <x:c r="AD1490" s="80" t="n">
        <x:f>Z1490/(1+'Inputs'!$C$48)</x:f>
        <x:v>5.567218900417156</x:v>
      </x:c>
      <x:c r="AE1490" s="80" t="n">
        <x:f>Z1490-AD1490</x:f>
        <x:v>1.391804725104289</x:v>
      </x:c>
      <x:c r="AF1490" s="80" t="n">
        <x:f>D1490*W1490</x:f>
        <x:v>89.05328079124824</x:v>
      </x:c>
      <x:c r="AG1490" s="80" t="n">
        <x:f>C1490*W1490</x:f>
        <x:v>51.94774712822807</x:v>
      </x:c>
      <x:c r="AH1490" s="80" t="n">
        <x:f>2*'Inputs'!$B$8*'Inputs'!$C$48</x:f>
        <x:v>1250</x:v>
      </x:c>
      <x:c r="AI1490" s="81" t="n">
        <x:f>IF(AH1490&gt;0,(AE1490+AF1490)/AH1490*365,0)</x:f>
        <x:v>26.40996497077494</x:v>
      </x:c>
      <x:c r="AJ1490" s="81" t="n">
        <x:f>IF('Inputs'!$B$48&gt;0,AG1490/('Inputs'!$B$19*'Inputs'!$B$48)*365,0)</x:f>
        <x:v>7.584371080721298</x:v>
      </x:c>
      <x:c r="AK1490" s="81" t="n">
        <x:f>W1490/MAX($W$1464:W1490)-1</x:f>
        <x:v>-0.652589156088885</x:v>
      </x:c>
      <x:c r="AL1490" s="83" t="n">
        <x:f>'Inputs'!$B$48</x:f>
        <x:v>0.25</x:v>
      </x:c>
      <x:c r="AM1490" s="83" t="n">
        <x:f>'Inputs'!$C$48</x:f>
        <x:v>0.25</x:v>
      </x:c>
      <x:c r="AN1490" s="83" t="n">
        <x:f>'Inputs'!$D$48</x:f>
        <x:v>0.3</x:v>
      </x:c>
      <x:c r="AO1490" s="81" t="n">
        <x:f>'Inputs'!$E$48</x:f>
        <x:v>0</x:v>
      </x:c>
    </x:row>
    <x:row r="1491">
      <x:c r="A1491" s="59" t="str">
        <x:v>Low participation</x:v>
      </x:c>
      <x:c r="B1491" s="59" t="n">
        <x:v>28</x:v>
      </x:c>
      <x:c r="C1491" s="78" t="n">
        <x:f>(('Inputs'!$B$29*(3*28*'Inputs'!$B$12-28^2)/(2*'Inputs'!$B$12^2))-('Inputs'!$B$29*(3*27*'Inputs'!$B$12-27^2)/(2*'Inputs'!$B$12^2)))*'Inputs'!$B$48</x:f>
        <x:v>175761.4585288046</x:v>
      </x:c>
      <x:c r="D1491" s="78" t="n">
        <x:f>IF('Inputs'!$C$48&gt;0,('Inputs'!$B$30*(3*28*'Inputs'!$B$12-28^2)/(2*'Inputs'!$B$12^2))-('Inputs'!$B$30*(3*27*'Inputs'!$B$12-27^2)/(2*'Inputs'!$B$12^2)),0)</x:f>
        <x:v>301305.35747795086</x:v>
      </x:c>
      <x:c r="E1491" s="78" t="n">
        <x:f>C1491+D1491</x:f>
        <x:v>477066.81600675546</x:v>
      </x:c>
      <x:c r="F1491" s="78" t="n">
        <x:f>'Inputs'!$B$13*E1491+(1-'Inputs'!$B$13)/'Inputs'!$B$14*SUM(E1464:E1491)</x:f>
        <x:v>287431.3778382436</x:v>
      </x:c>
      <x:c r="G1491" s="78" t="n">
        <x:f>F1491*'Inputs'!$F$48</x:f>
        <x:v>143715.6889191218</x:v>
      </x:c>
      <x:c r="H1491" s="78" t="n">
        <x:f>U1490</x:f>
        <x:v>6156404.191710595</x:v>
      </x:c>
      <x:c r="I1491" s="78" t="n">
        <x:f>V1490</x:f>
        <x:v>1818.7349466202377</x:v>
      </x:c>
      <x:c r="J1491" s="79" t="n">
        <x:f>IF(H1491&gt;0,I1491/H1491,0)</x:f>
        <x:v>0.0002954216276230055</x:v>
      </x:c>
      <x:c r="K1491" s="80" t="n">
        <x:f>(H1491*J1491+I1491)*'Inputs'!$D$48*(1+'Inputs'!$G$48)^(B1491/30)</x:f>
        <x:v>1091.2409679721425</x:v>
      </x:c>
      <x:c r="L1491" s="80" t="n">
        <x:f>MAX(0,K1491*'Inputs'!$E$48)</x:f>
        <x:v>0</x:v>
      </x:c>
      <x:c r="M1491" s="80" t="n">
        <x:f>MAX(0,-K1491*'Inputs'!$E$48)</x:f>
        <x:v>0</x:v>
      </x:c>
      <x:c r="N1491" s="78" t="n">
        <x:f>H1491*(L1491*(1-'Inputs'!$B$15))/(I1491+L1491*(1-'Inputs'!$B$15))</x:f>
        <x:v>0</x:v>
      </x:c>
      <x:c r="O1491" s="78" t="n">
        <x:f>H1491-N1491</x:f>
        <x:v>6156404.191710595</x:v>
      </x:c>
      <x:c r="P1491" s="78" t="n">
        <x:f>I1491+L1491*(1-'Inputs'!$B$17)</x:f>
        <x:v>1818.7349466202377</x:v>
      </x:c>
      <x:c r="Q1491" s="78" t="n">
        <x:f>IF(J1491&gt;0,M1491/J1491,0)</x:f>
        <x:v>0</x:v>
      </x:c>
      <x:c r="R1491" s="78" t="n">
        <x:f>IF(B1491='Inputs'!$H$48,'Inputs'!$B$27*'Inputs'!$I$48,0)</x:f>
        <x:v>0</x:v>
      </x:c>
      <x:c r="S1491" s="78" t="n">
        <x:f>Q1491+G1491+R1491</x:f>
        <x:v>143715.6889191218</x:v>
      </x:c>
      <x:c r="T1491" s="78" t="n">
        <x:f>P1491*(S1491*(1-'Inputs'!$B$15))/(O1491+S1491*(1-'Inputs'!$B$15))</x:f>
        <x:v>41.08270724310918</x:v>
      </x:c>
      <x:c r="U1491" s="78" t="n">
        <x:f>O1491+S1491*(1-'Inputs'!$B$17)</x:f>
        <x:v>6299541.547877527</x:v>
      </x:c>
      <x:c r="V1491" s="78" t="n">
        <x:f>P1491-T1491</x:f>
        <x:v>1777.6522393771286</x:v>
      </x:c>
      <x:c r="W1491" s="79" t="n">
        <x:f>IF(U1491&gt;0,V1491/U1491,0)</x:f>
        <x:v>0.00028218755696215135</x:v>
      </x:c>
      <x:c r="X1491" s="80" t="n">
        <x:f>W1491*('Inputs'!$B$6-AC1491)</x:f>
        <x:v>282139.9443098411</x:v>
      </x:c>
      <x:c r="Y1491" s="80" t="n">
        <x:f>2*V1491</x:f>
        <x:v>3555.304478754257</x:v>
      </x:c>
      <x:c r="Z1491" s="80" t="n">
        <x:f>K1491*'Inputs'!$B$16+(G1491+R1491)*J1491*'Inputs'!$B$16</x:f>
        <x:v>6.802186144245546</x:v>
      </x:c>
      <x:c r="AA1491" s="80" t="n">
        <x:f>K1491*(1+'Inputs'!$E$48)/2*'Inputs'!$B$17</x:f>
        <x:v>2.1956558711713132</x:v>
      </x:c>
      <x:c r="AB1491" s="78" t="n">
        <x:f>(IF(J1491&gt;0,K1491*(1-'Inputs'!$E$48)/2/J1491,0)+G1491+R1491)*'Inputs'!$B$17</x:f>
        <x:v>8010.611454455937</x:v>
      </x:c>
      <x:c r="AC1491" s="78" t="n">
        <x:f>AC1490+AB1491</x:f>
        <x:v>168726.97302046363</x:v>
      </x:c>
      <x:c r="AD1491" s="80" t="n">
        <x:f>Z1491/(1+'Inputs'!$C$48)</x:f>
        <x:v>5.4417489153964365</x:v>
      </x:c>
      <x:c r="AE1491" s="80" t="n">
        <x:f>Z1491-AD1491</x:f>
        <x:v>1.3604372288491096</x:v>
      </x:c>
      <x:c r="AF1491" s="80" t="n">
        <x:f>D1491*W1491</x:f>
        <x:v>85.02462272631064</x:v>
      </x:c>
      <x:c r="AG1491" s="80" t="n">
        <x:f>C1491*W1491</x:f>
        <x:v>49.59769659034785</x:v>
      </x:c>
      <x:c r="AH1491" s="80" t="n">
        <x:f>2*'Inputs'!$B$8*'Inputs'!$C$48</x:f>
        <x:v>1250</x:v>
      </x:c>
      <x:c r="AI1491" s="81" t="n">
        <x:f>IF(AH1491&gt;0,(AE1491+AF1491)/AH1491*365,0)</x:f>
        <x:v>25.224437506906646</x:v>
      </x:c>
      <x:c r="AJ1491" s="81" t="n">
        <x:f>IF('Inputs'!$B$48&gt;0,AG1491/('Inputs'!$B$19*'Inputs'!$B$48)*365,0)</x:f>
        <x:v>7.241263702190786</x:v>
      </x:c>
      <x:c r="AK1491" s="81" t="n">
        <x:f>W1491/MAX($W$1464:W1491)-1</x:f>
        <x:v>-0.6681521996400966</x:v>
      </x:c>
      <x:c r="AL1491" s="83" t="n">
        <x:f>'Inputs'!$B$48</x:f>
        <x:v>0.25</x:v>
      </x:c>
      <x:c r="AM1491" s="83" t="n">
        <x:f>'Inputs'!$C$48</x:f>
        <x:v>0.25</x:v>
      </x:c>
      <x:c r="AN1491" s="83" t="n">
        <x:f>'Inputs'!$D$48</x:f>
        <x:v>0.3</x:v>
      </x:c>
      <x:c r="AO1491" s="81" t="n">
        <x:f>'Inputs'!$E$48</x:f>
        <x:v>0</x:v>
      </x:c>
    </x:row>
    <x:row r="1492">
      <x:c r="A1492" s="59" t="str">
        <x:v>Low participation</x:v>
      </x:c>
      <x:c r="B1492" s="59" t="n">
        <x:v>29</x:v>
      </x:c>
      <x:c r="C1492" s="78" t="n">
        <x:f>(('Inputs'!$B$29*(3*29*'Inputs'!$B$12-29^2)/(2*'Inputs'!$B$12^2))-('Inputs'!$B$29*(3*28*'Inputs'!$B$12-28^2)/(2*'Inputs'!$B$12^2)))*'Inputs'!$B$48</x:f>
        <x:v>175680.1815537624</x:v>
      </x:c>
      <x:c r="D1492" s="78" t="n">
        <x:f>IF('Inputs'!$C$48&gt;0,('Inputs'!$B$30*(3*29*'Inputs'!$B$12-29^2)/(2*'Inputs'!$B$12^2))-('Inputs'!$B$30*(3*28*'Inputs'!$B$12-28^2)/(2*'Inputs'!$B$12^2)),0)</x:f>
        <x:v>301166.0255207345</x:v>
      </x:c>
      <x:c r="E1492" s="78" t="n">
        <x:f>C1492+D1492</x:f>
        <x:v>476846.2070744969</x:v>
      </x:c>
      <x:c r="F1492" s="78" t="n">
        <x:f>'Inputs'!$B$13*E1492+(1-'Inputs'!$B$13)/'Inputs'!$B$14*SUM(E1464:E1492)</x:f>
        <x:v>294199.3447242847</x:v>
      </x:c>
      <x:c r="G1492" s="78" t="n">
        <x:f>F1492*'Inputs'!$F$48</x:f>
        <x:v>147099.67236214236</x:v>
      </x:c>
      <x:c r="H1492" s="78" t="n">
        <x:f>U1491</x:f>
        <x:v>6299541.547877527</x:v>
      </x:c>
      <x:c r="I1492" s="78" t="n">
        <x:f>V1491</x:f>
        <x:v>1777.6522393771286</x:v>
      </x:c>
      <x:c r="J1492" s="79" t="n">
        <x:f>IF(H1492&gt;0,I1492/H1492,0)</x:f>
        <x:v>0.00028218755696215135</x:v>
      </x:c>
      <x:c r="K1492" s="80" t="n">
        <x:f>(H1492*J1492+I1492)*'Inputs'!$D$48*(1+'Inputs'!$G$48)^(B1492/30)</x:f>
        <x:v>1066.5913436262772</x:v>
      </x:c>
      <x:c r="L1492" s="80" t="n">
        <x:f>MAX(0,K1492*'Inputs'!$E$48)</x:f>
        <x:v>0</x:v>
      </x:c>
      <x:c r="M1492" s="80" t="n">
        <x:f>MAX(0,-K1492*'Inputs'!$E$48)</x:f>
        <x:v>0</x:v>
      </x:c>
      <x:c r="N1492" s="78" t="n">
        <x:f>H1492*(L1492*(1-'Inputs'!$B$15))/(I1492+L1492*(1-'Inputs'!$B$15))</x:f>
        <x:v>0</x:v>
      </x:c>
      <x:c r="O1492" s="78" t="n">
        <x:f>H1492-N1492</x:f>
        <x:v>6299541.547877527</x:v>
      </x:c>
      <x:c r="P1492" s="78" t="n">
        <x:f>I1492+L1492*(1-'Inputs'!$B$17)</x:f>
        <x:v>1777.6522393771286</x:v>
      </x:c>
      <x:c r="Q1492" s="78" t="n">
        <x:f>IF(J1492&gt;0,M1492/J1492,0)</x:f>
        <x:v>0</x:v>
      </x:c>
      <x:c r="R1492" s="78" t="n">
        <x:f>IF(B1492='Inputs'!$H$48,'Inputs'!$B$27*'Inputs'!$I$48,0)</x:f>
        <x:v>0</x:v>
      </x:c>
      <x:c r="S1492" s="78" t="n">
        <x:f>Q1492+G1492+R1492</x:f>
        <x:v>147099.67236214236</x:v>
      </x:c>
      <x:c r="T1492" s="78" t="n">
        <x:f>P1492*(S1492*(1-'Inputs'!$B$15))/(O1492+S1492*(1-'Inputs'!$B$15))</x:f>
        <x:v>40.16606736340261</x:v>
      </x:c>
      <x:c r="U1492" s="78" t="n">
        <x:f>O1492+S1492*(1-'Inputs'!$B$17)</x:f>
        <x:v>6446049.26984787</x:v>
      </x:c>
      <x:c r="V1492" s="78" t="n">
        <x:f>P1492-T1492</x:f>
        <x:v>1737.486172013726</x:v>
      </x:c>
      <x:c r="W1492" s="79" t="n">
        <x:f>IF(U1492&gt;0,V1492/U1492,0)</x:f>
        <x:v>0.00026954280044693665</x:v>
      </x:c>
      <x:c r="X1492" s="80" t="n">
        <x:f>W1492*('Inputs'!$B$6-AC1492)</x:f>
        <x:v>269495.1118554991</x:v>
      </x:c>
      <x:c r="Y1492" s="80" t="n">
        <x:f>2*V1492</x:f>
        <x:v>3474.972344027452</x:v>
      </x:c>
      <x:c r="Z1492" s="80" t="n">
        <x:f>K1492*'Inputs'!$B$16+(G1492+R1492)*J1492*'Inputs'!$B$16</x:f>
        <x:v>6.648606244800498</x:v>
      </x:c>
      <x:c r="AA1492" s="80" t="n">
        <x:f>K1492*(1+'Inputs'!$E$48)/2*'Inputs'!$B$17</x:f>
        <x:v>2.146059041501564</x:v>
      </x:c>
      <x:c r="AB1492" s="78" t="n">
        <x:f>(IF(J1492&gt;0,K1492*(1-'Inputs'!$E$48)/2/J1492,0)+G1492+R1492)*'Inputs'!$B$17</x:f>
        <x:v>8197.030731289338</x:v>
      </x:c>
      <x:c r="AC1492" s="78" t="n">
        <x:f>AC1491+AB1492</x:f>
        <x:v>176924.00375175296</x:v>
      </x:c>
      <x:c r="AD1492" s="80" t="n">
        <x:f>Z1492/(1+'Inputs'!$C$48)</x:f>
        <x:v>5.318884995840398</x:v>
      </x:c>
      <x:c r="AE1492" s="80" t="n">
        <x:f>Z1492-AD1492</x:f>
        <x:v>1.3297212489600998</x:v>
      </x:c>
      <x:c r="AF1492" s="80" t="n">
        <x:f>D1492*W1492</x:f>
        <x:v>81.17713391833237</x:v>
      </x:c>
      <x:c r="AG1492" s="80" t="n">
        <x:f>C1492*W1492</x:f>
        <x:v>47.35332811902738</x:v>
      </x:c>
      <x:c r="AH1492" s="80" t="n">
        <x:f>2*'Inputs'!$B$8*'Inputs'!$C$48</x:f>
        <x:v>1250</x:v>
      </x:c>
      <x:c r="AI1492" s="81" t="n">
        <x:f>IF(AH1492&gt;0,(AE1492+AF1492)/AH1492*365,0)</x:f>
        <x:v>24.092001708849402</x:v>
      </x:c>
      <x:c r="AJ1492" s="81" t="n">
        <x:f>IF('Inputs'!$B$48&gt;0,AG1492/('Inputs'!$B$19*'Inputs'!$B$48)*365,0)</x:f>
        <x:v>6.913585905377997</x:v>
      </x:c>
      <x:c r="AK1492" s="81" t="n">
        <x:f>W1492/MAX($W$1464:W1492)-1</x:f>
        <x:v>-0.6830222197105541</x:v>
      </x:c>
      <x:c r="AL1492" s="83" t="n">
        <x:f>'Inputs'!$B$48</x:f>
        <x:v>0.25</x:v>
      </x:c>
      <x:c r="AM1492" s="83" t="n">
        <x:f>'Inputs'!$C$48</x:f>
        <x:v>0.25</x:v>
      </x:c>
      <x:c r="AN1492" s="83" t="n">
        <x:f>'Inputs'!$D$48</x:f>
        <x:v>0.3</x:v>
      </x:c>
      <x:c r="AO1492" s="81" t="n">
        <x:f>'Inputs'!$E$48</x:f>
        <x:v>0</x:v>
      </x:c>
    </x:row>
    <x:row r="1493">
      <x:c r="A1493" s="59" t="str">
        <x:v>Low participation</x:v>
      </x:c>
      <x:c r="B1493" s="59" t="n">
        <x:v>30</x:v>
      </x:c>
      <x:c r="C1493" s="78" t="n">
        <x:f>(('Inputs'!$B$29*(3*30*'Inputs'!$B$12-30^2)/(2*'Inputs'!$B$12^2))-('Inputs'!$B$29*(3*29*'Inputs'!$B$12-29^2)/(2*'Inputs'!$B$12^2)))*'Inputs'!$B$48</x:f>
        <x:v>175598.90457872022</x:v>
      </x:c>
      <x:c r="D1493" s="78" t="n">
        <x:f>IF('Inputs'!$C$48&gt;0,('Inputs'!$B$30*(3*30*'Inputs'!$B$12-30^2)/(2*'Inputs'!$B$12^2))-('Inputs'!$B$30*(3*29*'Inputs'!$B$12-29^2)/(2*'Inputs'!$B$12^2)),0)</x:f>
        <x:v>301026.6935635209</x:v>
      </x:c>
      <x:c r="E1493" s="78" t="n">
        <x:f>C1493+D1493</x:f>
        <x:v>476625.5981422411</x:v>
      </x:c>
      <x:c r="F1493" s="78" t="n">
        <x:f>'Inputs'!$B$13*E1493+(1-'Inputs'!$B$13)/'Inputs'!$B$14*SUM(E1464:E1493)</x:f>
        <x:v>300964.16005415126</x:v>
      </x:c>
      <x:c r="G1493" s="78" t="n">
        <x:f>F1493*'Inputs'!$F$48</x:f>
        <x:v>150482.08002707563</x:v>
      </x:c>
      <x:c r="H1493" s="78" t="n">
        <x:f>U1492</x:f>
        <x:v>6446049.26984787</x:v>
      </x:c>
      <x:c r="I1493" s="78" t="n">
        <x:f>V1492</x:f>
        <x:v>1737.486172013726</x:v>
      </x:c>
      <x:c r="J1493" s="79" t="n">
        <x:f>IF(H1493&gt;0,I1493/H1493,0)</x:f>
        <x:v>0.00026954280044693665</x:v>
      </x:c>
      <x:c r="K1493" s="80" t="n">
        <x:f>(H1493*J1493+I1493)*'Inputs'!$D$48*(1+'Inputs'!$G$48)^(B1493/30)</x:f>
        <x:v>1042.4917032082355</x:v>
      </x:c>
      <x:c r="L1493" s="80" t="n">
        <x:f>MAX(0,K1493*'Inputs'!$E$48)</x:f>
        <x:v>0</x:v>
      </x:c>
      <x:c r="M1493" s="80" t="n">
        <x:f>MAX(0,-K1493*'Inputs'!$E$48)</x:f>
        <x:v>0</x:v>
      </x:c>
      <x:c r="N1493" s="78" t="n">
        <x:f>H1493*(L1493*(1-'Inputs'!$B$15))/(I1493+L1493*(1-'Inputs'!$B$15))</x:f>
        <x:v>0</x:v>
      </x:c>
      <x:c r="O1493" s="78" t="n">
        <x:f>H1493-N1493</x:f>
        <x:v>6446049.26984787</x:v>
      </x:c>
      <x:c r="P1493" s="78" t="n">
        <x:f>I1493+L1493*(1-'Inputs'!$B$17)</x:f>
        <x:v>1737.486172013726</x:v>
      </x:c>
      <x:c r="Q1493" s="78" t="n">
        <x:f>IF(J1493&gt;0,M1493/J1493,0)</x:f>
        <x:v>0</x:v>
      </x:c>
      <x:c r="R1493" s="78" t="n">
        <x:f>IF(B1493='Inputs'!$H$48,'Inputs'!$B$27*'Inputs'!$I$48,0)</x:f>
        <x:v>0</x:v>
      </x:c>
      <x:c r="S1493" s="78" t="n">
        <x:f>Q1493+G1493+R1493</x:f>
        <x:v>150482.08002707563</x:v>
      </x:c>
      <x:c r="T1493" s="78" t="n">
        <x:f>P1493*(S1493*(1-'Inputs'!$B$15))/(O1493+S1493*(1-'Inputs'!$B$15))</x:f>
        <x:v>39.248656045572496</x:v>
      </x:c>
      <x:c r="U1493" s="78" t="n">
        <x:f>O1493+S1493*(1-'Inputs'!$B$17)</x:f>
        <x:v>6595925.788184696</x:v>
      </x:c>
      <x:c r="V1493" s="78" t="n">
        <x:f>P1493-T1493</x:f>
        <x:v>1698.2375159681535</x:v>
      </x:c>
      <x:c r="W1493" s="79" t="n">
        <x:f>IF(U1493&gt;0,V1493/U1493,0)</x:f>
        <x:v>0.0002574676505624445</x:v>
      </x:c>
      <x:c r="X1493" s="80" t="n">
        <x:f>W1493*('Inputs'!$B$6-AC1493)</x:f>
        <x:v>257419.93884172812</x:v>
      </x:c>
      <x:c r="Y1493" s="80" t="n">
        <x:f>2*V1493</x:f>
        <x:v>3396.475031936307</x:v>
      </x:c>
      <x:c r="Z1493" s="80" t="n">
        <x:f>K1493*'Inputs'!$B$16+(G1493+R1493)*J1493*'Inputs'!$B$16</x:f>
        <x:v>6.498318386854882</x:v>
      </x:c>
      <x:c r="AA1493" s="80" t="n">
        <x:f>K1493*(1+'Inputs'!$E$48)/2*'Inputs'!$B$17</x:f>
        <x:v>2.097568819332466</x:v>
      </x:c>
      <x:c r="AB1493" s="78" t="n">
        <x:f>(IF(J1493&gt;0,K1493*(1-'Inputs'!$E$48)/2/J1493,0)+G1493+R1493)*'Inputs'!$B$17</x:f>
        <x:v>8387.512519039987</x:v>
      </x:c>
      <x:c r="AC1493" s="78" t="n">
        <x:f>AC1492+AB1493</x:f>
        <x:v>185311.51627079296</x:v>
      </x:c>
      <x:c r="AD1493" s="80" t="n">
        <x:f>Z1493/(1+'Inputs'!$C$48)</x:f>
        <x:v>5.198654709483906</x:v>
      </x:c>
      <x:c r="AE1493" s="80" t="n">
        <x:f>Z1493-AD1493</x:f>
        <x:v>1.299663677370976</x:v>
      </x:c>
      <x:c r="AF1493" s="80" t="n">
        <x:f>D1493*W1493</x:f>
        <x:v>77.50463554838066</x:v>
      </x:c>
      <x:c r="AG1493" s="80" t="n">
        <x:f>C1493*W1493</x:f>
        <x:v>45.21103740322197</x:v>
      </x:c>
      <x:c r="AH1493" s="80" t="n">
        <x:f>2*'Inputs'!$B$8*'Inputs'!$C$48</x:f>
        <x:v>1250</x:v>
      </x:c>
      <x:c r="AI1493" s="81" t="n">
        <x:f>IF(AH1493&gt;0,(AE1493+AF1493)/AH1493*365,0)</x:f>
        <x:v>23.010855373919476</x:v>
      </x:c>
      <x:c r="AJ1493" s="81" t="n">
        <x:f>IF('Inputs'!$B$48&gt;0,AG1493/('Inputs'!$B$19*'Inputs'!$B$48)*365,0)</x:f>
        <x:v>6.600811460870408</x:v>
      </x:c>
      <x:c r="AK1493" s="81" t="n">
        <x:f>W1493/MAX($W$1464:W1493)-1</x:f>
        <x:v>-0.6972223920049063</x:v>
      </x:c>
      <x:c r="AL1493" s="83" t="n">
        <x:f>'Inputs'!$B$48</x:f>
        <x:v>0.25</x:v>
      </x:c>
      <x:c r="AM1493" s="83" t="n">
        <x:f>'Inputs'!$C$48</x:f>
        <x:v>0.25</x:v>
      </x:c>
      <x:c r="AN1493" s="83" t="n">
        <x:f>'Inputs'!$D$48</x:f>
        <x:v>0.3</x:v>
      </x:c>
      <x:c r="AO1493" s="81" t="n">
        <x:f>'Inputs'!$E$48</x:f>
        <x:v>0</x:v>
      </x:c>
    </x:row>
    <x:row r="1494">
      <x:c r="A1494" s="59" t="str">
        <x:v>Low participation</x:v>
      </x:c>
      <x:c r="B1494" s="59" t="n">
        <x:v>31</x:v>
      </x:c>
      <x:c r="C1494" s="78" t="n">
        <x:f>(('Inputs'!$B$29*(3*31*'Inputs'!$B$12-31^2)/(2*'Inputs'!$B$12^2))-('Inputs'!$B$29*(3*30*'Inputs'!$B$12-30^2)/(2*'Inputs'!$B$12^2)))*'Inputs'!$B$48</x:f>
        <x:v>175517.62760367803</x:v>
      </x:c>
      <x:c r="D1494" s="78" t="n">
        <x:f>IF('Inputs'!$C$48&gt;0,('Inputs'!$B$30*(3*31*'Inputs'!$B$12-31^2)/(2*'Inputs'!$B$12^2))-('Inputs'!$B$30*(3*30*'Inputs'!$B$12-30^2)/(2*'Inputs'!$B$12^2)),0)</x:f>
        <x:v>300887.36160630547</x:v>
      </x:c>
      <x:c r="E1494" s="78" t="n">
        <x:f>C1494+D1494</x:f>
        <x:v>476404.9892099835</x:v>
      </x:c>
      <x:c r="F1494" s="78" t="n">
        <x:f>'Inputs'!$B$13*E1494+(1-'Inputs'!$B$13)/'Inputs'!$B$14*SUM(E1464:E1494)</x:f>
        <x:v>307725.82382784237</x:v>
      </x:c>
      <x:c r="G1494" s="78" t="n">
        <x:f>F1494*'Inputs'!$F$48</x:f>
        <x:v>153862.91191392118</x:v>
      </x:c>
      <x:c r="H1494" s="78" t="n">
        <x:f>U1493</x:f>
        <x:v>6595925.788184696</x:v>
      </x:c>
      <x:c r="I1494" s="78" t="n">
        <x:f>V1493</x:f>
        <x:v>1698.2375159681535</x:v>
      </x:c>
      <x:c r="J1494" s="79" t="n">
        <x:f>IF(H1494&gt;0,I1494/H1494,0)</x:f>
        <x:v>0.0002574676505624445</x:v>
      </x:c>
      <x:c r="K1494" s="80" t="n">
        <x:f>(H1494*J1494+I1494)*'Inputs'!$D$48*(1+'Inputs'!$G$48)^(B1494/30)</x:f>
        <x:v>1018.9425095808922</x:v>
      </x:c>
      <x:c r="L1494" s="80" t="n">
        <x:f>MAX(0,K1494*'Inputs'!$E$48)</x:f>
        <x:v>0</x:v>
      </x:c>
      <x:c r="M1494" s="80" t="n">
        <x:f>MAX(0,-K1494*'Inputs'!$E$48)</x:f>
        <x:v>0</x:v>
      </x:c>
      <x:c r="N1494" s="78" t="n">
        <x:f>H1494*(L1494*(1-'Inputs'!$B$15))/(I1494+L1494*(1-'Inputs'!$B$15))</x:f>
        <x:v>0</x:v>
      </x:c>
      <x:c r="O1494" s="78" t="n">
        <x:f>H1494-N1494</x:f>
        <x:v>6595925.788184696</x:v>
      </x:c>
      <x:c r="P1494" s="78" t="n">
        <x:f>I1494+L1494*(1-'Inputs'!$B$17)</x:f>
        <x:v>1698.2375159681535</x:v>
      </x:c>
      <x:c r="Q1494" s="78" t="n">
        <x:f>IF(J1494&gt;0,M1494/J1494,0)</x:f>
        <x:v>0</x:v>
      </x:c>
      <x:c r="R1494" s="78" t="n">
        <x:f>IF(B1494='Inputs'!$H$48,'Inputs'!$B$27*'Inputs'!$I$48,0)</x:f>
        <x:v>0</x:v>
      </x:c>
      <x:c r="S1494" s="78" t="n">
        <x:f>Q1494+G1494+R1494</x:f>
        <x:v>153862.91191392118</x:v>
      </x:c>
      <x:c r="T1494" s="78" t="n">
        <x:f>P1494*(S1494*(1-'Inputs'!$B$15))/(O1494+S1494*(1-'Inputs'!$B$15))</x:f>
        <x:v>38.33331736585962</x:v>
      </x:c>
      <x:c r="U1494" s="78" t="n">
        <x:f>O1494+S1494*(1-'Inputs'!$B$17)</x:f>
        <x:v>6749169.533451077</x:v>
      </x:c>
      <x:c r="V1494" s="78" t="n">
        <x:f>P1494-T1494</x:f>
        <x:v>1659.904198602294</x:v>
      </x:c>
      <x:c r="W1494" s="79" t="n">
        <x:f>IF(U1494&gt;0,V1494/U1494,0)</x:f>
        <x:v>0.00024594199188141143</x:v>
      </x:c>
      <x:c r="X1494" s="80" t="n">
        <x:f>W1494*('Inputs'!$B$6-AC1494)</x:f>
        <x:v>245894.30531029904</x:v>
      </x:c>
      <x:c r="Y1494" s="80" t="n">
        <x:f>2*V1494</x:f>
        <x:v>3319.808397204588</x:v>
      </x:c>
      <x:c r="Z1494" s="80" t="n">
        <x:f>K1494*'Inputs'!$B$16+(G1494+R1494)*J1494*'Inputs'!$B$16</x:f>
        <x:v>6.351343392120395</x:v>
      </x:c>
      <x:c r="AA1494" s="80" t="n">
        <x:f>K1494*(1+'Inputs'!$E$48)/2*'Inputs'!$B$17</x:f>
        <x:v>2.0501861359776505</x:v>
      </x:c>
      <x:c r="AB1494" s="78" t="n">
        <x:f>(IF(J1494&gt;0,K1494*(1-'Inputs'!$E$48)/2/J1494,0)+G1494+R1494)*'Inputs'!$B$17</x:f>
        <x:v>8582.054923015414</x:v>
      </x:c>
      <x:c r="AC1494" s="78" t="n">
        <x:f>AC1493+AB1494</x:f>
        <x:v>193893.57119380837</x:v>
      </x:c>
      <x:c r="AD1494" s="80" t="n">
        <x:f>Z1494/(1+'Inputs'!$C$48)</x:f>
        <x:v>5.0810747136963155</x:v>
      </x:c>
      <x:c r="AE1494" s="80" t="n">
        <x:f>Z1494-AD1494</x:f>
        <x:v>1.2702686784240793</x:v>
      </x:c>
      <x:c r="AF1494" s="80" t="n">
        <x:f>D1494*W1494</x:f>
        <x:v>74.00083704539729</x:v>
      </x:c>
      <x:c r="AG1494" s="80" t="n">
        <x:f>C1494*W1494</x:f>
        <x:v>43.167154943148375</x:v>
      </x:c>
      <x:c r="AH1494" s="80" t="n">
        <x:f>2*'Inputs'!$B$8*'Inputs'!$C$48</x:f>
        <x:v>1250</x:v>
      </x:c>
      <x:c r="AI1494" s="81" t="n">
        <x:f>IF(AH1494&gt;0,(AE1494+AF1494)/AH1494*365,0)</x:f>
        <x:v>21.97916287135584</x:v>
      </x:c>
      <x:c r="AJ1494" s="81" t="n">
        <x:f>IF('Inputs'!$B$48&gt;0,AG1494/('Inputs'!$B$19*'Inputs'!$B$48)*365,0)</x:f>
        <x:v>6.302404621699663</x:v>
      </x:c>
      <x:c r="AK1494" s="81" t="n">
        <x:f>W1494/MAX($W$1464:W1494)-1</x:f>
        <x:v>-0.7107763719258311</x:v>
      </x:c>
      <x:c r="AL1494" s="83" t="n">
        <x:f>'Inputs'!$B$48</x:f>
        <x:v>0.25</x:v>
      </x:c>
      <x:c r="AM1494" s="83" t="n">
        <x:f>'Inputs'!$C$48</x:f>
        <x:v>0.25</x:v>
      </x:c>
      <x:c r="AN1494" s="83" t="n">
        <x:f>'Inputs'!$D$48</x:f>
        <x:v>0.3</x:v>
      </x:c>
      <x:c r="AO1494" s="81" t="n">
        <x:f>'Inputs'!$E$48</x:f>
        <x:v>0</x:v>
      </x:c>
    </x:row>
    <x:row r="1495">
      <x:c r="A1495" s="59" t="str">
        <x:v>Low participation</x:v>
      </x:c>
      <x:c r="B1495" s="59" t="n">
        <x:v>32</x:v>
      </x:c>
      <x:c r="C1495" s="78" t="n">
        <x:f>(('Inputs'!$B$29*(3*32*'Inputs'!$B$12-32^2)/(2*'Inputs'!$B$12^2))-('Inputs'!$B$29*(3*31*'Inputs'!$B$12-31^2)/(2*'Inputs'!$B$12^2)))*'Inputs'!$B$48</x:f>
        <x:v>175436.35062863585</x:v>
      </x:c>
      <x:c r="D1495" s="78" t="n">
        <x:f>IF('Inputs'!$C$48&gt;0,('Inputs'!$B$30*(3*32*'Inputs'!$B$12-32^2)/(2*'Inputs'!$B$12^2))-('Inputs'!$B$30*(3*31*'Inputs'!$B$12-31^2)/(2*'Inputs'!$B$12^2)),0)</x:f>
        <x:v>300748.02964909</x:v>
      </x:c>
      <x:c r="E1495" s="78" t="n">
        <x:f>C1495+D1495</x:f>
        <x:v>476184.38027772587</x:v>
      </x:c>
      <x:c r="F1495" s="78" t="n">
        <x:f>'Inputs'!$B$13*E1495+(1-'Inputs'!$B$13)/'Inputs'!$B$14*SUM(E1464:E1495)</x:f>
        <x:v>314484.3360453584</x:v>
      </x:c>
      <x:c r="G1495" s="78" t="n">
        <x:f>F1495*'Inputs'!$F$48</x:f>
        <x:v>157242.1680226792</x:v>
      </x:c>
      <x:c r="H1495" s="78" t="n">
        <x:f>U1494</x:f>
        <x:v>6749169.533451077</x:v>
      </x:c>
      <x:c r="I1495" s="78" t="n">
        <x:f>V1494</x:f>
        <x:v>1659.904198602294</x:v>
      </x:c>
      <x:c r="J1495" s="79" t="n">
        <x:f>IF(H1495&gt;0,I1495/H1495,0)</x:f>
        <x:v>0.00024594199188141143</x:v>
      </x:c>
      <x:c r="K1495" s="80" t="n">
        <x:f>(H1495*J1495+I1495)*'Inputs'!$D$48*(1+'Inputs'!$G$48)^(B1495/30)</x:f>
        <x:v>995.9425191613764</x:v>
      </x:c>
      <x:c r="L1495" s="80" t="n">
        <x:f>MAX(0,K1495*'Inputs'!$E$48)</x:f>
        <x:v>0</x:v>
      </x:c>
      <x:c r="M1495" s="80" t="n">
        <x:f>MAX(0,-K1495*'Inputs'!$E$48)</x:f>
        <x:v>0</x:v>
      </x:c>
      <x:c r="N1495" s="78" t="n">
        <x:f>H1495*(L1495*(1-'Inputs'!$B$15))/(I1495+L1495*(1-'Inputs'!$B$15))</x:f>
        <x:v>0</x:v>
      </x:c>
      <x:c r="O1495" s="78" t="n">
        <x:f>H1495-N1495</x:f>
        <x:v>6749169.533451077</x:v>
      </x:c>
      <x:c r="P1495" s="78" t="n">
        <x:f>I1495+L1495*(1-'Inputs'!$B$17)</x:f>
        <x:v>1659.904198602294</x:v>
      </x:c>
      <x:c r="Q1495" s="78" t="n">
        <x:f>IF(J1495&gt;0,M1495/J1495,0)</x:f>
        <x:v>0</x:v>
      </x:c>
      <x:c r="R1495" s="78" t="n">
        <x:f>IF(B1495='Inputs'!$H$48,'Inputs'!$B$27*'Inputs'!$I$48,0)</x:f>
        <x:v>0</x:v>
      </x:c>
      <x:c r="S1495" s="78" t="n">
        <x:f>Q1495+G1495+R1495</x:f>
        <x:v>157242.1680226792</x:v>
      </x:c>
      <x:c r="T1495" s="78" t="n">
        <x:f>P1495*(S1495*(1-'Inputs'!$B$15))/(O1495+S1495*(1-'Inputs'!$B$15))</x:f>
        <x:v>37.42257496208043</x:v>
      </x:c>
      <x:c r="U1495" s="78" t="n">
        <x:f>O1495+S1495*(1-'Inputs'!$B$17)</x:f>
        <x:v>6905778.936210083</x:v>
      </x:c>
      <x:c r="V1495" s="78" t="n">
        <x:f>P1495-T1495</x:f>
        <x:v>1622.4816236402135</x:v>
      </x:c>
      <x:c r="W1495" s="79" t="n">
        <x:f>IF(U1495&gt;0,V1495/U1495,0)</x:f>
        <x:v>0.00023494549110641492</x:v>
      </x:c>
      <x:c r="X1495" s="80" t="n">
        <x:f>W1495*('Inputs'!$B$6-AC1495)</x:f>
        <x:v>234897.87371056085</x:v>
      </x:c>
      <x:c r="Y1495" s="80" t="n">
        <x:f>2*V1495</x:f>
        <x:v>3244.963247280427</x:v>
      </x:c>
      <x:c r="Z1495" s="80" t="n">
        <x:f>K1495*'Inputs'!$B$16+(G1495+R1495)*J1495*'Inputs'!$B$16</x:f>
        <x:v>6.207689827035755</x:v>
      </x:c>
      <x:c r="AA1495" s="80" t="n">
        <x:f>K1495*(1+'Inputs'!$E$48)/2*'Inputs'!$B$17</x:f>
        <x:v>2.003908489258303</x:v>
      </x:c>
      <x:c r="AB1495" s="78" t="n">
        <x:f>(IF(J1495&gt;0,K1495*(1-'Inputs'!$E$48)/2/J1495,0)+G1495+R1495)*'Inputs'!$B$17</x:f>
        <x:v>8780.65604852315</x:v>
      </x:c>
      <x:c r="AC1495" s="78" t="n">
        <x:f>AC1494+AB1495</x:f>
        <x:v>202674.22724233152</x:v>
      </x:c>
      <x:c r="AD1495" s="80" t="n">
        <x:f>Z1495/(1+'Inputs'!$C$48)</x:f>
        <x:v>4.966151861628604</x:v>
      </x:c>
      <x:c r="AE1495" s="80" t="n">
        <x:f>Z1495-AD1495</x:f>
        <x:v>1.2415379654071508</x:v>
      </x:c>
      <x:c r="AF1495" s="80" t="n">
        <x:f>D1495*W1495</x:f>
        <x:v>70.65939352519209</x:v>
      </x:c>
      <x:c r="AG1495" s="80" t="n">
        <x:f>C1495*W1495</x:f>
        <x:v>41.21797955636205</x:v>
      </x:c>
      <x:c r="AH1495" s="80" t="n">
        <x:f>2*'Inputs'!$B$8*'Inputs'!$C$48</x:f>
        <x:v>1250</x:v>
      </x:c>
      <x:c r="AI1495" s="81" t="n">
        <x:f>IF(AH1495&gt;0,(AE1495+AF1495)/AH1495*365,0)</x:f>
        <x:v>20.995071995254975</x:v>
      </x:c>
      <x:c r="AJ1495" s="81" t="n">
        <x:f>IF('Inputs'!$B$48&gt;0,AG1495/('Inputs'!$B$19*'Inputs'!$B$48)*365,0)</x:f>
        <x:v>6.01782501522886</x:v>
      </x:c>
      <x:c r="AK1495" s="81" t="n">
        <x:f>W1495/MAX($W$1464:W1495)-1</x:f>
        <x:v>-0.7237080710876338</x:v>
      </x:c>
      <x:c r="AL1495" s="83" t="n">
        <x:f>'Inputs'!$B$48</x:f>
        <x:v>0.25</x:v>
      </x:c>
      <x:c r="AM1495" s="83" t="n">
        <x:f>'Inputs'!$C$48</x:f>
        <x:v>0.25</x:v>
      </x:c>
      <x:c r="AN1495" s="83" t="n">
        <x:f>'Inputs'!$D$48</x:f>
        <x:v>0.3</x:v>
      </x:c>
      <x:c r="AO1495" s="81" t="n">
        <x:f>'Inputs'!$E$48</x:f>
        <x:v>0</x:v>
      </x:c>
    </x:row>
    <x:row r="1496">
      <x:c r="A1496" s="59" t="str">
        <x:v>Low participation</x:v>
      </x:c>
      <x:c r="B1496" s="59" t="n">
        <x:v>33</x:v>
      </x:c>
      <x:c r="C1496" s="78" t="n">
        <x:f>(('Inputs'!$B$29*(3*33*'Inputs'!$B$12-33^2)/(2*'Inputs'!$B$12^2))-('Inputs'!$B$29*(3*32*'Inputs'!$B$12-32^2)/(2*'Inputs'!$B$12^2)))*'Inputs'!$B$48</x:f>
        <x:v>175355.07365359366</x:v>
      </x:c>
      <x:c r="D1496" s="78" t="n">
        <x:f>IF('Inputs'!$C$48&gt;0,('Inputs'!$B$30*(3*33*'Inputs'!$B$12-33^2)/(2*'Inputs'!$B$12^2))-('Inputs'!$B$30*(3*32*'Inputs'!$B$12-32^2)/(2*'Inputs'!$B$12^2)),0)</x:f>
        <x:v>300608.6976918746</x:v>
      </x:c>
      <x:c r="E1496" s="78" t="n">
        <x:f>C1496+D1496</x:f>
        <x:v>475963.77134546824</x:v>
      </x:c>
      <x:c r="F1496" s="78" t="n">
        <x:f>'Inputs'!$B$13*E1496+(1-'Inputs'!$B$13)/'Inputs'!$B$14*SUM(E1464:E1496)</x:f>
        <x:v>321239.69670669927</x:v>
      </x:c>
      <x:c r="G1496" s="78" t="n">
        <x:f>F1496*'Inputs'!$F$48</x:f>
        <x:v>160619.84835334963</x:v>
      </x:c>
      <x:c r="H1496" s="78" t="n">
        <x:f>U1495</x:f>
        <x:v>6905778.936210083</x:v>
      </x:c>
      <x:c r="I1496" s="78" t="n">
        <x:f>V1495</x:f>
        <x:v>1622.4816236402135</x:v>
      </x:c>
      <x:c r="J1496" s="79" t="n">
        <x:f>IF(H1496&gt;0,I1496/H1496,0)</x:f>
        <x:v>0.00023494549110641492</x:v>
      </x:c>
      <x:c r="K1496" s="80" t="n">
        <x:f>(H1496*J1496+I1496)*'Inputs'!$D$48*(1+'Inputs'!$G$48)^(B1496/30)</x:f>
        <x:v>973.488974184128</x:v>
      </x:c>
      <x:c r="L1496" s="80" t="n">
        <x:f>MAX(0,K1496*'Inputs'!$E$48)</x:f>
        <x:v>0</x:v>
      </x:c>
      <x:c r="M1496" s="80" t="n">
        <x:f>MAX(0,-K1496*'Inputs'!$E$48)</x:f>
        <x:v>0</x:v>
      </x:c>
      <x:c r="N1496" s="78" t="n">
        <x:f>H1496*(L1496*(1-'Inputs'!$B$15))/(I1496+L1496*(1-'Inputs'!$B$15))</x:f>
        <x:v>0</x:v>
      </x:c>
      <x:c r="O1496" s="78" t="n">
        <x:f>H1496-N1496</x:f>
        <x:v>6905778.936210083</x:v>
      </x:c>
      <x:c r="P1496" s="78" t="n">
        <x:f>I1496+L1496*(1-'Inputs'!$B$17)</x:f>
        <x:v>1622.4816236402135</x:v>
      </x:c>
      <x:c r="Q1496" s="78" t="n">
        <x:f>IF(J1496&gt;0,M1496/J1496,0)</x:f>
        <x:v>0</x:v>
      </x:c>
      <x:c r="R1496" s="78" t="n">
        <x:f>IF(B1496='Inputs'!$H$48,'Inputs'!$B$27*'Inputs'!$I$48,0)</x:f>
        <x:v>0</x:v>
      </x:c>
      <x:c r="S1496" s="78" t="n">
        <x:f>Q1496+G1496+R1496</x:f>
        <x:v>160619.84835334963</x:v>
      </x:c>
      <x:c r="T1496" s="78" t="n">
        <x:f>P1496*(S1496*(1-'Inputs'!$B$15))/(O1496+S1496*(1-'Inputs'!$B$15))</x:f>
        <x:v>36.51865524404482</x:v>
      </x:c>
      <x:c r="U1496" s="78" t="n">
        <x:f>O1496+S1496*(1-'Inputs'!$B$17)</x:f>
        <x:v>7065752.427024787</x:v>
      </x:c>
      <x:c r="V1496" s="78" t="n">
        <x:f>P1496-T1496</x:f>
        <x:v>1585.9629683961687</x:v>
      </x:c>
      <x:c r="W1496" s="79" t="n">
        <x:f>IF(U1496&gt;0,V1496/U1496,0)</x:f>
        <x:v>0.00022445776083665844</x:v>
      </x:c>
      <x:c r="X1496" s="80" t="n">
        <x:f>W1496*('Inputs'!$B$6-AC1496)</x:f>
        <x:v>224410.2526588868</x:v>
      </x:c>
      <x:c r="Y1496" s="80" t="n">
        <x:f>2*V1496</x:f>
        <x:v>3171.9259367923373</x:v>
      </x:c>
      <x:c r="Z1496" s="80" t="n">
        <x:f>K1496*'Inputs'!$B$16+(G1496+R1496)*J1496*'Inputs'!$B$16</x:f>
        <x:v>6.067355300021662</x:v>
      </x:c>
      <x:c r="AA1496" s="80" t="n">
        <x:f>K1496*(1+'Inputs'!$E$48)/2*'Inputs'!$B$17</x:f>
        <x:v>1.9587303303503583</x:v>
      </x:c>
      <x:c r="AB1496" s="78" t="n">
        <x:f>(IF(J1496&gt;0,K1496*(1-'Inputs'!$E$48)/2/J1496,0)+G1496+R1496)*'Inputs'!$B$17</x:f>
        <x:v>8983.314000870721</x:v>
      </x:c>
      <x:c r="AC1496" s="78" t="n">
        <x:f>AC1495+AB1496</x:f>
        <x:v>211657.54124320223</x:v>
      </x:c>
      <x:c r="AD1496" s="80" t="n">
        <x:f>Z1496/(1+'Inputs'!$C$48)</x:f>
        <x:v>4.853884240017329</x:v>
      </x:c>
      <x:c r="AE1496" s="80" t="n">
        <x:f>Z1496-AD1496</x:f>
        <x:v>1.2134710600043324</x:v>
      </x:c>
      <x:c r="AF1496" s="80" t="n">
        <x:f>D1496*W1496</x:f>
        <x:v>67.47395517194214</x:v>
      </x:c>
      <x:c r="AG1496" s="80" t="n">
        <x:f>C1496*W1496</x:f>
        <x:v>39.35980718363295</x:v>
      </x:c>
      <x:c r="AH1496" s="80" t="n">
        <x:f>2*'Inputs'!$B$8*'Inputs'!$C$48</x:f>
        <x:v>1250</x:v>
      </x:c>
      <x:c r="AI1496" s="81" t="n">
        <x:f>IF(AH1496&gt;0,(AE1496+AF1496)/AH1496*365,0)</x:f>
        <x:v>20.056728459728372</x:v>
      </x:c>
      <x:c r="AJ1496" s="81" t="n">
        <x:f>IF('Inputs'!$B$48&gt;0,AG1496/('Inputs'!$B$19*'Inputs'!$B$48)*365,0)</x:f>
        <x:v>5.746531848810411</x:v>
      </x:c>
      <x:c r="AK1496" s="81" t="n">
        <x:f>W1496/MAX($W$1464:W1496)-1</x:f>
        <x:v>-0.7360414647292728</x:v>
      </x:c>
      <x:c r="AL1496" s="83" t="n">
        <x:f>'Inputs'!$B$48</x:f>
        <x:v>0.25</x:v>
      </x:c>
      <x:c r="AM1496" s="83" t="n">
        <x:f>'Inputs'!$C$48</x:f>
        <x:v>0.25</x:v>
      </x:c>
      <x:c r="AN1496" s="83" t="n">
        <x:f>'Inputs'!$D$48</x:f>
        <x:v>0.3</x:v>
      </x:c>
      <x:c r="AO1496" s="81" t="n">
        <x:f>'Inputs'!$E$48</x:f>
        <x:v>0</x:v>
      </x:c>
    </x:row>
    <x:row r="1497">
      <x:c r="A1497" s="59" t="str">
        <x:v>Low participation</x:v>
      </x:c>
      <x:c r="B1497" s="59" t="n">
        <x:v>34</x:v>
      </x:c>
      <x:c r="C1497" s="78" t="n">
        <x:f>(('Inputs'!$B$29*(3*34*'Inputs'!$B$12-34^2)/(2*'Inputs'!$B$12^2))-('Inputs'!$B$29*(3*33*'Inputs'!$B$12-33^2)/(2*'Inputs'!$B$12^2)))*'Inputs'!$B$48</x:f>
        <x:v>175273.79667855147</x:v>
      </x:c>
      <x:c r="D1497" s="78" t="n">
        <x:f>IF('Inputs'!$C$48&gt;0,('Inputs'!$B$30*(3*34*'Inputs'!$B$12-34^2)/(2*'Inputs'!$B$12^2))-('Inputs'!$B$30*(3*33*'Inputs'!$B$12-33^2)/(2*'Inputs'!$B$12^2)),0)</x:f>
        <x:v>300469.36573465914</x:v>
      </x:c>
      <x:c r="E1497" s="78" t="n">
        <x:f>C1497+D1497</x:f>
        <x:v>475743.1624132106</x:v>
      </x:c>
      <x:c r="F1497" s="78" t="n">
        <x:f>'Inputs'!$B$13*E1497+(1-'Inputs'!$B$13)/'Inputs'!$B$14*SUM(E1464:E1497)</x:f>
        <x:v>327991.90581186506</x:v>
      </x:c>
      <x:c r="G1497" s="78" t="n">
        <x:f>F1497*'Inputs'!$F$48</x:f>
        <x:v>163995.95290593253</x:v>
      </x:c>
      <x:c r="H1497" s="78" t="n">
        <x:f>U1496</x:f>
        <x:v>7065752.427024787</x:v>
      </x:c>
      <x:c r="I1497" s="78" t="n">
        <x:f>V1496</x:f>
        <x:v>1585.9629683961687</x:v>
      </x:c>
      <x:c r="J1497" s="79" t="n">
        <x:f>IF(H1497&gt;0,I1497/H1497,0)</x:f>
        <x:v>0.00022445776083665844</x:v>
      </x:c>
      <x:c r="K1497" s="80" t="n">
        <x:f>(H1497*J1497+I1497)*'Inputs'!$D$48*(1+'Inputs'!$G$48)^(B1497/30)</x:f>
        <x:v>951.5777810377011</x:v>
      </x:c>
      <x:c r="L1497" s="80" t="n">
        <x:f>MAX(0,K1497*'Inputs'!$E$48)</x:f>
        <x:v>0</x:v>
      </x:c>
      <x:c r="M1497" s="80" t="n">
        <x:f>MAX(0,-K1497*'Inputs'!$E$48)</x:f>
        <x:v>0</x:v>
      </x:c>
      <x:c r="N1497" s="78" t="n">
        <x:f>H1497*(L1497*(1-'Inputs'!$B$15))/(I1497+L1497*(1-'Inputs'!$B$15))</x:f>
        <x:v>0</x:v>
      </x:c>
      <x:c r="O1497" s="78" t="n">
        <x:f>H1497-N1497</x:f>
        <x:v>7065752.427024787</x:v>
      </x:c>
      <x:c r="P1497" s="78" t="n">
        <x:f>I1497+L1497*(1-'Inputs'!$B$17)</x:f>
        <x:v>1585.9629683961687</x:v>
      </x:c>
      <x:c r="Q1497" s="78" t="n">
        <x:f>IF(J1497&gt;0,M1497/J1497,0)</x:f>
        <x:v>0</x:v>
      </x:c>
      <x:c r="R1497" s="78" t="n">
        <x:f>IF(B1497='Inputs'!$H$48,'Inputs'!$B$27*'Inputs'!$I$48,0)</x:f>
        <x:v>0</x:v>
      </x:c>
      <x:c r="S1497" s="78" t="n">
        <x:f>Q1497+G1497+R1497</x:f>
        <x:v>163995.95290593253</x:v>
      </x:c>
      <x:c r="T1497" s="78" t="n">
        <x:f>P1497*(S1497*(1-'Inputs'!$B$15))/(O1497+S1497*(1-'Inputs'!$B$15))</x:f>
        <x:v>35.623510082681626</x:v>
      </x:c>
      <x:c r="U1497" s="78" t="n">
        <x:f>O1497+S1497*(1-'Inputs'!$B$17)</x:f>
        <x:v>7229088.436458262</x:v>
      </x:c>
      <x:c r="V1497" s="78" t="n">
        <x:f>P1497-T1497</x:f>
        <x:v>1550.339458313487</x:v>
      </x:c>
      <x:c r="W1497" s="79" t="n">
        <x:f>IF(U1497&gt;0,V1497/U1497,0)</x:f>
        <x:v>0.0002144584994277706</x:v>
      </x:c>
      <x:c r="X1497" s="80" t="n">
        <x:f>W1497*('Inputs'!$B$6-AC1497)</x:f>
        <x:v>214411.13678970747</x:v>
      </x:c>
      <x:c r="Y1497" s="80" t="n">
        <x:f>2*V1497</x:f>
        <x:v>3100.678916626974</x:v>
      </x:c>
      <x:c r="Z1497" s="80" t="n">
        <x:f>K1497*'Inputs'!$B$16+(G1497+R1497)*J1497*'Inputs'!$B$16</x:f>
        <x:v>5.930327672479445</x:v>
      </x:c>
      <x:c r="AA1497" s="80" t="n">
        <x:f>K1497*(1+'Inputs'!$E$48)/2*'Inputs'!$B$17</x:f>
        <x:v>1.914643422611069</x:v>
      </x:c>
      <x:c r="AB1497" s="78" t="n">
        <x:f>(IF(J1497&gt;0,K1497*(1-'Inputs'!$E$48)/2/J1497,0)+G1497+R1497)*'Inputs'!$B$17</x:f>
        <x:v>9190.026885365669</x:v>
      </x:c>
      <x:c r="AC1497" s="78" t="n">
        <x:f>AC1496+AB1497</x:f>
        <x:v>220847.5681285679</x:v>
      </x:c>
      <x:c r="AD1497" s="80" t="n">
        <x:f>Z1497/(1+'Inputs'!$C$48)</x:f>
        <x:v>4.744262137983556</x:v>
      </x:c>
      <x:c r="AE1497" s="80" t="n">
        <x:f>Z1497-AD1497</x:f>
        <x:v>1.1860655344958886</x:v>
      </x:c>
      <x:c r="AF1497" s="80" t="n">
        <x:f>D1497*W1497</x:f>
        <x:v>64.438209299469</x:v>
      </x:c>
      <x:c r="AG1497" s="80" t="n">
        <x:f>C1497*W1497</x:f>
        <x:v>37.58895542469031</x:v>
      </x:c>
      <x:c r="AH1497" s="80" t="n">
        <x:f>2*'Inputs'!$B$8*'Inputs'!$C$48</x:f>
        <x:v>1250</x:v>
      </x:c>
      <x:c r="AI1497" s="81" t="n">
        <x:f>IF(AH1497&gt;0,(AE1497+AF1497)/AH1497*365,0)</x:f>
        <x:v>19.162288251517744</x:v>
      </x:c>
      <x:c r="AJ1497" s="81" t="n">
        <x:f>IF('Inputs'!$B$48&gt;0,AG1497/('Inputs'!$B$19*'Inputs'!$B$48)*365,0)</x:f>
        <x:v>5.487987492004785</x:v>
      </x:c>
      <x:c r="AK1497" s="81" t="n">
        <x:f>W1497/MAX($W$1464:W1497)-1</x:f>
        <x:v>-0.7478004272415999</x:v>
      </x:c>
      <x:c r="AL1497" s="83" t="n">
        <x:f>'Inputs'!$B$48</x:f>
        <x:v>0.25</x:v>
      </x:c>
      <x:c r="AM1497" s="83" t="n">
        <x:f>'Inputs'!$C$48</x:f>
        <x:v>0.25</x:v>
      </x:c>
      <x:c r="AN1497" s="83" t="n">
        <x:f>'Inputs'!$D$48</x:f>
        <x:v>0.3</x:v>
      </x:c>
      <x:c r="AO1497" s="81" t="n">
        <x:f>'Inputs'!$E$48</x:f>
        <x:v>0</x:v>
      </x:c>
    </x:row>
    <x:row r="1498">
      <x:c r="A1498" s="59" t="str">
        <x:v>Low participation</x:v>
      </x:c>
      <x:c r="B1498" s="59" t="n">
        <x:v>35</x:v>
      </x:c>
      <x:c r="C1498" s="78" t="n">
        <x:f>(('Inputs'!$B$29*(3*35*'Inputs'!$B$12-35^2)/(2*'Inputs'!$B$12^2))-('Inputs'!$B$29*(3*34*'Inputs'!$B$12-34^2)/(2*'Inputs'!$B$12^2)))*'Inputs'!$B$48</x:f>
        <x:v>175192.51970350835</x:v>
      </x:c>
      <x:c r="D1498" s="78" t="n">
        <x:f>IF('Inputs'!$C$48&gt;0,('Inputs'!$B$30*(3*35*'Inputs'!$B$12-35^2)/(2*'Inputs'!$B$12^2))-('Inputs'!$B$30*(3*34*'Inputs'!$B$12-34^2)/(2*'Inputs'!$B$12^2)),0)</x:f>
        <x:v>300330.0337774437</x:v>
      </x:c>
      <x:c r="E1498" s="78" t="n">
        <x:f>C1498+D1498</x:f>
        <x:v>475522.55348095205</x:v>
      </x:c>
      <x:c r="F1498" s="78" t="n">
        <x:f>'Inputs'!$B$13*E1498+(1-'Inputs'!$B$13)/'Inputs'!$B$14*SUM(E1464:E1498)</x:f>
        <x:v>334740.9633608555</x:v>
      </x:c>
      <x:c r="G1498" s="78" t="n">
        <x:f>F1498*'Inputs'!$F$48</x:f>
        <x:v>167370.48168042774</x:v>
      </x:c>
      <x:c r="H1498" s="78" t="n">
        <x:f>U1497</x:f>
        <x:v>7229088.436458262</x:v>
      </x:c>
      <x:c r="I1498" s="78" t="n">
        <x:f>V1497</x:f>
        <x:v>1550.339458313487</x:v>
      </x:c>
      <x:c r="J1498" s="79" t="n">
        <x:f>IF(H1498&gt;0,I1498/H1498,0)</x:f>
        <x:v>0.0002144584994277706</x:v>
      </x:c>
      <x:c r="K1498" s="80" t="n">
        <x:f>(H1498*J1498+I1498)*'Inputs'!$D$48*(1+'Inputs'!$G$48)^(B1498/30)</x:f>
        <x:v>930.2036749880922</x:v>
      </x:c>
      <x:c r="L1498" s="80" t="n">
        <x:f>MAX(0,K1498*'Inputs'!$E$48)</x:f>
        <x:v>0</x:v>
      </x:c>
      <x:c r="M1498" s="80" t="n">
        <x:f>MAX(0,-K1498*'Inputs'!$E$48)</x:f>
        <x:v>0</x:v>
      </x:c>
      <x:c r="N1498" s="78" t="n">
        <x:f>H1498*(L1498*(1-'Inputs'!$B$15))/(I1498+L1498*(1-'Inputs'!$B$15))</x:f>
        <x:v>0</x:v>
      </x:c>
      <x:c r="O1498" s="78" t="n">
        <x:f>H1498-N1498</x:f>
        <x:v>7229088.436458262</x:v>
      </x:c>
      <x:c r="P1498" s="78" t="n">
        <x:f>I1498+L1498*(1-'Inputs'!$B$17)</x:f>
        <x:v>1550.339458313487</x:v>
      </x:c>
      <x:c r="Q1498" s="78" t="n">
        <x:f>IF(J1498&gt;0,M1498/J1498,0)</x:f>
        <x:v>0</x:v>
      </x:c>
      <x:c r="R1498" s="78" t="n">
        <x:f>IF(B1498='Inputs'!$H$48,'Inputs'!$B$27*'Inputs'!$I$48,0)</x:f>
        <x:v>0</x:v>
      </x:c>
      <x:c r="S1498" s="78" t="n">
        <x:f>Q1498+G1498+R1498</x:f>
        <x:v>167370.48168042774</x:v>
      </x:c>
      <x:c r="T1498" s="78" t="n">
        <x:f>P1498*(S1498*(1-'Inputs'!$B$15))/(O1498+S1498*(1-'Inputs'!$B$15))</x:f>
        <x:v>34.73883877306591</x:v>
      </x:c>
      <x:c r="U1498" s="78" t="n">
        <x:f>O1498+S1498*(1-'Inputs'!$B$17)</x:f>
        <x:v>7395785.395073577</x:v>
      </x:c>
      <x:c r="V1498" s="78" t="n">
        <x:f>P1498-T1498</x:f>
        <x:v>1515.6006195404211</x:v>
      </x:c>
      <x:c r="W1498" s="79" t="n">
        <x:f>IF(U1498&gt;0,V1498/U1498,0)</x:f>
        <x:v>0.00020492760925026047</x:v>
      </x:c>
      <x:c r="X1498" s="80" t="n">
        <x:f>W1498*('Inputs'!$B$6-AC1498)</x:f>
        <x:v>204880.42500412007</x:v>
      </x:c>
      <x:c r="Y1498" s="80" t="n">
        <x:f>2*V1498</x:f>
        <x:v>3031.2012390808422</x:v>
      </x:c>
      <x:c r="Z1498" s="80" t="n">
        <x:f>K1498*'Inputs'!$B$16+(G1498+R1498)*J1498*'Inputs'!$B$16</x:f>
        <x:v>5.79658618402668</x:v>
      </x:c>
      <x:c r="AA1498" s="80" t="n">
        <x:f>K1498*(1+'Inputs'!$E$48)/2*'Inputs'!$B$17</x:f>
        <x:v>1.8716371730142702</x:v>
      </x:c>
      <x:c r="AB1498" s="78" t="n">
        <x:f>(IF(J1498&gt;0,K1498*(1-'Inputs'!$E$48)/2/J1498,0)+G1498+R1498)*'Inputs'!$B$17</x:f>
        <x:v>9400.792807315518</x:v>
      </x:c>
      <x:c r="AC1498" s="78" t="n">
        <x:f>AC1497+AB1498</x:f>
        <x:v>230248.3609358834</x:v>
      </x:c>
      <x:c r="AD1498" s="80" t="n">
        <x:f>Z1498/(1+'Inputs'!$C$48)</x:f>
        <x:v>4.637268947221344</x:v>
      </x:c>
      <x:c r="AE1498" s="80" t="n">
        <x:f>Z1498-AD1498</x:f>
        <x:v>1.159317236805336</x:v>
      </x:c>
      <x:c r="AF1498" s="80" t="n">
        <x:f>D1498*W1498</x:f>
        <x:v>61.54591580806151</x:v>
      </x:c>
      <x:c r="AG1498" s="80" t="n">
        <x:f>C1498*W1498</x:f>
        <x:v>35.90178422136912</x:v>
      </x:c>
      <x:c r="AH1498" s="80" t="n">
        <x:f>2*'Inputs'!$B$8*'Inputs'!$C$48</x:f>
        <x:v>1250</x:v>
      </x:c>
      <x:c r="AI1498" s="81" t="n">
        <x:f>IF(AH1498&gt;0,(AE1498+AF1498)/AH1498*365,0)</x:f>
        <x:v>18.309928049101117</x:v>
      </x:c>
      <x:c r="AJ1498" s="81" t="n">
        <x:f>IF('Inputs'!$B$48&gt;0,AG1498/('Inputs'!$B$19*'Inputs'!$B$48)*365,0)</x:f>
        <x:v>5.241660496319891</x:v>
      </x:c>
      <x:c r="AK1498" s="81" t="n">
        <x:f>W1498/MAX($W$1464:W1498)-1</x:f>
        <x:v>-0.7590085930974131</x:v>
      </x:c>
      <x:c r="AL1498" s="83" t="n">
        <x:f>'Inputs'!$B$48</x:f>
        <x:v>0.25</x:v>
      </x:c>
      <x:c r="AM1498" s="83" t="n">
        <x:f>'Inputs'!$C$48</x:f>
        <x:v>0.25</x:v>
      </x:c>
      <x:c r="AN1498" s="83" t="n">
        <x:f>'Inputs'!$D$48</x:f>
        <x:v>0.3</x:v>
      </x:c>
      <x:c r="AO1498" s="81" t="n">
        <x:f>'Inputs'!$E$48</x:f>
        <x:v>0</x:v>
      </x:c>
    </x:row>
    <x:row r="1499">
      <x:c r="A1499" s="59" t="str">
        <x:v>Low participation</x:v>
      </x:c>
      <x:c r="B1499" s="59" t="n">
        <x:v>36</x:v>
      </x:c>
      <x:c r="C1499" s="78" t="n">
        <x:f>(('Inputs'!$B$29*(3*36*'Inputs'!$B$12-36^2)/(2*'Inputs'!$B$12^2))-('Inputs'!$B$29*(3*35*'Inputs'!$B$12-35^2)/(2*'Inputs'!$B$12^2)))*'Inputs'!$B$48</x:f>
        <x:v>175111.2427284671</x:v>
      </x:c>
      <x:c r="D1499" s="78" t="n">
        <x:f>IF('Inputs'!$C$48&gt;0,('Inputs'!$B$30*(3*36*'Inputs'!$B$12-36^2)/(2*'Inputs'!$B$12^2))-('Inputs'!$B$30*(3*35*'Inputs'!$B$12-35^2)/(2*'Inputs'!$B$12^2)),0)</x:f>
        <x:v>300190.7018202301</x:v>
      </x:c>
      <x:c r="E1499" s="78" t="n">
        <x:f>C1499+D1499</x:f>
        <x:v>475301.9445486972</x:v>
      </x:c>
      <x:c r="F1499" s="78" t="n">
        <x:f>'Inputs'!$B$13*E1499+(1-'Inputs'!$B$13)/'Inputs'!$B$14*SUM(E1464:E1499)</x:f>
        <x:v>341486.8693536717</x:v>
      </x:c>
      <x:c r="G1499" s="78" t="n">
        <x:f>F1499*'Inputs'!$F$48</x:f>
        <x:v>170743.43467683584</x:v>
      </x:c>
      <x:c r="H1499" s="78" t="n">
        <x:f>U1498</x:f>
        <x:v>7395785.395073577</x:v>
      </x:c>
      <x:c r="I1499" s="78" t="n">
        <x:f>V1498</x:f>
        <x:v>1515.6006195404211</x:v>
      </x:c>
      <x:c r="J1499" s="79" t="n">
        <x:f>IF(H1499&gt;0,I1499/H1499,0)</x:f>
        <x:v>0.00020492760925026047</x:v>
      </x:c>
      <x:c r="K1499" s="80" t="n">
        <x:f>(H1499*J1499+I1499)*'Inputs'!$D$48*(1+'Inputs'!$G$48)^(B1499/30)</x:f>
        <x:v>909.3603717242527</x:v>
      </x:c>
      <x:c r="L1499" s="80" t="n">
        <x:f>MAX(0,K1499*'Inputs'!$E$48)</x:f>
        <x:v>0</x:v>
      </x:c>
      <x:c r="M1499" s="80" t="n">
        <x:f>MAX(0,-K1499*'Inputs'!$E$48)</x:f>
        <x:v>0</x:v>
      </x:c>
      <x:c r="N1499" s="78" t="n">
        <x:f>H1499*(L1499*(1-'Inputs'!$B$15))/(I1499+L1499*(1-'Inputs'!$B$15))</x:f>
        <x:v>0</x:v>
      </x:c>
      <x:c r="O1499" s="78" t="n">
        <x:f>H1499-N1499</x:f>
        <x:v>7395785.395073577</x:v>
      </x:c>
      <x:c r="P1499" s="78" t="n">
        <x:f>I1499+L1499*(1-'Inputs'!$B$17)</x:f>
        <x:v>1515.6006195404211</x:v>
      </x:c>
      <x:c r="Q1499" s="78" t="n">
        <x:f>IF(J1499&gt;0,M1499/J1499,0)</x:f>
        <x:v>0</x:v>
      </x:c>
      <x:c r="R1499" s="78" t="n">
        <x:f>IF(B1499='Inputs'!$H$48,'Inputs'!$B$27*'Inputs'!$I$48,0)</x:f>
        <x:v>0</x:v>
      </x:c>
      <x:c r="S1499" s="78" t="n">
        <x:f>Q1499+G1499+R1499</x:f>
        <x:v>170743.43467683584</x:v>
      </x:c>
      <x:c r="T1499" s="78" t="n">
        <x:f>P1499*(S1499*(1-'Inputs'!$B$15))/(O1499+S1499*(1-'Inputs'!$B$15))</x:f>
        <x:v>33.86610911667337</x:v>
      </x:c>
      <x:c r="U1499" s="78" t="n">
        <x:f>O1499+S1499*(1-'Inputs'!$B$17)</x:f>
        <x:v>7565841.733433805</x:v>
      </x:c>
      <x:c r="V1499" s="78" t="n">
        <x:f>P1499-T1499</x:f>
        <x:v>1481.7345104237477</x:v>
      </x:c>
      <x:c r="W1499" s="79" t="n">
        <x:f>IF(U1499&gt;0,V1499/U1499,0)</x:f>
        <x:v>0.00019584529555725363</x:v>
      </x:c>
      <x:c r="X1499" s="80" t="n">
        <x:f>W1499*('Inputs'!$B$6-AC1499)</x:f>
        <x:v>195798.3193269972</x:v>
      </x:c>
      <x:c r="Y1499" s="80" t="n">
        <x:f>2*V1499</x:f>
        <x:v>2963.4690208474954</x:v>
      </x:c>
      <x:c r="Z1499" s="80" t="n">
        <x:f>K1499*'Inputs'!$B$16+(G1499+R1499)*J1499*'Inputs'!$B$16</x:f>
        <x:v>5.666102493526528</x:v>
      </x:c>
      <x:c r="AA1499" s="80" t="n">
        <x:f>K1499*(1+'Inputs'!$E$48)/2*'Inputs'!$B$17</x:f>
        <x:v>1.8296989370709311</x:v>
      </x:c>
      <x:c r="AB1499" s="78" t="n">
        <x:f>(IF(J1499&gt;0,K1499*(1-'Inputs'!$E$48)/2/J1499,0)+G1499+R1499)*'Inputs'!$B$17</x:f>
        <x:v>9615.609872027804</x:v>
      </x:c>
      <x:c r="AC1499" s="78" t="n">
        <x:f>AC1498+AB1499</x:f>
        <x:v>239863.9708079112</x:v>
      </x:c>
      <x:c r="AD1499" s="80" t="n">
        <x:f>Z1499/(1+'Inputs'!$C$48)</x:f>
        <x:v>4.5328819948212224</x:v>
      </x:c>
      <x:c r="AE1499" s="80" t="n">
        <x:f>Z1499-AD1499</x:f>
        <x:v>1.1332204987053052</x:v>
      </x:c>
      <x:c r="AF1499" s="80" t="n">
        <x:f>D1499*W1499</x:f>
        <x:v>58.790936721522364</x:v>
      </x:c>
      <x:c r="AG1499" s="80" t="n">
        <x:f>C1499*W1499</x:f>
        <x:v>34.29471308755462</x:v>
      </x:c>
      <x:c r="AH1499" s="80" t="n">
        <x:f>2*'Inputs'!$B$8*'Inputs'!$C$48</x:f>
        <x:v>1250</x:v>
      </x:c>
      <x:c r="AI1499" s="81" t="n">
        <x:f>IF(AH1499&gt;0,(AE1499+AF1499)/AH1499*365,0)</x:f>
        <x:v>17.49785390830648</x:v>
      </x:c>
      <x:c r="AJ1499" s="81" t="n">
        <x:f>IF('Inputs'!$B$48&gt;0,AG1499/('Inputs'!$B$19*'Inputs'!$B$48)*365,0)</x:f>
        <x:v>5.007028110782975</x:v>
      </x:c>
      <x:c r="AK1499" s="81" t="n">
        <x:f>W1499/MAX($W$1464:W1499)-1</x:f>
        <x:v>-0.76968924058467</x:v>
      </x:c>
      <x:c r="AL1499" s="83" t="n">
        <x:f>'Inputs'!$B$48</x:f>
        <x:v>0.25</x:v>
      </x:c>
      <x:c r="AM1499" s="83" t="n">
        <x:f>'Inputs'!$C$48</x:f>
        <x:v>0.25</x:v>
      </x:c>
      <x:c r="AN1499" s="83" t="n">
        <x:f>'Inputs'!$D$48</x:f>
        <x:v>0.3</x:v>
      </x:c>
      <x:c r="AO1499" s="81" t="n">
        <x:f>'Inputs'!$E$48</x:f>
        <x:v>0</x:v>
      </x:c>
    </x:row>
    <x:row r="1500">
      <x:c r="A1500" s="59" t="str">
        <x:v>Low participation</x:v>
      </x:c>
      <x:c r="B1500" s="59" t="n">
        <x:v>37</x:v>
      </x:c>
      <x:c r="C1500" s="78" t="n">
        <x:f>(('Inputs'!$B$29*(3*37*'Inputs'!$B$12-37^2)/(2*'Inputs'!$B$12^2))-('Inputs'!$B$29*(3*36*'Inputs'!$B$12-36^2)/(2*'Inputs'!$B$12^2)))*'Inputs'!$B$48</x:f>
        <x:v>175029.9657534249</x:v>
      </x:c>
      <x:c r="D1500" s="78" t="n">
        <x:f>IF('Inputs'!$C$48&gt;0,('Inputs'!$B$30*(3*37*'Inputs'!$B$12-37^2)/(2*'Inputs'!$B$12^2))-('Inputs'!$B$30*(3*36*'Inputs'!$B$12-36^2)/(2*'Inputs'!$B$12^2)),0)</x:f>
        <x:v>300051.3698630128</x:v>
      </x:c>
      <x:c r="E1500" s="78" t="n">
        <x:f>C1500+D1500</x:f>
        <x:v>475081.3356164377</x:v>
      </x:c>
      <x:c r="F1500" s="78" t="n">
        <x:f>'Inputs'!$B$13*E1500+(1-'Inputs'!$B$13)/'Inputs'!$B$14*SUM(E1464:E1500)</x:f>
        <x:v>348229.6237903117</x:v>
      </x:c>
      <x:c r="G1500" s="78" t="n">
        <x:f>F1500*'Inputs'!$F$48</x:f>
        <x:v>174114.81189515584</x:v>
      </x:c>
      <x:c r="H1500" s="78" t="n">
        <x:f>U1499</x:f>
        <x:v>7565841.733433805</x:v>
      </x:c>
      <x:c r="I1500" s="78" t="n">
        <x:f>V1499</x:f>
        <x:v>1481.7345104237477</x:v>
      </x:c>
      <x:c r="J1500" s="79" t="n">
        <x:f>IF(H1500&gt;0,I1500/H1500,0)</x:f>
        <x:v>0.00019584529555725363</x:v>
      </x:c>
      <x:c r="K1500" s="80" t="n">
        <x:f>(H1500*J1500+I1500)*'Inputs'!$D$48*(1+'Inputs'!$G$48)^(B1500/30)</x:f>
        <x:v>889.0407062542486</x:v>
      </x:c>
      <x:c r="L1500" s="80" t="n">
        <x:f>MAX(0,K1500*'Inputs'!$E$48)</x:f>
        <x:v>0</x:v>
      </x:c>
      <x:c r="M1500" s="80" t="n">
        <x:f>MAX(0,-K1500*'Inputs'!$E$48)</x:f>
        <x:v>0</x:v>
      </x:c>
      <x:c r="N1500" s="78" t="n">
        <x:f>H1500*(L1500*(1-'Inputs'!$B$15))/(I1500+L1500*(1-'Inputs'!$B$15))</x:f>
        <x:v>0</x:v>
      </x:c>
      <x:c r="O1500" s="78" t="n">
        <x:f>H1500-N1500</x:f>
        <x:v>7565841.733433805</x:v>
      </x:c>
      <x:c r="P1500" s="78" t="n">
        <x:f>I1500+L1500*(1-'Inputs'!$B$17)</x:f>
        <x:v>1481.7345104237477</x:v>
      </x:c>
      <x:c r="Q1500" s="78" t="n">
        <x:f>IF(J1500&gt;0,M1500/J1500,0)</x:f>
        <x:v>0</x:v>
      </x:c>
      <x:c r="R1500" s="78" t="n">
        <x:f>IF(B1500='Inputs'!$H$48,'Inputs'!$B$27*'Inputs'!$I$48,0)</x:f>
        <x:v>0</x:v>
      </x:c>
      <x:c r="S1500" s="78" t="n">
        <x:f>Q1500+G1500+R1500</x:f>
        <x:v>174114.81189515584</x:v>
      </x:c>
      <x:c r="T1500" s="78" t="n">
        <x:f>P1500*(S1500*(1-'Inputs'!$B$15))/(O1500+S1500*(1-'Inputs'!$B$15))</x:f>
        <x:v>33.00657751107184</x:v>
      </x:c>
      <x:c r="U1500" s="78" t="n">
        <x:f>O1500+S1500*(1-'Inputs'!$B$17)</x:f>
        <x:v>7739255.882102019</x:v>
      </x:c>
      <x:c r="V1500" s="78" t="n">
        <x:f>P1500-T1500</x:f>
        <x:v>1448.727932912676</x:v>
      </x:c>
      <x:c r="W1500" s="79" t="n">
        <x:f>IF(U1500&gt;0,V1500/U1500,0)</x:f>
        <x:v>0.00018719214805431583</x:v>
      </x:c>
      <x:c r="X1500" s="80" t="n">
        <x:f>W1500*('Inputs'!$B$6-AC1500)</x:f>
        <x:v>187145.40646565743</x:v>
      </x:c>
      <x:c r="Y1500" s="80" t="n">
        <x:f>2*V1500</x:f>
        <x:v>2897.455865825352</x:v>
      </x:c>
      <x:c r="Z1500" s="80" t="n">
        <x:f>K1500*'Inputs'!$B$16+(G1500+R1500)*J1500*'Inputs'!$B$16</x:f>
        <x:v>5.538841638304506</x:v>
      </x:c>
      <x:c r="AA1500" s="80" t="n">
        <x:f>K1500*(1+'Inputs'!$E$48)/2*'Inputs'!$B$17</x:f>
        <x:v>1.788814298298287</x:v>
      </x:c>
      <x:c r="AB1500" s="78" t="n">
        <x:f>(IF(J1500&gt;0,K1500*(1-'Inputs'!$E$48)/2/J1500,0)+G1500+R1500)*'Inputs'!$B$17</x:f>
        <x:v>9834.47618481005</x:v>
      </x:c>
      <x:c r="AC1500" s="78" t="n">
        <x:f>AC1499+AB1500</x:f>
        <x:v>249698.44699272123</x:v>
      </x:c>
      <x:c r="AD1500" s="80" t="n">
        <x:f>Z1500/(1+'Inputs'!$C$48)</x:f>
        <x:v>4.431073310643605</x:v>
      </x:c>
      <x:c r="AE1500" s="80" t="n">
        <x:f>Z1500-AD1500</x:f>
        <x:v>1.1077683276609012</x:v>
      </x:c>
      <x:c r="AF1500" s="80" t="n">
        <x:f>D1500*W1500</x:f>
        <x:v>56.16726045129737</x:v>
      </x:c>
      <x:c r="AG1500" s="80" t="n">
        <x:f>C1500*W1500</x:f>
        <x:v>32.76423526325694</x:v>
      </x:c>
      <x:c r="AH1500" s="80" t="n">
        <x:f>2*'Inputs'!$B$8*'Inputs'!$C$48</x:f>
        <x:v>1250</x:v>
      </x:c>
      <x:c r="AI1500" s="81" t="n">
        <x:f>IF(AH1500&gt;0,(AE1500+AF1500)/AH1500*365,0)</x:f>
        <x:v>16.724308403455815</x:v>
      </x:c>
      <x:c r="AJ1500" s="81" t="n">
        <x:f>IF('Inputs'!$B$48&gt;0,AG1500/('Inputs'!$B$19*'Inputs'!$B$48)*365,0)</x:f>
        <x:v>4.783578348435514</x:v>
      </x:c>
      <x:c r="AK1500" s="81" t="n">
        <x:f>W1500/MAX($W$1464:W1500)-1</x:f>
        <x:v>-0.7798651958817522</x:v>
      </x:c>
      <x:c r="AL1500" s="83" t="n">
        <x:f>'Inputs'!$B$48</x:f>
        <x:v>0.25</x:v>
      </x:c>
      <x:c r="AM1500" s="83" t="n">
        <x:f>'Inputs'!$C$48</x:f>
        <x:v>0.25</x:v>
      </x:c>
      <x:c r="AN1500" s="83" t="n">
        <x:f>'Inputs'!$D$48</x:f>
        <x:v>0.3</x:v>
      </x:c>
      <x:c r="AO1500" s="81" t="n">
        <x:f>'Inputs'!$E$48</x:f>
        <x:v>0</x:v>
      </x:c>
    </x:row>
    <x:row r="1501">
      <x:c r="A1501" s="59" t="str">
        <x:v>Low participation</x:v>
      </x:c>
      <x:c r="B1501" s="59" t="n">
        <x:v>38</x:v>
      </x:c>
      <x:c r="C1501" s="78" t="n">
        <x:f>(('Inputs'!$B$29*(3*38*'Inputs'!$B$12-38^2)/(2*'Inputs'!$B$12^2))-('Inputs'!$B$29*(3*37*'Inputs'!$B$12-37^2)/(2*'Inputs'!$B$12^2)))*'Inputs'!$B$48</x:f>
        <x:v>174948.68877838273</x:v>
      </x:c>
      <x:c r="D1501" s="78" t="n">
        <x:f>IF('Inputs'!$C$48&gt;0,('Inputs'!$B$30*(3*38*'Inputs'!$B$12-38^2)/(2*'Inputs'!$B$12^2))-('Inputs'!$B$30*(3*37*'Inputs'!$B$12-37^2)/(2*'Inputs'!$B$12^2)),0)</x:f>
        <x:v>299912.0379057992</x:v>
      </x:c>
      <x:c r="E1501" s="78" t="n">
        <x:f>C1501+D1501</x:f>
        <x:v>474860.72668418195</x:v>
      </x:c>
      <x:c r="F1501" s="78" t="n">
        <x:f>'Inputs'!$B$13*E1501+(1-'Inputs'!$B$13)/'Inputs'!$B$14*SUM(E1464:E1501)</x:f>
        <x:v>354969.2266707774</x:v>
      </x:c>
      <x:c r="G1501" s="78" t="n">
        <x:f>F1501*'Inputs'!$F$48</x:f>
        <x:v>177484.6133353887</x:v>
      </x:c>
      <x:c r="H1501" s="78" t="n">
        <x:f>U1500</x:f>
        <x:v>7739255.882102019</x:v>
      </x:c>
      <x:c r="I1501" s="78" t="n">
        <x:f>V1500</x:f>
        <x:v>1448.727932912676</x:v>
      </x:c>
      <x:c r="J1501" s="79" t="n">
        <x:f>IF(H1501&gt;0,I1501/H1501,0)</x:f>
        <x:v>0.00018719214805431583</x:v>
      </x:c>
      <x:c r="K1501" s="80" t="n">
        <x:f>(H1501*J1501+I1501)*'Inputs'!$D$48*(1+'Inputs'!$G$48)^(B1501/30)</x:f>
        <x:v>869.2367597476056</x:v>
      </x:c>
      <x:c r="L1501" s="80" t="n">
        <x:f>MAX(0,K1501*'Inputs'!$E$48)</x:f>
        <x:v>0</x:v>
      </x:c>
      <x:c r="M1501" s="80" t="n">
        <x:f>MAX(0,-K1501*'Inputs'!$E$48)</x:f>
        <x:v>0</x:v>
      </x:c>
      <x:c r="N1501" s="78" t="n">
        <x:f>H1501*(L1501*(1-'Inputs'!$B$15))/(I1501+L1501*(1-'Inputs'!$B$15))</x:f>
        <x:v>0</x:v>
      </x:c>
      <x:c r="O1501" s="78" t="n">
        <x:f>H1501-N1501</x:f>
        <x:v>7739255.882102019</x:v>
      </x:c>
      <x:c r="P1501" s="78" t="n">
        <x:f>I1501+L1501*(1-'Inputs'!$B$17)</x:f>
        <x:v>1448.727932912676</x:v>
      </x:c>
      <x:c r="Q1501" s="78" t="n">
        <x:f>IF(J1501&gt;0,M1501/J1501,0)</x:f>
        <x:v>0</x:v>
      </x:c>
      <x:c r="R1501" s="78" t="n">
        <x:f>IF(B1501='Inputs'!$H$48,'Inputs'!$B$27*'Inputs'!$I$48,0)</x:f>
        <x:v>0</x:v>
      </x:c>
      <x:c r="S1501" s="78" t="n">
        <x:f>Q1501+G1501+R1501</x:f>
        <x:v>177484.6133353887</x:v>
      </x:c>
      <x:c r="T1501" s="78" t="n">
        <x:f>P1501*(S1501*(1-'Inputs'!$B$15))/(O1501+S1501*(1-'Inputs'!$B$15))</x:f>
        <x:v>32.16130797150761</x:v>
      </x:c>
      <x:c r="U1501" s="78" t="n">
        <x:f>O1501+S1501*(1-'Inputs'!$B$17)</x:f>
        <x:v>7916026.27164129</x:v>
      </x:c>
      <x:c r="V1501" s="78" t="n">
        <x:f>P1501-T1501</x:f>
        <x:v>1416.5666249411684</x:v>
      </x:c>
      <x:c r="W1501" s="79" t="n">
        <x:f>IF(U1501&gt;0,V1501/U1501,0)</x:f>
        <x:v>0.0001789492071313529</x:v>
      </x:c>
      <x:c r="X1501" s="80" t="n">
        <x:f>W1501*('Inputs'!$B$6-AC1501)</x:f>
        <x:v>178902.72403030196</x:v>
      </x:c>
      <x:c r="Y1501" s="80" t="n">
        <x:f>2*V1501</x:f>
        <x:v>2833.1332498823367</x:v>
      </x:c>
      <x:c r="Z1501" s="80" t="n">
        <x:f>K1501*'Inputs'!$B$16+(G1501+R1501)*J1501*'Inputs'!$B$16</x:f>
        <x:v>5.41476291458668</x:v>
      </x:c>
      <x:c r="AA1501" s="80" t="n">
        <x:f>K1501*(1+'Inputs'!$E$48)/2*'Inputs'!$B$17</x:f>
        <x:v>1.7489673234358263</x:v>
      </x:c>
      <x:c r="AB1501" s="78" t="n">
        <x:f>(IF(J1501&gt;0,K1501*(1-'Inputs'!$E$48)/2/J1501,0)+G1501+R1501)*'Inputs'!$B$17</x:f>
        <x:v>10057.389850969797</x:v>
      </x:c>
      <x:c r="AC1501" s="78" t="n">
        <x:f>AC1500+AB1501</x:f>
        <x:v>259755.83684369104</x:v>
      </x:c>
      <x:c r="AD1501" s="80" t="n">
        <x:f>Z1501/(1+'Inputs'!$C$48)</x:f>
        <x:v>4.3318103316693435</x:v>
      </x:c>
      <x:c r="AE1501" s="80" t="n">
        <x:f>Z1501-AD1501</x:f>
        <x:v>1.0829525829173363</x:v>
      </x:c>
      <x:c r="AF1501" s="80" t="n">
        <x:f>D1501*W1501</x:f>
        <x:v>53.66902139239102</x:v>
      </x:c>
      <x:c r="AG1501" s="80" t="n">
        <x:f>C1501*W1501</x:f>
        <x:v>31.306929145561405</x:v>
      </x:c>
      <x:c r="AH1501" s="80" t="n">
        <x:f>2*'Inputs'!$B$8*'Inputs'!$C$48</x:f>
        <x:v>1250</x:v>
      </x:c>
      <x:c r="AI1501" s="81" t="n">
        <x:f>IF(AH1501&gt;0,(AE1501+AF1501)/AH1501*365,0)</x:f>
        <x:v>15.98757640079004</x:v>
      </x:c>
      <x:c r="AJ1501" s="81" t="n">
        <x:f>IF('Inputs'!$B$48&gt;0,AG1501/('Inputs'!$B$19*'Inputs'!$B$48)*365,0)</x:f>
        <x:v>4.5708116552519655</x:v>
      </x:c>
      <x:c r="AK1501" s="81" t="n">
        <x:f>W1501/MAX($W$1464:W1501)-1</x:f>
        <x:v>-0.7895587551698706</x:v>
      </x:c>
      <x:c r="AL1501" s="83" t="n">
        <x:f>'Inputs'!$B$48</x:f>
        <x:v>0.25</x:v>
      </x:c>
      <x:c r="AM1501" s="83" t="n">
        <x:f>'Inputs'!$C$48</x:f>
        <x:v>0.25</x:v>
      </x:c>
      <x:c r="AN1501" s="83" t="n">
        <x:f>'Inputs'!$D$48</x:f>
        <x:v>0.3</x:v>
      </x:c>
      <x:c r="AO1501" s="81" t="n">
        <x:f>'Inputs'!$E$48</x:f>
        <x:v>0</x:v>
      </x:c>
    </x:row>
    <x:row r="1502">
      <x:c r="A1502" s="59" t="str">
        <x:v>Low participation</x:v>
      </x:c>
      <x:c r="B1502" s="59" t="n">
        <x:v>39</x:v>
      </x:c>
      <x:c r="C1502" s="78" t="n">
        <x:f>(('Inputs'!$B$29*(3*39*'Inputs'!$B$12-39^2)/(2*'Inputs'!$B$12^2))-('Inputs'!$B$29*(3*38*'Inputs'!$B$12-38^2)/(2*'Inputs'!$B$12^2)))*'Inputs'!$B$48</x:f>
        <x:v>174867.4118033396</x:v>
      </x:c>
      <x:c r="D1502" s="78" t="n">
        <x:f>IF('Inputs'!$C$48&gt;0,('Inputs'!$B$30*(3*39*'Inputs'!$B$12-39^2)/(2*'Inputs'!$B$12^2))-('Inputs'!$B$30*(3*38*'Inputs'!$B$12-38^2)/(2*'Inputs'!$B$12^2)),0)</x:f>
        <x:v>299772.7059485819</x:v>
      </x:c>
      <x:c r="E1502" s="78" t="n">
        <x:f>C1502+D1502</x:f>
        <x:v>474640.1177519215</x:v>
      </x:c>
      <x:c r="F1502" s="78" t="n">
        <x:f>'Inputs'!$B$13*E1502+(1-'Inputs'!$B$13)/'Inputs'!$B$14*SUM(E1464:E1502)</x:f>
        <x:v>361705.6779950671</x:v>
      </x:c>
      <x:c r="G1502" s="78" t="n">
        <x:f>F1502*'Inputs'!$F$48</x:f>
        <x:v>180852.83899753354</x:v>
      </x:c>
      <x:c r="H1502" s="78" t="n">
        <x:f>U1501</x:f>
        <x:v>7916026.27164129</x:v>
      </x:c>
      <x:c r="I1502" s="78" t="n">
        <x:f>V1501</x:f>
        <x:v>1416.5666249411684</x:v>
      </x:c>
      <x:c r="J1502" s="79" t="n">
        <x:f>IF(H1502&gt;0,I1502/H1502,0)</x:f>
        <x:v>0.0001789492071313529</x:v>
      </x:c>
      <x:c r="K1502" s="80" t="n">
        <x:f>(H1502*J1502+I1502)*'Inputs'!$D$48*(1+'Inputs'!$G$48)^(B1502/30)</x:f>
        <x:v>849.939974964701</x:v>
      </x:c>
      <x:c r="L1502" s="80" t="n">
        <x:f>MAX(0,K1502*'Inputs'!$E$48)</x:f>
        <x:v>0</x:v>
      </x:c>
      <x:c r="M1502" s="80" t="n">
        <x:f>MAX(0,-K1502*'Inputs'!$E$48)</x:f>
        <x:v>0</x:v>
      </x:c>
      <x:c r="N1502" s="78" t="n">
        <x:f>H1502*(L1502*(1-'Inputs'!$B$15))/(I1502+L1502*(1-'Inputs'!$B$15))</x:f>
        <x:v>0</x:v>
      </x:c>
      <x:c r="O1502" s="78" t="n">
        <x:f>H1502-N1502</x:f>
        <x:v>7916026.27164129</x:v>
      </x:c>
      <x:c r="P1502" s="78" t="n">
        <x:f>I1502+L1502*(1-'Inputs'!$B$17)</x:f>
        <x:v>1416.5666249411684</x:v>
      </x:c>
      <x:c r="Q1502" s="78" t="n">
        <x:f>IF(J1502&gt;0,M1502/J1502,0)</x:f>
        <x:v>0</x:v>
      </x:c>
      <x:c r="R1502" s="78" t="n">
        <x:f>IF(B1502='Inputs'!$H$48,'Inputs'!$B$27*'Inputs'!$I$48,0)</x:f>
        <x:v>0</x:v>
      </x:c>
      <x:c r="S1502" s="78" t="n">
        <x:f>Q1502+G1502+R1502</x:f>
        <x:v>180852.83899753354</x:v>
      </x:c>
      <x:c r="T1502" s="78" t="n">
        <x:f>P1502*(S1502*(1-'Inputs'!$B$15))/(O1502+S1502*(1-'Inputs'!$B$15))</x:f>
        <x:v>31.331190039087698</x:v>
      </x:c>
      <x:c r="U1502" s="78" t="n">
        <x:f>O1502+S1502*(1-'Inputs'!$B$17)</x:f>
        <x:v>8096151.332614688</x:v>
      </x:c>
      <x:c r="V1502" s="78" t="n">
        <x:f>P1502-T1502</x:f>
        <x:v>1385.2354349020807</x:v>
      </x:c>
      <x:c r="W1502" s="79" t="n">
        <x:f>IF(U1502&gt;0,V1502/U1502,0)</x:f>
        <x:v>0.00017109801657508205</x:v>
      </x:c>
      <x:c r="X1502" s="80" t="n">
        <x:f>W1502*('Inputs'!$B$6-AC1502)</x:f>
        <x:v>171051.81323489276</x:v>
      </x:c>
      <x:c r="Y1502" s="80" t="n">
        <x:f>2*V1502</x:f>
        <x:v>2770.4708698041613</x:v>
      </x:c>
      <x:c r="Z1502" s="80" t="n">
        <x:f>K1502*'Inputs'!$B$16+(G1502+R1502)*J1502*'Inputs'!$B$16</x:f>
        <x:v>5.293820682664584</x:v>
      </x:c>
      <x:c r="AA1502" s="80" t="n">
        <x:f>K1502*(1+'Inputs'!$E$48)/2*'Inputs'!$B$17</x:f>
        <x:v>1.7101407946975877</x:v>
      </x:c>
      <x:c r="AB1502" s="78" t="n">
        <x:f>(IF(J1502&gt;0,K1502*(1-'Inputs'!$E$48)/2/J1502,0)+G1502+R1502)*'Inputs'!$B$17</x:f>
        <x:v>10284.34897581457</x:v>
      </x:c>
      <x:c r="AC1502" s="78" t="n">
        <x:f>AC1501+AB1502</x:f>
        <x:v>270040.1858195056</x:v>
      </x:c>
      <x:c r="AD1502" s="80" t="n">
        <x:f>Z1502/(1+'Inputs'!$C$48)</x:f>
        <x:v>4.235056546131667</x:v>
      </x:c>
      <x:c r="AE1502" s="80" t="n">
        <x:f>Z1502-AD1502</x:f>
        <x:v>1.0587641365329166</x:v>
      </x:c>
      <x:c r="AF1502" s="80" t="n">
        <x:f>D1502*W1502</x:f>
        <x:v>51.290515411147666</x:v>
      </x:c>
      <x:c r="AG1502" s="80" t="n">
        <x:f>C1502*W1502</x:f>
        <x:v>29.9194673231695</x:v>
      </x:c>
      <x:c r="AH1502" s="80" t="n">
        <x:f>2*'Inputs'!$B$8*'Inputs'!$C$48</x:f>
        <x:v>1250</x:v>
      </x:c>
      <x:c r="AI1502" s="81" t="n">
        <x:f>IF(AH1502&gt;0,(AE1502+AF1502)/AH1502*365,0)</x:f>
        <x:v>15.28598962792273</x:v>
      </x:c>
      <x:c r="AJ1502" s="81" t="n">
        <x:f>IF('Inputs'!$B$48&gt;0,AG1502/('Inputs'!$B$19*'Inputs'!$B$48)*365,0)</x:f>
        <x:v>4.368242229182747</x:v>
      </x:c>
      <x:c r="AK1502" s="81" t="n">
        <x:f>W1502/MAX($W$1464:W1502)-1</x:f>
        <x:v>-0.7987916226440888</x:v>
      </x:c>
      <x:c r="AL1502" s="83" t="n">
        <x:f>'Inputs'!$B$48</x:f>
        <x:v>0.25</x:v>
      </x:c>
      <x:c r="AM1502" s="83" t="n">
        <x:f>'Inputs'!$C$48</x:f>
        <x:v>0.25</x:v>
      </x:c>
      <x:c r="AN1502" s="83" t="n">
        <x:f>'Inputs'!$D$48</x:f>
        <x:v>0.3</x:v>
      </x:c>
      <x:c r="AO1502" s="81" t="n">
        <x:f>'Inputs'!$E$48</x:f>
        <x:v>0</x:v>
      </x:c>
    </x:row>
    <x:row r="1503">
      <x:c r="A1503" s="59" t="str">
        <x:v>Low participation</x:v>
      </x:c>
      <x:c r="B1503" s="59" t="n">
        <x:v>40</x:v>
      </x:c>
      <x:c r="C1503" s="78" t="n">
        <x:f>(('Inputs'!$B$29*(3*40*'Inputs'!$B$12-40^2)/(2*'Inputs'!$B$12^2))-('Inputs'!$B$29*(3*39*'Inputs'!$B$12-39^2)/(2*'Inputs'!$B$12^2)))*'Inputs'!$B$48</x:f>
        <x:v>174786.13482829835</x:v>
      </x:c>
      <x:c r="D1503" s="78" t="n">
        <x:f>IF('Inputs'!$C$48&gt;0,('Inputs'!$B$30*(3*40*'Inputs'!$B$12-40^2)/(2*'Inputs'!$B$12^2))-('Inputs'!$B$30*(3*39*'Inputs'!$B$12-39^2)/(2*'Inputs'!$B$12^2)),0)</x:f>
        <x:v>299633.37399136834</x:v>
      </x:c>
      <x:c r="E1503" s="78" t="n">
        <x:f>C1503+D1503</x:f>
        <x:v>474419.5088196667</x:v>
      </x:c>
      <x:c r="F1503" s="78" t="n">
        <x:f>'Inputs'!$B$13*E1503+(1-'Inputs'!$B$13)/'Inputs'!$B$14*SUM(E1464:E1503)</x:f>
        <x:v>368438.9777631828</x:v>
      </x:c>
      <x:c r="G1503" s="78" t="n">
        <x:f>F1503*'Inputs'!$F$48</x:f>
        <x:v>184219.4888815914</x:v>
      </x:c>
      <x:c r="H1503" s="78" t="n">
        <x:f>U1502</x:f>
        <x:v>8096151.332614688</x:v>
      </x:c>
      <x:c r="I1503" s="78" t="n">
        <x:f>V1502</x:f>
        <x:v>1385.2354349020807</x:v>
      </x:c>
      <x:c r="J1503" s="79" t="n">
        <x:f>IF(H1503&gt;0,I1503/H1503,0)</x:f>
        <x:v>0.00017109801657508205</x:v>
      </x:c>
      <x:c r="K1503" s="80" t="n">
        <x:f>(H1503*J1503+I1503)*'Inputs'!$D$48*(1+'Inputs'!$G$48)^(B1503/30)</x:f>
        <x:v>831.1412609412483</x:v>
      </x:c>
      <x:c r="L1503" s="80" t="n">
        <x:f>MAX(0,K1503*'Inputs'!$E$48)</x:f>
        <x:v>0</x:v>
      </x:c>
      <x:c r="M1503" s="80" t="n">
        <x:f>MAX(0,-K1503*'Inputs'!$E$48)</x:f>
        <x:v>0</x:v>
      </x:c>
      <x:c r="N1503" s="78" t="n">
        <x:f>H1503*(L1503*(1-'Inputs'!$B$15))/(I1503+L1503*(1-'Inputs'!$B$15))</x:f>
        <x:v>0</x:v>
      </x:c>
      <x:c r="O1503" s="78" t="n">
        <x:f>H1503-N1503</x:f>
        <x:v>8096151.332614688</x:v>
      </x:c>
      <x:c r="P1503" s="78" t="n">
        <x:f>I1503+L1503*(1-'Inputs'!$B$17)</x:f>
        <x:v>1385.2354349020807</x:v>
      </x:c>
      <x:c r="Q1503" s="78" t="n">
        <x:f>IF(J1503&gt;0,M1503/J1503,0)</x:f>
        <x:v>0</x:v>
      </x:c>
      <x:c r="R1503" s="78" t="n">
        <x:f>IF(B1503='Inputs'!$H$48,'Inputs'!$B$27*'Inputs'!$I$48,0)</x:f>
        <x:v>0</x:v>
      </x:c>
      <x:c r="S1503" s="78" t="n">
        <x:f>Q1503+G1503+R1503</x:f>
        <x:v>184219.4888815914</x:v>
      </x:c>
      <x:c r="T1503" s="78" t="n">
        <x:f>P1503*(S1503*(1-'Inputs'!$B$15))/(O1503+S1503*(1-'Inputs'!$B$15))</x:f>
        <x:v>30.516955555165705</x:v>
      </x:c>
      <x:c r="U1503" s="78" t="n">
        <x:f>O1503+S1503*(1-'Inputs'!$B$17)</x:f>
        <x:v>8279629.495585287</x:v>
      </x:c>
      <x:c r="V1503" s="78" t="n">
        <x:f>P1503-T1503</x:f>
        <x:v>1354.718479346915</x:v>
      </x:c>
      <x:c r="W1503" s="79" t="n">
        <x:f>IF(U1503&gt;0,V1503/U1503,0)</x:f>
        <x:v>0.000163620664435438</x:v>
      </x:c>
      <x:c r="X1503" s="80" t="n">
        <x:f>W1503*('Inputs'!$B$6-AC1503)</x:f>
        <x:v>163574.7597519838</x:v>
      </x:c>
      <x:c r="Y1503" s="80" t="n">
        <x:f>2*V1503</x:f>
        <x:v>2709.43695869383</x:v>
      </x:c>
      <x:c r="Z1503" s="80" t="n">
        <x:f>K1503*'Inputs'!$B$16+(G1503+R1503)*J1503*'Inputs'!$B$16</x:f>
        <x:v>5.175965100620184</x:v>
      </x:c>
      <x:c r="AA1503" s="80" t="n">
        <x:f>K1503*(1+'Inputs'!$E$48)/2*'Inputs'!$B$17</x:f>
        <x:v>1.6723164204049263</x:v>
      </x:c>
      <x:c r="AB1503" s="78" t="n">
        <x:f>(IF(J1503&gt;0,K1503*(1-'Inputs'!$E$48)/2/J1503,0)+G1503+R1503)*'Inputs'!$B$17</x:f>
        <x:v>10515.351664651904</x:v>
      </x:c>
      <x:c r="AC1503" s="78" t="n">
        <x:f>AC1502+AB1503</x:f>
        <x:v>280555.5374841575</x:v>
      </x:c>
      <x:c r="AD1503" s="80" t="n">
        <x:f>Z1503/(1+'Inputs'!$C$48)</x:f>
        <x:v>4.140772080496147</x:v>
      </x:c>
      <x:c r="AE1503" s="80" t="n">
        <x:f>Z1503-AD1503</x:f>
        <x:v>1.0351930201240371</x:v>
      </x:c>
      <x:c r="AF1503" s="80" t="n">
        <x:f>D1503*W1503</x:f>
        <x:v>49.02621173949977</x:v>
      </x:c>
      <x:c r="AG1503" s="80" t="n">
        <x:f>C1503*W1503</x:f>
        <x:v>28.598623514708226</x:v>
      </x:c>
      <x:c r="AH1503" s="80" t="n">
        <x:f>2*'Inputs'!$B$8*'Inputs'!$C$48</x:f>
        <x:v>1250</x:v>
      </x:c>
      <x:c r="AI1503" s="81" t="n">
        <x:f>IF(AH1503&gt;0,(AE1503+AF1503)/AH1503*365,0)</x:f>
        <x:v>14.617930189810155</x:v>
      </x:c>
      <x:c r="AJ1503" s="81" t="n">
        <x:f>IF('Inputs'!$B$48&gt;0,AG1503/('Inputs'!$B$19*'Inputs'!$B$48)*365,0)</x:f>
        <x:v>4.175399033147401</x:v>
      </x:c>
      <x:c r="AK1503" s="81" t="n">
        <x:f>W1503/MAX($W$1464:W1503)-1</x:f>
        <x:v>-0.8075848624551202</x:v>
      </x:c>
      <x:c r="AL1503" s="83" t="n">
        <x:f>'Inputs'!$B$48</x:f>
        <x:v>0.25</x:v>
      </x:c>
      <x:c r="AM1503" s="83" t="n">
        <x:f>'Inputs'!$C$48</x:f>
        <x:v>0.25</x:v>
      </x:c>
      <x:c r="AN1503" s="83" t="n">
        <x:f>'Inputs'!$D$48</x:f>
        <x:v>0.3</x:v>
      </x:c>
      <x:c r="AO1503" s="81" t="n">
        <x:f>'Inputs'!$E$48</x:f>
        <x:v>0</x:v>
      </x:c>
    </x:row>
    <x:row r="1504">
      <x:c r="A1504" s="59" t="str">
        <x:v>Low participation</x:v>
      </x:c>
      <x:c r="B1504" s="59" t="n">
        <x:v>41</x:v>
      </x:c>
      <x:c r="C1504" s="78" t="n">
        <x:f>(('Inputs'!$B$29*(3*41*'Inputs'!$B$12-41^2)/(2*'Inputs'!$B$12^2))-('Inputs'!$B$29*(3*40*'Inputs'!$B$12-40^2)/(2*'Inputs'!$B$12^2)))*'Inputs'!$B$48</x:f>
        <x:v>174704.85785325617</x:v>
      </x:c>
      <x:c r="D1504" s="78" t="n">
        <x:f>IF('Inputs'!$C$48&gt;0,('Inputs'!$B$30*(3*41*'Inputs'!$B$12-41^2)/(2*'Inputs'!$B$12^2))-('Inputs'!$B$30*(3*40*'Inputs'!$B$12-40^2)/(2*'Inputs'!$B$12^2)),0)</x:f>
        <x:v>299494.0420341529</x:v>
      </x:c>
      <x:c r="E1504" s="78" t="n">
        <x:f>C1504+D1504</x:f>
        <x:v>474198.89988740906</x:v>
      </x:c>
      <x:c r="F1504" s="78" t="n">
        <x:f>'Inputs'!$B$13*E1504+(1-'Inputs'!$B$13)/'Inputs'!$B$14*SUM(E1464:E1504)</x:f>
        <x:v>375169.1259751228</x:v>
      </x:c>
      <x:c r="G1504" s="78" t="n">
        <x:f>F1504*'Inputs'!$F$48</x:f>
        <x:v>187584.5629875614</x:v>
      </x:c>
      <x:c r="H1504" s="78" t="n">
        <x:f>U1503</x:f>
        <x:v>8279629.495585287</x:v>
      </x:c>
      <x:c r="I1504" s="78" t="n">
        <x:f>V1503</x:f>
        <x:v>1354.718479346915</x:v>
      </x:c>
      <x:c r="J1504" s="79" t="n">
        <x:f>IF(H1504&gt;0,I1504/H1504,0)</x:f>
        <x:v>0.000163620664435438</x:v>
      </x:c>
      <x:c r="K1504" s="80" t="n">
        <x:f>(H1504*J1504+I1504)*'Inputs'!$D$48*(1+'Inputs'!$G$48)^(B1504/30)</x:f>
        <x:v>812.831087608149</x:v>
      </x:c>
      <x:c r="L1504" s="80" t="n">
        <x:f>MAX(0,K1504*'Inputs'!$E$48)</x:f>
        <x:v>0</x:v>
      </x:c>
      <x:c r="M1504" s="80" t="n">
        <x:f>MAX(0,-K1504*'Inputs'!$E$48)</x:f>
        <x:v>0</x:v>
      </x:c>
      <x:c r="N1504" s="78" t="n">
        <x:f>H1504*(L1504*(1-'Inputs'!$B$15))/(I1504+L1504*(1-'Inputs'!$B$15))</x:f>
        <x:v>0</x:v>
      </x:c>
      <x:c r="O1504" s="78" t="n">
        <x:f>H1504-N1504</x:f>
        <x:v>8279629.495585287</x:v>
      </x:c>
      <x:c r="P1504" s="78" t="n">
        <x:f>I1504+L1504*(1-'Inputs'!$B$17)</x:f>
        <x:v>1354.718479346915</x:v>
      </x:c>
      <x:c r="Q1504" s="78" t="n">
        <x:f>IF(J1504&gt;0,M1504/J1504,0)</x:f>
        <x:v>0</x:v>
      </x:c>
      <x:c r="R1504" s="78" t="n">
        <x:f>IF(B1504='Inputs'!$H$48,'Inputs'!$B$27*'Inputs'!$I$48,0)</x:f>
        <x:v>0</x:v>
      </x:c>
      <x:c r="S1504" s="78" t="n">
        <x:f>Q1504+G1504+R1504</x:f>
        <x:v>187584.5629875614</x:v>
      </x:c>
      <x:c r="T1504" s="78" t="n">
        <x:f>P1504*(S1504*(1-'Inputs'!$B$15))/(O1504+S1504*(1-'Inputs'!$B$15))</x:f>
        <x:v>29.719194301725054</x:v>
      </x:c>
      <x:c r="U1504" s="78" t="n">
        <x:f>O1504+S1504*(1-'Inputs'!$B$17)</x:f>
        <x:v>8466459.191116158</x:v>
      </x:c>
      <x:c r="V1504" s="78" t="n">
        <x:f>P1504-T1504</x:f>
        <x:v>1324.99928504519</x:v>
      </x:c>
      <x:c r="W1504" s="79" t="n">
        <x:f>IF(U1504&gt;0,V1504/U1504,0)</x:f>
        <x:v>0.00015649981357442904</x:v>
      </x:c>
      <x:c r="X1504" s="80" t="n">
        <x:f>W1504*('Inputs'!$B$6-AC1504)</x:f>
        <x:v>156454.22425014208</x:v>
      </x:c>
      <x:c r="Y1504" s="80" t="n">
        <x:f>2*V1504</x:f>
        <x:v>2649.99857009038</x:v>
      </x:c>
      <x:c r="Z1504" s="80" t="n">
        <x:f>K1504*'Inputs'!$B$16+(G1504+R1504)*J1504*'Inputs'!$B$16</x:f>
        <x:v>5.06114279065203</x:v>
      </x:c>
      <x:c r="AA1504" s="80" t="n">
        <x:f>K1504*(1+'Inputs'!$E$48)/2*'Inputs'!$B$17</x:f>
        <x:v>1.6354750253685093</x:v>
      </x:c>
      <x:c r="AB1504" s="78" t="n">
        <x:f>(IF(J1504&gt;0,K1504*(1-'Inputs'!$E$48)/2/J1504,0)+G1504+R1504)*'Inputs'!$B$17</x:f>
        <x:v>10750.396022789328</x:v>
      </x:c>
      <x:c r="AC1504" s="78" t="n">
        <x:f>AC1503+AB1504</x:f>
        <x:v>291305.93350694684</x:v>
      </x:c>
      <x:c r="AD1504" s="80" t="n">
        <x:f>Z1504/(1+'Inputs'!$C$48)</x:f>
        <x:v>4.048914232521624</x:v>
      </x:c>
      <x:c r="AE1504" s="80" t="n">
        <x:f>Z1504-AD1504</x:f>
        <x:v>1.0122285581304062</x:v>
      </x:c>
      <x:c r="AF1504" s="80" t="n">
        <x:f>D1504*W1504</x:f>
        <x:v>46.87076174499714</x:v>
      </x:c>
      <x:c r="AG1504" s="80" t="n">
        <x:f>C1504*W1504</x:f>
        <x:v>27.341277684581716</x:v>
      </x:c>
      <x:c r="AH1504" s="80" t="n">
        <x:f>2*'Inputs'!$B$8*'Inputs'!$C$48</x:f>
        <x:v>1250</x:v>
      </x:c>
      <x:c r="AI1504" s="81" t="n">
        <x:f>IF(AH1504&gt;0,(AE1504+AF1504)/AH1504*365,0)</x:f>
        <x:v>13.981833168513242</x:v>
      </x:c>
      <x:c r="AJ1504" s="81" t="n">
        <x:f>IF('Inputs'!$B$48&gt;0,AG1504/('Inputs'!$B$19*'Inputs'!$B$48)*365,0)</x:f>
        <x:v>3.9918265419489303</x:v>
      </x:c>
      <x:c r="AK1504" s="81" t="n">
        <x:f>W1504/MAX($W$1464:W1504)-1</x:f>
        <x:v>-0.8159588627843894</x:v>
      </x:c>
      <x:c r="AL1504" s="83" t="n">
        <x:f>'Inputs'!$B$48</x:f>
        <x:v>0.25</x:v>
      </x:c>
      <x:c r="AM1504" s="83" t="n">
        <x:f>'Inputs'!$C$48</x:f>
        <x:v>0.25</x:v>
      </x:c>
      <x:c r="AN1504" s="83" t="n">
        <x:f>'Inputs'!$D$48</x:f>
        <x:v>0.3</x:v>
      </x:c>
      <x:c r="AO1504" s="81" t="n">
        <x:f>'Inputs'!$E$48</x:f>
        <x:v>0</x:v>
      </x:c>
    </x:row>
    <x:row r="1505">
      <x:c r="A1505" s="59" t="str">
        <x:v>Low participation</x:v>
      </x:c>
      <x:c r="B1505" s="59" t="n">
        <x:v>42</x:v>
      </x:c>
      <x:c r="C1505" s="78" t="n">
        <x:f>(('Inputs'!$B$29*(3*42*'Inputs'!$B$12-42^2)/(2*'Inputs'!$B$12^2))-('Inputs'!$B$29*(3*41*'Inputs'!$B$12-41^2)/(2*'Inputs'!$B$12^2)))*'Inputs'!$B$48</x:f>
        <x:v>174623.58087821305</x:v>
      </x:c>
      <x:c r="D1505" s="78" t="n">
        <x:f>IF('Inputs'!$C$48&gt;0,('Inputs'!$B$30*(3*42*'Inputs'!$B$12-42^2)/(2*'Inputs'!$B$12^2))-('Inputs'!$B$30*(3*41*'Inputs'!$B$12-41^2)/(2*'Inputs'!$B$12^2)),0)</x:f>
        <x:v>299354.71007693745</x:v>
      </x:c>
      <x:c r="E1505" s="78" t="n">
        <x:f>C1505+D1505</x:f>
        <x:v>473978.2909551505</x:v>
      </x:c>
      <x:c r="F1505" s="78" t="n">
        <x:f>'Inputs'!$B$13*E1505+(1-'Inputs'!$B$13)/'Inputs'!$B$14*SUM(E1464:E1505)</x:f>
        <x:v>381896.12263088755</x:v>
      </x:c>
      <x:c r="G1505" s="78" t="n">
        <x:f>F1505*'Inputs'!$F$48</x:f>
        <x:v>190948.06131544377</x:v>
      </x:c>
      <x:c r="H1505" s="78" t="n">
        <x:f>U1504</x:f>
        <x:v>8466459.191116158</x:v>
      </x:c>
      <x:c r="I1505" s="78" t="n">
        <x:f>V1504</x:f>
        <x:v>1324.99928504519</x:v>
      </x:c>
      <x:c r="J1505" s="79" t="n">
        <x:f>IF(H1505&gt;0,I1505/H1505,0)</x:f>
        <x:v>0.00015649981357442904</x:v>
      </x:c>
      <x:c r="K1505" s="80" t="n">
        <x:f>(H1505*J1505+I1505)*'Inputs'!$D$48*(1+'Inputs'!$G$48)^(B1505/30)</x:f>
        <x:v>794.9995710271139</x:v>
      </x:c>
      <x:c r="L1505" s="80" t="n">
        <x:f>MAX(0,K1505*'Inputs'!$E$48)</x:f>
        <x:v>0</x:v>
      </x:c>
      <x:c r="M1505" s="80" t="n">
        <x:f>MAX(0,-K1505*'Inputs'!$E$48)</x:f>
        <x:v>0</x:v>
      </x:c>
      <x:c r="N1505" s="78" t="n">
        <x:f>H1505*(L1505*(1-'Inputs'!$B$15))/(I1505+L1505*(1-'Inputs'!$B$15))</x:f>
        <x:v>0</x:v>
      </x:c>
      <x:c r="O1505" s="78" t="n">
        <x:f>H1505-N1505</x:f>
        <x:v>8466459.191116158</x:v>
      </x:c>
      <x:c r="P1505" s="78" t="n">
        <x:f>I1505+L1505*(1-'Inputs'!$B$17)</x:f>
        <x:v>1324.99928504519</x:v>
      </x:c>
      <x:c r="Q1505" s="78" t="n">
        <x:f>IF(J1505&gt;0,M1505/J1505,0)</x:f>
        <x:v>0</x:v>
      </x:c>
      <x:c r="R1505" s="78" t="n">
        <x:f>IF(B1505='Inputs'!$H$48,'Inputs'!$B$27*'Inputs'!$I$48,0)</x:f>
        <x:v>0</x:v>
      </x:c>
      <x:c r="S1505" s="78" t="n">
        <x:f>Q1505+G1505+R1505</x:f>
        <x:v>190948.06131544377</x:v>
      </x:c>
      <x:c r="T1505" s="78" t="n">
        <x:f>P1505*(S1505*(1-'Inputs'!$B$15))/(O1505+S1505*(1-'Inputs'!$B$15))</x:f>
        <x:v>28.93836852364736</x:v>
      </x:c>
      <x:c r="U1505" s="78" t="n">
        <x:f>O1505+S1505*(1-'Inputs'!$B$17)</x:f>
        <x:v>8656638.849770373</x:v>
      </x:c>
      <x:c r="V1505" s="78" t="n">
        <x:f>P1505-T1505</x:f>
        <x:v>1296.0609165215426</x:v>
      </x:c>
      <x:c r="W1505" s="79" t="n">
        <x:f>IF(U1505&gt;0,V1505/U1505,0)</x:f>
        <x:v>0.00014971872328437523</x:v>
      </x:c>
      <x:c r="X1505" s="80" t="n">
        <x:f>W1505*('Inputs'!$B$6-AC1505)</x:f>
        <x:v>149673.46400098698</x:v>
      </x:c>
      <x:c r="Y1505" s="80" t="n">
        <x:f>2*V1505</x:f>
        <x:v>2592.121833043085</x:v>
      </x:c>
      <x:c r="Z1505" s="80" t="n">
        <x:f>K1505*'Inputs'!$B$16+(G1505+R1505)*J1505*'Inputs'!$B$16</x:f>
        <x:v>4.949297442152277</x:v>
      </x:c>
      <x:c r="AA1505" s="80" t="n">
        <x:f>K1505*(1+'Inputs'!$E$48)/2*'Inputs'!$B$17</x:f>
        <x:v>1.5995967223885592</x:v>
      </x:c>
      <x:c r="AB1505" s="78" t="n">
        <x:f>(IF(J1505&gt;0,K1505*(1-'Inputs'!$E$48)/2/J1505,0)+G1505+R1505)*'Inputs'!$B$17</x:f>
        <x:v>10989.480155534371</x:v>
      </x:c>
      <x:c r="AC1505" s="78" t="n">
        <x:f>AC1504+AB1505</x:f>
        <x:v>302295.4136624812</x:v>
      </x:c>
      <x:c r="AD1505" s="80" t="n">
        <x:f>Z1505/(1+'Inputs'!$C$48)</x:f>
        <x:v>3.959437953721822</x:v>
      </x:c>
      <x:c r="AE1505" s="80" t="n">
        <x:f>Z1505-AD1505</x:f>
        <x:v>0.9898594884304552</x:v>
      </x:c>
      <x:c r="AF1505" s="80" t="n">
        <x:f>D1505*W1505</x:f>
        <x:v>44.81900500188337</x:v>
      </x:c>
      <x:c r="AG1505" s="80" t="n">
        <x:f>C1505*W1505</x:f>
        <x:v>26.144419584431898</x:v>
      </x:c>
      <x:c r="AH1505" s="80" t="n">
        <x:f>2*'Inputs'!$B$8*'Inputs'!$C$48</x:f>
        <x:v>1250</x:v>
      </x:c>
      <x:c r="AI1505" s="81" t="n">
        <x:f>IF(AH1505&gt;0,(AE1505+AF1505)/AH1505*365,0)</x:f>
        <x:v>13.376188431171638</x:v>
      </x:c>
      <x:c r="AJ1505" s="81" t="n">
        <x:f>IF('Inputs'!$B$48&gt;0,AG1505/('Inputs'!$B$19*'Inputs'!$B$48)*365,0)</x:f>
        <x:v>3.8170852593270572</x:v>
      </x:c>
      <x:c r="AK1505" s="81" t="n">
        <x:f>W1505/MAX($W$1464:W1505)-1</x:f>
        <x:v>-0.8239333104213491</x:v>
      </x:c>
      <x:c r="AL1505" s="83" t="n">
        <x:f>'Inputs'!$B$48</x:f>
        <x:v>0.25</x:v>
      </x:c>
      <x:c r="AM1505" s="83" t="n">
        <x:f>'Inputs'!$C$48</x:f>
        <x:v>0.25</x:v>
      </x:c>
      <x:c r="AN1505" s="83" t="n">
        <x:f>'Inputs'!$D$48</x:f>
        <x:v>0.3</x:v>
      </x:c>
      <x:c r="AO1505" s="81" t="n">
        <x:f>'Inputs'!$E$48</x:f>
        <x:v>0</x:v>
      </x:c>
    </x:row>
    <x:row r="1506">
      <x:c r="A1506" s="59" t="str">
        <x:v>Low participation</x:v>
      </x:c>
      <x:c r="B1506" s="59" t="n">
        <x:v>43</x:v>
      </x:c>
      <x:c r="C1506" s="78" t="n">
        <x:f>(('Inputs'!$B$29*(3*43*'Inputs'!$B$12-43^2)/(2*'Inputs'!$B$12^2))-('Inputs'!$B$29*(3*42*'Inputs'!$B$12-42^2)/(2*'Inputs'!$B$12^2)))*'Inputs'!$B$48</x:f>
        <x:v>174542.3039031718</x:v>
      </x:c>
      <x:c r="D1506" s="78" t="n">
        <x:f>IF('Inputs'!$C$48&gt;0,('Inputs'!$B$30*(3*43*'Inputs'!$B$12-43^2)/(2*'Inputs'!$B$12^2))-('Inputs'!$B$30*(3*42*'Inputs'!$B$12-42^2)/(2*'Inputs'!$B$12^2)),0)</x:f>
        <x:v>299215.378119722</x:v>
      </x:c>
      <x:c r="E1506" s="78" t="n">
        <x:f>C1506+D1506</x:f>
        <x:v>473757.6820228938</x:v>
      </x:c>
      <x:c r="F1506" s="78" t="n">
        <x:f>'Inputs'!$B$13*E1506+(1-'Inputs'!$B$13)/'Inputs'!$B$14*SUM(E1464:E1506)</x:f>
        <x:v>388619.96773047757</x:v>
      </x:c>
      <x:c r="G1506" s="78" t="n">
        <x:f>F1506*'Inputs'!$F$48</x:f>
        <x:v>194309.98386523878</x:v>
      </x:c>
      <x:c r="H1506" s="78" t="n">
        <x:f>U1505</x:f>
        <x:v>8656638.849770373</x:v>
      </x:c>
      <x:c r="I1506" s="78" t="n">
        <x:f>V1505</x:f>
        <x:v>1296.0609165215426</x:v>
      </x:c>
      <x:c r="J1506" s="79" t="n">
        <x:f>IF(H1506&gt;0,I1506/H1506,0)</x:f>
        <x:v>0.00014971872328437523</x:v>
      </x:c>
      <x:c r="K1506" s="80" t="n">
        <x:f>(H1506*J1506+I1506)*'Inputs'!$D$48*(1+'Inputs'!$G$48)^(B1506/30)</x:f>
        <x:v>777.6365499129255</x:v>
      </x:c>
      <x:c r="L1506" s="80" t="n">
        <x:f>MAX(0,K1506*'Inputs'!$E$48)</x:f>
        <x:v>0</x:v>
      </x:c>
      <x:c r="M1506" s="80" t="n">
        <x:f>MAX(0,-K1506*'Inputs'!$E$48)</x:f>
        <x:v>0</x:v>
      </x:c>
      <x:c r="N1506" s="78" t="n">
        <x:f>H1506*(L1506*(1-'Inputs'!$B$15))/(I1506+L1506*(1-'Inputs'!$B$15))</x:f>
        <x:v>0</x:v>
      </x:c>
      <x:c r="O1506" s="78" t="n">
        <x:f>H1506-N1506</x:f>
        <x:v>8656638.849770373</x:v>
      </x:c>
      <x:c r="P1506" s="78" t="n">
        <x:f>I1506+L1506*(1-'Inputs'!$B$17)</x:f>
        <x:v>1296.0609165215426</x:v>
      </x:c>
      <x:c r="Q1506" s="78" t="n">
        <x:f>IF(J1506&gt;0,M1506/J1506,0)</x:f>
        <x:v>0</x:v>
      </x:c>
      <x:c r="R1506" s="78" t="n">
        <x:f>IF(B1506='Inputs'!$H$48,'Inputs'!$B$27*'Inputs'!$I$48,0)</x:f>
        <x:v>0</x:v>
      </x:c>
      <x:c r="S1506" s="78" t="n">
        <x:f>Q1506+G1506+R1506</x:f>
        <x:v>194309.98386523878</x:v>
      </x:c>
      <x:c r="T1506" s="78" t="n">
        <x:f>P1506*(S1506*(1-'Inputs'!$B$15))/(O1506+S1506*(1-'Inputs'!$B$15))</x:f>
        <x:v>28.174826361301516</x:v>
      </x:c>
      <x:c r="U1506" s="78" t="n">
        <x:f>O1506+S1506*(1-'Inputs'!$B$17)</x:f>
        <x:v>8850166.902111003</x:v>
      </x:c>
      <x:c r="V1506" s="78" t="n">
        <x:f>P1506-T1506</x:f>
        <x:v>1267.886090160241</x:v>
      </x:c>
      <x:c r="W1506" s="79" t="n">
        <x:f>IF(U1506&gt;0,V1506/U1506,0)</x:f>
        <x:v>0.00014326126322632582</x:v>
      </x:c>
      <x:c r="X1506" s="80" t="n">
        <x:f>W1506*('Inputs'!$B$6-AC1506)</x:f>
        <x:v>143216.3468067211</x:v>
      </x:c>
      <x:c r="Y1506" s="80" t="n">
        <x:f>2*V1506</x:f>
        <x:v>2535.772180320482</x:v>
      </x:c>
      <x:c r="Z1506" s="80" t="n">
        <x:f>K1506*'Inputs'!$B$16+(G1506+R1506)*J1506*'Inputs'!$B$16</x:f>
        <x:v>4.840370355711819</x:v>
      </x:c>
      <x:c r="AA1506" s="80" t="n">
        <x:f>K1506*(1+'Inputs'!$E$48)/2*'Inputs'!$B$17</x:f>
        <x:v>1.5646610662231903</x:v>
      </x:c>
      <x:c r="AB1506" s="78" t="n">
        <x:f>(IF(J1506&gt;0,K1506*(1-'Inputs'!$E$48)/2/J1506,0)+G1506+R1506)*'Inputs'!$B$17</x:f>
        <x:v>11232.602168194568</x:v>
      </x:c>
      <x:c r="AC1506" s="78" t="n">
        <x:f>AC1505+AB1506</x:f>
        <x:v>313528.0158306757</x:v>
      </x:c>
      <x:c r="AD1506" s="80" t="n">
        <x:f>Z1506/(1+'Inputs'!$C$48)</x:f>
        <x:v>3.8722962845694555</x:v>
      </x:c>
      <x:c r="AE1506" s="80" t="n">
        <x:f>Z1506-AD1506</x:f>
        <x:v>0.9680740711423637</x:v>
      </x:c>
      <x:c r="AF1506" s="80" t="n">
        <x:f>D1506*W1506</x:f>
        <x:v>42.865973046174105</x:v>
      </x:c>
      <x:c r="AG1506" s="80" t="n">
        <x:f>C1506*W1506</x:f>
        <x:v>25.005150943601652</x:v>
      </x:c>
      <x:c r="AH1506" s="80" t="n">
        <x:f>2*'Inputs'!$B$8*'Inputs'!$C$48</x:f>
        <x:v>1250</x:v>
      </x:c>
      <x:c r="AI1506" s="81" t="n">
        <x:f>IF(AH1506&gt;0,(AE1506+AF1506)/AH1506*365,0)</x:f>
        <x:v>12.799541758256407</x:v>
      </x:c>
      <x:c r="AJ1506" s="81" t="n">
        <x:f>IF('Inputs'!$B$48&gt;0,AG1506/('Inputs'!$B$19*'Inputs'!$B$48)*365,0)</x:f>
        <x:v>3.650752037765841</x:v>
      </x:c>
      <x:c r="AK1506" s="81" t="n">
        <x:f>W1506/MAX($W$1464:W1506)-1</x:f>
        <x:v>-0.8315271743721364</x:v>
      </x:c>
      <x:c r="AL1506" s="83" t="n">
        <x:f>'Inputs'!$B$48</x:f>
        <x:v>0.25</x:v>
      </x:c>
      <x:c r="AM1506" s="83" t="n">
        <x:f>'Inputs'!$C$48</x:f>
        <x:v>0.25</x:v>
      </x:c>
      <x:c r="AN1506" s="83" t="n">
        <x:f>'Inputs'!$D$48</x:f>
        <x:v>0.3</x:v>
      </x:c>
      <x:c r="AO1506" s="81" t="n">
        <x:f>'Inputs'!$E$48</x:f>
        <x:v>0</x:v>
      </x:c>
    </x:row>
    <x:row r="1507">
      <x:c r="A1507" s="59" t="str">
        <x:v>Low participation</x:v>
      </x:c>
      <x:c r="B1507" s="59" t="n">
        <x:v>44</x:v>
      </x:c>
      <x:c r="C1507" s="78" t="n">
        <x:f>(('Inputs'!$B$29*(3*44*'Inputs'!$B$12-44^2)/(2*'Inputs'!$B$12^2))-('Inputs'!$B$29*(3*43*'Inputs'!$B$12-43^2)/(2*'Inputs'!$B$12^2)))*'Inputs'!$B$48</x:f>
        <x:v>174461.02692812867</x:v>
      </x:c>
      <x:c r="D1507" s="78" t="n">
        <x:f>IF('Inputs'!$C$48&gt;0,('Inputs'!$B$30*(3*44*'Inputs'!$B$12-44^2)/(2*'Inputs'!$B$12^2))-('Inputs'!$B$30*(3*43*'Inputs'!$B$12-43^2)/(2*'Inputs'!$B$12^2)),0)</x:f>
        <x:v>299076.0461625084</x:v>
      </x:c>
      <x:c r="E1507" s="78" t="n">
        <x:f>C1507+D1507</x:f>
        <x:v>473537.0730906371</x:v>
      </x:c>
      <x:c r="F1507" s="78" t="n">
        <x:f>'Inputs'!$B$13*E1507+(1-'Inputs'!$B$13)/'Inputs'!$B$14*SUM(E1464:E1507)</x:f>
        <x:v>395340.6612738924</x:v>
      </x:c>
      <x:c r="G1507" s="78" t="n">
        <x:f>F1507*'Inputs'!$F$48</x:f>
        <x:v>197670.3306369462</x:v>
      </x:c>
      <x:c r="H1507" s="78" t="n">
        <x:f>U1506</x:f>
        <x:v>8850166.902111003</x:v>
      </x:c>
      <x:c r="I1507" s="78" t="n">
        <x:f>V1506</x:f>
        <x:v>1267.886090160241</x:v>
      </x:c>
      <x:c r="J1507" s="79" t="n">
        <x:f>IF(H1507&gt;0,I1507/H1507,0)</x:f>
        <x:v>0.00014326126322632582</x:v>
      </x:c>
      <x:c r="K1507" s="80" t="n">
        <x:f>(H1507*J1507+I1507)*'Inputs'!$D$48*(1+'Inputs'!$G$48)^(B1507/30)</x:f>
        <x:v>760.7316540961447</x:v>
      </x:c>
      <x:c r="L1507" s="80" t="n">
        <x:f>MAX(0,K1507*'Inputs'!$E$48)</x:f>
        <x:v>0</x:v>
      </x:c>
      <x:c r="M1507" s="80" t="n">
        <x:f>MAX(0,-K1507*'Inputs'!$E$48)</x:f>
        <x:v>0</x:v>
      </x:c>
      <x:c r="N1507" s="78" t="n">
        <x:f>H1507*(L1507*(1-'Inputs'!$B$15))/(I1507+L1507*(1-'Inputs'!$B$15))</x:f>
        <x:v>0</x:v>
      </x:c>
      <x:c r="O1507" s="78" t="n">
        <x:f>H1507-N1507</x:f>
        <x:v>8850166.902111003</x:v>
      </x:c>
      <x:c r="P1507" s="78" t="n">
        <x:f>I1507+L1507*(1-'Inputs'!$B$17)</x:f>
        <x:v>1267.886090160241</x:v>
      </x:c>
      <x:c r="Q1507" s="78" t="n">
        <x:f>IF(J1507&gt;0,M1507/J1507,0)</x:f>
        <x:v>0</x:v>
      </x:c>
      <x:c r="R1507" s="78" t="n">
        <x:f>IF(B1507='Inputs'!$H$48,'Inputs'!$B$27*'Inputs'!$I$48,0)</x:f>
        <x:v>0</x:v>
      </x:c>
      <x:c r="S1507" s="78" t="n">
        <x:f>Q1507+G1507+R1507</x:f>
        <x:v>197670.3306369462</x:v>
      </x:c>
      <x:c r="T1507" s="78" t="n">
        <x:f>P1507*(S1507*(1-'Inputs'!$B$15))/(O1507+S1507*(1-'Inputs'!$B$15))</x:f>
        <x:v>27.42881423142581</x:v>
      </x:c>
      <x:c r="U1507" s="78" t="n">
        <x:f>O1507+S1507*(1-'Inputs'!$B$17)</x:f>
        <x:v>9047041.778701121</x:v>
      </x:c>
      <x:c r="V1507" s="78" t="n">
        <x:f>P1507-T1507</x:f>
        <x:v>1240.4572759288153</x:v>
      </x:c>
      <x:c r="W1507" s="79" t="n">
        <x:f>IF(U1507&gt;0,V1507/U1507,0)</x:f>
        <x:v>0.00013711192081030792</x:v>
      </x:c>
      <x:c r="X1507" s="80" t="n">
        <x:f>W1507*('Inputs'!$B$6-AC1507)</x:f>
        <x:v>137067.35836986272</x:v>
      </x:c>
      <x:c r="Y1507" s="80" t="n">
        <x:f>2*V1507</x:f>
        <x:v>2480.9145518576306</x:v>
      </x:c>
      <x:c r="Z1507" s="80" t="n">
        <x:f>K1507*'Inputs'!$B$16+(G1507+R1507)*J1507*'Inputs'!$B$16</x:f>
        <x:v>4.734300932193354</x:v>
      </x:c>
      <x:c r="AA1507" s="80" t="n">
        <x:f>K1507*(1+'Inputs'!$E$48)/2*'Inputs'!$B$17</x:f>
        <x:v>1.5306471913403314</x:v>
      </x:c>
      <x:c r="AB1507" s="78" t="n">
        <x:f>(IF(J1507&gt;0,K1507*(1-'Inputs'!$E$48)/2/J1507,0)+G1507+R1507)*'Inputs'!$B$17</x:f>
        <x:v>11479.760166077454</x:v>
      </x:c>
      <x:c r="AC1507" s="78" t="n">
        <x:f>AC1506+AB1507</x:f>
        <x:v>325007.7759967532</x:v>
      </x:c>
      <x:c r="AD1507" s="80" t="n">
        <x:f>Z1507/(1+'Inputs'!$C$48)</x:f>
        <x:v>3.787440745754683</x:v>
      </x:c>
      <x:c r="AE1507" s="80" t="n">
        <x:f>Z1507-AD1507</x:f>
        <x:v>0.9468601864386708</x:v>
      </x:c>
      <x:c r="AF1507" s="80" t="n">
        <x:f>D1507*W1507</x:f>
        <x:v>41.00689115769385</x:v>
      </x:c>
      <x:c r="AG1507" s="80" t="n">
        <x:f>C1507*W1507</x:f>
        <x:v>23.920686508654576</x:v>
      </x:c>
      <x:c r="AH1507" s="80" t="n">
        <x:f>2*'Inputs'!$B$8*'Inputs'!$C$48</x:f>
        <x:v>1250</x:v>
      </x:c>
      <x:c r="AI1507" s="81" t="n">
        <x:f>IF(AH1507&gt;0,(AE1507+AF1507)/AH1507*365,0)</x:f>
        <x:v>12.250495392486695</x:v>
      </x:c>
      <x:c r="AJ1507" s="81" t="n">
        <x:f>IF('Inputs'!$B$48&gt;0,AG1507/('Inputs'!$B$19*'Inputs'!$B$48)*365,0)</x:f>
        <x:v>3.4924202302635683</x:v>
      </x:c>
      <x:c r="AK1507" s="81" t="n">
        <x:f>W1507/MAX($W$1464:W1507)-1</x:f>
        <x:v>-0.8387586971805255</x:v>
      </x:c>
      <x:c r="AL1507" s="83" t="n">
        <x:f>'Inputs'!$B$48</x:f>
        <x:v>0.25</x:v>
      </x:c>
      <x:c r="AM1507" s="83" t="n">
        <x:f>'Inputs'!$C$48</x:f>
        <x:v>0.25</x:v>
      </x:c>
      <x:c r="AN1507" s="83" t="n">
        <x:f>'Inputs'!$D$48</x:f>
        <x:v>0.3</x:v>
      </x:c>
      <x:c r="AO1507" s="81" t="n">
        <x:f>'Inputs'!$E$48</x:f>
        <x:v>0</x:v>
      </x:c>
    </x:row>
    <x:row r="1508">
      <x:c r="A1508" s="59" t="str">
        <x:v>Low participation</x:v>
      </x:c>
      <x:c r="B1508" s="59" t="n">
        <x:v>45</x:v>
      </x:c>
      <x:c r="C1508" s="78" t="n">
        <x:f>(('Inputs'!$B$29*(3*45*'Inputs'!$B$12-45^2)/(2*'Inputs'!$B$12^2))-('Inputs'!$B$29*(3*44*'Inputs'!$B$12-44^2)/(2*'Inputs'!$B$12^2)))*'Inputs'!$B$48</x:f>
        <x:v>174379.7499530865</x:v>
      </x:c>
      <x:c r="D1508" s="78" t="n">
        <x:f>IF('Inputs'!$C$48&gt;0,('Inputs'!$B$30*(3*45*'Inputs'!$B$12-45^2)/(2*'Inputs'!$B$12^2))-('Inputs'!$B$30*(3*44*'Inputs'!$B$12-44^2)/(2*'Inputs'!$B$12^2)),0)</x:f>
        <x:v>298936.7142052911</x:v>
      </x:c>
      <x:c r="E1508" s="78" t="n">
        <x:f>C1508+D1508</x:f>
        <x:v>473316.4641583776</x:v>
      </x:c>
      <x:c r="F1508" s="78" t="n">
        <x:f>'Inputs'!$B$13*E1508+(1-'Inputs'!$B$13)/'Inputs'!$B$14*SUM(E1464:E1508)</x:f>
        <x:v>402058.20326113165</x:v>
      </x:c>
      <x:c r="G1508" s="78" t="n">
        <x:f>F1508*'Inputs'!$F$48</x:f>
        <x:v>201029.10163056583</x:v>
      </x:c>
      <x:c r="H1508" s="78" t="n">
        <x:f>U1507</x:f>
        <x:v>9047041.778701121</x:v>
      </x:c>
      <x:c r="I1508" s="78" t="n">
        <x:f>V1507</x:f>
        <x:v>1240.4572759288153</x:v>
      </x:c>
      <x:c r="J1508" s="79" t="n">
        <x:f>IF(H1508&gt;0,I1508/H1508,0)</x:f>
        <x:v>0.00013711192081030792</x:v>
      </x:c>
      <x:c r="K1508" s="80" t="n">
        <x:f>(H1508*J1508+I1508)*'Inputs'!$D$48*(1+'Inputs'!$G$48)^(B1508/30)</x:f>
        <x:v>744.2743655572891</x:v>
      </x:c>
      <x:c r="L1508" s="80" t="n">
        <x:f>MAX(0,K1508*'Inputs'!$E$48)</x:f>
        <x:v>0</x:v>
      </x:c>
      <x:c r="M1508" s="80" t="n">
        <x:f>MAX(0,-K1508*'Inputs'!$E$48)</x:f>
        <x:v>0</x:v>
      </x:c>
      <x:c r="N1508" s="78" t="n">
        <x:f>H1508*(L1508*(1-'Inputs'!$B$15))/(I1508+L1508*(1-'Inputs'!$B$15))</x:f>
        <x:v>0</x:v>
      </x:c>
      <x:c r="O1508" s="78" t="n">
        <x:f>H1508-N1508</x:f>
        <x:v>9047041.778701121</x:v>
      </x:c>
      <x:c r="P1508" s="78" t="n">
        <x:f>I1508+L1508*(1-'Inputs'!$B$17)</x:f>
        <x:v>1240.4572759288153</x:v>
      </x:c>
      <x:c r="Q1508" s="78" t="n">
        <x:f>IF(J1508&gt;0,M1508/J1508,0)</x:f>
        <x:v>0</x:v>
      </x:c>
      <x:c r="R1508" s="78" t="n">
        <x:f>IF(B1508='Inputs'!$H$48,'Inputs'!$B$27*'Inputs'!$I$48,0)</x:f>
        <x:v>0</x:v>
      </x:c>
      <x:c r="S1508" s="78" t="n">
        <x:f>Q1508+G1508+R1508</x:f>
        <x:v>201029.10163056583</x:v>
      </x:c>
      <x:c r="T1508" s="78" t="n">
        <x:f>P1508*(S1508*(1-'Inputs'!$B$15))/(O1508+S1508*(1-'Inputs'!$B$15))</x:f>
        <x:v>26.700488201260818</x:v>
      </x:c>
      <x:c r="U1508" s="78" t="n">
        <x:f>O1508+S1508*(1-'Inputs'!$B$17)</x:f>
        <x:v>9247261.910103798</x:v>
      </x:c>
      <x:c r="V1508" s="78" t="n">
        <x:f>P1508-T1508</x:f>
        <x:v>1213.7567877275544</x:v>
      </x:c>
      <x:c r="W1508" s="79" t="n">
        <x:f>IF(U1508&gt;0,V1508/U1508,0)</x:f>
        <x:v>0.00013125580301790439</x:v>
      </x:c>
      <x:c r="X1508" s="80" t="n">
        <x:f>W1508*('Inputs'!$B$6-AC1508)</x:f>
        <x:v>131211.60410572053</x:v>
      </x:c>
      <x:c r="Y1508" s="80" t="n">
        <x:f>2*V1508</x:f>
        <x:v>2427.513575455109</x:v>
      </x:c>
      <x:c r="Z1508" s="80" t="n">
        <x:f>K1508*'Inputs'!$B$16+(G1508+R1508)*J1508*'Inputs'!$B$16</x:f>
        <x:v>4.6310271109237595</x:v>
      </x:c>
      <x:c r="AA1508" s="80" t="n">
        <x:f>K1508*(1+'Inputs'!$E$48)/2*'Inputs'!$B$17</x:f>
        <x:v>1.497533934722916</x:v>
      </x:c>
      <x:c r="AB1508" s="78" t="n">
        <x:f>(IF(J1508&gt;0,K1508*(1-'Inputs'!$E$48)/2/J1508,0)+G1508+R1508)*'Inputs'!$B$17</x:f>
        <x:v>11730.952254490549</x:v>
      </x:c>
      <x:c r="AC1508" s="78" t="n">
        <x:f>AC1507+AB1508</x:f>
        <x:v>336738.7282512437</x:v>
      </x:c>
      <x:c r="AD1508" s="80" t="n">
        <x:f>Z1508/(1+'Inputs'!$C$48)</x:f>
        <x:v>3.7048216887390075</x:v>
      </x:c>
      <x:c r="AE1508" s="80" t="n">
        <x:f>Z1508-AD1508</x:f>
        <x:v>0.926205422184752</x:v>
      </x:c>
      <x:c r="AF1508" s="80" t="n">
        <x:f>D1508*W1508</x:f>
        <x:v>39.237178474549275</x:v>
      </x:c>
      <x:c r="AG1508" s="80" t="n">
        <x:f>C1508*W1508</x:f>
        <x:v>22.88835411015374</x:v>
      </x:c>
      <x:c r="AH1508" s="80" t="n">
        <x:f>2*'Inputs'!$B$8*'Inputs'!$C$48</x:f>
        <x:v>1250</x:v>
      </x:c>
      <x:c r="AI1508" s="81" t="n">
        <x:f>IF(AH1508&gt;0,(AE1508+AF1508)/AH1508*365,0)</x:f>
        <x:v>11.727708097846335</x:v>
      </x:c>
      <x:c r="AJ1508" s="81" t="n">
        <x:f>IF('Inputs'!$B$48&gt;0,AG1508/('Inputs'!$B$19*'Inputs'!$B$48)*365,0)</x:f>
        <x:v>3.341699700082446</x:v>
      </x:c>
      <x:c r="AK1508" s="81" t="n">
        <x:f>W1508/MAX($W$1464:W1508)-1</x:f>
        <x:v>-0.8456453927846066</x:v>
      </x:c>
      <x:c r="AL1508" s="83" t="n">
        <x:f>'Inputs'!$B$48</x:f>
        <x:v>0.25</x:v>
      </x:c>
      <x:c r="AM1508" s="83" t="n">
        <x:f>'Inputs'!$C$48</x:f>
        <x:v>0.25</x:v>
      </x:c>
      <x:c r="AN1508" s="83" t="n">
        <x:f>'Inputs'!$D$48</x:f>
        <x:v>0.3</x:v>
      </x:c>
      <x:c r="AO1508" s="81" t="n">
        <x:f>'Inputs'!$E$48</x:f>
        <x:v>0</x:v>
      </x:c>
    </x:row>
    <x:row r="1509">
      <x:c r="A1509" s="59" t="str">
        <x:v>Low participation</x:v>
      </x:c>
      <x:c r="B1509" s="59" t="n">
        <x:v>46</x:v>
      </x:c>
      <x:c r="C1509" s="78" t="n">
        <x:f>(('Inputs'!$B$29*(3*46*'Inputs'!$B$12-46^2)/(2*'Inputs'!$B$12^2))-('Inputs'!$B$29*(3*45*'Inputs'!$B$12-45^2)/(2*'Inputs'!$B$12^2)))*'Inputs'!$B$48</x:f>
        <x:v>174298.47297804523</x:v>
      </x:c>
      <x:c r="D1509" s="78" t="n">
        <x:f>IF('Inputs'!$C$48&gt;0,('Inputs'!$B$30*(3*46*'Inputs'!$B$12-46^2)/(2*'Inputs'!$B$12^2))-('Inputs'!$B$30*(3*45*'Inputs'!$B$12-45^2)/(2*'Inputs'!$B$12^2)),0)</x:f>
        <x:v>298797.3822480757</x:v>
      </x:c>
      <x:c r="E1509" s="78" t="n">
        <x:f>C1509+D1509</x:f>
        <x:v>473095.8552261209</x:v>
      </x:c>
      <x:c r="F1509" s="78" t="n">
        <x:f>'Inputs'!$B$13*E1509+(1-'Inputs'!$B$13)/'Inputs'!$B$14*SUM(E1464:E1509)</x:f>
        <x:v>408772.5936921963</x:v>
      </x:c>
      <x:c r="G1509" s="78" t="n">
        <x:f>F1509*'Inputs'!$F$48</x:f>
        <x:v>204386.29684609815</x:v>
      </x:c>
      <x:c r="H1509" s="78" t="n">
        <x:f>U1508</x:f>
        <x:v>9247261.910103798</x:v>
      </x:c>
      <x:c r="I1509" s="78" t="n">
        <x:f>V1508</x:f>
        <x:v>1213.7567877275544</x:v>
      </x:c>
      <x:c r="J1509" s="79" t="n">
        <x:f>IF(H1509&gt;0,I1509/H1509,0)</x:f>
        <x:v>0.00013125580301790439</x:v>
      </x:c>
      <x:c r="K1509" s="80" t="n">
        <x:f>(H1509*J1509+I1509)*'Inputs'!$D$48*(1+'Inputs'!$G$48)^(B1509/30)</x:f>
        <x:v>728.2540726365327</x:v>
      </x:c>
      <x:c r="L1509" s="80" t="n">
        <x:f>MAX(0,K1509*'Inputs'!$E$48)</x:f>
        <x:v>0</x:v>
      </x:c>
      <x:c r="M1509" s="80" t="n">
        <x:f>MAX(0,-K1509*'Inputs'!$E$48)</x:f>
        <x:v>0</x:v>
      </x:c>
      <x:c r="N1509" s="78" t="n">
        <x:f>H1509*(L1509*(1-'Inputs'!$B$15))/(I1509+L1509*(1-'Inputs'!$B$15))</x:f>
        <x:v>0</x:v>
      </x:c>
      <x:c r="O1509" s="78" t="n">
        <x:f>H1509-N1509</x:f>
        <x:v>9247261.910103798</x:v>
      </x:c>
      <x:c r="P1509" s="78" t="n">
        <x:f>I1509+L1509*(1-'Inputs'!$B$17)</x:f>
        <x:v>1213.7567877275544</x:v>
      </x:c>
      <x:c r="Q1509" s="78" t="n">
        <x:f>IF(J1509&gt;0,M1509/J1509,0)</x:f>
        <x:v>0</x:v>
      </x:c>
      <x:c r="R1509" s="78" t="n">
        <x:f>IF(B1509='Inputs'!$H$48,'Inputs'!$B$27*'Inputs'!$I$48,0)</x:f>
        <x:v>0</x:v>
      </x:c>
      <x:c r="S1509" s="78" t="n">
        <x:f>Q1509+G1509+R1509</x:f>
        <x:v>204386.29684609815</x:v>
      </x:c>
      <x:c r="T1509" s="78" t="n">
        <x:f>P1509*(S1509*(1-'Inputs'!$B$15))/(O1509+S1509*(1-'Inputs'!$B$15))</x:f>
        <x:v>25.989924405747</x:v>
      </x:c>
      <x:c r="U1509" s="78" t="n">
        <x:f>O1509+S1509*(1-'Inputs'!$B$17)</x:f>
        <x:v>9450825.726882106</x:v>
      </x:c>
      <x:c r="V1509" s="78" t="n">
        <x:f>P1509-T1509</x:f>
        <x:v>1187.7668633218075</x:v>
      </x:c>
      <x:c r="W1509" s="79" t="n">
        <x:f>IF(U1509&gt;0,V1509/U1509,0)</x:f>
        <x:v>0.00012567863355508727</x:v>
      </x:c>
      <x:c r="X1509" s="80" t="n">
        <x:f>W1509*('Inputs'!$B$6-AC1509)</x:f>
        <x:v>125634.80628556664</x:v>
      </x:c>
      <x:c r="Y1509" s="80" t="n">
        <x:f>2*V1509</x:f>
        <x:v>2375.533726643615</x:v>
      </x:c>
      <x:c r="Z1509" s="80" t="n">
        <x:f>K1509*'Inputs'!$B$16+(G1509+R1509)*J1509*'Inputs'!$B$16</x:f>
        <x:v>4.530485760929539</x:v>
      </x:c>
      <x:c r="AA1509" s="80" t="n">
        <x:f>K1509*(1+'Inputs'!$E$48)/2*'Inputs'!$B$17</x:f>
        <x:v>1.4652999449427218</x:v>
      </x:c>
      <x:c r="AB1509" s="78" t="n">
        <x:f>(IF(J1509&gt;0,K1509*(1-'Inputs'!$E$48)/2/J1509,0)+G1509+R1509)*'Inputs'!$B$17</x:f>
        <x:v>11986.176538741402</x:v>
      </x:c>
      <x:c r="AC1509" s="78" t="n">
        <x:f>AC1508+AB1509</x:f>
        <x:v>348724.9047899851</x:v>
      </x:c>
      <x:c r="AD1509" s="80" t="n">
        <x:f>Z1509/(1+'Inputs'!$C$48)</x:f>
        <x:v>3.624388608743631</x:v>
      </x:c>
      <x:c r="AE1509" s="80" t="n">
        <x:f>Z1509-AD1509</x:f>
        <x:v>0.9060971521859078</x:v>
      </x:c>
      <x:c r="AF1509" s="80" t="n">
        <x:f>D1509*W1509</x:f>
        <x:v>37.55244671077524</x:v>
      </x:c>
      <x:c r="AG1509" s="80" t="n">
        <x:f>C1509*W1509</x:f>
        <x:v>21.90559391461903</x:v>
      </x:c>
      <x:c r="AH1509" s="80" t="n">
        <x:f>2*'Inputs'!$B$8*'Inputs'!$C$48</x:f>
        <x:v>1250</x:v>
      </x:c>
      <x:c r="AI1509" s="81" t="n">
        <x:f>IF(AH1509&gt;0,(AE1509+AF1509)/AH1509*365,0)</x:f>
        <x:v>11.229894807984655</x:v>
      </x:c>
      <x:c r="AJ1509" s="81" t="n">
        <x:f>IF('Inputs'!$B$48&gt;0,AG1509/('Inputs'!$B$19*'Inputs'!$B$48)*365,0)</x:f>
        <x:v>3.198216711534378</x:v>
      </x:c>
      <x:c r="AK1509" s="81" t="n">
        <x:f>W1509/MAX($W$1464:W1509)-1</x:f>
        <x:v>-0.8522040498650054</x:v>
      </x:c>
      <x:c r="AL1509" s="83" t="n">
        <x:f>'Inputs'!$B$48</x:f>
        <x:v>0.25</x:v>
      </x:c>
      <x:c r="AM1509" s="83" t="n">
        <x:f>'Inputs'!$C$48</x:f>
        <x:v>0.25</x:v>
      </x:c>
      <x:c r="AN1509" s="83" t="n">
        <x:f>'Inputs'!$D$48</x:f>
        <x:v>0.3</x:v>
      </x:c>
      <x:c r="AO1509" s="81" t="n">
        <x:f>'Inputs'!$E$48</x:f>
        <x:v>0</x:v>
      </x:c>
    </x:row>
    <x:row r="1510">
      <x:c r="A1510" s="59" t="str">
        <x:v>Low participation</x:v>
      </x:c>
      <x:c r="B1510" s="59" t="n">
        <x:v>47</x:v>
      </x:c>
      <x:c r="C1510" s="78" t="n">
        <x:f>(('Inputs'!$B$29*(3*47*'Inputs'!$B$12-47^2)/(2*'Inputs'!$B$12^2))-('Inputs'!$B$29*(3*46*'Inputs'!$B$12-46^2)/(2*'Inputs'!$B$12^2)))*'Inputs'!$B$48</x:f>
        <x:v>174217.19600300211</x:v>
      </x:c>
      <x:c r="D1510" s="78" t="n">
        <x:f>IF('Inputs'!$C$48&gt;0,('Inputs'!$B$30*(3*47*'Inputs'!$B$12-47^2)/(2*'Inputs'!$B$12^2))-('Inputs'!$B$30*(3*46*'Inputs'!$B$12-46^2)/(2*'Inputs'!$B$12^2)),0)</x:f>
        <x:v>298658.0502908621</x:v>
      </x:c>
      <x:c r="E1510" s="78" t="n">
        <x:f>C1510+D1510</x:f>
        <x:v>472875.2462938642</x:v>
      </x:c>
      <x:c r="F1510" s="78" t="n">
        <x:f>'Inputs'!$B$13*E1510+(1-'Inputs'!$B$13)/'Inputs'!$B$14*SUM(E1464:E1510)</x:f>
        <x:v>415483.8325670859</x:v>
      </x:c>
      <x:c r="G1510" s="78" t="n">
        <x:f>F1510*'Inputs'!$F$48</x:f>
        <x:v>207741.91628354296</x:v>
      </x:c>
      <x:c r="H1510" s="78" t="n">
        <x:f>U1509</x:f>
        <x:v>9450825.726882106</x:v>
      </x:c>
      <x:c r="I1510" s="78" t="n">
        <x:f>V1509</x:f>
        <x:v>1187.7668633218075</x:v>
      </x:c>
      <x:c r="J1510" s="79" t="n">
        <x:f>IF(H1510&gt;0,I1510/H1510,0)</x:f>
        <x:v>0.00012567863355508727</x:v>
      </x:c>
      <x:c r="K1510" s="80" t="n">
        <x:f>(H1510*J1510+I1510)*'Inputs'!$D$48*(1+'Inputs'!$G$48)^(B1510/30)</x:f>
        <x:v>712.6601179930844</x:v>
      </x:c>
      <x:c r="L1510" s="80" t="n">
        <x:f>MAX(0,K1510*'Inputs'!$E$48)</x:f>
        <x:v>0</x:v>
      </x:c>
      <x:c r="M1510" s="80" t="n">
        <x:f>MAX(0,-K1510*'Inputs'!$E$48)</x:f>
        <x:v>0</x:v>
      </x:c>
      <x:c r="N1510" s="78" t="n">
        <x:f>H1510*(L1510*(1-'Inputs'!$B$15))/(I1510+L1510*(1-'Inputs'!$B$15))</x:f>
        <x:v>0</x:v>
      </x:c>
      <x:c r="O1510" s="78" t="n">
        <x:f>H1510-N1510</x:f>
        <x:v>9450825.726882106</x:v>
      </x:c>
      <x:c r="P1510" s="78" t="n">
        <x:f>I1510+L1510*(1-'Inputs'!$B$17)</x:f>
        <x:v>1187.7668633218075</x:v>
      </x:c>
      <x:c r="Q1510" s="78" t="n">
        <x:f>IF(J1510&gt;0,M1510/J1510,0)</x:f>
        <x:v>0</x:v>
      </x:c>
      <x:c r="R1510" s="78" t="n">
        <x:f>IF(B1510='Inputs'!$H$48,'Inputs'!$B$27*'Inputs'!$I$48,0)</x:f>
        <x:v>0</x:v>
      </x:c>
      <x:c r="S1510" s="78" t="n">
        <x:f>Q1510+G1510+R1510</x:f>
        <x:v>207741.91628354296</x:v>
      </x:c>
      <x:c r="T1510" s="78" t="n">
        <x:f>P1510*(S1510*(1-'Inputs'!$B$15))/(O1510+S1510*(1-'Inputs'!$B$15))</x:f>
        <x:v>25.297128560697697</x:v>
      </x:c>
      <x:c r="U1510" s="78" t="n">
        <x:f>O1510+S1510*(1-'Inputs'!$B$17)</x:f>
        <x:v>9657731.659599116</x:v>
      </x:c>
      <x:c r="V1510" s="78" t="n">
        <x:f>P1510-T1510</x:f>
        <x:v>1162.4697347611097</x:v>
      </x:c>
      <x:c r="W1510" s="79" t="n">
        <x:f>IF(U1510&gt;0,V1510/U1510,0)</x:f>
        <x:v>0.00012036674611948815</x:v>
      </x:c>
      <x:c r="X1510" s="80" t="n">
        <x:f>W1510*('Inputs'!$B$6-AC1510)</x:f>
        <x:v>120323.2972947085</x:v>
      </x:c>
      <x:c r="Y1510" s="80" t="n">
        <x:f>2*V1510</x:f>
        <x:v>2324.9394695222195</x:v>
      </x:c>
      <x:c r="Z1510" s="80" t="n">
        <x:f>K1510*'Inputs'!$B$16+(G1510+R1510)*J1510*'Inputs'!$B$16</x:f>
        <x:v>4.432613028982293</x:v>
      </x:c>
      <x:c r="AA1510" s="80" t="n">
        <x:f>K1510*(1+'Inputs'!$E$48)/2*'Inputs'!$B$17</x:f>
        <x:v>1.4339237786581176</x:v>
      </x:c>
      <x:c r="AB1510" s="78" t="n">
        <x:f>(IF(J1510&gt;0,K1510*(1-'Inputs'!$E$48)/2/J1510,0)+G1510+R1510)*'Inputs'!$B$17</x:f>
        <x:v>12245.431124137524</x:v>
      </x:c>
      <x:c r="AC1510" s="78" t="n">
        <x:f>AC1509+AB1510</x:f>
        <x:v>360970.33591412264</x:v>
      </x:c>
      <x:c r="AD1510" s="80" t="n">
        <x:f>Z1510/(1+'Inputs'!$C$48)</x:f>
        <x:v>3.5460904231858343</x:v>
      </x:c>
      <x:c r="AE1510" s="80" t="n">
        <x:f>Z1510-AD1510</x:f>
        <x:v>0.8865226057964586</x:v>
      </x:c>
      <x:c r="AF1510" s="80" t="n">
        <x:f>D1510*W1510</x:f>
        <x:v>35.948497715901524</x:v>
      </x:c>
      <x:c r="AG1510" s="80" t="n">
        <x:f>C1510*W1510</x:f>
        <x:v>20.96995700094246</x:v>
      </x:c>
      <x:c r="AH1510" s="80" t="n">
        <x:f>2*'Inputs'!$B$8*'Inputs'!$C$48</x:f>
        <x:v>1250</x:v>
      </x:c>
      <x:c r="AI1510" s="81" t="n">
        <x:f>IF(AH1510&gt;0,(AE1510+AF1510)/AH1510*365,0)</x:f>
        <x:v>10.75582593393581</x:v>
      </x:c>
      <x:c r="AJ1510" s="81" t="n">
        <x:f>IF('Inputs'!$B$48&gt;0,AG1510/('Inputs'!$B$19*'Inputs'!$B$48)*365,0)</x:f>
        <x:v>3.061613722137599</x:v>
      </x:c>
      <x:c r="AK1510" s="81" t="n">
        <x:f>W1510/MAX($W$1464:W1510)-1</x:f>
        <x:v>-0.8584507397624604</x:v>
      </x:c>
      <x:c r="AL1510" s="83" t="n">
        <x:f>'Inputs'!$B$48</x:f>
        <x:v>0.25</x:v>
      </x:c>
      <x:c r="AM1510" s="83" t="n">
        <x:f>'Inputs'!$C$48</x:f>
        <x:v>0.25</x:v>
      </x:c>
      <x:c r="AN1510" s="83" t="n">
        <x:f>'Inputs'!$D$48</x:f>
        <x:v>0.3</x:v>
      </x:c>
      <x:c r="AO1510" s="81" t="n">
        <x:f>'Inputs'!$E$48</x:f>
        <x:v>0</x:v>
      </x:c>
    </x:row>
    <x:row r="1511">
      <x:c r="A1511" s="59" t="str">
        <x:v>Low participation</x:v>
      </x:c>
      <x:c r="B1511" s="59" t="n">
        <x:v>48</x:v>
      </x:c>
      <x:c r="C1511" s="78" t="n">
        <x:f>(('Inputs'!$B$29*(3*48*'Inputs'!$B$12-48^2)/(2*'Inputs'!$B$12^2))-('Inputs'!$B$29*(3*47*'Inputs'!$B$12-47^2)/(2*'Inputs'!$B$12^2)))*'Inputs'!$B$48</x:f>
        <x:v>174135.91902796086</x:v>
      </x:c>
      <x:c r="D1511" s="78" t="n">
        <x:f>IF('Inputs'!$C$48&gt;0,('Inputs'!$B$30*(3*48*'Inputs'!$B$12-48^2)/(2*'Inputs'!$B$12^2))-('Inputs'!$B$30*(3*47*'Inputs'!$B$12-47^2)/(2*'Inputs'!$B$12^2)),0)</x:f>
        <x:v>298518.71833364666</x:v>
      </x:c>
      <x:c r="E1511" s="78" t="n">
        <x:f>C1511+D1511</x:f>
        <x:v>472654.6373616075</x:v>
      </x:c>
      <x:c r="F1511" s="78" t="n">
        <x:f>'Inputs'!$B$13*E1511+(1-'Inputs'!$B$13)/'Inputs'!$B$14*SUM(E1464:E1511)</x:f>
        <x:v>422191.9198858004</x:v>
      </x:c>
      <x:c r="G1511" s="78" t="n">
        <x:f>F1511*'Inputs'!$F$48</x:f>
        <x:v>211095.9599429002</x:v>
      </x:c>
      <x:c r="H1511" s="78" t="n">
        <x:f>U1510</x:f>
        <x:v>9657731.659599116</x:v>
      </x:c>
      <x:c r="I1511" s="78" t="n">
        <x:f>V1510</x:f>
        <x:v>1162.4697347611097</x:v>
      </x:c>
      <x:c r="J1511" s="79" t="n">
        <x:f>IF(H1511&gt;0,I1511/H1511,0)</x:f>
        <x:v>0.00012036674611948815</x:v>
      </x:c>
      <x:c r="K1511" s="80" t="n">
        <x:f>(H1511*J1511+I1511)*'Inputs'!$D$48*(1+'Inputs'!$G$48)^(B1511/30)</x:f>
        <x:v>697.4818408566658</x:v>
      </x:c>
      <x:c r="L1511" s="80" t="n">
        <x:f>MAX(0,K1511*'Inputs'!$E$48)</x:f>
        <x:v>0</x:v>
      </x:c>
      <x:c r="M1511" s="80" t="n">
        <x:f>MAX(0,-K1511*'Inputs'!$E$48)</x:f>
        <x:v>0</x:v>
      </x:c>
      <x:c r="N1511" s="78" t="n">
        <x:f>H1511*(L1511*(1-'Inputs'!$B$15))/(I1511+L1511*(1-'Inputs'!$B$15))</x:f>
        <x:v>0</x:v>
      </x:c>
      <x:c r="O1511" s="78" t="n">
        <x:f>H1511-N1511</x:f>
        <x:v>9657731.659599116</x:v>
      </x:c>
      <x:c r="P1511" s="78" t="n">
        <x:f>I1511+L1511*(1-'Inputs'!$B$17)</x:f>
        <x:v>1162.4697347611097</x:v>
      </x:c>
      <x:c r="Q1511" s="78" t="n">
        <x:f>IF(J1511&gt;0,M1511/J1511,0)</x:f>
        <x:v>0</x:v>
      </x:c>
      <x:c r="R1511" s="78" t="n">
        <x:f>IF(B1511='Inputs'!$H$48,'Inputs'!$B$27*'Inputs'!$I$48,0)</x:f>
        <x:v>0</x:v>
      </x:c>
      <x:c r="S1511" s="78" t="n">
        <x:f>Q1511+G1511+R1511</x:f>
        <x:v>211095.9599429002</x:v>
      </x:c>
      <x:c r="T1511" s="78" t="n">
        <x:f>P1511*(S1511*(1-'Inputs'!$B$15))/(O1511+S1511*(1-'Inputs'!$B$15))</x:f>
        <x:v>24.62204462651905</x:v>
      </x:c>
      <x:c r="U1511" s="78" t="n">
        <x:f>O1511+S1511*(1-'Inputs'!$B$17)</x:f>
        <x:v>9867978.1388179</x:v>
      </x:c>
      <x:c r="V1511" s="78" t="n">
        <x:f>P1511-T1511</x:f>
        <x:v>1137.8476901345907</x:v>
      </x:c>
      <x:c r="W1511" s="79" t="n">
        <x:f>IF(U1511&gt;0,V1511/U1511,0)</x:f>
        <x:v>0.00011530707447137648</x:v>
      </x:c>
      <x:c r="X1511" s="80" t="n">
        <x:f>W1511*('Inputs'!$B$6-AC1511)</x:f>
        <x:v>115264.00969474115</x:v>
      </x:c>
      <x:c r="Y1511" s="80" t="n">
        <x:f>2*V1511</x:f>
        <x:v>2275.6953802691814</x:v>
      </x:c>
      <x:c r="Z1511" s="80" t="n">
        <x:f>K1511*'Inputs'!$B$16+(G1511+R1511)*J1511*'Inputs'!$B$16</x:f>
        <x:v>4.337344648043776</x:v>
      </x:c>
      <x:c r="AA1511" s="80" t="n">
        <x:f>K1511*(1+'Inputs'!$E$48)/2*'Inputs'!$B$17</x:f>
        <x:v>1.4033839856270944</x:v>
      </x:c>
      <x:c r="AB1511" s="78" t="n">
        <x:f>(IF(J1511&gt;0,K1511*(1-'Inputs'!$E$48)/2/J1511,0)+G1511+R1511)*'Inputs'!$B$17</x:f>
        <x:v>12508.714115986459</x:v>
      </x:c>
      <x:c r="AC1511" s="78" t="n">
        <x:f>AC1510+AB1511</x:f>
        <x:v>373479.0500301091</x:v>
      </x:c>
      <x:c r="AD1511" s="80" t="n">
        <x:f>Z1511/(1+'Inputs'!$C$48)</x:f>
        <x:v>3.469875718435021</x:v>
      </x:c>
      <x:c r="AE1511" s="80" t="n">
        <x:f>Z1511-AD1511</x:f>
        <x:v>0.867468929608755</x:v>
      </x:c>
      <x:c r="AF1511" s="80" t="n">
        <x:f>D1511*W1511</x:f>
        <x:v>34.42132008599766</x:v>
      </x:c>
      <x:c r="AG1511" s="80" t="n">
        <x:f>C1511*W1511</x:f>
        <x:v>20.079103383498666</x:v>
      </x:c>
      <x:c r="AH1511" s="80" t="n">
        <x:f>2*'Inputs'!$B$8*'Inputs'!$C$48</x:f>
        <x:v>1250</x:v>
      </x:c>
      <x:c r="AI1511" s="81" t="n">
        <x:f>IF(AH1511&gt;0,(AE1511+AF1511)/AH1511*365,0)</x:f>
        <x:v>10.304326392557073</x:v>
      </x:c>
      <x:c r="AJ1511" s="81" t="n">
        <x:f>IF('Inputs'!$B$48&gt;0,AG1511/('Inputs'!$B$19*'Inputs'!$B$48)*365,0)</x:f>
        <x:v>2.9315490939908053</x:v>
      </x:c>
      <x:c r="AK1511" s="81" t="n">
        <x:f>W1511/MAX($W$1464:W1511)-1</x:f>
        <x:v>-0.8644008281541836</x:v>
      </x:c>
      <x:c r="AL1511" s="83" t="n">
        <x:f>'Inputs'!$B$48</x:f>
        <x:v>0.25</x:v>
      </x:c>
      <x:c r="AM1511" s="83" t="n">
        <x:f>'Inputs'!$C$48</x:f>
        <x:v>0.25</x:v>
      </x:c>
      <x:c r="AN1511" s="83" t="n">
        <x:f>'Inputs'!$D$48</x:f>
        <x:v>0.3</x:v>
      </x:c>
      <x:c r="AO1511" s="81" t="n">
        <x:f>'Inputs'!$E$48</x:f>
        <x:v>0</x:v>
      </x:c>
    </x:row>
    <x:row r="1512">
      <x:c r="A1512" s="59" t="str">
        <x:v>Low participation</x:v>
      </x:c>
      <x:c r="B1512" s="59" t="n">
        <x:v>49</x:v>
      </x:c>
      <x:c r="C1512" s="78" t="n">
        <x:f>(('Inputs'!$B$29*(3*49*'Inputs'!$B$12-49^2)/(2*'Inputs'!$B$12^2))-('Inputs'!$B$29*(3*48*'Inputs'!$B$12-48^2)/(2*'Inputs'!$B$12^2)))*'Inputs'!$B$48</x:f>
        <x:v>174054.6420529168</x:v>
      </x:c>
      <x:c r="D1512" s="78" t="n">
        <x:f>IF('Inputs'!$C$48&gt;0,('Inputs'!$B$30*(3*49*'Inputs'!$B$12-49^2)/(2*'Inputs'!$B$12^2))-('Inputs'!$B$30*(3*48*'Inputs'!$B$12-48^2)/(2*'Inputs'!$B$12^2)),0)</x:f>
        <x:v>298379.3863764312</x:v>
      </x:c>
      <x:c r="E1512" s="78" t="n">
        <x:f>C1512+D1512</x:f>
        <x:v>472434.028429348</x:v>
      </x:c>
      <x:c r="F1512" s="78" t="n">
        <x:f>'Inputs'!$B$13*E1512+(1-'Inputs'!$B$13)/'Inputs'!$B$14*SUM(E1464:E1512)</x:f>
        <x:v>428896.8556483392</x:v>
      </x:c>
      <x:c r="G1512" s="78" t="n">
        <x:f>F1512*'Inputs'!$F$48</x:f>
        <x:v>214448.4278241696</x:v>
      </x:c>
      <x:c r="H1512" s="78" t="n">
        <x:f>U1511</x:f>
        <x:v>9867978.1388179</x:v>
      </x:c>
      <x:c r="I1512" s="78" t="n">
        <x:f>V1511</x:f>
        <x:v>1137.8476901345907</x:v>
      </x:c>
      <x:c r="J1512" s="79" t="n">
        <x:f>IF(H1512&gt;0,I1512/H1512,0)</x:f>
        <x:v>0.00011530707447137648</x:v>
      </x:c>
      <x:c r="K1512" s="80" t="n">
        <x:f>(H1512*J1512+I1512)*'Inputs'!$D$48*(1+'Inputs'!$G$48)^(B1512/30)</x:f>
        <x:v>682.7086140807544</x:v>
      </x:c>
      <x:c r="L1512" s="80" t="n">
        <x:f>MAX(0,K1512*'Inputs'!$E$48)</x:f>
        <x:v>0</x:v>
      </x:c>
      <x:c r="M1512" s="80" t="n">
        <x:f>MAX(0,-K1512*'Inputs'!$E$48)</x:f>
        <x:v>0</x:v>
      </x:c>
      <x:c r="N1512" s="78" t="n">
        <x:f>H1512*(L1512*(1-'Inputs'!$B$15))/(I1512+L1512*(1-'Inputs'!$B$15))</x:f>
        <x:v>0</x:v>
      </x:c>
      <x:c r="O1512" s="78" t="n">
        <x:f>H1512-N1512</x:f>
        <x:v>9867978.1388179</x:v>
      </x:c>
      <x:c r="P1512" s="78" t="n">
        <x:f>I1512+L1512*(1-'Inputs'!$B$17)</x:f>
        <x:v>1137.8476901345907</x:v>
      </x:c>
      <x:c r="Q1512" s="78" t="n">
        <x:f>IF(J1512&gt;0,M1512/J1512,0)</x:f>
        <x:v>0</x:v>
      </x:c>
      <x:c r="R1512" s="78" t="n">
        <x:f>IF(B1512='Inputs'!$H$48,'Inputs'!$B$27*'Inputs'!$I$48,0)</x:f>
        <x:v>0</x:v>
      </x:c>
      <x:c r="S1512" s="78" t="n">
        <x:f>Q1512+G1512+R1512</x:f>
        <x:v>214448.4278241696</x:v>
      </x:c>
      <x:c r="T1512" s="78" t="n">
        <x:f>P1512*(S1512*(1-'Inputs'!$B$15))/(O1512+S1512*(1-'Inputs'!$B$15))</x:f>
        <x:v>23.964562677550635</x:v>
      </x:c>
      <x:c r="U1512" s="78" t="n">
        <x:f>O1512+S1512*(1-'Inputs'!$B$17)</x:f>
        <x:v>10081563.59510153</x:v>
      </x:c>
      <x:c r="V1512" s="78" t="n">
        <x:f>P1512-T1512</x:f>
        <x:v>1113.88312745704</x:v>
      </x:c>
      <x:c r="W1512" s="79" t="n">
        <x:f>IF(U1512&gt;0,V1512/U1512,0)</x:f>
        <x:v>0.00011048713991133855</x:v>
      </x:c>
      <x:c r="X1512" s="80" t="n">
        <x:f>W1512*('Inputs'!$B$6-AC1512)</x:f>
        <x:v>110444.46369297475</x:v>
      </x:c>
      <x:c r="Y1512" s="80" t="n">
        <x:f>2*V1512</x:f>
        <x:v>2227.76625491408</x:v>
      </x:c>
      <x:c r="Z1512" s="80" t="n">
        <x:f>K1512*'Inputs'!$B$16+(G1512+R1512)*J1512*'Inputs'!$B$16</x:f>
        <x:v>4.244616209508873</x:v>
      </x:c>
      <x:c r="AA1512" s="80" t="n">
        <x:f>K1512*(1+'Inputs'!$E$48)/2*'Inputs'!$B$17</x:f>
        <x:v>1.3736591832610754</x:v>
      </x:c>
      <x:c r="AB1512" s="78" t="n">
        <x:f>(IF(J1512&gt;0,K1512*(1-'Inputs'!$E$48)/2/J1512,0)+G1512+R1512)*'Inputs'!$B$17</x:f>
        <x:v>12776.023619595733</x:v>
      </x:c>
      <x:c r="AC1512" s="78" t="n">
        <x:f>AC1511+AB1512</x:f>
        <x:v>386255.07364970486</x:v>
      </x:c>
      <x:c r="AD1512" s="80" t="n">
        <x:f>Z1512/(1+'Inputs'!$C$48)</x:f>
        <x:v>3.3956929676070984</x:v>
      </x:c>
      <x:c r="AE1512" s="80" t="n">
        <x:f>Z1512-AD1512</x:f>
        <x:v>0.8489232419017747</x:v>
      </x:c>
      <x:c r="AF1512" s="80" t="n">
        <x:f>D1512*W1512</x:f>
        <x:v>32.9670850092321</x:v>
      </x:c>
      <x:c r="AG1512" s="80" t="n">
        <x:f>C1512*W1512</x:f>
        <x:v>19.230799588718572</x:v>
      </x:c>
      <x:c r="AH1512" s="80" t="n">
        <x:f>2*'Inputs'!$B$8*'Inputs'!$C$48</x:f>
        <x:v>1250</x:v>
      </x:c>
      <x:c r="AI1512" s="81" t="n">
        <x:f>IF(AH1512&gt;0,(AE1512+AF1512)/AH1512*365,0)</x:f>
        <x:v>9.87427440933109</x:v>
      </x:c>
      <x:c r="AJ1512" s="81" t="n">
        <x:f>IF('Inputs'!$B$48&gt;0,AG1512/('Inputs'!$B$19*'Inputs'!$B$48)*365,0)</x:f>
        <x:v>2.8076967399529114</x:v>
      </x:c>
      <x:c r="AK1512" s="81" t="n">
        <x:f>W1512/MAX($W$1464:W1512)-1</x:f>
        <x:v>-0.8700689897798991</x:v>
      </x:c>
      <x:c r="AL1512" s="83" t="n">
        <x:f>'Inputs'!$B$48</x:f>
        <x:v>0.25</x:v>
      </x:c>
      <x:c r="AM1512" s="83" t="n">
        <x:f>'Inputs'!$C$48</x:f>
        <x:v>0.25</x:v>
      </x:c>
      <x:c r="AN1512" s="83" t="n">
        <x:f>'Inputs'!$D$48</x:f>
        <x:v>0.3</x:v>
      </x:c>
      <x:c r="AO1512" s="81" t="n">
        <x:f>'Inputs'!$E$48</x:f>
        <x:v>0</x:v>
      </x:c>
    </x:row>
    <x:row r="1513">
      <x:c r="A1513" s="59" t="str">
        <x:v>Low participation</x:v>
      </x:c>
      <x:c r="B1513" s="59" t="n">
        <x:v>50</x:v>
      </x:c>
      <x:c r="C1513" s="78" t="n">
        <x:f>(('Inputs'!$B$29*(3*50*'Inputs'!$B$12-50^2)/(2*'Inputs'!$B$12^2))-('Inputs'!$B$29*(3*49*'Inputs'!$B$12-49^2)/(2*'Inputs'!$B$12^2)))*'Inputs'!$B$48</x:f>
        <x:v>173973.36507787555</x:v>
      </x:c>
      <x:c r="D1513" s="78" t="n">
        <x:f>IF('Inputs'!$C$48&gt;0,('Inputs'!$B$30*(3*50*'Inputs'!$B$12-50^2)/(2*'Inputs'!$B$12^2))-('Inputs'!$B$30*(3*49*'Inputs'!$B$12-49^2)/(2*'Inputs'!$B$12^2)),0)</x:f>
        <x:v>298240.0544192139</x:v>
      </x:c>
      <x:c r="E1513" s="78" t="n">
        <x:f>C1513+D1513</x:f>
        <x:v>472213.41949708946</x:v>
      </x:c>
      <x:c r="F1513" s="78" t="n">
        <x:f>'Inputs'!$B$13*E1513+(1-'Inputs'!$B$13)/'Inputs'!$B$14*SUM(E1464:E1513)</x:f>
        <x:v>435598.6398547031</x:v>
      </x:c>
      <x:c r="G1513" s="78" t="n">
        <x:f>F1513*'Inputs'!$F$48</x:f>
        <x:v>217799.31992735155</x:v>
      </x:c>
      <x:c r="H1513" s="78" t="n">
        <x:f>U1512</x:f>
        <x:v>10081563.59510153</x:v>
      </x:c>
      <x:c r="I1513" s="78" t="n">
        <x:f>V1512</x:f>
        <x:v>1113.88312745704</x:v>
      </x:c>
      <x:c r="J1513" s="79" t="n">
        <x:f>IF(H1513&gt;0,I1513/H1513,0)</x:f>
        <x:v>0.00011048713991133855</x:v>
      </x:c>
      <x:c r="K1513" s="80" t="n">
        <x:f>(H1513*J1513+I1513)*'Inputs'!$D$48*(1+'Inputs'!$G$48)^(B1513/30)</x:f>
        <x:v>668.329876474224</x:v>
      </x:c>
      <x:c r="L1513" s="80" t="n">
        <x:f>MAX(0,K1513*'Inputs'!$E$48)</x:f>
        <x:v>0</x:v>
      </x:c>
      <x:c r="M1513" s="80" t="n">
        <x:f>MAX(0,-K1513*'Inputs'!$E$48)</x:f>
        <x:v>0</x:v>
      </x:c>
      <x:c r="N1513" s="78" t="n">
        <x:f>H1513*(L1513*(1-'Inputs'!$B$15))/(I1513+L1513*(1-'Inputs'!$B$15))</x:f>
        <x:v>0</x:v>
      </x:c>
      <x:c r="O1513" s="78" t="n">
        <x:f>H1513-N1513</x:f>
        <x:v>10081563.59510153</x:v>
      </x:c>
      <x:c r="P1513" s="78" t="n">
        <x:f>I1513+L1513*(1-'Inputs'!$B$17)</x:f>
        <x:v>1113.88312745704</x:v>
      </x:c>
      <x:c r="Q1513" s="78" t="n">
        <x:f>IF(J1513&gt;0,M1513/J1513,0)</x:f>
        <x:v>0</x:v>
      </x:c>
      <x:c r="R1513" s="78" t="n">
        <x:f>IF(B1513='Inputs'!$H$48,'Inputs'!$B$27*'Inputs'!$I$48,0)</x:f>
        <x:v>0</x:v>
      </x:c>
      <x:c r="S1513" s="78" t="n">
        <x:f>Q1513+G1513+R1513</x:f>
        <x:v>217799.31992735155</x:v>
      </x:c>
      <x:c r="T1513" s="78" t="n">
        <x:f>P1513*(S1513*(1-'Inputs'!$B$15))/(O1513+S1513*(1-'Inputs'!$B$15))</x:f>
        <x:v>23.324526031686833</x:v>
      </x:c>
      <x:c r="U1513" s="78" t="n">
        <x:f>O1513+S1513*(1-'Inputs'!$B$17)</x:f>
        <x:v>10298486.459013076</x:v>
      </x:c>
      <x:c r="V1513" s="78" t="n">
        <x:f>P1513-T1513</x:f>
        <x:v>1090.5586014253531</x:v>
      </x:c>
      <x:c r="W1513" s="79" t="n">
        <x:f>IF(U1513&gt;0,V1513/U1513,0)</x:f>
        <x:v>0.0001058950366896791</x:v>
      </x:c>
      <x:c r="X1513" s="80" t="n">
        <x:f>W1513*('Inputs'!$B$6-AC1513)</x:f>
        <x:v>105852.75254405678</x:v>
      </x:c>
      <x:c r="Y1513" s="80" t="n">
        <x:f>2*V1513</x:f>
        <x:v>2181.1172028507062</x:v>
      </x:c>
      <x:c r="Z1513" s="80" t="n">
        <x:f>K1513*'Inputs'!$B$16+(G1513+R1513)*J1513*'Inputs'!$B$16</x:f>
        <x:v>4.15436340244579</x:v>
      </x:c>
      <x:c r="AA1513" s="80" t="n">
        <x:f>K1513*(1+'Inputs'!$E$48)/2*'Inputs'!$B$17</x:f>
        <x:v>1.3447281216785192</x:v>
      </x:c>
      <x:c r="AB1513" s="78" t="n">
        <x:f>(IF(J1513&gt;0,K1513*(1-'Inputs'!$E$48)/2/J1513,0)+G1513+R1513)*'Inputs'!$B$17</x:f>
        <x:v>13047.357740272879</x:v>
      </x:c>
      <x:c r="AC1513" s="78" t="n">
        <x:f>AC1512+AB1513</x:f>
        <x:v>399302.43138997775</x:v>
      </x:c>
      <x:c r="AD1513" s="80" t="n">
        <x:f>Z1513/(1+'Inputs'!$C$48)</x:f>
        <x:v>3.323490721956632</x:v>
      </x:c>
      <x:c r="AE1513" s="80" t="n">
        <x:f>Z1513-AD1513</x:f>
        <x:v>0.8308726804891577</x:v>
      </x:c>
      <x:c r="AF1513" s="80" t="n">
        <x:f>D1513*W1513</x:f>
        <x:v>31.582141505054548</x:v>
      </x:c>
      <x:c r="AG1513" s="80" t="n">
        <x:f>C1513*W1513</x:f>
        <x:v>18.42291587794857</x:v>
      </x:c>
      <x:c r="AH1513" s="80" t="n">
        <x:f>2*'Inputs'!$B$8*'Inputs'!$C$48</x:f>
        <x:v>1250</x:v>
      </x:c>
      <x:c r="AI1513" s="81" t="n">
        <x:f>IF(AH1513&gt;0,(AE1513+AF1513)/AH1513*365,0)</x:f>
        <x:v>9.46460014217876</x:v>
      </x:c>
      <x:c r="AJ1513" s="81" t="n">
        <x:f>IF('Inputs'!$B$48&gt;0,AG1513/('Inputs'!$B$19*'Inputs'!$B$48)*365,0)</x:f>
        <x:v>2.689745718180491</x:v>
      </x:c>
      <x:c r="AK1513" s="81" t="n">
        <x:f>W1513/MAX($W$1464:W1513)-1</x:f>
        <x:v>-0.8754692256001402</x:v>
      </x:c>
      <x:c r="AL1513" s="83" t="n">
        <x:f>'Inputs'!$B$48</x:f>
        <x:v>0.25</x:v>
      </x:c>
      <x:c r="AM1513" s="83" t="n">
        <x:f>'Inputs'!$C$48</x:f>
        <x:v>0.25</x:v>
      </x:c>
      <x:c r="AN1513" s="83" t="n">
        <x:f>'Inputs'!$D$48</x:f>
        <x:v>0.3</x:v>
      </x:c>
      <x:c r="AO1513" s="81" t="n">
        <x:f>'Inputs'!$E$48</x:f>
        <x:v>0</x:v>
      </x:c>
    </x:row>
    <x:row r="1514">
      <x:c r="A1514" s="59" t="str">
        <x:v>Low participation</x:v>
      </x:c>
      <x:c r="B1514" s="59" t="n">
        <x:v>51</x:v>
      </x:c>
      <x:c r="C1514" s="78" t="n">
        <x:f>(('Inputs'!$B$29*(3*51*'Inputs'!$B$12-51^2)/(2*'Inputs'!$B$12^2))-('Inputs'!$B$29*(3*50*'Inputs'!$B$12-50^2)/(2*'Inputs'!$B$12^2)))*'Inputs'!$B$48</x:f>
        <x:v>173892.0881028343</x:v>
      </x:c>
      <x:c r="D1514" s="78" t="n">
        <x:f>IF('Inputs'!$C$48&gt;0,('Inputs'!$B$30*(3*51*'Inputs'!$B$12-51^2)/(2*'Inputs'!$B$12^2))-('Inputs'!$B$30*(3*50*'Inputs'!$B$12-50^2)/(2*'Inputs'!$B$12^2)),0)</x:f>
        <x:v>298100.7224620003</x:v>
      </x:c>
      <x:c r="E1514" s="78" t="n">
        <x:f>C1514+D1514</x:f>
        <x:v>471992.8105648346</x:v>
      </x:c>
      <x:c r="F1514" s="78" t="n">
        <x:f>'Inputs'!$B$13*E1514+(1-'Inputs'!$B$13)/'Inputs'!$B$14*SUM(E1464:E1514)</x:f>
        <x:v>442297.27250489267</x:v>
      </x:c>
      <x:c r="G1514" s="78" t="n">
        <x:f>F1514*'Inputs'!$F$48</x:f>
        <x:v>221148.63625244633</x:v>
      </x:c>
      <x:c r="H1514" s="78" t="n">
        <x:f>U1513</x:f>
        <x:v>10298486.459013076</x:v>
      </x:c>
      <x:c r="I1514" s="78" t="n">
        <x:f>V1513</x:f>
        <x:v>1090.5586014253531</x:v>
      </x:c>
      <x:c r="J1514" s="79" t="n">
        <x:f>IF(H1514&gt;0,I1514/H1514,0)</x:f>
        <x:v>0.0001058950366896791</x:v>
      </x:c>
      <x:c r="K1514" s="80" t="n">
        <x:f>(H1514*J1514+I1514)*'Inputs'!$D$48*(1+'Inputs'!$G$48)^(B1514/30)</x:f>
        <x:v>654.3351608552118</x:v>
      </x:c>
      <x:c r="L1514" s="80" t="n">
        <x:f>MAX(0,K1514*'Inputs'!$E$48)</x:f>
        <x:v>0</x:v>
      </x:c>
      <x:c r="M1514" s="80" t="n">
        <x:f>MAX(0,-K1514*'Inputs'!$E$48)</x:f>
        <x:v>0</x:v>
      </x:c>
      <x:c r="N1514" s="78" t="n">
        <x:f>H1514*(L1514*(1-'Inputs'!$B$15))/(I1514+L1514*(1-'Inputs'!$B$15))</x:f>
        <x:v>0</x:v>
      </x:c>
      <x:c r="O1514" s="78" t="n">
        <x:f>H1514-N1514</x:f>
        <x:v>10298486.459013076</x:v>
      </x:c>
      <x:c r="P1514" s="78" t="n">
        <x:f>I1514+L1514*(1-'Inputs'!$B$17)</x:f>
        <x:v>1090.5586014253531</x:v>
      </x:c>
      <x:c r="Q1514" s="78" t="n">
        <x:f>IF(J1514&gt;0,M1514/J1514,0)</x:f>
        <x:v>0</x:v>
      </x:c>
      <x:c r="R1514" s="78" t="n">
        <x:f>IF(B1514='Inputs'!$H$48,'Inputs'!$B$27*'Inputs'!$I$48,0)</x:f>
        <x:v>0</x:v>
      </x:c>
      <x:c r="S1514" s="78" t="n">
        <x:f>Q1514+G1514+R1514</x:f>
        <x:v>221148.63625244633</x:v>
      </x:c>
      <x:c r="T1514" s="78" t="n">
        <x:f>P1514*(S1514*(1-'Inputs'!$B$15))/(O1514+S1514*(1-'Inputs'!$B$15))</x:f>
        <x:v>22.70173769381054</x:v>
      </x:c>
      <x:c r="U1514" s="78" t="n">
        <x:f>O1514+S1514*(1-'Inputs'!$B$17)</x:f>
        <x:v>10518745.161115613</x:v>
      </x:c>
      <x:c r="V1514" s="78" t="n">
        <x:f>P1514-T1514</x:f>
        <x:v>1067.8568637315425</x:v>
      </x:c>
      <x:c r="W1514" s="79" t="n">
        <x:f>IF(U1514&gt;0,V1514/U1514,0)</x:f>
        <x:v>0.0001015194158024726</x:v>
      </x:c>
      <x:c r="X1514" s="80" t="n">
        <x:f>W1514*('Inputs'!$B$6-AC1514)</x:f>
        <x:v>101477.52633870798</x:v>
      </x:c>
      <x:c r="Y1514" s="80" t="n">
        <x:f>2*V1514</x:f>
        <x:v>2135.713727463085</x:v>
      </x:c>
      <x:c r="Z1514" s="80" t="n">
        <x:f>K1514*'Inputs'!$B$16+(G1514+R1514)*J1514*'Inputs'!$B$16</x:f>
        <x:v>4.066522222830223</x:v>
      </x:c>
      <x:c r="AA1514" s="80" t="n">
        <x:f>K1514*(1+'Inputs'!$E$48)/2*'Inputs'!$B$17</x:f>
        <x:v>1.3165697401513317</x:v>
      </x:c>
      <x:c r="AB1514" s="78" t="n">
        <x:f>(IF(J1514&gt;0,K1514*(1-'Inputs'!$E$48)/2/J1514,0)+G1514+R1514)*'Inputs'!$B$17</x:f>
        <x:v>13322.71458332543</x:v>
      </x:c>
      <x:c r="AC1514" s="78" t="n">
        <x:f>AC1513+AB1514</x:f>
        <x:v>412625.1459733032</x:v>
      </x:c>
      <x:c r="AD1514" s="80" t="n">
        <x:f>Z1514/(1+'Inputs'!$C$48)</x:f>
        <x:v>3.2532177782641782</x:v>
      </x:c>
      <x:c r="AE1514" s="80" t="n">
        <x:f>Z1514-AD1514</x:f>
        <x:v>0.8133044445660444</x:v>
      </x:c>
      <x:c r="AF1514" s="80" t="n">
        <x:f>D1514*W1514</x:f>
        <x:v>30.263011194637293</x:v>
      </x:c>
      <x:c r="AG1514" s="80" t="n">
        <x:f>C1514*W1514</x:f>
        <x:v>17.653423196871834</x:v>
      </x:c>
      <x:c r="AH1514" s="80" t="n">
        <x:f>2*'Inputs'!$B$8*'Inputs'!$C$48</x:f>
        <x:v>1250</x:v>
      </x:c>
      <x:c r="AI1514" s="81" t="n">
        <x:f>IF(AH1514&gt;0,(AE1514+AF1514)/AH1514*365,0)</x:f>
        <x:v>9.074284166647374</x:v>
      </x:c>
      <x:c r="AJ1514" s="81" t="n">
        <x:f>IF('Inputs'!$B$48&gt;0,AG1514/('Inputs'!$B$19*'Inputs'!$B$48)*365,0)</x:f>
        <x:v>2.5773997867432876</x:v>
      </x:c>
      <x:c r="AK1514" s="81" t="n">
        <x:f>W1514/MAX($W$1464:W1514)-1</x:f>
        <x:v>-0.8806148818518191</x:v>
      </x:c>
      <x:c r="AL1514" s="83" t="n">
        <x:f>'Inputs'!$B$48</x:f>
        <x:v>0.25</x:v>
      </x:c>
      <x:c r="AM1514" s="83" t="n">
        <x:f>'Inputs'!$C$48</x:f>
        <x:v>0.25</x:v>
      </x:c>
      <x:c r="AN1514" s="83" t="n">
        <x:f>'Inputs'!$D$48</x:f>
        <x:v>0.3</x:v>
      </x:c>
      <x:c r="AO1514" s="81" t="n">
        <x:f>'Inputs'!$E$48</x:f>
        <x:v>0</x:v>
      </x:c>
    </x:row>
    <x:row r="1515">
      <x:c r="A1515" s="59" t="str">
        <x:v>Low participation</x:v>
      </x:c>
      <x:c r="B1515" s="59" t="n">
        <x:v>52</x:v>
      </x:c>
      <x:c r="C1515" s="78" t="n">
        <x:f>(('Inputs'!$B$29*(3*52*'Inputs'!$B$12-52^2)/(2*'Inputs'!$B$12^2))-('Inputs'!$B$29*(3*51*'Inputs'!$B$12-51^2)/(2*'Inputs'!$B$12^2)))*'Inputs'!$B$48</x:f>
        <x:v>173810.81112779118</x:v>
      </x:c>
      <x:c r="D1515" s="78" t="n">
        <x:f>IF('Inputs'!$C$48&gt;0,('Inputs'!$B$30*(3*52*'Inputs'!$B$12-52^2)/(2*'Inputs'!$B$12^2))-('Inputs'!$B$30*(3*51*'Inputs'!$B$12-51^2)/(2*'Inputs'!$B$12^2)),0)</x:f>
        <x:v>297961.39050478674</x:v>
      </x:c>
      <x:c r="E1515" s="78" t="n">
        <x:f>C1515+D1515</x:f>
        <x:v>471772.2016325779</x:v>
      </x:c>
      <x:c r="F1515" s="78" t="n">
        <x:f>'Inputs'!$B$13*E1515+(1-'Inputs'!$B$13)/'Inputs'!$B$14*SUM(E1464:E1515)</x:f>
        <x:v>448992.7535989067</x:v>
      </x:c>
      <x:c r="G1515" s="78" t="n">
        <x:f>F1515*'Inputs'!$F$48</x:f>
        <x:v>224496.37679945334</x:v>
      </x:c>
      <x:c r="H1515" s="78" t="n">
        <x:f>U1514</x:f>
        <x:v>10518745.161115613</x:v>
      </x:c>
      <x:c r="I1515" s="78" t="n">
        <x:f>V1514</x:f>
        <x:v>1067.8568637315425</x:v>
      </x:c>
      <x:c r="J1515" s="79" t="n">
        <x:f>IF(H1515&gt;0,I1515/H1515,0)</x:f>
        <x:v>0.0001015194158024726</x:v>
      </x:c>
      <x:c r="K1515" s="80" t="n">
        <x:f>(H1515*J1515+I1515)*'Inputs'!$D$48*(1+'Inputs'!$G$48)^(B1515/30)</x:f>
        <x:v>640.7141182389255</x:v>
      </x:c>
      <x:c r="L1515" s="80" t="n">
        <x:f>MAX(0,K1515*'Inputs'!$E$48)</x:f>
        <x:v>0</x:v>
      </x:c>
      <x:c r="M1515" s="80" t="n">
        <x:f>MAX(0,-K1515*'Inputs'!$E$48)</x:f>
        <x:v>0</x:v>
      </x:c>
      <x:c r="N1515" s="78" t="n">
        <x:f>H1515*(L1515*(1-'Inputs'!$B$15))/(I1515+L1515*(1-'Inputs'!$B$15))</x:f>
        <x:v>0</x:v>
      </x:c>
      <x:c r="O1515" s="78" t="n">
        <x:f>H1515-N1515</x:f>
        <x:v>10518745.161115613</x:v>
      </x:c>
      <x:c r="P1515" s="78" t="n">
        <x:f>I1515+L1515*(1-'Inputs'!$B$17)</x:f>
        <x:v>1067.8568637315425</x:v>
      </x:c>
      <x:c r="Q1515" s="78" t="n">
        <x:f>IF(J1515&gt;0,M1515/J1515,0)</x:f>
        <x:v>0</x:v>
      </x:c>
      <x:c r="R1515" s="78" t="n">
        <x:f>IF(B1515='Inputs'!$H$48,'Inputs'!$B$27*'Inputs'!$I$48,0)</x:f>
        <x:v>0</x:v>
      </x:c>
      <x:c r="S1515" s="78" t="n">
        <x:f>Q1515+G1515+R1515</x:f>
        <x:v>224496.37679945334</x:v>
      </x:c>
      <x:c r="T1515" s="78" t="n">
        <x:f>P1515*(S1515*(1-'Inputs'!$B$15))/(O1515+S1515*(1-'Inputs'!$B$15))</x:f>
        <x:v>22.09596616490156</x:v>
      </x:c>
      <x:c r="U1515" s="78" t="n">
        <x:f>O1515+S1515*(1-'Inputs'!$B$17)</x:f>
        <x:v>10742338.13197221</x:v>
      </x:c>
      <x:c r="V1515" s="78" t="n">
        <x:f>P1515-T1515</x:f>
        <x:v>1045.760897566641</x:v>
      </x:c>
      <x:c r="W1515" s="79" t="n">
        <x:f>IF(U1515&gt;0,V1515/U1515,0)</x:f>
        <x:v>0.00009734946756648475</x:v>
      </x:c>
      <x:c r="X1515" s="80" t="n">
        <x:f>W1515*('Inputs'!$B$6-AC1515)</x:f>
        <x:v>97307.97457178099</x:v>
      </x:c>
      <x:c r="Y1515" s="80" t="n">
        <x:f>2*V1515</x:f>
        <x:v>2091.521795133282</x:v>
      </x:c>
      <x:c r="Z1515" s="80" t="n">
        <x:f>K1515*'Inputs'!$B$16+(G1515+R1515)*J1515*'Inputs'!$B$16</x:f>
        <x:v>3.981029155568266</x:v>
      </x:c>
      <x:c r="AA1515" s="80" t="n">
        <x:f>K1515*(1+'Inputs'!$E$48)/2*'Inputs'!$B$17</x:f>
        <x:v>1.289163215772486</x:v>
      </x:c>
      <x:c r="AB1515" s="78" t="n">
        <x:f>(IF(J1515&gt;0,K1515*(1-'Inputs'!$E$48)/2/J1515,0)+G1515+R1515)*'Inputs'!$B$17</x:f>
        <x:v>13602.092254060915</x:v>
      </x:c>
      <x:c r="AC1515" s="78" t="n">
        <x:f>AC1514+AB1515</x:f>
        <x:v>426227.2382273641</x:v>
      </x:c>
      <x:c r="AD1515" s="80" t="n">
        <x:f>Z1515/(1+'Inputs'!$C$48)</x:f>
        <x:v>3.184823324454613</x:v>
      </x:c>
      <x:c r="AE1515" s="80" t="n">
        <x:f>Z1515-AD1515</x:f>
        <x:v>0.7962058311136531</x:v>
      </x:c>
      <x:c r="AF1515" s="80" t="n">
        <x:f>D1515*W1515</x:f>
        <x:v>29.006382721010436</x:v>
      </x:c>
      <x:c r="AG1515" s="80" t="n">
        <x:f>C1515*W1515</x:f>
        <x:v>16.920389920589315</x:v>
      </x:c>
      <x:c r="AH1515" s="80" t="n">
        <x:f>2*'Inputs'!$B$8*'Inputs'!$C$48</x:f>
        <x:v>1250</x:v>
      </x:c>
      <x:c r="AI1515" s="81" t="n">
        <x:f>IF(AH1515&gt;0,(AE1515+AF1515)/AH1515*365,0)</x:f>
        <x:v>8.702355857220235</x:v>
      </x:c>
      <x:c r="AJ1515" s="81" t="n">
        <x:f>IF('Inputs'!$B$48&gt;0,AG1515/('Inputs'!$B$19*'Inputs'!$B$48)*365,0)</x:f>
        <x:v>2.47037692840604</x:v>
      </x:c>
      <x:c r="AK1515" s="81" t="n">
        <x:f>W1515/MAX($W$1464:W1515)-1</x:f>
        <x:v>-0.8855186705398258</x:v>
      </x:c>
      <x:c r="AL1515" s="83" t="n">
        <x:f>'Inputs'!$B$48</x:f>
        <x:v>0.25</x:v>
      </x:c>
      <x:c r="AM1515" s="83" t="n">
        <x:f>'Inputs'!$C$48</x:f>
        <x:v>0.25</x:v>
      </x:c>
      <x:c r="AN1515" s="83" t="n">
        <x:f>'Inputs'!$D$48</x:f>
        <x:v>0.3</x:v>
      </x:c>
      <x:c r="AO1515" s="81" t="n">
        <x:f>'Inputs'!$E$48</x:f>
        <x:v>0</x:v>
      </x:c>
    </x:row>
    <x:row r="1516">
      <x:c r="A1516" s="59" t="str">
        <x:v>Low participation</x:v>
      </x:c>
      <x:c r="B1516" s="59" t="n">
        <x:v>53</x:v>
      </x:c>
      <x:c r="C1516" s="78" t="n">
        <x:f>(('Inputs'!$B$29*(3*53*'Inputs'!$B$12-53^2)/(2*'Inputs'!$B$12^2))-('Inputs'!$B$29*(3*52*'Inputs'!$B$12-52^2)/(2*'Inputs'!$B$12^2)))*'Inputs'!$B$48</x:f>
        <x:v>173729.53415274993</x:v>
      </x:c>
      <x:c r="D1516" s="78" t="n">
        <x:f>IF('Inputs'!$C$48&gt;0,('Inputs'!$B$30*(3*53*'Inputs'!$B$12-53^2)/(2*'Inputs'!$B$12^2))-('Inputs'!$B$30*(3*52*'Inputs'!$B$12-52^2)/(2*'Inputs'!$B$12^2)),0)</x:f>
        <x:v>297822.05854756944</x:v>
      </x:c>
      <x:c r="E1516" s="78" t="n">
        <x:f>C1516+D1516</x:f>
        <x:v>471551.59270031936</x:v>
      </x:c>
      <x:c r="F1516" s="78" t="n">
        <x:f>'Inputs'!$B$13*E1516+(1-'Inputs'!$B$13)/'Inputs'!$B$14*SUM(E1464:E1516)</x:f>
        <x:v>455685.0831367452</x:v>
      </x:c>
      <x:c r="G1516" s="78" t="n">
        <x:f>F1516*'Inputs'!$F$48</x:f>
        <x:v>227842.5415683726</x:v>
      </x:c>
      <x:c r="H1516" s="78" t="n">
        <x:f>U1515</x:f>
        <x:v>10742338.13197221</x:v>
      </x:c>
      <x:c r="I1516" s="78" t="n">
        <x:f>V1515</x:f>
        <x:v>1045.760897566641</x:v>
      </x:c>
      <x:c r="J1516" s="79" t="n">
        <x:f>IF(H1516&gt;0,I1516/H1516,0)</x:f>
        <x:v>0.00009734946756648475</x:v>
      </x:c>
      <x:c r="K1516" s="80" t="n">
        <x:f>(H1516*J1516+I1516)*'Inputs'!$D$48*(1+'Inputs'!$G$48)^(B1516/30)</x:f>
        <x:v>627.4565385399845</x:v>
      </x:c>
      <x:c r="L1516" s="80" t="n">
        <x:f>MAX(0,K1516*'Inputs'!$E$48)</x:f>
        <x:v>0</x:v>
      </x:c>
      <x:c r="M1516" s="80" t="n">
        <x:f>MAX(0,-K1516*'Inputs'!$E$48)</x:f>
        <x:v>0</x:v>
      </x:c>
      <x:c r="N1516" s="78" t="n">
        <x:f>H1516*(L1516*(1-'Inputs'!$B$15))/(I1516+L1516*(1-'Inputs'!$B$15))</x:f>
        <x:v>0</x:v>
      </x:c>
      <x:c r="O1516" s="78" t="n">
        <x:f>H1516-N1516</x:f>
        <x:v>10742338.13197221</x:v>
      </x:c>
      <x:c r="P1516" s="78" t="n">
        <x:f>I1516+L1516*(1-'Inputs'!$B$17)</x:f>
        <x:v>1045.760897566641</x:v>
      </x:c>
      <x:c r="Q1516" s="78" t="n">
        <x:f>IF(J1516&gt;0,M1516/J1516,0)</x:f>
        <x:v>0</x:v>
      </x:c>
      <x:c r="R1516" s="78" t="n">
        <x:f>IF(B1516='Inputs'!$H$48,'Inputs'!$B$27*'Inputs'!$I$48,0)</x:f>
        <x:v>0</x:v>
      </x:c>
      <x:c r="S1516" s="78" t="n">
        <x:f>Q1516+G1516+R1516</x:f>
        <x:v>227842.5415683726</x:v>
      </x:c>
      <x:c r="T1516" s="78" t="n">
        <x:f>P1516*(S1516*(1-'Inputs'!$B$15))/(O1516+S1516*(1-'Inputs'!$B$15))</x:f>
        <x:v>21.506950666613545</x:v>
      </x:c>
      <x:c r="U1516" s="78" t="n">
        <x:f>O1516+S1516*(1-'Inputs'!$B$17)</x:f>
        <x:v>10969263.802145941</x:v>
      </x:c>
      <x:c r="V1516" s="78" t="n">
        <x:f>P1516-T1516</x:f>
        <x:v>1024.2539469000274</x:v>
      </x:c>
      <x:c r="W1516" s="79" t="n">
        <x:f>IF(U1516&gt;0,V1516/U1516,0)</x:f>
        <x:v>0.00009337490330934062</x:v>
      </x:c>
      <x:c r="X1516" s="80" t="n">
        <x:f>W1516*('Inputs'!$B$6-AC1516)</x:f>
        <x:v>93333.80782600385</x:v>
      </x:c>
      <x:c r="Y1516" s="80" t="n">
        <x:f>2*V1516</x:f>
        <x:v>2048.5078938000547</x:v>
      </x:c>
      <x:c r="Z1516" s="80" t="n">
        <x:f>K1516*'Inputs'!$B$16+(G1516+R1516)*J1516*'Inputs'!$B$16</x:f>
        <x:v>3.8978213319039616</x:v>
      </x:c>
      <x:c r="AA1516" s="80" t="n">
        <x:f>K1516*(1+'Inputs'!$E$48)/2*'Inputs'!$B$17</x:f>
        <x:v>1.262488005110633</x:v>
      </x:c>
      <x:c r="AB1516" s="78" t="n">
        <x:f>(IF(J1516&gt;0,K1516*(1-'Inputs'!$E$48)/2/J1516,0)+G1516+R1516)*'Inputs'!$B$17</x:f>
        <x:v>13885.488857786862</x:v>
      </x:c>
      <x:c r="AC1516" s="78" t="n">
        <x:f>AC1515+AB1516</x:f>
        <x:v>440112.72708515095</x:v>
      </x:c>
      <x:c r="AD1516" s="80" t="n">
        <x:f>Z1516/(1+'Inputs'!$C$48)</x:f>
        <x:v>3.1182570655231694</x:v>
      </x:c>
      <x:c r="AE1516" s="80" t="n">
        <x:f>Z1516-AD1516</x:f>
        <x:v>0.7795642663807922</x:v>
      </x:c>
      <x:c r="AF1516" s="80" t="n">
        <x:f>D1516*W1516</x:f>
        <x:v>27.809105920268077</x:v>
      </x:c>
      <x:c r="AG1516" s="80" t="n">
        <x:f>C1516*W1516</x:f>
        <x:v>16.221978453489815</x:v>
      </x:c>
      <x:c r="AH1516" s="80" t="n">
        <x:f>2*'Inputs'!$B$8*'Inputs'!$C$48</x:f>
        <x:v>1250</x:v>
      </x:c>
      <x:c r="AI1516" s="81" t="n">
        <x:f>IF(AH1516&gt;0,(AE1516+AF1516)/AH1516*365,0)</x:f>
        <x:v>8.34789169450147</x:v>
      </x:c>
      <x:c r="AJ1516" s="81" t="n">
        <x:f>IF('Inputs'!$B$48&gt;0,AG1516/('Inputs'!$B$19*'Inputs'!$B$48)*365,0)</x:f>
        <x:v>2.368408854209513</x:v>
      </x:c>
      <x:c r="AK1516" s="81" t="n">
        <x:f>W1516/MAX($W$1464:W1516)-1</x:f>
        <x:v>-0.8901926909690798</x:v>
      </x:c>
      <x:c r="AL1516" s="83" t="n">
        <x:f>'Inputs'!$B$48</x:f>
        <x:v>0.25</x:v>
      </x:c>
      <x:c r="AM1516" s="83" t="n">
        <x:f>'Inputs'!$C$48</x:f>
        <x:v>0.25</x:v>
      </x:c>
      <x:c r="AN1516" s="83" t="n">
        <x:f>'Inputs'!$D$48</x:f>
        <x:v>0.3</x:v>
      </x:c>
      <x:c r="AO1516" s="81" t="n">
        <x:f>'Inputs'!$E$48</x:f>
        <x:v>0</x:v>
      </x:c>
    </x:row>
    <x:row r="1517">
      <x:c r="A1517" s="59" t="str">
        <x:v>Low participation</x:v>
      </x:c>
      <x:c r="B1517" s="59" t="n">
        <x:v>54</x:v>
      </x:c>
      <x:c r="C1517" s="78" t="n">
        <x:f>(('Inputs'!$B$29*(3*54*'Inputs'!$B$12-54^2)/(2*'Inputs'!$B$12^2))-('Inputs'!$B$29*(3*53*'Inputs'!$B$12-53^2)/(2*'Inputs'!$B$12^2)))*'Inputs'!$B$48</x:f>
        <x:v>173648.2571777068</x:v>
      </x:c>
      <x:c r="D1517" s="78" t="n">
        <x:f>IF('Inputs'!$C$48&gt;0,('Inputs'!$B$30*(3*54*'Inputs'!$B$12-54^2)/(2*'Inputs'!$B$12^2))-('Inputs'!$B$30*(3*53*'Inputs'!$B$12-53^2)/(2*'Inputs'!$B$12^2)),0)</x:f>
        <x:v>297682.726590354</x:v>
      </x:c>
      <x:c r="E1517" s="78" t="n">
        <x:f>C1517+D1517</x:f>
        <x:v>471330.9837680608</x:v>
      </x:c>
      <x:c r="F1517" s="78" t="n">
        <x:f>'Inputs'!$B$13*E1517+(1-'Inputs'!$B$13)/'Inputs'!$B$14*SUM(E1464:E1517)</x:f>
        <x:v>462374.26111840864</x:v>
      </x:c>
      <x:c r="G1517" s="78" t="n">
        <x:f>F1517*'Inputs'!$F$48</x:f>
        <x:v>231187.13055920432</x:v>
      </x:c>
      <x:c r="H1517" s="78" t="n">
        <x:f>U1516</x:f>
        <x:v>10969263.802145941</x:v>
      </x:c>
      <x:c r="I1517" s="78" t="n">
        <x:f>V1516</x:f>
        <x:v>1024.2539469000274</x:v>
      </x:c>
      <x:c r="J1517" s="79" t="n">
        <x:f>IF(H1517&gt;0,I1517/H1517,0)</x:f>
        <x:v>0.00009337490330934062</x:v>
      </x:c>
      <x:c r="K1517" s="80" t="n">
        <x:f>(H1517*J1517+I1517)*'Inputs'!$D$48*(1+'Inputs'!$G$48)^(B1517/30)</x:f>
        <x:v>614.5523681400164</x:v>
      </x:c>
      <x:c r="L1517" s="80" t="n">
        <x:f>MAX(0,K1517*'Inputs'!$E$48)</x:f>
        <x:v>0</x:v>
      </x:c>
      <x:c r="M1517" s="80" t="n">
        <x:f>MAX(0,-K1517*'Inputs'!$E$48)</x:f>
        <x:v>0</x:v>
      </x:c>
      <x:c r="N1517" s="78" t="n">
        <x:f>H1517*(L1517*(1-'Inputs'!$B$15))/(I1517+L1517*(1-'Inputs'!$B$15))</x:f>
        <x:v>0</x:v>
      </x:c>
      <x:c r="O1517" s="78" t="n">
        <x:f>H1517-N1517</x:f>
        <x:v>10969263.802145941</x:v>
      </x:c>
      <x:c r="P1517" s="78" t="n">
        <x:f>I1517+L1517*(1-'Inputs'!$B$17)</x:f>
        <x:v>1024.2539469000274</x:v>
      </x:c>
      <x:c r="Q1517" s="78" t="n">
        <x:f>IF(J1517&gt;0,M1517/J1517,0)</x:f>
        <x:v>0</x:v>
      </x:c>
      <x:c r="R1517" s="78" t="n">
        <x:f>IF(B1517='Inputs'!$H$48,'Inputs'!$B$27*'Inputs'!$I$48,0)</x:f>
        <x:v>0</x:v>
      </x:c>
      <x:c r="S1517" s="78" t="n">
        <x:f>Q1517+G1517+R1517</x:f>
        <x:v>231187.13055920432</x:v>
      </x:c>
      <x:c r="T1517" s="78" t="n">
        <x:f>P1517*(S1517*(1-'Inputs'!$B$15))/(O1517+S1517*(1-'Inputs'!$B$15))</x:f>
        <x:v>20.934405828764604</x:v>
      </x:c>
      <x:c r="U1517" s="78" t="n">
        <x:f>O1517+S1517*(1-'Inputs'!$B$17)</x:f>
        <x:v>11199520.602199877</x:v>
      </x:c>
      <x:c r="V1517" s="78" t="n">
        <x:f>P1517-T1517</x:f>
        <x:v>1003.3195410712627</x:v>
      </x:c>
      <x:c r="W1517" s="79" t="n">
        <x:f>IF(U1517&gt;0,V1517/U1517,0)</x:f>
        <x:v>0.00008958593646179684</x:v>
      </x:c>
      <x:c r="X1517" s="80" t="n">
        <x:f>W1517*('Inputs'!$B$6-AC1517)</x:f>
        <x:v>89545.23885824933</x:v>
      </x:c>
      <x:c r="Y1517" s="80" t="n">
        <x:f>2*V1517</x:f>
        <x:v>2006.6390821425255</x:v>
      </x:c>
      <x:c r="Z1517" s="80" t="n">
        <x:f>K1517*'Inputs'!$B$16+(G1517+R1517)*J1517*'Inputs'!$B$16</x:f>
        <x:v>3.816836664614076</x:v>
      </x:c>
      <x:c r="AA1517" s="80" t="n">
        <x:f>K1517*(1+'Inputs'!$E$48)/2*'Inputs'!$B$17</x:f>
        <x:v>1.2365238795573772</x:v>
      </x:c>
      <x:c r="AB1517" s="78" t="n">
        <x:f>(IF(J1517&gt;0,K1517*(1-'Inputs'!$E$48)/2/J1517,0)+G1517+R1517)*'Inputs'!$B$17</x:f>
        <x:v>14172.90249981081</x:v>
      </x:c>
      <x:c r="AC1517" s="78" t="n">
        <x:f>AC1516+AB1517</x:f>
        <x:v>454285.62958496175</x:v>
      </x:c>
      <x:c r="AD1517" s="80" t="n">
        <x:f>Z1517/(1+'Inputs'!$C$48)</x:f>
        <x:v>3.053469331691261</x:v>
      </x:c>
      <x:c r="AE1517" s="80" t="n">
        <x:f>Z1517-AD1517</x:f>
        <x:v>0.7633673329228152</x:v>
      </x:c>
      <x:c r="AF1517" s="80" t="n">
        <x:f>D1517*W1517</x:f>
        <x:v>26.668185830097894</x:v>
      </x:c>
      <x:c r="AG1517" s="80" t="n">
        <x:f>C1517*W1517</x:f>
        <x:v>15.5564417342238</x:v>
      </x:c>
      <x:c r="AH1517" s="80" t="n">
        <x:f>2*'Inputs'!$B$8*'Inputs'!$C$48</x:f>
        <x:v>1250</x:v>
      </x:c>
      <x:c r="AI1517" s="81" t="n">
        <x:f>IF(AH1517&gt;0,(AE1517+AF1517)/AH1517*365,0)</x:f>
        <x:v>8.010013523602048</x:v>
      </x:c>
      <x:c r="AJ1517" s="81" t="n">
        <x:f>IF('Inputs'!$B$48&gt;0,AG1517/('Inputs'!$B$19*'Inputs'!$B$48)*365,0)</x:f>
        <x:v>2.2712404931966748</x:v>
      </x:c>
      <x:c r="AK1517" s="81" t="n">
        <x:f>W1517/MAX($W$1464:W1517)-1</x:f>
        <x:v>-0.8946484519796996</x:v>
      </x:c>
      <x:c r="AL1517" s="83" t="n">
        <x:f>'Inputs'!$B$48</x:f>
        <x:v>0.25</x:v>
      </x:c>
      <x:c r="AM1517" s="83" t="n">
        <x:f>'Inputs'!$C$48</x:f>
        <x:v>0.25</x:v>
      </x:c>
      <x:c r="AN1517" s="83" t="n">
        <x:f>'Inputs'!$D$48</x:f>
        <x:v>0.3</x:v>
      </x:c>
      <x:c r="AO1517" s="81" t="n">
        <x:f>'Inputs'!$E$48</x:f>
        <x:v>0</x:v>
      </x:c>
    </x:row>
    <x:row r="1518">
      <x:c r="A1518" s="59" t="str">
        <x:v>Low participation</x:v>
      </x:c>
      <x:c r="B1518" s="59" t="n">
        <x:v>55</x:v>
      </x:c>
      <x:c r="C1518" s="78" t="n">
        <x:f>(('Inputs'!$B$29*(3*55*'Inputs'!$B$12-55^2)/(2*'Inputs'!$B$12^2))-('Inputs'!$B$29*(3*54*'Inputs'!$B$12-54^2)/(2*'Inputs'!$B$12^2)))*'Inputs'!$B$48</x:f>
        <x:v>173566.9802026637</x:v>
      </x:c>
      <x:c r="D1518" s="78" t="n">
        <x:f>IF('Inputs'!$C$48&gt;0,('Inputs'!$B$30*(3*55*'Inputs'!$B$12-55^2)/(2*'Inputs'!$B$12^2))-('Inputs'!$B$30*(3*54*'Inputs'!$B$12-54^2)/(2*'Inputs'!$B$12^2)),0)</x:f>
        <x:v>297543.3946331404</x:v>
      </x:c>
      <x:c r="E1518" s="78" t="n">
        <x:f>C1518+D1518</x:f>
        <x:v>471110.3748358041</x:v>
      </x:c>
      <x:c r="F1518" s="78" t="n">
        <x:f>'Inputs'!$B$13*E1518+(1-'Inputs'!$B$13)/'Inputs'!$B$14*SUM(E1464:E1518)</x:f>
        <x:v>469060.28754389734</x:v>
      </x:c>
      <x:c r="G1518" s="78" t="n">
        <x:f>F1518*'Inputs'!$F$48</x:f>
        <x:v>234530.14377194867</x:v>
      </x:c>
      <x:c r="H1518" s="78" t="n">
        <x:f>U1517</x:f>
        <x:v>11199520.602199877</x:v>
      </x:c>
      <x:c r="I1518" s="78" t="n">
        <x:f>V1517</x:f>
        <x:v>1003.3195410712627</x:v>
      </x:c>
      <x:c r="J1518" s="79" t="n">
        <x:f>IF(H1518&gt;0,I1518/H1518,0)</x:f>
        <x:v>0.00008958593646179684</x:v>
      </x:c>
      <x:c r="K1518" s="80" t="n">
        <x:f>(H1518*J1518+I1518)*'Inputs'!$D$48*(1+'Inputs'!$G$48)^(B1518/30)</x:f>
        <x:v>601.9917246427577</x:v>
      </x:c>
      <x:c r="L1518" s="80" t="n">
        <x:f>MAX(0,K1518*'Inputs'!$E$48)</x:f>
        <x:v>0</x:v>
      </x:c>
      <x:c r="M1518" s="80" t="n">
        <x:f>MAX(0,-K1518*'Inputs'!$E$48)</x:f>
        <x:v>0</x:v>
      </x:c>
      <x:c r="N1518" s="78" t="n">
        <x:f>H1518*(L1518*(1-'Inputs'!$B$15))/(I1518+L1518*(1-'Inputs'!$B$15))</x:f>
        <x:v>0</x:v>
      </x:c>
      <x:c r="O1518" s="78" t="n">
        <x:f>H1518-N1518</x:f>
        <x:v>11199520.602199877</x:v>
      </x:c>
      <x:c r="P1518" s="78" t="n">
        <x:f>I1518+L1518*(1-'Inputs'!$B$17)</x:f>
        <x:v>1003.3195410712627</x:v>
      </x:c>
      <x:c r="Q1518" s="78" t="n">
        <x:f>IF(J1518&gt;0,M1518/J1518,0)</x:f>
        <x:v>0</x:v>
      </x:c>
      <x:c r="R1518" s="78" t="n">
        <x:f>IF(B1518='Inputs'!$H$48,'Inputs'!$B$27*'Inputs'!$I$48,0)</x:f>
        <x:v>0</x:v>
      </x:c>
      <x:c r="S1518" s="78" t="n">
        <x:f>Q1518+G1518+R1518</x:f>
        <x:v>234530.14377194867</x:v>
      </x:c>
      <x:c r="T1518" s="78" t="n">
        <x:f>P1518*(S1518*(1-'Inputs'!$B$15))/(O1518+S1518*(1-'Inputs'!$B$15))</x:f>
        <x:v>20.378025884656296</x:v>
      </x:c>
      <x:c r="U1518" s="78" t="n">
        <x:f>O1518+S1518*(1-'Inputs'!$B$17)</x:f>
        <x:v>11433106.962697089</x:v>
      </x:c>
      <x:c r="V1518" s="78" t="n">
        <x:f>P1518-T1518</x:f>
        <x:v>982.9415151866065</x:v>
      </x:c>
      <x:c r="W1518" s="79" t="n">
        <x:f>IF(U1518&gt;0,V1518/U1518,0)</x:f>
        <x:v>0.0000859732632952407</x:v>
      </x:c>
      <x:c r="X1518" s="80" t="n">
        <x:f>W1518*('Inputs'!$B$6-AC1518)</x:f>
        <x:v>85932.96333143515</x:v>
      </x:c>
      <x:c r="Y1518" s="80" t="n">
        <x:f>2*V1518</x:f>
        <x:v>1965.883030373213</x:v>
      </x:c>
      <x:c r="Z1518" s="80" t="n">
        <x:f>K1518*'Inputs'!$B$16+(G1518+R1518)*J1518*'Inputs'!$B$16</x:f>
        <x:v>3.7380139632065257</x:v>
      </x:c>
      <x:c r="AA1518" s="80" t="n">
        <x:f>K1518*(1+'Inputs'!$E$48)/2*'Inputs'!$B$17</x:f>
        <x:v>1.2112509550156092</x:v>
      </x:c>
      <x:c r="AB1518" s="78" t="n">
        <x:f>(IF(J1518&gt;0,K1518*(1-'Inputs'!$E$48)/2/J1518,0)+G1518+R1518)*'Inputs'!$B$17</x:f>
        <x:v>14464.33128544029</x:v>
      </x:c>
      <x:c r="AC1518" s="78" t="n">
        <x:f>AC1517+AB1518</x:f>
        <x:v>468749.96087040205</x:v>
      </x:c>
      <x:c r="AD1518" s="80" t="n">
        <x:f>Z1518/(1+'Inputs'!$C$48)</x:f>
        <x:v>2.9904111705652205</x:v>
      </x:c>
      <x:c r="AE1518" s="80" t="n">
        <x:f>Z1518-AD1518</x:f>
        <x:v>0.7476027926413051</x:v>
      </x:c>
      <x:c r="AF1518" s="80" t="n">
        <x:f>D1518*W1518</x:f>
        <x:v>25.58077660855469</x:v>
      </x:c>
      <x:c r="AG1518" s="80" t="n">
        <x:f>C1518*W1518</x:f>
        <x:v>14.922119688323434</x:v>
      </x:c>
      <x:c r="AH1518" s="80" t="n">
        <x:f>2*'Inputs'!$B$8*'Inputs'!$C$48</x:f>
        <x:v>1250</x:v>
      </x:c>
      <x:c r="AI1518" s="81" t="n">
        <x:f>IF(AH1518&gt;0,(AE1518+AF1518)/AH1518*365,0)</x:f>
        <x:v>7.687886785149231</x:v>
      </x:c>
      <x:c r="AJ1518" s="81" t="n">
        <x:f>IF('Inputs'!$B$48&gt;0,AG1518/('Inputs'!$B$19*'Inputs'!$B$48)*365,0)</x:f>
        <x:v>2.1786294744952213</x:v>
      </x:c>
      <x:c r="AK1518" s="81" t="n">
        <x:f>W1518/MAX($W$1464:W1518)-1</x:f>
        <x:v>-0.8988968945993779</x:v>
      </x:c>
      <x:c r="AL1518" s="83" t="n">
        <x:f>'Inputs'!$B$48</x:f>
        <x:v>0.25</x:v>
      </x:c>
      <x:c r="AM1518" s="83" t="n">
        <x:f>'Inputs'!$C$48</x:f>
        <x:v>0.25</x:v>
      </x:c>
      <x:c r="AN1518" s="83" t="n">
        <x:f>'Inputs'!$D$48</x:f>
        <x:v>0.3</x:v>
      </x:c>
      <x:c r="AO1518" s="81" t="n">
        <x:f>'Inputs'!$E$48</x:f>
        <x:v>0</x:v>
      </x:c>
    </x:row>
    <x:row r="1519">
      <x:c r="A1519" s="59" t="str">
        <x:v>Low participation</x:v>
      </x:c>
      <x:c r="B1519" s="59" t="n">
        <x:v>56</x:v>
      </x:c>
      <x:c r="C1519" s="78" t="n">
        <x:f>(('Inputs'!$B$29*(3*56*'Inputs'!$B$12-56^2)/(2*'Inputs'!$B$12^2))-('Inputs'!$B$29*(3*55*'Inputs'!$B$12-55^2)/(2*'Inputs'!$B$12^2)))*'Inputs'!$B$48</x:f>
        <x:v>173485.70322762243</x:v>
      </x:c>
      <x:c r="D1519" s="78" t="n">
        <x:f>IF('Inputs'!$C$48&gt;0,('Inputs'!$B$30*(3*56*'Inputs'!$B$12-56^2)/(2*'Inputs'!$B$12^2))-('Inputs'!$B$30*(3*55*'Inputs'!$B$12-55^2)/(2*'Inputs'!$B$12^2)),0)</x:f>
        <x:v>297404.0626759231</x:v>
      </x:c>
      <x:c r="E1519" s="78" t="n">
        <x:f>C1519+D1519</x:f>
        <x:v>470889.76590354554</x:v>
      </x:c>
      <x:c r="F1519" s="78" t="n">
        <x:f>'Inputs'!$B$13*E1519+(1-'Inputs'!$B$13)/'Inputs'!$B$14*SUM(E1464:E1519)</x:f>
        <x:v>475743.1624132106</x:v>
      </x:c>
      <x:c r="G1519" s="78" t="n">
        <x:f>F1519*'Inputs'!$F$48</x:f>
        <x:v>237871.5812066053</x:v>
      </x:c>
      <x:c r="H1519" s="78" t="n">
        <x:f>U1518</x:f>
        <x:v>11433106.962697089</x:v>
      </x:c>
      <x:c r="I1519" s="78" t="n">
        <x:f>V1518</x:f>
        <x:v>982.9415151866065</x:v>
      </x:c>
      <x:c r="J1519" s="79" t="n">
        <x:f>IF(H1519&gt;0,I1519/H1519,0)</x:f>
        <x:v>0.0000859732632952407</x:v>
      </x:c>
      <x:c r="K1519" s="80" t="n">
        <x:f>(H1519*J1519+I1519)*'Inputs'!$D$48*(1+'Inputs'!$G$48)^(B1519/30)</x:f>
        <x:v>589.7649091119639</x:v>
      </x:c>
      <x:c r="L1519" s="80" t="n">
        <x:f>MAX(0,K1519*'Inputs'!$E$48)</x:f>
        <x:v>0</x:v>
      </x:c>
      <x:c r="M1519" s="80" t="n">
        <x:f>MAX(0,-K1519*'Inputs'!$E$48)</x:f>
        <x:v>0</x:v>
      </x:c>
      <x:c r="N1519" s="78" t="n">
        <x:f>H1519*(L1519*(1-'Inputs'!$B$15))/(I1519+L1519*(1-'Inputs'!$B$15))</x:f>
        <x:v>0</x:v>
      </x:c>
      <x:c r="O1519" s="78" t="n">
        <x:f>H1519-N1519</x:f>
        <x:v>11433106.962697089</x:v>
      </x:c>
      <x:c r="P1519" s="78" t="n">
        <x:f>I1519+L1519*(1-'Inputs'!$B$17)</x:f>
        <x:v>982.9415151866065</x:v>
      </x:c>
      <x:c r="Q1519" s="78" t="n">
        <x:f>IF(J1519&gt;0,M1519/J1519,0)</x:f>
        <x:v>0</x:v>
      </x:c>
      <x:c r="R1519" s="78" t="n">
        <x:f>IF(B1519='Inputs'!$H$48,'Inputs'!$B$27*'Inputs'!$I$48,0)</x:f>
        <x:v>0</x:v>
      </x:c>
      <x:c r="S1519" s="78" t="n">
        <x:f>Q1519+G1519+R1519</x:f>
        <x:v>237871.5812066053</x:v>
      </x:c>
      <x:c r="T1519" s="78" t="n">
        <x:f>P1519*(S1519*(1-'Inputs'!$B$15))/(O1519+S1519*(1-'Inputs'!$B$15))</x:f>
        <x:v>19.837488416500207</x:v>
      </x:c>
      <x:c r="U1519" s="78" t="n">
        <x:f>O1519+S1519*(1-'Inputs'!$B$17)</x:f>
        <x:v>11670021.314200649</x:v>
      </x:c>
      <x:c r="V1519" s="78" t="n">
        <x:f>P1519-T1519</x:f>
        <x:v>963.1040267701062</x:v>
      </x:c>
      <x:c r="W1519" s="79" t="n">
        <x:f>IF(U1519&gt;0,V1519/U1519,0)</x:f>
        <x:v>0.00008252804350906836</x:v>
      </x:c>
      <x:c r="X1519" s="80" t="n">
        <x:f>W1519*('Inputs'!$B$6-AC1519)</x:f>
        <x:v>82488.14039668803</x:v>
      </x:c>
      <x:c r="Y1519" s="80" t="n">
        <x:f>2*V1519</x:f>
        <x:v>1926.2080535402124</x:v>
      </x:c>
      <x:c r="Z1519" s="80" t="n">
        <x:f>K1519*'Inputs'!$B$16+(G1519+R1519)*J1519*'Inputs'!$B$16</x:f>
        <x:v>3.6612930311609677</x:v>
      </x:c>
      <x:c r="AA1519" s="80" t="n">
        <x:f>K1519*(1+'Inputs'!$E$48)/2*'Inputs'!$B$17</x:f>
        <x:v>1.1866497165230663</x:v>
      </x:c>
      <x:c r="AB1519" s="78" t="n">
        <x:f>(IF(J1519&gt;0,K1519*(1-'Inputs'!$E$48)/2/J1519,0)+G1519+R1519)*'Inputs'!$B$17</x:f>
        <x:v>14759.773319982825</x:v>
      </x:c>
      <x:c r="AC1519" s="78" t="n">
        <x:f>AC1518+AB1519</x:f>
        <x:v>483509.73419038486</x:v>
      </x:c>
      <x:c r="AD1519" s="80" t="n">
        <x:f>Z1519/(1+'Inputs'!$C$48)</x:f>
        <x:v>2.929034424928774</x:v>
      </x:c>
      <x:c r="AE1519" s="80" t="n">
        <x:f>Z1519-AD1519</x:f>
        <x:v>0.7322586062321936</x:v>
      </x:c>
      <x:c r="AF1519" s="80" t="n">
        <x:f>D1519*W1519</x:f>
        <x:v>24.544175424292273</x:v>
      </x:c>
      <x:c r="AG1519" s="80" t="n">
        <x:f>C1519*W1519</x:f>
        <x:v>14.317435664170546</x:v>
      </x:c>
      <x:c r="AH1519" s="80" t="n">
        <x:f>2*'Inputs'!$B$8*'Inputs'!$C$48</x:f>
        <x:v>1250</x:v>
      </x:c>
      <x:c r="AI1519" s="81" t="n">
        <x:f>IF(AH1519&gt;0,(AE1519+AF1519)/AH1519*365,0)</x:f>
        <x:v>7.380718736913144</x:v>
      </x:c>
      <x:c r="AJ1519" s="81" t="n">
        <x:f>IF('Inputs'!$B$48&gt;0,AG1519/('Inputs'!$B$19*'Inputs'!$B$48)*365,0)</x:f>
        <x:v>2.0903456069688997</x:v>
      </x:c>
      <x:c r="AK1519" s="81" t="n">
        <x:f>W1519/MAX($W$1464:W1519)-1</x:f>
        <x:v>-0.9029484148722972</x:v>
      </x:c>
      <x:c r="AL1519" s="83" t="n">
        <x:f>'Inputs'!$B$48</x:f>
        <x:v>0.25</x:v>
      </x:c>
      <x:c r="AM1519" s="83" t="n">
        <x:f>'Inputs'!$C$48</x:f>
        <x:v>0.25</x:v>
      </x:c>
      <x:c r="AN1519" s="83" t="n">
        <x:f>'Inputs'!$D$48</x:f>
        <x:v>0.3</x:v>
      </x:c>
      <x:c r="AO1519" s="81" t="n">
        <x:f>'Inputs'!$E$48</x:f>
        <x:v>0</x:v>
      </x:c>
    </x:row>
    <x:row r="1520">
      <x:c r="A1520" s="59" t="str">
        <x:v>Low participation</x:v>
      </x:c>
      <x:c r="B1520" s="59" t="n">
        <x:v>57</x:v>
      </x:c>
      <x:c r="C1520" s="78" t="n">
        <x:f>(('Inputs'!$B$29*(3*57*'Inputs'!$B$12-57^2)/(2*'Inputs'!$B$12^2))-('Inputs'!$B$29*(3*56*'Inputs'!$B$12-56^2)/(2*'Inputs'!$B$12^2)))*'Inputs'!$B$48</x:f>
        <x:v>173404.42625258118</x:v>
      </x:c>
      <x:c r="D1520" s="78" t="n">
        <x:f>IF('Inputs'!$C$48&gt;0,('Inputs'!$B$30*(3*57*'Inputs'!$B$12-57^2)/(2*'Inputs'!$B$12^2))-('Inputs'!$B$30*(3*56*'Inputs'!$B$12-56^2)/(2*'Inputs'!$B$12^2)),0)</x:f>
        <x:v>297264.7307187095</x:v>
      </x:c>
      <x:c r="E1520" s="78" t="n">
        <x:f>C1520+D1520</x:f>
        <x:v>470669.1569712907</x:v>
      </x:c>
      <x:c r="F1520" s="78" t="n">
        <x:f>'Inputs'!$B$13*E1520+(1-'Inputs'!$B$13)/'Inputs'!$B$14*SUM(E1465:E1520)</x:f>
        <x:v>475522.55348095373</x:v>
      </x:c>
      <x:c r="G1520" s="78" t="n">
        <x:f>F1520*'Inputs'!$F$48</x:f>
        <x:v>237761.27674047687</x:v>
      </x:c>
      <x:c r="H1520" s="78" t="n">
        <x:f>U1519</x:f>
        <x:v>11670021.314200649</x:v>
      </x:c>
      <x:c r="I1520" s="78" t="n">
        <x:f>V1519</x:f>
        <x:v>963.1040267701062</x:v>
      </x:c>
      <x:c r="J1520" s="79" t="n">
        <x:f>IF(H1520&gt;0,I1520/H1520,0)</x:f>
        <x:v>0.00008252804350906836</x:v>
      </x:c>
      <x:c r="K1520" s="80" t="n">
        <x:f>(H1520*J1520+I1520)*'Inputs'!$D$48*(1+'Inputs'!$G$48)^(B1520/30)</x:f>
        <x:v>577.8624160620637</x:v>
      </x:c>
      <x:c r="L1520" s="80" t="n">
        <x:f>MAX(0,K1520*'Inputs'!$E$48)</x:f>
        <x:v>0</x:v>
      </x:c>
      <x:c r="M1520" s="80" t="n">
        <x:f>MAX(0,-K1520*'Inputs'!$E$48)</x:f>
        <x:v>0</x:v>
      </x:c>
      <x:c r="N1520" s="78" t="n">
        <x:f>H1520*(L1520*(1-'Inputs'!$B$15))/(I1520+L1520*(1-'Inputs'!$B$15))</x:f>
        <x:v>0</x:v>
      </x:c>
      <x:c r="O1520" s="78" t="n">
        <x:f>H1520-N1520</x:f>
        <x:v>11670021.314200649</x:v>
      </x:c>
      <x:c r="P1520" s="78" t="n">
        <x:f>I1520+L1520*(1-'Inputs'!$B$17)</x:f>
        <x:v>963.1040267701062</x:v>
      </x:c>
      <x:c r="Q1520" s="78" t="n">
        <x:f>IF(J1520&gt;0,M1520/J1520,0)</x:f>
        <x:v>0</x:v>
      </x:c>
      <x:c r="R1520" s="78" t="n">
        <x:f>IF(B1520='Inputs'!$H$48,'Inputs'!$B$27*'Inputs'!$I$48,0)</x:f>
        <x:v>0</x:v>
      </x:c>
      <x:c r="S1520" s="78" t="n">
        <x:f>Q1520+G1520+R1520</x:f>
        <x:v>237761.27674047687</x:v>
      </x:c>
      <x:c r="T1520" s="78" t="n">
        <x:f>P1520*(S1520*(1-'Inputs'!$B$15))/(O1520+S1520*(1-'Inputs'!$B$15))</x:f>
        <x:v>19.041683590266473</x:v>
      </x:c>
      <x:c r="U1520" s="78" t="n">
        <x:f>O1520+S1520*(1-'Inputs'!$B$17)</x:f>
        <x:v>11906825.805119233</x:v>
      </x:c>
      <x:c r="V1520" s="78" t="n">
        <x:f>P1520-T1520</x:f>
        <x:v>944.0623431798397</x:v>
      </x:c>
      <x:c r="W1520" s="79" t="n">
        <x:f>IF(U1520&gt;0,V1520/U1520,0)</x:f>
        <x:v>0.00007928749094271191</x:v>
      </x:c>
      <x:c r="X1520" s="80" t="n">
        <x:f>W1520*('Inputs'!$B$6-AC1520)</x:f>
        <x:v>79247.96176156531</x:v>
      </x:c>
      <x:c r="Y1520" s="80" t="n">
        <x:f>2*V1520</x:f>
        <x:v>1888.1246863596793</x:v>
      </x:c>
      <x:c r="Z1520" s="80" t="n">
        <x:f>K1520*'Inputs'!$B$16+(G1520+R1520)*J1520*'Inputs'!$B$16</x:f>
        <x:v>3.584906334322041</x:v>
      </x:c>
      <x:c r="AA1520" s="80" t="n">
        <x:f>K1520*(1+'Inputs'!$E$48)/2*'Inputs'!$B$17</x:f>
        <x:v>1.162701038354253</x:v>
      </x:c>
      <x:c r="AB1520" s="78" t="n">
        <x:f>(IF(J1520&gt;0,K1520*(1-'Inputs'!$E$48)/2/J1520,0)+G1520+R1520)*'Inputs'!$B$17</x:f>
        <x:v>15045.34274044536</x:v>
      </x:c>
      <x:c r="AC1520" s="78" t="n">
        <x:f>AC1519+AB1520</x:f>
        <x:v>498555.0769308302</x:v>
      </x:c>
      <x:c r="AD1520" s="80" t="n">
        <x:f>Z1520/(1+'Inputs'!$C$48)</x:f>
        <x:v>2.867925067457633</x:v>
      </x:c>
      <x:c r="AE1520" s="80" t="n">
        <x:f>Z1520-AD1520</x:f>
        <x:v>0.716981266864408</x:v>
      </x:c>
      <x:c r="AF1520" s="80" t="n">
        <x:f>D1520*W1520</x:f>
        <x:v>23.56937464444738</x:v>
      </x:c>
      <x:c r="AG1520" s="80" t="n">
        <x:f>C1520*W1520</x:f>
        <x:v>13.748801875927686</x:v>
      </x:c>
      <x:c r="AH1520" s="80" t="n">
        <x:f>2*'Inputs'!$B$8*'Inputs'!$C$48</x:f>
        <x:v>1250</x:v>
      </x:c>
      <x:c r="AI1520" s="81" t="n">
        <x:f>IF(AH1520&gt;0,(AE1520+AF1520)/AH1520*365,0)</x:f>
        <x:v>7.091615926103042</x:v>
      </x:c>
      <x:c r="AJ1520" s="81" t="n">
        <x:f>IF('Inputs'!$B$48&gt;0,AG1520/('Inputs'!$B$19*'Inputs'!$B$48)*365,0)</x:f>
        <x:v>2.007325073885442</x:v>
      </x:c>
      <x:c r="AK1520" s="81" t="n">
        <x:f>W1520/MAX($W$1464:W1520)-1</x:f>
        <x:v>-0.9067592499518902</x:v>
      </x:c>
      <x:c r="AL1520" s="83" t="n">
        <x:f>'Inputs'!$B$48</x:f>
        <x:v>0.25</x:v>
      </x:c>
      <x:c r="AM1520" s="83" t="n">
        <x:f>'Inputs'!$C$48</x:f>
        <x:v>0.25</x:v>
      </x:c>
      <x:c r="AN1520" s="83" t="n">
        <x:f>'Inputs'!$D$48</x:f>
        <x:v>0.3</x:v>
      </x:c>
      <x:c r="AO1520" s="81" t="n">
        <x:f>'Inputs'!$E$48</x:f>
        <x:v>0</x:v>
      </x:c>
    </x:row>
    <x:row r="1521">
      <x:c r="A1521" s="59" t="str">
        <x:v>Low participation</x:v>
      </x:c>
      <x:c r="B1521" s="59" t="n">
        <x:v>58</x:v>
      </x:c>
      <x:c r="C1521" s="78" t="n">
        <x:f>(('Inputs'!$B$29*(3*58*'Inputs'!$B$12-58^2)/(2*'Inputs'!$B$12^2))-('Inputs'!$B$29*(3*57*'Inputs'!$B$12-57^2)/(2*'Inputs'!$B$12^2)))*'Inputs'!$B$48</x:f>
        <x:v>173323.14927753806</x:v>
      </x:c>
      <x:c r="D1521" s="78" t="n">
        <x:f>IF('Inputs'!$C$48&gt;0,('Inputs'!$B$30*(3*58*'Inputs'!$B$12-58^2)/(2*'Inputs'!$B$12^2))-('Inputs'!$B$30*(3*57*'Inputs'!$B$12-57^2)/(2*'Inputs'!$B$12^2)),0)</x:f>
        <x:v>297125.3987614922</x:v>
      </x:c>
      <x:c r="E1521" s="78" t="n">
        <x:f>C1521+D1521</x:f>
        <x:v>470448.5480390303</x:v>
      </x:c>
      <x:c r="F1521" s="78" t="n">
        <x:f>'Inputs'!$B$13*E1521+(1-'Inputs'!$B$13)/'Inputs'!$B$14*SUM(E1466:E1521)</x:f>
        <x:v>475301.94454869564</x:v>
      </x:c>
      <x:c r="G1521" s="78" t="n">
        <x:f>F1521*'Inputs'!$F$48</x:f>
        <x:v>237650.97227434782</x:v>
      </x:c>
      <x:c r="H1521" s="78" t="n">
        <x:f>U1520</x:f>
        <x:v>11906825.805119233</x:v>
      </x:c>
      <x:c r="I1521" s="78" t="n">
        <x:f>V1520</x:f>
        <x:v>944.0623431798397</x:v>
      </x:c>
      <x:c r="J1521" s="79" t="n">
        <x:f>IF(H1521&gt;0,I1521/H1521,0)</x:f>
        <x:v>0.00007928749094271191</x:v>
      </x:c>
      <x:c r="K1521" s="80" t="n">
        <x:f>(H1521*J1521+I1521)*'Inputs'!$D$48*(1+'Inputs'!$G$48)^(B1521/30)</x:f>
        <x:v>566.4374059079038</x:v>
      </x:c>
      <x:c r="L1521" s="80" t="n">
        <x:f>MAX(0,K1521*'Inputs'!$E$48)</x:f>
        <x:v>0</x:v>
      </x:c>
      <x:c r="M1521" s="80" t="n">
        <x:f>MAX(0,-K1521*'Inputs'!$E$48)</x:f>
        <x:v>0</x:v>
      </x:c>
      <x:c r="N1521" s="78" t="n">
        <x:f>H1521*(L1521*(1-'Inputs'!$B$15))/(I1521+L1521*(1-'Inputs'!$B$15))</x:f>
        <x:v>0</x:v>
      </x:c>
      <x:c r="O1521" s="78" t="n">
        <x:f>H1521-N1521</x:f>
        <x:v>11906825.805119233</x:v>
      </x:c>
      <x:c r="P1521" s="78" t="n">
        <x:f>I1521+L1521*(1-'Inputs'!$B$17)</x:f>
        <x:v>944.0623431798397</x:v>
      </x:c>
      <x:c r="Q1521" s="78" t="n">
        <x:f>IF(J1521&gt;0,M1521/J1521,0)</x:f>
        <x:v>0</x:v>
      </x:c>
      <x:c r="R1521" s="78" t="n">
        <x:f>IF(B1521='Inputs'!$H$48,'Inputs'!$B$27*'Inputs'!$I$48,0)</x:f>
        <x:v>0</x:v>
      </x:c>
      <x:c r="S1521" s="78" t="n">
        <x:f>Q1521+G1521+R1521</x:f>
        <x:v>237650.97227434782</x:v>
      </x:c>
      <x:c r="T1521" s="78" t="n">
        <x:f>P1521*(S1521*(1-'Inputs'!$B$15))/(O1521+S1521*(1-'Inputs'!$B$15))</x:f>
        <x:v>18.292861655758017</x:v>
      </x:c>
      <x:c r="U1521" s="78" t="n">
        <x:f>O1521+S1521*(1-'Inputs'!$B$17)</x:f>
        <x:v>12143520.43545284</x:v>
      </x:c>
      <x:c r="V1521" s="78" t="n">
        <x:f>P1521-T1521</x:f>
        <x:v>925.7694815240817</x:v>
      </x:c>
      <x:c r="W1521" s="79" t="n">
        <x:f>IF(U1521&gt;0,V1521/U1521,0)</x:f>
        <x:v>0.00007623567535006656</x:v>
      </x:c>
      <x:c r="X1521" s="80" t="n">
        <x:f>W1521*('Inputs'!$B$6-AC1521)</x:f>
        <x:v>76196.49891474623</x:v>
      </x:c>
      <x:c r="Y1521" s="80" t="n">
        <x:f>2*V1521</x:f>
        <x:v>1851.5389630481634</x:v>
      </x:c>
      <x:c r="Z1521" s="80" t="n">
        <x:f>K1521*'Inputs'!$B$16+(G1521+R1521)*J1521*'Inputs'!$B$16</x:f>
        <x:v>3.5116809313177972</x:v>
      </x:c>
      <x:c r="AA1521" s="80" t="n">
        <x:f>K1521*(1+'Inputs'!$E$48)/2*'Inputs'!$B$17</x:f>
        <x:v>1.1397130903579553</x:v>
      </x:c>
      <x:c r="AB1521" s="78" t="n">
        <x:f>(IF(J1521&gt;0,K1521*(1-'Inputs'!$E$48)/2/J1521,0)+G1521+R1521)*'Inputs'!$B$17</x:f>
        <x:v>15330.779532435081</x:v>
      </x:c>
      <x:c r="AC1521" s="78" t="n">
        <x:f>AC1520+AB1521</x:f>
        <x:v>513885.85646326526</x:v>
      </x:c>
      <x:c r="AD1521" s="80" t="n">
        <x:f>Z1521/(1+'Inputs'!$C$48)</x:f>
        <x:v>2.8093447450542377</x:v>
      </x:c>
      <x:c r="AE1521" s="80" t="n">
        <x:f>Z1521-AD1521</x:f>
        <x:v>0.7023361862635595</x:v>
      </x:c>
      <x:c r="AF1521" s="80" t="n">
        <x:f>D1521*W1521</x:f>
        <x:v>22.65155543824019</x:v>
      </x:c>
      <x:c r="AG1521" s="80" t="n">
        <x:f>C1521*W1521</x:f>
        <x:v>13.213407338973516</x:v>
      </x:c>
      <x:c r="AH1521" s="80" t="n">
        <x:f>2*'Inputs'!$B$8*'Inputs'!$C$48</x:f>
        <x:v>1250</x:v>
      </x:c>
      <x:c r="AI1521" s="81" t="n">
        <x:f>IF(AH1521&gt;0,(AE1521+AF1521)/AH1521*365,0)</x:f>
        <x:v>6.819336354355095</x:v>
      </x:c>
      <x:c r="AJ1521" s="81" t="n">
        <x:f>IF('Inputs'!$B$48&gt;0,AG1521/('Inputs'!$B$19*'Inputs'!$B$48)*365,0)</x:f>
        <x:v>1.9291574714901334</x:v>
      </x:c>
      <x:c r="AK1521" s="81" t="n">
        <x:f>W1521/MAX($W$1464:W1521)-1</x:f>
        <x:v>-0.9103481335384873</x:v>
      </x:c>
      <x:c r="AL1521" s="83" t="n">
        <x:f>'Inputs'!$B$48</x:f>
        <x:v>0.25</x:v>
      </x:c>
      <x:c r="AM1521" s="83" t="n">
        <x:f>'Inputs'!$C$48</x:f>
        <x:v>0.25</x:v>
      </x:c>
      <x:c r="AN1521" s="83" t="n">
        <x:f>'Inputs'!$D$48</x:f>
        <x:v>0.3</x:v>
      </x:c>
      <x:c r="AO1521" s="81" t="n">
        <x:f>'Inputs'!$E$48</x:f>
        <x:v>0</x:v>
      </x:c>
    </x:row>
    <x:row r="1522">
      <x:c r="A1522" s="59" t="str">
        <x:v>Low participation</x:v>
      </x:c>
      <x:c r="B1522" s="59" t="n">
        <x:v>59</x:v>
      </x:c>
      <x:c r="C1522" s="78" t="n">
        <x:f>(('Inputs'!$B$29*(3*59*'Inputs'!$B$12-59^2)/(2*'Inputs'!$B$12^2))-('Inputs'!$B$29*(3*58*'Inputs'!$B$12-58^2)/(2*'Inputs'!$B$12^2)))*'Inputs'!$B$48</x:f>
        <x:v>173241.87230249494</x:v>
      </x:c>
      <x:c r="D1522" s="78" t="n">
        <x:f>IF('Inputs'!$C$48&gt;0,('Inputs'!$B$30*(3*59*'Inputs'!$B$12-59^2)/(2*'Inputs'!$B$12^2))-('Inputs'!$B$30*(3*58*'Inputs'!$B$12-58^2)/(2*'Inputs'!$B$12^2)),0)</x:f>
        <x:v>296986.06680427864</x:v>
      </x:c>
      <x:c r="E1522" s="78" t="n">
        <x:f>C1522+D1522</x:f>
        <x:v>470227.9391067736</x:v>
      </x:c>
      <x:c r="F1522" s="78" t="n">
        <x:f>'Inputs'!$B$13*E1522+(1-'Inputs'!$B$13)/'Inputs'!$B$14*SUM(E1467:E1522)</x:f>
        <x:v>475081.33561643836</x:v>
      </x:c>
      <x:c r="G1522" s="78" t="n">
        <x:f>F1522*'Inputs'!$F$48</x:f>
        <x:v>237540.66780821918</x:v>
      </x:c>
      <x:c r="H1522" s="78" t="n">
        <x:f>U1521</x:f>
        <x:v>12143520.43545284</x:v>
      </x:c>
      <x:c r="I1522" s="78" t="n">
        <x:f>V1521</x:f>
        <x:v>925.7694815240817</x:v>
      </x:c>
      <x:c r="J1522" s="79" t="n">
        <x:f>IF(H1522&gt;0,I1522/H1522,0)</x:f>
        <x:v>0.00007623567535006656</x:v>
      </x:c>
      <x:c r="K1522" s="80" t="n">
        <x:f>(H1522*J1522+I1522)*'Inputs'!$D$48*(1+'Inputs'!$G$48)^(B1522/30)</x:f>
        <x:v>555.4616889144489</x:v>
      </x:c>
      <x:c r="L1522" s="80" t="n">
        <x:f>MAX(0,K1522*'Inputs'!$E$48)</x:f>
        <x:v>0</x:v>
      </x:c>
      <x:c r="M1522" s="80" t="n">
        <x:f>MAX(0,-K1522*'Inputs'!$E$48)</x:f>
        <x:v>0</x:v>
      </x:c>
      <x:c r="N1522" s="78" t="n">
        <x:f>H1522*(L1522*(1-'Inputs'!$B$15))/(I1522+L1522*(1-'Inputs'!$B$15))</x:f>
        <x:v>0</x:v>
      </x:c>
      <x:c r="O1522" s="78" t="n">
        <x:f>H1522-N1522</x:f>
        <x:v>12143520.43545284</x:v>
      </x:c>
      <x:c r="P1522" s="78" t="n">
        <x:f>I1522+L1522*(1-'Inputs'!$B$17)</x:f>
        <x:v>925.7694815240817</x:v>
      </x:c>
      <x:c r="Q1522" s="78" t="n">
        <x:f>IF(J1522&gt;0,M1522/J1522,0)</x:f>
        <x:v>0</x:v>
      </x:c>
      <x:c r="R1522" s="78" t="n">
        <x:f>IF(B1522='Inputs'!$H$48,'Inputs'!$B$27*'Inputs'!$I$48,0)</x:f>
        <x:v>0</x:v>
      </x:c>
      <x:c r="S1522" s="78" t="n">
        <x:f>Q1522+G1522+R1522</x:f>
        <x:v>237540.66780821918</x:v>
      </x:c>
      <x:c r="T1522" s="78" t="n">
        <x:f>P1522*(S1522*(1-'Inputs'!$B$15))/(O1522+S1522*(1-'Inputs'!$B$15))</x:f>
        <x:v>17.587393945143848</x:v>
      </x:c>
      <x:c r="U1522" s="78" t="n">
        <x:f>O1522+S1522*(1-'Inputs'!$B$17)</x:f>
        <x:v>12380105.205201467</x:v>
      </x:c>
      <x:c r="V1522" s="78" t="n">
        <x:f>P1522-T1522</x:f>
        <x:v>908.1820875789379</x:v>
      </x:c>
      <x:c r="W1522" s="79" t="n">
        <x:f>IF(U1522&gt;0,V1522/U1522,0)</x:f>
        <x:v>0.0000733581881999975</x:v>
      </x:c>
      <x:c r="X1522" s="80" t="n">
        <x:f>W1522*('Inputs'!$B$6-AC1522)</x:f>
        <x:v>73319.34489701904</x:v>
      </x:c>
      <x:c r="Y1522" s="80" t="n">
        <x:f>2*V1522</x:f>
        <x:v>1816.3641751578757</x:v>
      </x:c>
      <x:c r="Z1522" s="80" t="n">
        <x:f>K1522*'Inputs'!$B$16+(G1522+R1522)*J1522*'Inputs'!$B$16</x:f>
        <x:v>3.441424572887486</x:v>
      </x:c>
      <x:c r="AA1522" s="80" t="n">
        <x:f>K1522*(1+'Inputs'!$E$48)/2*'Inputs'!$B$17</x:f>
        <x:v>1.1176291527453701</x:v>
      </x:c>
      <x:c r="AB1522" s="78" t="n">
        <x:f>(IF(J1522&gt;0,K1522*(1-'Inputs'!$E$48)/2/J1522,0)+G1522+R1522)*'Inputs'!$B$17</x:f>
        <x:v>15616.083695951997</x:v>
      </x:c>
      <x:c r="AC1522" s="78" t="n">
        <x:f>AC1521+AB1522</x:f>
        <x:v>529501.9401592172</x:v>
      </x:c>
      <x:c r="AD1522" s="80" t="n">
        <x:f>Z1522/(1+'Inputs'!$C$48)</x:f>
        <x:v>2.7531396583099887</x:v>
      </x:c>
      <x:c r="AE1522" s="80" t="n">
        <x:f>Z1522-AD1522</x:f>
        <x:v>0.6882849145774972</x:v>
      </x:c>
      <x:c r="AF1522" s="80" t="n">
        <x:f>D1522*W1522</x:f>
        <x:v>21.786359781405302</x:v>
      </x:c>
      <x:c r="AG1522" s="80" t="n">
        <x:f>C1522*W1522</x:f>
        <x:v>12.708709872486358</x:v>
      </x:c>
      <x:c r="AH1522" s="80" t="n">
        <x:f>2*'Inputs'!$B$8*'Inputs'!$C$48</x:f>
        <x:v>1250</x:v>
      </x:c>
      <x:c r="AI1522" s="81" t="n">
        <x:f>IF(AH1522&gt;0,(AE1522+AF1522)/AH1522*365,0)</x:f>
        <x:v>6.562596251226978</x:v>
      </x:c>
      <x:c r="AJ1522" s="81" t="n">
        <x:f>IF('Inputs'!$B$48&gt;0,AG1522/('Inputs'!$B$19*'Inputs'!$B$48)*365,0)</x:f>
        <x:v>1.8554716413830084</x:v>
      </x:c>
      <x:c r="AK1522" s="81" t="n">
        <x:f>W1522/MAX($W$1464:W1522)-1</x:f>
        <x:v>-0.9137320098213185</x:v>
      </x:c>
      <x:c r="AL1522" s="83" t="n">
        <x:f>'Inputs'!$B$48</x:f>
        <x:v>0.25</x:v>
      </x:c>
      <x:c r="AM1522" s="83" t="n">
        <x:f>'Inputs'!$C$48</x:f>
        <x:v>0.25</x:v>
      </x:c>
      <x:c r="AN1522" s="83" t="n">
        <x:f>'Inputs'!$D$48</x:f>
        <x:v>0.3</x:v>
      </x:c>
      <x:c r="AO1522" s="81" t="n">
        <x:f>'Inputs'!$E$48</x:f>
        <x:v>0</x:v>
      </x:c>
    </x:row>
    <x:row r="1523">
      <x:c r="A1523" s="59" t="str">
        <x:v>Low participation</x:v>
      </x:c>
      <x:c r="B1523" s="59" t="n">
        <x:v>60</x:v>
      </x:c>
      <x:c r="C1523" s="78" t="n">
        <x:f>(('Inputs'!$B$29*(3*60*'Inputs'!$B$12-60^2)/(2*'Inputs'!$B$12^2))-('Inputs'!$B$29*(3*59*'Inputs'!$B$12-59^2)/(2*'Inputs'!$B$12^2)))*'Inputs'!$B$48</x:f>
        <x:v>173160.5953274537</x:v>
      </x:c>
      <x:c r="D1523" s="78" t="n">
        <x:f>IF('Inputs'!$C$48&gt;0,('Inputs'!$B$30*(3*60*'Inputs'!$B$12-60^2)/(2*'Inputs'!$B$12^2))-('Inputs'!$B$30*(3*59*'Inputs'!$B$12-59^2)/(2*'Inputs'!$B$12^2)),0)</x:f>
        <x:v>296846.73484706506</x:v>
      </x:c>
      <x:c r="E1523" s="78" t="n">
        <x:f>C1523+D1523</x:f>
        <x:v>470007.33017451875</x:v>
      </x:c>
      <x:c r="F1523" s="78" t="n">
        <x:f>'Inputs'!$B$13*E1523+(1-'Inputs'!$B$13)/'Inputs'!$B$14*SUM(E1468:E1523)</x:f>
        <x:v>474860.72668418137</x:v>
      </x:c>
      <x:c r="G1523" s="78" t="n">
        <x:f>F1523*'Inputs'!$F$48</x:f>
        <x:v>237430.36334209068</x:v>
      </x:c>
      <x:c r="H1523" s="78" t="n">
        <x:f>U1522</x:f>
        <x:v>12380105.205201467</x:v>
      </x:c>
      <x:c r="I1523" s="78" t="n">
        <x:f>V1522</x:f>
        <x:v>908.1820875789379</x:v>
      </x:c>
      <x:c r="J1523" s="79" t="n">
        <x:f>IF(H1523&gt;0,I1523/H1523,0)</x:f>
        <x:v>0.0000733581881999975</x:v>
      </x:c>
      <x:c r="K1523" s="80" t="n">
        <x:f>(H1523*J1523+I1523)*'Inputs'!$D$48*(1+'Inputs'!$G$48)^(B1523/30)</x:f>
        <x:v>544.9092525473627</x:v>
      </x:c>
      <x:c r="L1523" s="80" t="n">
        <x:f>MAX(0,K1523*'Inputs'!$E$48)</x:f>
        <x:v>0</x:v>
      </x:c>
      <x:c r="M1523" s="80" t="n">
        <x:f>MAX(0,-K1523*'Inputs'!$E$48)</x:f>
        <x:v>0</x:v>
      </x:c>
      <x:c r="N1523" s="78" t="n">
        <x:f>H1523*(L1523*(1-'Inputs'!$B$15))/(I1523+L1523*(1-'Inputs'!$B$15))</x:f>
        <x:v>0</x:v>
      </x:c>
      <x:c r="O1523" s="78" t="n">
        <x:f>H1523-N1523</x:f>
        <x:v>12380105.205201467</x:v>
      </x:c>
      <x:c r="P1523" s="78" t="n">
        <x:f>I1523+L1523*(1-'Inputs'!$B$17)</x:f>
        <x:v>908.1820875789379</x:v>
      </x:c>
      <x:c r="Q1523" s="78" t="n">
        <x:f>IF(J1523&gt;0,M1523/J1523,0)</x:f>
        <x:v>0</x:v>
      </x:c>
      <x:c r="R1523" s="78" t="n">
        <x:f>IF(B1523='Inputs'!$H$48,'Inputs'!$B$27*'Inputs'!$I$48,0)</x:f>
        <x:v>0</x:v>
      </x:c>
      <x:c r="S1523" s="78" t="n">
        <x:f>Q1523+G1523+R1523</x:f>
        <x:v>237430.36334209068</x:v>
      </x:c>
      <x:c r="T1523" s="78" t="n">
        <x:f>P1523*(S1523*(1-'Inputs'!$B$15))/(O1523+S1523*(1-'Inputs'!$B$15))</x:f>
        <x:v>16.921995567198152</x:v>
      </x:c>
      <x:c r="U1523" s="78" t="n">
        <x:f>O1523+S1523*(1-'Inputs'!$B$17)</x:f>
        <x:v>12616580.11436512</x:v>
      </x:c>
      <x:c r="V1523" s="78" t="n">
        <x:f>P1523-T1523</x:f>
        <x:v>891.2600920117397</x:v>
      </x:c>
      <x:c r="W1523" s="79" t="n">
        <x:f>IF(U1523&gt;0,V1523/U1523,0)</x:f>
        <x:v>0.0000706419714322552</x:v>
      </x:c>
      <x:c r="X1523" s="80" t="n">
        <x:f>W1523*('Inputs'!$B$6-AC1523)</x:f>
        <x:v>70603.44307530738</x:v>
      </x:c>
      <x:c r="Y1523" s="80" t="n">
        <x:f>2*V1523</x:f>
        <x:v>1782.5201840234795</x:v>
      </x:c>
      <x:c r="Z1523" s="80" t="n">
        <x:f>K1523*'Inputs'!$B$16+(G1523+R1523)*J1523*'Inputs'!$B$16</x:f>
        <x:v>3.3739602829548336</x:v>
      </x:c>
      <x:c r="AA1523" s="80" t="n">
        <x:f>K1523*(1+'Inputs'!$E$48)/2*'Inputs'!$B$17</x:f>
        <x:v>1.0963968864132048</x:v>
      </x:c>
      <x:c r="AB1523" s="78" t="n">
        <x:f>(IF(J1523&gt;0,K1523*(1-'Inputs'!$E$48)/2/J1523,0)+G1523+R1523)*'Inputs'!$B$17</x:f>
        <x:v>15901.255230996101</x:v>
      </x:c>
      <x:c r="AC1523" s="78" t="n">
        <x:f>AC1522+AB1523</x:f>
        <x:v>545403.1953902133</x:v>
      </x:c>
      <x:c r="AD1523" s="80" t="n">
        <x:f>Z1523/(1+'Inputs'!$C$48)</x:f>
        <x:v>2.699168226363867</x:v>
      </x:c>
      <x:c r="AE1523" s="80" t="n">
        <x:f>Z1523-AD1523</x:f>
        <x:v>0.6747920565909666</x:v>
      </x:c>
      <x:c r="AF1523" s="80" t="n">
        <x:f>D1523*W1523</x:f>
        <x:v>20.969838562824602</x:v>
      </x:c>
      <x:c r="AG1523" s="80" t="n">
        <x:f>C1523*W1523</x:f>
        <x:v>12.232405828314286</x:v>
      </x:c>
      <x:c r="AH1523" s="80" t="n">
        <x:f>2*'Inputs'!$B$8*'Inputs'!$C$48</x:f>
        <x:v>1250</x:v>
      </x:c>
      <x:c r="AI1523" s="81" t="n">
        <x:f>IF(AH1523&gt;0,(AE1523+AF1523)/AH1523*365,0)</x:f>
        <x:v>6.320232140869346</x:v>
      </x:c>
      <x:c r="AJ1523" s="81" t="n">
        <x:f>IF('Inputs'!$B$48&gt;0,AG1523/('Inputs'!$B$19*'Inputs'!$B$48)*365,0)</x:f>
        <x:v>1.785931250933886</x:v>
      </x:c>
      <x:c r="AK1523" s="81" t="n">
        <x:f>W1523/MAX($W$1464:W1523)-1</x:f>
        <x:v>-0.9169262348586644</x:v>
      </x:c>
      <x:c r="AL1523" s="83" t="n">
        <x:f>'Inputs'!$B$48</x:f>
        <x:v>0.25</x:v>
      </x:c>
      <x:c r="AM1523" s="83" t="n">
        <x:f>'Inputs'!$C$48</x:f>
        <x:v>0.25</x:v>
      </x:c>
      <x:c r="AN1523" s="83" t="n">
        <x:f>'Inputs'!$D$48</x:f>
        <x:v>0.3</x:v>
      </x:c>
      <x:c r="AO1523" s="81" t="n">
        <x:f>'Inputs'!$E$48</x:f>
        <x:v>0</x:v>
      </x:c>
    </x:row>
    <x:row r="1524">
      <x:c r="A1524" s="59" t="str">
        <x:v>Low participation</x:v>
      </x:c>
      <x:c r="B1524" s="59" t="n">
        <x:v>61</x:v>
      </x:c>
      <x:c r="C1524" s="78" t="n">
        <x:f>(('Inputs'!$B$29*(3*61*'Inputs'!$B$12-61^2)/(2*'Inputs'!$B$12^2))-('Inputs'!$B$29*(3*60*'Inputs'!$B$12-60^2)/(2*'Inputs'!$B$12^2)))*'Inputs'!$B$48</x:f>
        <x:v>173079.31835241243</x:v>
      </x:c>
      <x:c r="D1524" s="78" t="n">
        <x:f>IF('Inputs'!$C$48&gt;0,('Inputs'!$B$30*(3*61*'Inputs'!$B$12-61^2)/(2*'Inputs'!$B$12^2))-('Inputs'!$B$30*(3*60*'Inputs'!$B$12-60^2)/(2*'Inputs'!$B$12^2)),0)</x:f>
        <x:v>296707.40288984776</x:v>
      </x:c>
      <x:c r="E1524" s="78" t="n">
        <x:f>C1524+D1524</x:f>
        <x:v>469786.7212422602</x:v>
      </x:c>
      <x:c r="F1524" s="78" t="n">
        <x:f>'Inputs'!$B$13*E1524+(1-'Inputs'!$B$13)/'Inputs'!$B$14*SUM(E1469:E1524)</x:f>
        <x:v>474640.11775192374</x:v>
      </x:c>
      <x:c r="G1524" s="78" t="n">
        <x:f>F1524*'Inputs'!$F$48</x:f>
        <x:v>237320.05887596187</x:v>
      </x:c>
      <x:c r="H1524" s="78" t="n">
        <x:f>U1523</x:f>
        <x:v>12616580.11436512</x:v>
      </x:c>
      <x:c r="I1524" s="78" t="n">
        <x:f>V1523</x:f>
        <x:v>891.2600920117397</x:v>
      </x:c>
      <x:c r="J1524" s="79" t="n">
        <x:f>IF(H1524&gt;0,I1524/H1524,0)</x:f>
        <x:v>0.0000706419714322552</x:v>
      </x:c>
      <x:c r="K1524" s="80" t="n">
        <x:f>(H1524*J1524+I1524)*'Inputs'!$D$48*(1+'Inputs'!$G$48)^(B1524/30)</x:f>
        <x:v>534.7560552070438</x:v>
      </x:c>
      <x:c r="L1524" s="80" t="n">
        <x:f>MAX(0,K1524*'Inputs'!$E$48)</x:f>
        <x:v>0</x:v>
      </x:c>
      <x:c r="M1524" s="80" t="n">
        <x:f>MAX(0,-K1524*'Inputs'!$E$48)</x:f>
        <x:v>0</x:v>
      </x:c>
      <x:c r="N1524" s="78" t="n">
        <x:f>H1524*(L1524*(1-'Inputs'!$B$15))/(I1524+L1524*(1-'Inputs'!$B$15))</x:f>
        <x:v>0</x:v>
      </x:c>
      <x:c r="O1524" s="78" t="n">
        <x:f>H1524-N1524</x:f>
        <x:v>12616580.11436512</x:v>
      </x:c>
      <x:c r="P1524" s="78" t="n">
        <x:f>I1524+L1524*(1-'Inputs'!$B$17)</x:f>
        <x:v>891.2600920117397</x:v>
      </x:c>
      <x:c r="Q1524" s="78" t="n">
        <x:f>IF(J1524&gt;0,M1524/J1524,0)</x:f>
        <x:v>0</x:v>
      </x:c>
      <x:c r="R1524" s="78" t="n">
        <x:f>IF(B1524='Inputs'!$H$48,'Inputs'!$B$27*'Inputs'!$I$48,0)</x:f>
        <x:v>0</x:v>
      </x:c>
      <x:c r="S1524" s="78" t="n">
        <x:f>Q1524+G1524+R1524</x:f>
        <x:v>237320.05887596187</x:v>
      </x:c>
      <x:c r="T1524" s="78" t="n">
        <x:f>P1524*(S1524*(1-'Inputs'!$B$15))/(O1524+S1524*(1-'Inputs'!$B$15))</x:f>
        <x:v>16.29368704438901</x:v>
      </x:c>
      <x:c r="U1524" s="78" t="n">
        <x:f>O1524+S1524*(1-'Inputs'!$B$17)</x:f>
        <x:v>12852945.162943793</x:v>
      </x:c>
      <x:c r="V1524" s="78" t="n">
        <x:f>P1524-T1524</x:f>
        <x:v>874.9664049673507</x:v>
      </x:c>
      <x:c r="W1524" s="79" t="n">
        <x:f>IF(U1524&gt;0,V1524/U1524,0)</x:f>
        <x:v>0.00006807516828827359</x:v>
      </x:c>
      <x:c r="X1524" s="80" t="n">
        <x:f>W1524*('Inputs'!$B$6-AC1524)</x:f>
        <x:v>68036.93798926506</x:v>
      </x:c>
      <x:c r="Y1524" s="80" t="n">
        <x:f>2*V1524</x:f>
        <x:v>1749.9328099347015</x:v>
      </x:c>
      <x:c r="Z1524" s="80" t="n">
        <x:f>K1524*'Inputs'!$B$16+(G1524+R1524)*J1524*'Inputs'!$B$16</x:f>
        <x:v>3.309124872158764</x:v>
      </x:c>
      <x:c r="AA1524" s="80" t="n">
        <x:f>K1524*(1+'Inputs'!$E$48)/2*'Inputs'!$B$17</x:f>
        <x:v>1.0759679179216175</x:v>
      </x:c>
      <x:c r="AB1524" s="78" t="n">
        <x:f>(IF(J1524&gt;0,K1524*(1-'Inputs'!$E$48)/2/J1524,0)+G1524+R1524)*'Inputs'!$B$17</x:f>
        <x:v>16186.294137567395</x:v>
      </x:c>
      <x:c r="AC1524" s="78" t="n">
        <x:f>AC1523+AB1524</x:f>
        <x:v>561589.4895277807</x:v>
      </x:c>
      <x:c r="AD1524" s="80" t="n">
        <x:f>Z1524/(1+'Inputs'!$C$48)</x:f>
        <x:v>2.6472998977270112</x:v>
      </x:c>
      <x:c r="AE1524" s="80" t="n">
        <x:f>Z1524-AD1524</x:f>
        <x:v>0.6618249744317528</x:v>
      </x:c>
      <x:c r="AF1524" s="80" t="n">
        <x:f>D1524*W1524</x:f>
        <x:v>20.19840638410298</x:v>
      </x:c>
      <x:c r="AG1524" s="80" t="n">
        <x:f>C1524*W1524</x:f>
        <x:v>11.782403724060156</x:v>
      </x:c>
      <x:c r="AH1524" s="80" t="n">
        <x:f>2*'Inputs'!$B$8*'Inputs'!$C$48</x:f>
        <x:v>1250</x:v>
      </x:c>
      <x:c r="AI1524" s="81" t="n">
        <x:f>IF(AH1524&gt;0,(AE1524+AF1524)/AH1524*365,0)</x:f>
        <x:v>6.091187556692142</x:v>
      </x:c>
      <x:c r="AJ1524" s="81" t="n">
        <x:f>IF('Inputs'!$B$48&gt;0,AG1524/('Inputs'!$B$19*'Inputs'!$B$48)*365,0)</x:f>
        <x:v>1.7202309437127827</x:v>
      </x:c>
      <x:c r="AK1524" s="81" t="n">
        <x:f>W1524/MAX($W$1464:W1524)-1</x:f>
        <x:v>-0.9199447519983178</x:v>
      </x:c>
      <x:c r="AL1524" s="83" t="n">
        <x:f>'Inputs'!$B$48</x:f>
        <x:v>0.25</x:v>
      </x:c>
      <x:c r="AM1524" s="83" t="n">
        <x:f>'Inputs'!$C$48</x:f>
        <x:v>0.25</x:v>
      </x:c>
      <x:c r="AN1524" s="83" t="n">
        <x:f>'Inputs'!$D$48</x:f>
        <x:v>0.3</x:v>
      </x:c>
      <x:c r="AO1524" s="81" t="n">
        <x:f>'Inputs'!$E$48</x:f>
        <x:v>0</x:v>
      </x:c>
    </x:row>
    <x:row r="1525">
      <x:c r="A1525" s="59" t="str">
        <x:v>Low participation</x:v>
      </x:c>
      <x:c r="B1525" s="59" t="n">
        <x:v>62</x:v>
      </x:c>
      <x:c r="C1525" s="78" t="n">
        <x:f>(('Inputs'!$B$29*(3*62*'Inputs'!$B$12-62^2)/(2*'Inputs'!$B$12^2))-('Inputs'!$B$29*(3*61*'Inputs'!$B$12-61^2)/(2*'Inputs'!$B$12^2)))*'Inputs'!$B$48</x:f>
        <x:v>172998.04137736745</x:v>
      </x:c>
      <x:c r="D1525" s="78" t="n">
        <x:f>IF('Inputs'!$C$48&gt;0,('Inputs'!$B$30*(3*62*'Inputs'!$B$12-62^2)/(2*'Inputs'!$B$12^2))-('Inputs'!$B$30*(3*61*'Inputs'!$B$12-61^2)/(2*'Inputs'!$B$12^2)),0)</x:f>
        <x:v>296568.0709326342</x:v>
      </x:c>
      <x:c r="E1525" s="78" t="n">
        <x:f>C1525+D1525</x:f>
        <x:v>469566.1123100016</x:v>
      </x:c>
      <x:c r="F1525" s="78" t="n">
        <x:f>'Inputs'!$B$13*E1525+(1-'Inputs'!$B$13)/'Inputs'!$B$14*SUM(E1470:E1525)</x:f>
        <x:v>474419.50881966605</x:v>
      </x:c>
      <x:c r="G1525" s="78" t="n">
        <x:f>F1525*'Inputs'!$F$48</x:f>
        <x:v>237209.75440983303</x:v>
      </x:c>
      <x:c r="H1525" s="78" t="n">
        <x:f>U1524</x:f>
        <x:v>12852945.162943793</x:v>
      </x:c>
      <x:c r="I1525" s="78" t="n">
        <x:f>V1524</x:f>
        <x:v>874.9664049673507</x:v>
      </x:c>
      <x:c r="J1525" s="79" t="n">
        <x:f>IF(H1525&gt;0,I1525/H1525,0)</x:f>
        <x:v>0.00006807516828827359</x:v>
      </x:c>
      <x:c r="K1525" s="80" t="n">
        <x:f>(H1525*J1525+I1525)*'Inputs'!$D$48*(1+'Inputs'!$G$48)^(B1525/30)</x:f>
        <x:v>524.9798429804105</x:v>
      </x:c>
      <x:c r="L1525" s="80" t="n">
        <x:f>MAX(0,K1525*'Inputs'!$E$48)</x:f>
        <x:v>0</x:v>
      </x:c>
      <x:c r="M1525" s="80" t="n">
        <x:f>MAX(0,-K1525*'Inputs'!$E$48)</x:f>
        <x:v>0</x:v>
      </x:c>
      <x:c r="N1525" s="78" t="n">
        <x:f>H1525*(L1525*(1-'Inputs'!$B$15))/(I1525+L1525*(1-'Inputs'!$B$15))</x:f>
        <x:v>0</x:v>
      </x:c>
      <x:c r="O1525" s="78" t="n">
        <x:f>H1525-N1525</x:f>
        <x:v>12852945.162943793</x:v>
      </x:c>
      <x:c r="P1525" s="78" t="n">
        <x:f>I1525+L1525*(1-'Inputs'!$B$17)</x:f>
        <x:v>874.9664049673507</x:v>
      </x:c>
      <x:c r="Q1525" s="78" t="n">
        <x:f>IF(J1525&gt;0,M1525/J1525,0)</x:f>
        <x:v>0</x:v>
      </x:c>
      <x:c r="R1525" s="78" t="n">
        <x:f>IF(B1525='Inputs'!$H$48,'Inputs'!$B$27*'Inputs'!$I$48,0)</x:f>
        <x:v>0</x:v>
      </x:c>
      <x:c r="S1525" s="78" t="n">
        <x:f>Q1525+G1525+R1525</x:f>
        <x:v>237209.75440983303</x:v>
      </x:c>
      <x:c r="T1525" s="78" t="n">
        <x:f>P1525*(S1525*(1-'Inputs'!$B$15))/(O1525+S1525*(1-'Inputs'!$B$15))</x:f>
        <x:v>15.699760853898288</x:v>
      </x:c>
      <x:c r="U1525" s="78" t="n">
        <x:f>O1525+S1525*(1-'Inputs'!$B$17)</x:f>
        <x:v>13089200.35093749</x:v>
      </x:c>
      <x:c r="V1525" s="78" t="n">
        <x:f>P1525-T1525</x:f>
        <x:v>859.2666441134525</x:v>
      </x:c>
      <x:c r="W1525" s="79" t="n">
        <x:f>IF(U1525&gt;0,V1525/U1525,0)</x:f>
        <x:v>0.00006564699302290907</x:v>
      </x:c>
      <x:c r="X1525" s="80" t="n">
        <x:f>W1525*('Inputs'!$B$6-AC1525)</x:f>
        <x:v>65609.04507682954</x:v>
      </x:c>
      <x:c r="Y1525" s="80" t="n">
        <x:f>2*V1525</x:f>
        <x:v>1718.533288226905</x:v>
      </x:c>
      <x:c r="Z1525" s="80" t="n">
        <x:f>K1525*'Inputs'!$B$16+(G1525+R1525)*J1525*'Inputs'!$B$16</x:f>
        <x:v>3.246767621588879</x:v>
      </x:c>
      <x:c r="AA1525" s="80" t="n">
        <x:f>K1525*(1+'Inputs'!$E$48)/2*'Inputs'!$B$17</x:f>
        <x:v>1.0562974707855342</x:v>
      </x:c>
      <x:c r="AB1525" s="78" t="n">
        <x:f>(IF(J1525&gt;0,K1525*(1-'Inputs'!$E$48)/2/J1525,0)+G1525+R1525)*'Inputs'!$B$17</x:f>
        <x:v>16471.20041566588</x:v>
      </x:c>
      <x:c r="AC1525" s="78" t="n">
        <x:f>AC1524+AB1525</x:f>
        <x:v>578060.6899434465</x:v>
      </x:c>
      <x:c r="AD1525" s="80" t="n">
        <x:f>Z1525/(1+'Inputs'!$C$48)</x:f>
        <x:v>2.5974140972711033</x:v>
      </x:c>
      <x:c r="AE1525" s="80" t="n">
        <x:f>Z1525-AD1525</x:f>
        <x:v>0.6493535243177759</x:v>
      </x:c>
      <x:c r="AF1525" s="80" t="n">
        <x:f>D1525*W1525</x:f>
        <x:v>19.46880208333224</x:v>
      </x:c>
      <x:c r="AG1525" s="80" t="n">
        <x:f>C1525*W1525</x:f>
        <x:v>11.356801215276976</x:v>
      </x:c>
      <x:c r="AH1525" s="80" t="n">
        <x:f>2*'Inputs'!$B$8*'Inputs'!$C$48</x:f>
        <x:v>1250</x:v>
      </x:c>
      <x:c r="AI1525" s="81" t="n">
        <x:f>IF(AH1525&gt;0,(AE1525+AF1525)/AH1525*365,0)</x:f>
        <x:v>5.874501437433804</x:v>
      </x:c>
      <x:c r="AJ1525" s="81" t="n">
        <x:f>IF('Inputs'!$B$48&gt;0,AG1525/('Inputs'!$B$19*'Inputs'!$B$48)*365,0)</x:f>
        <x:v>1.6580929774304385</x:v>
      </x:c>
      <x:c r="AK1525" s="81" t="n">
        <x:f>W1525/MAX($W$1464:W1525)-1</x:f>
        <x:v>-0.9228002450943781</x:v>
      </x:c>
      <x:c r="AL1525" s="83" t="n">
        <x:f>'Inputs'!$B$48</x:f>
        <x:v>0.25</x:v>
      </x:c>
      <x:c r="AM1525" s="83" t="n">
        <x:f>'Inputs'!$C$48</x:f>
        <x:v>0.25</x:v>
      </x:c>
      <x:c r="AN1525" s="83" t="n">
        <x:f>'Inputs'!$D$48</x:f>
        <x:v>0.3</x:v>
      </x:c>
      <x:c r="AO1525" s="81" t="n">
        <x:f>'Inputs'!$E$48</x:f>
        <x:v>0</x:v>
      </x:c>
    </x:row>
    <x:row r="1526">
      <x:c r="A1526" s="59" t="str">
        <x:v>Low participation</x:v>
      </x:c>
      <x:c r="B1526" s="59" t="n">
        <x:v>63</x:v>
      </x:c>
      <x:c r="C1526" s="78" t="n">
        <x:f>(('Inputs'!$B$29*(3*63*'Inputs'!$B$12-63^2)/(2*'Inputs'!$B$12^2))-('Inputs'!$B$29*(3*62*'Inputs'!$B$12-62^2)/(2*'Inputs'!$B$12^2)))*'Inputs'!$B$48</x:f>
        <x:v>172916.76440232806</x:v>
      </x:c>
      <x:c r="D1526" s="78" t="n">
        <x:f>IF('Inputs'!$C$48&gt;0,('Inputs'!$B$30*(3*63*'Inputs'!$B$12-63^2)/(2*'Inputs'!$B$12^2))-('Inputs'!$B$30*(3*62*'Inputs'!$B$12-62^2)/(2*'Inputs'!$B$12^2)),0)</x:f>
        <x:v>296428.73897541687</x:v>
      </x:c>
      <x:c r="E1526" s="78" t="n">
        <x:f>C1526+D1526</x:f>
        <x:v>469345.5033777449</x:v>
      </x:c>
      <x:c r="F1526" s="78" t="n">
        <x:f>'Inputs'!$B$13*E1526+(1-'Inputs'!$B$13)/'Inputs'!$B$14*SUM(E1471:E1526)</x:f>
        <x:v>474198.8998874088</x:v>
      </x:c>
      <x:c r="G1526" s="78" t="n">
        <x:f>F1526*'Inputs'!$F$48</x:f>
        <x:v>237099.4499437044</x:v>
      </x:c>
      <x:c r="H1526" s="78" t="n">
        <x:f>U1525</x:f>
        <x:v>13089200.35093749</x:v>
      </x:c>
      <x:c r="I1526" s="78" t="n">
        <x:f>V1525</x:f>
        <x:v>859.2666441134525</x:v>
      </x:c>
      <x:c r="J1526" s="79" t="n">
        <x:f>IF(H1526&gt;0,I1526/H1526,0)</x:f>
        <x:v>0.00006564699302290907</x:v>
      </x:c>
      <x:c r="K1526" s="80" t="n">
        <x:f>(H1526*J1526+I1526)*'Inputs'!$D$48*(1+'Inputs'!$G$48)^(B1526/30)</x:f>
        <x:v>515.5599864680714</x:v>
      </x:c>
      <x:c r="L1526" s="80" t="n">
        <x:f>MAX(0,K1526*'Inputs'!$E$48)</x:f>
        <x:v>0</x:v>
      </x:c>
      <x:c r="M1526" s="80" t="n">
        <x:f>MAX(0,-K1526*'Inputs'!$E$48)</x:f>
        <x:v>0</x:v>
      </x:c>
      <x:c r="N1526" s="78" t="n">
        <x:f>H1526*(L1526*(1-'Inputs'!$B$15))/(I1526+L1526*(1-'Inputs'!$B$15))</x:f>
        <x:v>0</x:v>
      </x:c>
      <x:c r="O1526" s="78" t="n">
        <x:f>H1526-N1526</x:f>
        <x:v>13089200.35093749</x:v>
      </x:c>
      <x:c r="P1526" s="78" t="n">
        <x:f>I1526+L1526*(1-'Inputs'!$B$17)</x:f>
        <x:v>859.2666441134525</x:v>
      </x:c>
      <x:c r="Q1526" s="78" t="n">
        <x:f>IF(J1526&gt;0,M1526/J1526,0)</x:f>
        <x:v>0</x:v>
      </x:c>
      <x:c r="R1526" s="78" t="n">
        <x:f>IF(B1526='Inputs'!$H$48,'Inputs'!$B$27*'Inputs'!$I$48,0)</x:f>
        <x:v>0</x:v>
      </x:c>
      <x:c r="S1526" s="78" t="n">
        <x:f>Q1526+G1526+R1526</x:f>
        <x:v>237099.4499437044</x:v>
      </x:c>
      <x:c r="T1526" s="78" t="n">
        <x:f>P1526*(S1526*(1-'Inputs'!$B$15))/(O1526+S1526*(1-'Inputs'!$B$15))</x:f>
        <x:v>15.137752168934155</x:v>
      </x:c>
      <x:c r="U1526" s="78" t="n">
        <x:f>O1526+S1526*(1-'Inputs'!$B$17)</x:f>
        <x:v>13325345.67834621</x:v>
      </x:c>
      <x:c r="V1526" s="78" t="n">
        <x:f>P1526-T1526</x:f>
        <x:v>844.1288919445183</x:v>
      </x:c>
      <x:c r="W1526" s="79" t="n">
        <x:f>IF(U1526&gt;0,V1526/U1526,0)</x:f>
        <x:v>0.00006334761681389132</x:v>
      </x:c>
      <x:c r="X1526" s="80" t="n">
        <x:f>W1526*('Inputs'!$B$6-AC1526)</x:f>
        <x:v>63309.93659578518</x:v>
      </x:c>
      <x:c r="Y1526" s="80" t="n">
        <x:f>2*V1526</x:f>
        <x:v>1688.2577838890365</x:v>
      </x:c>
      <x:c r="Z1526" s="80" t="n">
        <x:f>K1526*'Inputs'!$B$16+(G1526+R1526)*J1526*'Inputs'!$B$16</x:f>
        <x:v>3.186749114425568</x:v>
      </x:c>
      <x:c r="AA1526" s="80" t="n">
        <x:f>K1526*(1+'Inputs'!$E$48)/2*'Inputs'!$B$17</x:f>
        <x:v>1.0373440371590976</x:v>
      </x:c>
      <x:c r="AB1526" s="78" t="n">
        <x:f>(IF(J1526&gt;0,K1526*(1-'Inputs'!$E$48)/2/J1526,0)+G1526+R1526)*'Inputs'!$B$17</x:f>
        <x:v>16755.974065291557</x:v>
      </x:c>
      <x:c r="AC1526" s="78" t="n">
        <x:f>AC1525+AB1526</x:f>
        <x:v>594816.6640087381</x:v>
      </x:c>
      <x:c r="AD1526" s="80" t="n">
        <x:f>Z1526/(1+'Inputs'!$C$48)</x:f>
        <x:v>2.549399291540454</x:v>
      </x:c>
      <x:c r="AE1526" s="80" t="n">
        <x:f>Z1526-AD1526</x:f>
        <x:v>0.6373498228851138</x:v>
      </x:c>
      <x:c r="AF1526" s="80" t="n">
        <x:f>D1526*W1526</x:f>
        <x:v>18.77805416923972</x:v>
      </x:c>
      <x:c r="AG1526" s="80" t="n">
        <x:f>C1526*W1526</x:f>
        <x:v>10.9538649320566</x:v>
      </x:c>
      <x:c r="AH1526" s="80" t="n">
        <x:f>2*'Inputs'!$B$8*'Inputs'!$C$48</x:f>
        <x:v>1250</x:v>
      </x:c>
      <x:c r="AI1526" s="81" t="n">
        <x:f>IF(AH1526&gt;0,(AE1526+AF1526)/AH1526*365,0)</x:f>
        <x:v>5.669297965700451</x:v>
      </x:c>
      <x:c r="AJ1526" s="81" t="n">
        <x:f>IF('Inputs'!$B$48&gt;0,AG1526/('Inputs'!$B$19*'Inputs'!$B$48)*365,0)</x:f>
        <x:v>1.5992642800802634</x:v>
      </x:c>
      <x:c r="AK1526" s="81" t="n">
        <x:f>W1526/MAX($W$1464:W1526)-1</x:f>
        <x:v>-0.9255042726758096</x:v>
      </x:c>
      <x:c r="AL1526" s="83" t="n">
        <x:f>'Inputs'!$B$48</x:f>
        <x:v>0.25</x:v>
      </x:c>
      <x:c r="AM1526" s="83" t="n">
        <x:f>'Inputs'!$C$48</x:f>
        <x:v>0.25</x:v>
      </x:c>
      <x:c r="AN1526" s="83" t="n">
        <x:f>'Inputs'!$D$48</x:f>
        <x:v>0.3</x:v>
      </x:c>
      <x:c r="AO1526" s="81" t="n">
        <x:f>'Inputs'!$E$48</x:f>
        <x:v>0</x:v>
      </x:c>
    </x:row>
    <x:row r="1527">
      <x:c r="A1527" s="59" t="str">
        <x:v>Low participation</x:v>
      </x:c>
      <x:c r="B1527" s="59" t="n">
        <x:v>64</x:v>
      </x:c>
      <x:c r="C1527" s="78" t="n">
        <x:f>(('Inputs'!$B$29*(3*64*'Inputs'!$B$12-64^2)/(2*'Inputs'!$B$12^2))-('Inputs'!$B$29*(3*63*'Inputs'!$B$12-63^2)/(2*'Inputs'!$B$12^2)))*'Inputs'!$B$48</x:f>
        <x:v>172835.48742728494</x:v>
      </x:c>
      <x:c r="D1527" s="78" t="n">
        <x:f>IF('Inputs'!$C$48&gt;0,('Inputs'!$B$30*(3*64*'Inputs'!$B$12-64^2)/(2*'Inputs'!$B$12^2))-('Inputs'!$B$30*(3*63*'Inputs'!$B$12-63^2)/(2*'Inputs'!$B$12^2)),0)</x:f>
        <x:v>296289.40701819956</x:v>
      </x:c>
      <x:c r="E1527" s="78" t="n">
        <x:f>C1527+D1527</x:f>
        <x:v>469124.8944454845</x:v>
      </x:c>
      <x:c r="F1527" s="78" t="n">
        <x:f>'Inputs'!$B$13*E1527+(1-'Inputs'!$B$13)/'Inputs'!$B$14*SUM(E1472:E1527)</x:f>
        <x:v>473978.29095515073</x:v>
      </x:c>
      <x:c r="G1527" s="78" t="n">
        <x:f>F1527*'Inputs'!$F$48</x:f>
        <x:v>236989.14547757537</x:v>
      </x:c>
      <x:c r="H1527" s="78" t="n">
        <x:f>U1526</x:f>
        <x:v>13325345.67834621</x:v>
      </x:c>
      <x:c r="I1527" s="78" t="n">
        <x:f>V1526</x:f>
        <x:v>844.1288919445183</x:v>
      </x:c>
      <x:c r="J1527" s="79" t="n">
        <x:f>IF(H1527&gt;0,I1527/H1527,0)</x:f>
        <x:v>0.00006334761681389132</x:v>
      </x:c>
      <x:c r="K1527" s="80" t="n">
        <x:f>(H1527*J1527+I1527)*'Inputs'!$D$48*(1+'Inputs'!$G$48)^(B1527/30)</x:f>
        <x:v>506.47733516671093</x:v>
      </x:c>
      <x:c r="L1527" s="80" t="n">
        <x:f>MAX(0,K1527*'Inputs'!$E$48)</x:f>
        <x:v>0</x:v>
      </x:c>
      <x:c r="M1527" s="80" t="n">
        <x:f>MAX(0,-K1527*'Inputs'!$E$48)</x:f>
        <x:v>0</x:v>
      </x:c>
      <x:c r="N1527" s="78" t="n">
        <x:f>H1527*(L1527*(1-'Inputs'!$B$15))/(I1527+L1527*(1-'Inputs'!$B$15))</x:f>
        <x:v>0</x:v>
      </x:c>
      <x:c r="O1527" s="78" t="n">
        <x:f>H1527-N1527</x:f>
        <x:v>13325345.67834621</x:v>
      </x:c>
      <x:c r="P1527" s="78" t="n">
        <x:f>I1527+L1527*(1-'Inputs'!$B$17)</x:f>
        <x:v>844.1288919445183</x:v>
      </x:c>
      <x:c r="Q1527" s="78" t="n">
        <x:f>IF(J1527&gt;0,M1527/J1527,0)</x:f>
        <x:v>0</x:v>
      </x:c>
      <x:c r="R1527" s="78" t="n">
        <x:f>IF(B1527='Inputs'!$H$48,'Inputs'!$B$27*'Inputs'!$I$48,0)</x:f>
        <x:v>0</x:v>
      </x:c>
      <x:c r="S1527" s="78" t="n">
        <x:f>Q1527+G1527+R1527</x:f>
        <x:v>236989.14547757537</x:v>
      </x:c>
      <x:c r="T1527" s="78" t="n">
        <x:f>P1527*(S1527*(1-'Inputs'!$B$15))/(O1527+S1527*(1-'Inputs'!$B$15))</x:f>
        <x:v>14.605413208285853</x:v>
      </x:c>
      <x:c r="U1527" s="78" t="n">
        <x:f>O1527+S1527*(1-'Inputs'!$B$17)</x:f>
        <x:v>13561381.145169951</x:v>
      </x:c>
      <x:c r="V1527" s="78" t="n">
        <x:f>P1527-T1527</x:f>
        <x:v>829.5234787362324</x:v>
      </x:c>
      <x:c r="W1527" s="79" t="n">
        <x:f>IF(U1527&gt;0,V1527/U1527,0)</x:f>
        <x:v>0.00006116806760730836</x:v>
      </x:c>
      <x:c r="X1527" s="80" t="n">
        <x:f>W1527*('Inputs'!$B$6-AC1527)</x:f>
        <x:v>61130.64147989465</x:v>
      </x:c>
      <x:c r="Y1527" s="80" t="n">
        <x:f>2*V1527</x:f>
        <x:v>1659.0469574724648</x:v>
      </x:c>
      <x:c r="Z1527" s="80" t="n">
        <x:f>K1527*'Inputs'!$B$16+(G1527+R1527)*J1527*'Inputs'!$B$16</x:f>
        <x:v>3.1289401964608556</x:v>
      </x:c>
      <x:c r="AA1527" s="80" t="n">
        <x:f>K1527*(1+'Inputs'!$E$48)/2*'Inputs'!$B$17</x:f>
        <x:v>1.0190690848424768</x:v>
      </x:c>
      <x:c r="AB1527" s="78" t="n">
        <x:f>(IF(J1527&gt;0,K1527*(1-'Inputs'!$E$48)/2/J1527,0)+G1527+R1527)*'Inputs'!$B$17</x:f>
        <x:v>17040.615086444417</x:v>
      </x:c>
      <x:c r="AC1527" s="78" t="n">
        <x:f>AC1526+AB1527</x:f>
        <x:v>611857.2790951825</x:v>
      </x:c>
      <x:c r="AD1527" s="80" t="n">
        <x:f>Z1527/(1+'Inputs'!$C$48)</x:f>
        <x:v>2.5031521571686843</x:v>
      </x:c>
      <x:c r="AE1527" s="80" t="n">
        <x:f>Z1527-AD1527</x:f>
        <x:v>0.6257880392921713</x:v>
      </x:c>
      <x:c r="AF1527" s="80" t="n">
        <x:f>D1527*W1527</x:f>
        <x:v>18.123450479818537</x:v>
      </x:c>
      <x:c r="AG1527" s="80" t="n">
        <x:f>C1527*W1527</x:f>
        <x:v>10.57201277989426</x:v>
      </x:c>
      <x:c r="AH1527" s="80" t="n">
        <x:f>2*'Inputs'!$B$8*'Inputs'!$C$48</x:f>
        <x:v>1250</x:v>
      </x:c>
      <x:c r="AI1527" s="81" t="n">
        <x:f>IF(AH1527&gt;0,(AE1527+AF1527)/AH1527*365,0)</x:f>
        <x:v>5.474777647580327</x:v>
      </x:c>
      <x:c r="AJ1527" s="81" t="n">
        <x:f>IF('Inputs'!$B$48&gt;0,AG1527/('Inputs'!$B$19*'Inputs'!$B$48)*365,0)</x:f>
        <x:v>1.543513865864562</x:v>
      </x:c>
      <x:c r="AK1527" s="81" t="n">
        <x:f>W1527/MAX($W$1464:W1527)-1</x:f>
        <x:v>-0.9280673857264596</x:v>
      </x:c>
      <x:c r="AL1527" s="83" t="n">
        <x:f>'Inputs'!$B$48</x:f>
        <x:v>0.25</x:v>
      </x:c>
      <x:c r="AM1527" s="83" t="n">
        <x:f>'Inputs'!$C$48</x:f>
        <x:v>0.25</x:v>
      </x:c>
      <x:c r="AN1527" s="83" t="n">
        <x:f>'Inputs'!$D$48</x:f>
        <x:v>0.3</x:v>
      </x:c>
      <x:c r="AO1527" s="81" t="n">
        <x:f>'Inputs'!$E$48</x:f>
        <x:v>0</x:v>
      </x:c>
    </x:row>
    <x:row r="1528">
      <x:c r="A1528" s="59" t="str">
        <x:v>Low participation</x:v>
      </x:c>
      <x:c r="B1528" s="59" t="n">
        <x:v>65</x:v>
      </x:c>
      <x:c r="C1528" s="78" t="n">
        <x:f>(('Inputs'!$B$29*(3*65*'Inputs'!$B$12-65^2)/(2*'Inputs'!$B$12^2))-('Inputs'!$B$29*(3*64*'Inputs'!$B$12-64^2)/(2*'Inputs'!$B$12^2)))*'Inputs'!$B$48</x:f>
        <x:v>172754.21045224182</x:v>
      </x:c>
      <x:c r="D1528" s="78" t="n">
        <x:f>IF('Inputs'!$C$48&gt;0,('Inputs'!$B$30*(3*65*'Inputs'!$B$12-65^2)/(2*'Inputs'!$B$12^2))-('Inputs'!$B$30*(3*64*'Inputs'!$B$12-64^2)/(2*'Inputs'!$B$12^2)),0)</x:f>
        <x:v>296150.0750609897</x:v>
      </x:c>
      <x:c r="E1528" s="78" t="n">
        <x:f>C1528+D1528</x:f>
        <x:v>468904.28551323153</x:v>
      </x:c>
      <x:c r="F1528" s="78" t="n">
        <x:f>'Inputs'!$B$13*E1528+(1-'Inputs'!$B$13)/'Inputs'!$B$14*SUM(E1473:E1528)</x:f>
        <x:v>473757.68202289415</x:v>
      </x:c>
      <x:c r="G1528" s="78" t="n">
        <x:f>F1528*'Inputs'!$F$48</x:f>
        <x:v>236878.84101144708</x:v>
      </x:c>
      <x:c r="H1528" s="78" t="n">
        <x:f>U1527</x:f>
        <x:v>13561381.145169951</x:v>
      </x:c>
      <x:c r="I1528" s="78" t="n">
        <x:f>V1527</x:f>
        <x:v>829.5234787362324</x:v>
      </x:c>
      <x:c r="J1528" s="79" t="n">
        <x:f>IF(H1528&gt;0,I1528/H1528,0)</x:f>
        <x:v>0.00006116806760730836</x:v>
      </x:c>
      <x:c r="K1528" s="80" t="n">
        <x:f>(H1528*J1528+I1528)*'Inputs'!$D$48*(1+'Inputs'!$G$48)^(B1528/30)</x:f>
        <x:v>497.71408724173943</x:v>
      </x:c>
      <x:c r="L1528" s="80" t="n">
        <x:f>MAX(0,K1528*'Inputs'!$E$48)</x:f>
        <x:v>0</x:v>
      </x:c>
      <x:c r="M1528" s="80" t="n">
        <x:f>MAX(0,-K1528*'Inputs'!$E$48)</x:f>
        <x:v>0</x:v>
      </x:c>
      <x:c r="N1528" s="78" t="n">
        <x:f>H1528*(L1528*(1-'Inputs'!$B$15))/(I1528+L1528*(1-'Inputs'!$B$15))</x:f>
        <x:v>0</x:v>
      </x:c>
      <x:c r="O1528" s="78" t="n">
        <x:f>H1528-N1528</x:f>
        <x:v>13561381.145169951</x:v>
      </x:c>
      <x:c r="P1528" s="78" t="n">
        <x:f>I1528+L1528*(1-'Inputs'!$B$17)</x:f>
        <x:v>829.5234787362324</x:v>
      </x:c>
      <x:c r="Q1528" s="78" t="n">
        <x:f>IF(J1528&gt;0,M1528/J1528,0)</x:f>
        <x:v>0</x:v>
      </x:c>
      <x:c r="R1528" s="78" t="n">
        <x:f>IF(B1528='Inputs'!$H$48,'Inputs'!$B$27*'Inputs'!$I$48,0)</x:f>
        <x:v>0</x:v>
      </x:c>
      <x:c r="S1528" s="78" t="n">
        <x:f>Q1528+G1528+R1528</x:f>
        <x:v>236878.84101144708</x:v>
      </x:c>
      <x:c r="T1528" s="78" t="n">
        <x:f>P1528*(S1528*(1-'Inputs'!$B$15))/(O1528+S1528*(1-'Inputs'!$B$15))</x:f>
        <x:v>14.100690694335189</x:v>
      </x:c>
      <x:c r="U1528" s="78" t="n">
        <x:f>O1528+S1528*(1-'Inputs'!$B$17)</x:f>
        <x:v>13797306.751408717</x:v>
      </x:c>
      <x:c r="V1528" s="78" t="n">
        <x:f>P1528-T1528</x:f>
        <x:v>815.4227880418972</x:v>
      </x:c>
      <x:c r="W1528" s="79" t="n">
        <x:f>IF(U1528&gt;0,V1528/U1528,0)</x:f>
        <x:v>0.0000591001419866701</x:v>
      </x:c>
      <x:c r="X1528" s="80" t="n">
        <x:f>W1528*('Inputs'!$B$6-AC1528)</x:f>
        <x:v>59062.957217342446</x:v>
      </x:c>
      <x:c r="Y1528" s="80" t="n">
        <x:f>2*V1528</x:f>
        <x:v>1630.8455760837944</x:v>
      </x:c>
      <x:c r="Z1528" s="80" t="n">
        <x:f>K1528*'Inputs'!$B$16+(G1528+R1528)*J1528*'Inputs'!$B$16</x:f>
        <x:v>3.073221049220811</x:v>
      </x:c>
      <x:c r="AA1528" s="80" t="n">
        <x:f>K1528*(1+'Inputs'!$E$48)/2*'Inputs'!$B$17</x:f>
        <x:v>1.001436795255009</x:v>
      </x:c>
      <x:c r="AB1528" s="78" t="n">
        <x:f>(IF(J1528&gt;0,K1528*(1-'Inputs'!$E$48)/2/J1528,0)+G1528+R1528)*'Inputs'!$B$17</x:f>
        <x:v>17325.123479124475</x:v>
      </x:c>
      <x:c r="AC1528" s="78" t="n">
        <x:f>AC1527+AB1528</x:f>
        <x:v>629182.402574307</x:v>
      </x:c>
      <x:c r="AD1528" s="80" t="n">
        <x:f>Z1528/(1+'Inputs'!$C$48)</x:f>
        <x:v>2.458576839376649</x:v>
      </x:c>
      <x:c r="AE1528" s="80" t="n">
        <x:f>Z1528-AD1528</x:f>
        <x:v>0.6146442098441622</x:v>
      </x:c>
      <x:c r="AF1528" s="80" t="n">
        <x:f>D1528*W1528</x:f>
        <x:v>17.5025114854675</x:v>
      </x:c>
      <x:c r="AG1528" s="80" t="n">
        <x:f>C1528*W1528</x:f>
        <x:v>10.20979836652258</x:v>
      </x:c>
      <x:c r="AH1528" s="80" t="n">
        <x:f>2*'Inputs'!$B$8*'Inputs'!$C$48</x:f>
        <x:v>1250</x:v>
      </x:c>
      <x:c r="AI1528" s="81" t="n">
        <x:f>IF(AH1528&gt;0,(AE1528+AF1528)/AH1528*365,0)</x:f>
        <x:v>5.2902094630310055</x:v>
      </x:c>
      <x:c r="AJ1528" s="81" t="n">
        <x:f>IF('Inputs'!$B$48&gt;0,AG1528/('Inputs'!$B$19*'Inputs'!$B$48)*365,0)</x:f>
        <x:v>1.4906305615122968</x:v>
      </x:c>
      <x:c r="AK1528" s="81" t="n">
        <x:f>W1528/MAX($W$1464:W1528)-1</x:f>
        <x:v>-0.9304992313255508</x:v>
      </x:c>
      <x:c r="AL1528" s="83" t="n">
        <x:f>'Inputs'!$B$48</x:f>
        <x:v>0.25</x:v>
      </x:c>
      <x:c r="AM1528" s="83" t="n">
        <x:f>'Inputs'!$C$48</x:f>
        <x:v>0.25</x:v>
      </x:c>
      <x:c r="AN1528" s="83" t="n">
        <x:f>'Inputs'!$D$48</x:f>
        <x:v>0.3</x:v>
      </x:c>
      <x:c r="AO1528" s="81" t="n">
        <x:f>'Inputs'!$E$48</x:f>
        <x:v>0</x:v>
      </x:c>
    </x:row>
    <x:row r="1529">
      <x:c r="A1529" s="59" t="str">
        <x:v>Low participation</x:v>
      </x:c>
      <x:c r="B1529" s="59" t="n">
        <x:v>66</x:v>
      </x:c>
      <x:c r="C1529" s="78" t="n">
        <x:f>(('Inputs'!$B$29*(3*66*'Inputs'!$B$12-66^2)/(2*'Inputs'!$B$12^2))-('Inputs'!$B$29*(3*65*'Inputs'!$B$12-65^2)/(2*'Inputs'!$B$12^2)))*'Inputs'!$B$48</x:f>
        <x:v>172672.93347720057</x:v>
      </x:c>
      <x:c r="D1529" s="78" t="n">
        <x:f>IF('Inputs'!$C$48&gt;0,('Inputs'!$B$30*(3*66*'Inputs'!$B$12-66^2)/(2*'Inputs'!$B$12^2))-('Inputs'!$B$30*(3*65*'Inputs'!$B$12-65^2)/(2*'Inputs'!$B$12^2)),0)</x:f>
        <x:v>296010.7431037724</x:v>
      </x:c>
      <x:c r="E1529" s="78" t="n">
        <x:f>C1529+D1529</x:f>
        <x:v>468683.67658097297</x:v>
      </x:c>
      <x:c r="F1529" s="78" t="n">
        <x:f>'Inputs'!$B$13*E1529+(1-'Inputs'!$B$13)/'Inputs'!$B$14*SUM(E1474:E1529)</x:f>
        <x:v>473537.07309063646</x:v>
      </x:c>
      <x:c r="G1529" s="78" t="n">
        <x:f>F1529*'Inputs'!$F$48</x:f>
        <x:v>236768.53654531823</x:v>
      </x:c>
      <x:c r="H1529" s="78" t="n">
        <x:f>U1528</x:f>
        <x:v>13797306.751408717</x:v>
      </x:c>
      <x:c r="I1529" s="78" t="n">
        <x:f>V1528</x:f>
        <x:v>815.4227880418972</x:v>
      </x:c>
      <x:c r="J1529" s="79" t="n">
        <x:f>IF(H1529&gt;0,I1529/H1529,0)</x:f>
        <x:v>0.0000591001419866701</x:v>
      </x:c>
      <x:c r="K1529" s="80" t="n">
        <x:f>(H1529*J1529+I1529)*'Inputs'!$D$48*(1+'Inputs'!$G$48)^(B1529/30)</x:f>
        <x:v>489.2536728251383</x:v>
      </x:c>
      <x:c r="L1529" s="80" t="n">
        <x:f>MAX(0,K1529*'Inputs'!$E$48)</x:f>
        <x:v>0</x:v>
      </x:c>
      <x:c r="M1529" s="80" t="n">
        <x:f>MAX(0,-K1529*'Inputs'!$E$48)</x:f>
        <x:v>0</x:v>
      </x:c>
      <x:c r="N1529" s="78" t="n">
        <x:f>H1529*(L1529*(1-'Inputs'!$B$15))/(I1529+L1529*(1-'Inputs'!$B$15))</x:f>
        <x:v>0</x:v>
      </x:c>
      <x:c r="O1529" s="78" t="n">
        <x:f>H1529-N1529</x:f>
        <x:v>13797306.751408717</x:v>
      </x:c>
      <x:c r="P1529" s="78" t="n">
        <x:f>I1529+L1529*(1-'Inputs'!$B$17)</x:f>
        <x:v>815.4227880418972</x:v>
      </x:c>
      <x:c r="Q1529" s="78" t="n">
        <x:f>IF(J1529&gt;0,M1529/J1529,0)</x:f>
        <x:v>0</x:v>
      </x:c>
      <x:c r="R1529" s="78" t="n">
        <x:f>IF(B1529='Inputs'!$H$48,'Inputs'!$B$27*'Inputs'!$I$48,0)</x:f>
        <x:v>0</x:v>
      </x:c>
      <x:c r="S1529" s="78" t="n">
        <x:f>Q1529+G1529+R1529</x:f>
        <x:v>236768.53654531823</x:v>
      </x:c>
      <x:c r="T1529" s="78" t="n">
        <x:f>P1529*(S1529*(1-'Inputs'!$B$15))/(O1529+S1529*(1-'Inputs'!$B$15))</x:f>
        <x:v>13.621705996297877</x:v>
      </x:c>
      <x:c r="U1529" s="78" t="n">
        <x:f>O1529+S1529*(1-'Inputs'!$B$17)</x:f>
        <x:v>14033122.497062504</x:v>
      </x:c>
      <x:c r="V1529" s="78" t="n">
        <x:f>P1529-T1529</x:f>
        <x:v>801.8010820455993</x:v>
      </x:c>
      <x:c r="W1529" s="79" t="n">
        <x:f>IF(U1529&gt;0,V1529/U1529,0)</x:f>
        <x:v>0.00005713632744340663</x:v>
      </x:c>
      <x:c r="X1529" s="80" t="n">
        <x:f>W1529*('Inputs'!$B$6-AC1529)</x:f>
        <x:v>57099.37212951663</x:v>
      </x:c>
      <x:c r="Y1529" s="80" t="n">
        <x:f>2*V1529</x:f>
        <x:v>1603.6021640911986</x:v>
      </x:c>
      <x:c r="Z1529" s="80" t="n">
        <x:f>K1529*'Inputs'!$B$16+(G1529+R1529)*J1529*'Inputs'!$B$16</x:f>
        <x:v>3.0194803617176564</x:v>
      </x:c>
      <x:c r="AA1529" s="80" t="n">
        <x:f>K1529*(1+'Inputs'!$E$48)/2*'Inputs'!$B$17</x:f>
        <x:v>0.9844138286220088</x:v>
      </x:c>
      <x:c r="AB1529" s="78" t="n">
        <x:f>(IF(J1529&gt;0,K1529*(1-'Inputs'!$E$48)/2/J1529,0)+G1529+R1529)*'Inputs'!$B$17</x:f>
        <x:v>17609.499243331727</x:v>
      </x:c>
      <x:c r="AC1529" s="78" t="n">
        <x:f>AC1528+AB1529</x:f>
        <x:v>646791.9018176388</x:v>
      </x:c>
      <x:c r="AD1529" s="80" t="n">
        <x:f>Z1529/(1+'Inputs'!$C$48)</x:f>
        <x:v>2.415584289374125</x:v>
      </x:c>
      <x:c r="AE1529" s="80" t="n">
        <x:f>Z1529-AD1529</x:f>
        <x:v>0.6038960723435314</x:v>
      </x:c>
      <x:c r="AF1529" s="80" t="n">
        <x:f>D1529*W1529</x:f>
        <x:v>16.91296674474326</x:v>
      </x:c>
      <x:c r="AG1529" s="80" t="n">
        <x:f>C1529*W1529</x:f>
        <x:v>9.865897267766902</x:v>
      </x:c>
      <x:c r="AH1529" s="80" t="n">
        <x:f>2*'Inputs'!$B$8*'Inputs'!$C$48</x:f>
        <x:v>1250</x:v>
      </x:c>
      <x:c r="AI1529" s="81" t="n">
        <x:f>IF(AH1529&gt;0,(AE1529+AF1529)/AH1529*365,0)</x:f>
        <x:v>5.114923942589344</x:v>
      </x:c>
      <x:c r="AJ1529" s="81" t="n">
        <x:f>IF('Inputs'!$B$48&gt;0,AG1529/('Inputs'!$B$19*'Inputs'!$B$48)*365,0)</x:f>
        <x:v>1.4404210010939678</x:v>
      </x:c>
      <x:c r="AK1529" s="81" t="n">
        <x:f>W1529/MAX($W$1464:W1529)-1</x:f>
        <x:v>-0.9328086440562623</x:v>
      </x:c>
      <x:c r="AL1529" s="83" t="n">
        <x:f>'Inputs'!$B$48</x:f>
        <x:v>0.25</x:v>
      </x:c>
      <x:c r="AM1529" s="83" t="n">
        <x:f>'Inputs'!$C$48</x:f>
        <x:v>0.25</x:v>
      </x:c>
      <x:c r="AN1529" s="83" t="n">
        <x:f>'Inputs'!$D$48</x:f>
        <x:v>0.3</x:v>
      </x:c>
      <x:c r="AO1529" s="81" t="n">
        <x:f>'Inputs'!$E$48</x:f>
        <x:v>0</x:v>
      </x:c>
    </x:row>
    <x:row r="1530">
      <x:c r="A1530" s="59" t="str">
        <x:v>Low participation</x:v>
      </x:c>
      <x:c r="B1530" s="59" t="n">
        <x:v>67</x:v>
      </x:c>
      <x:c r="C1530" s="78" t="n">
        <x:f>(('Inputs'!$B$29*(3*67*'Inputs'!$B$12-67^2)/(2*'Inputs'!$B$12^2))-('Inputs'!$B$29*(3*66*'Inputs'!$B$12-66^2)/(2*'Inputs'!$B$12^2)))*'Inputs'!$B$48</x:f>
        <x:v>172591.65650215745</x:v>
      </x:c>
      <x:c r="D1530" s="78" t="n">
        <x:f>IF('Inputs'!$C$48&gt;0,('Inputs'!$B$30*(3*67*'Inputs'!$B$12-67^2)/(2*'Inputs'!$B$12^2))-('Inputs'!$B$30*(3*66*'Inputs'!$B$12-66^2)/(2*'Inputs'!$B$12^2)),0)</x:f>
        <x:v>295871.4111465551</x:v>
      </x:c>
      <x:c r="E1530" s="78" t="n">
        <x:f>C1530+D1530</x:f>
        <x:v>468463.06764871255</x:v>
      </x:c>
      <x:c r="F1530" s="78" t="n">
        <x:f>'Inputs'!$B$13*E1530+(1-'Inputs'!$B$13)/'Inputs'!$B$14*SUM(E1475:E1530)</x:f>
        <x:v>473316.4641583784</x:v>
      </x:c>
      <x:c r="G1530" s="78" t="n">
        <x:f>F1530*'Inputs'!$F$48</x:f>
        <x:v>236658.2320791892</x:v>
      </x:c>
      <x:c r="H1530" s="78" t="n">
        <x:f>U1529</x:f>
        <x:v>14033122.497062504</x:v>
      </x:c>
      <x:c r="I1530" s="78" t="n">
        <x:f>V1529</x:f>
        <x:v>801.8010820455993</x:v>
      </x:c>
      <x:c r="J1530" s="79" t="n">
        <x:f>IF(H1530&gt;0,I1530/H1530,0)</x:f>
        <x:v>0.00005713632744340663</x:v>
      </x:c>
      <x:c r="K1530" s="80" t="n">
        <x:f>(H1530*J1530+I1530)*'Inputs'!$D$48*(1+'Inputs'!$G$48)^(B1530/30)</x:f>
        <x:v>481.0806492273596</x:v>
      </x:c>
      <x:c r="L1530" s="80" t="n">
        <x:f>MAX(0,K1530*'Inputs'!$E$48)</x:f>
        <x:v>0</x:v>
      </x:c>
      <x:c r="M1530" s="80" t="n">
        <x:f>MAX(0,-K1530*'Inputs'!$E$48)</x:f>
        <x:v>0</x:v>
      </x:c>
      <x:c r="N1530" s="78" t="n">
        <x:f>H1530*(L1530*(1-'Inputs'!$B$15))/(I1530+L1530*(1-'Inputs'!$B$15))</x:f>
        <x:v>0</x:v>
      </x:c>
      <x:c r="O1530" s="78" t="n">
        <x:f>H1530-N1530</x:f>
        <x:v>14033122.497062504</x:v>
      </x:c>
      <x:c r="P1530" s="78" t="n">
        <x:f>I1530+L1530*(1-'Inputs'!$B$17)</x:f>
        <x:v>801.8010820455993</x:v>
      </x:c>
      <x:c r="Q1530" s="78" t="n">
        <x:f>IF(J1530&gt;0,M1530/J1530,0)</x:f>
        <x:v>0</x:v>
      </x:c>
      <x:c r="R1530" s="78" t="n">
        <x:f>IF(B1530='Inputs'!$H$48,'Inputs'!$B$27*'Inputs'!$I$48,0)</x:f>
        <x:v>0</x:v>
      </x:c>
      <x:c r="S1530" s="78" t="n">
        <x:f>Q1530+G1530+R1530</x:f>
        <x:v>236658.2320791892</x:v>
      </x:c>
      <x:c r="T1530" s="78" t="n">
        <x:f>P1530*(S1530*(1-'Inputs'!$B$15))/(O1530+S1530*(1-'Inputs'!$B$15))</x:f>
        <x:v>13.166737599215896</x:v>
      </x:c>
      <x:c r="U1530" s="78" t="n">
        <x:f>O1530+S1530*(1-'Inputs'!$B$17)</x:f>
        <x:v>14268828.382131314</x:v>
      </x:c>
      <x:c r="V1530" s="78" t="n">
        <x:f>P1530-T1530</x:f>
        <x:v>788.6343444463834</x:v>
      </x:c>
      <x:c r="W1530" s="79" t="n">
        <x:f>IF(U1530&gt;0,V1530/U1530,0)</x:f>
        <x:v>0.000055269733668812</x:v>
      </x:c>
      <x:c r="X1530" s="80" t="n">
        <x:f>W1530*('Inputs'!$B$6-AC1530)</x:f>
        <x:v>55232.99667028376</x:v>
      </x:c>
      <x:c r="Y1530" s="80" t="n">
        <x:f>2*V1530</x:f>
        <x:v>1577.2686888927667</x:v>
      </x:c>
      <x:c r="Z1530" s="80" t="n">
        <x:f>K1530*'Inputs'!$B$16+(G1530+R1530)*J1530*'Inputs'!$B$16</x:f>
        <x:v>2.967614588805683</x:v>
      </x:c>
      <x:c r="AA1530" s="80" t="n">
        <x:f>K1530*(1+'Inputs'!$E$48)/2*'Inputs'!$B$17</x:f>
        <x:v>0.9679691131335203</x:v>
      </x:c>
      <x:c r="AB1530" s="78" t="n">
        <x:f>(IF(J1530&gt;0,K1530*(1-'Inputs'!$E$48)/2/J1530,0)+G1530+R1530)*'Inputs'!$B$17</x:f>
        <x:v>17893.74237906616</x:v>
      </x:c>
      <x:c r="AC1530" s="78" t="n">
        <x:f>AC1529+AB1530</x:f>
        <x:v>664685.644196705</x:v>
      </x:c>
      <x:c r="AD1530" s="80" t="n">
        <x:f>Z1530/(1+'Inputs'!$C$48)</x:f>
        <x:v>2.3740916710445465</x:v>
      </x:c>
      <x:c r="AE1530" s="80" t="n">
        <x:f>Z1530-AD1530</x:f>
        <x:v>0.5935229177611365</x:v>
      </x:c>
      <x:c r="AF1530" s="80" t="n">
        <x:f>D1530*W1530</x:f>
        <x:v>16.352734094285672</x:v>
      </x:c>
      <x:c r="AG1530" s="80" t="n">
        <x:f>C1530*W1530</x:f>
        <x:v>9.539094888333327</x:v>
      </x:c>
      <x:c r="AH1530" s="80" t="n">
        <x:f>2*'Inputs'!$B$8*'Inputs'!$C$48</x:f>
        <x:v>1250</x:v>
      </x:c>
      <x:c r="AI1530" s="81" t="n">
        <x:f>IF(AH1530&gt;0,(AE1530+AF1530)/AH1530*365,0)</x:f>
        <x:v>4.948307047517668</x:v>
      </x:c>
      <x:c r="AJ1530" s="81" t="n">
        <x:f>IF('Inputs'!$B$48&gt;0,AG1530/('Inputs'!$B$19*'Inputs'!$B$48)*365,0)</x:f>
        <x:v>1.3927078536966657</x:v>
      </x:c>
      <x:c r="AK1530" s="81" t="n">
        <x:f>W1530/MAX($W$1464:W1530)-1</x:f>
        <x:v>-0.9350037268052434</x:v>
      </x:c>
      <x:c r="AL1530" s="83" t="n">
        <x:f>'Inputs'!$B$48</x:f>
        <x:v>0.25</x:v>
      </x:c>
      <x:c r="AM1530" s="83" t="n">
        <x:f>'Inputs'!$C$48</x:f>
        <x:v>0.25</x:v>
      </x:c>
      <x:c r="AN1530" s="83" t="n">
        <x:f>'Inputs'!$D$48</x:f>
        <x:v>0.3</x:v>
      </x:c>
      <x:c r="AO1530" s="81" t="n">
        <x:f>'Inputs'!$E$48</x:f>
        <x:v>0</x:v>
      </x:c>
    </x:row>
    <x:row r="1531">
      <x:c r="A1531" s="59" t="str">
        <x:v>Low participation</x:v>
      </x:c>
      <x:c r="B1531" s="59" t="n">
        <x:v>68</x:v>
      </x:c>
      <x:c r="C1531" s="78" t="n">
        <x:f>(('Inputs'!$B$29*(3*68*'Inputs'!$B$12-68^2)/(2*'Inputs'!$B$12^2))-('Inputs'!$B$29*(3*67*'Inputs'!$B$12-67^2)/(2*'Inputs'!$B$12^2)))*'Inputs'!$B$48</x:f>
        <x:v>172510.3795271162</x:v>
      </x:c>
      <x:c r="D1531" s="78" t="n">
        <x:f>IF('Inputs'!$C$48&gt;0,('Inputs'!$B$30*(3*68*'Inputs'!$B$12-68^2)/(2*'Inputs'!$B$12^2))-('Inputs'!$B$30*(3*67*'Inputs'!$B$12-67^2)/(2*'Inputs'!$B$12^2)),0)</x:f>
        <x:v>295732.0791893415</x:v>
      </x:c>
      <x:c r="E1531" s="78" t="n">
        <x:f>C1531+D1531</x:f>
        <x:v>468242.4587164577</x:v>
      </x:c>
      <x:c r="F1531" s="78" t="n">
        <x:f>'Inputs'!$B$13*E1531+(1-'Inputs'!$B$13)/'Inputs'!$B$14*SUM(E1476:E1531)</x:f>
        <x:v>473095.85522612144</x:v>
      </x:c>
      <x:c r="G1531" s="78" t="n">
        <x:f>F1531*'Inputs'!$F$48</x:f>
        <x:v>236547.92761306072</x:v>
      </x:c>
      <x:c r="H1531" s="78" t="n">
        <x:f>U1530</x:f>
        <x:v>14268828.382131314</x:v>
      </x:c>
      <x:c r="I1531" s="78" t="n">
        <x:f>V1530</x:f>
        <x:v>788.6343444463834</x:v>
      </x:c>
      <x:c r="J1531" s="79" t="n">
        <x:f>IF(H1531&gt;0,I1531/H1531,0)</x:f>
        <x:v>0.000055269733668812</x:v>
      </x:c>
      <x:c r="K1531" s="80" t="n">
        <x:f>(H1531*J1531+I1531)*'Inputs'!$D$48*(1+'Inputs'!$G$48)^(B1531/30)</x:f>
        <x:v>473.18060666783</x:v>
      </x:c>
      <x:c r="L1531" s="80" t="n">
        <x:f>MAX(0,K1531*'Inputs'!$E$48)</x:f>
        <x:v>0</x:v>
      </x:c>
      <x:c r="M1531" s="80" t="n">
        <x:f>MAX(0,-K1531*'Inputs'!$E$48)</x:f>
        <x:v>0</x:v>
      </x:c>
      <x:c r="N1531" s="78" t="n">
        <x:f>H1531*(L1531*(1-'Inputs'!$B$15))/(I1531+L1531*(1-'Inputs'!$B$15))</x:f>
        <x:v>0</x:v>
      </x:c>
      <x:c r="O1531" s="78" t="n">
        <x:f>H1531-N1531</x:f>
        <x:v>14268828.382131314</x:v>
      </x:c>
      <x:c r="P1531" s="78" t="n">
        <x:f>I1531+L1531*(1-'Inputs'!$B$17)</x:f>
        <x:v>788.6343444463834</x:v>
      </x:c>
      <x:c r="Q1531" s="78" t="n">
        <x:f>IF(J1531&gt;0,M1531/J1531,0)</x:f>
        <x:v>0</x:v>
      </x:c>
      <x:c r="R1531" s="78" t="n">
        <x:f>IF(B1531='Inputs'!$H$48,'Inputs'!$B$27*'Inputs'!$I$48,0)</x:f>
        <x:v>0</x:v>
      </x:c>
      <x:c r="S1531" s="78" t="n">
        <x:f>Q1531+G1531+R1531</x:f>
        <x:v>236547.92761306072</x:v>
      </x:c>
      <x:c r="T1531" s="78" t="n">
        <x:f>P1531*(S1531*(1-'Inputs'!$B$15))/(O1531+S1531*(1-'Inputs'!$B$15))</x:f>
        <x:v>12.73420559247291</x:v>
      </x:c>
      <x:c r="U1531" s="78" t="n">
        <x:f>O1531+S1531*(1-'Inputs'!$B$17)</x:f>
        <x:v>14504424.406615147</x:v>
      </x:c>
      <x:c r="V1531" s="78" t="n">
        <x:f>P1531-T1531</x:f>
        <x:v>775.9001388539104</x:v>
      </x:c>
      <x:c r="W1531" s="79" t="n">
        <x:f>IF(U1531&gt;0,V1531/U1531,0)</x:f>
        <x:v>0.00005349403169008482</x:v>
      </x:c>
      <x:c r="X1531" s="80" t="n">
        <x:f>W1531*('Inputs'!$B$6-AC1531)</x:f>
        <x:v>53457.502568531854</x:v>
      </x:c>
      <x:c r="Y1531" s="80" t="n">
        <x:f>2*V1531</x:f>
        <x:v>1551.800277707821</x:v>
      </x:c>
      <x:c r="Z1531" s="80" t="n">
        <x:f>K1531*'Inputs'!$B$16+(G1531+R1531)*J1531*'Inputs'!$B$16</x:f>
        <x:v>2.9175272857614796</x:v>
      </x:c>
      <x:c r="AA1531" s="80" t="n">
        <x:f>K1531*(1+'Inputs'!$E$48)/2*'Inputs'!$B$17</x:f>
        <x:v>0.9520736552672636</x:v>
      </x:c>
      <x:c r="AB1531" s="78" t="n">
        <x:f>(IF(J1531&gt;0,K1531*(1-'Inputs'!$E$48)/2/J1531,0)+G1531+R1531)*'Inputs'!$B$17</x:f>
        <x:v>18177.85288632779</x:v>
      </x:c>
      <x:c r="AC1531" s="78" t="n">
        <x:f>AC1530+AB1531</x:f>
        <x:v>682863.4970830327</x:v>
      </x:c>
      <x:c r="AD1531" s="80" t="n">
        <x:f>Z1531/(1+'Inputs'!$C$48)</x:f>
        <x:v>2.334021828609184</x:v>
      </x:c>
      <x:c r="AE1531" s="80" t="n">
        <x:f>Z1531-AD1531</x:f>
        <x:v>0.5835054571522957</x:v>
      </x:c>
      <x:c r="AF1531" s="80" t="n">
        <x:f>D1531*W1531</x:f>
        <x:v>15.81990121592931</x:v>
      </x:c>
      <x:c r="AG1531" s="80" t="n">
        <x:f>C1531*W1531</x:f>
        <x:v>9.228275709292113</x:v>
      </x:c>
      <x:c r="AH1531" s="80" t="n">
        <x:f>2*'Inputs'!$B$8*'Inputs'!$C$48</x:f>
        <x:v>1250</x:v>
      </x:c>
      <x:c r="AI1531" s="81" t="n">
        <x:f>IF(AH1531&gt;0,(AE1531+AF1531)/AH1531*365,0)</x:f>
        <x:v>4.789794748539829</x:v>
      </x:c>
      <x:c r="AJ1531" s="81" t="n">
        <x:f>IF('Inputs'!$B$48&gt;0,AG1531/('Inputs'!$B$19*'Inputs'!$B$48)*365,0)</x:f>
        <x:v>1.3473282535566486</x:v>
      </x:c>
      <x:c r="AK1531" s="81" t="n">
        <x:f>W1531/MAX($W$1464:W1531)-1</x:f>
        <x:v>-0.9370919223376012</x:v>
      </x:c>
      <x:c r="AL1531" s="83" t="n">
        <x:f>'Inputs'!$B$48</x:f>
        <x:v>0.25</x:v>
      </x:c>
      <x:c r="AM1531" s="83" t="n">
        <x:f>'Inputs'!$C$48</x:f>
        <x:v>0.25</x:v>
      </x:c>
      <x:c r="AN1531" s="83" t="n">
        <x:f>'Inputs'!$D$48</x:f>
        <x:v>0.3</x:v>
      </x:c>
      <x:c r="AO1531" s="81" t="n">
        <x:f>'Inputs'!$E$48</x:f>
        <x:v>0</x:v>
      </x:c>
    </x:row>
    <x:row r="1532">
      <x:c r="A1532" s="59" t="str">
        <x:v>Low participation</x:v>
      </x:c>
      <x:c r="B1532" s="59" t="n">
        <x:v>69</x:v>
      </x:c>
      <x:c r="C1532" s="78" t="n">
        <x:f>(('Inputs'!$B$29*(3*69*'Inputs'!$B$12-69^2)/(2*'Inputs'!$B$12^2))-('Inputs'!$B$29*(3*68*'Inputs'!$B$12-68^2)/(2*'Inputs'!$B$12^2)))*'Inputs'!$B$48</x:f>
        <x:v>172429.10255207308</x:v>
      </x:c>
      <x:c r="D1532" s="78" t="n">
        <x:f>IF('Inputs'!$C$48&gt;0,('Inputs'!$B$30*(3*69*'Inputs'!$B$12-69^2)/(2*'Inputs'!$B$12^2))-('Inputs'!$B$30*(3*68*'Inputs'!$B$12-68^2)/(2*'Inputs'!$B$12^2)),0)</x:f>
        <x:v>295592.7472321242</x:v>
      </x:c>
      <x:c r="E1532" s="78" t="n">
        <x:f>C1532+D1532</x:f>
        <x:v>468021.8497841973</x:v>
      </x:c>
      <x:c r="F1532" s="78" t="n">
        <x:f>'Inputs'!$B$13*E1532+(1-'Inputs'!$B$13)/'Inputs'!$B$14*SUM(E1477:E1532)</x:f>
        <x:v>472875.24629386334</x:v>
      </x:c>
      <x:c r="G1532" s="78" t="n">
        <x:f>F1532*'Inputs'!$F$48</x:f>
        <x:v>236437.62314693167</x:v>
      </x:c>
      <x:c r="H1532" s="78" t="n">
        <x:f>U1531</x:f>
        <x:v>14504424.406615147</x:v>
      </x:c>
      <x:c r="I1532" s="78" t="n">
        <x:f>V1531</x:f>
        <x:v>775.9001388539104</x:v>
      </x:c>
      <x:c r="J1532" s="79" t="n">
        <x:f>IF(H1532&gt;0,I1532/H1532,0)</x:f>
        <x:v>0.00005349403169008482</x:v>
      </x:c>
      <x:c r="K1532" s="80" t="n">
        <x:f>(H1532*J1532+I1532)*'Inputs'!$D$48*(1+'Inputs'!$G$48)^(B1532/30)</x:f>
        <x:v>465.54008331234627</x:v>
      </x:c>
      <x:c r="L1532" s="80" t="n">
        <x:f>MAX(0,K1532*'Inputs'!$E$48)</x:f>
        <x:v>0</x:v>
      </x:c>
      <x:c r="M1532" s="80" t="n">
        <x:f>MAX(0,-K1532*'Inputs'!$E$48)</x:f>
        <x:v>0</x:v>
      </x:c>
      <x:c r="N1532" s="78" t="n">
        <x:f>H1532*(L1532*(1-'Inputs'!$B$15))/(I1532+L1532*(1-'Inputs'!$B$15))</x:f>
        <x:v>0</x:v>
      </x:c>
      <x:c r="O1532" s="78" t="n">
        <x:f>H1532-N1532</x:f>
        <x:v>14504424.406615147</x:v>
      </x:c>
      <x:c r="P1532" s="78" t="n">
        <x:f>I1532+L1532*(1-'Inputs'!$B$17)</x:f>
        <x:v>775.9001388539104</x:v>
      </x:c>
      <x:c r="Q1532" s="78" t="n">
        <x:f>IF(J1532&gt;0,M1532/J1532,0)</x:f>
        <x:v>0</x:v>
      </x:c>
      <x:c r="R1532" s="78" t="n">
        <x:f>IF(B1532='Inputs'!$H$48,'Inputs'!$B$27*'Inputs'!$I$48,0)</x:f>
        <x:v>0</x:v>
      </x:c>
      <x:c r="S1532" s="78" t="n">
        <x:f>Q1532+G1532+R1532</x:f>
        <x:v>236437.62314693167</x:v>
      </x:c>
      <x:c r="T1532" s="78" t="n">
        <x:f>P1532*(S1532*(1-'Inputs'!$B$15))/(O1532+S1532*(1-'Inputs'!$B$15))</x:f>
        <x:v>12.322657916235201</x:v>
      </x:c>
      <x:c r="U1532" s="78" t="n">
        <x:f>O1532+S1532*(1-'Inputs'!$B$17)</x:f>
        <x:v>14739910.570514003</x:v>
      </x:c>
      <x:c r="V1532" s="78" t="n">
        <x:f>P1532-T1532</x:f>
        <x:v>763.5774809376752</x:v>
      </x:c>
      <x:c r="W1532" s="79" t="n">
        <x:f>IF(U1532&gt;0,V1532/U1532,0)</x:f>
        <x:v>0.00005180339984322226</x:v>
      </x:c>
      <x:c r="X1532" s="80" t="n">
        <x:f>W1532*('Inputs'!$B$6-AC1532)</x:f>
        <x:v>51767.068806843556</x:v>
      </x:c>
      <x:c r="Y1532" s="80" t="n">
        <x:f>2*V1532</x:f>
        <x:v>1527.1549618753504</x:v>
      </x:c>
      <x:c r="Z1532" s="80" t="n">
        <x:f>K1532*'Inputs'!$B$16+(G1532+R1532)*J1532*'Inputs'!$B$16</x:f>
        <x:v>2.8691285101061794</x:v>
      </x:c>
      <x:c r="AA1532" s="80" t="n">
        <x:f>K1532*(1+'Inputs'!$E$48)/2*'Inputs'!$B$17</x:f>
        <x:v>0.9367003688377189</x:v>
      </x:c>
      <x:c r="AB1532" s="78" t="n">
        <x:f>(IF(J1532&gt;0,K1532*(1-'Inputs'!$E$48)/2/J1532,0)+G1532+R1532)*'Inputs'!$B$17</x:f>
        <x:v>18461.830765116607</x:v>
      </x:c>
      <x:c r="AC1532" s="78" t="n">
        <x:f>AC1531+AB1532</x:f>
        <x:v>701325.3278481493</x:v>
      </x:c>
      <x:c r="AD1532" s="80" t="n">
        <x:f>Z1532/(1+'Inputs'!$C$48)</x:f>
        <x:v>2.2953028080849434</x:v>
      </x:c>
      <x:c r="AE1532" s="80" t="n">
        <x:f>Z1532-AD1532</x:f>
        <x:v>0.5738257020212361</x:v>
      </x:c>
      <x:c r="AF1532" s="80" t="n">
        <x:f>D1532*W1532</x:f>
        <x:v>15.31270927562226</x:v>
      </x:c>
      <x:c r="AG1532" s="80" t="n">
        <x:f>C1532*W1532</x:f>
        <x:v>8.932413744113017</x:v>
      </x:c>
      <x:c r="AH1532" s="80" t="n">
        <x:f>2*'Inputs'!$B$8*'Inputs'!$C$48</x:f>
        <x:v>1250</x:v>
      </x:c>
      <x:c r="AI1532" s="81" t="n">
        <x:f>IF(AH1532&gt;0,(AE1532+AF1532)/AH1532*365,0)</x:f>
        <x:v>4.638868213471901</x:v>
      </x:c>
      <x:c r="AJ1532" s="81" t="n">
        <x:f>IF('Inputs'!$B$48&gt;0,AG1532/('Inputs'!$B$19*'Inputs'!$B$48)*365,0)</x:f>
        <x:v>1.3041324066405005</x:v>
      </x:c>
      <x:c r="AK1532" s="81" t="n">
        <x:f>W1532/MAX($W$1464:W1532)-1</x:f>
        <x:v>-0.9390800768318653</x:v>
      </x:c>
      <x:c r="AL1532" s="83" t="n">
        <x:f>'Inputs'!$B$48</x:f>
        <x:v>0.25</x:v>
      </x:c>
      <x:c r="AM1532" s="83" t="n">
        <x:f>'Inputs'!$C$48</x:f>
        <x:v>0.25</x:v>
      </x:c>
      <x:c r="AN1532" s="83" t="n">
        <x:f>'Inputs'!$D$48</x:f>
        <x:v>0.3</x:v>
      </x:c>
      <x:c r="AO1532" s="81" t="n">
        <x:f>'Inputs'!$E$48</x:f>
        <x:v>0</x:v>
      </x:c>
    </x:row>
    <x:row r="1533">
      <x:c r="A1533" s="59" t="str">
        <x:v>Low participation</x:v>
      </x:c>
      <x:c r="B1533" s="59" t="n">
        <x:v>70</x:v>
      </x:c>
      <x:c r="C1533" s="78" t="n">
        <x:f>(('Inputs'!$B$29*(3*70*'Inputs'!$B$12-70^2)/(2*'Inputs'!$B$12^2))-('Inputs'!$B$29*(3*69*'Inputs'!$B$12-69^2)/(2*'Inputs'!$B$12^2)))*'Inputs'!$B$48</x:f>
        <x:v>172347.82557703182</x:v>
      </x:c>
      <x:c r="D1533" s="78" t="n">
        <x:f>IF('Inputs'!$C$48&gt;0,('Inputs'!$B$30*(3*70*'Inputs'!$B$12-70^2)/(2*'Inputs'!$B$12^2))-('Inputs'!$B$30*(3*69*'Inputs'!$B$12-69^2)/(2*'Inputs'!$B$12^2)),0)</x:f>
        <x:v>295453.4152749106</x:v>
      </x:c>
      <x:c r="E1533" s="78" t="n">
        <x:f>C1533+D1533</x:f>
        <x:v>467801.24085194245</x:v>
      </x:c>
      <x:c r="F1533" s="78" t="n">
        <x:f>'Inputs'!$B$13*E1533+(1-'Inputs'!$B$13)/'Inputs'!$B$14*SUM(E1478:E1533)</x:f>
        <x:v>472654.6373616064</x:v>
      </x:c>
      <x:c r="G1533" s="78" t="n">
        <x:f>F1533*'Inputs'!$F$48</x:f>
        <x:v>236327.3186808032</x:v>
      </x:c>
      <x:c r="H1533" s="78" t="n">
        <x:f>U1532</x:f>
        <x:v>14739910.570514003</x:v>
      </x:c>
      <x:c r="I1533" s="78" t="n">
        <x:f>V1532</x:f>
        <x:v>763.5774809376752</x:v>
      </x:c>
      <x:c r="J1533" s="79" t="n">
        <x:f>IF(H1533&gt;0,I1533/H1533,0)</x:f>
        <x:v>0.00005180339984322226</x:v>
      </x:c>
      <x:c r="K1533" s="80" t="n">
        <x:f>(H1533*J1533+I1533)*'Inputs'!$D$48*(1+'Inputs'!$G$48)^(B1533/30)</x:f>
        <x:v>458.1464885626051</x:v>
      </x:c>
      <x:c r="L1533" s="80" t="n">
        <x:f>MAX(0,K1533*'Inputs'!$E$48)</x:f>
        <x:v>0</x:v>
      </x:c>
      <x:c r="M1533" s="80" t="n">
        <x:f>MAX(0,-K1533*'Inputs'!$E$48)</x:f>
        <x:v>0</x:v>
      </x:c>
      <x:c r="N1533" s="78" t="n">
        <x:f>H1533*(L1533*(1-'Inputs'!$B$15))/(I1533+L1533*(1-'Inputs'!$B$15))</x:f>
        <x:v>0</x:v>
      </x:c>
      <x:c r="O1533" s="78" t="n">
        <x:f>H1533-N1533</x:f>
        <x:v>14739910.570514003</x:v>
      </x:c>
      <x:c r="P1533" s="78" t="n">
        <x:f>I1533+L1533*(1-'Inputs'!$B$17)</x:f>
        <x:v>763.5774809376752</x:v>
      </x:c>
      <x:c r="Q1533" s="78" t="n">
        <x:f>IF(J1533&gt;0,M1533/J1533,0)</x:f>
        <x:v>0</x:v>
      </x:c>
      <x:c r="R1533" s="78" t="n">
        <x:f>IF(B1533='Inputs'!$H$48,'Inputs'!$B$27*'Inputs'!$I$48,0)</x:f>
        <x:v>0</x:v>
      </x:c>
      <x:c r="S1533" s="78" t="n">
        <x:f>Q1533+G1533+R1533</x:f>
        <x:v>236327.3186808032</x:v>
      </x:c>
      <x:c r="T1533" s="78" t="n">
        <x:f>P1533*(S1533*(1-'Inputs'!$B$15))/(O1533+S1533*(1-'Inputs'!$B$15))</x:f>
        <x:v>11.930758141737403</x:v>
      </x:c>
      <x:c r="U1533" s="78" t="n">
        <x:f>O1533+S1533*(1-'Inputs'!$B$17)</x:f>
        <x:v>14975286.873827882</x:v>
      </x:c>
      <x:c r="V1533" s="78" t="n">
        <x:f>P1533-T1533</x:f>
        <x:v>751.6467227959378</x:v>
      </x:c>
      <x:c r="W1533" s="79" t="n">
        <x:f>IF(U1533&gt;0,V1533/U1533,0)</x:f>
        <x:v>0.000050192475718751084</x:v>
      </x:c>
      <x:c r="X1533" s="80" t="n">
        <x:f>W1533*('Inputs'!$B$6-AC1533)</x:f>
        <x:v>50156.333572373886</x:v>
      </x:c>
      <x:c r="Y1533" s="80" t="n">
        <x:f>2*V1533</x:f>
        <x:v>1503.2934455918755</x:v>
      </x:c>
      <x:c r="Z1533" s="80" t="n">
        <x:f>K1533*'Inputs'!$B$16+(G1533+R1533)*J1533*'Inputs'!$B$16</x:f>
        <x:v>2.8223342828766205</x:v>
      </x:c>
      <x:c r="AA1533" s="80" t="n">
        <x:f>K1533*(1+'Inputs'!$E$48)/2*'Inputs'!$B$17</x:f>
        <x:v>0.9218239206491049</x:v>
      </x:c>
      <x:c r="AB1533" s="78" t="n">
        <x:f>(IF(J1533&gt;0,K1533*(1-'Inputs'!$E$48)/2/J1533,0)+G1533+R1533)*'Inputs'!$B$17</x:f>
        <x:v>18745.676015432615</x:v>
      </x:c>
      <x:c r="AC1533" s="78" t="n">
        <x:f>AC1532+AB1533</x:f>
        <x:v>720071.0038635819</x:v>
      </x:c>
      <x:c r="AD1533" s="80" t="n">
        <x:f>Z1533/(1+'Inputs'!$C$48)</x:f>
        <x:v>2.2578674263012966</x:v>
      </x:c>
      <x:c r="AE1533" s="80" t="n">
        <x:f>Z1533-AD1533</x:f>
        <x:v>0.5644668565753239</x:v>
      </x:c>
      <x:c r="AF1533" s="80" t="n">
        <x:f>D1533*W1533</x:f>
        <x:v>14.829538372208033</x:v>
      </x:c>
      <x:c r="AG1533" s="80" t="n">
        <x:f>C1533*W1533</x:f>
        <x:v>8.650564050454717</x:v>
      </x:c>
      <x:c r="AH1533" s="80" t="n">
        <x:f>2*'Inputs'!$B$8*'Inputs'!$C$48</x:f>
        <x:v>1250</x:v>
      </x:c>
      <x:c r="AI1533" s="81" t="n">
        <x:f>IF(AH1533&gt;0,(AE1533+AF1533)/AH1533*365,0)</x:f>
        <x:v>4.49504952680474</x:v>
      </x:c>
      <x:c r="AJ1533" s="81" t="n">
        <x:f>IF('Inputs'!$B$48&gt;0,AG1533/('Inputs'!$B$19*'Inputs'!$B$48)*365,0)</x:f>
        <x:v>1.2629823513663887</x:v>
      </x:c>
      <x:c r="AK1533" s="81" t="n">
        <x:f>W1533/MAX($W$1464:W1533)-1</x:f>
        <x:v>-0.9409744963909963</x:v>
      </x:c>
      <x:c r="AL1533" s="83" t="n">
        <x:f>'Inputs'!$B$48</x:f>
        <x:v>0.25</x:v>
      </x:c>
      <x:c r="AM1533" s="83" t="n">
        <x:f>'Inputs'!$C$48</x:f>
        <x:v>0.25</x:v>
      </x:c>
      <x:c r="AN1533" s="83" t="n">
        <x:f>'Inputs'!$D$48</x:f>
        <x:v>0.3</x:v>
      </x:c>
      <x:c r="AO1533" s="81" t="n">
        <x:f>'Inputs'!$E$48</x:f>
        <x:v>0</x:v>
      </x:c>
    </x:row>
    <x:row r="1534">
      <x:c r="A1534" s="59" t="str">
        <x:v>Low participation</x:v>
      </x:c>
      <x:c r="B1534" s="59" t="n">
        <x:v>71</x:v>
      </x:c>
      <x:c r="C1534" s="78" t="n">
        <x:f>(('Inputs'!$B$29*(3*71*'Inputs'!$B$12-71^2)/(2*'Inputs'!$B$12^2))-('Inputs'!$B$29*(3*70*'Inputs'!$B$12-70^2)/(2*'Inputs'!$B$12^2)))*'Inputs'!$B$48</x:f>
        <x:v>172266.5486019887</x:v>
      </x:c>
      <x:c r="D1534" s="78" t="n">
        <x:f>IF('Inputs'!$C$48&gt;0,('Inputs'!$B$30*(3*71*'Inputs'!$B$12-71^2)/(2*'Inputs'!$B$12^2))-('Inputs'!$B$30*(3*70*'Inputs'!$B$12-70^2)/(2*'Inputs'!$B$12^2)),0)</x:f>
        <x:v>295314.08331769705</x:v>
      </x:c>
      <x:c r="E1534" s="78" t="n">
        <x:f>C1534+D1534</x:f>
        <x:v>467580.63191968575</x:v>
      </x:c>
      <x:c r="F1534" s="78" t="n">
        <x:f>'Inputs'!$B$13*E1534+(1-'Inputs'!$B$13)/'Inputs'!$B$14*SUM(E1479:E1534)</x:f>
        <x:v>472434.0284293491</x:v>
      </x:c>
      <x:c r="G1534" s="78" t="n">
        <x:f>F1534*'Inputs'!$F$48</x:f>
        <x:v>236217.01421467456</x:v>
      </x:c>
      <x:c r="H1534" s="78" t="n">
        <x:f>U1533</x:f>
        <x:v>14975286.873827882</x:v>
      </x:c>
      <x:c r="I1534" s="78" t="n">
        <x:f>V1533</x:f>
        <x:v>751.6467227959378</x:v>
      </x:c>
      <x:c r="J1534" s="79" t="n">
        <x:f>IF(H1534&gt;0,I1534/H1534,0)</x:f>
        <x:v>0.000050192475718751084</x:v>
      </x:c>
      <x:c r="K1534" s="80" t="n">
        <x:f>(H1534*J1534+I1534)*'Inputs'!$D$48*(1+'Inputs'!$G$48)^(B1534/30)</x:f>
        <x:v>450.98803367756267</x:v>
      </x:c>
      <x:c r="L1534" s="80" t="n">
        <x:f>MAX(0,K1534*'Inputs'!$E$48)</x:f>
        <x:v>0</x:v>
      </x:c>
      <x:c r="M1534" s="80" t="n">
        <x:f>MAX(0,-K1534*'Inputs'!$E$48)</x:f>
        <x:v>0</x:v>
      </x:c>
      <x:c r="N1534" s="78" t="n">
        <x:f>H1534*(L1534*(1-'Inputs'!$B$15))/(I1534+L1534*(1-'Inputs'!$B$15))</x:f>
        <x:v>0</x:v>
      </x:c>
      <x:c r="O1534" s="78" t="n">
        <x:f>H1534-N1534</x:f>
        <x:v>14975286.873827882</x:v>
      </x:c>
      <x:c r="P1534" s="78" t="n">
        <x:f>I1534+L1534*(1-'Inputs'!$B$17)</x:f>
        <x:v>751.6467227959378</x:v>
      </x:c>
      <x:c r="Q1534" s="78" t="n">
        <x:f>IF(J1534&gt;0,M1534/J1534,0)</x:f>
        <x:v>0</x:v>
      </x:c>
      <x:c r="R1534" s="78" t="n">
        <x:f>IF(B1534='Inputs'!$H$48,'Inputs'!$B$27*'Inputs'!$I$48,0)</x:f>
        <x:v>0</x:v>
      </x:c>
      <x:c r="S1534" s="78" t="n">
        <x:f>Q1534+G1534+R1534</x:f>
        <x:v>236217.01421467456</x:v>
      </x:c>
      <x:c r="T1534" s="78" t="n">
        <x:f>P1534*(S1534*(1-'Inputs'!$B$15))/(O1534+S1534*(1-'Inputs'!$B$15))</x:f>
        <x:v>11.557274592963427</x:v>
      </x:c>
      <x:c r="U1534" s="78" t="n">
        <x:f>O1534+S1534*(1-'Inputs'!$B$17)</x:f>
        <x:v>15210553.316556783</x:v>
      </x:c>
      <x:c r="V1534" s="78" t="n">
        <x:f>P1534-T1534</x:f>
        <x:v>740.0894482029744</x:v>
      </x:c>
      <x:c r="W1534" s="79" t="n">
        <x:f>IF(U1534&gt;0,V1534/U1534,0)</x:f>
        <x:v>0.00004865631333722635</x:v>
      </x:c>
      <x:c r="X1534" s="80" t="n">
        <x:f>W1534*('Inputs'!$B$6-AC1534)</x:f>
        <x:v>48620.351436941164</x:v>
      </x:c>
      <x:c r="Y1534" s="80" t="n">
        <x:f>2*V1534</x:f>
        <x:v>1480.1788964059488</x:v>
      </x:c>
      <x:c r="Z1534" s="80" t="n">
        <x:f>K1534*'Inputs'!$B$16+(G1534+R1534)*J1534*'Inputs'!$B$16</x:f>
        <x:v>2.7770661025673316</x:v>
      </x:c>
      <x:c r="AA1534" s="80" t="n">
        <x:f>K1534*(1+'Inputs'!$E$48)/2*'Inputs'!$B$17</x:f>
        <x:v>0.9074205909005286</x:v>
      </x:c>
      <x:c r="AB1534" s="78" t="n">
        <x:f>(IF(J1534&gt;0,K1534*(1-'Inputs'!$E$48)/2/J1534,0)+G1534+R1534)*'Inputs'!$B$17</x:f>
        <x:v>19029.388637275813</x:v>
      </x:c>
      <x:c r="AC1534" s="78" t="n">
        <x:f>AC1533+AB1534</x:f>
        <x:v>739100.3925008577</x:v>
      </x:c>
      <x:c r="AD1534" s="80" t="n">
        <x:f>Z1534/(1+'Inputs'!$C$48)</x:f>
        <x:v>2.2216528820538652</x:v>
      </x:c>
      <x:c r="AE1534" s="80" t="n">
        <x:f>Z1534-AD1534</x:f>
        <x:v>0.5554132205134663</x:v>
      </x:c>
      <x:c r="AF1534" s="80" t="n">
        <x:f>D1534*W1534</x:f>
        <x:v>14.368894570801638</x:v>
      </x:c>
      <x:c r="AG1534" s="80" t="n">
        <x:f>C1534*W1534</x:f>
        <x:v>8.381855166300895</x:v>
      </x:c>
      <x:c r="AH1534" s="80" t="n">
        <x:f>2*'Inputs'!$B$8*'Inputs'!$C$48</x:f>
        <x:v>1250</x:v>
      </x:c>
      <x:c r="AI1534" s="81" t="n">
        <x:f>IF(AH1534&gt;0,(AE1534+AF1534)/AH1534*365,0)</x:f>
        <x:v>4.357897875064011</x:v>
      </x:c>
      <x:c r="AJ1534" s="81" t="n">
        <x:f>IF('Inputs'!$B$48&gt;0,AG1534/('Inputs'!$B$19*'Inputs'!$B$48)*365,0)</x:f>
        <x:v>1.2237508542799307</x:v>
      </x:c>
      <x:c r="AK1534" s="81" t="n">
        <x:f>W1534/MAX($W$1464:W1534)-1</x:f>
        <x:v>-0.9427809974032751</x:v>
      </x:c>
      <x:c r="AL1534" s="83" t="n">
        <x:f>'Inputs'!$B$48</x:f>
        <x:v>0.25</x:v>
      </x:c>
      <x:c r="AM1534" s="83" t="n">
        <x:f>'Inputs'!$C$48</x:f>
        <x:v>0.25</x:v>
      </x:c>
      <x:c r="AN1534" s="83" t="n">
        <x:f>'Inputs'!$D$48</x:f>
        <x:v>0.3</x:v>
      </x:c>
      <x:c r="AO1534" s="81" t="n">
        <x:f>'Inputs'!$E$48</x:f>
        <x:v>0</x:v>
      </x:c>
    </x:row>
    <x:row r="1535">
      <x:c r="A1535" s="59" t="str">
        <x:v>Low participation</x:v>
      </x:c>
      <x:c r="B1535" s="59" t="n">
        <x:v>72</x:v>
      </x:c>
      <x:c r="C1535" s="78" t="n">
        <x:f>(('Inputs'!$B$29*(3*72*'Inputs'!$B$12-72^2)/(2*'Inputs'!$B$12^2))-('Inputs'!$B$29*(3*71*'Inputs'!$B$12-71^2)/(2*'Inputs'!$B$12^2)))*'Inputs'!$B$48</x:f>
        <x:v>172185.27162694745</x:v>
      </x:c>
      <x:c r="D1535" s="78" t="n">
        <x:f>IF('Inputs'!$C$48&gt;0,('Inputs'!$B$30*(3*72*'Inputs'!$B$12-72^2)/(2*'Inputs'!$B$12^2))-('Inputs'!$B$30*(3*71*'Inputs'!$B$12-71^2)/(2*'Inputs'!$B$12^2)),0)</x:f>
        <x:v>295174.75136047974</x:v>
      </x:c>
      <x:c r="E1535" s="78" t="n">
        <x:f>C1535+D1535</x:f>
        <x:v>467360.0229874272</x:v>
      </x:c>
      <x:c r="F1535" s="78" t="n">
        <x:f>'Inputs'!$B$13*E1535+(1-'Inputs'!$B$13)/'Inputs'!$B$14*SUM(E1480:E1535)</x:f>
        <x:v>472213.4194970913</x:v>
      </x:c>
      <x:c r="G1535" s="78" t="n">
        <x:f>F1535*'Inputs'!$F$48</x:f>
        <x:v>236106.70974854566</x:v>
      </x:c>
      <x:c r="H1535" s="78" t="n">
        <x:f>U1534</x:f>
        <x:v>15210553.316556783</x:v>
      </x:c>
      <x:c r="I1535" s="78" t="n">
        <x:f>V1534</x:f>
        <x:v>740.0894482029744</x:v>
      </x:c>
      <x:c r="J1535" s="79" t="n">
        <x:f>IF(H1535&gt;0,I1535/H1535,0)</x:f>
        <x:v>0.00004865631333722635</x:v>
      </x:c>
      <x:c r="K1535" s="80" t="n">
        <x:f>(H1535*J1535+I1535)*'Inputs'!$D$48*(1+'Inputs'!$G$48)^(B1535/30)</x:f>
        <x:v>444.0536689217846</x:v>
      </x:c>
      <x:c r="L1535" s="80" t="n">
        <x:f>MAX(0,K1535*'Inputs'!$E$48)</x:f>
        <x:v>0</x:v>
      </x:c>
      <x:c r="M1535" s="80" t="n">
        <x:f>MAX(0,-K1535*'Inputs'!$E$48)</x:f>
        <x:v>0</x:v>
      </x:c>
      <x:c r="N1535" s="78" t="n">
        <x:f>H1535*(L1535*(1-'Inputs'!$B$15))/(I1535+L1535*(1-'Inputs'!$B$15))</x:f>
        <x:v>0</x:v>
      </x:c>
      <x:c r="O1535" s="78" t="n">
        <x:f>H1535-N1535</x:f>
        <x:v>15210553.316556783</x:v>
      </x:c>
      <x:c r="P1535" s="78" t="n">
        <x:f>I1535+L1535*(1-'Inputs'!$B$17)</x:f>
        <x:v>740.0894482029744</x:v>
      </x:c>
      <x:c r="Q1535" s="78" t="n">
        <x:f>IF(J1535&gt;0,M1535/J1535,0)</x:f>
        <x:v>0</x:v>
      </x:c>
      <x:c r="R1535" s="78" t="n">
        <x:f>IF(B1535='Inputs'!$H$48,'Inputs'!$B$27*'Inputs'!$I$48,0)</x:f>
        <x:v>0</x:v>
      </x:c>
      <x:c r="S1535" s="78" t="n">
        <x:f>Q1535+G1535+R1535</x:f>
        <x:v>236106.70974854566</x:v>
      </x:c>
      <x:c r="T1535" s="78" t="n">
        <x:f>P1535*(S1535*(1-'Inputs'!$B$15))/(O1535+S1535*(1-'Inputs'!$B$15))</x:f>
        <x:v>11.20107064402137</x:v>
      </x:c>
      <x:c r="U1535" s="78" t="n">
        <x:f>O1535+S1535*(1-'Inputs'!$B$17)</x:f>
        <x:v>15445709.898700707</x:v>
      </x:c>
      <x:c r="V1535" s="78" t="n">
        <x:f>P1535-T1535</x:f>
        <x:v>728.888377558953</x:v>
      </x:c>
      <x:c r="W1535" s="79" t="n">
        <x:f>IF(U1535&gt;0,V1535/U1535,0)</x:f>
        <x:v>0.00004719034491384997</x:v>
      </x:c>
      <x:c r="X1535" s="80" t="n">
        <x:f>W1535*('Inputs'!$B$6-AC1535)</x:f>
        <x:v>47154.5551257509</x:v>
      </x:c>
      <x:c r="Y1535" s="80" t="n">
        <x:f>2*V1535</x:f>
        <x:v>1457.776755117906</x:v>
      </x:c>
      <x:c r="Z1535" s="80" t="n">
        <x:f>K1535*'Inputs'!$B$16+(G1535+R1535)*J1535*'Inputs'!$B$16</x:f>
        <x:v>2.7332505058339884</x:v>
      </x:c>
      <x:c r="AA1535" s="80" t="n">
        <x:f>K1535*(1+'Inputs'!$E$48)/2*'Inputs'!$B$17</x:f>
        <x:v>0.8934681467239127</x:v>
      </x:c>
      <x:c r="AB1535" s="78" t="n">
        <x:f>(IF(J1535&gt;0,K1535*(1-'Inputs'!$E$48)/2/J1535,0)+G1535+R1535)*'Inputs'!$B$17</x:f>
        <x:v>19312.968630646203</x:v>
      </x:c>
      <x:c r="AC1535" s="78" t="n">
        <x:f>AC1534+AB1535</x:f>
        <x:v>758413.361131504</x:v>
      </x:c>
      <x:c r="AD1535" s="80" t="n">
        <x:f>Z1535/(1+'Inputs'!$C$48)</x:f>
        <x:v>2.1866004046671907</x:v>
      </x:c>
      <x:c r="AE1535" s="80" t="n">
        <x:f>Z1535-AD1535</x:f>
        <x:v>0.5466501011667977</x:v>
      </x:c>
      <x:c r="AF1535" s="80" t="n">
        <x:f>D1535*W1535</x:f>
        <x:v>13.929398326560944</x:v>
      </x:c>
      <x:c r="AG1535" s="80" t="n">
        <x:f>C1535*W1535</x:f>
        <x:v>8.125482357160594</x:v>
      </x:c>
      <x:c r="AH1535" s="80" t="n">
        <x:f>2*'Inputs'!$B$8*'Inputs'!$C$48</x:f>
        <x:v>1250</x:v>
      </x:c>
      <x:c r="AI1535" s="81" t="n">
        <x:f>IF(AH1535&gt;0,(AE1535+AF1535)/AH1535*365,0)</x:f>
        <x:v>4.227006140896501</x:v>
      </x:c>
      <x:c r="AJ1535" s="81" t="n">
        <x:f>IF('Inputs'!$B$48&gt;0,AG1535/('Inputs'!$B$19*'Inputs'!$B$48)*365,0)</x:f>
        <x:v>1.1863204241454468</x:v>
      </x:c>
      <x:c r="AK1535" s="81" t="n">
        <x:f>W1535/MAX($W$1464:W1535)-1</x:f>
        <x:v>-0.9445049515064667</x:v>
      </x:c>
      <x:c r="AL1535" s="83" t="n">
        <x:f>'Inputs'!$B$48</x:f>
        <x:v>0.25</x:v>
      </x:c>
      <x:c r="AM1535" s="83" t="n">
        <x:f>'Inputs'!$C$48</x:f>
        <x:v>0.25</x:v>
      </x:c>
      <x:c r="AN1535" s="83" t="n">
        <x:f>'Inputs'!$D$48</x:f>
        <x:v>0.3</x:v>
      </x:c>
      <x:c r="AO1535" s="81" t="n">
        <x:f>'Inputs'!$E$48</x:f>
        <x:v>0</x:v>
      </x:c>
    </x:row>
    <x:row r="1536">
      <x:c r="A1536" s="59" t="str">
        <x:v>Low participation</x:v>
      </x:c>
      <x:c r="B1536" s="59" t="n">
        <x:v>73</x:v>
      </x:c>
      <x:c r="C1536" s="78" t="n">
        <x:f>(('Inputs'!$B$29*(3*73*'Inputs'!$B$12-73^2)/(2*'Inputs'!$B$12^2))-('Inputs'!$B$29*(3*72*'Inputs'!$B$12-72^2)/(2*'Inputs'!$B$12^2)))*'Inputs'!$B$48</x:f>
        <x:v>172103.99465190433</x:v>
      </x:c>
      <x:c r="D1536" s="78" t="n">
        <x:f>IF('Inputs'!$C$48&gt;0,('Inputs'!$B$30*(3*73*'Inputs'!$B$12-73^2)/(2*'Inputs'!$B$12^2))-('Inputs'!$B$30*(3*72*'Inputs'!$B$12-72^2)/(2*'Inputs'!$B$12^2)),0)</x:f>
        <x:v>295035.41940326616</x:v>
      </x:c>
      <x:c r="E1536" s="78" t="n">
        <x:f>C1536+D1536</x:f>
        <x:v>467139.4140551705</x:v>
      </x:c>
      <x:c r="F1536" s="78" t="n">
        <x:f>'Inputs'!$B$13*E1536+(1-'Inputs'!$B$13)/'Inputs'!$B$14*SUM(E1481:E1536)</x:f>
        <x:v>471992.810564834</x:v>
      </x:c>
      <x:c r="G1536" s="78" t="n">
        <x:f>F1536*'Inputs'!$F$48</x:f>
        <x:v>235996.405282417</x:v>
      </x:c>
      <x:c r="H1536" s="78" t="n">
        <x:f>U1535</x:f>
        <x:v>15445709.898700707</x:v>
      </x:c>
      <x:c r="I1536" s="78" t="n">
        <x:f>V1535</x:f>
        <x:v>728.888377558953</x:v>
      </x:c>
      <x:c r="J1536" s="79" t="n">
        <x:f>IF(H1536&gt;0,I1536/H1536,0)</x:f>
        <x:v>0.00004719034491384997</x:v>
      </x:c>
      <x:c r="K1536" s="80" t="n">
        <x:f>(H1536*J1536+I1536)*'Inputs'!$D$48*(1+'Inputs'!$G$48)^(B1536/30)</x:f>
        <x:v>437.3330265353718</x:v>
      </x:c>
      <x:c r="L1536" s="80" t="n">
        <x:f>MAX(0,K1536*'Inputs'!$E$48)</x:f>
        <x:v>0</x:v>
      </x:c>
      <x:c r="M1536" s="80" t="n">
        <x:f>MAX(0,-K1536*'Inputs'!$E$48)</x:f>
        <x:v>0</x:v>
      </x:c>
      <x:c r="N1536" s="78" t="n">
        <x:f>H1536*(L1536*(1-'Inputs'!$B$15))/(I1536+L1536*(1-'Inputs'!$B$15))</x:f>
        <x:v>0</x:v>
      </x:c>
      <x:c r="O1536" s="78" t="n">
        <x:f>H1536-N1536</x:f>
        <x:v>15445709.898700707</x:v>
      </x:c>
      <x:c r="P1536" s="78" t="n">
        <x:f>I1536+L1536*(1-'Inputs'!$B$17)</x:f>
        <x:v>728.888377558953</x:v>
      </x:c>
      <x:c r="Q1536" s="78" t="n">
        <x:f>IF(J1536&gt;0,M1536/J1536,0)</x:f>
        <x:v>0</x:v>
      </x:c>
      <x:c r="R1536" s="78" t="n">
        <x:f>IF(B1536='Inputs'!$H$48,'Inputs'!$B$27*'Inputs'!$I$48,0)</x:f>
        <x:v>0</x:v>
      </x:c>
      <x:c r="S1536" s="78" t="n">
        <x:f>Q1536+G1536+R1536</x:f>
        <x:v>235996.405282417</x:v>
      </x:c>
      <x:c r="T1536" s="78" t="n">
        <x:f>P1536*(S1536*(1-'Inputs'!$B$15))/(O1536+S1536*(1-'Inputs'!$B$15))</x:f>
        <x:v>10.861096049189166</x:v>
      </x:c>
      <x:c r="U1536" s="78" t="n">
        <x:f>O1536+S1536*(1-'Inputs'!$B$17)</x:f>
        <x:v>15680756.620259654</x:v>
      </x:c>
      <x:c r="V1536" s="78" t="n">
        <x:f>P1536-T1536</x:f>
        <x:v>718.0272815097638</x:v>
      </x:c>
      <x:c r="W1536" s="79" t="n">
        <x:f>IF(U1536&gt;0,V1536/U1536,0)</x:f>
        <x:v>0.000045790346658532236</x:v>
      </x:c>
      <x:c r="X1536" s="80" t="n">
        <x:f>W1536*('Inputs'!$B$6-AC1536)</x:f>
        <x:v>45754.72132113386</x:v>
      </x:c>
      <x:c r="Y1536" s="80" t="n">
        <x:f>2*V1536</x:f>
        <x:v>1436.0545630195277</x:v>
      </x:c>
      <x:c r="Z1536" s="80" t="n">
        <x:f>K1536*'Inputs'!$B$16+(G1536+R1536)*J1536*'Inputs'!$B$16</x:f>
        <x:v>2.6908186697944667</x:v>
      </x:c>
      <x:c r="AA1536" s="80" t="n">
        <x:f>K1536*(1+'Inputs'!$E$48)/2*'Inputs'!$B$17</x:f>
        <x:v>0.8799457274353558</x:v>
      </x:c>
      <x:c r="AB1536" s="78" t="n">
        <x:f>(IF(J1536&gt;0,K1536*(1-'Inputs'!$E$48)/2/J1536,0)+G1536+R1536)*'Inputs'!$B$17</x:f>
        <x:v>19596.41599554378</x:v>
      </x:c>
      <x:c r="AC1536" s="78" t="n">
        <x:f>AC1535+AB1536</x:f>
        <x:v>778009.7771270478</x:v>
      </x:c>
      <x:c r="AD1536" s="80" t="n">
        <x:f>Z1536/(1+'Inputs'!$C$48)</x:f>
        <x:v>2.1526549358355735</x:v>
      </x:c>
      <x:c r="AE1536" s="80" t="n">
        <x:f>Z1536-AD1536</x:f>
        <x:v>0.5381637339588932</x:v>
      </x:c>
      <x:c r="AF1536" s="80" t="n">
        <x:f>D1536*W1536</x:f>
        <x:v>13.509774131021006</x:v>
      </x:c>
      <x:c r="AG1536" s="80" t="n">
        <x:f>C1536*W1536</x:f>
        <x:v>7.880701576428877</x:v>
      </x:c>
      <x:c r="AH1536" s="80" t="n">
        <x:f>2*'Inputs'!$B$8*'Inputs'!$C$48</x:f>
        <x:v>1250</x:v>
      </x:c>
      <x:c r="AI1536" s="81" t="n">
        <x:f>IF(AH1536&gt;0,(AE1536+AF1536)/AH1536*365,0)</x:f>
        <x:v>4.101997856574131</x:v>
      </x:c>
      <x:c r="AJ1536" s="81" t="n">
        <x:f>IF('Inputs'!$B$48&gt;0,AG1536/('Inputs'!$B$19*'Inputs'!$B$48)*365,0)</x:f>
        <x:v>1.150582430158616</x:v>
      </x:c>
      <x:c r="AK1536" s="81" t="n">
        <x:f>W1536/MAX($W$1464:W1536)-1</x:f>
        <x:v>-0.9461513258063697</x:v>
      </x:c>
      <x:c r="AL1536" s="83" t="n">
        <x:f>'Inputs'!$B$48</x:f>
        <x:v>0.25</x:v>
      </x:c>
      <x:c r="AM1536" s="83" t="n">
        <x:f>'Inputs'!$C$48</x:f>
        <x:v>0.25</x:v>
      </x:c>
      <x:c r="AN1536" s="83" t="n">
        <x:f>'Inputs'!$D$48</x:f>
        <x:v>0.3</x:v>
      </x:c>
      <x:c r="AO1536" s="81" t="n">
        <x:f>'Inputs'!$E$48</x:f>
        <x:v>0</x:v>
      </x:c>
    </x:row>
    <x:row r="1537">
      <x:c r="A1537" s="59" t="str">
        <x:v>Low participation</x:v>
      </x:c>
      <x:c r="B1537" s="59" t="n">
        <x:v>74</x:v>
      </x:c>
      <x:c r="C1537" s="78" t="n">
        <x:f>(('Inputs'!$B$29*(3*74*'Inputs'!$B$12-74^2)/(2*'Inputs'!$B$12^2))-('Inputs'!$B$29*(3*73*'Inputs'!$B$12-73^2)/(2*'Inputs'!$B$12^2)))*'Inputs'!$B$48</x:f>
        <x:v>172022.71767686307</x:v>
      </x:c>
      <x:c r="D1537" s="78" t="n">
        <x:f>IF('Inputs'!$C$48&gt;0,('Inputs'!$B$30*(3*74*'Inputs'!$B$12-74^2)/(2*'Inputs'!$B$12^2))-('Inputs'!$B$30*(3*73*'Inputs'!$B$12-73^2)/(2*'Inputs'!$B$12^2)),0)</x:f>
        <x:v>294896.08744604886</x:v>
      </x:c>
      <x:c r="E1537" s="78" t="n">
        <x:f>C1537+D1537</x:f>
        <x:v>466918.80512291193</x:v>
      </x:c>
      <x:c r="F1537" s="78" t="n">
        <x:f>'Inputs'!$B$13*E1537+(1-'Inputs'!$B$13)/'Inputs'!$B$14*SUM(E1482:E1537)</x:f>
        <x:v>471772.20163257635</x:v>
      </x:c>
      <x:c r="G1537" s="78" t="n">
        <x:f>F1537*'Inputs'!$F$48</x:f>
        <x:v>235886.10081628818</x:v>
      </x:c>
      <x:c r="H1537" s="78" t="n">
        <x:f>U1536</x:f>
        <x:v>15680756.620259654</x:v>
      </x:c>
      <x:c r="I1537" s="78" t="n">
        <x:f>V1536</x:f>
        <x:v>718.0272815097638</x:v>
      </x:c>
      <x:c r="J1537" s="79" t="n">
        <x:f>IF(H1537&gt;0,I1537/H1537,0)</x:f>
        <x:v>0.000045790346658532236</x:v>
      </x:c>
      <x:c r="K1537" s="80" t="n">
        <x:f>(H1537*J1537+I1537)*'Inputs'!$D$48*(1+'Inputs'!$G$48)^(B1537/30)</x:f>
        <x:v>430.81636890585827</x:v>
      </x:c>
      <x:c r="L1537" s="80" t="n">
        <x:f>MAX(0,K1537*'Inputs'!$E$48)</x:f>
        <x:v>0</x:v>
      </x:c>
      <x:c r="M1537" s="80" t="n">
        <x:f>MAX(0,-K1537*'Inputs'!$E$48)</x:f>
        <x:v>0</x:v>
      </x:c>
      <x:c r="N1537" s="78" t="n">
        <x:f>H1537*(L1537*(1-'Inputs'!$B$15))/(I1537+L1537*(1-'Inputs'!$B$15))</x:f>
        <x:v>0</x:v>
      </x:c>
      <x:c r="O1537" s="78" t="n">
        <x:f>H1537-N1537</x:f>
        <x:v>15680756.620259654</x:v>
      </x:c>
      <x:c r="P1537" s="78" t="n">
        <x:f>I1537+L1537*(1-'Inputs'!$B$17)</x:f>
        <x:v>718.0272815097638</x:v>
      </x:c>
      <x:c r="Q1537" s="78" t="n">
        <x:f>IF(J1537&gt;0,M1537/J1537,0)</x:f>
        <x:v>0</x:v>
      </x:c>
      <x:c r="R1537" s="78" t="n">
        <x:f>IF(B1537='Inputs'!$H$48,'Inputs'!$B$27*'Inputs'!$I$48,0)</x:f>
        <x:v>0</x:v>
      </x:c>
      <x:c r="S1537" s="78" t="n">
        <x:f>Q1537+G1537+R1537</x:f>
        <x:v>235886.10081628818</x:v>
      </x:c>
      <x:c r="T1537" s="78" t="n">
        <x:f>P1537*(S1537*(1-'Inputs'!$B$15))/(O1537+S1537*(1-'Inputs'!$B$15))</x:f>
        <x:v>10.536379181890046</x:v>
      </x:c>
      <x:c r="U1537" s="78" t="n">
        <x:f>O1537+S1537*(1-'Inputs'!$B$17)</x:f>
        <x:v>15915693.481233623</x:v>
      </x:c>
      <x:c r="V1537" s="78" t="n">
        <x:f>P1537-T1537</x:f>
        <x:v>707.4909023278738</x:v>
      </x:c>
      <x:c r="W1537" s="79" t="n">
        <x:f>IF(U1537&gt;0,V1537/U1537,0)</x:f>
        <x:v>0.000044452408131765316</x:v>
      </x:c>
      <x:c r="X1537" s="80" t="n">
        <x:f>W1537*('Inputs'!$B$6-AC1537)</x:f>
        <x:v>44416.94002171791</x:v>
      </x:c>
      <x:c r="Y1537" s="80" t="n">
        <x:f>2*V1537</x:f>
        <x:v>1414.9818046557475</x:v>
      </x:c>
      <x:c r="Z1537" s="80" t="n">
        <x:f>K1537*'Inputs'!$B$16+(G1537+R1537)*J1537*'Inputs'!$B$16</x:f>
        <x:v>2.6497060514049933</x:v>
      </x:c>
      <x:c r="AA1537" s="80" t="n">
        <x:f>K1537*(1+'Inputs'!$E$48)/2*'Inputs'!$B$17</x:f>
        <x:v>0.866833740253236</x:v>
      </x:c>
      <x:c r="AB1537" s="78" t="n">
        <x:f>(IF(J1537&gt;0,K1537*(1-'Inputs'!$E$48)/2/J1537,0)+G1537+R1537)*'Inputs'!$B$17</x:f>
        <x:v>19879.730731968546</x:v>
      </x:c>
      <x:c r="AC1537" s="78" t="n">
        <x:f>AC1536+AB1537</x:f>
        <x:v>797889.5078590163</x:v>
      </x:c>
      <x:c r="AD1537" s="80" t="n">
        <x:f>Z1537/(1+'Inputs'!$C$48)</x:f>
        <x:v>2.1197648411239944</x:v>
      </x:c>
      <x:c r="AE1537" s="80" t="n">
        <x:f>Z1537-AD1537</x:f>
        <x:v>0.5299412102809988</x:v>
      </x:c>
      <x:c r="AF1537" s="80" t="n">
        <x:f>D1537*W1537</x:f>
        <x:v>13.108841235612518</x:v>
      </x:c>
      <x:c r="AG1537" s="80" t="n">
        <x:f>C1537*W1537</x:f>
        <x:v>7.646824054107357</x:v>
      </x:c>
      <x:c r="AH1537" s="80" t="n">
        <x:f>2*'Inputs'!$B$8*'Inputs'!$C$48</x:f>
        <x:v>1250</x:v>
      </x:c>
      <x:c r="AI1537" s="81" t="n">
        <x:f>IF(AH1537&gt;0,(AE1537+AF1537)/AH1537*365,0)</x:f>
        <x:v>3.9825244742009067</x:v>
      </x:c>
      <x:c r="AJ1537" s="81" t="n">
        <x:f>IF('Inputs'!$B$48&gt;0,AG1537/('Inputs'!$B$19*'Inputs'!$B$48)*365,0)</x:f>
        <x:v>1.116436311899674</x:v>
      </x:c>
      <x:c r="AK1537" s="81" t="n">
        <x:f>W1537/MAX($W$1464:W1537)-1</x:f>
        <x:v>-0.9477247189137913</x:v>
      </x:c>
      <x:c r="AL1537" s="83" t="n">
        <x:f>'Inputs'!$B$48</x:f>
        <x:v>0.25</x:v>
      </x:c>
      <x:c r="AM1537" s="83" t="n">
        <x:f>'Inputs'!$C$48</x:f>
        <x:v>0.25</x:v>
      </x:c>
      <x:c r="AN1537" s="83" t="n">
        <x:f>'Inputs'!$D$48</x:f>
        <x:v>0.3</x:v>
      </x:c>
      <x:c r="AO1537" s="81" t="n">
        <x:f>'Inputs'!$E$48</x:f>
        <x:v>0</x:v>
      </x:c>
    </x:row>
    <x:row r="1538">
      <x:c r="A1538" s="59" t="str">
        <x:v>Low participation</x:v>
      </x:c>
      <x:c r="B1538" s="59" t="n">
        <x:v>75</x:v>
      </x:c>
      <x:c r="C1538" s="78" t="n">
        <x:f>(('Inputs'!$B$29*(3*75*'Inputs'!$B$12-75^2)/(2*'Inputs'!$B$12^2))-('Inputs'!$B$29*(3*74*'Inputs'!$B$12-74^2)/(2*'Inputs'!$B$12^2)))*'Inputs'!$B$48</x:f>
        <x:v>171941.44070181996</x:v>
      </x:c>
      <x:c r="D1538" s="78" t="n">
        <x:f>IF('Inputs'!$C$48&gt;0,('Inputs'!$B$30*(3*75*'Inputs'!$B$12-75^2)/(2*'Inputs'!$B$12^2))-('Inputs'!$B$30*(3*74*'Inputs'!$B$12-74^2)/(2*'Inputs'!$B$12^2)),0)</x:f>
        <x:v>294756.7554888353</x:v>
      </x:c>
      <x:c r="E1538" s="78" t="n">
        <x:f>C1538+D1538</x:f>
        <x:v>466698.19619065523</x:v>
      </x:c>
      <x:c r="F1538" s="78" t="n">
        <x:f>'Inputs'!$B$13*E1538+(1-'Inputs'!$B$13)/'Inputs'!$B$14*SUM(E1483:E1538)</x:f>
        <x:v>471551.592700319</x:v>
      </x:c>
      <x:c r="G1538" s="78" t="n">
        <x:f>F1538*'Inputs'!$F$48</x:f>
        <x:v>235775.7963501595</x:v>
      </x:c>
      <x:c r="H1538" s="78" t="n">
        <x:f>U1537</x:f>
        <x:v>15915693.481233623</x:v>
      </x:c>
      <x:c r="I1538" s="78" t="n">
        <x:f>V1537</x:f>
        <x:v>707.4909023278738</x:v>
      </x:c>
      <x:c r="J1538" s="79" t="n">
        <x:f>IF(H1538&gt;0,I1538/H1538,0)</x:f>
        <x:v>0.000044452408131765316</x:v>
      </x:c>
      <x:c r="K1538" s="80" t="n">
        <x:f>(H1538*J1538+I1538)*'Inputs'!$D$48*(1+'Inputs'!$G$48)^(B1538/30)</x:f>
        <x:v>424.49454139672423</x:v>
      </x:c>
      <x:c r="L1538" s="80" t="n">
        <x:f>MAX(0,K1538*'Inputs'!$E$48)</x:f>
        <x:v>0</x:v>
      </x:c>
      <x:c r="M1538" s="80" t="n">
        <x:f>MAX(0,-K1538*'Inputs'!$E$48)</x:f>
        <x:v>0</x:v>
      </x:c>
      <x:c r="N1538" s="78" t="n">
        <x:f>H1538*(L1538*(1-'Inputs'!$B$15))/(I1538+L1538*(1-'Inputs'!$B$15))</x:f>
        <x:v>0</x:v>
      </x:c>
      <x:c r="O1538" s="78" t="n">
        <x:f>H1538-N1538</x:f>
        <x:v>15915693.481233623</x:v>
      </x:c>
      <x:c r="P1538" s="78" t="n">
        <x:f>I1538+L1538*(1-'Inputs'!$B$17)</x:f>
        <x:v>707.4909023278738</x:v>
      </x:c>
      <x:c r="Q1538" s="78" t="n">
        <x:f>IF(J1538&gt;0,M1538/J1538,0)</x:f>
        <x:v>0</x:v>
      </x:c>
      <x:c r="R1538" s="78" t="n">
        <x:f>IF(B1538='Inputs'!$H$48,'Inputs'!$B$27*'Inputs'!$I$48,0)</x:f>
        <x:v>0</x:v>
      </x:c>
      <x:c r="S1538" s="78" t="n">
        <x:f>Q1538+G1538+R1538</x:f>
        <x:v>235775.7963501595</x:v>
      </x:c>
      <x:c r="T1538" s="78" t="n">
        <x:f>P1538*(S1538*(1-'Inputs'!$B$15))/(O1538+S1538*(1-'Inputs'!$B$15))</x:f>
        <x:v>10.22602007529278</x:v>
      </x:c>
      <x:c r="U1538" s="78" t="n">
        <x:f>O1538+S1538*(1-'Inputs'!$B$17)</x:f>
        <x:v>16150520.481622614</x:v>
      </x:c>
      <x:c r="V1538" s="78" t="n">
        <x:f>P1538-T1538</x:f>
        <x:v>697.264882252581</x:v>
      </x:c>
      <x:c r="W1538" s="79" t="n">
        <x:f>IF(U1538&gt;0,V1538/U1538,0)</x:f>
        <x:v>0.00004317290473988043</x:v>
      </x:c>
      <x:c r="X1538" s="80" t="n">
        <x:f>W1538*('Inputs'!$B$6-AC1538)</x:f>
        <x:v>43137.58704064937</x:v>
      </x:c>
      <x:c r="Y1538" s="80" t="n">
        <x:f>2*V1538</x:f>
        <x:v>1394.529764505162</x:v>
      </x:c>
      <x:c r="Z1538" s="80" t="n">
        <x:f>K1538*'Inputs'!$B$16+(G1538+R1538)*J1538*'Inputs'!$B$16</x:f>
        <x:v>2.609852059942041</x:v>
      </x:c>
      <x:c r="AA1538" s="80" t="n">
        <x:f>K1538*(1+'Inputs'!$E$48)/2*'Inputs'!$B$17</x:f>
        <x:v>0.8541137653857631</x:v>
      </x:c>
      <x:c r="AB1538" s="78" t="n">
        <x:f>(IF(J1538&gt;0,K1538*(1-'Inputs'!$E$48)/2/J1538,0)+G1538+R1538)*'Inputs'!$B$17</x:f>
        <x:v>20162.91283992051</x:v>
      </x:c>
      <x:c r="AC1538" s="78" t="n">
        <x:f>AC1537+AB1538</x:f>
        <x:v>818052.4206989368</x:v>
      </x:c>
      <x:c r="AD1538" s="80" t="n">
        <x:f>Z1538/(1+'Inputs'!$C$48)</x:f>
        <x:v>2.087881647953633</x:v>
      </x:c>
      <x:c r="AE1538" s="80" t="n">
        <x:f>Z1538-AD1538</x:f>
        <x:v>0.5219704119884083</x:v>
      </x:c>
      <x:c r="AF1538" s="80" t="n">
        <x:f>D1538*W1538</x:f>
        <x:v>12.725505326155714</x:v>
      </x:c>
      <x:c r="AG1538" s="80" t="n">
        <x:f>C1538*W1538</x:f>
        <x:v>7.423211440257473</x:v>
      </x:c>
      <x:c r="AH1538" s="80" t="n">
        <x:f>2*'Inputs'!$B$8*'Inputs'!$C$48</x:f>
        <x:v>1250</x:v>
      </x:c>
      <x:c r="AI1538" s="81" t="n">
        <x:f>IF(AH1538&gt;0,(AE1538+AF1538)/AH1538*365,0)</x:f>
        <x:v>3.8682629155380837</x:v>
      </x:c>
      <x:c r="AJ1538" s="81" t="n">
        <x:f>IF('Inputs'!$B$48&gt;0,AG1538/('Inputs'!$B$19*'Inputs'!$B$48)*365,0)</x:f>
        <x:v>1.083788870277591</x:v>
      </x:c>
      <x:c r="AK1538" s="81" t="n">
        <x:f>W1538/MAX($W$1464:W1538)-1</x:f>
        <x:v>-0.9492293932896603</x:v>
      </x:c>
      <x:c r="AL1538" s="83" t="n">
        <x:f>'Inputs'!$B$48</x:f>
        <x:v>0.25</x:v>
      </x:c>
      <x:c r="AM1538" s="83" t="n">
        <x:f>'Inputs'!$C$48</x:f>
        <x:v>0.25</x:v>
      </x:c>
      <x:c r="AN1538" s="83" t="n">
        <x:f>'Inputs'!$D$48</x:f>
        <x:v>0.3</x:v>
      </x:c>
      <x:c r="AO1538" s="81" t="n">
        <x:f>'Inputs'!$E$48</x:f>
        <x:v>0</x:v>
      </x:c>
    </x:row>
    <x:row r="1539">
      <x:c r="A1539" s="59" t="str">
        <x:v>Low participation</x:v>
      </x:c>
      <x:c r="B1539" s="59" t="n">
        <x:v>76</x:v>
      </x:c>
      <x:c r="C1539" s="78" t="n">
        <x:f>(('Inputs'!$B$29*(3*76*'Inputs'!$B$12-76^2)/(2*'Inputs'!$B$12^2))-('Inputs'!$B$29*(3*75*'Inputs'!$B$12-75^2)/(2*'Inputs'!$B$12^2)))*'Inputs'!$B$48</x:f>
        <x:v>171860.16372677684</x:v>
      </x:c>
      <x:c r="D1539" s="78" t="n">
        <x:f>IF('Inputs'!$C$48&gt;0,('Inputs'!$B$30*(3*76*'Inputs'!$B$12-76^2)/(2*'Inputs'!$B$12^2))-('Inputs'!$B$30*(3*75*'Inputs'!$B$12-75^2)/(2*'Inputs'!$B$12^2)),0)</x:f>
        <x:v>294617.4235316217</x:v>
      </x:c>
      <x:c r="E1539" s="78" t="n">
        <x:f>C1539+D1539</x:f>
        <x:v>466477.58725839853</x:v>
      </x:c>
      <x:c r="F1539" s="78" t="n">
        <x:f>'Inputs'!$B$13*E1539+(1-'Inputs'!$B$13)/'Inputs'!$B$14*SUM(E1484:E1539)</x:f>
        <x:v>471330.98376806185</x:v>
      </x:c>
      <x:c r="G1539" s="78" t="n">
        <x:f>F1539*'Inputs'!$F$48</x:f>
        <x:v>235665.49188403093</x:v>
      </x:c>
      <x:c r="H1539" s="78" t="n">
        <x:f>U1538</x:f>
        <x:v>16150520.481622614</x:v>
      </x:c>
      <x:c r="I1539" s="78" t="n">
        <x:f>V1538</x:f>
        <x:v>697.264882252581</x:v>
      </x:c>
      <x:c r="J1539" s="79" t="n">
        <x:f>IF(H1539&gt;0,I1539/H1539,0)</x:f>
        <x:v>0.00004317290473988043</x:v>
      </x:c>
      <x:c r="K1539" s="80" t="n">
        <x:f>(H1539*J1539+I1539)*'Inputs'!$D$48*(1+'Inputs'!$G$48)^(B1539/30)</x:f>
        <x:v>418.35892935154857</x:v>
      </x:c>
      <x:c r="L1539" s="80" t="n">
        <x:f>MAX(0,K1539*'Inputs'!$E$48)</x:f>
        <x:v>0</x:v>
      </x:c>
      <x:c r="M1539" s="80" t="n">
        <x:f>MAX(0,-K1539*'Inputs'!$E$48)</x:f>
        <x:v>0</x:v>
      </x:c>
      <x:c r="N1539" s="78" t="n">
        <x:f>H1539*(L1539*(1-'Inputs'!$B$15))/(I1539+L1539*(1-'Inputs'!$B$15))</x:f>
        <x:v>0</x:v>
      </x:c>
      <x:c r="O1539" s="78" t="n">
        <x:f>H1539-N1539</x:f>
        <x:v>16150520.481622614</x:v>
      </x:c>
      <x:c r="P1539" s="78" t="n">
        <x:f>I1539+L1539*(1-'Inputs'!$B$17)</x:f>
        <x:v>697.264882252581</x:v>
      </x:c>
      <x:c r="Q1539" s="78" t="n">
        <x:f>IF(J1539&gt;0,M1539/J1539,0)</x:f>
        <x:v>0</x:v>
      </x:c>
      <x:c r="R1539" s="78" t="n">
        <x:f>IF(B1539='Inputs'!$H$48,'Inputs'!$B$27*'Inputs'!$I$48,0)</x:f>
        <x:v>0</x:v>
      </x:c>
      <x:c r="S1539" s="78" t="n">
        <x:f>Q1539+G1539+R1539</x:f>
        <x:v>235665.49188403093</x:v>
      </x:c>
      <x:c r="T1539" s="78" t="n">
        <x:f>P1539*(S1539*(1-'Inputs'!$B$15))/(O1539+S1539*(1-'Inputs'!$B$15))</x:f>
        <x:v>9.929184171276646</x:v>
      </x:c>
      <x:c r="U1539" s="78" t="n">
        <x:f>O1539+S1539*(1-'Inputs'!$B$17)</x:f>
        <x:v>16385237.621426629</x:v>
      </x:c>
      <x:c r="V1539" s="78" t="n">
        <x:f>P1539-T1539</x:f>
        <x:v>687.3356980813043</x:v>
      </x:c>
      <x:c r="W1539" s="79" t="n">
        <x:f>IF(U1539&gt;0,V1539/U1539,0)</x:f>
        <x:v>0.000041948473007342284</x:v>
      </x:c>
      <x:c r="X1539" s="80" t="n">
        <x:f>W1539*('Inputs'!$B$6-AC1539)</x:f>
        <x:v>41913.29928055554</x:v>
      </x:c>
      <x:c r="Y1539" s="80" t="n">
        <x:f>2*V1539</x:f>
        <x:v>1374.6713961626085</x:v>
      </x:c>
      <x:c r="Z1539" s="80" t="n">
        <x:f>K1539*'Inputs'!$B$16+(G1539+R1539)*J1539*'Inputs'!$B$16</x:f>
        <x:v>2.571199759098809</x:v>
      </x:c>
      <x:c r="AA1539" s="80" t="n">
        <x:f>K1539*(1+'Inputs'!$E$48)/2*'Inputs'!$B$17</x:f>
        <x:v>0.8417684695202186</x:v>
      </x:c>
      <x:c r="AB1539" s="78" t="n">
        <x:f>(IF(J1539&gt;0,K1539*(1-'Inputs'!$E$48)/2/J1539,0)+G1539+R1539)*'Inputs'!$B$17</x:f>
        <x:v>20445.96231939966</x:v>
      </x:c>
      <x:c r="AC1539" s="78" t="n">
        <x:f>AC1538+AB1539</x:f>
        <x:v>838498.3830183365</x:v>
      </x:c>
      <x:c r="AD1539" s="80" t="n">
        <x:f>Z1539/(1+'Inputs'!$C$48)</x:f>
        <x:v>2.056959807279047</x:v>
      </x:c>
      <x:c r="AE1539" s="80" t="n">
        <x:f>Z1539-AD1539</x:f>
        <x:v>0.514239951819762</x:v>
      </x:c>
      <x:c r="AF1539" s="80" t="n">
        <x:f>D1539*W1539</x:f>
        <x:v>12.358751038508963</x:v>
      </x:c>
      <x:c r="AG1539" s="80" t="n">
        <x:f>C1539*W1539</x:f>
        <x:v>7.209271439130124</x:v>
      </x:c>
      <x:c r="AH1539" s="80" t="n">
        <x:f>2*'Inputs'!$B$8*'Inputs'!$C$48</x:f>
        <x:v>1250</x:v>
      </x:c>
      <x:c r="AI1539" s="81" t="n">
        <x:f>IF(AH1539&gt;0,(AE1539+AF1539)/AH1539*365,0)</x:f>
        <x:v>3.758913369175988</x:v>
      </x:c>
      <x:c r="AJ1539" s="81" t="n">
        <x:f>IF('Inputs'!$B$48&gt;0,AG1539/('Inputs'!$B$19*'Inputs'!$B$48)*365,0)</x:f>
        <x:v>1.052553630112998</x:v>
      </x:c>
      <x:c r="AK1539" s="81" t="n">
        <x:f>W1539/MAX($W$1464:W1539)-1</x:f>
        <x:v>-0.9506693043243916</x:v>
      </x:c>
      <x:c r="AL1539" s="83" t="n">
        <x:f>'Inputs'!$B$48</x:f>
        <x:v>0.25</x:v>
      </x:c>
      <x:c r="AM1539" s="83" t="n">
        <x:f>'Inputs'!$C$48</x:f>
        <x:v>0.25</x:v>
      </x:c>
      <x:c r="AN1539" s="83" t="n">
        <x:f>'Inputs'!$D$48</x:f>
        <x:v>0.3</x:v>
      </x:c>
      <x:c r="AO1539" s="81" t="n">
        <x:f>'Inputs'!$E$48</x:f>
        <x:v>0</x:v>
      </x:c>
    </x:row>
    <x:row r="1540">
      <x:c r="A1540" s="59" t="str">
        <x:v>Low participation</x:v>
      </x:c>
      <x:c r="B1540" s="59" t="n">
        <x:v>77</x:v>
      </x:c>
      <x:c r="C1540" s="78" t="n">
        <x:f>(('Inputs'!$B$29*(3*77*'Inputs'!$B$12-77^2)/(2*'Inputs'!$B$12^2))-('Inputs'!$B$29*(3*76*'Inputs'!$B$12-76^2)/(2*'Inputs'!$B$12^2)))*'Inputs'!$B$48</x:f>
        <x:v>171778.88675173745</x:v>
      </x:c>
      <x:c r="D1540" s="78" t="n">
        <x:f>IF('Inputs'!$C$48&gt;0,('Inputs'!$B$30*(3*77*'Inputs'!$B$12-77^2)/(2*'Inputs'!$B$12^2))-('Inputs'!$B$30*(3*76*'Inputs'!$B$12-76^2)/(2*'Inputs'!$B$12^2)),0)</x:f>
        <x:v>294478.09157440066</x:v>
      </x:c>
      <x:c r="E1540" s="78" t="n">
        <x:f>C1540+D1540</x:f>
        <x:v>466256.9783261381</x:v>
      </x:c>
      <x:c r="F1540" s="78" t="n">
        <x:f>'Inputs'!$B$13*E1540+(1-'Inputs'!$B$13)/'Inputs'!$B$14*SUM(E1485:E1540)</x:f>
        <x:v>471110.37483580364</x:v>
      </x:c>
      <x:c r="G1540" s="78" t="n">
        <x:f>F1540*'Inputs'!$F$48</x:f>
        <x:v>235555.18741790182</x:v>
      </x:c>
      <x:c r="H1540" s="78" t="n">
        <x:f>U1539</x:f>
        <x:v>16385237.621426629</x:v>
      </x:c>
      <x:c r="I1540" s="78" t="n">
        <x:f>V1539</x:f>
        <x:v>687.3356980813043</x:v>
      </x:c>
      <x:c r="J1540" s="79" t="n">
        <x:f>IF(H1540&gt;0,I1540/H1540,0)</x:f>
        <x:v>0.000041948473007342284</x:v>
      </x:c>
      <x:c r="K1540" s="80" t="n">
        <x:f>(H1540*J1540+I1540)*'Inputs'!$D$48*(1+'Inputs'!$G$48)^(B1540/30)</x:f>
        <x:v>412.40141884878255</x:v>
      </x:c>
      <x:c r="L1540" s="80" t="n">
        <x:f>MAX(0,K1540*'Inputs'!$E$48)</x:f>
        <x:v>0</x:v>
      </x:c>
      <x:c r="M1540" s="80" t="n">
        <x:f>MAX(0,-K1540*'Inputs'!$E$48)</x:f>
        <x:v>0</x:v>
      </x:c>
      <x:c r="N1540" s="78" t="n">
        <x:f>H1540*(L1540*(1-'Inputs'!$B$15))/(I1540+L1540*(1-'Inputs'!$B$15))</x:f>
        <x:v>0</x:v>
      </x:c>
      <x:c r="O1540" s="78" t="n">
        <x:f>H1540-N1540</x:f>
        <x:v>16385237.621426629</x:v>
      </x:c>
      <x:c r="P1540" s="78" t="n">
        <x:f>I1540+L1540*(1-'Inputs'!$B$17)</x:f>
        <x:v>687.3356980813043</x:v>
      </x:c>
      <x:c r="Q1540" s="78" t="n">
        <x:f>IF(J1540&gt;0,M1540/J1540,0)</x:f>
        <x:v>0</x:v>
      </x:c>
      <x:c r="R1540" s="78" t="n">
        <x:f>IF(B1540='Inputs'!$H$48,'Inputs'!$B$27*'Inputs'!$I$48,0)</x:f>
        <x:v>0</x:v>
      </x:c>
      <x:c r="S1540" s="78" t="n">
        <x:f>Q1540+G1540+R1540</x:f>
        <x:v>235555.18741790182</x:v>
      </x:c>
      <x:c r="T1540" s="78" t="n">
        <x:f>P1540*(S1540*(1-'Inputs'!$B$15))/(O1540+S1540*(1-'Inputs'!$B$15))</x:f>
        <x:v>9.645096696533287</x:v>
      </x:c>
      <x:c r="U1540" s="78" t="n">
        <x:f>O1540+S1540*(1-'Inputs'!$B$17)</x:f>
        <x:v>16619844.900645666</x:v>
      </x:c>
      <x:c r="V1540" s="78" t="n">
        <x:f>P1540-T1540</x:f>
        <x:v>677.690601384771</x:v>
      </x:c>
      <x:c r="W1540" s="79" t="n">
        <x:f>IF(U1540&gt;0,V1540/U1540,0)</x:f>
        <x:v>0.00004077598831012215</x:v>
      </x:c>
      <x:c r="X1540" s="80" t="n">
        <x:f>W1540*('Inputs'!$B$6-AC1540)</x:f>
        <x:v>40740.952469323405</x:v>
      </x:c>
      <x:c r="Y1540" s="80" t="n">
        <x:f>2*V1540</x:f>
        <x:v>1355.381202769542</x:v>
      </x:c>
      <x:c r="Z1540" s="80" t="n">
        <x:f>K1540*'Inputs'!$B$16+(G1540+R1540)*J1540*'Inputs'!$B$16</x:f>
        <x:v>2.5336955956195313</x:v>
      </x:c>
      <x:c r="AA1540" s="80" t="n">
        <x:f>K1540*(1+'Inputs'!$E$48)/2*'Inputs'!$B$17</x:f>
        <x:v>0.8297815268587175</x:v>
      </x:c>
      <x:c r="AB1540" s="78" t="n">
        <x:f>(IF(J1540&gt;0,K1540*(1-'Inputs'!$E$48)/2/J1540,0)+G1540+R1540)*'Inputs'!$B$17</x:f>
        <x:v>20728.879170406002</x:v>
      </x:c>
      <x:c r="AC1540" s="78" t="n">
        <x:f>AC1539+AB1540</x:f>
        <x:v>859227.2621887425</x:v>
      </x:c>
      <x:c r="AD1540" s="80" t="n">
        <x:f>Z1540/(1+'Inputs'!$C$48)</x:f>
        <x:v>2.026956476495625</x:v>
      </x:c>
      <x:c r="AE1540" s="80" t="n">
        <x:f>Z1540-AD1540</x:f>
        <x:v>0.5067391191239063</x:v>
      </x:c>
      <x:c r="AF1540" s="80" t="n">
        <x:f>D1540*W1540</x:f>
        <x:v>12.007635219624841</x:v>
      </x:c>
      <x:c r="AG1540" s="80" t="n">
        <x:f>C1540*W1540</x:f>
        <x:v>7.004453878114643</x:v>
      </x:c>
      <x:c r="AH1540" s="80" t="n">
        <x:f>2*'Inputs'!$B$8*'Inputs'!$C$48</x:f>
        <x:v>1250</x:v>
      </x:c>
      <x:c r="AI1540" s="81" t="n">
        <x:f>IF(AH1540&gt;0,(AE1540+AF1540)/AH1540*365,0)</x:f>
        <x:v>3.6541973069146345</x:v>
      </x:c>
      <x:c r="AJ1540" s="81" t="n">
        <x:f>IF('Inputs'!$B$48&gt;0,AG1540/('Inputs'!$B$19*'Inputs'!$B$48)*365,0)</x:f>
        <x:v>1.0226502662047379</x:v>
      </x:c>
      <x:c r="AK1540" s="81" t="n">
        <x:f>W1540/MAX($W$1464:W1540)-1</x:f>
        <x:v>-0.9520481265230625</x:v>
      </x:c>
      <x:c r="AL1540" s="83" t="n">
        <x:f>'Inputs'!$B$48</x:f>
        <x:v>0.25</x:v>
      </x:c>
      <x:c r="AM1540" s="83" t="n">
        <x:f>'Inputs'!$C$48</x:f>
        <x:v>0.25</x:v>
      </x:c>
      <x:c r="AN1540" s="83" t="n">
        <x:f>'Inputs'!$D$48</x:f>
        <x:v>0.3</x:v>
      </x:c>
      <x:c r="AO1540" s="81" t="n">
        <x:f>'Inputs'!$E$48</x:f>
        <x:v>0</x:v>
      </x:c>
    </x:row>
    <x:row r="1541">
      <x:c r="A1541" s="59" t="str">
        <x:v>Low participation</x:v>
      </x:c>
      <x:c r="B1541" s="59" t="n">
        <x:v>78</x:v>
      </x:c>
      <x:c r="C1541" s="78" t="n">
        <x:f>(('Inputs'!$B$29*(3*78*'Inputs'!$B$12-78^2)/(2*'Inputs'!$B$12^2))-('Inputs'!$B$29*(3*77*'Inputs'!$B$12-77^2)/(2*'Inputs'!$B$12^2)))*'Inputs'!$B$48</x:f>
        <x:v>171697.60977669246</x:v>
      </x:c>
      <x:c r="D1541" s="78" t="n">
        <x:f>IF('Inputs'!$C$48&gt;0,('Inputs'!$B$30*(3*78*'Inputs'!$B$12-78^2)/(2*'Inputs'!$B$12^2))-('Inputs'!$B$30*(3*77*'Inputs'!$B$12-77^2)/(2*'Inputs'!$B$12^2)),0)</x:f>
        <x:v>294338.7596171908</x:v>
      </x:c>
      <x:c r="E1541" s="78" t="n">
        <x:f>C1541+D1541</x:f>
        <x:v>466036.3693938833</x:v>
      </x:c>
      <x:c r="F1541" s="78" t="n">
        <x:f>'Inputs'!$B$13*E1541+(1-'Inputs'!$B$13)/'Inputs'!$B$14*SUM(E1486:E1541)</x:f>
        <x:v>470889.76590354665</x:v>
      </x:c>
      <x:c r="G1541" s="78" t="n">
        <x:f>F1541*'Inputs'!$F$48</x:f>
        <x:v>235444.88295177332</x:v>
      </x:c>
      <x:c r="H1541" s="78" t="n">
        <x:f>U1540</x:f>
        <x:v>16619844.900645666</x:v>
      </x:c>
      <x:c r="I1541" s="78" t="n">
        <x:f>V1540</x:f>
        <x:v>677.690601384771</x:v>
      </x:c>
      <x:c r="J1541" s="79" t="n">
        <x:f>IF(H1541&gt;0,I1541/H1541,0)</x:f>
        <x:v>0.00004077598831012215</x:v>
      </x:c>
      <x:c r="K1541" s="80" t="n">
        <x:f>(H1541*J1541+I1541)*'Inputs'!$D$48*(1+'Inputs'!$G$48)^(B1541/30)</x:f>
        <x:v>406.61436083086255</x:v>
      </x:c>
      <x:c r="L1541" s="80" t="n">
        <x:f>MAX(0,K1541*'Inputs'!$E$48)</x:f>
        <x:v>0</x:v>
      </x:c>
      <x:c r="M1541" s="80" t="n">
        <x:f>MAX(0,-K1541*'Inputs'!$E$48)</x:f>
        <x:v>0</x:v>
      </x:c>
      <x:c r="N1541" s="78" t="n">
        <x:f>H1541*(L1541*(1-'Inputs'!$B$15))/(I1541+L1541*(1-'Inputs'!$B$15))</x:f>
        <x:v>0</x:v>
      </x:c>
      <x:c r="O1541" s="78" t="n">
        <x:f>H1541-N1541</x:f>
        <x:v>16619844.900645666</x:v>
      </x:c>
      <x:c r="P1541" s="78" t="n">
        <x:f>I1541+L1541*(1-'Inputs'!$B$17)</x:f>
        <x:v>677.690601384771</x:v>
      </x:c>
      <x:c r="Q1541" s="78" t="n">
        <x:f>IF(J1541&gt;0,M1541/J1541,0)</x:f>
        <x:v>0</x:v>
      </x:c>
      <x:c r="R1541" s="78" t="n">
        <x:f>IF(B1541='Inputs'!$H$48,'Inputs'!$B$27*'Inputs'!$I$48,0)</x:f>
        <x:v>0</x:v>
      </x:c>
      <x:c r="S1541" s="78" t="n">
        <x:f>Q1541+G1541+R1541</x:f>
        <x:v>235444.88295177332</x:v>
      </x:c>
      <x:c r="T1541" s="78" t="n">
        <x:f>P1541*(S1541*(1-'Inputs'!$B$15))/(O1541+S1541*(1-'Inputs'!$B$15))</x:f>
        <x:v>9.373037594908924</x:v>
      </x:c>
      <x:c r="U1541" s="78" t="n">
        <x:f>O1541+S1541*(1-'Inputs'!$B$17)</x:f>
        <x:v>16854342.319279727</x:v>
      </x:c>
      <x:c r="V1541" s="78" t="n">
        <x:f>P1541-T1541</x:f>
        <x:v>668.317563789862</x:v>
      </x:c>
      <x:c r="W1541" s="79" t="n">
        <x:f>IF(U1541&gt;0,V1541/U1541,0)</x:f>
        <x:v>0.000039652544794071955</x:v>
      </x:c>
      <x:c r="X1541" s="80" t="n">
        <x:f>W1541*('Inputs'!$B$6-AC1541)</x:f>
        <x:v>39617.641080645844</x:v>
      </x:c>
      <x:c r="Y1541" s="80" t="n">
        <x:f>2*V1541</x:f>
        <x:v>1336.635127579724</x:v>
      </x:c>
      <x:c r="Z1541" s="80" t="n">
        <x:f>K1541*'Inputs'!$B$16+(G1541+R1541)*J1541*'Inputs'!$B$16</x:f>
        <x:v>2.4972891517546927</x:v>
      </x:c>
      <x:c r="AA1541" s="80" t="n">
        <x:f>K1541*(1+'Inputs'!$E$48)/2*'Inputs'!$B$17</x:f>
        <x:v>0.8181375469433855</x:v>
      </x:c>
      <x:c r="AB1541" s="78" t="n">
        <x:f>(IF(J1541&gt;0,K1541*(1-'Inputs'!$E$48)/2/J1541,0)+G1541+R1541)*'Inputs'!$B$17</x:f>
        <x:v>21011.663392939532</x:v>
      </x:c>
      <x:c r="AC1541" s="78" t="n">
        <x:f>AC1540+AB1541</x:f>
        <x:v>880238.925581682</x:v>
      </x:c>
      <x:c r="AD1541" s="80" t="n">
        <x:f>Z1541/(1+'Inputs'!$C$48)</x:f>
        <x:v>1.9978313214037542</x:v>
      </x:c>
      <x:c r="AE1541" s="80" t="n">
        <x:f>Z1541-AD1541</x:f>
        <x:v>0.4994578303509385</x:v>
      </x:c>
      <x:c r="AF1541" s="80" t="n">
        <x:f>D1541*W1541</x:f>
        <x:v>11.671280850352236</x:v>
      </x:c>
      <x:c r="AG1541" s="80" t="n">
        <x:f>C1541*W1541</x:f>
        <x:v>6.808247162705385</x:v>
      </x:c>
      <x:c r="AH1541" s="80" t="n">
        <x:f>2*'Inputs'!$B$8*'Inputs'!$C$48</x:f>
        <x:v>1250</x:v>
      </x:c>
      <x:c r="AI1541" s="81" t="n">
        <x:f>IF(AH1541&gt;0,(AE1541+AF1541)/AH1541*365,0)</x:f>
        <x:v>3.5538556947653266</x:v>
      </x:c>
      <x:c r="AJ1541" s="81" t="n">
        <x:f>IF('Inputs'!$B$48&gt;0,AG1541/('Inputs'!$B$19*'Inputs'!$B$48)*365,0)</x:f>
        <x:v>0.9940040857549861</x:v>
      </x:c>
      <x:c r="AK1541" s="81" t="n">
        <x:f>W1541/MAX($W$1464:W1541)-1</x:f>
        <x:v>-0.9533692771210666</x:v>
      </x:c>
      <x:c r="AL1541" s="83" t="n">
        <x:f>'Inputs'!$B$48</x:f>
        <x:v>0.25</x:v>
      </x:c>
      <x:c r="AM1541" s="83" t="n">
        <x:f>'Inputs'!$C$48</x:f>
        <x:v>0.25</x:v>
      </x:c>
      <x:c r="AN1541" s="83" t="n">
        <x:f>'Inputs'!$D$48</x:f>
        <x:v>0.3</x:v>
      </x:c>
      <x:c r="AO1541" s="81" t="n">
        <x:f>'Inputs'!$E$48</x:f>
        <x:v>0</x:v>
      </x:c>
    </x:row>
    <x:row r="1542">
      <x:c r="A1542" s="59" t="str">
        <x:v>Low participation</x:v>
      </x:c>
      <x:c r="B1542" s="59" t="n">
        <x:v>79</x:v>
      </x:c>
      <x:c r="C1542" s="78" t="n">
        <x:f>(('Inputs'!$B$29*(3*79*'Inputs'!$B$12-79^2)/(2*'Inputs'!$B$12^2))-('Inputs'!$B$29*(3*78*'Inputs'!$B$12-78^2)/(2*'Inputs'!$B$12^2)))*'Inputs'!$B$48</x:f>
        <x:v>171616.3328016512</x:v>
      </x:c>
      <x:c r="D1542" s="78" t="n">
        <x:f>IF('Inputs'!$C$48&gt;0,('Inputs'!$B$30*(3*79*'Inputs'!$B$12-79^2)/(2*'Inputs'!$B$12^2))-('Inputs'!$B$30*(3*78*'Inputs'!$B$12-78^2)/(2*'Inputs'!$B$12^2)),0)</x:f>
        <x:v>294199.4276599735</x:v>
      </x:c>
      <x:c r="E1542" s="78" t="n">
        <x:f>C1542+D1542</x:f>
        <x:v>465815.7604616247</x:v>
      </x:c>
      <x:c r="F1542" s="78" t="n">
        <x:f>'Inputs'!$B$13*E1542+(1-'Inputs'!$B$13)/'Inputs'!$B$14*SUM(E1487:E1542)</x:f>
        <x:v>470669.1569712891</x:v>
      </x:c>
      <x:c r="G1542" s="78" t="n">
        <x:f>F1542*'Inputs'!$F$48</x:f>
        <x:v>235334.57848564454</x:v>
      </x:c>
      <x:c r="H1542" s="78" t="n">
        <x:f>U1541</x:f>
        <x:v>16854342.319279727</x:v>
      </x:c>
      <x:c r="I1542" s="78" t="n">
        <x:f>V1541</x:f>
        <x:v>668.317563789862</x:v>
      </x:c>
      <x:c r="J1542" s="79" t="n">
        <x:f>IF(H1542&gt;0,I1542/H1542,0)</x:f>
        <x:v>0.000039652544794071955</x:v>
      </x:c>
      <x:c r="K1542" s="80" t="n">
        <x:f>(H1542*J1542+I1542)*'Inputs'!$D$48*(1+'Inputs'!$G$48)^(B1542/30)</x:f>
        <x:v>400.9905382739172</x:v>
      </x:c>
      <x:c r="L1542" s="80" t="n">
        <x:f>MAX(0,K1542*'Inputs'!$E$48)</x:f>
        <x:v>0</x:v>
      </x:c>
      <x:c r="M1542" s="80" t="n">
        <x:f>MAX(0,-K1542*'Inputs'!$E$48)</x:f>
        <x:v>0</x:v>
      </x:c>
      <x:c r="N1542" s="78" t="n">
        <x:f>H1542*(L1542*(1-'Inputs'!$B$15))/(I1542+L1542*(1-'Inputs'!$B$15))</x:f>
        <x:v>0</x:v>
      </x:c>
      <x:c r="O1542" s="78" t="n">
        <x:f>H1542-N1542</x:f>
        <x:v>16854342.319279727</x:v>
      </x:c>
      <x:c r="P1542" s="78" t="n">
        <x:f>I1542+L1542*(1-'Inputs'!$B$17)</x:f>
        <x:v>668.317563789862</x:v>
      </x:c>
      <x:c r="Q1542" s="78" t="n">
        <x:f>IF(J1542&gt;0,M1542/J1542,0)</x:f>
        <x:v>0</x:v>
      </x:c>
      <x:c r="R1542" s="78" t="n">
        <x:f>IF(B1542='Inputs'!$H$48,'Inputs'!$B$27*'Inputs'!$I$48,0)</x:f>
        <x:v>0</x:v>
      </x:c>
      <x:c r="S1542" s="78" t="n">
        <x:f>Q1542+G1542+R1542</x:f>
        <x:v>235334.57848564454</x:v>
      </x:c>
      <x:c r="T1542" s="78" t="n">
        <x:f>P1542*(S1542*(1-'Inputs'!$B$15))/(O1542+S1542*(1-'Inputs'!$B$15))</x:f>
        <x:v>9.112336953981453</x:v>
      </x:c>
      <x:c r="U1542" s="78" t="n">
        <x:f>O1542+S1542*(1-'Inputs'!$B$17)</x:f>
        <x:v>17088729.87732881</x:v>
      </x:c>
      <x:c r="V1542" s="78" t="n">
        <x:f>P1542-T1542</x:f>
        <x:v>659.2052268358806</x:v>
      </x:c>
      <x:c r="W1542" s="79" t="n">
        <x:f>IF(U1542&gt;0,V1542/U1542,0)</x:f>
        <x:v>0.00003857543723658665</x:v>
      </x:c>
      <x:c r="X1542" s="80" t="n">
        <x:f>W1542*('Inputs'!$B$6-AC1542)</x:f>
        <x:v>38540.660197648394</x:v>
      </x:c>
      <x:c r="Y1542" s="80" t="n">
        <x:f>2*V1542</x:f>
        <x:v>1318.4104536717612</x:v>
      </x:c>
      <x:c r="Z1542" s="80" t="n">
        <x:f>K1542*'Inputs'!$B$16+(G1542+R1542)*J1542*'Inputs'!$B$16</x:f>
        <x:v>2.4619329191334796</x:v>
      </x:c>
      <x:c r="AA1542" s="80" t="n">
        <x:f>K1542*(1+'Inputs'!$E$48)/2*'Inputs'!$B$17</x:f>
        <x:v>0.8068220085994311</x:v>
      </x:c>
      <x:c r="AB1542" s="78" t="n">
        <x:f>(IF(J1542&gt;0,K1542*(1-'Inputs'!$E$48)/2/J1542,0)+G1542+R1542)*'Inputs'!$B$17</x:f>
        <x:v>21294.314987000253</x:v>
      </x:c>
      <x:c r="AC1542" s="78" t="n">
        <x:f>AC1541+AB1542</x:f>
        <x:v>901533.2405686823</x:v>
      </x:c>
      <x:c r="AD1542" s="80" t="n">
        <x:f>Z1542/(1+'Inputs'!$C$48)</x:f>
        <x:v>1.9695463353067837</x:v>
      </x:c>
      <x:c r="AE1542" s="80" t="n">
        <x:f>Z1542-AD1542</x:f>
        <x:v>0.49238658382669587</x:v>
      </x:c>
      <x:c r="AF1542" s="80" t="n">
        <x:f>D1542*W1542</x:f>
        <x:v>11.348871556737022</x:v>
      </x:c>
      <x:c r="AG1542" s="80" t="n">
        <x:f>C1542*W1542</x:f>
        <x:v>6.620175074763263</x:v>
      </x:c>
      <x:c r="AH1542" s="80" t="n">
        <x:f>2*'Inputs'!$B$8*'Inputs'!$C$48</x:f>
        <x:v>1250</x:v>
      </x:c>
      <x:c r="AI1542" s="81" t="n">
        <x:f>IF(AH1542&gt;0,(AE1542+AF1542)/AH1542*365,0)</x:f>
        <x:v>3.457647377044605</x:v>
      </x:c>
      <x:c r="AJ1542" s="81" t="n">
        <x:f>IF('Inputs'!$B$48&gt;0,AG1542/('Inputs'!$B$19*'Inputs'!$B$48)*365,0)</x:f>
        <x:v>0.9665455609154363</x:v>
      </x:c>
      <x:c r="AK1542" s="81" t="n">
        <x:f>W1542/MAX($W$1464:W1542)-1</x:f>
        <x:v>-0.9546359374144915</x:v>
      </x:c>
      <x:c r="AL1542" s="83" t="n">
        <x:f>'Inputs'!$B$48</x:f>
        <x:v>0.25</x:v>
      </x:c>
      <x:c r="AM1542" s="83" t="n">
        <x:f>'Inputs'!$C$48</x:f>
        <x:v>0.25</x:v>
      </x:c>
      <x:c r="AN1542" s="83" t="n">
        <x:f>'Inputs'!$D$48</x:f>
        <x:v>0.3</x:v>
      </x:c>
      <x:c r="AO1542" s="81" t="n">
        <x:f>'Inputs'!$E$48</x:f>
        <x:v>0</x:v>
      </x:c>
    </x:row>
    <x:row r="1543">
      <x:c r="A1543" s="59" t="str">
        <x:v>Low participation</x:v>
      </x:c>
      <x:c r="B1543" s="59" t="n">
        <x:v>80</x:v>
      </x:c>
      <x:c r="C1543" s="78" t="n">
        <x:f>(('Inputs'!$B$29*(3*80*'Inputs'!$B$12-80^2)/(2*'Inputs'!$B$12^2))-('Inputs'!$B$29*(3*79*'Inputs'!$B$12-79^2)/(2*'Inputs'!$B$12^2)))*'Inputs'!$B$48</x:f>
        <x:v>171535.05582660995</x:v>
      </x:c>
      <x:c r="D1543" s="78" t="n">
        <x:f>IF('Inputs'!$C$48&gt;0,('Inputs'!$B$30*(3*80*'Inputs'!$B$12-80^2)/(2*'Inputs'!$B$12^2))-('Inputs'!$B$30*(3*79*'Inputs'!$B$12-79^2)/(2*'Inputs'!$B$12^2)),0)</x:f>
        <x:v>294060.0957027599</x:v>
      </x:c>
      <x:c r="E1543" s="78" t="n">
        <x:f>C1543+D1543</x:f>
        <x:v>465595.1515293699</x:v>
      </x:c>
      <x:c r="F1543" s="78" t="n">
        <x:f>'Inputs'!$B$13*E1543+(1-'Inputs'!$B$13)/'Inputs'!$B$14*SUM(E1488:E1543)</x:f>
        <x:v>470448.54803903203</x:v>
      </x:c>
      <x:c r="G1543" s="78" t="n">
        <x:f>F1543*'Inputs'!$F$48</x:f>
        <x:v>235224.27401951601</x:v>
      </x:c>
      <x:c r="H1543" s="78" t="n">
        <x:f>U1542</x:f>
        <x:v>17088729.87732881</x:v>
      </x:c>
      <x:c r="I1543" s="78" t="n">
        <x:f>V1542</x:f>
        <x:v>659.2052268358806</x:v>
      </x:c>
      <x:c r="J1543" s="79" t="n">
        <x:f>IF(H1543&gt;0,I1543/H1543,0)</x:f>
        <x:v>0.00003857543723658665</x:v>
      </x:c>
      <x:c r="K1543" s="80" t="n">
        <x:f>(H1543*J1543+I1543)*'Inputs'!$D$48*(1+'Inputs'!$G$48)^(B1543/30)</x:f>
        <x:v>395.5231361015283</x:v>
      </x:c>
      <x:c r="L1543" s="80" t="n">
        <x:f>MAX(0,K1543*'Inputs'!$E$48)</x:f>
        <x:v>0</x:v>
      </x:c>
      <x:c r="M1543" s="80" t="n">
        <x:f>MAX(0,-K1543*'Inputs'!$E$48)</x:f>
        <x:v>0</x:v>
      </x:c>
      <x:c r="N1543" s="78" t="n">
        <x:f>H1543*(L1543*(1-'Inputs'!$B$15))/(I1543+L1543*(1-'Inputs'!$B$15))</x:f>
        <x:v>0</x:v>
      </x:c>
      <x:c r="O1543" s="78" t="n">
        <x:f>H1543-N1543</x:f>
        <x:v>17088729.87732881</x:v>
      </x:c>
      <x:c r="P1543" s="78" t="n">
        <x:f>I1543+L1543*(1-'Inputs'!$B$17)</x:f>
        <x:v>659.2052268358806</x:v>
      </x:c>
      <x:c r="Q1543" s="78" t="n">
        <x:f>IF(J1543&gt;0,M1543/J1543,0)</x:f>
        <x:v>0</x:v>
      </x:c>
      <x:c r="R1543" s="78" t="n">
        <x:f>IF(B1543='Inputs'!$H$48,'Inputs'!$B$27*'Inputs'!$I$48,0)</x:f>
        <x:v>0</x:v>
      </x:c>
      <x:c r="S1543" s="78" t="n">
        <x:f>Q1543+G1543+R1543</x:f>
        <x:v>235224.27401951601</x:v>
      </x:c>
      <x:c r="T1543" s="78" t="n">
        <x:f>P1543*(S1543*(1-'Inputs'!$B$15))/(O1543+S1543*(1-'Inputs'!$B$15))</x:f>
        <x:v>8.862370871537495</x:v>
      </x:c>
      <x:c r="U1543" s="78" t="n">
        <x:f>O1543+S1543*(1-'Inputs'!$B$17)</x:f>
        <x:v>17323007.574792914</x:v>
      </x:c>
      <x:c r="V1543" s="78" t="n">
        <x:f>P1543-T1543</x:f>
        <x:v>650.3428559643431</x:v>
      </x:c>
      <x:c r="W1543" s="79" t="n">
        <x:f>IF(U1543&gt;0,V1543/U1543,0)</x:f>
        <x:v>0.000037542144639518096</x:v>
      </x:c>
      <x:c r="X1543" s="80" t="n">
        <x:f>W1543*('Inputs'!$B$6-AC1543)</x:f>
        <x:v>37507.48910758222</x:v>
      </x:c>
      <x:c r="Y1543" s="80" t="n">
        <x:f>2*V1543</x:f>
        <x:v>1300.6857119286863</x:v>
      </x:c>
      <x:c r="Z1543" s="80" t="n">
        <x:f>K1543*'Inputs'!$B$16+(G1543+R1543)*J1543*'Inputs'!$B$16</x:f>
        <x:v>2.4275820919229387</x:v>
      </x:c>
      <x:c r="AA1543" s="80" t="n">
        <x:f>K1543*(1+'Inputs'!$E$48)/2*'Inputs'!$B$17</x:f>
        <x:v>0.7958211993994534</x:v>
      </x:c>
      <x:c r="AB1543" s="78" t="n">
        <x:f>(IF(J1543&gt;0,K1543*(1-'Inputs'!$E$48)/2/J1543,0)+G1543+R1543)*'Inputs'!$B$17</x:f>
        <x:v>21576.833952588164</x:v>
      </x:c>
      <x:c r="AC1543" s="78" t="n">
        <x:f>AC1542+AB1543</x:f>
        <x:v>923110.0745212705</x:v>
      </x:c>
      <x:c r="AD1543" s="80" t="n">
        <x:f>Z1543/(1+'Inputs'!$C$48)</x:f>
        <x:v>1.942065673538351</x:v>
      </x:c>
      <x:c r="AE1543" s="80" t="n">
        <x:f>Z1543-AD1543</x:f>
        <x:v>0.4855164183845877</x:v>
      </x:c>
      <x:c r="AF1543" s="80" t="n">
        <x:f>D1543*W1543</x:f>
        <x:v>11.039646645583547</x:v>
      </x:c>
      <x:c r="AG1543" s="80" t="n">
        <x:f>C1543*W1543</x:f>
        <x:v>6.439793876590402</x:v>
      </x:c>
      <x:c r="AH1543" s="80" t="n">
        <x:f>2*'Inputs'!$B$8*'Inputs'!$C$48</x:f>
        <x:v>1250</x:v>
      </x:c>
      <x:c r="AI1543" s="81" t="n">
        <x:f>IF(AH1543&gt;0,(AE1543+AF1543)/AH1543*365,0)</x:f>
        <x:v>3.3653476146786954</x:v>
      </x:c>
      <x:c r="AJ1543" s="81" t="n">
        <x:f>IF('Inputs'!$B$48&gt;0,AG1543/('Inputs'!$B$19*'Inputs'!$B$48)*365,0)</x:f>
        <x:v>0.9402099059821987</x:v>
      </x:c>
      <x:c r="AK1543" s="81" t="n">
        <x:f>W1543/MAX($W$1464:W1543)-1</x:f>
        <x:v>-0.9558510720545754</x:v>
      </x:c>
      <x:c r="AL1543" s="83" t="n">
        <x:f>'Inputs'!$B$48</x:f>
        <x:v>0.25</x:v>
      </x:c>
      <x:c r="AM1543" s="83" t="n">
        <x:f>'Inputs'!$C$48</x:f>
        <x:v>0.25</x:v>
      </x:c>
      <x:c r="AN1543" s="83" t="n">
        <x:f>'Inputs'!$D$48</x:f>
        <x:v>0.3</x:v>
      </x:c>
      <x:c r="AO1543" s="81" t="n">
        <x:f>'Inputs'!$E$48</x:f>
        <x:v>0</x:v>
      </x:c>
    </x:row>
    <x:row r="1544">
      <x:c r="A1544" s="59" t="str">
        <x:v>Low participation</x:v>
      </x:c>
      <x:c r="B1544" s="59" t="n">
        <x:v>81</x:v>
      </x:c>
      <x:c r="C1544" s="78" t="n">
        <x:f>(('Inputs'!$B$29*(3*81*'Inputs'!$B$12-81^2)/(2*'Inputs'!$B$12^2))-('Inputs'!$B$29*(3*80*'Inputs'!$B$12-80^2)/(2*'Inputs'!$B$12^2)))*'Inputs'!$B$48</x:f>
        <x:v>171453.77885156684</x:v>
      </x:c>
      <x:c r="D1544" s="78" t="n">
        <x:f>IF('Inputs'!$C$48&gt;0,('Inputs'!$B$30*(3*81*'Inputs'!$B$12-81^2)/(2*'Inputs'!$B$12^2))-('Inputs'!$B$30*(3*80*'Inputs'!$B$12-80^2)/(2*'Inputs'!$B$12^2)),0)</x:f>
        <x:v>293920.7637455426</x:v>
      </x:c>
      <x:c r="E1544" s="78" t="n">
        <x:f>C1544+D1544</x:f>
        <x:v>465374.54259710945</x:v>
      </x:c>
      <x:c r="F1544" s="78" t="n">
        <x:f>'Inputs'!$B$13*E1544+(1-'Inputs'!$B$13)/'Inputs'!$B$14*SUM(E1489:E1544)</x:f>
        <x:v>470227.939106774</x:v>
      </x:c>
      <x:c r="G1544" s="78" t="n">
        <x:f>F1544*'Inputs'!$F$48</x:f>
        <x:v>235113.969553387</x:v>
      </x:c>
      <x:c r="H1544" s="78" t="n">
        <x:f>U1543</x:f>
        <x:v>17323007.574792914</x:v>
      </x:c>
      <x:c r="I1544" s="78" t="n">
        <x:f>V1543</x:f>
        <x:v>650.3428559643431</x:v>
      </x:c>
      <x:c r="J1544" s="79" t="n">
        <x:f>IF(H1544&gt;0,I1544/H1544,0)</x:f>
        <x:v>0.000037542144639518096</x:v>
      </x:c>
      <x:c r="K1544" s="80" t="n">
        <x:f>(H1544*J1544+I1544)*'Inputs'!$D$48*(1+'Inputs'!$G$48)^(B1544/30)</x:f>
        <x:v>390.20571357860587</x:v>
      </x:c>
      <x:c r="L1544" s="80" t="n">
        <x:f>MAX(0,K1544*'Inputs'!$E$48)</x:f>
        <x:v>0</x:v>
      </x:c>
      <x:c r="M1544" s="80" t="n">
        <x:f>MAX(0,-K1544*'Inputs'!$E$48)</x:f>
        <x:v>0</x:v>
      </x:c>
      <x:c r="N1544" s="78" t="n">
        <x:f>H1544*(L1544*(1-'Inputs'!$B$15))/(I1544+L1544*(1-'Inputs'!$B$15))</x:f>
        <x:v>0</x:v>
      </x:c>
      <x:c r="O1544" s="78" t="n">
        <x:f>H1544-N1544</x:f>
        <x:v>17323007.574792914</x:v>
      </x:c>
      <x:c r="P1544" s="78" t="n">
        <x:f>I1544+L1544*(1-'Inputs'!$B$17)</x:f>
        <x:v>650.3428559643431</x:v>
      </x:c>
      <x:c r="Q1544" s="78" t="n">
        <x:f>IF(J1544&gt;0,M1544/J1544,0)</x:f>
        <x:v>0</x:v>
      </x:c>
      <x:c r="R1544" s="78" t="n">
        <x:f>IF(B1544='Inputs'!$H$48,'Inputs'!$B$27*'Inputs'!$I$48,0)</x:f>
        <x:v>0</x:v>
      </x:c>
      <x:c r="S1544" s="78" t="n">
        <x:f>Q1544+G1544+R1544</x:f>
        <x:v>235113.969553387</x:v>
      </x:c>
      <x:c r="T1544" s="78" t="n">
        <x:f>P1544*(S1544*(1-'Inputs'!$B$15))/(O1544+S1544*(1-'Inputs'!$B$15))</x:f>
        <x:v>8.622557714242902</x:v>
      </x:c>
      <x:c r="U1544" s="78" t="n">
        <x:f>O1544+S1544*(1-'Inputs'!$B$17)</x:f>
        <x:v>17557175.41167204</x:v>
      </x:c>
      <x:c r="V1544" s="78" t="n">
        <x:f>P1544-T1544</x:f>
        <x:v>641.7202982501002</x:v>
      </x:c>
      <x:c r="W1544" s="79" t="n">
        <x:f>IF(U1544&gt;0,V1544/U1544,0)</x:f>
        <x:v>0.00003655031536698571</x:v>
      </x:c>
      <x:c r="X1544" s="80" t="n">
        <x:f>W1544*('Inputs'!$B$6-AC1544)</x:f>
        <x:v>36515.77644124825</x:v>
      </x:c>
      <x:c r="Y1544" s="80" t="n">
        <x:f>2*V1544</x:f>
        <x:v>1283.4405965002004</x:v>
      </x:c>
      <x:c r="Z1544" s="80" t="n">
        <x:f>K1544*'Inputs'!$B$16+(G1544+R1544)*J1544*'Inputs'!$B$16</x:f>
        <x:v>2.3941943773821026</x:v>
      </x:c>
      <x:c r="AA1544" s="80" t="n">
        <x:f>K1544*(1+'Inputs'!$E$48)/2*'Inputs'!$B$17</x:f>
        <x:v>0.7851221601179194</x:v>
      </x:c>
      <x:c r="AB1544" s="78" t="n">
        <x:f>(IF(J1544&gt;0,K1544*(1-'Inputs'!$E$48)/2/J1544,0)+G1544+R1544)*'Inputs'!$B$17</x:f>
        <x:v>21859.220289703262</x:v>
      </x:c>
      <x:c r="AC1544" s="78" t="n">
        <x:f>AC1543+AB1544</x:f>
        <x:v>944969.2948109737</x:v>
      </x:c>
      <x:c r="AD1544" s="80" t="n">
        <x:f>Z1544/(1+'Inputs'!$C$48)</x:f>
        <x:v>1.915355501905682</x:v>
      </x:c>
      <x:c r="AE1544" s="80" t="n">
        <x:f>Z1544-AD1544</x:f>
        <x:v>0.47883887547642057</x:v>
      </x:c>
      <x:c r="AF1544" s="80" t="n">
        <x:f>D1544*W1544</x:f>
        <x:v>10.742896607804882</x:v>
      </x:c>
      <x:c r="AG1544" s="80" t="n">
        <x:f>C1544*W1544</x:f>
        <x:v>6.266689687886192</x:v>
      </x:c>
      <x:c r="AH1544" s="80" t="n">
        <x:f>2*'Inputs'!$B$8*'Inputs'!$C$48</x:f>
        <x:v>1250</x:v>
      </x:c>
      <x:c r="AI1544" s="81" t="n">
        <x:f>IF(AH1544&gt;0,(AE1544+AF1544)/AH1544*365,0)</x:f>
        <x:v>3.2767467611181402</x:v>
      </x:c>
      <x:c r="AJ1544" s="81" t="n">
        <x:f>IF('Inputs'!$B$48&gt;0,AG1544/('Inputs'!$B$19*'Inputs'!$B$48)*365,0)</x:f>
        <x:v>0.9149366944313841</x:v>
      </x:c>
      <x:c r="AK1544" s="81" t="n">
        <x:f>W1544/MAX($W$1464:W1544)-1</x:f>
        <x:v>-0.9570174465253909</x:v>
      </x:c>
      <x:c r="AL1544" s="83" t="n">
        <x:f>'Inputs'!$B$48</x:f>
        <x:v>0.25</x:v>
      </x:c>
      <x:c r="AM1544" s="83" t="n">
        <x:f>'Inputs'!$C$48</x:f>
        <x:v>0.25</x:v>
      </x:c>
      <x:c r="AN1544" s="83" t="n">
        <x:f>'Inputs'!$D$48</x:f>
        <x:v>0.3</x:v>
      </x:c>
      <x:c r="AO1544" s="81" t="n">
        <x:f>'Inputs'!$E$48</x:f>
        <x:v>0</x:v>
      </x:c>
    </x:row>
    <x:row r="1545">
      <x:c r="A1545" s="59" t="str">
        <x:v>Low participation</x:v>
      </x:c>
      <x:c r="B1545" s="59" t="n">
        <x:v>82</x:v>
      </x:c>
      <x:c r="C1545" s="78" t="n">
        <x:f>(('Inputs'!$B$29*(3*82*'Inputs'!$B$12-82^2)/(2*'Inputs'!$B$12^2))-('Inputs'!$B$29*(3*81*'Inputs'!$B$12-81^2)/(2*'Inputs'!$B$12^2)))*'Inputs'!$B$48</x:f>
        <x:v>171372.50187652372</x:v>
      </x:c>
      <x:c r="D1545" s="78" t="n">
        <x:f>IF('Inputs'!$C$48&gt;0,('Inputs'!$B$30*(3*82*'Inputs'!$B$12-82^2)/(2*'Inputs'!$B$12^2))-('Inputs'!$B$30*(3*81*'Inputs'!$B$12-81^2)/(2*'Inputs'!$B$12^2)),0)</x:f>
        <x:v>293781.43178832904</x:v>
      </x:c>
      <x:c r="E1545" s="78" t="n">
        <x:f>C1545+D1545</x:f>
        <x:v>465153.93366485275</x:v>
      </x:c>
      <x:c r="F1545" s="78" t="n">
        <x:f>'Inputs'!$B$13*E1545+(1-'Inputs'!$B$13)/'Inputs'!$B$14*SUM(E1490:E1545)</x:f>
        <x:v>470007.33017451665</x:v>
      </x:c>
      <x:c r="G1545" s="78" t="n">
        <x:f>F1545*'Inputs'!$F$48</x:f>
        <x:v>235003.66508725833</x:v>
      </x:c>
      <x:c r="H1545" s="78" t="n">
        <x:f>U1544</x:f>
        <x:v>17557175.41167204</x:v>
      </x:c>
      <x:c r="I1545" s="78" t="n">
        <x:f>V1544</x:f>
        <x:v>641.7202982501002</x:v>
      </x:c>
      <x:c r="J1545" s="79" t="n">
        <x:f>IF(H1545&gt;0,I1545/H1545,0)</x:f>
        <x:v>0.00003655031536698571</x:v>
      </x:c>
      <x:c r="K1545" s="80" t="n">
        <x:f>(H1545*J1545+I1545)*'Inputs'!$D$48*(1+'Inputs'!$G$48)^(B1545/30)</x:f>
        <x:v>385.0321789500601</x:v>
      </x:c>
      <x:c r="L1545" s="80" t="n">
        <x:f>MAX(0,K1545*'Inputs'!$E$48)</x:f>
        <x:v>0</x:v>
      </x:c>
      <x:c r="M1545" s="80" t="n">
        <x:f>MAX(0,-K1545*'Inputs'!$E$48)</x:f>
        <x:v>0</x:v>
      </x:c>
      <x:c r="N1545" s="78" t="n">
        <x:f>H1545*(L1545*(1-'Inputs'!$B$15))/(I1545+L1545*(1-'Inputs'!$B$15))</x:f>
        <x:v>0</x:v>
      </x:c>
      <x:c r="O1545" s="78" t="n">
        <x:f>H1545-N1545</x:f>
        <x:v>17557175.41167204</x:v>
      </x:c>
      <x:c r="P1545" s="78" t="n">
        <x:f>I1545+L1545*(1-'Inputs'!$B$17)</x:f>
        <x:v>641.7202982501002</x:v>
      </x:c>
      <x:c r="Q1545" s="78" t="n">
        <x:f>IF(J1545&gt;0,M1545/J1545,0)</x:f>
        <x:v>0</x:v>
      </x:c>
      <x:c r="R1545" s="78" t="n">
        <x:f>IF(B1545='Inputs'!$H$48,'Inputs'!$B$27*'Inputs'!$I$48,0)</x:f>
        <x:v>0</x:v>
      </x:c>
      <x:c r="S1545" s="78" t="n">
        <x:f>Q1545+G1545+R1545</x:f>
        <x:v>235003.66508725833</x:v>
      </x:c>
      <x:c r="T1545" s="78" t="n">
        <x:f>P1545*(S1545*(1-'Inputs'!$B$15))/(O1545+S1545*(1-'Inputs'!$B$15))</x:f>
        <x:v>8.3923547265441</x:v>
      </x:c>
      <x:c r="U1545" s="78" t="n">
        <x:f>O1545+S1545*(1-'Inputs'!$B$17)</x:f>
        <x:v>17791233.387966193</x:v>
      </x:c>
      <x:c r="V1545" s="78" t="n">
        <x:f>P1545-T1545</x:f>
        <x:v>633.3279435235561</x:v>
      </x:c>
      <x:c r="W1545" s="79" t="n">
        <x:f>IF(U1545&gt;0,V1545/U1545,0)</x:f>
        <x:v>0.00003559775366400019</x:v>
      </x:c>
      <x:c r="X1545" s="80" t="n">
        <x:f>W1545*('Inputs'!$B$6-AC1545)</x:f>
        <x:v>35563.32669308632</x:v>
      </x:c>
      <x:c r="Y1545" s="80" t="n">
        <x:f>2*V1545</x:f>
        <x:v>1266.6558870471122</x:v>
      </x:c>
      <x:c r="Z1545" s="80" t="n">
        <x:f>K1545*'Inputs'!$B$16+(G1545+R1545)*J1545*'Inputs'!$B$16</x:f>
        <x:v>2.361729822128381</x:v>
      </x:c>
      <x:c r="AA1545" s="80" t="n">
        <x:f>K1545*(1+'Inputs'!$E$48)/2*'Inputs'!$B$17</x:f>
        <x:v>0.7747126337023342</x:v>
      </x:c>
      <x:c r="AB1545" s="78" t="n">
        <x:f>(IF(J1545&gt;0,K1545*(1-'Inputs'!$E$48)/2/J1545,0)+G1545+R1545)*'Inputs'!$B$17</x:f>
        <x:v>22141.473998345555</x:v>
      </x:c>
      <x:c r="AC1545" s="78" t="n">
        <x:f>AC1544+AB1545</x:f>
        <x:v>967110.7688093192</x:v>
      </x:c>
      <x:c r="AD1545" s="80" t="n">
        <x:f>Z1545/(1+'Inputs'!$C$48)</x:f>
        <x:v>1.8893838577027047</x:v>
      </x:c>
      <x:c r="AE1545" s="80" t="n">
        <x:f>Z1545-AD1545</x:f>
        <x:v>0.4723459644256762</x:v>
      </x:c>
      <x:c r="AF1545" s="80" t="n">
        <x:f>D1545*W1545</x:f>
        <x:v>10.457959039858212</x:v>
      </x:c>
      <x:c r="AG1545" s="80" t="n">
        <x:f>C1545*W1545</x:f>
        <x:v>6.100476106583902</x:v>
      </x:c>
      <x:c r="AH1545" s="80" t="n">
        <x:f>2*'Inputs'!$B$8*'Inputs'!$C$48</x:f>
        <x:v>1250</x:v>
      </x:c>
      <x:c r="AI1545" s="81" t="n">
        <x:f>IF(AH1545&gt;0,(AE1545+AF1545)/AH1545*365,0)</x:f>
        <x:v>3.191649061250895</x:v>
      </x:c>
      <x:c r="AJ1545" s="81" t="n">
        <x:f>IF('Inputs'!$B$48&gt;0,AG1545/('Inputs'!$B$19*'Inputs'!$B$48)*365,0)</x:f>
        <x:v>0.8906695115612497</x:v>
      </x:c>
      <x:c r="AK1545" s="81" t="n">
        <x:f>W1545/MAX($W$1464:W1545)-1</x:f>
        <x:v>-0.9581376429977152</x:v>
      </x:c>
      <x:c r="AL1545" s="83" t="n">
        <x:f>'Inputs'!$B$48</x:f>
        <x:v>0.25</x:v>
      </x:c>
      <x:c r="AM1545" s="83" t="n">
        <x:f>'Inputs'!$C$48</x:f>
        <x:v>0.25</x:v>
      </x:c>
      <x:c r="AN1545" s="83" t="n">
        <x:f>'Inputs'!$D$48</x:f>
        <x:v>0.3</x:v>
      </x:c>
      <x:c r="AO1545" s="81" t="n">
        <x:f>'Inputs'!$E$48</x:f>
        <x:v>0</x:v>
      </x:c>
    </x:row>
    <x:row r="1546">
      <x:c r="A1546" s="59" t="str">
        <x:v>Low participation</x:v>
      </x:c>
      <x:c r="B1546" s="59" t="n">
        <x:v>83</x:v>
      </x:c>
      <x:c r="C1546" s="78" t="n">
        <x:f>(('Inputs'!$B$29*(3*83*'Inputs'!$B$12-83^2)/(2*'Inputs'!$B$12^2))-('Inputs'!$B$29*(3*82*'Inputs'!$B$12-82^2)/(2*'Inputs'!$B$12^2)))*'Inputs'!$B$48</x:f>
        <x:v>171291.22490148246</x:v>
      </x:c>
      <x:c r="D1546" s="78" t="n">
        <x:f>IF('Inputs'!$C$48&gt;0,('Inputs'!$B$30*(3*83*'Inputs'!$B$12-83^2)/(2*'Inputs'!$B$12^2))-('Inputs'!$B$30*(3*82*'Inputs'!$B$12-82^2)/(2*'Inputs'!$B$12^2)),0)</x:f>
        <x:v>293642.09983111173</x:v>
      </x:c>
      <x:c r="E1546" s="78" t="n">
        <x:f>C1546+D1546</x:f>
        <x:v>464933.3247325942</x:v>
      </x:c>
      <x:c r="F1546" s="78" t="n">
        <x:f>'Inputs'!$B$13*E1546+(1-'Inputs'!$B$13)/'Inputs'!$B$14*SUM(E1491:E1546)</x:f>
        <x:v>469786.72124225897</x:v>
      </x:c>
      <x:c r="G1546" s="78" t="n">
        <x:f>F1546*'Inputs'!$F$48</x:f>
        <x:v>234893.36062112948</x:v>
      </x:c>
      <x:c r="H1546" s="78" t="n">
        <x:f>U1545</x:f>
        <x:v>17791233.387966193</x:v>
      </x:c>
      <x:c r="I1546" s="78" t="n">
        <x:f>V1545</x:f>
        <x:v>633.3279435235561</x:v>
      </x:c>
      <x:c r="J1546" s="79" t="n">
        <x:f>IF(H1546&gt;0,I1546/H1546,0)</x:f>
        <x:v>0.00003559775366400019</x:v>
      </x:c>
      <x:c r="K1546" s="80" t="n">
        <x:f>(H1546*J1546+I1546)*'Inputs'!$D$48*(1+'Inputs'!$G$48)^(B1546/30)</x:f>
        <x:v>379.99676611413366</x:v>
      </x:c>
      <x:c r="L1546" s="80" t="n">
        <x:f>MAX(0,K1546*'Inputs'!$E$48)</x:f>
        <x:v>0</x:v>
      </x:c>
      <x:c r="M1546" s="80" t="n">
        <x:f>MAX(0,-K1546*'Inputs'!$E$48)</x:f>
        <x:v>0</x:v>
      </x:c>
      <x:c r="N1546" s="78" t="n">
        <x:f>H1546*(L1546*(1-'Inputs'!$B$15))/(I1546+L1546*(1-'Inputs'!$B$15))</x:f>
        <x:v>0</x:v>
      </x:c>
      <x:c r="O1546" s="78" t="n">
        <x:f>H1546-N1546</x:f>
        <x:v>17791233.387966193</x:v>
      </x:c>
      <x:c r="P1546" s="78" t="n">
        <x:f>I1546+L1546*(1-'Inputs'!$B$17)</x:f>
        <x:v>633.3279435235561</x:v>
      </x:c>
      <x:c r="Q1546" s="78" t="n">
        <x:f>IF(J1546&gt;0,M1546/J1546,0)</x:f>
        <x:v>0</x:v>
      </x:c>
      <x:c r="R1546" s="78" t="n">
        <x:f>IF(B1546='Inputs'!$H$48,'Inputs'!$B$27*'Inputs'!$I$48,0)</x:f>
        <x:v>0</x:v>
      </x:c>
      <x:c r="S1546" s="78" t="n">
        <x:f>Q1546+G1546+R1546</x:f>
        <x:v>234893.36062112948</x:v>
      </x:c>
      <x:c r="T1546" s="78" t="n">
        <x:f>P1546*(S1546*(1-'Inputs'!$B$15))/(O1546+S1546*(1-'Inputs'!$B$15))</x:f>
        <x:v>8.171254952821673</x:v>
      </x:c>
      <x:c r="U1546" s="78" t="n">
        <x:f>O1546+S1546*(1-'Inputs'!$B$17)</x:f>
        <x:v>18025181.503675368</x:v>
      </x:c>
      <x:c r="V1546" s="78" t="n">
        <x:f>P1546-T1546</x:f>
        <x:v>625.1566885707344</x:v>
      </x:c>
      <x:c r="W1546" s="79" t="n">
        <x:f>IF(U1546&gt;0,V1546/U1546,0)</x:f>
        <x:v>0.00003468240741116886</x:v>
      </x:c>
      <x:c r="X1546" s="80" t="n">
        <x:f>W1546*('Inputs'!$B$6-AC1546)</x:f>
        <x:v>34648.08797721315</x:v>
      </x:c>
      <x:c r="Y1546" s="80" t="n">
        <x:f>2*V1546</x:f>
        <x:v>1250.313377141469</x:v>
      </x:c>
      <x:c r="Z1546" s="80" t="n">
        <x:f>K1546*'Inputs'!$B$16+(G1546+R1546)*J1546*'Inputs'!$B$16</x:f>
        <x:v>2.330150652617003</x:v>
      </x:c>
      <x:c r="AA1546" s="80" t="n">
        <x:f>K1546*(1+'Inputs'!$E$48)/2*'Inputs'!$B$17</x:f>
        <x:v>0.7645810183382972</x:v>
      </x:c>
      <x:c r="AB1546" s="78" t="n">
        <x:f>(IF(J1546&gt;0,K1546*(1-'Inputs'!$E$48)/2/J1546,0)+G1546+R1546)*'Inputs'!$B$17</x:f>
        <x:v>22423.59507851504</x:v>
      </x:c>
      <x:c r="AC1546" s="78" t="n">
        <x:f>AC1545+AB1546</x:f>
        <x:v>989534.3638878342</x:v>
      </x:c>
      <x:c r="AD1546" s="80" t="n">
        <x:f>Z1546/(1+'Inputs'!$C$48)</x:f>
        <x:v>1.8641205220936024</x:v>
      </x:c>
      <x:c r="AE1546" s="80" t="n">
        <x:f>Z1546-AD1546</x:f>
        <x:v>0.4660301305234005</x:v>
      </x:c>
      <x:c r="AF1546" s="80" t="n">
        <x:f>D1546*W1546</x:f>
        <x:v>10.184214939413735</x:v>
      </x:c>
      <x:c r="AG1546" s="80" t="n">
        <x:f>C1546*W1546</x:f>
        <x:v>5.940792047991367</x:v>
      </x:c>
      <x:c r="AH1546" s="80" t="n">
        <x:f>2*'Inputs'!$B$8*'Inputs'!$C$48</x:f>
        <x:v>1250</x:v>
      </x:c>
      <x:c r="AI1546" s="81" t="n">
        <x:f>IF(AH1546&gt;0,(AE1546+AF1546)/AH1546*365,0)</x:f>
        <x:v>3.1098715604216434</x:v>
      </x:c>
      <x:c r="AJ1546" s="81" t="n">
        <x:f>IF('Inputs'!$B$48&gt;0,AG1546/('Inputs'!$B$19*'Inputs'!$B$48)*365,0)</x:f>
        <x:v>0.8673556390067396</x:v>
      </x:c>
      <x:c r="AK1546" s="81" t="n">
        <x:f>W1546/MAX($W$1464:W1546)-1</x:f>
        <x:v>-0.9592140747292904</x:v>
      </x:c>
      <x:c r="AL1546" s="83" t="n">
        <x:f>'Inputs'!$B$48</x:f>
        <x:v>0.25</x:v>
      </x:c>
      <x:c r="AM1546" s="83" t="n">
        <x:f>'Inputs'!$C$48</x:f>
        <x:v>0.25</x:v>
      </x:c>
      <x:c r="AN1546" s="83" t="n">
        <x:f>'Inputs'!$D$48</x:f>
        <x:v>0.3</x:v>
      </x:c>
      <x:c r="AO1546" s="81" t="n">
        <x:f>'Inputs'!$E$48</x:f>
        <x:v>0</x:v>
      </x:c>
    </x:row>
    <x:row r="1547">
      <x:c r="A1547" s="59" t="str">
        <x:v>Low participation</x:v>
      </x:c>
      <x:c r="B1547" s="59" t="n">
        <x:v>84</x:v>
      </x:c>
      <x:c r="C1547" s="78" t="n">
        <x:f>(('Inputs'!$B$29*(3*84*'Inputs'!$B$12-84^2)/(2*'Inputs'!$B$12^2))-('Inputs'!$B$29*(3*83*'Inputs'!$B$12-83^2)/(2*'Inputs'!$B$12^2)))*'Inputs'!$B$48</x:f>
        <x:v>171209.9479264412</x:v>
      </x:c>
      <x:c r="D1547" s="78" t="n">
        <x:f>IF('Inputs'!$C$48&gt;0,('Inputs'!$B$30*(3*84*'Inputs'!$B$12-84^2)/(2*'Inputs'!$B$12^2))-('Inputs'!$B$30*(3*83*'Inputs'!$B$12-83^2)/(2*'Inputs'!$B$12^2)),0)</x:f>
        <x:v>293502.76787389815</x:v>
      </x:c>
      <x:c r="E1547" s="78" t="n">
        <x:f>C1547+D1547</x:f>
        <x:v>464712.71580033936</x:v>
      </x:c>
      <x:c r="F1547" s="78" t="n">
        <x:f>'Inputs'!$B$13*E1547+(1-'Inputs'!$B$13)/'Inputs'!$B$14*SUM(E1492:E1547)</x:f>
        <x:v>469566.112310002</x:v>
      </x:c>
      <x:c r="G1547" s="78" t="n">
        <x:f>F1547*'Inputs'!$F$48</x:f>
        <x:v>234783.056155001</x:v>
      </x:c>
      <x:c r="H1547" s="78" t="n">
        <x:f>U1546</x:f>
        <x:v>18025181.503675368</x:v>
      </x:c>
      <x:c r="I1547" s="78" t="n">
        <x:f>V1546</x:f>
        <x:v>625.1566885707344</x:v>
      </x:c>
      <x:c r="J1547" s="79" t="n">
        <x:f>IF(H1547&gt;0,I1547/H1547,0)</x:f>
        <x:v>0.00003468240741116886</x:v>
      </x:c>
      <x:c r="K1547" s="80" t="n">
        <x:f>(H1547*J1547+I1547)*'Inputs'!$D$48*(1+'Inputs'!$G$48)^(B1547/30)</x:f>
        <x:v>375.09401314244064</x:v>
      </x:c>
      <x:c r="L1547" s="80" t="n">
        <x:f>MAX(0,K1547*'Inputs'!$E$48)</x:f>
        <x:v>0</x:v>
      </x:c>
      <x:c r="M1547" s="80" t="n">
        <x:f>MAX(0,-K1547*'Inputs'!$E$48)</x:f>
        <x:v>0</x:v>
      </x:c>
      <x:c r="N1547" s="78" t="n">
        <x:f>H1547*(L1547*(1-'Inputs'!$B$15))/(I1547+L1547*(1-'Inputs'!$B$15))</x:f>
        <x:v>0</x:v>
      </x:c>
      <x:c r="O1547" s="78" t="n">
        <x:f>H1547-N1547</x:f>
        <x:v>18025181.503675368</x:v>
      </x:c>
      <x:c r="P1547" s="78" t="n">
        <x:f>I1547+L1547*(1-'Inputs'!$B$17)</x:f>
        <x:v>625.1566885707344</x:v>
      </x:c>
      <x:c r="Q1547" s="78" t="n">
        <x:f>IF(J1547&gt;0,M1547/J1547,0)</x:f>
        <x:v>0</x:v>
      </x:c>
      <x:c r="R1547" s="78" t="n">
        <x:f>IF(B1547='Inputs'!$H$48,'Inputs'!$B$27*'Inputs'!$I$48,0)</x:f>
        <x:v>0</x:v>
      </x:c>
      <x:c r="S1547" s="78" t="n">
        <x:f>Q1547+G1547+R1547</x:f>
        <x:v>234783.056155001</x:v>
      </x:c>
      <x:c r="T1547" s="78" t="n">
        <x:f>P1547*(S1547*(1-'Inputs'!$B$15))/(O1547+S1547*(1-'Inputs'!$B$15))</x:f>
        <x:v>7.958784440153638</x:v>
      </x:c>
      <x:c r="U1547" s="78" t="n">
        <x:f>O1547+S1547*(1-'Inputs'!$B$17)</x:f>
        <x:v>18259019.758799564</x:v>
      </x:c>
      <x:c r="V1547" s="78" t="n">
        <x:f>P1547-T1547</x:f>
        <x:v>617.1979041305808</x:v>
      </x:c>
      <x:c r="W1547" s="79" t="n">
        <x:f>IF(U1547&gt;0,V1547/U1547,0)</x:f>
        <x:v>0.00003380235698759977</x:v>
      </x:c>
      <x:c r="X1547" s="80" t="n">
        <x:f>W1547*('Inputs'!$B$6-AC1547)</x:f>
        <x:v>33768.14089154004</x:v>
      </x:c>
      <x:c r="Y1547" s="80" t="n">
        <x:f>2*V1547</x:f>
        <x:v>1234.3958082611616</x:v>
      </x:c>
      <x:c r="Z1547" s="80" t="n">
        <x:f>K1547*'Inputs'!$B$16+(G1547+R1547)*J1547*'Inputs'!$B$16</x:f>
        <x:v>2.2994211284954864</x:v>
      </x:c>
      <x:c r="AA1547" s="80" t="n">
        <x:f>K1547*(1+'Inputs'!$E$48)/2*'Inputs'!$B$17</x:f>
        <x:v>0.7547163242302629</x:v>
      </x:c>
      <x:c r="AB1547" s="78" t="n">
        <x:f>(IF(J1547&gt;0,K1547*(1-'Inputs'!$E$48)/2/J1547,0)+G1547+R1547)*'Inputs'!$B$17</x:f>
        <x:v>22705.58353021172</x:v>
      </x:c>
      <x:c r="AC1547" s="78" t="n">
        <x:f>AC1546+AB1547</x:f>
        <x:v>1012239.947418046</x:v>
      </x:c>
      <x:c r="AD1547" s="80" t="n">
        <x:f>Z1547/(1+'Inputs'!$C$48)</x:f>
        <x:v>1.839536902796389</x:v>
      </x:c>
      <x:c r="AE1547" s="80" t="n">
        <x:f>Z1547-AD1547</x:f>
        <x:v>0.45988422569909737</x:v>
      </x:c>
      <x:c r="AF1547" s="80" t="n">
        <x:f>D1547*W1547</x:f>
        <x:v>9.921085336522134</x:v>
      </x:c>
      <x:c r="AG1547" s="80" t="n">
        <x:f>C1547*W1547</x:f>
        <x:v>5.787299779637933</x:v>
      </x:c>
      <x:c r="AH1547" s="80" t="n">
        <x:f>2*'Inputs'!$B$8*'Inputs'!$C$48</x:f>
        <x:v>1250</x:v>
      </x:c>
      <x:c r="AI1547" s="81" t="n">
        <x:f>IF(AH1547&gt;0,(AE1547+AF1547)/AH1547*365,0)</x:f>
        <x:v>3.0312431121686</x:v>
      </x:c>
      <x:c r="AJ1547" s="81" t="n">
        <x:f>IF('Inputs'!$B$48&gt;0,AG1547/('Inputs'!$B$19*'Inputs'!$B$48)*365,0)</x:f>
        <x:v>0.8449457678271383</x:v>
      </x:c>
      <x:c r="AK1547" s="81" t="n">
        <x:f>W1547/MAX($W$1464:W1547)-1</x:f>
        <x:v>-0.9602489991618599</x:v>
      </x:c>
      <x:c r="AL1547" s="83" t="n">
        <x:f>'Inputs'!$B$48</x:f>
        <x:v>0.25</x:v>
      </x:c>
      <x:c r="AM1547" s="83" t="n">
        <x:f>'Inputs'!$C$48</x:f>
        <x:v>0.25</x:v>
      </x:c>
      <x:c r="AN1547" s="83" t="n">
        <x:f>'Inputs'!$D$48</x:f>
        <x:v>0.3</x:v>
      </x:c>
      <x:c r="AO1547" s="81" t="n">
        <x:f>'Inputs'!$E$48</x:f>
        <x:v>0</x:v>
      </x:c>
    </x:row>
    <x:row r="1548">
      <x:c r="A1548" s="59" t="str">
        <x:v>Low participation</x:v>
      </x:c>
      <x:c r="B1548" s="59" t="n">
        <x:v>85</x:v>
      </x:c>
      <x:c r="C1548" s="78" t="n">
        <x:f>(('Inputs'!$B$29*(3*85*'Inputs'!$B$12-85^2)/(2*'Inputs'!$B$12^2))-('Inputs'!$B$29*(3*84*'Inputs'!$B$12-84^2)/(2*'Inputs'!$B$12^2)))*'Inputs'!$B$48</x:f>
        <x:v>171128.6709513981</x:v>
      </x:c>
      <x:c r="D1548" s="78" t="n">
        <x:f>IF('Inputs'!$C$48&gt;0,('Inputs'!$B$30*(3*85*'Inputs'!$B$12-85^2)/(2*'Inputs'!$B$12^2))-('Inputs'!$B$30*(3*84*'Inputs'!$B$12-84^2)/(2*'Inputs'!$B$12^2)),0)</x:f>
        <x:v>293363.43591668084</x:v>
      </x:c>
      <x:c r="E1548" s="78" t="n">
        <x:f>C1548+D1548</x:f>
        <x:v>464492.10686807893</x:v>
      </x:c>
      <x:c r="F1548" s="78" t="n">
        <x:f>'Inputs'!$B$13*E1548+(1-'Inputs'!$B$13)/'Inputs'!$B$14*SUM(E1493:E1548)</x:f>
        <x:v>469345.503377744</x:v>
      </x:c>
      <x:c r="G1548" s="78" t="n">
        <x:f>F1548*'Inputs'!$F$48</x:f>
        <x:v>234672.751688872</x:v>
      </x:c>
      <x:c r="H1548" s="78" t="n">
        <x:f>U1547</x:f>
        <x:v>18259019.758799564</x:v>
      </x:c>
      <x:c r="I1548" s="78" t="n">
        <x:f>V1547</x:f>
        <x:v>617.1979041305808</x:v>
      </x:c>
      <x:c r="J1548" s="79" t="n">
        <x:f>IF(H1548&gt;0,I1548/H1548,0)</x:f>
        <x:v>0.00003380235698759977</x:v>
      </x:c>
      <x:c r="K1548" s="80" t="n">
        <x:f>(H1548*J1548+I1548)*'Inputs'!$D$48*(1+'Inputs'!$G$48)^(B1548/30)</x:f>
        <x:v>370.3187424783485</x:v>
      </x:c>
      <x:c r="L1548" s="80" t="n">
        <x:f>MAX(0,K1548*'Inputs'!$E$48)</x:f>
        <x:v>0</x:v>
      </x:c>
      <x:c r="M1548" s="80" t="n">
        <x:f>MAX(0,-K1548*'Inputs'!$E$48)</x:f>
        <x:v>0</x:v>
      </x:c>
      <x:c r="N1548" s="78" t="n">
        <x:f>H1548*(L1548*(1-'Inputs'!$B$15))/(I1548+L1548*(1-'Inputs'!$B$15))</x:f>
        <x:v>0</x:v>
      </x:c>
      <x:c r="O1548" s="78" t="n">
        <x:f>H1548-N1548</x:f>
        <x:v>18259019.758799564</x:v>
      </x:c>
      <x:c r="P1548" s="78" t="n">
        <x:f>I1548+L1548*(1-'Inputs'!$B$17)</x:f>
        <x:v>617.1979041305808</x:v>
      </x:c>
      <x:c r="Q1548" s="78" t="n">
        <x:f>IF(J1548&gt;0,M1548/J1548,0)</x:f>
        <x:v>0</x:v>
      </x:c>
      <x:c r="R1548" s="78" t="n">
        <x:f>IF(B1548='Inputs'!$H$48,'Inputs'!$B$27*'Inputs'!$I$48,0)</x:f>
        <x:v>0</x:v>
      </x:c>
      <x:c r="S1548" s="78" t="n">
        <x:f>Q1548+G1548+R1548</x:f>
        <x:v>234672.751688872</x:v>
      </x:c>
      <x:c r="T1548" s="78" t="n">
        <x:f>P1548*(S1548*(1-'Inputs'!$B$15))/(O1548+S1548*(1-'Inputs'!$B$15))</x:f>
        <x:v>7.754499692823108</x:v>
      </x:c>
      <x:c r="U1548" s="78" t="n">
        <x:f>O1548+S1548*(1-'Inputs'!$B$17)</x:f>
        <x:v>18492748.153338782</x:v>
      </x:c>
      <x:c r="V1548" s="78" t="n">
        <x:f>P1548-T1548</x:f>
        <x:v>609.4434044377577</x:v>
      </x:c>
      <x:c r="W1548" s="79" t="n">
        <x:f>IF(U1548&gt;0,V1548/U1548,0)</x:f>
        <x:v>0.00003295580512881886</x:v>
      </x:c>
      <x:c r="X1548" s="80" t="n">
        <x:f>W1548*('Inputs'!$B$6-AC1548)</x:f>
        <x:v>32921.6883767964</x:v>
      </x:c>
      <x:c r="Y1548" s="80" t="n">
        <x:f>2*V1548</x:f>
        <x:v>1218.8868088755155</x:v>
      </x:c>
      <x:c r="Z1548" s="80" t="n">
        <x:f>K1548*'Inputs'!$B$16+(G1548+R1548)*J1548*'Inputs'!$B$16</x:f>
        <x:v>2.269507407637189</x:v>
      </x:c>
      <x:c r="AA1548" s="80" t="n">
        <x:f>K1548*(1+'Inputs'!$E$48)/2*'Inputs'!$B$17</x:f>
        <x:v>0.7451081337592526</x:v>
      </x:c>
      <x:c r="AB1548" s="78" t="n">
        <x:f>(IF(J1548&gt;0,K1548*(1-'Inputs'!$E$48)/2/J1548,0)+G1548+R1548)*'Inputs'!$B$17</x:f>
        <x:v>22987.43935343558</x:v>
      </x:c>
      <x:c r="AC1548" s="78" t="n">
        <x:f>AC1547+AB1548</x:f>
        <x:v>1035227.3867714815</x:v>
      </x:c>
      <x:c r="AD1548" s="80" t="n">
        <x:f>Z1548/(1+'Inputs'!$C$48)</x:f>
        <x:v>1.815605926109751</x:v>
      </x:c>
      <x:c r="AE1548" s="80" t="n">
        <x:f>Z1548-AD1548</x:f>
        <x:v>0.4539014815274378</x:v>
      </x:c>
      <x:c r="AF1548" s="80" t="n">
        <x:f>D1548*W1548</x:f>
        <x:v>9.668028225990874</x:v>
      </x:c>
      <x:c r="AG1548" s="80" t="n">
        <x:f>C1548*W1548</x:f>
        <x:v>5.63968313182804</x:v>
      </x:c>
      <x:c r="AH1548" s="80" t="n">
        <x:f>2*'Inputs'!$B$8*'Inputs'!$C$48</x:f>
        <x:v>1250</x:v>
      </x:c>
      <x:c r="AI1548" s="81" t="n">
        <x:f>IF(AH1548&gt;0,(AE1548+AF1548)/AH1548*365,0)</x:f>
        <x:v>2.955603474595347</x:v>
      </x:c>
      <x:c r="AJ1548" s="81" t="n">
        <x:f>IF('Inputs'!$B$48&gt;0,AG1548/('Inputs'!$B$19*'Inputs'!$B$48)*365,0)</x:f>
        <x:v>0.8233937372468938</x:v>
      </x:c>
      <x:c r="AK1548" s="81" t="n">
        <x:f>W1548/MAX($W$1464:W1548)-1</x:f>
        <x:v>-0.9612445298480861</x:v>
      </x:c>
      <x:c r="AL1548" s="83" t="n">
        <x:f>'Inputs'!$B$48</x:f>
        <x:v>0.25</x:v>
      </x:c>
      <x:c r="AM1548" s="83" t="n">
        <x:f>'Inputs'!$C$48</x:f>
        <x:v>0.25</x:v>
      </x:c>
      <x:c r="AN1548" s="83" t="n">
        <x:f>'Inputs'!$D$48</x:f>
        <x:v>0.3</x:v>
      </x:c>
      <x:c r="AO1548" s="81" t="n">
        <x:f>'Inputs'!$E$48</x:f>
        <x:v>0</x:v>
      </x:c>
    </x:row>
    <x:row r="1549">
      <x:c r="A1549" s="59" t="str">
        <x:v>Low participation</x:v>
      </x:c>
      <x:c r="B1549" s="59" t="n">
        <x:v>86</x:v>
      </x:c>
      <x:c r="C1549" s="78" t="n">
        <x:f>(('Inputs'!$B$29*(3*86*'Inputs'!$B$12-86^2)/(2*'Inputs'!$B$12^2))-('Inputs'!$B$29*(3*85*'Inputs'!$B$12-85^2)/(2*'Inputs'!$B$12^2)))*'Inputs'!$B$48</x:f>
        <x:v>171047.39397635497</x:v>
      </x:c>
      <x:c r="D1549" s="78" t="n">
        <x:f>IF('Inputs'!$C$48&gt;0,('Inputs'!$B$30*(3*86*'Inputs'!$B$12-86^2)/(2*'Inputs'!$B$12^2))-('Inputs'!$B$30*(3*85*'Inputs'!$B$12-85^2)/(2*'Inputs'!$B$12^2)),0)</x:f>
        <x:v>293224.10395946726</x:v>
      </x:c>
      <x:c r="E1549" s="78" t="n">
        <x:f>C1549+D1549</x:f>
        <x:v>464271.49793582223</x:v>
      </x:c>
      <x:c r="F1549" s="78" t="n">
        <x:f>'Inputs'!$B$13*E1549+(1-'Inputs'!$B$13)/'Inputs'!$B$14*SUM(E1494:E1549)</x:f>
        <x:v>469124.8944454867</x:v>
      </x:c>
      <x:c r="G1549" s="78" t="n">
        <x:f>F1549*'Inputs'!$F$48</x:f>
        <x:v>234562.44722274336</x:v>
      </x:c>
      <x:c r="H1549" s="78" t="n">
        <x:f>U1548</x:f>
        <x:v>18492748.153338782</x:v>
      </x:c>
      <x:c r="I1549" s="78" t="n">
        <x:f>V1548</x:f>
        <x:v>609.4434044377577</x:v>
      </x:c>
      <x:c r="J1549" s="79" t="n">
        <x:f>IF(H1549&gt;0,I1549/H1549,0)</x:f>
        <x:v>0.00003295580512881886</x:v>
      </x:c>
      <x:c r="K1549" s="80" t="n">
        <x:f>(H1549*J1549+I1549)*'Inputs'!$D$48*(1+'Inputs'!$G$48)^(B1549/30)</x:f>
        <x:v>365.66604266265466</x:v>
      </x:c>
      <x:c r="L1549" s="80" t="n">
        <x:f>MAX(0,K1549*'Inputs'!$E$48)</x:f>
        <x:v>0</x:v>
      </x:c>
      <x:c r="M1549" s="80" t="n">
        <x:f>MAX(0,-K1549*'Inputs'!$E$48)</x:f>
        <x:v>0</x:v>
      </x:c>
      <x:c r="N1549" s="78" t="n">
        <x:f>H1549*(L1549*(1-'Inputs'!$B$15))/(I1549+L1549*(1-'Inputs'!$B$15))</x:f>
        <x:v>0</x:v>
      </x:c>
      <x:c r="O1549" s="78" t="n">
        <x:f>H1549-N1549</x:f>
        <x:v>18492748.153338782</x:v>
      </x:c>
      <x:c r="P1549" s="78" t="n">
        <x:f>I1549+L1549*(1-'Inputs'!$B$17)</x:f>
        <x:v>609.4434044377577</x:v>
      </x:c>
      <x:c r="Q1549" s="78" t="n">
        <x:f>IF(J1549&gt;0,M1549/J1549,0)</x:f>
        <x:v>0</x:v>
      </x:c>
      <x:c r="R1549" s="78" t="n">
        <x:f>IF(B1549='Inputs'!$H$48,'Inputs'!$B$27*'Inputs'!$I$48,0)</x:f>
        <x:v>0</x:v>
      </x:c>
      <x:c r="S1549" s="78" t="n">
        <x:f>Q1549+G1549+R1549</x:f>
        <x:v>234562.44722274336</x:v>
      </x:c>
      <x:c r="T1549" s="78" t="n">
        <x:f>P1549*(S1549*(1-'Inputs'!$B$15))/(O1549+S1549*(1-'Inputs'!$B$15))</x:f>
        <x:v>7.557985353003891</x:v>
      </x:c>
      <x:c r="U1549" s="78" t="n">
        <x:f>O1549+S1549*(1-'Inputs'!$B$17)</x:f>
        <x:v>18726366.687293023</x:v>
      </x:c>
      <x:c r="V1549" s="78" t="n">
        <x:f>P1549-T1549</x:f>
        <x:v>601.8854190847538</x:v>
      </x:c>
      <x:c r="W1549" s="79" t="n">
        <x:f>IF(U1549&gt;0,V1549/U1549,0)</x:f>
        <x:v>0.000032141067679357665</x:v>
      </x:c>
      <x:c r="X1549" s="80" t="n">
        <x:f>W1549*('Inputs'!$B$6-AC1549)</x:f>
        <x:v>32107.046470127618</x:v>
      </x:c>
      <x:c r="Y1549" s="80" t="n">
        <x:f>2*V1549</x:f>
        <x:v>1203.7708381695077</x:v>
      </x:c>
      <x:c r="Z1549" s="80" t="n">
        <x:f>K1549*'Inputs'!$B$16+(G1549+R1549)*J1549*'Inputs'!$B$16</x:f>
        <x:v>2.2403774217831973</x:v>
      </x:c>
      <x:c r="AA1549" s="80" t="n">
        <x:f>K1549*(1+'Inputs'!$E$48)/2*'Inputs'!$B$17</x:f>
        <x:v>0.7357465647135909</x:v>
      </x:c>
      <x:c r="AB1549" s="78" t="n">
        <x:f>(IF(J1549&gt;0,K1549*(1-'Inputs'!$E$48)/2/J1549,0)+G1549+R1549)*'Inputs'!$B$17</x:f>
        <x:v>23269.162548186636</x:v>
      </x:c>
      <x:c r="AC1549" s="78" t="n">
        <x:f>AC1548+AB1549</x:f>
        <x:v>1058496.5493196682</x:v>
      </x:c>
      <x:c r="AD1549" s="80" t="n">
        <x:f>Z1549/(1+'Inputs'!$C$48)</x:f>
        <x:v>1.7923019374265579</x:v>
      </x:c>
      <x:c r="AE1549" s="80" t="n">
        <x:f>Z1549-AD1549</x:f>
        <x:v>0.44807548435663946</x:v>
      </x:c>
      <x:c r="AF1549" s="80" t="n">
        <x:f>D1549*W1549</x:f>
        <x:v>9.424535770580245</x:v>
      </x:c>
      <x:c r="AG1549" s="80" t="n">
        <x:f>C1549*W1549</x:f>
        <x:v>5.49764586617178</x:v>
      </x:c>
      <x:c r="AH1549" s="80" t="n">
        <x:f>2*'Inputs'!$B$8*'Inputs'!$C$48</x:f>
        <x:v>1250</x:v>
      </x:c>
      <x:c r="AI1549" s="81" t="n">
        <x:f>IF(AH1549&gt;0,(AE1549+AF1549)/AH1549*365,0)</x:f>
        <x:v>2.8828024864415704</x:v>
      </x:c>
      <x:c r="AJ1549" s="81" t="n">
        <x:f>IF('Inputs'!$B$48&gt;0,AG1549/('Inputs'!$B$19*'Inputs'!$B$48)*365,0)</x:f>
        <x:v>0.8026562964610799</x:v>
      </x:c>
      <x:c r="AK1549" s="81" t="n">
        <x:f>W1549/MAX($W$1464:W1549)-1</x:f>
        <x:v>-0.9622026473263519</x:v>
      </x:c>
      <x:c r="AL1549" s="83" t="n">
        <x:f>'Inputs'!$B$48</x:f>
        <x:v>0.25</x:v>
      </x:c>
      <x:c r="AM1549" s="83" t="n">
        <x:f>'Inputs'!$C$48</x:f>
        <x:v>0.25</x:v>
      </x:c>
      <x:c r="AN1549" s="83" t="n">
        <x:f>'Inputs'!$D$48</x:f>
        <x:v>0.3</x:v>
      </x:c>
      <x:c r="AO1549" s="81" t="n">
        <x:f>'Inputs'!$E$48</x:f>
        <x:v>0</x:v>
      </x:c>
    </x:row>
    <x:row r="1550">
      <x:c r="A1550" s="59" t="str">
        <x:v>Low participation</x:v>
      </x:c>
      <x:c r="B1550" s="59" t="n">
        <x:v>87</x:v>
      </x:c>
      <x:c r="C1550" s="78" t="n">
        <x:f>(('Inputs'!$B$29*(3*87*'Inputs'!$B$12-87^2)/(2*'Inputs'!$B$12^2))-('Inputs'!$B$29*(3*86*'Inputs'!$B$12-86^2)/(2*'Inputs'!$B$12^2)))*'Inputs'!$B$48</x:f>
        <x:v>170966.11700131372</x:v>
      </x:c>
      <x:c r="D1550" s="78" t="n">
        <x:f>IF('Inputs'!$C$48&gt;0,('Inputs'!$B$30*(3*87*'Inputs'!$B$12-87^2)/(2*'Inputs'!$B$12^2))-('Inputs'!$B$30*(3*86*'Inputs'!$B$12-86^2)/(2*'Inputs'!$B$12^2)),0)</x:f>
        <x:v>293084.7720022537</x:v>
      </x:c>
      <x:c r="E1550" s="78" t="n">
        <x:f>C1550+D1550</x:f>
        <x:v>464050.8890035674</x:v>
      </x:c>
      <x:c r="F1550" s="78" t="n">
        <x:f>'Inputs'!$B$13*E1550+(1-'Inputs'!$B$13)/'Inputs'!$B$14*SUM(E1495:E1550)</x:f>
        <x:v>468904.2855132298</x:v>
      </x:c>
      <x:c r="G1550" s="78" t="n">
        <x:f>F1550*'Inputs'!$F$48</x:f>
        <x:v>234452.1427566149</x:v>
      </x:c>
      <x:c r="H1550" s="78" t="n">
        <x:f>U1549</x:f>
        <x:v>18726366.687293023</x:v>
      </x:c>
      <x:c r="I1550" s="78" t="n">
        <x:f>V1549</x:f>
        <x:v>601.8854190847538</x:v>
      </x:c>
      <x:c r="J1550" s="79" t="n">
        <x:f>IF(H1550&gt;0,I1550/H1550,0)</x:f>
        <x:v>0.000032141067679357665</x:v>
      </x:c>
      <x:c r="K1550" s="80" t="n">
        <x:f>(H1550*J1550+I1550)*'Inputs'!$D$48*(1+'Inputs'!$G$48)^(B1550/30)</x:f>
        <x:v>361.1312514508523</x:v>
      </x:c>
      <x:c r="L1550" s="80" t="n">
        <x:f>MAX(0,K1550*'Inputs'!$E$48)</x:f>
        <x:v>0</x:v>
      </x:c>
      <x:c r="M1550" s="80" t="n">
        <x:f>MAX(0,-K1550*'Inputs'!$E$48)</x:f>
        <x:v>0</x:v>
      </x:c>
      <x:c r="N1550" s="78" t="n">
        <x:f>H1550*(L1550*(1-'Inputs'!$B$15))/(I1550+L1550*(1-'Inputs'!$B$15))</x:f>
        <x:v>0</x:v>
      </x:c>
      <x:c r="O1550" s="78" t="n">
        <x:f>H1550-N1550</x:f>
        <x:v>18726366.687293023</x:v>
      </x:c>
      <x:c r="P1550" s="78" t="n">
        <x:f>I1550+L1550*(1-'Inputs'!$B$17)</x:f>
        <x:v>601.8854190847538</x:v>
      </x:c>
      <x:c r="Q1550" s="78" t="n">
        <x:f>IF(J1550&gt;0,M1550/J1550,0)</x:f>
        <x:v>0</x:v>
      </x:c>
      <x:c r="R1550" s="78" t="n">
        <x:f>IF(B1550='Inputs'!$H$48,'Inputs'!$B$27*'Inputs'!$I$48,0)</x:f>
        <x:v>0</x:v>
      </x:c>
      <x:c r="S1550" s="78" t="n">
        <x:f>Q1550+G1550+R1550</x:f>
        <x:v>234452.1427566149</x:v>
      </x:c>
      <x:c r="T1550" s="78" t="n">
        <x:f>P1550*(S1550*(1-'Inputs'!$B$15))/(O1550+S1550*(1-'Inputs'!$B$15))</x:f>
        <x:v>7.368852084941511</x:v>
      </x:c>
      <x:c r="U1550" s="78" t="n">
        <x:f>O1550+S1550*(1-'Inputs'!$B$17)</x:f>
        <x:v>18959875.36066229</x:v>
      </x:c>
      <x:c r="V1550" s="78" t="n">
        <x:f>P1550-T1550</x:f>
        <x:v>594.5165669998123</x:v>
      </x:c>
      <x:c r="W1550" s="79" t="n">
        <x:f>IF(U1550&gt;0,V1550/U1550,0)</x:f>
        <x:v>0.000031356565150913795</x:v>
      </x:c>
      <x:c r="X1550" s="80" t="n">
        <x:f>W1550*('Inputs'!$B$6-AC1550)</x:f>
        <x:v>31322.63586417865</x:v>
      </x:c>
      <x:c r="Y1550" s="80" t="n">
        <x:f>2*V1550</x:f>
        <x:v>1189.0331339996246</x:v>
      </x:c>
      <x:c r="Z1550" s="80" t="n">
        <x:f>K1550*'Inputs'!$B$16+(G1550+R1550)*J1550*'Inputs'!$B$16</x:f>
        <x:v>2.2120007618325785</x:v>
      </x:c>
      <x:c r="AA1550" s="80" t="n">
        <x:f>K1550*(1+'Inputs'!$E$48)/2*'Inputs'!$B$17</x:f>
        <x:v>0.7266222363196224</x:v>
      </x:c>
      <x:c r="AB1550" s="78" t="n">
        <x:f>(IF(J1550&gt;0,K1550*(1-'Inputs'!$E$48)/2/J1550,0)+G1550+R1550)*'Inputs'!$B$17</x:f>
        <x:v>23550.75311446488</x:v>
      </x:c>
      <x:c r="AC1550" s="78" t="n">
        <x:f>AC1549+AB1550</x:f>
        <x:v>1082047.3024341331</x:v>
      </x:c>
      <x:c r="AD1550" s="80" t="n">
        <x:f>Z1550/(1+'Inputs'!$C$48)</x:f>
        <x:v>1.7696006094660628</x:v>
      </x:c>
      <x:c r="AE1550" s="80" t="n">
        <x:f>Z1550-AD1550</x:f>
        <x:v>0.44240015236651575</x:v>
      </x:c>
      <x:c r="AF1550" s="80" t="n">
        <x:f>D1550*W1550</x:f>
        <x:v>9.190131748029383</x:v>
      </x:c>
      <x:c r="AG1550" s="80" t="n">
        <x:f>C1550*W1550</x:f>
        <x:v>5.360910186350444</x:v>
      </x:c>
      <x:c r="AH1550" s="80" t="n">
        <x:f>2*'Inputs'!$B$8*'Inputs'!$C$48</x:f>
        <x:v>1250</x:v>
      </x:c>
      <x:c r="AI1550" s="81" t="n">
        <x:f>IF(AH1550&gt;0,(AE1550+AF1550)/AH1550*365,0)</x:f>
        <x:v>2.8126993149156023</x:v>
      </x:c>
      <x:c r="AJ1550" s="81" t="n">
        <x:f>IF('Inputs'!$B$48&gt;0,AG1550/('Inputs'!$B$19*'Inputs'!$B$48)*365,0)</x:f>
        <x:v>0.7826928872071648</x:v>
      </x:c>
      <x:c r="AK1550" s="81" t="n">
        <x:f>W1550/MAX($W$1464:W1550)-1</x:f>
        <x:v>-0.9631252090482203</x:v>
      </x:c>
      <x:c r="AL1550" s="83" t="n">
        <x:f>'Inputs'!$B$48</x:f>
        <x:v>0.25</x:v>
      </x:c>
      <x:c r="AM1550" s="83" t="n">
        <x:f>'Inputs'!$C$48</x:f>
        <x:v>0.25</x:v>
      </x:c>
      <x:c r="AN1550" s="83" t="n">
        <x:f>'Inputs'!$D$48</x:f>
        <x:v>0.3</x:v>
      </x:c>
      <x:c r="AO1550" s="81" t="n">
        <x:f>'Inputs'!$E$48</x:f>
        <x:v>0</x:v>
      </x:c>
    </x:row>
    <x:row r="1551">
      <x:c r="A1551" s="59" t="str">
        <x:v>Low participation</x:v>
      </x:c>
      <x:c r="B1551" s="59" t="n">
        <x:v>88</x:v>
      </x:c>
      <x:c r="C1551" s="78" t="n">
        <x:f>(('Inputs'!$B$29*(3*88*'Inputs'!$B$12-88^2)/(2*'Inputs'!$B$12^2))-('Inputs'!$B$29*(3*87*'Inputs'!$B$12-87^2)/(2*'Inputs'!$B$12^2)))*'Inputs'!$B$48</x:f>
        <x:v>170884.8400262706</x:v>
      </x:c>
      <x:c r="D1551" s="78" t="n">
        <x:f>IF('Inputs'!$C$48&gt;0,('Inputs'!$B$30*(3*88*'Inputs'!$B$12-88^2)/(2*'Inputs'!$B$12^2))-('Inputs'!$B$30*(3*87*'Inputs'!$B$12-87^2)/(2*'Inputs'!$B$12^2)),0)</x:f>
        <x:v>292945.4400450364</x:v>
      </x:c>
      <x:c r="E1551" s="78" t="n">
        <x:f>C1551+D1551</x:f>
        <x:v>463830.280071307</x:v>
      </x:c>
      <x:c r="F1551" s="78" t="n">
        <x:f>'Inputs'!$B$13*E1551+(1-'Inputs'!$B$13)/'Inputs'!$B$14*SUM(E1496:E1551)</x:f>
        <x:v>468683.67658097175</x:v>
      </x:c>
      <x:c r="G1551" s="78" t="n">
        <x:f>F1551*'Inputs'!$F$48</x:f>
        <x:v>234341.83829048587</x:v>
      </x:c>
      <x:c r="H1551" s="78" t="n">
        <x:f>U1550</x:f>
        <x:v>18959875.36066229</x:v>
      </x:c>
      <x:c r="I1551" s="78" t="n">
        <x:f>V1550</x:f>
        <x:v>594.5165669998123</x:v>
      </x:c>
      <x:c r="J1551" s="79" t="n">
        <x:f>IF(H1551&gt;0,I1551/H1551,0)</x:f>
        <x:v>0.000031356565150913795</x:v>
      </x:c>
      <x:c r="K1551" s="80" t="n">
        <x:f>(H1551*J1551+I1551)*'Inputs'!$D$48*(1+'Inputs'!$G$48)^(B1551/30)</x:f>
        <x:v>356.7099401998874</x:v>
      </x:c>
      <x:c r="L1551" s="80" t="n">
        <x:f>MAX(0,K1551*'Inputs'!$E$48)</x:f>
        <x:v>0</x:v>
      </x:c>
      <x:c r="M1551" s="80" t="n">
        <x:f>MAX(0,-K1551*'Inputs'!$E$48)</x:f>
        <x:v>0</x:v>
      </x:c>
      <x:c r="N1551" s="78" t="n">
        <x:f>H1551*(L1551*(1-'Inputs'!$B$15))/(I1551+L1551*(1-'Inputs'!$B$15))</x:f>
        <x:v>0</x:v>
      </x:c>
      <x:c r="O1551" s="78" t="n">
        <x:f>H1551-N1551</x:f>
        <x:v>18959875.36066229</x:v>
      </x:c>
      <x:c r="P1551" s="78" t="n">
        <x:f>I1551+L1551*(1-'Inputs'!$B$17)</x:f>
        <x:v>594.5165669998123</x:v>
      </x:c>
      <x:c r="Q1551" s="78" t="n">
        <x:f>IF(J1551&gt;0,M1551/J1551,0)</x:f>
        <x:v>0</x:v>
      </x:c>
      <x:c r="R1551" s="78" t="n">
        <x:f>IF(B1551='Inputs'!$H$48,'Inputs'!$B$27*'Inputs'!$I$48,0)</x:f>
        <x:v>0</x:v>
      </x:c>
      <x:c r="S1551" s="78" t="n">
        <x:f>Q1551+G1551+R1551</x:f>
        <x:v>234341.83829048587</x:v>
      </x:c>
      <x:c r="T1551" s="78" t="n">
        <x:f>P1551*(S1551*(1-'Inputs'!$B$15))/(O1551+S1551*(1-'Inputs'!$B$15))</x:f>
        <x:v>7.186734642475356</x:v>
      </x:c>
      <x:c r="U1551" s="78" t="n">
        <x:f>O1551+S1551*(1-'Inputs'!$B$17)</x:f>
        <x:v>19193274.173446577</x:v>
      </x:c>
      <x:c r="V1551" s="78" t="n">
        <x:f>P1551-T1551</x:f>
        <x:v>587.329832357337</x:v>
      </x:c>
      <x:c r="W1551" s="79" t="n">
        <x:f>IF(U1551&gt;0,V1551/U1551,0)</x:f>
        <x:v>0.000030600815006847205</x:v>
      </x:c>
      <x:c r="X1551" s="80" t="n">
        <x:f>W1551*('Inputs'!$B$6-AC1551)</x:f>
        <x:v>30566.974192435147</x:v>
      </x:c>
      <x:c r="Y1551" s="80" t="n">
        <x:f>2*V1551</x:f>
        <x:v>1174.659664714674</x:v>
      </x:c>
      <x:c r="Z1551" s="80" t="n">
        <x:f>K1551*'Inputs'!$B$16+(G1551+R1551)*J1551*'Inputs'!$B$16</x:f>
        <x:v>2.1843485719189677</x:v>
      </x:c>
      <x:c r="AA1551" s="80" t="n">
        <x:f>K1551*(1+'Inputs'!$E$48)/2*'Inputs'!$B$17</x:f>
        <x:v>0.7177262378267353</x:v>
      </x:c>
      <x:c r="AB1551" s="78" t="n">
        <x:f>(IF(J1551&gt;0,K1551*(1-'Inputs'!$E$48)/2/J1551,0)+G1551+R1551)*'Inputs'!$B$17</x:f>
        <x:v>23832.211052270315</x:v>
      </x:c>
      <x:c r="AC1551" s="78" t="n">
        <x:f>AC1550+AB1551</x:f>
        <x:v>1105879.5134864035</x:v>
      </x:c>
      <x:c r="AD1551" s="80" t="n">
        <x:f>Z1551/(1+'Inputs'!$C$48)</x:f>
        <x:v>1.747478857535174</x:v>
      </x:c>
      <x:c r="AE1551" s="80" t="n">
        <x:f>Z1551-AD1551</x:f>
        <x:v>0.43686971438379363</x:v>
      </x:c>
      <x:c r="AF1551" s="80" t="n">
        <x:f>D1551*W1551</x:f>
        <x:v>8.964369217917607</x:v>
      </x:c>
      <x:c r="AG1551" s="80" t="n">
        <x:f>C1551*W1551</x:f>
        <x:v>5.229215377118585</x:v>
      </x:c>
      <x:c r="AH1551" s="80" t="n">
        <x:f>2*'Inputs'!$B$8*'Inputs'!$C$48</x:f>
        <x:v>1250</x:v>
      </x:c>
      <x:c r="AI1551" s="81" t="n">
        <x:f>IF(AH1551&gt;0,(AE1551+AF1551)/AH1551*365,0)</x:f>
        <x:v>2.7451617682320086</x:v>
      </x:c>
      <x:c r="AJ1551" s="81" t="n">
        <x:f>IF('Inputs'!$B$48&gt;0,AG1551/('Inputs'!$B$19*'Inputs'!$B$48)*365,0)</x:f>
        <x:v>0.7634654450593135</x:v>
      </x:c>
      <x:c r="AK1551" s="81" t="n">
        <x:f>W1551/MAX($W$1464:W1551)-1</x:f>
        <x:v>-0.9640139584517379</x:v>
      </x:c>
      <x:c r="AL1551" s="83" t="n">
        <x:f>'Inputs'!$B$48</x:f>
        <x:v>0.25</x:v>
      </x:c>
      <x:c r="AM1551" s="83" t="n">
        <x:f>'Inputs'!$C$48</x:f>
        <x:v>0.25</x:v>
      </x:c>
      <x:c r="AN1551" s="83" t="n">
        <x:f>'Inputs'!$D$48</x:f>
        <x:v>0.3</x:v>
      </x:c>
      <x:c r="AO1551" s="81" t="n">
        <x:f>'Inputs'!$E$48</x:f>
        <x:v>0</x:v>
      </x:c>
    </x:row>
    <x:row r="1552">
      <x:c r="A1552" s="59" t="str">
        <x:v>Low participation</x:v>
      </x:c>
      <x:c r="B1552" s="59" t="n">
        <x:v>89</x:v>
      </x:c>
      <x:c r="C1552" s="78" t="n">
        <x:f>(('Inputs'!$B$29*(3*89*'Inputs'!$B$12-89^2)/(2*'Inputs'!$B$12^2))-('Inputs'!$B$29*(3*88*'Inputs'!$B$12-88^2)/(2*'Inputs'!$B$12^2)))*'Inputs'!$B$48</x:f>
        <x:v>170803.56305122934</x:v>
      </x:c>
      <x:c r="D1552" s="78" t="n">
        <x:f>IF('Inputs'!$C$48&gt;0,('Inputs'!$B$30*(3*89*'Inputs'!$B$12-89^2)/(2*'Inputs'!$B$12^2))-('Inputs'!$B$30*(3*88*'Inputs'!$B$12-88^2)/(2*'Inputs'!$B$12^2)),0)</x:f>
        <x:v>292806.10808781907</x:v>
      </x:c>
      <x:c r="E1552" s="78" t="n">
        <x:f>C1552+D1552</x:f>
        <x:v>463609.6711390484</x:v>
      </x:c>
      <x:c r="F1552" s="78" t="n">
        <x:f>'Inputs'!$B$13*E1552+(1-'Inputs'!$B$13)/'Inputs'!$B$14*SUM(E1497:E1552)</x:f>
        <x:v>468463.0676487142</x:v>
      </x:c>
      <x:c r="G1552" s="78" t="n">
        <x:f>F1552*'Inputs'!$F$48</x:f>
        <x:v>234231.5338243571</x:v>
      </x:c>
      <x:c r="H1552" s="78" t="n">
        <x:f>U1551</x:f>
        <x:v>19193274.173446577</x:v>
      </x:c>
      <x:c r="I1552" s="78" t="n">
        <x:f>V1551</x:f>
        <x:v>587.329832357337</x:v>
      </x:c>
      <x:c r="J1552" s="79" t="n">
        <x:f>IF(H1552&gt;0,I1552/H1552,0)</x:f>
        <x:v>0.000030600815006847205</x:v>
      </x:c>
      <x:c r="K1552" s="80" t="n">
        <x:f>(H1552*J1552+I1552)*'Inputs'!$D$48*(1+'Inputs'!$G$48)^(B1552/30)</x:f>
        <x:v>352.39789941440216</x:v>
      </x:c>
      <x:c r="L1552" s="80" t="n">
        <x:f>MAX(0,K1552*'Inputs'!$E$48)</x:f>
        <x:v>0</x:v>
      </x:c>
      <x:c r="M1552" s="80" t="n">
        <x:f>MAX(0,-K1552*'Inputs'!$E$48)</x:f>
        <x:v>0</x:v>
      </x:c>
      <x:c r="N1552" s="78" t="n">
        <x:f>H1552*(L1552*(1-'Inputs'!$B$15))/(I1552+L1552*(1-'Inputs'!$B$15))</x:f>
        <x:v>0</x:v>
      </x:c>
      <x:c r="O1552" s="78" t="n">
        <x:f>H1552-N1552</x:f>
        <x:v>19193274.173446577</x:v>
      </x:c>
      <x:c r="P1552" s="78" t="n">
        <x:f>I1552+L1552*(1-'Inputs'!$B$17)</x:f>
        <x:v>587.329832357337</x:v>
      </x:c>
      <x:c r="Q1552" s="78" t="n">
        <x:f>IF(J1552&gt;0,M1552/J1552,0)</x:f>
        <x:v>0</x:v>
      </x:c>
      <x:c r="R1552" s="78" t="n">
        <x:f>IF(B1552='Inputs'!$H$48,'Inputs'!$B$27*'Inputs'!$I$48,0)</x:f>
        <x:v>0</x:v>
      </x:c>
      <x:c r="S1552" s="78" t="n">
        <x:f>Q1552+G1552+R1552</x:f>
        <x:v>234231.5338243571</x:v>
      </x:c>
      <x:c r="T1552" s="78" t="n">
        <x:f>P1552*(S1552*(1-'Inputs'!$B$15))/(O1552+S1552*(1-'Inputs'!$B$15))</x:f>
        <x:v>7.0112901019656375</x:v>
      </x:c>
      <x:c r="U1552" s="78" t="n">
        <x:f>O1552+S1552*(1-'Inputs'!$B$17)</x:f>
        <x:v>19426563.125645887</x:v>
      </x:c>
      <x:c r="V1552" s="78" t="n">
        <x:f>P1552-T1552</x:f>
        <x:v>580.3185422553713</x:v>
      </x:c>
      <x:c r="W1552" s="79" t="n">
        <x:f>IF(U1552&gt;0,V1552/U1552,0)</x:f>
        <x:v>0.000029872424602438632</x:v>
      </x:c>
      <x:c r="X1552" s="80" t="n">
        <x:f>W1552*('Inputs'!$B$6-AC1552)</x:f>
        <x:v>29838.66897025577</x:v>
      </x:c>
      <x:c r="Y1552" s="80" t="n">
        <x:f>2*V1552</x:f>
        <x:v>1160.6370845107426</x:v>
      </x:c>
      <x:c r="Z1552" s="80" t="n">
        <x:f>K1552*'Inputs'!$B$16+(G1552+R1552)*J1552*'Inputs'!$B$16</x:f>
        <x:v>2.1573934514983883</x:v>
      </x:c>
      <x:c r="AA1552" s="80" t="n">
        <x:f>K1552*(1+'Inputs'!$E$48)/2*'Inputs'!$B$17</x:f>
        <x:v>0.7090500994253566</x:v>
      </x:c>
      <x:c r="AB1552" s="78" t="n">
        <x:f>(IF(J1552&gt;0,K1552*(1-'Inputs'!$E$48)/2/J1552,0)+G1552+R1552)*'Inputs'!$B$17</x:f>
        <x:v>24113.536361602943</x:v>
      </x:c>
      <x:c r="AC1552" s="78" t="n">
        <x:f>AC1551+AB1552</x:f>
        <x:v>1129993.0498480063</x:v>
      </x:c>
      <x:c r="AD1552" s="80" t="n">
        <x:f>Z1552/(1+'Inputs'!$C$48)</x:f>
        <x:v>1.7259147611987107</x:v>
      </x:c>
      <x:c r="AE1552" s="80" t="n">
        <x:f>Z1552-AD1552</x:f>
        <x:v>0.43147869029967767</x:v>
      </x:c>
      <x:c r="AF1552" s="80" t="n">
        <x:f>D1552*W1552</x:f>
        <x:v>8.746828386986872</x:v>
      </x:c>
      <x:c r="AG1552" s="80" t="n">
        <x:f>C1552*W1552</x:f>
        <x:v>5.102316559075722</x:v>
      </x:c>
      <x:c r="AH1552" s="80" t="n">
        <x:f>2*'Inputs'!$B$8*'Inputs'!$C$48</x:f>
        <x:v>1250</x:v>
      </x:c>
      <x:c r="AI1552" s="81" t="n">
        <x:f>IF(AH1552&gt;0,(AE1552+AF1552)/AH1552*365,0)</x:f>
        <x:v>2.680065666567672</x:v>
      </x:c>
      <x:c r="AJ1552" s="81" t="n">
        <x:f>IF('Inputs'!$B$48&gt;0,AG1552/('Inputs'!$B$19*'Inputs'!$B$48)*365,0)</x:f>
        <x:v>0.7449382176250554</x:v>
      </x:c>
      <x:c r="AK1552" s="81" t="n">
        <x:f>W1552/MAX($W$1464:W1552)-1</x:f>
        <x:v>-0.9648705332635701</x:v>
      </x:c>
      <x:c r="AL1552" s="83" t="n">
        <x:f>'Inputs'!$B$48</x:f>
        <x:v>0.25</x:v>
      </x:c>
      <x:c r="AM1552" s="83" t="n">
        <x:f>'Inputs'!$C$48</x:f>
        <x:v>0.25</x:v>
      </x:c>
      <x:c r="AN1552" s="83" t="n">
        <x:f>'Inputs'!$D$48</x:f>
        <x:v>0.3</x:v>
      </x:c>
      <x:c r="AO1552" s="81" t="n">
        <x:f>'Inputs'!$E$48</x:f>
        <x:v>0</x:v>
      </x:c>
    </x:row>
    <x:row r="1553">
      <x:c r="A1553" s="59" t="str">
        <x:v>Low participation</x:v>
      </x:c>
      <x:c r="B1553" s="59" t="n">
        <x:v>90</x:v>
      </x:c>
      <x:c r="C1553" s="78" t="n">
        <x:f>(('Inputs'!$B$29*(3*90*'Inputs'!$B$12-90^2)/(2*'Inputs'!$B$12^2))-('Inputs'!$B$29*(3*89*'Inputs'!$B$12-89^2)/(2*'Inputs'!$B$12^2)))*'Inputs'!$B$48</x:f>
        <x:v>170722.2860761881</x:v>
      </x:c>
      <x:c r="D1553" s="78" t="n">
        <x:f>IF('Inputs'!$C$48&gt;0,('Inputs'!$B$30*(3*90*'Inputs'!$B$12-90^2)/(2*'Inputs'!$B$12^2))-('Inputs'!$B$30*(3*89*'Inputs'!$B$12-89^2)/(2*'Inputs'!$B$12^2)),0)</x:f>
        <x:v>292666.7761306055</x:v>
      </x:c>
      <x:c r="E1553" s="78" t="n">
        <x:f>C1553+D1553</x:f>
        <x:v>463389.0622067936</x:v>
      </x:c>
      <x:c r="F1553" s="78" t="n">
        <x:f>'Inputs'!$B$13*E1553+(1-'Inputs'!$B$13)/'Inputs'!$B$14*SUM(E1498:E1553)</x:f>
        <x:v>468242.45871645724</x:v>
      </x:c>
      <x:c r="G1553" s="78" t="n">
        <x:f>F1553*'Inputs'!$F$48</x:f>
        <x:v>234121.22935822862</x:v>
      </x:c>
      <x:c r="H1553" s="78" t="n">
        <x:f>U1552</x:f>
        <x:v>19426563.125645887</x:v>
      </x:c>
      <x:c r="I1553" s="78" t="n">
        <x:f>V1552</x:f>
        <x:v>580.3185422553713</x:v>
      </x:c>
      <x:c r="J1553" s="79" t="n">
        <x:f>IF(H1553&gt;0,I1553/H1553,0)</x:f>
        <x:v>0.000029872424602438632</x:v>
      </x:c>
      <x:c r="K1553" s="80" t="n">
        <x:f>(H1553*J1553+I1553)*'Inputs'!$D$48*(1+'Inputs'!$G$48)^(B1553/30)</x:f>
        <x:v>348.1911253532228</x:v>
      </x:c>
      <x:c r="L1553" s="80" t="n">
        <x:f>MAX(0,K1553*'Inputs'!$E$48)</x:f>
        <x:v>0</x:v>
      </x:c>
      <x:c r="M1553" s="80" t="n">
        <x:f>MAX(0,-K1553*'Inputs'!$E$48)</x:f>
        <x:v>0</x:v>
      </x:c>
      <x:c r="N1553" s="78" t="n">
        <x:f>H1553*(L1553*(1-'Inputs'!$B$15))/(I1553+L1553*(1-'Inputs'!$B$15))</x:f>
        <x:v>0</x:v>
      </x:c>
      <x:c r="O1553" s="78" t="n">
        <x:f>H1553-N1553</x:f>
        <x:v>19426563.125645887</x:v>
      </x:c>
      <x:c r="P1553" s="78" t="n">
        <x:f>I1553+L1553*(1-'Inputs'!$B$17)</x:f>
        <x:v>580.3185422553713</x:v>
      </x:c>
      <x:c r="Q1553" s="78" t="n">
        <x:f>IF(J1553&gt;0,M1553/J1553,0)</x:f>
        <x:v>0</x:v>
      </x:c>
      <x:c r="R1553" s="78" t="n">
        <x:f>IF(B1553='Inputs'!$H$48,'Inputs'!$B$27*'Inputs'!$I$48,0)</x:f>
        <x:v>0</x:v>
      </x:c>
      <x:c r="S1553" s="78" t="n">
        <x:f>Q1553+G1553+R1553</x:f>
        <x:v>234121.22935822862</x:v>
      </x:c>
      <x:c r="T1553" s="78" t="n">
        <x:f>P1553*(S1553*(1-'Inputs'!$B$15))/(O1553+S1553*(1-'Inputs'!$B$15))</x:f>
        <x:v>6.842196244639092</x:v>
      </x:c>
      <x:c r="U1553" s="78" t="n">
        <x:f>O1553+S1553*(1-'Inputs'!$B$17)</x:f>
        <x:v>19659742.21726022</x:v>
      </x:c>
      <x:c r="V1553" s="78" t="n">
        <x:f>P1553-T1553</x:f>
        <x:v>573.4763460107322</x:v>
      </x:c>
      <x:c r="W1553" s="79" t="n">
        <x:f>IF(U1553&gt;0,V1553/U1553,0)</x:f>
        <x:v>0.000029170084717959837</x:v>
      </x:c>
      <x:c r="X1553" s="80" t="n">
        <x:f>W1553*('Inputs'!$B$6-AC1553)</x:f>
        <x:v>29136.411128652224</x:v>
      </x:c>
      <x:c r="Y1553" s="80" t="n">
        <x:f>2*V1553</x:f>
        <x:v>1146.9526920214644</x:v>
      </x:c>
      <x:c r="Z1553" s="80" t="n">
        <x:f>K1553*'Inputs'!$B$16+(G1553+R1553)*J1553*'Inputs'!$B$16</x:f>
        <x:v>2.1311093647503405</x:v>
      </x:c>
      <x:c r="AA1553" s="80" t="n">
        <x:f>K1553*(1+'Inputs'!$E$48)/2*'Inputs'!$B$17</x:f>
        <x:v>0.700585765298235</x:v>
      </x:c>
      <x:c r="AB1553" s="78" t="n">
        <x:f>(IF(J1553&gt;0,K1553*(1-'Inputs'!$E$48)/2/J1553,0)+G1553+R1553)*'Inputs'!$B$17</x:f>
        <x:v>24394.72904246276</x:v>
      </x:c>
      <x:c r="AC1553" s="78" t="n">
        <x:f>AC1552+AB1553</x:f>
        <x:v>1154387.778890469</x:v>
      </x:c>
      <x:c r="AD1553" s="80" t="n">
        <x:f>Z1553/(1+'Inputs'!$C$48)</x:f>
        <x:v>1.7048874918002723</x:v>
      </x:c>
      <x:c r="AE1553" s="80" t="n">
        <x:f>Z1553-AD1553</x:f>
        <x:v>0.4262218729500682</x:v>
      </x:c>
      <x:c r="AF1553" s="80" t="n">
        <x:f>D1553*W1553</x:f>
        <x:v>8.537114653861948</x:v>
      </x:c>
      <x:c r="AG1553" s="80" t="n">
        <x:f>C1553*W1553</x:f>
        <x:v>4.979983548086182</x:v>
      </x:c>
      <x:c r="AH1553" s="80" t="n">
        <x:f>2*'Inputs'!$B$8*'Inputs'!$C$48</x:f>
        <x:v>1250</x:v>
      </x:c>
      <x:c r="AI1553" s="81" t="n">
        <x:f>IF(AH1553&gt;0,(AE1553+AF1553)/AH1553*365,0)</x:f>
        <x:v>2.6172942658291087</x:v>
      </x:c>
      <x:c r="AJ1553" s="81" t="n">
        <x:f>IF('Inputs'!$B$48&gt;0,AG1553/('Inputs'!$B$19*'Inputs'!$B$48)*365,0)</x:f>
        <x:v>0.7270775980205826</x:v>
      </x:c>
      <x:c r="AK1553" s="81" t="n">
        <x:f>W1553/MAX($W$1464:W1553)-1</x:f>
        <x:v>-0.9656964731040024</x:v>
      </x:c>
      <x:c r="AL1553" s="83" t="n">
        <x:f>'Inputs'!$B$48</x:f>
        <x:v>0.25</x:v>
      </x:c>
      <x:c r="AM1553" s="83" t="n">
        <x:f>'Inputs'!$C$48</x:f>
        <x:v>0.25</x:v>
      </x:c>
      <x:c r="AN1553" s="83" t="n">
        <x:f>'Inputs'!$D$48</x:f>
        <x:v>0.3</x:v>
      </x:c>
      <x:c r="AO1553" s="81" t="n">
        <x:f>'Inputs'!$E$48</x:f>
        <x:v>0</x:v>
      </x:c>
    </x:row>
    <x:row r="1554">
      <x:c r="A1554" s="59" t="str">
        <x:v>Low participation</x:v>
      </x:c>
      <x:c r="B1554" s="59" t="n">
        <x:v>91</x:v>
      </x:c>
      <x:c r="C1554" s="78" t="n">
        <x:f>(('Inputs'!$B$29*(3*91*'Inputs'!$B$12-91^2)/(2*'Inputs'!$B$12^2))-('Inputs'!$B$29*(3*90*'Inputs'!$B$12-90^2)/(2*'Inputs'!$B$12^2)))*'Inputs'!$B$48</x:f>
        <x:v>170641.00910114497</x:v>
      </x:c>
      <x:c r="D1554" s="78" t="n">
        <x:f>IF('Inputs'!$C$48&gt;0,('Inputs'!$B$30*(3*91*'Inputs'!$B$12-91^2)/(2*'Inputs'!$B$12^2))-('Inputs'!$B$30*(3*90*'Inputs'!$B$12-90^2)/(2*'Inputs'!$B$12^2)),0)</x:f>
        <x:v>292527.4441733919</x:v>
      </x:c>
      <x:c r="E1554" s="78" t="n">
        <x:f>C1554+D1554</x:f>
        <x:v>463168.4532745369</x:v>
      </x:c>
      <x:c r="F1554" s="78" t="n">
        <x:f>'Inputs'!$B$13*E1554+(1-'Inputs'!$B$13)/'Inputs'!$B$14*SUM(E1499:E1554)</x:f>
        <x:v>468021.8497841999</x:v>
      </x:c>
      <x:c r="G1554" s="78" t="n">
        <x:f>F1554*'Inputs'!$F$48</x:f>
        <x:v>234010.92489209995</x:v>
      </x:c>
      <x:c r="H1554" s="78" t="n">
        <x:f>U1553</x:f>
        <x:v>19659742.21726022</x:v>
      </x:c>
      <x:c r="I1554" s="78" t="n">
        <x:f>V1553</x:f>
        <x:v>573.4763460107322</x:v>
      </x:c>
      <x:c r="J1554" s="79" t="n">
        <x:f>IF(H1554&gt;0,I1554/H1554,0)</x:f>
        <x:v>0.000029170084717959837</x:v>
      </x:c>
      <x:c r="K1554" s="80" t="n">
        <x:f>(H1554*J1554+I1554)*'Inputs'!$D$48*(1+'Inputs'!$G$48)^(B1554/30)</x:f>
        <x:v>344.0858076064393</x:v>
      </x:c>
      <x:c r="L1554" s="80" t="n">
        <x:f>MAX(0,K1554*'Inputs'!$E$48)</x:f>
        <x:v>0</x:v>
      </x:c>
      <x:c r="M1554" s="80" t="n">
        <x:f>MAX(0,-K1554*'Inputs'!$E$48)</x:f>
        <x:v>0</x:v>
      </x:c>
      <x:c r="N1554" s="78" t="n">
        <x:f>H1554*(L1554*(1-'Inputs'!$B$15))/(I1554+L1554*(1-'Inputs'!$B$15))</x:f>
        <x:v>0</x:v>
      </x:c>
      <x:c r="O1554" s="78" t="n">
        <x:f>H1554-N1554</x:f>
        <x:v>19659742.21726022</x:v>
      </x:c>
      <x:c r="P1554" s="78" t="n">
        <x:f>I1554+L1554*(1-'Inputs'!$B$17)</x:f>
        <x:v>573.4763460107322</x:v>
      </x:c>
      <x:c r="Q1554" s="78" t="n">
        <x:f>IF(J1554&gt;0,M1554/J1554,0)</x:f>
        <x:v>0</x:v>
      </x:c>
      <x:c r="R1554" s="78" t="n">
        <x:f>IF(B1554='Inputs'!$H$48,'Inputs'!$B$27*'Inputs'!$I$48,0)</x:f>
        <x:v>0</x:v>
      </x:c>
      <x:c r="S1554" s="78" t="n">
        <x:f>Q1554+G1554+R1554</x:f>
        <x:v>234010.92489209995</x:v>
      </x:c>
      <x:c r="T1554" s="78" t="n">
        <x:f>P1554*(S1554*(1-'Inputs'!$B$15))/(O1554+S1554*(1-'Inputs'!$B$15))</x:f>
        <x:v>6.679150074085209</x:v>
      </x:c>
      <x:c r="U1554" s="78" t="n">
        <x:f>O1554+S1554*(1-'Inputs'!$B$17)</x:f>
        <x:v>19892811.448289573</x:v>
      </x:c>
      <x:c r="V1554" s="78" t="n">
        <x:f>P1554-T1554</x:f>
        <x:v>566.797195936647</x:v>
      </x:c>
      <x:c r="W1554" s="79" t="n">
        <x:f>IF(U1554&gt;0,V1554/U1554,0)</x:f>
        <x:v>0.00002849256362832421</x:v>
      </x:c>
      <x:c r="X1554" s="80" t="n">
        <x:f>W1554*('Inputs'!$B$6-AC1554)</x:f>
        <x:v>28458.96908459155</x:v>
      </x:c>
      <x:c r="Y1554" s="80" t="n">
        <x:f>2*V1554</x:f>
        <x:v>1133.594391873294</x:v>
      </x:c>
      <x:c r="Z1554" s="80" t="n">
        <x:f>K1554*'Inputs'!$B$16+(G1554+R1554)*J1554*'Inputs'!$B$16</x:f>
        <x:v>2.10547155666282</x:v>
      </x:c>
      <x:c r="AA1554" s="80" t="n">
        <x:f>K1554*(1+'Inputs'!$E$48)/2*'Inputs'!$B$17</x:f>
        <x:v>0.6923255686246264</x:v>
      </x:c>
      <x:c r="AB1554" s="78" t="n">
        <x:f>(IF(J1554&gt;0,K1554*(1-'Inputs'!$E$48)/2/J1554,0)+G1554+R1554)*'Inputs'!$B$17</x:f>
        <x:v>24675.78909484976</x:v>
      </x:c>
      <x:c r="AC1554" s="78" t="n">
        <x:f>AC1553+AB1554</x:f>
        <x:v>1179063.5679853188</x:v>
      </x:c>
      <x:c r="AD1554" s="80" t="n">
        <x:f>Z1554/(1+'Inputs'!$C$48)</x:f>
        <x:v>1.684377245330256</x:v>
      </x:c>
      <x:c r="AE1554" s="80" t="n">
        <x:f>Z1554-AD1554</x:f>
        <x:v>0.42109431133256403</x:v>
      </x:c>
      <x:c r="AF1554" s="80" t="n">
        <x:f>D1554*W1554</x:f>
        <x:v>8.334856816141427</x:v>
      </x:c>
      <x:c r="AG1554" s="80" t="n">
        <x:f>C1554*W1554</x:f>
        <x:v>4.861999809415823</x:v>
      </x:c>
      <x:c r="AH1554" s="80" t="n">
        <x:f>2*'Inputs'!$B$8*'Inputs'!$C$48</x:f>
        <x:v>1250</x:v>
      </x:c>
      <x:c r="AI1554" s="81" t="n">
        <x:f>IF(AH1554&gt;0,(AE1554+AF1554)/AH1554*365,0)</x:f>
        <x:v>2.556737729222405</x:v>
      </x:c>
      <x:c r="AJ1554" s="81" t="n">
        <x:f>IF('Inputs'!$B$48&gt;0,AG1554/('Inputs'!$B$19*'Inputs'!$B$48)*365,0)</x:f>
        <x:v>0.7098519721747102</x:v>
      </x:c>
      <x:c r="AK1554" s="81" t="n">
        <x:f>W1554/MAX($W$1464:W1554)-1</x:f>
        <x:v>-0.9664932264609308</x:v>
      </x:c>
      <x:c r="AL1554" s="83" t="n">
        <x:f>'Inputs'!$B$48</x:f>
        <x:v>0.25</x:v>
      </x:c>
      <x:c r="AM1554" s="83" t="n">
        <x:f>'Inputs'!$C$48</x:f>
        <x:v>0.25</x:v>
      </x:c>
      <x:c r="AN1554" s="83" t="n">
        <x:f>'Inputs'!$D$48</x:f>
        <x:v>0.3</x:v>
      </x:c>
      <x:c r="AO1554" s="81" t="n">
        <x:f>'Inputs'!$E$48</x:f>
        <x:v>0</x:v>
      </x:c>
    </x:row>
    <x:row r="1555">
      <x:c r="A1555" s="59" t="str">
        <x:v>Low participation</x:v>
      </x:c>
      <x:c r="B1555" s="59" t="n">
        <x:v>92</x:v>
      </x:c>
      <x:c r="C1555" s="78" t="n">
        <x:f>(('Inputs'!$B$29*(3*92*'Inputs'!$B$12-92^2)/(2*'Inputs'!$B$12^2))-('Inputs'!$B$29*(3*91*'Inputs'!$B$12-91^2)/(2*'Inputs'!$B$12^2)))*'Inputs'!$B$48</x:f>
        <x:v>170559.73212610185</x:v>
      </x:c>
      <x:c r="D1555" s="78" t="n">
        <x:f>IF('Inputs'!$C$48&gt;0,('Inputs'!$B$30*(3*92*'Inputs'!$B$12-92^2)/(2*'Inputs'!$B$12^2))-('Inputs'!$B$30*(3*91*'Inputs'!$B$12-91^2)/(2*'Inputs'!$B$12^2)),0)</x:f>
        <x:v>292388.1122161746</x:v>
      </x:c>
      <x:c r="E1555" s="78" t="n">
        <x:f>C1555+D1555</x:f>
        <x:v>462947.84434227645</x:v>
      </x:c>
      <x:c r="F1555" s="78" t="n">
        <x:f>'Inputs'!$B$13*E1555+(1-'Inputs'!$B$13)/'Inputs'!$B$14*SUM(E1500:E1555)</x:f>
        <x:v>467801.24085194187</x:v>
      </x:c>
      <x:c r="G1555" s="78" t="n">
        <x:f>F1555*'Inputs'!$F$48</x:f>
        <x:v>233900.62042597093</x:v>
      </x:c>
      <x:c r="H1555" s="78" t="n">
        <x:f>U1554</x:f>
        <x:v>19892811.448289573</x:v>
      </x:c>
      <x:c r="I1555" s="78" t="n">
        <x:f>V1554</x:f>
        <x:v>566.797195936647</x:v>
      </x:c>
      <x:c r="J1555" s="79" t="n">
        <x:f>IF(H1555&gt;0,I1555/H1555,0)</x:f>
        <x:v>0.00002849256362832421</x:v>
      </x:c>
      <x:c r="K1555" s="80" t="n">
        <x:f>(H1555*J1555+I1555)*'Inputs'!$D$48*(1+'Inputs'!$G$48)^(B1555/30)</x:f>
        <x:v>340.0783175619882</x:v>
      </x:c>
      <x:c r="L1555" s="80" t="n">
        <x:f>MAX(0,K1555*'Inputs'!$E$48)</x:f>
        <x:v>0</x:v>
      </x:c>
      <x:c r="M1555" s="80" t="n">
        <x:f>MAX(0,-K1555*'Inputs'!$E$48)</x:f>
        <x:v>0</x:v>
      </x:c>
      <x:c r="N1555" s="78" t="n">
        <x:f>H1555*(L1555*(1-'Inputs'!$B$15))/(I1555+L1555*(1-'Inputs'!$B$15))</x:f>
        <x:v>0</x:v>
      </x:c>
      <x:c r="O1555" s="78" t="n">
        <x:f>H1555-N1555</x:f>
        <x:v>19892811.448289573</x:v>
      </x:c>
      <x:c r="P1555" s="78" t="n">
        <x:f>I1555+L1555*(1-'Inputs'!$B$17)</x:f>
        <x:v>566.797195936647</x:v>
      </x:c>
      <x:c r="Q1555" s="78" t="n">
        <x:f>IF(J1555&gt;0,M1555/J1555,0)</x:f>
        <x:v>0</x:v>
      </x:c>
      <x:c r="R1555" s="78" t="n">
        <x:f>IF(B1555='Inputs'!$H$48,'Inputs'!$B$27*'Inputs'!$I$48,0)</x:f>
        <x:v>0</x:v>
      </x:c>
      <x:c r="S1555" s="78" t="n">
        <x:f>Q1555+G1555+R1555</x:f>
        <x:v>233900.62042597093</x:v>
      </x:c>
      <x:c r="T1555" s="78" t="n">
        <x:f>P1555*(S1555*(1-'Inputs'!$B$15))/(O1555+S1555*(1-'Inputs'!$B$15))</x:f>
        <x:v>6.5218664561494295</x:v>
      </x:c>
      <x:c r="U1555" s="78" t="n">
        <x:f>O1555+S1555*(1-'Inputs'!$B$17)</x:f>
        <x:v>20125770.81873395</x:v>
      </x:c>
      <x:c r="V1555" s="78" t="n">
        <x:f>P1555-T1555</x:f>
        <x:v>560.2753294804976</x:v>
      </x:c>
      <x:c r="W1555" s="79" t="n">
        <x:f>IF(U1555&gt;0,V1555/U1555,0)</x:f>
        <x:v>0.000027838701659017638</x:v>
      </x:c>
      <x:c r="X1555" s="80" t="n">
        <x:f>W1555*('Inputs'!$B$6-AC1555)</x:f>
        <x:v>27805.183297525924</x:v>
      </x:c>
      <x:c r="Y1555" s="80" t="n">
        <x:f>2*V1555</x:f>
        <x:v>1120.5506589609952</x:v>
      </x:c>
      <x:c r="Z1555" s="80" t="n">
        <x:f>K1555*'Inputs'!$B$16+(G1555+R1555)*J1555*'Inputs'!$B$16</x:f>
        <x:v>2.080456475233078</x:v>
      </x:c>
      <x:c r="AA1555" s="80" t="n">
        <x:f>K1555*(1+'Inputs'!$E$48)/2*'Inputs'!$B$17</x:f>
        <x:v>0.6842622083742217</x:v>
      </x:c>
      <x:c r="AB1555" s="78" t="n">
        <x:f>(IF(J1555&gt;0,K1555*(1-'Inputs'!$E$48)/2/J1555,0)+G1555+R1555)*'Inputs'!$B$17</x:f>
        <x:v>24956.716518763962</x:v>
      </x:c>
      <x:c r="AC1555" s="78" t="n">
        <x:f>AC1554+AB1555</x:f>
        <x:v>1204020.2845040828</x:v>
      </x:c>
      <x:c r="AD1555" s="80" t="n">
        <x:f>Z1555/(1+'Inputs'!$C$48)</x:f>
        <x:v>1.6643651801864625</x:v>
      </x:c>
      <x:c r="AE1555" s="80" t="n">
        <x:f>Z1555-AD1555</x:f>
        <x:v>0.4160912950466156</x:v>
      </x:c>
      <x:c r="AF1555" s="80" t="n">
        <x:f>D1555*W1555</x:f>
        <x:v>8.139705424629454</x:v>
      </x:c>
      <x:c r="AG1555" s="80" t="n">
        <x:f>C1555*W1555</x:f>
        <x:v>4.748161497700515</x:v>
      </x:c>
      <x:c r="AH1555" s="80" t="n">
        <x:f>2*'Inputs'!$B$8*'Inputs'!$C$48</x:f>
        <x:v>1250</x:v>
      </x:c>
      <x:c r="AI1555" s="81" t="n">
        <x:f>IF(AH1555&gt;0,(AE1555+AF1555)/AH1555*365,0)</x:f>
        <x:v>2.4982926421454126</x:v>
      </x:c>
      <x:c r="AJ1555" s="81" t="n">
        <x:f>IF('Inputs'!$B$48&gt;0,AG1555/('Inputs'!$B$19*'Inputs'!$B$48)*365,0)</x:f>
        <x:v>0.6932315786642752</x:v>
      </x:c>
      <x:c r="AK1555" s="81" t="n">
        <x:f>W1555/MAX($W$1464:W1555)-1</x:f>
        <x:v>-0.9672621570919951</x:v>
      </x:c>
      <x:c r="AL1555" s="83" t="n">
        <x:f>'Inputs'!$B$48</x:f>
        <x:v>0.25</x:v>
      </x:c>
      <x:c r="AM1555" s="83" t="n">
        <x:f>'Inputs'!$C$48</x:f>
        <x:v>0.25</x:v>
      </x:c>
      <x:c r="AN1555" s="83" t="n">
        <x:f>'Inputs'!$D$48</x:f>
        <x:v>0.3</x:v>
      </x:c>
      <x:c r="AO1555" s="81" t="n">
        <x:f>'Inputs'!$E$48</x:f>
        <x:v>0</x:v>
      </x:c>
    </x:row>
    <x:row r="1556">
      <x:c r="A1556" s="59" t="str">
        <x:v>Low participation</x:v>
      </x:c>
      <x:c r="B1556" s="59" t="n">
        <x:v>93</x:v>
      </x:c>
      <x:c r="C1556" s="78" t="n">
        <x:f>(('Inputs'!$B$29*(3*93*'Inputs'!$B$12-93^2)/(2*'Inputs'!$B$12^2))-('Inputs'!$B$29*(3*92*'Inputs'!$B$12-92^2)/(2*'Inputs'!$B$12^2)))*'Inputs'!$B$48</x:f>
        <x:v>170478.4551510606</x:v>
      </x:c>
      <x:c r="D1556" s="78" t="n">
        <x:f>IF('Inputs'!$C$48&gt;0,('Inputs'!$B$30*(3*93*'Inputs'!$B$12-93^2)/(2*'Inputs'!$B$12^2))-('Inputs'!$B$30*(3*92*'Inputs'!$B$12-92^2)/(2*'Inputs'!$B$12^2)),0)</x:f>
        <x:v>292248.780258961</x:v>
      </x:c>
      <x:c r="E1556" s="78" t="n">
        <x:f>C1556+D1556</x:f>
        <x:v>462727.2354100216</x:v>
      </x:c>
      <x:c r="F1556" s="78" t="n">
        <x:f>'Inputs'!$B$13*E1556+(1-'Inputs'!$B$13)/'Inputs'!$B$14*SUM(E1501:E1556)</x:f>
        <x:v>467580.6319196849</x:v>
      </x:c>
      <x:c r="G1556" s="78" t="n">
        <x:f>F1556*'Inputs'!$F$48</x:f>
        <x:v>233790.31595984244</x:v>
      </x:c>
      <x:c r="H1556" s="78" t="n">
        <x:f>U1555</x:f>
        <x:v>20125770.81873395</x:v>
      </x:c>
      <x:c r="I1556" s="78" t="n">
        <x:f>V1555</x:f>
        <x:v>560.2753294804976</x:v>
      </x:c>
      <x:c r="J1556" s="79" t="n">
        <x:f>IF(H1556&gt;0,I1556/H1556,0)</x:f>
        <x:v>0.000027838701659017638</x:v>
      </x:c>
      <x:c r="K1556" s="80" t="n">
        <x:f>(H1556*J1556+I1556)*'Inputs'!$D$48*(1+'Inputs'!$G$48)^(B1556/30)</x:f>
        <x:v>336.1651976882985</x:v>
      </x:c>
      <x:c r="L1556" s="80" t="n">
        <x:f>MAX(0,K1556*'Inputs'!$E$48)</x:f>
        <x:v>0</x:v>
      </x:c>
      <x:c r="M1556" s="80" t="n">
        <x:f>MAX(0,-K1556*'Inputs'!$E$48)</x:f>
        <x:v>0</x:v>
      </x:c>
      <x:c r="N1556" s="78" t="n">
        <x:f>H1556*(L1556*(1-'Inputs'!$B$15))/(I1556+L1556*(1-'Inputs'!$B$15))</x:f>
        <x:v>0</x:v>
      </x:c>
      <x:c r="O1556" s="78" t="n">
        <x:f>H1556-N1556</x:f>
        <x:v>20125770.81873395</x:v>
      </x:c>
      <x:c r="P1556" s="78" t="n">
        <x:f>I1556+L1556*(1-'Inputs'!$B$17)</x:f>
        <x:v>560.2753294804976</x:v>
      </x:c>
      <x:c r="Q1556" s="78" t="n">
        <x:f>IF(J1556&gt;0,M1556/J1556,0)</x:f>
        <x:v>0</x:v>
      </x:c>
      <x:c r="R1556" s="78" t="n">
        <x:f>IF(B1556='Inputs'!$H$48,'Inputs'!$B$27*'Inputs'!$I$48,0)</x:f>
        <x:v>0</x:v>
      </x:c>
      <x:c r="S1556" s="78" t="n">
        <x:f>Q1556+G1556+R1556</x:f>
        <x:v>233790.31595984244</x:v>
      </x:c>
      <x:c r="T1556" s="78" t="n">
        <x:f>P1556*(S1556*(1-'Inputs'!$B$15))/(O1556+S1556*(1-'Inputs'!$B$15))</x:f>
        <x:v>6.370076869807942</x:v>
      </x:c>
      <x:c r="U1556" s="78" t="n">
        <x:f>O1556+S1556*(1-'Inputs'!$B$17)</x:f>
        <x:v>20358620.32859335</x:v>
      </x:c>
      <x:c r="V1556" s="78" t="n">
        <x:f>P1556-T1556</x:f>
        <x:v>553.9052526106897</x:v>
      </x:c>
      <x:c r="W1556" s="79" t="n">
        <x:f>IF(U1556&gt;0,V1556/U1556,0)</x:f>
        <x:v>0.00002720740618325392</x:v>
      </x:c>
      <x:c r="X1556" s="80" t="n">
        <x:f>W1556*('Inputs'!$B$6-AC1556)</x:f>
        <x:v>27173.96126709916</x:v>
      </x:c>
      <x:c r="Y1556" s="80" t="n">
        <x:f>2*V1556</x:f>
        <x:v>1107.8105052213793</x:v>
      </x:c>
      <x:c r="Z1556" s="80" t="n">
        <x:f>K1556*'Inputs'!$B$16+(G1556+R1556)*J1556*'Inputs'!$B$16</x:f>
        <x:v>2.0560416992704322</x:v>
      </x:c>
      <x:c r="AA1556" s="80" t="n">
        <x:f>K1556*(1+'Inputs'!$E$48)/2*'Inputs'!$B$17</x:f>
        <x:v>0.6763887277430555</x:v>
      </x:c>
      <x:c r="AB1556" s="78" t="n">
        <x:f>(IF(J1556&gt;0,K1556*(1-'Inputs'!$E$48)/2/J1556,0)+G1556+R1556)*'Inputs'!$B$17</x:f>
        <x:v>25237.511314205345</x:v>
      </x:c>
      <x:c r="AC1556" s="78" t="n">
        <x:f>AC1555+AB1556</x:f>
        <x:v>1229257.795818288</x:v>
      </x:c>
      <x:c r="AD1556" s="80" t="n">
        <x:f>Z1556/(1+'Inputs'!$C$48)</x:f>
        <x:v>1.6448333594163458</x:v>
      </x:c>
      <x:c r="AE1556" s="80" t="n">
        <x:f>Z1556-AD1556</x:f>
        <x:v>0.41120833985408645</x:v>
      </x:c>
      <x:c r="AF1556" s="80" t="n">
        <x:f>D1556*W1556</x:f>
        <x:v>7.951331271066072</x:v>
      </x:c>
      <x:c r="AG1556" s="80" t="n">
        <x:f>C1556*W1556</x:f>
        <x:v>4.638276574788542</x:v>
      </x:c>
      <x:c r="AH1556" s="80" t="n">
        <x:f>2*'Inputs'!$B$8*'Inputs'!$C$48</x:f>
        <x:v>1250</x:v>
      </x:c>
      <x:c r="AI1556" s="81" t="n">
        <x:f>IF(AH1556&gt;0,(AE1556+AF1556)/AH1556*365,0)</x:f>
        <x:v>2.4418615663886865</x:v>
      </x:c>
      <x:c r="AJ1556" s="81" t="n">
        <x:f>IF('Inputs'!$B$48&gt;0,AG1556/('Inputs'!$B$19*'Inputs'!$B$48)*365,0)</x:f>
        <x:v>0.6771883799191272</x:v>
      </x:c>
      <x:c r="AK1556" s="81" t="n">
        <x:f>W1556/MAX($W$1464:W1556)-1</x:f>
        <x:v>-0.9680045499078394</x:v>
      </x:c>
      <x:c r="AL1556" s="83" t="n">
        <x:f>'Inputs'!$B$48</x:f>
        <x:v>0.25</x:v>
      </x:c>
      <x:c r="AM1556" s="83" t="n">
        <x:f>'Inputs'!$C$48</x:f>
        <x:v>0.25</x:v>
      </x:c>
      <x:c r="AN1556" s="83" t="n">
        <x:f>'Inputs'!$D$48</x:f>
        <x:v>0.3</x:v>
      </x:c>
      <x:c r="AO1556" s="81" t="n">
        <x:f>'Inputs'!$E$48</x:f>
        <x:v>0</x:v>
      </x:c>
    </x:row>
    <x:row r="1557">
      <x:c r="A1557" s="59" t="str">
        <x:v>Low participation</x:v>
      </x:c>
      <x:c r="B1557" s="59" t="n">
        <x:v>94</x:v>
      </x:c>
      <x:c r="C1557" s="78" t="n">
        <x:f>(('Inputs'!$B$29*(3*94*'Inputs'!$B$12-94^2)/(2*'Inputs'!$B$12^2))-('Inputs'!$B$29*(3*93*'Inputs'!$B$12-93^2)/(2*'Inputs'!$B$12^2)))*'Inputs'!$B$48</x:f>
        <x:v>170397.17817601748</x:v>
      </x:c>
      <x:c r="D1557" s="78" t="n">
        <x:f>IF('Inputs'!$C$48&gt;0,('Inputs'!$B$30*(3*94*'Inputs'!$B$12-94^2)/(2*'Inputs'!$B$12^2))-('Inputs'!$B$30*(3*93*'Inputs'!$B$12-93^2)/(2*'Inputs'!$B$12^2)),0)</x:f>
        <x:v>292109.44830174744</x:v>
      </x:c>
      <x:c r="E1557" s="78" t="n">
        <x:f>C1557+D1557</x:f>
        <x:v>462506.6264777649</x:v>
      </x:c>
      <x:c r="F1557" s="78" t="n">
        <x:f>'Inputs'!$B$13*E1557+(1-'Inputs'!$B$13)/'Inputs'!$B$14*SUM(E1502:E1557)</x:f>
        <x:v>467360.02298742754</x:v>
      </x:c>
      <x:c r="G1557" s="78" t="n">
        <x:f>F1557*'Inputs'!$F$48</x:f>
        <x:v>233680.01149371377</x:v>
      </x:c>
      <x:c r="H1557" s="78" t="n">
        <x:f>U1556</x:f>
        <x:v>20358620.32859335</x:v>
      </x:c>
      <x:c r="I1557" s="78" t="n">
        <x:f>V1556</x:f>
        <x:v>553.9052526106897</x:v>
      </x:c>
      <x:c r="J1557" s="79" t="n">
        <x:f>IF(H1557&gt;0,I1557/H1557,0)</x:f>
        <x:v>0.00002720740618325392</x:v>
      </x:c>
      <x:c r="K1557" s="80" t="n">
        <x:f>(H1557*J1557+I1557)*'Inputs'!$D$48*(1+'Inputs'!$G$48)^(B1557/30)</x:f>
        <x:v>332.3431515664138</x:v>
      </x:c>
      <x:c r="L1557" s="80" t="n">
        <x:f>MAX(0,K1557*'Inputs'!$E$48)</x:f>
        <x:v>0</x:v>
      </x:c>
      <x:c r="M1557" s="80" t="n">
        <x:f>MAX(0,-K1557*'Inputs'!$E$48)</x:f>
        <x:v>0</x:v>
      </x:c>
      <x:c r="N1557" s="78" t="n">
        <x:f>H1557*(L1557*(1-'Inputs'!$B$15))/(I1557+L1557*(1-'Inputs'!$B$15))</x:f>
        <x:v>0</x:v>
      </x:c>
      <x:c r="O1557" s="78" t="n">
        <x:f>H1557-N1557</x:f>
        <x:v>20358620.32859335</x:v>
      </x:c>
      <x:c r="P1557" s="78" t="n">
        <x:f>I1557+L1557*(1-'Inputs'!$B$17)</x:f>
        <x:v>553.9052526106897</x:v>
      </x:c>
      <x:c r="Q1557" s="78" t="n">
        <x:f>IF(J1557&gt;0,M1557/J1557,0)</x:f>
        <x:v>0</x:v>
      </x:c>
      <x:c r="R1557" s="78" t="n">
        <x:f>IF(B1557='Inputs'!$H$48,'Inputs'!$B$27*'Inputs'!$I$48,0)</x:f>
        <x:v>0</x:v>
      </x:c>
      <x:c r="S1557" s="78" t="n">
        <x:f>Q1557+G1557+R1557</x:f>
        <x:v>233680.01149371377</x:v>
      </x:c>
      <x:c r="T1557" s="78" t="n">
        <x:f>P1557*(S1557*(1-'Inputs'!$B$15))/(O1557+S1557*(1-'Inputs'!$B$15))</x:f>
        <x:v>6.223528258792775</x:v>
      </x:c>
      <x:c r="U1557" s="78" t="n">
        <x:f>O1557+S1557*(1-'Inputs'!$B$17)</x:f>
        <x:v>20591359.977867775</x:v>
      </x:c>
      <x:c r="V1557" s="78" t="n">
        <x:f>P1557-T1557</x:f>
        <x:v>547.681724351897</x:v>
      </x:c>
      <x:c r="W1557" s="79" t="n">
        <x:f>IF(U1557&gt;0,V1557/U1557,0)</x:f>
        <x:v>0.000026597647019942445</x:v>
      </x:c>
      <x:c r="X1557" s="80" t="n">
        <x:f>W1557*('Inputs'!$B$6-AC1557)</x:f>
        <x:v>26564.272931621912</x:v>
      </x:c>
      <x:c r="Y1557" s="80" t="n">
        <x:f>2*V1557</x:f>
        <x:v>1095.363448703794</x:v>
      </x:c>
      <x:c r="Z1557" s="80" t="n">
        <x:f>K1557*'Inputs'!$B$16+(G1557+R1557)*J1557*'Inputs'!$B$16</x:f>
        <x:v>2.032205871336184</x:v>
      </x:c>
      <x:c r="AA1557" s="80" t="n">
        <x:f>K1557*(1+'Inputs'!$E$48)/2*'Inputs'!$B$17</x:f>
        <x:v>0.6686984940974121</x:v>
      </x:c>
      <x:c r="AB1557" s="78" t="n">
        <x:f>(IF(J1557&gt;0,K1557*(1-'Inputs'!$E$48)/2/J1557,0)+G1557+R1557)*'Inputs'!$B$17</x:f>
        <x:v>25518.173481173915</x:v>
      </x:c>
      <x:c r="AC1557" s="78" t="n">
        <x:f>AC1556+AB1557</x:f>
        <x:v>1254775.969299462</x:v>
      </x:c>
      <x:c r="AD1557" s="80" t="n">
        <x:f>Z1557/(1+'Inputs'!$C$48)</x:f>
        <x:v>1.6257646970689472</x:v>
      </x:c>
      <x:c r="AE1557" s="80" t="n">
        <x:f>Z1557-AD1557</x:f>
        <x:v>0.4064411742672367</x:v>
      </x:c>
      <x:c r="AF1557" s="80" t="n">
        <x:f>D1557*W1557</x:f>
        <x:v>7.769423997120004</x:v>
      </x:c>
      <x:c r="AG1557" s="80" t="n">
        <x:f>C1557*W1557</x:f>
        <x:v>4.5321639983199535</x:v>
      </x:c>
      <x:c r="AH1557" s="80" t="n">
        <x:f>2*'Inputs'!$B$8*'Inputs'!$C$48</x:f>
        <x:v>1250</x:v>
      </x:c>
      <x:c r="AI1557" s="81" t="n">
        <x:f>IF(AH1557&gt;0,(AE1557+AF1557)/AH1557*365,0)</x:f>
        <x:v>2.3873526300450743</x:v>
      </x:c>
      <x:c r="AJ1557" s="81" t="n">
        <x:f>IF('Inputs'!$B$48&gt;0,AG1557/('Inputs'!$B$19*'Inputs'!$B$48)*365,0)</x:f>
        <x:v>0.6616959437547132</x:v>
      </x:c>
      <x:c r="AK1557" s="81" t="n">
        <x:f>W1557/MAX($W$1464:W1557)-1</x:f>
        <x:v>-0.9687216163840248</x:v>
      </x:c>
      <x:c r="AL1557" s="83" t="n">
        <x:f>'Inputs'!$B$48</x:f>
        <x:v>0.25</x:v>
      </x:c>
      <x:c r="AM1557" s="83" t="n">
        <x:f>'Inputs'!$C$48</x:f>
        <x:v>0.25</x:v>
      </x:c>
      <x:c r="AN1557" s="83" t="n">
        <x:f>'Inputs'!$D$48</x:f>
        <x:v>0.3</x:v>
      </x:c>
      <x:c r="AO1557" s="81" t="n">
        <x:f>'Inputs'!$E$48</x:f>
        <x:v>0</x:v>
      </x:c>
    </x:row>
    <x:row r="1558">
      <x:c r="A1558" s="59" t="str">
        <x:v>Low participation</x:v>
      </x:c>
      <x:c r="B1558" s="59" t="n">
        <x:v>95</x:v>
      </x:c>
      <x:c r="C1558" s="78" t="n">
        <x:f>(('Inputs'!$B$29*(3*95*'Inputs'!$B$12-95^2)/(2*'Inputs'!$B$12^2))-('Inputs'!$B$29*(3*94*'Inputs'!$B$12-94^2)/(2*'Inputs'!$B$12^2)))*'Inputs'!$B$48</x:f>
        <x:v>170315.90120097622</x:v>
      </x:c>
      <x:c r="D1558" s="78" t="n">
        <x:f>IF('Inputs'!$C$48&gt;0,('Inputs'!$B$30*(3*95*'Inputs'!$B$12-95^2)/(2*'Inputs'!$B$12^2))-('Inputs'!$B$30*(3*94*'Inputs'!$B$12-94^2)/(2*'Inputs'!$B$12^2)),0)</x:f>
        <x:v>291970.11634453014</x:v>
      </x:c>
      <x:c r="E1558" s="78" t="n">
        <x:f>C1558+D1558</x:f>
        <x:v>462286.01754550636</x:v>
      </x:c>
      <x:c r="F1558" s="78" t="n">
        <x:f>'Inputs'!$B$13*E1558+(1-'Inputs'!$B$13)/'Inputs'!$B$14*SUM(E1503:E1558)</x:f>
        <x:v>467139.41405516997</x:v>
      </x:c>
      <x:c r="G1558" s="78" t="n">
        <x:f>F1558*'Inputs'!$F$48</x:f>
        <x:v>233569.70702758498</x:v>
      </x:c>
      <x:c r="H1558" s="78" t="n">
        <x:f>U1557</x:f>
        <x:v>20591359.977867775</x:v>
      </x:c>
      <x:c r="I1558" s="78" t="n">
        <x:f>V1557</x:f>
        <x:v>547.681724351897</x:v>
      </x:c>
      <x:c r="J1558" s="79" t="n">
        <x:f>IF(H1558&gt;0,I1558/H1558,0)</x:f>
        <x:v>0.000026597647019942445</x:v>
      </x:c>
      <x:c r="K1558" s="80" t="n">
        <x:f>(H1558*J1558+I1558)*'Inputs'!$D$48*(1+'Inputs'!$G$48)^(B1558/30)</x:f>
        <x:v>328.60903461113816</x:v>
      </x:c>
      <x:c r="L1558" s="80" t="n">
        <x:f>MAX(0,K1558*'Inputs'!$E$48)</x:f>
        <x:v>0</x:v>
      </x:c>
      <x:c r="M1558" s="80" t="n">
        <x:f>MAX(0,-K1558*'Inputs'!$E$48)</x:f>
        <x:v>0</x:v>
      </x:c>
      <x:c r="N1558" s="78" t="n">
        <x:f>H1558*(L1558*(1-'Inputs'!$B$15))/(I1558+L1558*(1-'Inputs'!$B$15))</x:f>
        <x:v>0</x:v>
      </x:c>
      <x:c r="O1558" s="78" t="n">
        <x:f>H1558-N1558</x:f>
        <x:v>20591359.977867775</x:v>
      </x:c>
      <x:c r="P1558" s="78" t="n">
        <x:f>I1558+L1558*(1-'Inputs'!$B$17)</x:f>
        <x:v>547.681724351897</x:v>
      </x:c>
      <x:c r="Q1558" s="78" t="n">
        <x:f>IF(J1558&gt;0,M1558/J1558,0)</x:f>
        <x:v>0</x:v>
      </x:c>
      <x:c r="R1558" s="78" t="n">
        <x:f>IF(B1558='Inputs'!$H$48,'Inputs'!$B$27*'Inputs'!$I$48,0)</x:f>
        <x:v>0</x:v>
      </x:c>
      <x:c r="S1558" s="78" t="n">
        <x:f>Q1558+G1558+R1558</x:f>
        <x:v>233569.70702758498</x:v>
      </x:c>
      <x:c r="T1558" s="78" t="n">
        <x:f>P1558*(S1558*(1-'Inputs'!$B$15))/(O1558+S1558*(1-'Inputs'!$B$15))</x:f>
        <x:v>6.081981974785196</x:v>
      </x:c>
      <x:c r="U1558" s="78" t="n">
        <x:f>O1558+S1558*(1-'Inputs'!$B$17)</x:f>
        <x:v>20823989.76655722</x:v>
      </x:c>
      <x:c r="V1558" s="78" t="n">
        <x:f>P1558-T1558</x:f>
        <x:v>541.5997423771117</x:v>
      </x:c>
      <x:c r="W1558" s="79" t="n">
        <x:f>IF(U1558&gt;0,V1558/U1558,0)</x:f>
        <x:v>0.000026008452196173602</x:v>
      </x:c>
      <x:c r="X1558" s="80" t="n">
        <x:f>W1558*('Inputs'!$B$6-AC1558)</x:f>
        <x:v>25975.146431024958</x:v>
      </x:c>
      <x:c r="Y1558" s="80" t="n">
        <x:f>2*V1558</x:f>
        <x:v>1083.1994847542235</x:v>
      </x:c>
      <x:c r="Z1558" s="80" t="n">
        <x:f>K1558*'Inputs'!$B$16+(G1558+R1558)*J1558*'Inputs'!$B$16</x:f>
        <x:v>2.0089286353992555</x:v>
      </x:c>
      <x:c r="AA1558" s="80" t="n">
        <x:f>K1558*(1+'Inputs'!$E$48)/2*'Inputs'!$B$17</x:f>
        <x:v>0.661185180304101</x:v>
      </x:c>
      <x:c r="AB1558" s="78" t="n">
        <x:f>(IF(J1558&gt;0,K1558*(1-'Inputs'!$E$48)/2/J1558,0)+G1558+R1558)*'Inputs'!$B$17</x:f>
        <x:v>25798.70301966969</x:v>
      </x:c>
      <x:c r="AC1558" s="78" t="n">
        <x:f>AC1557+AB1558</x:f>
        <x:v>1280574.6723191317</x:v>
      </x:c>
      <x:c r="AD1558" s="80" t="n">
        <x:f>Z1558/(1+'Inputs'!$C$48)</x:f>
        <x:v>1.6071429083194044</x:v>
      </x:c>
      <x:c r="AE1558" s="80" t="n">
        <x:f>Z1558-AD1558</x:f>
        <x:v>0.40178572707985105</x:v>
      </x:c>
      <x:c r="AF1558" s="80" t="n">
        <x:f>D1558*W1558</x:f>
        <x:v>7.593690813657957</x:v>
      </x:c>
      <x:c r="AG1558" s="80" t="n">
        <x:f>C1558*W1558</x:f>
        <x:v>4.429652974633816</x:v>
      </x:c>
      <x:c r="AH1558" s="80" t="n">
        <x:f>2*'Inputs'!$B$8*'Inputs'!$C$48</x:f>
        <x:v>1250</x:v>
      </x:c>
      <x:c r="AI1558" s="81" t="n">
        <x:f>IF(AH1558&gt;0,(AE1558+AF1558)/AH1558*365,0)</x:f>
        <x:v>2.33467914989544</x:v>
      </x:c>
      <x:c r="AJ1558" s="81" t="n">
        <x:f>IF('Inputs'!$B$48&gt;0,AG1558/('Inputs'!$B$19*'Inputs'!$B$48)*365,0)</x:f>
        <x:v>0.6467293342965372</x:v>
      </x:c>
      <x:c r="AK1558" s="81" t="n">
        <x:f>W1558/MAX($W$1464:W1558)-1</x:f>
        <x:v>-0.9694144995442746</x:v>
      </x:c>
      <x:c r="AL1558" s="83" t="n">
        <x:f>'Inputs'!$B$48</x:f>
        <x:v>0.25</x:v>
      </x:c>
      <x:c r="AM1558" s="83" t="n">
        <x:f>'Inputs'!$C$48</x:f>
        <x:v>0.25</x:v>
      </x:c>
      <x:c r="AN1558" s="83" t="n">
        <x:f>'Inputs'!$D$48</x:f>
        <x:v>0.3</x:v>
      </x:c>
      <x:c r="AO1558" s="81" t="n">
        <x:f>'Inputs'!$E$48</x:f>
        <x:v>0</x:v>
      </x:c>
    </x:row>
    <x:row r="1559">
      <x:c r="A1559" s="59" t="str">
        <x:v>Low participation</x:v>
      </x:c>
      <x:c r="B1559" s="59" t="n">
        <x:v>96</x:v>
      </x:c>
      <x:c r="C1559" s="78" t="n">
        <x:f>(('Inputs'!$B$29*(3*96*'Inputs'!$B$12-96^2)/(2*'Inputs'!$B$12^2))-('Inputs'!$B$29*(3*95*'Inputs'!$B$12-95^2)/(2*'Inputs'!$B$12^2)))*'Inputs'!$B$48</x:f>
        <x:v>170234.6242259331</x:v>
      </x:c>
      <x:c r="D1559" s="78" t="n">
        <x:f>IF('Inputs'!$C$48&gt;0,('Inputs'!$B$30*(3*96*'Inputs'!$B$12-96^2)/(2*'Inputs'!$B$12^2))-('Inputs'!$B$30*(3*95*'Inputs'!$B$12-95^2)/(2*'Inputs'!$B$12^2)),0)</x:f>
        <x:v>291830.78438731283</x:v>
      </x:c>
      <x:c r="E1559" s="78" t="n">
        <x:f>C1559+D1559</x:f>
        <x:v>462065.40861324593</x:v>
      </x:c>
      <x:c r="F1559" s="78" t="n">
        <x:f>'Inputs'!$B$13*E1559+(1-'Inputs'!$B$13)/'Inputs'!$B$14*SUM(E1504:E1559)</x:f>
        <x:v>466918.8051229118</x:v>
      </x:c>
      <x:c r="G1559" s="78" t="n">
        <x:f>F1559*'Inputs'!$F$48</x:f>
        <x:v>233459.4025614559</x:v>
      </x:c>
      <x:c r="H1559" s="78" t="n">
        <x:f>U1558</x:f>
        <x:v>20823989.76655722</x:v>
      </x:c>
      <x:c r="I1559" s="78" t="n">
        <x:f>V1558</x:f>
        <x:v>541.5997423771117</x:v>
      </x:c>
      <x:c r="J1559" s="79" t="n">
        <x:f>IF(H1559&gt;0,I1559/H1559,0)</x:f>
        <x:v>0.000026008452196173602</x:v>
      </x:c>
      <x:c r="K1559" s="80" t="n">
        <x:f>(H1559*J1559+I1559)*'Inputs'!$D$48*(1+'Inputs'!$G$48)^(B1559/30)</x:f>
        <x:v>324.959845426267</x:v>
      </x:c>
      <x:c r="L1559" s="80" t="n">
        <x:f>MAX(0,K1559*'Inputs'!$E$48)</x:f>
        <x:v>0</x:v>
      </x:c>
      <x:c r="M1559" s="80" t="n">
        <x:f>MAX(0,-K1559*'Inputs'!$E$48)</x:f>
        <x:v>0</x:v>
      </x:c>
      <x:c r="N1559" s="78" t="n">
        <x:f>H1559*(L1559*(1-'Inputs'!$B$15))/(I1559+L1559*(1-'Inputs'!$B$15))</x:f>
        <x:v>0</x:v>
      </x:c>
      <x:c r="O1559" s="78" t="n">
        <x:f>H1559-N1559</x:f>
        <x:v>20823989.76655722</x:v>
      </x:c>
      <x:c r="P1559" s="78" t="n">
        <x:f>I1559+L1559*(1-'Inputs'!$B$17)</x:f>
        <x:v>541.5997423771117</x:v>
      </x:c>
      <x:c r="Q1559" s="78" t="n">
        <x:f>IF(J1559&gt;0,M1559/J1559,0)</x:f>
        <x:v>0</x:v>
      </x:c>
      <x:c r="R1559" s="78" t="n">
        <x:f>IF(B1559='Inputs'!$H$48,'Inputs'!$B$27*'Inputs'!$I$48,0)</x:f>
        <x:v>0</x:v>
      </x:c>
      <x:c r="S1559" s="78" t="n">
        <x:f>Q1559+G1559+R1559</x:f>
        <x:v>233459.4025614559</x:v>
      </x:c>
      <x:c r="T1559" s="78" t="n">
        <x:f>P1559*(S1559*(1-'Inputs'!$B$15))/(O1559+S1559*(1-'Inputs'!$B$15))</x:f>
        <x:v>5.945212803925941</x:v>
      </x:c>
      <x:c r="U1559" s="78" t="n">
        <x:f>O1559+S1559*(1-'Inputs'!$B$17)</x:f>
        <x:v>21056509.694661688</x:v>
      </x:c>
      <x:c r="V1559" s="78" t="n">
        <x:f>P1559-T1559</x:f>
        <x:v>535.6545295731858</x:v>
      </x:c>
      <x:c r="W1559" s="79" t="n">
        <x:f>IF(U1559&gt;0,V1559/U1559,0)</x:f>
        <x:v>0.000025438904041584184</x:v>
      </x:c>
      <x:c r="X1559" s="80" t="n">
        <x:f>W1559*('Inputs'!$B$6-AC1559)</x:f>
        <x:v>25405.66420165637</x:v>
      </x:c>
      <x:c r="Y1559" s="80" t="n">
        <x:f>2*V1559</x:f>
        <x:v>1071.3090591463715</x:v>
      </x:c>
      <x:c r="Z1559" s="80" t="n">
        <x:f>K1559*'Inputs'!$B$16+(G1559+R1559)*J1559*'Inputs'!$B$16</x:f>
        <x:v>1.9861905788252034</x:v>
      </x:c>
      <x:c r="AA1559" s="80" t="n">
        <x:f>K1559*(1+'Inputs'!$E$48)/2*'Inputs'!$B$17</x:f>
        <x:v>0.6538427473365533</x:v>
      </x:c>
      <x:c r="AB1559" s="78" t="n">
        <x:f>(IF(J1559&gt;0,K1559*(1-'Inputs'!$E$48)/2/J1559,0)+G1559+R1559)*'Inputs'!$B$17</x:f>
        <x:v>26079.099929692642</x:v>
      </x:c>
      <x:c r="AC1559" s="78" t="n">
        <x:f>AC1558+AB1559</x:f>
        <x:v>1306653.7722488244</x:v>
      </x:c>
      <x:c r="AD1559" s="80" t="n">
        <x:f>Z1559/(1+'Inputs'!$C$48)</x:f>
        <x:v>1.5889524630601628</x:v>
      </x:c>
      <x:c r="AE1559" s="80" t="n">
        <x:f>Z1559-AD1559</x:f>
        <x:v>0.39723811576504064</x:v>
      </x:c>
      <x:c r="AF1559" s="80" t="n">
        <x:f>D1559*W1559</x:f>
        <x:v>7.4238553204090945</x:v>
      </x:c>
      <x:c r="AG1559" s="80" t="n">
        <x:f>C1559*W1559</x:f>
        <x:v>4.330582270238654</x:v>
      </x:c>
      <x:c r="AH1559" s="80" t="n">
        <x:f>2*'Inputs'!$B$8*'Inputs'!$C$48</x:f>
        <x:v>1250</x:v>
      </x:c>
      <x:c r="AI1559" s="81" t="n">
        <x:f>IF(AH1559&gt;0,(AE1559+AF1559)/AH1559*365,0)</x:f>
        <x:v>2.2837592833628473</x:v>
      </x:c>
      <x:c r="AJ1559" s="81" t="n">
        <x:f>IF('Inputs'!$B$48&gt;0,AG1559/('Inputs'!$B$19*'Inputs'!$B$48)*365,0)</x:f>
        <x:v>0.6322650114548435</x:v>
      </x:c>
      <x:c r="AK1559" s="81" t="n">
        <x:f>W1559/MAX($W$1464:W1559)-1</x:f>
        <x:v>-0.9700842785534352</x:v>
      </x:c>
      <x:c r="AL1559" s="83" t="n">
        <x:f>'Inputs'!$B$48</x:f>
        <x:v>0.25</x:v>
      </x:c>
      <x:c r="AM1559" s="83" t="n">
        <x:f>'Inputs'!$C$48</x:f>
        <x:v>0.25</x:v>
      </x:c>
      <x:c r="AN1559" s="83" t="n">
        <x:f>'Inputs'!$D$48</x:f>
        <x:v>0.3</x:v>
      </x:c>
      <x:c r="AO1559" s="81" t="n">
        <x:f>'Inputs'!$E$48</x:f>
        <x:v>0</x:v>
      </x:c>
    </x:row>
    <x:row r="1560">
      <x:c r="A1560" s="59" t="str">
        <x:v>Low participation</x:v>
      </x:c>
      <x:c r="B1560" s="59" t="n">
        <x:v>97</x:v>
      </x:c>
      <x:c r="C1560" s="78" t="n">
        <x:f>(('Inputs'!$B$29*(3*97*'Inputs'!$B$12-97^2)/(2*'Inputs'!$B$12^2))-('Inputs'!$B$29*(3*96*'Inputs'!$B$12-96^2)/(2*'Inputs'!$B$12^2)))*'Inputs'!$B$48</x:f>
        <x:v>170153.34725089</x:v>
      </x:c>
      <x:c r="D1560" s="78" t="n">
        <x:f>IF('Inputs'!$C$48&gt;0,('Inputs'!$B$30*(3*97*'Inputs'!$B$12-97^2)/(2*'Inputs'!$B$12^2))-('Inputs'!$B$30*(3*96*'Inputs'!$B$12-96^2)/(2*'Inputs'!$B$12^2)),0)</x:f>
        <x:v>291691.45243009925</x:v>
      </x:c>
      <x:c r="E1560" s="78" t="n">
        <x:f>C1560+D1560</x:f>
        <x:v>461844.79968098924</x:v>
      </x:c>
      <x:c r="F1560" s="78" t="n">
        <x:f>'Inputs'!$B$13*E1560+(1-'Inputs'!$B$13)/'Inputs'!$B$14*SUM(E1505:E1560)</x:f>
        <x:v>466698.19619065453</x:v>
      </x:c>
      <x:c r="G1560" s="78" t="n">
        <x:f>F1560*'Inputs'!$F$48</x:f>
        <x:v>233349.09809532727</x:v>
      </x:c>
      <x:c r="H1560" s="78" t="n">
        <x:f>U1559</x:f>
        <x:v>21056509.694661688</x:v>
      </x:c>
      <x:c r="I1560" s="78" t="n">
        <x:f>V1559</x:f>
        <x:v>535.6545295731858</x:v>
      </x:c>
      <x:c r="J1560" s="79" t="n">
        <x:f>IF(H1560&gt;0,I1560/H1560,0)</x:f>
        <x:v>0.000025438904041584184</x:v>
      </x:c>
      <x:c r="K1560" s="80" t="n">
        <x:f>(H1560*J1560+I1560)*'Inputs'!$D$48*(1+'Inputs'!$G$48)^(B1560/30)</x:f>
        <x:v>321.3927177439114</x:v>
      </x:c>
      <x:c r="L1560" s="80" t="n">
        <x:f>MAX(0,K1560*'Inputs'!$E$48)</x:f>
        <x:v>0</x:v>
      </x:c>
      <x:c r="M1560" s="80" t="n">
        <x:f>MAX(0,-K1560*'Inputs'!$E$48)</x:f>
        <x:v>0</x:v>
      </x:c>
      <x:c r="N1560" s="78" t="n">
        <x:f>H1560*(L1560*(1-'Inputs'!$B$15))/(I1560+L1560*(1-'Inputs'!$B$15))</x:f>
        <x:v>0</x:v>
      </x:c>
      <x:c r="O1560" s="78" t="n">
        <x:f>H1560-N1560</x:f>
        <x:v>21056509.694661688</x:v>
      </x:c>
      <x:c r="P1560" s="78" t="n">
        <x:f>I1560+L1560*(1-'Inputs'!$B$17)</x:f>
        <x:v>535.6545295731858</x:v>
      </x:c>
      <x:c r="Q1560" s="78" t="n">
        <x:f>IF(J1560&gt;0,M1560/J1560,0)</x:f>
        <x:v>0</x:v>
      </x:c>
      <x:c r="R1560" s="78" t="n">
        <x:f>IF(B1560='Inputs'!$H$48,'Inputs'!$B$27*'Inputs'!$I$48,0)</x:f>
        <x:v>0</x:v>
      </x:c>
      <x:c r="S1560" s="78" t="n">
        <x:f>Q1560+G1560+R1560</x:f>
        <x:v>233349.09809532727</x:v>
      </x:c>
      <x:c r="T1560" s="78" t="n">
        <x:f>P1560*(S1560*(1-'Inputs'!$B$15))/(O1560+S1560*(1-'Inputs'!$B$15))</x:f>
        <x:v>5.813008069218343</x:v>
      </x:c>
      <x:c r="U1560" s="78" t="n">
        <x:f>O1560+S1560*(1-'Inputs'!$B$17)</x:f>
        <x:v>21288919.762181178</x:v>
      </x:c>
      <x:c r="V1560" s="78" t="n">
        <x:f>P1560-T1560</x:f>
        <x:v>529.8415215039674</x:v>
      </x:c>
      <x:c r="W1560" s="79" t="n">
        <x:f>IF(U1560&gt;0,V1560/U1560,0)</x:f>
        <x:v>0.00002488813558521684</x:v>
      </x:c>
      <x:c r="X1560" s="80" t="n">
        <x:f>W1560*('Inputs'!$B$6-AC1560)</x:f>
        <x:v>24854.959373539747</x:v>
      </x:c>
      <x:c r="Y1560" s="80" t="n">
        <x:f>2*V1560</x:f>
        <x:v>1059.6830430079349</x:v>
      </x:c>
      <x:c r="Z1560" s="80" t="n">
        <x:f>K1560*'Inputs'!$B$16+(G1560+R1560)*J1560*'Inputs'!$B$16</x:f>
        <x:v>1.963973178351292</x:v>
      </x:c>
      <x:c r="AA1560" s="80" t="n">
        <x:f>K1560*(1+'Inputs'!$E$48)/2*'Inputs'!$B$17</x:f>
        <x:v>0.6466654280561599</x:v>
      </x:c>
      <x:c r="AB1560" s="78" t="n">
        <x:f>(IF(J1560&gt;0,K1560*(1-'Inputs'!$E$48)/2/J1560,0)+G1560+R1560)*'Inputs'!$B$17</x:f>
        <x:v>26359.36421124279</x:v>
      </x:c>
      <x:c r="AC1560" s="78" t="n">
        <x:f>AC1559+AB1560</x:f>
        <x:v>1333013.1364600672</x:v>
      </x:c>
      <x:c r="AD1560" s="80" t="n">
        <x:f>Z1560/(1+'Inputs'!$C$48)</x:f>
        <x:v>1.5711785426810336</x:v>
      </x:c>
      <x:c r="AE1560" s="80" t="n">
        <x:f>Z1560-AD1560</x:f>
        <x:v>0.3927946356702583</x:v>
      </x:c>
      <x:c r="AF1560" s="80" t="n">
        <x:f>D1560*W1560</x:f>
        <x:v>7.259656417129139</x:v>
      </x:c>
      <x:c r="AG1560" s="80" t="n">
        <x:f>C1560*W1560</x:f>
        <x:v>4.2347995766586335</x:v>
      </x:c>
      <x:c r="AH1560" s="80" t="n">
        <x:f>2*'Inputs'!$B$8*'Inputs'!$C$48</x:f>
        <x:v>1250</x:v>
      </x:c>
      <x:c r="AI1560" s="81" t="n">
        <x:f>IF(AH1560&gt;0,(AE1560+AF1560)/AH1560*365,0)</x:f>
        <x:v>2.234515707417424</x:v>
      </x:c>
      <x:c r="AJ1560" s="81" t="n">
        <x:f>IF('Inputs'!$B$48&gt;0,AG1560/('Inputs'!$B$19*'Inputs'!$B$48)*365,0)</x:f>
        <x:v>0.6182807381921606</x:v>
      </x:c>
      <x:c r="AK1560" s="81" t="n">
        <x:f>W1560/MAX($W$1464:W1560)-1</x:f>
        <x:v>-0.9707319729547076</x:v>
      </x:c>
      <x:c r="AL1560" s="83" t="n">
        <x:f>'Inputs'!$B$48</x:f>
        <x:v>0.25</x:v>
      </x:c>
      <x:c r="AM1560" s="83" t="n">
        <x:f>'Inputs'!$C$48</x:f>
        <x:v>0.25</x:v>
      </x:c>
      <x:c r="AN1560" s="83" t="n">
        <x:f>'Inputs'!$D$48</x:f>
        <x:v>0.3</x:v>
      </x:c>
      <x:c r="AO1560" s="81" t="n">
        <x:f>'Inputs'!$E$48</x:f>
        <x:v>0</x:v>
      </x:c>
    </x:row>
    <x:row r="1561">
      <x:c r="A1561" s="59" t="str">
        <x:v>Low participation</x:v>
      </x:c>
      <x:c r="B1561" s="59" t="n">
        <x:v>98</x:v>
      </x:c>
      <x:c r="C1561" s="78" t="n">
        <x:f>(('Inputs'!$B$29*(3*98*'Inputs'!$B$12-98^2)/(2*'Inputs'!$B$12^2))-('Inputs'!$B$29*(3*97*'Inputs'!$B$12-97^2)/(2*'Inputs'!$B$12^2)))*'Inputs'!$B$48</x:f>
        <x:v>170072.0702758506</x:v>
      </x:c>
      <x:c r="D1561" s="78" t="n">
        <x:f>IF('Inputs'!$C$48&gt;0,('Inputs'!$B$30*(3*98*'Inputs'!$B$12-98^2)/(2*'Inputs'!$B$12^2))-('Inputs'!$B$30*(3*97*'Inputs'!$B$12-97^2)/(2*'Inputs'!$B$12^2)),0)</x:f>
        <x:v>291552.12047288567</x:v>
      </x:c>
      <x:c r="E1561" s="78" t="n">
        <x:f>C1561+D1561</x:f>
        <x:v>461624.19074873626</x:v>
      </x:c>
      <x:c r="F1561" s="78" t="n">
        <x:f>'Inputs'!$B$13*E1561+(1-'Inputs'!$B$13)/'Inputs'!$B$14*SUM(E1506:E1561)</x:f>
        <x:v>466477.58725839807</x:v>
      </x:c>
      <x:c r="G1561" s="78" t="n">
        <x:f>F1561*'Inputs'!$F$48</x:f>
        <x:v>233238.79362919903</x:v>
      </x:c>
      <x:c r="H1561" s="78" t="n">
        <x:f>U1560</x:f>
        <x:v>21288919.762181178</x:v>
      </x:c>
      <x:c r="I1561" s="78" t="n">
        <x:f>V1560</x:f>
        <x:v>529.8415215039674</x:v>
      </x:c>
      <x:c r="J1561" s="79" t="n">
        <x:f>IF(H1561&gt;0,I1561/H1561,0)</x:f>
        <x:v>0.00002488813558521684</x:v>
      </x:c>
      <x:c r="K1561" s="80" t="n">
        <x:f>(H1561*J1561+I1561)*'Inputs'!$D$48*(1+'Inputs'!$G$48)^(B1561/30)</x:f>
        <x:v>317.90491290238043</x:v>
      </x:c>
      <x:c r="L1561" s="80" t="n">
        <x:f>MAX(0,K1561*'Inputs'!$E$48)</x:f>
        <x:v>0</x:v>
      </x:c>
      <x:c r="M1561" s="80" t="n">
        <x:f>MAX(0,-K1561*'Inputs'!$E$48)</x:f>
        <x:v>0</x:v>
      </x:c>
      <x:c r="N1561" s="78" t="n">
        <x:f>H1561*(L1561*(1-'Inputs'!$B$15))/(I1561+L1561*(1-'Inputs'!$B$15))</x:f>
        <x:v>0</x:v>
      </x:c>
      <x:c r="O1561" s="78" t="n">
        <x:f>H1561-N1561</x:f>
        <x:v>21288919.762181178</x:v>
      </x:c>
      <x:c r="P1561" s="78" t="n">
        <x:f>I1561+L1561*(1-'Inputs'!$B$17)</x:f>
        <x:v>529.8415215039674</x:v>
      </x:c>
      <x:c r="Q1561" s="78" t="n">
        <x:f>IF(J1561&gt;0,M1561/J1561,0)</x:f>
        <x:v>0</x:v>
      </x:c>
      <x:c r="R1561" s="78" t="n">
        <x:f>IF(B1561='Inputs'!$H$48,'Inputs'!$B$27*'Inputs'!$I$48,0)</x:f>
        <x:v>0</x:v>
      </x:c>
      <x:c r="S1561" s="78" t="n">
        <x:f>Q1561+G1561+R1561</x:f>
        <x:v>233238.79362919903</x:v>
      </x:c>
      <x:c r="T1561" s="78" t="n">
        <x:f>P1561*(S1561*(1-'Inputs'!$B$15))/(O1561+S1561*(1-'Inputs'!$B$15))</x:f>
        <x:v>5.6851668021363215</x:v>
      </x:c>
      <x:c r="U1561" s="78" t="n">
        <x:f>O1561+S1561*(1-'Inputs'!$B$17)</x:f>
        <x:v>21521219.969115693</x:v>
      </x:c>
      <x:c r="V1561" s="78" t="n">
        <x:f>P1561-T1561</x:f>
        <x:v>524.1563547018311</x:v>
      </x:c>
      <x:c r="W1561" s="79" t="n">
        <x:f>IF(U1561&gt;0,V1561/U1561,0)</x:f>
        <x:v>0.00002435532722838336</x:v>
      </x:c>
      <x:c r="X1561" s="80" t="n">
        <x:f>W1561*('Inputs'!$B$6-AC1561)</x:f>
        <x:v>24322.212443606168</x:v>
      </x:c>
      <x:c r="Y1561" s="80" t="n">
        <x:f>2*V1561</x:f>
        <x:v>1048.3127094036622</x:v>
      </x:c>
      <x:c r="Z1561" s="80" t="n">
        <x:f>K1561*'Inputs'!$B$16+(G1561+R1561)*J1561*'Inputs'!$B$16</x:f>
        <x:v>1.942258749731738</x:v>
      </x:c>
      <x:c r="AA1561" s="80" t="n">
        <x:f>K1561*(1+'Inputs'!$E$48)/2*'Inputs'!$B$17</x:f>
        <x:v>0.6396477120772243</x:v>
      </x:c>
      <x:c r="AB1561" s="78" t="n">
        <x:f>(IF(J1561&gt;0,K1561*(1-'Inputs'!$E$48)/2/J1561,0)+G1561+R1561)*'Inputs'!$B$17</x:f>
        <x:v>26639.49586432013</x:v>
      </x:c>
      <x:c r="AC1561" s="78" t="n">
        <x:f>AC1560+AB1561</x:f>
        <x:v>1359652.6323243873</x:v>
      </x:c>
      <x:c r="AD1561" s="80" t="n">
        <x:f>Z1561/(1+'Inputs'!$C$48)</x:f>
        <x:v>1.5538069997853905</x:v>
      </x:c>
      <x:c r="AE1561" s="80" t="n">
        <x:f>Z1561-AD1561</x:f>
        <x:v>0.38845174994634757</x:v>
      </x:c>
      <x:c r="AF1561" s="80" t="n">
        <x:f>D1561*W1561</x:f>
        <x:v>7.100847298246178</x:v>
      </x:c>
      <x:c r="AG1561" s="80" t="n">
        <x:f>C1561*W1561</x:f>
        <x:v>4.142160923976952</x:v>
      </x:c>
      <x:c r="AH1561" s="80" t="n">
        <x:f>2*'Inputs'!$B$8*'Inputs'!$C$48</x:f>
        <x:v>1250</x:v>
      </x:c>
      <x:c r="AI1561" s="81" t="n">
        <x:f>IF(AH1561&gt;0,(AE1561+AF1561)/AH1561*365,0)</x:f>
        <x:v>2.1868753220722175</x:v>
      </x:c>
      <x:c r="AJ1561" s="81" t="n">
        <x:f>IF('Inputs'!$B$48&gt;0,AG1561/('Inputs'!$B$19*'Inputs'!$B$48)*365,0)</x:f>
        <x:v>0.6047554949006351</x:v>
      </x:c>
      <x:c r="AK1561" s="81" t="n">
        <x:f>W1561/MAX($W$1464:W1561)-1</x:f>
        <x:v>-0.9713585465823048</x:v>
      </x:c>
      <x:c r="AL1561" s="83" t="n">
        <x:f>'Inputs'!$B$48</x:f>
        <x:v>0.25</x:v>
      </x:c>
      <x:c r="AM1561" s="83" t="n">
        <x:f>'Inputs'!$C$48</x:f>
        <x:v>0.25</x:v>
      </x:c>
      <x:c r="AN1561" s="83" t="n">
        <x:f>'Inputs'!$D$48</x:f>
        <x:v>0.3</x:v>
      </x:c>
      <x:c r="AO1561" s="81" t="n">
        <x:f>'Inputs'!$E$48</x:f>
        <x:v>0</x:v>
      </x:c>
    </x:row>
    <x:row r="1562">
      <x:c r="A1562" s="59" t="str">
        <x:v>Low participation</x:v>
      </x:c>
      <x:c r="B1562" s="59" t="n">
        <x:v>99</x:v>
      </x:c>
      <x:c r="C1562" s="78" t="n">
        <x:f>(('Inputs'!$B$29*(3*99*'Inputs'!$B$12-99^2)/(2*'Inputs'!$B$12^2))-('Inputs'!$B$29*(3*98*'Inputs'!$B$12-98^2)/(2*'Inputs'!$B$12^2)))*'Inputs'!$B$48</x:f>
        <x:v>169990.79330080748</x:v>
      </x:c>
      <x:c r="D1562" s="78" t="n">
        <x:f>IF('Inputs'!$C$48&gt;0,('Inputs'!$B$30*(3*99*'Inputs'!$B$12-99^2)/(2*'Inputs'!$B$12^2))-('Inputs'!$B$30*(3*98*'Inputs'!$B$12-98^2)/(2*'Inputs'!$B$12^2)),0)</x:f>
        <x:v>291412.78851566836</x:v>
      </x:c>
      <x:c r="E1562" s="78" t="n">
        <x:f>C1562+D1562</x:f>
        <x:v>461403.58181647584</x:v>
      </x:c>
      <x:c r="F1562" s="78" t="n">
        <x:f>'Inputs'!$B$13*E1562+(1-'Inputs'!$B$13)/'Inputs'!$B$14*SUM(E1507:E1562)</x:f>
        <x:v>466256.97832614</x:v>
      </x:c>
      <x:c r="G1562" s="78" t="n">
        <x:f>F1562*'Inputs'!$F$48</x:f>
        <x:v>233128.48916307</x:v>
      </x:c>
      <x:c r="H1562" s="78" t="n">
        <x:f>U1561</x:f>
        <x:v>21521219.969115693</x:v>
      </x:c>
      <x:c r="I1562" s="78" t="n">
        <x:f>V1561</x:f>
        <x:v>524.1563547018311</x:v>
      </x:c>
      <x:c r="J1562" s="79" t="n">
        <x:f>IF(H1562&gt;0,I1562/H1562,0)</x:f>
        <x:v>0.00002435532722838336</x:v>
      </x:c>
      <x:c r="K1562" s="80" t="n">
        <x:f>(H1562*J1562+I1562)*'Inputs'!$D$48*(1+'Inputs'!$G$48)^(B1562/30)</x:f>
        <x:v>314.49381282109863</x:v>
      </x:c>
      <x:c r="L1562" s="80" t="n">
        <x:f>MAX(0,K1562*'Inputs'!$E$48)</x:f>
        <x:v>0</x:v>
      </x:c>
      <x:c r="M1562" s="80" t="n">
        <x:f>MAX(0,-K1562*'Inputs'!$E$48)</x:f>
        <x:v>0</x:v>
      </x:c>
      <x:c r="N1562" s="78" t="n">
        <x:f>H1562*(L1562*(1-'Inputs'!$B$15))/(I1562+L1562*(1-'Inputs'!$B$15))</x:f>
        <x:v>0</x:v>
      </x:c>
      <x:c r="O1562" s="78" t="n">
        <x:f>H1562-N1562</x:f>
        <x:v>21521219.969115693</x:v>
      </x:c>
      <x:c r="P1562" s="78" t="n">
        <x:f>I1562+L1562*(1-'Inputs'!$B$17)</x:f>
        <x:v>524.1563547018311</x:v>
      </x:c>
      <x:c r="Q1562" s="78" t="n">
        <x:f>IF(J1562&gt;0,M1562/J1562,0)</x:f>
        <x:v>0</x:v>
      </x:c>
      <x:c r="R1562" s="78" t="n">
        <x:f>IF(B1562='Inputs'!$H$48,'Inputs'!$B$27*'Inputs'!$I$48,0)</x:f>
        <x:v>0</x:v>
      </x:c>
      <x:c r="S1562" s="78" t="n">
        <x:f>Q1562+G1562+R1562</x:f>
        <x:v>233128.48916307</x:v>
      </x:c>
      <x:c r="T1562" s="78" t="n">
        <x:f>P1562*(S1562*(1-'Inputs'!$B$15))/(O1562+S1562*(1-'Inputs'!$B$15))</x:f>
        <x:v>5.561498977405136</x:v>
      </x:c>
      <x:c r="U1562" s="78" t="n">
        <x:f>O1562+S1562*(1-'Inputs'!$B$17)</x:f>
        <x:v>21753410.31546523</x:v>
      </x:c>
      <x:c r="V1562" s="78" t="n">
        <x:f>P1562-T1562</x:f>
        <x:v>518.594855724426</x:v>
      </x:c>
      <x:c r="W1562" s="79" t="n">
        <x:f>IF(U1562&gt;0,V1562/U1562,0)</x:f>
        <x:v>0.000023839703669623678</x:v>
      </x:c>
      <x:c r="X1562" s="80" t="n">
        <x:f>W1562*('Inputs'!$B$6-AC1562)</x:f>
        <x:v>23806.648200994354</x:v>
      </x:c>
      <x:c r="Y1562" s="80" t="n">
        <x:f>2*V1562</x:f>
        <x:v>1037.189711448852</x:v>
      </x:c>
      <x:c r="Z1562" s="80" t="n">
        <x:f>K1562*'Inputs'!$B$16+(G1562+R1562)*J1562*'Inputs'!$B$16</x:f>
        <x:v>1.921030400765543</x:v>
      </x:c>
      <x:c r="AA1562" s="80" t="n">
        <x:f>K1562*(1+'Inputs'!$E$48)/2*'Inputs'!$B$17</x:f>
        <x:v>0.6327843316319892</x:v>
      </x:c>
      <x:c r="AB1562" s="78" t="n">
        <x:f>(IF(J1562&gt;0,K1562*(1-'Inputs'!$E$48)/2/J1562,0)+G1562+R1562)*'Inputs'!$B$17</x:f>
        <x:v>26919.494888924655</x:v>
      </x:c>
      <x:c r="AC1562" s="78" t="n">
        <x:f>AC1561+AB1562</x:f>
        <x:v>1386572.127213312</x:v>
      </x:c>
      <x:c r="AD1562" s="80" t="n">
        <x:f>Z1562/(1+'Inputs'!$C$48)</x:f>
        <x:v>1.5368243206124343</x:v>
      </x:c>
      <x:c r="AE1562" s="80" t="n">
        <x:f>Z1562-AD1562</x:f>
        <x:v>0.38420608015310864</x:v>
      </x:c>
      <x:c r="AF1562" s="80" t="n">
        <x:f>D1562*W1562</x:f>
        <x:v>6.947194523752248</x:v>
      </x:c>
      <x:c r="AG1562" s="80" t="n">
        <x:f>C1562*W1562</x:f>
        <x:v>4.0525301388555</x:v>
      </x:c>
      <x:c r="AH1562" s="80" t="n">
        <x:f>2*'Inputs'!$B$8*'Inputs'!$C$48</x:f>
        <x:v>1250</x:v>
      </x:c>
      <x:c r="AI1562" s="81" t="n">
        <x:f>IF(AH1562&gt;0,(AE1562+AF1562)/AH1562*365,0)</x:f>
        <x:v>2.1407689763403646</x:v>
      </x:c>
      <x:c r="AJ1562" s="81" t="n">
        <x:f>IF('Inputs'!$B$48&gt;0,AG1562/('Inputs'!$B$19*'Inputs'!$B$48)*365,0)</x:f>
        <x:v>0.591669400272903</x:v>
      </x:c>
      <x:c r="AK1562" s="81" t="n">
        <x:f>W1562/MAX($W$1464:W1562)-1</x:f>
        <x:v>-0.9719649111776476</x:v>
      </x:c>
      <x:c r="AL1562" s="83" t="n">
        <x:f>'Inputs'!$B$48</x:f>
        <x:v>0.25</x:v>
      </x:c>
      <x:c r="AM1562" s="83" t="n">
        <x:f>'Inputs'!$C$48</x:f>
        <x:v>0.25</x:v>
      </x:c>
      <x:c r="AN1562" s="83" t="n">
        <x:f>'Inputs'!$D$48</x:f>
        <x:v>0.3</x:v>
      </x:c>
      <x:c r="AO1562" s="81" t="n">
        <x:f>'Inputs'!$E$48</x:f>
        <x:v>0</x:v>
      </x:c>
    </x:row>
    <x:row r="1563">
      <x:c r="A1563" s="59" t="str">
        <x:v>Low participation</x:v>
      </x:c>
      <x:c r="B1563" s="59" t="n">
        <x:v>100</x:v>
      </x:c>
      <x:c r="C1563" s="78" t="n">
        <x:f>(('Inputs'!$B$29*(3*100*'Inputs'!$B$12-100^2)/(2*'Inputs'!$B$12^2))-('Inputs'!$B$29*(3*99*'Inputs'!$B$12-99^2)/(2*'Inputs'!$B$12^2)))*'Inputs'!$B$48</x:f>
        <x:v>169909.51632576436</x:v>
      </x:c>
      <x:c r="D1563" s="78" t="n">
        <x:f>IF('Inputs'!$C$48&gt;0,('Inputs'!$B$30*(3*100*'Inputs'!$B$12-100^2)/(2*'Inputs'!$B$12^2))-('Inputs'!$B$30*(3*99*'Inputs'!$B$12-99^2)/(2*'Inputs'!$B$12^2)),0)</x:f>
        <x:v>291273.4565584548</x:v>
      </x:c>
      <x:c r="E1563" s="78" t="n">
        <x:f>C1563+D1563</x:f>
        <x:v>461182.97288421914</x:v>
      </x:c>
      <x:c r="F1563" s="78" t="n">
        <x:f>'Inputs'!$B$13*E1563+(1-'Inputs'!$B$13)/'Inputs'!$B$14*SUM(E1508:E1563)</x:f>
        <x:v>466036.36939388275</x:v>
      </x:c>
      <x:c r="G1563" s="78" t="n">
        <x:f>F1563*'Inputs'!$F$48</x:f>
        <x:v>233018.18469694137</x:v>
      </x:c>
      <x:c r="H1563" s="78" t="n">
        <x:f>U1562</x:f>
        <x:v>21753410.31546523</x:v>
      </x:c>
      <x:c r="I1563" s="78" t="n">
        <x:f>V1562</x:f>
        <x:v>518.594855724426</x:v>
      </x:c>
      <x:c r="J1563" s="79" t="n">
        <x:f>IF(H1563&gt;0,I1563/H1563,0)</x:f>
        <x:v>0.000023839703669623678</x:v>
      </x:c>
      <x:c r="K1563" s="80" t="n">
        <x:f>(H1563*J1563+I1563)*'Inputs'!$D$48*(1+'Inputs'!$G$48)^(B1563/30)</x:f>
        <x:v>311.15691343465556</x:v>
      </x:c>
      <x:c r="L1563" s="80" t="n">
        <x:f>MAX(0,K1563*'Inputs'!$E$48)</x:f>
        <x:v>0</x:v>
      </x:c>
      <x:c r="M1563" s="80" t="n">
        <x:f>MAX(0,-K1563*'Inputs'!$E$48)</x:f>
        <x:v>0</x:v>
      </x:c>
      <x:c r="N1563" s="78" t="n">
        <x:f>H1563*(L1563*(1-'Inputs'!$B$15))/(I1563+L1563*(1-'Inputs'!$B$15))</x:f>
        <x:v>0</x:v>
      </x:c>
      <x:c r="O1563" s="78" t="n">
        <x:f>H1563-N1563</x:f>
        <x:v>21753410.31546523</x:v>
      </x:c>
      <x:c r="P1563" s="78" t="n">
        <x:f>I1563+L1563*(1-'Inputs'!$B$17)</x:f>
        <x:v>518.594855724426</x:v>
      </x:c>
      <x:c r="Q1563" s="78" t="n">
        <x:f>IF(J1563&gt;0,M1563/J1563,0)</x:f>
        <x:v>0</x:v>
      </x:c>
      <x:c r="R1563" s="78" t="n">
        <x:f>IF(B1563='Inputs'!$H$48,'Inputs'!$B$27*'Inputs'!$I$48,0)</x:f>
        <x:v>0</x:v>
      </x:c>
      <x:c r="S1563" s="78" t="n">
        <x:f>Q1563+G1563+R1563</x:f>
        <x:v>233018.18469694137</x:v>
      </x:c>
      <x:c r="T1563" s="78" t="n">
        <x:f>P1563*(S1563*(1-'Inputs'!$B$15))/(O1563+S1563*(1-'Inputs'!$B$15))</x:f>
        <x:v>5.441824805508127</x:v>
      </x:c>
      <x:c r="U1563" s="78" t="n">
        <x:f>O1563+S1563*(1-'Inputs'!$B$17)</x:f>
        <x:v>21985490.80122979</x:v>
      </x:c>
      <x:c r="V1563" s="78" t="n">
        <x:f>P1563-T1563</x:f>
        <x:v>513.1530309189179</x:v>
      </x:c>
      <x:c r="W1563" s="79" t="n">
        <x:f>IF(U1563&gt;0,V1563/U1563,0)</x:f>
        <x:v>0.000023340531060157817</x:v>
      </x:c>
      <x:c r="X1563" s="80" t="n">
        <x:f>W1563*('Inputs'!$B$6-AC1563)</x:f>
        <x:v>23307.532882818556</x:v>
      </x:c>
      <x:c r="Y1563" s="80" t="n">
        <x:f>2*V1563</x:f>
        <x:v>1026.3060618378358</x:v>
      </x:c>
      <x:c r="Z1563" s="80" t="n">
        <x:f>K1563*'Inputs'!$B$16+(G1563+R1563)*J1563*'Inputs'!$B$16</x:f>
        <x:v>1.9002719874447858</x:v>
      </x:c>
      <x:c r="AA1563" s="80" t="n">
        <x:f>K1563*(1+'Inputs'!$E$48)/2*'Inputs'!$B$17</x:f>
        <x:v>0.626070248359468</x:v>
      </x:c>
      <x:c r="AB1563" s="78" t="n">
        <x:f>(IF(J1563&gt;0,K1563*(1-'Inputs'!$E$48)/2/J1563,0)+G1563+R1563)*'Inputs'!$B$17</x:f>
        <x:v>27199.361285056377</x:v>
      </x:c>
      <x:c r="AC1563" s="78" t="n">
        <x:f>AC1562+AB1563</x:f>
        <x:v>1413771.4884983685</x:v>
      </x:c>
      <x:c r="AD1563" s="80" t="n">
        <x:f>Z1563/(1+'Inputs'!$C$48)</x:f>
        <x:v>1.5202175899558286</x:v>
      </x:c>
      <x:c r="AE1563" s="80" t="n">
        <x:f>Z1563-AD1563</x:f>
        <x:v>0.3800543974889572</x:v>
      </x:c>
      <x:c r="AF1563" s="80" t="n">
        <x:f>D1563*W1563</x:f>
        <x:v>6.798477159802142</x:v>
      </x:c>
      <x:c r="AG1563" s="80" t="n">
        <x:f>C1563*W1563</x:f>
        <x:v>3.965778343217895</x:v>
      </x:c>
      <x:c r="AH1563" s="80" t="n">
        <x:f>2*'Inputs'!$B$8*'Inputs'!$C$48</x:f>
        <x:v>1250</x:v>
      </x:c>
      <x:c r="AI1563" s="81" t="n">
        <x:f>IF(AH1563&gt;0,(AE1563+AF1563)/AH1563*365,0)</x:f>
        <x:v>2.0961312147290014</x:v>
      </x:c>
      <x:c r="AJ1563" s="81" t="n">
        <x:f>IF('Inputs'!$B$48&gt;0,AG1563/('Inputs'!$B$19*'Inputs'!$B$48)*365,0)</x:f>
        <x:v>0.5790036381098127</x:v>
      </x:c>
      <x:c r="AK1563" s="81" t="n">
        <x:f>W1563/MAX($W$1464:W1563)-1</x:f>
        <x:v>-0.9725519297345054</x:v>
      </x:c>
      <x:c r="AL1563" s="83" t="n">
        <x:f>'Inputs'!$B$48</x:f>
        <x:v>0.25</x:v>
      </x:c>
      <x:c r="AM1563" s="83" t="n">
        <x:f>'Inputs'!$C$48</x:f>
        <x:v>0.25</x:v>
      </x:c>
      <x:c r="AN1563" s="83" t="n">
        <x:f>'Inputs'!$D$48</x:f>
        <x:v>0.3</x:v>
      </x:c>
      <x:c r="AO1563" s="81" t="n">
        <x:f>'Inputs'!$E$48</x:f>
        <x:v>0</x:v>
      </x:c>
    </x:row>
    <x:row r="1564">
      <x:c r="A1564" s="59" t="str">
        <x:v>Low participation</x:v>
      </x:c>
      <x:c r="B1564" s="59" t="n">
        <x:v>101</x:v>
      </x:c>
      <x:c r="C1564" s="78" t="n">
        <x:f>(('Inputs'!$B$29*(3*101*'Inputs'!$B$12-101^2)/(2*'Inputs'!$B$12^2))-('Inputs'!$B$29*(3*100*'Inputs'!$B$12-100^2)/(2*'Inputs'!$B$12^2)))*'Inputs'!$B$48</x:f>
        <x:v>169828.23935072124</x:v>
      </x:c>
      <x:c r="D1564" s="78" t="n">
        <x:f>IF('Inputs'!$C$48&gt;0,('Inputs'!$B$30*(3*101*'Inputs'!$B$12-101^2)/(2*'Inputs'!$B$12^2))-('Inputs'!$B$30*(3*100*'Inputs'!$B$12-100^2)/(2*'Inputs'!$B$12^2)),0)</x:f>
        <x:v>291134.1246012375</x:v>
      </x:c>
      <x:c r="E1564" s="78" t="n">
        <x:f>C1564+D1564</x:f>
        <x:v>460962.3639519587</x:v>
      </x:c>
      <x:c r="F1564" s="78" t="n">
        <x:f>'Inputs'!$B$13*E1564+(1-'Inputs'!$B$13)/'Inputs'!$B$14*SUM(E1509:E1564)</x:f>
        <x:v>465815.76046162465</x:v>
      </x:c>
      <x:c r="G1564" s="78" t="n">
        <x:f>F1564*'Inputs'!$F$48</x:f>
        <x:v>232907.88023081233</x:v>
      </x:c>
      <x:c r="H1564" s="78" t="n">
        <x:f>U1563</x:f>
        <x:v>21985490.80122979</x:v>
      </x:c>
      <x:c r="I1564" s="78" t="n">
        <x:f>V1563</x:f>
        <x:v>513.1530309189179</x:v>
      </x:c>
      <x:c r="J1564" s="79" t="n">
        <x:f>IF(H1564&gt;0,I1564/H1564,0)</x:f>
        <x:v>0.000023340531060157817</x:v>
      </x:c>
      <x:c r="K1564" s="80" t="n">
        <x:f>(H1564*J1564+I1564)*'Inputs'!$D$48*(1+'Inputs'!$G$48)^(B1564/30)</x:f>
        <x:v>307.89181855135075</x:v>
      </x:c>
      <x:c r="L1564" s="80" t="n">
        <x:f>MAX(0,K1564*'Inputs'!$E$48)</x:f>
        <x:v>0</x:v>
      </x:c>
      <x:c r="M1564" s="80" t="n">
        <x:f>MAX(0,-K1564*'Inputs'!$E$48)</x:f>
        <x:v>0</x:v>
      </x:c>
      <x:c r="N1564" s="78" t="n">
        <x:f>H1564*(L1564*(1-'Inputs'!$B$15))/(I1564+L1564*(1-'Inputs'!$B$15))</x:f>
        <x:v>0</x:v>
      </x:c>
      <x:c r="O1564" s="78" t="n">
        <x:f>H1564-N1564</x:f>
        <x:v>21985490.80122979</x:v>
      </x:c>
      <x:c r="P1564" s="78" t="n">
        <x:f>I1564+L1564*(1-'Inputs'!$B$17)</x:f>
        <x:v>513.1530309189179</x:v>
      </x:c>
      <x:c r="Q1564" s="78" t="n">
        <x:f>IF(J1564&gt;0,M1564/J1564,0)</x:f>
        <x:v>0</x:v>
      </x:c>
      <x:c r="R1564" s="78" t="n">
        <x:f>IF(B1564='Inputs'!$H$48,'Inputs'!$B$27*'Inputs'!$I$48,0)</x:f>
        <x:v>0</x:v>
      </x:c>
      <x:c r="S1564" s="78" t="n">
        <x:f>Q1564+G1564+R1564</x:f>
        <x:v>232907.88023081233</x:v>
      </x:c>
      <x:c r="T1564" s="78" t="n">
        <x:f>P1564*(S1564*(1-'Inputs'!$B$15))/(O1564+S1564*(1-'Inputs'!$B$15))</x:f>
        <x:v>5.325974077994887</x:v>
      </x:c>
      <x:c r="U1564" s="78" t="n">
        <x:f>O1564+S1564*(1-'Inputs'!$B$17)</x:f>
        <x:v>22217461.42640937</x:v>
      </x:c>
      <x:c r="V1564" s="78" t="n">
        <x:f>P1564-T1564</x:f>
        <x:v>507.82705684092303</x:v>
      </x:c>
      <x:c r="W1564" s="79" t="n">
        <x:f>IF(U1564&gt;0,V1564/U1564,0)</x:f>
        <x:v>0.000022857114370288994</x:v>
      </x:c>
      <x:c r="X1564" s="80" t="n">
        <x:f>W1564*('Inputs'!$B$6-AC1564)</x:f>
        <x:v>22824.17154086452</x:v>
      </x:c>
      <x:c r="Y1564" s="80" t="n">
        <x:f>2*V1564</x:f>
        <x:v>1015.6541136818461</x:v>
      </x:c>
      <x:c r="Z1564" s="80" t="n">
        <x:f>K1564*'Inputs'!$B$16+(G1564+R1564)*J1564*'Inputs'!$B$16</x:f>
        <x:v>1.8799680729842014</x:v>
      </x:c>
      <x:c r="AA1564" s="80" t="n">
        <x:f>K1564*(1+'Inputs'!$E$48)/2*'Inputs'!$B$17</x:f>
        <x:v>0.6195006409483919</x:v>
      </x:c>
      <x:c r="AB1564" s="78" t="n">
        <x:f>(IF(J1564&gt;0,K1564*(1-'Inputs'!$E$48)/2/J1564,0)+G1564+R1564)*'Inputs'!$B$17</x:f>
        <x:v>27479.095052715293</x:v>
      </x:c>
      <x:c r="AC1564" s="78" t="n">
        <x:f>AC1563+AB1564</x:f>
        <x:v>1441250.583551084</x:v>
      </x:c>
      <x:c r="AD1564" s="80" t="n">
        <x:f>Z1564/(1+'Inputs'!$C$48)</x:f>
        <x:v>1.503974458387361</x:v>
      </x:c>
      <x:c r="AE1564" s="80" t="n">
        <x:f>Z1564-AD1564</x:f>
        <x:v>0.37599361459684033</x:v>
      </x:c>
      <x:c r="AF1564" s="80" t="n">
        <x:f>D1564*W1564</x:f>
        <x:v>6.654485983104451</x:v>
      </x:c>
      <x:c r="AG1564" s="80" t="n">
        <x:f>C1564*W1564</x:f>
        <x:v>3.881783490144249</x:v>
      </x:c>
      <x:c r="AH1564" s="80" t="n">
        <x:f>2*'Inputs'!$B$8*'Inputs'!$C$48</x:f>
        <x:v>1250</x:v>
      </x:c>
      <x:c r="AI1564" s="81" t="n">
        <x:f>IF(AH1564&gt;0,(AE1564+AF1564)/AH1564*365,0)</x:f>
        <x:v>2.052900042528777</x:v>
      </x:c>
      <x:c r="AJ1564" s="81" t="n">
        <x:f>IF('Inputs'!$B$48&gt;0,AG1564/('Inputs'!$B$19*'Inputs'!$B$48)*365,0)</x:f>
        <x:v>0.5667403895610604</x:v>
      </x:c>
      <x:c r="AK1564" s="81" t="n">
        <x:f>W1564/MAX($W$1464:W1564)-1</x:f>
        <x:v>-0.9731204195960614</x:v>
      </x:c>
      <x:c r="AL1564" s="83" t="n">
        <x:f>'Inputs'!$B$48</x:f>
        <x:v>0.25</x:v>
      </x:c>
      <x:c r="AM1564" s="83" t="n">
        <x:f>'Inputs'!$C$48</x:f>
        <x:v>0.25</x:v>
      </x:c>
      <x:c r="AN1564" s="83" t="n">
        <x:f>'Inputs'!$D$48</x:f>
        <x:v>0.3</x:v>
      </x:c>
      <x:c r="AO1564" s="81" t="n">
        <x:f>'Inputs'!$E$48</x:f>
        <x:v>0</x:v>
      </x:c>
    </x:row>
    <x:row r="1565">
      <x:c r="A1565" s="59" t="str">
        <x:v>Low participation</x:v>
      </x:c>
      <x:c r="B1565" s="59" t="n">
        <x:v>102</x:v>
      </x:c>
      <x:c r="C1565" s="78" t="n">
        <x:f>(('Inputs'!$B$29*(3*102*'Inputs'!$B$12-102^2)/(2*'Inputs'!$B$12^2))-('Inputs'!$B$29*(3*101*'Inputs'!$B$12-101^2)/(2*'Inputs'!$B$12^2)))*'Inputs'!$B$48</x:f>
        <x:v>169746.96237568185</x:v>
      </x:c>
      <x:c r="D1565" s="78" t="n">
        <x:f>IF('Inputs'!$C$48&gt;0,('Inputs'!$B$30*(3*102*'Inputs'!$B$12-102^2)/(2*'Inputs'!$B$12^2))-('Inputs'!$B$30*(3*101*'Inputs'!$B$12-101^2)/(2*'Inputs'!$B$12^2)),0)</x:f>
        <x:v>290994.7926440239</x:v>
      </x:c>
      <x:c r="E1565" s="78" t="n">
        <x:f>C1565+D1565</x:f>
        <x:v>460741.75501970574</x:v>
      </x:c>
      <x:c r="F1565" s="78" t="n">
        <x:f>'Inputs'!$B$13*E1565+(1-'Inputs'!$B$13)/'Inputs'!$B$14*SUM(E1510:E1565)</x:f>
        <x:v>465595.1515293681</x:v>
      </x:c>
      <x:c r="G1565" s="78" t="n">
        <x:f>F1565*'Inputs'!$F$48</x:f>
        <x:v>232797.57576468404</x:v>
      </x:c>
      <x:c r="H1565" s="78" t="n">
        <x:f>U1564</x:f>
        <x:v>22217461.42640937</x:v>
      </x:c>
      <x:c r="I1565" s="78" t="n">
        <x:f>V1564</x:f>
        <x:v>507.82705684092303</x:v>
      </x:c>
      <x:c r="J1565" s="79" t="n">
        <x:f>IF(H1565&gt;0,I1565/H1565,0)</x:f>
        <x:v>0.000022857114370288994</x:v>
      </x:c>
      <x:c r="K1565" s="80" t="n">
        <x:f>(H1565*J1565+I1565)*'Inputs'!$D$48*(1+'Inputs'!$G$48)^(B1565/30)</x:f>
        <x:v>304.6962341045538</x:v>
      </x:c>
      <x:c r="L1565" s="80" t="n">
        <x:f>MAX(0,K1565*'Inputs'!$E$48)</x:f>
        <x:v>0</x:v>
      </x:c>
      <x:c r="M1565" s="80" t="n">
        <x:f>MAX(0,-K1565*'Inputs'!$E$48)</x:f>
        <x:v>0</x:v>
      </x:c>
      <x:c r="N1565" s="78" t="n">
        <x:f>H1565*(L1565*(1-'Inputs'!$B$15))/(I1565+L1565*(1-'Inputs'!$B$15))</x:f>
        <x:v>0</x:v>
      </x:c>
      <x:c r="O1565" s="78" t="n">
        <x:f>H1565-N1565</x:f>
        <x:v>22217461.42640937</x:v>
      </x:c>
      <x:c r="P1565" s="78" t="n">
        <x:f>I1565+L1565*(1-'Inputs'!$B$17)</x:f>
        <x:v>507.82705684092303</x:v>
      </x:c>
      <x:c r="Q1565" s="78" t="n">
        <x:f>IF(J1565&gt;0,M1565/J1565,0)</x:f>
        <x:v>0</x:v>
      </x:c>
      <x:c r="R1565" s="78" t="n">
        <x:f>IF(B1565='Inputs'!$H$48,'Inputs'!$B$27*'Inputs'!$I$48,0)</x:f>
        <x:v>0</x:v>
      </x:c>
      <x:c r="S1565" s="78" t="n">
        <x:f>Q1565+G1565+R1565</x:f>
        <x:v>232797.57576468404</x:v>
      </x:c>
      <x:c r="T1565" s="78" t="n">
        <x:f>P1565*(S1565*(1-'Inputs'!$B$15))/(O1565+S1565*(1-'Inputs'!$B$15))</x:f>
        <x:v>5.213785561134742</x:v>
      </x:c>
      <x:c r="U1565" s="78" t="n">
        <x:f>O1565+S1565*(1-'Inputs'!$B$17)</x:f>
        <x:v>22449322.191003975</x:v>
      </x:c>
      <x:c r="V1565" s="78" t="n">
        <x:f>P1565-T1565</x:f>
        <x:v>502.6132712797883</x:v>
      </x:c>
      <x:c r="W1565" s="79" t="n">
        <x:f>IF(U1565&gt;0,V1565/U1565,0)</x:f>
        <x:v>0.0000223887949490608</x:v>
      </x:c>
      <x:c r="X1565" s="80" t="n">
        <x:f>W1565*('Inputs'!$B$6-AC1565)</x:f>
        <x:v>22355.905601518367</x:v>
      </x:c>
      <x:c r="Y1565" s="80" t="n">
        <x:f>2*V1565</x:f>
        <x:v>1005.2265425595766</x:v>
      </x:c>
      <x:c r="Z1565" s="80" t="n">
        <x:f>K1565*'Inputs'!$B$16+(G1565+R1565)*J1565*'Inputs'!$B$16</x:f>
        <x:v>1.8601038895135993</x:v>
      </x:c>
      <x:c r="AA1565" s="80" t="n">
        <x:f>K1565*(1+'Inputs'!$E$48)/2*'Inputs'!$B$17</x:f>
        <x:v>0.6130708935705309</x:v>
      </x:c>
      <x:c r="AB1565" s="78" t="n">
        <x:f>(IF(J1565&gt;0,K1565*(1-'Inputs'!$E$48)/2/J1565,0)+G1565+R1565)*'Inputs'!$B$17</x:f>
        <x:v>27758.69619190139</x:v>
      </x:c>
      <x:c r="AC1565" s="78" t="n">
        <x:f>AC1564+AB1565</x:f>
        <x:v>1469009.2797429853</x:v>
      </x:c>
      <x:c r="AD1565" s="80" t="n">
        <x:f>Z1565/(1+'Inputs'!$C$48)</x:f>
        <x:v>1.4880831116108795</x:v>
      </x:c>
      <x:c r="AE1565" s="80" t="n">
        <x:f>Z1565-AD1565</x:f>
        <x:v>0.3720207779027198</x:v>
      </x:c>
      <x:c r="AF1565" s="80" t="n">
        <x:f>D1565*W1565</x:f>
        <x:v>6.5150227437515165</x:v>
      </x:c>
      <x:c r="AG1565" s="80" t="n">
        <x:f>C1565*W1565</x:f>
        <x:v>3.8004299338550793</x:v>
      </x:c>
      <x:c r="AH1565" s="80" t="n">
        <x:f>2*'Inputs'!$B$8*'Inputs'!$C$48</x:f>
        <x:v>1250</x:v>
      </x:c>
      <x:c r="AI1565" s="81" t="n">
        <x:f>IF(AH1565&gt;0,(AE1565+AF1565)/AH1565*365,0)</x:f>
        <x:v>2.011016708323037</x:v>
      </x:c>
      <x:c r="AJ1565" s="81" t="n">
        <x:f>IF('Inputs'!$B$48&gt;0,AG1565/('Inputs'!$B$19*'Inputs'!$B$48)*365,0)</x:f>
        <x:v>0.5548627703428416</x:v>
      </x:c>
      <x:c r="AK1565" s="81" t="n">
        <x:f>W1565/MAX($W$1464:W1565)-1</x:f>
        <x:v>-0.9736711553247146</x:v>
      </x:c>
      <x:c r="AL1565" s="83" t="n">
        <x:f>'Inputs'!$B$48</x:f>
        <x:v>0.25</x:v>
      </x:c>
      <x:c r="AM1565" s="83" t="n">
        <x:f>'Inputs'!$C$48</x:f>
        <x:v>0.25</x:v>
      </x:c>
      <x:c r="AN1565" s="83" t="n">
        <x:f>'Inputs'!$D$48</x:f>
        <x:v>0.3</x:v>
      </x:c>
      <x:c r="AO1565" s="81" t="n">
        <x:f>'Inputs'!$E$48</x:f>
        <x:v>0</x:v>
      </x:c>
    </x:row>
    <x:row r="1566">
      <x:c r="A1566" s="59" t="str">
        <x:v>Low participation</x:v>
      </x:c>
      <x:c r="B1566" s="59" t="n">
        <x:v>103</x:v>
      </x:c>
      <x:c r="C1566" s="78" t="n">
        <x:f>(('Inputs'!$B$29*(3*103*'Inputs'!$B$12-103^2)/(2*'Inputs'!$B$12^2))-('Inputs'!$B$29*(3*102*'Inputs'!$B$12-102^2)/(2*'Inputs'!$B$12^2)))*'Inputs'!$B$48</x:f>
        <x:v>169665.68540063873</x:v>
      </x:c>
      <x:c r="D1566" s="78" t="n">
        <x:f>IF('Inputs'!$C$48&gt;0,('Inputs'!$B$30*(3*103*'Inputs'!$B$12-103^2)/(2*'Inputs'!$B$12^2))-('Inputs'!$B$30*(3*102*'Inputs'!$B$12-102^2)/(2*'Inputs'!$B$12^2)),0)</x:f>
        <x:v>290855.4606868066</x:v>
      </x:c>
      <x:c r="E1566" s="78" t="n">
        <x:f>C1566+D1566</x:f>
        <x:v>460521.1460874453</x:v>
      </x:c>
      <x:c r="F1566" s="78" t="n">
        <x:f>'Inputs'!$B$13*E1566+(1-'Inputs'!$B$13)/'Inputs'!$B$14*SUM(E1511:E1566)</x:f>
        <x:v>465374.54259711015</x:v>
      </x:c>
      <x:c r="G1566" s="78" t="n">
        <x:f>F1566*'Inputs'!$F$48</x:f>
        <x:v>232687.27129855508</x:v>
      </x:c>
      <x:c r="H1566" s="78" t="n">
        <x:f>U1565</x:f>
        <x:v>22449322.191003975</x:v>
      </x:c>
      <x:c r="I1566" s="78" t="n">
        <x:f>V1565</x:f>
        <x:v>502.6132712797883</x:v>
      </x:c>
      <x:c r="J1566" s="79" t="n">
        <x:f>IF(H1566&gt;0,I1566/H1566,0)</x:f>
        <x:v>0.0000223887949490608</x:v>
      </x:c>
      <x:c r="K1566" s="80" t="n">
        <x:f>(H1566*J1566+I1566)*'Inputs'!$D$48*(1+'Inputs'!$G$48)^(B1566/30)</x:f>
        <x:v>301.567962767873</x:v>
      </x:c>
      <x:c r="L1566" s="80" t="n">
        <x:f>MAX(0,K1566*'Inputs'!$E$48)</x:f>
        <x:v>0</x:v>
      </x:c>
      <x:c r="M1566" s="80" t="n">
        <x:f>MAX(0,-K1566*'Inputs'!$E$48)</x:f>
        <x:v>0</x:v>
      </x:c>
      <x:c r="N1566" s="78" t="n">
        <x:f>H1566*(L1566*(1-'Inputs'!$B$15))/(I1566+L1566*(1-'Inputs'!$B$15))</x:f>
        <x:v>0</x:v>
      </x:c>
      <x:c r="O1566" s="78" t="n">
        <x:f>H1566-N1566</x:f>
        <x:v>22449322.191003975</x:v>
      </x:c>
      <x:c r="P1566" s="78" t="n">
        <x:f>I1566+L1566*(1-'Inputs'!$B$17)</x:f>
        <x:v>502.6132712797883</x:v>
      </x:c>
      <x:c r="Q1566" s="78" t="n">
        <x:f>IF(J1566&gt;0,M1566/J1566,0)</x:f>
        <x:v>0</x:v>
      </x:c>
      <x:c r="R1566" s="78" t="n">
        <x:f>IF(B1566='Inputs'!$H$48,'Inputs'!$B$27*'Inputs'!$I$48,0)</x:f>
        <x:v>0</x:v>
      </x:c>
      <x:c r="S1566" s="78" t="n">
        <x:f>Q1566+G1566+R1566</x:f>
        <x:v>232687.27129855508</x:v>
      </x:c>
      <x:c r="T1566" s="78" t="n">
        <x:f>P1566*(S1566*(1-'Inputs'!$B$15))/(O1566+S1566*(1-'Inputs'!$B$15))</x:f>
        <x:v>5.10510643387732</x:v>
      </x:c>
      <x:c r="U1566" s="78" t="n">
        <x:f>O1566+S1566*(1-'Inputs'!$B$17)</x:f>
        <x:v>22681073.095013604</x:v>
      </x:c>
      <x:c r="V1566" s="78" t="n">
        <x:f>P1566-T1566</x:f>
        <x:v>497.508164845911</x:v>
      </x:c>
      <x:c r="W1566" s="79" t="n">
        <x:f>IF(U1566&gt;0,V1566/U1566,0)</x:f>
        <x:v>0.000021934948261124706</x:v>
      </x:c>
      <x:c r="X1566" s="80" t="n">
        <x:f>W1566*('Inputs'!$B$6-AC1566)</x:f>
        <x:v>21902.110602886343</x:v>
      </x:c>
      <x:c r="Y1566" s="80" t="n">
        <x:f>2*V1566</x:f>
        <x:v>995.016329691822</x:v>
      </x:c>
      <x:c r="Z1566" s="80" t="n">
        <x:f>K1566*'Inputs'!$B$16+(G1566+R1566)*J1566*'Inputs'!$B$16</x:f>
        <x:v>1.8406653022333967</x:v>
      </x:c>
      <x:c r="AA1566" s="80" t="n">
        <x:f>K1566*(1+'Inputs'!$E$48)/2*'Inputs'!$B$17</x:f>
        <x:v>0.6067765850460222</x:v>
      </x:c>
      <x:c r="AB1566" s="78" t="n">
        <x:f>(IF(J1566&gt;0,K1566*(1-'Inputs'!$E$48)/2/J1566,0)+G1566+R1566)*'Inputs'!$B$17</x:f>
        <x:v>28038.164702614682</x:v>
      </x:c>
      <x:c r="AC1566" s="78" t="n">
        <x:f>AC1565+AB1566</x:f>
        <x:v>1497047.4444456</x:v>
      </x:c>
      <x:c r="AD1566" s="80" t="n">
        <x:f>Z1566/(1+'Inputs'!$C$48)</x:f>
        <x:v>1.4725322417867175</x:v>
      </x:c>
      <x:c r="AE1566" s="80" t="n">
        <x:f>Z1566-AD1566</x:f>
        <x:v>0.36813306044667926</x:v>
      </x:c>
      <x:c r="AF1566" s="80" t="n">
        <x:f>D1566*W1566</x:f>
        <x:v>6.3798994816306935</x:v>
      </x:c>
      <x:c r="AG1566" s="80" t="n">
        <x:f>C1566*W1566</x:f>
        <x:v>3.721608030951272</x:v>
      </x:c>
      <x:c r="AH1566" s="80" t="n">
        <x:f>2*'Inputs'!$B$8*'Inputs'!$C$48</x:f>
        <x:v>1250</x:v>
      </x:c>
      <x:c r="AI1566" s="81" t="n">
        <x:f>IF(AH1566&gt;0,(AE1566+AF1566)/AH1566*365,0)</x:f>
        <x:v>1.9704255022865929</x:v>
      </x:c>
      <x:c r="AJ1566" s="81" t="n">
        <x:f>IF('Inputs'!$B$48&gt;0,AG1566/('Inputs'!$B$19*'Inputs'!$B$48)*365,0)</x:f>
        <x:v>0.5433547725188858</x:v>
      </x:c>
      <x:c r="AK1566" s="81" t="n">
        <x:f>W1566/MAX($W$1464:W1566)-1</x:f>
        <x:v>-0.9742048713634853</x:v>
      </x:c>
      <x:c r="AL1566" s="83" t="n">
        <x:f>'Inputs'!$B$48</x:f>
        <x:v>0.25</x:v>
      </x:c>
      <x:c r="AM1566" s="83" t="n">
        <x:f>'Inputs'!$C$48</x:f>
        <x:v>0.25</x:v>
      </x:c>
      <x:c r="AN1566" s="83" t="n">
        <x:f>'Inputs'!$D$48</x:f>
        <x:v>0.3</x:v>
      </x:c>
      <x:c r="AO1566" s="81" t="n">
        <x:f>'Inputs'!$E$48</x:f>
        <x:v>0</x:v>
      </x:c>
    </x:row>
    <x:row r="1567">
      <x:c r="A1567" s="59" t="str">
        <x:v>Low participation</x:v>
      </x:c>
      <x:c r="B1567" s="59" t="n">
        <x:v>104</x:v>
      </x:c>
      <x:c r="C1567" s="78" t="n">
        <x:f>(('Inputs'!$B$29*(3*104*'Inputs'!$B$12-104^2)/(2*'Inputs'!$B$12^2))-('Inputs'!$B$29*(3*103*'Inputs'!$B$12-103^2)/(2*'Inputs'!$B$12^2)))*'Inputs'!$B$48</x:f>
        <x:v>169584.4084255956</x:v>
      </x:c>
      <x:c r="D1567" s="78" t="n">
        <x:f>IF('Inputs'!$C$48&gt;0,('Inputs'!$B$30*(3*104*'Inputs'!$B$12-104^2)/(2*'Inputs'!$B$12^2))-('Inputs'!$B$30*(3*103*'Inputs'!$B$12-103^2)/(2*'Inputs'!$B$12^2)),0)</x:f>
        <x:v>290716.128729593</x:v>
      </x:c>
      <x:c r="E1567" s="78" t="n">
        <x:f>C1567+D1567</x:f>
        <x:v>460300.5371551886</x:v>
      </x:c>
      <x:c r="F1567" s="78" t="n">
        <x:f>'Inputs'!$B$13*E1567+(1-'Inputs'!$B$13)/'Inputs'!$B$14*SUM(E1512:E1567)</x:f>
        <x:v>465153.93366485275</x:v>
      </x:c>
      <x:c r="G1567" s="78" t="n">
        <x:f>F1567*'Inputs'!$F$48</x:f>
        <x:v>232576.96683242638</x:v>
      </x:c>
      <x:c r="H1567" s="78" t="n">
        <x:f>U1566</x:f>
        <x:v>22681073.095013604</x:v>
      </x:c>
      <x:c r="I1567" s="78" t="n">
        <x:f>V1566</x:f>
        <x:v>497.508164845911</x:v>
      </x:c>
      <x:c r="J1567" s="79" t="n">
        <x:f>IF(H1567&gt;0,I1567/H1567,0)</x:f>
        <x:v>0.000021934948261124706</x:v>
      </x:c>
      <x:c r="K1567" s="80" t="n">
        <x:f>(H1567*J1567+I1567)*'Inputs'!$D$48*(1+'Inputs'!$G$48)^(B1567/30)</x:f>
        <x:v>298.5048989075466</x:v>
      </x:c>
      <x:c r="L1567" s="80" t="n">
        <x:f>MAX(0,K1567*'Inputs'!$E$48)</x:f>
        <x:v>0</x:v>
      </x:c>
      <x:c r="M1567" s="80" t="n">
        <x:f>MAX(0,-K1567*'Inputs'!$E$48)</x:f>
        <x:v>0</x:v>
      </x:c>
      <x:c r="N1567" s="78" t="n">
        <x:f>H1567*(L1567*(1-'Inputs'!$B$15))/(I1567+L1567*(1-'Inputs'!$B$15))</x:f>
        <x:v>0</x:v>
      </x:c>
      <x:c r="O1567" s="78" t="n">
        <x:f>H1567-N1567</x:f>
        <x:v>22681073.095013604</x:v>
      </x:c>
      <x:c r="P1567" s="78" t="n">
        <x:f>I1567+L1567*(1-'Inputs'!$B$17)</x:f>
        <x:v>497.508164845911</x:v>
      </x:c>
      <x:c r="Q1567" s="78" t="n">
        <x:f>IF(J1567&gt;0,M1567/J1567,0)</x:f>
        <x:v>0</x:v>
      </x:c>
      <x:c r="R1567" s="78" t="n">
        <x:f>IF(B1567='Inputs'!$H$48,'Inputs'!$B$27*'Inputs'!$I$48,0)</x:f>
        <x:v>0</x:v>
      </x:c>
      <x:c r="S1567" s="78" t="n">
        <x:f>Q1567+G1567+R1567</x:f>
        <x:v>232576.96683242638</x:v>
      </x:c>
      <x:c r="T1567" s="78" t="n">
        <x:f>P1567*(S1567*(1-'Inputs'!$B$15))/(O1567+S1567*(1-'Inputs'!$B$15))</x:f>
        <x:v>4.999791766458314</x:v>
      </x:c>
      <x:c r="U1567" s="78" t="n">
        <x:f>O1567+S1567*(1-'Inputs'!$B$17)</x:f>
        <x:v>22912714.138438255</x:v>
      </x:c>
      <x:c r="V1567" s="78" t="n">
        <x:f>P1567-T1567</x:f>
        <x:v>492.50837307945267</x:v>
      </x:c>
      <x:c r="W1567" s="79" t="n">
        <x:f>IF(U1567&gt;0,V1567/U1567,0)</x:f>
        <x:v>0.0000214949817862574</x:v>
      </x:c>
      <x:c r="X1567" s="80" t="n">
        <x:f>W1567*('Inputs'!$B$6-AC1567)</x:f>
        <x:v>21462.194094546576</x:v>
      </x:c>
      <x:c r="Y1567" s="80" t="n">
        <x:f>2*V1567</x:f>
        <x:v>985.0167461589053</x:v>
      </x:c>
      <x:c r="Z1567" s="80" t="n">
        <x:f>K1567*'Inputs'!$B$16+(G1567+R1567)*J1567*'Inputs'!$B$16</x:f>
        <x:v>1.8216387758504713</x:v>
      </x:c>
      <x:c r="AA1567" s="80" t="n">
        <x:f>K1567*(1+'Inputs'!$E$48)/2*'Inputs'!$B$17</x:f>
        <x:v>0.6006134786872165</x:v>
      </x:c>
      <x:c r="AB1567" s="78" t="n">
        <x:f>(IF(J1567&gt;0,K1567*(1-'Inputs'!$E$48)/2/J1567,0)+G1567+R1567)*'Inputs'!$B$17</x:f>
        <x:v>28317.50058485516</x:v>
      </x:c>
      <x:c r="AC1567" s="78" t="n">
        <x:f>AC1566+AB1567</x:f>
        <x:v>1525364.9450304552</x:v>
      </x:c>
      <x:c r="AD1567" s="80" t="n">
        <x:f>Z1567/(1+'Inputs'!$C$48)</x:f>
        <x:v>1.457311020680377</x:v>
      </x:c>
      <x:c r="AE1567" s="80" t="n">
        <x:f>Z1567-AD1567</x:f>
        <x:v>0.3643277551700943</x:v>
      </x:c>
      <x:c r="AF1567" s="80" t="n">
        <x:f>D1567*W1567</x:f>
        <x:v>6.248937892013863</x:v>
      </x:c>
      <x:c r="AG1567" s="80" t="n">
        <x:f>C1567*W1567</x:f>
        <x:v>3.6452137703414134</x:v>
      </x:c>
      <x:c r="AH1567" s="80" t="n">
        <x:f>2*'Inputs'!$B$8*'Inputs'!$C$48</x:f>
        <x:v>1250</x:v>
      </x:c>
      <x:c r="AI1567" s="81" t="n">
        <x:f>IF(AH1567&gt;0,(AE1567+AF1567)/AH1567*365,0)</x:f>
        <x:v>1.9310735689777156</x:v>
      </x:c>
      <x:c r="AJ1567" s="81" t="n">
        <x:f>IF('Inputs'!$B$48&gt;0,AG1567/('Inputs'!$B$19*'Inputs'!$B$48)*365,0)</x:f>
        <x:v>0.5322012104698464</x:v>
      </x:c>
      <x:c r="AK1567" s="81" t="n">
        <x:f>W1567/MAX($W$1464:W1567)-1</x:f>
        <x:v>-0.9747222645061475</x:v>
      </x:c>
      <x:c r="AL1567" s="83" t="n">
        <x:f>'Inputs'!$B$48</x:f>
        <x:v>0.25</x:v>
      </x:c>
      <x:c r="AM1567" s="83" t="n">
        <x:f>'Inputs'!$C$48</x:f>
        <x:v>0.25</x:v>
      </x:c>
      <x:c r="AN1567" s="83" t="n">
        <x:f>'Inputs'!$D$48</x:f>
        <x:v>0.3</x:v>
      </x:c>
      <x:c r="AO1567" s="81" t="n">
        <x:f>'Inputs'!$E$48</x:f>
        <x:v>0</x:v>
      </x:c>
    </x:row>
    <x:row r="1568">
      <x:c r="A1568" s="59" t="str">
        <x:v>Low participation</x:v>
      </x:c>
      <x:c r="B1568" s="59" t="n">
        <x:v>105</x:v>
      </x:c>
      <x:c r="C1568" s="78" t="n">
        <x:f>(('Inputs'!$B$29*(3*105*'Inputs'!$B$12-105^2)/(2*'Inputs'!$B$12^2))-('Inputs'!$B$29*(3*104*'Inputs'!$B$12-104^2)/(2*'Inputs'!$B$12^2)))*'Inputs'!$B$48</x:f>
        <x:v>169503.1314505525</x:v>
      </x:c>
      <x:c r="D1568" s="78" t="n">
        <x:f>IF('Inputs'!$C$48&gt;0,('Inputs'!$B$30*(3*105*'Inputs'!$B$12-105^2)/(2*'Inputs'!$B$12^2))-('Inputs'!$B$30*(3*104*'Inputs'!$B$12-104^2)/(2*'Inputs'!$B$12^2)),0)</x:f>
        <x:v>290576.7967723794</x:v>
      </x:c>
      <x:c r="E1568" s="78" t="n">
        <x:f>C1568+D1568</x:f>
        <x:v>460079.9282229319</x:v>
      </x:c>
      <x:c r="F1568" s="78" t="n">
        <x:f>'Inputs'!$B$13*E1568+(1-'Inputs'!$B$13)/'Inputs'!$B$14*SUM(E1513:E1568)</x:f>
        <x:v>464933.3247325955</x:v>
      </x:c>
      <x:c r="G1568" s="78" t="n">
        <x:f>F1568*'Inputs'!$F$48</x:f>
        <x:v>232466.66236629774</x:v>
      </x:c>
      <x:c r="H1568" s="78" t="n">
        <x:f>U1567</x:f>
        <x:v>22912714.138438255</x:v>
      </x:c>
      <x:c r="I1568" s="78" t="n">
        <x:f>V1567</x:f>
        <x:v>492.50837307945267</x:v>
      </x:c>
      <x:c r="J1568" s="79" t="n">
        <x:f>IF(H1568&gt;0,I1568/H1568,0)</x:f>
        <x:v>0.0000214949817862574</x:v>
      </x:c>
      <x:c r="K1568" s="80" t="n">
        <x:f>(H1568*J1568+I1568)*'Inputs'!$D$48*(1+'Inputs'!$G$48)^(B1568/30)</x:f>
        <x:v>295.50502384767157</x:v>
      </x:c>
      <x:c r="L1568" s="80" t="n">
        <x:f>MAX(0,K1568*'Inputs'!$E$48)</x:f>
        <x:v>0</x:v>
      </x:c>
      <x:c r="M1568" s="80" t="n">
        <x:f>MAX(0,-K1568*'Inputs'!$E$48)</x:f>
        <x:v>0</x:v>
      </x:c>
      <x:c r="N1568" s="78" t="n">
        <x:f>H1568*(L1568*(1-'Inputs'!$B$15))/(I1568+L1568*(1-'Inputs'!$B$15))</x:f>
        <x:v>0</x:v>
      </x:c>
      <x:c r="O1568" s="78" t="n">
        <x:f>H1568-N1568</x:f>
        <x:v>22912714.138438255</x:v>
      </x:c>
      <x:c r="P1568" s="78" t="n">
        <x:f>I1568+L1568*(1-'Inputs'!$B$17)</x:f>
        <x:v>492.50837307945267</x:v>
      </x:c>
      <x:c r="Q1568" s="78" t="n">
        <x:f>IF(J1568&gt;0,M1568/J1568,0)</x:f>
        <x:v>0</x:v>
      </x:c>
      <x:c r="R1568" s="78" t="n">
        <x:f>IF(B1568='Inputs'!$H$48,'Inputs'!$B$27*'Inputs'!$I$48,0)</x:f>
        <x:v>0</x:v>
      </x:c>
      <x:c r="S1568" s="78" t="n">
        <x:f>Q1568+G1568+R1568</x:f>
        <x:v>232466.66236629774</x:v>
      </x:c>
      <x:c r="T1568" s="78" t="n">
        <x:f>P1568*(S1568*(1-'Inputs'!$B$15))/(O1568+S1568*(1-'Inputs'!$B$15))</x:f>
        <x:v>4.897704036324863</x:v>
      </x:c>
      <x:c r="U1568" s="78" t="n">
        <x:f>O1568+S1568*(1-'Inputs'!$B$17)</x:f>
        <x:v>23144245.321277928</x:v>
      </x:c>
      <x:c r="V1568" s="78" t="n">
        <x:f>P1568-T1568</x:f>
        <x:v>487.6106690431278</x:v>
      </x:c>
      <x:c r="W1568" s="79" t="n">
        <x:f>IF(U1568&gt;0,V1568/U1568,0)</x:f>
        <x:v>0.00002106833306830002</x:v>
      </x:c>
      <x:c r="X1568" s="80" t="n">
        <x:f>W1568*('Inputs'!$B$6-AC1568)</x:f>
        <x:v>21035.59368670628</x:v>
      </x:c>
      <x:c r="Y1568" s="80" t="n">
        <x:f>2*V1568</x:f>
        <x:v>975.2213380862556</x:v>
      </x:c>
      <x:c r="Z1568" s="80" t="n">
        <x:f>K1568*'Inputs'!$B$16+(G1568+R1568)*J1568*'Inputs'!$B$16</x:f>
        <x:v>1.803011343126883</x:v>
      </x:c>
      <x:c r="AA1568" s="80" t="n">
        <x:f>K1568*(1+'Inputs'!$E$48)/2*'Inputs'!$B$17</x:f>
        <x:v>0.594577512771975</x:v>
      </x:c>
      <x:c r="AB1568" s="78" t="n">
        <x:f>(IF(J1568&gt;0,K1568*(1-'Inputs'!$E$48)/2/J1568,0)+G1568+R1568)*'Inputs'!$B$17</x:f>
        <x:v>28596.703838622834</x:v>
      </x:c>
      <x:c r="AC1568" s="78" t="n">
        <x:f>AC1567+AB1568</x:f>
        <x:v>1553961.6488690781</x:v>
      </x:c>
      <x:c r="AD1568" s="80" t="n">
        <x:f>Z1568/(1+'Inputs'!$C$48)</x:f>
        <x:v>1.4424090745015063</x:v>
      </x:c>
      <x:c r="AE1568" s="80" t="n">
        <x:f>Z1568-AD1568</x:f>
        <x:v>0.3606022686253767</x:v>
      </x:c>
      <x:c r="AF1568" s="80" t="n">
        <x:f>D1568*W1568</x:f>
        <x:v>6.121968736320216</x:v>
      </x:c>
      <x:c r="AG1568" s="80" t="n">
        <x:f>C1568*W1568</x:f>
        <x:v>3.5711484295200804</x:v>
      </x:c>
      <x:c r="AH1568" s="80" t="n">
        <x:f>2*'Inputs'!$B$8*'Inputs'!$C$48</x:f>
        <x:v>1250</x:v>
      </x:c>
      <x:c r="AI1568" s="81" t="n">
        <x:f>IF(AH1568&gt;0,(AE1568+AF1568)/AH1568*365,0)</x:f>
        <x:v>1.892910733444113</x:v>
      </x:c>
      <x:c r="AJ1568" s="81" t="n">
        <x:f>IF('Inputs'!$B$48&gt;0,AG1568/('Inputs'!$B$19*'Inputs'!$B$48)*365,0)</x:f>
        <x:v>0.5213876707099317</x:v>
      </x:c>
      <x:c r="AK1568" s="81" t="n">
        <x:f>W1568/MAX($W$1464:W1568)-1</x:f>
        <x:v>-0.9752239961916431</x:v>
      </x:c>
      <x:c r="AL1568" s="83" t="n">
        <x:f>'Inputs'!$B$48</x:f>
        <x:v>0.25</x:v>
      </x:c>
      <x:c r="AM1568" s="83" t="n">
        <x:f>'Inputs'!$C$48</x:f>
        <x:v>0.25</x:v>
      </x:c>
      <x:c r="AN1568" s="83" t="n">
        <x:f>'Inputs'!$D$48</x:f>
        <x:v>0.3</x:v>
      </x:c>
      <x:c r="AO1568" s="81" t="n">
        <x:f>'Inputs'!$E$48</x:f>
        <x:v>0</x:v>
      </x:c>
    </x:row>
    <x:row r="1569">
      <x:c r="A1569" s="59" t="str">
        <x:v>Low participation</x:v>
      </x:c>
      <x:c r="B1569" s="59" t="n">
        <x:v>106</x:v>
      </x:c>
      <x:c r="C1569" s="78" t="n">
        <x:f>(('Inputs'!$B$29*(3*106*'Inputs'!$B$12-106^2)/(2*'Inputs'!$B$12^2))-('Inputs'!$B$29*(3*105*'Inputs'!$B$12-105^2)/(2*'Inputs'!$B$12^2)))*'Inputs'!$B$48</x:f>
        <x:v>169421.85447550938</x:v>
      </x:c>
      <x:c r="D1569" s="78" t="n">
        <x:f>IF('Inputs'!$C$48&gt;0,('Inputs'!$B$30*(3*106*'Inputs'!$B$12-106^2)/(2*'Inputs'!$B$12^2))-('Inputs'!$B$30*(3*105*'Inputs'!$B$12-105^2)/(2*'Inputs'!$B$12^2)),0)</x:f>
        <x:v>290437.4648151621</x:v>
      </x:c>
      <x:c r="E1569" s="78" t="n">
        <x:f>C1569+D1569</x:f>
        <x:v>459859.3192906715</x:v>
      </x:c>
      <x:c r="F1569" s="78" t="n">
        <x:f>'Inputs'!$B$13*E1569+(1-'Inputs'!$B$13)/'Inputs'!$B$14*SUM(E1514:E1569)</x:f>
        <x:v>464712.7158003373</x:v>
      </x:c>
      <x:c r="G1569" s="78" t="n">
        <x:f>F1569*'Inputs'!$F$48</x:f>
        <x:v>232356.35790016866</x:v>
      </x:c>
      <x:c r="H1569" s="78" t="n">
        <x:f>U1568</x:f>
        <x:v>23144245.321277928</x:v>
      </x:c>
      <x:c r="I1569" s="78" t="n">
        <x:f>V1568</x:f>
        <x:v>487.6106690431278</x:v>
      </x:c>
      <x:c r="J1569" s="79" t="n">
        <x:f>IF(H1569&gt;0,I1569/H1569,0)</x:f>
        <x:v>0.00002106833306830002</x:v>
      </x:c>
      <x:c r="K1569" s="80" t="n">
        <x:f>(H1569*J1569+I1569)*'Inputs'!$D$48*(1+'Inputs'!$G$48)^(B1569/30)</x:f>
        <x:v>292.5664014258767</x:v>
      </x:c>
      <x:c r="L1569" s="80" t="n">
        <x:f>MAX(0,K1569*'Inputs'!$E$48)</x:f>
        <x:v>0</x:v>
      </x:c>
      <x:c r="M1569" s="80" t="n">
        <x:f>MAX(0,-K1569*'Inputs'!$E$48)</x:f>
        <x:v>0</x:v>
      </x:c>
      <x:c r="N1569" s="78" t="n">
        <x:f>H1569*(L1569*(1-'Inputs'!$B$15))/(I1569+L1569*(1-'Inputs'!$B$15))</x:f>
        <x:v>0</x:v>
      </x:c>
      <x:c r="O1569" s="78" t="n">
        <x:f>H1569-N1569</x:f>
        <x:v>23144245.321277928</x:v>
      </x:c>
      <x:c r="P1569" s="78" t="n">
        <x:f>I1569+L1569*(1-'Inputs'!$B$17)</x:f>
        <x:v>487.6106690431278</x:v>
      </x:c>
      <x:c r="Q1569" s="78" t="n">
        <x:f>IF(J1569&gt;0,M1569/J1569,0)</x:f>
        <x:v>0</x:v>
      </x:c>
      <x:c r="R1569" s="78" t="n">
        <x:f>IF(B1569='Inputs'!$H$48,'Inputs'!$B$27*'Inputs'!$I$48,0)</x:f>
        <x:v>0</x:v>
      </x:c>
      <x:c r="S1569" s="78" t="n">
        <x:f>Q1569+G1569+R1569</x:f>
        <x:v>232356.35790016866</x:v>
      </x:c>
      <x:c r="T1569" s="78" t="n">
        <x:f>P1569*(S1569*(1-'Inputs'!$B$15))/(O1569+S1569*(1-'Inputs'!$B$15))</x:f>
        <x:v>4.7987126783585605</x:v>
      </x:c>
      <x:c r="U1569" s="78" t="n">
        <x:f>O1569+S1569*(1-'Inputs'!$B$17)</x:f>
        <x:v>23375666.643532623</x:v>
      </x:c>
      <x:c r="V1569" s="78" t="n">
        <x:f>P1569-T1569</x:f>
        <x:v>482.81195636476923</x:v>
      </x:c>
      <x:c r="W1569" s="79" t="n">
        <x:f>IF(U1569&gt;0,V1569/U1569,0)</x:f>
        <x:v>0.000020654467901489752</x:v>
      </x:c>
      <x:c r="X1569" s="80" t="n">
        <x:f>W1569*('Inputs'!$B$6-AC1569)</x:f>
        <x:v>20621.775236736245</x:v>
      </x:c>
      <x:c r="Y1569" s="80" t="n">
        <x:f>2*V1569</x:f>
        <x:v>965.6239127295385</x:v>
      </x:c>
      <x:c r="Z1569" s="80" t="n">
        <x:f>K1569*'Inputs'!$B$16+(G1569+R1569)*J1569*'Inputs'!$B$16</x:f>
        <x:v>1.7847705753879273</x:v>
      </x:c>
      <x:c r="AA1569" s="80" t="n">
        <x:f>K1569*(1+'Inputs'!$E$48)/2*'Inputs'!$B$17</x:f>
        <x:v>0.5886647916013615</x:v>
      </x:c>
      <x:c r="AB1569" s="78" t="n">
        <x:f>(IF(J1569&gt;0,K1569*(1-'Inputs'!$E$48)/2/J1569,0)+G1569+R1569)*'Inputs'!$B$17</x:f>
        <x:v>28875.774463917696</x:v>
      </x:c>
      <x:c r="AC1569" s="78" t="n">
        <x:f>AC1568+AB1569</x:f>
        <x:v>1582837.4233329957</x:v>
      </x:c>
      <x:c r="AD1569" s="80" t="n">
        <x:f>Z1569/(1+'Inputs'!$C$48)</x:f>
        <x:v>1.4278164603103418</x:v>
      </x:c>
      <x:c r="AE1569" s="80" t="n">
        <x:f>Z1569-AD1569</x:f>
        <x:v>0.35695411507758545</x:v>
      </x:c>
      <x:c r="AF1569" s="80" t="n">
        <x:f>D1569*W1569</x:f>
        <x:v>5.998831294414825</x:v>
      </x:c>
      <x:c r="AG1569" s="80" t="n">
        <x:f>C1569*W1569</x:f>
        <x:v>3.499318255075276</x:v>
      </x:c>
      <x:c r="AH1569" s="80" t="n">
        <x:f>2*'Inputs'!$B$8*'Inputs'!$C$48</x:f>
        <x:v>1250</x:v>
      </x:c>
      <x:c r="AI1569" s="81" t="n">
        <x:f>IF(AH1569&gt;0,(AE1569+AF1569)/AH1569*365,0)</x:f>
        <x:v>1.855889339571784</x:v>
      </x:c>
      <x:c r="AJ1569" s="81" t="n">
        <x:f>IF('Inputs'!$B$48&gt;0,AG1569/('Inputs'!$B$19*'Inputs'!$B$48)*365,0)</x:f>
        <x:v>0.5109004652409903</x:v>
      </x:c>
      <x:c r="AK1569" s="81" t="n">
        <x:f>W1569/MAX($W$1464:W1569)-1</x:f>
        <x:v>-0.9757106946369257</x:v>
      </x:c>
      <x:c r="AL1569" s="83" t="n">
        <x:f>'Inputs'!$B$48</x:f>
        <x:v>0.25</x:v>
      </x:c>
      <x:c r="AM1569" s="83" t="n">
        <x:f>'Inputs'!$C$48</x:f>
        <x:v>0.25</x:v>
      </x:c>
      <x:c r="AN1569" s="83" t="n">
        <x:f>'Inputs'!$D$48</x:f>
        <x:v>0.3</x:v>
      </x:c>
      <x:c r="AO1569" s="81" t="n">
        <x:f>'Inputs'!$E$48</x:f>
        <x:v>0</x:v>
      </x:c>
    </x:row>
    <x:row r="1570">
      <x:c r="A1570" s="59" t="str">
        <x:v>Low participation</x:v>
      </x:c>
      <x:c r="B1570" s="59" t="n">
        <x:v>107</x:v>
      </x:c>
      <x:c r="C1570" s="78" t="n">
        <x:f>(('Inputs'!$B$29*(3*107*'Inputs'!$B$12-107^2)/(2*'Inputs'!$B$12^2))-('Inputs'!$B$29*(3*106*'Inputs'!$B$12-106^2)/(2*'Inputs'!$B$12^2)))*'Inputs'!$B$48</x:f>
        <x:v>169340.57750046998</x:v>
      </x:c>
      <x:c r="D1570" s="78" t="n">
        <x:f>IF('Inputs'!$C$48&gt;0,('Inputs'!$B$30*(3*107*'Inputs'!$B$12-107^2)/(2*'Inputs'!$B$12^2))-('Inputs'!$B$30*(3*106*'Inputs'!$B$12-106^2)/(2*'Inputs'!$B$12^2)),0)</x:f>
        <x:v>290298.1328579448</x:v>
      </x:c>
      <x:c r="E1570" s="78" t="n">
        <x:f>C1570+D1570</x:f>
        <x:v>459638.7103584148</x:v>
      </x:c>
      <x:c r="F1570" s="78" t="n">
        <x:f>'Inputs'!$B$13*E1570+(1-'Inputs'!$B$13)/'Inputs'!$B$14*SUM(E1515:E1570)</x:f>
        <x:v>464492.10686808</x:v>
      </x:c>
      <x:c r="G1570" s="78" t="n">
        <x:f>F1570*'Inputs'!$F$48</x:f>
        <x:v>232246.05343404</x:v>
      </x:c>
      <x:c r="H1570" s="78" t="n">
        <x:f>U1569</x:f>
        <x:v>23375666.643532623</x:v>
      </x:c>
      <x:c r="I1570" s="78" t="n">
        <x:f>V1569</x:f>
        <x:v>482.81195636476923</x:v>
      </x:c>
      <x:c r="J1570" s="79" t="n">
        <x:f>IF(H1570&gt;0,I1570/H1570,0)</x:f>
        <x:v>0.000020654467901489752</x:v>
      </x:c>
      <x:c r="K1570" s="80" t="n">
        <x:f>(H1570*J1570+I1570)*'Inputs'!$D$48*(1+'Inputs'!$G$48)^(B1570/30)</x:f>
        <x:v>289.68717381886154</x:v>
      </x:c>
      <x:c r="L1570" s="80" t="n">
        <x:f>MAX(0,K1570*'Inputs'!$E$48)</x:f>
        <x:v>0</x:v>
      </x:c>
      <x:c r="M1570" s="80" t="n">
        <x:f>MAX(0,-K1570*'Inputs'!$E$48)</x:f>
        <x:v>0</x:v>
      </x:c>
      <x:c r="N1570" s="78" t="n">
        <x:f>H1570*(L1570*(1-'Inputs'!$B$15))/(I1570+L1570*(1-'Inputs'!$B$15))</x:f>
        <x:v>0</x:v>
      </x:c>
      <x:c r="O1570" s="78" t="n">
        <x:f>H1570-N1570</x:f>
        <x:v>23375666.643532623</x:v>
      </x:c>
      <x:c r="P1570" s="78" t="n">
        <x:f>I1570+L1570*(1-'Inputs'!$B$17)</x:f>
        <x:v>482.81195636476923</x:v>
      </x:c>
      <x:c r="Q1570" s="78" t="n">
        <x:f>IF(J1570&gt;0,M1570/J1570,0)</x:f>
        <x:v>0</x:v>
      </x:c>
      <x:c r="R1570" s="78" t="n">
        <x:f>IF(B1570='Inputs'!$H$48,'Inputs'!$B$27*'Inputs'!$I$48,0)</x:f>
        <x:v>0</x:v>
      </x:c>
      <x:c r="S1570" s="78" t="n">
        <x:f>Q1570+G1570+R1570</x:f>
        <x:v>232246.05343404</x:v>
      </x:c>
      <x:c r="T1570" s="78" t="n">
        <x:f>P1570*(S1570*(1-'Inputs'!$B$15))/(O1570+S1570*(1-'Inputs'!$B$15))</x:f>
        <x:v>4.7026936666464145</x:v>
      </x:c>
      <x:c r="U1570" s="78" t="n">
        <x:f>O1570+S1570*(1-'Inputs'!$B$17)</x:f>
        <x:v>23606978.10520234</x:v>
      </x:c>
      <x:c r="V1570" s="78" t="n">
        <x:f>P1570-T1570</x:f>
        <x:v>478.1092626981228</x:v>
      </x:c>
      <x:c r="W1570" s="79" t="n">
        <x:f>IF(U1570&gt;0,V1570/U1570,0)</x:f>
        <x:v>0.000020252878643233056</x:v>
      </x:c>
      <x:c r="X1570" s="80" t="n">
        <x:f>W1570*('Inputs'!$B$6-AC1570)</x:f>
        <x:v>20220.23116213298</x:v>
      </x:c>
      <x:c r="Y1570" s="80" t="n">
        <x:f>2*V1570</x:f>
        <x:v>956.2185253962456</x:v>
      </x:c>
      <x:c r="Z1570" s="80" t="n">
        <x:f>K1570*'Inputs'!$B$16+(G1570+R1570)*J1570*'Inputs'!$B$16</x:f>
        <x:v>1.7669045548485756</x:v>
      </x:c>
      <x:c r="AA1570" s="80" t="n">
        <x:f>K1570*(1+'Inputs'!$E$48)/2*'Inputs'!$B$17</x:f>
        <x:v>0.5828715771003251</x:v>
      </x:c>
      <x:c r="AB1570" s="78" t="n">
        <x:f>(IF(J1570&gt;0,K1570*(1-'Inputs'!$E$48)/2/J1570,0)+G1570+R1570)*'Inputs'!$B$17</x:f>
        <x:v>29154.712460739745</x:v>
      </x:c>
      <x:c r="AC1570" s="78" t="n">
        <x:f>AC1569+AB1570</x:f>
        <x:v>1611992.1357937355</x:v>
      </x:c>
      <x:c r="AD1570" s="80" t="n">
        <x:f>Z1570/(1+'Inputs'!$C$48)</x:f>
        <x:v>1.4135236438788605</x:v>
      </x:c>
      <x:c r="AE1570" s="80" t="n">
        <x:f>Z1570-AD1570</x:f>
        <x:v>0.353380910969715</x:v>
      </x:c>
      <x:c r="AF1570" s="80" t="n">
        <x:f>D1570*W1570</x:f>
        <x:v>5.879372855129103</x:v>
      </x:c>
      <x:c r="AG1570" s="80" t="n">
        <x:f>C1570*W1570</x:f>
        <x:v>3.4296341654920206</x:v>
      </x:c>
      <x:c r="AH1570" s="80" t="n">
        <x:f>2*'Inputs'!$B$8*'Inputs'!$C$48</x:f>
        <x:v>1250</x:v>
      </x:c>
      <x:c r="AI1570" s="81" t="n">
        <x:f>IF(AH1570&gt;0,(AE1570+AF1570)/AH1570*365,0)</x:f>
        <x:v>1.8199640997008548</x:v>
      </x:c>
      <x:c r="AJ1570" s="81" t="n">
        <x:f>IF('Inputs'!$B$48&gt;0,AG1570/('Inputs'!$B$19*'Inputs'!$B$48)*365,0)</x:f>
        <x:v>0.500726588161835</x:v>
      </x:c>
      <x:c r="AK1570" s="81" t="n">
        <x:f>W1570/MAX($W$1464:W1570)-1</x:f>
        <x:v>-0.9761829568211103</x:v>
      </x:c>
      <x:c r="AL1570" s="83" t="n">
        <x:f>'Inputs'!$B$48</x:f>
        <x:v>0.25</x:v>
      </x:c>
      <x:c r="AM1570" s="83" t="n">
        <x:f>'Inputs'!$C$48</x:f>
        <x:v>0.25</x:v>
      </x:c>
      <x:c r="AN1570" s="83" t="n">
        <x:f>'Inputs'!$D$48</x:f>
        <x:v>0.3</x:v>
      </x:c>
      <x:c r="AO1570" s="81" t="n">
        <x:f>'Inputs'!$E$48</x:f>
        <x:v>0</x:v>
      </x:c>
    </x:row>
    <x:row r="1571">
      <x:c r="A1571" s="59" t="str">
        <x:v>Low participation</x:v>
      </x:c>
      <x:c r="B1571" s="59" t="n">
        <x:v>108</x:v>
      </x:c>
      <x:c r="C1571" s="78" t="n">
        <x:f>(('Inputs'!$B$29*(3*108*'Inputs'!$B$12-108^2)/(2*'Inputs'!$B$12^2))-('Inputs'!$B$29*(3*107*'Inputs'!$B$12-107^2)/(2*'Inputs'!$B$12^2)))*'Inputs'!$B$48</x:f>
        <x:v>169259.30052542686</x:v>
      </x:c>
      <x:c r="D1571" s="78" t="n">
        <x:f>IF('Inputs'!$C$48&gt;0,('Inputs'!$B$30*(3*108*'Inputs'!$B$12-108^2)/(2*'Inputs'!$B$12^2))-('Inputs'!$B$30*(3*107*'Inputs'!$B$12-107^2)/(2*'Inputs'!$B$12^2)),0)</x:f>
        <x:v>290158.80090073124</x:v>
      </x:c>
      <x:c r="E1571" s="78" t="n">
        <x:f>C1571+D1571</x:f>
        <x:v>459418.1014261581</x:v>
      </x:c>
      <x:c r="F1571" s="78" t="n">
        <x:f>'Inputs'!$B$13*E1571+(1-'Inputs'!$B$13)/'Inputs'!$B$14*SUM(E1516:E1571)</x:f>
        <x:v>464271.49793582264</x:v>
      </x:c>
      <x:c r="G1571" s="78" t="n">
        <x:f>F1571*'Inputs'!$F$48</x:f>
        <x:v>232135.74896791132</x:v>
      </x:c>
      <x:c r="H1571" s="78" t="n">
        <x:f>U1570</x:f>
        <x:v>23606978.10520234</x:v>
      </x:c>
      <x:c r="I1571" s="78" t="n">
        <x:f>V1570</x:f>
        <x:v>478.1092626981228</x:v>
      </x:c>
      <x:c r="J1571" s="79" t="n">
        <x:f>IF(H1571&gt;0,I1571/H1571,0)</x:f>
        <x:v>0.000020252878643233056</x:v>
      </x:c>
      <x:c r="K1571" s="80" t="n">
        <x:f>(H1571*J1571+I1571)*'Inputs'!$D$48*(1+'Inputs'!$G$48)^(B1571/30)</x:f>
        <x:v>286.8655576188737</x:v>
      </x:c>
      <x:c r="L1571" s="80" t="n">
        <x:f>MAX(0,K1571*'Inputs'!$E$48)</x:f>
        <x:v>0</x:v>
      </x:c>
      <x:c r="M1571" s="80" t="n">
        <x:f>MAX(0,-K1571*'Inputs'!$E$48)</x:f>
        <x:v>0</x:v>
      </x:c>
      <x:c r="N1571" s="78" t="n">
        <x:f>H1571*(L1571*(1-'Inputs'!$B$15))/(I1571+L1571*(1-'Inputs'!$B$15))</x:f>
        <x:v>0</x:v>
      </x:c>
      <x:c r="O1571" s="78" t="n">
        <x:f>H1571-N1571</x:f>
        <x:v>23606978.10520234</x:v>
      </x:c>
      <x:c r="P1571" s="78" t="n">
        <x:f>I1571+L1571*(1-'Inputs'!$B$17)</x:f>
        <x:v>478.1092626981228</x:v>
      </x:c>
      <x:c r="Q1571" s="78" t="n">
        <x:f>IF(J1571&gt;0,M1571/J1571,0)</x:f>
        <x:v>0</x:v>
      </x:c>
      <x:c r="R1571" s="78" t="n">
        <x:f>IF(B1571='Inputs'!$H$48,'Inputs'!$B$27*'Inputs'!$I$48,0)</x:f>
        <x:v>0</x:v>
      </x:c>
      <x:c r="S1571" s="78" t="n">
        <x:f>Q1571+G1571+R1571</x:f>
        <x:v>232135.74896791132</x:v>
      </x:c>
      <x:c r="T1571" s="78" t="n">
        <x:f>P1571*(S1571*(1-'Inputs'!$B$15))/(O1571+S1571*(1-'Inputs'!$B$15))</x:f>
        <x:v>4.609529125295542</x:v>
      </x:c>
      <x:c r="U1571" s="78" t="n">
        <x:f>O1571+S1571*(1-'Inputs'!$B$17)</x:f>
        <x:v>23838179.70628708</x:v>
      </x:c>
      <x:c r="V1571" s="78" t="n">
        <x:f>P1571-T1571</x:f>
        <x:v>473.49973357282727</x:v>
      </x:c>
      <x:c r="W1571" s="79" t="n">
        <x:f>IF(U1571&gt;0,V1571/U1571,0)</x:f>
        <x:v>0.000019863082643342374</x:v>
      </x:c>
      <x:c r="X1571" s="80" t="n">
        <x:f>W1571*('Inputs'!$B$6-AC1571)</x:f>
        <x:v>19830.47886993156</x:v>
      </x:c>
      <x:c r="Y1571" s="80" t="n">
        <x:f>2*V1571</x:f>
        <x:v>946.9994671456545</x:v>
      </x:c>
      <x:c r="Z1571" s="80" t="n">
        <x:f>K1571*'Inputs'!$B$16+(G1571+R1571)*J1571*'Inputs'!$B$16</x:f>
        <x:v>1.749401848628861</x:v>
      </x:c>
      <x:c r="AA1571" s="80" t="n">
        <x:f>K1571*(1+'Inputs'!$E$48)/2*'Inputs'!$B$17</x:f>
        <x:v>0.5771942809232872</x:v>
      </x:c>
      <x:c r="AB1571" s="78" t="n">
        <x:f>(IF(J1571&gt;0,K1571*(1-'Inputs'!$E$48)/2/J1571,0)+G1571+R1571)*'Inputs'!$B$17</x:f>
        <x:v>29433.517829088993</x:v>
      </x:c>
      <x:c r="AC1571" s="78" t="n">
        <x:f>AC1570+AB1571</x:f>
        <x:v>1641425.6536228245</x:v>
      </x:c>
      <x:c r="AD1571" s="80" t="n">
        <x:f>Z1571/(1+'Inputs'!$C$48)</x:f>
        <x:v>1.3995214789030888</x:v>
      </x:c>
      <x:c r="AE1571" s="80" t="n">
        <x:f>Z1571-AD1571</x:f>
        <x:v>0.3498803697257722</x:v>
      </x:c>
      <x:c r="AF1571" s="80" t="n">
        <x:f>D1571*W1571</x:f>
        <x:v>5.76344824198435</x:v>
      </x:c>
      <x:c r="AG1571" s="80" t="n">
        <x:f>C1571*W1571</x:f>
        <x:v>3.362011474490877</x:v>
      </x:c>
      <x:c r="AH1571" s="80" t="n">
        <x:f>2*'Inputs'!$B$8*'Inputs'!$C$48</x:f>
        <x:v>1250</x:v>
      </x:c>
      <x:c r="AI1571" s="81" t="n">
        <x:f>IF(AH1571&gt;0,(AE1571+AF1571)/AH1571*365,0)</x:f>
        <x:v>1.7850919546193558</x:v>
      </x:c>
      <x:c r="AJ1571" s="81" t="n">
        <x:f>IF('Inputs'!$B$48&gt;0,AG1571/('Inputs'!$B$19*'Inputs'!$B$48)*365,0)</x:f>
        <x:v>0.4908536752756681</x:v>
      </x:c>
      <x:c r="AK1571" s="81" t="n">
        <x:f>W1571/MAX($W$1464:W1571)-1</x:f>
        <x:v>-0.9766413503326646</x:v>
      </x:c>
      <x:c r="AL1571" s="83" t="n">
        <x:f>'Inputs'!$B$48</x:f>
        <x:v>0.25</x:v>
      </x:c>
      <x:c r="AM1571" s="83" t="n">
        <x:f>'Inputs'!$C$48</x:f>
        <x:v>0.25</x:v>
      </x:c>
      <x:c r="AN1571" s="83" t="n">
        <x:f>'Inputs'!$D$48</x:f>
        <x:v>0.3</x:v>
      </x:c>
      <x:c r="AO1571" s="81" t="n">
        <x:f>'Inputs'!$E$48</x:f>
        <x:v>0</x:v>
      </x:c>
    </x:row>
    <x:row r="1572">
      <x:c r="A1572" s="59" t="str">
        <x:v>Low participation</x:v>
      </x:c>
      <x:c r="B1572" s="59" t="n">
        <x:v>109</x:v>
      </x:c>
      <x:c r="C1572" s="78" t="n">
        <x:f>(('Inputs'!$B$29*(3*109*'Inputs'!$B$12-109^2)/(2*'Inputs'!$B$12^2))-('Inputs'!$B$29*(3*108*'Inputs'!$B$12-108^2)/(2*'Inputs'!$B$12^2)))*'Inputs'!$B$48</x:f>
        <x:v>169178.02355038747</x:v>
      </x:c>
      <x:c r="D1572" s="78" t="n">
        <x:f>IF('Inputs'!$C$48&gt;0,('Inputs'!$B$30*(3*109*'Inputs'!$B$12-109^2)/(2*'Inputs'!$B$12^2))-('Inputs'!$B$30*(3*108*'Inputs'!$B$12-108^2)/(2*'Inputs'!$B$12^2)),0)</x:f>
        <x:v>290019.46894351766</x:v>
      </x:c>
      <x:c r="E1572" s="78" t="n">
        <x:f>C1572+D1572</x:f>
        <x:v>459197.4924939051</x:v>
      </x:c>
      <x:c r="F1572" s="78" t="n">
        <x:f>'Inputs'!$B$13*E1572+(1-'Inputs'!$B$13)/'Inputs'!$B$14*SUM(E1517:E1572)</x:f>
        <x:v>464050.8890035661</x:v>
      </x:c>
      <x:c r="G1572" s="78" t="n">
        <x:f>F1572*'Inputs'!$F$48</x:f>
        <x:v>232025.44450178306</x:v>
      </x:c>
      <x:c r="H1572" s="78" t="n">
        <x:f>U1571</x:f>
        <x:v>23838179.70628708</x:v>
      </x:c>
      <x:c r="I1572" s="78" t="n">
        <x:f>V1571</x:f>
        <x:v>473.49973357282727</x:v>
      </x:c>
      <x:c r="J1572" s="79" t="n">
        <x:f>IF(H1572&gt;0,I1572/H1572,0)</x:f>
        <x:v>0.000019863082643342374</x:v>
      </x:c>
      <x:c r="K1572" s="80" t="n">
        <x:f>(H1572*J1572+I1572)*'Inputs'!$D$48*(1+'Inputs'!$G$48)^(B1572/30)</x:f>
        <x:v>284.0998401436963</x:v>
      </x:c>
      <x:c r="L1572" s="80" t="n">
        <x:f>MAX(0,K1572*'Inputs'!$E$48)</x:f>
        <x:v>0</x:v>
      </x:c>
      <x:c r="M1572" s="80" t="n">
        <x:f>MAX(0,-K1572*'Inputs'!$E$48)</x:f>
        <x:v>0</x:v>
      </x:c>
      <x:c r="N1572" s="78" t="n">
        <x:f>H1572*(L1572*(1-'Inputs'!$B$15))/(I1572+L1572*(1-'Inputs'!$B$15))</x:f>
        <x:v>0</x:v>
      </x:c>
      <x:c r="O1572" s="78" t="n">
        <x:f>H1572-N1572</x:f>
        <x:v>23838179.70628708</x:v>
      </x:c>
      <x:c r="P1572" s="78" t="n">
        <x:f>I1572+L1572*(1-'Inputs'!$B$17)</x:f>
        <x:v>473.49973357282727</x:v>
      </x:c>
      <x:c r="Q1572" s="78" t="n">
        <x:f>IF(J1572&gt;0,M1572/J1572,0)</x:f>
        <x:v>0</x:v>
      </x:c>
      <x:c r="R1572" s="78" t="n">
        <x:f>IF(B1572='Inputs'!$H$48,'Inputs'!$B$27*'Inputs'!$I$48,0)</x:f>
        <x:v>0</x:v>
      </x:c>
      <x:c r="S1572" s="78" t="n">
        <x:f>Q1572+G1572+R1572</x:f>
        <x:v>232025.44450178306</x:v>
      </x:c>
      <x:c r="T1572" s="78" t="n">
        <x:f>P1572*(S1572*(1-'Inputs'!$B$15))/(O1572+S1572*(1-'Inputs'!$B$15))</x:f>
        <x:v>4.519106966009155</x:v>
      </x:c>
      <x:c r="U1572" s="78" t="n">
        <x:f>O1572+S1572*(1-'Inputs'!$B$17)</x:f>
        <x:v>24069271.446786843</x:v>
      </x:c>
      <x:c r="V1572" s="78" t="n">
        <x:f>P1572-T1572</x:f>
        <x:v>468.98062660681813</x:v>
      </x:c>
      <x:c r="W1572" s="79" t="n">
        <x:f>IF(U1572&gt;0,V1572/U1572,0)</x:f>
        <x:v>0.00001948462078063544</x:v>
      </x:c>
      <x:c r="X1572" s="80" t="n">
        <x:f>W1572*('Inputs'!$B$6-AC1572)</x:f>
        <x:v>19452.059293469192</x:v>
      </x:c>
      <x:c r="Y1572" s="80" t="n">
        <x:f>2*V1572</x:f>
        <x:v>937.9612532136363</x:v>
      </x:c>
      <x:c r="Z1572" s="80" t="n">
        <x:f>K1572*'Inputs'!$B$16+(G1572+R1572)*J1572*'Inputs'!$B$16</x:f>
        <x:v>1.732251484339161</x:v>
      </x:c>
      <x:c r="AA1572" s="80" t="n">
        <x:f>K1572*(1+'Inputs'!$E$48)/2*'Inputs'!$B$17</x:f>
        <x:v>0.5716294570295701</x:v>
      </x:c>
      <x:c r="AB1572" s="78" t="n">
        <x:f>(IF(J1572&gt;0,K1572*(1-'Inputs'!$E$48)/2/J1572,0)+G1572+R1572)*'Inputs'!$B$17</x:f>
        <x:v>29712.190568965416</x:v>
      </x:c>
      <x:c r="AC1572" s="78" t="n">
        <x:f>AC1571+AB1572</x:f>
        <x:v>1671137.8441917899</x:v>
      </x:c>
      <x:c r="AD1572" s="80" t="n">
        <x:f>Z1572/(1+'Inputs'!$C$48)</x:f>
        <x:v>1.3858011874713287</x:v>
      </x:c>
      <x:c r="AE1572" s="80" t="n">
        <x:f>Z1572-AD1572</x:f>
        <x:v>0.34645029686783224</x:v>
      </x:c>
      <x:c r="AF1572" s="80" t="n">
        <x:f>D1572*W1572</x:f>
        <x:v>5.650919371365719</x:v>
      </x:c>
      <x:c r="AG1572" s="80" t="n">
        <x:f>C1572*W1572</x:f>
        <x:v>3.2963696332967114</x:v>
      </x:c>
      <x:c r="AH1572" s="80" t="n">
        <x:f>2*'Inputs'!$B$8*'Inputs'!$C$48</x:f>
        <x:v>1250</x:v>
      </x:c>
      <x:c r="AI1572" s="81" t="n">
        <x:f>IF(AH1572&gt;0,(AE1572+AF1572)/AH1572*365,0)</x:f>
        <x:v>1.751231943124197</x:v>
      </x:c>
      <x:c r="AJ1572" s="81" t="n">
        <x:f>IF('Inputs'!$B$48&gt;0,AG1572/('Inputs'!$B$19*'Inputs'!$B$48)*365,0)</x:f>
        <x:v>0.48126996646131986</x:v>
      </x:c>
      <x:c r="AK1572" s="81" t="n">
        <x:f>W1572/MAX($W$1464:W1572)-1</x:f>
        <x:v>-0.9770864150903437</x:v>
      </x:c>
      <x:c r="AL1572" s="83" t="n">
        <x:f>'Inputs'!$B$48</x:f>
        <x:v>0.25</x:v>
      </x:c>
      <x:c r="AM1572" s="83" t="n">
        <x:f>'Inputs'!$C$48</x:f>
        <x:v>0.25</x:v>
      </x:c>
      <x:c r="AN1572" s="83" t="n">
        <x:f>'Inputs'!$D$48</x:f>
        <x:v>0.3</x:v>
      </x:c>
      <x:c r="AO1572" s="81" t="n">
        <x:f>'Inputs'!$E$48</x:f>
        <x:v>0</x:v>
      </x:c>
    </x:row>
    <x:row r="1573">
      <x:c r="A1573" s="59" t="str">
        <x:v>Low participation</x:v>
      </x:c>
      <x:c r="B1573" s="59" t="n">
        <x:v>110</x:v>
      </x:c>
      <x:c r="C1573" s="78" t="n">
        <x:f>(('Inputs'!$B$29*(3*110*'Inputs'!$B$12-110^2)/(2*'Inputs'!$B$12^2))-('Inputs'!$B$29*(3*109*'Inputs'!$B$12-109^2)/(2*'Inputs'!$B$12^2)))*'Inputs'!$B$48</x:f>
        <x:v>169096.74657534063</x:v>
      </x:c>
      <x:c r="D1573" s="78" t="n">
        <x:f>IF('Inputs'!$C$48&gt;0,('Inputs'!$B$30*(3*110*'Inputs'!$B$12-110^2)/(2*'Inputs'!$B$12^2))-('Inputs'!$B$30*(3*109*'Inputs'!$B$12-109^2)/(2*'Inputs'!$B$12^2)),0)</x:f>
        <x:v>289880.13698630035</x:v>
      </x:c>
      <x:c r="E1573" s="78" t="n">
        <x:f>C1573+D1573</x:f>
        <x:v>458976.883561641</x:v>
      </x:c>
      <x:c r="F1573" s="78" t="n">
        <x:f>'Inputs'!$B$13*E1573+(1-'Inputs'!$B$13)/'Inputs'!$B$14*SUM(E1518:E1573)</x:f>
        <x:v>463830.2800713073</x:v>
      </x:c>
      <x:c r="G1573" s="78" t="n">
        <x:f>F1573*'Inputs'!$F$48</x:f>
        <x:v>231915.14003565366</x:v>
      </x:c>
      <x:c r="H1573" s="78" t="n">
        <x:f>U1572</x:f>
        <x:v>24069271.446786843</x:v>
      </x:c>
      <x:c r="I1573" s="78" t="n">
        <x:f>V1572</x:f>
        <x:v>468.98062660681813</x:v>
      </x:c>
      <x:c r="J1573" s="79" t="n">
        <x:f>IF(H1573&gt;0,I1573/H1573,0)</x:f>
        <x:v>0.00001948462078063544</x:v>
      </x:c>
      <x:c r="K1573" s="80" t="n">
        <x:f>(H1573*J1573+I1573)*'Inputs'!$D$48*(1+'Inputs'!$G$48)^(B1573/30)</x:f>
        <x:v>281.38837596409087</x:v>
      </x:c>
      <x:c r="L1573" s="80" t="n">
        <x:f>MAX(0,K1573*'Inputs'!$E$48)</x:f>
        <x:v>0</x:v>
      </x:c>
      <x:c r="M1573" s="80" t="n">
        <x:f>MAX(0,-K1573*'Inputs'!$E$48)</x:f>
        <x:v>0</x:v>
      </x:c>
      <x:c r="N1573" s="78" t="n">
        <x:f>H1573*(L1573*(1-'Inputs'!$B$15))/(I1573+L1573*(1-'Inputs'!$B$15))</x:f>
        <x:v>0</x:v>
      </x:c>
      <x:c r="O1573" s="78" t="n">
        <x:f>H1573-N1573</x:f>
        <x:v>24069271.446786843</x:v>
      </x:c>
      <x:c r="P1573" s="78" t="n">
        <x:f>I1573+L1573*(1-'Inputs'!$B$17)</x:f>
        <x:v>468.98062660681813</x:v>
      </x:c>
      <x:c r="Q1573" s="78" t="n">
        <x:f>IF(J1573&gt;0,M1573/J1573,0)</x:f>
        <x:v>0</x:v>
      </x:c>
      <x:c r="R1573" s="78" t="n">
        <x:f>IF(B1573='Inputs'!$H$48,'Inputs'!$B$27*'Inputs'!$I$48,0)</x:f>
        <x:v>0</x:v>
      </x:c>
      <x:c r="S1573" s="78" t="n">
        <x:f>Q1573+G1573+R1573</x:f>
        <x:v>231915.14003565366</x:v>
      </x:c>
      <x:c r="T1573" s="78" t="n">
        <x:f>P1573*(S1573*(1-'Inputs'!$B$15))/(O1573+S1573*(1-'Inputs'!$B$15))</x:f>
        <x:v>4.431320550340823</x:v>
      </x:c>
      <x:c r="U1573" s="78" t="n">
        <x:f>O1573+S1573*(1-'Inputs'!$B$17)</x:f>
        <x:v>24300253.32670163</x:v>
      </x:c>
      <x:c r="V1573" s="78" t="n">
        <x:f>P1573-T1573</x:f>
        <x:v>464.5493060564773</x:v>
      </x:c>
      <x:c r="W1573" s="79" t="n">
        <x:f>IF(U1573&gt;0,V1573/U1573,0)</x:f>
        <x:v>0.00001911705609858893</x:v>
      </x:c>
      <x:c r="X1573" s="80" t="n">
        <x:f>W1573*('Inputs'!$B$6-AC1573)</x:f>
        <x:v>19084.535528192187</x:v>
      </x:c>
      <x:c r="Y1573" s="80" t="n">
        <x:f>2*V1573</x:f>
        <x:v>929.0986121129546</x:v>
      </x:c>
      <x:c r="Z1573" s="80" t="n">
        <x:f>K1573*'Inputs'!$B$16+(G1573+R1573)*J1573*'Inputs'!$B$16</x:f>
        <x:v>1.7154429271258413</x:v>
      </x:c>
      <x:c r="AA1573" s="80" t="n">
        <x:f>K1573*(1+'Inputs'!$E$48)/2*'Inputs'!$B$17</x:f>
        <x:v>0.56617379469636</x:v>
      </x:c>
      <x:c r="AB1573" s="78" t="n">
        <x:f>(IF(J1573&gt;0,K1573*(1-'Inputs'!$E$48)/2/J1573,0)+G1573+R1573)*'Inputs'!$B$17</x:f>
        <x:v>29990.73068036904</x:v>
      </x:c>
      <x:c r="AC1573" s="78" t="n">
        <x:f>AC1572+AB1573</x:f>
        <x:v>1701128.574872159</x:v>
      </x:c>
      <x:c r="AD1573" s="80" t="n">
        <x:f>Z1573/(1+'Inputs'!$C$48)</x:f>
        <x:v>1.3723543417006732</x:v>
      </x:c>
      <x:c r="AE1573" s="80" t="n">
        <x:f>Z1573-AD1573</x:f>
        <x:v>0.3430885854251682</x:v>
      </x:c>
      <x:c r="AF1573" s="80" t="n">
        <x:f>D1573*W1573</x:f>
        <x:v>5.541654840633748</x:v>
      </x:c>
      <x:c r="AG1573" s="80" t="n">
        <x:f>C1573*W1573</x:f>
        <x:v>3.2326319903696623</x:v>
      </x:c>
      <x:c r="AH1573" s="80" t="n">
        <x:f>2*'Inputs'!$B$8*'Inputs'!$C$48</x:f>
        <x:v>1250</x:v>
      </x:c>
      <x:c r="AI1573" s="81" t="n">
        <x:f>IF(AH1573&gt;0,(AE1573+AF1573)/AH1573*365,0)</x:f>
        <x:v>1.7183450804092035</x:v>
      </x:c>
      <x:c r="AJ1573" s="81" t="n">
        <x:f>IF('Inputs'!$B$48&gt;0,AG1573/('Inputs'!$B$19*'Inputs'!$B$48)*365,0)</x:f>
        <x:v>0.47196427059397067</x:v>
      </x:c>
      <x:c r="AK1573" s="81" t="n">
        <x:f>W1573/MAX($W$1464:W1573)-1</x:f>
        <x:v>-0.977518664947638</x:v>
      </x:c>
      <x:c r="AL1573" s="83" t="n">
        <x:f>'Inputs'!$B$48</x:f>
        <x:v>0.25</x:v>
      </x:c>
      <x:c r="AM1573" s="83" t="n">
        <x:f>'Inputs'!$C$48</x:f>
        <x:v>0.25</x:v>
      </x:c>
      <x:c r="AN1573" s="83" t="n">
        <x:f>'Inputs'!$D$48</x:f>
        <x:v>0.3</x:v>
      </x:c>
      <x:c r="AO1573" s="81" t="n">
        <x:f>'Inputs'!$E$48</x:f>
        <x:v>0</x:v>
      </x:c>
    </x:row>
    <x:row r="1574">
      <x:c r="A1574" s="59" t="str">
        <x:v>Low participation</x:v>
      </x:c>
      <x:c r="B1574" s="59" t="n">
        <x:v>111</x:v>
      </x:c>
      <x:c r="C1574" s="78" t="n">
        <x:f>(('Inputs'!$B$29*(3*111*'Inputs'!$B$12-111^2)/(2*'Inputs'!$B$12^2))-('Inputs'!$B$29*(3*110*'Inputs'!$B$12-110^2)/(2*'Inputs'!$B$12^2)))*'Inputs'!$B$48</x:f>
        <x:v>169015.46960030124</x:v>
      </x:c>
      <x:c r="D1574" s="78" t="n">
        <x:f>IF('Inputs'!$C$48&gt;0,('Inputs'!$B$30*(3*111*'Inputs'!$B$12-111^2)/(2*'Inputs'!$B$12^2))-('Inputs'!$B$30*(3*110*'Inputs'!$B$12-110^2)/(2*'Inputs'!$B$12^2)),0)</x:f>
        <x:v>289740.80502908677</x:v>
      </x:c>
      <x:c r="E1574" s="78" t="n">
        <x:f>C1574+D1574</x:f>
        <x:v>458756.274629388</x:v>
      </x:c>
      <x:c r="F1574" s="78" t="n">
        <x:f>'Inputs'!$B$13*E1574+(1-'Inputs'!$B$13)/'Inputs'!$B$14*SUM(E1519:E1574)</x:f>
        <x:v>463609.6711390508</x:v>
      </x:c>
      <x:c r="G1574" s="78" t="n">
        <x:f>F1574*'Inputs'!$F$48</x:f>
        <x:v>231804.8355695254</x:v>
      </x:c>
      <x:c r="H1574" s="78" t="n">
        <x:f>U1573</x:f>
        <x:v>24300253.32670163</x:v>
      </x:c>
      <x:c r="I1574" s="78" t="n">
        <x:f>V1573</x:f>
        <x:v>464.5493060564773</x:v>
      </x:c>
      <x:c r="J1574" s="79" t="n">
        <x:f>IF(H1574&gt;0,I1574/H1574,0)</x:f>
        <x:v>0.00001911705609858893</x:v>
      </x:c>
      <x:c r="K1574" s="80" t="n">
        <x:f>(H1574*J1574+I1574)*'Inputs'!$D$48*(1+'Inputs'!$G$48)^(B1574/30)</x:f>
        <x:v>278.72958363388636</x:v>
      </x:c>
      <x:c r="L1574" s="80" t="n">
        <x:f>MAX(0,K1574*'Inputs'!$E$48)</x:f>
        <x:v>0</x:v>
      </x:c>
      <x:c r="M1574" s="80" t="n">
        <x:f>MAX(0,-K1574*'Inputs'!$E$48)</x:f>
        <x:v>0</x:v>
      </x:c>
      <x:c r="N1574" s="78" t="n">
        <x:f>H1574*(L1574*(1-'Inputs'!$B$15))/(I1574+L1574*(1-'Inputs'!$B$15))</x:f>
        <x:v>0</x:v>
      </x:c>
      <x:c r="O1574" s="78" t="n">
        <x:f>H1574-N1574</x:f>
        <x:v>24300253.32670163</x:v>
      </x:c>
      <x:c r="P1574" s="78" t="n">
        <x:f>I1574+L1574*(1-'Inputs'!$B$17)</x:f>
        <x:v>464.5493060564773</x:v>
      </x:c>
      <x:c r="Q1574" s="78" t="n">
        <x:f>IF(J1574&gt;0,M1574/J1574,0)</x:f>
        <x:v>0</x:v>
      </x:c>
      <x:c r="R1574" s="78" t="n">
        <x:f>IF(B1574='Inputs'!$H$48,'Inputs'!$B$27*'Inputs'!$I$48,0)</x:f>
        <x:v>0</x:v>
      </x:c>
      <x:c r="S1574" s="78" t="n">
        <x:f>Q1574+G1574+R1574</x:f>
        <x:v>231804.8355695254</x:v>
      </x:c>
      <x:c r="T1574" s="78" t="n">
        <x:f>P1574*(S1574*(1-'Inputs'!$B$15))/(O1574+S1574*(1-'Inputs'!$B$15))</x:f>
        <x:v>4.346068374725165</x:v>
      </x:c>
      <x:c r="U1574" s="78" t="n">
        <x:f>O1574+S1574*(1-'Inputs'!$B$17)</x:f>
        <x:v>24531125.34603144</x:v>
      </x:c>
      <x:c r="V1574" s="78" t="n">
        <x:f>P1574-T1574</x:f>
        <x:v>460.2032376817521</x:v>
      </x:c>
      <x:c r="W1574" s="79" t="n">
        <x:f>IF(U1574&gt;0,V1574/U1574,0)</x:f>
        <x:v>0.000018759972532454662</x:v>
      </x:c>
      <x:c r="X1574" s="80" t="n">
        <x:f>W1574*('Inputs'!$B$6-AC1574)</x:f>
        <x:v>18727.49155891536</x:v>
      </x:c>
      <x:c r="Y1574" s="80" t="n">
        <x:f>2*V1574</x:f>
        <x:v>920.4064753635042</x:v>
      </x:c>
      <x:c r="Z1574" s="80" t="n">
        <x:f>K1574*'Inputs'!$B$16+(G1574+R1574)*J1574*'Inputs'!$B$16</x:f>
        <x:v>1.698966058076359</x:v>
      </x:c>
      <x:c r="AA1574" s="80" t="n">
        <x:f>K1574*(1+'Inputs'!$E$48)/2*'Inputs'!$B$17</x:f>
        <x:v>0.5608241119394092</x:v>
      </x:c>
      <x:c r="AB1574" s="78" t="n">
        <x:f>(IF(J1574&gt;0,K1574*(1-'Inputs'!$E$48)/2/J1574,0)+G1574+R1574)*'Inputs'!$B$17</x:f>
        <x:v>30269.138163299856</x:v>
      </x:c>
      <x:c r="AC1574" s="78" t="n">
        <x:f>AC1573+AB1574</x:f>
        <x:v>1731397.7130354587</x:v>
      </x:c>
      <x:c r="AD1574" s="80" t="n">
        <x:f>Z1574/(1+'Inputs'!$C$48)</x:f>
        <x:v>1.3591728464610873</x:v>
      </x:c>
      <x:c r="AE1574" s="80" t="n">
        <x:f>Z1574-AD1574</x:f>
        <x:v>0.33979321161527176</x:v>
      </x:c>
      <x:c r="AF1574" s="80" t="n">
        <x:f>D1574*W1574</x:f>
        <x:v>5.435529543876969</x:v>
      </x:c>
      <x:c r="AG1574" s="80" t="n">
        <x:f>C1574*W1574</x:f>
        <x:v>3.1707255672615773</x:v>
      </x:c>
      <x:c r="AH1574" s="80" t="n">
        <x:f>2*'Inputs'!$B$8*'Inputs'!$C$48</x:f>
        <x:v>1250</x:v>
      </x:c>
      <x:c r="AI1574" s="81" t="n">
        <x:f>IF(AH1574&gt;0,(AE1574+AF1574)/AH1574*365,0)</x:f>
        <x:v>1.686394244603734</x:v>
      </x:c>
      <x:c r="AJ1574" s="81" t="n">
        <x:f>IF('Inputs'!$B$48&gt;0,AG1574/('Inputs'!$B$19*'Inputs'!$B$48)*365,0)</x:f>
        <x:v>0.4629259328201903</x:v>
      </x:c>
      <x:c r="AK1574" s="81" t="n">
        <x:f>W1574/MAX($W$1464:W1574)-1</x:f>
        <x:v>-0.9779385891896634</x:v>
      </x:c>
      <x:c r="AL1574" s="83" t="n">
        <x:f>'Inputs'!$B$48</x:f>
        <x:v>0.25</x:v>
      </x:c>
      <x:c r="AM1574" s="83" t="n">
        <x:f>'Inputs'!$C$48</x:f>
        <x:v>0.25</x:v>
      </x:c>
      <x:c r="AN1574" s="83" t="n">
        <x:f>'Inputs'!$D$48</x:f>
        <x:v>0.3</x:v>
      </x:c>
      <x:c r="AO1574" s="81" t="n">
        <x:f>'Inputs'!$E$48</x:f>
        <x:v>0</x:v>
      </x:c>
    </x:row>
    <x:row r="1575">
      <x:c r="A1575" s="59" t="str">
        <x:v>Low participation</x:v>
      </x:c>
      <x:c r="B1575" s="59" t="n">
        <x:v>112</x:v>
      </x:c>
      <x:c r="C1575" s="78" t="n">
        <x:f>(('Inputs'!$B$29*(3*112*'Inputs'!$B$12-112^2)/(2*'Inputs'!$B$12^2))-('Inputs'!$B$29*(3*111*'Inputs'!$B$12-111^2)/(2*'Inputs'!$B$12^2)))*'Inputs'!$B$48</x:f>
        <x:v>168934.19262525812</x:v>
      </x:c>
      <x:c r="D1575" s="78" t="n">
        <x:f>IF('Inputs'!$C$48&gt;0,('Inputs'!$B$30*(3*112*'Inputs'!$B$12-112^2)/(2*'Inputs'!$B$12^2))-('Inputs'!$B$30*(3*111*'Inputs'!$B$12-111^2)/(2*'Inputs'!$B$12^2)),0)</x:f>
        <x:v>289601.4730718732</x:v>
      </x:c>
      <x:c r="E1575" s="78" t="n">
        <x:f>C1575+D1575</x:f>
        <x:v>458535.6656971313</x:v>
      </x:c>
      <x:c r="F1575" s="78" t="n">
        <x:f>'Inputs'!$B$13*E1575+(1-'Inputs'!$B$13)/'Inputs'!$B$14*SUM(E1520:E1575)</x:f>
        <x:v>463389.06220679346</x:v>
      </x:c>
      <x:c r="G1575" s="78" t="n">
        <x:f>F1575*'Inputs'!$F$48</x:f>
        <x:v>231694.53110339673</x:v>
      </x:c>
      <x:c r="H1575" s="78" t="n">
        <x:f>U1574</x:f>
        <x:v>24531125.34603144</x:v>
      </x:c>
      <x:c r="I1575" s="78" t="n">
        <x:f>V1574</x:f>
        <x:v>460.2032376817521</x:v>
      </x:c>
      <x:c r="J1575" s="79" t="n">
        <x:f>IF(H1575&gt;0,I1575/H1575,0)</x:f>
        <x:v>0.000018759972532454662</x:v>
      </x:c>
      <x:c r="K1575" s="80" t="n">
        <x:f>(H1575*J1575+I1575)*'Inputs'!$D$48*(1+'Inputs'!$G$48)^(B1575/30)</x:f>
        <x:v>276.1219426090513</x:v>
      </x:c>
      <x:c r="L1575" s="80" t="n">
        <x:f>MAX(0,K1575*'Inputs'!$E$48)</x:f>
        <x:v>0</x:v>
      </x:c>
      <x:c r="M1575" s="80" t="n">
        <x:f>MAX(0,-K1575*'Inputs'!$E$48)</x:f>
        <x:v>0</x:v>
      </x:c>
      <x:c r="N1575" s="78" t="n">
        <x:f>H1575*(L1575*(1-'Inputs'!$B$15))/(I1575+L1575*(1-'Inputs'!$B$15))</x:f>
        <x:v>0</x:v>
      </x:c>
      <x:c r="O1575" s="78" t="n">
        <x:f>H1575-N1575</x:f>
        <x:v>24531125.34603144</x:v>
      </x:c>
      <x:c r="P1575" s="78" t="n">
        <x:f>I1575+L1575*(1-'Inputs'!$B$17)</x:f>
        <x:v>460.2032376817521</x:v>
      </x:c>
      <x:c r="Q1575" s="78" t="n">
        <x:f>IF(J1575&gt;0,M1575/J1575,0)</x:f>
        <x:v>0</x:v>
      </x:c>
      <x:c r="R1575" s="78" t="n">
        <x:f>IF(B1575='Inputs'!$H$48,'Inputs'!$B$27*'Inputs'!$I$48,0)</x:f>
        <x:v>0</x:v>
      </x:c>
      <x:c r="S1575" s="78" t="n">
        <x:f>Q1575+G1575+R1575</x:f>
        <x:v>231694.53110339673</x:v>
      </x:c>
      <x:c r="T1575" s="78" t="n">
        <x:f>P1575*(S1575*(1-'Inputs'!$B$15))/(O1575+S1575*(1-'Inputs'!$B$15))</x:f>
        <x:v>4.263253776545721</x:v>
      </x:c>
      <x:c r="U1575" s="78" t="n">
        <x:f>O1575+S1575*(1-'Inputs'!$B$17)</x:f>
        <x:v>24761887.50477627</x:v>
      </x:c>
      <x:c r="V1575" s="78" t="n">
        <x:f>P1575-T1575</x:f>
        <x:v>455.9399839052064</x:v>
      </x:c>
      <x:c r="W1575" s="79" t="n">
        <x:f>IF(U1575&gt;0,V1575/U1575,0)</x:f>
        <x:v>0.00001841297372089511</x:v>
      </x:c>
      <x:c r="X1575" s="80" t="n">
        <x:f>W1575*('Inputs'!$B$6-AC1575)</x:f>
        <x:v>18380.53107159143</x:v>
      </x:c>
      <x:c r="Y1575" s="80" t="n">
        <x:f>2*V1575</x:f>
        <x:v>911.8799678104128</x:v>
      </x:c>
      <x:c r="Z1575" s="80" t="n">
        <x:f>K1575*'Inputs'!$B$16+(G1575+R1575)*J1575*'Inputs'!$B$16</x:f>
        <x:v>1.682811153890826</x:v>
      </x:c>
      <x:c r="AA1575" s="80" t="n">
        <x:f>K1575*(1+'Inputs'!$E$48)/2*'Inputs'!$B$17</x:f>
        <x:v>0.5555773493139866</x:v>
      </x:c>
      <x:c r="AB1575" s="78" t="n">
        <x:f>(IF(J1575&gt;0,K1575*(1-'Inputs'!$E$48)/2/J1575,0)+G1575+R1575)*'Inputs'!$B$17</x:f>
        <x:v>30547.413017757866</x:v>
      </x:c>
      <x:c r="AC1575" s="78" t="n">
        <x:f>AC1574+AB1575</x:f>
        <x:v>1761945.1260532166</x:v>
      </x:c>
      <x:c r="AD1575" s="80" t="n">
        <x:f>Z1575/(1+'Inputs'!$C$48)</x:f>
        <x:v>1.3462489231126606</x:v>
      </x:c>
      <x:c r="AE1575" s="80" t="n">
        <x:f>Z1575-AD1575</x:f>
        <x:v>0.33656223077816527</x:v>
      </x:c>
      <x:c r="AF1575" s="80" t="n">
        <x:f>D1575*W1575</x:f>
        <x:v>5.332424313204913</x:v>
      </x:c>
      <x:c r="AG1575" s="80" t="n">
        <x:f>C1575*W1575</x:f>
        <x:v>3.11058084936951</x:v>
      </x:c>
      <x:c r="AH1575" s="80" t="n">
        <x:f>2*'Inputs'!$B$8*'Inputs'!$C$48</x:f>
        <x:v>1250</x:v>
      </x:c>
      <x:c r="AI1575" s="81" t="n">
        <x:f>IF(AH1575&gt;0,(AE1575+AF1575)/AH1575*365,0)</x:f>
        <x:v>1.655344070843059</x:v>
      </x:c>
      <x:c r="AJ1575" s="81" t="n">
        <x:f>IF('Inputs'!$B$48&gt;0,AG1575/('Inputs'!$B$19*'Inputs'!$B$48)*365,0)</x:f>
        <x:v>0.45414480400794843</x:v>
      </x:c>
      <x:c r="AK1575" s="81" t="n">
        <x:f>W1575/MAX($W$1464:W1575)-1</x:f>
        <x:v>-0.9783466539306576</x:v>
      </x:c>
      <x:c r="AL1575" s="83" t="n">
        <x:f>'Inputs'!$B$48</x:f>
        <x:v>0.25</x:v>
      </x:c>
      <x:c r="AM1575" s="83" t="n">
        <x:f>'Inputs'!$C$48</x:f>
        <x:v>0.25</x:v>
      </x:c>
      <x:c r="AN1575" s="83" t="n">
        <x:f>'Inputs'!$D$48</x:f>
        <x:v>0.3</x:v>
      </x:c>
      <x:c r="AO1575" s="81" t="n">
        <x:f>'Inputs'!$E$48</x:f>
        <x:v>0</x:v>
      </x:c>
    </x:row>
    <x:row r="1576">
      <x:c r="A1576" s="59" t="str">
        <x:v>Low participation</x:v>
      </x:c>
      <x:c r="B1576" s="59" t="n">
        <x:v>113</x:v>
      </x:c>
      <x:c r="C1576" s="78" t="n">
        <x:f>(('Inputs'!$B$29*(3*113*'Inputs'!$B$12-113^2)/(2*'Inputs'!$B$12^2))-('Inputs'!$B$29*(3*112*'Inputs'!$B$12-112^2)/(2*'Inputs'!$B$12^2)))*'Inputs'!$B$48</x:f>
        <x:v>168852.915650215</x:v>
      </x:c>
      <x:c r="D1576" s="78" t="n">
        <x:f>IF('Inputs'!$C$48&gt;0,('Inputs'!$B$30*(3*113*'Inputs'!$B$12-113^2)/(2*'Inputs'!$B$12^2))-('Inputs'!$B$30*(3*112*'Inputs'!$B$12-112^2)/(2*'Inputs'!$B$12^2)),0)</x:f>
        <x:v>289462.14111465216</x:v>
      </x:c>
      <x:c r="E1576" s="78" t="n">
        <x:f>C1576+D1576</x:f>
        <x:v>458315.05676486716</x:v>
      </x:c>
      <x:c r="F1576" s="78" t="n">
        <x:f>'Inputs'!$B$13*E1576+(1-'Inputs'!$B$13)/'Inputs'!$B$14*SUM(E1521:E1576)</x:f>
        <x:v>463168.4532745348</x:v>
      </x:c>
      <x:c r="G1576" s="78" t="n">
        <x:f>F1576*'Inputs'!$F$48</x:f>
        <x:v>231584.2266372674</x:v>
      </x:c>
      <x:c r="H1576" s="78" t="n">
        <x:f>U1575</x:f>
        <x:v>24761887.50477627</x:v>
      </x:c>
      <x:c r="I1576" s="78" t="n">
        <x:f>V1575</x:f>
        <x:v>455.9399839052064</x:v>
      </x:c>
      <x:c r="J1576" s="79" t="n">
        <x:f>IF(H1576&gt;0,I1576/H1576,0)</x:f>
        <x:v>0.00001841297372089511</x:v>
      </x:c>
      <x:c r="K1576" s="80" t="n">
        <x:f>(H1576*J1576+I1576)*'Inputs'!$D$48*(1+'Inputs'!$G$48)^(B1576/30)</x:f>
        <x:v>273.56399034312386</x:v>
      </x:c>
      <x:c r="L1576" s="80" t="n">
        <x:f>MAX(0,K1576*'Inputs'!$E$48)</x:f>
        <x:v>0</x:v>
      </x:c>
      <x:c r="M1576" s="80" t="n">
        <x:f>MAX(0,-K1576*'Inputs'!$E$48)</x:f>
        <x:v>0</x:v>
      </x:c>
      <x:c r="N1576" s="78" t="n">
        <x:f>H1576*(L1576*(1-'Inputs'!$B$15))/(I1576+L1576*(1-'Inputs'!$B$15))</x:f>
        <x:v>0</x:v>
      </x:c>
      <x:c r="O1576" s="78" t="n">
        <x:f>H1576-N1576</x:f>
        <x:v>24761887.50477627</x:v>
      </x:c>
      <x:c r="P1576" s="78" t="n">
        <x:f>I1576+L1576*(1-'Inputs'!$B$17)</x:f>
        <x:v>455.9399839052064</x:v>
      </x:c>
      <x:c r="Q1576" s="78" t="n">
        <x:f>IF(J1576&gt;0,M1576/J1576,0)</x:f>
        <x:v>0</x:v>
      </x:c>
      <x:c r="R1576" s="78" t="n">
        <x:f>IF(B1576='Inputs'!$H$48,'Inputs'!$B$27*'Inputs'!$I$48,0)</x:f>
        <x:v>0</x:v>
      </x:c>
      <x:c r="S1576" s="78" t="n">
        <x:f>Q1576+G1576+R1576</x:f>
        <x:v>231584.2266372674</x:v>
      </x:c>
      <x:c r="T1576" s="78" t="n">
        <x:f>P1576*(S1576*(1-'Inputs'!$B$15))/(O1576+S1576*(1-'Inputs'!$B$15))</x:f>
        <x:v>4.182784659649676</x:v>
      </x:c>
      <x:c r="U1576" s="78" t="n">
        <x:f>O1576+S1576*(1-'Inputs'!$B$17)</x:f>
        <x:v>24992539.80293612</x:v>
      </x:c>
      <x:c r="V1576" s="78" t="n">
        <x:f>P1576-T1576</x:f>
        <x:v>451.75719924555676</x:v>
      </x:c>
      <x:c r="W1576" s="79" t="n">
        <x:f>IF(U1576&gt;0,V1576/U1576,0)</x:f>
        <x:v>0.00001807568189578253</x:v>
      </x:c>
      <x:c r="X1576" s="80" t="n">
        <x:f>W1576*('Inputs'!$B$6-AC1576)</x:f>
        <x:v>18043.27634323532</x:v>
      </x:c>
      <x:c r="Y1576" s="80" t="n">
        <x:f>2*V1576</x:f>
        <x:v>903.5143984911135</x:v>
      </x:c>
      <x:c r="Z1576" s="80" t="n">
        <x:f>K1576*'Inputs'!$B$16+(G1576+R1576)*J1576*'Inputs'!$B$16</x:f>
        <x:v>1.6669688677342183</x:v>
      </x:c>
      <x:c r="AA1576" s="80" t="n">
        <x:f>K1576*(1+'Inputs'!$E$48)/2*'Inputs'!$B$17</x:f>
        <x:v>0.5504305640706718</x:v>
      </x:c>
      <x:c r="AB1576" s="78" t="n">
        <x:f>(IF(J1576&gt;0,K1576*(1-'Inputs'!$E$48)/2/J1576,0)+G1576+R1576)*'Inputs'!$B$17</x:f>
        <x:v>30825.555243743056</x:v>
      </x:c>
      <x:c r="AC1576" s="78" t="n">
        <x:f>AC1575+AB1576</x:f>
        <x:v>1792770.6812969598</x:v>
      </x:c>
      <x:c r="AD1576" s="80" t="n">
        <x:f>Z1576/(1+'Inputs'!$C$48)</x:f>
        <x:v>1.3335750941873745</x:v>
      </x:c>
      <x:c r="AE1576" s="80" t="n">
        <x:f>Z1576-AD1576</x:f>
        <x:v>0.33339377354684374</x:v>
      </x:c>
      <x:c r="AF1576" s="80" t="n">
        <x:f>D1576*W1576</x:f>
        <x:v>5.232225583660566</x:v>
      </x:c>
      <x:c r="AG1576" s="80" t="n">
        <x:f>C1576*W1576</x:f>
        <x:v>3.052131590468686</x:v>
      </x:c>
      <x:c r="AH1576" s="80" t="n">
        <x:f>2*'Inputs'!$B$8*'Inputs'!$C$48</x:f>
        <x:v>1250</x:v>
      </x:c>
      <x:c r="AI1576" s="81" t="n">
        <x:f>IF(AH1576&gt;0,(AE1576+AF1576)/AH1576*365,0)</x:f>
        <x:v>1.6251608523045635</x:v>
      </x:c>
      <x:c r="AJ1576" s="81" t="n">
        <x:f>IF('Inputs'!$B$48&gt;0,AG1576/('Inputs'!$B$19*'Inputs'!$B$48)*365,0)</x:f>
        <x:v>0.44561121220842814</x:v>
      </x:c>
      <x:c r="AK1576" s="81" t="n">
        <x:f>W1576/MAX($W$1464:W1576)-1</x:f>
        <x:v>-0.9787433034195576</x:v>
      </x:c>
      <x:c r="AL1576" s="83" t="n">
        <x:f>'Inputs'!$B$48</x:f>
        <x:v>0.25</x:v>
      </x:c>
      <x:c r="AM1576" s="83" t="n">
        <x:f>'Inputs'!$C$48</x:f>
        <x:v>0.25</x:v>
      </x:c>
      <x:c r="AN1576" s="83" t="n">
        <x:f>'Inputs'!$D$48</x:f>
        <x:v>0.3</x:v>
      </x:c>
      <x:c r="AO1576" s="81" t="n">
        <x:f>'Inputs'!$E$48</x:f>
        <x:v>0</x:v>
      </x:c>
    </x:row>
    <x:row r="1577">
      <x:c r="A1577" s="59" t="str">
        <x:v>Low participation</x:v>
      </x:c>
      <x:c r="B1577" s="59" t="n">
        <x:v>114</x:v>
      </x:c>
      <x:c r="C1577" s="78" t="n">
        <x:f>(('Inputs'!$B$29*(3*114*'Inputs'!$B$12-114^2)/(2*'Inputs'!$B$12^2))-('Inputs'!$B$29*(3*113*'Inputs'!$B$12-113^2)/(2*'Inputs'!$B$12^2)))*'Inputs'!$B$48</x:f>
        <x:v>168771.63867517188</x:v>
      </x:c>
      <x:c r="D1577" s="78" t="n">
        <x:f>IF('Inputs'!$C$48&gt;0,('Inputs'!$B$30*(3*114*'Inputs'!$B$12-114^2)/(2*'Inputs'!$B$12^2))-('Inputs'!$B$30*(3*113*'Inputs'!$B$12-113^2)/(2*'Inputs'!$B$12^2)),0)</x:f>
        <x:v>289322.8091574386</x:v>
      </x:c>
      <x:c r="E1577" s="78" t="n">
        <x:f>C1577+D1577</x:f>
        <x:v>458094.44783261046</x:v>
      </x:c>
      <x:c r="F1577" s="78" t="n">
        <x:f>'Inputs'!$B$13*E1577+(1-'Inputs'!$B$13)/'Inputs'!$B$14*SUM(E1522:E1577)</x:f>
        <x:v>462947.8443422773</x:v>
      </x:c>
      <x:c r="G1577" s="78" t="n">
        <x:f>F1577*'Inputs'!$F$48</x:f>
        <x:v>231473.92217113866</x:v>
      </x:c>
      <x:c r="H1577" s="78" t="n">
        <x:f>U1576</x:f>
        <x:v>24992539.80293612</x:v>
      </x:c>
      <x:c r="I1577" s="78" t="n">
        <x:f>V1576</x:f>
        <x:v>451.75719924555676</x:v>
      </x:c>
      <x:c r="J1577" s="79" t="n">
        <x:f>IF(H1577&gt;0,I1577/H1577,0)</x:f>
        <x:v>0.00001807568189578253</x:v>
      </x:c>
      <x:c r="K1577" s="80" t="n">
        <x:f>(H1577*J1577+I1577)*'Inputs'!$D$48*(1+'Inputs'!$G$48)^(B1577/30)</x:f>
        <x:v>271.05431954733405</x:v>
      </x:c>
      <x:c r="L1577" s="80" t="n">
        <x:f>MAX(0,K1577*'Inputs'!$E$48)</x:f>
        <x:v>0</x:v>
      </x:c>
      <x:c r="M1577" s="80" t="n">
        <x:f>MAX(0,-K1577*'Inputs'!$E$48)</x:f>
        <x:v>0</x:v>
      </x:c>
      <x:c r="N1577" s="78" t="n">
        <x:f>H1577*(L1577*(1-'Inputs'!$B$15))/(I1577+L1577*(1-'Inputs'!$B$15))</x:f>
        <x:v>0</x:v>
      </x:c>
      <x:c r="O1577" s="78" t="n">
        <x:f>H1577-N1577</x:f>
        <x:v>24992539.80293612</x:v>
      </x:c>
      <x:c r="P1577" s="78" t="n">
        <x:f>I1577+L1577*(1-'Inputs'!$B$17)</x:f>
        <x:v>451.75719924555676</x:v>
      </x:c>
      <x:c r="Q1577" s="78" t="n">
        <x:f>IF(J1577&gt;0,M1577/J1577,0)</x:f>
        <x:v>0</x:v>
      </x:c>
      <x:c r="R1577" s="78" t="n">
        <x:f>IF(B1577='Inputs'!$H$48,'Inputs'!$B$27*'Inputs'!$I$48,0)</x:f>
        <x:v>0</x:v>
      </x:c>
      <x:c r="S1577" s="78" t="n">
        <x:f>Q1577+G1577+R1577</x:f>
        <x:v>231473.92217113866</x:v>
      </x:c>
      <x:c r="T1577" s="78" t="n">
        <x:f>P1577*(S1577*(1-'Inputs'!$B$15))/(O1577+S1577*(1-'Inputs'!$B$15))</x:f>
        <x:v>4.104573237852343</x:v>
      </x:c>
      <x:c r="U1577" s="78" t="n">
        <x:f>O1577+S1577*(1-'Inputs'!$B$17)</x:f>
        <x:v>25223082.240511</x:v>
      </x:c>
      <x:c r="V1577" s="78" t="n">
        <x:f>P1577-T1577</x:f>
        <x:v>447.65262600770444</x:v>
      </x:c>
      <x:c r="W1577" s="79" t="n">
        <x:f>IF(U1577&gt;0,V1577/U1577,0)</x:f>
        <x:v>0.000017747736844338788</x:v>
      </x:c>
      <x:c r="X1577" s="80" t="n">
        <x:f>W1577*('Inputs'!$B$6-AC1577)</x:f>
        <x:v>17715.36720418116</x:v>
      </x:c>
      <x:c r="Y1577" s="80" t="n">
        <x:f>2*V1577</x:f>
        <x:v>895.3052520154089</x:v>
      </x:c>
      <x:c r="Z1577" s="80" t="n">
        <x:f>K1577*'Inputs'!$B$16+(G1577+R1577)*J1577*'Inputs'!$B$16</x:f>
        <x:v>1.651430211190012</x:v>
      </x:c>
      <x:c r="AA1577" s="80" t="n">
        <x:f>K1577*(1+'Inputs'!$E$48)/2*'Inputs'!$B$17</x:f>
        <x:v>0.5453809246425233</x:v>
      </x:c>
      <x:c r="AB1577" s="78" t="n">
        <x:f>(IF(J1577&gt;0,K1577*(1-'Inputs'!$E$48)/2/J1577,0)+G1577+R1577)*'Inputs'!$B$17</x:f>
        <x:v>31103.564841255433</x:v>
      </x:c>
      <x:c r="AC1577" s="78" t="n">
        <x:f>AC1576+AB1577</x:f>
        <x:v>1823874.2461382153</x:v>
      </x:c>
      <x:c r="AD1577" s="80" t="n">
        <x:f>Z1577/(1+'Inputs'!$C$48)</x:f>
        <x:v>1.3211441689520096</x:v>
      </x:c>
      <x:c r="AE1577" s="80" t="n">
        <x:f>Z1577-AD1577</x:f>
        <x:v>0.3302860422380025</x:v>
      </x:c>
      <x:c r="AF1577" s="80" t="n">
        <x:f>D1577*W1577</x:f>
        <x:v>5.134825079991072</x:v>
      </x:c>
      <x:c r="AG1577" s="80" t="n">
        <x:f>C1577*W1577</x:f>
        <x:v>2.9953146299947813</x:v>
      </x:c>
      <x:c r="AH1577" s="80" t="n">
        <x:f>2*'Inputs'!$B$8*'Inputs'!$C$48</x:f>
        <x:v>1250</x:v>
      </x:c>
      <x:c r="AI1577" s="81" t="n">
        <x:f>IF(AH1577&gt;0,(AE1577+AF1577)/AH1577*365,0)</x:f>
        <x:v>1.5958124476908897</x:v>
      </x:c>
      <x:c r="AJ1577" s="81" t="n">
        <x:f>IF('Inputs'!$B$48&gt;0,AG1577/('Inputs'!$B$19*'Inputs'!$B$48)*365,0)</x:f>
        <x:v>0.43731593597923807</x:v>
      </x:c>
      <x:c r="AK1577" s="81" t="n">
        <x:f>W1577/MAX($W$1464:W1577)-1</x:f>
        <x:v>-0.979128961260506</x:v>
      </x:c>
      <x:c r="AL1577" s="83" t="n">
        <x:f>'Inputs'!$B$48</x:f>
        <x:v>0.25</x:v>
      </x:c>
      <x:c r="AM1577" s="83" t="n">
        <x:f>'Inputs'!$C$48</x:f>
        <x:v>0.25</x:v>
      </x:c>
      <x:c r="AN1577" s="83" t="n">
        <x:f>'Inputs'!$D$48</x:f>
        <x:v>0.3</x:v>
      </x:c>
      <x:c r="AO1577" s="81" t="n">
        <x:f>'Inputs'!$E$48</x:f>
        <x:v>0</x:v>
      </x:c>
    </x:row>
    <x:row r="1578">
      <x:c r="A1578" s="59" t="str">
        <x:v>Low participation</x:v>
      </x:c>
      <x:c r="B1578" s="59" t="n">
        <x:v>115</x:v>
      </x:c>
      <x:c r="C1578" s="78" t="n">
        <x:f>(('Inputs'!$B$29*(3*115*'Inputs'!$B$12-115^2)/(2*'Inputs'!$B$12^2))-('Inputs'!$B$29*(3*114*'Inputs'!$B$12-114^2)/(2*'Inputs'!$B$12^2)))*'Inputs'!$B$48</x:f>
        <x:v>168690.3617001325</x:v>
      </x:c>
      <x:c r="D1578" s="78" t="n">
        <x:f>IF('Inputs'!$C$48&gt;0,('Inputs'!$B$30*(3*115*'Inputs'!$B$12-115^2)/(2*'Inputs'!$B$12^2))-('Inputs'!$B$30*(3*114*'Inputs'!$B$12-114^2)/(2*'Inputs'!$B$12^2)),0)</x:f>
        <x:v>289183.47720023245</x:v>
      </x:c>
      <x:c r="E1578" s="78" t="n">
        <x:f>C1578+D1578</x:f>
        <x:v>457873.83890036494</x:v>
      </x:c>
      <x:c r="F1578" s="78" t="n">
        <x:f>'Inputs'!$B$13*E1578+(1-'Inputs'!$B$13)/'Inputs'!$B$14*SUM(E1523:E1578)</x:f>
        <x:v>462727.23541002243</x:v>
      </x:c>
      <x:c r="G1578" s="78" t="n">
        <x:f>F1578*'Inputs'!$F$48</x:f>
        <x:v>231363.61770501122</x:v>
      </x:c>
      <x:c r="H1578" s="78" t="n">
        <x:f>U1577</x:f>
        <x:v>25223082.240511</x:v>
      </x:c>
      <x:c r="I1578" s="78" t="n">
        <x:f>V1577</x:f>
        <x:v>447.65262600770444</x:v>
      </x:c>
      <x:c r="J1578" s="79" t="n">
        <x:f>IF(H1578&gt;0,I1578/H1578,0)</x:f>
        <x:v>0.000017747736844338788</x:v>
      </x:c>
      <x:c r="K1578" s="80" t="n">
        <x:f>(H1578*J1578+I1578)*'Inputs'!$D$48*(1+'Inputs'!$G$48)^(B1578/30)</x:f>
        <x:v>268.5915756046226</x:v>
      </x:c>
      <x:c r="L1578" s="80" t="n">
        <x:f>MAX(0,K1578*'Inputs'!$E$48)</x:f>
        <x:v>0</x:v>
      </x:c>
      <x:c r="M1578" s="80" t="n">
        <x:f>MAX(0,-K1578*'Inputs'!$E$48)</x:f>
        <x:v>0</x:v>
      </x:c>
      <x:c r="N1578" s="78" t="n">
        <x:f>H1578*(L1578*(1-'Inputs'!$B$15))/(I1578+L1578*(1-'Inputs'!$B$15))</x:f>
        <x:v>0</x:v>
      </x:c>
      <x:c r="O1578" s="78" t="n">
        <x:f>H1578-N1578</x:f>
        <x:v>25223082.240511</x:v>
      </x:c>
      <x:c r="P1578" s="78" t="n">
        <x:f>I1578+L1578*(1-'Inputs'!$B$17)</x:f>
        <x:v>447.65262600770444</x:v>
      </x:c>
      <x:c r="Q1578" s="78" t="n">
        <x:f>IF(J1578&gt;0,M1578/J1578,0)</x:f>
        <x:v>0</x:v>
      </x:c>
      <x:c r="R1578" s="78" t="n">
        <x:f>IF(B1578='Inputs'!$H$48,'Inputs'!$B$27*'Inputs'!$I$48,0)</x:f>
        <x:v>0</x:v>
      </x:c>
      <x:c r="S1578" s="78" t="n">
        <x:f>Q1578+G1578+R1578</x:f>
        <x:v>231363.61770501122</x:v>
      </x:c>
      <x:c r="T1578" s="78" t="n">
        <x:f>P1578*(S1578*(1-'Inputs'!$B$15))/(O1578+S1578*(1-'Inputs'!$B$15))</x:f>
        <x:v>4.028535795096304</x:v>
      </x:c>
      <x:c r="U1578" s="78" t="n">
        <x:f>O1578+S1578*(1-'Inputs'!$B$17)</x:f>
        <x:v>25453514.8175009</x:v>
      </x:c>
      <x:c r="V1578" s="78" t="n">
        <x:f>P1578-T1578</x:f>
        <x:v>443.6240902126081</x:v>
      </x:c>
      <x:c r="W1578" s="79" t="n">
        <x:f>IF(U1578&gt;0,V1578/U1578,0)</x:f>
        <x:v>0.0000174287949382766</x:v>
      </x:c>
      <x:c r="X1578" s="80" t="n">
        <x:f>W1578*('Inputs'!$B$6-AC1578)</x:f>
        <x:v>17396.460067333275</x:v>
      </x:c>
      <x:c r="Y1578" s="80" t="n">
        <x:f>2*V1578</x:f>
        <x:v>887.2481804252162</x:v>
      </x:c>
      <x:c r="Z1578" s="80" t="n">
        <x:f>K1578*'Inputs'!$B$16+(G1578+R1578)*J1578*'Inputs'!$B$16</x:f>
        <x:v>1.6361865372420321</x:v>
      </x:c>
      <x:c r="AA1578" s="80" t="n">
        <x:f>K1578*(1+'Inputs'!$E$48)/2*'Inputs'!$B$17</x:f>
        <x:v>0.5404257054418966</x:v>
      </x:c>
      <x:c r="AB1578" s="78" t="n">
        <x:f>(IF(J1578&gt;0,K1578*(1-'Inputs'!$E$48)/2/J1578,0)+G1578+R1578)*'Inputs'!$B$17</x:f>
        <x:v>31381.441810295015</x:v>
      </x:c>
      <x:c r="AC1578" s="78" t="n">
        <x:f>AC1577+AB1578</x:f>
        <x:v>1855255.6879485103</x:v>
      </x:c>
      <x:c r="AD1578" s="80" t="n">
        <x:f>Z1578/(1+'Inputs'!$C$48)</x:f>
        <x:v>1.3089492297936256</x:v>
      </x:c>
      <x:c r="AE1578" s="80" t="n">
        <x:f>Z1578-AD1578</x:f>
        <x:v>0.3272373074484065</x:v>
      </x:c>
      <x:c r="AF1578" s="80" t="n">
        <x:f>D1578*W1578</x:f>
        <x:v>5.040119523660637</x:v>
      </x:c>
      <x:c r="AG1578" s="80" t="n">
        <x:f>C1578*W1578</x:f>
        <x:v>2.9400697221353176</x:v>
      </x:c>
      <x:c r="AH1578" s="80" t="n">
        <x:f>2*'Inputs'!$B$8*'Inputs'!$C$48</x:f>
        <x:v>1250</x:v>
      </x:c>
      <x:c r="AI1578" s="81" t="n">
        <x:f>IF(AH1578&gt;0,(AE1578+AF1578)/AH1578*365,0)</x:f>
        <x:v>1.567268194683841</x:v>
      </x:c>
      <x:c r="AJ1578" s="81" t="n">
        <x:f>IF('Inputs'!$B$48&gt;0,AG1578/('Inputs'!$B$19*'Inputs'!$B$48)*365,0)</x:f>
        <x:v>0.42925017943175636</x:v>
      </x:c>
      <x:c r="AK1578" s="81" t="n">
        <x:f>W1578/MAX($W$1464:W1578)-1</x:f>
        <x:v>-0.9795040315545641</x:v>
      </x:c>
      <x:c r="AL1578" s="83" t="n">
        <x:f>'Inputs'!$B$48</x:f>
        <x:v>0.25</x:v>
      </x:c>
      <x:c r="AM1578" s="83" t="n">
        <x:f>'Inputs'!$C$48</x:f>
        <x:v>0.25</x:v>
      </x:c>
      <x:c r="AN1578" s="83" t="n">
        <x:f>'Inputs'!$D$48</x:f>
        <x:v>0.3</x:v>
      </x:c>
      <x:c r="AO1578" s="81" t="n">
        <x:f>'Inputs'!$E$48</x:f>
        <x:v>0</x:v>
      </x:c>
    </x:row>
    <x:row r="1579">
      <x:c r="A1579" s="59" t="str">
        <x:v>Low participation</x:v>
      </x:c>
      <x:c r="B1579" s="59" t="n">
        <x:v>116</x:v>
      </x:c>
      <x:c r="C1579" s="78" t="n">
        <x:f>(('Inputs'!$B$29*(3*116*'Inputs'!$B$12-116^2)/(2*'Inputs'!$B$12^2))-('Inputs'!$B$29*(3*115*'Inputs'!$B$12-115^2)/(2*'Inputs'!$B$12^2)))*'Inputs'!$B$48</x:f>
        <x:v>168609.08472508937</x:v>
      </x:c>
      <x:c r="D1579" s="78" t="n">
        <x:f>IF('Inputs'!$C$48&gt;0,('Inputs'!$B$30*(3*116*'Inputs'!$B$12-116^2)/(2*'Inputs'!$B$12^2))-('Inputs'!$B$30*(3*115*'Inputs'!$B$12-115^2)/(2*'Inputs'!$B$12^2)),0)</x:f>
        <x:v>289044.14524300396</x:v>
      </x:c>
      <x:c r="E1579" s="78" t="n">
        <x:f>C1579+D1579</x:f>
        <x:v>457653.22996809334</x:v>
      </x:c>
      <x:c r="F1579" s="78" t="n">
        <x:f>'Inputs'!$B$13*E1579+(1-'Inputs'!$B$13)/'Inputs'!$B$14*SUM(E1524:E1579)</x:f>
        <x:v>462506.626477762</x:v>
      </x:c>
      <x:c r="G1579" s="78" t="n">
        <x:f>F1579*'Inputs'!$F$48</x:f>
        <x:v>231253.313238881</x:v>
      </x:c>
      <x:c r="H1579" s="78" t="n">
        <x:f>U1578</x:f>
        <x:v>25453514.8175009</x:v>
      </x:c>
      <x:c r="I1579" s="78" t="n">
        <x:f>V1578</x:f>
        <x:v>443.6240902126081</x:v>
      </x:c>
      <x:c r="J1579" s="79" t="n">
        <x:f>IF(H1579&gt;0,I1579/H1579,0)</x:f>
        <x:v>0.0000174287949382766</x:v>
      </x:c>
      <x:c r="K1579" s="80" t="n">
        <x:f>(H1579*J1579+I1579)*'Inputs'!$D$48*(1+'Inputs'!$G$48)^(B1579/30)</x:f>
        <x:v>266.17445412756484</x:v>
      </x:c>
      <x:c r="L1579" s="80" t="n">
        <x:f>MAX(0,K1579*'Inputs'!$E$48)</x:f>
        <x:v>0</x:v>
      </x:c>
      <x:c r="M1579" s="80" t="n">
        <x:f>MAX(0,-K1579*'Inputs'!$E$48)</x:f>
        <x:v>0</x:v>
      </x:c>
      <x:c r="N1579" s="78" t="n">
        <x:f>H1579*(L1579*(1-'Inputs'!$B$15))/(I1579+L1579*(1-'Inputs'!$B$15))</x:f>
        <x:v>0</x:v>
      </x:c>
      <x:c r="O1579" s="78" t="n">
        <x:f>H1579-N1579</x:f>
        <x:v>25453514.8175009</x:v>
      </x:c>
      <x:c r="P1579" s="78" t="n">
        <x:f>I1579+L1579*(1-'Inputs'!$B$17)</x:f>
        <x:v>443.6240902126081</x:v>
      </x:c>
      <x:c r="Q1579" s="78" t="n">
        <x:f>IF(J1579&gt;0,M1579/J1579,0)</x:f>
        <x:v>0</x:v>
      </x:c>
      <x:c r="R1579" s="78" t="n">
        <x:f>IF(B1579='Inputs'!$H$48,'Inputs'!$B$27*'Inputs'!$I$48,0)</x:f>
        <x:v>0</x:v>
      </x:c>
      <x:c r="S1579" s="78" t="n">
        <x:f>Q1579+G1579+R1579</x:f>
        <x:v>231253.313238881</x:v>
      </x:c>
      <x:c r="T1579" s="78" t="n">
        <x:f>P1579*(S1579*(1-'Inputs'!$B$15))/(O1579+S1579*(1-'Inputs'!$B$15))</x:f>
        <x:v>3.9545924610405696</x:v>
      </x:c>
      <x:c r="U1579" s="78" t="n">
        <x:f>O1579+S1579*(1-'Inputs'!$B$17)</x:f>
        <x:v>25683837.533905823</x:v>
      </x:c>
      <x:c r="V1579" s="78" t="n">
        <x:f>P1579-T1579</x:f>
        <x:v>439.6694977515675</x:v>
      </x:c>
      <x:c r="W1579" s="79" t="n">
        <x:f>IF(U1579&gt;0,V1579/U1579,0)</x:f>
        <x:v>0.000017118528225042294</x:v>
      </x:c>
      <x:c r="X1579" s="80" t="n">
        <x:f>W1579*('Inputs'!$B$6-AC1579)</x:f>
        <x:v>17086.22701951177</x:v>
      </x:c>
      <x:c r="Y1579" s="80" t="n">
        <x:f>2*V1579</x:f>
        <x:v>879.338995503135</x:v>
      </x:c>
      <x:c r="Z1579" s="80" t="n">
        <x:f>K1579*'Inputs'!$B$16+(G1579+R1579)*J1579*'Inputs'!$B$16</x:f>
        <x:v>1.621229524216814</x:v>
      </x:c>
      <x:c r="AA1579" s="80" t="n">
        <x:f>K1579*(1+'Inputs'!$E$48)/2*'Inputs'!$B$17</x:f>
        <x:v>0.5355622819468105</x:v>
      </x:c>
      <x:c r="AB1579" s="78" t="n">
        <x:f>(IF(J1579&gt;0,K1579*(1-'Inputs'!$E$48)/2/J1579,0)+G1579+R1579)*'Inputs'!$B$17</x:f>
        <x:v>31659.186150861777</x:v>
      </x:c>
      <x:c r="AC1579" s="78" t="n">
        <x:f>AC1578+AB1579</x:f>
        <x:v>1886914.874099372</x:v>
      </x:c>
      <x:c r="AD1579" s="80" t="n">
        <x:f>Z1579/(1+'Inputs'!$C$48)</x:f>
        <x:v>1.2969836193734512</x:v>
      </x:c>
      <x:c r="AE1579" s="80" t="n">
        <x:f>Z1579-AD1579</x:f>
        <x:v>0.3242459048433628</x:v>
      </x:c>
      <x:c r="AF1579" s="80" t="n">
        <x:f>D1579*W1579</x:f>
        <x:v>4.948010358625588</x:v>
      </x:c>
      <x:c r="AG1579" s="80" t="n">
        <x:f>C1579*W1579</x:f>
        <x:v>2.88633937586499</x:v>
      </x:c>
      <x:c r="AH1579" s="80" t="n">
        <x:f>2*'Inputs'!$B$8*'Inputs'!$C$48</x:f>
        <x:v>1250</x:v>
      </x:c>
      <x:c r="AI1579" s="81" t="n">
        <x:f>IF(AH1579&gt;0,(AE1579+AF1579)/AH1579*365,0)</x:f>
        <x:v>1.5394988289329334</x:v>
      </x:c>
      <x:c r="AJ1579" s="81" t="n">
        <x:f>IF('Inputs'!$B$48&gt;0,AG1579/('Inputs'!$B$19*'Inputs'!$B$48)*365,0)</x:f>
        <x:v>0.42140554887628856</x:v>
      </x:c>
      <x:c r="AK1579" s="81" t="n">
        <x:f>W1579/MAX($W$1464:W1579)-1</x:f>
        <x:v>-0.9798688999683953</x:v>
      </x:c>
      <x:c r="AL1579" s="83" t="n">
        <x:f>'Inputs'!$B$48</x:f>
        <x:v>0.25</x:v>
      </x:c>
      <x:c r="AM1579" s="83" t="n">
        <x:f>'Inputs'!$C$48</x:f>
        <x:v>0.25</x:v>
      </x:c>
      <x:c r="AN1579" s="83" t="n">
        <x:f>'Inputs'!$D$48</x:f>
        <x:v>0.3</x:v>
      </x:c>
      <x:c r="AO1579" s="81" t="n">
        <x:f>'Inputs'!$E$48</x:f>
        <x:v>0</x:v>
      </x:c>
    </x:row>
    <x:row r="1580">
      <x:c r="A1580" s="59" t="str">
        <x:v>Low participation</x:v>
      </x:c>
      <x:c r="B1580" s="59" t="n">
        <x:v>117</x:v>
      </x:c>
      <x:c r="C1580" s="78" t="n">
        <x:f>(('Inputs'!$B$29*(3*117*'Inputs'!$B$12-117^2)/(2*'Inputs'!$B$12^2))-('Inputs'!$B$29*(3*116*'Inputs'!$B$12-116^2)/(2*'Inputs'!$B$12^2)))*'Inputs'!$B$48</x:f>
        <x:v>168527.80775004625</x:v>
      </x:c>
      <x:c r="D1580" s="78" t="n">
        <x:f>IF('Inputs'!$C$48&gt;0,('Inputs'!$B$30*(3*117*'Inputs'!$B$12-117^2)/(2*'Inputs'!$B$12^2))-('Inputs'!$B$30*(3*116*'Inputs'!$B$12-116^2)/(2*'Inputs'!$B$12^2)),0)</x:f>
        <x:v>288904.81328579783</x:v>
      </x:c>
      <x:c r="E1580" s="78" t="n">
        <x:f>C1580+D1580</x:f>
        <x:v>457432.6210358441</x:v>
      </x:c>
      <x:c r="F1580" s="78" t="n">
        <x:f>'Inputs'!$B$13*E1580+(1-'Inputs'!$B$13)/'Inputs'!$B$14*SUM(E1525:E1580)</x:f>
        <x:v>462286.01754550624</x:v>
      </x:c>
      <x:c r="G1580" s="78" t="n">
        <x:f>F1580*'Inputs'!$F$48</x:f>
        <x:v>231143.00877275312</x:v>
      </x:c>
      <x:c r="H1580" s="78" t="n">
        <x:f>U1579</x:f>
        <x:v>25683837.533905823</x:v>
      </x:c>
      <x:c r="I1580" s="78" t="n">
        <x:f>V1579</x:f>
        <x:v>439.6694977515675</x:v>
      </x:c>
      <x:c r="J1580" s="79" t="n">
        <x:f>IF(H1580&gt;0,I1580/H1580,0)</x:f>
        <x:v>0.000017118528225042294</x:v>
      </x:c>
      <x:c r="K1580" s="80" t="n">
        <x:f>(H1580*J1580+I1580)*'Inputs'!$D$48*(1+'Inputs'!$G$48)^(B1580/30)</x:f>
        <x:v>263.8016986509405</x:v>
      </x:c>
      <x:c r="L1580" s="80" t="n">
        <x:f>MAX(0,K1580*'Inputs'!$E$48)</x:f>
        <x:v>0</x:v>
      </x:c>
      <x:c r="M1580" s="80" t="n">
        <x:f>MAX(0,-K1580*'Inputs'!$E$48)</x:f>
        <x:v>0</x:v>
      </x:c>
      <x:c r="N1580" s="78" t="n">
        <x:f>H1580*(L1580*(1-'Inputs'!$B$15))/(I1580+L1580*(1-'Inputs'!$B$15))</x:f>
        <x:v>0</x:v>
      </x:c>
      <x:c r="O1580" s="78" t="n">
        <x:f>H1580-N1580</x:f>
        <x:v>25683837.533905823</x:v>
      </x:c>
      <x:c r="P1580" s="78" t="n">
        <x:f>I1580+L1580*(1-'Inputs'!$B$17)</x:f>
        <x:v>439.6694977515675</x:v>
      </x:c>
      <x:c r="Q1580" s="78" t="n">
        <x:f>IF(J1580&gt;0,M1580/J1580,0)</x:f>
        <x:v>0</x:v>
      </x:c>
      <x:c r="R1580" s="78" t="n">
        <x:f>IF(B1580='Inputs'!$H$48,'Inputs'!$B$27*'Inputs'!$I$48,0)</x:f>
        <x:v>0</x:v>
      </x:c>
      <x:c r="S1580" s="78" t="n">
        <x:f>Q1580+G1580+R1580</x:f>
        <x:v>231143.00877275312</x:v>
      </x:c>
      <x:c r="T1580" s="78" t="n">
        <x:f>P1580*(S1580*(1-'Inputs'!$B$15))/(O1580+S1580*(1-'Inputs'!$B$15))</x:f>
        <x:v>3.8826670009558155</x:v>
      </x:c>
      <x:c r="U1580" s="78" t="n">
        <x:f>O1580+S1580*(1-'Inputs'!$B$17)</x:f>
        <x:v>25914050.389725767</x:v>
      </x:c>
      <x:c r="V1580" s="78" t="n">
        <x:f>P1580-T1580</x:f>
        <x:v>435.7868307506117</x:v>
      </x:c>
      <x:c r="W1580" s="79" t="n">
        <x:f>IF(U1580&gt;0,V1580/U1580,0)</x:f>
        <x:v>0.000016816623576659773</x:v>
      </x:c>
      <x:c r="X1580" s="80" t="n">
        <x:f>W1580*('Inputs'!$B$6-AC1580)</x:f>
        <x:v>16784.35497039294</x:v>
      </x:c>
      <x:c r="Y1580" s="80" t="n">
        <x:f>2*V1580</x:f>
        <x:v>871.5736615012235</x:v>
      </x:c>
      <x:c r="Z1580" s="80" t="n">
        <x:f>K1580*'Inputs'!$B$16+(G1580+R1580)*J1580*'Inputs'!$B$16</x:f>
        <x:v>1.6065511606238287</x:v>
      </x:c>
      <x:c r="AA1580" s="80" t="n">
        <x:f>K1580*(1+'Inputs'!$E$48)/2*'Inputs'!$B$17</x:f>
        <x:v>0.5307881260582304</x:v>
      </x:c>
      <x:c r="AB1580" s="78" t="n">
        <x:f>(IF(J1580&gt;0,K1580*(1-'Inputs'!$E$48)/2/J1580,0)+G1580+R1580)*'Inputs'!$B$17</x:f>
        <x:v>31936.79786295574</x:v>
      </x:c>
      <x:c r="AC1580" s="78" t="n">
        <x:f>AC1579+AB1580</x:f>
        <x:v>1918851.6719623278</x:v>
      </x:c>
      <x:c r="AD1580" s="80" t="n">
        <x:f>Z1580/(1+'Inputs'!$C$48)</x:f>
        <x:v>1.285240928499063</x:v>
      </x:c>
      <x:c r="AE1580" s="80" t="n">
        <x:f>Z1580-AD1580</x:f>
        <x:v>0.32131023212476584</x:v>
      </x:c>
      <x:c r="AF1580" s="80" t="n">
        <x:f>D1580*W1580</x:f>
        <x:v>4.858403494512437</x:v>
      </x:c>
      <x:c r="AG1580" s="80" t="n">
        <x:f>C1580*W1580</x:f>
        <x:v>2.8340687051322133</x:v>
      </x:c>
      <x:c r="AH1580" s="80" t="n">
        <x:f>2*'Inputs'!$B$8*'Inputs'!$C$48</x:f>
        <x:v>1250</x:v>
      </x:c>
      <x:c r="AI1580" s="81" t="n">
        <x:f>IF(AH1580&gt;0,(AE1580+AF1580)/AH1580*365,0)</x:f>
        <x:v>1.5124764081780633</x:v>
      </x:c>
      <x:c r="AJ1580" s="81" t="n">
        <x:f>IF('Inputs'!$B$48&gt;0,AG1580/('Inputs'!$B$19*'Inputs'!$B$48)*365,0)</x:f>
        <x:v>0.41377403094930315</x:v>
      </x:c>
      <x:c r="AK1580" s="81" t="n">
        <x:f>W1580/MAX($W$1464:W1580)-1</x:f>
        <x:v>-0.9802239347352104</x:v>
      </x:c>
      <x:c r="AL1580" s="83" t="n">
        <x:f>'Inputs'!$B$48</x:f>
        <x:v>0.25</x:v>
      </x:c>
      <x:c r="AM1580" s="83" t="n">
        <x:f>'Inputs'!$C$48</x:f>
        <x:v>0.25</x:v>
      </x:c>
      <x:c r="AN1580" s="83" t="n">
        <x:f>'Inputs'!$D$48</x:f>
        <x:v>0.3</x:v>
      </x:c>
      <x:c r="AO1580" s="81" t="n">
        <x:f>'Inputs'!$E$48</x:f>
        <x:v>0</x:v>
      </x:c>
    </x:row>
    <x:row r="1581">
      <x:c r="A1581" s="59" t="str">
        <x:v>Low participation</x:v>
      </x:c>
      <x:c r="B1581" s="59" t="n">
        <x:v>118</x:v>
      </x:c>
      <x:c r="C1581" s="78" t="n">
        <x:f>(('Inputs'!$B$29*(3*118*'Inputs'!$B$12-118^2)/(2*'Inputs'!$B$12^2))-('Inputs'!$B$29*(3*117*'Inputs'!$B$12-117^2)/(2*'Inputs'!$B$12^2)))*'Inputs'!$B$48</x:f>
        <x:v>168446.53077500686</x:v>
      </x:c>
      <x:c r="D1581" s="78" t="n">
        <x:f>IF('Inputs'!$C$48&gt;0,('Inputs'!$B$30*(3*118*'Inputs'!$B$12-118^2)/(2*'Inputs'!$B$12^2))-('Inputs'!$B$30*(3*117*'Inputs'!$B$12-117^2)/(2*'Inputs'!$B$12^2)),0)</x:f>
        <x:v>288765.4813285768</x:v>
      </x:c>
      <x:c r="E1581" s="78" t="n">
        <x:f>C1581+D1581</x:f>
        <x:v>457212.01210358366</x:v>
      </x:c>
      <x:c r="F1581" s="78" t="n">
        <x:f>'Inputs'!$B$13*E1581+(1-'Inputs'!$B$13)/'Inputs'!$B$14*SUM(E1526:E1581)</x:f>
        <x:v>462065.40861324826</x:v>
      </x:c>
      <x:c r="G1581" s="78" t="n">
        <x:f>F1581*'Inputs'!$F$48</x:f>
        <x:v>231032.70430662413</x:v>
      </x:c>
      <x:c r="H1581" s="78" t="n">
        <x:f>U1580</x:f>
        <x:v>25914050.389725767</x:v>
      </x:c>
      <x:c r="I1581" s="78" t="n">
        <x:f>V1580</x:f>
        <x:v>435.7868307506117</x:v>
      </x:c>
      <x:c r="J1581" s="79" t="n">
        <x:f>IF(H1581&gt;0,I1581/H1581,0)</x:f>
        <x:v>0.000016816623576659773</x:v>
      </x:c>
      <x:c r="K1581" s="80" t="n">
        <x:f>(H1581*J1581+I1581)*'Inputs'!$D$48*(1+'Inputs'!$G$48)^(B1581/30)</x:f>
        <x:v>261.472098450367</x:v>
      </x:c>
      <x:c r="L1581" s="80" t="n">
        <x:f>MAX(0,K1581*'Inputs'!$E$48)</x:f>
        <x:v>0</x:v>
      </x:c>
      <x:c r="M1581" s="80" t="n">
        <x:f>MAX(0,-K1581*'Inputs'!$E$48)</x:f>
        <x:v>0</x:v>
      </x:c>
      <x:c r="N1581" s="78" t="n">
        <x:f>H1581*(L1581*(1-'Inputs'!$B$15))/(I1581+L1581*(1-'Inputs'!$B$15))</x:f>
        <x:v>0</x:v>
      </x:c>
      <x:c r="O1581" s="78" t="n">
        <x:f>H1581-N1581</x:f>
        <x:v>25914050.389725767</x:v>
      </x:c>
      <x:c r="P1581" s="78" t="n">
        <x:f>I1581+L1581*(1-'Inputs'!$B$17)</x:f>
        <x:v>435.7868307506117</x:v>
      </x:c>
      <x:c r="Q1581" s="78" t="n">
        <x:f>IF(J1581&gt;0,M1581/J1581,0)</x:f>
        <x:v>0</x:v>
      </x:c>
      <x:c r="R1581" s="78" t="n">
        <x:f>IF(B1581='Inputs'!$H$48,'Inputs'!$B$27*'Inputs'!$I$48,0)</x:f>
        <x:v>0</x:v>
      </x:c>
      <x:c r="S1581" s="78" t="n">
        <x:f>Q1581+G1581+R1581</x:f>
        <x:v>231032.70430662413</x:v>
      </x:c>
      <x:c r="T1581" s="78" t="n">
        <x:f>P1581*(S1581*(1-'Inputs'!$B$15))/(O1581+S1581*(1-'Inputs'!$B$15))</x:f>
        <x:v>3.812686618891896</x:v>
      </x:c>
      <x:c r="U1581" s="78" t="n">
        <x:f>O1581+S1581*(1-'Inputs'!$B$17)</x:f>
        <x:v>26144153.384960733</x:v>
      </x:c>
      <x:c r="V1581" s="78" t="n">
        <x:f>P1581-T1581</x:f>
        <x:v>431.9741441317198</x:v>
      </x:c>
      <x:c r="W1581" s="79" t="n">
        <x:f>IF(U1581&gt;0,V1581/U1581,0)</x:f>
        <x:v>0.000016522781892039018</x:v>
      </x:c>
      <x:c r="X1581" s="80" t="n">
        <x:f>W1581*('Inputs'!$B$6-AC1581)</x:f>
        <x:v>16490.54485490821</x:v>
      </x:c>
      <x:c r="Y1581" s="80" t="n">
        <x:f>2*V1581</x:f>
        <x:v>863.9482882634396</x:v>
      </x:c>
      <x:c r="Z1581" s="80" t="n">
        <x:f>K1581*'Inputs'!$B$16+(G1581+R1581)*J1581*'Inputs'!$B$16</x:f>
        <x:v>1.5921437308355355</x:v>
      </x:c>
      <x:c r="AA1581" s="80" t="n">
        <x:f>K1581*(1+'Inputs'!$E$48)/2*'Inputs'!$B$17</x:f>
        <x:v>0.526100801711</x:v>
      </x:c>
      <x:c r="AB1581" s="78" t="n">
        <x:f>(IF(J1581&gt;0,K1581*(1-'Inputs'!$E$48)/2/J1581,0)+G1581+R1581)*'Inputs'!$B$17</x:f>
        <x:v>32214.276946576876</x:v>
      </x:c>
      <x:c r="AC1581" s="78" t="n">
        <x:f>AC1580+AB1581</x:f>
        <x:v>1951065.9489089046</x:v>
      </x:c>
      <x:c r="AD1581" s="80" t="n">
        <x:f>Z1581/(1+'Inputs'!$C$48)</x:f>
        <x:v>1.2737149846684284</x:v>
      </x:c>
      <x:c r="AE1581" s="80" t="n">
        <x:f>Z1581-AD1581</x:f>
        <x:v>0.31842874616710715</x:v>
      </x:c>
      <x:c r="AF1581" s="80" t="n">
        <x:f>D1581*W1581</x:f>
        <x:v>4.77120906594174</x:v>
      </x:c>
      <x:c r="AG1581" s="80" t="n">
        <x:f>C1581*W1581</x:f>
        <x:v>2.7832052884660765</x:v>
      </x:c>
      <x:c r="AH1581" s="80" t="n">
        <x:f>2*'Inputs'!$B$8*'Inputs'!$C$48</x:f>
        <x:v>1250</x:v>
      </x:c>
      <x:c r="AI1581" s="81" t="n">
        <x:f>IF(AH1581&gt;0,(AE1581+AF1581)/AH1581*365,0)</x:f>
        <x:v>1.4861742411357837</x:v>
      </x:c>
      <x:c r="AJ1581" s="81" t="n">
        <x:f>IF('Inputs'!$B$48&gt;0,AG1581/('Inputs'!$B$19*'Inputs'!$B$48)*365,0)</x:f>
        <x:v>0.4063479721160472</x:v>
      </x:c>
      <x:c r="AK1581" s="81" t="n">
        <x:f>W1581/MAX($W$1464:W1581)-1</x:f>
        <x:v>-0.9805694875928388</x:v>
      </x:c>
      <x:c r="AL1581" s="83" t="n">
        <x:f>'Inputs'!$B$48</x:f>
        <x:v>0.25</x:v>
      </x:c>
      <x:c r="AM1581" s="83" t="n">
        <x:f>'Inputs'!$C$48</x:f>
        <x:v>0.25</x:v>
      </x:c>
      <x:c r="AN1581" s="83" t="n">
        <x:f>'Inputs'!$D$48</x:f>
        <x:v>0.3</x:v>
      </x:c>
      <x:c r="AO1581" s="81" t="n">
        <x:f>'Inputs'!$E$48</x:f>
        <x:v>0</x:v>
      </x:c>
    </x:row>
    <x:row r="1582">
      <x:c r="A1582" s="59" t="str">
        <x:v>Low participation</x:v>
      </x:c>
      <x:c r="B1582" s="59" t="n">
        <x:v>119</x:v>
      </x:c>
      <x:c r="C1582" s="78" t="n">
        <x:f>(('Inputs'!$B$29*(3*119*'Inputs'!$B$12-119^2)/(2*'Inputs'!$B$12^2))-('Inputs'!$B$29*(3*118*'Inputs'!$B$12-118^2)/(2*'Inputs'!$B$12^2)))*'Inputs'!$B$48</x:f>
        <x:v>168365.25379996002</x:v>
      </x:c>
      <x:c r="D1582" s="78" t="n">
        <x:f>IF('Inputs'!$C$48&gt;0,('Inputs'!$B$30*(3*119*'Inputs'!$B$12-119^2)/(2*'Inputs'!$B$12^2))-('Inputs'!$B$30*(3*118*'Inputs'!$B$12-118^2)/(2*'Inputs'!$B$12^2)),0)</x:f>
        <x:v>288626.1493713632</x:v>
      </x:c>
      <x:c r="E1582" s="78" t="n">
        <x:f>C1582+D1582</x:f>
        <x:v>456991.40317132324</x:v>
      </x:c>
      <x:c r="F1582" s="78" t="n">
        <x:f>'Inputs'!$B$13*E1582+(1-'Inputs'!$B$13)/'Inputs'!$B$14*SUM(E1527:E1582)</x:f>
        <x:v>461844.79968099005</x:v>
      </x:c>
      <x:c r="G1582" s="78" t="n">
        <x:f>F1582*'Inputs'!$F$48</x:f>
        <x:v>230922.39984049503</x:v>
      </x:c>
      <x:c r="H1582" s="78" t="n">
        <x:f>U1581</x:f>
        <x:v>26144153.384960733</x:v>
      </x:c>
      <x:c r="I1582" s="78" t="n">
        <x:f>V1581</x:f>
        <x:v>431.9741441317198</x:v>
      </x:c>
      <x:c r="J1582" s="79" t="n">
        <x:f>IF(H1582&gt;0,I1582/H1582,0)</x:f>
        <x:v>0.000016522781892039018</x:v>
      </x:c>
      <x:c r="K1582" s="80" t="n">
        <x:f>(H1582*J1582+I1582)*'Inputs'!$D$48*(1+'Inputs'!$G$48)^(B1582/30)</x:f>
        <x:v>259.1844864790319</x:v>
      </x:c>
      <x:c r="L1582" s="80" t="n">
        <x:f>MAX(0,K1582*'Inputs'!$E$48)</x:f>
        <x:v>0</x:v>
      </x:c>
      <x:c r="M1582" s="80" t="n">
        <x:f>MAX(0,-K1582*'Inputs'!$E$48)</x:f>
        <x:v>0</x:v>
      </x:c>
      <x:c r="N1582" s="78" t="n">
        <x:f>H1582*(L1582*(1-'Inputs'!$B$15))/(I1582+L1582*(1-'Inputs'!$B$15))</x:f>
        <x:v>0</x:v>
      </x:c>
      <x:c r="O1582" s="78" t="n">
        <x:f>H1582-N1582</x:f>
        <x:v>26144153.384960733</x:v>
      </x:c>
      <x:c r="P1582" s="78" t="n">
        <x:f>I1582+L1582*(1-'Inputs'!$B$17)</x:f>
        <x:v>431.9741441317198</x:v>
      </x:c>
      <x:c r="Q1582" s="78" t="n">
        <x:f>IF(J1582&gt;0,M1582/J1582,0)</x:f>
        <x:v>0</x:v>
      </x:c>
      <x:c r="R1582" s="78" t="n">
        <x:f>IF(B1582='Inputs'!$H$48,'Inputs'!$B$27*'Inputs'!$I$48,0)</x:f>
        <x:v>0</x:v>
      </x:c>
      <x:c r="S1582" s="78" t="n">
        <x:f>Q1582+G1582+R1582</x:f>
        <x:v>230922.39984049503</x:v>
      </x:c>
      <x:c r="T1582" s="78" t="n">
        <x:f>P1582*(S1582*(1-'Inputs'!$B$15))/(O1582+S1582*(1-'Inputs'!$B$15))</x:f>
        <x:v>3.7445817731689273</x:v>
      </x:c>
      <x:c r="U1582" s="78" t="n">
        <x:f>O1582+S1582*(1-'Inputs'!$B$17)</x:f>
        <x:v>26374146.51961072</x:v>
      </x:c>
      <x:c r="V1582" s="78" t="n">
        <x:f>P1582-T1582</x:f>
        <x:v>428.2295623585509</x:v>
      </x:c>
      <x:c r="W1582" s="79" t="n">
        <x:f>IF(U1582&gt;0,V1582/U1582,0)</x:f>
        <x:v>0.000016236717348943865</x:v>
      </x:c>
      <x:c r="X1582" s="80" t="n">
        <x:f>W1582*('Inputs'!$B$6-AC1582)</x:f>
        <x:v>16204.510885296899</x:v>
      </x:c>
      <x:c r="Y1582" s="80" t="n">
        <x:f>2*V1582</x:f>
        <x:v>856.4591247171018</x:v>
      </x:c>
      <x:c r="Z1582" s="80" t="n">
        <x:f>K1582*'Inputs'!$B$16+(G1582+R1582)*J1582*'Inputs'!$B$16</x:f>
        <x:v>1.5779998015534957</x:v>
      </x:c>
      <x:c r="AA1582" s="80" t="n">
        <x:f>K1582*(1+'Inputs'!$E$48)/2*'Inputs'!$B$17</x:f>
        <x:v>0.5214979607223982</x:v>
      </x:c>
      <x:c r="AB1582" s="78" t="n">
        <x:f>(IF(J1582&gt;0,K1582*(1-'Inputs'!$E$48)/2/J1582,0)+G1582+R1582)*'Inputs'!$B$17</x:f>
        <x:v>32491.62340172521</x:v>
      </x:c>
      <x:c r="AC1582" s="78" t="n">
        <x:f>AC1581+AB1582</x:f>
        <x:v>1983557.5723106298</x:v>
      </x:c>
      <x:c r="AD1582" s="80" t="n">
        <x:f>Z1582/(1+'Inputs'!$C$48)</x:f>
        <x:v>1.2623998412427966</x:v>
      </x:c>
      <x:c r="AE1582" s="80" t="n">
        <x:f>Z1582-AD1582</x:f>
        <x:v>0.31559996031069915</x:v>
      </x:c>
      <x:c r="AF1582" s="80" t="n">
        <x:f>D1582*W1582</x:f>
        <x:v>4.686341206856877</x:v>
      </x:c>
      <x:c r="AG1582" s="80" t="n">
        <x:f>C1582*W1582</x:f>
        <x:v>2.733699037333148</x:v>
      </x:c>
      <x:c r="AH1582" s="80" t="n">
        <x:f>2*'Inputs'!$B$8*'Inputs'!$C$48</x:f>
        <x:v>1250</x:v>
      </x:c>
      <x:c r="AI1582" s="81" t="n">
        <x:f>IF(AH1582&gt;0,(AE1582+AF1582)/AH1582*365,0)</x:f>
        <x:v>1.460566820812932</x:v>
      </x:c>
      <x:c r="AJ1582" s="81" t="n">
        <x:f>IF('Inputs'!$B$48&gt;0,AG1582/('Inputs'!$B$19*'Inputs'!$B$48)*365,0)</x:f>
        <x:v>0.39912005945063955</x:v>
      </x:c>
      <x:c r="AK1582" s="81" t="n">
        <x:f>W1582/MAX($W$1464:W1582)-1</x:f>
        <x:v>-0.9809058946634022</x:v>
      </x:c>
      <x:c r="AL1582" s="83" t="n">
        <x:f>'Inputs'!$B$48</x:f>
        <x:v>0.25</x:v>
      </x:c>
      <x:c r="AM1582" s="83" t="n">
        <x:f>'Inputs'!$C$48</x:f>
        <x:v>0.25</x:v>
      </x:c>
      <x:c r="AN1582" s="83" t="n">
        <x:f>'Inputs'!$D$48</x:f>
        <x:v>0.3</x:v>
      </x:c>
      <x:c r="AO1582" s="81" t="n">
        <x:f>'Inputs'!$E$48</x:f>
        <x:v>0</x:v>
      </x:c>
    </x:row>
    <x:row r="1583">
      <x:c r="A1583" s="59" t="str">
        <x:v>Low participation</x:v>
      </x:c>
      <x:c r="B1583" s="59" t="n">
        <x:v>120</x:v>
      </x:c>
      <x:c r="C1583" s="78" t="n">
        <x:f>(('Inputs'!$B$29*(3*120*'Inputs'!$B$12-120^2)/(2*'Inputs'!$B$12^2))-('Inputs'!$B$29*(3*119*'Inputs'!$B$12-119^2)/(2*'Inputs'!$B$12^2)))*'Inputs'!$B$48</x:f>
        <x:v>168283.97682492062</x:v>
      </x:c>
      <x:c r="D1583" s="78" t="n">
        <x:f>IF('Inputs'!$C$48&gt;0,('Inputs'!$B$30*(3*120*'Inputs'!$B$12-120^2)/(2*'Inputs'!$B$12^2))-('Inputs'!$B$30*(3*119*'Inputs'!$B$12-119^2)/(2*'Inputs'!$B$12^2)),0)</x:f>
        <x:v>288486.81741414964</x:v>
      </x:c>
      <x:c r="E1583" s="78" t="n">
        <x:f>C1583+D1583</x:f>
        <x:v>456770.79423907027</x:v>
      </x:c>
      <x:c r="F1583" s="78" t="n">
        <x:f>'Inputs'!$B$13*E1583+(1-'Inputs'!$B$13)/'Inputs'!$B$14*SUM(E1528:E1583)</x:f>
        <x:v>461624.1907487335</x:v>
      </x:c>
      <x:c r="G1583" s="78" t="n">
        <x:f>F1583*'Inputs'!$F$48</x:f>
        <x:v>230812.09537436676</x:v>
      </x:c>
      <x:c r="H1583" s="78" t="n">
        <x:f>U1582</x:f>
        <x:v>26374146.51961072</x:v>
      </x:c>
      <x:c r="I1583" s="78" t="n">
        <x:f>V1582</x:f>
        <x:v>428.2295623585509</x:v>
      </x:c>
      <x:c r="J1583" s="79" t="n">
        <x:f>IF(H1583&gt;0,I1583/H1583,0)</x:f>
        <x:v>0.000016236717348943865</x:v>
      </x:c>
      <x:c r="K1583" s="80" t="n">
        <x:f>(H1583*J1583+I1583)*'Inputs'!$D$48*(1+'Inputs'!$G$48)^(B1583/30)</x:f>
        <x:v>256.9377374151305</x:v>
      </x:c>
      <x:c r="L1583" s="80" t="n">
        <x:f>MAX(0,K1583*'Inputs'!$E$48)</x:f>
        <x:v>0</x:v>
      </x:c>
      <x:c r="M1583" s="80" t="n">
        <x:f>MAX(0,-K1583*'Inputs'!$E$48)</x:f>
        <x:v>0</x:v>
      </x:c>
      <x:c r="N1583" s="78" t="n">
        <x:f>H1583*(L1583*(1-'Inputs'!$B$15))/(I1583+L1583*(1-'Inputs'!$B$15))</x:f>
        <x:v>0</x:v>
      </x:c>
      <x:c r="O1583" s="78" t="n">
        <x:f>H1583-N1583</x:f>
        <x:v>26374146.51961072</x:v>
      </x:c>
      <x:c r="P1583" s="78" t="n">
        <x:f>I1583+L1583*(1-'Inputs'!$B$17)</x:f>
        <x:v>428.2295623585509</x:v>
      </x:c>
      <x:c r="Q1583" s="78" t="n">
        <x:f>IF(J1583&gt;0,M1583/J1583,0)</x:f>
        <x:v>0</x:v>
      </x:c>
      <x:c r="R1583" s="78" t="n">
        <x:f>IF(B1583='Inputs'!$H$48,'Inputs'!$B$27*'Inputs'!$I$48,0)</x:f>
        <x:v>0</x:v>
      </x:c>
      <x:c r="S1583" s="78" t="n">
        <x:f>Q1583+G1583+R1583</x:f>
        <x:v>230812.09537436676</x:v>
      </x:c>
      <x:c r="T1583" s="78" t="n">
        <x:f>P1583*(S1583*(1-'Inputs'!$B$15))/(O1583+S1583*(1-'Inputs'!$B$15))</x:f>
        <x:v>3.6782860033171265</x:v>
      </x:c>
      <x:c r="U1583" s="78" t="n">
        <x:f>O1583+S1583*(1-'Inputs'!$B$17)</x:f>
        <x:v>26604029.793675736</x:v>
      </x:c>
      <x:c r="V1583" s="78" t="n">
        <x:f>P1583-T1583</x:f>
        <x:v>424.55127635523377</x:v>
      </x:c>
      <x:c r="W1583" s="79" t="n">
        <x:f>IF(U1583&gt;0,V1583/U1583,0)</x:f>
        <x:v>0.00001595815670211576</x:v>
      </x:c>
      <x:c r="X1583" s="80" t="n">
        <x:f>W1583*('Inputs'!$B$6-AC1583)</x:f>
        <x:v>15925.979849309722</x:v>
      </x:c>
      <x:c r="Y1583" s="80" t="n">
        <x:f>2*V1583</x:f>
        <x:v>849.1025527104675</x:v>
      </x:c>
      <x:c r="Z1583" s="80" t="n">
        <x:f>K1583*'Inputs'!$B$16+(G1583+R1583)*J1583*'Inputs'!$B$16</x:f>
        <x:v>1.5641122090106496</x:v>
      </x:c>
      <x:c r="AA1583" s="80" t="n">
        <x:f>K1583*(1+'Inputs'!$E$48)/2*'Inputs'!$B$17</x:f>
        <x:v>0.5169773388634418</x:v>
      </x:c>
      <x:c r="AB1583" s="78" t="n">
        <x:f>(IF(J1583&gt;0,K1583*(1-'Inputs'!$E$48)/2/J1583,0)+G1583+R1583)*'Inputs'!$B$17</x:f>
        <x:v>32768.83722840074</x:v>
      </x:c>
      <x:c r="AC1583" s="78" t="n">
        <x:f>AC1582+AB1583</x:f>
        <x:v>2016326.4095390304</x:v>
      </x:c>
      <x:c r="AD1583" s="80" t="n">
        <x:f>Z1583/(1+'Inputs'!$C$48)</x:f>
        <x:v>1.2512897672085197</x:v>
      </x:c>
      <x:c r="AE1583" s="80" t="n">
        <x:f>Z1583-AD1583</x:f>
        <x:v>0.3128224418021299</x:v>
      </x:c>
      <x:c r="AF1583" s="80" t="n">
        <x:f>D1583*W1583</x:f>
        <x:v>4.603717838789658</x:v>
      </x:c>
      <x:c r="AG1583" s="80" t="n">
        <x:f>C1583*W1583</x:f>
        <x:v>2.6855020726273002</x:v>
      </x:c>
      <x:c r="AH1583" s="80" t="n">
        <x:f>2*'Inputs'!$B$8*'Inputs'!$C$48</x:f>
        <x:v>1250</x:v>
      </x:c>
      <x:c r="AI1583" s="81" t="n">
        <x:f>IF(AH1583&gt;0,(AE1583+AF1583)/AH1583*365,0)</x:f>
        <x:v>1.435629761932802</x:v>
      </x:c>
      <x:c r="AJ1583" s="81" t="n">
        <x:f>IF('Inputs'!$B$48&gt;0,AG1583/('Inputs'!$B$19*'Inputs'!$B$48)*365,0)</x:f>
        <x:v>0.39208330260358587</x:v>
      </x:c>
      <x:c r="AK1583" s="81" t="n">
        <x:f>W1583/MAX($W$1464:W1583)-1</x:f>
        <x:v>-0.9812334772787091</x:v>
      </x:c>
      <x:c r="AL1583" s="83" t="n">
        <x:f>'Inputs'!$B$48</x:f>
        <x:v>0.25</x:v>
      </x:c>
      <x:c r="AM1583" s="83" t="n">
        <x:f>'Inputs'!$C$48</x:f>
        <x:v>0.25</x:v>
      </x:c>
      <x:c r="AN1583" s="83" t="n">
        <x:f>'Inputs'!$D$48</x:f>
        <x:v>0.3</x:v>
      </x:c>
      <x:c r="AO1583" s="81" t="n">
        <x:f>'Inputs'!$E$48</x:f>
        <x:v>0</x:v>
      </x:c>
    </x:row>
    <x:row r="1584">
      <x:c r="A1584" s="59" t="str">
        <x:v>Low participation</x:v>
      </x:c>
      <x:c r="B1584" s="59" t="n">
        <x:v>121</x:v>
      </x:c>
      <x:c r="C1584" s="78" t="n">
        <x:f>(('Inputs'!$B$29*(3*121*'Inputs'!$B$12-121^2)/(2*'Inputs'!$B$12^2))-('Inputs'!$B$29*(3*120*'Inputs'!$B$12-120^2)/(2*'Inputs'!$B$12^2)))*'Inputs'!$B$48</x:f>
        <x:v>168202.6998498775</x:v>
      </x:c>
      <x:c r="D1584" s="78" t="n">
        <x:f>IF('Inputs'!$C$48&gt;0,('Inputs'!$B$30*(3*121*'Inputs'!$B$12-121^2)/(2*'Inputs'!$B$12^2))-('Inputs'!$B$30*(3*120*'Inputs'!$B$12-120^2)/(2*'Inputs'!$B$12^2)),0)</x:f>
        <x:v>288347.48545693606</x:v>
      </x:c>
      <x:c r="E1584" s="78" t="n">
        <x:f>C1584+D1584</x:f>
        <x:v>456550.18530681357</x:v>
      </x:c>
      <x:c r="F1584" s="78" t="n">
        <x:f>'Inputs'!$B$13*E1584+(1-'Inputs'!$B$13)/'Inputs'!$B$14*SUM(E1529:E1584)</x:f>
        <x:v>461403.58181647625</x:v>
      </x:c>
      <x:c r="G1584" s="78" t="n">
        <x:f>F1584*'Inputs'!$F$48</x:f>
        <x:v>230701.79090823812</x:v>
      </x:c>
      <x:c r="H1584" s="78" t="n">
        <x:f>U1583</x:f>
        <x:v>26604029.793675736</x:v>
      </x:c>
      <x:c r="I1584" s="78" t="n">
        <x:f>V1583</x:f>
        <x:v>424.55127635523377</x:v>
      </x:c>
      <x:c r="J1584" s="79" t="n">
        <x:f>IF(H1584&gt;0,I1584/H1584,0)</x:f>
        <x:v>0.00001595815670211576</x:v>
      </x:c>
      <x:c r="K1584" s="80" t="n">
        <x:f>(H1584*J1584+I1584)*'Inputs'!$D$48*(1+'Inputs'!$G$48)^(B1584/30)</x:f>
        <x:v>254.73076581314024</x:v>
      </x:c>
      <x:c r="L1584" s="80" t="n">
        <x:f>MAX(0,K1584*'Inputs'!$E$48)</x:f>
        <x:v>0</x:v>
      </x:c>
      <x:c r="M1584" s="80" t="n">
        <x:f>MAX(0,-K1584*'Inputs'!$E$48)</x:f>
        <x:v>0</x:v>
      </x:c>
      <x:c r="N1584" s="78" t="n">
        <x:f>H1584*(L1584*(1-'Inputs'!$B$15))/(I1584+L1584*(1-'Inputs'!$B$15))</x:f>
        <x:v>0</x:v>
      </x:c>
      <x:c r="O1584" s="78" t="n">
        <x:f>H1584-N1584</x:f>
        <x:v>26604029.793675736</x:v>
      </x:c>
      <x:c r="P1584" s="78" t="n">
        <x:f>I1584+L1584*(1-'Inputs'!$B$17)</x:f>
        <x:v>424.55127635523377</x:v>
      </x:c>
      <x:c r="Q1584" s="78" t="n">
        <x:f>IF(J1584&gt;0,M1584/J1584,0)</x:f>
        <x:v>0</x:v>
      </x:c>
      <x:c r="R1584" s="78" t="n">
        <x:f>IF(B1584='Inputs'!$H$48,'Inputs'!$B$27*'Inputs'!$I$48,0)</x:f>
        <x:v>0</x:v>
      </x:c>
      <x:c r="S1584" s="78" t="n">
        <x:f>Q1584+G1584+R1584</x:f>
        <x:v>230701.79090823812</x:v>
      </x:c>
      <x:c r="T1584" s="78" t="n">
        <x:f>P1584*(S1584*(1-'Inputs'!$B$15))/(O1584+S1584*(1-'Inputs'!$B$15))</x:f>
        <x:v>3.613735767660877</x:v>
      </x:c>
      <x:c r="U1584" s="78" t="n">
        <x:f>O1584+S1584*(1-'Inputs'!$B$17)</x:f>
        <x:v>26833803.20715577</x:v>
      </x:c>
      <x:c r="V1584" s="78" t="n">
        <x:f>P1584-T1584</x:f>
        <x:v>420.93754058757287</x:v>
      </x:c>
      <x:c r="W1584" s="79" t="n">
        <x:f>IF(U1584&gt;0,V1584/U1584,0)</x:f>
        <x:v>0.000015686838624325957</x:v>
      </x:c>
      <x:c r="X1584" s="80" t="n">
        <x:f>W1584*('Inputs'!$B$6-AC1584)</x:f>
        <x:v>15654.690451336</x:v>
      </x:c>
      <x:c r="Y1584" s="80" t="n">
        <x:f>2*V1584</x:f>
        <x:v>841.8750811751457</x:v>
      </x:c>
      <x:c r="Z1584" s="80" t="n">
        <x:f>K1584*'Inputs'!$B$16+(G1584+R1584)*J1584*'Inputs'!$B$16</x:f>
        <x:v>1.550474046863476</x:v>
      </x:c>
      <x:c r="AA1584" s="80" t="n">
        <x:f>K1584*(1+'Inputs'!$E$48)/2*'Inputs'!$B$17</x:f>
        <x:v>0.5125367521391152</x:v>
      </x:c>
      <x:c r="AB1584" s="78" t="n">
        <x:f>(IF(J1584&gt;0,K1584*(1-'Inputs'!$E$48)/2/J1584,0)+G1584+R1584)*'Inputs'!$B$17</x:f>
        <x:v>33045.91842660345</x:v>
      </x:c>
      <x:c r="AC1584" s="78" t="n">
        <x:f>AC1583+AB1584</x:f>
        <x:v>2049372.327965634</x:v>
      </x:c>
      <x:c r="AD1584" s="80" t="n">
        <x:f>Z1584/(1+'Inputs'!$C$48)</x:f>
        <x:v>1.2403792374907807</x:v>
      </x:c>
      <x:c r="AE1584" s="80" t="n">
        <x:f>Z1584-AD1584</x:f>
        <x:v>0.3100948093726952</x:v>
      </x:c>
      <x:c r="AF1584" s="80" t="n">
        <x:f>D1584*W1584</x:f>
        <x:v>4.523260472093131</x:v>
      </x:c>
      <x:c r="AG1584" s="80" t="n">
        <x:f>C1584*W1584</x:f>
        <x:v>2.638568608720964</x:v>
      </x:c>
      <x:c r="AH1584" s="80" t="n">
        <x:f>2*'Inputs'!$B$8*'Inputs'!$C$48</x:f>
        <x:v>1250</x:v>
      </x:c>
      <x:c r="AI1584" s="81" t="n">
        <x:f>IF(AH1584&gt;0,(AE1584+AF1584)/AH1584*365,0)</x:f>
        <x:v>1.4113397421880214</x:v>
      </x:c>
      <x:c r="AJ1584" s="81" t="n">
        <x:f>IF('Inputs'!$B$48&gt;0,AG1584/('Inputs'!$B$19*'Inputs'!$B$48)*365,0)</x:f>
        <x:v>0.3852310168732607</x:v>
      </x:c>
      <x:c r="AK1584" s="81" t="n">
        <x:f>W1584/MAX($W$1464:W1584)-1</x:f>
        <x:v>-0.9815525427551663</x:v>
      </x:c>
      <x:c r="AL1584" s="83" t="n">
        <x:f>'Inputs'!$B$48</x:f>
        <x:v>0.25</x:v>
      </x:c>
      <x:c r="AM1584" s="83" t="n">
        <x:f>'Inputs'!$C$48</x:f>
        <x:v>0.25</x:v>
      </x:c>
      <x:c r="AN1584" s="83" t="n">
        <x:f>'Inputs'!$D$48</x:f>
        <x:v>0.3</x:v>
      </x:c>
      <x:c r="AO1584" s="81" t="n">
        <x:f>'Inputs'!$E$48</x:f>
        <x:v>0</x:v>
      </x:c>
    </x:row>
    <x:row r="1585">
      <x:c r="A1585" s="59" t="str">
        <x:v>Low participation</x:v>
      </x:c>
      <x:c r="B1585" s="59" t="n">
        <x:v>122</x:v>
      </x:c>
      <x:c r="C1585" s="78" t="n">
        <x:f>(('Inputs'!$B$29*(3*122*'Inputs'!$B$12-122^2)/(2*'Inputs'!$B$12^2))-('Inputs'!$B$29*(3*121*'Inputs'!$B$12-121^2)/(2*'Inputs'!$B$12^2)))*'Inputs'!$B$48</x:f>
        <x:v>168121.4228748381</x:v>
      </x:c>
      <x:c r="D1585" s="78" t="n">
        <x:f>IF('Inputs'!$C$48&gt;0,('Inputs'!$B$30*(3*122*'Inputs'!$B$12-122^2)/(2*'Inputs'!$B$12^2))-('Inputs'!$B$30*(3*121*'Inputs'!$B$12-121^2)/(2*'Inputs'!$B$12^2)),0)</x:f>
        <x:v>288208.15349971503</x:v>
      </x:c>
      <x:c r="E1585" s="78" t="n">
        <x:f>C1585+D1585</x:f>
        <x:v>456329.57637455314</x:v>
      </x:c>
      <x:c r="F1585" s="78" t="n">
        <x:f>'Inputs'!$B$13*E1585+(1-'Inputs'!$B$13)/'Inputs'!$B$14*SUM(E1530:E1585)</x:f>
        <x:v>461182.97288421815</x:v>
      </x:c>
      <x:c r="G1585" s="78" t="n">
        <x:f>F1585*'Inputs'!$F$48</x:f>
        <x:v>230591.48644210908</x:v>
      </x:c>
      <x:c r="H1585" s="78" t="n">
        <x:f>U1584</x:f>
        <x:v>26833803.20715577</x:v>
      </x:c>
      <x:c r="I1585" s="78" t="n">
        <x:f>V1584</x:f>
        <x:v>420.93754058757287</x:v>
      </x:c>
      <x:c r="J1585" s="79" t="n">
        <x:f>IF(H1585&gt;0,I1585/H1585,0)</x:f>
        <x:v>0.000015686838624325957</x:v>
      </x:c>
      <x:c r="K1585" s="80" t="n">
        <x:f>(H1585*J1585+I1585)*'Inputs'!$D$48*(1+'Inputs'!$G$48)^(B1585/30)</x:f>
        <x:v>252.5625243525437</x:v>
      </x:c>
      <x:c r="L1585" s="80" t="n">
        <x:f>MAX(0,K1585*'Inputs'!$E$48)</x:f>
        <x:v>0</x:v>
      </x:c>
      <x:c r="M1585" s="80" t="n">
        <x:f>MAX(0,-K1585*'Inputs'!$E$48)</x:f>
        <x:v>0</x:v>
      </x:c>
      <x:c r="N1585" s="78" t="n">
        <x:f>H1585*(L1585*(1-'Inputs'!$B$15))/(I1585+L1585*(1-'Inputs'!$B$15))</x:f>
        <x:v>0</x:v>
      </x:c>
      <x:c r="O1585" s="78" t="n">
        <x:f>H1585-N1585</x:f>
        <x:v>26833803.20715577</x:v>
      </x:c>
      <x:c r="P1585" s="78" t="n">
        <x:f>I1585+L1585*(1-'Inputs'!$B$17)</x:f>
        <x:v>420.93754058757287</x:v>
      </x:c>
      <x:c r="Q1585" s="78" t="n">
        <x:f>IF(J1585&gt;0,M1585/J1585,0)</x:f>
        <x:v>0</x:v>
      </x:c>
      <x:c r="R1585" s="78" t="n">
        <x:f>IF(B1585='Inputs'!$H$48,'Inputs'!$B$27*'Inputs'!$I$48,0)</x:f>
        <x:v>0</x:v>
      </x:c>
      <x:c r="S1585" s="78" t="n">
        <x:f>Q1585+G1585+R1585</x:f>
        <x:v>230591.48644210908</x:v>
      </x:c>
      <x:c r="T1585" s="78" t="n">
        <x:f>P1585*(S1585*(1-'Inputs'!$B$15))/(O1585+S1585*(1-'Inputs'!$B$15))</x:f>
        <x:v>3.5508702908053067</x:v>
      </x:c>
      <x:c r="U1585" s="78" t="n">
        <x:f>O1585+S1585*(1-'Inputs'!$B$17)</x:f>
        <x:v>27063466.76005083</x:v>
      </x:c>
      <x:c r="V1585" s="78" t="n">
        <x:f>P1585-T1585</x:f>
        <x:v>417.38667029676753</x:v>
      </x:c>
      <x:c r="W1585" s="79" t="n">
        <x:f>IF(U1585&gt;0,V1585/U1585,0)</x:f>
        <x:v>0.00001542251308738037</x:v>
      </x:c>
      <x:c r="X1585" s="80" t="n">
        <x:f>W1585*('Inputs'!$B$6-AC1585)</x:f>
        <x:v>15390.392693479042</x:v>
      </x:c>
      <x:c r="Y1585" s="80" t="n">
        <x:f>2*V1585</x:f>
        <x:v>834.7733405935351</x:v>
      </x:c>
      <x:c r="Z1585" s="80" t="n">
        <x:f>K1585*'Inputs'!$B$16+(G1585+R1585)*J1585*'Inputs'!$B$16</x:f>
        <x:v>1.5370786547310271</x:v>
      </x:c>
      <x:c r="AA1585" s="80" t="n">
        <x:f>K1585*(1+'Inputs'!$E$48)/2*'Inputs'!$B$17</x:f>
        <x:v>0.5081740932646756</x:v>
      </x:c>
      <x:c r="AB1585" s="78" t="n">
        <x:f>(IF(J1585&gt;0,K1585*(1-'Inputs'!$E$48)/2/J1585,0)+G1585+R1585)*'Inputs'!$B$17</x:f>
        <x:v>33322.86699633336</x:v>
      </x:c>
      <x:c r="AC1585" s="78" t="n">
        <x:f>AC1584+AB1585</x:f>
        <x:v>2082695.1949619674</x:v>
      </x:c>
      <x:c r="AD1585" s="80" t="n">
        <x:f>Z1585/(1+'Inputs'!$C$48)</x:f>
        <x:v>1.2296629237848218</x:v>
      </x:c>
      <x:c r="AE1585" s="80" t="n">
        <x:f>Z1585-AD1585</x:f>
        <x:v>0.30741573094620533</x:v>
      </x:c>
      <x:c r="AF1585" s="80" t="n">
        <x:f>D1585*W1585</x:f>
        <x:v>4.444894019239086</x:v>
      </x:c>
      <x:c r="AG1585" s="80" t="n">
        <x:f>C1585*W1585</x:f>
        <x:v>2.5928548445562</x:v>
      </x:c>
      <x:c r="AH1585" s="80" t="n">
        <x:f>2*'Inputs'!$B$8*'Inputs'!$C$48</x:f>
        <x:v>1250</x:v>
      </x:c>
      <x:c r="AI1585" s="81" t="n">
        <x:f>IF(AH1585&gt;0,(AE1585+AF1585)/AH1585*365,0)</x:f>
        <x:v>1.387674447054105</x:v>
      </x:c>
      <x:c r="AJ1585" s="81" t="n">
        <x:f>IF('Inputs'!$B$48&gt;0,AG1585/('Inputs'!$B$19*'Inputs'!$B$48)*365,0)</x:f>
        <x:v>0.3785568073052052</x:v>
      </x:c>
      <x:c r="AK1585" s="81" t="n">
        <x:f>W1585/MAX($W$1464:W1585)-1</x:f>
        <x:v>-0.9818633851217067</x:v>
      </x:c>
      <x:c r="AL1585" s="83" t="n">
        <x:f>'Inputs'!$B$48</x:f>
        <x:v>0.25</x:v>
      </x:c>
      <x:c r="AM1585" s="83" t="n">
        <x:f>'Inputs'!$C$48</x:f>
        <x:v>0.25</x:v>
      </x:c>
      <x:c r="AN1585" s="83" t="n">
        <x:f>'Inputs'!$D$48</x:f>
        <x:v>0.3</x:v>
      </x:c>
      <x:c r="AO1585" s="81" t="n">
        <x:f>'Inputs'!$E$48</x:f>
        <x:v>0</x:v>
      </x:c>
    </x:row>
    <x:row r="1586">
      <x:c r="A1586" s="59" t="str">
        <x:v>Low participation</x:v>
      </x:c>
      <x:c r="B1586" s="59" t="n">
        <x:v>123</x:v>
      </x:c>
      <x:c r="C1586" s="78" t="n">
        <x:f>(('Inputs'!$B$29*(3*123*'Inputs'!$B$12-123^2)/(2*'Inputs'!$B$12^2))-('Inputs'!$B$29*(3*122*'Inputs'!$B$12-122^2)/(2*'Inputs'!$B$12^2)))*'Inputs'!$B$48</x:f>
        <x:v>168040.14589979127</x:v>
      </x:c>
      <x:c r="D1586" s="78" t="n">
        <x:f>IF('Inputs'!$C$48&gt;0,('Inputs'!$B$30*(3*123*'Inputs'!$B$12-123^2)/(2*'Inputs'!$B$12^2))-('Inputs'!$B$30*(3*122*'Inputs'!$B$12-122^2)/(2*'Inputs'!$B$12^2)),0)</x:f>
        <x:v>288068.8215425089</x:v>
      </x:c>
      <x:c r="E1586" s="78" t="n">
        <x:f>C1586+D1586</x:f>
        <x:v>456108.96744230017</x:v>
      </x:c>
      <x:c r="F1586" s="78" t="n">
        <x:f>'Inputs'!$B$13*E1586+(1-'Inputs'!$B$13)/'Inputs'!$B$14*SUM(E1531:E1586)</x:f>
        <x:v>460962.3639519616</x:v>
      </x:c>
      <x:c r="G1586" s="78" t="n">
        <x:f>F1586*'Inputs'!$F$48</x:f>
        <x:v>230481.1819759808</x:v>
      </x:c>
      <x:c r="H1586" s="78" t="n">
        <x:f>U1585</x:f>
        <x:v>27063466.76005083</x:v>
      </x:c>
      <x:c r="I1586" s="78" t="n">
        <x:f>V1585</x:f>
        <x:v>417.38667029676753</x:v>
      </x:c>
      <x:c r="J1586" s="79" t="n">
        <x:f>IF(H1586&gt;0,I1586/H1586,0)</x:f>
        <x:v>0.00001542251308738037</x:v>
      </x:c>
      <x:c r="K1586" s="80" t="n">
        <x:f>(H1586*J1586+I1586)*'Inputs'!$D$48*(1+'Inputs'!$G$48)^(B1586/30)</x:f>
        <x:v>250.43200217806051</x:v>
      </x:c>
      <x:c r="L1586" s="80" t="n">
        <x:f>MAX(0,K1586*'Inputs'!$E$48)</x:f>
        <x:v>0</x:v>
      </x:c>
      <x:c r="M1586" s="80" t="n">
        <x:f>MAX(0,-K1586*'Inputs'!$E$48)</x:f>
        <x:v>0</x:v>
      </x:c>
      <x:c r="N1586" s="78" t="n">
        <x:f>H1586*(L1586*(1-'Inputs'!$B$15))/(I1586+L1586*(1-'Inputs'!$B$15))</x:f>
        <x:v>0</x:v>
      </x:c>
      <x:c r="O1586" s="78" t="n">
        <x:f>H1586-N1586</x:f>
        <x:v>27063466.76005083</x:v>
      </x:c>
      <x:c r="P1586" s="78" t="n">
        <x:f>I1586+L1586*(1-'Inputs'!$B$17)</x:f>
        <x:v>417.38667029676753</x:v>
      </x:c>
      <x:c r="Q1586" s="78" t="n">
        <x:f>IF(J1586&gt;0,M1586/J1586,0)</x:f>
        <x:v>0</x:v>
      </x:c>
      <x:c r="R1586" s="78" t="n">
        <x:f>IF(B1586='Inputs'!$H$48,'Inputs'!$B$27*'Inputs'!$I$48,0)</x:f>
        <x:v>0</x:v>
      </x:c>
      <x:c r="S1586" s="78" t="n">
        <x:f>Q1586+G1586+R1586</x:f>
        <x:v>230481.1819759808</x:v>
      </x:c>
      <x:c r="T1586" s="78" t="n">
        <x:f>P1586*(S1586*(1-'Inputs'!$B$15))/(O1586+S1586*(1-'Inputs'!$B$15))</x:f>
        <x:v>3.4896314203411345</x:v>
      </x:c>
      <x:c r="U1586" s="78" t="n">
        <x:f>O1586+S1586*(1-'Inputs'!$B$17)</x:f>
        <x:v>27293020.45236091</x:v>
      </x:c>
      <x:c r="V1586" s="78" t="n">
        <x:f>P1586-T1586</x:f>
        <x:v>413.8970388764264</x:v>
      </x:c>
      <x:c r="W1586" s="79" t="n">
        <x:f>IF(U1586&gt;0,V1586/U1586,0)</x:f>
        <x:v>0.000015164940780331382</x:v>
      </x:c>
      <x:c r="X1586" s="80" t="n">
        <x:f>W1586*('Inputs'!$B$6-AC1586)</x:f>
        <x:v>15132.847293834317</x:v>
      </x:c>
      <x:c r="Y1586" s="80" t="n">
        <x:f>2*V1586</x:f>
        <x:v>827.7940777528528</x:v>
      </x:c>
      <x:c r="Z1586" s="80" t="n">
        <x:f>K1586*'Inputs'!$B$16+(G1586+R1586)*J1586*'Inputs'!$B$16</x:f>
        <x:v>1.52391960734088</x:v>
      </x:c>
      <x:c r="AA1586" s="80" t="n">
        <x:f>K1586*(1+'Inputs'!$E$48)/2*'Inputs'!$B$17</x:f>
        <x:v>0.5038873283260775</x:v>
      </x:c>
      <x:c r="AB1586" s="78" t="n">
        <x:f>(IF(J1586&gt;0,K1586*(1-'Inputs'!$E$48)/2/J1586,0)+G1586+R1586)*'Inputs'!$B$17</x:f>
        <x:v>33599.68293759047</x:v>
      </x:c>
      <x:c r="AC1586" s="78" t="n">
        <x:f>AC1585+AB1586</x:f>
        <x:v>2116294.877899558</x:v>
      </x:c>
      <x:c r="AD1586" s="80" t="n">
        <x:f>Z1586/(1+'Inputs'!$C$48)</x:f>
        <x:v>1.219135685872704</x:v>
      </x:c>
      <x:c r="AE1586" s="80" t="n">
        <x:f>Z1586-AD1586</x:f>
        <x:v>0.304783921468176</x:v>
      </x:c>
      <x:c r="AF1586" s="80" t="n">
        <x:f>D1586*W1586</x:f>
        <x:v>4.368546619351997</x:v>
      </x:c>
      <x:c r="AG1586" s="80" t="n">
        <x:f>C1586*W1586</x:f>
        <x:v>2.5483188612885797</x:v>
      </x:c>
      <x:c r="AH1586" s="80" t="n">
        <x:f>2*'Inputs'!$B$8*'Inputs'!$C$48</x:f>
        <x:v>1250</x:v>
      </x:c>
      <x:c r="AI1586" s="81" t="n">
        <x:f>IF(AH1586&gt;0,(AE1586+AF1586)/AH1586*365,0)</x:f>
        <x:v>1.3646125179194903</x:v>
      </x:c>
      <x:c r="AJ1586" s="81" t="n">
        <x:f>IF('Inputs'!$B$48&gt;0,AG1586/('Inputs'!$B$19*'Inputs'!$B$48)*365,0)</x:f>
        <x:v>0.3720545537481326</x:v>
      </x:c>
      <x:c r="AK1586" s="81" t="n">
        <x:f>W1586/MAX($W$1464:W1586)-1</x:f>
        <x:v>-0.9821662858039621</x:v>
      </x:c>
      <x:c r="AL1586" s="83" t="n">
        <x:f>'Inputs'!$B$48</x:f>
        <x:v>0.25</x:v>
      </x:c>
      <x:c r="AM1586" s="83" t="n">
        <x:f>'Inputs'!$C$48</x:f>
        <x:v>0.25</x:v>
      </x:c>
      <x:c r="AN1586" s="83" t="n">
        <x:f>'Inputs'!$D$48</x:f>
        <x:v>0.3</x:v>
      </x:c>
      <x:c r="AO1586" s="81" t="n">
        <x:f>'Inputs'!$E$48</x:f>
        <x:v>0</x:v>
      </x:c>
    </x:row>
    <x:row r="1587">
      <x:c r="A1587" s="59" t="str">
        <x:v>Low participation</x:v>
      </x:c>
      <x:c r="B1587" s="59" t="n">
        <x:v>124</x:v>
      </x:c>
      <x:c r="C1587" s="78" t="n">
        <x:f>(('Inputs'!$B$29*(3*124*'Inputs'!$B$12-124^2)/(2*'Inputs'!$B$12^2))-('Inputs'!$B$29*(3*123*'Inputs'!$B$12-123^2)/(2*'Inputs'!$B$12^2)))*'Inputs'!$B$48</x:f>
        <x:v>167958.86892475188</x:v>
      </x:c>
      <x:c r="D1587" s="78" t="n">
        <x:f>IF('Inputs'!$C$48&gt;0,('Inputs'!$B$30*(3*124*'Inputs'!$B$12-124^2)/(2*'Inputs'!$B$12^2))-('Inputs'!$B$30*(3*123*'Inputs'!$B$12-123^2)/(2*'Inputs'!$B$12^2)),0)</x:f>
        <x:v>287929.48958528787</x:v>
      </x:c>
      <x:c r="E1587" s="78" t="n">
        <x:f>C1587+D1587</x:f>
        <x:v>455888.35851003975</x:v>
      </x:c>
      <x:c r="F1587" s="78" t="n">
        <x:f>'Inputs'!$B$13*E1587+(1-'Inputs'!$B$13)/'Inputs'!$B$14*SUM(E1532:E1587)</x:f>
        <x:v>460741.7550197036</x:v>
      </x:c>
      <x:c r="G1587" s="78" t="n">
        <x:f>F1587*'Inputs'!$F$48</x:f>
        <x:v>230370.8775098518</x:v>
      </x:c>
      <x:c r="H1587" s="78" t="n">
        <x:f>U1586</x:f>
        <x:v>27293020.45236091</x:v>
      </x:c>
      <x:c r="I1587" s="78" t="n">
        <x:f>V1586</x:f>
        <x:v>413.8970388764264</x:v>
      </x:c>
      <x:c r="J1587" s="79" t="n">
        <x:f>IF(H1587&gt;0,I1587/H1587,0)</x:f>
        <x:v>0.000015164940780331382</x:v>
      </x:c>
      <x:c r="K1587" s="80" t="n">
        <x:f>(H1587*J1587+I1587)*'Inputs'!$D$48*(1+'Inputs'!$G$48)^(B1587/30)</x:f>
        <x:v>248.33822332585584</x:v>
      </x:c>
      <x:c r="L1587" s="80" t="n">
        <x:f>MAX(0,K1587*'Inputs'!$E$48)</x:f>
        <x:v>0</x:v>
      </x:c>
      <x:c r="M1587" s="80" t="n">
        <x:f>MAX(0,-K1587*'Inputs'!$E$48)</x:f>
        <x:v>0</x:v>
      </x:c>
      <x:c r="N1587" s="78" t="n">
        <x:f>H1587*(L1587*(1-'Inputs'!$B$15))/(I1587+L1587*(1-'Inputs'!$B$15))</x:f>
        <x:v>0</x:v>
      </x:c>
      <x:c r="O1587" s="78" t="n">
        <x:f>H1587-N1587</x:f>
        <x:v>27293020.45236091</x:v>
      </x:c>
      <x:c r="P1587" s="78" t="n">
        <x:f>I1587+L1587*(1-'Inputs'!$B$17)</x:f>
        <x:v>413.8970388764264</x:v>
      </x:c>
      <x:c r="Q1587" s="78" t="n">
        <x:f>IF(J1587&gt;0,M1587/J1587,0)</x:f>
        <x:v>0</x:v>
      </x:c>
      <x:c r="R1587" s="78" t="n">
        <x:f>IF(B1587='Inputs'!$H$48,'Inputs'!$B$27*'Inputs'!$I$48,0)</x:f>
        <x:v>0</x:v>
      </x:c>
      <x:c r="S1587" s="78" t="n">
        <x:f>Q1587+G1587+R1587</x:f>
        <x:v>230370.8775098518</x:v>
      </x:c>
      <x:c r="T1587" s="78" t="n">
        <x:f>P1587*(S1587*(1-'Inputs'!$B$15))/(O1587+S1587*(1-'Inputs'!$B$15))</x:f>
        <x:v>3.4299634921363835</x:v>
      </x:c>
      <x:c r="U1587" s="78" t="n">
        <x:f>O1587+S1587*(1-'Inputs'!$B$17)</x:f>
        <x:v>27522464.284086015</x:v>
      </x:c>
      <x:c r="V1587" s="78" t="n">
        <x:f>P1587-T1587</x:f>
        <x:v>410.46707538429</x:v>
      </x:c>
      <x:c r="W1587" s="79" t="n">
        <x:f>IF(U1587&gt;0,V1587/U1587,0)</x:f>
        <x:v>0.000014913892562361484</x:v>
      </x:c>
      <x:c r="X1587" s="80" t="n">
        <x:f>W1587*('Inputs'!$B$6-AC1587)</x:f>
        <x:v>14881.825139435552</x:v>
      </x:c>
      <x:c r="Y1587" s="80" t="n">
        <x:f>2*V1587</x:f>
        <x:v>820.93415076858</x:v>
      </x:c>
      <x:c r="Z1587" s="80" t="n">
        <x:f>K1587*'Inputs'!$B$16+(G1587+R1587)*J1587*'Inputs'!$B$16</x:f>
        <x:v>1.5109907042448343</x:v>
      </x:c>
      <x:c r="AA1587" s="80" t="n">
        <x:f>K1587*(1+'Inputs'!$E$48)/2*'Inputs'!$B$17</x:f>
        <x:v>0.49967449361339206</x:v>
      </x:c>
      <x:c r="AB1587" s="78" t="n">
        <x:f>(IF(J1587&gt;0,K1587*(1-'Inputs'!$E$48)/2/J1587,0)+G1587+R1587)*'Inputs'!$B$17</x:f>
        <x:v>33876.36625037475</x:v>
      </x:c>
      <x:c r="AC1587" s="78" t="n">
        <x:f>AC1586+AB1587</x:f>
        <x:v>2150171.2441499326</x:v>
      </x:c>
      <x:c r="AD1587" s="80" t="n">
        <x:f>Z1587/(1+'Inputs'!$C$48)</x:f>
        <x:v>1.2087925633958674</x:v>
      </x:c>
      <x:c r="AE1587" s="80" t="n">
        <x:f>Z1587-AD1587</x:f>
        <x:v>0.3021981408489669</x:v>
      </x:c>
      <x:c r="AF1587" s="80" t="n">
        <x:f>D1587*W1587</x:f>
        <x:v>4.294149473210563</x:v>
      </x:c>
      <x:c r="AG1587" s="80" t="n">
        <x:f>C1587*W1587</x:f>
        <x:v>2.504920526039504</x:v>
      </x:c>
      <x:c r="AH1587" s="80" t="n">
        <x:f>2*'Inputs'!$B$8*'Inputs'!$C$48</x:f>
        <x:v>1250</x:v>
      </x:c>
      <x:c r="AI1587" s="81" t="n">
        <x:f>IF(AH1587&gt;0,(AE1587+AF1587)/AH1587*365,0)</x:f>
        <x:v>1.3421335033053827</x:v>
      </x:c>
      <x:c r="AJ1587" s="81" t="n">
        <x:f>IF('Inputs'!$B$48&gt;0,AG1587/('Inputs'!$B$19*'Inputs'!$B$48)*365,0)</x:f>
        <x:v>0.36571839680176765</x:v>
      </x:c>
      <x:c r="AK1587" s="81" t="n">
        <x:f>W1587/MAX($W$1464:W1587)-1</x:f>
        <x:v>-0.9824615142676635</x:v>
      </x:c>
      <x:c r="AL1587" s="83" t="n">
        <x:f>'Inputs'!$B$48</x:f>
        <x:v>0.25</x:v>
      </x:c>
      <x:c r="AM1587" s="83" t="n">
        <x:f>'Inputs'!$C$48</x:f>
        <x:v>0.25</x:v>
      </x:c>
      <x:c r="AN1587" s="83" t="n">
        <x:f>'Inputs'!$D$48</x:f>
        <x:v>0.3</x:v>
      </x:c>
      <x:c r="AO1587" s="81" t="n">
        <x:f>'Inputs'!$E$48</x:f>
        <x:v>0</x:v>
      </x:c>
    </x:row>
    <x:row r="1588">
      <x:c r="A1588" s="59" t="str">
        <x:v>Low participation</x:v>
      </x:c>
      <x:c r="B1588" s="59" t="n">
        <x:v>125</x:v>
      </x:c>
      <x:c r="C1588" s="78" t="n">
        <x:f>(('Inputs'!$B$29*(3*125*'Inputs'!$B$12-125^2)/(2*'Inputs'!$B$12^2))-('Inputs'!$B$29*(3*124*'Inputs'!$B$12-124^2)/(2*'Inputs'!$B$12^2)))*'Inputs'!$B$48</x:f>
        <x:v>167877.59194970876</x:v>
      </x:c>
      <x:c r="D1588" s="78" t="n">
        <x:f>IF('Inputs'!$C$48&gt;0,('Inputs'!$B$30*(3*125*'Inputs'!$B$12-125^2)/(2*'Inputs'!$B$12^2))-('Inputs'!$B$30*(3*124*'Inputs'!$B$12-124^2)/(2*'Inputs'!$B$12^2)),0)</x:f>
        <x:v>287790.1576280743</x:v>
      </x:c>
      <x:c r="E1588" s="78" t="n">
        <x:f>C1588+D1588</x:f>
        <x:v>455667.74957778305</x:v>
      </x:c>
      <x:c r="F1588" s="78" t="n">
        <x:f>'Inputs'!$B$13*E1588+(1-'Inputs'!$B$13)/'Inputs'!$B$14*SUM(E1533:E1588)</x:f>
        <x:v>460521.14608744637</x:v>
      </x:c>
      <x:c r="G1588" s="78" t="n">
        <x:f>F1588*'Inputs'!$F$48</x:f>
        <x:v>230260.57304372318</x:v>
      </x:c>
      <x:c r="H1588" s="78" t="n">
        <x:f>U1587</x:f>
        <x:v>27522464.284086015</x:v>
      </x:c>
      <x:c r="I1588" s="78" t="n">
        <x:f>V1587</x:f>
        <x:v>410.46707538429</x:v>
      </x:c>
      <x:c r="J1588" s="79" t="n">
        <x:f>IF(H1588&gt;0,I1588/H1588,0)</x:f>
        <x:v>0.000014913892562361484</x:v>
      </x:c>
      <x:c r="K1588" s="80" t="n">
        <x:f>(H1588*J1588+I1588)*'Inputs'!$D$48*(1+'Inputs'!$G$48)^(B1588/30)</x:f>
        <x:v>246.280245230574</x:v>
      </x:c>
      <x:c r="L1588" s="80" t="n">
        <x:f>MAX(0,K1588*'Inputs'!$E$48)</x:f>
        <x:v>0</x:v>
      </x:c>
      <x:c r="M1588" s="80" t="n">
        <x:f>MAX(0,-K1588*'Inputs'!$E$48)</x:f>
        <x:v>0</x:v>
      </x:c>
      <x:c r="N1588" s="78" t="n">
        <x:f>H1588*(L1588*(1-'Inputs'!$B$15))/(I1588+L1588*(1-'Inputs'!$B$15))</x:f>
        <x:v>0</x:v>
      </x:c>
      <x:c r="O1588" s="78" t="n">
        <x:f>H1588-N1588</x:f>
        <x:v>27522464.284086015</x:v>
      </x:c>
      <x:c r="P1588" s="78" t="n">
        <x:f>I1588+L1588*(1-'Inputs'!$B$17)</x:f>
        <x:v>410.46707538429</x:v>
      </x:c>
      <x:c r="Q1588" s="78" t="n">
        <x:f>IF(J1588&gt;0,M1588/J1588,0)</x:f>
        <x:v>0</x:v>
      </x:c>
      <x:c r="R1588" s="78" t="n">
        <x:f>IF(B1588='Inputs'!$H$48,'Inputs'!$B$27*'Inputs'!$I$48,0)</x:f>
        <x:v>0</x:v>
      </x:c>
      <x:c r="S1588" s="78" t="n">
        <x:f>Q1588+G1588+R1588</x:f>
        <x:v>230260.57304372318</x:v>
      </x:c>
      <x:c r="T1588" s="78" t="n">
        <x:f>P1588*(S1588*(1-'Inputs'!$B$15))/(O1588+S1588*(1-'Inputs'!$B$15))</x:f>
        <x:v>3.371813203632023</x:v>
      </x:c>
      <x:c r="U1588" s="78" t="n">
        <x:f>O1588+S1588*(1-'Inputs'!$B$17)</x:f>
        <x:v>27751798.255226143</x:v>
      </x:c>
      <x:c r="V1588" s="78" t="n">
        <x:f>P1588-T1588</x:f>
        <x:v>407.095262180658</x:v>
      </x:c>
      <x:c r="W1588" s="79" t="n">
        <x:f>IF(U1588&gt;0,V1588/U1588,0)</x:f>
        <x:v>0.000014669148947996367</x:v>
      </x:c>
      <x:c r="X1588" s="80" t="n">
        <x:f>W1588*('Inputs'!$B$6-AC1588)</x:f>
        <x:v>14637.106771526709</x:v>
      </x:c>
      <x:c r="Y1588" s="80" t="n">
        <x:f>2*V1588</x:f>
        <x:v>814.190524361316</x:v>
      </x:c>
      <x:c r="Z1588" s="80" t="n">
        <x:f>K1588*'Inputs'!$B$16+(G1588+R1588)*J1588*'Inputs'!$B$16</x:f>
        <x:v>1.4982859600697753</x:v>
      </x:c>
      <x:c r="AA1588" s="80" t="n">
        <x:f>K1588*(1+'Inputs'!$E$48)/2*'Inputs'!$B$17</x:f>
        <x:v>0.49553369261684915</x:v>
      </x:c>
      <x:c r="AB1588" s="78" t="n">
        <x:f>(IF(J1588&gt;0,K1588*(1-'Inputs'!$E$48)/2/J1588,0)+G1588+R1588)*'Inputs'!$B$17</x:f>
        <x:v>34152.91693468623</x:v>
      </x:c>
      <x:c r="AC1588" s="78" t="n">
        <x:f>AC1587+AB1588</x:f>
        <x:v>2184324.161084619</x:v>
      </x:c>
      <x:c r="AD1588" s="80" t="n">
        <x:f>Z1588/(1+'Inputs'!$C$48)</x:f>
        <x:v>1.1986287680558203</x:v>
      </x:c>
      <x:c r="AE1588" s="80" t="n">
        <x:f>Z1588-AD1588</x:f>
        <x:v>0.299657192013955</x:v>
      </x:c>
      <x:c r="AF1588" s="80" t="n">
        <x:f>D1588*W1588</x:f>
        <x:v>4.221636688013574</x:v>
      </x:c>
      <x:c r="AG1588" s="80" t="n">
        <x:f>C1588*W1588</x:f>
        <x:v>2.4626214013412335</x:v>
      </x:c>
      <x:c r="AH1588" s="80" t="n">
        <x:f>2*'Inputs'!$B$8*'Inputs'!$C$48</x:f>
        <x:v>1250</x:v>
      </x:c>
      <x:c r="AI1588" s="81" t="n">
        <x:f>IF(AH1588&gt;0,(AE1588+AF1588)/AH1588*365,0)</x:f>
        <x:v>1.3202178129680386</x:v>
      </x:c>
      <x:c r="AJ1588" s="81" t="n">
        <x:f>IF('Inputs'!$B$48&gt;0,AG1588/('Inputs'!$B$19*'Inputs'!$B$48)*365,0)</x:f>
        <x:v>0.3595427245958201</x:v>
      </x:c>
      <x:c r="AK1588" s="81" t="n">
        <x:f>W1588/MAX($W$1464:W1588)-1</x:f>
        <x:v>-0.9827493286240212</x:v>
      </x:c>
      <x:c r="AL1588" s="83" t="n">
        <x:f>'Inputs'!$B$48</x:f>
        <x:v>0.25</x:v>
      </x:c>
      <x:c r="AM1588" s="83" t="n">
        <x:f>'Inputs'!$C$48</x:f>
        <x:v>0.25</x:v>
      </x:c>
      <x:c r="AN1588" s="83" t="n">
        <x:f>'Inputs'!$D$48</x:f>
        <x:v>0.3</x:v>
      </x:c>
      <x:c r="AO1588" s="81" t="n">
        <x:f>'Inputs'!$E$48</x:f>
        <x:v>0</x:v>
      </x:c>
    </x:row>
    <x:row r="1589">
      <x:c r="A1589" s="59" t="str">
        <x:v>Low participation</x:v>
      </x:c>
      <x:c r="B1589" s="59" t="n">
        <x:v>126</x:v>
      </x:c>
      <x:c r="C1589" s="78" t="n">
        <x:f>(('Inputs'!$B$29*(3*126*'Inputs'!$B$12-126^2)/(2*'Inputs'!$B$12^2))-('Inputs'!$B$29*(3*125*'Inputs'!$B$12-125^2)/(2*'Inputs'!$B$12^2)))*'Inputs'!$B$48</x:f>
        <x:v>167796.31497466937</x:v>
      </x:c>
      <x:c r="D1589" s="78" t="n">
        <x:f>IF('Inputs'!$C$48&gt;0,('Inputs'!$B$30*(3*126*'Inputs'!$B$12-126^2)/(2*'Inputs'!$B$12^2))-('Inputs'!$B$30*(3*125*'Inputs'!$B$12-125^2)/(2*'Inputs'!$B$12^2)),0)</x:f>
        <x:v>287650.82567085326</x:v>
      </x:c>
      <x:c r="E1589" s="78" t="n">
        <x:f>C1589+D1589</x:f>
        <x:v>455447.1406455226</x:v>
      </x:c>
      <x:c r="F1589" s="78" t="n">
        <x:f>'Inputs'!$B$13*E1589+(1-'Inputs'!$B$13)/'Inputs'!$B$14*SUM(E1534:E1589)</x:f>
        <x:v>460300.5371551883</x:v>
      </x:c>
      <x:c r="G1589" s="78" t="n">
        <x:f>F1589*'Inputs'!$F$48</x:f>
        <x:v>230150.26857759416</x:v>
      </x:c>
      <x:c r="H1589" s="78" t="n">
        <x:f>U1588</x:f>
        <x:v>27751798.255226143</x:v>
      </x:c>
      <x:c r="I1589" s="78" t="n">
        <x:f>V1588</x:f>
        <x:v>407.095262180658</x:v>
      </x:c>
      <x:c r="J1589" s="79" t="n">
        <x:f>IF(H1589&gt;0,I1589/H1589,0)</x:f>
        <x:v>0.000014669148947996367</x:v>
      </x:c>
      <x:c r="K1589" s="80" t="n">
        <x:f>(H1589*J1589+I1589)*'Inputs'!$D$48*(1+'Inputs'!$G$48)^(B1589/30)</x:f>
        <x:v>244.25715730839477</x:v>
      </x:c>
      <x:c r="L1589" s="80" t="n">
        <x:f>MAX(0,K1589*'Inputs'!$E$48)</x:f>
        <x:v>0</x:v>
      </x:c>
      <x:c r="M1589" s="80" t="n">
        <x:f>MAX(0,-K1589*'Inputs'!$E$48)</x:f>
        <x:v>0</x:v>
      </x:c>
      <x:c r="N1589" s="78" t="n">
        <x:f>H1589*(L1589*(1-'Inputs'!$B$15))/(I1589+L1589*(1-'Inputs'!$B$15))</x:f>
        <x:v>0</x:v>
      </x:c>
      <x:c r="O1589" s="78" t="n">
        <x:f>H1589-N1589</x:f>
        <x:v>27751798.255226143</x:v>
      </x:c>
      <x:c r="P1589" s="78" t="n">
        <x:f>I1589+L1589*(1-'Inputs'!$B$17)</x:f>
        <x:v>407.095262180658</x:v>
      </x:c>
      <x:c r="Q1589" s="78" t="n">
        <x:f>IF(J1589&gt;0,M1589/J1589,0)</x:f>
        <x:v>0</x:v>
      </x:c>
      <x:c r="R1589" s="78" t="n">
        <x:f>IF(B1589='Inputs'!$H$48,'Inputs'!$B$27*'Inputs'!$I$48,0)</x:f>
        <x:v>0</x:v>
      </x:c>
      <x:c r="S1589" s="78" t="n">
        <x:f>Q1589+G1589+R1589</x:f>
        <x:v>230150.26857759416</x:v>
      </x:c>
      <x:c r="T1589" s="78" t="n">
        <x:f>P1589*(S1589*(1-'Inputs'!$B$15))/(O1589+S1589*(1-'Inputs'!$B$15))</x:f>
        <x:v>3.3151294946022847</x:v>
      </x:c>
      <x:c r="U1589" s="78" t="n">
        <x:f>O1589+S1589*(1-'Inputs'!$B$17)</x:f>
        <x:v>27981022.365781292</x:v>
      </x:c>
      <x:c r="V1589" s="78" t="n">
        <x:f>P1589-T1589</x:f>
        <x:v>403.7801326860557</x:v>
      </x:c>
      <x:c r="W1589" s="79" t="n">
        <x:f>IF(U1589&gt;0,V1589/U1589,0)</x:f>
        <x:v>0.000014430499622481585</x:v>
      </x:c>
      <x:c r="X1589" s="80" t="n">
        <x:f>W1589*('Inputs'!$B$6-AC1589)</x:f>
        <x:v>14398.481900994093</x:v>
      </x:c>
      <x:c r="Y1589" s="80" t="n">
        <x:f>2*V1589</x:f>
        <x:v>807.5602653721114</x:v>
      </x:c>
      <x:c r="Z1589" s="80" t="n">
        <x:f>K1589*'Inputs'!$B$16+(G1589+R1589)*J1589*'Inputs'!$B$16</x:f>
        <x:v>1.4857995952714853</x:v>
      </x:c>
      <x:c r="AA1589" s="80" t="n">
        <x:f>K1589*(1+'Inputs'!$E$48)/2*'Inputs'!$B$17</x:f>
        <x:v>0.49146309317584463</x:v>
      </x:c>
      <x:c r="AB1589" s="78" t="n">
        <x:f>(IF(J1589&gt;0,K1589*(1-'Inputs'!$E$48)/2/J1589,0)+G1589+R1589)*'Inputs'!$B$17</x:f>
        <x:v>34429.3349905249</x:v>
      </x:c>
      <x:c r="AC1589" s="78" t="n">
        <x:f>AC1588+AB1589</x:f>
        <x:v>2218753.4960751436</x:v>
      </x:c>
      <x:c r="AD1589" s="80" t="n">
        <x:f>Z1589/(1+'Inputs'!$C$48)</x:f>
        <x:v>1.1886396762171882</x:v>
      </x:c>
      <x:c r="AE1589" s="80" t="n">
        <x:f>Z1589-AD1589</x:f>
        <x:v>0.29715991905429706</x:v>
      </x:c>
      <x:c r="AF1589" s="80" t="n">
        <x:f>D1589*W1589</x:f>
        <x:v>4.150945131249764</x:v>
      </x:c>
      <x:c r="AG1589" s="80" t="n">
        <x:f>C1589*W1589</x:f>
        <x:v>2.4213846598957676</x:v>
      </x:c>
      <x:c r="AH1589" s="80" t="n">
        <x:f>2*'Inputs'!$B$8*'Inputs'!$C$48</x:f>
        <x:v>1250</x:v>
      </x:c>
      <x:c r="AI1589" s="81" t="n">
        <x:f>IF(AH1589&gt;0,(AE1589+AF1589)/AH1589*365,0)</x:f>
        <x:v>1.298846674688786</x:v>
      </x:c>
      <x:c r="AJ1589" s="81" t="n">
        <x:f>IF('Inputs'!$B$48&gt;0,AG1589/('Inputs'!$B$19*'Inputs'!$B$48)*365,0)</x:f>
        <x:v>0.35352216034478207</x:v>
      </x:c>
      <x:c r="AK1589" s="81" t="n">
        <x:f>W1589/MAX($W$1464:W1589)-1</x:f>
        <x:v>-0.9830299761996337</x:v>
      </x:c>
      <x:c r="AL1589" s="83" t="n">
        <x:f>'Inputs'!$B$48</x:f>
        <x:v>0.25</x:v>
      </x:c>
      <x:c r="AM1589" s="83" t="n">
        <x:f>'Inputs'!$C$48</x:f>
        <x:v>0.25</x:v>
      </x:c>
      <x:c r="AN1589" s="83" t="n">
        <x:f>'Inputs'!$D$48</x:f>
        <x:v>0.3</x:v>
      </x:c>
      <x:c r="AO1589" s="81" t="n">
        <x:f>'Inputs'!$E$48</x:f>
        <x:v>0</x:v>
      </x:c>
    </x:row>
    <x:row r="1590">
      <x:c r="A1590" s="59" t="str">
        <x:v>Low participation</x:v>
      </x:c>
      <x:c r="B1590" s="59" t="n">
        <x:v>127</x:v>
      </x:c>
      <x:c r="C1590" s="78" t="n">
        <x:f>(('Inputs'!$B$29*(3*127*'Inputs'!$B$12-127^2)/(2*'Inputs'!$B$12^2))-('Inputs'!$B$29*(3*126*'Inputs'!$B$12-126^2)/(2*'Inputs'!$B$12^2)))*'Inputs'!$B$48</x:f>
        <x:v>167715.03799962252</x:v>
      </x:c>
      <x:c r="D1590" s="78" t="n">
        <x:f>IF('Inputs'!$C$48&gt;0,('Inputs'!$B$30*(3*127*'Inputs'!$B$12-127^2)/(2*'Inputs'!$B$12^2))-('Inputs'!$B$30*(3*126*'Inputs'!$B$12-126^2)/(2*'Inputs'!$B$12^2)),0)</x:f>
        <x:v>287511.4937136397</x:v>
      </x:c>
      <x:c r="E1590" s="78" t="n">
        <x:f>C1590+D1590</x:f>
        <x:v>455226.5317132622</x:v>
      </x:c>
      <x:c r="F1590" s="78" t="n">
        <x:f>'Inputs'!$B$13*E1590+(1-'Inputs'!$B$13)/'Inputs'!$B$14*SUM(E1535:E1590)</x:f>
        <x:v>460079.9282229302</x:v>
      </x:c>
      <x:c r="G1590" s="78" t="n">
        <x:f>F1590*'Inputs'!$F$48</x:f>
        <x:v>230039.9641114651</x:v>
      </x:c>
      <x:c r="H1590" s="78" t="n">
        <x:f>U1589</x:f>
        <x:v>27981022.365781292</x:v>
      </x:c>
      <x:c r="I1590" s="78" t="n">
        <x:f>V1589</x:f>
        <x:v>403.7801326860557</x:v>
      </x:c>
      <x:c r="J1590" s="79" t="n">
        <x:f>IF(H1590&gt;0,I1590/H1590,0)</x:f>
        <x:v>0.000014430499622481585</x:v>
      </x:c>
      <x:c r="K1590" s="80" t="n">
        <x:f>(H1590*J1590+I1590)*'Inputs'!$D$48*(1+'Inputs'!$G$48)^(B1590/30)</x:f>
        <x:v>242.26807961163342</x:v>
      </x:c>
      <x:c r="L1590" s="80" t="n">
        <x:f>MAX(0,K1590*'Inputs'!$E$48)</x:f>
        <x:v>0</x:v>
      </x:c>
      <x:c r="M1590" s="80" t="n">
        <x:f>MAX(0,-K1590*'Inputs'!$E$48)</x:f>
        <x:v>0</x:v>
      </x:c>
      <x:c r="N1590" s="78" t="n">
        <x:f>H1590*(L1590*(1-'Inputs'!$B$15))/(I1590+L1590*(1-'Inputs'!$B$15))</x:f>
        <x:v>0</x:v>
      </x:c>
      <x:c r="O1590" s="78" t="n">
        <x:f>H1590-N1590</x:f>
        <x:v>27981022.365781292</x:v>
      </x:c>
      <x:c r="P1590" s="78" t="n">
        <x:f>I1590+L1590*(1-'Inputs'!$B$17)</x:f>
        <x:v>403.7801326860557</x:v>
      </x:c>
      <x:c r="Q1590" s="78" t="n">
        <x:f>IF(J1590&gt;0,M1590/J1590,0)</x:f>
        <x:v>0</x:v>
      </x:c>
      <x:c r="R1590" s="78" t="n">
        <x:f>IF(B1590='Inputs'!$H$48,'Inputs'!$B$27*'Inputs'!$I$48,0)</x:f>
        <x:v>0</x:v>
      </x:c>
      <x:c r="S1590" s="78" t="n">
        <x:f>Q1590+G1590+R1590</x:f>
        <x:v>230039.9641114651</x:v>
      </x:c>
      <x:c r="T1590" s="78" t="n">
        <x:f>P1590*(S1590*(1-'Inputs'!$B$15))/(O1590+S1590*(1-'Inputs'!$B$15))</x:f>
        <x:v>3.2598634348814297</x:v>
      </x:c>
      <x:c r="U1590" s="78" t="n">
        <x:f>O1590+S1590*(1-'Inputs'!$B$17)</x:f>
        <x:v>28210136.615751464</x:v>
      </x:c>
      <x:c r="V1590" s="78" t="n">
        <x:f>P1590-T1590</x:f>
        <x:v>400.5202692511743</x:v>
      </x:c>
      <x:c r="W1590" s="79" t="n">
        <x:f>IF(U1590&gt;0,V1590/U1590,0)</x:f>
        <x:v>0.00001419774298531894</x:v>
      </x:c>
      <x:c r="X1590" s="80" t="n">
        <x:f>W1590*('Inputs'!$B$6-AC1590)</x:f>
        <x:v>14165.748951955047</x:v>
      </x:c>
      <x:c r="Y1590" s="80" t="n">
        <x:f>2*V1590</x:f>
        <x:v>801.0405385023486</x:v>
      </x:c>
      <x:c r="Z1590" s="80" t="n">
        <x:f>K1590*'Inputs'!$B$16+(G1590+R1590)*J1590*'Inputs'!$B$16</x:f>
        <x:v>1.4735260273613977</x:v>
      </x:c>
      <x:c r="AA1590" s="80" t="n">
        <x:f>K1590*(1+'Inputs'!$E$48)/2*'Inputs'!$B$17</x:f>
        <x:v>0.4874609247718983</x:v>
      </x:c>
      <x:c r="AB1590" s="78" t="n">
        <x:f>(IF(J1590&gt;0,K1590*(1-'Inputs'!$E$48)/2/J1590,0)+G1590+R1590)*'Inputs'!$B$17</x:f>
        <x:v>34705.620417890765</x:v>
      </x:c>
      <x:c r="AC1590" s="78" t="n">
        <x:f>AC1589+AB1590</x:f>
        <x:v>2253459.116493034</x:v>
      </x:c>
      <x:c r="AD1590" s="80" t="n">
        <x:f>Z1590/(1+'Inputs'!$C$48)</x:f>
        <x:v>1.178820821889118</x:v>
      </x:c>
      <x:c r="AE1590" s="80" t="n">
        <x:f>Z1590-AD1590</x:f>
        <x:v>0.29470520547227963</x:v>
      </x:c>
      <x:c r="AF1590" s="80" t="n">
        <x:f>D1590*W1590</x:f>
        <x:v>4.082014293071398</x:v>
      </x:c>
      <x:c r="AG1590" s="80" t="n">
        <x:f>C1590*W1590</x:f>
        <x:v>2.38117500429164</x:v>
      </x:c>
      <x:c r="AH1590" s="80" t="n">
        <x:f>2*'Inputs'!$B$8*'Inputs'!$C$48</x:f>
        <x:v>1250</x:v>
      </x:c>
      <x:c r="AI1590" s="81" t="n">
        <x:f>IF(AH1590&gt;0,(AE1590+AF1590)/AH1590*365,0)</x:f>
        <x:v>1.278002093574754</x:v>
      </x:c>
      <x:c r="AJ1590" s="81" t="n">
        <x:f>IF('Inputs'!$B$48&gt;0,AG1590/('Inputs'!$B$19*'Inputs'!$B$48)*365,0)</x:f>
        <x:v>0.3476515506265795</x:v>
      </x:c>
      <x:c r="AK1590" s="81" t="n">
        <x:f>W1590/MAX($W$1464:W1590)-1</x:f>
        <x:v>-0.9833036940732817</x:v>
      </x:c>
      <x:c r="AL1590" s="83" t="n">
        <x:f>'Inputs'!$B$48</x:f>
        <x:v>0.25</x:v>
      </x:c>
      <x:c r="AM1590" s="83" t="n">
        <x:f>'Inputs'!$C$48</x:f>
        <x:v>0.25</x:v>
      </x:c>
      <x:c r="AN1590" s="83" t="n">
        <x:f>'Inputs'!$D$48</x:f>
        <x:v>0.3</x:v>
      </x:c>
      <x:c r="AO1590" s="81" t="n">
        <x:f>'Inputs'!$E$48</x:f>
        <x:v>0</x:v>
      </x:c>
    </x:row>
    <x:row r="1591">
      <x:c r="A1591" s="59" t="str">
        <x:v>Low participation</x:v>
      </x:c>
      <x:c r="B1591" s="59" t="n">
        <x:v>128</x:v>
      </x:c>
      <x:c r="C1591" s="78" t="n">
        <x:f>(('Inputs'!$B$29*(3*128*'Inputs'!$B$12-128^2)/(2*'Inputs'!$B$12^2))-('Inputs'!$B$29*(3*127*'Inputs'!$B$12-127^2)/(2*'Inputs'!$B$12^2)))*'Inputs'!$B$48</x:f>
        <x:v>167633.76102458313</x:v>
      </x:c>
      <x:c r="D1591" s="78" t="n">
        <x:f>IF('Inputs'!$C$48&gt;0,('Inputs'!$B$30*(3*128*'Inputs'!$B$12-128^2)/(2*'Inputs'!$B$12^2))-('Inputs'!$B$30*(3*127*'Inputs'!$B$12-127^2)/(2*'Inputs'!$B$12^2)),0)</x:f>
        <x:v>287372.16175643355</x:v>
      </x:c>
      <x:c r="E1591" s="78" t="n">
        <x:f>C1591+D1591</x:f>
        <x:v>455005.9227810167</x:v>
      </x:c>
      <x:c r="F1591" s="78" t="n">
        <x:f>'Inputs'!$B$13*E1591+(1-'Inputs'!$B$13)/'Inputs'!$B$14*SUM(E1536:E1591)</x:f>
        <x:v>459859.3192906751</x:v>
      </x:c>
      <x:c r="G1591" s="78" t="n">
        <x:f>F1591*'Inputs'!$F$48</x:f>
        <x:v>229929.65964533755</x:v>
      </x:c>
      <x:c r="H1591" s="78" t="n">
        <x:f>U1590</x:f>
        <x:v>28210136.615751464</x:v>
      </x:c>
      <x:c r="I1591" s="78" t="n">
        <x:f>V1590</x:f>
        <x:v>400.5202692511743</x:v>
      </x:c>
      <x:c r="J1591" s="79" t="n">
        <x:f>IF(H1591&gt;0,I1591/H1591,0)</x:f>
        <x:v>0.00001419774298531894</x:v>
      </x:c>
      <x:c r="K1591" s="80" t="n">
        <x:f>(H1591*J1591+I1591)*'Inputs'!$D$48*(1+'Inputs'!$G$48)^(B1591/30)</x:f>
        <x:v>240.31216155070456</x:v>
      </x:c>
      <x:c r="L1591" s="80" t="n">
        <x:f>MAX(0,K1591*'Inputs'!$E$48)</x:f>
        <x:v>0</x:v>
      </x:c>
      <x:c r="M1591" s="80" t="n">
        <x:f>MAX(0,-K1591*'Inputs'!$E$48)</x:f>
        <x:v>0</x:v>
      </x:c>
      <x:c r="N1591" s="78" t="n">
        <x:f>H1591*(L1591*(1-'Inputs'!$B$15))/(I1591+L1591*(1-'Inputs'!$B$15))</x:f>
        <x:v>0</x:v>
      </x:c>
      <x:c r="O1591" s="78" t="n">
        <x:f>H1591-N1591</x:f>
        <x:v>28210136.615751464</x:v>
      </x:c>
      <x:c r="P1591" s="78" t="n">
        <x:f>I1591+L1591*(1-'Inputs'!$B$17)</x:f>
        <x:v>400.5202692511743</x:v>
      </x:c>
      <x:c r="Q1591" s="78" t="n">
        <x:f>IF(J1591&gt;0,M1591/J1591,0)</x:f>
        <x:v>0</x:v>
      </x:c>
      <x:c r="R1591" s="78" t="n">
        <x:f>IF(B1591='Inputs'!$H$48,'Inputs'!$B$27*'Inputs'!$I$48,0)</x:f>
        <x:v>0</x:v>
      </x:c>
      <x:c r="S1591" s="78" t="n">
        <x:f>Q1591+G1591+R1591</x:f>
        <x:v>229929.65964533755</x:v>
      </x:c>
      <x:c r="T1591" s="78" t="n">
        <x:f>P1591*(S1591*(1-'Inputs'!$B$15))/(O1591+S1591*(1-'Inputs'!$B$15))</x:f>
        <x:v>3.2059681185954947</x:v>
      </x:c>
      <x:c r="U1591" s="78" t="n">
        <x:f>O1591+S1591*(1-'Inputs'!$B$17)</x:f>
        <x:v>28439141.005136658</x:v>
      </x:c>
      <x:c r="V1591" s="78" t="n">
        <x:f>P1591-T1591</x:f>
        <x:v>397.3143011325788</x:v>
      </x:c>
      <x:c r="W1591" s="79" t="n">
        <x:f>IF(U1591&gt;0,V1591/U1591,0)</x:f>
        <x:v>0.000013970685720107234</x:v>
      </x:c>
      <x:c r="X1591" s="80" t="n">
        <x:f>W1591*('Inputs'!$B$6-AC1591)</x:f>
        <x:v>13938.714631648056</x:v>
      </x:c>
      <x:c r="Y1591" s="80" t="n">
        <x:f>2*V1591</x:f>
        <x:v>794.6286022651576</x:v>
      </x:c>
      <x:c r="Z1591" s="80" t="n">
        <x:f>K1591*'Inputs'!$B$16+(G1591+R1591)*J1591*'Inputs'!$B$16</x:f>
        <x:v>1.4614598625783055</x:v>
      </x:c>
      <x:c r="AA1591" s="80" t="n">
        <x:f>K1591*(1+'Inputs'!$E$48)/2*'Inputs'!$B$17</x:f>
        <x:v>0.48352547595715206</x:v>
      </x:c>
      <x:c r="AB1591" s="78" t="n">
        <x:f>(IF(J1591&gt;0,K1591*(1-'Inputs'!$E$48)/2/J1591,0)+G1591+R1591)*'Inputs'!$B$17</x:f>
        <x:v>34981.77321678381</x:v>
      </x:c>
      <x:c r="AC1591" s="78" t="n">
        <x:f>AC1590+AB1591</x:f>
        <x:v>2288440.889709818</x:v>
      </x:c>
      <x:c r="AD1591" s="80" t="n">
        <x:f>Z1591/(1+'Inputs'!$C$48)</x:f>
        <x:v>1.1691678900626443</x:v>
      </x:c>
      <x:c r="AE1591" s="80" t="n">
        <x:f>Z1591-AD1591</x:f>
        <x:v>0.2922919725156612</x:v>
      </x:c>
      <x:c r="AF1591" s="80" t="n">
        <x:f>D1591*W1591</x:f>
        <x:v>4.014786156606952</x:v>
      </x:c>
      <x:c r="AG1591" s="80" t="n">
        <x:f>C1591*W1591</x:f>
        <x:v>2.341958591354012</x:v>
      </x:c>
      <x:c r="AH1591" s="80" t="n">
        <x:f>2*'Inputs'!$B$8*'Inputs'!$C$48</x:f>
        <x:v>1250</x:v>
      </x:c>
      <x:c r="AI1591" s="81" t="n">
        <x:f>IF(AH1591&gt;0,(AE1591+AF1591)/AH1591*365,0)</x:f>
        <x:v>1.2576668137038032</x:v>
      </x:c>
      <x:c r="AJ1591" s="81" t="n">
        <x:f>IF('Inputs'!$B$48&gt;0,AG1591/('Inputs'!$B$19*'Inputs'!$B$48)*365,0)</x:f>
        <x:v>0.34192595433768574</x:v>
      </x:c>
      <x:c r="AK1591" s="81" t="n">
        <x:f>W1591/MAX($W$1464:W1591)-1</x:f>
        <x:v>-0.9835707095817874</x:v>
      </x:c>
      <x:c r="AL1591" s="83" t="n">
        <x:f>'Inputs'!$B$48</x:f>
        <x:v>0.25</x:v>
      </x:c>
      <x:c r="AM1591" s="83" t="n">
        <x:f>'Inputs'!$C$48</x:f>
        <x:v>0.25</x:v>
      </x:c>
      <x:c r="AN1591" s="83" t="n">
        <x:f>'Inputs'!$D$48</x:f>
        <x:v>0.3</x:v>
      </x:c>
      <x:c r="AO1591" s="81" t="n">
        <x:f>'Inputs'!$E$48</x:f>
        <x:v>0</x:v>
      </x:c>
    </x:row>
    <x:row r="1592">
      <x:c r="A1592" s="59" t="str">
        <x:v>Low participation</x:v>
      </x:c>
      <x:c r="B1592" s="59" t="n">
        <x:v>129</x:v>
      </x:c>
      <x:c r="C1592" s="78" t="n">
        <x:f>(('Inputs'!$B$29*(3*129*'Inputs'!$B$12-129^2)/(2*'Inputs'!$B$12^2))-('Inputs'!$B$29*(3*128*'Inputs'!$B$12-128^2)/(2*'Inputs'!$B$12^2)))*'Inputs'!$B$48</x:f>
        <x:v>167552.48404954</x:v>
      </x:c>
      <x:c r="D1592" s="78" t="n">
        <x:f>IF('Inputs'!$C$48&gt;0,('Inputs'!$B$30*(3*129*'Inputs'!$B$12-129^2)/(2*'Inputs'!$B$12^2))-('Inputs'!$B$30*(3*128*'Inputs'!$B$12-128^2)/(2*'Inputs'!$B$12^2)),0)</x:f>
        <x:v>287232.8297992125</x:v>
      </x:c>
      <x:c r="E1592" s="78" t="n">
        <x:f>C1592+D1592</x:f>
        <x:v>454785.3138487525</x:v>
      </x:c>
      <x:c r="F1592" s="78" t="n">
        <x:f>'Inputs'!$B$13*E1592+(1-'Inputs'!$B$13)/'Inputs'!$B$14*SUM(E1537:E1592)</x:f>
        <x:v>459638.7103584164</x:v>
      </x:c>
      <x:c r="G1592" s="78" t="n">
        <x:f>F1592*'Inputs'!$F$48</x:f>
        <x:v>229819.3551792082</x:v>
      </x:c>
      <x:c r="H1592" s="78" t="n">
        <x:f>U1591</x:f>
        <x:v>28439141.005136658</x:v>
      </x:c>
      <x:c r="I1592" s="78" t="n">
        <x:f>V1591</x:f>
        <x:v>397.3143011325788</x:v>
      </x:c>
      <x:c r="J1592" s="79" t="n">
        <x:f>IF(H1592&gt;0,I1592/H1592,0)</x:f>
        <x:v>0.000013970685720107234</x:v>
      </x:c>
      <x:c r="K1592" s="80" t="n">
        <x:f>(H1592*J1592+I1592)*'Inputs'!$D$48*(1+'Inputs'!$G$48)^(B1592/30)</x:f>
        <x:v>238.38858067954726</x:v>
      </x:c>
      <x:c r="L1592" s="80" t="n">
        <x:f>MAX(0,K1592*'Inputs'!$E$48)</x:f>
        <x:v>0</x:v>
      </x:c>
      <x:c r="M1592" s="80" t="n">
        <x:f>MAX(0,-K1592*'Inputs'!$E$48)</x:f>
        <x:v>0</x:v>
      </x:c>
      <x:c r="N1592" s="78" t="n">
        <x:f>H1592*(L1592*(1-'Inputs'!$B$15))/(I1592+L1592*(1-'Inputs'!$B$15))</x:f>
        <x:v>0</x:v>
      </x:c>
      <x:c r="O1592" s="78" t="n">
        <x:f>H1592-N1592</x:f>
        <x:v>28439141.005136658</x:v>
      </x:c>
      <x:c r="P1592" s="78" t="n">
        <x:f>I1592+L1592*(1-'Inputs'!$B$17)</x:f>
        <x:v>397.3143011325788</x:v>
      </x:c>
      <x:c r="Q1592" s="78" t="n">
        <x:f>IF(J1592&gt;0,M1592/J1592,0)</x:f>
        <x:v>0</x:v>
      </x:c>
      <x:c r="R1592" s="78" t="n">
        <x:f>IF(B1592='Inputs'!$H$48,'Inputs'!$B$27*'Inputs'!$I$48,0)</x:f>
        <x:v>0</x:v>
      </x:c>
      <x:c r="S1592" s="78" t="n">
        <x:f>Q1592+G1592+R1592</x:f>
        <x:v>229819.3551792082</x:v>
      </x:c>
      <x:c r="T1592" s="78" t="n">
        <x:f>P1592*(S1592*(1-'Inputs'!$B$15))/(O1592+S1592*(1-'Inputs'!$B$15))</x:f>
        <x:v>3.1533985644717113</x:v>
      </x:c>
      <x:c r="U1592" s="78" t="n">
        <x:f>O1592+S1592*(1-'Inputs'!$B$17)</x:f>
        <x:v>28668035.533936873</x:v>
      </x:c>
      <x:c r="V1592" s="78" t="n">
        <x:f>P1592-T1592</x:f>
        <x:v>394.1609025681071</x:v>
      </x:c>
      <x:c r="W1592" s="79" t="n">
        <x:f>IF(U1592&gt;0,V1592/U1592,0)</x:f>
        <x:v>0.000013749142388968514</x:v>
      </x:c>
      <x:c r="X1592" s="80" t="n">
        <x:f>W1592*('Inputs'!$B$6-AC1592)</x:f>
        <x:v>13717.193524905555</x:v>
      </x:c>
      <x:c r="Y1592" s="80" t="n">
        <x:f>2*V1592</x:f>
        <x:v>788.3218051362142</x:v>
      </x:c>
      <x:c r="Z1592" s="80" t="n">
        <x:f>K1592*'Inputs'!$B$16+(G1592+R1592)*J1592*'Inputs'!$B$16</x:f>
        <x:v>1.4495958879789221</x:v>
      </x:c>
      <x:c r="AA1592" s="80" t="n">
        <x:f>K1592*(1+'Inputs'!$E$48)/2*'Inputs'!$B$17</x:f>
        <x:v>0.4796550919105579</x:v>
      </x:c>
      <x:c r="AB1592" s="78" t="n">
        <x:f>(IF(J1592&gt;0,K1592*(1-'Inputs'!$E$48)/2/J1592,0)+G1592+R1592)*'Inputs'!$B$17</x:f>
        <x:v>35257.793387204045</x:v>
      </x:c>
      <x:c r="AC1592" s="78" t="n">
        <x:f>AC1591+AB1592</x:f>
        <x:v>2323698.683097022</x:v>
      </x:c>
      <x:c r="AD1592" s="80" t="n">
        <x:f>Z1592/(1+'Inputs'!$C$48)</x:f>
        <x:v>1.1596767103831378</x:v>
      </x:c>
      <x:c r="AE1592" s="80" t="n">
        <x:f>Z1592-AD1592</x:f>
        <x:v>0.28991917759578434</x:v>
      </x:c>
      <x:c r="AF1592" s="80" t="n">
        <x:f>D1592*W1592</x:f>
        <x:v>3.949205075695731</x:v>
      </x:c>
      <x:c r="AG1592" s="80" t="n">
        <x:f>C1592*W1592</x:f>
        <x:v>2.3037029608225015</x:v>
      </x:c>
      <x:c r="AH1592" s="80" t="n">
        <x:f>2*'Inputs'!$B$8*'Inputs'!$C$48</x:f>
        <x:v>1250</x:v>
      </x:c>
      <x:c r="AI1592" s="81" t="n">
        <x:f>IF(AH1592&gt;0,(AE1592+AF1592)/AH1592*365,0)</x:f>
        <x:v>1.2378242819611225</x:v>
      </x:c>
      <x:c r="AJ1592" s="81" t="n">
        <x:f>IF('Inputs'!$B$48&gt;0,AG1592/('Inputs'!$B$19*'Inputs'!$B$48)*365,0)</x:f>
        <x:v>0.3363406322800852</x:v>
      </x:c>
      <x:c r="AK1592" s="81" t="n">
        <x:f>W1592/MAX($W$1464:W1592)-1</x:f>
        <x:v>-0.983831240796963</x:v>
      </x:c>
      <x:c r="AL1592" s="83" t="n">
        <x:f>'Inputs'!$B$48</x:f>
        <x:v>0.25</x:v>
      </x:c>
      <x:c r="AM1592" s="83" t="n">
        <x:f>'Inputs'!$C$48</x:f>
        <x:v>0.25</x:v>
      </x:c>
      <x:c r="AN1592" s="83" t="n">
        <x:f>'Inputs'!$D$48</x:f>
        <x:v>0.3</x:v>
      </x:c>
      <x:c r="AO1592" s="81" t="n">
        <x:f>'Inputs'!$E$48</x:f>
        <x:v>0</x:v>
      </x:c>
    </x:row>
    <x:row r="1593">
      <x:c r="A1593" s="59" t="str">
        <x:v>Low participation</x:v>
      </x:c>
      <x:c r="B1593" s="59" t="n">
        <x:v>130</x:v>
      </x:c>
      <x:c r="C1593" s="78" t="n">
        <x:f>(('Inputs'!$B$29*(3*130*'Inputs'!$B$12-130^2)/(2*'Inputs'!$B$12^2))-('Inputs'!$B$29*(3*129*'Inputs'!$B$12-129^2)/(2*'Inputs'!$B$12^2)))*'Inputs'!$B$48</x:f>
        <x:v>167471.2070744969</x:v>
      </x:c>
      <x:c r="D1593" s="78" t="n">
        <x:f>IF('Inputs'!$C$48&gt;0,('Inputs'!$B$30*(3*130*'Inputs'!$B$12-130^2)/(2*'Inputs'!$B$12^2))-('Inputs'!$B$30*(3*129*'Inputs'!$B$12-129^2)/(2*'Inputs'!$B$12^2)),0)</x:f>
        <x:v>287093.4978419915</x:v>
      </x:c>
      <x:c r="E1593" s="78" t="n">
        <x:f>C1593+D1593</x:f>
        <x:v>454564.7049164884</x:v>
      </x:c>
      <x:c r="F1593" s="78" t="n">
        <x:f>'Inputs'!$B$13*E1593+(1-'Inputs'!$B$13)/'Inputs'!$B$14*SUM(E1538:E1593)</x:f>
        <x:v>459418.1014261575</x:v>
      </x:c>
      <x:c r="G1593" s="78" t="n">
        <x:f>F1593*'Inputs'!$F$48</x:f>
        <x:v>229709.05071307876</x:v>
      </x:c>
      <x:c r="H1593" s="78" t="n">
        <x:f>U1592</x:f>
        <x:v>28668035.533936873</x:v>
      </x:c>
      <x:c r="I1593" s="78" t="n">
        <x:f>V1592</x:f>
        <x:v>394.1609025681071</x:v>
      </x:c>
      <x:c r="J1593" s="79" t="n">
        <x:f>IF(H1593&gt;0,I1593/H1593,0)</x:f>
        <x:v>0.000013749142388968514</x:v>
      </x:c>
      <x:c r="K1593" s="80" t="n">
        <x:f>(H1593*J1593+I1593)*'Inputs'!$D$48*(1+'Inputs'!$G$48)^(B1593/30)</x:f>
        <x:v>236.49654154086423</x:v>
      </x:c>
      <x:c r="L1593" s="80" t="n">
        <x:f>MAX(0,K1593*'Inputs'!$E$48)</x:f>
        <x:v>0</x:v>
      </x:c>
      <x:c r="M1593" s="80" t="n">
        <x:f>MAX(0,-K1593*'Inputs'!$E$48)</x:f>
        <x:v>0</x:v>
      </x:c>
      <x:c r="N1593" s="78" t="n">
        <x:f>H1593*(L1593*(1-'Inputs'!$B$15))/(I1593+L1593*(1-'Inputs'!$B$15))</x:f>
        <x:v>0</x:v>
      </x:c>
      <x:c r="O1593" s="78" t="n">
        <x:f>H1593-N1593</x:f>
        <x:v>28668035.533936873</x:v>
      </x:c>
      <x:c r="P1593" s="78" t="n">
        <x:f>I1593+L1593*(1-'Inputs'!$B$17)</x:f>
        <x:v>394.1609025681071</x:v>
      </x:c>
      <x:c r="Q1593" s="78" t="n">
        <x:f>IF(J1593&gt;0,M1593/J1593,0)</x:f>
        <x:v>0</x:v>
      </x:c>
      <x:c r="R1593" s="78" t="n">
        <x:f>IF(B1593='Inputs'!$H$48,'Inputs'!$B$27*'Inputs'!$I$48,0)</x:f>
        <x:v>0</x:v>
      </x:c>
      <x:c r="S1593" s="78" t="n">
        <x:f>Q1593+G1593+R1593</x:f>
        <x:v>229709.05071307876</x:v>
      </x:c>
      <x:c r="T1593" s="78" t="n">
        <x:f>P1593*(S1593*(1-'Inputs'!$B$15))/(O1593+S1593*(1-'Inputs'!$B$15))</x:f>
        <x:v>3.1021116218299967</x:v>
      </x:c>
      <x:c r="U1593" s="78" t="n">
        <x:f>O1593+S1593*(1-'Inputs'!$B$17)</x:f>
        <x:v>28896820.20215211</x:v>
      </x:c>
      <x:c r="V1593" s="78" t="n">
        <x:f>P1593-T1593</x:f>
        <x:v>391.0587909462771</x:v>
      </x:c>
      <x:c r="W1593" s="79" t="n">
        <x:f>IF(U1593&gt;0,V1593/U1593,0)</x:f>
        <x:v>0.00001353293504996625</x:v>
      </x:c>
      <x:c r="X1593" s="80" t="n">
        <x:f>W1593*('Inputs'!$B$6-AC1593)</x:f>
        <x:v>13501.007711616105</x:v>
      </x:c>
      <x:c r="Y1593" s="80" t="n">
        <x:f>2*V1593</x:f>
        <x:v>782.1175818925542</x:v>
      </x:c>
      <x:c r="Z1593" s="80" t="n">
        <x:f>K1593*'Inputs'!$B$16+(G1593+R1593)*J1593*'Inputs'!$B$16</x:f>
        <x:v>1.4379290639229187</x:v>
      </x:c>
      <x:c r="AA1593" s="80" t="n">
        <x:f>K1593*(1+'Inputs'!$E$48)/2*'Inputs'!$B$17</x:f>
        <x:v>0.475848172114415</x:v>
      </x:c>
      <x:c r="AB1593" s="78" t="n">
        <x:f>(IF(J1593&gt;0,K1593*(1-'Inputs'!$E$48)/2/J1593,0)+G1593+R1593)*'Inputs'!$B$17</x:f>
        <x:v>35533.68092915148</x:v>
      </x:c>
      <x:c r="AC1593" s="78" t="n">
        <x:f>AC1592+AB1593</x:f>
        <x:v>2359232.3640261735</x:v>
      </x:c>
      <x:c r="AD1593" s="80" t="n">
        <x:f>Z1593/(1+'Inputs'!$C$48)</x:f>
        <x:v>1.150343251138335</x:v>
      </x:c>
      <x:c r="AE1593" s="80" t="n">
        <x:f>Z1593-AD1593</x:f>
        <x:v>0.28758581278458384</x:v>
      </x:c>
      <x:c r="AF1593" s="80" t="n">
        <x:f>D1593*W1593</x:f>
        <x:v>3.8852176595632963</x:v>
      </x:c>
      <x:c r="AG1593" s="80" t="n">
        <x:f>C1593*W1593</x:f>
        <x:v>2.2663769680786148</x:v>
      </x:c>
      <x:c r="AH1593" s="80" t="n">
        <x:f>2*'Inputs'!$B$8*'Inputs'!$C$48</x:f>
        <x:v>1250</x:v>
      </x:c>
      <x:c r="AI1593" s="81" t="n">
        <x:f>IF(AH1593&gt;0,(AE1593+AF1593)/AH1593*365,0)</x:f>
        <x:v>1.2184586139255809</x:v>
      </x:c>
      <x:c r="AJ1593" s="81" t="n">
        <x:f>IF('Inputs'!$B$48&gt;0,AG1593/('Inputs'!$B$19*'Inputs'!$B$48)*365,0)</x:f>
        <x:v>0.3308910373394778</x:v>
      </x:c>
      <x:c r="AK1593" s="81" t="n">
        <x:f>W1593/MAX($W$1464:W1593)-1</x:f>
        <x:v>-0.9840854969755202</x:v>
      </x:c>
      <x:c r="AL1593" s="83" t="n">
        <x:f>'Inputs'!$B$48</x:f>
        <x:v>0.25</x:v>
      </x:c>
      <x:c r="AM1593" s="83" t="n">
        <x:f>'Inputs'!$C$48</x:f>
        <x:v>0.25</x:v>
      </x:c>
      <x:c r="AN1593" s="83" t="n">
        <x:f>'Inputs'!$D$48</x:f>
        <x:v>0.3</x:v>
      </x:c>
      <x:c r="AO1593" s="81" t="n">
        <x:f>'Inputs'!$E$48</x:f>
        <x:v>0</x:v>
      </x:c>
    </x:row>
    <x:row r="1594">
      <x:c r="A1594" s="59" t="str">
        <x:v>Low participation</x:v>
      </x:c>
      <x:c r="B1594" s="59" t="n">
        <x:v>131</x:v>
      </x:c>
      <x:c r="C1594" s="78" t="n">
        <x:f>(('Inputs'!$B$29*(3*131*'Inputs'!$B$12-131^2)/(2*'Inputs'!$B$12^2))-('Inputs'!$B$29*(3*130*'Inputs'!$B$12-130^2)/(2*'Inputs'!$B$12^2)))*'Inputs'!$B$48</x:f>
        <x:v>167389.9300994575</x:v>
      </x:c>
      <x:c r="D1594" s="78" t="n">
        <x:f>IF('Inputs'!$C$48&gt;0,('Inputs'!$B$30*(3*131*'Inputs'!$B$12-131^2)/(2*'Inputs'!$B$12^2))-('Inputs'!$B$30*(3*130*'Inputs'!$B$12-130^2)/(2*'Inputs'!$B$12^2)),0)</x:f>
        <x:v>286954.16588478535</x:v>
      </x:c>
      <x:c r="E1594" s="78" t="n">
        <x:f>C1594+D1594</x:f>
        <x:v>454344.09598424286</x:v>
      </x:c>
      <x:c r="F1594" s="78" t="n">
        <x:f>'Inputs'!$B$13*E1594+(1-'Inputs'!$B$13)/'Inputs'!$B$14*SUM(E1539:E1594)</x:f>
        <x:v>459197.49249390245</x:v>
      </x:c>
      <x:c r="G1594" s="78" t="n">
        <x:f>F1594*'Inputs'!$F$48</x:f>
        <x:v>229598.74624695122</x:v>
      </x:c>
      <x:c r="H1594" s="78" t="n">
        <x:f>U1593</x:f>
        <x:v>28896820.20215211</x:v>
      </x:c>
      <x:c r="I1594" s="78" t="n">
        <x:f>V1593</x:f>
        <x:v>391.0587909462771</x:v>
      </x:c>
      <x:c r="J1594" s="79" t="n">
        <x:f>IF(H1594&gt;0,I1594/H1594,0)</x:f>
        <x:v>0.00001353293504996625</x:v>
      </x:c>
      <x:c r="K1594" s="80" t="n">
        <x:f>(H1594*J1594+I1594)*'Inputs'!$D$48*(1+'Inputs'!$G$48)^(B1594/30)</x:f>
        <x:v>234.63527456776626</x:v>
      </x:c>
      <x:c r="L1594" s="80" t="n">
        <x:f>MAX(0,K1594*'Inputs'!$E$48)</x:f>
        <x:v>0</x:v>
      </x:c>
      <x:c r="M1594" s="80" t="n">
        <x:f>MAX(0,-K1594*'Inputs'!$E$48)</x:f>
        <x:v>0</x:v>
      </x:c>
      <x:c r="N1594" s="78" t="n">
        <x:f>H1594*(L1594*(1-'Inputs'!$B$15))/(I1594+L1594*(1-'Inputs'!$B$15))</x:f>
        <x:v>0</x:v>
      </x:c>
      <x:c r="O1594" s="78" t="n">
        <x:f>H1594-N1594</x:f>
        <x:v>28896820.20215211</x:v>
      </x:c>
      <x:c r="P1594" s="78" t="n">
        <x:f>I1594+L1594*(1-'Inputs'!$B$17)</x:f>
        <x:v>391.0587909462771</x:v>
      </x:c>
      <x:c r="Q1594" s="78" t="n">
        <x:f>IF(J1594&gt;0,M1594/J1594,0)</x:f>
        <x:v>0</x:v>
      </x:c>
      <x:c r="R1594" s="78" t="n">
        <x:f>IF(B1594='Inputs'!$H$48,'Inputs'!$B$27*'Inputs'!$I$48,0)</x:f>
        <x:v>0</x:v>
      </x:c>
      <x:c r="S1594" s="78" t="n">
        <x:f>Q1594+G1594+R1594</x:f>
        <x:v>229598.74624695122</x:v>
      </x:c>
      <x:c r="T1594" s="78" t="n">
        <x:f>P1594*(S1594*(1-'Inputs'!$B$15))/(O1594+S1594*(1-'Inputs'!$B$15))</x:f>
        <x:v>3.0520658818889337</x:v>
      </x:c>
      <x:c r="U1594" s="78" t="n">
        <x:f>O1594+S1594*(1-'Inputs'!$B$17)</x:f>
        <x:v>29125495.009782374</x:v>
      </x:c>
      <x:c r="V1594" s="78" t="n">
        <x:f>P1594-T1594</x:f>
        <x:v>388.00672506438815</x:v>
      </x:c>
      <x:c r="W1594" s="79" t="n">
        <x:f>IF(U1594&gt;0,V1594/U1594,0)</x:f>
        <x:v>0.000013321892896037249</x:v>
      </x:c>
      <x:c r="X1594" s="80" t="n">
        <x:f>W1594*('Inputs'!$B$6-AC1594)</x:f>
        <x:v>13289.986405697864</x:v>
      </x:c>
      <x:c r="Y1594" s="80" t="n">
        <x:f>2*V1594</x:f>
        <x:v>776.0134501287763</x:v>
      </x:c>
      <x:c r="Z1594" s="80" t="n">
        <x:f>K1594*'Inputs'!$B$16+(G1594+R1594)*J1594*'Inputs'!$B$16</x:f>
        <x:v>1.4264545169296796</x:v>
      </x:c>
      <x:c r="AA1594" s="80" t="n">
        <x:f>K1594*(1+'Inputs'!$E$48)/2*'Inputs'!$B$17</x:f>
        <x:v>0.47210316814439895</x:v>
      </x:c>
      <x:c r="AB1594" s="78" t="n">
        <x:f>(IF(J1594&gt;0,K1594*(1-'Inputs'!$E$48)/2/J1594,0)+G1594+R1594)*'Inputs'!$B$17</x:f>
        <x:v>35809.435842626095</x:v>
      </x:c>
      <x:c r="AC1594" s="78" t="n">
        <x:f>AC1593+AB1594</x:f>
        <x:v>2395041.7998687997</x:v>
      </x:c>
      <x:c r="AD1594" s="80" t="n">
        <x:f>Z1594/(1+'Inputs'!$C$48)</x:f>
        <x:v>1.1411636135437437</x:v>
      </x:c>
      <x:c r="AE1594" s="80" t="n">
        <x:f>Z1594-AD1594</x:f>
        <x:v>0.2852909033859359</x:v>
      </x:c>
      <x:c r="AF1594" s="80" t="n">
        <x:f>D1594*W1594</x:f>
        <x:v>3.8227726639888164</x:v>
      </x:c>
      <x:c r="AG1594" s="80" t="n">
        <x:f>C1594*W1594</x:f>
        <x:v>2.2299507206601348</x:v>
      </x:c>
      <x:c r="AH1594" s="80" t="n">
        <x:f>2*'Inputs'!$B$8*'Inputs'!$C$48</x:f>
        <x:v>1250</x:v>
      </x:c>
      <x:c r="AI1594" s="81" t="n">
        <x:f>IF(AH1594&gt;0,(AE1594+AF1594)/AH1594*365,0)</x:f>
        <x:v>1.1995545616734276</x:v>
      </x:c>
      <x:c r="AJ1594" s="81" t="n">
        <x:f>IF('Inputs'!$B$48&gt;0,AG1594/('Inputs'!$B$19*'Inputs'!$B$48)*365,0)</x:f>
        <x:v>0.32557280521637966</x:v>
      </x:c>
      <x:c r="AK1594" s="81" t="n">
        <x:f>W1594/MAX($W$1464:W1594)-1</x:f>
        <x:v>-0.9843336789836798</x:v>
      </x:c>
      <x:c r="AL1594" s="83" t="n">
        <x:f>'Inputs'!$B$48</x:f>
        <x:v>0.25</x:v>
      </x:c>
      <x:c r="AM1594" s="83" t="n">
        <x:f>'Inputs'!$C$48</x:f>
        <x:v>0.25</x:v>
      </x:c>
      <x:c r="AN1594" s="83" t="n">
        <x:f>'Inputs'!$D$48</x:f>
        <x:v>0.3</x:v>
      </x:c>
      <x:c r="AO1594" s="81" t="n">
        <x:f>'Inputs'!$E$48</x:f>
        <x:v>0</x:v>
      </x:c>
    </x:row>
    <x:row r="1595">
      <x:c r="A1595" s="59" t="str">
        <x:v>Low participation</x:v>
      </x:c>
      <x:c r="B1595" s="59" t="n">
        <x:v>132</x:v>
      </x:c>
      <x:c r="C1595" s="78" t="n">
        <x:f>(('Inputs'!$B$29*(3*132*'Inputs'!$B$12-132^2)/(2*'Inputs'!$B$12^2))-('Inputs'!$B$29*(3*131*'Inputs'!$B$12-131^2)/(2*'Inputs'!$B$12^2)))*'Inputs'!$B$48</x:f>
        <x:v>167308.65312441438</x:v>
      </x:c>
      <x:c r="D1595" s="78" t="n">
        <x:f>IF('Inputs'!$C$48&gt;0,('Inputs'!$B$30*(3*132*'Inputs'!$B$12-132^2)/(2*'Inputs'!$B$12^2))-('Inputs'!$B$30*(3*131*'Inputs'!$B$12-131^2)/(2*'Inputs'!$B$12^2)),0)</x:f>
        <x:v>286814.8339275643</x:v>
      </x:c>
      <x:c r="E1595" s="78" t="n">
        <x:f>C1595+D1595</x:f>
        <x:v>454123.4870519787</x:v>
      </x:c>
      <x:c r="F1595" s="78" t="n">
        <x:f>'Inputs'!$B$13*E1595+(1-'Inputs'!$B$13)/'Inputs'!$B$14*SUM(E1540:E1595)</x:f>
        <x:v>458976.88356164366</x:v>
      </x:c>
      <x:c r="G1595" s="78" t="n">
        <x:f>F1595*'Inputs'!$F$48</x:f>
        <x:v>229488.44178082183</x:v>
      </x:c>
      <x:c r="H1595" s="78" t="n">
        <x:f>U1594</x:f>
        <x:v>29125495.009782374</x:v>
      </x:c>
      <x:c r="I1595" s="78" t="n">
        <x:f>V1594</x:f>
        <x:v>388.00672506438815</x:v>
      </x:c>
      <x:c r="J1595" s="79" t="n">
        <x:f>IF(H1595&gt;0,I1595/H1595,0)</x:f>
        <x:v>0.000013321892896037249</x:v>
      </x:c>
      <x:c r="K1595" s="80" t="n">
        <x:f>(H1595*J1595+I1595)*'Inputs'!$D$48*(1+'Inputs'!$G$48)^(B1595/30)</x:f>
        <x:v>232.8040350386329</x:v>
      </x:c>
      <x:c r="L1595" s="80" t="n">
        <x:f>MAX(0,K1595*'Inputs'!$E$48)</x:f>
        <x:v>0</x:v>
      </x:c>
      <x:c r="M1595" s="80" t="n">
        <x:f>MAX(0,-K1595*'Inputs'!$E$48)</x:f>
        <x:v>0</x:v>
      </x:c>
      <x:c r="N1595" s="78" t="n">
        <x:f>H1595*(L1595*(1-'Inputs'!$B$15))/(I1595+L1595*(1-'Inputs'!$B$15))</x:f>
        <x:v>0</x:v>
      </x:c>
      <x:c r="O1595" s="78" t="n">
        <x:f>H1595-N1595</x:f>
        <x:v>29125495.009782374</x:v>
      </x:c>
      <x:c r="P1595" s="78" t="n">
        <x:f>I1595+L1595*(1-'Inputs'!$B$17)</x:f>
        <x:v>388.00672506438815</x:v>
      </x:c>
      <x:c r="Q1595" s="78" t="n">
        <x:f>IF(J1595&gt;0,M1595/J1595,0)</x:f>
        <x:v>0</x:v>
      </x:c>
      <x:c r="R1595" s="78" t="n">
        <x:f>IF(B1595='Inputs'!$H$48,'Inputs'!$B$27*'Inputs'!$I$48,0)</x:f>
        <x:v>0</x:v>
      </x:c>
      <x:c r="S1595" s="78" t="n">
        <x:f>Q1595+G1595+R1595</x:f>
        <x:v>229488.44178082183</x:v>
      </x:c>
      <x:c r="T1595" s="78" t="n">
        <x:f>P1595*(S1595*(1-'Inputs'!$B$15))/(O1595+S1595*(1-'Inputs'!$B$15))</x:f>
        <x:v>3.00322159404576</x:v>
      </x:c>
      <x:c r="U1595" s="78" t="n">
        <x:f>O1595+S1595*(1-'Inputs'!$B$17)</x:f>
        <x:v>29354059.95682766</x:v>
      </x:c>
      <x:c r="V1595" s="78" t="n">
        <x:f>P1595-T1595</x:f>
        <x:v>385.00350347034237</x:v>
      </x:c>
      <x:c r="W1595" s="79" t="n">
        <x:f>IF(U1595&gt;0,V1595/U1595,0)</x:f>
        <x:v>0.000013115851914065188</x:v>
      </x:c>
      <x:c r="X1595" s="80" t="n">
        <x:f>W1595*('Inputs'!$B$6-AC1595)</x:f>
        <x:v>13083.9656142114</x:v>
      </x:c>
      <x:c r="Y1595" s="80" t="n">
        <x:f>2*V1595</x:f>
        <x:v>770.0070069406847</x:v>
      </x:c>
      <x:c r="Z1595" s="80" t="n">
        <x:f>K1595*'Inputs'!$B$16+(G1595+R1595)*J1595*'Inputs'!$B$16</x:f>
        <x:v>1.415167532885493</x:v>
      </x:c>
      <x:c r="AA1595" s="80" t="n">
        <x:f>K1595*(1+'Inputs'!$E$48)/2*'Inputs'!$B$17</x:f>
        <x:v>0.4684185815666658</x:v>
      </x:c>
      <x:c r="AB1595" s="78" t="n">
        <x:f>(IF(J1595&gt;0,K1595*(1-'Inputs'!$E$48)/2/J1595,0)+G1595+R1595)*'Inputs'!$B$17</x:f>
        <x:v>36085.05812762791</x:v>
      </x:c>
      <x:c r="AC1595" s="78" t="n">
        <x:f>AC1594+AB1595</x:f>
        <x:v>2431126.8579964275</x:v>
      </x:c>
      <x:c r="AD1595" s="80" t="n">
        <x:f>Z1595/(1+'Inputs'!$C$48)</x:f>
        <x:v>1.1321340263083943</x:v>
      </x:c>
      <x:c r="AE1595" s="80" t="n">
        <x:f>Z1595-AD1595</x:f>
        <x:v>0.2830335065770986</x:v>
      </x:c>
      <x:c r="AF1595" s="80" t="n">
        <x:f>D1595*W1595</x:f>
        <x:v>3.7618208885511337</x:v>
      </x:c>
      <x:c r="AG1595" s="80" t="n">
        <x:f>C1595*W1595</x:f>
        <x:v>2.194395518321519</x:v>
      </x:c>
      <x:c r="AH1595" s="80" t="n">
        <x:f>2*'Inputs'!$B$8*'Inputs'!$C$48</x:f>
        <x:v>1250</x:v>
      </x:c>
      <x:c r="AI1595" s="81" t="n">
        <x:f>IF(AH1595&gt;0,(AE1595+AF1595)/AH1595*365,0)</x:f>
        <x:v>1.1810974833774437</x:v>
      </x:c>
      <x:c r="AJ1595" s="81" t="n">
        <x:f>IF('Inputs'!$B$48&gt;0,AG1595/('Inputs'!$B$19*'Inputs'!$B$48)*365,0)</x:f>
        <x:v>0.3203817456749418</x:v>
      </x:c>
      <x:c r="AK1595" s="81" t="n">
        <x:f>W1595/MAX($W$1464:W1595)-1</x:f>
        <x:v>-0.9845759796980965</x:v>
      </x:c>
      <x:c r="AL1595" s="83" t="n">
        <x:f>'Inputs'!$B$48</x:f>
        <x:v>0.25</x:v>
      </x:c>
      <x:c r="AM1595" s="83" t="n">
        <x:f>'Inputs'!$C$48</x:f>
        <x:v>0.25</x:v>
      </x:c>
      <x:c r="AN1595" s="83" t="n">
        <x:f>'Inputs'!$D$48</x:f>
        <x:v>0.3</x:v>
      </x:c>
      <x:c r="AO1595" s="81" t="n">
        <x:f>'Inputs'!$E$48</x:f>
        <x:v>0</x:v>
      </x:c>
    </x:row>
    <x:row r="1596">
      <x:c r="A1596" s="59" t="str">
        <x:v>Low participation</x:v>
      </x:c>
      <x:c r="B1596" s="59" t="n">
        <x:v>133</x:v>
      </x:c>
      <x:c r="C1596" s="78" t="n">
        <x:f>(('Inputs'!$B$29*(3*133*'Inputs'!$B$12-133^2)/(2*'Inputs'!$B$12^2))-('Inputs'!$B$29*(3*132*'Inputs'!$B$12-132^2)/(2*'Inputs'!$B$12^2)))*'Inputs'!$B$48</x:f>
        <x:v>167227.37614937127</x:v>
      </x:c>
      <x:c r="D1596" s="78" t="n">
        <x:f>IF('Inputs'!$C$48&gt;0,('Inputs'!$B$30*(3*133*'Inputs'!$B$12-133^2)/(2*'Inputs'!$B$12^2))-('Inputs'!$B$30*(3*132*'Inputs'!$B$12-132^2)/(2*'Inputs'!$B$12^2)),0)</x:f>
        <x:v>286675.50197035074</x:v>
      </x:c>
      <x:c r="E1596" s="78" t="n">
        <x:f>C1596+D1596</x:f>
        <x:v>453902.878119722</x:v>
      </x:c>
      <x:c r="F1596" s="78" t="n">
        <x:f>'Inputs'!$B$13*E1596+(1-'Inputs'!$B$13)/'Inputs'!$B$14*SUM(E1541:E1596)</x:f>
        <x:v>458756.2746293864</x:v>
      </x:c>
      <x:c r="G1596" s="78" t="n">
        <x:f>F1596*'Inputs'!$F$48</x:f>
        <x:v>229378.1373146932</x:v>
      </x:c>
      <x:c r="H1596" s="78" t="n">
        <x:f>U1595</x:f>
        <x:v>29354059.95682766</x:v>
      </x:c>
      <x:c r="I1596" s="78" t="n">
        <x:f>V1595</x:f>
        <x:v>385.00350347034237</x:v>
      </x:c>
      <x:c r="J1596" s="79" t="n">
        <x:f>IF(H1596&gt;0,I1596/H1596,0)</x:f>
        <x:v>0.000013115851914065188</x:v>
      </x:c>
      <x:c r="K1596" s="80" t="n">
        <x:f>(H1596*J1596+I1596)*'Inputs'!$D$48*(1+'Inputs'!$G$48)^(B1596/30)</x:f>
        <x:v>231.0021020822054</x:v>
      </x:c>
      <x:c r="L1596" s="80" t="n">
        <x:f>MAX(0,K1596*'Inputs'!$E$48)</x:f>
        <x:v>0</x:v>
      </x:c>
      <x:c r="M1596" s="80" t="n">
        <x:f>MAX(0,-K1596*'Inputs'!$E$48)</x:f>
        <x:v>0</x:v>
      </x:c>
      <x:c r="N1596" s="78" t="n">
        <x:f>H1596*(L1596*(1-'Inputs'!$B$15))/(I1596+L1596*(1-'Inputs'!$B$15))</x:f>
        <x:v>0</x:v>
      </x:c>
      <x:c r="O1596" s="78" t="n">
        <x:f>H1596-N1596</x:f>
        <x:v>29354059.95682766</x:v>
      </x:c>
      <x:c r="P1596" s="78" t="n">
        <x:f>I1596+L1596*(1-'Inputs'!$B$17)</x:f>
        <x:v>385.00350347034237</x:v>
      </x:c>
      <x:c r="Q1596" s="78" t="n">
        <x:f>IF(J1596&gt;0,M1596/J1596,0)</x:f>
        <x:v>0</x:v>
      </x:c>
      <x:c r="R1596" s="78" t="n">
        <x:f>IF(B1596='Inputs'!$H$48,'Inputs'!$B$27*'Inputs'!$I$48,0)</x:f>
        <x:v>0</x:v>
      </x:c>
      <x:c r="S1596" s="78" t="n">
        <x:f>Q1596+G1596+R1596</x:f>
        <x:v>229378.1373146932</x:v>
      </x:c>
      <x:c r="T1596" s="78" t="n">
        <x:f>P1596*(S1596*(1-'Inputs'!$B$15))/(O1596+S1596*(1-'Inputs'!$B$15))</x:f>
        <x:v>2.95554058681434</x:v>
      </x:c>
      <x:c r="U1596" s="78" t="n">
        <x:f>O1596+S1596*(1-'Inputs'!$B$17)</x:f>
        <x:v>29582515.043287966</x:v>
      </x:c>
      <x:c r="V1596" s="78" t="n">
        <x:f>P1596-T1596</x:f>
        <x:v>382.04796288352804</x:v>
      </x:c>
      <x:c r="W1596" s="79" t="n">
        <x:f>IF(U1596&gt;0,V1596/U1596,0)</x:f>
        <x:v>0.000012914654562821278</x:v>
      </x:c>
      <x:c r="X1596" s="80" t="n">
        <x:f>W1596*('Inputs'!$B$6-AC1596)</x:f>
        <x:v>12882.787815337511</x:v>
      </x:c>
      <x:c r="Y1596" s="80" t="n">
        <x:f>2*V1596</x:f>
        <x:v>764.0959257670561</x:v>
      </x:c>
      <x:c r="Z1596" s="80" t="n">
        <x:f>K1596*'Inputs'!$B$16+(G1596+R1596)*J1596*'Inputs'!$B$16</x:f>
        <x:v>1.4040635505812942</x:v>
      </x:c>
      <x:c r="AA1596" s="80" t="n">
        <x:f>K1596*(1+'Inputs'!$E$48)/2*'Inputs'!$B$17</x:f>
        <x:v>0.464792961936027</x:v>
      </x:c>
      <x:c r="AB1596" s="78" t="n">
        <x:f>(IF(J1596&gt;0,K1596*(1-'Inputs'!$E$48)/2/J1596,0)+G1596+R1596)*'Inputs'!$B$17</x:f>
        <x:v>36360.54778415691</x:v>
      </x:c>
      <x:c r="AC1596" s="78" t="n">
        <x:f>AC1595+AB1596</x:f>
        <x:v>2467487.4057805846</x:v>
      </x:c>
      <x:c r="AD1596" s="80" t="n">
        <x:f>Z1596/(1+'Inputs'!$C$48)</x:f>
        <x:v>1.1232508404650354</x:v>
      </x:c>
      <x:c r="AE1596" s="80" t="n">
        <x:f>Z1596-AD1596</x:f>
        <x:v>0.28081271011625875</x:v>
      </x:c>
      <x:c r="AF1596" s="80" t="n">
        <x:f>D1596*W1596</x:f>
        <x:v>3.7023150795704707</x:v>
      </x:c>
      <x:c r="AG1596" s="80" t="n">
        <x:f>C1596*W1596</x:f>
        <x:v>2.159683796416108</x:v>
      </x:c>
      <x:c r="AH1596" s="80" t="n">
        <x:f>2*'Inputs'!$B$8*'Inputs'!$C$48</x:f>
        <x:v>1250</x:v>
      </x:c>
      <x:c r="AI1596" s="81" t="n">
        <x:f>IF(AH1596&gt;0,(AE1596+AF1596)/AH1596*365,0)</x:f>
        <x:v>1.163073314588525</x:v>
      </x:c>
      <x:c r="AJ1596" s="81" t="n">
        <x:f>IF('Inputs'!$B$48&gt;0,AG1596/('Inputs'!$B$19*'Inputs'!$B$48)*365,0)</x:f>
        <x:v>0.31531383427675175</x:v>
      </x:c>
      <x:c r="AK1596" s="81" t="n">
        <x:f>W1596/MAX($W$1464:W1596)-1</x:f>
        <x:v>-0.9848125843845941</x:v>
      </x:c>
      <x:c r="AL1596" s="83" t="n">
        <x:f>'Inputs'!$B$48</x:f>
        <x:v>0.25</x:v>
      </x:c>
      <x:c r="AM1596" s="83" t="n">
        <x:f>'Inputs'!$C$48</x:f>
        <x:v>0.25</x:v>
      </x:c>
      <x:c r="AN1596" s="83" t="n">
        <x:f>'Inputs'!$D$48</x:f>
        <x:v>0.3</x:v>
      </x:c>
      <x:c r="AO1596" s="81" t="n">
        <x:f>'Inputs'!$E$48</x:f>
        <x:v>0</x:v>
      </x:c>
    </x:row>
    <x:row r="1597">
      <x:c r="A1597" s="59" t="str">
        <x:v>Low participation</x:v>
      </x:c>
      <x:c r="B1597" s="59" t="n">
        <x:v>134</x:v>
      </x:c>
      <x:c r="C1597" s="78" t="n">
        <x:f>(('Inputs'!$B$29*(3*134*'Inputs'!$B$12-134^2)/(2*'Inputs'!$B$12^2))-('Inputs'!$B$29*(3*133*'Inputs'!$B$12-133^2)/(2*'Inputs'!$B$12^2)))*'Inputs'!$B$48</x:f>
        <x:v>167146.09917432815</x:v>
      </x:c>
      <x:c r="D1597" s="78" t="n">
        <x:f>IF('Inputs'!$C$48&gt;0,('Inputs'!$B$30*(3*134*'Inputs'!$B$12-134^2)/(2*'Inputs'!$B$12^2))-('Inputs'!$B$30*(3*133*'Inputs'!$B$12-133^2)/(2*'Inputs'!$B$12^2)),0)</x:f>
        <x:v>286536.17001313716</x:v>
      </x:c>
      <x:c r="E1597" s="78" t="n">
        <x:f>C1597+D1597</x:f>
        <x:v>453682.2691874653</x:v>
      </x:c>
      <x:c r="F1597" s="78" t="n">
        <x:f>'Inputs'!$B$13*E1597+(1-'Inputs'!$B$13)/'Inputs'!$B$14*SUM(E1542:E1597)</x:f>
        <x:v>458535.66569712915</x:v>
      </x:c>
      <x:c r="G1597" s="78" t="n">
        <x:f>F1597*'Inputs'!$F$48</x:f>
        <x:v>229267.83284856458</x:v>
      </x:c>
      <x:c r="H1597" s="78" t="n">
        <x:f>U1596</x:f>
        <x:v>29582515.043287966</x:v>
      </x:c>
      <x:c r="I1597" s="78" t="n">
        <x:f>V1596</x:f>
        <x:v>382.04796288352804</x:v>
      </x:c>
      <x:c r="J1597" s="79" t="n">
        <x:f>IF(H1597&gt;0,I1597/H1597,0)</x:f>
        <x:v>0.000012914654562821278</x:v>
      </x:c>
      <x:c r="K1597" s="80" t="n">
        <x:f>(H1597*J1597+I1597)*'Inputs'!$D$48*(1+'Inputs'!$G$48)^(B1597/30)</x:f>
        <x:v>229.22877773011683</x:v>
      </x:c>
      <x:c r="L1597" s="80" t="n">
        <x:f>MAX(0,K1597*'Inputs'!$E$48)</x:f>
        <x:v>0</x:v>
      </x:c>
      <x:c r="M1597" s="80" t="n">
        <x:f>MAX(0,-K1597*'Inputs'!$E$48)</x:f>
        <x:v>0</x:v>
      </x:c>
      <x:c r="N1597" s="78" t="n">
        <x:f>H1597*(L1597*(1-'Inputs'!$B$15))/(I1597+L1597*(1-'Inputs'!$B$15))</x:f>
        <x:v>0</x:v>
      </x:c>
      <x:c r="O1597" s="78" t="n">
        <x:f>H1597-N1597</x:f>
        <x:v>29582515.043287966</x:v>
      </x:c>
      <x:c r="P1597" s="78" t="n">
        <x:f>I1597+L1597*(1-'Inputs'!$B$17)</x:f>
        <x:v>382.04796288352804</x:v>
      </x:c>
      <x:c r="Q1597" s="78" t="n">
        <x:f>IF(J1597&gt;0,M1597/J1597,0)</x:f>
        <x:v>0</x:v>
      </x:c>
      <x:c r="R1597" s="78" t="n">
        <x:f>IF(B1597='Inputs'!$H$48,'Inputs'!$B$27*'Inputs'!$I$48,0)</x:f>
        <x:v>0</x:v>
      </x:c>
      <x:c r="S1597" s="78" t="n">
        <x:f>Q1597+G1597+R1597</x:f>
        <x:v>229267.83284856458</x:v>
      </x:c>
      <x:c r="T1597" s="78" t="n">
        <x:f>P1597*(S1597*(1-'Inputs'!$B$15))/(O1597+S1597*(1-'Inputs'!$B$15))</x:f>
        <x:v>2.9089861931267285</x:v>
      </x:c>
      <x:c r="U1597" s="78" t="n">
        <x:f>O1597+S1597*(1-'Inputs'!$B$17)</x:f>
        <x:v>29810860.269163296</x:v>
      </x:c>
      <x:c r="V1597" s="78" t="n">
        <x:f>P1597-T1597</x:f>
        <x:v>379.1389766904013</x:v>
      </x:c>
      <x:c r="W1597" s="79" t="n">
        <x:f>IF(U1597&gt;0,V1597/U1597,0)</x:f>
        <x:v>0.000012718149468587698</x:v>
      </x:c>
      <x:c r="X1597" s="80" t="n">
        <x:f>W1597*('Inputs'!$B$6-AC1597)</x:f>
        <x:v>12686.301654035804</x:v>
      </x:c>
      <x:c r="Y1597" s="80" t="n">
        <x:f>2*V1597</x:f>
        <x:v>758.2779533808026</x:v>
      </x:c>
      <x:c r="Z1597" s="80" t="n">
        <x:f>K1597*'Inputs'!$B$16+(G1597+R1597)*J1597*'Inputs'!$B$16</x:f>
        <x:v>1.3931381555623363</x:v>
      </x:c>
      <x:c r="AA1597" s="80" t="n">
        <x:f>K1597*(1+'Inputs'!$E$48)/2*'Inputs'!$B$17</x:f>
        <x:v>0.46122490488957113</x:v>
      </x:c>
      <x:c r="AB1597" s="78" t="n">
        <x:f>(IF(J1597&gt;0,K1597*(1-'Inputs'!$E$48)/2/J1597,0)+G1597+R1597)*'Inputs'!$B$17</x:f>
        <x:v>36635.9048122131</x:v>
      </x:c>
      <x:c r="AC1597" s="78" t="n">
        <x:f>AC1596+AB1597</x:f>
        <x:v>2504123.3105927976</x:v>
      </x:c>
      <x:c r="AD1597" s="80" t="n">
        <x:f>Z1597/(1+'Inputs'!$C$48)</x:f>
        <x:v>1.114510524449869</x:v>
      </x:c>
      <x:c r="AE1597" s="80" t="n">
        <x:f>Z1597-AD1597</x:f>
        <x:v>0.27862763111246736</x:v>
      </x:c>
      <x:c r="AF1597" s="80" t="n">
        <x:f>D1597*W1597</x:f>
        <x:v>3.644209838383735</x:v>
      </x:c>
      <x:c r="AG1597" s="80" t="n">
        <x:f>C1597*W1597</x:f>
        <x:v>2.1257890723904884</x:v>
      </x:c>
      <x:c r="AH1597" s="80" t="n">
        <x:f>2*'Inputs'!$B$8*'Inputs'!$C$48</x:f>
        <x:v>1250</x:v>
      </x:c>
      <x:c r="AI1597" s="81" t="n">
        <x:f>IF(AH1597&gt;0,(AE1597+AF1597)/AH1597*365,0)</x:f>
        <x:v>1.145468541092891</x:v>
      </x:c>
      <x:c r="AJ1597" s="81" t="n">
        <x:f>IF('Inputs'!$B$48&gt;0,AG1597/('Inputs'!$B$19*'Inputs'!$B$48)*365,0)</x:f>
        <x:v>0.3103652045690113</x:v>
      </x:c>
      <x:c r="AK1597" s="81" t="n">
        <x:f>W1597/MAX($W$1464:W1597)-1</x:f>
        <x:v>-0.9850436710561077</x:v>
      </x:c>
      <x:c r="AL1597" s="83" t="n">
        <x:f>'Inputs'!$B$48</x:f>
        <x:v>0.25</x:v>
      </x:c>
      <x:c r="AM1597" s="83" t="n">
        <x:f>'Inputs'!$C$48</x:f>
        <x:v>0.25</x:v>
      </x:c>
      <x:c r="AN1597" s="83" t="n">
        <x:f>'Inputs'!$D$48</x:f>
        <x:v>0.3</x:v>
      </x:c>
      <x:c r="AO1597" s="81" t="n">
        <x:f>'Inputs'!$E$48</x:f>
        <x:v>0</x:v>
      </x:c>
    </x:row>
    <x:row r="1598">
      <x:c r="A1598" s="59" t="str">
        <x:v>Low participation</x:v>
      </x:c>
      <x:c r="B1598" s="59" t="n">
        <x:v>135</x:v>
      </x:c>
      <x:c r="C1598" s="78" t="n">
        <x:f>(('Inputs'!$B$29*(3*135*'Inputs'!$B$12-135^2)/(2*'Inputs'!$B$12^2))-('Inputs'!$B$29*(3*134*'Inputs'!$B$12-134^2)/(2*'Inputs'!$B$12^2)))*'Inputs'!$B$48</x:f>
        <x:v>167064.82219928876</x:v>
      </x:c>
      <x:c r="D1598" s="78" t="n">
        <x:f>IF('Inputs'!$C$48&gt;0,('Inputs'!$B$30*(3*135*'Inputs'!$B$12-135^2)/(2*'Inputs'!$B$12^2))-('Inputs'!$B$30*(3*134*'Inputs'!$B$12-134^2)/(2*'Inputs'!$B$12^2)),0)</x:f>
        <x:v>286396.83805591613</x:v>
      </x:c>
      <x:c r="E1598" s="78" t="n">
        <x:f>C1598+D1598</x:f>
        <x:v>453461.6602552049</x:v>
      </x:c>
      <x:c r="F1598" s="78" t="n">
        <x:f>'Inputs'!$B$13*E1598+(1-'Inputs'!$B$13)/'Inputs'!$B$14*SUM(E1543:E1598)</x:f>
        <x:v>458315.056764871</x:v>
      </x:c>
      <x:c r="G1598" s="78" t="n">
        <x:f>F1598*'Inputs'!$F$48</x:f>
        <x:v>229157.5283824355</x:v>
      </x:c>
      <x:c r="H1598" s="78" t="n">
        <x:f>U1597</x:f>
        <x:v>29810860.269163296</x:v>
      </x:c>
      <x:c r="I1598" s="78" t="n">
        <x:f>V1597</x:f>
        <x:v>379.1389766904013</x:v>
      </x:c>
      <x:c r="J1598" s="79" t="n">
        <x:f>IF(H1598&gt;0,I1598/H1598,0)</x:f>
        <x:v>0.000012718149468587698</x:v>
      </x:c>
      <x:c r="K1598" s="80" t="n">
        <x:f>(H1598*J1598+I1598)*'Inputs'!$D$48*(1+'Inputs'!$G$48)^(B1598/30)</x:f>
        <x:v>227.48338601424078</x:v>
      </x:c>
      <x:c r="L1598" s="80" t="n">
        <x:f>MAX(0,K1598*'Inputs'!$E$48)</x:f>
        <x:v>0</x:v>
      </x:c>
      <x:c r="M1598" s="80" t="n">
        <x:f>MAX(0,-K1598*'Inputs'!$E$48)</x:f>
        <x:v>0</x:v>
      </x:c>
      <x:c r="N1598" s="78" t="n">
        <x:f>H1598*(L1598*(1-'Inputs'!$B$15))/(I1598+L1598*(1-'Inputs'!$B$15))</x:f>
        <x:v>0</x:v>
      </x:c>
      <x:c r="O1598" s="78" t="n">
        <x:f>H1598-N1598</x:f>
        <x:v>29810860.269163296</x:v>
      </x:c>
      <x:c r="P1598" s="78" t="n">
        <x:f>I1598+L1598*(1-'Inputs'!$B$17)</x:f>
        <x:v>379.1389766904013</x:v>
      </x:c>
      <x:c r="Q1598" s="78" t="n">
        <x:f>IF(J1598&gt;0,M1598/J1598,0)</x:f>
        <x:v>0</x:v>
      </x:c>
      <x:c r="R1598" s="78" t="n">
        <x:f>IF(B1598='Inputs'!$H$48,'Inputs'!$B$27*'Inputs'!$I$48,0)</x:f>
        <x:v>0</x:v>
      </x:c>
      <x:c r="S1598" s="78" t="n">
        <x:f>Q1598+G1598+R1598</x:f>
        <x:v>229157.5283824355</x:v>
      </x:c>
      <x:c r="T1598" s="78" t="n">
        <x:f>P1598*(S1598*(1-'Inputs'!$B$15))/(O1598+S1598*(1-'Inputs'!$B$15))</x:f>
        <x:v>2.8635231797256524</x:v>
      </x:c>
      <x:c r="U1598" s="78" t="n">
        <x:f>O1598+S1598*(1-'Inputs'!$B$17)</x:f>
        <x:v>30039095.63445365</x:v>
      </x:c>
      <x:c r="V1598" s="78" t="n">
        <x:f>P1598-T1598</x:f>
        <x:v>376.2754535106757</x:v>
      </x:c>
      <x:c r="W1598" s="79" t="n">
        <x:f>IF(U1598&gt;0,V1598/U1598,0)</x:f>
        <x:v>0.000012526191137362426</x:v>
      </x:c>
      <x:c r="X1598" s="80" t="n">
        <x:f>W1598*('Inputs'!$B$6-AC1598)</x:f>
        <x:v>12494.361654282813</x:v>
      </x:c>
      <x:c r="Y1598" s="80" t="n">
        <x:f>2*V1598</x:f>
        <x:v>752.5509070213513</x:v>
      </x:c>
      <x:c r="Z1598" s="80" t="n">
        <x:f>K1598*'Inputs'!$B$16+(G1598+R1598)*J1598*'Inputs'!$B$16</x:f>
        <x:v>1.3823870742723643</x:v>
      </x:c>
      <x:c r="AA1598" s="80" t="n">
        <x:f>K1598*(1+'Inputs'!$E$48)/2*'Inputs'!$B$17</x:f>
        <x:v>0.4577130503304644</x:v>
      </x:c>
      <x:c r="AB1598" s="78" t="n">
        <x:f>(IF(J1598&gt;0,K1598*(1-'Inputs'!$E$48)/2/J1598,0)+G1598+R1598)*'Inputs'!$B$17</x:f>
        <x:v>36911.12921179648</x:v>
      </x:c>
      <x:c r="AC1598" s="78" t="n">
        <x:f>AC1597+AB1598</x:f>
        <x:v>2541034.439804594</x:v>
      </x:c>
      <x:c r="AD1598" s="80" t="n">
        <x:f>Z1598/(1+'Inputs'!$C$48)</x:f>
        <x:v>1.1059096594178914</x:v>
      </x:c>
      <x:c r="AE1598" s="80" t="n">
        <x:f>Z1598-AD1598</x:f>
        <x:v>0.27647741485447286</x:v>
      </x:c>
      <x:c r="AF1598" s="80" t="n">
        <x:f>D1598*W1598</x:f>
        <x:v>3.5874615346246386</x:v>
      </x:c>
      <x:c r="AG1598" s="80" t="n">
        <x:f>C1598*W1598</x:f>
        <x:v>2.0926858951977603</x:v>
      </x:c>
      <x:c r="AH1598" s="80" t="n">
        <x:f>2*'Inputs'!$B$8*'Inputs'!$C$48</x:f>
        <x:v>1250</x:v>
      </x:c>
      <x:c r="AI1598" s="81" t="n">
        <x:f>IF(AH1598&gt;0,(AE1598+AF1598)/AH1598*365,0)</x:f>
        <x:v>1.1282701732479006</x:v>
      </x:c>
      <x:c r="AJ1598" s="81" t="n">
        <x:f>IF('Inputs'!$B$48&gt;0,AG1598/('Inputs'!$B$19*'Inputs'!$B$48)*365,0)</x:f>
        <x:v>0.30553214069887297</x:v>
      </x:c>
      <x:c r="AK1598" s="81" t="n">
        <x:f>W1598/MAX($W$1464:W1598)-1</x:f>
        <x:v>-0.985269410811126</x:v>
      </x:c>
      <x:c r="AL1598" s="83" t="n">
        <x:f>'Inputs'!$B$48</x:f>
        <x:v>0.25</x:v>
      </x:c>
      <x:c r="AM1598" s="83" t="n">
        <x:f>'Inputs'!$C$48</x:f>
        <x:v>0.25</x:v>
      </x:c>
      <x:c r="AN1598" s="83" t="n">
        <x:f>'Inputs'!$D$48</x:f>
        <x:v>0.3</x:v>
      </x:c>
      <x:c r="AO1598" s="81" t="n">
        <x:f>'Inputs'!$E$48</x:f>
        <x:v>0</x:v>
      </x:c>
    </x:row>
    <x:row r="1599">
      <x:c r="A1599" s="59" t="str">
        <x:v>Low participation</x:v>
      </x:c>
      <x:c r="B1599" s="59" t="n">
        <x:v>136</x:v>
      </x:c>
      <x:c r="C1599" s="78" t="n">
        <x:f>(('Inputs'!$B$29*(3*136*'Inputs'!$B$12-136^2)/(2*'Inputs'!$B$12^2))-('Inputs'!$B$29*(3*135*'Inputs'!$B$12-135^2)/(2*'Inputs'!$B$12^2)))*'Inputs'!$B$48</x:f>
        <x:v>166983.5452242419</x:v>
      </x:c>
      <x:c r="D1599" s="78" t="n">
        <x:f>IF('Inputs'!$C$48&gt;0,('Inputs'!$B$30*(3*136*'Inputs'!$B$12-136^2)/(2*'Inputs'!$B$12^2))-('Inputs'!$B$30*(3*135*'Inputs'!$B$12-135^2)/(2*'Inputs'!$B$12^2)),0)</x:f>
        <x:v>286257.50609871</x:v>
      </x:c>
      <x:c r="E1599" s="78" t="n">
        <x:f>C1599+D1599</x:f>
        <x:v>453241.0513229519</x:v>
      </x:c>
      <x:c r="F1599" s="78" t="n">
        <x:f>'Inputs'!$B$13*E1599+(1-'Inputs'!$B$13)/'Inputs'!$B$14*SUM(E1544:E1599)</x:f>
        <x:v>458094.4478326144</x:v>
      </x:c>
      <x:c r="G1599" s="78" t="n">
        <x:f>F1599*'Inputs'!$F$48</x:f>
        <x:v>229047.2239163072</x:v>
      </x:c>
      <x:c r="H1599" s="78" t="n">
        <x:f>U1598</x:f>
        <x:v>30039095.63445365</x:v>
      </x:c>
      <x:c r="I1599" s="78" t="n">
        <x:f>V1598</x:f>
        <x:v>376.2754535106757</x:v>
      </x:c>
      <x:c r="J1599" s="79" t="n">
        <x:f>IF(H1599&gt;0,I1599/H1599,0)</x:f>
        <x:v>0.000012526191137362426</x:v>
      </x:c>
      <x:c r="K1599" s="80" t="n">
        <x:f>(H1599*J1599+I1599)*'Inputs'!$D$48*(1+'Inputs'!$G$48)^(B1599/30)</x:f>
        <x:v>225.7652721064054</x:v>
      </x:c>
      <x:c r="L1599" s="80" t="n">
        <x:f>MAX(0,K1599*'Inputs'!$E$48)</x:f>
        <x:v>0</x:v>
      </x:c>
      <x:c r="M1599" s="80" t="n">
        <x:f>MAX(0,-K1599*'Inputs'!$E$48)</x:f>
        <x:v>0</x:v>
      </x:c>
      <x:c r="N1599" s="78" t="n">
        <x:f>H1599*(L1599*(1-'Inputs'!$B$15))/(I1599+L1599*(1-'Inputs'!$B$15))</x:f>
        <x:v>0</x:v>
      </x:c>
      <x:c r="O1599" s="78" t="n">
        <x:f>H1599-N1599</x:f>
        <x:v>30039095.63445365</x:v>
      </x:c>
      <x:c r="P1599" s="78" t="n">
        <x:f>I1599+L1599*(1-'Inputs'!$B$17)</x:f>
        <x:v>376.2754535106757</x:v>
      </x:c>
      <x:c r="Q1599" s="78" t="n">
        <x:f>IF(J1599&gt;0,M1599/J1599,0)</x:f>
        <x:v>0</x:v>
      </x:c>
      <x:c r="R1599" s="78" t="n">
        <x:f>IF(B1599='Inputs'!$H$48,'Inputs'!$B$27*'Inputs'!$I$48,0)</x:f>
        <x:v>0</x:v>
      </x:c>
      <x:c r="S1599" s="78" t="n">
        <x:f>Q1599+G1599+R1599</x:f>
        <x:v>229047.2239163072</x:v>
      </x:c>
      <x:c r="T1599" s="78" t="n">
        <x:f>P1599*(S1599*(1-'Inputs'!$B$15))/(O1599+S1599*(1-'Inputs'!$B$15))</x:f>
        <x:v>2.8191176803936306</x:v>
      </x:c>
      <x:c r="U1599" s="78" t="n">
        <x:f>O1599+S1599*(1-'Inputs'!$B$17)</x:f>
        <x:v>30267221.139159027</x:v>
      </x:c>
      <x:c r="V1599" s="78" t="n">
        <x:f>P1599-T1599</x:f>
        <x:v>373.45633583028206</x:v>
      </x:c>
      <x:c r="W1599" s="79" t="n">
        <x:f>IF(U1599&gt;0,V1599/U1599,0)</x:f>
        <x:v>0.000012338639682620646</x:v>
      </x:c>
      <x:c r="X1599" s="80" t="n">
        <x:f>W1599*('Inputs'!$B$6-AC1599)</x:f>
        <x:v>12306.827946864902</x:v>
      </x:c>
      <x:c r="Y1599" s="80" t="n">
        <x:f>2*V1599</x:f>
        <x:v>746.9126716605641</x:v>
      </x:c>
      <x:c r="Z1599" s="80" t="n">
        <x:f>K1599*'Inputs'!$B$16+(G1599+R1599)*J1599*'Inputs'!$B$16</x:f>
        <x:v>1.37180616847598</x:v>
      </x:c>
      <x:c r="AA1599" s="80" t="n">
        <x:f>K1599*(1+'Inputs'!$E$48)/2*'Inputs'!$B$17</x:f>
        <x:v>0.4542560806969928</x:v>
      </x:c>
      <x:c r="AB1599" s="78" t="n">
        <x:f>(IF(J1599&gt;0,K1599*(1-'Inputs'!$E$48)/2/J1599,0)+G1599+R1599)*'Inputs'!$B$17</x:f>
        <x:v>37186.220982907056</x:v>
      </x:c>
      <x:c r="AC1599" s="78" t="n">
        <x:f>AC1598+AB1599</x:f>
        <x:v>2578220.660787501</x:v>
      </x:c>
      <x:c r="AD1599" s="80" t="n">
        <x:f>Z1599/(1+'Inputs'!$C$48)</x:f>
        <x:v>1.097444934780784</x:v>
      </x:c>
      <x:c r="AE1599" s="80" t="n">
        <x:f>Z1599-AD1599</x:f>
        <x:v>0.27436123369519594</x:v>
      </x:c>
      <x:c r="AF1599" s="80" t="n">
        <x:f>D1599*W1599</x:f>
        <x:v>3.532028224197565</x:v>
      </x:c>
      <x:c r="AG1599" s="80" t="n">
        <x:f>C1599*W1599</x:f>
        <x:v>2.0603497974485103</x:v>
      </x:c>
      <x:c r="AH1599" s="80" t="n">
        <x:f>2*'Inputs'!$B$8*'Inputs'!$C$48</x:f>
        <x:v>1250</x:v>
      </x:c>
      <x:c r="AI1599" s="81" t="n">
        <x:f>IF(AH1599&gt;0,(AE1599+AF1599)/AH1599*365,0)</x:f>
        <x:v>1.1114657217046862</x:v>
      </x:c>
      <x:c r="AJ1599" s="81" t="n">
        <x:f>IF('Inputs'!$B$48&gt;0,AG1599/('Inputs'!$B$19*'Inputs'!$B$48)*365,0)</x:f>
        <x:v>0.3008110704274825</x:v>
      </x:c>
      <x:c r="AK1599" s="81" t="n">
        <x:f>W1599/MAX($W$1464:W1599)-1</x:f>
        <x:v>-0.9854899681538394</x:v>
      </x:c>
      <x:c r="AL1599" s="83" t="n">
        <x:f>'Inputs'!$B$48</x:f>
        <x:v>0.25</x:v>
      </x:c>
      <x:c r="AM1599" s="83" t="n">
        <x:f>'Inputs'!$C$48</x:f>
        <x:v>0.25</x:v>
      </x:c>
      <x:c r="AN1599" s="83" t="n">
        <x:f>'Inputs'!$D$48</x:f>
        <x:v>0.3</x:v>
      </x:c>
      <x:c r="AO1599" s="81" t="n">
        <x:f>'Inputs'!$E$48</x:f>
        <x:v>0</x:v>
      </x:c>
    </x:row>
    <x:row r="1600">
      <x:c r="A1600" s="59" t="str">
        <x:v>Low participation</x:v>
      </x:c>
      <x:c r="B1600" s="59" t="n">
        <x:v>137</x:v>
      </x:c>
      <x:c r="C1600" s="78" t="n">
        <x:f>(('Inputs'!$B$29*(3*137*'Inputs'!$B$12-137^2)/(2*'Inputs'!$B$12^2))-('Inputs'!$B$29*(3*136*'Inputs'!$B$12-136^2)/(2*'Inputs'!$B$12^2)))*'Inputs'!$B$48</x:f>
        <x:v>166902.26824920252</x:v>
      </x:c>
      <x:c r="D1600" s="78" t="n">
        <x:f>IF('Inputs'!$C$48&gt;0,('Inputs'!$B$30*(3*137*'Inputs'!$B$12-137^2)/(2*'Inputs'!$B$12^2))-('Inputs'!$B$30*(3*136*'Inputs'!$B$12-136^2)/(2*'Inputs'!$B$12^2)),0)</x:f>
        <x:v>286118.17414148897</x:v>
      </x:c>
      <x:c r="E1600" s="78" t="n">
        <x:f>C1600+D1600</x:f>
        <x:v>453020.4423906915</x:v>
      </x:c>
      <x:c r="F1600" s="78" t="n">
        <x:f>'Inputs'!$B$13*E1600+(1-'Inputs'!$B$13)/'Inputs'!$B$14*SUM(E1545:E1600)</x:f>
        <x:v>457873.83890035644</x:v>
      </x:c>
      <x:c r="G1600" s="78" t="n">
        <x:f>F1600*'Inputs'!$F$48</x:f>
        <x:v>228936.91945017822</x:v>
      </x:c>
      <x:c r="H1600" s="78" t="n">
        <x:f>U1599</x:f>
        <x:v>30267221.139159027</x:v>
      </x:c>
      <x:c r="I1600" s="78" t="n">
        <x:f>V1599</x:f>
        <x:v>373.45633583028206</x:v>
      </x:c>
      <x:c r="J1600" s="79" t="n">
        <x:f>IF(H1600&gt;0,I1600/H1600,0)</x:f>
        <x:v>0.000012338639682620646</x:v>
      </x:c>
      <x:c r="K1600" s="80" t="n">
        <x:f>(H1600*J1600+I1600)*'Inputs'!$D$48*(1+'Inputs'!$G$48)^(B1600/30)</x:f>
        <x:v>224.07380149816922</x:v>
      </x:c>
      <x:c r="L1600" s="80" t="n">
        <x:f>MAX(0,K1600*'Inputs'!$E$48)</x:f>
        <x:v>0</x:v>
      </x:c>
      <x:c r="M1600" s="80" t="n">
        <x:f>MAX(0,-K1600*'Inputs'!$E$48)</x:f>
        <x:v>0</x:v>
      </x:c>
      <x:c r="N1600" s="78" t="n">
        <x:f>H1600*(L1600*(1-'Inputs'!$B$15))/(I1600+L1600*(1-'Inputs'!$B$15))</x:f>
        <x:v>0</x:v>
      </x:c>
      <x:c r="O1600" s="78" t="n">
        <x:f>H1600-N1600</x:f>
        <x:v>30267221.139159027</x:v>
      </x:c>
      <x:c r="P1600" s="78" t="n">
        <x:f>I1600+L1600*(1-'Inputs'!$B$17)</x:f>
        <x:v>373.45633583028206</x:v>
      </x:c>
      <x:c r="Q1600" s="78" t="n">
        <x:f>IF(J1600&gt;0,M1600/J1600,0)</x:f>
        <x:v>0</x:v>
      </x:c>
      <x:c r="R1600" s="78" t="n">
        <x:f>IF(B1600='Inputs'!$H$48,'Inputs'!$B$27*'Inputs'!$I$48,0)</x:f>
        <x:v>0</x:v>
      </x:c>
      <x:c r="S1600" s="78" t="n">
        <x:f>Q1600+G1600+R1600</x:f>
        <x:v>228936.91945017822</x:v>
      </x:c>
      <x:c r="T1600" s="78" t="n">
        <x:f>P1600*(S1600*(1-'Inputs'!$B$15))/(O1600+S1600*(1-'Inputs'!$B$15))</x:f>
        <x:v>2.775737132782258</x:v>
      </x:c>
      <x:c r="U1600" s="78" t="n">
        <x:f>O1600+S1600*(1-'Inputs'!$B$17)</x:f>
        <x:v>30495236.783279426</x:v>
      </x:c>
      <x:c r="V1600" s="78" t="n">
        <x:f>P1600-T1600</x:f>
        <x:v>370.6805986974998</x:v>
      </x:c>
      <x:c r="W1600" s="79" t="n">
        <x:f>IF(U1600&gt;0,V1600/U1600,0)</x:f>
        <x:v>0.0000121553605676787</x:v>
      </x:c>
      <x:c r="X1600" s="80" t="n">
        <x:f>W1600*('Inputs'!$B$6-AC1600)</x:f>
        <x:v>12123.566011772073</x:v>
      </x:c>
      <x:c r="Y1600" s="80" t="n">
        <x:f>2*V1600</x:f>
        <x:v>741.3611973949996</x:v>
      </x:c>
      <x:c r="Z1600" s="80" t="n">
        <x:f>K1600*'Inputs'!$B$16+(G1600+R1600)*J1600*'Inputs'!$B$16</x:f>
        <x:v>1.3613914299438845</x:v>
      </x:c>
      <x:c r="AA1600" s="80" t="n">
        <x:f>K1600*(1+'Inputs'!$E$48)/2*'Inputs'!$B$17</x:f>
        <x:v>0.45085271931221177</x:v>
      </x:c>
      <x:c r="AB1600" s="78" t="n">
        <x:f>(IF(J1600&gt;0,K1600*(1-'Inputs'!$E$48)/2/J1600,0)+G1600+R1600)*'Inputs'!$B$17</x:f>
        <x:v>37461.180125544815</x:v>
      </x:c>
      <x:c r="AC1600" s="78" t="n">
        <x:f>AC1599+AB1600</x:f>
        <x:v>2615681.8409130457</x:v>
      </x:c>
      <x:c r="AD1600" s="80" t="n">
        <x:f>Z1600/(1+'Inputs'!$C$48)</x:f>
        <x:v>1.0891131439551076</x:v>
      </x:c>
      <x:c r="AE1600" s="80" t="n">
        <x:f>Z1600-AD1600</x:f>
        <x:v>0.2722782859887769</x:v>
      </x:c>
      <x:c r="AF1600" s="80" t="n">
        <x:f>D1600*W1600</x:f>
        <x:v>3.477869571655683</x:v>
      </x:c>
      <x:c r="AG1600" s="80" t="n">
        <x:f>C1600*W1600</x:f>
        <x:v>2.028757250132489</x:v>
      </x:c>
      <x:c r="AH1600" s="80" t="n">
        <x:f>2*'Inputs'!$B$8*'Inputs'!$C$48</x:f>
        <x:v>1250</x:v>
      </x:c>
      <x:c r="AI1600" s="81" t="n">
        <x:f>IF(AH1600&gt;0,(AE1600+AF1600)/AH1600*365,0)</x:f>
        <x:v>1.0950431744321822</x:v>
      </x:c>
      <x:c r="AJ1600" s="81" t="n">
        <x:f>IF('Inputs'!$B$48&gt;0,AG1600/('Inputs'!$B$19*'Inputs'!$B$48)*365,0)</x:f>
        <x:v>0.2961985585193434</x:v>
      </x:c>
      <x:c r="AK1600" s="81" t="n">
        <x:f>W1600/MAX($W$1464:W1600)-1</x:f>
        <x:v>-0.9857055012971153</x:v>
      </x:c>
      <x:c r="AL1600" s="83" t="n">
        <x:f>'Inputs'!$B$48</x:f>
        <x:v>0.25</x:v>
      </x:c>
      <x:c r="AM1600" s="83" t="n">
        <x:f>'Inputs'!$C$48</x:f>
        <x:v>0.25</x:v>
      </x:c>
      <x:c r="AN1600" s="83" t="n">
        <x:f>'Inputs'!$D$48</x:f>
        <x:v>0.3</x:v>
      </x:c>
      <x:c r="AO1600" s="81" t="n">
        <x:f>'Inputs'!$E$48</x:f>
        <x:v>0</x:v>
      </x:c>
    </x:row>
    <x:row r="1601">
      <x:c r="A1601" s="59" t="str">
        <x:v>Low participation</x:v>
      </x:c>
      <x:c r="B1601" s="59" t="n">
        <x:v>138</x:v>
      </x:c>
      <x:c r="C1601" s="78" t="n">
        <x:f>(('Inputs'!$B$29*(3*138*'Inputs'!$B$12-138^2)/(2*'Inputs'!$B$12^2))-('Inputs'!$B$29*(3*137*'Inputs'!$B$12-137^2)/(2*'Inputs'!$B$12^2)))*'Inputs'!$B$48</x:f>
        <x:v>166820.99127416313</x:v>
      </x:c>
      <x:c r="D1601" s="78" t="n">
        <x:f>IF('Inputs'!$C$48&gt;0,('Inputs'!$B$30*(3*138*'Inputs'!$B$12-138^2)/(2*'Inputs'!$B$12^2))-('Inputs'!$B$30*(3*137*'Inputs'!$B$12-137^2)/(2*'Inputs'!$B$12^2)),0)</x:f>
        <x:v>285978.8421842754</x:v>
      </x:c>
      <x:c r="E1601" s="78" t="n">
        <x:f>C1601+D1601</x:f>
        <x:v>452799.8334584385</x:v>
      </x:c>
      <x:c r="F1601" s="78" t="n">
        <x:f>'Inputs'!$B$13*E1601+(1-'Inputs'!$B$13)/'Inputs'!$B$14*SUM(E1546:E1601)</x:f>
        <x:v>457653.22996809985</x:v>
      </x:c>
      <x:c r="G1601" s="78" t="n">
        <x:f>F1601*'Inputs'!$F$48</x:f>
        <x:v>228826.61498404993</x:v>
      </x:c>
      <x:c r="H1601" s="78" t="n">
        <x:f>U1600</x:f>
        <x:v>30495236.783279426</x:v>
      </x:c>
      <x:c r="I1601" s="78" t="n">
        <x:f>V1600</x:f>
        <x:v>370.6805986974998</x:v>
      </x:c>
      <x:c r="J1601" s="79" t="n">
        <x:f>IF(H1601&gt;0,I1601/H1601,0)</x:f>
        <x:v>0.0000121553605676787</x:v>
      </x:c>
      <x:c r="K1601" s="80" t="n">
        <x:f>(H1601*J1601+I1601)*'Inputs'!$D$48*(1+'Inputs'!$G$48)^(B1601/30)</x:f>
        <x:v>222.4083592184999</x:v>
      </x:c>
      <x:c r="L1601" s="80" t="n">
        <x:f>MAX(0,K1601*'Inputs'!$E$48)</x:f>
        <x:v>0</x:v>
      </x:c>
      <x:c r="M1601" s="80" t="n">
        <x:f>MAX(0,-K1601*'Inputs'!$E$48)</x:f>
        <x:v>0</x:v>
      </x:c>
      <x:c r="N1601" s="78" t="n">
        <x:f>H1601*(L1601*(1-'Inputs'!$B$15))/(I1601+L1601*(1-'Inputs'!$B$15))</x:f>
        <x:v>0</x:v>
      </x:c>
      <x:c r="O1601" s="78" t="n">
        <x:f>H1601-N1601</x:f>
        <x:v>30495236.783279426</x:v>
      </x:c>
      <x:c r="P1601" s="78" t="n">
        <x:f>I1601+L1601*(1-'Inputs'!$B$17)</x:f>
        <x:v>370.6805986974998</x:v>
      </x:c>
      <x:c r="Q1601" s="78" t="n">
        <x:f>IF(J1601&gt;0,M1601/J1601,0)</x:f>
        <x:v>0</x:v>
      </x:c>
      <x:c r="R1601" s="78" t="n">
        <x:f>IF(B1601='Inputs'!$H$48,'Inputs'!$B$27*'Inputs'!$I$48,0)</x:f>
        <x:v>0</x:v>
      </x:c>
      <x:c r="S1601" s="78" t="n">
        <x:f>Q1601+G1601+R1601</x:f>
        <x:v>228826.61498404993</x:v>
      </x:c>
      <x:c r="T1601" s="78" t="n">
        <x:f>P1601*(S1601*(1-'Inputs'!$B$15))/(O1601+S1601*(1-'Inputs'!$B$15))</x:f>
        <x:v>2.7333502186216445</x:v>
      </x:c>
      <x:c r="U1601" s="78" t="n">
        <x:f>O1601+S1601*(1-'Inputs'!$B$17)</x:f>
        <x:v>30723142.566814847</x:v>
      </x:c>
      <x:c r="V1601" s="78" t="n">
        <x:f>P1601-T1601</x:f>
        <x:v>367.9472484788782</x:v>
      </x:c>
      <x:c r="W1601" s="79" t="n">
        <x:f>IF(U1601&gt;0,V1601/U1601,0)</x:f>
        <x:v>0.000011976224361771866</x:v>
      </x:c>
      <x:c r="X1601" s="80" t="n">
        <x:f>W1601*('Inputs'!$B$6-AC1601)</x:f>
        <x:v>11944.446434304044</x:v>
      </x:c>
      <x:c r="Y1601" s="80" t="n">
        <x:f>2*V1601</x:f>
        <x:v>735.8944969577564</x:v>
      </x:c>
      <x:c r="Z1601" s="80" t="n">
        <x:f>K1601*'Inputs'!$B$16+(G1601+R1601)*J1601*'Inputs'!$B$16</x:f>
        <x:v>1.3511389753866745</x:v>
      </x:c>
      <x:c r="AA1601" s="80" t="n">
        <x:f>K1601*(1+'Inputs'!$E$48)/2*'Inputs'!$B$17</x:f>
        <x:v>0.447501728809859</x:v>
      </x:c>
      <x:c r="AB1601" s="78" t="n">
        <x:f>(IF(J1601&gt;0,K1601*(1-'Inputs'!$E$48)/2/J1601,0)+G1601+R1601)*'Inputs'!$B$17</x:f>
        <x:v>37736.006639709776</x:v>
      </x:c>
      <x:c r="AC1601" s="78" t="n">
        <x:f>AC1600+AB1601</x:f>
        <x:v>2653417.8475527554</x:v>
      </x:c>
      <x:c r="AD1601" s="80" t="n">
        <x:f>Z1601/(1+'Inputs'!$C$48)</x:f>
        <x:v>1.0809111803093396</x:v>
      </x:c>
      <x:c r="AE1601" s="80" t="n">
        <x:f>Z1601-AD1601</x:f>
        <x:v>0.27022779507733485</x:v>
      </x:c>
      <x:c r="AF1601" s="80" t="n">
        <x:f>D1601*W1601</x:f>
        <x:v>3.4249467767186306</x:v>
      </x:c>
      <x:c r="AG1601" s="80" t="n">
        <x:f>C1601*W1601</x:f>
        <x:v>1.9978856197525643</x:v>
      </x:c>
      <x:c r="AH1601" s="80" t="n">
        <x:f>2*'Inputs'!$B$8*'Inputs'!$C$48</x:f>
        <x:v>1250</x:v>
      </x:c>
      <x:c r="AI1601" s="81" t="n">
        <x:f>IF(AH1601&gt;0,(AE1601+AF1601)/AH1601*365,0)</x:f>
        <x:v>1.078990974964422</x:v>
      </x:c>
      <x:c r="AJ1601" s="81" t="n">
        <x:f>IF('Inputs'!$B$48&gt;0,AG1601/('Inputs'!$B$19*'Inputs'!$B$48)*365,0)</x:f>
        <x:v>0.29169130048387437</x:v>
      </x:c>
      <x:c r="AK1601" s="81" t="n">
        <x:f>W1601/MAX($W$1464:W1601)-1</x:f>
        <x:v>-0.9859161624493467</x:v>
      </x:c>
      <x:c r="AL1601" s="83" t="n">
        <x:f>'Inputs'!$B$48</x:f>
        <x:v>0.25</x:v>
      </x:c>
      <x:c r="AM1601" s="83" t="n">
        <x:f>'Inputs'!$C$48</x:f>
        <x:v>0.25</x:v>
      </x:c>
      <x:c r="AN1601" s="83" t="n">
        <x:f>'Inputs'!$D$48</x:f>
        <x:v>0.3</x:v>
      </x:c>
      <x:c r="AO1601" s="81" t="n">
        <x:f>'Inputs'!$E$48</x:f>
        <x:v>0</x:v>
      </x:c>
    </x:row>
    <x:row r="1602">
      <x:c r="A1602" s="59" t="str">
        <x:v>Low participation</x:v>
      </x:c>
      <x:c r="B1602" s="59" t="n">
        <x:v>139</x:v>
      </x:c>
      <x:c r="C1602" s="78" t="n">
        <x:f>(('Inputs'!$B$29*(3*139*'Inputs'!$B$12-139^2)/(2*'Inputs'!$B$12^2))-('Inputs'!$B$29*(3*138*'Inputs'!$B$12-138^2)/(2*'Inputs'!$B$12^2)))*'Inputs'!$B$48</x:f>
        <x:v>166739.71429911628</x:v>
      </x:c>
      <x:c r="D1602" s="78" t="n">
        <x:f>IF('Inputs'!$C$48&gt;0,('Inputs'!$B$30*(3*139*'Inputs'!$B$12-139^2)/(2*'Inputs'!$B$12^2))-('Inputs'!$B$30*(3*138*'Inputs'!$B$12-138^2)/(2*'Inputs'!$B$12^2)),0)</x:f>
        <x:v>285839.51022705436</x:v>
      </x:c>
      <x:c r="E1602" s="78" t="n">
        <x:f>C1602+D1602</x:f>
        <x:v>452579.22452617064</x:v>
      </x:c>
      <x:c r="F1602" s="78" t="n">
        <x:f>'Inputs'!$B$13*E1602+(1-'Inputs'!$B$13)/'Inputs'!$B$14*SUM(E1547:E1602)</x:f>
        <x:v>457432.62103584025</x:v>
      </x:c>
      <x:c r="G1602" s="78" t="n">
        <x:f>F1602*'Inputs'!$F$48</x:f>
        <x:v>228716.31051792012</x:v>
      </x:c>
      <x:c r="H1602" s="78" t="n">
        <x:f>U1601</x:f>
        <x:v>30723142.566814847</x:v>
      </x:c>
      <x:c r="I1602" s="78" t="n">
        <x:f>V1601</x:f>
        <x:v>367.9472484788782</x:v>
      </x:c>
      <x:c r="J1602" s="79" t="n">
        <x:f>IF(H1602&gt;0,I1602/H1602,0)</x:f>
        <x:v>0.000011976224361771866</x:v>
      </x:c>
      <x:c r="K1602" s="80" t="n">
        <x:f>(H1602*J1602+I1602)*'Inputs'!$D$48*(1+'Inputs'!$G$48)^(B1602/30)</x:f>
        <x:v>220.7683490873269</x:v>
      </x:c>
      <x:c r="L1602" s="80" t="n">
        <x:f>MAX(0,K1602*'Inputs'!$E$48)</x:f>
        <x:v>0</x:v>
      </x:c>
      <x:c r="M1602" s="80" t="n">
        <x:f>MAX(0,-K1602*'Inputs'!$E$48)</x:f>
        <x:v>0</x:v>
      </x:c>
      <x:c r="N1602" s="78" t="n">
        <x:f>H1602*(L1602*(1-'Inputs'!$B$15))/(I1602+L1602*(1-'Inputs'!$B$15))</x:f>
        <x:v>0</x:v>
      </x:c>
      <x:c r="O1602" s="78" t="n">
        <x:f>H1602-N1602</x:f>
        <x:v>30723142.566814847</x:v>
      </x:c>
      <x:c r="P1602" s="78" t="n">
        <x:f>I1602+L1602*(1-'Inputs'!$B$17)</x:f>
        <x:v>367.9472484788782</x:v>
      </x:c>
      <x:c r="Q1602" s="78" t="n">
        <x:f>IF(J1602&gt;0,M1602/J1602,0)</x:f>
        <x:v>0</x:v>
      </x:c>
      <x:c r="R1602" s="78" t="n">
        <x:f>IF(B1602='Inputs'!$H$48,'Inputs'!$B$27*'Inputs'!$I$48,0)</x:f>
        <x:v>0</x:v>
      </x:c>
      <x:c r="S1602" s="78" t="n">
        <x:f>Q1602+G1602+R1602</x:f>
        <x:v>228716.31051792012</x:v>
      </x:c>
      <x:c r="T1602" s="78" t="n">
        <x:f>P1602*(S1602*(1-'Inputs'!$B$15))/(O1602+S1602*(1-'Inputs'!$B$15))</x:f>
        <x:v>2.691926807104626</x:v>
      </x:c>
      <x:c r="U1602" s="78" t="n">
        <x:f>O1602+S1602*(1-'Inputs'!$B$17)</x:f>
        <x:v>30950938.48976529</x:v>
      </x:c>
      <x:c r="V1602" s="78" t="n">
        <x:f>P1602-T1602</x:f>
        <x:v>365.2553216717736</x:v>
      </x:c>
      <x:c r="W1602" s="79" t="n">
        <x:f>IF(U1602&gt;0,V1602/U1602,0)</x:f>
        <x:v>0.000011801106509017634</x:v>
      </x:c>
      <x:c r="X1602" s="80" t="n">
        <x:f>W1602*('Inputs'!$B$6-AC1602)</x:f>
        <x:v>11769.344674060352</x:v>
      </x:c>
      <x:c r="Y1602" s="80" t="n">
        <x:f>2*V1602</x:f>
        <x:v>730.5106433435471</x:v>
      </x:c>
      <x:c r="Z1602" s="80" t="n">
        <x:f>K1602*'Inputs'!$B$16+(G1602+R1602)*J1602*'Inputs'!$B$16</x:f>
        <x:v>1.3410450416237172</x:v>
      </x:c>
      <x:c r="AA1602" s="80" t="n">
        <x:f>K1602*(1+'Inputs'!$E$48)/2*'Inputs'!$B$17</x:f>
        <x:v>0.44420190963244854</x:v>
      </x:c>
      <x:c r="AB1602" s="78" t="n">
        <x:f>(IF(J1602&gt;0,K1602*(1-'Inputs'!$E$48)/2/J1602,0)+G1602+R1602)*'Inputs'!$B$17</x:f>
        <x:v>38010.70052540191</x:v>
      </x:c>
      <x:c r="AC1602" s="78" t="n">
        <x:f>AC1601+AB1602</x:f>
        <x:v>2691428.5480781575</x:v>
      </x:c>
      <x:c r="AD1602" s="80" t="n">
        <x:f>Z1602/(1+'Inputs'!$C$48)</x:f>
        <x:v>1.0728360332989737</x:v>
      </x:c>
      <x:c r="AE1602" s="80" t="n">
        <x:f>Z1602-AD1602</x:f>
        <x:v>0.2682090083247435</x:v>
      </x:c>
      <x:c r="AF1602" s="80" t="n">
        <x:f>D1602*W1602</x:f>
        <x:v>3.373222504674904</x:v>
      </x:c>
      <x:c r="AG1602" s="80" t="n">
        <x:f>C1602*W1602</x:f>
        <x:v>1.9677131277270419</x:v>
      </x:c>
      <x:c r="AH1602" s="80" t="n">
        <x:f>2*'Inputs'!$B$8*'Inputs'!$C$48</x:f>
        <x:v>1250</x:v>
      </x:c>
      <x:c r="AI1602" s="81" t="n">
        <x:f>IF(AH1602&gt;0,(AE1602+AF1602)/AH1602*365,0)</x:f>
        <x:v>1.063298001795897</x:v>
      </x:c>
      <x:c r="AJ1602" s="81" t="n">
        <x:f>IF('Inputs'!$B$48&gt;0,AG1602/('Inputs'!$B$19*'Inputs'!$B$48)*365,0)</x:f>
        <x:v>0.2872861166481481</x:v>
      </x:c>
      <x:c r="AK1602" s="81" t="n">
        <x:f>W1602/MAX($W$1464:W1602)-1</x:f>
        <x:v>-0.9861220980861474</x:v>
      </x:c>
      <x:c r="AL1602" s="83" t="n">
        <x:f>'Inputs'!$B$48</x:f>
        <x:v>0.25</x:v>
      </x:c>
      <x:c r="AM1602" s="83" t="n">
        <x:f>'Inputs'!$C$48</x:f>
        <x:v>0.25</x:v>
      </x:c>
      <x:c r="AN1602" s="83" t="n">
        <x:f>'Inputs'!$D$48</x:f>
        <x:v>0.3</x:v>
      </x:c>
      <x:c r="AO1602" s="81" t="n">
        <x:f>'Inputs'!$E$48</x:f>
        <x:v>0</x:v>
      </x:c>
    </x:row>
    <x:row r="1603">
      <x:c r="A1603" s="59" t="str">
        <x:v>Low participation</x:v>
      </x:c>
      <x:c r="B1603" s="59" t="n">
        <x:v>140</x:v>
      </x:c>
      <x:c r="C1603" s="78" t="n">
        <x:f>(('Inputs'!$B$29*(3*140*'Inputs'!$B$12-140^2)/(2*'Inputs'!$B$12^2))-('Inputs'!$B$29*(3*139*'Inputs'!$B$12-139^2)/(2*'Inputs'!$B$12^2)))*'Inputs'!$B$48</x:f>
        <x:v>166658.4373240769</x:v>
      </x:c>
      <x:c r="D1603" s="78" t="n">
        <x:f>IF('Inputs'!$C$48&gt;0,('Inputs'!$B$30*(3*140*'Inputs'!$B$12-140^2)/(2*'Inputs'!$B$12^2))-('Inputs'!$B$30*(3*139*'Inputs'!$B$12-139^2)/(2*'Inputs'!$B$12^2)),0)</x:f>
        <x:v>285700.1782698482</x:v>
      </x:c>
      <x:c r="E1603" s="78" t="n">
        <x:f>C1603+D1603</x:f>
        <x:v>452358.6155939251</x:v>
      </x:c>
      <x:c r="F1603" s="78" t="n">
        <x:f>'Inputs'!$B$13*E1603+(1-'Inputs'!$B$13)/'Inputs'!$B$14*SUM(E1548:E1603)</x:f>
        <x:v>457212.0121035852</x:v>
      </x:c>
      <x:c r="G1603" s="78" t="n">
        <x:f>F1603*'Inputs'!$F$48</x:f>
        <x:v>228606.0060517926</x:v>
      </x:c>
      <x:c r="H1603" s="78" t="n">
        <x:f>U1602</x:f>
        <x:v>30950938.48976529</x:v>
      </x:c>
      <x:c r="I1603" s="78" t="n">
        <x:f>V1602</x:f>
        <x:v>365.2553216717736</x:v>
      </x:c>
      <x:c r="J1603" s="79" t="n">
        <x:f>IF(H1603&gt;0,I1603/H1603,0)</x:f>
        <x:v>0.000011801106509017634</x:v>
      </x:c>
      <x:c r="K1603" s="80" t="n">
        <x:f>(H1603*J1603+I1603)*'Inputs'!$D$48*(1+'Inputs'!$G$48)^(B1603/30)</x:f>
        <x:v>219.15319300306413</x:v>
      </x:c>
      <x:c r="L1603" s="80" t="n">
        <x:f>MAX(0,K1603*'Inputs'!$E$48)</x:f>
        <x:v>0</x:v>
      </x:c>
      <x:c r="M1603" s="80" t="n">
        <x:f>MAX(0,-K1603*'Inputs'!$E$48)</x:f>
        <x:v>0</x:v>
      </x:c>
      <x:c r="N1603" s="78" t="n">
        <x:f>H1603*(L1603*(1-'Inputs'!$B$15))/(I1603+L1603*(1-'Inputs'!$B$15))</x:f>
        <x:v>0</x:v>
      </x:c>
      <x:c r="O1603" s="78" t="n">
        <x:f>H1603-N1603</x:f>
        <x:v>30950938.48976529</x:v>
      </x:c>
      <x:c r="P1603" s="78" t="n">
        <x:f>I1603+L1603*(1-'Inputs'!$B$17)</x:f>
        <x:v>365.2553216717736</x:v>
      </x:c>
      <x:c r="Q1603" s="78" t="n">
        <x:f>IF(J1603&gt;0,M1603/J1603,0)</x:f>
        <x:v>0</x:v>
      </x:c>
      <x:c r="R1603" s="78" t="n">
        <x:f>IF(B1603='Inputs'!$H$48,'Inputs'!$B$27*'Inputs'!$I$48,0)</x:f>
        <x:v>0</x:v>
      </x:c>
      <x:c r="S1603" s="78" t="n">
        <x:f>Q1603+G1603+R1603</x:f>
        <x:v>228606.0060517926</x:v>
      </x:c>
      <x:c r="T1603" s="78" t="n">
        <x:f>P1603*(S1603*(1-'Inputs'!$B$15))/(O1603+S1603*(1-'Inputs'!$B$15))</x:f>
        <x:v>2.651437901254818</x:v>
      </x:c>
      <x:c r="U1603" s="78" t="n">
        <x:f>O1603+S1603*(1-'Inputs'!$B$17)</x:f>
        <x:v>31178624.55213076</x:v>
      </x:c>
      <x:c r="V1603" s="78" t="n">
        <x:f>P1603-T1603</x:f>
        <x:v>362.60388377051873</x:v>
      </x:c>
      <x:c r="W1603" s="79" t="n">
        <x:f>IF(U1603&gt;0,V1603/U1603,0)</x:f>
        <x:v>0.000011629887109492078</x:v>
      </x:c>
      <x:c r="X1603" s="80" t="n">
        <x:f>W1603*('Inputs'!$B$6-AC1603)</x:f>
        <x:v>11598.140846042175</x:v>
      </x:c>
      <x:c r="Y1603" s="80" t="n">
        <x:f>2*V1603</x:f>
        <x:v>725.2077675410375</x:v>
      </x:c>
      <x:c r="Z1603" s="80" t="n">
        <x:f>K1603*'Inputs'!$B$16+(G1603+R1603)*J1603*'Inputs'!$B$16</x:f>
        <x:v>1.3311059809744947</x:v>
      </x:c>
      <x:c r="AA1603" s="80" t="n">
        <x:f>K1603*(1+'Inputs'!$E$48)/2*'Inputs'!$B$17</x:f>
        <x:v>0.4409520985977146</x:v>
      </x:c>
      <x:c r="AB1603" s="78" t="n">
        <x:f>(IF(J1603&gt;0,K1603*(1-'Inputs'!$E$48)/2/J1603,0)+G1603+R1603)*'Inputs'!$B$17</x:f>
        <x:v>38285.261782621244</x:v>
      </x:c>
      <x:c r="AC1603" s="78" t="n">
        <x:f>AC1602+AB1603</x:f>
        <x:v>2729713.8098607785</x:v>
      </x:c>
      <x:c r="AD1603" s="80" t="n">
        <x:f>Z1603/(1+'Inputs'!$C$48)</x:f>
        <x:v>1.0648847847795957</x:v>
      </x:c>
      <x:c r="AE1603" s="80" t="n">
        <x:f>Z1603-AD1603</x:f>
        <x:v>0.26622119619489903</x:v>
      </x:c>
      <x:c r="AF1603" s="80" t="n">
        <x:f>D1603*W1603</x:f>
        <x:v>3.3226608204400967</x:v>
      </x:c>
      <x:c r="AG1603" s="80" t="n">
        <x:f>C1603*W1603</x:f>
        <x:v>1.9382188119233752</x:v>
      </x:c>
      <x:c r="AH1603" s="80" t="n">
        <x:f>2*'Inputs'!$B$8*'Inputs'!$C$48</x:f>
        <x:v>1250</x:v>
      </x:c>
      <x:c r="AI1603" s="81" t="n">
        <x:f>IF(AH1603&gt;0,(AE1603+AF1603)/AH1603*365,0)</x:f>
        <x:v>1.0479535488574188</x:v>
      </x:c>
      <x:c r="AJ1603" s="81" t="n">
        <x:f>IF('Inputs'!$B$48&gt;0,AG1603/('Inputs'!$B$19*'Inputs'!$B$48)*365,0)</x:f>
        <x:v>0.28297994654081277</x:v>
      </x:c>
      <x:c r="AK1603" s="81" t="n">
        <x:f>W1603/MAX($W$1464:W1603)-1</x:f>
        <x:v>-0.9863234492078027</x:v>
      </x:c>
      <x:c r="AL1603" s="83" t="n">
        <x:f>'Inputs'!$B$48</x:f>
        <x:v>0.25</x:v>
      </x:c>
      <x:c r="AM1603" s="83" t="n">
        <x:f>'Inputs'!$C$48</x:f>
        <x:v>0.25</x:v>
      </x:c>
      <x:c r="AN1603" s="83" t="n">
        <x:f>'Inputs'!$D$48</x:f>
        <x:v>0.3</x:v>
      </x:c>
      <x:c r="AO1603" s="81" t="n">
        <x:f>'Inputs'!$E$48</x:f>
        <x:v>0</x:v>
      </x:c>
    </x:row>
    <x:row r="1604">
      <x:c r="A1604" s="59" t="str">
        <x:v>Low participation</x:v>
      </x:c>
      <x:c r="B1604" s="59" t="n">
        <x:v>141</x:v>
      </x:c>
      <x:c r="C1604" s="78" t="n">
        <x:f>(('Inputs'!$B$29*(3*141*'Inputs'!$B$12-141^2)/(2*'Inputs'!$B$12^2))-('Inputs'!$B$29*(3*140*'Inputs'!$B$12-140^2)/(2*'Inputs'!$B$12^2)))*'Inputs'!$B$48</x:f>
        <x:v>166577.16034903377</x:v>
      </x:c>
      <x:c r="D1604" s="78" t="n">
        <x:f>IF('Inputs'!$C$48&gt;0,('Inputs'!$B$30*(3*141*'Inputs'!$B$12-141^2)/(2*'Inputs'!$B$12^2))-('Inputs'!$B$30*(3*140*'Inputs'!$B$12-140^2)/(2*'Inputs'!$B$12^2)),0)</x:f>
        <x:v>285560.8463126272</x:v>
      </x:c>
      <x:c r="E1604" s="78" t="n">
        <x:f>C1604+D1604</x:f>
        <x:v>452138.00666166097</x:v>
      </x:c>
      <x:c r="F1604" s="78" t="n">
        <x:f>'Inputs'!$B$13*E1604+(1-'Inputs'!$B$13)/'Inputs'!$B$14*SUM(E1549:E1604)</x:f>
        <x:v>456991.4031713264</x:v>
      </x:c>
      <x:c r="G1604" s="78" t="n">
        <x:f>F1604*'Inputs'!$F$48</x:f>
        <x:v>228495.7015856632</x:v>
      </x:c>
      <x:c r="H1604" s="78" t="n">
        <x:f>U1603</x:f>
        <x:v>31178624.55213076</x:v>
      </x:c>
      <x:c r="I1604" s="78" t="n">
        <x:f>V1603</x:f>
        <x:v>362.60388377051873</x:v>
      </x:c>
      <x:c r="J1604" s="79" t="n">
        <x:f>IF(H1604&gt;0,I1604/H1604,0)</x:f>
        <x:v>0.000011629887109492078</x:v>
      </x:c>
      <x:c r="K1604" s="80" t="n">
        <x:f>(H1604*J1604+I1604)*'Inputs'!$D$48*(1+'Inputs'!$G$48)^(B1604/30)</x:f>
        <x:v>217.56233026231124</x:v>
      </x:c>
      <x:c r="L1604" s="80" t="n">
        <x:f>MAX(0,K1604*'Inputs'!$E$48)</x:f>
        <x:v>0</x:v>
      </x:c>
      <x:c r="M1604" s="80" t="n">
        <x:f>MAX(0,-K1604*'Inputs'!$E$48)</x:f>
        <x:v>0</x:v>
      </x:c>
      <x:c r="N1604" s="78" t="n">
        <x:f>H1604*(L1604*(1-'Inputs'!$B$15))/(I1604+L1604*(1-'Inputs'!$B$15))</x:f>
        <x:v>0</x:v>
      </x:c>
      <x:c r="O1604" s="78" t="n">
        <x:f>H1604-N1604</x:f>
        <x:v>31178624.55213076</x:v>
      </x:c>
      <x:c r="P1604" s="78" t="n">
        <x:f>I1604+L1604*(1-'Inputs'!$B$17)</x:f>
        <x:v>362.60388377051873</x:v>
      </x:c>
      <x:c r="Q1604" s="78" t="n">
        <x:f>IF(J1604&gt;0,M1604/J1604,0)</x:f>
        <x:v>0</x:v>
      </x:c>
      <x:c r="R1604" s="78" t="n">
        <x:f>IF(B1604='Inputs'!$H$48,'Inputs'!$B$27*'Inputs'!$I$48,0)</x:f>
        <x:v>0</x:v>
      </x:c>
      <x:c r="S1604" s="78" t="n">
        <x:f>Q1604+G1604+R1604</x:f>
        <x:v>228495.7015856632</x:v>
      </x:c>
      <x:c r="T1604" s="78" t="n">
        <x:f>P1604*(S1604*(1-'Inputs'!$B$15))/(O1604+S1604*(1-'Inputs'!$B$15))</x:f>
        <x:v>2.6118555870996807</x:v>
      </x:c>
      <x:c r="U1604" s="78" t="n">
        <x:f>O1604+S1604*(1-'Inputs'!$B$17)</x:f>
        <x:v>31406200.75391125</x:v>
      </x:c>
      <x:c r="V1604" s="78" t="n">
        <x:f>P1604-T1604</x:f>
        <x:v>359.99202818341905</x:v>
      </x:c>
      <x:c r="W1604" s="79" t="n">
        <x:f>IF(U1604&gt;0,V1604/U1604,0)</x:f>
        <x:v>0.000011462450711698598</x:v>
      </x:c>
      <x:c r="X1604" s="80" t="n">
        <x:f>W1604*('Inputs'!$B$6-AC1604)</x:f>
        <x:v>11430.719513145226</x:v>
      </x:c>
      <x:c r="Y1604" s="80" t="n">
        <x:f>2*V1604</x:f>
        <x:v>719.9840563668381</x:v>
      </x:c>
      <x:c r="Z1604" s="80" t="n">
        <x:f>K1604*'Inputs'!$B$16+(G1604+R1604)*J1604*'Inputs'!$B$16</x:f>
        <x:v>1.3213182568605402</x:v>
      </x:c>
      <x:c r="AA1604" s="80" t="n">
        <x:f>K1604*(1+'Inputs'!$E$48)/2*'Inputs'!$B$17</x:f>
        <x:v>0.4377511675298013</x:v>
      </x:c>
      <x:c r="AB1604" s="78" t="n">
        <x:f>(IF(J1604&gt;0,K1604*(1-'Inputs'!$E$48)/2/J1604,0)+G1604+R1604)*'Inputs'!$B$17</x:f>
        <x:v>38559.690411367774</x:v>
      </x:c>
      <x:c r="AC1604" s="78" t="n">
        <x:f>AC1603+AB1604</x:f>
        <x:v>2768273.5002721464</x:v>
      </x:c>
      <x:c r="AD1604" s="80" t="n">
        <x:f>Z1604/(1+'Inputs'!$C$48)</x:f>
        <x:v>1.0570546054884322</x:v>
      </x:c>
      <x:c r="AE1604" s="80" t="n">
        <x:f>Z1604-AD1604</x:f>
        <x:v>0.26426365137210794</x:v>
      </x:c>
      <x:c r="AF1604" s="80" t="n">
        <x:f>D1604*W1604</x:f>
        <x:v>3.2732271260494277</x:v>
      </x:c>
      <x:c r="AG1604" s="80" t="n">
        <x:f>C1604*W1604</x:f>
        <x:v>1.9093824901955136</x:v>
      </x:c>
      <x:c r="AH1604" s="80" t="n">
        <x:f>2*'Inputs'!$B$8*'Inputs'!$C$48</x:f>
        <x:v>1250</x:v>
      </x:c>
      <x:c r="AI1604" s="81" t="n">
        <x:f>IF(AH1604&gt;0,(AE1604+AF1604)/AH1604*365,0)</x:f>
        <x:v>1.0329473070070885</x:v>
      </x:c>
      <x:c r="AJ1604" s="81" t="n">
        <x:f>IF('Inputs'!$B$48&gt;0,AG1604/('Inputs'!$B$19*'Inputs'!$B$48)*365,0)</x:f>
        <x:v>0.27876984356854495</x:v>
      </x:c>
      <x:c r="AK1604" s="81" t="n">
        <x:f>W1604/MAX($W$1464:W1604)-1</x:f>
        <x:v>-0.9865203515833224</x:v>
      </x:c>
      <x:c r="AL1604" s="83" t="n">
        <x:f>'Inputs'!$B$48</x:f>
        <x:v>0.25</x:v>
      </x:c>
      <x:c r="AM1604" s="83" t="n">
        <x:f>'Inputs'!$C$48</x:f>
        <x:v>0.25</x:v>
      </x:c>
      <x:c r="AN1604" s="83" t="n">
        <x:f>'Inputs'!$D$48</x:f>
        <x:v>0.3</x:v>
      </x:c>
      <x:c r="AO1604" s="81" t="n">
        <x:f>'Inputs'!$E$48</x:f>
        <x:v>0</x:v>
      </x:c>
    </x:row>
    <x:row r="1605">
      <x:c r="A1605" s="59" t="str">
        <x:v>Low participation</x:v>
      </x:c>
      <x:c r="B1605" s="59" t="n">
        <x:v>142</x:v>
      </x:c>
      <x:c r="C1605" s="78" t="n">
        <x:f>(('Inputs'!$B$29*(3*142*'Inputs'!$B$12-142^2)/(2*'Inputs'!$B$12^2))-('Inputs'!$B$29*(3*141*'Inputs'!$B$12-141^2)/(2*'Inputs'!$B$12^2)))*'Inputs'!$B$48</x:f>
        <x:v>166495.88337399065</x:v>
      </x:c>
      <x:c r="D1605" s="78" t="n">
        <x:f>IF('Inputs'!$C$48&gt;0,('Inputs'!$B$30*(3*142*'Inputs'!$B$12-142^2)/(2*'Inputs'!$B$12^2))-('Inputs'!$B$30*(3*141*'Inputs'!$B$12-141^2)/(2*'Inputs'!$B$12^2)),0)</x:f>
        <x:v>285421.5143554136</x:v>
      </x:c>
      <x:c r="E1605" s="78" t="n">
        <x:f>C1605+D1605</x:f>
        <x:v>451917.39772940427</x:v>
      </x:c>
      <x:c r="F1605" s="78" t="n">
        <x:f>'Inputs'!$B$13*E1605+(1-'Inputs'!$B$13)/'Inputs'!$B$14*SUM(E1550:E1605)</x:f>
        <x:v>456770.7942390691</x:v>
      </x:c>
      <x:c r="G1605" s="78" t="n">
        <x:f>F1605*'Inputs'!$F$48</x:f>
        <x:v>228385.39711953455</x:v>
      </x:c>
      <x:c r="H1605" s="78" t="n">
        <x:f>U1604</x:f>
        <x:v>31406200.75391125</x:v>
      </x:c>
      <x:c r="I1605" s="78" t="n">
        <x:f>V1604</x:f>
        <x:v>359.99202818341905</x:v>
      </x:c>
      <x:c r="J1605" s="79" t="n">
        <x:f>IF(H1605&gt;0,I1605/H1605,0)</x:f>
        <x:v>0.000011462450711698598</x:v>
      </x:c>
      <x:c r="K1605" s="80" t="n">
        <x:f>(H1605*J1605+I1605)*'Inputs'!$D$48*(1+'Inputs'!$G$48)^(B1605/30)</x:f>
        <x:v>215.99521691005143</x:v>
      </x:c>
      <x:c r="L1605" s="80" t="n">
        <x:f>MAX(0,K1605*'Inputs'!$E$48)</x:f>
        <x:v>0</x:v>
      </x:c>
      <x:c r="M1605" s="80" t="n">
        <x:f>MAX(0,-K1605*'Inputs'!$E$48)</x:f>
        <x:v>0</x:v>
      </x:c>
      <x:c r="N1605" s="78" t="n">
        <x:f>H1605*(L1605*(1-'Inputs'!$B$15))/(I1605+L1605*(1-'Inputs'!$B$15))</x:f>
        <x:v>0</x:v>
      </x:c>
      <x:c r="O1605" s="78" t="n">
        <x:f>H1605-N1605</x:f>
        <x:v>31406200.75391125</x:v>
      </x:c>
      <x:c r="P1605" s="78" t="n">
        <x:f>I1605+L1605*(1-'Inputs'!$B$17)</x:f>
        <x:v>359.99202818341905</x:v>
      </x:c>
      <x:c r="Q1605" s="78" t="n">
        <x:f>IF(J1605&gt;0,M1605/J1605,0)</x:f>
        <x:v>0</x:v>
      </x:c>
      <x:c r="R1605" s="78" t="n">
        <x:f>IF(B1605='Inputs'!$H$48,'Inputs'!$B$27*'Inputs'!$I$48,0)</x:f>
        <x:v>0</x:v>
      </x:c>
      <x:c r="S1605" s="78" t="n">
        <x:f>Q1605+G1605+R1605</x:f>
        <x:v>228385.39711953455</x:v>
      </x:c>
      <x:c r="T1605" s="78" t="n">
        <x:f>P1605*(S1605*(1-'Inputs'!$B$15))/(O1605+S1605*(1-'Inputs'!$B$15))</x:f>
        <x:v>2.5731529854827415</x:v>
      </x:c>
      <x:c r="U1605" s="78" t="n">
        <x:f>O1605+S1605*(1-'Inputs'!$B$17)</x:f>
        <x:v>31633667.095106762</x:v>
      </x:c>
      <x:c r="V1605" s="78" t="n">
        <x:f>P1605-T1605</x:f>
        <x:v>357.4188751979363</x:v>
      </x:c>
      <x:c r="W1605" s="79" t="n">
        <x:f>IF(U1605&gt;0,V1605/U1605,0)</x:f>
        <x:v>0.000011298686115756193</x:v>
      </x:c>
      <x:c r="X1605" s="80" t="n">
        <x:f>W1605*('Inputs'!$B$6-AC1605)</x:f>
        <x:v>11266.969489370962</x:v>
      </x:c>
      <x:c r="Y1605" s="80" t="n">
        <x:f>2*V1605</x:f>
        <x:v>714.8377503958726</x:v>
      </x:c>
      <x:c r="Z1605" s="80" t="n">
        <x:f>K1605*'Inputs'!$B$16+(G1605+R1605)*J1605*'Inputs'!$B$16</x:f>
        <x:v>1.3116784396068348</x:v>
      </x:c>
      <x:c r="AA1605" s="80" t="n">
        <x:f>K1605*(1+'Inputs'!$E$48)/2*'Inputs'!$B$17</x:f>
        <x:v>0.4345980219518138</x:v>
      </x:c>
      <x:c r="AB1605" s="78" t="n">
        <x:f>(IF(J1605&gt;0,K1605*(1-'Inputs'!$E$48)/2/J1605,0)+G1605+R1605)*'Inputs'!$B$17</x:f>
        <x:v>38833.98641164149</x:v>
      </x:c>
      <x:c r="AC1605" s="78" t="n">
        <x:f>AC1604+AB1605</x:f>
        <x:v>2807107.486683788</x:v>
      </x:c>
      <x:c r="AD1605" s="80" t="n">
        <x:f>Z1605/(1+'Inputs'!$C$48)</x:f>
        <x:v>1.0493427516854679</x:v>
      </x:c>
      <x:c r="AE1605" s="80" t="n">
        <x:f>Z1605-AD1605</x:f>
        <x:v>0.26233568792136697</x:v>
      </x:c>
      <x:c r="AF1605" s="80" t="n">
        <x:f>D1605*W1605</x:f>
        <x:v>3.2248881013856185</x:v>
      </x:c>
      <x:c r="AG1605" s="80" t="n">
        <x:f>C1605*W1605</x:f>
        <x:v>1.8811847258082706</x:v>
      </x:c>
      <x:c r="AH1605" s="80" t="n">
        <x:f>2*'Inputs'!$B$8*'Inputs'!$C$48</x:f>
        <x:v>1250</x:v>
      </x:c>
      <x:c r="AI1605" s="81" t="n">
        <x:f>IF(AH1605&gt;0,(AE1605+AF1605)/AH1605*365,0)</x:f>
        <x:v>1.0182693464776398</x:v>
      </x:c>
      <x:c r="AJ1605" s="81" t="n">
        <x:f>IF('Inputs'!$B$48&gt;0,AG1605/('Inputs'!$B$19*'Inputs'!$B$48)*365,0)</x:f>
        <x:v>0.27465296996800753</x:v>
      </x:c>
      <x:c r="AK1605" s="81" t="n">
        <x:f>W1605/MAX($W$1464:W1605)-1</x:f>
        <x:v>-0.9867129359818883</x:v>
      </x:c>
      <x:c r="AL1605" s="83" t="n">
        <x:f>'Inputs'!$B$48</x:f>
        <x:v>0.25</x:v>
      </x:c>
      <x:c r="AM1605" s="83" t="n">
        <x:f>'Inputs'!$C$48</x:f>
        <x:v>0.25</x:v>
      </x:c>
      <x:c r="AN1605" s="83" t="n">
        <x:f>'Inputs'!$D$48</x:f>
        <x:v>0.3</x:v>
      </x:c>
      <x:c r="AO1605" s="81" t="n">
        <x:f>'Inputs'!$E$48</x:f>
        <x:v>0</x:v>
      </x:c>
    </x:row>
    <x:row r="1606">
      <x:c r="A1606" s="59" t="str">
        <x:v>Low participation</x:v>
      </x:c>
      <x:c r="B1606" s="59" t="n">
        <x:v>143</x:v>
      </x:c>
      <x:c r="C1606" s="78" t="n">
        <x:f>(('Inputs'!$B$29*(3*143*'Inputs'!$B$12-143^2)/(2*'Inputs'!$B$12^2))-('Inputs'!$B$29*(3*142*'Inputs'!$B$12-142^2)/(2*'Inputs'!$B$12^2)))*'Inputs'!$B$48</x:f>
        <x:v>166414.60639894754</x:v>
      </x:c>
      <x:c r="D1606" s="78" t="n">
        <x:f>IF('Inputs'!$C$48&gt;0,('Inputs'!$B$30*(3*143*'Inputs'!$B$12-143^2)/(2*'Inputs'!$B$12^2))-('Inputs'!$B$30*(3*142*'Inputs'!$B$12-142^2)/(2*'Inputs'!$B$12^2)),0)</x:f>
        <x:v>285282.18239820004</x:v>
      </x:c>
      <x:c r="E1606" s="78" t="n">
        <x:f>C1606+D1606</x:f>
        <x:v>451696.7887971476</x:v>
      </x:c>
      <x:c r="F1606" s="78" t="n">
        <x:f>'Inputs'!$B$13*E1606+(1-'Inputs'!$B$13)/'Inputs'!$B$14*SUM(E1551:E1606)</x:f>
        <x:v>456550.1853068117</x:v>
      </x:c>
      <x:c r="G1606" s="78" t="n">
        <x:f>F1606*'Inputs'!$F$48</x:f>
        <x:v>228275.09265340585</x:v>
      </x:c>
      <x:c r="H1606" s="78" t="n">
        <x:f>U1605</x:f>
        <x:v>31633667.095106762</x:v>
      </x:c>
      <x:c r="I1606" s="78" t="n">
        <x:f>V1605</x:f>
        <x:v>357.4188751979363</x:v>
      </x:c>
      <x:c r="J1606" s="79" t="n">
        <x:f>IF(H1606&gt;0,I1606/H1606,0)</x:f>
        <x:v>0.000011298686115756193</x:v>
      </x:c>
      <x:c r="K1606" s="80" t="n">
        <x:f>(H1606*J1606+I1606)*'Inputs'!$D$48*(1+'Inputs'!$G$48)^(B1606/30)</x:f>
        <x:v>214.4513251187618</x:v>
      </x:c>
      <x:c r="L1606" s="80" t="n">
        <x:f>MAX(0,K1606*'Inputs'!$E$48)</x:f>
        <x:v>0</x:v>
      </x:c>
      <x:c r="M1606" s="80" t="n">
        <x:f>MAX(0,-K1606*'Inputs'!$E$48)</x:f>
        <x:v>0</x:v>
      </x:c>
      <x:c r="N1606" s="78" t="n">
        <x:f>H1606*(L1606*(1-'Inputs'!$B$15))/(I1606+L1606*(1-'Inputs'!$B$15))</x:f>
        <x:v>0</x:v>
      </x:c>
      <x:c r="O1606" s="78" t="n">
        <x:f>H1606-N1606</x:f>
        <x:v>31633667.095106762</x:v>
      </x:c>
      <x:c r="P1606" s="78" t="n">
        <x:f>I1606+L1606*(1-'Inputs'!$B$17)</x:f>
        <x:v>357.4188751979363</x:v>
      </x:c>
      <x:c r="Q1606" s="78" t="n">
        <x:f>IF(J1606&gt;0,M1606/J1606,0)</x:f>
        <x:v>0</x:v>
      </x:c>
      <x:c r="R1606" s="78" t="n">
        <x:f>IF(B1606='Inputs'!$H$48,'Inputs'!$B$27*'Inputs'!$I$48,0)</x:f>
        <x:v>0</x:v>
      </x:c>
      <x:c r="S1606" s="78" t="n">
        <x:f>Q1606+G1606+R1606</x:f>
        <x:v>228275.09265340585</x:v>
      </x:c>
      <x:c r="T1606" s="78" t="n">
        <x:f>P1606*(S1606*(1-'Inputs'!$B$15))/(O1606+S1606*(1-'Inputs'!$B$15))</x:f>
        <x:v>2.5353042063588944</x:v>
      </x:c>
      <x:c r="U1606" s="78" t="n">
        <x:f>O1606+S1606*(1-'Inputs'!$B$17)</x:f>
        <x:v>31861023.575717296</x:v>
      </x:c>
      <x:c r="V1606" s="78" t="n">
        <x:f>P1606-T1606</x:f>
        <x:v>354.8835709915774</x:v>
      </x:c>
      <x:c r="W1606" s="79" t="n">
        <x:f>IF(U1606&gt;0,V1606/U1606,0)</x:f>
        <x:v>0.000011138486186678886</x:v>
      </x:c>
      <x:c r="X1606" s="80" t="n">
        <x:f>W1606*('Inputs'!$B$6-AC1606)</x:f>
        <x:v>11106.783653127786</x:v>
      </x:c>
      <x:c r="Y1606" s="80" t="n">
        <x:f>2*V1606</x:f>
        <x:v>709.7671419831548</x:v>
      </x:c>
      <x:c r="Z1606" s="80" t="n">
        <x:f>K1606*'Inputs'!$B$16+(G1606+R1606)*J1606*'Inputs'!$B$16</x:f>
        <x:v>1.3021832024321867</x:v>
      </x:c>
      <x:c r="AA1606" s="80" t="n">
        <x:f>K1606*(1+'Inputs'!$E$48)/2*'Inputs'!$B$17</x:f>
        <x:v>0.4314915998365429</x:v>
      </x:c>
      <x:c r="AB1606" s="78" t="n">
        <x:f>(IF(J1606&gt;0,K1606*(1-'Inputs'!$E$48)/2/J1606,0)+G1606+R1606)*'Inputs'!$B$17</x:f>
        <x:v>39108.14978344239</x:v>
      </x:c>
      <x:c r="AC1606" s="78" t="n">
        <x:f>AC1605+AB1606</x:f>
        <x:v>2846215.63646723</x:v>
      </x:c>
      <x:c r="AD1606" s="80" t="n">
        <x:f>Z1606/(1+'Inputs'!$C$48)</x:f>
        <x:v>1.0417465619457493</x:v>
      </x:c>
      <x:c r="AE1606" s="80" t="n">
        <x:f>Z1606-AD1606</x:f>
        <x:v>0.26043664048643733</x:v>
      </x:c>
      <x:c r="AF1606" s="80" t="n">
        <x:f>D1606*W1606</x:f>
        <x:v>3.1776116479479573</x:v>
      </x:c>
      <x:c r="AG1606" s="80" t="n">
        <x:f>C1606*W1606</x:f>
        <x:v>1.8536067946362809</x:v>
      </x:c>
      <x:c r="AH1606" s="80" t="n">
        <x:f>2*'Inputs'!$B$8*'Inputs'!$C$48</x:f>
        <x:v>1250</x:v>
      </x:c>
      <x:c r="AI1606" s="81" t="n">
        <x:f>IF(AH1606&gt;0,(AE1606+AF1606)/AH1606*365,0)</x:f>
        <x:v>1.0039101002228432</x:v>
      </x:c>
      <x:c r="AJ1606" s="81" t="n">
        <x:f>IF('Inputs'!$B$48&gt;0,AG1606/('Inputs'!$B$19*'Inputs'!$B$48)*365,0)</x:f>
        <x:v>0.270626592016897</x:v>
      </x:c>
      <x:c r="AK1606" s="81" t="n">
        <x:f>W1606/MAX($W$1464:W1606)-1</x:f>
        <x:v>-0.9869013283924339</x:v>
      </x:c>
      <x:c r="AL1606" s="83" t="n">
        <x:f>'Inputs'!$B$48</x:f>
        <x:v>0.25</x:v>
      </x:c>
      <x:c r="AM1606" s="83" t="n">
        <x:f>'Inputs'!$C$48</x:f>
        <x:v>0.25</x:v>
      </x:c>
      <x:c r="AN1606" s="83" t="n">
        <x:f>'Inputs'!$D$48</x:f>
        <x:v>0.3</x:v>
      </x:c>
      <x:c r="AO1606" s="81" t="n">
        <x:f>'Inputs'!$E$48</x:f>
        <x:v>0</x:v>
      </x:c>
    </x:row>
    <x:row r="1607">
      <x:c r="A1607" s="59" t="str">
        <x:v>Low participation</x:v>
      </x:c>
      <x:c r="B1607" s="59" t="n">
        <x:v>144</x:v>
      </x:c>
      <x:c r="C1607" s="78" t="n">
        <x:f>(('Inputs'!$B$29*(3*144*'Inputs'!$B$12-144^2)/(2*'Inputs'!$B$12^2))-('Inputs'!$B$29*(3*143*'Inputs'!$B$12-143^2)/(2*'Inputs'!$B$12^2)))*'Inputs'!$B$48</x:f>
        <x:v>166333.32942390814</x:v>
      </x:c>
      <x:c r="D1607" s="78" t="n">
        <x:f>IF('Inputs'!$C$48&gt;0,('Inputs'!$B$30*(3*144*'Inputs'!$B$12-144^2)/(2*'Inputs'!$B$12^2))-('Inputs'!$B$30*(3*143*'Inputs'!$B$12-143^2)/(2*'Inputs'!$B$12^2)),0)</x:f>
        <x:v>285142.85044098645</x:v>
      </x:c>
      <x:c r="E1607" s="78" t="n">
        <x:f>C1607+D1607</x:f>
        <x:v>451476.1798648946</x:v>
      </x:c>
      <x:c r="F1607" s="78" t="n">
        <x:f>'Inputs'!$B$13*E1607+(1-'Inputs'!$B$13)/'Inputs'!$B$14*SUM(E1552:E1607)</x:f>
        <x:v>456329.5763745553</x:v>
      </x:c>
      <x:c r="G1607" s="78" t="n">
        <x:f>F1607*'Inputs'!$F$48</x:f>
        <x:v>228164.78818727765</x:v>
      </x:c>
      <x:c r="H1607" s="78" t="n">
        <x:f>U1606</x:f>
        <x:v>31861023.575717296</x:v>
      </x:c>
      <x:c r="I1607" s="78" t="n">
        <x:f>V1606</x:f>
        <x:v>354.8835709915774</x:v>
      </x:c>
      <x:c r="J1607" s="79" t="n">
        <x:f>IF(H1607&gt;0,I1607/H1607,0)</x:f>
        <x:v>0.000011138486186678886</x:v>
      </x:c>
      <x:c r="K1607" s="80" t="n">
        <x:f>(H1607*J1607+I1607)*'Inputs'!$D$48*(1+'Inputs'!$G$48)^(B1607/30)</x:f>
        <x:v>212.93014259494643</x:v>
      </x:c>
      <x:c r="L1607" s="80" t="n">
        <x:f>MAX(0,K1607*'Inputs'!$E$48)</x:f>
        <x:v>0</x:v>
      </x:c>
      <x:c r="M1607" s="80" t="n">
        <x:f>MAX(0,-K1607*'Inputs'!$E$48)</x:f>
        <x:v>0</x:v>
      </x:c>
      <x:c r="N1607" s="78" t="n">
        <x:f>H1607*(L1607*(1-'Inputs'!$B$15))/(I1607+L1607*(1-'Inputs'!$B$15))</x:f>
        <x:v>0</x:v>
      </x:c>
      <x:c r="O1607" s="78" t="n">
        <x:f>H1607-N1607</x:f>
        <x:v>31861023.575717296</x:v>
      </x:c>
      <x:c r="P1607" s="78" t="n">
        <x:f>I1607+L1607*(1-'Inputs'!$B$17)</x:f>
        <x:v>354.8835709915774</x:v>
      </x:c>
      <x:c r="Q1607" s="78" t="n">
        <x:f>IF(J1607&gt;0,M1607/J1607,0)</x:f>
        <x:v>0</x:v>
      </x:c>
      <x:c r="R1607" s="78" t="n">
        <x:f>IF(B1607='Inputs'!$H$48,'Inputs'!$B$27*'Inputs'!$I$48,0)</x:f>
        <x:v>0</x:v>
      </x:c>
      <x:c r="S1607" s="78" t="n">
        <x:f>Q1607+G1607+R1607</x:f>
        <x:v>228164.78818727765</x:v>
      </x:c>
      <x:c r="T1607" s="78" t="n">
        <x:f>P1607*(S1607*(1-'Inputs'!$B$15))/(O1607+S1607*(1-'Inputs'!$B$15))</x:f>
        <x:v>2.4982843054280557</x:v>
      </x:c>
      <x:c r="U1607" s="78" t="n">
        <x:f>O1607+S1607*(1-'Inputs'!$B$17)</x:f>
        <x:v>32088270.195742853</x:v>
      </x:c>
      <x:c r="V1607" s="78" t="n">
        <x:f>P1607-T1607</x:f>
        <x:v>352.38528668614936</x:v>
      </x:c>
      <x:c r="W1607" s="79" t="n">
        <x:f>IF(U1607&gt;0,V1607/U1607,0)</x:f>
        <x:v>0.000010981747677158998</x:v>
      </x:c>
      <x:c r="X1607" s="80" t="n">
        <x:f>W1607*('Inputs'!$B$6-AC1607)</x:f>
        <x:v>10950.05877003501</x:v>
      </x:c>
      <x:c r="Y1607" s="80" t="n">
        <x:f>2*V1607</x:f>
        <x:v>704.7705733722987</x:v>
      </x:c>
      <x:c r="Z1607" s="80" t="n">
        <x:f>K1607*'Inputs'!$B$16+(G1607+R1607)*J1607*'Inputs'!$B$16</x:f>
        <x:v>1.2928293176187415</x:v>
      </x:c>
      <x:c r="AA1607" s="80" t="n">
        <x:f>K1607*(1+'Inputs'!$E$48)/2*'Inputs'!$B$17</x:f>
        <x:v>0.4284308704123671</x:v>
      </x:c>
      <x:c r="AB1607" s="78" t="n">
        <x:f>(IF(J1607&gt;0,K1607*(1-'Inputs'!$E$48)/2/J1607,0)+G1607+R1607)*'Inputs'!$B$17</x:f>
        <x:v>39382.18052677049</x:v>
      </x:c>
      <x:c r="AC1607" s="78" t="n">
        <x:f>AC1606+AB1607</x:f>
        <x:v>2885597.8169940007</x:v>
      </x:c>
      <x:c r="AD1607" s="80" t="n">
        <x:f>Z1607/(1+'Inputs'!$C$48)</x:f>
        <x:v>1.0342634540949933</x:v>
      </x:c>
      <x:c r="AE1607" s="80" t="n">
        <x:f>Z1607-AD1607</x:f>
        <x:v>0.2585658635237482</x:v>
      </x:c>
      <x:c r="AF1607" s="80" t="n">
        <x:f>D1607*W1607</x:f>
        <x:v>3.1313668354887985</x:v>
      </x:c>
      <x:c r="AG1607" s="80" t="n">
        <x:f>C1607*W1607</x:f>
        <x:v>1.8266306540351256</x:v>
      </x:c>
      <x:c r="AH1607" s="80" t="n">
        <x:f>2*'Inputs'!$B$8*'Inputs'!$C$48</x:f>
        <x:v>1250</x:v>
      </x:c>
      <x:c r="AI1607" s="81" t="n">
        <x:f>IF(AH1607&gt;0,(AE1607+AF1607)/AH1607*365,0)</x:f>
        <x:v>0.9898603481116636</x:v>
      </x:c>
      <x:c r="AJ1607" s="81" t="n">
        <x:f>IF('Inputs'!$B$48&gt;0,AG1607/('Inputs'!$B$19*'Inputs'!$B$48)*365,0)</x:f>
        <x:v>0.2666880754891283</x:v>
      </x:c>
      <x:c r="AK1607" s="81" t="n">
        <x:f>W1607/MAX($W$1464:W1607)-1</x:f>
        <x:v>-0.9870856502320494</x:v>
      </x:c>
      <x:c r="AL1607" s="83" t="n">
        <x:f>'Inputs'!$B$48</x:f>
        <x:v>0.25</x:v>
      </x:c>
      <x:c r="AM1607" s="83" t="n">
        <x:f>'Inputs'!$C$48</x:f>
        <x:v>0.25</x:v>
      </x:c>
      <x:c r="AN1607" s="83" t="n">
        <x:f>'Inputs'!$D$48</x:f>
        <x:v>0.3</x:v>
      </x:c>
      <x:c r="AO1607" s="81" t="n">
        <x:f>'Inputs'!$E$48</x:f>
        <x:v>0</x:v>
      </x:c>
    </x:row>
    <x:row r="1608">
      <x:c r="A1608" s="59" t="str">
        <x:v>Low participation</x:v>
      </x:c>
      <x:c r="B1608" s="59" t="n">
        <x:v>145</x:v>
      </x:c>
      <x:c r="C1608" s="78" t="n">
        <x:f>(('Inputs'!$B$29*(3*145*'Inputs'!$B$12-145^2)/(2*'Inputs'!$B$12^2))-('Inputs'!$B$29*(3*144*'Inputs'!$B$12-144^2)/(2*'Inputs'!$B$12^2)))*'Inputs'!$B$48</x:f>
        <x:v>166252.05244886503</x:v>
      </x:c>
      <x:c r="D1608" s="78" t="n">
        <x:f>IF('Inputs'!$C$48&gt;0,('Inputs'!$B$30*(3*145*'Inputs'!$B$12-145^2)/(2*'Inputs'!$B$12^2))-('Inputs'!$B$30*(3*144*'Inputs'!$B$12-144^2)/(2*'Inputs'!$B$12^2)),0)</x:f>
        <x:v>285003.5184837654</x:v>
      </x:c>
      <x:c r="E1608" s="78" t="n">
        <x:f>C1608+D1608</x:f>
        <x:v>451255.57093263045</x:v>
      </x:c>
      <x:c r="F1608" s="78" t="n">
        <x:f>'Inputs'!$B$13*E1608+(1-'Inputs'!$B$13)/'Inputs'!$B$14*SUM(E1553:E1608)</x:f>
        <x:v>456108.9674422965</x:v>
      </x:c>
      <x:c r="G1608" s="78" t="n">
        <x:f>F1608*'Inputs'!$F$48</x:f>
        <x:v>228054.48372114825</x:v>
      </x:c>
      <x:c r="H1608" s="78" t="n">
        <x:f>U1607</x:f>
        <x:v>32088270.195742853</x:v>
      </x:c>
      <x:c r="I1608" s="78" t="n">
        <x:f>V1607</x:f>
        <x:v>352.38528668614936</x:v>
      </x:c>
      <x:c r="J1608" s="79" t="n">
        <x:f>IF(H1608&gt;0,I1608/H1608,0)</x:f>
        <x:v>0.000010981747677158998</x:v>
      </x:c>
      <x:c r="K1608" s="80" t="n">
        <x:f>(H1608*J1608+I1608)*'Inputs'!$D$48*(1+'Inputs'!$G$48)^(B1608/30)</x:f>
        <x:v>211.4311720116896</x:v>
      </x:c>
      <x:c r="L1608" s="80" t="n">
        <x:f>MAX(0,K1608*'Inputs'!$E$48)</x:f>
        <x:v>0</x:v>
      </x:c>
      <x:c r="M1608" s="80" t="n">
        <x:f>MAX(0,-K1608*'Inputs'!$E$48)</x:f>
        <x:v>0</x:v>
      </x:c>
      <x:c r="N1608" s="78" t="n">
        <x:f>H1608*(L1608*(1-'Inputs'!$B$15))/(I1608+L1608*(1-'Inputs'!$B$15))</x:f>
        <x:v>0</x:v>
      </x:c>
      <x:c r="O1608" s="78" t="n">
        <x:f>H1608-N1608</x:f>
        <x:v>32088270.195742853</x:v>
      </x:c>
      <x:c r="P1608" s="78" t="n">
        <x:f>I1608+L1608*(1-'Inputs'!$B$17)</x:f>
        <x:v>352.38528668614936</x:v>
      </x:c>
      <x:c r="Q1608" s="78" t="n">
        <x:f>IF(J1608&gt;0,M1608/J1608,0)</x:f>
        <x:v>0</x:v>
      </x:c>
      <x:c r="R1608" s="78" t="n">
        <x:f>IF(B1608='Inputs'!$H$48,'Inputs'!$B$27*'Inputs'!$I$48,0)</x:f>
        <x:v>0</x:v>
      </x:c>
      <x:c r="S1608" s="78" t="n">
        <x:f>Q1608+G1608+R1608</x:f>
        <x:v>228054.48372114825</x:v>
      </x:c>
      <x:c r="T1608" s="78" t="n">
        <x:f>P1608*(S1608*(1-'Inputs'!$B$15))/(O1608+S1608*(1-'Inputs'!$B$15))</x:f>
        <x:v>2.4620692429711597</x:v>
      </x:c>
      <x:c r="U1608" s="78" t="n">
        <x:f>O1608+S1608*(1-'Inputs'!$B$17)</x:f>
        <x:v>32315406.95518343</x:v>
      </x:c>
      <x:c r="V1608" s="78" t="n">
        <x:f>P1608-T1608</x:f>
        <x:v>349.9232174431782</x:v>
      </x:c>
      <x:c r="W1608" s="79" t="n">
        <x:f>IF(U1608&gt;0,V1608/U1608,0)</x:f>
        <x:v>0.000010828371059305198</x:v>
      </x:c>
      <x:c r="X1608" s="80" t="n">
        <x:f>W1608*('Inputs'!$B$6-AC1608)</x:f>
        <x:v>10796.695324680579</x:v>
      </x:c>
      <x:c r="Y1608" s="80" t="n">
        <x:f>2*V1608</x:f>
        <x:v>699.8464348863564</x:v>
      </x:c>
      <x:c r="Z1608" s="80" t="n">
        <x:f>K1608*'Inputs'!$B$16+(G1608+R1608)*J1608*'Inputs'!$B$16</x:f>
        <x:v>1.28361365285136</x:v>
      </x:c>
      <x:c r="AA1608" s="80" t="n">
        <x:f>K1608*(1+'Inputs'!$E$48)/2*'Inputs'!$B$17</x:f>
        <x:v>0.4254148330215083</x:v>
      </x:c>
      <x:c r="AB1608" s="78" t="n">
        <x:f>(IF(J1608&gt;0,K1608*(1-'Inputs'!$E$48)/2/J1608,0)+G1608+R1608)*'Inputs'!$B$17</x:f>
        <x:v>39656.078641625776</x:v>
      </x:c>
      <x:c r="AC1608" s="78" t="n">
        <x:f>AC1607+AB1608</x:f>
        <x:v>2925253.8956356263</x:v>
      </x:c>
      <x:c r="AD1608" s="80" t="n">
        <x:f>Z1608/(1+'Inputs'!$C$48)</x:f>
        <x:v>1.026890922281088</x:v>
      </x:c>
      <x:c r="AE1608" s="80" t="n">
        <x:f>Z1608-AD1608</x:f>
        <x:v>0.25672273057027195</x:v>
      </x:c>
      <x:c r="AF1608" s="80" t="n">
        <x:f>D1608*W1608</x:f>
        <x:v>3.0861238513497598</x:v>
      </x:c>
      <x:c r="AG1608" s="80" t="n">
        <x:f>C1608*W1608</x:f>
        <x:v>1.80023891328738</x:v>
      </x:c>
      <x:c r="AH1608" s="80" t="n">
        <x:f>2*'Inputs'!$B$8*'Inputs'!$C$48</x:f>
        <x:v>1250</x:v>
      </x:c>
      <x:c r="AI1608" s="81" t="n">
        <x:f>IF(AH1608&gt;0,(AE1608+AF1608)/AH1608*365,0)</x:f>
        <x:v>0.9761112019206494</x:v>
      </x:c>
      <x:c r="AJ1608" s="81" t="n">
        <x:f>IF('Inputs'!$B$48&gt;0,AG1608/('Inputs'!$B$19*'Inputs'!$B$48)*365,0)</x:f>
        <x:v>0.26283488133995747</x:v>
      </x:c>
      <x:c r="AK1608" s="81" t="n">
        <x:f>W1608/MAX($W$1464:W1608)-1</x:f>
        <x:v>-0.9872660185438537</x:v>
      </x:c>
      <x:c r="AL1608" s="83" t="n">
        <x:f>'Inputs'!$B$48</x:f>
        <x:v>0.25</x:v>
      </x:c>
      <x:c r="AM1608" s="83" t="n">
        <x:f>'Inputs'!$C$48</x:f>
        <x:v>0.25</x:v>
      </x:c>
      <x:c r="AN1608" s="83" t="n">
        <x:f>'Inputs'!$D$48</x:f>
        <x:v>0.3</x:v>
      </x:c>
      <x:c r="AO1608" s="81" t="n">
        <x:f>'Inputs'!$E$48</x:f>
        <x:v>0</x:v>
      </x:c>
    </x:row>
    <x:row r="1609">
      <x:c r="A1609" s="59" t="str">
        <x:v>Low participation</x:v>
      </x:c>
      <x:c r="B1609" s="59" t="n">
        <x:v>146</x:v>
      </x:c>
      <x:c r="C1609" s="78" t="n">
        <x:f>(('Inputs'!$B$29*(3*146*'Inputs'!$B$12-146^2)/(2*'Inputs'!$B$12^2))-('Inputs'!$B$29*(3*145*'Inputs'!$B$12-145^2)/(2*'Inputs'!$B$12^2)))*'Inputs'!$B$48</x:f>
        <x:v>166170.7754738219</x:v>
      </x:c>
      <x:c r="D1609" s="78" t="n">
        <x:f>IF('Inputs'!$C$48&gt;0,('Inputs'!$B$30*(3*146*'Inputs'!$B$12-146^2)/(2*'Inputs'!$B$12^2))-('Inputs'!$B$30*(3*145*'Inputs'!$B$12-145^2)/(2*'Inputs'!$B$12^2)),0)</x:f>
        <x:v>284864.18652655184</x:v>
      </x:c>
      <x:c r="E1609" s="78" t="n">
        <x:f>C1609+D1609</x:f>
        <x:v>451034.96200037375</x:v>
      </x:c>
      <x:c r="F1609" s="78" t="n">
        <x:f>'Inputs'!$B$13*E1609+(1-'Inputs'!$B$13)/'Inputs'!$B$14*SUM(E1554:E1609)</x:f>
        <x:v>455888.35851003916</x:v>
      </x:c>
      <x:c r="G1609" s="78" t="n">
        <x:f>F1609*'Inputs'!$F$48</x:f>
        <x:v>227944.17925501958</x:v>
      </x:c>
      <x:c r="H1609" s="78" t="n">
        <x:f>U1608</x:f>
        <x:v>32315406.95518343</x:v>
      </x:c>
      <x:c r="I1609" s="78" t="n">
        <x:f>V1608</x:f>
        <x:v>349.9232174431782</x:v>
      </x:c>
      <x:c r="J1609" s="79" t="n">
        <x:f>IF(H1609&gt;0,I1609/H1609,0)</x:f>
        <x:v>0.000010828371059305198</x:v>
      </x:c>
      <x:c r="K1609" s="80" t="n">
        <x:f>(H1609*J1609+I1609)*'Inputs'!$D$48*(1+'Inputs'!$G$48)^(B1609/30)</x:f>
        <x:v>209.95393046590692</x:v>
      </x:c>
      <x:c r="L1609" s="80" t="n">
        <x:f>MAX(0,K1609*'Inputs'!$E$48)</x:f>
        <x:v>0</x:v>
      </x:c>
      <x:c r="M1609" s="80" t="n">
        <x:f>MAX(0,-K1609*'Inputs'!$E$48)</x:f>
        <x:v>0</x:v>
      </x:c>
      <x:c r="N1609" s="78" t="n">
        <x:f>H1609*(L1609*(1-'Inputs'!$B$15))/(I1609+L1609*(1-'Inputs'!$B$15))</x:f>
        <x:v>0</x:v>
      </x:c>
      <x:c r="O1609" s="78" t="n">
        <x:f>H1609-N1609</x:f>
        <x:v>32315406.95518343</x:v>
      </x:c>
      <x:c r="P1609" s="78" t="n">
        <x:f>I1609+L1609*(1-'Inputs'!$B$17)</x:f>
        <x:v>349.9232174431782</x:v>
      </x:c>
      <x:c r="Q1609" s="78" t="n">
        <x:f>IF(J1609&gt;0,M1609/J1609,0)</x:f>
        <x:v>0</x:v>
      </x:c>
      <x:c r="R1609" s="78" t="n">
        <x:f>IF(B1609='Inputs'!$H$48,'Inputs'!$B$27*'Inputs'!$I$48,0)</x:f>
        <x:v>0</x:v>
      </x:c>
      <x:c r="S1609" s="78" t="n">
        <x:f>Q1609+G1609+R1609</x:f>
        <x:v>227944.17925501958</x:v>
      </x:c>
      <x:c r="T1609" s="78" t="n">
        <x:f>P1609*(S1609*(1-'Inputs'!$B$15))/(O1609+S1609*(1-'Inputs'!$B$15))</x:f>
        <x:v>2.426635844761779</x:v>
      </x:c>
      <x:c r="U1609" s="78" t="n">
        <x:f>O1609+S1609*(1-'Inputs'!$B$17)</x:f>
        <x:v>32542433.854039036</x:v>
      </x:c>
      <x:c r="V1609" s="78" t="n">
        <x:f>P1609-T1609</x:f>
        <x:v>347.4965815984164</x:v>
      </x:c>
      <x:c r="W1609" s="79" t="n">
        <x:f>IF(U1609&gt;0,V1609/U1609,0)</x:f>
        <x:v>0.000010678260364821684</x:v>
      </x:c>
      <x:c r="X1609" s="80" t="n">
        <x:f>W1609*('Inputs'!$B$6-AC1609)</x:f>
        <x:v>10646.597360818952</x:v>
      </x:c>
      <x:c r="Y1609" s="80" t="n">
        <x:f>2*V1609</x:f>
        <x:v>694.9931631968328</x:v>
      </x:c>
      <x:c r="Z1609" s="80" t="n">
        <x:f>K1609*'Inputs'!$B$16+(G1609+R1609)*J1609*'Inputs'!$B$16</x:f>
        <x:v>1.2745331677181344</x:v>
      </x:c>
      <x:c r="AA1609" s="80" t="n">
        <x:f>K1609*(1+'Inputs'!$E$48)/2*'Inputs'!$B$17</x:f>
        <x:v>0.4224425160279818</x:v>
      </x:c>
      <x:c r="AB1609" s="78" t="n">
        <x:f>(IF(J1609&gt;0,K1609*(1-'Inputs'!$E$48)/2/J1609,0)+G1609+R1609)*'Inputs'!$B$17</x:f>
        <x:v>39929.844128008255</x:v>
      </x:c>
      <x:c r="AC1609" s="78" t="n">
        <x:f>AC1608+AB1609</x:f>
        <x:v>2965183.7397636347</x:v>
      </x:c>
      <x:c r="AD1609" s="80" t="n">
        <x:f>Z1609/(1+'Inputs'!$C$48)</x:f>
        <x:v>1.0196265341745074</x:v>
      </x:c>
      <x:c r="AE1609" s="80" t="n">
        <x:f>Z1609-AD1609</x:f>
        <x:v>0.25490663354362697</x:v>
      </x:c>
      <x:c r="AF1609" s="80" t="n">
        <x:f>D1609*W1609</x:f>
        <x:v>3.04185395234365</x:v>
      </x:c>
      <x:c r="AG1609" s="80" t="n">
        <x:f>C1609*W1609</x:f>
        <x:v>1.7744148055337958</x:v>
      </x:c>
      <x:c r="AH1609" s="80" t="n">
        <x:f>2*'Inputs'!$B$8*'Inputs'!$C$48</x:f>
        <x:v>1250</x:v>
      </x:c>
      <x:c r="AI1609" s="81" t="n">
        <x:f>IF(AH1609&gt;0,(AE1609+AF1609)/AH1609*365,0)</x:f>
        <x:v>0.9626540910790848</x:v>
      </x:c>
      <x:c r="AJ1609" s="81" t="n">
        <x:f>IF('Inputs'!$B$48&gt;0,AG1609/('Inputs'!$B$19*'Inputs'!$B$48)*365,0)</x:f>
        <x:v>0.2590645616079342</x:v>
      </x:c>
      <x:c r="AK1609" s="81" t="n">
        <x:f>W1609/MAX($W$1464:W1609)-1</x:f>
        <x:v>-0.9874425461849414</x:v>
      </x:c>
      <x:c r="AL1609" s="83" t="n">
        <x:f>'Inputs'!$B$48</x:f>
        <x:v>0.25</x:v>
      </x:c>
      <x:c r="AM1609" s="83" t="n">
        <x:f>'Inputs'!$C$48</x:f>
        <x:v>0.25</x:v>
      </x:c>
      <x:c r="AN1609" s="83" t="n">
        <x:f>'Inputs'!$D$48</x:f>
        <x:v>0.3</x:v>
      </x:c>
      <x:c r="AO1609" s="81" t="n">
        <x:f>'Inputs'!$E$48</x:f>
        <x:v>0</x:v>
      </x:c>
    </x:row>
    <x:row r="1610">
      <x:c r="A1610" s="59" t="str">
        <x:v>Low participation</x:v>
      </x:c>
      <x:c r="B1610" s="59" t="n">
        <x:v>147</x:v>
      </x:c>
      <x:c r="C1610" s="78" t="n">
        <x:f>(('Inputs'!$B$29*(3*147*'Inputs'!$B$12-147^2)/(2*'Inputs'!$B$12^2))-('Inputs'!$B$29*(3*146*'Inputs'!$B$12-146^2)/(2*'Inputs'!$B$12^2)))*'Inputs'!$B$48</x:f>
        <x:v>166089.4984987788</x:v>
      </x:c>
      <x:c r="D1610" s="78" t="n">
        <x:f>IF('Inputs'!$C$48&gt;0,('Inputs'!$B$30*(3*147*'Inputs'!$B$12-147^2)/(2*'Inputs'!$B$12^2))-('Inputs'!$B$30*(3*146*'Inputs'!$B$12-146^2)/(2*'Inputs'!$B$12^2)),0)</x:f>
        <x:v>284724.85456933826</x:v>
      </x:c>
      <x:c r="E1610" s="78" t="n">
        <x:f>C1610+D1610</x:f>
        <x:v>450814.35306811705</x:v>
      </x:c>
      <x:c r="F1610" s="78" t="n">
        <x:f>'Inputs'!$B$13*E1610+(1-'Inputs'!$B$13)/'Inputs'!$B$14*SUM(E1555:E1610)</x:f>
        <x:v>455667.7495777818</x:v>
      </x:c>
      <x:c r="G1610" s="78" t="n">
        <x:f>F1610*'Inputs'!$F$48</x:f>
        <x:v>227833.8747888909</x:v>
      </x:c>
      <x:c r="H1610" s="78" t="n">
        <x:f>U1609</x:f>
        <x:v>32542433.854039036</x:v>
      </x:c>
      <x:c r="I1610" s="78" t="n">
        <x:f>V1609</x:f>
        <x:v>347.4965815984164</x:v>
      </x:c>
      <x:c r="J1610" s="79" t="n">
        <x:f>IF(H1610&gt;0,I1610/H1610,0)</x:f>
        <x:v>0.000010678260364821684</x:v>
      </x:c>
      <x:c r="K1610" s="80" t="n">
        <x:f>(H1610*J1610+I1610)*'Inputs'!$D$48*(1+'Inputs'!$G$48)^(B1610/30)</x:f>
        <x:v>208.49794895904984</x:v>
      </x:c>
      <x:c r="L1610" s="80" t="n">
        <x:f>MAX(0,K1610*'Inputs'!$E$48)</x:f>
        <x:v>0</x:v>
      </x:c>
      <x:c r="M1610" s="80" t="n">
        <x:f>MAX(0,-K1610*'Inputs'!$E$48)</x:f>
        <x:v>0</x:v>
      </x:c>
      <x:c r="N1610" s="78" t="n">
        <x:f>H1610*(L1610*(1-'Inputs'!$B$15))/(I1610+L1610*(1-'Inputs'!$B$15))</x:f>
        <x:v>0</x:v>
      </x:c>
      <x:c r="O1610" s="78" t="n">
        <x:f>H1610-N1610</x:f>
        <x:v>32542433.854039036</x:v>
      </x:c>
      <x:c r="P1610" s="78" t="n">
        <x:f>I1610+L1610*(1-'Inputs'!$B$17)</x:f>
        <x:v>347.4965815984164</x:v>
      </x:c>
      <x:c r="Q1610" s="78" t="n">
        <x:f>IF(J1610&gt;0,M1610/J1610,0)</x:f>
        <x:v>0</x:v>
      </x:c>
      <x:c r="R1610" s="78" t="n">
        <x:f>IF(B1610='Inputs'!$H$48,'Inputs'!$B$27*'Inputs'!$I$48,0)</x:f>
        <x:v>0</x:v>
      </x:c>
      <x:c r="S1610" s="78" t="n">
        <x:f>Q1610+G1610+R1610</x:f>
        <x:v>227833.8747888909</x:v>
      </x:c>
      <x:c r="T1610" s="78" t="n">
        <x:f>P1610*(S1610*(1-'Inputs'!$B$15))/(O1610+S1610*(1-'Inputs'!$B$15))</x:f>
        <x:v>2.3919617649343716</x:v>
      </x:c>
      <x:c r="U1610" s="78" t="n">
        <x:f>O1610+S1610*(1-'Inputs'!$B$17)</x:f>
        <x:v>32769350.892309662</x:v>
      </x:c>
      <x:c r="V1610" s="78" t="n">
        <x:f>P1610-T1610</x:f>
        <x:v>345.10461983348205</x:v>
      </x:c>
      <x:c r="W1610" s="79" t="n">
        <x:f>IF(U1610&gt;0,V1610/U1610,0)</x:f>
        <x:v>0.000010531323033147767</x:v>
      </x:c>
      <x:c r="X1610" s="80" t="n">
        <x:f>W1610*('Inputs'!$B$6-AC1610)</x:f>
        <x:v>10499.672329528485</x:v>
      </x:c>
      <x:c r="Y1610" s="80" t="n">
        <x:f>2*V1610</x:f>
        <x:v>690.2092396669641</x:v>
      </x:c>
      <x:c r="Z1610" s="80" t="n">
        <x:f>K1610*'Inputs'!$B$16+(G1610+R1610)*J1610*'Inputs'!$B$16</x:f>
        <x:v>1.2655849103638308</x:v>
      </x:c>
      <x:c r="AA1610" s="80" t="n">
        <x:f>K1610*(1+'Inputs'!$E$48)/2*'Inputs'!$B$17</x:f>
        <x:v>0.4195129757727361</x:v>
      </x:c>
      <x:c r="AB1610" s="78" t="n">
        <x:f>(IF(J1610&gt;0,K1610*(1-'Inputs'!$E$48)/2/J1610,0)+G1610+R1610)*'Inputs'!$B$17</x:f>
        <x:v>40203.476985917914</x:v>
      </x:c>
      <x:c r="AC1610" s="78" t="n">
        <x:f>AC1609+AB1610</x:f>
        <x:v>3005387.2167495526</x:v>
      </x:c>
      <x:c r="AD1610" s="80" t="n">
        <x:f>Z1610/(1+'Inputs'!$C$48)</x:f>
        <x:v>1.0124679282910647</x:v>
      </x:c>
      <x:c r="AE1610" s="80" t="n">
        <x:f>Z1610-AD1610</x:f>
        <x:v>0.2531169820727661</x:v>
      </x:c>
      <x:c r="AF1610" s="80" t="n">
        <x:f>D1610*W1610</x:f>
        <x:v>2.9985294190357203</x:v>
      </x:c>
      <x:c r="AG1610" s="80" t="n">
        <x:f>C1610*W1610</x:f>
        <x:v>1.7491421611041504</x:v>
      </x:c>
      <x:c r="AH1610" s="80" t="n">
        <x:f>2*'Inputs'!$B$8*'Inputs'!$C$48</x:f>
        <x:v>1250</x:v>
      </x:c>
      <x:c r="AI1610" s="81" t="n">
        <x:f>IF(AH1610&gt;0,(AE1610+AF1610)/AH1610*365,0)</x:f>
        <x:v>0.949480749123678</x:v>
      </x:c>
      <x:c r="AJ1610" s="81" t="n">
        <x:f>IF('Inputs'!$B$48&gt;0,AG1610/('Inputs'!$B$19*'Inputs'!$B$48)*365,0)</x:f>
        <x:v>0.255374755521206</x:v>
      </x:c>
      <x:c r="AK1610" s="81" t="n">
        <x:f>W1610/MAX($W$1464:W1610)-1</x:f>
        <x:v>-0.9876153420049687</x:v>
      </x:c>
      <x:c r="AL1610" s="83" t="n">
        <x:f>'Inputs'!$B$48</x:f>
        <x:v>0.25</x:v>
      </x:c>
      <x:c r="AM1610" s="83" t="n">
        <x:f>'Inputs'!$C$48</x:f>
        <x:v>0.25</x:v>
      </x:c>
      <x:c r="AN1610" s="83" t="n">
        <x:f>'Inputs'!$D$48</x:f>
        <x:v>0.3</x:v>
      </x:c>
      <x:c r="AO1610" s="81" t="n">
        <x:f>'Inputs'!$E$48</x:f>
        <x:v>0</x:v>
      </x:c>
    </x:row>
    <x:row r="1611">
      <x:c r="A1611" s="59" t="str">
        <x:v>Low participation</x:v>
      </x:c>
      <x:c r="B1611" s="59" t="n">
        <x:v>148</x:v>
      </x:c>
      <x:c r="C1611" s="78" t="n">
        <x:f>(('Inputs'!$B$29*(3*148*'Inputs'!$B$12-148^2)/(2*'Inputs'!$B$12^2))-('Inputs'!$B$29*(3*147*'Inputs'!$B$12-147^2)/(2*'Inputs'!$B$12^2)))*'Inputs'!$B$48</x:f>
        <x:v>166008.2215237394</x:v>
      </x:c>
      <x:c r="D1611" s="78" t="n">
        <x:f>IF('Inputs'!$C$48&gt;0,('Inputs'!$B$30*(3*148*'Inputs'!$B$12-148^2)/(2*'Inputs'!$B$12^2))-('Inputs'!$B$30*(3*147*'Inputs'!$B$12-147^2)/(2*'Inputs'!$B$12^2)),0)</x:f>
        <x:v>284585.5226121247</x:v>
      </x:c>
      <x:c r="E1611" s="78" t="n">
        <x:f>C1611+D1611</x:f>
        <x:v>450593.7441358641</x:v>
      </x:c>
      <x:c r="F1611" s="78" t="n">
        <x:f>'Inputs'!$B$13*E1611+(1-'Inputs'!$B$13)/'Inputs'!$B$14*SUM(E1556:E1611)</x:f>
        <x:v>455447.1406455253</x:v>
      </x:c>
      <x:c r="G1611" s="78" t="n">
        <x:f>F1611*'Inputs'!$F$48</x:f>
        <x:v>227723.57032276265</x:v>
      </x:c>
      <x:c r="H1611" s="78" t="n">
        <x:f>U1610</x:f>
        <x:v>32769350.892309662</x:v>
      </x:c>
      <x:c r="I1611" s="78" t="n">
        <x:f>V1610</x:f>
        <x:v>345.10461983348205</x:v>
      </x:c>
      <x:c r="J1611" s="79" t="n">
        <x:f>IF(H1611&gt;0,I1611/H1611,0)</x:f>
        <x:v>0.000010531323033147767</x:v>
      </x:c>
      <x:c r="K1611" s="80" t="n">
        <x:f>(H1611*J1611+I1611)*'Inputs'!$D$48*(1+'Inputs'!$G$48)^(B1611/30)</x:f>
        <x:v>207.06277190008922</x:v>
      </x:c>
      <x:c r="L1611" s="80" t="n">
        <x:f>MAX(0,K1611*'Inputs'!$E$48)</x:f>
        <x:v>0</x:v>
      </x:c>
      <x:c r="M1611" s="80" t="n">
        <x:f>MAX(0,-K1611*'Inputs'!$E$48)</x:f>
        <x:v>0</x:v>
      </x:c>
      <x:c r="N1611" s="78" t="n">
        <x:f>H1611*(L1611*(1-'Inputs'!$B$15))/(I1611+L1611*(1-'Inputs'!$B$15))</x:f>
        <x:v>0</x:v>
      </x:c>
      <x:c r="O1611" s="78" t="n">
        <x:f>H1611-N1611</x:f>
        <x:v>32769350.892309662</x:v>
      </x:c>
      <x:c r="P1611" s="78" t="n">
        <x:f>I1611+L1611*(1-'Inputs'!$B$17)</x:f>
        <x:v>345.10461983348205</x:v>
      </x:c>
      <x:c r="Q1611" s="78" t="n">
        <x:f>IF(J1611&gt;0,M1611/J1611,0)</x:f>
        <x:v>0</x:v>
      </x:c>
      <x:c r="R1611" s="78" t="n">
        <x:f>IF(B1611='Inputs'!$H$48,'Inputs'!$B$27*'Inputs'!$I$48,0)</x:f>
        <x:v>0</x:v>
      </x:c>
      <x:c r="S1611" s="78" t="n">
        <x:f>Q1611+G1611+R1611</x:f>
        <x:v>227723.57032276265</x:v>
      </x:c>
      <x:c r="T1611" s="78" t="n">
        <x:f>P1611*(S1611*(1-'Inputs'!$B$15))/(O1611+S1611*(1-'Inputs'!$B$15))</x:f>
        <x:v>2.358025450698236</x:v>
      </x:c>
      <x:c r="U1611" s="78" t="n">
        <x:f>O1611+S1611*(1-'Inputs'!$B$17)</x:f>
        <x:v>32996158.06999531</x:v>
      </x:c>
      <x:c r="V1611" s="78" t="n">
        <x:f>P1611-T1611</x:f>
        <x:v>342.7465943827838</x:v>
      </x:c>
      <x:c r="W1611" s="79" t="n">
        <x:f>IF(U1611&gt;0,V1611/U1611,0)</x:f>
        <x:v>0.000010387469767107723</x:v>
      </x:c>
      <x:c r="X1611" s="80" t="n">
        <x:f>W1611*('Inputs'!$B$6-AC1611)</x:f>
        <x:v>10355.830944878197</x:v>
      </x:c>
      <x:c r="Y1611" s="80" t="n">
        <x:f>2*V1611</x:f>
        <x:v>685.4931887655677</x:v>
      </x:c>
      <x:c r="Z1611" s="80" t="n">
        <x:f>K1611*'Inputs'!$B$16+(G1611+R1611)*J1611*'Inputs'!$B$16</x:f>
        <x:v>1.25676601428852</x:v>
      </x:c>
      <x:c r="AA1611" s="80" t="n">
        <x:f>K1611*(1+'Inputs'!$E$48)/2*'Inputs'!$B$17</x:f>
        <x:v>0.4166252955736202</x:v>
      </x:c>
      <x:c r="AB1611" s="78" t="n">
        <x:f>(IF(J1611&gt;0,K1611*(1-'Inputs'!$E$48)/2/J1611,0)+G1611+R1611)*'Inputs'!$B$17</x:f>
        <x:v>40476.977215354775</x:v>
      </x:c>
      <x:c r="AC1611" s="78" t="n">
        <x:f>AC1610+AB1611</x:f>
        <x:v>3045864.1939649074</x:v>
      </x:c>
      <x:c r="AD1611" s="80" t="n">
        <x:f>Z1611/(1+'Inputs'!$C$48)</x:f>
        <x:v>1.005412811430816</x:v>
      </x:c>
      <x:c r="AE1611" s="80" t="n">
        <x:f>Z1611-AD1611</x:f>
        <x:v>0.2513532028577039</x:v>
      </x:c>
      <x:c r="AF1611" s="80" t="n">
        <x:f>D1611*W1611</x:f>
        <x:v>2.9561235122899965</x:v>
      </x:c>
      <x:c r="AG1611" s="80" t="n">
        <x:f>C1611*W1611</x:f>
        <x:v>1.7244053821691647</x:v>
      </x:c>
      <x:c r="AH1611" s="80" t="n">
        <x:f>2*'Inputs'!$B$8*'Inputs'!$C$48</x:f>
        <x:v>1250</x:v>
      </x:c>
      <x:c r="AI1611" s="81" t="n">
        <x:f>IF(AH1611&gt;0,(AE1611+AF1611)/AH1611*365,0)</x:f>
        <x:v>0.9365832008231285</x:v>
      </x:c>
      <x:c r="AJ1611" s="81" t="n">
        <x:f>IF('Inputs'!$B$48&gt;0,AG1611/('Inputs'!$B$19*'Inputs'!$B$48)*365,0)</x:f>
        <x:v>0.25176318579669804</x:v>
      </x:c>
      <x:c r="AK1611" s="81" t="n">
        <x:f>W1611/MAX($W$1464:W1611)-1</x:f>
        <x:v>-0.9877845110159055</x:v>
      </x:c>
      <x:c r="AL1611" s="83" t="n">
        <x:f>'Inputs'!$B$48</x:f>
        <x:v>0.25</x:v>
      </x:c>
      <x:c r="AM1611" s="83" t="n">
        <x:f>'Inputs'!$C$48</x:f>
        <x:v>0.25</x:v>
      </x:c>
      <x:c r="AN1611" s="83" t="n">
        <x:f>'Inputs'!$D$48</x:f>
        <x:v>0.3</x:v>
      </x:c>
      <x:c r="AO1611" s="81" t="n">
        <x:f>'Inputs'!$E$48</x:f>
        <x:v>0</x:v>
      </x:c>
    </x:row>
    <x:row r="1612">
      <x:c r="A1612" s="59" t="str">
        <x:v>Low participation</x:v>
      </x:c>
      <x:c r="B1612" s="59" t="n">
        <x:v>149</x:v>
      </x:c>
      <x:c r="C1612" s="78" t="n">
        <x:f>(('Inputs'!$B$29*(3*149*'Inputs'!$B$12-149^2)/(2*'Inputs'!$B$12^2))-('Inputs'!$B$29*(3*148*'Inputs'!$B$12-148^2)/(2*'Inputs'!$B$12^2)))*'Inputs'!$B$48</x:f>
        <x:v>165926.94454869628</x:v>
      </x:c>
      <x:c r="D1612" s="78" t="n">
        <x:f>IF('Inputs'!$C$48&gt;0,('Inputs'!$B$30*(3*149*'Inputs'!$B$12-149^2)/(2*'Inputs'!$B$12^2))-('Inputs'!$B$30*(3*148*'Inputs'!$B$12-148^2)/(2*'Inputs'!$B$12^2)),0)</x:f>
        <x:v>284446.19065490365</x:v>
      </x:c>
      <x:c r="E1612" s="78" t="n">
        <x:f>C1612+D1612</x:f>
        <x:v>450373.13520359993</x:v>
      </x:c>
      <x:c r="F1612" s="78" t="n">
        <x:f>'Inputs'!$B$13*E1612+(1-'Inputs'!$B$13)/'Inputs'!$B$14*SUM(E1557:E1612)</x:f>
        <x:v>455226.5317132664</x:v>
      </x:c>
      <x:c r="G1612" s="78" t="n">
        <x:f>F1612*'Inputs'!$F$48</x:f>
        <x:v>227613.2658566332</x:v>
      </x:c>
      <x:c r="H1612" s="78" t="n">
        <x:f>U1611</x:f>
        <x:v>32996158.06999531</x:v>
      </x:c>
      <x:c r="I1612" s="78" t="n">
        <x:f>V1611</x:f>
        <x:v>342.7465943827838</x:v>
      </x:c>
      <x:c r="J1612" s="79" t="n">
        <x:f>IF(H1612&gt;0,I1612/H1612,0)</x:f>
        <x:v>0.000010387469767107723</x:v>
      </x:c>
      <x:c r="K1612" s="80" t="n">
        <x:f>(H1612*J1612+I1612)*'Inputs'!$D$48*(1+'Inputs'!$G$48)^(B1612/30)</x:f>
        <x:v>205.6479566296703</x:v>
      </x:c>
      <x:c r="L1612" s="80" t="n">
        <x:f>MAX(0,K1612*'Inputs'!$E$48)</x:f>
        <x:v>0</x:v>
      </x:c>
      <x:c r="M1612" s="80" t="n">
        <x:f>MAX(0,-K1612*'Inputs'!$E$48)</x:f>
        <x:v>0</x:v>
      </x:c>
      <x:c r="N1612" s="78" t="n">
        <x:f>H1612*(L1612*(1-'Inputs'!$B$15))/(I1612+L1612*(1-'Inputs'!$B$15))</x:f>
        <x:v>0</x:v>
      </x:c>
      <x:c r="O1612" s="78" t="n">
        <x:f>H1612-N1612</x:f>
        <x:v>32996158.06999531</x:v>
      </x:c>
      <x:c r="P1612" s="78" t="n">
        <x:f>I1612+L1612*(1-'Inputs'!$B$17)</x:f>
        <x:v>342.7465943827838</x:v>
      </x:c>
      <x:c r="Q1612" s="78" t="n">
        <x:f>IF(J1612&gt;0,M1612/J1612,0)</x:f>
        <x:v>0</x:v>
      </x:c>
      <x:c r="R1612" s="78" t="n">
        <x:f>IF(B1612='Inputs'!$H$48,'Inputs'!$B$27*'Inputs'!$I$48,0)</x:f>
        <x:v>0</x:v>
      </x:c>
      <x:c r="S1612" s="78" t="n">
        <x:f>Q1612+G1612+R1612</x:f>
        <x:v>227613.2658566332</x:v>
      </x:c>
      <x:c r="T1612" s="78" t="n">
        <x:f>P1612*(S1612*(1-'Inputs'!$B$15))/(O1612+S1612*(1-'Inputs'!$B$15))</x:f>
        <x:v>2.3248061087928744</x:v>
      </x:c>
      <x:c r="U1612" s="78" t="n">
        <x:f>O1612+S1612*(1-'Inputs'!$B$17)</x:f>
        <x:v>33222855.38709598</x:v>
      </x:c>
      <x:c r="V1612" s="78" t="n">
        <x:f>P1612-T1612</x:f>
        <x:v>340.42178827399096</x:v>
      </x:c>
      <x:c r="W1612" s="79" t="n">
        <x:f>IF(U1612&gt;0,V1612/U1612,0)</x:f>
        <x:v>0.000010246614395649252</x:v>
      </x:c>
      <x:c r="X1612" s="80" t="n">
        <x:f>W1612*('Inputs'!$B$6-AC1612)</x:f>
        <x:v>10214.987046682356</x:v>
      </x:c>
      <x:c r="Y1612" s="80" t="n">
        <x:f>2*V1612</x:f>
        <x:v>680.8435765479819</x:v>
      </x:c>
      <x:c r="Z1612" s="80" t="n">
        <x:f>K1612*'Inputs'!$B$16+(G1612+R1612)*J1612*'Inputs'!$B$16</x:f>
        <x:v>1.2480736952840923</x:v>
      </x:c>
      <x:c r="AA1612" s="80" t="n">
        <x:f>K1612*(1+'Inputs'!$E$48)/2*'Inputs'!$B$17</x:f>
        <x:v>0.4137785847679483</x:v>
      </x:c>
      <x:c r="AB1612" s="78" t="n">
        <x:f>(IF(J1612&gt;0,K1612*(1-'Inputs'!$E$48)/2/J1612,0)+G1612+R1612)*'Inputs'!$B$17</x:f>
        <x:v>40750.34481631882</x:v>
      </x:c>
      <x:c r="AC1612" s="78" t="n">
        <x:f>AC1611+AB1612</x:f>
        <x:v>3086614.538781226</x:v>
      </x:c>
      <x:c r="AD1612" s="80" t="n">
        <x:f>Z1612/(1+'Inputs'!$C$48)</x:f>
        <x:v>0.9984589562272739</x:v>
      </x:c>
      <x:c r="AE1612" s="80" t="n">
        <x:f>Z1612-AD1612</x:f>
        <x:v>0.2496147390568184</x:v>
      </x:c>
      <x:c r="AF1612" s="80" t="n">
        <x:f>D1612*W1612</x:f>
        <x:v>2.9146104319521275</x:v>
      </x:c>
      <x:c r="AG1612" s="80" t="n">
        <x:f>C1612*W1612</x:f>
        <x:v>1.7001894186387665</x:v>
      </x:c>
      <x:c r="AH1612" s="80" t="n">
        <x:f>2*'Inputs'!$B$8*'Inputs'!$C$48</x:f>
        <x:v>1250</x:v>
      </x:c>
      <x:c r="AI1612" s="81" t="n">
        <x:f>IF(AH1612&gt;0,(AE1612+AF1612)/AH1612*365,0)</x:f>
        <x:v>0.9239537499346121</x:v>
      </x:c>
      <x:c r="AJ1612" s="81" t="n">
        <x:f>IF('Inputs'!$B$48&gt;0,AG1612/('Inputs'!$B$19*'Inputs'!$B$48)*365,0)</x:f>
        <x:v>0.2482276551212599</x:v>
      </x:c>
      <x:c r="AK1612" s="81" t="n">
        <x:f>W1612/MAX($W$1464:W1612)-1</x:f>
        <x:v>-0.987950154553454</x:v>
      </x:c>
      <x:c r="AL1612" s="83" t="n">
        <x:f>'Inputs'!$B$48</x:f>
        <x:v>0.25</x:v>
      </x:c>
      <x:c r="AM1612" s="83" t="n">
        <x:f>'Inputs'!$C$48</x:f>
        <x:v>0.25</x:v>
      </x:c>
      <x:c r="AN1612" s="83" t="n">
        <x:f>'Inputs'!$D$48</x:f>
        <x:v>0.3</x:v>
      </x:c>
      <x:c r="AO1612" s="81" t="n">
        <x:f>'Inputs'!$E$48</x:f>
        <x:v>0</x:v>
      </x:c>
    </x:row>
    <x:row r="1613">
      <x:c r="A1613" s="59" t="str">
        <x:v>Low participation</x:v>
      </x:c>
      <x:c r="B1613" s="59" t="n">
        <x:v>150</x:v>
      </x:c>
      <x:c r="C1613" s="78" t="n">
        <x:f>(('Inputs'!$B$29*(3*150*'Inputs'!$B$12-150^2)/(2*'Inputs'!$B$12^2))-('Inputs'!$B$29*(3*149*'Inputs'!$B$12-149^2)/(2*'Inputs'!$B$12^2)))*'Inputs'!$B$48</x:f>
        <x:v>165845.66757365316</x:v>
      </x:c>
      <x:c r="D1613" s="78" t="n">
        <x:f>IF('Inputs'!$C$48&gt;0,('Inputs'!$B$30*(3*150*'Inputs'!$B$12-150^2)/(2*'Inputs'!$B$12^2))-('Inputs'!$B$30*(3*149*'Inputs'!$B$12-149^2)/(2*'Inputs'!$B$12^2)),0)</x:f>
        <x:v>284306.85869769007</x:v>
      </x:c>
      <x:c r="E1613" s="78" t="n">
        <x:f>C1613+D1613</x:f>
        <x:v>450152.52627134323</x:v>
      </x:c>
      <x:c r="F1613" s="78" t="n">
        <x:f>'Inputs'!$B$13*E1613+(1-'Inputs'!$B$13)/'Inputs'!$B$14*SUM(E1558:E1613)</x:f>
        <x:v>455005.9227810091</x:v>
      </x:c>
      <x:c r="G1613" s="78" t="n">
        <x:f>F1613*'Inputs'!$F$48</x:f>
        <x:v>227502.96139050456</x:v>
      </x:c>
      <x:c r="H1613" s="78" t="n">
        <x:f>U1612</x:f>
        <x:v>33222855.38709598</x:v>
      </x:c>
      <x:c r="I1613" s="78" t="n">
        <x:f>V1612</x:f>
        <x:v>340.42178827399096</x:v>
      </x:c>
      <x:c r="J1613" s="79" t="n">
        <x:f>IF(H1613&gt;0,I1613/H1613,0)</x:f>
        <x:v>0.000010246614395649252</x:v>
      </x:c>
      <x:c r="K1613" s="80" t="n">
        <x:f>(H1613*J1613+I1613)*'Inputs'!$D$48*(1+'Inputs'!$G$48)^(B1613/30)</x:f>
        <x:v>204.25307296439456</x:v>
      </x:c>
      <x:c r="L1613" s="80" t="n">
        <x:f>MAX(0,K1613*'Inputs'!$E$48)</x:f>
        <x:v>0</x:v>
      </x:c>
      <x:c r="M1613" s="80" t="n">
        <x:f>MAX(0,-K1613*'Inputs'!$E$48)</x:f>
        <x:v>0</x:v>
      </x:c>
      <x:c r="N1613" s="78" t="n">
        <x:f>H1613*(L1613*(1-'Inputs'!$B$15))/(I1613+L1613*(1-'Inputs'!$B$15))</x:f>
        <x:v>0</x:v>
      </x:c>
      <x:c r="O1613" s="78" t="n">
        <x:f>H1613-N1613</x:f>
        <x:v>33222855.38709598</x:v>
      </x:c>
      <x:c r="P1613" s="78" t="n">
        <x:f>I1613+L1613*(1-'Inputs'!$B$17)</x:f>
        <x:v>340.42178827399096</x:v>
      </x:c>
      <x:c r="Q1613" s="78" t="n">
        <x:f>IF(J1613&gt;0,M1613/J1613,0)</x:f>
        <x:v>0</x:v>
      </x:c>
      <x:c r="R1613" s="78" t="n">
        <x:f>IF(B1613='Inputs'!$H$48,'Inputs'!$B$27*'Inputs'!$I$48,0)</x:f>
        <x:v>0</x:v>
      </x:c>
      <x:c r="S1613" s="78" t="n">
        <x:f>Q1613+G1613+R1613</x:f>
        <x:v>227502.96139050456</x:v>
      </x:c>
      <x:c r="T1613" s="78" t="n">
        <x:f>P1613*(S1613*(1-'Inputs'!$B$15))/(O1613+S1613*(1-'Inputs'!$B$15))</x:f>
        <x:v>2.2922836735873933</x:v>
      </x:c>
      <x:c r="U1613" s="78" t="n">
        <x:f>O1613+S1613*(1-'Inputs'!$B$17)</x:f>
        <x:v>33449442.843611673</x:v>
      </x:c>
      <x:c r="V1613" s="78" t="n">
        <x:f>P1613-T1613</x:f>
        <x:v>338.12950460040355</x:v>
      </x:c>
      <x:c r="W1613" s="79" t="n">
        <x:f>IF(U1613&gt;0,V1613/U1613,0)</x:f>
        <x:v>0.000010108673743275251</x:v>
      </x:c>
      <x:c r="X1613" s="80" t="n">
        <x:f>W1613*('Inputs'!$B$6-AC1613)</x:f>
        <x:v>10077.057469947595</x:v>
      </x:c>
      <x:c r="Y1613" s="80" t="n">
        <x:f>2*V1613</x:f>
        <x:v>676.2590092008071</x:v>
      </x:c>
      <x:c r="Z1613" s="80" t="n">
        <x:f>K1613*'Inputs'!$B$16+(G1613+R1613)*J1613*'Inputs'!$B$16</x:f>
        <x:v>1.2395052485017881</x:v>
      </x:c>
      <x:c r="AA1613" s="80" t="n">
        <x:f>K1613*(1+'Inputs'!$E$48)/2*'Inputs'!$B$17</x:f>
        <x:v>0.41097197779556255</x:v>
      </x:c>
      <x:c r="AB1613" s="78" t="n">
        <x:f>(IF(J1613&gt;0,K1613*(1-'Inputs'!$E$48)/2/J1613,0)+G1613+R1613)*'Inputs'!$B$17</x:f>
        <x:v>41023.57978881006</x:v>
      </x:c>
      <x:c r="AC1613" s="78" t="n">
        <x:f>AC1612+AB1613</x:f>
        <x:v>3127638.1185700363</x:v>
      </x:c>
      <x:c r="AD1613" s="80" t="n">
        <x:f>Z1613/(1+'Inputs'!$C$48)</x:f>
        <x:v>0.9916041988014305</x:v>
      </x:c>
      <x:c r="AE1613" s="80" t="n">
        <x:f>Z1613-AD1613</x:f>
        <x:v>0.24790104970035765</x:v>
      </x:c>
      <x:c r="AF1613" s="80" t="n">
        <x:f>D1613*W1613</x:f>
        <x:v>2.8739652775504068</x:v>
      </x:c>
      <x:c r="AG1613" s="80" t="n">
        <x:f>C1613*W1613</x:f>
        <x:v>1.6764797452377436</x:v>
      </x:c>
      <x:c r="AH1613" s="80" t="n">
        <x:f>2*'Inputs'!$B$8*'Inputs'!$C$48</x:f>
        <x:v>1250</x:v>
      </x:c>
      <x:c r="AI1613" s="81" t="n">
        <x:f>IF(AH1613&gt;0,(AE1613+AF1613)/AH1613*365,0)</x:f>
        <x:v>0.9115849675572232</x:v>
      </x:c>
      <x:c r="AJ1613" s="81" t="n">
        <x:f>IF('Inputs'!$B$48&gt;0,AG1613/('Inputs'!$B$19*'Inputs'!$B$48)*365,0)</x:f>
        <x:v>0.24476604280471057</x:v>
      </x:c>
      <x:c r="AK1613" s="81" t="n">
        <x:f>W1613/MAX($W$1464:W1613)-1</x:f>
        <x:v>-0.9881123704305936</x:v>
      </x:c>
      <x:c r="AL1613" s="83" t="n">
        <x:f>'Inputs'!$B$48</x:f>
        <x:v>0.25</x:v>
      </x:c>
      <x:c r="AM1613" s="83" t="n">
        <x:f>'Inputs'!$C$48</x:f>
        <x:v>0.25</x:v>
      </x:c>
      <x:c r="AN1613" s="83" t="n">
        <x:f>'Inputs'!$D$48</x:f>
        <x:v>0.3</x:v>
      </x:c>
      <x:c r="AO1613" s="81" t="n">
        <x:f>'Inputs'!$E$48</x:f>
        <x:v>0</x:v>
      </x:c>
    </x:row>
    <x:row r="1614">
      <x:c r="A1614" s="59" t="str">
        <x:v>Low participation</x:v>
      </x:c>
      <x:c r="B1614" s="59" t="n">
        <x:v>151</x:v>
      </x:c>
      <x:c r="C1614" s="78" t="n">
        <x:f>(('Inputs'!$B$29*(3*151*'Inputs'!$B$12-151^2)/(2*'Inputs'!$B$12^2))-('Inputs'!$B$29*(3*150*'Inputs'!$B$12-150^2)/(2*'Inputs'!$B$12^2)))*'Inputs'!$B$48</x:f>
        <x:v>165764.39059861004</x:v>
      </x:c>
      <x:c r="D1614" s="78" t="n">
        <x:f>IF('Inputs'!$C$48&gt;0,('Inputs'!$B$30*(3*151*'Inputs'!$B$12-151^2)/(2*'Inputs'!$B$12^2))-('Inputs'!$B$30*(3*150*'Inputs'!$B$12-150^2)/(2*'Inputs'!$B$12^2)),0)</x:f>
        <x:v>284167.5267404765</x:v>
      </x:c>
      <x:c r="E1614" s="78" t="n">
        <x:f>C1614+D1614</x:f>
        <x:v>449931.91733908653</x:v>
      </x:c>
      <x:c r="F1614" s="78" t="n">
        <x:f>'Inputs'!$B$13*E1614+(1-'Inputs'!$B$13)/'Inputs'!$B$14*SUM(E1559:E1614)</x:f>
        <x:v>454785.3138487518</x:v>
      </x:c>
      <x:c r="G1614" s="78" t="n">
        <x:f>F1614*'Inputs'!$F$48</x:f>
        <x:v>227392.6569243759</x:v>
      </x:c>
      <x:c r="H1614" s="78" t="n">
        <x:f>U1613</x:f>
        <x:v>33449442.843611673</x:v>
      </x:c>
      <x:c r="I1614" s="78" t="n">
        <x:f>V1613</x:f>
        <x:v>338.12950460040355</x:v>
      </x:c>
      <x:c r="J1614" s="79" t="n">
        <x:f>IF(H1614&gt;0,I1614/H1614,0)</x:f>
        <x:v>0.000010108673743275251</x:v>
      </x:c>
      <x:c r="K1614" s="80" t="n">
        <x:f>(H1614*J1614+I1614)*'Inputs'!$D$48*(1+'Inputs'!$G$48)^(B1614/30)</x:f>
        <x:v>202.87770276024213</x:v>
      </x:c>
      <x:c r="L1614" s="80" t="n">
        <x:f>MAX(0,K1614*'Inputs'!$E$48)</x:f>
        <x:v>0</x:v>
      </x:c>
      <x:c r="M1614" s="80" t="n">
        <x:f>MAX(0,-K1614*'Inputs'!$E$48)</x:f>
        <x:v>0</x:v>
      </x:c>
      <x:c r="N1614" s="78" t="n">
        <x:f>H1614*(L1614*(1-'Inputs'!$B$15))/(I1614+L1614*(1-'Inputs'!$B$15))</x:f>
        <x:v>0</x:v>
      </x:c>
      <x:c r="O1614" s="78" t="n">
        <x:f>H1614-N1614</x:f>
        <x:v>33449442.843611673</x:v>
      </x:c>
      <x:c r="P1614" s="78" t="n">
        <x:f>I1614+L1614*(1-'Inputs'!$B$17)</x:f>
        <x:v>338.12950460040355</x:v>
      </x:c>
      <x:c r="Q1614" s="78" t="n">
        <x:f>IF(J1614&gt;0,M1614/J1614,0)</x:f>
        <x:v>0</x:v>
      </x:c>
      <x:c r="R1614" s="78" t="n">
        <x:f>IF(B1614='Inputs'!$H$48,'Inputs'!$B$27*'Inputs'!$I$48,0)</x:f>
        <x:v>0</x:v>
      </x:c>
      <x:c r="S1614" s="78" t="n">
        <x:f>Q1614+G1614+R1614</x:f>
        <x:v>227392.6569243759</x:v>
      </x:c>
      <x:c r="T1614" s="78" t="n">
        <x:f>P1614*(S1614*(1-'Inputs'!$B$15))/(O1614+S1614*(1-'Inputs'!$B$15))</x:f>
        <x:v>2.260438776732259</x:v>
      </x:c>
      <x:c r="U1614" s="78" t="n">
        <x:f>O1614+S1614*(1-'Inputs'!$B$17)</x:f>
        <x:v>33675920.43954239</x:v>
      </x:c>
      <x:c r="V1614" s="78" t="n">
        <x:f>P1614-T1614</x:f>
        <x:v>335.8690658236713</x:v>
      </x:c>
      <x:c r="W1614" s="79" t="n">
        <x:f>IF(U1614&gt;0,V1614/U1614,0)</x:f>
        <x:v>0.000009973567505798374</x:v>
      </x:c>
      <x:c r="X1614" s="80" t="n">
        <x:f>W1614*('Inputs'!$B$6-AC1614)</x:f>
        <x:v>9941.96192064209</x:v>
      </x:c>
      <x:c r="Y1614" s="80" t="n">
        <x:f>2*V1614</x:f>
        <x:v>671.7381316473426</x:v>
      </x:c>
      <x:c r="Z1614" s="80" t="n">
        <x:f>K1614*'Inputs'!$B$16+(G1614+R1614)*J1614*'Inputs'!$B$16</x:f>
        <x:v>1.231058045644243</x:v>
      </x:c>
      <x:c r="AA1614" s="80" t="n">
        <x:f>K1614*(1+'Inputs'!$E$48)/2*'Inputs'!$B$17</x:f>
        <x:v>0.40820463332040674</x:v>
      </x:c>
      <x:c r="AB1614" s="78" t="n">
        <x:f>(IF(J1614&gt;0,K1614*(1-'Inputs'!$E$48)/2/J1614,0)+G1614+R1614)*'Inputs'!$B$17</x:f>
        <x:v>41296.68213282848</x:v>
      </x:c>
      <x:c r="AC1614" s="78" t="n">
        <x:f>AC1613+AB1614</x:f>
        <x:v>3168934.800702865</x:v>
      </x:c>
      <x:c r="AD1614" s="80" t="n">
        <x:f>Z1614/(1+'Inputs'!$C$48)</x:f>
        <x:v>0.9848464365153944</x:v>
      </x:c>
      <x:c r="AE1614" s="80" t="n">
        <x:f>Z1614-AD1614</x:f>
        <x:v>0.24621160912884865</x:v>
      </x:c>
      <x:c r="AF1614" s="80" t="n">
        <x:f>D1614*W1614</x:f>
        <x:v>2.834164010901907</x:v>
      </x:c>
      <x:c r="AG1614" s="80" t="n">
        <x:f>C1614*W1614</x:f>
        <x:v>1.6532623396927666</x:v>
      </x:c>
      <x:c r="AH1614" s="80" t="n">
        <x:f>2*'Inputs'!$B$8*'Inputs'!$C$48</x:f>
        <x:v>1250</x:v>
      </x:c>
      <x:c r="AI1614" s="81" t="n">
        <x:f>IF(AH1614&gt;0,(AE1614+AF1614)/AH1614*365,0)</x:f>
        <x:v>0.8994696810489807</x:v>
      </x:c>
      <x:c r="AJ1614" s="81" t="n">
        <x:f>IF('Inputs'!$B$48&gt;0,AG1614/('Inputs'!$B$19*'Inputs'!$B$48)*365,0)</x:f>
        <x:v>0.24137630159514392</x:v>
      </x:c>
      <x:c r="AK1614" s="81" t="n">
        <x:f>W1614/MAX($W$1464:W1614)-1</x:f>
        <x:v>-0.9882712530836925</x:v>
      </x:c>
      <x:c r="AL1614" s="83" t="n">
        <x:f>'Inputs'!$B$48</x:f>
        <x:v>0.25</x:v>
      </x:c>
      <x:c r="AM1614" s="83" t="n">
        <x:f>'Inputs'!$C$48</x:f>
        <x:v>0.25</x:v>
      </x:c>
      <x:c r="AN1614" s="83" t="n">
        <x:f>'Inputs'!$D$48</x:f>
        <x:v>0.3</x:v>
      </x:c>
      <x:c r="AO1614" s="81" t="n">
        <x:f>'Inputs'!$E$48</x:f>
        <x:v>0</x:v>
      </x:c>
    </x:row>
    <x:row r="1615">
      <x:c r="A1615" s="59" t="str">
        <x:v>Low participation</x:v>
      </x:c>
      <x:c r="B1615" s="59" t="n">
        <x:v>152</x:v>
      </x:c>
      <x:c r="C1615" s="78" t="n">
        <x:f>(('Inputs'!$B$29*(3*152*'Inputs'!$B$12-152^2)/(2*'Inputs'!$B$12^2))-('Inputs'!$B$29*(3*151*'Inputs'!$B$12-151^2)/(2*'Inputs'!$B$12^2)))*'Inputs'!$B$48</x:f>
        <x:v>165683.11362357065</x:v>
      </x:c>
      <x:c r="D1615" s="78" t="n">
        <x:f>IF('Inputs'!$C$48&gt;0,('Inputs'!$B$30*(3*152*'Inputs'!$B$12-152^2)/(2*'Inputs'!$B$12^2))-('Inputs'!$B$30*(3*151*'Inputs'!$B$12-151^2)/(2*'Inputs'!$B$12^2)),0)</x:f>
        <x:v>284028.1947832629</x:v>
      </x:c>
      <x:c r="E1615" s="78" t="n">
        <x:f>C1615+D1615</x:f>
        <x:v>449711.30840683356</x:v>
      </x:c>
      <x:c r="F1615" s="78" t="n">
        <x:f>'Inputs'!$B$13*E1615+(1-'Inputs'!$B$13)/'Inputs'!$B$14*SUM(E1560:E1615)</x:f>
        <x:v>454564.7049164953</x:v>
      </x:c>
      <x:c r="G1615" s="78" t="n">
        <x:f>F1615*'Inputs'!$F$48</x:f>
        <x:v>227282.35245824765</x:v>
      </x:c>
      <x:c r="H1615" s="78" t="n">
        <x:f>U1614</x:f>
        <x:v>33675920.43954239</x:v>
      </x:c>
      <x:c r="I1615" s="78" t="n">
        <x:f>V1614</x:f>
        <x:v>335.8690658236713</x:v>
      </x:c>
      <x:c r="J1615" s="79" t="n">
        <x:f>IF(H1615&gt;0,I1615/H1615,0)</x:f>
        <x:v>0.000009973567505798374</x:v>
      </x:c>
      <x:c r="K1615" s="80" t="n">
        <x:f>(H1615*J1615+I1615)*'Inputs'!$D$48*(1+'Inputs'!$G$48)^(B1615/30)</x:f>
        <x:v>201.52143949420278</x:v>
      </x:c>
      <x:c r="L1615" s="80" t="n">
        <x:f>MAX(0,K1615*'Inputs'!$E$48)</x:f>
        <x:v>0</x:v>
      </x:c>
      <x:c r="M1615" s="80" t="n">
        <x:f>MAX(0,-K1615*'Inputs'!$E$48)</x:f>
        <x:v>0</x:v>
      </x:c>
      <x:c r="N1615" s="78" t="n">
        <x:f>H1615*(L1615*(1-'Inputs'!$B$15))/(I1615+L1615*(1-'Inputs'!$B$15))</x:f>
        <x:v>0</x:v>
      </x:c>
      <x:c r="O1615" s="78" t="n">
        <x:f>H1615-N1615</x:f>
        <x:v>33675920.43954239</x:v>
      </x:c>
      <x:c r="P1615" s="78" t="n">
        <x:f>I1615+L1615*(1-'Inputs'!$B$17)</x:f>
        <x:v>335.8690658236713</x:v>
      </x:c>
      <x:c r="Q1615" s="78" t="n">
        <x:f>IF(J1615&gt;0,M1615/J1615,0)</x:f>
        <x:v>0</x:v>
      </x:c>
      <x:c r="R1615" s="78" t="n">
        <x:f>IF(B1615='Inputs'!$H$48,'Inputs'!$B$27*'Inputs'!$I$48,0)</x:f>
        <x:v>0</x:v>
      </x:c>
      <x:c r="S1615" s="78" t="n">
        <x:f>Q1615+G1615+R1615</x:f>
        <x:v>227282.35245824765</x:v>
      </x:c>
      <x:c r="T1615" s="78" t="n">
        <x:f>P1615*(S1615*(1-'Inputs'!$B$15))/(O1615+S1615*(1-'Inputs'!$B$15))</x:f>
        <x:v>2.2292527182779143</x:v>
      </x:c>
      <x:c r="U1615" s="78" t="n">
        <x:f>O1615+S1615*(1-'Inputs'!$B$17)</x:f>
        <x:v>33902288.17488813</x:v>
      </x:c>
      <x:c r="V1615" s="78" t="n">
        <x:f>P1615-T1615</x:f>
        <x:v>333.6398131053934</x:v>
      </x:c>
      <x:c r="W1615" s="79" t="n">
        <x:f>IF(U1615&gt;0,V1615/U1615,0)</x:f>
        <x:v>0.000009841218132070649</x:v>
      </x:c>
      <x:c r="X1615" s="80" t="n">
        <x:f>W1615*('Inputs'!$B$6-AC1615)</x:f>
        <x:v>9809.622857439108</x:v>
      </x:c>
      <x:c r="Y1615" s="80" t="n">
        <x:f>2*V1615</x:f>
        <x:v>667.2796262107868</x:v>
      </x:c>
      <x:c r="Z1615" s="80" t="n">
        <x:f>K1615*'Inputs'!$B$16+(G1615+R1615)*J1615*'Inputs'!$B$16</x:f>
        <x:v>1.2227295322759306</x:v>
      </x:c>
      <x:c r="AA1615" s="80" t="n">
        <x:f>K1615*(1+'Inputs'!$E$48)/2*'Inputs'!$B$17</x:f>
        <x:v>0.40547573338873805</x:v>
      </x:c>
      <x:c r="AB1615" s="78" t="n">
        <x:f>(IF(J1615&gt;0,K1615*(1-'Inputs'!$E$48)/2/J1615,0)+G1615+R1615)*'Inputs'!$B$17</x:f>
        <x:v>41569.65184837411</x:v>
      </x:c>
      <x:c r="AC1615" s="78" t="n">
        <x:f>AC1614+AB1615</x:f>
        <x:v>3210504.4525512387</x:v>
      </x:c>
      <x:c r="AD1615" s="80" t="n">
        <x:f>Z1615/(1+'Inputs'!$C$48)</x:f>
        <x:v>0.9781836258207445</x:v>
      </x:c>
      <x:c r="AE1615" s="80" t="n">
        <x:f>Z1615-AD1615</x:f>
        <x:v>0.24454590645518615</x:v>
      </x:c>
      <x:c r="AF1615" s="80" t="n">
        <x:f>D1615*W1615</x:f>
        <x:v>2.795183420520341</x:v>
      </x:c>
      <x:c r="AG1615" s="80" t="n">
        <x:f>C1615*W1615</x:f>
        <x:v>1.630523661970205</x:v>
      </x:c>
      <x:c r="AH1615" s="80" t="n">
        <x:f>2*'Inputs'!$B$8*'Inputs'!$C$48</x:f>
        <x:v>1250</x:v>
      </x:c>
      <x:c r="AI1615" s="81" t="n">
        <x:f>IF(AH1615&gt;0,(AE1615+AF1615)/AH1615*365,0)</x:f>
        <x:v>0.8876009634768539</x:v>
      </x:c>
      <x:c r="AJ1615" s="81" t="n">
        <x:f>IF('Inputs'!$B$48&gt;0,AG1615/('Inputs'!$B$19*'Inputs'!$B$48)*365,0)</x:f>
        <x:v>0.23805645464764993</x:v>
      </x:c>
      <x:c r="AK1615" s="81" t="n">
        <x:f>W1615/MAX($W$1464:W1615)-1</x:f>
        <x:v>-0.9884268937115903</x:v>
      </x:c>
      <x:c r="AL1615" s="83" t="n">
        <x:f>'Inputs'!$B$48</x:f>
        <x:v>0.25</x:v>
      </x:c>
      <x:c r="AM1615" s="83" t="n">
        <x:f>'Inputs'!$C$48</x:f>
        <x:v>0.25</x:v>
      </x:c>
      <x:c r="AN1615" s="83" t="n">
        <x:f>'Inputs'!$D$48</x:f>
        <x:v>0.3</x:v>
      </x:c>
      <x:c r="AO1615" s="81" t="n">
        <x:f>'Inputs'!$E$48</x:f>
        <x:v>0</x:v>
      </x:c>
    </x:row>
    <x:row r="1616">
      <x:c r="A1616" s="59" t="str">
        <x:v>Low participation</x:v>
      </x:c>
      <x:c r="B1616" s="59" t="n">
        <x:v>153</x:v>
      </x:c>
      <x:c r="C1616" s="78" t="n">
        <x:f>(('Inputs'!$B$29*(3*153*'Inputs'!$B$12-153^2)/(2*'Inputs'!$B$12^2))-('Inputs'!$B$29*(3*152*'Inputs'!$B$12-152^2)/(2*'Inputs'!$B$12^2)))*'Inputs'!$B$48</x:f>
        <x:v>165601.83664852753</x:v>
      </x:c>
      <x:c r="D1616" s="78" t="n">
        <x:f>IF('Inputs'!$C$48&gt;0,('Inputs'!$B$30*(3*153*'Inputs'!$B$12-153^2)/(2*'Inputs'!$B$12^2))-('Inputs'!$B$30*(3*152*'Inputs'!$B$12-152^2)/(2*'Inputs'!$B$12^2)),0)</x:f>
        <x:v>283888.8628260493</x:v>
      </x:c>
      <x:c r="E1616" s="78" t="n">
        <x:f>C1616+D1616</x:f>
        <x:v>449490.69947457686</x:v>
      </x:c>
      <x:c r="F1616" s="78" t="n">
        <x:f>'Inputs'!$B$13*E1616+(1-'Inputs'!$B$13)/'Inputs'!$B$14*SUM(E1561:E1616)</x:f>
        <x:v>454344.0959842381</x:v>
      </x:c>
      <x:c r="G1616" s="78" t="n">
        <x:f>F1616*'Inputs'!$F$48</x:f>
        <x:v>227172.04799211904</x:v>
      </x:c>
      <x:c r="H1616" s="78" t="n">
        <x:f>U1615</x:f>
        <x:v>33902288.17488813</x:v>
      </x:c>
      <x:c r="I1616" s="78" t="n">
        <x:f>V1615</x:f>
        <x:v>333.6398131053934</x:v>
      </x:c>
      <x:c r="J1616" s="79" t="n">
        <x:f>IF(H1616&gt;0,I1616/H1616,0)</x:f>
        <x:v>0.000009841218132070649</x:v>
      </x:c>
      <x:c r="K1616" s="80" t="n">
        <x:f>(H1616*J1616+I1616)*'Inputs'!$D$48*(1+'Inputs'!$G$48)^(B1616/30)</x:f>
        <x:v>200.18388786323604</x:v>
      </x:c>
      <x:c r="L1616" s="80" t="n">
        <x:f>MAX(0,K1616*'Inputs'!$E$48)</x:f>
        <x:v>0</x:v>
      </x:c>
      <x:c r="M1616" s="80" t="n">
        <x:f>MAX(0,-K1616*'Inputs'!$E$48)</x:f>
        <x:v>0</x:v>
      </x:c>
      <x:c r="N1616" s="78" t="n">
        <x:f>H1616*(L1616*(1-'Inputs'!$B$15))/(I1616+L1616*(1-'Inputs'!$B$15))</x:f>
        <x:v>0</x:v>
      </x:c>
      <x:c r="O1616" s="78" t="n">
        <x:f>H1616-N1616</x:f>
        <x:v>33902288.17488813</x:v>
      </x:c>
      <x:c r="P1616" s="78" t="n">
        <x:f>I1616+L1616*(1-'Inputs'!$B$17)</x:f>
        <x:v>333.6398131053934</x:v>
      </x:c>
      <x:c r="Q1616" s="78" t="n">
        <x:f>IF(J1616&gt;0,M1616/J1616,0)</x:f>
        <x:v>0</x:v>
      </x:c>
      <x:c r="R1616" s="78" t="n">
        <x:f>IF(B1616='Inputs'!$H$48,'Inputs'!$B$27*'Inputs'!$I$48,0)</x:f>
        <x:v>0</x:v>
      </x:c>
      <x:c r="S1616" s="78" t="n">
        <x:f>Q1616+G1616+R1616</x:f>
        <x:v>227172.04799211904</x:v>
      </x:c>
      <x:c r="T1616" s="78" t="n">
        <x:f>P1616*(S1616*(1-'Inputs'!$B$15))/(O1616+S1616*(1-'Inputs'!$B$15))</x:f>
        <x:v>2.1987074391795804</x:v>
      </x:c>
      <x:c r="U1616" s="78" t="n">
        <x:f>O1616+S1616*(1-'Inputs'!$B$17)</x:f>
        <x:v>34128546.04964889</x:v>
      </x:c>
      <x:c r="V1616" s="78" t="n">
        <x:f>P1616-T1616</x:f>
        <x:v>331.4411056662138</x:v>
      </x:c>
      <x:c r="W1616" s="79" t="n">
        <x:f>IF(U1616&gt;0,V1616/U1616,0)</x:f>
        <x:v>0.000009711550711361864</x:v>
      </x:c>
      <x:c r="X1616" s="80" t="n">
        <x:f>W1616*('Inputs'!$B$6-AC1616)</x:f>
        <x:v>9679.965379108673</x:v>
      </x:c>
      <x:c r="Y1616" s="80" t="n">
        <x:f>2*V1616</x:f>
        <x:v>662.8822113324276</x:v>
      </x:c>
      <x:c r="Z1616" s="80" t="n">
        <x:f>K1616*'Inputs'!$B$16+(G1616+R1616)*J1616*'Inputs'!$B$16</x:f>
        <x:v>1.2145172252462142</x:v>
      </x:c>
      <x:c r="AA1616" s="80" t="n">
        <x:f>K1616*(1+'Inputs'!$E$48)/2*'Inputs'!$B$17</x:f>
        <x:v>0.40278448262220534</x:v>
      </x:c>
      <x:c r="AB1616" s="78" t="n">
        <x:f>(IF(J1616&gt;0,K1616*(1-'Inputs'!$E$48)/2/J1616,0)+G1616+R1616)*'Inputs'!$B$17</x:f>
        <x:v>41842.48893544692</x:v>
      </x:c>
      <x:c r="AC1616" s="78" t="n">
        <x:f>AC1615+AB1616</x:f>
        <x:v>3252346.9414866855</x:v>
      </x:c>
      <x:c r="AD1616" s="80" t="n">
        <x:f>Z1616/(1+'Inputs'!$C$48)</x:f>
        <x:v>0.9716137801969713</x:v>
      </x:c>
      <x:c r="AE1616" s="80" t="n">
        <x:f>Z1616-AD1616</x:f>
        <x:v>0.24290344504924288</x:v>
      </x:c>
      <x:c r="AF1616" s="80" t="n">
        <x:f>D1616*W1616</x:f>
        <x:v>2.7570010877260303</x:v>
      </x:c>
      <x:c r="AG1616" s="80" t="n">
        <x:f>C1616*W1616</x:f>
        <x:v>1.6082506345068388</x:v>
      </x:c>
      <x:c r="AH1616" s="80" t="n">
        <x:f>2*'Inputs'!$B$8*'Inputs'!$C$48</x:f>
        <x:v>1250</x:v>
      </x:c>
      <x:c r="AI1616" s="81" t="n">
        <x:f>IF(AH1616&gt;0,(AE1616+AF1616)/AH1616*365,0)</x:f>
        <x:v>0.8759721235703798</x:v>
      </x:c>
      <x:c r="AJ1616" s="81" t="n">
        <x:f>IF('Inputs'!$B$48&gt;0,AG1616/('Inputs'!$B$19*'Inputs'!$B$48)*365,0)</x:f>
        <x:v>0.23480459263799847</x:v>
      </x:c>
      <x:c r="AK1616" s="81" t="n">
        <x:f>W1616/MAX($W$1464:W1616)-1</x:f>
        <x:v>-0.9885793804080406</x:v>
      </x:c>
      <x:c r="AL1616" s="83" t="n">
        <x:f>'Inputs'!$B$48</x:f>
        <x:v>0.25</x:v>
      </x:c>
      <x:c r="AM1616" s="83" t="n">
        <x:f>'Inputs'!$C$48</x:f>
        <x:v>0.25</x:v>
      </x:c>
      <x:c r="AN1616" s="83" t="n">
        <x:f>'Inputs'!$D$48</x:f>
        <x:v>0.3</x:v>
      </x:c>
      <x:c r="AO1616" s="81" t="n">
        <x:f>'Inputs'!$E$48</x:f>
        <x:v>0</x:v>
      </x:c>
    </x:row>
    <x:row r="1617">
      <x:c r="A1617" s="59" t="str">
        <x:v>Low participation</x:v>
      </x:c>
      <x:c r="B1617" s="59" t="n">
        <x:v>154</x:v>
      </x:c>
      <x:c r="C1617" s="78" t="n">
        <x:f>(('Inputs'!$B$29*(3*154*'Inputs'!$B$12-154^2)/(2*'Inputs'!$B$12^2))-('Inputs'!$B$29*(3*153*'Inputs'!$B$12-153^2)/(2*'Inputs'!$B$12^2)))*'Inputs'!$B$48</x:f>
        <x:v>165520.55967348441</x:v>
      </x:c>
      <x:c r="D1617" s="78" t="n">
        <x:f>IF('Inputs'!$C$48&gt;0,('Inputs'!$B$30*(3*154*'Inputs'!$B$12-154^2)/(2*'Inputs'!$B$12^2))-('Inputs'!$B$30*(3*153*'Inputs'!$B$12-153^2)/(2*'Inputs'!$B$12^2)),0)</x:f>
        <x:v>283749.5308688283</x:v>
      </x:c>
      <x:c r="E1617" s="78" t="n">
        <x:f>C1617+D1617</x:f>
        <x:v>449270.0905423127</x:v>
      </x:c>
      <x:c r="F1617" s="78" t="n">
        <x:f>'Inputs'!$B$13*E1617+(1-'Inputs'!$B$13)/'Inputs'!$B$14*SUM(E1562:E1617)</x:f>
        <x:v>454123.4870519792</x:v>
      </x:c>
      <x:c r="G1617" s="78" t="n">
        <x:f>F1617*'Inputs'!$F$48</x:f>
        <x:v>227061.7435259896</x:v>
      </x:c>
      <x:c r="H1617" s="78" t="n">
        <x:f>U1616</x:f>
        <x:v>34128546.04964889</x:v>
      </x:c>
      <x:c r="I1617" s="78" t="n">
        <x:f>V1616</x:f>
        <x:v>331.4411056662138</x:v>
      </x:c>
      <x:c r="J1617" s="79" t="n">
        <x:f>IF(H1617&gt;0,I1617/H1617,0)</x:f>
        <x:v>0.000009711550711361864</x:v>
      </x:c>
      <x:c r="K1617" s="80" t="n">
        <x:f>(H1617*J1617+I1617)*'Inputs'!$D$48*(1+'Inputs'!$G$48)^(B1617/30)</x:f>
        <x:v>198.86466339972827</x:v>
      </x:c>
      <x:c r="L1617" s="80" t="n">
        <x:f>MAX(0,K1617*'Inputs'!$E$48)</x:f>
        <x:v>0</x:v>
      </x:c>
      <x:c r="M1617" s="80" t="n">
        <x:f>MAX(0,-K1617*'Inputs'!$E$48)</x:f>
        <x:v>0</x:v>
      </x:c>
      <x:c r="N1617" s="78" t="n">
        <x:f>H1617*(L1617*(1-'Inputs'!$B$15))/(I1617+L1617*(1-'Inputs'!$B$15))</x:f>
        <x:v>0</x:v>
      </x:c>
      <x:c r="O1617" s="78" t="n">
        <x:f>H1617-N1617</x:f>
        <x:v>34128546.04964889</x:v>
      </x:c>
      <x:c r="P1617" s="78" t="n">
        <x:f>I1617+L1617*(1-'Inputs'!$B$17)</x:f>
        <x:v>331.4411056662138</x:v>
      </x:c>
      <x:c r="Q1617" s="78" t="n">
        <x:f>IF(J1617&gt;0,M1617/J1617,0)</x:f>
        <x:v>0</x:v>
      </x:c>
      <x:c r="R1617" s="78" t="n">
        <x:f>IF(B1617='Inputs'!$H$48,'Inputs'!$B$27*'Inputs'!$I$48,0)</x:f>
        <x:v>0</x:v>
      </x:c>
      <x:c r="S1617" s="78" t="n">
        <x:f>Q1617+G1617+R1617</x:f>
        <x:v>227061.7435259896</x:v>
      </x:c>
      <x:c r="T1617" s="78" t="n">
        <x:f>P1617*(S1617*(1-'Inputs'!$B$15))/(O1617+S1617*(1-'Inputs'!$B$15))</x:f>
        <x:v>2.1687854951128385</x:v>
      </x:c>
      <x:c r="U1617" s="78" t="n">
        <x:f>O1617+S1617*(1-'Inputs'!$B$17)</x:f>
        <x:v>34354694.063824676</x:v>
      </x:c>
      <x:c r="V1617" s="78" t="n">
        <x:f>P1617-T1617</x:f>
        <x:v>329.27232017110094</x:v>
      </x:c>
      <x:c r="W1617" s="79" t="n">
        <x:f>IF(U1617&gt;0,V1617/U1617,0)</x:f>
        <x:v>0.000009584492866080361</x:v>
      </x:c>
      <x:c r="X1617" s="80" t="n">
        <x:f>W1617*('Inputs'!$B$6-AC1617)</x:f>
        <x:v>9552.917117251025</x:v>
      </x:c>
      <x:c r="Y1617" s="80" t="n">
        <x:f>2*V1617</x:f>
        <x:v>658.5446403422019</x:v>
      </x:c>
      <x:c r="Z1617" s="80" t="n">
        <x:f>K1617*'Inputs'!$B$16+(G1617+R1617)*J1617*'Inputs'!$B$16</x:f>
        <x:v>1.206418710219547</x:v>
      </x:c>
      <x:c r="AA1617" s="80" t="n">
        <x:f>K1617*(1+'Inputs'!$E$48)/2*'Inputs'!$B$17</x:f>
        <x:v>0.4001301074441213</x:v>
      </x:c>
      <x:c r="AB1617" s="78" t="n">
        <x:f>(IF(J1617&gt;0,K1617*(1-'Inputs'!$E$48)/2/J1617,0)+G1617+R1617)*'Inputs'!$B$17</x:f>
        <x:v>42115.1933940469</x:v>
      </x:c>
      <x:c r="AC1617" s="78" t="n">
        <x:f>AC1616+AB1617</x:f>
        <x:v>3294462.1348807323</x:v>
      </x:c>
      <x:c r="AD1617" s="80" t="n">
        <x:f>Z1617/(1+'Inputs'!$C$48)</x:f>
        <x:v>0.9651349681756376</x:v>
      </x:c>
      <x:c r="AE1617" s="80" t="n">
        <x:f>Z1617-AD1617</x:f>
        <x:v>0.24128374204390934</x:v>
      </x:c>
      <x:c r="AF1617" s="80" t="n">
        <x:f>D1617*W1617</x:f>
        <x:v>2.719595354365934</x:v>
      </x:c>
      <x:c r="AG1617" s="80" t="n">
        <x:f>C1617*W1617</x:f>
        <x:v>1.58643062338014</x:v>
      </x:c>
      <x:c r="AH1617" s="80" t="n">
        <x:f>2*'Inputs'!$B$8*'Inputs'!$C$48</x:f>
        <x:v>1250</x:v>
      </x:c>
      <x:c r="AI1617" s="81" t="n">
        <x:f>IF(AH1617&gt;0,(AE1617+AF1617)/AH1617*365,0)</x:f>
        <x:v>0.8645766961516741</x:v>
      </x:c>
      <x:c r="AJ1617" s="81" t="n">
        <x:f>IF('Inputs'!$B$48&gt;0,AG1617/('Inputs'!$B$19*'Inputs'!$B$48)*365,0)</x:f>
        <x:v>0.23161887101350043</x:v>
      </x:c>
      <x:c r="AK1617" s="81" t="n">
        <x:f>W1617/MAX($W$1464:W1617)-1</x:f>
        <x:v>-0.9887287982878686</x:v>
      </x:c>
      <x:c r="AL1617" s="83" t="n">
        <x:f>'Inputs'!$B$48</x:f>
        <x:v>0.25</x:v>
      </x:c>
      <x:c r="AM1617" s="83" t="n">
        <x:f>'Inputs'!$C$48</x:f>
        <x:v>0.25</x:v>
      </x:c>
      <x:c r="AN1617" s="83" t="n">
        <x:f>'Inputs'!$D$48</x:f>
        <x:v>0.3</x:v>
      </x:c>
      <x:c r="AO1617" s="81" t="n">
        <x:f>'Inputs'!$E$48</x:f>
        <x:v>0</x:v>
      </x:c>
    </x:row>
    <x:row r="1618">
      <x:c r="A1618" s="59" t="str">
        <x:v>Low participation</x:v>
      </x:c>
      <x:c r="B1618" s="59" t="n">
        <x:v>155</x:v>
      </x:c>
      <x:c r="C1618" s="78" t="n">
        <x:f>(('Inputs'!$B$29*(3*155*'Inputs'!$B$12-155^2)/(2*'Inputs'!$B$12^2))-('Inputs'!$B$29*(3*154*'Inputs'!$B$12-154^2)/(2*'Inputs'!$B$12^2)))*'Inputs'!$B$48</x:f>
        <x:v>165439.2826984413</x:v>
      </x:c>
      <x:c r="D1618" s="78" t="n">
        <x:f>IF('Inputs'!$C$48&gt;0,('Inputs'!$B$30*(3*155*'Inputs'!$B$12-155^2)/(2*'Inputs'!$B$12^2))-('Inputs'!$B$30*(3*154*'Inputs'!$B$12-154^2)/(2*'Inputs'!$B$12^2)),0)</x:f>
        <x:v>283610.1989116147</x:v>
      </x:c>
      <x:c r="E1618" s="78" t="n">
        <x:f>C1618+D1618</x:f>
        <x:v>449049.481610056</x:v>
      </x:c>
      <x:c r="F1618" s="78" t="n">
        <x:f>'Inputs'!$B$13*E1618+(1-'Inputs'!$B$13)/'Inputs'!$B$14*SUM(E1563:E1618)</x:f>
        <x:v>453902.87811972183</x:v>
      </x:c>
      <x:c r="G1618" s="78" t="n">
        <x:f>F1618*'Inputs'!$F$48</x:f>
        <x:v>226951.43905986092</x:v>
      </x:c>
      <x:c r="H1618" s="78" t="n">
        <x:f>U1617</x:f>
        <x:v>34354694.063824676</x:v>
      </x:c>
      <x:c r="I1618" s="78" t="n">
        <x:f>V1617</x:f>
        <x:v>329.27232017110094</x:v>
      </x:c>
      <x:c r="J1618" s="79" t="n">
        <x:f>IF(H1618&gt;0,I1618/H1618,0)</x:f>
        <x:v>0.000009584492866080361</x:v>
      </x:c>
      <x:c r="K1618" s="80" t="n">
        <x:f>(H1618*J1618+I1618)*'Inputs'!$D$48*(1+'Inputs'!$G$48)^(B1618/30)</x:f>
        <x:v>197.56339210266057</x:v>
      </x:c>
      <x:c r="L1618" s="80" t="n">
        <x:f>MAX(0,K1618*'Inputs'!$E$48)</x:f>
        <x:v>0</x:v>
      </x:c>
      <x:c r="M1618" s="80" t="n">
        <x:f>MAX(0,-K1618*'Inputs'!$E$48)</x:f>
        <x:v>0</x:v>
      </x:c>
      <x:c r="N1618" s="78" t="n">
        <x:f>H1618*(L1618*(1-'Inputs'!$B$15))/(I1618+L1618*(1-'Inputs'!$B$15))</x:f>
        <x:v>0</x:v>
      </x:c>
      <x:c r="O1618" s="78" t="n">
        <x:f>H1618-N1618</x:f>
        <x:v>34354694.063824676</x:v>
      </x:c>
      <x:c r="P1618" s="78" t="n">
        <x:f>I1618+L1618*(1-'Inputs'!$B$17)</x:f>
        <x:v>329.27232017110094</x:v>
      </x:c>
      <x:c r="Q1618" s="78" t="n">
        <x:f>IF(J1618&gt;0,M1618/J1618,0)</x:f>
        <x:v>0</x:v>
      </x:c>
      <x:c r="R1618" s="78" t="n">
        <x:f>IF(B1618='Inputs'!$H$48,'Inputs'!$B$27*'Inputs'!$I$48,0)</x:f>
        <x:v>0</x:v>
      </x:c>
      <x:c r="S1618" s="78" t="n">
        <x:f>Q1618+G1618+R1618</x:f>
        <x:v>226951.43905986092</x:v>
      </x:c>
      <x:c r="T1618" s="78" t="n">
        <x:f>P1618*(S1618*(1-'Inputs'!$B$15))/(O1618+S1618*(1-'Inputs'!$B$15))</x:f>
        <x:v>2.1394700315290067</x:v>
      </x:c>
      <x:c r="U1618" s="78" t="n">
        <x:f>O1618+S1618*(1-'Inputs'!$B$17)</x:f>
        <x:v>34580732.21741548</x:v>
      </x:c>
      <x:c r="V1618" s="78" t="n">
        <x:f>P1618-T1618</x:f>
        <x:v>327.13285013957193</x:v>
      </x:c>
      <x:c r="W1618" s="79" t="n">
        <x:f>IF(U1618&gt;0,V1618/U1618,0)</x:f>
        <x:v>0.000009459974649548396</x:v>
      </x:c>
      <x:c r="X1618" s="80" t="n">
        <x:f>W1618*('Inputs'!$B$6-AC1618)</x:f>
        <x:v>9428.408134084057</x:v>
      </x:c>
      <x:c r="Y1618" s="80" t="n">
        <x:f>2*V1618</x:f>
        <x:v>654.2657002791439</x:v>
      </x:c>
      <x:c r="Z1618" s="80" t="n">
        <x:f>K1618*'Inputs'!$B$16+(G1618+R1618)*J1618*'Inputs'!$B$16</x:f>
        <x:v>1.1984316393076588</x:v>
      </x:c>
      <x:c r="AA1618" s="80" t="n">
        <x:f>K1618*(1+'Inputs'!$E$48)/2*'Inputs'!$B$17</x:f>
        <x:v>0.39751185533734523</x:v>
      </x:c>
      <x:c r="AB1618" s="78" t="n">
        <x:f>(IF(J1618&gt;0,K1618*(1-'Inputs'!$E$48)/2/J1618,0)+G1618+R1618)*'Inputs'!$B$17</x:f>
        <x:v>42387.7652241741</x:v>
      </x:c>
      <x:c r="AC1618" s="78" t="n">
        <x:f>AC1617+AB1618</x:f>
        <x:v>3336849.9001049064</x:v>
      </x:c>
      <x:c r="AD1618" s="80" t="n">
        <x:f>Z1618/(1+'Inputs'!$C$48)</x:f>
        <x:v>0.9587453114461271</x:v>
      </x:c>
      <x:c r="AE1618" s="80" t="n">
        <x:f>Z1618-AD1618</x:f>
        <x:v>0.23968632786153177</x:v>
      </x:c>
      <x:c r="AF1618" s="80" t="n">
        <x:f>D1618*W1618</x:f>
        <x:v>2.682945292057253</x:v>
      </x:c>
      <x:c r="AG1618" s="80" t="n">
        <x:f>C1618*W1618</x:f>
        <x:v>1.5650514203667252</x:v>
      </x:c>
      <x:c r="AH1618" s="80" t="n">
        <x:f>2*'Inputs'!$B$8*'Inputs'!$C$48</x:f>
        <x:v>1250</x:v>
      </x:c>
      <x:c r="AI1618" s="81" t="n">
        <x:f>IF(AH1618&gt;0,(AE1618+AF1618)/AH1618*365,0)</x:f>
        <x:v>0.8534084330162851</x:v>
      </x:c>
      <x:c r="AJ1618" s="81" t="n">
        <x:f>IF('Inputs'!$B$48&gt;0,AG1618/('Inputs'!$B$19*'Inputs'!$B$48)*365,0)</x:f>
        <x:v>0.22849750737354188</x:v>
      </x:c>
      <x:c r="AK1618" s="81" t="n">
        <x:f>W1618/MAX($W$1464:W1618)-1</x:f>
        <x:v>-0.9888752296071859</x:v>
      </x:c>
      <x:c r="AL1618" s="83" t="n">
        <x:f>'Inputs'!$B$48</x:f>
        <x:v>0.25</x:v>
      </x:c>
      <x:c r="AM1618" s="83" t="n">
        <x:f>'Inputs'!$C$48</x:f>
        <x:v>0.25</x:v>
      </x:c>
      <x:c r="AN1618" s="83" t="n">
        <x:f>'Inputs'!$D$48</x:f>
        <x:v>0.3</x:v>
      </x:c>
      <x:c r="AO1618" s="81" t="n">
        <x:f>'Inputs'!$E$48</x:f>
        <x:v>0</x:v>
      </x:c>
    </x:row>
    <x:row r="1619">
      <x:c r="A1619" s="59" t="str">
        <x:v>Low participation</x:v>
      </x:c>
      <x:c r="B1619" s="59" t="n">
        <x:v>156</x:v>
      </x:c>
      <x:c r="C1619" s="78" t="n">
        <x:f>(('Inputs'!$B$29*(3*156*'Inputs'!$B$12-156^2)/(2*'Inputs'!$B$12^2))-('Inputs'!$B$29*(3*155*'Inputs'!$B$12-155^2)/(2*'Inputs'!$B$12^2)))*'Inputs'!$B$48</x:f>
        <x:v>165358.0057234019</x:v>
      </x:c>
      <x:c r="D1619" s="78" t="n">
        <x:f>IF('Inputs'!$C$48&gt;0,('Inputs'!$B$30*(3*156*'Inputs'!$B$12-156^2)/(2*'Inputs'!$B$12^2))-('Inputs'!$B$30*(3*155*'Inputs'!$B$12-155^2)/(2*'Inputs'!$B$12^2)),0)</x:f>
        <x:v>283470.86695440114</x:v>
      </x:c>
      <x:c r="E1619" s="78" t="n">
        <x:f>C1619+D1619</x:f>
        <x:v>448828.87267780304</x:v>
      </x:c>
      <x:c r="F1619" s="78" t="n">
        <x:f>'Inputs'!$B$13*E1619+(1-'Inputs'!$B$13)/'Inputs'!$B$14*SUM(E1564:E1619)</x:f>
        <x:v>453682.2691874653</x:v>
      </x:c>
      <x:c r="G1619" s="78" t="n">
        <x:f>F1619*'Inputs'!$F$48</x:f>
        <x:v>226841.13459373266</x:v>
      </x:c>
      <x:c r="H1619" s="78" t="n">
        <x:f>U1618</x:f>
        <x:v>34580732.21741548</x:v>
      </x:c>
      <x:c r="I1619" s="78" t="n">
        <x:f>V1618</x:f>
        <x:v>327.13285013957193</x:v>
      </x:c>
      <x:c r="J1619" s="79" t="n">
        <x:f>IF(H1619&gt;0,I1619/H1619,0)</x:f>
        <x:v>0.000009459974649548396</x:v>
      </x:c>
      <x:c r="K1619" s="80" t="n">
        <x:f>(H1619*J1619+I1619)*'Inputs'!$D$48*(1+'Inputs'!$G$48)^(B1619/30)</x:f>
        <x:v>196.27971008374314</x:v>
      </x:c>
      <x:c r="L1619" s="80" t="n">
        <x:f>MAX(0,K1619*'Inputs'!$E$48)</x:f>
        <x:v>0</x:v>
      </x:c>
      <x:c r="M1619" s="80" t="n">
        <x:f>MAX(0,-K1619*'Inputs'!$E$48)</x:f>
        <x:v>0</x:v>
      </x:c>
      <x:c r="N1619" s="78" t="n">
        <x:f>H1619*(L1619*(1-'Inputs'!$B$15))/(I1619+L1619*(1-'Inputs'!$B$15))</x:f>
        <x:v>0</x:v>
      </x:c>
      <x:c r="O1619" s="78" t="n">
        <x:f>H1619-N1619</x:f>
        <x:v>34580732.21741548</x:v>
      </x:c>
      <x:c r="P1619" s="78" t="n">
        <x:f>I1619+L1619*(1-'Inputs'!$B$17)</x:f>
        <x:v>327.13285013957193</x:v>
      </x:c>
      <x:c r="Q1619" s="78" t="n">
        <x:f>IF(J1619&gt;0,M1619/J1619,0)</x:f>
        <x:v>0</x:v>
      </x:c>
      <x:c r="R1619" s="78" t="n">
        <x:f>IF(B1619='Inputs'!$H$48,'Inputs'!$B$27*'Inputs'!$I$48,0)</x:f>
        <x:v>0</x:v>
      </x:c>
      <x:c r="S1619" s="78" t="n">
        <x:f>Q1619+G1619+R1619</x:f>
        <x:v>226841.13459373266</x:v>
      </x:c>
      <x:c r="T1619" s="78" t="n">
        <x:f>P1619*(S1619*(1-'Inputs'!$B$15))/(O1619+S1619*(1-'Inputs'!$B$15))</x:f>
        <x:v>2.110744759883623</x:v>
      </x:c>
      <x:c r="U1619" s="78" t="n">
        <x:f>O1619+S1619*(1-'Inputs'!$B$17)</x:f>
        <x:v>34806660.51042131</x:v>
      </x:c>
      <x:c r="V1619" s="78" t="n">
        <x:f>P1619-T1619</x:f>
        <x:v>325.0221053796883</x:v>
      </x:c>
      <x:c r="W1619" s="79" t="n">
        <x:f>IF(U1619&gt;0,V1619/U1619,0)</x:f>
        <x:v>0.000009337928448561585</x:v>
      </x:c>
      <x:c r="X1619" s="80" t="n">
        <x:f>W1619*('Inputs'!$B$6-AC1619)</x:f>
        <x:v>9306.370825014286</x:v>
      </x:c>
      <x:c r="Y1619" s="80" t="n">
        <x:f>2*V1619</x:f>
        <x:v>650.0442107593766</x:v>
      </x:c>
      <x:c r="Z1619" s="80" t="n">
        <x:f>K1619*'Inputs'!$B$16+(G1619+R1619)*J1619*'Inputs'!$B$16</x:f>
        <x:v>1.190553728798848</x:v>
      </x:c>
      <x:c r="AA1619" s="80" t="n">
        <x:f>K1619*(1+'Inputs'!$E$48)/2*'Inputs'!$B$17</x:f>
        <x:v>0.39492899413228</x:v>
      </x:c>
      <x:c r="AB1619" s="78" t="n">
        <x:f>(IF(J1619&gt;0,K1619*(1-'Inputs'!$E$48)/2/J1619,0)+G1619+R1619)*'Inputs'!$B$17</x:f>
        <x:v>42660.20442582848</x:v>
      </x:c>
      <x:c r="AC1619" s="78" t="n">
        <x:f>AC1618+AB1619</x:f>
        <x:v>3379510.104530735</x:v>
      </x:c>
      <x:c r="AD1619" s="80" t="n">
        <x:f>Z1619/(1+'Inputs'!$C$48)</x:f>
        <x:v>0.9524429830390784</x:v>
      </x:c>
      <x:c r="AE1619" s="80" t="n">
        <x:f>Z1619-AD1619</x:f>
        <x:v>0.23811074575976954</x:v>
      </x:c>
      <x:c r="AF1619" s="80" t="n">
        <x:f>D1619*W1619</x:f>
        <x:v>2.6470306728719186</x:v>
      </x:c>
      <x:c r="AG1619" s="80" t="n">
        <x:f>C1619*W1619</x:f>
        <x:v>1.544101225841964</x:v>
      </x:c>
      <x:c r="AH1619" s="80" t="n">
        <x:f>2*'Inputs'!$B$8*'Inputs'!$C$48</x:f>
        <x:v>1250</x:v>
      </x:c>
      <x:c r="AI1619" s="81" t="n">
        <x:f>IF(AH1619&gt;0,(AE1619+AF1619)/AH1619*365,0)</x:f>
        <x:v>0.842461294240453</x:v>
      </x:c>
      <x:c r="AJ1619" s="81" t="n">
        <x:f>IF('Inputs'!$B$48&gt;0,AG1619/('Inputs'!$B$19*'Inputs'!$B$48)*365,0)</x:f>
        <x:v>0.22543877897292675</x:v>
      </x:c>
      <x:c r="AK1619" s="81" t="n">
        <x:f>W1619/MAX($W$1464:W1619)-1</x:f>
        <x:v>-0.9890187538779786</x:v>
      </x:c>
      <x:c r="AL1619" s="83" t="n">
        <x:f>'Inputs'!$B$48</x:f>
        <x:v>0.25</x:v>
      </x:c>
      <x:c r="AM1619" s="83" t="n">
        <x:f>'Inputs'!$C$48</x:f>
        <x:v>0.25</x:v>
      </x:c>
      <x:c r="AN1619" s="83" t="n">
        <x:f>'Inputs'!$D$48</x:f>
        <x:v>0.3</x:v>
      </x:c>
      <x:c r="AO1619" s="81" t="n">
        <x:f>'Inputs'!$E$48</x:f>
        <x:v>0</x:v>
      </x:c>
    </x:row>
    <x:row r="1620">
      <x:c r="A1620" s="59" t="str">
        <x:v>Low participation</x:v>
      </x:c>
      <x:c r="B1620" s="59" t="n">
        <x:v>157</x:v>
      </x:c>
      <x:c r="C1620" s="78" t="n">
        <x:f>(('Inputs'!$B$29*(3*157*'Inputs'!$B$12-157^2)/(2*'Inputs'!$B$12^2))-('Inputs'!$B$29*(3*156*'Inputs'!$B$12-156^2)/(2*'Inputs'!$B$12^2)))*'Inputs'!$B$48</x:f>
        <x:v>165276.7287483588</x:v>
      </x:c>
      <x:c r="D1620" s="78" t="n">
        <x:f>IF('Inputs'!$C$48&gt;0,('Inputs'!$B$30*(3*157*'Inputs'!$B$12-157^2)/(2*'Inputs'!$B$12^2))-('Inputs'!$B$30*(3*156*'Inputs'!$B$12-156^2)/(2*'Inputs'!$B$12^2)),0)</x:f>
        <x:v>283331.53499718755</x:v>
      </x:c>
      <x:c r="E1620" s="78" t="n">
        <x:f>C1620+D1620</x:f>
        <x:v>448608.26374554634</x:v>
      </x:c>
      <x:c r="F1620" s="78" t="n">
        <x:f>'Inputs'!$B$13*E1620+(1-'Inputs'!$B$13)/'Inputs'!$B$14*SUM(E1565:E1620)</x:f>
        <x:v>453461.66025520803</x:v>
      </x:c>
      <x:c r="G1620" s="78" t="n">
        <x:f>F1620*'Inputs'!$F$48</x:f>
        <x:v>226730.83012760401</x:v>
      </x:c>
      <x:c r="H1620" s="78" t="n">
        <x:f>U1619</x:f>
        <x:v>34806660.51042131</x:v>
      </x:c>
      <x:c r="I1620" s="78" t="n">
        <x:f>V1619</x:f>
        <x:v>325.0221053796883</x:v>
      </x:c>
      <x:c r="J1620" s="79" t="n">
        <x:f>IF(H1620&gt;0,I1620/H1620,0)</x:f>
        <x:v>0.000009337928448561585</x:v>
      </x:c>
      <x:c r="K1620" s="80" t="n">
        <x:f>(H1620*J1620+I1620)*'Inputs'!$D$48*(1+'Inputs'!$G$48)^(B1620/30)</x:f>
        <x:v>195.01326322781298</x:v>
      </x:c>
      <x:c r="L1620" s="80" t="n">
        <x:f>MAX(0,K1620*'Inputs'!$E$48)</x:f>
        <x:v>0</x:v>
      </x:c>
      <x:c r="M1620" s="80" t="n">
        <x:f>MAX(0,-K1620*'Inputs'!$E$48)</x:f>
        <x:v>0</x:v>
      </x:c>
      <x:c r="N1620" s="78" t="n">
        <x:f>H1620*(L1620*(1-'Inputs'!$B$15))/(I1620+L1620*(1-'Inputs'!$B$15))</x:f>
        <x:v>0</x:v>
      </x:c>
      <x:c r="O1620" s="78" t="n">
        <x:f>H1620-N1620</x:f>
        <x:v>34806660.51042131</x:v>
      </x:c>
      <x:c r="P1620" s="78" t="n">
        <x:f>I1620+L1620*(1-'Inputs'!$B$17)</x:f>
        <x:v>325.0221053796883</x:v>
      </x:c>
      <x:c r="Q1620" s="78" t="n">
        <x:f>IF(J1620&gt;0,M1620/J1620,0)</x:f>
        <x:v>0</x:v>
      </x:c>
      <x:c r="R1620" s="78" t="n">
        <x:f>IF(B1620='Inputs'!$H$48,'Inputs'!$B$27*'Inputs'!$I$48,0)</x:f>
        <x:v>0</x:v>
      </x:c>
      <x:c r="S1620" s="78" t="n">
        <x:f>Q1620+G1620+R1620</x:f>
        <x:v>226730.83012760401</x:v>
      </x:c>
      <x:c r="T1620" s="78" t="n">
        <x:f>P1620*(S1620*(1-'Inputs'!$B$15))/(O1620+S1620*(1-'Inputs'!$B$15))</x:f>
        <x:v>2.0825939349754807</x:v>
      </x:c>
      <x:c r="U1620" s="78" t="n">
        <x:f>O1620+S1620*(1-'Inputs'!$B$17)</x:f>
        <x:v>35032478.94284216</x:v>
      </x:c>
      <x:c r="V1620" s="78" t="n">
        <x:f>P1620-T1620</x:f>
        <x:v>322.9395114447128</x:v>
      </x:c>
      <x:c r="W1620" s="79" t="n">
        <x:f>IF(U1620&gt;0,V1620/U1620,0)</x:f>
        <x:v>0.000009218288890478184</x:v>
      </x:c>
      <x:c r="X1620" s="80" t="n">
        <x:f>W1620*('Inputs'!$B$6-AC1620)</x:f>
        <x:v>9186.739825737146</x:v>
      </x:c>
      <x:c r="Y1620" s="80" t="n">
        <x:f>2*V1620</x:f>
        <x:v>645.8790228894256</x:v>
      </x:c>
      <x:c r="Z1620" s="80" t="n">
        <x:f>K1620*'Inputs'!$B$16+(G1620+R1620)*J1620*'Inputs'!$B$16</x:f>
        <x:v>1.182782756979765</x:v>
      </x:c>
      <x:c r="AA1620" s="80" t="n">
        <x:f>K1620*(1+'Inputs'!$E$48)/2*'Inputs'!$B$17</x:f>
        <x:v>0.3923808113235674</x:v>
      </x:c>
      <x:c r="AB1620" s="78" t="n">
        <x:f>(IF(J1620&gt;0,K1620*(1-'Inputs'!$E$48)/2/J1620,0)+G1620+R1620)*'Inputs'!$B$17</x:f>
        <x:v>42932.51099901006</x:v>
      </x:c>
      <x:c r="AC1620" s="78" t="n">
        <x:f>AC1619+AB1620</x:f>
        <x:v>3422442.615529745</x:v>
      </x:c>
      <x:c r="AD1620" s="80" t="n">
        <x:f>Z1620/(1+'Inputs'!$C$48)</x:f>
        <x:v>0.9462262055838121</x:v>
      </x:c>
      <x:c r="AE1620" s="80" t="n">
        <x:f>Z1620-AD1620</x:f>
        <x:v>0.236556551395953</x:v>
      </x:c>
      <x:c r="AF1620" s="80" t="n">
        <x:f>D1620*W1620</x:f>
        <x:v>2.6118319413867046</x:v>
      </x:c>
      <x:c r="AG1620" s="80" t="n">
        <x:f>C1620*W1620</x:f>
        <x:v>1.523568632475572</x:v>
      </x:c>
      <x:c r="AH1620" s="80" t="n">
        <x:f>2*'Inputs'!$B$8*'Inputs'!$C$48</x:f>
        <x:v>1250</x:v>
      </x:c>
      <x:c r="AI1620" s="81" t="n">
        <x:f>IF(AH1620&gt;0,(AE1620+AF1620)/AH1620*365,0)</x:f>
        <x:v>0.831729439892536</x:v>
      </x:c>
      <x:c r="AJ1620" s="81" t="n">
        <x:f>IF('Inputs'!$B$48&gt;0,AG1620/('Inputs'!$B$19*'Inputs'!$B$48)*365,0)</x:f>
        <x:v>0.2224410203414335</x:v>
      </x:c>
      <x:c r="AK1620" s="81" t="n">
        <x:f>W1620/MAX($W$1464:W1620)-1</x:f>
        <x:v>-0.9891594479773691</x:v>
      </x:c>
      <x:c r="AL1620" s="83" t="n">
        <x:f>'Inputs'!$B$48</x:f>
        <x:v>0.25</x:v>
      </x:c>
      <x:c r="AM1620" s="83" t="n">
        <x:f>'Inputs'!$C$48</x:f>
        <x:v>0.25</x:v>
      </x:c>
      <x:c r="AN1620" s="83" t="n">
        <x:f>'Inputs'!$D$48</x:f>
        <x:v>0.3</x:v>
      </x:c>
      <x:c r="AO1620" s="81" t="n">
        <x:f>'Inputs'!$E$48</x:f>
        <x:v>0</x:v>
      </x:c>
    </x:row>
    <x:row r="1621">
      <x:c r="A1621" s="59" t="str">
        <x:v>Low participation</x:v>
      </x:c>
      <x:c r="B1621" s="59" t="n">
        <x:v>158</x:v>
      </x:c>
      <x:c r="C1621" s="78" t="n">
        <x:f>(('Inputs'!$B$29*(3*158*'Inputs'!$B$12-158^2)/(2*'Inputs'!$B$12^2))-('Inputs'!$B$29*(3*157*'Inputs'!$B$12-157^2)/(2*'Inputs'!$B$12^2)))*'Inputs'!$B$48</x:f>
        <x:v>165195.45177331567</x:v>
      </x:c>
      <x:c r="D1621" s="78" t="n">
        <x:f>IF('Inputs'!$C$48&gt;0,('Inputs'!$B$30*(3*158*'Inputs'!$B$12-158^2)/(2*'Inputs'!$B$12^2))-('Inputs'!$B$30*(3*157*'Inputs'!$B$12-157^2)/(2*'Inputs'!$B$12^2)),0)</x:f>
        <x:v>283192.2030399665</x:v>
      </x:c>
      <x:c r="E1621" s="78" t="n">
        <x:f>C1621+D1621</x:f>
        <x:v>448387.6548132822</x:v>
      </x:c>
      <x:c r="F1621" s="78" t="n">
        <x:f>'Inputs'!$B$13*E1621+(1-'Inputs'!$B$13)/'Inputs'!$B$14*SUM(E1566:E1621)</x:f>
        <x:v>453241.0513229492</x:v>
      </x:c>
      <x:c r="G1621" s="78" t="n">
        <x:f>F1621*'Inputs'!$F$48</x:f>
        <x:v>226620.5256614746</x:v>
      </x:c>
      <x:c r="H1621" s="78" t="n">
        <x:f>U1620</x:f>
        <x:v>35032478.94284216</x:v>
      </x:c>
      <x:c r="I1621" s="78" t="n">
        <x:f>V1620</x:f>
        <x:v>322.9395114447128</x:v>
      </x:c>
      <x:c r="J1621" s="79" t="n">
        <x:f>IF(H1621&gt;0,I1621/H1621,0)</x:f>
        <x:v>0.000009218288890478184</x:v>
      </x:c>
      <x:c r="K1621" s="80" t="n">
        <x:f>(H1621*J1621+I1621)*'Inputs'!$D$48*(1+'Inputs'!$G$48)^(B1621/30)</x:f>
        <x:v>193.76370686682768</x:v>
      </x:c>
      <x:c r="L1621" s="80" t="n">
        <x:f>MAX(0,K1621*'Inputs'!$E$48)</x:f>
        <x:v>0</x:v>
      </x:c>
      <x:c r="M1621" s="80" t="n">
        <x:f>MAX(0,-K1621*'Inputs'!$E$48)</x:f>
        <x:v>0</x:v>
      </x:c>
      <x:c r="N1621" s="78" t="n">
        <x:f>H1621*(L1621*(1-'Inputs'!$B$15))/(I1621+L1621*(1-'Inputs'!$B$15))</x:f>
        <x:v>0</x:v>
      </x:c>
      <x:c r="O1621" s="78" t="n">
        <x:f>H1621-N1621</x:f>
        <x:v>35032478.94284216</x:v>
      </x:c>
      <x:c r="P1621" s="78" t="n">
        <x:f>I1621+L1621*(1-'Inputs'!$B$17)</x:f>
        <x:v>322.9395114447128</x:v>
      </x:c>
      <x:c r="Q1621" s="78" t="n">
        <x:f>IF(J1621&gt;0,M1621/J1621,0)</x:f>
        <x:v>0</x:v>
      </x:c>
      <x:c r="R1621" s="78" t="n">
        <x:f>IF(B1621='Inputs'!$H$48,'Inputs'!$B$27*'Inputs'!$I$48,0)</x:f>
        <x:v>0</x:v>
      </x:c>
      <x:c r="S1621" s="78" t="n">
        <x:f>Q1621+G1621+R1621</x:f>
        <x:v>226620.5256614746</x:v>
      </x:c>
      <x:c r="T1621" s="78" t="n">
        <x:f>P1621*(S1621*(1-'Inputs'!$B$15))/(O1621+S1621*(1-'Inputs'!$B$15))</x:f>
        <x:v>2.0550023333372787</x:v>
      </x:c>
      <x:c r="U1621" s="78" t="n">
        <x:f>O1621+S1621*(1-'Inputs'!$B$17)</x:f>
        <x:v>35258187.51467804</x:v>
      </x:c>
      <x:c r="V1621" s="78" t="n">
        <x:f>P1621-T1621</x:f>
        <x:v>320.88450911137556</x:v>
      </x:c>
      <x:c r="W1621" s="79" t="n">
        <x:f>IF(U1621&gt;0,V1621/U1621,0)</x:f>
        <x:v>0.000009100992754598938</x:v>
      </x:c>
      <x:c r="X1621" s="80" t="n">
        <x:f>W1621*('Inputs'!$B$6-AC1621)</x:f>
        <x:v>9069.451923627334</x:v>
      </x:c>
      <x:c r="Y1621" s="80" t="n">
        <x:f>2*V1621</x:f>
        <x:v>641.7690182227511</x:v>
      </x:c>
      <x:c r="Z1621" s="80" t="n">
        <x:f>K1621*'Inputs'!$B$16+(G1621+R1621)*J1621*'Inputs'!$B$16</x:f>
        <x:v>1.175116562045323</x:v>
      </x:c>
      <x:c r="AA1621" s="80" t="n">
        <x:f>K1621*(1+'Inputs'!$E$48)/2*'Inputs'!$B$17</x:f>
        <x:v>0.38986661341414025</x:v>
      </x:c>
      <x:c r="AB1621" s="78" t="n">
        <x:f>(IF(J1621&gt;0,K1621*(1-'Inputs'!$E$48)/2/J1621,0)+G1621+R1621)*'Inputs'!$B$17</x:f>
        <x:v>43204.68494371881</x:v>
      </x:c>
      <x:c r="AC1621" s="78" t="n">
        <x:f>AC1620+AB1621</x:f>
        <x:v>3465647.3004734637</x:v>
      </x:c>
      <x:c r="AD1621" s="80" t="n">
        <x:f>Z1621/(1+'Inputs'!$C$48)</x:f>
        <x:v>0.9400932496362584</x:v>
      </x:c>
      <x:c r="AE1621" s="80" t="n">
        <x:f>Z1621-AD1621</x:f>
        <x:v>0.2350233124090646</x:v>
      </x:c>
      <x:c r="AF1621" s="80" t="n">
        <x:f>D1621*W1621</x:f>
        <x:v>2.577330188025647</x:v>
      </x:c>
      <x:c r="AG1621" s="80" t="n">
        <x:f>C1621*W1621</x:f>
        <x:v>1.5034426096816442</x:v>
      </x:c>
      <x:c r="AH1621" s="80" t="n">
        <x:f>2*'Inputs'!$B$8*'Inputs'!$C$48</x:f>
        <x:v>1250</x:v>
      </x:c>
      <x:c r="AI1621" s="81" t="n">
        <x:f>IF(AH1621&gt;0,(AE1621+AF1621)/AH1621*365,0)</x:f>
        <x:v>0.8212072221269356</x:v>
      </x:c>
      <x:c r="AJ1621" s="81" t="n">
        <x:f>IF('Inputs'!$B$48&gt;0,AG1621/('Inputs'!$B$19*'Inputs'!$B$48)*365,0)</x:f>
        <x:v>0.21950262101352008</x:v>
      </x:c>
      <x:c r="AK1621" s="81" t="n">
        <x:f>W1621/MAX($W$1464:W1621)-1</x:f>
        <x:v>-0.989297386251832</x:v>
      </x:c>
      <x:c r="AL1621" s="83" t="n">
        <x:f>'Inputs'!$B$48</x:f>
        <x:v>0.25</x:v>
      </x:c>
      <x:c r="AM1621" s="83" t="n">
        <x:f>'Inputs'!$C$48</x:f>
        <x:v>0.25</x:v>
      </x:c>
      <x:c r="AN1621" s="83" t="n">
        <x:f>'Inputs'!$D$48</x:f>
        <x:v>0.3</x:v>
      </x:c>
      <x:c r="AO1621" s="81" t="n">
        <x:f>'Inputs'!$E$48</x:f>
        <x:v>0</x:v>
      </x:c>
    </x:row>
    <x:row r="1622">
      <x:c r="A1622" s="59" t="str">
        <x:v>Low participation</x:v>
      </x:c>
      <x:c r="B1622" s="59" t="n">
        <x:v>159</x:v>
      </x:c>
      <x:c r="C1622" s="78" t="n">
        <x:f>(('Inputs'!$B$29*(3*159*'Inputs'!$B$12-159^2)/(2*'Inputs'!$B$12^2))-('Inputs'!$B$29*(3*158*'Inputs'!$B$12-158^2)/(2*'Inputs'!$B$12^2)))*'Inputs'!$B$48</x:f>
        <x:v>165114.17479827255</x:v>
      </x:c>
      <x:c r="D1622" s="78" t="n">
        <x:f>IF('Inputs'!$C$48&gt;0,('Inputs'!$B$30*(3*159*'Inputs'!$B$12-159^2)/(2*'Inputs'!$B$12^2))-('Inputs'!$B$30*(3*158*'Inputs'!$B$12-158^2)/(2*'Inputs'!$B$12^2)),0)</x:f>
        <x:v>283052.87108275294</x:v>
      </x:c>
      <x:c r="E1622" s="78" t="n">
        <x:f>C1622+D1622</x:f>
        <x:v>448167.0458810255</x:v>
      </x:c>
      <x:c r="F1622" s="78" t="n">
        <x:f>'Inputs'!$B$13*E1622+(1-'Inputs'!$B$13)/'Inputs'!$B$14*SUM(E1567:E1622)</x:f>
        <x:v>453020.44239069184</x:v>
      </x:c>
      <x:c r="G1622" s="78" t="n">
        <x:f>F1622*'Inputs'!$F$48</x:f>
        <x:v>226510.22119534592</x:v>
      </x:c>
      <x:c r="H1622" s="78" t="n">
        <x:f>U1621</x:f>
        <x:v>35258187.51467804</x:v>
      </x:c>
      <x:c r="I1622" s="78" t="n">
        <x:f>V1621</x:f>
        <x:v>320.88450911137556</x:v>
      </x:c>
      <x:c r="J1622" s="79" t="n">
        <x:f>IF(H1622&gt;0,I1622/H1622,0)</x:f>
        <x:v>0.000009100992754598938</x:v>
      </x:c>
      <x:c r="K1622" s="80" t="n">
        <x:f>(H1622*J1622+I1622)*'Inputs'!$D$48*(1+'Inputs'!$G$48)^(B1622/30)</x:f>
        <x:v>192.53070546682534</x:v>
      </x:c>
      <x:c r="L1622" s="80" t="n">
        <x:f>MAX(0,K1622*'Inputs'!$E$48)</x:f>
        <x:v>0</x:v>
      </x:c>
      <x:c r="M1622" s="80" t="n">
        <x:f>MAX(0,-K1622*'Inputs'!$E$48)</x:f>
        <x:v>0</x:v>
      </x:c>
      <x:c r="N1622" s="78" t="n">
        <x:f>H1622*(L1622*(1-'Inputs'!$B$15))/(I1622+L1622*(1-'Inputs'!$B$15))</x:f>
        <x:v>0</x:v>
      </x:c>
      <x:c r="O1622" s="78" t="n">
        <x:f>H1622-N1622</x:f>
        <x:v>35258187.51467804</x:v>
      </x:c>
      <x:c r="P1622" s="78" t="n">
        <x:f>I1622+L1622*(1-'Inputs'!$B$17)</x:f>
        <x:v>320.88450911137556</x:v>
      </x:c>
      <x:c r="Q1622" s="78" t="n">
        <x:f>IF(J1622&gt;0,M1622/J1622,0)</x:f>
        <x:v>0</x:v>
      </x:c>
      <x:c r="R1622" s="78" t="n">
        <x:f>IF(B1622='Inputs'!$H$48,'Inputs'!$B$27*'Inputs'!$I$48,0)</x:f>
        <x:v>0</x:v>
      </x:c>
      <x:c r="S1622" s="78" t="n">
        <x:f>Q1622+G1622+R1622</x:f>
        <x:v>226510.22119534592</x:v>
      </x:c>
      <x:c r="T1622" s="78" t="n">
        <x:f>P1622*(S1622*(1-'Inputs'!$B$15))/(O1622+S1622*(1-'Inputs'!$B$15))</x:f>
        <x:v>2.027955232622467</x:v>
      </x:c>
      <x:c r="U1622" s="78" t="n">
        <x:f>O1622+S1622*(1-'Inputs'!$B$17)</x:f>
        <x:v>35483786.22592894</x:v>
      </x:c>
      <x:c r="V1622" s="78" t="n">
        <x:f>P1622-T1622</x:f>
        <x:v>318.8565538787531</x:v>
      </x:c>
      <x:c r="W1622" s="79" t="n">
        <x:f>IF(U1622&gt;0,V1622/U1622,0)</x:f>
        <x:v>0.000008985978887612512</x:v>
      </x:c>
      <x:c r="X1622" s="80" t="n">
        <x:f>W1622*('Inputs'!$B$6-AC1622)</x:f>
        <x:v>8954.445973194272</x:v>
      </x:c>
      <x:c r="Y1622" s="80" t="n">
        <x:f>2*V1622</x:f>
        <x:v>637.7131077575062</x:v>
      </x:c>
      <x:c r="Z1622" s="80" t="n">
        <x:f>K1622*'Inputs'!$B$16+(G1622+R1622)*J1622*'Inputs'!$B$16</x:f>
        <x:v>1.1675530400926006</x:v>
      </x:c>
      <x:c r="AA1622" s="80" t="n">
        <x:f>K1622*(1+'Inputs'!$E$48)/2*'Inputs'!$B$17</x:f>
        <x:v>0.3873857252853629</x:v>
      </x:c>
      <x:c r="AB1622" s="78" t="n">
        <x:f>(IF(J1622&gt;0,K1622*(1-'Inputs'!$E$48)/2/J1622,0)+G1622+R1622)*'Inputs'!$B$17</x:f>
        <x:v>43476.726259954754</x:v>
      </x:c>
      <x:c r="AC1622" s="78" t="n">
        <x:f>AC1621+AB1622</x:f>
        <x:v>3509124.0267334185</x:v>
      </x:c>
      <x:c r="AD1622" s="80" t="n">
        <x:f>Z1622/(1+'Inputs'!$C$48)</x:f>
        <x:v>0.9340424320740806</x:v>
      </x:c>
      <x:c r="AE1622" s="80" t="n">
        <x:f>Z1622-AD1622</x:f>
        <x:v>0.23351060801852008</x:v>
      </x:c>
      <x:c r="AF1622" s="80" t="n">
        <x:f>D1622*W1622</x:f>
        <x:v>2.543507123627724</x:v>
      </x:c>
      <x:c r="AG1622" s="80" t="n">
        <x:f>C1622*W1622</x:f>
        <x:v>1.483712488782839</x:v>
      </x:c>
      <x:c r="AH1622" s="80" t="n">
        <x:f>2*'Inputs'!$B$8*'Inputs'!$C$48</x:f>
        <x:v>1250</x:v>
      </x:c>
      <x:c r="AI1622" s="81" t="n">
        <x:f>IF(AH1622&gt;0,(AE1622+AF1622)/AH1622*365,0)</x:f>
        <x:v>0.8108891776407032</x:v>
      </x:c>
      <x:c r="AJ1622" s="81" t="n">
        <x:f>IF('Inputs'!$B$48&gt;0,AG1622/('Inputs'!$B$19*'Inputs'!$B$48)*365,0)</x:f>
        <x:v>0.2166220233622945</x:v>
      </x:c>
      <x:c r="AK1622" s="81" t="n">
        <x:f>W1622/MAX($W$1464:W1622)-1</x:f>
        <x:v>-0.9894326406166283</x:v>
      </x:c>
      <x:c r="AL1622" s="83" t="n">
        <x:f>'Inputs'!$B$48</x:f>
        <x:v>0.25</x:v>
      </x:c>
      <x:c r="AM1622" s="83" t="n">
        <x:f>'Inputs'!$C$48</x:f>
        <x:v>0.25</x:v>
      </x:c>
      <x:c r="AN1622" s="83" t="n">
        <x:f>'Inputs'!$D$48</x:f>
        <x:v>0.3</x:v>
      </x:c>
      <x:c r="AO1622" s="81" t="n">
        <x:f>'Inputs'!$E$48</x:f>
        <x:v>0</x:v>
      </x:c>
    </x:row>
    <x:row r="1623">
      <x:c r="A1623" s="59" t="str">
        <x:v>Low participation</x:v>
      </x:c>
      <x:c r="B1623" s="59" t="n">
        <x:v>160</x:v>
      </x:c>
      <x:c r="C1623" s="78" t="n">
        <x:f>(('Inputs'!$B$29*(3*160*'Inputs'!$B$12-160^2)/(2*'Inputs'!$B$12^2))-('Inputs'!$B$29*(3*159*'Inputs'!$B$12-159^2)/(2*'Inputs'!$B$12^2)))*'Inputs'!$B$48</x:f>
        <x:v>165032.89782322943</x:v>
      </x:c>
      <x:c r="D1623" s="78" t="n">
        <x:f>IF('Inputs'!$C$48&gt;0,('Inputs'!$B$30*(3*160*'Inputs'!$B$12-160^2)/(2*'Inputs'!$B$12^2))-('Inputs'!$B$30*(3*159*'Inputs'!$B$12-159^2)/(2*'Inputs'!$B$12^2)),0)</x:f>
        <x:v>282913.53912553936</x:v>
      </x:c>
      <x:c r="E1623" s="78" t="n">
        <x:f>C1623+D1623</x:f>
        <x:v>447946.4369487688</x:v>
      </x:c>
      <x:c r="F1623" s="78" t="n">
        <x:f>'Inputs'!$B$13*E1623+(1-'Inputs'!$B$13)/'Inputs'!$B$14*SUM(E1568:E1623)</x:f>
        <x:v>452799.83345843456</x:v>
      </x:c>
      <x:c r="G1623" s="78" t="n">
        <x:f>F1623*'Inputs'!$F$48</x:f>
        <x:v>226399.91672921728</x:v>
      </x:c>
      <x:c r="H1623" s="78" t="n">
        <x:f>U1622</x:f>
        <x:v>35483786.22592894</x:v>
      </x:c>
      <x:c r="I1623" s="78" t="n">
        <x:f>V1622</x:f>
        <x:v>318.8565538787531</x:v>
      </x:c>
      <x:c r="J1623" s="79" t="n">
        <x:f>IF(H1623&gt;0,I1623/H1623,0)</x:f>
        <x:v>0.000008985978887612512</x:v>
      </x:c>
      <x:c r="K1623" s="80" t="n">
        <x:f>(H1623*J1623+I1623)*'Inputs'!$D$48*(1+'Inputs'!$G$48)^(B1623/30)</x:f>
        <x:v>191.31393232725188</x:v>
      </x:c>
      <x:c r="L1623" s="80" t="n">
        <x:f>MAX(0,K1623*'Inputs'!$E$48)</x:f>
        <x:v>0</x:v>
      </x:c>
      <x:c r="M1623" s="80" t="n">
        <x:f>MAX(0,-K1623*'Inputs'!$E$48)</x:f>
        <x:v>0</x:v>
      </x:c>
      <x:c r="N1623" s="78" t="n">
        <x:f>H1623*(L1623*(1-'Inputs'!$B$15))/(I1623+L1623*(1-'Inputs'!$B$15))</x:f>
        <x:v>0</x:v>
      </x:c>
      <x:c r="O1623" s="78" t="n">
        <x:f>H1623-N1623</x:f>
        <x:v>35483786.22592894</x:v>
      </x:c>
      <x:c r="P1623" s="78" t="n">
        <x:f>I1623+L1623*(1-'Inputs'!$B$17)</x:f>
        <x:v>318.8565538787531</x:v>
      </x:c>
      <x:c r="Q1623" s="78" t="n">
        <x:f>IF(J1623&gt;0,M1623/J1623,0)</x:f>
        <x:v>0</x:v>
      </x:c>
      <x:c r="R1623" s="78" t="n">
        <x:f>IF(B1623='Inputs'!$H$48,'Inputs'!$B$27*'Inputs'!$I$48,0)</x:f>
        <x:v>0</x:v>
      </x:c>
      <x:c r="S1623" s="78" t="n">
        <x:f>Q1623+G1623+R1623</x:f>
        <x:v>226399.91672921728</x:v>
      </x:c>
      <x:c r="T1623" s="78" t="n">
        <x:f>P1623*(S1623*(1-'Inputs'!$B$15))/(O1623+S1623*(1-'Inputs'!$B$15))</x:f>
        <x:v>2.0014383919360976</x:v>
      </x:c>
      <x:c r="U1623" s="78" t="n">
        <x:f>O1623+S1623*(1-'Inputs'!$B$17)</x:f>
        <x:v>35709275.07659486</x:v>
      </x:c>
      <x:c r="V1623" s="78" t="n">
        <x:f>P1623-T1623</x:f>
        <x:v>316.855115486817</x:v>
      </x:c>
      <x:c r="W1623" s="79" t="n">
        <x:f>IF(U1623&gt;0,V1623/U1623,0)</x:f>
        <x:v>0.000008873188122894581</x:v>
      </x:c>
      <x:c r="X1623" s="80" t="n">
        <x:f>W1623*('Inputs'!$B$6-AC1623)</x:f>
        <x:v>8841.662815390795</x:v>
      </x:c>
      <x:c r="Y1623" s="80" t="n">
        <x:f>2*V1623</x:f>
        <x:v>633.710230973634</x:v>
      </x:c>
      <x:c r="Z1623" s="80" t="n">
        <x:f>K1623*'Inputs'!$B$16+(G1623+R1623)*J1623*'Inputs'!$B$16</x:f>
        <x:v>1.1600901431948272</x:v>
      </x:c>
      <x:c r="AA1623" s="80" t="n">
        <x:f>K1623*(1+'Inputs'!$E$48)/2*'Inputs'!$B$17</x:f>
        <x:v>0.38493748959205615</x:v>
      </x:c>
      <x:c r="AB1623" s="78" t="n">
        <x:f>(IF(J1623&gt;0,K1623*(1-'Inputs'!$E$48)/2/J1623,0)+G1623+R1623)*'Inputs'!$B$17</x:f>
        <x:v>43748.63494771791</x:v>
      </x:c>
      <x:c r="AC1623" s="78" t="n">
        <x:f>AC1622+AB1623</x:f>
        <x:v>3552872.6616811366</x:v>
      </x:c>
      <x:c r="AD1623" s="80" t="n">
        <x:f>Z1623/(1+'Inputs'!$C$48)</x:f>
        <x:v>0.9280721145558617</x:v>
      </x:c>
      <x:c r="AE1623" s="80" t="n">
        <x:f>Z1623-AD1623</x:f>
        <x:v>0.23201802863896548</x:v>
      </x:c>
      <x:c r="AF1623" s="80" t="n">
        <x:f>D1623*W1623</x:f>
        <x:v>2.5103450551748074</x:v>
      </x:c>
      <x:c r="AG1623" s="80" t="n">
        <x:f>C1623*W1623</x:f>
        <x:v>1.4643679488519543</x:v>
      </x:c>
      <x:c r="AH1623" s="80" t="n">
        <x:f>2*'Inputs'!$B$8*'Inputs'!$C$48</x:f>
        <x:v>1250</x:v>
      </x:c>
      <x:c r="AI1623" s="81" t="n">
        <x:f>IF(AH1623&gt;0,(AE1623+AF1623)/AH1623*365,0)</x:f>
        <x:v>0.8007700204736218</x:v>
      </x:c>
      <x:c r="AJ1623" s="81" t="n">
        <x:f>IF('Inputs'!$B$48&gt;0,AG1623/('Inputs'!$B$19*'Inputs'!$B$48)*365,0)</x:f>
        <x:v>0.21379772053238533</x:v>
      </x:c>
      <x:c r="AK1623" s="81" t="n">
        <x:f>W1623/MAX($W$1464:W1623)-1</x:f>
        <x:v>-0.9895652806507087</x:v>
      </x:c>
      <x:c r="AL1623" s="83" t="n">
        <x:f>'Inputs'!$B$48</x:f>
        <x:v>0.25</x:v>
      </x:c>
      <x:c r="AM1623" s="83" t="n">
        <x:f>'Inputs'!$C$48</x:f>
        <x:v>0.25</x:v>
      </x:c>
      <x:c r="AN1623" s="83" t="n">
        <x:f>'Inputs'!$D$48</x:f>
        <x:v>0.3</x:v>
      </x:c>
      <x:c r="AO1623" s="81" t="n">
        <x:f>'Inputs'!$E$48</x:f>
        <x:v>0</x:v>
      </x:c>
    </x:row>
    <x:row r="1624">
      <x:c r="A1624" s="59" t="str">
        <x:v>Low participation</x:v>
      </x:c>
      <x:c r="B1624" s="59" t="n">
        <x:v>161</x:v>
      </x:c>
      <x:c r="C1624" s="78" t="n">
        <x:f>(('Inputs'!$B$29*(3*161*'Inputs'!$B$12-161^2)/(2*'Inputs'!$B$12^2))-('Inputs'!$B$29*(3*160*'Inputs'!$B$12-160^2)/(2*'Inputs'!$B$12^2)))*'Inputs'!$B$48</x:f>
        <x:v>164951.62084819004</x:v>
      </x:c>
      <x:c r="D1624" s="78" t="n">
        <x:f>IF('Inputs'!$C$48&gt;0,('Inputs'!$B$30*(3*161*'Inputs'!$B$12-161^2)/(2*'Inputs'!$B$12^2))-('Inputs'!$B$30*(3*160*'Inputs'!$B$12-160^2)/(2*'Inputs'!$B$12^2)),0)</x:f>
        <x:v>282774.2071683258</x:v>
      </x:c>
      <x:c r="E1624" s="78" t="n">
        <x:f>C1624+D1624</x:f>
        <x:v>447725.8280165158</x:v>
      </x:c>
      <x:c r="F1624" s="78" t="n">
        <x:f>'Inputs'!$B$13*E1624+(1-'Inputs'!$B$13)/'Inputs'!$B$14*SUM(E1569:E1624)</x:f>
        <x:v>452579.224526178</x:v>
      </x:c>
      <x:c r="G1624" s="78" t="n">
        <x:f>F1624*'Inputs'!$F$48</x:f>
        <x:v>226289.612263089</x:v>
      </x:c>
      <x:c r="H1624" s="78" t="n">
        <x:f>U1623</x:f>
        <x:v>35709275.07659486</x:v>
      </x:c>
      <x:c r="I1624" s="78" t="n">
        <x:f>V1623</x:f>
        <x:v>316.855115486817</x:v>
      </x:c>
      <x:c r="J1624" s="79" t="n">
        <x:f>IF(H1624&gt;0,I1624/H1624,0)</x:f>
        <x:v>0.000008873188122894581</x:v>
      </x:c>
      <x:c r="K1624" s="80" t="n">
        <x:f>(H1624*J1624+I1624)*'Inputs'!$D$48*(1+'Inputs'!$G$48)^(B1624/30)</x:f>
        <x:v>190.1130692920902</x:v>
      </x:c>
      <x:c r="L1624" s="80" t="n">
        <x:f>MAX(0,K1624*'Inputs'!$E$48)</x:f>
        <x:v>0</x:v>
      </x:c>
      <x:c r="M1624" s="80" t="n">
        <x:f>MAX(0,-K1624*'Inputs'!$E$48)</x:f>
        <x:v>0</x:v>
      </x:c>
      <x:c r="N1624" s="78" t="n">
        <x:f>H1624*(L1624*(1-'Inputs'!$B$15))/(I1624+L1624*(1-'Inputs'!$B$15))</x:f>
        <x:v>0</x:v>
      </x:c>
      <x:c r="O1624" s="78" t="n">
        <x:f>H1624-N1624</x:f>
        <x:v>35709275.07659486</x:v>
      </x:c>
      <x:c r="P1624" s="78" t="n">
        <x:f>I1624+L1624*(1-'Inputs'!$B$17)</x:f>
        <x:v>316.855115486817</x:v>
      </x:c>
      <x:c r="Q1624" s="78" t="n">
        <x:f>IF(J1624&gt;0,M1624/J1624,0)</x:f>
        <x:v>0</x:v>
      </x:c>
      <x:c r="R1624" s="78" t="n">
        <x:f>IF(B1624='Inputs'!$H$48,'Inputs'!$B$27*'Inputs'!$I$48,0)</x:f>
        <x:v>0</x:v>
      </x:c>
      <x:c r="S1624" s="78" t="n">
        <x:f>Q1624+G1624+R1624</x:f>
        <x:v>226289.612263089</x:v>
      </x:c>
      <x:c r="T1624" s="78" t="n">
        <x:f>P1624*(S1624*(1-'Inputs'!$B$15))/(O1624+S1624*(1-'Inputs'!$B$15))</x:f>
        <x:v>1.9754380330606902</x:v>
      </x:c>
      <x:c r="U1624" s="78" t="n">
        <x:f>O1624+S1624*(1-'Inputs'!$B$17)</x:f>
        <x:v>35934654.066675805</x:v>
      </x:c>
      <x:c r="V1624" s="78" t="n">
        <x:f>P1624-T1624</x:f>
        <x:v>314.8796774537563</x:v>
      </x:c>
      <x:c r="W1624" s="79" t="n">
        <x:f>IF(U1624&gt;0,V1624/U1624,0)</x:f>
        <x:v>0.000008762563203461075</x:v>
      </x:c>
      <x:c r="X1624" s="80" t="n">
        <x:f>W1624*('Inputs'!$B$6-AC1624)</x:f>
        <x:v>8731.045200575554</x:v>
      </x:c>
      <x:c r="Y1624" s="80" t="n">
        <x:f>2*V1624</x:f>
        <x:v>629.7593549075126</x:v>
      </x:c>
      <x:c r="Z1624" s="80" t="n">
        <x:f>K1624*'Inputs'!$B$16+(G1624+R1624)*J1624*'Inputs'!$B$16</x:f>
        <x:v>1.1527258775517446</x:v>
      </x:c>
      <x:c r="AA1624" s="80" t="n">
        <x:f>K1624*(1+'Inputs'!$E$48)/2*'Inputs'!$B$17</x:f>
        <x:v>0.382521266181268</x:v>
      </x:c>
      <x:c r="AB1624" s="78" t="n">
        <x:f>(IF(J1624&gt;0,K1624*(1-'Inputs'!$E$48)/2/J1624,0)+G1624+R1624)*'Inputs'!$B$17</x:f>
        <x:v>44020.41100700824</x:v>
      </x:c>
      <x:c r="AC1624" s="78" t="n">
        <x:f>AC1623+AB1624</x:f>
        <x:v>3596893.0726881446</x:v>
      </x:c>
      <x:c r="AD1624" s="80" t="n">
        <x:f>Z1624/(1+'Inputs'!$C$48)</x:f>
        <x:v>0.9221807020413957</x:v>
      </x:c>
      <x:c r="AE1624" s="80" t="n">
        <x:f>Z1624-AD1624</x:f>
        <x:v>0.23054517551034892</x:v>
      </x:c>
      <x:c r="AF1624" s="80" t="n">
        <x:f>D1624*W1624</x:f>
        <x:v>2.4778268626210505</x:v>
      </x:c>
      <x:c r="AG1624" s="80" t="n">
        <x:f>C1624*W1624</x:f>
        <x:v>1.4453990031956128</x:v>
      </x:c>
      <x:c r="AH1624" s="80" t="n">
        <x:f>2*'Inputs'!$B$8*'Inputs'!$C$48</x:f>
        <x:v>1250</x:v>
      </x:c>
      <x:c r="AI1624" s="81" t="n">
        <x:f>IF(AH1624&gt;0,(AE1624+AF1624)/AH1624*365,0)</x:f>
        <x:v>0.7908446351343686</x:v>
      </x:c>
      <x:c r="AJ1624" s="81" t="n">
        <x:f>IF('Inputs'!$B$48&gt;0,AG1624/('Inputs'!$B$19*'Inputs'!$B$48)*365,0)</x:f>
        <x:v>0.21102825446655948</x:v>
      </x:c>
      <x:c r="AK1624" s="81" t="n">
        <x:f>W1624/MAX($W$1464:W1624)-1</x:f>
        <x:v>-0.9896953736873196</x:v>
      </x:c>
      <x:c r="AL1624" s="83" t="n">
        <x:f>'Inputs'!$B$48</x:f>
        <x:v>0.25</x:v>
      </x:c>
      <x:c r="AM1624" s="83" t="n">
        <x:f>'Inputs'!$C$48</x:f>
        <x:v>0.25</x:v>
      </x:c>
      <x:c r="AN1624" s="83" t="n">
        <x:f>'Inputs'!$D$48</x:f>
        <x:v>0.3</x:v>
      </x:c>
      <x:c r="AO1624" s="81" t="n">
        <x:f>'Inputs'!$E$48</x:f>
        <x:v>0</x:v>
      </x:c>
    </x:row>
    <x:row r="1625">
      <x:c r="A1625" s="59" t="str">
        <x:v>Low participation</x:v>
      </x:c>
      <x:c r="B1625" s="59" t="n">
        <x:v>162</x:v>
      </x:c>
      <x:c r="C1625" s="78" t="n">
        <x:f>(('Inputs'!$B$29*(3*162*'Inputs'!$B$12-162^2)/(2*'Inputs'!$B$12^2))-('Inputs'!$B$29*(3*161*'Inputs'!$B$12-161^2)/(2*'Inputs'!$B$12^2)))*'Inputs'!$B$48</x:f>
        <x:v>164870.34387314692</x:v>
      </x:c>
      <x:c r="D1625" s="78" t="n">
        <x:f>IF('Inputs'!$C$48&gt;0,('Inputs'!$B$30*(3*162*'Inputs'!$B$12-162^2)/(2*'Inputs'!$B$12^2))-('Inputs'!$B$30*(3*161*'Inputs'!$B$12-161^2)/(2*'Inputs'!$B$12^2)),0)</x:f>
        <x:v>282634.8752111122</x:v>
      </x:c>
      <x:c r="E1625" s="78" t="n">
        <x:f>C1625+D1625</x:f>
        <x:v>447505.2190842591</x:v>
      </x:c>
      <x:c r="F1625" s="78" t="n">
        <x:f>'Inputs'!$B$13*E1625+(1-'Inputs'!$B$13)/'Inputs'!$B$14*SUM(E1570:E1625)</x:f>
        <x:v>452358.6155939207</x:v>
      </x:c>
      <x:c r="G1625" s="78" t="n">
        <x:f>F1625*'Inputs'!$F$48</x:f>
        <x:v>226179.30779696035</x:v>
      </x:c>
      <x:c r="H1625" s="78" t="n">
        <x:f>U1624</x:f>
        <x:v>35934654.066675805</x:v>
      </x:c>
      <x:c r="I1625" s="78" t="n">
        <x:f>V1624</x:f>
        <x:v>314.8796774537563</x:v>
      </x:c>
      <x:c r="J1625" s="79" t="n">
        <x:f>IF(H1625&gt;0,I1625/H1625,0)</x:f>
        <x:v>0.000008762563203461075</x:v>
      </x:c>
      <x:c r="K1625" s="80" t="n">
        <x:f>(H1625*J1625+I1625)*'Inputs'!$D$48*(1+'Inputs'!$G$48)^(B1625/30)</x:f>
        <x:v>188.92780647225376</x:v>
      </x:c>
      <x:c r="L1625" s="80" t="n">
        <x:f>MAX(0,K1625*'Inputs'!$E$48)</x:f>
        <x:v>0</x:v>
      </x:c>
      <x:c r="M1625" s="80" t="n">
        <x:f>MAX(0,-K1625*'Inputs'!$E$48)</x:f>
        <x:v>0</x:v>
      </x:c>
      <x:c r="N1625" s="78" t="n">
        <x:f>H1625*(L1625*(1-'Inputs'!$B$15))/(I1625+L1625*(1-'Inputs'!$B$15))</x:f>
        <x:v>0</x:v>
      </x:c>
      <x:c r="O1625" s="78" t="n">
        <x:f>H1625-N1625</x:f>
        <x:v>35934654.066675805</x:v>
      </x:c>
      <x:c r="P1625" s="78" t="n">
        <x:f>I1625+L1625*(1-'Inputs'!$B$17)</x:f>
        <x:v>314.8796774537563</x:v>
      </x:c>
      <x:c r="Q1625" s="78" t="n">
        <x:f>IF(J1625&gt;0,M1625/J1625,0)</x:f>
        <x:v>0</x:v>
      </x:c>
      <x:c r="R1625" s="78" t="n">
        <x:f>IF(B1625='Inputs'!$H$48,'Inputs'!$B$27*'Inputs'!$I$48,0)</x:f>
        <x:v>0</x:v>
      </x:c>
      <x:c r="S1625" s="78" t="n">
        <x:f>Q1625+G1625+R1625</x:f>
        <x:v>226179.30779696035</x:v>
      </x:c>
      <x:c r="T1625" s="78" t="n">
        <x:f>P1625*(S1625*(1-'Inputs'!$B$15))/(O1625+S1625*(1-'Inputs'!$B$15))</x:f>
        <x:v>1.9499408225307657</x:v>
      </x:c>
      <x:c r="U1625" s="78" t="n">
        <x:f>O1625+S1625*(1-'Inputs'!$B$17)</x:f>
        <x:v>36159923.19617177</x:v>
      </x:c>
      <x:c r="V1625" s="78" t="n">
        <x:f>P1625-T1625</x:f>
        <x:v>312.9297366312255</x:v>
      </x:c>
      <x:c r="W1625" s="79" t="n">
        <x:f>IF(U1625&gt;0,V1625/U1625,0)</x:f>
        <x:v>0.000008654048708387611</x:v>
      </x:c>
      <x:c r="X1625" s="80" t="n">
        <x:f>W1625*('Inputs'!$B$6-AC1625)</x:f>
        <x:v>8622.537714941207</x:v>
      </x:c>
      <x:c r="Y1625" s="80" t="n">
        <x:f>2*V1625</x:f>
        <x:v>625.859473262451</x:v>
      </x:c>
      <x:c r="Z1625" s="80" t="n">
        <x:f>K1625*'Inputs'!$B$16+(G1625+R1625)*J1625*'Inputs'!$B$16</x:f>
        <x:v>1.1454583017128381</x:v>
      </x:c>
      <x:c r="AA1625" s="80" t="n">
        <x:f>K1625*(1+'Inputs'!$E$48)/2*'Inputs'!$B$17</x:f>
        <x:v>0.3801364315337098</x:v>
      </x:c>
      <x:c r="AB1625" s="78" t="n">
        <x:f>(IF(J1625&gt;0,K1625*(1-'Inputs'!$E$48)/2/J1625,0)+G1625+R1625)*'Inputs'!$B$17</x:f>
        <x:v>44292.05443782576</x:v>
      </x:c>
      <x:c r="AC1625" s="78" t="n">
        <x:f>AC1624+AB1625</x:f>
        <x:v>3641185.1271259706</x:v>
      </x:c>
      <x:c r="AD1625" s="80" t="n">
        <x:f>Z1625/(1+'Inputs'!$C$48)</x:f>
        <x:v>0.9163666413702705</x:v>
      </x:c>
      <x:c r="AE1625" s="80" t="n">
        <x:f>Z1625-AD1625</x:f>
        <x:v>0.22909166034256767</x:v>
      </x:c>
      <x:c r="AF1625" s="80" t="n">
        <x:f>D1625*W1625</x:f>
        <x:v>2.445935976766019</x:v>
      </x:c>
      <x:c r="AG1625" s="80" t="n">
        <x:f>C1625*W1625</x:f>
        <x:v>1.4267959864468285</x:v>
      </x:c>
      <x:c r="AH1625" s="80" t="n">
        <x:f>2*'Inputs'!$B$8*'Inputs'!$C$48</x:f>
        <x:v>1250</x:v>
      </x:c>
      <x:c r="AI1625" s="81" t="n">
        <x:f>IF(AH1625&gt;0,(AE1625+AF1625)/AH1625*365,0)</x:f>
        <x:v>0.7811080700357074</x:v>
      </x:c>
      <x:c r="AJ1625" s="81" t="n">
        <x:f>IF('Inputs'!$B$48&gt;0,AG1625/('Inputs'!$B$19*'Inputs'!$B$48)*365,0)</x:f>
        <x:v>0.20831221402123695</x:v>
      </x:c>
      <x:c r="AK1625" s="81" t="n">
        <x:f>W1625/MAX($W$1464:W1625)-1</x:f>
        <x:v>-0.9898229849005317</x:v>
      </x:c>
      <x:c r="AL1625" s="83" t="n">
        <x:f>'Inputs'!$B$48</x:f>
        <x:v>0.25</x:v>
      </x:c>
      <x:c r="AM1625" s="83" t="n">
        <x:f>'Inputs'!$C$48</x:f>
        <x:v>0.25</x:v>
      </x:c>
      <x:c r="AN1625" s="83" t="n">
        <x:f>'Inputs'!$D$48</x:f>
        <x:v>0.3</x:v>
      </x:c>
      <x:c r="AO1625" s="81" t="n">
        <x:f>'Inputs'!$E$48</x:f>
        <x:v>0</x:v>
      </x:c>
    </x:row>
    <x:row r="1626">
      <x:c r="A1626" s="59" t="str">
        <x:v>Low participation</x:v>
      </x:c>
      <x:c r="B1626" s="59" t="n">
        <x:v>163</x:v>
      </x:c>
      <x:c r="C1626" s="78" t="n">
        <x:f>(('Inputs'!$B$29*(3*163*'Inputs'!$B$12-163^2)/(2*'Inputs'!$B$12^2))-('Inputs'!$B$29*(3*162*'Inputs'!$B$12-162^2)/(2*'Inputs'!$B$12^2)))*'Inputs'!$B$48</x:f>
        <x:v>164789.0668981038</x:v>
      </x:c>
      <x:c r="D1626" s="78" t="n">
        <x:f>IF('Inputs'!$C$48&gt;0,('Inputs'!$B$30*(3*163*'Inputs'!$B$12-163^2)/(2*'Inputs'!$B$12^2))-('Inputs'!$B$30*(3*162*'Inputs'!$B$12-162^2)/(2*'Inputs'!$B$12^2)),0)</x:f>
        <x:v>282495.54325389117</x:v>
      </x:c>
      <x:c r="E1626" s="78" t="n">
        <x:f>C1626+D1626</x:f>
        <x:v>447284.610151995</x:v>
      </x:c>
      <x:c r="F1626" s="78" t="n">
        <x:f>'Inputs'!$B$13*E1626+(1-'Inputs'!$B$13)/'Inputs'!$B$14*SUM(E1571:E1626)</x:f>
        <x:v>452138.0066616619</x:v>
      </x:c>
      <x:c r="G1626" s="78" t="n">
        <x:f>F1626*'Inputs'!$F$48</x:f>
        <x:v>226069.00333083095</x:v>
      </x:c>
      <x:c r="H1626" s="78" t="n">
        <x:f>U1625</x:f>
        <x:v>36159923.19617177</x:v>
      </x:c>
      <x:c r="I1626" s="78" t="n">
        <x:f>V1625</x:f>
        <x:v>312.9297366312255</x:v>
      </x:c>
      <x:c r="J1626" s="79" t="n">
        <x:f>IF(H1626&gt;0,I1626/H1626,0)</x:f>
        <x:v>0.000008654048708387611</x:v>
      </x:c>
      <x:c r="K1626" s="80" t="n">
        <x:f>(H1626*J1626+I1626)*'Inputs'!$D$48*(1+'Inputs'!$G$48)^(B1626/30)</x:f>
        <x:v>187.7578419787353</x:v>
      </x:c>
      <x:c r="L1626" s="80" t="n">
        <x:f>MAX(0,K1626*'Inputs'!$E$48)</x:f>
        <x:v>0</x:v>
      </x:c>
      <x:c r="M1626" s="80" t="n">
        <x:f>MAX(0,-K1626*'Inputs'!$E$48)</x:f>
        <x:v>0</x:v>
      </x:c>
      <x:c r="N1626" s="78" t="n">
        <x:f>H1626*(L1626*(1-'Inputs'!$B$15))/(I1626+L1626*(1-'Inputs'!$B$15))</x:f>
        <x:v>0</x:v>
      </x:c>
      <x:c r="O1626" s="78" t="n">
        <x:f>H1626-N1626</x:f>
        <x:v>36159923.19617177</x:v>
      </x:c>
      <x:c r="P1626" s="78" t="n">
        <x:f>I1626+L1626*(1-'Inputs'!$B$17)</x:f>
        <x:v>312.9297366312255</x:v>
      </x:c>
      <x:c r="Q1626" s="78" t="n">
        <x:f>IF(J1626&gt;0,M1626/J1626,0)</x:f>
        <x:v>0</x:v>
      </x:c>
      <x:c r="R1626" s="78" t="n">
        <x:f>IF(B1626='Inputs'!$H$48,'Inputs'!$B$27*'Inputs'!$I$48,0)</x:f>
        <x:v>0</x:v>
      </x:c>
      <x:c r="S1626" s="78" t="n">
        <x:f>Q1626+G1626+R1626</x:f>
        <x:v>226069.00333083095</x:v>
      </x:c>
      <x:c r="T1626" s="78" t="n">
        <x:f>P1626*(S1626*(1-'Inputs'!$B$15))/(O1626+S1626*(1-'Inputs'!$B$15))</x:f>
        <x:v>1.9249338545125534</x:v>
      </x:c>
      <x:c r="U1626" s="78" t="n">
        <x:f>O1626+S1626*(1-'Inputs'!$B$17)</x:f>
        <x:v>36385082.46508276</x:v>
      </x:c>
      <x:c r="V1626" s="78" t="n">
        <x:f>P1626-T1626</x:f>
        <x:v>311.00480277671295</x:v>
      </x:c>
      <x:c r="W1626" s="79" t="n">
        <x:f>IF(U1626&gt;0,V1626/U1626,0)</x:f>
        <x:v>0.00000854759098251794</x:v>
      </x:c>
      <x:c r="X1626" s="80" t="n">
        <x:f>W1626*('Inputs'!$B$6-AC1626)</x:f>
        <x:v>8516.086710231244</x:v>
      </x:c>
      <x:c r="Y1626" s="80" t="n">
        <x:f>2*V1626</x:f>
        <x:v>622.0096055534259</x:v>
      </x:c>
      <x:c r="Z1626" s="80" t="n">
        <x:f>K1626*'Inputs'!$B$16+(G1626+R1626)*J1626*'Inputs'!$B$16</x:f>
        <x:v>1.1382855248701018</x:v>
      </x:c>
      <x:c r="AA1626" s="80" t="n">
        <x:f>K1626*(1+'Inputs'!$E$48)/2*'Inputs'!$B$17</x:f>
        <x:v>0.37778237822683164</x:v>
      </x:c>
      <x:c r="AB1626" s="78" t="n">
        <x:f>(IF(J1626&gt;0,K1626*(1-'Inputs'!$E$48)/2/J1626,0)+G1626+R1626)*'Inputs'!$B$17</x:f>
        <x:v>44563.56524017047</x:v>
      </x:c>
      <x:c r="AC1626" s="78" t="n">
        <x:f>AC1625+AB1626</x:f>
        <x:v>3685748.692366141</x:v>
      </x:c>
      <x:c r="AD1626" s="80" t="n">
        <x:f>Z1626/(1+'Inputs'!$C$48)</x:f>
        <x:v>0.9106284198960815</x:v>
      </x:c>
      <x:c r="AE1626" s="80" t="n">
        <x:f>Z1626-AD1626</x:f>
        <x:v>0.22765710497402036</x:v>
      </x:c>
      <x:c r="AF1626" s="80" t="n">
        <x:f>D1626*W1626</x:f>
        <x:v>2.414656358118467</x:v>
      </x:c>
      <x:c r="AG1626" s="80" t="n">
        <x:f>C1626*W1626</x:f>
        <x:v>1.4085495422357774</x:v>
      </x:c>
      <x:c r="AH1626" s="80" t="n">
        <x:f>2*'Inputs'!$B$8*'Inputs'!$C$48</x:f>
        <x:v>1250</x:v>
      </x:c>
      <x:c r="AI1626" s="81" t="n">
        <x:f>IF(AH1626&gt;0,(AE1626+AF1626)/AH1626*365,0)</x:f>
        <x:v>0.7715555312230062</x:v>
      </x:c>
      <x:c r="AJ1626" s="81" t="n">
        <x:f>IF('Inputs'!$B$48&gt;0,AG1626/('Inputs'!$B$19*'Inputs'!$B$48)*365,0)</x:f>
        <x:v>0.2056482331664235</x:v>
      </x:c>
      <x:c r="AK1626" s="81" t="n">
        <x:f>W1626/MAX($W$1464:W1626)-1</x:f>
        <x:v>-0.9899481773879024</x:v>
      </x:c>
      <x:c r="AL1626" s="83" t="n">
        <x:f>'Inputs'!$B$48</x:f>
        <x:v>0.25</x:v>
      </x:c>
      <x:c r="AM1626" s="83" t="n">
        <x:f>'Inputs'!$C$48</x:f>
        <x:v>0.25</x:v>
      </x:c>
      <x:c r="AN1626" s="83" t="n">
        <x:f>'Inputs'!$D$48</x:f>
        <x:v>0.3</x:v>
      </x:c>
      <x:c r="AO1626" s="81" t="n">
        <x:f>'Inputs'!$E$48</x:f>
        <x:v>0</x:v>
      </x:c>
    </x:row>
    <x:row r="1627">
      <x:c r="A1627" s="59" t="str">
        <x:v>Low participation</x:v>
      </x:c>
      <x:c r="B1627" s="59" t="n">
        <x:v>164</x:v>
      </x:c>
      <x:c r="C1627" s="78" t="n">
        <x:f>(('Inputs'!$B$29*(3*164*'Inputs'!$B$12-164^2)/(2*'Inputs'!$B$12^2))-('Inputs'!$B$29*(3*163*'Inputs'!$B$12-163^2)/(2*'Inputs'!$B$12^2)))*'Inputs'!$B$48</x:f>
        <x:v>164707.7899230644</x:v>
      </x:c>
      <x:c r="D1627" s="78" t="n">
        <x:f>IF('Inputs'!$C$48&gt;0,('Inputs'!$B$30*(3*164*'Inputs'!$B$12-164^2)/(2*'Inputs'!$B$12^2))-('Inputs'!$B$30*(3*163*'Inputs'!$B$12-163^2)/(2*'Inputs'!$B$12^2)),0)</x:f>
        <x:v>282356.2112966776</x:v>
      </x:c>
      <x:c r="E1627" s="78" t="n">
        <x:f>C1627+D1627</x:f>
        <x:v>447064.001219742</x:v>
      </x:c>
      <x:c r="F1627" s="78" t="n">
        <x:f>'Inputs'!$B$13*E1627+(1-'Inputs'!$B$13)/'Inputs'!$B$14*SUM(E1572:E1627)</x:f>
        <x:v>451917.3977294054</x:v>
      </x:c>
      <x:c r="G1627" s="78" t="n">
        <x:f>F1627*'Inputs'!$F$48</x:f>
        <x:v>225958.6988647027</x:v>
      </x:c>
      <x:c r="H1627" s="78" t="n">
        <x:f>U1626</x:f>
        <x:v>36385082.46508276</x:v>
      </x:c>
      <x:c r="I1627" s="78" t="n">
        <x:f>V1626</x:f>
        <x:v>311.00480277671295</x:v>
      </x:c>
      <x:c r="J1627" s="79" t="n">
        <x:f>IF(H1627&gt;0,I1627/H1627,0)</x:f>
        <x:v>0.00000854759098251794</x:v>
      </x:c>
      <x:c r="K1627" s="80" t="n">
        <x:f>(H1627*J1627+I1627)*'Inputs'!$D$48*(1+'Inputs'!$G$48)^(B1627/30)</x:f>
        <x:v>186.60288166602777</x:v>
      </x:c>
      <x:c r="L1627" s="80" t="n">
        <x:f>MAX(0,K1627*'Inputs'!$E$48)</x:f>
        <x:v>0</x:v>
      </x:c>
      <x:c r="M1627" s="80" t="n">
        <x:f>MAX(0,-K1627*'Inputs'!$E$48)</x:f>
        <x:v>0</x:v>
      </x:c>
      <x:c r="N1627" s="78" t="n">
        <x:f>H1627*(L1627*(1-'Inputs'!$B$15))/(I1627+L1627*(1-'Inputs'!$B$15))</x:f>
        <x:v>0</x:v>
      </x:c>
      <x:c r="O1627" s="78" t="n">
        <x:f>H1627-N1627</x:f>
        <x:v>36385082.46508276</x:v>
      </x:c>
      <x:c r="P1627" s="78" t="n">
        <x:f>I1627+L1627*(1-'Inputs'!$B$17)</x:f>
        <x:v>311.00480277671295</x:v>
      </x:c>
      <x:c r="Q1627" s="78" t="n">
        <x:f>IF(J1627&gt;0,M1627/J1627,0)</x:f>
        <x:v>0</x:v>
      </x:c>
      <x:c r="R1627" s="78" t="n">
        <x:f>IF(B1627='Inputs'!$H$48,'Inputs'!$B$27*'Inputs'!$I$48,0)</x:f>
        <x:v>0</x:v>
      </x:c>
      <x:c r="S1627" s="78" t="n">
        <x:f>Q1627+G1627+R1627</x:f>
        <x:v>225958.6988647027</x:v>
      </x:c>
      <x:c r="T1627" s="78" t="n">
        <x:f>P1627*(S1627*(1-'Inputs'!$B$15))/(O1627+S1627*(1-'Inputs'!$B$15))</x:f>
        <x:v>1.9004046344477665</x:v>
      </x:c>
      <x:c r="U1627" s="78" t="n">
        <x:f>O1627+S1627*(1-'Inputs'!$B$17)</x:f>
        <x:v>36610131.87340877</x:v>
      </x:c>
      <x:c r="V1627" s="78" t="n">
        <x:f>P1627-T1627</x:f>
        <x:v>309.1043981422652</x:v>
      </x:c>
      <x:c r="W1627" s="79" t="n">
        <x:f>IF(U1627&gt;0,V1627/U1627,0)</x:f>
        <x:v>0.00000844313806929438</x:v>
      </x:c>
      <x:c r="X1627" s="80" t="n">
        <x:f>W1627*('Inputs'!$B$6-AC1627)</x:f>
        <x:v>8411.640236578438</x:v>
      </x:c>
      <x:c r="Y1627" s="80" t="n">
        <x:f>2*V1627</x:f>
        <x:v>618.2087962845304</x:v>
      </x:c>
      <x:c r="Z1627" s="80" t="n">
        <x:f>K1627*'Inputs'!$B$16+(G1627+R1627)*J1627*'Inputs'!$B$16</x:f>
        <x:v>1.1312057052171913</x:v>
      </x:c>
      <x:c r="AA1627" s="80" t="n">
        <x:f>K1627*(1+'Inputs'!$E$48)/2*'Inputs'!$B$17</x:f>
        <x:v>0.375458514418567</x:v>
      </x:c>
      <x:c r="AB1627" s="78" t="n">
        <x:f>(IF(J1627&gt;0,K1627*(1-'Inputs'!$E$48)/2/J1627,0)+G1627+R1627)*'Inputs'!$B$17</x:f>
        <x:v>44834.94341404237</x:v>
      </x:c>
      <x:c r="AC1627" s="78" t="n">
        <x:f>AC1626+AB1627</x:f>
        <x:v>3730583.635780183</x:v>
      </x:c>
      <x:c r="AD1627" s="80" t="n">
        <x:f>Z1627/(1+'Inputs'!$C$48)</x:f>
        <x:v>0.904964564173753</x:v>
      </x:c>
      <x:c r="AE1627" s="80" t="n">
        <x:f>Z1627-AD1627</x:f>
        <x:v>0.2262411410434383</x:v>
      </x:c>
      <x:c r="AF1627" s="80" t="n">
        <x:f>D1627*W1627</x:f>
        <x:v>2.3839724767007064</x:v>
      </x:c>
      <x:c r="AG1627" s="80" t="n">
        <x:f>C1627*W1627</x:f>
        <x:v>1.3906506114087664</x:v>
      </x:c>
      <x:c r="AH1627" s="80" t="n">
        <x:f>2*'Inputs'!$B$8*'Inputs'!$C$48</x:f>
        <x:v>1250</x:v>
      </x:c>
      <x:c r="AI1627" s="81" t="n">
        <x:f>IF(AH1627&gt;0,(AE1627+AF1627)/AH1627*365,0)</x:f>
        <x:v>0.7621823763812903</x:v>
      </x:c>
      <x:c r="AJ1627" s="81" t="n">
        <x:f>IF('Inputs'!$B$48&gt;0,AG1627/('Inputs'!$B$19*'Inputs'!$B$48)*365,0)</x:f>
        <x:v>0.2030349892656799</x:v>
      </x:c>
      <x:c r="AK1627" s="81" t="n">
        <x:f>W1627/MAX($W$1464:W1627)-1</x:f>
        <x:v>-0.990071012249466</x:v>
      </x:c>
      <x:c r="AL1627" s="83" t="n">
        <x:f>'Inputs'!$B$48</x:f>
        <x:v>0.25</x:v>
      </x:c>
      <x:c r="AM1627" s="83" t="n">
        <x:f>'Inputs'!$C$48</x:f>
        <x:v>0.25</x:v>
      </x:c>
      <x:c r="AN1627" s="83" t="n">
        <x:f>'Inputs'!$D$48</x:f>
        <x:v>0.3</x:v>
      </x:c>
      <x:c r="AO1627" s="81" t="n">
        <x:f>'Inputs'!$E$48</x:f>
        <x:v>0</x:v>
      </x:c>
    </x:row>
    <x:row r="1628">
      <x:c r="A1628" s="59" t="str">
        <x:v>Low participation</x:v>
      </x:c>
      <x:c r="B1628" s="59" t="n">
        <x:v>165</x:v>
      </x:c>
      <x:c r="C1628" s="78" t="n">
        <x:f>(('Inputs'!$B$29*(3*165*'Inputs'!$B$12-165^2)/(2*'Inputs'!$B$12^2))-('Inputs'!$B$29*(3*164*'Inputs'!$B$12-164^2)/(2*'Inputs'!$B$12^2)))*'Inputs'!$B$48</x:f>
        <x:v>164626.5129480213</x:v>
      </x:c>
      <x:c r="D1628" s="78" t="n">
        <x:f>IF('Inputs'!$C$48&gt;0,('Inputs'!$B$30*(3*165*'Inputs'!$B$12-165^2)/(2*'Inputs'!$B$12^2))-('Inputs'!$B$30*(3*164*'Inputs'!$B$12-164^2)/(2*'Inputs'!$B$12^2)),0)</x:f>
        <x:v>282216.879339464</x:v>
      </x:c>
      <x:c r="E1628" s="78" t="n">
        <x:f>C1628+D1628</x:f>
        <x:v>446843.3922874853</x:v>
      </x:c>
      <x:c r="F1628" s="78" t="n">
        <x:f>'Inputs'!$B$13*E1628+(1-'Inputs'!$B$13)/'Inputs'!$B$14*SUM(E1573:E1628)</x:f>
        <x:v>451696.78879714804</x:v>
      </x:c>
      <x:c r="G1628" s="78" t="n">
        <x:f>F1628*'Inputs'!$F$48</x:f>
        <x:v>225848.39439857402</x:v>
      </x:c>
      <x:c r="H1628" s="78" t="n">
        <x:f>U1627</x:f>
        <x:v>36610131.87340877</x:v>
      </x:c>
      <x:c r="I1628" s="78" t="n">
        <x:f>V1627</x:f>
        <x:v>309.1043981422652</x:v>
      </x:c>
      <x:c r="J1628" s="79" t="n">
        <x:f>IF(H1628&gt;0,I1628/H1628,0)</x:f>
        <x:v>0.00000844313806929438</x:v>
      </x:c>
      <x:c r="K1628" s="80" t="n">
        <x:f>(H1628*J1628+I1628)*'Inputs'!$D$48*(1+'Inputs'!$G$48)^(B1628/30)</x:f>
        <x:v>185.46263888535913</x:v>
      </x:c>
      <x:c r="L1628" s="80" t="n">
        <x:f>MAX(0,K1628*'Inputs'!$E$48)</x:f>
        <x:v>0</x:v>
      </x:c>
      <x:c r="M1628" s="80" t="n">
        <x:f>MAX(0,-K1628*'Inputs'!$E$48)</x:f>
        <x:v>0</x:v>
      </x:c>
      <x:c r="N1628" s="78" t="n">
        <x:f>H1628*(L1628*(1-'Inputs'!$B$15))/(I1628+L1628*(1-'Inputs'!$B$15))</x:f>
        <x:v>0</x:v>
      </x:c>
      <x:c r="O1628" s="78" t="n">
        <x:f>H1628-N1628</x:f>
        <x:v>36610131.87340877</x:v>
      </x:c>
      <x:c r="P1628" s="78" t="n">
        <x:f>I1628+L1628*(1-'Inputs'!$B$17)</x:f>
        <x:v>309.1043981422652</x:v>
      </x:c>
      <x:c r="Q1628" s="78" t="n">
        <x:f>IF(J1628&gt;0,M1628/J1628,0)</x:f>
        <x:v>0</x:v>
      </x:c>
      <x:c r="R1628" s="78" t="n">
        <x:f>IF(B1628='Inputs'!$H$48,'Inputs'!$B$27*'Inputs'!$I$48,0)</x:f>
        <x:v>0</x:v>
      </x:c>
      <x:c r="S1628" s="78" t="n">
        <x:f>Q1628+G1628+R1628</x:f>
        <x:v>225848.39439857402</x:v>
      </x:c>
      <x:c r="T1628" s="78" t="n">
        <x:f>P1628*(S1628*(1-'Inputs'!$B$15))/(O1628+S1628*(1-'Inputs'!$B$15))</x:f>
        <x:v>1.8763410634226574</x:v>
      </x:c>
      <x:c r="U1628" s="78" t="n">
        <x:f>O1628+S1628*(1-'Inputs'!$B$17)</x:f>
        <x:v>36835071.421149805</x:v>
      </x:c>
      <x:c r="V1628" s="78" t="n">
        <x:f>P1628-T1628</x:f>
        <x:v>307.22805707884254</x:v>
      </x:c>
      <x:c r="W1628" s="79" t="n">
        <x:f>IF(U1628&gt;0,V1628/U1628,0)</x:f>
        <x:v>0.000008340639646552705</x:v>
      </x:c>
      <x:c r="X1628" s="80" t="n">
        <x:f>W1628*('Inputs'!$B$6-AC1628)</x:f>
        <x:v>8309.147978307396</x:v>
      </x:c>
      <x:c r="Y1628" s="80" t="n">
        <x:f>2*V1628</x:f>
        <x:v>614.4561141576851</x:v>
      </x:c>
      <x:c r="Z1628" s="80" t="n">
        <x:f>K1628*'Inputs'!$B$16+(G1628+R1628)*J1628*'Inputs'!$B$16</x:f>
        <x:v>1.1242170483719685</x:v>
      </x:c>
      <x:c r="AA1628" s="80" t="n">
        <x:f>K1628*(1+'Inputs'!$E$48)/2*'Inputs'!$B$17</x:f>
        <x:v>0.3731642633508232</x:v>
      </x:c>
      <x:c r="AB1628" s="78" t="n">
        <x:f>(IF(J1628&gt;0,K1628*(1-'Inputs'!$E$48)/2/J1628,0)+G1628+R1628)*'Inputs'!$B$17</x:f>
        <x:v>45106.188959441475</x:v>
      </x:c>
      <x:c r="AC1628" s="78" t="n">
        <x:f>AC1627+AB1628</x:f>
        <x:v>3775689.8247396247</x:v>
      </x:c>
      <x:c r="AD1628" s="80" t="n">
        <x:f>Z1628/(1+'Inputs'!$C$48)</x:f>
        <x:v>0.8993736386975748</x:v>
      </x:c>
      <x:c r="AE1628" s="80" t="n">
        <x:f>Z1628-AD1628</x:f>
        <x:v>0.22484340967439365</x:v>
      </x:c>
      <x:c r="AF1628" s="80" t="n">
        <x:f>D1628*W1628</x:f>
        <x:v>2.3538692927451144</x:v>
      </x:c>
      <x:c r="AG1628" s="80" t="n">
        <x:f>C1628*W1628</x:f>
        <x:v>1.3730904207679886</x:v>
      </x:c>
      <x:c r="AH1628" s="80" t="n">
        <x:f>2*'Inputs'!$B$8*'Inputs'!$C$48</x:f>
        <x:v>1250</x:v>
      </x:c>
      <x:c r="AI1628" s="81" t="n">
        <x:f>IF(AH1628&gt;0,(AE1628+AF1628)/AH1628*365,0)</x:f>
        <x:v>0.7529841091064963</x:v>
      </x:c>
      <x:c r="AJ1628" s="81" t="n">
        <x:f>IF('Inputs'!$B$48&gt;0,AG1628/('Inputs'!$B$19*'Inputs'!$B$48)*365,0)</x:f>
        <x:v>0.20047120143212635</x:v>
      </x:c>
      <x:c r="AK1628" s="81" t="n">
        <x:f>W1628/MAX($W$1464:W1628)-1</x:f>
        <x:v>-0.9901915486632377</x:v>
      </x:c>
      <x:c r="AL1628" s="83" t="n">
        <x:f>'Inputs'!$B$48</x:f>
        <x:v>0.25</x:v>
      </x:c>
      <x:c r="AM1628" s="83" t="n">
        <x:f>'Inputs'!$C$48</x:f>
        <x:v>0.25</x:v>
      </x:c>
      <x:c r="AN1628" s="83" t="n">
        <x:f>'Inputs'!$D$48</x:f>
        <x:v>0.3</x:v>
      </x:c>
      <x:c r="AO1628" s="81" t="n">
        <x:f>'Inputs'!$E$48</x:f>
        <x:v>0</x:v>
      </x:c>
    </x:row>
    <x:row r="1629">
      <x:c r="A1629" s="59" t="str">
        <x:v>Low participation</x:v>
      </x:c>
      <x:c r="B1629" s="59" t="n">
        <x:v>166</x:v>
      </x:c>
      <x:c r="C1629" s="78" t="n">
        <x:f>(('Inputs'!$B$29*(3*166*'Inputs'!$B$12-166^2)/(2*'Inputs'!$B$12^2))-('Inputs'!$B$29*(3*165*'Inputs'!$B$12-165^2)/(2*'Inputs'!$B$12^2)))*'Inputs'!$B$48</x:f>
        <x:v>164545.23597297817</x:v>
      </x:c>
      <x:c r="D1629" s="78" t="n">
        <x:f>IF('Inputs'!$C$48&gt;0,('Inputs'!$B$30*(3*166*'Inputs'!$B$12-166^2)/(2*'Inputs'!$B$12^2))-('Inputs'!$B$30*(3*165*'Inputs'!$B$12-165^2)/(2*'Inputs'!$B$12^2)),0)</x:f>
        <x:v>282077.5473822504</x:v>
      </x:c>
      <x:c r="E1629" s="78" t="n">
        <x:f>C1629+D1629</x:f>
        <x:v>446622.7833552286</x:v>
      </x:c>
      <x:c r="F1629" s="78" t="n">
        <x:f>'Inputs'!$B$13*E1629+(1-'Inputs'!$B$13)/'Inputs'!$B$14*SUM(E1574:E1629)</x:f>
        <x:v>451476.1798648908</x:v>
      </x:c>
      <x:c r="G1629" s="78" t="n">
        <x:f>F1629*'Inputs'!$F$48</x:f>
        <x:v>225738.0899324454</x:v>
      </x:c>
      <x:c r="H1629" s="78" t="n">
        <x:f>U1628</x:f>
        <x:v>36835071.421149805</x:v>
      </x:c>
      <x:c r="I1629" s="78" t="n">
        <x:f>V1628</x:f>
        <x:v>307.22805707884254</x:v>
      </x:c>
      <x:c r="J1629" s="79" t="n">
        <x:f>IF(H1629&gt;0,I1629/H1629,0)</x:f>
        <x:v>0.000008340639646552705</x:v>
      </x:c>
      <x:c r="K1629" s="80" t="n">
        <x:f>(H1629*J1629+I1629)*'Inputs'!$D$48*(1+'Inputs'!$G$48)^(B1629/30)</x:f>
        <x:v>184.33683424730552</x:v>
      </x:c>
      <x:c r="L1629" s="80" t="n">
        <x:f>MAX(0,K1629*'Inputs'!$E$48)</x:f>
        <x:v>0</x:v>
      </x:c>
      <x:c r="M1629" s="80" t="n">
        <x:f>MAX(0,-K1629*'Inputs'!$E$48)</x:f>
        <x:v>0</x:v>
      </x:c>
      <x:c r="N1629" s="78" t="n">
        <x:f>H1629*(L1629*(1-'Inputs'!$B$15))/(I1629+L1629*(1-'Inputs'!$B$15))</x:f>
        <x:v>0</x:v>
      </x:c>
      <x:c r="O1629" s="78" t="n">
        <x:f>H1629-N1629</x:f>
        <x:v>36835071.421149805</x:v>
      </x:c>
      <x:c r="P1629" s="78" t="n">
        <x:f>I1629+L1629*(1-'Inputs'!$B$17)</x:f>
        <x:v>307.22805707884254</x:v>
      </x:c>
      <x:c r="Q1629" s="78" t="n">
        <x:f>IF(J1629&gt;0,M1629/J1629,0)</x:f>
        <x:v>0</x:v>
      </x:c>
      <x:c r="R1629" s="78" t="n">
        <x:f>IF(B1629='Inputs'!$H$48,'Inputs'!$B$27*'Inputs'!$I$48,0)</x:f>
        <x:v>0</x:v>
      </x:c>
      <x:c r="S1629" s="78" t="n">
        <x:f>Q1629+G1629+R1629</x:f>
        <x:v>225738.0899324454</x:v>
      </x:c>
      <x:c r="T1629" s="78" t="n">
        <x:f>P1629*(S1629*(1-'Inputs'!$B$15))/(O1629+S1629*(1-'Inputs'!$B$15))</x:f>
        <x:v>1.8527314232259768</x:v>
      </x:c>
      <x:c r="U1629" s="78" t="n">
        <x:f>O1629+S1629*(1-'Inputs'!$B$17)</x:f>
        <x:v>37059901.108305864</x:v>
      </x:c>
      <x:c r="V1629" s="78" t="n">
        <x:f>P1629-T1629</x:f>
        <x:v>305.37532565561656</x:v>
      </x:c>
      <x:c r="W1629" s="79" t="n">
        <x:f>IF(U1629&gt;0,V1629/U1629,0)</x:f>
        <x:v>0.000008240046965132777</x:v>
      </x:c>
      <x:c r="X1629" s="80" t="n">
        <x:f>W1629*('Inputs'!$B$6-AC1629)</x:f>
        <x:v>8208.561192552537</x:v>
      </x:c>
      <x:c r="Y1629" s="80" t="n">
        <x:f>2*V1629</x:f>
        <x:v>610.7506513112331</x:v>
      </x:c>
      <x:c r="Z1629" s="80" t="n">
        <x:f>K1629*'Inputs'!$B$16+(G1629+R1629)*J1629*'Inputs'!$B$16</x:f>
        <x:v>1.117317805859599</x:v>
      </x:c>
      <x:c r="AA1629" s="80" t="n">
        <x:f>K1629*(1+'Inputs'!$E$48)/2*'Inputs'!$B$17</x:f>
        <x:v>0.3708990628718421</x:v>
      </x:c>
      <x:c r="AB1629" s="78" t="n">
        <x:f>(IF(J1629&gt;0,K1629*(1-'Inputs'!$E$48)/2/J1629,0)+G1629+R1629)*'Inputs'!$B$17</x:f>
        <x:v>45377.301876367754</x:v>
      </x:c>
      <x:c r="AC1629" s="78" t="n">
        <x:f>AC1628+AB1629</x:f>
        <x:v>3821067.1266159923</x:v>
      </x:c>
      <x:c r="AD1629" s="80" t="n">
        <x:f>Z1629/(1+'Inputs'!$C$48)</x:f>
        <x:v>0.8938542446876792</x:v>
      </x:c>
      <x:c r="AE1629" s="80" t="n">
        <x:f>Z1629-AD1629</x:f>
        <x:v>0.2234635611719198</x:v>
      </x:c>
      <x:c r="AF1629" s="80" t="n">
        <x:f>D1629*W1629</x:f>
        <x:v>2.3243322382392098</x:v>
      </x:c>
      <x:c r="AG1629" s="80" t="n">
        <x:f>C1629*W1629</x:f>
        <x:v>1.3558604723061956</x:v>
      </x:c>
      <x:c r="AH1629" s="80" t="n">
        <x:f>2*'Inputs'!$B$8*'Inputs'!$C$48</x:f>
        <x:v>1250</x:v>
      </x:c>
      <x:c r="AI1629" s="81" t="n">
        <x:f>IF(AH1629&gt;0,(AE1629+AF1629)/AH1629*365,0)</x:f>
        <x:v>0.7439563734280498</x:v>
      </x:c>
      <x:c r="AJ1629" s="81" t="n">
        <x:f>IF('Inputs'!$B$48&gt;0,AG1629/('Inputs'!$B$19*'Inputs'!$B$48)*365,0)</x:f>
        <x:v>0.19795562895670454</x:v>
      </x:c>
      <x:c r="AK1629" s="81" t="n">
        <x:f>W1629/MAX($W$1464:W1629)-1</x:f>
        <x:v>-0.9903098439574061</x:v>
      </x:c>
      <x:c r="AL1629" s="83" t="n">
        <x:f>'Inputs'!$B$48</x:f>
        <x:v>0.25</x:v>
      </x:c>
      <x:c r="AM1629" s="83" t="n">
        <x:f>'Inputs'!$C$48</x:f>
        <x:v>0.25</x:v>
      </x:c>
      <x:c r="AN1629" s="83" t="n">
        <x:f>'Inputs'!$D$48</x:f>
        <x:v>0.3</x:v>
      </x:c>
      <x:c r="AO1629" s="81" t="n">
        <x:f>'Inputs'!$E$48</x:f>
        <x:v>0</x:v>
      </x:c>
    </x:row>
    <x:row r="1630">
      <x:c r="A1630" s="59" t="str">
        <x:v>Low participation</x:v>
      </x:c>
      <x:c r="B1630" s="59" t="n">
        <x:v>167</x:v>
      </x:c>
      <x:c r="C1630" s="78" t="n">
        <x:f>(('Inputs'!$B$29*(3*167*'Inputs'!$B$12-167^2)/(2*'Inputs'!$B$12^2))-('Inputs'!$B$29*(3*166*'Inputs'!$B$12-166^2)/(2*'Inputs'!$B$12^2)))*'Inputs'!$B$48</x:f>
        <x:v>164463.95899793506</x:v>
      </x:c>
      <x:c r="D1630" s="78" t="n">
        <x:f>IF('Inputs'!$C$48&gt;0,('Inputs'!$B$30*(3*167*'Inputs'!$B$12-167^2)/(2*'Inputs'!$B$12^2))-('Inputs'!$B$30*(3*166*'Inputs'!$B$12-166^2)/(2*'Inputs'!$B$12^2)),0)</x:f>
        <x:v>281938.2154250294</x:v>
      </x:c>
      <x:c r="E1630" s="78" t="n">
        <x:f>C1630+D1630</x:f>
        <x:v>446402.17442296445</x:v>
      </x:c>
      <x:c r="F1630" s="78" t="n">
        <x:f>'Inputs'!$B$13*E1630+(1-'Inputs'!$B$13)/'Inputs'!$B$14*SUM(E1575:E1630)</x:f>
        <x:v>451255.5709326319</x:v>
      </x:c>
      <x:c r="G1630" s="78" t="n">
        <x:f>F1630*'Inputs'!$F$48</x:f>
        <x:v>225627.78546631595</x:v>
      </x:c>
      <x:c r="H1630" s="78" t="n">
        <x:f>U1629</x:f>
        <x:v>37059901.108305864</x:v>
      </x:c>
      <x:c r="I1630" s="78" t="n">
        <x:f>V1629</x:f>
        <x:v>305.37532565561656</x:v>
      </x:c>
      <x:c r="J1630" s="79" t="n">
        <x:f>IF(H1630&gt;0,I1630/H1630,0)</x:f>
        <x:v>0.000008240046965132777</x:v>
      </x:c>
      <x:c r="K1630" s="80" t="n">
        <x:f>(H1630*J1630+I1630)*'Inputs'!$D$48*(1+'Inputs'!$G$48)^(B1630/30)</x:f>
        <x:v>183.22519539336994</x:v>
      </x:c>
      <x:c r="L1630" s="80" t="n">
        <x:f>MAX(0,K1630*'Inputs'!$E$48)</x:f>
        <x:v>0</x:v>
      </x:c>
      <x:c r="M1630" s="80" t="n">
        <x:f>MAX(0,-K1630*'Inputs'!$E$48)</x:f>
        <x:v>0</x:v>
      </x:c>
      <x:c r="N1630" s="78" t="n">
        <x:f>H1630*(L1630*(1-'Inputs'!$B$15))/(I1630+L1630*(1-'Inputs'!$B$15))</x:f>
        <x:v>0</x:v>
      </x:c>
      <x:c r="O1630" s="78" t="n">
        <x:f>H1630-N1630</x:f>
        <x:v>37059901.108305864</x:v>
      </x:c>
      <x:c r="P1630" s="78" t="n">
        <x:f>I1630+L1630*(1-'Inputs'!$B$17)</x:f>
        <x:v>305.37532565561656</x:v>
      </x:c>
      <x:c r="Q1630" s="78" t="n">
        <x:f>IF(J1630&gt;0,M1630/J1630,0)</x:f>
        <x:v>0</x:v>
      </x:c>
      <x:c r="R1630" s="78" t="n">
        <x:f>IF(B1630='Inputs'!$H$48,'Inputs'!$B$27*'Inputs'!$I$48,0)</x:f>
        <x:v>0</x:v>
      </x:c>
      <x:c r="S1630" s="78" t="n">
        <x:f>Q1630+G1630+R1630</x:f>
        <x:v>225627.78546631595</x:v>
      </x:c>
      <x:c r="T1630" s="78" t="n">
        <x:f>P1630*(S1630*(1-'Inputs'!$B$15))/(O1630+S1630*(1-'Inputs'!$B$15))</x:f>
        <x:v>1.829564362061188</x:v>
      </x:c>
      <x:c r="U1630" s="78" t="n">
        <x:f>O1630+S1630*(1-'Inputs'!$B$17)</x:f>
        <x:v>37284620.93487694</x:v>
      </x:c>
      <x:c r="V1630" s="78" t="n">
        <x:f>P1630-T1630</x:f>
        <x:v>303.54576129355536</x:v>
      </x:c>
      <x:c r="W1630" s="79" t="n">
        <x:f>IF(U1630&gt;0,V1630/U1630,0)</x:f>
        <x:v>0.000008141312790164679</x:v>
      </x:c>
      <x:c r="X1630" s="80" t="n">
        <x:f>W1630*('Inputs'!$B$6-AC1630)</x:f>
        <x:v>8109.832650551245</x:v>
      </x:c>
      <x:c r="Y1630" s="80" t="n">
        <x:f>2*V1630</x:f>
        <x:v>607.0915225871107</x:v>
      </x:c>
      <x:c r="Z1630" s="80" t="n">
        <x:f>K1630*'Inputs'!$B$16+(G1630+R1630)*J1630*'Inputs'!$B$16</x:f>
        <x:v>1.1105062736535076</x:v>
      </x:c>
      <x:c r="AA1630" s="80" t="n">
        <x:f>K1630*(1+'Inputs'!$E$48)/2*'Inputs'!$B$17</x:f>
        <x:v>0.36866236497659954</x:v>
      </x:c>
      <x:c r="AB1630" s="78" t="n">
        <x:f>(IF(J1630&gt;0,K1630*(1-'Inputs'!$E$48)/2/J1630,0)+G1630+R1630)*'Inputs'!$B$17</x:f>
        <x:v>45648.28216482123</x:v>
      </x:c>
      <x:c r="AC1630" s="78" t="n">
        <x:f>AC1629+AB1630</x:f>
        <x:v>3866715.4087808137</x:v>
      </x:c>
      <x:c r="AD1630" s="80" t="n">
        <x:f>Z1630/(1+'Inputs'!$C$48)</x:f>
        <x:v>0.8884050189228061</x:v>
      </x:c>
      <x:c r="AE1630" s="80" t="n">
        <x:f>Z1630-AD1630</x:f>
        <x:v>0.22210125473070153</x:v>
      </x:c>
      <x:c r="AF1630" s="80" t="n">
        <x:f>D1630*W1630</x:f>
        <x:v>2.295347199275996</x:v>
      </x:c>
      <x:c r="AG1630" s="80" t="n">
        <x:f>C1630*W1630</x:f>
        <x:v>1.338952532911008</x:v>
      </x:c>
      <x:c r="AH1630" s="80" t="n">
        <x:f>2*'Inputs'!$B$8*'Inputs'!$C$48</x:f>
        <x:v>1250</x:v>
      </x:c>
      <x:c r="AI1630" s="81" t="n">
        <x:f>IF(AH1630&gt;0,(AE1630+AF1630)/AH1630*365,0)</x:f>
        <x:v>0.7350949485699558</x:v>
      </x:c>
      <x:c r="AJ1630" s="81" t="n">
        <x:f>IF('Inputs'!$B$48&gt;0,AG1630/('Inputs'!$B$19*'Inputs'!$B$48)*365,0)</x:f>
        <x:v>0.19548706980500716</x:v>
      </x:c>
      <x:c r="AK1630" s="81" t="n">
        <x:f>W1630/MAX($W$1464:W1630)-1</x:f>
        <x:v>-0.9904259536793805</x:v>
      </x:c>
      <x:c r="AL1630" s="83" t="n">
        <x:f>'Inputs'!$B$48</x:f>
        <x:v>0.25</x:v>
      </x:c>
      <x:c r="AM1630" s="83" t="n">
        <x:f>'Inputs'!$C$48</x:f>
        <x:v>0.25</x:v>
      </x:c>
      <x:c r="AN1630" s="83" t="n">
        <x:f>'Inputs'!$D$48</x:f>
        <x:v>0.3</x:v>
      </x:c>
      <x:c r="AO1630" s="81" t="n">
        <x:f>'Inputs'!$E$48</x:f>
        <x:v>0</x:v>
      </x:c>
    </x:row>
    <x:row r="1631">
      <x:c r="A1631" s="59" t="str">
        <x:v>Low participation</x:v>
      </x:c>
      <x:c r="B1631" s="59" t="n">
        <x:v>168</x:v>
      </x:c>
      <x:c r="C1631" s="78" t="n">
        <x:f>(('Inputs'!$B$29*(3*168*'Inputs'!$B$12-168^2)/(2*'Inputs'!$B$12^2))-('Inputs'!$B$29*(3*167*'Inputs'!$B$12-167^2)/(2*'Inputs'!$B$12^2)))*'Inputs'!$B$48</x:f>
        <x:v>164382.68202289194</x:v>
      </x:c>
      <x:c r="D1631" s="78" t="n">
        <x:f>IF('Inputs'!$C$48&gt;0,('Inputs'!$B$30*(3*168*'Inputs'!$B$12-168^2)/(2*'Inputs'!$B$12^2))-('Inputs'!$B$30*(3*167*'Inputs'!$B$12-167^2)/(2*'Inputs'!$B$12^2)),0)</x:f>
        <x:v>281798.88346782327</x:v>
      </x:c>
      <x:c r="E1631" s="78" t="n">
        <x:f>C1631+D1631</x:f>
        <x:v>446181.5654907152</x:v>
      </x:c>
      <x:c r="F1631" s="78" t="n">
        <x:f>'Inputs'!$B$13*E1631+(1-'Inputs'!$B$13)/'Inputs'!$B$14*SUM(E1576:E1631)</x:f>
        <x:v>451034.96200037614</x:v>
      </x:c>
      <x:c r="G1631" s="78" t="n">
        <x:f>F1631*'Inputs'!$F$48</x:f>
        <x:v>225517.48100018807</x:v>
      </x:c>
      <x:c r="H1631" s="78" t="n">
        <x:f>U1630</x:f>
        <x:v>37284620.93487694</x:v>
      </x:c>
      <x:c r="I1631" s="78" t="n">
        <x:f>V1630</x:f>
        <x:v>303.54576129355536</x:v>
      </x:c>
      <x:c r="J1631" s="79" t="n">
        <x:f>IF(H1631&gt;0,I1631/H1631,0)</x:f>
        <x:v>0.000008141312790164679</x:v>
      </x:c>
      <x:c r="K1631" s="80" t="n">
        <x:f>(H1631*J1631+I1631)*'Inputs'!$D$48*(1+'Inputs'!$G$48)^(B1631/30)</x:f>
        <x:v>182.12745677613322</x:v>
      </x:c>
      <x:c r="L1631" s="80" t="n">
        <x:f>MAX(0,K1631*'Inputs'!$E$48)</x:f>
        <x:v>0</x:v>
      </x:c>
      <x:c r="M1631" s="80" t="n">
        <x:f>MAX(0,-K1631*'Inputs'!$E$48)</x:f>
        <x:v>0</x:v>
      </x:c>
      <x:c r="N1631" s="78" t="n">
        <x:f>H1631*(L1631*(1-'Inputs'!$B$15))/(I1631+L1631*(1-'Inputs'!$B$15))</x:f>
        <x:v>0</x:v>
      </x:c>
      <x:c r="O1631" s="78" t="n">
        <x:f>H1631-N1631</x:f>
        <x:v>37284620.93487694</x:v>
      </x:c>
      <x:c r="P1631" s="78" t="n">
        <x:f>I1631+L1631*(1-'Inputs'!$B$17)</x:f>
        <x:v>303.54576129355536</x:v>
      </x:c>
      <x:c r="Q1631" s="78" t="n">
        <x:f>IF(J1631&gt;0,M1631/J1631,0)</x:f>
        <x:v>0</x:v>
      </x:c>
      <x:c r="R1631" s="78" t="n">
        <x:f>IF(B1631='Inputs'!$H$48,'Inputs'!$B$27*'Inputs'!$I$48,0)</x:f>
        <x:v>0</x:v>
      </x:c>
      <x:c r="S1631" s="78" t="n">
        <x:f>Q1631+G1631+R1631</x:f>
        <x:v>225517.48100018807</x:v>
      </x:c>
      <x:c r="T1631" s="78" t="n">
        <x:f>P1631*(S1631*(1-'Inputs'!$B$15))/(O1631+S1631*(1-'Inputs'!$B$15))</x:f>
        <x:v>1.8068288808805306</x:v>
      </x:c>
      <x:c r="U1631" s="78" t="n">
        <x:f>O1631+S1631*(1-'Inputs'!$B$17)</x:f>
        <x:v>37509230.900863044</x:v>
      </x:c>
      <x:c r="V1631" s="78" t="n">
        <x:f>P1631-T1631</x:f>
        <x:v>301.73893241267484</x:v>
      </x:c>
      <x:c r="W1631" s="79" t="n">
        <x:f>IF(U1631&gt;0,V1631/U1631,0)</x:f>
        <x:v>0.000008044391344897775</x:v>
      </x:c>
      <x:c r="X1631" s="80" t="n">
        <x:f>W1631*('Inputs'!$B$6-AC1631)</x:f>
        <x:v>8012.916581479668</x:v>
      </x:c>
      <x:c r="Y1631" s="80" t="n">
        <x:f>2*V1631</x:f>
        <x:v>603.4778648253497</x:v>
      </x:c>
      <x:c r="Z1631" s="80" t="n">
        <x:f>K1631*'Inputs'!$B$16+(G1631+R1631)*J1631*'Inputs'!$B$16</x:f>
        <x:v>1.1037807907716346</x:v>
      </x:c>
      <x:c r="AA1631" s="80" t="n">
        <x:f>K1631*(1+'Inputs'!$E$48)/2*'Inputs'!$B$17</x:f>
        <x:v>0.3664536353644532</x:v>
      </x:c>
      <x:c r="AB1631" s="78" t="n">
        <x:f>(IF(J1631&gt;0,K1631*(1-'Inputs'!$E$48)/2/J1631,0)+G1631+R1631)*'Inputs'!$B$17</x:f>
        <x:v>45919.129824801894</x:v>
      </x:c>
      <x:c r="AC1631" s="78" t="n">
        <x:f>AC1630+AB1631</x:f>
        <x:v>3912634.5386056155</x:v>
      </x:c>
      <x:c r="AD1631" s="80" t="n">
        <x:f>Z1631/(1+'Inputs'!$C$48)</x:f>
        <x:v>0.8830246326173077</x:v>
      </x:c>
      <x:c r="AE1631" s="80" t="n">
        <x:f>Z1631-AD1631</x:f>
        <x:v>0.22075615815432692</x:v>
      </x:c>
      <x:c r="AF1631" s="80" t="n">
        <x:f>D1631*W1631</x:f>
        <x:v>2.266900499170414</x:v>
      </x:c>
      <x:c r="AG1631" s="80" t="n">
        <x:f>C1631*W1631</x:f>
        <x:v>1.322358624516035</x:v>
      </x:c>
      <x:c r="AH1631" s="80" t="n">
        <x:f>2*'Inputs'!$B$8*'Inputs'!$C$48</x:f>
        <x:v>1250</x:v>
      </x:c>
      <x:c r="AI1631" s="81" t="n">
        <x:f>IF(AH1631&gt;0,(AE1631+AF1631)/AH1631*365,0)</x:f>
        <x:v>0.7263957439388242</x:v>
      </x:c>
      <x:c r="AJ1631" s="81" t="n">
        <x:f>IF('Inputs'!$B$48&gt;0,AG1631/('Inputs'!$B$19*'Inputs'!$B$48)*365,0)</x:f>
        <x:v>0.19306435917934112</x:v>
      </x:c>
      <x:c r="AK1631" s="81" t="n">
        <x:f>W1631/MAX($W$1464:W1631)-1</x:f>
        <x:v>-0.9905399316618464</x:v>
      </x:c>
      <x:c r="AL1631" s="83" t="n">
        <x:f>'Inputs'!$B$48</x:f>
        <x:v>0.25</x:v>
      </x:c>
      <x:c r="AM1631" s="83" t="n">
        <x:f>'Inputs'!$C$48</x:f>
        <x:v>0.25</x:v>
      </x:c>
      <x:c r="AN1631" s="83" t="n">
        <x:f>'Inputs'!$D$48</x:f>
        <x:v>0.3</x:v>
      </x:c>
      <x:c r="AO1631" s="81" t="n">
        <x:f>'Inputs'!$E$48</x:f>
        <x:v>0</x:v>
      </x:c>
    </x:row>
    <x:row r="1632">
      <x:c r="A1632" s="59" t="str">
        <x:v>Low participation</x:v>
      </x:c>
      <x:c r="B1632" s="59" t="n">
        <x:v>169</x:v>
      </x:c>
      <x:c r="C1632" s="78" t="n">
        <x:f>(('Inputs'!$B$29*(3*169*'Inputs'!$B$12-169^2)/(2*'Inputs'!$B$12^2))-('Inputs'!$B$29*(3*168*'Inputs'!$B$12-168^2)/(2*'Inputs'!$B$12^2)))*'Inputs'!$B$48</x:f>
        <x:v>164301.40504785255</x:v>
      </x:c>
      <x:c r="D1632" s="78" t="n">
        <x:f>IF('Inputs'!$C$48&gt;0,('Inputs'!$B$30*(3*169*'Inputs'!$B$12-169^2)/(2*'Inputs'!$B$12^2))-('Inputs'!$B$30*(3*168*'Inputs'!$B$12-168^2)/(2*'Inputs'!$B$12^2)),0)</x:f>
        <x:v>281659.55151060224</x:v>
      </x:c>
      <x:c r="E1632" s="78" t="n">
        <x:f>C1632+D1632</x:f>
        <x:v>445960.9565584548</x:v>
      </x:c>
      <x:c r="F1632" s="78" t="n">
        <x:f>'Inputs'!$B$13*E1632+(1-'Inputs'!$B$13)/'Inputs'!$B$14*SUM(E1577:E1632)</x:f>
        <x:v>450814.35306811816</x:v>
      </x:c>
      <x:c r="G1632" s="78" t="n">
        <x:f>F1632*'Inputs'!$F$48</x:f>
        <x:v>225407.17653405908</x:v>
      </x:c>
      <x:c r="H1632" s="78" t="n">
        <x:f>U1631</x:f>
        <x:v>37509230.900863044</x:v>
      </x:c>
      <x:c r="I1632" s="78" t="n">
        <x:f>V1631</x:f>
        <x:v>301.73893241267484</x:v>
      </x:c>
      <x:c r="J1632" s="79" t="n">
        <x:f>IF(H1632&gt;0,I1632/H1632,0)</x:f>
        <x:v>0.000008044391344897775</x:v>
      </x:c>
      <x:c r="K1632" s="80" t="n">
        <x:f>(H1632*J1632+I1632)*'Inputs'!$D$48*(1+'Inputs'!$G$48)^(B1632/30)</x:f>
        <x:v>181.0433594476049</x:v>
      </x:c>
      <x:c r="L1632" s="80" t="n">
        <x:f>MAX(0,K1632*'Inputs'!$E$48)</x:f>
        <x:v>0</x:v>
      </x:c>
      <x:c r="M1632" s="80" t="n">
        <x:f>MAX(0,-K1632*'Inputs'!$E$48)</x:f>
        <x:v>0</x:v>
      </x:c>
      <x:c r="N1632" s="78" t="n">
        <x:f>H1632*(L1632*(1-'Inputs'!$B$15))/(I1632+L1632*(1-'Inputs'!$B$15))</x:f>
        <x:v>0</x:v>
      </x:c>
      <x:c r="O1632" s="78" t="n">
        <x:f>H1632-N1632</x:f>
        <x:v>37509230.900863044</x:v>
      </x:c>
      <x:c r="P1632" s="78" t="n">
        <x:f>I1632+L1632*(1-'Inputs'!$B$17)</x:f>
        <x:v>301.73893241267484</x:v>
      </x:c>
      <x:c r="Q1632" s="78" t="n">
        <x:f>IF(J1632&gt;0,M1632/J1632,0)</x:f>
        <x:v>0</x:v>
      </x:c>
      <x:c r="R1632" s="78" t="n">
        <x:f>IF(B1632='Inputs'!$H$48,'Inputs'!$B$27*'Inputs'!$I$48,0)</x:f>
        <x:v>0</x:v>
      </x:c>
      <x:c r="S1632" s="78" t="n">
        <x:f>Q1632+G1632+R1632</x:f>
        <x:v>225407.17653405908</x:v>
      </x:c>
      <x:c r="T1632" s="78" t="n">
        <x:f>P1632*(S1632*(1-'Inputs'!$B$15))/(O1632+S1632*(1-'Inputs'!$B$15))</x:f>
        <x:v>1.784514320310027</x:v>
      </x:c>
      <x:c r="U1632" s="78" t="n">
        <x:f>O1632+S1632*(1-'Inputs'!$B$17)</x:f>
        <x:v>37733731.00626417</x:v>
      </x:c>
      <x:c r="V1632" s="78" t="n">
        <x:f>P1632-T1632</x:f>
        <x:v>299.9544180923648</x:v>
      </x:c>
      <x:c r="W1632" s="79" t="n">
        <x:f>IF(U1632&gt;0,V1632/U1632,0)</x:f>
        <x:v>0.000007949238256947594</x:v>
      </x:c>
      <x:c r="X1632" s="80" t="n">
        <x:f>W1632*('Inputs'!$B$6-AC1632)</x:f>
        <x:v>7917.768618706042</x:v>
      </x:c>
      <x:c r="Y1632" s="80" t="n">
        <x:f>2*V1632</x:f>
        <x:v>599.9088361847296</x:v>
      </x:c>
      <x:c r="Z1632" s="80" t="n">
        <x:f>K1632*'Inputs'!$B$16+(G1632+R1632)*J1632*'Inputs'!$B$16</x:f>
        <x:v>1.0971397379255599</x:v>
      </x:c>
      <x:c r="AA1632" s="80" t="n">
        <x:f>K1632*(1+'Inputs'!$E$48)/2*'Inputs'!$B$17</x:f>
        <x:v>0.3642723530132896</x:v>
      </x:c>
      <x:c r="AB1632" s="78" t="n">
        <x:f>(IF(J1632&gt;0,K1632*(1-'Inputs'!$E$48)/2/J1632,0)+G1632+R1632)*'Inputs'!$B$17</x:f>
        <x:v>46189.84485630975</x:v>
      </x:c>
      <x:c r="AC1632" s="78" t="n">
        <x:f>AC1631+AB1632</x:f>
        <x:v>3958824.383461925</x:v>
      </x:c>
      <x:c r="AD1632" s="80" t="n">
        <x:f>Z1632/(1+'Inputs'!$C$48)</x:f>
        <x:v>0.8777117903404479</x:v>
      </x:c>
      <x:c r="AE1632" s="80" t="n">
        <x:f>Z1632-AD1632</x:f>
        <x:v>0.21942794758511197</x:v>
      </x:c>
      <x:c r="AF1632" s="80" t="n">
        <x:f>D1632*W1632</x:f>
        <x:v>2.238978882302781</x:v>
      </x:c>
      <x:c r="AG1632" s="80" t="n">
        <x:f>C1632*W1632</x:f>
        <x:v>1.3060710146766321</x:v>
      </x:c>
      <x:c r="AH1632" s="80" t="n">
        <x:f>2*'Inputs'!$B$8*'Inputs'!$C$48</x:f>
        <x:v>1250</x:v>
      </x:c>
      <x:c r="AI1632" s="81" t="n">
        <x:f>IF(AH1632&gt;0,(AE1632+AF1632)/AH1632*365,0)</x:f>
        <x:v>0.7178547943272646</x:v>
      </x:c>
      <x:c r="AJ1632" s="81" t="n">
        <x:f>IF('Inputs'!$B$48&gt;0,AG1632/('Inputs'!$B$19*'Inputs'!$B$48)*365,0)</x:f>
        <x:v>0.1906863681427883</x:v>
      </x:c>
      <x:c r="AK1632" s="81" t="n">
        <x:f>W1632/MAX($W$1464:W1632)-1</x:f>
        <x:v>-0.9906518300859783</x:v>
      </x:c>
      <x:c r="AL1632" s="83" t="n">
        <x:f>'Inputs'!$B$48</x:f>
        <x:v>0.25</x:v>
      </x:c>
      <x:c r="AM1632" s="83" t="n">
        <x:f>'Inputs'!$C$48</x:f>
        <x:v>0.25</x:v>
      </x:c>
      <x:c r="AN1632" s="83" t="n">
        <x:f>'Inputs'!$D$48</x:f>
        <x:v>0.3</x:v>
      </x:c>
      <x:c r="AO1632" s="81" t="n">
        <x:f>'Inputs'!$E$48</x:f>
        <x:v>0</x:v>
      </x:c>
    </x:row>
    <x:row r="1633">
      <x:c r="A1633" s="59" t="str">
        <x:v>Low participation</x:v>
      </x:c>
      <x:c r="B1633" s="59" t="n">
        <x:v>170</x:v>
      </x:c>
      <x:c r="C1633" s="78" t="n">
        <x:f>(('Inputs'!$B$29*(3*170*'Inputs'!$B$12-170^2)/(2*'Inputs'!$B$12^2))-('Inputs'!$B$29*(3*169*'Inputs'!$B$12-169^2)/(2*'Inputs'!$B$12^2)))*'Inputs'!$B$48</x:f>
        <x:v>164220.12807280943</x:v>
      </x:c>
      <x:c r="D1633" s="78" t="n">
        <x:f>IF('Inputs'!$C$48&gt;0,('Inputs'!$B$30*(3*170*'Inputs'!$B$12-170^2)/(2*'Inputs'!$B$12^2))-('Inputs'!$B$30*(3*169*'Inputs'!$B$12-169^2)/(2*'Inputs'!$B$12^2)),0)</x:f>
        <x:v>281520.2195533812</x:v>
      </x:c>
      <x:c r="E1633" s="78" t="n">
        <x:f>C1633+D1633</x:f>
        <x:v>445740.34762619063</x:v>
      </x:c>
      <x:c r="F1633" s="78" t="n">
        <x:f>'Inputs'!$B$13*E1633+(1-'Inputs'!$B$13)/'Inputs'!$B$14*SUM(E1578:E1633)</x:f>
        <x:v>450593.7441358593</x:v>
      </x:c>
      <x:c r="G1633" s="78" t="n">
        <x:f>F1633*'Inputs'!$F$48</x:f>
        <x:v>225296.87206792965</x:v>
      </x:c>
      <x:c r="H1633" s="78" t="n">
        <x:f>U1632</x:f>
        <x:v>37733731.00626417</x:v>
      </x:c>
      <x:c r="I1633" s="78" t="n">
        <x:f>V1632</x:f>
        <x:v>299.9544180923648</x:v>
      </x:c>
      <x:c r="J1633" s="79" t="n">
        <x:f>IF(H1633&gt;0,I1633/H1633,0)</x:f>
        <x:v>0.000007949238256947594</x:v>
      </x:c>
      <x:c r="K1633" s="80" t="n">
        <x:f>(H1633*J1633+I1633)*'Inputs'!$D$48*(1+'Inputs'!$G$48)^(B1633/30)</x:f>
        <x:v>179.97265085541886</x:v>
      </x:c>
      <x:c r="L1633" s="80" t="n">
        <x:f>MAX(0,K1633*'Inputs'!$E$48)</x:f>
        <x:v>0</x:v>
      </x:c>
      <x:c r="M1633" s="80" t="n">
        <x:f>MAX(0,-K1633*'Inputs'!$E$48)</x:f>
        <x:v>0</x:v>
      </x:c>
      <x:c r="N1633" s="78" t="n">
        <x:f>H1633*(L1633*(1-'Inputs'!$B$15))/(I1633+L1633*(1-'Inputs'!$B$15))</x:f>
        <x:v>0</x:v>
      </x:c>
      <x:c r="O1633" s="78" t="n">
        <x:f>H1633-N1633</x:f>
        <x:v>37733731.00626417</x:v>
      </x:c>
      <x:c r="P1633" s="78" t="n">
        <x:f>I1633+L1633*(1-'Inputs'!$B$17)</x:f>
        <x:v>299.9544180923648</x:v>
      </x:c>
      <x:c r="Q1633" s="78" t="n">
        <x:f>IF(J1633&gt;0,M1633/J1633,0)</x:f>
        <x:v>0</x:v>
      </x:c>
      <x:c r="R1633" s="78" t="n">
        <x:f>IF(B1633='Inputs'!$H$48,'Inputs'!$B$27*'Inputs'!$I$48,0)</x:f>
        <x:v>0</x:v>
      </x:c>
      <x:c r="S1633" s="78" t="n">
        <x:f>Q1633+G1633+R1633</x:f>
        <x:v>225296.87206792965</x:v>
      </x:c>
      <x:c r="T1633" s="78" t="n">
        <x:f>P1633*(S1633*(1-'Inputs'!$B$15))/(O1633+S1633*(1-'Inputs'!$B$15))</x:f>
        <x:v>1.7626103481366362</x:v>
      </x:c>
      <x:c r="U1633" s="78" t="n">
        <x:f>O1633+S1633*(1-'Inputs'!$B$17)</x:f>
        <x:v>37958121.25108032</x:v>
      </x:c>
      <x:c r="V1633" s="78" t="n">
        <x:f>P1633-T1633</x:f>
        <x:v>298.19180774422813</x:v>
      </x:c>
      <x:c r="W1633" s="79" t="n">
        <x:f>IF(U1633&gt;0,V1633/U1633,0)</x:f>
        <x:v>0.000007855810506842231</x:v>
      </x:c>
      <x:c r="X1633" s="80" t="n">
        <x:f>W1633*('Inputs'!$B$6-AC1633)</x:f>
        <x:v>7824.345748343271</x:v>
      </x:c>
      <x:c r="Y1633" s="80" t="n">
        <x:f>2*V1633</x:f>
        <x:v>596.3836154884563</x:v>
      </x:c>
      <x:c r="Z1633" s="80" t="n">
        <x:f>K1633*'Inputs'!$B$16+(G1633+R1633)*J1633*'Inputs'!$B$16</x:f>
        <x:v>1.0905815362201914</x:v>
      </x:c>
      <x:c r="AA1633" s="80" t="n">
        <x:f>K1633*(1+'Inputs'!$E$48)/2*'Inputs'!$B$17</x:f>
        <x:v>0.36211800976945446</x:v>
      </x:c>
      <x:c r="AB1633" s="78" t="n">
        <x:f>(IF(J1633&gt;0,K1633*(1-'Inputs'!$E$48)/2/J1633,0)+G1633+R1633)*'Inputs'!$B$17</x:f>
        <x:v>46460.4272593448</x:v>
      </x:c>
      <x:c r="AC1633" s="78" t="n">
        <x:f>AC1632+AB1633</x:f>
        <x:v>4005284.81072127</x:v>
      </x:c>
      <x:c r="AD1633" s="80" t="n">
        <x:f>Z1633/(1+'Inputs'!$C$48)</x:f>
        <x:v>0.8724652289761531</x:v>
      </x:c>
      <x:c r="AE1633" s="80" t="n">
        <x:f>Z1633-AD1633</x:f>
        <x:v>0.2181163072440383</x:v>
      </x:c>
      <x:c r="AF1633" s="80" t="n">
        <x:f>D1633*W1633</x:f>
        <x:v>2.211569498655984</x:v>
      </x:c>
      <x:c r="AG1633" s="80" t="n">
        <x:f>C1633*W1633</x:f>
        <x:v>1.2900822075493532</x:v>
      </x:c>
      <x:c r="AH1633" s="80" t="n">
        <x:f>2*'Inputs'!$B$8*'Inputs'!$C$48</x:f>
        <x:v>1250</x:v>
      </x:c>
      <x:c r="AI1633" s="81" t="n">
        <x:f>IF(AH1633&gt;0,(AE1633+AF1633)/AH1633*365,0)</x:f>
        <x:v>0.7094682553228066</x:v>
      </x:c>
      <x:c r="AJ1633" s="81" t="n">
        <x:f>IF('Inputs'!$B$48&gt;0,AG1633/('Inputs'!$B$19*'Inputs'!$B$48)*365,0)</x:f>
        <x:v>0.18835200230220556</x:v>
      </x:c>
      <x:c r="AK1633" s="81" t="n">
        <x:f>W1633/MAX($W$1464:W1633)-1</x:f>
        <x:v>-0.9907616995419487</x:v>
      </x:c>
      <x:c r="AL1633" s="83" t="n">
        <x:f>'Inputs'!$B$48</x:f>
        <x:v>0.25</x:v>
      </x:c>
      <x:c r="AM1633" s="83" t="n">
        <x:f>'Inputs'!$C$48</x:f>
        <x:v>0.25</x:v>
      </x:c>
      <x:c r="AN1633" s="83" t="n">
        <x:f>'Inputs'!$D$48</x:f>
        <x:v>0.3</x:v>
      </x:c>
      <x:c r="AO1633" s="81" t="n">
        <x:f>'Inputs'!$E$48</x:f>
        <x:v>0</x:v>
      </x:c>
    </x:row>
    <x:row r="1634">
      <x:c r="A1634" s="59" t="str">
        <x:v>Low participation</x:v>
      </x:c>
      <x:c r="B1634" s="59" t="n">
        <x:v>171</x:v>
      </x:c>
      <x:c r="C1634" s="78" t="n">
        <x:f>(('Inputs'!$B$29*(3*171*'Inputs'!$B$12-171^2)/(2*'Inputs'!$B$12^2))-('Inputs'!$B$29*(3*170*'Inputs'!$B$12-170^2)/(2*'Inputs'!$B$12^2)))*'Inputs'!$B$48</x:f>
        <x:v>164138.8510977663</x:v>
      </x:c>
      <x:c r="D1634" s="78" t="n">
        <x:f>IF('Inputs'!$C$48&gt;0,('Inputs'!$B$30*(3*171*'Inputs'!$B$12-171^2)/(2*'Inputs'!$B$12^2))-('Inputs'!$B$30*(3*170*'Inputs'!$B$12-170^2)/(2*'Inputs'!$B$12^2)),0)</x:f>
        <x:v>281380.8875961751</x:v>
      </x:c>
      <x:c r="E1634" s="78" t="n">
        <x:f>C1634+D1634</x:f>
        <x:v>445519.7386939414</x:v>
      </x:c>
      <x:c r="F1634" s="78" t="n">
        <x:f>'Inputs'!$B$13*E1634+(1-'Inputs'!$B$13)/'Inputs'!$B$14*SUM(E1579:E1634)</x:f>
        <x:v>450373.1352036034</x:v>
      </x:c>
      <x:c r="G1634" s="78" t="n">
        <x:f>F1634*'Inputs'!$F$48</x:f>
        <x:v>225186.5676018017</x:v>
      </x:c>
      <x:c r="H1634" s="78" t="n">
        <x:f>U1633</x:f>
        <x:v>37958121.25108032</x:v>
      </x:c>
      <x:c r="I1634" s="78" t="n">
        <x:f>V1633</x:f>
        <x:v>298.19180774422813</x:v>
      </x:c>
      <x:c r="J1634" s="79" t="n">
        <x:f>IF(H1634&gt;0,I1634/H1634,0)</x:f>
        <x:v>0.000007855810506842231</x:v>
      </x:c>
      <x:c r="K1634" s="80" t="n">
        <x:f>(H1634*J1634+I1634)*'Inputs'!$D$48*(1+'Inputs'!$G$48)^(B1634/30)</x:f>
        <x:v>178.91508464653688</x:v>
      </x:c>
      <x:c r="L1634" s="80" t="n">
        <x:f>MAX(0,K1634*'Inputs'!$E$48)</x:f>
        <x:v>0</x:v>
      </x:c>
      <x:c r="M1634" s="80" t="n">
        <x:f>MAX(0,-K1634*'Inputs'!$E$48)</x:f>
        <x:v>0</x:v>
      </x:c>
      <x:c r="N1634" s="78" t="n">
        <x:f>H1634*(L1634*(1-'Inputs'!$B$15))/(I1634+L1634*(1-'Inputs'!$B$15))</x:f>
        <x:v>0</x:v>
      </x:c>
      <x:c r="O1634" s="78" t="n">
        <x:f>H1634-N1634</x:f>
        <x:v>37958121.25108032</x:v>
      </x:c>
      <x:c r="P1634" s="78" t="n">
        <x:f>I1634+L1634*(1-'Inputs'!$B$17)</x:f>
        <x:v>298.19180774422813</x:v>
      </x:c>
      <x:c r="Q1634" s="78" t="n">
        <x:f>IF(J1634&gt;0,M1634/J1634,0)</x:f>
        <x:v>0</x:v>
      </x:c>
      <x:c r="R1634" s="78" t="n">
        <x:f>IF(B1634='Inputs'!$H$48,'Inputs'!$B$27*'Inputs'!$I$48,0)</x:f>
        <x:v>0</x:v>
      </x:c>
      <x:c r="S1634" s="78" t="n">
        <x:f>Q1634+G1634+R1634</x:f>
        <x:v>225186.5676018017</x:v>
      </x:c>
      <x:c r="T1634" s="78" t="n">
        <x:f>P1634*(S1634*(1-'Inputs'!$B$15))/(O1634+S1634*(1-'Inputs'!$B$15))</x:f>
        <x:v>1.7411069473298877</x:v>
      </x:c>
      <x:c r="U1634" s="78" t="n">
        <x:f>O1634+S1634*(1-'Inputs'!$B$17)</x:f>
        <x:v>38182401.63531149</x:v>
      </x:c>
      <x:c r="V1634" s="78" t="n">
        <x:f>P1634-T1634</x:f>
        <x:v>296.4507007968982</x:v>
      </x:c>
      <x:c r="W1634" s="79" t="n">
        <x:f>IF(U1634&gt;0,V1634/U1634,0)</x:f>
        <x:v>0.000007764066378756476</x:v>
      </x:c>
      <x:c r="X1634" s="80" t="n">
        <x:f>W1634*('Inputs'!$B$6-AC1634)</x:f>
        <x:v>7732.606259988981</x:v>
      </x:c>
      <x:c r="Y1634" s="80" t="n">
        <x:f>2*V1634</x:f>
        <x:v>592.9014015937964</x:v>
      </x:c>
      <x:c r="Z1634" s="80" t="n">
        <x:f>K1634*'Inputs'!$B$16+(G1634+R1634)*J1634*'Inputs'!$B$16</x:f>
        <x:v>1.0841046459018173</x:v>
      </x:c>
      <x:c r="AA1634" s="80" t="n">
        <x:f>K1634*(1+'Inputs'!$E$48)/2*'Inputs'!$B$17</x:f>
        <x:v>0.3599901099527905</x:v>
      </x:c>
      <x:c r="AB1634" s="78" t="n">
        <x:f>(IF(J1634&gt;0,K1634*(1-'Inputs'!$E$48)/2/J1634,0)+G1634+R1634)*'Inputs'!$B$17</x:f>
        <x:v>46730.87703390703</x:v>
      </x:c>
      <x:c r="AC1634" s="78" t="n">
        <x:f>AC1633+AB1634</x:f>
        <x:v>4052015.687755177</x:v>
      </x:c>
      <x:c r="AD1634" s="80" t="n">
        <x:f>Z1634/(1+'Inputs'!$C$48)</x:f>
        <x:v>0.8672837167214539</x:v>
      </x:c>
      <x:c r="AE1634" s="80" t="n">
        <x:f>Z1634-AD1634</x:f>
        <x:v>0.21682092918036344</x:v>
      </x:c>
      <x:c r="AF1634" s="80" t="n">
        <x:f>D1634*W1634</x:f>
        <x:v>2.184659889010118</x:v>
      </x:c>
      <x:c r="AG1634" s="80" t="n">
        <x:f>C1634*W1634</x:f>
        <x:v>1.274384935255883</x:v>
      </x:c>
      <x:c r="AH1634" s="80" t="n">
        <x:f>2*'Inputs'!$B$8*'Inputs'!$C$48</x:f>
        <x:v>1250</x:v>
      </x:c>
      <x:c r="AI1634" s="81" t="n">
        <x:f>IF(AH1634&gt;0,(AE1634+AF1634)/AH1634*365,0)</x:f>
        <x:v>0.7012323989116206</x:v>
      </x:c>
      <x:c r="AJ1634" s="81" t="n">
        <x:f>IF('Inputs'!$B$48&gt;0,AG1634/('Inputs'!$B$19*'Inputs'!$B$48)*365,0)</x:f>
        <x:v>0.18606020054735892</x:v>
      </x:c>
      <x:c r="AK1634" s="81" t="n">
        <x:f>W1634/MAX($W$1464:W1634)-1</x:f>
        <x:v>-0.9908695890868633</x:v>
      </x:c>
      <x:c r="AL1634" s="83" t="n">
        <x:f>'Inputs'!$B$48</x:f>
        <x:v>0.25</x:v>
      </x:c>
      <x:c r="AM1634" s="83" t="n">
        <x:f>'Inputs'!$C$48</x:f>
        <x:v>0.25</x:v>
      </x:c>
      <x:c r="AN1634" s="83" t="n">
        <x:f>'Inputs'!$D$48</x:f>
        <x:v>0.3</x:v>
      </x:c>
      <x:c r="AO1634" s="81" t="n">
        <x:f>'Inputs'!$E$48</x:f>
        <x:v>0</x:v>
      </x:c>
    </x:row>
    <x:row r="1635">
      <x:c r="A1635" s="59" t="str">
        <x:v>Low participation</x:v>
      </x:c>
      <x:c r="B1635" s="59" t="n">
        <x:v>172</x:v>
      </x:c>
      <x:c r="C1635" s="78" t="n">
        <x:f>(('Inputs'!$B$29*(3*172*'Inputs'!$B$12-172^2)/(2*'Inputs'!$B$12^2))-('Inputs'!$B$29*(3*171*'Inputs'!$B$12-171^2)/(2*'Inputs'!$B$12^2)))*'Inputs'!$B$48</x:f>
        <x:v>164057.5741227232</x:v>
      </x:c>
      <x:c r="D1635" s="78" t="n">
        <x:f>IF('Inputs'!$C$48&gt;0,('Inputs'!$B$30*(3*172*'Inputs'!$B$12-172^2)/(2*'Inputs'!$B$12^2))-('Inputs'!$B$30*(3*171*'Inputs'!$B$12-171^2)/(2*'Inputs'!$B$12^2)),0)</x:f>
        <x:v>281241.55563895404</x:v>
      </x:c>
      <x:c r="E1635" s="78" t="n">
        <x:f>C1635+D1635</x:f>
        <x:v>445299.12976167724</x:v>
      </x:c>
      <x:c r="F1635" s="78" t="n">
        <x:f>'Inputs'!$B$13*E1635+(1-'Inputs'!$B$13)/'Inputs'!$B$14*SUM(E1580:E1635)</x:f>
        <x:v>450152.5262713446</x:v>
      </x:c>
      <x:c r="G1635" s="78" t="n">
        <x:f>F1635*'Inputs'!$F$48</x:f>
        <x:v>225076.2631356723</x:v>
      </x:c>
      <x:c r="H1635" s="78" t="n">
        <x:f>U1634</x:f>
        <x:v>38182401.63531149</x:v>
      </x:c>
      <x:c r="I1635" s="78" t="n">
        <x:f>V1634</x:f>
        <x:v>296.4507007968982</x:v>
      </x:c>
      <x:c r="J1635" s="79" t="n">
        <x:f>IF(H1635&gt;0,I1635/H1635,0)</x:f>
        <x:v>0.000007764066378756476</x:v>
      </x:c>
      <x:c r="K1635" s="80" t="n">
        <x:f>(H1635*J1635+I1635)*'Inputs'!$D$48*(1+'Inputs'!$G$48)^(B1635/30)</x:f>
        <x:v>177.87042047813893</x:v>
      </x:c>
      <x:c r="L1635" s="80" t="n">
        <x:f>MAX(0,K1635*'Inputs'!$E$48)</x:f>
        <x:v>0</x:v>
      </x:c>
      <x:c r="M1635" s="80" t="n">
        <x:f>MAX(0,-K1635*'Inputs'!$E$48)</x:f>
        <x:v>0</x:v>
      </x:c>
      <x:c r="N1635" s="78" t="n">
        <x:f>H1635*(L1635*(1-'Inputs'!$B$15))/(I1635+L1635*(1-'Inputs'!$B$15))</x:f>
        <x:v>0</x:v>
      </x:c>
      <x:c r="O1635" s="78" t="n">
        <x:f>H1635-N1635</x:f>
        <x:v>38182401.63531149</x:v>
      </x:c>
      <x:c r="P1635" s="78" t="n">
        <x:f>I1635+L1635*(1-'Inputs'!$B$17)</x:f>
        <x:v>296.4507007968982</x:v>
      </x:c>
      <x:c r="Q1635" s="78" t="n">
        <x:f>IF(J1635&gt;0,M1635/J1635,0)</x:f>
        <x:v>0</x:v>
      </x:c>
      <x:c r="R1635" s="78" t="n">
        <x:f>IF(B1635='Inputs'!$H$48,'Inputs'!$B$27*'Inputs'!$I$48,0)</x:f>
        <x:v>0</x:v>
      </x:c>
      <x:c r="S1635" s="78" t="n">
        <x:f>Q1635+G1635+R1635</x:f>
        <x:v>225076.2631356723</x:v>
      </x:c>
      <x:c r="T1635" s="78" t="n">
        <x:f>P1635*(S1635*(1-'Inputs'!$B$15))/(O1635+S1635*(1-'Inputs'!$B$15))</x:f>
        <x:v>1.719994404572105</x:v>
      </x:c>
      <x:c r="U1635" s="78" t="n">
        <x:f>O1635+S1635*(1-'Inputs'!$B$17)</x:f>
        <x:v>38406572.15895768</x:v>
      </x:c>
      <x:c r="V1635" s="78" t="n">
        <x:f>P1635-T1635</x:f>
        <x:v>294.7307063923261</x:v>
      </x:c>
      <x:c r="W1635" s="79" t="n">
        <x:f>IF(U1635&gt;0,V1635/U1635,0)</x:f>
        <x:v>0.000007673965413327967</x:v>
      </x:c>
      <x:c r="X1635" s="80" t="n">
        <x:f>W1635*('Inputs'!$B$6-AC1635)</x:f>
        <x:v>7642.50969954735</x:v>
      </x:c>
      <x:c r="Y1635" s="80" t="n">
        <x:f>2*V1635</x:f>
        <x:v>589.4614127846522</x:v>
      </x:c>
      <x:c r="Z1635" s="80" t="n">
        <x:f>K1635*'Inputs'!$B$16+(G1635+R1635)*J1635*'Inputs'!$B$16</x:f>
        <x:v>1.0777075651524406</x:v>
      </x:c>
      <x:c r="AA1635" s="80" t="n">
        <x:f>K1635*(1+'Inputs'!$E$48)/2*'Inputs'!$B$17</x:f>
        <x:v>0.3578881699761347</x:v>
      </x:c>
      <x:c r="AB1635" s="78" t="n">
        <x:f>(IF(J1635&gt;0,K1635*(1-'Inputs'!$E$48)/2/J1635,0)+G1635+R1635)*'Inputs'!$B$17</x:f>
        <x:v>47001.194179996455</x:v>
      </x:c>
      <x:c r="AC1635" s="78" t="n">
        <x:f>AC1634+AB1635</x:f>
        <x:v>4099016.881935173</x:v>
      </x:c>
      <x:c r="AD1635" s="80" t="n">
        <x:f>Z1635/(1+'Inputs'!$C$48)</x:f>
        <x:v>0.8621660521219525</x:v>
      </x:c>
      <x:c r="AE1635" s="80" t="n">
        <x:f>Z1635-AD1635</x:f>
        <x:v>0.21554151303048807</x:v>
      </x:c>
      <x:c r="AF1635" s="80" t="n">
        <x:f>D1635*W1635</x:f>
        <x:v>2.1582379707638863</x:v>
      </x:c>
      <x:c r="AG1635" s="80" t="n">
        <x:f>C1635*W1635</x:f>
        <x:v>1.258972149612267</x:v>
      </x:c>
      <x:c r="AH1635" s="80" t="n">
        <x:f>2*'Inputs'!$B$8*'Inputs'!$C$48</x:f>
        <x:v>1250</x:v>
      </x:c>
      <x:c r="AI1635" s="81" t="n">
        <x:f>IF(AH1635&gt;0,(AE1635+AF1635)/AH1635*365,0)</x:f>
        <x:v>0.6931436092679573</x:v>
      </x:c>
      <x:c r="AJ1635" s="81" t="n">
        <x:f>IF('Inputs'!$B$48&gt;0,AG1635/('Inputs'!$B$19*'Inputs'!$B$48)*365,0)</x:f>
        <x:v>0.18380993384339098</x:v>
      </x:c>
      <x:c r="AK1635" s="81" t="n">
        <x:f>W1635/MAX($W$1464:W1635)-1</x:f>
        <x:v>-0.9909755463002488</x:v>
      </x:c>
      <x:c r="AL1635" s="83" t="n">
        <x:f>'Inputs'!$B$48</x:f>
        <x:v>0.25</x:v>
      </x:c>
      <x:c r="AM1635" s="83" t="n">
        <x:f>'Inputs'!$C$48</x:f>
        <x:v>0.25</x:v>
      </x:c>
      <x:c r="AN1635" s="83" t="n">
        <x:f>'Inputs'!$D$48</x:f>
        <x:v>0.3</x:v>
      </x:c>
      <x:c r="AO1635" s="81" t="n">
        <x:f>'Inputs'!$E$48</x:f>
        <x:v>0</x:v>
      </x:c>
    </x:row>
    <x:row r="1636">
      <x:c r="A1636" s="59" t="str">
        <x:v>Low participation</x:v>
      </x:c>
      <x:c r="B1636" s="59" t="n">
        <x:v>173</x:v>
      </x:c>
      <x:c r="C1636" s="78" t="n">
        <x:f>(('Inputs'!$B$29*(3*173*'Inputs'!$B$12-173^2)/(2*'Inputs'!$B$12^2))-('Inputs'!$B$29*(3*172*'Inputs'!$B$12-172^2)/(2*'Inputs'!$B$12^2)))*'Inputs'!$B$48</x:f>
        <x:v>163976.2971476838</x:v>
      </x:c>
      <x:c r="D1636" s="78" t="n">
        <x:f>IF('Inputs'!$C$48&gt;0,('Inputs'!$B$30*(3*173*'Inputs'!$B$12-173^2)/(2*'Inputs'!$B$12^2))-('Inputs'!$B$30*(3*172*'Inputs'!$B$12-172^2)/(2*'Inputs'!$B$12^2)),0)</x:f>
        <x:v>281102.2236817479</x:v>
      </x:c>
      <x:c r="E1636" s="78" t="n">
        <x:f>C1636+D1636</x:f>
        <x:v>445078.5208294317</x:v>
      </x:c>
      <x:c r="F1636" s="78" t="n">
        <x:f>'Inputs'!$B$13*E1636+(1-'Inputs'!$B$13)/'Inputs'!$B$14*SUM(E1581:E1636)</x:f>
        <x:v>449931.9173390896</x:v>
      </x:c>
      <x:c r="G1636" s="78" t="n">
        <x:f>F1636*'Inputs'!$F$48</x:f>
        <x:v>224965.9586695448</x:v>
      </x:c>
      <x:c r="H1636" s="78" t="n">
        <x:f>U1635</x:f>
        <x:v>38406572.15895768</x:v>
      </x:c>
      <x:c r="I1636" s="78" t="n">
        <x:f>V1635</x:f>
        <x:v>294.7307063923261</x:v>
      </x:c>
      <x:c r="J1636" s="79" t="n">
        <x:f>IF(H1636&gt;0,I1636/H1636,0)</x:f>
        <x:v>0.000007673965413327967</x:v>
      </x:c>
      <x:c r="K1636" s="80" t="n">
        <x:f>(H1636*J1636+I1636)*'Inputs'!$D$48*(1+'Inputs'!$G$48)^(B1636/30)</x:f>
        <x:v>176.83842383539567</x:v>
      </x:c>
      <x:c r="L1636" s="80" t="n">
        <x:f>MAX(0,K1636*'Inputs'!$E$48)</x:f>
        <x:v>0</x:v>
      </x:c>
      <x:c r="M1636" s="80" t="n">
        <x:f>MAX(0,-K1636*'Inputs'!$E$48)</x:f>
        <x:v>0</x:v>
      </x:c>
      <x:c r="N1636" s="78" t="n">
        <x:f>H1636*(L1636*(1-'Inputs'!$B$15))/(I1636+L1636*(1-'Inputs'!$B$15))</x:f>
        <x:v>0</x:v>
      </x:c>
      <x:c r="O1636" s="78" t="n">
        <x:f>H1636-N1636</x:f>
        <x:v>38406572.15895768</x:v>
      </x:c>
      <x:c r="P1636" s="78" t="n">
        <x:f>I1636+L1636*(1-'Inputs'!$B$17)</x:f>
        <x:v>294.7307063923261</x:v>
      </x:c>
      <x:c r="Q1636" s="78" t="n">
        <x:f>IF(J1636&gt;0,M1636/J1636,0)</x:f>
        <x:v>0</x:v>
      </x:c>
      <x:c r="R1636" s="78" t="n">
        <x:f>IF(B1636='Inputs'!$H$48,'Inputs'!$B$27*'Inputs'!$I$48,0)</x:f>
        <x:v>0</x:v>
      </x:c>
      <x:c r="S1636" s="78" t="n">
        <x:f>Q1636+G1636+R1636</x:f>
        <x:v>224965.9586695448</x:v>
      </x:c>
      <x:c r="T1636" s="78" t="n">
        <x:f>P1636*(S1636*(1-'Inputs'!$B$15))/(O1636+S1636*(1-'Inputs'!$B$15))</x:f>
        <x:v>1.6992632992728547</x:v>
      </x:c>
      <x:c r="U1636" s="78" t="n">
        <x:f>O1636+S1636*(1-'Inputs'!$B$17)</x:f>
        <x:v>38630632.8220189</x:v>
      </x:c>
      <x:c r="V1636" s="78" t="n">
        <x:f>P1636-T1636</x:f>
        <x:v>293.03144309305327</x:v>
      </x:c>
      <x:c r="W1636" s="79" t="n">
        <x:f>IF(U1636&gt;0,V1636/U1636,0)</x:f>
        <x:v>0.000007585468362455342</x:v>
      </x:c>
      <x:c r="X1636" s="80" t="n">
        <x:f>W1636*('Inputs'!$B$6-AC1636)</x:f>
        <x:v>7554.016824032692</x:v>
      </x:c>
      <x:c r="Y1636" s="80" t="n">
        <x:f>2*V1636</x:f>
        <x:v>586.0628861861065</x:v>
      </x:c>
      <x:c r="Z1636" s="80" t="n">
        <x:f>K1636*'Inputs'!$B$16+(G1636+R1636)*J1636*'Inputs'!$B$16</x:f>
        <x:v>1.0713888289284117</x:v>
      </x:c>
      <x:c r="AA1636" s="80" t="n">
        <x:f>K1636*(1+'Inputs'!$E$48)/2*'Inputs'!$B$17</x:f>
        <x:v>0.35581171797866334</x:v>
      </x:c>
      <x:c r="AB1636" s="78" t="n">
        <x:f>(IF(J1636&gt;0,K1636*(1-'Inputs'!$E$48)/2/J1636,0)+G1636+R1636)*'Inputs'!$B$17</x:f>
        <x:v>47271.37869761309</x:v>
      </x:c>
      <x:c r="AC1636" s="78" t="n">
        <x:f>AC1635+AB1636</x:f>
        <x:v>4146288.2606327864</x:v>
      </x:c>
      <x:c r="AD1636" s="80" t="n">
        <x:f>Z1636/(1+'Inputs'!$C$48)</x:f>
        <x:v>0.8571110631427293</x:v>
      </x:c>
      <x:c r="AE1636" s="80" t="n">
        <x:f>Z1636-AD1636</x:f>
        <x:v>0.21427776578568236</x:v>
      </x:c>
      <x:c r="AF1636" s="80" t="n">
        <x:f>D1636*W1636</x:f>
        <x:v>2.1322920243537435</x:v>
      </x:c>
      <x:c r="AG1636" s="80" t="n">
        <x:f>C1636*W1636</x:f>
        <x:v>1.2438370142063315</x:v>
      </x:c>
      <x:c r="AH1636" s="80" t="n">
        <x:f>2*'Inputs'!$B$8*'Inputs'!$C$48</x:f>
        <x:v>1250</x:v>
      </x:c>
      <x:c r="AI1636" s="81" t="n">
        <x:f>IF(AH1636&gt;0,(AE1636+AF1636)/AH1636*365,0)</x:f>
        <x:v>0.6851983787207124</x:v>
      </x:c>
      <x:c r="AJ1636" s="81" t="n">
        <x:f>IF('Inputs'!$B$48&gt;0,AG1636/('Inputs'!$B$19*'Inputs'!$B$48)*365,0)</x:f>
        <x:v>0.18160020407412442</x:v>
      </x:c>
      <x:c r="AK1636" s="81" t="n">
        <x:f>W1636/MAX($W$1464:W1636)-1</x:f>
        <x:v>-0.9910796173372093</x:v>
      </x:c>
      <x:c r="AL1636" s="83" t="n">
        <x:f>'Inputs'!$B$48</x:f>
        <x:v>0.25</x:v>
      </x:c>
      <x:c r="AM1636" s="83" t="n">
        <x:f>'Inputs'!$C$48</x:f>
        <x:v>0.25</x:v>
      </x:c>
      <x:c r="AN1636" s="83" t="n">
        <x:f>'Inputs'!$D$48</x:f>
        <x:v>0.3</x:v>
      </x:c>
      <x:c r="AO1636" s="81" t="n">
        <x:f>'Inputs'!$E$48</x:f>
        <x:v>0</x:v>
      </x:c>
    </x:row>
    <x:row r="1637">
      <x:c r="A1637" s="59" t="str">
        <x:v>Low participation</x:v>
      </x:c>
      <x:c r="B1637" s="59" t="n">
        <x:v>174</x:v>
      </x:c>
      <x:c r="C1637" s="78" t="n">
        <x:f>(('Inputs'!$B$29*(3*174*'Inputs'!$B$12-174^2)/(2*'Inputs'!$B$12^2))-('Inputs'!$B$29*(3*173*'Inputs'!$B$12-173^2)/(2*'Inputs'!$B$12^2)))*'Inputs'!$B$48</x:f>
        <x:v>163895.02017264068</x:v>
      </x:c>
      <x:c r="D1637" s="78" t="n">
        <x:f>IF('Inputs'!$C$48&gt;0,('Inputs'!$B$30*(3*174*'Inputs'!$B$12-174^2)/(2*'Inputs'!$B$12^2))-('Inputs'!$B$30*(3*173*'Inputs'!$B$12-173^2)/(2*'Inputs'!$B$12^2)),0)</x:f>
        <x:v>280962.89172451943</x:v>
      </x:c>
      <x:c r="E1637" s="78" t="n">
        <x:f>C1637+D1637</x:f>
        <x:v>444857.9118971601</x:v>
      </x:c>
      <x:c r="F1637" s="78" t="n">
        <x:f>'Inputs'!$B$13*E1637+(1-'Inputs'!$B$13)/'Inputs'!$B$14*SUM(E1582:E1637)</x:f>
        <x:v>449711.3084068293</x:v>
      </x:c>
      <x:c r="G1637" s="78" t="n">
        <x:f>F1637*'Inputs'!$F$48</x:f>
        <x:v>224855.65420341466</x:v>
      </x:c>
      <x:c r="H1637" s="78" t="n">
        <x:f>U1636</x:f>
        <x:v>38630632.8220189</x:v>
      </x:c>
      <x:c r="I1637" s="78" t="n">
        <x:f>V1636</x:f>
        <x:v>293.03144309305327</x:v>
      </x:c>
      <x:c r="J1637" s="79" t="n">
        <x:f>IF(H1637&gt;0,I1637/H1637,0)</x:f>
        <x:v>0.000007585468362455342</x:v>
      </x:c>
      <x:c r="K1637" s="80" t="n">
        <x:f>(H1637*J1637+I1637)*'Inputs'!$D$48*(1+'Inputs'!$G$48)^(B1637/30)</x:f>
        <x:v>175.81886585583194</x:v>
      </x:c>
      <x:c r="L1637" s="80" t="n">
        <x:f>MAX(0,K1637*'Inputs'!$E$48)</x:f>
        <x:v>0</x:v>
      </x:c>
      <x:c r="M1637" s="80" t="n">
        <x:f>MAX(0,-K1637*'Inputs'!$E$48)</x:f>
        <x:v>0</x:v>
      </x:c>
      <x:c r="N1637" s="78" t="n">
        <x:f>H1637*(L1637*(1-'Inputs'!$B$15))/(I1637+L1637*(1-'Inputs'!$B$15))</x:f>
        <x:v>0</x:v>
      </x:c>
      <x:c r="O1637" s="78" t="n">
        <x:f>H1637-N1637</x:f>
        <x:v>38630632.8220189</x:v>
      </x:c>
      <x:c r="P1637" s="78" t="n">
        <x:f>I1637+L1637*(1-'Inputs'!$B$17)</x:f>
        <x:v>293.03144309305327</x:v>
      </x:c>
      <x:c r="Q1637" s="78" t="n">
        <x:f>IF(J1637&gt;0,M1637/J1637,0)</x:f>
        <x:v>0</x:v>
      </x:c>
      <x:c r="R1637" s="78" t="n">
        <x:f>IF(B1637='Inputs'!$H$48,'Inputs'!$B$27*'Inputs'!$I$48,0)</x:f>
        <x:v>0</x:v>
      </x:c>
      <x:c r="S1637" s="78" t="n">
        <x:f>Q1637+G1637+R1637</x:f>
        <x:v>224855.65420341466</x:v>
      </x:c>
      <x:c r="T1637" s="78" t="n">
        <x:f>P1637*(S1637*(1-'Inputs'!$B$15))/(O1637+S1637*(1-'Inputs'!$B$15))</x:f>
        <x:v>1.6789044930440733</x:v>
      </x:c>
      <x:c r="U1637" s="78" t="n">
        <x:f>O1637+S1637*(1-'Inputs'!$B$17)</x:f>
        <x:v>38854583.624495134</x:v>
      </x:c>
      <x:c r="V1637" s="78" t="n">
        <x:f>P1637-T1637</x:f>
        <x:v>291.3525386000092</x:v>
      </x:c>
      <x:c r="W1637" s="79" t="n">
        <x:f>IF(U1637&gt;0,V1637/U1637,0)</x:f>
        <x:v>0.000007498537145983763</x:v>
      </x:c>
      <x:c r="X1637" s="80" t="n">
        <x:f>W1637*('Inputs'!$B$6-AC1637)</x:f>
        <x:v>7467.089558260223</x:v>
      </x:c>
      <x:c r="Y1637" s="80" t="n">
        <x:f>2*V1637</x:f>
        <x:v>582.7050772000184</x:v>
      </x:c>
      <x:c r="Z1637" s="80" t="n">
        <x:f>K1637*'Inputs'!$B$16+(G1637+R1637)*J1637*'Inputs'!$B$16</x:f>
        <x:v>1.0651470078414669</x:v>
      </x:c>
      <x:c r="AA1637" s="80" t="n">
        <x:f>K1637*(1+'Inputs'!$E$48)/2*'Inputs'!$B$17</x:f>
        <x:v>0.35376029347249893</x:v>
      </x:c>
      <x:c r="AB1637" s="78" t="n">
        <x:f>(IF(J1637&gt;0,K1637*(1-'Inputs'!$E$48)/2/J1637,0)+G1637+R1637)*'Inputs'!$B$17</x:f>
        <x:v>47541.43058675688</x:v>
      </x:c>
      <x:c r="AC1637" s="78" t="n">
        <x:f>AC1636+AB1637</x:f>
        <x:v>4193829.691219543</x:v>
      </x:c>
      <x:c r="AD1637" s="80" t="n">
        <x:f>Z1637/(1+'Inputs'!$C$48)</x:f>
        <x:v>0.8521176062731735</x:v>
      </x:c>
      <x:c r="AE1637" s="80" t="n">
        <x:f>Z1637-AD1637</x:f>
        <x:v>0.21302940156829342</x:v>
      </x:c>
      <x:c r="AF1637" s="80" t="n">
        <x:f>D1637*W1637</x:f>
        <x:v>2.106810680239323</x:v>
      </x:c>
      <x:c r="AG1637" s="80" t="n">
        <x:f>C1637*W1637</x:f>
        <x:v>1.2289728968063043</x:v>
      </x:c>
      <x:c r="AH1637" s="80" t="n">
        <x:f>2*'Inputs'!$B$8*'Inputs'!$C$48</x:f>
        <x:v>1250</x:v>
      </x:c>
      <x:c r="AI1637" s="81" t="n">
        <x:f>IF(AH1637&gt;0,(AE1637+AF1637)/AH1637*365,0)</x:f>
        <x:v>0.677393303887824</x:v>
      </x:c>
      <x:c r="AJ1637" s="81" t="n">
        <x:f>IF('Inputs'!$B$48&gt;0,AG1637/('Inputs'!$B$19*'Inputs'!$B$48)*365,0)</x:f>
        <x:v>0.17943004293372045</x:v>
      </x:c>
      <x:c r="AK1637" s="81" t="n">
        <x:f>W1637/MAX($W$1464:W1637)-1</x:f>
        <x:v>-0.9911818469793638</x:v>
      </x:c>
      <x:c r="AL1637" s="83" t="n">
        <x:f>'Inputs'!$B$48</x:f>
        <x:v>0.25</x:v>
      </x:c>
      <x:c r="AM1637" s="83" t="n">
        <x:f>'Inputs'!$C$48</x:f>
        <x:v>0.25</x:v>
      </x:c>
      <x:c r="AN1637" s="83" t="n">
        <x:f>'Inputs'!$D$48</x:f>
        <x:v>0.3</x:v>
      </x:c>
      <x:c r="AO1637" s="81" t="n">
        <x:f>'Inputs'!$E$48</x:f>
        <x:v>0</x:v>
      </x:c>
    </x:row>
    <x:row r="1638">
      <x:c r="A1638" s="59" t="str">
        <x:v>Low participation</x:v>
      </x:c>
      <x:c r="B1638" s="59" t="n">
        <x:v>175</x:v>
      </x:c>
      <x:c r="C1638" s="78" t="n">
        <x:f>(('Inputs'!$B$29*(3*175*'Inputs'!$B$12-175^2)/(2*'Inputs'!$B$12^2))-('Inputs'!$B$29*(3*174*'Inputs'!$B$12-174^2)/(2*'Inputs'!$B$12^2)))*'Inputs'!$B$48</x:f>
        <x:v>163813.74319759756</x:v>
      </x:c>
      <x:c r="D1638" s="78" t="n">
        <x:f>IF('Inputs'!$C$48&gt;0,('Inputs'!$B$30*(3*175*'Inputs'!$B$12-175^2)/(2*'Inputs'!$B$12^2))-('Inputs'!$B$30*(3*174*'Inputs'!$B$12-174^2)/(2*'Inputs'!$B$12^2)),0)</x:f>
        <x:v>280823.5597673133</x:v>
      </x:c>
      <x:c r="E1638" s="78" t="n">
        <x:f>C1638+D1638</x:f>
        <x:v>444637.30296491086</x:v>
      </x:c>
      <x:c r="F1638" s="78" t="n">
        <x:f>'Inputs'!$B$13*E1638+(1-'Inputs'!$B$13)/'Inputs'!$B$14*SUM(E1583:E1638)</x:f>
        <x:v>449490.69947457354</x:v>
      </x:c>
      <x:c r="G1638" s="78" t="n">
        <x:f>F1638*'Inputs'!$F$48</x:f>
        <x:v>224745.34973728677</x:v>
      </x:c>
      <x:c r="H1638" s="78" t="n">
        <x:f>U1637</x:f>
        <x:v>38854583.624495134</x:v>
      </x:c>
      <x:c r="I1638" s="78" t="n">
        <x:f>V1637</x:f>
        <x:v>291.3525386000092</x:v>
      </x:c>
      <x:c r="J1638" s="79" t="n">
        <x:f>IF(H1638&gt;0,I1638/H1638,0)</x:f>
        <x:v>0.000007498537145983763</x:v>
      </x:c>
      <x:c r="K1638" s="80" t="n">
        <x:f>(H1638*J1638+I1638)*'Inputs'!$D$48*(1+'Inputs'!$G$48)^(B1638/30)</x:f>
        <x:v>174.81152316000552</x:v>
      </x:c>
      <x:c r="L1638" s="80" t="n">
        <x:f>MAX(0,K1638*'Inputs'!$E$48)</x:f>
        <x:v>0</x:v>
      </x:c>
      <x:c r="M1638" s="80" t="n">
        <x:f>MAX(0,-K1638*'Inputs'!$E$48)</x:f>
        <x:v>0</x:v>
      </x:c>
      <x:c r="N1638" s="78" t="n">
        <x:f>H1638*(L1638*(1-'Inputs'!$B$15))/(I1638+L1638*(1-'Inputs'!$B$15))</x:f>
        <x:v>0</x:v>
      </x:c>
      <x:c r="O1638" s="78" t="n">
        <x:f>H1638-N1638</x:f>
        <x:v>38854583.624495134</x:v>
      </x:c>
      <x:c r="P1638" s="78" t="n">
        <x:f>I1638+L1638*(1-'Inputs'!$B$17)</x:f>
        <x:v>291.3525386000092</x:v>
      </x:c>
      <x:c r="Q1638" s="78" t="n">
        <x:f>IF(J1638&gt;0,M1638/J1638,0)</x:f>
        <x:v>0</x:v>
      </x:c>
      <x:c r="R1638" s="78" t="n">
        <x:f>IF(B1638='Inputs'!$H$48,'Inputs'!$B$27*'Inputs'!$I$48,0)</x:f>
        <x:v>0</x:v>
      </x:c>
      <x:c r="S1638" s="78" t="n">
        <x:f>Q1638+G1638+R1638</x:f>
        <x:v>224745.34973728677</x:v>
      </x:c>
      <x:c r="T1638" s="78" t="n">
        <x:f>P1638*(S1638*(1-'Inputs'!$B$15))/(O1638+S1638*(1-'Inputs'!$B$15))</x:f>
        <x:v>1.6589091196143397</x:v>
      </x:c>
      <x:c r="U1638" s="78" t="n">
        <x:f>O1638+S1638*(1-'Inputs'!$B$17)</x:f>
        <x:v>39078424.566386394</x:v>
      </x:c>
      <x:c r="V1638" s="78" t="n">
        <x:f>P1638-T1638</x:f>
        <x:v>289.69362948039486</x:v>
      </x:c>
      <x:c r="W1638" s="79" t="n">
        <x:f>IF(U1638&gt;0,V1638/U1638,0)</x:f>
        <x:v>0.000007413134810188256</x:v>
      </x:c>
      <x:c r="X1638" s="80" t="n">
        <x:f>W1638*('Inputs'!$B$6-AC1638)</x:f>
        <x:v>7381.690953334399</x:v>
      </x:c>
      <x:c r="Y1638" s="80" t="n">
        <x:f>2*V1638</x:f>
        <x:v>579.3872589607897</x:v>
      </x:c>
      <x:c r="Z1638" s="80" t="n">
        <x:f>K1638*'Inputs'!$B$16+(G1638+R1638)*J1638*'Inputs'!$B$16</x:f>
        <x:v>1.058980707080386</x:v>
      </x:c>
      <x:c r="AA1638" s="80" t="n">
        <x:f>K1638*(1+'Inputs'!$E$48)/2*'Inputs'!$B$17</x:f>
        <x:v>0.3517334470020232</x:v>
      </x:c>
      <x:c r="AB1638" s="78" t="n">
        <x:f>(IF(J1638&gt;0,K1638*(1-'Inputs'!$E$48)/2/J1638,0)+G1638+R1638)*'Inputs'!$B$17</x:f>
        <x:v>47811.349847427875</x:v>
      </x:c>
      <x:c r="AC1638" s="78" t="n">
        <x:f>AC1637+AB1638</x:f>
        <x:v>4241641.041066971</x:v>
      </x:c>
      <x:c r="AD1638" s="80" t="n">
        <x:f>Z1638/(1+'Inputs'!$C$48)</x:f>
        <x:v>0.8471845656643089</x:v>
      </x:c>
      <x:c r="AE1638" s="80" t="n">
        <x:f>Z1638-AD1638</x:f>
        <x:v>0.21179614141607717</x:v>
      </x:c>
      <x:c r="AF1638" s="80" t="n">
        <x:f>D1638*W1638</x:f>
        <x:v>2.0817829064320525</x:v>
      </x:c>
      <x:c r="AG1638" s="80" t="n">
        <x:f>C1638*W1638</x:f>
        <x:v>1.21437336208535</x:v>
      </x:c>
      <x:c r="AH1638" s="80" t="n">
        <x:f>2*'Inputs'!$B$8*'Inputs'!$C$48</x:f>
        <x:v>1250</x:v>
      </x:c>
      <x:c r="AI1638" s="81" t="n">
        <x:f>IF(AH1638&gt;0,(AE1638+AF1638)/AH1638*365,0)</x:f>
        <x:v>0.6697250819716539</x:v>
      </x:c>
      <x:c r="AJ1638" s="81" t="n">
        <x:f>IF('Inputs'!$B$48&gt;0,AG1638/('Inputs'!$B$19*'Inputs'!$B$48)*365,0)</x:f>
        <x:v>0.1772985108644611</x:v>
      </x:c>
      <x:c r="AK1638" s="81" t="n">
        <x:f>W1638/MAX($W$1464:W1638)-1</x:f>
        <x:v>-0.9912822786836687</x:v>
      </x:c>
      <x:c r="AL1638" s="83" t="n">
        <x:f>'Inputs'!$B$48</x:f>
        <x:v>0.25</x:v>
      </x:c>
      <x:c r="AM1638" s="83" t="n">
        <x:f>'Inputs'!$C$48</x:f>
        <x:v>0.25</x:v>
      </x:c>
      <x:c r="AN1638" s="83" t="n">
        <x:f>'Inputs'!$D$48</x:f>
        <x:v>0.3</x:v>
      </x:c>
      <x:c r="AO1638" s="81" t="n">
        <x:f>'Inputs'!$E$48</x:f>
        <x:v>0</x:v>
      </x:c>
    </x:row>
    <x:row r="1639">
      <x:c r="A1639" s="59" t="str">
        <x:v>Low participation</x:v>
      </x:c>
      <x:c r="B1639" s="59" t="n">
        <x:v>176</x:v>
      </x:c>
      <x:c r="C1639" s="78" t="n">
        <x:f>(('Inputs'!$B$29*(3*176*'Inputs'!$B$12-176^2)/(2*'Inputs'!$B$12^2))-('Inputs'!$B$29*(3*175*'Inputs'!$B$12-175^2)/(2*'Inputs'!$B$12^2)))*'Inputs'!$B$48</x:f>
        <x:v>163732.46622255445</x:v>
      </x:c>
      <x:c r="D1639" s="78" t="n">
        <x:f>IF('Inputs'!$C$48&gt;0,('Inputs'!$B$30*(3*176*'Inputs'!$B$12-176^2)/(2*'Inputs'!$B$12^2))-('Inputs'!$B$30*(3*175*'Inputs'!$B$12-175^2)/(2*'Inputs'!$B$12^2)),0)</x:f>
        <x:v>280684.2278100997</x:v>
      </x:c>
      <x:c r="E1639" s="78" t="n">
        <x:f>C1639+D1639</x:f>
        <x:v>444416.69403265417</x:v>
      </x:c>
      <x:c r="F1639" s="78" t="n">
        <x:f>'Inputs'!$B$13*E1639+(1-'Inputs'!$B$13)/'Inputs'!$B$14*SUM(E1584:E1639)</x:f>
        <x:v>449270.0905423163</x:v>
      </x:c>
      <x:c r="G1639" s="78" t="n">
        <x:f>F1639*'Inputs'!$F$48</x:f>
        <x:v>224635.04527115816</x:v>
      </x:c>
      <x:c r="H1639" s="78" t="n">
        <x:f>U1638</x:f>
        <x:v>39078424.566386394</x:v>
      </x:c>
      <x:c r="I1639" s="78" t="n">
        <x:f>V1638</x:f>
        <x:v>289.69362948039486</x:v>
      </x:c>
      <x:c r="J1639" s="79" t="n">
        <x:f>IF(H1639&gt;0,I1639/H1639,0)</x:f>
        <x:v>0.000007413134810188256</x:v>
      </x:c>
      <x:c r="K1639" s="80" t="n">
        <x:f>(H1639*J1639+I1639)*'Inputs'!$D$48*(1+'Inputs'!$G$48)^(B1639/30)</x:f>
        <x:v>173.8161776882369</x:v>
      </x:c>
      <x:c r="L1639" s="80" t="n">
        <x:f>MAX(0,K1639*'Inputs'!$E$48)</x:f>
        <x:v>0</x:v>
      </x:c>
      <x:c r="M1639" s="80" t="n">
        <x:f>MAX(0,-K1639*'Inputs'!$E$48)</x:f>
        <x:v>0</x:v>
      </x:c>
      <x:c r="N1639" s="78" t="n">
        <x:f>H1639*(L1639*(1-'Inputs'!$B$15))/(I1639+L1639*(1-'Inputs'!$B$15))</x:f>
        <x:v>0</x:v>
      </x:c>
      <x:c r="O1639" s="78" t="n">
        <x:f>H1639-N1639</x:f>
        <x:v>39078424.566386394</x:v>
      </x:c>
      <x:c r="P1639" s="78" t="n">
        <x:f>I1639+L1639*(1-'Inputs'!$B$17)</x:f>
        <x:v>289.69362948039486</x:v>
      </x:c>
      <x:c r="Q1639" s="78" t="n">
        <x:f>IF(J1639&gt;0,M1639/J1639,0)</x:f>
        <x:v>0</x:v>
      </x:c>
      <x:c r="R1639" s="78" t="n">
        <x:f>IF(B1639='Inputs'!$H$48,'Inputs'!$B$27*'Inputs'!$I$48,0)</x:f>
        <x:v>0</x:v>
      </x:c>
      <x:c r="S1639" s="78" t="n">
        <x:f>Q1639+G1639+R1639</x:f>
        <x:v>224635.04527115816</x:v>
      </x:c>
      <x:c r="T1639" s="78" t="n">
        <x:f>P1639*(S1639*(1-'Inputs'!$B$15))/(O1639+S1639*(1-'Inputs'!$B$15))</x:f>
        <x:v>1.639268575160997</x:v>
      </x:c>
      <x:c r="U1639" s="78" t="n">
        <x:f>O1639+S1639*(1-'Inputs'!$B$17)</x:f>
        <x:v>39302155.64769268</x:v>
      </x:c>
      <x:c r="V1639" s="78" t="n">
        <x:f>P1639-T1639</x:f>
        <x:v>288.05436090523386</x:v>
      </x:c>
      <x:c r="W1639" s="79" t="n">
        <x:f>IF(U1639&gt;0,V1639/U1639,0)</x:f>
        <x:v>0.000007329225487970015</x:v>
      </x:c>
      <x:c r="X1639" s="80" t="n">
        <x:f>W1639*('Inputs'!$B$6-AC1639)</x:f>
        <x:v>7297.78514685003</x:v>
      </x:c>
      <x:c r="Y1639" s="80" t="n">
        <x:f>2*V1639</x:f>
        <x:v>576.1087218104677</x:v>
      </x:c>
      <x:c r="Z1639" s="80" t="n">
        <x:f>K1639*'Inputs'!$B$16+(G1639+R1639)*J1639*'Inputs'!$B$16</x:f>
        <x:v>1.0528885653715485</x:v>
      </x:c>
      <x:c r="AA1639" s="80" t="n">
        <x:f>K1639*(1+'Inputs'!$E$48)/2*'Inputs'!$B$17</x:f>
        <x:v>0.349730739815366</x:v>
      </x:c>
      <x:c r="AB1639" s="78" t="n">
        <x:f>(IF(J1639&gt;0,K1639*(1-'Inputs'!$E$48)/2/J1639,0)+G1639+R1639)*'Inputs'!$B$17</x:f>
        <x:v>48081.13647962606</x:v>
      </x:c>
      <x:c r="AC1639" s="78" t="n">
        <x:f>AC1638+AB1639</x:f>
        <x:v>4289722.177546597</x:v>
      </x:c>
      <x:c r="AD1639" s="80" t="n">
        <x:f>Z1639/(1+'Inputs'!$C$48)</x:f>
        <x:v>0.8423108522972388</x:v>
      </x:c>
      <x:c r="AE1639" s="80" t="n">
        <x:f>Z1639-AD1639</x:f>
        <x:v>0.21057771307430972</x:v>
      </x:c>
      <x:c r="AF1639" s="80" t="n">
        <x:f>D1639*W1639</x:f>
        <x:v>2.057197996536965</x:v>
      </x:c>
      <x:c r="AG1639" s="80" t="n">
        <x:f>C1639*W1639</x:f>
        <x:v>1.2000321646465357</x:v>
      </x:c>
      <x:c r="AH1639" s="80" t="n">
        <x:f>2*'Inputs'!$B$8*'Inputs'!$C$48</x:f>
        <x:v>1250</x:v>
      </x:c>
      <x:c r="AI1639" s="81" t="n">
        <x:f>IF(AH1639&gt;0,(AE1639+AF1639)/AH1639*365,0)</x:f>
        <x:v>0.6621905072064921</x:v>
      </x:c>
      <x:c r="AJ1639" s="81" t="n">
        <x:f>IF('Inputs'!$B$48&gt;0,AG1639/('Inputs'!$B$19*'Inputs'!$B$48)*365,0)</x:f>
        <x:v>0.17520469603839423</x:v>
      </x:c>
      <x:c r="AK1639" s="81" t="n">
        <x:f>W1639/MAX($W$1464:W1639)-1</x:f>
        <x:v>-0.9913809546292263</x:v>
      </x:c>
      <x:c r="AL1639" s="83" t="n">
        <x:f>'Inputs'!$B$48</x:f>
        <x:v>0.25</x:v>
      </x:c>
      <x:c r="AM1639" s="83" t="n">
        <x:f>'Inputs'!$C$48</x:f>
        <x:v>0.25</x:v>
      </x:c>
      <x:c r="AN1639" s="83" t="n">
        <x:f>'Inputs'!$D$48</x:f>
        <x:v>0.3</x:v>
      </x:c>
      <x:c r="AO1639" s="81" t="n">
        <x:f>'Inputs'!$E$48</x:f>
        <x:v>0</x:v>
      </x:c>
    </x:row>
    <x:row r="1640">
      <x:c r="A1640" s="59" t="str">
        <x:v>Low participation</x:v>
      </x:c>
      <x:c r="B1640" s="59" t="n">
        <x:v>177</x:v>
      </x:c>
      <x:c r="C1640" s="78" t="n">
        <x:f>(('Inputs'!$B$29*(3*177*'Inputs'!$B$12-177^2)/(2*'Inputs'!$B$12^2))-('Inputs'!$B$29*(3*176*'Inputs'!$B$12-176^2)/(2*'Inputs'!$B$12^2)))*'Inputs'!$B$48</x:f>
        <x:v>163651.18924751505</x:v>
      </x:c>
      <x:c r="D1640" s="78" t="n">
        <x:f>IF('Inputs'!$C$48&gt;0,('Inputs'!$B$30*(3*177*'Inputs'!$B$12-177^2)/(2*'Inputs'!$B$12^2))-('Inputs'!$B$30*(3*176*'Inputs'!$B$12-176^2)/(2*'Inputs'!$B$12^2)),0)</x:f>
        <x:v>280544.8958528787</x:v>
      </x:c>
      <x:c r="E1640" s="78" t="n">
        <x:f>C1640+D1640</x:f>
        <x:v>444196.08510039374</x:v>
      </x:c>
      <x:c r="F1640" s="78" t="n">
        <x:f>'Inputs'!$B$13*E1640+(1-'Inputs'!$B$13)/'Inputs'!$B$14*SUM(E1585:E1640)</x:f>
        <x:v>449049.48161005817</x:v>
      </x:c>
      <x:c r="G1640" s="78" t="n">
        <x:f>F1640*'Inputs'!$F$48</x:f>
        <x:v>224524.74080502908</x:v>
      </x:c>
      <x:c r="H1640" s="78" t="n">
        <x:f>U1639</x:f>
        <x:v>39302155.64769268</x:v>
      </x:c>
      <x:c r="I1640" s="78" t="n">
        <x:f>V1639</x:f>
        <x:v>288.05436090523386</x:v>
      </x:c>
      <x:c r="J1640" s="79" t="n">
        <x:f>IF(H1640&gt;0,I1640/H1640,0)</x:f>
        <x:v>0.000007329225487970015</x:v>
      </x:c>
      <x:c r="K1640" s="80" t="n">
        <x:f>(H1640*J1640+I1640)*'Inputs'!$D$48*(1+'Inputs'!$G$48)^(B1640/30)</x:f>
        <x:v>172.83261654314032</x:v>
      </x:c>
      <x:c r="L1640" s="80" t="n">
        <x:f>MAX(0,K1640*'Inputs'!$E$48)</x:f>
        <x:v>0</x:v>
      </x:c>
      <x:c r="M1640" s="80" t="n">
        <x:f>MAX(0,-K1640*'Inputs'!$E$48)</x:f>
        <x:v>0</x:v>
      </x:c>
      <x:c r="N1640" s="78" t="n">
        <x:f>H1640*(L1640*(1-'Inputs'!$B$15))/(I1640+L1640*(1-'Inputs'!$B$15))</x:f>
        <x:v>0</x:v>
      </x:c>
      <x:c r="O1640" s="78" t="n">
        <x:f>H1640-N1640</x:f>
        <x:v>39302155.64769268</x:v>
      </x:c>
      <x:c r="P1640" s="78" t="n">
        <x:f>I1640+L1640*(1-'Inputs'!$B$17)</x:f>
        <x:v>288.05436090523386</x:v>
      </x:c>
      <x:c r="Q1640" s="78" t="n">
        <x:f>IF(J1640&gt;0,M1640/J1640,0)</x:f>
        <x:v>0</x:v>
      </x:c>
      <x:c r="R1640" s="78" t="n">
        <x:f>IF(B1640='Inputs'!$H$48,'Inputs'!$B$27*'Inputs'!$I$48,0)</x:f>
        <x:v>0</x:v>
      </x:c>
      <x:c r="S1640" s="78" t="n">
        <x:f>Q1640+G1640+R1640</x:f>
        <x:v>224524.74080502908</x:v>
      </x:c>
      <x:c r="T1640" s="78" t="n">
        <x:f>P1640*(S1640*(1-'Inputs'!$B$15))/(O1640+S1640*(1-'Inputs'!$B$15))</x:f>
        <x:v>1.6199745090409068</x:v>
      </x:c>
      <x:c r="U1640" s="78" t="n">
        <x:f>O1640+S1640*(1-'Inputs'!$B$17)</x:f>
        <x:v>39525776.868413985</x:v>
      </x:c>
      <x:c r="V1640" s="78" t="n">
        <x:f>P1640-T1640</x:f>
        <x:v>286.43438639619296</x:v>
      </x:c>
      <x:c r="W1640" s="79" t="n">
        <x:f>IF(U1640&gt;0,V1640/U1640,0)</x:f>
        <x:v>0.000007246774360685361</x:v>
      </x:c>
      <x:c r="X1640" s="80" t="n">
        <x:f>W1640*('Inputs'!$B$6-AC1640)</x:f>
        <x:v>7215.337324725859</x:v>
      </x:c>
      <x:c r="Y1640" s="80" t="n">
        <x:f>2*V1640</x:f>
        <x:v>572.8687727923859</x:v>
      </x:c>
      <x:c r="Z1640" s="80" t="n">
        <x:f>K1640*'Inputs'!$B$16+(G1640+R1640)*J1640*'Inputs'!$B$16</x:f>
        <x:v>1.0468692539767703</x:v>
      </x:c>
      <x:c r="AA1640" s="80" t="n">
        <x:f>K1640*(1+'Inputs'!$E$48)/2*'Inputs'!$B$17</x:f>
        <x:v>0.34775174354756605</x:v>
      </x:c>
      <x:c r="AB1640" s="78" t="n">
        <x:f>(IF(J1640&gt;0,K1640*(1-'Inputs'!$E$48)/2/J1640,0)+G1640+R1640)*'Inputs'!$B$17</x:f>
        <x:v>48350.79048335145</x:v>
      </x:c>
      <x:c r="AC1640" s="78" t="n">
        <x:f>AC1639+AB1640</x:f>
        <x:v>4338072.968029949</x:v>
      </x:c>
      <x:c r="AD1640" s="80" t="n">
        <x:f>Z1640/(1+'Inputs'!$C$48)</x:f>
        <x:v>0.8374954031814162</x:v>
      </x:c>
      <x:c r="AE1640" s="80" t="n">
        <x:f>Z1640-AD1640</x:f>
        <x:v>0.2093738507953541</x:v>
      </x:c>
      <x:c r="AF1640" s="80" t="n">
        <x:f>D1640*W1640</x:f>
        <x:v>2.033045558287786</x:v>
      </x:c>
      <x:c r="AG1640" s="80" t="n">
        <x:f>C1640*W1640</x:f>
        <x:v>1.18594324233456</x:v>
      </x:c>
      <x:c r="AH1640" s="80" t="n">
        <x:f>2*'Inputs'!$B$8*'Inputs'!$C$48</x:f>
        <x:v>1250</x:v>
      </x:c>
      <x:c r="AI1640" s="81" t="n">
        <x:f>IF(AH1640&gt;0,(AE1640+AF1640)/AH1640*365,0)</x:f>
        <x:v>0.6547864674522769</x:v>
      </x:c>
      <x:c r="AJ1640" s="81" t="n">
        <x:f>IF('Inputs'!$B$48&gt;0,AG1640/('Inputs'!$B$19*'Inputs'!$B$48)*365,0)</x:f>
        <x:v>0.17314771338084575</x:v>
      </x:c>
      <x:c r="AK1640" s="81" t="n">
        <x:f>W1640/MAX($W$1464:W1640)-1</x:f>
        <x:v>-0.9914779157621733</x:v>
      </x:c>
      <x:c r="AL1640" s="83" t="n">
        <x:f>'Inputs'!$B$48</x:f>
        <x:v>0.25</x:v>
      </x:c>
      <x:c r="AM1640" s="83" t="n">
        <x:f>'Inputs'!$C$48</x:f>
        <x:v>0.25</x:v>
      </x:c>
      <x:c r="AN1640" s="83" t="n">
        <x:f>'Inputs'!$D$48</x:f>
        <x:v>0.3</x:v>
      </x:c>
      <x:c r="AO1640" s="81" t="n">
        <x:f>'Inputs'!$E$48</x:f>
        <x:v>0</x:v>
      </x:c>
    </x:row>
    <x:row r="1641">
      <x:c r="A1641" s="59" t="str">
        <x:v>Low participation</x:v>
      </x:c>
      <x:c r="B1641" s="59" t="n">
        <x:v>178</x:v>
      </x:c>
      <x:c r="C1641" s="78" t="n">
        <x:f>(('Inputs'!$B$29*(3*178*'Inputs'!$B$12-178^2)/(2*'Inputs'!$B$12^2))-('Inputs'!$B$29*(3*177*'Inputs'!$B$12-177^2)/(2*'Inputs'!$B$12^2)))*'Inputs'!$B$48</x:f>
        <x:v>163569.91227247193</x:v>
      </x:c>
      <x:c r="D1641" s="78" t="n">
        <x:f>IF('Inputs'!$C$48&gt;0,('Inputs'!$B$30*(3*178*'Inputs'!$B$12-178^2)/(2*'Inputs'!$B$12^2))-('Inputs'!$B$30*(3*177*'Inputs'!$B$12-177^2)/(2*'Inputs'!$B$12^2)),0)</x:f>
        <x:v>280405.5638956651</x:v>
      </x:c>
      <x:c r="E1641" s="78" t="n">
        <x:f>C1641+D1641</x:f>
        <x:v>443975.47616813704</x:v>
      </x:c>
      <x:c r="F1641" s="78" t="n">
        <x:f>'Inputs'!$B$13*E1641+(1-'Inputs'!$B$13)/'Inputs'!$B$14*SUM(E1586:E1641)</x:f>
        <x:v>448828.8726778009</x:v>
      </x:c>
      <x:c r="G1641" s="78" t="n">
        <x:f>F1641*'Inputs'!$F$48</x:f>
        <x:v>224414.43633890044</x:v>
      </x:c>
      <x:c r="H1641" s="78" t="n">
        <x:f>U1640</x:f>
        <x:v>39525776.868413985</x:v>
      </x:c>
      <x:c r="I1641" s="78" t="n">
        <x:f>V1640</x:f>
        <x:v>286.43438639619296</x:v>
      </x:c>
      <x:c r="J1641" s="79" t="n">
        <x:f>IF(H1641&gt;0,I1641/H1641,0)</x:f>
        <x:v>0.000007246774360685361</x:v>
      </x:c>
      <x:c r="K1641" s="80" t="n">
        <x:f>(H1641*J1641+I1641)*'Inputs'!$D$48*(1+'Inputs'!$G$48)^(B1641/30)</x:f>
        <x:v>171.86063183771577</x:v>
      </x:c>
      <x:c r="L1641" s="80" t="n">
        <x:f>MAX(0,K1641*'Inputs'!$E$48)</x:f>
        <x:v>0</x:v>
      </x:c>
      <x:c r="M1641" s="80" t="n">
        <x:f>MAX(0,-K1641*'Inputs'!$E$48)</x:f>
        <x:v>0</x:v>
      </x:c>
      <x:c r="N1641" s="78" t="n">
        <x:f>H1641*(L1641*(1-'Inputs'!$B$15))/(I1641+L1641*(1-'Inputs'!$B$15))</x:f>
        <x:v>0</x:v>
      </x:c>
      <x:c r="O1641" s="78" t="n">
        <x:f>H1641-N1641</x:f>
        <x:v>39525776.868413985</x:v>
      </x:c>
      <x:c r="P1641" s="78" t="n">
        <x:f>I1641+L1641*(1-'Inputs'!$B$17)</x:f>
        <x:v>286.43438639619296</x:v>
      </x:c>
      <x:c r="Q1641" s="78" t="n">
        <x:f>IF(J1641&gt;0,M1641/J1641,0)</x:f>
        <x:v>0</x:v>
      </x:c>
      <x:c r="R1641" s="78" t="n">
        <x:f>IF(B1641='Inputs'!$H$48,'Inputs'!$B$27*'Inputs'!$I$48,0)</x:f>
        <x:v>0</x:v>
      </x:c>
      <x:c r="S1641" s="78" t="n">
        <x:f>Q1641+G1641+R1641</x:f>
        <x:v>224414.43633890044</x:v>
      </x:c>
      <x:c r="T1641" s="78" t="n">
        <x:f>P1641*(S1641*(1-'Inputs'!$B$15))/(O1641+S1641*(1-'Inputs'!$B$15))</x:f>
        <x:v>1.6010188149008564</x:v>
      </x:c>
      <x:c r="U1641" s="78" t="n">
        <x:f>O1641+S1641*(1-'Inputs'!$B$17)</x:f>
        <x:v>39749288.228550315</x:v>
      </x:c>
      <x:c r="V1641" s="78" t="n">
        <x:f>P1641-T1641</x:f>
        <x:v>284.8333675812921</x:v>
      </x:c>
      <x:c r="W1641" s="79" t="n">
        <x:f>IF(U1641&gt;0,V1641/U1641,0)</x:f>
        <x:v>0.000007165747621531189</x:v>
      </x:c>
      <x:c r="X1641" s="80" t="n">
        <x:f>W1641*('Inputs'!$B$6-AC1641)</x:f>
        <x:v>7134.313684594441</x:v>
      </x:c>
      <x:c r="Y1641" s="80" t="n">
        <x:f>2*V1641</x:f>
        <x:v>569.6667351625842</x:v>
      </x:c>
      <x:c r="Z1641" s="80" t="n">
        <x:f>K1641*'Inputs'!$B$16+(G1641+R1641)*J1641*'Inputs'!$B$16</x:f>
        <x:v>1.0409214757268652</x:v>
      </x:c>
      <x:c r="AA1641" s="80" t="n">
        <x:f>K1641*(1+'Inputs'!$E$48)/2*'Inputs'!$B$17</x:f>
        <x:v>0.3457960399149211</x:v>
      </x:c>
      <x:c r="AB1641" s="78" t="n">
        <x:f>(IF(J1641&gt;0,K1641*(1-'Inputs'!$E$48)/2/J1641,0)+G1641+R1641)*'Inputs'!$B$17</x:f>
        <x:v>48620.31185860401</x:v>
      </x:c>
      <x:c r="AC1641" s="78" t="n">
        <x:f>AC1640+AB1641</x:f>
        <x:v>4386693.279888553</x:v>
      </x:c>
      <x:c r="AD1641" s="80" t="n">
        <x:f>Z1641/(1+'Inputs'!$C$48)</x:f>
        <x:v>0.8327371805814922</x:v>
      </x:c>
      <x:c r="AE1641" s="80" t="n">
        <x:f>Z1641-AD1641</x:f>
        <x:v>0.20818429514537307</x:v>
      </x:c>
      <x:c r="AF1641" s="80" t="n">
        <x:f>D1641*W1641</x:f>
        <x:v>2.009315502549474</x:v>
      </x:c>
      <x:c r="AG1641" s="80" t="n">
        <x:f>C1641*W1641</x:f>
        <x:v>1.1721007098205312</x:v>
      </x:c>
      <x:c r="AH1641" s="80" t="n">
        <x:f>2*'Inputs'!$B$8*'Inputs'!$C$48</x:f>
        <x:v>1250</x:v>
      </x:c>
      <x:c r="AI1641" s="81" t="n">
        <x:f>IF(AH1641&gt;0,(AE1641+AF1641)/AH1641*365,0)</x:f>
        <x:v>0.6475099409268954</x:v>
      </x:c>
      <x:c r="AJ1641" s="81" t="n">
        <x:f>IF('Inputs'!$B$48&gt;0,AG1641/('Inputs'!$B$19*'Inputs'!$B$48)*365,0)</x:f>
        <x:v>0.17112670363379756</x:v>
      </x:c>
      <x:c r="AK1641" s="81" t="n">
        <x:f>W1641/MAX($W$1464:W1641)-1</x:f>
        <x:v>-0.9915732018387392</x:v>
      </x:c>
      <x:c r="AL1641" s="83" t="n">
        <x:f>'Inputs'!$B$48</x:f>
        <x:v>0.25</x:v>
      </x:c>
      <x:c r="AM1641" s="83" t="n">
        <x:f>'Inputs'!$C$48</x:f>
        <x:v>0.25</x:v>
      </x:c>
      <x:c r="AN1641" s="83" t="n">
        <x:f>'Inputs'!$D$48</x:f>
        <x:v>0.3</x:v>
      </x:c>
      <x:c r="AO1641" s="81" t="n">
        <x:f>'Inputs'!$E$48</x:f>
        <x:v>0</x:v>
      </x:c>
    </x:row>
    <x:row r="1642">
      <x:c r="A1642" s="59" t="str">
        <x:v>Low participation</x:v>
      </x:c>
      <x:c r="B1642" s="59" t="n">
        <x:v>179</x:v>
      </x:c>
      <x:c r="C1642" s="78" t="n">
        <x:f>(('Inputs'!$B$29*(3*179*'Inputs'!$B$12-179^2)/(2*'Inputs'!$B$12^2))-('Inputs'!$B$29*(3*178*'Inputs'!$B$12-178^2)/(2*'Inputs'!$B$12^2)))*'Inputs'!$B$48</x:f>
        <x:v>163488.63529742882</x:v>
      </x:c>
      <x:c r="D1642" s="78" t="n">
        <x:f>IF('Inputs'!$C$48&gt;0,('Inputs'!$B$30*(3*179*'Inputs'!$B$12-179^2)/(2*'Inputs'!$B$12^2))-('Inputs'!$B$30*(3*178*'Inputs'!$B$12-178^2)/(2*'Inputs'!$B$12^2)),0)</x:f>
        <x:v>280266.2319384515</x:v>
      </x:c>
      <x:c r="E1642" s="78" t="n">
        <x:f>C1642+D1642</x:f>
        <x:v>443754.86723588035</x:v>
      </x:c>
      <x:c r="F1642" s="78" t="n">
        <x:f>'Inputs'!$B$13*E1642+(1-'Inputs'!$B$13)/'Inputs'!$B$14*SUM(E1587:E1642)</x:f>
        <x:v>448608.26374554355</x:v>
      </x:c>
      <x:c r="G1642" s="78" t="n">
        <x:f>F1642*'Inputs'!$F$48</x:f>
        <x:v>224304.13187277177</x:v>
      </x:c>
      <x:c r="H1642" s="78" t="n">
        <x:f>U1641</x:f>
        <x:v>39749288.228550315</x:v>
      </x:c>
      <x:c r="I1642" s="78" t="n">
        <x:f>V1641</x:f>
        <x:v>284.8333675812921</x:v>
      </x:c>
      <x:c r="J1642" s="79" t="n">
        <x:f>IF(H1642&gt;0,I1642/H1642,0)</x:f>
        <x:v>0.000007165747621531189</x:v>
      </x:c>
      <x:c r="K1642" s="80" t="n">
        <x:f>(H1642*J1642+I1642)*'Inputs'!$D$48*(1+'Inputs'!$G$48)^(B1642/30)</x:f>
        <x:v>170.90002054877527</x:v>
      </x:c>
      <x:c r="L1642" s="80" t="n">
        <x:f>MAX(0,K1642*'Inputs'!$E$48)</x:f>
        <x:v>0</x:v>
      </x:c>
      <x:c r="M1642" s="80" t="n">
        <x:f>MAX(0,-K1642*'Inputs'!$E$48)</x:f>
        <x:v>0</x:v>
      </x:c>
      <x:c r="N1642" s="78" t="n">
        <x:f>H1642*(L1642*(1-'Inputs'!$B$15))/(I1642+L1642*(1-'Inputs'!$B$15))</x:f>
        <x:v>0</x:v>
      </x:c>
      <x:c r="O1642" s="78" t="n">
        <x:f>H1642-N1642</x:f>
        <x:v>39749288.228550315</x:v>
      </x:c>
      <x:c r="P1642" s="78" t="n">
        <x:f>I1642+L1642*(1-'Inputs'!$B$17)</x:f>
        <x:v>284.8333675812921</x:v>
      </x:c>
      <x:c r="Q1642" s="78" t="n">
        <x:f>IF(J1642&gt;0,M1642/J1642,0)</x:f>
        <x:v>0</x:v>
      </x:c>
      <x:c r="R1642" s="78" t="n">
        <x:f>IF(B1642='Inputs'!$H$48,'Inputs'!$B$27*'Inputs'!$I$48,0)</x:f>
        <x:v>0</x:v>
      </x:c>
      <x:c r="S1642" s="78" t="n">
        <x:f>Q1642+G1642+R1642</x:f>
        <x:v>224304.13187277177</x:v>
      </x:c>
      <x:c r="T1642" s="78" t="n">
        <x:f>P1642*(S1642*(1-'Inputs'!$B$15))/(O1642+S1642*(1-'Inputs'!$B$15))</x:f>
        <x:v>1.5823936221500536</x:v>
      </x:c>
      <x:c r="U1642" s="78" t="n">
        <x:f>O1642+S1642*(1-'Inputs'!$B$17)</x:f>
        <x:v>39972689.72810167</x:v>
      </x:c>
      <x:c r="V1642" s="78" t="n">
        <x:f>P1642-T1642</x:f>
        <x:v>283.2509739591421</x:v>
      </x:c>
      <x:c r="W1642" s="79" t="n">
        <x:f>IF(U1642&gt;0,V1642/U1642,0)</x:f>
        <x:v>0.000007086112440414798</x:v>
      </x:c>
      <x:c r="X1642" s="80" t="n">
        <x:f>W1642*('Inputs'!$B$6-AC1642)</x:f>
        <x:v>7054.681400676228</x:v>
      </x:c>
      <x:c r="Y1642" s="80" t="n">
        <x:f>2*V1642</x:f>
        <x:v>566.5019479182841</x:v>
      </x:c>
      <x:c r="Z1642" s="80" t="n">
        <x:f>K1642*'Inputs'!$B$16+(G1642+R1642)*J1642*'Inputs'!$B$16</x:f>
        <x:v>1.0350439640894533</x:v>
      </x:c>
      <x:c r="AA1642" s="80" t="n">
        <x:f>K1642*(1+'Inputs'!$E$48)/2*'Inputs'!$B$17</x:f>
        <x:v>0.343863220420071</x:v>
      </x:c>
      <x:c r="AB1642" s="78" t="n">
        <x:f>(IF(J1642&gt;0,K1642*(1-'Inputs'!$E$48)/2/J1642,0)+G1642+R1642)*'Inputs'!$B$17</x:f>
        <x:v>48889.700605383776</x:v>
      </x:c>
      <x:c r="AC1642" s="78" t="n">
        <x:f>AC1641+AB1642</x:f>
        <x:v>4435582.980493937</x:v>
      </x:c>
      <x:c r="AD1642" s="80" t="n">
        <x:f>Z1642/(1+'Inputs'!$C$48)</x:f>
        <x:v>0.8280351712715627</x:v>
      </x:c>
      <x:c r="AE1642" s="80" t="n">
        <x:f>Z1642-AD1642</x:f>
        <x:v>0.20700879281789064</x:v>
      </x:c>
      <x:c r="AF1642" s="80" t="n">
        <x:f>D1642*W1642</x:f>
        <x:v>1.9859980327672406</x:v>
      </x:c>
      <x:c r="AG1642" s="80" t="n">
        <x:f>C1642*W1642</x:f>
        <x:v>1.1584988524475481</x:v>
      </x:c>
      <x:c r="AH1642" s="80" t="n">
        <x:f>2*'Inputs'!$B$8*'Inputs'!$C$48</x:f>
        <x:v>1250</x:v>
      </x:c>
      <x:c r="AI1642" s="81" t="n">
        <x:f>IF(AH1642&gt;0,(AE1642+AF1642)/AH1642*365,0)</x:f>
        <x:v>0.6403579930708584</x:v>
      </x:c>
      <x:c r="AJ1642" s="81" t="n">
        <x:f>IF('Inputs'!$B$48&gt;0,AG1642/('Inputs'!$B$19*'Inputs'!$B$48)*365,0)</x:f>
        <x:v>0.16914083245734202</x:v>
      </x:c>
      <x:c r="AK1642" s="81" t="n">
        <x:f>W1642/MAX($W$1464:W1642)-1</x:f>
        <x:v>-0.9916668514665585</x:v>
      </x:c>
      <x:c r="AL1642" s="83" t="n">
        <x:f>'Inputs'!$B$48</x:f>
        <x:v>0.25</x:v>
      </x:c>
      <x:c r="AM1642" s="83" t="n">
        <x:f>'Inputs'!$C$48</x:f>
        <x:v>0.25</x:v>
      </x:c>
      <x:c r="AN1642" s="83" t="n">
        <x:f>'Inputs'!$D$48</x:f>
        <x:v>0.3</x:v>
      </x:c>
      <x:c r="AO1642" s="81" t="n">
        <x:f>'Inputs'!$E$48</x:f>
        <x:v>0</x:v>
      </x:c>
    </x:row>
    <x:row r="1643">
      <x:c r="A1643" s="59" t="str">
        <x:v>Low participation</x:v>
      </x:c>
      <x:c r="B1643" s="59" t="n">
        <x:v>180</x:v>
      </x:c>
      <x:c r="C1643" s="78" t="n">
        <x:f>(('Inputs'!$B$29*(3*180*'Inputs'!$B$12-180^2)/(2*'Inputs'!$B$12^2))-('Inputs'!$B$29*(3*179*'Inputs'!$B$12-179^2)/(2*'Inputs'!$B$12^2)))*'Inputs'!$B$48</x:f>
        <x:v>163407.3583223857</x:v>
      </x:c>
      <x:c r="D1643" s="78" t="n">
        <x:f>IF('Inputs'!$C$48&gt;0,('Inputs'!$B$30*(3*180*'Inputs'!$B$12-180^2)/(2*'Inputs'!$B$12^2))-('Inputs'!$B$30*(3*179*'Inputs'!$B$12-179^2)/(2*'Inputs'!$B$12^2)),0)</x:f>
        <x:v>280126.8999812305</x:v>
      </x:c>
      <x:c r="E1643" s="78" t="n">
        <x:f>C1643+D1643</x:f>
        <x:v>443534.2583036162</x:v>
      </x:c>
      <x:c r="F1643" s="78" t="n">
        <x:f>'Inputs'!$B$13*E1643+(1-'Inputs'!$B$13)/'Inputs'!$B$14*SUM(E1588:E1643)</x:f>
        <x:v>448387.65481328464</x:v>
      </x:c>
      <x:c r="G1643" s="78" t="n">
        <x:f>F1643*'Inputs'!$F$48</x:f>
        <x:v>224193.82740664232</x:v>
      </x:c>
      <x:c r="H1643" s="78" t="n">
        <x:f>U1642</x:f>
        <x:v>39972689.72810167</x:v>
      </x:c>
      <x:c r="I1643" s="78" t="n">
        <x:f>V1642</x:f>
        <x:v>283.2509739591421</x:v>
      </x:c>
      <x:c r="J1643" s="79" t="n">
        <x:f>IF(H1643&gt;0,I1643/H1643,0)</x:f>
        <x:v>0.000007086112440414798</x:v>
      </x:c>
      <x:c r="K1643" s="80" t="n">
        <x:f>(H1643*J1643+I1643)*'Inputs'!$D$48*(1+'Inputs'!$G$48)^(B1643/30)</x:f>
        <x:v>169.95058437548525</x:v>
      </x:c>
      <x:c r="L1643" s="80" t="n">
        <x:f>MAX(0,K1643*'Inputs'!$E$48)</x:f>
        <x:v>0</x:v>
      </x:c>
      <x:c r="M1643" s="80" t="n">
        <x:f>MAX(0,-K1643*'Inputs'!$E$48)</x:f>
        <x:v>0</x:v>
      </x:c>
      <x:c r="N1643" s="78" t="n">
        <x:f>H1643*(L1643*(1-'Inputs'!$B$15))/(I1643+L1643*(1-'Inputs'!$B$15))</x:f>
        <x:v>0</x:v>
      </x:c>
      <x:c r="O1643" s="78" t="n">
        <x:f>H1643-N1643</x:f>
        <x:v>39972689.72810167</x:v>
      </x:c>
      <x:c r="P1643" s="78" t="n">
        <x:f>I1643+L1643*(1-'Inputs'!$B$17)</x:f>
        <x:v>283.2509739591421</x:v>
      </x:c>
      <x:c r="Q1643" s="78" t="n">
        <x:f>IF(J1643&gt;0,M1643/J1643,0)</x:f>
        <x:v>0</x:v>
      </x:c>
      <x:c r="R1643" s="78" t="n">
        <x:f>IF(B1643='Inputs'!$H$48,'Inputs'!$B$27*'Inputs'!$I$48,0)</x:f>
        <x:v>0</x:v>
      </x:c>
      <x:c r="S1643" s="78" t="n">
        <x:f>Q1643+G1643+R1643</x:f>
        <x:v>224193.82740664232</x:v>
      </x:c>
      <x:c r="T1643" s="78" t="n">
        <x:f>P1643*(S1643*(1-'Inputs'!$B$15))/(O1643+S1643*(1-'Inputs'!$B$15))</x:f>
        <x:v>1.5640912877779636</x:v>
      </x:c>
      <x:c r="U1643" s="78" t="n">
        <x:f>O1643+S1643*(1-'Inputs'!$B$17)</x:f>
        <x:v>40195981.367068045</x:v>
      </x:c>
      <x:c r="V1643" s="78" t="n">
        <x:f>P1643-T1643</x:f>
        <x:v>281.6868826713641</x:v>
      </x:c>
      <x:c r="W1643" s="79" t="n">
        <x:f>IF(U1643&gt;0,V1643/U1643,0)</x:f>
        <x:v>0.000007007836930239646</x:v>
      </x:c>
      <x:c r="X1643" s="80" t="n">
        <x:f>W1643*('Inputs'!$B$6-AC1643)</x:f>
        <x:v>6976.408590069418</x:v>
      </x:c>
      <x:c r="Y1643" s="80" t="n">
        <x:f>2*V1643</x:f>
        <x:v>563.3737653427282</x:v>
      </x:c>
      <x:c r="Z1643" s="80" t="n">
        <x:f>K1643*'Inputs'!$B$16+(G1643+R1643)*J1643*'Inputs'!$B$16</x:f>
        <x:v>1.0292354822696141</x:v>
      </x:c>
      <x:c r="AA1643" s="80" t="n">
        <x:f>K1643*(1+'Inputs'!$E$48)/2*'Inputs'!$B$17</x:f>
        <x:v>0.3419528860673748</x:v>
      </x:c>
      <x:c r="AB1643" s="78" t="n">
        <x:f>(IF(J1643&gt;0,K1643*(1-'Inputs'!$E$48)/2/J1643,0)+G1643+R1643)*'Inputs'!$B$17</x:f>
        <x:v>49158.956723690724</x:v>
      </x:c>
      <x:c r="AC1643" s="78" t="n">
        <x:f>AC1642+AB1643</x:f>
        <x:v>4484741.937217628</x:v>
      </x:c>
      <x:c r="AD1643" s="80" t="n">
        <x:f>Z1643/(1+'Inputs'!$C$48)</x:f>
        <x:v>0.8233883858156913</x:v>
      </x:c>
      <x:c r="AE1643" s="80" t="n">
        <x:f>Z1643-AD1643</x:f>
        <x:v>0.20584709645392285</x:v>
      </x:c>
      <x:c r="AF1643" s="80" t="n">
        <x:f>D1643*W1643</x:f>
        <x:v>1.9630836348420146</x:v>
      </x:c>
      <x:c r="AG1643" s="80" t="n">
        <x:f>C1643*W1643</x:f>
        <x:v>1.1451321203245173</x:v>
      </x:c>
      <x:c r="AH1643" s="80" t="n">
        <x:f>2*'Inputs'!$B$8*'Inputs'!$C$48</x:f>
        <x:v>1250</x:v>
      </x:c>
      <x:c r="AI1643" s="81" t="n">
        <x:f>IF(AH1643&gt;0,(AE1643+AF1643)/AH1643*365,0)</x:f>
        <x:v>0.6333277735384137</x:v>
      </x:c>
      <x:c r="AJ1643" s="81" t="n">
        <x:f>IF('Inputs'!$B$48&gt;0,AG1643/('Inputs'!$B$19*'Inputs'!$B$48)*365,0)</x:f>
        <x:v>0.16718928956737952</x:v>
      </x:c>
      <x:c r="AK1643" s="81" t="n">
        <x:f>W1643/MAX($W$1464:W1643)-1</x:f>
        <x:v>-0.991758902144318</x:v>
      </x:c>
      <x:c r="AL1643" s="83" t="n">
        <x:f>'Inputs'!$B$48</x:f>
        <x:v>0.25</x:v>
      </x:c>
      <x:c r="AM1643" s="83" t="n">
        <x:f>'Inputs'!$C$48</x:f>
        <x:v>0.25</x:v>
      </x:c>
      <x:c r="AN1643" s="83" t="n">
        <x:f>'Inputs'!$D$48</x:f>
        <x:v>0.3</x:v>
      </x:c>
      <x:c r="AO1643" s="81" t="n">
        <x:f>'Inputs'!$E$48</x:f>
        <x:v>0</x:v>
      </x:c>
    </x:row>
    <x:row r="1644">
      <x:c r="A1644" s="59" t="str">
        <x:v>Low participation</x:v>
      </x:c>
      <x:c r="B1644" s="59" t="n">
        <x:v>181</x:v>
      </x:c>
      <x:c r="C1644" s="78" t="n">
        <x:f>(('Inputs'!$B$29*(3*181*'Inputs'!$B$12-181^2)/(2*'Inputs'!$B$12^2))-('Inputs'!$B$29*(3*180*'Inputs'!$B$12-180^2)/(2*'Inputs'!$B$12^2)))*'Inputs'!$B$48</x:f>
        <x:v>163326.0813473463</x:v>
      </x:c>
      <x:c r="D1644" s="78" t="n">
        <x:f>IF('Inputs'!$C$48&gt;0,('Inputs'!$B$30*(3*181*'Inputs'!$B$12-181^2)/(2*'Inputs'!$B$12^2))-('Inputs'!$B$30*(3*180*'Inputs'!$B$12-180^2)/(2*'Inputs'!$B$12^2)),0)</x:f>
        <x:v>279987.56802402437</x:v>
      </x:c>
      <x:c r="E1644" s="78" t="n">
        <x:f>C1644+D1644</x:f>
        <x:v>443313.6493713707</x:v>
      </x:c>
      <x:c r="F1644" s="78" t="n">
        <x:f>'Inputs'!$B$13*E1644+(1-'Inputs'!$B$13)/'Inputs'!$B$14*SUM(E1589:E1644)</x:f>
        <x:v>448167.0458810297</x:v>
      </x:c>
      <x:c r="G1644" s="78" t="n">
        <x:f>F1644*'Inputs'!$F$48</x:f>
        <x:v>224083.52294051484</x:v>
      </x:c>
      <x:c r="H1644" s="78" t="n">
        <x:f>U1643</x:f>
        <x:v>40195981.367068045</x:v>
      </x:c>
      <x:c r="I1644" s="78" t="n">
        <x:f>V1643</x:f>
        <x:v>281.6868826713641</x:v>
      </x:c>
      <x:c r="J1644" s="79" t="n">
        <x:f>IF(H1644&gt;0,I1644/H1644,0)</x:f>
        <x:v>0.000007007836930239646</x:v>
      </x:c>
      <x:c r="K1644" s="80" t="n">
        <x:f>(H1644*J1644+I1644)*'Inputs'!$D$48*(1+'Inputs'!$G$48)^(B1644/30)</x:f>
        <x:v>169.01212960281848</x:v>
      </x:c>
      <x:c r="L1644" s="80" t="n">
        <x:f>MAX(0,K1644*'Inputs'!$E$48)</x:f>
        <x:v>0</x:v>
      </x:c>
      <x:c r="M1644" s="80" t="n">
        <x:f>MAX(0,-K1644*'Inputs'!$E$48)</x:f>
        <x:v>0</x:v>
      </x:c>
      <x:c r="N1644" s="78" t="n">
        <x:f>H1644*(L1644*(1-'Inputs'!$B$15))/(I1644+L1644*(1-'Inputs'!$B$15))</x:f>
        <x:v>0</x:v>
      </x:c>
      <x:c r="O1644" s="78" t="n">
        <x:f>H1644-N1644</x:f>
        <x:v>40195981.367068045</x:v>
      </x:c>
      <x:c r="P1644" s="78" t="n">
        <x:f>I1644+L1644*(1-'Inputs'!$B$17)</x:f>
        <x:v>281.6868826713641</x:v>
      </x:c>
      <x:c r="Q1644" s="78" t="n">
        <x:f>IF(J1644&gt;0,M1644/J1644,0)</x:f>
        <x:v>0</x:v>
      </x:c>
      <x:c r="R1644" s="78" t="n">
        <x:f>IF(B1644='Inputs'!$H$48,'Inputs'!$B$27*'Inputs'!$I$48,0)</x:f>
        <x:v>0</x:v>
      </x:c>
      <x:c r="S1644" s="78" t="n">
        <x:f>Q1644+G1644+R1644</x:f>
        <x:v>224083.52294051484</x:v>
      </x:c>
      <x:c r="T1644" s="78" t="n">
        <x:f>P1644*(S1644*(1-'Inputs'!$B$15))/(O1644+S1644*(1-'Inputs'!$B$15))</x:f>
        <x:v>1.5461043885015961</x:v>
      </x:c>
      <x:c r="U1644" s="78" t="n">
        <x:f>O1644+S1644*(1-'Inputs'!$B$17)</x:f>
        <x:v>40419163.145449445</x:v>
      </x:c>
      <x:c r="V1644" s="78" t="n">
        <x:f>P1644-T1644</x:f>
        <x:v>280.1407782828625</x:v>
      </x:c>
      <x:c r="W1644" s="79" t="n">
        <x:f>IF(U1644&gt;0,V1644/U1644,0)</x:f>
        <x:v>0.000006930890114542164</x:v>
      </x:c>
      <x:c r="X1644" s="80" t="n">
        <x:f>W1644*('Inputs'!$B$6-AC1644)</x:f>
        <x:v>6899.464280390697</x:v>
      </x:c>
      <x:c r="Y1644" s="80" t="n">
        <x:f>2*V1644</x:f>
        <x:v>560.281556565725</x:v>
      </x:c>
      <x:c r="Z1644" s="80" t="n">
        <x:f>K1644*'Inputs'!$B$16+(G1644+R1644)*J1644*'Inputs'!$B$16</x:f>
        <x:v>1.0234948223420355</x:v>
      </x:c>
      <x:c r="AA1644" s="80" t="n">
        <x:f>K1644*(1+'Inputs'!$E$48)/2*'Inputs'!$B$17</x:f>
        <x:v>0.34006464708816597</x:v>
      </x:c>
      <x:c r="AB1644" s="78" t="n">
        <x:f>(IF(J1644&gt;0,K1644*(1-'Inputs'!$E$48)/2/J1644,0)+G1644+R1644)*'Inputs'!$B$17</x:f>
        <x:v>49428.08021352486</x:v>
      </x:c>
      <x:c r="AC1644" s="78" t="n">
        <x:f>AC1643+AB1644</x:f>
        <x:v>4534170.017431152</x:v>
      </x:c>
      <x:c r="AD1644" s="80" t="n">
        <x:f>Z1644/(1+'Inputs'!$C$48)</x:f>
        <x:v>0.8187958578736284</x:v>
      </x:c>
      <x:c r="AE1644" s="80" t="n">
        <x:f>Z1644-AD1644</x:f>
        <x:v>0.20469896446840707</x:v>
      </x:c>
      <x:c r="AF1644" s="80" t="n">
        <x:f>D1644*W1644</x:f>
        <x:v>1.9405630674124121</x:v>
      </x:c>
      <x:c r="AG1644" s="80" t="n">
        <x:f>C1644*W1644</x:f>
        <x:v>1.1319951226572318</x:v>
      </x:c>
      <x:c r="AH1644" s="80" t="n">
        <x:f>2*'Inputs'!$B$8*'Inputs'!$C$48</x:f>
        <x:v>1250</x:v>
      </x:c>
      <x:c r="AI1644" s="81" t="n">
        <x:f>IF(AH1644&gt;0,(AE1644+AF1644)/AH1644*365,0)</x:f>
        <x:v>0.6264165133091991</x:v>
      </x:c>
      <x:c r="AJ1644" s="81" t="n">
        <x:f>IF('Inputs'!$B$48&gt;0,AG1644/('Inputs'!$B$19*'Inputs'!$B$48)*365,0)</x:f>
        <x:v>0.16527128790795584</x:v>
      </x:c>
      <x:c r="AK1644" s="81" t="n">
        <x:f>W1644/MAX($W$1464:W1644)-1</x:f>
        <x:v>-0.9918493902998157</x:v>
      </x:c>
      <x:c r="AL1644" s="83" t="n">
        <x:f>'Inputs'!$B$48</x:f>
        <x:v>0.25</x:v>
      </x:c>
      <x:c r="AM1644" s="83" t="n">
        <x:f>'Inputs'!$C$48</x:f>
        <x:v>0.25</x:v>
      </x:c>
      <x:c r="AN1644" s="83" t="n">
        <x:f>'Inputs'!$D$48</x:f>
        <x:v>0.3</x:v>
      </x:c>
      <x:c r="AO1644" s="81" t="n">
        <x:f>'Inputs'!$E$48</x:f>
        <x:v>0</x:v>
      </x:c>
    </x:row>
    <x:row r="1645">
      <x:c r="A1645" s="59" t="str">
        <x:v>Low participation</x:v>
      </x:c>
      <x:c r="B1645" s="59" t="n">
        <x:v>182</x:v>
      </x:c>
      <x:c r="C1645" s="78" t="n">
        <x:f>(('Inputs'!$B$29*(3*182*'Inputs'!$B$12-182^2)/(2*'Inputs'!$B$12^2))-('Inputs'!$B$29*(3*181*'Inputs'!$B$12-181^2)/(2*'Inputs'!$B$12^2)))*'Inputs'!$B$48</x:f>
        <x:v>163244.8043723032</x:v>
      </x:c>
      <x:c r="D1645" s="78" t="n">
        <x:f>IF('Inputs'!$C$48&gt;0,('Inputs'!$B$30*(3*182*'Inputs'!$B$12-182^2)/(2*'Inputs'!$B$12^2))-('Inputs'!$B$30*(3*181*'Inputs'!$B$12-181^2)/(2*'Inputs'!$B$12^2)),0)</x:f>
        <x:v>279848.23606680334</x:v>
      </x:c>
      <x:c r="E1645" s="78" t="n">
        <x:f>C1645+D1645</x:f>
        <x:v>443093.0404391065</x:v>
      </x:c>
      <x:c r="F1645" s="78" t="n">
        <x:f>'Inputs'!$B$13*E1645+(1-'Inputs'!$B$13)/'Inputs'!$B$14*SUM(E1590:E1645)</x:f>
        <x:v>447946.4369487709</x:v>
      </x:c>
      <x:c r="G1645" s="78" t="n">
        <x:f>F1645*'Inputs'!$F$48</x:f>
        <x:v>223973.21847438545</x:v>
      </x:c>
      <x:c r="H1645" s="78" t="n">
        <x:f>U1644</x:f>
        <x:v>40419163.145449445</x:v>
      </x:c>
      <x:c r="I1645" s="78" t="n">
        <x:f>V1644</x:f>
        <x:v>280.1407782828625</x:v>
      </x:c>
      <x:c r="J1645" s="79" t="n">
        <x:f>IF(H1645&gt;0,I1645/H1645,0)</x:f>
        <x:v>0.000006930890114542164</x:v>
      </x:c>
      <x:c r="K1645" s="80" t="n">
        <x:f>(H1645*J1645+I1645)*'Inputs'!$D$48*(1+'Inputs'!$G$48)^(B1645/30)</x:f>
        <x:v>168.0844669697175</x:v>
      </x:c>
      <x:c r="L1645" s="80" t="n">
        <x:f>MAX(0,K1645*'Inputs'!$E$48)</x:f>
        <x:v>0</x:v>
      </x:c>
      <x:c r="M1645" s="80" t="n">
        <x:f>MAX(0,-K1645*'Inputs'!$E$48)</x:f>
        <x:v>0</x:v>
      </x:c>
      <x:c r="N1645" s="78" t="n">
        <x:f>H1645*(L1645*(1-'Inputs'!$B$15))/(I1645+L1645*(1-'Inputs'!$B$15))</x:f>
        <x:v>0</x:v>
      </x:c>
      <x:c r="O1645" s="78" t="n">
        <x:f>H1645-N1645</x:f>
        <x:v>40419163.145449445</x:v>
      </x:c>
      <x:c r="P1645" s="78" t="n">
        <x:f>I1645+L1645*(1-'Inputs'!$B$17)</x:f>
        <x:v>280.1407782828625</x:v>
      </x:c>
      <x:c r="Q1645" s="78" t="n">
        <x:f>IF(J1645&gt;0,M1645/J1645,0)</x:f>
        <x:v>0</x:v>
      </x:c>
      <x:c r="R1645" s="78" t="n">
        <x:f>IF(B1645='Inputs'!$H$48,'Inputs'!$B$27*'Inputs'!$I$48,0)</x:f>
        <x:v>0</x:v>
      </x:c>
      <x:c r="S1645" s="78" t="n">
        <x:f>Q1645+G1645+R1645</x:f>
        <x:v>223973.21847438545</x:v>
      </x:c>
      <x:c r="T1645" s="78" t="n">
        <x:f>P1645*(S1645*(1-'Inputs'!$B$15))/(O1645+S1645*(1-'Inputs'!$B$15))</x:f>
        <x:v>1.5284257132270498</x:v>
      </x:c>
      <x:c r="U1645" s="78" t="n">
        <x:f>O1645+S1645*(1-'Inputs'!$B$17)</x:f>
        <x:v>40642235.06324586</x:v>
      </x:c>
      <x:c r="V1645" s="78" t="n">
        <x:f>P1645-T1645</x:f>
        <x:v>278.6123525696355</x:v>
      </x:c>
      <x:c r="W1645" s="79" t="n">
        <x:f>IF(U1645&gt;0,V1645/U1645,0)</x:f>
        <x:v>0.000006855241896418093</x:v>
      </x:c>
      <x:c r="X1645" s="80" t="n">
        <x:f>W1645*('Inputs'!$B$6-AC1645)</x:f>
        <x:v>6823.818378705355</x:v>
      </x:c>
      <x:c r="Y1645" s="80" t="n">
        <x:f>2*V1645</x:f>
        <x:v>557.224705139271</x:v>
      </x:c>
      <x:c r="Z1645" s="80" t="n">
        <x:f>K1645*'Inputs'!$B$16+(G1645+R1645)*J1645*'Inputs'!$B$16</x:f>
        <x:v>1.017820804413383</x:v>
      </x:c>
      <x:c r="AA1645" s="80" t="n">
        <x:f>K1645*(1+'Inputs'!$E$48)/2*'Inputs'!$B$17</x:f>
        <x:v>0.338198122675488</x:v>
      </x:c>
      <x:c r="AB1645" s="78" t="n">
        <x:f>(IF(J1645&gt;0,K1645*(1-'Inputs'!$E$48)/2/J1645,0)+G1645+R1645)*'Inputs'!$B$17</x:f>
        <x:v>49697.071074886204</x:v>
      </x:c>
      <x:c r="AC1645" s="78" t="n">
        <x:f>AC1644+AB1645</x:f>
        <x:v>4583867.088506038</x:v>
      </x:c>
      <x:c r="AD1645" s="80" t="n">
        <x:f>Z1645/(1+'Inputs'!$C$48)</x:f>
        <x:v>0.8142566435307064</x:v>
      </x:c>
      <x:c r="AE1645" s="80" t="n">
        <x:f>Z1645-AD1645</x:f>
        <x:v>0.2035641608826766</x:v>
      </x:c>
      <x:c r="AF1645" s="80" t="n">
        <x:f>D1645*W1645</x:f>
        <x:v>1.918427352523851</x:v>
      </x:c>
      <x:c r="AG1645" s="80" t="n">
        <x:f>C1645*W1645</x:f>
        <x:v>1.1190826223055883</x:v>
      </x:c>
      <x:c r="AH1645" s="80" t="n">
        <x:f>2*'Inputs'!$B$8*'Inputs'!$C$48</x:f>
        <x:v>1250</x:v>
      </x:c>
      <x:c r="AI1645" s="81" t="n">
        <x:f>IF(AH1645&gt;0,(AE1645+AF1645)/AH1645*365,0)</x:f>
        <x:v>0.6196215219147061</x:v>
      </x:c>
      <x:c r="AJ1645" s="81" t="n">
        <x:f>IF('Inputs'!$B$48&gt;0,AG1645/('Inputs'!$B$19*'Inputs'!$B$48)*365,0)</x:f>
        <x:v>0.1633860628566159</x:v>
      </x:c>
      <x:c r="AK1645" s="81" t="n">
        <x:f>W1645/MAX($W$1464:W1645)-1</x:f>
        <x:v>-0.9919383513265027</x:v>
      </x:c>
      <x:c r="AL1645" s="83" t="n">
        <x:f>'Inputs'!$B$48</x:f>
        <x:v>0.25</x:v>
      </x:c>
      <x:c r="AM1645" s="83" t="n">
        <x:f>'Inputs'!$C$48</x:f>
        <x:v>0.25</x:v>
      </x:c>
      <x:c r="AN1645" s="83" t="n">
        <x:f>'Inputs'!$D$48</x:f>
        <x:v>0.3</x:v>
      </x:c>
      <x:c r="AO1645" s="81" t="n">
        <x:f>'Inputs'!$E$48</x:f>
        <x:v>0</x:v>
      </x:c>
    </x:row>
    <x:row r="1646">
      <x:c r="A1646" s="59" t="str">
        <x:v>Low participation</x:v>
      </x:c>
      <x:c r="B1646" s="59" t="n">
        <x:v>183</x:v>
      </x:c>
      <x:c r="C1646" s="78" t="n">
        <x:f>(('Inputs'!$B$29*(3*183*'Inputs'!$B$12-183^2)/(2*'Inputs'!$B$12^2))-('Inputs'!$B$29*(3*182*'Inputs'!$B$12-182^2)/(2*'Inputs'!$B$12^2)))*'Inputs'!$B$48</x:f>
        <x:v>163163.52739726007</x:v>
      </x:c>
      <x:c r="D1646" s="78" t="n">
        <x:f>IF('Inputs'!$C$48&gt;0,('Inputs'!$B$30*(3*183*'Inputs'!$B$12-183^2)/(2*'Inputs'!$B$12^2))-('Inputs'!$B$30*(3*182*'Inputs'!$B$12-182^2)/(2*'Inputs'!$B$12^2)),0)</x:f>
        <x:v>279708.90410958976</x:v>
      </x:c>
      <x:c r="E1646" s="78" t="n">
        <x:f>C1646+D1646</x:f>
        <x:v>442872.4315068498</x:v>
      </x:c>
      <x:c r="F1646" s="78" t="n">
        <x:f>'Inputs'!$B$13*E1646+(1-'Inputs'!$B$13)/'Inputs'!$B$14*SUM(E1591:E1646)</x:f>
        <x:v>447725.82801651367</x:v>
      </x:c>
      <x:c r="G1646" s="78" t="n">
        <x:f>F1646*'Inputs'!$F$48</x:f>
        <x:v>223862.91400825683</x:v>
      </x:c>
      <x:c r="H1646" s="78" t="n">
        <x:f>U1645</x:f>
        <x:v>40642235.06324586</x:v>
      </x:c>
      <x:c r="I1646" s="78" t="n">
        <x:f>V1645</x:f>
        <x:v>278.6123525696355</x:v>
      </x:c>
      <x:c r="J1646" s="79" t="n">
        <x:f>IF(H1646&gt;0,I1646/H1646,0)</x:f>
        <x:v>0.000006855241896418093</x:v>
      </x:c>
      <x:c r="K1646" s="80" t="n">
        <x:f>(H1646*J1646+I1646)*'Inputs'!$D$48*(1+'Inputs'!$G$48)^(B1646/30)</x:f>
        <x:v>167.1674115417813</x:v>
      </x:c>
      <x:c r="L1646" s="80" t="n">
        <x:f>MAX(0,K1646*'Inputs'!$E$48)</x:f>
        <x:v>0</x:v>
      </x:c>
      <x:c r="M1646" s="80" t="n">
        <x:f>MAX(0,-K1646*'Inputs'!$E$48)</x:f>
        <x:v>0</x:v>
      </x:c>
      <x:c r="N1646" s="78" t="n">
        <x:f>H1646*(L1646*(1-'Inputs'!$B$15))/(I1646+L1646*(1-'Inputs'!$B$15))</x:f>
        <x:v>0</x:v>
      </x:c>
      <x:c r="O1646" s="78" t="n">
        <x:f>H1646-N1646</x:f>
        <x:v>40642235.06324586</x:v>
      </x:c>
      <x:c r="P1646" s="78" t="n">
        <x:f>I1646+L1646*(1-'Inputs'!$B$17)</x:f>
        <x:v>278.6123525696355</x:v>
      </x:c>
      <x:c r="Q1646" s="78" t="n">
        <x:f>IF(J1646&gt;0,M1646/J1646,0)</x:f>
        <x:v>0</x:v>
      </x:c>
      <x:c r="R1646" s="78" t="n">
        <x:f>IF(B1646='Inputs'!$H$48,'Inputs'!$B$27*'Inputs'!$I$48,0)</x:f>
        <x:v>0</x:v>
      </x:c>
      <x:c r="S1646" s="78" t="n">
        <x:f>Q1646+G1646+R1646</x:f>
        <x:v>223862.91400825683</x:v>
      </x:c>
      <x:c r="T1646" s="78" t="n">
        <x:f>P1646*(S1646*(1-'Inputs'!$B$15))/(O1646+S1646*(1-'Inputs'!$B$15))</x:f>
        <x:v>1.511048255811278</x:v>
      </x:c>
      <x:c r="U1646" s="78" t="n">
        <x:f>O1646+S1646*(1-'Inputs'!$B$17)</x:f>
        <x:v>40865197.12045731</x:v>
      </x:c>
      <x:c r="V1646" s="78" t="n">
        <x:f>P1646-T1646</x:f>
        <x:v>277.10130431382424</x:v>
      </x:c>
      <x:c r="W1646" s="79" t="n">
        <x:f>IF(U1646&gt;0,V1646/U1646,0)</x:f>
        <x:v>0.000006780863028679875</x:v>
      </x:c>
      <x:c r="X1646" s="80" t="n">
        <x:f>W1646*('Inputs'!$B$6-AC1646)</x:f>
        <x:v>6749.441641688305</x:v>
      </x:c>
      <x:c r="Y1646" s="80" t="n">
        <x:f>2*V1646</x:f>
        <x:v>554.2026086276485</x:v>
      </x:c>
      <x:c r="Z1646" s="80" t="n">
        <x:f>K1646*'Inputs'!$B$16+(G1646+R1646)*J1646*'Inputs'!$B$16</x:f>
        <x:v>1.0122122758136698</x:v>
      </x:c>
      <x:c r="AA1646" s="80" t="n">
        <x:f>K1646*(1+'Inputs'!$E$48)/2*'Inputs'!$B$17</x:f>
        <x:v>0.3363529407279302</x:v>
      </x:c>
      <x:c r="AB1646" s="78" t="n">
        <x:f>(IF(J1646&gt;0,K1646*(1-'Inputs'!$E$48)/2/J1646,0)+G1646+R1646)*'Inputs'!$B$17</x:f>
        <x:v>49965.92930777471</x:v>
      </x:c>
      <x:c r="AC1646" s="78" t="n">
        <x:f>AC1645+AB1646</x:f>
        <x:v>4633833.017813813</x:v>
      </x:c>
      <x:c r="AD1646" s="80" t="n">
        <x:f>Z1646/(1+'Inputs'!$C$48)</x:f>
        <x:v>0.8097698206509358</x:v>
      </x:c>
      <x:c r="AE1646" s="80" t="n">
        <x:f>Z1646-AD1646</x:f>
        <x:v>0.20244245516273396</x:v>
      </x:c>
      <x:c r="AF1646" s="80" t="n">
        <x:f>D1646*W1646</x:f>
        <x:v>1.8966677666692815</x:v>
      </x:c>
      <x:c r="AG1646" s="80" t="n">
        <x:f>C1646*W1646</x:f>
        <x:v>1.1063895305570768</x:v>
      </x:c>
      <x:c r="AH1646" s="80" t="n">
        <x:f>2*'Inputs'!$B$8*'Inputs'!$C$48</x:f>
        <x:v>1250</x:v>
      </x:c>
      <x:c r="AI1646" s="81" t="n">
        <x:f>IF(AH1646&gt;0,(AE1646+AF1646)/AH1646*365,0)</x:f>
        <x:v>0.6129401847749485</x:v>
      </x:c>
      <x:c r="AJ1646" s="81" t="n">
        <x:f>IF('Inputs'!$B$48&gt;0,AG1646/('Inputs'!$B$19*'Inputs'!$B$48)*365,0)</x:f>
        <x:v>0.16153287146133322</x:v>
      </x:c>
      <x:c r="AK1646" s="81" t="n">
        <x:f>W1646/MAX($W$1464:W1646)-1</x:f>
        <x:v>-0.9920258196185773</x:v>
      </x:c>
      <x:c r="AL1646" s="83" t="n">
        <x:f>'Inputs'!$B$48</x:f>
        <x:v>0.25</x:v>
      </x:c>
      <x:c r="AM1646" s="83" t="n">
        <x:f>'Inputs'!$C$48</x:f>
        <x:v>0.25</x:v>
      </x:c>
      <x:c r="AN1646" s="83" t="n">
        <x:f>'Inputs'!$D$48</x:f>
        <x:v>0.3</x:v>
      </x:c>
      <x:c r="AO1646" s="81" t="n">
        <x:f>'Inputs'!$E$48</x:f>
        <x:v>0</x:v>
      </x:c>
    </x:row>
    <x:row r="1647">
      <x:c r="A1647" s="59" t="str">
        <x:v>Low participation</x:v>
      </x:c>
      <x:c r="B1647" s="59" t="n">
        <x:v>184</x:v>
      </x:c>
      <x:c r="C1647" s="78" t="n">
        <x:f>(('Inputs'!$B$29*(3*184*'Inputs'!$B$12-184^2)/(2*'Inputs'!$B$12^2))-('Inputs'!$B$29*(3*183*'Inputs'!$B$12-183^2)/(2*'Inputs'!$B$12^2)))*'Inputs'!$B$48</x:f>
        <x:v>163082.25042221695</x:v>
      </x:c>
      <x:c r="D1647" s="78" t="n">
        <x:f>IF('Inputs'!$C$48&gt;0,('Inputs'!$B$30*(3*184*'Inputs'!$B$12-184^2)/(2*'Inputs'!$B$12^2))-('Inputs'!$B$30*(3*183*'Inputs'!$B$12-183^2)/(2*'Inputs'!$B$12^2)),0)</x:f>
        <x:v>279569.5721523687</x:v>
      </x:c>
      <x:c r="E1647" s="78" t="n">
        <x:f>C1647+D1647</x:f>
        <x:v>442651.8225745857</x:v>
      </x:c>
      <x:c r="F1647" s="78" t="n">
        <x:f>'Inputs'!$B$13*E1647+(1-'Inputs'!$B$13)/'Inputs'!$B$14*SUM(E1592:E1647)</x:f>
        <x:v>447505.2190842547</x:v>
      </x:c>
      <x:c r="G1647" s="78" t="n">
        <x:f>F1647*'Inputs'!$F$48</x:f>
        <x:v>223752.60954212735</x:v>
      </x:c>
      <x:c r="H1647" s="78" t="n">
        <x:f>U1646</x:f>
        <x:v>40865197.12045731</x:v>
      </x:c>
      <x:c r="I1647" s="78" t="n">
        <x:f>V1646</x:f>
        <x:v>277.10130431382424</x:v>
      </x:c>
      <x:c r="J1647" s="79" t="n">
        <x:f>IF(H1647&gt;0,I1647/H1647,0)</x:f>
        <x:v>0.000006780863028679875</x:v>
      </x:c>
      <x:c r="K1647" s="80" t="n">
        <x:f>(H1647*J1647+I1647)*'Inputs'!$D$48*(1+'Inputs'!$G$48)^(B1647/30)</x:f>
        <x:v>166.26078258829455</x:v>
      </x:c>
      <x:c r="L1647" s="80" t="n">
        <x:f>MAX(0,K1647*'Inputs'!$E$48)</x:f>
        <x:v>0</x:v>
      </x:c>
      <x:c r="M1647" s="80" t="n">
        <x:f>MAX(0,-K1647*'Inputs'!$E$48)</x:f>
        <x:v>0</x:v>
      </x:c>
      <x:c r="N1647" s="78" t="n">
        <x:f>H1647*(L1647*(1-'Inputs'!$B$15))/(I1647+L1647*(1-'Inputs'!$B$15))</x:f>
        <x:v>0</x:v>
      </x:c>
      <x:c r="O1647" s="78" t="n">
        <x:f>H1647-N1647</x:f>
        <x:v>40865197.12045731</x:v>
      </x:c>
      <x:c r="P1647" s="78" t="n">
        <x:f>I1647+L1647*(1-'Inputs'!$B$17)</x:f>
        <x:v>277.10130431382424</x:v>
      </x:c>
      <x:c r="Q1647" s="78" t="n">
        <x:f>IF(J1647&gt;0,M1647/J1647,0)</x:f>
        <x:v>0</x:v>
      </x:c>
      <x:c r="R1647" s="78" t="n">
        <x:f>IF(B1647='Inputs'!$H$48,'Inputs'!$B$27*'Inputs'!$I$48,0)</x:f>
        <x:v>0</x:v>
      </x:c>
      <x:c r="S1647" s="78" t="n">
        <x:f>Q1647+G1647+R1647</x:f>
        <x:v>223752.60954212735</x:v>
      </x:c>
      <x:c r="T1647" s="78" t="n">
        <x:f>P1647*(S1647*(1-'Inputs'!$B$15))/(O1647+S1647*(1-'Inputs'!$B$15))</x:f>
        <x:v>1.493965208110164</x:v>
      </x:c>
      <x:c r="U1647" s="78" t="n">
        <x:f>O1647+S1647*(1-'Inputs'!$B$17)</x:f>
        <x:v>41088049.31708377</x:v>
      </x:c>
      <x:c r="V1647" s="78" t="n">
        <x:f>P1647-T1647</x:f>
        <x:v>275.60733910571406</x:v>
      </x:c>
      <x:c r="W1647" s="79" t="n">
        <x:f>IF(U1647&gt;0,V1647/U1647,0)</x:f>
        <x:v>0.0000067077250851896935</x:v>
      </x:c>
      <x:c r="X1647" s="80" t="n">
        <x:f>W1647*('Inputs'!$B$6-AC1647)</x:f>
        <x:v>6676.305646960623</x:v>
      </x:c>
      <x:c r="Y1647" s="80" t="n">
        <x:f>2*V1647</x:f>
        <x:v>551.2146782114281</x:v>
      </x:c>
      <x:c r="Z1647" s="80" t="n">
        <x:f>K1647*'Inputs'!$B$16+(G1647+R1647)*J1647*'Inputs'!$B$16</x:f>
        <x:v>1.0066681103154564</x:v>
      </x:c>
      <x:c r="AA1647" s="80" t="n">
        <x:f>K1647*(1+'Inputs'!$E$48)/2*'Inputs'!$B$17</x:f>
        <x:v>0.3345287376022023</x:v>
      </x:c>
      <x:c r="AB1647" s="78" t="n">
        <x:f>(IF(J1647&gt;0,K1647*(1-'Inputs'!$E$48)/2/J1647,0)+G1647+R1647)*'Inputs'!$B$17</x:f>
        <x:v>50234.654912190425</x:v>
      </x:c>
      <x:c r="AC1647" s="78" t="n">
        <x:f>AC1646+AB1647</x:f>
        <x:v>4684067.672726003</x:v>
      </x:c>
      <x:c r="AD1647" s="80" t="n">
        <x:f>Z1647/(1+'Inputs'!$C$48)</x:f>
        <x:v>0.8053344882523652</x:v>
      </x:c>
      <x:c r="AE1647" s="80" t="n">
        <x:f>Z1647-AD1647</x:f>
        <x:v>0.20133362206309124</x:v>
      </x:c>
      <x:c r="AF1647" s="80" t="n">
        <x:f>D1647*W1647</x:f>
        <x:v>1.8752758321821936</x:v>
      </x:c>
      <x:c r="AG1647" s="80" t="n">
        <x:f>C1647*W1647</x:f>
        <x:v>1.093910902106292</x:v>
      </x:c>
      <x:c r="AH1647" s="80" t="n">
        <x:f>2*'Inputs'!$B$8*'Inputs'!$C$48</x:f>
        <x:v>1250</x:v>
      </x:c>
      <x:c r="AI1647" s="81" t="n">
        <x:f>IF(AH1647&gt;0,(AE1647+AF1647)/AH1647*365,0)</x:f>
        <x:v>0.6063699606396232</x:v>
      </x:c>
      <x:c r="AJ1647" s="81" t="n">
        <x:f>IF('Inputs'!$B$48&gt;0,AG1647/('Inputs'!$B$19*'Inputs'!$B$48)*365,0)</x:f>
        <x:v>0.15971099170751865</x:v>
      </x:c>
      <x:c r="AK1647" s="81" t="n">
        <x:f>W1647/MAX($W$1464:W1647)-1</x:f>
        <x:v>-0.9921118286046975</x:v>
      </x:c>
      <x:c r="AL1647" s="83" t="n">
        <x:f>'Inputs'!$B$48</x:f>
        <x:v>0.25</x:v>
      </x:c>
      <x:c r="AM1647" s="83" t="n">
        <x:f>'Inputs'!$C$48</x:f>
        <x:v>0.25</x:v>
      </x:c>
      <x:c r="AN1647" s="83" t="n">
        <x:f>'Inputs'!$D$48</x:f>
        <x:v>0.3</x:v>
      </x:c>
      <x:c r="AO1647" s="81" t="n">
        <x:f>'Inputs'!$E$48</x:f>
        <x:v>0</x:v>
      </x:c>
    </x:row>
    <x:row r="1648">
      <x:c r="A1648" s="59" t="str">
        <x:v>Low participation</x:v>
      </x:c>
      <x:c r="B1648" s="59" t="n">
        <x:v>185</x:v>
      </x:c>
      <x:c r="C1648" s="78" t="n">
        <x:f>(('Inputs'!$B$29*(3*185*'Inputs'!$B$12-185^2)/(2*'Inputs'!$B$12^2))-('Inputs'!$B$29*(3*184*'Inputs'!$B$12-184^2)/(2*'Inputs'!$B$12^2)))*'Inputs'!$B$48</x:f>
        <x:v>163000.97344717756</x:v>
      </x:c>
      <x:c r="D1648" s="78" t="n">
        <x:f>IF('Inputs'!$C$48&gt;0,('Inputs'!$B$30*(3*185*'Inputs'!$B$12-185^2)/(2*'Inputs'!$B$12^2))-('Inputs'!$B$30*(3*184*'Inputs'!$B$12-184^2)/(2*'Inputs'!$B$12^2)),0)</x:f>
        <x:v>279430.2401951626</x:v>
      </x:c>
      <x:c r="E1648" s="78" t="n">
        <x:f>C1648+D1648</x:f>
        <x:v>442431.21364234015</x:v>
      </x:c>
      <x:c r="F1648" s="78" t="n">
        <x:f>'Inputs'!$B$13*E1648+(1-'Inputs'!$B$13)/'Inputs'!$B$14*SUM(E1593:E1648)</x:f>
        <x:v>447284.6101519997</x:v>
      </x:c>
      <x:c r="G1648" s="78" t="n">
        <x:f>F1648*'Inputs'!$F$48</x:f>
        <x:v>223642.30507599984</x:v>
      </x:c>
      <x:c r="H1648" s="78" t="n">
        <x:f>U1647</x:f>
        <x:v>41088049.31708377</x:v>
      </x:c>
      <x:c r="I1648" s="78" t="n">
        <x:f>V1647</x:f>
        <x:v>275.60733910571406</x:v>
      </x:c>
      <x:c r="J1648" s="79" t="n">
        <x:f>IF(H1648&gt;0,I1648/H1648,0)</x:f>
        <x:v>0.0000067077250851896935</x:v>
      </x:c>
      <x:c r="K1648" s="80" t="n">
        <x:f>(H1648*J1648+I1648)*'Inputs'!$D$48*(1+'Inputs'!$G$48)^(B1648/30)</x:f>
        <x:v>165.36440346342843</x:v>
      </x:c>
      <x:c r="L1648" s="80" t="n">
        <x:f>MAX(0,K1648*'Inputs'!$E$48)</x:f>
        <x:v>0</x:v>
      </x:c>
      <x:c r="M1648" s="80" t="n">
        <x:f>MAX(0,-K1648*'Inputs'!$E$48)</x:f>
        <x:v>0</x:v>
      </x:c>
      <x:c r="N1648" s="78" t="n">
        <x:f>H1648*(L1648*(1-'Inputs'!$B$15))/(I1648+L1648*(1-'Inputs'!$B$15))</x:f>
        <x:v>0</x:v>
      </x:c>
      <x:c r="O1648" s="78" t="n">
        <x:f>H1648-N1648</x:f>
        <x:v>41088049.31708377</x:v>
      </x:c>
      <x:c r="P1648" s="78" t="n">
        <x:f>I1648+L1648*(1-'Inputs'!$B$17)</x:f>
        <x:v>275.60733910571406</x:v>
      </x:c>
      <x:c r="Q1648" s="78" t="n">
        <x:f>IF(J1648&gt;0,M1648/J1648,0)</x:f>
        <x:v>0</x:v>
      </x:c>
      <x:c r="R1648" s="78" t="n">
        <x:f>IF(B1648='Inputs'!$H$48,'Inputs'!$B$27*'Inputs'!$I$48,0)</x:f>
        <x:v>0</x:v>
      </x:c>
      <x:c r="S1648" s="78" t="n">
        <x:f>Q1648+G1648+R1648</x:f>
        <x:v>223642.30507599984</x:v>
      </x:c>
      <x:c r="T1648" s="78" t="n">
        <x:f>P1648*(S1648*(1-'Inputs'!$B$15))/(O1648+S1648*(1-'Inputs'!$B$15))</x:f>
        <x:v>1.4771699533003317</x:v>
      </x:c>
      <x:c r="U1648" s="78" t="n">
        <x:f>O1648+S1648*(1-'Inputs'!$B$17)</x:f>
        <x:v>41310791.65312526</x:v>
      </x:c>
      <x:c r="V1648" s="78" t="n">
        <x:f>P1648-T1648</x:f>
        <x:v>274.1301691524137</x:v>
      </x:c>
      <x:c r="W1648" s="79" t="n">
        <x:f>IF(U1648&gt;0,V1648/U1648,0)</x:f>
        <x:v>0.000006635800433315471</x:v>
      </x:c>
      <x:c r="X1648" s="80" t="n">
        <x:f>W1648*('Inputs'!$B$6-AC1648)</x:f>
        <x:v>6604.382765548897</x:v>
      </x:c>
      <x:c r="Y1648" s="80" t="n">
        <x:f>2*V1648</x:f>
        <x:v>548.2603383048274</x:v>
      </x:c>
      <x:c r="Z1648" s="80" t="n">
        <x:f>K1648*'Inputs'!$B$16+(G1648+R1648)*J1648*'Inputs'!$B$16</x:f>
        <x:v>1.0011872073797783</x:v>
      </x:c>
      <x:c r="AA1648" s="80" t="n">
        <x:f>K1648*(1+'Inputs'!$E$48)/2*'Inputs'!$B$17</x:f>
        <x:v>0.3327251578741015</x:v>
      </x:c>
      <x:c r="AB1648" s="78" t="n">
        <x:f>(IF(J1648&gt;0,K1648*(1-'Inputs'!$E$48)/2/J1648,0)+G1648+R1648)*'Inputs'!$B$17</x:f>
        <x:v>50503.24788813332</x:v>
      </x:c>
      <x:c r="AC1648" s="78" t="n">
        <x:f>AC1647+AB1648</x:f>
        <x:v>4734570.920614136</x:v>
      </x:c>
      <x:c r="AD1648" s="80" t="n">
        <x:f>Z1648/(1+'Inputs'!$C$48)</x:f>
        <x:v>0.8009497659038226</x:v>
      </x:c>
      <x:c r="AE1648" s="80" t="n">
        <x:f>Z1648-AD1648</x:f>
        <x:v>0.20023744147595568</x:v>
      </x:c>
      <x:c r="AF1648" s="80" t="n">
        <x:f>D1648*W1648</x:f>
        <x:v>1.854243308968506</x:v>
      </x:c>
      <x:c r="AG1648" s="80" t="n">
        <x:f>C1648*W1648</x:f>
        <x:v>1.0816419302316245</x:v>
      </x:c>
      <x:c r="AH1648" s="80" t="n">
        <x:f>2*'Inputs'!$B$8*'Inputs'!$C$48</x:f>
        <x:v>1250</x:v>
      </x:c>
      <x:c r="AI1648" s="81" t="n">
        <x:f>IF(AH1648&gt;0,(AE1648+AF1648)/AH1648*365,0)</x:f>
        <x:v>0.5999083791297828</x:v>
      </x:c>
      <x:c r="AJ1648" s="81" t="n">
        <x:f>IF('Inputs'!$B$48&gt;0,AG1648/('Inputs'!$B$19*'Inputs'!$B$48)*365,0)</x:f>
        <x:v>0.1579197218138172</x:v>
      </x:c>
      <x:c r="AK1648" s="81" t="n">
        <x:f>W1648/MAX($W$1464:W1648)-1</x:f>
        <x:v>-0.9921964107803719</x:v>
      </x:c>
      <x:c r="AL1648" s="83" t="n">
        <x:f>'Inputs'!$B$48</x:f>
        <x:v>0.25</x:v>
      </x:c>
      <x:c r="AM1648" s="83" t="n">
        <x:f>'Inputs'!$C$48</x:f>
        <x:v>0.25</x:v>
      </x:c>
      <x:c r="AN1648" s="83" t="n">
        <x:f>'Inputs'!$D$48</x:f>
        <x:v>0.3</x:v>
      </x:c>
      <x:c r="AO1648" s="81" t="n">
        <x:f>'Inputs'!$E$48</x:f>
        <x:v>0</x:v>
      </x:c>
    </x:row>
    <x:row r="1649">
      <x:c r="A1649" s="59" t="str">
        <x:v>Low participation</x:v>
      </x:c>
      <x:c r="B1649" s="59" t="n">
        <x:v>186</x:v>
      </x:c>
      <x:c r="C1649" s="78" t="n">
        <x:f>(('Inputs'!$B$29*(3*186*'Inputs'!$B$12-186^2)/(2*'Inputs'!$B$12^2))-('Inputs'!$B$29*(3*185*'Inputs'!$B$12-185^2)/(2*'Inputs'!$B$12^2)))*'Inputs'!$B$48</x:f>
        <x:v>162919.69647213072</x:v>
      </x:c>
      <x:c r="D1649" s="78" t="n">
        <x:f>IF('Inputs'!$C$48&gt;0,('Inputs'!$B$30*(3*186*'Inputs'!$B$12-186^2)/(2*'Inputs'!$B$12^2))-('Inputs'!$B$30*(3*185*'Inputs'!$B$12-185^2)/(2*'Inputs'!$B$12^2)),0)</x:f>
        <x:v>279290.90823794156</x:v>
      </x:c>
      <x:c r="E1649" s="78" t="n">
        <x:f>C1649+D1649</x:f>
        <x:v>442210.6047100723</x:v>
      </x:c>
      <x:c r="F1649" s="78" t="n">
        <x:f>'Inputs'!$B$13*E1649+(1-'Inputs'!$B$13)/'Inputs'!$B$14*SUM(E1594:E1649)</x:f>
        <x:v>447064.00121974014</x:v>
      </x:c>
      <x:c r="G1649" s="78" t="n">
        <x:f>F1649*'Inputs'!$F$48</x:f>
        <x:v>223532.00060987007</x:v>
      </x:c>
      <x:c r="H1649" s="78" t="n">
        <x:f>U1648</x:f>
        <x:v>41310791.65312526</x:v>
      </x:c>
      <x:c r="I1649" s="78" t="n">
        <x:f>V1648</x:f>
        <x:v>274.1301691524137</x:v>
      </x:c>
      <x:c r="J1649" s="79" t="n">
        <x:f>IF(H1649&gt;0,I1649/H1649,0)</x:f>
        <x:v>0.000006635800433315471</x:v>
      </x:c>
      <x:c r="K1649" s="80" t="n">
        <x:f>(H1649*J1649+I1649)*'Inputs'!$D$48*(1+'Inputs'!$G$48)^(B1649/30)</x:f>
        <x:v>164.47810149144823</x:v>
      </x:c>
      <x:c r="L1649" s="80" t="n">
        <x:f>MAX(0,K1649*'Inputs'!$E$48)</x:f>
        <x:v>0</x:v>
      </x:c>
      <x:c r="M1649" s="80" t="n">
        <x:f>MAX(0,-K1649*'Inputs'!$E$48)</x:f>
        <x:v>0</x:v>
      </x:c>
      <x:c r="N1649" s="78" t="n">
        <x:f>H1649*(L1649*(1-'Inputs'!$B$15))/(I1649+L1649*(1-'Inputs'!$B$15))</x:f>
        <x:v>0</x:v>
      </x:c>
      <x:c r="O1649" s="78" t="n">
        <x:f>H1649-N1649</x:f>
        <x:v>41310791.65312526</x:v>
      </x:c>
      <x:c r="P1649" s="78" t="n">
        <x:f>I1649+L1649*(1-'Inputs'!$B$17)</x:f>
        <x:v>274.1301691524137</x:v>
      </x:c>
      <x:c r="Q1649" s="78" t="n">
        <x:f>IF(J1649&gt;0,M1649/J1649,0)</x:f>
        <x:v>0</x:v>
      </x:c>
      <x:c r="R1649" s="78" t="n">
        <x:f>IF(B1649='Inputs'!$H$48,'Inputs'!$B$27*'Inputs'!$I$48,0)</x:f>
        <x:v>0</x:v>
      </x:c>
      <x:c r="S1649" s="78" t="n">
        <x:f>Q1649+G1649+R1649</x:f>
        <x:v>223532.00060987007</x:v>
      </x:c>
      <x:c r="T1649" s="78" t="n">
        <x:f>P1649*(S1649*(1-'Inputs'!$B$15))/(O1649+S1649*(1-'Inputs'!$B$15))</x:f>
        <x:v>1.4606560594621725</x:v>
      </x:c>
      <x:c r="U1649" s="78" t="n">
        <x:f>O1649+S1649*(1-'Inputs'!$B$17)</x:f>
        <x:v>41533424.12858177</x:v>
      </x:c>
      <x:c r="V1649" s="78" t="n">
        <x:f>P1649-T1649</x:f>
        <x:v>272.66951309295155</x:v>
      </x:c>
      <x:c r="W1649" s="79" t="n">
        <x:f>IF(U1649&gt;0,V1649/U1649,0)</x:f>
        <x:v>0.000006565062207459809</x:v>
      </x:c>
      <x:c r="X1649" s="80" t="n">
        <x:f>W1649*('Inputs'!$B$6-AC1649)</x:f>
        <x:v>6533.646135417402</x:v>
      </x:c>
      <x:c r="Y1649" s="80" t="n">
        <x:f>2*V1649</x:f>
        <x:v>545.3390261859031</x:v>
      </x:c>
      <x:c r="Z1649" s="80" t="n">
        <x:f>K1649*'Inputs'!$B$16+(G1649+R1649)*J1649*'Inputs'!$B$16</x:f>
        <x:v>0.9957684914277305</x:v>
      </x:c>
      <x:c r="AA1649" s="80" t="n">
        <x:f>K1649*(1+'Inputs'!$E$48)/2*'Inputs'!$B$17</x:f>
        <x:v>0.33094185410754173</x:v>
      </x:c>
      <x:c r="AB1649" s="78" t="n">
        <x:f>(IF(J1649&gt;0,K1649*(1-'Inputs'!$E$48)/2/J1649,0)+G1649+R1649)*'Inputs'!$B$17</x:f>
        <x:v>50771.70823560341</x:v>
      </x:c>
      <x:c r="AC1649" s="78" t="n">
        <x:f>AC1648+AB1649</x:f>
        <x:v>4785342.62884974</x:v>
      </x:c>
      <x:c r="AD1649" s="80" t="n">
        <x:f>Z1649/(1+'Inputs'!$C$48)</x:f>
        <x:v>0.7966147931421844</x:v>
      </x:c>
      <x:c r="AE1649" s="80" t="n">
        <x:f>Z1649-AD1649</x:f>
        <x:v>0.19915369828554608</x:v>
      </x:c>
      <x:c r="AF1649" s="80" t="n">
        <x:f>D1649*W1649</x:f>
        <x:v>1.8335621865600356</x:v>
      </x:c>
      <x:c r="AG1649" s="80" t="n">
        <x:f>C1649*W1649</x:f>
        <x:v>1.0695779421600085</x:v>
      </x:c>
      <x:c r="AH1649" s="80" t="n">
        <x:f>2*'Inputs'!$B$8*'Inputs'!$C$48</x:f>
        <x:v>1250</x:v>
      </x:c>
      <x:c r="AI1649" s="81" t="n">
        <x:f>IF(AH1649&gt;0,(AE1649+AF1649)/AH1649*365,0)</x:f>
        <x:v>0.5935530383749098</x:v>
      </x:c>
      <x:c r="AJ1649" s="81" t="n">
        <x:f>IF('Inputs'!$B$48&gt;0,AG1649/('Inputs'!$B$19*'Inputs'!$B$48)*365,0)</x:f>
        <x:v>0.15615837955536122</x:v>
      </x:c>
      <x:c r="AK1649" s="81" t="n">
        <x:f>W1649/MAX($W$1464:W1649)-1</x:f>
        <x:v>-0.9922795977390892</x:v>
      </x:c>
      <x:c r="AL1649" s="83" t="n">
        <x:f>'Inputs'!$B$48</x:f>
        <x:v>0.25</x:v>
      </x:c>
      <x:c r="AM1649" s="83" t="n">
        <x:f>'Inputs'!$C$48</x:f>
        <x:v>0.25</x:v>
      </x:c>
      <x:c r="AN1649" s="83" t="n">
        <x:f>'Inputs'!$D$48</x:f>
        <x:v>0.3</x:v>
      </x:c>
      <x:c r="AO1649" s="81" t="n">
        <x:f>'Inputs'!$E$48</x:f>
        <x:v>0</x:v>
      </x:c>
    </x:row>
    <x:row r="1650">
      <x:c r="A1650" s="59" t="str">
        <x:v>Low participation</x:v>
      </x:c>
      <x:c r="B1650" s="59" t="n">
        <x:v>187</x:v>
      </x:c>
      <x:c r="C1650" s="78" t="n">
        <x:f>(('Inputs'!$B$29*(3*187*'Inputs'!$B$12-187^2)/(2*'Inputs'!$B$12^2))-('Inputs'!$B$29*(3*186*'Inputs'!$B$12-186^2)/(2*'Inputs'!$B$12^2)))*'Inputs'!$B$48</x:f>
        <x:v>162838.41949709132</x:v>
      </x:c>
      <x:c r="D1650" s="78" t="n">
        <x:f>IF('Inputs'!$C$48&gt;0,('Inputs'!$B$30*(3*187*'Inputs'!$B$12-187^2)/(2*'Inputs'!$B$12^2))-('Inputs'!$B$30*(3*186*'Inputs'!$B$12-186^2)/(2*'Inputs'!$B$12^2)),0)</x:f>
        <x:v>279151.576280728</x:v>
      </x:c>
      <x:c r="E1650" s="78" t="n">
        <x:f>C1650+D1650</x:f>
        <x:v>441989.9957778193</x:v>
      </x:c>
      <x:c r="F1650" s="78" t="n">
        <x:f>'Inputs'!$B$13*E1650+(1-'Inputs'!$B$13)/'Inputs'!$B$14*SUM(E1595:E1650)</x:f>
        <x:v>446843.39228748356</x:v>
      </x:c>
      <x:c r="G1650" s="78" t="n">
        <x:f>F1650*'Inputs'!$F$48</x:f>
        <x:v>223421.69614374178</x:v>
      </x:c>
      <x:c r="H1650" s="78" t="n">
        <x:f>U1649</x:f>
        <x:v>41533424.12858177</x:v>
      </x:c>
      <x:c r="I1650" s="78" t="n">
        <x:f>V1649</x:f>
        <x:v>272.66951309295155</x:v>
      </x:c>
      <x:c r="J1650" s="79" t="n">
        <x:f>IF(H1650&gt;0,I1650/H1650,0)</x:f>
        <x:v>0.000006565062207459809</x:v>
      </x:c>
      <x:c r="K1650" s="80" t="n">
        <x:f>(H1650*J1650+I1650)*'Inputs'!$D$48*(1+'Inputs'!$G$48)^(B1650/30)</x:f>
        <x:v>163.6017078557709</x:v>
      </x:c>
      <x:c r="L1650" s="80" t="n">
        <x:f>MAX(0,K1650*'Inputs'!$E$48)</x:f>
        <x:v>0</x:v>
      </x:c>
      <x:c r="M1650" s="80" t="n">
        <x:f>MAX(0,-K1650*'Inputs'!$E$48)</x:f>
        <x:v>0</x:v>
      </x:c>
      <x:c r="N1650" s="78" t="n">
        <x:f>H1650*(L1650*(1-'Inputs'!$B$15))/(I1650+L1650*(1-'Inputs'!$B$15))</x:f>
        <x:v>0</x:v>
      </x:c>
      <x:c r="O1650" s="78" t="n">
        <x:f>H1650-N1650</x:f>
        <x:v>41533424.12858177</x:v>
      </x:c>
      <x:c r="P1650" s="78" t="n">
        <x:f>I1650+L1650*(1-'Inputs'!$B$17)</x:f>
        <x:v>272.66951309295155</x:v>
      </x:c>
      <x:c r="Q1650" s="78" t="n">
        <x:f>IF(J1650&gt;0,M1650/J1650,0)</x:f>
        <x:v>0</x:v>
      </x:c>
      <x:c r="R1650" s="78" t="n">
        <x:f>IF(B1650='Inputs'!$H$48,'Inputs'!$B$27*'Inputs'!$I$48,0)</x:f>
        <x:v>0</x:v>
      </x:c>
      <x:c r="S1650" s="78" t="n">
        <x:f>Q1650+G1650+R1650</x:f>
        <x:v>223421.69614374178</x:v>
      </x:c>
      <x:c r="T1650" s="78" t="n">
        <x:f>P1650*(S1650*(1-'Inputs'!$B$15))/(O1650+S1650*(1-'Inputs'!$B$15))</x:f>
        <x:v>1.444417273412782</x:v>
      </x:c>
      <x:c r="U1650" s="78" t="n">
        <x:f>O1650+S1650*(1-'Inputs'!$B$17)</x:f>
        <x:v>41755946.7434533</x:v>
      </x:c>
      <x:c r="V1650" s="78" t="n">
        <x:f>P1650-T1650</x:f>
        <x:v>271.22509581953875</x:v>
      </x:c>
      <x:c r="W1650" s="79" t="n">
        <x:f>IF(U1650&gt;0,V1650/U1650,0)</x:f>
        <x:v>0.000006495484283614351</x:v>
      </x:c>
      <x:c r="X1650" s="80" t="n">
        <x:f>W1650*('Inputs'!$B$6-AC1650)</x:f>
        <x:v>6464.06963602557</x:v>
      </x:c>
      <x:c r="Y1650" s="80" t="n">
        <x:f>2*V1650</x:f>
        <x:v>542.4501916390775</x:v>
      </x:c>
      <x:c r="Z1650" s="80" t="n">
        <x:f>K1650*'Inputs'!$B$16+(G1650+R1650)*J1650*'Inputs'!$B$16</x:f>
        <x:v>0.9904109111367047</x:v>
      </x:c>
      <x:c r="AA1650" s="80" t="n">
        <x:f>K1650*(1+'Inputs'!$E$48)/2*'Inputs'!$B$17</x:f>
        <x:v>0.3291784866313298</x:v>
      </x:c>
      <x:c r="AB1650" s="78" t="n">
        <x:f>(IF(J1650&gt;0,K1650*(1-'Inputs'!$E$48)/2/J1650,0)+G1650+R1650)*'Inputs'!$B$17</x:f>
        <x:v>51040.0359546007</x:v>
      </x:c>
      <x:c r="AC1650" s="78" t="n">
        <x:f>AC1649+AB1650</x:f>
        <x:v>4836382.664804341</x:v>
      </x:c>
      <x:c r="AD1650" s="80" t="n">
        <x:f>Z1650/(1+'Inputs'!$C$48)</x:f>
        <x:v>0.7923287289093637</x:v>
      </x:c>
      <x:c r="AE1650" s="80" t="n">
        <x:f>Z1650-AD1650</x:f>
        <x:v>0.19808218222734097</x:v>
      </x:c>
      <x:c r="AF1650" s="80" t="n">
        <x:f>D1650*W1650</x:f>
        <x:v>1.8132246764776412</x:v>
      </x:c>
      <x:c r="AG1650" s="80" t="n">
        <x:f>C1650*W1650</x:f>
        <x:v>1.0577143946119574</x:v>
      </x:c>
      <x:c r="AH1650" s="80" t="n">
        <x:f>2*'Inputs'!$B$8*'Inputs'!$C$48</x:f>
        <x:v>1250</x:v>
      </x:c>
      <x:c r="AI1650" s="81" t="n">
        <x:f>IF(AH1650&gt;0,(AE1650+AF1650)/AH1650*365,0)</x:f>
        <x:v>0.5873016027418547</x:v>
      </x:c>
      <x:c r="AJ1650" s="81" t="n">
        <x:f>IF('Inputs'!$B$48&gt;0,AG1650/('Inputs'!$B$19*'Inputs'!$B$48)*365,0)</x:f>
        <x:v>0.15442630161334578</x:v>
      </x:c>
      <x:c r="AK1650" s="81" t="n">
        <x:f>W1650/MAX($W$1464:W1650)-1</x:f>
        <x:v>-0.992361420202242</x:v>
      </x:c>
      <x:c r="AL1650" s="83" t="n">
        <x:f>'Inputs'!$B$48</x:f>
        <x:v>0.25</x:v>
      </x:c>
      <x:c r="AM1650" s="83" t="n">
        <x:f>'Inputs'!$C$48</x:f>
        <x:v>0.25</x:v>
      </x:c>
      <x:c r="AN1650" s="83" t="n">
        <x:f>'Inputs'!$D$48</x:f>
        <x:v>0.3</x:v>
      </x:c>
      <x:c r="AO1650" s="81" t="n">
        <x:f>'Inputs'!$E$48</x:f>
        <x:v>0</x:v>
      </x:c>
    </x:row>
    <x:row r="1651">
      <x:c r="A1651" s="59" t="str">
        <x:v>Low participation</x:v>
      </x:c>
      <x:c r="B1651" s="59" t="n">
        <x:v>188</x:v>
      </x:c>
      <x:c r="C1651" s="78" t="n">
        <x:f>(('Inputs'!$B$29*(3*188*'Inputs'!$B$12-188^2)/(2*'Inputs'!$B$12^2))-('Inputs'!$B$29*(3*187*'Inputs'!$B$12-187^2)/(2*'Inputs'!$B$12^2)))*'Inputs'!$B$48</x:f>
        <x:v>162757.14252205193</x:v>
      </x:c>
      <x:c r="D1651" s="78" t="n">
        <x:f>IF('Inputs'!$C$48&gt;0,('Inputs'!$B$30*(3*188*'Inputs'!$B$12-188^2)/(2*'Inputs'!$B$12^2))-('Inputs'!$B$30*(3*187*'Inputs'!$B$12-187^2)/(2*'Inputs'!$B$12^2)),0)</x:f>
        <x:v>279012.2443235144</x:v>
      </x:c>
      <x:c r="E1651" s="78" t="n">
        <x:f>C1651+D1651</x:f>
        <x:v>441769.38684556633</x:v>
      </x:c>
      <x:c r="F1651" s="78" t="n">
        <x:f>'Inputs'!$B$13*E1651+(1-'Inputs'!$B$13)/'Inputs'!$B$14*SUM(E1596:E1651)</x:f>
        <x:v>446622.78335522703</x:v>
      </x:c>
      <x:c r="G1651" s="78" t="n">
        <x:f>F1651*'Inputs'!$F$48</x:f>
        <x:v>223311.39167761352</x:v>
      </x:c>
      <x:c r="H1651" s="78" t="n">
        <x:f>U1650</x:f>
        <x:v>41755946.7434533</x:v>
      </x:c>
      <x:c r="I1651" s="78" t="n">
        <x:f>V1650</x:f>
        <x:v>271.22509581953875</x:v>
      </x:c>
      <x:c r="J1651" s="79" t="n">
        <x:f>IF(H1651&gt;0,I1651/H1651,0)</x:f>
        <x:v>0.000006495484283614351</x:v>
      </x:c>
      <x:c r="K1651" s="80" t="n">
        <x:f>(H1651*J1651+I1651)*'Inputs'!$D$48*(1+'Inputs'!$G$48)^(B1651/30)</x:f>
        <x:v>162.73505749172324</x:v>
      </x:c>
      <x:c r="L1651" s="80" t="n">
        <x:f>MAX(0,K1651*'Inputs'!$E$48)</x:f>
        <x:v>0</x:v>
      </x:c>
      <x:c r="M1651" s="80" t="n">
        <x:f>MAX(0,-K1651*'Inputs'!$E$48)</x:f>
        <x:v>0</x:v>
      </x:c>
      <x:c r="N1651" s="78" t="n">
        <x:f>H1651*(L1651*(1-'Inputs'!$B$15))/(I1651+L1651*(1-'Inputs'!$B$15))</x:f>
        <x:v>0</x:v>
      </x:c>
      <x:c r="O1651" s="78" t="n">
        <x:f>H1651-N1651</x:f>
        <x:v>41755946.7434533</x:v>
      </x:c>
      <x:c r="P1651" s="78" t="n">
        <x:f>I1651+L1651*(1-'Inputs'!$B$17)</x:f>
        <x:v>271.22509581953875</x:v>
      </x:c>
      <x:c r="Q1651" s="78" t="n">
        <x:f>IF(J1651&gt;0,M1651/J1651,0)</x:f>
        <x:v>0</x:v>
      </x:c>
      <x:c r="R1651" s="78" t="n">
        <x:f>IF(B1651='Inputs'!$H$48,'Inputs'!$B$27*'Inputs'!$I$48,0)</x:f>
        <x:v>0</x:v>
      </x:c>
      <x:c r="S1651" s="78" t="n">
        <x:f>Q1651+G1651+R1651</x:f>
        <x:v>223311.39167761352</x:v>
      </x:c>
      <x:c r="T1651" s="78" t="n">
        <x:f>P1651*(S1651*(1-'Inputs'!$B$15))/(O1651+S1651*(1-'Inputs'!$B$15))</x:f>
        <x:v>1.4284475147773914</x:v>
      </x:c>
      <x:c r="U1651" s="78" t="n">
        <x:f>O1651+S1651*(1-'Inputs'!$B$17)</x:f>
        <x:v>41978359.49773986</x:v>
      </x:c>
      <x:c r="V1651" s="78" t="n">
        <x:f>P1651-T1651</x:f>
        <x:v>269.79664830476133</x:v>
      </x:c>
      <x:c r="W1651" s="79" t="n">
        <x:f>IF(U1651&gt;0,V1651/U1651,0)</x:f>
        <x:v>0.000006427041254894378</x:v>
      </x:c>
      <x:c r="X1651" s="80" t="n">
        <x:f>W1651*('Inputs'!$B$6-AC1651)</x:f>
        <x:v>6395.627863865582</x:v>
      </x:c>
      <x:c r="Y1651" s="80" t="n">
        <x:f>2*V1651</x:f>
        <x:v>539.5932966095227</x:v>
      </x:c>
      <x:c r="Z1651" s="80" t="n">
        <x:f>K1651*'Inputs'!$B$16+(G1651+R1651)*J1651*'Inputs'!$B$16</x:f>
        <x:v>0.9851134387603033</x:v>
      </x:c>
      <x:c r="AA1651" s="80" t="n">
        <x:f>K1651*(1+'Inputs'!$E$48)/2*'Inputs'!$B$17</x:f>
        <x:v>0.3274347233233868</x:v>
      </x:c>
      <x:c r="AB1651" s="78" t="n">
        <x:f>(IF(J1651&gt;0,K1651*(1-'Inputs'!$E$48)/2/J1651,0)+G1651+R1651)*'Inputs'!$B$17</x:f>
        <x:v>51308.23104512517</x:v>
      </x:c>
      <x:c r="AC1651" s="78" t="n">
        <x:f>AC1650+AB1651</x:f>
        <x:v>4887690.895849466</x:v>
      </x:c>
      <x:c r="AD1651" s="80" t="n">
        <x:f>Z1651/(1+'Inputs'!$C$48)</x:f>
        <x:v>0.7880907510082427</x:v>
      </x:c>
      <x:c r="AE1651" s="80" t="n">
        <x:f>Z1651-AD1651</x:f>
        <x:v>0.19702268775206067</x:v>
      </x:c>
      <x:c r="AF1651" s="80" t="n">
        <x:f>D1651*W1651</x:f>
        <x:v>1.7932232048878969</x:v>
      </x:c>
      <x:c r="AG1651" s="80" t="n">
        <x:f>C1651*W1651</x:f>
        <x:v>1.046046869517952</x:v>
      </x:c>
      <x:c r="AH1651" s="80" t="n">
        <x:f>2*'Inputs'!$B$8*'Inputs'!$C$48</x:f>
        <x:v>1250</x:v>
      </x:c>
      <x:c r="AI1651" s="81" t="n">
        <x:f>IF(AH1651&gt;0,(AE1651+AF1651)/AH1651*365,0)</x:f>
        <x:v>0.5811518006508676</x:v>
      </x:c>
      <x:c r="AJ1651" s="81" t="n">
        <x:f>IF('Inputs'!$B$48&gt;0,AG1651/('Inputs'!$B$19*'Inputs'!$B$48)*365,0)</x:f>
        <x:v>0.15272284294962096</x:v>
      </x:c>
      <x:c r="AK1651" s="81" t="n">
        <x:f>W1651/MAX($W$1464:W1651)-1</x:f>
        <x:v>-0.9924419080478977</x:v>
      </x:c>
      <x:c r="AL1651" s="83" t="n">
        <x:f>'Inputs'!$B$48</x:f>
        <x:v>0.25</x:v>
      </x:c>
      <x:c r="AM1651" s="83" t="n">
        <x:f>'Inputs'!$C$48</x:f>
        <x:v>0.25</x:v>
      </x:c>
      <x:c r="AN1651" s="83" t="n">
        <x:f>'Inputs'!$D$48</x:f>
        <x:v>0.3</x:v>
      </x:c>
      <x:c r="AO1651" s="81" t="n">
        <x:f>'Inputs'!$E$48</x:f>
        <x:v>0</x:v>
      </x:c>
    </x:row>
    <x:row r="1652">
      <x:c r="A1652" s="59" t="str">
        <x:v>Low participation</x:v>
      </x:c>
      <x:c r="B1652" s="59" t="n">
        <x:v>189</x:v>
      </x:c>
      <x:c r="C1652" s="78" t="n">
        <x:f>(('Inputs'!$B$29*(3*189*'Inputs'!$B$12-189^2)/(2*'Inputs'!$B$12^2))-('Inputs'!$B$29*(3*188*'Inputs'!$B$12-188^2)/(2*'Inputs'!$B$12^2)))*'Inputs'!$B$48</x:f>
        <x:v>162675.8655470051</x:v>
      </x:c>
      <x:c r="D1652" s="78" t="n">
        <x:f>IF('Inputs'!$C$48&gt;0,('Inputs'!$B$30*(3*189*'Inputs'!$B$12-189^2)/(2*'Inputs'!$B$12^2))-('Inputs'!$B$30*(3*188*'Inputs'!$B$12-188^2)/(2*'Inputs'!$B$12^2)),0)</x:f>
        <x:v>278872.91236629337</x:v>
      </x:c>
      <x:c r="E1652" s="78" t="n">
        <x:f>C1652+D1652</x:f>
        <x:v>441548.77791329846</x:v>
      </x:c>
      <x:c r="F1652" s="78" t="n">
        <x:f>'Inputs'!$B$13*E1652+(1-'Inputs'!$B$13)/'Inputs'!$B$14*SUM(E1597:E1652)</x:f>
        <x:v>446402.1744229674</x:v>
      </x:c>
      <x:c r="G1652" s="78" t="n">
        <x:f>F1652*'Inputs'!$F$48</x:f>
        <x:v>223201.0872114837</x:v>
      </x:c>
      <x:c r="H1652" s="78" t="n">
        <x:f>U1651</x:f>
        <x:v>41978359.49773986</x:v>
      </x:c>
      <x:c r="I1652" s="78" t="n">
        <x:f>V1651</x:f>
        <x:v>269.79664830476133</x:v>
      </x:c>
      <x:c r="J1652" s="79" t="n">
        <x:f>IF(H1652&gt;0,I1652/H1652,0)</x:f>
        <x:v>0.000006427041254894378</x:v>
      </x:c>
      <x:c r="K1652" s="80" t="n">
        <x:f>(H1652*J1652+I1652)*'Inputs'!$D$48*(1+'Inputs'!$G$48)^(B1652/30)</x:f>
        <x:v>161.8779889828568</x:v>
      </x:c>
      <x:c r="L1652" s="80" t="n">
        <x:f>MAX(0,K1652*'Inputs'!$E$48)</x:f>
        <x:v>0</x:v>
      </x:c>
      <x:c r="M1652" s="80" t="n">
        <x:f>MAX(0,-K1652*'Inputs'!$E$48)</x:f>
        <x:v>0</x:v>
      </x:c>
      <x:c r="N1652" s="78" t="n">
        <x:f>H1652*(L1652*(1-'Inputs'!$B$15))/(I1652+L1652*(1-'Inputs'!$B$15))</x:f>
        <x:v>0</x:v>
      </x:c>
      <x:c r="O1652" s="78" t="n">
        <x:f>H1652-N1652</x:f>
        <x:v>41978359.49773986</x:v>
      </x:c>
      <x:c r="P1652" s="78" t="n">
        <x:f>I1652+L1652*(1-'Inputs'!$B$17)</x:f>
        <x:v>269.79664830476133</x:v>
      </x:c>
      <x:c r="Q1652" s="78" t="n">
        <x:f>IF(J1652&gt;0,M1652/J1652,0)</x:f>
        <x:v>0</x:v>
      </x:c>
      <x:c r="R1652" s="78" t="n">
        <x:f>IF(B1652='Inputs'!$H$48,'Inputs'!$B$27*'Inputs'!$I$48,0)</x:f>
        <x:v>0</x:v>
      </x:c>
      <x:c r="S1652" s="78" t="n">
        <x:f>Q1652+G1652+R1652</x:f>
        <x:v>223201.0872114837</x:v>
      </x:c>
      <x:c r="T1652" s="78" t="n">
        <x:f>P1652*(S1652*(1-'Inputs'!$B$15))/(O1652+S1652*(1-'Inputs'!$B$15))</x:f>
        <x:v>1.4127408702891069</x:v>
      </x:c>
      <x:c r="U1652" s="78" t="n">
        <x:f>O1652+S1652*(1-'Inputs'!$B$17)</x:f>
        <x:v>42200662.391441435</x:v>
      </x:c>
      <x:c r="V1652" s="78" t="n">
        <x:f>P1652-T1652</x:f>
        <x:v>268.38390743447223</x:v>
      </x:c>
      <x:c r="W1652" s="79" t="n">
        <x:f>IF(U1652&gt;0,V1652/U1652,0)</x:f>
        <x:v>0.000006359708408010729</x:v>
      </x:c>
      <x:c r="X1652" s="80" t="n">
        <x:f>W1652*('Inputs'!$B$6-AC1652)</x:f>
        <x:v>6328.296108937166</x:v>
      </x:c>
      <x:c r="Y1652" s="80" t="n">
        <x:f>2*V1652</x:f>
        <x:v>536.7678148689445</x:v>
      </x:c>
      <x:c r="Z1652" s="80" t="n">
        <x:f>K1652*'Inputs'!$B$16+(G1652+R1652)*J1652*'Inputs'!$B$16</x:f>
        <x:v>0.9798750694710138</x:v>
      </x:c>
      <x:c r="AA1652" s="80" t="n">
        <x:f>K1652*(1+'Inputs'!$E$48)/2*'Inputs'!$B$17</x:f>
        <x:v>0.3257102394021264</x:v>
      </x:c>
      <x:c r="AB1652" s="78" t="n">
        <x:f>(IF(J1652&gt;0,K1652*(1-'Inputs'!$E$48)/2/J1652,0)+G1652+R1652)*'Inputs'!$B$17</x:f>
        <x:v>51576.29350717683</x:v>
      </x:c>
      <x:c r="AC1652" s="78" t="n">
        <x:f>AC1651+AB1652</x:f>
        <x:v>4939267.189356643</x:v>
      </x:c>
      <x:c r="AD1652" s="80" t="n">
        <x:f>Z1652/(1+'Inputs'!$C$48)</x:f>
        <x:v>0.783900055576811</x:v>
      </x:c>
      <x:c r="AE1652" s="80" t="n">
        <x:f>Z1652-AD1652</x:f>
        <x:v>0.1959750138942028</x:v>
      </x:c>
      <x:c r="AF1652" s="80" t="n">
        <x:f>D1652*W1652</x:f>
        <x:v>1.773550405542355</x:v>
      </x:c>
      <x:c r="AG1652" s="80" t="n">
        <x:f>C1652*W1652</x:f>
        <x:v>1.034571069899711</x:v>
      </x:c>
      <x:c r="AH1652" s="80" t="n">
        <x:f>2*'Inputs'!$B$8*'Inputs'!$C$48</x:f>
        <x:v>1250</x:v>
      </x:c>
      <x:c r="AI1652" s="81" t="n">
        <x:f>IF(AH1652&gt;0,(AE1652+AF1652)/AH1652*365,0)</x:f>
        <x:v>0.5751014224754749</x:v>
      </x:c>
      <x:c r="AJ1652" s="81" t="n">
        <x:f>IF('Inputs'!$B$48&gt;0,AG1652/('Inputs'!$B$19*'Inputs'!$B$48)*365,0)</x:f>
        <x:v>0.15104737620535783</x:v>
      </x:c>
      <x:c r="AK1652" s="81" t="n">
        <x:f>W1652/MAX($W$1464:W1652)-1</x:f>
        <x:v>-0.9925210903384666</x:v>
      </x:c>
      <x:c r="AL1652" s="83" t="n">
        <x:f>'Inputs'!$B$48</x:f>
        <x:v>0.25</x:v>
      </x:c>
      <x:c r="AM1652" s="83" t="n">
        <x:f>'Inputs'!$C$48</x:f>
        <x:v>0.25</x:v>
      </x:c>
      <x:c r="AN1652" s="83" t="n">
        <x:f>'Inputs'!$D$48</x:f>
        <x:v>0.3</x:v>
      </x:c>
      <x:c r="AO1652" s="81" t="n">
        <x:f>'Inputs'!$E$48</x:f>
        <x:v>0</x:v>
      </x:c>
    </x:row>
    <x:row r="1653">
      <x:c r="A1653" s="59" t="str">
        <x:v>Low participation</x:v>
      </x:c>
      <x:c r="B1653" s="59" t="n">
        <x:v>190</x:v>
      </x:c>
      <x:c r="C1653" s="78" t="n">
        <x:f>(('Inputs'!$B$29*(3*190*'Inputs'!$B$12-190^2)/(2*'Inputs'!$B$12^2))-('Inputs'!$B$29*(3*189*'Inputs'!$B$12-189^2)/(2*'Inputs'!$B$12^2)))*'Inputs'!$B$48</x:f>
        <x:v>162594.5885719657</x:v>
      </x:c>
      <x:c r="D1653" s="78" t="n">
        <x:f>IF('Inputs'!$C$48&gt;0,('Inputs'!$B$30*(3*190*'Inputs'!$B$12-190^2)/(2*'Inputs'!$B$12^2))-('Inputs'!$B$30*(3*189*'Inputs'!$B$12-189^2)/(2*'Inputs'!$B$12^2)),0)</x:f>
        <x:v>278733.58040908724</x:v>
      </x:c>
      <x:c r="E1653" s="78" t="n">
        <x:f>C1653+D1653</x:f>
        <x:v>441328.16898105294</x:v>
      </x:c>
      <x:c r="F1653" s="78" t="n">
        <x:f>'Inputs'!$B$13*E1653+(1-'Inputs'!$B$13)/'Inputs'!$B$14*SUM(E1598:E1653)</x:f>
        <x:v>446181.5654907124</x:v>
      </x:c>
      <x:c r="G1653" s="78" t="n">
        <x:f>F1653*'Inputs'!$F$48</x:f>
        <x:v>223090.7827453562</x:v>
      </x:c>
      <x:c r="H1653" s="78" t="n">
        <x:f>U1652</x:f>
        <x:v>42200662.391441435</x:v>
      </x:c>
      <x:c r="I1653" s="78" t="n">
        <x:f>V1652</x:f>
        <x:v>268.38390743447223</x:v>
      </x:c>
      <x:c r="J1653" s="79" t="n">
        <x:f>IF(H1653&gt;0,I1653/H1653,0)</x:f>
        <x:v>0.000006359708408010729</x:v>
      </x:c>
      <x:c r="K1653" s="80" t="n">
        <x:f>(H1653*J1653+I1653)*'Inputs'!$D$48*(1+'Inputs'!$G$48)^(B1653/30)</x:f>
        <x:v>161.03034446068332</x:v>
      </x:c>
      <x:c r="L1653" s="80" t="n">
        <x:f>MAX(0,K1653*'Inputs'!$E$48)</x:f>
        <x:v>0</x:v>
      </x:c>
      <x:c r="M1653" s="80" t="n">
        <x:f>MAX(0,-K1653*'Inputs'!$E$48)</x:f>
        <x:v>0</x:v>
      </x:c>
      <x:c r="N1653" s="78" t="n">
        <x:f>H1653*(L1653*(1-'Inputs'!$B$15))/(I1653+L1653*(1-'Inputs'!$B$15))</x:f>
        <x:v>0</x:v>
      </x:c>
      <x:c r="O1653" s="78" t="n">
        <x:f>H1653-N1653</x:f>
        <x:v>42200662.391441435</x:v>
      </x:c>
      <x:c r="P1653" s="78" t="n">
        <x:f>I1653+L1653*(1-'Inputs'!$B$17)</x:f>
        <x:v>268.38390743447223</x:v>
      </x:c>
      <x:c r="Q1653" s="78" t="n">
        <x:f>IF(J1653&gt;0,M1653/J1653,0)</x:f>
        <x:v>0</x:v>
      </x:c>
      <x:c r="R1653" s="78" t="n">
        <x:f>IF(B1653='Inputs'!$H$48,'Inputs'!$B$27*'Inputs'!$I$48,0)</x:f>
        <x:v>0</x:v>
      </x:c>
      <x:c r="S1653" s="78" t="n">
        <x:f>Q1653+G1653+R1653</x:f>
        <x:v>223090.7827453562</x:v>
      </x:c>
      <x:c r="T1653" s="78" t="n">
        <x:f>P1653*(S1653*(1-'Inputs'!$B$15))/(O1653+S1653*(1-'Inputs'!$B$15))</x:f>
        <x:v>1.3972915883068466</x:v>
      </x:c>
      <x:c r="U1653" s="78" t="n">
        <x:f>O1653+S1653*(1-'Inputs'!$B$17)</x:f>
        <x:v>42422855.424558036</x:v>
      </x:c>
      <x:c r="V1653" s="78" t="n">
        <x:f>P1653-T1653</x:f>
        <x:v>266.98661584616536</x:v>
      </x:c>
      <x:c r="W1653" s="79" t="n">
        <x:f>IF(U1653&gt;0,V1653/U1653,0)</x:f>
        <x:v>0.00000629346170063815</x:v>
      </x:c>
      <x:c r="X1653" s="80" t="n">
        <x:f>W1653*('Inputs'!$B$6-AC1653)</x:f>
        <x:v>6262.050332118721</x:v>
      </x:c>
      <x:c r="Y1653" s="80" t="n">
        <x:f>2*V1653</x:f>
        <x:v>533.9732316923307</x:v>
      </x:c>
      <x:c r="Z1653" s="80" t="n">
        <x:f>K1653*'Inputs'!$B$16+(G1653+R1653)*J1653*'Inputs'!$B$16</x:f>
        <x:v>0.974694820724752</x:v>
      </x:c>
      <x:c r="AA1653" s="80" t="n">
        <x:f>K1653*(1+'Inputs'!$E$48)/2*'Inputs'!$B$17</x:f>
        <x:v>0.32400471722471497</x:v>
      </x:c>
      <x:c r="AB1653" s="78" t="n">
        <x:f>(IF(J1653&gt;0,K1653*(1-'Inputs'!$E$48)/2/J1653,0)+G1653+R1653)*'Inputs'!$B$17</x:f>
        <x:v>51844.22334075567</x:v>
      </x:c>
      <x:c r="AC1653" s="78" t="n">
        <x:f>AC1652+AB1653</x:f>
        <x:v>4991111.412697398</x:v>
      </x:c>
      <x:c r="AD1653" s="80" t="n">
        <x:f>Z1653/(1+'Inputs'!$C$48)</x:f>
        <x:v>0.7797558565798016</x:v>
      </x:c>
      <x:c r="AE1653" s="80" t="n">
        <x:f>Z1653-AD1653</x:f>
        <x:v>0.19493896414495038</x:v>
      </x:c>
      <x:c r="AF1653" s="80" t="n">
        <x:f>D1653*W1653</x:f>
        <x:v>1.7541991129863348</x:v>
      </x:c>
      <x:c r="AG1653" s="80" t="n">
        <x:f>C1653*W1653</x:f>
        <x:v>1.0232828159086835</x:v>
      </x:c>
      <x:c r="AH1653" s="80" t="n">
        <x:f>2*'Inputs'!$B$8*'Inputs'!$C$48</x:f>
        <x:v>1250</x:v>
      </x:c>
      <x:c r="AI1653" s="81" t="n">
        <x:f>IF(AH1653&gt;0,(AE1653+AF1653)/AH1653*365,0)</x:f>
        <x:v>0.5691483185223353</x:v>
      </x:c>
      <x:c r="AJ1653" s="81" t="n">
        <x:f>IF('Inputs'!$B$48&gt;0,AG1653/('Inputs'!$B$19*'Inputs'!$B$48)*365,0)</x:f>
        <x:v>0.14939929112266778</x:v>
      </x:c>
      <x:c r="AK1653" s="81" t="n">
        <x:f>W1653/MAX($W$1464:W1653)-1</x:f>
        <x:v>-0.9925989953473172</x:v>
      </x:c>
      <x:c r="AL1653" s="83" t="n">
        <x:f>'Inputs'!$B$48</x:f>
        <x:v>0.25</x:v>
      </x:c>
      <x:c r="AM1653" s="83" t="n">
        <x:f>'Inputs'!$C$48</x:f>
        <x:v>0.25</x:v>
      </x:c>
      <x:c r="AN1653" s="83" t="n">
        <x:f>'Inputs'!$D$48</x:f>
        <x:v>0.3</x:v>
      </x:c>
      <x:c r="AO1653" s="81" t="n">
        <x:f>'Inputs'!$E$48</x:f>
        <x:v>0</x:v>
      </x:c>
    </x:row>
    <x:row r="1654">
      <x:c r="A1654" s="59" t="str">
        <x:v>Low participation</x:v>
      </x:c>
      <x:c r="B1654" s="59" t="n">
        <x:v>191</x:v>
      </x:c>
      <x:c r="C1654" s="78" t="n">
        <x:f>(('Inputs'!$B$29*(3*191*'Inputs'!$B$12-191^2)/(2*'Inputs'!$B$12^2))-('Inputs'!$B$29*(3*190*'Inputs'!$B$12-190^2)/(2*'Inputs'!$B$12^2)))*'Inputs'!$B$48</x:f>
        <x:v>162513.31159692258</x:v>
      </x:c>
      <x:c r="D1654" s="78" t="n">
        <x:f>IF('Inputs'!$C$48&gt;0,('Inputs'!$B$30*(3*191*'Inputs'!$B$12-191^2)/(2*'Inputs'!$B$12^2))-('Inputs'!$B$30*(3*190*'Inputs'!$B$12-190^2)/(2*'Inputs'!$B$12^2)),0)</x:f>
        <x:v>278594.2484518662</x:v>
      </x:c>
      <x:c r="E1654" s="78" t="n">
        <x:f>C1654+D1654</x:f>
        <x:v>441107.5600487888</x:v>
      </x:c>
      <x:c r="F1654" s="78" t="n">
        <x:f>'Inputs'!$B$13*E1654+(1-'Inputs'!$B$13)/'Inputs'!$B$14*SUM(E1599:E1654)</x:f>
        <x:v>445960.9565584536</x:v>
      </x:c>
      <x:c r="G1654" s="78" t="n">
        <x:f>F1654*'Inputs'!$F$48</x:f>
        <x:v>222980.4782792268</x:v>
      </x:c>
      <x:c r="H1654" s="78" t="n">
        <x:f>U1653</x:f>
        <x:v>42422855.424558036</x:v>
      </x:c>
      <x:c r="I1654" s="78" t="n">
        <x:f>V1653</x:f>
        <x:v>266.98661584616536</x:v>
      </x:c>
      <x:c r="J1654" s="79" t="n">
        <x:f>IF(H1654&gt;0,I1654/H1654,0)</x:f>
        <x:v>0.00000629346170063815</x:v>
      </x:c>
      <x:c r="K1654" s="80" t="n">
        <x:f>(H1654*J1654+I1654)*'Inputs'!$D$48*(1+'Inputs'!$G$48)^(B1654/30)</x:f>
        <x:v>160.1919695076992</x:v>
      </x:c>
      <x:c r="L1654" s="80" t="n">
        <x:f>MAX(0,K1654*'Inputs'!$E$48)</x:f>
        <x:v>0</x:v>
      </x:c>
      <x:c r="M1654" s="80" t="n">
        <x:f>MAX(0,-K1654*'Inputs'!$E$48)</x:f>
        <x:v>0</x:v>
      </x:c>
      <x:c r="N1654" s="78" t="n">
        <x:f>H1654*(L1654*(1-'Inputs'!$B$15))/(I1654+L1654*(1-'Inputs'!$B$15))</x:f>
        <x:v>0</x:v>
      </x:c>
      <x:c r="O1654" s="78" t="n">
        <x:f>H1654-N1654</x:f>
        <x:v>42422855.424558036</x:v>
      </x:c>
      <x:c r="P1654" s="78" t="n">
        <x:f>I1654+L1654*(1-'Inputs'!$B$17)</x:f>
        <x:v>266.98661584616536</x:v>
      </x:c>
      <x:c r="Q1654" s="78" t="n">
        <x:f>IF(J1654&gt;0,M1654/J1654,0)</x:f>
        <x:v>0</x:v>
      </x:c>
      <x:c r="R1654" s="78" t="n">
        <x:f>IF(B1654='Inputs'!$H$48,'Inputs'!$B$27*'Inputs'!$I$48,0)</x:f>
        <x:v>0</x:v>
      </x:c>
      <x:c r="S1654" s="78" t="n">
        <x:f>Q1654+G1654+R1654</x:f>
        <x:v>222980.4782792268</x:v>
      </x:c>
      <x:c r="T1654" s="78" t="n">
        <x:f>P1654*(S1654*(1-'Inputs'!$B$15))/(O1654+S1654*(1-'Inputs'!$B$15))</x:f>
        <x:v>1.3820940735418659</x:v>
      </x:c>
      <x:c r="U1654" s="78" t="n">
        <x:f>O1654+S1654*(1-'Inputs'!$B$17)</x:f>
        <x:v>42644938.59708966</x:v>
      </x:c>
      <x:c r="V1654" s="78" t="n">
        <x:f>P1654-T1654</x:f>
        <x:v>265.6045217726235</x:v>
      </x:c>
      <x:c r="W1654" s="79" t="n">
        <x:f>IF(U1654&gt;0,V1654/U1654,0)</x:f>
        <x:v>0.000006228277739641297</x:v>
      </x:c>
      <x:c r="X1654" s="80" t="n">
        <x:f>W1654*('Inputs'!$B$6-AC1654)</x:f>
        <x:v>6196.867143395991</x:v>
      </x:c>
      <x:c r="Y1654" s="80" t="n">
        <x:f>2*V1654</x:f>
        <x:v>531.209043545247</x:v>
      </x:c>
      <x:c r="Z1654" s="80" t="n">
        <x:f>K1654*'Inputs'!$B$16+(G1654+R1654)*J1654*'Inputs'!$B$16</x:f>
        <x:v>0.9695717316464371</x:v>
      </x:c>
      <x:c r="AA1654" s="80" t="n">
        <x:f>K1654*(1+'Inputs'!$E$48)/2*'Inputs'!$B$17</x:f>
        <x:v>0.32231784609195013</x:v>
      </x:c>
      <x:c r="AB1654" s="78" t="n">
        <x:f>(IF(J1654&gt;0,K1654*(1-'Inputs'!$E$48)/2/J1654,0)+G1654+R1654)*'Inputs'!$B$17</x:f>
        <x:v>52112.02054586172</x:v>
      </x:c>
      <x:c r="AC1654" s="78" t="n">
        <x:f>AC1653+AB1654</x:f>
        <x:v>5043223.43324326</x:v>
      </x:c>
      <x:c r="AD1654" s="80" t="n">
        <x:f>Z1654/(1+'Inputs'!$C$48)</x:f>
        <x:v>0.7756573853171497</x:v>
      </x:c>
      <x:c r="AE1654" s="80" t="n">
        <x:f>Z1654-AD1654</x:f>
        <x:v>0.1939143463292874</x:v>
      </x:c>
      <x:c r="AF1654" s="80" t="n">
        <x:f>D1654*W1654</x:f>
        <x:v>1.7351623560248552</x:v>
      </x:c>
      <x:c r="AG1654" s="80" t="n">
        <x:f>C1654*W1654</x:f>
        <x:v>1.0121780410145027</x:v>
      </x:c>
      <x:c r="AH1654" s="80" t="n">
        <x:f>2*'Inputs'!$B$8*'Inputs'!$C$48</x:f>
        <x:v>1250</x:v>
      </x:c>
      <x:c r="AI1654" s="81" t="n">
        <x:f>IF(AH1654&gt;0,(AE1654+AF1654)/AH1654*365,0)</x:f>
        <x:v>0.5632903970874097</x:v>
      </x:c>
      <x:c r="AJ1654" s="81" t="n">
        <x:f>IF('Inputs'!$B$48&gt;0,AG1654/('Inputs'!$B$19*'Inputs'!$B$48)*365,0)</x:f>
        <x:v>0.1477779939881174</x:v>
      </x:c>
      <x:c r="AK1654" s="81" t="n">
        <x:f>W1654/MAX($W$1464:W1654)-1</x:f>
        <x:v>-0.9926756505843816</x:v>
      </x:c>
      <x:c r="AL1654" s="83" t="n">
        <x:f>'Inputs'!$B$48</x:f>
        <x:v>0.25</x:v>
      </x:c>
      <x:c r="AM1654" s="83" t="n">
        <x:f>'Inputs'!$C$48</x:f>
        <x:v>0.25</x:v>
      </x:c>
      <x:c r="AN1654" s="83" t="n">
        <x:f>'Inputs'!$D$48</x:f>
        <x:v>0.3</x:v>
      </x:c>
      <x:c r="AO1654" s="81" t="n">
        <x:f>'Inputs'!$E$48</x:f>
        <x:v>0</x:v>
      </x:c>
    </x:row>
    <x:row r="1655">
      <x:c r="A1655" s="59" t="str">
        <x:v>Low participation</x:v>
      </x:c>
      <x:c r="B1655" s="59" t="n">
        <x:v>192</x:v>
      </x:c>
      <x:c r="C1655" s="78" t="n">
        <x:f>(('Inputs'!$B$29*(3*192*'Inputs'!$B$12-192^2)/(2*'Inputs'!$B$12^2))-('Inputs'!$B$29*(3*191*'Inputs'!$B$12-191^2)/(2*'Inputs'!$B$12^2)))*'Inputs'!$B$48</x:f>
        <x:v>162432.03462187946</x:v>
      </x:c>
      <x:c r="D1655" s="78" t="n">
        <x:f>IF('Inputs'!$C$48&gt;0,('Inputs'!$B$30*(3*192*'Inputs'!$B$12-192^2)/(2*'Inputs'!$B$12^2))-('Inputs'!$B$30*(3*191*'Inputs'!$B$12-191^2)/(2*'Inputs'!$B$12^2)),0)</x:f>
        <x:v>278454.9164946526</x:v>
      </x:c>
      <x:c r="E1655" s="78" t="n">
        <x:f>C1655+D1655</x:f>
        <x:v>440886.9511165321</x:v>
      </x:c>
      <x:c r="F1655" s="78" t="n">
        <x:f>'Inputs'!$B$13*E1655+(1-'Inputs'!$B$13)/'Inputs'!$B$14*SUM(E1600:E1655)</x:f>
        <x:v>445740.34762619634</x:v>
      </x:c>
      <x:c r="G1655" s="78" t="n">
        <x:f>F1655*'Inputs'!$F$48</x:f>
        <x:v>222870.17381309817</x:v>
      </x:c>
      <x:c r="H1655" s="78" t="n">
        <x:f>U1654</x:f>
        <x:v>42644938.59708966</x:v>
      </x:c>
      <x:c r="I1655" s="78" t="n">
        <x:f>V1654</x:f>
        <x:v>265.6045217726235</x:v>
      </x:c>
      <x:c r="J1655" s="79" t="n">
        <x:f>IF(H1655&gt;0,I1655/H1655,0)</x:f>
        <x:v>0.000006228277739641297</x:v>
      </x:c>
      <x:c r="K1655" s="80" t="n">
        <x:f>(H1655*J1655+I1655)*'Inputs'!$D$48*(1+'Inputs'!$G$48)^(B1655/30)</x:f>
        <x:v>159.3627130635741</x:v>
      </x:c>
      <x:c r="L1655" s="80" t="n">
        <x:f>MAX(0,K1655*'Inputs'!$E$48)</x:f>
        <x:v>0</x:v>
      </x:c>
      <x:c r="M1655" s="80" t="n">
        <x:f>MAX(0,-K1655*'Inputs'!$E$48)</x:f>
        <x:v>0</x:v>
      </x:c>
      <x:c r="N1655" s="78" t="n">
        <x:f>H1655*(L1655*(1-'Inputs'!$B$15))/(I1655+L1655*(1-'Inputs'!$B$15))</x:f>
        <x:v>0</x:v>
      </x:c>
      <x:c r="O1655" s="78" t="n">
        <x:f>H1655-N1655</x:f>
        <x:v>42644938.59708966</x:v>
      </x:c>
      <x:c r="P1655" s="78" t="n">
        <x:f>I1655+L1655*(1-'Inputs'!$B$17)</x:f>
        <x:v>265.6045217726235</x:v>
      </x:c>
      <x:c r="Q1655" s="78" t="n">
        <x:f>IF(J1655&gt;0,M1655/J1655,0)</x:f>
        <x:v>0</x:v>
      </x:c>
      <x:c r="R1655" s="78" t="n">
        <x:f>IF(B1655='Inputs'!$H$48,'Inputs'!$B$27*'Inputs'!$I$48,0)</x:f>
        <x:v>0</x:v>
      </x:c>
      <x:c r="S1655" s="78" t="n">
        <x:f>Q1655+G1655+R1655</x:f>
        <x:v>222870.17381309817</x:v>
      </x:c>
      <x:c r="T1655" s="78" t="n">
        <x:f>P1655*(S1655*(1-'Inputs'!$B$15))/(O1655+S1655*(1-'Inputs'!$B$15))</x:f>
        <x:v>1.3671428819841325</x:v>
      </x:c>
      <x:c r="U1655" s="78" t="n">
        <x:f>O1655+S1655*(1-'Inputs'!$B$17)</x:f>
        <x:v>42866911.90903631</x:v>
      </x:c>
      <x:c r="V1655" s="78" t="n">
        <x:f>P1655-T1655</x:f>
        <x:v>264.2373788906394</x:v>
      </x:c>
      <x:c r="W1655" s="79" t="n">
        <x:f>IF(U1655&gt;0,V1655/U1655,0)</x:f>
        <x:v>0.000006164133760121367</x:v>
      </x:c>
      <x:c r="X1655" s="80" t="n">
        <x:f>W1655*('Inputs'!$B$6-AC1655)</x:f>
        <x:v>6132.7237809112685</x:v>
      </x:c>
      <x:c r="Y1655" s="80" t="n">
        <x:f>2*V1655</x:f>
        <x:v>528.4747577812788</x:v>
      </x:c>
      <x:c r="Z1655" s="80" t="n">
        <x:f>K1655*'Inputs'!$B$16+(G1655+R1655)*J1655*'Inputs'!$B$16</x:f>
        <x:v>0.9645048624357853</x:v>
      </x:c>
      <x:c r="AA1655" s="80" t="n">
        <x:f>K1655*(1+'Inputs'!$E$48)/2*'Inputs'!$B$17</x:f>
        <x:v>0.32064932205950525</x:v>
      </x:c>
      <x:c r="AB1655" s="78" t="n">
        <x:f>(IF(J1655&gt;0,K1655*(1-'Inputs'!$E$48)/2/J1655,0)+G1655+R1655)*'Inputs'!$B$17</x:f>
        <x:v>52379.685122494964</x:v>
      </x:c>
      <x:c r="AC1655" s="78" t="n">
        <x:f>AC1654+AB1655</x:f>
        <x:v>5095603.118365754</x:v>
      </x:c>
      <x:c r="AD1655" s="80" t="n">
        <x:f>Z1655/(1+'Inputs'!$C$48)</x:f>
        <x:v>0.7716038899486282</x:v>
      </x:c>
      <x:c r="AE1655" s="80" t="n">
        <x:f>Z1655-AD1655</x:f>
        <x:v>0.1929009724871571</x:v>
      </x:c>
      <x:c r="AF1655" s="80" t="n">
        <x:f>D1655*W1655</x:f>
        <x:v>1.7164333514364642</x:v>
      </x:c>
      <x:c r="AG1655" s="80" t="n">
        <x:f>C1655*W1655</x:f>
        <x:v>1.0012527883379299</x:v>
      </x:c>
      <x:c r="AH1655" s="80" t="n">
        <x:f>2*'Inputs'!$B$8*'Inputs'!$C$48</x:f>
        <x:v>1250</x:v>
      </x:c>
      <x:c r="AI1655" s="81" t="n">
        <x:f>IF(AH1655&gt;0,(AE1655+AF1655)/AH1655*365,0)</x:f>
        <x:v>0.5575256225856974</x:v>
      </x:c>
      <x:c r="AJ1655" s="81" t="n">
        <x:f>IF('Inputs'!$B$48&gt;0,AG1655/('Inputs'!$B$19*'Inputs'!$B$48)*365,0)</x:f>
        <x:v>0.14618290709733778</x:v>
      </x:c>
      <x:c r="AK1655" s="81" t="n">
        <x:f>W1655/MAX($W$1464:W1655)-1</x:f>
        <x:v>-0.9927510828207962</x:v>
      </x:c>
      <x:c r="AL1655" s="83" t="n">
        <x:f>'Inputs'!$B$48</x:f>
        <x:v>0.25</x:v>
      </x:c>
      <x:c r="AM1655" s="83" t="n">
        <x:f>'Inputs'!$C$48</x:f>
        <x:v>0.25</x:v>
      </x:c>
      <x:c r="AN1655" s="83" t="n">
        <x:f>'Inputs'!$D$48</x:f>
        <x:v>0.3</x:v>
      </x:c>
      <x:c r="AO1655" s="81" t="n">
        <x:f>'Inputs'!$E$48</x:f>
        <x:v>0</x:v>
      </x:c>
    </x:row>
    <x:row r="1656">
      <x:c r="A1656" s="59" t="str">
        <x:v>Low participation</x:v>
      </x:c>
      <x:c r="B1656" s="59" t="n">
        <x:v>193</x:v>
      </x:c>
      <x:c r="C1656" s="78" t="n">
        <x:f>(('Inputs'!$B$29*(3*193*'Inputs'!$B$12-193^2)/(2*'Inputs'!$B$12^2))-('Inputs'!$B$29*(3*192*'Inputs'!$B$12-192^2)/(2*'Inputs'!$B$12^2)))*'Inputs'!$B$48</x:f>
        <x:v>162350.75764684007</x:v>
      </x:c>
      <x:c r="D1656" s="78" t="n">
        <x:f>IF('Inputs'!$C$48&gt;0,('Inputs'!$B$30*(3*193*'Inputs'!$B$12-193^2)/(2*'Inputs'!$B$12^2))-('Inputs'!$B$30*(3*192*'Inputs'!$B$12-192^2)/(2*'Inputs'!$B$12^2)),0)</x:f>
        <x:v>278315.5845374316</x:v>
      </x:c>
      <x:c r="E1656" s="78" t="n">
        <x:f>C1656+D1656</x:f>
        <x:v>440666.34218427166</x:v>
      </x:c>
      <x:c r="F1656" s="78" t="n">
        <x:f>'Inputs'!$B$13*E1656+(1-'Inputs'!$B$13)/'Inputs'!$B$14*SUM(E1601:E1656)</x:f>
        <x:v>445519.73869393824</x:v>
      </x:c>
      <x:c r="G1656" s="78" t="n">
        <x:f>F1656*'Inputs'!$F$48</x:f>
        <x:v>222759.86934696912</x:v>
      </x:c>
      <x:c r="H1656" s="78" t="n">
        <x:f>U1655</x:f>
        <x:v>42866911.90903631</x:v>
      </x:c>
      <x:c r="I1656" s="78" t="n">
        <x:f>V1655</x:f>
        <x:v>264.2373788906394</x:v>
      </x:c>
      <x:c r="J1656" s="79" t="n">
        <x:f>IF(H1656&gt;0,I1656/H1656,0)</x:f>
        <x:v>0.000006164133760121367</x:v>
      </x:c>
      <x:c r="K1656" s="80" t="n">
        <x:f>(H1656*J1656+I1656)*'Inputs'!$D$48*(1+'Inputs'!$G$48)^(B1656/30)</x:f>
        <x:v>158.54242733438363</x:v>
      </x:c>
      <x:c r="L1656" s="80" t="n">
        <x:f>MAX(0,K1656*'Inputs'!$E$48)</x:f>
        <x:v>0</x:v>
      </x:c>
      <x:c r="M1656" s="80" t="n">
        <x:f>MAX(0,-K1656*'Inputs'!$E$48)</x:f>
        <x:v>0</x:v>
      </x:c>
      <x:c r="N1656" s="78" t="n">
        <x:f>H1656*(L1656*(1-'Inputs'!$B$15))/(I1656+L1656*(1-'Inputs'!$B$15))</x:f>
        <x:v>0</x:v>
      </x:c>
      <x:c r="O1656" s="78" t="n">
        <x:f>H1656-N1656</x:f>
        <x:v>42866911.90903631</x:v>
      </x:c>
      <x:c r="P1656" s="78" t="n">
        <x:f>I1656+L1656*(1-'Inputs'!$B$17)</x:f>
        <x:v>264.2373788906394</x:v>
      </x:c>
      <x:c r="Q1656" s="78" t="n">
        <x:f>IF(J1656&gt;0,M1656/J1656,0)</x:f>
        <x:v>0</x:v>
      </x:c>
      <x:c r="R1656" s="78" t="n">
        <x:f>IF(B1656='Inputs'!$H$48,'Inputs'!$B$27*'Inputs'!$I$48,0)</x:f>
        <x:v>0</x:v>
      </x:c>
      <x:c r="S1656" s="78" t="n">
        <x:f>Q1656+G1656+R1656</x:f>
        <x:v>222759.86934696912</x:v>
      </x:c>
      <x:c r="T1656" s="78" t="n">
        <x:f>P1656*(S1656*(1-'Inputs'!$B$15))/(O1656+S1656*(1-'Inputs'!$B$15))</x:f>
        <x:v>1.3524327160196223</x:v>
      </x:c>
      <x:c r="U1656" s="78" t="n">
        <x:f>O1656+S1656*(1-'Inputs'!$B$17)</x:f>
        <x:v>43088775.36039798</x:v>
      </x:c>
      <x:c r="V1656" s="78" t="n">
        <x:f>P1656-T1656</x:f>
        <x:v>262.88494617461976</x:v>
      </x:c>
      <x:c r="W1656" s="79" t="n">
        <x:f>IF(U1656&gt;0,V1656/U1656,0)</x:f>
        <x:v>0.00000610100760524821</x:v>
      </x:c>
      <x:c r="X1656" s="80" t="n">
        <x:f>W1656*('Inputs'!$B$6-AC1656)</x:f>
        <x:v>6069.598090797991</x:v>
      </x:c>
      <x:c r="Y1656" s="80" t="n">
        <x:f>2*V1656</x:f>
        <x:v>525.7698923492395</x:v>
      </x:c>
      <x:c r="Z1656" s="80" t="n">
        <x:f>K1656*'Inputs'!$B$16+(G1656+R1656)*J1656*'Inputs'!$B$16</x:f>
        <x:v>0.9594932937925531</x:v>
      </x:c>
      <x:c r="AA1656" s="80" t="n">
        <x:f>K1656*(1+'Inputs'!$E$48)/2*'Inputs'!$B$17</x:f>
        <x:v>0.3189988477552991</x:v>
      </x:c>
      <x:c r="AB1656" s="78" t="n">
        <x:f>(IF(J1656&gt;0,K1656*(1-'Inputs'!$E$48)/2/J1656,0)+G1656+R1656)*'Inputs'!$B$17</x:f>
        <x:v>52647.21707065538</x:v>
      </x:c>
      <x:c r="AC1656" s="78" t="n">
        <x:f>AC1655+AB1656</x:f>
        <x:v>5148250.335436409</x:v>
      </x:c>
      <x:c r="AD1656" s="80" t="n">
        <x:f>Z1656/(1+'Inputs'!$C$48)</x:f>
        <x:v>0.7675946350340425</x:v>
      </x:c>
      <x:c r="AE1656" s="80" t="n">
        <x:f>Z1656-AD1656</x:f>
        <x:v>0.19189865875851064</x:v>
      </x:c>
      <x:c r="AF1656" s="80" t="n">
        <x:f>D1656*W1656</x:f>
        <x:v>1.6980054979219714</x:v>
      </x:c>
      <x:c r="AG1656" s="80" t="n">
        <x:f>C1656*W1656</x:f>
        <x:v>0.9905032071211803</x:v>
      </x:c>
      <x:c r="AH1656" s="80" t="n">
        <x:f>2*'Inputs'!$B$8*'Inputs'!$C$48</x:f>
        <x:v>1250</x:v>
      </x:c>
      <x:c r="AI1656" s="81" t="n">
        <x:f>IF(AH1656&gt;0,(AE1656+AF1656)/AH1656*365,0)</x:f>
        <x:v>0.5518520137507008</x:v>
      </x:c>
      <x:c r="AJ1656" s="81" t="n">
        <x:f>IF('Inputs'!$B$48&gt;0,AG1656/('Inputs'!$B$19*'Inputs'!$B$48)*365,0)</x:f>
        <x:v>0.14461346823969232</x:v>
      </x:c>
      <x:c r="AK1656" s="81" t="n">
        <x:f>W1656/MAX($W$1464:W1656)-1</x:f>
        <x:v>-0.992825318112619</x:v>
      </x:c>
      <x:c r="AL1656" s="83" t="n">
        <x:f>'Inputs'!$B$48</x:f>
        <x:v>0.25</x:v>
      </x:c>
      <x:c r="AM1656" s="83" t="n">
        <x:f>'Inputs'!$C$48</x:f>
        <x:v>0.25</x:v>
      </x:c>
      <x:c r="AN1656" s="83" t="n">
        <x:f>'Inputs'!$D$48</x:f>
        <x:v>0.3</x:v>
      </x:c>
      <x:c r="AO1656" s="81" t="n">
        <x:f>'Inputs'!$E$48</x:f>
        <x:v>0</x:v>
      </x:c>
    </x:row>
    <x:row r="1657">
      <x:c r="A1657" s="59" t="str">
        <x:v>Low participation</x:v>
      </x:c>
      <x:c r="B1657" s="59" t="n">
        <x:v>194</x:v>
      </x:c>
      <x:c r="C1657" s="78" t="n">
        <x:f>(('Inputs'!$B$29*(3*194*'Inputs'!$B$12-194^2)/(2*'Inputs'!$B$12^2))-('Inputs'!$B$29*(3*193*'Inputs'!$B$12-193^2)/(2*'Inputs'!$B$12^2)))*'Inputs'!$B$48</x:f>
        <x:v>162269.48067179322</x:v>
      </x:c>
      <x:c r="D1657" s="78" t="n">
        <x:f>IF('Inputs'!$C$48&gt;0,('Inputs'!$B$30*(3*194*'Inputs'!$B$12-194^2)/(2*'Inputs'!$B$12^2))-('Inputs'!$B$30*(3*193*'Inputs'!$B$12-193^2)/(2*'Inputs'!$B$12^2)),0)</x:f>
        <x:v>278176.25258022547</x:v>
      </x:c>
      <x:c r="E1657" s="78" t="n">
        <x:f>C1657+D1657</x:f>
        <x:v>440445.7332520187</x:v>
      </x:c>
      <x:c r="F1657" s="78" t="n">
        <x:f>'Inputs'!$B$13*E1657+(1-'Inputs'!$B$13)/'Inputs'!$B$14*SUM(E1602:E1657)</x:f>
        <x:v>445299.12976168166</x:v>
      </x:c>
      <x:c r="G1657" s="78" t="n">
        <x:f>F1657*'Inputs'!$F$48</x:f>
        <x:v>222649.56488084083</x:v>
      </x:c>
      <x:c r="H1657" s="78" t="n">
        <x:f>U1656</x:f>
        <x:v>43088775.36039798</x:v>
      </x:c>
      <x:c r="I1657" s="78" t="n">
        <x:f>V1656</x:f>
        <x:v>262.88494617461976</x:v>
      </x:c>
      <x:c r="J1657" s="79" t="n">
        <x:f>IF(H1657&gt;0,I1657/H1657,0)</x:f>
        <x:v>0.00000610100760524821</x:v>
      </x:c>
      <x:c r="K1657" s="80" t="n">
        <x:f>(H1657*J1657+I1657)*'Inputs'!$D$48*(1+'Inputs'!$G$48)^(B1657/30)</x:f>
        <x:v>157.73096770477184</x:v>
      </x:c>
      <x:c r="L1657" s="80" t="n">
        <x:f>MAX(0,K1657*'Inputs'!$E$48)</x:f>
        <x:v>0</x:v>
      </x:c>
      <x:c r="M1657" s="80" t="n">
        <x:f>MAX(0,-K1657*'Inputs'!$E$48)</x:f>
        <x:v>0</x:v>
      </x:c>
      <x:c r="N1657" s="78" t="n">
        <x:f>H1657*(L1657*(1-'Inputs'!$B$15))/(I1657+L1657*(1-'Inputs'!$B$15))</x:f>
        <x:v>0</x:v>
      </x:c>
      <x:c r="O1657" s="78" t="n">
        <x:f>H1657-N1657</x:f>
        <x:v>43088775.36039798</x:v>
      </x:c>
      <x:c r="P1657" s="78" t="n">
        <x:f>I1657+L1657*(1-'Inputs'!$B$17)</x:f>
        <x:v>262.88494617461976</x:v>
      </x:c>
      <x:c r="Q1657" s="78" t="n">
        <x:f>IF(J1657&gt;0,M1657/J1657,0)</x:f>
        <x:v>0</x:v>
      </x:c>
      <x:c r="R1657" s="78" t="n">
        <x:f>IF(B1657='Inputs'!$H$48,'Inputs'!$B$27*'Inputs'!$I$48,0)</x:f>
        <x:v>0</x:v>
      </x:c>
      <x:c r="S1657" s="78" t="n">
        <x:f>Q1657+G1657+R1657</x:f>
        <x:v>222649.56488084083</x:v>
      </x:c>
      <x:c r="T1657" s="78" t="n">
        <x:f>P1657*(S1657*(1-'Inputs'!$B$15))/(O1657+S1657*(1-'Inputs'!$B$15))</x:f>
        <x:v>1.3379584197306131</x:v>
      </x:c>
      <x:c r="U1657" s="78" t="n">
        <x:f>O1657+S1657*(1-'Inputs'!$B$17)</x:f>
        <x:v>43310528.95117467</x:v>
      </x:c>
      <x:c r="V1657" s="78" t="n">
        <x:f>P1657-T1657</x:f>
        <x:v>261.54698775488913</x:v>
      </x:c>
      <x:c r="W1657" s="79" t="n">
        <x:f>IF(U1657&gt;0,V1657/U1657,0)</x:f>
        <x:v>0.0000060388777068444335</x:v>
      </x:c>
      <x:c r="X1657" s="80" t="n">
        <x:f>W1657*('Inputs'!$B$6-AC1657)</x:f>
        <x:v>6007.468507767226</x:v>
      </x:c>
      <x:c r="Y1657" s="80" t="n">
        <x:f>2*V1657</x:f>
        <x:v>523.0939755097783</x:v>
      </x:c>
      <x:c r="Z1657" s="80" t="n">
        <x:f>K1657*'Inputs'!$B$16+(G1657+R1657)*J1657*'Inputs'!$B$16</x:f>
        <x:v>0.9545361263604903</x:v>
      </x:c>
      <x:c r="AA1657" s="80" t="n">
        <x:f>K1657*(1+'Inputs'!$E$48)/2*'Inputs'!$B$17</x:f>
        <x:v>0.3173661322027603</x:v>
      </x:c>
      <x:c r="AB1657" s="78" t="n">
        <x:f>(IF(J1657&gt;0,K1657*(1-'Inputs'!$E$48)/2/J1657,0)+G1657+R1657)*'Inputs'!$B$17</x:f>
        <x:v>52914.616390343</x:v>
      </x:c>
      <x:c r="AC1657" s="78" t="n">
        <x:f>AC1656+AB1657</x:f>
        <x:v>5201164.951826752</x:v>
      </x:c>
      <x:c r="AD1657" s="80" t="n">
        <x:f>Z1657/(1+'Inputs'!$C$48)</x:f>
        <x:v>0.7636289010883923</x:v>
      </x:c>
      <x:c r="AE1657" s="80" t="n">
        <x:f>Z1657-AD1657</x:f>
        <x:v>0.19090722527209802</x:v>
      </x:c>
      <x:c r="AF1657" s="80" t="n">
        <x:f>D1657*W1657</x:f>
        <x:v>1.6798723702802498</x:v>
      </x:c>
      <x:c r="AG1657" s="80" t="n">
        <x:f>C1657*W1657</x:f>
        <x:v>0.9799255493301158</x:v>
      </x:c>
      <x:c r="AH1657" s="80" t="n">
        <x:f>2*'Inputs'!$B$8*'Inputs'!$C$48</x:f>
        <x:v>1250</x:v>
      </x:c>
      <x:c r="AI1657" s="81" t="n">
        <x:f>IF(AH1657&gt;0,(AE1657+AF1657)/AH1657*365,0)</x:f>
        <x:v>0.5462676419012856</x:v>
      </x:c>
      <x:c r="AJ1657" s="81" t="n">
        <x:f>IF('Inputs'!$B$48&gt;0,AG1657/('Inputs'!$B$19*'Inputs'!$B$48)*365,0)</x:f>
        <x:v>0.14306913020219691</x:v>
      </x:c>
      <x:c r="AK1657" s="81" t="n">
        <x:f>W1657/MAX($W$1464:W1657)-1</x:f>
        <x:v>-0.9928983818236622</x:v>
      </x:c>
      <x:c r="AL1657" s="83" t="n">
        <x:f>'Inputs'!$B$48</x:f>
        <x:v>0.25</x:v>
      </x:c>
      <x:c r="AM1657" s="83" t="n">
        <x:f>'Inputs'!$C$48</x:f>
        <x:v>0.25</x:v>
      </x:c>
      <x:c r="AN1657" s="83" t="n">
        <x:f>'Inputs'!$D$48</x:f>
        <x:v>0.3</x:v>
      </x:c>
      <x:c r="AO1657" s="81" t="n">
        <x:f>'Inputs'!$E$48</x:f>
        <x:v>0</x:v>
      </x:c>
    </x:row>
    <x:row r="1658">
      <x:c r="A1658" s="59" t="str">
        <x:v>Low participation</x:v>
      </x:c>
      <x:c r="B1658" s="59" t="n">
        <x:v>195</x:v>
      </x:c>
      <x:c r="C1658" s="78" t="n">
        <x:f>(('Inputs'!$B$29*(3*195*'Inputs'!$B$12-195^2)/(2*'Inputs'!$B$12^2))-('Inputs'!$B$29*(3*194*'Inputs'!$B$12-194^2)/(2*'Inputs'!$B$12^2)))*'Inputs'!$B$48</x:f>
        <x:v>162188.20369675383</x:v>
      </x:c>
      <x:c r="D1658" s="78" t="n">
        <x:f>IF('Inputs'!$C$48&gt;0,('Inputs'!$B$30*(3*195*'Inputs'!$B$12-195^2)/(2*'Inputs'!$B$12^2))-('Inputs'!$B$30*(3*194*'Inputs'!$B$12-194^2)/(2*'Inputs'!$B$12^2)),0)</x:f>
        <x:v>278036.92062300444</x:v>
      </x:c>
      <x:c r="E1658" s="78" t="n">
        <x:f>C1658+D1658</x:f>
        <x:v>440225.12431975827</x:v>
      </x:c>
      <x:c r="F1658" s="78" t="n">
        <x:f>'Inputs'!$B$13*E1658+(1-'Inputs'!$B$13)/'Inputs'!$B$14*SUM(E1603:E1658)</x:f>
        <x:v>445078.5208294237</x:v>
      </x:c>
      <x:c r="G1658" s="78" t="n">
        <x:f>F1658*'Inputs'!$F$48</x:f>
        <x:v>222539.26041471184</x:v>
      </x:c>
      <x:c r="H1658" s="78" t="n">
        <x:f>U1657</x:f>
        <x:v>43310528.95117467</x:v>
      </x:c>
      <x:c r="I1658" s="78" t="n">
        <x:f>V1657</x:f>
        <x:v>261.54698775488913</x:v>
      </x:c>
      <x:c r="J1658" s="79" t="n">
        <x:f>IF(H1658&gt;0,I1658/H1658,0)</x:f>
        <x:v>0.0000060388777068444335</x:v>
      </x:c>
      <x:c r="K1658" s="80" t="n">
        <x:f>(H1658*J1658+I1658)*'Inputs'!$D$48*(1+'Inputs'!$G$48)^(B1658/30)</x:f>
        <x:v>156.92819265293346</x:v>
      </x:c>
      <x:c r="L1658" s="80" t="n">
        <x:f>MAX(0,K1658*'Inputs'!$E$48)</x:f>
        <x:v>0</x:v>
      </x:c>
      <x:c r="M1658" s="80" t="n">
        <x:f>MAX(0,-K1658*'Inputs'!$E$48)</x:f>
        <x:v>0</x:v>
      </x:c>
      <x:c r="N1658" s="78" t="n">
        <x:f>H1658*(L1658*(1-'Inputs'!$B$15))/(I1658+L1658*(1-'Inputs'!$B$15))</x:f>
        <x:v>0</x:v>
      </x:c>
      <x:c r="O1658" s="78" t="n">
        <x:f>H1658-N1658</x:f>
        <x:v>43310528.95117467</x:v>
      </x:c>
      <x:c r="P1658" s="78" t="n">
        <x:f>I1658+L1658*(1-'Inputs'!$B$17)</x:f>
        <x:v>261.54698775488913</x:v>
      </x:c>
      <x:c r="Q1658" s="78" t="n">
        <x:f>IF(J1658&gt;0,M1658/J1658,0)</x:f>
        <x:v>0</x:v>
      </x:c>
      <x:c r="R1658" s="78" t="n">
        <x:f>IF(B1658='Inputs'!$H$48,'Inputs'!$B$27*'Inputs'!$I$48,0)</x:f>
        <x:v>0</x:v>
      </x:c>
      <x:c r="S1658" s="78" t="n">
        <x:f>Q1658+G1658+R1658</x:f>
        <x:v>222539.26041471184</x:v>
      </x:c>
      <x:c r="T1658" s="78" t="n">
        <x:f>P1658*(S1658*(1-'Inputs'!$B$15))/(O1658+S1658*(1-'Inputs'!$B$15))</x:f>
        <x:v>1.3237149743710221</x:v>
      </x:c>
      <x:c r="U1658" s="78" t="n">
        <x:f>O1658+S1658*(1-'Inputs'!$B$17)</x:f>
        <x:v>43532172.681366384</x:v>
      </x:c>
      <x:c r="V1658" s="78" t="n">
        <x:f>P1658-T1658</x:f>
        <x:v>260.22327278051813</x:v>
      </x:c>
      <x:c r="W1658" s="79" t="n">
        <x:f>IF(U1658&gt;0,V1658/U1658,0)</x:f>
        <x:v>0.000005977723066689587</x:v>
      </x:c>
      <x:c r="X1658" s="80" t="n">
        <x:f>W1658*('Inputs'!$B$6-AC1658)</x:f>
        <x:v>5946.314036414168</x:v>
      </x:c>
      <x:c r="Y1658" s="80" t="n">
        <x:f>2*V1658</x:f>
        <x:v>520.4465455610363</x:v>
      </x:c>
      <x:c r="Z1658" s="80" t="n">
        <x:f>K1658*'Inputs'!$B$16+(G1658+R1658)*J1658*'Inputs'!$B$16</x:f>
        <x:v>0.9496324801892971</x:v>
      </x:c>
      <x:c r="AA1658" s="80" t="n">
        <x:f>K1658*(1+'Inputs'!$E$48)/2*'Inputs'!$B$17</x:f>
        <x:v>0.3157508906497655</x:v>
      </x:c>
      <x:c r="AB1658" s="78" t="n">
        <x:f>(IF(J1658&gt;0,K1658*(1-'Inputs'!$E$48)/2/J1658,0)+G1658+R1658)*'Inputs'!$B$17</x:f>
        <x:v>53181.8830815578</x:v>
      </x:c>
      <x:c r="AC1658" s="78" t="n">
        <x:f>AC1657+AB1658</x:f>
        <x:v>5254346.83490831</x:v>
      </x:c>
      <x:c r="AD1658" s="80" t="n">
        <x:f>Z1658/(1+'Inputs'!$C$48)</x:f>
        <x:v>0.7597059841514378</x:v>
      </x:c>
      <x:c r="AE1658" s="80" t="n">
        <x:f>Z1658-AD1658</x:f>
        <x:v>0.18992649603785938</x:v>
      </x:c>
      <x:c r="AF1658" s="80" t="n">
        <x:f>D1658*W1658</x:f>
        <x:v>1.6620277137994754</x:v>
      </x:c>
      <x:c r="AG1658" s="80" t="n">
        <x:f>C1658*W1658</x:f>
        <x:v>0.9695161663830347</x:v>
      </x:c>
      <x:c r="AH1658" s="80" t="n">
        <x:f>2*'Inputs'!$B$8*'Inputs'!$C$48</x:f>
        <x:v>1250</x:v>
      </x:c>
      <x:c r="AI1658" s="81" t="n">
        <x:f>IF(AH1658&gt;0,(AE1658+AF1658)/AH1658*365,0)</x:f>
        <x:v>0.5407706292725017</x:v>
      </x:c>
      <x:c r="AJ1658" s="81" t="n">
        <x:f>IF('Inputs'!$B$48&gt;0,AG1658/('Inputs'!$B$19*'Inputs'!$B$48)*365,0)</x:f>
        <x:v>0.14154936029192308</x:v>
      </x:c>
      <x:c r="AK1658" s="81" t="n">
        <x:f>W1658/MAX($W$1464:W1658)-1</x:f>
        <x:v>-0.9929702986474784</x:v>
      </x:c>
      <x:c r="AL1658" s="83" t="n">
        <x:f>'Inputs'!$B$48</x:f>
        <x:v>0.25</x:v>
      </x:c>
      <x:c r="AM1658" s="83" t="n">
        <x:f>'Inputs'!$C$48</x:f>
        <x:v>0.25</x:v>
      </x:c>
      <x:c r="AN1658" s="83" t="n">
        <x:f>'Inputs'!$D$48</x:f>
        <x:v>0.3</x:v>
      </x:c>
      <x:c r="AO1658" s="81" t="n">
        <x:f>'Inputs'!$E$48</x:f>
        <x:v>0</x:v>
      </x:c>
    </x:row>
    <x:row r="1659">
      <x:c r="A1659" s="59" t="str">
        <x:v>Low participation</x:v>
      </x:c>
      <x:c r="B1659" s="59" t="n">
        <x:v>196</x:v>
      </x:c>
      <x:c r="C1659" s="78" t="n">
        <x:f>(('Inputs'!$B$29*(3*196*'Inputs'!$B$12-196^2)/(2*'Inputs'!$B$12^2))-('Inputs'!$B$29*(3*195*'Inputs'!$B$12-195^2)/(2*'Inputs'!$B$12^2)))*'Inputs'!$B$48</x:f>
        <x:v>162106.9267217107</x:v>
      </x:c>
      <x:c r="D1659" s="78" t="n">
        <x:f>IF('Inputs'!$C$48&gt;0,('Inputs'!$B$30*(3*196*'Inputs'!$B$12-196^2)/(2*'Inputs'!$B$12^2))-('Inputs'!$B$30*(3*195*'Inputs'!$B$12-195^2)/(2*'Inputs'!$B$12^2)),0)</x:f>
        <x:v>277897.58866579086</x:v>
      </x:c>
      <x:c r="E1659" s="78" t="n">
        <x:f>C1659+D1659</x:f>
        <x:v>440004.51538750157</x:v>
      </x:c>
      <x:c r="F1659" s="78" t="n">
        <x:f>'Inputs'!$B$13*E1659+(1-'Inputs'!$B$13)/'Inputs'!$B$14*SUM(E1604:E1659)</x:f>
        <x:v>444857.9118971663</x:v>
      </x:c>
      <x:c r="G1659" s="78" t="n">
        <x:f>F1659*'Inputs'!$F$48</x:f>
        <x:v>222428.95594858314</x:v>
      </x:c>
      <x:c r="H1659" s="78" t="n">
        <x:f>U1658</x:f>
        <x:v>43532172.681366384</x:v>
      </x:c>
      <x:c r="I1659" s="78" t="n">
        <x:f>V1658</x:f>
        <x:v>260.22327278051813</x:v>
      </x:c>
      <x:c r="J1659" s="79" t="n">
        <x:f>IF(H1659&gt;0,I1659/H1659,0)</x:f>
        <x:v>0.000005977723066689587</x:v>
      </x:c>
      <x:c r="K1659" s="80" t="n">
        <x:f>(H1659*J1659+I1659)*'Inputs'!$D$48*(1+'Inputs'!$G$48)^(B1659/30)</x:f>
        <x:v>156.13396366831088</x:v>
      </x:c>
      <x:c r="L1659" s="80" t="n">
        <x:f>MAX(0,K1659*'Inputs'!$E$48)</x:f>
        <x:v>0</x:v>
      </x:c>
      <x:c r="M1659" s="80" t="n">
        <x:f>MAX(0,-K1659*'Inputs'!$E$48)</x:f>
        <x:v>0</x:v>
      </x:c>
      <x:c r="N1659" s="78" t="n">
        <x:f>H1659*(L1659*(1-'Inputs'!$B$15))/(I1659+L1659*(1-'Inputs'!$B$15))</x:f>
        <x:v>0</x:v>
      </x:c>
      <x:c r="O1659" s="78" t="n">
        <x:f>H1659-N1659</x:f>
        <x:v>43532172.681366384</x:v>
      </x:c>
      <x:c r="P1659" s="78" t="n">
        <x:f>I1659+L1659*(1-'Inputs'!$B$17)</x:f>
        <x:v>260.22327278051813</x:v>
      </x:c>
      <x:c r="Q1659" s="78" t="n">
        <x:f>IF(J1659&gt;0,M1659/J1659,0)</x:f>
        <x:v>0</x:v>
      </x:c>
      <x:c r="R1659" s="78" t="n">
        <x:f>IF(B1659='Inputs'!$H$48,'Inputs'!$B$27*'Inputs'!$I$48,0)</x:f>
        <x:v>0</x:v>
      </x:c>
      <x:c r="S1659" s="78" t="n">
        <x:f>Q1659+G1659+R1659</x:f>
        <x:v>222428.95594858314</x:v>
      </x:c>
      <x:c r="T1659" s="78" t="n">
        <x:f>P1659*(S1659*(1-'Inputs'!$B$15))/(O1659+S1659*(1-'Inputs'!$B$15))</x:f>
        <x:v>1.309697494009493</x:v>
      </x:c>
      <x:c r="U1659" s="78" t="n">
        <x:f>O1659+S1659*(1-'Inputs'!$B$17)</x:f>
        <x:v>43753706.550973125</x:v>
      </x:c>
      <x:c r="V1659" s="78" t="n">
        <x:f>P1659-T1659</x:f>
        <x:v>258.91357528650866</x:v>
      </x:c>
      <x:c r="W1659" s="79" t="n">
        <x:f>IF(U1659&gt;0,V1659/U1659,0)</x:f>
        <x:v>0.000005917523238514068</x:v>
      </x:c>
      <x:c r="X1659" s="80" t="n">
        <x:f>W1659*('Inputs'!$B$6-AC1659)</x:f>
        <x:v>5886.114233214258</x:v>
      </x:c>
      <x:c r="Y1659" s="80" t="n">
        <x:f>2*V1659</x:f>
        <x:v>517.8271505730173</x:v>
      </x:c>
      <x:c r="Z1659" s="80" t="n">
        <x:f>K1659*'Inputs'!$B$16+(G1659+R1659)*J1659*'Inputs'!$B$16</x:f>
        <x:v>0.9447814942139066</x:v>
      </x:c>
      <x:c r="AA1659" s="80" t="n">
        <x:f>K1659*(1+'Inputs'!$E$48)/2*'Inputs'!$B$17</x:f>
        <x:v>0.31415284440304003</x:v>
      </x:c>
      <x:c r="AB1659" s="78" t="n">
        <x:f>(IF(J1659&gt;0,K1659*(1-'Inputs'!$E$48)/2/J1659,0)+G1659+R1659)*'Inputs'!$B$17</x:f>
        <x:v>53449.0171442998</x:v>
      </x:c>
      <x:c r="AC1659" s="78" t="n">
        <x:f>AC1658+AB1659</x:f>
        <x:v>5307795.85205261</x:v>
      </x:c>
      <x:c r="AD1659" s="80" t="n">
        <x:f>Z1659/(1+'Inputs'!$C$48)</x:f>
        <x:v>0.7558251953711252</x:v>
      </x:c>
      <x:c r="AE1659" s="80" t="n">
        <x:f>Z1659-AD1659</x:f>
        <x:v>0.1889562988427813</x:v>
      </x:c>
      <x:c r="AF1659" s="80" t="n">
        <x:f>D1659*W1659</x:f>
        <x:v>1.6444654388568412</x:v>
      </x:c>
      <x:c r="AG1659" s="80" t="n">
        <x:f>C1659*W1659</x:f>
        <x:v>0.9592715059998203</x:v>
      </x:c>
      <x:c r="AH1659" s="80" t="n">
        <x:f>2*'Inputs'!$B$8*'Inputs'!$C$48</x:f>
        <x:v>1250</x:v>
      </x:c>
      <x:c r="AI1659" s="81" t="n">
        <x:f>IF(AH1659&gt;0,(AE1659+AF1659)/AH1659*365,0)</x:f>
        <x:v>0.5353591474082898</x:v>
      </x:c>
      <x:c r="AJ1659" s="81" t="n">
        <x:f>IF('Inputs'!$B$48&gt;0,AG1659/('Inputs'!$B$19*'Inputs'!$B$48)*365,0)</x:f>
        <x:v>0.14005363987597375</x:v>
      </x:c>
      <x:c r="AK1659" s="81" t="n">
        <x:f>W1659/MAX($W$1464:W1659)-1</x:f>
        <x:v>-0.9930410926285353</x:v>
      </x:c>
      <x:c r="AL1659" s="83" t="n">
        <x:f>'Inputs'!$B$48</x:f>
        <x:v>0.25</x:v>
      </x:c>
      <x:c r="AM1659" s="83" t="n">
        <x:f>'Inputs'!$C$48</x:f>
        <x:v>0.25</x:v>
      </x:c>
      <x:c r="AN1659" s="83" t="n">
        <x:f>'Inputs'!$D$48</x:f>
        <x:v>0.3</x:v>
      </x:c>
      <x:c r="AO1659" s="81" t="n">
        <x:f>'Inputs'!$E$48</x:f>
        <x:v>0</x:v>
      </x:c>
    </x:row>
    <x:row r="1660">
      <x:c r="A1660" s="59" t="str">
        <x:v>Low participation</x:v>
      </x:c>
      <x:c r="B1660" s="59" t="n">
        <x:v>197</x:v>
      </x:c>
      <x:c r="C1660" s="78" t="n">
        <x:f>(('Inputs'!$B$29*(3*197*'Inputs'!$B$12-197^2)/(2*'Inputs'!$B$12^2))-('Inputs'!$B$29*(3*196*'Inputs'!$B$12-196^2)/(2*'Inputs'!$B$12^2)))*'Inputs'!$B$48</x:f>
        <x:v>162025.64974667132</x:v>
      </x:c>
      <x:c r="D1660" s="78" t="n">
        <x:f>IF('Inputs'!$C$48&gt;0,('Inputs'!$B$30*(3*197*'Inputs'!$B$12-197^2)/(2*'Inputs'!$B$12^2))-('Inputs'!$B$30*(3*196*'Inputs'!$B$12-196^2)/(2*'Inputs'!$B$12^2)),0)</x:f>
        <x:v>277758.2567085773</x:v>
      </x:c>
      <x:c r="E1660" s="78" t="n">
        <x:f>C1660+D1660</x:f>
        <x:v>439783.9064552486</x:v>
      </x:c>
      <x:c r="F1660" s="78" t="n">
        <x:f>'Inputs'!$B$13*E1660+(1-'Inputs'!$B$13)/'Inputs'!$B$14*SUM(E1605:E1660)</x:f>
        <x:v>444637.3029649098</x:v>
      </x:c>
      <x:c r="G1660" s="78" t="n">
        <x:f>F1660*'Inputs'!$F$48</x:f>
        <x:v>222318.6514824549</x:v>
      </x:c>
      <x:c r="H1660" s="78" t="n">
        <x:f>U1659</x:f>
        <x:v>43753706.550973125</x:v>
      </x:c>
      <x:c r="I1660" s="78" t="n">
        <x:f>V1659</x:f>
        <x:v>258.91357528650866</x:v>
      </x:c>
      <x:c r="J1660" s="79" t="n">
        <x:f>IF(H1660&gt;0,I1660/H1660,0)</x:f>
        <x:v>0.000005917523238514068</x:v>
      </x:c>
      <x:c r="K1660" s="80" t="n">
        <x:f>(H1660*J1660+I1660)*'Inputs'!$D$48*(1+'Inputs'!$G$48)^(B1660/30)</x:f>
        <x:v>155.3481451719052</x:v>
      </x:c>
      <x:c r="L1660" s="80" t="n">
        <x:f>MAX(0,K1660*'Inputs'!$E$48)</x:f>
        <x:v>0</x:v>
      </x:c>
      <x:c r="M1660" s="80" t="n">
        <x:f>MAX(0,-K1660*'Inputs'!$E$48)</x:f>
        <x:v>0</x:v>
      </x:c>
      <x:c r="N1660" s="78" t="n">
        <x:f>H1660*(L1660*(1-'Inputs'!$B$15))/(I1660+L1660*(1-'Inputs'!$B$15))</x:f>
        <x:v>0</x:v>
      </x:c>
      <x:c r="O1660" s="78" t="n">
        <x:f>H1660-N1660</x:f>
        <x:v>43753706.550973125</x:v>
      </x:c>
      <x:c r="P1660" s="78" t="n">
        <x:f>I1660+L1660*(1-'Inputs'!$B$17)</x:f>
        <x:v>258.91357528650866</x:v>
      </x:c>
      <x:c r="Q1660" s="78" t="n">
        <x:f>IF(J1660&gt;0,M1660/J1660,0)</x:f>
        <x:v>0</x:v>
      </x:c>
      <x:c r="R1660" s="78" t="n">
        <x:f>IF(B1660='Inputs'!$H$48,'Inputs'!$B$27*'Inputs'!$I$48,0)</x:f>
        <x:v>0</x:v>
      </x:c>
      <x:c r="S1660" s="78" t="n">
        <x:f>Q1660+G1660+R1660</x:f>
        <x:v>222318.6514824549</x:v>
      </x:c>
      <x:c r="T1660" s="78" t="n">
        <x:f>P1660*(S1660*(1-'Inputs'!$B$15))/(O1660+S1660*(1-'Inputs'!$B$15))</x:f>
        <x:v>1.2959012213330576</x:v>
      </x:c>
      <x:c r="U1660" s="78" t="n">
        <x:f>O1660+S1660*(1-'Inputs'!$B$17)</x:f>
        <x:v>43975130.559994884</x:v>
      </x:c>
      <x:c r="V1660" s="78" t="n">
        <x:f>P1660-T1660</x:f>
        <x:v>257.6176740651756</x:v>
      </x:c>
      <x:c r="W1660" s="79" t="n">
        <x:f>IF(U1660&gt;0,V1660/U1660,0)</x:f>
        <x:v>0.000005858258310653793</x:v>
      </x:c>
      <x:c r="X1660" s="80" t="n">
        <x:f>W1660*('Inputs'!$B$6-AC1660)</x:f>
        <x:v>5826.849189179999</x:v>
      </x:c>
      <x:c r="Y1660" s="80" t="n">
        <x:f>2*V1660</x:f>
        <x:v>515.2353481303512</x:v>
      </x:c>
      <x:c r="Z1660" s="80" t="n">
        <x:f>K1660*'Inputs'!$B$16+(G1660+R1660)*J1660*'Inputs'!$B$16</x:f>
        <x:v>0.9399823257504465</x:v>
      </x:c>
      <x:c r="AA1660" s="80" t="n">
        <x:f>K1660*(1+'Inputs'!$E$48)/2*'Inputs'!$B$17</x:f>
        <x:v>0.31257172066781735</x:v>
      </x:c>
      <x:c r="AB1660" s="78" t="n">
        <x:f>(IF(J1660&gt;0,K1660*(1-'Inputs'!$E$48)/2/J1660,0)+G1660+R1660)*'Inputs'!$B$17</x:f>
        <x:v>53716.01857856899</x:v>
      </x:c>
      <x:c r="AC1660" s="78" t="n">
        <x:f>AC1659+AB1660</x:f>
        <x:v>5361511.87063118</x:v>
      </x:c>
      <x:c r="AD1660" s="80" t="n">
        <x:f>Z1660/(1+'Inputs'!$C$48)</x:f>
        <x:v>0.7519858606003572</x:v>
      </x:c>
      <x:c r="AE1660" s="80" t="n">
        <x:f>Z1660-AD1660</x:f>
        <x:v>0.18799646515008928</x:v>
      </x:c>
      <x:c r="AF1660" s="80" t="n">
        <x:f>D1660*W1660</x:f>
        <x:v>1.6271796157157323</x:v>
      </x:c>
      <x:c r="AG1660" s="80" t="n">
        <x:f>C1660*W1660</x:f>
        <x:v>0.9491881091675178</x:v>
      </x:c>
      <x:c r="AH1660" s="80" t="n">
        <x:f>2*'Inputs'!$B$8*'Inputs'!$C$48</x:f>
        <x:v>1250</x:v>
      </x:c>
      <x:c r="AI1660" s="81" t="n">
        <x:f>IF(AH1660&gt;0,(AE1660+AF1660)/AH1660*365,0)</x:f>
        <x:v>0.53003141561282</x:v>
      </x:c>
      <x:c r="AJ1660" s="81" t="n">
        <x:f>IF('Inputs'!$B$48&gt;0,AG1660/('Inputs'!$B$19*'Inputs'!$B$48)*365,0)</x:f>
        <x:v>0.1385814639384576</x:v>
      </x:c>
      <x:c r="AK1660" s="81" t="n">
        <x:f>W1660/MAX($W$1464:W1660)-1</x:f>
        <x:v>-0.9931107871826137</x:v>
      </x:c>
      <x:c r="AL1660" s="83" t="n">
        <x:f>'Inputs'!$B$48</x:f>
        <x:v>0.25</x:v>
      </x:c>
      <x:c r="AM1660" s="83" t="n">
        <x:f>'Inputs'!$C$48</x:f>
        <x:v>0.25</x:v>
      </x:c>
      <x:c r="AN1660" s="83" t="n">
        <x:f>'Inputs'!$D$48</x:f>
        <x:v>0.3</x:v>
      </x:c>
      <x:c r="AO1660" s="81" t="n">
        <x:f>'Inputs'!$E$48</x:f>
        <x:v>0</x:v>
      </x:c>
    </x:row>
    <x:row r="1661">
      <x:c r="A1661" s="59" t="str">
        <x:v>Low participation</x:v>
      </x:c>
      <x:c r="B1661" s="59" t="n">
        <x:v>198</x:v>
      </x:c>
      <x:c r="C1661" s="78" t="n">
        <x:f>(('Inputs'!$B$29*(3*198*'Inputs'!$B$12-198^2)/(2*'Inputs'!$B$12^2))-('Inputs'!$B$29*(3*197*'Inputs'!$B$12-197^2)/(2*'Inputs'!$B$12^2)))*'Inputs'!$B$48</x:f>
        <x:v>161944.3727716282</x:v>
      </x:c>
      <x:c r="D1661" s="78" t="n">
        <x:f>IF('Inputs'!$C$48&gt;0,('Inputs'!$B$30*(3*198*'Inputs'!$B$12-198^2)/(2*'Inputs'!$B$12^2))-('Inputs'!$B$30*(3*197*'Inputs'!$B$12-197^2)/(2*'Inputs'!$B$12^2)),0)</x:f>
        <x:v>277618.92475135624</x:v>
      </x:c>
      <x:c r="E1661" s="78" t="n">
        <x:f>C1661+D1661</x:f>
        <x:v>439563.29752298445</x:v>
      </x:c>
      <x:c r="F1661" s="78" t="n">
        <x:f>'Inputs'!$B$13*E1661+(1-'Inputs'!$B$13)/'Inputs'!$B$14*SUM(E1606:E1661)</x:f>
        <x:v>444416.69403265096</x:v>
      </x:c>
      <x:c r="G1661" s="78" t="n">
        <x:f>F1661*'Inputs'!$F$48</x:f>
        <x:v>222208.34701632548</x:v>
      </x:c>
      <x:c r="H1661" s="78" t="n">
        <x:f>U1660</x:f>
        <x:v>43975130.559994884</x:v>
      </x:c>
      <x:c r="I1661" s="78" t="n">
        <x:f>V1660</x:f>
        <x:v>257.6176740651756</x:v>
      </x:c>
      <x:c r="J1661" s="79" t="n">
        <x:f>IF(H1661&gt;0,I1661/H1661,0)</x:f>
        <x:v>0.000005858258310653793</x:v>
      </x:c>
      <x:c r="K1661" s="80" t="n">
        <x:f>(H1661*J1661+I1661)*'Inputs'!$D$48*(1+'Inputs'!$G$48)^(B1661/30)</x:f>
        <x:v>154.57060443910535</x:v>
      </x:c>
      <x:c r="L1661" s="80" t="n">
        <x:f>MAX(0,K1661*'Inputs'!$E$48)</x:f>
        <x:v>0</x:v>
      </x:c>
      <x:c r="M1661" s="80" t="n">
        <x:f>MAX(0,-K1661*'Inputs'!$E$48)</x:f>
        <x:v>0</x:v>
      </x:c>
      <x:c r="N1661" s="78" t="n">
        <x:f>H1661*(L1661*(1-'Inputs'!$B$15))/(I1661+L1661*(1-'Inputs'!$B$15))</x:f>
        <x:v>0</x:v>
      </x:c>
      <x:c r="O1661" s="78" t="n">
        <x:f>H1661-N1661</x:f>
        <x:v>43975130.559994884</x:v>
      </x:c>
      <x:c r="P1661" s="78" t="n">
        <x:f>I1661+L1661*(1-'Inputs'!$B$17)</x:f>
        <x:v>257.6176740651756</x:v>
      </x:c>
      <x:c r="Q1661" s="78" t="n">
        <x:f>IF(J1661&gt;0,M1661/J1661,0)</x:f>
        <x:v>0</x:v>
      </x:c>
      <x:c r="R1661" s="78" t="n">
        <x:f>IF(B1661='Inputs'!$H$48,'Inputs'!$B$27*'Inputs'!$I$48,0)</x:f>
        <x:v>0</x:v>
      </x:c>
      <x:c r="S1661" s="78" t="n">
        <x:f>Q1661+G1661+R1661</x:f>
        <x:v>222208.34701632548</x:v>
      </x:c>
      <x:c r="T1661" s="78" t="n">
        <x:f>P1661*(S1661*(1-'Inputs'!$B$15))/(O1661+S1661*(1-'Inputs'!$B$15))</x:f>
        <x:v>1.282321523604704</x:v>
      </x:c>
      <x:c r="U1661" s="78" t="n">
        <x:f>O1661+S1661*(1-'Inputs'!$B$17)</x:f>
        <x:v>44196444.70843167</x:v>
      </x:c>
      <x:c r="V1661" s="78" t="n">
        <x:f>P1661-T1661</x:f>
        <x:v>256.3353525415709</x:v>
      </x:c>
      <x:c r="W1661" s="79" t="n">
        <x:f>IF(U1661&gt;0,V1661/U1661,0)</x:f>
        <x:v>0.00000579990888933806</x:v>
      </x:c>
      <x:c r="X1661" s="80" t="n">
        <x:f>W1661*('Inputs'!$B$6-AC1661)</x:f>
        <x:v>5768.499513150882</x:v>
      </x:c>
      <x:c r="Y1661" s="80" t="n">
        <x:f>2*V1661</x:f>
        <x:v>512.6707050831418</x:v>
      </x:c>
      <x:c r="Z1661" s="80" t="n">
        <x:f>K1661*'Inputs'!$B$16+(G1661+R1661)*J1661*'Inputs'!$B$16</x:f>
        <x:v>0.9352341500082624</x:v>
      </x:c>
      <x:c r="AA1661" s="80" t="n">
        <x:f>K1661*(1+'Inputs'!$E$48)/2*'Inputs'!$B$17</x:f>
        <x:v>0.3110072523925661</x:v>
      </x:c>
      <x:c r="AB1661" s="78" t="n">
        <x:f>(IF(J1661&gt;0,K1661*(1-'Inputs'!$E$48)/2/J1661,0)+G1661+R1661)*'Inputs'!$B$17</x:f>
        <x:v>53982.88738436536</x:v>
      </x:c>
      <x:c r="AC1661" s="78" t="n">
        <x:f>AC1660+AB1661</x:f>
        <x:v>5415494.758015545</x:v>
      </x:c>
      <x:c r="AD1661" s="80" t="n">
        <x:f>Z1661/(1+'Inputs'!$C$48)</x:f>
        <x:v>0.7481873200066099</x:v>
      </x:c>
      <x:c r="AE1661" s="80" t="n">
        <x:f>Z1661-AD1661</x:f>
        <x:v>0.18704683000165245</x:v>
      </x:c>
      <x:c r="AF1661" s="80" t="n">
        <x:f>D1661*W1661</x:f>
        <x:v>1.610164469513865</x:v>
      </x:c>
      <x:c r="AG1661" s="80" t="n">
        <x:f>C1661*W1661</x:f>
        <x:v>0.9392626072164428</x:v>
      </x:c>
      <x:c r="AH1661" s="80" t="n">
        <x:f>2*'Inputs'!$B$8*'Inputs'!$C$48</x:f>
        <x:v>1250</x:v>
      </x:c>
      <x:c r="AI1661" s="81" t="n">
        <x:f>IF(AH1661&gt;0,(AE1661+AF1661)/AH1661*365,0)</x:f>
        <x:v>0.5247856994585312</x:v>
      </x:c>
      <x:c r="AJ1661" s="81" t="n">
        <x:f>IF('Inputs'!$B$48&gt;0,AG1661/('Inputs'!$B$19*'Inputs'!$B$48)*365,0)</x:f>
        <x:v>0.13713234065360067</x:v>
      </x:c>
      <x:c r="AK1661" s="81" t="n">
        <x:f>W1661/MAX($W$1464:W1661)-1</x:f>
        <x:v>-0.9931794051164601</x:v>
      </x:c>
      <x:c r="AL1661" s="83" t="n">
        <x:f>'Inputs'!$B$48</x:f>
        <x:v>0.25</x:v>
      </x:c>
      <x:c r="AM1661" s="83" t="n">
        <x:f>'Inputs'!$C$48</x:f>
        <x:v>0.25</x:v>
      </x:c>
      <x:c r="AN1661" s="83" t="n">
        <x:f>'Inputs'!$D$48</x:f>
        <x:v>0.3</x:v>
      </x:c>
      <x:c r="AO1661" s="81" t="n">
        <x:f>'Inputs'!$E$48</x:f>
        <x:v>0</x:v>
      </x:c>
    </x:row>
    <x:row r="1662">
      <x:c r="A1662" s="59" t="str">
        <x:v>Low participation</x:v>
      </x:c>
      <x:c r="B1662" s="59" t="n">
        <x:v>199</x:v>
      </x:c>
      <x:c r="C1662" s="78" t="n">
        <x:f>(('Inputs'!$B$29*(3*199*'Inputs'!$B$12-199^2)/(2*'Inputs'!$B$12^2))-('Inputs'!$B$29*(3*198*'Inputs'!$B$12-198^2)/(2*'Inputs'!$B$12^2)))*'Inputs'!$B$48</x:f>
        <x:v>161863.09579658508</x:v>
      </x:c>
      <x:c r="D1662" s="78" t="n">
        <x:f>IF('Inputs'!$C$48&gt;0,('Inputs'!$B$30*(3*199*'Inputs'!$B$12-199^2)/(2*'Inputs'!$B$12^2))-('Inputs'!$B$30*(3*198*'Inputs'!$B$12-198^2)/(2*'Inputs'!$B$12^2)),0)</x:f>
        <x:v>277479.5927941501</x:v>
      </x:c>
      <x:c r="E1662" s="78" t="n">
        <x:f>C1662+D1662</x:f>
        <x:v>439342.6885907352</x:v>
      </x:c>
      <x:c r="F1662" s="78" t="n">
        <x:f>'Inputs'!$B$13*E1662+(1-'Inputs'!$B$13)/'Inputs'!$B$14*SUM(E1607:E1662)</x:f>
        <x:v>444196.0851003952</x:v>
      </x:c>
      <x:c r="G1662" s="78" t="n">
        <x:f>F1662*'Inputs'!$F$48</x:f>
        <x:v>222098.0425501976</x:v>
      </x:c>
      <x:c r="H1662" s="78" t="n">
        <x:f>U1661</x:f>
        <x:v>44196444.70843167</x:v>
      </x:c>
      <x:c r="I1662" s="78" t="n">
        <x:f>V1661</x:f>
        <x:v>256.3353525415709</x:v>
      </x:c>
      <x:c r="J1662" s="79" t="n">
        <x:f>IF(H1662&gt;0,I1662/H1662,0)</x:f>
        <x:v>0.00000579990888933806</x:v>
      </x:c>
      <x:c r="K1662" s="80" t="n">
        <x:f>(H1662*J1662+I1662)*'Inputs'!$D$48*(1+'Inputs'!$G$48)^(B1662/30)</x:f>
        <x:v>153.80121152494254</x:v>
      </x:c>
      <x:c r="L1662" s="80" t="n">
        <x:f>MAX(0,K1662*'Inputs'!$E$48)</x:f>
        <x:v>0</x:v>
      </x:c>
      <x:c r="M1662" s="80" t="n">
        <x:f>MAX(0,-K1662*'Inputs'!$E$48)</x:f>
        <x:v>0</x:v>
      </x:c>
      <x:c r="N1662" s="78" t="n">
        <x:f>H1662*(L1662*(1-'Inputs'!$B$15))/(I1662+L1662*(1-'Inputs'!$B$15))</x:f>
        <x:v>0</x:v>
      </x:c>
      <x:c r="O1662" s="78" t="n">
        <x:f>H1662-N1662</x:f>
        <x:v>44196444.70843167</x:v>
      </x:c>
      <x:c r="P1662" s="78" t="n">
        <x:f>I1662+L1662*(1-'Inputs'!$B$17)</x:f>
        <x:v>256.3353525415709</x:v>
      </x:c>
      <x:c r="Q1662" s="78" t="n">
        <x:f>IF(J1662&gt;0,M1662/J1662,0)</x:f>
        <x:v>0</x:v>
      </x:c>
      <x:c r="R1662" s="78" t="n">
        <x:f>IF(B1662='Inputs'!$H$48,'Inputs'!$B$27*'Inputs'!$I$48,0)</x:f>
        <x:v>0</x:v>
      </x:c>
      <x:c r="S1662" s="78" t="n">
        <x:f>Q1662+G1662+R1662</x:f>
        <x:v>222098.0425501976</x:v>
      </x:c>
      <x:c r="T1662" s="78" t="n">
        <x:f>P1662*(S1662*(1-'Inputs'!$B$15))/(O1662+S1662*(1-'Inputs'!$B$15))</x:f>
        <x:v>1.2689538887684608</x:v>
      </x:c>
      <x:c r="U1662" s="78" t="n">
        <x:f>O1662+S1662*(1-'Inputs'!$B$17)</x:f>
        <x:v>44417648.99628347</x:v>
      </x:c>
      <x:c r="V1662" s="78" t="n">
        <x:f>P1662-T1662</x:f>
        <x:v>255.06639865280243</x:v>
      </x:c>
      <x:c r="W1662" s="79" t="n">
        <x:f>IF(U1662&gt;0,V1662/U1662,0)</x:f>
        <x:v>0.0000057424560825843</x:v>
      </x:c>
      <x:c r="X1662" s="80" t="n">
        <x:f>W1662*('Inputs'!$B$6-AC1662)</x:f>
        <x:v>5711.04631569013</x:v>
      </x:c>
      <x:c r="Y1662" s="80" t="n">
        <x:f>2*V1662</x:f>
        <x:v>510.13279730560487</x:v>
      </x:c>
      <x:c r="Z1662" s="80" t="n">
        <x:f>K1662*'Inputs'!$B$16+(G1662+R1662)*J1662*'Inputs'!$B$16</x:f>
        <x:v>0.9305361596174041</x:v>
      </x:c>
      <x:c r="AA1662" s="80" t="n">
        <x:f>K1662*(1+'Inputs'!$E$48)/2*'Inputs'!$B$17</x:f>
        <x:v>0.3094591781185967</x:v>
      </x:c>
      <x:c r="AB1662" s="78" t="n">
        <x:f>(IF(J1662&gt;0,K1662*(1-'Inputs'!$E$48)/2/J1662,0)+G1662+R1662)*'Inputs'!$B$17</x:f>
        <x:v>54249.62356168893</x:v>
      </x:c>
      <x:c r="AC1662" s="78" t="n">
        <x:f>AC1661+AB1662</x:f>
        <x:v>5469744.381577234</x:v>
      </x:c>
      <x:c r="AD1662" s="80" t="n">
        <x:f>Z1662/(1+'Inputs'!$C$48)</x:f>
        <x:v>0.7444289276939233</x:v>
      </x:c>
      <x:c r="AE1662" s="80" t="n">
        <x:f>Z1662-AD1662</x:f>
        <x:v>0.18610723192348078</x:v>
      </x:c>
      <x:c r="AF1662" s="80" t="n">
        <x:f>D1662*W1662</x:f>
        <x:v>1.593414375433782</x:v>
      </x:c>
      <x:c r="AG1662" s="80" t="n">
        <x:f>C1662*W1662</x:f>
        <x:v>0.9294917190030252</x:v>
      </x:c>
      <x:c r="AH1662" s="80" t="n">
        <x:f>2*'Inputs'!$B$8*'Inputs'!$C$48</x:f>
        <x:v>1250</x:v>
      </x:c>
      <x:c r="AI1662" s="81" t="n">
        <x:f>IF(AH1662&gt;0,(AE1662+AF1662)/AH1662*365,0)</x:f>
        <x:v>0.5196203093483207</x:v>
      </x:c>
      <x:c r="AJ1662" s="81" t="n">
        <x:f>IF('Inputs'!$B$48&gt;0,AG1662/('Inputs'!$B$19*'Inputs'!$B$48)*365,0)</x:f>
        <x:v>0.13570579097444166</x:v>
      </x:c>
      <x:c r="AK1662" s="81" t="n">
        <x:f>W1662/MAX($W$1464:W1662)-1</x:f>
        <x:v>-0.9932469686467269</x:v>
      </x:c>
      <x:c r="AL1662" s="83" t="n">
        <x:f>'Inputs'!$B$48</x:f>
        <x:v>0.25</x:v>
      </x:c>
      <x:c r="AM1662" s="83" t="n">
        <x:f>'Inputs'!$C$48</x:f>
        <x:v>0.25</x:v>
      </x:c>
      <x:c r="AN1662" s="83" t="n">
        <x:f>'Inputs'!$D$48</x:f>
        <x:v>0.3</x:v>
      </x:c>
      <x:c r="AO1662" s="81" t="n">
        <x:f>'Inputs'!$E$48</x:f>
        <x:v>0</x:v>
      </x:c>
    </x:row>
    <x:row r="1663">
      <x:c r="A1663" s="59" t="str">
        <x:v>Low participation</x:v>
      </x:c>
      <x:c r="B1663" s="59" t="n">
        <x:v>200</x:v>
      </x:c>
      <x:c r="C1663" s="78" t="n">
        <x:f>(('Inputs'!$B$29*(3*200*'Inputs'!$B$12-200^2)/(2*'Inputs'!$B$12^2))-('Inputs'!$B$29*(3*199*'Inputs'!$B$12-199^2)/(2*'Inputs'!$B$12^2)))*'Inputs'!$B$48</x:f>
        <x:v>161781.81882154197</x:v>
      </x:c>
      <x:c r="D1663" s="78" t="n">
        <x:f>IF('Inputs'!$C$48&gt;0,('Inputs'!$B$30*(3*200*'Inputs'!$B$12-200^2)/(2*'Inputs'!$B$12^2))-('Inputs'!$B$30*(3*199*'Inputs'!$B$12-199^2)/(2*'Inputs'!$B$12^2)),0)</x:f>
        <x:v>277340.2608369291</x:v>
      </x:c>
      <x:c r="E1663" s="78" t="n">
        <x:f>C1663+D1663</x:f>
        <x:v>439122.07965847105</x:v>
      </x:c>
      <x:c r="F1663" s="78" t="n">
        <x:f>'Inputs'!$B$13*E1663+(1-'Inputs'!$B$13)/'Inputs'!$B$14*SUM(E1608:E1663)</x:f>
        <x:v>443975.47616813635</x:v>
      </x:c>
      <x:c r="G1663" s="78" t="n">
        <x:f>F1663*'Inputs'!$F$48</x:f>
        <x:v>221987.73808406817</x:v>
      </x:c>
      <x:c r="H1663" s="78" t="n">
        <x:f>U1662</x:f>
        <x:v>44417648.99628347</x:v>
      </x:c>
      <x:c r="I1663" s="78" t="n">
        <x:f>V1662</x:f>
        <x:v>255.06639865280243</x:v>
      </x:c>
      <x:c r="J1663" s="79" t="n">
        <x:f>IF(H1663&gt;0,I1663/H1663,0)</x:f>
        <x:v>0.0000057424560825843</x:v>
      </x:c>
      <x:c r="K1663" s="80" t="n">
        <x:f>(H1663*J1663+I1663)*'Inputs'!$D$48*(1+'Inputs'!$G$48)^(B1663/30)</x:f>
        <x:v>153.03983919168147</x:v>
      </x:c>
      <x:c r="L1663" s="80" t="n">
        <x:f>MAX(0,K1663*'Inputs'!$E$48)</x:f>
        <x:v>0</x:v>
      </x:c>
      <x:c r="M1663" s="80" t="n">
        <x:f>MAX(0,-K1663*'Inputs'!$E$48)</x:f>
        <x:v>0</x:v>
      </x:c>
      <x:c r="N1663" s="78" t="n">
        <x:f>H1663*(L1663*(1-'Inputs'!$B$15))/(I1663+L1663*(1-'Inputs'!$B$15))</x:f>
        <x:v>0</x:v>
      </x:c>
      <x:c r="O1663" s="78" t="n">
        <x:f>H1663-N1663</x:f>
        <x:v>44417648.99628347</x:v>
      </x:c>
      <x:c r="P1663" s="78" t="n">
        <x:f>I1663+L1663*(1-'Inputs'!$B$17)</x:f>
        <x:v>255.06639865280243</x:v>
      </x:c>
      <x:c r="Q1663" s="78" t="n">
        <x:f>IF(J1663&gt;0,M1663/J1663,0)</x:f>
        <x:v>0</x:v>
      </x:c>
      <x:c r="R1663" s="78" t="n">
        <x:f>IF(B1663='Inputs'!$H$48,'Inputs'!$B$27*'Inputs'!$I$48,0)</x:f>
        <x:v>0</x:v>
      </x:c>
      <x:c r="S1663" s="78" t="n">
        <x:f>Q1663+G1663+R1663</x:f>
        <x:v>221987.73808406817</x:v>
      </x:c>
      <x:c r="T1663" s="78" t="n">
        <x:f>P1663*(S1663*(1-'Inputs'!$B$15))/(O1663+S1663*(1-'Inputs'!$B$15))</x:f>
        <x:v>1.2557939216957426</x:v>
      </x:c>
      <x:c r="U1663" s="78" t="n">
        <x:f>O1663+S1663*(1-'Inputs'!$B$17)</x:f>
        <x:v>44638743.4235503</x:v>
      </x:c>
      <x:c r="V1663" s="78" t="n">
        <x:f>P1663-T1663</x:f>
        <x:v>253.81060473110668</x:v>
      </x:c>
      <x:c r="W1663" s="79" t="n">
        <x:f>IF(U1663&gt;0,V1663/U1663,0)</x:f>
        <x:v>0.000005685881484674644</x:v>
      </x:c>
      <x:c r="X1663" s="80" t="n">
        <x:f>W1663*('Inputs'!$B$6-AC1663)</x:f>
        <x:v>5654.4711935631885</x:v>
      </x:c>
      <x:c r="Y1663" s="80" t="n">
        <x:f>2*V1663</x:f>
        <x:v>507.62120946221336</x:v>
      </x:c>
      <x:c r="Z1663" s="80" t="n">
        <x:f>K1663*'Inputs'!$B$16+(G1663+R1663)*J1663*'Inputs'!$B$16</x:f>
        <x:v>0.9258875641710088</x:v>
      </x:c>
      <x:c r="AA1663" s="80" t="n">
        <x:f>K1663*(1+'Inputs'!$E$48)/2*'Inputs'!$B$17</x:f>
        <x:v>0.30792724183436915</x:v>
      </x:c>
      <x:c r="AB1663" s="78" t="n">
        <x:f>(IF(J1663&gt;0,K1663*(1-'Inputs'!$E$48)/2/J1663,0)+G1663+R1663)*'Inputs'!$B$17</x:f>
        <x:v>54516.22711053969</x:v>
      </x:c>
      <x:c r="AC1663" s="78" t="n">
        <x:f>AC1662+AB1663</x:f>
        <x:v>5524260.608687773</x:v>
      </x:c>
      <x:c r="AD1663" s="80" t="n">
        <x:f>Z1663/(1+'Inputs'!$C$48)</x:f>
        <x:v>0.740710051336807</x:v>
      </x:c>
      <x:c r="AE1663" s="80" t="n">
        <x:f>Z1663-AD1663</x:f>
        <x:v>0.1851775128342018</x:v>
      </x:c>
      <x:c r="AF1663" s="80" t="n">
        <x:f>D1663*W1663</x:f>
        <x:v>1.5769238540475314</x:v>
      </x:c>
      <x:c r="AG1663" s="80" t="n">
        <x:f>C1663*W1663</x:f>
        <x:v>0.9198722481943933</x:v>
      </x:c>
      <x:c r="AH1663" s="80" t="n">
        <x:f>2*'Inputs'!$B$8*'Inputs'!$C$48</x:f>
        <x:v>1250</x:v>
      </x:c>
      <x:c r="AI1663" s="81" t="n">
        <x:f>IF(AH1663&gt;0,(AE1663+AF1663)/AH1663*365,0)</x:f>
        <x:v>0.5145335991294662</x:v>
      </x:c>
      <x:c r="AJ1663" s="81" t="n">
        <x:f>IF('Inputs'!$B$48&gt;0,AG1663/('Inputs'!$B$19*'Inputs'!$B$48)*365,0)</x:f>
        <x:v>0.1343013482363814</x:v>
      </x:c>
      <x:c r="AK1663" s="81" t="n">
        <x:f>W1663/MAX($W$1464:W1663)-1</x:f>
        <x:v>-0.9933134994182276</x:v>
      </x:c>
      <x:c r="AL1663" s="83" t="n">
        <x:f>'Inputs'!$B$48</x:f>
        <x:v>0.25</x:v>
      </x:c>
      <x:c r="AM1663" s="83" t="n">
        <x:f>'Inputs'!$C$48</x:f>
        <x:v>0.25</x:v>
      </x:c>
      <x:c r="AN1663" s="83" t="n">
        <x:f>'Inputs'!$D$48</x:f>
        <x:v>0.3</x:v>
      </x:c>
      <x:c r="AO1663" s="81" t="n">
        <x:f>'Inputs'!$E$48</x:f>
        <x:v>0</x:v>
      </x:c>
    </x:row>
    <x:row r="1664">
      <x:c r="A1664" s="59" t="str">
        <x:v>Low participation</x:v>
      </x:c>
      <x:c r="B1664" s="59" t="n">
        <x:v>201</x:v>
      </x:c>
      <x:c r="C1664" s="78" t="n">
        <x:f>(('Inputs'!$B$29*(3*201*'Inputs'!$B$12-201^2)/(2*'Inputs'!$B$12^2))-('Inputs'!$B$29*(3*200*'Inputs'!$B$12-200^2)/(2*'Inputs'!$B$12^2)))*'Inputs'!$B$48</x:f>
        <x:v>161700.54184649885</x:v>
      </x:c>
      <x:c r="D1664" s="78" t="n">
        <x:f>IF('Inputs'!$C$48&gt;0,('Inputs'!$B$30*(3*201*'Inputs'!$B$12-201^2)/(2*'Inputs'!$B$12^2))-('Inputs'!$B$30*(3*200*'Inputs'!$B$12-200^2)/(2*'Inputs'!$B$12^2)),0)</x:f>
        <x:v>277200.9288797155</x:v>
      </x:c>
      <x:c r="E1664" s="78" t="n">
        <x:f>C1664+D1664</x:f>
        <x:v>438901.47072621435</x:v>
      </x:c>
      <x:c r="F1664" s="78" t="n">
        <x:f>'Inputs'!$B$13*E1664+(1-'Inputs'!$B$13)/'Inputs'!$B$14*SUM(E1609:E1664)</x:f>
        <x:v>443754.86723587906</x:v>
      </x:c>
      <x:c r="G1664" s="78" t="n">
        <x:f>F1664*'Inputs'!$F$48</x:f>
        <x:v>221877.43361793953</x:v>
      </x:c>
      <x:c r="H1664" s="78" t="n">
        <x:f>U1663</x:f>
        <x:v>44638743.4235503</x:v>
      </x:c>
      <x:c r="I1664" s="78" t="n">
        <x:f>V1663</x:f>
        <x:v>253.81060473110668</x:v>
      </x:c>
      <x:c r="J1664" s="79" t="n">
        <x:f>IF(H1664&gt;0,I1664/H1664,0)</x:f>
        <x:v>0.000005685881484674644</x:v>
      </x:c>
      <x:c r="K1664" s="80" t="n">
        <x:f>(H1664*J1664+I1664)*'Inputs'!$D$48*(1+'Inputs'!$G$48)^(B1664/30)</x:f>
        <x:v>152.286362838664</x:v>
      </x:c>
      <x:c r="L1664" s="80" t="n">
        <x:f>MAX(0,K1664*'Inputs'!$E$48)</x:f>
        <x:v>0</x:v>
      </x:c>
      <x:c r="M1664" s="80" t="n">
        <x:f>MAX(0,-K1664*'Inputs'!$E$48)</x:f>
        <x:v>0</x:v>
      </x:c>
      <x:c r="N1664" s="78" t="n">
        <x:f>H1664*(L1664*(1-'Inputs'!$B$15))/(I1664+L1664*(1-'Inputs'!$B$15))</x:f>
        <x:v>0</x:v>
      </x:c>
      <x:c r="O1664" s="78" t="n">
        <x:f>H1664-N1664</x:f>
        <x:v>44638743.4235503</x:v>
      </x:c>
      <x:c r="P1664" s="78" t="n">
        <x:f>I1664+L1664*(1-'Inputs'!$B$17)</x:f>
        <x:v>253.81060473110668</x:v>
      </x:c>
      <x:c r="Q1664" s="78" t="n">
        <x:f>IF(J1664&gt;0,M1664/J1664,0)</x:f>
        <x:v>0</x:v>
      </x:c>
      <x:c r="R1664" s="78" t="n">
        <x:f>IF(B1664='Inputs'!$H$48,'Inputs'!$B$27*'Inputs'!$I$48,0)</x:f>
        <x:v>0</x:v>
      </x:c>
      <x:c r="S1664" s="78" t="n">
        <x:f>Q1664+G1664+R1664</x:f>
        <x:v>221877.43361793953</x:v>
      </x:c>
      <x:c r="T1664" s="78" t="n">
        <x:f>P1664*(S1664*(1-'Inputs'!$B$15))/(O1664+S1664*(1-'Inputs'!$B$15))</x:f>
        <x:v>1.2428373405673452</x:v>
      </x:c>
      <x:c r="U1664" s="78" t="n">
        <x:f>O1664+S1664*(1-'Inputs'!$B$17)</x:f>
        <x:v>44859727.990232155</x:v>
      </x:c>
      <x:c r="V1664" s="78" t="n">
        <x:f>P1664-T1664</x:f>
        <x:v>252.56776739053933</x:v>
      </x:c>
      <x:c r="W1664" s="79" t="n">
        <x:f>IF(U1664&gt;0,V1664/U1664,0)</x:f>
        <x:v>0.000005630167161190409</x:v>
      </x:c>
      <x:c r="X1664" s="80" t="n">
        <x:f>W1664*('Inputs'!$B$6-AC1664)</x:f>
        <x:v>5598.756214774063</x:v>
      </x:c>
      <x:c r="Y1664" s="80" t="n">
        <x:f>2*V1664</x:f>
        <x:v>505.13553478107866</x:v>
      </x:c>
      <x:c r="Z1664" s="80" t="n">
        <x:f>K1664*'Inputs'!$B$16+(G1664+R1664)*J1664*'Inputs'!$B$16</x:f>
        <x:v>0.9212875897820362</x:v>
      </x:c>
      <x:c r="AA1664" s="80" t="n">
        <x:f>K1664*(1+'Inputs'!$E$48)/2*'Inputs'!$B$17</x:f>
        <x:v>0.306411192834334</x:v>
      </x:c>
      <x:c r="AB1664" s="78" t="n">
        <x:f>(IF(J1664&gt;0,K1664*(1-'Inputs'!$E$48)/2/J1664,0)+G1664+R1664)*'Inputs'!$B$17</x:f>
        <x:v>54782.69803091762</x:v>
      </x:c>
      <x:c r="AC1664" s="78" t="n">
        <x:f>AC1663+AB1664</x:f>
        <x:v>5579043.306718691</x:v>
      </x:c>
      <x:c r="AD1664" s="80" t="n">
        <x:f>Z1664/(1+'Inputs'!$C$48)</x:f>
        <x:v>0.737030071825629</x:v>
      </x:c>
      <x:c r="AE1664" s="80" t="n">
        <x:f>Z1664-AD1664</x:f>
        <x:v>0.1842575179564072</x:v>
      </x:c>
      <x:c r="AF1664" s="80" t="n">
        <x:f>D1664*W1664</x:f>
        <x:v>1.5606875668300524</x:v>
      </x:c>
      <x:c r="AG1664" s="80" t="n">
        <x:f>C1664*W1664</x:f>
        <x:v>0.9104010806508533</x:v>
      </x:c>
      <x:c r="AH1664" s="80" t="n">
        <x:f>2*'Inputs'!$B$8*'Inputs'!$C$48</x:f>
        <x:v>1250</x:v>
      </x:c>
      <x:c r="AI1664" s="81" t="n">
        <x:f>IF(AH1664&gt;0,(AE1664+AF1664)/AH1664*365,0)</x:f>
        <x:v>0.5095239647576462</x:v>
      </x:c>
      <x:c r="AJ1664" s="81" t="n">
        <x:f>IF('Inputs'!$B$48&gt;0,AG1664/('Inputs'!$B$19*'Inputs'!$B$48)*365,0)</x:f>
        <x:v>0.1329185577750246</x:v>
      </x:c>
      <x:c r="AK1664" s="81" t="n">
        <x:f>W1664/MAX($W$1464:W1664)-1</x:f>
        <x:v>-0.9933790185215353</x:v>
      </x:c>
      <x:c r="AL1664" s="83" t="n">
        <x:f>'Inputs'!$B$48</x:f>
        <x:v>0.25</x:v>
      </x:c>
      <x:c r="AM1664" s="83" t="n">
        <x:f>'Inputs'!$C$48</x:f>
        <x:v>0.25</x:v>
      </x:c>
      <x:c r="AN1664" s="83" t="n">
        <x:f>'Inputs'!$D$48</x:f>
        <x:v>0.3</x:v>
      </x:c>
      <x:c r="AO1664" s="81" t="n">
        <x:f>'Inputs'!$E$48</x:f>
        <x:v>0</x:v>
      </x:c>
    </x:row>
    <x:row r="1665">
      <x:c r="A1665" s="59" t="str">
        <x:v>Low participation</x:v>
      </x:c>
      <x:c r="B1665" s="59" t="n">
        <x:v>202</x:v>
      </x:c>
      <x:c r="C1665" s="78" t="n">
        <x:f>(('Inputs'!$B$29*(3*202*'Inputs'!$B$12-202^2)/(2*'Inputs'!$B$12^2))-('Inputs'!$B$29*(3*201*'Inputs'!$B$12-201^2)/(2*'Inputs'!$B$12^2)))*'Inputs'!$B$48</x:f>
        <x:v>161619.26487145573</x:v>
      </x:c>
      <x:c r="D1665" s="78" t="n">
        <x:f>IF('Inputs'!$C$48&gt;0,('Inputs'!$B$30*(3*202*'Inputs'!$B$12-202^2)/(2*'Inputs'!$B$12^2))-('Inputs'!$B$30*(3*201*'Inputs'!$B$12-201^2)/(2*'Inputs'!$B$12^2)),0)</x:f>
        <x:v>277061.5969224945</x:v>
      </x:c>
      <x:c r="E1665" s="78" t="n">
        <x:f>C1665+D1665</x:f>
        <x:v>438680.8617939502</x:v>
      </x:c>
      <x:c r="F1665" s="78" t="n">
        <x:f>'Inputs'!$B$13*E1665+(1-'Inputs'!$B$13)/'Inputs'!$B$14*SUM(E1610:E1665)</x:f>
        <x:v>443534.2583036202</x:v>
      </x:c>
      <x:c r="G1665" s="78" t="n">
        <x:f>F1665*'Inputs'!$F$48</x:f>
        <x:v>221767.1291518101</x:v>
      </x:c>
      <x:c r="H1665" s="78" t="n">
        <x:f>U1664</x:f>
        <x:v>44859727.990232155</x:v>
      </x:c>
      <x:c r="I1665" s="78" t="n">
        <x:f>V1664</x:f>
        <x:v>252.56776739053933</x:v>
      </x:c>
      <x:c r="J1665" s="79" t="n">
        <x:f>IF(H1665&gt;0,I1665/H1665,0)</x:f>
        <x:v>0.000005630167161190409</x:v>
      </x:c>
      <x:c r="K1665" s="80" t="n">
        <x:f>(H1665*J1665+I1665)*'Inputs'!$D$48*(1+'Inputs'!$G$48)^(B1665/30)</x:f>
        <x:v>151.54066043432357</x:v>
      </x:c>
      <x:c r="L1665" s="80" t="n">
        <x:f>MAX(0,K1665*'Inputs'!$E$48)</x:f>
        <x:v>0</x:v>
      </x:c>
      <x:c r="M1665" s="80" t="n">
        <x:f>MAX(0,-K1665*'Inputs'!$E$48)</x:f>
        <x:v>0</x:v>
      </x:c>
      <x:c r="N1665" s="78" t="n">
        <x:f>H1665*(L1665*(1-'Inputs'!$B$15))/(I1665+L1665*(1-'Inputs'!$B$15))</x:f>
        <x:v>0</x:v>
      </x:c>
      <x:c r="O1665" s="78" t="n">
        <x:f>H1665-N1665</x:f>
        <x:v>44859727.990232155</x:v>
      </x:c>
      <x:c r="P1665" s="78" t="n">
        <x:f>I1665+L1665*(1-'Inputs'!$B$17)</x:f>
        <x:v>252.56776739053933</x:v>
      </x:c>
      <x:c r="Q1665" s="78" t="n">
        <x:f>IF(J1665&gt;0,M1665/J1665,0)</x:f>
        <x:v>0</x:v>
      </x:c>
      <x:c r="R1665" s="78" t="n">
        <x:f>IF(B1665='Inputs'!$H$48,'Inputs'!$B$27*'Inputs'!$I$48,0)</x:f>
        <x:v>0</x:v>
      </x:c>
      <x:c r="S1665" s="78" t="n">
        <x:f>Q1665+G1665+R1665</x:f>
        <x:v>221767.1291518101</x:v>
      </x:c>
      <x:c r="T1665" s="78" t="n">
        <x:f>P1665*(S1665*(1-'Inputs'!$B$15))/(O1665+S1665*(1-'Inputs'!$B$15))</x:f>
        <x:v>1.2300799733852807</x:v>
      </x:c>
      <x:c r="U1665" s="78" t="n">
        <x:f>O1665+S1665*(1-'Inputs'!$B$17)</x:f>
        <x:v>45080602.69632903</x:v>
      </x:c>
      <x:c r="V1665" s="78" t="n">
        <x:f>P1665-T1665</x:f>
        <x:v>251.33768741715406</x:v>
      </x:c>
      <x:c r="W1665" s="79" t="n">
        <x:f>IF(U1665&gt;0,V1665/U1665,0)</x:f>
        <x:v>0.0000055752956345816735</x:v>
      </x:c>
      <x:c r="X1665" s="80" t="n">
        <x:f>W1665*('Inputs'!$B$6-AC1665)</x:f>
        <x:v>5543.883904136684</x:v>
      </x:c>
      <x:c r="Y1665" s="80" t="n">
        <x:f>2*V1665</x:f>
        <x:v>502.6753748343081</x:v>
      </x:c>
      <x:c r="Z1665" s="80" t="n">
        <x:f>K1665*'Inputs'!$B$16+(G1665+R1665)*J1665*'Inputs'!$B$16</x:f>
        <x:v>0.9167354786538334</x:v>
      </x:c>
      <x:c r="AA1665" s="80" t="n">
        <x:f>K1665*(1+'Inputs'!$E$48)/2*'Inputs'!$B$17</x:f>
        <x:v>0.30491078558214</x:v>
      </x:c>
      <x:c r="AB1665" s="78" t="n">
        <x:f>(IF(J1665&gt;0,K1665*(1-'Inputs'!$E$48)/2/J1665,0)+G1665+R1665)*'Inputs'!$B$17</x:f>
        <x:v>55049.03632282276</x:v>
      </x:c>
      <x:c r="AC1665" s="78" t="n">
        <x:f>AC1664+AB1665</x:f>
        <x:v>5634092.343041514</x:v>
      </x:c>
      <x:c r="AD1665" s="80" t="n">
        <x:f>Z1665/(1+'Inputs'!$C$48)</x:f>
        <x:v>0.7333883829230667</x:v>
      </x:c>
      <x:c r="AE1665" s="80" t="n">
        <x:f>Z1665-AD1665</x:f>
        <x:v>0.18334709573076668</x:v>
      </x:c>
      <x:c r="AF1665" s="80" t="n">
        <x:f>D1665*W1665</x:f>
        <x:v>1.5447003118322107</x:v>
      </x:c>
      <x:c r="AG1665" s="80" t="n">
        <x:f>C1665*W1665</x:f>
        <x:v>0.9010751819021263</x:v>
      </x:c>
      <x:c r="AH1665" s="80" t="n">
        <x:f>2*'Inputs'!$B$8*'Inputs'!$C$48</x:f>
        <x:v>1250</x:v>
      </x:c>
      <x:c r="AI1665" s="81" t="n">
        <x:f>IF(AH1665&gt;0,(AE1665+AF1665)/AH1665*365,0)</x:f>
        <x:v>0.5045898430083894</x:v>
      </x:c>
      <x:c r="AJ1665" s="81" t="n">
        <x:f>IF('Inputs'!$B$48&gt;0,AG1665/('Inputs'!$B$19*'Inputs'!$B$48)*365,0)</x:f>
        <x:v>0.13155697655771045</x:v>
      </x:c>
      <x:c r="AK1665" s="81" t="n">
        <x:f>W1665/MAX($W$1464:W1665)-1</x:f>
        <x:v>-0.9934435465099538</x:v>
      </x:c>
      <x:c r="AL1665" s="83" t="n">
        <x:f>'Inputs'!$B$48</x:f>
        <x:v>0.25</x:v>
      </x:c>
      <x:c r="AM1665" s="83" t="n">
        <x:f>'Inputs'!$C$48</x:f>
        <x:v>0.25</x:v>
      </x:c>
      <x:c r="AN1665" s="83" t="n">
        <x:f>'Inputs'!$D$48</x:f>
        <x:v>0.3</x:v>
      </x:c>
      <x:c r="AO1665" s="81" t="n">
        <x:f>'Inputs'!$E$48</x:f>
        <x:v>0</x:v>
      </x:c>
    </x:row>
    <x:row r="1666">
      <x:c r="A1666" s="59" t="str">
        <x:v>Low participation</x:v>
      </x:c>
      <x:c r="B1666" s="59" t="n">
        <x:v>203</x:v>
      </x:c>
      <x:c r="C1666" s="78" t="n">
        <x:f>(('Inputs'!$B$29*(3*203*'Inputs'!$B$12-203^2)/(2*'Inputs'!$B$12^2))-('Inputs'!$B$29*(3*202*'Inputs'!$B$12-202^2)/(2*'Inputs'!$B$12^2)))*'Inputs'!$B$48</x:f>
        <x:v>161537.98789642006</x:v>
      </x:c>
      <x:c r="D1666" s="78" t="n">
        <x:f>IF('Inputs'!$C$48&gt;0,('Inputs'!$B$30*(3*203*'Inputs'!$B$12-203^2)/(2*'Inputs'!$B$12^2))-('Inputs'!$B$30*(3*202*'Inputs'!$B$12-202^2)/(2*'Inputs'!$B$12^2)),0)</x:f>
        <x:v>276922.26496528834</x:v>
      </x:c>
      <x:c r="E1666" s="78" t="n">
        <x:f>C1666+D1666</x:f>
        <x:v>438460.2528617084</x:v>
      </x:c>
      <x:c r="F1666" s="78" t="n">
        <x:f>'Inputs'!$B$13*E1666+(1-'Inputs'!$B$13)/'Inputs'!$B$14*SUM(E1611:E1666)</x:f>
        <x:v>443313.649371366</x:v>
      </x:c>
      <x:c r="G1666" s="78" t="n">
        <x:f>F1666*'Inputs'!$F$48</x:f>
        <x:v>221656.824685683</x:v>
      </x:c>
      <x:c r="H1666" s="78" t="n">
        <x:f>U1665</x:f>
        <x:v>45080602.69632903</x:v>
      </x:c>
      <x:c r="I1666" s="78" t="n">
        <x:f>V1665</x:f>
        <x:v>251.33768741715406</x:v>
      </x:c>
      <x:c r="J1666" s="79" t="n">
        <x:f>IF(H1666&gt;0,I1666/H1666,0)</x:f>
        <x:v>0.0000055752956345816735</x:v>
      </x:c>
      <x:c r="K1666" s="80" t="n">
        <x:f>(H1666*J1666+I1666)*'Inputs'!$D$48*(1+'Inputs'!$G$48)^(B1666/30)</x:f>
        <x:v>150.80261245029243</x:v>
      </x:c>
      <x:c r="L1666" s="80" t="n">
        <x:f>MAX(0,K1666*'Inputs'!$E$48)</x:f>
        <x:v>0</x:v>
      </x:c>
      <x:c r="M1666" s="80" t="n">
        <x:f>MAX(0,-K1666*'Inputs'!$E$48)</x:f>
        <x:v>0</x:v>
      </x:c>
      <x:c r="N1666" s="78" t="n">
        <x:f>H1666*(L1666*(1-'Inputs'!$B$15))/(I1666+L1666*(1-'Inputs'!$B$15))</x:f>
        <x:v>0</x:v>
      </x:c>
      <x:c r="O1666" s="78" t="n">
        <x:f>H1666-N1666</x:f>
        <x:v>45080602.69632903</x:v>
      </x:c>
      <x:c r="P1666" s="78" t="n">
        <x:f>I1666+L1666*(1-'Inputs'!$B$17)</x:f>
        <x:v>251.33768741715406</x:v>
      </x:c>
      <x:c r="Q1666" s="78" t="n">
        <x:f>IF(J1666&gt;0,M1666/J1666,0)</x:f>
        <x:v>0</x:v>
      </x:c>
      <x:c r="R1666" s="78" t="n">
        <x:f>IF(B1666='Inputs'!$H$48,'Inputs'!$B$27*'Inputs'!$I$48,0)</x:f>
        <x:v>0</x:v>
      </x:c>
      <x:c r="S1666" s="78" t="n">
        <x:f>Q1666+G1666+R1666</x:f>
        <x:v>221656.824685683</x:v>
      </x:c>
      <x:c r="T1666" s="78" t="n">
        <x:f>P1666*(S1666*(1-'Inputs'!$B$15))/(O1666+S1666*(1-'Inputs'!$B$15))</x:f>
        <x:v>1.2175177546093674</x:v>
      </x:c>
      <x:c r="U1666" s="78" t="n">
        <x:f>O1666+S1666*(1-'Inputs'!$B$17)</x:f>
        <x:v>45301367.541840926</x:v>
      </x:c>
      <x:c r="V1666" s="78" t="n">
        <x:f>P1666-T1666</x:f>
        <x:v>250.1201696625447</x:v>
      </x:c>
      <x:c r="W1666" s="79" t="n">
        <x:f>IF(U1666&gt;0,V1666/U1666,0)</x:f>
        <x:v>0.000005521249870250175</x:v>
      </x:c>
      <x:c r="X1666" s="80" t="n">
        <x:f>W1666*('Inputs'!$B$6-AC1666)</x:f>
        <x:v>5489.83722935954</x:v>
      </x:c>
      <x:c r="Y1666" s="80" t="n">
        <x:f>2*V1666</x:f>
        <x:v>500.2403393250894</x:v>
      </x:c>
      <x:c r="Z1666" s="80" t="n">
        <x:f>K1666*'Inputs'!$B$16+(G1666+R1666)*J1666*'Inputs'!$B$16</x:f>
        <x:v>0.9122304886640266</x:v>
      </x:c>
      <x:c r="AA1666" s="80" t="n">
        <x:f>K1666*(1+'Inputs'!$E$48)/2*'Inputs'!$B$17</x:f>
        <x:v>0.3034257795780532</x:v>
      </x:c>
      <x:c r="AB1666" s="78" t="n">
        <x:f>(IF(J1666&gt;0,K1666*(1-'Inputs'!$E$48)/2/J1666,0)+G1666+R1666)*'Inputs'!$B$17</x:f>
        <x:v>55315.2419862551</x:v>
      </x:c>
      <x:c r="AC1666" s="78" t="n">
        <x:f>AC1665+AB1666</x:f>
        <x:v>5689407.585027769</x:v>
      </x:c>
      <x:c r="AD1666" s="80" t="n">
        <x:f>Z1666/(1+'Inputs'!$C$48)</x:f>
        <x:v>0.7297843909312213</x:v>
      </x:c>
      <x:c r="AE1666" s="80" t="n">
        <x:f>Z1666-AD1666</x:f>
        <x:v>0.1824460977328053</x:v>
      </x:c>
      <x:c r="AF1666" s="80" t="n">
        <x:f>D1666*W1666</x:f>
        <x:v>1.5289570195089828</x:v>
      </x:c>
      <x:c r="AG1666" s="80" t="n">
        <x:f>C1666*W1666</x:f>
        <x:v>0.8918915947135836</x:v>
      </x:c>
      <x:c r="AH1666" s="80" t="n">
        <x:f>2*'Inputs'!$B$8*'Inputs'!$C$48</x:f>
        <x:v>1250</x:v>
      </x:c>
      <x:c r="AI1666" s="81" t="n">
        <x:f>IF(AH1666&gt;0,(AE1666+AF1666)/AH1666*365,0)</x:f>
        <x:v>0.4997297102346021</x:v>
      </x:c>
      <x:c r="AJ1666" s="81" t="n">
        <x:f>IF('Inputs'!$B$48&gt;0,AG1666/('Inputs'!$B$19*'Inputs'!$B$48)*365,0)</x:f>
        <x:v>0.1302161728281832</x:v>
      </x:c>
      <x:c r="AK1666" s="81" t="n">
        <x:f>W1666/MAX($W$1464:W1666)-1</x:f>
        <x:v>-0.9935071034158828</x:v>
      </x:c>
      <x:c r="AL1666" s="83" t="n">
        <x:f>'Inputs'!$B$48</x:f>
        <x:v>0.25</x:v>
      </x:c>
      <x:c r="AM1666" s="83" t="n">
        <x:f>'Inputs'!$C$48</x:f>
        <x:v>0.25</x:v>
      </x:c>
      <x:c r="AN1666" s="83" t="n">
        <x:f>'Inputs'!$D$48</x:f>
        <x:v>0.3</x:v>
      </x:c>
      <x:c r="AO1666" s="81" t="n">
        <x:f>'Inputs'!$E$48</x:f>
        <x:v>0</x:v>
      </x:c>
    </x:row>
    <x:row r="1667">
      <x:c r="A1667" s="59" t="str">
        <x:v>Low participation</x:v>
      </x:c>
      <x:c r="B1667" s="59" t="n">
        <x:v>204</x:v>
      </x:c>
      <x:c r="C1667" s="78" t="n">
        <x:f>(('Inputs'!$B$29*(3*204*'Inputs'!$B$12-204^2)/(2*'Inputs'!$B$12^2))-('Inputs'!$B$29*(3*203*'Inputs'!$B$12-203^2)/(2*'Inputs'!$B$12^2)))*'Inputs'!$B$48</x:f>
        <x:v>161456.7109213695</x:v>
      </x:c>
      <x:c r="D1667" s="78" t="n">
        <x:f>IF('Inputs'!$C$48&gt;0,('Inputs'!$B$30*(3*204*'Inputs'!$B$12-204^2)/(2*'Inputs'!$B$12^2))-('Inputs'!$B$30*(3*203*'Inputs'!$B$12-203^2)/(2*'Inputs'!$B$12^2)),0)</x:f>
        <x:v>276782.9330080673</x:v>
      </x:c>
      <x:c r="E1667" s="78" t="n">
        <x:f>C1667+D1667</x:f>
        <x:v>438239.6439294368</x:v>
      </x:c>
      <x:c r="F1667" s="78" t="n">
        <x:f>'Inputs'!$B$13*E1667+(1-'Inputs'!$B$13)/'Inputs'!$B$14*SUM(E1612:E1667)</x:f>
        <x:v>443093.04043910553</x:v>
      </x:c>
      <x:c r="G1667" s="78" t="n">
        <x:f>F1667*'Inputs'!$F$48</x:f>
        <x:v>221546.52021955277</x:v>
      </x:c>
      <x:c r="H1667" s="78" t="n">
        <x:f>U1666</x:f>
        <x:v>45301367.541840926</x:v>
      </x:c>
      <x:c r="I1667" s="78" t="n">
        <x:f>V1666</x:f>
        <x:v>250.1201696625447</x:v>
      </x:c>
      <x:c r="J1667" s="79" t="n">
        <x:f>IF(H1667&gt;0,I1667/H1667,0)</x:f>
        <x:v>0.000005521249870250175</x:v>
      </x:c>
      <x:c r="K1667" s="80" t="n">
        <x:f>(H1667*J1667+I1667)*'Inputs'!$D$48*(1+'Inputs'!$G$48)^(B1667/30)</x:f>
        <x:v>150.0721017975268</x:v>
      </x:c>
      <x:c r="L1667" s="80" t="n">
        <x:f>MAX(0,K1667*'Inputs'!$E$48)</x:f>
        <x:v>0</x:v>
      </x:c>
      <x:c r="M1667" s="80" t="n">
        <x:f>MAX(0,-K1667*'Inputs'!$E$48)</x:f>
        <x:v>0</x:v>
      </x:c>
      <x:c r="N1667" s="78" t="n">
        <x:f>H1667*(L1667*(1-'Inputs'!$B$15))/(I1667+L1667*(1-'Inputs'!$B$15))</x:f>
        <x:v>0</x:v>
      </x:c>
      <x:c r="O1667" s="78" t="n">
        <x:f>H1667-N1667</x:f>
        <x:v>45301367.541840926</x:v>
      </x:c>
      <x:c r="P1667" s="78" t="n">
        <x:f>I1667+L1667*(1-'Inputs'!$B$17)</x:f>
        <x:v>250.1201696625447</x:v>
      </x:c>
      <x:c r="Q1667" s="78" t="n">
        <x:f>IF(J1667&gt;0,M1667/J1667,0)</x:f>
        <x:v>0</x:v>
      </x:c>
      <x:c r="R1667" s="78" t="n">
        <x:f>IF(B1667='Inputs'!$H$48,'Inputs'!$B$27*'Inputs'!$I$48,0)</x:f>
        <x:v>0</x:v>
      </x:c>
      <x:c r="S1667" s="78" t="n">
        <x:f>Q1667+G1667+R1667</x:f>
        <x:v>221546.52021955277</x:v>
      </x:c>
      <x:c r="T1667" s="78" t="n">
        <x:f>P1667*(S1667*(1-'Inputs'!$B$15))/(O1667+S1667*(1-'Inputs'!$B$15))</x:f>
        <x:v>1.2051467219132825</x:v>
      </x:c>
      <x:c r="U1667" s="78" t="n">
        <x:f>O1667+S1667*(1-'Inputs'!$B$17)</x:f>
        <x:v>45522022.52676784</x:v>
      </x:c>
      <x:c r="V1667" s="78" t="n">
        <x:f>P1667-T1667</x:f>
        <x:v>248.91502294063142</x:v>
      </x:c>
      <x:c r="W1667" s="79" t="n">
        <x:f>IF(U1667&gt;0,V1667/U1667,0)</x:f>
        <x:v>0.000005468013263124777</x:v>
      </x:c>
      <x:c r="X1667" s="80" t="n">
        <x:f>W1667*('Inputs'!$B$6-AC1667)</x:f>
        <x:v>5436.599587622804</x:v>
      </x:c>
      <x:c r="Y1667" s="80" t="n">
        <x:f>2*V1667</x:f>
        <x:v>497.83004588126283</x:v>
      </x:c>
      <x:c r="Z1667" s="80" t="n">
        <x:f>K1667*'Inputs'!$B$16+(G1667+R1667)*J1667*'Inputs'!$B$16</x:f>
        <x:v>0.9077718929612604</x:v>
      </x:c>
      <x:c r="AA1667" s="80" t="n">
        <x:f>K1667*(1+'Inputs'!$E$48)/2*'Inputs'!$B$17</x:f>
        <x:v>0.3019559392304363</x:v>
      </x:c>
      <x:c r="AB1667" s="78" t="n">
        <x:f>(IF(J1667&gt;0,K1667*(1-'Inputs'!$E$48)/2/J1667,0)+G1667+R1667)*'Inputs'!$B$17</x:f>
        <x:v>55581.315021214614</x:v>
      </x:c>
      <x:c r="AC1667" s="78" t="n">
        <x:f>AC1666+AB1667</x:f>
        <x:v>5744988.900048984</x:v>
      </x:c>
      <x:c r="AD1667" s="80" t="n">
        <x:f>Z1667/(1+'Inputs'!$C$48)</x:f>
        <x:v>0.7262175143690083</x:v>
      </x:c>
      <x:c r="AE1667" s="80" t="n">
        <x:f>Z1667-AD1667</x:f>
        <x:v>0.1815543785922521</x:v>
      </x:c>
      <x:c r="AF1667" s="80" t="n">
        <x:f>D1667*W1667</x:f>
        <x:v>1.5134527486946887</x:v>
      </x:c>
      <x:c r="AG1667" s="80" t="n">
        <x:f>C1667*W1667</x:f>
        <x:v>0.8828474367385514</x:v>
      </x:c>
      <x:c r="AH1667" s="80" t="n">
        <x:f>2*'Inputs'!$B$8*'Inputs'!$C$48</x:f>
        <x:v>1250</x:v>
      </x:c>
      <x:c r="AI1667" s="81" t="n">
        <x:f>IF(AH1667&gt;0,(AE1667+AF1667)/AH1667*365,0)</x:f>
        <x:v>0.49494208116778676</x:v>
      </x:c>
      <x:c r="AJ1667" s="81" t="n">
        <x:f>IF('Inputs'!$B$48&gt;0,AG1667/('Inputs'!$B$19*'Inputs'!$B$48)*365,0)</x:f>
        <x:v>0.1288957257638285</x:v>
      </x:c>
      <x:c r="AK1667" s="81" t="n">
        <x:f>W1667/MAX($W$1464:W1667)-1</x:f>
        <x:v>-0.9935697087666054</x:v>
      </x:c>
      <x:c r="AL1667" s="83" t="n">
        <x:f>'Inputs'!$B$48</x:f>
        <x:v>0.25</x:v>
      </x:c>
      <x:c r="AM1667" s="83" t="n">
        <x:f>'Inputs'!$C$48</x:f>
        <x:v>0.25</x:v>
      </x:c>
      <x:c r="AN1667" s="83" t="n">
        <x:f>'Inputs'!$D$48</x:f>
        <x:v>0.3</x:v>
      </x:c>
      <x:c r="AO1667" s="81" t="n">
        <x:f>'Inputs'!$E$48</x:f>
        <x:v>0</x:v>
      </x:c>
    </x:row>
    <x:row r="1668">
      <x:c r="A1668" s="59" t="str">
        <x:v>Low participation</x:v>
      </x:c>
      <x:c r="B1668" s="59" t="n">
        <x:v>205</x:v>
      </x:c>
      <x:c r="C1668" s="78" t="n">
        <x:f>(('Inputs'!$B$29*(3*205*'Inputs'!$B$12-205^2)/(2*'Inputs'!$B$12^2))-('Inputs'!$B$29*(3*204*'Inputs'!$B$12-204^2)/(2*'Inputs'!$B$12^2)))*'Inputs'!$B$48</x:f>
        <x:v>161375.43394633383</x:v>
      </x:c>
      <x:c r="D1668" s="78" t="n">
        <x:f>IF('Inputs'!$C$48&gt;0,('Inputs'!$B$30*(3*205*'Inputs'!$B$12-205^2)/(2*'Inputs'!$B$12^2))-('Inputs'!$B$30*(3*204*'Inputs'!$B$12-204^2)/(2*'Inputs'!$B$12^2)),0)</x:f>
        <x:v>276643.60105085373</x:v>
      </x:c>
      <x:c r="E1668" s="78" t="n">
        <x:f>C1668+D1668</x:f>
        <x:v>438019.03499718755</x:v>
      </x:c>
      <x:c r="F1668" s="78" t="n">
        <x:f>'Inputs'!$B$13*E1668+(1-'Inputs'!$B$13)/'Inputs'!$B$14*SUM(E1613:E1668)</x:f>
        <x:v>442872.4315068498</x:v>
      </x:c>
      <x:c r="G1668" s="78" t="n">
        <x:f>F1668*'Inputs'!$F$48</x:f>
        <x:v>221436.2157534249</x:v>
      </x:c>
      <x:c r="H1668" s="78" t="n">
        <x:f>U1667</x:f>
        <x:v>45522022.52676784</x:v>
      </x:c>
      <x:c r="I1668" s="78" t="n">
        <x:f>V1667</x:f>
        <x:v>248.91502294063142</x:v>
      </x:c>
      <x:c r="J1668" s="79" t="n">
        <x:f>IF(H1668&gt;0,I1668/H1668,0)</x:f>
        <x:v>0.000005468013263124777</x:v>
      </x:c>
      <x:c r="K1668" s="80" t="n">
        <x:f>(H1668*J1668+I1668)*'Inputs'!$D$48*(1+'Inputs'!$G$48)^(B1668/30)</x:f>
        <x:v>149.34901376437884</x:v>
      </x:c>
      <x:c r="L1668" s="80" t="n">
        <x:f>MAX(0,K1668*'Inputs'!$E$48)</x:f>
        <x:v>0</x:v>
      </x:c>
      <x:c r="M1668" s="80" t="n">
        <x:f>MAX(0,-K1668*'Inputs'!$E$48)</x:f>
        <x:v>0</x:v>
      </x:c>
      <x:c r="N1668" s="78" t="n">
        <x:f>H1668*(L1668*(1-'Inputs'!$B$15))/(I1668+L1668*(1-'Inputs'!$B$15))</x:f>
        <x:v>0</x:v>
      </x:c>
      <x:c r="O1668" s="78" t="n">
        <x:f>H1668-N1668</x:f>
        <x:v>45522022.52676784</x:v>
      </x:c>
      <x:c r="P1668" s="78" t="n">
        <x:f>I1668+L1668*(1-'Inputs'!$B$17)</x:f>
        <x:v>248.91502294063142</x:v>
      </x:c>
      <x:c r="Q1668" s="78" t="n">
        <x:f>IF(J1668&gt;0,M1668/J1668,0)</x:f>
        <x:v>0</x:v>
      </x:c>
      <x:c r="R1668" s="78" t="n">
        <x:f>IF(B1668='Inputs'!$H$48,'Inputs'!$B$27*'Inputs'!$I$48,0)</x:f>
        <x:v>0</x:v>
      </x:c>
      <x:c r="S1668" s="78" t="n">
        <x:f>Q1668+G1668+R1668</x:f>
        <x:v>221436.2157534249</x:v>
      </x:c>
      <x:c r="T1668" s="78" t="n">
        <x:f>P1668*(S1668*(1-'Inputs'!$B$15))/(O1668+S1668*(1-'Inputs'!$B$15))</x:f>
        <x:v>1.1929630130555477</x:v>
      </x:c>
      <x:c r="U1668" s="78" t="n">
        <x:f>O1668+S1668*(1-'Inputs'!$B$17)</x:f>
        <x:v>45742567.651109785</x:v>
      </x:c>
      <x:c r="V1668" s="78" t="n">
        <x:f>P1668-T1668</x:f>
        <x:v>247.72205992757586</x:v>
      </x:c>
      <x:c r="W1668" s="79" t="n">
        <x:f>IF(U1668&gt;0,V1668/U1668,0)</x:f>
        <x:v>0.0000054155696247096385</x:v>
      </x:c>
      <x:c r="X1668" s="80" t="n">
        <x:f>W1668*('Inputs'!$B$6-AC1668)</x:f>
        <x:v>5384.154792628122</x:v>
      </x:c>
      <x:c r="Y1668" s="80" t="n">
        <x:f>2*V1668</x:f>
        <x:v>495.4441198551517</x:v>
      </x:c>
      <x:c r="Z1668" s="80" t="n">
        <x:f>K1668*'Inputs'!$B$16+(G1668+R1668)*J1668*'Inputs'!$B$16</x:f>
        <x:v>0.9033589795743284</x:v>
      </x:c>
      <x:c r="AA1668" s="80" t="n">
        <x:f>K1668*(1+'Inputs'!$E$48)/2*'Inputs'!$B$17</x:f>
        <x:v>0.30050103373114456</x:v>
      </x:c>
      <x:c r="AB1668" s="78" t="n">
        <x:f>(IF(J1668&gt;0,K1668*(1-'Inputs'!$E$48)/2/J1668,0)+G1668+R1668)*'Inputs'!$B$17</x:f>
        <x:v>55847.25542770132</x:v>
      </x:c>
      <x:c r="AC1668" s="78" t="n">
        <x:f>AC1667+AB1668</x:f>
        <x:v>5800836.155476686</x:v>
      </x:c>
      <x:c r="AD1668" s="80" t="n">
        <x:f>Z1668/(1+'Inputs'!$C$48)</x:f>
        <x:v>0.7226871836594627</x:v>
      </x:c>
      <x:c r="AE1668" s="80" t="n">
        <x:f>Z1668-AD1668</x:f>
        <x:v>0.1806717959148657</x:v>
      </x:c>
      <x:c r="AF1668" s="80" t="n">
        <x:f>D1668*W1668</x:f>
        <x:v>1.498182682721295</x:v>
      </x:c>
      <x:c r="AG1668" s="80" t="n">
        <x:f>C1668*W1668</x:f>
        <x:v>0.8739398982541021</x:v>
      </x:c>
      <x:c r="AH1668" s="80" t="n">
        <x:f>2*'Inputs'!$B$8*'Inputs'!$C$48</x:f>
        <x:v>1250</x:v>
      </x:c>
      <x:c r="AI1668" s="81" t="n">
        <x:f>IF(AH1668&gt;0,(AE1668+AF1668)/AH1668*365,0)</x:f>
        <x:v>0.490225507761759</x:v>
      </x:c>
      <x:c r="AJ1668" s="81" t="n">
        <x:f>IF('Inputs'!$B$48&gt;0,AG1668/('Inputs'!$B$19*'Inputs'!$B$48)*365,0)</x:f>
        <x:v>0.1275952251450989</x:v>
      </x:c>
      <x:c r="AK1668" s="81" t="n">
        <x:f>W1668/MAX($W$1464:W1668)-1</x:f>
        <x:v>-0.9936313815995195</x:v>
      </x:c>
      <x:c r="AL1668" s="83" t="n">
        <x:f>'Inputs'!$B$48</x:f>
        <x:v>0.25</x:v>
      </x:c>
      <x:c r="AM1668" s="83" t="n">
        <x:f>'Inputs'!$C$48</x:f>
        <x:v>0.25</x:v>
      </x:c>
      <x:c r="AN1668" s="83" t="n">
        <x:f>'Inputs'!$D$48</x:f>
        <x:v>0.3</x:v>
      </x:c>
      <x:c r="AO1668" s="81" t="n">
        <x:f>'Inputs'!$E$48</x:f>
        <x:v>0</x:v>
      </x:c>
    </x:row>
    <x:row r="1669">
      <x:c r="A1669" s="59" t="str">
        <x:v>Low participation</x:v>
      </x:c>
      <x:c r="B1669" s="59" t="n">
        <x:v>206</x:v>
      </x:c>
      <x:c r="C1669" s="78" t="n">
        <x:f>(('Inputs'!$B$29*(3*206*'Inputs'!$B$12-206^2)/(2*'Inputs'!$B$12^2))-('Inputs'!$B$29*(3*205*'Inputs'!$B$12-205^2)/(2*'Inputs'!$B$12^2)))*'Inputs'!$B$48</x:f>
        <x:v>161294.1569712907</x:v>
      </x:c>
      <x:c r="D1669" s="78" t="n">
        <x:f>IF('Inputs'!$C$48&gt;0,('Inputs'!$B$30*(3*206*'Inputs'!$B$12-206^2)/(2*'Inputs'!$B$12^2))-('Inputs'!$B$30*(3*205*'Inputs'!$B$12-205^2)/(2*'Inputs'!$B$12^2)),0)</x:f>
        <x:v>276504.26909364015</x:v>
      </x:c>
      <x:c r="E1669" s="78" t="n">
        <x:f>C1669+D1669</x:f>
        <x:v>437798.42606493086</x:v>
      </x:c>
      <x:c r="F1669" s="78" t="n">
        <x:f>'Inputs'!$B$13*E1669+(1-'Inputs'!$B$13)/'Inputs'!$B$14*SUM(E1614:E1669)</x:f>
        <x:v>442651.8225745926</x:v>
      </x:c>
      <x:c r="G1669" s="78" t="n">
        <x:f>F1669*'Inputs'!$F$48</x:f>
        <x:v>221325.9112872963</x:v>
      </x:c>
      <x:c r="H1669" s="78" t="n">
        <x:f>U1668</x:f>
        <x:v>45742567.651109785</x:v>
      </x:c>
      <x:c r="I1669" s="78" t="n">
        <x:f>V1668</x:f>
        <x:v>247.72205992757586</x:v>
      </x:c>
      <x:c r="J1669" s="79" t="n">
        <x:f>IF(H1669&gt;0,I1669/H1669,0)</x:f>
        <x:v>0.0000054155696247096385</x:v>
      </x:c>
      <x:c r="K1669" s="80" t="n">
        <x:f>(H1669*J1669+I1669)*'Inputs'!$D$48*(1+'Inputs'!$G$48)^(B1669/30)</x:f>
        <x:v>148.63323595654552</x:v>
      </x:c>
      <x:c r="L1669" s="80" t="n">
        <x:f>MAX(0,K1669*'Inputs'!$E$48)</x:f>
        <x:v>0</x:v>
      </x:c>
      <x:c r="M1669" s="80" t="n">
        <x:f>MAX(0,-K1669*'Inputs'!$E$48)</x:f>
        <x:v>0</x:v>
      </x:c>
      <x:c r="N1669" s="78" t="n">
        <x:f>H1669*(L1669*(1-'Inputs'!$B$15))/(I1669+L1669*(1-'Inputs'!$B$15))</x:f>
        <x:v>0</x:v>
      </x:c>
      <x:c r="O1669" s="78" t="n">
        <x:f>H1669-N1669</x:f>
        <x:v>45742567.651109785</x:v>
      </x:c>
      <x:c r="P1669" s="78" t="n">
        <x:f>I1669+L1669*(1-'Inputs'!$B$17)</x:f>
        <x:v>247.72205992757586</x:v>
      </x:c>
      <x:c r="Q1669" s="78" t="n">
        <x:f>IF(J1669&gt;0,M1669/J1669,0)</x:f>
        <x:v>0</x:v>
      </x:c>
      <x:c r="R1669" s="78" t="n">
        <x:f>IF(B1669='Inputs'!$H$48,'Inputs'!$B$27*'Inputs'!$I$48,0)</x:f>
        <x:v>0</x:v>
      </x:c>
      <x:c r="S1669" s="78" t="n">
        <x:f>Q1669+G1669+R1669</x:f>
        <x:v>221325.9112872963</x:v>
      </x:c>
      <x:c r="T1669" s="78" t="n">
        <x:f>P1669*(S1669*(1-'Inputs'!$B$15))/(O1669+S1669*(1-'Inputs'!$B$15))</x:f>
        <x:v>1.180962862860435</x:v>
      </x:c>
      <x:c r="U1669" s="78" t="n">
        <x:f>O1669+S1669*(1-'Inputs'!$B$17)</x:f>
        <x:v>45963002.91486675</x:v>
      </x:c>
      <x:c r="V1669" s="78" t="n">
        <x:f>P1669-T1669</x:f>
        <x:v>246.54109706471542</x:v>
      </x:c>
      <x:c r="W1669" s="79" t="n">
        <x:f>IF(U1669&gt;0,V1669/U1669,0)</x:f>
        <x:v>0.0000053639031705861755</x:v>
      </x:c>
      <x:c r="X1669" s="80" t="n">
        <x:f>W1669*('Inputs'!$B$6-AC1669)</x:f>
        <x:v>5332.487062102123</x:v>
      </x:c>
      <x:c r="Y1669" s="80" t="n">
        <x:f>2*V1669</x:f>
        <x:v>493.08219412943083</x:v>
      </x:c>
      <x:c r="Z1669" s="80" t="n">
        <x:f>K1669*'Inputs'!$B$16+(G1669+R1669)*J1669*'Inputs'!$B$16</x:f>
        <x:v>0.8989910510332451</x:v>
      </x:c>
      <x:c r="AA1669" s="80" t="n">
        <x:f>K1669*(1+'Inputs'!$E$48)/2*'Inputs'!$B$17</x:f>
        <x:v>0.29906083693469926</x:v>
      </x:c>
      <x:c r="AB1669" s="78" t="n">
        <x:f>(IF(J1669&gt;0,K1669*(1-'Inputs'!$E$48)/2/J1669,0)+G1669+R1669)*'Inputs'!$B$17</x:f>
        <x:v>56113.06320571522</x:v>
      </x:c>
      <x:c r="AC1669" s="78" t="n">
        <x:f>AC1668+AB1669</x:f>
        <x:v>5856949.218682401</x:v>
      </x:c>
      <x:c r="AD1669" s="80" t="n">
        <x:f>Z1669/(1+'Inputs'!$C$48)</x:f>
        <x:v>0.7191928408265961</x:v>
      </x:c>
      <x:c r="AE1669" s="80" t="n">
        <x:f>Z1669-AD1669</x:f>
        <x:v>0.179798210206649</x:v>
      </x:c>
      <x:c r="AF1669" s="80" t="n">
        <x:f>D1669*W1669</x:f>
        <x:v>1.4831421256719894</x:v>
      </x:c>
      <x:c r="AG1669" s="80" t="n">
        <x:f>C1669*W1669</x:f>
        <x:v>0.8651662399753305</x:v>
      </x:c>
      <x:c r="AH1669" s="80" t="n">
        <x:f>2*'Inputs'!$B$8*'Inputs'!$C$48</x:f>
        <x:v>1250</x:v>
      </x:c>
      <x:c r="AI1669" s="81" t="n">
        <x:f>IF(AH1669&gt;0,(AE1669+AF1669)/AH1669*365,0)</x:f>
        <x:v>0.4855785780765624</x:v>
      </x:c>
      <x:c r="AJ1669" s="81" t="n">
        <x:f>IF('Inputs'!$B$48&gt;0,AG1669/('Inputs'!$B$19*'Inputs'!$B$48)*365,0)</x:f>
        <x:v>0.12631427103639825</x:v>
      </x:c>
      <x:c r="AK1669" s="81" t="n">
        <x:f>W1669/MAX($W$1464:W1669)-1</x:f>
        <x:v>-0.9936921404768344</x:v>
      </x:c>
      <x:c r="AL1669" s="83" t="n">
        <x:f>'Inputs'!$B$48</x:f>
        <x:v>0.25</x:v>
      </x:c>
      <x:c r="AM1669" s="83" t="n">
        <x:f>'Inputs'!$C$48</x:f>
        <x:v>0.25</x:v>
      </x:c>
      <x:c r="AN1669" s="83" t="n">
        <x:f>'Inputs'!$D$48</x:f>
        <x:v>0.3</x:v>
      </x:c>
      <x:c r="AO1669" s="81" t="n">
        <x:f>'Inputs'!$E$48</x:f>
        <x:v>0</x:v>
      </x:c>
    </x:row>
    <x:row r="1670">
      <x:c r="A1670" s="59" t="str">
        <x:v>Low participation</x:v>
      </x:c>
      <x:c r="B1670" s="59" t="n">
        <x:v>207</x:v>
      </x:c>
      <x:c r="C1670" s="78" t="n">
        <x:f>(('Inputs'!$B$29*(3*207*'Inputs'!$B$12-207^2)/(2*'Inputs'!$B$12^2))-('Inputs'!$B$29*(3*206*'Inputs'!$B$12-206^2)/(2*'Inputs'!$B$12^2)))*'Inputs'!$B$48</x:f>
        <x:v>161212.8799962476</x:v>
      </x:c>
      <x:c r="D1670" s="78" t="n">
        <x:f>IF('Inputs'!$C$48&gt;0,('Inputs'!$B$30*(3*207*'Inputs'!$B$12-207^2)/(2*'Inputs'!$B$12^2))-('Inputs'!$B$30*(3*206*'Inputs'!$B$12-206^2)/(2*'Inputs'!$B$12^2)),0)</x:f>
        <x:v>276364.93713642657</x:v>
      </x:c>
      <x:c r="E1670" s="78" t="n">
        <x:f>C1670+D1670</x:f>
        <x:v>437577.81713267416</x:v>
      </x:c>
      <x:c r="F1670" s="78" t="n">
        <x:f>'Inputs'!$B$13*E1670+(1-'Inputs'!$B$13)/'Inputs'!$B$14*SUM(E1615:E1670)</x:f>
        <x:v>442431.2136423353</x:v>
      </x:c>
      <x:c r="G1670" s="78" t="n">
        <x:f>F1670*'Inputs'!$F$48</x:f>
        <x:v>221215.60682116766</x:v>
      </x:c>
      <x:c r="H1670" s="78" t="n">
        <x:f>U1669</x:f>
        <x:v>45963002.91486675</x:v>
      </x:c>
      <x:c r="I1670" s="78" t="n">
        <x:f>V1669</x:f>
        <x:v>246.54109706471542</x:v>
      </x:c>
      <x:c r="J1670" s="79" t="n">
        <x:f>IF(H1670&gt;0,I1670/H1670,0)</x:f>
        <x:v>0.0000053639031705861755</x:v>
      </x:c>
      <x:c r="K1670" s="80" t="n">
        <x:f>(H1670*J1670+I1670)*'Inputs'!$D$48*(1+'Inputs'!$G$48)^(B1670/30)</x:f>
        <x:v>147.92465823882924</x:v>
      </x:c>
      <x:c r="L1670" s="80" t="n">
        <x:f>MAX(0,K1670*'Inputs'!$E$48)</x:f>
        <x:v>0</x:v>
      </x:c>
      <x:c r="M1670" s="80" t="n">
        <x:f>MAX(0,-K1670*'Inputs'!$E$48)</x:f>
        <x:v>0</x:v>
      </x:c>
      <x:c r="N1670" s="78" t="n">
        <x:f>H1670*(L1670*(1-'Inputs'!$B$15))/(I1670+L1670*(1-'Inputs'!$B$15))</x:f>
        <x:v>0</x:v>
      </x:c>
      <x:c r="O1670" s="78" t="n">
        <x:f>H1670-N1670</x:f>
        <x:v>45963002.91486675</x:v>
      </x:c>
      <x:c r="P1670" s="78" t="n">
        <x:f>I1670+L1670*(1-'Inputs'!$B$17)</x:f>
        <x:v>246.54109706471542</x:v>
      </x:c>
      <x:c r="Q1670" s="78" t="n">
        <x:f>IF(J1670&gt;0,M1670/J1670,0)</x:f>
        <x:v>0</x:v>
      </x:c>
      <x:c r="R1670" s="78" t="n">
        <x:f>IF(B1670='Inputs'!$H$48,'Inputs'!$B$27*'Inputs'!$I$48,0)</x:f>
        <x:v>0</x:v>
      </x:c>
      <x:c r="S1670" s="78" t="n">
        <x:f>Q1670+G1670+R1670</x:f>
        <x:v>221215.60682116766</x:v>
      </x:c>
      <x:c r="T1670" s="78" t="n">
        <x:f>P1670*(S1670*(1-'Inputs'!$B$15))/(O1670+S1670*(1-'Inputs'!$B$15))</x:f>
        <x:v>1.1691426003047716</x:v>
      </x:c>
      <x:c r="U1670" s="78" t="n">
        <x:f>O1670+S1670*(1-'Inputs'!$B$17)</x:f>
        <x:v>46183328.31803874</x:v>
      </x:c>
      <x:c r="V1670" s="78" t="n">
        <x:f>P1670-T1670</x:f>
        <x:v>245.37195446441063</x:v>
      </x:c>
      <x:c r="W1670" s="79" t="n">
        <x:f>IF(U1670&gt;0,V1670/U1670,0)</x:f>
        <x:v>0.000005312998508350704</x:v>
      </x:c>
      <x:c r="X1670" s="80" t="n">
        <x:f>W1670*('Inputs'!$B$6-AC1670)</x:f>
        <x:v>5281.581005735574</x:v>
      </x:c>
      <x:c r="Y1670" s="80" t="n">
        <x:f>2*V1670</x:f>
        <x:v>490.74390892882127</x:v>
      </x:c>
      <x:c r="Z1670" s="80" t="n">
        <x:f>K1670*'Inputs'!$B$16+(G1670+R1670)*J1670*'Inputs'!$B$16</x:f>
        <x:v>0.8946674240018426</x:v>
      </x:c>
      <x:c r="AA1670" s="80" t="n">
        <x:f>K1670*(1+'Inputs'!$E$48)/2*'Inputs'!$B$17</x:f>
        <x:v>0.29763512724110514</x:v>
      </x:c>
      <x:c r="AB1670" s="78" t="n">
        <x:f>(IF(J1670&gt;0,K1670*(1-'Inputs'!$E$48)/2/J1670,0)+G1670+R1670)*'Inputs'!$B$17</x:f>
        <x:v>56378.73835525631</x:v>
      </x:c>
      <x:c r="AC1670" s="78" t="n">
        <x:f>AC1669+AB1670</x:f>
        <x:v>5913327.9570376575</x:v>
      </x:c>
      <x:c r="AD1670" s="80" t="n">
        <x:f>Z1670/(1+'Inputs'!$C$48)</x:f>
        <x:v>0.7157339392014741</x:v>
      </x:c>
      <x:c r="AE1670" s="80" t="n">
        <x:f>Z1670-AD1670</x:f>
        <x:v>0.17893348480036853</x:v>
      </x:c>
      <x:c r="AF1670" s="80" t="n">
        <x:f>D1670*W1670</x:f>
        <x:v>1.4683264987662703</x:v>
      </x:c>
      <x:c r="AG1670" s="80" t="n">
        <x:f>C1670*W1670</x:f>
        <x:v>0.8565237909469845</x:v>
      </x:c>
      <x:c r="AH1670" s="80" t="n">
        <x:f>2*'Inputs'!$B$8*'Inputs'!$C$48</x:f>
        <x:v>1250</x:v>
      </x:c>
      <x:c r="AI1670" s="81" t="n">
        <x:f>IF(AH1670&gt;0,(AE1670+AF1670)/AH1670*365,0)</x:f>
        <x:v>0.48099991520145857</x:v>
      </x:c>
      <x:c r="AJ1670" s="81" t="n">
        <x:f>IF('Inputs'!$B$48&gt;0,AG1670/('Inputs'!$B$19*'Inputs'!$B$48)*365,0)</x:f>
        <x:v>0.12505247347825973</x:v>
      </x:c>
      <x:c r="AK1670" s="81" t="n">
        <x:f>W1670/MAX($W$1464:W1670)-1</x:f>
        <x:v>-0.993752003499757</x:v>
      </x:c>
      <x:c r="AL1670" s="83" t="n">
        <x:f>'Inputs'!$B$48</x:f>
        <x:v>0.25</x:v>
      </x:c>
      <x:c r="AM1670" s="83" t="n">
        <x:f>'Inputs'!$C$48</x:f>
        <x:v>0.25</x:v>
      </x:c>
      <x:c r="AN1670" s="83" t="n">
        <x:f>'Inputs'!$D$48</x:f>
        <x:v>0.3</x:v>
      </x:c>
      <x:c r="AO1670" s="81" t="n">
        <x:f>'Inputs'!$E$48</x:f>
        <x:v>0</x:v>
      </x:c>
    </x:row>
    <x:row r="1671">
      <x:c r="A1671" s="59" t="str">
        <x:v>Low participation</x:v>
      </x:c>
      <x:c r="B1671" s="59" t="n">
        <x:v>208</x:v>
      </x:c>
      <x:c r="C1671" s="78" t="n">
        <x:f>(('Inputs'!$B$29*(3*208*'Inputs'!$B$12-208^2)/(2*'Inputs'!$B$12^2))-('Inputs'!$B$29*(3*207*'Inputs'!$B$12-207^2)/(2*'Inputs'!$B$12^2)))*'Inputs'!$B$48</x:f>
        <x:v>161131.60302120447</x:v>
      </x:c>
      <x:c r="D1671" s="78" t="n">
        <x:f>IF('Inputs'!$C$48&gt;0,('Inputs'!$B$30*(3*208*'Inputs'!$B$12-208^2)/(2*'Inputs'!$B$12^2))-('Inputs'!$B$30*(3*207*'Inputs'!$B$12-207^2)/(2*'Inputs'!$B$12^2)),0)</x:f>
        <x:v>276225.60517920554</x:v>
      </x:c>
      <x:c r="E1671" s="78" t="n">
        <x:f>C1671+D1671</x:f>
        <x:v>437357.20820041</x:v>
      </x:c>
      <x:c r="F1671" s="78" t="n">
        <x:f>'Inputs'!$B$13*E1671+(1-'Inputs'!$B$13)/'Inputs'!$B$14*SUM(E1616:E1671)</x:f>
        <x:v>442210.60471007647</x:v>
      </x:c>
      <x:c r="G1671" s="78" t="n">
        <x:f>F1671*'Inputs'!$F$48</x:f>
        <x:v>221105.30235503823</x:v>
      </x:c>
      <x:c r="H1671" s="78" t="n">
        <x:f>U1670</x:f>
        <x:v>46183328.31803874</x:v>
      </x:c>
      <x:c r="I1671" s="78" t="n">
        <x:f>V1670</x:f>
        <x:v>245.37195446441063</x:v>
      </x:c>
      <x:c r="J1671" s="79" t="n">
        <x:f>IF(H1671&gt;0,I1671/H1671,0)</x:f>
        <x:v>0.000005312998508350704</x:v>
      </x:c>
      <x:c r="K1671" s="80" t="n">
        <x:f>(H1671*J1671+I1671)*'Inputs'!$D$48*(1+'Inputs'!$G$48)^(B1671/30)</x:f>
        <x:v>147.22317267864636</x:v>
      </x:c>
      <x:c r="L1671" s="80" t="n">
        <x:f>MAX(0,K1671*'Inputs'!$E$48)</x:f>
        <x:v>0</x:v>
      </x:c>
      <x:c r="M1671" s="80" t="n">
        <x:f>MAX(0,-K1671*'Inputs'!$E$48)</x:f>
        <x:v>0</x:v>
      </x:c>
      <x:c r="N1671" s="78" t="n">
        <x:f>H1671*(L1671*(1-'Inputs'!$B$15))/(I1671+L1671*(1-'Inputs'!$B$15))</x:f>
        <x:v>0</x:v>
      </x:c>
      <x:c r="O1671" s="78" t="n">
        <x:f>H1671-N1671</x:f>
        <x:v>46183328.31803874</x:v>
      </x:c>
      <x:c r="P1671" s="78" t="n">
        <x:f>I1671+L1671*(1-'Inputs'!$B$17)</x:f>
        <x:v>245.37195446441063</x:v>
      </x:c>
      <x:c r="Q1671" s="78" t="n">
        <x:f>IF(J1671&gt;0,M1671/J1671,0)</x:f>
        <x:v>0</x:v>
      </x:c>
      <x:c r="R1671" s="78" t="n">
        <x:f>IF(B1671='Inputs'!$H$48,'Inputs'!$B$27*'Inputs'!$I$48,0)</x:f>
        <x:v>0</x:v>
      </x:c>
      <x:c r="S1671" s="78" t="n">
        <x:f>Q1671+G1671+R1671</x:f>
        <x:v>221105.30235503823</x:v>
      </x:c>
      <x:c r="T1671" s="78" t="n">
        <x:f>P1671*(S1671*(1-'Inputs'!$B$15))/(O1671+S1671*(1-'Inputs'!$B$15))</x:f>
        <x:v>1.1574986457061671</x:v>
      </x:c>
      <x:c r="U1671" s="78" t="n">
        <x:f>O1671+S1671*(1-'Inputs'!$B$17)</x:f>
        <x:v>46403543.86062575</x:v>
      </x:c>
      <x:c r="V1671" s="78" t="n">
        <x:f>P1671-T1671</x:f>
        <x:v>244.21445581870447</x:v>
      </x:c>
      <x:c r="W1671" s="79" t="n">
        <x:f>IF(U1671&gt;0,V1671/U1671,0)</x:f>
        <x:v>0.000005262840625970485</x:v>
      </x:c>
      <x:c r="X1671" s="80" t="n">
        <x:f>W1671*('Inputs'!$B$6-AC1671)</x:f>
        <x:v>5231.421613540875</x:v>
      </x:c>
      <x:c r="Y1671" s="80" t="n">
        <x:f>2*V1671</x:f>
        <x:v>488.42891163740893</x:v>
      </x:c>
      <x:c r="Z1671" s="80" t="n">
        <x:f>K1671*'Inputs'!$B$16+(G1671+R1671)*J1671*'Inputs'!$B$16</x:f>
        <x:v>0.8903874289214827</x:v>
      </x:c>
      <x:c r="AA1671" s="80" t="n">
        <x:f>K1671*(1+'Inputs'!$E$48)/2*'Inputs'!$B$17</x:f>
        <x:v>0.29622368748218586</x:v>
      </x:c>
      <x:c r="AB1671" s="78" t="n">
        <x:f>(IF(J1671&gt;0,K1671*(1-'Inputs'!$E$48)/2/J1671,0)+G1671+R1671)*'Inputs'!$B$17</x:f>
        <x:v>56644.280876324585</x:v>
      </x:c>
      <x:c r="AC1671" s="78" t="n">
        <x:f>AC1670+AB1671</x:f>
        <x:v>5969972.237913982</x:v>
      </x:c>
      <x:c r="AD1671" s="80" t="n">
        <x:f>Z1671/(1+'Inputs'!$C$48)</x:f>
        <x:v>0.7123099431371862</x:v>
      </x:c>
      <x:c r="AE1671" s="80" t="n">
        <x:f>Z1671-AD1671</x:f>
        <x:v>0.1780774857842965</x:v>
      </x:c>
      <x:c r="AF1671" s="80" t="n">
        <x:f>D1671*W1671</x:f>
        <x:v>1.4537313368704061</x:v>
      </x:c>
      <x:c r="AG1671" s="80" t="n">
        <x:f>C1671*W1671</x:f>
        <x:v>0.8480099465077434</x:v>
      </x:c>
      <x:c r="AH1671" s="80" t="n">
        <x:f>2*'Inputs'!$B$8*'Inputs'!$C$48</x:f>
        <x:v>1250</x:v>
      </x:c>
      <x:c r="AI1671" s="81" t="n">
        <x:f>IF(AH1671&gt;0,(AE1671+AF1671)/AH1671*365,0)</x:f>
        <x:v>0.47648817621517314</x:v>
      </x:c>
      <x:c r="AJ1671" s="81" t="n">
        <x:f>IF('Inputs'!$B$48&gt;0,AG1671/('Inputs'!$B$19*'Inputs'!$B$48)*365,0)</x:f>
        <x:v>0.12380945219013054</x:v>
      </x:c>
      <x:c r="AK1671" s="81" t="n">
        <x:f>W1671/MAX($W$1464:W1671)-1</x:f>
        <x:v>-0.9938109883221843</x:v>
      </x:c>
      <x:c r="AL1671" s="83" t="n">
        <x:f>'Inputs'!$B$48</x:f>
        <x:v>0.25</x:v>
      </x:c>
      <x:c r="AM1671" s="83" t="n">
        <x:f>'Inputs'!$C$48</x:f>
        <x:v>0.25</x:v>
      </x:c>
      <x:c r="AN1671" s="83" t="n">
        <x:f>'Inputs'!$D$48</x:f>
        <x:v>0.3</x:v>
      </x:c>
      <x:c r="AO1671" s="81" t="n">
        <x:f>'Inputs'!$E$48</x:f>
        <x:v>0</x:v>
      </x:c>
    </x:row>
    <x:row r="1672">
      <x:c r="A1672" s="59" t="str">
        <x:v>Low participation</x:v>
      </x:c>
      <x:c r="B1672" s="59" t="n">
        <x:v>209</x:v>
      </x:c>
      <x:c r="C1672" s="78" t="n">
        <x:f>(('Inputs'!$B$29*(3*209*'Inputs'!$B$12-209^2)/(2*'Inputs'!$B$12^2))-('Inputs'!$B$29*(3*208*'Inputs'!$B$12-208^2)/(2*'Inputs'!$B$12^2)))*'Inputs'!$B$48</x:f>
        <x:v>161050.32604616135</x:v>
      </x:c>
      <x:c r="D1672" s="78" t="n">
        <x:f>IF('Inputs'!$C$48&gt;0,('Inputs'!$B$30*(3*209*'Inputs'!$B$12-209^2)/(2*'Inputs'!$B$12^2))-('Inputs'!$B$30*(3*208*'Inputs'!$B$12-208^2)/(2*'Inputs'!$B$12^2)),0)</x:f>
        <x:v>276086.27322199196</x:v>
      </x:c>
      <x:c r="E1672" s="78" t="n">
        <x:f>C1672+D1672</x:f>
        <x:v>437136.5992681533</x:v>
      </x:c>
      <x:c r="F1672" s="78" t="n">
        <x:f>'Inputs'!$B$13*E1672+(1-'Inputs'!$B$13)/'Inputs'!$B$14*SUM(E1617:E1672)</x:f>
        <x:v>441989.9957778191</x:v>
      </x:c>
      <x:c r="G1672" s="78" t="n">
        <x:f>F1672*'Inputs'!$F$48</x:f>
        <x:v>220994.99788890954</x:v>
      </x:c>
      <x:c r="H1672" s="78" t="n">
        <x:f>U1671</x:f>
        <x:v>46403543.86062575</x:v>
      </x:c>
      <x:c r="I1672" s="78" t="n">
        <x:f>V1671</x:f>
        <x:v>244.21445581870447</x:v>
      </x:c>
      <x:c r="J1672" s="79" t="n">
        <x:f>IF(H1672&gt;0,I1672/H1672,0)</x:f>
        <x:v>0.000005262840625970485</x:v>
      </x:c>
      <x:c r="K1672" s="80" t="n">
        <x:f>(H1672*J1672+I1672)*'Inputs'!$D$48*(1+'Inputs'!$G$48)^(B1672/30)</x:f>
        <x:v>146.52867349122266</x:v>
      </x:c>
      <x:c r="L1672" s="80" t="n">
        <x:f>MAX(0,K1672*'Inputs'!$E$48)</x:f>
        <x:v>0</x:v>
      </x:c>
      <x:c r="M1672" s="80" t="n">
        <x:f>MAX(0,-K1672*'Inputs'!$E$48)</x:f>
        <x:v>0</x:v>
      </x:c>
      <x:c r="N1672" s="78" t="n">
        <x:f>H1672*(L1672*(1-'Inputs'!$B$15))/(I1672+L1672*(1-'Inputs'!$B$15))</x:f>
        <x:v>0</x:v>
      </x:c>
      <x:c r="O1672" s="78" t="n">
        <x:f>H1672-N1672</x:f>
        <x:v>46403543.86062575</x:v>
      </x:c>
      <x:c r="P1672" s="78" t="n">
        <x:f>I1672+L1672*(1-'Inputs'!$B$17)</x:f>
        <x:v>244.21445581870447</x:v>
      </x:c>
      <x:c r="Q1672" s="78" t="n">
        <x:f>IF(J1672&gt;0,M1672/J1672,0)</x:f>
        <x:v>0</x:v>
      </x:c>
      <x:c r="R1672" s="78" t="n">
        <x:f>IF(B1672='Inputs'!$H$48,'Inputs'!$B$27*'Inputs'!$I$48,0)</x:f>
        <x:v>0</x:v>
      </x:c>
      <x:c r="S1672" s="78" t="n">
        <x:f>Q1672+G1672+R1672</x:f>
        <x:v>220994.99788890954</x:v>
      </x:c>
      <x:c r="T1672" s="78" t="n">
        <x:f>P1672*(S1672*(1-'Inputs'!$B$15))/(O1672+S1672*(1-'Inputs'!$B$15))</x:f>
        <x:v>1.1460275080087772</x:v>
      </x:c>
      <x:c r="U1672" s="78" t="n">
        <x:f>O1672+S1672*(1-'Inputs'!$B$17)</x:f>
        <x:v>46623649.54262778</x:v>
      </x:c>
      <x:c r="V1672" s="78" t="n">
        <x:f>P1672-T1672</x:f>
        <x:v>243.06842831069568</x:v>
      </x:c>
      <x:c r="W1672" s="79" t="n">
        <x:f>IF(U1672&gt;0,V1672/U1672,0)</x:f>
        <x:v>0.000005213414880541674</x:v>
      </x:c>
      <x:c r="X1672" s="80" t="n">
        <x:f>W1672*('Inputs'!$B$6-AC1672)</x:f>
        <x:v>5181.994244611411</x:v>
      </x:c>
      <x:c r="Y1672" s="80" t="n">
        <x:f>2*V1672</x:f>
        <x:v>486.13685662139136</x:v>
      </x:c>
      <x:c r="Z1672" s="80" t="n">
        <x:f>K1672*'Inputs'!$B$16+(G1672+R1672)*J1672*'Inputs'!$B$16</x:f>
        <x:v>0.8861504096654921</x:v>
      </x:c>
      <x:c r="AA1672" s="80" t="n">
        <x:f>K1672*(1+'Inputs'!$E$48)/2*'Inputs'!$B$17</x:f>
        <x:v>0.2948263048113132</x:v>
      </x:c>
      <x:c r="AB1672" s="78" t="n">
        <x:f>(IF(J1672&gt;0,K1672*(1-'Inputs'!$E$48)/2/J1672,0)+G1672+R1672)*'Inputs'!$B$17</x:f>
        <x:v>56909.69076892005</x:v>
      </x:c>
      <x:c r="AC1672" s="78" t="n">
        <x:f>AC1671+AB1672</x:f>
        <x:v>6026881.928682902</x:v>
      </x:c>
      <x:c r="AD1672" s="80" t="n">
        <x:f>Z1672/(1+'Inputs'!$C$48)</x:f>
        <x:v>0.7089203277323937</x:v>
      </x:c>
      <x:c r="AE1672" s="80" t="n">
        <x:f>Z1672-AD1672</x:f>
        <x:v>0.17723008193309842</x:v>
      </x:c>
      <x:c r="AF1672" s="80" t="n">
        <x:f>D1672*W1672</x:f>
        <x:v>1.4393522851288272</x:v>
      </x:c>
      <x:c r="AG1672" s="80" t="n">
        <x:f>C1672*W1672</x:f>
        <x:v>0.839622166325146</x:v>
      </x:c>
      <x:c r="AH1672" s="80" t="n">
        <x:f>2*'Inputs'!$B$8*'Inputs'!$C$48</x:f>
        <x:v>1250</x:v>
      </x:c>
      <x:c r="AI1672" s="81" t="n">
        <x:f>IF(AH1672&gt;0,(AE1672+AF1672)/AH1672*365,0)</x:f>
        <x:v>0.47204205118208226</x:v>
      </x:c>
      <x:c r="AJ1672" s="81" t="n">
        <x:f>IF('Inputs'!$B$48&gt;0,AG1672/('Inputs'!$B$19*'Inputs'!$B$48)*365,0)</x:f>
        <x:v>0.12258483628347132</x:v>
      </x:c>
      <x:c r="AK1672" s="81" t="n">
        <x:f>W1672/MAX($W$1464:W1672)-1</x:f>
        <x:v>-0.9938691121639237</x:v>
      </x:c>
      <x:c r="AL1672" s="83" t="n">
        <x:f>'Inputs'!$B$48</x:f>
        <x:v>0.25</x:v>
      </x:c>
      <x:c r="AM1672" s="83" t="n">
        <x:f>'Inputs'!$C$48</x:f>
        <x:v>0.25</x:v>
      </x:c>
      <x:c r="AN1672" s="83" t="n">
        <x:f>'Inputs'!$D$48</x:f>
        <x:v>0.3</x:v>
      </x:c>
      <x:c r="AO1672" s="81" t="n">
        <x:f>'Inputs'!$E$48</x:f>
        <x:v>0</x:v>
      </x:c>
    </x:row>
    <x:row r="1673">
      <x:c r="A1673" s="59" t="str">
        <x:v>Low participation</x:v>
      </x:c>
      <x:c r="B1673" s="59" t="n">
        <x:v>210</x:v>
      </x:c>
      <x:c r="C1673" s="78" t="n">
        <x:f>(('Inputs'!$B$29*(3*210*'Inputs'!$B$12-210^2)/(2*'Inputs'!$B$12^2))-('Inputs'!$B$29*(3*209*'Inputs'!$B$12-209^2)/(2*'Inputs'!$B$12^2)))*'Inputs'!$B$48</x:f>
        <x:v>160969.04907111824</x:v>
      </x:c>
      <x:c r="D1673" s="78" t="n">
        <x:f>IF('Inputs'!$C$48&gt;0,('Inputs'!$B$30*(3*210*'Inputs'!$B$12-210^2)/(2*'Inputs'!$B$12^2))-('Inputs'!$B$30*(3*209*'Inputs'!$B$12-209^2)/(2*'Inputs'!$B$12^2)),0)</x:f>
        <x:v>275946.9412647784</x:v>
      </x:c>
      <x:c r="E1673" s="78" t="n">
        <x:f>C1673+D1673</x:f>
        <x:v>436915.9903358966</x:v>
      </x:c>
      <x:c r="F1673" s="78" t="n">
        <x:f>'Inputs'!$B$13*E1673+(1-'Inputs'!$B$13)/'Inputs'!$B$14*SUM(E1618:E1673)</x:f>
        <x:v>441769.3868455618</x:v>
      </x:c>
      <x:c r="G1673" s="78" t="n">
        <x:f>F1673*'Inputs'!$F$48</x:f>
        <x:v>220884.6934227809</x:v>
      </x:c>
      <x:c r="H1673" s="78" t="n">
        <x:f>U1672</x:f>
        <x:v>46623649.54262778</x:v>
      </x:c>
      <x:c r="I1673" s="78" t="n">
        <x:f>V1672</x:f>
        <x:v>243.06842831069568</x:v>
      </x:c>
      <x:c r="J1673" s="79" t="n">
        <x:f>IF(H1673&gt;0,I1673/H1673,0)</x:f>
        <x:v>0.000005213414880541674</x:v>
      </x:c>
      <x:c r="K1673" s="80" t="n">
        <x:f>(H1673*J1673+I1673)*'Inputs'!$D$48*(1+'Inputs'!$G$48)^(B1673/30)</x:f>
        <x:v>145.8410569864174</x:v>
      </x:c>
      <x:c r="L1673" s="80" t="n">
        <x:f>MAX(0,K1673*'Inputs'!$E$48)</x:f>
        <x:v>0</x:v>
      </x:c>
      <x:c r="M1673" s="80" t="n">
        <x:f>MAX(0,-K1673*'Inputs'!$E$48)</x:f>
        <x:v>0</x:v>
      </x:c>
      <x:c r="N1673" s="78" t="n">
        <x:f>H1673*(L1673*(1-'Inputs'!$B$15))/(I1673+L1673*(1-'Inputs'!$B$15))</x:f>
        <x:v>0</x:v>
      </x:c>
      <x:c r="O1673" s="78" t="n">
        <x:f>H1673-N1673</x:f>
        <x:v>46623649.54262778</x:v>
      </x:c>
      <x:c r="P1673" s="78" t="n">
        <x:f>I1673+L1673*(1-'Inputs'!$B$17)</x:f>
        <x:v>243.06842831069568</x:v>
      </x:c>
      <x:c r="Q1673" s="78" t="n">
        <x:f>IF(J1673&gt;0,M1673/J1673,0)</x:f>
        <x:v>0</x:v>
      </x:c>
      <x:c r="R1673" s="78" t="n">
        <x:f>IF(B1673='Inputs'!$H$48,'Inputs'!$B$27*'Inputs'!$I$48,0)</x:f>
        <x:v>0</x:v>
      </x:c>
      <x:c r="S1673" s="78" t="n">
        <x:f>Q1673+G1673+R1673</x:f>
        <x:v>220884.6934227809</x:v>
      </x:c>
      <x:c r="T1673" s="78" t="n">
        <x:f>P1673*(S1673*(1-'Inputs'!$B$15))/(O1673+S1673*(1-'Inputs'!$B$15))</x:f>
        <x:v>1.134725782162675</x:v>
      </x:c>
      <x:c r="U1673" s="78" t="n">
        <x:f>O1673+S1673*(1-'Inputs'!$B$17)</x:f>
        <x:v>46843645.36404484</x:v>
      </x:c>
      <x:c r="V1673" s="78" t="n">
        <x:f>P1673-T1673</x:f>
        <x:v>241.93370252853302</x:v>
      </x:c>
      <x:c r="W1673" s="79" t="n">
        <x:f>IF(U1673&gt;0,V1673/U1673,0)</x:f>
        <x:v>0.0000051647069874333665</x:v>
      </x:c>
      <x:c r="X1673" s="80" t="n">
        <x:f>W1673*('Inputs'!$B$6-AC1673)</x:f>
        <x:v>5133.284616266955</x:v>
      </x:c>
      <x:c r="Y1673" s="80" t="n">
        <x:f>2*V1673</x:f>
        <x:v>483.86740505706604</x:v>
      </x:c>
      <x:c r="Z1673" s="80" t="n">
        <x:f>K1673*'Inputs'!$B$16+(G1673+R1673)*J1673*'Inputs'!$B$16</x:f>
        <x:v>0.8819557232039498</x:v>
      </x:c>
      <x:c r="AA1673" s="80" t="n">
        <x:f>K1673*(1+'Inputs'!$E$48)/2*'Inputs'!$B$17</x:f>
        <x:v>0.2934427705964133</x:v>
      </x:c>
      <x:c r="AB1673" s="78" t="n">
        <x:f>(IF(J1673&gt;0,K1673*(1-'Inputs'!$E$48)/2/J1673,0)+G1673+R1673)*'Inputs'!$B$17</x:f>
        <x:v>57174.96803304272</x:v>
      </x:c>
      <x:c r="AC1673" s="78" t="n">
        <x:f>AC1672+AB1673</x:f>
        <x:v>6084056.896715945</x:v>
      </x:c>
      <x:c r="AD1673" s="80" t="n">
        <x:f>Z1673/(1+'Inputs'!$C$48)</x:f>
        <x:v>0.7055645785631598</x:v>
      </x:c>
      <x:c r="AE1673" s="80" t="n">
        <x:f>Z1673-AD1673</x:f>
        <x:v>0.17639114464078998</x:v>
      </x:c>
      <x:c r="AF1673" s="80" t="n">
        <x:f>D1673*W1673</x:f>
        <x:v>1.4251850957110657</x:v>
      </x:c>
      <x:c r="AG1673" s="80" t="n">
        <x:f>C1673*W1673</x:f>
        <x:v>0.8313579724981088</x:v>
      </x:c>
      <x:c r="AH1673" s="80" t="n">
        <x:f>2*'Inputs'!$B$8*'Inputs'!$C$48</x:f>
        <x:v>1250</x:v>
      </x:c>
      <x:c r="AI1673" s="81" t="n">
        <x:f>IF(AH1673&gt;0,(AE1673+AF1673)/AH1673*365,0)</x:f>
        <x:v>0.4676602621827418</x:v>
      </x:c>
      <x:c r="AJ1673" s="81" t="n">
        <x:f>IF('Inputs'!$B$48&gt;0,AG1673/('Inputs'!$B$19*'Inputs'!$B$48)*365,0)</x:f>
        <x:v>0.12137826398472389</x:v>
      </x:c>
      <x:c r="AK1673" s="81" t="n">
        <x:f>W1673/MAX($W$1464:W1673)-1</x:f>
        <x:v>-0.99392639182346</x:v>
      </x:c>
      <x:c r="AL1673" s="83" t="n">
        <x:f>'Inputs'!$B$48</x:f>
        <x:v>0.25</x:v>
      </x:c>
      <x:c r="AM1673" s="83" t="n">
        <x:f>'Inputs'!$C$48</x:f>
        <x:v>0.25</x:v>
      </x:c>
      <x:c r="AN1673" s="83" t="n">
        <x:f>'Inputs'!$D$48</x:f>
        <x:v>0.3</x:v>
      </x:c>
      <x:c r="AO1673" s="81" t="n">
        <x:f>'Inputs'!$E$48</x:f>
        <x:v>0</x:v>
      </x:c>
    </x:row>
    <x:row r="1674">
      <x:c r="A1674" s="59" t="str">
        <x:v>Low participation</x:v>
      </x:c>
      <x:c r="B1674" s="59" t="n">
        <x:v>211</x:v>
      </x:c>
      <x:c r="C1674" s="78" t="n">
        <x:f>(('Inputs'!$B$29*(3*211*'Inputs'!$B$12-211^2)/(2*'Inputs'!$B$12^2))-('Inputs'!$B$29*(3*210*'Inputs'!$B$12-210^2)/(2*'Inputs'!$B$12^2)))*'Inputs'!$B$48</x:f>
        <x:v>160887.77209608257</x:v>
      </x:c>
      <x:c r="D1674" s="78" t="n">
        <x:f>IF('Inputs'!$C$48&gt;0,('Inputs'!$B$30*(3*211*'Inputs'!$B$12-211^2)/(2*'Inputs'!$B$12^2))-('Inputs'!$B$30*(3*210*'Inputs'!$B$12-210^2)/(2*'Inputs'!$B$12^2)),0)</x:f>
        <x:v>275807.6093075648</x:v>
      </x:c>
      <x:c r="E1674" s="78" t="n">
        <x:f>C1674+D1674</x:f>
        <x:v>436695.38140364736</x:v>
      </x:c>
      <x:c r="F1674" s="78" t="n">
        <x:f>'Inputs'!$B$13*E1674+(1-'Inputs'!$B$13)/'Inputs'!$B$14*SUM(E1619:E1674)</x:f>
        <x:v>441548.77791330614</x:v>
      </x:c>
      <x:c r="G1674" s="78" t="n">
        <x:f>F1674*'Inputs'!$F$48</x:f>
        <x:v>220774.38895665307</x:v>
      </x:c>
      <x:c r="H1674" s="78" t="n">
        <x:f>U1673</x:f>
        <x:v>46843645.36404484</x:v>
      </x:c>
      <x:c r="I1674" s="78" t="n">
        <x:f>V1673</x:f>
        <x:v>241.93370252853302</x:v>
      </x:c>
      <x:c r="J1674" s="79" t="n">
        <x:f>IF(H1674&gt;0,I1674/H1674,0)</x:f>
        <x:v>0.0000051647069874333665</x:v>
      </x:c>
      <x:c r="K1674" s="80" t="n">
        <x:f>(H1674*J1674+I1674)*'Inputs'!$D$48*(1+'Inputs'!$G$48)^(B1674/30)</x:f>
        <x:v>145.1602215171198</x:v>
      </x:c>
      <x:c r="L1674" s="80" t="n">
        <x:f>MAX(0,K1674*'Inputs'!$E$48)</x:f>
        <x:v>0</x:v>
      </x:c>
      <x:c r="M1674" s="80" t="n">
        <x:f>MAX(0,-K1674*'Inputs'!$E$48)</x:f>
        <x:v>0</x:v>
      </x:c>
      <x:c r="N1674" s="78" t="n">
        <x:f>H1674*(L1674*(1-'Inputs'!$B$15))/(I1674+L1674*(1-'Inputs'!$B$15))</x:f>
        <x:v>0</x:v>
      </x:c>
      <x:c r="O1674" s="78" t="n">
        <x:f>H1674-N1674</x:f>
        <x:v>46843645.36404484</x:v>
      </x:c>
      <x:c r="P1674" s="78" t="n">
        <x:f>I1674+L1674*(1-'Inputs'!$B$17)</x:f>
        <x:v>241.93370252853302</x:v>
      </x:c>
      <x:c r="Q1674" s="78" t="n">
        <x:f>IF(J1674&gt;0,M1674/J1674,0)</x:f>
        <x:v>0</x:v>
      </x:c>
      <x:c r="R1674" s="78" t="n">
        <x:f>IF(B1674='Inputs'!$H$48,'Inputs'!$B$27*'Inputs'!$I$48,0)</x:f>
        <x:v>0</x:v>
      </x:c>
      <x:c r="S1674" s="78" t="n">
        <x:f>Q1674+G1674+R1674</x:f>
        <x:v>220774.38895665307</x:v>
      </x:c>
      <x:c r="T1674" s="78" t="n">
        <x:f>P1674*(S1674*(1-'Inputs'!$B$15))/(O1674+S1674*(1-'Inputs'!$B$15))</x:f>
        <x:v>1.123590146593235</x:v>
      </x:c>
      <x:c r="U1674" s="78" t="n">
        <x:f>O1674+S1674*(1-'Inputs'!$B$17)</x:f>
        <x:v>47063531.32487692</x:v>
      </x:c>
      <x:c r="V1674" s="78" t="n">
        <x:f>P1674-T1674</x:f>
        <x:v>240.81011238193977</x:v>
      </x:c>
      <x:c r="W1674" s="79" t="n">
        <x:f>IF(U1674&gt;0,V1674/U1674,0)</x:f>
        <x:v>0.000005116703009802666</x:v>
      </x:c>
      <x:c r="X1674" s="80" t="n">
        <x:f>W1674*('Inputs'!$B$6-AC1674)</x:f>
        <x:v>5085.2787935700535</x:v>
      </x:c>
      <x:c r="Y1674" s="80" t="n">
        <x:f>2*V1674</x:f>
        <x:v>481.62022476387955</x:v>
      </x:c>
      <x:c r="Z1674" s="80" t="n">
        <x:f>K1674*'Inputs'!$B$16+(G1674+R1674)*J1674*'Inputs'!$B$16</x:f>
        <x:v>0.8778027392784633</x:v>
      </x:c>
      <x:c r="AA1674" s="80" t="n">
        <x:f>K1674*(1+'Inputs'!$E$48)/2*'Inputs'!$B$17</x:f>
        <x:v>0.29207288031613643</x:v>
      </x:c>
      <x:c r="AB1674" s="78" t="n">
        <x:f>(IF(J1674&gt;0,K1674*(1-'Inputs'!$E$48)/2/J1674,0)+G1674+R1674)*'Inputs'!$B$17</x:f>
        <x:v>57440.11266869258</x:v>
      </x:c>
      <x:c r="AC1674" s="78" t="n">
        <x:f>AC1673+AB1674</x:f>
        <x:v>6141497.009384637</x:v>
      </x:c>
      <x:c r="AD1674" s="80" t="n">
        <x:f>Z1674/(1+'Inputs'!$C$48)</x:f>
        <x:v>0.7022421914227707</x:v>
      </x:c>
      <x:c r="AE1674" s="80" t="n">
        <x:f>Z1674-AD1674</x:f>
        <x:v>0.17556054785569264</x:v>
      </x:c>
      <x:c r="AF1674" s="80" t="n">
        <x:f>D1674*W1674</x:f>
        <x:v>1.4112256246704946</x:v>
      </x:c>
      <x:c r="AG1674" s="80" t="n">
        <x:f>C1674*W1674</x:f>
        <x:v>0.8232149477244711</x:v>
      </x:c>
      <x:c r="AH1674" s="80" t="n">
        <x:f>2*'Inputs'!$B$8*'Inputs'!$C$48</x:f>
        <x:v>1250</x:v>
      </x:c>
      <x:c r="AI1674" s="81" t="n">
        <x:f>IF(AH1674&gt;0,(AE1674+AF1674)/AH1674*365,0)</x:f>
        <x:v>0.4633415623776467</x:v>
      </x:c>
      <x:c r="AJ1674" s="81" t="n">
        <x:f>IF('Inputs'!$B$48&gt;0,AG1674/('Inputs'!$B$19*'Inputs'!$B$48)*365,0)</x:f>
        <x:v>0.12018938236777278</x:v>
      </x:c>
      <x:c r="AK1674" s="81" t="n">
        <x:f>W1674/MAX($W$1464:W1674)-1</x:f>
        <x:v>-0.9939828436902849</x:v>
      </x:c>
      <x:c r="AL1674" s="83" t="n">
        <x:f>'Inputs'!$B$48</x:f>
        <x:v>0.25</x:v>
      </x:c>
      <x:c r="AM1674" s="83" t="n">
        <x:f>'Inputs'!$C$48</x:f>
        <x:v>0.25</x:v>
      </x:c>
      <x:c r="AN1674" s="83" t="n">
        <x:f>'Inputs'!$D$48</x:f>
        <x:v>0.3</x:v>
      </x:c>
      <x:c r="AO1674" s="81" t="n">
        <x:f>'Inputs'!$E$48</x:f>
        <x:v>0</x:v>
      </x:c>
    </x:row>
    <x:row r="1675">
      <x:c r="A1675" s="59" t="str">
        <x:v>Low participation</x:v>
      </x:c>
      <x:c r="B1675" s="59" t="n">
        <x:v>212</x:v>
      </x:c>
      <x:c r="C1675" s="78" t="n">
        <x:f>(('Inputs'!$B$29*(3*212*'Inputs'!$B$12-212^2)/(2*'Inputs'!$B$12^2))-('Inputs'!$B$29*(3*211*'Inputs'!$B$12-211^2)/(2*'Inputs'!$B$12^2)))*'Inputs'!$B$48</x:f>
        <x:v>160806.495121032</x:v>
      </x:c>
      <x:c r="D1675" s="78" t="n">
        <x:f>IF('Inputs'!$C$48&gt;0,('Inputs'!$B$30*(3*212*'Inputs'!$B$12-212^2)/(2*'Inputs'!$B$12^2))-('Inputs'!$B$30*(3*211*'Inputs'!$B$12-211^2)/(2*'Inputs'!$B$12^2)),0)</x:f>
        <x:v>275668.27735034376</x:v>
      </x:c>
      <x:c r="E1675" s="78" t="n">
        <x:f>C1675+D1675</x:f>
        <x:v>436474.77247137576</x:v>
      </x:c>
      <x:c r="F1675" s="78" t="n">
        <x:f>'Inputs'!$B$13*E1675+(1-'Inputs'!$B$13)/'Inputs'!$B$14*SUM(E1620:E1675)</x:f>
        <x:v>441328.16898104566</x:v>
      </x:c>
      <x:c r="G1675" s="78" t="n">
        <x:f>F1675*'Inputs'!$F$48</x:f>
        <x:v>220664.08449052283</x:v>
      </x:c>
      <x:c r="H1675" s="78" t="n">
        <x:f>U1674</x:f>
        <x:v>47063531.32487692</x:v>
      </x:c>
      <x:c r="I1675" s="78" t="n">
        <x:f>V1674</x:f>
        <x:v>240.81011238193977</x:v>
      </x:c>
      <x:c r="J1675" s="79" t="n">
        <x:f>IF(H1675&gt;0,I1675/H1675,0)</x:f>
        <x:v>0.000005116703009802666</x:v>
      </x:c>
      <x:c r="K1675" s="80" t="n">
        <x:f>(H1675*J1675+I1675)*'Inputs'!$D$48*(1+'Inputs'!$G$48)^(B1675/30)</x:f>
        <x:v>144.48606742916388</x:v>
      </x:c>
      <x:c r="L1675" s="80" t="n">
        <x:f>MAX(0,K1675*'Inputs'!$E$48)</x:f>
        <x:v>0</x:v>
      </x:c>
      <x:c r="M1675" s="80" t="n">
        <x:f>MAX(0,-K1675*'Inputs'!$E$48)</x:f>
        <x:v>0</x:v>
      </x:c>
      <x:c r="N1675" s="78" t="n">
        <x:f>H1675*(L1675*(1-'Inputs'!$B$15))/(I1675+L1675*(1-'Inputs'!$B$15))</x:f>
        <x:v>0</x:v>
      </x:c>
      <x:c r="O1675" s="78" t="n">
        <x:f>H1675-N1675</x:f>
        <x:v>47063531.32487692</x:v>
      </x:c>
      <x:c r="P1675" s="78" t="n">
        <x:f>I1675+L1675*(1-'Inputs'!$B$17)</x:f>
        <x:v>240.81011238193977</x:v>
      </x:c>
      <x:c r="Q1675" s="78" t="n">
        <x:f>IF(J1675&gt;0,M1675/J1675,0)</x:f>
        <x:v>0</x:v>
      </x:c>
      <x:c r="R1675" s="78" t="n">
        <x:f>IF(B1675='Inputs'!$H$48,'Inputs'!$B$27*'Inputs'!$I$48,0)</x:f>
        <x:v>0</x:v>
      </x:c>
      <x:c r="S1675" s="78" t="n">
        <x:f>Q1675+G1675+R1675</x:f>
        <x:v>220664.08449052283</x:v>
      </x:c>
      <x:c r="T1675" s="78" t="n">
        <x:f>P1675*(S1675*(1-'Inputs'!$B$15))/(O1675+S1675*(1-'Inputs'!$B$15))</x:f>
        <x:v>1.112617360756932</x:v>
      </x:c>
      <x:c r="U1675" s="78" t="n">
        <x:f>O1675+S1675*(1-'Inputs'!$B$17)</x:f>
        <x:v>47283307.42512402</x:v>
      </x:c>
      <x:c r="V1675" s="78" t="n">
        <x:f>P1675-T1675</x:f>
        <x:v>239.69749502118285</x:v>
      </x:c>
      <x:c r="W1675" s="79" t="n">
        <x:f>IF(U1675&gt;0,V1675/U1675,0)</x:f>
        <x:v>0.000005069389348466335</x:v>
      </x:c>
      <x:c r="X1675" s="80" t="n">
        <x:f>W1675*('Inputs'!$B$6-AC1675)</x:f>
        <x:v>5037.963179198939</x:v>
      </x:c>
      <x:c r="Y1675" s="80" t="n">
        <x:f>2*V1675</x:f>
        <x:v>479.3949900423657</x:v>
      </x:c>
      <x:c r="Z1675" s="80" t="n">
        <x:f>K1675*'Inputs'!$B$16+(G1675+R1675)*J1675*'Inputs'!$B$16</x:f>
        <x:v>0.8736908400865914</x:v>
      </x:c>
      <x:c r="AA1675" s="80" t="n">
        <x:f>K1675*(1+'Inputs'!$E$48)/2*'Inputs'!$B$17</x:f>
        <x:v>0.29071643345908227</x:v>
      </x:c>
      <x:c r="AB1675" s="78" t="n">
        <x:f>(IF(J1675&gt;0,K1675*(1-'Inputs'!$E$48)/2/J1675,0)+G1675+R1675)*'Inputs'!$B$17</x:f>
        <x:v>57705.124675869614</x:v>
      </x:c>
      <x:c r="AC1675" s="78" t="n">
        <x:f>AC1674+AB1675</x:f>
        <x:v>6199202.134060507</x:v>
      </x:c>
      <x:c r="AD1675" s="80" t="n">
        <x:f>Z1675/(1+'Inputs'!$C$48)</x:f>
        <x:v>0.6989526720692731</x:v>
      </x:c>
      <x:c r="AE1675" s="80" t="n">
        <x:f>Z1675-AD1675</x:f>
        <x:v>0.17473816801731823</x:v>
      </x:c>
      <x:c r="AF1675" s="80" t="n">
        <x:f>D1675*W1675</x:f>
        <x:v>1.3974698289098961</x:v>
      </x:c>
      <x:c r="AG1675" s="80" t="n">
        <x:f>C1675*W1675</x:f>
        <x:v>0.8151907335307632</x:v>
      </x:c>
      <x:c r="AH1675" s="80" t="n">
        <x:f>2*'Inputs'!$B$8*'Inputs'!$C$48</x:f>
        <x:v>1250</x:v>
      </x:c>
      <x:c r="AI1675" s="81" t="n">
        <x:f>IF(AH1675&gt;0,(AE1675+AF1675)/AH1675*365,0)</x:f>
        <x:v>0.45908473510274656</x:v>
      </x:c>
      <x:c r="AJ1675" s="81" t="n">
        <x:f>IF('Inputs'!$B$48&gt;0,AG1675/('Inputs'!$B$19*'Inputs'!$B$48)*365,0)</x:f>
        <x:v>0.11901784709549142</x:v>
      </x:c>
      <x:c r="AK1675" s="81" t="n">
        <x:f>W1675/MAX($W$1464:W1675)-1</x:f>
        <x:v>-0.9940384837568081</x:v>
      </x:c>
      <x:c r="AL1675" s="83" t="n">
        <x:f>'Inputs'!$B$48</x:f>
        <x:v>0.25</x:v>
      </x:c>
      <x:c r="AM1675" s="83" t="n">
        <x:f>'Inputs'!$C$48</x:f>
        <x:v>0.25</x:v>
      </x:c>
      <x:c r="AN1675" s="83" t="n">
        <x:f>'Inputs'!$D$48</x:f>
        <x:v>0.3</x:v>
      </x:c>
      <x:c r="AO1675" s="81" t="n">
        <x:f>'Inputs'!$E$48</x:f>
        <x:v>0</x:v>
      </x:c>
    </x:row>
    <x:row r="1676">
      <x:c r="A1676" s="59" t="str">
        <x:v>Low participation</x:v>
      </x:c>
      <x:c r="B1676" s="59" t="n">
        <x:v>213</x:v>
      </x:c>
      <x:c r="C1676" s="78" t="n">
        <x:f>(('Inputs'!$B$29*(3*213*'Inputs'!$B$12-213^2)/(2*'Inputs'!$B$12^2))-('Inputs'!$B$29*(3*212*'Inputs'!$B$12-212^2)/(2*'Inputs'!$B$12^2)))*'Inputs'!$B$48</x:f>
        <x:v>160725.21814599633</x:v>
      </x:c>
      <x:c r="D1676" s="78" t="n">
        <x:f>IF('Inputs'!$C$48&gt;0,('Inputs'!$B$30*(3*213*'Inputs'!$B$12-213^2)/(2*'Inputs'!$B$12^2))-('Inputs'!$B$30*(3*212*'Inputs'!$B$12-212^2)/(2*'Inputs'!$B$12^2)),0)</x:f>
        <x:v>275528.9453931302</x:v>
      </x:c>
      <x:c r="E1676" s="78" t="n">
        <x:f>C1676+D1676</x:f>
        <x:v>436254.1635391265</x:v>
      </x:c>
      <x:c r="F1676" s="78" t="n">
        <x:f>'Inputs'!$B$13*E1676+(1-'Inputs'!$B$13)/'Inputs'!$B$14*SUM(E1621:E1676)</x:f>
        <x:v>441107.56004878983</x:v>
      </x:c>
      <x:c r="G1676" s="78" t="n">
        <x:f>F1676*'Inputs'!$F$48</x:f>
        <x:v>220553.78002439492</x:v>
      </x:c>
      <x:c r="H1676" s="78" t="n">
        <x:f>U1675</x:f>
        <x:v>47283307.42512402</x:v>
      </x:c>
      <x:c r="I1676" s="78" t="n">
        <x:f>V1675</x:f>
        <x:v>239.69749502118285</x:v>
      </x:c>
      <x:c r="J1676" s="79" t="n">
        <x:f>IF(H1676&gt;0,I1676/H1676,0)</x:f>
        <x:v>0.000005069389348466335</x:v>
      </x:c>
      <x:c r="K1676" s="80" t="n">
        <x:f>(H1676*J1676+I1676)*'Inputs'!$D$48*(1+'Inputs'!$G$48)^(B1676/30)</x:f>
        <x:v>143.8184970127097</x:v>
      </x:c>
      <x:c r="L1676" s="80" t="n">
        <x:f>MAX(0,K1676*'Inputs'!$E$48)</x:f>
        <x:v>0</x:v>
      </x:c>
      <x:c r="M1676" s="80" t="n">
        <x:f>MAX(0,-K1676*'Inputs'!$E$48)</x:f>
        <x:v>0</x:v>
      </x:c>
      <x:c r="N1676" s="78" t="n">
        <x:f>H1676*(L1676*(1-'Inputs'!$B$15))/(I1676+L1676*(1-'Inputs'!$B$15))</x:f>
        <x:v>0</x:v>
      </x:c>
      <x:c r="O1676" s="78" t="n">
        <x:f>H1676-N1676</x:f>
        <x:v>47283307.42512402</x:v>
      </x:c>
      <x:c r="P1676" s="78" t="n">
        <x:f>I1676+L1676*(1-'Inputs'!$B$17)</x:f>
        <x:v>239.69749502118285</x:v>
      </x:c>
      <x:c r="Q1676" s="78" t="n">
        <x:f>IF(J1676&gt;0,M1676/J1676,0)</x:f>
        <x:v>0</x:v>
      </x:c>
      <x:c r="R1676" s="78" t="n">
        <x:f>IF(B1676='Inputs'!$H$48,'Inputs'!$B$27*'Inputs'!$I$48,0)</x:f>
        <x:v>0</x:v>
      </x:c>
      <x:c r="S1676" s="78" t="n">
        <x:f>Q1676+G1676+R1676</x:f>
        <x:v>220553.78002439492</x:v>
      </x:c>
      <x:c r="T1676" s="78" t="n">
        <x:f>P1676*(S1676*(1-'Inputs'!$B$15))/(O1676+S1676*(1-'Inputs'!$B$15))</x:f>
        <x:v>1.1018042627803262</x:v>
      </x:c>
      <x:c r="U1676" s="78" t="n">
        <x:f>O1676+S1676*(1-'Inputs'!$B$17)</x:f>
        <x:v>47502973.664786145</x:v>
      </x:c>
      <x:c r="V1676" s="78" t="n">
        <x:f>P1676-T1676</x:f>
        <x:v>238.59569075840253</x:v>
      </x:c>
      <x:c r="W1676" s="79" t="n">
        <x:f>IF(U1676&gt;0,V1676/U1676,0)</x:f>
        <x:v>0.000005022752732115232</x:v>
      </x:c>
      <x:c r="X1676" s="80" t="n">
        <x:f>W1676*('Inputs'!$B$6-AC1676)</x:f>
        <x:v>4991.324503663199</x:v>
      </x:c>
      <x:c r="Y1676" s="80" t="n">
        <x:f>2*V1676</x:f>
        <x:v>477.19138151680505</x:v>
      </x:c>
      <x:c r="Z1676" s="80" t="n">
        <x:f>K1676*'Inputs'!$B$16+(G1676+R1676)*J1676*'Inputs'!$B$16</x:f>
        <x:v>0.8696194199755762</x:v>
      </x:c>
      <x:c r="AA1676" s="80" t="n">
        <x:f>K1676*(1+'Inputs'!$E$48)/2*'Inputs'!$B$17</x:f>
        <x:v>0.2893732334259753</x:v>
      </x:c>
      <x:c r="AB1676" s="78" t="n">
        <x:f>(IF(J1676&gt;0,K1676*(1-'Inputs'!$E$48)/2/J1676,0)+G1676+R1676)*'Inputs'!$B$17</x:f>
        <x:v>57970.004054573845</x:v>
      </x:c>
      <x:c r="AC1676" s="78" t="n">
        <x:f>AC1675+AB1676</x:f>
        <x:v>6257172.138115081</x:v>
      </x:c>
      <x:c r="AD1676" s="80" t="n">
        <x:f>Z1676/(1+'Inputs'!$C$48)</x:f>
        <x:v>0.695695535980461</x:v>
      </x:c>
      <x:c r="AE1676" s="80" t="n">
        <x:f>Z1676-AD1676</x:f>
        <x:v>0.17392388399511527</x:v>
      </x:c>
      <x:c r="AF1676" s="80" t="n">
        <x:f>D1676*W1676</x:f>
        <x:v>1.383913763250173</x:v>
      </x:c>
      <x:c r="AG1676" s="80" t="n">
        <x:f>C1676*W1676</x:f>
        <x:v>0.8072830285626197</x:v>
      </x:c>
      <x:c r="AH1676" s="80" t="n">
        <x:f>2*'Inputs'!$B$8*'Inputs'!$C$48</x:f>
        <x:v>1250</x:v>
      </x:c>
      <x:c r="AI1676" s="81" t="n">
        <x:f>IF(AH1676&gt;0,(AE1676+AF1676)/AH1676*365,0)</x:f>
        <x:v>0.4548885929956241</x:v>
      </x:c>
      <x:c r="AJ1676" s="81" t="n">
        <x:f>IF('Inputs'!$B$48&gt;0,AG1676/('Inputs'!$B$19*'Inputs'!$B$48)*365,0)</x:f>
        <x:v>0.11786332217014246</x:v>
      </x:c>
      <x:c r="AK1676" s="81" t="n">
        <x:f>W1676/MAX($W$1464:W1676)-1</x:f>
        <x:v>-0.9940933276298654</x:v>
      </x:c>
      <x:c r="AL1676" s="83" t="n">
        <x:f>'Inputs'!$B$48</x:f>
        <x:v>0.25</x:v>
      </x:c>
      <x:c r="AM1676" s="83" t="n">
        <x:f>'Inputs'!$C$48</x:f>
        <x:v>0.25</x:v>
      </x:c>
      <x:c r="AN1676" s="83" t="n">
        <x:f>'Inputs'!$D$48</x:f>
        <x:v>0.3</x:v>
      </x:c>
      <x:c r="AO1676" s="81" t="n">
        <x:f>'Inputs'!$E$48</x:f>
        <x:v>0</x:v>
      </x:c>
    </x:row>
    <x:row r="1677">
      <x:c r="A1677" s="59" t="str">
        <x:v>Low participation</x:v>
      </x:c>
      <x:c r="B1677" s="59" t="n">
        <x:v>214</x:v>
      </x:c>
      <x:c r="C1677" s="78" t="n">
        <x:f>(('Inputs'!$B$29*(3*214*'Inputs'!$B$12-214^2)/(2*'Inputs'!$B$12^2))-('Inputs'!$B$29*(3*213*'Inputs'!$B$12-213^2)/(2*'Inputs'!$B$12^2)))*'Inputs'!$B$48</x:f>
        <x:v>160643.94117094576</x:v>
      </x:c>
      <x:c r="D1677" s="78" t="n">
        <x:f>IF('Inputs'!$C$48&gt;0,('Inputs'!$B$30*(3*214*'Inputs'!$B$12-214^2)/(2*'Inputs'!$B$12^2))-('Inputs'!$B$30*(3*213*'Inputs'!$B$12-213^2)/(2*'Inputs'!$B$12^2)),0)</x:f>
        <x:v>275389.6134359166</x:v>
      </x:c>
      <x:c r="E1677" s="78" t="n">
        <x:f>C1677+D1677</x:f>
        <x:v>436033.55460686237</x:v>
      </x:c>
      <x:c r="F1677" s="78" t="n">
        <x:f>'Inputs'!$B$13*E1677+(1-'Inputs'!$B$13)/'Inputs'!$B$14*SUM(E1622:E1677)</x:f>
        <x:v>440886.951116531</x:v>
      </x:c>
      <x:c r="G1677" s="78" t="n">
        <x:f>F1677*'Inputs'!$F$48</x:f>
        <x:v>220443.4755582655</x:v>
      </x:c>
      <x:c r="H1677" s="78" t="n">
        <x:f>U1676</x:f>
        <x:v>47502973.664786145</x:v>
      </x:c>
      <x:c r="I1677" s="78" t="n">
        <x:f>V1676</x:f>
        <x:v>238.59569075840253</x:v>
      </x:c>
      <x:c r="J1677" s="79" t="n">
        <x:f>IF(H1677&gt;0,I1677/H1677,0)</x:f>
        <x:v>0.000005022752732115232</x:v>
      </x:c>
      <x:c r="K1677" s="80" t="n">
        <x:f>(H1677*J1677+I1677)*'Inputs'!$D$48*(1+'Inputs'!$G$48)^(B1677/30)</x:f>
        <x:v>143.1574144550415</x:v>
      </x:c>
      <x:c r="L1677" s="80" t="n">
        <x:f>MAX(0,K1677*'Inputs'!$E$48)</x:f>
        <x:v>0</x:v>
      </x:c>
      <x:c r="M1677" s="80" t="n">
        <x:f>MAX(0,-K1677*'Inputs'!$E$48)</x:f>
        <x:v>0</x:v>
      </x:c>
      <x:c r="N1677" s="78" t="n">
        <x:f>H1677*(L1677*(1-'Inputs'!$B$15))/(I1677+L1677*(1-'Inputs'!$B$15))</x:f>
        <x:v>0</x:v>
      </x:c>
      <x:c r="O1677" s="78" t="n">
        <x:f>H1677-N1677</x:f>
        <x:v>47502973.664786145</x:v>
      </x:c>
      <x:c r="P1677" s="78" t="n">
        <x:f>I1677+L1677*(1-'Inputs'!$B$17)</x:f>
        <x:v>238.59569075840253</x:v>
      </x:c>
      <x:c r="Q1677" s="78" t="n">
        <x:f>IF(J1677&gt;0,M1677/J1677,0)</x:f>
        <x:v>0</x:v>
      </x:c>
      <x:c r="R1677" s="78" t="n">
        <x:f>IF(B1677='Inputs'!$H$48,'Inputs'!$B$27*'Inputs'!$I$48,0)</x:f>
        <x:v>0</x:v>
      </x:c>
      <x:c r="S1677" s="78" t="n">
        <x:f>Q1677+G1677+R1677</x:f>
        <x:v>220443.4755582655</x:v>
      </x:c>
      <x:c r="T1677" s="78" t="n">
        <x:f>P1677*(S1677*(1-'Inputs'!$B$15))/(O1677+S1677*(1-'Inputs'!$B$15))</x:f>
        <x:v>1.091147767178789</x:v>
      </x:c>
      <x:c r="U1677" s="78" t="n">
        <x:f>O1677+S1677*(1-'Inputs'!$B$17)</x:f>
        <x:v>47722530.04386329</x:v>
      </x:c>
      <x:c r="V1677" s="78" t="n">
        <x:f>P1677-T1677</x:f>
        <x:v>237.50454299122373</x:v>
      </x:c>
      <x:c r="W1677" s="79" t="n">
        <x:f>IF(U1677&gt;0,V1677/U1677,0)</x:f>
        <x:v>0.0000049767802078583385</x:v>
      </x:c>
      <x:c r="X1677" s="80" t="n">
        <x:f>W1677*('Inputs'!$B$6-AC1677)</x:f>
        <x:v>4945.34981584899</x:v>
      </x:c>
      <x:c r="Y1677" s="80" t="n">
        <x:f>2*V1677</x:f>
        <x:v>475.00908598244746</x:v>
      </x:c>
      <x:c r="Z1677" s="80" t="n">
        <x:f>K1677*'Inputs'!$B$16+(G1677+R1677)*J1677*'Inputs'!$B$16</x:f>
        <x:v>0.8655878851450726</x:v>
      </x:c>
      <x:c r="AA1677" s="80" t="n">
        <x:f>K1677*(1+'Inputs'!$E$48)/2*'Inputs'!$B$17</x:f>
        <x:v>0.2880430874346912</x:v>
      </x:c>
      <x:c r="AB1677" s="78" t="n">
        <x:f>(IF(J1677&gt;0,K1677*(1-'Inputs'!$E$48)/2/J1677,0)+G1677+R1677)*'Inputs'!$B$17</x:f>
        <x:v>58234.75080480528</x:v>
      </x:c>
      <x:c r="AC1677" s="78" t="n">
        <x:f>AC1676+AB1677</x:f>
        <x:v>6315406.888919886</x:v>
      </x:c>
      <x:c r="AD1677" s="80" t="n">
        <x:f>Z1677/(1+'Inputs'!$C$48)</x:f>
        <x:v>0.692470308116058</x:v>
      </x:c>
      <x:c r="AE1677" s="80" t="n">
        <x:f>Z1677-AD1677</x:f>
        <x:v>0.17311757702901454</x:v>
      </x:c>
      <x:c r="AF1677" s="80" t="n">
        <x:f>D1677*W1677</x:f>
        <x:v>1.3705535775976285</x:v>
      </x:c>
      <x:c r="AG1677" s="80" t="n">
        <x:f>C1677*W1677</x:f>
        <x:v>0.7994895869319222</x:v>
      </x:c>
      <x:c r="AH1677" s="80" t="n">
        <x:f>2*'Inputs'!$B$8*'Inputs'!$C$48</x:f>
        <x:v>1250</x:v>
      </x:c>
      <x:c r="AI1677" s="81" t="n">
        <x:f>IF(AH1677&gt;0,(AE1677+AF1677)/AH1677*365,0)</x:f>
        <x:v>0.4507519771509798</x:v>
      </x:c>
      <x:c r="AJ1677" s="81" t="n">
        <x:f>IF('Inputs'!$B$48&gt;0,AG1677/('Inputs'!$B$19*'Inputs'!$B$48)*365,0)</x:f>
        <x:v>0.11672547969206064</x:v>
      </x:c>
      <x:c r="AK1677" s="81" t="n">
        <x:f>W1677/MAX($W$1464:W1677)-1</x:f>
        <x:v>-0.9941473905418374</x:v>
      </x:c>
      <x:c r="AL1677" s="83" t="n">
        <x:f>'Inputs'!$B$48</x:f>
        <x:v>0.25</x:v>
      </x:c>
      <x:c r="AM1677" s="83" t="n">
        <x:f>'Inputs'!$C$48</x:f>
        <x:v>0.25</x:v>
      </x:c>
      <x:c r="AN1677" s="83" t="n">
        <x:f>'Inputs'!$D$48</x:f>
        <x:v>0.3</x:v>
      </x:c>
      <x:c r="AO1677" s="81" t="n">
        <x:f>'Inputs'!$E$48</x:f>
        <x:v>0</x:v>
      </x:c>
    </x:row>
    <x:row r="1678">
      <x:c r="A1678" s="59" t="str">
        <x:v>Low participation</x:v>
      </x:c>
      <x:c r="B1678" s="59" t="n">
        <x:v>215</x:v>
      </x:c>
      <x:c r="C1678" s="78" t="n">
        <x:f>(('Inputs'!$B$29*(3*215*'Inputs'!$B$12-215^2)/(2*'Inputs'!$B$12^2))-('Inputs'!$B$29*(3*214*'Inputs'!$B$12-214^2)/(2*'Inputs'!$B$12^2)))*'Inputs'!$B$48</x:f>
        <x:v>160562.6641959101</x:v>
      </x:c>
      <x:c r="D1678" s="78" t="n">
        <x:f>IF('Inputs'!$C$48&gt;0,('Inputs'!$B$30*(3*215*'Inputs'!$B$12-215^2)/(2*'Inputs'!$B$12^2))-('Inputs'!$B$30*(3*214*'Inputs'!$B$12-214^2)/(2*'Inputs'!$B$12^2)),0)</x:f>
        <x:v>275250.281478703</x:v>
      </x:c>
      <x:c r="E1678" s="78" t="n">
        <x:f>C1678+D1678</x:f>
        <x:v>435812.9456746131</x:v>
      </x:c>
      <x:c r="F1678" s="78" t="n">
        <x:f>'Inputs'!$B$13*E1678+(1-'Inputs'!$B$13)/'Inputs'!$B$14*SUM(E1623:E1678)</x:f>
        <x:v>440666.3421842753</x:v>
      </x:c>
      <x:c r="G1678" s="78" t="n">
        <x:f>F1678*'Inputs'!$F$48</x:f>
        <x:v>220333.17109213764</x:v>
      </x:c>
      <x:c r="H1678" s="78" t="n">
        <x:f>U1677</x:f>
        <x:v>47722530.04386329</x:v>
      </x:c>
      <x:c r="I1678" s="78" t="n">
        <x:f>V1677</x:f>
        <x:v>237.50454299122373</x:v>
      </x:c>
      <x:c r="J1678" s="79" t="n">
        <x:f>IF(H1678&gt;0,I1678/H1678,0)</x:f>
        <x:v>0.0000049767802078583385</x:v>
      </x:c>
      <x:c r="K1678" s="80" t="n">
        <x:f>(H1678*J1678+I1678)*'Inputs'!$D$48*(1+'Inputs'!$G$48)^(B1678/30)</x:f>
        <x:v>142.50272579473423</x:v>
      </x:c>
      <x:c r="L1678" s="80" t="n">
        <x:f>MAX(0,K1678*'Inputs'!$E$48)</x:f>
        <x:v>0</x:v>
      </x:c>
      <x:c r="M1678" s="80" t="n">
        <x:f>MAX(0,-K1678*'Inputs'!$E$48)</x:f>
        <x:v>0</x:v>
      </x:c>
      <x:c r="N1678" s="78" t="n">
        <x:f>H1678*(L1678*(1-'Inputs'!$B$15))/(I1678+L1678*(1-'Inputs'!$B$15))</x:f>
        <x:v>0</x:v>
      </x:c>
      <x:c r="O1678" s="78" t="n">
        <x:f>H1678-N1678</x:f>
        <x:v>47722530.04386329</x:v>
      </x:c>
      <x:c r="P1678" s="78" t="n">
        <x:f>I1678+L1678*(1-'Inputs'!$B$17)</x:f>
        <x:v>237.50454299122373</x:v>
      </x:c>
      <x:c r="Q1678" s="78" t="n">
        <x:f>IF(J1678&gt;0,M1678/J1678,0)</x:f>
        <x:v>0</x:v>
      </x:c>
      <x:c r="R1678" s="78" t="n">
        <x:f>IF(B1678='Inputs'!$H$48,'Inputs'!$B$27*'Inputs'!$I$48,0)</x:f>
        <x:v>0</x:v>
      </x:c>
      <x:c r="S1678" s="78" t="n">
        <x:f>Q1678+G1678+R1678</x:f>
        <x:v>220333.17109213764</x:v>
      </x:c>
      <x:c r="T1678" s="78" t="n">
        <x:f>P1678*(S1678*(1-'Inputs'!$B$15))/(O1678+S1678*(1-'Inputs'!$B$15))</x:f>
        <x:v>1.0806448626522045</x:v>
      </x:c>
      <x:c r="U1678" s="78" t="n">
        <x:f>O1678+S1678*(1-'Inputs'!$B$17)</x:f>
        <x:v>47941976.56235546</x:v>
      </x:c>
      <x:c r="V1678" s="78" t="n">
        <x:f>P1678-T1678</x:f>
        <x:v>236.42389812857152</x:v>
      </x:c>
      <x:c r="W1678" s="79" t="n">
        <x:f>IF(U1678&gt;0,V1678/U1678,0)</x:f>
        <x:v>0.0000049314591320837204</x:v>
      </x:c>
      <x:c r="X1678" s="80" t="n">
        <x:f>W1678*('Inputs'!$B$6-AC1678)</x:f>
        <x:v>4900.026473881144</x:v>
      </x:c>
      <x:c r="Y1678" s="80" t="n">
        <x:f>2*V1678</x:f>
        <x:v>472.84779625714305</x:v>
      </x:c>
      <x:c r="Z1678" s="80" t="n">
        <x:f>K1678*'Inputs'!$B$16+(G1678+R1678)*J1678*'Inputs'!$B$16</x:f>
        <x:v>0.8615956533585615</x:v>
      </x:c>
      <x:c r="AA1678" s="80" t="n">
        <x:f>K1678*(1+'Inputs'!$E$48)/2*'Inputs'!$B$17</x:f>
        <x:v>0.2867258064280367</x:v>
      </x:c>
      <x:c r="AB1678" s="78" t="n">
        <x:f>(IF(J1678&gt;0,K1678*(1-'Inputs'!$E$48)/2/J1678,0)+G1678+R1678)*'Inputs'!$B$17</x:f>
        <x:v>58499.364926563874</x:v>
      </x:c>
      <x:c r="AC1678" s="78" t="n">
        <x:f>AC1677+AB1678</x:f>
        <x:v>6373906.25384645</x:v>
      </x:c>
      <x:c r="AD1678" s="80" t="n">
        <x:f>Z1678/(1+'Inputs'!$C$48)</x:f>
        <x:v>0.6892765226868491</x:v>
      </x:c>
      <x:c r="AE1678" s="80" t="n">
        <x:f>Z1678-AD1678</x:f>
        <x:v>0.17231913067171234</x:v>
      </x:c>
      <x:c r="AF1678" s="80" t="n">
        <x:f>D1678*W1678</x:f>
        <x:v>1.3573855142067646</x:v>
      </x:c>
      <x:c r="AG1678" s="80" t="n">
        <x:f>C1678*W1678</x:f>
        <x:v>0.7918082166206126</x:v>
      </x:c>
      <x:c r="AH1678" s="80" t="n">
        <x:f>2*'Inputs'!$B$8*'Inputs'!$C$48</x:f>
        <x:v>1250</x:v>
      </x:c>
      <x:c r="AI1678" s="81" t="n">
        <x:f>IF(AH1678&gt;0,(AE1678+AF1678)/AH1678*365,0)</x:f>
        <x:v>0.4466737563045153</x:v>
      </x:c>
      <x:c r="AJ1678" s="81" t="n">
        <x:f>IF('Inputs'!$B$48&gt;0,AG1678/('Inputs'!$B$19*'Inputs'!$B$48)*365,0)</x:f>
        <x:v>0.11560399962660944</x:v>
      </x:c>
      <x:c r="AK1678" s="81" t="n">
        <x:f>W1678/MAX($W$1464:W1678)-1</x:f>
        <x:v>-0.9942006873613983</x:v>
      </x:c>
      <x:c r="AL1678" s="83" t="n">
        <x:f>'Inputs'!$B$48</x:f>
        <x:v>0.25</x:v>
      </x:c>
      <x:c r="AM1678" s="83" t="n">
        <x:f>'Inputs'!$C$48</x:f>
        <x:v>0.25</x:v>
      </x:c>
      <x:c r="AN1678" s="83" t="n">
        <x:f>'Inputs'!$D$48</x:f>
        <x:v>0.3</x:v>
      </x:c>
      <x:c r="AO1678" s="81" t="n">
        <x:f>'Inputs'!$E$48</x:f>
        <x:v>0</x:v>
      </x:c>
    </x:row>
    <x:row r="1679">
      <x:c r="A1679" s="59" t="str">
        <x:v>Low participation</x:v>
      </x:c>
      <x:c r="B1679" s="59" t="n">
        <x:v>216</x:v>
      </x:c>
      <x:c r="C1679" s="78" t="n">
        <x:f>(('Inputs'!$B$29*(3*216*'Inputs'!$B$12-216^2)/(2*'Inputs'!$B$12^2))-('Inputs'!$B$29*(3*215*'Inputs'!$B$12-215^2)/(2*'Inputs'!$B$12^2)))*'Inputs'!$B$48</x:f>
        <x:v>160481.38722086698</x:v>
      </x:c>
      <x:c r="D1679" s="78" t="n">
        <x:f>IF('Inputs'!$C$48&gt;0,('Inputs'!$B$30*(3*216*'Inputs'!$B$12-216^2)/(2*'Inputs'!$B$12^2))-('Inputs'!$B$30*(3*215*'Inputs'!$B$12-215^2)/(2*'Inputs'!$B$12^2)),0)</x:f>
        <x:v>275110.94952148944</x:v>
      </x:c>
      <x:c r="E1679" s="78" t="n">
        <x:f>C1679+D1679</x:f>
        <x:v>435592.3367423564</x:v>
      </x:c>
      <x:c r="F1679" s="78" t="n">
        <x:f>'Inputs'!$B$13*E1679+(1-'Inputs'!$B$13)/'Inputs'!$B$14*SUM(E1624:E1679)</x:f>
        <x:v>440445.73325201805</x:v>
      </x:c>
      <x:c r="G1679" s="78" t="n">
        <x:f>F1679*'Inputs'!$F$48</x:f>
        <x:v>220222.86662600902</x:v>
      </x:c>
      <x:c r="H1679" s="78" t="n">
        <x:f>U1678</x:f>
        <x:v>47941976.56235546</x:v>
      </x:c>
      <x:c r="I1679" s="78" t="n">
        <x:f>V1678</x:f>
        <x:v>236.42389812857152</x:v>
      </x:c>
      <x:c r="J1679" s="79" t="n">
        <x:f>IF(H1679&gt;0,I1679/H1679,0)</x:f>
        <x:v>0.0000049314591320837204</x:v>
      </x:c>
      <x:c r="K1679" s="80" t="n">
        <x:f>(H1679*J1679+I1679)*'Inputs'!$D$48*(1+'Inputs'!$G$48)^(B1679/30)</x:f>
        <x:v>141.8543388771429</x:v>
      </x:c>
      <x:c r="L1679" s="80" t="n">
        <x:f>MAX(0,K1679*'Inputs'!$E$48)</x:f>
        <x:v>0</x:v>
      </x:c>
      <x:c r="M1679" s="80" t="n">
        <x:f>MAX(0,-K1679*'Inputs'!$E$48)</x:f>
        <x:v>0</x:v>
      </x:c>
      <x:c r="N1679" s="78" t="n">
        <x:f>H1679*(L1679*(1-'Inputs'!$B$15))/(I1679+L1679*(1-'Inputs'!$B$15))</x:f>
        <x:v>0</x:v>
      </x:c>
      <x:c r="O1679" s="78" t="n">
        <x:f>H1679-N1679</x:f>
        <x:v>47941976.56235546</x:v>
      </x:c>
      <x:c r="P1679" s="78" t="n">
        <x:f>I1679+L1679*(1-'Inputs'!$B$17)</x:f>
        <x:v>236.42389812857152</x:v>
      </x:c>
      <x:c r="Q1679" s="78" t="n">
        <x:f>IF(J1679&gt;0,M1679/J1679,0)</x:f>
        <x:v>0</x:v>
      </x:c>
      <x:c r="R1679" s="78" t="n">
        <x:f>IF(B1679='Inputs'!$H$48,'Inputs'!$B$27*'Inputs'!$I$48,0)</x:f>
        <x:v>0</x:v>
      </x:c>
      <x:c r="S1679" s="78" t="n">
        <x:f>Q1679+G1679+R1679</x:f>
        <x:v>220222.86662600902</x:v>
      </x:c>
      <x:c r="T1679" s="78" t="n">
        <x:f>P1679*(S1679*(1-'Inputs'!$B$15))/(O1679+S1679*(1-'Inputs'!$B$15))</x:f>
        <x:v>1.070292609954398</x:v>
      </x:c>
      <x:c r="U1679" s="78" t="n">
        <x:f>O1679+S1679*(1-'Inputs'!$B$17)</x:f>
        <x:v>48161313.220262654</x:v>
      </x:c>
      <x:c r="V1679" s="78" t="n">
        <x:f>P1679-T1679</x:f>
        <x:v>235.35360551861712</x:v>
      </x:c>
      <x:c r="W1679" s="79" t="n">
        <x:f>IF(U1679&gt;0,V1679/U1679,0)</x:f>
        <x:v>0.000004886777161624365</x:v>
      </x:c>
      <x:c r="X1679" s="80" t="n">
        <x:f>W1679*('Inputs'!$B$6-AC1679)</x:f>
        <x:v>4855.34213629012</x:v>
      </x:c>
      <x:c r="Y1679" s="80" t="n">
        <x:f>2*V1679</x:f>
        <x:v>470.70721103723423</x:v>
      </x:c>
      <x:c r="Z1679" s="80" t="n">
        <x:f>K1679*'Inputs'!$B$16+(G1679+R1679)*J1679*'Inputs'!$B$16</x:f>
        <x:v>0.8576421536631564</x:v>
      </x:c>
      <x:c r="AA1679" s="80" t="n">
        <x:f>K1679*(1+'Inputs'!$E$48)/2*'Inputs'!$B$17</x:f>
        <x:v>0.285421204984191</x:v>
      </x:c>
      <x:c r="AB1679" s="78" t="n">
        <x:f>(IF(J1679&gt;0,K1679*(1-'Inputs'!$E$48)/2/J1679,0)+G1679+R1679)*'Inputs'!$B$17</x:f>
        <x:v>58763.84641984969</x:v>
      </x:c>
      <x:c r="AC1679" s="78" t="n">
        <x:f>AC1678+AB1679</x:f>
        <x:v>6432670.100266299</x:v>
      </x:c>
      <x:c r="AD1679" s="80" t="n">
        <x:f>Z1679/(1+'Inputs'!$C$48)</x:f>
        <x:v>0.6861137229305252</x:v>
      </x:c>
      <x:c r="AE1679" s="80" t="n">
        <x:f>Z1679-AD1679</x:f>
        <x:v>0.17152843073263124</x:v>
      </x:c>
      <x:c r="AF1679" s="80" t="n">
        <x:f>D1679*W1679</x:f>
        <x:v>1.3444059050344082</x:v>
      </x:c>
      <x:c r="AG1679" s="80" t="n">
        <x:f>C1679*W1679</x:f>
        <x:v>0.784236777936729</x:v>
      </x:c>
      <x:c r="AH1679" s="80" t="n">
        <x:f>2*'Inputs'!$B$8*'Inputs'!$C$48</x:f>
        <x:v>1250</x:v>
      </x:c>
      <x:c r="AI1679" s="81" t="n">
        <x:f>IF(AH1679&gt;0,(AE1679+AF1679)/AH1679*365,0)</x:f>
        <x:v>0.4426528260439755</x:v>
      </x:c>
      <x:c r="AJ1679" s="81" t="n">
        <x:f>IF('Inputs'!$B$48&gt;0,AG1679/('Inputs'!$B$19*'Inputs'!$B$48)*365,0)</x:f>
        <x:v>0.11449856957876242</x:v>
      </x:c>
      <x:c r="AK1679" s="81" t="n">
        <x:f>W1679/MAX($W$1464:W1679)-1</x:f>
        <x:v>-0.9942532326039041</x:v>
      </x:c>
      <x:c r="AL1679" s="83" t="n">
        <x:f>'Inputs'!$B$48</x:f>
        <x:v>0.25</x:v>
      </x:c>
      <x:c r="AM1679" s="83" t="n">
        <x:f>'Inputs'!$C$48</x:f>
        <x:v>0.25</x:v>
      </x:c>
      <x:c r="AN1679" s="83" t="n">
        <x:f>'Inputs'!$D$48</x:f>
        <x:v>0.3</x:v>
      </x:c>
      <x:c r="AO1679" s="81" t="n">
        <x:f>'Inputs'!$E$48</x:f>
        <x:v>0</x:v>
      </x:c>
    </x:row>
    <x:row r="1680">
      <x:c r="A1680" s="59" t="str">
        <x:v>Low participation</x:v>
      </x:c>
      <x:c r="B1680" s="59" t="n">
        <x:v>217</x:v>
      </x:c>
      <x:c r="C1680" s="78" t="n">
        <x:f>(('Inputs'!$B$29*(3*217*'Inputs'!$B$12-217^2)/(2*'Inputs'!$B$12^2))-('Inputs'!$B$29*(3*216*'Inputs'!$B$12-216^2)/(2*'Inputs'!$B$12^2)))*'Inputs'!$B$48</x:f>
        <x:v>160400.11024582386</x:v>
      </x:c>
      <x:c r="D1680" s="78" t="n">
        <x:f>IF('Inputs'!$C$48&gt;0,('Inputs'!$B$30*(3*217*'Inputs'!$B$12-217^2)/(2*'Inputs'!$B$12^2))-('Inputs'!$B$30*(3*216*'Inputs'!$B$12-216^2)/(2*'Inputs'!$B$12^2)),0)</x:f>
        <x:v>274971.6175642684</x:v>
      </x:c>
      <x:c r="E1680" s="78" t="n">
        <x:f>C1680+D1680</x:f>
        <x:v>435371.72781009227</x:v>
      </x:c>
      <x:c r="F1680" s="78" t="n">
        <x:f>'Inputs'!$B$13*E1680+(1-'Inputs'!$B$13)/'Inputs'!$B$14*SUM(E1625:E1680)</x:f>
        <x:v>440225.12431975914</x:v>
      </x:c>
      <x:c r="G1680" s="78" t="n">
        <x:f>F1680*'Inputs'!$F$48</x:f>
        <x:v>220112.56215987957</x:v>
      </x:c>
      <x:c r="H1680" s="78" t="n">
        <x:f>U1679</x:f>
        <x:v>48161313.220262654</x:v>
      </x:c>
      <x:c r="I1680" s="78" t="n">
        <x:f>V1679</x:f>
        <x:v>235.35360551861712</x:v>
      </x:c>
      <x:c r="J1680" s="79" t="n">
        <x:f>IF(H1680&gt;0,I1680/H1680,0)</x:f>
        <x:v>0.000004886777161624365</x:v>
      </x:c>
      <x:c r="K1680" s="80" t="n">
        <x:f>(H1680*J1680+I1680)*'Inputs'!$D$48*(1+'Inputs'!$G$48)^(B1680/30)</x:f>
        <x:v>141.2121633111703</x:v>
      </x:c>
      <x:c r="L1680" s="80" t="n">
        <x:f>MAX(0,K1680*'Inputs'!$E$48)</x:f>
        <x:v>0</x:v>
      </x:c>
      <x:c r="M1680" s="80" t="n">
        <x:f>MAX(0,-K1680*'Inputs'!$E$48)</x:f>
        <x:v>0</x:v>
      </x:c>
      <x:c r="N1680" s="78" t="n">
        <x:f>H1680*(L1680*(1-'Inputs'!$B$15))/(I1680+L1680*(1-'Inputs'!$B$15))</x:f>
        <x:v>0</x:v>
      </x:c>
      <x:c r="O1680" s="78" t="n">
        <x:f>H1680-N1680</x:f>
        <x:v>48161313.220262654</x:v>
      </x:c>
      <x:c r="P1680" s="78" t="n">
        <x:f>I1680+L1680*(1-'Inputs'!$B$17)</x:f>
        <x:v>235.35360551861712</x:v>
      </x:c>
      <x:c r="Q1680" s="78" t="n">
        <x:f>IF(J1680&gt;0,M1680/J1680,0)</x:f>
        <x:v>0</x:v>
      </x:c>
      <x:c r="R1680" s="78" t="n">
        <x:f>IF(B1680='Inputs'!$H$48,'Inputs'!$B$27*'Inputs'!$I$48,0)</x:f>
        <x:v>0</x:v>
      </x:c>
      <x:c r="S1680" s="78" t="n">
        <x:f>Q1680+G1680+R1680</x:f>
        <x:v>220112.56215987957</x:v>
      </x:c>
      <x:c r="T1680" s="78" t="n">
        <x:f>P1680*(S1680*(1-'Inputs'!$B$15))/(O1680+S1680*(1-'Inputs'!$B$15))</x:f>
        <x:v>1.0600881398337192</x:v>
      </x:c>
      <x:c r="U1680" s="78" t="n">
        <x:f>O1680+S1680*(1-'Inputs'!$B$17)</x:f>
        <x:v>48380540.01758487</x:v>
      </x:c>
      <x:c r="V1680" s="78" t="n">
        <x:f>P1680-T1680</x:f>
        <x:v>234.2935173787834</x:v>
      </x:c>
      <x:c r="W1680" s="79" t="n">
        <x:f>IF(U1680&gt;0,V1680/U1680,0)</x:f>
        <x:v>0.000004842722245217287</x:v>
      </x:c>
      <x:c r="X1680" s="80" t="n">
        <x:f>W1680*('Inputs'!$B$6-AC1680)</x:f>
        <x:v>4811.284753472183</x:v>
      </x:c>
      <x:c r="Y1680" s="80" t="n">
        <x:f>2*V1680</x:f>
        <x:v>468.5870347575668</x:v>
      </x:c>
      <x:c r="Z1680" s="80" t="n">
        <x:f>K1680*'Inputs'!$B$16+(G1680+R1680)*J1680*'Inputs'!$B$16</x:f>
        <x:v>0.8537268261175189</x:v>
      </x:c>
      <x:c r="AA1680" s="80" t="n">
        <x:f>K1680*(1+'Inputs'!$E$48)/2*'Inputs'!$B$17</x:f>
        <x:v>0.2841291012297189</x:v>
      </x:c>
      <x:c r="AB1680" s="78" t="n">
        <x:f>(IF(J1680&gt;0,K1680*(1-'Inputs'!$E$48)/2/J1680,0)+G1680+R1680)*'Inputs'!$B$17</x:f>
        <x:v>59028.19528466269</x:v>
      </x:c>
      <x:c r="AC1680" s="78" t="n">
        <x:f>AC1679+AB1680</x:f>
        <x:v>6491698.295550962</x:v>
      </x:c>
      <x:c r="AD1680" s="80" t="n">
        <x:f>Z1680/(1+'Inputs'!$C$48)</x:f>
        <x:v>0.6829814608940151</x:v>
      </x:c>
      <x:c r="AE1680" s="80" t="n">
        <x:f>Z1680-AD1680</x:f>
        <x:v>0.1707453652235038</x:v>
      </x:c>
      <x:c r="AF1680" s="80" t="n">
        <x:f>D1680*W1680</x:f>
        <x:v>1.331611169181863</x:v>
      </x:c>
      <x:c r="AG1680" s="80" t="n">
        <x:f>C1680*W1680</x:f>
        <x:v>0.7767731820227565</x:v>
      </x:c>
      <x:c r="AH1680" s="80" t="n">
        <x:f>2*'Inputs'!$B$8*'Inputs'!$C$48</x:f>
        <x:v>1250</x:v>
      </x:c>
      <x:c r="AI1680" s="81" t="n">
        <x:f>IF(AH1680&gt;0,(AE1680+AF1680)/AH1680*365,0)</x:f>
        <x:v>0.4386881080463671</x:v>
      </x:c>
      <x:c r="AJ1680" s="81" t="n">
        <x:f>IF('Inputs'!$B$48&gt;0,AG1680/('Inputs'!$B$19*'Inputs'!$B$48)*365,0)</x:f>
        <x:v>0.11340888457532243</x:v>
      </x:c>
      <x:c r="AK1680" s="81" t="n">
        <x:f>W1680/MAX($W$1464:W1680)-1</x:f>
        <x:v>-0.9943050404414363</x:v>
      </x:c>
      <x:c r="AL1680" s="83" t="n">
        <x:f>'Inputs'!$B$48</x:f>
        <x:v>0.25</x:v>
      </x:c>
      <x:c r="AM1680" s="83" t="n">
        <x:f>'Inputs'!$C$48</x:f>
        <x:v>0.25</x:v>
      </x:c>
      <x:c r="AN1680" s="83" t="n">
        <x:f>'Inputs'!$D$48</x:f>
        <x:v>0.3</x:v>
      </x:c>
      <x:c r="AO1680" s="81" t="n">
        <x:f>'Inputs'!$E$48</x:f>
        <x:v>0</x:v>
      </x:c>
    </x:row>
    <x:row r="1681">
      <x:c r="A1681" s="59" t="str">
        <x:v>Low participation</x:v>
      </x:c>
      <x:c r="B1681" s="59" t="n">
        <x:v>218</x:v>
      </x:c>
      <x:c r="C1681" s="78" t="n">
        <x:f>(('Inputs'!$B$29*(3*218*'Inputs'!$B$12-218^2)/(2*'Inputs'!$B$12^2))-('Inputs'!$B$29*(3*217*'Inputs'!$B$12-217^2)/(2*'Inputs'!$B$12^2)))*'Inputs'!$B$48</x:f>
        <x:v>160318.8332707882</x:v>
      </x:c>
      <x:c r="D1681" s="78" t="n">
        <x:f>IF('Inputs'!$C$48&gt;0,('Inputs'!$B$30*(3*218*'Inputs'!$B$12-218^2)/(2*'Inputs'!$B$12^2))-('Inputs'!$B$30*(3*217*'Inputs'!$B$12-217^2)/(2*'Inputs'!$B$12^2)),0)</x:f>
        <x:v>274832.28560705483</x:v>
      </x:c>
      <x:c r="E1681" s="78" t="n">
        <x:f>C1681+D1681</x:f>
        <x:v>435151.118877843</x:v>
      </x:c>
      <x:c r="F1681" s="78" t="n">
        <x:f>'Inputs'!$B$13*E1681+(1-'Inputs'!$B$13)/'Inputs'!$B$14*SUM(E1626:E1681)</x:f>
        <x:v>440004.5153875034</x:v>
      </x:c>
      <x:c r="G1681" s="78" t="n">
        <x:f>F1681*'Inputs'!$F$48</x:f>
        <x:v>220002.2576937517</x:v>
      </x:c>
      <x:c r="H1681" s="78" t="n">
        <x:f>U1680</x:f>
        <x:v>48380540.01758487</x:v>
      </x:c>
      <x:c r="I1681" s="78" t="n">
        <x:f>V1680</x:f>
        <x:v>234.2935173787834</x:v>
      </x:c>
      <x:c r="J1681" s="79" t="n">
        <x:f>IF(H1681&gt;0,I1681/H1681,0)</x:f>
        <x:v>0.000004842722245217287</x:v>
      </x:c>
      <x:c r="K1681" s="80" t="n">
        <x:f>(H1681*J1681+I1681)*'Inputs'!$D$48*(1+'Inputs'!$G$48)^(B1681/30)</x:f>
        <x:v>140.57611042727004</x:v>
      </x:c>
      <x:c r="L1681" s="80" t="n">
        <x:f>MAX(0,K1681*'Inputs'!$E$48)</x:f>
        <x:v>0</x:v>
      </x:c>
      <x:c r="M1681" s="80" t="n">
        <x:f>MAX(0,-K1681*'Inputs'!$E$48)</x:f>
        <x:v>0</x:v>
      </x:c>
      <x:c r="N1681" s="78" t="n">
        <x:f>H1681*(L1681*(1-'Inputs'!$B$15))/(I1681+L1681*(1-'Inputs'!$B$15))</x:f>
        <x:v>0</x:v>
      </x:c>
      <x:c r="O1681" s="78" t="n">
        <x:f>H1681-N1681</x:f>
        <x:v>48380540.01758487</x:v>
      </x:c>
      <x:c r="P1681" s="78" t="n">
        <x:f>I1681+L1681*(1-'Inputs'!$B$17)</x:f>
        <x:v>234.2935173787834</x:v>
      </x:c>
      <x:c r="Q1681" s="78" t="n">
        <x:f>IF(J1681&gt;0,M1681/J1681,0)</x:f>
        <x:v>0</x:v>
      </x:c>
      <x:c r="R1681" s="78" t="n">
        <x:f>IF(B1681='Inputs'!$H$48,'Inputs'!$B$27*'Inputs'!$I$48,0)</x:f>
        <x:v>0</x:v>
      </x:c>
      <x:c r="S1681" s="78" t="n">
        <x:f>Q1681+G1681+R1681</x:f>
        <x:v>220002.2576937517</x:v>
      </x:c>
      <x:c r="T1681" s="78" t="n">
        <x:f>P1681*(S1681*(1-'Inputs'!$B$15))/(O1681+S1681*(1-'Inputs'!$B$15))</x:f>
        <x:v>1.0500286510419463</x:v>
      </x:c>
      <x:c r="U1681" s="78" t="n">
        <x:f>O1681+S1681*(1-'Inputs'!$B$17)</x:f>
        <x:v>48599656.95432211</x:v>
      </x:c>
      <x:c r="V1681" s="78" t="n">
        <x:f>P1681-T1681</x:f>
        <x:v>233.24348872774146</x:v>
      </x:c>
      <x:c r="W1681" s="79" t="n">
        <x:f>IF(U1681&gt;0,V1681/U1681,0)</x:f>
        <x:v>0.000004799282615244848</x:v>
      </x:c>
      <x:c r="X1681" s="80" t="n">
        <x:f>W1681*('Inputs'!$B$6-AC1681)</x:f>
        <x:v>4767.842559431766</x:v>
      </x:c>
      <x:c r="Y1681" s="80" t="n">
        <x:f>2*V1681</x:f>
        <x:v>466.48697745548293</x:v>
      </x:c>
      <x:c r="Z1681" s="80" t="n">
        <x:f>K1681*'Inputs'!$B$16+(G1681+R1681)*J1681*'Inputs'!$B$16</x:f>
        <x:v>0.8498491215276096</x:v>
      </x:c>
      <x:c r="AA1681" s="80" t="n">
        <x:f>K1681*(1+'Inputs'!$E$48)/2*'Inputs'!$B$17</x:f>
        <x:v>0.2828493167550705</x:v>
      </x:c>
      <x:c r="AB1681" s="78" t="n">
        <x:f>(IF(J1681&gt;0,K1681*(1-'Inputs'!$E$48)/2/J1681,0)+G1681+R1681)*'Inputs'!$B$17</x:f>
        <x:v>59292.41152100287</x:v>
      </x:c>
      <x:c r="AC1681" s="78" t="n">
        <x:f>AC1680+AB1681</x:f>
        <x:v>6550990.707071965</x:v>
      </x:c>
      <x:c r="AD1681" s="80" t="n">
        <x:f>Z1681/(1+'Inputs'!$C$48)</x:f>
        <x:v>0.6798792972220877</x:v>
      </x:c>
      <x:c r="AE1681" s="80" t="n">
        <x:f>Z1681-AD1681</x:f>
        <x:v>0.16996982430552188</x:v>
      </x:c>
      <x:c r="AF1681" s="80" t="n">
        <x:f>D1681*W1681</x:f>
        <x:v>1.318997810421945</x:v>
      </x:c>
      <x:c r="AG1681" s="80" t="n">
        <x:f>C1681*W1681</x:f>
        <x:v>0.769415389412831</x:v>
      </x:c>
      <x:c r="AH1681" s="80" t="n">
        <x:f>2*'Inputs'!$B$8*'Inputs'!$C$48</x:f>
        <x:v>1250</x:v>
      </x:c>
      <x:c r="AI1681" s="81" t="n">
        <x:f>IF(AH1681&gt;0,(AE1681+AF1681)/AH1681*365,0)</x:f>
        <x:v>0.4347785493404204</x:v>
      </x:c>
      <x:c r="AJ1681" s="81" t="n">
        <x:f>IF('Inputs'!$B$48&gt;0,AG1681/('Inputs'!$B$19*'Inputs'!$B$48)*365,0)</x:f>
        <x:v>0.11233464685427333</x:v>
      </x:c>
      <x:c r="AK1681" s="81" t="n">
        <x:f>W1681/MAX($W$1464:W1681)-1</x:f>
        <x:v>-0.9943561247125148</x:v>
      </x:c>
      <x:c r="AL1681" s="83" t="n">
        <x:f>'Inputs'!$B$48</x:f>
        <x:v>0.25</x:v>
      </x:c>
      <x:c r="AM1681" s="83" t="n">
        <x:f>'Inputs'!$C$48</x:f>
        <x:v>0.25</x:v>
      </x:c>
      <x:c r="AN1681" s="83" t="n">
        <x:f>'Inputs'!$D$48</x:f>
        <x:v>0.3</x:v>
      </x:c>
      <x:c r="AO1681" s="81" t="n">
        <x:f>'Inputs'!$E$48</x:f>
        <x:v>0</x:v>
      </x:c>
    </x:row>
    <x:row r="1682">
      <x:c r="A1682" s="59" t="str">
        <x:v>Low participation</x:v>
      </x:c>
      <x:c r="B1682" s="59" t="n">
        <x:v>219</x:v>
      </x:c>
      <x:c r="C1682" s="78" t="n">
        <x:f>(('Inputs'!$B$29*(3*219*'Inputs'!$B$12-219^2)/(2*'Inputs'!$B$12^2))-('Inputs'!$B$29*(3*218*'Inputs'!$B$12-218^2)/(2*'Inputs'!$B$12^2)))*'Inputs'!$B$48</x:f>
        <x:v>160237.55629573762</x:v>
      </x:c>
      <x:c r="D1682" s="78" t="n">
        <x:f>IF('Inputs'!$C$48&gt;0,('Inputs'!$B$30*(3*219*'Inputs'!$B$12-219^2)/(2*'Inputs'!$B$12^2))-('Inputs'!$B$30*(3*218*'Inputs'!$B$12-218^2)/(2*'Inputs'!$B$12^2)),0)</x:f>
        <x:v>274692.95364984125</x:v>
      </x:c>
      <x:c r="E1682" s="78" t="n">
        <x:f>C1682+D1682</x:f>
        <x:v>434930.5099455789</x:v>
      </x:c>
      <x:c r="F1682" s="78" t="n">
        <x:f>'Inputs'!$B$13*E1682+(1-'Inputs'!$B$13)/'Inputs'!$B$14*SUM(E1627:E1682)</x:f>
        <x:v>439783.9064552446</x:v>
      </x:c>
      <x:c r="G1682" s="78" t="n">
        <x:f>F1682*'Inputs'!$F$48</x:f>
        <x:v>219891.9532276223</x:v>
      </x:c>
      <x:c r="H1682" s="78" t="n">
        <x:f>U1681</x:f>
        <x:v>48599656.95432211</x:v>
      </x:c>
      <x:c r="I1682" s="78" t="n">
        <x:f>V1681</x:f>
        <x:v>233.24348872774146</x:v>
      </x:c>
      <x:c r="J1682" s="79" t="n">
        <x:f>IF(H1682&gt;0,I1682/H1682,0)</x:f>
        <x:v>0.000004799282615244848</x:v>
      </x:c>
      <x:c r="K1682" s="80" t="n">
        <x:f>(H1682*J1682+I1682)*'Inputs'!$D$48*(1+'Inputs'!$G$48)^(B1682/30)</x:f>
        <x:v>139.94609323664488</x:v>
      </x:c>
      <x:c r="L1682" s="80" t="n">
        <x:f>MAX(0,K1682*'Inputs'!$E$48)</x:f>
        <x:v>0</x:v>
      </x:c>
      <x:c r="M1682" s="80" t="n">
        <x:f>MAX(0,-K1682*'Inputs'!$E$48)</x:f>
        <x:v>0</x:v>
      </x:c>
      <x:c r="N1682" s="78" t="n">
        <x:f>H1682*(L1682*(1-'Inputs'!$B$15))/(I1682+L1682*(1-'Inputs'!$B$15))</x:f>
        <x:v>0</x:v>
      </x:c>
      <x:c r="O1682" s="78" t="n">
        <x:f>H1682-N1682</x:f>
        <x:v>48599656.95432211</x:v>
      </x:c>
      <x:c r="P1682" s="78" t="n">
        <x:f>I1682+L1682*(1-'Inputs'!$B$17)</x:f>
        <x:v>233.24348872774146</x:v>
      </x:c>
      <x:c r="Q1682" s="78" t="n">
        <x:f>IF(J1682&gt;0,M1682/J1682,0)</x:f>
        <x:v>0</x:v>
      </x:c>
      <x:c r="R1682" s="78" t="n">
        <x:f>IF(B1682='Inputs'!$H$48,'Inputs'!$B$27*'Inputs'!$I$48,0)</x:f>
        <x:v>0</x:v>
      </x:c>
      <x:c r="S1682" s="78" t="n">
        <x:f>Q1682+G1682+R1682</x:f>
        <x:v>219891.9532276223</x:v>
      </x:c>
      <x:c r="T1682" s="78" t="n">
        <x:f>P1682*(S1682*(1-'Inputs'!$B$15))/(O1682+S1682*(1-'Inputs'!$B$15))</x:f>
        <x:v>1.0401114084089258</x:v>
      </x:c>
      <x:c r="U1682" s="78" t="n">
        <x:f>O1682+S1682*(1-'Inputs'!$B$17)</x:f>
        <x:v>48818664.030474365</x:v>
      </x:c>
      <x:c r="V1682" s="78" t="n">
        <x:f>P1682-T1682</x:f>
        <x:v>232.20337731933253</x:v>
      </x:c>
      <x:c r="W1682" s="79" t="n">
        <x:f>IF(U1682&gt;0,V1682/U1682,0)</x:f>
        <x:v>0.000004756446779747656</x:v>
      </x:c>
      <x:c r="X1682" s="80" t="n">
        <x:f>W1682*('Inputs'!$B$6-AC1682)</x:f>
        <x:v>4725.004063795378</x:v>
      </x:c>
      <x:c r="Y1682" s="80" t="n">
        <x:f>2*V1682</x:f>
        <x:v>464.40675463866506</x:v>
      </x:c>
      <x:c r="Z1682" s="80" t="n">
        <x:f>K1682*'Inputs'!$B$16+(G1682+R1682)*J1682*'Inputs'!$B$16</x:f>
        <x:v>0.8460085011900147</x:v>
      </x:c>
      <x:c r="AA1682" s="80" t="n">
        <x:f>K1682*(1+'Inputs'!$E$48)/2*'Inputs'!$B$17</x:f>
        <x:v>0.2815816765324847</x:v>
      </x:c>
      <x:c r="AB1682" s="78" t="n">
        <x:f>(IF(J1682&gt;0,K1682*(1-'Inputs'!$E$48)/2/J1682,0)+G1682+R1682)*'Inputs'!$B$17</x:f>
        <x:v>59556.49512887025</x:v>
      </x:c>
      <x:c r="AC1682" s="78" t="n">
        <x:f>AC1681+AB1682</x:f>
        <x:v>6610547.202200835</x:v>
      </x:c>
      <x:c r="AD1682" s="80" t="n">
        <x:f>Z1682/(1+'Inputs'!$C$48)</x:f>
        <x:v>0.6768068009520117</x:v>
      </x:c>
      <x:c r="AE1682" s="80" t="n">
        <x:f>Z1682-AD1682</x:f>
        <x:v>0.16920170023800296</x:v>
      </x:c>
      <x:c r="AF1682" s="80" t="n">
        <x:f>D1682*W1682</x:f>
        <x:v>1.3065624148071595</x:v>
      </x:c>
      <x:c r="AG1682" s="80" t="n">
        <x:f>C1682*W1682</x:f>
        <x:v>0.7621614086374949</x:v>
      </x:c>
      <x:c r="AH1682" s="80" t="n">
        <x:f>2*'Inputs'!$B$8*'Inputs'!$C$48</x:f>
        <x:v>1250</x:v>
      </x:c>
      <x:c r="AI1682" s="81" t="n">
        <x:f>IF(AH1682&gt;0,(AE1682+AF1682)/AH1682*365,0)</x:f>
        <x:v>0.4309231215931875</x:v>
      </x:c>
      <x:c r="AJ1682" s="81" t="n">
        <x:f>IF('Inputs'!$B$48&gt;0,AG1682/('Inputs'!$B$19*'Inputs'!$B$48)*365,0)</x:f>
        <x:v>0.11127556566107426</x:v>
      </x:c>
      <x:c r="AK1682" s="81" t="n">
        <x:f>W1682/MAX($W$1464:W1682)-1</x:f>
        <x:v>-0.9944064989314894</x:v>
      </x:c>
      <x:c r="AL1682" s="83" t="n">
        <x:f>'Inputs'!$B$48</x:f>
        <x:v>0.25</x:v>
      </x:c>
      <x:c r="AM1682" s="83" t="n">
        <x:f>'Inputs'!$C$48</x:f>
        <x:v>0.25</x:v>
      </x:c>
      <x:c r="AN1682" s="83" t="n">
        <x:f>'Inputs'!$D$48</x:f>
        <x:v>0.3</x:v>
      </x:c>
      <x:c r="AO1682" s="81" t="n">
        <x:f>'Inputs'!$E$48</x:f>
        <x:v>0</x:v>
      </x:c>
    </x:row>
    <x:row r="1683">
      <x:c r="A1683" s="59" t="str">
        <x:v>Low participation</x:v>
      </x:c>
      <x:c r="B1683" s="59" t="n">
        <x:v>220</x:v>
      </x:c>
      <x:c r="C1683" s="78" t="n">
        <x:f>(('Inputs'!$B$29*(3*220*'Inputs'!$B$12-220^2)/(2*'Inputs'!$B$12^2))-('Inputs'!$B$29*(3*219*'Inputs'!$B$12-219^2)/(2*'Inputs'!$B$12^2)))*'Inputs'!$B$48</x:f>
        <x:v>160156.2793206945</x:v>
      </x:c>
      <x:c r="D1683" s="78" t="n">
        <x:f>IF('Inputs'!$C$48&gt;0,('Inputs'!$B$30*(3*220*'Inputs'!$B$12-220^2)/(2*'Inputs'!$B$12^2))-('Inputs'!$B$30*(3*219*'Inputs'!$B$12-219^2)/(2*'Inputs'!$B$12^2)),0)</x:f>
        <x:v>274553.62169262767</x:v>
      </x:c>
      <x:c r="E1683" s="78" t="n">
        <x:f>C1683+D1683</x:f>
        <x:v>434709.9010133222</x:v>
      </x:c>
      <x:c r="F1683" s="78" t="n">
        <x:f>'Inputs'!$B$13*E1683+(1-'Inputs'!$B$13)/'Inputs'!$B$14*SUM(E1628:E1683)</x:f>
        <x:v>439563.29752298724</x:v>
      </x:c>
      <x:c r="G1683" s="78" t="n">
        <x:f>F1683*'Inputs'!$F$48</x:f>
        <x:v>219781.64876149362</x:v>
      </x:c>
      <x:c r="H1683" s="78" t="n">
        <x:f>U1682</x:f>
        <x:v>48818664.030474365</x:v>
      </x:c>
      <x:c r="I1683" s="78" t="n">
        <x:f>V1682</x:f>
        <x:v>232.20337731933253</x:v>
      </x:c>
      <x:c r="J1683" s="79" t="n">
        <x:f>IF(H1683&gt;0,I1683/H1683,0)</x:f>
        <x:v>0.000004756446779747656</x:v>
      </x:c>
      <x:c r="K1683" s="80" t="n">
        <x:f>(H1683*J1683+I1683)*'Inputs'!$D$48*(1+'Inputs'!$G$48)^(B1683/30)</x:f>
        <x:v>139.3220263915995</x:v>
      </x:c>
      <x:c r="L1683" s="80" t="n">
        <x:f>MAX(0,K1683*'Inputs'!$E$48)</x:f>
        <x:v>0</x:v>
      </x:c>
      <x:c r="M1683" s="80" t="n">
        <x:f>MAX(0,-K1683*'Inputs'!$E$48)</x:f>
        <x:v>0</x:v>
      </x:c>
      <x:c r="N1683" s="78" t="n">
        <x:f>H1683*(L1683*(1-'Inputs'!$B$15))/(I1683+L1683*(1-'Inputs'!$B$15))</x:f>
        <x:v>0</x:v>
      </x:c>
      <x:c r="O1683" s="78" t="n">
        <x:f>H1683-N1683</x:f>
        <x:v>48818664.030474365</x:v>
      </x:c>
      <x:c r="P1683" s="78" t="n">
        <x:f>I1683+L1683*(1-'Inputs'!$B$17)</x:f>
        <x:v>232.20337731933253</x:v>
      </x:c>
      <x:c r="Q1683" s="78" t="n">
        <x:f>IF(J1683&gt;0,M1683/J1683,0)</x:f>
        <x:v>0</x:v>
      </x:c>
      <x:c r="R1683" s="78" t="n">
        <x:f>IF(B1683='Inputs'!$H$48,'Inputs'!$B$27*'Inputs'!$I$48,0)</x:f>
        <x:v>0</x:v>
      </x:c>
      <x:c r="S1683" s="78" t="n">
        <x:f>Q1683+G1683+R1683</x:f>
        <x:v>219781.64876149362</x:v>
      </x:c>
      <x:c r="T1683" s="78" t="n">
        <x:f>P1683*(S1683*(1-'Inputs'!$B$15))/(O1683+S1683*(1-'Inputs'!$B$15))</x:f>
        <x:v>1.0303337409806095</x:v>
      </x:c>
      <x:c r="U1683" s="78" t="n">
        <x:f>O1683+S1683*(1-'Inputs'!$B$17)</x:f>
        <x:v>49037561.24604165</x:v>
      </x:c>
      <x:c r="V1683" s="78" t="n">
        <x:f>P1683-T1683</x:f>
        <x:v>231.17304357835192</x:v>
      </x:c>
      <x:c r="W1683" s="79" t="n">
        <x:f>IF(U1683&gt;0,V1683/U1683,0)</x:f>
        <x:v>0.0000047142035146988966</x:v>
      </x:c>
      <x:c r="X1683" s="80" t="n">
        <x:f>W1683*('Inputs'!$B$6-AC1683)</x:f>
        <x:v>4682.758044086904</x:v>
      </x:c>
      <x:c r="Y1683" s="80" t="n">
        <x:f>2*V1683</x:f>
        <x:v>462.34608715670385</x:v>
      </x:c>
      <x:c r="Z1683" s="80" t="n">
        <x:f>K1683*'Inputs'!$B$16+(G1683+R1683)*J1683*'Inputs'!$B$16</x:f>
        <x:v>0.8422044366425925</x:v>
      </x:c>
      <x:c r="AA1683" s="80" t="n">
        <x:f>K1683*(1+'Inputs'!$E$48)/2*'Inputs'!$B$17</x:f>
        <x:v>0.28032600883621633</x:v>
      </x:c>
      <x:c r="AB1683" s="78" t="n">
        <x:f>(IF(J1683&gt;0,K1683*(1-'Inputs'!$E$48)/2/J1683,0)+G1683+R1683)*'Inputs'!$B$17</x:f>
        <x:v>59820.446108264805</x:v>
      </x:c>
      <x:c r="AC1683" s="78" t="n">
        <x:f>AC1682+AB1683</x:f>
        <x:v>6670367.6483090995</x:v>
      </x:c>
      <x:c r="AD1683" s="80" t="n">
        <x:f>Z1683/(1+'Inputs'!$C$48)</x:f>
        <x:v>0.673763549314074</x:v>
      </x:c>
      <x:c r="AE1683" s="80" t="n">
        <x:f>Z1683-AD1683</x:f>
        <x:v>0.16844088732851847</x:v>
      </x:c>
      <x:c r="AF1683" s="80" t="n">
        <x:f>D1683*W1683</x:f>
        <x:v>1.2943016483566965</x:v>
      </x:c>
      <x:c r="AG1683" s="80" t="n">
        <x:f>C1683*W1683</x:f>
        <x:v>0.7550092948747162</x:v>
      </x:c>
      <x:c r="AH1683" s="80" t="n">
        <x:f>2*'Inputs'!$B$8*'Inputs'!$C$48</x:f>
        <x:v>1250</x:v>
      </x:c>
      <x:c r="AI1683" s="81" t="n">
        <x:f>IF(AH1683&gt;0,(AE1683+AF1683)/AH1683*365,0)</x:f>
        <x:v>0.42712082042008276</x:v>
      </x:c>
      <x:c r="AJ1683" s="81" t="n">
        <x:f>IF('Inputs'!$B$48&gt;0,AG1683/('Inputs'!$B$19*'Inputs'!$B$48)*365,0)</x:f>
        <x:v>0.11023135705170858</x:v>
      </x:c>
      <x:c r="AK1683" s="81" t="n">
        <x:f>W1683/MAX($W$1464:W1683)-1</x:f>
        <x:v>-0.9944561762976262</x:v>
      </x:c>
      <x:c r="AL1683" s="83" t="n">
        <x:f>'Inputs'!$B$48</x:f>
        <x:v>0.25</x:v>
      </x:c>
      <x:c r="AM1683" s="83" t="n">
        <x:f>'Inputs'!$C$48</x:f>
        <x:v>0.25</x:v>
      </x:c>
      <x:c r="AN1683" s="83" t="n">
        <x:f>'Inputs'!$D$48</x:f>
        <x:v>0.3</x:v>
      </x:c>
      <x:c r="AO1683" s="81" t="n">
        <x:f>'Inputs'!$E$48</x:f>
        <x:v>0</x:v>
      </x:c>
    </x:row>
    <x:row r="1684">
      <x:c r="A1684" s="59" t="str">
        <x:v>Low participation</x:v>
      </x:c>
      <x:c r="B1684" s="59" t="n">
        <x:v>221</x:v>
      </x:c>
      <x:c r="C1684" s="78" t="n">
        <x:f>(('Inputs'!$B$29*(3*221*'Inputs'!$B$12-221^2)/(2*'Inputs'!$B$12^2))-('Inputs'!$B$29*(3*220*'Inputs'!$B$12-220^2)/(2*'Inputs'!$B$12^2)))*'Inputs'!$B$48</x:f>
        <x:v>160075.00234565884</x:v>
      </x:c>
      <x:c r="D1684" s="78" t="n">
        <x:f>IF('Inputs'!$C$48&gt;0,('Inputs'!$B$30*(3*221*'Inputs'!$B$12-221^2)/(2*'Inputs'!$B$12^2))-('Inputs'!$B$30*(3*220*'Inputs'!$B$12-220^2)/(2*'Inputs'!$B$12^2)),0)</x:f>
        <x:v>274414.28973540664</x:v>
      </x:c>
      <x:c r="E1684" s="78" t="n">
        <x:f>C1684+D1684</x:f>
        <x:v>434489.2920810655</x:v>
      </x:c>
      <x:c r="F1684" s="78" t="n">
        <x:f>'Inputs'!$B$13*E1684+(1-'Inputs'!$B$13)/'Inputs'!$B$14*SUM(E1629:E1684)</x:f>
        <x:v>439342.68859072996</x:v>
      </x:c>
      <x:c r="G1684" s="78" t="n">
        <x:f>F1684*'Inputs'!$F$48</x:f>
        <x:v>219671.34429536498</x:v>
      </x:c>
      <x:c r="H1684" s="78" t="n">
        <x:f>U1683</x:f>
        <x:v>49037561.24604165</x:v>
      </x:c>
      <x:c r="I1684" s="78" t="n">
        <x:f>V1683</x:f>
        <x:v>231.17304357835192</x:v>
      </x:c>
      <x:c r="J1684" s="79" t="n">
        <x:f>IF(H1684&gt;0,I1684/H1684,0)</x:f>
        <x:v>0.0000047142035146988966</x:v>
      </x:c>
      <x:c r="K1684" s="80" t="n">
        <x:f>(H1684*J1684+I1684)*'Inputs'!$D$48*(1+'Inputs'!$G$48)^(B1684/30)</x:f>
        <x:v>138.70382614701117</x:v>
      </x:c>
      <x:c r="L1684" s="80" t="n">
        <x:f>MAX(0,K1684*'Inputs'!$E$48)</x:f>
        <x:v>0</x:v>
      </x:c>
      <x:c r="M1684" s="80" t="n">
        <x:f>MAX(0,-K1684*'Inputs'!$E$48)</x:f>
        <x:v>0</x:v>
      </x:c>
      <x:c r="N1684" s="78" t="n">
        <x:f>H1684*(L1684*(1-'Inputs'!$B$15))/(I1684+L1684*(1-'Inputs'!$B$15))</x:f>
        <x:v>0</x:v>
      </x:c>
      <x:c r="O1684" s="78" t="n">
        <x:f>H1684-N1684</x:f>
        <x:v>49037561.24604165</x:v>
      </x:c>
      <x:c r="P1684" s="78" t="n">
        <x:f>I1684+L1684*(1-'Inputs'!$B$17)</x:f>
        <x:v>231.17304357835192</x:v>
      </x:c>
      <x:c r="Q1684" s="78" t="n">
        <x:f>IF(J1684&gt;0,M1684/J1684,0)</x:f>
        <x:v>0</x:v>
      </x:c>
      <x:c r="R1684" s="78" t="n">
        <x:f>IF(B1684='Inputs'!$H$48,'Inputs'!$B$27*'Inputs'!$I$48,0)</x:f>
        <x:v>0</x:v>
      </x:c>
      <x:c r="S1684" s="78" t="n">
        <x:f>Q1684+G1684+R1684</x:f>
        <x:v>219671.34429536498</x:v>
      </x:c>
      <x:c r="T1684" s="78" t="n">
        <x:f>P1684*(S1684*(1-'Inputs'!$B$15))/(O1684+S1684*(1-'Inputs'!$B$15))</x:f>
        <x:v>1.0206930402179355</x:v>
      </x:c>
      <x:c r="U1684" s="78" t="n">
        <x:f>O1684+S1684*(1-'Inputs'!$B$17)</x:f>
        <x:v>49256348.60102395</x:v>
      </x:c>
      <x:c r="V1684" s="78" t="n">
        <x:f>P1684-T1684</x:f>
        <x:v>230.152350538134</x:v>
      </x:c>
      <x:c r="W1684" s="79" t="n">
        <x:f>IF(U1684&gt;0,V1684/U1684,0)</x:f>
        <x:v>0.000004672541856530338</x:v>
      </x:c>
      <x:c r="X1684" s="80" t="n">
        <x:f>W1684*('Inputs'!$B$6-AC1684)</x:f>
        <x:v>4641.093538254564</x:v>
      </x:c>
      <x:c r="Y1684" s="80" t="n">
        <x:f>2*V1684</x:f>
        <x:v>460.304701076268</x:v>
      </x:c>
      <x:c r="Z1684" s="80" t="n">
        <x:f>K1684*'Inputs'!$B$16+(G1684+R1684)*J1684*'Inputs'!$B$16</x:f>
        <x:v>0.8384364094222021</x:v>
      </x:c>
      <x:c r="AA1684" s="80" t="n">
        <x:f>K1684*(1+'Inputs'!$E$48)/2*'Inputs'!$B$17</x:f>
        <x:v>0.27908214516501245</x:v>
      </x:c>
      <x:c r="AB1684" s="78" t="n">
        <x:f>(IF(J1684&gt;0,K1684*(1-'Inputs'!$E$48)/2/J1684,0)+G1684+R1684)*'Inputs'!$B$17</x:f>
        <x:v>60084.26445918657</x:v>
      </x:c>
      <x:c r="AC1684" s="78" t="n">
        <x:f>AC1683+AB1684</x:f>
        <x:v>6730451.912768286</x:v>
      </x:c>
      <x:c r="AD1684" s="80" t="n">
        <x:f>Z1684/(1+'Inputs'!$C$48)</x:f>
        <x:v>0.6707491275377617</x:v>
      </x:c>
      <x:c r="AE1684" s="80" t="n">
        <x:f>Z1684-AD1684</x:f>
        <x:v>0.16768728188444038</x:v>
      </x:c>
      <x:c r="AF1684" s="80" t="n">
        <x:f>D1684*W1684</x:f>
        <x:v>1.2822122548187311</x:v>
      </x:c>
      <x:c r="AG1684" s="80" t="n">
        <x:f>C1684*W1684</x:f>
        <x:v>0.747957148644283</x:v>
      </x:c>
      <x:c r="AH1684" s="80" t="n">
        <x:f>2*'Inputs'!$B$8*'Inputs'!$C$48</x:f>
        <x:v>1250</x:v>
      </x:c>
      <x:c r="AI1684" s="81" t="n">
        <x:f>IF(AH1684&gt;0,(AE1684+AF1684)/AH1684*365,0)</x:f>
        <x:v>0.4233706647173261</x:v>
      </x:c>
      <x:c r="AJ1684" s="81" t="n">
        <x:f>IF('Inputs'!$B$48&gt;0,AG1684/('Inputs'!$B$19*'Inputs'!$B$48)*365,0)</x:f>
        <x:v>0.1092017437020653</x:v>
      </x:c>
      <x:c r="AK1684" s="81" t="n">
        <x:f>W1684/MAX($W$1464:W1684)-1</x:f>
        <x:v>-0.9945051697038961</x:v>
      </x:c>
      <x:c r="AL1684" s="83" t="n">
        <x:f>'Inputs'!$B$48</x:f>
        <x:v>0.25</x:v>
      </x:c>
      <x:c r="AM1684" s="83" t="n">
        <x:f>'Inputs'!$C$48</x:f>
        <x:v>0.25</x:v>
      </x:c>
      <x:c r="AN1684" s="83" t="n">
        <x:f>'Inputs'!$D$48</x:f>
        <x:v>0.3</x:v>
      </x:c>
      <x:c r="AO1684" s="81" t="n">
        <x:f>'Inputs'!$E$48</x:f>
        <x:v>0</x:v>
      </x:c>
    </x:row>
    <x:row r="1685">
      <x:c r="A1685" s="59" t="str">
        <x:v>Low participation</x:v>
      </x:c>
      <x:c r="B1685" s="59" t="n">
        <x:v>222</x:v>
      </x:c>
      <x:c r="C1685" s="78" t="n">
        <x:f>(('Inputs'!$B$29*(3*222*'Inputs'!$B$12-222^2)/(2*'Inputs'!$B$12^2))-('Inputs'!$B$29*(3*221*'Inputs'!$B$12-221^2)/(2*'Inputs'!$B$12^2)))*'Inputs'!$B$48</x:f>
        <x:v>159993.72537061572</x:v>
      </x:c>
      <x:c r="D1685" s="78" t="n">
        <x:f>IF('Inputs'!$C$48&gt;0,('Inputs'!$B$30*(3*222*'Inputs'!$B$12-222^2)/(2*'Inputs'!$B$12^2))-('Inputs'!$B$30*(3*221*'Inputs'!$B$12-221^2)/(2*'Inputs'!$B$12^2)),0)</x:f>
        <x:v>274274.95777819306</x:v>
      </x:c>
      <x:c r="E1685" s="78" t="n">
        <x:f>C1685+D1685</x:f>
        <x:v>434268.6831488088</x:v>
      </x:c>
      <x:c r="F1685" s="78" t="n">
        <x:f>'Inputs'!$B$13*E1685+(1-'Inputs'!$B$13)/'Inputs'!$B$14*SUM(E1630:E1685)</x:f>
        <x:v>439122.07965847256</x:v>
      </x:c>
      <x:c r="G1685" s="78" t="n">
        <x:f>F1685*'Inputs'!$F$48</x:f>
        <x:v>219561.03982923628</x:v>
      </x:c>
      <x:c r="H1685" s="78" t="n">
        <x:f>U1684</x:f>
        <x:v>49256348.60102395</x:v>
      </x:c>
      <x:c r="I1685" s="78" t="n">
        <x:f>V1684</x:f>
        <x:v>230.152350538134</x:v>
      </x:c>
      <x:c r="J1685" s="79" t="n">
        <x:f>IF(H1685&gt;0,I1685/H1685,0)</x:f>
        <x:v>0.000004672541856530338</x:v>
      </x:c>
      <x:c r="K1685" s="80" t="n">
        <x:f>(H1685*J1685+I1685)*'Inputs'!$D$48*(1+'Inputs'!$G$48)^(B1685/30)</x:f>
        <x:v>138.0914103228804</x:v>
      </x:c>
      <x:c r="L1685" s="80" t="n">
        <x:f>MAX(0,K1685*'Inputs'!$E$48)</x:f>
        <x:v>0</x:v>
      </x:c>
      <x:c r="M1685" s="80" t="n">
        <x:f>MAX(0,-K1685*'Inputs'!$E$48)</x:f>
        <x:v>0</x:v>
      </x:c>
      <x:c r="N1685" s="78" t="n">
        <x:f>H1685*(L1685*(1-'Inputs'!$B$15))/(I1685+L1685*(1-'Inputs'!$B$15))</x:f>
        <x:v>0</x:v>
      </x:c>
      <x:c r="O1685" s="78" t="n">
        <x:f>H1685-N1685</x:f>
        <x:v>49256348.60102395</x:v>
      </x:c>
      <x:c r="P1685" s="78" t="n">
        <x:f>I1685+L1685*(1-'Inputs'!$B$17)</x:f>
        <x:v>230.152350538134</x:v>
      </x:c>
      <x:c r="Q1685" s="78" t="n">
        <x:f>IF(J1685&gt;0,M1685/J1685,0)</x:f>
        <x:v>0</x:v>
      </x:c>
      <x:c r="R1685" s="78" t="n">
        <x:f>IF(B1685='Inputs'!$H$48,'Inputs'!$B$27*'Inputs'!$I$48,0)</x:f>
        <x:v>0</x:v>
      </x:c>
      <x:c r="S1685" s="78" t="n">
        <x:f>Q1685+G1685+R1685</x:f>
        <x:v>219561.03982923628</x:v>
      </x:c>
      <x:c r="T1685" s="78" t="n">
        <x:f>P1685*(S1685*(1-'Inputs'!$B$15))/(O1685+S1685*(1-'Inputs'!$B$15))</x:f>
        <x:v>1.0111867582544347</x:v>
      </x:c>
      <x:c r="U1685" s="78" t="n">
        <x:f>O1685+S1685*(1-'Inputs'!$B$17)</x:f>
        <x:v>49475026.09542128</x:v>
      </x:c>
      <x:c r="V1685" s="78" t="n">
        <x:f>P1685-T1685</x:f>
        <x:v>229.14116377987955</x:v>
      </x:c>
      <x:c r="W1685" s="79" t="n">
        <x:f>IF(U1685&gt;0,V1685/U1685,0)</x:f>
        <x:v>0.0000046314510949006996</x:v>
      </x:c>
      <x:c r="X1685" s="80" t="n">
        <x:f>W1685*('Inputs'!$B$6-AC1685)</x:f>
        <x:v>4599.9998374401885</x:v>
      </x:c>
      <x:c r="Y1685" s="80" t="n">
        <x:f>2*V1685</x:f>
        <x:v>458.2823275597591</x:v>
      </x:c>
      <x:c r="Z1685" s="80" t="n">
        <x:f>K1685*'Inputs'!$B$16+(G1685+R1685)*J1685*'Inputs'!$B$16</x:f>
        <x:v>0.834703910829275</x:v>
      </x:c>
      <x:c r="AA1685" s="80" t="n">
        <x:f>K1685*(1+'Inputs'!$E$48)/2*'Inputs'!$B$17</x:f>
        <x:v>0.27784992016676135</x:v>
      </x:c>
      <x:c r="AB1685" s="78" t="n">
        <x:f>(IF(J1685&gt;0,K1685*(1-'Inputs'!$E$48)/2/J1685,0)+G1685+R1685)*'Inputs'!$B$17</x:f>
        <x:v>60347.950181635504</x:v>
      </x:c>
      <x:c r="AC1685" s="78" t="n">
        <x:f>AC1684+AB1685</x:f>
        <x:v>6790799.862949921</x:v>
      </x:c>
      <x:c r="AD1685" s="80" t="n">
        <x:f>Z1685/(1+'Inputs'!$C$48)</x:f>
        <x:v>0.66776312866342</x:v>
      </x:c>
      <x:c r="AE1685" s="80" t="n">
        <x:f>Z1685-AD1685</x:f>
        <x:v>0.16694078216585495</x:v>
      </x:c>
      <x:c r="AF1685" s="80" t="n">
        <x:f>D1685*W1685</x:f>
        <x:v>1.2702910535056553</x:v>
      </x:c>
      <x:c r="AG1685" s="80" t="n">
        <x:f>C1685*W1685</x:f>
        <x:v>0.74100311454498</x:v>
      </x:c>
      <x:c r="AH1685" s="80" t="n">
        <x:f>2*'Inputs'!$B$8*'Inputs'!$C$48</x:f>
        <x:v>1250</x:v>
      </x:c>
      <x:c r="AI1685" s="81" t="n">
        <x:f>IF(AH1685&gt;0,(AE1685+AF1685)/AH1685*365,0)</x:f>
        <x:v>0.41967169601608106</x:v>
      </x:c>
      <x:c r="AJ1685" s="81" t="n">
        <x:f>IF('Inputs'!$B$48&gt;0,AG1685/('Inputs'!$B$19*'Inputs'!$B$48)*365,0)</x:f>
        <x:v>0.10818645472356708</x:v>
      </x:c>
      <x:c r="AK1685" s="81" t="n">
        <x:f>W1685/MAX($W$1464:W1685)-1</x:f>
        <x:v>-0.9945534917454797</x:v>
      </x:c>
      <x:c r="AL1685" s="83" t="n">
        <x:f>'Inputs'!$B$48</x:f>
        <x:v>0.25</x:v>
      </x:c>
      <x:c r="AM1685" s="83" t="n">
        <x:f>'Inputs'!$C$48</x:f>
        <x:v>0.25</x:v>
      </x:c>
      <x:c r="AN1685" s="83" t="n">
        <x:f>'Inputs'!$D$48</x:f>
        <x:v>0.3</x:v>
      </x:c>
      <x:c r="AO1685" s="81" t="n">
        <x:f>'Inputs'!$E$48</x:f>
        <x:v>0</x:v>
      </x:c>
    </x:row>
    <x:row r="1686">
      <x:c r="A1686" s="59" t="str">
        <x:v>Low participation</x:v>
      </x:c>
      <x:c r="B1686" s="59" t="n">
        <x:v>223</x:v>
      </x:c>
      <x:c r="C1686" s="78" t="n">
        <x:f>(('Inputs'!$B$29*(3*223*'Inputs'!$B$12-223^2)/(2*'Inputs'!$B$12^2))-('Inputs'!$B$29*(3*222*'Inputs'!$B$12-222^2)/(2*'Inputs'!$B$12^2)))*'Inputs'!$B$48</x:f>
        <x:v>159912.4483955726</x:v>
      </x:c>
      <x:c r="D1686" s="78" t="n">
        <x:f>IF('Inputs'!$C$48&gt;0,('Inputs'!$B$30*(3*223*'Inputs'!$B$12-223^2)/(2*'Inputs'!$B$12^2))-('Inputs'!$B$30*(3*222*'Inputs'!$B$12-222^2)/(2*'Inputs'!$B$12^2)),0)</x:f>
        <x:v>274135.6258209795</x:v>
      </x:c>
      <x:c r="E1686" s="78" t="n">
        <x:f>C1686+D1686</x:f>
        <x:v>434048.0742165521</x:v>
      </x:c>
      <x:c r="F1686" s="78" t="n">
        <x:f>'Inputs'!$B$13*E1686+(1-'Inputs'!$B$13)/'Inputs'!$B$14*SUM(E1631:E1686)</x:f>
        <x:v>438901.47072621534</x:v>
      </x:c>
      <x:c r="G1686" s="78" t="n">
        <x:f>F1686*'Inputs'!$F$48</x:f>
        <x:v>219450.73536310767</x:v>
      </x:c>
      <x:c r="H1686" s="78" t="n">
        <x:f>U1685</x:f>
        <x:v>49475026.09542128</x:v>
      </x:c>
      <x:c r="I1686" s="78" t="n">
        <x:f>V1685</x:f>
        <x:v>229.14116377987955</x:v>
      </x:c>
      <x:c r="J1686" s="79" t="n">
        <x:f>IF(H1686&gt;0,I1686/H1686,0)</x:f>
        <x:v>0.0000046314510949006996</x:v>
      </x:c>
      <x:c r="K1686" s="80" t="n">
        <x:f>(H1686*J1686+I1686)*'Inputs'!$D$48*(1+'Inputs'!$G$48)^(B1686/30)</x:f>
        <x:v>137.4846982679277</x:v>
      </x:c>
      <x:c r="L1686" s="80" t="n">
        <x:f>MAX(0,K1686*'Inputs'!$E$48)</x:f>
        <x:v>0</x:v>
      </x:c>
      <x:c r="M1686" s="80" t="n">
        <x:f>MAX(0,-K1686*'Inputs'!$E$48)</x:f>
        <x:v>0</x:v>
      </x:c>
      <x:c r="N1686" s="78" t="n">
        <x:f>H1686*(L1686*(1-'Inputs'!$B$15))/(I1686+L1686*(1-'Inputs'!$B$15))</x:f>
        <x:v>0</x:v>
      </x:c>
      <x:c r="O1686" s="78" t="n">
        <x:f>H1686-N1686</x:f>
        <x:v>49475026.09542128</x:v>
      </x:c>
      <x:c r="P1686" s="78" t="n">
        <x:f>I1686+L1686*(1-'Inputs'!$B$17)</x:f>
        <x:v>229.14116377987955</x:v>
      </x:c>
      <x:c r="Q1686" s="78" t="n">
        <x:f>IF(J1686&gt;0,M1686/J1686,0)</x:f>
        <x:v>0</x:v>
      </x:c>
      <x:c r="R1686" s="78" t="n">
        <x:f>IF(B1686='Inputs'!$H$48,'Inputs'!$B$27*'Inputs'!$I$48,0)</x:f>
        <x:v>0</x:v>
      </x:c>
      <x:c r="S1686" s="78" t="n">
        <x:f>Q1686+G1686+R1686</x:f>
        <x:v>219450.73536310767</x:v>
      </x:c>
      <x:c r="T1686" s="78" t="n">
        <x:f>P1686*(S1686*(1-'Inputs'!$B$15))/(O1686+S1686*(1-'Inputs'!$B$15))</x:f>
        <x:v>1.0018124062103122</x:v>
      </x:c>
      <x:c r="U1686" s="78" t="n">
        <x:f>O1686+S1686*(1-'Inputs'!$B$17)</x:f>
        <x:v>49693593.72923363</x:v>
      </x:c>
      <x:c r="V1686" s="78" t="n">
        <x:f>P1686-T1686</x:f>
        <x:v>228.13935137366923</x:v>
      </x:c>
      <x:c r="W1686" s="79" t="n">
        <x:f>IF(U1686&gt;0,V1686/U1686,0)</x:f>
        <x:v>0.000004590920765697409</x:v>
      </x:c>
      <x:c r="X1686" s="80" t="n">
        <x:f>W1686*('Inputs'!$B$6-AC1686)</x:f>
        <x:v>4559.466478981869</x:v>
      </x:c>
      <x:c r="Y1686" s="80" t="n">
        <x:f>2*V1686</x:f>
        <x:v>456.27870274733846</x:v>
      </x:c>
      <x:c r="Z1686" s="80" t="n">
        <x:f>K1686*'Inputs'!$B$16+(G1686+R1686)*J1686*'Inputs'!$B$16</x:f>
        <x:v>0.8310064416990116</x:v>
      </x:c>
      <x:c r="AA1686" s="80" t="n">
        <x:f>K1686*(1+'Inputs'!$E$48)/2*'Inputs'!$B$17</x:f>
        <x:v>0.2766291715652469</x:v>
      </x:c>
      <x:c r="AB1686" s="78" t="n">
        <x:f>(IF(J1686&gt;0,K1686*(1-'Inputs'!$E$48)/2/J1686,0)+G1686+R1686)*'Inputs'!$B$17</x:f>
        <x:v>60611.50327561163</x:v>
      </x:c>
      <x:c r="AC1686" s="78" t="n">
        <x:f>AC1685+AB1686</x:f>
        <x:v>6851411.366225532</x:v>
      </x:c>
      <x:c r="AD1686" s="80" t="n">
        <x:f>Z1686/(1+'Inputs'!$C$48)</x:f>
        <x:v>0.6648051533592093</x:v>
      </x:c>
      <x:c r="AE1686" s="80" t="n">
        <x:f>Z1686-AD1686</x:f>
        <x:v>0.1662012883398023</x:v>
      </x:c>
      <x:c r="AF1686" s="80" t="n">
        <x:f>D1686*W1686</x:f>
        <x:v>1.2585349371989896</x:v>
      </x:c>
      <x:c r="AG1686" s="80" t="n">
        <x:f>C1686*W1686</x:f>
        <x:v>0.7341453800327495</x:v>
      </x:c>
      <x:c r="AH1686" s="80" t="n">
        <x:f>2*'Inputs'!$B$8*'Inputs'!$C$48</x:f>
        <x:v>1250</x:v>
      </x:c>
      <x:c r="AI1686" s="81" t="n">
        <x:f>IF(AH1686&gt;0,(AE1686+AF1686)/AH1686*365,0)</x:f>
        <x:v>0.4160229778573272</x:v>
      </x:c>
      <x:c r="AJ1686" s="81" t="n">
        <x:f>IF('Inputs'!$B$48&gt;0,AG1686/('Inputs'!$B$19*'Inputs'!$B$48)*365,0)</x:f>
        <x:v>0.10718522548478145</x:v>
      </x:c>
      <x:c r="AK1686" s="81" t="n">
        <x:f>W1686/MAX($W$1464:W1686)-1</x:f>
        <x:v>-0.9946011547279966</x:v>
      </x:c>
      <x:c r="AL1686" s="83" t="n">
        <x:f>'Inputs'!$B$48</x:f>
        <x:v>0.25</x:v>
      </x:c>
      <x:c r="AM1686" s="83" t="n">
        <x:f>'Inputs'!$C$48</x:f>
        <x:v>0.25</x:v>
      </x:c>
      <x:c r="AN1686" s="83" t="n">
        <x:f>'Inputs'!$D$48</x:f>
        <x:v>0.3</x:v>
      </x:c>
      <x:c r="AO1686" s="81" t="n">
        <x:f>'Inputs'!$E$48</x:f>
        <x:v>0</x:v>
      </x:c>
    </x:row>
    <x:row r="1687">
      <x:c r="A1687" s="59" t="str">
        <x:v>Low participation</x:v>
      </x:c>
      <x:c r="B1687" s="59" t="n">
        <x:v>224</x:v>
      </x:c>
      <x:c r="C1687" s="78" t="n">
        <x:f>(('Inputs'!$B$29*(3*224*'Inputs'!$B$12-224^2)/(2*'Inputs'!$B$12^2))-('Inputs'!$B$29*(3*223*'Inputs'!$B$12-223^2)/(2*'Inputs'!$B$12^2)))*'Inputs'!$B$48</x:f>
        <x:v>159831.17142052948</x:v>
      </x:c>
      <x:c r="D1687" s="78" t="n">
        <x:f>IF('Inputs'!$C$48&gt;0,('Inputs'!$B$30*(3*224*'Inputs'!$B$12-224^2)/(2*'Inputs'!$B$12^2))-('Inputs'!$B$30*(3*223*'Inputs'!$B$12-223^2)/(2*'Inputs'!$B$12^2)),0)</x:f>
        <x:v>273996.2938637659</x:v>
      </x:c>
      <x:c r="E1687" s="78" t="n">
        <x:f>C1687+D1687</x:f>
        <x:v>433827.4652842954</x:v>
      </x:c>
      <x:c r="F1687" s="78" t="n">
        <x:f>'Inputs'!$B$13*E1687+(1-'Inputs'!$B$13)/'Inputs'!$B$14*SUM(E1632:E1687)</x:f>
        <x:v>438680.861793958</x:v>
      </x:c>
      <x:c r="G1687" s="78" t="n">
        <x:f>F1687*'Inputs'!$F$48</x:f>
        <x:v>219340.430896979</x:v>
      </x:c>
      <x:c r="H1687" s="78" t="n">
        <x:f>U1686</x:f>
        <x:v>49693593.72923363</x:v>
      </x:c>
      <x:c r="I1687" s="78" t="n">
        <x:f>V1686</x:f>
        <x:v>228.13935137366923</x:v>
      </x:c>
      <x:c r="J1687" s="79" t="n">
        <x:f>IF(H1687&gt;0,I1687/H1687,0)</x:f>
        <x:v>0.000004590920765697409</x:v>
      </x:c>
      <x:c r="K1687" s="80" t="n">
        <x:f>(H1687*J1687+I1687)*'Inputs'!$D$48*(1+'Inputs'!$G$48)^(B1687/30)</x:f>
        <x:v>136.88361082420153</x:v>
      </x:c>
      <x:c r="L1687" s="80" t="n">
        <x:f>MAX(0,K1687*'Inputs'!$E$48)</x:f>
        <x:v>0</x:v>
      </x:c>
      <x:c r="M1687" s="80" t="n">
        <x:f>MAX(0,-K1687*'Inputs'!$E$48)</x:f>
        <x:v>0</x:v>
      </x:c>
      <x:c r="N1687" s="78" t="n">
        <x:f>H1687*(L1687*(1-'Inputs'!$B$15))/(I1687+L1687*(1-'Inputs'!$B$15))</x:f>
        <x:v>0</x:v>
      </x:c>
      <x:c r="O1687" s="78" t="n">
        <x:f>H1687-N1687</x:f>
        <x:v>49693593.72923363</x:v>
      </x:c>
      <x:c r="P1687" s="78" t="n">
        <x:f>I1687+L1687*(1-'Inputs'!$B$17)</x:f>
        <x:v>228.13935137366923</x:v>
      </x:c>
      <x:c r="Q1687" s="78" t="n">
        <x:f>IF(J1687&gt;0,M1687/J1687,0)</x:f>
        <x:v>0</x:v>
      </x:c>
      <x:c r="R1687" s="78" t="n">
        <x:f>IF(B1687='Inputs'!$H$48,'Inputs'!$B$27*'Inputs'!$I$48,0)</x:f>
        <x:v>0</x:v>
      </x:c>
      <x:c r="S1687" s="78" t="n">
        <x:f>Q1687+G1687+R1687</x:f>
        <x:v>219340.430896979</x:v>
      </x:c>
      <x:c r="T1687" s="78" t="n">
        <x:f>P1687*(S1687*(1-'Inputs'!$B$15))/(O1687+S1687*(1-'Inputs'!$B$15))</x:f>
        <x:v>0.9925675525609378</x:v>
      </x:c>
      <x:c r="U1687" s="78" t="n">
        <x:f>O1687+S1687*(1-'Inputs'!$B$17)</x:f>
        <x:v>49912051.502461</x:v>
      </x:c>
      <x:c r="V1687" s="78" t="n">
        <x:f>P1687-T1687</x:f>
        <x:v>227.1467838211083</x:v>
      </x:c>
      <x:c r="W1687" s="79" t="n">
        <x:f>IF(U1687&gt;0,V1687/U1687,0)</x:f>
        <x:v>0.000004550940644263208</x:v>
      </x:c>
      <x:c r="X1687" s="80" t="n">
        <x:f>W1687*('Inputs'!$B$6-AC1687)</x:f>
        <x:v>4519.483239641416</x:v>
      </x:c>
      <x:c r="Y1687" s="80" t="n">
        <x:f>2*V1687</x:f>
        <x:v>454.2935676422166</x:v>
      </x:c>
      <x:c r="Z1687" s="80" t="n">
        <x:f>K1687*'Inputs'!$B$16+(G1687+R1687)*J1687*'Inputs'!$B$16</x:f>
        <x:v>0.8273435121789809</x:v>
      </x:c>
      <x:c r="AA1687" s="80" t="n">
        <x:f>K1687*(1+'Inputs'!$E$48)/2*'Inputs'!$B$17</x:f>
        <x:v>0.2754197400889367</x:v>
      </x:c>
      <x:c r="AB1687" s="78" t="n">
        <x:f>(IF(J1687&gt;0,K1687*(1-'Inputs'!$E$48)/2/J1687,0)+G1687+R1687)*'Inputs'!$B$17</x:f>
        <x:v>60874.923741114966</x:v>
      </x:c>
      <x:c r="AC1687" s="78" t="n">
        <x:f>AC1686+AB1687</x:f>
        <x:v>6912286.2899666475</x:v>
      </x:c>
      <x:c r="AD1687" s="80" t="n">
        <x:f>Z1687/(1+'Inputs'!$C$48)</x:f>
        <x:v>0.6618748097431848</x:v>
      </x:c>
      <x:c r="AE1687" s="80" t="n">
        <x:f>Z1687-AD1687</x:f>
        <x:v>0.16546870243579614</x:v>
      </x:c>
      <x:c r="AF1687" s="80" t="n">
        <x:f>D1687*W1687</x:f>
        <x:v>1.246940870122098</x:v>
      </x:c>
      <x:c r="AG1687" s="80" t="n">
        <x:f>C1687*W1687</x:f>
        <x:v>0.7273821742378878</x:v>
      </x:c>
      <x:c r="AH1687" s="80" t="n">
        <x:f>2*'Inputs'!$B$8*'Inputs'!$C$48</x:f>
        <x:v>1250</x:v>
      </x:c>
      <x:c r="AI1687" s="81" t="n">
        <x:f>IF(AH1687&gt;0,(AE1687+AF1687)/AH1687*365,0)</x:f>
        <x:v>0.4124235951869051</x:v>
      </x:c>
      <x:c r="AJ1687" s="81" t="n">
        <x:f>IF('Inputs'!$B$48&gt;0,AG1687/('Inputs'!$B$19*'Inputs'!$B$48)*365,0)</x:f>
        <x:v>0.10619779743873162</x:v>
      </x:c>
      <x:c r="AK1687" s="81" t="n">
        <x:f>W1687/MAX($W$1464:W1687)-1</x:f>
        <x:v>-0.9946481706754711</x:v>
      </x:c>
      <x:c r="AL1687" s="83" t="n">
        <x:f>'Inputs'!$B$48</x:f>
        <x:v>0.25</x:v>
      </x:c>
      <x:c r="AM1687" s="83" t="n">
        <x:f>'Inputs'!$C$48</x:f>
        <x:v>0.25</x:v>
      </x:c>
      <x:c r="AN1687" s="83" t="n">
        <x:f>'Inputs'!$D$48</x:f>
        <x:v>0.3</x:v>
      </x:c>
      <x:c r="AO1687" s="81" t="n">
        <x:f>'Inputs'!$E$48</x:f>
        <x:v>0</x:v>
      </x:c>
    </x:row>
    <x:row r="1688">
      <x:c r="A1688" s="59" t="str">
        <x:v>Low participation</x:v>
      </x:c>
      <x:c r="B1688" s="59" t="n">
        <x:v>225</x:v>
      </x:c>
      <x:c r="C1688" s="78" t="n">
        <x:f>(('Inputs'!$B$29*(3*225*'Inputs'!$B$12-225^2)/(2*'Inputs'!$B$12^2))-('Inputs'!$B$29*(3*224*'Inputs'!$B$12-224^2)/(2*'Inputs'!$B$12^2)))*'Inputs'!$B$48</x:f>
        <x:v>159749.89444548637</x:v>
      </x:c>
      <x:c r="D1688" s="78" t="n">
        <x:f>IF('Inputs'!$C$48&gt;0,('Inputs'!$B$30*(3*225*'Inputs'!$B$12-225^2)/(2*'Inputs'!$B$12^2))-('Inputs'!$B$30*(3*224*'Inputs'!$B$12-224^2)/(2*'Inputs'!$B$12^2)),0)</x:f>
        <x:v>273856.9619065523</x:v>
      </x:c>
      <x:c r="E1688" s="78" t="n">
        <x:f>C1688+D1688</x:f>
        <x:v>433606.8563520387</x:v>
      </x:c>
      <x:c r="F1688" s="78" t="n">
        <x:f>'Inputs'!$B$13*E1688+(1-'Inputs'!$B$13)/'Inputs'!$B$14*SUM(E1633:E1688)</x:f>
        <x:v>438460.2528617007</x:v>
      </x:c>
      <x:c r="G1688" s="78" t="n">
        <x:f>F1688*'Inputs'!$F$48</x:f>
        <x:v>219230.12643085036</x:v>
      </x:c>
      <x:c r="H1688" s="78" t="n">
        <x:f>U1687</x:f>
        <x:v>49912051.502461</x:v>
      </x:c>
      <x:c r="I1688" s="78" t="n">
        <x:f>V1687</x:f>
        <x:v>227.1467838211083</x:v>
      </x:c>
      <x:c r="J1688" s="79" t="n">
        <x:f>IF(H1688&gt;0,I1688/H1688,0)</x:f>
        <x:v>0.000004550940644263208</x:v>
      </x:c>
      <x:c r="K1688" s="80" t="n">
        <x:f>(H1688*J1688+I1688)*'Inputs'!$D$48*(1+'Inputs'!$G$48)^(B1688/30)</x:f>
        <x:v>136.28807029266497</x:v>
      </x:c>
      <x:c r="L1688" s="80" t="n">
        <x:f>MAX(0,K1688*'Inputs'!$E$48)</x:f>
        <x:v>0</x:v>
      </x:c>
      <x:c r="M1688" s="80" t="n">
        <x:f>MAX(0,-K1688*'Inputs'!$E$48)</x:f>
        <x:v>0</x:v>
      </x:c>
      <x:c r="N1688" s="78" t="n">
        <x:f>H1688*(L1688*(1-'Inputs'!$B$15))/(I1688+L1688*(1-'Inputs'!$B$15))</x:f>
        <x:v>0</x:v>
      </x:c>
      <x:c r="O1688" s="78" t="n">
        <x:f>H1688-N1688</x:f>
        <x:v>49912051.502461</x:v>
      </x:c>
      <x:c r="P1688" s="78" t="n">
        <x:f>I1688+L1688*(1-'Inputs'!$B$17)</x:f>
        <x:v>227.1467838211083</x:v>
      </x:c>
      <x:c r="Q1688" s="78" t="n">
        <x:f>IF(J1688&gt;0,M1688/J1688,0)</x:f>
        <x:v>0</x:v>
      </x:c>
      <x:c r="R1688" s="78" t="n">
        <x:f>IF(B1688='Inputs'!$H$48,'Inputs'!$B$27*'Inputs'!$I$48,0)</x:f>
        <x:v>0</x:v>
      </x:c>
      <x:c r="S1688" s="78" t="n">
        <x:f>Q1688+G1688+R1688</x:f>
        <x:v>219230.12643085036</x:v>
      </x:c>
      <x:c r="T1688" s="78" t="n">
        <x:f>P1688*(S1688*(1-'Inputs'!$B$15))/(O1688+S1688*(1-'Inputs'!$B$15))</x:f>
        <x:v>0.9834498215577533</x:v>
      </x:c>
      <x:c r="U1688" s="78" t="n">
        <x:f>O1688+S1688*(1-'Inputs'!$B$17)</x:f>
        <x:v>50130399.4151034</x:v>
      </x:c>
      <x:c r="V1688" s="78" t="n">
        <x:f>P1688-T1688</x:f>
        <x:v>226.16333399955056</x:v>
      </x:c>
      <x:c r="W1688" s="79" t="n">
        <x:f>IF(U1688&gt;0,V1688/U1688,0)</x:f>
        <x:v>0.000004511500738839347</x:v>
      </x:c>
      <x:c r="X1688" s="80" t="n">
        <x:f>W1688*('Inputs'!$B$6-AC1688)</x:f>
        <x:v>4480.040129048387</x:v>
      </x:c>
      <x:c r="Y1688" s="80" t="n">
        <x:f>2*V1688</x:f>
        <x:v>452.3266679991011</x:v>
      </x:c>
      <x:c r="Z1688" s="80" t="n">
        <x:f>K1688*'Inputs'!$B$16+(G1688+R1688)*J1688*'Inputs'!$B$16</x:f>
        <x:v>0.8237146415129165</x:v>
      </x:c>
      <x:c r="AA1688" s="80" t="n">
        <x:f>K1688*(1+'Inputs'!$E$48)/2*'Inputs'!$B$17</x:f>
        <x:v>0.2742214694017404</x:v>
      </x:c>
      <x:c r="AB1688" s="78" t="n">
        <x:f>(IF(J1688&gt;0,K1688*(1-'Inputs'!$E$48)/2/J1688,0)+G1688+R1688)*'Inputs'!$B$17</x:f>
        <x:v>61138.21157814548</x:v>
      </x:c>
      <x:c r="AC1688" s="78" t="n">
        <x:f>AC1687+AB1688</x:f>
        <x:v>6973424.501544793</x:v>
      </x:c>
      <x:c r="AD1688" s="80" t="n">
        <x:f>Z1688/(1+'Inputs'!$C$48)</x:f>
        <x:v>0.6589717132103332</x:v>
      </x:c>
      <x:c r="AE1688" s="80" t="n">
        <x:f>Z1688-AD1688</x:f>
        <x:v>0.1647429283025833</x:v>
      </x:c>
      <x:c r="AF1688" s="80" t="n">
        <x:f>D1688*W1688</x:f>
        <x:v>1.2355058859777097</x:v>
      </x:c>
      <x:c r="AG1688" s="80" t="n">
        <x:f>C1688*W1688</x:f>
        <x:v>0.7207117668203195</x:v>
      </x:c>
      <x:c r="AH1688" s="80" t="n">
        <x:f>2*'Inputs'!$B$8*'Inputs'!$C$48</x:f>
        <x:v>1250</x:v>
      </x:c>
      <x:c r="AI1688" s="81" t="n">
        <x:f>IF(AH1688&gt;0,(AE1688+AF1688)/AH1688*365,0)</x:f>
        <x:v>0.40887265376984555</x:v>
      </x:c>
      <x:c r="AJ1688" s="81" t="n">
        <x:f>IF('Inputs'!$B$48&gt;0,AG1688/('Inputs'!$B$19*'Inputs'!$B$48)*365,0)</x:f>
        <x:v>0.10522391795576663</x:v>
      </x:c>
      <x:c r="AK1688" s="81" t="n">
        <x:f>W1688/MAX($W$1464:W1688)-1</x:f>
        <x:v>-0.9946945513380424</x:v>
      </x:c>
      <x:c r="AL1688" s="83" t="n">
        <x:f>'Inputs'!$B$48</x:f>
        <x:v>0.25</x:v>
      </x:c>
      <x:c r="AM1688" s="83" t="n">
        <x:f>'Inputs'!$C$48</x:f>
        <x:v>0.25</x:v>
      </x:c>
      <x:c r="AN1688" s="83" t="n">
        <x:f>'Inputs'!$D$48</x:f>
        <x:v>0.3</x:v>
      </x:c>
      <x:c r="AO1688" s="81" t="n">
        <x:f>'Inputs'!$E$48</x:f>
        <x:v>0</x:v>
      </x:c>
    </x:row>
    <x:row r="1689">
      <x:c r="A1689" s="59" t="str">
        <x:v>Low participation</x:v>
      </x:c>
      <x:c r="B1689" s="59" t="n">
        <x:v>226</x:v>
      </x:c>
      <x:c r="C1689" s="78" t="n">
        <x:f>(('Inputs'!$B$29*(3*226*'Inputs'!$B$12-226^2)/(2*'Inputs'!$B$12^2))-('Inputs'!$B$29*(3*225*'Inputs'!$B$12-225^2)/(2*'Inputs'!$B$12^2)))*'Inputs'!$B$48</x:f>
        <x:v>159668.61747044325</x:v>
      </x:c>
      <x:c r="D1689" s="78" t="n">
        <x:f>IF('Inputs'!$C$48&gt;0,('Inputs'!$B$30*(3*226*'Inputs'!$B$12-226^2)/(2*'Inputs'!$B$12^2))-('Inputs'!$B$30*(3*225*'Inputs'!$B$12-225^2)/(2*'Inputs'!$B$12^2)),0)</x:f>
        <x:v>273717.6299493313</x:v>
      </x:c>
      <x:c r="E1689" s="78" t="n">
        <x:f>C1689+D1689</x:f>
        <x:v>433386.24741977453</x:v>
      </x:c>
      <x:c r="F1689" s="78" t="n">
        <x:f>'Inputs'!$B$13*E1689+(1-'Inputs'!$B$13)/'Inputs'!$B$14*SUM(E1634:E1689)</x:f>
        <x:v>438239.643929442</x:v>
      </x:c>
      <x:c r="G1689" s="78" t="n">
        <x:f>F1689*'Inputs'!$F$48</x:f>
        <x:v>219119.821964721</x:v>
      </x:c>
      <x:c r="H1689" s="78" t="n">
        <x:f>U1688</x:f>
        <x:v>50130399.4151034</x:v>
      </x:c>
      <x:c r="I1689" s="78" t="n">
        <x:f>V1688</x:f>
        <x:v>226.16333399955056</x:v>
      </x:c>
      <x:c r="J1689" s="79" t="n">
        <x:f>IF(H1689&gt;0,I1689/H1689,0)</x:f>
        <x:v>0.000004511500738839347</x:v>
      </x:c>
      <x:c r="K1689" s="80" t="n">
        <x:f>(H1689*J1689+I1689)*'Inputs'!$D$48*(1+'Inputs'!$G$48)^(B1689/30)</x:f>
        <x:v>135.69800039973032</x:v>
      </x:c>
      <x:c r="L1689" s="80" t="n">
        <x:f>MAX(0,K1689*'Inputs'!$E$48)</x:f>
        <x:v>0</x:v>
      </x:c>
      <x:c r="M1689" s="80" t="n">
        <x:f>MAX(0,-K1689*'Inputs'!$E$48)</x:f>
        <x:v>0</x:v>
      </x:c>
      <x:c r="N1689" s="78" t="n">
        <x:f>H1689*(L1689*(1-'Inputs'!$B$15))/(I1689+L1689*(1-'Inputs'!$B$15))</x:f>
        <x:v>0</x:v>
      </x:c>
      <x:c r="O1689" s="78" t="n">
        <x:f>H1689-N1689</x:f>
        <x:v>50130399.4151034</x:v>
      </x:c>
      <x:c r="P1689" s="78" t="n">
        <x:f>I1689+L1689*(1-'Inputs'!$B$17)</x:f>
        <x:v>226.16333399955056</x:v>
      </x:c>
      <x:c r="Q1689" s="78" t="n">
        <x:f>IF(J1689&gt;0,M1689/J1689,0)</x:f>
        <x:v>0</x:v>
      </x:c>
      <x:c r="R1689" s="78" t="n">
        <x:f>IF(B1689='Inputs'!$H$48,'Inputs'!$B$27*'Inputs'!$I$48,0)</x:f>
        <x:v>0</x:v>
      </x:c>
      <x:c r="S1689" s="78" t="n">
        <x:f>Q1689+G1689+R1689</x:f>
        <x:v>219119.821964721</x:v>
      </x:c>
      <x:c r="T1689" s="78" t="n">
        <x:f>P1689*(S1689*(1-'Inputs'!$B$15))/(O1689+S1689*(1-'Inputs'!$B$15))</x:f>
        <x:v>0.9744568916996705</x:v>
      </x:c>
      <x:c r="U1689" s="78" t="n">
        <x:f>O1689+S1689*(1-'Inputs'!$B$17)</x:f>
        <x:v>50348637.46716081</x:v>
      </x:c>
      <x:c r="V1689" s="78" t="n">
        <x:f>P1689-T1689</x:f>
        <x:v>225.18887710785089</x:v>
      </x:c>
      <x:c r="W1689" s="79" t="n">
        <x:f>IF(U1689&gt;0,V1689/U1689,0)</x:f>
        <x:v>0.000004472591284217515</x:v>
      </x:c>
      <x:c r="X1689" s="80" t="n">
        <x:f>W1689*('Inputs'!$B$6-AC1689)</x:f>
        <x:v>4441.127383352828</x:v>
      </x:c>
      <x:c r="Y1689" s="80" t="n">
        <x:f>2*V1689</x:f>
        <x:v>450.37775421570177</x:v>
      </x:c>
      <x:c r="Z1689" s="80" t="n">
        <x:f>K1689*'Inputs'!$B$16+(G1689+R1689)*J1689*'Inputs'!$B$16</x:f>
        <x:v>0.820119357830511</x:v>
      </x:c>
      <x:c r="AA1689" s="80" t="n">
        <x:f>K1689*(1+'Inputs'!$E$48)/2*'Inputs'!$B$17</x:f>
        <x:v>0.2730342060356747</x:v>
      </x:c>
      <x:c r="AB1689" s="78" t="n">
        <x:f>(IF(J1689&gt;0,K1689*(1-'Inputs'!$E$48)/2/J1689,0)+G1689+R1689)*'Inputs'!$B$17</x:f>
        <x:v>61401.36678670318</x:v>
      </x:c>
      <x:c r="AC1689" s="78" t="n">
        <x:f>AC1688+AB1689</x:f>
        <x:v>7034825.868331497</x:v>
      </x:c>
      <x:c r="AD1689" s="80" t="n">
        <x:f>Z1689/(1+'Inputs'!$C$48)</x:f>
        <x:v>0.6560954862644088</x:v>
      </x:c>
      <x:c r="AE1689" s="80" t="n">
        <x:f>Z1689-AD1689</x:f>
        <x:v>0.1640238715661022</x:v>
      </x:c>
      <x:c r="AF1689" s="80" t="n">
        <x:f>D1689*W1689</x:f>
        <x:v>1.2242270860480542</x:v>
      </x:c>
      <x:c r="AG1689" s="80" t="n">
        <x:f>C1689*W1689</x:f>
        <x:v>0.7141324668613649</x:v>
      </x:c>
      <x:c r="AH1689" s="80" t="n">
        <x:f>2*'Inputs'!$B$8*'Inputs'!$C$48</x:f>
        <x:v>1250</x:v>
      </x:c>
      <x:c r="AI1689" s="81" t="n">
        <x:f>IF(AH1689&gt;0,(AE1689+AF1689)/AH1689*365,0)</x:f>
        <x:v>0.4053692796233337</x:v>
      </x:c>
      <x:c r="AJ1689" s="81" t="n">
        <x:f>IF('Inputs'!$B$48&gt;0,AG1689/('Inputs'!$B$19*'Inputs'!$B$48)*365,0)</x:f>
        <x:v>0.10426334016175927</x:v>
      </x:c>
      <x:c r="AK1689" s="81" t="n">
        <x:f>W1689/MAX($W$1464:W1689)-1</x:f>
        <x:v>-0.9947403081994309</x:v>
      </x:c>
      <x:c r="AL1689" s="83" t="n">
        <x:f>'Inputs'!$B$48</x:f>
        <x:v>0.25</x:v>
      </x:c>
      <x:c r="AM1689" s="83" t="n">
        <x:f>'Inputs'!$C$48</x:f>
        <x:v>0.25</x:v>
      </x:c>
      <x:c r="AN1689" s="83" t="n">
        <x:f>'Inputs'!$D$48</x:f>
        <x:v>0.3</x:v>
      </x:c>
      <x:c r="AO1689" s="81" t="n">
        <x:f>'Inputs'!$E$48</x:f>
        <x:v>0</x:v>
      </x:c>
    </x:row>
    <x:row r="1690">
      <x:c r="A1690" s="59" t="str">
        <x:v>Low participation</x:v>
      </x:c>
      <x:c r="B1690" s="59" t="n">
        <x:v>227</x:v>
      </x:c>
      <x:c r="C1690" s="78" t="n">
        <x:f>(('Inputs'!$B$29*(3*227*'Inputs'!$B$12-227^2)/(2*'Inputs'!$B$12^2))-('Inputs'!$B$29*(3*226*'Inputs'!$B$12-226^2)/(2*'Inputs'!$B$12^2)))*'Inputs'!$B$48</x:f>
        <x:v>159587.34049540013</x:v>
      </x:c>
      <x:c r="D1690" s="78" t="n">
        <x:f>IF('Inputs'!$C$48&gt;0,('Inputs'!$B$30*(3*227*'Inputs'!$B$12-227^2)/(2*'Inputs'!$B$12^2))-('Inputs'!$B$30*(3*226*'Inputs'!$B$12-226^2)/(2*'Inputs'!$B$12^2)),0)</x:f>
        <x:v>273578.2979921177</x:v>
      </x:c>
      <x:c r="E1690" s="78" t="n">
        <x:f>C1690+D1690</x:f>
        <x:v>433165.63848751783</x:v>
      </x:c>
      <x:c r="F1690" s="78" t="n">
        <x:f>'Inputs'!$B$13*E1690+(1-'Inputs'!$B$13)/'Inputs'!$B$14*SUM(E1635:E1690)</x:f>
        <x:v>438019.0349971845</x:v>
      </x:c>
      <x:c r="G1690" s="78" t="n">
        <x:f>F1690*'Inputs'!$F$48</x:f>
        <x:v>219009.51749859226</x:v>
      </x:c>
      <x:c r="H1690" s="78" t="n">
        <x:f>U1689</x:f>
        <x:v>50348637.46716081</x:v>
      </x:c>
      <x:c r="I1690" s="78" t="n">
        <x:f>V1689</x:f>
        <x:v>225.18887710785089</x:v>
      </x:c>
      <x:c r="J1690" s="79" t="n">
        <x:f>IF(H1690&gt;0,I1690/H1690,0)</x:f>
        <x:v>0.000004472591284217515</x:v>
      </x:c>
      <x:c r="K1690" s="80" t="n">
        <x:f>(H1690*J1690+I1690)*'Inputs'!$D$48*(1+'Inputs'!$G$48)^(B1690/30)</x:f>
        <x:v>135.11332626471054</x:v>
      </x:c>
      <x:c r="L1690" s="80" t="n">
        <x:f>MAX(0,K1690*'Inputs'!$E$48)</x:f>
        <x:v>0</x:v>
      </x:c>
      <x:c r="M1690" s="80" t="n">
        <x:f>MAX(0,-K1690*'Inputs'!$E$48)</x:f>
        <x:v>0</x:v>
      </x:c>
      <x:c r="N1690" s="78" t="n">
        <x:f>H1690*(L1690*(1-'Inputs'!$B$15))/(I1690+L1690*(1-'Inputs'!$B$15))</x:f>
        <x:v>0</x:v>
      </x:c>
      <x:c r="O1690" s="78" t="n">
        <x:f>H1690-N1690</x:f>
        <x:v>50348637.46716081</x:v>
      </x:c>
      <x:c r="P1690" s="78" t="n">
        <x:f>I1690+L1690*(1-'Inputs'!$B$17)</x:f>
        <x:v>225.18887710785089</x:v>
      </x:c>
      <x:c r="Q1690" s="78" t="n">
        <x:f>IF(J1690&gt;0,M1690/J1690,0)</x:f>
        <x:v>0</x:v>
      </x:c>
      <x:c r="R1690" s="78" t="n">
        <x:f>IF(B1690='Inputs'!$H$48,'Inputs'!$B$27*'Inputs'!$I$48,0)</x:f>
        <x:v>0</x:v>
      </x:c>
      <x:c r="S1690" s="78" t="n">
        <x:f>Q1690+G1690+R1690</x:f>
        <x:v>219009.51749859226</x:v>
      </x:c>
      <x:c r="T1690" s="78" t="n">
        <x:f>P1690*(S1690*(1-'Inputs'!$B$15))/(O1690+S1690*(1-'Inputs'!$B$15))</x:f>
        <x:v>0.9655864942531451</x:v>
      </x:c>
      <x:c r="U1690" s="78" t="n">
        <x:f>O1690+S1690*(1-'Inputs'!$B$17)</x:f>
        <x:v>50566765.658633254</x:v>
      </x:c>
      <x:c r="V1690" s="78" t="n">
        <x:f>P1690-T1690</x:f>
        <x:v>224.22329061359773</x:v>
      </x:c>
      <x:c r="W1690" s="79" t="n">
        <x:f>IF(U1690&gt;0,V1690/U1690,0)</x:f>
        <x:v>0.000004434202735592921</x:v>
      </x:c>
      <x:c r="X1690" s="80" t="n">
        <x:f>W1690*('Inputs'!$B$6-AC1690)</x:f>
        <x:v>4402.7354590791265</x:v>
      </x:c>
      <x:c r="Y1690" s="80" t="n">
        <x:f>2*V1690</x:f>
        <x:v>448.44658122719545</x:v>
      </x:c>
      <x:c r="Z1690" s="80" t="n">
        <x:f>K1690*'Inputs'!$B$16+(G1690+R1690)*J1690*'Inputs'!$B$16</x:f>
        <x:v>0.8165571979430126</x:v>
      </x:c>
      <x:c r="AA1690" s="80" t="n">
        <x:f>K1690*(1+'Inputs'!$E$48)/2*'Inputs'!$B$17</x:f>
        <x:v>0.27185779932537335</x:v>
      </x:c>
      <x:c r="AB1690" s="78" t="n">
        <x:f>(IF(J1690&gt;0,K1690*(1-'Inputs'!$E$48)/2/J1690,0)+G1690+R1690)*'Inputs'!$B$17</x:f>
        <x:v>61664.389366788084</x:v>
      </x:c>
      <x:c r="AC1690" s="78" t="n">
        <x:f>AC1689+AB1690</x:f>
        <x:v>7096490.257698284</x:v>
      </x:c>
      <x:c r="AD1690" s="80" t="n">
        <x:f>Z1690/(1+'Inputs'!$C$48)</x:f>
        <x:v>0.6532457583544101</x:v>
      </x:c>
      <x:c r="AE1690" s="80" t="n">
        <x:f>Z1690-AD1690</x:f>
        <x:v>0.1633114395886025</x:v>
      </x:c>
      <x:c r="AF1690" s="80" t="n">
        <x:f>D1690*W1690</x:f>
        <x:v>1.2131016373555035</x:v>
      </x:c>
      <x:c r="AG1690" s="80" t="n">
        <x:f>C1690*W1690</x:f>
        <x:v>0.7076426217907021</x:v>
      </x:c>
      <x:c r="AH1690" s="80" t="n">
        <x:f>2*'Inputs'!$B$8*'Inputs'!$C$48</x:f>
        <x:v>1250</x:v>
      </x:c>
      <x:c r="AI1690" s="81" t="n">
        <x:f>IF(AH1690&gt;0,(AE1690+AF1690)/AH1690*365,0)</x:f>
        <x:v>0.401912618467679</x:v>
      </x:c>
      <x:c r="AJ1690" s="81" t="n">
        <x:f>IF('Inputs'!$B$48&gt;0,AG1690/('Inputs'!$B$19*'Inputs'!$B$48)*365,0)</x:f>
        <x:v>0.10331582278144252</x:v>
      </x:c>
      <x:c r="AK1690" s="81" t="n">
        <x:f>W1690/MAX($W$1464:W1690)-1</x:f>
        <x:v>-0.9947854524841656</x:v>
      </x:c>
      <x:c r="AL1690" s="83" t="n">
        <x:f>'Inputs'!$B$48</x:f>
        <x:v>0.25</x:v>
      </x:c>
      <x:c r="AM1690" s="83" t="n">
        <x:f>'Inputs'!$C$48</x:f>
        <x:v>0.25</x:v>
      </x:c>
      <x:c r="AN1690" s="83" t="n">
        <x:f>'Inputs'!$D$48</x:f>
        <x:v>0.3</x:v>
      </x:c>
      <x:c r="AO1690" s="81" t="n">
        <x:f>'Inputs'!$E$48</x:f>
        <x:v>0</x:v>
      </x:c>
    </x:row>
    <x:row r="1691">
      <x:c r="A1691" s="59" t="str">
        <x:v>Low participation</x:v>
      </x:c>
      <x:c r="B1691" s="59" t="n">
        <x:v>228</x:v>
      </x:c>
      <x:c r="C1691" s="78" t="n">
        <x:f>(('Inputs'!$B$29*(3*228*'Inputs'!$B$12-228^2)/(2*'Inputs'!$B$12^2))-('Inputs'!$B$29*(3*227*'Inputs'!$B$12-227^2)/(2*'Inputs'!$B$12^2)))*'Inputs'!$B$48</x:f>
        <x:v>159506.06352036446</x:v>
      </x:c>
      <x:c r="D1691" s="78" t="n">
        <x:f>IF('Inputs'!$C$48&gt;0,('Inputs'!$B$30*(3*228*'Inputs'!$B$12-228^2)/(2*'Inputs'!$B$12^2))-('Inputs'!$B$30*(3*227*'Inputs'!$B$12-227^2)/(2*'Inputs'!$B$12^2)),0)</x:f>
        <x:v>273438.9660349041</x:v>
      </x:c>
      <x:c r="E1691" s="78" t="n">
        <x:f>C1691+D1691</x:f>
        <x:v>432945.0295552686</x:v>
      </x:c>
      <x:c r="F1691" s="78" t="n">
        <x:f>'Inputs'!$B$13*E1691+(1-'Inputs'!$B$13)/'Inputs'!$B$14*SUM(E1636:E1691)</x:f>
        <x:v>437798.4260649289</x:v>
      </x:c>
      <x:c r="G1691" s="78" t="n">
        <x:f>F1691*'Inputs'!$F$48</x:f>
        <x:v>218899.21303246444</x:v>
      </x:c>
      <x:c r="H1691" s="78" t="n">
        <x:f>U1690</x:f>
        <x:v>50566765.658633254</x:v>
      </x:c>
      <x:c r="I1691" s="78" t="n">
        <x:f>V1690</x:f>
        <x:v>224.22329061359773</x:v>
      </x:c>
      <x:c r="J1691" s="79" t="n">
        <x:f>IF(H1691&gt;0,I1691/H1691,0)</x:f>
        <x:v>0.000004434202735592921</x:v>
      </x:c>
      <x:c r="K1691" s="80" t="n">
        <x:f>(H1691*J1691+I1691)*'Inputs'!$D$48*(1+'Inputs'!$G$48)^(B1691/30)</x:f>
        <x:v>134.53397436815862</x:v>
      </x:c>
      <x:c r="L1691" s="80" t="n">
        <x:f>MAX(0,K1691*'Inputs'!$E$48)</x:f>
        <x:v>0</x:v>
      </x:c>
      <x:c r="M1691" s="80" t="n">
        <x:f>MAX(0,-K1691*'Inputs'!$E$48)</x:f>
        <x:v>0</x:v>
      </x:c>
      <x:c r="N1691" s="78" t="n">
        <x:f>H1691*(L1691*(1-'Inputs'!$B$15))/(I1691+L1691*(1-'Inputs'!$B$15))</x:f>
        <x:v>0</x:v>
      </x:c>
      <x:c r="O1691" s="78" t="n">
        <x:f>H1691-N1691</x:f>
        <x:v>50566765.658633254</x:v>
      </x:c>
      <x:c r="P1691" s="78" t="n">
        <x:f>I1691+L1691*(1-'Inputs'!$B$17)</x:f>
        <x:v>224.22329061359773</x:v>
      </x:c>
      <x:c r="Q1691" s="78" t="n">
        <x:f>IF(J1691&gt;0,M1691/J1691,0)</x:f>
        <x:v>0</x:v>
      </x:c>
      <x:c r="R1691" s="78" t="n">
        <x:f>IF(B1691='Inputs'!$H$48,'Inputs'!$B$27*'Inputs'!$I$48,0)</x:f>
        <x:v>0</x:v>
      </x:c>
      <x:c r="S1691" s="78" t="n">
        <x:f>Q1691+G1691+R1691</x:f>
        <x:v>218899.21303246444</x:v>
      </x:c>
      <x:c r="T1691" s="78" t="n">
        <x:f>P1691*(S1691*(1-'Inputs'!$B$15))/(O1691+S1691*(1-'Inputs'!$B$15))</x:f>
        <x:v>0.9568364118191195</x:v>
      </x:c>
      <x:c r="U1691" s="78" t="n">
        <x:f>O1691+S1691*(1-'Inputs'!$B$17)</x:f>
        <x:v>50784783.98952072</x:v>
      </x:c>
      <x:c r="V1691" s="78" t="n">
        <x:f>P1691-T1691</x:f>
        <x:v>223.2664542017786</x:v>
      </x:c>
      <x:c r="W1691" s="79" t="n">
        <x:f>IF(U1691&gt;0,V1691/U1691,0)</x:f>
        <x:v>0.0000043963257626112755</x:v>
      </x:c>
      <x:c r="X1691" s="80" t="n">
        <x:f>W1691*('Inputs'!$B$6-AC1691)</x:f>
        <x:v>4364.855027173761</x:v>
      </x:c>
      <x:c r="Y1691" s="80" t="n">
        <x:f>2*V1691</x:f>
        <x:v>446.5329084035572</x:v>
      </x:c>
      <x:c r="Z1691" s="80" t="n">
        <x:f>K1691*'Inputs'!$B$16+(G1691+R1691)*J1691*'Inputs'!$B$16</x:f>
        <x:v>0.813027707144438</x:v>
      </x:c>
      <x:c r="AA1691" s="80" t="n">
        <x:f>K1691*(1+'Inputs'!$E$48)/2*'Inputs'!$B$17</x:f>
        <x:v>0.2706921013443836</x:v>
      </x:c>
      <x:c r="AB1691" s="78" t="n">
        <x:f>(IF(J1691&gt;0,K1691*(1-'Inputs'!$E$48)/2/J1691,0)+G1691+R1691)*'Inputs'!$B$17</x:f>
        <x:v>61927.27931840016</x:v>
      </x:c>
      <x:c r="AC1691" s="78" t="n">
        <x:f>AC1690+AB1691</x:f>
        <x:v>7158417.537016684</x:v>
      </x:c>
      <x:c r="AD1691" s="80" t="n">
        <x:f>Z1691/(1+'Inputs'!$C$48)</x:f>
        <x:v>0.6504221657155503</x:v>
      </x:c>
      <x:c r="AE1691" s="80" t="n">
        <x:f>Z1691-AD1691</x:f>
        <x:v>0.1626055414288876</x:v>
      </x:c>
      <x:c r="AF1691" s="80" t="n">
        <x:f>D1691*W1691</x:f>
        <x:v>1.2021267708810386</x:v>
      </x:c>
      <x:c r="AG1691" s="80" t="n">
        <x:f>C1691*W1691</x:f>
        <x:v>0.7012406163472888</x:v>
      </x:c>
      <x:c r="AH1691" s="80" t="n">
        <x:f>2*'Inputs'!$B$8*'Inputs'!$C$48</x:f>
        <x:v>1250</x:v>
      </x:c>
      <x:c r="AI1691" s="81" t="n">
        <x:f>IF(AH1691&gt;0,(AE1691+AF1691)/AH1691*365,0)</x:f>
        <x:v>0.39850183519449844</x:v>
      </x:c>
      <x:c r="AJ1691" s="81" t="n">
        <x:f>IF('Inputs'!$B$48&gt;0,AG1691/('Inputs'!$B$19*'Inputs'!$B$48)*365,0)</x:f>
        <x:v>0.10238112998670418</x:v>
      </x:c>
      <x:c r="AK1691" s="81" t="n">
        <x:f>W1691/MAX($W$1464:W1691)-1</x:f>
        <x:v>-0.9948299951645855</x:v>
      </x:c>
      <x:c r="AL1691" s="83" t="n">
        <x:f>'Inputs'!$B$48</x:f>
        <x:v>0.25</x:v>
      </x:c>
      <x:c r="AM1691" s="83" t="n">
        <x:f>'Inputs'!$C$48</x:f>
        <x:v>0.25</x:v>
      </x:c>
      <x:c r="AN1691" s="83" t="n">
        <x:f>'Inputs'!$D$48</x:f>
        <x:v>0.3</x:v>
      </x:c>
      <x:c r="AO1691" s="81" t="n">
        <x:f>'Inputs'!$E$48</x:f>
        <x:v>0</x:v>
      </x:c>
    </x:row>
    <x:row r="1692">
      <x:c r="A1692" s="59" t="str">
        <x:v>Low participation</x:v>
      </x:c>
      <x:c r="B1692" s="59" t="n">
        <x:v>229</x:v>
      </x:c>
      <x:c r="C1692" s="78" t="n">
        <x:f>(('Inputs'!$B$29*(3*229*'Inputs'!$B$12-229^2)/(2*'Inputs'!$B$12^2))-('Inputs'!$B$29*(3*228*'Inputs'!$B$12-228^2)/(2*'Inputs'!$B$12^2)))*'Inputs'!$B$48</x:f>
        <x:v>159424.7865453139</x:v>
      </x:c>
      <x:c r="D1692" s="78" t="n">
        <x:f>IF('Inputs'!$C$48&gt;0,('Inputs'!$B$30*(3*229*'Inputs'!$B$12-229^2)/(2*'Inputs'!$B$12^2))-('Inputs'!$B$30*(3*228*'Inputs'!$B$12-228^2)/(2*'Inputs'!$B$12^2)),0)</x:f>
        <x:v>273299.63407769054</x:v>
      </x:c>
      <x:c r="E1692" s="78" t="n">
        <x:f>C1692+D1692</x:f>
        <x:v>432724.42062300444</x:v>
      </x:c>
      <x:c r="F1692" s="78" t="n">
        <x:f>'Inputs'!$B$13*E1692+(1-'Inputs'!$B$13)/'Inputs'!$B$14*SUM(E1637:E1692)</x:f>
        <x:v>437577.81713266997</x:v>
      </x:c>
      <x:c r="G1692" s="78" t="n">
        <x:f>F1692*'Inputs'!$F$48</x:f>
        <x:v>218788.90856633498</x:v>
      </x:c>
      <x:c r="H1692" s="78" t="n">
        <x:f>U1691</x:f>
        <x:v>50784783.98952072</x:v>
      </x:c>
      <x:c r="I1692" s="78" t="n">
        <x:f>V1691</x:f>
        <x:v>223.2664542017786</x:v>
      </x:c>
      <x:c r="J1692" s="79" t="n">
        <x:f>IF(H1692&gt;0,I1692/H1692,0)</x:f>
        <x:v>0.0000043963257626112755</x:v>
      </x:c>
      <x:c r="K1692" s="80" t="n">
        <x:f>(H1692*J1692+I1692)*'Inputs'!$D$48*(1+'Inputs'!$G$48)^(B1692/30)</x:f>
        <x:v>133.95987252106713</x:v>
      </x:c>
      <x:c r="L1692" s="80" t="n">
        <x:f>MAX(0,K1692*'Inputs'!$E$48)</x:f>
        <x:v>0</x:v>
      </x:c>
      <x:c r="M1692" s="80" t="n">
        <x:f>MAX(0,-K1692*'Inputs'!$E$48)</x:f>
        <x:v>0</x:v>
      </x:c>
      <x:c r="N1692" s="78" t="n">
        <x:f>H1692*(L1692*(1-'Inputs'!$B$15))/(I1692+L1692*(1-'Inputs'!$B$15))</x:f>
        <x:v>0</x:v>
      </x:c>
      <x:c r="O1692" s="78" t="n">
        <x:f>H1692-N1692</x:f>
        <x:v>50784783.98952072</x:v>
      </x:c>
      <x:c r="P1692" s="78" t="n">
        <x:f>I1692+L1692*(1-'Inputs'!$B$17)</x:f>
        <x:v>223.2664542017786</x:v>
      </x:c>
      <x:c r="Q1692" s="78" t="n">
        <x:f>IF(J1692&gt;0,M1692/J1692,0)</x:f>
        <x:v>0</x:v>
      </x:c>
      <x:c r="R1692" s="78" t="n">
        <x:f>IF(B1692='Inputs'!$H$48,'Inputs'!$B$27*'Inputs'!$I$48,0)</x:f>
        <x:v>0</x:v>
      </x:c>
      <x:c r="S1692" s="78" t="n">
        <x:f>Q1692+G1692+R1692</x:f>
        <x:v>218788.90856633498</x:v>
      </x:c>
      <x:c r="T1692" s="78" t="n">
        <x:f>P1692*(S1692*(1-'Inputs'!$B$15))/(O1692+S1692*(1-'Inputs'!$B$15))</x:f>
        <x:v>0.9482044769451804</x:v>
      </x:c>
      <x:c r="U1692" s="78" t="n">
        <x:f>O1692+S1692*(1-'Inputs'!$B$17)</x:f>
        <x:v>51002692.459823206</x:v>
      </x:c>
      <x:c r="V1692" s="78" t="n">
        <x:f>P1692-T1692</x:f>
        <x:v>222.3182497248334</x:v>
      </x:c>
      <x:c r="W1692" s="79" t="n">
        <x:f>IF(U1692&gt;0,V1692/U1692,0)</x:f>
        <x:v>0.000004358951243602719</x:v>
      </x:c>
      <x:c r="X1692" s="80" t="n">
        <x:f>W1692*('Inputs'!$B$6-AC1692)</x:f>
        <x:v>4327.476967239954</x:v>
      </x:c>
      <x:c r="Y1692" s="80" t="n">
        <x:f>2*V1692</x:f>
        <x:v>444.6364994496668</x:v>
      </x:c>
      <x:c r="Z1692" s="80" t="n">
        <x:f>K1692*'Inputs'!$B$16+(G1692+R1692)*J1692*'Inputs'!$B$16</x:f>
        <x:v>0.8095304390182255</x:v>
      </x:c>
      <x:c r="AA1692" s="80" t="n">
        <x:f>K1692*(1+'Inputs'!$E$48)/2*'Inputs'!$B$17</x:f>
        <x:v>0.26953696684319345</x:v>
      </x:c>
      <x:c r="AB1692" s="78" t="n">
        <x:f>(IF(J1692&gt;0,K1692*(1-'Inputs'!$E$48)/2/J1692,0)+G1692+R1692)*'Inputs'!$B$17</x:f>
        <x:v>62190.03664153944</x:v>
      </x:c>
      <x:c r="AC1692" s="78" t="n">
        <x:f>AC1691+AB1692</x:f>
        <x:v>7220607.573658223</x:v>
      </x:c>
      <x:c r="AD1692" s="80" t="n">
        <x:f>Z1692/(1+'Inputs'!$C$48)</x:f>
        <x:v>0.6476243512145804</x:v>
      </x:c>
      <x:c r="AE1692" s="80" t="n">
        <x:f>Z1692-AD1692</x:f>
        <x:v>0.16190608780364513</x:v>
      </x:c>
      <x:c r="AF1692" s="80" t="n">
        <x:f>D1692*W1692</x:f>
        <x:v>1.1912997798391174</x:v>
      </x:c>
      <x:c r="AG1692" s="80" t="n">
        <x:f>C1692*W1692</x:f>
        <x:v>0.694924871572794</x:v>
      </x:c>
      <x:c r="AH1692" s="80" t="n">
        <x:f>2*'Inputs'!$B$8*'Inputs'!$C$48</x:f>
        <x:v>1250</x:v>
      </x:c>
      <x:c r="AI1692" s="81" t="n">
        <x:f>IF(AH1692&gt;0,(AE1692+AF1692)/AH1692*365,0)</x:f>
        <x:v>0.39513611335168664</x:v>
      </x:c>
      <x:c r="AJ1692" s="81" t="n">
        <x:f>IF('Inputs'!$B$48&gt;0,AG1692/('Inputs'!$B$19*'Inputs'!$B$48)*365,0)</x:f>
        <x:v>0.10145903124962793</x:v>
      </x:c>
      <x:c r="AK1692" s="81" t="n">
        <x:f>W1692/MAX($W$1464:W1692)-1</x:f>
        <x:v>-0.9948739469676204</x:v>
      </x:c>
      <x:c r="AL1692" s="83" t="n">
        <x:f>'Inputs'!$B$48</x:f>
        <x:v>0.25</x:v>
      </x:c>
      <x:c r="AM1692" s="83" t="n">
        <x:f>'Inputs'!$C$48</x:f>
        <x:v>0.25</x:v>
      </x:c>
      <x:c r="AN1692" s="83" t="n">
        <x:f>'Inputs'!$D$48</x:f>
        <x:v>0.3</x:v>
      </x:c>
      <x:c r="AO1692" s="81" t="n">
        <x:f>'Inputs'!$E$48</x:f>
        <x:v>0</x:v>
      </x:c>
    </x:row>
    <x:row r="1693">
      <x:c r="A1693" s="59" t="str">
        <x:v>Low participation</x:v>
      </x:c>
      <x:c r="B1693" s="59" t="n">
        <x:v>230</x:v>
      </x:c>
      <x:c r="C1693" s="78" t="n">
        <x:f>(('Inputs'!$B$29*(3*230*'Inputs'!$B$12-230^2)/(2*'Inputs'!$B$12^2))-('Inputs'!$B$29*(3*229*'Inputs'!$B$12-229^2)/(2*'Inputs'!$B$12^2)))*'Inputs'!$B$48</x:f>
        <x:v>159343.50957027823</x:v>
      </x:c>
      <x:c r="D1693" s="78" t="n">
        <x:f>IF('Inputs'!$C$48&gt;0,('Inputs'!$B$30*(3*230*'Inputs'!$B$12-230^2)/(2*'Inputs'!$B$12^2))-('Inputs'!$B$30*(3*229*'Inputs'!$B$12-229^2)/(2*'Inputs'!$B$12^2)),0)</x:f>
        <x:v>273160.3021204695</x:v>
      </x:c>
      <x:c r="E1693" s="78" t="n">
        <x:f>C1693+D1693</x:f>
        <x:v>432503.81169074774</x:v>
      </x:c>
      <x:c r="F1693" s="78" t="n">
        <x:f>'Inputs'!$B$13*E1693+(1-'Inputs'!$B$13)/'Inputs'!$B$14*SUM(E1638:E1693)</x:f>
        <x:v>437357.2082004127</x:v>
      </x:c>
      <x:c r="G1693" s="78" t="n">
        <x:f>F1693*'Inputs'!$F$48</x:f>
        <x:v>218678.60410020634</x:v>
      </x:c>
      <x:c r="H1693" s="78" t="n">
        <x:f>U1692</x:f>
        <x:v>51002692.459823206</x:v>
      </x:c>
      <x:c r="I1693" s="78" t="n">
        <x:f>V1692</x:f>
        <x:v>222.3182497248334</x:v>
      </x:c>
      <x:c r="J1693" s="79" t="n">
        <x:f>IF(H1693&gt;0,I1693/H1693,0)</x:f>
        <x:v>0.000004358951243602719</x:v>
      </x:c>
      <x:c r="K1693" s="80" t="n">
        <x:f>(H1693*J1693+I1693)*'Inputs'!$D$48*(1+'Inputs'!$G$48)^(B1693/30)</x:f>
        <x:v>133.39094983490003</x:v>
      </x:c>
      <x:c r="L1693" s="80" t="n">
        <x:f>MAX(0,K1693*'Inputs'!$E$48)</x:f>
        <x:v>0</x:v>
      </x:c>
      <x:c r="M1693" s="80" t="n">
        <x:f>MAX(0,-K1693*'Inputs'!$E$48)</x:f>
        <x:v>0</x:v>
      </x:c>
      <x:c r="N1693" s="78" t="n">
        <x:f>H1693*(L1693*(1-'Inputs'!$B$15))/(I1693+L1693*(1-'Inputs'!$B$15))</x:f>
        <x:v>0</x:v>
      </x:c>
      <x:c r="O1693" s="78" t="n">
        <x:f>H1693-N1693</x:f>
        <x:v>51002692.459823206</x:v>
      </x:c>
      <x:c r="P1693" s="78" t="n">
        <x:f>I1693+L1693*(1-'Inputs'!$B$17)</x:f>
        <x:v>222.3182497248334</x:v>
      </x:c>
      <x:c r="Q1693" s="78" t="n">
        <x:f>IF(J1693&gt;0,M1693/J1693,0)</x:f>
        <x:v>0</x:v>
      </x:c>
      <x:c r="R1693" s="78" t="n">
        <x:f>IF(B1693='Inputs'!$H$48,'Inputs'!$B$27*'Inputs'!$I$48,0)</x:f>
        <x:v>0</x:v>
      </x:c>
      <x:c r="S1693" s="78" t="n">
        <x:f>Q1693+G1693+R1693</x:f>
        <x:v>218678.60410020634</x:v>
      </x:c>
      <x:c r="T1693" s="78" t="n">
        <x:f>P1693*(S1693*(1-'Inputs'!$B$15))/(O1693+S1693*(1-'Inputs'!$B$15))</x:f>
        <x:v>0.9396885707813395</x:v>
      </x:c>
      <x:c r="U1693" s="78" t="n">
        <x:f>O1693+S1693*(1-'Inputs'!$B$17)</x:f>
        <x:v>51220491.06954072</x:v>
      </x:c>
      <x:c r="V1693" s="78" t="n">
        <x:f>P1693-T1693</x:f>
        <x:v>221.37856115405208</x:v>
      </x:c>
      <x:c r="W1693" s="79" t="n">
        <x:f>IF(U1693&gt;0,V1693/U1693,0)</x:f>
        <x:v>0.000004322070259995989</x:v>
      </x:c>
      <x:c r="X1693" s="80" t="n">
        <x:f>W1693*('Inputs'!$B$6-AC1693)</x:f>
        <x:v>4290.59236195256</x:v>
      </x:c>
      <x:c r="Y1693" s="80" t="n">
        <x:f>2*V1693</x:f>
        <x:v>442.75712230810416</x:v>
      </x:c>
      <x:c r="Z1693" s="80" t="n">
        <x:f>K1693*'Inputs'!$B$16+(G1693+R1693)*J1693*'Inputs'!$B$16</x:f>
        <x:v>0.8060649552491517</x:v>
      </x:c>
      <x:c r="AA1693" s="80" t="n">
        <x:f>K1693*(1+'Inputs'!$E$48)/2*'Inputs'!$B$17</x:f>
        <x:v>0.26839225318893367</x:v>
      </x:c>
      <x:c r="AB1693" s="78" t="n">
        <x:f>(IF(J1693&gt;0,K1693*(1-'Inputs'!$E$48)/2/J1693,0)+G1693+R1693)*'Inputs'!$B$17</x:f>
        <x:v>62452.661336205914</x:v>
      </x:c>
      <x:c r="AC1693" s="78" t="n">
        <x:f>AC1692+AB1693</x:f>
        <x:v>7283060.234994429</x:v>
      </x:c>
      <x:c r="AD1693" s="80" t="n">
        <x:f>Z1693/(1+'Inputs'!$C$48)</x:f>
        <x:v>0.6448519641993213</x:v>
      </x:c>
      <x:c r="AE1693" s="80" t="n">
        <x:f>Z1693-AD1693</x:f>
        <x:v>0.16121299104983033</x:v>
      </x:c>
      <x:c r="AF1693" s="80" t="n">
        <x:f>D1693*W1693</x:f>
        <x:v>1.1806180180064005</x:v>
      </x:c>
      <x:c r="AG1693" s="80" t="n">
        <x:f>C1693*W1693</x:f>
        <x:v>0.6886938438370858</x:v>
      </x:c>
      <x:c r="AH1693" s="80" t="n">
        <x:f>2*'Inputs'!$B$8*'Inputs'!$C$48</x:f>
        <x:v>1250</x:v>
      </x:c>
      <x:c r="AI1693" s="81" t="n">
        <x:f>IF(AH1693&gt;0,(AE1693+AF1693)/AH1693*365,0)</x:f>
        <x:v>0.39181465464441945</x:v>
      </x:c>
      <x:c r="AJ1693" s="81" t="n">
        <x:f>IF('Inputs'!$B$48&gt;0,AG1693/('Inputs'!$B$19*'Inputs'!$B$48)*365,0)</x:f>
        <x:v>0.10054930120021452</x:v>
      </x:c>
      <x:c r="AK1693" s="81" t="n">
        <x:f>W1693/MAX($W$1464:W1693)-1</x:f>
        <x:v>-0.9949173183813594</x:v>
      </x:c>
      <x:c r="AL1693" s="83" t="n">
        <x:f>'Inputs'!$B$48</x:f>
        <x:v>0.25</x:v>
      </x:c>
      <x:c r="AM1693" s="83" t="n">
        <x:f>'Inputs'!$C$48</x:f>
        <x:v>0.25</x:v>
      </x:c>
      <x:c r="AN1693" s="83" t="n">
        <x:f>'Inputs'!$D$48</x:f>
        <x:v>0.3</x:v>
      </x:c>
      <x:c r="AO1693" s="81" t="n">
        <x:f>'Inputs'!$E$48</x:f>
        <x:v>0</x:v>
      </x:c>
    </x:row>
    <x:row r="1694">
      <x:c r="A1694" s="59" t="str">
        <x:v>Low participation</x:v>
      </x:c>
      <x:c r="B1694" s="59" t="n">
        <x:v>231</x:v>
      </x:c>
      <x:c r="C1694" s="78" t="n">
        <x:f>(('Inputs'!$B$29*(3*231*'Inputs'!$B$12-231^2)/(2*'Inputs'!$B$12^2))-('Inputs'!$B$29*(3*230*'Inputs'!$B$12-230^2)/(2*'Inputs'!$B$12^2)))*'Inputs'!$B$48</x:f>
        <x:v>159262.2325952351</x:v>
      </x:c>
      <x:c r="D1694" s="78" t="n">
        <x:f>IF('Inputs'!$C$48&gt;0,('Inputs'!$B$30*(3*231*'Inputs'!$B$12-231^2)/(2*'Inputs'!$B$12^2))-('Inputs'!$B$30*(3*230*'Inputs'!$B$12-230^2)/(2*'Inputs'!$B$12^2)),0)</x:f>
        <x:v>273020.97016325593</x:v>
      </x:c>
      <x:c r="E1694" s="78" t="n">
        <x:f>C1694+D1694</x:f>
        <x:v>432283.20275849104</x:v>
      </x:c>
      <x:c r="F1694" s="78" t="n">
        <x:f>'Inputs'!$B$13*E1694+(1-'Inputs'!$B$13)/'Inputs'!$B$14*SUM(E1639:E1694)</x:f>
        <x:v>437136.59926815535</x:v>
      </x:c>
      <x:c r="G1694" s="78" t="n">
        <x:f>F1694*'Inputs'!$F$48</x:f>
        <x:v>218568.29963407767</x:v>
      </x:c>
      <x:c r="H1694" s="78" t="n">
        <x:f>U1693</x:f>
        <x:v>51220491.06954072</x:v>
      </x:c>
      <x:c r="I1694" s="78" t="n">
        <x:f>V1693</x:f>
        <x:v>221.37856115405208</x:v>
      </x:c>
      <x:c r="J1694" s="79" t="n">
        <x:f>IF(H1694&gt;0,I1694/H1694,0)</x:f>
        <x:v>0.000004322070259995989</x:v>
      </x:c>
      <x:c r="K1694" s="80" t="n">
        <x:f>(H1694*J1694+I1694)*'Inputs'!$D$48*(1+'Inputs'!$G$48)^(B1694/30)</x:f>
        <x:v>132.82713669243125</x:v>
      </x:c>
      <x:c r="L1694" s="80" t="n">
        <x:f>MAX(0,K1694*'Inputs'!$E$48)</x:f>
        <x:v>0</x:v>
      </x:c>
      <x:c r="M1694" s="80" t="n">
        <x:f>MAX(0,-K1694*'Inputs'!$E$48)</x:f>
        <x:v>0</x:v>
      </x:c>
      <x:c r="N1694" s="78" t="n">
        <x:f>H1694*(L1694*(1-'Inputs'!$B$15))/(I1694+L1694*(1-'Inputs'!$B$15))</x:f>
        <x:v>0</x:v>
      </x:c>
      <x:c r="O1694" s="78" t="n">
        <x:f>H1694-N1694</x:f>
        <x:v>51220491.06954072</x:v>
      </x:c>
      <x:c r="P1694" s="78" t="n">
        <x:f>I1694+L1694*(1-'Inputs'!$B$17)</x:f>
        <x:v>221.37856115405208</x:v>
      </x:c>
      <x:c r="Q1694" s="78" t="n">
        <x:f>IF(J1694&gt;0,M1694/J1694,0)</x:f>
        <x:v>0</x:v>
      </x:c>
      <x:c r="R1694" s="78" t="n">
        <x:f>IF(B1694='Inputs'!$H$48,'Inputs'!$B$27*'Inputs'!$I$48,0)</x:f>
        <x:v>0</x:v>
      </x:c>
      <x:c r="S1694" s="78" t="n">
        <x:f>Q1694+G1694+R1694</x:f>
        <x:v>218568.29963407767</x:v>
      </x:c>
      <x:c r="T1694" s="78" t="n">
        <x:f>P1694*(S1694*(1-'Inputs'!$B$15))/(O1694+S1694*(1-'Inputs'!$B$15))</x:f>
        <x:v>0.9312866217777709</x:v>
      </x:c>
      <x:c r="U1694" s="78" t="n">
        <x:f>O1694+S1694*(1-'Inputs'!$B$17)</x:f>
        <x:v>51438179.818673246</x:v>
      </x:c>
      <x:c r="V1694" s="78" t="n">
        <x:f>P1694-T1694</x:f>
        <x:v>220.44727453227432</x:v>
      </x:c>
      <x:c r="W1694" s="79" t="n">
        <x:f>IF(U1694&gt;0,V1694/U1694,0)</x:f>
        <x:v>0.000004285674090906437</x:v>
      </x:c>
      <x:c r="X1694" s="80" t="n">
        <x:f>W1694*('Inputs'!$B$6-AC1694)</x:f>
        <x:v>4254.192491646767</x:v>
      </x:c>
      <x:c r="Y1694" s="80" t="n">
        <x:f>2*V1694</x:f>
        <x:v>440.89454906454864</x:v>
      </x:c>
      <x:c r="Z1694" s="80" t="n">
        <x:f>K1694*'Inputs'!$B$16+(G1694+R1694)*J1694*'Inputs'!$B$16</x:f>
        <x:v>0.8026308254403456</x:v>
      </x:c>
      <x:c r="AA1694" s="80" t="n">
        <x:f>K1694*(1+'Inputs'!$E$48)/2*'Inputs'!$B$17</x:f>
        <x:v>0.26725782030670275</x:v>
      </x:c>
      <x:c r="AB1694" s="78" t="n">
        <x:f>(IF(J1694&gt;0,K1694*(1-'Inputs'!$E$48)/2/J1694,0)+G1694+R1694)*'Inputs'!$B$17</x:f>
        <x:v>62715.15340239958</x:v>
      </x:c>
      <x:c r="AC1694" s="78" t="n">
        <x:f>AC1693+AB1694</x:f>
        <x:v>7345775.388396828</x:v>
      </x:c>
      <x:c r="AD1694" s="80" t="n">
        <x:f>Z1694/(1+'Inputs'!$C$48)</x:f>
        <x:v>0.6421046603522764</x:v>
      </x:c>
      <x:c r="AE1694" s="80" t="n">
        <x:f>Z1694-AD1694</x:f>
        <x:v>0.16052616508806916</x:v>
      </x:c>
      <x:c r="AF1694" s="80" t="n">
        <x:f>D1694*W1694</x:f>
        <x:v>1.1700788981028054</x:v>
      </x:c>
      <x:c r="AG1694" s="80" t="n">
        <x:f>C1694*W1694</x:f>
        <x:v>0.6825460238933138</x:v>
      </x:c>
      <x:c r="AH1694" s="80" t="n">
        <x:f>2*'Inputs'!$B$8*'Inputs'!$C$48</x:f>
        <x:v>1250</x:v>
      </x:c>
      <x:c r="AI1694" s="81" t="n">
        <x:f>IF(AH1694&gt;0,(AE1694+AF1694)/AH1694*365,0)</x:f>
        <x:v>0.3885366784517354</x:v>
      </x:c>
      <x:c r="AJ1694" s="81" t="n">
        <x:f>IF('Inputs'!$B$48&gt;0,AG1694/('Inputs'!$B$19*'Inputs'!$B$48)*365,0)</x:f>
        <x:v>0.0996517194884238</x:v>
      </x:c>
      <x:c r="AK1694" s="81" t="n">
        <x:f>W1694/MAX($W$1464:W1694)-1</x:f>
        <x:v>-0.9949601196614155</x:v>
      </x:c>
      <x:c r="AL1694" s="83" t="n">
        <x:f>'Inputs'!$B$48</x:f>
        <x:v>0.25</x:v>
      </x:c>
      <x:c r="AM1694" s="83" t="n">
        <x:f>'Inputs'!$C$48</x:f>
        <x:v>0.25</x:v>
      </x:c>
      <x:c r="AN1694" s="83" t="n">
        <x:f>'Inputs'!$D$48</x:f>
        <x:v>0.3</x:v>
      </x:c>
      <x:c r="AO1694" s="81" t="n">
        <x:f>'Inputs'!$E$48</x:f>
        <x:v>0</x:v>
      </x:c>
    </x:row>
    <x:row r="1695">
      <x:c r="A1695" s="59" t="str">
        <x:v>Low participation</x:v>
      </x:c>
      <x:c r="B1695" s="59" t="n">
        <x:v>232</x:v>
      </x:c>
      <x:c r="C1695" s="78" t="n">
        <x:f>(('Inputs'!$B$29*(3*232*'Inputs'!$B$12-232^2)/(2*'Inputs'!$B$12^2))-('Inputs'!$B$29*(3*231*'Inputs'!$B$12-231^2)/(2*'Inputs'!$B$12^2)))*'Inputs'!$B$48</x:f>
        <x:v>159180.955620192</x:v>
      </x:c>
      <x:c r="D1695" s="78" t="n">
        <x:f>IF('Inputs'!$C$48&gt;0,('Inputs'!$B$30*(3*232*'Inputs'!$B$12-232^2)/(2*'Inputs'!$B$12^2))-('Inputs'!$B$30*(3*231*'Inputs'!$B$12-231^2)/(2*'Inputs'!$B$12^2)),0)</x:f>
        <x:v>272881.63820604235</x:v>
      </x:c>
      <x:c r="E1695" s="78" t="n">
        <x:f>C1695+D1695</x:f>
        <x:v>432062.59382623434</x:v>
      </x:c>
      <x:c r="F1695" s="78" t="n">
        <x:f>'Inputs'!$B$13*E1695+(1-'Inputs'!$B$13)/'Inputs'!$B$14*SUM(E1640:E1695)</x:f>
        <x:v>436915.990335898</x:v>
      </x:c>
      <x:c r="G1695" s="78" t="n">
        <x:f>F1695*'Inputs'!$F$48</x:f>
        <x:v>218457.995167949</x:v>
      </x:c>
      <x:c r="H1695" s="78" t="n">
        <x:f>U1694</x:f>
        <x:v>51438179.818673246</x:v>
      </x:c>
      <x:c r="I1695" s="78" t="n">
        <x:f>V1694</x:f>
        <x:v>220.44727453227432</x:v>
      </x:c>
      <x:c r="J1695" s="79" t="n">
        <x:f>IF(H1695&gt;0,I1695/H1695,0)</x:f>
        <x:v>0.000004285674090906437</x:v>
      </x:c>
      <x:c r="K1695" s="80" t="n">
        <x:f>(H1695*J1695+I1695)*'Inputs'!$D$48*(1+'Inputs'!$G$48)^(B1695/30)</x:f>
        <x:v>132.2683647193646</x:v>
      </x:c>
      <x:c r="L1695" s="80" t="n">
        <x:f>MAX(0,K1695*'Inputs'!$E$48)</x:f>
        <x:v>0</x:v>
      </x:c>
      <x:c r="M1695" s="80" t="n">
        <x:f>MAX(0,-K1695*'Inputs'!$E$48)</x:f>
        <x:v>0</x:v>
      </x:c>
      <x:c r="N1695" s="78" t="n">
        <x:f>H1695*(L1695*(1-'Inputs'!$B$15))/(I1695+L1695*(1-'Inputs'!$B$15))</x:f>
        <x:v>0</x:v>
      </x:c>
      <x:c r="O1695" s="78" t="n">
        <x:f>H1695-N1695</x:f>
        <x:v>51438179.818673246</x:v>
      </x:c>
      <x:c r="P1695" s="78" t="n">
        <x:f>I1695+L1695*(1-'Inputs'!$B$17)</x:f>
        <x:v>220.44727453227432</x:v>
      </x:c>
      <x:c r="Q1695" s="78" t="n">
        <x:f>IF(J1695&gt;0,M1695/J1695,0)</x:f>
        <x:v>0</x:v>
      </x:c>
      <x:c r="R1695" s="78" t="n">
        <x:f>IF(B1695='Inputs'!$H$48,'Inputs'!$B$27*'Inputs'!$I$48,0)</x:f>
        <x:v>0</x:v>
      </x:c>
      <x:c r="S1695" s="78" t="n">
        <x:f>Q1695+G1695+R1695</x:f>
        <x:v>218457.995167949</x:v>
      </x:c>
      <x:c r="T1695" s="78" t="n">
        <x:f>P1695*(S1695*(1-'Inputs'!$B$15))/(O1695+S1695*(1-'Inputs'!$B$15))</x:f>
        <x:v>0.9229966044231326</x:v>
      </x:c>
      <x:c r="U1695" s="78" t="n">
        <x:f>O1695+S1695*(1-'Inputs'!$B$17)</x:f>
        <x:v>51655758.7072208</x:v>
      </x:c>
      <x:c r="V1695" s="78" t="n">
        <x:f>P1695-T1695</x:f>
        <x:v>219.5242779278512</x:v>
      </x:c>
      <x:c r="W1695" s="79" t="n">
        <x:f>IF(U1695&gt;0,V1695/U1695,0)</x:f>
        <x:v>0.000004249754207891725</x:v>
      </x:c>
      <x:c r="X1695" s="80" t="n">
        <x:f>W1695*('Inputs'!$B$6-AC1695)</x:f>
        <x:v>4218.268829074464</x:v>
      </x:c>
      <x:c r="Y1695" s="80" t="n">
        <x:f>2*V1695</x:f>
        <x:v>439.0485558557024</x:v>
      </x:c>
      <x:c r="Z1695" s="80" t="n">
        <x:f>K1695*'Inputs'!$B$16+(G1695+R1695)*J1695*'Inputs'!$B$16</x:f>
        <x:v>0.7992276269352434</x:v>
      </x:c>
      <x:c r="AA1695" s="80" t="n">
        <x:f>K1695*(1+'Inputs'!$E$48)/2*'Inputs'!$B$17</x:f>
        <x:v>0.266133530622464</x:v>
      </x:c>
      <x:c r="AB1695" s="78" t="n">
        <x:f>(IF(J1695&gt;0,K1695*(1-'Inputs'!$E$48)/2/J1695,0)+G1695+R1695)*'Inputs'!$B$17</x:f>
        <x:v>62977.51284012042</x:v>
      </x:c>
      <x:c r="AC1695" s="78" t="n">
        <x:f>AC1694+AB1695</x:f>
        <x:v>7408752.901236949</x:v>
      </x:c>
      <x:c r="AD1695" s="80" t="n">
        <x:f>Z1695/(1+'Inputs'!$C$48)</x:f>
        <x:v>0.6393821015481947</x:v>
      </x:c>
      <x:c r="AE1695" s="80" t="n">
        <x:f>Z1695-AD1695</x:f>
        <x:v>0.15984552538704866</x:v>
      </x:c>
      <x:c r="AF1695" s="80" t="n">
        <x:f>D1695*W1695</x:f>
        <x:v>1.1596798902225158</x:v>
      </x:c>
      <x:c r="AG1695" s="80" t="n">
        <x:f>C1695*W1695</x:f>
        <x:v>0.6764799359631368</x:v>
      </x:c>
      <x:c r="AH1695" s="80" t="n">
        <x:f>2*'Inputs'!$B$8*'Inputs'!$C$48</x:f>
        <x:v>1250</x:v>
      </x:c>
      <x:c r="AI1695" s="81" t="n">
        <x:f>IF(AH1695&gt;0,(AE1695+AF1695)/AH1695*365,0)</x:f>
        <x:v>0.3853014213579929</x:v>
      </x:c>
      <x:c r="AJ1695" s="81" t="n">
        <x:f>IF('Inputs'!$B$48&gt;0,AG1695/('Inputs'!$B$19*'Inputs'!$B$48)*365,0)</x:f>
        <x:v>0.09876607065061797</x:v>
      </x:c>
      <x:c r="AK1695" s="81" t="n">
        <x:f>W1695/MAX($W$1464:W1695)-1</x:f>
        <x:v>-0.9950023608370929</x:v>
      </x:c>
      <x:c r="AL1695" s="83" t="n">
        <x:f>'Inputs'!$B$48</x:f>
        <x:v>0.25</x:v>
      </x:c>
      <x:c r="AM1695" s="83" t="n">
        <x:f>'Inputs'!$C$48</x:f>
        <x:v>0.25</x:v>
      </x:c>
      <x:c r="AN1695" s="83" t="n">
        <x:f>'Inputs'!$D$48</x:f>
        <x:v>0.3</x:v>
      </x:c>
      <x:c r="AO1695" s="81" t="n">
        <x:f>'Inputs'!$E$48</x:f>
        <x:v>0</x:v>
      </x:c>
    </x:row>
    <x:row r="1696">
      <x:c r="A1696" s="59" t="str">
        <x:v>Low participation</x:v>
      </x:c>
      <x:c r="B1696" s="59" t="n">
        <x:v>233</x:v>
      </x:c>
      <x:c r="C1696" s="78" t="n">
        <x:f>(('Inputs'!$B$29*(3*233*'Inputs'!$B$12-233^2)/(2*'Inputs'!$B$12^2))-('Inputs'!$B$29*(3*232*'Inputs'!$B$12-232^2)/(2*'Inputs'!$B$12^2)))*'Inputs'!$B$48</x:f>
        <x:v>159099.67864514887</x:v>
      </x:c>
      <x:c r="D1696" s="78" t="n">
        <x:f>IF('Inputs'!$C$48&gt;0,('Inputs'!$B$30*(3*233*'Inputs'!$B$12-233^2)/(2*'Inputs'!$B$12^2))-('Inputs'!$B$30*(3*232*'Inputs'!$B$12-232^2)/(2*'Inputs'!$B$12^2)),0)</x:f>
        <x:v>272742.30624882877</x:v>
      </x:c>
      <x:c r="E1696" s="78" t="n">
        <x:f>C1696+D1696</x:f>
        <x:v>431841.98489397764</x:v>
      </x:c>
      <x:c r="F1696" s="78" t="n">
        <x:f>'Inputs'!$B$13*E1696+(1-'Inputs'!$B$13)/'Inputs'!$B$14*SUM(E1641:E1696)</x:f>
        <x:v>436695.3814036407</x:v>
      </x:c>
      <x:c r="G1696" s="78" t="n">
        <x:f>F1696*'Inputs'!$F$48</x:f>
        <x:v>218347.69070182036</x:v>
      </x:c>
      <x:c r="H1696" s="78" t="n">
        <x:f>U1695</x:f>
        <x:v>51655758.7072208</x:v>
      </x:c>
      <x:c r="I1696" s="78" t="n">
        <x:f>V1695</x:f>
        <x:v>219.5242779278512</x:v>
      </x:c>
      <x:c r="J1696" s="79" t="n">
        <x:f>IF(H1696&gt;0,I1696/H1696,0)</x:f>
        <x:v>0.000004249754207891725</x:v>
      </x:c>
      <x:c r="K1696" s="80" t="n">
        <x:f>(H1696*J1696+I1696)*'Inputs'!$D$48*(1+'Inputs'!$G$48)^(B1696/30)</x:f>
        <x:v>131.7145667567107</x:v>
      </x:c>
      <x:c r="L1696" s="80" t="n">
        <x:f>MAX(0,K1696*'Inputs'!$E$48)</x:f>
        <x:v>0</x:v>
      </x:c>
      <x:c r="M1696" s="80" t="n">
        <x:f>MAX(0,-K1696*'Inputs'!$E$48)</x:f>
        <x:v>0</x:v>
      </x:c>
      <x:c r="N1696" s="78" t="n">
        <x:f>H1696*(L1696*(1-'Inputs'!$B$15))/(I1696+L1696*(1-'Inputs'!$B$15))</x:f>
        <x:v>0</x:v>
      </x:c>
      <x:c r="O1696" s="78" t="n">
        <x:f>H1696-N1696</x:f>
        <x:v>51655758.7072208</x:v>
      </x:c>
      <x:c r="P1696" s="78" t="n">
        <x:f>I1696+L1696*(1-'Inputs'!$B$17)</x:f>
        <x:v>219.5242779278512</x:v>
      </x:c>
      <x:c r="Q1696" s="78" t="n">
        <x:f>IF(J1696&gt;0,M1696/J1696,0)</x:f>
        <x:v>0</x:v>
      </x:c>
      <x:c r="R1696" s="78" t="n">
        <x:f>IF(B1696='Inputs'!$H$48,'Inputs'!$B$27*'Inputs'!$I$48,0)</x:f>
        <x:v>0</x:v>
      </x:c>
      <x:c r="S1696" s="78" t="n">
        <x:f>Q1696+G1696+R1696</x:f>
        <x:v>218347.69070182036</x:v>
      </x:c>
      <x:c r="T1696" s="78" t="n">
        <x:f>P1696*(S1696*(1-'Inputs'!$B$15))/(O1696+S1696*(1-'Inputs'!$B$15))</x:f>
        <x:v>0.9148165380219628</x:v>
      </x:c>
      <x:c r="U1696" s="78" t="n">
        <x:f>O1696+S1696*(1-'Inputs'!$B$17)</x:f>
        <x:v>51873227.73518338</x:v>
      </x:c>
      <x:c r="V1696" s="78" t="n">
        <x:f>P1696-T1696</x:f>
        <x:v>218.60946138982922</x:v>
      </x:c>
      <x:c r="W1696" s="79" t="n">
        <x:f>IF(U1696&gt;0,V1696/U1696,0)</x:f>
        <x:v>0.000004214302269869276</x:v>
      </x:c>
      <x:c r="X1696" s="80" t="n">
        <x:f>W1696*('Inputs'!$B$6-AC1696)</x:f>
        <x:v>4182.813034322343</x:v>
      </x:c>
      <x:c r="Y1696" s="80" t="n">
        <x:f>2*V1696</x:f>
        <x:v>437.21892277965844</x:v>
      </x:c>
      <x:c r="Z1696" s="80" t="n">
        <x:f>K1696*'Inputs'!$B$16+(G1696+R1696)*J1696*'Inputs'!$B$16</x:f>
        <x:v>0.7958549446443252</x:v>
      </x:c>
      <x:c r="AA1696" s="80" t="n">
        <x:f>K1696*(1+'Inputs'!$E$48)/2*'Inputs'!$B$17</x:f>
        <x:v>0.2650192490074662</x:v>
      </x:c>
      <x:c r="AB1696" s="78" t="n">
        <x:f>(IF(J1696&gt;0,K1696*(1-'Inputs'!$E$48)/2/J1696,0)+G1696+R1696)*'Inputs'!$B$17</x:f>
        <x:v>63239.73964936844</x:v>
      </x:c>
      <x:c r="AC1696" s="78" t="n">
        <x:f>AC1695+AB1696</x:f>
        <x:v>7471992.640886317</x:v>
      </x:c>
      <x:c r="AD1696" s="80" t="n">
        <x:f>Z1696/(1+'Inputs'!$C$48)</x:f>
        <x:v>0.6366839557154601</x:v>
      </x:c>
      <x:c r="AE1696" s="80" t="n">
        <x:f>Z1696-AD1696</x:f>
        <x:v>0.15917098892886505</x:v>
      </x:c>
      <x:c r="AF1696" s="80" t="n">
        <x:f>D1696*W1696</x:f>
        <x:v>1.1494185203138203</x:v>
      </x:c>
      <x:c r="AG1696" s="80" t="n">
        <x:f>C1696*W1696</x:f>
        <x:v>0.6704941368497233</x:v>
      </x:c>
      <x:c r="AH1696" s="80" t="n">
        <x:f>2*'Inputs'!$B$8*'Inputs'!$C$48</x:f>
        <x:v>1250</x:v>
      </x:c>
      <x:c r="AI1696" s="81" t="n">
        <x:f>IF(AH1696&gt;0,(AE1696+AF1696)/AH1696*365,0)</x:f>
        <x:v>0.3821081366988641</x:v>
      </x:c>
      <x:c r="AJ1696" s="81" t="n">
        <x:f>IF('Inputs'!$B$48&gt;0,AG1696/('Inputs'!$B$19*'Inputs'!$B$48)*365,0)</x:f>
        <x:v>0.09789214398005959</x:v>
      </x:c>
      <x:c r="AK1696" s="81" t="n">
        <x:f>W1696/MAX($W$1464:W1696)-1</x:f>
        <x:v>-0.9950440517173639</x:v>
      </x:c>
      <x:c r="AL1696" s="83" t="n">
        <x:f>'Inputs'!$B$48</x:f>
        <x:v>0.25</x:v>
      </x:c>
      <x:c r="AM1696" s="83" t="n">
        <x:f>'Inputs'!$C$48</x:f>
        <x:v>0.25</x:v>
      </x:c>
      <x:c r="AN1696" s="83" t="n">
        <x:f>'Inputs'!$D$48</x:f>
        <x:v>0.3</x:v>
      </x:c>
      <x:c r="AO1696" s="81" t="n">
        <x:f>'Inputs'!$E$48</x:f>
        <x:v>0</x:v>
      </x:c>
    </x:row>
    <x:row r="1697">
      <x:c r="A1697" s="59" t="str">
        <x:v>Low participation</x:v>
      </x:c>
      <x:c r="B1697" s="59" t="n">
        <x:v>234</x:v>
      </x:c>
      <x:c r="C1697" s="78" t="n">
        <x:f>(('Inputs'!$B$29*(3*234*'Inputs'!$B$12-234^2)/(2*'Inputs'!$B$12^2))-('Inputs'!$B$29*(3*233*'Inputs'!$B$12-233^2)/(2*'Inputs'!$B$12^2)))*'Inputs'!$B$48</x:f>
        <x:v>159018.40167010576</x:v>
      </x:c>
      <x:c r="D1697" s="78" t="n">
        <x:f>IF('Inputs'!$C$48&gt;0,('Inputs'!$B$30*(3*234*'Inputs'!$B$12-234^2)/(2*'Inputs'!$B$12^2))-('Inputs'!$B$30*(3*233*'Inputs'!$B$12-233^2)/(2*'Inputs'!$B$12^2)),0)</x:f>
        <x:v>272602.97429160774</x:v>
      </x:c>
      <x:c r="E1697" s="78" t="n">
        <x:f>C1697+D1697</x:f>
        <x:v>431621.3759617135</x:v>
      </x:c>
      <x:c r="F1697" s="78" t="n">
        <x:f>'Inputs'!$B$13*E1697+(1-'Inputs'!$B$13)/'Inputs'!$B$14*SUM(E1642:E1697)</x:f>
        <x:v>436474.7724713819</x:v>
      </x:c>
      <x:c r="G1697" s="78" t="n">
        <x:f>F1697*'Inputs'!$F$48</x:f>
        <x:v>218237.38623569094</x:v>
      </x:c>
      <x:c r="H1697" s="78" t="n">
        <x:f>U1696</x:f>
        <x:v>51873227.73518338</x:v>
      </x:c>
      <x:c r="I1697" s="78" t="n">
        <x:f>V1696</x:f>
        <x:v>218.60946138982922</x:v>
      </x:c>
      <x:c r="J1697" s="79" t="n">
        <x:f>IF(H1697&gt;0,I1697/H1697,0)</x:f>
        <x:v>0.000004214302269869276</x:v>
      </x:c>
      <x:c r="K1697" s="80" t="n">
        <x:f>(H1697*J1697+I1697)*'Inputs'!$D$48*(1+'Inputs'!$G$48)^(B1697/30)</x:f>
        <x:v>131.16567683389752</x:v>
      </x:c>
      <x:c r="L1697" s="80" t="n">
        <x:f>MAX(0,K1697*'Inputs'!$E$48)</x:f>
        <x:v>0</x:v>
      </x:c>
      <x:c r="M1697" s="80" t="n">
        <x:f>MAX(0,-K1697*'Inputs'!$E$48)</x:f>
        <x:v>0</x:v>
      </x:c>
      <x:c r="N1697" s="78" t="n">
        <x:f>H1697*(L1697*(1-'Inputs'!$B$15))/(I1697+L1697*(1-'Inputs'!$B$15))</x:f>
        <x:v>0</x:v>
      </x:c>
      <x:c r="O1697" s="78" t="n">
        <x:f>H1697-N1697</x:f>
        <x:v>51873227.73518338</x:v>
      </x:c>
      <x:c r="P1697" s="78" t="n">
        <x:f>I1697+L1697*(1-'Inputs'!$B$17)</x:f>
        <x:v>218.60946138982922</x:v>
      </x:c>
      <x:c r="Q1697" s="78" t="n">
        <x:f>IF(J1697&gt;0,M1697/J1697,0)</x:f>
        <x:v>0</x:v>
      </x:c>
      <x:c r="R1697" s="78" t="n">
        <x:f>IF(B1697='Inputs'!$H$48,'Inputs'!$B$27*'Inputs'!$I$48,0)</x:f>
        <x:v>0</x:v>
      </x:c>
      <x:c r="S1697" s="78" t="n">
        <x:f>Q1697+G1697+R1697</x:f>
        <x:v>218237.38623569094</x:v>
      </x:c>
      <x:c r="T1697" s="78" t="n">
        <x:f>P1697*(S1697*(1-'Inputs'!$B$15))/(O1697+S1697*(1-'Inputs'!$B$15))</x:f>
        <x:v>0.9067444855097928</x:v>
      </x:c>
      <x:c r="U1697" s="78" t="n">
        <x:f>O1697+S1697*(1-'Inputs'!$B$17)</x:f>
        <x:v>52090586.90256098</x:v>
      </x:c>
      <x:c r="V1697" s="78" t="n">
        <x:f>P1697-T1697</x:f>
        <x:v>217.70271690431943</x:v>
      </x:c>
      <x:c r="W1697" s="79" t="n">
        <x:f>IF(U1697&gt;0,V1697/U1697,0)</x:f>
        <x:v>0.000004179310118189824</x:v>
      </x:c>
      <x:c r="X1697" s="80" t="n">
        <x:f>W1697*('Inputs'!$B$6-AC1697)</x:f>
        <x:v>4147.816949886078</x:v>
      </x:c>
      <x:c r="Y1697" s="80" t="n">
        <x:f>2*V1697</x:f>
        <x:v>435.40543380863886</x:v>
      </x:c>
      <x:c r="Z1697" s="80" t="n">
        <x:f>K1697*'Inputs'!$B$16+(G1697+R1697)*J1697*'Inputs'!$B$16</x:f>
        <x:v>0.7925123708764855</x:v>
      </x:c>
      <x:c r="AA1697" s="80" t="n">
        <x:f>K1697*(1+'Inputs'!$E$48)/2*'Inputs'!$B$17</x:f>
        <x:v>0.2639148427241399</x:v>
      </x:c>
      <x:c r="AB1697" s="78" t="n">
        <x:f>(IF(J1697&gt;0,K1697*(1-'Inputs'!$E$48)/2/J1697,0)+G1697+R1697)*'Inputs'!$B$17</x:f>
        <x:v>63501.83383014368</x:v>
      </x:c>
      <x:c r="AC1697" s="78" t="n">
        <x:f>AC1696+AB1697</x:f>
        <x:v>7535494.47471646</x:v>
      </x:c>
      <x:c r="AD1697" s="80" t="n">
        <x:f>Z1697/(1+'Inputs'!$C$48)</x:f>
        <x:v>0.6340098967011885</x:v>
      </x:c>
      <x:c r="AE1697" s="80" t="n">
        <x:f>Z1697-AD1697</x:f>
        <x:v>0.15850247417529706</x:v>
      </x:c>
      <x:c r="AF1697" s="80" t="n">
        <x:f>D1697*W1697</x:f>
        <x:v>1.1392923687055567</x:v>
      </x:c>
      <x:c r="AG1697" s="80" t="n">
        <x:f>C1697*W1697</x:f>
        <x:v>0.6645872150782466</x:v>
      </x:c>
      <x:c r="AH1697" s="80" t="n">
        <x:f>2*'Inputs'!$B$8*'Inputs'!$C$48</x:f>
        <x:v>1250</x:v>
      </x:c>
      <x:c r="AI1697" s="81" t="n">
        <x:f>IF(AH1697&gt;0,(AE1697+AF1697)/AH1697*365,0)</x:f>
        <x:v>0.37895609412120923</x:v>
      </x:c>
      <x:c r="AJ1697" s="81" t="n">
        <x:f>IF('Inputs'!$B$48&gt;0,AG1697/('Inputs'!$B$19*'Inputs'!$B$48)*365,0)</x:f>
        <x:v>0.097029733401424</x:v>
      </x:c>
      <x:c r="AK1697" s="81" t="n">
        <x:f>W1697/MAX($W$1464:W1697)-1</x:f>
        <x:v>-0.9950852018966619</x:v>
      </x:c>
      <x:c r="AL1697" s="83" t="n">
        <x:f>'Inputs'!$B$48</x:f>
        <x:v>0.25</x:v>
      </x:c>
      <x:c r="AM1697" s="83" t="n">
        <x:f>'Inputs'!$C$48</x:f>
        <x:v>0.25</x:v>
      </x:c>
      <x:c r="AN1697" s="83" t="n">
        <x:f>'Inputs'!$D$48</x:f>
        <x:v>0.3</x:v>
      </x:c>
      <x:c r="AO1697" s="81" t="n">
        <x:f>'Inputs'!$E$48</x:f>
        <x:v>0</x:v>
      </x:c>
    </x:row>
    <x:row r="1698">
      <x:c r="A1698" s="59" t="str">
        <x:v>Low participation</x:v>
      </x:c>
      <x:c r="B1698" s="59" t="n">
        <x:v>235</x:v>
      </x:c>
      <x:c r="C1698" s="78" t="n">
        <x:f>(('Inputs'!$B$29*(3*235*'Inputs'!$B$12-235^2)/(2*'Inputs'!$B$12^2))-('Inputs'!$B$29*(3*234*'Inputs'!$B$12-234^2)/(2*'Inputs'!$B$12^2)))*'Inputs'!$B$48</x:f>
        <x:v>158937.12469506264</x:v>
      </x:c>
      <x:c r="D1698" s="78" t="n">
        <x:f>IF('Inputs'!$C$48&gt;0,('Inputs'!$B$30*(3*235*'Inputs'!$B$12-235^2)/(2*'Inputs'!$B$12^2))-('Inputs'!$B$30*(3*234*'Inputs'!$B$12-234^2)/(2*'Inputs'!$B$12^2)),0)</x:f>
        <x:v>272463.6423344016</x:v>
      </x:c>
      <x:c r="E1698" s="78" t="n">
        <x:f>C1698+D1698</x:f>
        <x:v>431400.76702946424</x:v>
      </x:c>
      <x:c r="F1698" s="78" t="n">
        <x:f>'Inputs'!$B$13*E1698+(1-'Inputs'!$B$13)/'Inputs'!$B$14*SUM(E1643:E1698)</x:f>
        <x:v>436254.16353912605</x:v>
      </x:c>
      <x:c r="G1698" s="78" t="n">
        <x:f>F1698*'Inputs'!$F$48</x:f>
        <x:v>218127.08176956302</x:v>
      </x:c>
      <x:c r="H1698" s="78" t="n">
        <x:f>U1697</x:f>
        <x:v>52090586.90256098</x:v>
      </x:c>
      <x:c r="I1698" s="78" t="n">
        <x:f>V1697</x:f>
        <x:v>217.70271690431943</x:v>
      </x:c>
      <x:c r="J1698" s="79" t="n">
        <x:f>IF(H1698&gt;0,I1698/H1698,0)</x:f>
        <x:v>0.000004179310118189824</x:v>
      </x:c>
      <x:c r="K1698" s="80" t="n">
        <x:f>(H1698*J1698+I1698)*'Inputs'!$D$48*(1+'Inputs'!$G$48)^(B1698/30)</x:f>
        <x:v>130.62163014259164</x:v>
      </x:c>
      <x:c r="L1698" s="80" t="n">
        <x:f>MAX(0,K1698*'Inputs'!$E$48)</x:f>
        <x:v>0</x:v>
      </x:c>
      <x:c r="M1698" s="80" t="n">
        <x:f>MAX(0,-K1698*'Inputs'!$E$48)</x:f>
        <x:v>0</x:v>
      </x:c>
      <x:c r="N1698" s="78" t="n">
        <x:f>H1698*(L1698*(1-'Inputs'!$B$15))/(I1698+L1698*(1-'Inputs'!$B$15))</x:f>
        <x:v>0</x:v>
      </x:c>
      <x:c r="O1698" s="78" t="n">
        <x:f>H1698-N1698</x:f>
        <x:v>52090586.90256098</x:v>
      </x:c>
      <x:c r="P1698" s="78" t="n">
        <x:f>I1698+L1698*(1-'Inputs'!$B$17)</x:f>
        <x:v>217.70271690431943</x:v>
      </x:c>
      <x:c r="Q1698" s="78" t="n">
        <x:f>IF(J1698&gt;0,M1698/J1698,0)</x:f>
        <x:v>0</x:v>
      </x:c>
      <x:c r="R1698" s="78" t="n">
        <x:f>IF(B1698='Inputs'!$H$48,'Inputs'!$B$27*'Inputs'!$I$48,0)</x:f>
        <x:v>0</x:v>
      </x:c>
      <x:c r="S1698" s="78" t="n">
        <x:f>Q1698+G1698+R1698</x:f>
        <x:v>218127.08176956302</x:v>
      </x:c>
      <x:c r="T1698" s="78" t="n">
        <x:f>P1698*(S1698*(1-'Inputs'!$B$15))/(O1698+S1698*(1-'Inputs'!$B$15))</x:f>
        <x:v>0.8987785523046726</x:v>
      </x:c>
      <x:c r="U1698" s="78" t="n">
        <x:f>O1698+S1698*(1-'Inputs'!$B$17)</x:f>
        <x:v>52307836.2093536</x:v>
      </x:c>
      <x:c r="V1698" s="78" t="n">
        <x:f>P1698-T1698</x:f>
        <x:v>216.80393835201477</x:v>
      </x:c>
      <x:c r="W1698" s="79" t="n">
        <x:f>IF(U1698&gt;0,V1698/U1698,0)</x:f>
        <x:v>0.0000041447697718615674</x:v>
      </x:c>
      <x:c r="X1698" s="80" t="n">
        <x:f>W1698*('Inputs'!$B$6-AC1698)</x:f>
        <x:v>4113.272595895092</x:v>
      </x:c>
      <x:c r="Y1698" s="80" t="n">
        <x:f>2*V1698</x:f>
        <x:v>433.60787670402954</x:v>
      </x:c>
      <x:c r="Z1698" s="80" t="n">
        <x:f>K1698*'Inputs'!$B$16+(G1698+R1698)*J1698*'Inputs'!$B$16</x:f>
        <x:v>0.7891995051748945</x:v>
      </x:c>
      <x:c r="AA1698" s="80" t="n">
        <x:f>K1698*(1+'Inputs'!$E$48)/2*'Inputs'!$B$17</x:f>
        <x:v>0.26282018137342383</x:v>
      </x:c>
      <x:c r="AB1698" s="78" t="n">
        <x:f>(IF(J1698&gt;0,K1698*(1-'Inputs'!$E$48)/2/J1698,0)+G1698+R1698)*'Inputs'!$B$17</x:f>
        <x:v>63763.79538244611</x:v>
      </x:c>
      <x:c r="AC1698" s="78" t="n">
        <x:f>AC1697+AB1698</x:f>
        <x:v>7599258.270098906</x:v>
      </x:c>
      <x:c r="AD1698" s="80" t="n">
        <x:f>Z1698/(1+'Inputs'!$C$48)</x:f>
        <x:v>0.6313596041399155</x:v>
      </x:c>
      <x:c r="AE1698" s="80" t="n">
        <x:f>Z1698-AD1698</x:f>
        <x:v>0.1578399010349789</x:v>
      </x:c>
      <x:c r="AF1698" s="80" t="n">
        <x:f>D1698*W1698</x:f>
        <x:v>1.1292990686789295</x:v>
      </x:c>
      <x:c r="AG1698" s="80" t="n">
        <x:f>C1698*W1698</x:f>
        <x:v>0.6587577900626883</x:v>
      </x:c>
      <x:c r="AH1698" s="80" t="n">
        <x:f>2*'Inputs'!$B$8*'Inputs'!$C$48</x:f>
        <x:v>1250</x:v>
      </x:c>
      <x:c r="AI1698" s="81" t="n">
        <x:f>IF(AH1698&gt;0,(AE1698+AF1698)/AH1698*365,0)</x:f>
        <x:v>0.3758445791564613</x:v>
      </x:c>
      <x:c r="AJ1698" s="81" t="n">
        <x:f>IF('Inputs'!$B$48&gt;0,AG1698/('Inputs'!$B$19*'Inputs'!$B$48)*365,0)</x:f>
        <x:v>0.0961786373491525</x:v>
      </x:c>
      <x:c r="AK1698" s="81" t="n">
        <x:f>W1698/MAX($W$1464:W1698)-1</x:f>
        <x:v>-0.9951258207604988</x:v>
      </x:c>
      <x:c r="AL1698" s="83" t="n">
        <x:f>'Inputs'!$B$48</x:f>
        <x:v>0.25</x:v>
      </x:c>
      <x:c r="AM1698" s="83" t="n">
        <x:f>'Inputs'!$C$48</x:f>
        <x:v>0.25</x:v>
      </x:c>
      <x:c r="AN1698" s="83" t="n">
        <x:f>'Inputs'!$D$48</x:f>
        <x:v>0.3</x:v>
      </x:c>
      <x:c r="AO1698" s="81" t="n">
        <x:f>'Inputs'!$E$48</x:f>
        <x:v>0</x:v>
      </x:c>
    </x:row>
    <x:row r="1699">
      <x:c r="A1699" s="59" t="str">
        <x:v>Low participation</x:v>
      </x:c>
      <x:c r="B1699" s="59" t="n">
        <x:v>236</x:v>
      </x:c>
      <x:c r="C1699" s="78" t="n">
        <x:f>(('Inputs'!$B$29*(3*236*'Inputs'!$B$12-236^2)/(2*'Inputs'!$B$12^2))-('Inputs'!$B$29*(3*235*'Inputs'!$B$12-235^2)/(2*'Inputs'!$B$12^2)))*'Inputs'!$B$48</x:f>
        <x:v>158855.84772001952</x:v>
      </x:c>
      <x:c r="D1699" s="78" t="n">
        <x:f>IF('Inputs'!$C$48&gt;0,('Inputs'!$B$30*(3*236*'Inputs'!$B$12-236^2)/(2*'Inputs'!$B$12^2))-('Inputs'!$B$30*(3*235*'Inputs'!$B$12-235^2)/(2*'Inputs'!$B$12^2)),0)</x:f>
        <x:v>272324.3103771806</x:v>
      </x:c>
      <x:c r="E1699" s="78" t="n">
        <x:f>C1699+D1699</x:f>
        <x:v>431180.1580972001</x:v>
      </x:c>
      <x:c r="F1699" s="78" t="n">
        <x:f>'Inputs'!$B$13*E1699+(1-'Inputs'!$B$13)/'Inputs'!$B$14*SUM(E1644:E1699)</x:f>
        <x:v>436033.55460686726</x:v>
      </x:c>
      <x:c r="G1699" s="78" t="n">
        <x:f>F1699*'Inputs'!$F$48</x:f>
        <x:v>218016.77730343363</x:v>
      </x:c>
      <x:c r="H1699" s="78" t="n">
        <x:f>U1698</x:f>
        <x:v>52307836.2093536</x:v>
      </x:c>
      <x:c r="I1699" s="78" t="n">
        <x:f>V1698</x:f>
        <x:v>216.80393835201477</x:v>
      </x:c>
      <x:c r="J1699" s="79" t="n">
        <x:f>IF(H1699&gt;0,I1699/H1699,0)</x:f>
        <x:v>0.0000041447697718615674</x:v>
      </x:c>
      <x:c r="K1699" s="80" t="n">
        <x:f>(H1699*J1699+I1699)*'Inputs'!$D$48*(1+'Inputs'!$G$48)^(B1699/30)</x:f>
        <x:v>130.08236301120886</x:v>
      </x:c>
      <x:c r="L1699" s="80" t="n">
        <x:f>MAX(0,K1699*'Inputs'!$E$48)</x:f>
        <x:v>0</x:v>
      </x:c>
      <x:c r="M1699" s="80" t="n">
        <x:f>MAX(0,-K1699*'Inputs'!$E$48)</x:f>
        <x:v>0</x:v>
      </x:c>
      <x:c r="N1699" s="78" t="n">
        <x:f>H1699*(L1699*(1-'Inputs'!$B$15))/(I1699+L1699*(1-'Inputs'!$B$15))</x:f>
        <x:v>0</x:v>
      </x:c>
      <x:c r="O1699" s="78" t="n">
        <x:f>H1699-N1699</x:f>
        <x:v>52307836.2093536</x:v>
      </x:c>
      <x:c r="P1699" s="78" t="n">
        <x:f>I1699+L1699*(1-'Inputs'!$B$17)</x:f>
        <x:v>216.80393835201477</x:v>
      </x:c>
      <x:c r="Q1699" s="78" t="n">
        <x:f>IF(J1699&gt;0,M1699/J1699,0)</x:f>
        <x:v>0</x:v>
      </x:c>
      <x:c r="R1699" s="78" t="n">
        <x:f>IF(B1699='Inputs'!$H$48,'Inputs'!$B$27*'Inputs'!$I$48,0)</x:f>
        <x:v>0</x:v>
      </x:c>
      <x:c r="S1699" s="78" t="n">
        <x:f>Q1699+G1699+R1699</x:f>
        <x:v>218016.77730343363</x:v>
      </x:c>
      <x:c r="T1699" s="78" t="n">
        <x:f>P1699*(S1699*(1-'Inputs'!$B$15))/(O1699+S1699*(1-'Inputs'!$B$15))</x:f>
        <x:v>0.8909168851937654</x:v>
      </x:c>
      <x:c r="U1699" s="78" t="n">
        <x:f>O1699+S1699*(1-'Inputs'!$B$17)</x:f>
        <x:v>52524975.655561246</x:v>
      </x:c>
      <x:c r="V1699" s="78" t="n">
        <x:f>P1699-T1699</x:f>
        <x:v>215.913021466821</x:v>
      </x:c>
      <x:c r="W1699" s="79" t="n">
        <x:f>IF(U1699&gt;0,V1699/U1699,0)</x:f>
        <x:v>0.000004110673422919722</x:v>
      </x:c>
      <x:c r="X1699" s="80" t="n">
        <x:f>W1699*('Inputs'!$B$6-AC1699)</x:f>
        <x:v>4079.172165482702</x:v>
      </x:c>
      <x:c r="Y1699" s="80" t="n">
        <x:f>2*V1699</x:f>
        <x:v>431.826042933642</x:v>
      </x:c>
      <x:c r="Z1699" s="80" t="n">
        <x:f>K1699*'Inputs'!$B$16+(G1699+R1699)*J1699*'Inputs'!$B$16</x:f>
        <x:v>0.7859159541572088</x:v>
      </x:c>
      <x:c r="AA1699" s="80" t="n">
        <x:f>K1699*(1+'Inputs'!$E$48)/2*'Inputs'!$B$17</x:f>
        <x:v>0.2617351368434786</x:v>
      </x:c>
      <x:c r="AB1699" s="78" t="n">
        <x:f>(IF(J1699&gt;0,K1699*(1-'Inputs'!$E$48)/2/J1699,0)+G1699+R1699)*'Inputs'!$B$17</x:f>
        <x:v>64025.62430627571</x:v>
      </x:c>
      <x:c r="AC1699" s="78" t="n">
        <x:f>AC1698+AB1699</x:f>
        <x:v>7663283.8944051815</x:v>
      </x:c>
      <x:c r="AD1699" s="80" t="n">
        <x:f>Z1699/(1+'Inputs'!$C$48)</x:f>
        <x:v>0.6287327633257671</x:v>
      </x:c>
      <x:c r="AE1699" s="80" t="n">
        <x:f>Z1699-AD1699</x:f>
        <x:v>0.15718319083144172</x:v>
      </x:c>
      <x:c r="AF1699" s="80" t="n">
        <x:f>D1699*W1699</x:f>
        <x:v>1.1194363050824176</x:v>
      </x:c>
      <x:c r="AG1699" s="80" t="n">
        <x:f>C1699*W1699</x:f>
        <x:v>0.6530045112980667</x:v>
      </x:c>
      <x:c r="AH1699" s="80" t="n">
        <x:f>2*'Inputs'!$B$8*'Inputs'!$C$48</x:f>
        <x:v>1250</x:v>
      </x:c>
      <x:c r="AI1699" s="81" t="n">
        <x:f>IF(AH1699&gt;0,(AE1699+AF1699)/AH1699*365,0)</x:f>
        <x:v>0.372772892806847</x:v>
      </x:c>
      <x:c r="AJ1699" s="81" t="n">
        <x:f>IF('Inputs'!$B$48&gt;0,AG1699/('Inputs'!$B$19*'Inputs'!$B$48)*365,0)</x:f>
        <x:v>0.09533865864951772</x:v>
      </x:c>
      <x:c r="AK1699" s="81" t="n">
        <x:f>W1699/MAX($W$1464:W1699)-1</x:f>
        <x:v>-0.9951659174909091</x:v>
      </x:c>
      <x:c r="AL1699" s="83" t="n">
        <x:f>'Inputs'!$B$48</x:f>
        <x:v>0.25</x:v>
      </x:c>
      <x:c r="AM1699" s="83" t="n">
        <x:f>'Inputs'!$C$48</x:f>
        <x:v>0.25</x:v>
      </x:c>
      <x:c r="AN1699" s="83" t="n">
        <x:f>'Inputs'!$D$48</x:f>
        <x:v>0.3</x:v>
      </x:c>
      <x:c r="AO1699" s="81" t="n">
        <x:f>'Inputs'!$E$48</x:f>
        <x:v>0</x:v>
      </x:c>
    </x:row>
    <x:row r="1700">
      <x:c r="A1700" s="59" t="str">
        <x:v>Low participation</x:v>
      </x:c>
      <x:c r="B1700" s="59" t="n">
        <x:v>237</x:v>
      </x:c>
      <x:c r="C1700" s="78" t="n">
        <x:f>(('Inputs'!$B$29*(3*237*'Inputs'!$B$12-237^2)/(2*'Inputs'!$B$12^2))-('Inputs'!$B$29*(3*236*'Inputs'!$B$12-236^2)/(2*'Inputs'!$B$12^2)))*'Inputs'!$B$48</x:f>
        <x:v>158774.57074498385</x:v>
      </x:c>
      <x:c r="D1700" s="78" t="n">
        <x:f>IF('Inputs'!$C$48&gt;0,('Inputs'!$B$30*(3*237*'Inputs'!$B$12-237^2)/(2*'Inputs'!$B$12^2))-('Inputs'!$B$30*(3*236*'Inputs'!$B$12-236^2)/(2*'Inputs'!$B$12^2)),0)</x:f>
        <x:v>272184.97841997445</x:v>
      </x:c>
      <x:c r="E1700" s="78" t="n">
        <x:f>C1700+D1700</x:f>
        <x:v>430959.5491649583</x:v>
      </x:c>
      <x:c r="F1700" s="78" t="n">
        <x:f>'Inputs'!$B$13*E1700+(1-'Inputs'!$B$13)/'Inputs'!$B$14*SUM(E1645:E1700)</x:f>
        <x:v>435812.94567461306</x:v>
      </x:c>
      <x:c r="G1700" s="78" t="n">
        <x:f>F1700*'Inputs'!$F$48</x:f>
        <x:v>217906.47283730653</x:v>
      </x:c>
      <x:c r="H1700" s="78" t="n">
        <x:f>U1699</x:f>
        <x:v>52524975.655561246</x:v>
      </x:c>
      <x:c r="I1700" s="78" t="n">
        <x:f>V1699</x:f>
        <x:v>215.913021466821</x:v>
      </x:c>
      <x:c r="J1700" s="79" t="n">
        <x:f>IF(H1700&gt;0,I1700/H1700,0)</x:f>
        <x:v>0.000004110673422919722</x:v>
      </x:c>
      <x:c r="K1700" s="80" t="n">
        <x:f>(H1700*J1700+I1700)*'Inputs'!$D$48*(1+'Inputs'!$G$48)^(B1700/30)</x:f>
        <x:v>129.54781288009258</x:v>
      </x:c>
      <x:c r="L1700" s="80" t="n">
        <x:f>MAX(0,K1700*'Inputs'!$E$48)</x:f>
        <x:v>0</x:v>
      </x:c>
      <x:c r="M1700" s="80" t="n">
        <x:f>MAX(0,-K1700*'Inputs'!$E$48)</x:f>
        <x:v>0</x:v>
      </x:c>
      <x:c r="N1700" s="78" t="n">
        <x:f>H1700*(L1700*(1-'Inputs'!$B$15))/(I1700+L1700*(1-'Inputs'!$B$15))</x:f>
        <x:v>0</x:v>
      </x:c>
      <x:c r="O1700" s="78" t="n">
        <x:f>H1700-N1700</x:f>
        <x:v>52524975.655561246</x:v>
      </x:c>
      <x:c r="P1700" s="78" t="n">
        <x:f>I1700+L1700*(1-'Inputs'!$B$17)</x:f>
        <x:v>215.913021466821</x:v>
      </x:c>
      <x:c r="Q1700" s="78" t="n">
        <x:f>IF(J1700&gt;0,M1700/J1700,0)</x:f>
        <x:v>0</x:v>
      </x:c>
      <x:c r="R1700" s="78" t="n">
        <x:f>IF(B1700='Inputs'!$H$48,'Inputs'!$B$27*'Inputs'!$I$48,0)</x:f>
        <x:v>0</x:v>
      </x:c>
      <x:c r="S1700" s="78" t="n">
        <x:f>Q1700+G1700+R1700</x:f>
        <x:v>217906.47283730653</x:v>
      </x:c>
      <x:c r="T1700" s="78" t="n">
        <x:f>P1700*(S1700*(1-'Inputs'!$B$15))/(O1700+S1700*(1-'Inputs'!$B$15))</x:f>
        <x:v>0.8831576712539269</x:v>
      </x:c>
      <x:c r="U1700" s="78" t="n">
        <x:f>O1700+S1700*(1-'Inputs'!$B$17)</x:f>
        <x:v>52742005.241183914</x:v>
      </x:c>
      <x:c r="V1700" s="78" t="n">
        <x:f>P1700-T1700</x:f>
        <x:v>215.02986379556705</x:v>
      </x:c>
      <x:c r="W1700" s="79" t="n">
        <x:f>IF(U1700&gt;0,V1700/U1700,0)</x:f>
        <x:v>0.0000040770134319364045</x:v>
      </x:c>
      <x:c r="X1700" s="80" t="n">
        <x:f>W1700*('Inputs'!$B$6-AC1700)</x:f>
        <x:v>4045.5080202965764</x:v>
      </x:c>
      <x:c r="Y1700" s="80" t="n">
        <x:f>2*V1700</x:f>
        <x:v>430.0597275911341</x:v>
      </x:c>
      <x:c r="Z1700" s="80" t="n">
        <x:f>K1700*'Inputs'!$B$16+(G1700+R1700)*J1700*'Inputs'!$B$16</x:f>
        <x:v>0.7826613313600024</x:v>
      </x:c>
      <x:c r="AA1700" s="80" t="n">
        <x:f>K1700*(1+'Inputs'!$E$48)/2*'Inputs'!$B$17</x:f>
        <x:v>0.26065958325974364</x:v>
      </x:c>
      <x:c r="AB1700" s="78" t="n">
        <x:f>(IF(J1700&gt;0,K1700*(1-'Inputs'!$E$48)/2/J1700,0)+G1700+R1700)*'Inputs'!$B$17</x:f>
        <x:v>64287.32060163251</x:v>
      </x:c>
      <x:c r="AC1700" s="78" t="n">
        <x:f>AC1699+AB1700</x:f>
        <x:v>7727571.215006814</x:v>
      </x:c>
      <x:c r="AD1700" s="80" t="n">
        <x:f>Z1700/(1+'Inputs'!$C$48)</x:f>
        <x:v>0.6261290650880019</x:v>
      </x:c>
      <x:c r="AE1700" s="80" t="n">
        <x:f>Z1700-AD1700</x:f>
        <x:v>0.15653226627200045</x:v>
      </x:c>
      <x:c r="AF1700" s="80" t="n">
        <x:f>D1700*W1700</x:f>
        <x:v>1.1097018129895562</x:v>
      </x:c>
      <x:c r="AG1700" s="80" t="n">
        <x:f>C1700*W1700</x:f>
        <x:v>0.647326057577236</x:v>
      </x:c>
      <x:c r="AH1700" s="80" t="n">
        <x:f>2*'Inputs'!$B$8*'Inputs'!$C$48</x:f>
        <x:v>1250</x:v>
      </x:c>
      <x:c r="AI1700" s="81" t="n">
        <x:f>IF(AH1700&gt;0,(AE1700+AF1700)/AH1700*365,0)</x:f>
        <x:v>0.36974035114437453</x:v>
      </x:c>
      <x:c r="AJ1700" s="81" t="n">
        <x:f>IF('Inputs'!$B$48&gt;0,AG1700/('Inputs'!$B$19*'Inputs'!$B$48)*365,0)</x:f>
        <x:v>0.09450960440627647</x:v>
      </x:c>
      <x:c r="AK1700" s="81" t="n">
        <x:f>W1700/MAX($W$1464:W1700)-1</x:f>
        <x:v>-0.995205501071731</x:v>
      </x:c>
      <x:c r="AL1700" s="83" t="n">
        <x:f>'Inputs'!$B$48</x:f>
        <x:v>0.25</x:v>
      </x:c>
      <x:c r="AM1700" s="83" t="n">
        <x:f>'Inputs'!$C$48</x:f>
        <x:v>0.25</x:v>
      </x:c>
      <x:c r="AN1700" s="83" t="n">
        <x:f>'Inputs'!$D$48</x:f>
        <x:v>0.3</x:v>
      </x:c>
      <x:c r="AO1700" s="81" t="n">
        <x:f>'Inputs'!$E$48</x:f>
        <x:v>0</x:v>
      </x:c>
    </x:row>
    <x:row r="1701">
      <x:c r="A1701" s="59" t="str">
        <x:v>Low participation</x:v>
      </x:c>
      <x:c r="B1701" s="59" t="n">
        <x:v>238</x:v>
      </x:c>
      <x:c r="C1701" s="78" t="n">
        <x:f>(('Inputs'!$B$29*(3*238*'Inputs'!$B$12-238^2)/(2*'Inputs'!$B$12^2))-('Inputs'!$B$29*(3*237*'Inputs'!$B$12-237^2)/(2*'Inputs'!$B$12^2)))*'Inputs'!$B$48</x:f>
        <x:v>158693.29376994073</x:v>
      </x:c>
      <x:c r="D1701" s="78" t="n">
        <x:f>IF('Inputs'!$C$48&gt;0,('Inputs'!$B$30*(3*238*'Inputs'!$B$12-238^2)/(2*'Inputs'!$B$12^2))-('Inputs'!$B$30*(3*237*'Inputs'!$B$12-237^2)/(2*'Inputs'!$B$12^2)),0)</x:f>
        <x:v>272045.6464627385</x:v>
      </x:c>
      <x:c r="E1701" s="78" t="n">
        <x:f>C1701+D1701</x:f>
        <x:v>430738.94023267925</x:v>
      </x:c>
      <x:c r="F1701" s="78" t="n">
        <x:f>'Inputs'!$B$13*E1701+(1-'Inputs'!$B$13)/'Inputs'!$B$14*SUM(E1646:E1701)</x:f>
        <x:v>435592.3367423511</x:v>
      </x:c>
      <x:c r="G1701" s="78" t="n">
        <x:f>F1701*'Inputs'!$F$48</x:f>
        <x:v>217796.16837117556</x:v>
      </x:c>
      <x:c r="H1701" s="78" t="n">
        <x:f>U1700</x:f>
        <x:v>52742005.241183914</x:v>
      </x:c>
      <x:c r="I1701" s="78" t="n">
        <x:f>V1700</x:f>
        <x:v>215.02986379556705</x:v>
      </x:c>
      <x:c r="J1701" s="79" t="n">
        <x:f>IF(H1701&gt;0,I1701/H1701,0)</x:f>
        <x:v>0.0000040770134319364045</x:v>
      </x:c>
      <x:c r="K1701" s="80" t="n">
        <x:f>(H1701*J1701+I1701)*'Inputs'!$D$48*(1+'Inputs'!$G$48)^(B1701/30)</x:f>
        <x:v>129.01791827734021</x:v>
      </x:c>
      <x:c r="L1701" s="80" t="n">
        <x:f>MAX(0,K1701*'Inputs'!$E$48)</x:f>
        <x:v>0</x:v>
      </x:c>
      <x:c r="M1701" s="80" t="n">
        <x:f>MAX(0,-K1701*'Inputs'!$E$48)</x:f>
        <x:v>0</x:v>
      </x:c>
      <x:c r="N1701" s="78" t="n">
        <x:f>H1701*(L1701*(1-'Inputs'!$B$15))/(I1701+L1701*(1-'Inputs'!$B$15))</x:f>
        <x:v>0</x:v>
      </x:c>
      <x:c r="O1701" s="78" t="n">
        <x:f>H1701-N1701</x:f>
        <x:v>52742005.241183914</x:v>
      </x:c>
      <x:c r="P1701" s="78" t="n">
        <x:f>I1701+L1701*(1-'Inputs'!$B$17)</x:f>
        <x:v>215.02986379556705</x:v>
      </x:c>
      <x:c r="Q1701" s="78" t="n">
        <x:f>IF(J1701&gt;0,M1701/J1701,0)</x:f>
        <x:v>0</x:v>
      </x:c>
      <x:c r="R1701" s="78" t="n">
        <x:f>IF(B1701='Inputs'!$H$48,'Inputs'!$B$27*'Inputs'!$I$48,0)</x:f>
        <x:v>0</x:v>
      </x:c>
      <x:c r="S1701" s="78" t="n">
        <x:f>Q1701+G1701+R1701</x:f>
        <x:v>217796.16837117556</x:v>
      </x:c>
      <x:c r="T1701" s="78" t="n">
        <x:f>P1701*(S1701*(1-'Inputs'!$B$15))/(O1701+S1701*(1-'Inputs'!$B$15))</x:f>
        <x:v>0.8754991368048894</x:v>
      </x:c>
      <x:c r="U1701" s="78" t="n">
        <x:f>O1701+S1701*(1-'Inputs'!$B$17)</x:f>
        <x:v>52958924.9662216</x:v>
      </x:c>
      <x:c r="V1701" s="78" t="n">
        <x:f>P1701-T1701</x:f>
        <x:v>214.15436465876218</x:v>
      </x:c>
      <x:c r="W1701" s="79" t="n">
        <x:f>IF(U1701&gt;0,V1701/U1701,0)</x:f>
        <x:v>0.000004043782323666023</x:v>
      </x:c>
      <x:c r="X1701" s="80" t="n">
        <x:f>W1701*('Inputs'!$B$6-AC1701)</x:f>
        <x:v>4012.272686144691</x:v>
      </x:c>
      <x:c r="Y1701" s="80" t="n">
        <x:f>2*V1701</x:f>
        <x:v>428.30872931752435</x:v>
      </x:c>
      <x:c r="Z1701" s="80" t="n">
        <x:f>K1701*'Inputs'!$B$16+(G1701+R1701)*J1701*'Inputs'!$B$16</x:f>
        <x:v>0.7794352570872827</x:v>
      </x:c>
      <x:c r="AA1701" s="80" t="n">
        <x:f>K1701*(1+'Inputs'!$E$48)/2*'Inputs'!$B$17</x:f>
        <x:v>0.25959339693629824</x:v>
      </x:c>
      <x:c r="AB1701" s="78" t="n">
        <x:f>(IF(J1701&gt;0,K1701*(1-'Inputs'!$E$48)/2/J1701,0)+G1701+R1701)*'Inputs'!$B$17</x:f>
        <x:v>64548.8842685165</x:v>
      </x:c>
      <x:c r="AC1701" s="78" t="n">
        <x:f>AC1700+AB1701</x:f>
        <x:v>7792120.099275331</x:v>
      </x:c>
      <x:c r="AD1701" s="80" t="n">
        <x:f>Z1701/(1+'Inputs'!$C$48)</x:f>
        <x:v>0.6235482056698262</x:v>
      </x:c>
      <x:c r="AE1701" s="80" t="n">
        <x:f>Z1701-AD1701</x:f>
        <x:v>0.1558870514174565</x:v>
      </x:c>
      <x:c r="AF1701" s="80" t="n">
        <x:f>D1701*W1701</x:f>
        <x:v>1.1000933763963183</x:v>
      </x:c>
      <x:c r="AG1701" s="80" t="n">
        <x:f>C1701*W1701</x:f>
        <x:v>0.6417211362312258</x:v>
      </x:c>
      <x:c r="AH1701" s="80" t="n">
        <x:f>2*'Inputs'!$B$8*'Inputs'!$C$48</x:f>
        <x:v>1250</x:v>
      </x:c>
      <x:c r="AI1701" s="81" t="n">
        <x:f>IF(AH1701&gt;0,(AE1701+AF1701)/AH1701*365,0)</x:f>
        <x:v>0.3667462849216222</x:v>
      </x:c>
      <x:c r="AJ1701" s="81" t="n">
        <x:f>IF('Inputs'!$B$48&gt;0,AG1701/('Inputs'!$B$19*'Inputs'!$B$48)*365,0)</x:f>
        <x:v>0.09369128588975897</x:v>
      </x:c>
      <x:c r="AK1701" s="81" t="n">
        <x:f>W1701/MAX($W$1464:W1701)-1</x:f>
        <x:v>-0.9952445802937271</x:v>
      </x:c>
      <x:c r="AL1701" s="83" t="n">
        <x:f>'Inputs'!$B$48</x:f>
        <x:v>0.25</x:v>
      </x:c>
      <x:c r="AM1701" s="83" t="n">
        <x:f>'Inputs'!$C$48</x:f>
        <x:v>0.25</x:v>
      </x:c>
      <x:c r="AN1701" s="83" t="n">
        <x:f>'Inputs'!$D$48</x:f>
        <x:v>0.3</x:v>
      </x:c>
      <x:c r="AO1701" s="81" t="n">
        <x:f>'Inputs'!$E$48</x:f>
        <x:v>0</x:v>
      </x:c>
    </x:row>
    <x:row r="1702">
      <x:c r="A1702" s="59" t="str">
        <x:v>Low participation</x:v>
      </x:c>
      <x:c r="B1702" s="59" t="n">
        <x:v>239</x:v>
      </x:c>
      <x:c r="C1702" s="78" t="n">
        <x:f>(('Inputs'!$B$29*(3*239*'Inputs'!$B$12-239^2)/(2*'Inputs'!$B$12^2))-('Inputs'!$B$29*(3*238*'Inputs'!$B$12-238^2)/(2*'Inputs'!$B$12^2)))*'Inputs'!$B$48</x:f>
        <x:v>158612.01679489017</x:v>
      </x:c>
      <x:c r="D1702" s="78" t="n">
        <x:f>IF('Inputs'!$C$48&gt;0,('Inputs'!$B$30*(3*239*'Inputs'!$B$12-239^2)/(2*'Inputs'!$B$12^2))-('Inputs'!$B$30*(3*238*'Inputs'!$B$12-238^2)/(2*'Inputs'!$B$12^2)),0)</x:f>
        <x:v>271906.3145055473</x:v>
      </x:c>
      <x:c r="E1702" s="78" t="n">
        <x:f>C1702+D1702</x:f>
        <x:v>430518.33130043745</x:v>
      </x:c>
      <x:c r="F1702" s="78" t="n">
        <x:f>'Inputs'!$B$13*E1702+(1-'Inputs'!$B$13)/'Inputs'!$B$14*SUM(E1647:E1702)</x:f>
        <x:v>435371.7278100969</x:v>
      </x:c>
      <x:c r="G1702" s="78" t="n">
        <x:f>F1702*'Inputs'!$F$48</x:f>
        <x:v>217685.86390504846</x:v>
      </x:c>
      <x:c r="H1702" s="78" t="n">
        <x:f>U1701</x:f>
        <x:v>52958924.9662216</x:v>
      </x:c>
      <x:c r="I1702" s="78" t="n">
        <x:f>V1701</x:f>
        <x:v>214.15436465876218</x:v>
      </x:c>
      <x:c r="J1702" s="79" t="n">
        <x:f>IF(H1702&gt;0,I1702/H1702,0)</x:f>
        <x:v>0.000004043782323666023</x:v>
      </x:c>
      <x:c r="K1702" s="80" t="n">
        <x:f>(H1702*J1702+I1702)*'Inputs'!$D$48*(1+'Inputs'!$G$48)^(B1702/30)</x:f>
        <x:v>128.4926187952573</x:v>
      </x:c>
      <x:c r="L1702" s="80" t="n">
        <x:f>MAX(0,K1702*'Inputs'!$E$48)</x:f>
        <x:v>0</x:v>
      </x:c>
      <x:c r="M1702" s="80" t="n">
        <x:f>MAX(0,-K1702*'Inputs'!$E$48)</x:f>
        <x:v>0</x:v>
      </x:c>
      <x:c r="N1702" s="78" t="n">
        <x:f>H1702*(L1702*(1-'Inputs'!$B$15))/(I1702+L1702*(1-'Inputs'!$B$15))</x:f>
        <x:v>0</x:v>
      </x:c>
      <x:c r="O1702" s="78" t="n">
        <x:f>H1702-N1702</x:f>
        <x:v>52958924.9662216</x:v>
      </x:c>
      <x:c r="P1702" s="78" t="n">
        <x:f>I1702+L1702*(1-'Inputs'!$B$17)</x:f>
        <x:v>214.15436465876218</x:v>
      </x:c>
      <x:c r="Q1702" s="78" t="n">
        <x:f>IF(J1702&gt;0,M1702/J1702,0)</x:f>
        <x:v>0</x:v>
      </x:c>
      <x:c r="R1702" s="78" t="n">
        <x:f>IF(B1702='Inputs'!$H$48,'Inputs'!$B$27*'Inputs'!$I$48,0)</x:f>
        <x:v>0</x:v>
      </x:c>
      <x:c r="S1702" s="78" t="n">
        <x:f>Q1702+G1702+R1702</x:f>
        <x:v>217685.86390504846</x:v>
      </x:c>
      <x:c r="T1702" s="78" t="n">
        <x:f>P1702*(S1702*(1-'Inputs'!$B$15))/(O1702+S1702*(1-'Inputs'!$B$15))</x:f>
        <x:v>0.8679395463942066</x:v>
      </x:c>
      <x:c r="U1702" s="78" t="n">
        <x:f>O1702+S1702*(1-'Inputs'!$B$17)</x:f>
        <x:v>53175734.83067431</x:v>
      </x:c>
      <x:c r="V1702" s="78" t="n">
        <x:f>P1702-T1702</x:f>
        <x:v>213.28642511236797</x:v>
      </x:c>
      <x:c r="W1702" s="79" t="n">
        <x:f>IF(U1702&gt;0,V1702/U1702,0)</x:f>
        <x:v>0.000004010972782821501</x:v>
      </x:c>
      <x:c r="X1702" s="80" t="n">
        <x:f>W1702*('Inputs'!$B$6-AC1702)</x:f>
        <x:v>3979.458848772089</x:v>
      </x:c>
      <x:c r="Y1702" s="80" t="n">
        <x:f>2*V1702</x:f>
        <x:v>426.57285022473593</x:v>
      </x:c>
      <x:c r="Z1702" s="80" t="n">
        <x:f>K1702*'Inputs'!$B$16+(G1702+R1702)*J1702*'Inputs'!$B$16</x:f>
        <x:v>0.776237358262971</x:v>
      </x:c>
      <x:c r="AA1702" s="80" t="n">
        <x:f>K1702*(1+'Inputs'!$E$48)/2*'Inputs'!$B$17</x:f>
        <x:v>0.25853645632848554</x:v>
      </x:c>
      <x:c r="AB1702" s="78" t="n">
        <x:f>(IF(J1702&gt;0,K1702*(1-'Inputs'!$E$48)/2/J1702,0)+G1702+R1702)*'Inputs'!$B$17</x:f>
        <x:v>64810.31530692768</x:v>
      </x:c>
      <x:c r="AC1702" s="78" t="n">
        <x:f>AC1701+AB1702</x:f>
        <x:v>7856930.414582259</x:v>
      </x:c>
      <x:c r="AD1702" s="80" t="n">
        <x:f>Z1702/(1+'Inputs'!$C$48)</x:f>
        <x:v>0.6209898866103768</x:v>
      </x:c>
      <x:c r="AE1702" s="80" t="n">
        <x:f>Z1702-AD1702</x:f>
        <x:v>0.15524747165259423</x:v>
      </x:c>
      <x:c r="AF1702" s="80" t="n">
        <x:f>D1702*W1702</x:f>
        <x:v>1.0906088269590533</x:v>
      </x:c>
      <x:c r="AG1702" s="80" t="n">
        <x:f>C1702*W1702</x:f>
        <x:v>0.6361884823927312</x:v>
      </x:c>
      <x:c r="AH1702" s="80" t="n">
        <x:f>2*'Inputs'!$B$8*'Inputs'!$C$48</x:f>
        <x:v>1250</x:v>
      </x:c>
      <x:c r="AI1702" s="81" t="n">
        <x:f>IF(AH1702&gt;0,(AE1702+AF1702)/AH1702*365,0)</x:f>
        <x:v>0.36379003919460107</x:v>
      </x:c>
      <x:c r="AJ1702" s="81" t="n">
        <x:f>IF('Inputs'!$B$48&gt;0,AG1702/('Inputs'!$B$19*'Inputs'!$B$48)*365,0)</x:f>
        <x:v>0.09288351842933876</x:v>
      </x:c>
      <x:c r="AK1702" s="81" t="n">
        <x:f>W1702/MAX($W$1464:W1702)-1</x:f>
        <x:v>-0.9952831637595513</x:v>
      </x:c>
      <x:c r="AL1702" s="83" t="n">
        <x:f>'Inputs'!$B$48</x:f>
        <x:v>0.25</x:v>
      </x:c>
      <x:c r="AM1702" s="83" t="n">
        <x:f>'Inputs'!$C$48</x:f>
        <x:v>0.25</x:v>
      </x:c>
      <x:c r="AN1702" s="83" t="n">
        <x:f>'Inputs'!$D$48</x:f>
        <x:v>0.3</x:v>
      </x:c>
      <x:c r="AO1702" s="81" t="n">
        <x:f>'Inputs'!$E$48</x:f>
        <x:v>0</x:v>
      </x:c>
    </x:row>
    <x:row r="1703">
      <x:c r="A1703" s="59" t="str">
        <x:v>Low participation</x:v>
      </x:c>
      <x:c r="B1703" s="59" t="n">
        <x:v>240</x:v>
      </x:c>
      <x:c r="C1703" s="78" t="n">
        <x:f>(('Inputs'!$B$29*(3*240*'Inputs'!$B$12-240^2)/(2*'Inputs'!$B$12^2))-('Inputs'!$B$29*(3*239*'Inputs'!$B$12-239^2)/(2*'Inputs'!$B$12^2)))*'Inputs'!$B$48</x:f>
        <x:v>158530.7398198545</x:v>
      </x:c>
      <x:c r="D1703" s="78" t="n">
        <x:f>IF('Inputs'!$C$48&gt;0,('Inputs'!$B$30*(3*240*'Inputs'!$B$12-240^2)/(2*'Inputs'!$B$12^2))-('Inputs'!$B$30*(3*239*'Inputs'!$B$12-239^2)/(2*'Inputs'!$B$12^2)),0)</x:f>
        <x:v>271766.98254831135</x:v>
      </x:c>
      <x:c r="E1703" s="78" t="n">
        <x:f>C1703+D1703</x:f>
        <x:v>430297.72236816585</x:v>
      </x:c>
      <x:c r="F1703" s="78" t="n">
        <x:f>'Inputs'!$B$13*E1703+(1-'Inputs'!$B$13)/'Inputs'!$B$14*SUM(E1648:E1703)</x:f>
        <x:v>435151.11887783656</x:v>
      </x:c>
      <x:c r="G1703" s="78" t="n">
        <x:f>F1703*'Inputs'!$F$48</x:f>
        <x:v>217575.55943891828</x:v>
      </x:c>
      <x:c r="H1703" s="78" t="n">
        <x:f>U1702</x:f>
        <x:v>53175734.83067431</x:v>
      </x:c>
      <x:c r="I1703" s="78" t="n">
        <x:f>V1702</x:f>
        <x:v>213.28642511236797</x:v>
      </x:c>
      <x:c r="J1703" s="79" t="n">
        <x:f>IF(H1703&gt;0,I1703/H1703,0)</x:f>
        <x:v>0.000004010972782821501</x:v>
      </x:c>
      <x:c r="K1703" s="80" t="n">
        <x:f>(H1703*J1703+I1703)*'Inputs'!$D$48*(1+'Inputs'!$G$48)^(B1703/30)</x:f>
        <x:v>127.97185506742078</x:v>
      </x:c>
      <x:c r="L1703" s="80" t="n">
        <x:f>MAX(0,K1703*'Inputs'!$E$48)</x:f>
        <x:v>0</x:v>
      </x:c>
      <x:c r="M1703" s="80" t="n">
        <x:f>MAX(0,-K1703*'Inputs'!$E$48)</x:f>
        <x:v>0</x:v>
      </x:c>
      <x:c r="N1703" s="78" t="n">
        <x:f>H1703*(L1703*(1-'Inputs'!$B$15))/(I1703+L1703*(1-'Inputs'!$B$15))</x:f>
        <x:v>0</x:v>
      </x:c>
      <x:c r="O1703" s="78" t="n">
        <x:f>H1703-N1703</x:f>
        <x:v>53175734.83067431</x:v>
      </x:c>
      <x:c r="P1703" s="78" t="n">
        <x:f>I1703+L1703*(1-'Inputs'!$B$17)</x:f>
        <x:v>213.28642511236797</x:v>
      </x:c>
      <x:c r="Q1703" s="78" t="n">
        <x:f>IF(J1703&gt;0,M1703/J1703,0)</x:f>
        <x:v>0</x:v>
      </x:c>
      <x:c r="R1703" s="78" t="n">
        <x:f>IF(B1703='Inputs'!$H$48,'Inputs'!$B$27*'Inputs'!$I$48,0)</x:f>
        <x:v>0</x:v>
      </x:c>
      <x:c r="S1703" s="78" t="n">
        <x:f>Q1703+G1703+R1703</x:f>
        <x:v>217575.55943891828</x:v>
      </x:c>
      <x:c r="T1703" s="78" t="n">
        <x:f>P1703*(S1703*(1-'Inputs'!$B$15))/(O1703+S1703*(1-'Inputs'!$B$15))</x:f>
        <x:v>0.8604772018124939</x:v>
      </x:c>
      <x:c r="U1703" s="78" t="n">
        <x:f>O1703+S1703*(1-'Inputs'!$B$17)</x:f>
        <x:v>53392434.83454205</x:v>
      </x:c>
      <x:c r="V1703" s="78" t="n">
        <x:f>P1703-T1703</x:f>
        <x:v>212.42594791055546</x:v>
      </x:c>
      <x:c r="W1703" s="79" t="n">
        <x:f>IF(U1703&gt;0,V1703/U1703,0)</x:f>
        <x:v>0.00000397857764997687</x:v>
      </x:c>
      <x:c r="X1703" s="80" t="n">
        <x:f>W1703*('Inputs'!$B$6-AC1703)</x:f>
        <x:v>3947.0593497640075</x:v>
      </x:c>
      <x:c r="Y1703" s="80" t="n">
        <x:f>2*V1703</x:f>
        <x:v>424.85189582111093</x:v>
      </x:c>
      <x:c r="Z1703" s="80" t="n">
        <x:f>K1703*'Inputs'!$B$16+(G1703+R1703)*J1703*'Inputs'!$B$16</x:f>
        <x:v>0.7730672682872246</x:v>
      </x:c>
      <x:c r="AA1703" s="80" t="n">
        <x:f>K1703*(1+'Inputs'!$E$48)/2*'Inputs'!$B$17</x:f>
        <x:v>0.25748864198676213</x:v>
      </x:c>
      <x:c r="AB1703" s="78" t="n">
        <x:f>(IF(J1703&gt;0,K1703*(1-'Inputs'!$E$48)/2/J1703,0)+G1703+R1703)*'Inputs'!$B$17</x:f>
        <x:v>65071.61371686605</x:v>
      </x:c>
      <x:c r="AC1703" s="78" t="n">
        <x:f>AC1702+AB1703</x:f>
        <x:v>7922002.028299125</x:v>
      </x:c>
      <x:c r="AD1703" s="80" t="n">
        <x:f>Z1703/(1+'Inputs'!$C$48)</x:f>
        <x:v>0.6184538146297797</x:v>
      </x:c>
      <x:c r="AE1703" s="80" t="n">
        <x:f>Z1703-AD1703</x:f>
        <x:v>0.15461345365744494</x:v>
      </x:c>
      <x:c r="AF1703" s="80" t="n">
        <x:f>D1703*W1703</x:f>
        <x:v>1.0812460427683654</x:v>
      </x:c>
      <x:c r="AG1703" s="80" t="n">
        <x:f>C1703*W1703</x:f>
        <x:v>0.6307268582815713</x:v>
      </x:c>
      <x:c r="AH1703" s="80" t="n">
        <x:f>2*'Inputs'!$B$8*'Inputs'!$C$48</x:f>
        <x:v>1250</x:v>
      </x:c>
      <x:c r="AI1703" s="81" t="n">
        <x:f>IF(AH1703&gt;0,(AE1703+AF1703)/AH1703*365,0)</x:f>
        <x:v>0.3608709729563366</x:v>
      </x:c>
      <x:c r="AJ1703" s="81" t="n">
        <x:f>IF('Inputs'!$B$48&gt;0,AG1703/('Inputs'!$B$19*'Inputs'!$B$48)*365,0)</x:f>
        <x:v>0.09208612130910941</x:v>
      </x:c>
      <x:c r="AK1703" s="81" t="n">
        <x:f>W1703/MAX($W$1464:W1703)-1</x:f>
        <x:v>-0.9953212598885677</x:v>
      </x:c>
      <x:c r="AL1703" s="83" t="n">
        <x:f>'Inputs'!$B$48</x:f>
        <x:v>0.25</x:v>
      </x:c>
      <x:c r="AM1703" s="83" t="n">
        <x:f>'Inputs'!$C$48</x:f>
        <x:v>0.25</x:v>
      </x:c>
      <x:c r="AN1703" s="83" t="n">
        <x:f>'Inputs'!$D$48</x:f>
        <x:v>0.3</x:v>
      </x:c>
      <x:c r="AO1703" s="81" t="n">
        <x:f>'Inputs'!$E$48</x:f>
        <x:v>0</x:v>
      </x:c>
    </x:row>
    <x:row r="1704">
      <x:c r="A1704" s="59" t="str">
        <x:v>Low participation</x:v>
      </x:c>
      <x:c r="B1704" s="59" t="n">
        <x:v>241</x:v>
      </x:c>
      <x:c r="C1704" s="78" t="n">
        <x:f>(('Inputs'!$B$29*(3*241*'Inputs'!$B$12-241^2)/(2*'Inputs'!$B$12^2))-('Inputs'!$B$29*(3*240*'Inputs'!$B$12-240^2)/(2*'Inputs'!$B$12^2)))*'Inputs'!$B$48</x:f>
        <x:v>158449.46284481138</x:v>
      </x:c>
      <x:c r="D1704" s="78" t="n">
        <x:f>IF('Inputs'!$C$48&gt;0,('Inputs'!$B$30*(3*241*'Inputs'!$B$12-241^2)/(2*'Inputs'!$B$12^2))-('Inputs'!$B$30*(3*240*'Inputs'!$B$12-240^2)/(2*'Inputs'!$B$12^2)),0)</x:f>
        <x:v>271627.6505911052</x:v>
      </x:c>
      <x:c r="E1704" s="78" t="n">
        <x:f>C1704+D1704</x:f>
        <x:v>430077.1134359166</x:v>
      </x:c>
      <x:c r="F1704" s="78" t="n">
        <x:f>'Inputs'!$B$13*E1704+(1-'Inputs'!$B$13)/'Inputs'!$B$14*SUM(E1649:E1704)</x:f>
        <x:v>434930.5099455807</x:v>
      </x:c>
      <x:c r="G1704" s="78" t="n">
        <x:f>F1704*'Inputs'!$F$48</x:f>
        <x:v>217465.25497279034</x:v>
      </x:c>
      <x:c r="H1704" s="78" t="n">
        <x:f>U1703</x:f>
        <x:v>53392434.83454205</x:v>
      </x:c>
      <x:c r="I1704" s="78" t="n">
        <x:f>V1703</x:f>
        <x:v>212.42594791055546</x:v>
      </x:c>
      <x:c r="J1704" s="79" t="n">
        <x:f>IF(H1704&gt;0,I1704/H1704,0)</x:f>
        <x:v>0.00000397857764997687</x:v>
      </x:c>
      <x:c r="K1704" s="80" t="n">
        <x:f>(H1704*J1704+I1704)*'Inputs'!$D$48*(1+'Inputs'!$G$48)^(B1704/30)</x:f>
        <x:v>127.45556874633327</x:v>
      </x:c>
      <x:c r="L1704" s="80" t="n">
        <x:f>MAX(0,K1704*'Inputs'!$E$48)</x:f>
        <x:v>0</x:v>
      </x:c>
      <x:c r="M1704" s="80" t="n">
        <x:f>MAX(0,-K1704*'Inputs'!$E$48)</x:f>
        <x:v>0</x:v>
      </x:c>
      <x:c r="N1704" s="78" t="n">
        <x:f>H1704*(L1704*(1-'Inputs'!$B$15))/(I1704+L1704*(1-'Inputs'!$B$15))</x:f>
        <x:v>0</x:v>
      </x:c>
      <x:c r="O1704" s="78" t="n">
        <x:f>H1704-N1704</x:f>
        <x:v>53392434.83454205</x:v>
      </x:c>
      <x:c r="P1704" s="78" t="n">
        <x:f>I1704+L1704*(1-'Inputs'!$B$17)</x:f>
        <x:v>212.42594791055546</x:v>
      </x:c>
      <x:c r="Q1704" s="78" t="n">
        <x:f>IF(J1704&gt;0,M1704/J1704,0)</x:f>
        <x:v>0</x:v>
      </x:c>
      <x:c r="R1704" s="78" t="n">
        <x:f>IF(B1704='Inputs'!$H$48,'Inputs'!$B$27*'Inputs'!$I$48,0)</x:f>
        <x:v>0</x:v>
      </x:c>
      <x:c r="S1704" s="78" t="n">
        <x:f>Q1704+G1704+R1704</x:f>
        <x:v>217465.25497279034</x:v>
      </x:c>
      <x:c r="T1704" s="78" t="n">
        <x:f>P1704*(S1704*(1-'Inputs'!$B$15))/(O1704+S1704*(1-'Inputs'!$B$15))</x:f>
        <x:v>0.8531104411383632</x:v>
      </x:c>
      <x:c r="U1704" s="78" t="n">
        <x:f>O1704+S1704*(1-'Inputs'!$B$17)</x:f>
        <x:v>53609024.97782481</x:v>
      </x:c>
      <x:c r="V1704" s="78" t="n">
        <x:f>P1704-T1704</x:f>
        <x:v>211.5728374694171</x:v>
      </x:c>
      <x:c r="W1704" s="79" t="n">
        <x:f>IF(U1704&gt;0,V1704/U1704,0)</x:f>
        <x:v>0.0000039465899175919255</x:v>
      </x:c>
      <x:c r="X1704" s="80" t="n">
        <x:f>W1704*('Inputs'!$B$6-AC1704)</x:f>
        <x:v>3915.067182571041</x:v>
      </x:c>
      <x:c r="Y1704" s="80" t="n">
        <x:f>2*V1704</x:f>
        <x:v>423.1456749388342</x:v>
      </x:c>
      <x:c r="Z1704" s="80" t="n">
        <x:f>K1704*'Inputs'!$B$16+(G1704+R1704)*J1704*'Inputs'!$B$16</x:f>
        <x:v>0.7699246268964872</x:v>
      </x:c>
      <x:c r="AA1704" s="80" t="n">
        <x:f>K1704*(1+'Inputs'!$E$48)/2*'Inputs'!$B$17</x:f>
        <x:v>0.256449836511737</x:v>
      </x:c>
      <x:c r="AB1704" s="78" t="n">
        <x:f>(IF(J1704&gt;0,K1704*(1-'Inputs'!$E$48)/2/J1704,0)+G1704+R1704)*'Inputs'!$B$17</x:f>
        <x:v>65332.77949833161</x:v>
      </x:c>
      <x:c r="AC1704" s="78" t="n">
        <x:f>AC1703+AB1704</x:f>
        <x:v>7987334.807797456</x:v>
      </x:c>
      <x:c r="AD1704" s="80" t="n">
        <x:f>Z1704/(1+'Inputs'!$C$48)</x:f>
        <x:v>0.6159397015171898</x:v>
      </x:c>
      <x:c r="AE1704" s="80" t="n">
        <x:f>Z1704-AD1704</x:f>
        <x:v>0.15398492537929742</x:v>
      </x:c>
      <x:c r="AF1704" s="80" t="n">
        <x:f>D1704*W1704</x:f>
        <x:v>1.0720029471620383</x:v>
      </x:c>
      <x:c r="AG1704" s="80" t="n">
        <x:f>C1704*W1704</x:f>
        <x:v>0.625335052511189</x:v>
      </x:c>
      <x:c r="AH1704" s="80" t="n">
        <x:f>2*'Inputs'!$B$8*'Inputs'!$C$48</x:f>
        <x:v>1250</x:v>
      </x:c>
      <x:c r="AI1704" s="81" t="n">
        <x:f>IF(AH1704&gt;0,(AE1704+AF1704)/AH1704*365,0)</x:f>
        <x:v>0.35798845878207003</x:v>
      </x:c>
      <x:c r="AJ1704" s="81" t="n">
        <x:f>IF('Inputs'!$B$48&gt;0,AG1704/('Inputs'!$B$19*'Inputs'!$B$48)*365,0)</x:f>
        <x:v>0.0912989176666336</x:v>
      </x:c>
      <x:c r="AK1704" s="81" t="n">
        <x:f>W1704/MAX($W$1464:W1704)-1</x:f>
        <x:v>-0.9953588769215252</x:v>
      </x:c>
      <x:c r="AL1704" s="83" t="n">
        <x:f>'Inputs'!$B$48</x:f>
        <x:v>0.25</x:v>
      </x:c>
      <x:c r="AM1704" s="83" t="n">
        <x:f>'Inputs'!$C$48</x:f>
        <x:v>0.25</x:v>
      </x:c>
      <x:c r="AN1704" s="83" t="n">
        <x:f>'Inputs'!$D$48</x:f>
        <x:v>0.3</x:v>
      </x:c>
      <x:c r="AO1704" s="81" t="n">
        <x:f>'Inputs'!$E$48</x:f>
        <x:v>0</x:v>
      </x:c>
    </x:row>
    <x:row r="1705">
      <x:c r="A1705" s="59" t="str">
        <x:v>Low participation</x:v>
      </x:c>
      <x:c r="B1705" s="59" t="n">
        <x:v>242</x:v>
      </x:c>
      <x:c r="C1705" s="78" t="n">
        <x:f>(('Inputs'!$B$29*(3*242*'Inputs'!$B$12-242^2)/(2*'Inputs'!$B$12^2))-('Inputs'!$B$29*(3*241*'Inputs'!$B$12-241^2)/(2*'Inputs'!$B$12^2)))*'Inputs'!$B$48</x:f>
        <x:v>158368.18586976826</x:v>
      </x:c>
      <x:c r="D1705" s="78" t="n">
        <x:f>IF('Inputs'!$C$48&gt;0,('Inputs'!$B$30*(3*242*'Inputs'!$B$12-242^2)/(2*'Inputs'!$B$12^2))-('Inputs'!$B$30*(3*241*'Inputs'!$B$12-241^2)/(2*'Inputs'!$B$12^2)),0)</x:f>
        <x:v>271488.3186338991</x:v>
      </x:c>
      <x:c r="E1705" s="78" t="n">
        <x:f>C1705+D1705</x:f>
        <x:v>429856.50450366735</x:v>
      </x:c>
      <x:c r="F1705" s="78" t="n">
        <x:f>'Inputs'!$B$13*E1705+(1-'Inputs'!$B$13)/'Inputs'!$B$14*SUM(E1650:E1705)</x:f>
        <x:v>434709.9010133251</x:v>
      </x:c>
      <x:c r="G1705" s="78" t="n">
        <x:f>F1705*'Inputs'!$F$48</x:f>
        <x:v>217354.95050666254</x:v>
      </x:c>
      <x:c r="H1705" s="78" t="n">
        <x:f>U1704</x:f>
        <x:v>53609024.97782481</x:v>
      </x:c>
      <x:c r="I1705" s="78" t="n">
        <x:f>V1704</x:f>
        <x:v>211.5728374694171</x:v>
      </x:c>
      <x:c r="J1705" s="79" t="n">
        <x:f>IF(H1705&gt;0,I1705/H1705,0)</x:f>
        <x:v>0.0000039465899175919255</x:v>
      </x:c>
      <x:c r="K1705" s="80" t="n">
        <x:f>(H1705*J1705+I1705)*'Inputs'!$D$48*(1+'Inputs'!$G$48)^(B1705/30)</x:f>
        <x:v>126.94370248165025</x:v>
      </x:c>
      <x:c r="L1705" s="80" t="n">
        <x:f>MAX(0,K1705*'Inputs'!$E$48)</x:f>
        <x:v>0</x:v>
      </x:c>
      <x:c r="M1705" s="80" t="n">
        <x:f>MAX(0,-K1705*'Inputs'!$E$48)</x:f>
        <x:v>0</x:v>
      </x:c>
      <x:c r="N1705" s="78" t="n">
        <x:f>H1705*(L1705*(1-'Inputs'!$B$15))/(I1705+L1705*(1-'Inputs'!$B$15))</x:f>
        <x:v>0</x:v>
      </x:c>
      <x:c r="O1705" s="78" t="n">
        <x:f>H1705-N1705</x:f>
        <x:v>53609024.97782481</x:v>
      </x:c>
      <x:c r="P1705" s="78" t="n">
        <x:f>I1705+L1705*(1-'Inputs'!$B$17)</x:f>
        <x:v>211.5728374694171</x:v>
      </x:c>
      <x:c r="Q1705" s="78" t="n">
        <x:f>IF(J1705&gt;0,M1705/J1705,0)</x:f>
        <x:v>0</x:v>
      </x:c>
      <x:c r="R1705" s="78" t="n">
        <x:f>IF(B1705='Inputs'!$H$48,'Inputs'!$B$27*'Inputs'!$I$48,0)</x:f>
        <x:v>0</x:v>
      </x:c>
      <x:c r="S1705" s="78" t="n">
        <x:f>Q1705+G1705+R1705</x:f>
        <x:v>217354.95050666254</x:v>
      </x:c>
      <x:c r="T1705" s="78" t="n">
        <x:f>P1705*(S1705*(1-'Inputs'!$B$15))/(O1705+S1705*(1-'Inputs'!$B$15))</x:f>
        <x:v>0.8458376378116286</x:v>
      </x:c>
      <x:c r="U1705" s="78" t="n">
        <x:f>O1705+S1705*(1-'Inputs'!$B$17)</x:f>
        <x:v>53825505.26052259</x:v>
      </x:c>
      <x:c r="V1705" s="78" t="n">
        <x:f>P1705-T1705</x:f>
        <x:v>210.72699983160547</x:v>
      </x:c>
      <x:c r="W1705" s="79" t="n">
        <x:f>IF(U1705&gt;0,V1705/U1705,0)</x:f>
        <x:v>0.0000039150027261548</x:v>
      </x:c>
      <x:c r="X1705" s="80" t="n">
        <x:f>W1705*('Inputs'!$B$6-AC1705)</x:f>
        <x:v>3883.475488652213</x:v>
      </x:c>
      <x:c r="Y1705" s="80" t="n">
        <x:f>2*V1705</x:f>
        <x:v>421.45399966321094</x:v>
      </x:c>
      <x:c r="Z1705" s="80" t="n">
        <x:f>K1705*'Inputs'!$B$16+(G1705+R1705)*J1705*'Inputs'!$B$16</x:f>
        <x:v>0.7668090800271512</x:v>
      </x:c>
      <x:c r="AA1705" s="80" t="n">
        <x:f>K1705*(1+'Inputs'!$E$48)/2*'Inputs'!$B$17</x:f>
        <x:v>0.2554199245103627</x:v>
      </x:c>
      <x:c r="AB1705" s="78" t="n">
        <x:f>(IF(J1705&gt;0,K1705*(1-'Inputs'!$E$48)/2/J1705,0)+G1705+R1705)*'Inputs'!$B$17</x:f>
        <x:v>65593.81265132438</x:v>
      </x:c>
      <x:c r="AC1705" s="78" t="n">
        <x:f>AC1704+AB1705</x:f>
        <x:v>8052928.62044878</x:v>
      </x:c>
      <x:c r="AD1705" s="80" t="n">
        <x:f>Z1705/(1+'Inputs'!$C$48)</x:f>
        <x:v>0.613447264021721</x:v>
      </x:c>
      <x:c r="AE1705" s="80" t="n">
        <x:f>Z1705-AD1705</x:f>
        <x:v>0.1533618160054302</x:v>
      </x:c>
      <x:c r="AF1705" s="80" t="n">
        <x:f>D1705*W1705</x:f>
        <x:v>1.062877507570898</x:v>
      </x:c>
      <x:c r="AG1705" s="80" t="n">
        <x:f>C1705*W1705</x:f>
        <x:v>0.6200118794163328</x:v>
      </x:c>
      <x:c r="AH1705" s="80" t="n">
        <x:f>2*'Inputs'!$B$8*'Inputs'!$C$48</x:f>
        <x:v>1250</x:v>
      </x:c>
      <x:c r="AI1705" s="81" t="n">
        <x:f>IF(AH1705&gt;0,(AE1705+AF1705)/AH1705*365,0)</x:f>
        <x:v>0.35514188248428785</x:v>
      </x:c>
      <x:c r="AJ1705" s="81" t="n">
        <x:f>IF('Inputs'!$B$48&gt;0,AG1705/('Inputs'!$B$19*'Inputs'!$B$48)*365,0)</x:f>
        <x:v>0.0905217343947846</x:v>
      </x:c>
      <x:c r="AK1705" s="81" t="n">
        <x:f>W1705/MAX($W$1464:W1705)-1</x:f>
        <x:v>-0.9953960229250939</x:v>
      </x:c>
      <x:c r="AL1705" s="83" t="n">
        <x:f>'Inputs'!$B$48</x:f>
        <x:v>0.25</x:v>
      </x:c>
      <x:c r="AM1705" s="83" t="n">
        <x:f>'Inputs'!$C$48</x:f>
        <x:v>0.25</x:v>
      </x:c>
      <x:c r="AN1705" s="83" t="n">
        <x:f>'Inputs'!$D$48</x:f>
        <x:v>0.3</x:v>
      </x:c>
      <x:c r="AO1705" s="81" t="n">
        <x:f>'Inputs'!$E$48</x:f>
        <x:v>0</x:v>
      </x:c>
    </x:row>
    <x:row r="1706">
      <x:c r="A1706" s="59" t="str">
        <x:v>Low participation</x:v>
      </x:c>
      <x:c r="B1706" s="59" t="n">
        <x:v>243</x:v>
      </x:c>
      <x:c r="C1706" s="78" t="n">
        <x:f>(('Inputs'!$B$29*(3*243*'Inputs'!$B$12-243^2)/(2*'Inputs'!$B$12^2))-('Inputs'!$B$29*(3*242*'Inputs'!$B$12-242^2)/(2*'Inputs'!$B$12^2)))*'Inputs'!$B$48</x:f>
        <x:v>158286.9088947326</x:v>
      </x:c>
      <x:c r="D1706" s="78" t="n">
        <x:f>IF('Inputs'!$C$48&gt;0,('Inputs'!$B$30*(3*243*'Inputs'!$B$12-243^2)/(2*'Inputs'!$B$12^2))-('Inputs'!$B$30*(3*242*'Inputs'!$B$12-242^2)/(2*'Inputs'!$B$12^2)),0)</x:f>
        <x:v>271348.98667666316</x:v>
      </x:c>
      <x:c r="E1706" s="78" t="n">
        <x:f>C1706+D1706</x:f>
        <x:v>429635.89557139575</x:v>
      </x:c>
      <x:c r="F1706" s="78" t="n">
        <x:f>'Inputs'!$B$13*E1706+(1-'Inputs'!$B$13)/'Inputs'!$B$14*SUM(E1651:E1706)</x:f>
        <x:v>434489.29208106466</x:v>
      </x:c>
      <x:c r="G1706" s="78" t="n">
        <x:f>F1706*'Inputs'!$F$48</x:f>
        <x:v>217244.64604053233</x:v>
      </x:c>
      <x:c r="H1706" s="78" t="n">
        <x:f>U1705</x:f>
        <x:v>53825505.26052259</x:v>
      </x:c>
      <x:c r="I1706" s="78" t="n">
        <x:f>V1705</x:f>
        <x:v>210.72699983160547</x:v>
      </x:c>
      <x:c r="J1706" s="79" t="n">
        <x:f>IF(H1706&gt;0,I1706/H1706,0)</x:f>
        <x:v>0.0000039150027261548</x:v>
      </x:c>
      <x:c r="K1706" s="80" t="n">
        <x:f>(H1706*J1706+I1706)*'Inputs'!$D$48*(1+'Inputs'!$G$48)^(B1706/30)</x:f>
        <x:v>126.43619989896328</x:v>
      </x:c>
      <x:c r="L1706" s="80" t="n">
        <x:f>MAX(0,K1706*'Inputs'!$E$48)</x:f>
        <x:v>0</x:v>
      </x:c>
      <x:c r="M1706" s="80" t="n">
        <x:f>MAX(0,-K1706*'Inputs'!$E$48)</x:f>
        <x:v>0</x:v>
      </x:c>
      <x:c r="N1706" s="78" t="n">
        <x:f>H1706*(L1706*(1-'Inputs'!$B$15))/(I1706+L1706*(1-'Inputs'!$B$15))</x:f>
        <x:v>0</x:v>
      </x:c>
      <x:c r="O1706" s="78" t="n">
        <x:f>H1706-N1706</x:f>
        <x:v>53825505.26052259</x:v>
      </x:c>
      <x:c r="P1706" s="78" t="n">
        <x:f>I1706+L1706*(1-'Inputs'!$B$17)</x:f>
        <x:v>210.72699983160547</x:v>
      </x:c>
      <x:c r="Q1706" s="78" t="n">
        <x:f>IF(J1706&gt;0,M1706/J1706,0)</x:f>
        <x:v>0</x:v>
      </x:c>
      <x:c r="R1706" s="78" t="n">
        <x:f>IF(B1706='Inputs'!$H$48,'Inputs'!$B$27*'Inputs'!$I$48,0)</x:f>
        <x:v>0</x:v>
      </x:c>
      <x:c r="S1706" s="78" t="n">
        <x:f>Q1706+G1706+R1706</x:f>
        <x:v>217244.64604053233</x:v>
      </x:c>
      <x:c r="T1706" s="78" t="n">
        <x:f>P1706*(S1706*(1-'Inputs'!$B$15))/(O1706+S1706*(1-'Inputs'!$B$15))</x:f>
        <x:v>0.838657199734118</x:v>
      </x:c>
      <x:c r="U1706" s="78" t="n">
        <x:f>O1706+S1706*(1-'Inputs'!$B$17)</x:f>
        <x:v>54041875.68263539</x:v>
      </x:c>
      <x:c r="V1706" s="78" t="n">
        <x:f>P1706-T1706</x:f>
        <x:v>209.88834263187135</x:v>
      </x:c>
      <x:c r="W1706" s="79" t="n">
        <x:f>IF(U1706&gt;0,V1706/U1706,0)</x:f>
        <x:v>0.000003883809360438468</x:v>
      </x:c>
      <x:c r="X1706" s="80" t="n">
        <x:f>W1706*('Inputs'!$B$6-AC1706)</x:f>
        <x:v>3852.2775537319653</x:v>
      </x:c>
      <x:c r="Y1706" s="80" t="n">
        <x:f>2*V1706</x:f>
        <x:v>419.7766852637427</x:v>
      </x:c>
      <x:c r="Z1706" s="80" t="n">
        <x:f>K1706*'Inputs'!$B$16+(G1706+R1706)*J1706*'Inputs'!$B$16</x:f>
        <x:v>0.763720279682727</x:v>
      </x:c>
      <x:c r="AA1706" s="80" t="n">
        <x:f>K1706*(1+'Inputs'!$E$48)/2*'Inputs'!$B$17</x:f>
        <x:v>0.25439879255324604</x:v>
      </x:c>
      <x:c r="AB1706" s="78" t="n">
        <x:f>(IF(J1706&gt;0,K1706*(1-'Inputs'!$E$48)/2/J1706,0)+G1706+R1706)*'Inputs'!$B$17</x:f>
        <x:v>65854.71317584431</x:v>
      </x:c>
      <x:c r="AC1706" s="78" t="n">
        <x:f>AC1705+AB1706</x:f>
        <x:v>8118783.333624625</x:v>
      </x:c>
      <x:c r="AD1706" s="80" t="n">
        <x:f>Z1706/(1+'Inputs'!$C$48)</x:f>
        <x:v>0.6109762237461817</x:v>
      </x:c>
      <x:c r="AE1706" s="80" t="n">
        <x:f>Z1706-AD1706</x:f>
        <x:v>0.1527440559365454</x:v>
      </x:c>
      <x:c r="AF1706" s="80" t="n">
        <x:f>D1706*W1706</x:f>
        <x:v>1.0538677344003176</x:v>
      </x:c>
      <x:c r="AG1706" s="80" t="n">
        <x:f>C1706*W1706</x:f>
        <x:v>0.6147561784002336</x:v>
      </x:c>
      <x:c r="AH1706" s="80" t="n">
        <x:f>2*'Inputs'!$B$8*'Inputs'!$C$48</x:f>
        <x:v>1250</x:v>
      </x:c>
      <x:c r="AI1706" s="81" t="n">
        <x:f>IF(AH1706&gt;0,(AE1706+AF1706)/AH1706*365,0)</x:f>
        <x:v>0.35233064277836396</x:v>
      </x:c>
      <x:c r="AJ1706" s="81" t="n">
        <x:f>IF('Inputs'!$B$48&gt;0,AG1706/('Inputs'!$B$19*'Inputs'!$B$48)*365,0)</x:f>
        <x:v>0.0897544020464341</x:v>
      </x:c>
      <x:c r="AK1706" s="81" t="n">
        <x:f>W1706/MAX($W$1464:W1706)-1</x:f>
        <x:v>-0.9954327057962673</x:v>
      </x:c>
      <x:c r="AL1706" s="83" t="n">
        <x:f>'Inputs'!$B$48</x:f>
        <x:v>0.25</x:v>
      </x:c>
      <x:c r="AM1706" s="83" t="n">
        <x:f>'Inputs'!$C$48</x:f>
        <x:v>0.25</x:v>
      </x:c>
      <x:c r="AN1706" s="83" t="n">
        <x:f>'Inputs'!$D$48</x:f>
        <x:v>0.3</x:v>
      </x:c>
      <x:c r="AO1706" s="81" t="n">
        <x:f>'Inputs'!$E$48</x:f>
        <x:v>0</x:v>
      </x:c>
    </x:row>
    <x:row r="1707">
      <x:c r="A1707" s="59" t="str">
        <x:v>Low participation</x:v>
      </x:c>
      <x:c r="B1707" s="59" t="n">
        <x:v>244</x:v>
      </x:c>
      <x:c r="C1707" s="78" t="n">
        <x:f>(('Inputs'!$B$29*(3*244*'Inputs'!$B$12-244^2)/(2*'Inputs'!$B$12^2))-('Inputs'!$B$29*(3*243*'Inputs'!$B$12-243^2)/(2*'Inputs'!$B$12^2)))*'Inputs'!$B$48</x:f>
        <x:v>158205.63191968203</x:v>
      </x:c>
      <x:c r="D1707" s="78" t="n">
        <x:f>IF('Inputs'!$C$48&gt;0,('Inputs'!$B$30*(3*244*'Inputs'!$B$12-244^2)/(2*'Inputs'!$B$12^2))-('Inputs'!$B$30*(3*243*'Inputs'!$B$12-243^2)/(2*'Inputs'!$B$12^2)),0)</x:f>
        <x:v>271209.65471947193</x:v>
      </x:c>
      <x:c r="E1707" s="78" t="n">
        <x:f>C1707+D1707</x:f>
        <x:v>429415.28663915396</x:v>
      </x:c>
      <x:c r="F1707" s="78" t="n">
        <x:f>'Inputs'!$B$13*E1707+(1-'Inputs'!$B$13)/'Inputs'!$B$14*SUM(E1652:E1707)</x:f>
        <x:v>434268.6831488104</x:v>
      </x:c>
      <x:c r="G1707" s="78" t="n">
        <x:f>F1707*'Inputs'!$F$48</x:f>
        <x:v>217134.3415744052</x:v>
      </x:c>
      <x:c r="H1707" s="78" t="n">
        <x:f>U1706</x:f>
        <x:v>54041875.68263539</x:v>
      </x:c>
      <x:c r="I1707" s="78" t="n">
        <x:f>V1706</x:f>
        <x:v>209.88834263187135</x:v>
      </x:c>
      <x:c r="J1707" s="79" t="n">
        <x:f>IF(H1707&gt;0,I1707/H1707,0)</x:f>
        <x:v>0.000003883809360438468</x:v>
      </x:c>
      <x:c r="K1707" s="80" t="n">
        <x:f>(H1707*J1707+I1707)*'Inputs'!$D$48*(1+'Inputs'!$G$48)^(B1707/30)</x:f>
        <x:v>125.9330055791228</x:v>
      </x:c>
      <x:c r="L1707" s="80" t="n">
        <x:f>MAX(0,K1707*'Inputs'!$E$48)</x:f>
        <x:v>0</x:v>
      </x:c>
      <x:c r="M1707" s="80" t="n">
        <x:f>MAX(0,-K1707*'Inputs'!$E$48)</x:f>
        <x:v>0</x:v>
      </x:c>
      <x:c r="N1707" s="78" t="n">
        <x:f>H1707*(L1707*(1-'Inputs'!$B$15))/(I1707+L1707*(1-'Inputs'!$B$15))</x:f>
        <x:v>0</x:v>
      </x:c>
      <x:c r="O1707" s="78" t="n">
        <x:f>H1707-N1707</x:f>
        <x:v>54041875.68263539</x:v>
      </x:c>
      <x:c r="P1707" s="78" t="n">
        <x:f>I1707+L1707*(1-'Inputs'!$B$17)</x:f>
        <x:v>209.88834263187135</x:v>
      </x:c>
      <x:c r="Q1707" s="78" t="n">
        <x:f>IF(J1707&gt;0,M1707/J1707,0)</x:f>
        <x:v>0</x:v>
      </x:c>
      <x:c r="R1707" s="78" t="n">
        <x:f>IF(B1707='Inputs'!$H$48,'Inputs'!$B$27*'Inputs'!$I$48,0)</x:f>
        <x:v>0</x:v>
      </x:c>
      <x:c r="S1707" s="78" t="n">
        <x:f>Q1707+G1707+R1707</x:f>
        <x:v>217134.3415744052</x:v>
      </x:c>
      <x:c r="T1707" s="78" t="n">
        <x:f>P1707*(S1707*(1-'Inputs'!$B$15))/(O1707+S1707*(1-'Inputs'!$B$15))</x:f>
        <x:v>0.831567568397059</x:v>
      </x:c>
      <x:c r="U1707" s="78" t="n">
        <x:f>O1707+S1707*(1-'Inputs'!$B$17)</x:f>
        <x:v>54258136.244163215</x:v>
      </x:c>
      <x:c r="V1707" s="78" t="n">
        <x:f>P1707-T1707</x:f>
        <x:v>209.0567750634743</x:v>
      </x:c>
      <x:c r="W1707" s="79" t="n">
        <x:f>IF(U1707&gt;0,V1707/U1707,0)</x:f>
        <x:v>0.00000385300324586736</x:v>
      </x:c>
      <x:c r="X1707" s="80" t="n">
        <x:f>W1707*('Inputs'!$B$6-AC1707)</x:f>
        <x:v>3821.4668041672385</x:v>
      </x:c>
      <x:c r="Y1707" s="80" t="n">
        <x:f>2*V1707</x:f>
        <x:v>418.1135501269486</x:v>
      </x:c>
      <x:c r="Z1707" s="80" t="n">
        <x:f>K1707*'Inputs'!$B$16+(G1707+R1707)*J1707*'Inputs'!$B$16</x:f>
        <x:v>0.7606578838044128</x:v>
      </x:c>
      <x:c r="AA1707" s="80" t="n">
        <x:f>K1707*(1+'Inputs'!$E$48)/2*'Inputs'!$B$17</x:f>
        <x:v>0.2533863291330439</x:v>
      </x:c>
      <x:c r="AB1707" s="78" t="n">
        <x:f>(IF(J1707&gt;0,K1707*(1-'Inputs'!$E$48)/2/J1707,0)+G1707+R1707)*'Inputs'!$B$17</x:f>
        <x:v>66115.48107189142</x:v>
      </x:c>
      <x:c r="AC1707" s="78" t="n">
        <x:f>AC1706+AB1707</x:f>
        <x:v>8184898.814696516</x:v>
      </x:c>
      <x:c r="AD1707" s="80" t="n">
        <x:f>Z1707/(1+'Inputs'!$C$48)</x:f>
        <x:v>0.6085263070435303</x:v>
      </x:c>
      <x:c r="AE1707" s="80" t="n">
        <x:f>Z1707-AD1707</x:f>
        <x:v>0.15213157676088251</x:v>
      </x:c>
      <x:c r="AF1707" s="80" t="n">
        <x:f>D1707*W1707</x:f>
        <x:v>1.0449716799446913</x:v>
      </x:c>
      <x:c r="AG1707" s="80" t="n">
        <x:f>C1707*W1707</x:f>
        <x:v>0.6095668133010317</x:v>
      </x:c>
      <x:c r="AH1707" s="80" t="n">
        <x:f>2*'Inputs'!$B$8*'Inputs'!$C$48</x:f>
        <x:v>1250</x:v>
      </x:c>
      <x:c r="AI1707" s="81" t="n">
        <x:f>IF(AH1707&gt;0,(AE1707+AF1707)/AH1707*365,0)</x:f>
        <x:v>0.3495541509580276</x:v>
      </x:c>
      <x:c r="AJ1707" s="81" t="n">
        <x:f>IF('Inputs'!$B$48&gt;0,AG1707/('Inputs'!$B$19*'Inputs'!$B$48)*365,0)</x:f>
        <x:v>0.08899675474195062</x:v>
      </x:c>
      <x:c r="AK1707" s="81" t="n">
        <x:f>W1707/MAX($W$1464:W1707)-1</x:f>
        <x:v>-0.9954689332666353</x:v>
      </x:c>
      <x:c r="AL1707" s="83" t="n">
        <x:f>'Inputs'!$B$48</x:f>
        <x:v>0.25</x:v>
      </x:c>
      <x:c r="AM1707" s="83" t="n">
        <x:f>'Inputs'!$C$48</x:f>
        <x:v>0.25</x:v>
      </x:c>
      <x:c r="AN1707" s="83" t="n">
        <x:f>'Inputs'!$D$48</x:f>
        <x:v>0.3</x:v>
      </x:c>
      <x:c r="AO1707" s="81" t="n">
        <x:f>'Inputs'!$E$48</x:f>
        <x:v>0</x:v>
      </x:c>
    </x:row>
    <x:row r="1708">
      <x:c r="A1708" s="59" t="str">
        <x:v>Low participation</x:v>
      </x:c>
      <x:c r="B1708" s="59" t="n">
        <x:v>245</x:v>
      </x:c>
      <x:c r="C1708" s="78" t="n">
        <x:f>(('Inputs'!$B$29*(3*245*'Inputs'!$B$12-245^2)/(2*'Inputs'!$B$12^2))-('Inputs'!$B$29*(3*244*'Inputs'!$B$12-244^2)/(2*'Inputs'!$B$12^2)))*'Inputs'!$B$48</x:f>
        <x:v>158124.35494464636</x:v>
      </x:c>
      <x:c r="D1708" s="78" t="n">
        <x:f>IF('Inputs'!$C$48&gt;0,('Inputs'!$B$30*(3*245*'Inputs'!$B$12-245^2)/(2*'Inputs'!$B$12^2))-('Inputs'!$B$30*(3*244*'Inputs'!$B$12-244^2)/(2*'Inputs'!$B$12^2)),0)</x:f>
        <x:v>271070.322762236</x:v>
      </x:c>
      <x:c r="E1708" s="78" t="n">
        <x:f>C1708+D1708</x:f>
        <x:v>429194.67770688236</x:v>
      </x:c>
      <x:c r="F1708" s="78" t="n">
        <x:f>'Inputs'!$B$13*E1708+(1-'Inputs'!$B$13)/'Inputs'!$B$14*SUM(E1653:E1708)</x:f>
        <x:v>434048.07421655016</x:v>
      </x:c>
      <x:c r="G1708" s="78" t="n">
        <x:f>F1708*'Inputs'!$F$48</x:f>
        <x:v>217024.03710827508</x:v>
      </x:c>
      <x:c r="H1708" s="78" t="n">
        <x:f>U1707</x:f>
        <x:v>54258136.244163215</x:v>
      </x:c>
      <x:c r="I1708" s="78" t="n">
        <x:f>V1707</x:f>
        <x:v>209.0567750634743</x:v>
      </x:c>
      <x:c r="J1708" s="79" t="n">
        <x:f>IF(H1708&gt;0,I1708/H1708,0)</x:f>
        <x:v>0.00000385300324586736</x:v>
      </x:c>
      <x:c r="K1708" s="80" t="n">
        <x:f>(H1708*J1708+I1708)*'Inputs'!$D$48*(1+'Inputs'!$G$48)^(B1708/30)</x:f>
        <x:v>125.4340650380846</x:v>
      </x:c>
      <x:c r="L1708" s="80" t="n">
        <x:f>MAX(0,K1708*'Inputs'!$E$48)</x:f>
        <x:v>0</x:v>
      </x:c>
      <x:c r="M1708" s="80" t="n">
        <x:f>MAX(0,-K1708*'Inputs'!$E$48)</x:f>
        <x:v>0</x:v>
      </x:c>
      <x:c r="N1708" s="78" t="n">
        <x:f>H1708*(L1708*(1-'Inputs'!$B$15))/(I1708+L1708*(1-'Inputs'!$B$15))</x:f>
        <x:v>0</x:v>
      </x:c>
      <x:c r="O1708" s="78" t="n">
        <x:f>H1708-N1708</x:f>
        <x:v>54258136.244163215</x:v>
      </x:c>
      <x:c r="P1708" s="78" t="n">
        <x:f>I1708+L1708*(1-'Inputs'!$B$17)</x:f>
        <x:v>209.0567750634743</x:v>
      </x:c>
      <x:c r="Q1708" s="78" t="n">
        <x:f>IF(J1708&gt;0,M1708/J1708,0)</x:f>
        <x:v>0</x:v>
      </x:c>
      <x:c r="R1708" s="78" t="n">
        <x:f>IF(B1708='Inputs'!$H$48,'Inputs'!$B$27*'Inputs'!$I$48,0)</x:f>
        <x:v>0</x:v>
      </x:c>
      <x:c r="S1708" s="78" t="n">
        <x:f>Q1708+G1708+R1708</x:f>
        <x:v>217024.03710827508</x:v>
      </x:c>
      <x:c r="T1708" s="78" t="n">
        <x:f>P1708*(S1708*(1-'Inputs'!$B$15))/(O1708+S1708*(1-'Inputs'!$B$15))</x:f>
        <x:v>0.8245672180340294</x:v>
      </x:c>
      <x:c r="U1708" s="78" t="n">
        <x:f>O1708+S1708*(1-'Inputs'!$B$17)</x:f>
        <x:v>54474286.94510607</x:v>
      </x:c>
      <x:c r="V1708" s="78" t="n">
        <x:f>P1708-T1708</x:f>
        <x:v>208.23220784544029</x:v>
      </x:c>
      <x:c r="W1708" s="79" t="n">
        <x:f>IF(U1708&gt;0,V1708/U1708,0)</x:f>
        <x:v>0.000003822577944990388</x:v>
      </x:c>
      <x:c r="X1708" s="80" t="n">
        <x:f>W1708*('Inputs'!$B$6-AC1708)</x:f>
        <x:v>3791.0368034209578</x:v>
      </x:c>
      <x:c r="Y1708" s="80" t="n">
        <x:f>2*V1708</x:f>
        <x:v>416.46441569088057</x:v>
      </x:c>
      <x:c r="Z1708" s="80" t="n">
        <x:f>K1708*'Inputs'!$B$16+(G1708+R1708)*J1708*'Inputs'!$B$16</x:f>
        <x:v>0.7576215561449641</x:v>
      </x:c>
      <x:c r="AA1708" s="80" t="n">
        <x:f>K1708*(1+'Inputs'!$E$48)/2*'Inputs'!$B$17</x:f>
        <x:v>0.2523824246239127</x:v>
      </x:c>
      <x:c r="AB1708" s="78" t="n">
        <x:f>(IF(J1708&gt;0,K1708*(1-'Inputs'!$E$48)/2/J1708,0)+G1708+R1708)*'Inputs'!$B$17</x:f>
        <x:v>66376.11633946575</x:v>
      </x:c>
      <x:c r="AC1708" s="78" t="n">
        <x:f>AC1707+AB1708</x:f>
        <x:v>8251274.9310359815</x:v>
      </x:c>
      <x:c r="AD1708" s="80" t="n">
        <x:f>Z1708/(1+'Inputs'!$C$48)</x:f>
        <x:v>0.6060972449159713</x:v>
      </x:c>
      <x:c r="AE1708" s="80" t="n">
        <x:f>Z1708-AD1708</x:f>
        <x:v>0.1515243112289928</x:v>
      </x:c>
      <x:c r="AF1708" s="80" t="n">
        <x:f>D1708*W1708</x:f>
        <x:v>1.0361874373323494</x:v>
      </x:c>
      <x:c r="AG1708" s="80" t="n">
        <x:f>C1708*W1708</x:f>
        <x:v>0.604442671777237</x:v>
      </x:c>
      <x:c r="AH1708" s="80" t="n">
        <x:f>2*'Inputs'!$B$8*'Inputs'!$C$48</x:f>
        <x:v>1250</x:v>
      </x:c>
      <x:c r="AI1708" s="81" t="n">
        <x:f>IF(AH1708&gt;0,(AE1708+AF1708)/AH1708*365,0)</x:f>
        <x:v>0.3468118305799119</x:v>
      </x:c>
      <x:c r="AJ1708" s="81" t="n">
        <x:f>IF('Inputs'!$B$48&gt;0,AG1708/('Inputs'!$B$19*'Inputs'!$B$48)*365,0)</x:f>
        <x:v>0.0882486300794766</x:v>
      </x:c>
      <x:c r="AK1708" s="81" t="n">
        <x:f>W1708/MAX($W$1464:W1708)-1</x:f>
        <x:v>-0.9955047129065316</x:v>
      </x:c>
      <x:c r="AL1708" s="83" t="n">
        <x:f>'Inputs'!$B$48</x:f>
        <x:v>0.25</x:v>
      </x:c>
      <x:c r="AM1708" s="83" t="n">
        <x:f>'Inputs'!$C$48</x:f>
        <x:v>0.25</x:v>
      </x:c>
      <x:c r="AN1708" s="83" t="n">
        <x:f>'Inputs'!$D$48</x:f>
        <x:v>0.3</x:v>
      </x:c>
      <x:c r="AO1708" s="81" t="n">
        <x:f>'Inputs'!$E$48</x:f>
        <x:v>0</x:v>
      </x:c>
    </x:row>
    <x:row r="1709">
      <x:c r="A1709" s="59" t="str">
        <x:v>Low participation</x:v>
      </x:c>
      <x:c r="B1709" s="59" t="n">
        <x:v>246</x:v>
      </x:c>
      <x:c r="C1709" s="78" t="n">
        <x:f>(('Inputs'!$B$29*(3*246*'Inputs'!$B$12-246^2)/(2*'Inputs'!$B$12^2))-('Inputs'!$B$29*(3*245*'Inputs'!$B$12-245^2)/(2*'Inputs'!$B$12^2)))*'Inputs'!$B$48</x:f>
        <x:v>158043.0779695958</x:v>
      </x:c>
      <x:c r="D1709" s="78" t="n">
        <x:f>IF('Inputs'!$C$48&gt;0,('Inputs'!$B$30*(3*246*'Inputs'!$B$12-246^2)/(2*'Inputs'!$B$12^2))-('Inputs'!$B$30*(3*245*'Inputs'!$B$12-245^2)/(2*'Inputs'!$B$12^2)),0)</x:f>
        <x:v>270930.99080502987</x:v>
      </x:c>
      <x:c r="E1709" s="78" t="n">
        <x:f>C1709+D1709</x:f>
        <x:v>428974.06877462566</x:v>
      </x:c>
      <x:c r="F1709" s="78" t="n">
        <x:f>'Inputs'!$B$13*E1709+(1-'Inputs'!$B$13)/'Inputs'!$B$14*SUM(E1654:E1709)</x:f>
        <x:v>433827.4652842927</x:v>
      </x:c>
      <x:c r="G1709" s="78" t="n">
        <x:f>F1709*'Inputs'!$F$48</x:f>
        <x:v>216913.73264214635</x:v>
      </x:c>
      <x:c r="H1709" s="78" t="n">
        <x:f>U1708</x:f>
        <x:v>54474286.94510607</x:v>
      </x:c>
      <x:c r="I1709" s="78" t="n">
        <x:f>V1708</x:f>
        <x:v>208.23220784544029</x:v>
      </x:c>
      <x:c r="J1709" s="79" t="n">
        <x:f>IF(H1709&gt;0,I1709/H1709,0)</x:f>
        <x:v>0.000003822577944990388</x:v>
      </x:c>
      <x:c r="K1709" s="80" t="n">
        <x:f>(H1709*J1709+I1709)*'Inputs'!$D$48*(1+'Inputs'!$G$48)^(B1709/30)</x:f>
        <x:v>124.93932470726416</x:v>
      </x:c>
      <x:c r="L1709" s="80" t="n">
        <x:f>MAX(0,K1709*'Inputs'!$E$48)</x:f>
        <x:v>0</x:v>
      </x:c>
      <x:c r="M1709" s="80" t="n">
        <x:f>MAX(0,-K1709*'Inputs'!$E$48)</x:f>
        <x:v>0</x:v>
      </x:c>
      <x:c r="N1709" s="78" t="n">
        <x:f>H1709*(L1709*(1-'Inputs'!$B$15))/(I1709+L1709*(1-'Inputs'!$B$15))</x:f>
        <x:v>0</x:v>
      </x:c>
      <x:c r="O1709" s="78" t="n">
        <x:f>H1709-N1709</x:f>
        <x:v>54474286.94510607</x:v>
      </x:c>
      <x:c r="P1709" s="78" t="n">
        <x:f>I1709+L1709*(1-'Inputs'!$B$17)</x:f>
        <x:v>208.23220784544029</x:v>
      </x:c>
      <x:c r="Q1709" s="78" t="n">
        <x:f>IF(J1709&gt;0,M1709/J1709,0)</x:f>
        <x:v>0</x:v>
      </x:c>
      <x:c r="R1709" s="78" t="n">
        <x:f>IF(B1709='Inputs'!$H$48,'Inputs'!$B$27*'Inputs'!$I$48,0)</x:f>
        <x:v>0</x:v>
      </x:c>
      <x:c r="S1709" s="78" t="n">
        <x:f>Q1709+G1709+R1709</x:f>
        <x:v>216913.73264214635</x:v>
      </x:c>
      <x:c r="T1709" s="78" t="n">
        <x:f>P1709*(S1709*(1-'Inputs'!$B$15))/(O1709+S1709*(1-'Inputs'!$B$15))</x:f>
        <x:v>0.8176546547988862</x:v>
      </x:c>
      <x:c r="U1709" s="78" t="n">
        <x:f>O1709+S1709*(1-'Inputs'!$B$17)</x:f>
        <x:v>54690327.78546394</x:v>
      </x:c>
      <x:c r="V1709" s="78" t="n">
        <x:f>P1709-T1709</x:f>
        <x:v>207.4145531906414</x:v>
      </x:c>
      <x:c r="W1709" s="79" t="n">
        <x:f>IF(U1709&gt;0,V1709/U1709,0)</x:f>
        <x:v>0.000003792527154056843</x:v>
      </x:c>
      <x:c r="X1709" s="80" t="n">
        <x:f>W1709*('Inputs'!$B$6-AC1709)</x:f>
        <x:v>3760.98124863837</x:v>
      </x:c>
      <x:c r="Y1709" s="80" t="n">
        <x:f>2*V1709</x:f>
        <x:v>414.8291063812828</x:v>
      </x:c>
      <x:c r="Z1709" s="80" t="n">
        <x:f>K1709*'Inputs'!$B$16+(G1709+R1709)*J1709*'Inputs'!$B$16</x:f>
        <x:v>0.7546109661457655</x:v>
      </x:c>
      <x:c r="AA1709" s="80" t="n">
        <x:f>K1709*(1+'Inputs'!$E$48)/2*'Inputs'!$B$17</x:f>
        <x:v>0.25138697124198023</x:v>
      </x:c>
      <x:c r="AB1709" s="78" t="n">
        <x:f>(IF(J1709&gt;0,K1709*(1-'Inputs'!$E$48)/2/J1709,0)+G1709+R1709)*'Inputs'!$B$17</x:f>
        <x:v>66636.61897856728</x:v>
      </x:c>
      <x:c r="AC1709" s="78" t="n">
        <x:f>AC1708+AB1709</x:f>
        <x:v>8317911.550014549</x:v>
      </x:c>
      <x:c r="AD1709" s="80" t="n">
        <x:f>Z1709/(1+'Inputs'!$C$48)</x:f>
        <x:v>0.6036887729166124</x:v>
      </x:c>
      <x:c r="AE1709" s="80" t="n">
        <x:f>Z1709-AD1709</x:f>
        <x:v>0.15092219322915312</x:v>
      </x:c>
      <x:c r="AF1709" s="80" t="n">
        <x:f>D1709*W1709</x:f>
        <x:v>1.0275131395036006</x:v>
      </x:c>
      <x:c r="AG1709" s="80" t="n">
        <x:f>C1709*W1709</x:f>
        <x:v>0.5993826647104148</x:v>
      </x:c>
      <x:c r="AH1709" s="80" t="n">
        <x:f>2*'Inputs'!$B$8*'Inputs'!$C$48</x:f>
        <x:v>1250</x:v>
      </x:c>
      <x:c r="AI1709" s="81" t="n">
        <x:f>IF(AH1709&gt;0,(AE1709+AF1709)/AH1709*365,0)</x:f>
        <x:v>0.3441031171579641</x:v>
      </x:c>
      <x:c r="AJ1709" s="81" t="n">
        <x:f>IF('Inputs'!$B$48&gt;0,AG1709/('Inputs'!$B$19*'Inputs'!$B$48)*365,0)</x:f>
        <x:v>0.08750986904772057</x:v>
      </x:c>
      <x:c r="AK1709" s="81" t="n">
        <x:f>W1709/MAX($W$1464:W1709)-1</x:f>
        <x:v>-0.9955400521290605</x:v>
      </x:c>
      <x:c r="AL1709" s="83" t="n">
        <x:f>'Inputs'!$B$48</x:f>
        <x:v>0.25</x:v>
      </x:c>
      <x:c r="AM1709" s="83" t="n">
        <x:f>'Inputs'!$C$48</x:f>
        <x:v>0.25</x:v>
      </x:c>
      <x:c r="AN1709" s="83" t="n">
        <x:f>'Inputs'!$D$48</x:f>
        <x:v>0.3</x:v>
      </x:c>
      <x:c r="AO1709" s="81" t="n">
        <x:f>'Inputs'!$E$48</x:f>
        <x:v>0</x:v>
      </x:c>
    </x:row>
    <x:row r="1710">
      <x:c r="A1710" s="59" t="str">
        <x:v>Low participation</x:v>
      </x:c>
      <x:c r="B1710" s="59" t="n">
        <x:v>247</x:v>
      </x:c>
      <x:c r="C1710" s="78" t="n">
        <x:f>(('Inputs'!$B$29*(3*247*'Inputs'!$B$12-247^2)/(2*'Inputs'!$B$12^2))-('Inputs'!$B$29*(3*246*'Inputs'!$B$12-246^2)/(2*'Inputs'!$B$12^2)))*'Inputs'!$B$48</x:f>
        <x:v>157961.80099456012</x:v>
      </x:c>
      <x:c r="D1710" s="78" t="n">
        <x:f>IF('Inputs'!$C$48&gt;0,('Inputs'!$B$30*(3*247*'Inputs'!$B$12-247^2)/(2*'Inputs'!$B$12^2))-('Inputs'!$B$30*(3*246*'Inputs'!$B$12-246^2)/(2*'Inputs'!$B$12^2)),0)</x:f>
        <x:v>270791.65884780884</x:v>
      </x:c>
      <x:c r="E1710" s="78" t="n">
        <x:f>C1710+D1710</x:f>
        <x:v>428753.45984236896</x:v>
      </x:c>
      <x:c r="F1710" s="78" t="n">
        <x:f>'Inputs'!$B$13*E1710+(1-'Inputs'!$B$13)/'Inputs'!$B$14*SUM(E1655:E1710)</x:f>
        <x:v>433606.85635203536</x:v>
      </x:c>
      <x:c r="G1710" s="78" t="n">
        <x:f>F1710*'Inputs'!$F$48</x:f>
        <x:v>216803.42817601768</x:v>
      </x:c>
      <x:c r="H1710" s="78" t="n">
        <x:f>U1709</x:f>
        <x:v>54690327.78546394</x:v>
      </x:c>
      <x:c r="I1710" s="78" t="n">
        <x:f>V1709</x:f>
        <x:v>207.4145531906414</x:v>
      </x:c>
      <x:c r="J1710" s="79" t="n">
        <x:f>IF(H1710&gt;0,I1710/H1710,0)</x:f>
        <x:v>0.000003792527154056843</x:v>
      </x:c>
      <x:c r="K1710" s="80" t="n">
        <x:f>(H1710*J1710+I1710)*'Inputs'!$D$48*(1+'Inputs'!$G$48)^(B1710/30)</x:f>
        <x:v>124.44873191438484</x:v>
      </x:c>
      <x:c r="L1710" s="80" t="n">
        <x:f>MAX(0,K1710*'Inputs'!$E$48)</x:f>
        <x:v>0</x:v>
      </x:c>
      <x:c r="M1710" s="80" t="n">
        <x:f>MAX(0,-K1710*'Inputs'!$E$48)</x:f>
        <x:v>0</x:v>
      </x:c>
      <x:c r="N1710" s="78" t="n">
        <x:f>H1710*(L1710*(1-'Inputs'!$B$15))/(I1710+L1710*(1-'Inputs'!$B$15))</x:f>
        <x:v>0</x:v>
      </x:c>
      <x:c r="O1710" s="78" t="n">
        <x:f>H1710-N1710</x:f>
        <x:v>54690327.78546394</x:v>
      </x:c>
      <x:c r="P1710" s="78" t="n">
        <x:f>I1710+L1710*(1-'Inputs'!$B$17)</x:f>
        <x:v>207.4145531906414</x:v>
      </x:c>
      <x:c r="Q1710" s="78" t="n">
        <x:f>IF(J1710&gt;0,M1710/J1710,0)</x:f>
        <x:v>0</x:v>
      </x:c>
      <x:c r="R1710" s="78" t="n">
        <x:f>IF(B1710='Inputs'!$H$48,'Inputs'!$B$27*'Inputs'!$I$48,0)</x:f>
        <x:v>0</x:v>
      </x:c>
      <x:c r="S1710" s="78" t="n">
        <x:f>Q1710+G1710+R1710</x:f>
        <x:v>216803.42817601768</x:v>
      </x:c>
      <x:c r="T1710" s="78" t="n">
        <x:f>P1710*(S1710*(1-'Inputs'!$B$15))/(O1710+S1710*(1-'Inputs'!$B$15))</x:f>
        <x:v>0.8108284159675333</x:v>
      </x:c>
      <x:c r="U1710" s="78" t="n">
        <x:f>O1710+S1710*(1-'Inputs'!$B$17)</x:f>
        <x:v>54906258.76523683</x:v>
      </x:c>
      <x:c r="V1710" s="78" t="n">
        <x:f>P1710-T1710</x:f>
        <x:v>206.60372477467388</x:v>
      </x:c>
      <x:c r="W1710" s="79" t="n">
        <x:f>IF(U1710&gt;0,V1710/U1710,0)</x:f>
        <x:v>0.0000037628446996917276</x:v>
      </x:c>
      <x:c r="X1710" s="80" t="n">
        <x:f>W1710*('Inputs'!$B$6-AC1710)</x:f>
        <x:v>3731.2939673228075</x:v>
      </x:c>
      <x:c r="Y1710" s="80" t="n">
        <x:f>2*V1710</x:f>
        <x:v>413.20744954934776</x:v>
      </x:c>
      <x:c r="Z1710" s="80" t="n">
        <x:f>K1710*'Inputs'!$B$16+(G1710+R1710)*J1710*'Inputs'!$B$16</x:f>
        <x:v>0.75162578881701</x:v>
      </x:c>
      <x:c r="AA1710" s="80" t="n">
        <x:f>K1710*(1+'Inputs'!$E$48)/2*'Inputs'!$B$17</x:f>
        <x:v>0.25039986300681055</x:v>
      </x:c>
      <x:c r="AB1710" s="78" t="n">
        <x:f>(IF(J1710&gt;0,K1710*(1-'Inputs'!$E$48)/2/J1710,0)+G1710+R1710)*'Inputs'!$B$17</x:f>
        <x:v>66896.98898919596</x:v>
      </x:c>
      <x:c r="AC1710" s="78" t="n">
        <x:f>AC1709+AB1710</x:f>
        <x:v>8384808.539003745</x:v>
      </x:c>
      <x:c r="AD1710" s="80" t="n">
        <x:f>Z1710/(1+'Inputs'!$C$48)</x:f>
        <x:v>0.601300631053608</x:v>
      </x:c>
      <x:c r="AE1710" s="80" t="n">
        <x:f>Z1710-AD1710</x:f>
        <x:v>0.15032515776340205</x:v>
      </x:c>
      <x:c r="AF1710" s="80" t="n">
        <x:f>D1710*W1710</x:f>
        <x:v>1.018946958216208</x:v>
      </x:c>
      <x:c r="AG1710" s="80" t="n">
        <x:f>C1710*W1710</x:f>
        <x:v>0.59438572562614</x:v>
      </x:c>
      <x:c r="AH1710" s="80" t="n">
        <x:f>2*'Inputs'!$B$8*'Inputs'!$C$48</x:f>
        <x:v>1250</x:v>
      </x:c>
      <x:c r="AI1710" s="81" t="n">
        <x:f>IF(AH1710&gt;0,(AE1710+AF1710)/AH1710*365,0)</x:f>
        <x:v>0.34142745786604617</x:v>
      </x:c>
      <x:c r="AJ1710" s="81" t="n">
        <x:f>IF('Inputs'!$B$48&gt;0,AG1710/('Inputs'!$B$19*'Inputs'!$B$48)*365,0)</x:f>
        <x:v>0.08678031594141644</x:v>
      </x:c>
      <x:c r="AK1710" s="81" t="n">
        <x:f>W1710/MAX($W$1464:W1710)-1</x:f>
        <x:v>-0.9955749581940068</x:v>
      </x:c>
      <x:c r="AL1710" s="83" t="n">
        <x:f>'Inputs'!$B$48</x:f>
        <x:v>0.25</x:v>
      </x:c>
      <x:c r="AM1710" s="83" t="n">
        <x:f>'Inputs'!$C$48</x:f>
        <x:v>0.25</x:v>
      </x:c>
      <x:c r="AN1710" s="83" t="n">
        <x:f>'Inputs'!$D$48</x:f>
        <x:v>0.3</x:v>
      </x:c>
      <x:c r="AO1710" s="81" t="n">
        <x:f>'Inputs'!$E$48</x:f>
        <x:v>0</x:v>
      </x:c>
    </x:row>
    <x:row r="1711">
      <x:c r="A1711" s="59" t="str">
        <x:v>Low participation</x:v>
      </x:c>
      <x:c r="B1711" s="59" t="n">
        <x:v>248</x:v>
      </x:c>
      <x:c r="C1711" s="78" t="n">
        <x:f>(('Inputs'!$B$29*(3*248*'Inputs'!$B$12-248^2)/(2*'Inputs'!$B$12^2))-('Inputs'!$B$29*(3*247*'Inputs'!$B$12-247^2)/(2*'Inputs'!$B$12^2)))*'Inputs'!$B$48</x:f>
        <x:v>157880.524019517</x:v>
      </x:c>
      <x:c r="D1711" s="78" t="n">
        <x:f>IF('Inputs'!$C$48&gt;0,('Inputs'!$B$30*(3*248*'Inputs'!$B$12-248^2)/(2*'Inputs'!$B$12^2))-('Inputs'!$B$30*(3*247*'Inputs'!$B$12-247^2)/(2*'Inputs'!$B$12^2)),0)</x:f>
        <x:v>270652.3268906027</x:v>
      </x:c>
      <x:c r="E1711" s="78" t="n">
        <x:f>C1711+D1711</x:f>
        <x:v>428532.8509101197</x:v>
      </x:c>
      <x:c r="F1711" s="78" t="n">
        <x:f>'Inputs'!$B$13*E1711+(1-'Inputs'!$B$13)/'Inputs'!$B$14*SUM(E1656:E1711)</x:f>
        <x:v>433386.24741977965</x:v>
      </x:c>
      <x:c r="G1711" s="78" t="n">
        <x:f>F1711*'Inputs'!$F$48</x:f>
        <x:v>216693.12370988983</x:v>
      </x:c>
      <x:c r="H1711" s="78" t="n">
        <x:f>U1710</x:f>
        <x:v>54906258.76523683</x:v>
      </x:c>
      <x:c r="I1711" s="78" t="n">
        <x:f>V1710</x:f>
        <x:v>206.60372477467388</x:v>
      </x:c>
      <x:c r="J1711" s="79" t="n">
        <x:f>IF(H1711&gt;0,I1711/H1711,0)</x:f>
        <x:v>0.0000037628446996917276</x:v>
      </x:c>
      <x:c r="K1711" s="80" t="n">
        <x:f>(H1711*J1711+I1711)*'Inputs'!$D$48*(1+'Inputs'!$G$48)^(B1711/30)</x:f>
        <x:v>123.96223486480432</x:v>
      </x:c>
      <x:c r="L1711" s="80" t="n">
        <x:f>MAX(0,K1711*'Inputs'!$E$48)</x:f>
        <x:v>0</x:v>
      </x:c>
      <x:c r="M1711" s="80" t="n">
        <x:f>MAX(0,-K1711*'Inputs'!$E$48)</x:f>
        <x:v>0</x:v>
      </x:c>
      <x:c r="N1711" s="78" t="n">
        <x:f>H1711*(L1711*(1-'Inputs'!$B$15))/(I1711+L1711*(1-'Inputs'!$B$15))</x:f>
        <x:v>0</x:v>
      </x:c>
      <x:c r="O1711" s="78" t="n">
        <x:f>H1711-N1711</x:f>
        <x:v>54906258.76523683</x:v>
      </x:c>
      <x:c r="P1711" s="78" t="n">
        <x:f>I1711+L1711*(1-'Inputs'!$B$17)</x:f>
        <x:v>206.60372477467388</x:v>
      </x:c>
      <x:c r="Q1711" s="78" t="n">
        <x:f>IF(J1711&gt;0,M1711/J1711,0)</x:f>
        <x:v>0</x:v>
      </x:c>
      <x:c r="R1711" s="78" t="n">
        <x:f>IF(B1711='Inputs'!$H$48,'Inputs'!$B$27*'Inputs'!$I$48,0)</x:f>
        <x:v>0</x:v>
      </x:c>
      <x:c r="S1711" s="78" t="n">
        <x:f>Q1711+G1711+R1711</x:f>
        <x:v>216693.12370988983</x:v>
      </x:c>
      <x:c r="T1711" s="78" t="n">
        <x:f>P1711*(S1711*(1-'Inputs'!$B$15))/(O1711+S1711*(1-'Inputs'!$B$15))</x:f>
        <x:v>0.8040870691629729</x:v>
      </x:c>
      <x:c r="U1711" s="78" t="n">
        <x:f>O1711+S1711*(1-'Inputs'!$B$17)</x:f>
        <x:v>55122079.88442475</x:v>
      </x:c>
      <x:c r="V1711" s="78" t="n">
        <x:f>P1711-T1711</x:f>
        <x:v>205.79963770551092</x:v>
      </x:c>
      <x:c r="W1711" s="79" t="n">
        <x:f>IF(U1711&gt;0,V1711/U1711,0)</x:f>
        <x:v>0.000003733524535667267</x:v>
      </x:c>
      <x:c r="X1711" s="80" t="n">
        <x:f>W1711*('Inputs'!$B$6-AC1711)</x:f>
        <x:v>3701.968914107619</x:v>
      </x:c>
      <x:c r="Y1711" s="80" t="n">
        <x:f>2*V1711</x:f>
        <x:v>411.59927541102184</x:v>
      </x:c>
      <x:c r="Z1711" s="80" t="n">
        <x:f>K1711*'Inputs'!$B$16+(G1711+R1711)*J1711*'Inputs'!$B$16</x:f>
        <x:v>0.7486657046208943</x:v>
      </x:c>
      <x:c r="AA1711" s="80" t="n">
        <x:f>K1711*(1+'Inputs'!$E$48)/2*'Inputs'!$B$17</x:f>
        <x:v>0.24942099570383164</x:v>
      </x:c>
      <x:c r="AB1711" s="78" t="n">
        <x:f>(IF(J1711&gt;0,K1711*(1-'Inputs'!$E$48)/2/J1711,0)+G1711+R1711)*'Inputs'!$B$17</x:f>
        <x:v>67157.22637135186</x:v>
      </x:c>
      <x:c r="AC1711" s="78" t="n">
        <x:f>AC1710+AB1711</x:f>
        <x:v>8451965.765375096</x:v>
      </x:c>
      <x:c r="AD1711" s="80" t="n">
        <x:f>Z1711/(1+'Inputs'!$C$48)</x:f>
        <x:v>0.5989325636967154</x:v>
      </x:c>
      <x:c r="AE1711" s="80" t="n">
        <x:f>Z1711-AD1711</x:f>
        <x:v>0.1497331409241789</x:v>
      </x:c>
      <x:c r="AF1711" s="80" t="n">
        <x:f>D1711*W1711</x:f>
        <x:v>1.0104871030815028</x:v>
      </x:c>
      <x:c r="AG1711" s="80" t="n">
        <x:f>C1711*W1711</x:f>
        <x:v>0.589450810130872</x:v>
      </x:c>
      <x:c r="AH1711" s="80" t="n">
        <x:f>2*'Inputs'!$B$8*'Inputs'!$C$48</x:f>
        <x:v>1250</x:v>
      </x:c>
      <x:c r="AI1711" s="81" t="n">
        <x:f>IF(AH1711&gt;0,(AE1711+AF1711)/AH1711*365,0)</x:f>
        <x:v>0.338784311249659</x:v>
      </x:c>
      <x:c r="AJ1711" s="81" t="n">
        <x:f>IF('Inputs'!$B$48&gt;0,AG1711/('Inputs'!$B$19*'Inputs'!$B$48)*365,0)</x:f>
        <x:v>0.0860598182791073</x:v>
      </x:c>
      <x:c r="AK1711" s="81" t="n">
        <x:f>W1711/MAX($W$1464:W1711)-1</x:f>
        <x:v>-0.9956094382116321</x:v>
      </x:c>
      <x:c r="AL1711" s="83" t="n">
        <x:f>'Inputs'!$B$48</x:f>
        <x:v>0.25</x:v>
      </x:c>
      <x:c r="AM1711" s="83" t="n">
        <x:f>'Inputs'!$C$48</x:f>
        <x:v>0.25</x:v>
      </x:c>
      <x:c r="AN1711" s="83" t="n">
        <x:f>'Inputs'!$D$48</x:f>
        <x:v>0.3</x:v>
      </x:c>
      <x:c r="AO1711" s="81" t="n">
        <x:f>'Inputs'!$E$48</x:f>
        <x:v>0</x:v>
      </x:c>
    </x:row>
    <x:row r="1712">
      <x:c r="A1712" s="59" t="str">
        <x:v>Low participation</x:v>
      </x:c>
      <x:c r="B1712" s="59" t="n">
        <x:v>249</x:v>
      </x:c>
      <x:c r="C1712" s="78" t="n">
        <x:f>(('Inputs'!$B$29*(3*249*'Inputs'!$B$12-249^2)/(2*'Inputs'!$B$12^2))-('Inputs'!$B$29*(3*248*'Inputs'!$B$12-248^2)/(2*'Inputs'!$B$12^2)))*'Inputs'!$B$48</x:f>
        <x:v>157799.2470444739</x:v>
      </x:c>
      <x:c r="D1712" s="78" t="n">
        <x:f>IF('Inputs'!$C$48&gt;0,('Inputs'!$B$30*(3*249*'Inputs'!$B$12-249^2)/(2*'Inputs'!$B$12^2))-('Inputs'!$B$30*(3*248*'Inputs'!$B$12-248^2)/(2*'Inputs'!$B$12^2)),0)</x:f>
        <x:v>270512.9949333817</x:v>
      </x:c>
      <x:c r="E1712" s="78" t="n">
        <x:f>C1712+D1712</x:f>
        <x:v>428312.24197785556</x:v>
      </x:c>
      <x:c r="F1712" s="78" t="n">
        <x:f>'Inputs'!$B$13*E1712+(1-'Inputs'!$B$13)/'Inputs'!$B$14*SUM(E1657:E1712)</x:f>
        <x:v>433165.63848752086</x:v>
      </x:c>
      <x:c r="G1712" s="78" t="n">
        <x:f>F1712*'Inputs'!$F$48</x:f>
        <x:v>216582.81924376043</x:v>
      </x:c>
      <x:c r="H1712" s="78" t="n">
        <x:f>U1711</x:f>
        <x:v>55122079.88442475</x:v>
      </x:c>
      <x:c r="I1712" s="78" t="n">
        <x:f>V1711</x:f>
        <x:v>205.79963770551092</x:v>
      </x:c>
      <x:c r="J1712" s="79" t="n">
        <x:f>IF(H1712&gt;0,I1712/H1712,0)</x:f>
        <x:v>0.000003733524535667267</x:v>
      </x:c>
      <x:c r="K1712" s="80" t="n">
        <x:f>(H1712*J1712+I1712)*'Inputs'!$D$48*(1+'Inputs'!$G$48)^(B1712/30)</x:f>
        <x:v>123.47978262330655</x:v>
      </x:c>
      <x:c r="L1712" s="80" t="n">
        <x:f>MAX(0,K1712*'Inputs'!$E$48)</x:f>
        <x:v>0</x:v>
      </x:c>
      <x:c r="M1712" s="80" t="n">
        <x:f>MAX(0,-K1712*'Inputs'!$E$48)</x:f>
        <x:v>0</x:v>
      </x:c>
      <x:c r="N1712" s="78" t="n">
        <x:f>H1712*(L1712*(1-'Inputs'!$B$15))/(I1712+L1712*(1-'Inputs'!$B$15))</x:f>
        <x:v>0</x:v>
      </x:c>
      <x:c r="O1712" s="78" t="n">
        <x:f>H1712-N1712</x:f>
        <x:v>55122079.88442475</x:v>
      </x:c>
      <x:c r="P1712" s="78" t="n">
        <x:f>I1712+L1712*(1-'Inputs'!$B$17)</x:f>
        <x:v>205.79963770551092</x:v>
      </x:c>
      <x:c r="Q1712" s="78" t="n">
        <x:f>IF(J1712&gt;0,M1712/J1712,0)</x:f>
        <x:v>0</x:v>
      </x:c>
      <x:c r="R1712" s="78" t="n">
        <x:f>IF(B1712='Inputs'!$H$48,'Inputs'!$B$27*'Inputs'!$I$48,0)</x:f>
        <x:v>0</x:v>
      </x:c>
      <x:c r="S1712" s="78" t="n">
        <x:f>Q1712+G1712+R1712</x:f>
        <x:v>216582.81924376043</x:v>
      </x:c>
      <x:c r="T1712" s="78" t="n">
        <x:f>P1712*(S1712*(1-'Inputs'!$B$15))/(O1712+S1712*(1-'Inputs'!$B$15))</x:f>
        <x:v>0.7974292116027334</x:v>
      </x:c>
      <x:c r="U1712" s="78" t="n">
        <x:f>O1712+S1712*(1-'Inputs'!$B$17)</x:f>
        <x:v>55337791.14302769</x:v>
      </x:c>
      <x:c r="V1712" s="78" t="n">
        <x:f>P1712-T1712</x:f>
        <x:v>205.00220849390817</x:v>
      </x:c>
      <x:c r="W1712" s="79" t="n">
        <x:f>IF(U1712&gt;0,V1712/U1712,0)</x:f>
        <x:v>0.0000037045607397673933</x:v>
      </x:c>
      <x:c r="X1712" s="80" t="n">
        <x:f>W1712*('Inputs'!$B$6-AC1712)</x:f>
        <x:v>3673.000167621061</x:v>
      </x:c>
      <x:c r="Y1712" s="80" t="n">
        <x:f>2*V1712</x:f>
        <x:v>410.00441698781634</x:v>
      </x:c>
      <x:c r="Z1712" s="80" t="n">
        <x:f>K1712*'Inputs'!$B$16+(G1712+R1712)*J1712*'Inputs'!$B$16</x:f>
        <x:v>0.7457303993577428</x:v>
      </x:c>
      <x:c r="AA1712" s="80" t="n">
        <x:f>K1712*(1+'Inputs'!$E$48)/2*'Inputs'!$B$17</x:f>
        <x:v>0.2484502668476993</x:v>
      </x:c>
      <x:c r="AB1712" s="78" t="n">
        <x:f>(IF(J1712&gt;0,K1712*(1-'Inputs'!$E$48)/2/J1712,0)+G1712+R1712)*'Inputs'!$B$17</x:f>
        <x:v>67417.33112503497</x:v>
      </x:c>
      <x:c r="AC1712" s="78" t="n">
        <x:f>AC1711+AB1712</x:f>
        <x:v>8519383.096500132</x:v>
      </x:c>
      <x:c r="AD1712" s="80" t="n">
        <x:f>Z1712/(1+'Inputs'!$C$48)</x:f>
        <x:v>0.5965843194861942</x:v>
      </x:c>
      <x:c r="AE1712" s="80" t="n">
        <x:f>Z1712-AD1712</x:f>
        <x:v>0.1491460798715486</x:v>
      </x:c>
      <x:c r="AF1712" s="80" t="n">
        <x:f>D1712*W1712</x:f>
        <x:v>1.0021318206271015</x:v>
      </x:c>
      <x:c r="AG1712" s="80" t="n">
        <x:f>C1712*W1712</x:f>
        <x:v>0.5845768953658138</x:v>
      </x:c>
      <x:c r="AH1712" s="80" t="n">
        <x:f>2*'Inputs'!$B$8*'Inputs'!$C$48</x:f>
        <x:v>1250</x:v>
      </x:c>
      <x:c r="AI1712" s="81" t="n">
        <x:f>IF(AH1712&gt;0,(AE1712+AF1712)/AH1712*365,0)</x:f>
        <x:v>0.33617314694560585</x:v>
      </x:c>
      <x:c r="AJ1712" s="81" t="n">
        <x:f>IF('Inputs'!$B$48&gt;0,AG1712/('Inputs'!$B$19*'Inputs'!$B$48)*365,0)</x:f>
        <x:v>0.08534822672340882</x:v>
      </x:c>
      <x:c r="AK1712" s="81" t="n">
        <x:f>W1712/MAX($W$1464:W1712)-1</x:f>
        <x:v>-0.9956434991463626</x:v>
      </x:c>
      <x:c r="AL1712" s="83" t="n">
        <x:f>'Inputs'!$B$48</x:f>
        <x:v>0.25</x:v>
      </x:c>
      <x:c r="AM1712" s="83" t="n">
        <x:f>'Inputs'!$C$48</x:f>
        <x:v>0.25</x:v>
      </x:c>
      <x:c r="AN1712" s="83" t="n">
        <x:f>'Inputs'!$D$48</x:f>
        <x:v>0.3</x:v>
      </x:c>
      <x:c r="AO1712" s="81" t="n">
        <x:f>'Inputs'!$E$48</x:f>
        <x:v>0</x:v>
      </x:c>
    </x:row>
    <x:row r="1713">
      <x:c r="A1713" s="59" t="str">
        <x:v>Low participation</x:v>
      </x:c>
      <x:c r="B1713" s="59" t="n">
        <x:v>250</x:v>
      </x:c>
      <x:c r="C1713" s="78" t="n">
        <x:f>(('Inputs'!$B$29*(3*250*'Inputs'!$B$12-250^2)/(2*'Inputs'!$B$12^2))-('Inputs'!$B$29*(3*249*'Inputs'!$B$12-249^2)/(2*'Inputs'!$B$12^2)))*'Inputs'!$B$48</x:f>
        <x:v>157717.97006943077</x:v>
      </x:c>
      <x:c r="D1713" s="78" t="n">
        <x:f>IF('Inputs'!$C$48&gt;0,('Inputs'!$B$30*(3*250*'Inputs'!$B$12-250^2)/(2*'Inputs'!$B$12^2))-('Inputs'!$B$30*(3*249*'Inputs'!$B$12-249^2)/(2*'Inputs'!$B$12^2)),0)</x:f>
        <x:v>270373.66297617555</x:v>
      </x:c>
      <x:c r="E1713" s="78" t="n">
        <x:f>C1713+D1713</x:f>
        <x:v>428091.6330456063</x:v>
      </x:c>
      <x:c r="F1713" s="78" t="n">
        <x:f>'Inputs'!$B$13*E1713+(1-'Inputs'!$B$13)/'Inputs'!$B$14*SUM(E1658:E1713)</x:f>
        <x:v>432945.02955526515</x:v>
      </x:c>
      <x:c r="G1713" s="78" t="n">
        <x:f>F1713*'Inputs'!$F$48</x:f>
        <x:v>216472.51477763258</x:v>
      </x:c>
      <x:c r="H1713" s="78" t="n">
        <x:f>U1712</x:f>
        <x:v>55337791.14302769</x:v>
      </x:c>
      <x:c r="I1713" s="78" t="n">
        <x:f>V1712</x:f>
        <x:v>205.00220849390817</x:v>
      </x:c>
      <x:c r="J1713" s="79" t="n">
        <x:f>IF(H1713&gt;0,I1713/H1713,0)</x:f>
        <x:v>0.0000037045607397673933</x:v>
      </x:c>
      <x:c r="K1713" s="80" t="n">
        <x:f>(H1713*J1713+I1713)*'Inputs'!$D$48*(1+'Inputs'!$G$48)^(B1713/30)</x:f>
        <x:v>123.0013250963449</x:v>
      </x:c>
      <x:c r="L1713" s="80" t="n">
        <x:f>MAX(0,K1713*'Inputs'!$E$48)</x:f>
        <x:v>0</x:v>
      </x:c>
      <x:c r="M1713" s="80" t="n">
        <x:f>MAX(0,-K1713*'Inputs'!$E$48)</x:f>
        <x:v>0</x:v>
      </x:c>
      <x:c r="N1713" s="78" t="n">
        <x:f>H1713*(L1713*(1-'Inputs'!$B$15))/(I1713+L1713*(1-'Inputs'!$B$15))</x:f>
        <x:v>0</x:v>
      </x:c>
      <x:c r="O1713" s="78" t="n">
        <x:f>H1713-N1713</x:f>
        <x:v>55337791.14302769</x:v>
      </x:c>
      <x:c r="P1713" s="78" t="n">
        <x:f>I1713+L1713*(1-'Inputs'!$B$17)</x:f>
        <x:v>205.00220849390817</x:v>
      </x:c>
      <x:c r="Q1713" s="78" t="n">
        <x:f>IF(J1713&gt;0,M1713/J1713,0)</x:f>
        <x:v>0</x:v>
      </x:c>
      <x:c r="R1713" s="78" t="n">
        <x:f>IF(B1713='Inputs'!$H$48,'Inputs'!$B$27*'Inputs'!$I$48,0)</x:f>
        <x:v>0</x:v>
      </x:c>
      <x:c r="S1713" s="78" t="n">
        <x:f>Q1713+G1713+R1713</x:f>
        <x:v>216472.51477763258</x:v>
      </x:c>
      <x:c r="T1713" s="78" t="n">
        <x:f>P1713*(S1713*(1-'Inputs'!$B$15))/(O1713+S1713*(1-'Inputs'!$B$15))</x:f>
        <x:v>0.7908534693680326</x:v>
      </x:c>
      <x:c r="U1713" s="78" t="n">
        <x:f>O1713+S1713*(1-'Inputs'!$B$17)</x:f>
        <x:v>55553392.54104566</x:v>
      </x:c>
      <x:c r="V1713" s="78" t="n">
        <x:f>P1713-T1713</x:f>
        <x:v>204.21135502454013</x:v>
      </x:c>
      <x:c r="W1713" s="79" t="n">
        <x:f>IF(U1713&gt;0,V1713/U1713,0)</x:f>
        <x:v>0.0000036759475107421826</x:v>
      </x:c>
      <x:c r="X1713" s="80" t="n">
        <x:f>W1713*('Inputs'!$B$6-AC1713)</x:f>
        <x:v>3644.3819274411276</x:v>
      </x:c>
      <x:c r="Y1713" s="80" t="n">
        <x:f>2*V1713</x:f>
        <x:v>408.42271004908025</x:v>
      </x:c>
      <x:c r="Z1713" s="80" t="n">
        <x:f>K1713*'Inputs'!$B$16+(G1713+R1713)*J1713*'Inputs'!$B$16</x:f>
        <x:v>0.7428195640549731</x:v>
      </x:c>
      <x:c r="AA1713" s="80" t="n">
        <x:f>K1713*(1+'Inputs'!$E$48)/2*'Inputs'!$B$17</x:f>
        <x:v>0.24748757564656923</x:v>
      </x:c>
      <x:c r="AB1713" s="78" t="n">
        <x:f>(IF(J1713&gt;0,K1713*(1-'Inputs'!$E$48)/2/J1713,0)+G1713+R1713)*'Inputs'!$B$17</x:f>
        <x:v>67677.30325024524</x:v>
      </x:c>
      <x:c r="AC1713" s="78" t="n">
        <x:f>AC1712+AB1713</x:f>
        <x:v>8587060.399750378</x:v>
      </x:c>
      <x:c r="AD1713" s="80" t="n">
        <x:f>Z1713/(1+'Inputs'!$C$48)</x:f>
        <x:v>0.5942556512439785</x:v>
      </x:c>
      <x:c r="AE1713" s="80" t="n">
        <x:f>Z1713-AD1713</x:f>
        <x:v>0.14856391281099457</x:v>
      </x:c>
      <x:c r="AF1713" s="80" t="n">
        <x:f>D1713*W1713</x:f>
        <x:v>0.9938793933875183</x:v>
      </x:c>
      <x:c r="AG1713" s="80" t="n">
        <x:f>C1713*W1713</x:f>
        <x:v>0.5797629794760341</x:v>
      </x:c>
      <x:c r="AH1713" s="80" t="n">
        <x:f>2*'Inputs'!$B$8*'Inputs'!$C$48</x:f>
        <x:v>1250</x:v>
      </x:c>
      <x:c r="AI1713" s="81" t="n">
        <x:f>IF(AH1713&gt;0,(AE1713+AF1713)/AH1713*365,0)</x:f>
        <x:v>0.33359344540996577</x:v>
      </x:c>
      <x:c r="AJ1713" s="81" t="n">
        <x:f>IF('Inputs'!$B$48&gt;0,AG1713/('Inputs'!$B$19*'Inputs'!$B$48)*365,0)</x:f>
        <x:v>0.08464539500350098</x:v>
      </x:c>
      <x:c r="AK1713" s="81" t="n">
        <x:f>W1713/MAX($W$1464:W1713)-1</x:f>
        <x:v>-0.9956771478203702</x:v>
      </x:c>
      <x:c r="AL1713" s="83" t="n">
        <x:f>'Inputs'!$B$48</x:f>
        <x:v>0.25</x:v>
      </x:c>
      <x:c r="AM1713" s="83" t="n">
        <x:f>'Inputs'!$C$48</x:f>
        <x:v>0.25</x:v>
      </x:c>
      <x:c r="AN1713" s="83" t="n">
        <x:f>'Inputs'!$D$48</x:f>
        <x:v>0.3</x:v>
      </x:c>
      <x:c r="AO1713" s="81" t="n">
        <x:f>'Inputs'!$E$48</x:f>
        <x:v>0</x:v>
      </x:c>
    </x:row>
    <x:row r="1714">
      <x:c r="A1714" s="59" t="str">
        <x:v>Low participation</x:v>
      </x:c>
      <x:c r="B1714" s="59" t="n">
        <x:v>251</x:v>
      </x:c>
      <x:c r="C1714" s="78" t="n">
        <x:f>(('Inputs'!$B$29*(3*251*'Inputs'!$B$12-251^2)/(2*'Inputs'!$B$12^2))-('Inputs'!$B$29*(3*250*'Inputs'!$B$12-250^2)/(2*'Inputs'!$B$12^2)))*'Inputs'!$B$48</x:f>
        <x:v>157636.69309438765</x:v>
      </x:c>
      <x:c r="D1714" s="78" t="n">
        <x:f>IF('Inputs'!$C$48&gt;0,('Inputs'!$B$30*(3*251*'Inputs'!$B$12-251^2)/(2*'Inputs'!$B$12^2))-('Inputs'!$B$30*(3*250*'Inputs'!$B$12-250^2)/(2*'Inputs'!$B$12^2)),0)</x:f>
        <x:v>270234.3310189545</x:v>
      </x:c>
      <x:c r="E1714" s="78" t="n">
        <x:f>C1714+D1714</x:f>
        <x:v>427871.02411334217</x:v>
      </x:c>
      <x:c r="F1714" s="78" t="n">
        <x:f>'Inputs'!$B$13*E1714+(1-'Inputs'!$B$13)/'Inputs'!$B$14*SUM(E1659:E1714)</x:f>
        <x:v>432724.42062300636</x:v>
      </x:c>
      <x:c r="G1714" s="78" t="n">
        <x:f>F1714*'Inputs'!$F$48</x:f>
        <x:v>216362.21031150318</x:v>
      </x:c>
      <x:c r="H1714" s="78" t="n">
        <x:f>U1713</x:f>
        <x:v>55553392.54104566</x:v>
      </x:c>
      <x:c r="I1714" s="78" t="n">
        <x:f>V1713</x:f>
        <x:v>204.21135502454013</x:v>
      </x:c>
      <x:c r="J1714" s="79" t="n">
        <x:f>IF(H1714&gt;0,I1714/H1714,0)</x:f>
        <x:v>0.0000036759475107421826</x:v>
      </x:c>
      <x:c r="K1714" s="80" t="n">
        <x:f>(H1714*J1714+I1714)*'Inputs'!$D$48*(1+'Inputs'!$G$48)^(B1714/30)</x:f>
        <x:v>122.52681301472407</x:v>
      </x:c>
      <x:c r="L1714" s="80" t="n">
        <x:f>MAX(0,K1714*'Inputs'!$E$48)</x:f>
        <x:v>0</x:v>
      </x:c>
      <x:c r="M1714" s="80" t="n">
        <x:f>MAX(0,-K1714*'Inputs'!$E$48)</x:f>
        <x:v>0</x:v>
      </x:c>
      <x:c r="N1714" s="78" t="n">
        <x:f>H1714*(L1714*(1-'Inputs'!$B$15))/(I1714+L1714*(1-'Inputs'!$B$15))</x:f>
        <x:v>0</x:v>
      </x:c>
      <x:c r="O1714" s="78" t="n">
        <x:f>H1714-N1714</x:f>
        <x:v>55553392.54104566</x:v>
      </x:c>
      <x:c r="P1714" s="78" t="n">
        <x:f>I1714+L1714*(1-'Inputs'!$B$17)</x:f>
        <x:v>204.21135502454013</x:v>
      </x:c>
      <x:c r="Q1714" s="78" t="n">
        <x:f>IF(J1714&gt;0,M1714/J1714,0)</x:f>
        <x:v>0</x:v>
      </x:c>
      <x:c r="R1714" s="78" t="n">
        <x:f>IF(B1714='Inputs'!$H$48,'Inputs'!$B$27*'Inputs'!$I$48,0)</x:f>
        <x:v>0</x:v>
      </x:c>
      <x:c r="S1714" s="78" t="n">
        <x:f>Q1714+G1714+R1714</x:f>
        <x:v>216362.21031150318</x:v>
      </x:c>
      <x:c r="T1714" s="78" t="n">
        <x:f>P1714*(S1714*(1-'Inputs'!$B$15))/(O1714+S1714*(1-'Inputs'!$B$15))</x:f>
        <x:v>0.7843584966938401</x:v>
      </x:c>
      <x:c r="U1714" s="78" t="n">
        <x:f>O1714+S1714*(1-'Inputs'!$B$17)</x:f>
        <x:v>55768884.07847864</x:v>
      </x:c>
      <x:c r="V1714" s="78" t="n">
        <x:f>P1714-T1714</x:f>
        <x:v>203.42699652784628</x:v>
      </x:c>
      <x:c r="W1714" s="79" t="n">
        <x:f>IF(U1714&gt;0,V1714/U1714,0)</x:f>
        <x:v>0.00000364767916534929</x:v>
      </x:c>
      <x:c r="X1714" s="80" t="n">
        <x:f>W1714*('Inputs'!$B$6-AC1714)</x:f>
        <x:v>3616.108511137373</x:v>
      </x:c>
      <x:c r="Y1714" s="80" t="n">
        <x:f>2*V1714</x:f>
        <x:v>406.85399305569257</x:v>
      </x:c>
      <x:c r="Z1714" s="80" t="n">
        <x:f>K1714*'Inputs'!$B$16+(G1714+R1714)*J1714*'Inputs'!$B$16</x:f>
        <x:v>0.7399328948588239</x:v>
      </x:c>
      <x:c r="AA1714" s="80" t="n">
        <x:f>K1714*(1+'Inputs'!$E$48)/2*'Inputs'!$B$17</x:f>
        <x:v>0.24653282296725168</x:v>
      </x:c>
      <x:c r="AB1714" s="78" t="n">
        <x:f>(IF(J1714&gt;0,K1714*(1-'Inputs'!$E$48)/2/J1714,0)+G1714+R1714)*'Inputs'!$B$17</x:f>
        <x:v>67937.1427469827</x:v>
      </x:c>
      <x:c r="AC1714" s="78" t="n">
        <x:f>AC1713+AB1714</x:f>
        <x:v>8654997.542497361</x:v>
      </x:c>
      <x:c r="AD1714" s="80" t="n">
        <x:f>Z1714/(1+'Inputs'!$C$48)</x:f>
        <x:v>0.591946315887059</x:v>
      </x:c>
      <x:c r="AE1714" s="80" t="n">
        <x:f>Z1714-AD1714</x:f>
        <x:v>0.14798657897176482</x:v>
      </x:c>
      <x:c r="AF1714" s="80" t="n">
        <x:f>D1714*W1714</x:f>
        <x:v>0.9857281390199438</x:v>
      </x:c>
      <x:c r="AG1714" s="80" t="n">
        <x:f>C1714*W1714</x:f>
        <x:v>0.5750080810949582</x:v>
      </x:c>
      <x:c r="AH1714" s="80" t="n">
        <x:f>2*'Inputs'!$B$8*'Inputs'!$C$48</x:f>
        <x:v>1250</x:v>
      </x:c>
      <x:c r="AI1714" s="81" t="n">
        <x:f>IF(AH1714&gt;0,(AE1714+AF1714)/AH1714*365,0)</x:f>
        <x:v>0.3310446976535789</x:v>
      </x:c>
      <x:c r="AJ1714" s="81" t="n">
        <x:f>IF('Inputs'!$B$48&gt;0,AG1714/('Inputs'!$B$19*'Inputs'!$B$48)*365,0)</x:f>
        <x:v>0.0839511798398639</x:v>
      </x:c>
      <x:c r="AK1714" s="81" t="n">
        <x:f>W1714/MAX($W$1464:W1714)-1</x:f>
        <x:v>-0.9957103909170518</x:v>
      </x:c>
      <x:c r="AL1714" s="83" t="n">
        <x:f>'Inputs'!$B$48</x:f>
        <x:v>0.25</x:v>
      </x:c>
      <x:c r="AM1714" s="83" t="n">
        <x:f>'Inputs'!$C$48</x:f>
        <x:v>0.25</x:v>
      </x:c>
      <x:c r="AN1714" s="83" t="n">
        <x:f>'Inputs'!$D$48</x:f>
        <x:v>0.3</x:v>
      </x:c>
      <x:c r="AO1714" s="81" t="n">
        <x:f>'Inputs'!$E$48</x:f>
        <x:v>0</x:v>
      </x:c>
    </x:row>
    <x:row r="1715">
      <x:c r="A1715" s="59" t="str">
        <x:v>Low participation</x:v>
      </x:c>
      <x:c r="B1715" s="59" t="n">
        <x:v>252</x:v>
      </x:c>
      <x:c r="C1715" s="78" t="n">
        <x:f>(('Inputs'!$B$29*(3*252*'Inputs'!$B$12-252^2)/(2*'Inputs'!$B$12^2))-('Inputs'!$B$29*(3*251*'Inputs'!$B$12-251^2)/(2*'Inputs'!$B$12^2)))*'Inputs'!$B$48</x:f>
        <x:v>157555.41611934453</x:v>
      </x:c>
      <x:c r="D1715" s="78" t="n">
        <x:f>IF('Inputs'!$C$48&gt;0,('Inputs'!$B$30*(3*252*'Inputs'!$B$12-252^2)/(2*'Inputs'!$B$12^2))-('Inputs'!$B$30*(3*251*'Inputs'!$B$12-251^2)/(2*'Inputs'!$B$12^2)),0)</x:f>
        <x:v>270094.9990617335</x:v>
      </x:c>
      <x:c r="E1715" s="78" t="n">
        <x:f>C1715+D1715</x:f>
        <x:v>427650.415181078</x:v>
      </x:c>
      <x:c r="F1715" s="78" t="n">
        <x:f>'Inputs'!$B$13*E1715+(1-'Inputs'!$B$13)/'Inputs'!$B$14*SUM(E1660:E1715)</x:f>
        <x:v>432503.81169074745</x:v>
      </x:c>
      <x:c r="G1715" s="78" t="n">
        <x:f>F1715*'Inputs'!$F$48</x:f>
        <x:v>216251.90584537372</x:v>
      </x:c>
      <x:c r="H1715" s="78" t="n">
        <x:f>U1714</x:f>
        <x:v>55768884.07847864</x:v>
      </x:c>
      <x:c r="I1715" s="78" t="n">
        <x:f>V1714</x:f>
        <x:v>203.42699652784628</x:v>
      </x:c>
      <x:c r="J1715" s="79" t="n">
        <x:f>IF(H1715&gt;0,I1715/H1715,0)</x:f>
        <x:v>0.00000364767916534929</x:v>
      </x:c>
      <x:c r="K1715" s="80" t="n">
        <x:f>(H1715*J1715+I1715)*'Inputs'!$D$48*(1+'Inputs'!$G$48)^(B1715/30)</x:f>
        <x:v>122.05619791670776</x:v>
      </x:c>
      <x:c r="L1715" s="80" t="n">
        <x:f>MAX(0,K1715*'Inputs'!$E$48)</x:f>
        <x:v>0</x:v>
      </x:c>
      <x:c r="M1715" s="80" t="n">
        <x:f>MAX(0,-K1715*'Inputs'!$E$48)</x:f>
        <x:v>0</x:v>
      </x:c>
      <x:c r="N1715" s="78" t="n">
        <x:f>H1715*(L1715*(1-'Inputs'!$B$15))/(I1715+L1715*(1-'Inputs'!$B$15))</x:f>
        <x:v>0</x:v>
      </x:c>
      <x:c r="O1715" s="78" t="n">
        <x:f>H1715-N1715</x:f>
        <x:v>55768884.07847864</x:v>
      </x:c>
      <x:c r="P1715" s="78" t="n">
        <x:f>I1715+L1715*(1-'Inputs'!$B$17)</x:f>
        <x:v>203.42699652784628</x:v>
      </x:c>
      <x:c r="Q1715" s="78" t="n">
        <x:f>IF(J1715&gt;0,M1715/J1715,0)</x:f>
        <x:v>0</x:v>
      </x:c>
      <x:c r="R1715" s="78" t="n">
        <x:f>IF(B1715='Inputs'!$H$48,'Inputs'!$B$27*'Inputs'!$I$48,0)</x:f>
        <x:v>0</x:v>
      </x:c>
      <x:c r="S1715" s="78" t="n">
        <x:f>Q1715+G1715+R1715</x:f>
        <x:v>216251.90584537372</x:v>
      </x:c>
      <x:c r="T1715" s="78" t="n">
        <x:f>P1715*(S1715*(1-'Inputs'!$B$15))/(O1715+S1715*(1-'Inputs'!$B$15))</x:f>
        <x:v>0.7779429752793129</x:v>
      </x:c>
      <x:c r="U1715" s="78" t="n">
        <x:f>O1715+S1715*(1-'Inputs'!$B$17)</x:f>
        <x:v>55984265.75532665</x:v>
      </x:c>
      <x:c r="V1715" s="78" t="n">
        <x:f>P1715-T1715</x:f>
        <x:v>202.64905355256698</x:v>
      </x:c>
      <x:c r="W1715" s="79" t="n">
        <x:f>IF(U1715&gt;0,V1715/U1715,0)</x:f>
        <x:v>0.0000036197501354795537</x:v>
      </x:c>
      <x:c r="X1715" s="80" t="n">
        <x:f>W1715*('Inputs'!$B$6-AC1715)</x:f>
        <x:v>3588.1743513968895</x:v>
      </x:c>
      <x:c r="Y1715" s="80" t="n">
        <x:f>2*V1715</x:f>
        <x:v>405.29810710513397</x:v>
      </x:c>
      <x:c r="Z1715" s="80" t="n">
        <x:f>K1715*'Inputs'!$B$16+(G1715+R1715)*J1715*'Inputs'!$B$16</x:f>
        <x:v>0.737070092928762</x:v>
      </x:c>
      <x:c r="AA1715" s="80" t="n">
        <x:f>K1715*(1+'Inputs'!$E$48)/2*'Inputs'!$B$17</x:f>
        <x:v>0.24558591130122287</x:v>
      </x:c>
      <x:c r="AB1715" s="78" t="n">
        <x:f>(IF(J1715&gt;0,K1715*(1-'Inputs'!$E$48)/2/J1715,0)+G1715+R1715)*'Inputs'!$B$17</x:f>
        <x:v>68196.84961524735</x:v>
      </x:c>
      <x:c r="AC1715" s="78" t="n">
        <x:f>AC1714+AB1715</x:f>
        <x:v>8723194.392112609</x:v>
      </x:c>
      <x:c r="AD1715" s="80" t="n">
        <x:f>Z1715/(1+'Inputs'!$C$48)</x:f>
        <x:v>0.5896560743430096</x:v>
      </x:c>
      <x:c r="AE1715" s="80" t="n">
        <x:f>Z1715-AD1715</x:f>
        <x:v>0.14741401858575243</x:v>
      </x:c>
      <x:c r="AF1715" s="80" t="n">
        <x:f>D1715*W1715</x:f>
        <x:v>0.9776764094460597</x:v>
      </x:c>
      <x:c r="AG1715" s="80" t="n">
        <x:f>C1715*W1715</x:f>
        <x:v>0.5703112388435349</x:v>
      </x:c>
      <x:c r="AH1715" s="80" t="n">
        <x:f>2*'Inputs'!$B$8*'Inputs'!$C$48</x:f>
        <x:v>1250</x:v>
      </x:c>
      <x:c r="AI1715" s="81" t="n">
        <x:f>IF(AH1715&gt;0,(AE1715+AF1715)/AH1715*365,0)</x:f>
        <x:v>0.3285264049852891</x:v>
      </x:c>
      <x:c r="AJ1715" s="81" t="n">
        <x:f>IF('Inputs'!$B$48&gt;0,AG1715/('Inputs'!$B$19*'Inputs'!$B$48)*365,0)</x:f>
        <x:v>0.08326544087115609</x:v>
      </x:c>
      <x:c r="AK1715" s="81" t="n">
        <x:f>W1715/MAX($W$1464:W1715)-1</x:f>
        <x:v>-0.9957432349844098</x:v>
      </x:c>
      <x:c r="AL1715" s="83" t="n">
        <x:f>'Inputs'!$B$48</x:f>
        <x:v>0.25</x:v>
      </x:c>
      <x:c r="AM1715" s="83" t="n">
        <x:f>'Inputs'!$C$48</x:f>
        <x:v>0.25</x:v>
      </x:c>
      <x:c r="AN1715" s="83" t="n">
        <x:f>'Inputs'!$D$48</x:f>
        <x:v>0.3</x:v>
      </x:c>
      <x:c r="AO1715" s="81" t="n">
        <x:f>'Inputs'!$E$48</x:f>
        <x:v>0</x:v>
      </x:c>
    </x:row>
    <x:row r="1716">
      <x:c r="A1716" s="59" t="str">
        <x:v>Low participation</x:v>
      </x:c>
      <x:c r="B1716" s="59" t="n">
        <x:v>253</x:v>
      </x:c>
      <x:c r="C1716" s="78" t="n">
        <x:f>(('Inputs'!$B$29*(3*253*'Inputs'!$B$12-253^2)/(2*'Inputs'!$B$12^2))-('Inputs'!$B$29*(3*252*'Inputs'!$B$12-252^2)/(2*'Inputs'!$B$12^2)))*'Inputs'!$B$48</x:f>
        <x:v>157474.13914430887</x:v>
      </x:c>
      <x:c r="D1716" s="78" t="n">
        <x:f>IF('Inputs'!$C$48&gt;0,('Inputs'!$B$30*(3*253*'Inputs'!$B$12-253^2)/(2*'Inputs'!$B$12^2))-('Inputs'!$B$30*(3*252*'Inputs'!$B$12-252^2)/(2*'Inputs'!$B$12^2)),0)</x:f>
        <x:v>269955.66710452735</x:v>
      </x:c>
      <x:c r="E1716" s="78" t="n">
        <x:f>C1716+D1716</x:f>
        <x:v>427429.8062488362</x:v>
      </x:c>
      <x:c r="F1716" s="78" t="n">
        <x:f>'Inputs'!$B$13*E1716+(1-'Inputs'!$B$13)/'Inputs'!$B$14*SUM(E1661:E1716)</x:f>
        <x:v>432283.20275849325</x:v>
      </x:c>
      <x:c r="G1716" s="78" t="n">
        <x:f>F1716*'Inputs'!$F$48</x:f>
        <x:v>216141.60137924663</x:v>
      </x:c>
      <x:c r="H1716" s="78" t="n">
        <x:f>U1715</x:f>
        <x:v>55984265.75532665</x:v>
      </x:c>
      <x:c r="I1716" s="78" t="n">
        <x:f>V1715</x:f>
        <x:v>202.64905355256698</x:v>
      </x:c>
      <x:c r="J1716" s="79" t="n">
        <x:f>IF(H1716&gt;0,I1716/H1716,0)</x:f>
        <x:v>0.0000036197501354795537</x:v>
      </x:c>
      <x:c r="K1716" s="80" t="n">
        <x:f>(H1716*J1716+I1716)*'Inputs'!$D$48*(1+'Inputs'!$G$48)^(B1716/30)</x:f>
        <x:v>121.58943213154018</x:v>
      </x:c>
      <x:c r="L1716" s="80" t="n">
        <x:f>MAX(0,K1716*'Inputs'!$E$48)</x:f>
        <x:v>0</x:v>
      </x:c>
      <x:c r="M1716" s="80" t="n">
        <x:f>MAX(0,-K1716*'Inputs'!$E$48)</x:f>
        <x:v>0</x:v>
      </x:c>
      <x:c r="N1716" s="78" t="n">
        <x:f>H1716*(L1716*(1-'Inputs'!$B$15))/(I1716+L1716*(1-'Inputs'!$B$15))</x:f>
        <x:v>0</x:v>
      </x:c>
      <x:c r="O1716" s="78" t="n">
        <x:f>H1716-N1716</x:f>
        <x:v>55984265.75532665</x:v>
      </x:c>
      <x:c r="P1716" s="78" t="n">
        <x:f>I1716+L1716*(1-'Inputs'!$B$17)</x:f>
        <x:v>202.64905355256698</x:v>
      </x:c>
      <x:c r="Q1716" s="78" t="n">
        <x:f>IF(J1716&gt;0,M1716/J1716,0)</x:f>
        <x:v>0</x:v>
      </x:c>
      <x:c r="R1716" s="78" t="n">
        <x:f>IF(B1716='Inputs'!$H$48,'Inputs'!$B$27*'Inputs'!$I$48,0)</x:f>
        <x:v>0</x:v>
      </x:c>
      <x:c r="S1716" s="78" t="n">
        <x:f>Q1716+G1716+R1716</x:f>
        <x:v>216141.60137924663</x:v>
      </x:c>
      <x:c r="T1716" s="78" t="n">
        <x:f>P1716*(S1716*(1-'Inputs'!$B$15))/(O1716+S1716*(1-'Inputs'!$B$15))</x:f>
        <x:v>0.7716056136178063</x:v>
      </x:c>
      <x:c r="U1716" s="78" t="n">
        <x:f>O1716+S1716*(1-'Inputs'!$B$17)</x:f>
        <x:v>56199537.571589686</x:v>
      </x:c>
      <x:c r="V1716" s="78" t="n">
        <x:f>P1716-T1716</x:f>
        <x:v>201.8774479389492</x:v>
      </x:c>
      <x:c r="W1716" s="79" t="n">
        <x:f>IF(U1716&gt;0,V1716/U1716,0)</x:f>
        <x:v>0.000003592154965364047</x:v>
      </x:c>
      <x:c r="X1716" s="80" t="n">
        <x:f>W1716*('Inputs'!$B$6-AC1716)</x:f>
        <x:v>3560.5739932317215</x:v>
      </x:c>
      <x:c r="Y1716" s="80" t="n">
        <x:f>2*V1716</x:f>
        <x:v>403.7548958778984</x:v>
      </x:c>
      <x:c r="Z1716" s="80" t="n">
        <x:f>K1716*'Inputs'!$B$16+(G1716+R1716)*J1716*'Inputs'!$B$16</x:f>
        <x:v>0.7342308643344929</x:v>
      </x:c>
      <x:c r="AA1716" s="80" t="n">
        <x:f>K1716*(1+'Inputs'!$E$48)/2*'Inputs'!$B$17</x:f>
        <x:v>0.2446467447314692</x:v>
      </x:c>
      <x:c r="AB1716" s="78" t="n">
        <x:f>(IF(J1716&gt;0,K1716*(1-'Inputs'!$E$48)/2/J1716,0)+G1716+R1716)*'Inputs'!$B$17</x:f>
        <x:v>68456.4238550392</x:v>
      </x:c>
      <x:c r="AC1716" s="78" t="n">
        <x:f>AC1715+AB1716</x:f>
        <x:v>8791650.815967647</x:v>
      </x:c>
      <x:c r="AD1716" s="80" t="n">
        <x:f>Z1716/(1+'Inputs'!$C$48)</x:f>
        <x:v>0.5873846914675943</x:v>
      </x:c>
      <x:c r="AE1716" s="80" t="n">
        <x:f>Z1716-AD1716</x:f>
        <x:v>0.1468461728668986</x:v>
      </x:c>
      <x:c r="AF1716" s="80" t="n">
        <x:f>D1716*W1716</x:f>
        <x:v>0.9697225900176916</x:v>
      </x:c>
      <x:c r="AG1716" s="80" t="n">
        <x:f>C1716*W1716</x:f>
        <x:v>0.5656715108436579</x:v>
      </x:c>
      <x:c r="AH1716" s="80" t="n">
        <x:f>2*'Inputs'!$B$8*'Inputs'!$C$48</x:f>
        <x:v>1250</x:v>
      </x:c>
      <x:c r="AI1716" s="81" t="n">
        <x:f>IF(AH1716&gt;0,(AE1716+AF1716)/AH1716*365,0)</x:f>
        <x:v>0.32603807876230034</x:v>
      </x:c>
      <x:c r="AJ1716" s="81" t="n">
        <x:f>IF('Inputs'!$B$48&gt;0,AG1716/('Inputs'!$B$19*'Inputs'!$B$48)*365,0)</x:f>
        <x:v>0.08258804058317405</x:v>
      </x:c>
      <x:c r="AK1716" s="81" t="n">
        <x:f>W1716/MAX($W$1464:W1716)-1</x:f>
        <x:v>-0.9957756864383362</x:v>
      </x:c>
      <x:c r="AL1716" s="83" t="n">
        <x:f>'Inputs'!$B$48</x:f>
        <x:v>0.25</x:v>
      </x:c>
      <x:c r="AM1716" s="83" t="n">
        <x:f>'Inputs'!$C$48</x:f>
        <x:v>0.25</x:v>
      </x:c>
      <x:c r="AN1716" s="83" t="n">
        <x:f>'Inputs'!$D$48</x:f>
        <x:v>0.3</x:v>
      </x:c>
      <x:c r="AO1716" s="81" t="n">
        <x:f>'Inputs'!$E$48</x:f>
        <x:v>0</x:v>
      </x:c>
    </x:row>
    <x:row r="1717">
      <x:c r="A1717" s="59" t="str">
        <x:v>Low participation</x:v>
      </x:c>
      <x:c r="B1717" s="59" t="n">
        <x:v>254</x:v>
      </x:c>
      <x:c r="C1717" s="78" t="n">
        <x:f>(('Inputs'!$B$29*(3*254*'Inputs'!$B$12-254^2)/(2*'Inputs'!$B$12^2))-('Inputs'!$B$29*(3*253*'Inputs'!$B$12-253^2)/(2*'Inputs'!$B$12^2)))*'Inputs'!$B$48</x:f>
        <x:v>157392.8621692583</x:v>
      </x:c>
      <x:c r="D1717" s="78" t="n">
        <x:f>IF('Inputs'!$C$48&gt;0,('Inputs'!$B$30*(3*254*'Inputs'!$B$12-254^2)/(2*'Inputs'!$B$12^2))-('Inputs'!$B$30*(3*253*'Inputs'!$B$12-253^2)/(2*'Inputs'!$B$12^2)),0)</x:f>
        <x:v>269816.3351473063</x:v>
      </x:c>
      <x:c r="E1717" s="78" t="n">
        <x:f>C1717+D1717</x:f>
        <x:v>427209.1973165646</x:v>
      </x:c>
      <x:c r="F1717" s="78" t="n">
        <x:f>'Inputs'!$B$13*E1717+(1-'Inputs'!$B$13)/'Inputs'!$B$14*SUM(E1662:E1717)</x:f>
        <x:v>432062.5938262329</x:v>
      </x:c>
      <x:c r="G1717" s="78" t="n">
        <x:f>F1717*'Inputs'!$F$48</x:f>
        <x:v>216031.29691311644</x:v>
      </x:c>
      <x:c r="H1717" s="78" t="n">
        <x:f>U1716</x:f>
        <x:v>56199537.571589686</x:v>
      </x:c>
      <x:c r="I1717" s="78" t="n">
        <x:f>V1716</x:f>
        <x:v>201.8774479389492</x:v>
      </x:c>
      <x:c r="J1717" s="79" t="n">
        <x:f>IF(H1717&gt;0,I1717/H1717,0)</x:f>
        <x:v>0.000003592154965364047</x:v>
      </x:c>
      <x:c r="K1717" s="80" t="n">
        <x:f>(H1717*J1717+I1717)*'Inputs'!$D$48*(1+'Inputs'!$G$48)^(B1717/30)</x:f>
        <x:v>121.1264687633695</x:v>
      </x:c>
      <x:c r="L1717" s="80" t="n">
        <x:f>MAX(0,K1717*'Inputs'!$E$48)</x:f>
        <x:v>0</x:v>
      </x:c>
      <x:c r="M1717" s="80" t="n">
        <x:f>MAX(0,-K1717*'Inputs'!$E$48)</x:f>
        <x:v>0</x:v>
      </x:c>
      <x:c r="N1717" s="78" t="n">
        <x:f>H1717*(L1717*(1-'Inputs'!$B$15))/(I1717+L1717*(1-'Inputs'!$B$15))</x:f>
        <x:v>0</x:v>
      </x:c>
      <x:c r="O1717" s="78" t="n">
        <x:f>H1717-N1717</x:f>
        <x:v>56199537.571589686</x:v>
      </x:c>
      <x:c r="P1717" s="78" t="n">
        <x:f>I1717+L1717*(1-'Inputs'!$B$17)</x:f>
        <x:v>201.8774479389492</x:v>
      </x:c>
      <x:c r="Q1717" s="78" t="n">
        <x:f>IF(J1717&gt;0,M1717/J1717,0)</x:f>
        <x:v>0</x:v>
      </x:c>
      <x:c r="R1717" s="78" t="n">
        <x:f>IF(B1717='Inputs'!$H$48,'Inputs'!$B$27*'Inputs'!$I$48,0)</x:f>
        <x:v>0</x:v>
      </x:c>
      <x:c r="S1717" s="78" t="n">
        <x:f>Q1717+G1717+R1717</x:f>
        <x:v>216031.29691311644</x:v>
      </x:c>
      <x:c r="T1717" s="78" t="n">
        <x:f>P1717*(S1717*(1-'Inputs'!$B$15))/(O1717+S1717*(1-'Inputs'!$B$15))</x:f>
        <x:v>0.7653451463458603</x:v>
      </x:c>
      <x:c r="U1717" s="78" t="n">
        <x:f>O1717+S1717*(1-'Inputs'!$B$17)</x:f>
        <x:v>56414699.52726774</x:v>
      </x:c>
      <x:c r="V1717" s="78" t="n">
        <x:f>P1717-T1717</x:f>
        <x:v>201.11210279260334</x:v>
      </x:c>
      <x:c r="W1717" s="79" t="n">
        <x:f>IF(U1717&gt;0,V1717/U1717,0)</x:f>
        <x:v>0.0000035648883088599433</x:v>
      </x:c>
      <x:c r="X1717" s="80" t="n">
        <x:f>W1717*('Inputs'!$B$6-AC1717)</x:f>
        <x:v>3533.302091265087</x:v>
      </x:c>
      <x:c r="Y1717" s="80" t="n">
        <x:f>2*V1717</x:f>
        <x:v>402.2242055852067</x:v>
      </x:c>
      <x:c r="Z1717" s="80" t="n">
        <x:f>K1717*'Inputs'!$B$16+(G1717+R1717)*J1717*'Inputs'!$B$16</x:f>
        <x:v>0.7314149199554999</x:v>
      </x:c>
      <x:c r="AA1717" s="80" t="n">
        <x:f>K1717*(1+'Inputs'!$E$48)/2*'Inputs'!$B$17</x:f>
        <x:v>0.24371522890013986</x:v>
      </x:c>
      <x:c r="AB1717" s="78" t="n">
        <x:f>(IF(J1717&gt;0,K1717*(1-'Inputs'!$E$48)/2/J1717,0)+G1717+R1717)*'Inputs'!$B$17</x:f>
        <x:v>68715.86546635823</x:v>
      </x:c>
      <x:c r="AC1717" s="78" t="n">
        <x:f>AC1716+AB1717</x:f>
        <x:v>8860366.681434005</x:v>
      </x:c>
      <x:c r="AD1717" s="80" t="n">
        <x:f>Z1717/(1+'Inputs'!$C$48)</x:f>
        <x:v>0.5851319359643999</x:v>
      </x:c>
      <x:c r="AE1717" s="80" t="n">
        <x:f>Z1717-AD1717</x:f>
        <x:v>0.14628298399109996</x:v>
      </x:c>
      <x:c r="AF1717" s="80" t="n">
        <x:f>D1717*W1717</x:f>
        <x:v>0.9618650987060685</x:v>
      </x:c>
      <x:c r="AG1717" s="80" t="n">
        <x:f>C1717*W1717</x:f>
        <x:v>0.5610879742451934</x:v>
      </x:c>
      <x:c r="AH1717" s="80" t="n">
        <x:f>2*'Inputs'!$B$8*'Inputs'!$C$48</x:f>
        <x:v>1250</x:v>
      </x:c>
      <x:c r="AI1717" s="81" t="n">
        <x:f>IF(AH1717&gt;0,(AE1717+AF1717)/AH1717*365,0)</x:f>
        <x:v>0.3235792401475732</x:v>
      </x:c>
      <x:c r="AJ1717" s="81" t="n">
        <x:f>IF('Inputs'!$B$48&gt;0,AG1717/('Inputs'!$B$19*'Inputs'!$B$48)*365,0)</x:f>
        <x:v>0.08191884423979824</x:v>
      </x:c>
      <x:c r="AK1717" s="81" t="n">
        <x:f>W1717/MAX($W$1464:W1717)-1</x:f>
        <x:v>-0.9958077515658049</x:v>
      </x:c>
      <x:c r="AL1717" s="83" t="n">
        <x:f>'Inputs'!$B$48</x:f>
        <x:v>0.25</x:v>
      </x:c>
      <x:c r="AM1717" s="83" t="n">
        <x:f>'Inputs'!$C$48</x:f>
        <x:v>0.25</x:v>
      </x:c>
      <x:c r="AN1717" s="83" t="n">
        <x:f>'Inputs'!$D$48</x:f>
        <x:v>0.3</x:v>
      </x:c>
      <x:c r="AO1717" s="81" t="n">
        <x:f>'Inputs'!$E$48</x:f>
        <x:v>0</x:v>
      </x:c>
    </x:row>
    <x:row r="1718">
      <x:c r="A1718" s="59" t="str">
        <x:v>Low participation</x:v>
      </x:c>
      <x:c r="B1718" s="59" t="n">
        <x:v>255</x:v>
      </x:c>
      <x:c r="C1718" s="78" t="n">
        <x:f>(('Inputs'!$B$29*(3*255*'Inputs'!$B$12-255^2)/(2*'Inputs'!$B$12^2))-('Inputs'!$B$29*(3*254*'Inputs'!$B$12-254^2)/(2*'Inputs'!$B$12^2)))*'Inputs'!$B$48</x:f>
        <x:v>157311.58519422263</x:v>
      </x:c>
      <x:c r="D1718" s="78" t="n">
        <x:f>IF('Inputs'!$C$48&gt;0,('Inputs'!$B$30*(3*255*'Inputs'!$B$12-255^2)/(2*'Inputs'!$B$12^2))-('Inputs'!$B$30*(3*254*'Inputs'!$B$12-254^2)/(2*'Inputs'!$B$12^2)),0)</x:f>
        <x:v>269677.0031900853</x:v>
      </x:c>
      <x:c r="E1718" s="78" t="n">
        <x:f>C1718+D1718</x:f>
        <x:v>426988.5883843079</x:v>
      </x:c>
      <x:c r="F1718" s="78" t="n">
        <x:f>'Inputs'!$B$13*E1718+(1-'Inputs'!$B$13)/'Inputs'!$B$14*SUM(E1663:E1718)</x:f>
        <x:v>431841.98489397543</x:v>
      </x:c>
      <x:c r="G1718" s="78" t="n">
        <x:f>F1718*'Inputs'!$F$48</x:f>
        <x:v>215920.99244698772</x:v>
      </x:c>
      <x:c r="H1718" s="78" t="n">
        <x:f>U1717</x:f>
        <x:v>56414699.52726774</x:v>
      </x:c>
      <x:c r="I1718" s="78" t="n">
        <x:f>V1717</x:f>
        <x:v>201.11210279260334</x:v>
      </x:c>
      <x:c r="J1718" s="79" t="n">
        <x:f>IF(H1718&gt;0,I1718/H1718,0)</x:f>
        <x:v>0.0000035648883088599433</x:v>
      </x:c>
      <x:c r="K1718" s="80" t="n">
        <x:f>(H1718*J1718+I1718)*'Inputs'!$D$48*(1+'Inputs'!$G$48)^(B1718/30)</x:f>
        <x:v>120.667261675562</x:v>
      </x:c>
      <x:c r="L1718" s="80" t="n">
        <x:f>MAX(0,K1718*'Inputs'!$E$48)</x:f>
        <x:v>0</x:v>
      </x:c>
      <x:c r="M1718" s="80" t="n">
        <x:f>MAX(0,-K1718*'Inputs'!$E$48)</x:f>
        <x:v>0</x:v>
      </x:c>
      <x:c r="N1718" s="78" t="n">
        <x:f>H1718*(L1718*(1-'Inputs'!$B$15))/(I1718+L1718*(1-'Inputs'!$B$15))</x:f>
        <x:v>0</x:v>
      </x:c>
      <x:c r="O1718" s="78" t="n">
        <x:f>H1718-N1718</x:f>
        <x:v>56414699.52726774</x:v>
      </x:c>
      <x:c r="P1718" s="78" t="n">
        <x:f>I1718+L1718*(1-'Inputs'!$B$17)</x:f>
        <x:v>201.11210279260334</x:v>
      </x:c>
      <x:c r="Q1718" s="78" t="n">
        <x:f>IF(J1718&gt;0,M1718/J1718,0)</x:f>
        <x:v>0</x:v>
      </x:c>
      <x:c r="R1718" s="78" t="n">
        <x:f>IF(B1718='Inputs'!$H$48,'Inputs'!$B$27*'Inputs'!$I$48,0)</x:f>
        <x:v>0</x:v>
      </x:c>
      <x:c r="S1718" s="78" t="n">
        <x:f>Q1718+G1718+R1718</x:f>
        <x:v>215920.99244698772</x:v>
      </x:c>
      <x:c r="T1718" s="78" t="n">
        <x:f>P1718*(S1718*(1-'Inputs'!$B$15))/(O1718+S1718*(1-'Inputs'!$B$15))</x:f>
        <x:v>0.7591603336106602</x:v>
      </x:c>
      <x:c r="U1718" s="78" t="n">
        <x:f>O1718+S1718*(1-'Inputs'!$B$17)</x:f>
        <x:v>56629751.62236082</x:v>
      </x:c>
      <x:c r="V1718" s="78" t="n">
        <x:f>P1718-T1718</x:f>
        <x:v>200.3529424589927</x:v>
      </x:c>
      <x:c r="W1718" s="79" t="n">
        <x:f>IF(U1718&gt;0,V1718/U1718,0)</x:f>
        <x:v>0.000003537944926812664</x:v>
      </x:c>
      <x:c r="X1718" s="80" t="n">
        <x:f>W1718*('Inputs'!$B$6-AC1718)</x:f>
        <x:v>3506.353407093866</x:v>
      </x:c>
      <x:c r="Y1718" s="80" t="n">
        <x:f>2*V1718</x:f>
        <x:v>400.7058849179854</x:v>
      </x:c>
      <x:c r="Z1718" s="80" t="n">
        <x:f>K1718*'Inputs'!$B$16+(G1718+R1718)*J1718*'Inputs'!$B$16</x:f>
        <x:v>0.7286219753830422</x:v>
      </x:c>
      <x:c r="AA1718" s="80" t="n">
        <x:f>K1718*(1+'Inputs'!$E$48)/2*'Inputs'!$B$17</x:f>
        <x:v>0.24279127097698594</x:v>
      </x:c>
      <x:c r="AB1718" s="78" t="n">
        <x:f>(IF(J1718&gt;0,K1718*(1-'Inputs'!$E$48)/2/J1718,0)+G1718+R1718)*'Inputs'!$B$17</x:f>
        <x:v>68975.17444920448</x:v>
      </x:c>
      <x:c r="AC1718" s="78" t="n">
        <x:f>AC1717+AB1718</x:f>
        <x:v>8929341.85588321</x:v>
      </x:c>
      <x:c r="AD1718" s="80" t="n">
        <x:f>Z1718/(1+'Inputs'!$C$48)</x:f>
        <x:v>0.5828975803064338</x:v>
      </x:c>
      <x:c r="AE1718" s="80" t="n">
        <x:f>Z1718-AD1718</x:f>
        <x:v>0.1457243950766084</x:v>
      </x:c>
      <x:c r="AF1718" s="80" t="n">
        <x:f>D1718*W1718</x:f>
        <x:v>0.9541023853144048</x:v>
      </x:c>
      <x:c r="AG1718" s="80" t="n">
        <x:f>C1718*W1718</x:f>
        <x:v>0.5565597247667581</x:v>
      </x:c>
      <x:c r="AH1718" s="80" t="n">
        <x:f>2*'Inputs'!$B$8*'Inputs'!$C$48</x:f>
        <x:v>1250</x:v>
      </x:c>
      <x:c r="AI1718" s="81" t="n">
        <x:f>IF(AH1718&gt;0,(AE1718+AF1718)/AH1718*365,0)</x:f>
        <x:v>0.3211494198741759</x:v>
      </x:c>
      <x:c r="AJ1718" s="81" t="n">
        <x:f>IF('Inputs'!$B$48&gt;0,AG1718/('Inputs'!$B$19*'Inputs'!$B$48)*365,0)</x:f>
        <x:v>0.08125771981594668</x:v>
      </x:c>
      <x:c r="AK1718" s="81" t="n">
        <x:f>W1718/MAX($W$1464:W1718)-1</x:f>
        <x:v>-0.995839436527973</x:v>
      </x:c>
      <x:c r="AL1718" s="83" t="n">
        <x:f>'Inputs'!$B$48</x:f>
        <x:v>0.25</x:v>
      </x:c>
      <x:c r="AM1718" s="83" t="n">
        <x:f>'Inputs'!$C$48</x:f>
        <x:v>0.25</x:v>
      </x:c>
      <x:c r="AN1718" s="83" t="n">
        <x:f>'Inputs'!$D$48</x:f>
        <x:v>0.3</x:v>
      </x:c>
      <x:c r="AO1718" s="81" t="n">
        <x:f>'Inputs'!$E$48</x:f>
        <x:v>0</x:v>
      </x:c>
    </x:row>
    <x:row r="1719">
      <x:c r="A1719" s="59" t="str">
        <x:v>Low participation</x:v>
      </x:c>
      <x:c r="B1719" s="59" t="n">
        <x:v>256</x:v>
      </x:c>
      <x:c r="C1719" s="78" t="n">
        <x:f>(('Inputs'!$B$29*(3*256*'Inputs'!$B$12-256^2)/(2*'Inputs'!$B$12^2))-('Inputs'!$B$29*(3*255*'Inputs'!$B$12-255^2)/(2*'Inputs'!$B$12^2)))*'Inputs'!$B$48</x:f>
        <x:v>157230.3082191795</x:v>
      </x:c>
      <x:c r="D1719" s="78" t="n">
        <x:f>IF('Inputs'!$C$48&gt;0,('Inputs'!$B$30*(3*256*'Inputs'!$B$12-256^2)/(2*'Inputs'!$B$12^2))-('Inputs'!$B$30*(3*255*'Inputs'!$B$12-255^2)/(2*'Inputs'!$B$12^2)),0)</x:f>
        <x:v>269537.67123287916</x:v>
      </x:c>
      <x:c r="E1719" s="78" t="n">
        <x:f>C1719+D1719</x:f>
        <x:v>426767.9794520587</x:v>
      </x:c>
      <x:c r="F1719" s="78" t="n">
        <x:f>'Inputs'!$B$13*E1719+(1-'Inputs'!$B$13)/'Inputs'!$B$14*SUM(E1664:E1719)</x:f>
        <x:v>431621.3759617197</x:v>
      </x:c>
      <x:c r="G1719" s="78" t="n">
        <x:f>F1719*'Inputs'!$F$48</x:f>
        <x:v>215810.68798085986</x:v>
      </x:c>
      <x:c r="H1719" s="78" t="n">
        <x:f>U1718</x:f>
        <x:v>56629751.62236082</x:v>
      </x:c>
      <x:c r="I1719" s="78" t="n">
        <x:f>V1718</x:f>
        <x:v>200.3529424589927</x:v>
      </x:c>
      <x:c r="J1719" s="79" t="n">
        <x:f>IF(H1719&gt;0,I1719/H1719,0)</x:f>
        <x:v>0.000003537944926812664</x:v>
      </x:c>
      <x:c r="K1719" s="80" t="n">
        <x:f>(H1719*J1719+I1719)*'Inputs'!$D$48*(1+'Inputs'!$G$48)^(B1719/30)</x:f>
        <x:v>120.21176547539561</x:v>
      </x:c>
      <x:c r="L1719" s="80" t="n">
        <x:f>MAX(0,K1719*'Inputs'!$E$48)</x:f>
        <x:v>0</x:v>
      </x:c>
      <x:c r="M1719" s="80" t="n">
        <x:f>MAX(0,-K1719*'Inputs'!$E$48)</x:f>
        <x:v>0</x:v>
      </x:c>
      <x:c r="N1719" s="78" t="n">
        <x:f>H1719*(L1719*(1-'Inputs'!$B$15))/(I1719+L1719*(1-'Inputs'!$B$15))</x:f>
        <x:v>0</x:v>
      </x:c>
      <x:c r="O1719" s="78" t="n">
        <x:f>H1719-N1719</x:f>
        <x:v>56629751.62236082</x:v>
      </x:c>
      <x:c r="P1719" s="78" t="n">
        <x:f>I1719+L1719*(1-'Inputs'!$B$17)</x:f>
        <x:v>200.3529424589927</x:v>
      </x:c>
      <x:c r="Q1719" s="78" t="n">
        <x:f>IF(J1719&gt;0,M1719/J1719,0)</x:f>
        <x:v>0</x:v>
      </x:c>
      <x:c r="R1719" s="78" t="n">
        <x:f>IF(B1719='Inputs'!$H$48,'Inputs'!$B$27*'Inputs'!$I$48,0)</x:f>
        <x:v>0</x:v>
      </x:c>
      <x:c r="S1719" s="78" t="n">
        <x:f>Q1719+G1719+R1719</x:f>
        <x:v>215810.68798085986</x:v>
      </x:c>
      <x:c r="T1719" s="78" t="n">
        <x:f>P1719*(S1719*(1-'Inputs'!$B$15))/(O1719+S1719*(1-'Inputs'!$B$15))</x:f>
        <x:v>0.7530499604551698</x:v>
      </x:c>
      <x:c r="U1719" s="78" t="n">
        <x:f>O1719+S1719*(1-'Inputs'!$B$17)</x:f>
        <x:v>56844693.856868915</x:v>
      </x:c>
      <x:c r="V1719" s="78" t="n">
        <x:f>P1719-T1719</x:f>
        <x:v>199.5998924985375</x:v>
      </x:c>
      <x:c r="W1719" s="79" t="n">
        <x:f>IF(U1719&gt;0,V1719/U1719,0)</x:f>
        <x:v>0.000003511319684491863</x:v>
      </x:c>
      <x:c r="X1719" s="80" t="n">
        <x:f>W1719*('Inputs'!$B$6-AC1719)</x:f>
        <x:v>3479.722806724924</x:v>
      </x:c>
      <x:c r="Y1719" s="80" t="n">
        <x:f>2*V1719</x:f>
        <x:v>399.199784997075</x:v>
      </x:c>
      <x:c r="Z1719" s="80" t="n">
        <x:f>K1719*'Inputs'!$B$16+(G1719+R1719)*J1719*'Inputs'!$B$16</x:f>
        <x:v>0.7258517508245367</x:v>
      </x:c>
      <x:c r="AA1719" s="80" t="n">
        <x:f>K1719*(1+'Inputs'!$E$48)/2*'Inputs'!$B$17</x:f>
        <x:v>0.2418747796285626</x:v>
      </x:c>
      <x:c r="AB1719" s="78" t="n">
        <x:f>(IF(J1719&gt;0,K1719*(1-'Inputs'!$E$48)/2/J1719,0)+G1719+R1719)*'Inputs'!$B$17</x:f>
        <x:v>69234.3508035779</x:v>
      </x:c>
      <x:c r="AC1719" s="78" t="n">
        <x:f>AC1718+AB1719</x:f>
        <x:v>8998576.20668679</x:v>
      </x:c>
      <x:c r="AD1719" s="80" t="n">
        <x:f>Z1719/(1+'Inputs'!$C$48)</x:f>
        <x:v>0.5806814006596294</x:v>
      </x:c>
      <x:c r="AE1719" s="80" t="n">
        <x:f>Z1719-AD1719</x:f>
        <x:v>0.1451703501649073</x:v>
      </x:c>
      <x:c r="AF1719" s="80" t="n">
        <x:f>D1719*W1719</x:f>
        <x:v>0.9464329307121048</x:v>
      </x:c>
      <x:c r="AG1719" s="80" t="n">
        <x:f>C1719*W1719</x:f>
        <x:v>0.5520858762487278</x:v>
      </x:c>
      <x:c r="AH1719" s="80" t="n">
        <x:f>2*'Inputs'!$B$8*'Inputs'!$C$48</x:f>
        <x:v>1250</x:v>
      </x:c>
      <x:c r="AI1719" s="81" t="n">
        <x:f>IF(AH1719&gt;0,(AE1719+AF1719)/AH1719*365,0)</x:f>
        <x:v>0.31874815801608747</x:v>
      </x:c>
      <x:c r="AJ1719" s="81" t="n">
        <x:f>IF('Inputs'!$B$48&gt;0,AG1719/('Inputs'!$B$19*'Inputs'!$B$48)*365,0)</x:f>
        <x:v>0.08060453793231426</x:v>
      </x:c>
      <x:c r="AK1719" s="81" t="n">
        <x:f>W1719/MAX($W$1464:W1719)-1</x:f>
        <x:v>-0.9958707473631967</x:v>
      </x:c>
      <x:c r="AL1719" s="83" t="n">
        <x:f>'Inputs'!$B$48</x:f>
        <x:v>0.25</x:v>
      </x:c>
      <x:c r="AM1719" s="83" t="n">
        <x:f>'Inputs'!$C$48</x:f>
        <x:v>0.25</x:v>
      </x:c>
      <x:c r="AN1719" s="83" t="n">
        <x:f>'Inputs'!$D$48</x:f>
        <x:v>0.3</x:v>
      </x:c>
      <x:c r="AO1719" s="81" t="n">
        <x:f>'Inputs'!$E$48</x:f>
        <x:v>0</x:v>
      </x:c>
    </x:row>
    <x:row r="1720">
      <x:c r="A1720" s="59" t="str">
        <x:v>Low participation</x:v>
      </x:c>
      <x:c r="B1720" s="59" t="n">
        <x:v>257</x:v>
      </x:c>
      <x:c r="C1720" s="78" t="n">
        <x:f>(('Inputs'!$B$29*(3*257*'Inputs'!$B$12-257^2)/(2*'Inputs'!$B$12^2))-('Inputs'!$B$29*(3*256*'Inputs'!$B$12-256^2)/(2*'Inputs'!$B$12^2)))*'Inputs'!$B$48</x:f>
        <x:v>157149.0312441364</x:v>
      </x:c>
      <x:c r="D1720" s="78" t="n">
        <x:f>IF('Inputs'!$C$48&gt;0,('Inputs'!$B$30*(3*257*'Inputs'!$B$12-257^2)/(2*'Inputs'!$B$12^2))-('Inputs'!$B$30*(3*256*'Inputs'!$B$12-256^2)/(2*'Inputs'!$B$12^2)),0)</x:f>
        <x:v>269398.33927565813</x:v>
      </x:c>
      <x:c r="E1720" s="78" t="n">
        <x:f>C1720+D1720</x:f>
        <x:v>426547.3705197945</x:v>
      </x:c>
      <x:c r="F1720" s="78" t="n">
        <x:f>'Inputs'!$B$13*E1720+(1-'Inputs'!$B$13)/'Inputs'!$B$14*SUM(E1665:E1720)</x:f>
        <x:v>431400.76702946087</x:v>
      </x:c>
      <x:c r="G1720" s="78" t="n">
        <x:f>F1720*'Inputs'!$F$48</x:f>
        <x:v>215700.38351473043</x:v>
      </x:c>
      <x:c r="H1720" s="78" t="n">
        <x:f>U1719</x:f>
        <x:v>56844693.856868915</x:v>
      </x:c>
      <x:c r="I1720" s="78" t="n">
        <x:f>V1719</x:f>
        <x:v>199.5998924985375</x:v>
      </x:c>
      <x:c r="J1720" s="79" t="n">
        <x:f>IF(H1720&gt;0,I1720/H1720,0)</x:f>
        <x:v>0.000003511319684491863</x:v>
      </x:c>
      <x:c r="K1720" s="80" t="n">
        <x:f>(H1720*J1720+I1720)*'Inputs'!$D$48*(1+'Inputs'!$G$48)^(B1720/30)</x:f>
        <x:v>119.7599354991225</x:v>
      </x:c>
      <x:c r="L1720" s="80" t="n">
        <x:f>MAX(0,K1720*'Inputs'!$E$48)</x:f>
        <x:v>0</x:v>
      </x:c>
      <x:c r="M1720" s="80" t="n">
        <x:f>MAX(0,-K1720*'Inputs'!$E$48)</x:f>
        <x:v>0</x:v>
      </x:c>
      <x:c r="N1720" s="78" t="n">
        <x:f>H1720*(L1720*(1-'Inputs'!$B$15))/(I1720+L1720*(1-'Inputs'!$B$15))</x:f>
        <x:v>0</x:v>
      </x:c>
      <x:c r="O1720" s="78" t="n">
        <x:f>H1720-N1720</x:f>
        <x:v>56844693.856868915</x:v>
      </x:c>
      <x:c r="P1720" s="78" t="n">
        <x:f>I1720+L1720*(1-'Inputs'!$B$17)</x:f>
        <x:v>199.5998924985375</x:v>
      </x:c>
      <x:c r="Q1720" s="78" t="n">
        <x:f>IF(J1720&gt;0,M1720/J1720,0)</x:f>
        <x:v>0</x:v>
      </x:c>
      <x:c r="R1720" s="78" t="n">
        <x:f>IF(B1720='Inputs'!$H$48,'Inputs'!$B$27*'Inputs'!$I$48,0)</x:f>
        <x:v>0</x:v>
      </x:c>
      <x:c r="S1720" s="78" t="n">
        <x:f>Q1720+G1720+R1720</x:f>
        <x:v>215700.38351473043</x:v>
      </x:c>
      <x:c r="T1720" s="78" t="n">
        <x:f>P1720*(S1720*(1-'Inputs'!$B$15))/(O1720+S1720*(1-'Inputs'!$B$15))</x:f>
        <x:v>0.7470128362205515</x:v>
      </x:c>
      <x:c r="U1720" s="78" t="n">
        <x:f>O1720+S1720*(1-'Inputs'!$B$17)</x:f>
        <x:v>57059526.23079204</x:v>
      </x:c>
      <x:c r="V1720" s="78" t="n">
        <x:f>P1720-T1720</x:f>
        <x:v>198.85287966231695</x:v>
      </x:c>
      <x:c r="W1720" s="79" t="n">
        <x:f>IF(U1720&gt;0,V1720/U1720,0)</x:f>
        <x:v>0.0000034850075490989</x:v>
      </x:c>
      <x:c r="X1720" s="80" t="n">
        <x:f>W1720*('Inputs'!$B$6-AC1720)</x:f>
        <x:v>3453.4052580829066</x:v>
      </x:c>
      <x:c r="Y1720" s="80" t="n">
        <x:f>2*V1720</x:f>
        <x:v>397.7057593246339</x:v>
      </x:c>
      <x:c r="Z1720" s="80" t="n">
        <x:f>K1720*'Inputs'!$B$16+(G1720+R1720)*J1720*'Inputs'!$B$16</x:f>
        <x:v>0.7231039710102614</x:v>
      </x:c>
      <x:c r="AA1720" s="80" t="n">
        <x:f>K1720*(1+'Inputs'!$E$48)/2*'Inputs'!$B$17</x:f>
        <x:v>0.24096566498817407</x:v>
      </x:c>
      <x:c r="AB1720" s="78" t="n">
        <x:f>(IF(J1720&gt;0,K1720*(1-'Inputs'!$E$48)/2/J1720,0)+G1720+R1720)*'Inputs'!$B$17</x:f>
        <x:v>69493.39452947851</x:v>
      </x:c>
      <x:c r="AC1720" s="78" t="n">
        <x:f>AC1719+AB1720</x:f>
        <x:v>9068069.601216268</x:v>
      </x:c>
      <x:c r="AD1720" s="80" t="n">
        <x:f>Z1720/(1+'Inputs'!$C$48)</x:f>
        <x:v>0.578483176808209</x:v>
      </x:c>
      <x:c r="AE1720" s="80" t="n">
        <x:f>Z1720-AD1720</x:f>
        <x:v>0.14462079420205232</x:v>
      </x:c>
      <x:c r="AF1720" s="80" t="n">
        <x:f>D1720*W1720</x:f>
        <x:v>0.9388552460903752</x:v>
      </x:c>
      <x:c r="AG1720" s="80" t="n">
        <x:f>C1720*W1720</x:f>
        <x:v>0.5476655602193942</x:v>
      </x:c>
      <x:c r="AH1720" s="80" t="n">
        <x:f>2*'Inputs'!$B$8*'Inputs'!$C$48</x:f>
        <x:v>1250</x:v>
      </x:c>
      <x:c r="AI1720" s="81" t="n">
        <x:f>IF(AH1720&gt;0,(AE1720+AF1720)/AH1720*365,0)</x:f>
        <x:v>0.3163750037653888</x:v>
      </x:c>
      <x:c r="AJ1720" s="81" t="n">
        <x:f>IF('Inputs'!$B$48&gt;0,AG1720/('Inputs'!$B$19*'Inputs'!$B$48)*365,0)</x:f>
        <x:v>0.07995917179203155</x:v>
      </x:c>
      <x:c r="AK1720" s="81" t="n">
        <x:f>W1720/MAX($W$1464:W1720)-1</x:f>
        <x:v>-0.9959016899899621</x:v>
      </x:c>
      <x:c r="AL1720" s="83" t="n">
        <x:f>'Inputs'!$B$48</x:f>
        <x:v>0.25</x:v>
      </x:c>
      <x:c r="AM1720" s="83" t="n">
        <x:f>'Inputs'!$C$48</x:f>
        <x:v>0.25</x:v>
      </x:c>
      <x:c r="AN1720" s="83" t="n">
        <x:f>'Inputs'!$D$48</x:f>
        <x:v>0.3</x:v>
      </x:c>
      <x:c r="AO1720" s="81" t="n">
        <x:f>'Inputs'!$E$48</x:f>
        <x:v>0</x:v>
      </x:c>
    </x:row>
    <x:row r="1721">
      <x:c r="A1721" s="59" t="str">
        <x:v>Low participation</x:v>
      </x:c>
      <x:c r="B1721" s="59" t="n">
        <x:v>258</x:v>
      </x:c>
      <x:c r="C1721" s="78" t="n">
        <x:f>(('Inputs'!$B$29*(3*258*'Inputs'!$B$12-258^2)/(2*'Inputs'!$B$12^2))-('Inputs'!$B$29*(3*257*'Inputs'!$B$12-257^2)/(2*'Inputs'!$B$12^2)))*'Inputs'!$B$48</x:f>
        <x:v>157067.75426909328</x:v>
      </x:c>
      <x:c r="D1721" s="78" t="n">
        <x:f>IF('Inputs'!$C$48&gt;0,('Inputs'!$B$30*(3*258*'Inputs'!$B$12-258^2)/(2*'Inputs'!$B$12^2))-('Inputs'!$B$30*(3*257*'Inputs'!$B$12-257^2)/(2*'Inputs'!$B$12^2)),0)</x:f>
        <x:v>269259.007318452</x:v>
      </x:c>
      <x:c r="E1721" s="78" t="n">
        <x:f>C1721+D1721</x:f>
        <x:v>426326.7615875453</x:v>
      </x:c>
      <x:c r="F1721" s="78" t="n">
        <x:f>'Inputs'!$B$13*E1721+(1-'Inputs'!$B$13)/'Inputs'!$B$14*SUM(E1666:E1721)</x:f>
        <x:v>431180.1580972053</x:v>
      </x:c>
      <x:c r="G1721" s="78" t="n">
        <x:f>F1721*'Inputs'!$F$48</x:f>
        <x:v>215590.07904860264</x:v>
      </x:c>
      <x:c r="H1721" s="78" t="n">
        <x:f>U1720</x:f>
        <x:v>57059526.23079204</x:v>
      </x:c>
      <x:c r="I1721" s="78" t="n">
        <x:f>V1720</x:f>
        <x:v>198.85287966231695</x:v>
      </x:c>
      <x:c r="J1721" s="79" t="n">
        <x:f>IF(H1721&gt;0,I1721/H1721,0)</x:f>
        <x:v>0.0000034850075490989</x:v>
      </x:c>
      <x:c r="K1721" s="80" t="n">
        <x:f>(H1721*J1721+I1721)*'Inputs'!$D$48*(1+'Inputs'!$G$48)^(B1721/30)</x:f>
        <x:v>119.31172779739016</x:v>
      </x:c>
      <x:c r="L1721" s="80" t="n">
        <x:f>MAX(0,K1721*'Inputs'!$E$48)</x:f>
        <x:v>0</x:v>
      </x:c>
      <x:c r="M1721" s="80" t="n">
        <x:f>MAX(0,-K1721*'Inputs'!$E$48)</x:f>
        <x:v>0</x:v>
      </x:c>
      <x:c r="N1721" s="78" t="n">
        <x:f>H1721*(L1721*(1-'Inputs'!$B$15))/(I1721+L1721*(1-'Inputs'!$B$15))</x:f>
        <x:v>0</x:v>
      </x:c>
      <x:c r="O1721" s="78" t="n">
        <x:f>H1721-N1721</x:f>
        <x:v>57059526.23079204</x:v>
      </x:c>
      <x:c r="P1721" s="78" t="n">
        <x:f>I1721+L1721*(1-'Inputs'!$B$17)</x:f>
        <x:v>198.85287966231695</x:v>
      </x:c>
      <x:c r="Q1721" s="78" t="n">
        <x:f>IF(J1721&gt;0,M1721/J1721,0)</x:f>
        <x:v>0</x:v>
      </x:c>
      <x:c r="R1721" s="78" t="n">
        <x:f>IF(B1721='Inputs'!$H$48,'Inputs'!$B$27*'Inputs'!$I$48,0)</x:f>
        <x:v>0</x:v>
      </x:c>
      <x:c r="S1721" s="78" t="n">
        <x:f>Q1721+G1721+R1721</x:f>
        <x:v>215590.07904860264</x:v>
      </x:c>
      <x:c r="T1721" s="78" t="n">
        <x:f>P1721*(S1721*(1-'Inputs'!$B$15))/(O1721+S1721*(1-'Inputs'!$B$15))</x:f>
        <x:v>0.7410477939652684</x:v>
      </x:c>
      <x:c r="U1721" s="78" t="n">
        <x:f>O1721+S1721*(1-'Inputs'!$B$17)</x:f>
        <x:v>57274248.74413019</x:v>
      </x:c>
      <x:c r="V1721" s="78" t="n">
        <x:f>P1721-T1721</x:f>
        <x:v>198.1118318683517</x:v>
      </x:c>
      <x:c r="W1721" s="79" t="n">
        <x:f>IF(U1721&gt;0,V1721/U1721,0)</x:f>
        <x:v>0.0000034590035873435246</x:v>
      </x:c>
      <x:c r="X1721" s="80" t="n">
        <x:f>W1721*('Inputs'!$B$6-AC1721)</x:f>
        <x:v>3427.3958285872477</x:v>
      </x:c>
      <x:c r="Y1721" s="80" t="n">
        <x:f>2*V1721</x:f>
        <x:v>396.2236637367034</x:v>
      </x:c>
      <x:c r="Z1721" s="80" t="n">
        <x:f>K1721*'Inputs'!$B$16+(G1721+R1721)*J1721*'Inputs'!$B$16</x:f>
        <x:v>0.7203783651023122</x:v>
      </x:c>
      <x:c r="AA1721" s="80" t="n">
        <x:f>K1721*(1+'Inputs'!$E$48)/2*'Inputs'!$B$17</x:f>
        <x:v>0.24006383862653957</x:v>
      </x:c>
      <x:c r="AB1721" s="78" t="n">
        <x:f>(IF(J1721&gt;0,K1721*(1-'Inputs'!$E$48)/2/J1721,0)+G1721+R1721)*'Inputs'!$B$17</x:f>
        <x:v>69752.3056269063</x:v>
      </x:c>
      <x:c r="AC1721" s="78" t="n">
        <x:f>AC1720+AB1721</x:f>
        <x:v>9137821.906843174</x:v>
      </x:c>
      <x:c r="AD1721" s="80" t="n">
        <x:f>Z1721/(1+'Inputs'!$C$48)</x:f>
        <x:v>0.5763026920818498</x:v>
      </x:c>
      <x:c r="AE1721" s="80" t="n">
        <x:f>Z1721-AD1721</x:f>
        <x:v>0.14407567302046242</x:v>
      </x:c>
      <x:c r="AF1721" s="80" t="n">
        <x:f>D1721*W1721</x:f>
        <x:v>0.9313678722390818</x:v>
      </x:c>
      <x:c r="AG1721" s="80" t="n">
        <x:f>C1721*W1721</x:f>
        <x:v>0.5432979254727849</x:v>
      </x:c>
      <x:c r="AH1721" s="80" t="n">
        <x:f>2*'Inputs'!$B$8*'Inputs'!$C$48</x:f>
        <x:v>1250</x:v>
      </x:c>
      <x:c r="AI1721" s="81" t="n">
        <x:f>IF(AH1721&gt;0,(AE1721+AF1721)/AH1721*365,0)</x:f>
        <x:v>0.31402951521578687</x:v>
      </x:c>
      <x:c r="AJ1721" s="81" t="n">
        <x:f>IF('Inputs'!$B$48&gt;0,AG1721/('Inputs'!$B$19*'Inputs'!$B$48)*365,0)</x:f>
        <x:v>0.0793214971190266</x:v>
      </x:c>
      <x:c r="AK1721" s="81" t="n">
        <x:f>W1721/MAX($W$1464:W1721)-1</x:f>
        <x:v>-0.9959322702097353</x:v>
      </x:c>
      <x:c r="AL1721" s="83" t="n">
        <x:f>'Inputs'!$B$48</x:f>
        <x:v>0.25</x:v>
      </x:c>
      <x:c r="AM1721" s="83" t="n">
        <x:f>'Inputs'!$C$48</x:f>
        <x:v>0.25</x:v>
      </x:c>
      <x:c r="AN1721" s="83" t="n">
        <x:f>'Inputs'!$D$48</x:f>
        <x:v>0.3</x:v>
      </x:c>
      <x:c r="AO1721" s="81" t="n">
        <x:f>'Inputs'!$E$48</x:f>
        <x:v>0</x:v>
      </x:c>
    </x:row>
    <x:row r="1722">
      <x:c r="A1722" s="59" t="str">
        <x:v>Low participation</x:v>
      </x:c>
      <x:c r="B1722" s="59" t="n">
        <x:v>259</x:v>
      </x:c>
      <x:c r="C1722" s="78" t="n">
        <x:f>(('Inputs'!$B$29*(3*259*'Inputs'!$B$12-259^2)/(2*'Inputs'!$B$12^2))-('Inputs'!$B$29*(3*258*'Inputs'!$B$12-258^2)/(2*'Inputs'!$B$12^2)))*'Inputs'!$B$48</x:f>
        <x:v>156986.47729405016</x:v>
      </x:c>
      <x:c r="D1722" s="78" t="n">
        <x:f>IF('Inputs'!$C$48&gt;0,('Inputs'!$B$30*(3*259*'Inputs'!$B$12-259^2)/(2*'Inputs'!$B$12^2))-('Inputs'!$B$30*(3*258*'Inputs'!$B$12-258^2)/(2*'Inputs'!$B$12^2)),0)</x:f>
        <x:v>269119.67536123097</x:v>
      </x:c>
      <x:c r="E1722" s="78" t="n">
        <x:f>C1722+D1722</x:f>
        <x:v>426106.1526552811</x:v>
      </x:c>
      <x:c r="F1722" s="78" t="n">
        <x:f>'Inputs'!$B$13*E1722+(1-'Inputs'!$B$13)/'Inputs'!$B$14*SUM(E1667:E1722)</x:f>
        <x:v>430959.5491649463</x:v>
      </x:c>
      <x:c r="G1722" s="78" t="n">
        <x:f>F1722*'Inputs'!$F$48</x:f>
        <x:v>215479.77458247315</x:v>
      </x:c>
      <x:c r="H1722" s="78" t="n">
        <x:f>U1721</x:f>
        <x:v>57274248.74413019</x:v>
      </x:c>
      <x:c r="I1722" s="78" t="n">
        <x:f>V1721</x:f>
        <x:v>198.1118318683517</x:v>
      </x:c>
      <x:c r="J1722" s="79" t="n">
        <x:f>IF(H1722&gt;0,I1722/H1722,0)</x:f>
        <x:v>0.0000034590035873435246</x:v>
      </x:c>
      <x:c r="K1722" s="80" t="n">
        <x:f>(H1722*J1722+I1722)*'Inputs'!$D$48*(1+'Inputs'!$G$48)^(B1722/30)</x:f>
        <x:v>118.86709912101101</x:v>
      </x:c>
      <x:c r="L1722" s="80" t="n">
        <x:f>MAX(0,K1722*'Inputs'!$E$48)</x:f>
        <x:v>0</x:v>
      </x:c>
      <x:c r="M1722" s="80" t="n">
        <x:f>MAX(0,-K1722*'Inputs'!$E$48)</x:f>
        <x:v>0</x:v>
      </x:c>
      <x:c r="N1722" s="78" t="n">
        <x:f>H1722*(L1722*(1-'Inputs'!$B$15))/(I1722+L1722*(1-'Inputs'!$B$15))</x:f>
        <x:v>0</x:v>
      </x:c>
      <x:c r="O1722" s="78" t="n">
        <x:f>H1722-N1722</x:f>
        <x:v>57274248.74413019</x:v>
      </x:c>
      <x:c r="P1722" s="78" t="n">
        <x:f>I1722+L1722*(1-'Inputs'!$B$17)</x:f>
        <x:v>198.1118318683517</x:v>
      </x:c>
      <x:c r="Q1722" s="78" t="n">
        <x:f>IF(J1722&gt;0,M1722/J1722,0)</x:f>
        <x:v>0</x:v>
      </x:c>
      <x:c r="R1722" s="78" t="n">
        <x:f>IF(B1722='Inputs'!$H$48,'Inputs'!$B$27*'Inputs'!$I$48,0)</x:f>
        <x:v>0</x:v>
      </x:c>
      <x:c r="S1722" s="78" t="n">
        <x:f>Q1722+G1722+R1722</x:f>
        <x:v>215479.77458247315</x:v>
      </x:c>
      <x:c r="T1722" s="78" t="n">
        <x:f>P1722*(S1722*(1-'Inputs'!$B$15))/(O1722+S1722*(1-'Inputs'!$B$15))</x:f>
        <x:v>0.7351536899002621</x:v>
      </x:c>
      <x:c r="U1722" s="78" t="n">
        <x:f>O1722+S1722*(1-'Inputs'!$B$17)</x:f>
        <x:v>57488861.39688335</x:v>
      </x:c>
      <x:c r="V1722" s="78" t="n">
        <x:f>P1722-T1722</x:f>
        <x:v>197.3766781784514</x:v>
      </x:c>
      <x:c r="W1722" s="79" t="n">
        <x:f>IF(U1722&gt;0,V1722/U1722,0)</x:f>
        <x:v>0.0000034333029630875905</x:v>
      </x:c>
      <x:c r="X1722" s="80" t="n">
        <x:f>W1722*('Inputs'!$B$6-AC1722)</x:f>
        <x:v>3401.6896827961837</x:v>
      </x:c>
      <x:c r="Y1722" s="80" t="n">
        <x:f>2*V1722</x:f>
        <x:v>394.7533563569028</x:v>
      </x:c>
      <x:c r="Z1722" s="80" t="n">
        <x:f>K1722*'Inputs'!$B$16+(G1722+R1722)*J1722*'Inputs'!$B$16</x:f>
        <x:v>0.7176746666057505</x:v>
      </x:c>
      <x:c r="AA1722" s="80" t="n">
        <x:f>K1722*(1+'Inputs'!$E$48)/2*'Inputs'!$B$17</x:f>
        <x:v>0.239169213523161</x:v>
      </x:c>
      <x:c r="AB1722" s="78" t="n">
        <x:f>(IF(J1722&gt;0,K1722*(1-'Inputs'!$E$48)/2/J1722,0)+G1722+R1722)*'Inputs'!$B$17</x:f>
        <x:v>70011.08409586128</x:v>
      </x:c>
      <x:c r="AC1722" s="78" t="n">
        <x:f>AC1721+AB1722</x:f>
        <x:v>9207832.990939036</x:v>
      </x:c>
      <x:c r="AD1722" s="80" t="n">
        <x:f>Z1722/(1+'Inputs'!$C$48)</x:f>
        <x:v>0.5741397332846004</x:v>
      </x:c>
      <x:c r="AE1722" s="80" t="n">
        <x:f>Z1722-AD1722</x:f>
        <x:v>0.14353493332115008</x:v>
      </x:c>
      <x:c r="AF1722" s="80" t="n">
        <x:f>D1722*W1722</x:f>
        <x:v>0.9239693788428847</x:v>
      </x:c>
      <x:c r="AG1722" s="80" t="n">
        <x:f>C1722*W1722</x:f>
        <x:v>0.5389821376583451</x:v>
      </x:c>
      <x:c r="AH1722" s="80" t="n">
        <x:f>2*'Inputs'!$B$8*'Inputs'!$C$48</x:f>
        <x:v>1250</x:v>
      </x:c>
      <x:c r="AI1722" s="81" t="n">
        <x:f>IF(AH1722&gt;0,(AE1722+AF1722)/AH1722*365,0)</x:f>
        <x:v>0.3117112591518981</x:v>
      </x:c>
      <x:c r="AJ1722" s="81" t="n">
        <x:f>IF('Inputs'!$B$48&gt;0,AG1722/('Inputs'!$B$19*'Inputs'!$B$48)*365,0)</x:f>
        <x:v>0.07869139209811839</x:v>
      </x:c>
      <x:c r="AK1722" s="81" t="n">
        <x:f>W1722/MAX($W$1464:W1722)-1</x:f>
        <x:v>-0.995962493709733</x:v>
      </x:c>
      <x:c r="AL1722" s="83" t="n">
        <x:f>'Inputs'!$B$48</x:f>
        <x:v>0.25</x:v>
      </x:c>
      <x:c r="AM1722" s="83" t="n">
        <x:f>'Inputs'!$C$48</x:f>
        <x:v>0.25</x:v>
      </x:c>
      <x:c r="AN1722" s="83" t="n">
        <x:f>'Inputs'!$D$48</x:f>
        <x:v>0.3</x:v>
      </x:c>
      <x:c r="AO1722" s="81" t="n">
        <x:f>'Inputs'!$E$48</x:f>
        <x:v>0</x:v>
      </x:c>
    </x:row>
    <x:row r="1723">
      <x:c r="A1723" s="59" t="str">
        <x:v>Low participation</x:v>
      </x:c>
      <x:c r="B1723" s="59" t="n">
        <x:v>260</x:v>
      </x:c>
      <x:c r="C1723" s="78" t="n">
        <x:f>(('Inputs'!$B$29*(3*260*'Inputs'!$B$12-260^2)/(2*'Inputs'!$B$12^2))-('Inputs'!$B$29*(3*259*'Inputs'!$B$12-259^2)/(2*'Inputs'!$B$12^2)))*'Inputs'!$B$48</x:f>
        <x:v>156905.20031900704</x:v>
      </x:c>
      <x:c r="D1723" s="78" t="n">
        <x:f>IF('Inputs'!$C$48&gt;0,('Inputs'!$B$30*(3*260*'Inputs'!$B$12-260^2)/(2*'Inputs'!$B$12^2))-('Inputs'!$B$30*(3*259*'Inputs'!$B$12-259^2)/(2*'Inputs'!$B$12^2)),0)</x:f>
        <x:v>268980.34340400994</x:v>
      </x:c>
      <x:c r="E1723" s="78" t="n">
        <x:f>C1723+D1723</x:f>
        <x:v>425885.543723017</x:v>
      </x:c>
      <x:c r="F1723" s="78" t="n">
        <x:f>'Inputs'!$B$13*E1723+(1-'Inputs'!$B$13)/'Inputs'!$B$14*SUM(E1668:E1723)</x:f>
        <x:v>430738.9402326875</x:v>
      </x:c>
      <x:c r="G1723" s="78" t="n">
        <x:f>F1723*'Inputs'!$F$48</x:f>
        <x:v>215369.47011634376</x:v>
      </x:c>
      <x:c r="H1723" s="78" t="n">
        <x:f>U1722</x:f>
        <x:v>57488861.39688335</x:v>
      </x:c>
      <x:c r="I1723" s="78" t="n">
        <x:f>V1722</x:f>
        <x:v>197.3766781784514</x:v>
      </x:c>
      <x:c r="J1723" s="79" t="n">
        <x:f>IF(H1723&gt;0,I1723/H1723,0)</x:f>
        <x:v>0.0000034333029630875905</x:v>
      </x:c>
      <x:c r="K1723" s="80" t="n">
        <x:f>(H1723*J1723+I1723)*'Inputs'!$D$48*(1+'Inputs'!$G$48)^(B1723/30)</x:f>
        <x:v>118.42600690707084</x:v>
      </x:c>
      <x:c r="L1723" s="80" t="n">
        <x:f>MAX(0,K1723*'Inputs'!$E$48)</x:f>
        <x:v>0</x:v>
      </x:c>
      <x:c r="M1723" s="80" t="n">
        <x:f>MAX(0,-K1723*'Inputs'!$E$48)</x:f>
        <x:v>0</x:v>
      </x:c>
      <x:c r="N1723" s="78" t="n">
        <x:f>H1723*(L1723*(1-'Inputs'!$B$15))/(I1723+L1723*(1-'Inputs'!$B$15))</x:f>
        <x:v>0</x:v>
      </x:c>
      <x:c r="O1723" s="78" t="n">
        <x:f>H1723-N1723</x:f>
        <x:v>57488861.39688335</x:v>
      </x:c>
      <x:c r="P1723" s="78" t="n">
        <x:f>I1723+L1723*(1-'Inputs'!$B$17)</x:f>
        <x:v>197.3766781784514</x:v>
      </x:c>
      <x:c r="Q1723" s="78" t="n">
        <x:f>IF(J1723&gt;0,M1723/J1723,0)</x:f>
        <x:v>0</x:v>
      </x:c>
      <x:c r="R1723" s="78" t="n">
        <x:f>IF(B1723='Inputs'!$H$48,'Inputs'!$B$27*'Inputs'!$I$48,0)</x:f>
        <x:v>0</x:v>
      </x:c>
      <x:c r="S1723" s="78" t="n">
        <x:f>Q1723+G1723+R1723</x:f>
        <x:v>215369.47011634376</x:v>
      </x:c>
      <x:c r="T1723" s="78" t="n">
        <x:f>P1723*(S1723*(1-'Inputs'!$B$15))/(O1723+S1723*(1-'Inputs'!$B$15))</x:f>
        <x:v>0.7293294028398428</x:v>
      </x:c>
      <x:c r="U1723" s="78" t="n">
        <x:f>O1723+S1723*(1-'Inputs'!$B$17)</x:f>
        <x:v>57703364.189051546</x:v>
      </x:c>
      <x:c r="V1723" s="78" t="n">
        <x:f>P1723-T1723</x:f>
        <x:v>196.64734877561156</x:v>
      </x:c>
      <x:c r="W1723" s="79" t="n">
        <x:f>IF(U1723&gt;0,V1723/U1723,0)</x:f>
        <x:v>0.0000034079009350536758</x:v>
      </x:c>
      <x:c r="X1723" s="80" t="n">
        <x:f>W1723*('Inputs'!$B$6-AC1723)</x:f>
        <x:v>3376.2820801156804</x:v>
      </x:c>
      <x:c r="Y1723" s="80" t="n">
        <x:f>2*V1723</x:f>
        <x:v>393.2946975512231</x:v>
      </x:c>
      <x:c r="Z1723" s="80" t="n">
        <x:f>K1723*'Inputs'!$B$16+(G1723+R1723)*J1723*'Inputs'!$B$16</x:f>
        <x:v>0.7149926132818794</x:v>
      </x:c>
      <x:c r="AA1723" s="80" t="n">
        <x:f>K1723*(1+'Inputs'!$E$48)/2*'Inputs'!$B$17</x:f>
        <x:v>0.23828170403837193</x:v>
      </x:c>
      <x:c r="AB1723" s="78" t="n">
        <x:f>(IF(J1723&gt;0,K1723*(1-'Inputs'!$E$48)/2/J1723,0)+G1723+R1723)*'Inputs'!$B$17</x:f>
        <x:v>70269.72993634346</x:v>
      </x:c>
      <x:c r="AC1723" s="78" t="n">
        <x:f>AC1722+AB1723</x:f>
        <x:v>9278102.720875379</x:v>
      </x:c>
      <x:c r="AD1723" s="80" t="n">
        <x:f>Z1723/(1+'Inputs'!$C$48)</x:f>
        <x:v>0.5719940906255034</x:v>
      </x:c>
      <x:c r="AE1723" s="80" t="n">
        <x:f>Z1723-AD1723</x:f>
        <x:v>0.14299852265637591</x:v>
      </x:c>
      <x:c r="AF1723" s="80" t="n">
        <x:f>D1723*W1723</x:f>
        <x:v>0.9166583637975843</x:v>
      </x:c>
      <x:c r="AG1723" s="80" t="n">
        <x:f>C1723*W1723</x:f>
        <x:v>0.5347173788819284</x:v>
      </x:c>
      <x:c r="AH1723" s="80" t="n">
        <x:f>2*'Inputs'!$B$8*'Inputs'!$C$48</x:f>
        <x:v>1250</x:v>
      </x:c>
      <x:c r="AI1723" s="81" t="n">
        <x:f>IF(AH1723&gt;0,(AE1723+AF1723)/AH1723*365,0)</x:f>
        <x:v>0.3094198108445564</x:v>
      </x:c>
      <x:c r="AJ1723" s="81" t="n">
        <x:f>IF('Inputs'!$B$48&gt;0,AG1723/('Inputs'!$B$19*'Inputs'!$B$48)*365,0)</x:f>
        <x:v>0.07806873731676155</x:v>
      </x:c>
      <x:c r="AK1723" s="81" t="n">
        <x:f>W1723/MAX($W$1464:W1723)-1</x:f>
        <x:v>-0.9959923660656175</x:v>
      </x:c>
      <x:c r="AL1723" s="83" t="n">
        <x:f>'Inputs'!$B$48</x:f>
        <x:v>0.25</x:v>
      </x:c>
      <x:c r="AM1723" s="83" t="n">
        <x:f>'Inputs'!$C$48</x:f>
        <x:v>0.25</x:v>
      </x:c>
      <x:c r="AN1723" s="83" t="n">
        <x:f>'Inputs'!$D$48</x:f>
        <x:v>0.3</x:v>
      </x:c>
      <x:c r="AO1723" s="81" t="n">
        <x:f>'Inputs'!$E$48</x:f>
        <x:v>0</x:v>
      </x:c>
    </x:row>
    <x:row r="1724">
      <x:c r="A1724" s="59" t="str">
        <x:v>Low participation</x:v>
      </x:c>
      <x:c r="B1724" s="59" t="n">
        <x:v>261</x:v>
      </x:c>
      <x:c r="C1724" s="78" t="n">
        <x:f>(('Inputs'!$B$29*(3*261*'Inputs'!$B$12-261^2)/(2*'Inputs'!$B$12^2))-('Inputs'!$B$29*(3*260*'Inputs'!$B$12-260^2)/(2*'Inputs'!$B$12^2)))*'Inputs'!$B$48</x:f>
        <x:v>156823.92334397137</x:v>
      </x:c>
      <x:c r="D1724" s="78" t="n">
        <x:f>IF('Inputs'!$C$48&gt;0,('Inputs'!$B$30*(3*261*'Inputs'!$B$12-261^2)/(2*'Inputs'!$B$12^2))-('Inputs'!$B$30*(3*260*'Inputs'!$B$12-260^2)/(2*'Inputs'!$B$12^2)),0)</x:f>
        <x:v>268841.0114468038</x:v>
      </x:c>
      <x:c r="E1724" s="78" t="n">
        <x:f>C1724+D1724</x:f>
        <x:v>425664.9347907752</x:v>
      </x:c>
      <x:c r="F1724" s="78" t="n">
        <x:f>'Inputs'!$B$13*E1724+(1-'Inputs'!$B$13)/'Inputs'!$B$14*SUM(E1669:E1724)</x:f>
        <x:v>430518.33130043326</x:v>
      </x:c>
      <x:c r="G1724" s="78" t="n">
        <x:f>F1724*'Inputs'!$F$48</x:f>
        <x:v>215259.16565021663</x:v>
      </x:c>
      <x:c r="H1724" s="78" t="n">
        <x:f>U1723</x:f>
        <x:v>57703364.189051546</x:v>
      </x:c>
      <x:c r="I1724" s="78" t="n">
        <x:f>V1723</x:f>
        <x:v>196.64734877561156</x:v>
      </x:c>
      <x:c r="J1724" s="79" t="n">
        <x:f>IF(H1724&gt;0,I1724/H1724,0)</x:f>
        <x:v>0.0000034079009350536758</x:v>
      </x:c>
      <x:c r="K1724" s="80" t="n">
        <x:f>(H1724*J1724+I1724)*'Inputs'!$D$48*(1+'Inputs'!$G$48)^(B1724/30)</x:f>
        <x:v>117.98840926536693</x:v>
      </x:c>
      <x:c r="L1724" s="80" t="n">
        <x:f>MAX(0,K1724*'Inputs'!$E$48)</x:f>
        <x:v>0</x:v>
      </x:c>
      <x:c r="M1724" s="80" t="n">
        <x:f>MAX(0,-K1724*'Inputs'!$E$48)</x:f>
        <x:v>0</x:v>
      </x:c>
      <x:c r="N1724" s="78" t="n">
        <x:f>H1724*(L1724*(1-'Inputs'!$B$15))/(I1724+L1724*(1-'Inputs'!$B$15))</x:f>
        <x:v>0</x:v>
      </x:c>
      <x:c r="O1724" s="78" t="n">
        <x:f>H1724-N1724</x:f>
        <x:v>57703364.189051546</x:v>
      </x:c>
      <x:c r="P1724" s="78" t="n">
        <x:f>I1724+L1724*(1-'Inputs'!$B$17)</x:f>
        <x:v>196.64734877561156</x:v>
      </x:c>
      <x:c r="Q1724" s="78" t="n">
        <x:f>IF(J1724&gt;0,M1724/J1724,0)</x:f>
        <x:v>0</x:v>
      </x:c>
      <x:c r="R1724" s="78" t="n">
        <x:f>IF(B1724='Inputs'!$H$48,'Inputs'!$B$27*'Inputs'!$I$48,0)</x:f>
        <x:v>0</x:v>
      </x:c>
      <x:c r="S1724" s="78" t="n">
        <x:f>Q1724+G1724+R1724</x:f>
        <x:v>215259.16565021663</x:v>
      </x:c>
      <x:c r="T1724" s="78" t="n">
        <x:f>P1724*(S1724*(1-'Inputs'!$B$15))/(O1724+S1724*(1-'Inputs'!$B$15))</x:f>
        <x:v>0.7235738336676607</x:v>
      </x:c>
      <x:c r="U1724" s="78" t="n">
        <x:f>O1724+S1724*(1-'Inputs'!$B$17)</x:f>
        <x:v>57917757.12063476</x:v>
      </x:c>
      <x:c r="V1724" s="78" t="n">
        <x:f>P1724-T1724</x:f>
        <x:v>195.9237749419439</x:v>
      </x:c>
      <x:c r="W1724" s="79" t="n">
        <x:f>IF(U1724&gt;0,V1724/U1724,0)</x:f>
        <x:v>0.0000033827928545965875</x:v>
      </x:c>
      <x:c r="X1724" s="80" t="n">
        <x:f>W1724*('Inputs'!$B$6-AC1724)</x:f>
        <x:v>3351.168372571228</x:v>
      </x:c>
      <x:c r="Y1724" s="80" t="n">
        <x:f>2*V1724</x:f>
        <x:v>391.8475498838878</x:v>
      </x:c>
      <x:c r="Z1724" s="80" t="n">
        <x:f>K1724*'Inputs'!$B$16+(G1724+R1724)*J1724*'Inputs'!$B$16</x:f>
        <x:v>0.712331947063591</x:v>
      </x:c>
      <x:c r="AA1724" s="80" t="n">
        <x:f>K1724*(1+'Inputs'!$E$48)/2*'Inputs'!$B$17</x:f>
        <x:v>0.23740122588605017</x:v>
      </x:c>
      <x:c r="AB1724" s="78" t="n">
        <x:f>(IF(J1724&gt;0,K1724*(1-'Inputs'!$E$48)/2/J1724,0)+G1724+R1724)*'Inputs'!$B$17</x:f>
        <x:v>70528.24314835283</x:v>
      </x:c>
      <x:c r="AC1724" s="78" t="n">
        <x:f>AC1723+AB1724</x:f>
        <x:v>9348630.964023732</x:v>
      </x:c>
      <x:c r="AD1724" s="80" t="n">
        <x:f>Z1724/(1+'Inputs'!$C$48)</x:f>
        <x:v>0.5698655576508729</x:v>
      </x:c>
      <x:c r="AE1724" s="80" t="n">
        <x:f>Z1724-AD1724</x:f>
        <x:v>0.14246638941271816</x:v>
      </x:c>
      <x:c r="AF1724" s="80" t="n">
        <x:f>D1724*W1724</x:f>
        <x:v>0.9094334525447673</x:v>
      </x:c>
      <x:c r="AG1724" s="80" t="n">
        <x:f>C1724*W1724</x:f>
        <x:v>0.5305028473177893</x:v>
      </x:c>
      <x:c r="AH1724" s="80" t="n">
        <x:f>2*'Inputs'!$B$8*'Inputs'!$C$48</x:f>
        <x:v>1250</x:v>
      </x:c>
      <x:c r="AI1724" s="81" t="n">
        <x:f>IF(AH1724&gt;0,(AE1724+AF1724)/AH1724*365,0)</x:f>
        <x:v>0.30715475385158575</x:v>
      </x:c>
      <x:c r="AJ1724" s="81" t="n">
        <x:f>IF('Inputs'!$B$48&gt;0,AG1724/('Inputs'!$B$19*'Inputs'!$B$48)*365,0)</x:f>
        <x:v>0.07745341570839724</x:v>
      </x:c>
      <x:c r="AK1724" s="81" t="n">
        <x:f>W1724/MAX($W$1464:W1724)-1</x:f>
        <x:v>-0.9960218927441169</x:v>
      </x:c>
      <x:c r="AL1724" s="83" t="n">
        <x:f>'Inputs'!$B$48</x:f>
        <x:v>0.25</x:v>
      </x:c>
      <x:c r="AM1724" s="83" t="n">
        <x:f>'Inputs'!$C$48</x:f>
        <x:v>0.25</x:v>
      </x:c>
      <x:c r="AN1724" s="83" t="n">
        <x:f>'Inputs'!$D$48</x:f>
        <x:v>0.3</x:v>
      </x:c>
      <x:c r="AO1724" s="81" t="n">
        <x:f>'Inputs'!$E$48</x:f>
        <x:v>0</x:v>
      </x:c>
    </x:row>
    <x:row r="1725">
      <x:c r="A1725" s="59" t="str">
        <x:v>Low participation</x:v>
      </x:c>
      <x:c r="B1725" s="59" t="n">
        <x:v>262</x:v>
      </x:c>
      <x:c r="C1725" s="78" t="n">
        <x:f>(('Inputs'!$B$29*(3*262*'Inputs'!$B$12-262^2)/(2*'Inputs'!$B$12^2))-('Inputs'!$B$29*(3*261*'Inputs'!$B$12-261^2)/(2*'Inputs'!$B$12^2)))*'Inputs'!$B$48</x:f>
        <x:v>156742.6463689208</x:v>
      </x:c>
      <x:c r="D1725" s="78" t="n">
        <x:f>IF('Inputs'!$C$48&gt;0,('Inputs'!$B$30*(3*262*'Inputs'!$B$12-262^2)/(2*'Inputs'!$B$12^2))-('Inputs'!$B$30*(3*261*'Inputs'!$B$12-261^2)/(2*'Inputs'!$B$12^2)),0)</x:f>
        <x:v>268701.6794895828</x:v>
      </x:c>
      <x:c r="E1725" s="78" t="n">
        <x:f>C1725+D1725</x:f>
        <x:v>425444.3258585036</x:v>
      </x:c>
      <x:c r="F1725" s="78" t="n">
        <x:f>'Inputs'!$B$13*E1725+(1-'Inputs'!$B$13)/'Inputs'!$B$14*SUM(E1670:E1725)</x:f>
        <x:v>430297.7223681728</x:v>
      </x:c>
      <x:c r="G1725" s="78" t="n">
        <x:f>F1725*'Inputs'!$F$48</x:f>
        <x:v>215148.8611840864</x:v>
      </x:c>
      <x:c r="H1725" s="78" t="n">
        <x:f>U1724</x:f>
        <x:v>57917757.12063476</x:v>
      </x:c>
      <x:c r="I1725" s="78" t="n">
        <x:f>V1724</x:f>
        <x:v>195.9237749419439</x:v>
      </x:c>
      <x:c r="J1725" s="79" t="n">
        <x:f>IF(H1725&gt;0,I1725/H1725,0)</x:f>
        <x:v>0.0000033827928545965875</x:v>
      </x:c>
      <x:c r="K1725" s="80" t="n">
        <x:f>(H1725*J1725+I1725)*'Inputs'!$D$48*(1+'Inputs'!$G$48)^(B1725/30)</x:f>
        <x:v>117.55426496516633</x:v>
      </x:c>
      <x:c r="L1725" s="80" t="n">
        <x:f>MAX(0,K1725*'Inputs'!$E$48)</x:f>
        <x:v>0</x:v>
      </x:c>
      <x:c r="M1725" s="80" t="n">
        <x:f>MAX(0,-K1725*'Inputs'!$E$48)</x:f>
        <x:v>0</x:v>
      </x:c>
      <x:c r="N1725" s="78" t="n">
        <x:f>H1725*(L1725*(1-'Inputs'!$B$15))/(I1725+L1725*(1-'Inputs'!$B$15))</x:f>
        <x:v>0</x:v>
      </x:c>
      <x:c r="O1725" s="78" t="n">
        <x:f>H1725-N1725</x:f>
        <x:v>57917757.12063476</x:v>
      </x:c>
      <x:c r="P1725" s="78" t="n">
        <x:f>I1725+L1725*(1-'Inputs'!$B$17)</x:f>
        <x:v>195.9237749419439</x:v>
      </x:c>
      <x:c r="Q1725" s="78" t="n">
        <x:f>IF(J1725&gt;0,M1725/J1725,0)</x:f>
        <x:v>0</x:v>
      </x:c>
      <x:c r="R1725" s="78" t="n">
        <x:f>IF(B1725='Inputs'!$H$48,'Inputs'!$B$27*'Inputs'!$I$48,0)</x:f>
        <x:v>0</x:v>
      </x:c>
      <x:c r="S1725" s="78" t="n">
        <x:f>Q1725+G1725+R1725</x:f>
        <x:v>215148.8611840864</x:v>
      </x:c>
      <x:c r="T1725" s="78" t="n">
        <x:f>P1725*(S1725*(1-'Inputs'!$B$15))/(O1725+S1725*(1-'Inputs'!$B$15))</x:f>
        <x:v>0.7178859048173304</x:v>
      </x:c>
      <x:c r="U1725" s="78" t="n">
        <x:f>O1725+S1725*(1-'Inputs'!$B$17)</x:f>
        <x:v>58132040.19163299</x:v>
      </x:c>
      <x:c r="V1725" s="78" t="n">
        <x:f>P1725-T1725</x:f>
        <x:v>195.20588903712655</x:v>
      </x:c>
      <x:c r="W1725" s="79" t="n">
        <x:f>IF(U1725&gt;0,V1725/U1725,0)</x:f>
        <x:v>0.0000033579741635357698</x:v>
      </x:c>
      <x:c r="X1725" s="80" t="n">
        <x:f>W1725*('Inputs'!$B$6-AC1725)</x:f>
        <x:v>3326.344002640532</x:v>
      </x:c>
      <x:c r="Y1725" s="80" t="n">
        <x:f>2*V1725</x:f>
        <x:v>390.4117780742531</x:v>
      </x:c>
      <x:c r="Z1725" s="80" t="n">
        <x:f>K1725*'Inputs'!$B$16+(G1725+R1725)*J1725*'Inputs'!$B$16</x:f>
        <x:v>0.7096924139727268</x:v>
      </x:c>
      <x:c r="AA1725" s="80" t="n">
        <x:f>K1725*(1+'Inputs'!$E$48)/2*'Inputs'!$B$17</x:f>
        <x:v>0.23652769610697452</x:v>
      </x:c>
      <x:c r="AB1725" s="78" t="n">
        <x:f>(IF(J1725&gt;0,K1725*(1-'Inputs'!$E$48)/2/J1725,0)+G1725+R1725)*'Inputs'!$B$17</x:f>
        <x:v>70786.6237318894</x:v>
      </x:c>
      <x:c r="AC1725" s="78" t="n">
        <x:f>AC1724+AB1725</x:f>
        <x:v>9419417.58775562</x:v>
      </x:c>
      <x:c r="AD1725" s="80" t="n">
        <x:f>Z1725/(1+'Inputs'!$C$48)</x:f>
        <x:v>0.5677539311781814</x:v>
      </x:c>
      <x:c r="AE1725" s="80" t="n">
        <x:f>Z1725-AD1725</x:f>
        <x:v>0.14193848279454535</x:v>
      </x:c>
      <x:c r="AF1725" s="80" t="n">
        <x:f>D1725*W1725</x:f>
        <x:v>0.9022932974246882</x:v>
      </x:c>
      <x:c r="AG1725" s="80" t="n">
        <x:f>C1725*W1725</x:f>
        <x:v>0.5263377568310598</x:v>
      </x:c>
      <x:c r="AH1725" s="80" t="n">
        <x:f>2*'Inputs'!$B$8*'Inputs'!$C$48</x:f>
        <x:v>1250</x:v>
      </x:c>
      <x:c r="AI1725" s="81" t="n">
        <x:f>IF(AH1725&gt;0,(AE1725+AF1725)/AH1725*365,0)</x:f>
        <x:v>0.30491567982401624</x:v>
      </x:c>
      <x:c r="AJ1725" s="81" t="n">
        <x:f>IF('Inputs'!$B$48&gt;0,AG1725/('Inputs'!$B$19*'Inputs'!$B$48)*365,0)</x:f>
        <x:v>0.07684531249733473</x:v>
      </x:c>
      <x:c r="AK1725" s="81" t="n">
        <x:f>W1725/MAX($W$1464:W1725)-1</x:f>
        <x:v>-0.9960510791055744</x:v>
      </x:c>
      <x:c r="AL1725" s="83" t="n">
        <x:f>'Inputs'!$B$48</x:f>
        <x:v>0.25</x:v>
      </x:c>
      <x:c r="AM1725" s="83" t="n">
        <x:f>'Inputs'!$C$48</x:f>
        <x:v>0.25</x:v>
      </x:c>
      <x:c r="AN1725" s="83" t="n">
        <x:f>'Inputs'!$D$48</x:f>
        <x:v>0.3</x:v>
      </x:c>
      <x:c r="AO1725" s="81" t="n">
        <x:f>'Inputs'!$E$48</x:f>
        <x:v>0</x:v>
      </x:c>
    </x:row>
    <x:row r="1726">
      <x:c r="A1726" s="59" t="str">
        <x:v>Low participation</x:v>
      </x:c>
      <x:c r="B1726" s="59" t="n">
        <x:v>263</x:v>
      </x:c>
      <x:c r="C1726" s="78" t="n">
        <x:f>(('Inputs'!$B$29*(3*263*'Inputs'!$B$12-263^2)/(2*'Inputs'!$B$12^2))-('Inputs'!$B$29*(3*262*'Inputs'!$B$12-262^2)/(2*'Inputs'!$B$12^2)))*'Inputs'!$B$48</x:f>
        <x:v>156661.36939388514</x:v>
      </x:c>
      <x:c r="D1726" s="78" t="n">
        <x:f>IF('Inputs'!$C$48&gt;0,('Inputs'!$B$30*(3*263*'Inputs'!$B$12-263^2)/(2*'Inputs'!$B$12^2))-('Inputs'!$B$30*(3*262*'Inputs'!$B$12-262^2)/(2*'Inputs'!$B$12^2)),0)</x:f>
        <x:v>268562.34753237665</x:v>
      </x:c>
      <x:c r="E1726" s="78" t="n">
        <x:f>C1726+D1726</x:f>
        <x:v>425223.7169262618</x:v>
      </x:c>
      <x:c r="F1726" s="78" t="n">
        <x:f>'Inputs'!$B$13*E1726+(1-'Inputs'!$B$13)/'Inputs'!$B$14*SUM(E1671:E1726)</x:f>
        <x:v>430077.1134359186</x:v>
      </x:c>
      <x:c r="G1726" s="78" t="n">
        <x:f>F1726*'Inputs'!$F$48</x:f>
        <x:v>215038.5567179593</x:v>
      </x:c>
      <x:c r="H1726" s="78" t="n">
        <x:f>U1725</x:f>
        <x:v>58132040.19163299</x:v>
      </x:c>
      <x:c r="I1726" s="78" t="n">
        <x:f>V1725</x:f>
        <x:v>195.20588903712655</x:v>
      </x:c>
      <x:c r="J1726" s="79" t="n">
        <x:f>IF(H1726&gt;0,I1726/H1726,0)</x:f>
        <x:v>0.0000033579741635357698</x:v>
      </x:c>
      <x:c r="K1726" s="80" t="n">
        <x:f>(H1726*J1726+I1726)*'Inputs'!$D$48*(1+'Inputs'!$G$48)^(B1726/30)</x:f>
        <x:v>117.12353342227593</x:v>
      </x:c>
      <x:c r="L1726" s="80" t="n">
        <x:f>MAX(0,K1726*'Inputs'!$E$48)</x:f>
        <x:v>0</x:v>
      </x:c>
      <x:c r="M1726" s="80" t="n">
        <x:f>MAX(0,-K1726*'Inputs'!$E$48)</x:f>
        <x:v>0</x:v>
      </x:c>
      <x:c r="N1726" s="78" t="n">
        <x:f>H1726*(L1726*(1-'Inputs'!$B$15))/(I1726+L1726*(1-'Inputs'!$B$15))</x:f>
        <x:v>0</x:v>
      </x:c>
      <x:c r="O1726" s="78" t="n">
        <x:f>H1726-N1726</x:f>
        <x:v>58132040.19163299</x:v>
      </x:c>
      <x:c r="P1726" s="78" t="n">
        <x:f>I1726+L1726*(1-'Inputs'!$B$17)</x:f>
        <x:v>195.20588903712655</x:v>
      </x:c>
      <x:c r="Q1726" s="78" t="n">
        <x:f>IF(J1726&gt;0,M1726/J1726,0)</x:f>
        <x:v>0</x:v>
      </x:c>
      <x:c r="R1726" s="78" t="n">
        <x:f>IF(B1726='Inputs'!$H$48,'Inputs'!$B$27*'Inputs'!$I$48,0)</x:f>
        <x:v>0</x:v>
      </x:c>
      <x:c r="S1726" s="78" t="n">
        <x:f>Q1726+G1726+R1726</x:f>
        <x:v>215038.5567179593</x:v>
      </x:c>
      <x:c r="T1726" s="78" t="n">
        <x:f>P1726*(S1726*(1-'Inputs'!$B$15))/(O1726+S1726*(1-'Inputs'!$B$15))</x:f>
        <x:v>0.7122645597673526</x:v>
      </x:c>
      <x:c r="U1726" s="78" t="n">
        <x:f>O1726+S1726*(1-'Inputs'!$B$17)</x:f>
        <x:v>58346213.402046256</x:v>
      </x:c>
      <x:c r="V1726" s="78" t="n">
        <x:f>P1726-T1726</x:f>
        <x:v>194.4936244773592</x:v>
      </x:c>
      <x:c r="W1726" s="79" t="n">
        <x:f>IF(U1726&gt;0,V1726/U1726,0)</x:f>
        <x:v>0.0000033334403920467292</x:v>
      </x:c>
      <x:c r="X1726" s="80" t="n">
        <x:f>W1726*('Inputs'!$B$6-AC1726)</x:f>
        <x:v>3301.80450114522</x:v>
      </x:c>
      <x:c r="Y1726" s="80" t="n">
        <x:f>2*V1726</x:f>
        <x:v>388.9872489547184</x:v>
      </x:c>
      <x:c r="Z1726" s="80" t="n">
        <x:f>K1726*'Inputs'!$B$16+(G1726+R1726)*J1726*'Inputs'!$B$16</x:f>
        <x:v>0.707073764039393</x:v>
      </x:c>
      <x:c r="AA1726" s="80" t="n">
        <x:f>K1726*(1+'Inputs'!$E$48)/2*'Inputs'!$B$17</x:f>
        <x:v>0.23566103304280872</x:v>
      </x:c>
      <x:c r="AB1726" s="78" t="n">
        <x:f>(IF(J1726&gt;0,K1726*(1-'Inputs'!$E$48)/2/J1726,0)+G1726+R1726)*'Inputs'!$B$17</x:f>
        <x:v>71044.87168695315</x:v>
      </x:c>
      <x:c r="AC1726" s="78" t="n">
        <x:f>AC1725+AB1726</x:f>
        <x:v>9490462.459442575</x:v>
      </x:c>
      <x:c r="AD1726" s="80" t="n">
        <x:f>Z1726/(1+'Inputs'!$C$48)</x:f>
        <x:v>0.5656590112315144</x:v>
      </x:c>
      <x:c r="AE1726" s="80" t="n">
        <x:f>Z1726-AD1726</x:f>
        <x:v>0.14141475280787863</x:v>
      </x:c>
      <x:c r="AF1726" s="80" t="n">
        <x:f>D1726*W1726</x:f>
        <x:v>0.8952365770473155</x:v>
      </x:c>
      <x:c r="AG1726" s="80" t="n">
        <x:f>C1726*W1726</x:f>
        <x:v>0.52222133661093</x:v>
      </x:c>
      <x:c r="AH1726" s="80" t="n">
        <x:f>2*'Inputs'!$B$8*'Inputs'!$C$48</x:f>
        <x:v>1250</x:v>
      </x:c>
      <x:c r="AI1726" s="81" t="n">
        <x:f>IF(AH1726&gt;0,(AE1726+AF1726)/AH1726*365,0)</x:f>
        <x:v>0.3027021883177167</x:v>
      </x:c>
      <x:c r="AJ1726" s="81" t="n">
        <x:f>IF('Inputs'!$B$48&gt;0,AG1726/('Inputs'!$B$19*'Inputs'!$B$48)*365,0)</x:f>
        <x:v>0.07624431514519577</x:v>
      </x:c>
      <x:c r="AK1726" s="81" t="n">
        <x:f>W1726/MAX($W$1464:W1726)-1</x:f>
        <x:v>-0.9960799304064285</x:v>
      </x:c>
      <x:c r="AL1726" s="83" t="n">
        <x:f>'Inputs'!$B$48</x:f>
        <x:v>0.25</x:v>
      </x:c>
      <x:c r="AM1726" s="83" t="n">
        <x:f>'Inputs'!$C$48</x:f>
        <x:v>0.25</x:v>
      </x:c>
      <x:c r="AN1726" s="83" t="n">
        <x:f>'Inputs'!$D$48</x:f>
        <x:v>0.3</x:v>
      </x:c>
      <x:c r="AO1726" s="81" t="n">
        <x:f>'Inputs'!$E$48</x:f>
        <x:v>0</x:v>
      </x:c>
    </x:row>
    <x:row r="1727">
      <x:c r="A1727" s="59" t="str">
        <x:v>Low participation</x:v>
      </x:c>
      <x:c r="B1727" s="59" t="n">
        <x:v>264</x:v>
      </x:c>
      <x:c r="C1727" s="78" t="n">
        <x:f>(('Inputs'!$B$29*(3*264*'Inputs'!$B$12-264^2)/(2*'Inputs'!$B$12^2))-('Inputs'!$B$29*(3*263*'Inputs'!$B$12-263^2)/(2*'Inputs'!$B$12^2)))*'Inputs'!$B$48</x:f>
        <x:v>156580.09241884202</x:v>
      </x:c>
      <x:c r="D1727" s="78" t="n">
        <x:f>IF('Inputs'!$C$48&gt;0,('Inputs'!$B$30*(3*264*'Inputs'!$B$12-264^2)/(2*'Inputs'!$B$12^2))-('Inputs'!$B$30*(3*263*'Inputs'!$B$12-263^2)/(2*'Inputs'!$B$12^2)),0)</x:f>
        <x:v>268423.0155751556</x:v>
      </x:c>
      <x:c r="E1727" s="78" t="n">
        <x:f>C1727+D1727</x:f>
        <x:v>425003.10799399763</x:v>
      </x:c>
      <x:c r="F1727" s="78" t="n">
        <x:f>'Inputs'!$B$13*E1727+(1-'Inputs'!$B$13)/'Inputs'!$B$14*SUM(E1672:E1727)</x:f>
        <x:v>429856.50450365985</x:v>
      </x:c>
      <x:c r="G1727" s="78" t="n">
        <x:f>F1727*'Inputs'!$F$48</x:f>
        <x:v>214928.25225182992</x:v>
      </x:c>
      <x:c r="H1727" s="78" t="n">
        <x:f>U1726</x:f>
        <x:v>58346213.402046256</x:v>
      </x:c>
      <x:c r="I1727" s="78" t="n">
        <x:f>V1726</x:f>
        <x:v>194.4936244773592</x:v>
      </x:c>
      <x:c r="J1727" s="79" t="n">
        <x:f>IF(H1727&gt;0,I1727/H1727,0)</x:f>
        <x:v>0.0000033334403920467292</x:v>
      </x:c>
      <x:c r="K1727" s="80" t="n">
        <x:f>(H1727*J1727+I1727)*'Inputs'!$D$48*(1+'Inputs'!$G$48)^(B1727/30)</x:f>
        <x:v>116.6961746864155</x:v>
      </x:c>
      <x:c r="L1727" s="80" t="n">
        <x:f>MAX(0,K1727*'Inputs'!$E$48)</x:f>
        <x:v>0</x:v>
      </x:c>
      <x:c r="M1727" s="80" t="n">
        <x:f>MAX(0,-K1727*'Inputs'!$E$48)</x:f>
        <x:v>0</x:v>
      </x:c>
      <x:c r="N1727" s="78" t="n">
        <x:f>H1727*(L1727*(1-'Inputs'!$B$15))/(I1727+L1727*(1-'Inputs'!$B$15))</x:f>
        <x:v>0</x:v>
      </x:c>
      <x:c r="O1727" s="78" t="n">
        <x:f>H1727-N1727</x:f>
        <x:v>58346213.402046256</x:v>
      </x:c>
      <x:c r="P1727" s="78" t="n">
        <x:f>I1727+L1727*(1-'Inputs'!$B$17)</x:f>
        <x:v>194.4936244773592</x:v>
      </x:c>
      <x:c r="Q1727" s="78" t="n">
        <x:f>IF(J1727&gt;0,M1727/J1727,0)</x:f>
        <x:v>0</x:v>
      </x:c>
      <x:c r="R1727" s="78" t="n">
        <x:f>IF(B1727='Inputs'!$H$48,'Inputs'!$B$27*'Inputs'!$I$48,0)</x:f>
        <x:v>0</x:v>
      </x:c>
      <x:c r="S1727" s="78" t="n">
        <x:f>Q1727+G1727+R1727</x:f>
        <x:v>214928.25225182992</x:v>
      </x:c>
      <x:c r="T1727" s="78" t="n">
        <x:f>P1727*(S1727*(1-'Inputs'!$B$15))/(O1727+S1727*(1-'Inputs'!$B$15))</x:f>
        <x:v>0.7067087625496535</x:v>
      </x:c>
      <x:c r="U1727" s="78" t="n">
        <x:f>O1727+S1727*(1-'Inputs'!$B$17)</x:f>
        <x:v>58560276.75187454</x:v>
      </x:c>
      <x:c r="V1727" s="78" t="n">
        <x:f>P1727-T1727</x:f>
        <x:v>193.78691571480954</x:v>
      </x:c>
      <x:c r="W1727" s="79" t="n">
        <x:f>IF(U1727&gt;0,V1727/U1727,0)</x:f>
        <x:v>0.000003309187156609644</x:v>
      </x:c>
      <x:c r="X1727" s="80" t="n">
        <x:f>W1727*('Inputs'!$B$6-AC1727)</x:f>
        <x:v>3277.5454851997174</x:v>
      </x:c>
      <x:c r="Y1727" s="80" t="n">
        <x:f>2*V1727</x:f>
        <x:v>387.5738314296191</x:v>
      </x:c>
      <x:c r="Z1727" s="80" t="n">
        <x:f>K1727*'Inputs'!$B$16+(G1727+R1727)*J1727*'Inputs'!$B$16</x:f>
        <x:v>0.7044757512231825</x:v>
      </x:c>
      <x:c r="AA1727" s="80" t="n">
        <x:f>K1727*(1+'Inputs'!$E$48)/2*'Inputs'!$B$17</x:f>
        <x:v>0.2348011563106952</x:v>
      </x:c>
      <x:c r="AB1727" s="78" t="n">
        <x:f>(IF(J1727&gt;0,K1727*(1-'Inputs'!$E$48)/2/J1727,0)+G1727+R1727)*'Inputs'!$B$17</x:f>
        <x:v>71302.98701354409</x:v>
      </x:c>
      <x:c r="AC1727" s="78" t="n">
        <x:f>AC1726+AB1727</x:f>
        <x:v>9561765.44645612</x:v>
      </x:c>
      <x:c r="AD1727" s="80" t="n">
        <x:f>Z1727/(1+'Inputs'!$C$48)</x:f>
        <x:v>0.563580600978546</x:v>
      </x:c>
      <x:c r="AE1727" s="80" t="n">
        <x:f>Z1727-AD1727</x:f>
        <x:v>0.1408951502446365</x:v>
      </x:c>
      <x:c r="AF1727" s="80" t="n">
        <x:f>D1727*W1727</x:f>
        <x:v>0.8882619956797354</x:v>
      </x:c>
      <x:c r="AG1727" s="80" t="n">
        <x:f>C1727*W1727</x:f>
        <x:v>0.5181528308131831</x:v>
      </x:c>
      <x:c r="AH1727" s="80" t="n">
        <x:f>2*'Inputs'!$B$8*'Inputs'!$C$48</x:f>
        <x:v>1250</x:v>
      </x:c>
      <x:c r="AI1727" s="81" t="n">
        <x:f>IF(AH1727&gt;0,(AE1727+AF1727)/AH1727*365,0)</x:f>
        <x:v>0.30051388660991657</x:v>
      </x:c>
      <x:c r="AJ1727" s="81" t="n">
        <x:f>IF('Inputs'!$B$48&gt;0,AG1727/('Inputs'!$B$19*'Inputs'!$B$48)*365,0)</x:f>
        <x:v>0.07565031329872472</x:v>
      </x:c>
      <x:c r="AK1727" s="81" t="n">
        <x:f>W1727/MAX($W$1464:W1727)-1</x:f>
        <x:v>-0.9961084518016241</x:v>
      </x:c>
      <x:c r="AL1727" s="83" t="n">
        <x:f>'Inputs'!$B$48</x:f>
        <x:v>0.25</x:v>
      </x:c>
      <x:c r="AM1727" s="83" t="n">
        <x:f>'Inputs'!$C$48</x:f>
        <x:v>0.25</x:v>
      </x:c>
      <x:c r="AN1727" s="83" t="n">
        <x:f>'Inputs'!$D$48</x:f>
        <x:v>0.3</x:v>
      </x:c>
      <x:c r="AO1727" s="81" t="n">
        <x:f>'Inputs'!$E$48</x:f>
        <x:v>0</x:v>
      </x:c>
    </x:row>
    <x:row r="1728">
      <x:c r="A1728" s="59" t="str">
        <x:v>Low participation</x:v>
      </x:c>
      <x:c r="B1728" s="59" t="n">
        <x:v>265</x:v>
      </x:c>
      <x:c r="C1728" s="78" t="n">
        <x:f>(('Inputs'!$B$29*(3*265*'Inputs'!$B$12-265^2)/(2*'Inputs'!$B$12^2))-('Inputs'!$B$29*(3*264*'Inputs'!$B$12-264^2)/(2*'Inputs'!$B$12^2)))*'Inputs'!$B$48</x:f>
        <x:v>156498.81544379145</x:v>
      </x:c>
      <x:c r="D1728" s="78" t="n">
        <x:f>IF('Inputs'!$C$48&gt;0,('Inputs'!$B$30*(3*265*'Inputs'!$B$12-265^2)/(2*'Inputs'!$B$12^2))-('Inputs'!$B$30*(3*264*'Inputs'!$B$12-264^2)/(2*'Inputs'!$B$12^2)),0)</x:f>
        <x:v>268283.6836179346</x:v>
      </x:c>
      <x:c r="E1728" s="78" t="n">
        <x:f>C1728+D1728</x:f>
        <x:v>424782.49906172603</x:v>
      </x:c>
      <x:c r="F1728" s="78" t="n">
        <x:f>'Inputs'!$B$13*E1728+(1-'Inputs'!$B$13)/'Inputs'!$B$14*SUM(E1673:E1728)</x:f>
        <x:v>429635.8955713994</x:v>
      </x:c>
      <x:c r="G1728" s="78" t="n">
        <x:f>F1728*'Inputs'!$F$48</x:f>
        <x:v>214817.9477856997</x:v>
      </x:c>
      <x:c r="H1728" s="78" t="n">
        <x:f>U1727</x:f>
        <x:v>58560276.75187454</x:v>
      </x:c>
      <x:c r="I1728" s="78" t="n">
        <x:f>V1727</x:f>
        <x:v>193.78691571480954</x:v>
      </x:c>
      <x:c r="J1728" s="79" t="n">
        <x:f>IF(H1728&gt;0,I1728/H1728,0)</x:f>
        <x:v>0.000003309187156609644</x:v>
      </x:c>
      <x:c r="K1728" s="80" t="n">
        <x:f>(H1728*J1728+I1728)*'Inputs'!$D$48*(1+'Inputs'!$G$48)^(B1728/30)</x:f>
        <x:v>116.27214942888571</x:v>
      </x:c>
      <x:c r="L1728" s="80" t="n">
        <x:f>MAX(0,K1728*'Inputs'!$E$48)</x:f>
        <x:v>0</x:v>
      </x:c>
      <x:c r="M1728" s="80" t="n">
        <x:f>MAX(0,-K1728*'Inputs'!$E$48)</x:f>
        <x:v>0</x:v>
      </x:c>
      <x:c r="N1728" s="78" t="n">
        <x:f>H1728*(L1728*(1-'Inputs'!$B$15))/(I1728+L1728*(1-'Inputs'!$B$15))</x:f>
        <x:v>0</x:v>
      </x:c>
      <x:c r="O1728" s="78" t="n">
        <x:f>H1728-N1728</x:f>
        <x:v>58560276.75187454</x:v>
      </x:c>
      <x:c r="P1728" s="78" t="n">
        <x:f>I1728+L1728*(1-'Inputs'!$B$17)</x:f>
        <x:v>193.78691571480954</x:v>
      </x:c>
      <x:c r="Q1728" s="78" t="n">
        <x:f>IF(J1728&gt;0,M1728/J1728,0)</x:f>
        <x:v>0</x:v>
      </x:c>
      <x:c r="R1728" s="78" t="n">
        <x:f>IF(B1728='Inputs'!$H$48,'Inputs'!$B$27*'Inputs'!$I$48,0)</x:f>
        <x:v>0</x:v>
      </x:c>
      <x:c r="S1728" s="78" t="n">
        <x:f>Q1728+G1728+R1728</x:f>
        <x:v>214817.9477856997</x:v>
      </x:c>
      <x:c r="T1728" s="78" t="n">
        <x:f>P1728*(S1728*(1-'Inputs'!$B$15))/(O1728+S1728*(1-'Inputs'!$B$15))</x:f>
        <x:v>0.7012174972716019</x:v>
      </x:c>
      <x:c r="U1728" s="78" t="n">
        <x:f>O1728+S1728*(1-'Inputs'!$B$17)</x:f>
        <x:v>58774230.24111784</x:v>
      </x:c>
      <x:c r="V1728" s="78" t="n">
        <x:f>P1728-T1728</x:f>
        <x:v>193.08569821753792</x:v>
      </x:c>
      <x:c r="W1728" s="79" t="n">
        <x:f>IF(U1728&gt;0,V1728/U1728,0)</x:f>
        <x:v>0.0000032852101580133866</x:v>
      </x:c>
      <x:c r="X1728" s="80" t="n">
        <x:f>W1728*('Inputs'!$B$6-AC1728)</x:f>
        <x:v>3253.5626562155335</x:v>
      </x:c>
      <x:c r="Y1728" s="80" t="n">
        <x:f>2*V1728</x:f>
        <x:v>386.17139643507585</x:v>
      </x:c>
      <x:c r="Z1728" s="80" t="n">
        <x:f>K1728*'Inputs'!$B$16+(G1728+R1728)*J1728*'Inputs'!$B$16</x:f>
        <x:v>0.7018981333362444</x:v>
      </x:c>
      <x:c r="AA1728" s="80" t="n">
        <x:f>K1728*(1+'Inputs'!$E$48)/2*'Inputs'!$B$17</x:f>
        <x:v>0.23394798677844209</x:v>
      </x:c>
      <x:c r="AB1728" s="78" t="n">
        <x:f>(IF(J1728&gt;0,K1728*(1-'Inputs'!$E$48)/2/J1728,0)+G1728+R1728)*'Inputs'!$B$17</x:f>
        <x:v>71560.96971166221</x:v>
      </x:c>
      <x:c r="AC1728" s="78" t="n">
        <x:f>AC1727+AB1728</x:f>
        <x:v>9633326.41616778</x:v>
      </x:c>
      <x:c r="AD1728" s="80" t="n">
        <x:f>Z1728/(1+'Inputs'!$C$48)</x:f>
        <x:v>0.5615185066689955</x:v>
      </x:c>
      <x:c r="AE1728" s="80" t="n">
        <x:f>Z1728-AD1728</x:f>
        <x:v>0.1403796266672489</x:v>
      </x:c>
      <x:c r="AF1728" s="80" t="n">
        <x:f>D1728*W1728</x:f>
        <x:v>0.8813682826508883</x:v>
      </x:c>
      <x:c r="AG1728" s="80" t="n">
        <x:f>C1728*W1728</x:f>
        <x:v>0.514131498213006</x:v>
      </x:c>
      <x:c r="AH1728" s="80" t="n">
        <x:f>2*'Inputs'!$B$8*'Inputs'!$C$48</x:f>
        <x:v>1250</x:v>
      </x:c>
      <x:c r="AI1728" s="81" t="n">
        <x:f>IF(AH1728&gt;0,(AE1728+AF1728)/AH1728*365,0)</x:f>
        <x:v>0.2983503895208961</x:v>
      </x:c>
      <x:c r="AJ1728" s="81" t="n">
        <x:f>IF('Inputs'!$B$48&gt;0,AG1728/('Inputs'!$B$19*'Inputs'!$B$48)*365,0)</x:f>
        <x:v>0.07506319873909888</x:v>
      </x:c>
      <x:c r="AK1728" s="81" t="n">
        <x:f>W1728/MAX($W$1464:W1728)-1</x:f>
        <x:v>-0.996136648346961</x:v>
      </x:c>
      <x:c r="AL1728" s="83" t="n">
        <x:f>'Inputs'!$B$48</x:f>
        <x:v>0.25</x:v>
      </x:c>
      <x:c r="AM1728" s="83" t="n">
        <x:f>'Inputs'!$C$48</x:f>
        <x:v>0.25</x:v>
      </x:c>
      <x:c r="AN1728" s="83" t="n">
        <x:f>'Inputs'!$D$48</x:f>
        <x:v>0.3</x:v>
      </x:c>
      <x:c r="AO1728" s="81" t="n">
        <x:f>'Inputs'!$E$48</x:f>
        <x:v>0</x:v>
      </x:c>
    </x:row>
    <x:row r="1729">
      <x:c r="A1729" s="59" t="str">
        <x:v>Low participation</x:v>
      </x:c>
      <x:c r="B1729" s="59" t="n">
        <x:v>266</x:v>
      </x:c>
      <x:c r="C1729" s="78" t="n">
        <x:f>(('Inputs'!$B$29*(3*266*'Inputs'!$B$12-266^2)/(2*'Inputs'!$B$12^2))-('Inputs'!$B$29*(3*265*'Inputs'!$B$12-265^2)/(2*'Inputs'!$B$12^2)))*'Inputs'!$B$48</x:f>
        <x:v>156417.53846875578</x:v>
      </x:c>
      <x:c r="D1729" s="78" t="n">
        <x:f>IF('Inputs'!$C$48&gt;0,('Inputs'!$B$30*(3*266*'Inputs'!$B$12-266^2)/(2*'Inputs'!$B$12^2))-('Inputs'!$B$30*(3*265*'Inputs'!$B$12-265^2)/(2*'Inputs'!$B$12^2)),0)</x:f>
        <x:v>268144.35166072845</x:v>
      </x:c>
      <x:c r="E1729" s="78" t="n">
        <x:f>C1729+D1729</x:f>
        <x:v>424561.89012948424</x:v>
      </x:c>
      <x:c r="F1729" s="78" t="n">
        <x:f>'Inputs'!$B$13*E1729+(1-'Inputs'!$B$13)/'Inputs'!$B$14*SUM(E1674:E1729)</x:f>
        <x:v>429415.28663914517</x:v>
      </x:c>
      <x:c r="G1729" s="78" t="n">
        <x:f>F1729*'Inputs'!$F$48</x:f>
        <x:v>214707.64331957258</x:v>
      </x:c>
      <x:c r="H1729" s="78" t="n">
        <x:f>U1728</x:f>
        <x:v>58774230.24111784</x:v>
      </x:c>
      <x:c r="I1729" s="78" t="n">
        <x:f>V1728</x:f>
        <x:v>193.08569821753792</x:v>
      </x:c>
      <x:c r="J1729" s="79" t="n">
        <x:f>IF(H1729&gt;0,I1729/H1729,0)</x:f>
        <x:v>0.0000032852101580133866</x:v>
      </x:c>
      <x:c r="K1729" s="80" t="n">
        <x:f>(H1729*J1729+I1729)*'Inputs'!$D$48*(1+'Inputs'!$G$48)^(B1729/30)</x:f>
        <x:v>115.85141893052275</x:v>
      </x:c>
      <x:c r="L1729" s="80" t="n">
        <x:f>MAX(0,K1729*'Inputs'!$E$48)</x:f>
        <x:v>0</x:v>
      </x:c>
      <x:c r="M1729" s="80" t="n">
        <x:f>MAX(0,-K1729*'Inputs'!$E$48)</x:f>
        <x:v>0</x:v>
      </x:c>
      <x:c r="N1729" s="78" t="n">
        <x:f>H1729*(L1729*(1-'Inputs'!$B$15))/(I1729+L1729*(1-'Inputs'!$B$15))</x:f>
        <x:v>0</x:v>
      </x:c>
      <x:c r="O1729" s="78" t="n">
        <x:f>H1729-N1729</x:f>
        <x:v>58774230.24111784</x:v>
      </x:c>
      <x:c r="P1729" s="78" t="n">
        <x:f>I1729+L1729*(1-'Inputs'!$B$17)</x:f>
        <x:v>193.08569821753792</x:v>
      </x:c>
      <x:c r="Q1729" s="78" t="n">
        <x:f>IF(J1729&gt;0,M1729/J1729,0)</x:f>
        <x:v>0</x:v>
      </x:c>
      <x:c r="R1729" s="78" t="n">
        <x:f>IF(B1729='Inputs'!$H$48,'Inputs'!$B$27*'Inputs'!$I$48,0)</x:f>
        <x:v>0</x:v>
      </x:c>
      <x:c r="S1729" s="78" t="n">
        <x:f>Q1729+G1729+R1729</x:f>
        <x:v>214707.64331957258</x:v>
      </x:c>
      <x:c r="T1729" s="78" t="n">
        <x:f>P1729*(S1729*(1-'Inputs'!$B$15))/(O1729+S1729*(1-'Inputs'!$B$15))</x:f>
        <x:v>0.6957897676508702</x:v>
      </x:c>
      <x:c r="U1729" s="78" t="n">
        <x:f>O1729+S1729*(1-'Inputs'!$B$17)</x:f>
        <x:v>58988073.86977617</x:v>
      </x:c>
      <x:c r="V1729" s="78" t="n">
        <x:f>P1729-T1729</x:f>
        <x:v>192.38990844988706</x:v>
      </x:c>
      <x:c r="W1729" s="79" t="n">
        <x:f>IF(U1729&gt;0,V1729/U1729,0)</x:f>
        <x:v>0.0000032615051794132617</x:v>
      </x:c>
      <x:c r="X1729" s="80" t="n">
        <x:f>W1729*('Inputs'!$B$6-AC1729)</x:f>
        <x:v>3229.851797959256</x:v>
      </x:c>
      <x:c r="Y1729" s="80" t="n">
        <x:f>2*V1729</x:f>
        <x:v>384.7798168997741</x:v>
      </x:c>
      <x:c r="Z1729" s="80" t="n">
        <x:f>K1729*'Inputs'!$B$16+(G1729+R1729)*J1729*'Inputs'!$B$16</x:f>
        <x:v>0.699340671968156</x:v>
      </x:c>
      <x:c r="AA1729" s="80" t="n">
        <x:f>K1729*(1+'Inputs'!$E$48)/2*'Inputs'!$B$17</x:f>
        <x:v>0.23310144654028725</x:v>
      </x:c>
      <x:c r="AB1729" s="78" t="n">
        <x:f>(IF(J1729&gt;0,K1729*(1-'Inputs'!$E$48)/2/J1729,0)+G1729+R1729)*'Inputs'!$B$17</x:f>
        <x:v>71818.81978130757</x:v>
      </x:c>
      <x:c r="AC1729" s="78" t="n">
        <x:f>AC1728+AB1729</x:f>
        <x:v>9705145.235949088</x:v>
      </x:c>
      <x:c r="AD1729" s="80" t="n">
        <x:f>Z1729/(1+'Inputs'!$C$48)</x:f>
        <x:v>0.5594725375745248</x:v>
      </x:c>
      <x:c r="AE1729" s="80" t="n">
        <x:f>Z1729-AD1729</x:f>
        <x:v>0.13986813439363122</x:v>
      </x:c>
      <x:c r="AF1729" s="80" t="n">
        <x:f>D1729*W1729</x:f>
        <x:v>0.8745541917718769</x:v>
      </x:c>
      <x:c r="AG1729" s="80" t="n">
        <x:f>C1729*W1729</x:f>
        <x:v>0.5101566118669201</x:v>
      </x:c>
      <x:c r="AH1729" s="80" t="n">
        <x:f>2*'Inputs'!$B$8*'Inputs'!$C$48</x:f>
        <x:v>1250</x:v>
      </x:c>
      <x:c r="AI1729" s="81" t="n">
        <x:f>IF(AH1729&gt;0,(AE1729+AF1729)/AH1729*365,0)</x:f>
        <x:v>0.2962113192403284</x:v>
      </x:c>
      <x:c r="AJ1729" s="81" t="n">
        <x:f>IF('Inputs'!$B$48&gt;0,AG1729/('Inputs'!$B$19*'Inputs'!$B$48)*365,0)</x:f>
        <x:v>0.07448286533257033</x:v>
      </x:c>
      <x:c r="AK1729" s="81" t="n">
        <x:f>W1729/MAX($W$1464:W1729)-1</x:f>
        <x:v>-0.9961645250013774</x:v>
      </x:c>
      <x:c r="AL1729" s="83" t="n">
        <x:f>'Inputs'!$B$48</x:f>
        <x:v>0.25</x:v>
      </x:c>
      <x:c r="AM1729" s="83" t="n">
        <x:f>'Inputs'!$C$48</x:f>
        <x:v>0.25</x:v>
      </x:c>
      <x:c r="AN1729" s="83" t="n">
        <x:f>'Inputs'!$D$48</x:f>
        <x:v>0.3</x:v>
      </x:c>
      <x:c r="AO1729" s="81" t="n">
        <x:f>'Inputs'!$E$48</x:f>
        <x:v>0</x:v>
      </x:c>
    </x:row>
    <x:row r="1730">
      <x:c r="A1730" s="59" t="str">
        <x:v>Low participation</x:v>
      </x:c>
      <x:c r="B1730" s="59" t="n">
        <x:v>267</x:v>
      </x:c>
      <x:c r="C1730" s="78" t="n">
        <x:f>(('Inputs'!$B$29*(3*267*'Inputs'!$B$12-267^2)/(2*'Inputs'!$B$12^2))-('Inputs'!$B$29*(3*266*'Inputs'!$B$12-266^2)/(2*'Inputs'!$B$12^2)))*'Inputs'!$B$48</x:f>
        <x:v>156336.2614937201</x:v>
      </x:c>
      <x:c r="D1730" s="78" t="n">
        <x:f>IF('Inputs'!$C$48&gt;0,('Inputs'!$B$30*(3*267*'Inputs'!$B$12-267^2)/(2*'Inputs'!$B$12^2))-('Inputs'!$B$30*(3*266*'Inputs'!$B$12-266^2)/(2*'Inputs'!$B$12^2)),0)</x:f>
        <x:v>268005.0197035074</x:v>
      </x:c>
      <x:c r="E1730" s="78" t="n">
        <x:f>C1730+D1730</x:f>
        <x:v>424341.28119722754</x:v>
      </x:c>
      <x:c r="F1730" s="78" t="n">
        <x:f>'Inputs'!$B$13*E1730+(1-'Inputs'!$B$13)/'Inputs'!$B$14*SUM(E1675:E1730)</x:f>
        <x:v>429194.67770688783</x:v>
      </x:c>
      <x:c r="G1730" s="78" t="n">
        <x:f>F1730*'Inputs'!$F$48</x:f>
        <x:v>214597.33885344391</x:v>
      </x:c>
      <x:c r="H1730" s="78" t="n">
        <x:f>U1729</x:f>
        <x:v>58988073.86977617</x:v>
      </x:c>
      <x:c r="I1730" s="78" t="n">
        <x:f>V1729</x:f>
        <x:v>192.38990844988706</x:v>
      </x:c>
      <x:c r="J1730" s="79" t="n">
        <x:f>IF(H1730&gt;0,I1730/H1730,0)</x:f>
        <x:v>0.0000032615051794132617</x:v>
      </x:c>
      <x:c r="K1730" s="80" t="n">
        <x:f>(H1730*J1730+I1730)*'Inputs'!$D$48*(1+'Inputs'!$G$48)^(B1730/30)</x:f>
        <x:v>115.43394506993224</x:v>
      </x:c>
      <x:c r="L1730" s="80" t="n">
        <x:f>MAX(0,K1730*'Inputs'!$E$48)</x:f>
        <x:v>0</x:v>
      </x:c>
      <x:c r="M1730" s="80" t="n">
        <x:f>MAX(0,-K1730*'Inputs'!$E$48)</x:f>
        <x:v>0</x:v>
      </x:c>
      <x:c r="N1730" s="78" t="n">
        <x:f>H1730*(L1730*(1-'Inputs'!$B$15))/(I1730+L1730*(1-'Inputs'!$B$15))</x:f>
        <x:v>0</x:v>
      </x:c>
      <x:c r="O1730" s="78" t="n">
        <x:f>H1730-N1730</x:f>
        <x:v>58988073.86977617</x:v>
      </x:c>
      <x:c r="P1730" s="78" t="n">
        <x:f>I1730+L1730*(1-'Inputs'!$B$17)</x:f>
        <x:v>192.38990844988706</x:v>
      </x:c>
      <x:c r="Q1730" s="78" t="n">
        <x:f>IF(J1730&gt;0,M1730/J1730,0)</x:f>
        <x:v>0</x:v>
      </x:c>
      <x:c r="R1730" s="78" t="n">
        <x:f>IF(B1730='Inputs'!$H$48,'Inputs'!$B$27*'Inputs'!$I$48,0)</x:f>
        <x:v>0</x:v>
      </x:c>
      <x:c r="S1730" s="78" t="n">
        <x:f>Q1730+G1730+R1730</x:f>
        <x:v>214597.33885344391</x:v>
      </x:c>
      <x:c r="T1730" s="78" t="n">
        <x:f>P1730*(S1730*(1-'Inputs'!$B$15))/(O1730+S1730*(1-'Inputs'!$B$15))</x:f>
        <x:v>0.6904245965628042</x:v>
      </x:c>
      <x:c r="U1730" s="78" t="n">
        <x:f>O1730+S1730*(1-'Inputs'!$B$17)</x:f>
        <x:v>59201807.63784952</x:v>
      </x:c>
      <x:c r="V1730" s="78" t="n">
        <x:f>P1730-T1730</x:f>
        <x:v>191.69948385332427</x:v>
      </x:c>
      <x:c r="W1730" s="79" t="n">
        <x:f>IF(U1730&gt;0,V1730/U1730,0)</x:f>
        <x:v>0.0000032380680844408025</x:v>
      </x:c>
      <x:c r="X1730" s="80" t="n">
        <x:f>W1730*('Inputs'!$B$6-AC1730)</x:f>
        <x:v>3206.408774662596</x:v>
      </x:c>
      <x:c r="Y1730" s="80" t="n">
        <x:f>2*V1730</x:f>
        <x:v>383.39896770664853</x:v>
      </x:c>
      <x:c r="Z1730" s="80" t="n">
        <x:f>K1730*'Inputs'!$B$16+(G1730+R1730)*J1730*'Inputs'!$B$16</x:f>
        <x:v>0.6968031324125463</x:v>
      </x:c>
      <x:c r="AA1730" s="80" t="n">
        <x:f>K1730*(1+'Inputs'!$E$48)/2*'Inputs'!$B$17</x:f>
        <x:v>0.23226145889322383</x:v>
      </x:c>
      <x:c r="AB1730" s="78" t="n">
        <x:f>(IF(J1730&gt;0,K1730*(1-'Inputs'!$E$48)/2/J1730,0)+G1730+R1730)*'Inputs'!$B$17</x:f>
        <x:v>72076.53722248007</x:v>
      </x:c>
      <x:c r="AC1730" s="78" t="n">
        <x:f>AC1729+AB1730</x:f>
        <x:v>9777221.773171568</x:v>
      </x:c>
      <x:c r="AD1730" s="80" t="n">
        <x:f>Z1730/(1+'Inputs'!$C$48)</x:f>
        <x:v>0.5574425059300371</x:v>
      </x:c>
      <x:c r="AE1730" s="80" t="n">
        <x:f>Z1730-AD1730</x:f>
        <x:v>0.13936062648250924</x:v>
      </x:c>
      <x:c r="AF1730" s="80" t="n">
        <x:f>D1730*W1730</x:f>
        <x:v>0.8678185007718558</x:v>
      </x:c>
      <x:c r="AG1730" s="80" t="n">
        <x:f>C1730*W1730</x:f>
        <x:v>0.5062274587836066</x:v>
      </x:c>
      <x:c r="AH1730" s="80" t="n">
        <x:f>2*'Inputs'!$B$8*'Inputs'!$C$48</x:f>
        <x:v>1250</x:v>
      </x:c>
      <x:c r="AI1730" s="81" t="n">
        <x:f>IF(AH1730&gt;0,(AE1730+AF1730)/AH1730*365,0)</x:f>
        <x:v>0.2940963051582746</x:v>
      </x:c>
      <x:c r="AJ1730" s="81" t="n">
        <x:f>IF('Inputs'!$B$48&gt;0,AG1730/('Inputs'!$B$19*'Inputs'!$B$48)*365,0)</x:f>
        <x:v>0.07390920898240658</x:v>
      </x:c>
      <x:c r="AK1730" s="81" t="n">
        <x:f>W1730/MAX($W$1464:W1730)-1</x:f>
        <x:v>-0.9961920866291726</x:v>
      </x:c>
      <x:c r="AL1730" s="83" t="n">
        <x:f>'Inputs'!$B$48</x:f>
        <x:v>0.25</x:v>
      </x:c>
      <x:c r="AM1730" s="83" t="n">
        <x:f>'Inputs'!$C$48</x:f>
        <x:v>0.25</x:v>
      </x:c>
      <x:c r="AN1730" s="83" t="n">
        <x:f>'Inputs'!$D$48</x:f>
        <x:v>0.3</x:v>
      </x:c>
      <x:c r="AO1730" s="81" t="n">
        <x:f>'Inputs'!$E$48</x:f>
        <x:v>0</x:v>
      </x:c>
    </x:row>
    <x:row r="1731">
      <x:c r="A1731" s="59" t="str">
        <x:v>Low participation</x:v>
      </x:c>
      <x:c r="B1731" s="59" t="n">
        <x:v>268</x:v>
      </x:c>
      <x:c r="C1731" s="78" t="n">
        <x:f>(('Inputs'!$B$29*(3*268*'Inputs'!$B$12-268^2)/(2*'Inputs'!$B$12^2))-('Inputs'!$B$29*(3*267*'Inputs'!$B$12-267^2)/(2*'Inputs'!$B$12^2)))*'Inputs'!$B$48</x:f>
        <x:v>156254.98451866955</x:v>
      </x:c>
      <x:c r="D1731" s="78" t="n">
        <x:f>IF('Inputs'!$C$48&gt;0,('Inputs'!$B$30*(3*268*'Inputs'!$B$12-268^2)/(2*'Inputs'!$B$12^2))-('Inputs'!$B$30*(3*267*'Inputs'!$B$12-267^2)/(2*'Inputs'!$B$12^2)),0)</x:f>
        <x:v>267865.6877462864</x:v>
      </x:c>
      <x:c r="E1731" s="78" t="n">
        <x:f>C1731+D1731</x:f>
        <x:v>424120.67226495594</x:v>
      </x:c>
      <x:c r="F1731" s="78" t="n">
        <x:f>'Inputs'!$B$13*E1731+(1-'Inputs'!$B$13)/'Inputs'!$B$14*SUM(E1676:E1731)</x:f>
        <x:v>428974.0687746275</x:v>
      </x:c>
      <x:c r="G1731" s="78" t="n">
        <x:f>F1731*'Inputs'!$F$48</x:f>
        <x:v>214487.03438731376</x:v>
      </x:c>
      <x:c r="H1731" s="78" t="n">
        <x:f>U1730</x:f>
        <x:v>59201807.63784952</x:v>
      </x:c>
      <x:c r="I1731" s="78" t="n">
        <x:f>V1730</x:f>
        <x:v>191.69948385332427</x:v>
      </x:c>
      <x:c r="J1731" s="79" t="n">
        <x:f>IF(H1731&gt;0,I1731/H1731,0)</x:f>
        <x:v>0.0000032380680844408025</x:v>
      </x:c>
      <x:c r="K1731" s="80" t="n">
        <x:f>(H1731*J1731+I1731)*'Inputs'!$D$48*(1+'Inputs'!$G$48)^(B1731/30)</x:f>
        <x:v>115.01969031199455</x:v>
      </x:c>
      <x:c r="L1731" s="80" t="n">
        <x:f>MAX(0,K1731*'Inputs'!$E$48)</x:f>
        <x:v>0</x:v>
      </x:c>
      <x:c r="M1731" s="80" t="n">
        <x:f>MAX(0,-K1731*'Inputs'!$E$48)</x:f>
        <x:v>0</x:v>
      </x:c>
      <x:c r="N1731" s="78" t="n">
        <x:f>H1731*(L1731*(1-'Inputs'!$B$15))/(I1731+L1731*(1-'Inputs'!$B$15))</x:f>
        <x:v>0</x:v>
      </x:c>
      <x:c r="O1731" s="78" t="n">
        <x:f>H1731-N1731</x:f>
        <x:v>59201807.63784952</x:v>
      </x:c>
      <x:c r="P1731" s="78" t="n">
        <x:f>I1731+L1731*(1-'Inputs'!$B$17)</x:f>
        <x:v>191.69948385332427</x:v>
      </x:c>
      <x:c r="Q1731" s="78" t="n">
        <x:f>IF(J1731&gt;0,M1731/J1731,0)</x:f>
        <x:v>0</x:v>
      </x:c>
      <x:c r="R1731" s="78" t="n">
        <x:f>IF(B1731='Inputs'!$H$48,'Inputs'!$B$27*'Inputs'!$I$48,0)</x:f>
        <x:v>0</x:v>
      </x:c>
      <x:c r="S1731" s="78" t="n">
        <x:f>Q1731+G1731+R1731</x:f>
        <x:v>214487.03438731376</x:v>
      </x:c>
      <x:c r="T1731" s="78" t="n">
        <x:f>P1731*(S1731*(1-'Inputs'!$B$15))/(O1731+S1731*(1-'Inputs'!$B$15))</x:f>
        <x:v>0.6851210256000091</x:v>
      </x:c>
      <x:c r="U1731" s="78" t="n">
        <x:f>O1731+S1731*(1-'Inputs'!$B$17)</x:f>
        <x:v>59415431.545337886</x:v>
      </x:c>
      <x:c r="V1731" s="78" t="n">
        <x:f>P1731-T1731</x:f>
        <x:v>191.01436282772426</x:v>
      </x:c>
      <x:c r="W1731" s="79" t="n">
        <x:f>IF(U1731&gt;0,V1731/U1731,0)</x:f>
        <x:v>0.000003214894815364048</x:v>
      </x:c>
      <x:c r="X1731" s="80" t="n">
        <x:f>W1731*('Inputs'!$B$6-AC1731)</x:f>
        <x:v>3183.2295291829096</x:v>
      </x:c>
      <x:c r="Y1731" s="80" t="n">
        <x:f>2*V1731</x:f>
        <x:v>382.0287256554485</x:v>
      </x:c>
      <x:c r="Z1731" s="80" t="n">
        <x:f>K1731*'Inputs'!$B$16+(G1731+R1731)*J1731*'Inputs'!$B$16</x:f>
        <x:v>0.6942852835954229</x:v>
      </x:c>
      <x:c r="AA1731" s="80" t="n">
        <x:f>K1731*(1+'Inputs'!$E$48)/2*'Inputs'!$B$17</x:f>
        <x:v>0.23142794831387237</x:v>
      </x:c>
      <x:c r="AB1731" s="78" t="n">
        <x:f>(IF(J1731&gt;0,K1731*(1-'Inputs'!$E$48)/2/J1731,0)+G1731+R1731)*'Inputs'!$B$17</x:f>
        <x:v>72334.12203517975</x:v>
      </x:c>
      <x:c r="AC1731" s="78" t="n">
        <x:f>AC1730+AB1731</x:f>
        <x:v>9849555.895206748</x:v>
      </x:c>
      <x:c r="AD1731" s="80" t="n">
        <x:f>Z1731/(1+'Inputs'!$C$48)</x:f>
        <x:v>0.5554282268763383</x:v>
      </x:c>
      <x:c r="AE1731" s="80" t="n">
        <x:f>Z1731-AD1731</x:f>
        <x:v>0.13885705671908455</x:v>
      </x:c>
      <x:c r="AF1731" s="80" t="n">
        <x:f>D1731*W1731</x:f>
        <x:v>0.8611600107494611</x:v>
      </x:c>
      <x:c r="AG1731" s="80" t="n">
        <x:f>C1731*W1731</x:f>
        <x:v>0.5023433396038602</x:v>
      </x:c>
      <x:c r="AH1731" s="80" t="n">
        <x:f>2*'Inputs'!$B$8*'Inputs'!$C$48</x:f>
        <x:v>1250</x:v>
      </x:c>
      <x:c r="AI1731" s="81" t="n">
        <x:f>IF(AH1731&gt;0,(AE1731+AF1731)/AH1731*365,0)</x:f>
        <x:v>0.2920049837008153</x:v>
      </x:c>
      <x:c r="AJ1731" s="81" t="n">
        <x:f>IF('Inputs'!$B$48&gt;0,AG1731/('Inputs'!$B$19*'Inputs'!$B$48)*365,0)</x:f>
        <x:v>0.0733421275821636</x:v>
      </x:c>
      <x:c r="AK1731" s="81" t="n">
        <x:f>W1731/MAX($W$1464:W1731)-1</x:f>
        <x:v>-0.996219338002171</x:v>
      </x:c>
      <x:c r="AL1731" s="83" t="n">
        <x:f>'Inputs'!$B$48</x:f>
        <x:v>0.25</x:v>
      </x:c>
      <x:c r="AM1731" s="83" t="n">
        <x:f>'Inputs'!$C$48</x:f>
        <x:v>0.25</x:v>
      </x:c>
      <x:c r="AN1731" s="83" t="n">
        <x:f>'Inputs'!$D$48</x:f>
        <x:v>0.3</x:v>
      </x:c>
      <x:c r="AO1731" s="81" t="n">
        <x:f>'Inputs'!$E$48</x:f>
        <x:v>0</x:v>
      </x:c>
    </x:row>
    <x:row r="1732">
      <x:c r="A1732" s="59" t="str">
        <x:v>Low participation</x:v>
      </x:c>
      <x:c r="B1732" s="59" t="n">
        <x:v>269</x:v>
      </x:c>
      <x:c r="C1732" s="78" t="n">
        <x:f>(('Inputs'!$B$29*(3*269*'Inputs'!$B$12-269^2)/(2*'Inputs'!$B$12^2))-('Inputs'!$B$29*(3*268*'Inputs'!$B$12-268^2)/(2*'Inputs'!$B$12^2)))*'Inputs'!$B$48</x:f>
        <x:v>156173.70754362643</x:v>
      </x:c>
      <x:c r="D1732" s="78" t="n">
        <x:f>IF('Inputs'!$C$48&gt;0,('Inputs'!$B$30*(3*269*'Inputs'!$B$12-269^2)/(2*'Inputs'!$B$12^2))-('Inputs'!$B$30*(3*268*'Inputs'!$B$12-268^2)/(2*'Inputs'!$B$12^2)),0)</x:f>
        <x:v>267726.35578908026</x:v>
      </x:c>
      <x:c r="E1732" s="78" t="n">
        <x:f>C1732+D1732</x:f>
        <x:v>423900.0633327067</x:v>
      </x:c>
      <x:c r="F1732" s="78" t="n">
        <x:f>'Inputs'!$B$13*E1732+(1-'Inputs'!$B$13)/'Inputs'!$B$14*SUM(E1677:E1732)</x:f>
        <x:v>428753.45984237164</x:v>
      </x:c>
      <x:c r="G1732" s="78" t="n">
        <x:f>F1732*'Inputs'!$F$48</x:f>
        <x:v>214376.72992118582</x:v>
      </x:c>
      <x:c r="H1732" s="78" t="n">
        <x:f>U1731</x:f>
        <x:v>59415431.545337886</x:v>
      </x:c>
      <x:c r="I1732" s="78" t="n">
        <x:f>V1731</x:f>
        <x:v>191.01436282772426</x:v>
      </x:c>
      <x:c r="J1732" s="79" t="n">
        <x:f>IF(H1732&gt;0,I1732/H1732,0)</x:f>
        <x:v>0.000003214894815364048</x:v>
      </x:c>
      <x:c r="K1732" s="80" t="n">
        <x:f>(H1732*J1732+I1732)*'Inputs'!$D$48*(1+'Inputs'!$G$48)^(B1732/30)</x:f>
        <x:v>114.60861769663455</x:v>
      </x:c>
      <x:c r="L1732" s="80" t="n">
        <x:f>MAX(0,K1732*'Inputs'!$E$48)</x:f>
        <x:v>0</x:v>
      </x:c>
      <x:c r="M1732" s="80" t="n">
        <x:f>MAX(0,-K1732*'Inputs'!$E$48)</x:f>
        <x:v>0</x:v>
      </x:c>
      <x:c r="N1732" s="78" t="n">
        <x:f>H1732*(L1732*(1-'Inputs'!$B$15))/(I1732+L1732*(1-'Inputs'!$B$15))</x:f>
        <x:v>0</x:v>
      </x:c>
      <x:c r="O1732" s="78" t="n">
        <x:f>H1732-N1732</x:f>
        <x:v>59415431.545337886</x:v>
      </x:c>
      <x:c r="P1732" s="78" t="n">
        <x:f>I1732+L1732*(1-'Inputs'!$B$17)</x:f>
        <x:v>191.01436282772426</x:v>
      </x:c>
      <x:c r="Q1732" s="78" t="n">
        <x:f>IF(J1732&gt;0,M1732/J1732,0)</x:f>
        <x:v>0</x:v>
      </x:c>
      <x:c r="R1732" s="78" t="n">
        <x:f>IF(B1732='Inputs'!$H$48,'Inputs'!$B$27*'Inputs'!$I$48,0)</x:f>
        <x:v>0</x:v>
      </x:c>
      <x:c r="S1732" s="78" t="n">
        <x:f>Q1732+G1732+R1732</x:f>
        <x:v>214376.72992118582</x:v>
      </x:c>
      <x:c r="T1732" s="78" t="n">
        <x:f>P1732*(S1732*(1-'Inputs'!$B$15))/(O1732+S1732*(1-'Inputs'!$B$15))</x:f>
        <x:v>0.6798781146436624</x:v>
      </x:c>
      <x:c r="U1732" s="78" t="n">
        <x:f>O1732+S1732*(1-'Inputs'!$B$17)</x:f>
        <x:v>59628945.59224128</x:v>
      </x:c>
      <x:c r="V1732" s="78" t="n">
        <x:f>P1732-T1732</x:f>
        <x:v>190.3344847130806</x:v>
      </x:c>
      <x:c r="W1732" s="79" t="n">
        <x:f>IF(U1732&gt;0,V1732/U1732,0)</x:f>
        <x:v>0.0000031919813912967513</x:v>
      </x:c>
      <x:c r="X1732" s="80" t="n">
        <x:f>W1732*('Inputs'!$B$6-AC1732)</x:f>
        <x:v>3160.310081212641</x:v>
      </x:c>
      <x:c r="Y1732" s="80" t="n">
        <x:f>2*V1732</x:f>
        <x:v>380.6689694261612</x:v>
      </x:c>
      <x:c r="Z1732" s="80" t="n">
        <x:f>K1732*'Inputs'!$B$16+(G1732+R1732)*J1732*'Inputs'!$B$16</x:f>
        <x:v>0.6917868980051572</x:v>
      </x:c>
      <x:c r="AA1732" s="80" t="n">
        <x:f>K1732*(1+'Inputs'!$E$48)/2*'Inputs'!$B$17</x:f>
        <x:v>0.23060084043588444</x:v>
      </x:c>
      <x:c r="AB1732" s="78" t="n">
        <x:f>(IF(J1732&gt;0,K1732*(1-'Inputs'!$E$48)/2/J1732,0)+G1732+R1732)*'Inputs'!$B$17</x:f>
        <x:v>72591.57421940664</x:v>
      </x:c>
      <x:c r="AC1732" s="78" t="n">
        <x:f>AC1731+AB1732</x:f>
        <x:v>9922147.469426155</x:v>
      </x:c>
      <x:c r="AD1732" s="80" t="n">
        <x:f>Z1732/(1+'Inputs'!$C$48)</x:f>
        <x:v>0.5534295184041258</x:v>
      </x:c>
      <x:c r="AE1732" s="80" t="n">
        <x:f>Z1732-AD1732</x:f>
        <x:v>0.13835737960103145</x:v>
      </x:c>
      <x:c r="AF1732" s="80" t="n">
        <x:f>D1732*W1732</x:f>
        <x:v>0.8545775456384375</x:v>
      </x:c>
      <x:c r="AG1732" s="80" t="n">
        <x:f>C1732*W1732</x:f>
        <x:v>0.4985035682890766</x:v>
      </x:c>
      <x:c r="AH1732" s="80" t="n">
        <x:f>2*'Inputs'!$B$8*'Inputs'!$C$48</x:f>
        <x:v>1250</x:v>
      </x:c>
      <x:c r="AI1732" s="81" t="n">
        <x:f>IF(AH1732&gt;0,(AE1732+AF1732)/AH1732*365,0)</x:f>
        <x:v>0.2899369981699249</x:v>
      </x:c>
      <x:c r="AJ1732" s="81" t="n">
        <x:f>IF('Inputs'!$B$48&gt;0,AG1732/('Inputs'!$B$19*'Inputs'!$B$48)*365,0)</x:f>
        <x:v>0.07278152097020518</x:v>
      </x:c>
      <x:c r="AK1732" s="81" t="n">
        <x:f>W1732/MAX($W$1464:W1732)-1</x:f>
        <x:v>-0.9962462838018274</x:v>
      </x:c>
      <x:c r="AL1732" s="83" t="n">
        <x:f>'Inputs'!$B$48</x:f>
        <x:v>0.25</x:v>
      </x:c>
      <x:c r="AM1732" s="83" t="n">
        <x:f>'Inputs'!$C$48</x:f>
        <x:v>0.25</x:v>
      </x:c>
      <x:c r="AN1732" s="83" t="n">
        <x:f>'Inputs'!$D$48</x:f>
        <x:v>0.3</x:v>
      </x:c>
      <x:c r="AO1732" s="81" t="n">
        <x:f>'Inputs'!$E$48</x:f>
        <x:v>0</x:v>
      </x:c>
    </x:row>
    <x:row r="1733">
      <x:c r="A1733" s="59" t="str">
        <x:v>Low participation</x:v>
      </x:c>
      <x:c r="B1733" s="59" t="n">
        <x:v>270</x:v>
      </x:c>
      <x:c r="C1733" s="78" t="n">
        <x:f>(('Inputs'!$B$29*(3*270*'Inputs'!$B$12-270^2)/(2*'Inputs'!$B$12^2))-('Inputs'!$B$29*(3*269*'Inputs'!$B$12-269^2)/(2*'Inputs'!$B$12^2)))*'Inputs'!$B$48</x:f>
        <x:v>156092.43056859076</x:v>
      </x:c>
      <x:c r="D1733" s="78" t="n">
        <x:f>IF('Inputs'!$C$48&gt;0,('Inputs'!$B$30*(3*270*'Inputs'!$B$12-270^2)/(2*'Inputs'!$B$12^2))-('Inputs'!$B$30*(3*269*'Inputs'!$B$12-269^2)/(2*'Inputs'!$B$12^2)),0)</x:f>
        <x:v>267587.02383185923</x:v>
      </x:c>
      <x:c r="E1733" s="78" t="n">
        <x:f>C1733+D1733</x:f>
        <x:v>423679.45440045</x:v>
      </x:c>
      <x:c r="F1733" s="78" t="n">
        <x:f>'Inputs'!$B$13*E1733+(1-'Inputs'!$B$13)/'Inputs'!$B$14*SUM(E1678:E1733)</x:f>
        <x:v>428532.8509101144</x:v>
      </x:c>
      <x:c r="G1733" s="78" t="n">
        <x:f>F1733*'Inputs'!$F$48</x:f>
        <x:v>214266.4254550572</x:v>
      </x:c>
      <x:c r="H1733" s="78" t="n">
        <x:f>U1732</x:f>
        <x:v>59628945.59224128</x:v>
      </x:c>
      <x:c r="I1733" s="78" t="n">
        <x:f>V1732</x:f>
        <x:v>190.3344847130806</x:v>
      </x:c>
      <x:c r="J1733" s="79" t="n">
        <x:f>IF(H1733&gt;0,I1733/H1733,0)</x:f>
        <x:v>0.0000031919813912967513</x:v>
      </x:c>
      <x:c r="K1733" s="80" t="n">
        <x:f>(H1733*J1733+I1733)*'Inputs'!$D$48*(1+'Inputs'!$G$48)^(B1733/30)</x:f>
        <x:v>114.20069082784836</x:v>
      </x:c>
      <x:c r="L1733" s="80" t="n">
        <x:f>MAX(0,K1733*'Inputs'!$E$48)</x:f>
        <x:v>0</x:v>
      </x:c>
      <x:c r="M1733" s="80" t="n">
        <x:f>MAX(0,-K1733*'Inputs'!$E$48)</x:f>
        <x:v>0</x:v>
      </x:c>
      <x:c r="N1733" s="78" t="n">
        <x:f>H1733*(L1733*(1-'Inputs'!$B$15))/(I1733+L1733*(1-'Inputs'!$B$15))</x:f>
        <x:v>0</x:v>
      </x:c>
      <x:c r="O1733" s="78" t="n">
        <x:f>H1733-N1733</x:f>
        <x:v>59628945.59224128</x:v>
      </x:c>
      <x:c r="P1733" s="78" t="n">
        <x:f>I1733+L1733*(1-'Inputs'!$B$17)</x:f>
        <x:v>190.3344847130806</x:v>
      </x:c>
      <x:c r="Q1733" s="78" t="n">
        <x:f>IF(J1733&gt;0,M1733/J1733,0)</x:f>
        <x:v>0</x:v>
      </x:c>
      <x:c r="R1733" s="78" t="n">
        <x:f>IF(B1733='Inputs'!$H$48,'Inputs'!$B$27*'Inputs'!$I$48,0)</x:f>
        <x:v>0</x:v>
      </x:c>
      <x:c r="S1733" s="78" t="n">
        <x:f>Q1733+G1733+R1733</x:f>
        <x:v>214266.4254550572</x:v>
      </x:c>
      <x:c r="T1733" s="78" t="n">
        <x:f>P1733*(S1733*(1-'Inputs'!$B$15))/(O1733+S1733*(1-'Inputs'!$B$15))</x:f>
        <x:v>0.6746949414462099</x:v>
      </x:c>
      <x:c r="U1733" s="78" t="n">
        <x:f>O1733+S1733*(1-'Inputs'!$B$17)</x:f>
        <x:v>59842349.7785597</x:v>
      </x:c>
      <x:c r="V1733" s="78" t="n">
        <x:f>P1733-T1733</x:f>
        <x:v>189.6597897716344</x:v>
      </x:c>
      <x:c r="W1733" s="79" t="n">
        <x:f>IF(U1733&gt;0,V1733/U1733,0)</x:f>
        <x:v>0.000003169323906455051</x:v>
      </x:c>
      <x:c r="X1733" s="80" t="n">
        <x:f>W1733*('Inputs'!$B$6-AC1733)</x:f>
        <x:v>3137.646525536226</x:v>
      </x:c>
      <x:c r="Y1733" s="80" t="n">
        <x:f>2*V1733</x:f>
        <x:v>379.3195795432688</x:v>
      </x:c>
      <x:c r="Z1733" s="80" t="n">
        <x:f>K1733*'Inputs'!$B$16+(G1733+R1733)*J1733*'Inputs'!$B$16</x:f>
        <x:v>0.6893077516240834</x:v>
      </x:c>
      <x:c r="AA1733" s="80" t="n">
        <x:f>K1733*(1+'Inputs'!$E$48)/2*'Inputs'!$B$17</x:f>
        <x:v>0.22978006202786394</x:v>
      </x:c>
      <x:c r="AB1733" s="78" t="n">
        <x:f>(IF(J1733&gt;0,K1733*(1-'Inputs'!$E$48)/2/J1733,0)+G1733+R1733)*'Inputs'!$B$17</x:f>
        <x:v>72848.89377516073</x:v>
      </x:c>
      <x:c r="AC1733" s="78" t="n">
        <x:f>AC1732+AB1733</x:f>
        <x:v>9994996.363201316</x:v>
      </x:c>
      <x:c r="AD1733" s="80" t="n">
        <x:f>Z1733/(1+'Inputs'!$C$48)</x:f>
        <x:v>0.5514462012992667</x:v>
      </x:c>
      <x:c r="AE1733" s="80" t="n">
        <x:f>Z1733-AD1733</x:f>
        <x:v>0.13786155032481673</x:v>
      </x:c>
      <x:c r="AF1733" s="80" t="n">
        <x:f>D1733*W1733</x:f>
        <x:v>0.8480699516874689</x:v>
      </x:c>
      <x:c r="AG1733" s="80" t="n">
        <x:f>C1733*W1733</x:f>
        <x:v>0.4947074718177099</x:v>
      </x:c>
      <x:c r="AH1733" s="80" t="n">
        <x:f>2*'Inputs'!$B$8*'Inputs'!$C$48</x:f>
        <x:v>1250</x:v>
      </x:c>
      <x:c r="AI1733" s="81" t="n">
        <x:f>IF(AH1733&gt;0,(AE1733+AF1733)/AH1733*365,0)</x:f>
        <x:v>0.2878919985875874</x:v>
      </x:c>
      <x:c r="AJ1733" s="81" t="n">
        <x:f>IF('Inputs'!$B$48&gt;0,AG1733/('Inputs'!$B$19*'Inputs'!$B$48)*365,0)</x:f>
        <x:v>0.07222729088538564</x:v>
      </x:c>
      <x:c r="AK1733" s="81" t="n">
        <x:f>W1733/MAX($W$1464:W1733)-1</x:f>
        <x:v>-0.9962729286212778</x:v>
      </x:c>
      <x:c r="AL1733" s="83" t="n">
        <x:f>'Inputs'!$B$48</x:f>
        <x:v>0.25</x:v>
      </x:c>
      <x:c r="AM1733" s="83" t="n">
        <x:f>'Inputs'!$C$48</x:f>
        <x:v>0.25</x:v>
      </x:c>
      <x:c r="AN1733" s="83" t="n">
        <x:f>'Inputs'!$D$48</x:f>
        <x:v>0.3</x:v>
      </x:c>
      <x:c r="AO1733" s="81" t="n">
        <x:f>'Inputs'!$E$48</x:f>
        <x:v>0</x:v>
      </x:c>
    </x:row>
    <x:row r="1734">
      <x:c r="A1734" s="59" t="str">
        <x:v>Low participation</x:v>
      </x:c>
      <x:c r="B1734" s="59" t="n">
        <x:v>271</x:v>
      </x:c>
      <x:c r="C1734" s="78" t="n">
        <x:f>(('Inputs'!$B$29*(3*271*'Inputs'!$B$12-271^2)/(2*'Inputs'!$B$12^2))-('Inputs'!$B$29*(3*270*'Inputs'!$B$12-270^2)/(2*'Inputs'!$B$12^2)))*'Inputs'!$B$48</x:f>
        <x:v>156011.1535935402</x:v>
      </x:c>
      <x:c r="D1734" s="78" t="n">
        <x:f>IF('Inputs'!$C$48&gt;0,('Inputs'!$B$30*(3*271*'Inputs'!$B$12-271^2)/(2*'Inputs'!$B$12^2))-('Inputs'!$B$30*(3*270*'Inputs'!$B$12-270^2)/(2*'Inputs'!$B$12^2)),0)</x:f>
        <x:v>267447.6918746531</x:v>
      </x:c>
      <x:c r="E1734" s="78" t="n">
        <x:f>C1734+D1734</x:f>
        <x:v>423458.8454681933</x:v>
      </x:c>
      <x:c r="F1734" s="78" t="n">
        <x:f>'Inputs'!$B$13*E1734+(1-'Inputs'!$B$13)/'Inputs'!$B$14*SUM(E1679:E1734)</x:f>
        <x:v>428312.2419778571</x:v>
      </x:c>
      <x:c r="G1734" s="78" t="n">
        <x:f>F1734*'Inputs'!$F$48</x:f>
        <x:v>214156.12098892854</x:v>
      </x:c>
      <x:c r="H1734" s="78" t="n">
        <x:f>U1733</x:f>
        <x:v>59842349.7785597</x:v>
      </x:c>
      <x:c r="I1734" s="78" t="n">
        <x:f>V1733</x:f>
        <x:v>189.6597897716344</x:v>
      </x:c>
      <x:c r="J1734" s="79" t="n">
        <x:f>IF(H1734&gt;0,I1734/H1734,0)</x:f>
        <x:v>0.000003169323906455051</x:v>
      </x:c>
      <x:c r="K1734" s="80" t="n">
        <x:f>(H1734*J1734+I1734)*'Inputs'!$D$48*(1+'Inputs'!$G$48)^(B1734/30)</x:f>
        <x:v>113.79587386298063</x:v>
      </x:c>
      <x:c r="L1734" s="80" t="n">
        <x:f>MAX(0,K1734*'Inputs'!$E$48)</x:f>
        <x:v>0</x:v>
      </x:c>
      <x:c r="M1734" s="80" t="n">
        <x:f>MAX(0,-K1734*'Inputs'!$E$48)</x:f>
        <x:v>0</x:v>
      </x:c>
      <x:c r="N1734" s="78" t="n">
        <x:f>H1734*(L1734*(1-'Inputs'!$B$15))/(I1734+L1734*(1-'Inputs'!$B$15))</x:f>
        <x:v>0</x:v>
      </x:c>
      <x:c r="O1734" s="78" t="n">
        <x:f>H1734-N1734</x:f>
        <x:v>59842349.7785597</x:v>
      </x:c>
      <x:c r="P1734" s="78" t="n">
        <x:f>I1734+L1734*(1-'Inputs'!$B$17)</x:f>
        <x:v>189.6597897716344</x:v>
      </x:c>
      <x:c r="Q1734" s="78" t="n">
        <x:f>IF(J1734&gt;0,M1734/J1734,0)</x:f>
        <x:v>0</x:v>
      </x:c>
      <x:c r="R1734" s="78" t="n">
        <x:f>IF(B1734='Inputs'!$H$48,'Inputs'!$B$27*'Inputs'!$I$48,0)</x:f>
        <x:v>0</x:v>
      </x:c>
      <x:c r="S1734" s="78" t="n">
        <x:f>Q1734+G1734+R1734</x:f>
        <x:v>214156.12098892854</x:v>
      </x:c>
      <x:c r="T1734" s="78" t="n">
        <x:f>P1734*(S1734*(1-'Inputs'!$B$15))/(O1734+S1734*(1-'Inputs'!$B$15))</x:f>
        <x:v>0.669570601225192</x:v>
      </x:c>
      <x:c r="U1734" s="78" t="n">
        <x:f>O1734+S1734*(1-'Inputs'!$B$17)</x:f>
        <x:v>60055644.10429314</x:v>
      </x:c>
      <x:c r="V1734" s="78" t="n">
        <x:f>P1734-T1734</x:f>
        <x:v>188.9902191704092</x:v>
      </x:c>
      <x:c r="W1734" s="79" t="n">
        <x:f>IF(U1734&gt;0,V1734/U1734,0)</x:f>
        <x:v>0.0000031469185284601593</x:v>
      </x:c>
      <x:c r="X1734" s="80" t="n">
        <x:f>W1734*('Inputs'!$B$6-AC1734)</x:f>
        <x:v>3115.2350303330036</x:v>
      </x:c>
      <x:c r="Y1734" s="80" t="n">
        <x:f>2*V1734</x:f>
        <x:v>377.9804383408184</x:v>
      </x:c>
      <x:c r="Z1734" s="80" t="n">
        <x:f>K1734*'Inputs'!$B$16+(G1734+R1734)*J1734*'Inputs'!$B$16</x:f>
        <x:v>0.6868476238616671</x:v>
      </x:c>
      <x:c r="AA1734" s="80" t="n">
        <x:f>K1734*(1+'Inputs'!$E$48)/2*'Inputs'!$B$17</x:f>
        <x:v>0.22896554097179203</x:v>
      </x:c>
      <x:c r="AB1734" s="78" t="n">
        <x:f>(IF(J1734&gt;0,K1734*(1-'Inputs'!$E$48)/2/J1734,0)+G1734+R1734)*'Inputs'!$B$17</x:f>
        <x:v>73106.080702442</x:v>
      </x:c>
      <x:c r="AC1734" s="78" t="n">
        <x:f>AC1733+AB1734</x:f>
        <x:v>10068102.44390376</x:v>
      </x:c>
      <x:c r="AD1734" s="80" t="n">
        <x:f>Z1734/(1+'Inputs'!$C$48)</x:f>
        <x:v>0.5494780990893336</x:v>
      </x:c>
      <x:c r="AE1734" s="80" t="n">
        <x:f>Z1734-AD1734</x:f>
        <x:v>0.13736952477233344</x:v>
      </x:c>
      <x:c r="AF1734" s="80" t="n">
        <x:f>D1734*W1734</x:f>
        <x:v>0.8416360969542495</x:v>
      </x:c>
      <x:c r="AG1734" s="80" t="n">
        <x:f>C1734*W1734</x:f>
        <x:v>0.4909543898899554</x:v>
      </x:c>
      <x:c r="AH1734" s="80" t="n">
        <x:f>2*'Inputs'!$B$8*'Inputs'!$C$48</x:f>
        <x:v>1250</x:v>
      </x:c>
      <x:c r="AI1734" s="81" t="n">
        <x:f>IF(AH1734&gt;0,(AE1734+AF1734)/AH1734*365,0)</x:f>
        <x:v>0.2858696415441622</x:v>
      </x:c>
      <x:c r="AJ1734" s="81" t="n">
        <x:f>IF('Inputs'!$B$48&gt;0,AG1734/('Inputs'!$B$19*'Inputs'!$B$48)*365,0)</x:f>
        <x:v>0.07167934092393348</x:v>
      </x:c>
      <x:c r="AK1734" s="81" t="n">
        <x:f>W1734/MAX($W$1464:W1734)-1</x:f>
        <x:v>-0.9962992769673349</x:v>
      </x:c>
      <x:c r="AL1734" s="83" t="n">
        <x:f>'Inputs'!$B$48</x:f>
        <x:v>0.25</x:v>
      </x:c>
      <x:c r="AM1734" s="83" t="n">
        <x:f>'Inputs'!$C$48</x:f>
        <x:v>0.25</x:v>
      </x:c>
      <x:c r="AN1734" s="83" t="n">
        <x:f>'Inputs'!$D$48</x:f>
        <x:v>0.3</x:v>
      </x:c>
      <x:c r="AO1734" s="81" t="n">
        <x:f>'Inputs'!$E$48</x:f>
        <x:v>0</x:v>
      </x:c>
    </x:row>
    <x:row r="1735">
      <x:c r="A1735" s="59" t="str">
        <x:v>Low participation</x:v>
      </x:c>
      <x:c r="B1735" s="59" t="n">
        <x:v>272</x:v>
      </x:c>
      <x:c r="C1735" s="78" t="n">
        <x:f>(('Inputs'!$B$29*(3*272*'Inputs'!$B$12-272^2)/(2*'Inputs'!$B$12^2))-('Inputs'!$B$29*(3*271*'Inputs'!$B$12-271^2)/(2*'Inputs'!$B$12^2)))*'Inputs'!$B$48</x:f>
        <x:v>155929.87661850452</x:v>
      </x:c>
      <x:c r="D1735" s="78" t="n">
        <x:f>IF('Inputs'!$C$48&gt;0,('Inputs'!$B$30*(3*272*'Inputs'!$B$12-272^2)/(2*'Inputs'!$B$12^2))-('Inputs'!$B$30*(3*271*'Inputs'!$B$12-271^2)/(2*'Inputs'!$B$12^2)),0)</x:f>
        <x:v>267308.35991743207</x:v>
      </x:c>
      <x:c r="E1735" s="78" t="n">
        <x:f>C1735+D1735</x:f>
        <x:v>423238.2365359366</x:v>
      </x:c>
      <x:c r="F1735" s="78" t="n">
        <x:f>'Inputs'!$B$13*E1735+(1-'Inputs'!$B$13)/'Inputs'!$B$14*SUM(E1680:E1735)</x:f>
        <x:v>428091.63304559974</x:v>
      </x:c>
      <x:c r="G1735" s="78" t="n">
        <x:f>F1735*'Inputs'!$F$48</x:f>
        <x:v>214045.81652279987</x:v>
      </x:c>
      <x:c r="H1735" s="78" t="n">
        <x:f>U1734</x:f>
        <x:v>60055644.10429314</x:v>
      </x:c>
      <x:c r="I1735" s="78" t="n">
        <x:f>V1734</x:f>
        <x:v>188.9902191704092</x:v>
      </x:c>
      <x:c r="J1735" s="79" t="n">
        <x:f>IF(H1735&gt;0,I1735/H1735,0)</x:f>
        <x:v>0.0000031469185284601593</x:v>
      </x:c>
      <x:c r="K1735" s="80" t="n">
        <x:f>(H1735*J1735+I1735)*'Inputs'!$D$48*(1+'Inputs'!$G$48)^(B1735/30)</x:f>
        <x:v>113.39413150224551</x:v>
      </x:c>
      <x:c r="L1735" s="80" t="n">
        <x:f>MAX(0,K1735*'Inputs'!$E$48)</x:f>
        <x:v>0</x:v>
      </x:c>
      <x:c r="M1735" s="80" t="n">
        <x:f>MAX(0,-K1735*'Inputs'!$E$48)</x:f>
        <x:v>0</x:v>
      </x:c>
      <x:c r="N1735" s="78" t="n">
        <x:f>H1735*(L1735*(1-'Inputs'!$B$15))/(I1735+L1735*(1-'Inputs'!$B$15))</x:f>
        <x:v>0</x:v>
      </x:c>
      <x:c r="O1735" s="78" t="n">
        <x:f>H1735-N1735</x:f>
        <x:v>60055644.10429314</x:v>
      </x:c>
      <x:c r="P1735" s="78" t="n">
        <x:f>I1735+L1735*(1-'Inputs'!$B$17)</x:f>
        <x:v>188.9902191704092</x:v>
      </x:c>
      <x:c r="Q1735" s="78" t="n">
        <x:f>IF(J1735&gt;0,M1735/J1735,0)</x:f>
        <x:v>0</x:v>
      </x:c>
      <x:c r="R1735" s="78" t="n">
        <x:f>IF(B1735='Inputs'!$H$48,'Inputs'!$B$27*'Inputs'!$I$48,0)</x:f>
        <x:v>0</x:v>
      </x:c>
      <x:c r="S1735" s="78" t="n">
        <x:f>Q1735+G1735+R1735</x:f>
        <x:v>214045.81652279987</x:v>
      </x:c>
      <x:c r="T1735" s="78" t="n">
        <x:f>P1735*(S1735*(1-'Inputs'!$B$15))/(O1735+S1735*(1-'Inputs'!$B$15))</x:f>
        <x:v>0.664504206267759</x:v>
      </x:c>
      <x:c r="U1735" s="78" t="n">
        <x:f>O1735+S1735*(1-'Inputs'!$B$17)</x:f>
        <x:v>60268828.5694416</x:v>
      </x:c>
      <x:c r="V1735" s="78" t="n">
        <x:f>P1735-T1735</x:f>
        <x:v>188.32571496414144</x:v>
      </x:c>
      <x:c r="W1735" s="79" t="n">
        <x:f>IF(U1735&gt;0,V1735/U1735,0)</x:f>
        <x:v>0.000003124761496685687</x:v>
      </x:c>
      <x:c r="X1735" s="80" t="n">
        <x:f>W1735*('Inputs'!$B$6-AC1735)</x:f>
        <x:v>3093.0718355247614</x:v>
      </x:c>
      <x:c r="Y1735" s="80" t="n">
        <x:f>2*V1735</x:f>
        <x:v>376.6514299282829</x:v>
      </x:c>
      <x:c r="Z1735" s="80" t="n">
        <x:f>K1735*'Inputs'!$B$16+(G1735+R1735)*J1735*'Inputs'!$B$16</x:f>
        <x:v>0.684406297489203</x:v>
      </x:c>
      <x:c r="AA1735" s="80" t="n">
        <x:f>K1735*(1+'Inputs'!$E$48)/2*'Inputs'!$B$17</x:f>
        <x:v>0.22815720624194272</x:v>
      </x:c>
      <x:c r="AB1735" s="78" t="n">
        <x:f>(IF(J1735&gt;0,K1735*(1-'Inputs'!$E$48)/2/J1735,0)+G1735+R1735)*'Inputs'!$B$17</x:f>
        <x:v>73363.13500125047</x:v>
      </x:c>
      <x:c r="AC1735" s="78" t="n">
        <x:f>AC1734+AB1735</x:f>
        <x:v>10141465.578905009</x:v>
      </x:c>
      <x:c r="AD1735" s="80" t="n">
        <x:f>Z1735/(1+'Inputs'!$C$48)</x:f>
        <x:v>0.5475250379913624</x:v>
      </x:c>
      <x:c r="AE1735" s="80" t="n">
        <x:f>Z1735-AD1735</x:f>
        <x:v>0.13688125949784058</x:v>
      </x:c>
      <x:c r="AF1735" s="80" t="n">
        <x:f>D1735*W1735</x:f>
        <x:v>0.8352748708121913</x:v>
      </x:c>
      <x:c r="AG1735" s="80" t="n">
        <x:f>C1735*W1735</x:f>
        <x:v>0.4872436746404527</x:v>
      </x:c>
      <x:c r="AH1735" s="80" t="n">
        <x:f>2*'Inputs'!$B$8*'Inputs'!$C$48</x:f>
        <x:v>1250</x:v>
      </x:c>
      <x:c r="AI1735" s="81" t="n">
        <x:f>IF(AH1735&gt;0,(AE1735+AF1735)/AH1735*365,0)</x:f>
        <x:v>0.2838695900505293</x:v>
      </x:c>
      <x:c r="AJ1735" s="81" t="n">
        <x:f>IF('Inputs'!$B$48&gt;0,AG1735/('Inputs'!$B$19*'Inputs'!$B$48)*365,0)</x:f>
        <x:v>0.0711375764975061</x:v>
      </x:c>
      <x:c r="AK1735" s="81" t="n">
        <x:f>W1735/MAX($W$1464:W1735)-1</x:f>
        <x:v>-0.9963253332624318</x:v>
      </x:c>
      <x:c r="AL1735" s="83" t="n">
        <x:f>'Inputs'!$B$48</x:f>
        <x:v>0.25</x:v>
      </x:c>
      <x:c r="AM1735" s="83" t="n">
        <x:f>'Inputs'!$C$48</x:f>
        <x:v>0.25</x:v>
      </x:c>
      <x:c r="AN1735" s="83" t="n">
        <x:f>'Inputs'!$D$48</x:f>
        <x:v>0.3</x:v>
      </x:c>
      <x:c r="AO1735" s="81" t="n">
        <x:f>'Inputs'!$E$48</x:f>
        <x:v>0</x:v>
      </x:c>
    </x:row>
    <x:row r="1736">
      <x:c r="A1736" s="59" t="str">
        <x:v>Low participation</x:v>
      </x:c>
      <x:c r="B1736" s="59" t="n">
        <x:v>273</x:v>
      </x:c>
      <x:c r="C1736" s="78" t="n">
        <x:f>(('Inputs'!$B$29*(3*273*'Inputs'!$B$12-273^2)/(2*'Inputs'!$B$12^2))-('Inputs'!$B$29*(3*272*'Inputs'!$B$12-272^2)/(2*'Inputs'!$B$12^2)))*'Inputs'!$B$48</x:f>
        <x:v>155848.5996434614</x:v>
      </x:c>
      <x:c r="D1736" s="78" t="n">
        <x:f>IF('Inputs'!$C$48&gt;0,('Inputs'!$B$30*(3*273*'Inputs'!$B$12-273^2)/(2*'Inputs'!$B$12^2))-('Inputs'!$B$30*(3*272*'Inputs'!$B$12-272^2)/(2*'Inputs'!$B$12^2)),0)</x:f>
        <x:v>267169.02796022594</x:v>
      </x:c>
      <x:c r="E1736" s="78" t="n">
        <x:f>C1736+D1736</x:f>
        <x:v>423017.62760368735</x:v>
      </x:c>
      <x:c r="F1736" s="78" t="n">
        <x:f>'Inputs'!$B$13*E1736+(1-'Inputs'!$B$13)/'Inputs'!$B$14*SUM(E1681:E1736)</x:f>
        <x:v>427871.0241133441</x:v>
      </x:c>
      <x:c r="G1736" s="78" t="n">
        <x:f>F1736*'Inputs'!$F$48</x:f>
        <x:v>213935.51205667204</x:v>
      </x:c>
      <x:c r="H1736" s="78" t="n">
        <x:f>U1735</x:f>
        <x:v>60268828.5694416</x:v>
      </x:c>
      <x:c r="I1736" s="78" t="n">
        <x:f>V1735</x:f>
        <x:v>188.32571496414144</x:v>
      </x:c>
      <x:c r="J1736" s="79" t="n">
        <x:f>IF(H1736&gt;0,I1736/H1736,0)</x:f>
        <x:v>0.000003124761496685687</x:v>
      </x:c>
      <x:c r="K1736" s="80" t="n">
        <x:f>(H1736*J1736+I1736)*'Inputs'!$D$48*(1+'Inputs'!$G$48)^(B1736/30)</x:f>
        <x:v>112.99542897848487</x:v>
      </x:c>
      <x:c r="L1736" s="80" t="n">
        <x:f>MAX(0,K1736*'Inputs'!$E$48)</x:f>
        <x:v>0</x:v>
      </x:c>
      <x:c r="M1736" s="80" t="n">
        <x:f>MAX(0,-K1736*'Inputs'!$E$48)</x:f>
        <x:v>0</x:v>
      </x:c>
      <x:c r="N1736" s="78" t="n">
        <x:f>H1736*(L1736*(1-'Inputs'!$B$15))/(I1736+L1736*(1-'Inputs'!$B$15))</x:f>
        <x:v>0</x:v>
      </x:c>
      <x:c r="O1736" s="78" t="n">
        <x:f>H1736-N1736</x:f>
        <x:v>60268828.5694416</x:v>
      </x:c>
      <x:c r="P1736" s="78" t="n">
        <x:f>I1736+L1736*(1-'Inputs'!$B$17)</x:f>
        <x:v>188.32571496414144</x:v>
      </x:c>
      <x:c r="Q1736" s="78" t="n">
        <x:f>IF(J1736&gt;0,M1736/J1736,0)</x:f>
        <x:v>0</x:v>
      </x:c>
      <x:c r="R1736" s="78" t="n">
        <x:f>IF(B1736='Inputs'!$H$48,'Inputs'!$B$27*'Inputs'!$I$48,0)</x:f>
        <x:v>0</x:v>
      </x:c>
      <x:c r="S1736" s="78" t="n">
        <x:f>Q1736+G1736+R1736</x:f>
        <x:v>213935.51205667204</x:v>
      </x:c>
      <x:c r="T1736" s="78" t="n">
        <x:f>P1736*(S1736*(1-'Inputs'!$B$15))/(O1736+S1736*(1-'Inputs'!$B$15))</x:f>
        <x:v>0.6594948855456113</x:v>
      </x:c>
      <x:c r="U1736" s="78" t="n">
        <x:f>O1736+S1736*(1-'Inputs'!$B$17)</x:f>
        <x:v>60481903.17400509</x:v>
      </x:c>
      <x:c r="V1736" s="78" t="n">
        <x:f>P1736-T1736</x:f>
        <x:v>187.66622007859584</x:v>
      </x:c>
      <x:c r="W1736" s="79" t="n">
        <x:f>IF(U1736&gt;0,V1736/U1736,0)</x:f>
        <x:v>0.0000031028491206482755</x:v>
      </x:c>
      <x:c r="X1736" s="80" t="n">
        <x:f>W1736*('Inputs'!$B$6-AC1736)</x:f>
        <x:v>3071.1532511665796</x:v>
      </x:c>
      <x:c r="Y1736" s="80" t="n">
        <x:f>2*V1736</x:f>
        <x:v>375.3324401571917</x:v>
      </x:c>
      <x:c r="Z1736" s="80" t="n">
        <x:f>K1736*'Inputs'!$B$16+(G1736+R1736)*J1736*'Inputs'!$B$16</x:f>
        <x:v>0.6819835585759998</x:v>
      </x:c>
      <x:c r="AA1736" s="80" t="n">
        <x:f>K1736*(1+'Inputs'!$E$48)/2*'Inputs'!$B$17</x:f>
        <x:v>0.2273549878842754</x:v>
      </x:c>
      <x:c r="AB1736" s="78" t="n">
        <x:f>(IF(J1736&gt;0,K1736*(1-'Inputs'!$E$48)/2/J1736,0)+G1736+R1736)*'Inputs'!$B$17</x:f>
        <x:v>73620.05667158614</x:v>
      </x:c>
      <x:c r="AC1736" s="78" t="n">
        <x:f>AC1735+AB1736</x:f>
        <x:v>10215085.635576595</x:v>
      </x:c>
      <x:c r="AD1736" s="80" t="n">
        <x:f>Z1736/(1+'Inputs'!$C$48)</x:f>
        <x:v>0.5455868468607998</x:v>
      </x:c>
      <x:c r="AE1736" s="80" t="n">
        <x:f>Z1736-AD1736</x:f>
        <x:v>0.13639671171519996</x:v>
      </x:c>
      <x:c r="AF1736" s="80" t="n">
        <x:f>D1736*W1736</x:f>
        <x:v>0.8289851834708416</x:v>
      </x:c>
      <x:c r="AG1736" s="80" t="n">
        <x:f>C1736*W1736</x:f>
        <x:v>0.48357469035797934</x:v>
      </x:c>
      <x:c r="AH1736" s="80" t="n">
        <x:f>2*'Inputs'!$B$8*'Inputs'!$C$48</x:f>
        <x:v>1250</x:v>
      </x:c>
      <x:c r="AI1736" s="81" t="n">
        <x:f>IF(AH1736&gt;0,(AE1736+AF1736)/AH1736*365,0)</x:f>
        <x:v>0.2818915133943241</x:v>
      </x:c>
      <x:c r="AJ1736" s="81" t="n">
        <x:f>IF('Inputs'!$B$48&gt;0,AG1736/('Inputs'!$B$19*'Inputs'!$B$48)*365,0)</x:f>
        <x:v>0.07060190479226498</x:v>
      </x:c>
      <x:c r="AK1736" s="81" t="n">
        <x:f>W1736/MAX($W$1464:W1736)-1</x:f>
        <x:v>-0.9963511018465144</x:v>
      </x:c>
      <x:c r="AL1736" s="83" t="n">
        <x:f>'Inputs'!$B$48</x:f>
        <x:v>0.25</x:v>
      </x:c>
      <x:c r="AM1736" s="83" t="n">
        <x:f>'Inputs'!$C$48</x:f>
        <x:v>0.25</x:v>
      </x:c>
      <x:c r="AN1736" s="83" t="n">
        <x:f>'Inputs'!$D$48</x:f>
        <x:v>0.3</x:v>
      </x:c>
      <x:c r="AO1736" s="81" t="n">
        <x:f>'Inputs'!$E$48</x:f>
        <x:v>0</x:v>
      </x:c>
    </x:row>
    <x:row r="1737">
      <x:c r="A1737" s="59" t="str">
        <x:v>Low participation</x:v>
      </x:c>
      <x:c r="B1737" s="59" t="n">
        <x:v>274</x:v>
      </x:c>
      <x:c r="C1737" s="78" t="n">
        <x:f>(('Inputs'!$B$29*(3*274*'Inputs'!$B$12-274^2)/(2*'Inputs'!$B$12^2))-('Inputs'!$B$29*(3*273*'Inputs'!$B$12-273^2)/(2*'Inputs'!$B$12^2)))*'Inputs'!$B$48</x:f>
        <x:v>155767.3226684183</x:v>
      </x:c>
      <x:c r="D1737" s="78" t="n">
        <x:f>IF('Inputs'!$C$48&gt;0,('Inputs'!$B$30*(3*274*'Inputs'!$B$12-274^2)/(2*'Inputs'!$B$12^2))-('Inputs'!$B$30*(3*273*'Inputs'!$B$12-273^2)/(2*'Inputs'!$B$12^2)),0)</x:f>
        <x:v>267029.69600299</x:v>
      </x:c>
      <x:c r="E1737" s="78" t="n">
        <x:f>C1737+D1737</x:f>
        <x:v>422797.0186714083</x:v>
      </x:c>
      <x:c r="F1737" s="78" t="n">
        <x:f>'Inputs'!$B$13*E1737+(1-'Inputs'!$B$13)/'Inputs'!$B$14*SUM(E1682:E1737)</x:f>
        <x:v>427650.4151810821</x:v>
      </x:c>
      <x:c r="G1737" s="78" t="n">
        <x:f>F1737*'Inputs'!$F$48</x:f>
        <x:v>213825.20759054105</x:v>
      </x:c>
      <x:c r="H1737" s="78" t="n">
        <x:f>U1736</x:f>
        <x:v>60481903.17400509</x:v>
      </x:c>
      <x:c r="I1737" s="78" t="n">
        <x:f>V1736</x:f>
        <x:v>187.66622007859584</x:v>
      </x:c>
      <x:c r="J1737" s="79" t="n">
        <x:f>IF(H1737&gt;0,I1737/H1737,0)</x:f>
        <x:v>0.0000031028491206482755</x:v>
      </x:c>
      <x:c r="K1737" s="80" t="n">
        <x:f>(H1737*J1737+I1737)*'Inputs'!$D$48*(1+'Inputs'!$G$48)^(B1737/30)</x:f>
        <x:v>112.5997320471575</x:v>
      </x:c>
      <x:c r="L1737" s="80" t="n">
        <x:f>MAX(0,K1737*'Inputs'!$E$48)</x:f>
        <x:v>0</x:v>
      </x:c>
      <x:c r="M1737" s="80" t="n">
        <x:f>MAX(0,-K1737*'Inputs'!$E$48)</x:f>
        <x:v>0</x:v>
      </x:c>
      <x:c r="N1737" s="78" t="n">
        <x:f>H1737*(L1737*(1-'Inputs'!$B$15))/(I1737+L1737*(1-'Inputs'!$B$15))</x:f>
        <x:v>0</x:v>
      </x:c>
      <x:c r="O1737" s="78" t="n">
        <x:f>H1737-N1737</x:f>
        <x:v>60481903.17400509</x:v>
      </x:c>
      <x:c r="P1737" s="78" t="n">
        <x:f>I1737+L1737*(1-'Inputs'!$B$17)</x:f>
        <x:v>187.66622007859584</x:v>
      </x:c>
      <x:c r="Q1737" s="78" t="n">
        <x:f>IF(J1737&gt;0,M1737/J1737,0)</x:f>
        <x:v>0</x:v>
      </x:c>
      <x:c r="R1737" s="78" t="n">
        <x:f>IF(B1737='Inputs'!$H$48,'Inputs'!$B$27*'Inputs'!$I$48,0)</x:f>
        <x:v>0</x:v>
      </x:c>
      <x:c r="S1737" s="78" t="n">
        <x:f>Q1737+G1737+R1737</x:f>
        <x:v>213825.20759054105</x:v>
      </x:c>
      <x:c r="T1737" s="78" t="n">
        <x:f>P1737*(S1737*(1-'Inputs'!$B$15))/(O1737+S1737*(1-'Inputs'!$B$15))</x:f>
        <x:v>0.654541784340018</x:v>
      </x:c>
      <x:c r="U1737" s="78" t="n">
        <x:f>O1737+S1737*(1-'Inputs'!$B$17)</x:f>
        <x:v>60694867.9179836</x:v>
      </x:c>
      <x:c r="V1737" s="78" t="n">
        <x:f>P1737-T1737</x:f>
        <x:v>187.01167829425583</x:v>
      </x:c>
      <x:c r="W1737" s="79" t="n">
        <x:f>IF(U1737&gt;0,V1737/U1737,0)</x:f>
        <x:v>0.0000030811777784402288</x:v>
      </x:c>
      <x:c r="X1737" s="80" t="n">
        <x:f>W1737*('Inputs'!$B$6-AC1737)</x:f>
        <x:v>3049.4756558796726</x:v>
      </x:c>
      <x:c r="Y1737" s="80" t="n">
        <x:f>2*V1737</x:f>
        <x:v>374.02335658851166</x:v>
      </x:c>
      <x:c r="Z1737" s="80" t="n">
        <x:f>K1737*'Inputs'!$B$16+(G1737+R1737)*J1737*'Inputs'!$B$16</x:f>
        <x:v>0.6795791964270135</x:v>
      </x:c>
      <x:c r="AA1737" s="80" t="n">
        <x:f>K1737*(1+'Inputs'!$E$48)/2*'Inputs'!$B$17</x:f>
        <x:v>0.22655881699629277</x:v>
      </x:c>
      <x:c r="AB1737" s="78" t="n">
        <x:f>(IF(J1737&gt;0,K1737*(1-'Inputs'!$E$48)/2/J1737,0)+G1737+R1737)*'Inputs'!$B$17</x:f>
        <x:v>73876.84571344897</x:v>
      </x:c>
      <x:c r="AC1737" s="78" t="n">
        <x:f>AC1736+AB1737</x:f>
        <x:v>10288962.481290044</x:v>
      </x:c>
      <x:c r="AD1737" s="80" t="n">
        <x:f>Z1737/(1+'Inputs'!$C$48)</x:f>
        <x:v>0.5436633571416107</x:v>
      </x:c>
      <x:c r="AE1737" s="80" t="n">
        <x:f>Z1737-AD1737</x:f>
        <x:v>0.13591583928540274</x:v>
      </x:c>
      <x:c r="AF1737" s="80" t="n">
        <x:f>D1737*W1737</x:f>
        <x:v>0.8227659655080624</x:v>
      </x:c>
      <x:c r="AG1737" s="80" t="n">
        <x:f>C1737*W1737</x:f>
        <x:v>0.4799468132130593</x:v>
      </x:c>
      <x:c r="AH1737" s="80" t="n">
        <x:f>2*'Inputs'!$B$8*'Inputs'!$C$48</x:f>
        <x:v>1250</x:v>
      </x:c>
      <x:c r="AI1737" s="81" t="n">
        <x:f>IF(AH1737&gt;0,(AE1737+AF1737)/AH1737*365,0)</x:f>
        <x:v>0.27993508699969183</x:v>
      </x:c>
      <x:c r="AJ1737" s="81" t="n">
        <x:f>IF('Inputs'!$B$48&gt;0,AG1737/('Inputs'!$B$19*'Inputs'!$B$48)*365,0)</x:f>
        <x:v>0.07007223472910666</x:v>
      </x:c>
      <x:c r="AK1737" s="81" t="n">
        <x:f>W1737/MAX($W$1464:W1737)-1</x:f>
        <x:v>-0.9963765869788853</x:v>
      </x:c>
      <x:c r="AL1737" s="83" t="n">
        <x:f>'Inputs'!$B$48</x:f>
        <x:v>0.25</x:v>
      </x:c>
      <x:c r="AM1737" s="83" t="n">
        <x:f>'Inputs'!$C$48</x:f>
        <x:v>0.25</x:v>
      </x:c>
      <x:c r="AN1737" s="83" t="n">
        <x:f>'Inputs'!$D$48</x:f>
        <x:v>0.3</x:v>
      </x:c>
      <x:c r="AO1737" s="81" t="n">
        <x:f>'Inputs'!$E$48</x:f>
        <x:v>0</x:v>
      </x:c>
    </x:row>
    <x:row r="1738">
      <x:c r="A1738" s="59" t="str">
        <x:v>Low participation</x:v>
      </x:c>
      <x:c r="B1738" s="59" t="n">
        <x:v>275</x:v>
      </x:c>
      <x:c r="C1738" s="78" t="n">
        <x:f>(('Inputs'!$B$29*(3*275*'Inputs'!$B$12-275^2)/(2*'Inputs'!$B$12^2))-('Inputs'!$B$29*(3*274*'Inputs'!$B$12-274^2)/(2*'Inputs'!$B$12^2)))*'Inputs'!$B$48</x:f>
        <x:v>155686.04569337517</x:v>
      </x:c>
      <x:c r="D1738" s="78" t="n">
        <x:f>IF('Inputs'!$C$48&gt;0,('Inputs'!$B$30*(3*275*'Inputs'!$B$12-275^2)/(2*'Inputs'!$B$12^2))-('Inputs'!$B$30*(3*274*'Inputs'!$B$12-274^2)/(2*'Inputs'!$B$12^2)),0)</x:f>
        <x:v>266890.3640457988</x:v>
      </x:c>
      <x:c r="E1738" s="78" t="n">
        <x:f>C1738+D1738</x:f>
        <x:v>422576.40973917395</x:v>
      </x:c>
      <x:c r="F1738" s="78" t="n">
        <x:f>'Inputs'!$B$13*E1738+(1-'Inputs'!$B$13)/'Inputs'!$B$14*SUM(E1683:E1738)</x:f>
        <x:v>427429.80624882947</x:v>
      </x:c>
      <x:c r="G1738" s="78" t="n">
        <x:f>F1738*'Inputs'!$F$48</x:f>
        <x:v>213714.90312441473</x:v>
      </x:c>
      <x:c r="H1738" s="78" t="n">
        <x:f>U1737</x:f>
        <x:v>60694867.9179836</x:v>
      </x:c>
      <x:c r="I1738" s="78" t="n">
        <x:f>V1737</x:f>
        <x:v>187.01167829425583</x:v>
      </x:c>
      <x:c r="J1738" s="79" t="n">
        <x:f>IF(H1738&gt;0,I1738/H1738,0)</x:f>
        <x:v>0.0000030811777784402288</x:v>
      </x:c>
      <x:c r="K1738" s="80" t="n">
        <x:f>(H1738*J1738+I1738)*'Inputs'!$D$48*(1+'Inputs'!$G$48)^(B1738/30)</x:f>
        <x:v>112.2070069765535</x:v>
      </x:c>
      <x:c r="L1738" s="80" t="n">
        <x:f>MAX(0,K1738*'Inputs'!$E$48)</x:f>
        <x:v>0</x:v>
      </x:c>
      <x:c r="M1738" s="80" t="n">
        <x:f>MAX(0,-K1738*'Inputs'!$E$48)</x:f>
        <x:v>0</x:v>
      </x:c>
      <x:c r="N1738" s="78" t="n">
        <x:f>H1738*(L1738*(1-'Inputs'!$B$15))/(I1738+L1738*(1-'Inputs'!$B$15))</x:f>
        <x:v>0</x:v>
      </x:c>
      <x:c r="O1738" s="78" t="n">
        <x:f>H1738-N1738</x:f>
        <x:v>60694867.9179836</x:v>
      </x:c>
      <x:c r="P1738" s="78" t="n">
        <x:f>I1738+L1738*(1-'Inputs'!$B$17)</x:f>
        <x:v>187.01167829425583</x:v>
      </x:c>
      <x:c r="Q1738" s="78" t="n">
        <x:f>IF(J1738&gt;0,M1738/J1738,0)</x:f>
        <x:v>0</x:v>
      </x:c>
      <x:c r="R1738" s="78" t="n">
        <x:f>IF(B1738='Inputs'!$H$48,'Inputs'!$B$27*'Inputs'!$I$48,0)</x:f>
        <x:v>0</x:v>
      </x:c>
      <x:c r="S1738" s="78" t="n">
        <x:f>Q1738+G1738+R1738</x:f>
        <x:v>213714.90312441473</x:v>
      </x:c>
      <x:c r="T1738" s="78" t="n">
        <x:f>P1738*(S1738*(1-'Inputs'!$B$15))/(O1738+S1738*(1-'Inputs'!$B$15))</x:f>
        <x:v>0.6496440638766965</x:v>
      </x:c>
      <x:c r="U1738" s="78" t="n">
        <x:f>O1738+S1738*(1-'Inputs'!$B$17)</x:f>
        <x:v>60907722.80137713</x:v>
      </x:c>
      <x:c r="V1738" s="78" t="n">
        <x:f>P1738-T1738</x:f>
        <x:v>186.36203423037912</x:v>
      </x:c>
      <x:c r="W1738" s="79" t="n">
        <x:f>IF(U1738&gt;0,V1738/U1738,0)</x:f>
        <x:v>0.0000030597439152029083</x:v>
      </x:c>
      <x:c r="X1738" s="80" t="n">
        <x:f>W1738*('Inputs'!$B$6-AC1738)</x:f>
        <x:v>3028.035495324985</x:v>
      </x:c>
      <x:c r="Y1738" s="80" t="n">
        <x:f>2*V1738</x:f>
        <x:v>372.72406846075825</x:v>
      </x:c>
      <x:c r="Z1738" s="80" t="n">
        <x:f>K1738*'Inputs'!$B$16+(G1738+R1738)*J1738*'Inputs'!$B$16</x:f>
        <x:v>0.6771930035218917</x:v>
      </x:c>
      <x:c r="AA1738" s="80" t="n">
        <x:f>K1738*(1+'Inputs'!$E$48)/2*'Inputs'!$B$17</x:f>
        <x:v>0.22576862570735112</x:v>
      </x:c>
      <x:c r="AB1738" s="78" t="n">
        <x:f>(IF(J1738&gt;0,K1738*(1-'Inputs'!$E$48)/2/J1738,0)+G1738+R1738)*'Inputs'!$B$17</x:f>
        <x:v>74133.50212683903</x:v>
      </x:c>
      <x:c r="AC1738" s="78" t="n">
        <x:f>AC1737+AB1738</x:f>
        <x:v>10363095.983416883</x:v>
      </x:c>
      <x:c r="AD1738" s="80" t="n">
        <x:f>Z1738/(1+'Inputs'!$C$48)</x:f>
        <x:v>0.5417544028175134</x:v>
      </x:c>
      <x:c r="AE1738" s="80" t="n">
        <x:f>Z1738-AD1738</x:f>
        <x:v>0.1354386007043783</x:v>
      </x:c>
      <x:c r="AF1738" s="80" t="n">
        <x:f>D1738*W1738</x:f>
        <x:v>0.8166161674154219</x:v>
      </x:c>
      <x:c r="AG1738" s="80" t="n">
        <x:f>C1738*W1738</x:f>
        <x:v>0.4763594309923066</x:v>
      </x:c>
      <x:c r="AH1738" s="80" t="n">
        <x:f>2*'Inputs'!$B$8*'Inputs'!$C$48</x:f>
        <x:v>1250</x:v>
      </x:c>
      <x:c r="AI1738" s="81" t="n">
        <x:f>IF(AH1738&gt;0,(AE1738+AF1738)/AH1738*365,0)</x:f>
        <x:v>0.27799999229098166</x:v>
      </x:c>
      <x:c r="AJ1738" s="81" t="n">
        <x:f>IF('Inputs'!$B$48&gt;0,AG1738/('Inputs'!$B$19*'Inputs'!$B$48)*365,0)</x:f>
        <x:v>0.06954847692487677</x:v>
      </x:c>
      <x:c r="AK1738" s="81" t="n">
        <x:f>W1738/MAX($W$1464:W1738)-1</x:f>
        <x:v>-0.996401792839998</x:v>
      </x:c>
      <x:c r="AL1738" s="83" t="n">
        <x:f>'Inputs'!$B$48</x:f>
        <x:v>0.25</x:v>
      </x:c>
      <x:c r="AM1738" s="83" t="n">
        <x:f>'Inputs'!$C$48</x:f>
        <x:v>0.25</x:v>
      </x:c>
      <x:c r="AN1738" s="83" t="n">
        <x:f>'Inputs'!$D$48</x:f>
        <x:v>0.3</x:v>
      </x:c>
      <x:c r="AO1738" s="81" t="n">
        <x:f>'Inputs'!$E$48</x:f>
        <x:v>0</x:v>
      </x:c>
    </x:row>
    <x:row r="1739">
      <x:c r="A1739" s="59" t="str">
        <x:v>Low participation</x:v>
      </x:c>
      <x:c r="B1739" s="59" t="n">
        <x:v>276</x:v>
      </x:c>
      <x:c r="C1739" s="78" t="n">
        <x:f>(('Inputs'!$B$29*(3*276*'Inputs'!$B$12-276^2)/(2*'Inputs'!$B$12^2))-('Inputs'!$B$29*(3*275*'Inputs'!$B$12-275^2)/(2*'Inputs'!$B$12^2)))*'Inputs'!$B$48</x:f>
        <x:v>155604.76871833205</x:v>
      </x:c>
      <x:c r="D1739" s="78" t="n">
        <x:f>IF('Inputs'!$C$48&gt;0,('Inputs'!$B$30*(3*276*'Inputs'!$B$12-276^2)/(2*'Inputs'!$B$12^2))-('Inputs'!$B$30*(3*275*'Inputs'!$B$12-275^2)/(2*'Inputs'!$B$12^2)),0)</x:f>
        <x:v>266751.03208856285</x:v>
      </x:c>
      <x:c r="E1739" s="78" t="n">
        <x:f>C1739+D1739</x:f>
        <x:v>422355.8008068949</x:v>
      </x:c>
      <x:c r="F1739" s="78" t="n">
        <x:f>'Inputs'!$B$13*E1739+(1-'Inputs'!$B$13)/'Inputs'!$B$14*SUM(E1684:E1739)</x:f>
        <x:v>427209.19731656753</x:v>
      </x:c>
      <x:c r="G1739" s="78" t="n">
        <x:f>F1739*'Inputs'!$F$48</x:f>
        <x:v>213604.59865828376</x:v>
      </x:c>
      <x:c r="H1739" s="78" t="n">
        <x:f>U1738</x:f>
        <x:v>60907722.80137713</x:v>
      </x:c>
      <x:c r="I1739" s="78" t="n">
        <x:f>V1738</x:f>
        <x:v>186.36203423037912</x:v>
      </x:c>
      <x:c r="J1739" s="79" t="n">
        <x:f>IF(H1739&gt;0,I1739/H1739,0)</x:f>
        <x:v>0.0000030597439152029083</x:v>
      </x:c>
      <x:c r="K1739" s="80" t="n">
        <x:f>(H1739*J1739+I1739)*'Inputs'!$D$48*(1+'Inputs'!$G$48)^(B1739/30)</x:f>
        <x:v>111.81722053822747</x:v>
      </x:c>
      <x:c r="L1739" s="80" t="n">
        <x:f>MAX(0,K1739*'Inputs'!$E$48)</x:f>
        <x:v>0</x:v>
      </x:c>
      <x:c r="M1739" s="80" t="n">
        <x:f>MAX(0,-K1739*'Inputs'!$E$48)</x:f>
        <x:v>0</x:v>
      </x:c>
      <x:c r="N1739" s="78" t="n">
        <x:f>H1739*(L1739*(1-'Inputs'!$B$15))/(I1739+L1739*(1-'Inputs'!$B$15))</x:f>
        <x:v>0</x:v>
      </x:c>
      <x:c r="O1739" s="78" t="n">
        <x:f>H1739-N1739</x:f>
        <x:v>60907722.80137713</x:v>
      </x:c>
      <x:c r="P1739" s="78" t="n">
        <x:f>I1739+L1739*(1-'Inputs'!$B$17)</x:f>
        <x:v>186.36203423037912</x:v>
      </x:c>
      <x:c r="Q1739" s="78" t="n">
        <x:f>IF(J1739&gt;0,M1739/J1739,0)</x:f>
        <x:v>0</x:v>
      </x:c>
      <x:c r="R1739" s="78" t="n">
        <x:f>IF(B1739='Inputs'!$H$48,'Inputs'!$B$27*'Inputs'!$I$48,0)</x:f>
        <x:v>0</x:v>
      </x:c>
      <x:c r="S1739" s="78" t="n">
        <x:f>Q1739+G1739+R1739</x:f>
        <x:v>213604.59865828376</x:v>
      </x:c>
      <x:c r="T1739" s="78" t="n">
        <x:f>P1739*(S1739*(1-'Inputs'!$B$15))/(O1739+S1739*(1-'Inputs'!$B$15))</x:f>
        <x:v>0.644800900970061</x:v>
      </x:c>
      <x:c r="U1739" s="78" t="n">
        <x:f>O1739+S1739*(1-'Inputs'!$B$17)</x:f>
        <x:v>61120467.824185684</x:v>
      </x:c>
      <x:c r="V1739" s="78" t="n">
        <x:f>P1739-T1739</x:f>
        <x:v>185.71723332940905</x:v>
      </x:c>
      <x:c r="W1739" s="79" t="n">
        <x:f>IF(U1739&gt;0,V1739/U1739,0)</x:f>
        <x:v>0.000003038544041639678</x:v>
      </x:c>
      <x:c r="X1739" s="80" t="n">
        <x:f>W1739*('Inputs'!$B$6-AC1739)</x:f>
        <x:v>3006.829280716335</x:v>
      </x:c>
      <x:c r="Y1739" s="80" t="n">
        <x:f>2*V1739</x:f>
        <x:v>371.4344666588181</x:v>
      </x:c>
      <x:c r="Z1739" s="80" t="n">
        <x:f>K1739*'Inputs'!$B$16+(G1739+R1739)*J1739*'Inputs'!$B$16</x:f>
        <x:v>0.6748247754553891</x:v>
      </x:c>
      <x:c r="AA1739" s="80" t="n">
        <x:f>K1739*(1+'Inputs'!$E$48)/2*'Inputs'!$B$17</x:f>
        <x:v>0.22498434715941143</x:v>
      </x:c>
      <x:c r="AB1739" s="78" t="n">
        <x:f>(IF(J1739&gt;0,K1739*(1-'Inputs'!$E$48)/2/J1739,0)+G1739+R1739)*'Inputs'!$B$17</x:f>
        <x:v>74390.02591175624</x:v>
      </x:c>
      <x:c r="AC1739" s="78" t="n">
        <x:f>AC1738+AB1739</x:f>
        <x:v>10437486.00932864</x:v>
      </x:c>
      <x:c r="AD1739" s="80" t="n">
        <x:f>Z1739/(1+'Inputs'!$C$48)</x:f>
        <x:v>0.5398598203643112</x:v>
      </x:c>
      <x:c r="AE1739" s="80" t="n">
        <x:f>Z1739-AD1739</x:f>
        <x:v>0.13496495509107787</x:v>
      </x:c>
      <x:c r="AF1739" s="80" t="n">
        <x:f>D1739*W1739</x:f>
        <x:v>0.8105347591539371</x:v>
      </x:c>
      <x:c r="AG1739" s="80" t="n">
        <x:f>C1739*W1739</x:f>
        <x:v>0.472811942839808</x:v>
      </x:c>
      <x:c r="AH1739" s="80" t="n">
        <x:f>2*'Inputs'!$B$8*'Inputs'!$C$48</x:f>
        <x:v>1250</x:v>
      </x:c>
      <x:c r="AI1739" s="81" t="n">
        <x:f>IF(AH1739&gt;0,(AE1739+AF1739)/AH1739*365,0)</x:f>
        <x:v>0.2760859165595444</x:v>
      </x:c>
      <x:c r="AJ1739" s="81" t="n">
        <x:f>IF('Inputs'!$B$48&gt;0,AG1739/('Inputs'!$B$19*'Inputs'!$B$48)*365,0)</x:f>
        <x:v>0.06903054365461196</x:v>
      </x:c>
      <x:c r="AK1739" s="81" t="n">
        <x:f>W1739/MAX($W$1464:W1739)-1</x:f>
        <x:v>-0.9964267235332065</x:v>
      </x:c>
      <x:c r="AL1739" s="83" t="n">
        <x:f>'Inputs'!$B$48</x:f>
        <x:v>0.25</x:v>
      </x:c>
      <x:c r="AM1739" s="83" t="n">
        <x:f>'Inputs'!$C$48</x:f>
        <x:v>0.25</x:v>
      </x:c>
      <x:c r="AN1739" s="83" t="n">
        <x:f>'Inputs'!$D$48</x:f>
        <x:v>0.3</x:v>
      </x:c>
      <x:c r="AO1739" s="81" t="n">
        <x:f>'Inputs'!$E$48</x:f>
        <x:v>0</x:v>
      </x:c>
    </x:row>
    <x:row r="1740">
      <x:c r="A1740" s="59" t="str">
        <x:v>Low participation</x:v>
      </x:c>
      <x:c r="B1740" s="59" t="n">
        <x:v>277</x:v>
      </x:c>
      <x:c r="C1740" s="78" t="n">
        <x:f>(('Inputs'!$B$29*(3*277*'Inputs'!$B$12-277^2)/(2*'Inputs'!$B$12^2))-('Inputs'!$B$29*(3*276*'Inputs'!$B$12-276^2)/(2*'Inputs'!$B$12^2)))*'Inputs'!$B$48</x:f>
        <x:v>155523.49174329638</x:v>
      </x:c>
      <x:c r="D1740" s="78" t="n">
        <x:f>IF('Inputs'!$C$48&gt;0,('Inputs'!$B$30*(3*277*'Inputs'!$B$12-277^2)/(2*'Inputs'!$B$12^2))-('Inputs'!$B$30*(3*276*'Inputs'!$B$12-276^2)/(2*'Inputs'!$B$12^2)),0)</x:f>
        <x:v>266611.7001313567</x:v>
      </x:c>
      <x:c r="E1740" s="78" t="n">
        <x:f>C1740+D1740</x:f>
        <x:v>422135.1918746531</x:v>
      </x:c>
      <x:c r="F1740" s="78" t="n">
        <x:f>'Inputs'!$B$13*E1740+(1-'Inputs'!$B$13)/'Inputs'!$B$14*SUM(E1685:E1740)</x:f>
        <x:v>426988.5883843133</x:v>
      </x:c>
      <x:c r="G1740" s="78" t="n">
        <x:f>F1740*'Inputs'!$F$48</x:f>
        <x:v>213494.29419215664</x:v>
      </x:c>
      <x:c r="H1740" s="78" t="n">
        <x:f>U1739</x:f>
        <x:v>61120467.824185684</x:v>
      </x:c>
      <x:c r="I1740" s="78" t="n">
        <x:f>V1739</x:f>
        <x:v>185.71723332940905</x:v>
      </x:c>
      <x:c r="J1740" s="79" t="n">
        <x:f>IF(H1740&gt;0,I1740/H1740,0)</x:f>
        <x:v>0.000003038544041639678</x:v>
      </x:c>
      <x:c r="K1740" s="80" t="n">
        <x:f>(H1740*J1740+I1740)*'Inputs'!$D$48*(1+'Inputs'!$G$48)^(B1740/30)</x:f>
        <x:v>111.43033999764543</x:v>
      </x:c>
      <x:c r="L1740" s="80" t="n">
        <x:f>MAX(0,K1740*'Inputs'!$E$48)</x:f>
        <x:v>0</x:v>
      </x:c>
      <x:c r="M1740" s="80" t="n">
        <x:f>MAX(0,-K1740*'Inputs'!$E$48)</x:f>
        <x:v>0</x:v>
      </x:c>
      <x:c r="N1740" s="78" t="n">
        <x:f>H1740*(L1740*(1-'Inputs'!$B$15))/(I1740+L1740*(1-'Inputs'!$B$15))</x:f>
        <x:v>0</x:v>
      </x:c>
      <x:c r="O1740" s="78" t="n">
        <x:f>H1740-N1740</x:f>
        <x:v>61120467.824185684</x:v>
      </x:c>
      <x:c r="P1740" s="78" t="n">
        <x:f>I1740+L1740*(1-'Inputs'!$B$17)</x:f>
        <x:v>185.71723332940905</x:v>
      </x:c>
      <x:c r="Q1740" s="78" t="n">
        <x:f>IF(J1740&gt;0,M1740/J1740,0)</x:f>
        <x:v>0</x:v>
      </x:c>
      <x:c r="R1740" s="78" t="n">
        <x:f>IF(B1740='Inputs'!$H$48,'Inputs'!$B$27*'Inputs'!$I$48,0)</x:f>
        <x:v>0</x:v>
      </x:c>
      <x:c r="S1740" s="78" t="n">
        <x:f>Q1740+G1740+R1740</x:f>
        <x:v>213494.29419215664</x:v>
      </x:c>
      <x:c r="T1740" s="78" t="n">
        <x:f>P1740*(S1740*(1-'Inputs'!$B$15))/(O1740+S1740*(1-'Inputs'!$B$15))</x:f>
        <x:v>0.6400114876768863</x:v>
      </x:c>
      <x:c r="U1740" s="78" t="n">
        <x:f>O1740+S1740*(1-'Inputs'!$B$17)</x:f>
        <x:v>61333102.98640926</x:v>
      </x:c>
      <x:c r="V1740" s="78" t="n">
        <x:f>P1740-T1740</x:f>
        <x:v>185.07722184173218</x:v>
      </x:c>
      <x:c r="W1740" s="79" t="n">
        <x:f>IF(U1740&gt;0,V1740/U1740,0)</x:f>
        <x:v>0.000003017574732567228</x:v>
      </x:c>
      <x:c r="X1740" s="80" t="n">
        <x:f>W1740*('Inputs'!$B$6-AC1740)</x:f>
        <x:v>2985.853587371932</x:v>
      </x:c>
      <x:c r="Y1740" s="80" t="n">
        <x:f>2*V1740</x:f>
        <x:v>370.15444368346436</x:v>
      </x:c>
      <x:c r="Z1740" s="80" t="n">
        <x:f>K1740*'Inputs'!$B$16+(G1740+R1740)*J1740*'Inputs'!$B$16</x:f>
        <x:v>0.6724743108791225</x:v>
      </x:c>
      <x:c r="AA1740" s="80" t="n">
        <x:f>K1740*(1+'Inputs'!$E$48)/2*'Inputs'!$B$17</x:f>
        <x:v>0.2242059154882202</x:v>
      </x:c>
      <x:c r="AB1740" s="78" t="n">
        <x:f>(IF(J1740&gt;0,K1740*(1-'Inputs'!$E$48)/2/J1740,0)+G1740+R1740)*'Inputs'!$B$17</x:f>
        <x:v>74646.41706820067</x:v>
      </x:c>
      <x:c r="AC1740" s="78" t="n">
        <x:f>AC1739+AB1740</x:f>
        <x:v>10512132.42639684</x:v>
      </x:c>
      <x:c r="AD1740" s="80" t="n">
        <x:f>Z1740/(1+'Inputs'!$C$48)</x:f>
        <x:v>0.537979448703298</x:v>
      </x:c>
      <x:c r="AE1740" s="80" t="n">
        <x:f>Z1740-AD1740</x:f>
        <x:v>0.13449486217582451</x:v>
      </x:c>
      <x:c r="AF1740" s="80" t="n">
        <x:f>D1740*W1740</x:f>
        <x:v>0.8045207297231727</x:v>
      </x:c>
      <x:c r="AG1740" s="80" t="n">
        <x:f>C1740*W1740</x:f>
        <x:v>0.46930375900519905</x:v>
      </x:c>
      <x:c r="AH1740" s="80" t="n">
        <x:f>2*'Inputs'!$B$8*'Inputs'!$C$48</x:f>
        <x:v>1250</x:v>
      </x:c>
      <x:c r="AI1740" s="81" t="n">
        <x:f>IF(AH1740&gt;0,(AE1740+AF1740)/AH1740*365,0)</x:f>
        <x:v>0.27419255283450716</x:v>
      </x:c>
      <x:c r="AJ1740" s="81" t="n">
        <x:f>IF('Inputs'!$B$48&gt;0,AG1740/('Inputs'!$B$19*'Inputs'!$B$48)*365,0)</x:f>
        <x:v>0.06851834881475906</x:v>
      </x:c>
      <x:c r="AK1740" s="81" t="n">
        <x:f>W1740/MAX($W$1464:W1740)-1</x:f>
        <x:v>-0.9964513830864684</x:v>
      </x:c>
      <x:c r="AL1740" s="83" t="n">
        <x:f>'Inputs'!$B$48</x:f>
        <x:v>0.25</x:v>
      </x:c>
      <x:c r="AM1740" s="83" t="n">
        <x:f>'Inputs'!$C$48</x:f>
        <x:v>0.25</x:v>
      </x:c>
      <x:c r="AN1740" s="83" t="n">
        <x:f>'Inputs'!$D$48</x:f>
        <x:v>0.3</x:v>
      </x:c>
      <x:c r="AO1740" s="81" t="n">
        <x:f>'Inputs'!$E$48</x:f>
        <x:v>0</x:v>
      </x:c>
    </x:row>
    <x:row r="1741">
      <x:c r="A1741" s="59" t="str">
        <x:v>Low participation</x:v>
      </x:c>
      <x:c r="B1741" s="59" t="n">
        <x:v>278</x:v>
      </x:c>
      <x:c r="C1741" s="78" t="n">
        <x:f>(('Inputs'!$B$29*(3*278*'Inputs'!$B$12-278^2)/(2*'Inputs'!$B$12^2))-('Inputs'!$B$29*(3*277*'Inputs'!$B$12-277^2)/(2*'Inputs'!$B$12^2)))*'Inputs'!$B$48</x:f>
        <x:v>155442.21476824582</x:v>
      </x:c>
      <x:c r="D1741" s="78" t="n">
        <x:f>IF('Inputs'!$C$48&gt;0,('Inputs'!$B$30*(3*278*'Inputs'!$B$12-278^2)/(2*'Inputs'!$B$12^2))-('Inputs'!$B$30*(3*277*'Inputs'!$B$12-277^2)/(2*'Inputs'!$B$12^2)),0)</x:f>
        <x:v>266472.3681741506</x:v>
      </x:c>
      <x:c r="E1741" s="78" t="n">
        <x:f>C1741+D1741</x:f>
        <x:v>421914.5829423964</x:v>
      </x:c>
      <x:c r="F1741" s="78" t="n">
        <x:f>'Inputs'!$B$13*E1741+(1-'Inputs'!$B$13)/'Inputs'!$B$14*SUM(E1686:E1741)</x:f>
        <x:v>426767.97945205605</x:v>
      </x:c>
      <x:c r="G1741" s="78" t="n">
        <x:f>F1741*'Inputs'!$F$48</x:f>
        <x:v>213383.98972602803</x:v>
      </x:c>
      <x:c r="H1741" s="78" t="n">
        <x:f>U1740</x:f>
        <x:v>61333102.98640926</x:v>
      </x:c>
      <x:c r="I1741" s="78" t="n">
        <x:f>V1740</x:f>
        <x:v>185.07722184173218</x:v>
      </x:c>
      <x:c r="J1741" s="79" t="n">
        <x:f>IF(H1741&gt;0,I1741/H1741,0)</x:f>
        <x:v>0.000003017574732567228</x:v>
      </x:c>
      <x:c r="K1741" s="80" t="n">
        <x:f>(H1741*J1741+I1741)*'Inputs'!$D$48*(1+'Inputs'!$G$48)^(B1741/30)</x:f>
        <x:v>111.04633310503931</x:v>
      </x:c>
      <x:c r="L1741" s="80" t="n">
        <x:f>MAX(0,K1741*'Inputs'!$E$48)</x:f>
        <x:v>0</x:v>
      </x:c>
      <x:c r="M1741" s="80" t="n">
        <x:f>MAX(0,-K1741*'Inputs'!$E$48)</x:f>
        <x:v>0</x:v>
      </x:c>
      <x:c r="N1741" s="78" t="n">
        <x:f>H1741*(L1741*(1-'Inputs'!$B$15))/(I1741+L1741*(1-'Inputs'!$B$15))</x:f>
        <x:v>0</x:v>
      </x:c>
      <x:c r="O1741" s="78" t="n">
        <x:f>H1741-N1741</x:f>
        <x:v>61333102.98640926</x:v>
      </x:c>
      <x:c r="P1741" s="78" t="n">
        <x:f>I1741+L1741*(1-'Inputs'!$B$17)</x:f>
        <x:v>185.07722184173218</x:v>
      </x:c>
      <x:c r="Q1741" s="78" t="n">
        <x:f>IF(J1741&gt;0,M1741/J1741,0)</x:f>
        <x:v>0</x:v>
      </x:c>
      <x:c r="R1741" s="78" t="n">
        <x:f>IF(B1741='Inputs'!$H$48,'Inputs'!$B$27*'Inputs'!$I$48,0)</x:f>
        <x:v>0</x:v>
      </x:c>
      <x:c r="S1741" s="78" t="n">
        <x:f>Q1741+G1741+R1741</x:f>
        <x:v>213383.98972602803</x:v>
      </x:c>
      <x:c r="T1741" s="78" t="n">
        <x:f>P1741*(S1741*(1-'Inputs'!$B$15))/(O1741+S1741*(1-'Inputs'!$B$15))</x:f>
        <x:v>0.6352750309587201</x:v>
      </x:c>
      <x:c r="U1741" s="78" t="n">
        <x:f>O1741+S1741*(1-'Inputs'!$B$17)</x:f>
        <x:v>61545628.28804786</x:v>
      </x:c>
      <x:c r="V1741" s="78" t="n">
        <x:f>P1741-T1741</x:f>
        <x:v>184.44194681077346</x:v>
      </x:c>
      <x:c r="W1741" s="79" t="n">
        <x:f>IF(U1741&gt;0,V1741/U1741,0)</x:f>
        <x:v>0.000002996832625504158</x:v>
      </x:c>
      <x:c r="X1741" s="80" t="n">
        <x:f>W1741*('Inputs'!$B$6-AC1741)</x:f>
        <x:v>2965.105053303148</x:v>
      </x:c>
      <x:c r="Y1741" s="80" t="n">
        <x:f>2*V1741</x:f>
        <x:v>368.8838936215469</x:v>
      </x:c>
      <x:c r="Z1741" s="80" t="n">
        <x:f>K1741*'Inputs'!$B$16+(G1741+R1741)*J1741*'Inputs'!$B$16</x:f>
        <x:v>0.6701414114446257</x:v>
      </x:c>
      <x:c r="AA1741" s="80" t="n">
        <x:f>K1741*(1+'Inputs'!$E$48)/2*'Inputs'!$B$17</x:f>
        <x:v>0.22343326580490808</x:v>
      </x:c>
      <x:c r="AB1741" s="78" t="n">
        <x:f>(IF(J1741&gt;0,K1741*(1-'Inputs'!$E$48)/2/J1741,0)+G1741+R1741)*'Inputs'!$B$17</x:f>
        <x:v>74902.67559617228</x:v>
      </x:c>
      <x:c r="AC1741" s="78" t="n">
        <x:f>AC1740+AB1741</x:f>
        <x:v>10587035.101993011</x:v>
      </x:c>
      <x:c r="AD1741" s="80" t="n">
        <x:f>Z1741/(1+'Inputs'!$C$48)</x:f>
        <x:v>0.5361131291557005</x:v>
      </x:c>
      <x:c r="AE1741" s="80" t="n">
        <x:f>Z1741-AD1741</x:f>
        <x:v>0.13402828228892516</x:v>
      </x:c>
      <x:c r="AF1741" s="80" t="n">
        <x:f>D1741*W1741</x:f>
        <x:v>0.7985730867396503</x:v>
      </x:c>
      <x:c r="AG1741" s="80" t="n">
        <x:f>C1741*W1741</x:f>
        <x:v>0.4658343005981033</x:v>
      </x:c>
      <x:c r="AH1741" s="80" t="n">
        <x:f>2*'Inputs'!$B$8*'Inputs'!$C$48</x:f>
        <x:v>1250</x:v>
      </x:c>
      <x:c r="AI1741" s="81" t="n">
        <x:f>IF(AH1741&gt;0,(AE1741+AF1741)/AH1741*365,0)</x:f>
        <x:v>0.27231959975634407</x:v>
      </x:c>
      <x:c r="AJ1741" s="81" t="n">
        <x:f>IF('Inputs'!$B$48&gt;0,AG1741/('Inputs'!$B$19*'Inputs'!$B$48)*365,0)</x:f>
        <x:v>0.06801180788732308</x:v>
      </x:c>
      <x:c r="AK1741" s="81" t="n">
        <x:f>W1741/MAX($W$1464:W1741)-1</x:f>
        <x:v>-0.9964757754540051</x:v>
      </x:c>
      <x:c r="AL1741" s="83" t="n">
        <x:f>'Inputs'!$B$48</x:f>
        <x:v>0.25</x:v>
      </x:c>
      <x:c r="AM1741" s="83" t="n">
        <x:f>'Inputs'!$C$48</x:f>
        <x:v>0.25</x:v>
      </x:c>
      <x:c r="AN1741" s="83" t="n">
        <x:f>'Inputs'!$D$48</x:f>
        <x:v>0.3</x:v>
      </x:c>
      <x:c r="AO1741" s="81" t="n">
        <x:f>'Inputs'!$E$48</x:f>
        <x:v>0</x:v>
      </x:c>
    </x:row>
    <x:row r="1742">
      <x:c r="A1742" s="59" t="str">
        <x:v>Low participation</x:v>
      </x:c>
      <x:c r="B1742" s="59" t="n">
        <x:v>279</x:v>
      </x:c>
      <x:c r="C1742" s="78" t="n">
        <x:f>(('Inputs'!$B$29*(3*279*'Inputs'!$B$12-279^2)/(2*'Inputs'!$B$12^2))-('Inputs'!$B$29*(3*278*'Inputs'!$B$12-278^2)/(2*'Inputs'!$B$12^2)))*'Inputs'!$B$48</x:f>
        <x:v>155360.93779321015</x:v>
      </x:c>
      <x:c r="D1742" s="78" t="n">
        <x:f>IF('Inputs'!$C$48&gt;0,('Inputs'!$B$30*(3*279*'Inputs'!$B$12-279^2)/(2*'Inputs'!$B$12^2))-('Inputs'!$B$30*(3*278*'Inputs'!$B$12-278^2)/(2*'Inputs'!$B$12^2)),0)</x:f>
        <x:v>266333.03621691465</x:v>
      </x:c>
      <x:c r="E1742" s="78" t="n">
        <x:f>C1742+D1742</x:f>
        <x:v>421693.9740101248</x:v>
      </x:c>
      <x:c r="F1742" s="78" t="n">
        <x:f>'Inputs'!$B$13*E1742+(1-'Inputs'!$B$13)/'Inputs'!$B$14*SUM(E1687:E1742)</x:f>
        <x:v>426547.37051979563</x:v>
      </x:c>
      <x:c r="G1742" s="78" t="n">
        <x:f>F1742*'Inputs'!$F$48</x:f>
        <x:v>213273.68525989781</x:v>
      </x:c>
      <x:c r="H1742" s="78" t="n">
        <x:f>U1741</x:f>
        <x:v>61545628.28804786</x:v>
      </x:c>
      <x:c r="I1742" s="78" t="n">
        <x:f>V1741</x:f>
        <x:v>184.44194681077346</x:v>
      </x:c>
      <x:c r="J1742" s="79" t="n">
        <x:f>IF(H1742&gt;0,I1742/H1742,0)</x:f>
        <x:v>0.000002996832625504158</x:v>
      </x:c>
      <x:c r="K1742" s="80" t="n">
        <x:f>(H1742*J1742+I1742)*'Inputs'!$D$48*(1+'Inputs'!$G$48)^(B1742/30)</x:f>
        <x:v>110.66516808646408</x:v>
      </x:c>
      <x:c r="L1742" s="80" t="n">
        <x:f>MAX(0,K1742*'Inputs'!$E$48)</x:f>
        <x:v>0</x:v>
      </x:c>
      <x:c r="M1742" s="80" t="n">
        <x:f>MAX(0,-K1742*'Inputs'!$E$48)</x:f>
        <x:v>0</x:v>
      </x:c>
      <x:c r="N1742" s="78" t="n">
        <x:f>H1742*(L1742*(1-'Inputs'!$B$15))/(I1742+L1742*(1-'Inputs'!$B$15))</x:f>
        <x:v>0</x:v>
      </x:c>
      <x:c r="O1742" s="78" t="n">
        <x:f>H1742-N1742</x:f>
        <x:v>61545628.28804786</x:v>
      </x:c>
      <x:c r="P1742" s="78" t="n">
        <x:f>I1742+L1742*(1-'Inputs'!$B$17)</x:f>
        <x:v>184.44194681077346</x:v>
      </x:c>
      <x:c r="Q1742" s="78" t="n">
        <x:f>IF(J1742&gt;0,M1742/J1742,0)</x:f>
        <x:v>0</x:v>
      </x:c>
      <x:c r="R1742" s="78" t="n">
        <x:f>IF(B1742='Inputs'!$H$48,'Inputs'!$B$27*'Inputs'!$I$48,0)</x:f>
        <x:v>0</x:v>
      </x:c>
      <x:c r="S1742" s="78" t="n">
        <x:f>Q1742+G1742+R1742</x:f>
        <x:v>213273.68525989781</x:v>
      </x:c>
      <x:c r="T1742" s="78" t="n">
        <x:f>P1742*(S1742*(1-'Inputs'!$B$15))/(O1742+S1742*(1-'Inputs'!$B$15))</x:f>
        <x:v>0.6305907523531362</x:v>
      </x:c>
      <x:c r="U1742" s="78" t="n">
        <x:f>O1742+S1742*(1-'Inputs'!$B$17)</x:f>
        <x:v>61758043.72910148</x:v>
      </x:c>
      <x:c r="V1742" s="78" t="n">
        <x:f>P1742-T1742</x:f>
        <x:v>183.81135605842033</x:v>
      </x:c>
      <x:c r="W1742" s="79" t="n">
        <x:f>IF(U1742&gt;0,V1742/U1742,0)</x:f>
        <x:v>0.0000029763144192957196</x:v>
      </x:c>
      <x:c r="X1742" s="80" t="n">
        <x:f>W1742*('Inputs'!$B$6-AC1742)</x:f>
        <x:v>2944.5803778394393</x:v>
      </x:c>
      <x:c r="Y1742" s="80" t="n">
        <x:f>2*V1742</x:f>
        <x:v>367.62271211684066</x:v>
      </x:c>
      <x:c r="Z1742" s="80" t="n">
        <x:f>K1742*'Inputs'!$B$16+(G1742+R1742)*J1742*'Inputs'!$B$16</x:f>
        <x:v>0.6678258817476747</x:v>
      </x:c>
      <x:c r="AA1742" s="80" t="n">
        <x:f>K1742*(1+'Inputs'!$E$48)/2*'Inputs'!$B$17</x:f>
        <x:v>0.22266633417799614</x:v>
      </x:c>
      <x:c r="AB1742" s="78" t="n">
        <x:f>(IF(J1742&gt;0,K1742*(1-'Inputs'!$E$48)/2/J1742,0)+G1742+R1742)*'Inputs'!$B$17</x:f>
        <x:v>75158.80149567105</x:v>
      </x:c>
      <x:c r="AC1742" s="78" t="n">
        <x:f>AC1741+AB1742</x:f>
        <x:v>10662193.903488683</x:v>
      </x:c>
      <x:c r="AD1742" s="80" t="n">
        <x:f>Z1742/(1+'Inputs'!$C$48)</x:f>
        <x:v>0.5342607053981397</x:v>
      </x:c>
      <x:c r="AE1742" s="80" t="n">
        <x:f>Z1742-AD1742</x:f>
        <x:v>0.1335651763495349</x:v>
      </x:c>
      <x:c r="AF1742" s="80" t="n">
        <x:f>D1742*W1742</x:f>
        <x:v>0.7926908560272122</x:v>
      </x:c>
      <x:c r="AG1742" s="80" t="n">
        <x:f>C1742*W1742</x:f>
        <x:v>0.4624029993492367</x:v>
      </x:c>
      <x:c r="AH1742" s="80" t="n">
        <x:f>2*'Inputs'!$B$8*'Inputs'!$C$48</x:f>
        <x:v>1250</x:v>
      </x:c>
      <x:c r="AI1742" s="81" t="n">
        <x:f>IF(AH1742&gt;0,(AE1742+AF1742)/AH1742*365,0)</x:f>
        <x:v>0.27046676145401016</x:v>
      </x:c>
      <x:c r="AJ1742" s="81" t="n">
        <x:f>IF('Inputs'!$B$48&gt;0,AG1742/('Inputs'!$B$19*'Inputs'!$B$48)*365,0)</x:f>
        <x:v>0.06751083790498856</x:v>
      </x:c>
      <x:c r="AK1742" s="81" t="n">
        <x:f>W1742/MAX($W$1464:W1742)-1</x:f>
        <x:v>-0.9964999045179188</x:v>
      </x:c>
      <x:c r="AL1742" s="83" t="n">
        <x:f>'Inputs'!$B$48</x:f>
        <x:v>0.25</x:v>
      </x:c>
      <x:c r="AM1742" s="83" t="n">
        <x:f>'Inputs'!$C$48</x:f>
        <x:v>0.25</x:v>
      </x:c>
      <x:c r="AN1742" s="83" t="n">
        <x:f>'Inputs'!$D$48</x:f>
        <x:v>0.3</x:v>
      </x:c>
      <x:c r="AO1742" s="81" t="n">
        <x:f>'Inputs'!$E$48</x:f>
        <x:v>0</x:v>
      </x:c>
    </x:row>
    <x:row r="1743">
      <x:c r="A1743" s="59" t="str">
        <x:v>Low participation</x:v>
      </x:c>
      <x:c r="B1743" s="59" t="n">
        <x:v>280</x:v>
      </x:c>
      <x:c r="C1743" s="78" t="n">
        <x:f>(('Inputs'!$B$29*(3*280*'Inputs'!$B$12-280^2)/(2*'Inputs'!$B$12^2))-('Inputs'!$B$29*(3*279*'Inputs'!$B$12-279^2)/(2*'Inputs'!$B$12^2)))*'Inputs'!$B$48</x:f>
        <x:v>155279.66081815958</x:v>
      </x:c>
      <x:c r="D1743" s="78" t="n">
        <x:f>IF('Inputs'!$C$48&gt;0,('Inputs'!$B$30*(3*280*'Inputs'!$B$12-280^2)/(2*'Inputs'!$B$12^2))-('Inputs'!$B$30*(3*279*'Inputs'!$B$12-279^2)/(2*'Inputs'!$B$12^2)),0)</x:f>
        <x:v>266193.7042597234</x:v>
      </x:c>
      <x:c r="E1743" s="78" t="n">
        <x:f>C1743+D1743</x:f>
        <x:v>421473.365077883</x:v>
      </x:c>
      <x:c r="F1743" s="78" t="n">
        <x:f>'Inputs'!$B$13*E1743+(1-'Inputs'!$B$13)/'Inputs'!$B$14*SUM(E1688:E1743)</x:f>
        <x:v>426326.7615875414</x:v>
      </x:c>
      <x:c r="G1743" s="78" t="n">
        <x:f>F1743*'Inputs'!$F$48</x:f>
        <x:v>213163.3807937707</x:v>
      </x:c>
      <x:c r="H1743" s="78" t="n">
        <x:f>U1742</x:f>
        <x:v>61758043.72910148</x:v>
      </x:c>
      <x:c r="I1743" s="78" t="n">
        <x:f>V1742</x:f>
        <x:v>183.81135605842033</x:v>
      </x:c>
      <x:c r="J1743" s="79" t="n">
        <x:f>IF(H1743&gt;0,I1743/H1743,0)</x:f>
        <x:v>0.0000029763144192957196</x:v>
      </x:c>
      <x:c r="K1743" s="80" t="n">
        <x:f>(H1743*J1743+I1743)*'Inputs'!$D$48*(1+'Inputs'!$G$48)^(B1743/30)</x:f>
        <x:v>110.2868136350522</x:v>
      </x:c>
      <x:c r="L1743" s="80" t="n">
        <x:f>MAX(0,K1743*'Inputs'!$E$48)</x:f>
        <x:v>0</x:v>
      </x:c>
      <x:c r="M1743" s="80" t="n">
        <x:f>MAX(0,-K1743*'Inputs'!$E$48)</x:f>
        <x:v>0</x:v>
      </x:c>
      <x:c r="N1743" s="78" t="n">
        <x:f>H1743*(L1743*(1-'Inputs'!$B$15))/(I1743+L1743*(1-'Inputs'!$B$15))</x:f>
        <x:v>0</x:v>
      </x:c>
      <x:c r="O1743" s="78" t="n">
        <x:f>H1743-N1743</x:f>
        <x:v>61758043.72910148</x:v>
      </x:c>
      <x:c r="P1743" s="78" t="n">
        <x:f>I1743+L1743*(1-'Inputs'!$B$17)</x:f>
        <x:v>183.81135605842033</x:v>
      </x:c>
      <x:c r="Q1743" s="78" t="n">
        <x:f>IF(J1743&gt;0,M1743/J1743,0)</x:f>
        <x:v>0</x:v>
      </x:c>
      <x:c r="R1743" s="78" t="n">
        <x:f>IF(B1743='Inputs'!$H$48,'Inputs'!$B$27*'Inputs'!$I$48,0)</x:f>
        <x:v>0</x:v>
      </x:c>
      <x:c r="S1743" s="78" t="n">
        <x:f>Q1743+G1743+R1743</x:f>
        <x:v>213163.3807937707</x:v>
      </x:c>
      <x:c r="T1743" s="78" t="n">
        <x:f>P1743*(S1743*(1-'Inputs'!$B$15))/(O1743+S1743*(1-'Inputs'!$B$15))</x:f>
        <x:v>0.6259578876533628</x:v>
      </x:c>
      <x:c r="U1743" s="78" t="n">
        <x:f>O1743+S1743*(1-'Inputs'!$B$17)</x:f>
        <x:v>61970349.309570126</x:v>
      </x:c>
      <x:c r="V1743" s="78" t="n">
        <x:f>P1743-T1743</x:f>
        <x:v>183.18539817076697</x:v>
      </x:c>
      <x:c r="W1743" s="79" t="n">
        <x:f>IF(U1743&gt;0,V1743/U1743,0)</x:f>
        <x:v>0.0000029560168727736625</x:v>
      </x:c>
      <x:c r="X1743" s="80" t="n">
        <x:f>W1743*('Inputs'!$B$6-AC1743)</x:f>
        <x:v>2924.2763202883784</x:v>
      </x:c>
      <x:c r="Y1743" s="80" t="n">
        <x:f>2*V1743</x:f>
        <x:v>366.37079634153395</x:v>
      </x:c>
      <x:c r="Z1743" s="80" t="n">
        <x:f>K1743*'Inputs'!$B$16+(G1743+R1743)*J1743*'Inputs'!$B$16</x:f>
        <x:v>0.6655275292738472</x:v>
      </x:c>
      <x:c r="AA1743" s="80" t="n">
        <x:f>K1743*(1+'Inputs'!$E$48)/2*'Inputs'!$B$17</x:f>
        <x:v>0.2219050576157992</x:v>
      </x:c>
      <x:c r="AB1743" s="78" t="n">
        <x:f>(IF(J1743&gt;0,K1743*(1-'Inputs'!$E$48)/2/J1743,0)+G1743+R1743)*'Inputs'!$B$17</x:f>
        <x:v>75414.79476669704</x:v>
      </x:c>
      <x:c r="AC1743" s="78" t="n">
        <x:f>AC1742+AB1743</x:f>
        <x:v>10737608.698255379</x:v>
      </x:c>
      <x:c r="AD1743" s="80" t="n">
        <x:f>Z1743/(1+'Inputs'!$C$48)</x:f>
        <x:v>0.5324220234190777</x:v>
      </x:c>
      <x:c r="AE1743" s="80" t="n">
        <x:f>Z1743-AD1743</x:f>
        <x:v>0.13310550585476943</x:v>
      </x:c>
      <x:c r="AF1743" s="80" t="n">
        <x:f>D1743*W1743</x:f>
        <x:v>0.7868730812178648</x:v>
      </x:c>
      <x:c r="AG1743" s="80" t="n">
        <x:f>C1743*W1743</x:f>
        <x:v>0.4590092973770511</x:v>
      </x:c>
      <x:c r="AH1743" s="80" t="n">
        <x:f>2*'Inputs'!$B$8*'Inputs'!$C$48</x:f>
        <x:v>1250</x:v>
      </x:c>
      <x:c r="AI1743" s="81" t="n">
        <x:f>IF(AH1743&gt;0,(AE1743+AF1743)/AH1743*365,0)</x:f>
        <x:v>0.2686337474252092</x:v>
      </x:c>
      <x:c r="AJ1743" s="81" t="n">
        <x:f>IF('Inputs'!$B$48&gt;0,AG1743/('Inputs'!$B$19*'Inputs'!$B$48)*365,0)</x:f>
        <x:v>0.06701535741704946</x:v>
      </x:c>
      <x:c r="AK1743" s="81" t="n">
        <x:f>W1743/MAX($W$1464:W1743)-1</x:f>
        <x:v>-0.9965237740897687</x:v>
      </x:c>
      <x:c r="AL1743" s="83" t="n">
        <x:f>'Inputs'!$B$48</x:f>
        <x:v>0.25</x:v>
      </x:c>
      <x:c r="AM1743" s="83" t="n">
        <x:f>'Inputs'!$C$48</x:f>
        <x:v>0.25</x:v>
      </x:c>
      <x:c r="AN1743" s="83" t="n">
        <x:f>'Inputs'!$D$48</x:f>
        <x:v>0.3</x:v>
      </x:c>
      <x:c r="AO1743" s="81" t="n">
        <x:f>'Inputs'!$E$48</x:f>
        <x:v>0</x:v>
      </x:c>
    </x:row>
    <x:row r="1744">
      <x:c r="A1744" s="59" t="str">
        <x:v>Low participation</x:v>
      </x:c>
      <x:c r="B1744" s="59" t="n">
        <x:v>281</x:v>
      </x:c>
      <x:c r="C1744" s="78" t="n">
        <x:f>(('Inputs'!$B$29*(3*281*'Inputs'!$B$12-281^2)/(2*'Inputs'!$B$12^2))-('Inputs'!$B$29*(3*280*'Inputs'!$B$12-280^2)/(2*'Inputs'!$B$12^2)))*'Inputs'!$B$48</x:f>
        <x:v>155198.3838431239</x:v>
      </x:c>
      <x:c r="D1744" s="78" t="n">
        <x:f>IF('Inputs'!$C$48&gt;0,('Inputs'!$B$30*(3*281*'Inputs'!$B$12-281^2)/(2*'Inputs'!$B$12^2))-('Inputs'!$B$30*(3*280*'Inputs'!$B$12-280^2)/(2*'Inputs'!$B$12^2)),0)</x:f>
        <x:v>266054.3723024875</x:v>
      </x:c>
      <x:c r="E1744" s="78" t="n">
        <x:f>C1744+D1744</x:f>
        <x:v>421252.7561456114</x:v>
      </x:c>
      <x:c r="F1744" s="78" t="n">
        <x:f>'Inputs'!$B$13*E1744+(1-'Inputs'!$B$13)/'Inputs'!$B$14*SUM(E1689:E1744)</x:f>
        <x:v>426106.15265528095</x:v>
      </x:c>
      <x:c r="G1744" s="78" t="n">
        <x:f>F1744*'Inputs'!$F$48</x:f>
        <x:v>213053.07632764048</x:v>
      </x:c>
      <x:c r="H1744" s="78" t="n">
        <x:f>U1743</x:f>
        <x:v>61970349.309570126</x:v>
      </x:c>
      <x:c r="I1744" s="78" t="n">
        <x:f>V1743</x:f>
        <x:v>183.18539817076697</x:v>
      </x:c>
      <x:c r="J1744" s="79" t="n">
        <x:f>IF(H1744&gt;0,I1744/H1744,0)</x:f>
        <x:v>0.0000029560168727736625</x:v>
      </x:c>
      <x:c r="K1744" s="80" t="n">
        <x:f>(H1744*J1744+I1744)*'Inputs'!$D$48*(1+'Inputs'!$G$48)^(B1744/30)</x:f>
        <x:v>109.91123890246018</x:v>
      </x:c>
      <x:c r="L1744" s="80" t="n">
        <x:f>MAX(0,K1744*'Inputs'!$E$48)</x:f>
        <x:v>0</x:v>
      </x:c>
      <x:c r="M1744" s="80" t="n">
        <x:f>MAX(0,-K1744*'Inputs'!$E$48)</x:f>
        <x:v>0</x:v>
      </x:c>
      <x:c r="N1744" s="78" t="n">
        <x:f>H1744*(L1744*(1-'Inputs'!$B$15))/(I1744+L1744*(1-'Inputs'!$B$15))</x:f>
        <x:v>0</x:v>
      </x:c>
      <x:c r="O1744" s="78" t="n">
        <x:f>H1744-N1744</x:f>
        <x:v>61970349.309570126</x:v>
      </x:c>
      <x:c r="P1744" s="78" t="n">
        <x:f>I1744+L1744*(1-'Inputs'!$B$17)</x:f>
        <x:v>183.18539817076697</x:v>
      </x:c>
      <x:c r="Q1744" s="78" t="n">
        <x:f>IF(J1744&gt;0,M1744/J1744,0)</x:f>
        <x:v>0</x:v>
      </x:c>
      <x:c r="R1744" s="78" t="n">
        <x:f>IF(B1744='Inputs'!$H$48,'Inputs'!$B$27*'Inputs'!$I$48,0)</x:f>
        <x:v>0</x:v>
      </x:c>
      <x:c r="S1744" s="78" t="n">
        <x:f>Q1744+G1744+R1744</x:f>
        <x:v>213053.07632764048</x:v>
      </x:c>
      <x:c r="T1744" s="78" t="n">
        <x:f>P1744*(S1744*(1-'Inputs'!$B$15))/(O1744+S1744*(1-'Inputs'!$B$15))</x:f>
        <x:v>0.6213756865960489</x:v>
      </x:c>
      <x:c r="U1744" s="78" t="n">
        <x:f>O1744+S1744*(1-'Inputs'!$B$17)</x:f>
        <x:v>62182545.02945379</x:v>
      </x:c>
      <x:c r="V1744" s="78" t="n">
        <x:f>P1744-T1744</x:f>
        <x:v>182.56402248417092</x:v>
      </x:c>
      <x:c r="W1744" s="79" t="n">
        <x:f>IF(U1744&gt;0,V1744/U1744,0)</x:f>
        <x:v>0.0000029359368034501717</x:v>
      </x:c>
      <x:c r="X1744" s="80" t="n">
        <x:f>W1744*('Inputs'!$B$6-AC1744)</x:f>
        <x:v>2904.1896986297597</x:v>
      </x:c>
      <x:c r="Y1744" s="80" t="n">
        <x:f>2*V1744</x:f>
        <x:v>365.12804496834184</x:v>
      </x:c>
      <x:c r="Z1744" s="80" t="n">
        <x:f>K1744*'Inputs'!$B$16+(G1744+R1744)*J1744*'Inputs'!$B$16</x:f>
        <x:v>0.6632461643452862</x:v>
      </x:c>
      <x:c r="AA1744" s="80" t="n">
        <x:f>K1744*(1+'Inputs'!$E$48)/2*'Inputs'!$B$17</x:f>
        <x:v>0.22114937404921567</x:v>
      </x:c>
      <x:c r="AB1744" s="78" t="n">
        <x:f>(IF(J1744&gt;0,K1744*(1-'Inputs'!$E$48)/2/J1744,0)+G1744+R1744)*'Inputs'!$B$17</x:f>
        <x:v>75670.65540925022</x:v>
      </x:c>
      <x:c r="AC1744" s="78" t="n">
        <x:f>AC1743+AB1744</x:f>
        <x:v>10813279.35366463</x:v>
      </x:c>
      <x:c r="AD1744" s="80" t="n">
        <x:f>Z1744/(1+'Inputs'!$C$48)</x:f>
        <x:v>0.5305969314762289</x:v>
      </x:c>
      <x:c r="AE1744" s="80" t="n">
        <x:f>Z1744-AD1744</x:f>
        <x:v>0.13264923286905728</x:v>
      </x:c>
      <x:c r="AF1744" s="80" t="n">
        <x:f>D1744*W1744</x:f>
        <x:v>0.781118823361707</x:v>
      </x:c>
      <x:c r="AG1744" s="80" t="n">
        <x:f>C1744*W1744</x:f>
        <x:v>0.455652646961014</x:v>
      </x:c>
      <x:c r="AH1744" s="80" t="n">
        <x:f>2*'Inputs'!$B$8*'Inputs'!$C$48</x:f>
        <x:v>1250</x:v>
      </x:c>
      <x:c r="AI1744" s="81" t="n">
        <x:f>IF(AH1744&gt;0,(AE1744+AF1744)/AH1744*365,0)</x:f>
        <x:v>0.26682027241938316</x:v>
      </x:c>
      <x:c r="AJ1744" s="81" t="n">
        <x:f>IF('Inputs'!$B$48&gt;0,AG1744/('Inputs'!$B$19*'Inputs'!$B$48)*365,0)</x:f>
        <x:v>0.06652528645630804</x:v>
      </x:c>
      <x:c r="AK1744" s="81" t="n">
        <x:f>W1744/MAX($W$1464:W1744)-1</x:f>
        <x:v>-0.9965473879121066</x:v>
      </x:c>
      <x:c r="AL1744" s="83" t="n">
        <x:f>'Inputs'!$B$48</x:f>
        <x:v>0.25</x:v>
      </x:c>
      <x:c r="AM1744" s="83" t="n">
        <x:f>'Inputs'!$C$48</x:f>
        <x:v>0.25</x:v>
      </x:c>
      <x:c r="AN1744" s="83" t="n">
        <x:f>'Inputs'!$D$48</x:f>
        <x:v>0.3</x:v>
      </x:c>
      <x:c r="AO1744" s="81" t="n">
        <x:f>'Inputs'!$E$48</x:f>
        <x:v>0</x:v>
      </x:c>
    </x:row>
    <x:row r="1745">
      <x:c r="A1745" s="59" t="str">
        <x:v>Low participation</x:v>
      </x:c>
      <x:c r="B1745" s="59" t="n">
        <x:v>282</x:v>
      </x:c>
      <x:c r="C1745" s="78" t="n">
        <x:f>(('Inputs'!$B$29*(3*282*'Inputs'!$B$12-282^2)/(2*'Inputs'!$B$12^2))-('Inputs'!$B$29*(3*281*'Inputs'!$B$12-281^2)/(2*'Inputs'!$B$12^2)))*'Inputs'!$B$48</x:f>
        <x:v>155117.1068680808</x:v>
      </x:c>
      <x:c r="D1745" s="78" t="n">
        <x:f>IF('Inputs'!$C$48&gt;0,('Inputs'!$B$30*(3*282*'Inputs'!$B$12-282^2)/(2*'Inputs'!$B$12^2))-('Inputs'!$B$30*(3*281*'Inputs'!$B$12-281^2)/(2*'Inputs'!$B$12^2)),0)</x:f>
        <x:v>265915.04034528136</x:v>
      </x:c>
      <x:c r="E1745" s="78" t="n">
        <x:f>C1745+D1745</x:f>
        <x:v>421032.14721336216</x:v>
      </x:c>
      <x:c r="F1745" s="78" t="n">
        <x:f>'Inputs'!$B$13*E1745+(1-'Inputs'!$B$13)/'Inputs'!$B$14*SUM(E1690:E1745)</x:f>
        <x:v>425885.54372302524</x:v>
      </x:c>
      <x:c r="G1745" s="78" t="n">
        <x:f>F1745*'Inputs'!$F$48</x:f>
        <x:v>212942.77186151262</x:v>
      </x:c>
      <x:c r="H1745" s="78" t="n">
        <x:f>U1744</x:f>
        <x:v>62182545.02945379</x:v>
      </x:c>
      <x:c r="I1745" s="78" t="n">
        <x:f>V1744</x:f>
        <x:v>182.56402248417092</x:v>
      </x:c>
      <x:c r="J1745" s="79" t="n">
        <x:f>IF(H1745&gt;0,I1745/H1745,0)</x:f>
        <x:v>0.0000029359368034501717</x:v>
      </x:c>
      <x:c r="K1745" s="80" t="n">
        <x:f>(H1745*J1745+I1745)*'Inputs'!$D$48*(1+'Inputs'!$G$48)^(B1745/30)</x:f>
        <x:v>109.53841349050255</x:v>
      </x:c>
      <x:c r="L1745" s="80" t="n">
        <x:f>MAX(0,K1745*'Inputs'!$E$48)</x:f>
        <x:v>0</x:v>
      </x:c>
      <x:c r="M1745" s="80" t="n">
        <x:f>MAX(0,-K1745*'Inputs'!$E$48)</x:f>
        <x:v>0</x:v>
      </x:c>
      <x:c r="N1745" s="78" t="n">
        <x:f>H1745*(L1745*(1-'Inputs'!$B$15))/(I1745+L1745*(1-'Inputs'!$B$15))</x:f>
        <x:v>0</x:v>
      </x:c>
      <x:c r="O1745" s="78" t="n">
        <x:f>H1745-N1745</x:f>
        <x:v>62182545.02945379</x:v>
      </x:c>
      <x:c r="P1745" s="78" t="n">
        <x:f>I1745+L1745*(1-'Inputs'!$B$17)</x:f>
        <x:v>182.56402248417092</x:v>
      </x:c>
      <x:c r="Q1745" s="78" t="n">
        <x:f>IF(J1745&gt;0,M1745/J1745,0)</x:f>
        <x:v>0</x:v>
      </x:c>
      <x:c r="R1745" s="78" t="n">
        <x:f>IF(B1745='Inputs'!$H$48,'Inputs'!$B$27*'Inputs'!$I$48,0)</x:f>
        <x:v>0</x:v>
      </x:c>
      <x:c r="S1745" s="78" t="n">
        <x:f>Q1745+G1745+R1745</x:f>
        <x:v>212942.77186151262</x:v>
      </x:c>
      <x:c r="T1745" s="78" t="n">
        <x:f>P1745*(S1745*(1-'Inputs'!$B$15))/(O1745+S1745*(1-'Inputs'!$B$15))</x:f>
        <x:v>0.6168434125570953</x:v>
      </x:c>
      <x:c r="U1745" s="78" t="n">
        <x:f>O1745+S1745*(1-'Inputs'!$B$17)</x:f>
        <x:v>62394630.88875248</x:v>
      </x:c>
      <x:c r="V1745" s="78" t="n">
        <x:f>P1745-T1745</x:f>
        <x:v>181.94717907161382</x:v>
      </x:c>
      <x:c r="W1745" s="79" t="n">
        <x:f>IF(U1745&gt;0,V1745/U1745,0)</x:f>
        <x:v>0.0000029160710862448966</x:v>
      </x:c>
      <x:c r="X1745" s="80" t="n">
        <x:f>W1745*('Inputs'!$B$6-AC1745)</x:f>
        <x:v>2884.3173882428023</x:v>
      </x:c>
      <x:c r="Y1745" s="80" t="n">
        <x:f>2*V1745</x:f>
        <x:v>363.89435814322763</x:v>
      </x:c>
      <x:c r="Z1745" s="80" t="n">
        <x:f>K1745*'Inputs'!$B$16+(G1745+R1745)*J1745*'Inputs'!$B$16</x:f>
        <x:v>0.6609816000686367</x:v>
      </x:c>
      <x:c r="AA1745" s="80" t="n">
        <x:f>K1745*(1+'Inputs'!$E$48)/2*'Inputs'!$B$17</x:f>
        <x:v>0.22039922231489448</x:v>
      </x:c>
      <x:c r="AB1745" s="78" t="n">
        <x:f>(IF(J1745&gt;0,K1745*(1-'Inputs'!$E$48)/2/J1745,0)+G1745+R1745)*'Inputs'!$B$17</x:f>
        <x:v>75926.38342333058</x:v>
      </x:c>
      <x:c r="AC1745" s="78" t="n">
        <x:f>AC1744+AB1745</x:f>
        <x:v>10889205.73708796</x:v>
      </x:c>
      <x:c r="AD1745" s="80" t="n">
        <x:f>Z1745/(1+'Inputs'!$C$48)</x:f>
        <x:v>0.5287852800549093</x:v>
      </x:c>
      <x:c r="AE1745" s="80" t="n">
        <x:f>Z1745-AD1745</x:f>
        <x:v>0.1321963200137274</x:v>
      </x:c>
      <x:c r="AF1745" s="80" t="n">
        <x:f>D1745*W1745</x:f>
        <x:v>0.7754271605485201</x:v>
      </x:c>
      <x:c r="AG1745" s="80" t="n">
        <x:f>C1745*W1745</x:f>
        <x:v>0.45233251031997007</x:v>
      </x:c>
      <x:c r="AH1745" s="80" t="n">
        <x:f>2*'Inputs'!$B$8*'Inputs'!$C$48</x:f>
        <x:v>1250</x:v>
      </x:c>
      <x:c r="AI1745" s="81" t="n">
        <x:f>IF(AH1745&gt;0,(AE1745+AF1745)/AH1745*365,0)</x:f>
        <x:v>0.26502605632417625</x:v>
      </x:c>
      <x:c r="AJ1745" s="81" t="n">
        <x:f>IF('Inputs'!$B$48&gt;0,AG1745/('Inputs'!$B$19*'Inputs'!$B$48)*365,0)</x:f>
        <x:v>0.06604054650671563</x:v>
      </x:c>
      <x:c r="AK1745" s="81" t="n">
        <x:f>W1745/MAX($W$1464:W1745)-1</x:f>
        <x:v>-0.9965707496599743</x:v>
      </x:c>
      <x:c r="AL1745" s="83" t="n">
        <x:f>'Inputs'!$B$48</x:f>
        <x:v>0.25</x:v>
      </x:c>
      <x:c r="AM1745" s="83" t="n">
        <x:f>'Inputs'!$C$48</x:f>
        <x:v>0.25</x:v>
      </x:c>
      <x:c r="AN1745" s="83" t="n">
        <x:f>'Inputs'!$D$48</x:f>
        <x:v>0.3</x:v>
      </x:c>
      <x:c r="AO1745" s="81" t="n">
        <x:f>'Inputs'!$E$48</x:f>
        <x:v>0</x:v>
      </x:c>
    </x:row>
    <x:row r="1746">
      <x:c r="A1746" s="59" t="str">
        <x:v>Low participation</x:v>
      </x:c>
      <x:c r="B1746" s="59" t="n">
        <x:v>283</x:v>
      </x:c>
      <x:c r="C1746" s="78" t="n">
        <x:f>(('Inputs'!$B$29*(3*283*'Inputs'!$B$12-283^2)/(2*'Inputs'!$B$12^2))-('Inputs'!$B$29*(3*282*'Inputs'!$B$12-282^2)/(2*'Inputs'!$B$12^2)))*'Inputs'!$B$48</x:f>
        <x:v>155035.82989303768</x:v>
      </x:c>
      <x:c r="D1746" s="78" t="n">
        <x:f>IF('Inputs'!$C$48&gt;0,('Inputs'!$B$30*(3*283*'Inputs'!$B$12-283^2)/(2*'Inputs'!$B$12^2))-('Inputs'!$B$30*(3*282*'Inputs'!$B$12-282^2)/(2*'Inputs'!$B$12^2)),0)</x:f>
        <x:v>265775.70838807523</x:v>
      </x:c>
      <x:c r="E1746" s="78" t="n">
        <x:f>C1746+D1746</x:f>
        <x:v>420811.5382811129</x:v>
      </x:c>
      <x:c r="F1746" s="78" t="n">
        <x:f>'Inputs'!$B$13*E1746+(1-'Inputs'!$B$13)/'Inputs'!$B$14*SUM(E1691:E1746)</x:f>
        <x:v>425664.9347907696</x:v>
      </x:c>
      <x:c r="G1746" s="78" t="n">
        <x:f>F1746*'Inputs'!$F$48</x:f>
        <x:v>212832.4673953848</x:v>
      </x:c>
      <x:c r="H1746" s="78" t="n">
        <x:f>U1745</x:f>
        <x:v>62394630.88875248</x:v>
      </x:c>
      <x:c r="I1746" s="78" t="n">
        <x:f>V1745</x:f>
        <x:v>181.94717907161382</x:v>
      </x:c>
      <x:c r="J1746" s="79" t="n">
        <x:f>IF(H1746&gt;0,I1746/H1746,0)</x:f>
        <x:v>0.0000029160710862448966</x:v>
      </x:c>
      <x:c r="K1746" s="80" t="n">
        <x:f>(H1746*J1746+I1746)*'Inputs'!$D$48*(1+'Inputs'!$G$48)^(B1746/30)</x:f>
        <x:v>109.16830744296828</x:v>
      </x:c>
      <x:c r="L1746" s="80" t="n">
        <x:f>MAX(0,K1746*'Inputs'!$E$48)</x:f>
        <x:v>0</x:v>
      </x:c>
      <x:c r="M1746" s="80" t="n">
        <x:f>MAX(0,-K1746*'Inputs'!$E$48)</x:f>
        <x:v>0</x:v>
      </x:c>
      <x:c r="N1746" s="78" t="n">
        <x:f>H1746*(L1746*(1-'Inputs'!$B$15))/(I1746+L1746*(1-'Inputs'!$B$15))</x:f>
        <x:v>0</x:v>
      </x:c>
      <x:c r="O1746" s="78" t="n">
        <x:f>H1746-N1746</x:f>
        <x:v>62394630.88875248</x:v>
      </x:c>
      <x:c r="P1746" s="78" t="n">
        <x:f>I1746+L1746*(1-'Inputs'!$B$17)</x:f>
        <x:v>181.94717907161382</x:v>
      </x:c>
      <x:c r="Q1746" s="78" t="n">
        <x:f>IF(J1746&gt;0,M1746/J1746,0)</x:f>
        <x:v>0</x:v>
      </x:c>
      <x:c r="R1746" s="78" t="n">
        <x:f>IF(B1746='Inputs'!$H$48,'Inputs'!$B$27*'Inputs'!$I$48,0)</x:f>
        <x:v>0</x:v>
      </x:c>
      <x:c r="S1746" s="78" t="n">
        <x:f>Q1746+G1746+R1746</x:f>
        <x:v>212832.4673953848</x:v>
      </x:c>
      <x:c r="T1746" s="78" t="n">
        <x:f>P1746*(S1746*(1-'Inputs'!$B$15))/(O1746+S1746*(1-'Inputs'!$B$15))</x:f>
        <x:v>0.6123603422550762</x:v>
      </x:c>
      <x:c r="U1746" s="78" t="n">
        <x:f>O1746+S1746*(1-'Inputs'!$B$17)</x:f>
        <x:v>62606606.8874662</x:v>
      </x:c>
      <x:c r="V1746" s="78" t="n">
        <x:f>P1746-T1746</x:f>
        <x:v>181.33481872935874</x:v>
      </x:c>
      <x:c r="W1746" s="79" t="n">
        <x:f>IF(U1746&gt;0,V1746/U1746,0)</x:f>
        <x:v>0.0000028964166522441235</x:v>
      </x:c>
      <x:c r="X1746" s="80" t="n">
        <x:f>W1746*('Inputs'!$B$6-AC1746)</x:f>
        <x:v>2864.656320665487</x:v>
      </x:c>
      <x:c r="Y1746" s="80" t="n">
        <x:f>2*V1746</x:f>
        <x:v>362.6696374587175</x:v>
      </x:c>
      <x:c r="Z1746" s="80" t="n">
        <x:f>K1746*'Inputs'!$B$16+(G1746+R1746)*J1746*'Inputs'!$B$16</x:f>
        <x:v>0.6587336522841248</x:v>
      </x:c>
      <x:c r="AA1746" s="80" t="n">
        <x:f>K1746*(1+'Inputs'!$E$48)/2*'Inputs'!$B$17</x:f>
        <x:v>0.2196545421387692</x:v>
      </x:c>
      <x:c r="AB1746" s="78" t="n">
        <x:f>(IF(J1746&gt;0,K1746*(1-'Inputs'!$E$48)/2/J1746,0)+G1746+R1746)*'Inputs'!$B$17</x:f>
        <x:v>76181.97880893815</x:v>
      </x:c>
      <x:c r="AC1746" s="78" t="n">
        <x:f>AC1745+AB1746</x:f>
        <x:v>10965387.715896897</x:v>
      </x:c>
      <x:c r="AD1746" s="80" t="n">
        <x:f>Z1746/(1+'Inputs'!$C$48)</x:f>
        <x:v>0.5269869218272999</x:v>
      </x:c>
      <x:c r="AE1746" s="80" t="n">
        <x:f>Z1746-AD1746</x:f>
        <x:v>0.13174673045682495</x:v>
      </x:c>
      <x:c r="AF1746" s="80" t="n">
        <x:f>D1746*W1746</x:f>
        <x:v>0.7697971875371993</x:v>
      </x:c>
      <x:c r="AG1746" s="80" t="n">
        <x:f>C1746*W1746</x:f>
        <x:v>0.4490483593966816</x:v>
      </x:c>
      <x:c r="AH1746" s="80" t="n">
        <x:f>2*'Inputs'!$B$8*'Inputs'!$C$48</x:f>
        <x:v>1250</x:v>
      </x:c>
      <x:c r="AI1746" s="81" t="n">
        <x:f>IF(AH1746&gt;0,(AE1746+AF1746)/AH1746*365,0)</x:f>
        <x:v>0.2632508240542551</x:v>
      </x:c>
      <x:c r="AJ1746" s="81" t="n">
        <x:f>IF('Inputs'!$B$48&gt;0,AG1746/('Inputs'!$B$19*'Inputs'!$B$48)*365,0)</x:f>
        <x:v>0.06556106047191551</x:v>
      </x:c>
      <x:c r="AK1746" s="81" t="n">
        <x:f>W1746/MAX($W$1464:W1746)-1</x:f>
        <x:v>-0.9965938629423624</x:v>
      </x:c>
      <x:c r="AL1746" s="83" t="n">
        <x:f>'Inputs'!$B$48</x:f>
        <x:v>0.25</x:v>
      </x:c>
      <x:c r="AM1746" s="83" t="n">
        <x:f>'Inputs'!$C$48</x:f>
        <x:v>0.25</x:v>
      </x:c>
      <x:c r="AN1746" s="83" t="n">
        <x:f>'Inputs'!$D$48</x:f>
        <x:v>0.3</x:v>
      </x:c>
      <x:c r="AO1746" s="81" t="n">
        <x:f>'Inputs'!$E$48</x:f>
        <x:v>0</x:v>
      </x:c>
    </x:row>
    <x:row r="1747">
      <x:c r="A1747" s="59" t="str">
        <x:v>Low participation</x:v>
      </x:c>
      <x:c r="B1747" s="59" t="n">
        <x:v>284</x:v>
      </x:c>
      <x:c r="C1747" s="78" t="n">
        <x:f>(('Inputs'!$B$29*(3*284*'Inputs'!$B$12-284^2)/(2*'Inputs'!$B$12^2))-('Inputs'!$B$29*(3*283*'Inputs'!$B$12-283^2)/(2*'Inputs'!$B$12^2)))*'Inputs'!$B$48</x:f>
        <x:v>154954.55291799456</x:v>
      </x:c>
      <x:c r="D1747" s="78" t="n">
        <x:f>IF('Inputs'!$C$48&gt;0,('Inputs'!$B$30*(3*284*'Inputs'!$B$12-284^2)/(2*'Inputs'!$B$12^2))-('Inputs'!$B$30*(3*283*'Inputs'!$B$12-283^2)/(2*'Inputs'!$B$12^2)),0)</x:f>
        <x:v>265636.3764308393</x:v>
      </x:c>
      <x:c r="E1747" s="78" t="n">
        <x:f>C1747+D1747</x:f>
        <x:v>420590.92934883386</x:v>
      </x:c>
      <x:c r="F1747" s="78" t="n">
        <x:f>'Inputs'!$B$13*E1747+(1-'Inputs'!$B$13)/'Inputs'!$B$14*SUM(E1692:E1747)</x:f>
        <x:v>425444.32585850754</x:v>
      </x:c>
      <x:c r="G1747" s="78" t="n">
        <x:f>F1747*'Inputs'!$F$48</x:f>
        <x:v>212722.16292925377</x:v>
      </x:c>
      <x:c r="H1747" s="78" t="n">
        <x:f>U1746</x:f>
        <x:v>62606606.8874662</x:v>
      </x:c>
      <x:c r="I1747" s="78" t="n">
        <x:f>V1746</x:f>
        <x:v>181.33481872935874</x:v>
      </x:c>
      <x:c r="J1747" s="79" t="n">
        <x:f>IF(H1747&gt;0,I1747/H1747,0)</x:f>
        <x:v>0.0000028964166522441235</x:v>
      </x:c>
      <x:c r="K1747" s="80" t="n">
        <x:f>(H1747*J1747+I1747)*'Inputs'!$D$48*(1+'Inputs'!$G$48)^(B1747/30)</x:f>
        <x:v>108.80089123761525</x:v>
      </x:c>
      <x:c r="L1747" s="80" t="n">
        <x:f>MAX(0,K1747*'Inputs'!$E$48)</x:f>
        <x:v>0</x:v>
      </x:c>
      <x:c r="M1747" s="80" t="n">
        <x:f>MAX(0,-K1747*'Inputs'!$E$48)</x:f>
        <x:v>0</x:v>
      </x:c>
      <x:c r="N1747" s="78" t="n">
        <x:f>H1747*(L1747*(1-'Inputs'!$B$15))/(I1747+L1747*(1-'Inputs'!$B$15))</x:f>
        <x:v>0</x:v>
      </x:c>
      <x:c r="O1747" s="78" t="n">
        <x:f>H1747-N1747</x:f>
        <x:v>62606606.8874662</x:v>
      </x:c>
      <x:c r="P1747" s="78" t="n">
        <x:f>I1747+L1747*(1-'Inputs'!$B$17)</x:f>
        <x:v>181.33481872935874</x:v>
      </x:c>
      <x:c r="Q1747" s="78" t="n">
        <x:f>IF(J1747&gt;0,M1747/J1747,0)</x:f>
        <x:v>0</x:v>
      </x:c>
      <x:c r="R1747" s="78" t="n">
        <x:f>IF(B1747='Inputs'!$H$48,'Inputs'!$B$27*'Inputs'!$I$48,0)</x:f>
        <x:v>0</x:v>
      </x:c>
      <x:c r="S1747" s="78" t="n">
        <x:f>Q1747+G1747+R1747</x:f>
        <x:v>212722.16292925377</x:v>
      </x:c>
      <x:c r="T1747" s="78" t="n">
        <x:f>P1747*(S1747*(1-'Inputs'!$B$15))/(O1747+S1747*(1-'Inputs'!$B$15))</x:f>
        <x:v>0.6079257654622356</x:v>
      </x:c>
      <x:c r="U1747" s="78" t="n">
        <x:f>O1747+S1747*(1-'Inputs'!$B$17)</x:f>
        <x:v>62818473.025594935</x:v>
      </x:c>
      <x:c r="V1747" s="78" t="n">
        <x:f>P1747-T1747</x:f>
        <x:v>180.72689296389652</x:v>
      </x:c>
      <x:c r="W1747" s="79" t="n">
        <x:f>IF(U1747&gt;0,V1747/U1747,0)</x:f>
        <x:v>0.000002876970487491166</x:v>
      </x:c>
      <x:c r="X1747" s="80" t="n">
        <x:f>W1747*('Inputs'!$B$6-AC1747)</x:f>
        <x:v>2845.2034823851077</x:v>
      </x:c>
      <x:c r="Y1747" s="80" t="n">
        <x:f>2*V1747</x:f>
        <x:v>361.45378592779304</x:v>
      </x:c>
      <x:c r="Z1747" s="80" t="n">
        <x:f>K1747*'Inputs'!$B$16+(G1747+R1747)*J1747*'Inputs'!$B$16</x:f>
        <x:v>0.6565021395157495</x:v>
      </x:c>
      <x:c r="AA1747" s="80" t="n">
        <x:f>K1747*(1+'Inputs'!$E$48)/2*'Inputs'!$B$17</x:f>
        <x:v>0.2189152741199502</x:v>
      </x:c>
      <x:c r="AB1747" s="78" t="n">
        <x:f>(IF(J1747&gt;0,K1747*(1-'Inputs'!$E$48)/2/J1747,0)+G1747+R1747)*'Inputs'!$B$17</x:f>
        <x:v>76437.4415660729</x:v>
      </x:c>
      <x:c r="AC1747" s="78" t="n">
        <x:f>AC1746+AB1747</x:f>
        <x:v>11041825.15746297</x:v>
      </x:c>
      <x:c r="AD1747" s="80" t="n">
        <x:f>Z1747/(1+'Inputs'!$C$48)</x:f>
        <x:v>0.5252017116125997</x:v>
      </x:c>
      <x:c r="AE1747" s="80" t="n">
        <x:f>Z1747-AD1747</x:f>
        <x:v>0.13130042790314989</x:v>
      </x:c>
      <x:c r="AF1747" s="80" t="n">
        <x:f>D1747*W1747</x:f>
        <x:v>0.7642280153956186</x:v>
      </x:c>
      <x:c r="AG1747" s="80" t="n">
        <x:f>C1747*W1747</x:f>
        <x:v>0.4457996756474585</x:v>
      </x:c>
      <x:c r="AH1747" s="80" t="n">
        <x:f>2*'Inputs'!$B$8*'Inputs'!$C$48</x:f>
        <x:v>1250</x:v>
      </x:c>
      <x:c r="AI1747" s="81" t="n">
        <x:f>IF(AH1747&gt;0,(AE1747+AF1747)/AH1747*365,0)</x:f>
        <x:v>0.26149430544324037</x:v>
      </x:c>
      <x:c r="AJ1747" s="81" t="n">
        <x:f>IF('Inputs'!$B$48&gt;0,AG1747/('Inputs'!$B$19*'Inputs'!$B$48)*365,0)</x:f>
        <x:v>0.06508675264452894</x:v>
      </x:c>
      <x:c r="AK1747" s="81" t="n">
        <x:f>W1747/MAX($W$1464:W1747)-1</x:f>
        <x:v>-0.996616731303633</x:v>
      </x:c>
      <x:c r="AL1747" s="83" t="n">
        <x:f>'Inputs'!$B$48</x:f>
        <x:v>0.25</x:v>
      </x:c>
      <x:c r="AM1747" s="83" t="n">
        <x:f>'Inputs'!$C$48</x:f>
        <x:v>0.25</x:v>
      </x:c>
      <x:c r="AN1747" s="83" t="n">
        <x:f>'Inputs'!$D$48</x:f>
        <x:v>0.3</x:v>
      </x:c>
      <x:c r="AO1747" s="81" t="n">
        <x:f>'Inputs'!$E$48</x:f>
        <x:v>0</x:v>
      </x:c>
    </x:row>
    <x:row r="1748">
      <x:c r="A1748" s="59" t="str">
        <x:v>Low participation</x:v>
      </x:c>
      <x:c r="B1748" s="59" t="n">
        <x:v>285</x:v>
      </x:c>
      <x:c r="C1748" s="78" t="n">
        <x:f>(('Inputs'!$B$29*(3*285*'Inputs'!$B$12-285^2)/(2*'Inputs'!$B$12^2))-('Inputs'!$B$29*(3*284*'Inputs'!$B$12-284^2)/(2*'Inputs'!$B$12^2)))*'Inputs'!$B$48</x:f>
        <x:v>154873.2759429589</x:v>
      </x:c>
      <x:c r="D1748" s="78" t="n">
        <x:f>IF('Inputs'!$C$48&gt;0,('Inputs'!$B$30*(3*285*'Inputs'!$B$12-285^2)/(2*'Inputs'!$B$12^2))-('Inputs'!$B$30*(3*284*'Inputs'!$B$12-284^2)/(2*'Inputs'!$B$12^2)),0)</x:f>
        <x:v>265497.04447363317</x:v>
      </x:c>
      <x:c r="E1748" s="78" t="n">
        <x:f>C1748+D1748</x:f>
        <x:v>420370.32041659206</x:v>
      </x:c>
      <x:c r="F1748" s="78" t="n">
        <x:f>'Inputs'!$B$13*E1748+(1-'Inputs'!$B$13)/'Inputs'!$B$14*SUM(E1693:E1748)</x:f>
        <x:v>425223.7169262533</x:v>
      </x:c>
      <x:c r="G1748" s="78" t="n">
        <x:f>F1748*'Inputs'!$F$48</x:f>
        <x:v>212611.85846312664</x:v>
      </x:c>
      <x:c r="H1748" s="78" t="n">
        <x:f>U1747</x:f>
        <x:v>62818473.025594935</x:v>
      </x:c>
      <x:c r="I1748" s="78" t="n">
        <x:f>V1747</x:f>
        <x:v>180.72689296389652</x:v>
      </x:c>
      <x:c r="J1748" s="79" t="n">
        <x:f>IF(H1748&gt;0,I1748/H1748,0)</x:f>
        <x:v>0.000002876970487491166</x:v>
      </x:c>
      <x:c r="K1748" s="80" t="n">
        <x:f>(H1748*J1748+I1748)*'Inputs'!$D$48*(1+'Inputs'!$G$48)^(B1748/30)</x:f>
        <x:v>108.43613577833791</x:v>
      </x:c>
      <x:c r="L1748" s="80" t="n">
        <x:f>MAX(0,K1748*'Inputs'!$E$48)</x:f>
        <x:v>0</x:v>
      </x:c>
      <x:c r="M1748" s="80" t="n">
        <x:f>MAX(0,-K1748*'Inputs'!$E$48)</x:f>
        <x:v>0</x:v>
      </x:c>
      <x:c r="N1748" s="78" t="n">
        <x:f>H1748*(L1748*(1-'Inputs'!$B$15))/(I1748+L1748*(1-'Inputs'!$B$15))</x:f>
        <x:v>0</x:v>
      </x:c>
      <x:c r="O1748" s="78" t="n">
        <x:f>H1748-N1748</x:f>
        <x:v>62818473.025594935</x:v>
      </x:c>
      <x:c r="P1748" s="78" t="n">
        <x:f>I1748+L1748*(1-'Inputs'!$B$17)</x:f>
        <x:v>180.72689296389652</x:v>
      </x:c>
      <x:c r="Q1748" s="78" t="n">
        <x:f>IF(J1748&gt;0,M1748/J1748,0)</x:f>
        <x:v>0</x:v>
      </x:c>
      <x:c r="R1748" s="78" t="n">
        <x:f>IF(B1748='Inputs'!$H$48,'Inputs'!$B$27*'Inputs'!$I$48,0)</x:f>
        <x:v>0</x:v>
      </x:c>
      <x:c r="S1748" s="78" t="n">
        <x:f>Q1748+G1748+R1748</x:f>
        <x:v>212611.85846312664</x:v>
      </x:c>
      <x:c r="T1748" s="78" t="n">
        <x:f>P1748*(S1748*(1-'Inputs'!$B$15))/(O1748+S1748*(1-'Inputs'!$B$15))</x:f>
        <x:v>0.6035389847227736</x:v>
      </x:c>
      <x:c r="U1748" s="78" t="n">
        <x:f>O1748+S1748*(1-'Inputs'!$B$17)</x:f>
        <x:v>63030229.303138696</x:v>
      </x:c>
      <x:c r="V1748" s="78" t="n">
        <x:f>P1748-T1748</x:f>
        <x:v>180.12335397917374</x:v>
      </x:c>
      <x:c r="W1748" s="79" t="n">
        <x:f>IF(U1748&gt;0,V1748/U1748,0)</x:f>
        <x:v>0.00000285772963180707</x:v>
      </x:c>
      <x:c r="X1748" s="80" t="n">
        <x:f>W1748*('Inputs'!$B$6-AC1748)</x:f>
        <x:v>2825.955913659138</x:v>
      </x:c>
      <x:c r="Y1748" s="80" t="n">
        <x:f>2*V1748</x:f>
        <x:v>360.2467079583475</x:v>
      </x:c>
      <x:c r="Z1748" s="80" t="n">
        <x:f>K1748*'Inputs'!$B$16+(G1748+R1748)*J1748*'Inputs'!$B$16</x:f>
        <x:v>0.6542868829225619</x:v>
      </x:c>
      <x:c r="AA1748" s="80" t="n">
        <x:f>K1748*(1+'Inputs'!$E$48)/2*'Inputs'!$B$17</x:f>
        <x:v>0.21818135971496563</x:v>
      </x:c>
      <x:c r="AB1748" s="78" t="n">
        <x:f>(IF(J1748&gt;0,K1748*(1-'Inputs'!$E$48)/2/J1748,0)+G1748+R1748)*'Inputs'!$B$17</x:f>
        <x:v>76692.77169473485</x:v>
      </x:c>
      <x:c r="AC1748" s="78" t="n">
        <x:f>AC1747+AB1748</x:f>
        <x:v>11118517.929157704</x:v>
      </x:c>
      <x:c r="AD1748" s="80" t="n">
        <x:f>Z1748/(1+'Inputs'!$C$48)</x:f>
        <x:v>0.5234295063380495</x:v>
      </x:c>
      <x:c r="AE1748" s="80" t="n">
        <x:f>Z1748-AD1748</x:f>
        <x:v>0.13085737658451235</x:v>
      </x:c>
      <x:c r="AF1748" s="80" t="n">
        <x:f>D1748*W1748</x:f>
        <x:v>0.758718771149501</x:v>
      </x:c>
      <x:c r="AG1748" s="80" t="n">
        <x:f>C1748*W1748</x:f>
        <x:v>0.4425859498372267</x:v>
      </x:c>
      <x:c r="AH1748" s="80" t="n">
        <x:f>2*'Inputs'!$B$8*'Inputs'!$C$48</x:f>
        <x:v>1250</x:v>
      </x:c>
      <x:c r="AI1748" s="81" t="n">
        <x:f>IF(AH1748&gt;0,(AE1748+AF1748)/AH1748*365,0)</x:f>
        <x:v>0.2597562351383319</x:v>
      </x:c>
      <x:c r="AJ1748" s="81" t="n">
        <x:f>IF('Inputs'!$B$48&gt;0,AG1748/('Inputs'!$B$19*'Inputs'!$B$48)*365,0)</x:f>
        <x:v>0.0646175486762351</x:v>
      </x:c>
      <x:c r="AK1748" s="81" t="n">
        <x:f>W1748/MAX($W$1464:W1748)-1</x:f>
        <x:v>-0.9966393582249068</x:v>
      </x:c>
      <x:c r="AL1748" s="83" t="n">
        <x:f>'Inputs'!$B$48</x:f>
        <x:v>0.25</x:v>
      </x:c>
      <x:c r="AM1748" s="83" t="n">
        <x:f>'Inputs'!$C$48</x:f>
        <x:v>0.25</x:v>
      </x:c>
      <x:c r="AN1748" s="83" t="n">
        <x:f>'Inputs'!$D$48</x:f>
        <x:v>0.3</x:v>
      </x:c>
      <x:c r="AO1748" s="81" t="n">
        <x:f>'Inputs'!$E$48</x:f>
        <x:v>0</x:v>
      </x:c>
    </x:row>
    <x:row r="1749">
      <x:c r="A1749" s="59" t="str">
        <x:v>Low participation</x:v>
      </x:c>
      <x:c r="B1749" s="59" t="n">
        <x:v>286</x:v>
      </x:c>
      <x:c r="C1749" s="78" t="n">
        <x:f>(('Inputs'!$B$29*(3*286*'Inputs'!$B$12-286^2)/(2*'Inputs'!$B$12^2))-('Inputs'!$B$29*(3*285*'Inputs'!$B$12-285^2)/(2*'Inputs'!$B$12^2)))*'Inputs'!$B$48</x:f>
        <x:v>154791.99896790832</x:v>
      </x:c>
      <x:c r="D1749" s="78" t="n">
        <x:f>IF('Inputs'!$C$48&gt;0,('Inputs'!$B$30*(3*286*'Inputs'!$B$12-286^2)/(2*'Inputs'!$B$12^2))-('Inputs'!$B$30*(3*285*'Inputs'!$B$12-285^2)/(2*'Inputs'!$B$12^2)),0)</x:f>
        <x:v>265357.71251642704</x:v>
      </x:c>
      <x:c r="E1749" s="78" t="n">
        <x:f>C1749+D1749</x:f>
        <x:v>420149.71148433536</x:v>
      </x:c>
      <x:c r="F1749" s="78" t="n">
        <x:f>'Inputs'!$B$13*E1749+(1-'Inputs'!$B$13)/'Inputs'!$B$14*SUM(E1694:E1749)</x:f>
        <x:v>425003.10799399606</x:v>
      </x:c>
      <x:c r="G1749" s="78" t="n">
        <x:f>F1749*'Inputs'!$F$48</x:f>
        <x:v>212501.55399699803</x:v>
      </x:c>
      <x:c r="H1749" s="78" t="n">
        <x:f>U1748</x:f>
        <x:v>63030229.303138696</x:v>
      </x:c>
      <x:c r="I1749" s="78" t="n">
        <x:f>V1748</x:f>
        <x:v>180.12335397917374</x:v>
      </x:c>
      <x:c r="J1749" s="79" t="n">
        <x:f>IF(H1749&gt;0,I1749/H1749,0)</x:f>
        <x:v>0.00000285772963180707</x:v>
      </x:c>
      <x:c r="K1749" s="80" t="n">
        <x:f>(H1749*J1749+I1749)*'Inputs'!$D$48*(1+'Inputs'!$G$48)^(B1749/30)</x:f>
        <x:v>108.07401238750424</x:v>
      </x:c>
      <x:c r="L1749" s="80" t="n">
        <x:f>MAX(0,K1749*'Inputs'!$E$48)</x:f>
        <x:v>0</x:v>
      </x:c>
      <x:c r="M1749" s="80" t="n">
        <x:f>MAX(0,-K1749*'Inputs'!$E$48)</x:f>
        <x:v>0</x:v>
      </x:c>
      <x:c r="N1749" s="78" t="n">
        <x:f>H1749*(L1749*(1-'Inputs'!$B$15))/(I1749+L1749*(1-'Inputs'!$B$15))</x:f>
        <x:v>0</x:v>
      </x:c>
      <x:c r="O1749" s="78" t="n">
        <x:f>H1749-N1749</x:f>
        <x:v>63030229.303138696</x:v>
      </x:c>
      <x:c r="P1749" s="78" t="n">
        <x:f>I1749+L1749*(1-'Inputs'!$B$17)</x:f>
        <x:v>180.12335397917374</x:v>
      </x:c>
      <x:c r="Q1749" s="78" t="n">
        <x:f>IF(J1749&gt;0,M1749/J1749,0)</x:f>
        <x:v>0</x:v>
      </x:c>
      <x:c r="R1749" s="78" t="n">
        <x:f>IF(B1749='Inputs'!$H$48,'Inputs'!$B$27*'Inputs'!$I$48,0)</x:f>
        <x:v>0</x:v>
      </x:c>
      <x:c r="S1749" s="78" t="n">
        <x:f>Q1749+G1749+R1749</x:f>
        <x:v>212501.55399699803</x:v>
      </x:c>
      <x:c r="T1749" s="78" t="n">
        <x:f>P1749*(S1749*(1-'Inputs'!$B$15))/(O1749+S1749*(1-'Inputs'!$B$15))</x:f>
        <x:v>0.5991993150781043</x:v>
      </x:c>
      <x:c r="U1749" s="78" t="n">
        <x:f>O1749+S1749*(1-'Inputs'!$B$17)</x:f>
        <x:v>63241875.720097475</x:v>
      </x:c>
      <x:c r="V1749" s="78" t="n">
        <x:f>P1749-T1749</x:f>
        <x:v>179.52415466409565</x:v>
      </x:c>
      <x:c r="W1749" s="79" t="n">
        <x:f>IF(U1749&gt;0,V1749/U1749,0)</x:f>
        <x:v>0.0000028386911776407848</x:v>
      </x:c>
      <x:c r="X1749" s="80" t="n">
        <x:f>W1749*('Inputs'!$B$6-AC1749)</x:f>
        <x:v>2806.9107073655528</x:v>
      </x:c>
      <x:c r="Y1749" s="80" t="n">
        <x:f>2*V1749</x:f>
        <x:v>359.0483093281913</x:v>
      </x:c>
      <x:c r="Z1749" s="80" t="n">
        <x:f>K1749*'Inputs'!$B$16+(G1749+R1749)*J1749*'Inputs'!$B$16</x:f>
        <x:v>0.6520877062509991</x:v>
      </x:c>
      <x:c r="AA1749" s="80" t="n">
        <x:f>K1749*(1+'Inputs'!$E$48)/2*'Inputs'!$B$17</x:f>
        <x:v>0.21745274122234257</x:v>
      </x:c>
      <x:c r="AB1749" s="78" t="n">
        <x:f>(IF(J1749&gt;0,K1749*(1-'Inputs'!$E$48)/2/J1749,0)+G1749+R1749)*'Inputs'!$B$17</x:f>
        <x:v>76947.96919492398</x:v>
      </x:c>
      <x:c r="AC1749" s="78" t="n">
        <x:f>AC1748+AB1749</x:f>
        <x:v>11195465.898352629</x:v>
      </x:c>
      <x:c r="AD1749" s="80" t="n">
        <x:f>Z1749/(1+'Inputs'!$C$48)</x:f>
        <x:v>0.5216701650007993</x:v>
      </x:c>
      <x:c r="AE1749" s="80" t="n">
        <x:f>Z1749-AD1749</x:f>
        <x:v>0.13041754125019978</x:v>
      </x:c>
      <x:c r="AF1749" s="80" t="n">
        <x:f>D1749*W1749</x:f>
        <x:v>0.7532685974393211</x:v>
      </x:c>
      <x:c r="AG1749" s="80" t="n">
        <x:f>C1749*W1749</x:f>
        <x:v>0.4394066818395828</x:v>
      </x:c>
      <x:c r="AH1749" s="80" t="n">
        <x:f>2*'Inputs'!$B$8*'Inputs'!$C$48</x:f>
        <x:v>1250</x:v>
      </x:c>
      <x:c r="AI1749" s="81" t="n">
        <x:f>IF(AH1749&gt;0,(AE1749+AF1749)/AH1749*365,0)</x:f>
        <x:v>0.2580363524973401</x:v>
      </x:c>
      <x:c r="AJ1749" s="81" t="n">
        <x:f>IF('Inputs'!$B$48&gt;0,AG1749/('Inputs'!$B$19*'Inputs'!$B$48)*365,0)</x:f>
        <x:v>0.06415337554857908</x:v>
      </x:c>
      <x:c r="AK1749" s="81" t="n">
        <x:f>W1749/MAX($W$1464:W1749)-1</x:f>
        <x:v>-0.9966617471254146</x:v>
      </x:c>
      <x:c r="AL1749" s="83" t="n">
        <x:f>'Inputs'!$B$48</x:f>
        <x:v>0.25</x:v>
      </x:c>
      <x:c r="AM1749" s="83" t="n">
        <x:f>'Inputs'!$C$48</x:f>
        <x:v>0.25</x:v>
      </x:c>
      <x:c r="AN1749" s="83" t="n">
        <x:f>'Inputs'!$D$48</x:f>
        <x:v>0.3</x:v>
      </x:c>
      <x:c r="AO1749" s="81" t="n">
        <x:f>'Inputs'!$E$48</x:f>
        <x:v>0</x:v>
      </x:c>
    </x:row>
    <x:row r="1750">
      <x:c r="A1750" s="59" t="str">
        <x:v>Low participation</x:v>
      </x:c>
      <x:c r="B1750" s="59" t="n">
        <x:v>287</x:v>
      </x:c>
      <x:c r="C1750" s="78" t="n">
        <x:f>(('Inputs'!$B$29*(3*287*'Inputs'!$B$12-287^2)/(2*'Inputs'!$B$12^2))-('Inputs'!$B$29*(3*286*'Inputs'!$B$12-286^2)/(2*'Inputs'!$B$12^2)))*'Inputs'!$B$48</x:f>
        <x:v>154710.72199287266</x:v>
      </x:c>
      <x:c r="D1750" s="78" t="n">
        <x:f>IF('Inputs'!$C$48&gt;0,('Inputs'!$B$30*(3*287*'Inputs'!$B$12-287^2)/(2*'Inputs'!$B$12^2))-('Inputs'!$B$30*(3*286*'Inputs'!$B$12-286^2)/(2*'Inputs'!$B$12^2)),0)</x:f>
        <x:v>265218.380559206</x:v>
      </x:c>
      <x:c r="E1750" s="78" t="n">
        <x:f>C1750+D1750</x:f>
        <x:v>419929.10255207866</x:v>
      </x:c>
      <x:c r="F1750" s="78" t="n">
        <x:f>'Inputs'!$B$13*E1750+(1-'Inputs'!$B$13)/'Inputs'!$B$14*SUM(E1695:E1750)</x:f>
        <x:v>424782.49906173884</x:v>
      </x:c>
      <x:c r="G1750" s="78" t="n">
        <x:f>F1750*'Inputs'!$F$48</x:f>
        <x:v>212391.24953086942</x:v>
      </x:c>
      <x:c r="H1750" s="78" t="n">
        <x:f>U1749</x:f>
        <x:v>63241875.720097475</x:v>
      </x:c>
      <x:c r="I1750" s="78" t="n">
        <x:f>V1749</x:f>
        <x:v>179.52415466409565</x:v>
      </x:c>
      <x:c r="J1750" s="79" t="n">
        <x:f>IF(H1750&gt;0,I1750/H1750,0)</x:f>
        <x:v>0.0000028386911776407848</x:v>
      </x:c>
      <x:c r="K1750" s="80" t="n">
        <x:f>(H1750*J1750+I1750)*'Inputs'!$D$48*(1+'Inputs'!$G$48)^(B1750/30)</x:f>
        <x:v>107.71449279845739</x:v>
      </x:c>
      <x:c r="L1750" s="80" t="n">
        <x:f>MAX(0,K1750*'Inputs'!$E$48)</x:f>
        <x:v>0</x:v>
      </x:c>
      <x:c r="M1750" s="80" t="n">
        <x:f>MAX(0,-K1750*'Inputs'!$E$48)</x:f>
        <x:v>0</x:v>
      </x:c>
      <x:c r="N1750" s="78" t="n">
        <x:f>H1750*(L1750*(1-'Inputs'!$B$15))/(I1750+L1750*(1-'Inputs'!$B$15))</x:f>
        <x:v>0</x:v>
      </x:c>
      <x:c r="O1750" s="78" t="n">
        <x:f>H1750-N1750</x:f>
        <x:v>63241875.720097475</x:v>
      </x:c>
      <x:c r="P1750" s="78" t="n">
        <x:f>I1750+L1750*(1-'Inputs'!$B$17)</x:f>
        <x:v>179.52415466409565</x:v>
      </x:c>
      <x:c r="Q1750" s="78" t="n">
        <x:f>IF(J1750&gt;0,M1750/J1750,0)</x:f>
        <x:v>0</x:v>
      </x:c>
      <x:c r="R1750" s="78" t="n">
        <x:f>IF(B1750='Inputs'!$H$48,'Inputs'!$B$27*'Inputs'!$I$48,0)</x:f>
        <x:v>0</x:v>
      </x:c>
      <x:c r="S1750" s="78" t="n">
        <x:f>Q1750+G1750+R1750</x:f>
        <x:v>212391.24953086942</x:v>
      </x:c>
      <x:c r="T1750" s="78" t="n">
        <x:f>P1750*(S1750*(1-'Inputs'!$B$15))/(O1750+S1750*(1-'Inputs'!$B$15))</x:f>
        <x:v>0.5949060837991041</x:v>
      </x:c>
      <x:c r="U1750" s="78" t="n">
        <x:f>O1750+S1750*(1-'Inputs'!$B$17)</x:f>
        <x:v>63453412.27647128</x:v>
      </x:c>
      <x:c r="V1750" s="78" t="n">
        <x:f>P1750-T1750</x:f>
        <x:v>178.92924858029653</x:v>
      </x:c>
      <x:c r="W1750" s="79" t="n">
        <x:f>IF(U1750&gt;0,V1750/U1750,0)</x:f>
        <x:v>0.0000028198522689479387</x:v>
      </x:c>
      <x:c r="X1750" s="80" t="n">
        <x:f>W1750*('Inputs'!$B$6-AC1750)</x:f>
        <x:v>2788.065007881757</x:v>
      </x:c>
      <x:c r="Y1750" s="80" t="n">
        <x:f>2*V1750</x:f>
        <x:v>357.85849716059306</x:v>
      </x:c>
      <x:c r="Z1750" s="80" t="n">
        <x:f>K1750*'Inputs'!$B$16+(G1750+R1750)*J1750*'Inputs'!$B$16</x:f>
        <x:v>0.6499044357882526</x:v>
      </x:c>
      <x:c r="AA1750" s="80" t="n">
        <x:f>K1750*(1+'Inputs'!$E$48)/2*'Inputs'!$B$17</x:f>
        <x:v>0.21672936176751992</x:v>
      </x:c>
      <x:c r="AB1750" s="78" t="n">
        <x:f>(IF(J1750&gt;0,K1750*(1-'Inputs'!$E$48)/2/J1750,0)+G1750+R1750)*'Inputs'!$B$17</x:f>
        <x:v>77203.03406664029</x:v>
      </x:c>
      <x:c r="AC1750" s="78" t="n">
        <x:f>AC1749+AB1750</x:f>
        <x:v>11272668.932419268</x:v>
      </x:c>
      <x:c r="AD1750" s="80" t="n">
        <x:f>Z1750/(1+'Inputs'!$C$48)</x:f>
        <x:v>0.5199235486306021</x:v>
      </x:c>
      <x:c r="AE1750" s="80" t="n">
        <x:f>Z1750-AD1750</x:f>
        <x:v>0.12998088715765055</x:v>
      </x:c>
      <x:c r="AF1750" s="80" t="n">
        <x:f>D1750*W1750</x:f>
        <x:v>0.747876652186575</x:v>
      </x:c>
      <x:c r="AG1750" s="80" t="n">
        <x:f>C1750*W1750</x:f>
        <x:v>0.4362613804421757</x:v>
      </x:c>
      <x:c r="AH1750" s="80" t="n">
        <x:f>2*'Inputs'!$B$8*'Inputs'!$C$48</x:f>
        <x:v>1250</x:v>
      </x:c>
      <x:c r="AI1750" s="81" t="n">
        <x:f>IF(AH1750&gt;0,(AE1750+AF1750)/AH1750*365,0)</x:f>
        <x:v>0.2563344014885139</x:v>
      </x:c>
      <x:c r="AJ1750" s="81" t="n">
        <x:f>IF('Inputs'!$B$48&gt;0,AG1750/('Inputs'!$B$19*'Inputs'!$B$48)*365,0)</x:f>
        <x:v>0.06369416154455765</x:v>
      </x:c>
      <x:c r="AK1750" s="81" t="n">
        <x:f>W1750/MAX($W$1464:W1750)-1</x:f>
        <x:v>-0.9966839013638161</x:v>
      </x:c>
      <x:c r="AL1750" s="83" t="n">
        <x:f>'Inputs'!$B$48</x:f>
        <x:v>0.25</x:v>
      </x:c>
      <x:c r="AM1750" s="83" t="n">
        <x:f>'Inputs'!$C$48</x:f>
        <x:v>0.25</x:v>
      </x:c>
      <x:c r="AN1750" s="83" t="n">
        <x:f>'Inputs'!$D$48</x:f>
        <x:v>0.3</x:v>
      </x:c>
      <x:c r="AO1750" s="81" t="n">
        <x:f>'Inputs'!$E$48</x:f>
        <x:v>0</x:v>
      </x:c>
    </x:row>
    <x:row r="1751">
      <x:c r="A1751" s="59" t="str">
        <x:v>Low participation</x:v>
      </x:c>
      <x:c r="B1751" s="59" t="n">
        <x:v>288</x:v>
      </x:c>
      <x:c r="C1751" s="78" t="n">
        <x:f>(('Inputs'!$B$29*(3*288*'Inputs'!$B$12-288^2)/(2*'Inputs'!$B$12^2))-('Inputs'!$B$29*(3*287*'Inputs'!$B$12-287^2)/(2*'Inputs'!$B$12^2)))*'Inputs'!$B$48</x:f>
        <x:v>154629.4450178221</x:v>
      </x:c>
      <x:c r="D1751" s="78" t="n">
        <x:f>IF('Inputs'!$C$48&gt;0,('Inputs'!$B$30*(3*288*'Inputs'!$B$12-288^2)/(2*'Inputs'!$B$12^2))-('Inputs'!$B$30*(3*287*'Inputs'!$B$12-287^2)/(2*'Inputs'!$B$12^2)),0)</x:f>
        <x:v>265079.048601985</x:v>
      </x:c>
      <x:c r="E1751" s="78" t="n">
        <x:f>C1751+D1751</x:f>
        <x:v>419708.49361980706</x:v>
      </x:c>
      <x:c r="F1751" s="78" t="n">
        <x:f>'Inputs'!$B$13*E1751+(1-'Inputs'!$B$13)/'Inputs'!$B$14*SUM(E1696:E1751)</x:f>
        <x:v>424561.8901294784</x:v>
      </x:c>
      <x:c r="G1751" s="78" t="n">
        <x:f>F1751*'Inputs'!$F$48</x:f>
        <x:v>212280.9450647392</x:v>
      </x:c>
      <x:c r="H1751" s="78" t="n">
        <x:f>U1750</x:f>
        <x:v>63453412.27647128</x:v>
      </x:c>
      <x:c r="I1751" s="78" t="n">
        <x:f>V1750</x:f>
        <x:v>178.92924858029653</x:v>
      </x:c>
      <x:c r="J1751" s="79" t="n">
        <x:f>IF(H1751&gt;0,I1751/H1751,0)</x:f>
        <x:v>0.0000028198522689479387</x:v>
      </x:c>
      <x:c r="K1751" s="80" t="n">
        <x:f>(H1751*J1751+I1751)*'Inputs'!$D$48*(1+'Inputs'!$G$48)^(B1751/30)</x:f>
        <x:v>107.35754914817791</x:v>
      </x:c>
      <x:c r="L1751" s="80" t="n">
        <x:f>MAX(0,K1751*'Inputs'!$E$48)</x:f>
        <x:v>0</x:v>
      </x:c>
      <x:c r="M1751" s="80" t="n">
        <x:f>MAX(0,-K1751*'Inputs'!$E$48)</x:f>
        <x:v>0</x:v>
      </x:c>
      <x:c r="N1751" s="78" t="n">
        <x:f>H1751*(L1751*(1-'Inputs'!$B$15))/(I1751+L1751*(1-'Inputs'!$B$15))</x:f>
        <x:v>0</x:v>
      </x:c>
      <x:c r="O1751" s="78" t="n">
        <x:f>H1751-N1751</x:f>
        <x:v>63453412.27647128</x:v>
      </x:c>
      <x:c r="P1751" s="78" t="n">
        <x:f>I1751+L1751*(1-'Inputs'!$B$17)</x:f>
        <x:v>178.92924858029653</x:v>
      </x:c>
      <x:c r="Q1751" s="78" t="n">
        <x:f>IF(J1751&gt;0,M1751/J1751,0)</x:f>
        <x:v>0</x:v>
      </x:c>
      <x:c r="R1751" s="78" t="n">
        <x:f>IF(B1751='Inputs'!$H$48,'Inputs'!$B$27*'Inputs'!$I$48,0)</x:f>
        <x:v>0</x:v>
      </x:c>
      <x:c r="S1751" s="78" t="n">
        <x:f>Q1751+G1751+R1751</x:f>
        <x:v>212280.9450647392</x:v>
      </x:c>
      <x:c r="T1751" s="78" t="n">
        <x:f>P1751*(S1751*(1-'Inputs'!$B$15))/(O1751+S1751*(1-'Inputs'!$B$15))</x:f>
        <x:v>0.5906586301249479</x:v>
      </x:c>
      <x:c r="U1751" s="78" t="n">
        <x:f>O1751+S1751*(1-'Inputs'!$B$17)</x:f>
        <x:v>63664838.9722601</x:v>
      </x:c>
      <x:c r="V1751" s="78" t="n">
        <x:f>P1751-T1751</x:f>
        <x:v>178.33858995017158</x:v>
      </x:c>
      <x:c r="W1751" s="79" t="n">
        <x:f>IF(U1751&gt;0,V1751/U1751,0)</x:f>
        <x:v>0.0000028012101000974314</x:v>
      </x:c>
      <x:c r="X1751" s="80" t="n">
        <x:f>W1751*('Inputs'!$B$6-AC1751)</x:f>
        <x:v>2769.416009991324</x:v>
      </x:c>
      <x:c r="Y1751" s="80" t="n">
        <x:f>2*V1751</x:f>
        <x:v>356.67717990034316</x:v>
      </x:c>
      <x:c r="Z1751" s="80" t="n">
        <x:f>K1751*'Inputs'!$B$16+(G1751+R1751)*J1751*'Inputs'!$B$16</x:f>
        <x:v>0.6477369003166388</x:v>
      </x:c>
      <x:c r="AA1751" s="80" t="n">
        <x:f>K1751*(1+'Inputs'!$E$48)/2*'Inputs'!$B$17</x:f>
        <x:v>0.21601116528808434</x:v>
      </x:c>
      <x:c r="AB1751" s="78" t="n">
        <x:f>(IF(J1751&gt;0,K1751*(1-'Inputs'!$E$48)/2/J1751,0)+G1751+R1751)*'Inputs'!$B$17</x:f>
        <x:v>77457.9663098838</x:v>
      </x:c>
      <x:c r="AC1751" s="78" t="n">
        <x:f>AC1750+AB1751</x:f>
        <x:v>11350126.898729153</x:v>
      </x:c>
      <x:c r="AD1751" s="80" t="n">
        <x:f>Z1751/(1+'Inputs'!$C$48)</x:f>
        <x:v>0.518189520253311</x:v>
      </x:c>
      <x:c r="AE1751" s="80" t="n">
        <x:f>Z1751-AD1751</x:f>
        <x:v>0.12954738006332778</x:v>
      </x:c>
      <x:c r="AF1751" s="80" t="n">
        <x:f>D1751*W1751</x:f>
        <x:v>0.7425421082680982</x:v>
      </x:c>
      <x:c r="AG1751" s="80" t="n">
        <x:f>C1751*W1751</x:f>
        <x:v>0.4331495631563837</x:v>
      </x:c>
      <x:c r="AH1751" s="80" t="n">
        <x:f>2*'Inputs'!$B$8*'Inputs'!$C$48</x:f>
        <x:v>1250</x:v>
      </x:c>
      <x:c r="AI1751" s="81" t="n">
        <x:f>IF(AH1751&gt;0,(AE1751+AF1751)/AH1751*365,0)</x:f>
        <x:v>0.2546501305927764</x:v>
      </x:c>
      <x:c r="AJ1751" s="81" t="n">
        <x:f>IF('Inputs'!$B$48&gt;0,AG1751/('Inputs'!$B$19*'Inputs'!$B$48)*365,0)</x:f>
        <x:v>0.06323983622083203</x:v>
      </x:c>
      <x:c r="AK1751" s="81" t="n">
        <x:f>W1751/MAX($W$1464:W1751)-1</x:f>
        <x:v>-0.9967058242394864</x:v>
      </x:c>
      <x:c r="AL1751" s="83" t="n">
        <x:f>'Inputs'!$B$48</x:f>
        <x:v>0.25</x:v>
      </x:c>
      <x:c r="AM1751" s="83" t="n">
        <x:f>'Inputs'!$C$48</x:f>
        <x:v>0.25</x:v>
      </x:c>
      <x:c r="AN1751" s="83" t="n">
        <x:f>'Inputs'!$D$48</x:f>
        <x:v>0.3</x:v>
      </x:c>
      <x:c r="AO1751" s="81" t="n">
        <x:f>'Inputs'!$E$48</x:f>
        <x:v>0</x:v>
      </x:c>
    </x:row>
    <x:row r="1752">
      <x:c r="A1752" s="59" t="str">
        <x:v>Low participation</x:v>
      </x:c>
      <x:c r="B1752" s="59" t="n">
        <x:v>289</x:v>
      </x:c>
      <x:c r="C1752" s="78" t="n">
        <x:f>(('Inputs'!$B$29*(3*289*'Inputs'!$B$12-289^2)/(2*'Inputs'!$B$12^2))-('Inputs'!$B$29*(3*288*'Inputs'!$B$12-288^2)/(2*'Inputs'!$B$12^2)))*'Inputs'!$B$48</x:f>
        <x:v>154548.16804278642</x:v>
      </x:c>
      <x:c r="D1752" s="78" t="n">
        <x:f>IF('Inputs'!$C$48&gt;0,('Inputs'!$B$30*(3*289*'Inputs'!$B$12-289^2)/(2*'Inputs'!$B$12^2))-('Inputs'!$B$30*(3*288*'Inputs'!$B$12-288^2)/(2*'Inputs'!$B$12^2)),0)</x:f>
        <x:v>264939.71664477885</x:v>
      </x:c>
      <x:c r="E1752" s="78" t="n">
        <x:f>C1752+D1752</x:f>
        <x:v>419487.88468756527</x:v>
      </x:c>
      <x:c r="F1752" s="78" t="n">
        <x:f>'Inputs'!$B$13*E1752+(1-'Inputs'!$B$13)/'Inputs'!$B$14*SUM(E1697:E1752)</x:f>
        <x:v>424341.28119722416</x:v>
      </x:c>
      <x:c r="G1752" s="78" t="n">
        <x:f>F1752*'Inputs'!$F$48</x:f>
        <x:v>212170.64059861208</x:v>
      </x:c>
      <x:c r="H1752" s="78" t="n">
        <x:f>U1751</x:f>
        <x:v>63664838.9722601</x:v>
      </x:c>
      <x:c r="I1752" s="78" t="n">
        <x:f>V1751</x:f>
        <x:v>178.33858995017158</x:v>
      </x:c>
      <x:c r="J1752" s="79" t="n">
        <x:f>IF(H1752&gt;0,I1752/H1752,0)</x:f>
        <x:v>0.0000028012101000974314</x:v>
      </x:c>
      <x:c r="K1752" s="80" t="n">
        <x:f>(H1752*J1752+I1752)*'Inputs'!$D$48*(1+'Inputs'!$G$48)^(B1752/30)</x:f>
        <x:v>107.00315397010294</x:v>
      </x:c>
      <x:c r="L1752" s="80" t="n">
        <x:f>MAX(0,K1752*'Inputs'!$E$48)</x:f>
        <x:v>0</x:v>
      </x:c>
      <x:c r="M1752" s="80" t="n">
        <x:f>MAX(0,-K1752*'Inputs'!$E$48)</x:f>
        <x:v>0</x:v>
      </x:c>
      <x:c r="N1752" s="78" t="n">
        <x:f>H1752*(L1752*(1-'Inputs'!$B$15))/(I1752+L1752*(1-'Inputs'!$B$15))</x:f>
        <x:v>0</x:v>
      </x:c>
      <x:c r="O1752" s="78" t="n">
        <x:f>H1752-N1752</x:f>
        <x:v>63664838.9722601</x:v>
      </x:c>
      <x:c r="P1752" s="78" t="n">
        <x:f>I1752+L1752*(1-'Inputs'!$B$17)</x:f>
        <x:v>178.33858995017158</x:v>
      </x:c>
      <x:c r="Q1752" s="78" t="n">
        <x:f>IF(J1752&gt;0,M1752/J1752,0)</x:f>
        <x:v>0</x:v>
      </x:c>
      <x:c r="R1752" s="78" t="n">
        <x:f>IF(B1752='Inputs'!$H$48,'Inputs'!$B$27*'Inputs'!$I$48,0)</x:f>
        <x:v>0</x:v>
      </x:c>
      <x:c r="S1752" s="78" t="n">
        <x:f>Q1752+G1752+R1752</x:f>
        <x:v>212170.64059861208</x:v>
      </x:c>
      <x:c r="T1752" s="78" t="n">
        <x:f>P1752*(S1752*(1-'Inputs'!$B$15))/(O1752+S1752*(1-'Inputs'!$B$15))</x:f>
        <x:v>0.5864563050084829</x:v>
      </x:c>
      <x:c r="U1752" s="78" t="n">
        <x:f>O1752+S1752*(1-'Inputs'!$B$17)</x:f>
        <x:v>63876155.80746395</x:v>
      </x:c>
      <x:c r="V1752" s="78" t="n">
        <x:f>P1752-T1752</x:f>
        <x:v>177.7521336451631</x:v>
      </x:c>
      <x:c r="W1752" s="79" t="n">
        <x:f>IF(U1752&gt;0,V1752/U1752,0)</x:f>
        <x:v>0.0000027827619148050345</x:v>
      </x:c>
      <x:c r="X1752" s="80" t="n">
        <x:f>W1752*('Inputs'!$B$6-AC1752)</x:f>
        <x:v>2750.960957817738</x:v>
      </x:c>
      <x:c r="Y1752" s="80" t="n">
        <x:f>2*V1752</x:f>
        <x:v>355.5042672903262</x:v>
      </x:c>
      <x:c r="Z1752" s="80" t="n">
        <x:f>K1752*'Inputs'!$B$16+(G1752+R1752)*J1752*'Inputs'!$B$16</x:f>
        <x:v>0.6455849310689515</x:v>
      </x:c>
      <x:c r="AA1752" s="80" t="n">
        <x:f>K1752*(1+'Inputs'!$E$48)/2*'Inputs'!$B$17</x:f>
        <x:v>0.21529809651932183</x:v>
      </x:c>
      <x:c r="AB1752" s="78" t="n">
        <x:f>(IF(J1752&gt;0,K1752*(1-'Inputs'!$E$48)/2/J1752,0)+G1752+R1752)*'Inputs'!$B$17</x:f>
        <x:v>77712.76592465452</x:v>
      </x:c>
      <x:c r="AC1752" s="78" t="n">
        <x:f>AC1751+AB1752</x:f>
        <x:v>11427839.664653808</x:v>
      </x:c>
      <x:c r="AD1752" s="80" t="n">
        <x:f>Z1752/(1+'Inputs'!$C$48)</x:f>
        <x:v>0.5164679448551612</x:v>
      </x:c>
      <x:c r="AE1752" s="80" t="n">
        <x:f>Z1752-AD1752</x:f>
        <x:v>0.1291169862137903</x:v>
      </x:c>
      <x:c r="AF1752" s="80" t="n">
        <x:f>D1752*W1752</x:f>
        <x:v>0.737264153198328</x:v>
      </x:c>
      <x:c r="AG1752" s="80" t="n">
        <x:f>C1752*W1752</x:f>
        <x:v>0.43007075603235456</x:v>
      </x:c>
      <x:c r="AH1752" s="80" t="n">
        <x:f>2*'Inputs'!$B$8*'Inputs'!$C$48</x:f>
        <x:v>1250</x:v>
      </x:c>
      <x:c r="AI1752" s="81" t="n">
        <x:f>IF(AH1752&gt;0,(AE1752+AF1752)/AH1752*365,0)</x:f>
        <x:v>0.2529832927083385</x:v>
      </x:c>
      <x:c r="AJ1752" s="81" t="n">
        <x:f>IF('Inputs'!$B$48&gt;0,AG1752/('Inputs'!$B$19*'Inputs'!$B$48)*365,0)</x:f>
        <x:v>0.06279033038072376</x:v>
      </x:c>
      <x:c r="AK1752" s="81" t="n">
        <x:f>W1752/MAX($W$1464:W1752)-1</x:f>
        <x:v>-0.996727518993769</x:v>
      </x:c>
      <x:c r="AL1752" s="83" t="n">
        <x:f>'Inputs'!$B$48</x:f>
        <x:v>0.25</x:v>
      </x:c>
      <x:c r="AM1752" s="83" t="n">
        <x:f>'Inputs'!$C$48</x:f>
        <x:v>0.25</x:v>
      </x:c>
      <x:c r="AN1752" s="83" t="n">
        <x:f>'Inputs'!$D$48</x:f>
        <x:v>0.3</x:v>
      </x:c>
      <x:c r="AO1752" s="81" t="n">
        <x:f>'Inputs'!$E$48</x:f>
        <x:v>0</x:v>
      </x:c>
    </x:row>
    <x:row r="1753">
      <x:c r="A1753" s="59" t="str">
        <x:v>Low participation</x:v>
      </x:c>
      <x:c r="B1753" s="59" t="n">
        <x:v>290</x:v>
      </x:c>
      <x:c r="C1753" s="78" t="n">
        <x:f>(('Inputs'!$B$29*(3*290*'Inputs'!$B$12-290^2)/(2*'Inputs'!$B$12^2))-('Inputs'!$B$29*(3*289*'Inputs'!$B$12-289^2)/(2*'Inputs'!$B$12^2)))*'Inputs'!$B$48</x:f>
        <x:v>154466.8910677433</x:v>
      </x:c>
      <x:c r="D1753" s="78" t="n">
        <x:f>IF('Inputs'!$C$48&gt;0,('Inputs'!$B$30*(3*290*'Inputs'!$B$12-290^2)/(2*'Inputs'!$B$12^2))-('Inputs'!$B$30*(3*289*'Inputs'!$B$12-289^2)/(2*'Inputs'!$B$12^2)),0)</x:f>
        <x:v>264800.3846875578</x:v>
      </x:c>
      <x:c r="E1753" s="78" t="n">
        <x:f>C1753+D1753</x:f>
        <x:v>419267.2757553011</x:v>
      </x:c>
      <x:c r="F1753" s="78" t="n">
        <x:f>'Inputs'!$B$13*E1753+(1-'Inputs'!$B$13)/'Inputs'!$B$14*SUM(E1698:E1753)</x:f>
        <x:v>424120.6722649655</x:v>
      </x:c>
      <x:c r="G1753" s="78" t="n">
        <x:f>F1753*'Inputs'!$F$48</x:f>
        <x:v>212060.33613248274</x:v>
      </x:c>
      <x:c r="H1753" s="78" t="n">
        <x:f>U1752</x:f>
        <x:v>63876155.80746395</x:v>
      </x:c>
      <x:c r="I1753" s="78" t="n">
        <x:f>V1752</x:f>
        <x:v>177.7521336451631</x:v>
      </x:c>
      <x:c r="J1753" s="79" t="n">
        <x:f>IF(H1753&gt;0,I1753/H1753,0)</x:f>
        <x:v>0.0000027827619148050345</x:v>
      </x:c>
      <x:c r="K1753" s="80" t="n">
        <x:f>(H1753*J1753+I1753)*'Inputs'!$D$48*(1+'Inputs'!$G$48)^(B1753/30)</x:f>
        <x:v>106.65128018709785</x:v>
      </x:c>
      <x:c r="L1753" s="80" t="n">
        <x:f>MAX(0,K1753*'Inputs'!$E$48)</x:f>
        <x:v>0</x:v>
      </x:c>
      <x:c r="M1753" s="80" t="n">
        <x:f>MAX(0,-K1753*'Inputs'!$E$48)</x:f>
        <x:v>0</x:v>
      </x:c>
      <x:c r="N1753" s="78" t="n">
        <x:f>H1753*(L1753*(1-'Inputs'!$B$15))/(I1753+L1753*(1-'Inputs'!$B$15))</x:f>
        <x:v>0</x:v>
      </x:c>
      <x:c r="O1753" s="78" t="n">
        <x:f>H1753-N1753</x:f>
        <x:v>63876155.80746395</x:v>
      </x:c>
      <x:c r="P1753" s="78" t="n">
        <x:f>I1753+L1753*(1-'Inputs'!$B$17)</x:f>
        <x:v>177.7521336451631</x:v>
      </x:c>
      <x:c r="Q1753" s="78" t="n">
        <x:f>IF(J1753&gt;0,M1753/J1753,0)</x:f>
        <x:v>0</x:v>
      </x:c>
      <x:c r="R1753" s="78" t="n">
        <x:f>IF(B1753='Inputs'!$H$48,'Inputs'!$B$27*'Inputs'!$I$48,0)</x:f>
        <x:v>0</x:v>
      </x:c>
      <x:c r="S1753" s="78" t="n">
        <x:f>Q1753+G1753+R1753</x:f>
        <x:v>212060.33613248274</x:v>
      </x:c>
      <x:c r="T1753" s="78" t="n">
        <x:f>P1753*(S1753*(1-'Inputs'!$B$15))/(O1753+S1753*(1-'Inputs'!$B$15))</x:f>
        <x:v>0.5822984708678319</x:v>
      </x:c>
      <x:c r="U1753" s="78" t="n">
        <x:f>O1753+S1753*(1-'Inputs'!$B$17)</x:f>
        <x:v>64087362.782082826</x:v>
      </x:c>
      <x:c r="V1753" s="78" t="n">
        <x:f>P1753-T1753</x:f>
        <x:v>177.16983517429526</x:v>
      </x:c>
      <x:c r="W1753" s="79" t="n">
        <x:f>IF(U1753&gt;0,V1753/U1753,0)</x:f>
        <x:v>0.0000027645050050932564</x:v>
      </x:c>
      <x:c r="X1753" s="80" t="n">
        <x:f>W1753*('Inputs'!$B$6-AC1753)</x:f>
        <x:v>2732.697143784401</x:v>
      </x:c>
      <x:c r="Y1753" s="80" t="n">
        <x:f>2*V1753</x:f>
        <x:v>354.3396703485905</x:v>
      </x:c>
      <x:c r="Z1753" s="80" t="n">
        <x:f>K1753*'Inputs'!$B$16+(G1753+R1753)*J1753*'Inputs'!$B$16</x:f>
        <x:v>0.6434483616847685</x:v>
      </x:c>
      <x:c r="AA1753" s="80" t="n">
        <x:f>K1753*(1+'Inputs'!$E$48)/2*'Inputs'!$B$17</x:f>
        <x:v>0.2145901009800762</x:v>
      </x:c>
      <x:c r="AB1753" s="78" t="n">
        <x:f>(IF(J1753&gt;0,K1753*(1-'Inputs'!$E$48)/2/J1753,0)+G1753+R1753)*'Inputs'!$B$17</x:f>
        <x:v>77967.43291095238</x:v>
      </x:c>
      <x:c r="AC1753" s="78" t="n">
        <x:f>AC1752+AB1753</x:f>
        <x:v>11505807.09756476</x:v>
      </x:c>
      <x:c r="AD1753" s="80" t="n">
        <x:f>Z1753/(1+'Inputs'!$C$48)</x:f>
        <x:v>0.5147586893478148</x:v>
      </x:c>
      <x:c r="AE1753" s="80" t="n">
        <x:f>Z1753-AD1753</x:f>
        <x:v>0.12868967233695372</x:v>
      </x:c>
      <x:c r="AF1753" s="80" t="n">
        <x:f>D1753*W1753</x:f>
        <x:v>0.7320419888193733</x:v>
      </x:c>
      <x:c r="AG1753" s="80" t="n">
        <x:f>C1753*W1753</x:f>
        <x:v>0.42702449347797117</x:v>
      </x:c>
      <x:c r="AH1753" s="80" t="n">
        <x:f>2*'Inputs'!$B$8*'Inputs'!$C$48</x:f>
        <x:v>1250</x:v>
      </x:c>
      <x:c r="AI1753" s="81" t="n">
        <x:f>IF(AH1753&gt;0,(AE1753+AF1753)/AH1753*365,0)</x:f>
        <x:v>0.2513336450576475</x:v>
      </x:c>
      <x:c r="AJ1753" s="81" t="n">
        <x:f>IF('Inputs'!$B$48&gt;0,AG1753/('Inputs'!$B$19*'Inputs'!$B$48)*365,0)</x:f>
        <x:v>0.06234557604778379</x:v>
      </x:c>
      <x:c r="AK1753" s="81" t="n">
        <x:f>W1753/MAX($W$1464:W1753)-1</x:f>
        <x:v>-0.9967489888111998</x:v>
      </x:c>
      <x:c r="AL1753" s="83" t="n">
        <x:f>'Inputs'!$B$48</x:f>
        <x:v>0.25</x:v>
      </x:c>
      <x:c r="AM1753" s="83" t="n">
        <x:f>'Inputs'!$C$48</x:f>
        <x:v>0.25</x:v>
      </x:c>
      <x:c r="AN1753" s="83" t="n">
        <x:f>'Inputs'!$D$48</x:f>
        <x:v>0.3</x:v>
      </x:c>
      <x:c r="AO1753" s="81" t="n">
        <x:f>'Inputs'!$E$48</x:f>
        <x:v>0</x:v>
      </x:c>
    </x:row>
    <x:row r="1754">
      <x:c r="A1754" s="59" t="str">
        <x:v>Low participation</x:v>
      </x:c>
      <x:c r="B1754" s="59" t="n">
        <x:v>291</x:v>
      </x:c>
      <x:c r="C1754" s="78" t="n">
        <x:f>(('Inputs'!$B$29*(3*291*'Inputs'!$B$12-291^2)/(2*'Inputs'!$B$12^2))-('Inputs'!$B$29*(3*290*'Inputs'!$B$12-290^2)/(2*'Inputs'!$B$12^2)))*'Inputs'!$B$48</x:f>
        <x:v>154385.61409270018</x:v>
      </x:c>
      <x:c r="D1754" s="78" t="n">
        <x:f>IF('Inputs'!$C$48&gt;0,('Inputs'!$B$30*(3*291*'Inputs'!$B$12-291^2)/(2*'Inputs'!$B$12^2))-('Inputs'!$B$30*(3*290*'Inputs'!$B$12-290^2)/(2*'Inputs'!$B$12^2)),0)</x:f>
        <x:v>264661.0527303368</x:v>
      </x:c>
      <x:c r="E1754" s="78" t="n">
        <x:f>C1754+D1754</x:f>
        <x:v>419046.66682303697</x:v>
      </x:c>
      <x:c r="F1754" s="78" t="n">
        <x:f>'Inputs'!$B$13*E1754+(1-'Inputs'!$B$13)/'Inputs'!$B$14*SUM(E1699:E1754)</x:f>
        <x:v>423900.0633327065</x:v>
      </x:c>
      <x:c r="G1754" s="78" t="n">
        <x:f>F1754*'Inputs'!$F$48</x:f>
        <x:v>211950.03166635326</x:v>
      </x:c>
      <x:c r="H1754" s="78" t="n">
        <x:f>U1753</x:f>
        <x:v>64087362.782082826</x:v>
      </x:c>
      <x:c r="I1754" s="78" t="n">
        <x:f>V1753</x:f>
        <x:v>177.16983517429526</x:v>
      </x:c>
      <x:c r="J1754" s="79" t="n">
        <x:f>IF(H1754&gt;0,I1754/H1754,0)</x:f>
        <x:v>0.0000027645050050932564</x:v>
      </x:c>
      <x:c r="K1754" s="80" t="n">
        <x:f>(H1754*J1754+I1754)*'Inputs'!$D$48*(1+'Inputs'!$G$48)^(B1754/30)</x:f>
        <x:v>106.30190110457715</x:v>
      </x:c>
      <x:c r="L1754" s="80" t="n">
        <x:f>MAX(0,K1754*'Inputs'!$E$48)</x:f>
        <x:v>0</x:v>
      </x:c>
      <x:c r="M1754" s="80" t="n">
        <x:f>MAX(0,-K1754*'Inputs'!$E$48)</x:f>
        <x:v>0</x:v>
      </x:c>
      <x:c r="N1754" s="78" t="n">
        <x:f>H1754*(L1754*(1-'Inputs'!$B$15))/(I1754+L1754*(1-'Inputs'!$B$15))</x:f>
        <x:v>0</x:v>
      </x:c>
      <x:c r="O1754" s="78" t="n">
        <x:f>H1754-N1754</x:f>
        <x:v>64087362.782082826</x:v>
      </x:c>
      <x:c r="P1754" s="78" t="n">
        <x:f>I1754+L1754*(1-'Inputs'!$B$17)</x:f>
        <x:v>177.16983517429526</x:v>
      </x:c>
      <x:c r="Q1754" s="78" t="n">
        <x:f>IF(J1754&gt;0,M1754/J1754,0)</x:f>
        <x:v>0</x:v>
      </x:c>
      <x:c r="R1754" s="78" t="n">
        <x:f>IF(B1754='Inputs'!$H$48,'Inputs'!$B$27*'Inputs'!$I$48,0)</x:f>
        <x:v>0</x:v>
      </x:c>
      <x:c r="S1754" s="78" t="n">
        <x:f>Q1754+G1754+R1754</x:f>
        <x:v>211950.03166635326</x:v>
      </x:c>
      <x:c r="T1754" s="78" t="n">
        <x:f>P1754*(S1754*(1-'Inputs'!$B$15))/(O1754+S1754*(1-'Inputs'!$B$15))</x:f>
        <x:v>0.5781845013442111</x:v>
      </x:c>
      <x:c r="U1754" s="78" t="n">
        <x:f>O1754+S1754*(1-'Inputs'!$B$17)</x:f>
        <x:v>64298459.89611672</x:v>
      </x:c>
      <x:c r="V1754" s="78" t="n">
        <x:f>P1754-T1754</x:f>
        <x:v>176.59165067295103</x:v>
      </x:c>
      <x:c r="W1754" s="79" t="n">
        <x:f>IF(U1754&gt;0,V1754/U1754,0)</x:f>
        <x:v>0.0000027464367102767295</x:v>
      </x:c>
      <x:c r="X1754" s="80" t="n">
        <x:f>W1754*('Inputs'!$B$6-AC1754)</x:f>
        <x:v>2714.621907600158</x:v>
      </x:c>
      <x:c r="Y1754" s="80" t="n">
        <x:f>2*V1754</x:f>
        <x:v>353.18330134590207</x:v>
      </x:c>
      <x:c r="Z1754" s="80" t="n">
        <x:f>K1754*'Inputs'!$B$16+(G1754+R1754)*J1754*'Inputs'!$B$16</x:f>
        <x:v>0.6413270281676908</x:v>
      </x:c>
      <x:c r="AA1754" s="80" t="n">
        <x:f>K1754*(1+'Inputs'!$E$48)/2*'Inputs'!$B$17</x:f>
        <x:v>0.21388712495890777</x:v>
      </x:c>
      <x:c r="AB1754" s="78" t="n">
        <x:f>(IF(J1754&gt;0,K1754*(1-'Inputs'!$E$48)/2/J1754,0)+G1754+R1754)*'Inputs'!$B$17</x:f>
        <x:v>78221.96726877749</x:v>
      </x:c>
      <x:c r="AC1754" s="78" t="n">
        <x:f>AC1753+AB1754</x:f>
        <x:v>11584029.064833539</x:v>
      </x:c>
      <x:c r="AD1754" s="80" t="n">
        <x:f>Z1754/(1+'Inputs'!$C$48)</x:f>
        <x:v>0.5130616225341527</x:v>
      </x:c>
      <x:c r="AE1754" s="80" t="n">
        <x:f>Z1754-AD1754</x:f>
        <x:v>0.12826540563353817</x:v>
      </x:c>
      <x:c r="AF1754" s="80" t="n">
        <x:f>D1754*W1754</x:f>
        <x:v>0.7268748309990822</x:v>
      </x:c>
      <x:c r="AG1754" s="80" t="n">
        <x:f>C1754*W1754</x:f>
        <x:v>0.4240103180828082</x:v>
      </x:c>
      <x:c r="AH1754" s="80" t="n">
        <x:f>2*'Inputs'!$B$8*'Inputs'!$C$48</x:f>
        <x:v>1250</x:v>
      </x:c>
      <x:c r="AI1754" s="81" t="n">
        <x:f>IF(AH1754&gt;0,(AE1754+AF1754)/AH1754*365,0)</x:f>
        <x:v>0.24970094909672516</x:v>
      </x:c>
      <x:c r="AJ1754" s="81" t="n">
        <x:f>IF('Inputs'!$B$48&gt;0,AG1754/('Inputs'!$B$19*'Inputs'!$B$48)*365,0)</x:f>
        <x:v>0.06190550644008999</x:v>
      </x:c>
      <x:c r="AK1754" s="81" t="n">
        <x:f>W1754/MAX($W$1464:W1754)-1</x:f>
        <x:v>-0.9967702368206999</x:v>
      </x:c>
      <x:c r="AL1754" s="83" t="n">
        <x:f>'Inputs'!$B$48</x:f>
        <x:v>0.25</x:v>
      </x:c>
      <x:c r="AM1754" s="83" t="n">
        <x:f>'Inputs'!$C$48</x:f>
        <x:v>0.25</x:v>
      </x:c>
      <x:c r="AN1754" s="83" t="n">
        <x:f>'Inputs'!$D$48</x:f>
        <x:v>0.3</x:v>
      </x:c>
      <x:c r="AO1754" s="81" t="n">
        <x:f>'Inputs'!$E$48</x:f>
        <x:v>0</x:v>
      </x:c>
    </x:row>
    <x:row r="1755">
      <x:c r="A1755" s="59" t="str">
        <x:v>Low participation</x:v>
      </x:c>
      <x:c r="B1755" s="59" t="n">
        <x:v>292</x:v>
      </x:c>
      <x:c r="C1755" s="78" t="n">
        <x:f>(('Inputs'!$B$29*(3*292*'Inputs'!$B$12-292^2)/(2*'Inputs'!$B$12^2))-('Inputs'!$B$29*(3*291*'Inputs'!$B$12-291^2)/(2*'Inputs'!$B$12^2)))*'Inputs'!$B$48</x:f>
        <x:v>154304.33711765707</x:v>
      </x:c>
      <x:c r="D1755" s="78" t="n">
        <x:f>IF('Inputs'!$C$48&gt;0,('Inputs'!$B$30*(3*292*'Inputs'!$B$12-292^2)/(2*'Inputs'!$B$12^2))-('Inputs'!$B$30*(3*291*'Inputs'!$B$12-291^2)/(2*'Inputs'!$B$12^2)),0)</x:f>
        <x:v>264521.72077313066</x:v>
      </x:c>
      <x:c r="E1755" s="78" t="n">
        <x:f>C1755+D1755</x:f>
        <x:v>418826.0578907877</x:v>
      </x:c>
      <x:c r="F1755" s="78" t="n">
        <x:f>'Inputs'!$B$13*E1755+(1-'Inputs'!$B$13)/'Inputs'!$B$14*SUM(E1700:E1755)</x:f>
        <x:v>423679.4544004508</x:v>
      </x:c>
      <x:c r="G1755" s="78" t="n">
        <x:f>F1755*'Inputs'!$F$48</x:f>
        <x:v>211839.7272002254</x:v>
      </x:c>
      <x:c r="H1755" s="78" t="n">
        <x:f>U1754</x:f>
        <x:v>64298459.89611672</x:v>
      </x:c>
      <x:c r="I1755" s="78" t="n">
        <x:f>V1754</x:f>
        <x:v>176.59165067295103</x:v>
      </x:c>
      <x:c r="J1755" s="79" t="n">
        <x:f>IF(H1755&gt;0,I1755/H1755,0)</x:f>
        <x:v>0.0000027464367102767295</x:v>
      </x:c>
      <x:c r="K1755" s="80" t="n">
        <x:f>(H1755*J1755+I1755)*'Inputs'!$D$48*(1+'Inputs'!$G$48)^(B1755/30)</x:f>
        <x:v>105.95499040377062</x:v>
      </x:c>
      <x:c r="L1755" s="80" t="n">
        <x:f>MAX(0,K1755*'Inputs'!$E$48)</x:f>
        <x:v>0</x:v>
      </x:c>
      <x:c r="M1755" s="80" t="n">
        <x:f>MAX(0,-K1755*'Inputs'!$E$48)</x:f>
        <x:v>0</x:v>
      </x:c>
      <x:c r="N1755" s="78" t="n">
        <x:f>H1755*(L1755*(1-'Inputs'!$B$15))/(I1755+L1755*(1-'Inputs'!$B$15))</x:f>
        <x:v>0</x:v>
      </x:c>
      <x:c r="O1755" s="78" t="n">
        <x:f>H1755-N1755</x:f>
        <x:v>64298459.89611672</x:v>
      </x:c>
      <x:c r="P1755" s="78" t="n">
        <x:f>I1755+L1755*(1-'Inputs'!$B$17)</x:f>
        <x:v>176.59165067295103</x:v>
      </x:c>
      <x:c r="Q1755" s="78" t="n">
        <x:f>IF(J1755&gt;0,M1755/J1755,0)</x:f>
        <x:v>0</x:v>
      </x:c>
      <x:c r="R1755" s="78" t="n">
        <x:f>IF(B1755='Inputs'!$H$48,'Inputs'!$B$27*'Inputs'!$I$48,0)</x:f>
        <x:v>0</x:v>
      </x:c>
      <x:c r="S1755" s="78" t="n">
        <x:f>Q1755+G1755+R1755</x:f>
        <x:v>211839.7272002254</x:v>
      </x:c>
      <x:c r="T1755" s="78" t="n">
        <x:f>P1755*(S1755*(1-'Inputs'!$B$15))/(O1755+S1755*(1-'Inputs'!$B$15))</x:f>
        <x:v>0.574113781065629</x:v>
      </x:c>
      <x:c r="U1755" s="78" t="n">
        <x:f>O1755+S1755*(1-'Inputs'!$B$17)</x:f>
        <x:v>64509447.14956564</x:v>
      </x:c>
      <x:c r="V1755" s="78" t="n">
        <x:f>P1755-T1755</x:f>
        <x:v>176.0175368918854</x:v>
      </x:c>
      <x:c r="W1755" s="79" t="n">
        <x:f>IF(U1755&gt;0,V1755/U1755,0)</x:f>
        <x:v>0.0000027285544159723993</x:v>
      </x:c>
      <x:c r="X1755" s="80" t="n">
        <x:f>W1755*('Inputs'!$B$6-AC1755)</x:f>
        <x:v>2696.732635269616</x:v>
      </x:c>
      <x:c r="Y1755" s="80" t="n">
        <x:f>2*V1755</x:f>
        <x:v>352.0350737837708</x:v>
      </x:c>
      <x:c r="Z1755" s="80" t="n">
        <x:f>K1755*'Inputs'!$B$16+(G1755+R1755)*J1755*'Inputs'!$B$16</x:f>
        <x:v>0.63922076884349</x:v>
      </x:c>
      <x:c r="AA1755" s="80" t="n">
        <x:f>K1755*(1+'Inputs'!$E$48)/2*'Inputs'!$B$17</x:f>
        <x:v>0.21318911550054453</x:v>
      </x:c>
      <x:c r="AB1755" s="78" t="n">
        <x:f>(IF(J1755&gt;0,K1755*(1-'Inputs'!$E$48)/2/J1755,0)+G1755+R1755)*'Inputs'!$B$17</x:f>
        <x:v>78476.36899812976</x:v>
      </x:c>
      <x:c r="AC1755" s="78" t="n">
        <x:f>AC1754+AB1755</x:f>
        <x:v>11662505.433831668</x:v>
      </x:c>
      <x:c r="AD1755" s="80" t="n">
        <x:f>Z1755/(1+'Inputs'!$C$48)</x:f>
        <x:v>0.511376615074792</x:v>
      </x:c>
      <x:c r="AE1755" s="80" t="n">
        <x:f>Z1755-AD1755</x:f>
        <x:v>0.12784415376869795</x:v>
      </x:c>
      <x:c r="AF1755" s="80" t="n">
        <x:f>D1755*W1755</x:f>
        <x:v>0.7217619093361436</x:v>
      </x:c>
      <x:c r="AG1755" s="80" t="n">
        <x:f>C1755*W1755</x:f>
        <x:v>0.42102778044607697</x:v>
      </x:c>
      <x:c r="AH1755" s="80" t="n">
        <x:f>2*'Inputs'!$B$8*'Inputs'!$C$48</x:f>
        <x:v>1250</x:v>
      </x:c>
      <x:c r="AI1755" s="81" t="n">
        <x:f>IF(AH1755&gt;0,(AE1755+AF1755)/AH1755*365,0)</x:f>
        <x:v>0.24808497042661373</x:v>
      </x:c>
      <x:c r="AJ1755" s="81" t="n">
        <x:f>IF('Inputs'!$B$48&gt;0,AG1755/('Inputs'!$B$19*'Inputs'!$B$48)*365,0)</x:f>
        <x:v>0.061470055945127236</x:v>
      </x:c>
      <x:c r="AK1755" s="81" t="n">
        <x:f>W1755/MAX($W$1464:W1755)-1</x:f>
        <x:v>-0.9967912660967394</x:v>
      </x:c>
      <x:c r="AL1755" s="83" t="n">
        <x:f>'Inputs'!$B$48</x:f>
        <x:v>0.25</x:v>
      </x:c>
      <x:c r="AM1755" s="83" t="n">
        <x:f>'Inputs'!$C$48</x:f>
        <x:v>0.25</x:v>
      </x:c>
      <x:c r="AN1755" s="83" t="n">
        <x:f>'Inputs'!$D$48</x:f>
        <x:v>0.3</x:v>
      </x:c>
      <x:c r="AO1755" s="81" t="n">
        <x:f>'Inputs'!$E$48</x:f>
        <x:v>0</x:v>
      </x:c>
    </x:row>
    <x:row r="1756">
      <x:c r="A1756" s="59" t="str">
        <x:v>Low participation</x:v>
      </x:c>
      <x:c r="B1756" s="59" t="n">
        <x:v>293</x:v>
      </x:c>
      <x:c r="C1756" s="78" t="n">
        <x:f>(('Inputs'!$B$29*(3*293*'Inputs'!$B$12-293^2)/(2*'Inputs'!$B$12^2))-('Inputs'!$B$29*(3*292*'Inputs'!$B$12-292^2)/(2*'Inputs'!$B$12^2)))*'Inputs'!$B$48</x:f>
        <x:v>154223.06014261395</x:v>
      </x:c>
      <x:c r="D1756" s="78" t="n">
        <x:f>IF('Inputs'!$C$48&gt;0,('Inputs'!$B$30*(3*293*'Inputs'!$B$12-293^2)/(2*'Inputs'!$B$12^2))-('Inputs'!$B$30*(3*292*'Inputs'!$B$12-292^2)/(2*'Inputs'!$B$12^2)),0)</x:f>
        <x:v>264382.3888159096</x:v>
      </x:c>
      <x:c r="E1756" s="78" t="n">
        <x:f>C1756+D1756</x:f>
        <x:v>418605.4489585236</x:v>
      </x:c>
      <x:c r="F1756" s="78" t="n">
        <x:f>'Inputs'!$B$13*E1756+(1-'Inputs'!$B$13)/'Inputs'!$B$14*SUM(E1701:E1756)</x:f>
        <x:v>423458.8454681917</x:v>
      </x:c>
      <x:c r="G1756" s="78" t="n">
        <x:f>F1756*'Inputs'!$F$48</x:f>
        <x:v>211729.42273409586</x:v>
      </x:c>
      <x:c r="H1756" s="78" t="n">
        <x:f>U1755</x:f>
        <x:v>64509447.14956564</x:v>
      </x:c>
      <x:c r="I1756" s="78" t="n">
        <x:f>V1755</x:f>
        <x:v>176.0175368918854</x:v>
      </x:c>
      <x:c r="J1756" s="79" t="n">
        <x:f>IF(H1756&gt;0,I1756/H1756,0)</x:f>
        <x:v>0.0000027285544159723993</x:v>
      </x:c>
      <x:c r="K1756" s="80" t="n">
        <x:f>(H1756*J1756+I1756)*'Inputs'!$D$48*(1+'Inputs'!$G$48)^(B1756/30)</x:f>
        <x:v>105.61052213513125</x:v>
      </x:c>
      <x:c r="L1756" s="80" t="n">
        <x:f>MAX(0,K1756*'Inputs'!$E$48)</x:f>
        <x:v>0</x:v>
      </x:c>
      <x:c r="M1756" s="80" t="n">
        <x:f>MAX(0,-K1756*'Inputs'!$E$48)</x:f>
        <x:v>0</x:v>
      </x:c>
      <x:c r="N1756" s="78" t="n">
        <x:f>H1756*(L1756*(1-'Inputs'!$B$15))/(I1756+L1756*(1-'Inputs'!$B$15))</x:f>
        <x:v>0</x:v>
      </x:c>
      <x:c r="O1756" s="78" t="n">
        <x:f>H1756-N1756</x:f>
        <x:v>64509447.14956564</x:v>
      </x:c>
      <x:c r="P1756" s="78" t="n">
        <x:f>I1756+L1756*(1-'Inputs'!$B$17)</x:f>
        <x:v>176.0175368918854</x:v>
      </x:c>
      <x:c r="Q1756" s="78" t="n">
        <x:f>IF(J1756&gt;0,M1756/J1756,0)</x:f>
        <x:v>0</x:v>
      </x:c>
      <x:c r="R1756" s="78" t="n">
        <x:f>IF(B1756='Inputs'!$H$48,'Inputs'!$B$27*'Inputs'!$I$48,0)</x:f>
        <x:v>0</x:v>
      </x:c>
      <x:c r="S1756" s="78" t="n">
        <x:f>Q1756+G1756+R1756</x:f>
        <x:v>211729.42273409586</x:v>
      </x:c>
      <x:c r="T1756" s="78" t="n">
        <x:f>P1756*(S1756*(1-'Inputs'!$B$15))/(O1756+S1756*(1-'Inputs'!$B$15))</x:f>
        <x:v>0.570085705416379</x:v>
      </x:c>
      <x:c r="U1756" s="78" t="n">
        <x:f>O1756+S1756*(1-'Inputs'!$B$17)</x:f>
        <x:v>64720324.542429574</x:v>
      </x:c>
      <x:c r="V1756" s="78" t="n">
        <x:f>P1756-T1756</x:f>
        <x:v>175.44745118646904</x:v>
      </x:c>
      <x:c r="W1756" s="79" t="n">
        <x:f>IF(U1756&gt;0,V1756/U1756,0)</x:f>
        <x:v>0.000002710855553133832</x:v>
      </x:c>
      <x:c r="X1756" s="80" t="n">
        <x:f>W1756*('Inputs'!$B$6-AC1756)</x:f>
        <x:v>2679.0267581275834</x:v>
      </x:c>
      <x:c r="Y1756" s="80" t="n">
        <x:f>2*V1756</x:f>
        <x:v>350.8949023729381</x:v>
      </x:c>
      <x:c r="Z1756" s="80" t="n">
        <x:f>K1756*'Inputs'!$B$16+(G1756+R1756)*J1756*'Inputs'!$B$16</x:f>
        <x:v>0.6371294243191419</x:v>
      </x:c>
      <x:c r="AA1756" s="80" t="n">
        <x:f>K1756*(1+'Inputs'!$E$48)/2*'Inputs'!$B$17</x:f>
        <x:v>0.21249602039261822</x:v>
      </x:c>
      <x:c r="AB1756" s="78" t="n">
        <x:f>(IF(J1756&gt;0,K1756*(1-'Inputs'!$E$48)/2/J1756,0)+G1756+R1756)*'Inputs'!$B$17</x:f>
        <x:v>78730.6380990092</x:v>
      </x:c>
      <x:c r="AC1756" s="78" t="n">
        <x:f>AC1755+AB1756</x:f>
        <x:v>11741236.071930677</x:v>
      </x:c>
      <x:c r="AD1756" s="80" t="n">
        <x:f>Z1756/(1+'Inputs'!$C$48)</x:f>
        <x:v>0.5097035394553135</x:v>
      </x:c>
      <x:c r="AE1756" s="80" t="n">
        <x:f>Z1756-AD1756</x:f>
        <x:v>0.12742588486382833</x:v>
      </x:c>
      <x:c r="AF1756" s="80" t="n">
        <x:f>D1756*W1756</x:f>
        <x:v>0.7167024668723965</x:v>
      </x:c>
      <x:c r="AG1756" s="80" t="n">
        <x:f>C1756*W1756</x:f>
        <x:v>0.41807643900889796</x:v>
      </x:c>
      <x:c r="AH1756" s="80" t="n">
        <x:f>2*'Inputs'!$B$8*'Inputs'!$C$48</x:f>
        <x:v>1250</x:v>
      </x:c>
      <x:c r="AI1756" s="81" t="n">
        <x:f>IF(AH1756&gt;0,(AE1756+AF1756)/AH1756*365,0)</x:f>
        <x:v>0.24648547870697765</x:v>
      </x:c>
      <x:c r="AJ1756" s="81" t="n">
        <x:f>IF('Inputs'!$B$48&gt;0,AG1756/('Inputs'!$B$19*'Inputs'!$B$48)*365,0)</x:f>
        <x:v>0.061039160095299104</x:v>
      </x:c>
      <x:c r="AK1756" s="81" t="n">
        <x:f>W1756/MAX($W$1464:W1756)-1</x:f>
        <x:v>-0.9968120796604737</x:v>
      </x:c>
      <x:c r="AL1756" s="83" t="n">
        <x:f>'Inputs'!$B$48</x:f>
        <x:v>0.25</x:v>
      </x:c>
      <x:c r="AM1756" s="83" t="n">
        <x:f>'Inputs'!$C$48</x:f>
        <x:v>0.25</x:v>
      </x:c>
      <x:c r="AN1756" s="83" t="n">
        <x:f>'Inputs'!$D$48</x:f>
        <x:v>0.3</x:v>
      </x:c>
      <x:c r="AO1756" s="81" t="n">
        <x:f>'Inputs'!$E$48</x:f>
        <x:v>0</x:v>
      </x:c>
    </x:row>
    <x:row r="1757">
      <x:c r="A1757" s="59" t="str">
        <x:v>Low participation</x:v>
      </x:c>
      <x:c r="B1757" s="59" t="n">
        <x:v>294</x:v>
      </x:c>
      <x:c r="C1757" s="78" t="n">
        <x:f>(('Inputs'!$B$29*(3*294*'Inputs'!$B$12-294^2)/(2*'Inputs'!$B$12^2))-('Inputs'!$B$29*(3*293*'Inputs'!$B$12-293^2)/(2*'Inputs'!$B$12^2)))*'Inputs'!$B$48</x:f>
        <x:v>154141.78316757828</x:v>
      </x:c>
      <x:c r="D1757" s="78" t="n">
        <x:f>IF('Inputs'!$C$48&gt;0,('Inputs'!$B$30*(3*294*'Inputs'!$B$12-294^2)/(2*'Inputs'!$B$12^2))-('Inputs'!$B$30*(3*293*'Inputs'!$B$12-293^2)/(2*'Inputs'!$B$12^2)),0)</x:f>
        <x:v>264243.0568587035</x:v>
      </x:c>
      <x:c r="E1757" s="78" t="n">
        <x:f>C1757+D1757</x:f>
        <x:v>418384.8400262818</x:v>
      </x:c>
      <x:c r="F1757" s="78" t="n">
        <x:f>'Inputs'!$B$13*E1757+(1-'Inputs'!$B$13)/'Inputs'!$B$14*SUM(E1702:E1757)</x:f>
        <x:v>423238.2365359377</x:v>
      </x:c>
      <x:c r="G1757" s="78" t="n">
        <x:f>F1757*'Inputs'!$F$48</x:f>
        <x:v>211619.11826796885</x:v>
      </x:c>
      <x:c r="H1757" s="78" t="n">
        <x:f>U1756</x:f>
        <x:v>64720324.542429574</x:v>
      </x:c>
      <x:c r="I1757" s="78" t="n">
        <x:f>V1756</x:f>
        <x:v>175.44745118646904</x:v>
      </x:c>
      <x:c r="J1757" s="79" t="n">
        <x:f>IF(H1757&gt;0,I1757/H1757,0)</x:f>
        <x:v>0.000002710855553133832</x:v>
      </x:c>
      <x:c r="K1757" s="80" t="n">
        <x:f>(H1757*J1757+I1757)*'Inputs'!$D$48*(1+'Inputs'!$G$48)^(B1757/30)</x:f>
        <x:v>105.26847071188142</x:v>
      </x:c>
      <x:c r="L1757" s="80" t="n">
        <x:f>MAX(0,K1757*'Inputs'!$E$48)</x:f>
        <x:v>0</x:v>
      </x:c>
      <x:c r="M1757" s="80" t="n">
        <x:f>MAX(0,-K1757*'Inputs'!$E$48)</x:f>
        <x:v>0</x:v>
      </x:c>
      <x:c r="N1757" s="78" t="n">
        <x:f>H1757*(L1757*(1-'Inputs'!$B$15))/(I1757+L1757*(1-'Inputs'!$B$15))</x:f>
        <x:v>0</x:v>
      </x:c>
      <x:c r="O1757" s="78" t="n">
        <x:f>H1757-N1757</x:f>
        <x:v>64720324.542429574</x:v>
      </x:c>
      <x:c r="P1757" s="78" t="n">
        <x:f>I1757+L1757*(1-'Inputs'!$B$17)</x:f>
        <x:v>175.44745118646904</x:v>
      </x:c>
      <x:c r="Q1757" s="78" t="n">
        <x:f>IF(J1757&gt;0,M1757/J1757,0)</x:f>
        <x:v>0</x:v>
      </x:c>
      <x:c r="R1757" s="78" t="n">
        <x:f>IF(B1757='Inputs'!$H$48,'Inputs'!$B$27*'Inputs'!$I$48,0)</x:f>
        <x:v>0</x:v>
      </x:c>
      <x:c r="S1757" s="78" t="n">
        <x:f>Q1757+G1757+R1757</x:f>
        <x:v>211619.11826796885</x:v>
      </x:c>
      <x:c r="T1757" s="78" t="n">
        <x:f>P1757*(S1757*(1-'Inputs'!$B$15))/(O1757+S1757*(1-'Inputs'!$B$15))</x:f>
        <x:v>0.5660996803121998</x:v>
      </x:c>
      <x:c r="U1757" s="78" t="n">
        <x:f>O1757+S1757*(1-'Inputs'!$B$17)</x:f>
        <x:v>64931092.074708536</x:v>
      </x:c>
      <x:c r="V1757" s="78" t="n">
        <x:f>P1757-T1757</x:f>
        <x:v>174.88135150615685</x:v>
      </x:c>
      <x:c r="W1757" s="79" t="n">
        <x:f>IF(U1757&gt;0,V1757/U1757,0)</x:f>
        <x:v>0.0000026933375971089712</x:v>
      </x:c>
      <x:c r="X1757" s="80" t="n">
        <x:f>W1757*('Inputs'!$B$6-AC1757)</x:f>
        <x:v>2661.501751896956</x:v>
      </x:c>
      <x:c r="Y1757" s="80" t="n">
        <x:f>2*V1757</x:f>
        <x:v>349.7627030123137</x:v>
      </x:c>
      <x:c r="Z1757" s="80" t="n">
        <x:f>K1757*'Inputs'!$B$16+(G1757+R1757)*J1757*'Inputs'!$B$16</x:f>
        <x:v>0.6350528374427246</x:v>
      </x:c>
      <x:c r="AA1757" s="80" t="n">
        <x:f>K1757*(1+'Inputs'!$E$48)/2*'Inputs'!$B$17</x:f>
        <x:v>0.21180778815267892</x:v>
      </x:c>
      <x:c r="AB1757" s="78" t="n">
        <x:f>(IF(J1757&gt;0,K1757*(1-'Inputs'!$E$48)/2/J1757,0)+G1757+R1757)*'Inputs'!$B$17</x:f>
        <x:v>78984.77457141587</x:v>
      </x:c>
      <x:c r="AC1757" s="78" t="n">
        <x:f>AC1756+AB1757</x:f>
        <x:v>11820220.846502092</x:v>
      </x:c>
      <x:c r="AD1757" s="80" t="n">
        <x:f>Z1757/(1+'Inputs'!$C$48)</x:f>
        <x:v>0.5080422699541797</x:v>
      </x:c>
      <x:c r="AE1757" s="80" t="n">
        <x:f>Z1757-AD1757</x:f>
        <x:v>0.1270105674885449</x:v>
      </x:c>
      <x:c r="AF1757" s="80" t="n">
        <x:f>D1757*W1757</x:f>
        <x:v>0.7116957598125497</x:v>
      </x:c>
      <x:c r="AG1757" s="80" t="n">
        <x:f>C1757*W1757</x:f>
        <x:v>0.41515585989065734</x:v>
      </x:c>
      <x:c r="AH1757" s="80" t="n">
        <x:f>2*'Inputs'!$B$8*'Inputs'!$C$48</x:f>
        <x:v>1250</x:v>
      </x:c>
      <x:c r="AI1757" s="81" t="n">
        <x:f>IF(AH1757&gt;0,(AE1757+AF1757)/AH1757*365,0)</x:f>
        <x:v>0.2449022475719196</x:v>
      </x:c>
      <x:c r="AJ1757" s="81" t="n">
        <x:f>IF('Inputs'!$B$48&gt;0,AG1757/('Inputs'!$B$19*'Inputs'!$B$48)*365,0)</x:f>
        <x:v>0.06061275554403597</x:v>
      </x:c>
      <x:c r="AK1757" s="81" t="n">
        <x:f>W1757/MAX($W$1464:W1757)-1</x:f>
        <x:v>-0.9968326804808508</x:v>
      </x:c>
      <x:c r="AL1757" s="83" t="n">
        <x:f>'Inputs'!$B$48</x:f>
        <x:v>0.25</x:v>
      </x:c>
      <x:c r="AM1757" s="83" t="n">
        <x:f>'Inputs'!$C$48</x:f>
        <x:v>0.25</x:v>
      </x:c>
      <x:c r="AN1757" s="83" t="n">
        <x:f>'Inputs'!$D$48</x:f>
        <x:v>0.3</x:v>
      </x:c>
      <x:c r="AO1757" s="81" t="n">
        <x:f>'Inputs'!$E$48</x:f>
        <x:v>0</x:v>
      </x:c>
    </x:row>
    <x:row r="1758">
      <x:c r="A1758" s="59" t="str">
        <x:v>Low participation</x:v>
      </x:c>
      <x:c r="B1758" s="59" t="n">
        <x:v>295</x:v>
      </x:c>
      <x:c r="C1758" s="78" t="n">
        <x:f>(('Inputs'!$B$29*(3*295*'Inputs'!$B$12-295^2)/(2*'Inputs'!$B$12^2))-('Inputs'!$B$29*(3*294*'Inputs'!$B$12-294^2)/(2*'Inputs'!$B$12^2)))*'Inputs'!$B$48</x:f>
        <x:v>154060.5061925277</x:v>
      </x:c>
      <x:c r="D1758" s="78" t="n">
        <x:f>IF('Inputs'!$C$48&gt;0,('Inputs'!$B$30*(3*295*'Inputs'!$B$12-295^2)/(2*'Inputs'!$B$12^2))-('Inputs'!$B$30*(3*294*'Inputs'!$B$12-294^2)/(2*'Inputs'!$B$12^2)),0)</x:f>
        <x:v>264103.72490148246</x:v>
      </x:c>
      <x:c r="E1758" s="78" t="n">
        <x:f>C1758+D1758</x:f>
        <x:v>418164.2310940102</x:v>
      </x:c>
      <x:c r="F1758" s="78" t="n">
        <x:f>'Inputs'!$B$13*E1758+(1-'Inputs'!$B$13)/'Inputs'!$B$14*SUM(E1703:E1758)</x:f>
        <x:v>423017.6276036773</x:v>
      </x:c>
      <x:c r="G1758" s="78" t="n">
        <x:f>F1758*'Inputs'!$F$48</x:f>
        <x:v>211508.81380183864</x:v>
      </x:c>
      <x:c r="H1758" s="78" t="n">
        <x:f>U1757</x:f>
        <x:v>64931092.074708536</x:v>
      </x:c>
      <x:c r="I1758" s="78" t="n">
        <x:f>V1757</x:f>
        <x:v>174.88135150615685</x:v>
      </x:c>
      <x:c r="J1758" s="79" t="n">
        <x:f>IF(H1758&gt;0,I1758/H1758,0)</x:f>
        <x:v>0.0000026933375971089712</x:v>
      </x:c>
      <x:c r="K1758" s="80" t="n">
        <x:f>(H1758*J1758+I1758)*'Inputs'!$D$48*(1+'Inputs'!$G$48)^(B1758/30)</x:f>
        <x:v>104.9288109036941</x:v>
      </x:c>
      <x:c r="L1758" s="80" t="n">
        <x:f>MAX(0,K1758*'Inputs'!$E$48)</x:f>
        <x:v>0</x:v>
      </x:c>
      <x:c r="M1758" s="80" t="n">
        <x:f>MAX(0,-K1758*'Inputs'!$E$48)</x:f>
        <x:v>0</x:v>
      </x:c>
      <x:c r="N1758" s="78" t="n">
        <x:f>H1758*(L1758*(1-'Inputs'!$B$15))/(I1758+L1758*(1-'Inputs'!$B$15))</x:f>
        <x:v>0</x:v>
      </x:c>
      <x:c r="O1758" s="78" t="n">
        <x:f>H1758-N1758</x:f>
        <x:v>64931092.074708536</x:v>
      </x:c>
      <x:c r="P1758" s="78" t="n">
        <x:f>I1758+L1758*(1-'Inputs'!$B$17)</x:f>
        <x:v>174.88135150615685</x:v>
      </x:c>
      <x:c r="Q1758" s="78" t="n">
        <x:f>IF(J1758&gt;0,M1758/J1758,0)</x:f>
        <x:v>0</x:v>
      </x:c>
      <x:c r="R1758" s="78" t="n">
        <x:f>IF(B1758='Inputs'!$H$48,'Inputs'!$B$27*'Inputs'!$I$48,0)</x:f>
        <x:v>0</x:v>
      </x:c>
      <x:c r="S1758" s="78" t="n">
        <x:f>Q1758+G1758+R1758</x:f>
        <x:v>211508.81380183864</x:v>
      </x:c>
      <x:c r="T1758" s="78" t="n">
        <x:f>P1758*(S1758*(1-'Inputs'!$B$15))/(O1758+S1758*(1-'Inputs'!$B$15))</x:f>
        <x:v>0.5621551219808221</x:v>
      </x:c>
      <x:c r="U1758" s="78" t="n">
        <x:f>O1758+S1758*(1-'Inputs'!$B$17)</x:f>
        <x:v>65141749.74640252</x:v>
      </x:c>
      <x:c r="V1758" s="78" t="n">
        <x:f>P1758-T1758</x:f>
        <x:v>174.31919638417602</x:v>
      </x:c>
      <x:c r="W1758" s="79" t="n">
        <x:f>IF(U1758&gt;0,V1758/U1758,0)</x:f>
        <x:v>0.0000026759980667206885</x:v>
      </x:c>
      <x:c r="X1758" s="80" t="n">
        <x:f>W1758*('Inputs'!$B$6-AC1758)</x:f>
        <x:v>2644.155135769389</x:v>
      </x:c>
      <x:c r="Y1758" s="80" t="n">
        <x:f>2*V1758</x:f>
        <x:v>348.63839276835205</x:v>
      </x:c>
      <x:c r="Z1758" s="80" t="n">
        <x:f>K1758*'Inputs'!$B$16+(G1758+R1758)*J1758*'Inputs'!$B$16</x:f>
        <x:v>0.632990853264159</x:v>
      </x:c>
      <x:c r="AA1758" s="80" t="n">
        <x:f>K1758*(1+'Inputs'!$E$48)/2*'Inputs'!$B$17</x:f>
        <x:v>0.2111243680154811</x:v>
      </x:c>
      <x:c r="AB1758" s="78" t="n">
        <x:f>(IF(J1758&gt;0,K1758*(1-'Inputs'!$E$48)/2/J1758,0)+G1758+R1758)*'Inputs'!$B$17</x:f>
        <x:v>79238.7784153497</x:v>
      </x:c>
      <x:c r="AC1758" s="78" t="n">
        <x:f>AC1757+AB1758</x:f>
        <x:v>11899459.624917442</x:v>
      </x:c>
      <x:c r="AD1758" s="80" t="n">
        <x:f>Z1758/(1+'Inputs'!$C$48)</x:f>
        <x:v>0.5063926826113272</x:v>
      </x:c>
      <x:c r="AE1758" s="80" t="n">
        <x:f>Z1758-AD1758</x:f>
        <x:v>0.12659817065283185</x:v>
      </x:c>
      <x:c r="AF1758" s="80" t="n">
        <x:f>D1758*W1758</x:f>
        <x:v>0.7067410572500996</x:v>
      </x:c>
      <x:c r="AG1758" s="80" t="n">
        <x:f>C1758*W1758</x:f>
        <x:v>0.4122656167292148</x:v>
      </x:c>
      <x:c r="AH1758" s="80" t="n">
        <x:f>2*'Inputs'!$B$8*'Inputs'!$C$48</x:f>
        <x:v>1250</x:v>
      </x:c>
      <x:c r="AI1758" s="81" t="n">
        <x:f>IF(AH1758&gt;0,(AE1758+AF1758)/AH1758*365,0)</x:f>
        <x:v>0.243335054547656</x:v>
      </x:c>
      <x:c r="AJ1758" s="81" t="n">
        <x:f>IF('Inputs'!$B$48&gt;0,AG1758/('Inputs'!$B$19*'Inputs'!$B$48)*365,0)</x:f>
        <x:v>0.06019078004246536</x:v>
      </x:c>
      <x:c r="AK1758" s="81" t="n">
        <x:f>W1758/MAX($W$1464:W1758)-1</x:f>
        <x:v>-0.9968530714756934</x:v>
      </x:c>
      <x:c r="AL1758" s="83" t="n">
        <x:f>'Inputs'!$B$48</x:f>
        <x:v>0.25</x:v>
      </x:c>
      <x:c r="AM1758" s="83" t="n">
        <x:f>'Inputs'!$C$48</x:f>
        <x:v>0.25</x:v>
      </x:c>
      <x:c r="AN1758" s="83" t="n">
        <x:f>'Inputs'!$D$48</x:f>
        <x:v>0.3</x:v>
      </x:c>
      <x:c r="AO1758" s="81" t="n">
        <x:f>'Inputs'!$E$48</x:f>
        <x:v>0</x:v>
      </x:c>
    </x:row>
    <x:row r="1759">
      <x:c r="A1759" s="59" t="str">
        <x:v>Low participation</x:v>
      </x:c>
      <x:c r="B1759" s="59" t="n">
        <x:v>296</x:v>
      </x:c>
      <x:c r="C1759" s="78" t="n">
        <x:f>(('Inputs'!$B$29*(3*296*'Inputs'!$B$12-296^2)/(2*'Inputs'!$B$12^2))-('Inputs'!$B$29*(3*295*'Inputs'!$B$12-295^2)/(2*'Inputs'!$B$12^2)))*'Inputs'!$B$48</x:f>
        <x:v>153979.22921749204</x:v>
      </x:c>
      <x:c r="D1759" s="78" t="n">
        <x:f>IF('Inputs'!$C$48&gt;0,('Inputs'!$B$30*(3*296*'Inputs'!$B$12-296^2)/(2*'Inputs'!$B$12^2))-('Inputs'!$B$30*(3*295*'Inputs'!$B$12-295^2)/(2*'Inputs'!$B$12^2)),0)</x:f>
        <x:v>263964.39294426143</x:v>
      </x:c>
      <x:c r="E1759" s="78" t="n">
        <x:f>C1759+D1759</x:f>
        <x:v>417943.6221617535</x:v>
      </x:c>
      <x:c r="F1759" s="78" t="n">
        <x:f>'Inputs'!$B$13*E1759+(1-'Inputs'!$B$13)/'Inputs'!$B$14*SUM(E1704:E1759)</x:f>
        <x:v>422797.01867142005</x:v>
      </x:c>
      <x:c r="G1759" s="78" t="n">
        <x:f>F1759*'Inputs'!$F$48</x:f>
        <x:v>211398.50933571003</x:v>
      </x:c>
      <x:c r="H1759" s="78" t="n">
        <x:f>U1758</x:f>
        <x:v>65141749.74640252</x:v>
      </x:c>
      <x:c r="I1759" s="78" t="n">
        <x:f>V1758</x:f>
        <x:v>174.31919638417602</x:v>
      </x:c>
      <x:c r="J1759" s="79" t="n">
        <x:f>IF(H1759&gt;0,I1759/H1759,0)</x:f>
        <x:v>0.0000026759980667206885</x:v>
      </x:c>
      <x:c r="K1759" s="80" t="n">
        <x:f>(H1759*J1759+I1759)*'Inputs'!$D$48*(1+'Inputs'!$G$48)^(B1759/30)</x:f>
        <x:v>104.59151783050561</x:v>
      </x:c>
      <x:c r="L1759" s="80" t="n">
        <x:f>MAX(0,K1759*'Inputs'!$E$48)</x:f>
        <x:v>0</x:v>
      </x:c>
      <x:c r="M1759" s="80" t="n">
        <x:f>MAX(0,-K1759*'Inputs'!$E$48)</x:f>
        <x:v>0</x:v>
      </x:c>
      <x:c r="N1759" s="78" t="n">
        <x:f>H1759*(L1759*(1-'Inputs'!$B$15))/(I1759+L1759*(1-'Inputs'!$B$15))</x:f>
        <x:v>0</x:v>
      </x:c>
      <x:c r="O1759" s="78" t="n">
        <x:f>H1759-N1759</x:f>
        <x:v>65141749.74640252</x:v>
      </x:c>
      <x:c r="P1759" s="78" t="n">
        <x:f>I1759+L1759*(1-'Inputs'!$B$17)</x:f>
        <x:v>174.31919638417602</x:v>
      </x:c>
      <x:c r="Q1759" s="78" t="n">
        <x:f>IF(J1759&gt;0,M1759/J1759,0)</x:f>
        <x:v>0</x:v>
      </x:c>
      <x:c r="R1759" s="78" t="n">
        <x:f>IF(B1759='Inputs'!$H$48,'Inputs'!$B$27*'Inputs'!$I$48,0)</x:f>
        <x:v>0</x:v>
      </x:c>
      <x:c r="S1759" s="78" t="n">
        <x:f>Q1759+G1759+R1759</x:f>
        <x:v>211398.50933571003</x:v>
      </x:c>
      <x:c r="T1759" s="78" t="n">
        <x:f>P1759*(S1759*(1-'Inputs'!$B$15))/(O1759+S1759*(1-'Inputs'!$B$15))</x:f>
        <x:v>0.5582514567479326</x:v>
      </x:c>
      <x:c r="U1759" s="78" t="n">
        <x:f>O1759+S1759*(1-'Inputs'!$B$17)</x:f>
        <x:v>65352297.55751152</x:v>
      </x:c>
      <x:c r="V1759" s="78" t="n">
        <x:f>P1759-T1759</x:f>
        <x:v>173.76094492742808</x:v>
      </x:c>
      <x:c r="W1759" s="79" t="n">
        <x:f>IF(U1759&gt;0,V1759/U1759,0)</x:f>
        <x:v>0.000002658834523369503</x:v>
      </x:c>
      <x:c r="X1759" s="80" t="n">
        <x:f>W1759*('Inputs'!$B$6-AC1759)</x:f>
        <x:v>2626.9844715081385</x:v>
      </x:c>
      <x:c r="Y1759" s="80" t="n">
        <x:f>2*V1759</x:f>
        <x:v>347.52188985485617</x:v>
      </x:c>
      <x:c r="Z1759" s="80" t="n">
        <x:f>K1759*'Inputs'!$B$16+(G1759+R1759)*J1759*'Inputs'!$B$16</x:f>
        <x:v>0.6309433189967737</x:v>
      </x:c>
      <x:c r="AA1759" s="80" t="n">
        <x:f>K1759*(1+'Inputs'!$E$48)/2*'Inputs'!$B$17</x:f>
        <x:v>0.21044570992053444</x:v>
      </x:c>
      <x:c r="AB1759" s="78" t="n">
        <x:f>(IF(J1759&gt;0,K1759*(1-'Inputs'!$E$48)/2/J1759,0)+G1759+R1759)*'Inputs'!$B$17</x:f>
        <x:v>79492.64963081073</x:v>
      </x:c>
      <x:c r="AC1759" s="78" t="n">
        <x:f>AC1758+AB1759</x:f>
        <x:v>11978952.274548253</x:v>
      </x:c>
      <x:c r="AD1759" s="80" t="n">
        <x:f>Z1759/(1+'Inputs'!$C$48)</x:f>
        <x:v>0.5047546551974189</x:v>
      </x:c>
      <x:c r="AE1759" s="80" t="n">
        <x:f>Z1759-AD1759</x:f>
        <x:v>0.12618866379935478</x:v>
      </x:c>
      <x:c r="AF1759" s="80" t="n">
        <x:f>D1759*W1759</x:f>
        <x:v>0.7018376409004756</x:v>
      </x:c>
      <x:c r="AG1759" s="80" t="n">
        <x:f>C1759*W1759</x:f>
        <x:v>0.40940529052529395</x:v>
      </x:c>
      <x:c r="AH1759" s="80" t="n">
        <x:f>2*'Inputs'!$B$8*'Inputs'!$C$48</x:f>
        <x:v>1250</x:v>
      </x:c>
      <x:c r="AI1759" s="81" t="n">
        <x:f>IF(AH1759&gt;0,(AE1759+AF1759)/AH1759*365,0)</x:f>
        <x:v>0.24178368097235045</x:v>
      </x:c>
      <x:c r="AJ1759" s="81" t="n">
        <x:f>IF('Inputs'!$B$48&gt;0,AG1759/('Inputs'!$B$19*'Inputs'!$B$48)*365,0)</x:f>
        <x:v>0.05977317241669292</x:v>
      </x:c>
      <x:c r="AK1759" s="81" t="n">
        <x:f>W1759/MAX($W$1464:W1759)-1</x:f>
        <x:v>-0.9968732555127529</x:v>
      </x:c>
      <x:c r="AL1759" s="83" t="n">
        <x:f>'Inputs'!$B$48</x:f>
        <x:v>0.25</x:v>
      </x:c>
      <x:c r="AM1759" s="83" t="n">
        <x:f>'Inputs'!$C$48</x:f>
        <x:v>0.25</x:v>
      </x:c>
      <x:c r="AN1759" s="83" t="n">
        <x:f>'Inputs'!$D$48</x:f>
        <x:v>0.3</x:v>
      </x:c>
      <x:c r="AO1759" s="81" t="n">
        <x:f>'Inputs'!$E$48</x:f>
        <x:v>0</x:v>
      </x:c>
    </x:row>
    <x:row r="1760">
      <x:c r="A1760" s="59" t="str">
        <x:v>Low participation</x:v>
      </x:c>
      <x:c r="B1760" s="59" t="n">
        <x:v>297</x:v>
      </x:c>
      <x:c r="C1760" s="78" t="n">
        <x:f>(('Inputs'!$B$29*(3*297*'Inputs'!$B$12-297^2)/(2*'Inputs'!$B$12^2))-('Inputs'!$B$29*(3*296*'Inputs'!$B$12-296^2)/(2*'Inputs'!$B$12^2)))*'Inputs'!$B$48</x:f>
        <x:v>153897.95224244148</x:v>
      </x:c>
      <x:c r="D1760" s="78" t="n">
        <x:f>IF('Inputs'!$C$48&gt;0,('Inputs'!$B$30*(3*297*'Inputs'!$B$12-297^2)/(2*'Inputs'!$B$12^2))-('Inputs'!$B$30*(3*296*'Inputs'!$B$12-296^2)/(2*'Inputs'!$B$12^2)),0)</x:f>
        <x:v>263825.0609870553</x:v>
      </x:c>
      <x:c r="E1760" s="78" t="n">
        <x:f>C1760+D1760</x:f>
        <x:v>417723.0132294968</x:v>
      </x:c>
      <x:c r="F1760" s="78" t="n">
        <x:f>'Inputs'!$B$13*E1760+(1-'Inputs'!$B$13)/'Inputs'!$B$14*SUM(E1705:E1760)</x:f>
        <x:v>422576.40973916266</x:v>
      </x:c>
      <x:c r="G1760" s="78" t="n">
        <x:f>F1760*'Inputs'!$F$48</x:f>
        <x:v>211288.20486958133</x:v>
      </x:c>
      <x:c r="H1760" s="78" t="n">
        <x:f>U1759</x:f>
        <x:v>65352297.55751152</x:v>
      </x:c>
      <x:c r="I1760" s="78" t="n">
        <x:f>V1759</x:f>
        <x:v>173.76094492742808</x:v>
      </x:c>
      <x:c r="J1760" s="79" t="n">
        <x:f>IF(H1760&gt;0,I1760/H1760,0)</x:f>
        <x:v>0.000002658834523369503</x:v>
      </x:c>
      <x:c r="K1760" s="80" t="n">
        <x:f>(H1760*J1760+I1760)*'Inputs'!$D$48*(1+'Inputs'!$G$48)^(B1760/30)</x:f>
        <x:v>104.25656695645685</x:v>
      </x:c>
      <x:c r="L1760" s="80" t="n">
        <x:f>MAX(0,K1760*'Inputs'!$E$48)</x:f>
        <x:v>0</x:v>
      </x:c>
      <x:c r="M1760" s="80" t="n">
        <x:f>MAX(0,-K1760*'Inputs'!$E$48)</x:f>
        <x:v>0</x:v>
      </x:c>
      <x:c r="N1760" s="78" t="n">
        <x:f>H1760*(L1760*(1-'Inputs'!$B$15))/(I1760+L1760*(1-'Inputs'!$B$15))</x:f>
        <x:v>0</x:v>
      </x:c>
      <x:c r="O1760" s="78" t="n">
        <x:f>H1760-N1760</x:f>
        <x:v>65352297.55751152</x:v>
      </x:c>
      <x:c r="P1760" s="78" t="n">
        <x:f>I1760+L1760*(1-'Inputs'!$B$17)</x:f>
        <x:v>173.76094492742808</x:v>
      </x:c>
      <x:c r="Q1760" s="78" t="n">
        <x:f>IF(J1760&gt;0,M1760/J1760,0)</x:f>
        <x:v>0</x:v>
      </x:c>
      <x:c r="R1760" s="78" t="n">
        <x:f>IF(B1760='Inputs'!$H$48,'Inputs'!$B$27*'Inputs'!$I$48,0)</x:f>
        <x:v>0</x:v>
      </x:c>
      <x:c r="S1760" s="78" t="n">
        <x:f>Q1760+G1760+R1760</x:f>
        <x:v>211288.20486958133</x:v>
      </x:c>
      <x:c r="T1760" s="78" t="n">
        <x:f>P1760*(S1760*(1-'Inputs'!$B$15))/(O1760+S1760*(1-'Inputs'!$B$15))</x:f>
        <x:v>0.5543881208282061</x:v>
      </x:c>
      <x:c r="U1760" s="78" t="n">
        <x:f>O1760+S1760*(1-'Inputs'!$B$17)</x:f>
        <x:v>65562735.508035555</x:v>
      </x:c>
      <x:c r="V1760" s="78" t="n">
        <x:f>P1760-T1760</x:f>
        <x:v>173.20655680659988</x:v>
      </x:c>
      <x:c r="W1760" s="79" t="n">
        <x:f>IF(U1760&gt;0,V1760/U1760,0)</x:f>
        <x:v>0.000002641844570157863</x:v>
      </x:c>
      <x:c r="X1760" s="80" t="n">
        <x:f>W1760*('Inputs'!$B$6-AC1760)</x:f>
        <x:v>2609.9873625724645</x:v>
      </x:c>
      <x:c r="Y1760" s="80" t="n">
        <x:f>2*V1760</x:f>
        <x:v>346.41311361319976</x:v>
      </x:c>
      <x:c r="Z1760" s="80" t="n">
        <x:f>K1760*'Inputs'!$B$16+(G1760+R1760)*J1760*'Inputs'!$B$16</x:f>
        <x:v>0.6289100839796692</x:v>
      </x:c>
      <x:c r="AA1760" s="80" t="n">
        <x:f>K1760*(1+'Inputs'!$E$48)/2*'Inputs'!$B$17</x:f>
        <x:v>0.2097717644999132</x:v>
      </x:c>
      <x:c r="AB1760" s="78" t="n">
        <x:f>(IF(J1760&gt;0,K1760*(1-'Inputs'!$E$48)/2/J1760,0)+G1760+R1760)*'Inputs'!$B$17</x:f>
        <x:v>79746.38821779894</x:v>
      </x:c>
      <x:c r="AC1760" s="78" t="n">
        <x:f>AC1759+AB1760</x:f>
        <x:v>12058698.662766052</x:v>
      </x:c>
      <x:c r="AD1760" s="80" t="n">
        <x:f>Z1760/(1+'Inputs'!$C$48)</x:f>
        <x:v>0.5031280671837354</x:v>
      </x:c>
      <x:c r="AE1760" s="80" t="n">
        <x:f>Z1760-AD1760</x:f>
        <x:v>0.12578201679593382</x:v>
      </x:c>
      <x:c r="AF1760" s="80" t="n">
        <x:f>D1760*W1760</x:f>
        <x:v>0.6969848048402192</x:v>
      </x:c>
      <x:c r="AG1760" s="80" t="n">
        <x:f>C1760*W1760</x:f>
        <x:v>0.40657446949010817</x:v>
      </x:c>
      <x:c r="AH1760" s="80" t="n">
        <x:f>2*'Inputs'!$B$8*'Inputs'!$C$48</x:f>
        <x:v>1250</x:v>
      </x:c>
      <x:c r="AI1760" s="81" t="n">
        <x:f>IF(AH1760&gt;0,(AE1760+AF1760)/AH1760*365,0)</x:f>
        <x:v>0.24024791191775668</x:v>
      </x:c>
      <x:c r="AJ1760" s="81" t="n">
        <x:f>IF('Inputs'!$B$48&gt;0,AG1760/('Inputs'!$B$19*'Inputs'!$B$48)*365,0)</x:f>
        <x:v>0.05935987254555579</x:v>
      </x:c>
      <x:c r="AK1760" s="81" t="n">
        <x:f>W1760/MAX($W$1464:W1760)-1</x:f>
        <x:v>-0.9968932354107406</x:v>
      </x:c>
      <x:c r="AL1760" s="83" t="n">
        <x:f>'Inputs'!$B$48</x:f>
        <x:v>0.25</x:v>
      </x:c>
      <x:c r="AM1760" s="83" t="n">
        <x:f>'Inputs'!$C$48</x:f>
        <x:v>0.25</x:v>
      </x:c>
      <x:c r="AN1760" s="83" t="n">
        <x:f>'Inputs'!$D$48</x:f>
        <x:v>0.3</x:v>
      </x:c>
      <x:c r="AO1760" s="81" t="n">
        <x:f>'Inputs'!$E$48</x:f>
        <x:v>0</x:v>
      </x:c>
    </x:row>
    <x:row r="1761">
      <x:c r="A1761" s="59" t="str">
        <x:v>Low participation</x:v>
      </x:c>
      <x:c r="B1761" s="59" t="n">
        <x:v>298</x:v>
      </x:c>
      <x:c r="C1761" s="78" t="n">
        <x:f>(('Inputs'!$B$29*(3*298*'Inputs'!$B$12-298^2)/(2*'Inputs'!$B$12^2))-('Inputs'!$B$29*(3*297*'Inputs'!$B$12-297^2)/(2*'Inputs'!$B$12^2)))*'Inputs'!$B$48</x:f>
        <x:v>153816.6752674058</x:v>
      </x:c>
      <x:c r="D1761" s="78" t="n">
        <x:f>IF('Inputs'!$C$48&gt;0,('Inputs'!$B$30*(3*298*'Inputs'!$B$12-298^2)/(2*'Inputs'!$B$12^2))-('Inputs'!$B$30*(3*297*'Inputs'!$B$12-297^2)/(2*'Inputs'!$B$12^2)),0)</x:f>
        <x:v>263685.72902983427</x:v>
      </x:c>
      <x:c r="E1761" s="78" t="n">
        <x:f>C1761+D1761</x:f>
        <x:v>417502.4042972401</x:v>
      </x:c>
      <x:c r="F1761" s="78" t="n">
        <x:f>'Inputs'!$B$13*E1761+(1-'Inputs'!$B$13)/'Inputs'!$B$14*SUM(E1706:E1761)</x:f>
        <x:v>422355.80080690526</x:v>
      </x:c>
      <x:c r="G1761" s="78" t="n">
        <x:f>F1761*'Inputs'!$F$48</x:f>
        <x:v>211177.90040345263</x:v>
      </x:c>
      <x:c r="H1761" s="78" t="n">
        <x:f>U1760</x:f>
        <x:v>65562735.508035555</x:v>
      </x:c>
      <x:c r="I1761" s="78" t="n">
        <x:f>V1760</x:f>
        <x:v>173.20655680659988</x:v>
      </x:c>
      <x:c r="J1761" s="79" t="n">
        <x:f>IF(H1761&gt;0,I1761/H1761,0)</x:f>
        <x:v>0.000002641844570157863</x:v>
      </x:c>
      <x:c r="K1761" s="80" t="n">
        <x:f>(H1761*J1761+I1761)*'Inputs'!$D$48*(1+'Inputs'!$G$48)^(B1761/30)</x:f>
        <x:v>103.92393408395992</x:v>
      </x:c>
      <x:c r="L1761" s="80" t="n">
        <x:f>MAX(0,K1761*'Inputs'!$E$48)</x:f>
        <x:v>0</x:v>
      </x:c>
      <x:c r="M1761" s="80" t="n">
        <x:f>MAX(0,-K1761*'Inputs'!$E$48)</x:f>
        <x:v>0</x:v>
      </x:c>
      <x:c r="N1761" s="78" t="n">
        <x:f>H1761*(L1761*(1-'Inputs'!$B$15))/(I1761+L1761*(1-'Inputs'!$B$15))</x:f>
        <x:v>0</x:v>
      </x:c>
      <x:c r="O1761" s="78" t="n">
        <x:f>H1761-N1761</x:f>
        <x:v>65562735.508035555</x:v>
      </x:c>
      <x:c r="P1761" s="78" t="n">
        <x:f>I1761+L1761*(1-'Inputs'!$B$17)</x:f>
        <x:v>173.20655680659988</x:v>
      </x:c>
      <x:c r="Q1761" s="78" t="n">
        <x:f>IF(J1761&gt;0,M1761/J1761,0)</x:f>
        <x:v>0</x:v>
      </x:c>
      <x:c r="R1761" s="78" t="n">
        <x:f>IF(B1761='Inputs'!$H$48,'Inputs'!$B$27*'Inputs'!$I$48,0)</x:f>
        <x:v>0</x:v>
      </x:c>
      <x:c r="S1761" s="78" t="n">
        <x:f>Q1761+G1761+R1761</x:f>
        <x:v>211177.90040345263</x:v>
      </x:c>
      <x:c r="T1761" s="78" t="n">
        <x:f>P1761*(S1761*(1-'Inputs'!$B$15))/(O1761+S1761*(1-'Inputs'!$B$15))</x:f>
        <x:v>0.5505645601214301</x:v>
      </x:c>
      <x:c r="U1761" s="78" t="n">
        <x:f>O1761+S1761*(1-'Inputs'!$B$17)</x:f>
        <x:v>65773063.597974606</x:v>
      </x:c>
      <x:c r="V1761" s="78" t="n">
        <x:f>P1761-T1761</x:f>
        <x:v>172.65599224647843</x:v>
      </x:c>
      <x:c r="W1761" s="79" t="n">
        <x:f>IF(U1761&gt;0,V1761/U1761,0)</x:f>
        <x:v>0.0000026250258510353947</x:v>
      </x:c>
      <x:c r="X1761" s="80" t="n">
        <x:f>W1761*('Inputs'!$B$6-AC1761)</x:f>
        <x:v>2593.1614532629924</x:v>
      </x:c>
      <x:c r="Y1761" s="80" t="n">
        <x:f>2*V1761</x:f>
        <x:v>345.31198449295687</x:v>
      </x:c>
      <x:c r="Z1761" s="80" t="n">
        <x:f>K1761*'Inputs'!$B$16+(G1761+R1761)*J1761*'Inputs'!$B$16</x:f>
        <x:v>0.6268909996408688</x:v>
      </x:c>
      <x:c r="AA1761" s="80" t="n">
        <x:f>K1761*(1+'Inputs'!$E$48)/2*'Inputs'!$B$17</x:f>
        <x:v>0.20910248306631776</x:v>
      </x:c>
      <x:c r="AB1761" s="78" t="n">
        <x:f>(IF(J1761&gt;0,K1761*(1-'Inputs'!$E$48)/2/J1761,0)+G1761+R1761)*'Inputs'!$B$17</x:f>
        <x:v>79999.99417631437</x:v>
      </x:c>
      <x:c r="AC1761" s="78" t="n">
        <x:f>AC1760+AB1761</x:f>
        <x:v>12138698.656942368</x:v>
      </x:c>
      <x:c r="AD1761" s="80" t="n">
        <x:f>Z1761/(1+'Inputs'!$C$48)</x:f>
        <x:v>0.501512799712695</x:v>
      </x:c>
      <x:c r="AE1761" s="80" t="n">
        <x:f>Z1761-AD1761</x:f>
        <x:v>0.12537819992817378</x:v>
      </x:c>
      <x:c r="AF1761" s="80" t="n">
        <x:f>D1761*W1761</x:f>
        <x:v>0.6921818552524291</x:v>
      </x:c>
      <x:c r="AG1761" s="80" t="n">
        <x:f>C1761*W1761</x:f>
        <x:v>0.4037727488972569</x:v>
      </x:c>
      <x:c r="AH1761" s="80" t="n">
        <x:f>2*'Inputs'!$B$8*'Inputs'!$C$48</x:f>
        <x:v>1250</x:v>
      </x:c>
      <x:c r="AI1761" s="81" t="n">
        <x:f>IF(AH1761&gt;0,(AE1761+AF1761)/AH1761*365,0)</x:f>
        <x:v>0.23872753611273603</x:v>
      </x:c>
      <x:c r="AJ1761" s="81" t="n">
        <x:f>IF('Inputs'!$B$48&gt;0,AG1761/('Inputs'!$B$19*'Inputs'!$B$48)*365,0)</x:f>
        <x:v>0.05895082133899951</x:v>
      </x:c>
      <x:c r="AK1761" s="81" t="n">
        <x:f>W1761/MAX($W$1464:W1761)-1</x:f>
        <x:v>-0.9969130139403318</x:v>
      </x:c>
      <x:c r="AL1761" s="83" t="n">
        <x:f>'Inputs'!$B$48</x:f>
        <x:v>0.25</x:v>
      </x:c>
      <x:c r="AM1761" s="83" t="n">
        <x:f>'Inputs'!$C$48</x:f>
        <x:v>0.25</x:v>
      </x:c>
      <x:c r="AN1761" s="83" t="n">
        <x:f>'Inputs'!$D$48</x:f>
        <x:v>0.3</x:v>
      </x:c>
      <x:c r="AO1761" s="81" t="n">
        <x:f>'Inputs'!$E$48</x:f>
        <x:v>0</x:v>
      </x:c>
    </x:row>
    <x:row r="1762">
      <x:c r="A1762" s="59" t="str">
        <x:v>Low participation</x:v>
      </x:c>
      <x:c r="B1762" s="59" t="n">
        <x:v>299</x:v>
      </x:c>
      <x:c r="C1762" s="78" t="n">
        <x:f>(('Inputs'!$B$29*(3*299*'Inputs'!$B$12-299^2)/(2*'Inputs'!$B$12^2))-('Inputs'!$B$29*(3*298*'Inputs'!$B$12-298^2)/(2*'Inputs'!$B$12^2)))*'Inputs'!$B$48</x:f>
        <x:v>153735.3982923627</x:v>
      </x:c>
      <x:c r="D1762" s="78" t="n">
        <x:f>IF('Inputs'!$C$48&gt;0,('Inputs'!$B$30*(3*299*'Inputs'!$B$12-299^2)/(2*'Inputs'!$B$12^2))-('Inputs'!$B$30*(3*298*'Inputs'!$B$12-298^2)/(2*'Inputs'!$B$12^2)),0)</x:f>
        <x:v>263546.39707262814</x:v>
      </x:c>
      <x:c r="E1762" s="78" t="n">
        <x:f>C1762+D1762</x:f>
        <x:v>417281.79536499083</x:v>
      </x:c>
      <x:c r="F1762" s="78" t="n">
        <x:f>'Inputs'!$B$13*E1762+(1-'Inputs'!$B$13)/'Inputs'!$B$14*SUM(E1707:E1762)</x:f>
        <x:v>422135.1918746496</x:v>
      </x:c>
      <x:c r="G1762" s="78" t="n">
        <x:f>F1762*'Inputs'!$F$48</x:f>
        <x:v>211067.5959373248</x:v>
      </x:c>
      <x:c r="H1762" s="78" t="n">
        <x:f>U1761</x:f>
        <x:v>65773063.597974606</x:v>
      </x:c>
      <x:c r="I1762" s="78" t="n">
        <x:f>V1761</x:f>
        <x:v>172.65599224647843</x:v>
      </x:c>
      <x:c r="J1762" s="79" t="n">
        <x:f>IF(H1762&gt;0,I1762/H1762,0)</x:f>
        <x:v>0.0000026250258510353947</x:v>
      </x:c>
      <x:c r="K1762" s="80" t="n">
        <x:f>(H1762*J1762+I1762)*'Inputs'!$D$48*(1+'Inputs'!$G$48)^(B1762/30)</x:f>
        <x:v>103.59359534788706</x:v>
      </x:c>
      <x:c r="L1762" s="80" t="n">
        <x:f>MAX(0,K1762*'Inputs'!$E$48)</x:f>
        <x:v>0</x:v>
      </x:c>
      <x:c r="M1762" s="80" t="n">
        <x:f>MAX(0,-K1762*'Inputs'!$E$48)</x:f>
        <x:v>0</x:v>
      </x:c>
      <x:c r="N1762" s="78" t="n">
        <x:f>H1762*(L1762*(1-'Inputs'!$B$15))/(I1762+L1762*(1-'Inputs'!$B$15))</x:f>
        <x:v>0</x:v>
      </x:c>
      <x:c r="O1762" s="78" t="n">
        <x:f>H1762-N1762</x:f>
        <x:v>65773063.597974606</x:v>
      </x:c>
      <x:c r="P1762" s="78" t="n">
        <x:f>I1762+L1762*(1-'Inputs'!$B$17)</x:f>
        <x:v>172.65599224647843</x:v>
      </x:c>
      <x:c r="Q1762" s="78" t="n">
        <x:f>IF(J1762&gt;0,M1762/J1762,0)</x:f>
        <x:v>0</x:v>
      </x:c>
      <x:c r="R1762" s="78" t="n">
        <x:f>IF(B1762='Inputs'!$H$48,'Inputs'!$B$27*'Inputs'!$I$48,0)</x:f>
        <x:v>0</x:v>
      </x:c>
      <x:c r="S1762" s="78" t="n">
        <x:f>Q1762+G1762+R1762</x:f>
        <x:v>211067.5959373248</x:v>
      </x:c>
      <x:c r="T1762" s="78" t="n">
        <x:f>P1762*(S1762*(1-'Inputs'!$B$15))/(O1762+S1762*(1-'Inputs'!$B$15))</x:f>
        <x:v>0.5467802300134946</x:v>
      </x:c>
      <x:c r="U1762" s="78" t="n">
        <x:f>O1762+S1762*(1-'Inputs'!$B$17)</x:f>
        <x:v>65983281.82732868</x:v>
      </x:c>
      <x:c r="V1762" s="78" t="n">
        <x:f>P1762-T1762</x:f>
        <x:v>172.10921201646494</x:v>
      </x:c>
      <x:c r="W1762" s="79" t="n">
        <x:f>IF(U1762&gt;0,V1762/U1762,0)</x:f>
        <x:v>0.000002608376049964545</x:v>
      </x:c>
      <x:c r="X1762" s="80" t="n">
        <x:f>W1762*('Inputs'!$B$6-AC1762)</x:f>
        <x:v>2576.5044278874693</x:v>
      </x:c>
      <x:c r="Y1762" s="80" t="n">
        <x:f>2*V1762</x:f>
        <x:v>344.2184240329299</x:v>
      </x:c>
      <x:c r="Z1762" s="80" t="n">
        <x:f>K1762*'Inputs'!$B$16+(G1762+R1762)*J1762*'Inputs'!$B$16</x:f>
        <x:v>0.6248859194612305</x:v>
      </x:c>
      <x:c r="AA1762" s="80" t="n">
        <x:f>K1762*(1+'Inputs'!$E$48)/2*'Inputs'!$B$17</x:f>
        <x:v>0.20843781760138244</x:v>
      </x:c>
      <x:c r="AB1762" s="78" t="n">
        <x:f>(IF(J1762&gt;0,K1762*(1-'Inputs'!$E$48)/2/J1762,0)+G1762+R1762)*'Inputs'!$B$17</x:f>
        <x:v>80253.46750635697</x:v>
      </x:c>
      <x:c r="AC1762" s="78" t="n">
        <x:f>AC1761+AB1762</x:f>
        <x:v>12218952.124448724</x:v>
      </x:c>
      <x:c r="AD1762" s="80" t="n">
        <x:f>Z1762/(1+'Inputs'!$C$48)</x:f>
        <x:v>0.4999087355689844</x:v>
      </x:c>
      <x:c r="AE1762" s="80" t="n">
        <x:f>Z1762-AD1762</x:f>
        <x:v>0.1249771838922461</x:v>
      </x:c>
      <x:c r="AF1762" s="80" t="n">
        <x:f>D1762*W1762</x:f>
        <x:v>0.6874281101786893</x:v>
      </x:c>
      <x:c r="AG1762" s="80" t="n">
        <x:f>C1762*W1762</x:f>
        <x:v>0.40099973093755903</x:v>
      </x:c>
      <x:c r="AH1762" s="80" t="n">
        <x:f>2*'Inputs'!$B$8*'Inputs'!$C$48</x:f>
        <x:v>1250</x:v>
      </x:c>
      <x:c r="AI1762" s="81" t="n">
        <x:f>IF(AH1762&gt;0,(AE1762+AF1762)/AH1762*365,0)</x:f>
        <x:v>0.23722234586871313</x:v>
      </x:c>
      <x:c r="AJ1762" s="81" t="n">
        <x:f>IF('Inputs'!$B$48&gt;0,AG1762/('Inputs'!$B$19*'Inputs'!$B$48)*365,0)</x:f>
        <x:v>0.058545960716883616</x:v>
      </x:c>
      <x:c r="AK1762" s="81" t="n">
        <x:f>W1762/MAX($W$1464:W1762)-1</x:f>
        <x:v>-0.9969325938251477</x:v>
      </x:c>
      <x:c r="AL1762" s="83" t="n">
        <x:f>'Inputs'!$B$48</x:f>
        <x:v>0.25</x:v>
      </x:c>
      <x:c r="AM1762" s="83" t="n">
        <x:f>'Inputs'!$C$48</x:f>
        <x:v>0.25</x:v>
      </x:c>
      <x:c r="AN1762" s="83" t="n">
        <x:f>'Inputs'!$D$48</x:f>
        <x:v>0.3</x:v>
      </x:c>
      <x:c r="AO1762" s="81" t="n">
        <x:f>'Inputs'!$E$48</x:f>
        <x:v>0</x:v>
      </x:c>
    </x:row>
    <x:row r="1763">
      <x:c r="A1763" s="59" t="str">
        <x:v>Low participation</x:v>
      </x:c>
      <x:c r="B1763" s="59" t="n">
        <x:v>300</x:v>
      </x:c>
      <x:c r="C1763" s="78" t="n">
        <x:f>(('Inputs'!$B$29*(3*300*'Inputs'!$B$12-300^2)/(2*'Inputs'!$B$12^2))-('Inputs'!$B$29*(3*299*'Inputs'!$B$12-299^2)/(2*'Inputs'!$B$12^2)))*'Inputs'!$B$48</x:f>
        <x:v>153654.12131731957</x:v>
      </x:c>
      <x:c r="D1763" s="78" t="n">
        <x:f>IF('Inputs'!$C$48&gt;0,('Inputs'!$B$30*(3*300*'Inputs'!$B$12-300^2)/(2*'Inputs'!$B$12^2))-('Inputs'!$B$30*(3*299*'Inputs'!$B$12-299^2)/(2*'Inputs'!$B$12^2)),0)</x:f>
        <x:v>263407.0651154071</x:v>
      </x:c>
      <x:c r="E1763" s="78" t="n">
        <x:f>C1763+D1763</x:f>
        <x:v>417061.1864327267</x:v>
      </x:c>
      <x:c r="F1763" s="78" t="n">
        <x:f>'Inputs'!$B$13*E1763+(1-'Inputs'!$B$13)/'Inputs'!$B$14*SUM(E1708:E1763)</x:f>
        <x:v>421914.5829423907</x:v>
      </x:c>
      <x:c r="G1763" s="78" t="n">
        <x:f>F1763*'Inputs'!$F$48</x:f>
        <x:v>210957.29147119535</x:v>
      </x:c>
      <x:c r="H1763" s="78" t="n">
        <x:f>U1762</x:f>
        <x:v>65983281.82732868</x:v>
      </x:c>
      <x:c r="I1763" s="78" t="n">
        <x:f>V1762</x:f>
        <x:v>172.10921201646494</x:v>
      </x:c>
      <x:c r="J1763" s="79" t="n">
        <x:f>IF(H1763&gt;0,I1763/H1763,0)</x:f>
        <x:v>0.000002608376049964545</x:v>
      </x:c>
      <x:c r="K1763" s="80" t="n">
        <x:f>(H1763*J1763+I1763)*'Inputs'!$D$48*(1+'Inputs'!$G$48)^(B1763/30)</x:f>
        <x:v>103.26552720987895</x:v>
      </x:c>
      <x:c r="L1763" s="80" t="n">
        <x:f>MAX(0,K1763*'Inputs'!$E$48)</x:f>
        <x:v>0</x:v>
      </x:c>
      <x:c r="M1763" s="80" t="n">
        <x:f>MAX(0,-K1763*'Inputs'!$E$48)</x:f>
        <x:v>0</x:v>
      </x:c>
      <x:c r="N1763" s="78" t="n">
        <x:f>H1763*(L1763*(1-'Inputs'!$B$15))/(I1763+L1763*(1-'Inputs'!$B$15))</x:f>
        <x:v>0</x:v>
      </x:c>
      <x:c r="O1763" s="78" t="n">
        <x:f>H1763-N1763</x:f>
        <x:v>65983281.82732868</x:v>
      </x:c>
      <x:c r="P1763" s="78" t="n">
        <x:f>I1763+L1763*(1-'Inputs'!$B$17)</x:f>
        <x:v>172.10921201646494</x:v>
      </x:c>
      <x:c r="Q1763" s="78" t="n">
        <x:f>IF(J1763&gt;0,M1763/J1763,0)</x:f>
        <x:v>0</x:v>
      </x:c>
      <x:c r="R1763" s="78" t="n">
        <x:f>IF(B1763='Inputs'!$H$48,'Inputs'!$B$27*'Inputs'!$I$48,0)</x:f>
        <x:v>0</x:v>
      </x:c>
      <x:c r="S1763" s="78" t="n">
        <x:f>Q1763+G1763+R1763</x:f>
        <x:v>210957.29147119535</x:v>
      </x:c>
      <x:c r="T1763" s="78" t="n">
        <x:f>P1763*(S1763*(1-'Inputs'!$B$15))/(O1763+S1763*(1-'Inputs'!$B$15))</x:f>
        <x:v>0.543034595182129</x:v>
      </x:c>
      <x:c r="U1763" s="78" t="n">
        <x:f>O1763+S1763*(1-'Inputs'!$B$17)</x:f>
        <x:v>66193390.19609778</x:v>
      </x:c>
      <x:c r="V1763" s="78" t="n">
        <x:f>P1763-T1763</x:f>
        <x:v>171.56617742128282</x:v>
      </x:c>
      <x:c r="W1763" s="79" t="n">
        <x:f>IF(U1763&gt;0,V1763/U1763,0)</x:f>
        <x:v>0.000002591892890106072</x:v>
      </x:c>
      <x:c r="X1763" s="80" t="n">
        <x:f>W1763*('Inputs'!$B$6-AC1763)</x:f>
        <x:v>2560.014009946368</x:v>
      </x:c>
      <x:c r="Y1763" s="80" t="n">
        <x:f>2*V1763</x:f>
        <x:v>343.13235484256563</x:v>
      </x:c>
      <x:c r="Z1763" s="80" t="n">
        <x:f>K1763*'Inputs'!$B$16+(G1763+R1763)*J1763*'Inputs'!$B$16</x:f>
        <x:v>0.6228946989391069</x:v>
      </x:c>
      <x:c r="AA1763" s="80" t="n">
        <x:f>K1763*(1+'Inputs'!$E$48)/2*'Inputs'!$B$17</x:f>
        <x:v>0.20777772074422327</x:v>
      </x:c>
      <x:c r="AB1763" s="78" t="n">
        <x:f>(IF(J1763&gt;0,K1763*(1-'Inputs'!$E$48)/2/J1763,0)+G1763+R1763)*'Inputs'!$B$17</x:f>
        <x:v>80506.80820792676</x:v>
      </x:c>
      <x:c r="AC1763" s="78" t="n">
        <x:f>AC1762+AB1763</x:f>
        <x:v>12299458.932656651</x:v>
      </x:c>
      <x:c r="AD1763" s="80" t="n">
        <x:f>Z1763/(1+'Inputs'!$C$48)</x:f>
        <x:v>0.4983157591512855</x:v>
      </x:c>
      <x:c r="AE1763" s="80" t="n">
        <x:f>Z1763-AD1763</x:f>
        <x:v>0.12457893978782136</x:v>
      </x:c>
      <x:c r="AF1763" s="80" t="n">
        <x:f>D1763*W1763</x:f>
        <x:v>0.6827228992763309</x:v>
      </x:c>
      <x:c r="AG1763" s="80" t="n">
        <x:f>C1763*W1763</x:f>
        <x:v>0.39825502457785644</x:v>
      </x:c>
      <x:c r="AH1763" s="80" t="n">
        <x:f>2*'Inputs'!$B$8*'Inputs'!$C$48</x:f>
        <x:v>1250</x:v>
      </x:c>
      <x:c r="AI1763" s="81" t="n">
        <x:f>IF(AH1763&gt;0,(AE1763+AF1763)/AH1763*365,0)</x:f>
        <x:v>0.23573213700673246</x:v>
      </x:c>
      <x:c r="AJ1763" s="81" t="n">
        <x:f>IF('Inputs'!$B$48&gt;0,AG1763/('Inputs'!$B$19*'Inputs'!$B$48)*365,0)</x:f>
        <x:v>0.05814523358836704</x:v>
      </x:c>
      <x:c r="AK1763" s="81" t="n">
        <x:f>W1763/MAX($W$1464:W1763)-1</x:f>
        <x:v>-0.9969519777427127</x:v>
      </x:c>
      <x:c r="AL1763" s="83" t="n">
        <x:f>'Inputs'!$B$48</x:f>
        <x:v>0.25</x:v>
      </x:c>
      <x:c r="AM1763" s="83" t="n">
        <x:f>'Inputs'!$C$48</x:f>
        <x:v>0.25</x:v>
      </x:c>
      <x:c r="AN1763" s="83" t="n">
        <x:f>'Inputs'!$D$48</x:f>
        <x:v>0.3</x:v>
      </x:c>
      <x:c r="AO1763" s="81" t="n">
        <x:f>'Inputs'!$E$48</x:f>
        <x:v>0</x:v>
      </x:c>
    </x:row>
    <x:row r="1764">
      <x:c r="A1764" s="59" t="str">
        <x:v>Low participation</x:v>
      </x:c>
      <x:c r="B1764" s="59" t="n">
        <x:v>301</x:v>
      </x:c>
      <x:c r="C1764" s="78" t="n">
        <x:f>(('Inputs'!$B$29*(3*301*'Inputs'!$B$12-301^2)/(2*'Inputs'!$B$12^2))-('Inputs'!$B$29*(3*300*'Inputs'!$B$12-300^2)/(2*'Inputs'!$B$12^2)))*'Inputs'!$B$48</x:f>
        <x:v>153572.8443422839</x:v>
      </x:c>
      <x:c r="D1764" s="78" t="n">
        <x:f>IF('Inputs'!$C$48&gt;0,('Inputs'!$B$30*(3*301*'Inputs'!$B$12-301^2)/(2*'Inputs'!$B$12^2))-('Inputs'!$B$30*(3*300*'Inputs'!$B$12-300^2)/(2*'Inputs'!$B$12^2)),0)</x:f>
        <x:v>263267.7331581861</x:v>
      </x:c>
      <x:c r="E1764" s="78" t="n">
        <x:f>C1764+D1764</x:f>
        <x:v>416840.57750047</x:v>
      </x:c>
      <x:c r="F1764" s="78" t="n">
        <x:f>'Inputs'!$B$13*E1764+(1-'Inputs'!$B$13)/'Inputs'!$B$14*SUM(E1709:E1764)</x:f>
        <x:v>421693.9740101335</x:v>
      </x:c>
      <x:c r="G1764" s="78" t="n">
        <x:f>F1764*'Inputs'!$F$48</x:f>
        <x:v>210846.98700506674</x:v>
      </x:c>
      <x:c r="H1764" s="78" t="n">
        <x:f>U1763</x:f>
        <x:v>66193390.19609778</x:v>
      </x:c>
      <x:c r="I1764" s="78" t="n">
        <x:f>V1763</x:f>
        <x:v>171.56617742128282</x:v>
      </x:c>
      <x:c r="J1764" s="79" t="n">
        <x:f>IF(H1764&gt;0,I1764/H1764,0)</x:f>
        <x:v>0.000002591892890106072</x:v>
      </x:c>
      <x:c r="K1764" s="80" t="n">
        <x:f>(H1764*J1764+I1764)*'Inputs'!$D$48*(1+'Inputs'!$G$48)^(B1764/30)</x:f>
        <x:v>102.93970645276968</x:v>
      </x:c>
      <x:c r="L1764" s="80" t="n">
        <x:f>MAX(0,K1764*'Inputs'!$E$48)</x:f>
        <x:v>0</x:v>
      </x:c>
      <x:c r="M1764" s="80" t="n">
        <x:f>MAX(0,-K1764*'Inputs'!$E$48)</x:f>
        <x:v>0</x:v>
      </x:c>
      <x:c r="N1764" s="78" t="n">
        <x:f>H1764*(L1764*(1-'Inputs'!$B$15))/(I1764+L1764*(1-'Inputs'!$B$15))</x:f>
        <x:v>0</x:v>
      </x:c>
      <x:c r="O1764" s="78" t="n">
        <x:f>H1764-N1764</x:f>
        <x:v>66193390.19609778</x:v>
      </x:c>
      <x:c r="P1764" s="78" t="n">
        <x:f>I1764+L1764*(1-'Inputs'!$B$17)</x:f>
        <x:v>171.56617742128282</x:v>
      </x:c>
      <x:c r="Q1764" s="78" t="n">
        <x:f>IF(J1764&gt;0,M1764/J1764,0)</x:f>
        <x:v>0</x:v>
      </x:c>
      <x:c r="R1764" s="78" t="n">
        <x:f>IF(B1764='Inputs'!$H$48,'Inputs'!$B$27*'Inputs'!$I$48,0)</x:f>
        <x:v>0</x:v>
      </x:c>
      <x:c r="S1764" s="78" t="n">
        <x:f>Q1764+G1764+R1764</x:f>
        <x:v>210846.98700506674</x:v>
      </x:c>
      <x:c r="T1764" s="78" t="n">
        <x:f>P1764*(S1764*(1-'Inputs'!$B$15))/(O1764+S1764*(1-'Inputs'!$B$15))</x:f>
        <x:v>0.5393271294072963</x:v>
      </x:c>
      <x:c r="U1764" s="78" t="n">
        <x:f>O1764+S1764*(1-'Inputs'!$B$17)</x:f>
        <x:v>66403388.7042819</x:v>
      </x:c>
      <x:c r="V1764" s="78" t="n">
        <x:f>P1764-T1764</x:f>
        <x:v>171.02685029187552</x:v>
      </x:c>
      <x:c r="W1764" s="79" t="n">
        <x:f>IF(U1764&gt;0,V1764/U1764,0)</x:f>
        <x:v>0.0000025755741330238343</x:v>
      </x:c>
      <x:c r="X1764" s="80" t="n">
        <x:f>W1764*('Inputs'!$B$6-AC1764)</x:f>
        <x:v>2543.687961337779</x:v>
      </x:c>
      <x:c r="Y1764" s="80" t="n">
        <x:f>2*V1764</x:f>
        <x:v>342.05370058375104</x:v>
      </x:c>
      <x:c r="Z1764" s="80" t="n">
        <x:f>K1764*'Inputs'!$B$16+(G1764+R1764)*J1764*'Inputs'!$B$16</x:f>
        <x:v>0.6209171955557304</x:v>
      </x:c>
      <x:c r="AA1764" s="80" t="n">
        <x:f>K1764*(1+'Inputs'!$E$48)/2*'Inputs'!$B$17</x:f>
        <x:v>0.2071221457802207</x:v>
      </x:c>
      <x:c r="AB1764" s="78" t="n">
        <x:f>(IF(J1764&gt;0,K1764*(1-'Inputs'!$E$48)/2/J1764,0)+G1764+R1764)*'Inputs'!$B$17</x:f>
        <x:v>80760.01628102375</x:v>
      </x:c>
      <x:c r="AC1764" s="78" t="n">
        <x:f>AC1763+AB1764</x:f>
        <x:v>12380218.948937675</x:v>
      </x:c>
      <x:c r="AD1764" s="80" t="n">
        <x:f>Z1764/(1+'Inputs'!$C$48)</x:f>
        <x:v>0.49673375644458434</x:v>
      </x:c>
      <x:c r="AE1764" s="80" t="n">
        <x:f>Z1764-AD1764</x:f>
        <x:v>0.1241834391111461</x:v>
      </x:c>
      <x:c r="AF1764" s="80" t="n">
        <x:f>D1764*W1764</x:f>
        <x:v>0.6780655635820453</x:v>
      </x:c>
      <x:c r="AG1764" s="80" t="n">
        <x:f>C1764*W1764</x:f>
        <x:v>0.39553824542288213</x:v>
      </x:c>
      <x:c r="AH1764" s="80" t="n">
        <x:f>2*'Inputs'!$B$8*'Inputs'!$C$48</x:f>
        <x:v>1250</x:v>
      </x:c>
      <x:c r="AI1764" s="81" t="n">
        <x:f>IF(AH1764&gt;0,(AE1764+AF1764)/AH1764*365,0)</x:f>
        <x:v>0.23425670878641192</x:v>
      </x:c>
      <x:c r="AJ1764" s="81" t="n">
        <x:f>IF('Inputs'!$B$48&gt;0,AG1764/('Inputs'!$B$19*'Inputs'!$B$48)*365,0)</x:f>
        <x:v>0.05774858383174079</x:v>
      </x:c>
      <x:c r="AK1764" s="81" t="n">
        <x:f>W1764/MAX($W$1464:W1764)-1</x:f>
        <x:v>-0.9969711683253898</x:v>
      </x:c>
      <x:c r="AL1764" s="83" t="n">
        <x:f>'Inputs'!$B$48</x:f>
        <x:v>0.25</x:v>
      </x:c>
      <x:c r="AM1764" s="83" t="n">
        <x:f>'Inputs'!$C$48</x:f>
        <x:v>0.25</x:v>
      </x:c>
      <x:c r="AN1764" s="83" t="n">
        <x:f>'Inputs'!$D$48</x:f>
        <x:v>0.3</x:v>
      </x:c>
      <x:c r="AO1764" s="81" t="n">
        <x:f>'Inputs'!$E$48</x:f>
        <x:v>0</x:v>
      </x:c>
    </x:row>
    <x:row r="1765">
      <x:c r="A1765" s="59" t="str">
        <x:v>Low participation</x:v>
      </x:c>
      <x:c r="B1765" s="59" t="n">
        <x:v>302</x:v>
      </x:c>
      <x:c r="C1765" s="78" t="n">
        <x:f>(('Inputs'!$B$29*(3*302*'Inputs'!$B$12-302^2)/(2*'Inputs'!$B$12^2))-('Inputs'!$B$29*(3*301*'Inputs'!$B$12-301^2)/(2*'Inputs'!$B$12^2)))*'Inputs'!$B$48</x:f>
        <x:v>153491.56736723334</x:v>
      </x:c>
      <x:c r="D1765" s="78" t="n">
        <x:f>IF('Inputs'!$C$48&gt;0,('Inputs'!$B$30*(3*302*'Inputs'!$B$12-302^2)/(2*'Inputs'!$B$12^2))-('Inputs'!$B$30*(3*301*'Inputs'!$B$12-301^2)/(2*'Inputs'!$B$12^2)),0)</x:f>
        <x:v>263128.40120097995</x:v>
      </x:c>
      <x:c r="E1765" s="78" t="n">
        <x:f>C1765+D1765</x:f>
        <x:v>416619.9685682133</x:v>
      </x:c>
      <x:c r="F1765" s="78" t="n">
        <x:f>'Inputs'!$B$13*E1765+(1-'Inputs'!$B$13)/'Inputs'!$B$14*SUM(E1710:E1765)</x:f>
        <x:v>421473.3650778762</x:v>
      </x:c>
      <x:c r="G1765" s="78" t="n">
        <x:f>F1765*'Inputs'!$F$48</x:f>
        <x:v>210736.6825389381</x:v>
      </x:c>
      <x:c r="H1765" s="78" t="n">
        <x:f>U1764</x:f>
        <x:v>66403388.7042819</x:v>
      </x:c>
      <x:c r="I1765" s="78" t="n">
        <x:f>V1764</x:f>
        <x:v>171.02685029187552</x:v>
      </x:c>
      <x:c r="J1765" s="79" t="n">
        <x:f>IF(H1765&gt;0,I1765/H1765,0)</x:f>
        <x:v>0.0000025755741330238343</x:v>
      </x:c>
      <x:c r="K1765" s="80" t="n">
        <x:f>(H1765*J1765+I1765)*'Inputs'!$D$48*(1+'Inputs'!$G$48)^(B1765/30)</x:f>
        <x:v>102.61611017512531</x:v>
      </x:c>
      <x:c r="L1765" s="80" t="n">
        <x:f>MAX(0,K1765*'Inputs'!$E$48)</x:f>
        <x:v>0</x:v>
      </x:c>
      <x:c r="M1765" s="80" t="n">
        <x:f>MAX(0,-K1765*'Inputs'!$E$48)</x:f>
        <x:v>0</x:v>
      </x:c>
      <x:c r="N1765" s="78" t="n">
        <x:f>H1765*(L1765*(1-'Inputs'!$B$15))/(I1765+L1765*(1-'Inputs'!$B$15))</x:f>
        <x:v>0</x:v>
      </x:c>
      <x:c r="O1765" s="78" t="n">
        <x:f>H1765-N1765</x:f>
        <x:v>66403388.7042819</x:v>
      </x:c>
      <x:c r="P1765" s="78" t="n">
        <x:f>I1765+L1765*(1-'Inputs'!$B$17)</x:f>
        <x:v>171.02685029187552</x:v>
      </x:c>
      <x:c r="Q1765" s="78" t="n">
        <x:f>IF(J1765&gt;0,M1765/J1765,0)</x:f>
        <x:v>0</x:v>
      </x:c>
      <x:c r="R1765" s="78" t="n">
        <x:f>IF(B1765='Inputs'!$H$48,'Inputs'!$B$27*'Inputs'!$I$48,0)</x:f>
        <x:v>0</x:v>
      </x:c>
      <x:c r="S1765" s="78" t="n">
        <x:f>Q1765+G1765+R1765</x:f>
        <x:v>210736.6825389381</x:v>
      </x:c>
      <x:c r="T1765" s="78" t="n">
        <x:f>P1765*(S1765*(1-'Inputs'!$B$15))/(O1765+S1765*(1-'Inputs'!$B$15))</x:f>
        <x:v>0.5356573153860437</x:v>
      </x:c>
      <x:c r="U1765" s="78" t="n">
        <x:f>O1765+S1765*(1-'Inputs'!$B$17)</x:f>
        <x:v>66613277.35188104</x:v>
      </x:c>
      <x:c r="V1765" s="78" t="n">
        <x:f>P1765-T1765</x:f>
        <x:v>170.4911929764895</x:v>
      </x:c>
      <x:c r="W1765" s="79" t="n">
        <x:f>IF(U1765&gt;0,V1765/U1765,0)</x:f>
        <x:v>0.0000025594175779083646</x:v>
      </x:c>
      <x:c r="X1765" s="80" t="n">
        <x:f>W1765*('Inputs'!$B$6-AC1765)</x:f>
        <x:v>2527.5240815810957</x:v>
      </x:c>
      <x:c r="Y1765" s="80" t="n">
        <x:f>2*V1765</x:f>
        <x:v>340.982385952979</x:v>
      </x:c>
      <x:c r="Z1765" s="80" t="n">
        <x:f>K1765*'Inputs'!$B$16+(G1765+R1765)*J1765*'Inputs'!$B$16</x:f>
        <x:v>0.6189532687413112</x:v>
      </x:c>
      <x:c r="AA1765" s="80" t="n">
        <x:f>K1765*(1+'Inputs'!$E$48)/2*'Inputs'!$B$17</x:f>
        <x:v>0.20647104663003082</x:v>
      </x:c>
      <x:c r="AB1765" s="78" t="n">
        <x:f>(IF(J1765&gt;0,K1765*(1-'Inputs'!$E$48)/2/J1765,0)+G1765+R1765)*'Inputs'!$B$17</x:f>
        <x:v>81013.09172564792</x:v>
      </x:c>
      <x:c r="AC1765" s="78" t="n">
        <x:f>AC1764+AB1765</x:f>
        <x:v>12461232.040663322</x:v>
      </x:c>
      <x:c r="AD1765" s="80" t="n">
        <x:f>Z1765/(1+'Inputs'!$C$48)</x:f>
        <x:v>0.4951626149930489</x:v>
      </x:c>
      <x:c r="AE1765" s="80" t="n">
        <x:f>Z1765-AD1765</x:f>
        <x:v>0.12379065374826226</x:v>
      </x:c>
      <x:c r="AF1765" s="80" t="n">
        <x:f>D1765*W1765</x:f>
        <x:v>0.6734554552807125</x:v>
      </x:c>
      <x:c r="AG1765" s="80" t="n">
        <x:f>C1765*W1765</x:f>
        <x:v>0.3928490155804029</x:v>
      </x:c>
      <x:c r="AH1765" s="80" t="n">
        <x:f>2*'Inputs'!$B$8*'Inputs'!$C$48</x:f>
        <x:v>1250</x:v>
      </x:c>
      <x:c r="AI1765" s="81" t="n">
        <x:f>IF(AH1765&gt;0,(AE1765+AF1765)/AH1765*365,0)</x:f>
        <x:v>0.23279586383646064</x:v>
      </x:c>
      <x:c r="AJ1765" s="81" t="n">
        <x:f>IF('Inputs'!$B$48&gt;0,AG1765/('Inputs'!$B$19*'Inputs'!$B$48)*365,0)</x:f>
        <x:v>0.05735595627473883</x:v>
      </x:c>
      <x:c r="AK1765" s="81" t="n">
        <x:f>W1765/MAX($W$1464:W1765)-1</x:f>
        <x:v>-0.9969901681612939</x:v>
      </x:c>
      <x:c r="AL1765" s="83" t="n">
        <x:f>'Inputs'!$B$48</x:f>
        <x:v>0.25</x:v>
      </x:c>
      <x:c r="AM1765" s="83" t="n">
        <x:f>'Inputs'!$C$48</x:f>
        <x:v>0.25</x:v>
      </x:c>
      <x:c r="AN1765" s="83" t="n">
        <x:f>'Inputs'!$D$48</x:f>
        <x:v>0.3</x:v>
      </x:c>
      <x:c r="AO1765" s="81" t="n">
        <x:f>'Inputs'!$E$48</x:f>
        <x:v>0</x:v>
      </x:c>
    </x:row>
    <x:row r="1766">
      <x:c r="A1766" s="59" t="str">
        <x:v>Low participation</x:v>
      </x:c>
      <x:c r="B1766" s="59" t="n">
        <x:v>303</x:v>
      </x:c>
      <x:c r="C1766" s="78" t="n">
        <x:f>(('Inputs'!$B$29*(3*303*'Inputs'!$B$12-303^2)/(2*'Inputs'!$B$12^2))-('Inputs'!$B$29*(3*302*'Inputs'!$B$12-302^2)/(2*'Inputs'!$B$12^2)))*'Inputs'!$B$48</x:f>
        <x:v>153410.29039219022</x:v>
      </x:c>
      <x:c r="D1766" s="78" t="n">
        <x:f>IF('Inputs'!$C$48&gt;0,('Inputs'!$B$30*(3*303*'Inputs'!$B$12-303^2)/(2*'Inputs'!$B$12^2))-('Inputs'!$B$30*(3*302*'Inputs'!$B$12-302^2)/(2*'Inputs'!$B$12^2)),0)</x:f>
        <x:v>262989.0692437589</x:v>
      </x:c>
      <x:c r="E1766" s="78" t="n">
        <x:f>C1766+D1766</x:f>
        <x:v>416399.35963594913</x:v>
      </x:c>
      <x:c r="F1766" s="78" t="n">
        <x:f>'Inputs'!$B$13*E1766+(1-'Inputs'!$B$13)/'Inputs'!$B$14*SUM(E1711:E1766)</x:f>
        <x:v>421252.7561456174</x:v>
      </x:c>
      <x:c r="G1766" s="78" t="n">
        <x:f>F1766*'Inputs'!$F$48</x:f>
        <x:v>210626.3780728087</x:v>
      </x:c>
      <x:c r="H1766" s="78" t="n">
        <x:f>U1765</x:f>
        <x:v>66613277.35188104</x:v>
      </x:c>
      <x:c r="I1766" s="78" t="n">
        <x:f>V1765</x:f>
        <x:v>170.4911929764895</x:v>
      </x:c>
      <x:c r="J1766" s="79" t="n">
        <x:f>IF(H1766&gt;0,I1766/H1766,0)</x:f>
        <x:v>0.0000025594175779083646</x:v>
      </x:c>
      <x:c r="K1766" s="80" t="n">
        <x:f>(H1766*J1766+I1766)*'Inputs'!$D$48*(1+'Inputs'!$G$48)^(B1766/30)</x:f>
        <x:v>102.29471578589369</x:v>
      </x:c>
      <x:c r="L1766" s="80" t="n">
        <x:f>MAX(0,K1766*'Inputs'!$E$48)</x:f>
        <x:v>0</x:v>
      </x:c>
      <x:c r="M1766" s="80" t="n">
        <x:f>MAX(0,-K1766*'Inputs'!$E$48)</x:f>
        <x:v>0</x:v>
      </x:c>
      <x:c r="N1766" s="78" t="n">
        <x:f>H1766*(L1766*(1-'Inputs'!$B$15))/(I1766+L1766*(1-'Inputs'!$B$15))</x:f>
        <x:v>0</x:v>
      </x:c>
      <x:c r="O1766" s="78" t="n">
        <x:f>H1766-N1766</x:f>
        <x:v>66613277.35188104</x:v>
      </x:c>
      <x:c r="P1766" s="78" t="n">
        <x:f>I1766+L1766*(1-'Inputs'!$B$17)</x:f>
        <x:v>170.4911929764895</x:v>
      </x:c>
      <x:c r="Q1766" s="78" t="n">
        <x:f>IF(J1766&gt;0,M1766/J1766,0)</x:f>
        <x:v>0</x:v>
      </x:c>
      <x:c r="R1766" s="78" t="n">
        <x:f>IF(B1766='Inputs'!$H$48,'Inputs'!$B$27*'Inputs'!$I$48,0)</x:f>
        <x:v>0</x:v>
      </x:c>
      <x:c r="S1766" s="78" t="n">
        <x:f>Q1766+G1766+R1766</x:f>
        <x:v>210626.3780728087</x:v>
      </x:c>
      <x:c r="T1766" s="78" t="n">
        <x:f>P1766*(S1766*(1-'Inputs'!$B$15))/(O1766+S1766*(1-'Inputs'!$B$15))</x:f>
        <x:v>0.5320246445517646</x:v>
      </x:c>
      <x:c r="U1766" s="78" t="n">
        <x:f>O1766+S1766*(1-'Inputs'!$B$17)</x:f>
        <x:v>66823056.138895206</x:v>
      </x:c>
      <x:c r="V1766" s="78" t="n">
        <x:f>P1766-T1766</x:f>
        <x:v>169.95916833193772</x:v>
      </x:c>
      <x:c r="W1766" s="79" t="n">
        <x:f>IF(U1766&gt;0,V1766/U1766,0)</x:f>
        <x:v>0.00000254342106081872</x:v>
      </x:c>
      <x:c r="X1766" s="80" t="n">
        <x:f>W1766*('Inputs'!$B$6-AC1766)</x:f>
        <x:v>2511.520207058965</x:v>
      </x:c>
      <x:c r="Y1766" s="80" t="n">
        <x:f>2*V1766</x:f>
        <x:v>339.91833666387544</x:v>
      </x:c>
      <x:c r="Z1766" s="80" t="n">
        <x:f>K1766*'Inputs'!$B$16+(G1766+R1766)*J1766*'Inputs'!$B$16</x:f>
        <x:v>0.6170027798418264</x:v>
      </x:c>
      <x:c r="AA1766" s="80" t="n">
        <x:f>K1766*(1+'Inputs'!$E$48)/2*'Inputs'!$B$17</x:f>
        <x:v>0.20582437783882032</x:v>
      </x:c>
      <x:c r="AB1766" s="78" t="n">
        <x:f>(IF(J1766&gt;0,K1766*(1-'Inputs'!$E$48)/2/J1766,0)+G1766+R1766)*'Inputs'!$B$17</x:f>
        <x:v>81266.03454179928</x:v>
      </x:c>
      <x:c r="AC1766" s="78" t="n">
        <x:f>AC1765+AB1766</x:f>
        <x:v>12542498.075205121</x:v>
      </x:c>
      <x:c r="AD1766" s="80" t="n">
        <x:f>Z1766/(1+'Inputs'!$C$48)</x:f>
        <x:v>0.4936022238734611</x:v>
      </x:c>
      <x:c r="AE1766" s="80" t="n">
        <x:f>Z1766-AD1766</x:f>
        <x:v>0.1234005559683653</x:v>
      </x:c>
      <x:c r="AF1766" s="80" t="n">
        <x:f>D1766*W1766</x:f>
        <x:v>0.6688919374796891</x:v>
      </x:c>
      <x:c r="AG1766" s="80" t="n">
        <x:f>C1766*W1766</x:f>
        <x:v>0.3901869635298123</x:v>
      </x:c>
      <x:c r="AH1766" s="80" t="n">
        <x:f>2*'Inputs'!$B$8*'Inputs'!$C$48</x:f>
        <x:v>1250</x:v>
      </x:c>
      <x:c r="AI1766" s="81" t="n">
        <x:f>IF(AH1766&gt;0,(AE1766+AF1766)/AH1766*365,0)</x:f>
        <x:v>0.2313494080868319</x:v>
      </x:c>
      <x:c r="AJ1766" s="81" t="n">
        <x:f>IF('Inputs'!$B$48&gt;0,AG1766/('Inputs'!$B$19*'Inputs'!$B$48)*365,0)</x:f>
        <x:v>0.056967296675352594</x:v>
      </x:c>
      <x:c r="AK1766" s="81" t="n">
        <x:f>W1766/MAX($W$1464:W1766)-1</x:f>
        <x:v>-0.997008979795183</x:v>
      </x:c>
      <x:c r="AL1766" s="83" t="n">
        <x:f>'Inputs'!$B$48</x:f>
        <x:v>0.25</x:v>
      </x:c>
      <x:c r="AM1766" s="83" t="n">
        <x:f>'Inputs'!$C$48</x:f>
        <x:v>0.25</x:v>
      </x:c>
      <x:c r="AN1766" s="83" t="n">
        <x:f>'Inputs'!$D$48</x:f>
        <x:v>0.3</x:v>
      </x:c>
      <x:c r="AO1766" s="81" t="n">
        <x:f>'Inputs'!$E$48</x:f>
        <x:v>0</x:v>
      </x:c>
    </x:row>
    <x:row r="1767">
      <x:c r="A1767" s="59" t="str">
        <x:v>Low participation</x:v>
      </x:c>
      <x:c r="B1767" s="59" t="n">
        <x:v>304</x:v>
      </x:c>
      <x:c r="C1767" s="78" t="n">
        <x:f>(('Inputs'!$B$29*(3*304*'Inputs'!$B$12-304^2)/(2*'Inputs'!$B$12^2))-('Inputs'!$B$29*(3*303*'Inputs'!$B$12-303^2)/(2*'Inputs'!$B$12^2)))*'Inputs'!$B$48</x:f>
        <x:v>153329.01341715455</x:v>
      </x:c>
      <x:c r="D1767" s="78" t="n">
        <x:f>IF('Inputs'!$C$48&gt;0,('Inputs'!$B$30*(3*304*'Inputs'!$B$12-304^2)/(2*'Inputs'!$B$12^2))-('Inputs'!$B$30*(3*303*'Inputs'!$B$12-303^2)/(2*'Inputs'!$B$12^2)),0)</x:f>
        <x:v>262849.7372865379</x:v>
      </x:c>
      <x:c r="E1767" s="78" t="n">
        <x:f>C1767+D1767</x:f>
        <x:v>416178.75070369244</x:v>
      </x:c>
      <x:c r="F1767" s="78" t="n">
        <x:f>'Inputs'!$B$13*E1767+(1-'Inputs'!$B$13)/'Inputs'!$B$14*SUM(E1712:E1767)</x:f>
        <x:v>421032.14721335995</x:v>
      </x:c>
      <x:c r="G1767" s="78" t="n">
        <x:f>F1767*'Inputs'!$F$48</x:f>
        <x:v>210516.07360667997</x:v>
      </x:c>
      <x:c r="H1767" s="78" t="n">
        <x:f>U1766</x:f>
        <x:v>66823056.138895206</x:v>
      </x:c>
      <x:c r="I1767" s="78" t="n">
        <x:f>V1766</x:f>
        <x:v>169.95916833193772</x:v>
      </x:c>
      <x:c r="J1767" s="79" t="n">
        <x:f>IF(H1767&gt;0,I1767/H1767,0)</x:f>
        <x:v>0.00000254342106081872</x:v>
      </x:c>
      <x:c r="K1767" s="80" t="n">
        <x:f>(H1767*J1767+I1767)*'Inputs'!$D$48*(1+'Inputs'!$G$48)^(B1767/30)</x:f>
        <x:v>101.97550099916263</x:v>
      </x:c>
      <x:c r="L1767" s="80" t="n">
        <x:f>MAX(0,K1767*'Inputs'!$E$48)</x:f>
        <x:v>0</x:v>
      </x:c>
      <x:c r="M1767" s="80" t="n">
        <x:f>MAX(0,-K1767*'Inputs'!$E$48)</x:f>
        <x:v>0</x:v>
      </x:c>
      <x:c r="N1767" s="78" t="n">
        <x:f>H1767*(L1767*(1-'Inputs'!$B$15))/(I1767+L1767*(1-'Inputs'!$B$15))</x:f>
        <x:v>0</x:v>
      </x:c>
      <x:c r="O1767" s="78" t="n">
        <x:f>H1767-N1767</x:f>
        <x:v>66823056.138895206</x:v>
      </x:c>
      <x:c r="P1767" s="78" t="n">
        <x:f>I1767+L1767*(1-'Inputs'!$B$17)</x:f>
        <x:v>169.95916833193772</x:v>
      </x:c>
      <x:c r="Q1767" s="78" t="n">
        <x:f>IF(J1767&gt;0,M1767/J1767,0)</x:f>
        <x:v>0</x:v>
      </x:c>
      <x:c r="R1767" s="78" t="n">
        <x:f>IF(B1767='Inputs'!$H$48,'Inputs'!$B$27*'Inputs'!$I$48,0)</x:f>
        <x:v>0</x:v>
      </x:c>
      <x:c r="S1767" s="78" t="n">
        <x:f>Q1767+G1767+R1767</x:f>
        <x:v>210516.07360667997</x:v>
      </x:c>
      <x:c r="T1767" s="78" t="n">
        <x:f>P1767*(S1767*(1-'Inputs'!$B$15))/(O1767+S1767*(1-'Inputs'!$B$15))</x:f>
        <x:v>0.5284286168977147</x:v>
      </x:c>
      <x:c r="U1767" s="78" t="n">
        <x:f>O1767+S1767*(1-'Inputs'!$B$17)</x:f>
        <x:v>67032725.065324396</x:v>
      </x:c>
      <x:c r="V1767" s="78" t="n">
        <x:f>P1767-T1767</x:f>
        <x:v>169.43073971504</x:v>
      </x:c>
      <x:c r="W1767" s="79" t="n">
        <x:f>IF(U1767&gt;0,V1767/U1767,0)</x:f>
        <x:v>0.0000025275824539421187</x:v>
      </x:c>
      <x:c r="X1767" s="80" t="n">
        <x:f>W1767*('Inputs'!$B$6-AC1767)</x:f>
        <x:v>2495.6742102770236</x:v>
      </x:c>
      <x:c r="Y1767" s="80" t="n">
        <x:f>2*V1767</x:f>
        <x:v>338.86147943008</x:v>
      </x:c>
      <x:c r="Z1767" s="80" t="n">
        <x:f>K1767*'Inputs'!$B$16+(G1767+R1767)*J1767*'Inputs'!$B$16</x:f>
        <x:v>0.6150655920864884</x:v>
      </x:c>
      <x:c r="AA1767" s="80" t="n">
        <x:f>K1767*(1+'Inputs'!$E$48)/2*'Inputs'!$B$17</x:f>
        <x:v>0.2051820945657196</x:v>
      </x:c>
      <x:c r="AB1767" s="78" t="n">
        <x:f>(IF(J1767&gt;0,K1767*(1-'Inputs'!$E$48)/2/J1767,0)+G1767+R1767)*'Inputs'!$B$17</x:f>
        <x:v>81518.84472947785</x:v>
      </x:c>
      <x:c r="AC1767" s="78" t="n">
        <x:f>AC1766+AB1767</x:f>
        <x:v>12624016.919934599</x:v>
      </x:c>
      <x:c r="AD1767" s="80" t="n">
        <x:f>Z1767/(1+'Inputs'!$C$48)</x:f>
        <x:v>0.4920524736691907</x:v>
      </x:c>
      <x:c r="AE1767" s="80" t="n">
        <x:f>Z1767-AD1767</x:f>
        <x:v>0.12301311841729767</x:v>
      </x:c>
      <x:c r="AF1767" s="80" t="n">
        <x:f>D1767*W1767</x:f>
        <x:v>0.6643743839887486</x:v>
      </x:c>
      <x:c r="AG1767" s="80" t="n">
        <x:f>C1767*W1767</x:f>
        <x:v>0.38755172399345555</x:v>
      </x:c>
      <x:c r="AH1767" s="80" t="n">
        <x:f>2*'Inputs'!$B$8*'Inputs'!$C$48</x:f>
        <x:v>1250</x:v>
      </x:c>
      <x:c r="AI1767" s="81" t="n">
        <x:f>IF(AH1767&gt;0,(AE1767+AF1767)/AH1767*365,0)</x:f>
        <x:v>0.22991715070256552</x:v>
      </x:c>
      <x:c r="AJ1767" s="81" t="n">
        <x:f>IF('Inputs'!$B$48&gt;0,AG1767/('Inputs'!$B$19*'Inputs'!$B$48)*365,0)</x:f>
        <x:v>0.05658255170304451</x:v>
      </x:c>
      <x:c r="AK1767" s="81" t="n">
        <x:f>W1767/MAX($W$1464:W1767)-1</x:f>
        <x:v>-0.9970276057293289</x:v>
      </x:c>
      <x:c r="AL1767" s="83" t="n">
        <x:f>'Inputs'!$B$48</x:f>
        <x:v>0.25</x:v>
      </x:c>
      <x:c r="AM1767" s="83" t="n">
        <x:f>'Inputs'!$C$48</x:f>
        <x:v>0.25</x:v>
      </x:c>
      <x:c r="AN1767" s="83" t="n">
        <x:f>'Inputs'!$D$48</x:f>
        <x:v>0.3</x:v>
      </x:c>
      <x:c r="AO1767" s="81" t="n">
        <x:f>'Inputs'!$E$48</x:f>
        <x:v>0</x:v>
      </x:c>
    </x:row>
    <x:row r="1768">
      <x:c r="A1768" s="59" t="str">
        <x:v>Low participation</x:v>
      </x:c>
      <x:c r="B1768" s="59" t="n">
        <x:v>305</x:v>
      </x:c>
      <x:c r="C1768" s="78" t="n">
        <x:f>(('Inputs'!$B$29*(3*305*'Inputs'!$B$12-305^2)/(2*'Inputs'!$B$12^2))-('Inputs'!$B$29*(3*304*'Inputs'!$B$12-304^2)/(2*'Inputs'!$B$12^2)))*'Inputs'!$B$48</x:f>
        <x:v>153247.73644211143</x:v>
      </x:c>
      <x:c r="D1768" s="78" t="n">
        <x:f>IF('Inputs'!$C$48&gt;0,('Inputs'!$B$30*(3*305*'Inputs'!$B$12-305^2)/(2*'Inputs'!$B$12^2))-('Inputs'!$B$30*(3*304*'Inputs'!$B$12-304^2)/(2*'Inputs'!$B$12^2)),0)</x:f>
        <x:v>262710.40532933176</x:v>
      </x:c>
      <x:c r="E1768" s="78" t="n">
        <x:f>C1768+D1768</x:f>
        <x:v>415958.1417714432</x:v>
      </x:c>
      <x:c r="F1768" s="78" t="n">
        <x:f>'Inputs'!$B$13*E1768+(1-'Inputs'!$B$13)/'Inputs'!$B$14*SUM(E1713:E1768)</x:f>
        <x:v>420811.53828110424</x:v>
      </x:c>
      <x:c r="G1768" s="78" t="n">
        <x:f>F1768*'Inputs'!$F$48</x:f>
        <x:v>210405.76914055212</x:v>
      </x:c>
      <x:c r="H1768" s="78" t="n">
        <x:f>U1767</x:f>
        <x:v>67032725.065324396</x:v>
      </x:c>
      <x:c r="I1768" s="78" t="n">
        <x:f>V1767</x:f>
        <x:v>169.43073971504</x:v>
      </x:c>
      <x:c r="J1768" s="79" t="n">
        <x:f>IF(H1768&gt;0,I1768/H1768,0)</x:f>
        <x:v>0.0000025275824539421187</x:v>
      </x:c>
      <x:c r="K1768" s="80" t="n">
        <x:f>(H1768*J1768+I1768)*'Inputs'!$D$48*(1+'Inputs'!$G$48)^(B1768/30)</x:f>
        <x:v>101.658443829024</x:v>
      </x:c>
      <x:c r="L1768" s="80" t="n">
        <x:f>MAX(0,K1768*'Inputs'!$E$48)</x:f>
        <x:v>0</x:v>
      </x:c>
      <x:c r="M1768" s="80" t="n">
        <x:f>MAX(0,-K1768*'Inputs'!$E$48)</x:f>
        <x:v>0</x:v>
      </x:c>
      <x:c r="N1768" s="78" t="n">
        <x:f>H1768*(L1768*(1-'Inputs'!$B$15))/(I1768+L1768*(1-'Inputs'!$B$15))</x:f>
        <x:v>0</x:v>
      </x:c>
      <x:c r="O1768" s="78" t="n">
        <x:f>H1768-N1768</x:f>
        <x:v>67032725.065324396</x:v>
      </x:c>
      <x:c r="P1768" s="78" t="n">
        <x:f>I1768+L1768*(1-'Inputs'!$B$17)</x:f>
        <x:v>169.43073971504</x:v>
      </x:c>
      <x:c r="Q1768" s="78" t="n">
        <x:f>IF(J1768&gt;0,M1768/J1768,0)</x:f>
        <x:v>0</x:v>
      </x:c>
      <x:c r="R1768" s="78" t="n">
        <x:f>IF(B1768='Inputs'!$H$48,'Inputs'!$B$27*'Inputs'!$I$48,0)</x:f>
        <x:v>0</x:v>
      </x:c>
      <x:c r="S1768" s="78" t="n">
        <x:f>Q1768+G1768+R1768</x:f>
        <x:v>210405.76914055212</x:v>
      </x:c>
      <x:c r="T1768" s="78" t="n">
        <x:f>P1768*(S1768*(1-'Inputs'!$B$15))/(O1768+S1768*(1-'Inputs'!$B$15))</x:f>
        <x:v>0.5248687408046625</x:v>
      </x:c>
      <x:c r="U1768" s="78" t="n">
        <x:f>O1768+S1768*(1-'Inputs'!$B$17)</x:f>
        <x:v>67242284.1311686</x:v>
      </x:c>
      <x:c r="V1768" s="78" t="n">
        <x:f>P1768-T1768</x:f>
        <x:v>168.90587097423534</x:v>
      </x:c>
      <x:c r="W1768" s="79" t="n">
        <x:f>IF(U1768&gt;0,V1768/U1768,0)</x:f>
        <x:v>0.0000025118996648708863</x:v>
      </x:c>
      <x:c r="X1768" s="80" t="n">
        <x:f>W1768*('Inputs'!$B$6-AC1768)</x:f>
        <x:v>2479.9839991409453</x:v>
      </x:c>
      <x:c r="Y1768" s="80" t="n">
        <x:f>2*V1768</x:f>
        <x:v>337.8117419484707</x:v>
      </x:c>
      <x:c r="Z1768" s="80" t="n">
        <x:f>K1768*'Inputs'!$B$16+(G1768+R1768)*J1768*'Inputs'!$B$16</x:f>
        <x:v>0.6131415705558712</x:v>
      </x:c>
      <x:c r="AA1768" s="80" t="n">
        <x:f>K1768*(1+'Inputs'!$E$48)/2*'Inputs'!$B$17</x:f>
        <x:v>0.20454415257348893</x:v>
      </x:c>
      <x:c r="AB1768" s="78" t="n">
        <x:f>(IF(J1768&gt;0,K1768*(1-'Inputs'!$E$48)/2/J1768,0)+G1768+R1768)*'Inputs'!$B$17</x:f>
        <x:v>81771.5222886836</x:v>
      </x:c>
      <x:c r="AC1768" s="78" t="n">
        <x:f>AC1767+AB1768</x:f>
        <x:v>12705788.442223283</x:v>
      </x:c>
      <x:c r="AD1768" s="80" t="n">
        <x:f>Z1768/(1+'Inputs'!$C$48)</x:f>
        <x:v>0.4905132564446969</x:v>
      </x:c>
      <x:c r="AE1768" s="80" t="n">
        <x:f>Z1768-AD1768</x:f>
        <x:v>0.12262831411117425</x:v>
      </x:c>
      <x:c r="AF1768" s="80" t="n">
        <x:f>D1768*W1768</x:f>
        <x:v>0.6599021791048432</x:v>
      </x:c>
      <x:c r="AG1768" s="80" t="n">
        <x:f>C1768*W1768</x:f>
        <x:v>0.3849429378111616</x:v>
      </x:c>
      <x:c r="AH1768" s="80" t="n">
        <x:f>2*'Inputs'!$B$8*'Inputs'!$C$48</x:f>
        <x:v>1250</x:v>
      </x:c>
      <x:c r="AI1768" s="81" t="n">
        <x:f>IF(AH1768&gt;0,(AE1768+AF1768)/AH1768*365,0)</x:f>
        <x:v>0.2284989040190771</x:v>
      </x:c>
      <x:c r="AJ1768" s="81" t="n">
        <x:f>IF('Inputs'!$B$48&gt;0,AG1768/('Inputs'!$B$19*'Inputs'!$B$48)*365,0)</x:f>
        <x:v>0.0562016689204296</x:v>
      </x:c>
      <x:c r="AK1768" s="81" t="n">
        <x:f>W1768/MAX($W$1464:W1768)-1</x:f>
        <x:v>-0.9970460484243677</x:v>
      </x:c>
      <x:c r="AL1768" s="83" t="n">
        <x:f>'Inputs'!$B$48</x:f>
        <x:v>0.25</x:v>
      </x:c>
      <x:c r="AM1768" s="83" t="n">
        <x:f>'Inputs'!$C$48</x:f>
        <x:v>0.25</x:v>
      </x:c>
      <x:c r="AN1768" s="83" t="n">
        <x:f>'Inputs'!$D$48</x:f>
        <x:v>0.3</x:v>
      </x:c>
      <x:c r="AO1768" s="81" t="n">
        <x:f>'Inputs'!$E$48</x:f>
        <x:v>0</x:v>
      </x:c>
    </x:row>
    <x:row r="1769">
      <x:c r="A1769" s="59" t="str">
        <x:v>Low participation</x:v>
      </x:c>
      <x:c r="B1769" s="59" t="n">
        <x:v>306</x:v>
      </x:c>
      <x:c r="C1769" s="78" t="n">
        <x:f>(('Inputs'!$B$29*(3*306*'Inputs'!$B$12-306^2)/(2*'Inputs'!$B$12^2))-('Inputs'!$B$29*(3*305*'Inputs'!$B$12-305^2)/(2*'Inputs'!$B$12^2)))*'Inputs'!$B$48</x:f>
        <x:v>153166.45946706831</x:v>
      </x:c>
      <x:c r="D1769" s="78" t="n">
        <x:f>IF('Inputs'!$C$48&gt;0,('Inputs'!$B$30*(3*306*'Inputs'!$B$12-306^2)/(2*'Inputs'!$B$12^2))-('Inputs'!$B$30*(3*305*'Inputs'!$B$12-305^2)/(2*'Inputs'!$B$12^2)),0)</x:f>
        <x:v>262571.0733721107</x:v>
      </x:c>
      <x:c r="E1769" s="78" t="n">
        <x:f>C1769+D1769</x:f>
        <x:v>415737.53283917904</x:v>
      </x:c>
      <x:c r="F1769" s="78" t="n">
        <x:f>'Inputs'!$B$13*E1769+(1-'Inputs'!$B$13)/'Inputs'!$B$14*SUM(E1714:E1769)</x:f>
        <x:v>420590.92934884527</x:v>
      </x:c>
      <x:c r="G1769" s="78" t="n">
        <x:f>F1769*'Inputs'!$F$48</x:f>
        <x:v>210295.46467442263</x:v>
      </x:c>
      <x:c r="H1769" s="78" t="n">
        <x:f>U1768</x:f>
        <x:v>67242284.1311686</x:v>
      </x:c>
      <x:c r="I1769" s="78" t="n">
        <x:f>V1768</x:f>
        <x:v>168.90587097423534</x:v>
      </x:c>
      <x:c r="J1769" s="79" t="n">
        <x:f>IF(H1769&gt;0,I1769/H1769,0)</x:f>
        <x:v>0.0000025118996648708863</x:v>
      </x:c>
      <x:c r="K1769" s="80" t="n">
        <x:f>(H1769*J1769+I1769)*'Inputs'!$D$48*(1+'Inputs'!$G$48)^(B1769/30)</x:f>
        <x:v>101.3435225845412</x:v>
      </x:c>
      <x:c r="L1769" s="80" t="n">
        <x:f>MAX(0,K1769*'Inputs'!$E$48)</x:f>
        <x:v>0</x:v>
      </x:c>
      <x:c r="M1769" s="80" t="n">
        <x:f>MAX(0,-K1769*'Inputs'!$E$48)</x:f>
        <x:v>0</x:v>
      </x:c>
      <x:c r="N1769" s="78" t="n">
        <x:f>H1769*(L1769*(1-'Inputs'!$B$15))/(I1769+L1769*(1-'Inputs'!$B$15))</x:f>
        <x:v>0</x:v>
      </x:c>
      <x:c r="O1769" s="78" t="n">
        <x:f>H1769-N1769</x:f>
        <x:v>67242284.1311686</x:v>
      </x:c>
      <x:c r="P1769" s="78" t="n">
        <x:f>I1769+L1769*(1-'Inputs'!$B$17)</x:f>
        <x:v>168.90587097423534</x:v>
      </x:c>
      <x:c r="Q1769" s="78" t="n">
        <x:f>IF(J1769&gt;0,M1769/J1769,0)</x:f>
        <x:v>0</x:v>
      </x:c>
      <x:c r="R1769" s="78" t="n">
        <x:f>IF(B1769='Inputs'!$H$48,'Inputs'!$B$27*'Inputs'!$I$48,0)</x:f>
        <x:v>0</x:v>
      </x:c>
      <x:c r="S1769" s="78" t="n">
        <x:f>Q1769+G1769+R1769</x:f>
        <x:v>210295.46467442263</x:v>
      </x:c>
      <x:c r="T1769" s="78" t="n">
        <x:f>P1769*(S1769*(1-'Inputs'!$B$15))/(O1769+S1769*(1-'Inputs'!$B$15))</x:f>
        <x:v>0.5213445328725784</x:v>
      </x:c>
      <x:c r="U1769" s="78" t="n">
        <x:f>O1769+S1769*(1-'Inputs'!$B$17)</x:f>
        <x:v>67451733.33642784</x:v>
      </x:c>
      <x:c r="V1769" s="78" t="n">
        <x:f>P1769-T1769</x:f>
        <x:v>168.38452644136277</x:v>
      </x:c>
      <x:c r="W1769" s="79" t="n">
        <x:f>IF(U1769&gt;0,V1769/U1769,0)</x:f>
        <x:v>0.0000024963706358962517</x:v>
      </x:c>
      <x:c r="X1769" s="80" t="n">
        <x:f>W1769*('Inputs'!$B$6-AC1769)</x:f>
        <x:v>2464.4475162503322</x:v>
      </x:c>
      <x:c r="Y1769" s="80" t="n">
        <x:f>2*V1769</x:f>
        <x:v>336.76905288272553</x:v>
      </x:c>
      <x:c r="Z1769" s="80" t="n">
        <x:f>K1769*'Inputs'!$B$16+(G1769+R1769)*J1769*'Inputs'!$B$16</x:f>
        <x:v>0.6112305821506846</x:v>
      </x:c>
      <x:c r="AA1769" s="80" t="n">
        <x:f>K1769*(1+'Inputs'!$E$48)/2*'Inputs'!$B$17</x:f>
        <x:v>0.2039105082183928</x:v>
      </x:c>
      <x:c r="AB1769" s="78" t="n">
        <x:f>(IF(J1769&gt;0,K1769*(1-'Inputs'!$E$48)/2/J1769,0)+G1769+R1769)*'Inputs'!$B$17</x:f>
        <x:v>82024.06721941654</x:v>
      </x:c>
      <x:c r="AC1769" s="78" t="n">
        <x:f>AC1768+AB1769</x:f>
        <x:v>12787812.509442698</x:v>
      </x:c>
      <x:c r="AD1769" s="80" t="n">
        <x:f>Z1769/(1+'Inputs'!$C$48)</x:f>
        <x:v>0.48898446572054766</x:v>
      </x:c>
      <x:c r="AE1769" s="80" t="n">
        <x:f>Z1769-AD1769</x:f>
        <x:v>0.12224611643013694</x:v>
      </x:c>
      <x:c r="AF1769" s="80" t="n">
        <x:f>D1769*W1769</x:f>
        <x:v>0.6554747174018974</x:v>
      </x:c>
      <x:c r="AG1769" s="80" t="n">
        <x:f>C1769*W1769</x:f>
        <x:v>0.38236025181778277</x:v>
      </x:c>
      <x:c r="AH1769" s="80" t="n">
        <x:f>2*'Inputs'!$B$8*'Inputs'!$C$48</x:f>
        <x:v>1250</x:v>
      </x:c>
      <x:c r="AI1769" s="81" t="n">
        <x:f>IF(AH1769&gt;0,(AE1769+AF1769)/AH1769*365,0)</x:f>
        <x:v>0.22709448347895406</x:v>
      </x:c>
      <x:c r="AJ1769" s="81" t="n">
        <x:f>IF('Inputs'!$B$48&gt;0,AG1769/('Inputs'!$B$19*'Inputs'!$B$48)*365,0)</x:f>
        <x:v>0.055824596765396285</x:v>
      </x:c>
      <x:c r="AK1769" s="81" t="n">
        <x:f>W1769/MAX($W$1464:W1769)-1</x:f>
        <x:v>-0.9970643103001301</x:v>
      </x:c>
      <x:c r="AL1769" s="83" t="n">
        <x:f>'Inputs'!$B$48</x:f>
        <x:v>0.25</x:v>
      </x:c>
      <x:c r="AM1769" s="83" t="n">
        <x:f>'Inputs'!$C$48</x:f>
        <x:v>0.25</x:v>
      </x:c>
      <x:c r="AN1769" s="83" t="n">
        <x:f>'Inputs'!$D$48</x:f>
        <x:v>0.3</x:v>
      </x:c>
      <x:c r="AO1769" s="81" t="n">
        <x:f>'Inputs'!$E$48</x:f>
        <x:v>0</x:v>
      </x:c>
    </x:row>
    <x:row r="1770">
      <x:c r="A1770" s="59" t="str">
        <x:v>Low participation</x:v>
      </x:c>
      <x:c r="B1770" s="59" t="n">
        <x:v>307</x:v>
      </x:c>
      <x:c r="C1770" s="78" t="n">
        <x:f>(('Inputs'!$B$29*(3*307*'Inputs'!$B$12-307^2)/(2*'Inputs'!$B$12^2))-('Inputs'!$B$29*(3*306*'Inputs'!$B$12-306^2)/(2*'Inputs'!$B$12^2)))*'Inputs'!$B$48</x:f>
        <x:v>153085.1824920252</x:v>
      </x:c>
      <x:c r="D1770" s="78" t="n">
        <x:f>IF('Inputs'!$C$48&gt;0,('Inputs'!$B$30*(3*307*'Inputs'!$B$12-307^2)/(2*'Inputs'!$B$12^2))-('Inputs'!$B$30*(3*306*'Inputs'!$B$12-306^2)/(2*'Inputs'!$B$12^2)),0)</x:f>
        <x:v>262431.7414149046</x:v>
      </x:c>
      <x:c r="E1770" s="78" t="n">
        <x:f>C1770+D1770</x:f>
        <x:v>415516.9239069298</x:v>
      </x:c>
      <x:c r="F1770" s="78" t="n">
        <x:f>'Inputs'!$B$13*E1770+(1-'Inputs'!$B$13)/'Inputs'!$B$14*SUM(E1715:E1770)</x:f>
        <x:v>420370.3204165895</x:v>
      </x:c>
      <x:c r="G1770" s="78" t="n">
        <x:f>F1770*'Inputs'!$F$48</x:f>
        <x:v>210185.16020829475</x:v>
      </x:c>
      <x:c r="H1770" s="78" t="n">
        <x:f>U1769</x:f>
        <x:v>67451733.33642784</x:v>
      </x:c>
      <x:c r="I1770" s="78" t="n">
        <x:f>V1769</x:f>
        <x:v>168.38452644136277</x:v>
      </x:c>
      <x:c r="J1770" s="79" t="n">
        <x:f>IF(H1770&gt;0,I1770/H1770,0)</x:f>
        <x:v>0.0000024963706358962517</x:v>
      </x:c>
      <x:c r="K1770" s="80" t="n">
        <x:f>(H1770*J1770+I1770)*'Inputs'!$D$48*(1+'Inputs'!$G$48)^(B1770/30)</x:f>
        <x:v>101.03071586481765</x:v>
      </x:c>
      <x:c r="L1770" s="80" t="n">
        <x:f>MAX(0,K1770*'Inputs'!$E$48)</x:f>
        <x:v>0</x:v>
      </x:c>
      <x:c r="M1770" s="80" t="n">
        <x:f>MAX(0,-K1770*'Inputs'!$E$48)</x:f>
        <x:v>0</x:v>
      </x:c>
      <x:c r="N1770" s="78" t="n">
        <x:f>H1770*(L1770*(1-'Inputs'!$B$15))/(I1770+L1770*(1-'Inputs'!$B$15))</x:f>
        <x:v>0</x:v>
      </x:c>
      <x:c r="O1770" s="78" t="n">
        <x:f>H1770-N1770</x:f>
        <x:v>67451733.33642784</x:v>
      </x:c>
      <x:c r="P1770" s="78" t="n">
        <x:f>I1770+L1770*(1-'Inputs'!$B$17)</x:f>
        <x:v>168.38452644136277</x:v>
      </x:c>
      <x:c r="Q1770" s="78" t="n">
        <x:f>IF(J1770&gt;0,M1770/J1770,0)</x:f>
        <x:v>0</x:v>
      </x:c>
      <x:c r="R1770" s="78" t="n">
        <x:f>IF(B1770='Inputs'!$H$48,'Inputs'!$B$27*'Inputs'!$I$48,0)</x:f>
        <x:v>0</x:v>
      </x:c>
      <x:c r="S1770" s="78" t="n">
        <x:f>Q1770+G1770+R1770</x:f>
        <x:v>210185.16020829475</x:v>
      </x:c>
      <x:c r="T1770" s="78" t="n">
        <x:f>P1770*(S1770*(1-'Inputs'!$B$15))/(O1770+S1770*(1-'Inputs'!$B$15))</x:f>
        <x:v>0.5178555177562777</x:v>
      </x:c>
      <x:c r="U1770" s="78" t="n">
        <x:f>O1770+S1770*(1-'Inputs'!$B$17)</x:f>
        <x:v>67661072.6811021</x:v>
      </x:c>
      <x:c r="V1770" s="78" t="n">
        <x:f>P1770-T1770</x:f>
        <x:v>167.86667092360648</x:v>
      </x:c>
      <x:c r="W1770" s="79" t="n">
        <x:f>IF(U1770&gt;0,V1770/U1770,0)</x:f>
        <x:v>0.000002480993343318544</x:v>
      </x:c>
      <x:c r="X1770" s="80" t="n">
        <x:f>W1770*('Inputs'!$B$6-AC1770)</x:f>
        <x:v>2449.062738209006</x:v>
      </x:c>
      <x:c r="Y1770" s="80" t="n">
        <x:f>2*V1770</x:f>
        <x:v>335.73334184721296</x:v>
      </x:c>
      <x:c r="Z1770" s="80" t="n">
        <x:f>K1770*'Inputs'!$B$16+(G1770+R1770)*J1770*'Inputs'!$B$16</x:f>
        <x:v>0.6093324955611767</x:v>
      </x:c>
      <x:c r="AA1770" s="80" t="n">
        <x:f>K1770*(1+'Inputs'!$E$48)/2*'Inputs'!$B$17</x:f>
        <x:v>0.203281118440277</x:v>
      </x:c>
      <x:c r="AB1770" s="78" t="n">
        <x:f>(IF(J1770&gt;0,K1770*(1-'Inputs'!$E$48)/2/J1770,0)+G1770+R1770)*'Inputs'!$B$17</x:f>
        <x:v>82276.47952167665</x:v>
      </x:c>
      <x:c r="AC1770" s="78" t="n">
        <x:f>AC1769+AB1770</x:f>
        <x:v>12870088.988964375</x:v>
      </x:c>
      <x:c r="AD1770" s="80" t="n">
        <x:f>Z1770/(1+'Inputs'!$C$48)</x:f>
        <x:v>0.4874659964489414</x:v>
      </x:c>
      <x:c r="AE1770" s="80" t="n">
        <x:f>Z1770-AD1770</x:f>
        <x:v>0.12186649911223535</x:v>
      </x:c>
      <x:c r="AF1770" s="80" t="n">
        <x:f>D1770*W1770</x:f>
        <x:v>0.6510914035258717</x:v>
      </x:c>
      <x:c r="AG1770" s="80" t="n">
        <x:f>C1770*W1770</x:f>
        <x:v>0.379803318723419</x:v>
      </x:c>
      <x:c r="AH1770" s="80" t="n">
        <x:f>2*'Inputs'!$B$8*'Inputs'!$C$48</x:f>
        <x:v>1250</x:v>
      </x:c>
      <x:c r="AI1770" s="81" t="n">
        <x:f>IF(AH1770&gt;0,(AE1770+AF1770)/AH1770*365,0)</x:f>
        <x:v>0.22570370757032723</x:v>
      </x:c>
      <x:c r="AJ1770" s="81" t="n">
        <x:f>IF('Inputs'!$B$48&gt;0,AG1770/('Inputs'!$B$19*'Inputs'!$B$48)*365,0)</x:f>
        <x:v>0.055451284533619166</x:v>
      </x:c>
      <x:c r="AK1770" s="81" t="n">
        <x:f>W1770/MAX($W$1464:W1770)-1</x:f>
        <x:v>-0.9970823937364529</x:v>
      </x:c>
      <x:c r="AL1770" s="83" t="n">
        <x:f>'Inputs'!$B$48</x:f>
        <x:v>0.25</x:v>
      </x:c>
      <x:c r="AM1770" s="83" t="n">
        <x:f>'Inputs'!$C$48</x:f>
        <x:v>0.25</x:v>
      </x:c>
      <x:c r="AN1770" s="83" t="n">
        <x:f>'Inputs'!$D$48</x:f>
        <x:v>0.3</x:v>
      </x:c>
      <x:c r="AO1770" s="81" t="n">
        <x:f>'Inputs'!$E$48</x:f>
        <x:v>0</x:v>
      </x:c>
    </x:row>
    <x:row r="1771">
      <x:c r="A1771" s="59" t="str">
        <x:v>Low participation</x:v>
      </x:c>
      <x:c r="B1771" s="59" t="n">
        <x:v>308</x:v>
      </x:c>
      <x:c r="C1771" s="78" t="n">
        <x:f>(('Inputs'!$B$29*(3*308*'Inputs'!$B$12-308^2)/(2*'Inputs'!$B$12^2))-('Inputs'!$B$29*(3*307*'Inputs'!$B$12-307^2)/(2*'Inputs'!$B$12^2)))*'Inputs'!$B$48</x:f>
        <x:v>153003.90551698208</x:v>
      </x:c>
      <x:c r="D1771" s="78" t="n">
        <x:f>IF('Inputs'!$C$48&gt;0,('Inputs'!$B$30*(3*308*'Inputs'!$B$12-308^2)/(2*'Inputs'!$B$12^2))-('Inputs'!$B$30*(3*307*'Inputs'!$B$12-307^2)/(2*'Inputs'!$B$12^2)),0)</x:f>
        <x:v>262292.40945768356</x:v>
      </x:c>
      <x:c r="E1771" s="78" t="n">
        <x:f>C1771+D1771</x:f>
        <x:v>415296.31497466564</x:v>
      </x:c>
      <x:c r="F1771" s="78" t="n">
        <x:f>'Inputs'!$B$13*E1771+(1-'Inputs'!$B$13)/'Inputs'!$B$14*SUM(E1716:E1771)</x:f>
        <x:v>420149.7114843308</x:v>
      </x:c>
      <x:c r="G1771" s="78" t="n">
        <x:f>F1771*'Inputs'!$F$48</x:f>
        <x:v>210074.8557421654</x:v>
      </x:c>
      <x:c r="H1771" s="78" t="n">
        <x:f>U1770</x:f>
        <x:v>67661072.6811021</x:v>
      </x:c>
      <x:c r="I1771" s="78" t="n">
        <x:f>V1770</x:f>
        <x:v>167.86667092360648</x:v>
      </x:c>
      <x:c r="J1771" s="79" t="n">
        <x:f>IF(H1771&gt;0,I1771/H1771,0)</x:f>
        <x:v>0.000002480993343318544</x:v>
      </x:c>
      <x:c r="K1771" s="80" t="n">
        <x:f>(H1771*J1771+I1771)*'Inputs'!$D$48*(1+'Inputs'!$G$48)^(B1771/30)</x:f>
        <x:v>100.72000255416388</x:v>
      </x:c>
      <x:c r="L1771" s="80" t="n">
        <x:f>MAX(0,K1771*'Inputs'!$E$48)</x:f>
        <x:v>0</x:v>
      </x:c>
      <x:c r="M1771" s="80" t="n">
        <x:f>MAX(0,-K1771*'Inputs'!$E$48)</x:f>
        <x:v>0</x:v>
      </x:c>
      <x:c r="N1771" s="78" t="n">
        <x:f>H1771*(L1771*(1-'Inputs'!$B$15))/(I1771+L1771*(1-'Inputs'!$B$15))</x:f>
        <x:v>0</x:v>
      </x:c>
      <x:c r="O1771" s="78" t="n">
        <x:f>H1771-N1771</x:f>
        <x:v>67661072.6811021</x:v>
      </x:c>
      <x:c r="P1771" s="78" t="n">
        <x:f>I1771+L1771*(1-'Inputs'!$B$17)</x:f>
        <x:v>167.86667092360648</x:v>
      </x:c>
      <x:c r="Q1771" s="78" t="n">
        <x:f>IF(J1771&gt;0,M1771/J1771,0)</x:f>
        <x:v>0</x:v>
      </x:c>
      <x:c r="R1771" s="78" t="n">
        <x:f>IF(B1771='Inputs'!$H$48,'Inputs'!$B$27*'Inputs'!$I$48,0)</x:f>
        <x:v>0</x:v>
      </x:c>
      <x:c r="S1771" s="78" t="n">
        <x:f>Q1771+G1771+R1771</x:f>
        <x:v>210074.8557421654</x:v>
      </x:c>
      <x:c r="T1771" s="78" t="n">
        <x:f>P1771*(S1771*(1-'Inputs'!$B$15))/(O1771+S1771*(1-'Inputs'!$B$15))</x:f>
        <x:v>0.5144012280048333</x:v>
      </x:c>
      <x:c r="U1771" s="78" t="n">
        <x:f>O1771+S1771*(1-'Inputs'!$B$17)</x:f>
        <x:v>67870302.16519138</x:v>
      </x:c>
      <x:c r="V1771" s="78" t="n">
        <x:f>P1771-T1771</x:f>
        <x:v>167.35226969560165</x:v>
      </x:c>
      <x:c r="W1771" s="79" t="n">
        <x:f>IF(U1771&gt;0,V1771/U1771,0)</x:f>
        <x:v>0.0000024657657967733574</x:v>
      </x:c>
      <x:c r="X1771" s="80" t="n">
        <x:f>W1771*('Inputs'!$B$6-AC1771)</x:f>
        <x:v>2433.827674951265</x:v>
      </x:c>
      <x:c r="Y1771" s="80" t="n">
        <x:f>2*V1771</x:f>
        <x:v>334.7045393912033</x:v>
      </x:c>
      <x:c r="Z1771" s="80" t="n">
        <x:f>K1771*'Inputs'!$B$16+(G1771+R1771)*J1771*'Inputs'!$B$16</x:f>
        <x:v>0.6074471812371529</x:v>
      </x:c>
      <x:c r="AA1771" s="80" t="n">
        <x:f>K1771*(1+'Inputs'!$E$48)/2*'Inputs'!$B$17</x:f>
        <x:v>0.20265594075284485</x:v>
      </x:c>
      <x:c r="AB1771" s="78" t="n">
        <x:f>(IF(J1771&gt;0,K1771*(1-'Inputs'!$E$48)/2/J1771,0)+G1771+R1771)*'Inputs'!$B$17</x:f>
        <x:v>82528.75919546396</x:v>
      </x:c>
      <x:c r="AC1771" s="78" t="n">
        <x:f>AC1770+AB1771</x:f>
        <x:v>12952617.748159839</x:v>
      </x:c>
      <x:c r="AD1771" s="80" t="n">
        <x:f>Z1771/(1+'Inputs'!$C$48)</x:f>
        <x:v>0.48595774498972233</x:v>
      </x:c>
      <x:c r="AE1771" s="80" t="n">
        <x:f>Z1771-AD1771</x:f>
        <x:v>0.12148943624743058</x:v>
      </x:c>
      <x:c r="AF1771" s="80" t="n">
        <x:f>D1771*W1771</x:f>
        <x:v>0.6467516519940288</x:v>
      </x:c>
      <x:c r="AG1771" s="80" t="n">
        <x:f>C1771*W1771</x:f>
        <x:v>0.3772717969965168</x:v>
      </x:c>
      <x:c r="AH1771" s="80" t="n">
        <x:f>2*'Inputs'!$B$8*'Inputs'!$C$48</x:f>
        <x:v>1250</x:v>
      </x:c>
      <x:c r="AI1771" s="81" t="n">
        <x:f>IF(AH1771&gt;0,(AE1771+AF1771)/AH1771*365,0)</x:f>
        <x:v>0.22432639776650615</x:v>
      </x:c>
      <x:c r="AJ1771" s="81" t="n">
        <x:f>IF('Inputs'!$B$48&gt;0,AG1771/('Inputs'!$B$19*'Inputs'!$B$48)*365,0)</x:f>
        <x:v>0.05508168236149146</x:v>
      </x:c>
      <x:c r="AK1771" s="81" t="n">
        <x:f>W1771/MAX($W$1464:W1771)-1</x:f>
        <x:v>-0.997100301073971</x:v>
      </x:c>
      <x:c r="AL1771" s="83" t="n">
        <x:f>'Inputs'!$B$48</x:f>
        <x:v>0.25</x:v>
      </x:c>
      <x:c r="AM1771" s="83" t="n">
        <x:f>'Inputs'!$C$48</x:f>
        <x:v>0.25</x:v>
      </x:c>
      <x:c r="AN1771" s="83" t="n">
        <x:f>'Inputs'!$D$48</x:f>
        <x:v>0.3</x:v>
      </x:c>
      <x:c r="AO1771" s="81" t="n">
        <x:f>'Inputs'!$E$48</x:f>
        <x:v>0</x:v>
      </x:c>
    </x:row>
    <x:row r="1772">
      <x:c r="A1772" s="59" t="str">
        <x:v>Low participation</x:v>
      </x:c>
      <x:c r="B1772" s="59" t="n">
        <x:v>309</x:v>
      </x:c>
      <x:c r="C1772" s="78" t="n">
        <x:f>(('Inputs'!$B$29*(3*309*'Inputs'!$B$12-309^2)/(2*'Inputs'!$B$12^2))-('Inputs'!$B$29*(3*308*'Inputs'!$B$12-308^2)/(2*'Inputs'!$B$12^2)))*'Inputs'!$B$48</x:f>
        <x:v>152922.62854193896</x:v>
      </x:c>
      <x:c r="D1772" s="78" t="n">
        <x:f>IF('Inputs'!$C$48&gt;0,('Inputs'!$B$30*(3*309*'Inputs'!$B$12-309^2)/(2*'Inputs'!$B$12^2))-('Inputs'!$B$30*(3*308*'Inputs'!$B$12-308^2)/(2*'Inputs'!$B$12^2)),0)</x:f>
        <x:v>262153.07750047743</x:v>
      </x:c>
      <x:c r="E1772" s="78" t="n">
        <x:f>C1772+D1772</x:f>
        <x:v>415075.7060424164</x:v>
      </x:c>
      <x:c r="F1772" s="78" t="n">
        <x:f>'Inputs'!$B$13*E1772+(1-'Inputs'!$B$13)/'Inputs'!$B$14*SUM(E1717:E1772)</x:f>
        <x:v>419929.10255207494</x:v>
      </x:c>
      <x:c r="G1772" s="78" t="n">
        <x:f>F1772*'Inputs'!$F$48</x:f>
        <x:v>209964.55127603747</x:v>
      </x:c>
      <x:c r="H1772" s="78" t="n">
        <x:f>U1771</x:f>
        <x:v>67870302.16519138</x:v>
      </x:c>
      <x:c r="I1772" s="78" t="n">
        <x:f>V1771</x:f>
        <x:v>167.35226969560165</x:v>
      </x:c>
      <x:c r="J1772" s="79" t="n">
        <x:f>IF(H1772&gt;0,I1772/H1772,0)</x:f>
        <x:v>0.0000024657657967733574</x:v>
      </x:c>
      <x:c r="K1772" s="80" t="n">
        <x:f>(H1772*J1772+I1772)*'Inputs'!$D$48*(1+'Inputs'!$G$48)^(B1772/30)</x:f>
        <x:v>100.41136181736098</x:v>
      </x:c>
      <x:c r="L1772" s="80" t="n">
        <x:f>MAX(0,K1772*'Inputs'!$E$48)</x:f>
        <x:v>0</x:v>
      </x:c>
      <x:c r="M1772" s="80" t="n">
        <x:f>MAX(0,-K1772*'Inputs'!$E$48)</x:f>
        <x:v>0</x:v>
      </x:c>
      <x:c r="N1772" s="78" t="n">
        <x:f>H1772*(L1772*(1-'Inputs'!$B$15))/(I1772+L1772*(1-'Inputs'!$B$15))</x:f>
        <x:v>0</x:v>
      </x:c>
      <x:c r="O1772" s="78" t="n">
        <x:f>H1772-N1772</x:f>
        <x:v>67870302.16519138</x:v>
      </x:c>
      <x:c r="P1772" s="78" t="n">
        <x:f>I1772+L1772*(1-'Inputs'!$B$17)</x:f>
        <x:v>167.35226969560165</x:v>
      </x:c>
      <x:c r="Q1772" s="78" t="n">
        <x:f>IF(J1772&gt;0,M1772/J1772,0)</x:f>
        <x:v>0</x:v>
      </x:c>
      <x:c r="R1772" s="78" t="n">
        <x:f>IF(B1772='Inputs'!$H$48,'Inputs'!$B$27*'Inputs'!$I$48,0)</x:f>
        <x:v>0</x:v>
      </x:c>
      <x:c r="S1772" s="78" t="n">
        <x:f>Q1772+G1772+R1772</x:f>
        <x:v>209964.55127603747</x:v>
      </x:c>
      <x:c r="T1772" s="78" t="n">
        <x:f>P1772*(S1772*(1-'Inputs'!$B$15))/(O1772+S1772*(1-'Inputs'!$B$15))</x:f>
        <x:v>0.5109812039047742</x:v>
      </x:c>
      <x:c r="U1772" s="78" t="n">
        <x:f>O1772+S1772*(1-'Inputs'!$B$17)</x:f>
        <x:v>68079421.78869568</x:v>
      </x:c>
      <x:c r="V1772" s="78" t="n">
        <x:f>P1772-T1772</x:f>
        <x:v>166.84128849169687</x:v>
      </x:c>
      <x:c r="W1772" s="79" t="n">
        <x:f>IF(U1772&gt;0,V1772/U1772,0)</x:f>
        <x:v>0.0000024506860385732626</x:v>
      </x:c>
      <x:c r="X1772" s="80" t="n">
        <x:f>W1772*('Inputs'!$B$6-AC1772)</x:f>
        <x:v>2418.7403690836863</x:v>
      </x:c>
      <x:c r="Y1772" s="80" t="n">
        <x:f>2*V1772</x:f>
        <x:v>333.68257698339374</x:v>
      </x:c>
      <x:c r="Z1772" s="80" t="n">
        <x:f>K1772*'Inputs'!$B$16+(G1772+R1772)*J1772*'Inputs'!$B$16</x:f>
        <x:v>0.6055745113585939</x:v>
      </x:c>
      <x:c r="AA1772" s="80" t="n">
        <x:f>K1772*(1+'Inputs'!$E$48)/2*'Inputs'!$B$17</x:f>
        <x:v>0.20203493323412675</x:v>
      </x:c>
      <x:c r="AB1772" s="78" t="n">
        <x:f>(IF(J1772&gt;0,K1772*(1-'Inputs'!$E$48)/2/J1772,0)+G1772+R1772)*'Inputs'!$B$17</x:f>
        <x:v>82780.90624077847</x:v>
      </x:c>
      <x:c r="AC1772" s="78" t="n">
        <x:f>AC1771+AB1772</x:f>
        <x:v>13035398.654400617</x:v>
      </x:c>
      <x:c r="AD1772" s="80" t="n">
        <x:f>Z1772/(1+'Inputs'!$C$48)</x:f>
        <x:v>0.4844596090868751</x:v>
      </x:c>
      <x:c r="AE1772" s="80" t="n">
        <x:f>Z1772-AD1772</x:f>
        <x:v>0.12111490227171878</x:v>
      </x:c>
      <x:c r="AF1772" s="80" t="n">
        <x:f>D1772*W1772</x:f>
        <x:v>0.6424548869994345</x:v>
      </x:c>
      <x:c r="AG1772" s="80" t="n">
        <x:f>C1772*W1772</x:f>
        <x:v>0.37476535074965495</x:v>
      </x:c>
      <x:c r="AH1772" s="80" t="n">
        <x:f>2*'Inputs'!$B$8*'Inputs'!$C$48</x:f>
        <x:v>1250</x:v>
      </x:c>
      <x:c r="AI1772" s="81" t="n">
        <x:f>IF(AH1772&gt;0,(AE1772+AF1772)/AH1772*365,0)</x:f>
        <x:v>0.22296237846717676</x:v>
      </x:c>
      <x:c r="AJ1772" s="81" t="n">
        <x:f>IF('Inputs'!$B$48&gt;0,AG1772/('Inputs'!$B$19*'Inputs'!$B$48)*365,0)</x:f>
        <x:v>0.05471574120944962</x:v>
      </x:c>
      <x:c r="AK1772" s="81" t="n">
        <x:f>W1772/MAX($W$1464:W1772)-1</x:f>
        <x:v>-0.9971180346148915</x:v>
      </x:c>
      <x:c r="AL1772" s="83" t="n">
        <x:f>'Inputs'!$B$48</x:f>
        <x:v>0.25</x:v>
      </x:c>
      <x:c r="AM1772" s="83" t="n">
        <x:f>'Inputs'!$C$48</x:f>
        <x:v>0.25</x:v>
      </x:c>
      <x:c r="AN1772" s="83" t="n">
        <x:f>'Inputs'!$D$48</x:f>
        <x:v>0.3</x:v>
      </x:c>
      <x:c r="AO1772" s="81" t="n">
        <x:f>'Inputs'!$E$48</x:f>
        <x:v>0</x:v>
      </x:c>
    </x:row>
    <x:row r="1773">
      <x:c r="A1773" s="59" t="str">
        <x:v>Low participation</x:v>
      </x:c>
      <x:c r="B1773" s="59" t="n">
        <x:v>310</x:v>
      </x:c>
      <x:c r="C1773" s="78" t="n">
        <x:f>(('Inputs'!$B$29*(3*310*'Inputs'!$B$12-310^2)/(2*'Inputs'!$B$12^2))-('Inputs'!$B$29*(3*309*'Inputs'!$B$12-309^2)/(2*'Inputs'!$B$12^2)))*'Inputs'!$B$48</x:f>
        <x:v>152841.35156689584</x:v>
      </x:c>
      <x:c r="D1773" s="78" t="n">
        <x:f>IF('Inputs'!$C$48&gt;0,('Inputs'!$B$30*(3*310*'Inputs'!$B$12-310^2)/(2*'Inputs'!$B$12^2))-('Inputs'!$B$30*(3*309*'Inputs'!$B$12-309^2)/(2*'Inputs'!$B$12^2)),0)</x:f>
        <x:v>262013.7455432415</x:v>
      </x:c>
      <x:c r="E1773" s="78" t="n">
        <x:f>C1773+D1773</x:f>
        <x:v>414855.09711013734</x:v>
      </x:c>
      <x:c r="F1773" s="78" t="n">
        <x:f>'Inputs'!$B$13*E1773+(1-'Inputs'!$B$13)/'Inputs'!$B$14*SUM(E1718:E1773)</x:f>
        <x:v>419708.49361981306</x:v>
      </x:c>
      <x:c r="G1773" s="78" t="n">
        <x:f>F1773*'Inputs'!$F$48</x:f>
        <x:v>209854.24680990653</x:v>
      </x:c>
      <x:c r="H1773" s="78" t="n">
        <x:f>U1772</x:f>
        <x:v>68079421.78869568</x:v>
      </x:c>
      <x:c r="I1773" s="78" t="n">
        <x:f>V1772</x:f>
        <x:v>166.84128849169687</x:v>
      </x:c>
      <x:c r="J1773" s="79" t="n">
        <x:f>IF(H1773&gt;0,I1773/H1773,0)</x:f>
        <x:v>0.0000024506860385732626</x:v>
      </x:c>
      <x:c r="K1773" s="80" t="n">
        <x:f>(H1773*J1773+I1773)*'Inputs'!$D$48*(1+'Inputs'!$G$48)^(B1773/30)</x:f>
        <x:v>100.10477309501812</x:v>
      </x:c>
      <x:c r="L1773" s="80" t="n">
        <x:f>MAX(0,K1773*'Inputs'!$E$48)</x:f>
        <x:v>0</x:v>
      </x:c>
      <x:c r="M1773" s="80" t="n">
        <x:f>MAX(0,-K1773*'Inputs'!$E$48)</x:f>
        <x:v>0</x:v>
      </x:c>
      <x:c r="N1773" s="78" t="n">
        <x:f>H1773*(L1773*(1-'Inputs'!$B$15))/(I1773+L1773*(1-'Inputs'!$B$15))</x:f>
        <x:v>0</x:v>
      </x:c>
      <x:c r="O1773" s="78" t="n">
        <x:f>H1773-N1773</x:f>
        <x:v>68079421.78869568</x:v>
      </x:c>
      <x:c r="P1773" s="78" t="n">
        <x:f>I1773+L1773*(1-'Inputs'!$B$17)</x:f>
        <x:v>166.84128849169687</x:v>
      </x:c>
      <x:c r="Q1773" s="78" t="n">
        <x:f>IF(J1773&gt;0,M1773/J1773,0)</x:f>
        <x:v>0</x:v>
      </x:c>
      <x:c r="R1773" s="78" t="n">
        <x:f>IF(B1773='Inputs'!$H$48,'Inputs'!$B$27*'Inputs'!$I$48,0)</x:f>
        <x:v>0</x:v>
      </x:c>
      <x:c r="S1773" s="78" t="n">
        <x:f>Q1773+G1773+R1773</x:f>
        <x:v>209854.24680990653</x:v>
      </x:c>
      <x:c r="T1773" s="78" t="n">
        <x:f>P1773*(S1773*(1-'Inputs'!$B$15))/(O1773+S1773*(1-'Inputs'!$B$15))</x:f>
        <x:v>0.5075949933268411</x:v>
      </x:c>
      <x:c r="U1773" s="78" t="n">
        <x:f>O1773+S1773*(1-'Inputs'!$B$17)</x:f>
        <x:v>68288431.551615</x:v>
      </x:c>
      <x:c r="V1773" s="78" t="n">
        <x:f>P1773-T1773</x:f>
        <x:v>166.33369349837002</x:v>
      </x:c>
      <x:c r="W1773" s="79" t="n">
        <x:f>IF(U1773&gt;0,V1773/U1773,0)</x:f>
        <x:v>0.0000024357521430646517</x:v>
      </x:c>
      <x:c r="X1773" s="80" t="n">
        <x:f>W1773*('Inputs'!$B$6-AC1773)</x:f>
        <x:v>2403.7988952420565</x:v>
      </x:c>
      <x:c r="Y1773" s="80" t="n">
        <x:f>2*V1773</x:f>
        <x:v>332.66738699674005</x:v>
      </x:c>
      <x:c r="Z1773" s="80" t="n">
        <x:f>K1773*'Inputs'!$B$16+(G1773+R1773)*J1773*'Inputs'!$B$16</x:f>
        <x:v>0.6037143598068628</x:v>
      </x:c>
      <x:c r="AA1773" s="80" t="n">
        <x:f>K1773*(1+'Inputs'!$E$48)/2*'Inputs'!$B$17</x:f>
        <x:v>0.2014180545171391</x:v>
      </x:c>
      <x:c r="AB1773" s="78" t="n">
        <x:f>(IF(J1773&gt;0,K1773*(1-'Inputs'!$E$48)/2/J1773,0)+G1773+R1773)*'Inputs'!$B$17</x:f>
        <x:v>83032.92065762017</x:v>
      </x:c>
      <x:c r="AC1773" s="78" t="n">
        <x:f>AC1772+AB1773</x:f>
        <x:v>13118431.575058237</x:v>
      </x:c>
      <x:c r="AD1773" s="80" t="n">
        <x:f>Z1773/(1+'Inputs'!$C$48)</x:f>
        <x:v>0.48297148784549027</x:v>
      </x:c>
      <x:c r="AE1773" s="80" t="n">
        <x:f>Z1773-AD1773</x:f>
        <x:v>0.12074287196137257</x:v>
      </x:c>
      <x:c r="AF1773" s="80" t="n">
        <x:f>D1773*W1773</x:f>
        <x:v>0.6382005422193469</x:v>
      </x:c>
      <x:c r="AG1773" s="80" t="n">
        <x:f>C1773*W1773</x:f>
        <x:v>0.3722836496279644</x:v>
      </x:c>
      <x:c r="AH1773" s="80" t="n">
        <x:f>2*'Inputs'!$B$8*'Inputs'!$C$48</x:f>
        <x:v>1250</x:v>
      </x:c>
      <x:c r="AI1773" s="81" t="n">
        <x:f>IF(AH1773&gt;0,(AE1773+AF1773)/AH1773*365,0)</x:f>
        <x:v>0.22161147694077007</x:v>
      </x:c>
      <x:c r="AJ1773" s="81" t="n">
        <x:f>IF('Inputs'!$B$48&gt;0,AG1773/('Inputs'!$B$19*'Inputs'!$B$48)*365,0)</x:f>
        <x:v>0.0543534128456828</x:v>
      </x:c>
      <x:c r="AK1773" s="81" t="n">
        <x:f>W1773/MAX($W$1464:W1773)-1</x:f>
        <x:v>-0.9971355966237507</x:v>
      </x:c>
      <x:c r="AL1773" s="83" t="n">
        <x:f>'Inputs'!$B$48</x:f>
        <x:v>0.25</x:v>
      </x:c>
      <x:c r="AM1773" s="83" t="n">
        <x:f>'Inputs'!$C$48</x:f>
        <x:v>0.25</x:v>
      </x:c>
      <x:c r="AN1773" s="83" t="n">
        <x:f>'Inputs'!$D$48</x:f>
        <x:v>0.3</x:v>
      </x:c>
      <x:c r="AO1773" s="81" t="n">
        <x:f>'Inputs'!$E$48</x:f>
        <x:v>0</x:v>
      </x:c>
    </x:row>
    <x:row r="1774">
      <x:c r="A1774" s="59" t="str">
        <x:v>Low participation</x:v>
      </x:c>
      <x:c r="B1774" s="59" t="n">
        <x:v>311</x:v>
      </x:c>
      <x:c r="C1774" s="78" t="n">
        <x:f>(('Inputs'!$B$29*(3*311*'Inputs'!$B$12-311^2)/(2*'Inputs'!$B$12^2))-('Inputs'!$B$29*(3*310*'Inputs'!$B$12-310^2)/(2*'Inputs'!$B$12^2)))*'Inputs'!$B$48</x:f>
        <x:v>152760.07459185272</x:v>
      </x:c>
      <x:c r="D1774" s="78" t="n">
        <x:f>IF('Inputs'!$C$48&gt;0,('Inputs'!$B$30*(3*311*'Inputs'!$B$12-311^2)/(2*'Inputs'!$B$12^2))-('Inputs'!$B$30*(3*310*'Inputs'!$B$12-310^2)/(2*'Inputs'!$B$12^2)),0)</x:f>
        <x:v>261874.41358605027</x:v>
      </x:c>
      <x:c r="E1774" s="78" t="n">
        <x:f>C1774+D1774</x:f>
        <x:v>414634.488177903</x:v>
      </x:c>
      <x:c r="F1774" s="78" t="n">
        <x:f>'Inputs'!$B$13*E1774+(1-'Inputs'!$B$13)/'Inputs'!$B$14*SUM(E1719:E1774)</x:f>
        <x:v>419487.88468756044</x:v>
      </x:c>
      <x:c r="G1774" s="78" t="n">
        <x:f>F1774*'Inputs'!$F$48</x:f>
        <x:v>209743.94234378022</x:v>
      </x:c>
      <x:c r="H1774" s="78" t="n">
        <x:f>U1773</x:f>
        <x:v>68288431.551615</x:v>
      </x:c>
      <x:c r="I1774" s="78" t="n">
        <x:f>V1773</x:f>
        <x:v>166.33369349837002</x:v>
      </x:c>
      <x:c r="J1774" s="79" t="n">
        <x:f>IF(H1774&gt;0,I1774/H1774,0)</x:f>
        <x:v>0.0000024357521430646517</x:v>
      </x:c>
      <x:c r="K1774" s="80" t="n">
        <x:f>(H1774*J1774+I1774)*'Inputs'!$D$48*(1+'Inputs'!$G$48)^(B1774/30)</x:f>
        <x:v>99.80021609902201</x:v>
      </x:c>
      <x:c r="L1774" s="80" t="n">
        <x:f>MAX(0,K1774*'Inputs'!$E$48)</x:f>
        <x:v>0</x:v>
      </x:c>
      <x:c r="M1774" s="80" t="n">
        <x:f>MAX(0,-K1774*'Inputs'!$E$48)</x:f>
        <x:v>0</x:v>
      </x:c>
      <x:c r="N1774" s="78" t="n">
        <x:f>H1774*(L1774*(1-'Inputs'!$B$15))/(I1774+L1774*(1-'Inputs'!$B$15))</x:f>
        <x:v>0</x:v>
      </x:c>
      <x:c r="O1774" s="78" t="n">
        <x:f>H1774-N1774</x:f>
        <x:v>68288431.551615</x:v>
      </x:c>
      <x:c r="P1774" s="78" t="n">
        <x:f>I1774+L1774*(1-'Inputs'!$B$17)</x:f>
        <x:v>166.33369349837002</x:v>
      </x:c>
      <x:c r="Q1774" s="78" t="n">
        <x:f>IF(J1774&gt;0,M1774/J1774,0)</x:f>
        <x:v>0</x:v>
      </x:c>
      <x:c r="R1774" s="78" t="n">
        <x:f>IF(B1774='Inputs'!$H$48,'Inputs'!$B$27*'Inputs'!$I$48,0)</x:f>
        <x:v>0</x:v>
      </x:c>
      <x:c r="S1774" s="78" t="n">
        <x:f>Q1774+G1774+R1774</x:f>
        <x:v>209743.94234378022</x:v>
      </x:c>
      <x:c r="T1774" s="78" t="n">
        <x:f>P1774*(S1774*(1-'Inputs'!$B$15))/(O1774+S1774*(1-'Inputs'!$B$15))</x:f>
        <x:v>0.5042421515763518</x:v>
      </x:c>
      <x:c r="U1774" s="78" t="n">
        <x:f>O1774+S1774*(1-'Inputs'!$B$17)</x:f>
        <x:v>68497331.45394935</x:v>
      </x:c>
      <x:c r="V1774" s="78" t="n">
        <x:f>P1774-T1774</x:f>
        <x:v>165.82945134679366</x:v>
      </x:c>
      <x:c r="W1774" s="79" t="n">
        <x:f>IF(U1774&gt;0,V1774/U1774,0)</x:f>
        <x:v>0.000002420962215999328</x:v>
      </x:c>
      <x:c r="X1774" s="80" t="n">
        <x:f>W1774*('Inputs'!$B$6-AC1774)</x:f>
        <x:v>2389.0013594630504</x:v>
      </x:c>
      <x:c r="Y1774" s="80" t="n">
        <x:f>2*V1774</x:f>
        <x:v>331.6589026935873</x:v>
      </x:c>
      <x:c r="Z1774" s="80" t="n">
        <x:f>K1774*'Inputs'!$B$16+(G1774+R1774)*J1774*'Inputs'!$B$16</x:f>
        <x:v>0.6018666021364842</x:v>
      </x:c>
      <x:c r="AA1774" s="80" t="n">
        <x:f>K1774*(1+'Inputs'!$E$48)/2*'Inputs'!$B$17</x:f>
        <x:v>0.2008052637807284</x:v>
      </x:c>
      <x:c r="AB1774" s="78" t="n">
        <x:f>(IF(J1774&gt;0,K1774*(1-'Inputs'!$E$48)/2/J1774,0)+G1774+R1774)*'Inputs'!$B$17</x:f>
        <x:v>83284.80244598906</x:v>
      </x:c>
      <x:c r="AC1774" s="78" t="n">
        <x:f>AC1773+AB1774</x:f>
        <x:v>13201716.377504226</x:v>
      </x:c>
      <x:c r="AD1774" s="80" t="n">
        <x:f>Z1774/(1+'Inputs'!$C$48)</x:f>
        <x:v>0.48149328170918737</x:v>
      </x:c>
      <x:c r="AE1774" s="80" t="n">
        <x:f>Z1774-AD1774</x:f>
        <x:v>0.12037332042729687</x:v>
      </x:c>
      <x:c r="AF1774" s="80" t="n">
        <x:f>D1774*W1774</x:f>
        <x:v>0.6339880606288087</x:v>
      </x:c>
      <x:c r="AG1774" s="80" t="n">
        <x:f>C1774*W1774</x:f>
        <x:v>0.36982636870011437</x:v>
      </x:c>
      <x:c r="AH1774" s="80" t="n">
        <x:f>2*'Inputs'!$B$8*'Inputs'!$C$48</x:f>
        <x:v>1250</x:v>
      </x:c>
      <x:c r="AI1774" s="81" t="n">
        <x:f>IF(AH1774&gt;0,(AE1774+AF1774)/AH1774*365,0)</x:f>
        <x:v>0.22027352326838284</x:v>
      </x:c>
      <x:c r="AJ1774" s="81" t="n">
        <x:f>IF('Inputs'!$B$48&gt;0,AG1774/('Inputs'!$B$19*'Inputs'!$B$48)*365,0)</x:f>
        <x:v>0.0539946498302167</x:v>
      </x:c>
      <x:c r="AK1774" s="81" t="n">
        <x:f>W1774/MAX($W$1464:W1774)-1</x:f>
        <x:v>-0.9971529893281526</x:v>
      </x:c>
      <x:c r="AL1774" s="83" t="n">
        <x:f>'Inputs'!$B$48</x:f>
        <x:v>0.25</x:v>
      </x:c>
      <x:c r="AM1774" s="83" t="n">
        <x:f>'Inputs'!$C$48</x:f>
        <x:v>0.25</x:v>
      </x:c>
      <x:c r="AN1774" s="83" t="n">
        <x:f>'Inputs'!$D$48</x:f>
        <x:v>0.3</x:v>
      </x:c>
      <x:c r="AO1774" s="81" t="n">
        <x:f>'Inputs'!$E$48</x:f>
        <x:v>0</x:v>
      </x:c>
    </x:row>
    <x:row r="1775">
      <x:c r="A1775" s="59" t="str">
        <x:v>Low participation</x:v>
      </x:c>
      <x:c r="B1775" s="59" t="n">
        <x:v>312</x:v>
      </x:c>
      <x:c r="C1775" s="78" t="n">
        <x:f>(('Inputs'!$B$29*(3*312*'Inputs'!$B$12-312^2)/(2*'Inputs'!$B$12^2))-('Inputs'!$B$29*(3*311*'Inputs'!$B$12-311^2)/(2*'Inputs'!$B$12^2)))*'Inputs'!$B$48</x:f>
        <x:v>152678.79761681706</x:v>
      </x:c>
      <x:c r="D1775" s="78" t="n">
        <x:f>IF('Inputs'!$C$48&gt;0,('Inputs'!$B$30*(3*312*'Inputs'!$B$12-312^2)/(2*'Inputs'!$B$12^2))-('Inputs'!$B$30*(3*311*'Inputs'!$B$12-311^2)/(2*'Inputs'!$B$12^2)),0)</x:f>
        <x:v>261735.08162881434</x:v>
      </x:c>
      <x:c r="E1775" s="78" t="n">
        <x:f>C1775+D1775</x:f>
        <x:v>414413.8792456314</x:v>
      </x:c>
      <x:c r="F1775" s="78" t="n">
        <x:f>'Inputs'!$B$13*E1775+(1-'Inputs'!$B$13)/'Inputs'!$B$14*SUM(E1720:E1775)</x:f>
        <x:v>419267.27575529995</x:v>
      </x:c>
      <x:c r="G1775" s="78" t="n">
        <x:f>F1775*'Inputs'!$F$48</x:f>
        <x:v>209633.63787764998</x:v>
      </x:c>
      <x:c r="H1775" s="78" t="n">
        <x:f>U1774</x:f>
        <x:v>68497331.45394935</x:v>
      </x:c>
      <x:c r="I1775" s="78" t="n">
        <x:f>V1774</x:f>
        <x:v>165.82945134679366</x:v>
      </x:c>
      <x:c r="J1775" s="79" t="n">
        <x:f>IF(H1775&gt;0,I1775/H1775,0)</x:f>
        <x:v>0.000002420962215999328</x:v>
      </x:c>
      <x:c r="K1775" s="80" t="n">
        <x:f>(H1775*J1775+I1775)*'Inputs'!$D$48*(1+'Inputs'!$G$48)^(B1775/30)</x:f>
        <x:v>99.4976708080762</x:v>
      </x:c>
      <x:c r="L1775" s="80" t="n">
        <x:f>MAX(0,K1775*'Inputs'!$E$48)</x:f>
        <x:v>0</x:v>
      </x:c>
      <x:c r="M1775" s="80" t="n">
        <x:f>MAX(0,-K1775*'Inputs'!$E$48)</x:f>
        <x:v>0</x:v>
      </x:c>
      <x:c r="N1775" s="78" t="n">
        <x:f>H1775*(L1775*(1-'Inputs'!$B$15))/(I1775+L1775*(1-'Inputs'!$B$15))</x:f>
        <x:v>0</x:v>
      </x:c>
      <x:c r="O1775" s="78" t="n">
        <x:f>H1775-N1775</x:f>
        <x:v>68497331.45394935</x:v>
      </x:c>
      <x:c r="P1775" s="78" t="n">
        <x:f>I1775+L1775*(1-'Inputs'!$B$17)</x:f>
        <x:v>165.82945134679366</x:v>
      </x:c>
      <x:c r="Q1775" s="78" t="n">
        <x:f>IF(J1775&gt;0,M1775/J1775,0)</x:f>
        <x:v>0</x:v>
      </x:c>
      <x:c r="R1775" s="78" t="n">
        <x:f>IF(B1775='Inputs'!$H$48,'Inputs'!$B$27*'Inputs'!$I$48,0)</x:f>
        <x:v>0</x:v>
      </x:c>
      <x:c r="S1775" s="78" t="n">
        <x:f>Q1775+G1775+R1775</x:f>
        <x:v>209633.63787764998</x:v>
      </x:c>
      <x:c r="T1775" s="78" t="n">
        <x:f>P1775*(S1775*(1-'Inputs'!$B$15))/(O1775+S1775*(1-'Inputs'!$B$15))</x:f>
        <x:v>0.5009222412468862</x:v>
      </x:c>
      <x:c r="U1775" s="78" t="n">
        <x:f>O1775+S1775*(1-'Inputs'!$B$17)</x:f>
        <x:v>68706121.49569872</x:v>
      </x:c>
      <x:c r="V1775" s="78" t="n">
        <x:f>P1775-T1775</x:f>
        <x:v>165.32852910554678</x:v>
      </x:c>
      <x:c r="W1775" s="79" t="n">
        <x:f>IF(U1775&gt;0,V1775/U1775,0)</x:f>
        <x:v>0.000002406314393920446</x:v>
      </x:c>
      <x:c r="X1775" s="80" t="n">
        <x:f>W1775*('Inputs'!$B$6-AC1775)</x:f>
        <x:v>2374.345898570254</x:v>
      </x:c>
      <x:c r="Y1775" s="80" t="n">
        <x:f>2*V1775</x:f>
        <x:v>330.65705821109356</x:v>
      </x:c>
      <x:c r="Z1775" s="80" t="n">
        <x:f>K1775*'Inputs'!$B$16+(G1775+R1775)*J1775*'Inputs'!$B$16</x:f>
        <x:v>0.6000311155474829</x:v>
      </x:c>
      <x:c r="AA1775" s="80" t="n">
        <x:f>K1775*(1+'Inputs'!$E$48)/2*'Inputs'!$B$17</x:f>
        <x:v>0.200196520740596</x:v>
      </x:c>
      <x:c r="AB1775" s="78" t="n">
        <x:f>(IF(J1775&gt;0,K1775*(1-'Inputs'!$E$48)/2/J1775,0)+G1775+R1775)*'Inputs'!$B$17</x:f>
        <x:v>83536.55160588512</x:v>
      </x:c>
      <x:c r="AC1775" s="78" t="n">
        <x:f>AC1774+AB1775</x:f>
        <x:v>13285252.929110112</x:v>
      </x:c>
      <x:c r="AD1775" s="80" t="n">
        <x:f>Z1775/(1+'Inputs'!$C$48)</x:f>
        <x:v>0.4800248924379863</x:v>
      </x:c>
      <x:c r="AE1775" s="80" t="n">
        <x:f>Z1775-AD1775</x:f>
        <x:v>0.1200062231094966</x:v>
      </x:c>
      <x:c r="AF1775" s="80" t="n">
        <x:f>D1775*W1775</x:f>
        <x:v>0.6298168943173588</x:v>
      </x:c>
      <x:c r="AG1775" s="80" t="n">
        <x:f>C1775*W1775</x:f>
        <x:v>0.36739318835181356</x:v>
      </x:c>
      <x:c r="AH1775" s="80" t="n">
        <x:f>2*'Inputs'!$B$8*'Inputs'!$C$48</x:f>
        <x:v>1250</x:v>
      </x:c>
      <x:c r="AI1775" s="81" t="n">
        <x:f>IF(AH1775&gt;0,(AE1775+AF1775)/AH1775*365,0)</x:f>
        <x:v>0.21894835028864176</x:v>
      </x:c>
      <x:c r="AJ1775" s="81" t="n">
        <x:f>IF('Inputs'!$B$48&gt;0,AG1775/('Inputs'!$B$19*'Inputs'!$B$48)*365,0)</x:f>
        <x:v>0.05363940549936478</x:v>
      </x:c>
      <x:c r="AK1775" s="81" t="n">
        <x:f>W1775/MAX($W$1464:W1775)-1</x:f>
        <x:v>-0.9971702149194906</x:v>
      </x:c>
      <x:c r="AL1775" s="83" t="n">
        <x:f>'Inputs'!$B$48</x:f>
        <x:v>0.25</x:v>
      </x:c>
      <x:c r="AM1775" s="83" t="n">
        <x:f>'Inputs'!$C$48</x:f>
        <x:v>0.25</x:v>
      </x:c>
      <x:c r="AN1775" s="83" t="n">
        <x:f>'Inputs'!$D$48</x:f>
        <x:v>0.3</x:v>
      </x:c>
      <x:c r="AO1775" s="81" t="n">
        <x:f>'Inputs'!$E$48</x:f>
        <x:v>0</x:v>
      </x:c>
    </x:row>
    <x:row r="1776">
      <x:c r="A1776" s="59" t="str">
        <x:v>Low participation</x:v>
      </x:c>
      <x:c r="B1776" s="59" t="n">
        <x:v>313</x:v>
      </x:c>
      <x:c r="C1776" s="78" t="n">
        <x:f>(('Inputs'!$B$29*(3*313*'Inputs'!$B$12-313^2)/(2*'Inputs'!$B$12^2))-('Inputs'!$B$29*(3*312*'Inputs'!$B$12-312^2)/(2*'Inputs'!$B$12^2)))*'Inputs'!$B$48</x:f>
        <x:v>152597.52064177394</x:v>
      </x:c>
      <x:c r="D1776" s="78" t="n">
        <x:f>IF('Inputs'!$C$48&gt;0,('Inputs'!$B$30*(3*313*'Inputs'!$B$12-313^2)/(2*'Inputs'!$B$12^2))-('Inputs'!$B$30*(3*312*'Inputs'!$B$12-312^2)/(2*'Inputs'!$B$12^2)),0)</x:f>
        <x:v>261595.7496716082</x:v>
      </x:c>
      <x:c r="E1776" s="78" t="n">
        <x:f>C1776+D1776</x:f>
        <x:v>414193.27031338215</x:v>
      </x:c>
      <x:c r="F1776" s="78" t="n">
        <x:f>'Inputs'!$B$13*E1776+(1-'Inputs'!$B$13)/'Inputs'!$B$14*SUM(E1721:E1776)</x:f>
        <x:v>419046.66682304424</x:v>
      </x:c>
      <x:c r="G1776" s="78" t="n">
        <x:f>F1776*'Inputs'!$F$48</x:f>
        <x:v>209523.33341152212</x:v>
      </x:c>
      <x:c r="H1776" s="78" t="n">
        <x:f>U1775</x:f>
        <x:v>68706121.49569872</x:v>
      </x:c>
      <x:c r="I1776" s="78" t="n">
        <x:f>V1775</x:f>
        <x:v>165.32852910554678</x:v>
      </x:c>
      <x:c r="J1776" s="79" t="n">
        <x:f>IF(H1776&gt;0,I1776/H1776,0)</x:f>
        <x:v>0.000002406314393920446</x:v>
      </x:c>
      <x:c r="K1776" s="80" t="n">
        <x:f>(H1776*J1776+I1776)*'Inputs'!$D$48*(1+'Inputs'!$G$48)^(B1776/30)</x:f>
        <x:v>99.19711746332807</x:v>
      </x:c>
      <x:c r="L1776" s="80" t="n">
        <x:f>MAX(0,K1776*'Inputs'!$E$48)</x:f>
        <x:v>0</x:v>
      </x:c>
      <x:c r="M1776" s="80" t="n">
        <x:f>MAX(0,-K1776*'Inputs'!$E$48)</x:f>
        <x:v>0</x:v>
      </x:c>
      <x:c r="N1776" s="78" t="n">
        <x:f>H1776*(L1776*(1-'Inputs'!$B$15))/(I1776+L1776*(1-'Inputs'!$B$15))</x:f>
        <x:v>0</x:v>
      </x:c>
      <x:c r="O1776" s="78" t="n">
        <x:f>H1776-N1776</x:f>
        <x:v>68706121.49569872</x:v>
      </x:c>
      <x:c r="P1776" s="78" t="n">
        <x:f>I1776+L1776*(1-'Inputs'!$B$17)</x:f>
        <x:v>165.32852910554678</x:v>
      </x:c>
      <x:c r="Q1776" s="78" t="n">
        <x:f>IF(J1776&gt;0,M1776/J1776,0)</x:f>
        <x:v>0</x:v>
      </x:c>
      <x:c r="R1776" s="78" t="n">
        <x:f>IF(B1776='Inputs'!$H$48,'Inputs'!$B$27*'Inputs'!$I$48,0)</x:f>
        <x:v>0</x:v>
      </x:c>
      <x:c r="S1776" s="78" t="n">
        <x:f>Q1776+G1776+R1776</x:f>
        <x:v>209523.33341152212</x:v>
      </x:c>
      <x:c r="T1776" s="78" t="n">
        <x:f>P1776*(S1776*(1-'Inputs'!$B$15))/(O1776+S1776*(1-'Inputs'!$B$15))</x:f>
        <x:v>0.497634832077461</x:v>
      </x:c>
      <x:c r="U1776" s="78" t="n">
        <x:f>O1776+S1776*(1-'Inputs'!$B$17)</x:f>
        <x:v>68914801.67686312</x:v>
      </x:c>
      <x:c r="V1776" s="78" t="n">
        <x:f>P1776-T1776</x:f>
        <x:v>164.8308942734693</x:v>
      </x:c>
      <x:c r="W1776" s="79" t="n">
        <x:f>IF(U1776&gt;0,V1776/U1776,0)</x:f>
        <x:v>0.0000023918068435624367</x:v>
      </x:c>
      <x:c r="X1776" s="80" t="n">
        <x:f>W1776*('Inputs'!$B$6-AC1776)</x:f>
        <x:v>2359.830679574173</x:v>
      </x:c>
      <x:c r="Y1776" s="80" t="n">
        <x:f>2*V1776</x:f>
        <x:v>329.6617885469386</x:v>
      </x:c>
      <x:c r="Z1776" s="80" t="n">
        <x:f>K1776*'Inputs'!$B$16+(G1776+R1776)*J1776*'Inputs'!$B$16</x:f>
        <x:v>0.5982077788582705</x:v>
      </x:c>
      <x:c r="AA1776" s="80" t="n">
        <x:f>K1776*(1+'Inputs'!$E$48)/2*'Inputs'!$B$17</x:f>
        <x:v>0.19959178564049915</x:v>
      </x:c>
      <x:c r="AB1776" s="78" t="n">
        <x:f>(IF(J1776&gt;0,K1776*(1-'Inputs'!$E$48)/2/J1776,0)+G1776+R1776)*'Inputs'!$B$17</x:f>
        <x:v>83788.1681373084</x:v>
      </x:c>
      <x:c r="AC1776" s="78" t="n">
        <x:f>AC1775+AB1776</x:f>
        <x:v>13369041.09724742</x:v>
      </x:c>
      <x:c r="AD1776" s="80" t="n">
        <x:f>Z1776/(1+'Inputs'!$C$48)</x:f>
        <x:v>0.4785662230866164</x:v>
      </x:c>
      <x:c r="AE1776" s="80" t="n">
        <x:f>Z1776-AD1776</x:f>
        <x:v>0.11964155577165408</x:v>
      </x:c>
      <x:c r="AF1776" s="80" t="n">
        <x:f>D1776*W1776</x:f>
        <x:v>0.6256865043113986</x:v>
      </x:c>
      <x:c r="AG1776" s="80" t="n">
        <x:f>C1776*W1776</x:f>
        <x:v>0.3649837941816551</x:v>
      </x:c>
      <x:c r="AH1776" s="80" t="n">
        <x:f>2*'Inputs'!$B$8*'Inputs'!$C$48</x:f>
        <x:v>1250</x:v>
      </x:c>
      <x:c r="AI1776" s="81" t="n">
        <x:f>IF(AH1776&gt;0,(AE1776+AF1776)/AH1776*365,0)</x:f>
        <x:v>0.21763579354425142</x:v>
      </x:c>
      <x:c r="AJ1776" s="81" t="n">
        <x:f>IF('Inputs'!$B$48&gt;0,AG1776/('Inputs'!$B$19*'Inputs'!$B$48)*365,0)</x:f>
        <x:v>0.05328763395052164</x:v>
      </x:c>
      <x:c r="AK1776" s="81" t="n">
        <x:f>W1776/MAX($W$1464:W1776)-1</x:f>
        <x:v>-0.9971872755536545</x:v>
      </x:c>
      <x:c r="AL1776" s="83" t="n">
        <x:f>'Inputs'!$B$48</x:f>
        <x:v>0.25</x:v>
      </x:c>
      <x:c r="AM1776" s="83" t="n">
        <x:f>'Inputs'!$C$48</x:f>
        <x:v>0.25</x:v>
      </x:c>
      <x:c r="AN1776" s="83" t="n">
        <x:f>'Inputs'!$D$48</x:f>
        <x:v>0.3</x:v>
      </x:c>
      <x:c r="AO1776" s="81" t="n">
        <x:f>'Inputs'!$E$48</x:f>
        <x:v>0</x:v>
      </x:c>
    </x:row>
    <x:row r="1777">
      <x:c r="A1777" s="59" t="str">
        <x:v>Low participation</x:v>
      </x:c>
      <x:c r="B1777" s="59" t="n">
        <x:v>314</x:v>
      </x:c>
      <x:c r="C1777" s="78" t="n">
        <x:f>(('Inputs'!$B$29*(3*314*'Inputs'!$B$12-314^2)/(2*'Inputs'!$B$12^2))-('Inputs'!$B$29*(3*313*'Inputs'!$B$12-313^2)/(2*'Inputs'!$B$12^2)))*'Inputs'!$B$48</x:f>
        <x:v>152516.24366672337</x:v>
      </x:c>
      <x:c r="D1777" s="78" t="n">
        <x:f>IF('Inputs'!$C$48&gt;0,('Inputs'!$B$30*(3*314*'Inputs'!$B$12-314^2)/(2*'Inputs'!$B$12^2))-('Inputs'!$B$30*(3*313*'Inputs'!$B$12-313^2)/(2*'Inputs'!$B$12^2)),0)</x:f>
        <x:v>261456.41771440208</x:v>
      </x:c>
      <x:c r="E1777" s="78" t="n">
        <x:f>C1777+D1777</x:f>
        <x:v>413972.66138112545</x:v>
      </x:c>
      <x:c r="F1777" s="78" t="n">
        <x:f>'Inputs'!$B$13*E1777+(1-'Inputs'!$B$13)/'Inputs'!$B$14*SUM(E1722:E1777)</x:f>
        <x:v>418826.0578907869</x:v>
      </x:c>
      <x:c r="G1777" s="78" t="n">
        <x:f>F1777*'Inputs'!$F$48</x:f>
        <x:v>209413.02894539345</x:v>
      </x:c>
      <x:c r="H1777" s="78" t="n">
        <x:f>U1776</x:f>
        <x:v>68914801.67686312</x:v>
      </x:c>
      <x:c r="I1777" s="78" t="n">
        <x:f>V1776</x:f>
        <x:v>164.8308942734693</x:v>
      </x:c>
      <x:c r="J1777" s="79" t="n">
        <x:f>IF(H1777&gt;0,I1777/H1777,0)</x:f>
        <x:v>0.0000023918068435624367</x:v>
      </x:c>
      <x:c r="K1777" s="80" t="n">
        <x:f>(H1777*J1777+I1777)*'Inputs'!$D$48*(1+'Inputs'!$G$48)^(B1777/30)</x:f>
        <x:v>98.89853656408158</x:v>
      </x:c>
      <x:c r="L1777" s="80" t="n">
        <x:f>MAX(0,K1777*'Inputs'!$E$48)</x:f>
        <x:v>0</x:v>
      </x:c>
      <x:c r="M1777" s="80" t="n">
        <x:f>MAX(0,-K1777*'Inputs'!$E$48)</x:f>
        <x:v>0</x:v>
      </x:c>
      <x:c r="N1777" s="78" t="n">
        <x:f>H1777*(L1777*(1-'Inputs'!$B$15))/(I1777+L1777*(1-'Inputs'!$B$15))</x:f>
        <x:v>0</x:v>
      </x:c>
      <x:c r="O1777" s="78" t="n">
        <x:f>H1777-N1777</x:f>
        <x:v>68914801.67686312</x:v>
      </x:c>
      <x:c r="P1777" s="78" t="n">
        <x:f>I1777+L1777*(1-'Inputs'!$B$17)</x:f>
        <x:v>164.8308942734693</x:v>
      </x:c>
      <x:c r="Q1777" s="78" t="n">
        <x:f>IF(J1777&gt;0,M1777/J1777,0)</x:f>
        <x:v>0</x:v>
      </x:c>
      <x:c r="R1777" s="78" t="n">
        <x:f>IF(B1777='Inputs'!$H$48,'Inputs'!$B$27*'Inputs'!$I$48,0)</x:f>
        <x:v>0</x:v>
      </x:c>
      <x:c r="S1777" s="78" t="n">
        <x:f>Q1777+G1777+R1777</x:f>
        <x:v>209413.02894539345</x:v>
      </x:c>
      <x:c r="T1777" s="78" t="n">
        <x:f>P1777*(S1777*(1-'Inputs'!$B$15))/(O1777+S1777*(1-'Inputs'!$B$15))</x:f>
        <x:v>0.4943795008128288</x:v>
      </x:c>
      <x:c r="U1777" s="78" t="n">
        <x:f>O1777+S1777*(1-'Inputs'!$B$17)</x:f>
        <x:v>69123371.99744253</x:v>
      </x:c>
      <x:c r="V1777" s="78" t="n">
        <x:f>P1777-T1777</x:f>
        <x:v>164.33651477265647</x:v>
      </x:c>
      <x:c r="W1777" s="79" t="n">
        <x:f>IF(U1777&gt;0,V1777/U1777,0)</x:f>
        <x:v>0.0000023774377612645504</x:v>
      </x:c>
      <x:c r="X1777" s="80" t="n">
        <x:f>W1777*('Inputs'!$B$6-AC1777)</x:f>
        <x:v>2345.4538990858528</x:v>
      </x:c>
      <x:c r="Y1777" s="80" t="n">
        <x:f>2*V1777</x:f>
        <x:v>328.67302954531294</x:v>
      </x:c>
      <x:c r="Z1777" s="80" t="n">
        <x:f>K1777*'Inputs'!$B$16+(G1777+R1777)*J1777*'Inputs'!$B$16</x:f>
        <x:v>0.5963964724790658</x:v>
      </x:c>
      <x:c r="AA1777" s="80" t="n">
        <x:f>K1777*(1+'Inputs'!$E$48)/2*'Inputs'!$B$17</x:f>
        <x:v>0.19899101924362492</x:v>
      </x:c>
      <x:c r="AB1777" s="78" t="n">
        <x:f>(IF(J1777&gt;0,K1777*(1-'Inputs'!$E$48)/2/J1777,0)+G1777+R1777)*'Inputs'!$B$17</x:f>
        <x:v>84039.65204025888</x:v>
      </x:c>
      <x:c r="AC1777" s="78" t="n">
        <x:f>AC1776+AB1777</x:f>
        <x:v>13453080.749287678</x:v>
      </x:c>
      <x:c r="AD1777" s="80" t="n">
        <x:f>Z1777/(1+'Inputs'!$C$48)</x:f>
        <x:v>0.47711717798325265</x:v>
      </x:c>
      <x:c r="AE1777" s="80" t="n">
        <x:f>Z1777-AD1777</x:f>
        <x:v>0.11927929449581315</x:v>
      </x:c>
      <x:c r="AF1777" s="80" t="n">
        <x:f>D1777*W1777</x:f>
        <x:v>0.6215963603991772</x:v>
      </x:c>
      <x:c r="AG1777" s="80" t="n">
        <x:f>C1777*W1777</x:f>
        <x:v>0.36259787689949347</x:v>
      </x:c>
      <x:c r="AH1777" s="80" t="n">
        <x:f>2*'Inputs'!$B$8*'Inputs'!$C$48</x:f>
        <x:v>1250</x:v>
      </x:c>
      <x:c r="AI1777" s="81" t="n">
        <x:f>IF(AH1777&gt;0,(AE1777+AF1777)/AH1777*365,0)</x:f>
        <x:v>0.2163356912293372</x:v>
      </x:c>
      <x:c r="AJ1777" s="81" t="n">
        <x:f>IF('Inputs'!$B$48&gt;0,AG1777/('Inputs'!$B$19*'Inputs'!$B$48)*365,0)</x:f>
        <x:v>0.052939290027326044</x:v>
      </x:c>
      <x:c r="AK1777" s="81" t="n">
        <x:f>W1777/MAX($W$1464:W1777)-1</x:f>
        <x:v>-0.9972041733517186</x:v>
      </x:c>
      <x:c r="AL1777" s="83" t="n">
        <x:f>'Inputs'!$B$48</x:f>
        <x:v>0.25</x:v>
      </x:c>
      <x:c r="AM1777" s="83" t="n">
        <x:f>'Inputs'!$C$48</x:f>
        <x:v>0.25</x:v>
      </x:c>
      <x:c r="AN1777" s="83" t="n">
        <x:f>'Inputs'!$D$48</x:f>
        <x:v>0.3</x:v>
      </x:c>
      <x:c r="AO1777" s="81" t="n">
        <x:f>'Inputs'!$E$48</x:f>
        <x:v>0</x:v>
      </x:c>
    </x:row>
    <x:row r="1778">
      <x:c r="A1778" s="59" t="str">
        <x:v>Low participation</x:v>
      </x:c>
      <x:c r="B1778" s="59" t="n">
        <x:v>315</x:v>
      </x:c>
      <x:c r="C1778" s="78" t="n">
        <x:f>(('Inputs'!$B$29*(3*315*'Inputs'!$B$12-315^2)/(2*'Inputs'!$B$12^2))-('Inputs'!$B$29*(3*314*'Inputs'!$B$12-314^2)/(2*'Inputs'!$B$12^2)))*'Inputs'!$B$48</x:f>
        <x:v>152434.9666916877</x:v>
      </x:c>
      <x:c r="D1778" s="78" t="n">
        <x:f>IF('Inputs'!$C$48&gt;0,('Inputs'!$B$30*(3*315*'Inputs'!$B$12-315^2)/(2*'Inputs'!$B$12^2))-('Inputs'!$B$30*(3*314*'Inputs'!$B$12-314^2)/(2*'Inputs'!$B$12^2)),0)</x:f>
        <x:v>261317.08575716615</x:v>
      </x:c>
      <x:c r="E1778" s="78" t="n">
        <x:f>C1778+D1778</x:f>
        <x:v>413752.05244885385</x:v>
      </x:c>
      <x:c r="F1778" s="78" t="n">
        <x:f>'Inputs'!$B$13*E1778+(1-'Inputs'!$B$13)/'Inputs'!$B$14*SUM(E1723:E1778)</x:f>
        <x:v>418605.4489585265</x:v>
      </x:c>
      <x:c r="G1778" s="78" t="n">
        <x:f>F1778*'Inputs'!$F$48</x:f>
        <x:v>209302.72447926324</x:v>
      </x:c>
      <x:c r="H1778" s="78" t="n">
        <x:f>U1777</x:f>
        <x:v>69123371.99744253</x:v>
      </x:c>
      <x:c r="I1778" s="78" t="n">
        <x:f>V1777</x:f>
        <x:v>164.33651477265647</x:v>
      </x:c>
      <x:c r="J1778" s="79" t="n">
        <x:f>IF(H1778&gt;0,I1778/H1778,0)</x:f>
        <x:v>0.0000023774377612645504</x:v>
      </x:c>
      <x:c r="K1778" s="80" t="n">
        <x:f>(H1778*J1778+I1778)*'Inputs'!$D$48*(1+'Inputs'!$G$48)^(B1778/30)</x:f>
        <x:v>98.60190886359388</x:v>
      </x:c>
      <x:c r="L1778" s="80" t="n">
        <x:f>MAX(0,K1778*'Inputs'!$E$48)</x:f>
        <x:v>0</x:v>
      </x:c>
      <x:c r="M1778" s="80" t="n">
        <x:f>MAX(0,-K1778*'Inputs'!$E$48)</x:f>
        <x:v>0</x:v>
      </x:c>
      <x:c r="N1778" s="78" t="n">
        <x:f>H1778*(L1778*(1-'Inputs'!$B$15))/(I1778+L1778*(1-'Inputs'!$B$15))</x:f>
        <x:v>0</x:v>
      </x:c>
      <x:c r="O1778" s="78" t="n">
        <x:f>H1778-N1778</x:f>
        <x:v>69123371.99744253</x:v>
      </x:c>
      <x:c r="P1778" s="78" t="n">
        <x:f>I1778+L1778*(1-'Inputs'!$B$17)</x:f>
        <x:v>164.33651477265647</x:v>
      </x:c>
      <x:c r="Q1778" s="78" t="n">
        <x:f>IF(J1778&gt;0,M1778/J1778,0)</x:f>
        <x:v>0</x:v>
      </x:c>
      <x:c r="R1778" s="78" t="n">
        <x:f>IF(B1778='Inputs'!$H$48,'Inputs'!$B$27*'Inputs'!$I$48,0)</x:f>
        <x:v>0</x:v>
      </x:c>
      <x:c r="S1778" s="78" t="n">
        <x:f>Q1778+G1778+R1778</x:f>
        <x:v>209302.72447926324</x:v>
      </x:c>
      <x:c r="T1778" s="78" t="n">
        <x:f>P1778*(S1778*(1-'Inputs'!$B$15))/(O1778+S1778*(1-'Inputs'!$B$15))</x:f>
        <x:v>0.49115583106703803</x:v>
      </x:c>
      <x:c r="U1778" s="78" t="n">
        <x:f>O1778+S1778*(1-'Inputs'!$B$17)</x:f>
        <x:v>69331832.45743696</x:v>
      </x:c>
      <x:c r="V1778" s="78" t="n">
        <x:f>P1778-T1778</x:f>
        <x:v>163.84535894158944</x:v>
      </x:c>
      <x:c r="W1778" s="79" t="n">
        <x:f>IF(U1778&gt;0,V1778/U1778,0)</x:f>
        <x:v>0.000002363205372397659</x:v>
      </x:c>
      <x:c r="X1778" s="80" t="n">
        <x:f>W1778*('Inputs'!$B$6-AC1778)</x:f>
        <x:v>2331.2137827437646</x:v>
      </x:c>
      <x:c r="Y1778" s="80" t="n">
        <x:f>2*V1778</x:f>
        <x:v>327.6907178831789</x:v>
      </x:c>
      <x:c r="Z1778" s="80" t="n">
        <x:f>K1778*'Inputs'!$B$16+(G1778+R1778)*J1778*'Inputs'!$B$16</x:f>
        <x:v>0.5945970783858385</x:v>
      </x:c>
      <x:c r="AA1778" s="80" t="n">
        <x:f>K1778*(1+'Inputs'!$E$48)/2*'Inputs'!$B$17</x:f>
        <x:v>0.19839418282413257</x:v>
      </x:c>
      <x:c r="AB1778" s="78" t="n">
        <x:f>(IF(J1778&gt;0,K1778*(1-'Inputs'!$E$48)/2/J1778,0)+G1778+R1778)*'Inputs'!$B$17</x:f>
        <x:v>84291.00331473649</x:v>
      </x:c>
      <x:c r="AC1778" s="78" t="n">
        <x:f>AC1777+AB1778</x:f>
        <x:v>13537371.752602415</x:v>
      </x:c>
      <x:c r="AD1778" s="80" t="n">
        <x:f>Z1778/(1+'Inputs'!$C$48)</x:f>
        <x:v>0.47567766270867085</x:v>
      </x:c>
      <x:c r="AE1778" s="80" t="n">
        <x:f>Z1778-AD1778</x:f>
        <x:v>0.11891941567716768</x:v>
      </x:c>
      <x:c r="AF1778" s="80" t="n">
        <x:f>D1778*W1778</x:f>
        <x:v>0.6175459409606349</x:v>
      </x:c>
      <x:c r="AG1778" s="80" t="n">
        <x:f>C1778*W1778</x:f>
        <x:v>0.3602351322270546</x:v>
      </x:c>
      <x:c r="AH1778" s="80" t="n">
        <x:f>2*'Inputs'!$B$8*'Inputs'!$C$48</x:f>
        <x:v>1250</x:v>
      </x:c>
      <x:c r="AI1778" s="81" t="n">
        <x:f>IF(AH1778&gt;0,(AE1778+AF1778)/AH1778*365,0)</x:f>
        <x:v>0.21504788413823833</x:v>
      </x:c>
      <x:c r="AJ1778" s="81" t="n">
        <x:f>IF('Inputs'!$B$48&gt;0,AG1778/('Inputs'!$B$19*'Inputs'!$B$48)*365,0)</x:f>
        <x:v>0.05259432930514997</x:v>
      </x:c>
      <x:c r="AK1778" s="81" t="n">
        <x:f>W1778/MAX($W$1464:W1778)-1</x:f>
        <x:v>-0.9972209104006168</x:v>
      </x:c>
      <x:c r="AL1778" s="83" t="n">
        <x:f>'Inputs'!$B$48</x:f>
        <x:v>0.25</x:v>
      </x:c>
      <x:c r="AM1778" s="83" t="n">
        <x:f>'Inputs'!$C$48</x:f>
        <x:v>0.25</x:v>
      </x:c>
      <x:c r="AN1778" s="83" t="n">
        <x:f>'Inputs'!$D$48</x:f>
        <x:v>0.3</x:v>
      </x:c>
      <x:c r="AO1778" s="81" t="n">
        <x:f>'Inputs'!$E$48</x:f>
        <x:v>0</x:v>
      </x:c>
    </x:row>
    <x:row r="1779">
      <x:c r="A1779" s="59" t="str">
        <x:v>Low participation</x:v>
      </x:c>
      <x:c r="B1779" s="59" t="n">
        <x:v>316</x:v>
      </x:c>
      <x:c r="C1779" s="78" t="n">
        <x:f>(('Inputs'!$B$29*(3*316*'Inputs'!$B$12-316^2)/(2*'Inputs'!$B$12^2))-('Inputs'!$B$29*(3*315*'Inputs'!$B$12-315^2)/(2*'Inputs'!$B$12^2)))*'Inputs'!$B$48</x:f>
        <x:v>152353.68971664459</x:v>
      </x:c>
      <x:c r="D1779" s="78" t="n">
        <x:f>IF('Inputs'!$C$48&gt;0,('Inputs'!$B$30*(3*316*'Inputs'!$B$12-316^2)/(2*'Inputs'!$B$12^2))-('Inputs'!$B$30*(3*315*'Inputs'!$B$12-315^2)/(2*'Inputs'!$B$12^2)),0)</x:f>
        <x:v>261177.75379997492</x:v>
      </x:c>
      <x:c r="E1779" s="78" t="n">
        <x:f>C1779+D1779</x:f>
        <x:v>413531.4435166195</x:v>
      </x:c>
      <x:c r="F1779" s="78" t="n">
        <x:f>'Inputs'!$B$13*E1779+(1-'Inputs'!$B$13)/'Inputs'!$B$14*SUM(E1724:E1779)</x:f>
        <x:v>418384.840026274</x:v>
      </x:c>
      <x:c r="G1779" s="78" t="n">
        <x:f>F1779*'Inputs'!$F$48</x:f>
        <x:v>209192.420013137</x:v>
      </x:c>
      <x:c r="H1779" s="78" t="n">
        <x:f>U1778</x:f>
        <x:v>69331832.45743696</x:v>
      </x:c>
      <x:c r="I1779" s="78" t="n">
        <x:f>V1778</x:f>
        <x:v>163.84535894158944</x:v>
      </x:c>
      <x:c r="J1779" s="79" t="n">
        <x:f>IF(H1779&gt;0,I1779/H1779,0)</x:f>
        <x:v>0.000002363205372397659</x:v>
      </x:c>
      <x:c r="K1779" s="80" t="n">
        <x:f>(H1779*J1779+I1779)*'Inputs'!$D$48*(1+'Inputs'!$G$48)^(B1779/30)</x:f>
        <x:v>98.30721536495366</x:v>
      </x:c>
      <x:c r="L1779" s="80" t="n">
        <x:f>MAX(0,K1779*'Inputs'!$E$48)</x:f>
        <x:v>0</x:v>
      </x:c>
      <x:c r="M1779" s="80" t="n">
        <x:f>MAX(0,-K1779*'Inputs'!$E$48)</x:f>
        <x:v>0</x:v>
      </x:c>
      <x:c r="N1779" s="78" t="n">
        <x:f>H1779*(L1779*(1-'Inputs'!$B$15))/(I1779+L1779*(1-'Inputs'!$B$15))</x:f>
        <x:v>0</x:v>
      </x:c>
      <x:c r="O1779" s="78" t="n">
        <x:f>H1779-N1779</x:f>
        <x:v>69331832.45743696</x:v>
      </x:c>
      <x:c r="P1779" s="78" t="n">
        <x:f>I1779+L1779*(1-'Inputs'!$B$17)</x:f>
        <x:v>163.84535894158944</x:v>
      </x:c>
      <x:c r="Q1779" s="78" t="n">
        <x:f>IF(J1779&gt;0,M1779/J1779,0)</x:f>
        <x:v>0</x:v>
      </x:c>
      <x:c r="R1779" s="78" t="n">
        <x:f>IF(B1779='Inputs'!$H$48,'Inputs'!$B$27*'Inputs'!$I$48,0)</x:f>
        <x:v>0</x:v>
      </x:c>
      <x:c r="S1779" s="78" t="n">
        <x:f>Q1779+G1779+R1779</x:f>
        <x:v>209192.420013137</x:v>
      </x:c>
      <x:c r="T1779" s="78" t="n">
        <x:f>P1779*(S1779*(1-'Inputs'!$B$15))/(O1779+S1779*(1-'Inputs'!$B$15))</x:f>
        <x:v>0.4879634131900664</x:v>
      </x:c>
      <x:c r="U1779" s="78" t="n">
        <x:f>O1779+S1779*(1-'Inputs'!$B$17)</x:f>
        <x:v>69540183.05684642</x:v>
      </x:c>
      <x:c r="V1779" s="78" t="n">
        <x:f>P1779-T1779</x:f>
        <x:v>163.35739552839937</x:v>
      </x:c>
      <x:c r="W1779" s="79" t="n">
        <x:f>IF(U1779&gt;0,V1779/U1779,0)</x:f>
        <x:v>0.0000023491079308039925</x:v>
      </x:c>
      <x:c r="X1779" s="80" t="n">
        <x:f>W1779*('Inputs'!$B$6-AC1779)</x:f>
        <x:v>2317.1085846536166</x:v>
      </x:c>
      <x:c r="Y1779" s="80" t="n">
        <x:f>2*V1779</x:f>
        <x:v>326.71479105679873</x:v>
      </x:c>
      <x:c r="Z1779" s="80" t="n">
        <x:f>K1779*'Inputs'!$B$16+(G1779+R1779)*J1779*'Inputs'!$B$16</x:f>
        <x:v>0.5928094800947614</x:v>
      </x:c>
      <x:c r="AA1779" s="80" t="n">
        <x:f>K1779*(1+'Inputs'!$E$48)/2*'Inputs'!$B$17</x:f>
        <x:v>0.1978012381588605</x:v>
      </x:c>
      <x:c r="AB1779" s="78" t="n">
        <x:f>(IF(J1779&gt;0,K1779*(1-'Inputs'!$E$48)/2/J1779,0)+G1779+R1779)*'Inputs'!$B$17</x:f>
        <x:v>84542.22196074137</x:v>
      </x:c>
      <x:c r="AC1779" s="78" t="n">
        <x:f>AC1778+AB1779</x:f>
        <x:v>13621913.974563157</x:v>
      </x:c>
      <x:c r="AD1779" s="80" t="n">
        <x:f>Z1779/(1+'Inputs'!$C$48)</x:f>
        <x:v>0.47424758407580914</x:v>
      </x:c>
      <x:c r="AE1779" s="80" t="n">
        <x:f>Z1779-AD1779</x:f>
        <x:v>0.11856189601895228</x:v>
      </x:c>
      <x:c r="AF1779" s="80" t="n">
        <x:f>D1779*W1779</x:f>
        <x:v>0.6135347328010937</x:v>
      </x:c>
      <x:c r="AG1779" s="80" t="n">
        <x:f>C1779*W1779</x:f>
        <x:v>0.35789526080062045</x:v>
      </x:c>
      <x:c r="AH1779" s="80" t="n">
        <x:f>2*'Inputs'!$B$8*'Inputs'!$C$48</x:f>
        <x:v>1250</x:v>
      </x:c>
      <x:c r="AI1779" s="81" t="n">
        <x:f>IF(AH1779&gt;0,(AE1779+AF1779)/AH1779*365,0)</x:f>
        <x:v>0.21377221561545343</x:v>
      </x:c>
      <x:c r="AJ1779" s="81" t="n">
        <x:f>IF('Inputs'!$B$48&gt;0,AG1779/('Inputs'!$B$19*'Inputs'!$B$48)*365,0)</x:f>
        <x:v>0.052252708076890586</x:v>
      </x:c>
      <x:c r="AK1779" s="81" t="n">
        <x:f>W1779/MAX($W$1464:W1779)-1</x:f>
        <x:v>-0.9972374887538012</x:v>
      </x:c>
      <x:c r="AL1779" s="83" t="n">
        <x:f>'Inputs'!$B$48</x:f>
        <x:v>0.25</x:v>
      </x:c>
      <x:c r="AM1779" s="83" t="n">
        <x:f>'Inputs'!$C$48</x:f>
        <x:v>0.25</x:v>
      </x:c>
      <x:c r="AN1779" s="83" t="n">
        <x:f>'Inputs'!$D$48</x:f>
        <x:v>0.3</x:v>
      </x:c>
      <x:c r="AO1779" s="81" t="n">
        <x:f>'Inputs'!$E$48</x:f>
        <x:v>0</x:v>
      </x:c>
    </x:row>
    <x:row r="1780">
      <x:c r="A1780" s="59" t="str">
        <x:v>Low participation</x:v>
      </x:c>
      <x:c r="B1780" s="59" t="n">
        <x:v>317</x:v>
      </x:c>
      <x:c r="C1780" s="78" t="n">
        <x:f>(('Inputs'!$B$29*(3*317*'Inputs'!$B$12-317^2)/(2*'Inputs'!$B$12^2))-('Inputs'!$B$29*(3*316*'Inputs'!$B$12-316^2)/(2*'Inputs'!$B$12^2)))*'Inputs'!$B$48</x:f>
        <x:v>152272.41274160892</x:v>
      </x:c>
      <x:c r="D1780" s="78" t="n">
        <x:f>IF('Inputs'!$C$48&gt;0,('Inputs'!$B$30*(3*317*'Inputs'!$B$12-317^2)/(2*'Inputs'!$B$12^2))-('Inputs'!$B$30*(3*316*'Inputs'!$B$12-316^2)/(2*'Inputs'!$B$12^2)),0)</x:f>
        <x:v>261038.421842739</x:v>
      </x:c>
      <x:c r="E1780" s="78" t="n">
        <x:f>C1780+D1780</x:f>
        <x:v>413310.8345843479</x:v>
      </x:c>
      <x:c r="F1780" s="78" t="n">
        <x:f>'Inputs'!$B$13*E1780+(1-'Inputs'!$B$13)/'Inputs'!$B$14*SUM(E1725:E1780)</x:f>
        <x:v>418164.2310940135</x:v>
      </x:c>
      <x:c r="G1780" s="78" t="n">
        <x:f>F1780*'Inputs'!$F$48</x:f>
        <x:v>209082.11554700675</x:v>
      </x:c>
      <x:c r="H1780" s="78" t="n">
        <x:f>U1779</x:f>
        <x:v>69540183.05684642</x:v>
      </x:c>
      <x:c r="I1780" s="78" t="n">
        <x:f>V1779</x:f>
        <x:v>163.35739552839937</x:v>
      </x:c>
      <x:c r="J1780" s="79" t="n">
        <x:f>IF(H1780&gt;0,I1780/H1780,0)</x:f>
        <x:v>0.0000023491079308039925</x:v>
      </x:c>
      <x:c r="K1780" s="80" t="n">
        <x:f>(H1780*J1780+I1780)*'Inputs'!$D$48*(1+'Inputs'!$G$48)^(B1780/30)</x:f>
        <x:v>98.01443731703962</x:v>
      </x:c>
      <x:c r="L1780" s="80" t="n">
        <x:f>MAX(0,K1780*'Inputs'!$E$48)</x:f>
        <x:v>0</x:v>
      </x:c>
      <x:c r="M1780" s="80" t="n">
        <x:f>MAX(0,-K1780*'Inputs'!$E$48)</x:f>
        <x:v>0</x:v>
      </x:c>
      <x:c r="N1780" s="78" t="n">
        <x:f>H1780*(L1780*(1-'Inputs'!$B$15))/(I1780+L1780*(1-'Inputs'!$B$15))</x:f>
        <x:v>0</x:v>
      </x:c>
      <x:c r="O1780" s="78" t="n">
        <x:f>H1780-N1780</x:f>
        <x:v>69540183.05684642</x:v>
      </x:c>
      <x:c r="P1780" s="78" t="n">
        <x:f>I1780+L1780*(1-'Inputs'!$B$17)</x:f>
        <x:v>163.35739552839937</x:v>
      </x:c>
      <x:c r="Q1780" s="78" t="n">
        <x:f>IF(J1780&gt;0,M1780/J1780,0)</x:f>
        <x:v>0</x:v>
      </x:c>
      <x:c r="R1780" s="78" t="n">
        <x:f>IF(B1780='Inputs'!$H$48,'Inputs'!$B$27*'Inputs'!$I$48,0)</x:f>
        <x:v>0</x:v>
      </x:c>
      <x:c r="S1780" s="78" t="n">
        <x:f>Q1780+G1780+R1780</x:f>
        <x:v>209082.11554700675</x:v>
      </x:c>
      <x:c r="T1780" s="78" t="n">
        <x:f>P1780*(S1780*(1-'Inputs'!$B$15))/(O1780+S1780*(1-'Inputs'!$B$15))</x:f>
        <x:v>0.4848018441374097</x:v>
      </x:c>
      <x:c r="U1780" s="78" t="n">
        <x:f>O1780+S1780*(1-'Inputs'!$B$17)</x:f>
        <x:v>69748423.79567091</x:v>
      </x:c>
      <x:c r="V1780" s="78" t="n">
        <x:f>P1780-T1780</x:f>
        <x:v>162.87259368426194</x:v>
      </x:c>
      <x:c r="W1780" s="79" t="n">
        <x:f>IF(U1780&gt;0,V1780/U1780,0)</x:f>
        <x:v>0.000002335143718249458</x:v>
      </x:c>
      <x:c r="X1780" s="80" t="n">
        <x:f>W1780*('Inputs'!$B$6-AC1780)</x:f>
        <x:v>2303.136586840747</x:v>
      </x:c>
      <x:c r="Y1780" s="80" t="n">
        <x:f>2*V1780</x:f>
        <x:v>325.7451873685239</x:v>
      </x:c>
      <x:c r="Z1780" s="80" t="n">
        <x:f>K1780*'Inputs'!$B$16+(G1780+R1780)*J1780*'Inputs'!$B$16</x:f>
        <x:v>0.5910335626371622</x:v>
      </x:c>
      <x:c r="AA1780" s="80" t="n">
        <x:f>K1780*(1+'Inputs'!$E$48)/2*'Inputs'!$B$17</x:f>
        <x:v>0.19721214751919441</x:v>
      </x:c>
      <x:c r="AB1780" s="78" t="n">
        <x:f>(IF(J1780&gt;0,K1780*(1-'Inputs'!$E$48)/2/J1780,0)+G1780+R1780)*'Inputs'!$B$17</x:f>
        <x:v>84793.30797827337</x:v>
      </x:c>
      <x:c r="AC1780" s="78" t="n">
        <x:f>AC1779+AB1780</x:f>
        <x:v>13706707.282541431</x:v>
      </x:c>
      <x:c r="AD1780" s="80" t="n">
        <x:f>Z1780/(1+'Inputs'!$C$48)</x:f>
        <x:v>0.4728268501097298</x:v>
      </x:c>
      <x:c r="AE1780" s="80" t="n">
        <x:f>Z1780-AD1780</x:f>
        <x:v>0.11820671252743242</x:v>
      </x:c>
      <x:c r="AF1780" s="80" t="n">
        <x:f>D1780*W1780</x:f>
        <x:v>0.609562230987824</x:v>
      </x:c>
      <x:c r="AG1780" s="80" t="n">
        <x:f>C1780*W1780</x:f>
        <x:v>0.35557796807625675</x:v>
      </x:c>
      <x:c r="AH1780" s="80" t="n">
        <x:f>2*'Inputs'!$B$8*'Inputs'!$C$48</x:f>
        <x:v>1250</x:v>
      </x:c>
      <x:c r="AI1780" s="81" t="n">
        <x:f>IF(AH1780&gt;0,(AE1780+AF1780)/AH1780*365,0)</x:f>
        <x:v>0.21250853150645488</x:v>
      </x:c>
      <x:c r="AJ1780" s="81" t="n">
        <x:f>IF('Inputs'!$B$48&gt;0,AG1780/('Inputs'!$B$19*'Inputs'!$B$48)*365,0)</x:f>
        <x:v>0.05191438333913349</x:v>
      </x:c>
      <x:c r="AK1780" s="81" t="n">
        <x:f>W1780/MAX($W$1464:W1780)-1</x:f>
        <x:v>-0.997253910431886</x:v>
      </x:c>
      <x:c r="AL1780" s="83" t="n">
        <x:f>'Inputs'!$B$48</x:f>
        <x:v>0.25</x:v>
      </x:c>
      <x:c r="AM1780" s="83" t="n">
        <x:f>'Inputs'!$C$48</x:f>
        <x:v>0.25</x:v>
      </x:c>
      <x:c r="AN1780" s="83" t="n">
        <x:f>'Inputs'!$D$48</x:f>
        <x:v>0.3</x:v>
      </x:c>
      <x:c r="AO1780" s="81" t="n">
        <x:f>'Inputs'!$E$48</x:f>
        <x:v>0</x:v>
      </x:c>
    </x:row>
    <x:row r="1781">
      <x:c r="A1781" s="59" t="str">
        <x:v>Low participation</x:v>
      </x:c>
      <x:c r="B1781" s="59" t="n">
        <x:v>318</x:v>
      </x:c>
      <x:c r="C1781" s="78" t="n">
        <x:f>(('Inputs'!$B$29*(3*318*'Inputs'!$B$12-318^2)/(2*'Inputs'!$B$12^2))-('Inputs'!$B$29*(3*317*'Inputs'!$B$12-317^2)/(2*'Inputs'!$B$12^2)))*'Inputs'!$B$48</x:f>
        <x:v>152191.13576655835</x:v>
      </x:c>
      <x:c r="D1781" s="78" t="n">
        <x:f>IF('Inputs'!$C$48&gt;0,('Inputs'!$B$30*(3*318*'Inputs'!$B$12-318^2)/(2*'Inputs'!$B$12^2))-('Inputs'!$B$30*(3*317*'Inputs'!$B$12-317^2)/(2*'Inputs'!$B$12^2)),0)</x:f>
        <x:v>260899.08988553286</x:v>
      </x:c>
      <x:c r="E1781" s="78" t="n">
        <x:f>C1781+D1781</x:f>
        <x:v>413090.2256520912</x:v>
      </x:c>
      <x:c r="F1781" s="78" t="n">
        <x:f>'Inputs'!$B$13*E1781+(1-'Inputs'!$B$13)/'Inputs'!$B$14*SUM(E1726:E1781)</x:f>
        <x:v>417943.62216175627</x:v>
      </x:c>
      <x:c r="G1781" s="78" t="n">
        <x:f>F1781*'Inputs'!$F$48</x:f>
        <x:v>208971.81108087813</x:v>
      </x:c>
      <x:c r="H1781" s="78" t="n">
        <x:f>U1780</x:f>
        <x:v>69748423.79567091</x:v>
      </x:c>
      <x:c r="I1781" s="78" t="n">
        <x:f>V1780</x:f>
        <x:v>162.87259368426194</x:v>
      </x:c>
      <x:c r="J1781" s="79" t="n">
        <x:f>IF(H1781&gt;0,I1781/H1781,0)</x:f>
        <x:v>0.000002335143718249458</x:v>
      </x:c>
      <x:c r="K1781" s="80" t="n">
        <x:f>(H1781*J1781+I1781)*'Inputs'!$D$48*(1+'Inputs'!$G$48)^(B1781/30)</x:f>
        <x:v>97.72355621055716</x:v>
      </x:c>
      <x:c r="L1781" s="80" t="n">
        <x:f>MAX(0,K1781*'Inputs'!$E$48)</x:f>
        <x:v>0</x:v>
      </x:c>
      <x:c r="M1781" s="80" t="n">
        <x:f>MAX(0,-K1781*'Inputs'!$E$48)</x:f>
        <x:v>0</x:v>
      </x:c>
      <x:c r="N1781" s="78" t="n">
        <x:f>H1781*(L1781*(1-'Inputs'!$B$15))/(I1781+L1781*(1-'Inputs'!$B$15))</x:f>
        <x:v>0</x:v>
      </x:c>
      <x:c r="O1781" s="78" t="n">
        <x:f>H1781-N1781</x:f>
        <x:v>69748423.79567091</x:v>
      </x:c>
      <x:c r="P1781" s="78" t="n">
        <x:f>I1781+L1781*(1-'Inputs'!$B$17)</x:f>
        <x:v>162.87259368426194</x:v>
      </x:c>
      <x:c r="Q1781" s="78" t="n">
        <x:f>IF(J1781&gt;0,M1781/J1781,0)</x:f>
        <x:v>0</x:v>
      </x:c>
      <x:c r="R1781" s="78" t="n">
        <x:f>IF(B1781='Inputs'!$H$48,'Inputs'!$B$27*'Inputs'!$I$48,0)</x:f>
        <x:v>0</x:v>
      </x:c>
      <x:c r="S1781" s="78" t="n">
        <x:f>Q1781+G1781+R1781</x:f>
        <x:v>208971.81108087813</x:v>
      </x:c>
      <x:c r="T1781" s="78" t="n">
        <x:f>P1781*(S1781*(1-'Inputs'!$B$15))/(O1781+S1781*(1-'Inputs'!$B$15))</x:f>
        <x:v>0.4816707273427149</x:v>
      </x:c>
      <x:c r="U1781" s="78" t="n">
        <x:f>O1781+S1781*(1-'Inputs'!$B$17)</x:f>
        <x:v>69956554.67391042</x:v>
      </x:c>
      <x:c r="V1781" s="78" t="n">
        <x:f>P1781-T1781</x:f>
        <x:v>162.39092295691924</x:v>
      </x:c>
      <x:c r="W1781" s="79" t="n">
        <x:f>IF(U1781&gt;0,V1781/U1781,0)</x:f>
        <x:v>0.0000023213110438882327</x:v>
      </x:c>
      <x:c r="X1781" s="80" t="n">
        <x:f>W1781*('Inputs'!$B$6-AC1781)</x:f>
        <x:v>2289.296098714795</x:v>
      </x:c>
      <x:c r="Y1781" s="80" t="n">
        <x:f>2*V1781</x:f>
        <x:v>324.7818459138385</x:v>
      </x:c>
      <x:c r="Z1781" s="80" t="n">
        <x:f>K1781*'Inputs'!$B$16+(G1781+R1781)*J1781*'Inputs'!$B$16</x:f>
        <x:v>0.5892692125349633</x:v>
      </x:c>
      <x:c r="AA1781" s="80" t="n">
        <x:f>K1781*(1+'Inputs'!$E$48)/2*'Inputs'!$B$17</x:f>
        <x:v>0.1966268736630929</x:v>
      </x:c>
      <x:c r="AB1781" s="78" t="n">
        <x:f>(IF(J1781&gt;0,K1781*(1-'Inputs'!$E$48)/2/J1781,0)+G1781+R1781)*'Inputs'!$B$17</x:f>
        <x:v>85044.26136733261</x:v>
      </x:c>
      <x:c r="AC1781" s="78" t="n">
        <x:f>AC1780+AB1781</x:f>
        <x:v>13791751.543908764</x:v>
      </x:c>
      <x:c r="AD1781" s="80" t="n">
        <x:f>Z1781/(1+'Inputs'!$C$48)</x:f>
        <x:v>0.4714153700279707</x:v>
      </x:c>
      <x:c r="AE1781" s="80" t="n">
        <x:f>Z1781-AD1781</x:f>
        <x:v>0.11785384250699266</x:v>
      </x:c>
      <x:c r="AF1781" s="80" t="n">
        <x:f>D1781*W1781</x:f>
        <x:v>0.6056279386916761</x:v>
      </x:c>
      <x:c r="AG1781" s="80" t="n">
        <x:f>C1781*W1781</x:f>
        <x:v>0.35328296423680533</x:v>
      </x:c>
      <x:c r="AH1781" s="80" t="n">
        <x:f>2*'Inputs'!$B$8*'Inputs'!$C$48</x:f>
        <x:v>1250</x:v>
      </x:c>
      <x:c r="AI1781" s="81" t="n">
        <x:f>IF(AH1781&gt;0,(AE1781+AF1781)/AH1781*365,0)</x:f>
        <x:v>0.21125668011001125</x:v>
      </x:c>
      <x:c r="AJ1781" s="81" t="n">
        <x:f>IF('Inputs'!$B$48&gt;0,AG1781/('Inputs'!$B$19*'Inputs'!$B$48)*365,0)</x:f>
        <x:v>0.05157931277857358</x:v>
      </x:c>
      <x:c r="AK1781" s="81" t="n">
        <x:f>W1781/MAX($W$1464:W1781)-1</x:f>
        <x:v>-0.9972701774232775</x:v>
      </x:c>
      <x:c r="AL1781" s="83" t="n">
        <x:f>'Inputs'!$B$48</x:f>
        <x:v>0.25</x:v>
      </x:c>
      <x:c r="AM1781" s="83" t="n">
        <x:f>'Inputs'!$C$48</x:f>
        <x:v>0.25</x:v>
      </x:c>
      <x:c r="AN1781" s="83" t="n">
        <x:f>'Inputs'!$D$48</x:f>
        <x:v>0.3</x:v>
      </x:c>
      <x:c r="AO1781" s="81" t="n">
        <x:f>'Inputs'!$E$48</x:f>
        <x:v>0</x:v>
      </x:c>
    </x:row>
    <x:row r="1782">
      <x:c r="A1782" s="59" t="str">
        <x:v>Low participation</x:v>
      </x:c>
      <x:c r="B1782" s="59" t="n">
        <x:v>319</x:v>
      </x:c>
      <x:c r="C1782" s="78" t="n">
        <x:f>(('Inputs'!$B$29*(3*319*'Inputs'!$B$12-319^2)/(2*'Inputs'!$B$12^2))-('Inputs'!$B$29*(3*318*'Inputs'!$B$12-318^2)/(2*'Inputs'!$B$12^2)))*'Inputs'!$B$48</x:f>
        <x:v>152109.85879151523</x:v>
      </x:c>
      <x:c r="D1782" s="78" t="n">
        <x:f>IF('Inputs'!$C$48&gt;0,('Inputs'!$B$30*(3*319*'Inputs'!$B$12-319^2)/(2*'Inputs'!$B$12^2))-('Inputs'!$B$30*(3*318*'Inputs'!$B$12-318^2)/(2*'Inputs'!$B$12^2)),0)</x:f>
        <x:v>260759.75792831182</x:v>
      </x:c>
      <x:c r="E1782" s="78" t="n">
        <x:f>C1782+D1782</x:f>
        <x:v>412869.61671982706</x:v>
      </x:c>
      <x:c r="F1782" s="78" t="n">
        <x:f>'Inputs'!$B$13*E1782+(1-'Inputs'!$B$13)/'Inputs'!$B$14*SUM(E1727:E1782)</x:f>
        <x:v>417723.01322949724</x:v>
      </x:c>
      <x:c r="G1782" s="78" t="n">
        <x:f>F1782*'Inputs'!$F$48</x:f>
        <x:v>208861.50661474862</x:v>
      </x:c>
      <x:c r="H1782" s="78" t="n">
        <x:f>U1781</x:f>
        <x:v>69956554.67391042</x:v>
      </x:c>
      <x:c r="I1782" s="78" t="n">
        <x:f>V1781</x:f>
        <x:v>162.39092295691924</x:v>
      </x:c>
      <x:c r="J1782" s="79" t="n">
        <x:f>IF(H1782&gt;0,I1782/H1782,0)</x:f>
        <x:v>0.0000023213110438882327</x:v>
      </x:c>
      <x:c r="K1782" s="80" t="n">
        <x:f>(H1782*J1782+I1782)*'Inputs'!$D$48*(1+'Inputs'!$G$48)^(B1782/30)</x:f>
        <x:v>97.43455377415154</x:v>
      </x:c>
      <x:c r="L1782" s="80" t="n">
        <x:f>MAX(0,K1782*'Inputs'!$E$48)</x:f>
        <x:v>0</x:v>
      </x:c>
      <x:c r="M1782" s="80" t="n">
        <x:f>MAX(0,-K1782*'Inputs'!$E$48)</x:f>
        <x:v>0</x:v>
      </x:c>
      <x:c r="N1782" s="78" t="n">
        <x:f>H1782*(L1782*(1-'Inputs'!$B$15))/(I1782+L1782*(1-'Inputs'!$B$15))</x:f>
        <x:v>0</x:v>
      </x:c>
      <x:c r="O1782" s="78" t="n">
        <x:f>H1782-N1782</x:f>
        <x:v>69956554.67391042</x:v>
      </x:c>
      <x:c r="P1782" s="78" t="n">
        <x:f>I1782+L1782*(1-'Inputs'!$B$17)</x:f>
        <x:v>162.39092295691924</x:v>
      </x:c>
      <x:c r="Q1782" s="78" t="n">
        <x:f>IF(J1782&gt;0,M1782/J1782,0)</x:f>
        <x:v>0</x:v>
      </x:c>
      <x:c r="R1782" s="78" t="n">
        <x:f>IF(B1782='Inputs'!$H$48,'Inputs'!$B$27*'Inputs'!$I$48,0)</x:f>
        <x:v>0</x:v>
      </x:c>
      <x:c r="S1782" s="78" t="n">
        <x:f>Q1782+G1782+R1782</x:f>
        <x:v>208861.50661474862</x:v>
      </x:c>
      <x:c r="T1782" s="78" t="n">
        <x:f>P1782*(S1782*(1-'Inputs'!$B$15))/(O1782+S1782*(1-'Inputs'!$B$15))</x:f>
        <x:v>0.4785696725931591</x:v>
      </x:c>
      <x:c r="U1782" s="78" t="n">
        <x:f>O1782+S1782*(1-'Inputs'!$B$17)</x:f>
        <x:v>70164575.69156495</x:v>
      </x:c>
      <x:c r="V1782" s="78" t="n">
        <x:f>P1782-T1782</x:f>
        <x:v>161.9123532843261</x:v>
      </x:c>
      <x:c r="W1782" s="79" t="n">
        <x:f>IF(U1782&gt;0,V1782/U1782,0)</x:f>
        <x:v>0.0000023076082437393103</x:v>
      </x:c>
      <x:c r="X1782" s="80" t="n">
        <x:f>W1782*('Inputs'!$B$6-AC1782)</x:f>
        <x:v>2275.5854565463133</x:v>
      </x:c>
      <x:c r="Y1782" s="80" t="n">
        <x:f>2*V1782</x:f>
        <x:v>323.8247065686522</x:v>
      </x:c>
      <x:c r="Z1782" s="80" t="n">
        <x:f>K1782*'Inputs'!$B$16+(G1782+R1782)*J1782*'Inputs'!$B$16</x:f>
        <x:v>0.587516317776597</x:v>
      </x:c>
      <x:c r="AA1782" s="80" t="n">
        <x:f>K1782*(1+'Inputs'!$E$48)/2*'Inputs'!$B$17</x:f>
        <x:v>0.1960453798272667</x:v>
      </x:c>
      <x:c r="AB1782" s="78" t="n">
        <x:f>(IF(J1782&gt;0,K1782*(1-'Inputs'!$E$48)/2/J1782,0)+G1782+R1782)*'Inputs'!$B$17</x:f>
        <x:v>85295.08212791903</x:v>
      </x:c>
      <x:c r="AC1782" s="78" t="n">
        <x:f>AC1781+AB1782</x:f>
        <x:v>13877046.626036683</x:v>
      </x:c>
      <x:c r="AD1782" s="80" t="n">
        <x:f>Z1782/(1+'Inputs'!$C$48)</x:f>
        <x:v>0.4700130542212776</x:v>
      </x:c>
      <x:c r="AE1782" s="80" t="n">
        <x:f>Z1782-AD1782</x:f>
        <x:v>0.11750326355531937</x:v>
      </x:c>
      <x:c r="AF1782" s="80" t="n">
        <x:f>D1782*W1782</x:f>
        <x:v>0.6017313670308394</x:v>
      </x:c>
      <x:c r="AG1782" s="80" t="n">
        <x:f>C1782*W1782</x:f>
        <x:v>0.35100996410132296</x:v>
      </x:c>
      <x:c r="AH1782" s="80" t="n">
        <x:f>2*'Inputs'!$B$8*'Inputs'!$C$48</x:f>
        <x:v>1250</x:v>
      </x:c>
      <x:c r="AI1782" s="81" t="n">
        <x:f>IF(AH1782&gt;0,(AE1782+AF1782)/AH1782*365,0)</x:f>
        <x:v>0.21001651213115835</x:v>
      </x:c>
      <x:c r="AJ1782" s="81" t="n">
        <x:f>IF('Inputs'!$B$48&gt;0,AG1782/('Inputs'!$B$19*'Inputs'!$B$48)*365,0)</x:f>
        <x:v>0.05124745475879315</x:v>
      </x:c>
      <x:c r="AK1782" s="81" t="n">
        <x:f>W1782/MAX($W$1464:W1782)-1</x:f>
        <x:v>-0.997286291684789</x:v>
      </x:c>
      <x:c r="AL1782" s="83" t="n">
        <x:f>'Inputs'!$B$48</x:f>
        <x:v>0.25</x:v>
      </x:c>
      <x:c r="AM1782" s="83" t="n">
        <x:f>'Inputs'!$C$48</x:f>
        <x:v>0.25</x:v>
      </x:c>
      <x:c r="AN1782" s="83" t="n">
        <x:f>'Inputs'!$D$48</x:f>
        <x:v>0.3</x:v>
      </x:c>
      <x:c r="AO1782" s="81" t="n">
        <x:f>'Inputs'!$E$48</x:f>
        <x:v>0</x:v>
      </x:c>
    </x:row>
    <x:row r="1783">
      <x:c r="A1783" s="59" t="str">
        <x:v>Low participation</x:v>
      </x:c>
      <x:c r="B1783" s="59" t="n">
        <x:v>320</x:v>
      </x:c>
      <x:c r="C1783" s="78" t="n">
        <x:f>(('Inputs'!$B$29*(3*320*'Inputs'!$B$12-320^2)/(2*'Inputs'!$B$12^2))-('Inputs'!$B$29*(3*319*'Inputs'!$B$12-319^2)/(2*'Inputs'!$B$12^2)))*'Inputs'!$B$48</x:f>
        <x:v>152028.58181647956</x:v>
      </x:c>
      <x:c r="D1783" s="78" t="n">
        <x:f>IF('Inputs'!$C$48&gt;0,('Inputs'!$B$30*(3*320*'Inputs'!$B$12-320^2)/(2*'Inputs'!$B$12^2))-('Inputs'!$B$30*(3*319*'Inputs'!$B$12-319^2)/(2*'Inputs'!$B$12^2)),0)</x:f>
        <x:v>260620.4259711057</x:v>
      </x:c>
      <x:c r="E1783" s="78" t="n">
        <x:f>C1783+D1783</x:f>
        <x:v>412649.00778758526</x:v>
      </x:c>
      <x:c r="F1783" s="78" t="n">
        <x:f>'Inputs'!$B$13*E1783+(1-'Inputs'!$B$13)/'Inputs'!$B$14*SUM(E1728:E1783)</x:f>
        <x:v>417502.404297243</x:v>
      </x:c>
      <x:c r="G1783" s="78" t="n">
        <x:f>F1783*'Inputs'!$F$48</x:f>
        <x:v>208751.2021486215</x:v>
      </x:c>
      <x:c r="H1783" s="78" t="n">
        <x:f>U1782</x:f>
        <x:v>70164575.69156495</x:v>
      </x:c>
      <x:c r="I1783" s="78" t="n">
        <x:f>V1782</x:f>
        <x:v>161.9123532843261</x:v>
      </x:c>
      <x:c r="J1783" s="79" t="n">
        <x:f>IF(H1783&gt;0,I1783/H1783,0)</x:f>
        <x:v>0.0000023076082437393103</x:v>
      </x:c>
      <x:c r="K1783" s="80" t="n">
        <x:f>(H1783*J1783+I1783)*'Inputs'!$D$48*(1+'Inputs'!$G$48)^(B1783/30)</x:f>
        <x:v>97.14741197059566</x:v>
      </x:c>
      <x:c r="L1783" s="80" t="n">
        <x:f>MAX(0,K1783*'Inputs'!$E$48)</x:f>
        <x:v>0</x:v>
      </x:c>
      <x:c r="M1783" s="80" t="n">
        <x:f>MAX(0,-K1783*'Inputs'!$E$48)</x:f>
        <x:v>0</x:v>
      </x:c>
      <x:c r="N1783" s="78" t="n">
        <x:f>H1783*(L1783*(1-'Inputs'!$B$15))/(I1783+L1783*(1-'Inputs'!$B$15))</x:f>
        <x:v>0</x:v>
      </x:c>
      <x:c r="O1783" s="78" t="n">
        <x:f>H1783-N1783</x:f>
        <x:v>70164575.69156495</x:v>
      </x:c>
      <x:c r="P1783" s="78" t="n">
        <x:f>I1783+L1783*(1-'Inputs'!$B$17)</x:f>
        <x:v>161.9123532843261</x:v>
      </x:c>
      <x:c r="Q1783" s="78" t="n">
        <x:f>IF(J1783&gt;0,M1783/J1783,0)</x:f>
        <x:v>0</x:v>
      </x:c>
      <x:c r="R1783" s="78" t="n">
        <x:f>IF(B1783='Inputs'!$H$48,'Inputs'!$B$27*'Inputs'!$I$48,0)</x:f>
        <x:v>0</x:v>
      </x:c>
      <x:c r="S1783" s="78" t="n">
        <x:f>Q1783+G1783+R1783</x:f>
        <x:v>208751.2021486215</x:v>
      </x:c>
      <x:c r="T1783" s="78" t="n">
        <x:f>P1783*(S1783*(1-'Inputs'!$B$15))/(O1783+S1783*(1-'Inputs'!$B$15))</x:f>
        <x:v>0.4754982959076973</x:v>
      </x:c>
      <x:c r="U1783" s="78" t="n">
        <x:f>O1783+S1783*(1-'Inputs'!$B$17)</x:f>
        <x:v>70372486.8486345</x:v>
      </x:c>
      <x:c r="V1783" s="78" t="n">
        <x:f>P1783-T1783</x:f>
        <x:v>161.4368549884184</x:v>
      </x:c>
      <x:c r="W1783" s="79" t="n">
        <x:f>IF(U1783&gt;0,V1783/U1783,0)</x:f>
        <x:v>0.000002294033680174696</x:v>
      </x:c>
      <x:c r="X1783" s="80" t="n">
        <x:f>W1783*('Inputs'!$B$6-AC1783)</x:f>
        <x:v>2262.0030229550403</x:v>
      </x:c>
      <x:c r="Y1783" s="80" t="n">
        <x:f>2*V1783</x:f>
        <x:v>322.8737099768368</x:v>
      </x:c>
      <x:c r="Z1783" s="80" t="n">
        <x:f>K1783*'Inputs'!$B$16+(G1783+R1783)*J1783*'Inputs'!$B$16</x:f>
        <x:v>0.5857747677933859</x:v>
      </x:c>
      <x:c r="AA1783" s="80" t="n">
        <x:f>K1783*(1+'Inputs'!$E$48)/2*'Inputs'!$B$17</x:f>
        <x:v>0.19546762971950837</x:v>
      </x:c>
      <x:c r="AB1783" s="78" t="n">
        <x:f>(IF(J1783&gt;0,K1783*(1-'Inputs'!$E$48)/2/J1783,0)+G1783+R1783)*'Inputs'!$B$17</x:f>
        <x:v>85545.77026003263</x:v>
      </x:c>
      <x:c r="AC1783" s="78" t="n">
        <x:f>AC1782+AB1783</x:f>
        <x:v>13962592.396296715</x:v>
      </x:c>
      <x:c r="AD1783" s="80" t="n">
        <x:f>Z1783/(1+'Inputs'!$C$48)</x:f>
        <x:v>0.4686198142347087</x:v>
      </x:c>
      <x:c r="AE1783" s="80" t="n">
        <x:f>Z1783-AD1783</x:f>
        <x:v>0.11715495355867717</x:v>
      </x:c>
      <x:c r="AF1783" s="80" t="n">
        <x:f>D1783*W1783</x:f>
        <x:v>0.5978720349191925</x:v>
      </x:c>
      <x:c r="AG1783" s="80" t="n">
        <x:f>C1783*W1783</x:f>
        <x:v>0.3487586870361985</x:v>
      </x:c>
      <x:c r="AH1783" s="80" t="n">
        <x:f>2*'Inputs'!$B$8*'Inputs'!$C$48</x:f>
        <x:v>1250</x:v>
      </x:c>
      <x:c r="AI1783" s="81" t="n">
        <x:f>IF(AH1783&gt;0,(AE1783+AF1783)/AH1783*365,0)</x:f>
        <x:v>0.20878788063553794</x:v>
      </x:c>
      <x:c r="AJ1783" s="81" t="n">
        <x:f>IF('Inputs'!$B$48&gt;0,AG1783/('Inputs'!$B$19*'Inputs'!$B$48)*365,0)</x:f>
        <x:v>0.05091876830728498</x:v>
      </x:c>
      <x:c r="AK1783" s="81" t="n">
        <x:f>W1783/MAX($W$1464:W1783)-1</x:f>
        <x:v>-0.9973022551422436</x:v>
      </x:c>
      <x:c r="AL1783" s="83" t="n">
        <x:f>'Inputs'!$B$48</x:f>
        <x:v>0.25</x:v>
      </x:c>
      <x:c r="AM1783" s="83" t="n">
        <x:f>'Inputs'!$C$48</x:f>
        <x:v>0.25</x:v>
      </x:c>
      <x:c r="AN1783" s="83" t="n">
        <x:f>'Inputs'!$D$48</x:f>
        <x:v>0.3</x:v>
      </x:c>
      <x:c r="AO1783" s="81" t="n">
        <x:f>'Inputs'!$E$48</x:f>
        <x:v>0</x:v>
      </x:c>
    </x:row>
    <x:row r="1784">
      <x:c r="A1784" s="59" t="str">
        <x:v>Low participation</x:v>
      </x:c>
      <x:c r="B1784" s="59" t="n">
        <x:v>321</x:v>
      </x:c>
      <x:c r="C1784" s="78" t="n">
        <x:f>(('Inputs'!$B$29*(3*321*'Inputs'!$B$12-321^2)/(2*'Inputs'!$B$12^2))-('Inputs'!$B$29*(3*320*'Inputs'!$B$12-320^2)/(2*'Inputs'!$B$12^2)))*'Inputs'!$B$48</x:f>
        <x:v>151947.304841429</x:v>
      </x:c>
      <x:c r="D1784" s="78" t="n">
        <x:f>IF('Inputs'!$C$48&gt;0,('Inputs'!$B$30*(3*321*'Inputs'!$B$12-321^2)/(2*'Inputs'!$B$12^2))-('Inputs'!$B$30*(3*320*'Inputs'!$B$12-320^2)/(2*'Inputs'!$B$12^2)),0)</x:f>
        <x:v>260481.09401388466</x:v>
      </x:c>
      <x:c r="E1784" s="78" t="n">
        <x:f>C1784+D1784</x:f>
        <x:v>412428.39885531366</x:v>
      </x:c>
      <x:c r="F1784" s="78" t="n">
        <x:f>'Inputs'!$B$13*E1784+(1-'Inputs'!$B$13)/'Inputs'!$B$14*SUM(E1729:E1784)</x:f>
        <x:v>417281.7953649828</x:v>
      </x:c>
      <x:c r="G1784" s="78" t="n">
        <x:f>F1784*'Inputs'!$F$48</x:f>
        <x:v>208640.8976824914</x:v>
      </x:c>
      <x:c r="H1784" s="78" t="n">
        <x:f>U1783</x:f>
        <x:v>70372486.8486345</x:v>
      </x:c>
      <x:c r="I1784" s="78" t="n">
        <x:f>V1783</x:f>
        <x:v>161.4368549884184</x:v>
      </x:c>
      <x:c r="J1784" s="79" t="n">
        <x:f>IF(H1784&gt;0,I1784/H1784,0)</x:f>
        <x:v>0.000002294033680174696</x:v>
      </x:c>
      <x:c r="K1784" s="80" t="n">
        <x:f>(H1784*J1784+I1784)*'Inputs'!$D$48*(1+'Inputs'!$G$48)^(B1784/30)</x:f>
        <x:v>96.86211299305103</x:v>
      </x:c>
      <x:c r="L1784" s="80" t="n">
        <x:f>MAX(0,K1784*'Inputs'!$E$48)</x:f>
        <x:v>0</x:v>
      </x:c>
      <x:c r="M1784" s="80" t="n">
        <x:f>MAX(0,-K1784*'Inputs'!$E$48)</x:f>
        <x:v>0</x:v>
      </x:c>
      <x:c r="N1784" s="78" t="n">
        <x:f>H1784*(L1784*(1-'Inputs'!$B$15))/(I1784+L1784*(1-'Inputs'!$B$15))</x:f>
        <x:v>0</x:v>
      </x:c>
      <x:c r="O1784" s="78" t="n">
        <x:f>H1784-N1784</x:f>
        <x:v>70372486.8486345</x:v>
      </x:c>
      <x:c r="P1784" s="78" t="n">
        <x:f>I1784+L1784*(1-'Inputs'!$B$17)</x:f>
        <x:v>161.4368549884184</x:v>
      </x:c>
      <x:c r="Q1784" s="78" t="n">
        <x:f>IF(J1784&gt;0,M1784/J1784,0)</x:f>
        <x:v>0</x:v>
      </x:c>
      <x:c r="R1784" s="78" t="n">
        <x:f>IF(B1784='Inputs'!$H$48,'Inputs'!$B$27*'Inputs'!$I$48,0)</x:f>
        <x:v>0</x:v>
      </x:c>
      <x:c r="S1784" s="78" t="n">
        <x:f>Q1784+G1784+R1784</x:f>
        <x:v>208640.8976824914</x:v>
      </x:c>
      <x:c r="T1784" s="78" t="n">
        <x:f>P1784*(S1784*(1-'Inputs'!$B$15))/(O1784+S1784*(1-'Inputs'!$B$15))</x:f>
        <x:v>0.472456219417959</x:v>
      </x:c>
      <x:c r="U1784" s="78" t="n">
        <x:f>O1784+S1784*(1-'Inputs'!$B$17)</x:f>
        <x:v>70580288.14511907</x:v>
      </x:c>
      <x:c r="V1784" s="78" t="n">
        <x:f>P1784-T1784</x:f>
        <x:v>160.96439876900044</x:v>
      </x:c>
      <x:c r="W1784" s="79" t="n">
        <x:f>IF(U1784&gt;0,V1784/U1784,0)</x:f>
        <x:v>0.0000022805857414189633</x:v>
      </x:c>
      <x:c r="X1784" s="80" t="n">
        <x:f>W1784*('Inputs'!$B$6-AC1784)</x:f>
        <x:v>2248.547186409521</x:v>
      </x:c>
      <x:c r="Y1784" s="80" t="n">
        <x:f>2*V1784</x:f>
        <x:v>321.9287975380009</x:v>
      </x:c>
      <x:c r="Z1784" s="80" t="n">
        <x:f>K1784*'Inputs'!$B$16+(G1784+R1784)*J1784*'Inputs'!$B$16</x:f>
        <x:v>0.5840444534363793</x:v>
      </x:c>
      <x:c r="AA1784" s="80" t="n">
        <x:f>K1784*(1+'Inputs'!$E$48)/2*'Inputs'!$B$17</x:f>
        <x:v>0.1948935875111691</x:v>
      </x:c>
      <x:c r="AB1784" s="78" t="n">
        <x:f>(IF(J1784&gt;0,K1784*(1-'Inputs'!$E$48)/2/J1784,0)+G1784+R1784)*'Inputs'!$B$17</x:f>
        <x:v>85796.3257636734</x:v>
      </x:c>
      <x:c r="AC1784" s="78" t="n">
        <x:f>AC1783+AB1784</x:f>
        <x:v>14048388.722060388</x:v>
      </x:c>
      <x:c r="AD1784" s="80" t="n">
        <x:f>Z1784/(1+'Inputs'!$C$48)</x:f>
        <x:v>0.4672355627491035</x:v>
      </x:c>
      <x:c r="AE1784" s="80" t="n">
        <x:f>Z1784-AD1784</x:f>
        <x:v>0.11680889068727585</x:v>
      </x:c>
      <x:c r="AF1784" s="80" t="n">
        <x:f>D1784*W1784</x:f>
        <x:v>0.5940494689172778</x:v>
      </x:c>
      <x:c r="AG1784" s="80" t="n">
        <x:f>C1784*W1784</x:f>
        <x:v>0.34652885686840357</x:v>
      </x:c>
      <x:c r="AH1784" s="80" t="n">
        <x:f>2*'Inputs'!$B$8*'Inputs'!$C$48</x:f>
        <x:v>1250</x:v>
      </x:c>
      <x:c r="AI1784" s="81" t="n">
        <x:f>IF(AH1784&gt;0,(AE1784+AF1784)/AH1784*365,0)</x:f>
        <x:v>0.20757064100452968</x:v>
      </x:c>
      <x:c r="AJ1784" s="81" t="n">
        <x:f>IF('Inputs'!$B$48&gt;0,AG1784/('Inputs'!$B$19*'Inputs'!$B$48)*365,0)</x:f>
        <x:v>0.050593213102786916</x:v>
      </x:c>
      <x:c r="AK1784" s="81" t="n">
        <x:f>W1784/MAX($W$1464:W1784)-1</x:f>
        <x:v>-0.9973180696910617</x:v>
      </x:c>
      <x:c r="AL1784" s="83" t="n">
        <x:f>'Inputs'!$B$48</x:f>
        <x:v>0.25</x:v>
      </x:c>
      <x:c r="AM1784" s="83" t="n">
        <x:f>'Inputs'!$C$48</x:f>
        <x:v>0.25</x:v>
      </x:c>
      <x:c r="AN1784" s="83" t="n">
        <x:f>'Inputs'!$D$48</x:f>
        <x:v>0.3</x:v>
      </x:c>
      <x:c r="AO1784" s="81" t="n">
        <x:f>'Inputs'!$E$48</x:f>
        <x:v>0</x:v>
      </x:c>
    </x:row>
    <x:row r="1785">
      <x:c r="A1785" s="59" t="str">
        <x:v>Low participation</x:v>
      </x:c>
      <x:c r="B1785" s="59" t="n">
        <x:v>322</x:v>
      </x:c>
      <x:c r="C1785" s="78" t="n">
        <x:f>(('Inputs'!$B$29*(3*322*'Inputs'!$B$12-322^2)/(2*'Inputs'!$B$12^2))-('Inputs'!$B$29*(3*321*'Inputs'!$B$12-321^2)/(2*'Inputs'!$B$12^2)))*'Inputs'!$B$48</x:f>
        <x:v>151866.02786639333</x:v>
      </x:c>
      <x:c r="D1785" s="78" t="n">
        <x:f>IF('Inputs'!$C$48&gt;0,('Inputs'!$B$30*(3*322*'Inputs'!$B$12-322^2)/(2*'Inputs'!$B$12^2))-('Inputs'!$B$30*(3*321*'Inputs'!$B$12-321^2)/(2*'Inputs'!$B$12^2)),0)</x:f>
        <x:v>260341.76205667853</x:v>
      </x:c>
      <x:c r="E1785" s="78" t="n">
        <x:f>C1785+D1785</x:f>
        <x:v>412207.78992307186</x:v>
      </x:c>
      <x:c r="F1785" s="78" t="n">
        <x:f>'Inputs'!$B$13*E1785+(1-'Inputs'!$B$13)/'Inputs'!$B$14*SUM(E1730:E1785)</x:f>
        <x:v>417061.18643272854</x:v>
      </x:c>
      <x:c r="G1785" s="78" t="n">
        <x:f>F1785*'Inputs'!$F$48</x:f>
        <x:v>208530.59321636427</x:v>
      </x:c>
      <x:c r="H1785" s="78" t="n">
        <x:f>U1784</x:f>
        <x:v>70580288.14511907</x:v>
      </x:c>
      <x:c r="I1785" s="78" t="n">
        <x:f>V1784</x:f>
        <x:v>160.96439876900044</x:v>
      </x:c>
      <x:c r="J1785" s="79" t="n">
        <x:f>IF(H1785&gt;0,I1785/H1785,0)</x:f>
        <x:v>0.0000022805857414189633</x:v>
      </x:c>
      <x:c r="K1785" s="80" t="n">
        <x:f>(H1785*J1785+I1785)*'Inputs'!$D$48*(1+'Inputs'!$G$48)^(B1785/30)</x:f>
        <x:v>96.57863926140026</x:v>
      </x:c>
      <x:c r="L1785" s="80" t="n">
        <x:f>MAX(0,K1785*'Inputs'!$E$48)</x:f>
        <x:v>0</x:v>
      </x:c>
      <x:c r="M1785" s="80" t="n">
        <x:f>MAX(0,-K1785*'Inputs'!$E$48)</x:f>
        <x:v>0</x:v>
      </x:c>
      <x:c r="N1785" s="78" t="n">
        <x:f>H1785*(L1785*(1-'Inputs'!$B$15))/(I1785+L1785*(1-'Inputs'!$B$15))</x:f>
        <x:v>0</x:v>
      </x:c>
      <x:c r="O1785" s="78" t="n">
        <x:f>H1785-N1785</x:f>
        <x:v>70580288.14511907</x:v>
      </x:c>
      <x:c r="P1785" s="78" t="n">
        <x:f>I1785+L1785*(1-'Inputs'!$B$17)</x:f>
        <x:v>160.96439876900044</x:v>
      </x:c>
      <x:c r="Q1785" s="78" t="n">
        <x:f>IF(J1785&gt;0,M1785/J1785,0)</x:f>
        <x:v>0</x:v>
      </x:c>
      <x:c r="R1785" s="78" t="n">
        <x:f>IF(B1785='Inputs'!$H$48,'Inputs'!$B$27*'Inputs'!$I$48,0)</x:f>
        <x:v>0</x:v>
      </x:c>
      <x:c r="S1785" s="78" t="n">
        <x:f>Q1785+G1785+R1785</x:f>
        <x:v>208530.59321636427</x:v>
      </x:c>
      <x:c r="T1785" s="78" t="n">
        <x:f>P1785*(S1785*(1-'Inputs'!$B$15))/(O1785+S1785*(1-'Inputs'!$B$15))</x:f>
        <x:v>0.46944307125187157</x:v>
      </x:c>
      <x:c r="U1785" s="78" t="n">
        <x:f>O1785+S1785*(1-'Inputs'!$B$17)</x:f>
        <x:v>70787979.58101867</x:v>
      </x:c>
      <x:c r="V1785" s="78" t="n">
        <x:f>P1785-T1785</x:f>
        <x:v>160.49495569774857</x:v>
      </x:c>
      <x:c r="W1785" s="79" t="n">
        <x:f>IF(U1785&gt;0,V1785/U1785,0)</x:f>
        <x:v>0.0000022672628410598713</x:v>
      </x:c>
      <x:c r="X1785" s="80" t="n">
        <x:f>W1785*('Inputs'!$B$6-AC1785)</x:f>
        <x:v>2235.2163607377965</x:v>
      </x:c>
      <x:c r="Y1785" s="80" t="n">
        <x:f>2*V1785</x:f>
        <x:v>320.98991139549713</x:v>
      </x:c>
      <x:c r="Z1785" s="80" t="n">
        <x:f>K1785*'Inputs'!$B$16+(G1785+R1785)*J1785*'Inputs'!$B$16</x:f>
        <x:v>0.5823252669536348</x:v>
      </x:c>
      <x:c r="AA1785" s="80" t="n">
        <x:f>K1785*(1+'Inputs'!$E$48)/2*'Inputs'!$B$17</x:f>
        <x:v>0.1943232178297792</x:v>
      </x:c>
      <x:c r="AB1785" s="78" t="n">
        <x:f>(IF(J1785&gt;0,K1785*(1-'Inputs'!$E$48)/2/J1785,0)+G1785+R1785)*'Inputs'!$B$17</x:f>
        <x:v>86046.74863884138</x:v>
      </x:c>
      <x:c r="AC1785" s="78" t="n">
        <x:f>AC1784+AB1785</x:f>
        <x:v>14134435.47069923</x:v>
      </x:c>
      <x:c r="AD1785" s="80" t="n">
        <x:f>Z1785/(1+'Inputs'!$C$48)</x:f>
        <x:v>0.46586021356290785</x:v>
      </x:c>
      <x:c r="AE1785" s="80" t="n">
        <x:f>Z1785-AD1785</x:f>
        <x:v>0.11646505339072699</x:v>
      </x:c>
      <x:c r="AF1785" s="80" t="n">
        <x:f>D1785*W1785</x:f>
        <x:v>0.590263203087158</x:v>
      </x:c>
      <x:c r="AG1785" s="80" t="n">
        <x:f>C1785*W1785</x:f>
        <x:v>0.3443202018008365</x:v>
      </x:c>
      <x:c r="AH1785" s="80" t="n">
        <x:f>2*'Inputs'!$B$8*'Inputs'!$C$48</x:f>
        <x:v>1250</x:v>
      </x:c>
      <x:c r="AI1785" s="81" t="n">
        <x:f>IF(AH1785&gt;0,(AE1785+AF1785)/AH1785*365,0)</x:f>
        <x:v>0.2063646508915424</x:v>
      </x:c>
      <x:c r="AJ1785" s="81" t="n">
        <x:f>IF('Inputs'!$B$48&gt;0,AG1785/('Inputs'!$B$19*'Inputs'!$B$48)*365,0)</x:f>
        <x:v>0.05027074946292213</x:v>
      </x:c>
      <x:c r="AK1785" s="81" t="n">
        <x:f>W1785/MAX($W$1464:W1785)-1</x:f>
        <x:v>-0.9973337371968376</x:v>
      </x:c>
      <x:c r="AL1785" s="83" t="n">
        <x:f>'Inputs'!$B$48</x:f>
        <x:v>0.25</x:v>
      </x:c>
      <x:c r="AM1785" s="83" t="n">
        <x:f>'Inputs'!$C$48</x:f>
        <x:v>0.25</x:v>
      </x:c>
      <x:c r="AN1785" s="83" t="n">
        <x:f>'Inputs'!$D$48</x:f>
        <x:v>0.3</x:v>
      </x:c>
      <x:c r="AO1785" s="81" t="n">
        <x:f>'Inputs'!$E$48</x:f>
        <x:v>0</x:v>
      </x:c>
    </x:row>
    <x:row r="1786">
      <x:c r="A1786" s="59" t="str">
        <x:v>Low participation</x:v>
      </x:c>
      <x:c r="B1786" s="59" t="n">
        <x:v>323</x:v>
      </x:c>
      <x:c r="C1786" s="78" t="n">
        <x:f>(('Inputs'!$B$29*(3*323*'Inputs'!$B$12-323^2)/(2*'Inputs'!$B$12^2))-('Inputs'!$B$29*(3*322*'Inputs'!$B$12-322^2)/(2*'Inputs'!$B$12^2)))*'Inputs'!$B$48</x:f>
        <x:v>151784.7508913502</x:v>
      </x:c>
      <x:c r="D1786" s="78" t="n">
        <x:f>IF('Inputs'!$C$48&gt;0,('Inputs'!$B$30*(3*323*'Inputs'!$B$12-323^2)/(2*'Inputs'!$B$12^2))-('Inputs'!$B$30*(3*322*'Inputs'!$B$12-322^2)/(2*'Inputs'!$B$12^2)),0)</x:f>
        <x:v>260202.4300994575</x:v>
      </x:c>
      <x:c r="E1786" s="78" t="n">
        <x:f>C1786+D1786</x:f>
        <x:v>411987.1809908077</x:v>
      </x:c>
      <x:c r="F1786" s="78" t="n">
        <x:f>'Inputs'!$B$13*E1786+(1-'Inputs'!$B$13)/'Inputs'!$B$14*SUM(E1731:E1786)</x:f>
        <x:v>416840.5775004697</x:v>
      </x:c>
      <x:c r="G1786" s="78" t="n">
        <x:f>F1786*'Inputs'!$F$48</x:f>
        <x:v>208420.28875023485</x:v>
      </x:c>
      <x:c r="H1786" s="78" t="n">
        <x:f>U1785</x:f>
        <x:v>70787979.58101867</x:v>
      </x:c>
      <x:c r="I1786" s="78" t="n">
        <x:f>V1785</x:f>
        <x:v>160.49495569774857</x:v>
      </x:c>
      <x:c r="J1786" s="79" t="n">
        <x:f>IF(H1786&gt;0,I1786/H1786,0)</x:f>
        <x:v>0.0000022672628410598713</x:v>
      </x:c>
      <x:c r="K1786" s="80" t="n">
        <x:f>(H1786*J1786+I1786)*'Inputs'!$D$48*(1+'Inputs'!$G$48)^(B1786/30)</x:f>
        <x:v>96.29697341864913</x:v>
      </x:c>
      <x:c r="L1786" s="80" t="n">
        <x:f>MAX(0,K1786*'Inputs'!$E$48)</x:f>
        <x:v>0</x:v>
      </x:c>
      <x:c r="M1786" s="80" t="n">
        <x:f>MAX(0,-K1786*'Inputs'!$E$48)</x:f>
        <x:v>0</x:v>
      </x:c>
      <x:c r="N1786" s="78" t="n">
        <x:f>H1786*(L1786*(1-'Inputs'!$B$15))/(I1786+L1786*(1-'Inputs'!$B$15))</x:f>
        <x:v>0</x:v>
      </x:c>
      <x:c r="O1786" s="78" t="n">
        <x:f>H1786-N1786</x:f>
        <x:v>70787979.58101867</x:v>
      </x:c>
      <x:c r="P1786" s="78" t="n">
        <x:f>I1786+L1786*(1-'Inputs'!$B$17)</x:f>
        <x:v>160.49495569774857</x:v>
      </x:c>
      <x:c r="Q1786" s="78" t="n">
        <x:f>IF(J1786&gt;0,M1786/J1786,0)</x:f>
        <x:v>0</x:v>
      </x:c>
      <x:c r="R1786" s="78" t="n">
        <x:f>IF(B1786='Inputs'!$H$48,'Inputs'!$B$27*'Inputs'!$I$48,0)</x:f>
        <x:v>0</x:v>
      </x:c>
      <x:c r="S1786" s="78" t="n">
        <x:f>Q1786+G1786+R1786</x:f>
        <x:v>208420.28875023485</x:v>
      </x:c>
      <x:c r="T1786" s="78" t="n">
        <x:f>P1786*(S1786*(1-'Inputs'!$B$15))/(O1786+S1786*(1-'Inputs'!$B$15))</x:f>
        <x:v>0.46645848541976365</x:v>
      </x:c>
      <x:c r="U1786" s="78" t="n">
        <x:f>O1786+S1786*(1-'Inputs'!$B$17)</x:f>
        <x:v>70995561.1563333</x:v>
      </x:c>
      <x:c r="V1786" s="78" t="n">
        <x:f>P1786-T1786</x:f>
        <x:v>160.0284972123288</x:v>
      </x:c>
      <x:c r="W1786" s="79" t="n">
        <x:f>IF(U1786&gt;0,V1786/U1786,0)</x:f>
        <x:v>0.000002254063417569778</x:v>
      </x:c>
      <x:c r="X1786" s="80" t="n">
        <x:f>W1786*('Inputs'!$B$6-AC1786)</x:f>
        <x:v>2222.0089846488777</x:v>
      </x:c>
      <x:c r="Y1786" s="80" t="n">
        <x:f>2*V1786</x:f>
        <x:v>320.0569944246576</x:v>
      </x:c>
      <x:c r="Z1786" s="80" t="n">
        <x:f>K1786*'Inputs'!$B$16+(G1786+R1786)*J1786*'Inputs'!$B$16</x:f>
        <x:v>0.5806171019679331</x:v>
      </x:c>
      <x:c r="AA1786" s="80" t="n">
        <x:f>K1786*(1+'Inputs'!$E$48)/2*'Inputs'!$B$17</x:f>
        <x:v>0.19375648575180912</x:v>
      </x:c>
      <x:c r="AB1786" s="78" t="n">
        <x:f>(IF(J1786&gt;0,K1786*(1-'Inputs'!$E$48)/2/J1786,0)+G1786+R1786)*'Inputs'!$B$17</x:f>
        <x:v>86297.03888553657</x:v>
      </x:c>
      <x:c r="AC1786" s="78" t="n">
        <x:f>AC1785+AB1786</x:f>
        <x:v>14220732.509584766</x:v>
      </x:c>
      <x:c r="AD1786" s="80" t="n">
        <x:f>Z1786/(1+'Inputs'!$C$48)</x:f>
        <x:v>0.4644936815743465</x:v>
      </x:c>
      <x:c r="AE1786" s="80" t="n">
        <x:f>Z1786-AD1786</x:f>
        <x:v>0.11612342039358664</x:v>
      </x:c>
      <x:c r="AF1786" s="80" t="n">
        <x:f>D1786*W1786</x:f>
        <x:v>0.5865127788499443</x:v>
      </x:c>
      <x:c r="AG1786" s="80" t="n">
        <x:f>C1786*W1786</x:f>
        <x:v>0.34213245432913425</x:v>
      </x:c>
      <x:c r="AH1786" s="80" t="n">
        <x:f>2*'Inputs'!$B$8*'Inputs'!$C$48</x:f>
        <x:v>1250</x:v>
      </x:c>
      <x:c r="AI1786" s="81" t="n">
        <x:f>IF(AH1786&gt;0,(AE1786+AF1786)/AH1786*365,0)</x:f>
        <x:v>0.20516977017911106</x:v>
      </x:c>
      <x:c r="AJ1786" s="81" t="n">
        <x:f>IF('Inputs'!$B$48&gt;0,AG1786/('Inputs'!$B$19*'Inputs'!$B$48)*365,0)</x:f>
        <x:v>0.049951338332053605</x:v>
      </x:c>
      <x:c r="AK1786" s="81" t="n">
        <x:f>W1786/MAX($W$1464:W1786)-1</x:f>
        <x:v>-0.9973492594959013</x:v>
      </x:c>
      <x:c r="AL1786" s="83" t="n">
        <x:f>'Inputs'!$B$48</x:f>
        <x:v>0.25</x:v>
      </x:c>
      <x:c r="AM1786" s="83" t="n">
        <x:f>'Inputs'!$C$48</x:f>
        <x:v>0.25</x:v>
      </x:c>
      <x:c r="AN1786" s="83" t="n">
        <x:f>'Inputs'!$D$48</x:f>
        <x:v>0.3</x:v>
      </x:c>
      <x:c r="AO1786" s="81" t="n">
        <x:f>'Inputs'!$E$48</x:f>
        <x:v>0</x:v>
      </x:c>
    </x:row>
    <x:row r="1787">
      <x:c r="A1787" s="59" t="str">
        <x:v>Low participation</x:v>
      </x:c>
      <x:c r="B1787" s="59" t="n">
        <x:v>324</x:v>
      </x:c>
      <x:c r="C1787" s="78" t="n">
        <x:f>(('Inputs'!$B$29*(3*324*'Inputs'!$B$12-324^2)/(2*'Inputs'!$B$12^2))-('Inputs'!$B$29*(3*323*'Inputs'!$B$12-323^2)/(2*'Inputs'!$B$12^2)))*'Inputs'!$B$48</x:f>
        <x:v>151703.4739163071</x:v>
      </x:c>
      <x:c r="D1787" s="78" t="n">
        <x:f>IF('Inputs'!$C$48&gt;0,('Inputs'!$B$30*(3*324*'Inputs'!$B$12-324^2)/(2*'Inputs'!$B$12^2))-('Inputs'!$B$30*(3*323*'Inputs'!$B$12-323^2)/(2*'Inputs'!$B$12^2)),0)</x:f>
        <x:v>260063.09814223647</x:v>
      </x:c>
      <x:c r="E1787" s="78" t="n">
        <x:f>C1787+D1787</x:f>
        <x:v>411766.57205854356</x:v>
      </x:c>
      <x:c r="F1787" s="78" t="n">
        <x:f>'Inputs'!$B$13*E1787+(1-'Inputs'!$B$13)/'Inputs'!$B$14*SUM(E1732:E1787)</x:f>
        <x:v>416619.968568211</x:v>
      </x:c>
      <x:c r="G1787" s="78" t="n">
        <x:f>F1787*'Inputs'!$F$48</x:f>
        <x:v>208309.9842841055</x:v>
      </x:c>
      <x:c r="H1787" s="78" t="n">
        <x:f>U1786</x:f>
        <x:v>70995561.1563333</x:v>
      </x:c>
      <x:c r="I1787" s="78" t="n">
        <x:f>V1786</x:f>
        <x:v>160.0284972123288</x:v>
      </x:c>
      <x:c r="J1787" s="79" t="n">
        <x:f>IF(H1787&gt;0,I1787/H1787,0)</x:f>
        <x:v>0.000002254063417569778</x:v>
      </x:c>
      <x:c r="K1787" s="80" t="n">
        <x:f>(H1787*J1787+I1787)*'Inputs'!$D$48*(1+'Inputs'!$G$48)^(B1787/30)</x:f>
        <x:v>96.01709832739728</x:v>
      </x:c>
      <x:c r="L1787" s="80" t="n">
        <x:f>MAX(0,K1787*'Inputs'!$E$48)</x:f>
        <x:v>0</x:v>
      </x:c>
      <x:c r="M1787" s="80" t="n">
        <x:f>MAX(0,-K1787*'Inputs'!$E$48)</x:f>
        <x:v>0</x:v>
      </x:c>
      <x:c r="N1787" s="78" t="n">
        <x:f>H1787*(L1787*(1-'Inputs'!$B$15))/(I1787+L1787*(1-'Inputs'!$B$15))</x:f>
        <x:v>0</x:v>
      </x:c>
      <x:c r="O1787" s="78" t="n">
        <x:f>H1787-N1787</x:f>
        <x:v>70995561.1563333</x:v>
      </x:c>
      <x:c r="P1787" s="78" t="n">
        <x:f>I1787+L1787*(1-'Inputs'!$B$17)</x:f>
        <x:v>160.0284972123288</x:v>
      </x:c>
      <x:c r="Q1787" s="78" t="n">
        <x:f>IF(J1787&gt;0,M1787/J1787,0)</x:f>
        <x:v>0</x:v>
      </x:c>
      <x:c r="R1787" s="78" t="n">
        <x:f>IF(B1787='Inputs'!$H$48,'Inputs'!$B$27*'Inputs'!$I$48,0)</x:f>
        <x:v>0</x:v>
      </x:c>
      <x:c r="S1787" s="78" t="n">
        <x:f>Q1787+G1787+R1787</x:f>
        <x:v>208309.9842841055</x:v>
      </x:c>
      <x:c r="T1787" s="78" t="n">
        <x:f>P1787*(S1787*(1-'Inputs'!$B$15))/(O1787+S1787*(1-'Inputs'!$B$15))</x:f>
        <x:v>0.4635021017030786</x:v>
      </x:c>
      <x:c r="U1787" s="78" t="n">
        <x:f>O1787+S1787*(1-'Inputs'!$B$17)</x:f>
        <x:v>71203032.87106293</x:v>
      </x:c>
      <x:c r="V1787" s="78" t="n">
        <x:f>P1787-T1787</x:f>
        <x:v>159.56499511062572</x:v>
      </x:c>
      <x:c r="W1787" s="79" t="n">
        <x:f>IF(U1787&gt;0,V1787/U1787,0)</x:f>
        <x:v>0.000002240985933837564</x:v>
      </x:c>
      <x:c r="X1787" s="80" t="n">
        <x:f>W1787*('Inputs'!$B$6-AC1787)</x:f>
        <x:v>2208.92352126474</x:v>
      </x:c>
      <x:c r="Y1787" s="80" t="n">
        <x:f>2*V1787</x:f>
        <x:v>319.12999022125143</x:v>
      </x:c>
      <x:c r="Z1787" s="80" t="n">
        <x:f>K1787*'Inputs'!$B$16+(G1787+R1787)*J1787*'Inputs'!$B$16</x:f>
        <x:v>0.5789198534549197</x:v>
      </x:c>
      <x:c r="AA1787" s="80" t="n">
        <x:f>K1787*(1+'Inputs'!$E$48)/2*'Inputs'!$B$17</x:f>
        <x:v>0.19319335679556798</x:v>
      </x:c>
      <x:c r="AB1787" s="78" t="n">
        <x:f>(IF(J1787&gt;0,K1787*(1-'Inputs'!$E$48)/2/J1787,0)+G1787+R1787)*'Inputs'!$B$17</x:f>
        <x:v>86547.19650375895</x:v>
      </x:c>
      <x:c r="AC1787" s="78" t="n">
        <x:f>AC1786+AB1787</x:f>
        <x:v>14307279.706088524</x:v>
      </x:c>
      <x:c r="AD1787" s="80" t="n">
        <x:f>Z1787/(1+'Inputs'!$C$48)</x:f>
        <x:v>0.46313588276393575</x:v>
      </x:c>
      <x:c r="AE1787" s="80" t="n">
        <x:f>Z1787-AD1787</x:f>
        <x:v>0.11578397069098395</x:v>
      </x:c>
      <x:c r="AF1787" s="80" t="n">
        <x:f>D1787*W1787</x:f>
        <x:v>0.5827977448469698</x:v>
      </x:c>
      <x:c r="AG1787" s="80" t="n">
        <x:f>C1787*W1787</x:f>
        <x:v>0.33996535116073795</x:v>
      </x:c>
      <x:c r="AH1787" s="80" t="n">
        <x:f>2*'Inputs'!$B$8*'Inputs'!$C$48</x:f>
        <x:v>1250</x:v>
      </x:c>
      <x:c r="AI1787" s="81" t="n">
        <x:f>IF(AH1787&gt;0,(AE1787+AF1787)/AH1787*365,0)</x:f>
        <x:v>0.20398586093708246</x:v>
      </x:c>
      <x:c r="AJ1787" s="81" t="n">
        <x:f>IF('Inputs'!$B$48&gt;0,AG1787/('Inputs'!$B$19*'Inputs'!$B$48)*365,0)</x:f>
        <x:v>0.04963494126946775</x:v>
      </x:c>
      <x:c r="AK1787" s="81" t="n">
        <x:f>W1787/MAX($W$1464:W1787)-1</x:f>
        <x:v>-0.9973646383958694</x:v>
      </x:c>
      <x:c r="AL1787" s="83" t="n">
        <x:f>'Inputs'!$B$48</x:f>
        <x:v>0.25</x:v>
      </x:c>
      <x:c r="AM1787" s="83" t="n">
        <x:f>'Inputs'!$C$48</x:f>
        <x:v>0.25</x:v>
      </x:c>
      <x:c r="AN1787" s="83" t="n">
        <x:f>'Inputs'!$D$48</x:f>
        <x:v>0.3</x:v>
      </x:c>
      <x:c r="AO1787" s="81" t="n">
        <x:f>'Inputs'!$E$48</x:f>
        <x:v>0</x:v>
      </x:c>
    </x:row>
    <x:row r="1788">
      <x:c r="A1788" s="59" t="str">
        <x:v>Low participation</x:v>
      </x:c>
      <x:c r="B1788" s="59" t="n">
        <x:v>325</x:v>
      </x:c>
      <x:c r="C1788" s="78" t="n">
        <x:f>(('Inputs'!$B$29*(3*325*'Inputs'!$B$12-325^2)/(2*'Inputs'!$B$12^2))-('Inputs'!$B$29*(3*324*'Inputs'!$B$12-324^2)/(2*'Inputs'!$B$12^2)))*'Inputs'!$B$48</x:f>
        <x:v>151622.19694126397</x:v>
      </x:c>
      <x:c r="D1788" s="78" t="n">
        <x:f>IF('Inputs'!$C$48&gt;0,('Inputs'!$B$30*(3*325*'Inputs'!$B$12-325^2)/(2*'Inputs'!$B$12^2))-('Inputs'!$B$30*(3*324*'Inputs'!$B$12-324^2)/(2*'Inputs'!$B$12^2)),0)</x:f>
        <x:v>259923.76618503034</x:v>
      </x:c>
      <x:c r="E1788" s="78" t="n">
        <x:f>C1788+D1788</x:f>
        <x:v>411545.9631262943</x:v>
      </x:c>
      <x:c r="F1788" s="78" t="n">
        <x:f>'Inputs'!$B$13*E1788+(1-'Inputs'!$B$13)/'Inputs'!$B$14*SUM(E1733:E1788)</x:f>
        <x:v>416399.35963595525</x:v>
      </x:c>
      <x:c r="G1788" s="78" t="n">
        <x:f>F1788*'Inputs'!$F$48</x:f>
        <x:v>208199.67981797762</x:v>
      </x:c>
      <x:c r="H1788" s="78" t="n">
        <x:f>U1787</x:f>
        <x:v>71203032.87106293</x:v>
      </x:c>
      <x:c r="I1788" s="78" t="n">
        <x:f>V1787</x:f>
        <x:v>159.56499511062572</x:v>
      </x:c>
      <x:c r="J1788" s="79" t="n">
        <x:f>IF(H1788&gt;0,I1788/H1788,0)</x:f>
        <x:v>0.000002240985933837564</x:v>
      </x:c>
      <x:c r="K1788" s="80" t="n">
        <x:f>(H1788*J1788+I1788)*'Inputs'!$D$48*(1+'Inputs'!$G$48)^(B1788/30)</x:f>
        <x:v>95.73899706637543</x:v>
      </x:c>
      <x:c r="L1788" s="80" t="n">
        <x:f>MAX(0,K1788*'Inputs'!$E$48)</x:f>
        <x:v>0</x:v>
      </x:c>
      <x:c r="M1788" s="80" t="n">
        <x:f>MAX(0,-K1788*'Inputs'!$E$48)</x:f>
        <x:v>0</x:v>
      </x:c>
      <x:c r="N1788" s="78" t="n">
        <x:f>H1788*(L1788*(1-'Inputs'!$B$15))/(I1788+L1788*(1-'Inputs'!$B$15))</x:f>
        <x:v>0</x:v>
      </x:c>
      <x:c r="O1788" s="78" t="n">
        <x:f>H1788-N1788</x:f>
        <x:v>71203032.87106293</x:v>
      </x:c>
      <x:c r="P1788" s="78" t="n">
        <x:f>I1788+L1788*(1-'Inputs'!$B$17)</x:f>
        <x:v>159.56499511062572</x:v>
      </x:c>
      <x:c r="Q1788" s="78" t="n">
        <x:f>IF(J1788&gt;0,M1788/J1788,0)</x:f>
        <x:v>0</x:v>
      </x:c>
      <x:c r="R1788" s="78" t="n">
        <x:f>IF(B1788='Inputs'!$H$48,'Inputs'!$B$27*'Inputs'!$I$48,0)</x:f>
        <x:v>0</x:v>
      </x:c>
      <x:c r="S1788" s="78" t="n">
        <x:f>Q1788+G1788+R1788</x:f>
        <x:v>208199.67981797762</x:v>
      </x:c>
      <x:c r="T1788" s="78" t="n">
        <x:f>P1788*(S1788*(1-'Inputs'!$B$15))/(O1788+S1788*(1-'Inputs'!$B$15))</x:f>
        <x:v>0.46057356554547535</x:v>
      </x:c>
      <x:c r="U1788" s="78" t="n">
        <x:f>O1788+S1788*(1-'Inputs'!$B$17)</x:f>
        <x:v>71410394.7252076</x:v>
      </x:c>
      <x:c r="V1788" s="78" t="n">
        <x:f>P1788-T1788</x:f>
        <x:v>159.10442154508024</x:v>
      </x:c>
      <x:c r="W1788" s="79" t="n">
        <x:f>IF(U1788&gt;0,V1788/U1788,0)</x:f>
        <x:v>0.000002228028876710816</x:v>
      </x:c>
      <x:c r="X1788" s="80" t="n">
        <x:f>W1788*('Inputs'!$B$6-AC1788)</x:f>
        <x:v>2195.958457662566</x:v>
      </x:c>
      <x:c r="Y1788" s="80" t="n">
        <x:f>2*V1788</x:f>
        <x:v>318.2088430901605</x:v>
      </x:c>
      <x:c r="Z1788" s="80" t="n">
        <x:f>K1788*'Inputs'!$B$16+(G1788+R1788)*J1788*'Inputs'!$B$16</x:f>
        <x:v>0.577233417721662</x:v>
      </x:c>
      <x:c r="AA1788" s="80" t="n">
        <x:f>K1788*(1+'Inputs'!$E$48)/2*'Inputs'!$B$17</x:f>
        <x:v>0.1926337969142363</x:v>
      </x:c>
      <x:c r="AB1788" s="78" t="n">
        <x:f>(IF(J1788&gt;0,K1788*(1-'Inputs'!$E$48)/2/J1788,0)+G1788+R1788)*'Inputs'!$B$17</x:f>
        <x:v>86797.22149350849</x:v>
      </x:c>
      <x:c r="AC1788" s="78" t="n">
        <x:f>AC1787+AB1788</x:f>
        <x:v>14394076.927582033</x:v>
      </x:c>
      <x:c r="AD1788" s="80" t="n">
        <x:f>Z1788/(1+'Inputs'!$C$48)</x:f>
        <x:v>0.4617867341773296</x:v>
      </x:c>
      <x:c r="AE1788" s="80" t="n">
        <x:f>Z1788-AD1788</x:f>
        <x:v>0.1154466835443324</x:v>
      </x:c>
      <x:c r="AF1788" s="80" t="n">
        <x:f>D1788*W1788</x:f>
        <x:v>0.5791176568036779</x:v>
      </x:c>
      <x:c r="AG1788" s="80" t="n">
        <x:f>C1788*W1788</x:f>
        <x:v>0.3378186331354705</x:v>
      </x:c>
      <x:c r="AH1788" s="80" t="n">
        <x:f>2*'Inputs'!$B$8*'Inputs'!$C$48</x:f>
        <x:v>1250</x:v>
      </x:c>
      <x:c r="AI1788" s="81" t="n">
        <x:f>IF(AH1788&gt;0,(AE1788+AF1788)/AH1788*365,0)</x:f>
        <x:v>0.202812787381619</x:v>
      </x:c>
      <x:c r="AJ1788" s="81" t="n">
        <x:f>IF('Inputs'!$B$48&gt;0,AG1788/('Inputs'!$B$19*'Inputs'!$B$48)*365,0)</x:f>
        <x:v>0.04932152043777869</x:v>
      </x:c>
      <x:c r="AK1788" s="81" t="n">
        <x:f>W1788/MAX($W$1464:W1788)-1</x:f>
        <x:v>-0.9973798756761837</x:v>
      </x:c>
      <x:c r="AL1788" s="83" t="n">
        <x:f>'Inputs'!$B$48</x:f>
        <x:v>0.25</x:v>
      </x:c>
      <x:c r="AM1788" s="83" t="n">
        <x:f>'Inputs'!$C$48</x:f>
        <x:v>0.25</x:v>
      </x:c>
      <x:c r="AN1788" s="83" t="n">
        <x:f>'Inputs'!$D$48</x:f>
        <x:v>0.3</x:v>
      </x:c>
      <x:c r="AO1788" s="81" t="n">
        <x:f>'Inputs'!$E$48</x:f>
        <x:v>0</x:v>
      </x:c>
    </x:row>
    <x:row r="1789">
      <x:c r="A1789" s="59" t="str">
        <x:v>Low participation</x:v>
      </x:c>
      <x:c r="B1789" s="59" t="n">
        <x:v>326</x:v>
      </x:c>
      <x:c r="C1789" s="78" t="n">
        <x:f>(('Inputs'!$B$29*(3*326*'Inputs'!$B$12-326^2)/(2*'Inputs'!$B$12^2))-('Inputs'!$B$29*(3*325*'Inputs'!$B$12-325^2)/(2*'Inputs'!$B$12^2)))*'Inputs'!$B$48</x:f>
        <x:v>151540.91996622086</x:v>
      </x:c>
      <x:c r="D1789" s="78" t="n">
        <x:f>IF('Inputs'!$C$48&gt;0,('Inputs'!$B$30*(3*326*'Inputs'!$B$12-326^2)/(2*'Inputs'!$B$12^2))-('Inputs'!$B$30*(3*325*'Inputs'!$B$12-325^2)/(2*'Inputs'!$B$12^2)),0)</x:f>
        <x:v>259784.4342278093</x:v>
      </x:c>
      <x:c r="E1789" s="78" t="n">
        <x:f>C1789+D1789</x:f>
        <x:v>411325.35419403017</x:v>
      </x:c>
      <x:c r="F1789" s="78" t="n">
        <x:f>'Inputs'!$B$13*E1789+(1-'Inputs'!$B$13)/'Inputs'!$B$14*SUM(E1734:E1789)</x:f>
        <x:v>416178.7507036964</x:v>
      </x:c>
      <x:c r="G1789" s="78" t="n">
        <x:f>F1789*'Inputs'!$F$48</x:f>
        <x:v>208089.3753518482</x:v>
      </x:c>
      <x:c r="H1789" s="78" t="n">
        <x:f>U1788</x:f>
        <x:v>71410394.7252076</x:v>
      </x:c>
      <x:c r="I1789" s="78" t="n">
        <x:f>V1788</x:f>
        <x:v>159.10442154508024</x:v>
      </x:c>
      <x:c r="J1789" s="79" t="n">
        <x:f>IF(H1789&gt;0,I1789/H1789,0)</x:f>
        <x:v>0.000002228028876710816</x:v>
      </x:c>
      <x:c r="K1789" s="80" t="n">
        <x:f>(H1789*J1789+I1789)*'Inputs'!$D$48*(1+'Inputs'!$G$48)^(B1789/30)</x:f>
        <x:v>95.46265292704814</x:v>
      </x:c>
      <x:c r="L1789" s="80" t="n">
        <x:f>MAX(0,K1789*'Inputs'!$E$48)</x:f>
        <x:v>0</x:v>
      </x:c>
      <x:c r="M1789" s="80" t="n">
        <x:f>MAX(0,-K1789*'Inputs'!$E$48)</x:f>
        <x:v>0</x:v>
      </x:c>
      <x:c r="N1789" s="78" t="n">
        <x:f>H1789*(L1789*(1-'Inputs'!$B$15))/(I1789+L1789*(1-'Inputs'!$B$15))</x:f>
        <x:v>0</x:v>
      </x:c>
      <x:c r="O1789" s="78" t="n">
        <x:f>H1789-N1789</x:f>
        <x:v>71410394.7252076</x:v>
      </x:c>
      <x:c r="P1789" s="78" t="n">
        <x:f>I1789+L1789*(1-'Inputs'!$B$17)</x:f>
        <x:v>159.10442154508024</x:v>
      </x:c>
      <x:c r="Q1789" s="78" t="n">
        <x:f>IF(J1789&gt;0,M1789/J1789,0)</x:f>
        <x:v>0</x:v>
      </x:c>
      <x:c r="R1789" s="78" t="n">
        <x:f>IF(B1789='Inputs'!$H$48,'Inputs'!$B$27*'Inputs'!$I$48,0)</x:f>
        <x:v>0</x:v>
      </x:c>
      <x:c r="S1789" s="78" t="n">
        <x:f>Q1789+G1789+R1789</x:f>
        <x:v>208089.3753518482</x:v>
      </x:c>
      <x:c r="T1789" s="78" t="n">
        <x:f>P1789*(S1789*(1-'Inputs'!$B$15))/(O1789+S1789*(1-'Inputs'!$B$15))</x:f>
        <x:v>0.45767252794633045</x:v>
      </x:c>
      <x:c r="U1789" s="78" t="n">
        <x:f>O1789+S1789*(1-'Inputs'!$B$17)</x:f>
        <x:v>71617646.71876729</x:v>
      </x:c>
      <x:c r="V1789" s="78" t="n">
        <x:f>P1789-T1789</x:f>
        <x:v>158.6467490171339</x:v>
      </x:c>
      <x:c r="W1789" s="79" t="n">
        <x:f>IF(U1789&gt;0,V1789/U1789,0)</x:f>
        <x:v>0.000002215190756548006</x:v>
      </x:c>
      <x:c r="X1789" s="80" t="n">
        <x:f>W1789*('Inputs'!$B$6-AC1789)</x:f>
        <x:v>2183.1123044269902</x:v>
      </x:c>
      <x:c r="Y1789" s="80" t="n">
        <x:f>2*V1789</x:f>
        <x:v>317.2934980342678</x:v>
      </x:c>
      <x:c r="Z1789" s="80" t="n">
        <x:f>K1789*'Inputs'!$B$16+(G1789+R1789)*J1789*'Inputs'!$B$16</x:f>
        <x:v>0.5755576923856126</x:v>
      </x:c>
      <x:c r="AA1789" s="80" t="n">
        <x:f>K1789*(1+'Inputs'!$E$48)/2*'Inputs'!$B$17</x:f>
        <x:v>0.1920777724890305</x:v>
      </x:c>
      <x:c r="AB1789" s="78" t="n">
        <x:f>(IF(J1789&gt;0,K1789*(1-'Inputs'!$E$48)/2/J1789,0)+G1789+R1789)*'Inputs'!$B$17</x:f>
        <x:v>87047.11385478522</x:v>
      </x:c>
      <x:c r="AC1789" s="78" t="n">
        <x:f>AC1788+AB1789</x:f>
        <x:v>14481124.041436817</x:v>
      </x:c>
      <x:c r="AD1789" s="80" t="n">
        <x:f>Z1789/(1+'Inputs'!$C$48)</x:f>
        <x:v>0.4604461539084901</x:v>
      </x:c>
      <x:c r="AE1789" s="80" t="n">
        <x:f>Z1789-AD1789</x:f>
        <x:v>0.11511153847712252</x:v>
      </x:c>
      <x:c r="AF1789" s="80" t="n">
        <x:f>D1789*W1789</x:f>
        <x:v>0.5754720773964966</x:v>
      </x:c>
      <x:c r="AG1789" s="80" t="n">
        <x:f>C1789*W1789</x:f>
        <x:v>0.33569204514795364</x:v>
      </x:c>
      <x:c r="AH1789" s="80" t="n">
        <x:f>2*'Inputs'!$B$8*'Inputs'!$C$48</x:f>
        <x:v>1250</x:v>
      </x:c>
      <x:c r="AI1789" s="81" t="n">
        <x:f>IF(AH1789&gt;0,(AE1789+AF1789)/AH1789*365,0)</x:f>
        <x:v>0.2016504158350968</x:v>
      </x:c>
      <x:c r="AJ1789" s="81" t="n">
        <x:f>IF('Inputs'!$B$48&gt;0,AG1789/('Inputs'!$B$19*'Inputs'!$B$48)*365,0)</x:f>
        <x:v>0.049011038591601226</x:v>
      </x:c>
      <x:c r="AK1789" s="81" t="n">
        <x:f>W1789/MAX($W$1464:W1789)-1</x:f>
        <x:v>-0.9973949730886374</x:v>
      </x:c>
      <x:c r="AL1789" s="83" t="n">
        <x:f>'Inputs'!$B$48</x:f>
        <x:v>0.25</x:v>
      </x:c>
      <x:c r="AM1789" s="83" t="n">
        <x:f>'Inputs'!$C$48</x:f>
        <x:v>0.25</x:v>
      </x:c>
      <x:c r="AN1789" s="83" t="n">
        <x:f>'Inputs'!$D$48</x:f>
        <x:v>0.3</x:v>
      </x:c>
      <x:c r="AO1789" s="81" t="n">
        <x:f>'Inputs'!$E$48</x:f>
        <x:v>0</x:v>
      </x:c>
    </x:row>
    <x:row r="1790">
      <x:c r="A1790" s="59" t="str">
        <x:v>Low participation</x:v>
      </x:c>
      <x:c r="B1790" s="59" t="n">
        <x:v>327</x:v>
      </x:c>
      <x:c r="C1790" s="78" t="n">
        <x:f>(('Inputs'!$B$29*(3*327*'Inputs'!$B$12-327^2)/(2*'Inputs'!$B$12^2))-('Inputs'!$B$29*(3*326*'Inputs'!$B$12-326^2)/(2*'Inputs'!$B$12^2)))*'Inputs'!$B$48</x:f>
        <x:v>151459.6429911852</x:v>
      </x:c>
      <x:c r="D1790" s="78" t="n">
        <x:f>IF('Inputs'!$C$48&gt;0,('Inputs'!$B$30*(3*327*'Inputs'!$B$12-327^2)/(2*'Inputs'!$B$12^2))-('Inputs'!$B$30*(3*326*'Inputs'!$B$12-326^2)/(2*'Inputs'!$B$12^2)),0)</x:f>
        <x:v>259645.10227058828</x:v>
      </x:c>
      <x:c r="E1790" s="78" t="n">
        <x:f>C1790+D1790</x:f>
        <x:v>411104.74526177347</x:v>
      </x:c>
      <x:c r="F1790" s="78" t="n">
        <x:f>'Inputs'!$B$13*E1790+(1-'Inputs'!$B$13)/'Inputs'!$B$14*SUM(E1735:E1790)</x:f>
        <x:v>415958.1417714391</x:v>
      </x:c>
      <x:c r="G1790" s="78" t="n">
        <x:f>F1790*'Inputs'!$F$48</x:f>
        <x:v>207979.07088571956</x:v>
      </x:c>
      <x:c r="H1790" s="78" t="n">
        <x:f>U1789</x:f>
        <x:v>71617646.71876729</x:v>
      </x:c>
      <x:c r="I1790" s="78" t="n">
        <x:f>V1789</x:f>
        <x:v>158.6467490171339</x:v>
      </x:c>
      <x:c r="J1790" s="79" t="n">
        <x:f>IF(H1790&gt;0,I1790/H1790,0)</x:f>
        <x:v>0.000002215190756548006</x:v>
      </x:c>
      <x:c r="K1790" s="80" t="n">
        <x:f>(H1790*J1790+I1790)*'Inputs'!$D$48*(1+'Inputs'!$G$48)^(B1790/30)</x:f>
        <x:v>95.18804941028034</x:v>
      </x:c>
      <x:c r="L1790" s="80" t="n">
        <x:f>MAX(0,K1790*'Inputs'!$E$48)</x:f>
        <x:v>0</x:v>
      </x:c>
      <x:c r="M1790" s="80" t="n">
        <x:f>MAX(0,-K1790*'Inputs'!$E$48)</x:f>
        <x:v>0</x:v>
      </x:c>
      <x:c r="N1790" s="78" t="n">
        <x:f>H1790*(L1790*(1-'Inputs'!$B$15))/(I1790+L1790*(1-'Inputs'!$B$15))</x:f>
        <x:v>0</x:v>
      </x:c>
      <x:c r="O1790" s="78" t="n">
        <x:f>H1790-N1790</x:f>
        <x:v>71617646.71876729</x:v>
      </x:c>
      <x:c r="P1790" s="78" t="n">
        <x:f>I1790+L1790*(1-'Inputs'!$B$17)</x:f>
        <x:v>158.6467490171339</x:v>
      </x:c>
      <x:c r="Q1790" s="78" t="n">
        <x:f>IF(J1790&gt;0,M1790/J1790,0)</x:f>
        <x:v>0</x:v>
      </x:c>
      <x:c r="R1790" s="78" t="n">
        <x:f>IF(B1790='Inputs'!$H$48,'Inputs'!$B$27*'Inputs'!$I$48,0)</x:f>
        <x:v>0</x:v>
      </x:c>
      <x:c r="S1790" s="78" t="n">
        <x:f>Q1790+G1790+R1790</x:f>
        <x:v>207979.07088571956</x:v>
      </x:c>
      <x:c r="T1790" s="78" t="n">
        <x:f>P1790*(S1790*(1-'Inputs'!$B$15))/(O1790+S1790*(1-'Inputs'!$B$15))</x:f>
        <x:v>0.4547986453565996</x:v>
      </x:c>
      <x:c r="U1790" s="78" t="n">
        <x:f>O1790+S1790*(1-'Inputs'!$B$17)</x:f>
        <x:v>71824788.851742</x:v>
      </x:c>
      <x:c r="V1790" s="78" t="n">
        <x:f>P1790-T1790</x:f>
        <x:v>158.19195037177732</x:v>
      </x:c>
      <x:c r="W1790" s="79" t="n">
        <x:f>IF(U1790&gt;0,V1790/U1790,0)</x:f>
        <x:v>0.00000220247010678042</x:v>
      </x:c>
      <x:c r="X1790" s="80" t="n">
        <x:f>W1790*('Inputs'!$B$6-AC1790)</x:f>
        <x:v>2170.383595212084</x:v>
      </x:c>
      <x:c r="Y1790" s="80" t="n">
        <x:f>2*V1790</x:f>
        <x:v>316.38390074355465</x:v>
      </x:c>
      <x:c r="Z1790" s="80" t="n">
        <x:f>K1790*'Inputs'!$B$16+(G1790+R1790)*J1790*'Inputs'!$B$16</x:f>
        <x:v>0.573892576353971</x:v>
      </x:c>
      <x:c r="AA1790" s="80" t="n">
        <x:f>K1790*(1+'Inputs'!$E$48)/2*'Inputs'!$B$17</x:f>
        <x:v>0.19152525032249568</x:v>
      </x:c>
      <x:c r="AB1790" s="78" t="n">
        <x:f>(IF(J1790&gt;0,K1790*(1-'Inputs'!$E$48)/2/J1790,0)+G1790+R1790)*'Inputs'!$B$17</x:f>
        <x:v>87296.87358758914</x:v>
      </x:c>
      <x:c r="AC1790" s="78" t="n">
        <x:f>AC1789+AB1790</x:f>
        <x:v>14568420.915024407</x:v>
      </x:c>
      <x:c r="AD1790" s="80" t="n">
        <x:f>Z1790/(1+'Inputs'!$C$48)</x:f>
        <x:v>0.45911406108317676</x:v>
      </x:c>
      <x:c r="AE1790" s="80" t="n">
        <x:f>Z1790-AD1790</x:f>
        <x:v>0.11477851527079419</x:v>
      </x:c>
      <x:c r="AF1790" s="80" t="n">
        <x:f>D1790*W1790</x:f>
        <x:v>0.5718605761229156</x:v>
      </x:c>
      <x:c r="AG1790" s="80" t="n">
        <x:f>C1790*W1790</x:f>
        <x:v>0.3335853360717199</x:v>
      </x:c>
      <x:c r="AH1790" s="80" t="n">
        <x:f>2*'Inputs'!$B$8*'Inputs'!$C$48</x:f>
        <x:v>1250</x:v>
      </x:c>
      <x:c r="AI1790" s="81" t="n">
        <x:f>IF(AH1790&gt;0,(AE1790+AF1790)/AH1790*365,0)</x:f>
        <x:v>0.20049861468696326</x:v>
      </x:c>
      <x:c r="AJ1790" s="81" t="n">
        <x:f>IF('Inputs'!$B$48&gt;0,AG1790/('Inputs'!$B$19*'Inputs'!$B$48)*365,0)</x:f>
        <x:v>0.04870345906647111</x:v>
      </x:c>
      <x:c r="AK1790" s="81" t="n">
        <x:f>W1790/MAX($W$1464:W1790)-1</x:f>
        <x:v>-0.9974099323578908</x:v>
      </x:c>
      <x:c r="AL1790" s="83" t="n">
        <x:f>'Inputs'!$B$48</x:f>
        <x:v>0.25</x:v>
      </x:c>
      <x:c r="AM1790" s="83" t="n">
        <x:f>'Inputs'!$C$48</x:f>
        <x:v>0.25</x:v>
      </x:c>
      <x:c r="AN1790" s="83" t="n">
        <x:f>'Inputs'!$D$48</x:f>
        <x:v>0.3</x:v>
      </x:c>
      <x:c r="AO1790" s="81" t="n">
        <x:f>'Inputs'!$E$48</x:f>
        <x:v>0</x:v>
      </x:c>
    </x:row>
    <x:row r="1791">
      <x:c r="A1791" s="59" t="str">
        <x:v>Low participation</x:v>
      </x:c>
      <x:c r="B1791" s="59" t="n">
        <x:v>328</x:v>
      </x:c>
      <x:c r="C1791" s="78" t="n">
        <x:f>(('Inputs'!$B$29*(3*328*'Inputs'!$B$12-328^2)/(2*'Inputs'!$B$12^2))-('Inputs'!$B$29*(3*327*'Inputs'!$B$12-327^2)/(2*'Inputs'!$B$12^2)))*'Inputs'!$B$48</x:f>
        <x:v>151378.36601613462</x:v>
      </x:c>
      <x:c r="D1791" s="78" t="n">
        <x:f>IF('Inputs'!$C$48&gt;0,('Inputs'!$B$30*(3*328*'Inputs'!$B$12-328^2)/(2*'Inputs'!$B$12^2))-('Inputs'!$B$30*(3*327*'Inputs'!$B$12-327^2)/(2*'Inputs'!$B$12^2)),0)</x:f>
        <x:v>259505.77031338215</x:v>
      </x:c>
      <x:c r="E1791" s="78" t="n">
        <x:f>C1791+D1791</x:f>
        <x:v>410884.13632951677</x:v>
      </x:c>
      <x:c r="F1791" s="78" t="n">
        <x:f>'Inputs'!$B$13*E1791+(1-'Inputs'!$B$13)/'Inputs'!$B$14*SUM(E1736:E1791)</x:f>
        <x:v>415737.5328391817</x:v>
      </x:c>
      <x:c r="G1791" s="78" t="n">
        <x:f>F1791*'Inputs'!$F$48</x:f>
        <x:v>207868.76641959086</x:v>
      </x:c>
      <x:c r="H1791" s="78" t="n">
        <x:f>U1790</x:f>
        <x:v>71824788.851742</x:v>
      </x:c>
      <x:c r="I1791" s="78" t="n">
        <x:f>V1790</x:f>
        <x:v>158.19195037177732</x:v>
      </x:c>
      <x:c r="J1791" s="79" t="n">
        <x:f>IF(H1791&gt;0,I1791/H1791,0)</x:f>
        <x:v>0.00000220247010678042</x:v>
      </x:c>
      <x:c r="K1791" s="80" t="n">
        <x:f>(H1791*J1791+I1791)*'Inputs'!$D$48*(1+'Inputs'!$G$48)^(B1791/30)</x:f>
        <x:v>94.9151702230664</x:v>
      </x:c>
      <x:c r="L1791" s="80" t="n">
        <x:f>MAX(0,K1791*'Inputs'!$E$48)</x:f>
        <x:v>0</x:v>
      </x:c>
      <x:c r="M1791" s="80" t="n">
        <x:f>MAX(0,-K1791*'Inputs'!$E$48)</x:f>
        <x:v>0</x:v>
      </x:c>
      <x:c r="N1791" s="78" t="n">
        <x:f>H1791*(L1791*(1-'Inputs'!$B$15))/(I1791+L1791*(1-'Inputs'!$B$15))</x:f>
        <x:v>0</x:v>
      </x:c>
      <x:c r="O1791" s="78" t="n">
        <x:f>H1791-N1791</x:f>
        <x:v>71824788.851742</x:v>
      </x:c>
      <x:c r="P1791" s="78" t="n">
        <x:f>I1791+L1791*(1-'Inputs'!$B$17)</x:f>
        <x:v>158.19195037177732</x:v>
      </x:c>
      <x:c r="Q1791" s="78" t="n">
        <x:f>IF(J1791&gt;0,M1791/J1791,0)</x:f>
        <x:v>0</x:v>
      </x:c>
      <x:c r="R1791" s="78" t="n">
        <x:f>IF(B1791='Inputs'!$H$48,'Inputs'!$B$27*'Inputs'!$I$48,0)</x:f>
        <x:v>0</x:v>
      </x:c>
      <x:c r="S1791" s="78" t="n">
        <x:f>Q1791+G1791+R1791</x:f>
        <x:v>207868.76641959086</x:v>
      </x:c>
      <x:c r="T1791" s="78" t="n">
        <x:f>P1791*(S1791*(1-'Inputs'!$B$15))/(O1791+S1791*(1-'Inputs'!$B$15))</x:f>
        <x:v>0.4519515795769099</x:v>
      </x:c>
      <x:c r="U1791" s="78" t="n">
        <x:f>O1791+S1791*(1-'Inputs'!$B$17)</x:f>
        <x:v>72031821.12413174</x:v>
      </x:c>
      <x:c r="V1791" s="78" t="n">
        <x:f>P1791-T1791</x:f>
        <x:v>157.73999879220042</x:v>
      </x:c>
      <x:c r="W1791" s="79" t="n">
        <x:f>IF(U1791&gt;0,V1791/U1791,0)</x:f>
        <x:v>0.000002189865483483593</x:v>
      </x:c>
      <x:c r="X1791" s="80" t="n">
        <x:f>W1791*('Inputs'!$B$6-AC1791)</x:f>
        <x:v>2157.7708863128555</x:v>
      </x:c>
      <x:c r="Y1791" s="80" t="n">
        <x:f>2*V1791</x:f>
        <x:v>315.47999758440085</x:v>
      </x:c>
      <x:c r="Z1791" s="80" t="n">
        <x:f>K1791*'Inputs'!$B$16+(G1791+R1791)*J1791*'Inputs'!$B$16</x:f>
        <x:v>0.5722379698034332</x:v>
      </x:c>
      <x:c r="AA1791" s="80" t="n">
        <x:f>K1791*(1+'Inputs'!$E$48)/2*'Inputs'!$B$17</x:f>
        <x:v>0.19097619763192436</x:v>
      </x:c>
      <x:c r="AB1791" s="78" t="n">
        <x:f>(IF(J1791&gt;0,K1791*(1-'Inputs'!$E$48)/2/J1791,0)+G1791+R1791)*'Inputs'!$B$17</x:f>
        <x:v>87546.50069192029</x:v>
      </x:c>
      <x:c r="AC1791" s="78" t="n">
        <x:f>AC1790+AB1791</x:f>
        <x:v>14655967.415716328</x:v>
      </x:c>
      <x:c r="AD1791" s="80" t="n">
        <x:f>Z1791/(1+'Inputs'!$C$48)</x:f>
        <x:v>0.45779037584274657</x:v>
      </x:c>
      <x:c r="AE1791" s="80" t="n">
        <x:f>Z1791-AD1791</x:f>
        <x:v>0.11444759396068666</x:v>
      </x:c>
      <x:c r="AF1791" s="80" t="n">
        <x:f>D1791*W1791</x:f>
        <x:v>0.5682827291740968</x:v>
      </x:c>
      <x:c r="AG1791" s="80" t="n">
        <x:f>C1791*W1791</x:f>
        <x:v>0.3314982586848789</x:v>
      </x:c>
      <x:c r="AH1791" s="80" t="n">
        <x:f>2*'Inputs'!$B$8*'Inputs'!$C$48</x:f>
        <x:v>1250</x:v>
      </x:c>
      <x:c r="AI1791" s="81" t="n">
        <x:f>IF(AH1791&gt;0,(AE1791+AF1791)/AH1791*365,0)</x:f>
        <x:v>0.19935725435535676</x:v>
      </x:c>
      <x:c r="AJ1791" s="81" t="n">
        <x:f>IF('Inputs'!$B$48&gt;0,AG1791/('Inputs'!$B$19*'Inputs'!$B$48)*365,0)</x:f>
        <x:v>0.04839874576799232</x:v>
      </x:c>
      <x:c r="AK1791" s="81" t="n">
        <x:f>W1791/MAX($W$1464:W1791)-1</x:f>
        <x:v>-0.9974247551819743</x:v>
      </x:c>
      <x:c r="AL1791" s="83" t="n">
        <x:f>'Inputs'!$B$48</x:f>
        <x:v>0.25</x:v>
      </x:c>
      <x:c r="AM1791" s="83" t="n">
        <x:f>'Inputs'!$C$48</x:f>
        <x:v>0.25</x:v>
      </x:c>
      <x:c r="AN1791" s="83" t="n">
        <x:f>'Inputs'!$D$48</x:f>
        <x:v>0.3</x:v>
      </x:c>
      <x:c r="AO1791" s="81" t="n">
        <x:f>'Inputs'!$E$48</x:f>
        <x:v>0</x:v>
      </x:c>
    </x:row>
    <x:row r="1792">
      <x:c r="A1792" s="59" t="str">
        <x:v>Low participation</x:v>
      </x:c>
      <x:c r="B1792" s="59" t="n">
        <x:v>329</x:v>
      </x:c>
      <x:c r="C1792" s="78" t="n">
        <x:f>(('Inputs'!$B$29*(3*329*'Inputs'!$B$12-329^2)/(2*'Inputs'!$B$12^2))-('Inputs'!$B$29*(3*328*'Inputs'!$B$12-328^2)/(2*'Inputs'!$B$12^2)))*'Inputs'!$B$48</x:f>
        <x:v>151297.08904109895</x:v>
      </x:c>
      <x:c r="D1792" s="78" t="n">
        <x:f>IF('Inputs'!$C$48&gt;0,('Inputs'!$B$30*(3*329*'Inputs'!$B$12-329^2)/(2*'Inputs'!$B$12^2))-('Inputs'!$B$30*(3*328*'Inputs'!$B$12-328^2)/(2*'Inputs'!$B$12^2)),0)</x:f>
        <x:v>259366.43835616112</x:v>
      </x:c>
      <x:c r="E1792" s="78" t="n">
        <x:f>C1792+D1792</x:f>
        <x:v>410663.52739726007</x:v>
      </x:c>
      <x:c r="F1792" s="78" t="n">
        <x:f>'Inputs'!$B$13*E1792+(1-'Inputs'!$B$13)/'Inputs'!$B$14*SUM(E1737:E1792)</x:f>
        <x:v>415516.9239069243</x:v>
      </x:c>
      <x:c r="G1792" s="78" t="n">
        <x:f>F1792*'Inputs'!$F$48</x:f>
        <x:v>207758.46195346216</x:v>
      </x:c>
      <x:c r="H1792" s="78" t="n">
        <x:f>U1791</x:f>
        <x:v>72031821.12413174</x:v>
      </x:c>
      <x:c r="I1792" s="78" t="n">
        <x:f>V1791</x:f>
        <x:v>157.73999879220042</x:v>
      </x:c>
      <x:c r="J1792" s="79" t="n">
        <x:f>IF(H1792&gt;0,I1792/H1792,0)</x:f>
        <x:v>0.000002189865483483593</x:v>
      </x:c>
      <x:c r="K1792" s="80" t="n">
        <x:f>(H1792*J1792+I1792)*'Inputs'!$D$48*(1+'Inputs'!$G$48)^(B1792/30)</x:f>
        <x:v>94.64399927532025</x:v>
      </x:c>
      <x:c r="L1792" s="80" t="n">
        <x:f>MAX(0,K1792*'Inputs'!$E$48)</x:f>
        <x:v>0</x:v>
      </x:c>
      <x:c r="M1792" s="80" t="n">
        <x:f>MAX(0,-K1792*'Inputs'!$E$48)</x:f>
        <x:v>0</x:v>
      </x:c>
      <x:c r="N1792" s="78" t="n">
        <x:f>H1792*(L1792*(1-'Inputs'!$B$15))/(I1792+L1792*(1-'Inputs'!$B$15))</x:f>
        <x:v>0</x:v>
      </x:c>
      <x:c r="O1792" s="78" t="n">
        <x:f>H1792-N1792</x:f>
        <x:v>72031821.12413174</x:v>
      </x:c>
      <x:c r="P1792" s="78" t="n">
        <x:f>I1792+L1792*(1-'Inputs'!$B$17)</x:f>
        <x:v>157.73999879220042</x:v>
      </x:c>
      <x:c r="Q1792" s="78" t="n">
        <x:f>IF(J1792&gt;0,M1792/J1792,0)</x:f>
        <x:v>0</x:v>
      </x:c>
      <x:c r="R1792" s="78" t="n">
        <x:f>IF(B1792='Inputs'!$H$48,'Inputs'!$B$27*'Inputs'!$I$48,0)</x:f>
        <x:v>0</x:v>
      </x:c>
      <x:c r="S1792" s="78" t="n">
        <x:f>Q1792+G1792+R1792</x:f>
        <x:v>207758.46195346216</x:v>
      </x:c>
      <x:c r="T1792" s="78" t="n">
        <x:f>P1792*(S1792*(1-'Inputs'!$B$15))/(O1792+S1792*(1-'Inputs'!$B$15))</x:f>
        <x:v>0.44913099765789494</x:v>
      </x:c>
      <x:c r="U1792" s="78" t="n">
        <x:f>O1792+S1792*(1-'Inputs'!$B$17)</x:f>
        <x:v>72238743.53593649</x:v>
      </x:c>
      <x:c r="V1792" s="78" t="n">
        <x:f>P1792-T1792</x:f>
        <x:v>157.29086779454252</x:v>
      </x:c>
      <x:c r="W1792" s="79" t="n">
        <x:f>IF(U1792&gt;0,V1792/U1792,0)</x:f>
        <x:v>0.000002177375464958015</x:v>
      </x:c>
      <x:c r="X1792" s="80" t="n">
        <x:f>W1792*('Inputs'!$B$6-AC1792)</x:f>
        <x:v>2145.2727562460104</x:v>
      </x:c>
      <x:c r="Y1792" s="80" t="n">
        <x:f>2*V1792</x:f>
        <x:v>314.58173558908504</x:v>
      </x:c>
      <x:c r="Z1792" s="80" t="n">
        <x:f>K1792*'Inputs'!$B$16+(G1792+R1792)*J1792*'Inputs'!$B$16</x:f>
        <x:v>0.5705937741603228</x:v>
      </x:c>
      <x:c r="AA1792" s="80" t="n">
        <x:f>K1792*(1+'Inputs'!$E$48)/2*'Inputs'!$B$17</x:f>
        <x:v>0.19043058204289792</x:v>
      </x:c>
      <x:c r="AB1792" s="78" t="n">
        <x:f>(IF(J1792&gt;0,K1792*(1-'Inputs'!$E$48)/2/J1792,0)+G1792+R1792)*'Inputs'!$B$17</x:f>
        <x:v>87795.9951677786</x:v>
      </x:c>
      <x:c r="AC1792" s="78" t="n">
        <x:f>AC1791+AB1792</x:f>
        <x:v>14743763.410884107</x:v>
      </x:c>
      <x:c r="AD1792" s="80" t="n">
        <x:f>Z1792/(1+'Inputs'!$C$48)</x:f>
        <x:v>0.4564750193282582</x:v>
      </x:c>
      <x:c r="AE1792" s="80" t="n">
        <x:f>Z1792-AD1792</x:f>
        <x:v>0.11411875483206457</x:v>
      </x:c>
      <x:c r="AF1792" s="80" t="n">
        <x:f>D1792*W1792</x:f>
        <x:v>0.5647381193102506</x:v>
      </x:c>
      <x:c r="AG1792" s="80" t="n">
        <x:f>C1792*W1792</x:f>
        <x:v>0.32943056959765704</x:v>
      </x:c>
      <x:c r="AH1792" s="80" t="n">
        <x:f>2*'Inputs'!$B$8*'Inputs'!$C$48</x:f>
        <x:v>1250</x:v>
      </x:c>
      <x:c r="AI1792" s="81" t="n">
        <x:f>IF(AH1792&gt;0,(AE1792+AF1792)/AH1792*365,0)</x:f>
        <x:v>0.19822620724955606</x:v>
      </x:c>
      <x:c r="AJ1792" s="81" t="n">
        <x:f>IF('Inputs'!$B$48&gt;0,AG1792/('Inputs'!$B$19*'Inputs'!$B$48)*365,0)</x:f>
        <x:v>0.048096863161257934</x:v>
      </x:c>
      <x:c r="AK1792" s="81" t="n">
        <x:f>W1792/MAX($W$1464:W1792)-1</x:f>
        <x:v>-0.9974394432327828</x:v>
      </x:c>
      <x:c r="AL1792" s="83" t="n">
        <x:f>'Inputs'!$B$48</x:f>
        <x:v>0.25</x:v>
      </x:c>
      <x:c r="AM1792" s="83" t="n">
        <x:f>'Inputs'!$C$48</x:f>
        <x:v>0.25</x:v>
      </x:c>
      <x:c r="AN1792" s="83" t="n">
        <x:f>'Inputs'!$D$48</x:f>
        <x:v>0.3</x:v>
      </x:c>
      <x:c r="AO1792" s="81" t="n">
        <x:f>'Inputs'!$E$48</x:f>
        <x:v>0</x:v>
      </x:c>
    </x:row>
    <x:row r="1793">
      <x:c r="A1793" s="59" t="str">
        <x:v>Low participation</x:v>
      </x:c>
      <x:c r="B1793" s="59" t="n">
        <x:v>330</x:v>
      </x:c>
      <x:c r="C1793" s="78" t="n">
        <x:f>(('Inputs'!$B$29*(3*330*'Inputs'!$B$12-330^2)/(2*'Inputs'!$B$12^2))-('Inputs'!$B$29*(3*329*'Inputs'!$B$12-329^2)/(2*'Inputs'!$B$12^2)))*'Inputs'!$B$48</x:f>
        <x:v>151215.81206604838</x:v>
      </x:c>
      <x:c r="D1793" s="78" t="n">
        <x:f>IF('Inputs'!$C$48&gt;0,('Inputs'!$B$30*(3*330*'Inputs'!$B$12-330^2)/(2*'Inputs'!$B$12^2))-('Inputs'!$B$30*(3*329*'Inputs'!$B$12-329^2)/(2*'Inputs'!$B$12^2)),0)</x:f>
        <x:v>259227.106398955</x:v>
      </x:c>
      <x:c r="E1793" s="78" t="n">
        <x:f>C1793+D1793</x:f>
        <x:v>410442.9184650034</x:v>
      </x:c>
      <x:c r="F1793" s="78" t="n">
        <x:f>'Inputs'!$B$13*E1793+(1-'Inputs'!$B$13)/'Inputs'!$B$14*SUM(E1738:E1793)</x:f>
        <x:v>415296.31497466716</x:v>
      </x:c>
      <x:c r="G1793" s="78" t="n">
        <x:f>F1793*'Inputs'!$F$48</x:f>
        <x:v>207648.15748733358</x:v>
      </x:c>
      <x:c r="H1793" s="78" t="n">
        <x:f>U1792</x:f>
        <x:v>72238743.53593649</x:v>
      </x:c>
      <x:c r="I1793" s="78" t="n">
        <x:f>V1792</x:f>
        <x:v>157.29086779454252</x:v>
      </x:c>
      <x:c r="J1793" s="79" t="n">
        <x:f>IF(H1793&gt;0,I1793/H1793,0)</x:f>
        <x:v>0.000002177375464958015</x:v>
      </x:c>
      <x:c r="K1793" s="80" t="n">
        <x:f>(H1793*J1793+I1793)*'Inputs'!$D$48*(1+'Inputs'!$G$48)^(B1793/30)</x:f>
        <x:v>94.37452067672551</x:v>
      </x:c>
      <x:c r="L1793" s="80" t="n">
        <x:f>MAX(0,K1793*'Inputs'!$E$48)</x:f>
        <x:v>0</x:v>
      </x:c>
      <x:c r="M1793" s="80" t="n">
        <x:f>MAX(0,-K1793*'Inputs'!$E$48)</x:f>
        <x:v>0</x:v>
      </x:c>
      <x:c r="N1793" s="78" t="n">
        <x:f>H1793*(L1793*(1-'Inputs'!$B$15))/(I1793+L1793*(1-'Inputs'!$B$15))</x:f>
        <x:v>0</x:v>
      </x:c>
      <x:c r="O1793" s="78" t="n">
        <x:f>H1793-N1793</x:f>
        <x:v>72238743.53593649</x:v>
      </x:c>
      <x:c r="P1793" s="78" t="n">
        <x:f>I1793+L1793*(1-'Inputs'!$B$17)</x:f>
        <x:v>157.29086779454252</x:v>
      </x:c>
      <x:c r="Q1793" s="78" t="n">
        <x:f>IF(J1793&gt;0,M1793/J1793,0)</x:f>
        <x:v>0</x:v>
      </x:c>
      <x:c r="R1793" s="78" t="n">
        <x:f>IF(B1793='Inputs'!$H$48,'Inputs'!$B$27*'Inputs'!$I$48,0)</x:f>
        <x:v>0</x:v>
      </x:c>
      <x:c r="S1793" s="78" t="n">
        <x:f>Q1793+G1793+R1793</x:f>
        <x:v>207648.15748733358</x:v>
      </x:c>
      <x:c r="T1793" s="78" t="n">
        <x:f>P1793*(S1793*(1-'Inputs'!$B$15))/(O1793+S1793*(1-'Inputs'!$B$15))</x:f>
        <x:v>0.446336571802679</x:v>
      </x:c>
      <x:c r="U1793" s="78" t="n">
        <x:f>O1793+S1793*(1-'Inputs'!$B$17)</x:f>
        <x:v>72445556.08715627</x:v>
      </x:c>
      <x:c r="V1793" s="78" t="n">
        <x:f>P1793-T1793</x:f>
        <x:v>156.84453122273985</x:v>
      </x:c>
      <x:c r="W1793" s="79" t="n">
        <x:f>IF(U1793&gt;0,V1793/U1793,0)</x:f>
        <x:v>0.0000021649986513188837</x:v>
      </x:c>
      <x:c r="X1793" s="80" t="n">
        <x:f>W1793*('Inputs'!$B$6-AC1793)</x:f>
        <x:v>2132.887805339762</x:v>
      </x:c>
      <x:c r="Y1793" s="80" t="n">
        <x:f>2*V1793</x:f>
        <x:v>313.6890624454797</x:v>
      </x:c>
      <x:c r="Z1793" s="80" t="n">
        <x:f>K1793*'Inputs'!$B$16+(G1793+R1793)*J1793*'Inputs'!$B$16</x:f>
        <x:v>0.568959892081093</x:v>
      </x:c>
      <x:c r="AA1793" s="80" t="n">
        <x:f>K1793*(1+'Inputs'!$E$48)/2*'Inputs'!$B$17</x:f>
        <x:v>0.18988837158294872</x:v>
      </x:c>
      <x:c r="AB1793" s="78" t="n">
        <x:f>(IF(J1793&gt;0,K1793*(1-'Inputs'!$E$48)/2/J1793,0)+G1793+R1793)*'Inputs'!$B$17</x:f>
        <x:v>88045.3570151641</x:v>
      </x:c>
      <x:c r="AC1793" s="78" t="n">
        <x:f>AC1792+AB1793</x:f>
        <x:v>14831808.767899271</x:v>
      </x:c>
      <x:c r="AD1793" s="80" t="n">
        <x:f>Z1793/(1+'Inputs'!$C$48)</x:f>
        <x:v>0.4551679136648744</x:v>
      </x:c>
      <x:c r="AE1793" s="80" t="n">
        <x:f>Z1793-AD1793</x:f>
        <x:v>0.11379197841621858</x:v>
      </x:c>
      <x:c r="AF1793" s="80" t="n">
        <x:f>D1793*W1793</x:f>
        <x:v>0.5612263357390344</x:v>
      </x:c>
      <x:c r="AG1793" s="80" t="n">
        <x:f>C1793*W1793</x:f>
        <x:v>0.3273820291810845</x:v>
      </x:c>
      <x:c r="AH1793" s="80" t="n">
        <x:f>2*'Inputs'!$B$8*'Inputs'!$C$48</x:f>
        <x:v>1250</x:v>
      </x:c>
      <x:c r="AI1793" s="81" t="n">
        <x:f>IF(AH1793&gt;0,(AE1793+AF1793)/AH1793*365,0)</x:f>
        <x:v>0.19710534773333388</x:v>
      </x:c>
      <x:c r="AJ1793" s="81" t="n">
        <x:f>IF('Inputs'!$B$48&gt;0,AG1793/('Inputs'!$B$19*'Inputs'!$B$48)*365,0)</x:f>
        <x:v>0.04779777626043833</x:v>
      </x:c>
      <x:c r="AK1793" s="81" t="n">
        <x:f>W1793/MAX($W$1464:W1793)-1</x:f>
        <x:v>-0.997453998156557</x:v>
      </x:c>
      <x:c r="AL1793" s="83" t="n">
        <x:f>'Inputs'!$B$48</x:f>
        <x:v>0.25</x:v>
      </x:c>
      <x:c r="AM1793" s="83" t="n">
        <x:f>'Inputs'!$C$48</x:f>
        <x:v>0.25</x:v>
      </x:c>
      <x:c r="AN1793" s="83" t="n">
        <x:f>'Inputs'!$D$48</x:f>
        <x:v>0.3</x:v>
      </x:c>
      <x:c r="AO1793" s="81" t="n">
        <x:f>'Inputs'!$E$48</x:f>
        <x:v>0</x:v>
      </x:c>
    </x:row>
    <x:row r="1794">
      <x:c r="A1794" s="59" t="str">
        <x:v>Low participation</x:v>
      </x:c>
      <x:c r="B1794" s="59" t="n">
        <x:v>331</x:v>
      </x:c>
      <x:c r="C1794" s="78" t="n">
        <x:f>(('Inputs'!$B$29*(3*331*'Inputs'!$B$12-331^2)/(2*'Inputs'!$B$12^2))-('Inputs'!$B$29*(3*330*'Inputs'!$B$12-330^2)/(2*'Inputs'!$B$12^2)))*'Inputs'!$B$48</x:f>
        <x:v>151134.53509101272</x:v>
      </x:c>
      <x:c r="D1794" s="78" t="n">
        <x:f>IF('Inputs'!$C$48&gt;0,('Inputs'!$B$30*(3*331*'Inputs'!$B$12-331^2)/(2*'Inputs'!$B$12^2))-('Inputs'!$B$30*(3*330*'Inputs'!$B$12-330^2)/(2*'Inputs'!$B$12^2)),0)</x:f>
        <x:v>259087.77444173396</x:v>
      </x:c>
      <x:c r="E1794" s="78" t="n">
        <x:f>C1794+D1794</x:f>
        <x:v>410222.3095327467</x:v>
      </x:c>
      <x:c r="F1794" s="78" t="n">
        <x:f>'Inputs'!$B$13*E1794+(1-'Inputs'!$B$13)/'Inputs'!$B$14*SUM(E1739:E1794)</x:f>
        <x:v>415075.70604240976</x:v>
      </x:c>
      <x:c r="G1794" s="78" t="n">
        <x:f>F1794*'Inputs'!$F$48</x:f>
        <x:v>207537.85302120488</x:v>
      </x:c>
      <x:c r="H1794" s="78" t="n">
        <x:f>U1793</x:f>
        <x:v>72445556.08715627</x:v>
      </x:c>
      <x:c r="I1794" s="78" t="n">
        <x:f>V1793</x:f>
        <x:v>156.84453122273985</x:v>
      </x:c>
      <x:c r="J1794" s="79" t="n">
        <x:f>IF(H1794&gt;0,I1794/H1794,0)</x:f>
        <x:v>0.0000021649986513188837</x:v>
      </x:c>
      <x:c r="K1794" s="80" t="n">
        <x:f>(H1794*J1794+I1794)*'Inputs'!$D$48*(1+'Inputs'!$G$48)^(B1794/30)</x:f>
        <x:v>94.1067187336439</x:v>
      </x:c>
      <x:c r="L1794" s="80" t="n">
        <x:f>MAX(0,K1794*'Inputs'!$E$48)</x:f>
        <x:v>0</x:v>
      </x:c>
      <x:c r="M1794" s="80" t="n">
        <x:f>MAX(0,-K1794*'Inputs'!$E$48)</x:f>
        <x:v>0</x:v>
      </x:c>
      <x:c r="N1794" s="78" t="n">
        <x:f>H1794*(L1794*(1-'Inputs'!$B$15))/(I1794+L1794*(1-'Inputs'!$B$15))</x:f>
        <x:v>0</x:v>
      </x:c>
      <x:c r="O1794" s="78" t="n">
        <x:f>H1794-N1794</x:f>
        <x:v>72445556.08715627</x:v>
      </x:c>
      <x:c r="P1794" s="78" t="n">
        <x:f>I1794+L1794*(1-'Inputs'!$B$17)</x:f>
        <x:v>156.84453122273985</x:v>
      </x:c>
      <x:c r="Q1794" s="78" t="n">
        <x:f>IF(J1794&gt;0,M1794/J1794,0)</x:f>
        <x:v>0</x:v>
      </x:c>
      <x:c r="R1794" s="78" t="n">
        <x:f>IF(B1794='Inputs'!$H$48,'Inputs'!$B$27*'Inputs'!$I$48,0)</x:f>
        <x:v>0</x:v>
      </x:c>
      <x:c r="S1794" s="78" t="n">
        <x:f>Q1794+G1794+R1794</x:f>
        <x:v>207537.85302120488</x:v>
      </x:c>
      <x:c r="T1794" s="78" t="n">
        <x:f>P1794*(S1794*(1-'Inputs'!$B$15))/(O1794+S1794*(1-'Inputs'!$B$15))</x:f>
        <x:v>0.44356797927146974</x:v>
      </x:c>
      <x:c r="U1794" s="78" t="n">
        <x:f>O1794+S1794*(1-'Inputs'!$B$17)</x:f>
        <x:v>72652258.77779107</x:v>
      </x:c>
      <x:c r="V1794" s="78" t="n">
        <x:f>P1794-T1794</x:f>
        <x:v>156.40096324346837</x:v>
      </x:c>
      <x:c r="W1794" s="79" t="n">
        <x:f>IF(U1794&gt;0,V1794/U1794,0)</x:f>
        <x:v>0.0000021527336640946706</x:v>
      </x:c>
      <x:c r="X1794" s="80" t="n">
        <x:f>W1794*('Inputs'!$B$6-AC1794)</x:f>
        <x:v>2120.614655332456</x:v>
      </x:c>
      <x:c r="Y1794" s="80" t="n">
        <x:f>2*V1794</x:f>
        <x:v>312.80192648693674</x:v>
      </x:c>
      <x:c r="Z1794" s="80" t="n">
        <x:f>K1794*'Inputs'!$B$16+(G1794+R1794)*J1794*'Inputs'!$B$16</x:f>
        <x:v>0.5673362274331946</x:v>
      </x:c>
      <x:c r="AA1794" s="80" t="n">
        <x:f>K1794*(1+'Inputs'!$E$48)/2*'Inputs'!$B$17</x:f>
        <x:v>0.18934953467533985</x:v>
      </x:c>
      <x:c r="AB1794" s="78" t="n">
        <x:f>(IF(J1794&gt;0,K1794*(1-'Inputs'!$E$48)/2/J1794,0)+G1794+R1794)*'Inputs'!$B$17</x:f>
        <x:v>88294.58623407679</x:v>
      </x:c>
      <x:c r="AC1794" s="78" t="n">
        <x:f>AC1793+AB1794</x:f>
        <x:v>14920103.354133347</x:v>
      </x:c>
      <x:c r="AD1794" s="80" t="n">
        <x:f>Z1794/(1+'Inputs'!$C$48)</x:f>
        <x:v>0.45386898194655567</x:v>
      </x:c>
      <x:c r="AE1794" s="80" t="n">
        <x:f>Z1794-AD1794</x:f>
        <x:v>0.11346724548663889</x:v>
      </x:c>
      <x:c r="AF1794" s="80" t="n">
        <x:f>D1794*W1794</x:f>
        <x:v>0.5577469739960875</x:v>
      </x:c>
      <x:c r="AG1794" s="80" t="n">
        <x:f>C1794*W1794</x:f>
        <x:v>0.3253524014977204</x:v>
      </x:c>
      <x:c r="AH1794" s="80" t="n">
        <x:f>2*'Inputs'!$B$8*'Inputs'!$C$48</x:f>
        <x:v>1250</x:v>
      </x:c>
      <x:c r="AI1794" s="81" t="n">
        <x:f>IF(AH1794&gt;0,(AE1794+AF1794)/AH1794*365,0)</x:f>
        <x:v>0.1959945520889561</x:v>
      </x:c>
      <x:c r="AJ1794" s="81" t="n">
        <x:f>IF('Inputs'!$B$48&gt;0,AG1794/('Inputs'!$B$19*'Inputs'!$B$48)*365,0)</x:f>
        <x:v>0.047501450618667174</x:v>
      </x:c>
      <x:c r="AK1794" s="81" t="n">
        <x:f>W1794/MAX($W$1464:W1794)-1</x:f>
        <x:v>-0.9974684215743561</x:v>
      </x:c>
      <x:c r="AL1794" s="83" t="n">
        <x:f>'Inputs'!$B$48</x:f>
        <x:v>0.25</x:v>
      </x:c>
      <x:c r="AM1794" s="83" t="n">
        <x:f>'Inputs'!$C$48</x:f>
        <x:v>0.25</x:v>
      </x:c>
      <x:c r="AN1794" s="83" t="n">
        <x:f>'Inputs'!$D$48</x:f>
        <x:v>0.3</x:v>
      </x:c>
      <x:c r="AO1794" s="81" t="n">
        <x:f>'Inputs'!$E$48</x:f>
        <x:v>0</x:v>
      </x:c>
    </x:row>
    <x:row r="1795">
      <x:c r="A1795" s="59" t="str">
        <x:v>Low participation</x:v>
      </x:c>
      <x:c r="B1795" s="59" t="n">
        <x:v>332</x:v>
      </x:c>
      <x:c r="C1795" s="78" t="n">
        <x:f>(('Inputs'!$B$29*(3*332*'Inputs'!$B$12-332^2)/(2*'Inputs'!$B$12^2))-('Inputs'!$B$29*(3*331*'Inputs'!$B$12-331^2)/(2*'Inputs'!$B$12^2)))*'Inputs'!$B$48</x:f>
        <x:v>151053.2581159696</x:v>
      </x:c>
      <x:c r="D1795" s="78" t="n">
        <x:f>IF('Inputs'!$C$48&gt;0,('Inputs'!$B$30*(3*332*'Inputs'!$B$12-332^2)/(2*'Inputs'!$B$12^2))-('Inputs'!$B$30*(3*331*'Inputs'!$B$12-331^2)/(2*'Inputs'!$B$12^2)),0)</x:f>
        <x:v>258948.44248451293</x:v>
      </x:c>
      <x:c r="E1795" s="78" t="n">
        <x:f>C1795+D1795</x:f>
        <x:v>410001.7006004825</x:v>
      </x:c>
      <x:c r="F1795" s="78" t="n">
        <x:f>'Inputs'!$B$13*E1795+(1-'Inputs'!$B$13)/'Inputs'!$B$14*SUM(E1740:E1795)</x:f>
        <x:v>414855.097110151</x:v>
      </x:c>
      <x:c r="G1795" s="78" t="n">
        <x:f>F1795*'Inputs'!$F$48</x:f>
        <x:v>207427.5485550755</x:v>
      </x:c>
      <x:c r="H1795" s="78" t="n">
        <x:f>U1794</x:f>
        <x:v>72652258.77779107</x:v>
      </x:c>
      <x:c r="I1795" s="78" t="n">
        <x:f>V1794</x:f>
        <x:v>156.40096324346837</x:v>
      </x:c>
      <x:c r="J1795" s="79" t="n">
        <x:f>IF(H1795&gt;0,I1795/H1795,0)</x:f>
        <x:v>0.0000021527336640946706</x:v>
      </x:c>
      <x:c r="K1795" s="80" t="n">
        <x:f>(H1795*J1795+I1795)*'Inputs'!$D$48*(1+'Inputs'!$G$48)^(B1795/30)</x:f>
        <x:v>93.84057794608101</x:v>
      </x:c>
      <x:c r="L1795" s="80" t="n">
        <x:f>MAX(0,K1795*'Inputs'!$E$48)</x:f>
        <x:v>0</x:v>
      </x:c>
      <x:c r="M1795" s="80" t="n">
        <x:f>MAX(0,-K1795*'Inputs'!$E$48)</x:f>
        <x:v>0</x:v>
      </x:c>
      <x:c r="N1795" s="78" t="n">
        <x:f>H1795*(L1795*(1-'Inputs'!$B$15))/(I1795+L1795*(1-'Inputs'!$B$15))</x:f>
        <x:v>0</x:v>
      </x:c>
      <x:c r="O1795" s="78" t="n">
        <x:f>H1795-N1795</x:f>
        <x:v>72652258.77779107</x:v>
      </x:c>
      <x:c r="P1795" s="78" t="n">
        <x:f>I1795+L1795*(1-'Inputs'!$B$17)</x:f>
        <x:v>156.40096324346837</x:v>
      </x:c>
      <x:c r="Q1795" s="78" t="n">
        <x:f>IF(J1795&gt;0,M1795/J1795,0)</x:f>
        <x:v>0</x:v>
      </x:c>
      <x:c r="R1795" s="78" t="n">
        <x:f>IF(B1795='Inputs'!$H$48,'Inputs'!$B$27*'Inputs'!$I$48,0)</x:f>
        <x:v>0</x:v>
      </x:c>
      <x:c r="S1795" s="78" t="n">
        <x:f>Q1795+G1795+R1795</x:f>
        <x:v>207427.5485550755</x:v>
      </x:c>
      <x:c r="T1795" s="78" t="n">
        <x:f>P1795*(S1795*(1-'Inputs'!$B$15))/(O1795+S1795*(1-'Inputs'!$B$15))</x:f>
        <x:v>0.4408249022882063</x:v>
      </x:c>
      <x:c r="U1795" s="78" t="n">
        <x:f>O1795+S1795*(1-'Inputs'!$B$17)</x:f>
        <x:v>72858851.6078409</x:v>
      </x:c>
      <x:c r="V1795" s="78" t="n">
        <x:f>P1795-T1795</x:f>
        <x:v>155.96013834118017</x:v>
      </x:c>
      <x:c r="W1795" s="79" t="n">
        <x:f>IF(U1795&gt;0,V1795/U1795,0)</x:f>
        <x:v>0.000002140579145834301</x:v>
      </x:c>
      <x:c r="X1795" s="80" t="n">
        <x:f>W1795*('Inputs'!$B$6-AC1795)</x:f>
        <x:v>2108.4519489798013</x:v>
      </x:c>
      <x:c r="Y1795" s="80" t="n">
        <x:f>2*V1795</x:f>
        <x:v>311.92027668236034</x:v>
      </x:c>
      <x:c r="Z1795" s="80" t="n">
        <x:f>K1795*'Inputs'!$B$16+(G1795+R1795)*J1795*'Inputs'!$B$16</x:f>
        <x:v>0.5657226852762969</x:v>
      </x:c>
      <x:c r="AA1795" s="80" t="n">
        <x:f>K1795*(1+'Inputs'!$E$48)/2*'Inputs'!$B$17</x:f>
        <x:v>0.1888140401329598</x:v>
      </x:c>
      <x:c r="AB1795" s="78" t="n">
        <x:f>(IF(J1795&gt;0,K1795*(1-'Inputs'!$E$48)/2/J1795,0)+G1795+R1795)*'Inputs'!$B$17</x:f>
        <x:v>88543.68282451668</x:v>
      </x:c>
      <x:c r="AC1795" s="78" t="n">
        <x:f>AC1794+AB1795</x:f>
        <x:v>15008647.036957864</x:v>
      </x:c>
      <x:c r="AD1795" s="80" t="n">
        <x:f>Z1795/(1+'Inputs'!$C$48)</x:f>
        <x:v>0.4525781482210375</x:v>
      </x:c>
      <x:c r="AE1795" s="80" t="n">
        <x:f>Z1795-AD1795</x:f>
        <x:v>0.1131445370552594</x:v>
      </x:c>
      <x:c r="AF1795" s="80" t="n">
        <x:f>D1795*W1795</x:f>
        <x:v>0.5542996358286213</x:v>
      </x:c>
      <x:c r="AG1795" s="80" t="n">
        <x:f>C1795*W1795</x:f>
        <x:v>0.3233414542333704</x:v>
      </x:c>
      <x:c r="AH1795" s="80" t="n">
        <x:f>2*'Inputs'!$B$8*'Inputs'!$C$48</x:f>
        <x:v>1250</x:v>
      </x:c>
      <x:c r="AI1795" s="81" t="n">
        <x:f>IF(AH1795&gt;0,(AE1795+AF1795)/AH1795*365,0)</x:f>
        <x:v>0.19489369848209318</x:v>
      </x:c>
      <x:c r="AJ1795" s="81" t="n">
        <x:f>IF('Inputs'!$B$48&gt;0,AG1795/('Inputs'!$B$19*'Inputs'!$B$48)*365,0)</x:f>
        <x:v>0.04720785231807208</x:v>
      </x:c>
      <x:c r="AK1795" s="81" t="n">
        <x:f>W1795/MAX($W$1464:W1795)-1</x:f>
        <x:v>-0.9974827150825198</x:v>
      </x:c>
      <x:c r="AL1795" s="83" t="n">
        <x:f>'Inputs'!$B$48</x:f>
        <x:v>0.25</x:v>
      </x:c>
      <x:c r="AM1795" s="83" t="n">
        <x:f>'Inputs'!$C$48</x:f>
        <x:v>0.25</x:v>
      </x:c>
      <x:c r="AN1795" s="83" t="n">
        <x:f>'Inputs'!$D$48</x:f>
        <x:v>0.3</x:v>
      </x:c>
      <x:c r="AO1795" s="81" t="n">
        <x:f>'Inputs'!$E$48</x:f>
        <x:v>0</x:v>
      </x:c>
    </x:row>
    <x:row r="1796">
      <x:c r="A1796" s="59" t="str">
        <x:v>Low participation</x:v>
      </x:c>
      <x:c r="B1796" s="59" t="n">
        <x:v>333</x:v>
      </x:c>
      <x:c r="C1796" s="78" t="n">
        <x:f>(('Inputs'!$B$29*(3*333*'Inputs'!$B$12-333^2)/(2*'Inputs'!$B$12^2))-('Inputs'!$B$29*(3*332*'Inputs'!$B$12-332^2)/(2*'Inputs'!$B$12^2)))*'Inputs'!$B$48</x:f>
        <x:v>150971.98114092648</x:v>
      </x:c>
      <x:c r="D1796" s="78" t="n">
        <x:f>IF('Inputs'!$C$48&gt;0,('Inputs'!$B$30*(3*333*'Inputs'!$B$12-333^2)/(2*'Inputs'!$B$12^2))-('Inputs'!$B$30*(3*332*'Inputs'!$B$12-332^2)/(2*'Inputs'!$B$12^2)),0)</x:f>
        <x:v>258809.1105273068</x:v>
      </x:c>
      <x:c r="E1796" s="78" t="n">
        <x:f>C1796+D1796</x:f>
        <x:v>409781.0916682333</x:v>
      </x:c>
      <x:c r="F1796" s="78" t="n">
        <x:f>'Inputs'!$B$13*E1796+(1-'Inputs'!$B$13)/'Inputs'!$B$14*SUM(E1741:E1796)</x:f>
        <x:v>414634.48817789514</x:v>
      </x:c>
      <x:c r="G1796" s="78" t="n">
        <x:f>F1796*'Inputs'!$F$48</x:f>
        <x:v>207317.24408894757</x:v>
      </x:c>
      <x:c r="H1796" s="78" t="n">
        <x:f>U1795</x:f>
        <x:v>72858851.6078409</x:v>
      </x:c>
      <x:c r="I1796" s="78" t="n">
        <x:f>V1795</x:f>
        <x:v>155.96013834118017</x:v>
      </x:c>
      <x:c r="J1796" s="79" t="n">
        <x:f>IF(H1796&gt;0,I1796/H1796,0)</x:f>
        <x:v>0.000002140579145834301</x:v>
      </x:c>
      <x:c r="K1796" s="80" t="n">
        <x:f>(H1796*J1796+I1796)*'Inputs'!$D$48*(1+'Inputs'!$G$48)^(B1796/30)</x:f>
        <x:v>93.5760830047081</x:v>
      </x:c>
      <x:c r="L1796" s="80" t="n">
        <x:f>MAX(0,K1796*'Inputs'!$E$48)</x:f>
        <x:v>0</x:v>
      </x:c>
      <x:c r="M1796" s="80" t="n">
        <x:f>MAX(0,-K1796*'Inputs'!$E$48)</x:f>
        <x:v>0</x:v>
      </x:c>
      <x:c r="N1796" s="78" t="n">
        <x:f>H1796*(L1796*(1-'Inputs'!$B$15))/(I1796+L1796*(1-'Inputs'!$B$15))</x:f>
        <x:v>0</x:v>
      </x:c>
      <x:c r="O1796" s="78" t="n">
        <x:f>H1796-N1796</x:f>
        <x:v>72858851.6078409</x:v>
      </x:c>
      <x:c r="P1796" s="78" t="n">
        <x:f>I1796+L1796*(1-'Inputs'!$B$17)</x:f>
        <x:v>155.96013834118017</x:v>
      </x:c>
      <x:c r="Q1796" s="78" t="n">
        <x:f>IF(J1796&gt;0,M1796/J1796,0)</x:f>
        <x:v>0</x:v>
      </x:c>
      <x:c r="R1796" s="78" t="n">
        <x:f>IF(B1796='Inputs'!$H$48,'Inputs'!$B$27*'Inputs'!$I$48,0)</x:f>
        <x:v>0</x:v>
      </x:c>
      <x:c r="S1796" s="78" t="n">
        <x:f>Q1796+G1796+R1796</x:f>
        <x:v>207317.24408894757</x:v>
      </x:c>
      <x:c r="T1796" s="78" t="n">
        <x:f>P1796*(S1796*(1-'Inputs'!$B$15))/(O1796+S1796*(1-'Inputs'!$B$15))</x:f>
        <x:v>0.4381070279492184</x:v>
      </x:c>
      <x:c r="U1796" s="78" t="n">
        <x:f>O1796+S1796*(1-'Inputs'!$B$17)</x:f>
        <x:v>73065334.57730575</x:v>
      </x:c>
      <x:c r="V1796" s="78" t="n">
        <x:f>P1796-T1796</x:f>
        <x:v>155.52203131323094</x:v>
      </x:c>
      <x:c r="W1796" s="79" t="n">
        <x:f>IF(U1796&gt;0,V1796/U1796,0)</x:f>
        <x:v>0.0000021285337597227184</x:v>
      </x:c>
      <x:c r="X1796" s="80" t="n">
        <x:f>W1796*('Inputs'!$B$6-AC1796)</x:f>
        <x:v>2096.398349670491</x:v>
      </x:c>
      <x:c r="Y1796" s="80" t="n">
        <x:f>2*V1796</x:f>
        <x:v>311.0440626264619</x:v>
      </x:c>
      <x:c r="Z1796" s="80" t="n">
        <x:f>K1796*'Inputs'!$B$16+(G1796+R1796)*J1796*'Inputs'!$B$16</x:f>
        <x:v>0.5641191718438604</x:v>
      </x:c>
      <x:c r="AA1796" s="80" t="n">
        <x:f>K1796*(1+'Inputs'!$E$48)/2*'Inputs'!$B$17</x:f>
        <x:v>0.1882818571523302</x:v>
      </x:c>
      <x:c r="AB1796" s="78" t="n">
        <x:f>(IF(J1796&gt;0,K1796*(1-'Inputs'!$E$48)/2/J1796,0)+G1796+R1796)*'Inputs'!$B$17</x:f>
        <x:v>88792.64678648378</x:v>
      </x:c>
      <x:c r="AC1796" s="78" t="n">
        <x:f>AC1795+AB1796</x:f>
        <x:v>15097439.683744347</x:v>
      </x:c>
      <x:c r="AD1796" s="80" t="n">
        <x:f>Z1796/(1+'Inputs'!$C$48)</x:f>
        <x:v>0.4512953374750883</x:v>
      </x:c>
      <x:c r="AE1796" s="80" t="n">
        <x:f>Z1796-AD1796</x:f>
        <x:v>0.11282383436877208</x:v>
      </x:c>
      <x:c r="AF1796" s="80" t="n">
        <x:f>D1796*W1796</x:f>
        <x:v>0.5508839290811809</x:v>
      </x:c>
      <x:c r="AG1796" s="80" t="n">
        <x:f>C1796*W1796</x:f>
        <x:v>0.3213489586306836</x:v>
      </x:c>
      <x:c r="AH1796" s="80" t="n">
        <x:f>2*'Inputs'!$B$8*'Inputs'!$C$48</x:f>
        <x:v>1250</x:v>
      </x:c>
      <x:c r="AI1796" s="81" t="n">
        <x:f>IF(AH1796&gt;0,(AE1796+AF1796)/AH1796*365,0)</x:f>
        <x:v>0.19380266692738626</x:v>
      </x:c>
      <x:c r="AJ1796" s="81" t="n">
        <x:f>IF('Inputs'!$B$48&gt;0,AG1796/('Inputs'!$B$19*'Inputs'!$B$48)*365,0)</x:f>
        <x:v>0.04691694796007981</x:v>
      </x:c>
      <x:c r="AK1796" s="81" t="n">
        <x:f>W1796/MAX($W$1464:W1796)-1</x:f>
        <x:v>-0.99749688025312</x:v>
      </x:c>
      <x:c r="AL1796" s="83" t="n">
        <x:f>'Inputs'!$B$48</x:f>
        <x:v>0.25</x:v>
      </x:c>
      <x:c r="AM1796" s="83" t="n">
        <x:f>'Inputs'!$C$48</x:f>
        <x:v>0.25</x:v>
      </x:c>
      <x:c r="AN1796" s="83" t="n">
        <x:f>'Inputs'!$D$48</x:f>
        <x:v>0.3</x:v>
      </x:c>
      <x:c r="AO1796" s="81" t="n">
        <x:f>'Inputs'!$E$48</x:f>
        <x:v>0</x:v>
      </x:c>
    </x:row>
    <x:row r="1797">
      <x:c r="A1797" s="59" t="str">
        <x:v>Low participation</x:v>
      </x:c>
      <x:c r="B1797" s="59" t="n">
        <x:v>334</x:v>
      </x:c>
      <x:c r="C1797" s="78" t="n">
        <x:f>(('Inputs'!$B$29*(3*334*'Inputs'!$B$12-334^2)/(2*'Inputs'!$B$12^2))-('Inputs'!$B$29*(3*333*'Inputs'!$B$12-333^2)/(2*'Inputs'!$B$12^2)))*'Inputs'!$B$48</x:f>
        <x:v>150890.70416588336</x:v>
      </x:c>
      <x:c r="D1797" s="78" t="n">
        <x:f>IF('Inputs'!$C$48&gt;0,('Inputs'!$B$30*(3*334*'Inputs'!$B$12-334^2)/(2*'Inputs'!$B$12^2))-('Inputs'!$B$30*(3*333*'Inputs'!$B$12-333^2)/(2*'Inputs'!$B$12^2)),0)</x:f>
        <x:v>258669.77857008576</x:v>
      </x:c>
      <x:c r="E1797" s="78" t="n">
        <x:f>C1797+D1797</x:f>
        <x:v>409560.4827359691</x:v>
      </x:c>
      <x:c r="F1797" s="78" t="n">
        <x:f>'Inputs'!$B$13*E1797+(1-'Inputs'!$B$13)/'Inputs'!$B$14*SUM(E1742:E1797)</x:f>
        <x:v>414413.8792456362</x:v>
      </x:c>
      <x:c r="G1797" s="78" t="n">
        <x:f>F1797*'Inputs'!$F$48</x:f>
        <x:v>207206.9396228181</x:v>
      </x:c>
      <x:c r="H1797" s="78" t="n">
        <x:f>U1796</x:f>
        <x:v>73065334.57730575</x:v>
      </x:c>
      <x:c r="I1797" s="78" t="n">
        <x:f>V1796</x:f>
        <x:v>155.52203131323094</x:v>
      </x:c>
      <x:c r="J1797" s="79" t="n">
        <x:f>IF(H1797&gt;0,I1797/H1797,0)</x:f>
        <x:v>0.0000021285337597227184</x:v>
      </x:c>
      <x:c r="K1797" s="80" t="n">
        <x:f>(H1797*J1797+I1797)*'Inputs'!$D$48*(1+'Inputs'!$G$48)^(B1797/30)</x:f>
        <x:v>93.31321878793857</x:v>
      </x:c>
      <x:c r="L1797" s="80" t="n">
        <x:f>MAX(0,K1797*'Inputs'!$E$48)</x:f>
        <x:v>0</x:v>
      </x:c>
      <x:c r="M1797" s="80" t="n">
        <x:f>MAX(0,-K1797*'Inputs'!$E$48)</x:f>
        <x:v>0</x:v>
      </x:c>
      <x:c r="N1797" s="78" t="n">
        <x:f>H1797*(L1797*(1-'Inputs'!$B$15))/(I1797+L1797*(1-'Inputs'!$B$15))</x:f>
        <x:v>0</x:v>
      </x:c>
      <x:c r="O1797" s="78" t="n">
        <x:f>H1797-N1797</x:f>
        <x:v>73065334.57730575</x:v>
      </x:c>
      <x:c r="P1797" s="78" t="n">
        <x:f>I1797+L1797*(1-'Inputs'!$B$17)</x:f>
        <x:v>155.52203131323094</x:v>
      </x:c>
      <x:c r="Q1797" s="78" t="n">
        <x:f>IF(J1797&gt;0,M1797/J1797,0)</x:f>
        <x:v>0</x:v>
      </x:c>
      <x:c r="R1797" s="78" t="n">
        <x:f>IF(B1797='Inputs'!$H$48,'Inputs'!$B$27*'Inputs'!$I$48,0)</x:f>
        <x:v>0</x:v>
      </x:c>
      <x:c r="S1797" s="78" t="n">
        <x:f>Q1797+G1797+R1797</x:f>
        <x:v>207206.9396228181</x:v>
      </x:c>
      <x:c r="T1797" s="78" t="n">
        <x:f>P1797*(S1797*(1-'Inputs'!$B$15))/(O1797+S1797*(1-'Inputs'!$B$15))</x:f>
        <x:v>0.43541404813381795</x:v>
      </x:c>
      <x:c r="U1797" s="78" t="n">
        <x:f>O1797+S1797*(1-'Inputs'!$B$17)</x:f>
        <x:v>73271707.68618561</x:v>
      </x:c>
      <x:c r="V1797" s="78" t="n">
        <x:f>P1797-T1797</x:f>
        <x:v>155.08661726509712</x:v>
      </x:c>
      <x:c r="W1797" s="79" t="n">
        <x:f>IF(U1797&gt;0,V1797/U1797,0)</x:f>
        <x:v>0.0000021165961892046443</x:v>
      </x:c>
      <x:c r="X1797" s="80" t="n">
        <x:f>W1797*('Inputs'!$B$6-AC1797)</x:f>
        <x:v>2084.452541050014</x:v>
      </x:c>
      <x:c r="Y1797" s="80" t="n">
        <x:f>2*V1797</x:f>
        <x:v>310.17323453019424</x:v>
      </x:c>
      <x:c r="Z1797" s="80" t="n">
        <x:f>K1797*'Inputs'!$B$16+(G1797+R1797)*J1797*'Inputs'!$B$16</x:f>
        <x:v>0.5625255945250474</x:v>
      </x:c>
      <x:c r="AA1797" s="80" t="n">
        <x:f>K1797*(1+'Inputs'!$E$48)/2*'Inputs'!$B$17</x:f>
        <x:v>0.18775295530772348</x:v>
      </x:c>
      <x:c r="AB1797" s="78" t="n">
        <x:f>(IF(J1797&gt;0,K1797*(1-'Inputs'!$E$48)/2/J1797,0)+G1797+R1797)*'Inputs'!$B$17</x:f>
        <x:v>89041.47811997806</x:v>
      </x:c>
      <x:c r="AC1797" s="78" t="n">
        <x:f>AC1796+AB1797</x:f>
        <x:v>15186481.161864325</x:v>
      </x:c>
      <x:c r="AD1797" s="80" t="n">
        <x:f>Z1797/(1+'Inputs'!$C$48)</x:f>
        <x:v>0.4500204756200379</x:v>
      </x:c>
      <x:c r="AE1797" s="80" t="n">
        <x:f>Z1797-AD1797</x:f>
        <x:v>0.11250511890500947</x:v>
      </x:c>
      <x:c r="AF1797" s="80" t="n">
        <x:f>D1797*W1797</x:f>
        <x:v>0.5474994675838527</x:v>
      </x:c>
      <x:c r="AG1797" s="80" t="n">
        <x:f>C1797*W1797</x:f>
        <x:v>0.31937468942391406</x:v>
      </x:c>
      <x:c r="AH1797" s="80" t="n">
        <x:f>2*'Inputs'!$B$8*'Inputs'!$C$48</x:f>
        <x:v>1250</x:v>
      </x:c>
      <x:c r="AI1797" s="81" t="n">
        <x:f>IF(AH1797&gt;0,(AE1797+AF1797)/AH1797*365,0)</x:f>
        <x:v>0.19272133925474777</x:v>
      </x:c>
      <x:c r="AJ1797" s="81" t="n">
        <x:f>IF('Inputs'!$B$48&gt;0,AG1797/('Inputs'!$B$19*'Inputs'!$B$48)*365,0)</x:f>
        <x:v>0.04662870465589145</x:v>
      </x:c>
      <x:c r="AK1797" s="81" t="n">
        <x:f>W1797/MAX($W$1464:W1797)-1</x:f>
        <x:v>-0.9975109186344034</x:v>
      </x:c>
      <x:c r="AL1797" s="83" t="n">
        <x:f>'Inputs'!$B$48</x:f>
        <x:v>0.25</x:v>
      </x:c>
      <x:c r="AM1797" s="83" t="n">
        <x:f>'Inputs'!$C$48</x:f>
        <x:v>0.25</x:v>
      </x:c>
      <x:c r="AN1797" s="83" t="n">
        <x:f>'Inputs'!$D$48</x:f>
        <x:v>0.3</x:v>
      </x:c>
      <x:c r="AO1797" s="81" t="n">
        <x:f>'Inputs'!$E$48</x:f>
        <x:v>0</x:v>
      </x:c>
    </x:row>
    <x:row r="1798">
      <x:c r="A1798" s="59" t="str">
        <x:v>Low participation</x:v>
      </x:c>
      <x:c r="B1798" s="59" t="n">
        <x:v>335</x:v>
      </x:c>
      <x:c r="C1798" s="78" t="n">
        <x:f>(('Inputs'!$B$29*(3*335*'Inputs'!$B$12-335^2)/(2*'Inputs'!$B$12^2))-('Inputs'!$B$29*(3*334*'Inputs'!$B$12-334^2)/(2*'Inputs'!$B$12^2)))*'Inputs'!$B$48</x:f>
        <x:v>150809.4271908477</x:v>
      </x:c>
      <x:c r="D1798" s="78" t="n">
        <x:f>IF('Inputs'!$C$48&gt;0,('Inputs'!$B$30*(3*335*'Inputs'!$B$12-335^2)/(2*'Inputs'!$B$12^2))-('Inputs'!$B$30*(3*334*'Inputs'!$B$12-334^2)/(2*'Inputs'!$B$12^2)),0)</x:f>
        <x:v>258530.44661287963</x:v>
      </x:c>
      <x:c r="E1798" s="78" t="n">
        <x:f>C1798+D1798</x:f>
        <x:v>409339.8738037273</x:v>
      </x:c>
      <x:c r="F1798" s="78" t="n">
        <x:f>'Inputs'!$B$13*E1798+(1-'Inputs'!$B$13)/'Inputs'!$B$14*SUM(E1743:E1798)</x:f>
        <x:v>414193.2703133822</x:v>
      </x:c>
      <x:c r="G1798" s="78" t="n">
        <x:f>F1798*'Inputs'!$F$48</x:f>
        <x:v>207096.6351566911</x:v>
      </x:c>
      <x:c r="H1798" s="78" t="n">
        <x:f>U1797</x:f>
        <x:v>73271707.68618561</x:v>
      </x:c>
      <x:c r="I1798" s="78" t="n">
        <x:f>V1797</x:f>
        <x:v>155.08661726509712</x:v>
      </x:c>
      <x:c r="J1798" s="79" t="n">
        <x:f>IF(H1798&gt;0,I1798/H1798,0)</x:f>
        <x:v>0.0000021165961892046443</x:v>
      </x:c>
      <x:c r="K1798" s="80" t="n">
        <x:f>(H1798*J1798+I1798)*'Inputs'!$D$48*(1+'Inputs'!$G$48)^(B1798/30)</x:f>
        <x:v>93.05197035905827</x:v>
      </x:c>
      <x:c r="L1798" s="80" t="n">
        <x:f>MAX(0,K1798*'Inputs'!$E$48)</x:f>
        <x:v>0</x:v>
      </x:c>
      <x:c r="M1798" s="80" t="n">
        <x:f>MAX(0,-K1798*'Inputs'!$E$48)</x:f>
        <x:v>0</x:v>
      </x:c>
      <x:c r="N1798" s="78" t="n">
        <x:f>H1798*(L1798*(1-'Inputs'!$B$15))/(I1798+L1798*(1-'Inputs'!$B$15))</x:f>
        <x:v>0</x:v>
      </x:c>
      <x:c r="O1798" s="78" t="n">
        <x:f>H1798-N1798</x:f>
        <x:v>73271707.68618561</x:v>
      </x:c>
      <x:c r="P1798" s="78" t="n">
        <x:f>I1798+L1798*(1-'Inputs'!$B$17)</x:f>
        <x:v>155.08661726509712</x:v>
      </x:c>
      <x:c r="Q1798" s="78" t="n">
        <x:f>IF(J1798&gt;0,M1798/J1798,0)</x:f>
        <x:v>0</x:v>
      </x:c>
      <x:c r="R1798" s="78" t="n">
        <x:f>IF(B1798='Inputs'!$H$48,'Inputs'!$B$27*'Inputs'!$I$48,0)</x:f>
        <x:v>0</x:v>
      </x:c>
      <x:c r="S1798" s="78" t="n">
        <x:f>Q1798+G1798+R1798</x:f>
        <x:v>207096.6351566911</x:v>
      </x:c>
      <x:c r="T1798" s="78" t="n">
        <x:f>P1798*(S1798*(1-'Inputs'!$B$15))/(O1798+S1798*(1-'Inputs'!$B$15))</x:f>
        <x:v>0.4327456594168409</x:v>
      </x:c>
      <x:c r="U1798" s="78" t="n">
        <x:f>O1798+S1798*(1-'Inputs'!$B$17)</x:f>
        <x:v>73477970.9344805</x:v>
      </x:c>
      <x:c r="V1798" s="78" t="n">
        <x:f>P1798-T1798</x:f>
        <x:v>154.65387160568028</x:v>
      </x:c>
      <x:c r="W1798" s="79" t="n">
        <x:f>IF(U1798&gt;0,V1798/U1798,0)</x:f>
        <x:v>0.0000021047651376163264</x:v>
      </x:c>
      <x:c r="X1798" s="80" t="n">
        <x:f>W1798*('Inputs'!$B$6-AC1798)</x:f>
        <x:v>2072.6132266524546</x:v>
      </x:c>
      <x:c r="Y1798" s="80" t="n">
        <x:f>2*V1798</x:f>
        <x:v>309.30774321136056</x:v>
      </x:c>
      <x:c r="Z1798" s="80" t="n">
        <x:f>K1798*'Inputs'!$B$16+(G1798+R1798)*J1798*'Inputs'!$B$16</x:f>
        <x:v>0.5609418618469681</x:v>
      </x:c>
      <x:c r="AA1798" s="80" t="n">
        <x:f>K1798*(1+'Inputs'!$E$48)/2*'Inputs'!$B$17</x:f>
        <x:v>0.18722730454538888</x:v>
      </x:c>
      <x:c r="AB1798" s="78" t="n">
        <x:f>(IF(J1798&gt;0,K1798*(1-'Inputs'!$E$48)/2/J1798,0)+G1798+R1798)*'Inputs'!$B$17</x:f>
        <x:v>89290.17682499951</x:v>
      </x:c>
      <x:c r="AC1798" s="78" t="n">
        <x:f>AC1797+AB1798</x:f>
        <x:v>15275771.338689325</x:v>
      </x:c>
      <x:c r="AD1798" s="80" t="n">
        <x:f>Z1798/(1+'Inputs'!$C$48)</x:f>
        <x:v>0.44875348947757454</x:v>
      </x:c>
      <x:c r="AE1798" s="80" t="n">
        <x:f>Z1798-AD1798</x:f>
        <x:v>0.11218837236939361</x:v>
      </x:c>
      <x:c r="AF1798" s="80" t="n">
        <x:f>D1798*W1798</x:f>
        <x:v>0.5441458710431679</x:v>
      </x:c>
      <x:c r="AG1798" s="80" t="n">
        <x:f>C1798*W1798</x:f>
        <x:v>0.3174184247751839</x:v>
      </x:c>
      <x:c r="AH1798" s="80" t="n">
        <x:f>2*'Inputs'!$B$8*'Inputs'!$C$48</x:f>
        <x:v>1250</x:v>
      </x:c>
      <x:c r="AI1798" s="81" t="n">
        <x:f>IF(AH1798&gt;0,(AE1798+AF1798)/AH1798*365,0)</x:f>
        <x:v>0.19164959907646797</x:v>
      </x:c>
      <x:c r="AJ1798" s="81" t="n">
        <x:f>IF('Inputs'!$B$48&gt;0,AG1798/('Inputs'!$B$19*'Inputs'!$B$48)*365,0)</x:f>
        <x:v>0.046343090017176854</x:v>
      </x:c>
      <x:c r="AK1798" s="81" t="n">
        <x:f>W1798/MAX($W$1464:W1798)-1</x:f>
        <x:v>-0.9975248317512247</x:v>
      </x:c>
      <x:c r="AL1798" s="83" t="n">
        <x:f>'Inputs'!$B$48</x:f>
        <x:v>0.25</x:v>
      </x:c>
      <x:c r="AM1798" s="83" t="n">
        <x:f>'Inputs'!$C$48</x:f>
        <x:v>0.25</x:v>
      </x:c>
      <x:c r="AN1798" s="83" t="n">
        <x:f>'Inputs'!$D$48</x:f>
        <x:v>0.3</x:v>
      </x:c>
      <x:c r="AO1798" s="81" t="n">
        <x:f>'Inputs'!$E$48</x:f>
        <x:v>0</x:v>
      </x:c>
    </x:row>
    <x:row r="1799">
      <x:c r="A1799" s="59" t="str">
        <x:v>Low participation</x:v>
      </x:c>
      <x:c r="B1799" s="59" t="n">
        <x:v>336</x:v>
      </x:c>
      <x:c r="C1799" s="78" t="n">
        <x:f>(('Inputs'!$B$29*(3*336*'Inputs'!$B$12-336^2)/(2*'Inputs'!$B$12^2))-('Inputs'!$B$29*(3*335*'Inputs'!$B$12-335^2)/(2*'Inputs'!$B$12^2)))*'Inputs'!$B$48</x:f>
        <x:v>150728.15021579713</x:v>
      </x:c>
      <x:c r="D1799" s="78" t="n">
        <x:f>IF('Inputs'!$C$48&gt;0,('Inputs'!$B$30*(3*336*'Inputs'!$B$12-336^2)/(2*'Inputs'!$B$12^2))-('Inputs'!$B$30*(3*335*'Inputs'!$B$12-335^2)/(2*'Inputs'!$B$12^2)),0)</x:f>
        <x:v>258391.1146556586</x:v>
      </x:c>
      <x:c r="E1799" s="78" t="n">
        <x:f>C1799+D1799</x:f>
        <x:v>409119.2648714557</x:v>
      </x:c>
      <x:c r="F1799" s="78" t="n">
        <x:f>'Inputs'!$B$13*E1799+(1-'Inputs'!$B$13)/'Inputs'!$B$14*SUM(E1744:E1799)</x:f>
        <x:v>413972.6613811217</x:v>
      </x:c>
      <x:c r="G1799" s="78" t="n">
        <x:f>F1799*'Inputs'!$F$48</x:f>
        <x:v>206986.33069056086</x:v>
      </x:c>
      <x:c r="H1799" s="78" t="n">
        <x:f>U1798</x:f>
        <x:v>73477970.9344805</x:v>
      </x:c>
      <x:c r="I1799" s="78" t="n">
        <x:f>V1798</x:f>
        <x:v>154.65387160568028</x:v>
      </x:c>
      <x:c r="J1799" s="79" t="n">
        <x:f>IF(H1799&gt;0,I1799/H1799,0)</x:f>
        <x:v>0.0000021047651376163264</x:v>
      </x:c>
      <x:c r="K1799" s="80" t="n">
        <x:f>(H1799*J1799+I1799)*'Inputs'!$D$48*(1+'Inputs'!$G$48)^(B1799/30)</x:f>
        <x:v>92.79232296340817</x:v>
      </x:c>
      <x:c r="L1799" s="80" t="n">
        <x:f>MAX(0,K1799*'Inputs'!$E$48)</x:f>
        <x:v>0</x:v>
      </x:c>
      <x:c r="M1799" s="80" t="n">
        <x:f>MAX(0,-K1799*'Inputs'!$E$48)</x:f>
        <x:v>0</x:v>
      </x:c>
      <x:c r="N1799" s="78" t="n">
        <x:f>H1799*(L1799*(1-'Inputs'!$B$15))/(I1799+L1799*(1-'Inputs'!$B$15))</x:f>
        <x:v>0</x:v>
      </x:c>
      <x:c r="O1799" s="78" t="n">
        <x:f>H1799-N1799</x:f>
        <x:v>73477970.9344805</x:v>
      </x:c>
      <x:c r="P1799" s="78" t="n">
        <x:f>I1799+L1799*(1-'Inputs'!$B$17)</x:f>
        <x:v>154.65387160568028</x:v>
      </x:c>
      <x:c r="Q1799" s="78" t="n">
        <x:f>IF(J1799&gt;0,M1799/J1799,0)</x:f>
        <x:v>0</x:v>
      </x:c>
      <x:c r="R1799" s="78" t="n">
        <x:f>IF(B1799='Inputs'!$H$48,'Inputs'!$B$27*'Inputs'!$I$48,0)</x:f>
        <x:v>0</x:v>
      </x:c>
      <x:c r="S1799" s="78" t="n">
        <x:f>Q1799+G1799+R1799</x:f>
        <x:v>206986.33069056086</x:v>
      </x:c>
      <x:c r="T1799" s="78" t="n">
        <x:f>P1799*(S1799*(1-'Inputs'!$B$15))/(O1799+S1799*(1-'Inputs'!$B$15))</x:f>
        <x:v>0.43010156298298935</x:v>
      </x:c>
      <x:c r="U1799" s="78" t="n">
        <x:f>O1799+S1799*(1-'Inputs'!$B$17)</x:f>
        <x:v>73684124.32219042</x:v>
      </x:c>
      <x:c r="V1799" s="78" t="n">
        <x:f>P1799-T1799</x:f>
        <x:v>154.22377004269728</x:v>
      </x:c>
      <x:c r="W1799" s="79" t="n">
        <x:f>IF(U1799&gt;0,V1799/U1799,0)</x:f>
        <x:v>0.000002093039327825083</x:v>
      </x:c>
      <x:c r="X1799" s="80" t="n">
        <x:f>W1799*('Inputs'!$B$6-AC1799)</x:f>
        <x:v>2060.879129540086</x:v>
      </x:c>
      <x:c r="Y1799" s="80" t="n">
        <x:f>2*V1799</x:f>
        <x:v>308.44754008539456</x:v>
      </x:c>
      <x:c r="Z1799" s="80" t="n">
        <x:f>K1799*'Inputs'!$B$16+(G1799+R1799)*J1799*'Inputs'!$B$16</x:f>
        <x:v>0.5593678834572527</x:v>
      </x:c>
      <x:c r="AA1799" s="80" t="n">
        <x:f>K1799*(1+'Inputs'!$E$48)/2*'Inputs'!$B$17</x:f>
        <x:v>0.18670487517788364</x:v>
      </x:c>
      <x:c r="AB1799" s="78" t="n">
        <x:f>(IF(J1799&gt;0,K1799*(1-'Inputs'!$E$48)/2/J1799,0)+G1799+R1799)*'Inputs'!$B$17</x:f>
        <x:v>89538.74290154815</x:v>
      </x:c>
      <x:c r="AC1799" s="78" t="n">
        <x:f>AC1798+AB1799</x:f>
        <x:v>15365310.081590874</x:v>
      </x:c>
      <x:c r="AD1799" s="80" t="n">
        <x:f>Z1799/(1+'Inputs'!$C$48)</x:f>
        <x:v>0.4474943067658022</x:v>
      </x:c>
      <x:c r="AE1799" s="80" t="n">
        <x:f>Z1799-AD1799</x:f>
        <x:v>0.11187357669145054</x:v>
      </x:c>
      <x:c r="AF1799" s="80" t="n">
        <x:f>D1799*W1799</x:f>
        <x:v>0.5408227649348537</x:v>
      </x:c>
      <x:c r="AG1799" s="80" t="n">
        <x:f>C1799*W1799</x:f>
        <x:v>0.31547994621199016</x:v>
      </x:c>
      <x:c r="AH1799" s="80" t="n">
        <x:f>2*'Inputs'!$B$8*'Inputs'!$C$48</x:f>
        <x:v>1250</x:v>
      </x:c>
      <x:c r="AI1799" s="81" t="n">
        <x:f>IF(AH1799&gt;0,(AE1799+AF1799)/AH1799*365,0)</x:f>
        <x:v>0.19058733175488088</x:v>
      </x:c>
      <x:c r="AJ1799" s="81" t="n">
        <x:f>IF('Inputs'!$B$48&gt;0,AG1799/('Inputs'!$B$19*'Inputs'!$B$48)*365,0)</x:f>
        <x:v>0.04606007214695056</x:v>
      </x:c>
      <x:c r="AK1799" s="81" t="n">
        <x:f>W1799/MAX($W$1464:W1799)-1</x:f>
        <x:v>-0.9975386211054703</x:v>
      </x:c>
      <x:c r="AL1799" s="83" t="n">
        <x:f>'Inputs'!$B$48</x:f>
        <x:v>0.25</x:v>
      </x:c>
      <x:c r="AM1799" s="83" t="n">
        <x:f>'Inputs'!$C$48</x:f>
        <x:v>0.25</x:v>
      </x:c>
      <x:c r="AN1799" s="83" t="n">
        <x:f>'Inputs'!$D$48</x:f>
        <x:v>0.3</x:v>
      </x:c>
      <x:c r="AO1799" s="81" t="n">
        <x:f>'Inputs'!$E$48</x:f>
        <x:v>0</x:v>
      </x:c>
    </x:row>
    <x:row r="1800">
      <x:c r="A1800" s="59" t="str">
        <x:v>Low participation</x:v>
      </x:c>
      <x:c r="B1800" s="59" t="n">
        <x:v>337</x:v>
      </x:c>
      <x:c r="C1800" s="78" t="n">
        <x:f>(('Inputs'!$B$29*(3*337*'Inputs'!$B$12-337^2)/(2*'Inputs'!$B$12^2))-('Inputs'!$B$29*(3*336*'Inputs'!$B$12-336^2)/(2*'Inputs'!$B$12^2)))*'Inputs'!$B$48</x:f>
        <x:v>150646.87324076146</x:v>
      </x:c>
      <x:c r="D1800" s="78" t="n">
        <x:f>IF('Inputs'!$C$48&gt;0,('Inputs'!$B$30*(3*337*'Inputs'!$B$12-337^2)/(2*'Inputs'!$B$12^2))-('Inputs'!$B$30*(3*336*'Inputs'!$B$12-336^2)/(2*'Inputs'!$B$12^2)),0)</x:f>
        <x:v>258251.78269843757</x:v>
      </x:c>
      <x:c r="E1800" s="78" t="n">
        <x:f>C1800+D1800</x:f>
        <x:v>408898.65593919903</x:v>
      </x:c>
      <x:c r="F1800" s="78" t="n">
        <x:f>'Inputs'!$B$13*E1800+(1-'Inputs'!$B$13)/'Inputs'!$B$14*SUM(E1745:E1800)</x:f>
        <x:v>413752.05244886456</x:v>
      </x:c>
      <x:c r="G1800" s="78" t="n">
        <x:f>F1800*'Inputs'!$F$48</x:f>
        <x:v>206876.02622443228</x:v>
      </x:c>
      <x:c r="H1800" s="78" t="n">
        <x:f>U1799</x:f>
        <x:v>73684124.32219042</x:v>
      </x:c>
      <x:c r="I1800" s="78" t="n">
        <x:f>V1799</x:f>
        <x:v>154.22377004269728</x:v>
      </x:c>
      <x:c r="J1800" s="79" t="n">
        <x:f>IF(H1800&gt;0,I1800/H1800,0)</x:f>
        <x:v>0.000002093039327825083</x:v>
      </x:c>
      <x:c r="K1800" s="80" t="n">
        <x:f>(H1800*J1800+I1800)*'Inputs'!$D$48*(1+'Inputs'!$G$48)^(B1800/30)</x:f>
        <x:v>92.53426202561836</x:v>
      </x:c>
      <x:c r="L1800" s="80" t="n">
        <x:f>MAX(0,K1800*'Inputs'!$E$48)</x:f>
        <x:v>0</x:v>
      </x:c>
      <x:c r="M1800" s="80" t="n">
        <x:f>MAX(0,-K1800*'Inputs'!$E$48)</x:f>
        <x:v>0</x:v>
      </x:c>
      <x:c r="N1800" s="78" t="n">
        <x:f>H1800*(L1800*(1-'Inputs'!$B$15))/(I1800+L1800*(1-'Inputs'!$B$15))</x:f>
        <x:v>0</x:v>
      </x:c>
      <x:c r="O1800" s="78" t="n">
        <x:f>H1800-N1800</x:f>
        <x:v>73684124.32219042</x:v>
      </x:c>
      <x:c r="P1800" s="78" t="n">
        <x:f>I1800+L1800*(1-'Inputs'!$B$17)</x:f>
        <x:v>154.22377004269728</x:v>
      </x:c>
      <x:c r="Q1800" s="78" t="n">
        <x:f>IF(J1800&gt;0,M1800/J1800,0)</x:f>
        <x:v>0</x:v>
      </x:c>
      <x:c r="R1800" s="78" t="n">
        <x:f>IF(B1800='Inputs'!$H$48,'Inputs'!$B$27*'Inputs'!$I$48,0)</x:f>
        <x:v>0</x:v>
      </x:c>
      <x:c r="S1800" s="78" t="n">
        <x:f>Q1800+G1800+R1800</x:f>
        <x:v>206876.02622443228</x:v>
      </x:c>
      <x:c r="T1800" s="78" t="n">
        <x:f>P1800*(S1800*(1-'Inputs'!$B$15))/(O1800+S1800*(1-'Inputs'!$B$15))</x:f>
        <x:v>0.4274814645430678</x:v>
      </x:c>
      <x:c r="U1800" s="78" t="n">
        <x:f>O1800+S1800*(1-'Inputs'!$B$17)</x:f>
        <x:v>73890167.84931536</x:v>
      </x:c>
      <x:c r="V1800" s="78" t="n">
        <x:f>P1800-T1800</x:f>
        <x:v>153.79628857815422</x:v>
      </x:c>
      <x:c r="W1800" s="79" t="n">
        <x:f>IF(U1800&gt;0,V1800/U1800,0)</x:f>
        <x:v>0.000002081417501876459</x:v>
      </x:c>
      <x:c r="X1800" s="80" t="n">
        <x:f>W1800*('Inputs'!$B$6-AC1800)</x:f>
        <x:v>2049.2489919505783</x:v>
      </x:c>
      <x:c r="Y1800" s="80" t="n">
        <x:f>2*V1800</x:f>
        <x:v>307.59257715630844</x:v>
      </x:c>
      <x:c r="Z1800" s="80" t="n">
        <x:f>K1800*'Inputs'!$B$16+(G1800+R1800)*J1800*'Inputs'!$B$16</x:f>
        <x:v>0.5578035701069416</x:v>
      </x:c>
      <x:c r="AA1800" s="80" t="n">
        <x:f>K1800*(1+'Inputs'!$E$48)/2*'Inputs'!$B$17</x:f>
        <x:v>0.18618563787850778</x:v>
      </x:c>
      <x:c r="AB1800" s="78" t="n">
        <x:f>(IF(J1800&gt;0,K1800*(1-'Inputs'!$E$48)/2/J1800,0)+G1800+R1800)*'Inputs'!$B$17</x:f>
        <x:v>89787.17634962396</x:v>
      </x:c>
      <x:c r="AC1800" s="78" t="n">
        <x:f>AC1799+AB1800</x:f>
        <x:v>15455097.257940497</x:v>
      </x:c>
      <x:c r="AD1800" s="80" t="n">
        <x:f>Z1800/(1+'Inputs'!$C$48)</x:f>
        <x:v>0.44624285608555325</x:v>
      </x:c>
      <x:c r="AE1800" s="80" t="n">
        <x:f>Z1800-AD1800</x:f>
        <x:v>0.11156071402138834</x:v>
      </x:c>
      <x:c r="AF1800" s="80" t="n">
        <x:f>D1800*W1800</x:f>
        <x:v>0.537529780399324</x:v>
      </x:c>
      <x:c r="AG1800" s="80" t="n">
        <x:f>C1800*W1800</x:f>
        <x:v>0.31355903856628525</x:v>
      </x:c>
      <x:c r="AH1800" s="80" t="n">
        <x:f>2*'Inputs'!$B$8*'Inputs'!$C$48</x:f>
        <x:v>1250</x:v>
      </x:c>
      <x:c r="AI1800" s="81" t="n">
        <x:f>IF(AH1800&gt;0,(AE1800+AF1800)/AH1800*365,0)</x:f>
        <x:v>0.189534424370848</x:v>
      </x:c>
      <x:c r="AJ1800" s="81" t="n">
        <x:f>IF('Inputs'!$B$48&gt;0,AG1800/('Inputs'!$B$19*'Inputs'!$B$48)*365,0)</x:f>
        <x:v>0.04577961963067765</x:v>
      </x:c>
      <x:c r="AK1800" s="81" t="n">
        <x:f>W1800/MAX($W$1464:W1800)-1</x:f>
        <x:v>-0.9975522881764736</x:v>
      </x:c>
      <x:c r="AL1800" s="83" t="n">
        <x:f>'Inputs'!$B$48</x:f>
        <x:v>0.25</x:v>
      </x:c>
      <x:c r="AM1800" s="83" t="n">
        <x:f>'Inputs'!$C$48</x:f>
        <x:v>0.25</x:v>
      </x:c>
      <x:c r="AN1800" s="83" t="n">
        <x:f>'Inputs'!$D$48</x:f>
        <x:v>0.3</x:v>
      </x:c>
      <x:c r="AO1800" s="81" t="n">
        <x:f>'Inputs'!$E$48</x:f>
        <x:v>0</x:v>
      </x:c>
    </x:row>
    <x:row r="1801">
      <x:c r="A1801" s="59" t="str">
        <x:v>Low participation</x:v>
      </x:c>
      <x:c r="B1801" s="59" t="n">
        <x:v>338</x:v>
      </x:c>
      <x:c r="C1801" s="78" t="n">
        <x:f>(('Inputs'!$B$29*(3*338*'Inputs'!$B$12-338^2)/(2*'Inputs'!$B$12^2))-('Inputs'!$B$29*(3*337*'Inputs'!$B$12-337^2)/(2*'Inputs'!$B$12^2)))*'Inputs'!$B$48</x:f>
        <x:v>150565.5962657109</x:v>
      </x:c>
      <x:c r="D1801" s="78" t="n">
        <x:f>IF('Inputs'!$C$48&gt;0,('Inputs'!$B$30*(3*338*'Inputs'!$B$12-338^2)/(2*'Inputs'!$B$12^2))-('Inputs'!$B$30*(3*337*'Inputs'!$B$12-337^2)/(2*'Inputs'!$B$12^2)),0)</x:f>
        <x:v>258112.45074123144</x:v>
      </x:c>
      <x:c r="E1801" s="78" t="n">
        <x:f>C1801+D1801</x:f>
        <x:v>408678.04700694233</x:v>
      </x:c>
      <x:c r="F1801" s="78" t="n">
        <x:f>'Inputs'!$B$13*E1801+(1-'Inputs'!$B$13)/'Inputs'!$B$14*SUM(E1746:E1801)</x:f>
        <x:v>413531.44351660716</x:v>
      </x:c>
      <x:c r="G1801" s="78" t="n">
        <x:f>F1801*'Inputs'!$F$48</x:f>
        <x:v>206765.72175830358</x:v>
      </x:c>
      <x:c r="H1801" s="78" t="n">
        <x:f>U1800</x:f>
        <x:v>73890167.84931536</x:v>
      </x:c>
      <x:c r="I1801" s="78" t="n">
        <x:f>V1800</x:f>
        <x:v>153.79628857815422</x:v>
      </x:c>
      <x:c r="J1801" s="79" t="n">
        <x:f>IF(H1801&gt;0,I1801/H1801,0)</x:f>
        <x:v>0.000002081417501876459</x:v>
      </x:c>
      <x:c r="K1801" s="80" t="n">
        <x:f>(H1801*J1801+I1801)*'Inputs'!$D$48*(1+'Inputs'!$G$48)^(B1801/30)</x:f>
        <x:v>92.27777314689253</x:v>
      </x:c>
      <x:c r="L1801" s="80" t="n">
        <x:f>MAX(0,K1801*'Inputs'!$E$48)</x:f>
        <x:v>0</x:v>
      </x:c>
      <x:c r="M1801" s="80" t="n">
        <x:f>MAX(0,-K1801*'Inputs'!$E$48)</x:f>
        <x:v>0</x:v>
      </x:c>
      <x:c r="N1801" s="78" t="n">
        <x:f>H1801*(L1801*(1-'Inputs'!$B$15))/(I1801+L1801*(1-'Inputs'!$B$15))</x:f>
        <x:v>0</x:v>
      </x:c>
      <x:c r="O1801" s="78" t="n">
        <x:f>H1801-N1801</x:f>
        <x:v>73890167.84931536</x:v>
      </x:c>
      <x:c r="P1801" s="78" t="n">
        <x:f>I1801+L1801*(1-'Inputs'!$B$17)</x:f>
        <x:v>153.79628857815422</x:v>
      </x:c>
      <x:c r="Q1801" s="78" t="n">
        <x:f>IF(J1801&gt;0,M1801/J1801,0)</x:f>
        <x:v>0</x:v>
      </x:c>
      <x:c r="R1801" s="78" t="n">
        <x:f>IF(B1801='Inputs'!$H$48,'Inputs'!$B$27*'Inputs'!$I$48,0)</x:f>
        <x:v>0</x:v>
      </x:c>
      <x:c r="S1801" s="78" t="n">
        <x:f>Q1801+G1801+R1801</x:f>
        <x:v>206765.72175830358</x:v>
      </x:c>
      <x:c r="T1801" s="78" t="n">
        <x:f>P1801*(S1801*(1-'Inputs'!$B$15))/(O1801+S1801*(1-'Inputs'!$B$15))</x:f>
        <x:v>0.42488507425191324</x:v>
      </x:c>
      <x:c r="U1801" s="78" t="n">
        <x:f>O1801+S1801*(1-'Inputs'!$B$17)</x:f>
        <x:v>74096101.51585533</x:v>
      </x:c>
      <x:c r="V1801" s="78" t="n">
        <x:f>P1801-T1801</x:f>
        <x:v>153.37140350390231</x:v>
      </x:c>
      <x:c r="W1801" s="79" t="n">
        <x:f>IF(U1801&gt;0,V1801/U1801,0)</x:f>
        <x:v>0.0000020698984206488027</x:v>
      </x:c>
      <x:c r="X1801" s="80" t="n">
        <x:f>W1801*('Inputs'!$B$6-AC1801)</x:f>
        <x:v>2037.721574951623</x:v>
      </x:c>
      <x:c r="Y1801" s="80" t="n">
        <x:f>2*V1801</x:f>
        <x:v>306.74280700780463</x:v>
      </x:c>
      <x:c r="Z1801" s="80" t="n">
        <x:f>K1801*'Inputs'!$B$16+(G1801+R1801)*J1801*'Inputs'!$B$16</x:f>
        <x:v>0.5562488336336903</x:v>
      </x:c>
      <x:c r="AA1801" s="80" t="n">
        <x:f>K1801*(1+'Inputs'!$E$48)/2*'Inputs'!$B$17</x:f>
        <x:v>0.18566956367584012</x:v>
      </x:c>
      <x:c r="AB1801" s="78" t="n">
        <x:f>(IF(J1801&gt;0,K1801*(1-'Inputs'!$E$48)/2/J1801,0)+G1801+R1801)*'Inputs'!$B$17</x:f>
        <x:v>90035.47716922702</x:v>
      </x:c>
      <x:c r="AC1801" s="78" t="n">
        <x:f>AC1800+AB1801</x:f>
        <x:v>15545132.735109724</x:v>
      </x:c>
      <x:c r="AD1801" s="80" t="n">
        <x:f>Z1801/(1+'Inputs'!$C$48)</x:f>
        <x:v>0.44499906690695223</x:v>
      </x:c>
      <x:c r="AE1801" s="80" t="n">
        <x:f>Z1801-AD1801</x:f>
        <x:v>0.11124976672673803</x:v>
      </x:c>
      <x:c r="AF1801" s="80" t="n">
        <x:f>D1801*W1801</x:f>
        <x:v>0.5342665541390669</x:v>
      </x:c>
      <x:c r="AG1801" s="80" t="n">
        <x:f>C1801*W1801</x:f>
        <x:v>0.31165548991444025</x:v>
      </x:c>
      <x:c r="AH1801" s="80" t="n">
        <x:f>2*'Inputs'!$B$8*'Inputs'!$C$48</x:f>
        <x:v>1250</x:v>
      </x:c>
      <x:c r="AI1801" s="81" t="n">
        <x:f>IF(AH1801&gt;0,(AE1801+AF1801)/AH1801*365,0)</x:f>
        <x:v>0.18849076569281503</x:v>
      </x:c>
      <x:c r="AJ1801" s="81" t="n">
        <x:f>IF('Inputs'!$B$48&gt;0,AG1801/('Inputs'!$B$19*'Inputs'!$B$48)*365,0)</x:f>
        <x:v>0.04550170152750828</x:v>
      </x:c>
      <x:c r="AK1801" s="81" t="n">
        <x:f>W1801/MAX($W$1464:W1801)-1</x:f>
        <x:v>-0.9975658344214204</x:v>
      </x:c>
      <x:c r="AL1801" s="83" t="n">
        <x:f>'Inputs'!$B$48</x:f>
        <x:v>0.25</x:v>
      </x:c>
      <x:c r="AM1801" s="83" t="n">
        <x:f>'Inputs'!$C$48</x:f>
        <x:v>0.25</x:v>
      </x:c>
      <x:c r="AN1801" s="83" t="n">
        <x:f>'Inputs'!$D$48</x:f>
        <x:v>0.3</x:v>
      </x:c>
      <x:c r="AO1801" s="81" t="n">
        <x:f>'Inputs'!$E$48</x:f>
        <x:v>0</x:v>
      </x:c>
    </x:row>
    <x:row r="1802">
      <x:c r="A1802" s="59" t="str">
        <x:v>Low participation</x:v>
      </x:c>
      <x:c r="B1802" s="59" t="n">
        <x:v>339</x:v>
      </x:c>
      <x:c r="C1802" s="78" t="n">
        <x:f>(('Inputs'!$B$29*(3*339*'Inputs'!$B$12-339^2)/(2*'Inputs'!$B$12^2))-('Inputs'!$B$29*(3*338*'Inputs'!$B$12-338^2)/(2*'Inputs'!$B$12^2)))*'Inputs'!$B$48</x:f>
        <x:v>150484.31929067522</x:v>
      </x:c>
      <x:c r="D1802" s="78" t="n">
        <x:f>IF('Inputs'!$C$48&gt;0,('Inputs'!$B$30*(3*339*'Inputs'!$B$12-339^2)/(2*'Inputs'!$B$12^2))-('Inputs'!$B$30*(3*338*'Inputs'!$B$12-338^2)/(2*'Inputs'!$B$12^2)),0)</x:f>
        <x:v>257973.1187840104</x:v>
      </x:c>
      <x:c r="E1802" s="78" t="n">
        <x:f>C1802+D1802</x:f>
        <x:v>408457.43807468563</x:v>
      </x:c>
      <x:c r="F1802" s="78" t="n">
        <x:f>'Inputs'!$B$13*E1802+(1-'Inputs'!$B$13)/'Inputs'!$B$14*SUM(E1747:E1802)</x:f>
        <x:v>413310.83458434977</x:v>
      </x:c>
      <x:c r="G1802" s="78" t="n">
        <x:f>F1802*'Inputs'!$F$48</x:f>
        <x:v>206655.41729217488</x:v>
      </x:c>
      <x:c r="H1802" s="78" t="n">
        <x:f>U1801</x:f>
        <x:v>74096101.51585533</x:v>
      </x:c>
      <x:c r="I1802" s="78" t="n">
        <x:f>V1801</x:f>
        <x:v>153.37140350390231</x:v>
      </x:c>
      <x:c r="J1802" s="79" t="n">
        <x:f>IF(H1802&gt;0,I1802/H1802,0)</x:f>
        <x:v>0.0000020698984206488027</x:v>
      </x:c>
      <x:c r="K1802" s="80" t="n">
        <x:f>(H1802*J1802+I1802)*'Inputs'!$D$48*(1+'Inputs'!$G$48)^(B1802/30)</x:f>
        <x:v>92.02284210234139</x:v>
      </x:c>
      <x:c r="L1802" s="80" t="n">
        <x:f>MAX(0,K1802*'Inputs'!$E$48)</x:f>
        <x:v>0</x:v>
      </x:c>
      <x:c r="M1802" s="80" t="n">
        <x:f>MAX(0,-K1802*'Inputs'!$E$48)</x:f>
        <x:v>0</x:v>
      </x:c>
      <x:c r="N1802" s="78" t="n">
        <x:f>H1802*(L1802*(1-'Inputs'!$B$15))/(I1802+L1802*(1-'Inputs'!$B$15))</x:f>
        <x:v>0</x:v>
      </x:c>
      <x:c r="O1802" s="78" t="n">
        <x:f>H1802-N1802</x:f>
        <x:v>74096101.51585533</x:v>
      </x:c>
      <x:c r="P1802" s="78" t="n">
        <x:f>I1802+L1802*(1-'Inputs'!$B$17)</x:f>
        <x:v>153.37140350390231</x:v>
      </x:c>
      <x:c r="Q1802" s="78" t="n">
        <x:f>IF(J1802&gt;0,M1802/J1802,0)</x:f>
        <x:v>0</x:v>
      </x:c>
      <x:c r="R1802" s="78" t="n">
        <x:f>IF(B1802='Inputs'!$H$48,'Inputs'!$B$27*'Inputs'!$I$48,0)</x:f>
        <x:v>0</x:v>
      </x:c>
      <x:c r="S1802" s="78" t="n">
        <x:f>Q1802+G1802+R1802</x:f>
        <x:v>206655.41729217488</x:v>
      </x:c>
      <x:c r="T1802" s="78" t="n">
        <x:f>P1802*(S1802*(1-'Inputs'!$B$15))/(O1802+S1802*(1-'Inputs'!$B$15))</x:f>
        <x:v>0.4223121066281088</x:v>
      </x:c>
      <x:c r="U1802" s="78" t="n">
        <x:f>O1802+S1802*(1-'Inputs'!$B$17)</x:f>
        <x:v>74301925.3218103</x:v>
      </x:c>
      <x:c r="V1802" s="78" t="n">
        <x:f>P1802-T1802</x:f>
        <x:v>152.9490913972742</x:v>
      </x:c>
      <x:c r="W1802" s="79" t="n">
        <x:f>IF(U1802&gt;0,V1802/U1802,0)</x:f>
        <x:v>0.000002058480863515095</x:v>
      </x:c>
      <x:c r="X1802" s="80" t="n">
        <x:f>W1802*('Inputs'!$B$6-AC1802)</x:f>
        <x:v>2026.295658102807</x:v>
      </x:c>
      <x:c r="Y1802" s="80" t="n">
        <x:f>2*V1802</x:f>
        <x:v>305.8981827945484</x:v>
      </x:c>
      <x:c r="Z1802" s="80" t="n">
        <x:f>K1802*'Inputs'!$B$16+(G1802+R1802)*J1802*'Inputs'!$B$16</x:f>
        <x:v>0.5547035869452779</x:v>
      </x:c>
      <x:c r="AA1802" s="80" t="n">
        <x:f>K1802*(1+'Inputs'!$E$48)/2*'Inputs'!$B$17</x:f>
        <x:v>0.18515662394837304</x:v>
      </x:c>
      <x:c r="AB1802" s="78" t="n">
        <x:f>(IF(J1802&gt;0,K1802*(1-'Inputs'!$E$48)/2/J1802,0)+G1802+R1802)*'Inputs'!$B$17</x:f>
        <x:v>90283.64536035724</x:v>
      </x:c>
      <x:c r="AC1802" s="78" t="n">
        <x:f>AC1801+AB1802</x:f>
        <x:v>15635416.380470082</x:v>
      </x:c>
      <x:c r="AD1802" s="80" t="n">
        <x:f>Z1802/(1+'Inputs'!$C$48)</x:f>
        <x:v>0.4437628695562223</x:v>
      </x:c>
      <x:c r="AE1802" s="80" t="n">
        <x:f>Z1802-AD1802</x:f>
        <x:v>0.11094071738905559</x:v>
      </x:c>
      <x:c r="AF1802" s="80" t="n">
        <x:f>D1802*W1802</x:f>
        <x:v>0.5310327283181919</x:v>
      </x:c>
      <x:c r="AG1802" s="80" t="n">
        <x:f>C1802*W1802</x:f>
        <x:v>0.30976909151895043</x:v>
      </x:c>
      <x:c r="AH1802" s="80" t="n">
        <x:f>2*'Inputs'!$B$8*'Inputs'!$C$48</x:f>
        <x:v>1250</x:v>
      </x:c>
      <x:c r="AI1802" s="81" t="n">
        <x:f>IF(AH1802&gt;0,(AE1802+AF1802)/AH1802*365,0)</x:f>
        <x:v>0.18745624614651626</x:v>
      </x:c>
      <x:c r="AJ1802" s="81" t="n">
        <x:f>IF('Inputs'!$B$48&gt;0,AG1802/('Inputs'!$B$19*'Inputs'!$B$48)*365,0)</x:f>
        <x:v>0.045226287361766766</x:v>
      </x:c>
      <x:c r="AK1802" s="81" t="n">
        <x:f>W1802/MAX($W$1464:W1802)-1</x:f>
        <x:v>-0.9975792612757477</x:v>
      </x:c>
      <x:c r="AL1802" s="83" t="n">
        <x:f>'Inputs'!$B$48</x:f>
        <x:v>0.25</x:v>
      </x:c>
      <x:c r="AM1802" s="83" t="n">
        <x:f>'Inputs'!$C$48</x:f>
        <x:v>0.25</x:v>
      </x:c>
      <x:c r="AN1802" s="83" t="n">
        <x:f>'Inputs'!$D$48</x:f>
        <x:v>0.3</x:v>
      </x:c>
      <x:c r="AO1802" s="81" t="n">
        <x:f>'Inputs'!$E$48</x:f>
        <x:v>0</x:v>
      </x:c>
    </x:row>
    <x:row r="1803">
      <x:c r="A1803" s="59" t="str">
        <x:v>Low participation</x:v>
      </x:c>
      <x:c r="B1803" s="59" t="n">
        <x:v>340</x:v>
      </x:c>
      <x:c r="C1803" s="78" t="n">
        <x:f>(('Inputs'!$B$29*(3*340*'Inputs'!$B$12-340^2)/(2*'Inputs'!$B$12^2))-('Inputs'!$B$29*(3*339*'Inputs'!$B$12-339^2)/(2*'Inputs'!$B$12^2)))*'Inputs'!$B$48</x:f>
        <x:v>150403.0423156321</x:v>
      </x:c>
      <x:c r="D1803" s="78" t="n">
        <x:f>IF('Inputs'!$C$48&gt;0,('Inputs'!$B$30*(3*340*'Inputs'!$B$12-340^2)/(2*'Inputs'!$B$12^2))-('Inputs'!$B$30*(3*339*'Inputs'!$B$12-339^2)/(2*'Inputs'!$B$12^2)),0)</x:f>
        <x:v>257833.78682678938</x:v>
      </x:c>
      <x:c r="E1803" s="78" t="n">
        <x:f>C1803+D1803</x:f>
        <x:v>408236.8291424215</x:v>
      </x:c>
      <x:c r="F1803" s="78" t="n">
        <x:f>'Inputs'!$B$13*E1803+(1-'Inputs'!$B$13)/'Inputs'!$B$14*SUM(E1748:E1803)</x:f>
        <x:v>413090.22565209103</x:v>
      </x:c>
      <x:c r="G1803" s="78" t="n">
        <x:f>F1803*'Inputs'!$F$48</x:f>
        <x:v>206545.11282604552</x:v>
      </x:c>
      <x:c r="H1803" s="78" t="n">
        <x:f>U1802</x:f>
        <x:v>74301925.3218103</x:v>
      </x:c>
      <x:c r="I1803" s="78" t="n">
        <x:f>V1802</x:f>
        <x:v>152.9490913972742</x:v>
      </x:c>
      <x:c r="J1803" s="79" t="n">
        <x:f>IF(H1803&gt;0,I1803/H1803,0)</x:f>
        <x:v>0.000002058480863515095</x:v>
      </x:c>
      <x:c r="K1803" s="80" t="n">
        <x:f>(H1803*J1803+I1803)*'Inputs'!$D$48*(1+'Inputs'!$G$48)^(B1803/30)</x:f>
        <x:v>91.76945483836452</x:v>
      </x:c>
      <x:c r="L1803" s="80" t="n">
        <x:f>MAX(0,K1803*'Inputs'!$E$48)</x:f>
        <x:v>0</x:v>
      </x:c>
      <x:c r="M1803" s="80" t="n">
        <x:f>MAX(0,-K1803*'Inputs'!$E$48)</x:f>
        <x:v>0</x:v>
      </x:c>
      <x:c r="N1803" s="78" t="n">
        <x:f>H1803*(L1803*(1-'Inputs'!$B$15))/(I1803+L1803*(1-'Inputs'!$B$15))</x:f>
        <x:v>0</x:v>
      </x:c>
      <x:c r="O1803" s="78" t="n">
        <x:f>H1803-N1803</x:f>
        <x:v>74301925.3218103</x:v>
      </x:c>
      <x:c r="P1803" s="78" t="n">
        <x:f>I1803+L1803*(1-'Inputs'!$B$17)</x:f>
        <x:v>152.9490913972742</x:v>
      </x:c>
      <x:c r="Q1803" s="78" t="n">
        <x:f>IF(J1803&gt;0,M1803/J1803,0)</x:f>
        <x:v>0</x:v>
      </x:c>
      <x:c r="R1803" s="78" t="n">
        <x:f>IF(B1803='Inputs'!$H$48,'Inputs'!$B$27*'Inputs'!$I$48,0)</x:f>
        <x:v>0</x:v>
      </x:c>
      <x:c r="S1803" s="78" t="n">
        <x:f>Q1803+G1803+R1803</x:f>
        <x:v>206545.11282604552</x:v>
      </x:c>
      <x:c r="T1803" s="78" t="n">
        <x:f>P1803*(S1803*(1-'Inputs'!$B$15))/(O1803+S1803*(1-'Inputs'!$B$15))</x:f>
        <x:v>0.419762280475362</x:v>
      </x:c>
      <x:c r="U1803" s="78" t="n">
        <x:f>O1803+S1803*(1-'Inputs'!$B$17)</x:f>
        <x:v>74507639.26718031</x:v>
      </x:c>
      <x:c r="V1803" s="78" t="n">
        <x:f>P1803-T1803</x:f>
        <x:v>152.52932911679883</x:v>
      </x:c>
      <x:c r="W1803" s="79" t="n">
        <x:f>IF(U1803&gt;0,V1803/U1803,0)</x:f>
        <x:v>0.0000020471636280118477</x:v>
      </x:c>
      <x:c r="X1803" s="80" t="n">
        <x:f>W1803*('Inputs'!$B$6-AC1803)</x:f>
        <x:v>2014.9700391245603</x:v>
      </x:c>
      <x:c r="Y1803" s="80" t="n">
        <x:f>2*V1803</x:f>
        <x:v>305.05865823359767</x:v>
      </x:c>
      <x:c r="Z1803" s="80" t="n">
        <x:f>K1803*'Inputs'!$B$16+(G1803+R1803)*J1803*'Inputs'!$B$16</x:f>
        <x:v>0.553167744003417</x:v>
      </x:c>
      <x:c r="AA1803" s="80" t="n">
        <x:f>K1803*(1+'Inputs'!$E$48)/2*'Inputs'!$B$17</x:f>
        <x:v>0.18464679041924453</x:v>
      </x:c>
      <x:c r="AB1803" s="78" t="n">
        <x:f>(IF(J1803&gt;0,K1803*(1-'Inputs'!$E$48)/2/J1803,0)+G1803+R1803)*'Inputs'!$B$17</x:f>
        <x:v>90531.68092301465</x:v>
      </x:c>
      <x:c r="AC1803" s="78" t="n">
        <x:f>AC1802+AB1803</x:f>
        <x:v>15725948.061393097</x:v>
      </x:c>
      <x:c r="AD1803" s="80" t="n">
        <x:f>Z1803/(1+'Inputs'!$C$48)</x:f>
        <x:v>0.44253419520273357</x:v>
      </x:c>
      <x:c r="AE1803" s="80" t="n">
        <x:f>Z1803-AD1803</x:f>
        <x:v>0.11063354880068338</x:v>
      </x:c>
      <x:c r="AF1803" s="80" t="n">
        <x:f>D1803*W1803</x:f>
        <x:v>0.5278279504643635</x:v>
      </x:c>
      <x:c r="AG1803" s="80" t="n">
        <x:f>C1803*W1803</x:f>
        <x:v>0.30789963777088886</x:v>
      </x:c>
      <x:c r="AH1803" s="80" t="n">
        <x:f>2*'Inputs'!$B$8*'Inputs'!$C$48</x:f>
        <x:v>1250</x:v>
      </x:c>
      <x:c r="AI1803" s="81" t="n">
        <x:f>IF(AH1803&gt;0,(AE1803+AF1803)/AH1803*365,0)</x:f>
        <x:v>0.18643075778539367</x:v>
      </x:c>
      <x:c r="AJ1803" s="81" t="n">
        <x:f>IF('Inputs'!$B$48&gt;0,AG1803/('Inputs'!$B$19*'Inputs'!$B$48)*365,0)</x:f>
        <x:v>0.04495334711454977</x:v>
      </x:c>
      <x:c r="AK1803" s="81" t="n">
        <x:f>W1803/MAX($W$1464:W1803)-1</x:f>
        <x:v>-0.9975925701535322</x:v>
      </x:c>
      <x:c r="AL1803" s="83" t="n">
        <x:f>'Inputs'!$B$48</x:f>
        <x:v>0.25</x:v>
      </x:c>
      <x:c r="AM1803" s="83" t="n">
        <x:f>'Inputs'!$C$48</x:f>
        <x:v>0.25</x:v>
      </x:c>
      <x:c r="AN1803" s="83" t="n">
        <x:f>'Inputs'!$D$48</x:f>
        <x:v>0.3</x:v>
      </x:c>
      <x:c r="AO1803" s="81" t="n">
        <x:f>'Inputs'!$E$48</x:f>
        <x:v>0</x:v>
      </x:c>
    </x:row>
    <x:row r="1804">
      <x:c r="A1804" s="59" t="str">
        <x:v>Low participation</x:v>
      </x:c>
      <x:c r="B1804" s="59" t="n">
        <x:v>341</x:v>
      </x:c>
      <x:c r="C1804" s="78" t="n">
        <x:f>(('Inputs'!$B$29*(3*341*'Inputs'!$B$12-341^2)/(2*'Inputs'!$B$12^2))-('Inputs'!$B$29*(3*340*'Inputs'!$B$12-340^2)/(2*'Inputs'!$B$12^2)))*'Inputs'!$B$48</x:f>
        <x:v>150321.765340589</x:v>
      </x:c>
      <x:c r="D1804" s="78" t="n">
        <x:f>IF('Inputs'!$C$48&gt;0,('Inputs'!$B$30*(3*341*'Inputs'!$B$12-341^2)/(2*'Inputs'!$B$12^2))-('Inputs'!$B$30*(3*340*'Inputs'!$B$12-340^2)/(2*'Inputs'!$B$12^2)),0)</x:f>
        <x:v>257694.45486958325</x:v>
      </x:c>
      <x:c r="E1804" s="78" t="n">
        <x:f>C1804+D1804</x:f>
        <x:v>408016.22021017224</x:v>
      </x:c>
      <x:c r="F1804" s="78" t="n">
        <x:f>'Inputs'!$B$13*E1804+(1-'Inputs'!$B$13)/'Inputs'!$B$14*SUM(E1749:E1804)</x:f>
        <x:v>412869.61671983515</x:v>
      </x:c>
      <x:c r="G1804" s="78" t="n">
        <x:f>F1804*'Inputs'!$F$48</x:f>
        <x:v>206434.80835991757</x:v>
      </x:c>
      <x:c r="H1804" s="78" t="n">
        <x:f>U1803</x:f>
        <x:v>74507639.26718031</x:v>
      </x:c>
      <x:c r="I1804" s="78" t="n">
        <x:f>V1803</x:f>
        <x:v>152.52932911679883</x:v>
      </x:c>
      <x:c r="J1804" s="79" t="n">
        <x:f>IF(H1804&gt;0,I1804/H1804,0)</x:f>
        <x:v>0.0000020471636280118477</x:v>
      </x:c>
      <x:c r="K1804" s="80" t="n">
        <x:f>(H1804*J1804+I1804)*'Inputs'!$D$48*(1+'Inputs'!$G$48)^(B1804/30)</x:f>
        <x:v>91.5175974700793</x:v>
      </x:c>
      <x:c r="L1804" s="80" t="n">
        <x:f>MAX(0,K1804*'Inputs'!$E$48)</x:f>
        <x:v>0</x:v>
      </x:c>
      <x:c r="M1804" s="80" t="n">
        <x:f>MAX(0,-K1804*'Inputs'!$E$48)</x:f>
        <x:v>0</x:v>
      </x:c>
      <x:c r="N1804" s="78" t="n">
        <x:f>H1804*(L1804*(1-'Inputs'!$B$15))/(I1804+L1804*(1-'Inputs'!$B$15))</x:f>
        <x:v>0</x:v>
      </x:c>
      <x:c r="O1804" s="78" t="n">
        <x:f>H1804-N1804</x:f>
        <x:v>74507639.26718031</x:v>
      </x:c>
      <x:c r="P1804" s="78" t="n">
        <x:f>I1804+L1804*(1-'Inputs'!$B$17)</x:f>
        <x:v>152.52932911679883</x:v>
      </x:c>
      <x:c r="Q1804" s="78" t="n">
        <x:f>IF(J1804&gt;0,M1804/J1804,0)</x:f>
        <x:v>0</x:v>
      </x:c>
      <x:c r="R1804" s="78" t="n">
        <x:f>IF(B1804='Inputs'!$H$48,'Inputs'!$B$27*'Inputs'!$I$48,0)</x:f>
        <x:v>0</x:v>
      </x:c>
      <x:c r="S1804" s="78" t="n">
        <x:f>Q1804+G1804+R1804</x:f>
        <x:v>206434.80835991757</x:v>
      </x:c>
      <x:c r="T1804" s="78" t="n">
        <x:f>P1804*(S1804*(1-'Inputs'!$B$15))/(O1804+S1804*(1-'Inputs'!$B$15))</x:f>
        <x:v>0.41723531880554343</x:v>
      </x:c>
      <x:c r="U1804" s="78" t="n">
        <x:f>O1804+S1804*(1-'Inputs'!$B$17)</x:f>
        <x:v>74713243.35196534</x:v>
      </x:c>
      <x:c r="V1804" s="78" t="n">
        <x:f>P1804-T1804</x:f>
        <x:v>152.11209379799328</x:v>
      </x:c>
      <x:c r="W1804" s="79" t="n">
        <x:f>IF(U1804&gt;0,V1804/U1804,0)</x:f>
        <x:v>0.0000020359455295149085</x:v>
      </x:c>
      <x:c r="X1804" s="80" t="n">
        <x:f>W1804*('Inputs'!$B$6-AC1804)</x:f>
        <x:v>2003.7435335740063</x:v>
      </x:c>
      <x:c r="Y1804" s="80" t="n">
        <x:f>2*V1804</x:f>
        <x:v>304.22418759598656</x:v>
      </x:c>
      <x:c r="Z1804" s="80" t="n">
        <x:f>K1804*'Inputs'!$B$16+(G1804+R1804)*J1804*'Inputs'!$B$16</x:f>
        <x:v>0.5516412198078559</x:v>
      </x:c>
      <x:c r="AA1804" s="80" t="n">
        <x:f>K1804*(1+'Inputs'!$E$48)/2*'Inputs'!$B$17</x:f>
        <x:v>0.184140035151065</x:v>
      </x:c>
      <x:c r="AB1804" s="78" t="n">
        <x:f>(IF(J1804&gt;0,K1804*(1-'Inputs'!$E$48)/2/J1804,0)+G1804+R1804)*'Inputs'!$B$17</x:f>
        <x:v>90779.58385719924</x:v>
      </x:c>
      <x:c r="AC1804" s="78" t="n">
        <x:f>AC1803+AB1804</x:f>
        <x:v>15816727.645250296</x:v>
      </x:c>
      <x:c r="AD1804" s="80" t="n">
        <x:f>Z1804/(1+'Inputs'!$C$48)</x:f>
        <x:v>0.4413129758462847</x:v>
      </x:c>
      <x:c r="AE1804" s="80" t="n">
        <x:f>Z1804-AD1804</x:f>
        <x:v>0.11032824396157115</x:v>
      </x:c>
      <x:c r="AF1804" s="80" t="n">
        <x:f>D1804*W1804</x:f>
        <x:v>0.5246518733725094</x:v>
      </x:c>
      <x:c r="AG1804" s="80" t="n">
        <x:f>C1804*W1804</x:f>
        <x:v>0.3060469261339613</x:v>
      </x:c>
      <x:c r="AH1804" s="80" t="n">
        <x:f>2*'Inputs'!$B$8*'Inputs'!$C$48</x:f>
        <x:v>1250</x:v>
      </x:c>
      <x:c r="AI1804" s="81" t="n">
        <x:f>IF(AH1804&gt;0,(AE1804+AF1804)/AH1804*365,0)</x:f>
        <x:v>0.1854141942615515</x:v>
      </x:c>
      <x:c r="AJ1804" s="81" t="n">
        <x:f>IF('Inputs'!$B$48&gt;0,AG1804/('Inputs'!$B$19*'Inputs'!$B$48)*365,0)</x:f>
        <x:v>0.044682851215558345</x:v>
      </x:c>
      <x:c r="AK1804" s="81" t="n">
        <x:f>W1804/MAX($W$1464:W1804)-1</x:f>
        <x:v>-0.9976057624478718</x:v>
      </x:c>
      <x:c r="AL1804" s="83" t="n">
        <x:f>'Inputs'!$B$48</x:f>
        <x:v>0.25</x:v>
      </x:c>
      <x:c r="AM1804" s="83" t="n">
        <x:f>'Inputs'!$C$48</x:f>
        <x:v>0.25</x:v>
      </x:c>
      <x:c r="AN1804" s="83" t="n">
        <x:f>'Inputs'!$D$48</x:f>
        <x:v>0.3</x:v>
      </x:c>
      <x:c r="AO1804" s="81" t="n">
        <x:f>'Inputs'!$E$48</x:f>
        <x:v>0</x:v>
      </x:c>
    </x:row>
    <x:row r="1805">
      <x:c r="A1805" s="59" t="str">
        <x:v>Low participation</x:v>
      </x:c>
      <x:c r="B1805" s="59" t="n">
        <x:v>342</x:v>
      </x:c>
      <x:c r="C1805" s="78" t="n">
        <x:f>(('Inputs'!$B$29*(3*342*'Inputs'!$B$12-342^2)/(2*'Inputs'!$B$12^2))-('Inputs'!$B$29*(3*341*'Inputs'!$B$12-341^2)/(2*'Inputs'!$B$12^2)))*'Inputs'!$B$48</x:f>
        <x:v>150240.48836554587</x:v>
      </x:c>
      <x:c r="D1805" s="78" t="n">
        <x:f>IF('Inputs'!$C$48&gt;0,('Inputs'!$B$30*(3*342*'Inputs'!$B$12-342^2)/(2*'Inputs'!$B$12^2))-('Inputs'!$B$30*(3*341*'Inputs'!$B$12-341^2)/(2*'Inputs'!$B$12^2)),0)</x:f>
        <x:v>257555.12291236222</x:v>
      </x:c>
      <x:c r="E1805" s="78" t="n">
        <x:f>C1805+D1805</x:f>
        <x:v>407795.6112779081</x:v>
      </x:c>
      <x:c r="F1805" s="78" t="n">
        <x:f>'Inputs'!$B$13*E1805+(1-'Inputs'!$B$13)/'Inputs'!$B$14*SUM(E1750:E1805)</x:f>
        <x:v>412649.00778757624</x:v>
      </x:c>
      <x:c r="G1805" s="78" t="n">
        <x:f>F1805*'Inputs'!$F$48</x:f>
        <x:v>206324.50389378812</x:v>
      </x:c>
      <x:c r="H1805" s="78" t="n">
        <x:f>U1804</x:f>
        <x:v>74713243.35196534</x:v>
      </x:c>
      <x:c r="I1805" s="78" t="n">
        <x:f>V1804</x:f>
        <x:v>152.11209379799328</x:v>
      </x:c>
      <x:c r="J1805" s="79" t="n">
        <x:f>IF(H1805&gt;0,I1805/H1805,0)</x:f>
        <x:v>0.0000020359455295149085</x:v>
      </x:c>
      <x:c r="K1805" s="80" t="n">
        <x:f>(H1805*J1805+I1805)*'Inputs'!$D$48*(1+'Inputs'!$G$48)^(B1805/30)</x:f>
        <x:v>91.26725627879597</x:v>
      </x:c>
      <x:c r="L1805" s="80" t="n">
        <x:f>MAX(0,K1805*'Inputs'!$E$48)</x:f>
        <x:v>0</x:v>
      </x:c>
      <x:c r="M1805" s="80" t="n">
        <x:f>MAX(0,-K1805*'Inputs'!$E$48)</x:f>
        <x:v>0</x:v>
      </x:c>
      <x:c r="N1805" s="78" t="n">
        <x:f>H1805*(L1805*(1-'Inputs'!$B$15))/(I1805+L1805*(1-'Inputs'!$B$15))</x:f>
        <x:v>0</x:v>
      </x:c>
      <x:c r="O1805" s="78" t="n">
        <x:f>H1805-N1805</x:f>
        <x:v>74713243.35196534</x:v>
      </x:c>
      <x:c r="P1805" s="78" t="n">
        <x:f>I1805+L1805*(1-'Inputs'!$B$17)</x:f>
        <x:v>152.11209379799328</x:v>
      </x:c>
      <x:c r="Q1805" s="78" t="n">
        <x:f>IF(J1805&gt;0,M1805/J1805,0)</x:f>
        <x:v>0</x:v>
      </x:c>
      <x:c r="R1805" s="78" t="n">
        <x:f>IF(B1805='Inputs'!$H$48,'Inputs'!$B$27*'Inputs'!$I$48,0)</x:f>
        <x:v>0</x:v>
      </x:c>
      <x:c r="S1805" s="78" t="n">
        <x:f>Q1805+G1805+R1805</x:f>
        <x:v>206324.50389378812</x:v>
      </x:c>
      <x:c r="T1805" s="78" t="n">
        <x:f>P1805*(S1805*(1-'Inputs'!$B$15))/(O1805+S1805*(1-'Inputs'!$B$15))</x:f>
        <x:v>0.41473094876331074</x:v>
      </x:c>
      <x:c r="U1805" s="78" t="n">
        <x:f>O1805+S1805*(1-'Inputs'!$B$17)</x:f>
        <x:v>74918737.5761654</x:v>
      </x:c>
      <x:c r="V1805" s="78" t="n">
        <x:f>P1805-T1805</x:f>
        <x:v>151.69736284922996</x:v>
      </x:c>
      <x:c r="W1805" s="79" t="n">
        <x:f>IF(U1805&gt;0,V1805/U1805,0)</x:f>
        <x:v>0.00000202482540092201</x:v>
      </x:c>
      <x:c r="X1805" s="80" t="n">
        <x:f>W1805*('Inputs'!$B$6-AC1805)</x:f>
        <x:v>1992.614974527554</x:v>
      </x:c>
      <x:c r="Y1805" s="80" t="n">
        <x:f>2*V1805</x:f>
        <x:v>303.3947256984599</x:v>
      </x:c>
      <x:c r="Z1805" s="80" t="n">
        <x:f>K1805*'Inputs'!$B$16+(G1805+R1805)*J1805*'Inputs'!$B$16</x:f>
        <x:v>0.5501239303807675</x:v>
      </x:c>
      <x:c r="AA1805" s="80" t="n">
        <x:f>K1805*(1+'Inputs'!$E$48)/2*'Inputs'!$B$17</x:f>
        <x:v>0.18363633054083697</x:v>
      </x:c>
      <x:c r="AB1805" s="78" t="n">
        <x:f>(IF(J1805&gt;0,K1805*(1-'Inputs'!$E$48)/2/J1805,0)+G1805+R1805)*'Inputs'!$B$17</x:f>
        <x:v>91027.35416291103</x:v>
      </x:c>
      <x:c r="AC1805" s="78" t="n">
        <x:f>AC1804+AB1805</x:f>
        <x:v>15907754.999413207</x:v>
      </x:c>
      <x:c r="AD1805" s="80" t="n">
        <x:f>Z1805/(1+'Inputs'!$C$48)</x:f>
        <x:v>0.44009914430461394</x:v>
      </x:c>
      <x:c r="AE1805" s="80" t="n">
        <x:f>Z1805-AD1805</x:f>
        <x:v>0.11002478607615351</x:v>
      </x:c>
      <x:c r="AF1805" s="80" t="n">
        <x:f>D1805*W1805</x:f>
        <x:v>0.5215041550105414</x:v>
      </x:c>
      <x:c r="AG1805" s="80" t="n">
        <x:f>C1805*W1805</x:f>
        <x:v>0.30421075708948503</x:v>
      </x:c>
      <x:c r="AH1805" s="80" t="n">
        <x:f>2*'Inputs'!$B$8*'Inputs'!$C$48</x:f>
        <x:v>1250</x:v>
      </x:c>
      <x:c r="AI1805" s="81" t="n">
        <x:f>IF(AH1805&gt;0,(AE1805+AF1805)/AH1805*365,0)</x:f>
        <x:v>0.1844064507973149</x:v>
      </x:c>
      <x:c r="AJ1805" s="81" t="n">
        <x:f>IF('Inputs'!$B$48&gt;0,AG1805/('Inputs'!$B$19*'Inputs'!$B$48)*365,0)</x:f>
        <x:v>0.04441477053506481</x:v>
      </x:c>
      <x:c r="AK1805" s="81" t="n">
        <x:f>W1805/MAX($W$1464:W1805)-1</x:f>
        <x:v>-0.9976188395312592</x:v>
      </x:c>
      <x:c r="AL1805" s="83" t="n">
        <x:f>'Inputs'!$B$48</x:f>
        <x:v>0.25</x:v>
      </x:c>
      <x:c r="AM1805" s="83" t="n">
        <x:f>'Inputs'!$C$48</x:f>
        <x:v>0.25</x:v>
      </x:c>
      <x:c r="AN1805" s="83" t="n">
        <x:f>'Inputs'!$D$48</x:f>
        <x:v>0.3</x:v>
      </x:c>
      <x:c r="AO1805" s="81" t="n">
        <x:f>'Inputs'!$E$48</x:f>
        <x:v>0</x:v>
      </x:c>
    </x:row>
    <x:row r="1806">
      <x:c r="A1806" s="59" t="str">
        <x:v>Low participation</x:v>
      </x:c>
      <x:c r="B1806" s="59" t="n">
        <x:v>343</x:v>
      </x:c>
      <x:c r="C1806" s="78" t="n">
        <x:f>(('Inputs'!$B$29*(3*343*'Inputs'!$B$12-343^2)/(2*'Inputs'!$B$12^2))-('Inputs'!$B$29*(3*342*'Inputs'!$B$12-342^2)/(2*'Inputs'!$B$12^2)))*'Inputs'!$B$48</x:f>
        <x:v>150159.2113905102</x:v>
      </x:c>
      <x:c r="D1806" s="78" t="n">
        <x:f>IF('Inputs'!$C$48&gt;0,('Inputs'!$B$30*(3*343*'Inputs'!$B$12-343^2)/(2*'Inputs'!$B$12^2))-('Inputs'!$B$30*(3*342*'Inputs'!$B$12-342^2)/(2*'Inputs'!$B$12^2)),0)</x:f>
        <x:v>257415.7909551561</x:v>
      </x:c>
      <x:c r="E1806" s="78" t="n">
        <x:f>C1806+D1806</x:f>
        <x:v>407575.0023456663</x:v>
      </x:c>
      <x:c r="F1806" s="78" t="n">
        <x:f>'Inputs'!$B$13*E1806+(1-'Inputs'!$B$13)/'Inputs'!$B$14*SUM(E1751:E1806)</x:f>
        <x:v>412428.398855322</x:v>
      </x:c>
      <x:c r="G1806" s="78" t="n">
        <x:f>F1806*'Inputs'!$F$48</x:f>
        <x:v>206214.199427661</x:v>
      </x:c>
      <x:c r="H1806" s="78" t="n">
        <x:f>U1805</x:f>
        <x:v>74918737.5761654</x:v>
      </x:c>
      <x:c r="I1806" s="78" t="n">
        <x:f>V1805</x:f>
        <x:v>151.69736284922996</x:v>
      </x:c>
      <x:c r="J1806" s="79" t="n">
        <x:f>IF(H1806&gt;0,I1806/H1806,0)</x:f>
        <x:v>0.00000202482540092201</x:v>
      </x:c>
      <x:c r="K1806" s="80" t="n">
        <x:f>(H1806*J1806+I1806)*'Inputs'!$D$48*(1+'Inputs'!$G$48)^(B1806/30)</x:f>
        <x:v>91.01841770953797</x:v>
      </x:c>
      <x:c r="L1806" s="80" t="n">
        <x:f>MAX(0,K1806*'Inputs'!$E$48)</x:f>
        <x:v>0</x:v>
      </x:c>
      <x:c r="M1806" s="80" t="n">
        <x:f>MAX(0,-K1806*'Inputs'!$E$48)</x:f>
        <x:v>0</x:v>
      </x:c>
      <x:c r="N1806" s="78" t="n">
        <x:f>H1806*(L1806*(1-'Inputs'!$B$15))/(I1806+L1806*(1-'Inputs'!$B$15))</x:f>
        <x:v>0</x:v>
      </x:c>
      <x:c r="O1806" s="78" t="n">
        <x:f>H1806-N1806</x:f>
        <x:v>74918737.5761654</x:v>
      </x:c>
      <x:c r="P1806" s="78" t="n">
        <x:f>I1806+L1806*(1-'Inputs'!$B$17)</x:f>
        <x:v>151.69736284922996</x:v>
      </x:c>
      <x:c r="Q1806" s="78" t="n">
        <x:f>IF(J1806&gt;0,M1806/J1806,0)</x:f>
        <x:v>0</x:v>
      </x:c>
      <x:c r="R1806" s="78" t="n">
        <x:f>IF(B1806='Inputs'!$H$48,'Inputs'!$B$27*'Inputs'!$I$48,0)</x:f>
        <x:v>0</x:v>
      </x:c>
      <x:c r="S1806" s="78" t="n">
        <x:f>Q1806+G1806+R1806</x:f>
        <x:v>206214.199427661</x:v>
      </x:c>
      <x:c r="T1806" s="78" t="n">
        <x:f>P1806*(S1806*(1-'Inputs'!$B$15))/(O1806+S1806*(1-'Inputs'!$B$15))</x:f>
        <x:v>0.4122489015523424</x:v>
      </x:c>
      <x:c r="U1806" s="78" t="n">
        <x:f>O1806+S1806*(1-'Inputs'!$B$17)</x:f>
        <x:v>75124121.93978047</x:v>
      </x:c>
      <x:c r="V1806" s="78" t="n">
        <x:f>P1806-T1806</x:f>
        <x:v>151.28511394767762</x:v>
      </x:c>
      <x:c r="W1806" s="79" t="n">
        <x:f>IF(U1806&gt;0,V1806/U1806,0)</x:f>
        <x:v>0.0000020138020923418956</x:v>
      </x:c>
      <x:c r="X1806" s="80" t="n">
        <x:f>W1806*('Inputs'!$B$6-AC1806)</x:f>
        <x:v>1981.5832122700688</x:v>
      </x:c>
      <x:c r="Y1806" s="80" t="n">
        <x:f>2*V1806</x:f>
        <x:v>302.57022789535523</x:v>
      </x:c>
      <x:c r="Z1806" s="80" t="n">
        <x:f>K1806*'Inputs'!$B$16+(G1806+R1806)*J1806*'Inputs'!$B$16</x:f>
        <x:v>0.5486157927514194</x:v>
      </x:c>
      <x:c r="AA1806" s="80" t="n">
        <x:f>K1806*(1+'Inputs'!$E$48)/2*'Inputs'!$B$17</x:f>
        <x:v>0.18313564931496576</x:v>
      </x:c>
      <x:c r="AB1806" s="78" t="n">
        <x:f>(IF(J1806&gt;0,K1806*(1-'Inputs'!$E$48)/2/J1806,0)+G1806+R1806)*'Inputs'!$B$17</x:f>
        <x:v>91274.99184015003</x:v>
      </x:c>
      <x:c r="AC1806" s="78" t="n">
        <x:f>AC1805+AB1806</x:f>
        <x:v>15999029.991253357</x:v>
      </x:c>
      <x:c r="AD1806" s="80" t="n">
        <x:f>Z1806/(1+'Inputs'!$C$48)</x:f>
        <x:v>0.4388926342011355</x:v>
      </x:c>
      <x:c r="AE1806" s="80" t="n">
        <x:f>Z1806-AD1806</x:f>
        <x:v>0.10972315855028386</x:v>
      </x:c>
      <x:c r="AF1806" s="80" t="n">
        <x:f>D1806*W1806</x:f>
        <x:v>0.5183844584273374</x:v>
      </x:c>
      <x:c r="AG1806" s="80" t="n">
        <x:f>C1806*W1806</x:f>
        <x:v>0.30239093408261847</x:v>
      </x:c>
      <x:c r="AH1806" s="80" t="n">
        <x:f>2*'Inputs'!$B$8*'Inputs'!$C$48</x:f>
        <x:v>1250</x:v>
      </x:c>
      <x:c r="AI1806" s="81" t="n">
        <x:f>IF(AH1806&gt;0,(AE1806+AF1806)/AH1806*365,0)</x:f>
        <x:v>0.1834074241574654</x:v>
      </x:c>
      <x:c r="AJ1806" s="81" t="n">
        <x:f>IF('Inputs'!$B$48&gt;0,AG1806/('Inputs'!$B$19*'Inputs'!$B$48)*365,0)</x:f>
        <x:v>0.044149076376062295</x:v>
      </x:c>
      <x:c r="AK1806" s="81" t="n">
        <x:f>W1806/MAX($W$1464:W1806)-1</x:f>
        <x:v>-0.997631802755947</x:v>
      </x:c>
      <x:c r="AL1806" s="83" t="n">
        <x:f>'Inputs'!$B$48</x:f>
        <x:v>0.25</x:v>
      </x:c>
      <x:c r="AM1806" s="83" t="n">
        <x:f>'Inputs'!$C$48</x:f>
        <x:v>0.25</x:v>
      </x:c>
      <x:c r="AN1806" s="83" t="n">
        <x:f>'Inputs'!$D$48</x:f>
        <x:v>0.3</x:v>
      </x:c>
      <x:c r="AO1806" s="81" t="n">
        <x:f>'Inputs'!$E$48</x:f>
        <x:v>0</x:v>
      </x:c>
    </x:row>
    <x:row r="1807">
      <x:c r="A1807" s="59" t="str">
        <x:v>Low participation</x:v>
      </x:c>
      <x:c r="B1807" s="59" t="n">
        <x:v>344</x:v>
      </x:c>
      <x:c r="C1807" s="78" t="n">
        <x:f>(('Inputs'!$B$29*(3*344*'Inputs'!$B$12-344^2)/(2*'Inputs'!$B$12^2))-('Inputs'!$B$29*(3*343*'Inputs'!$B$12-343^2)/(2*'Inputs'!$B$12^2)))*'Inputs'!$B$48</x:f>
        <x:v>150077.93441545963</x:v>
      </x:c>
      <x:c r="D1807" s="78" t="n">
        <x:f>IF('Inputs'!$C$48&gt;0,('Inputs'!$B$30*(3*344*'Inputs'!$B$12-344^2)/(2*'Inputs'!$B$12^2))-('Inputs'!$B$30*(3*343*'Inputs'!$B$12-343^2)/(2*'Inputs'!$B$12^2)),0)</x:f>
        <x:v>257276.45899793506</x:v>
      </x:c>
      <x:c r="E1807" s="78" t="n">
        <x:f>C1807+D1807</x:f>
        <x:v>407354.3934133947</x:v>
      </x:c>
      <x:c r="F1807" s="78" t="n">
        <x:f>'Inputs'!$B$13*E1807+(1-'Inputs'!$B$13)/'Inputs'!$B$14*SUM(E1752:E1807)</x:f>
        <x:v>412207.78992306173</x:v>
      </x:c>
      <x:c r="G1807" s="78" t="n">
        <x:f>F1807*'Inputs'!$F$48</x:f>
        <x:v>206103.89496153087</x:v>
      </x:c>
      <x:c r="H1807" s="78" t="n">
        <x:f>U1806</x:f>
        <x:v>75124121.93978047</x:v>
      </x:c>
      <x:c r="I1807" s="78" t="n">
        <x:f>V1806</x:f>
        <x:v>151.28511394767762</x:v>
      </x:c>
      <x:c r="J1807" s="79" t="n">
        <x:f>IF(H1807&gt;0,I1807/H1807,0)</x:f>
        <x:v>0.0000020138020923418956</x:v>
      </x:c>
      <x:c r="K1807" s="80" t="n">
        <x:f>(H1807*J1807+I1807)*'Inputs'!$D$48*(1+'Inputs'!$G$48)^(B1807/30)</x:f>
        <x:v>90.77106836860656</x:v>
      </x:c>
      <x:c r="L1807" s="80" t="n">
        <x:f>MAX(0,K1807*'Inputs'!$E$48)</x:f>
        <x:v>0</x:v>
      </x:c>
      <x:c r="M1807" s="80" t="n">
        <x:f>MAX(0,-K1807*'Inputs'!$E$48)</x:f>
        <x:v>0</x:v>
      </x:c>
      <x:c r="N1807" s="78" t="n">
        <x:f>H1807*(L1807*(1-'Inputs'!$B$15))/(I1807+L1807*(1-'Inputs'!$B$15))</x:f>
        <x:v>0</x:v>
      </x:c>
      <x:c r="O1807" s="78" t="n">
        <x:f>H1807-N1807</x:f>
        <x:v>75124121.93978047</x:v>
      </x:c>
      <x:c r="P1807" s="78" t="n">
        <x:f>I1807+L1807*(1-'Inputs'!$B$17)</x:f>
        <x:v>151.28511394767762</x:v>
      </x:c>
      <x:c r="Q1807" s="78" t="n">
        <x:f>IF(J1807&gt;0,M1807/J1807,0)</x:f>
        <x:v>0</x:v>
      </x:c>
      <x:c r="R1807" s="78" t="n">
        <x:f>IF(B1807='Inputs'!$H$48,'Inputs'!$B$27*'Inputs'!$I$48,0)</x:f>
        <x:v>0</x:v>
      </x:c>
      <x:c r="S1807" s="78" t="n">
        <x:f>Q1807+G1807+R1807</x:f>
        <x:v>206103.89496153087</x:v>
      </x:c>
      <x:c r="T1807" s="78" t="n">
        <x:f>P1807*(S1807*(1-'Inputs'!$B$15))/(O1807+S1807*(1-'Inputs'!$B$15))</x:f>
        <x:v>0.4097889123630482</x:v>
      </x:c>
      <x:c r="U1807" s="78" t="n">
        <x:f>O1807+S1807*(1-'Inputs'!$B$17)</x:f>
        <x:v>75329396.44281057</x:v>
      </x:c>
      <x:c r="V1807" s="78" t="n">
        <x:f>P1807-T1807</x:f>
        <x:v>150.87532503531457</x:v>
      </x:c>
      <x:c r="W1807" s="79" t="n">
        <x:f>IF(U1807&gt;0,V1807/U1807,0)</x:f>
        <x:v>0.0000020028744707898708</x:v>
      </x:c>
      <x:c r="X1807" s="80" t="n">
        <x:f>W1807*('Inputs'!$B$6-AC1807)</x:f>
        <x:v>1970.6471139904663</x:v>
      </x:c>
      <x:c r="Y1807" s="80" t="n">
        <x:f>2*V1807</x:f>
        <x:v>301.75065007062915</x:v>
      </x:c>
      <x:c r="Z1807" s="80" t="n">
        <x:f>K1807*'Inputs'!$B$16+(G1807+R1807)*J1807*'Inputs'!$B$16</x:f>
        <x:v>0.5471167249411194</x:v>
      </x:c>
      <x:c r="AA1807" s="80" t="n">
        <x:f>K1807*(1+'Inputs'!$E$48)/2*'Inputs'!$B$17</x:f>
        <x:v>0.1826379645243593</x:v>
      </x:c>
      <x:c r="AB1807" s="78" t="n">
        <x:f>(IF(J1807&gt;0,K1807*(1-'Inputs'!$E$48)/2/J1807,0)+G1807+R1807)*'Inputs'!$B$17</x:f>
        <x:v>91522.4968889162</x:v>
      </x:c>
      <x:c r="AC1807" s="78" t="n">
        <x:f>AC1806+AB1807</x:f>
        <x:v>16090552.488142274</x:v>
      </x:c>
      <x:c r="AD1807" s="80" t="n">
        <x:f>Z1807/(1+'Inputs'!$C$48)</x:f>
        <x:v>0.43769337995289553</x:v>
      </x:c>
      <x:c r="AE1807" s="80" t="n">
        <x:f>Z1807-AD1807</x:f>
        <x:v>0.10942334498822387</x:v>
      </x:c>
      <x:c r="AF1807" s="80" t="n">
        <x:f>D1807*W1807</x:f>
        <x:v>0.5152924516621811</x:v>
      </x:c>
      <x:c r="AG1807" s="80" t="n">
        <x:f>C1807*W1807</x:f>
        <x:v>0.30058726346960063</x:v>
      </x:c>
      <x:c r="AH1807" s="80" t="n">
        <x:f>2*'Inputs'!$B$8*'Inputs'!$C$48</x:f>
        <x:v>1250</x:v>
      </x:c>
      <x:c r="AI1807" s="81" t="n">
        <x:f>IF(AH1807&gt;0,(AE1807+AF1807)/AH1807*365,0)</x:f>
        <x:v>0.18241701262191823</x:v>
      </x:c>
      <x:c r="AJ1807" s="81" t="n">
        <x:f>IF('Inputs'!$B$48&gt;0,AG1807/('Inputs'!$B$19*'Inputs'!$B$48)*365,0)</x:f>
        <x:v>0.04388574046656169</x:v>
      </x:c>
      <x:c r="AK1807" s="81" t="n">
        <x:f>W1807/MAX($W$1464:W1807)-1</x:f>
        <x:v>-0.997644653454306</x:v>
      </x:c>
      <x:c r="AL1807" s="83" t="n">
        <x:f>'Inputs'!$B$48</x:f>
        <x:v>0.25</x:v>
      </x:c>
      <x:c r="AM1807" s="83" t="n">
        <x:f>'Inputs'!$C$48</x:f>
        <x:v>0.25</x:v>
      </x:c>
      <x:c r="AN1807" s="83" t="n">
        <x:f>'Inputs'!$D$48</x:f>
        <x:v>0.3</x:v>
      </x:c>
      <x:c r="AO1807" s="81" t="n">
        <x:f>'Inputs'!$E$48</x:f>
        <x:v>0</x:v>
      </x:c>
    </x:row>
    <x:row r="1808">
      <x:c r="A1808" s="59" t="str">
        <x:v>Low participation</x:v>
      </x:c>
      <x:c r="B1808" s="59" t="n">
        <x:v>345</x:v>
      </x:c>
      <x:c r="C1808" s="78" t="n">
        <x:f>(('Inputs'!$B$29*(3*345*'Inputs'!$B$12-345^2)/(2*'Inputs'!$B$12^2))-('Inputs'!$B$29*(3*344*'Inputs'!$B$12-344^2)/(2*'Inputs'!$B$12^2)))*'Inputs'!$B$48</x:f>
        <x:v>149996.65744041651</x:v>
      </x:c>
      <x:c r="D1808" s="78" t="n">
        <x:f>IF('Inputs'!$C$48&gt;0,('Inputs'!$B$30*(3*345*'Inputs'!$B$12-345^2)/(2*'Inputs'!$B$12^2))-('Inputs'!$B$30*(3*344*'Inputs'!$B$12-344^2)/(2*'Inputs'!$B$12^2)),0)</x:f>
        <x:v>257137.12704072893</x:v>
      </x:c>
      <x:c r="E1808" s="78" t="n">
        <x:f>C1808+D1808</x:f>
        <x:v>407133.78448114544</x:v>
      </x:c>
      <x:c r="F1808" s="78" t="n">
        <x:f>'Inputs'!$B$13*E1808+(1-'Inputs'!$B$13)/'Inputs'!$B$14*SUM(E1753:E1808)</x:f>
        <x:v>411987.18099080597</x:v>
      </x:c>
      <x:c r="G1808" s="78" t="n">
        <x:f>F1808*'Inputs'!$F$48</x:f>
        <x:v>205993.59049540298</x:v>
      </x:c>
      <x:c r="H1808" s="78" t="n">
        <x:f>U1807</x:f>
        <x:v>75329396.44281057</x:v>
      </x:c>
      <x:c r="I1808" s="78" t="n">
        <x:f>V1807</x:f>
        <x:v>150.87532503531457</x:v>
      </x:c>
      <x:c r="J1808" s="79" t="n">
        <x:f>IF(H1808&gt;0,I1808/H1808,0)</x:f>
        <x:v>0.0000020028744707898708</x:v>
      </x:c>
      <x:c r="K1808" s="80" t="n">
        <x:f>(H1808*J1808+I1808)*'Inputs'!$D$48*(1+'Inputs'!$G$48)^(B1808/30)</x:f>
        <x:v>90.52519502118874</x:v>
      </x:c>
      <x:c r="L1808" s="80" t="n">
        <x:f>MAX(0,K1808*'Inputs'!$E$48)</x:f>
        <x:v>0</x:v>
      </x:c>
      <x:c r="M1808" s="80" t="n">
        <x:f>MAX(0,-K1808*'Inputs'!$E$48)</x:f>
        <x:v>0</x:v>
      </x:c>
      <x:c r="N1808" s="78" t="n">
        <x:f>H1808*(L1808*(1-'Inputs'!$B$15))/(I1808+L1808*(1-'Inputs'!$B$15))</x:f>
        <x:v>0</x:v>
      </x:c>
      <x:c r="O1808" s="78" t="n">
        <x:f>H1808-N1808</x:f>
        <x:v>75329396.44281057</x:v>
      </x:c>
      <x:c r="P1808" s="78" t="n">
        <x:f>I1808+L1808*(1-'Inputs'!$B$17)</x:f>
        <x:v>150.87532503531457</x:v>
      </x:c>
      <x:c r="Q1808" s="78" t="n">
        <x:f>IF(J1808&gt;0,M1808/J1808,0)</x:f>
        <x:v>0</x:v>
      </x:c>
      <x:c r="R1808" s="78" t="n">
        <x:f>IF(B1808='Inputs'!$H$48,'Inputs'!$B$27*'Inputs'!$I$48,0)</x:f>
        <x:v>0</x:v>
      </x:c>
      <x:c r="S1808" s="78" t="n">
        <x:f>Q1808+G1808+R1808</x:f>
        <x:v>205993.59049540298</x:v>
      </x:c>
      <x:c r="T1808" s="78" t="n">
        <x:f>P1808*(S1808*(1-'Inputs'!$B$15))/(O1808+S1808*(1-'Inputs'!$B$15))</x:f>
        <x:v>0.407350720301848</x:v>
      </x:c>
      <x:c r="U1808" s="78" t="n">
        <x:f>O1808+S1808*(1-'Inputs'!$B$17)</x:f>
        <x:v>75534561.08525568</x:v>
      </x:c>
      <x:c r="V1808" s="78" t="n">
        <x:f>P1808-T1808</x:f>
        <x:v>150.46797431501273</x:v>
      </x:c>
      <x:c r="W1808" s="79" t="n">
        <x:f>IF(U1808&gt;0,V1808/U1808,0)</x:f>
        <x:v>0.00000199204141988963</x:v>
      </x:c>
      <x:c r="X1808" s="80" t="n">
        <x:f>W1808*('Inputs'!$B$6-AC1808)</x:f>
        <x:v>1959.8055634835807</x:v>
      </x:c>
      <x:c r="Y1808" s="80" t="n">
        <x:f>2*V1808</x:f>
        <x:v>300.93594863002545</x:v>
      </x:c>
      <x:c r="Z1808" s="80" t="n">
        <x:f>K1808*'Inputs'!$B$16+(G1808+R1808)*J1808*'Inputs'!$B$16</x:f>
        <x:v>0.5456266459484299</x:v>
      </x:c>
      <x:c r="AA1808" s="80" t="n">
        <x:f>K1808*(1+'Inputs'!$E$48)/2*'Inputs'!$B$17</x:f>
        <x:v>0.18214324953961517</x:v>
      </x:c>
      <x:c r="AB1808" s="78" t="n">
        <x:f>(IF(J1808&gt;0,K1808*(1-'Inputs'!$E$48)/2/J1808,0)+G1808+R1808)*'Inputs'!$B$17</x:f>
        <x:v>91769.86930920955</x:v>
      </x:c>
      <x:c r="AC1808" s="78" t="n">
        <x:f>AC1807+AB1808</x:f>
        <x:v>16182322.357451484</x:v>
      </x:c>
      <x:c r="AD1808" s="80" t="n">
        <x:f>Z1808/(1+'Inputs'!$C$48)</x:f>
        <x:v>0.43650131675874393</x:v>
      </x:c>
      <x:c r="AE1808" s="80" t="n">
        <x:f>Z1808-AD1808</x:f>
        <x:v>0.10912532918968598</x:v>
      </x:c>
      <x:c r="AF1808" s="80" t="n">
        <x:f>D1808*W1808</x:f>
        <x:v>0.5122278076565538</x:v>
      </x:c>
      <x:c r="AG1808" s="80" t="n">
        <x:f>C1808*W1808</x:f>
        <x:v>0.29879955446630574</x:v>
      </x:c>
      <x:c r="AH1808" s="80" t="n">
        <x:f>2*'Inputs'!$B$8*'Inputs'!$C$48</x:f>
        <x:v>1250</x:v>
      </x:c>
      <x:c r="AI1808" s="81" t="n">
        <x:f>IF(AH1808&gt;0,(AE1808+AF1808)/AH1808*365,0)</x:f>
        <x:v>0.18143511595910203</x:v>
      </x:c>
      <x:c r="AJ1808" s="81" t="n">
        <x:f>IF('Inputs'!$B$48&gt;0,AG1808/('Inputs'!$B$19*'Inputs'!$B$48)*365,0)</x:f>
        <x:v>0.04362473495208064</x:v>
      </x:c>
      <x:c r="AK1808" s="81" t="n">
        <x:f>W1808/MAX($W$1464:W1808)-1</x:f>
        <x:v>-0.9976573929391761</x:v>
      </x:c>
      <x:c r="AL1808" s="83" t="n">
        <x:f>'Inputs'!$B$48</x:f>
        <x:v>0.25</x:v>
      </x:c>
      <x:c r="AM1808" s="83" t="n">
        <x:f>'Inputs'!$C$48</x:f>
        <x:v>0.25</x:v>
      </x:c>
      <x:c r="AN1808" s="83" t="n">
        <x:f>'Inputs'!$D$48</x:f>
        <x:v>0.3</x:v>
      </x:c>
      <x:c r="AO1808" s="81" t="n">
        <x:f>'Inputs'!$E$48</x:f>
        <x:v>0</x:v>
      </x:c>
    </x:row>
    <x:row r="1809">
      <x:c r="A1809" s="59" t="str">
        <x:v>Low participation</x:v>
      </x:c>
      <x:c r="B1809" s="59" t="n">
        <x:v>346</x:v>
      </x:c>
      <x:c r="C1809" s="78" t="n">
        <x:f>(('Inputs'!$B$29*(3*346*'Inputs'!$B$12-346^2)/(2*'Inputs'!$B$12^2))-('Inputs'!$B$29*(3*345*'Inputs'!$B$12-345^2)/(2*'Inputs'!$B$12^2)))*'Inputs'!$B$48</x:f>
        <x:v>149915.38046538085</x:v>
      </x:c>
      <x:c r="D1809" s="78" t="n">
        <x:f>IF('Inputs'!$C$48&gt;0,('Inputs'!$B$30*(3*346*'Inputs'!$B$12-346^2)/(2*'Inputs'!$B$12^2))-('Inputs'!$B$30*(3*345*'Inputs'!$B$12-345^2)/(2*'Inputs'!$B$12^2)),0)</x:f>
        <x:v>256997.795083493</x:v>
      </x:c>
      <x:c r="E1809" s="78" t="n">
        <x:f>C1809+D1809</x:f>
        <x:v>406913.17554887384</x:v>
      </x:c>
      <x:c r="F1809" s="78" t="n">
        <x:f>'Inputs'!$B$13*E1809+(1-'Inputs'!$B$13)/'Inputs'!$B$14*SUM(E1754:E1809)</x:f>
        <x:v>411766.5720585455</x:v>
      </x:c>
      <x:c r="G1809" s="78" t="n">
        <x:f>F1809*'Inputs'!$F$48</x:f>
        <x:v>205883.28602927274</x:v>
      </x:c>
      <x:c r="H1809" s="78" t="n">
        <x:f>U1808</x:f>
        <x:v>75534561.08525568</x:v>
      </x:c>
      <x:c r="I1809" s="78" t="n">
        <x:f>V1808</x:f>
        <x:v>150.46797431501273</x:v>
      </x:c>
      <x:c r="J1809" s="79" t="n">
        <x:f>IF(H1809&gt;0,I1809/H1809,0)</x:f>
        <x:v>0.00000199204141988963</x:v>
      </x:c>
      <x:c r="K1809" s="80" t="n">
        <x:f>(H1809*J1809+I1809)*'Inputs'!$D$48*(1+'Inputs'!$G$48)^(B1809/30)</x:f>
        <x:v>90.28078458900764</x:v>
      </x:c>
      <x:c r="L1809" s="80" t="n">
        <x:f>MAX(0,K1809*'Inputs'!$E$48)</x:f>
        <x:v>0</x:v>
      </x:c>
      <x:c r="M1809" s="80" t="n">
        <x:f>MAX(0,-K1809*'Inputs'!$E$48)</x:f>
        <x:v>0</x:v>
      </x:c>
      <x:c r="N1809" s="78" t="n">
        <x:f>H1809*(L1809*(1-'Inputs'!$B$15))/(I1809+L1809*(1-'Inputs'!$B$15))</x:f>
        <x:v>0</x:v>
      </x:c>
      <x:c r="O1809" s="78" t="n">
        <x:f>H1809-N1809</x:f>
        <x:v>75534561.08525568</x:v>
      </x:c>
      <x:c r="P1809" s="78" t="n">
        <x:f>I1809+L1809*(1-'Inputs'!$B$17)</x:f>
        <x:v>150.46797431501273</x:v>
      </x:c>
      <x:c r="Q1809" s="78" t="n">
        <x:f>IF(J1809&gt;0,M1809/J1809,0)</x:f>
        <x:v>0</x:v>
      </x:c>
      <x:c r="R1809" s="78" t="n">
        <x:f>IF(B1809='Inputs'!$H$48,'Inputs'!$B$27*'Inputs'!$I$48,0)</x:f>
        <x:v>0</x:v>
      </x:c>
      <x:c r="S1809" s="78" t="n">
        <x:f>Q1809+G1809+R1809</x:f>
        <x:v>205883.28602927274</x:v>
      </x:c>
      <x:c r="T1809" s="78" t="n">
        <x:f>P1809*(S1809*(1-'Inputs'!$B$15))/(O1809+S1809*(1-'Inputs'!$B$15))</x:f>
        <x:v>0.40493406832183065</x:v>
      </x:c>
      <x:c r="U1809" s="78" t="n">
        <x:f>O1809+S1809*(1-'Inputs'!$B$17)</x:f>
        <x:v>75739615.86711583</x:v>
      </x:c>
      <x:c r="V1809" s="78" t="n">
        <x:f>P1809-T1809</x:f>
        <x:v>150.0630402466909</x:v>
      </x:c>
      <x:c r="W1809" s="79" t="n">
        <x:f>IF(U1809&gt;0,V1809/U1809,0)</x:f>
        <x:v>0.0000019813018395812115</x:v>
      </x:c>
      <x:c r="X1809" s="80" t="n">
        <x:f>W1809*('Inputs'!$B$6-AC1809)</x:f>
        <x:v>1949.057460858162</x:v>
      </x:c>
      <x:c r="Y1809" s="80" t="n">
        <x:f>2*V1809</x:f>
        <x:v>300.1260804933818</x:v>
      </x:c>
      <x:c r="Z1809" s="80" t="n">
        <x:f>K1809*'Inputs'!$B$16+(G1809+R1809)*J1809*'Inputs'!$B$16</x:f>
        <x:v>0.5441454757346457</x:v>
      </x:c>
      <x:c r="AA1809" s="80" t="n">
        <x:f>K1809*(1+'Inputs'!$E$48)/2*'Inputs'!$B$17</x:f>
        <x:v>0.18165147804629306</x:v>
      </x:c>
      <x:c r="AB1809" s="78" t="n">
        <x:f>(IF(J1809&gt;0,K1809*(1-'Inputs'!$E$48)/2/J1809,0)+G1809+R1809)*'Inputs'!$B$17</x:f>
        <x:v>92017.1091010301</x:v>
      </x:c>
      <x:c r="AC1809" s="78" t="n">
        <x:f>AC1808+AB1809</x:f>
        <x:v>16274339.466552515</x:v>
      </x:c>
      <x:c r="AD1809" s="80" t="n">
        <x:f>Z1809/(1+'Inputs'!$C$48)</x:f>
        <x:v>0.43531638058771654</x:v>
      </x:c>
      <x:c r="AE1809" s="80" t="n">
        <x:f>Z1809-AD1809</x:f>
        <x:v>0.10882909514692912</x:v>
      </x:c>
      <x:c r="AF1809" s="80" t="n">
        <x:f>D1809*W1809</x:f>
        <x:v>0.5091902041672399</x:v>
      </x:c>
      <x:c r="AG1809" s="80" t="n">
        <x:f>C1809*W1809</x:f>
        <x:v>0.2970276190975763</x:v>
      </x:c>
      <x:c r="AH1809" s="80" t="n">
        <x:f>2*'Inputs'!$B$8*'Inputs'!$C$48</x:f>
        <x:v>1250</x:v>
      </x:c>
      <x:c r="AI1809" s="81" t="n">
        <x:f>IF(AH1809&gt;0,(AE1809+AF1809)/AH1809*365,0)</x:f>
        <x:v>0.18046163539973736</x:v>
      </x:c>
      <x:c r="AJ1809" s="81" t="n">
        <x:f>IF('Inputs'!$B$48&gt;0,AG1809/('Inputs'!$B$19*'Inputs'!$B$48)*365,0)</x:f>
        <x:v>0.04336603238824614</x:v>
      </x:c>
      <x:c r="AK1809" s="81" t="n">
        <x:f>W1809/MAX($W$1464:W1809)-1</x:f>
        <x:v>-0.997670022504209</x:v>
      </x:c>
      <x:c r="AL1809" s="83" t="n">
        <x:f>'Inputs'!$B$48</x:f>
        <x:v>0.25</x:v>
      </x:c>
      <x:c r="AM1809" s="83" t="n">
        <x:f>'Inputs'!$C$48</x:f>
        <x:v>0.25</x:v>
      </x:c>
      <x:c r="AN1809" s="83" t="n">
        <x:f>'Inputs'!$D$48</x:f>
        <x:v>0.3</x:v>
      </x:c>
      <x:c r="AO1809" s="81" t="n">
        <x:f>'Inputs'!$E$48</x:f>
        <x:v>0</x:v>
      </x:c>
    </x:row>
    <x:row r="1810">
      <x:c r="A1810" s="59" t="str">
        <x:v>Low participation</x:v>
      </x:c>
      <x:c r="B1810" s="59" t="n">
        <x:v>347</x:v>
      </x:c>
      <x:c r="C1810" s="78" t="n">
        <x:f>(('Inputs'!$B$29*(3*347*'Inputs'!$B$12-347^2)/(2*'Inputs'!$B$12^2))-('Inputs'!$B$29*(3*346*'Inputs'!$B$12-346^2)/(2*'Inputs'!$B$12^2)))*'Inputs'!$B$48</x:f>
        <x:v>149834.10349033773</x:v>
      </x:c>
      <x:c r="D1810" s="78" t="n">
        <x:f>IF('Inputs'!$C$48&gt;0,('Inputs'!$B$30*(3*347*'Inputs'!$B$12-347^2)/(2*'Inputs'!$B$12^2))-('Inputs'!$B$30*(3*346*'Inputs'!$B$12-346^2)/(2*'Inputs'!$B$12^2)),0)</x:f>
        <x:v>256858.46312630177</x:v>
      </x:c>
      <x:c r="E1810" s="78" t="n">
        <x:f>C1810+D1810</x:f>
        <x:v>406692.5666166395</x:v>
      </x:c>
      <x:c r="F1810" s="78" t="n">
        <x:f>'Inputs'!$B$13*E1810+(1-'Inputs'!$B$13)/'Inputs'!$B$14*SUM(E1755:E1810)</x:f>
        <x:v>411545.9631262929</x:v>
      </x:c>
      <x:c r="G1810" s="78" t="n">
        <x:f>F1810*'Inputs'!$F$48</x:f>
        <x:v>205772.98156314646</x:v>
      </x:c>
      <x:c r="H1810" s="78" t="n">
        <x:f>U1809</x:f>
        <x:v>75739615.86711583</x:v>
      </x:c>
      <x:c r="I1810" s="78" t="n">
        <x:f>V1809</x:f>
        <x:v>150.0630402466909</x:v>
      </x:c>
      <x:c r="J1810" s="79" t="n">
        <x:f>IF(H1810&gt;0,I1810/H1810,0)</x:f>
        <x:v>0.0000019813018395812115</x:v>
      </x:c>
      <x:c r="K1810" s="80" t="n">
        <x:f>(H1810*J1810+I1810)*'Inputs'!$D$48*(1+'Inputs'!$G$48)^(B1810/30)</x:f>
        <x:v>90.03782414801454</x:v>
      </x:c>
      <x:c r="L1810" s="80" t="n">
        <x:f>MAX(0,K1810*'Inputs'!$E$48)</x:f>
        <x:v>0</x:v>
      </x:c>
      <x:c r="M1810" s="80" t="n">
        <x:f>MAX(0,-K1810*'Inputs'!$E$48)</x:f>
        <x:v>0</x:v>
      </x:c>
      <x:c r="N1810" s="78" t="n">
        <x:f>H1810*(L1810*(1-'Inputs'!$B$15))/(I1810+L1810*(1-'Inputs'!$B$15))</x:f>
        <x:v>0</x:v>
      </x:c>
      <x:c r="O1810" s="78" t="n">
        <x:f>H1810-N1810</x:f>
        <x:v>75739615.86711583</x:v>
      </x:c>
      <x:c r="P1810" s="78" t="n">
        <x:f>I1810+L1810*(1-'Inputs'!$B$17)</x:f>
        <x:v>150.0630402466909</x:v>
      </x:c>
      <x:c r="Q1810" s="78" t="n">
        <x:f>IF(J1810&gt;0,M1810/J1810,0)</x:f>
        <x:v>0</x:v>
      </x:c>
      <x:c r="R1810" s="78" t="n">
        <x:f>IF(B1810='Inputs'!$H$48,'Inputs'!$B$27*'Inputs'!$I$48,0)</x:f>
        <x:v>0</x:v>
      </x:c>
      <x:c r="S1810" s="78" t="n">
        <x:f>Q1810+G1810+R1810</x:f>
        <x:v>205772.98156314646</x:v>
      </x:c>
      <x:c r="T1810" s="78" t="n">
        <x:f>P1810*(S1810*(1-'Inputs'!$B$15))/(O1810+S1810*(1-'Inputs'!$B$15))</x:f>
        <x:v>0.40253870315492235</x:v>
      </x:c>
      <x:c r="U1810" s="78" t="n">
        <x:f>O1810+S1810*(1-'Inputs'!$B$17)</x:f>
        <x:v>75944560.788391</x:v>
      </x:c>
      <x:c r="V1810" s="78" t="n">
        <x:f>P1810-T1810</x:f>
        <x:v>149.66050154353596</x:v>
      </x:c>
      <x:c r="W1810" s="79" t="n">
        <x:f>IF(U1810&gt;0,V1810/U1810,0)</x:f>
        <x:v>0.00000197065464583493</x:v>
      </x:c>
      <x:c r="X1810" s="80" t="n">
        <x:f>W1810*('Inputs'!$B$6-AC1810)</x:f>
        <x:v>1938.4017222508478</x:v>
      </x:c>
      <x:c r="Y1810" s="80" t="n">
        <x:f>2*V1810</x:f>
        <x:v>299.3210030870719</x:v>
      </x:c>
      <x:c r="Z1810" s="80" t="n">
        <x:f>K1810*'Inputs'!$B$16+(G1810+R1810)*J1810*'Inputs'!$B$16</x:f>
        <x:v>0.5426731352095302</x:v>
      </x:c>
      <x:c r="AA1810" s="80" t="n">
        <x:f>K1810*(1+'Inputs'!$E$48)/2*'Inputs'!$B$17</x:f>
        <x:v>0.18116262404027073</x:v>
      </x:c>
      <x:c r="AB1810" s="78" t="n">
        <x:f>(IF(J1810&gt;0,K1810*(1-'Inputs'!$E$48)/2/J1810,0)+G1810+R1810)*'Inputs'!$B$17</x:f>
        <x:v>92264.21626437784</x:v>
      </x:c>
      <x:c r="AC1810" s="78" t="n">
        <x:f>AC1809+AB1810</x:f>
        <x:v>16366603.682816893</x:v>
      </x:c>
      <x:c r="AD1810" s="80" t="n">
        <x:f>Z1810/(1+'Inputs'!$C$48)</x:f>
        <x:v>0.43413850816762417</x:v>
      </x:c>
      <x:c r="AE1810" s="80" t="n">
        <x:f>Z1810-AD1810</x:f>
        <x:v>0.10853462704190603</x:v>
      </x:c>
      <x:c r="AF1810" s="80" t="n">
        <x:f>D1810*W1810</x:f>
        <x:v>0.5061793236818666</x:v>
      </x:c>
      <x:c r="AG1810" s="80" t="n">
        <x:f>C1810*W1810</x:f>
        <x:v>0.29527127214774573</x:v>
      </x:c>
      <x:c r="AH1810" s="80" t="n">
        <x:f>2*'Inputs'!$B$8*'Inputs'!$C$48</x:f>
        <x:v>1250</x:v>
      </x:c>
      <x:c r="AI1810" s="81" t="n">
        <x:f>IF(AH1810&gt;0,(AE1810+AF1810)/AH1810*365,0)</x:f>
        <x:v>0.1794964736113416</x:v>
      </x:c>
      <x:c r="AJ1810" s="81" t="n">
        <x:f>IF('Inputs'!$B$48&gt;0,AG1810/('Inputs'!$B$19*'Inputs'!$B$48)*365,0)</x:f>
        <x:v>0.04310960573357088</x:v>
      </x:c>
      <x:c r="AK1810" s="81" t="n">
        <x:f>W1810/MAX($W$1464:W1810)-1</x:f>
        <x:v>-0.9976825434242054</x:v>
      </x:c>
      <x:c r="AL1810" s="83" t="n">
        <x:f>'Inputs'!$B$48</x:f>
        <x:v>0.25</x:v>
      </x:c>
      <x:c r="AM1810" s="83" t="n">
        <x:f>'Inputs'!$C$48</x:f>
        <x:v>0.25</x:v>
      </x:c>
      <x:c r="AN1810" s="83" t="n">
        <x:f>'Inputs'!$D$48</x:f>
        <x:v>0.3</x:v>
      </x:c>
      <x:c r="AO1810" s="81" t="n">
        <x:f>'Inputs'!$E$48</x:f>
        <x:v>0</x:v>
      </x:c>
    </x:row>
    <x:row r="1811">
      <x:c r="A1811" s="59" t="str">
        <x:v>Low participation</x:v>
      </x:c>
      <x:c r="B1811" s="59" t="n">
        <x:v>348</x:v>
      </x:c>
      <x:c r="C1811" s="78" t="n">
        <x:f>(('Inputs'!$B$29*(3*348*'Inputs'!$B$12-348^2)/(2*'Inputs'!$B$12^2))-('Inputs'!$B$29*(3*347*'Inputs'!$B$12-347^2)/(2*'Inputs'!$B$12^2)))*'Inputs'!$B$48</x:f>
        <x:v>149752.8265152946</x:v>
      </x:c>
      <x:c r="D1811" s="78" t="n">
        <x:f>IF('Inputs'!$C$48&gt;0,('Inputs'!$B$30*(3*348*'Inputs'!$B$12-348^2)/(2*'Inputs'!$B$12^2))-('Inputs'!$B$30*(3*347*'Inputs'!$B$12-347^2)/(2*'Inputs'!$B$12^2)),0)</x:f>
        <x:v>256719.13116906583</x:v>
      </x:c>
      <x:c r="E1811" s="78" t="n">
        <x:f>C1811+D1811</x:f>
        <x:v>406471.95768436044</x:v>
      </x:c>
      <x:c r="F1811" s="78" t="n">
        <x:f>'Inputs'!$B$13*E1811+(1-'Inputs'!$B$13)/'Inputs'!$B$14*SUM(E1756:E1811)</x:f>
        <x:v>411325.35419403104</x:v>
      </x:c>
      <x:c r="G1811" s="78" t="n">
        <x:f>F1811*'Inputs'!$F$48</x:f>
        <x:v>205662.67709701552</x:v>
      </x:c>
      <x:c r="H1811" s="78" t="n">
        <x:f>U1810</x:f>
        <x:v>75944560.788391</x:v>
      </x:c>
      <x:c r="I1811" s="78" t="n">
        <x:f>V1810</x:f>
        <x:v>149.66050154353596</x:v>
      </x:c>
      <x:c r="J1811" s="79" t="n">
        <x:f>IF(H1811&gt;0,I1811/H1811,0)</x:f>
        <x:v>0.00000197065464583493</x:v>
      </x:c>
      <x:c r="K1811" s="80" t="n">
        <x:f>(H1811*J1811+I1811)*'Inputs'!$D$48*(1+'Inputs'!$G$48)^(B1811/30)</x:f>
        <x:v>89.79630092612157</x:v>
      </x:c>
      <x:c r="L1811" s="80" t="n">
        <x:f>MAX(0,K1811*'Inputs'!$E$48)</x:f>
        <x:v>0</x:v>
      </x:c>
      <x:c r="M1811" s="80" t="n">
        <x:f>MAX(0,-K1811*'Inputs'!$E$48)</x:f>
        <x:v>0</x:v>
      </x:c>
      <x:c r="N1811" s="78" t="n">
        <x:f>H1811*(L1811*(1-'Inputs'!$B$15))/(I1811+L1811*(1-'Inputs'!$B$15))</x:f>
        <x:v>0</x:v>
      </x:c>
      <x:c r="O1811" s="78" t="n">
        <x:f>H1811-N1811</x:f>
        <x:v>75944560.788391</x:v>
      </x:c>
      <x:c r="P1811" s="78" t="n">
        <x:f>I1811+L1811*(1-'Inputs'!$B$17)</x:f>
        <x:v>149.66050154353596</x:v>
      </x:c>
      <x:c r="Q1811" s="78" t="n">
        <x:f>IF(J1811&gt;0,M1811/J1811,0)</x:f>
        <x:v>0</x:v>
      </x:c>
      <x:c r="R1811" s="78" t="n">
        <x:f>IF(B1811='Inputs'!$H$48,'Inputs'!$B$27*'Inputs'!$I$48,0)</x:f>
        <x:v>0</x:v>
      </x:c>
      <x:c r="S1811" s="78" t="n">
        <x:f>Q1811+G1811+R1811</x:f>
        <x:v>205662.67709701552</x:v>
      </x:c>
      <x:c r="T1811" s="78" t="n">
        <x:f>P1811*(S1811*(1-'Inputs'!$B$15))/(O1811+S1811*(1-'Inputs'!$B$15))</x:f>
        <x:v>0.4001643752453564</x:v>
      </x:c>
      <x:c r="U1811" s="78" t="n">
        <x:f>O1811+S1811*(1-'Inputs'!$B$17)</x:f>
        <x:v>76149395.84908117</x:v>
      </x:c>
      <x:c r="V1811" s="78" t="n">
        <x:f>P1811-T1811</x:f>
        <x:v>149.2603371682906</x:v>
      </x:c>
      <x:c r="W1811" s="79" t="n">
        <x:f>IF(U1811&gt;0,V1811/U1811,0)</x:f>
        <x:v>0.000001960098770371158</x:v>
      </x:c>
      <x:c r="X1811" s="80" t="n">
        <x:f>W1811*('Inputs'!$B$6-AC1811)</x:f>
        <x:v>1927.8372795459854</x:v>
      </x:c>
      <x:c r="Y1811" s="80" t="n">
        <x:f>2*V1811</x:f>
        <x:v>298.5206743365812</x:v>
      </x:c>
      <x:c r="Z1811" s="80" t="n">
        <x:f>K1811*'Inputs'!$B$16+(G1811+R1811)*J1811*'Inputs'!$B$16</x:f>
        <x:v>0.541209546217306</x:v>
      </x:c>
      <x:c r="AA1811" s="80" t="n">
        <x:f>K1811*(1+'Inputs'!$E$48)/2*'Inputs'!$B$17</x:f>
        <x:v>0.18067666182318226</x:v>
      </x:c>
      <x:c r="AB1811" s="78" t="n">
        <x:f>(IF(J1811&gt;0,K1811*(1-'Inputs'!$E$48)/2/J1811,0)+G1811+R1811)*'Inputs'!$B$17</x:f>
        <x:v>92511.19079925278</x:v>
      </x:c>
      <x:c r="AC1811" s="78" t="n">
        <x:f>AC1810+AB1811</x:f>
        <x:v>16459114.873616146</x:v>
      </x:c>
      <x:c r="AD1811" s="80" t="n">
        <x:f>Z1811/(1+'Inputs'!$C$48)</x:f>
        <x:v>0.43296763697384477</x:v>
      </x:c>
      <x:c r="AE1811" s="80" t="n">
        <x:f>Z1811-AD1811</x:f>
        <x:v>0.10824190924346122</x:v>
      </x:c>
      <x:c r="AF1811" s="80" t="n">
        <x:f>D1811*W1811</x:f>
        <x:v>0.503194853335238</x:v>
      </x:c>
      <x:c r="AG1811" s="80" t="n">
        <x:f>C1811*W1811</x:f>
        <x:v>0.2935303311122343</x:v>
      </x:c>
      <x:c r="AH1811" s="80" t="n">
        <x:f>2*'Inputs'!$B$8*'Inputs'!$C$48</x:f>
        <x:v>1250</x:v>
      </x:c>
      <x:c r="AI1811" s="81" t="n">
        <x:f>IF(AH1811&gt;0,(AE1811+AF1811)/AH1811*365,0)</x:f>
        <x:v>0.17853953467298014</x:v>
      </x:c>
      <x:c r="AJ1811" s="81" t="n">
        <x:f>IF('Inputs'!$B$48&gt;0,AG1811/('Inputs'!$B$19*'Inputs'!$B$48)*365,0)</x:f>
        <x:v>0.04285542834238621</x:v>
      </x:c>
      <x:c r="AK1811" s="81" t="n">
        <x:f>W1811/MAX($W$1464:W1811)-1</x:f>
        <x:v>-0.9976949569554441</x:v>
      </x:c>
      <x:c r="AL1811" s="83" t="n">
        <x:f>'Inputs'!$B$48</x:f>
        <x:v>0.25</x:v>
      </x:c>
      <x:c r="AM1811" s="83" t="n">
        <x:f>'Inputs'!$C$48</x:f>
        <x:v>0.25</x:v>
      </x:c>
      <x:c r="AN1811" s="83" t="n">
        <x:f>'Inputs'!$D$48</x:f>
        <x:v>0.3</x:v>
      </x:c>
      <x:c r="AO1811" s="81" t="n">
        <x:f>'Inputs'!$E$48</x:f>
        <x:v>0</x:v>
      </x:c>
    </x:row>
    <x:row r="1812">
      <x:c r="A1812" s="59" t="str">
        <x:v>Low participation</x:v>
      </x:c>
      <x:c r="B1812" s="59" t="n">
        <x:v>349</x:v>
      </x:c>
      <x:c r="C1812" s="78" t="n">
        <x:f>(('Inputs'!$B$29*(3*349*'Inputs'!$B$12-349^2)/(2*'Inputs'!$B$12^2))-('Inputs'!$B$29*(3*348*'Inputs'!$B$12-348^2)/(2*'Inputs'!$B$12^2)))*'Inputs'!$B$48</x:f>
        <x:v>149671.5495402515</x:v>
      </x:c>
      <x:c r="D1812" s="78" t="n">
        <x:f>IF('Inputs'!$C$48&gt;0,('Inputs'!$B$30*(3*349*'Inputs'!$B$12-349^2)/(2*'Inputs'!$B$12^2))-('Inputs'!$B$30*(3*348*'Inputs'!$B$12-348^2)/(2*'Inputs'!$B$12^2)),0)</x:f>
        <x:v>256579.7992118597</x:v>
      </x:c>
      <x:c r="E1812" s="78" t="n">
        <x:f>C1812+D1812</x:f>
        <x:v>406251.3487521112</x:v>
      </x:c>
      <x:c r="F1812" s="78" t="n">
        <x:f>'Inputs'!$B$13*E1812+(1-'Inputs'!$B$13)/'Inputs'!$B$14*SUM(E1757:E1812)</x:f>
        <x:v>411104.74526177533</x:v>
      </x:c>
      <x:c r="G1812" s="78" t="n">
        <x:f>F1812*'Inputs'!$F$48</x:f>
        <x:v>205552.37263088766</x:v>
      </x:c>
      <x:c r="H1812" s="78" t="n">
        <x:f>U1811</x:f>
        <x:v>76149395.84908117</x:v>
      </x:c>
      <x:c r="I1812" s="78" t="n">
        <x:f>V1811</x:f>
        <x:v>149.2603371682906</x:v>
      </x:c>
      <x:c r="J1812" s="79" t="n">
        <x:f>IF(H1812&gt;0,I1812/H1812,0)</x:f>
        <x:v>0.000001960098770371158</x:v>
      </x:c>
      <x:c r="K1812" s="80" t="n">
        <x:f>(H1812*J1812+I1812)*'Inputs'!$D$48*(1+'Inputs'!$G$48)^(B1812/30)</x:f>
        <x:v>89.55620230097433</x:v>
      </x:c>
      <x:c r="L1812" s="80" t="n">
        <x:f>MAX(0,K1812*'Inputs'!$E$48)</x:f>
        <x:v>0</x:v>
      </x:c>
      <x:c r="M1812" s="80" t="n">
        <x:f>MAX(0,-K1812*'Inputs'!$E$48)</x:f>
        <x:v>0</x:v>
      </x:c>
      <x:c r="N1812" s="78" t="n">
        <x:f>H1812*(L1812*(1-'Inputs'!$B$15))/(I1812+L1812*(1-'Inputs'!$B$15))</x:f>
        <x:v>0</x:v>
      </x:c>
      <x:c r="O1812" s="78" t="n">
        <x:f>H1812-N1812</x:f>
        <x:v>76149395.84908117</x:v>
      </x:c>
      <x:c r="P1812" s="78" t="n">
        <x:f>I1812+L1812*(1-'Inputs'!$B$17)</x:f>
        <x:v>149.2603371682906</x:v>
      </x:c>
      <x:c r="Q1812" s="78" t="n">
        <x:f>IF(J1812&gt;0,M1812/J1812,0)</x:f>
        <x:v>0</x:v>
      </x:c>
      <x:c r="R1812" s="78" t="n">
        <x:f>IF(B1812='Inputs'!$H$48,'Inputs'!$B$27*'Inputs'!$I$48,0)</x:f>
        <x:v>0</x:v>
      </x:c>
      <x:c r="S1812" s="78" t="n">
        <x:f>Q1812+G1812+R1812</x:f>
        <x:v>205552.37263088766</x:v>
      </x:c>
      <x:c r="T1812" s="78" t="n">
        <x:f>P1812*(S1812*(1-'Inputs'!$B$15))/(O1812+S1812*(1-'Inputs'!$B$15))</x:f>
        <x:v>0.39781083868461475</x:v>
      </x:c>
      <x:c r="U1812" s="78" t="n">
        <x:f>O1812+S1812*(1-'Inputs'!$B$17)</x:f>
        <x:v>76354121.04918638</x:v>
      </x:c>
      <x:c r="V1812" s="78" t="n">
        <x:f>P1812-T1812</x:f>
        <x:v>148.86252632960597</x:v>
      </x:c>
      <x:c r="W1812" s="79" t="n">
        <x:f>IF(U1812&gt;0,V1812/U1812,0)</x:f>
        <x:v>0.0000019496331603858103</x:v>
      </x:c>
      <x:c r="X1812" s="80" t="n">
        <x:f>W1812*('Inputs'!$B$6-AC1812)</x:f>
        <x:v>1917.3630801011539</x:v>
      </x:c>
      <x:c r="Y1812" s="80" t="n">
        <x:f>2*V1812</x:f>
        <x:v>297.72505265921194</x:v>
      </x:c>
      <x:c r="Z1812" s="80" t="n">
        <x:f>K1812*'Inputs'!$B$16+(G1812+R1812)*J1812*'Inputs'!$B$16</x:f>
        <x:v>0.53975463152289</x:v>
      </x:c>
      <x:c r="AA1812" s="80" t="n">
        <x:f>K1812*(1+'Inputs'!$E$48)/2*'Inputs'!$B$17</x:f>
        <x:v>0.1801935659979363</x:v>
      </x:c>
      <x:c r="AB1812" s="78" t="n">
        <x:f>(IF(J1812&gt;0,K1812*(1-'Inputs'!$E$48)/2/J1812,0)+G1812+R1812)*'Inputs'!$B$17</x:f>
        <x:v>92758.03270565488</x:v>
      </x:c>
      <x:c r="AC1812" s="78" t="n">
        <x:f>AC1811+AB1812</x:f>
        <x:v>16551872.906321801</x:v>
      </x:c>
      <x:c r="AD1812" s="80" t="n">
        <x:f>Z1812/(1+'Inputs'!$C$48)</x:f>
        <x:v>0.431803705218312</x:v>
      </x:c>
      <x:c r="AE1812" s="80" t="n">
        <x:f>Z1812-AD1812</x:f>
        <x:v>0.10795092630457803</x:v>
      </x:c>
      <x:c r="AF1812" s="80" t="n">
        <x:f>D1812*W1812</x:f>
        <x:v>0.5002364848285746</x:v>
      </x:c>
      <x:c r="AG1812" s="80" t="n">
        <x:f>C1812*W1812</x:f>
        <x:v>0.2918046161500019</x:v>
      </x:c>
      <x:c r="AH1812" s="80" t="n">
        <x:f>2*'Inputs'!$B$8*'Inputs'!$C$48</x:f>
        <x:v>1250</x:v>
      </x:c>
      <x:c r="AI1812" s="81" t="n">
        <x:f>IF(AH1812&gt;0,(AE1812+AF1812)/AH1812*365,0)</x:f>
        <x:v>0.17759072405088058</x:v>
      </x:c>
      <x:c r="AJ1812" s="81" t="n">
        <x:f>IF('Inputs'!$B$48&gt;0,AG1812/('Inputs'!$B$19*'Inputs'!$B$48)*365,0)</x:f>
        <x:v>0.042603473957900276</x:v>
      </x:c>
      <x:c r="AK1812" s="81" t="n">
        <x:f>W1812/MAX($W$1464:W1812)-1</x:f>
        <x:v>-0.997707264336005</x:v>
      </x:c>
      <x:c r="AL1812" s="83" t="n">
        <x:f>'Inputs'!$B$48</x:f>
        <x:v>0.25</x:v>
      </x:c>
      <x:c r="AM1812" s="83" t="n">
        <x:f>'Inputs'!$C$48</x:f>
        <x:v>0.25</x:v>
      </x:c>
      <x:c r="AN1812" s="83" t="n">
        <x:f>'Inputs'!$D$48</x:f>
        <x:v>0.3</x:v>
      </x:c>
      <x:c r="AO1812" s="81" t="n">
        <x:f>'Inputs'!$E$48</x:f>
        <x:v>0</x:v>
      </x:c>
    </x:row>
    <x:row r="1813">
      <x:c r="A1813" s="59" t="str">
        <x:v>Low participation</x:v>
      </x:c>
      <x:c r="B1813" s="59" t="n">
        <x:v>350</x:v>
      </x:c>
      <x:c r="C1813" s="78" t="n">
        <x:f>(('Inputs'!$B$29*(3*350*'Inputs'!$B$12-350^2)/(2*'Inputs'!$B$12^2))-('Inputs'!$B$29*(3*349*'Inputs'!$B$12-349^2)/(2*'Inputs'!$B$12^2)))*'Inputs'!$B$48</x:f>
        <x:v>149590.27256520838</x:v>
      </x:c>
      <x:c r="D1813" s="78" t="n">
        <x:f>IF('Inputs'!$C$48&gt;0,('Inputs'!$B$30*(3*350*'Inputs'!$B$12-350^2)/(2*'Inputs'!$B$12^2))-('Inputs'!$B$30*(3*349*'Inputs'!$B$12-349^2)/(2*'Inputs'!$B$12^2)),0)</x:f>
        <x:v>256440.46725465357</x:v>
      </x:c>
      <x:c r="E1813" s="78" t="n">
        <x:f>C1813+D1813</x:f>
        <x:v>406030.73981986195</x:v>
      </x:c>
      <x:c r="F1813" s="78" t="n">
        <x:f>'Inputs'!$B$13*E1813+(1-'Inputs'!$B$13)/'Inputs'!$B$14*SUM(E1758:E1813)</x:f>
        <x:v>410884.1363295195</x:v>
      </x:c>
      <x:c r="G1813" s="78" t="n">
        <x:f>F1813*'Inputs'!$F$48</x:f>
        <x:v>205442.06816475975</x:v>
      </x:c>
      <x:c r="H1813" s="78" t="n">
        <x:f>U1812</x:f>
        <x:v>76354121.04918638</x:v>
      </x:c>
      <x:c r="I1813" s="78" t="n">
        <x:f>V1812</x:f>
        <x:v>148.86252632960597</x:v>
      </x:c>
      <x:c r="J1813" s="79" t="n">
        <x:f>IF(H1813&gt;0,I1813/H1813,0)</x:f>
        <x:v>0.0000019496331603858103</x:v>
      </x:c>
      <x:c r="K1813" s="80" t="n">
        <x:f>(H1813*J1813+I1813)*'Inputs'!$D$48*(1+'Inputs'!$G$48)^(B1813/30)</x:f>
        <x:v>89.31751579776358</x:v>
      </x:c>
      <x:c r="L1813" s="80" t="n">
        <x:f>MAX(0,K1813*'Inputs'!$E$48)</x:f>
        <x:v>0</x:v>
      </x:c>
      <x:c r="M1813" s="80" t="n">
        <x:f>MAX(0,-K1813*'Inputs'!$E$48)</x:f>
        <x:v>0</x:v>
      </x:c>
      <x:c r="N1813" s="78" t="n">
        <x:f>H1813*(L1813*(1-'Inputs'!$B$15))/(I1813+L1813*(1-'Inputs'!$B$15))</x:f>
        <x:v>0</x:v>
      </x:c>
      <x:c r="O1813" s="78" t="n">
        <x:f>H1813-N1813</x:f>
        <x:v>76354121.04918638</x:v>
      </x:c>
      <x:c r="P1813" s="78" t="n">
        <x:f>I1813+L1813*(1-'Inputs'!$B$17)</x:f>
        <x:v>148.86252632960597</x:v>
      </x:c>
      <x:c r="Q1813" s="78" t="n">
        <x:f>IF(J1813&gt;0,M1813/J1813,0)</x:f>
        <x:v>0</x:v>
      </x:c>
      <x:c r="R1813" s="78" t="n">
        <x:f>IF(B1813='Inputs'!$H$48,'Inputs'!$B$27*'Inputs'!$I$48,0)</x:f>
        <x:v>0</x:v>
      </x:c>
      <x:c r="S1813" s="78" t="n">
        <x:f>Q1813+G1813+R1813</x:f>
        <x:v>205442.06816475975</x:v>
      </x:c>
      <x:c r="T1813" s="78" t="n">
        <x:f>P1813*(S1813*(1-'Inputs'!$B$15))/(O1813+S1813*(1-'Inputs'!$B$15))</x:f>
        <x:v>0.395477851147585</x:v>
      </x:c>
      <x:c r="U1813" s="78" t="n">
        <x:f>O1813+S1813*(1-'Inputs'!$B$17)</x:f>
        <x:v>76558736.38870661</x:v>
      </x:c>
      <x:c r="V1813" s="78" t="n">
        <x:f>P1813-T1813</x:f>
        <x:v>148.4670484784584</x:v>
      </x:c>
      <x:c r="W1813" s="79" t="n">
        <x:f>IF(U1813&gt;0,V1813/U1813,0)</x:f>
        <x:v>0.000001939256778281403</x:v>
      </x:c>
      <x:c r="X1813" s="80" t="n">
        <x:f>W1813*('Inputs'!$B$6-AC1813)</x:f>
        <x:v>1906.978086478262</x:v>
      </x:c>
      <x:c r="Y1813" s="80" t="n">
        <x:f>2*V1813</x:f>
        <x:v>296.9340969569168</x:v>
      </x:c>
      <x:c r="Z1813" s="80" t="n">
        <x:f>K1813*'Inputs'!$B$16+(G1813+R1813)*J1813*'Inputs'!$B$16</x:f>
        <x:v>0.5383083147983749</x:v>
      </x:c>
      <x:c r="AA1813" s="80" t="n">
        <x:f>K1813*(1+'Inputs'!$E$48)/2*'Inputs'!$B$17</x:f>
        <x:v>0.17971331146431305</x:v>
      </x:c>
      <x:c r="AB1813" s="78" t="n">
        <x:f>(IF(J1813&gt;0,K1813*(1-'Inputs'!$E$48)/2/J1813,0)+G1813+R1813)*'Inputs'!$B$17</x:f>
        <x:v>93004.7419835842</x:v>
      </x:c>
      <x:c r="AC1813" s="78" t="n">
        <x:f>AC1812+AB1813</x:f>
        <x:v>16644877.648305386</x:v>
      </x:c>
      <x:c r="AD1813" s="80" t="n">
        <x:f>Z1813/(1+'Inputs'!$C$48)</x:f>
        <x:v>0.43064665183869993</x:v>
      </x:c>
      <x:c r="AE1813" s="80" t="n">
        <x:f>Z1813-AD1813</x:f>
        <x:v>0.107661662959675</x:v>
      </x:c>
      <x:c r="AF1813" s="80" t="n">
        <x:f>D1813*W1813</x:f>
        <x:v>0.4973039143492371</x:v>
      </x:c>
      <x:c r="AG1813" s="80" t="n">
        <x:f>C1813*W1813</x:f>
        <x:v>0.2900939500370429</x:v>
      </x:c>
      <x:c r="AH1813" s="80" t="n">
        <x:f>2*'Inputs'!$B$8*'Inputs'!$C$48</x:f>
        <x:v>1250</x:v>
      </x:c>
      <x:c r="AI1813" s="81" t="n">
        <x:f>IF(AH1813&gt;0,(AE1813+AF1813)/AH1813*365,0)</x:f>
        <x:v>0.17664994857420233</x:v>
      </x:c>
      <x:c r="AJ1813" s="81" t="n">
        <x:f>IF('Inputs'!$B$48&gt;0,AG1813/('Inputs'!$B$19*'Inputs'!$B$48)*365,0)</x:f>
        <x:v>0.042353716705408266</x:v>
      </x:c>
      <x:c r="AK1813" s="81" t="n">
        <x:f>W1813/MAX($W$1464:W1813)-1</x:f>
        <x:v>-0.997719466786085</x:v>
      </x:c>
      <x:c r="AL1813" s="83" t="n">
        <x:f>'Inputs'!$B$48</x:f>
        <x:v>0.25</x:v>
      </x:c>
      <x:c r="AM1813" s="83" t="n">
        <x:f>'Inputs'!$C$48</x:f>
        <x:v>0.25</x:v>
      </x:c>
      <x:c r="AN1813" s="83" t="n">
        <x:f>'Inputs'!$D$48</x:f>
        <x:v>0.3</x:v>
      </x:c>
      <x:c r="AO1813" s="81" t="n">
        <x:f>'Inputs'!$E$48</x:f>
        <x:v>0</x:v>
      </x:c>
    </x:row>
    <x:row r="1814">
      <x:c r="A1814" s="59" t="str">
        <x:v>Low participation</x:v>
      </x:c>
      <x:c r="B1814" s="59" t="n">
        <x:v>351</x:v>
      </x:c>
      <x:c r="C1814" s="78" t="n">
        <x:f>(('Inputs'!$B$29*(3*351*'Inputs'!$B$12-351^2)/(2*'Inputs'!$B$12^2))-('Inputs'!$B$29*(3*350*'Inputs'!$B$12-350^2)/(2*'Inputs'!$B$12^2)))*'Inputs'!$B$48</x:f>
        <x:v>149508.99559016526</x:v>
      </x:c>
      <x:c r="D1814" s="78" t="n">
        <x:f>IF('Inputs'!$C$48&gt;0,('Inputs'!$B$30*(3*351*'Inputs'!$B$12-351^2)/(2*'Inputs'!$B$12^2))-('Inputs'!$B$30*(3*350*'Inputs'!$B$12-350^2)/(2*'Inputs'!$B$12^2)),0)</x:f>
        <x:v>256301.13529741764</x:v>
      </x:c>
      <x:c r="E1814" s="78" t="n">
        <x:f>C1814+D1814</x:f>
        <x:v>405810.1308875829</x:v>
      </x:c>
      <x:c r="F1814" s="78" t="n">
        <x:f>'Inputs'!$B$13*E1814+(1-'Inputs'!$B$13)/'Inputs'!$B$14*SUM(E1759:E1814)</x:f>
        <x:v>410663.5273972575</x:v>
      </x:c>
      <x:c r="G1814" s="78" t="n">
        <x:f>F1814*'Inputs'!$F$48</x:f>
        <x:v>205331.76369862875</x:v>
      </x:c>
      <x:c r="H1814" s="78" t="n">
        <x:f>U1813</x:f>
        <x:v>76558736.38870661</x:v>
      </x:c>
      <x:c r="I1814" s="78" t="n">
        <x:f>V1813</x:f>
        <x:v>148.4670484784584</x:v>
      </x:c>
      <x:c r="J1814" s="79" t="n">
        <x:f>IF(H1814&gt;0,I1814/H1814,0)</x:f>
        <x:v>0.000001939256778281403</x:v>
      </x:c>
      <x:c r="K1814" s="80" t="n">
        <x:f>(H1814*J1814+I1814)*'Inputs'!$D$48*(1+'Inputs'!$G$48)^(B1814/30)</x:f>
        <x:v>89.08022908707504</x:v>
      </x:c>
      <x:c r="L1814" s="80" t="n">
        <x:f>MAX(0,K1814*'Inputs'!$E$48)</x:f>
        <x:v>0</x:v>
      </x:c>
      <x:c r="M1814" s="80" t="n">
        <x:f>MAX(0,-K1814*'Inputs'!$E$48)</x:f>
        <x:v>0</x:v>
      </x:c>
      <x:c r="N1814" s="78" t="n">
        <x:f>H1814*(L1814*(1-'Inputs'!$B$15))/(I1814+L1814*(1-'Inputs'!$B$15))</x:f>
        <x:v>0</x:v>
      </x:c>
      <x:c r="O1814" s="78" t="n">
        <x:f>H1814-N1814</x:f>
        <x:v>76558736.38870661</x:v>
      </x:c>
      <x:c r="P1814" s="78" t="n">
        <x:f>I1814+L1814*(1-'Inputs'!$B$17)</x:f>
        <x:v>148.4670484784584</x:v>
      </x:c>
      <x:c r="Q1814" s="78" t="n">
        <x:f>IF(J1814&gt;0,M1814/J1814,0)</x:f>
        <x:v>0</x:v>
      </x:c>
      <x:c r="R1814" s="78" t="n">
        <x:f>IF(B1814='Inputs'!$H$48,'Inputs'!$B$27*'Inputs'!$I$48,0)</x:f>
        <x:v>0</x:v>
      </x:c>
      <x:c r="S1814" s="78" t="n">
        <x:f>Q1814+G1814+R1814</x:f>
        <x:v>205331.76369862875</x:v>
      </x:c>
      <x:c r="T1814" s="78" t="n">
        <x:f>P1814*(S1814*(1-'Inputs'!$B$15))/(O1814+S1814*(1-'Inputs'!$B$15))</x:f>
        <x:v>0.3931651738300894</x:v>
      </x:c>
      <x:c r="U1814" s="78" t="n">
        <x:f>O1814+S1814*(1-'Inputs'!$B$17)</x:f>
        <x:v>76763241.86764187</x:v>
      </x:c>
      <x:c r="V1814" s="78" t="n">
        <x:f>P1814-T1814</x:f>
        <x:v>148.0738833046283</x:v>
      </x:c>
      <x:c r="W1814" s="79" t="n">
        <x:f>IF(U1814&gt;0,V1814/U1814,0)</x:f>
        <x:v>0.0000019289686014035595</x:v>
      </x:c>
      <x:c r="X1814" s="80" t="n">
        <x:f>W1814*('Inputs'!$B$6-AC1814)</x:f>
        <x:v>1896.681276180092</x:v>
      </x:c>
      <x:c r="Y1814" s="80" t="n">
        <x:f>2*V1814</x:f>
        <x:v>296.1477666092566</x:v>
      </x:c>
      <x:c r="Z1814" s="80" t="n">
        <x:f>K1814*'Inputs'!$B$16+(G1814+R1814)*J1814*'Inputs'!$B$16</x:f>
        <x:v>0.5368705206097445</x:v>
      </x:c>
      <x:c r="AA1814" s="80" t="n">
        <x:f>K1814*(1+'Inputs'!$E$48)/2*'Inputs'!$B$17</x:f>
        <x:v>0.17923587341463793</x:v>
      </x:c>
      <x:c r="AB1814" s="78" t="n">
        <x:f>(IF(J1814&gt;0,K1814*(1-'Inputs'!$E$48)/2/J1814,0)+G1814+R1814)*'Inputs'!$B$17</x:f>
        <x:v>93251.3186330407</x:v>
      </x:c>
      <x:c r="AC1814" s="78" t="n">
        <x:f>AC1813+AB1814</x:f>
        <x:v>16738128.966938427</x:v>
      </x:c>
      <x:c r="AD1814" s="80" t="n">
        <x:f>Z1814/(1+'Inputs'!$C$48)</x:f>
        <x:v>0.4294964164877956</x:v>
      </x:c>
      <x:c r="AE1814" s="80" t="n">
        <x:f>Z1814-AD1814</x:f>
        <x:v>0.10737410412194892</x:v>
      </x:c>
      <x:c r="AF1814" s="80" t="n">
        <x:f>D1814*W1814</x:f>
        <x:v>0.4943968424928042</x:v>
      </x:c>
      <x:c r="AG1814" s="80" t="n">
        <x:f>C1814*W1814</x:f>
        <x:v>0.28839815812081204</x:v>
      </x:c>
      <x:c r="AH1814" s="80" t="n">
        <x:f>2*'Inputs'!$B$8*'Inputs'!$C$48</x:f>
        <x:v>1250</x:v>
      </x:c>
      <x:c r="AI1814" s="81" t="n">
        <x:f>IF(AH1814&gt;0,(AE1814+AF1814)/AH1814*365,0)</x:f>
        <x:v>0.17571711641150792</x:v>
      </x:c>
      <x:c r="AJ1814" s="81" t="n">
        <x:f>IF('Inputs'!$B$48&gt;0,AG1814/('Inputs'!$B$19*'Inputs'!$B$48)*365,0)</x:f>
        <x:v>0.04210613108563856</x:v>
      </x:c>
      <x:c r="AK1814" s="81" t="n">
        <x:f>W1814/MAX($W$1464:W1814)-1</x:f>
        <x:v>-0.9977315655083085</x:v>
      </x:c>
      <x:c r="AL1814" s="83" t="n">
        <x:f>'Inputs'!$B$48</x:f>
        <x:v>0.25</x:v>
      </x:c>
      <x:c r="AM1814" s="83" t="n">
        <x:f>'Inputs'!$C$48</x:f>
        <x:v>0.25</x:v>
      </x:c>
      <x:c r="AN1814" s="83" t="n">
        <x:f>'Inputs'!$D$48</x:f>
        <x:v>0.3</x:v>
      </x:c>
      <x:c r="AO1814" s="81" t="n">
        <x:f>'Inputs'!$E$48</x:f>
        <x:v>0</x:v>
      </x:c>
    </x:row>
    <x:row r="1815">
      <x:c r="A1815" s="59" t="str">
        <x:v>Low participation</x:v>
      </x:c>
      <x:c r="B1815" s="59" t="n">
        <x:v>352</x:v>
      </x:c>
      <x:c r="C1815" s="78" t="n">
        <x:f>(('Inputs'!$B$29*(3*352*'Inputs'!$B$12-352^2)/(2*'Inputs'!$B$12^2))-('Inputs'!$B$29*(3*351*'Inputs'!$B$12-351^2)/(2*'Inputs'!$B$12^2)))*'Inputs'!$B$48</x:f>
        <x:v>149427.71861512214</x:v>
      </x:c>
      <x:c r="D1815" s="78" t="n">
        <x:f>IF('Inputs'!$C$48&gt;0,('Inputs'!$B$30*(3*352*'Inputs'!$B$12-352^2)/(2*'Inputs'!$B$12^2))-('Inputs'!$B$30*(3*351*'Inputs'!$B$12-351^2)/(2*'Inputs'!$B$12^2)),0)</x:f>
        <x:v>256161.8033402264</x:v>
      </x:c>
      <x:c r="E1815" s="78" t="n">
        <x:f>C1815+D1815</x:f>
        <x:v>405589.52195534855</x:v>
      </x:c>
      <x:c r="F1815" s="78" t="n">
        <x:f>'Inputs'!$B$13*E1815+(1-'Inputs'!$B$13)/'Inputs'!$B$14*SUM(E1760:E1815)</x:f>
        <x:v>410442.9184650049</x:v>
      </x:c>
      <x:c r="G1815" s="78" t="n">
        <x:f>F1815*'Inputs'!$F$48</x:f>
        <x:v>205221.45923250244</x:v>
      </x:c>
      <x:c r="H1815" s="78" t="n">
        <x:f>U1814</x:f>
        <x:v>76763241.86764187</x:v>
      </x:c>
      <x:c r="I1815" s="78" t="n">
        <x:f>V1814</x:f>
        <x:v>148.0738833046283</x:v>
      </x:c>
      <x:c r="J1815" s="79" t="n">
        <x:f>IF(H1815&gt;0,I1815/H1815,0)</x:f>
        <x:v>0.0000019289686014035595</x:v>
      </x:c>
      <x:c r="K1815" s="80" t="n">
        <x:f>(H1815*J1815+I1815)*'Inputs'!$D$48*(1+'Inputs'!$G$48)^(B1815/30)</x:f>
        <x:v>88.84432998277697</x:v>
      </x:c>
      <x:c r="L1815" s="80" t="n">
        <x:f>MAX(0,K1815*'Inputs'!$E$48)</x:f>
        <x:v>0</x:v>
      </x:c>
      <x:c r="M1815" s="80" t="n">
        <x:f>MAX(0,-K1815*'Inputs'!$E$48)</x:f>
        <x:v>0</x:v>
      </x:c>
      <x:c r="N1815" s="78" t="n">
        <x:f>H1815*(L1815*(1-'Inputs'!$B$15))/(I1815+L1815*(1-'Inputs'!$B$15))</x:f>
        <x:v>0</x:v>
      </x:c>
      <x:c r="O1815" s="78" t="n">
        <x:f>H1815-N1815</x:f>
        <x:v>76763241.86764187</x:v>
      </x:c>
      <x:c r="P1815" s="78" t="n">
        <x:f>I1815+L1815*(1-'Inputs'!$B$17)</x:f>
        <x:v>148.0738833046283</x:v>
      </x:c>
      <x:c r="Q1815" s="78" t="n">
        <x:f>IF(J1815&gt;0,M1815/J1815,0)</x:f>
        <x:v>0</x:v>
      </x:c>
      <x:c r="R1815" s="78" t="n">
        <x:f>IF(B1815='Inputs'!$H$48,'Inputs'!$B$27*'Inputs'!$I$48,0)</x:f>
        <x:v>0</x:v>
      </x:c>
      <x:c r="S1815" s="78" t="n">
        <x:f>Q1815+G1815+R1815</x:f>
        <x:v>205221.45923250244</x:v>
      </x:c>
      <x:c r="T1815" s="78" t="n">
        <x:f>P1815*(S1815*(1-'Inputs'!$B$15))/(O1815+S1815*(1-'Inputs'!$B$15))</x:f>
        <x:v>0.3908725713876816</x:v>
      </x:c>
      <x:c r="U1815" s="78" t="n">
        <x:f>O1815+S1815*(1-'Inputs'!$B$17)</x:f>
        <x:v>76967637.48599215</x:v>
      </x:c>
      <x:c r="V1815" s="78" t="n">
        <x:f>P1815-T1815</x:f>
        <x:v>147.68301073324062</x:v>
      </x:c>
      <x:c r="W1815" s="79" t="n">
        <x:f>IF(U1815&gt;0,V1815/U1815,0)</x:f>
        <x:v>0.0000019187676217828362</x:v>
      </x:c>
      <x:c r="X1815" s="80" t="n">
        <x:f>W1815*('Inputs'!$B$6-AC1815)</x:f>
        <x:v>1886.4716413921597</x:v>
      </x:c>
      <x:c r="Y1815" s="80" t="n">
        <x:f>2*V1815</x:f>
        <x:v>295.36602146648124</x:v>
      </x:c>
      <x:c r="Z1815" s="80" t="n">
        <x:f>K1815*'Inputs'!$B$16+(G1815+R1815)*J1815*'Inputs'!$B$16</x:f>
        <x:v>0.5354411744038241</x:v>
      </x:c>
      <x:c r="AA1815" s="80" t="n">
        <x:f>K1815*(1+'Inputs'!$E$48)/2*'Inputs'!$B$17</x:f>
        <x:v>0.17876122732953115</x:v>
      </x:c>
      <x:c r="AB1815" s="78" t="n">
        <x:f>(IF(J1815&gt;0,K1815*(1-'Inputs'!$E$48)/2/J1815,0)+G1815+R1815)*'Inputs'!$B$17</x:f>
        <x:v>93497.7626540244</x:v>
      </x:c>
      <x:c r="AC1815" s="78" t="n">
        <x:f>AC1814+AB1815</x:f>
        <x:v>16831626.72959245</x:v>
      </x:c>
      <x:c r="AD1815" s="80" t="n">
        <x:f>Z1815/(1+'Inputs'!$C$48)</x:f>
        <x:v>0.4283529395230593</x:v>
      </x:c>
      <x:c r="AE1815" s="80" t="n">
        <x:f>Z1815-AD1815</x:f>
        <x:v>0.1070882348807648</x:v>
      </x:c>
      <x:c r="AF1815" s="80" t="n">
        <x:f>D1815*W1815</x:f>
        <x:v>0.49151497418672885</x:v>
      </x:c>
      <x:c r="AG1815" s="80" t="n">
        <x:f>C1815*W1815</x:f>
        <x:v>0.28671706827557275</x:v>
      </x:c>
      <x:c r="AH1815" s="80" t="n">
        <x:f>2*'Inputs'!$B$8*'Inputs'!$C$48</x:f>
        <x:v>1250</x:v>
      </x:c>
      <x:c r="AI1815" s="81" t="n">
        <x:f>IF(AH1815&gt;0,(AE1815+AF1815)/AH1815*365,0)</x:f>
        <x:v>0.17479213704770816</x:v>
      </x:c>
      <x:c r="AJ1815" s="81" t="n">
        <x:f>IF('Inputs'!$B$48&gt;0,AG1815/('Inputs'!$B$19*'Inputs'!$B$48)*365,0)</x:f>
        <x:v>0.041860691968233624</x:v>
      </x:c>
      <x:c r="AK1815" s="81" t="n">
        <x:f>W1815/MAX($W$1464:W1815)-1</x:f>
        <x:v>-0.9977435616880306</x:v>
      </x:c>
      <x:c r="AL1815" s="83" t="n">
        <x:f>'Inputs'!$B$48</x:f>
        <x:v>0.25</x:v>
      </x:c>
      <x:c r="AM1815" s="83" t="n">
        <x:f>'Inputs'!$C$48</x:f>
        <x:v>0.25</x:v>
      </x:c>
      <x:c r="AN1815" s="83" t="n">
        <x:f>'Inputs'!$D$48</x:f>
        <x:v>0.3</x:v>
      </x:c>
      <x:c r="AO1815" s="81" t="n">
        <x:f>'Inputs'!$E$48</x:f>
        <x:v>0</x:v>
      </x:c>
    </x:row>
    <x:row r="1816">
      <x:c r="A1816" s="59" t="str">
        <x:v>Low participation</x:v>
      </x:c>
      <x:c r="B1816" s="59" t="n">
        <x:v>353</x:v>
      </x:c>
      <x:c r="C1816" s="78" t="n">
        <x:f>(('Inputs'!$B$29*(3*353*'Inputs'!$B$12-353^2)/(2*'Inputs'!$B$12^2))-('Inputs'!$B$29*(3*352*'Inputs'!$B$12-352^2)/(2*'Inputs'!$B$12^2)))*'Inputs'!$B$48</x:f>
        <x:v>149346.44164008647</x:v>
      </x:c>
      <x:c r="D1816" s="78" t="n">
        <x:f>IF('Inputs'!$C$48&gt;0,('Inputs'!$B$30*(3*353*'Inputs'!$B$12-353^2)/(2*'Inputs'!$B$12^2))-('Inputs'!$B$30*(3*352*'Inputs'!$B$12-352^2)/(2*'Inputs'!$B$12^2)),0)</x:f>
        <x:v>256022.47138299048</x:v>
      </x:c>
      <x:c r="E1816" s="78" t="n">
        <x:f>C1816+D1816</x:f>
        <x:v>405368.91302307695</x:v>
      </x:c>
      <x:c r="F1816" s="78" t="n">
        <x:f>'Inputs'!$B$13*E1816+(1-'Inputs'!$B$13)/'Inputs'!$B$14*SUM(E1761:E1816)</x:f>
        <x:v>410222.3095327446</x:v>
      </x:c>
      <x:c r="G1816" s="78" t="n">
        <x:f>F1816*'Inputs'!$F$48</x:f>
        <x:v>205111.1547663723</x:v>
      </x:c>
      <x:c r="H1816" s="78" t="n">
        <x:f>U1815</x:f>
        <x:v>76967637.48599215</x:v>
      </x:c>
      <x:c r="I1816" s="78" t="n">
        <x:f>V1815</x:f>
        <x:v>147.68301073324062</x:v>
      </x:c>
      <x:c r="J1816" s="79" t="n">
        <x:f>IF(H1816&gt;0,I1816/H1816,0)</x:f>
        <x:v>0.0000019187676217828362</x:v>
      </x:c>
      <x:c r="K1816" s="80" t="n">
        <x:f>(H1816*J1816+I1816)*'Inputs'!$D$48*(1+'Inputs'!$G$48)^(B1816/30)</x:f>
        <x:v>88.60980643994436</x:v>
      </x:c>
      <x:c r="L1816" s="80" t="n">
        <x:f>MAX(0,K1816*'Inputs'!$E$48)</x:f>
        <x:v>0</x:v>
      </x:c>
      <x:c r="M1816" s="80" t="n">
        <x:f>MAX(0,-K1816*'Inputs'!$E$48)</x:f>
        <x:v>0</x:v>
      </x:c>
      <x:c r="N1816" s="78" t="n">
        <x:f>H1816*(L1816*(1-'Inputs'!$B$15))/(I1816+L1816*(1-'Inputs'!$B$15))</x:f>
        <x:v>0</x:v>
      </x:c>
      <x:c r="O1816" s="78" t="n">
        <x:f>H1816-N1816</x:f>
        <x:v>76967637.48599215</x:v>
      </x:c>
      <x:c r="P1816" s="78" t="n">
        <x:f>I1816+L1816*(1-'Inputs'!$B$17)</x:f>
        <x:v>147.68301073324062</x:v>
      </x:c>
      <x:c r="Q1816" s="78" t="n">
        <x:f>IF(J1816&gt;0,M1816/J1816,0)</x:f>
        <x:v>0</x:v>
      </x:c>
      <x:c r="R1816" s="78" t="n">
        <x:f>IF(B1816='Inputs'!$H$48,'Inputs'!$B$27*'Inputs'!$I$48,0)</x:f>
        <x:v>0</x:v>
      </x:c>
      <x:c r="S1816" s="78" t="n">
        <x:f>Q1816+G1816+R1816</x:f>
        <x:v>205111.1547663723</x:v>
      </x:c>
      <x:c r="T1816" s="78" t="n">
        <x:f>P1816*(S1816*(1-'Inputs'!$B$15))/(O1816+S1816*(1-'Inputs'!$B$15))</x:f>
        <x:v>0.38859981187560877</x:v>
      </x:c>
      <x:c r="U1816" s="78" t="n">
        <x:f>O1816+S1816*(1-'Inputs'!$B$17)</x:f>
        <x:v>77171923.24375744</x:v>
      </x:c>
      <x:c r="V1816" s="78" t="n">
        <x:f>P1816-T1816</x:f>
        <x:v>147.294410921365</x:v>
      </x:c>
      <x:c r="W1816" s="79" t="n">
        <x:f>IF(U1816&gt;0,V1816/U1816,0)</x:f>
        <x:v>0.0000019086528458817422</x:v>
      </x:c>
      <x:c r="X1816" s="80" t="n">
        <x:f>W1816*('Inputs'!$B$6-AC1816)</x:f>
        <x:v>1876.348188729773</x:v>
      </x:c>
      <x:c r="Y1816" s="80" t="n">
        <x:f>2*V1816</x:f>
        <x:v>294.58882184273</x:v>
      </x:c>
      <x:c r="Z1816" s="80" t="n">
        <x:f>K1816*'Inputs'!$B$16+(G1816+R1816)*J1816*'Inputs'!$B$16</x:f>
        <x:v>0.5340202024954595</x:v>
      </x:c>
      <x:c r="AA1816" s="80" t="n">
        <x:f>K1816*(1+'Inputs'!$E$48)/2*'Inputs'!$B$17</x:f>
        <x:v>0.17828934897373114</x:v>
      </x:c>
      <x:c r="AB1816" s="78" t="n">
        <x:f>(IF(J1816&gt;0,K1816*(1-'Inputs'!$E$48)/2/J1816,0)+G1816+R1816)*'Inputs'!$B$17</x:f>
        <x:v>93744.07404653527</x:v>
      </x:c>
      <x:c r="AC1816" s="78" t="n">
        <x:f>AC1815+AB1816</x:f>
        <x:v>16925370.803638984</x:v>
      </x:c>
      <x:c r="AD1816" s="80" t="n">
        <x:f>Z1816/(1+'Inputs'!$C$48)</x:f>
        <x:v>0.4272161619963676</x:v>
      </x:c>
      <x:c r="AE1816" s="80" t="n">
        <x:f>Z1816-AD1816</x:f>
        <x:v>0.10680404049909187</x:v>
      </x:c>
      <x:c r="AF1816" s="80" t="n">
        <x:f>D1816*W1816</x:f>
        <x:v>0.48865801861482167</x:v>
      </x:c>
      <x:c r="AG1816" s="80" t="n">
        <x:f>C1816*W1816</x:f>
        <x:v>0.28505051085866256</x:v>
      </x:c>
      <x:c r="AH1816" s="80" t="n">
        <x:f>2*'Inputs'!$B$8*'Inputs'!$C$48</x:f>
        <x:v>1250</x:v>
      </x:c>
      <x:c r="AI1816" s="81" t="n">
        <x:f>IF(AH1816&gt;0,(AE1816+AF1816)/AH1816*365,0)</x:f>
        <x:v>0.17387492126126272</x:v>
      </x:c>
      <x:c r="AJ1816" s="81" t="n">
        <x:f>IF('Inputs'!$B$48&gt;0,AG1816/('Inputs'!$B$19*'Inputs'!$B$48)*365,0)</x:f>
        <x:v>0.041617374585364734</x:v>
      </x:c>
      <x:c r="AK1816" s="81" t="n">
        <x:f>W1816/MAX($W$1464:W1816)-1</x:f>
        <x:v>-0.9977554564936345</x:v>
      </x:c>
      <x:c r="AL1816" s="83" t="n">
        <x:f>'Inputs'!$B$48</x:f>
        <x:v>0.25</x:v>
      </x:c>
      <x:c r="AM1816" s="83" t="n">
        <x:f>'Inputs'!$C$48</x:f>
        <x:v>0.25</x:v>
      </x:c>
      <x:c r="AN1816" s="83" t="n">
        <x:f>'Inputs'!$D$48</x:f>
        <x:v>0.3</x:v>
      </x:c>
      <x:c r="AO1816" s="81" t="n">
        <x:f>'Inputs'!$E$48</x:f>
        <x:v>0</x:v>
      </x:c>
    </x:row>
    <x:row r="1817">
      <x:c r="A1817" s="59" t="str">
        <x:v>Low participation</x:v>
      </x:c>
      <x:c r="B1817" s="59" t="n">
        <x:v>354</x:v>
      </x:c>
      <x:c r="C1817" s="78" t="n">
        <x:f>(('Inputs'!$B$29*(3*354*'Inputs'!$B$12-354^2)/(2*'Inputs'!$B$12^2))-('Inputs'!$B$29*(3*353*'Inputs'!$B$12-353^2)/(2*'Inputs'!$B$12^2)))*'Inputs'!$B$48</x:f>
        <x:v>149265.16466504335</x:v>
      </x:c>
      <x:c r="D1817" s="78" t="n">
        <x:f>IF('Inputs'!$C$48&gt;0,('Inputs'!$B$30*(3*354*'Inputs'!$B$12-354^2)/(2*'Inputs'!$B$12^2))-('Inputs'!$B$30*(3*353*'Inputs'!$B$12-353^2)/(2*'Inputs'!$B$12^2)),0)</x:f>
        <x:v>255883.13942578435</x:v>
      </x:c>
      <x:c r="E1817" s="78" t="n">
        <x:f>C1817+D1817</x:f>
        <x:v>405148.3040908277</x:v>
      </x:c>
      <x:c r="F1817" s="78" t="n">
        <x:f>'Inputs'!$B$13*E1817+(1-'Inputs'!$B$13)/'Inputs'!$B$14*SUM(E1762:E1817)</x:f>
        <x:v>410001.7006004888</x:v>
      </x:c>
      <x:c r="G1817" s="78" t="n">
        <x:f>F1817*'Inputs'!$F$48</x:f>
        <x:v>205000.8503002444</x:v>
      </x:c>
      <x:c r="H1817" s="78" t="n">
        <x:f>U1816</x:f>
        <x:v>77171923.24375744</x:v>
      </x:c>
      <x:c r="I1817" s="78" t="n">
        <x:f>V1816</x:f>
        <x:v>147.294410921365</x:v>
      </x:c>
      <x:c r="J1817" s="79" t="n">
        <x:f>IF(H1817&gt;0,I1817/H1817,0)</x:f>
        <x:v>0.0000019086528458817422</x:v>
      </x:c>
      <x:c r="K1817" s="80" t="n">
        <x:f>(H1817*J1817+I1817)*'Inputs'!$D$48*(1+'Inputs'!$G$48)^(B1817/30)</x:f>
        <x:v>88.376646552819</x:v>
      </x:c>
      <x:c r="L1817" s="80" t="n">
        <x:f>MAX(0,K1817*'Inputs'!$E$48)</x:f>
        <x:v>0</x:v>
      </x:c>
      <x:c r="M1817" s="80" t="n">
        <x:f>MAX(0,-K1817*'Inputs'!$E$48)</x:f>
        <x:v>0</x:v>
      </x:c>
      <x:c r="N1817" s="78" t="n">
        <x:f>H1817*(L1817*(1-'Inputs'!$B$15))/(I1817+L1817*(1-'Inputs'!$B$15))</x:f>
        <x:v>0</x:v>
      </x:c>
      <x:c r="O1817" s="78" t="n">
        <x:f>H1817-N1817</x:f>
        <x:v>77171923.24375744</x:v>
      </x:c>
      <x:c r="P1817" s="78" t="n">
        <x:f>I1817+L1817*(1-'Inputs'!$B$17)</x:f>
        <x:v>147.294410921365</x:v>
      </x:c>
      <x:c r="Q1817" s="78" t="n">
        <x:f>IF(J1817&gt;0,M1817/J1817,0)</x:f>
        <x:v>0</x:v>
      </x:c>
      <x:c r="R1817" s="78" t="n">
        <x:f>IF(B1817='Inputs'!$H$48,'Inputs'!$B$27*'Inputs'!$I$48,0)</x:f>
        <x:v>0</x:v>
      </x:c>
      <x:c r="S1817" s="78" t="n">
        <x:f>Q1817+G1817+R1817</x:f>
        <x:v>205000.8503002444</x:v>
      </x:c>
      <x:c r="T1817" s="78" t="n">
        <x:f>P1817*(S1817*(1-'Inputs'!$B$15))/(O1817+S1817*(1-'Inputs'!$B$15))</x:f>
        <x:v>0.38634666669009543</x:v>
      </x:c>
      <x:c r="U1817" s="78" t="n">
        <x:f>O1817+S1817*(1-'Inputs'!$B$17)</x:f>
        <x:v>77376099.14093776</x:v>
      </x:c>
      <x:c r="V1817" s="78" t="n">
        <x:f>P1817-T1817</x:f>
        <x:v>146.9080642546749</x:v>
      </x:c>
      <x:c r="W1817" s="79" t="n">
        <x:f>IF(U1817&gt;0,V1817/U1817,0)</x:f>
        <x:v>0.0000018986232943468396</x:v>
      </x:c>
      <x:c r="X1817" s="80" t="n">
        <x:f>W1817*('Inputs'!$B$6-AC1817)</x:f>
        <x:v>1866.3099389901652</x:v>
      </x:c>
      <x:c r="Y1817" s="80" t="n">
        <x:f>2*V1817</x:f>
        <x:v>293.8161285093498</x:v>
      </x:c>
      <x:c r="Z1817" s="80" t="n">
        <x:f>K1817*'Inputs'!$B$16+(G1817+R1817)*J1817*'Inputs'!$B$16</x:f>
        <x:v>0.5326075320549164</x:v>
      </x:c>
      <x:c r="AA1817" s="80" t="n">
        <x:f>K1817*(1+'Inputs'!$E$48)/2*'Inputs'!$B$17</x:f>
        <x:v>0.17782021439198994</x:v>
      </x:c>
      <x:c r="AB1817" s="78" t="n">
        <x:f>(IF(J1817&gt;0,K1817*(1-'Inputs'!$E$48)/2/J1817,0)+G1817+R1817)*'Inputs'!$B$17</x:f>
        <x:v>93990.25281057335</x:v>
      </x:c>
      <x:c r="AC1817" s="78" t="n">
        <x:f>AC1816+AB1817</x:f>
        <x:v>17019361.05644956</x:v>
      </x:c>
      <x:c r="AD1817" s="80" t="n">
        <x:f>Z1817/(1+'Inputs'!$C$48)</x:f>
        <x:v>0.4260860256439331</x:v>
      </x:c>
      <x:c r="AE1817" s="80" t="n">
        <x:f>Z1817-AD1817</x:f>
        <x:v>0.10652150641098329</x:v>
      </x:c>
      <x:c r="AF1817" s="80" t="n">
        <x:f>D1817*W1817</x:f>
        <x:v>0.48582568914439433</x:v>
      </x:c>
      <x:c r="AG1817" s="80" t="n">
        <x:f>C1817*W1817</x:f>
        <x:v>0.2833983186675681</x:v>
      </x:c>
      <x:c r="AH1817" s="80" t="n">
        <x:f>2*'Inputs'!$B$8*'Inputs'!$C$48</x:f>
        <x:v>1250</x:v>
      </x:c>
      <x:c r="AI1817" s="81" t="n">
        <x:f>IF(AH1817&gt;0,(AE1817+AF1817)/AH1817*365,0)</x:f>
        <x:v>0.17296538110217027</x:v>
      </x:c>
      <x:c r="AJ1817" s="81" t="n">
        <x:f>IF('Inputs'!$B$48&gt;0,AG1817/('Inputs'!$B$19*'Inputs'!$B$48)*365,0)</x:f>
        <x:v>0.04137615452546494</x:v>
      </x:c>
      <x:c r="AK1817" s="81" t="n">
        <x:f>W1817/MAX($W$1464:W1817)-1</x:f>
        <x:v>-0.9977672510768234</x:v>
      </x:c>
      <x:c r="AL1817" s="83" t="n">
        <x:f>'Inputs'!$B$48</x:f>
        <x:v>0.25</x:v>
      </x:c>
      <x:c r="AM1817" s="83" t="n">
        <x:f>'Inputs'!$C$48</x:f>
        <x:v>0.25</x:v>
      </x:c>
      <x:c r="AN1817" s="83" t="n">
        <x:f>'Inputs'!$D$48</x:f>
        <x:v>0.3</x:v>
      </x:c>
      <x:c r="AO1817" s="81" t="n">
        <x:f>'Inputs'!$E$48</x:f>
        <x:v>0</x:v>
      </x:c>
    </x:row>
    <x:row r="1818">
      <x:c r="A1818" s="59" t="str">
        <x:v>Low participation</x:v>
      </x:c>
      <x:c r="B1818" s="59" t="n">
        <x:v>355</x:v>
      </x:c>
      <x:c r="C1818" s="78" t="n">
        <x:f>(('Inputs'!$B$29*(3*355*'Inputs'!$B$12-355^2)/(2*'Inputs'!$B$12^2))-('Inputs'!$B$29*(3*354*'Inputs'!$B$12-354^2)/(2*'Inputs'!$B$12^2)))*'Inputs'!$B$48</x:f>
        <x:v>149183.8876899928</x:v>
      </x:c>
      <x:c r="D1818" s="78" t="n">
        <x:f>IF('Inputs'!$C$48&gt;0,('Inputs'!$B$30*(3*355*'Inputs'!$B$12-355^2)/(2*'Inputs'!$B$12^2))-('Inputs'!$B$30*(3*354*'Inputs'!$B$12-354^2)/(2*'Inputs'!$B$12^2)),0)</x:f>
        <x:v>255743.80746856332</x:v>
      </x:c>
      <x:c r="E1818" s="78" t="n">
        <x:f>C1818+D1818</x:f>
        <x:v>404927.6951585561</x:v>
      </x:c>
      <x:c r="F1818" s="78" t="n">
        <x:f>'Inputs'!$B$13*E1818+(1-'Inputs'!$B$13)/'Inputs'!$B$14*SUM(E1763:E1818)</x:f>
        <x:v>409781.0916682283</x:v>
      </x:c>
      <x:c r="G1818" s="78" t="n">
        <x:f>F1818*'Inputs'!$F$48</x:f>
        <x:v>204890.54583411416</x:v>
      </x:c>
      <x:c r="H1818" s="78" t="n">
        <x:f>U1817</x:f>
        <x:v>77376099.14093776</x:v>
      </x:c>
      <x:c r="I1818" s="78" t="n">
        <x:f>V1817</x:f>
        <x:v>146.9080642546749</x:v>
      </x:c>
      <x:c r="J1818" s="79" t="n">
        <x:f>IF(H1818&gt;0,I1818/H1818,0)</x:f>
        <x:v>0.0000018986232943468396</x:v>
      </x:c>
      <x:c r="K1818" s="80" t="n">
        <x:f>(H1818*J1818+I1818)*'Inputs'!$D$48*(1+'Inputs'!$G$48)^(B1818/30)</x:f>
        <x:v>88.14483855280494</x:v>
      </x:c>
      <x:c r="L1818" s="80" t="n">
        <x:f>MAX(0,K1818*'Inputs'!$E$48)</x:f>
        <x:v>0</x:v>
      </x:c>
      <x:c r="M1818" s="80" t="n">
        <x:f>MAX(0,-K1818*'Inputs'!$E$48)</x:f>
        <x:v>0</x:v>
      </x:c>
      <x:c r="N1818" s="78" t="n">
        <x:f>H1818*(L1818*(1-'Inputs'!$B$15))/(I1818+L1818*(1-'Inputs'!$B$15))</x:f>
        <x:v>0</x:v>
      </x:c>
      <x:c r="O1818" s="78" t="n">
        <x:f>H1818-N1818</x:f>
        <x:v>77376099.14093776</x:v>
      </x:c>
      <x:c r="P1818" s="78" t="n">
        <x:f>I1818+L1818*(1-'Inputs'!$B$17)</x:f>
        <x:v>146.9080642546749</x:v>
      </x:c>
      <x:c r="Q1818" s="78" t="n">
        <x:f>IF(J1818&gt;0,M1818/J1818,0)</x:f>
        <x:v>0</x:v>
      </x:c>
      <x:c r="R1818" s="78" t="n">
        <x:f>IF(B1818='Inputs'!$H$48,'Inputs'!$B$27*'Inputs'!$I$48,0)</x:f>
        <x:v>0</x:v>
      </x:c>
      <x:c r="S1818" s="78" t="n">
        <x:f>Q1818+G1818+R1818</x:f>
        <x:v>204890.54583411416</x:v>
      </x:c>
      <x:c r="T1818" s="78" t="n">
        <x:f>P1818*(S1818*(1-'Inputs'!$B$15))/(O1818+S1818*(1-'Inputs'!$B$15))</x:f>
        <x:v>0.38411291051070184</x:v>
      </x:c>
      <x:c r="U1818" s="78" t="n">
        <x:f>O1818+S1818*(1-'Inputs'!$B$17)</x:f>
        <x:v>77580165.1775331</x:v>
      </x:c>
      <x:c r="V1818" s="78" t="n">
        <x:f>P1818-T1818</x:f>
        <x:v>146.5239513441642</x:v>
      </x:c>
      <x:c r="W1818" s="79" t="n">
        <x:f>IF(U1818&gt;0,V1818/U1818,0)</x:f>
        <x:v>0.0000018886780017658035</x:v>
      </x:c>
      <x:c r="X1818" s="80" t="n">
        <x:f>W1818*('Inputs'!$B$6-AC1818)</x:f>
        <x:v>1856.3559269095902</x:v>
      </x:c>
      <x:c r="Y1818" s="80" t="n">
        <x:f>2*V1818</x:f>
        <x:v>293.0479026883284</x:v>
      </x:c>
      <x:c r="Z1818" s="80" t="n">
        <x:f>K1818*'Inputs'!$B$16+(G1818+R1818)*J1818*'Inputs'!$B$16</x:f>
        <x:v>0.5312030910955021</x:v>
      </x:c>
      <x:c r="AA1818" s="80" t="n">
        <x:f>K1818*(1+'Inputs'!$E$48)/2*'Inputs'!$B$17</x:f>
        <x:v>0.17735379990504013</x:v>
      </x:c>
      <x:c r="AB1818" s="78" t="n">
        <x:f>(IF(J1818&gt;0,K1818*(1-'Inputs'!$E$48)/2/J1818,0)+G1818+R1818)*'Inputs'!$B$17</x:f>
        <x:v>94236.29894613859</x:v>
      </x:c>
      <x:c r="AC1818" s="78" t="n">
        <x:f>AC1817+AB1818</x:f>
        <x:v>17113597.355395697</x:v>
      </x:c>
      <x:c r="AD1818" s="80" t="n">
        <x:f>Z1818/(1+'Inputs'!$C$48)</x:f>
        <x:v>0.4249624728764017</x:v>
      </x:c>
      <x:c r="AE1818" s="80" t="n">
        <x:f>Z1818-AD1818</x:f>
        <x:v>0.10624061821910041</x:v>
      </x:c>
      <x:c r="AF1818" s="80" t="n">
        <x:f>D1818*W1818</x:f>
        <x:v>0.4830177032537045</x:v>
      </x:c>
      <x:c r="AG1818" s="80" t="n">
        <x:f>C1818*W1818</x:f>
        <x:v>0.28176032689798963</x:v>
      </x:c>
      <x:c r="AH1818" s="80" t="n">
        <x:f>2*'Inputs'!$B$8*'Inputs'!$C$48</x:f>
        <x:v>1250</x:v>
      </x:c>
      <x:c r="AI1818" s="81" t="n">
        <x:f>IF(AH1818&gt;0,(AE1818+AF1818)/AH1818*365,0)</x:f>
        <x:v>0.17206342987005901</x:v>
      </x:c>
      <x:c r="AJ1818" s="81" t="n">
        <x:f>IF('Inputs'!$B$48&gt;0,AG1818/('Inputs'!$B$19*'Inputs'!$B$48)*365,0)</x:f>
        <x:v>0.04113700772710649</x:v>
      </x:c>
      <x:c r="AK1818" s="81" t="n">
        <x:f>W1818/MAX($W$1464:W1818)-1</x:f>
        <x:v>-0.9977789465729058</x:v>
      </x:c>
      <x:c r="AL1818" s="83" t="n">
        <x:f>'Inputs'!$B$48</x:f>
        <x:v>0.25</x:v>
      </x:c>
      <x:c r="AM1818" s="83" t="n">
        <x:f>'Inputs'!$C$48</x:f>
        <x:v>0.25</x:v>
      </x:c>
      <x:c r="AN1818" s="83" t="n">
        <x:f>'Inputs'!$D$48</x:f>
        <x:v>0.3</x:v>
      </x:c>
      <x:c r="AO1818" s="81" t="n">
        <x:f>'Inputs'!$E$48</x:f>
        <x:v>0</x:v>
      </x:c>
    </x:row>
    <x:row r="1819">
      <x:c r="A1819" s="59" t="str">
        <x:v>Low participation</x:v>
      </x:c>
      <x:c r="B1819" s="59" t="n">
        <x:v>356</x:v>
      </x:c>
      <x:c r="C1819" s="78" t="n">
        <x:f>(('Inputs'!$B$29*(3*356*'Inputs'!$B$12-356^2)/(2*'Inputs'!$B$12^2))-('Inputs'!$B$29*(3*355*'Inputs'!$B$12-355^2)/(2*'Inputs'!$B$12^2)))*'Inputs'!$B$48</x:f>
        <x:v>149102.61071495712</x:v>
      </x:c>
      <x:c r="D1819" s="78" t="n">
        <x:f>IF('Inputs'!$C$48&gt;0,('Inputs'!$B$30*(3*356*'Inputs'!$B$12-356^2)/(2*'Inputs'!$B$12^2))-('Inputs'!$B$30*(3*355*'Inputs'!$B$12-355^2)/(2*'Inputs'!$B$12^2)),0)</x:f>
        <x:v>255604.4755113572</x:v>
      </x:c>
      <x:c r="E1819" s="78" t="n">
        <x:f>C1819+D1819</x:f>
        <x:v>404707.0862263143</x:v>
      </x:c>
      <x:c r="F1819" s="78" t="n">
        <x:f>'Inputs'!$B$13*E1819+(1-'Inputs'!$B$13)/'Inputs'!$B$14*SUM(E1764:E1819)</x:f>
        <x:v>409560.4827359741</x:v>
      </x:c>
      <x:c r="G1819" s="78" t="n">
        <x:f>F1819*'Inputs'!$F$48</x:f>
        <x:v>204780.24136798704</x:v>
      </x:c>
      <x:c r="H1819" s="78" t="n">
        <x:f>U1818</x:f>
        <x:v>77580165.1775331</x:v>
      </x:c>
      <x:c r="I1819" s="78" t="n">
        <x:f>V1818</x:f>
        <x:v>146.5239513441642</x:v>
      </x:c>
      <x:c r="J1819" s="79" t="n">
        <x:f>IF(H1819&gt;0,I1819/H1819,0)</x:f>
        <x:v>0.0000018886780017658035</x:v>
      </x:c>
      <x:c r="K1819" s="80" t="n">
        <x:f>(H1819*J1819+I1819)*'Inputs'!$D$48*(1+'Inputs'!$G$48)^(B1819/30)</x:f>
        <x:v>87.91437080649852</x:v>
      </x:c>
      <x:c r="L1819" s="80" t="n">
        <x:f>MAX(0,K1819*'Inputs'!$E$48)</x:f>
        <x:v>0</x:v>
      </x:c>
      <x:c r="M1819" s="80" t="n">
        <x:f>MAX(0,-K1819*'Inputs'!$E$48)</x:f>
        <x:v>0</x:v>
      </x:c>
      <x:c r="N1819" s="78" t="n">
        <x:f>H1819*(L1819*(1-'Inputs'!$B$15))/(I1819+L1819*(1-'Inputs'!$B$15))</x:f>
        <x:v>0</x:v>
      </x:c>
      <x:c r="O1819" s="78" t="n">
        <x:f>H1819-N1819</x:f>
        <x:v>77580165.1775331</x:v>
      </x:c>
      <x:c r="P1819" s="78" t="n">
        <x:f>I1819+L1819*(1-'Inputs'!$B$17)</x:f>
        <x:v>146.5239513441642</x:v>
      </x:c>
      <x:c r="Q1819" s="78" t="n">
        <x:f>IF(J1819&gt;0,M1819/J1819,0)</x:f>
        <x:v>0</x:v>
      </x:c>
      <x:c r="R1819" s="78" t="n">
        <x:f>IF(B1819='Inputs'!$H$48,'Inputs'!$B$27*'Inputs'!$I$48,0)</x:f>
        <x:v>0</x:v>
      </x:c>
      <x:c r="S1819" s="78" t="n">
        <x:f>Q1819+G1819+R1819</x:f>
        <x:v>204780.24136798704</x:v>
      </x:c>
      <x:c r="T1819" s="78" t="n">
        <x:f>P1819*(S1819*(1-'Inputs'!$B$15))/(O1819+S1819*(1-'Inputs'!$B$15))</x:f>
        <x:v>0.3818983212439251</x:v>
      </x:c>
      <x:c r="U1819" s="78" t="n">
        <x:f>O1819+S1819*(1-'Inputs'!$B$17)</x:f>
        <x:v>77784121.35354348</x:v>
      </x:c>
      <x:c r="V1819" s="78" t="n">
        <x:f>P1819-T1819</x:f>
        <x:v>146.14205302292027</x:v>
      </x:c>
      <x:c r="W1819" s="79" t="n">
        <x:f>IF(U1819&gt;0,V1819/U1819,0)</x:f>
        <x:v>0.0000018788160164293316</x:v>
      </x:c>
      <x:c r="X1819" s="80" t="n">
        <x:f>W1819*('Inputs'!$B$6-AC1819)</x:f>
        <x:v>1846.4852009252668</x:v>
      </x:c>
      <x:c r="Y1819" s="80" t="n">
        <x:f>2*V1819</x:f>
        <x:v>292.28410604584053</x:v>
      </x:c>
      <x:c r="Z1819" s="80" t="n">
        <x:f>K1819*'Inputs'!$B$16+(G1819+R1819)*J1819*'Inputs'!$B$16</x:f>
        <x:v>0.5298068084613993</x:v>
      </x:c>
      <x:c r="AA1819" s="80" t="n">
        <x:f>K1819*(1+'Inputs'!$E$48)/2*'Inputs'!$B$17</x:f>
        <x:v>0.17689008210563084</x:v>
      </x:c>
      <x:c r="AB1819" s="78" t="n">
        <x:f>(IF(J1819&gt;0,K1819*(1-'Inputs'!$E$48)/2/J1819,0)+G1819+R1819)*'Inputs'!$B$17</x:f>
        <x:v>94482.21245323108</x:v>
      </x:c>
      <x:c r="AC1819" s="78" t="n">
        <x:f>AC1818+AB1819</x:f>
        <x:v>17208079.56784893</x:v>
      </x:c>
      <x:c r="AD1819" s="80" t="n">
        <x:f>Z1819/(1+'Inputs'!$C$48)</x:f>
        <x:v>0.4238454467691194</x:v>
      </x:c>
      <x:c r="AE1819" s="80" t="n">
        <x:f>Z1819-AD1819</x:f>
        <x:v>0.10596136169227988</x:v>
      </x:c>
      <x:c r="AF1819" s="80" t="n">
        <x:f>D1819*W1819</x:f>
        <x:v>0.48023378246175674</x:v>
      </x:c>
      <x:c r="AG1819" s="80" t="n">
        <x:f>C1819*W1819</x:f>
        <x:v>0.2801363731026891</x:v>
      </x:c>
      <x:c r="AH1819" s="80" t="n">
        <x:f>2*'Inputs'!$B$8*'Inputs'!$C$48</x:f>
        <x:v>1250</x:v>
      </x:c>
      <x:c r="AI1819" s="81" t="n">
        <x:f>IF(AH1819&gt;0,(AE1819+AF1819)/AH1819*365,0)</x:f>
        <x:v>0.1711689820929787</x:v>
      </x:c>
      <x:c r="AJ1819" s="81" t="n">
        <x:f>IF('Inputs'!$B$48&gt;0,AG1819/('Inputs'!$B$19*'Inputs'!$B$48)*365,0)</x:f>
        <x:v>0.04089991047299261</x:v>
      </x:c>
      <x:c r="AK1819" s="81" t="n">
        <x:f>W1819/MAX($W$1464:W1819)-1</x:f>
        <x:v>-0.9977905441010758</x:v>
      </x:c>
      <x:c r="AL1819" s="83" t="n">
        <x:f>'Inputs'!$B$48</x:f>
        <x:v>0.25</x:v>
      </x:c>
      <x:c r="AM1819" s="83" t="n">
        <x:f>'Inputs'!$C$48</x:f>
        <x:v>0.25</x:v>
      </x:c>
      <x:c r="AN1819" s="83" t="n">
        <x:f>'Inputs'!$D$48</x:f>
        <x:v>0.3</x:v>
      </x:c>
      <x:c r="AO1819" s="81" t="n">
        <x:f>'Inputs'!$E$48</x:f>
        <x:v>0</x:v>
      </x:c>
    </x:row>
    <x:row r="1820">
      <x:c r="A1820" s="59" t="str">
        <x:v>Low participation</x:v>
      </x:c>
      <x:c r="B1820" s="59" t="n">
        <x:v>357</x:v>
      </x:c>
      <x:c r="C1820" s="78" t="n">
        <x:f>(('Inputs'!$B$29*(3*357*'Inputs'!$B$12-357^2)/(2*'Inputs'!$B$12^2))-('Inputs'!$B$29*(3*356*'Inputs'!$B$12-356^2)/(2*'Inputs'!$B$12^2)))*'Inputs'!$B$48</x:f>
        <x:v>149021.333739914</x:v>
      </x:c>
      <x:c r="D1820" s="78" t="n">
        <x:f>IF('Inputs'!$C$48&gt;0,('Inputs'!$B$30*(3*357*'Inputs'!$B$12-357^2)/(2*'Inputs'!$B$12^2))-('Inputs'!$B$30*(3*356*'Inputs'!$B$12-356^2)/(2*'Inputs'!$B$12^2)),0)</x:f>
        <x:v>255465.14355413616</x:v>
      </x:c>
      <x:c r="E1820" s="78" t="n">
        <x:f>C1820+D1820</x:f>
        <x:v>404486.47729405016</x:v>
      </x:c>
      <x:c r="F1820" s="78" t="n">
        <x:f>'Inputs'!$B$13*E1820+(1-'Inputs'!$B$13)/'Inputs'!$B$14*SUM(E1765:E1820)</x:f>
        <x:v>409339.8738037152</x:v>
      </x:c>
      <x:c r="G1820" s="78" t="n">
        <x:f>F1820*'Inputs'!$F$48</x:f>
        <x:v>204669.9369018576</x:v>
      </x:c>
      <x:c r="H1820" s="78" t="n">
        <x:f>U1819</x:f>
        <x:v>77784121.35354348</x:v>
      </x:c>
      <x:c r="I1820" s="78" t="n">
        <x:f>V1819</x:f>
        <x:v>146.14205302292027</x:v>
      </x:c>
      <x:c r="J1820" s="79" t="n">
        <x:f>IF(H1820&gt;0,I1820/H1820,0)</x:f>
        <x:v>0.0000018788160164293316</x:v>
      </x:c>
      <x:c r="K1820" s="80" t="n">
        <x:f>(H1820*J1820+I1820)*'Inputs'!$D$48*(1+'Inputs'!$G$48)^(B1820/30)</x:f>
        <x:v>87.68523181375215</x:v>
      </x:c>
      <x:c r="L1820" s="80" t="n">
        <x:f>MAX(0,K1820*'Inputs'!$E$48)</x:f>
        <x:v>0</x:v>
      </x:c>
      <x:c r="M1820" s="80" t="n">
        <x:f>MAX(0,-K1820*'Inputs'!$E$48)</x:f>
        <x:v>0</x:v>
      </x:c>
      <x:c r="N1820" s="78" t="n">
        <x:f>H1820*(L1820*(1-'Inputs'!$B$15))/(I1820+L1820*(1-'Inputs'!$B$15))</x:f>
        <x:v>0</x:v>
      </x:c>
      <x:c r="O1820" s="78" t="n">
        <x:f>H1820-N1820</x:f>
        <x:v>77784121.35354348</x:v>
      </x:c>
      <x:c r="P1820" s="78" t="n">
        <x:f>I1820+L1820*(1-'Inputs'!$B$17)</x:f>
        <x:v>146.14205302292027</x:v>
      </x:c>
      <x:c r="Q1820" s="78" t="n">
        <x:f>IF(J1820&gt;0,M1820/J1820,0)</x:f>
        <x:v>0</x:v>
      </x:c>
      <x:c r="R1820" s="78" t="n">
        <x:f>IF(B1820='Inputs'!$H$48,'Inputs'!$B$27*'Inputs'!$I$48,0)</x:f>
        <x:v>0</x:v>
      </x:c>
      <x:c r="S1820" s="78" t="n">
        <x:f>Q1820+G1820+R1820</x:f>
        <x:v>204669.9369018576</x:v>
      </x:c>
      <x:c r="T1820" s="78" t="n">
        <x:f>P1820*(S1820*(1-'Inputs'!$B$15))/(O1820+S1820*(1-'Inputs'!$B$15))</x:f>
        <x:v>0.3797026799678503</x:v>
      </x:c>
      <x:c r="U1820" s="78" t="n">
        <x:f>O1820+S1820*(1-'Inputs'!$B$17)</x:f>
        <x:v>77987967.66896887</x:v>
      </x:c>
      <x:c r="V1820" s="78" t="n">
        <x:f>P1820-T1820</x:f>
        <x:v>145.7623503429524</x:v>
      </x:c>
      <x:c r="W1820" s="79" t="n">
        <x:f>IF(U1820&gt;0,V1820/U1820,0)</x:f>
        <x:v>0.0000018690364000977899</x:v>
      </x:c>
      <x:c r="X1820" s="80" t="n">
        <x:f>W1820*('Inputs'!$B$6-AC1820)</x:f>
        <x:v>1836.6968229420556</x:v>
      </x:c>
      <x:c r="Y1820" s="80" t="n">
        <x:f>2*V1820</x:f>
        <x:v>291.5247006859048</x:v>
      </x:c>
      <x:c r="Z1820" s="80" t="n">
        <x:f>K1820*'Inputs'!$B$16+(G1820+R1820)*J1820*'Inputs'!$B$16</x:f>
        <x:v>0.5284186138157096</x:v>
      </x:c>
      <x:c r="AA1820" s="80" t="n">
        <x:f>K1820*(1+'Inputs'!$E$48)/2*'Inputs'!$B$17</x:f>
        <x:v>0.17642903785463213</x:v>
      </x:c>
      <x:c r="AB1820" s="78" t="n">
        <x:f>(IF(J1820&gt;0,K1820*(1-'Inputs'!$E$48)/2/J1820,0)+G1820+R1820)*'Inputs'!$B$17</x:f>
        <x:v>94727.99333185071</x:v>
      </x:c>
      <x:c r="AC1820" s="78" t="n">
        <x:f>AC1819+AB1820</x:f>
        <x:v>17302807.561180778</x:v>
      </x:c>
      <x:c r="AD1820" s="80" t="n">
        <x:f>Z1820/(1+'Inputs'!$C$48)</x:f>
        <x:v>0.42273489105256773</x:v>
      </x:c>
      <x:c r="AE1820" s="80" t="n">
        <x:f>Z1820-AD1820</x:f>
        <x:v>0.10568372276314192</x:v>
      </x:c>
      <x:c r="AF1820" s="80" t="n">
        <x:f>D1820*W1820</x:f>
        <x:v>0.47747365225888777</x:v>
      </x:c>
      <x:c r="AG1820" s="80" t="n">
        <x:f>C1820*W1820</x:f>
        <x:v>0.2785262971510202</x:v>
      </x:c>
      <x:c r="AH1820" s="80" t="n">
        <x:f>2*'Inputs'!$B$8*'Inputs'!$C$48</x:f>
        <x:v>1250</x:v>
      </x:c>
      <x:c r="AI1820" s="81" t="n">
        <x:f>IF(AH1820&gt;0,(AE1820+AF1820)/AH1820*365,0)</x:f>
        <x:v>0.1702819535064327</x:v>
      </x:c>
      <x:c r="AJ1820" s="81" t="n">
        <x:f>IF('Inputs'!$B$48&gt;0,AG1820/('Inputs'!$B$19*'Inputs'!$B$48)*365,0)</x:f>
        <x:v>0.04066483938404895</x:v>
      </x:c>
      <x:c r="AK1820" s="81" t="n">
        <x:f>W1820/MAX($W$1464:W1820)-1</x:f>
        <x:v>-0.9978020447646874</x:v>
      </x:c>
      <x:c r="AL1820" s="83" t="n">
        <x:f>'Inputs'!$B$48</x:f>
        <x:v>0.25</x:v>
      </x:c>
      <x:c r="AM1820" s="83" t="n">
        <x:f>'Inputs'!$C$48</x:f>
        <x:v>0.25</x:v>
      </x:c>
      <x:c r="AN1820" s="83" t="n">
        <x:f>'Inputs'!$D$48</x:f>
        <x:v>0.3</x:v>
      </x:c>
      <x:c r="AO1820" s="81" t="n">
        <x:f>'Inputs'!$E$48</x:f>
        <x:v>0</x:v>
      </x:c>
    </x:row>
    <x:row r="1821">
      <x:c r="A1821" s="59" t="str">
        <x:v>Low participation</x:v>
      </x:c>
      <x:c r="B1821" s="59" t="n">
        <x:v>358</x:v>
      </x:c>
      <x:c r="C1821" s="78" t="n">
        <x:f>(('Inputs'!$B$29*(3*358*'Inputs'!$B$12-358^2)/(2*'Inputs'!$B$12^2))-('Inputs'!$B$29*(3*357*'Inputs'!$B$12-357^2)/(2*'Inputs'!$B$12^2)))*'Inputs'!$B$48</x:f>
        <x:v>148940.05676487088</x:v>
      </x:c>
      <x:c r="D1821" s="78" t="n">
        <x:f>IF('Inputs'!$C$48&gt;0,('Inputs'!$B$30*(3*358*'Inputs'!$B$12-358^2)/(2*'Inputs'!$B$12^2))-('Inputs'!$B$30*(3*357*'Inputs'!$B$12-357^2)/(2*'Inputs'!$B$12^2)),0)</x:f>
        <x:v>255325.81159693003</x:v>
      </x:c>
      <x:c r="E1821" s="78" t="n">
        <x:f>C1821+D1821</x:f>
        <x:v>404265.8683618009</x:v>
      </x:c>
      <x:c r="F1821" s="78" t="n">
        <x:f>'Inputs'!$B$13*E1821+(1-'Inputs'!$B$13)/'Inputs'!$B$14*SUM(E1766:E1821)</x:f>
        <x:v>409119.2648714595</x:v>
      </x:c>
      <x:c r="G1821" s="78" t="n">
        <x:f>F1821*'Inputs'!$F$48</x:f>
        <x:v>204559.63243572976</x:v>
      </x:c>
      <x:c r="H1821" s="78" t="n">
        <x:f>U1820</x:f>
        <x:v>77987967.66896887</x:v>
      </x:c>
      <x:c r="I1821" s="78" t="n">
        <x:f>V1820</x:f>
        <x:v>145.7623503429524</x:v>
      </x:c>
      <x:c r="J1821" s="79" t="n">
        <x:f>IF(H1821&gt;0,I1821/H1821,0)</x:f>
        <x:v>0.0000018690364000977899</x:v>
      </x:c>
      <x:c r="K1821" s="80" t="n">
        <x:f>(H1821*J1821+I1821)*'Inputs'!$D$48*(1+'Inputs'!$G$48)^(B1821/30)</x:f>
        <x:v>87.45741020577144</x:v>
      </x:c>
      <x:c r="L1821" s="80" t="n">
        <x:f>MAX(0,K1821*'Inputs'!$E$48)</x:f>
        <x:v>0</x:v>
      </x:c>
      <x:c r="M1821" s="80" t="n">
        <x:f>MAX(0,-K1821*'Inputs'!$E$48)</x:f>
        <x:v>0</x:v>
      </x:c>
      <x:c r="N1821" s="78" t="n">
        <x:f>H1821*(L1821*(1-'Inputs'!$B$15))/(I1821+L1821*(1-'Inputs'!$B$15))</x:f>
        <x:v>0</x:v>
      </x:c>
      <x:c r="O1821" s="78" t="n">
        <x:f>H1821-N1821</x:f>
        <x:v>77987967.66896887</x:v>
      </x:c>
      <x:c r="P1821" s="78" t="n">
        <x:f>I1821+L1821*(1-'Inputs'!$B$17)</x:f>
        <x:v>145.7623503429524</x:v>
      </x:c>
      <x:c r="Q1821" s="78" t="n">
        <x:f>IF(J1821&gt;0,M1821/J1821,0)</x:f>
        <x:v>0</x:v>
      </x:c>
      <x:c r="R1821" s="78" t="n">
        <x:f>IF(B1821='Inputs'!$H$48,'Inputs'!$B$27*'Inputs'!$I$48,0)</x:f>
        <x:v>0</x:v>
      </x:c>
      <x:c r="S1821" s="78" t="n">
        <x:f>Q1821+G1821+R1821</x:f>
        <x:v>204559.63243572976</x:v>
      </x:c>
      <x:c r="T1821" s="78" t="n">
        <x:f>P1821*(S1821*(1-'Inputs'!$B$15))/(O1821+S1821*(1-'Inputs'!$B$15))</x:f>
        <x:v>0.3775257708779823</x:v>
      </x:c>
      <x:c r="U1821" s="78" t="n">
        <x:f>O1821+S1821*(1-'Inputs'!$B$17)</x:f>
        <x:v>78191704.1238093</x:v>
      </x:c>
      <x:c r="V1821" s="78" t="n">
        <x:f>P1821-T1821</x:f>
        <x:v>145.38482457207442</x:v>
      </x:c>
      <x:c r="W1821" s="79" t="n">
        <x:f>IF(U1821&gt;0,V1821/U1821,0)</x:f>
        <x:v>0.0000018593382277724894</x:v>
      </x:c>
      <x:c r="X1821" s="80" t="n">
        <x:f>W1821*('Inputs'!$B$6-AC1821)</x:f>
        <x:v>1826.989868103771</x:v>
      </x:c>
      <x:c r="Y1821" s="80" t="n">
        <x:f>2*V1821</x:f>
        <x:v>290.76964914414884</x:v>
      </x:c>
      <x:c r="Z1821" s="80" t="n">
        <x:f>K1821*'Inputs'!$B$16+(G1821+R1821)*J1821*'Inputs'!$B$16</x:f>
        <x:v>0.5270384376287066</x:v>
      </x:c>
      <x:c r="AA1821" s="80" t="n">
        <x:f>K1821*(1+'Inputs'!$E$48)/2*'Inputs'!$B$17</x:f>
        <x:v>0.17597064427720613</x:v>
      </x:c>
      <x:c r="AB1821" s="78" t="n">
        <x:f>(IF(J1821&gt;0,K1821*(1-'Inputs'!$E$48)/2/J1821,0)+G1821+R1821)*'Inputs'!$B$17</x:f>
        <x:v>94973.64158199755</x:v>
      </x:c>
      <x:c r="AC1821" s="78" t="n">
        <x:f>AC1820+AB1821</x:f>
        <x:v>17397781.202762775</x:v>
      </x:c>
      <x:c r="AD1821" s="80" t="n">
        <x:f>Z1821/(1+'Inputs'!$C$48)</x:f>
        <x:v>0.4216307501029653</x:v>
      </x:c>
      <x:c r="AE1821" s="80" t="n">
        <x:f>Z1821-AD1821</x:f>
        <x:v>0.10540768752574131</x:v>
      </x:c>
      <x:c r="AF1821" s="80" t="n">
        <x:f>D1821*W1821</x:f>
        <x:v>0.4747370420392084</x:v>
      </x:c>
      <x:c r="AG1821" s="80" t="n">
        <x:f>C1821*W1821</x:f>
        <x:v>0.276929941189529</x:v>
      </x:c>
      <x:c r="AH1821" s="80" t="n">
        <x:f>2*'Inputs'!$B$8*'Inputs'!$C$48</x:f>
        <x:v>1250</x:v>
      </x:c>
      <x:c r="AI1821" s="81" t="n">
        <x:f>IF(AH1821&gt;0,(AE1821+AF1821)/AH1821*365,0)</x:f>
        <x:v>0.16940226103296532</x:v>
      </x:c>
      <x:c r="AJ1821" s="81" t="n">
        <x:f>IF('Inputs'!$B$48&gt;0,AG1821/('Inputs'!$B$19*'Inputs'!$B$48)*365,0)</x:f>
        <x:v>0.040431771413671234</x:v>
      </x:c>
      <x:c r="AK1821" s="81" t="n">
        <x:f>W1821/MAX($W$1464:W1821)-1</x:f>
        <x:v>-0.9978134496515233</x:v>
      </x:c>
      <x:c r="AL1821" s="83" t="n">
        <x:f>'Inputs'!$B$48</x:f>
        <x:v>0.25</x:v>
      </x:c>
      <x:c r="AM1821" s="83" t="n">
        <x:f>'Inputs'!$C$48</x:f>
        <x:v>0.25</x:v>
      </x:c>
      <x:c r="AN1821" s="83" t="n">
        <x:f>'Inputs'!$D$48</x:f>
        <x:v>0.3</x:v>
      </x:c>
      <x:c r="AO1821" s="81" t="n">
        <x:f>'Inputs'!$E$48</x:f>
        <x:v>0</x:v>
      </x:c>
    </x:row>
    <x:row r="1822">
      <x:c r="A1822" s="59" t="str">
        <x:v>Low participation</x:v>
      </x:c>
      <x:c r="B1822" s="59" t="n">
        <x:v>359</x:v>
      </x:c>
      <x:c r="C1822" s="78" t="n">
        <x:f>(('Inputs'!$B$29*(3*359*'Inputs'!$B$12-359^2)/(2*'Inputs'!$B$12^2))-('Inputs'!$B$29*(3*358*'Inputs'!$B$12-358^2)/(2*'Inputs'!$B$12^2)))*'Inputs'!$B$48</x:f>
        <x:v>148858.77978982776</x:v>
      </x:c>
      <x:c r="D1822" s="78" t="n">
        <x:f>IF('Inputs'!$C$48&gt;0,('Inputs'!$B$30*(3*359*'Inputs'!$B$12-359^2)/(2*'Inputs'!$B$12^2))-('Inputs'!$B$30*(3*358*'Inputs'!$B$12-358^2)/(2*'Inputs'!$B$12^2)),0)</x:f>
        <x:v>255186.479639709</x:v>
      </x:c>
      <x:c r="E1822" s="78" t="n">
        <x:f>C1822+D1822</x:f>
        <x:v>404045.25942953676</x:v>
      </x:c>
      <x:c r="F1822" s="78" t="n">
        <x:f>'Inputs'!$B$13*E1822+(1-'Inputs'!$B$13)/'Inputs'!$B$14*SUM(E1767:E1822)</x:f>
        <x:v>408898.6559392008</x:v>
      </x:c>
      <x:c r="G1822" s="78" t="n">
        <x:f>F1822*'Inputs'!$F$48</x:f>
        <x:v>204449.3279696004</x:v>
      </x:c>
      <x:c r="H1822" s="78" t="n">
        <x:f>U1821</x:f>
        <x:v>78191704.1238093</x:v>
      </x:c>
      <x:c r="I1822" s="78" t="n">
        <x:f>V1821</x:f>
        <x:v>145.38482457207442</x:v>
      </x:c>
      <x:c r="J1822" s="79" t="n">
        <x:f>IF(H1822&gt;0,I1822/H1822,0)</x:f>
        <x:v>0.0000018593382277724894</x:v>
      </x:c>
      <x:c r="K1822" s="80" t="n">
        <x:f>(H1822*J1822+I1822)*'Inputs'!$D$48*(1+'Inputs'!$G$48)^(B1822/30)</x:f>
        <x:v>87.23089474324465</x:v>
      </x:c>
      <x:c r="L1822" s="80" t="n">
        <x:f>MAX(0,K1822*'Inputs'!$E$48)</x:f>
        <x:v>0</x:v>
      </x:c>
      <x:c r="M1822" s="80" t="n">
        <x:f>MAX(0,-K1822*'Inputs'!$E$48)</x:f>
        <x:v>0</x:v>
      </x:c>
      <x:c r="N1822" s="78" t="n">
        <x:f>H1822*(L1822*(1-'Inputs'!$B$15))/(I1822+L1822*(1-'Inputs'!$B$15))</x:f>
        <x:v>0</x:v>
      </x:c>
      <x:c r="O1822" s="78" t="n">
        <x:f>H1822-N1822</x:f>
        <x:v>78191704.1238093</x:v>
      </x:c>
      <x:c r="P1822" s="78" t="n">
        <x:f>I1822+L1822*(1-'Inputs'!$B$17)</x:f>
        <x:v>145.38482457207442</x:v>
      </x:c>
      <x:c r="Q1822" s="78" t="n">
        <x:f>IF(J1822&gt;0,M1822/J1822,0)</x:f>
        <x:v>0</x:v>
      </x:c>
      <x:c r="R1822" s="78" t="n">
        <x:f>IF(B1822='Inputs'!$H$48,'Inputs'!$B$27*'Inputs'!$I$48,0)</x:f>
        <x:v>0</x:v>
      </x:c>
      <x:c r="S1822" s="78" t="n">
        <x:f>Q1822+G1822+R1822</x:f>
        <x:v>204449.3279696004</x:v>
      </x:c>
      <x:c r="T1822" s="78" t="n">
        <x:f>P1822*(S1822*(1-'Inputs'!$B$15))/(O1822+S1822*(1-'Inputs'!$B$15))</x:f>
        <x:v>0.37536738123408636</x:v>
      </x:c>
      <x:c r="U1822" s="78" t="n">
        <x:f>O1822+S1822*(1-'Inputs'!$B$17)</x:f>
        <x:v>78395330.71806473</x:v>
      </x:c>
      <x:c r="V1822" s="78" t="n">
        <x:f>P1822-T1822</x:f>
        <x:v>145.00945719084032</x:v>
      </x:c>
      <x:c r="W1822" s="79" t="n">
        <x:f>IF(U1822&gt;0,V1822/U1822,0)</x:f>
        <x:v>0.0000018497205874714887</x:v>
      </x:c>
      <x:c r="X1822" s="80" t="n">
        <x:f>W1822*('Inputs'!$B$6-AC1822)</x:f>
        <x:v>1817.3634245690127</x:v>
      </x:c>
      <x:c r="Y1822" s="80" t="n">
        <x:f>2*V1822</x:f>
        <x:v>290.01891438168064</x:v>
      </x:c>
      <x:c r="Z1822" s="80" t="n">
        <x:f>K1822*'Inputs'!$B$16+(G1822+R1822)*J1822*'Inputs'!$B$16</x:f>
        <x:v>0.5256662111662855</x:v>
      </x:c>
      <x:c r="AA1822" s="80" t="n">
        <x:f>K1822*(1+'Inputs'!$E$48)/2*'Inputs'!$B$17</x:f>
        <x:v>0.17551487875904356</x:v>
      </x:c>
      <x:c r="AB1822" s="78" t="n">
        <x:f>(IF(J1822&gt;0,K1822*(1-'Inputs'!$E$48)/2/J1822,0)+G1822+R1822)*'Inputs'!$B$17</x:f>
        <x:v>95219.15720367158</x:v>
      </x:c>
      <x:c r="AC1822" s="78" t="n">
        <x:f>AC1821+AB1822</x:f>
        <x:v>17493000.359966446</x:v>
      </x:c>
      <x:c r="AD1822" s="80" t="n">
        <x:f>Z1822/(1+'Inputs'!$C$48)</x:f>
        <x:v>0.42053296893302844</x:v>
      </x:c>
      <x:c r="AE1822" s="80" t="n">
        <x:f>Z1822-AD1822</x:f>
        <x:v>0.1051332422332571</x:v>
      </x:c>
      <x:c r="AF1822" s="80" t="n">
        <x:f>D1822*W1822</x:f>
        <x:v>0.4720236850339436</x:v>
      </x:c>
      <x:c r="AG1822" s="80" t="n">
        <x:f>C1822*W1822</x:f>
        <x:v>0.27534714960312917</x:v>
      </x:c>
      <x:c r="AH1822" s="80" t="n">
        <x:f>2*'Inputs'!$B$8*'Inputs'!$C$48</x:f>
        <x:v>1250</x:v>
      </x:c>
      <x:c r="AI1822" s="81" t="n">
        <x:f>IF(AH1822&gt;0,(AE1822+AF1822)/AH1822*365,0)</x:f>
        <x:v>0.1685298227620226</x:v>
      </x:c>
      <x:c r="AJ1822" s="81" t="n">
        <x:f>IF('Inputs'!$B$48&gt;0,AG1822/('Inputs'!$B$19*'Inputs'!$B$48)*365,0)</x:f>
        <x:v>0.04020068384205686</x:v>
      </x:c>
      <x:c r="AK1822" s="81" t="n">
        <x:f>W1822/MAX($W$1464:W1822)-1</x:f>
        <x:v>-0.9978247598340589</x:v>
      </x:c>
      <x:c r="AL1822" s="83" t="n">
        <x:f>'Inputs'!$B$48</x:f>
        <x:v>0.25</x:v>
      </x:c>
      <x:c r="AM1822" s="83" t="n">
        <x:f>'Inputs'!$C$48</x:f>
        <x:v>0.25</x:v>
      </x:c>
      <x:c r="AN1822" s="83" t="n">
        <x:f>'Inputs'!$D$48</x:f>
        <x:v>0.3</x:v>
      </x:c>
      <x:c r="AO1822" s="81" t="n">
        <x:f>'Inputs'!$E$48</x:f>
        <x:v>0</x:v>
      </x:c>
    </x:row>
    <x:row r="1823">
      <x:c r="A1823" s="59" t="str">
        <x:v>Low participation</x:v>
      </x:c>
      <x:c r="B1823" s="59" t="n">
        <x:v>360</x:v>
      </x:c>
      <x:c r="C1823" s="78" t="n">
        <x:f>(('Inputs'!$B$29*(3*360*'Inputs'!$B$12-360^2)/(2*'Inputs'!$B$12^2))-('Inputs'!$B$29*(3*359*'Inputs'!$B$12-359^2)/(2*'Inputs'!$B$12^2)))*'Inputs'!$B$48</x:f>
        <x:v>148777.5028147921</x:v>
      </x:c>
      <x:c r="D1823" s="78" t="n">
        <x:f>IF('Inputs'!$C$48&gt;0,('Inputs'!$B$30*(3*360*'Inputs'!$B$12-360^2)/(2*'Inputs'!$B$12^2))-('Inputs'!$B$30*(3*359*'Inputs'!$B$12-359^2)/(2*'Inputs'!$B$12^2)),0)</x:f>
        <x:v>255047.14768248796</x:v>
      </x:c>
      <x:c r="E1823" s="78" t="n">
        <x:f>C1823+D1823</x:f>
        <x:v>403824.65049728006</x:v>
      </x:c>
      <x:c r="F1823" s="78" t="n">
        <x:f>'Inputs'!$B$13*E1823+(1-'Inputs'!$B$13)/'Inputs'!$B$14*SUM(E1768:E1823)</x:f>
        <x:v>408678.0470069435</x:v>
      </x:c>
      <x:c r="G1823" s="78" t="n">
        <x:f>F1823*'Inputs'!$F$48</x:f>
        <x:v>204339.02350347175</x:v>
      </x:c>
      <x:c r="H1823" s="78" t="n">
        <x:f>U1822</x:f>
        <x:v>78395330.71806473</x:v>
      </x:c>
      <x:c r="I1823" s="78" t="n">
        <x:f>V1822</x:f>
        <x:v>145.00945719084032</x:v>
      </x:c>
      <x:c r="J1823" s="79" t="n">
        <x:f>IF(H1823&gt;0,I1823/H1823,0)</x:f>
        <x:v>0.0000018497205874714887</x:v>
      </x:c>
      <x:c r="K1823" s="80" t="n">
        <x:f>(H1823*J1823+I1823)*'Inputs'!$D$48*(1+'Inputs'!$G$48)^(B1823/30)</x:f>
        <x:v>87.00567431450419</x:v>
      </x:c>
      <x:c r="L1823" s="80" t="n">
        <x:f>MAX(0,K1823*'Inputs'!$E$48)</x:f>
        <x:v>0</x:v>
      </x:c>
      <x:c r="M1823" s="80" t="n">
        <x:f>MAX(0,-K1823*'Inputs'!$E$48)</x:f>
        <x:v>0</x:v>
      </x:c>
      <x:c r="N1823" s="78" t="n">
        <x:f>H1823*(L1823*(1-'Inputs'!$B$15))/(I1823+L1823*(1-'Inputs'!$B$15))</x:f>
        <x:v>0</x:v>
      </x:c>
      <x:c r="O1823" s="78" t="n">
        <x:f>H1823-N1823</x:f>
        <x:v>78395330.71806473</x:v>
      </x:c>
      <x:c r="P1823" s="78" t="n">
        <x:f>I1823+L1823*(1-'Inputs'!$B$17)</x:f>
        <x:v>145.00945719084032</x:v>
      </x:c>
      <x:c r="Q1823" s="78" t="n">
        <x:f>IF(J1823&gt;0,M1823/J1823,0)</x:f>
        <x:v>0</x:v>
      </x:c>
      <x:c r="R1823" s="78" t="n">
        <x:f>IF(B1823='Inputs'!$H$48,'Inputs'!$B$27*'Inputs'!$I$48,0)</x:f>
        <x:v>0</x:v>
      </x:c>
      <x:c r="S1823" s="78" t="n">
        <x:f>Q1823+G1823+R1823</x:f>
        <x:v>204339.02350347175</x:v>
      </x:c>
      <x:c r="T1823" s="78" t="n">
        <x:f>P1823*(S1823*(1-'Inputs'!$B$15))/(O1823+S1823*(1-'Inputs'!$B$15))</x:f>
        <x:v>0.3732273013081365</x:v>
      </x:c>
      <x:c r="U1823" s="78" t="n">
        <x:f>O1823+S1823*(1-'Inputs'!$B$17)</x:f>
        <x:v>78598847.45173518</x:v>
      </x:c>
      <x:c r="V1823" s="78" t="n">
        <x:f>P1823-T1823</x:f>
        <x:v>144.6362298895322</x:v>
      </x:c>
      <x:c r="W1823" s="79" t="n">
        <x:f>IF(U1823&gt;0,V1823/U1823,0)</x:f>
        <x:v>0.0000018401825800098183</x:v>
      </x:c>
      <x:c r="X1823" s="80" t="n">
        <x:f>W1823*('Inputs'!$B$6-AC1823)</x:f>
        <x:v>1807.8165932914237</x:v>
      </x:c>
      <x:c r="Y1823" s="80" t="n">
        <x:f>2*V1823</x:f>
        <x:v>289.2724597790644</x:v>
      </x:c>
      <x:c r="Z1823" s="80" t="n">
        <x:f>K1823*'Inputs'!$B$16+(G1823+R1823)*J1823*'Inputs'!$B$16</x:f>
        <x:v>0.5243018664786143</x:v>
      </x:c>
      <x:c r="AA1823" s="80" t="n">
        <x:f>K1823*(1+'Inputs'!$E$48)/2*'Inputs'!$B$17</x:f>
        <x:v>0.1750617189426644</x:v>
      </x:c>
      <x:c r="AB1823" s="78" t="n">
        <x:f>(IF(J1823&gt;0,K1823*(1-'Inputs'!$E$48)/2/J1823,0)+G1823+R1823)*'Inputs'!$B$17</x:f>
        <x:v>95464.5401968728</x:v>
      </x:c>
      <x:c r="AC1823" s="78" t="n">
        <x:f>AC1822+AB1823</x:f>
        <x:v>17588464.90016332</x:v>
      </x:c>
      <x:c r="AD1823" s="80" t="n">
        <x:f>Z1823/(1+'Inputs'!$C$48)</x:f>
        <x:v>0.4194414931828915</x:v>
      </x:c>
      <x:c r="AE1823" s="80" t="n">
        <x:f>Z1823-AD1823</x:f>
        <x:v>0.10486037329572284</x:v>
      </x:c>
      <x:c r="AF1823" s="80" t="n">
        <x:f>D1823*W1823</x:f>
        <x:v>0.46933331824650587</x:v>
      </x:c>
      <x:c r="AG1823" s="80" t="n">
        <x:f>C1823*W1823</x:f>
        <x:v>0.2737777689771421</x:v>
      </x:c>
      <x:c r="AH1823" s="80" t="n">
        <x:f>2*'Inputs'!$B$8*'Inputs'!$C$48</x:f>
        <x:v>1250</x:v>
      </x:c>
      <x:c r="AI1823" s="81" t="n">
        <x:f>IF(AH1823&gt;0,(AE1823+AF1823)/AH1823*365,0)</x:f>
        <x:v>0.1676645579303308</x:v>
      </x:c>
      <x:c r="AJ1823" s="81" t="n">
        <x:f>IF('Inputs'!$B$48&gt;0,AG1823/('Inputs'!$B$19*'Inputs'!$B$48)*365,0)</x:f>
        <x:v>0.03997155427066275</x:v>
      </x:c>
      <x:c r="AK1823" s="81" t="n">
        <x:f>W1823/MAX($W$1464:W1823)-1</x:f>
        <x:v>-0.9978359763697208</x:v>
      </x:c>
      <x:c r="AL1823" s="83" t="n">
        <x:f>'Inputs'!$B$48</x:f>
        <x:v>0.25</x:v>
      </x:c>
      <x:c r="AM1823" s="83" t="n">
        <x:f>'Inputs'!$C$48</x:f>
        <x:v>0.25</x:v>
      </x:c>
      <x:c r="AN1823" s="83" t="n">
        <x:f>'Inputs'!$D$48</x:f>
        <x:v>0.3</x:v>
      </x:c>
      <x:c r="AO1823" s="81" t="n">
        <x:f>'Inputs'!$E$48</x:f>
        <x:v>0</x:v>
      </x:c>
    </x:row>
    <x:row r="1824">
      <x:c r="A1824" s="59" t="str">
        <x:v>Low participation</x:v>
      </x:c>
      <x:c r="B1824" s="59" t="n">
        <x:v>361</x:v>
      </x:c>
      <x:c r="C1824" s="78" t="n">
        <x:f>(('Inputs'!$B$29*(3*361*'Inputs'!$B$12-361^2)/(2*'Inputs'!$B$12^2))-('Inputs'!$B$29*(3*360*'Inputs'!$B$12-360^2)/(2*'Inputs'!$B$12^2)))*'Inputs'!$B$48</x:f>
        <x:v>148696.22583974153</x:v>
      </x:c>
      <x:c r="D1824" s="78" t="n">
        <x:f>IF('Inputs'!$C$48&gt;0,('Inputs'!$B$30*(3*361*'Inputs'!$B$12-361^2)/(2*'Inputs'!$B$12^2))-('Inputs'!$B$30*(3*360*'Inputs'!$B$12-360^2)/(2*'Inputs'!$B$12^2)),0)</x:f>
        <x:v>254907.81572526693</x:v>
      </x:c>
      <x:c r="E1824" s="78" t="n">
        <x:f>C1824+D1824</x:f>
        <x:v>403604.04156500846</x:v>
      </x:c>
      <x:c r="F1824" s="78" t="n">
        <x:f>'Inputs'!$B$13*E1824+(1-'Inputs'!$B$13)/'Inputs'!$B$14*SUM(E1769:E1824)</x:f>
        <x:v>408457.438074683</x:v>
      </x:c>
      <x:c r="G1824" s="78" t="n">
        <x:f>F1824*'Inputs'!$F$48</x:f>
        <x:v>204228.7190373415</x:v>
      </x:c>
      <x:c r="H1824" s="78" t="n">
        <x:f>U1823</x:f>
        <x:v>78598847.45173518</x:v>
      </x:c>
      <x:c r="I1824" s="78" t="n">
        <x:f>V1823</x:f>
        <x:v>144.6362298895322</x:v>
      </x:c>
      <x:c r="J1824" s="79" t="n">
        <x:f>IF(H1824&gt;0,I1824/H1824,0)</x:f>
        <x:v>0.0000018401825800098183</x:v>
      </x:c>
      <x:c r="K1824" s="80" t="n">
        <x:f>(H1824*J1824+I1824)*'Inputs'!$D$48*(1+'Inputs'!$G$48)^(B1824/30)</x:f>
        <x:v>86.78173793371931</x:v>
      </x:c>
      <x:c r="L1824" s="80" t="n">
        <x:f>MAX(0,K1824*'Inputs'!$E$48)</x:f>
        <x:v>0</x:v>
      </x:c>
      <x:c r="M1824" s="80" t="n">
        <x:f>MAX(0,-K1824*'Inputs'!$E$48)</x:f>
        <x:v>0</x:v>
      </x:c>
      <x:c r="N1824" s="78" t="n">
        <x:f>H1824*(L1824*(1-'Inputs'!$B$15))/(I1824+L1824*(1-'Inputs'!$B$15))</x:f>
        <x:v>0</x:v>
      </x:c>
      <x:c r="O1824" s="78" t="n">
        <x:f>H1824-N1824</x:f>
        <x:v>78598847.45173518</x:v>
      </x:c>
      <x:c r="P1824" s="78" t="n">
        <x:f>I1824+L1824*(1-'Inputs'!$B$17)</x:f>
        <x:v>144.6362298895322</x:v>
      </x:c>
      <x:c r="Q1824" s="78" t="n">
        <x:f>IF(J1824&gt;0,M1824/J1824,0)</x:f>
        <x:v>0</x:v>
      </x:c>
      <x:c r="R1824" s="78" t="n">
        <x:f>IF(B1824='Inputs'!$H$48,'Inputs'!$B$27*'Inputs'!$I$48,0)</x:f>
        <x:v>0</x:v>
      </x:c>
      <x:c r="S1824" s="78" t="n">
        <x:f>Q1824+G1824+R1824</x:f>
        <x:v>204228.7190373415</x:v>
      </x:c>
      <x:c r="T1824" s="78" t="n">
        <x:f>P1824*(S1824*(1-'Inputs'!$B$15))/(O1824+S1824*(1-'Inputs'!$B$15))</x:f>
        <x:v>0.3711053243332517</x:v>
      </x:c>
      <x:c r="U1824" s="78" t="n">
        <x:f>O1824+S1824*(1-'Inputs'!$B$17)</x:f>
        <x:v>78802254.32482067</x:v>
      </x:c>
      <x:c r="V1824" s="78" t="n">
        <x:f>P1824-T1824</x:f>
        <x:v>144.26512456519893</x:v>
      </x:c>
      <x:c r="W1824" s="79" t="n">
        <x:f>IF(U1824&gt;0,V1824/U1824,0)</x:f>
        <x:v>0.0000018307233187840306</x:v>
      </x:c>
      <x:c r="X1824" s="80" t="n">
        <x:f>W1824*('Inputs'!$B$6-AC1824)</x:f>
        <x:v>1798.34848780427</x:v>
      </x:c>
      <x:c r="Y1824" s="80" t="n">
        <x:f>2*V1824</x:f>
        <x:v>288.53024913039786</x:v>
      </x:c>
      <x:c r="Z1824" s="80" t="n">
        <x:f>K1824*'Inputs'!$B$16+(G1824+R1824)*J1824*'Inputs'!$B$16</x:f>
        <x:v>0.5229453363889773</x:v>
      </x:c>
      <x:c r="AA1824" s="80" t="n">
        <x:f>K1824*(1+'Inputs'!$E$48)/2*'Inputs'!$B$17</x:f>
        <x:v>0.17461114272378134</x:v>
      </x:c>
      <x:c r="AB1824" s="78" t="n">
        <x:f>(IF(J1824&gt;0,K1824*(1-'Inputs'!$E$48)/2/J1824,0)+G1824+R1824)*'Inputs'!$B$17</x:f>
        <x:v>95709.79056160121</x:v>
      </x:c>
      <x:c r="AC1824" s="78" t="n">
        <x:f>AC1823+AB1824</x:f>
        <x:v>17684174.69072492</x:v>
      </x:c>
      <x:c r="AD1824" s="80" t="n">
        <x:f>Z1824/(1+'Inputs'!$C$48)</x:f>
        <x:v>0.41835626911118184</x:v>
      </x:c>
      <x:c r="AE1824" s="80" t="n">
        <x:f>Z1824-AD1824</x:f>
        <x:v>0.10458906727779549</x:v>
      </x:c>
      <x:c r="AF1824" s="80" t="n">
        <x:f>D1824*W1824</x:f>
        <x:v>0.4666656823885488</x:v>
      </x:c>
      <x:c r="AG1824" s="80" t="n">
        <x:f>C1824*W1824</x:f>
        <x:v>0.27222164805999133</x:v>
      </x:c>
      <x:c r="AH1824" s="80" t="n">
        <x:f>2*'Inputs'!$B$8*'Inputs'!$C$48</x:f>
        <x:v>1250</x:v>
      </x:c>
      <x:c r="AI1824" s="81" t="n">
        <x:f>IF(AH1824&gt;0,(AE1824+AF1824)/AH1824*365,0)</x:f>
        <x:v>0.16680638690257255</x:v>
      </x:c>
      <x:c r="AJ1824" s="81" t="n">
        <x:f>IF('Inputs'!$B$48&gt;0,AG1824/('Inputs'!$B$19*'Inputs'!$B$48)*365,0)</x:f>
        <x:v>0.039744360616758734</x:v>
      </x:c>
      <x:c r="AK1824" s="81" t="n">
        <x:f>W1824/MAX($W$1464:W1824)-1</x:f>
        <x:v>-0.9978471003011392</x:v>
      </x:c>
      <x:c r="AL1824" s="83" t="n">
        <x:f>'Inputs'!$B$48</x:f>
        <x:v>0.25</x:v>
      </x:c>
      <x:c r="AM1824" s="83" t="n">
        <x:f>'Inputs'!$C$48</x:f>
        <x:v>0.25</x:v>
      </x:c>
      <x:c r="AN1824" s="83" t="n">
        <x:f>'Inputs'!$D$48</x:f>
        <x:v>0.3</x:v>
      </x:c>
      <x:c r="AO1824" s="81" t="n">
        <x:f>'Inputs'!$E$48</x:f>
        <x:v>0</x:v>
      </x:c>
    </x:row>
    <x:row r="1825">
      <x:c r="A1825" s="59" t="str">
        <x:v>Low participation</x:v>
      </x:c>
      <x:c r="B1825" s="59" t="n">
        <x:v>362</x:v>
      </x:c>
      <x:c r="C1825" s="78" t="n">
        <x:f>(('Inputs'!$B$29*(3*362*'Inputs'!$B$12-362^2)/(2*'Inputs'!$B$12^2))-('Inputs'!$B$29*(3*361*'Inputs'!$B$12-361^2)/(2*'Inputs'!$B$12^2)))*'Inputs'!$B$48</x:f>
        <x:v>148614.94886470586</x:v>
      </x:c>
      <x:c r="D1825" s="78" t="n">
        <x:f>IF('Inputs'!$C$48&gt;0,('Inputs'!$B$30*(3*362*'Inputs'!$B$12-362^2)/(2*'Inputs'!$B$12^2))-('Inputs'!$B$30*(3*361*'Inputs'!$B$12-361^2)/(2*'Inputs'!$B$12^2)),0)</x:f>
        <x:v>254768.4837680757</x:v>
      </x:c>
      <x:c r="E1825" s="78" t="n">
        <x:f>C1825+D1825</x:f>
        <x:v>403383.43263278157</x:v>
      </x:c>
      <x:c r="F1825" s="78" t="n">
        <x:f>'Inputs'!$B$13*E1825+(1-'Inputs'!$B$13)/'Inputs'!$B$14*SUM(E1770:E1825)</x:f>
        <x:v>408236.82914243196</x:v>
      </x:c>
      <x:c r="G1825" s="78" t="n">
        <x:f>F1825*'Inputs'!$F$48</x:f>
        <x:v>204118.41457121598</x:v>
      </x:c>
      <x:c r="H1825" s="78" t="n">
        <x:f>U1824</x:f>
        <x:v>78802254.32482067</x:v>
      </x:c>
      <x:c r="I1825" s="78" t="n">
        <x:f>V1824</x:f>
        <x:v>144.26512456519893</x:v>
      </x:c>
      <x:c r="J1825" s="79" t="n">
        <x:f>IF(H1825&gt;0,I1825/H1825,0)</x:f>
        <x:v>0.0000018307233187840306</x:v>
      </x:c>
      <x:c r="K1825" s="80" t="n">
        <x:f>(H1825*J1825+I1825)*'Inputs'!$D$48*(1+'Inputs'!$G$48)^(B1825/30)</x:f>
        <x:v>86.55907473911935</x:v>
      </x:c>
      <x:c r="L1825" s="80" t="n">
        <x:f>MAX(0,K1825*'Inputs'!$E$48)</x:f>
        <x:v>0</x:v>
      </x:c>
      <x:c r="M1825" s="80" t="n">
        <x:f>MAX(0,-K1825*'Inputs'!$E$48)</x:f>
        <x:v>0</x:v>
      </x:c>
      <x:c r="N1825" s="78" t="n">
        <x:f>H1825*(L1825*(1-'Inputs'!$B$15))/(I1825+L1825*(1-'Inputs'!$B$15))</x:f>
        <x:v>0</x:v>
      </x:c>
      <x:c r="O1825" s="78" t="n">
        <x:f>H1825-N1825</x:f>
        <x:v>78802254.32482067</x:v>
      </x:c>
      <x:c r="P1825" s="78" t="n">
        <x:f>I1825+L1825*(1-'Inputs'!$B$17)</x:f>
        <x:v>144.26512456519893</x:v>
      </x:c>
      <x:c r="Q1825" s="78" t="n">
        <x:f>IF(J1825&gt;0,M1825/J1825,0)</x:f>
        <x:v>0</x:v>
      </x:c>
      <x:c r="R1825" s="78" t="n">
        <x:f>IF(B1825='Inputs'!$H$48,'Inputs'!$B$27*'Inputs'!$I$48,0)</x:f>
        <x:v>0</x:v>
      </x:c>
      <x:c r="S1825" s="78" t="n">
        <x:f>Q1825+G1825+R1825</x:f>
        <x:v>204118.41457121598</x:v>
      </x:c>
      <x:c r="T1825" s="78" t="n">
        <x:f>P1825*(S1825*(1-'Inputs'!$B$15))/(O1825+S1825*(1-'Inputs'!$B$15))</x:f>
        <x:v>0.369001246453681</x:v>
      </x:c>
      <x:c r="U1825" s="78" t="n">
        <x:f>O1825+S1825*(1-'Inputs'!$B$17)</x:f>
        <x:v>79005551.33732118</x:v>
      </x:c>
      <x:c r="V1825" s="78" t="n">
        <x:f>P1825-T1825</x:f>
        <x:v>143.89612331874525</x:v>
      </x:c>
      <x:c r="W1825" s="79" t="n">
        <x:f>IF(U1825&gt;0,V1825/U1825,0)</x:f>
        <x:v>0.0000018213419295609755</x:v>
      </x:c>
      <x:c r="X1825" s="80" t="n">
        <x:f>W1825*('Inputs'!$B$6-AC1825)</x:f>
        <x:v>1788.9582340092472</x:v>
      </x:c>
      <x:c r="Y1825" s="80" t="n">
        <x:f>2*V1825</x:f>
        <x:v>287.7922466374905</x:v>
      </x:c>
      <x:c r="Z1825" s="80" t="n">
        <x:f>K1825*'Inputs'!$B$16+(G1825+R1825)*J1825*'Inputs'!$B$16</x:f>
        <x:v>0.5215965544828086</x:v>
      </x:c>
      <x:c r="AA1825" s="80" t="n">
        <x:f>K1825*(1+'Inputs'!$E$48)/2*'Inputs'!$B$17</x:f>
        <x:v>0.17416312824772506</x:v>
      </x:c>
      <x:c r="AB1825" s="78" t="n">
        <x:f>(IF(J1825&gt;0,K1825*(1-'Inputs'!$E$48)/2/J1825,0)+G1825+R1825)*'Inputs'!$B$17</x:f>
        <x:v>95954.9082978568</x:v>
      </x:c>
      <x:c r="AC1825" s="78" t="n">
        <x:f>AC1824+AB1825</x:f>
        <x:v>17780129.599022776</x:v>
      </x:c>
      <x:c r="AD1825" s="80" t="n">
        <x:f>Z1825/(1+'Inputs'!$C$48)</x:f>
        <x:v>0.4172772435862469</x:v>
      </x:c>
      <x:c r="AE1825" s="80" t="n">
        <x:f>Z1825-AD1825</x:f>
        <x:v>0.10431931089656171</x:v>
      </x:c>
      <x:c r="AF1825" s="80" t="n">
        <x:f>D1825*W1825</x:f>
        <x:v>0.46402052181747105</x:v>
      </x:c>
      <x:c r="AG1825" s="80" t="n">
        <x:f>C1825*W1825</x:f>
        <x:v>0.2706786377268491</x:v>
      </x:c>
      <x:c r="AH1825" s="80" t="n">
        <x:f>2*'Inputs'!$B$8*'Inputs'!$C$48</x:f>
        <x:v>1250</x:v>
      </x:c>
      <x:c r="AI1825" s="81" t="n">
        <x:f>IF(AH1825&gt;0,(AE1825+AF1825)/AH1825*365,0)</x:f>
        <x:v>0.16595523115249758</x:v>
      </x:c>
      <x:c r="AJ1825" s="81" t="n">
        <x:f>IF('Inputs'!$B$48&gt;0,AG1825/('Inputs'!$B$19*'Inputs'!$B$48)*365,0)</x:f>
        <x:v>0.03951908110811997</x:v>
      </x:c>
      <x:c r="AK1825" s="81" t="n">
        <x:f>W1825/MAX($W$1464:W1825)-1</x:f>
        <x:v>-0.997858132656398</x:v>
      </x:c>
      <x:c r="AL1825" s="83" t="n">
        <x:f>'Inputs'!$B$48</x:f>
        <x:v>0.25</x:v>
      </x:c>
      <x:c r="AM1825" s="83" t="n">
        <x:f>'Inputs'!$C$48</x:f>
        <x:v>0.25</x:v>
      </x:c>
      <x:c r="AN1825" s="83" t="n">
        <x:f>'Inputs'!$D$48</x:f>
        <x:v>0.3</x:v>
      </x:c>
      <x:c r="AO1825" s="81" t="n">
        <x:f>'Inputs'!$E$48</x:f>
        <x:v>0</x:v>
      </x:c>
    </x:row>
    <x:row r="1826">
      <x:c r="A1826" s="59" t="str">
        <x:v>Low participation</x:v>
      </x:c>
      <x:c r="B1826" s="59" t="n">
        <x:v>363</x:v>
      </x:c>
      <x:c r="C1826" s="78" t="n">
        <x:f>(('Inputs'!$B$29*(3*363*'Inputs'!$B$12-363^2)/(2*'Inputs'!$B$12^2))-('Inputs'!$B$29*(3*362*'Inputs'!$B$12-362^2)/(2*'Inputs'!$B$12^2)))*'Inputs'!$B$48</x:f>
        <x:v>148533.6718896553</x:v>
      </x:c>
      <x:c r="D1826" s="78" t="n">
        <x:f>IF('Inputs'!$C$48&gt;0,('Inputs'!$B$30*(3*363*'Inputs'!$B$12-363^2)/(2*'Inputs'!$B$12^2))-('Inputs'!$B$30*(3*362*'Inputs'!$B$12-362^2)/(2*'Inputs'!$B$12^2)),0)</x:f>
        <x:v>254629.15181083977</x:v>
      </x:c>
      <x:c r="E1826" s="78" t="n">
        <x:f>C1826+D1826</x:f>
        <x:v>403162.82370049506</x:v>
      </x:c>
      <x:c r="F1826" s="78" t="n">
        <x:f>'Inputs'!$B$13*E1826+(1-'Inputs'!$B$13)/'Inputs'!$B$14*SUM(E1771:E1826)</x:f>
        <x:v>408016.22021016845</x:v>
      </x:c>
      <x:c r="G1826" s="78" t="n">
        <x:f>F1826*'Inputs'!$F$48</x:f>
        <x:v>204008.11010508423</x:v>
      </x:c>
      <x:c r="H1826" s="78" t="n">
        <x:f>U1825</x:f>
        <x:v>79005551.33732118</x:v>
      </x:c>
      <x:c r="I1826" s="78" t="n">
        <x:f>V1825</x:f>
        <x:v>143.89612331874525</x:v>
      </x:c>
      <x:c r="J1826" s="79" t="n">
        <x:f>IF(H1826&gt;0,I1826/H1826,0)</x:f>
        <x:v>0.0000018213419295609755</x:v>
      </x:c>
      <x:c r="K1826" s="80" t="n">
        <x:f>(H1826*J1826+I1826)*'Inputs'!$D$48*(1+'Inputs'!$G$48)^(B1826/30)</x:f>
        <x:v>86.33767399124714</x:v>
      </x:c>
      <x:c r="L1826" s="80" t="n">
        <x:f>MAX(0,K1826*'Inputs'!$E$48)</x:f>
        <x:v>0</x:v>
      </x:c>
      <x:c r="M1826" s="80" t="n">
        <x:f>MAX(0,-K1826*'Inputs'!$E$48)</x:f>
        <x:v>0</x:v>
      </x:c>
      <x:c r="N1826" s="78" t="n">
        <x:f>H1826*(L1826*(1-'Inputs'!$B$15))/(I1826+L1826*(1-'Inputs'!$B$15))</x:f>
        <x:v>0</x:v>
      </x:c>
      <x:c r="O1826" s="78" t="n">
        <x:f>H1826-N1826</x:f>
        <x:v>79005551.33732118</x:v>
      </x:c>
      <x:c r="P1826" s="78" t="n">
        <x:f>I1826+L1826*(1-'Inputs'!$B$17)</x:f>
        <x:v>143.89612331874525</x:v>
      </x:c>
      <x:c r="Q1826" s="78" t="n">
        <x:f>IF(J1826&gt;0,M1826/J1826,0)</x:f>
        <x:v>0</x:v>
      </x:c>
      <x:c r="R1826" s="78" t="n">
        <x:f>IF(B1826='Inputs'!$H$48,'Inputs'!$B$27*'Inputs'!$I$48,0)</x:f>
        <x:v>0</x:v>
      </x:c>
      <x:c r="S1826" s="78" t="n">
        <x:f>Q1826+G1826+R1826</x:f>
        <x:v>204008.11010508423</x:v>
      </x:c>
      <x:c r="T1826" s="78" t="n">
        <x:f>P1826*(S1826*(1-'Inputs'!$B$15))/(O1826+S1826*(1-'Inputs'!$B$15))</x:f>
        <x:v>0.3669148666757021</x:v>
      </x:c>
      <x:c r="U1826" s="78" t="n">
        <x:f>O1826+S1826*(1-'Inputs'!$B$17)</x:f>
        <x:v>79208738.4892367</x:v>
      </x:c>
      <x:c r="V1826" s="78" t="n">
        <x:f>P1826-T1826</x:f>
        <x:v>143.52920845206955</x:v>
      </x:c>
      <x:c r="W1826" s="79" t="n">
        <x:f>IF(U1826&gt;0,V1826/U1826,0)</x:f>
        <x:v>0.0000018120375502707073</x:v>
      </x:c>
      <x:c r="X1826" s="80" t="n">
        <x:f>W1826*('Inputs'!$B$6-AC1826)</x:f>
        <x:v>1779.6449699694153</x:v>
      </x:c>
      <x:c r="Y1826" s="80" t="n">
        <x:f>2*V1826</x:f>
        <x:v>287.0584169041391</x:v>
      </x:c>
      <x:c r="Z1826" s="80" t="n">
        <x:f>K1826*'Inputs'!$B$16+(G1826+R1826)*J1826*'Inputs'!$B$16</x:f>
        <x:v>0.5202554550969122</x:v>
      </x:c>
      <x:c r="AA1826" s="80" t="n">
        <x:f>K1826*(1+'Inputs'!$E$48)/2*'Inputs'!$B$17</x:f>
        <x:v>0.1737176539059299</x:v>
      </x:c>
      <x:c r="AB1826" s="78" t="n">
        <x:f>(IF(J1826&gt;0,K1826*(1-'Inputs'!$E$48)/2/J1826,0)+G1826+R1826)*'Inputs'!$B$17</x:f>
        <x:v>96199.89340563957</x:v>
      </x:c>
      <x:c r="AC1826" s="78" t="n">
        <x:f>AC1825+AB1826</x:f>
        <x:v>17876329.492428415</x:v>
      </x:c>
      <x:c r="AD1826" s="80" t="n">
        <x:f>Z1826/(1+'Inputs'!$C$48)</x:f>
        <x:v>0.41620436407752975</x:v>
      </x:c>
      <x:c r="AE1826" s="80" t="n">
        <x:f>Z1826-AD1826</x:f>
        <x:v>0.10405109101938242</x:v>
      </x:c>
      <x:c r="AF1826" s="80" t="n">
        <x:f>D1826*W1826</x:f>
        <x:v>0.46139758447482215</x:v>
      </x:c>
      <x:c r="AG1826" s="80" t="n">
        <x:f>C1826*W1826</x:f>
        <x:v>0.269148590943644</x:v>
      </x:c>
      <x:c r="AH1826" s="80" t="n">
        <x:f>2*'Inputs'!$B$8*'Inputs'!$C$48</x:f>
        <x:v>1250</x:v>
      </x:c>
      <x:c r="AI1826" s="81" t="n">
        <x:f>IF(AH1826&gt;0,(AE1826+AF1826)/AH1826*365,0)</x:f>
        <x:v>0.1651110132443077</x:v>
      </x:c>
      <x:c r="AJ1826" s="81" t="n">
        <x:f>IF('Inputs'!$B$48&gt;0,AG1826/('Inputs'!$B$19*'Inputs'!$B$48)*365,0)</x:f>
        <x:v>0.03929569427777203</x:v>
      </x:c>
      <x:c r="AK1826" s="81" t="n">
        <x:f>W1826/MAX($W$1464:W1826)-1</x:f>
        <x:v>-0.9978690744492765</x:v>
      </x:c>
      <x:c r="AL1826" s="83" t="n">
        <x:f>'Inputs'!$B$48</x:f>
        <x:v>0.25</x:v>
      </x:c>
      <x:c r="AM1826" s="83" t="n">
        <x:f>'Inputs'!$C$48</x:f>
        <x:v>0.25</x:v>
      </x:c>
      <x:c r="AN1826" s="83" t="n">
        <x:f>'Inputs'!$D$48</x:f>
        <x:v>0.3</x:v>
      </x:c>
      <x:c r="AO1826" s="81" t="n">
        <x:f>'Inputs'!$E$48</x:f>
        <x:v>0</x:v>
      </x:c>
    </x:row>
    <x:row r="1827">
      <x:c r="A1827" s="59" t="str">
        <x:v>Low participation</x:v>
      </x:c>
      <x:c r="B1827" s="59" t="n">
        <x:v>364</x:v>
      </x:c>
      <x:c r="C1827" s="78" t="n">
        <x:f>(('Inputs'!$B$29*(3*364*'Inputs'!$B$12-364^2)/(2*'Inputs'!$B$12^2))-('Inputs'!$B$29*(3*363*'Inputs'!$B$12-363^2)/(2*'Inputs'!$B$12^2)))*'Inputs'!$B$48</x:f>
        <x:v>148452.39491461962</x:v>
      </x:c>
      <x:c r="D1827" s="78" t="n">
        <x:f>IF('Inputs'!$C$48&gt;0,('Inputs'!$B$30*(3*364*'Inputs'!$B$12-364^2)/(2*'Inputs'!$B$12^2))-('Inputs'!$B$30*(3*363*'Inputs'!$B$12-363^2)/(2*'Inputs'!$B$12^2)),0)</x:f>
        <x:v>254489.81985363364</x:v>
      </x:c>
      <x:c r="E1827" s="78" t="n">
        <x:f>C1827+D1827</x:f>
        <x:v>402942.21476825327</x:v>
      </x:c>
      <x:c r="F1827" s="78" t="n">
        <x:f>'Inputs'!$B$13*E1827+(1-'Inputs'!$B$13)/'Inputs'!$B$14*SUM(E1772:E1827)</x:f>
        <x:v>407795.6112779142</x:v>
      </x:c>
      <x:c r="G1827" s="78" t="n">
        <x:f>F1827*'Inputs'!$F$48</x:f>
        <x:v>203897.8056389571</x:v>
      </x:c>
      <x:c r="H1827" s="78" t="n">
        <x:f>U1826</x:f>
        <x:v>79208738.4892367</x:v>
      </x:c>
      <x:c r="I1827" s="78" t="n">
        <x:f>V1826</x:f>
        <x:v>143.52920845206955</x:v>
      </x:c>
      <x:c r="J1827" s="79" t="n">
        <x:f>IF(H1827&gt;0,I1827/H1827,0)</x:f>
        <x:v>0.0000018120375502707073</x:v>
      </x:c>
      <x:c r="K1827" s="80" t="n">
        <x:f>(H1827*J1827+I1827)*'Inputs'!$D$48*(1+'Inputs'!$G$48)^(B1827/30)</x:f>
        <x:v>86.11752507124173</x:v>
      </x:c>
      <x:c r="L1827" s="80" t="n">
        <x:f>MAX(0,K1827*'Inputs'!$E$48)</x:f>
        <x:v>0</x:v>
      </x:c>
      <x:c r="M1827" s="80" t="n">
        <x:f>MAX(0,-K1827*'Inputs'!$E$48)</x:f>
        <x:v>0</x:v>
      </x:c>
      <x:c r="N1827" s="78" t="n">
        <x:f>H1827*(L1827*(1-'Inputs'!$B$15))/(I1827+L1827*(1-'Inputs'!$B$15))</x:f>
        <x:v>0</x:v>
      </x:c>
      <x:c r="O1827" s="78" t="n">
        <x:f>H1827-N1827</x:f>
        <x:v>79208738.4892367</x:v>
      </x:c>
      <x:c r="P1827" s="78" t="n">
        <x:f>I1827+L1827*(1-'Inputs'!$B$17)</x:f>
        <x:v>143.52920845206955</x:v>
      </x:c>
      <x:c r="Q1827" s="78" t="n">
        <x:f>IF(J1827&gt;0,M1827/J1827,0)</x:f>
        <x:v>0</x:v>
      </x:c>
      <x:c r="R1827" s="78" t="n">
        <x:f>IF(B1827='Inputs'!$H$48,'Inputs'!$B$27*'Inputs'!$I$48,0)</x:f>
        <x:v>0</x:v>
      </x:c>
      <x:c r="S1827" s="78" t="n">
        <x:f>Q1827+G1827+R1827</x:f>
        <x:v>203897.8056389571</x:v>
      </x:c>
      <x:c r="T1827" s="78" t="n">
        <x:f>P1827*(S1827*(1-'Inputs'!$B$15))/(O1827+S1827*(1-'Inputs'!$B$15))</x:f>
        <x:v>0.3648459868195987</x:v>
      </x:c>
      <x:c r="U1827" s="78" t="n">
        <x:f>O1827+S1827*(1-'Inputs'!$B$17)</x:f>
        <x:v>79411815.78056724</x:v>
      </x:c>
      <x:c r="V1827" s="78" t="n">
        <x:f>P1827-T1827</x:f>
        <x:v>143.16436246524995</x:v>
      </x:c>
      <x:c r="W1827" s="79" t="n">
        <x:f>IF(U1827&gt;0,V1827/U1827,0)</x:f>
        <x:v>0.0000018028093308034333</x:v>
      </x:c>
      <x:c r="X1827" s="80" t="n">
        <x:f>W1827*('Inputs'!$B$6-AC1827)</x:f>
        <x:v>1770.4078457061785</x:v>
      </x:c>
      <x:c r="Y1827" s="80" t="n">
        <x:f>2*V1827</x:f>
        <x:v>286.3287249304999</x:v>
      </x:c>
      <x:c r="Z1827" s="80" t="n">
        <x:f>K1827*'Inputs'!$B$16+(G1827+R1827)*J1827*'Inputs'!$B$16</x:f>
        <x:v>0.5189219733088639</x:v>
      </x:c>
      <x:c r="AA1827" s="80" t="n">
        <x:f>K1827*(1+'Inputs'!$E$48)/2*'Inputs'!$B$17</x:f>
        <x:v>0.17327469833247836</x:v>
      </x:c>
      <x:c r="AB1827" s="78" t="n">
        <x:f>(IF(J1827&gt;0,K1827*(1-'Inputs'!$E$48)/2/J1827,0)+G1827+R1827)*'Inputs'!$B$17</x:f>
        <x:v>96444.74588494957</x:v>
      </x:c>
      <x:c r="AC1827" s="78" t="n">
        <x:f>AC1826+AB1827</x:f>
        <x:v>17972774.238313366</x:v>
      </x:c>
      <x:c r="AD1827" s="80" t="n">
        <x:f>Z1827/(1+'Inputs'!$C$48)</x:f>
        <x:v>0.4151375786470911</x:v>
      </x:c>
      <x:c r="AE1827" s="80" t="n">
        <x:f>Z1827-AD1827</x:f>
        <x:v>0.1037843946617728</x:v>
      </x:c>
      <x:c r="AF1827" s="80" t="n">
        <x:f>D1827*W1827</x:f>
        <x:v>0.45879662182661557</x:v>
      </x:c>
      <x:c r="AG1827" s="80" t="n">
        <x:f>C1827*W1827</x:f>
        <x:v>0.2676313627321924</x:v>
      </x:c>
      <x:c r="AH1827" s="80" t="n">
        <x:f>2*'Inputs'!$B$8*'Inputs'!$C$48</x:f>
        <x:v>1250</x:v>
      </x:c>
      <x:c r="AI1827" s="81" t="n">
        <x:f>IF(AH1827&gt;0,(AE1827+AF1827)/AH1827*365,0)</x:f>
        <x:v>0.16427365681460943</x:v>
      </x:c>
      <x:c r="AJ1827" s="81" t="n">
        <x:f>IF('Inputs'!$B$48&gt;0,AG1827/('Inputs'!$B$19*'Inputs'!$B$48)*365,0)</x:f>
        <x:v>0.039074178958900085</x:v>
      </x:c>
      <x:c r="AK1827" s="81" t="n">
        <x:f>W1827/MAX($W$1464:W1827)-1</x:f>
        <x:v>-0.9978799266794898</x:v>
      </x:c>
      <x:c r="AL1827" s="83" t="n">
        <x:f>'Inputs'!$B$48</x:f>
        <x:v>0.25</x:v>
      </x:c>
      <x:c r="AM1827" s="83" t="n">
        <x:f>'Inputs'!$C$48</x:f>
        <x:v>0.25</x:v>
      </x:c>
      <x:c r="AN1827" s="83" t="n">
        <x:f>'Inputs'!$D$48</x:f>
        <x:v>0.3</x:v>
      </x:c>
      <x:c r="AO1827" s="81" t="n">
        <x:f>'Inputs'!$E$48</x:f>
        <x:v>0</x:v>
      </x:c>
    </x:row>
    <x:row r="1828">
      <x:c r="A1828" s="59" t="str">
        <x:v>Low participation</x:v>
      </x:c>
      <x:c r="B1828" s="59" t="n">
        <x:v>365</x:v>
      </x:c>
      <x:c r="C1828" s="78" t="n">
        <x:f>(('Inputs'!$B$29*(3*365*'Inputs'!$B$12-365^2)/(2*'Inputs'!$B$12^2))-('Inputs'!$B$29*(3*364*'Inputs'!$B$12-364^2)/(2*'Inputs'!$B$12^2)))*'Inputs'!$B$48</x:f>
        <x:v>148371.1179395765</x:v>
      </x:c>
      <x:c r="D1828" s="78" t="n">
        <x:f>IF('Inputs'!$C$48&gt;0,('Inputs'!$B$30*(3*365*'Inputs'!$B$12-365^2)/(2*'Inputs'!$B$12^2))-('Inputs'!$B$30*(3*364*'Inputs'!$B$12-364^2)/(2*'Inputs'!$B$12^2)),0)</x:f>
        <x:v>254350.4878964126</x:v>
      </x:c>
      <x:c r="E1828" s="78" t="n">
        <x:f>C1828+D1828</x:f>
        <x:v>402721.6058359891</x:v>
      </x:c>
      <x:c r="F1828" s="78" t="n">
        <x:f>'Inputs'!$B$13*E1828+(1-'Inputs'!$B$13)/'Inputs'!$B$14*SUM(E1773:E1828)</x:f>
        <x:v>407575.0023456553</x:v>
      </x:c>
      <x:c r="G1828" s="78" t="n">
        <x:f>F1828*'Inputs'!$F$48</x:f>
        <x:v>203787.50117282764</x:v>
      </x:c>
      <x:c r="H1828" s="78" t="n">
        <x:f>U1827</x:f>
        <x:v>79411815.78056724</x:v>
      </x:c>
      <x:c r="I1828" s="78" t="n">
        <x:f>V1827</x:f>
        <x:v>143.16436246524995</x:v>
      </x:c>
      <x:c r="J1828" s="79" t="n">
        <x:f>IF(H1828&gt;0,I1828/H1828,0)</x:f>
        <x:v>0.0000018028093308034333</x:v>
      </x:c>
      <x:c r="K1828" s="80" t="n">
        <x:f>(H1828*J1828+I1828)*'Inputs'!$D$48*(1+'Inputs'!$G$48)^(B1828/30)</x:f>
        <x:v>85.89861747914996</x:v>
      </x:c>
      <x:c r="L1828" s="80" t="n">
        <x:f>MAX(0,K1828*'Inputs'!$E$48)</x:f>
        <x:v>0</x:v>
      </x:c>
      <x:c r="M1828" s="80" t="n">
        <x:f>MAX(0,-K1828*'Inputs'!$E$48)</x:f>
        <x:v>0</x:v>
      </x:c>
      <x:c r="N1828" s="78" t="n">
        <x:f>H1828*(L1828*(1-'Inputs'!$B$15))/(I1828+L1828*(1-'Inputs'!$B$15))</x:f>
        <x:v>0</x:v>
      </x:c>
      <x:c r="O1828" s="78" t="n">
        <x:f>H1828-N1828</x:f>
        <x:v>79411815.78056724</x:v>
      </x:c>
      <x:c r="P1828" s="78" t="n">
        <x:f>I1828+L1828*(1-'Inputs'!$B$17)</x:f>
        <x:v>143.16436246524995</x:v>
      </x:c>
      <x:c r="Q1828" s="78" t="n">
        <x:f>IF(J1828&gt;0,M1828/J1828,0)</x:f>
        <x:v>0</x:v>
      </x:c>
      <x:c r="R1828" s="78" t="n">
        <x:f>IF(B1828='Inputs'!$H$48,'Inputs'!$B$27*'Inputs'!$I$48,0)</x:f>
        <x:v>0</x:v>
      </x:c>
      <x:c r="S1828" s="78" t="n">
        <x:f>Q1828+G1828+R1828</x:f>
        <x:v>203787.50117282764</x:v>
      </x:c>
      <x:c r="T1828" s="78" t="n">
        <x:f>P1828*(S1828*(1-'Inputs'!$B$15))/(O1828+S1828*(1-'Inputs'!$B$15))</x:f>
        <x:v>0.3627944114724361</x:v>
      </x:c>
      <x:c r="U1828" s="78" t="n">
        <x:f>O1828+S1828*(1-'Inputs'!$B$17)</x:f>
        <x:v>79614783.21131282</x:v>
      </x:c>
      <x:c r="V1828" s="78" t="n">
        <x:f>P1828-T1828</x:f>
        <x:v>142.80156805377752</x:v>
      </x:c>
      <x:c r="W1828" s="79" t="n">
        <x:f>IF(U1828&gt;0,V1828/U1828,0)</x:f>
        <x:v>0.0000017936564328104106</x:v>
      </x:c>
      <x:c r="X1828" s="80" t="n">
        <x:f>W1828*('Inputs'!$B$6-AC1828)</x:f>
        <x:v>1761.2460230002087</x:v>
      </x:c>
      <x:c r="Y1828" s="80" t="n">
        <x:f>2*V1828</x:f>
        <x:v>285.60313610755503</x:v>
      </x:c>
      <x:c r="Z1828" s="80" t="n">
        <x:f>K1828*'Inputs'!$B$16+(G1828+R1828)*J1828*'Inputs'!$B$16</x:f>
        <x:v>0.5175960449265927</x:v>
      </x:c>
      <x:c r="AA1828" s="80" t="n">
        <x:f>K1828*(1+'Inputs'!$E$48)/2*'Inputs'!$B$17</x:f>
        <x:v>0.17283424040070416</x:v>
      </x:c>
      <x:c r="AB1828" s="78" t="n">
        <x:f>(IF(J1828&gt;0,K1828*(1-'Inputs'!$E$48)/2/J1828,0)+G1828+R1828)*'Inputs'!$B$17</x:f>
        <x:v>96689.46573578673</x:v>
      </x:c>
      <x:c r="AC1828" s="78" t="n">
        <x:f>AC1827+AB1828</x:f>
        <x:v>18069463.70404915</x:v>
      </x:c>
      <x:c r="AD1828" s="80" t="n">
        <x:f>Z1828/(1+'Inputs'!$C$48)</x:f>
        <x:v>0.4140768359412742</x:v>
      </x:c>
      <x:c r="AE1828" s="80" t="n">
        <x:f>Z1828-AD1828</x:f>
        <x:v>0.10351920898531852</x:v>
      </x:c>
      <x:c r="AF1828" s="80" t="n">
        <x:f>D1828*W1828</x:f>
        <x:v>0.456217388803867</x:v>
      </x:c>
      <x:c r="AG1828" s="80" t="n">
        <x:f>C1828*W1828</x:f>
        <x:v>0.26612681013559353</x:v>
      </x:c>
      <x:c r="AH1828" s="80" t="n">
        <x:f>2*'Inputs'!$B$8*'Inputs'!$C$48</x:f>
        <x:v>1250</x:v>
      </x:c>
      <x:c r="AI1828" s="81" t="n">
        <x:f>IF(AH1828&gt;0,(AE1828+AF1828)/AH1828*365,0)</x:f>
        <x:v>0.16344308655444217</x:v>
      </x:c>
      <x:c r="AJ1828" s="81" t="n">
        <x:f>IF('Inputs'!$B$48&gt;0,AG1828/('Inputs'!$B$19*'Inputs'!$B$48)*365,0)</x:f>
        <x:v>0.03885451427979666</x:v>
      </x:c>
      <x:c r="AK1828" s="81" t="n">
        <x:f>W1828/MAX($W$1464:W1828)-1</x:f>
        <x:v>-0.9978906903329215</x:v>
      </x:c>
      <x:c r="AL1828" s="83" t="n">
        <x:f>'Inputs'!$B$48</x:f>
        <x:v>0.25</x:v>
      </x:c>
      <x:c r="AM1828" s="83" t="n">
        <x:f>'Inputs'!$C$48</x:f>
        <x:v>0.25</x:v>
      </x:c>
      <x:c r="AN1828" s="83" t="n">
        <x:f>'Inputs'!$D$48</x:f>
        <x:v>0.3</x:v>
      </x:c>
      <x:c r="AO1828" s="81" t="n">
        <x:f>'Inputs'!$E$48</x:f>
        <x:v>0</x:v>
      </x:c>
    </x:row>
    <x:row r="1829">
      <x:c r="A1829" s="59" t="str">
        <x:v>Mercenary LP</x:v>
      </x:c>
      <x:c r="B1829" s="59" t="n">
        <x:v>1</x:v>
      </x:c>
      <x:c r="C1829" s="78" t="n">
        <x:f>(('Inputs'!$B$29*(3*1*'Inputs'!$B$12-1^2)/(2*'Inputs'!$B$12^2))-('Inputs'!$B$29*(3*0*'Inputs'!$B$12-0^2)/(2*'Inputs'!$B$12^2)))*'Inputs'!$B$49</x:f>
        <x:v>711823.7474197786</x:v>
      </x:c>
      <x:c r="D1829" s="78" t="n">
        <x:f>IF('Inputs'!$C$49&gt;0,('Inputs'!$B$30*(3*1*'Inputs'!$B$12-1^2)/(2*'Inputs'!$B$12^2))-('Inputs'!$B$30*(3*0*'Inputs'!$B$12-0^2)/(2*'Inputs'!$B$12^2)),0)</x:f>
        <x:v>305067.32032276224</x:v>
      </x:c>
      <x:c r="E1829" s="78" t="n">
        <x:f>C1829+D1829</x:f>
        <x:v>1016891.0677425409</x:v>
      </x:c>
      <x:c r="F1829" s="78" t="n">
        <x:f>'Inputs'!$B$13*E1829+(1-'Inputs'!$B$13)/'Inputs'!$B$14*SUM(E1829:E1829)</x:f>
        <x:v>217905.22880197305</x:v>
      </x:c>
      <x:c r="G1829" s="78" t="n">
        <x:f>F1829*'Inputs'!$F$49</x:f>
        <x:v>196114.70592177575</x:v>
      </x:c>
      <x:c r="H1829" s="78" t="n">
        <x:f>'Inputs'!$B$26*(1+'Inputs'!$C$49)</x:f>
        <x:v>11428571.42857143</x:v>
      </x:c>
      <x:c r="I1829" s="78" t="n">
        <x:f>'Inputs'!$B$8*(1+'Inputs'!$C$49)</x:f>
        <x:v>10000</x:v>
      </x:c>
      <x:c r="J1829" s="79" t="n">
        <x:f>IF(H1829&gt;0,I1829/H1829,0)</x:f>
        <x:v>0.0008749999999999999</x:v>
      </x:c>
      <x:c r="K1829" s="80" t="n">
        <x:f>(H1829*J1829+I1829)*'Inputs'!$D$49*(1+'Inputs'!$G$49)^(B1829/30)</x:f>
        <x:v>15000</x:v>
      </x:c>
      <x:c r="L1829" s="80" t="n">
        <x:f>MAX(0,K1829*'Inputs'!$E$49)</x:f>
        <x:v>0</x:v>
      </x:c>
      <x:c r="M1829" s="80" t="n">
        <x:f>MAX(0,-K1829*'Inputs'!$E$49)</x:f>
        <x:v>450</x:v>
      </x:c>
      <x:c r="N1829" s="78" t="n">
        <x:f>H1829*(L1829*(1-'Inputs'!$B$15))/(I1829+L1829*(1-'Inputs'!$B$15))</x:f>
        <x:v>0</x:v>
      </x:c>
      <x:c r="O1829" s="78" t="n">
        <x:f>H1829-N1829</x:f>
        <x:v>11428571.42857143</x:v>
      </x:c>
      <x:c r="P1829" s="78" t="n">
        <x:f>I1829+L1829*(1-'Inputs'!$B$17)</x:f>
        <x:v>10000</x:v>
      </x:c>
      <x:c r="Q1829" s="78" t="n">
        <x:f>IF(J1829&gt;0,M1829/J1829,0)</x:f>
        <x:v>514285.7142857143</x:v>
      </x:c>
      <x:c r="R1829" s="78" t="n">
        <x:f>IF(B1829='Inputs'!$H$49,'Inputs'!$B$27*'Inputs'!$I$49,0)</x:f>
        <x:v>0</x:v>
      </x:c>
      <x:c r="S1829" s="78" t="n">
        <x:f>Q1829+G1829+R1829</x:f>
        <x:v>710400.4202074901</x:v>
      </x:c>
      <x:c r="T1829" s="78" t="n">
        <x:f>P1829*(S1829*(1-'Inputs'!$B$15))/(O1829+S1829*(1-'Inputs'!$B$15))</x:f>
        <x:v>579.7099218483498</x:v>
      </x:c>
      <x:c r="U1829" s="78" t="n">
        <x:f>O1829+S1829*(1-'Inputs'!$B$17)</x:f>
        <x:v>12136113.094572853</x:v>
      </x:c>
      <x:c r="V1829" s="78" t="n">
        <x:f>P1829-T1829</x:f>
        <x:v>9420.290078151651</x:v>
      </x:c>
      <x:c r="W1829" s="79" t="n">
        <x:f>IF(U1829&gt;0,V1829/U1829,0)</x:f>
        <x:v>0.0007762197010478016</x:v>
      </x:c>
      <x:c r="X1829" s="80" t="n">
        <x:f>W1829*('Inputs'!$B$6-AC1829)</x:f>
        <x:v>776191.511352939</x:v>
      </x:c>
      <x:c r="Y1829" s="80" t="n">
        <x:f>2*V1829</x:f>
        <x:v>18840.580156303302</x:v>
      </x:c>
      <x:c r="Z1829" s="80" t="n">
        <x:f>K1829*'Inputs'!$B$16+(G1829+R1829)*J1829*'Inputs'!$B$16</x:f>
        <x:v>91.02960220608932</x:v>
      </x:c>
      <x:c r="AA1829" s="80" t="n">
        <x:f>K1829*(1+'Inputs'!$E$49)/2*'Inputs'!$B$17</x:f>
        <x:v>29.27565392354125</x:v>
      </x:c>
      <x:c r="AB1829" s="78" t="n">
        <x:f>(IF(J1829&gt;0,K1829*(1-'Inputs'!$E$49)/2/J1829,0)+G1829+R1829)*'Inputs'!$B$17</x:f>
        <x:v>36316.64440439922</x:v>
      </x:c>
      <x:c r="AC1829" s="78" t="n">
        <x:f>AB1829</x:f>
        <x:v>36316.64440439922</x:v>
      </x:c>
      <x:c r="AD1829" s="80" t="n">
        <x:f>Z1829/(1+'Inputs'!$C$49)</x:f>
        <x:v>22.75740055152233</x:v>
      </x:c>
      <x:c r="AE1829" s="80" t="n">
        <x:f>Z1829-AD1829</x:f>
        <x:v>68.272201654567</x:v>
      </x:c>
      <x:c r="AF1829" s="80" t="n">
        <x:f>D1829*W1829</x:f>
        <x:v>236.79926418038843</x:v>
      </x:c>
      <x:c r="AG1829" s="80" t="n">
        <x:f>C1829*W1829</x:f>
        <x:v>552.5316164209064</x:v>
      </x:c>
      <x:c r="AH1829" s="80" t="n">
        <x:f>2*'Inputs'!$B$8*'Inputs'!$C$49</x:f>
        <x:v>15000</x:v>
      </x:c>
      <x:c r="AI1829" s="81" t="n">
        <x:f>IF(AH1829&gt;0,(AE1829+AF1829)/AH1829*365,0)</x:f>
        <x:v>7.423405668650584</x:v>
      </x:c>
      <x:c r="AJ1829" s="81" t="n">
        <x:f>IF('Inputs'!$B$49&gt;0,AG1829/('Inputs'!$B$19*'Inputs'!$B$49)*365,0)</x:f>
        <x:v>20.167403999363085</x:v>
      </x:c>
      <x:c r="AK1829" s="81" t="n">
        <x:f>W1829/MAX($W$1829:W1829)-1</x:f>
        <x:v>0</x:v>
      </x:c>
      <x:c r="AL1829" s="83" t="n">
        <x:f>'Inputs'!$B$49</x:f>
        <x:v>1</x:v>
      </x:c>
      <x:c r="AM1829" s="83" t="n">
        <x:f>'Inputs'!$C$49</x:f>
        <x:v>3</x:v>
      </x:c>
      <x:c r="AN1829" s="83" t="n">
        <x:f>'Inputs'!$D$49</x:f>
        <x:v>0.75</x:v>
      </x:c>
      <x:c r="AO1829" s="81" t="n">
        <x:f>'Inputs'!$E$49</x:f>
        <x:v>-0.03</x:v>
      </x:c>
    </x:row>
    <x:row r="1830">
      <x:c r="A1830" s="59" t="str">
        <x:v>Mercenary LP</x:v>
      </x:c>
      <x:c r="B1830" s="59" t="n">
        <x:v>2</x:v>
      </x:c>
      <x:c r="C1830" s="78" t="n">
        <x:f>(('Inputs'!$B$29*(3*2*'Inputs'!$B$12-2^2)/(2*'Inputs'!$B$12^2))-('Inputs'!$B$29*(3*1*'Inputs'!$B$12-1^2)/(2*'Inputs'!$B$12^2)))*'Inputs'!$B$49</x:f>
        <x:v>711498.6395196096</x:v>
      </x:c>
      <x:c r="D1830" s="78" t="n">
        <x:f>IF('Inputs'!$C$49&gt;0,('Inputs'!$B$30*(3*2*'Inputs'!$B$12-2^2)/(2*'Inputs'!$B$12^2))-('Inputs'!$B$30*(3*1*'Inputs'!$B$12-1^2)/(2*'Inputs'!$B$12^2)),0)</x:f>
        <x:v>304927.98836554703</x:v>
      </x:c>
      <x:c r="E1830" s="78" t="n">
        <x:f>C1830+D1830</x:f>
        <x:v>1016426.6278851567</x:v>
      </x:c>
      <x:c r="F1830" s="78" t="n">
        <x:f>'Inputs'!$B$13*E1830+(1-'Inputs'!$B$13)/'Inputs'!$B$14*SUM(E1829:E1830)</x:f>
        <x:v>232332.7212288556</x:v>
      </x:c>
      <x:c r="G1830" s="78" t="n">
        <x:f>F1830*'Inputs'!$F$49</x:f>
        <x:v>209099.44910597004</x:v>
      </x:c>
      <x:c r="H1830" s="78" t="n">
        <x:f>U1829</x:f>
        <x:v>12136113.094572853</x:v>
      </x:c>
      <x:c r="I1830" s="78" t="n">
        <x:f>V1829</x:f>
        <x:v>9420.290078151651</x:v>
      </x:c>
      <x:c r="J1830" s="79" t="n">
        <x:f>IF(H1830&gt;0,I1830/H1830,0)</x:f>
        <x:v>0.0007762197010478016</x:v>
      </x:c>
      <x:c r="K1830" s="80" t="n">
        <x:f>(H1830*J1830+I1830)*'Inputs'!$D$49*(1+'Inputs'!$G$49)^(B1830/30)</x:f>
        <x:v>14130.435117227476</x:v>
      </x:c>
      <x:c r="L1830" s="80" t="n">
        <x:f>MAX(0,K1830*'Inputs'!$E$49)</x:f>
        <x:v>0</x:v>
      </x:c>
      <x:c r="M1830" s="80" t="n">
        <x:f>MAX(0,-K1830*'Inputs'!$E$49)</x:f>
        <x:v>423.9130535168243</x:v>
      </x:c>
      <x:c r="N1830" s="78" t="n">
        <x:f>H1830*(L1830*(1-'Inputs'!$B$15))/(I1830+L1830*(1-'Inputs'!$B$15))</x:f>
        <x:v>0</x:v>
      </x:c>
      <x:c r="O1830" s="78" t="n">
        <x:f>H1830-N1830</x:f>
        <x:v>12136113.094572853</x:v>
      </x:c>
      <x:c r="P1830" s="78" t="n">
        <x:f>I1830+L1830*(1-'Inputs'!$B$17)</x:f>
        <x:v>9420.290078151651</x:v>
      </x:c>
      <x:c r="Q1830" s="78" t="n">
        <x:f>IF(J1830&gt;0,M1830/J1830,0)</x:f>
        <x:v>546125.0892557784</x:v>
      </x:c>
      <x:c r="R1830" s="78" t="n">
        <x:f>IF(B1830='Inputs'!$H$49,'Inputs'!$B$27*'Inputs'!$I$49,0)</x:f>
        <x:v>0</x:v>
      </x:c>
      <x:c r="S1830" s="78" t="n">
        <x:f>Q1830+G1830+R1830</x:f>
        <x:v>755224.5383617484</x:v>
      </x:c>
      <x:c r="T1830" s="78" t="n">
        <x:f>P1830*(S1830*(1-'Inputs'!$B$15))/(O1830+S1830*(1-'Inputs'!$B$15))</x:f>
        <x:v>546.6786096931103</x:v>
      </x:c>
      <x:c r="U1830" s="78" t="n">
        <x:f>O1830+S1830*(1-'Inputs'!$B$17)</x:f>
        <x:v>12888298.499983449</x:v>
      </x:c>
      <x:c r="V1830" s="78" t="n">
        <x:f>P1830-T1830</x:f>
        <x:v>8873.611468458541</x:v>
      </x:c>
      <x:c r="W1830" s="79" t="n">
        <x:f>IF(U1830&gt;0,V1830/U1830,0)</x:f>
        <x:v>0.0006885013928308641</x:v>
      </x:c>
      <x:c r="X1830" s="80" t="n">
        <x:f>W1830*('Inputs'!$B$6-AC1830)</x:f>
        <x:v>688449.8343751112</x:v>
      </x:c>
      <x:c r="Y1830" s="80" t="n">
        <x:f>2*V1830</x:f>
        <x:v>17747.222936917082</x:v>
      </x:c>
      <x:c r="Z1830" s="80" t="n">
        <x:f>K1830*'Inputs'!$B$16+(G1830+R1830)*J1830*'Inputs'!$B$16</x:f>
        <x:v>85.75645337461064</x:v>
      </x:c>
      <x:c r="AA1830" s="80" t="n">
        <x:f>K1830*(1+'Inputs'!$E$49)/2*'Inputs'!$B$17</x:f>
        <x:v>27.57851521873371</x:v>
      </x:c>
      <x:c r="AB1830" s="78" t="n">
        <x:f>(IF(J1830&gt;0,K1830*(1-'Inputs'!$E$49)/2/J1830,0)+G1830+R1830)*'Inputs'!$B$17</x:f>
        <x:v>38568.39764452113</x:v>
      </x:c>
      <x:c r="AC1830" s="78" t="n">
        <x:f>AC1829+AB1830</x:f>
        <x:v>74885.04204892035</x:v>
      </x:c>
      <x:c r="AD1830" s="80" t="n">
        <x:f>Z1830/(1+'Inputs'!$C$49)</x:f>
        <x:v>21.43911334365266</x:v>
      </x:c>
      <x:c r="AE1830" s="80" t="n">
        <x:f>Z1830-AD1830</x:f>
        <x:v>64.31734003095798</x:v>
      </x:c>
      <x:c r="AF1830" s="80" t="n">
        <x:f>D1830*W1830</x:f>
        <x:v>209.94334470279264</x:v>
      </x:c>
      <x:c r="AG1830" s="80" t="n">
        <x:f>C1830*W1830</x:f>
        <x:v>489.8678043065161</x:v>
      </x:c>
      <x:c r="AH1830" s="80" t="n">
        <x:f>2*'Inputs'!$B$8*'Inputs'!$C$49</x:f>
        <x:v>15000</x:v>
      </x:c>
      <x:c r="AI1830" s="81" t="n">
        <x:f>IF(AH1830&gt;0,(AE1830+AF1830)/AH1830*365,0)</x:f>
        <x:v>6.673676661854598</x:v>
      </x:c>
      <x:c r="AJ1830" s="81" t="n">
        <x:f>IF('Inputs'!$B$49&gt;0,AG1830/('Inputs'!$B$19*'Inputs'!$B$49)*365,0)</x:f>
        <x:v>17.88017485718784</x:v>
      </x:c>
      <x:c r="AK1830" s="81" t="n">
        <x:f>W1830/MAX($W$1829:W1830)-1</x:f>
        <x:v>-0.11300706243158809</x:v>
      </x:c>
      <x:c r="AL1830" s="83" t="n">
        <x:f>'Inputs'!$B$49</x:f>
        <x:v>1</x:v>
      </x:c>
      <x:c r="AM1830" s="83" t="n">
        <x:f>'Inputs'!$C$49</x:f>
        <x:v>3</x:v>
      </x:c>
      <x:c r="AN1830" s="83" t="n">
        <x:f>'Inputs'!$D$49</x:f>
        <x:v>0.75</x:v>
      </x:c>
      <x:c r="AO1830" s="81" t="n">
        <x:f>'Inputs'!$E$49</x:f>
        <x:v>-0.03</x:v>
      </x:c>
    </x:row>
    <x:row r="1831">
      <x:c r="A1831" s="59" t="str">
        <x:v>Mercenary LP</x:v>
      </x:c>
      <x:c r="B1831" s="59" t="n">
        <x:v>3</x:v>
      </x:c>
      <x:c r="C1831" s="78" t="n">
        <x:f>(('Inputs'!$B$29*(3*3*'Inputs'!$B$12-3^2)/(2*'Inputs'!$B$12^2))-('Inputs'!$B$29*(3*2*'Inputs'!$B$12-2^2)/(2*'Inputs'!$B$12^2)))*'Inputs'!$B$49</x:f>
        <x:v>711173.5316194408</x:v>
      </x:c>
      <x:c r="D1831" s="78" t="n">
        <x:f>IF('Inputs'!$C$49&gt;0,('Inputs'!$B$30*(3*3*'Inputs'!$B$12-3^2)/(2*'Inputs'!$B$12^2))-('Inputs'!$B$30*(3*2*'Inputs'!$B$12-2^2)/(2*'Inputs'!$B$12^2)),0)</x:f>
        <x:v>304788.6564083317</x:v>
      </x:c>
      <x:c r="E1831" s="78" t="n">
        <x:f>C1831+D1831</x:f>
        <x:v>1015962.1880277725</x:v>
      </x:c>
      <x:c r="F1831" s="78" t="n">
        <x:f>'Inputs'!$B$13*E1831+(1-'Inputs'!$B$13)/'Inputs'!$B$14*SUM(E1829:E1831)</x:f>
        <x:v>246753.57880063265</x:v>
      </x:c>
      <x:c r="G1831" s="78" t="n">
        <x:f>F1831*'Inputs'!$F$49</x:f>
        <x:v>222078.22092056938</x:v>
      </x:c>
      <x:c r="H1831" s="78" t="n">
        <x:f>U1830</x:f>
        <x:v>12888298.499983449</x:v>
      </x:c>
      <x:c r="I1831" s="78" t="n">
        <x:f>V1830</x:f>
        <x:v>8873.611468458541</x:v>
      </x:c>
      <x:c r="J1831" s="79" t="n">
        <x:f>IF(H1831&gt;0,I1831/H1831,0)</x:f>
        <x:v>0.0006885013928308641</x:v>
      </x:c>
      <x:c r="K1831" s="80" t="n">
        <x:f>(H1831*J1831+I1831)*'Inputs'!$D$49*(1+'Inputs'!$G$49)^(B1831/30)</x:f>
        <x:v>13310.417202687811</x:v>
      </x:c>
      <x:c r="L1831" s="80" t="n">
        <x:f>MAX(0,K1831*'Inputs'!$E$49)</x:f>
        <x:v>0</x:v>
      </x:c>
      <x:c r="M1831" s="80" t="n">
        <x:f>MAX(0,-K1831*'Inputs'!$E$49)</x:f>
        <x:v>399.31251608063434</x:v>
      </x:c>
      <x:c r="N1831" s="78" t="n">
        <x:f>H1831*(L1831*(1-'Inputs'!$B$15))/(I1831+L1831*(1-'Inputs'!$B$15))</x:f>
        <x:v>0</x:v>
      </x:c>
      <x:c r="O1831" s="78" t="n">
        <x:f>H1831-N1831</x:f>
        <x:v>12888298.499983449</x:v>
      </x:c>
      <x:c r="P1831" s="78" t="n">
        <x:f>I1831+L1831*(1-'Inputs'!$B$17)</x:f>
        <x:v>8873.611468458541</x:v>
      </x:c>
      <x:c r="Q1831" s="78" t="n">
        <x:f>IF(J1831&gt;0,M1831/J1831,0)</x:f>
        <x:v>579973.4324992552</x:v>
      </x:c>
      <x:c r="R1831" s="78" t="n">
        <x:f>IF(B1831='Inputs'!$H$49,'Inputs'!$B$27*'Inputs'!$I$49,0)</x:f>
        <x:v>0</x:v>
      </x:c>
      <x:c r="S1831" s="78" t="n">
        <x:f>Q1831+G1831+R1831</x:f>
        <x:v>802051.6534198245</x:v>
      </x:c>
      <x:c r="T1831" s="78" t="n">
        <x:f>P1831*(S1831*(1-'Inputs'!$B$15))/(O1831+S1831*(1-'Inputs'!$B$15))</x:f>
        <x:v>514.9652134966238</x:v>
      </x:c>
      <x:c r="U1831" s="78" t="n">
        <x:f>O1831+S1831*(1-'Inputs'!$B$17)</x:f>
        <x:v>13687122.581357319</x:v>
      </x:c>
      <x:c r="V1831" s="78" t="n">
        <x:f>P1831-T1831</x:f>
        <x:v>8358.646254961917</x:v>
      </x:c>
      <x:c r="W1831" s="79" t="n">
        <x:f>IF(U1831&gt;0,V1831/U1831,0)</x:f>
        <x:v>0.0006106941912207972</x:v>
      </x:c>
      <x:c r="X1831" s="80" t="n">
        <x:f>W1831*('Inputs'!$B$6-AC1831)</x:f>
        <x:v>610623.4459929862</x:v>
      </x:c>
      <x:c r="Y1831" s="80" t="n">
        <x:f>2*V1831</x:f>
        <x:v>16717.292509923835</x:v>
      </x:c>
      <x:c r="Z1831" s="80" t="n">
        <x:f>K1831*'Inputs'!$B$16+(G1831+R1831)*J1831*'Inputs'!$B$16</x:f>
        <x:v>80.77991020265414</x:v>
      </x:c>
      <x:c r="AA1831" s="80" t="n">
        <x:f>K1831*(1+'Inputs'!$E$49)/2*'Inputs'!$B$17</x:f>
        <x:v>25.978077840255892</x:v>
      </x:c>
      <x:c r="AB1831" s="78" t="n">
        <x:f>(IF(J1831&gt;0,K1831*(1-'Inputs'!$E$49)/2/J1831,0)+G1831+R1831)*'Inputs'!$B$17</x:f>
        <x:v>40958.90870083615</x:v>
      </x:c>
      <x:c r="AC1831" s="78" t="n">
        <x:f>AC1830+AB1831</x:f>
        <x:v>115843.9507497565</x:v>
      </x:c>
      <x:c r="AD1831" s="80" t="n">
        <x:f>Z1831/(1+'Inputs'!$C$49)</x:f>
        <x:v>20.194977550663534</x:v>
      </x:c>
      <x:c r="AE1831" s="80" t="n">
        <x:f>Z1831-AD1831</x:f>
        <x:v>60.5849326519906</x:v>
      </x:c>
      <x:c r="AF1831" s="80" t="n">
        <x:f>D1831*W1831</x:f>
        <x:v>186.13266201855959</x:v>
      </x:c>
      <x:c r="AG1831" s="80" t="n">
        <x:f>C1831*W1831</x:f>
        <x:v>434.3095447099724</x:v>
      </x:c>
      <x:c r="AH1831" s="80" t="n">
        <x:f>2*'Inputs'!$B$8*'Inputs'!$C$49</x:f>
        <x:v>15000</x:v>
      </x:c>
      <x:c r="AI1831" s="81" t="n">
        <x:f>IF(AH1831&gt;0,(AE1831+AF1831)/AH1831*365,0)</x:f>
        <x:v>6.003461470316721</x:v>
      </x:c>
      <x:c r="AJ1831" s="81" t="n">
        <x:f>IF('Inputs'!$B$49&gt;0,AG1831/('Inputs'!$B$19*'Inputs'!$B$49)*365,0)</x:f>
        <x:v>15.852298381913993</x:v>
      </x:c>
      <x:c r="AK1831" s="81" t="n">
        <x:f>W1831/MAX($W$1829:W1831)-1</x:f>
        <x:v>-0.21324569526329373</x:v>
      </x:c>
      <x:c r="AL1831" s="83" t="n">
        <x:f>'Inputs'!$B$49</x:f>
        <x:v>1</x:v>
      </x:c>
      <x:c r="AM1831" s="83" t="n">
        <x:f>'Inputs'!$C$49</x:f>
        <x:v>3</x:v>
      </x:c>
      <x:c r="AN1831" s="83" t="n">
        <x:f>'Inputs'!$D$49</x:f>
        <x:v>0.75</x:v>
      </x:c>
      <x:c r="AO1831" s="81" t="n">
        <x:f>'Inputs'!$E$49</x:f>
        <x:v>-0.03</x:v>
      </x:c>
    </x:row>
    <x:row r="1832">
      <x:c r="A1832" s="59" t="str">
        <x:v>Mercenary LP</x:v>
      </x:c>
      <x:c r="B1832" s="59" t="n">
        <x:v>4</x:v>
      </x:c>
      <x:c r="C1832" s="78" t="n">
        <x:f>(('Inputs'!$B$29*(3*4*'Inputs'!$B$12-4^2)/(2*'Inputs'!$B$12^2))-('Inputs'!$B$29*(3*3*'Inputs'!$B$12-3^2)/(2*'Inputs'!$B$12^2)))*'Inputs'!$B$49</x:f>
        <x:v>710848.423719272</x:v>
      </x:c>
      <x:c r="D1832" s="78" t="n">
        <x:f>IF('Inputs'!$C$49&gt;0,('Inputs'!$B$30*(3*4*'Inputs'!$B$12-4^2)/(2*'Inputs'!$B$12^2))-('Inputs'!$B$30*(3*3*'Inputs'!$B$12-3^2)/(2*'Inputs'!$B$12^2)),0)</x:f>
        <x:v>304649.3244511165</x:v>
      </x:c>
      <x:c r="E1832" s="78" t="n">
        <x:f>C1832+D1832</x:f>
        <x:v>1015497.7481703885</x:v>
      </x:c>
      <x:c r="F1832" s="78" t="n">
        <x:f>'Inputs'!$B$13*E1832+(1-'Inputs'!$B$13)/'Inputs'!$B$14*SUM(E1829:E1832)</x:f>
        <x:v>261167.80151730427</x:v>
      </x:c>
      <x:c r="G1832" s="78" t="n">
        <x:f>F1832*'Inputs'!$F$49</x:f>
        <x:v>235051.02136557383</x:v>
      </x:c>
      <x:c r="H1832" s="78" t="n">
        <x:f>U1831</x:f>
        <x:v>13687122.581357319</x:v>
      </x:c>
      <x:c r="I1832" s="78" t="n">
        <x:f>V1831</x:f>
        <x:v>8358.646254961917</x:v>
      </x:c>
      <x:c r="J1832" s="79" t="n">
        <x:f>IF(H1832&gt;0,I1832/H1832,0)</x:f>
        <x:v>0.0006106941912207972</x:v>
      </x:c>
      <x:c r="K1832" s="80" t="n">
        <x:f>(H1832*J1832+I1832)*'Inputs'!$D$49*(1+'Inputs'!$G$49)^(B1832/30)</x:f>
        <x:v>12537.969382442876</x:v>
      </x:c>
      <x:c r="L1832" s="80" t="n">
        <x:f>MAX(0,K1832*'Inputs'!$E$49)</x:f>
        <x:v>0</x:v>
      </x:c>
      <x:c r="M1832" s="80" t="n">
        <x:f>MAX(0,-K1832*'Inputs'!$E$49)</x:f>
        <x:v>376.13908147328624</x:v>
      </x:c>
      <x:c r="N1832" s="78" t="n">
        <x:f>H1832*(L1832*(1-'Inputs'!$B$15))/(I1832+L1832*(1-'Inputs'!$B$15))</x:f>
        <x:v>0</x:v>
      </x:c>
      <x:c r="O1832" s="78" t="n">
        <x:f>H1832-N1832</x:f>
        <x:v>13687122.581357319</x:v>
      </x:c>
      <x:c r="P1832" s="78" t="n">
        <x:f>I1832+L1832*(1-'Inputs'!$B$17)</x:f>
        <x:v>8358.646254961917</x:v>
      </x:c>
      <x:c r="Q1832" s="78" t="n">
        <x:f>IF(J1832&gt;0,M1832/J1832,0)</x:f>
        <x:v>615920.5161610793</x:v>
      </x:c>
      <x:c r="R1832" s="78" t="n">
        <x:f>IF(B1832='Inputs'!$H$49,'Inputs'!$B$27*'Inputs'!$I$49,0)</x:f>
        <x:v>0</x:v>
      </x:c>
      <x:c r="S1832" s="78" t="n">
        <x:f>Q1832+G1832+R1832</x:f>
        <x:v>850971.5375266531</x:v>
      </x:c>
      <x:c r="T1832" s="78" t="n">
        <x:f>P1832*(S1832*(1-'Inputs'!$B$15))/(O1832+S1832*(1-'Inputs'!$B$15))</x:f>
        <x:v>484.6553183567706</x:v>
      </x:c>
      <x:c r="U1832" s="78" t="n">
        <x:f>O1832+S1832*(1-'Inputs'!$B$17)</x:f>
        <x:v>14534669.686137386</x:v>
      </x:c>
      <x:c r="V1832" s="78" t="n">
        <x:f>P1832-T1832</x:f>
        <x:v>7873.990936605147</x:v>
      </x:c>
      <x:c r="W1832" s="79" t="n">
        <x:f>IF(U1832&gt;0,V1832/U1832,0)</x:f>
        <x:v>0.0005417385538602958</x:v>
      </x:c>
      <x:c r="X1832" s="80" t="n">
        <x:f>W1832*('Inputs'!$B$6-AC1832)</x:f>
        <x:v>541652.2341438886</x:v>
      </x:c>
      <x:c r="Y1832" s="80" t="n">
        <x:f>2*V1832</x:f>
        <x:v>15747.981873210294</x:v>
      </x:c>
      <x:c r="Z1832" s="80" t="n">
        <x:f>K1832*'Inputs'!$B$16+(G1832+R1832)*J1832*'Inputs'!$B$16</x:f>
        <x:v>76.08908205498808</x:v>
      </x:c>
      <x:c r="AA1832" s="80" t="n">
        <x:f>K1832*(1+'Inputs'!$E$49)/2*'Inputs'!$B$17</x:f>
        <x:v>24.470483502956924</x:v>
      </x:c>
      <x:c r="AB1832" s="78" t="n">
        <x:f>(IF(J1832&gt;0,K1832*(1-'Inputs'!$E$49)/2/J1832,0)+G1832+R1832)*'Inputs'!$B$17</x:f>
        <x:v>43494.37913667647</x:v>
      </x:c>
      <x:c r="AC1832" s="78" t="n">
        <x:f>AC1831+AB1832</x:f>
        <x:v>159338.32988643297</x:v>
      </x:c>
      <x:c r="AD1832" s="80" t="n">
        <x:f>Z1832/(1+'Inputs'!$C$49)</x:f>
        <x:v>19.02227051374702</x:v>
      </x:c>
      <x:c r="AE1832" s="80" t="n">
        <x:f>Z1832-AD1832</x:f>
        <x:v>57.066811541241066</x:v>
      </x:c>
      <x:c r="AF1832" s="80" t="n">
        <x:f>D1832*W1832</x:f>
        <x:v>165.0402844626639</x:v>
      </x:c>
      <x:c r="AG1832" s="80" t="n">
        <x:f>C1832*W1832</x:f>
        <x:v>385.0939970795492</x:v>
      </x:c>
      <x:c r="AH1832" s="80" t="n">
        <x:f>2*'Inputs'!$B$8*'Inputs'!$C$49</x:f>
        <x:v>15000</x:v>
      </x:c>
      <x:c r="AI1832" s="81" t="n">
        <x:f>IF(AH1832&gt;0,(AE1832+AF1832)/AH1832*365,0)</x:f>
        <x:v>5.404606002761687</x:v>
      </x:c>
      <x:c r="AJ1832" s="81" t="n">
        <x:f>IF('Inputs'!$B$49&gt;0,AG1832/('Inputs'!$B$19*'Inputs'!$B$49)*365,0)</x:f>
        <x:v>14.055930893403545</x:v>
      </x:c>
      <x:c r="AK1832" s="81" t="n">
        <x:f>W1832/MAX($W$1829:W1832)-1</x:f>
        <x:v>-0.3020809016712471</x:v>
      </x:c>
      <x:c r="AL1832" s="83" t="n">
        <x:f>'Inputs'!$B$49</x:f>
        <x:v>1</x:v>
      </x:c>
      <x:c r="AM1832" s="83" t="n">
        <x:f>'Inputs'!$C$49</x:f>
        <x:v>3</x:v>
      </x:c>
      <x:c r="AN1832" s="83" t="n">
        <x:f>'Inputs'!$D$49</x:f>
        <x:v>0.75</x:v>
      </x:c>
      <x:c r="AO1832" s="81" t="n">
        <x:f>'Inputs'!$E$49</x:f>
        <x:v>-0.03</x:v>
      </x:c>
    </x:row>
    <x:row r="1833">
      <x:c r="A1833" s="59" t="str">
        <x:v>Mercenary LP</x:v>
      </x:c>
      <x:c r="B1833" s="59" t="n">
        <x:v>5</x:v>
      </x:c>
      <x:c r="C1833" s="78" t="n">
        <x:f>(('Inputs'!$B$29*(3*5*'Inputs'!$B$12-5^2)/(2*'Inputs'!$B$12^2))-('Inputs'!$B$29*(3*4*'Inputs'!$B$12-4^2)/(2*'Inputs'!$B$12^2)))*'Inputs'!$B$49</x:f>
        <x:v>710523.3158191028</x:v>
      </x:c>
      <x:c r="D1833" s="78" t="n">
        <x:f>IF('Inputs'!$C$49&gt;0,('Inputs'!$B$30*(3*5*'Inputs'!$B$12-5^2)/(2*'Inputs'!$B$12^2))-('Inputs'!$B$30*(3*4*'Inputs'!$B$12-4^2)/(2*'Inputs'!$B$12^2)),0)</x:f>
        <x:v>304509.9924939014</x:v>
      </x:c>
      <x:c r="E1833" s="78" t="n">
        <x:f>C1833+D1833</x:f>
        <x:v>1015033.3083130042</x:v>
      </x:c>
      <x:c r="F1833" s="78" t="n">
        <x:f>'Inputs'!$B$13*E1833+(1-'Inputs'!$B$13)/'Inputs'!$B$14*SUM(E1829:E1833)</x:f>
        <x:v>275575.3893788703</x:v>
      </x:c>
      <x:c r="G1833" s="78" t="n">
        <x:f>F1833*'Inputs'!$F$49</x:f>
        <x:v>248017.85044098328</x:v>
      </x:c>
      <x:c r="H1833" s="78" t="n">
        <x:f>U1832</x:f>
        <x:v>14534669.686137386</x:v>
      </x:c>
      <x:c r="I1833" s="78" t="n">
        <x:f>V1832</x:f>
        <x:v>7873.990936605147</x:v>
      </x:c>
      <x:c r="J1833" s="79" t="n">
        <x:f>IF(H1833&gt;0,I1833/H1833,0)</x:f>
        <x:v>0.0005417385538602958</x:v>
      </x:c>
      <x:c r="K1833" s="80" t="n">
        <x:f>(H1833*J1833+I1833)*'Inputs'!$D$49*(1+'Inputs'!$G$49)^(B1833/30)</x:f>
        <x:v>11810.98640490772</x:v>
      </x:c>
      <x:c r="L1833" s="80" t="n">
        <x:f>MAX(0,K1833*'Inputs'!$E$49)</x:f>
        <x:v>0</x:v>
      </x:c>
      <x:c r="M1833" s="80" t="n">
        <x:f>MAX(0,-K1833*'Inputs'!$E$49)</x:f>
        <x:v>354.3295921472316</x:v>
      </x:c>
      <x:c r="N1833" s="78" t="n">
        <x:f>H1833*(L1833*(1-'Inputs'!$B$15))/(I1833+L1833*(1-'Inputs'!$B$15))</x:f>
        <x:v>0</x:v>
      </x:c>
      <x:c r="O1833" s="78" t="n">
        <x:f>H1833-N1833</x:f>
        <x:v>14534669.686137386</x:v>
      </x:c>
      <x:c r="P1833" s="78" t="n">
        <x:f>I1833+L1833*(1-'Inputs'!$B$17)</x:f>
        <x:v>7873.990936605147</x:v>
      </x:c>
      <x:c r="Q1833" s="78" t="n">
        <x:f>IF(J1833&gt;0,M1833/J1833,0)</x:f>
        <x:v>654060.1358761824</x:v>
      </x:c>
      <x:c r="R1833" s="78" t="n">
        <x:f>IF(B1833='Inputs'!$H$49,'Inputs'!$B$27*'Inputs'!$I$49,0)</x:f>
        <x:v>0</x:v>
      </x:c>
      <x:c r="S1833" s="78" t="n">
        <x:f>Q1833+G1833+R1833</x:f>
        <x:v>902077.9863171657</x:v>
      </x:c>
      <x:c r="T1833" s="78" t="n">
        <x:f>P1833*(S1833*(1-'Inputs'!$B$15))/(O1833+S1833*(1-'Inputs'!$B$15))</x:f>
        <x:v>455.7978241671814</x:v>
      </x:c>
      <x:c r="U1833" s="78" t="n">
        <x:f>O1833+S1833*(1-'Inputs'!$B$17)</x:f>
        <x:v>15433117.579954281</x:v>
      </x:c>
      <x:c r="V1833" s="78" t="n">
        <x:f>P1833-T1833</x:f>
        <x:v>7418.193112437965</x:v>
      </x:c>
      <x:c r="W1833" s="79" t="n">
        <x:f>IF(U1833&gt;0,V1833/U1833,0)</x:f>
        <x:v>0.00048066718043237645</x:v>
      </x:c>
      <x:c r="X1833" s="80" t="n">
        <x:f>W1833*('Inputs'!$B$6-AC1833)</x:f>
        <x:v>480568.393896901</x:v>
      </x:c>
      <x:c r="Y1833" s="80" t="n">
        <x:f>2*V1833</x:f>
        <x:v>14836.38622487593</x:v>
      </x:c>
      <x:c r="Z1833" s="80" t="n">
        <x:f>K1833*'Inputs'!$B$16+(G1833+R1833)*J1833*'Inputs'!$B$16</x:f>
        <x:v>71.67208341922294</x:v>
      </x:c>
      <x:c r="AA1833" s="80" t="n">
        <x:f>K1833*(1+'Inputs'!$E$49)/2*'Inputs'!$B$17</x:f>
        <x:v>23.05162336571527</x:v>
      </x:c>
      <x:c r="AB1833" s="78" t="n">
        <x:f>(IF(J1833&gt;0,K1833*(1-'Inputs'!$E$49)/2/J1833,0)+G1833+R1833)*'Inputs'!$B$17</x:f>
        <x:v>46181.288462704695</x:v>
      </x:c>
      <x:c r="AC1833" s="78" t="n">
        <x:f>AC1832+AB1833</x:f>
        <x:v>205519.61834913766</x:v>
      </x:c>
      <x:c r="AD1833" s="80" t="n">
        <x:f>Z1833/(1+'Inputs'!$C$49)</x:f>
        <x:v>17.918020854805736</x:v>
      </x:c>
      <x:c r="AE1833" s="80" t="n">
        <x:f>Z1833-AD1833</x:f>
        <x:v>53.75406256441721</x:v>
      </x:c>
      <x:c r="AF1833" s="80" t="n">
        <x:f>D1833*W1833</x:f>
        <x:v>146.3679595055277</x:v>
      </x:c>
      <x:c r="AG1833" s="80" t="n">
        <x:f>C1833*W1833</x:f>
        <x:v>341.5252388462311</x:v>
      </x:c>
      <x:c r="AH1833" s="80" t="n">
        <x:f>2*'Inputs'!$B$8*'Inputs'!$C$49</x:f>
        <x:v>15000</x:v>
      </x:c>
      <x:c r="AI1833" s="81" t="n">
        <x:f>IF(AH1833&gt;0,(AE1833+AF1833)/AH1833*365,0)</x:f>
        <x:v>4.8696358703686595</x:v>
      </x:c>
      <x:c r="AJ1833" s="81" t="n">
        <x:f>IF('Inputs'!$B$49&gt;0,AG1833/('Inputs'!$B$19*'Inputs'!$B$49)*365,0)</x:f>
        <x:v>12.465671217887435</x:v>
      </x:c>
      <x:c r="AK1833" s="81" t="n">
        <x:f>W1833/MAX($W$1829:W1833)-1</x:f>
        <x:v>-0.3807588498674608</x:v>
      </x:c>
      <x:c r="AL1833" s="83" t="n">
        <x:f>'Inputs'!$B$49</x:f>
        <x:v>1</x:v>
      </x:c>
      <x:c r="AM1833" s="83" t="n">
        <x:f>'Inputs'!$C$49</x:f>
        <x:v>3</x:v>
      </x:c>
      <x:c r="AN1833" s="83" t="n">
        <x:f>'Inputs'!$D$49</x:f>
        <x:v>0.75</x:v>
      </x:c>
      <x:c r="AO1833" s="81" t="n">
        <x:f>'Inputs'!$E$49</x:f>
        <x:v>-0.03</x:v>
      </x:c>
    </x:row>
    <x:row r="1834">
      <x:c r="A1834" s="59" t="str">
        <x:v>Mercenary LP</x:v>
      </x:c>
      <x:c r="B1834" s="59" t="n">
        <x:v>6</x:v>
      </x:c>
      <x:c r="C1834" s="78" t="n">
        <x:f>(('Inputs'!$B$29*(3*6*'Inputs'!$B$12-6^2)/(2*'Inputs'!$B$12^2))-('Inputs'!$B$29*(3*5*'Inputs'!$B$12-5^2)/(2*'Inputs'!$B$12^2)))*'Inputs'!$B$49</x:f>
        <x:v>710198.2079189345</x:v>
      </x:c>
      <x:c r="D1834" s="78" t="n">
        <x:f>IF('Inputs'!$C$49&gt;0,('Inputs'!$B$30*(3*6*'Inputs'!$B$12-6^2)/(2*'Inputs'!$B$12^2))-('Inputs'!$B$30*(3*5*'Inputs'!$B$12-5^2)/(2*'Inputs'!$B$12^2)),0)</x:f>
        <x:v>304370.66053668596</x:v>
      </x:c>
      <x:c r="E1834" s="78" t="n">
        <x:f>C1834+D1834</x:f>
        <x:v>1014568.8684556205</x:v>
      </x:c>
      <x:c r="F1834" s="78" t="n">
        <x:f>'Inputs'!$B$13*E1834+(1-'Inputs'!$B$13)/'Inputs'!$B$14*SUM(E1829:E1834)</x:f>
        <x:v>289976.342385331</x:v>
      </x:c>
      <x:c r="G1834" s="78" t="n">
        <x:f>F1834*'Inputs'!$F$49</x:f>
        <x:v>260978.7081467979</x:v>
      </x:c>
      <x:c r="H1834" s="78" t="n">
        <x:f>U1833</x:f>
        <x:v>15433117.579954281</x:v>
      </x:c>
      <x:c r="I1834" s="78" t="n">
        <x:f>V1833</x:f>
        <x:v>7418.193112437965</x:v>
      </x:c>
      <x:c r="J1834" s="79" t="n">
        <x:f>IF(H1834&gt;0,I1834/H1834,0)</x:f>
        <x:v>0.00048066718043237645</x:v>
      </x:c>
      <x:c r="K1834" s="80" t="n">
        <x:f>(H1834*J1834+I1834)*'Inputs'!$D$49*(1+'Inputs'!$G$49)^(B1834/30)</x:f>
        <x:v>11127.289668656947</x:v>
      </x:c>
      <x:c r="L1834" s="80" t="n">
        <x:f>MAX(0,K1834*'Inputs'!$E$49)</x:f>
        <x:v>0</x:v>
      </x:c>
      <x:c r="M1834" s="80" t="n">
        <x:f>MAX(0,-K1834*'Inputs'!$E$49)</x:f>
        <x:v>333.8186900597084</x:v>
      </x:c>
      <x:c r="N1834" s="78" t="n">
        <x:f>H1834*(L1834*(1-'Inputs'!$B$15))/(I1834+L1834*(1-'Inputs'!$B$15))</x:f>
        <x:v>0</x:v>
      </x:c>
      <x:c r="O1834" s="78" t="n">
        <x:f>H1834-N1834</x:f>
        <x:v>15433117.579954281</x:v>
      </x:c>
      <x:c r="P1834" s="78" t="n">
        <x:f>I1834+L1834*(1-'Inputs'!$B$17)</x:f>
        <x:v>7418.193112437965</x:v>
      </x:c>
      <x:c r="Q1834" s="78" t="n">
        <x:f>IF(J1834&gt;0,M1834/J1834,0)</x:f>
        <x:v>694490.2910979425</x:v>
      </x:c>
      <x:c r="R1834" s="78" t="n">
        <x:f>IF(B1834='Inputs'!$H$49,'Inputs'!$B$27*'Inputs'!$I$49,0)</x:f>
        <x:v>0</x:v>
      </x:c>
      <x:c r="S1834" s="78" t="n">
        <x:f>Q1834+G1834+R1834</x:f>
        <x:v>955468.9992447405</x:v>
      </x:c>
      <x:c r="T1834" s="78" t="n">
        <x:f>P1834*(S1834*(1-'Inputs'!$B$15))/(O1834+S1834*(1-'Inputs'!$B$15))</x:f>
        <x:v>428.4120735167449</x:v>
      </x:c>
      <x:c r="U1834" s="78" t="n">
        <x:f>O1834+S1834*(1-'Inputs'!$B$17)</x:f>
        <x:v>16384741.633528017</x:v>
      </x:c>
      <x:c r="V1834" s="78" t="n">
        <x:f>P1834-T1834</x:f>
        <x:v>6989.78103892122</x:v>
      </x:c>
      <x:c r="W1834" s="79" t="n">
        <x:f>IF(U1834&gt;0,V1834/U1834,0)</x:f>
        <x:v>0.0004266030673695864</x:v>
      </x:c>
      <x:c r="X1834" s="80" t="n">
        <x:f>W1834*('Inputs'!$B$6-AC1834)</x:f>
        <x:v>426494.4772545589</x:v>
      </x:c>
      <x:c r="Y1834" s="80" t="n">
        <x:f>2*V1834</x:f>
        <x:v>13979.56207784244</x:v>
      </x:c>
      <x:c r="Z1834" s="80" t="n">
        <x:f>K1834*'Inputs'!$B$16+(G1834+R1834)*J1834*'Inputs'!$B$16</x:f>
        <x:v>67.51640141072852</x:v>
      </x:c>
      <x:c r="AA1834" s="80" t="n">
        <x:f>K1834*(1+'Inputs'!$E$49)/2*'Inputs'!$B$17</x:f>
        <x:v>21.71724542977312</x:v>
      </x:c>
      <x:c r="AB1834" s="78" t="n">
        <x:f>(IF(J1834&gt;0,K1834*(1-'Inputs'!$E$49)/2/J1834,0)+G1834+R1834)*'Inputs'!$B$17</x:f>
        <x:v>49026.406594211185</x:v>
      </x:c>
      <x:c r="AC1834" s="78" t="n">
        <x:f>AC1833+AB1834</x:f>
        <x:v>254546.02494334884</x:v>
      </x:c>
      <x:c r="AD1834" s="80" t="n">
        <x:f>Z1834/(1+'Inputs'!$C$49)</x:f>
        <x:v>16.87910035268213</x:v>
      </x:c>
      <x:c r="AE1834" s="80" t="n">
        <x:f>Z1834-AD1834</x:f>
        <x:v>50.63730105804639</x:v>
      </x:c>
      <x:c r="AF1834" s="80" t="n">
        <x:f>D1834*W1834</x:f>
        <x:v>129.84545740225735</x:v>
      </x:c>
      <x:c r="AG1834" s="80" t="n">
        <x:f>C1834*W1834</x:f>
        <x:v>302.97273393860075</x:v>
      </x:c>
      <x:c r="AH1834" s="80" t="n">
        <x:f>2*'Inputs'!$B$8*'Inputs'!$C$49</x:f>
        <x:v>15000</x:v>
      </x:c>
      <x:c r="AI1834" s="81" t="n">
        <x:f>IF(AH1834&gt;0,(AE1834+AF1834)/AH1834*365,0)</x:f>
        <x:v>4.391747122534057</x:v>
      </x:c>
      <x:c r="AJ1834" s="81" t="n">
        <x:f>IF('Inputs'!$B$49&gt;0,AG1834/('Inputs'!$B$19*'Inputs'!$B$49)*365,0)</x:f>
        <x:v>11.058504788758928</x:v>
      </x:c>
      <x:c r="AK1834" s="81" t="n">
        <x:f>W1834/MAX($W$1829:W1834)-1</x:f>
        <x:v>-0.45040937920832913</x:v>
      </x:c>
      <x:c r="AL1834" s="83" t="n">
        <x:f>'Inputs'!$B$49</x:f>
        <x:v>1</x:v>
      </x:c>
      <x:c r="AM1834" s="83" t="n">
        <x:f>'Inputs'!$C$49</x:f>
        <x:v>3</x:v>
      </x:c>
      <x:c r="AN1834" s="83" t="n">
        <x:f>'Inputs'!$D$49</x:f>
        <x:v>0.75</x:v>
      </x:c>
      <x:c r="AO1834" s="81" t="n">
        <x:f>'Inputs'!$E$49</x:f>
        <x:v>-0.03</x:v>
      </x:c>
    </x:row>
    <x:row r="1835">
      <x:c r="A1835" s="59" t="str">
        <x:v>Mercenary LP</x:v>
      </x:c>
      <x:c r="B1835" s="59" t="n">
        <x:v>7</x:v>
      </x:c>
      <x:c r="C1835" s="78" t="n">
        <x:f>(('Inputs'!$B$29*(3*7*'Inputs'!$B$12-7^2)/(2*'Inputs'!$B$12^2))-('Inputs'!$B$29*(3*6*'Inputs'!$B$12-6^2)/(2*'Inputs'!$B$12^2)))*'Inputs'!$B$49</x:f>
        <x:v>709873.1000187648</x:v>
      </x:c>
      <x:c r="D1835" s="78" t="n">
        <x:f>IF('Inputs'!$C$49&gt;0,('Inputs'!$B$30*(3*7*'Inputs'!$B$12-7^2)/(2*'Inputs'!$B$12^2))-('Inputs'!$B$30*(3*6*'Inputs'!$B$12-6^2)/(2*'Inputs'!$B$12^2)),0)</x:f>
        <x:v>304231.32857947075</x:v>
      </x:c>
      <x:c r="E1835" s="78" t="n">
        <x:f>C1835+D1835</x:f>
        <x:v>1014104.4285982356</x:v>
      </x:c>
      <x:c r="F1835" s="78" t="n">
        <x:f>'Inputs'!$B$13*E1835+(1-'Inputs'!$B$13)/'Inputs'!$B$14*SUM(E1829:E1835)</x:f>
        <x:v>304370.66053668596</x:v>
      </x:c>
      <x:c r="G1835" s="78" t="n">
        <x:f>F1835*'Inputs'!$F$49</x:f>
        <x:v>273933.5944830174</x:v>
      </x:c>
      <x:c r="H1835" s="78" t="n">
        <x:f>U1834</x:f>
        <x:v>16384741.633528017</x:v>
      </x:c>
      <x:c r="I1835" s="78" t="n">
        <x:f>V1834</x:f>
        <x:v>6989.78103892122</x:v>
      </x:c>
      <x:c r="J1835" s="79" t="n">
        <x:f>IF(H1835&gt;0,I1835/H1835,0)</x:f>
        <x:v>0.0004266030673695864</x:v>
      </x:c>
      <x:c r="K1835" s="80" t="n">
        <x:f>(H1835*J1835+I1835)*'Inputs'!$D$49*(1+'Inputs'!$G$49)^(B1835/30)</x:f>
        <x:v>10484.67155838183</x:v>
      </x:c>
      <x:c r="L1835" s="80" t="n">
        <x:f>MAX(0,K1835*'Inputs'!$E$49)</x:f>
        <x:v>0</x:v>
      </x:c>
      <x:c r="M1835" s="80" t="n">
        <x:f>MAX(0,-K1835*'Inputs'!$E$49)</x:f>
        <x:v>314.54014675145487</x:v>
      </x:c>
      <x:c r="N1835" s="78" t="n">
        <x:f>H1835*(L1835*(1-'Inputs'!$B$15))/(I1835+L1835*(1-'Inputs'!$B$15))</x:f>
        <x:v>0</x:v>
      </x:c>
      <x:c r="O1835" s="78" t="n">
        <x:f>H1835-N1835</x:f>
        <x:v>16384741.633528017</x:v>
      </x:c>
      <x:c r="P1835" s="78" t="n">
        <x:f>I1835+L1835*(1-'Inputs'!$B$17)</x:f>
        <x:v>6989.78103892122</x:v>
      </x:c>
      <x:c r="Q1835" s="78" t="n">
        <x:f>IF(J1835&gt;0,M1835/J1835,0)</x:f>
        <x:v>737313.3735087607</x:v>
      </x:c>
      <x:c r="R1835" s="78" t="n">
        <x:f>IF(B1835='Inputs'!$H$49,'Inputs'!$B$27*'Inputs'!$I$49,0)</x:f>
        <x:v>0</x:v>
      </x:c>
      <x:c r="S1835" s="78" t="n">
        <x:f>Q1835+G1835+R1835</x:f>
        <x:v>1011246.9679917782</x:v>
      </x:c>
      <x:c r="T1835" s="78" t="n">
        <x:f>P1835*(S1835*(1-'Inputs'!$B$15))/(O1835+S1835*(1-'Inputs'!$B$15))</x:f>
        <x:v>402.4940060912312</x:v>
      </x:c>
      <x:c r="U1835" s="78" t="n">
        <x:f>O1835+S1835*(1-'Inputs'!$B$17)</x:f>
        <x:v>17391919.19722204</x:v>
      </x:c>
      <x:c r="V1835" s="78" t="n">
        <x:f>P1835-T1835</x:f>
        <x:v>6587.287032829989</x:v>
      </x:c>
      <x:c r="W1835" s="79" t="n">
        <x:f>IF(U1835&gt;0,V1835/U1835,0)</x:f>
        <x:v>0.0003787556139222494</x:v>
      </x:c>
      <x:c r="X1835" s="80" t="n">
        <x:f>W1835*('Inputs'!$B$6-AC1835)</x:f>
        <x:v>378639.49395356915</x:v>
      </x:c>
      <x:c r="Y1835" s="80" t="n">
        <x:f>2*V1835</x:f>
        <x:v>13174.574065659977</x:v>
      </x:c>
      <x:c r="Z1835" s="80" t="n">
        <x:f>K1835*'Inputs'!$B$16+(G1835+R1835)*J1835*'Inputs'!$B$16</x:f>
        <x:v>63.60919482026317</x:v>
      </x:c>
      <x:c r="AA1835" s="80" t="n">
        <x:f>K1835*(1+'Inputs'!$E$49)/2*'Inputs'!$B$17</x:f>
        <x:v>20.463041069678823</x:v>
      </x:c>
      <x:c r="AB1835" s="78" t="n">
        <x:f>(IF(J1835&gt;0,K1835*(1-'Inputs'!$E$49)/2/J1835,0)+G1835+R1835)*'Inputs'!$B$17</x:f>
        <x:v>52036.80686673405</x:v>
      </x:c>
      <x:c r="AC1835" s="78" t="n">
        <x:f>AC1834+AB1835</x:f>
        <x:v>306582.8318100829</x:v>
      </x:c>
      <x:c r="AD1835" s="80" t="n">
        <x:f>Z1835/(1+'Inputs'!$C$49)</x:f>
        <x:v>15.902298705065792</x:v>
      </x:c>
      <x:c r="AE1835" s="80" t="n">
        <x:f>Z1835-AD1835</x:f>
        <x:v>47.70689611519738</x:v>
      </x:c>
      <x:c r="AF1835" s="80" t="n">
        <x:f>D1835*W1835</x:f>
        <x:v>115.22932363049902</x:v>
      </x:c>
      <x:c r="AG1835" s="80" t="n">
        <x:f>C1835*W1835</x:f>
        <x:v>268.86842180449764</x:v>
      </x:c>
      <x:c r="AH1835" s="80" t="n">
        <x:f>2*'Inputs'!$B$8*'Inputs'!$C$49</x:f>
        <x:v>15000</x:v>
      </x:c>
      <x:c r="AI1835" s="81" t="n">
        <x:f>IF(AH1835&gt;0,(AE1835+AF1835)/AH1835*365,0)</x:f>
        <x:v>3.964781347145279</x:v>
      </x:c>
      <x:c r="AJ1835" s="81" t="n">
        <x:f>IF('Inputs'!$B$49&gt;0,AG1835/('Inputs'!$B$19*'Inputs'!$B$49)*365,0)</x:f>
        <x:v>9.813697395864164</x:v>
      </x:c>
      <x:c r="AK1835" s="81" t="n">
        <x:f>W1835/MAX($W$1829:W1835)-1</x:f>
        <x:v>-0.5120510167276409</x:v>
      </x:c>
      <x:c r="AL1835" s="83" t="n">
        <x:f>'Inputs'!$B$49</x:f>
        <x:v>1</x:v>
      </x:c>
      <x:c r="AM1835" s="83" t="n">
        <x:f>'Inputs'!$C$49</x:f>
        <x:v>3</x:v>
      </x:c>
      <x:c r="AN1835" s="83" t="n">
        <x:f>'Inputs'!$D$49</x:f>
        <x:v>0.75</x:v>
      </x:c>
      <x:c r="AO1835" s="81" t="n">
        <x:f>'Inputs'!$E$49</x:f>
        <x:v>-0.03</x:v>
      </x:c>
    </x:row>
    <x:row r="1836">
      <x:c r="A1836" s="59" t="str">
        <x:v>Mercenary LP</x:v>
      </x:c>
      <x:c r="B1836" s="59" t="n">
        <x:v>8</x:v>
      </x:c>
      <x:c r="C1836" s="78" t="n">
        <x:f>(('Inputs'!$B$29*(3*8*'Inputs'!$B$12-8^2)/(2*'Inputs'!$B$12^2))-('Inputs'!$B$29*(3*7*'Inputs'!$B$12-7^2)/(2*'Inputs'!$B$12^2)))*'Inputs'!$B$49</x:f>
        <x:v>709547.9921185961</x:v>
      </x:c>
      <x:c r="D1836" s="78" t="n">
        <x:f>IF('Inputs'!$C$49&gt;0,('Inputs'!$B$30*(3*8*'Inputs'!$B$12-8^2)/(2*'Inputs'!$B$12^2))-('Inputs'!$B$30*(3*7*'Inputs'!$B$12-7^2)/(2*'Inputs'!$B$12^2)),0)</x:f>
        <x:v>304091.99662225554</x:v>
      </x:c>
      <x:c r="E1836" s="78" t="n">
        <x:f>C1836+D1836</x:f>
        <x:v>1013639.9887408516</x:v>
      </x:c>
      <x:c r="F1836" s="78" t="n">
        <x:f>'Inputs'!$B$13*E1836+(1-'Inputs'!$B$13)/'Inputs'!$B$14*SUM(E1829:E1836)</x:f>
        <x:v>318758.3438329357</x:v>
      </x:c>
      <x:c r="G1836" s="78" t="n">
        <x:f>F1836*'Inputs'!$F$49</x:f>
        <x:v>286882.5094496421</x:v>
      </x:c>
      <x:c r="H1836" s="78" t="n">
        <x:f>U1835</x:f>
        <x:v>17391919.19722204</x:v>
      </x:c>
      <x:c r="I1836" s="78" t="n">
        <x:f>V1835</x:f>
        <x:v>6587.287032829989</x:v>
      </x:c>
      <x:c r="J1836" s="79" t="n">
        <x:f>IF(H1836&gt;0,I1836/H1836,0)</x:f>
        <x:v>0.0003787556139222494</x:v>
      </x:c>
      <x:c r="K1836" s="80" t="n">
        <x:f>(H1836*J1836+I1836)*'Inputs'!$D$49*(1+'Inputs'!$G$49)^(B1836/30)</x:f>
        <x:v>9880.930549244982</x:v>
      </x:c>
      <x:c r="L1836" s="80" t="n">
        <x:f>MAX(0,K1836*'Inputs'!$E$49)</x:f>
        <x:v>0</x:v>
      </x:c>
      <x:c r="M1836" s="80" t="n">
        <x:f>MAX(0,-K1836*'Inputs'!$E$49)</x:f>
        <x:v>296.42791647734947</x:v>
      </x:c>
      <x:c r="N1836" s="78" t="n">
        <x:f>H1836*(L1836*(1-'Inputs'!$B$15))/(I1836+L1836*(1-'Inputs'!$B$15))</x:f>
        <x:v>0</x:v>
      </x:c>
      <x:c r="O1836" s="78" t="n">
        <x:f>H1836-N1836</x:f>
        <x:v>17391919.19722204</x:v>
      </x:c>
      <x:c r="P1836" s="78" t="n">
        <x:f>I1836+L1836*(1-'Inputs'!$B$17)</x:f>
        <x:v>6587.287032829989</x:v>
      </x:c>
      <x:c r="Q1836" s="78" t="n">
        <x:f>IF(J1836&gt;0,M1836/J1836,0)</x:f>
        <x:v>782636.3638749918</x:v>
      </x:c>
      <x:c r="R1836" s="78" t="n">
        <x:f>IF(B1836='Inputs'!$H$49,'Inputs'!$B$27*'Inputs'!$I$49,0)</x:f>
        <x:v>0</x:v>
      </x:c>
      <x:c r="S1836" s="78" t="n">
        <x:f>Q1836+G1836+R1836</x:f>
        <x:v>1069518.8733246338</x:v>
      </x:c>
      <x:c r="T1836" s="78" t="n">
        <x:f>P1836*(S1836*(1-'Inputs'!$B$15))/(O1836+S1836*(1-'Inputs'!$B$15))</x:f>
        <x:v>378.02139308098157</x:v>
      </x:c>
      <x:c r="U1836" s="78" t="n">
        <x:f>O1836+S1836*(1-'Inputs'!$B$17)</x:f>
        <x:v>18457134.171660054</x:v>
      </x:c>
      <x:c r="V1836" s="78" t="n">
        <x:f>P1836-T1836</x:f>
        <x:v>6209.265639749007</x:v>
      </x:c>
      <x:c r="W1836" s="79" t="n">
        <x:f>IF(U1836&gt;0,V1836/U1836,0)</x:f>
        <x:v>0.00033641547934798043</x:v>
      </x:c>
      <x:c r="X1836" s="80" t="n">
        <x:f>W1836*('Inputs'!$B$6-AC1836)</x:f>
        <x:v>336293.7633153802</x:v>
      </x:c>
      <x:c r="Y1836" s="80" t="n">
        <x:f>2*V1836</x:f>
        <x:v>12418.531279498015</x:v>
      </x:c>
      <x:c r="Z1836" s="80" t="n">
        <x:f>K1836*'Inputs'!$B$16+(G1836+R1836)*J1836*'Inputs'!$B$16</x:f>
        <x:v>59.93753346141082</x:v>
      </x:c>
      <x:c r="AA1836" s="80" t="n">
        <x:f>K1836*(1+'Inputs'!$E$49)/2*'Inputs'!$B$17</x:f>
        <x:v>19.284713546816164</x:v>
      </x:c>
      <x:c r="AB1836" s="78" t="n">
        <x:f>(IF(J1836&gt;0,K1836*(1-'Inputs'!$E$49)/2/J1836,0)+G1836+R1836)*'Inputs'!$B$17</x:f>
        <x:v>55219.87963502482</x:v>
      </x:c>
      <x:c r="AC1836" s="78" t="n">
        <x:f>AC1835+AB1836</x:f>
        <x:v>361802.7114451077</x:v>
      </x:c>
      <x:c r="AD1836" s="80" t="n">
        <x:f>Z1836/(1+'Inputs'!$C$49)</x:f>
        <x:v>14.984383365352706</x:v>
      </x:c>
      <x:c r="AE1836" s="80" t="n">
        <x:f>Z1836-AD1836</x:f>
        <x:v>44.95315009605812</x:v>
      </x:c>
      <x:c r="AF1836" s="80" t="n">
        <x:f>D1836*W1836</x:f>
        <x:v>102.30125480956055</x:v>
      </x:c>
      <x:c r="AG1836" s="80" t="n">
        <x:f>C1836*W1836</x:f>
        <x:v>238.70292788897456</x:v>
      </x:c>
      <x:c r="AH1836" s="80" t="n">
        <x:f>2*'Inputs'!$B$8*'Inputs'!$C$49</x:f>
        <x:v>15000</x:v>
      </x:c>
      <x:c r="AI1836" s="81" t="n">
        <x:f>IF(AH1836&gt;0,(AE1836+AF1836)/AH1836*365,0)</x:f>
        <x:v>3.583190519370054</x:v>
      </x:c>
      <x:c r="AJ1836" s="81" t="n">
        <x:f>IF('Inputs'!$B$49&gt;0,AG1836/('Inputs'!$B$19*'Inputs'!$B$49)*365,0)</x:f>
        <x:v>8.71265686794757</x:v>
      </x:c>
      <x:c r="AK1836" s="81" t="n">
        <x:f>W1836/MAX($W$1829:W1836)-1</x:f>
        <x:v>-0.5665976025938781</x:v>
      </x:c>
      <x:c r="AL1836" s="83" t="n">
        <x:f>'Inputs'!$B$49</x:f>
        <x:v>1</x:v>
      </x:c>
      <x:c r="AM1836" s="83" t="n">
        <x:f>'Inputs'!$C$49</x:f>
        <x:v>3</x:v>
      </x:c>
      <x:c r="AN1836" s="83" t="n">
        <x:f>'Inputs'!$D$49</x:f>
        <x:v>0.75</x:v>
      </x:c>
      <x:c r="AO1836" s="81" t="n">
        <x:f>'Inputs'!$E$49</x:f>
        <x:v>-0.03</x:v>
      </x:c>
    </x:row>
    <x:row r="1837">
      <x:c r="A1837" s="59" t="str">
        <x:v>Mercenary LP</x:v>
      </x:c>
      <x:c r="B1837" s="59" t="n">
        <x:v>9</x:v>
      </x:c>
      <x:c r="C1837" s="78" t="n">
        <x:f>(('Inputs'!$B$29*(3*9*'Inputs'!$B$12-9^2)/(2*'Inputs'!$B$12^2))-('Inputs'!$B$29*(3*8*'Inputs'!$B$12-8^2)/(2*'Inputs'!$B$12^2)))*'Inputs'!$B$49</x:f>
        <x:v>709222.8842184283</x:v>
      </x:c>
      <x:c r="D1837" s="78" t="n">
        <x:f>IF('Inputs'!$C$49&gt;0,('Inputs'!$B$30*(3*9*'Inputs'!$B$12-9^2)/(2*'Inputs'!$B$12^2))-('Inputs'!$B$30*(3*8*'Inputs'!$B$12-8^2)/(2*'Inputs'!$B$12^2)),0)</x:f>
        <x:v>303952.66466504056</x:v>
      </x:c>
      <x:c r="E1837" s="78" t="n">
        <x:f>C1837+D1837</x:f>
        <x:v>1013175.5488834688</x:v>
      </x:c>
      <x:c r="F1837" s="78" t="n">
        <x:f>'Inputs'!$B$13*E1837+(1-'Inputs'!$B$13)/'Inputs'!$B$14*SUM(E1829:E1837)</x:f>
        <x:v>333139.3922740801</x:v>
      </x:c>
      <x:c r="G1837" s="78" t="n">
        <x:f>F1837*'Inputs'!$F$49</x:f>
        <x:v>299825.4530466721</x:v>
      </x:c>
      <x:c r="H1837" s="78" t="n">
        <x:f>U1836</x:f>
        <x:v>18457134.171660054</x:v>
      </x:c>
      <x:c r="I1837" s="78" t="n">
        <x:f>V1836</x:f>
        <x:v>6209.265639749007</x:v>
      </x:c>
      <x:c r="J1837" s="79" t="n">
        <x:f>IF(H1837&gt;0,I1837/H1837,0)</x:f>
        <x:v>0.00033641547934798043</x:v>
      </x:c>
      <x:c r="K1837" s="80" t="n">
        <x:f>(H1837*J1837+I1837)*'Inputs'!$D$49*(1+'Inputs'!$G$49)^(B1837/30)</x:f>
        <x:v>9313.898459623511</x:v>
      </x:c>
      <x:c r="L1837" s="80" t="n">
        <x:f>MAX(0,K1837*'Inputs'!$E$49)</x:f>
        <x:v>0</x:v>
      </x:c>
      <x:c r="M1837" s="80" t="n">
        <x:f>MAX(0,-K1837*'Inputs'!$E$49)</x:f>
        <x:v>279.4169537887053</x:v>
      </x:c>
      <x:c r="N1837" s="78" t="n">
        <x:f>H1837*(L1837*(1-'Inputs'!$B$15))/(I1837+L1837*(1-'Inputs'!$B$15))</x:f>
        <x:v>0</x:v>
      </x:c>
      <x:c r="O1837" s="78" t="n">
        <x:f>H1837-N1837</x:f>
        <x:v>18457134.171660054</x:v>
      </x:c>
      <x:c r="P1837" s="78" t="n">
        <x:f>I1837+L1837*(1-'Inputs'!$B$17)</x:f>
        <x:v>6209.265639749007</x:v>
      </x:c>
      <x:c r="Q1837" s="78" t="n">
        <x:f>IF(J1837&gt;0,M1837/J1837,0)</x:f>
        <x:v>830571.0377247025</x:v>
      </x:c>
      <x:c r="R1837" s="78" t="n">
        <x:f>IF(B1837='Inputs'!$H$49,'Inputs'!$B$27*'Inputs'!$I$49,0)</x:f>
        <x:v>0</x:v>
      </x:c>
      <x:c r="S1837" s="78" t="n">
        <x:f>Q1837+G1837+R1837</x:f>
        <x:v>1130396.4907713747</x:v>
      </x:c>
      <x:c r="T1837" s="78" t="n">
        <x:f>P1837*(S1837*(1-'Inputs'!$B$15))/(O1837+S1837*(1-'Inputs'!$B$15))</x:f>
        <x:v>354.9582294847523</x:v>
      </x:c>
      <x:c r="U1837" s="78" t="n">
        <x:f>O1837+S1837*(1-'Inputs'!$B$17)</x:f>
        <x:v>19582981.783192914</x:v>
      </x:c>
      <x:c r="V1837" s="78" t="n">
        <x:f>P1837-T1837</x:f>
        <x:v>5854.307410264255</x:v>
      </x:c>
      <x:c r="W1837" s="79" t="n">
        <x:f>IF(U1837&gt;0,V1837/U1837,0)</x:f>
        <x:v>0.00029894872369685353</x:v>
      </x:c>
      <x:c r="X1837" s="80" t="n">
        <x:f>W1837*('Inputs'!$B$6-AC1837)</x:f>
        <x:v>298823.0498213764</x:v>
      </x:c>
      <x:c r="Y1837" s="80" t="n">
        <x:f>2*V1837</x:f>
        <x:v>11708.61482052851</x:v>
      </x:c>
      <x:c r="Z1837" s="80" t="n">
        <x:f>K1837*'Inputs'!$B$16+(G1837+R1837)*J1837*'Inputs'!$B$16</x:f>
        <x:v>56.4885862987856</x:v>
      </x:c>
      <x:c r="AA1837" s="80" t="n">
        <x:f>K1837*(1+'Inputs'!$E$49)/2*'Inputs'!$B$17</x:f>
        <x:v>18.178031198862787</x:v>
      </x:c>
      <x:c r="AB1837" s="78" t="n">
        <x:f>(IF(J1837&gt;0,K1837*(1-'Inputs'!$E$49)/2/J1837,0)+G1837+R1837)*'Inputs'!$B$17</x:f>
        <x:v>58583.34648150531</x:v>
      </x:c>
      <x:c r="AC1837" s="78" t="n">
        <x:f>AC1836+AB1837</x:f>
        <x:v>420386.057926613</x:v>
      </x:c>
      <x:c r="AD1837" s="80" t="n">
        <x:f>Z1837/(1+'Inputs'!$C$49)</x:f>
        <x:v>14.1221465746964</x:v>
      </x:c>
      <x:c r="AE1837" s="80" t="n">
        <x:f>Z1837-AD1837</x:f>
        <x:v>42.3664397240892</x:v>
      </x:c>
      <x:c r="AF1837" s="80" t="n">
        <x:f>D1837*W1837</x:f>
        <x:v>90.86626116587158</x:v>
      </x:c>
      <x:c r="AG1837" s="80" t="n">
        <x:f>C1837*W1837</x:f>
        <x:v>212.02127605370046</x:v>
      </x:c>
      <x:c r="AH1837" s="80" t="n">
        <x:f>2*'Inputs'!$B$8*'Inputs'!$C$49</x:f>
        <x:v>15000</x:v>
      </x:c>
      <x:c r="AI1837" s="81" t="n">
        <x:f>IF(AH1837&gt;0,(AE1837+AF1837)/AH1837*365,0)</x:f>
        <x:v>3.241995721655712</x:v>
      </x:c>
      <x:c r="AJ1837" s="81" t="n">
        <x:f>IF('Inputs'!$B$49&gt;0,AG1837/('Inputs'!$B$19*'Inputs'!$B$49)*365,0)</x:f>
        <x:v>7.738776575960067</x:v>
      </x:c>
      <x:c r="AK1837" s="81" t="n">
        <x:f>W1837/MAX($W$1829:W1837)-1</x:f>
        <x:v>-0.6148658385076939</x:v>
      </x:c>
      <x:c r="AL1837" s="83" t="n">
        <x:f>'Inputs'!$B$49</x:f>
        <x:v>1</x:v>
      </x:c>
      <x:c r="AM1837" s="83" t="n">
        <x:f>'Inputs'!$C$49</x:f>
        <x:v>3</x:v>
      </x:c>
      <x:c r="AN1837" s="83" t="n">
        <x:f>'Inputs'!$D$49</x:f>
        <x:v>0.75</x:v>
      </x:c>
      <x:c r="AO1837" s="81" t="n">
        <x:f>'Inputs'!$E$49</x:f>
        <x:v>-0.03</x:v>
      </x:c>
    </x:row>
    <x:row r="1838">
      <x:c r="A1838" s="59" t="str">
        <x:v>Mercenary LP</x:v>
      </x:c>
      <x:c r="B1838" s="59" t="n">
        <x:v>10</x:v>
      </x:c>
      <x:c r="C1838" s="78" t="n">
        <x:f>(('Inputs'!$B$29*(3*10*'Inputs'!$B$12-10^2)/(2*'Inputs'!$B$12^2))-('Inputs'!$B$29*(3*9*'Inputs'!$B$12-9^2)/(2*'Inputs'!$B$12^2)))*'Inputs'!$B$49</x:f>
        <x:v>708897.7763182586</x:v>
      </x:c>
      <x:c r="D1838" s="78" t="n">
        <x:f>IF('Inputs'!$C$49&gt;0,('Inputs'!$B$30*(3*10*'Inputs'!$B$12-10^2)/(2*'Inputs'!$B$12^2))-('Inputs'!$B$30*(3*9*'Inputs'!$B$12-9^2)/(2*'Inputs'!$B$12^2)),0)</x:f>
        <x:v>303813.3327078251</x:v>
      </x:c>
      <x:c r="E1838" s="78" t="n">
        <x:f>C1838+D1838</x:f>
        <x:v>1012711.1090260837</x:v>
      </x:c>
      <x:c r="F1838" s="78" t="n">
        <x:f>'Inputs'!$B$13*E1838+(1-'Inputs'!$B$13)/'Inputs'!$B$14*SUM(E1829:E1838)</x:f>
        <x:v>347513.8058601185</x:v>
      </x:c>
      <x:c r="G1838" s="78" t="n">
        <x:f>F1838*'Inputs'!$F$49</x:f>
        <x:v>312762.4252741066</x:v>
      </x:c>
      <x:c r="H1838" s="78" t="n">
        <x:f>U1837</x:f>
        <x:v>19582981.783192914</x:v>
      </x:c>
      <x:c r="I1838" s="78" t="n">
        <x:f>V1837</x:f>
        <x:v>5854.307410264255</x:v>
      </x:c>
      <x:c r="J1838" s="79" t="n">
        <x:f>IF(H1838&gt;0,I1838/H1838,0)</x:f>
        <x:v>0.00029894872369685353</x:v>
      </x:c>
      <x:c r="K1838" s="80" t="n">
        <x:f>(H1838*J1838+I1838)*'Inputs'!$D$49*(1+'Inputs'!$G$49)^(B1838/30)</x:f>
        <x:v>8781.461115396382</x:v>
      </x:c>
      <x:c r="L1838" s="80" t="n">
        <x:f>MAX(0,K1838*'Inputs'!$E$49)</x:f>
        <x:v>0</x:v>
      </x:c>
      <x:c r="M1838" s="80" t="n">
        <x:f>MAX(0,-K1838*'Inputs'!$E$49)</x:f>
        <x:v>263.4438334618914</x:v>
      </x:c>
      <x:c r="N1838" s="78" t="n">
        <x:f>H1838*(L1838*(1-'Inputs'!$B$15))/(I1838+L1838*(1-'Inputs'!$B$15))</x:f>
        <x:v>0</x:v>
      </x:c>
      <x:c r="O1838" s="78" t="n">
        <x:f>H1838-N1838</x:f>
        <x:v>19582981.783192914</x:v>
      </x:c>
      <x:c r="P1838" s="78" t="n">
        <x:f>I1838+L1838*(1-'Inputs'!$B$17)</x:f>
        <x:v>5854.307410264255</x:v>
      </x:c>
      <x:c r="Q1838" s="78" t="n">
        <x:f>IF(J1838&gt;0,M1838/J1838,0)</x:f>
        <x:v>881234.1802436811</x:v>
      </x:c>
      <x:c r="R1838" s="78" t="n">
        <x:f>IF(B1838='Inputs'!$H$49,'Inputs'!$B$27*'Inputs'!$I$49,0)</x:f>
        <x:v>0</x:v>
      </x:c>
      <x:c r="S1838" s="78" t="n">
        <x:f>Q1838+G1838+R1838</x:f>
        <x:v>1193996.6055177876</x:v>
      </x:c>
      <x:c r="T1838" s="78" t="n">
        <x:f>P1838*(S1838*(1-'Inputs'!$B$15))/(O1838+S1838*(1-'Inputs'!$B$15))</x:f>
        <x:v>333.258374143333</x:v>
      </x:c>
      <x:c r="U1838" s="78" t="n">
        <x:f>O1838+S1838*(1-'Inputs'!$B$17)</x:f>
        <x:v>20772173.573396746</x:v>
      </x:c>
      <x:c r="V1838" s="78" t="n">
        <x:f>P1838-T1838</x:f>
        <x:v>5521.049036120922</x:v>
      </x:c>
      <x:c r="W1838" s="79" t="n">
        <x:f>IF(U1838&gt;0,V1838/U1838,0)</x:f>
        <x:v>0.0002657906268986611</x:v>
      </x:c>
      <x:c r="X1838" s="80" t="n">
        <x:f>W1838*('Inputs'!$B$6-AC1838)</x:f>
        <x:v>265662.3772510742</x:v>
      </x:c>
      <x:c r="Y1838" s="80" t="n">
        <x:f>2*V1838</x:f>
        <x:v>11042.098072241844</x:v>
      </x:c>
      <x:c r="Z1838" s="80" t="n">
        <x:f>K1838*'Inputs'!$B$16+(G1838+R1838)*J1838*'Inputs'!$B$16</x:f>
        <x:v>53.249766259514445</x:v>
      </x:c>
      <x:c r="AA1838" s="80" t="n">
        <x:f>K1838*(1+'Inputs'!$E$49)/2*'Inputs'!$B$17</x:f>
        <x:v>17.13886777049193</x:v>
      </x:c>
      <x:c r="AB1838" s="78" t="n">
        <x:f>(IF(J1838&gt;0,K1838*(1-'Inputs'!$E$49)/2/J1838,0)+G1838+R1838)*'Inputs'!$B$17</x:f>
        <x:v>62135.27506153172</x:v>
      </x:c>
      <x:c r="AC1838" s="78" t="n">
        <x:f>AC1837+AB1838</x:f>
        <x:v>482521.3329881447</x:v>
      </x:c>
      <x:c r="AD1838" s="80" t="n">
        <x:f>Z1838/(1+'Inputs'!$C$49)</x:f>
        <x:v>13.312441564878611</x:v>
      </x:c>
      <x:c r="AE1838" s="80" t="n">
        <x:f>Z1838-AD1838</x:f>
        <x:v>39.937324694635834</x:v>
      </x:c>
      <x:c r="AF1838" s="80" t="n">
        <x:f>D1838*W1838</x:f>
        <x:v>80.75073616058434</x:v>
      </x:c>
      <x:c r="AG1838" s="80" t="n">
        <x:f>C1838*W1838</x:f>
        <x:v>188.41838437469679</x:v>
      </x:c>
      <x:c r="AH1838" s="80" t="n">
        <x:f>2*'Inputs'!$B$8*'Inputs'!$C$49</x:f>
        <x:v>15000</x:v>
      </x:c>
      <x:c r="AI1838" s="81" t="n">
        <x:f>IF(AH1838&gt;0,(AE1838+AF1838)/AH1838*365,0)</x:f>
        <x:v>2.9367428141436904</x:v>
      </x:c>
      <x:c r="AJ1838" s="81" t="n">
        <x:f>IF('Inputs'!$B$49&gt;0,AG1838/('Inputs'!$B$19*'Inputs'!$B$49)*365,0)</x:f>
        <x:v>6.877271029676432</x:v>
      </x:c>
      <x:c r="AK1838" s="81" t="n">
        <x:f>W1838/MAX($W$1829:W1838)-1</x:f>
        <x:v>-0.6575832505412111</x:v>
      </x:c>
      <x:c r="AL1838" s="83" t="n">
        <x:f>'Inputs'!$B$49</x:f>
        <x:v>1</x:v>
      </x:c>
      <x:c r="AM1838" s="83" t="n">
        <x:f>'Inputs'!$C$49</x:f>
        <x:v>3</x:v>
      </x:c>
      <x:c r="AN1838" s="83" t="n">
        <x:f>'Inputs'!$D$49</x:f>
        <x:v>0.75</x:v>
      </x:c>
      <x:c r="AO1838" s="81" t="n">
        <x:f>'Inputs'!$E$49</x:f>
        <x:v>-0.03</x:v>
      </x:c>
    </x:row>
    <x:row r="1839">
      <x:c r="A1839" s="59" t="str">
        <x:v>Mercenary LP</x:v>
      </x:c>
      <x:c r="B1839" s="59" t="n">
        <x:v>11</x:v>
      </x:c>
      <x:c r="C1839" s="78" t="n">
        <x:f>(('Inputs'!$B$29*(3*11*'Inputs'!$B$12-11^2)/(2*'Inputs'!$B$12^2))-('Inputs'!$B$29*(3*10*'Inputs'!$B$12-10^2)/(2*'Inputs'!$B$12^2)))*'Inputs'!$B$49</x:f>
        <x:v>708572.6684180889</x:v>
      </x:c>
      <x:c r="D1839" s="78" t="n">
        <x:f>IF('Inputs'!$C$49&gt;0,('Inputs'!$B$30*(3*11*'Inputs'!$B$12-11^2)/(2*'Inputs'!$B$12^2))-('Inputs'!$B$30*(3*10*'Inputs'!$B$12-10^2)/(2*'Inputs'!$B$12^2)),0)</x:f>
        <x:v>303674.0007506097</x:v>
      </x:c>
      <x:c r="E1839" s="78" t="n">
        <x:f>C1839+D1839</x:f>
        <x:v>1012246.6691686986</x:v>
      </x:c>
      <x:c r="F1839" s="78" t="n">
        <x:f>'Inputs'!$B$13*E1839+(1-'Inputs'!$B$13)/'Inputs'!$B$14*SUM(E1829:E1839)</x:f>
        <x:v>361881.58459105145</x:v>
      </x:c>
      <x:c r="G1839" s="78" t="n">
        <x:f>F1839*'Inputs'!$F$49</x:f>
        <x:v>325693.4261319463</x:v>
      </x:c>
      <x:c r="H1839" s="78" t="n">
        <x:f>U1838</x:f>
        <x:v>20772173.573396746</x:v>
      </x:c>
      <x:c r="I1839" s="78" t="n">
        <x:f>V1838</x:f>
        <x:v>5521.049036120922</x:v>
      </x:c>
      <x:c r="J1839" s="79" t="n">
        <x:f>IF(H1839&gt;0,I1839/H1839,0)</x:f>
        <x:v>0.0002657906268986611</x:v>
      </x:c>
      <x:c r="K1839" s="80" t="n">
        <x:f>(H1839*J1839+I1839)*'Inputs'!$D$49*(1+'Inputs'!$G$49)^(B1839/30)</x:f>
        <x:v>8281.573554181383</x:v>
      </x:c>
      <x:c r="L1839" s="80" t="n">
        <x:f>MAX(0,K1839*'Inputs'!$E$49)</x:f>
        <x:v>0</x:v>
      </x:c>
      <x:c r="M1839" s="80" t="n">
        <x:f>MAX(0,-K1839*'Inputs'!$E$49)</x:f>
        <x:v>248.44720662544148</x:v>
      </x:c>
      <x:c r="N1839" s="78" t="n">
        <x:f>H1839*(L1839*(1-'Inputs'!$B$15))/(I1839+L1839*(1-'Inputs'!$B$15))</x:f>
        <x:v>0</x:v>
      </x:c>
      <x:c r="O1839" s="78" t="n">
        <x:f>H1839-N1839</x:f>
        <x:v>20772173.573396746</x:v>
      </x:c>
      <x:c r="P1839" s="78" t="n">
        <x:f>I1839+L1839*(1-'Inputs'!$B$17)</x:f>
        <x:v>5521.049036120922</x:v>
      </x:c>
      <x:c r="Q1839" s="78" t="n">
        <x:f>IF(J1839&gt;0,M1839/J1839,0)</x:f>
        <x:v>934747.8108028535</x:v>
      </x:c>
      <x:c r="R1839" s="78" t="n">
        <x:f>IF(B1839='Inputs'!$H$49,'Inputs'!$B$27*'Inputs'!$I$49,0)</x:f>
        <x:v>0</x:v>
      </x:c>
      <x:c r="S1839" s="78" t="n">
        <x:f>Q1839+G1839+R1839</x:f>
        <x:v>1260441.2369348</x:v>
      </x:c>
      <x:c r="T1839" s="78" t="n">
        <x:f>P1839*(S1839*(1-'Inputs'!$B$15))/(O1839+S1839*(1-'Inputs'!$B$15))</x:f>
        <x:v>312.86853062253067</x:v>
      </x:c>
      <x:c r="U1839" s="78" t="n">
        <x:f>O1839+S1839*(1-'Inputs'!$B$17)</x:f>
        <x:v>22027542.61219499</x:v>
      </x:c>
      <x:c r="V1839" s="78" t="n">
        <x:f>P1839-T1839</x:f>
        <x:v>5208.1805054983915</x:v>
      </x:c>
      <x:c r="W1839" s="79" t="n">
        <x:f>IF(U1839&gt;0,V1839/U1839,0)</x:f>
        <x:v>0.00023643947022102297</x:v>
      </x:c>
      <x:c r="X1839" s="80" t="n">
        <x:f>W1839*('Inputs'!$B$6-AC1839)</x:f>
        <x:v>236309.80553225437</x:v>
      </x:c>
      <x:c r="Y1839" s="80" t="n">
        <x:f>2*V1839</x:f>
        <x:v>10416.361010996783</x:v>
      </x:c>
      <x:c r="Z1839" s="80" t="n">
        <x:f>K1839*'Inputs'!$B$16+(G1839+R1839)*J1839*'Inputs'!$B$16</x:f>
        <x:v>50.208838884538594</x:v>
      </x:c>
      <x:c r="AA1839" s="80" t="n">
        <x:f>K1839*(1+'Inputs'!$E$49)/2*'Inputs'!$B$17</x:f>
        <x:v>16.16323208763771</x:v>
      </x:c>
      <x:c r="AB1839" s="78" t="n">
        <x:f>(IF(J1839&gt;0,K1839*(1-'Inputs'!$E$49)/2/J1839,0)+G1839+R1839)*'Inputs'!$B$17</x:f>
        <x:v>65884.09461400779</x:v>
      </x:c>
      <x:c r="AC1839" s="78" t="n">
        <x:f>AC1838+AB1839</x:f>
        <x:v>548405.4276021525</x:v>
      </x:c>
      <x:c r="AD1839" s="80" t="n">
        <x:f>Z1839/(1+'Inputs'!$C$49)</x:f>
        <x:v>12.552209721134648</x:v>
      </x:c>
      <x:c r="AE1839" s="80" t="n">
        <x:f>Z1839-AD1839</x:f>
        <x:v>37.65662916340395</x:v>
      </x:c>
      <x:c r="AF1839" s="80" t="n">
        <x:f>D1839*W1839</x:f>
        <x:v>71.80051985737268</x:v>
      </x:c>
      <x:c r="AG1839" s="80" t="n">
        <x:f>C1839*W1839</x:f>
        <x:v>167.5345463338695</x:v>
      </x:c>
      <x:c r="AH1839" s="80" t="n">
        <x:f>2*'Inputs'!$B$8*'Inputs'!$C$49</x:f>
        <x:v>15000</x:v>
      </x:c>
      <x:c r="AI1839" s="81" t="n">
        <x:f>IF(AH1839&gt;0,(AE1839+AF1839)/AH1839*365,0)</x:f>
        <x:v>2.6634572928388978</x:v>
      </x:c>
      <x:c r="AJ1839" s="81" t="n">
        <x:f>IF('Inputs'!$B$49&gt;0,AG1839/('Inputs'!$B$19*'Inputs'!$B$49)*365,0)</x:f>
        <x:v>6.115010941186237</x:v>
      </x:c>
      <x:c r="AK1839" s="81" t="n">
        <x:f>W1839/MAX($W$1829:W1839)-1</x:f>
        <x:v>-0.6953962004547699</x:v>
      </x:c>
      <x:c r="AL1839" s="83" t="n">
        <x:f>'Inputs'!$B$49</x:f>
        <x:v>1</x:v>
      </x:c>
      <x:c r="AM1839" s="83" t="n">
        <x:f>'Inputs'!$C$49</x:f>
        <x:v>3</x:v>
      </x:c>
      <x:c r="AN1839" s="83" t="n">
        <x:f>'Inputs'!$D$49</x:f>
        <x:v>0.75</x:v>
      </x:c>
      <x:c r="AO1839" s="81" t="n">
        <x:f>'Inputs'!$E$49</x:f>
        <x:v>-0.03</x:v>
      </x:c>
    </x:row>
    <x:row r="1840">
      <x:c r="A1840" s="59" t="str">
        <x:v>Mercenary LP</x:v>
      </x:c>
      <x:c r="B1840" s="59" t="n">
        <x:v>12</x:v>
      </x:c>
      <x:c r="C1840" s="78" t="n">
        <x:f>(('Inputs'!$B$29*(3*12*'Inputs'!$B$12-12^2)/(2*'Inputs'!$B$12^2))-('Inputs'!$B$29*(3*11*'Inputs'!$B$12-11^2)/(2*'Inputs'!$B$12^2)))*'Inputs'!$B$49</x:f>
        <x:v>708247.5605179211</x:v>
      </x:c>
      <x:c r="D1840" s="78" t="n">
        <x:f>IF('Inputs'!$C$49&gt;0,('Inputs'!$B$30*(3*12*'Inputs'!$B$12-12^2)/(2*'Inputs'!$B$12^2))-('Inputs'!$B$30*(3*11*'Inputs'!$B$12-11^2)/(2*'Inputs'!$B$12^2)),0)</x:f>
        <x:v>303534.6687933947</x:v>
      </x:c>
      <x:c r="E1840" s="78" t="n">
        <x:f>C1840+D1840</x:f>
        <x:v>1011782.2293113158</x:v>
      </x:c>
      <x:c r="F1840" s="78" t="n">
        <x:f>'Inputs'!$B$13*E1840+(1-'Inputs'!$B$13)/'Inputs'!$B$14*SUM(E1829:E1840)</x:f>
        <x:v>376242.7284668794</x:v>
      </x:c>
      <x:c r="G1840" s="78" t="n">
        <x:f>F1840*'Inputs'!$F$49</x:f>
        <x:v>338618.45562019147</x:v>
      </x:c>
      <x:c r="H1840" s="78" t="n">
        <x:f>U1839</x:f>
        <x:v>22027542.61219499</x:v>
      </x:c>
      <x:c r="I1840" s="78" t="n">
        <x:f>V1839</x:f>
        <x:v>5208.1805054983915</x:v>
      </x:c>
      <x:c r="J1840" s="79" t="n">
        <x:f>IF(H1840&gt;0,I1840/H1840,0)</x:f>
        <x:v>0.00023643947022102297</x:v>
      </x:c>
      <x:c r="K1840" s="80" t="n">
        <x:f>(H1840*J1840+I1840)*'Inputs'!$D$49*(1+'Inputs'!$G$49)^(B1840/30)</x:f>
        <x:v>7812.270758247587</x:v>
      </x:c>
      <x:c r="L1840" s="80" t="n">
        <x:f>MAX(0,K1840*'Inputs'!$E$49)</x:f>
        <x:v>0</x:v>
      </x:c>
      <x:c r="M1840" s="80" t="n">
        <x:f>MAX(0,-K1840*'Inputs'!$E$49)</x:f>
        <x:v>234.3681227474276</x:v>
      </x:c>
      <x:c r="N1840" s="78" t="n">
        <x:f>H1840*(L1840*(1-'Inputs'!$B$15))/(I1840+L1840*(1-'Inputs'!$B$15))</x:f>
        <x:v>0</x:v>
      </x:c>
      <x:c r="O1840" s="78" t="n">
        <x:f>H1840-N1840</x:f>
        <x:v>22027542.61219499</x:v>
      </x:c>
      <x:c r="P1840" s="78" t="n">
        <x:f>I1840+L1840*(1-'Inputs'!$B$17)</x:f>
        <x:v>5208.1805054983915</x:v>
      </x:c>
      <x:c r="Q1840" s="78" t="n">
        <x:f>IF(J1840&gt;0,M1840/J1840,0)</x:f>
        <x:v>991239.4175487744</x:v>
      </x:c>
      <x:c r="R1840" s="78" t="n">
        <x:f>IF(B1840='Inputs'!$H$49,'Inputs'!$B$27*'Inputs'!$I$49,0)</x:f>
        <x:v>0</x:v>
      </x:c>
      <x:c r="S1840" s="78" t="n">
        <x:f>Q1840+G1840+R1840</x:f>
        <x:v>1329857.8731689658</x:v>
      </x:c>
      <x:c r="T1840" s="78" t="n">
        <x:f>P1840*(S1840*(1-'Inputs'!$B$15))/(O1840+S1840*(1-'Inputs'!$B$15))</x:f>
        <x:v>293.730659634965</x:v>
      </x:c>
      <x:c r="U1840" s="78" t="n">
        <x:f>O1840+S1840*(1-'Inputs'!$B$17)</x:f>
        <x:v>23352048.944626857</x:v>
      </x:c>
      <x:c r="V1840" s="78" t="n">
        <x:f>P1840-T1840</x:f>
        <x:v>4914.449845863426</x:v>
      </x:c>
      <x:c r="W1840" s="79" t="n">
        <x:f>IF(U1840&gt;0,V1840/U1840,0)</x:f>
        <x:v>0.00021045047728003358</x:v>
      </x:c>
      <x:c r="X1840" s="80" t="n">
        <x:f>W1840*('Inputs'!$B$6-AC1840)</x:f>
        <x:v>210320.36752678858</x:v>
      </x:c>
      <x:c r="Y1840" s="80" t="n">
        <x:f>2*V1840</x:f>
        <x:v>9828.899691726852</x:v>
      </x:c>
      <x:c r="Z1840" s="80" t="n">
        <x:f>K1840*'Inputs'!$B$16+(G1840+R1840)*J1840*'Inputs'!$B$16</x:f>
        <x:v>47.35400115900892</x:v>
      </x:c>
      <x:c r="AA1840" s="80" t="n">
        <x:f>K1840*(1+'Inputs'!$E$49)/2*'Inputs'!$B$17</x:f>
        <x:v>15.247289005030503</x:v>
      </x:c>
      <x:c r="AB1840" s="78" t="n">
        <x:f>(IF(J1840&gt;0,K1840*(1-'Inputs'!$E$49)/2/J1840,0)+G1840+R1840)*'Inputs'!$B$17</x:f>
        <x:v>69838.6121671663</x:v>
      </x:c>
      <x:c r="AC1840" s="78" t="n">
        <x:f>AC1839+AB1840</x:f>
        <x:v>618244.0397693188</x:v>
      </x:c>
      <x:c r="AD1840" s="80" t="n">
        <x:f>Z1840/(1+'Inputs'!$C$49)</x:f>
        <x:v>11.83850028975223</x:v>
      </x:c>
      <x:c r="AE1840" s="80" t="n">
        <x:f>Z1840-AD1840</x:f>
        <x:v>35.515500869256684</x:v>
      </x:c>
      <x:c r="AF1840" s="80" t="n">
        <x:f>D1840*W1840</x:f>
        <x:v>63.879015918606825</x:v>
      </x:c>
      <x:c r="AG1840" s="80" t="n">
        <x:f>C1840*W1840</x:f>
        <x:v>149.05103714341595</x:v>
      </x:c>
      <x:c r="AH1840" s="80" t="n">
        <x:f>2*'Inputs'!$B$8*'Inputs'!$C$49</x:f>
        <x:v>15000</x:v>
      </x:c>
      <x:c r="AI1840" s="81" t="n">
        <x:f>IF(AH1840&gt;0,(AE1840+AF1840)/AH1840*365,0)</x:f>
        <x:v>2.4185999085046785</x:v>
      </x:c>
      <x:c r="AJ1840" s="81" t="n">
        <x:f>IF('Inputs'!$B$49&gt;0,AG1840/('Inputs'!$B$19*'Inputs'!$B$49)*365,0)</x:f>
        <x:v>5.440362855734683</x:v>
      </x:c>
      <x:c r="AK1840" s="81" t="n">
        <x:f>W1840/MAX($W$1829:W1840)-1</x:f>
        <x:v>-0.7288776914629309</x:v>
      </x:c>
      <x:c r="AL1840" s="83" t="n">
        <x:f>'Inputs'!$B$49</x:f>
        <x:v>1</x:v>
      </x:c>
      <x:c r="AM1840" s="83" t="n">
        <x:f>'Inputs'!$C$49</x:f>
        <x:v>3</x:v>
      </x:c>
      <x:c r="AN1840" s="83" t="n">
        <x:f>'Inputs'!$D$49</x:f>
        <x:v>0.75</x:v>
      </x:c>
      <x:c r="AO1840" s="81" t="n">
        <x:f>'Inputs'!$E$49</x:f>
        <x:v>-0.03</x:v>
      </x:c>
    </x:row>
    <x:row r="1841">
      <x:c r="A1841" s="59" t="str">
        <x:v>Mercenary LP</x:v>
      </x:c>
      <x:c r="B1841" s="59" t="n">
        <x:v>13</x:v>
      </x:c>
      <x:c r="C1841" s="78" t="n">
        <x:f>(('Inputs'!$B$29*(3*13*'Inputs'!$B$12-13^2)/(2*'Inputs'!$B$12^2))-('Inputs'!$B$29*(3*12*'Inputs'!$B$12-12^2)/(2*'Inputs'!$B$12^2)))*'Inputs'!$B$49</x:f>
        <x:v>707922.4526177514</x:v>
      </x:c>
      <x:c r="D1841" s="78" t="n">
        <x:f>IF('Inputs'!$C$49&gt;0,('Inputs'!$B$30*(3*13*'Inputs'!$B$12-13^2)/(2*'Inputs'!$B$12^2))-('Inputs'!$B$30*(3*12*'Inputs'!$B$12-12^2)/(2*'Inputs'!$B$12^2)),0)</x:f>
        <x:v>303395.3368361797</x:v>
      </x:c>
      <x:c r="E1841" s="78" t="n">
        <x:f>C1841+D1841</x:f>
        <x:v>1011317.7894539312</x:v>
      </x:c>
      <x:c r="F1841" s="78" t="n">
        <x:f>'Inputs'!$B$13*E1841+(1-'Inputs'!$B$13)/'Inputs'!$B$14*SUM(E1829:E1841)</x:f>
        <x:v>390597.23748760147</x:v>
      </x:c>
      <x:c r="G1841" s="78" t="n">
        <x:f>F1841*'Inputs'!$F$49</x:f>
        <x:v>351537.51373884134</x:v>
      </x:c>
      <x:c r="H1841" s="78" t="n">
        <x:f>U1840</x:f>
        <x:v>23352048.944626857</x:v>
      </x:c>
      <x:c r="I1841" s="78" t="n">
        <x:f>V1840</x:f>
        <x:v>4914.449845863426</x:v>
      </x:c>
      <x:c r="J1841" s="79" t="n">
        <x:f>IF(H1841&gt;0,I1841/H1841,0)</x:f>
        <x:v>0.00021045047728003358</x:v>
      </x:c>
      <x:c r="K1841" s="80" t="n">
        <x:f>(H1841*J1841+I1841)*'Inputs'!$D$49*(1+'Inputs'!$G$49)^(B1841/30)</x:f>
        <x:v>7371.674768795139</x:v>
      </x:c>
      <x:c r="L1841" s="80" t="n">
        <x:f>MAX(0,K1841*'Inputs'!$E$49)</x:f>
        <x:v>0</x:v>
      </x:c>
      <x:c r="M1841" s="80" t="n">
        <x:f>MAX(0,-K1841*'Inputs'!$E$49)</x:f>
        <x:v>221.15024306385416</x:v>
      </x:c>
      <x:c r="N1841" s="78" t="n">
        <x:f>H1841*(L1841*(1-'Inputs'!$B$15))/(I1841+L1841*(1-'Inputs'!$B$15))</x:f>
        <x:v>0</x:v>
      </x:c>
      <x:c r="O1841" s="78" t="n">
        <x:f>H1841-N1841</x:f>
        <x:v>23352048.944626857</x:v>
      </x:c>
      <x:c r="P1841" s="78" t="n">
        <x:f>I1841+L1841*(1-'Inputs'!$B$17)</x:f>
        <x:v>4914.449845863426</x:v>
      </x:c>
      <x:c r="Q1841" s="78" t="n">
        <x:f>IF(J1841&gt;0,M1841/J1841,0)</x:f>
        <x:v>1050842.2025082083</x:v>
      </x:c>
      <x:c r="R1841" s="78" t="n">
        <x:f>IF(B1841='Inputs'!$H$49,'Inputs'!$B$27*'Inputs'!$I$49,0)</x:f>
        <x:v>0</x:v>
      </x:c>
      <x:c r="S1841" s="78" t="n">
        <x:f>Q1841+G1841+R1841</x:f>
        <x:v>1402379.7162470496</x:v>
      </x:c>
      <x:c r="T1841" s="78" t="n">
        <x:f>P1841*(S1841*(1-'Inputs'!$B$15))/(O1841+S1841*(1-'Inputs'!$B$15))</x:f>
        <x:v>275.78390774665894</x:v>
      </x:c>
      <x:c r="U1841" s="78" t="n">
        <x:f>O1841+S1841*(1-'Inputs'!$B$17)</x:f>
        <x:v>24748785.28173408</x:v>
      </x:c>
      <x:c r="V1841" s="78" t="n">
        <x:f>P1841-T1841</x:f>
        <x:v>4638.665938116767</x:v>
      </x:c>
      <x:c r="W1841" s="79" t="n">
        <x:f>IF(U1841&gt;0,V1841/U1841,0)</x:f>
        <x:v>0.00018743004496226122</x:v>
      </x:c>
      <x:c r="X1841" s="80" t="n">
        <x:f>W1841*('Inputs'!$B$6-AC1841)</x:f>
        <x:v>187300.29612579837</x:v>
      </x:c>
      <x:c r="Y1841" s="80" t="n">
        <x:f>2*V1841</x:f>
        <x:v>9277.331876233535</x:v>
      </x:c>
      <x:c r="Z1841" s="80" t="n">
        <x:f>K1841*'Inputs'!$B$16+(G1841+R1841)*J1841*'Inputs'!$B$16</x:f>
        <x:v>44.67393603805989</x:v>
      </x:c>
      <x:c r="AA1841" s="80" t="n">
        <x:f>K1841*(1+'Inputs'!$E$49)/2*'Inputs'!$B$17</x:f>
        <x:v>14.38737329120983</x:v>
      </x:c>
      <x:c r="AB1841" s="78" t="n">
        <x:f>(IF(J1841&gt;0,K1841*(1-'Inputs'!$E$49)/2/J1841,0)+G1841+R1841)*'Inputs'!$B$17</x:f>
        <x:v>74008.02947067643</x:v>
      </x:c>
      <x:c r="AC1841" s="78" t="n">
        <x:f>AC1840+AB1841</x:f>
        <x:v>692252.0692399952</x:v>
      </x:c>
      <x:c r="AD1841" s="80" t="n">
        <x:f>Z1841/(1+'Inputs'!$C$49)</x:f>
        <x:v>11.168484009514973</x:v>
      </x:c>
      <x:c r="AE1841" s="80" t="n">
        <x:f>Z1841-AD1841</x:f>
        <x:v>33.50545202854492</x:v>
      </x:c>
      <x:c r="AF1841" s="80" t="n">
        <x:f>D1841*W1841</x:f>
        <x:v>56.865401624545555</x:v>
      </x:c>
      <x:c r="AG1841" s="80" t="n">
        <x:f>C1841*W1841</x:f>
        <x:v>132.6859371239394</x:v>
      </x:c>
      <x:c r="AH1841" s="80" t="n">
        <x:f>2*'Inputs'!$B$8*'Inputs'!$C$49</x:f>
        <x:v>15000</x:v>
      </x:c>
      <x:c r="AI1841" s="81" t="n">
        <x:f>IF(AH1841&gt;0,(AE1841+AF1841)/AH1841*365,0)</x:f>
        <x:v>2.199024105558535</x:v>
      </x:c>
      <x:c r="AJ1841" s="81" t="n">
        <x:f>IF('Inputs'!$B$49&gt;0,AG1841/('Inputs'!$B$19*'Inputs'!$B$49)*365,0)</x:f>
        <x:v>4.8430367050237875</x:v>
      </x:c>
      <x:c r="AK1841" s="81" t="n">
        <x:f>W1841/MAX($W$1829:W1841)-1</x:f>
        <x:v>-0.7585348005091167</x:v>
      </x:c>
      <x:c r="AL1841" s="83" t="n">
        <x:f>'Inputs'!$B$49</x:f>
        <x:v>1</x:v>
      </x:c>
      <x:c r="AM1841" s="83" t="n">
        <x:f>'Inputs'!$C$49</x:f>
        <x:v>3</x:v>
      </x:c>
      <x:c r="AN1841" s="83" t="n">
        <x:f>'Inputs'!$D$49</x:f>
        <x:v>0.75</x:v>
      </x:c>
      <x:c r="AO1841" s="81" t="n">
        <x:f>'Inputs'!$E$49</x:f>
        <x:v>-0.03</x:v>
      </x:c>
    </x:row>
    <x:row r="1842">
      <x:c r="A1842" s="59" t="str">
        <x:v>Mercenary LP</x:v>
      </x:c>
      <x:c r="B1842" s="59" t="n">
        <x:v>14</x:v>
      </x:c>
      <x:c r="C1842" s="78" t="n">
        <x:f>(('Inputs'!$B$29*(3*14*'Inputs'!$B$12-14^2)/(2*'Inputs'!$B$12^2))-('Inputs'!$B$29*(3*13*'Inputs'!$B$12-13^2)/(2*'Inputs'!$B$12^2)))*'Inputs'!$B$49</x:f>
        <x:v>707597.3447175827</x:v>
      </x:c>
      <x:c r="D1842" s="78" t="n">
        <x:f>IF('Inputs'!$C$49&gt;0,('Inputs'!$B$30*(3*14*'Inputs'!$B$12-14^2)/(2*'Inputs'!$B$12^2))-('Inputs'!$B$30*(3*13*'Inputs'!$B$12-13^2)/(2*'Inputs'!$B$12^2)),0)</x:f>
        <x:v>303256.0048789638</x:v>
      </x:c>
      <x:c r="E1842" s="78" t="n">
        <x:f>C1842+D1842</x:f>
        <x:v>1010853.3495965465</x:v>
      </x:c>
      <x:c r="F1842" s="78" t="n">
        <x:f>'Inputs'!$B$13*E1842+(1-'Inputs'!$B$13)/'Inputs'!$B$14*SUM(E1829:E1842)</x:f>
        <x:v>404945.1116532181</x:v>
      </x:c>
      <x:c r="G1842" s="78" t="n">
        <x:f>F1842*'Inputs'!$F$49</x:f>
        <x:v>364450.6004878963</x:v>
      </x:c>
      <x:c r="H1842" s="78" t="n">
        <x:f>U1841</x:f>
        <x:v>24748785.28173408</x:v>
      </x:c>
      <x:c r="I1842" s="78" t="n">
        <x:f>V1841</x:f>
        <x:v>4638.665938116767</x:v>
      </x:c>
      <x:c r="J1842" s="79" t="n">
        <x:f>IF(H1842&gt;0,I1842/H1842,0)</x:f>
        <x:v>0.00018743004496226122</x:v>
      </x:c>
      <x:c r="K1842" s="80" t="n">
        <x:f>(H1842*J1842+I1842)*'Inputs'!$D$49*(1+'Inputs'!$G$49)^(B1842/30)</x:f>
        <x:v>6957.9989071751515</x:v>
      </x:c>
      <x:c r="L1842" s="80" t="n">
        <x:f>MAX(0,K1842*'Inputs'!$E$49)</x:f>
        <x:v>0</x:v>
      </x:c>
      <x:c r="M1842" s="80" t="n">
        <x:f>MAX(0,-K1842*'Inputs'!$E$49)</x:f>
        <x:v>208.73996721525455</x:v>
      </x:c>
      <x:c r="N1842" s="78" t="n">
        <x:f>H1842*(L1842*(1-'Inputs'!$B$15))/(I1842+L1842*(1-'Inputs'!$B$15))</x:f>
        <x:v>0</x:v>
      </x:c>
      <x:c r="O1842" s="78" t="n">
        <x:f>H1842-N1842</x:f>
        <x:v>24748785.28173408</x:v>
      </x:c>
      <x:c r="P1842" s="78" t="n">
        <x:f>I1842+L1842*(1-'Inputs'!$B$17)</x:f>
        <x:v>4638.665938116767</x:v>
      </x:c>
      <x:c r="Q1842" s="78" t="n">
        <x:f>IF(J1842&gt;0,M1842/J1842,0)</x:f>
        <x:v>1113695.3376780336</x:v>
      </x:c>
      <x:c r="R1842" s="78" t="n">
        <x:f>IF(B1842='Inputs'!$H$49,'Inputs'!$B$27*'Inputs'!$I$49,0)</x:f>
        <x:v>0</x:v>
      </x:c>
      <x:c r="S1842" s="78" t="n">
        <x:f>Q1842+G1842+R1842</x:f>
        <x:v>1478145.9381659299</x:v>
      </x:c>
      <x:c r="T1842" s="78" t="n">
        <x:f>P1842*(S1842*(1-'Inputs'!$B$15))/(O1842+S1842*(1-'Inputs'!$B$15))</x:f>
        <x:v>258.9661292493835</x:v>
      </x:c>
      <x:c r="U1842" s="78" t="n">
        <x:f>O1842+S1842*(1-'Inputs'!$B$17)</x:f>
        <x:v>26220982.94650699</x:v>
      </x:c>
      <x:c r="V1842" s="78" t="n">
        <x:f>P1842-T1842</x:f>
        <x:v>4379.699808867384</x:v>
      </x:c>
      <x:c r="W1842" s="79" t="n">
        <x:f>IF(U1842&gt;0,V1842/U1842,0)</x:f>
        <x:v>0.00016703034427818133</x:v>
      </x:c>
      <x:c r="X1842" s="80" t="n">
        <x:f>W1842*('Inputs'!$B$6-AC1842)</x:f>
        <x:v>166901.6216702433</x:v>
      </x:c>
      <x:c r="Y1842" s="80" t="n">
        <x:f>2*V1842</x:f>
        <x:v>8759.399617734767</x:v>
      </x:c>
      <x:c r="Z1842" s="80" t="n">
        <x:f>K1842*'Inputs'!$B$16+(G1842+R1842)*J1842*'Inputs'!$B$16</x:f>
        <x:v>42.15784739766673</x:v>
      </x:c>
      <x:c r="AA1842" s="80" t="n">
        <x:f>K1842*(1+'Inputs'!$E$49)/2*'Inputs'!$B$17</x:f>
        <x:v>13.579997867122529</x:v>
      </x:c>
      <x:c r="AB1842" s="78" t="n">
        <x:f>(IF(J1842&gt;0,K1842*(1-'Inputs'!$E$49)/2/J1842,0)+G1842+R1842)*'Inputs'!$B$17</x:f>
        <x:v>78401.96068662968</x:v>
      </x:c>
      <x:c r="AC1842" s="78" t="n">
        <x:f>AC1841+AB1842</x:f>
        <x:v>770654.0299266248</x:v>
      </x:c>
      <x:c r="AD1842" s="80" t="n">
        <x:f>Z1842/(1+'Inputs'!$C$49)</x:f>
        <x:v>10.539461849416682</x:v>
      </x:c>
      <x:c r="AE1842" s="80" t="n">
        <x:f>Z1842-AD1842</x:f>
        <x:v>31.618385548250046</x:v>
      </x:c>
      <x:c r="AF1842" s="80" t="n">
        <x:f>D1842*W1842</x:f>
        <x:v>50.65295489935916</x:v>
      </x:c>
      <x:c r="AG1842" s="80" t="n">
        <x:f>C1842*W1842</x:f>
        <x:v>118.19022809850479</x:v>
      </x:c>
      <x:c r="AH1842" s="80" t="n">
        <x:f>2*'Inputs'!$B$8*'Inputs'!$C$49</x:f>
        <x:v>15000</x:v>
      </x:c>
      <x:c r="AI1842" s="81" t="n">
        <x:f>IF(AH1842&gt;0,(AE1842+AF1842)/AH1842*365,0)</x:f>
        <x:v>2.001935950891824</x:v>
      </x:c>
      <x:c r="AJ1842" s="81" t="n">
        <x:f>IF('Inputs'!$B$49&gt;0,AG1842/('Inputs'!$B$19*'Inputs'!$B$49)*365,0)</x:f>
        <x:v>4.3139433255954245</x:v>
      </x:c>
      <x:c r="AK1842" s="81" t="n">
        <x:f>W1842/MAX($W$1829:W1842)-1</x:f>
        <x:v>-0.7848156339594179</x:v>
      </x:c>
      <x:c r="AL1842" s="83" t="n">
        <x:f>'Inputs'!$B$49</x:f>
        <x:v>1</x:v>
      </x:c>
      <x:c r="AM1842" s="83" t="n">
        <x:f>'Inputs'!$C$49</x:f>
        <x:v>3</x:v>
      </x:c>
      <x:c r="AN1842" s="83" t="n">
        <x:f>'Inputs'!$D$49</x:f>
        <x:v>0.75</x:v>
      </x:c>
      <x:c r="AO1842" s="81" t="n">
        <x:f>'Inputs'!$E$49</x:f>
        <x:v>-0.03</x:v>
      </x:c>
    </x:row>
    <x:row r="1843">
      <x:c r="A1843" s="59" t="str">
        <x:v>Mercenary LP</x:v>
      </x:c>
      <x:c r="B1843" s="59" t="n">
        <x:v>15</x:v>
      </x:c>
      <x:c r="C1843" s="78" t="n">
        <x:f>(('Inputs'!$B$29*(3*15*'Inputs'!$B$12-15^2)/(2*'Inputs'!$B$12^2))-('Inputs'!$B$29*(3*14*'Inputs'!$B$12-14^2)/(2*'Inputs'!$B$12^2)))*'Inputs'!$B$49</x:f>
        <x:v>707272.2368174158</x:v>
      </x:c>
      <x:c r="D1843" s="78" t="n">
        <x:f>IF('Inputs'!$C$49&gt;0,('Inputs'!$B$30*(3*15*'Inputs'!$B$12-15^2)/(2*'Inputs'!$B$12^2))-('Inputs'!$B$30*(3*14*'Inputs'!$B$12-14^2)/(2*'Inputs'!$B$12^2)),0)</x:f>
        <x:v>303116.67292174883</x:v>
      </x:c>
      <x:c r="E1843" s="78" t="n">
        <x:f>C1843+D1843</x:f>
        <x:v>1010388.9097391646</x:v>
      </x:c>
      <x:c r="F1843" s="78" t="n">
        <x:f>'Inputs'!$B$13*E1843+(1-'Inputs'!$B$13)/'Inputs'!$B$14*SUM(E1829:E1843)</x:f>
        <x:v>419286.3509637298</x:v>
      </x:c>
      <x:c r="G1843" s="78" t="n">
        <x:f>F1843*'Inputs'!$F$49</x:f>
        <x:v>377357.7158673568</x:v>
      </x:c>
      <x:c r="H1843" s="78" t="n">
        <x:f>U1842</x:f>
        <x:v>26220982.94650699</x:v>
      </x:c>
      <x:c r="I1843" s="78" t="n">
        <x:f>V1842</x:f>
        <x:v>4379.699808867384</x:v>
      </x:c>
      <x:c r="J1843" s="79" t="n">
        <x:f>IF(H1843&gt;0,I1843/H1843,0)</x:f>
        <x:v>0.00016703034427818133</x:v>
      </x:c>
      <x:c r="K1843" s="80" t="n">
        <x:f>(H1843*J1843+I1843)*'Inputs'!$D$49*(1+'Inputs'!$G$49)^(B1843/30)</x:f>
        <x:v>6569.549713301076</x:v>
      </x:c>
      <x:c r="L1843" s="80" t="n">
        <x:f>MAX(0,K1843*'Inputs'!$E$49)</x:f>
        <x:v>0</x:v>
      </x:c>
      <x:c r="M1843" s="80" t="n">
        <x:f>MAX(0,-K1843*'Inputs'!$E$49)</x:f>
        <x:v>197.08649139903227</x:v>
      </x:c>
      <x:c r="N1843" s="78" t="n">
        <x:f>H1843*(L1843*(1-'Inputs'!$B$15))/(I1843+L1843*(1-'Inputs'!$B$15))</x:f>
        <x:v>0</x:v>
      </x:c>
      <x:c r="O1843" s="78" t="n">
        <x:f>H1843-N1843</x:f>
        <x:v>26220982.94650699</x:v>
      </x:c>
      <x:c r="P1843" s="78" t="n">
        <x:f>I1843+L1843*(1-'Inputs'!$B$17)</x:f>
        <x:v>4379.699808867384</x:v>
      </x:c>
      <x:c r="Q1843" s="78" t="n">
        <x:f>IF(J1843&gt;0,M1843/J1843,0)</x:f>
        <x:v>1179944.2325928146</x:v>
      </x:c>
      <x:c r="R1843" s="78" t="n">
        <x:f>IF(B1843='Inputs'!$H$49,'Inputs'!$B$27*'Inputs'!$I$49,0)</x:f>
        <x:v>0</x:v>
      </x:c>
      <x:c r="S1843" s="78" t="n">
        <x:f>Q1843+G1843+R1843</x:f>
        <x:v>1557301.9484601715</x:v>
      </x:c>
      <x:c r="T1843" s="78" t="n">
        <x:f>P1843*(S1843*(1-'Inputs'!$B$15))/(O1843+S1843*(1-'Inputs'!$B$15))</x:f>
        <x:v>243.2150694011499</x:v>
      </x:c>
      <x:c r="U1843" s="78" t="n">
        <x:f>O1843+S1843*(1-'Inputs'!$B$17)</x:f>
        <x:v>27772018.086321443</x:v>
      </x:c>
      <x:c r="V1843" s="78" t="n">
        <x:f>P1843-T1843</x:f>
        <x:v>4136.484739466234</x:v>
      </x:c>
      <x:c r="W1843" s="79" t="n">
        <x:f>IF(U1843&gt;0,V1843/U1843,0)</x:f>
        <x:v>0.00014894433406348591</x:v>
      </x:c>
      <x:c r="X1843" s="80" t="n">
        <x:f>W1843*('Inputs'!$B$6-AC1843)</x:f>
        <x:v>148817.18259699282</x:v>
      </x:c>
      <x:c r="Y1843" s="80" t="n">
        <x:f>2*V1843</x:f>
        <x:v>8272.969478932468</x:v>
      </x:c>
      <x:c r="Z1843" s="80" t="n">
        <x:f>K1843*'Inputs'!$B$16+(G1843+R1843)*J1843*'Inputs'!$B$16</x:f>
        <x:v>39.79547941499057</x:v>
      </x:c>
      <x:c r="AA1843" s="80" t="n">
        <x:f>K1843*(1+'Inputs'!$E$49)/2*'Inputs'!$B$17</x:f>
        <x:v>12.821857589340128</x:v>
      </x:c>
      <x:c r="AB1843" s="78" t="n">
        <x:f>(IF(J1843&gt;0,K1843*(1-'Inputs'!$E$49)/2/J1843,0)+G1843+R1843)*'Inputs'!$B$17</x:f>
        <x:v>83030.45087341653</x:v>
      </x:c>
      <x:c r="AC1843" s="78" t="n">
        <x:f>AC1842+AB1843</x:f>
        <x:v>853684.4808000413</x:v>
      </x:c>
      <x:c r="AD1843" s="80" t="n">
        <x:f>Z1843/(1+'Inputs'!$C$49)</x:f>
        <x:v>9.948869853747642</x:v>
      </x:c>
      <x:c r="AE1843" s="80" t="n">
        <x:f>Z1843-AD1843</x:f>
        <x:v>29.846609561242925</x:v>
      </x:c>
      <x:c r="AF1843" s="80" t="n">
        <x:f>D1843*W1843</x:f>
        <x:v>45.14751099186935</x:v>
      </x:c>
      <x:c r="AG1843" s="80" t="n">
        <x:f>C1843*W1843</x:f>
        <x:v>105.3441923143621</x:v>
      </x:c>
      <x:c r="AH1843" s="80" t="n">
        <x:f>2*'Inputs'!$B$8*'Inputs'!$C$49</x:f>
        <x:v>15000</x:v>
      </x:c>
      <x:c r="AI1843" s="81" t="n">
        <x:f>IF(AH1843&gt;0,(AE1843+AF1843)/AH1843*365,0)</x:f>
        <x:v>1.8248569334590656</x:v>
      </x:c>
      <x:c r="AJ1843" s="81" t="n">
        <x:f>IF('Inputs'!$B$49&gt;0,AG1843/('Inputs'!$B$19*'Inputs'!$B$49)*365,0)</x:f>
        <x:v>3.8450630194742166</x:v>
      </x:c>
      <x:c r="AK1843" s="81" t="n">
        <x:f>W1843/MAX($W$1829:W1843)-1</x:f>
        <x:v>-0.8081157514265236</x:v>
      </x:c>
      <x:c r="AL1843" s="83" t="n">
        <x:f>'Inputs'!$B$49</x:f>
        <x:v>1</x:v>
      </x:c>
      <x:c r="AM1843" s="83" t="n">
        <x:f>'Inputs'!$C$49</x:f>
        <x:v>3</x:v>
      </x:c>
      <x:c r="AN1843" s="83" t="n">
        <x:f>'Inputs'!$D$49</x:f>
        <x:v>0.75</x:v>
      </x:c>
      <x:c r="AO1843" s="81" t="n">
        <x:f>'Inputs'!$E$49</x:f>
        <x:v>-0.03</x:v>
      </x:c>
    </x:row>
    <x:row r="1844">
      <x:c r="A1844" s="59" t="str">
        <x:v>Mercenary LP</x:v>
      </x:c>
      <x:c r="B1844" s="59" t="n">
        <x:v>16</x:v>
      </x:c>
      <x:c r="C1844" s="78" t="n">
        <x:f>(('Inputs'!$B$29*(3*16*'Inputs'!$B$12-16^2)/(2*'Inputs'!$B$12^2))-('Inputs'!$B$29*(3*15*'Inputs'!$B$12-15^2)/(2*'Inputs'!$B$12^2)))*'Inputs'!$B$49</x:f>
        <x:v>706947.1289172452</x:v>
      </x:c>
      <x:c r="D1844" s="78" t="n">
        <x:f>IF('Inputs'!$C$49&gt;0,('Inputs'!$B$30*(3*16*'Inputs'!$B$12-16^2)/(2*'Inputs'!$B$12^2))-('Inputs'!$B$30*(3*15*'Inputs'!$B$12-15^2)/(2*'Inputs'!$B$12^2)),0)</x:f>
        <x:v>302977.3409645343</x:v>
      </x:c>
      <x:c r="E1844" s="78" t="n">
        <x:f>C1844+D1844</x:f>
        <x:v>1009924.4698817795</x:v>
      </x:c>
      <x:c r="F1844" s="78" t="n">
        <x:f>'Inputs'!$B$13*E1844+(1-'Inputs'!$B$13)/'Inputs'!$B$14*SUM(E1829:E1844)</x:f>
        <x:v>433620.9554191353</x:v>
      </x:c>
      <x:c r="G1844" s="78" t="n">
        <x:f>F1844*'Inputs'!$F$49</x:f>
        <x:v>390258.85987722175</x:v>
      </x:c>
      <x:c r="H1844" s="78" t="n">
        <x:f>U1843</x:f>
        <x:v>27772018.086321443</x:v>
      </x:c>
      <x:c r="I1844" s="78" t="n">
        <x:f>V1843</x:f>
        <x:v>4136.484739466234</x:v>
      </x:c>
      <x:c r="J1844" s="79" t="n">
        <x:f>IF(H1844&gt;0,I1844/H1844,0)</x:f>
        <x:v>0.00014894433406348591</x:v>
      </x:c>
      <x:c r="K1844" s="80" t="n">
        <x:f>(H1844*J1844+I1844)*'Inputs'!$D$49*(1+'Inputs'!$G$49)^(B1844/30)</x:f>
        <x:v>6204.727109199351</x:v>
      </x:c>
      <x:c r="L1844" s="80" t="n">
        <x:f>MAX(0,K1844*'Inputs'!$E$49)</x:f>
        <x:v>0</x:v>
      </x:c>
      <x:c r="M1844" s="80" t="n">
        <x:f>MAX(0,-K1844*'Inputs'!$E$49)</x:f>
        <x:v>186.14181327598052</x:v>
      </x:c>
      <x:c r="N1844" s="78" t="n">
        <x:f>H1844*(L1844*(1-'Inputs'!$B$15))/(I1844+L1844*(1-'Inputs'!$B$15))</x:f>
        <x:v>0</x:v>
      </x:c>
      <x:c r="O1844" s="78" t="n">
        <x:f>H1844-N1844</x:f>
        <x:v>27772018.086321443</x:v>
      </x:c>
      <x:c r="P1844" s="78" t="n">
        <x:f>I1844+L1844*(1-'Inputs'!$B$17)</x:f>
        <x:v>4136.484739466234</x:v>
      </x:c>
      <x:c r="Q1844" s="78" t="n">
        <x:f>IF(J1844&gt;0,M1844/J1844,0)</x:f>
        <x:v>1249740.813884465</x:v>
      </x:c>
      <x:c r="R1844" s="78" t="n">
        <x:f>IF(B1844='Inputs'!$H$49,'Inputs'!$B$27*'Inputs'!$I$49,0)</x:f>
        <x:v>0</x:v>
      </x:c>
      <x:c r="S1844" s="78" t="n">
        <x:f>Q1844+G1844+R1844</x:f>
        <x:v>1639999.6737616868</x:v>
      </x:c>
      <x:c r="T1844" s="78" t="n">
        <x:f>P1844*(S1844*(1-'Inputs'!$B$15))/(O1844+S1844*(1-'Inputs'!$B$15))</x:f>
        <x:v>228.46926848350827</x:v>
      </x:c>
      <x:c r="U1844" s="78" t="n">
        <x:f>O1844+S1844*(1-'Inputs'!$B$17)</x:f>
        <x:v>29405418.163810447</x:v>
      </x:c>
      <x:c r="V1844" s="78" t="n">
        <x:f>P1844-T1844</x:f>
        <x:v>3908.0154709827257</x:v>
      </x:c>
      <x:c r="W1844" s="79" t="n">
        <x:f>IF(U1844&gt;0,V1844/U1844,0)</x:f>
        <x:v>0.00013290120375816864</x:v>
      </x:c>
      <x:c r="X1844" s="80" t="n">
        <x:f>W1844*('Inputs'!$B$6-AC1844)</x:f>
        <x:v>132776.06551625038</x:v>
      </x:c>
      <x:c r="Y1844" s="80" t="n">
        <x:f>2*V1844</x:f>
        <x:v>7816.030941965451</x:v>
      </x:c>
      <x:c r="Z1844" s="80" t="n">
        <x:f>K1844*'Inputs'!$B$16+(G1844+R1844)*J1844*'Inputs'!$B$16</x:f>
        <x:v>37.57712373117683</x:v>
      </x:c>
      <x:c r="AA1844" s="80" t="n">
        <x:f>K1844*(1+'Inputs'!$E$49)/2*'Inputs'!$B$17</x:f>
        <x:v>12.109829569262315</x:v>
      </x:c>
      <x:c r="AB1844" s="78" t="n">
        <x:f>(IF(J1844&gt;0,K1844*(1-'Inputs'!$E$49)/2/J1844,0)+G1844+R1844)*'Inputs'!$B$17</x:f>
        <x:v>87903.99529803034</x:v>
      </x:c>
      <x:c r="AC1844" s="78" t="n">
        <x:f>AC1843+AB1844</x:f>
        <x:v>941588.4760980717</x:v>
      </x:c>
      <x:c r="AD1844" s="80" t="n">
        <x:f>Z1844/(1+'Inputs'!$C$49)</x:f>
        <x:v>9.394280932794208</x:v>
      </x:c>
      <x:c r="AE1844" s="80" t="n">
        <x:f>Z1844-AD1844</x:f>
        <x:v>28.182842798382623</x:v>
      </x:c>
      <x:c r="AF1844" s="80" t="n">
        <x:f>D1844*W1844</x:f>
        <x:v>40.26605332563571</x:v>
      </x:c>
      <x:c r="AG1844" s="80" t="n">
        <x:f>C1844*W1844</x:f>
        <x:v>93.95412442648312</x:v>
      </x:c>
      <x:c r="AH1844" s="80" t="n">
        <x:f>2*'Inputs'!$B$8*'Inputs'!$C$49</x:f>
        <x:v>15000</x:v>
      </x:c>
      <x:c r="AI1844" s="81" t="n">
        <x:f>IF(AH1844&gt;0,(AE1844+AF1844)/AH1844*365,0)</x:f>
        <x:v>1.6655898056844463</x:v>
      </x:c>
      <x:c r="AJ1844" s="81" t="n">
        <x:f>IF('Inputs'!$B$49&gt;0,AG1844/('Inputs'!$B$19*'Inputs'!$B$49)*365,0)</x:f>
        <x:v>3.429325541566634</x:v>
      </x:c>
      <x:c r="AK1844" s="81" t="n">
        <x:f>W1844/MAX($W$1829:W1844)-1</x:f>
        <x:v>-0.8287840368148757</x:v>
      </x:c>
      <x:c r="AL1844" s="83" t="n">
        <x:f>'Inputs'!$B$49</x:f>
        <x:v>1</x:v>
      </x:c>
      <x:c r="AM1844" s="83" t="n">
        <x:f>'Inputs'!$C$49</x:f>
        <x:v>3</x:v>
      </x:c>
      <x:c r="AN1844" s="83" t="n">
        <x:f>'Inputs'!$D$49</x:f>
        <x:v>0.75</x:v>
      </x:c>
      <x:c r="AO1844" s="81" t="n">
        <x:f>'Inputs'!$E$49</x:f>
        <x:v>-0.03</x:v>
      </x:c>
    </x:row>
    <x:row r="1845">
      <x:c r="A1845" s="59" t="str">
        <x:v>Mercenary LP</x:v>
      </x:c>
      <x:c r="B1845" s="59" t="n">
        <x:v>17</x:v>
      </x:c>
      <x:c r="C1845" s="78" t="n">
        <x:f>(('Inputs'!$B$29*(3*17*'Inputs'!$B$12-17^2)/(2*'Inputs'!$B$12^2))-('Inputs'!$B$29*(3*16*'Inputs'!$B$12-16^2)/(2*'Inputs'!$B$12^2)))*'Inputs'!$B$49</x:f>
        <x:v>706622.0210170764</x:v>
      </x:c>
      <x:c r="D1845" s="78" t="n">
        <x:f>IF('Inputs'!$C$49&gt;0,('Inputs'!$B$30*(3*17*'Inputs'!$B$12-17^2)/(2*'Inputs'!$B$12^2))-('Inputs'!$B$30*(3*16*'Inputs'!$B$12-16^2)/(2*'Inputs'!$B$12^2)),0)</x:f>
        <x:v>302838.00900731795</x:v>
      </x:c>
      <x:c r="E1845" s="78" t="n">
        <x:f>C1845+D1845</x:f>
        <x:v>1009460.0300243944</x:v>
      </x:c>
      <x:c r="F1845" s="78" t="n">
        <x:f>'Inputs'!$B$13*E1845+(1-'Inputs'!$B$13)/'Inputs'!$B$14*SUM(E1829:E1845)</x:f>
        <x:v>447948.92501943535</x:v>
      </x:c>
      <x:c r="G1845" s="78" t="n">
        <x:f>F1845*'Inputs'!$F$49</x:f>
        <x:v>403154.03251749184</x:v>
      </x:c>
      <x:c r="H1845" s="78" t="n">
        <x:f>U1844</x:f>
        <x:v>29405418.163810447</x:v>
      </x:c>
      <x:c r="I1845" s="78" t="n">
        <x:f>V1844</x:f>
        <x:v>3908.0154709827257</x:v>
      </x:c>
      <x:c r="J1845" s="79" t="n">
        <x:f>IF(H1845&gt;0,I1845/H1845,0)</x:f>
        <x:v>0.00013290120375816864</x:v>
      </x:c>
      <x:c r="K1845" s="80" t="n">
        <x:f>(H1845*J1845+I1845)*'Inputs'!$D$49*(1+'Inputs'!$G$49)^(B1845/30)</x:f>
        <x:v>5862.0232064740885</x:v>
      </x:c>
      <x:c r="L1845" s="80" t="n">
        <x:f>MAX(0,K1845*'Inputs'!$E$49)</x:f>
        <x:v>0</x:v>
      </x:c>
      <x:c r="M1845" s="80" t="n">
        <x:f>MAX(0,-K1845*'Inputs'!$E$49)</x:f>
        <x:v>175.86069619422264</x:v>
      </x:c>
      <x:c r="N1845" s="78" t="n">
        <x:f>H1845*(L1845*(1-'Inputs'!$B$15))/(I1845+L1845*(1-'Inputs'!$B$15))</x:f>
        <x:v>0</x:v>
      </x:c>
      <x:c r="O1845" s="78" t="n">
        <x:f>H1845-N1845</x:f>
        <x:v>29405418.163810447</x:v>
      </x:c>
      <x:c r="P1845" s="78" t="n">
        <x:f>I1845+L1845*(1-'Inputs'!$B$17)</x:f>
        <x:v>3908.0154709827257</x:v>
      </x:c>
      <x:c r="Q1845" s="78" t="n">
        <x:f>IF(J1845&gt;0,M1845/J1845,0)</x:f>
        <x:v>1323243.8173714702</x:v>
      </x:c>
      <x:c r="R1845" s="78" t="n">
        <x:f>IF(B1845='Inputs'!$H$49,'Inputs'!$B$27*'Inputs'!$I$49,0)</x:f>
        <x:v>0</x:v>
      </x:c>
      <x:c r="S1845" s="78" t="n">
        <x:f>Q1845+G1845+R1845</x:f>
        <x:v>1726397.849888962</x:v>
      </x:c>
      <x:c r="T1845" s="78" t="n">
        <x:f>P1845*(S1845*(1-'Inputs'!$B$15))/(O1845+S1845*(1-'Inputs'!$B$15))</x:f>
        <x:v>214.66873776027862</x:v>
      </x:c>
      <x:c r="U1845" s="78" t="n">
        <x:f>O1845+S1845*(1-'Inputs'!$B$17)</x:f>
        <x:v>31124868.738649555</x:v>
      </x:c>
      <x:c r="V1845" s="78" t="n">
        <x:f>P1845-T1845</x:f>
        <x:v>3693.3467332224473</x:v>
      </x:c>
      <x:c r="W1845" s="79" t="n">
        <x:f>IF(U1845&gt;0,V1845/U1845,0)</x:f>
        <x:v>0.00011866224285907444</x:v>
      </x:c>
      <x:c r="X1845" s="80" t="n">
        <x:f>W1845*('Inputs'!$B$6-AC1845)</x:f>
        <x:v>118539.47228780543</x:v>
      </x:c>
      <x:c r="Y1845" s="80" t="n">
        <x:f>2*V1845</x:f>
        <x:v>7386.6934664448945</x:v>
      </x:c>
      <x:c r="Z1845" s="80" t="n">
        <x:f>K1845*'Inputs'!$B$16+(G1845+R1845)*J1845*'Inputs'!$B$16</x:f>
        <x:v>35.493617176173736</x:v>
      </x:c>
      <x:c r="AA1845" s="80" t="n">
        <x:f>K1845*(1+'Inputs'!$E$49)/2*'Inputs'!$B$17</x:f>
        <x:v>11.440970845633533</x:v>
      </x:c>
      <x:c r="AB1845" s="78" t="n">
        <x:f>(IF(J1845&gt;0,K1845*(1-'Inputs'!$E$49)/2/J1845,0)+G1845+R1845)*'Inputs'!$B$17</x:f>
        <x:v>93033.55961392785</x:v>
      </x:c>
      <x:c r="AC1845" s="78" t="n">
        <x:f>AC1844+AB1845</x:f>
        <x:v>1034622.0357119995</x:v>
      </x:c>
      <x:c r="AD1845" s="80" t="n">
        <x:f>Z1845/(1+'Inputs'!$C$49)</x:f>
        <x:v>8.873404294043434</x:v>
      </x:c>
      <x:c r="AE1845" s="80" t="n">
        <x:f>Z1845-AD1845</x:f>
        <x:v>26.620212882130303</x:v>
      </x:c>
      <x:c r="AF1845" s="80" t="n">
        <x:f>D1845*W1845</x:f>
        <x:v>35.935437371784936</x:v>
      </x:c>
      <x:c r="AG1845" s="80" t="n">
        <x:f>C1845*W1845</x:f>
        <x:v>83.84935386749832</x:v>
      </x:c>
      <x:c r="AH1845" s="80" t="n">
        <x:f>2*'Inputs'!$B$8*'Inputs'!$C$49</x:f>
        <x:v>15000</x:v>
      </x:c>
      <x:c r="AI1845" s="81" t="n">
        <x:f>IF(AH1845&gt;0,(AE1845+AF1845)/AH1845*365,0)</x:f>
        <x:v>1.5221874895119376</x:v>
      </x:c>
      <x:c r="AJ1845" s="81" t="n">
        <x:f>IF('Inputs'!$B$49&gt;0,AG1845/('Inputs'!$B$19*'Inputs'!$B$49)*365,0)</x:f>
        <x:v>3.0605014161636883</x:v>
      </x:c>
      <x:c r="AK1845" s="81" t="n">
        <x:f>W1845/MAX($W$1829:W1845)-1</x:f>
        <x:v>-0.8471280196845108</x:v>
      </x:c>
      <x:c r="AL1845" s="83" t="n">
        <x:f>'Inputs'!$B$49</x:f>
        <x:v>1</x:v>
      </x:c>
      <x:c r="AM1845" s="83" t="n">
        <x:f>'Inputs'!$C$49</x:f>
        <x:v>3</x:v>
      </x:c>
      <x:c r="AN1845" s="83" t="n">
        <x:f>'Inputs'!$D$49</x:f>
        <x:v>0.75</x:v>
      </x:c>
      <x:c r="AO1845" s="81" t="n">
        <x:f>'Inputs'!$E$49</x:f>
        <x:v>-0.03</x:v>
      </x:c>
    </x:row>
    <x:row r="1846">
      <x:c r="A1846" s="59" t="str">
        <x:v>Mercenary LP</x:v>
      </x:c>
      <x:c r="B1846" s="59" t="n">
        <x:v>18</x:v>
      </x:c>
      <x:c r="C1846" s="78" t="n">
        <x:f>(('Inputs'!$B$29*(3*18*'Inputs'!$B$12-18^2)/(2*'Inputs'!$B$12^2))-('Inputs'!$B$29*(3*17*'Inputs'!$B$12-17^2)/(2*'Inputs'!$B$12^2)))*'Inputs'!$B$49</x:f>
        <x:v>706296.9131169058</x:v>
      </x:c>
      <x:c r="D1846" s="78" t="n">
        <x:f>IF('Inputs'!$C$49&gt;0,('Inputs'!$B$30*(3*18*'Inputs'!$B$12-18^2)/(2*'Inputs'!$B$12^2))-('Inputs'!$B$30*(3*17*'Inputs'!$B$12-17^2)/(2*'Inputs'!$B$12^2)),0)</x:f>
        <x:v>302698.67705010343</x:v>
      </x:c>
      <x:c r="E1846" s="78" t="n">
        <x:f>C1846+D1846</x:f>
        <x:v>1008995.5901670093</x:v>
      </x:c>
      <x:c r="F1846" s="78" t="n">
        <x:f>'Inputs'!$B$13*E1846+(1-'Inputs'!$B$13)/'Inputs'!$B$14*SUM(E1829:E1846)</x:f>
        <x:v>462270.2597646299</x:v>
      </x:c>
      <x:c r="G1846" s="78" t="n">
        <x:f>F1846*'Inputs'!$F$49</x:f>
        <x:v>416043.2337881669</x:v>
      </x:c>
      <x:c r="H1846" s="78" t="n">
        <x:f>U1845</x:f>
        <x:v>31124868.738649555</x:v>
      </x:c>
      <x:c r="I1846" s="78" t="n">
        <x:f>V1845</x:f>
        <x:v>3693.3467332224473</x:v>
      </x:c>
      <x:c r="J1846" s="79" t="n">
        <x:f>IF(H1846&gt;0,I1846/H1846,0)</x:f>
        <x:v>0.00011866224285907444</x:v>
      </x:c>
      <x:c r="K1846" s="80" t="n">
        <x:f>(H1846*J1846+I1846)*'Inputs'!$D$49*(1+'Inputs'!$G$49)^(B1846/30)</x:f>
        <x:v>5540.020099833671</x:v>
      </x:c>
      <x:c r="L1846" s="80" t="n">
        <x:f>MAX(0,K1846*'Inputs'!$E$49)</x:f>
        <x:v>0</x:v>
      </x:c>
      <x:c r="M1846" s="80" t="n">
        <x:f>MAX(0,-K1846*'Inputs'!$E$49)</x:f>
        <x:v>166.20060299501014</x:v>
      </x:c>
      <x:c r="N1846" s="78" t="n">
        <x:f>H1846*(L1846*(1-'Inputs'!$B$15))/(I1846+L1846*(1-'Inputs'!$B$15))</x:f>
        <x:v>0</x:v>
      </x:c>
      <x:c r="O1846" s="78" t="n">
        <x:f>H1846-N1846</x:f>
        <x:v>31124868.738649555</x:v>
      </x:c>
      <x:c r="P1846" s="78" t="n">
        <x:f>I1846+L1846*(1-'Inputs'!$B$17)</x:f>
        <x:v>3693.3467332224473</x:v>
      </x:c>
      <x:c r="Q1846" s="78" t="n">
        <x:f>IF(J1846&gt;0,M1846/J1846,0)</x:f>
        <x:v>1400619.09323923</x:v>
      </x:c>
      <x:c r="R1846" s="78" t="n">
        <x:f>IF(B1846='Inputs'!$H$49,'Inputs'!$B$27*'Inputs'!$I$49,0)</x:f>
        <x:v>0</x:v>
      </x:c>
      <x:c r="S1846" s="78" t="n">
        <x:f>Q1846+G1846+R1846</x:f>
        <x:v>1816662.327027397</x:v>
      </x:c>
      <x:c r="T1846" s="78" t="n">
        <x:f>P1846*(S1846*(1-'Inputs'!$B$15))/(O1846+S1846*(1-'Inputs'!$B$15))</x:f>
        <x:v>201.75545071664058</x:v>
      </x:c>
      <x:c r="U1846" s="78" t="n">
        <x:f>O1846+S1846*(1-'Inputs'!$B$17)</x:f>
        <x:v>32934220.553294547</x:v>
      </x:c>
      <x:c r="V1846" s="78" t="n">
        <x:f>P1846-T1846</x:f>
        <x:v>3491.5912825058067</x:v>
      </x:c>
      <x:c r="W1846" s="79" t="n">
        <x:f>IF(U1846&gt;0,V1846/U1846,0)</x:f>
        <x:v>0.00010601712212547045</x:v>
      </x:c>
      <x:c r="X1846" s="80" t="n">
        <x:f>W1846*('Inputs'!$B$6-AC1846)</x:f>
        <x:v>105896.99914571558</x:v>
      </x:c>
      <x:c r="Y1846" s="80" t="n">
        <x:f>2*V1846</x:f>
        <x:v>6983.182565011613</x:v>
      </x:c>
      <x:c r="Z1846" s="80" t="n">
        <x:f>K1846*'Inputs'!$B$16+(G1846+R1846)*J1846*'Inputs'!$B$16</x:f>
        <x:v>33.5363323384879</x:v>
      </x:c>
      <x:c r="AA1846" s="80" t="n">
        <x:f>K1846*(1+'Inputs'!$E$49)/2*'Inputs'!$B$17</x:f>
        <x:v>10.812514078146199</x:v>
      </x:c>
      <x:c r="AB1846" s="78" t="n">
        <x:f>(IF(J1846&gt;0,K1846*(1-'Inputs'!$E$49)/2/J1846,0)+G1846+R1846)*'Inputs'!$B$17</x:f>
        <x:v>98430.60094323925</x:v>
      </x:c>
      <x:c r="AC1846" s="78" t="n">
        <x:f>AC1845+AB1846</x:f>
        <x:v>1133052.6366552387</x:v>
      </x:c>
      <x:c r="AD1846" s="80" t="n">
        <x:f>Z1846/(1+'Inputs'!$C$49)</x:f>
        <x:v>8.384083084621976</x:v>
      </x:c>
      <x:c r="AE1846" s="80" t="n">
        <x:f>Z1846-AD1846</x:f>
        <x:v>25.152249253865925</x:v>
      </x:c>
      <x:c r="AF1846" s="80" t="n">
        <x:f>D1846*W1846</x:f>
        <x:v>32.09124261203915</x:v>
      </x:c>
      <x:c r="AG1846" s="80" t="n">
        <x:f>C1846*W1846</x:f>
        <x:v>74.87956609475779</x:v>
      </x:c>
      <x:c r="AH1846" s="80" t="n">
        <x:f>2*'Inputs'!$B$8*'Inputs'!$C$49</x:f>
        <x:v>15000</x:v>
      </x:c>
      <x:c r="AI1846" s="81" t="n">
        <x:f>IF(AH1846&gt;0,(AE1846+AF1846)/AH1846*365,0)</x:f>
        <x:v>1.3929249687370235</x:v>
      </x:c>
      <x:c r="AJ1846" s="81" t="n">
        <x:f>IF('Inputs'!$B$49&gt;0,AG1846/('Inputs'!$B$19*'Inputs'!$B$49)*365,0)</x:f>
        <x:v>2.7331041624586594</x:v>
      </x:c>
      <x:c r="AK1846" s="81" t="n">
        <x:f>W1846/MAX($W$1829:W1846)-1</x:f>
        <x:v>-0.8634186661555223</x:v>
      </x:c>
      <x:c r="AL1846" s="83" t="n">
        <x:f>'Inputs'!$B$49</x:f>
        <x:v>1</x:v>
      </x:c>
      <x:c r="AM1846" s="83" t="n">
        <x:f>'Inputs'!$C$49</x:f>
        <x:v>3</x:v>
      </x:c>
      <x:c r="AN1846" s="83" t="n">
        <x:f>'Inputs'!$D$49</x:f>
        <x:v>0.75</x:v>
      </x:c>
      <x:c r="AO1846" s="81" t="n">
        <x:f>'Inputs'!$E$49</x:f>
        <x:v>-0.03</x:v>
      </x:c>
    </x:row>
    <x:row r="1847">
      <x:c r="A1847" s="59" t="str">
        <x:v>Mercenary LP</x:v>
      </x:c>
      <x:c r="B1847" s="59" t="n">
        <x:v>19</x:v>
      </x:c>
      <x:c r="C1847" s="78" t="n">
        <x:f>(('Inputs'!$B$29*(3*19*'Inputs'!$B$12-19^2)/(2*'Inputs'!$B$12^2))-('Inputs'!$B$29*(3*18*'Inputs'!$B$12-18^2)/(2*'Inputs'!$B$12^2)))*'Inputs'!$B$49</x:f>
        <x:v>705971.805216739</x:v>
      </x:c>
      <x:c r="D1847" s="78" t="n">
        <x:f>IF('Inputs'!$C$49&gt;0,('Inputs'!$B$30*(3*19*'Inputs'!$B$12-19^2)/(2*'Inputs'!$B$12^2))-('Inputs'!$B$30*(3*18*'Inputs'!$B$12-18^2)/(2*'Inputs'!$B$12^2)),0)</x:f>
        <x:v>302559.345092888</x:v>
      </x:c>
      <x:c r="E1847" s="78" t="n">
        <x:f>C1847+D1847</x:f>
        <x:v>1008531.150309627</x:v>
      </x:c>
      <x:c r="F1847" s="78" t="n">
        <x:f>'Inputs'!$B$13*E1847+(1-'Inputs'!$B$13)/'Inputs'!$B$14*SUM(E1829:E1847)</x:f>
        <x:v>476584.95965471945</x:v>
      </x:c>
      <x:c r="G1847" s="78" t="n">
        <x:f>F1847*'Inputs'!$F$49</x:f>
        <x:v>428926.4636892475</x:v>
      </x:c>
      <x:c r="H1847" s="78" t="n">
        <x:f>U1846</x:f>
        <x:v>32934220.553294547</x:v>
      </x:c>
      <x:c r="I1847" s="78" t="n">
        <x:f>V1846</x:f>
        <x:v>3491.5912825058067</x:v>
      </x:c>
      <x:c r="J1847" s="79" t="n">
        <x:f>IF(H1847&gt;0,I1847/H1847,0)</x:f>
        <x:v>0.00010601712212547045</x:v>
      </x:c>
      <x:c r="K1847" s="80" t="n">
        <x:f>(H1847*J1847+I1847)*'Inputs'!$D$49*(1+'Inputs'!$G$49)^(B1847/30)</x:f>
        <x:v>5237.38692375871</x:v>
      </x:c>
      <x:c r="L1847" s="80" t="n">
        <x:f>MAX(0,K1847*'Inputs'!$E$49)</x:f>
        <x:v>0</x:v>
      </x:c>
      <x:c r="M1847" s="80" t="n">
        <x:f>MAX(0,-K1847*'Inputs'!$E$49)</x:f>
        <x:v>157.1216077127613</x:v>
      </x:c>
      <x:c r="N1847" s="78" t="n">
        <x:f>H1847*(L1847*(1-'Inputs'!$B$15))/(I1847+L1847*(1-'Inputs'!$B$15))</x:f>
        <x:v>0</x:v>
      </x:c>
      <x:c r="O1847" s="78" t="n">
        <x:f>H1847-N1847</x:f>
        <x:v>32934220.553294547</x:v>
      </x:c>
      <x:c r="P1847" s="78" t="n">
        <x:f>I1847+L1847*(1-'Inputs'!$B$17)</x:f>
        <x:v>3491.5912825058067</x:v>
      </x:c>
      <x:c r="Q1847" s="78" t="n">
        <x:f>IF(J1847&gt;0,M1847/J1847,0)</x:f>
        <x:v>1482039.9248982545</x:v>
      </x:c>
      <x:c r="R1847" s="78" t="n">
        <x:f>IF(B1847='Inputs'!$H$49,'Inputs'!$B$27*'Inputs'!$I$49,0)</x:f>
        <x:v>0</x:v>
      </x:c>
      <x:c r="S1847" s="78" t="n">
        <x:f>Q1847+G1847+R1847</x:f>
        <x:v>1910966.3885875018</x:v>
      </x:c>
      <x:c r="T1847" s="78" t="n">
        <x:f>P1847*(S1847*(1-'Inputs'!$B$15))/(O1847+S1847*(1-'Inputs'!$B$15))</x:f>
        <x:v>189.6736860424913</x:v>
      </x:c>
      <x:c r="U1847" s="78" t="n">
        <x:f>O1847+S1847*(1-'Inputs'!$B$17)</x:f>
        <x:v>34837496.93629417</x:v>
      </x:c>
      <x:c r="V1847" s="78" t="n">
        <x:f>P1847-T1847</x:f>
        <x:v>3301.9175964633155</x:v>
      </x:c>
      <x:c r="W1847" s="79" t="n">
        <x:f>IF(U1847&gt;0,V1847/U1847,0)</x:f>
        <x:v>0.00009478056366969734</x:v>
      </x:c>
      <x:c r="X1847" s="80" t="n">
        <x:f>W1847*('Inputs'!$B$6-AC1847)</x:f>
        <x:v>94663.30497346462</x:v>
      </x:c>
      <x:c r="Y1847" s="80" t="n">
        <x:f>2*V1847</x:f>
        <x:v>6603.835192926631</x:v>
      </x:c>
      <x:c r="Z1847" s="80" t="n">
        <x:f>K1847*'Inputs'!$B$16+(G1847+R1847)*J1847*'Inputs'!$B$16</x:f>
        <x:v>31.697162838254993</x:v>
      </x:c>
      <x:c r="AA1847" s="80" t="n">
        <x:f>K1847*(1+'Inputs'!$E$49)/2*'Inputs'!$B$17</x:f>
        <x:v>10.221861802909354</x:v>
      </x:c>
      <x:c r="AB1847" s="78" t="n">
        <x:f>(IF(J1847&gt;0,K1847*(1-'Inputs'!$E$49)/2/J1847,0)+G1847+R1847)*'Inputs'!$B$17</x:f>
        <x:v>104107.08990386031</x:v>
      </x:c>
      <x:c r="AC1847" s="78" t="n">
        <x:f>AC1846+AB1847</x:f>
        <x:v>1237159.726559099</x:v>
      </x:c>
      <x:c r="AD1847" s="80" t="n">
        <x:f>Z1847/(1+'Inputs'!$C$49)</x:f>
        <x:v>7.924290709563748</x:v>
      </x:c>
      <x:c r="AE1847" s="80" t="n">
        <x:f>Z1847-AD1847</x:f>
        <x:v>23.772872128691244</x:v>
      </x:c>
      <x:c r="AF1847" s="80" t="n">
        <x:f>D1847*W1847</x:f>
        <x:v>28.6767452714384</x:v>
      </x:c>
      <x:c r="AG1847" s="80" t="n">
        <x:f>C1847*W1847</x:f>
        <x:v>66.9124056333563</x:v>
      </x:c>
      <x:c r="AH1847" s="80" t="n">
        <x:f>2*'Inputs'!$B$8*'Inputs'!$C$49</x:f>
        <x:v>15000</x:v>
      </x:c>
      <x:c r="AI1847" s="81" t="n">
        <x:f>IF(AH1847&gt;0,(AE1847+AF1847)/AH1847*365,0)</x:f>
        <x:v>1.2762740234031547</x:v>
      </x:c>
      <x:c r="AJ1847" s="81" t="n">
        <x:f>IF('Inputs'!$B$49&gt;0,AG1847/('Inputs'!$B$19*'Inputs'!$B$49)*365,0)</x:f>
        <x:v>2.442302805617505</x:v>
      </x:c>
      <x:c r="AK1847" s="81" t="n">
        <x:f>W1847/MAX($W$1829:W1847)-1</x:f>
        <x:v>-0.877894668813797</x:v>
      </x:c>
      <x:c r="AL1847" s="83" t="n">
        <x:f>'Inputs'!$B$49</x:f>
        <x:v>1</x:v>
      </x:c>
      <x:c r="AM1847" s="83" t="n">
        <x:f>'Inputs'!$C$49</x:f>
        <x:v>3</x:v>
      </x:c>
      <x:c r="AN1847" s="83" t="n">
        <x:f>'Inputs'!$D$49</x:f>
        <x:v>0.75</x:v>
      </x:c>
      <x:c r="AO1847" s="81" t="n">
        <x:f>'Inputs'!$E$49</x:f>
        <x:v>-0.03</x:v>
      </x:c>
    </x:row>
    <x:row r="1848">
      <x:c r="A1848" s="59" t="str">
        <x:v>Mercenary LP</x:v>
      </x:c>
      <x:c r="B1848" s="59" t="n">
        <x:v>20</x:v>
      </x:c>
      <x:c r="C1848" s="78" t="n">
        <x:f>(('Inputs'!$B$29*(3*20*'Inputs'!$B$12-20^2)/(2*'Inputs'!$B$12^2))-('Inputs'!$B$29*(3*19*'Inputs'!$B$12-19^2)/(2*'Inputs'!$B$12^2)))*'Inputs'!$B$49</x:f>
        <x:v>705646.6973165702</x:v>
      </x:c>
      <x:c r="D1848" s="78" t="n">
        <x:f>IF('Inputs'!$C$49&gt;0,('Inputs'!$B$30*(3*20*'Inputs'!$B$12-20^2)/(2*'Inputs'!$B$12^2))-('Inputs'!$B$30*(3*19*'Inputs'!$B$12-19^2)/(2*'Inputs'!$B$12^2)),0)</x:f>
        <x:v>302420.01313567255</x:v>
      </x:c>
      <x:c r="E1848" s="78" t="n">
        <x:f>C1848+D1848</x:f>
        <x:v>1008066.7104522428</x:v>
      </x:c>
      <x:c r="F1848" s="78" t="n">
        <x:f>'Inputs'!$B$13*E1848+(1-'Inputs'!$B$13)/'Inputs'!$B$14*SUM(E1829:E1848)</x:f>
        <x:v>490893.02468970325</x:v>
      </x:c>
      <x:c r="G1848" s="78" t="n">
        <x:f>F1848*'Inputs'!$F$49</x:f>
        <x:v>441803.72222073295</x:v>
      </x:c>
      <x:c r="H1848" s="78" t="n">
        <x:f>U1847</x:f>
        <x:v>34837496.93629417</x:v>
      </x:c>
      <x:c r="I1848" s="78" t="n">
        <x:f>V1847</x:f>
        <x:v>3301.9175964633155</x:v>
      </x:c>
      <x:c r="J1848" s="79" t="n">
        <x:f>IF(H1848&gt;0,I1848/H1848,0)</x:f>
        <x:v>0.00009478056366969734</x:v>
      </x:c>
      <x:c r="K1848" s="80" t="n">
        <x:f>(H1848*J1848+I1848)*'Inputs'!$D$49*(1+'Inputs'!$G$49)^(B1848/30)</x:f>
        <x:v>4952.876394694973</x:v>
      </x:c>
      <x:c r="L1848" s="80" t="n">
        <x:f>MAX(0,K1848*'Inputs'!$E$49)</x:f>
        <x:v>0</x:v>
      </x:c>
      <x:c r="M1848" s="80" t="n">
        <x:f>MAX(0,-K1848*'Inputs'!$E$49)</x:f>
        <x:v>148.58629184084919</x:v>
      </x:c>
      <x:c r="N1848" s="78" t="n">
        <x:f>H1848*(L1848*(1-'Inputs'!$B$15))/(I1848+L1848*(1-'Inputs'!$B$15))</x:f>
        <x:v>0</x:v>
      </x:c>
      <x:c r="O1848" s="78" t="n">
        <x:f>H1848-N1848</x:f>
        <x:v>34837496.93629417</x:v>
      </x:c>
      <x:c r="P1848" s="78" t="n">
        <x:f>I1848+L1848*(1-'Inputs'!$B$17)</x:f>
        <x:v>3301.9175964633155</x:v>
      </x:c>
      <x:c r="Q1848" s="78" t="n">
        <x:f>IF(J1848&gt;0,M1848/J1848,0)</x:f>
        <x:v>1567687.3621332375</x:v>
      </x:c>
      <x:c r="R1848" s="78" t="n">
        <x:f>IF(B1848='Inputs'!$H$49,'Inputs'!$B$27*'Inputs'!$I$49,0)</x:f>
        <x:v>0</x:v>
      </x:c>
      <x:c r="S1848" s="78" t="n">
        <x:f>Q1848+G1848+R1848</x:f>
        <x:v>2009491.0843539704</x:v>
      </x:c>
      <x:c r="T1848" s="78" t="n">
        <x:f>P1848*(S1848*(1-'Inputs'!$B$15))/(O1848+S1848*(1-'Inputs'!$B$15))</x:f>
        <x:v>178.37025274070783</x:v>
      </x:c>
      <x:c r="U1848" s="78" t="n">
        <x:f>O1848+S1848*(1-'Inputs'!$B$17)</x:f>
        <x:v>36838901.5374113</x:v>
      </x:c>
      <x:c r="V1848" s="78" t="n">
        <x:f>P1848-T1848</x:f>
        <x:v>3123.547343722608</x:v>
      </x:c>
      <x:c r="W1848" s="79" t="n">
        <x:f>IF(U1848&gt;0,V1848/U1848,0)</x:f>
        <x:v>0.00008478937246678017</x:v>
      </x:c>
      <x:c r="X1848" s="80" t="n">
        <x:f>W1848*('Inputs'!$B$6-AC1848)</x:f>
        <x:v>84675.14123450415</x:v>
      </x:c>
      <x:c r="Y1848" s="80" t="n">
        <x:f>2*V1848</x:f>
        <x:v>6247.094687445216</x:v>
      </x:c>
      <x:c r="Z1848" s="80" t="n">
        <x:f>K1848*'Inputs'!$B$16+(G1848+R1848)*J1848*'Inputs'!$B$16</x:f>
        <x:v>29.968504803110545</x:v>
      </x:c>
      <x:c r="AA1848" s="80" t="n">
        <x:f>K1848*(1+'Inputs'!$E$49)/2*'Inputs'!$B$17</x:f>
        <x:v>9.666579683811115</x:v>
      </x:c>
      <x:c r="AB1848" s="78" t="n">
        <x:f>(IF(J1848&gt;0,K1848*(1-'Inputs'!$E$49)/2/J1848,0)+G1848+R1848)*'Inputs'!$B$17</x:f>
        <x:v>110075.53362377457</x:v>
      </x:c>
      <x:c r="AC1848" s="78" t="n">
        <x:f>AC1847+AB1848</x:f>
        <x:v>1347235.2601828736</x:v>
      </x:c>
      <x:c r="AD1848" s="80" t="n">
        <x:f>Z1848/(1+'Inputs'!$C$49)</x:f>
        <x:v>7.492126200777636</x:v>
      </x:c>
      <x:c r="AE1848" s="80" t="n">
        <x:f>Z1848-AD1848</x:f>
        <x:v>22.476378602332908</x:v>
      </x:c>
      <x:c r="AF1848" s="80" t="n">
        <x:f>D1848*W1848</x:f>
        <x:v>25.64200313516909</x:v>
      </x:c>
      <x:c r="AG1848" s="80" t="n">
        <x:f>C1848*W1848</x:f>
        <x:v>59.83134064872796</x:v>
      </x:c>
      <x:c r="AH1848" s="80" t="n">
        <x:f>2*'Inputs'!$B$8*'Inputs'!$C$49</x:f>
        <x:v>15000</x:v>
      </x:c>
      <x:c r="AI1848" s="81" t="n">
        <x:f>IF(AH1848&gt;0,(AE1848+AF1848)/AH1848*365,0)</x:f>
        <x:v>1.1708806222792152</x:v>
      </x:c>
      <x:c r="AJ1848" s="81" t="n">
        <x:f>IF('Inputs'!$B$49&gt;0,AG1848/('Inputs'!$B$19*'Inputs'!$B$49)*365,0)</x:f>
        <x:v>2.1838439336785704</x:v>
      </x:c>
      <x:c r="AK1848" s="81" t="n">
        <x:f>W1848/MAX($W$1829:W1848)-1</x:f>
        <x:v>-0.8907662710024946</x:v>
      </x:c>
      <x:c r="AL1848" s="83" t="n">
        <x:f>'Inputs'!$B$49</x:f>
        <x:v>1</x:v>
      </x:c>
      <x:c r="AM1848" s="83" t="n">
        <x:f>'Inputs'!$C$49</x:f>
        <x:v>3</x:v>
      </x:c>
      <x:c r="AN1848" s="83" t="n">
        <x:f>'Inputs'!$D$49</x:f>
        <x:v>0.75</x:v>
      </x:c>
      <x:c r="AO1848" s="81" t="n">
        <x:f>'Inputs'!$E$49</x:f>
        <x:v>-0.03</x:v>
      </x:c>
    </x:row>
    <x:row r="1849">
      <x:c r="A1849" s="59" t="str">
        <x:v>Mercenary LP</x:v>
      </x:c>
      <x:c r="B1849" s="59" t="n">
        <x:v>21</x:v>
      </x:c>
      <x:c r="C1849" s="78" t="n">
        <x:f>(('Inputs'!$B$29*(3*21*'Inputs'!$B$12-21^2)/(2*'Inputs'!$B$12^2))-('Inputs'!$B$29*(3*20*'Inputs'!$B$12-20^2)/(2*'Inputs'!$B$12^2)))*'Inputs'!$B$49</x:f>
        <x:v>705321.5894164015</x:v>
      </x:c>
      <x:c r="D1849" s="78" t="n">
        <x:f>IF('Inputs'!$C$49&gt;0,('Inputs'!$B$30*(3*21*'Inputs'!$B$12-21^2)/(2*'Inputs'!$B$12^2))-('Inputs'!$B$30*(3*20*'Inputs'!$B$12-20^2)/(2*'Inputs'!$B$12^2)),0)</x:f>
        <x:v>302280.6811784571</x:v>
      </x:c>
      <x:c r="E1849" s="78" t="n">
        <x:f>C1849+D1849</x:f>
        <x:v>1007602.2705948586</x:v>
      </x:c>
      <x:c r="F1849" s="78" t="n">
        <x:f>'Inputs'!$B$13*E1849+(1-'Inputs'!$B$13)/'Inputs'!$B$14*SUM(E1829:E1849)</x:f>
        <x:v>505194.45486958156</x:v>
      </x:c>
      <x:c r="G1849" s="78" t="n">
        <x:f>F1849*'Inputs'!$F$49</x:f>
        <x:v>454675.0093826234</x:v>
      </x:c>
      <x:c r="H1849" s="78" t="n">
        <x:f>U1848</x:f>
        <x:v>36838901.5374113</x:v>
      </x:c>
      <x:c r="I1849" s="78" t="n">
        <x:f>V1848</x:f>
        <x:v>3123.547343722608</x:v>
      </x:c>
      <x:c r="J1849" s="79" t="n">
        <x:f>IF(H1849&gt;0,I1849/H1849,0)</x:f>
        <x:v>0.00008478937246678017</x:v>
      </x:c>
      <x:c r="K1849" s="80" t="n">
        <x:f>(H1849*J1849+I1849)*'Inputs'!$D$49*(1+'Inputs'!$G$49)^(B1849/30)</x:f>
        <x:v>4685.3210155839115</x:v>
      </x:c>
      <x:c r="L1849" s="80" t="n">
        <x:f>MAX(0,K1849*'Inputs'!$E$49)</x:f>
        <x:v>0</x:v>
      </x:c>
      <x:c r="M1849" s="80" t="n">
        <x:f>MAX(0,-K1849*'Inputs'!$E$49)</x:f>
        <x:v>140.55963046751734</x:v>
      </x:c>
      <x:c r="N1849" s="78" t="n">
        <x:f>H1849*(L1849*(1-'Inputs'!$B$15))/(I1849+L1849*(1-'Inputs'!$B$15))</x:f>
        <x:v>0</x:v>
      </x:c>
      <x:c r="O1849" s="78" t="n">
        <x:f>H1849-N1849</x:f>
        <x:v>36838901.5374113</x:v>
      </x:c>
      <x:c r="P1849" s="78" t="n">
        <x:f>I1849+L1849*(1-'Inputs'!$B$17)</x:f>
        <x:v>3123.547343722608</x:v>
      </x:c>
      <x:c r="Q1849" s="78" t="n">
        <x:f>IF(J1849&gt;0,M1849/J1849,0)</x:f>
        <x:v>1657750.5691835084</x:v>
      </x:c>
      <x:c r="R1849" s="78" t="n">
        <x:f>IF(B1849='Inputs'!$H$49,'Inputs'!$B$27*'Inputs'!$I$49,0)</x:f>
        <x:v>0</x:v>
      </x:c>
      <x:c r="S1849" s="78" t="n">
        <x:f>Q1849+G1849+R1849</x:f>
        <x:v>2112425.5785661316</x:v>
      </x:c>
      <x:c r="T1849" s="78" t="n">
        <x:f>P1849*(S1849*(1-'Inputs'!$B$15))/(O1849+S1849*(1-'Inputs'!$B$15))</x:f>
        <x:v>167.7946224722636</x:v>
      </x:c>
      <x:c r="U1849" s="78" t="n">
        <x:f>O1849+S1849*(1-'Inputs'!$B$17)</x:f>
        <x:v>38942826.40942385</x:v>
      </x:c>
      <x:c r="V1849" s="78" t="n">
        <x:f>P1849-T1849</x:f>
        <x:v>2955.752721250344</x:v>
      </x:c>
      <x:c r="W1849" s="79" t="n">
        <x:f>IF(U1849&gt;0,V1849/U1849,0)</x:f>
        <x:v>0.00007589979962355983</x:v>
      </x:c>
      <x:c r="X1849" s="80" t="n">
        <x:f>W1849*('Inputs'!$B$6-AC1849)</x:f>
        <x:v>75788.71387149593</x:v>
      </x:c>
      <x:c r="Y1849" s="80" t="n">
        <x:f>2*V1849</x:f>
        <x:v>5911.505442500688</x:v>
      </x:c>
      <x:c r="Z1849" s="80" t="n">
        <x:f>K1849*'Inputs'!$B$16+(G1849+R1849)*J1849*'Inputs'!$B$16</x:f>
        <x:v>28.34323574583475</x:v>
      </x:c>
      <x:c r="AA1849" s="80" t="n">
        <x:f>K1849*(1+'Inputs'!$E$49)/2*'Inputs'!$B$17</x:f>
        <x:v>9.144389104861961</x:v>
      </x:c>
      <x:c r="AB1849" s="78" t="n">
        <x:f>(IF(J1849&gt;0,K1849*(1-'Inputs'!$E$49)/2/J1849,0)+G1849+R1849)*'Inputs'!$B$17</x:f>
        <x:v>116348.99978685254</x:v>
      </x:c>
      <x:c r="AC1849" s="78" t="n">
        <x:f>AC1848+AB1849</x:f>
        <x:v>1463584.2599697262</x:v>
      </x:c>
      <x:c r="AD1849" s="80" t="n">
        <x:f>Z1849/(1+'Inputs'!$C$49)</x:f>
        <x:v>7.085808936458688</x:v>
      </x:c>
      <x:c r="AE1849" s="80" t="n">
        <x:f>Z1849-AD1849</x:f>
        <x:v>21.257426809376064</x:v>
      </x:c>
      <x:c r="AF1849" s="80" t="n">
        <x:f>D1849*W1849</x:f>
        <x:v>22.943043131518067</x:v>
      </x:c>
      <x:c r="AG1849" s="80" t="n">
        <x:f>C1849*W1849</x:f>
        <x:v>53.53376730687561</x:v>
      </x:c>
      <x:c r="AH1849" s="80" t="n">
        <x:f>2*'Inputs'!$B$8*'Inputs'!$C$49</x:f>
        <x:v>15000</x:v>
      </x:c>
      <x:c r="AI1849" s="81" t="n">
        <x:f>IF(AH1849&gt;0,(AE1849+AF1849)/AH1849*365,0)</x:f>
        <x:v>1.0755447685617572</x:v>
      </x:c>
      <x:c r="AJ1849" s="81" t="n">
        <x:f>IF('Inputs'!$B$49&gt;0,AG1849/('Inputs'!$B$19*'Inputs'!$B$49)*365,0)</x:f>
        <x:v>1.9539825067009597</x:v>
      </x:c>
      <x:c r="AK1849" s="81" t="n">
        <x:f>W1849/MAX($W$1829:W1849)-1</x:f>
        <x:v>-0.9022186637093798</x:v>
      </x:c>
      <x:c r="AL1849" s="83" t="n">
        <x:f>'Inputs'!$B$49</x:f>
        <x:v>1</x:v>
      </x:c>
      <x:c r="AM1849" s="83" t="n">
        <x:f>'Inputs'!$C$49</x:f>
        <x:v>3</x:v>
      </x:c>
      <x:c r="AN1849" s="83" t="n">
        <x:f>'Inputs'!$D$49</x:f>
        <x:v>0.75</x:v>
      </x:c>
      <x:c r="AO1849" s="81" t="n">
        <x:f>'Inputs'!$E$49</x:f>
        <x:v>-0.03</x:v>
      </x:c>
    </x:row>
    <x:row r="1850">
      <x:c r="A1850" s="59" t="str">
        <x:v>Mercenary LP</x:v>
      </x:c>
      <x:c r="B1850" s="59" t="n">
        <x:v>22</x:v>
      </x:c>
      <x:c r="C1850" s="78" t="n">
        <x:f>(('Inputs'!$B$29*(3*22*'Inputs'!$B$12-22^2)/(2*'Inputs'!$B$12^2))-('Inputs'!$B$29*(3*21*'Inputs'!$B$12-21^2)/(2*'Inputs'!$B$12^2)))*'Inputs'!$B$49</x:f>
        <x:v>704996.4815162309</x:v>
      </x:c>
      <x:c r="D1850" s="78" t="n">
        <x:f>IF('Inputs'!$C$49&gt;0,('Inputs'!$B$30*(3*22*'Inputs'!$B$12-22^2)/(2*'Inputs'!$B$12^2))-('Inputs'!$B$30*(3*21*'Inputs'!$B$12-21^2)/(2*'Inputs'!$B$12^2)),0)</x:f>
        <x:v>302141.3492212426</x:v>
      </x:c>
      <x:c r="E1850" s="78" t="n">
        <x:f>C1850+D1850</x:f>
        <x:v>1007137.8307374734</x:v>
      </x:c>
      <x:c r="F1850" s="78" t="n">
        <x:f>'Inputs'!$B$13*E1850+(1-'Inputs'!$B$13)/'Inputs'!$B$14*SUM(E1829:E1850)</x:f>
        <x:v>519489.25019435416</x:v>
      </x:c>
      <x:c r="G1850" s="78" t="n">
        <x:f>F1850*'Inputs'!$F$49</x:f>
        <x:v>467540.32517491875</x:v>
      </x:c>
      <x:c r="H1850" s="78" t="n">
        <x:f>U1849</x:f>
        <x:v>38942826.40942385</x:v>
      </x:c>
      <x:c r="I1850" s="78" t="n">
        <x:f>V1849</x:f>
        <x:v>2955.752721250344</x:v>
      </x:c>
      <x:c r="J1850" s="79" t="n">
        <x:f>IF(H1850&gt;0,I1850/H1850,0)</x:f>
        <x:v>0.00007589979962355983</x:v>
      </x:c>
      <x:c r="K1850" s="80" t="n">
        <x:f>(H1850*J1850+I1850)*'Inputs'!$D$49*(1+'Inputs'!$G$49)^(B1850/30)</x:f>
        <x:v>4433.629081875516</x:v>
      </x:c>
      <x:c r="L1850" s="80" t="n">
        <x:f>MAX(0,K1850*'Inputs'!$E$49)</x:f>
        <x:v>0</x:v>
      </x:c>
      <x:c r="M1850" s="80" t="n">
        <x:f>MAX(0,-K1850*'Inputs'!$E$49)</x:f>
        <x:v>133.00887245626546</x:v>
      </x:c>
      <x:c r="N1850" s="78" t="n">
        <x:f>H1850*(L1850*(1-'Inputs'!$B$15))/(I1850+L1850*(1-'Inputs'!$B$15))</x:f>
        <x:v>0</x:v>
      </x:c>
      <x:c r="O1850" s="78" t="n">
        <x:f>H1850-N1850</x:f>
        <x:v>38942826.40942385</x:v>
      </x:c>
      <x:c r="P1850" s="78" t="n">
        <x:f>I1850+L1850*(1-'Inputs'!$B$17)</x:f>
        <x:v>2955.752721250344</x:v>
      </x:c>
      <x:c r="Q1850" s="78" t="n">
        <x:f>IF(J1850&gt;0,M1850/J1850,0)</x:f>
        <x:v>1752427.188424073</x:v>
      </x:c>
      <x:c r="R1850" s="78" t="n">
        <x:f>IF(B1850='Inputs'!$H$49,'Inputs'!$B$27*'Inputs'!$I$49,0)</x:f>
        <x:v>0</x:v>
      </x:c>
      <x:c r="S1850" s="78" t="n">
        <x:f>Q1850+G1850+R1850</x:f>
        <x:v>2219967.5135989916</x:v>
      </x:c>
      <x:c r="T1850" s="78" t="n">
        <x:f>P1850*(S1850*(1-'Inputs'!$B$15))/(O1850+S1850*(1-'Inputs'!$B$15))</x:f>
        <x:v>157.89898974410576</x:v>
      </x:c>
      <x:c r="U1850" s="78" t="n">
        <x:f>O1850+S1850*(1-'Inputs'!$B$17)</x:f>
        <x:v>41153860.45214317</x:v>
      </x:c>
      <x:c r="V1850" s="78" t="n">
        <x:f>P1850-T1850</x:f>
        <x:v>2797.8537315062385</x:v>
      </x:c>
      <x:c r="W1850" s="79" t="n">
        <x:f>IF(U1850&gt;0,V1850/U1850,0)</x:f>
        <x:v>0.00006798520723857231</x:v>
      </x:c>
      <x:c r="X1850" s="80" t="n">
        <x:f>W1850*('Inputs'!$B$6-AC1850)</x:f>
        <x:v>67877.3469803467</x:v>
      </x:c>
      <x:c r="Y1850" s="80" t="n">
        <x:f>2*V1850</x:f>
        <x:v>5595.707463012477</x:v>
      </x:c>
      <x:c r="Z1850" s="80" t="n">
        <x:f>K1850*'Inputs'!$B$16+(G1850+R1850)*J1850*'Inputs'!$B$16</x:f>
        <x:v>26.814691793233358</x:v>
      </x:c>
      <x:c r="AA1850" s="80" t="n">
        <x:f>K1850*(1+'Inputs'!$E$49)/2*'Inputs'!$B$17</x:f>
        <x:v>8.653159375089036</x:v>
      </x:c>
      <x:c r="AB1850" s="78" t="n">
        <x:f>(IF(J1850&gt;0,K1850*(1-'Inputs'!$E$49)/2/J1850,0)+G1850+R1850)*'Inputs'!$B$17</x:f>
        <x:v>122941.14175635752</x:v>
      </x:c>
      <x:c r="AC1850" s="78" t="n">
        <x:f>AC1849+AB1850</x:f>
        <x:v>1586525.4017260838</x:v>
      </x:c>
      <x:c r="AD1850" s="80" t="n">
        <x:f>Z1850/(1+'Inputs'!$C$49)</x:f>
        <x:v>6.7036729483083395</x:v>
      </x:c>
      <x:c r="AE1850" s="80" t="n">
        <x:f>Z1850-AD1850</x:f>
        <x:v>20.11101884492502</x:v>
      </x:c>
      <x:c r="AF1850" s="80" t="n">
        <x:f>D1850*W1850</x:f>
        <x:v>20.541142242148027</x:v>
      </x:c>
      <x:c r="AG1850" s="80" t="n">
        <x:f>C1850*W1850</x:f>
        <x:v>47.92933189834527</x:v>
      </x:c>
      <x:c r="AH1850" s="80" t="n">
        <x:f>2*'Inputs'!$B$8*'Inputs'!$C$49</x:f>
        <x:v>15000</x:v>
      </x:c>
      <x:c r="AI1850" s="81" t="n">
        <x:f>IF(AH1850&gt;0,(AE1850+AF1850)/AH1850*365,0)</x:f>
        <x:v>0.9892025864521108</x:v>
      </x:c>
      <x:c r="AJ1850" s="81" t="n">
        <x:f>IF('Inputs'!$B$49&gt;0,AG1850/('Inputs'!$B$19*'Inputs'!$B$49)*365,0)</x:f>
        <x:v>1.7494206142896023</x:v>
      </x:c>
      <x:c r="AK1850" s="81" t="n">
        <x:f>W1850/MAX($W$1829:W1850)-1</x:f>
        <x:v>-0.9124149939162834</x:v>
      </x:c>
      <x:c r="AL1850" s="83" t="n">
        <x:f>'Inputs'!$B$49</x:f>
        <x:v>1</x:v>
      </x:c>
      <x:c r="AM1850" s="83" t="n">
        <x:f>'Inputs'!$C$49</x:f>
        <x:v>3</x:v>
      </x:c>
      <x:c r="AN1850" s="83" t="n">
        <x:f>'Inputs'!$D$49</x:f>
        <x:v>0.75</x:v>
      </x:c>
      <x:c r="AO1850" s="81" t="n">
        <x:f>'Inputs'!$E$49</x:f>
        <x:v>-0.03</x:v>
      </x:c>
    </x:row>
    <x:row r="1851">
      <x:c r="A1851" s="59" t="str">
        <x:v>Mercenary LP</x:v>
      </x:c>
      <x:c r="B1851" s="59" t="n">
        <x:v>23</x:v>
      </x:c>
      <x:c r="C1851" s="78" t="n">
        <x:f>(('Inputs'!$B$29*(3*23*'Inputs'!$B$12-23^2)/(2*'Inputs'!$B$12^2))-('Inputs'!$B$29*(3*22*'Inputs'!$B$12-22^2)/(2*'Inputs'!$B$12^2)))*'Inputs'!$B$49</x:f>
        <x:v>704671.373616064</x:v>
      </x:c>
      <x:c r="D1851" s="78" t="n">
        <x:f>IF('Inputs'!$C$49&gt;0,('Inputs'!$B$30*(3*23*'Inputs'!$B$12-23^2)/(2*'Inputs'!$B$12^2))-('Inputs'!$B$30*(3*22*'Inputs'!$B$12-22^2)/(2*'Inputs'!$B$12^2)),0)</x:f>
        <x:v>302002.01726402715</x:v>
      </x:c>
      <x:c r="E1851" s="78" t="n">
        <x:f>C1851+D1851</x:f>
        <x:v>1006673.3908800911</x:v>
      </x:c>
      <x:c r="F1851" s="78" t="n">
        <x:f>'Inputs'!$B$13*E1851+(1-'Inputs'!$B$13)/'Inputs'!$B$14*SUM(E1829:E1851)</x:f>
        <x:v>533777.4106640219</x:v>
      </x:c>
      <x:c r="G1851" s="78" t="n">
        <x:f>F1851*'Inputs'!$F$49</x:f>
        <x:v>480399.6695976197</x:v>
      </x:c>
      <x:c r="H1851" s="78" t="n">
        <x:f>U1850</x:f>
        <x:v>41153860.45214317</x:v>
      </x:c>
      <x:c r="I1851" s="78" t="n">
        <x:f>V1850</x:f>
        <x:v>2797.8537315062385</x:v>
      </x:c>
      <x:c r="J1851" s="79" t="n">
        <x:f>IF(H1851&gt;0,I1851/H1851,0)</x:f>
        <x:v>0.00006798520723857231</x:v>
      </x:c>
      <x:c r="K1851" s="80" t="n">
        <x:f>(H1851*J1851+I1851)*'Inputs'!$D$49*(1+'Inputs'!$G$49)^(B1851/30)</x:f>
        <x:v>4196.780597259358</x:v>
      </x:c>
      <x:c r="L1851" s="80" t="n">
        <x:f>MAX(0,K1851*'Inputs'!$E$49)</x:f>
        <x:v>0</x:v>
      </x:c>
      <x:c r="M1851" s="80" t="n">
        <x:f>MAX(0,-K1851*'Inputs'!$E$49)</x:f>
        <x:v>125.90341791778073</x:v>
      </x:c>
      <x:c r="N1851" s="78" t="n">
        <x:f>H1851*(L1851*(1-'Inputs'!$B$15))/(I1851+L1851*(1-'Inputs'!$B$15))</x:f>
        <x:v>0</x:v>
      </x:c>
      <x:c r="O1851" s="78" t="n">
        <x:f>H1851-N1851</x:f>
        <x:v>41153860.45214317</x:v>
      </x:c>
      <x:c r="P1851" s="78" t="n">
        <x:f>I1851+L1851*(1-'Inputs'!$B$17)</x:f>
        <x:v>2797.8537315062385</x:v>
      </x:c>
      <x:c r="Q1851" s="78" t="n">
        <x:f>IF(J1851&gt;0,M1851/J1851,0)</x:f>
        <x:v>1851923.7203464424</x:v>
      </x:c>
      <x:c r="R1851" s="78" t="n">
        <x:f>IF(B1851='Inputs'!$H$49,'Inputs'!$B$27*'Inputs'!$I$49,0)</x:f>
        <x:v>0</x:v>
      </x:c>
      <x:c r="S1851" s="78" t="n">
        <x:f>Q1851+G1851+R1851</x:f>
        <x:v>2332323.389944062</x:v>
      </x:c>
      <x:c r="T1851" s="78" t="n">
        <x:f>P1851*(S1851*(1-'Inputs'!$B$15))/(O1851+S1851*(1-'Inputs'!$B$15))</x:f>
        <x:v>148.6382767318567</x:v>
      </x:c>
      <x:c r="U1851" s="78" t="n">
        <x:f>O1851+S1851*(1-'Inputs'!$B$17)</x:f>
        <x:v>43476798.23488424</x:v>
      </x:c>
      <x:c r="V1851" s="78" t="n">
        <x:f>P1851-T1851</x:f>
        <x:v>2649.2154547743817</x:v>
      </x:c>
      <x:c r="W1851" s="79" t="n">
        <x:f>IF(U1851&gt;0,V1851/U1851,0)</x:f>
        <x:v>0.00006093400531616758</x:v>
      </x:c>
      <x:c r="X1851" s="80" t="n">
        <x:f>W1851*('Inputs'!$B$6-AC1851)</x:f>
        <x:v>60829.41869967072</x:v>
      </x:c>
      <x:c r="Y1851" s="80" t="n">
        <x:f>2*V1851</x:f>
        <x:v>5298.430909548763</x:v>
      </x:c>
      <x:c r="Z1851" s="80" t="n">
        <x:f>K1851*'Inputs'!$B$16+(G1851+R1851)*J1851*'Inputs'!$B$16</x:f>
        <x:v>25.376644010125762</x:v>
      </x:c>
      <x:c r="AA1851" s="80" t="n">
        <x:f>K1851*(1+'Inputs'!$E$49)/2*'Inputs'!$B$17</x:f>
        <x:v>8.190899757226514</x:v>
      </x:c>
      <x:c r="AB1851" s="78" t="n">
        <x:f>(IF(J1851&gt;0,K1851*(1-'Inputs'!$E$49)/2/J1851,0)+G1851+R1851)*'Inputs'!$B$17</x:f>
        <x:v>129866.22482445963</x:v>
      </x:c>
      <x:c r="AC1851" s="78" t="n">
        <x:f>AC1850+AB1851</x:f>
        <x:v>1716391.6265505434</x:v>
      </x:c>
      <x:c r="AD1851" s="80" t="n">
        <x:f>Z1851/(1+'Inputs'!$C$49)</x:f>
        <x:v>6.3441610025314406</x:v>
      </x:c>
      <x:c r="AE1851" s="80" t="n">
        <x:f>Z1851-AD1851</x:f>
        <x:v>19.032483007594323</x:v>
      </x:c>
      <x:c r="AF1851" s="80" t="n">
        <x:f>D1851*W1851</x:f>
        <x:v>18.402192525459565</x:v>
      </x:c>
      <x:c r="AG1851" s="80" t="n">
        <x:f>C1851*W1851</x:f>
        <x:v>42.93844922607235</x:v>
      </x:c>
      <x:c r="AH1851" s="80" t="n">
        <x:f>2*'Inputs'!$B$8*'Inputs'!$C$49</x:f>
        <x:v>15000</x:v>
      </x:c>
      <x:c r="AI1851" s="81" t="n">
        <x:f>IF(AH1851&gt;0,(AE1851+AF1851)/AH1851*365,0)</x:f>
        <x:v>0.910910437970978</x:v>
      </x:c>
      <x:c r="AJ1851" s="81" t="n">
        <x:f>IF('Inputs'!$B$49&gt;0,AG1851/('Inputs'!$B$19*'Inputs'!$B$49)*365,0)</x:f>
        <x:v>1.5672533967516409</x:v>
      </x:c>
      <x:c r="AK1851" s="81" t="n">
        <x:f>W1851/MAX($W$1829:W1851)-1</x:f>
        <x:v>-0.9214990224624366</x:v>
      </x:c>
      <x:c r="AL1851" s="83" t="n">
        <x:f>'Inputs'!$B$49</x:f>
        <x:v>1</x:v>
      </x:c>
      <x:c r="AM1851" s="83" t="n">
        <x:f>'Inputs'!$C$49</x:f>
        <x:v>3</x:v>
      </x:c>
      <x:c r="AN1851" s="83" t="n">
        <x:f>'Inputs'!$D$49</x:f>
        <x:v>0.75</x:v>
      </x:c>
      <x:c r="AO1851" s="81" t="n">
        <x:f>'Inputs'!$E$49</x:f>
        <x:v>-0.03</x:v>
      </x:c>
    </x:row>
    <x:row r="1852">
      <x:c r="A1852" s="59" t="str">
        <x:v>Mercenary LP</x:v>
      </x:c>
      <x:c r="B1852" s="59" t="n">
        <x:v>24</x:v>
      </x:c>
      <x:c r="C1852" s="78" t="n">
        <x:f>(('Inputs'!$B$29*(3*24*'Inputs'!$B$12-24^2)/(2*'Inputs'!$B$12^2))-('Inputs'!$B$29*(3*23*'Inputs'!$B$12-23^2)/(2*'Inputs'!$B$12^2)))*'Inputs'!$B$49</x:f>
        <x:v>704346.2657158952</x:v>
      </x:c>
      <x:c r="D1852" s="78" t="n">
        <x:f>IF('Inputs'!$C$49&gt;0,('Inputs'!$B$30*(3*24*'Inputs'!$B$12-24^2)/(2*'Inputs'!$B$12^2))-('Inputs'!$B$30*(3*23*'Inputs'!$B$12-23^2)/(2*'Inputs'!$B$12^2)),0)</x:f>
        <x:v>301862.6853068117</x:v>
      </x:c>
      <x:c r="E1852" s="78" t="n">
        <x:f>C1852+D1852</x:f>
        <x:v>1006208.9510227069</x:v>
      </x:c>
      <x:c r="F1852" s="78" t="n">
        <x:f>'Inputs'!$B$13*E1852+(1-'Inputs'!$B$13)/'Inputs'!$B$14*SUM(E1829:E1852)</x:f>
        <x:v>548058.9362785837</x:v>
      </x:c>
      <x:c r="G1852" s="78" t="n">
        <x:f>F1852*'Inputs'!$F$49</x:f>
        <x:v>493253.04265072534</x:v>
      </x:c>
      <x:c r="H1852" s="78" t="n">
        <x:f>U1851</x:f>
        <x:v>43476798.23488424</x:v>
      </x:c>
      <x:c r="I1852" s="78" t="n">
        <x:f>V1851</x:f>
        <x:v>2649.2154547743817</x:v>
      </x:c>
      <x:c r="J1852" s="79" t="n">
        <x:f>IF(H1852&gt;0,I1852/H1852,0)</x:f>
        <x:v>0.00006093400531616758</x:v>
      </x:c>
      <x:c r="K1852" s="80" t="n">
        <x:f>(H1852*J1852+I1852)*'Inputs'!$D$49*(1+'Inputs'!$G$49)^(B1852/30)</x:f>
        <x:v>3973.8231821615727</x:v>
      </x:c>
      <x:c r="L1852" s="80" t="n">
        <x:f>MAX(0,K1852*'Inputs'!$E$49)</x:f>
        <x:v>0</x:v>
      </x:c>
      <x:c r="M1852" s="80" t="n">
        <x:f>MAX(0,-K1852*'Inputs'!$E$49)</x:f>
        <x:v>119.21469546484718</x:v>
      </x:c>
      <x:c r="N1852" s="78" t="n">
        <x:f>H1852*(L1852*(1-'Inputs'!$B$15))/(I1852+L1852*(1-'Inputs'!$B$15))</x:f>
        <x:v>0</x:v>
      </x:c>
      <x:c r="O1852" s="78" t="n">
        <x:f>H1852-N1852</x:f>
        <x:v>43476798.23488424</x:v>
      </x:c>
      <x:c r="P1852" s="78" t="n">
        <x:f>I1852+L1852*(1-'Inputs'!$B$17)</x:f>
        <x:v>2649.2154547743817</x:v>
      </x:c>
      <x:c r="Q1852" s="78" t="n">
        <x:f>IF(J1852&gt;0,M1852/J1852,0)</x:f>
        <x:v>1956455.920569791</x:v>
      </x:c>
      <x:c r="R1852" s="78" t="n">
        <x:f>IF(B1852='Inputs'!$H$49,'Inputs'!$B$27*'Inputs'!$I$49,0)</x:f>
        <x:v>0</x:v>
      </x:c>
      <x:c r="S1852" s="78" t="n">
        <x:f>Q1852+G1852+R1852</x:f>
        <x:v>2449708.963220516</x:v>
      </x:c>
      <x:c r="T1852" s="78" t="n">
        <x:f>P1852*(S1852*(1-'Inputs'!$B$15))/(O1852+S1852*(1-'Inputs'!$B$15))</x:f>
        <x:v>139.97009632975931</x:v>
      </x:c>
      <x:c r="U1852" s="78" t="n">
        <x:f>O1852+S1852*(1-'Inputs'!$B$17)</x:f>
        <x:v>45916649.214349344</x:v>
      </x:c>
      <x:c r="V1852" s="78" t="n">
        <x:f>P1852-T1852</x:f>
        <x:v>2509.2453584446225</x:v>
      </x:c>
      <x:c r="W1852" s="79" t="n">
        <x:f>IF(U1852&gt;0,V1852/U1852,0)</x:f>
        <x:v>0.00005464783257007487</x:v>
      </x:c>
      <x:c r="X1852" s="80" t="n">
        <x:f>W1852*('Inputs'!$B$6-AC1852)</x:f>
        <x:v>54546.54113033563</x:v>
      </x:c>
      <x:c r="Y1852" s="80" t="n">
        <x:f>2*V1852</x:f>
        <x:v>5018.490716889245</x:v>
      </x:c>
      <x:c r="Z1852" s="80" t="n">
        <x:f>K1852*'Inputs'!$B$16+(G1852+R1852)*J1852*'Inputs'!$B$16</x:f>
        <x:v>24.023274394108007</x:v>
      </x:c>
      <x:c r="AA1852" s="80" t="n">
        <x:f>K1852*(1+'Inputs'!$E$49)/2*'Inputs'!$B$17</x:f>
        <x:v>7.755751482287175</x:v>
      </x:c>
      <x:c r="AB1852" s="78" t="n">
        <x:f>(IF(J1852&gt;0,K1852*(1-'Inputs'!$E$49)/2/J1852,0)+G1852+R1852)*'Inputs'!$B$17</x:f>
        <x:v>137139.15363822455</x:v>
      </x:c>
      <x:c r="AC1852" s="78" t="n">
        <x:f>AC1851+AB1852</x:f>
        <x:v>1853530.780188768</x:v>
      </x:c>
      <x:c r="AD1852" s="80" t="n">
        <x:f>Z1852/(1+'Inputs'!$C$49)</x:f>
        <x:v>6.005818598527002</x:v>
      </x:c>
      <x:c r="AE1852" s="80" t="n">
        <x:f>Z1852-AD1852</x:f>
        <x:v>18.017455795581007</x:v>
      </x:c>
      <x:c r="AF1852" s="80" t="n">
        <x:f>D1852*W1852</x:f>
        <x:v>16.496141485799846</x:v>
      </x:c>
      <x:c r="AG1852" s="80" t="n">
        <x:f>C1852*W1852</x:f>
        <x:v>38.4909968001997</x:v>
      </x:c>
      <x:c r="AH1852" s="80" t="n">
        <x:f>2*'Inputs'!$B$8*'Inputs'!$C$49</x:f>
        <x:v>15000</x:v>
      </x:c>
      <x:c r="AI1852" s="81" t="n">
        <x:f>IF(AH1852&gt;0,(AE1852+AF1852)/AH1852*365,0)</x:f>
        <x:v>0.8398308671802674</x:v>
      </x:c>
      <x:c r="AJ1852" s="81" t="n">
        <x:f>IF('Inputs'!$B$49&gt;0,AG1852/('Inputs'!$B$19*'Inputs'!$B$49)*365,0)</x:f>
        <x:v>1.404921383207289</x:v>
      </x:c>
      <x:c r="AK1852" s="81" t="n">
        <x:f>W1852/MAX($W$1829:W1852)-1</x:f>
        <x:v>-0.9295974677062345</x:v>
      </x:c>
      <x:c r="AL1852" s="83" t="n">
        <x:f>'Inputs'!$B$49</x:f>
        <x:v>1</x:v>
      </x:c>
      <x:c r="AM1852" s="83" t="n">
        <x:f>'Inputs'!$C$49</x:f>
        <x:v>3</x:v>
      </x:c>
      <x:c r="AN1852" s="83" t="n">
        <x:f>'Inputs'!$D$49</x:f>
        <x:v>0.75</x:v>
      </x:c>
      <x:c r="AO1852" s="81" t="n">
        <x:f>'Inputs'!$E$49</x:f>
        <x:v>-0.03</x:v>
      </x:c>
    </x:row>
    <x:row r="1853">
      <x:c r="A1853" s="59" t="str">
        <x:v>Mercenary LP</x:v>
      </x:c>
      <x:c r="B1853" s="59" t="n">
        <x:v>25</x:v>
      </x:c>
      <x:c r="C1853" s="78" t="n">
        <x:f>(('Inputs'!$B$29*(3*25*'Inputs'!$B$12-25^2)/(2*'Inputs'!$B$12^2))-('Inputs'!$B$29*(3*24*'Inputs'!$B$12-24^2)/(2*'Inputs'!$B$12^2)))*'Inputs'!$B$49</x:f>
        <x:v>704021.1578157246</x:v>
      </x:c>
      <x:c r="D1853" s="78" t="n">
        <x:f>IF('Inputs'!$C$49&gt;0,('Inputs'!$B$30*(3*25*'Inputs'!$B$12-25^2)/(2*'Inputs'!$B$12^2))-('Inputs'!$B$30*(3*24*'Inputs'!$B$12-24^2)/(2*'Inputs'!$B$12^2)),0)</x:f>
        <x:v>301723.35334959626</x:v>
      </x:c>
      <x:c r="E1853" s="78" t="n">
        <x:f>C1853+D1853</x:f>
        <x:v>1005744.5111653209</x:v>
      </x:c>
      <x:c r="F1853" s="78" t="n">
        <x:f>'Inputs'!$B$13*E1853+(1-'Inputs'!$B$13)/'Inputs'!$B$14*SUM(E1829:E1853)</x:f>
        <x:v>562333.8270380397</x:v>
      </x:c>
      <x:c r="G1853" s="78" t="n">
        <x:f>F1853*'Inputs'!$F$49</x:f>
        <x:v>506100.44433423574</x:v>
      </x:c>
      <x:c r="H1853" s="78" t="n">
        <x:f>U1852</x:f>
        <x:v>45916649.214349344</x:v>
      </x:c>
      <x:c r="I1853" s="78" t="n">
        <x:f>V1852</x:f>
        <x:v>2509.2453584446225</x:v>
      </x:c>
      <x:c r="J1853" s="79" t="n">
        <x:f>IF(H1853&gt;0,I1853/H1853,0)</x:f>
        <x:v>0.00005464783257007487</x:v>
      </x:c>
      <x:c r="K1853" s="80" t="n">
        <x:f>(H1853*J1853+I1853)*'Inputs'!$D$49*(1+'Inputs'!$G$49)^(B1853/30)</x:f>
        <x:v>3763.8680376669336</x:v>
      </x:c>
      <x:c r="L1853" s="80" t="n">
        <x:f>MAX(0,K1853*'Inputs'!$E$49)</x:f>
        <x:v>0</x:v>
      </x:c>
      <x:c r="M1853" s="80" t="n">
        <x:f>MAX(0,-K1853*'Inputs'!$E$49)</x:f>
        <x:v>112.916041130008</x:v>
      </x:c>
      <x:c r="N1853" s="78" t="n">
        <x:f>H1853*(L1853*(1-'Inputs'!$B$15))/(I1853+L1853*(1-'Inputs'!$B$15))</x:f>
        <x:v>0</x:v>
      </x:c>
      <x:c r="O1853" s="78" t="n">
        <x:f>H1853-N1853</x:f>
        <x:v>45916649.214349344</x:v>
      </x:c>
      <x:c r="P1853" s="78" t="n">
        <x:f>I1853+L1853*(1-'Inputs'!$B$17)</x:f>
        <x:v>2509.2453584446225</x:v>
      </x:c>
      <x:c r="Q1853" s="78" t="n">
        <x:f>IF(J1853&gt;0,M1853/J1853,0)</x:f>
        <x:v>2066249.21464572</x:v>
      </x:c>
      <x:c r="R1853" s="78" t="n">
        <x:f>IF(B1853='Inputs'!$H$49,'Inputs'!$B$27*'Inputs'!$I$49,0)</x:f>
        <x:v>0</x:v>
      </x:c>
      <x:c r="S1853" s="78" t="n">
        <x:f>Q1853+G1853+R1853</x:f>
        <x:v>2572349.658979956</x:v>
      </x:c>
      <x:c r="T1853" s="78" t="n">
        <x:f>P1853*(S1853*(1-'Inputs'!$B$15))/(O1853+S1853*(1-'Inputs'!$B$15))</x:f>
        <x:v>131.85468435627337</x:v>
      </x:c>
      <x:c r="U1853" s="78" t="n">
        <x:f>O1853+S1853*(1-'Inputs'!$B$17)</x:f>
        <x:v>48478647.365647286</x:v>
      </x:c>
      <x:c r="V1853" s="78" t="n">
        <x:f>P1853-T1853</x:f>
        <x:v>2377.390674088349</x:v>
      </x:c>
      <x:c r="W1853" s="79" t="n">
        <x:f>IF(U1853&gt;0,V1853/U1853,0)</x:f>
        <x:v>0.00004903995476930333</x:v>
      </x:c>
      <x:c r="X1853" s="80" t="n">
        <x:f>W1853*('Inputs'!$B$6-AC1853)</x:f>
        <x:v>48941.957919665736</x:v>
      </x:c>
      <x:c r="Y1853" s="80" t="n">
        <x:f>2*V1853</x:f>
        <x:v>4754.781348176698</x:v>
      </x:c>
      <x:c r="Z1853" s="80" t="n">
        <x:f>K1853*'Inputs'!$B$16+(G1853+R1853)*J1853*'Inputs'!$B$16</x:f>
        <x:v>22.749151980075307</x:v>
      </x:c>
      <x:c r="AA1853" s="80" t="n">
        <x:f>K1853*(1+'Inputs'!$E$49)/2*'Inputs'!$B$17</x:f>
        <x:v>7.345979872307698</x:v>
      </x:c>
      <x:c r="AB1853" s="78" t="n">
        <x:f>(IF(J1853&gt;0,K1853*(1-'Inputs'!$E$49)/2/J1853,0)+G1853+R1853)*'Inputs'!$B$17</x:f>
        <x:v>144775.5008548053</x:v>
      </x:c>
      <x:c r="AC1853" s="78" t="n">
        <x:f>AC1852+AB1853</x:f>
        <x:v>1998306.2810435733</x:v>
      </x:c>
      <x:c r="AD1853" s="80" t="n">
        <x:f>Z1853/(1+'Inputs'!$C$49)</x:f>
        <x:v>5.687287995018827</x:v>
      </x:c>
      <x:c r="AE1853" s="80" t="n">
        <x:f>Z1853-AD1853</x:f>
        <x:v>17.06186398505648</x:v>
      </x:c>
      <x:c r="AF1853" s="80" t="n">
        <x:f>D1853*W1853</x:f>
        <x:v>14.796499601106726</x:v>
      </x:c>
      <x:c r="AG1853" s="80" t="n">
        <x:f>C1853*W1853</x:f>
        <x:v>34.52516573591569</x:v>
      </x:c>
      <x:c r="AH1853" s="80" t="n">
        <x:f>2*'Inputs'!$B$8*'Inputs'!$C$49</x:f>
        <x:v>15000</x:v>
      </x:c>
      <x:c r="AI1853" s="81" t="n">
        <x:f>IF(AH1853&gt;0,(AE1853+AF1853)/AH1853*365,0)</x:f>
        <x:v>0.775220180596638</x:v>
      </x:c>
      <x:c r="AJ1853" s="81" t="n">
        <x:f>IF('Inputs'!$B$49&gt;0,AG1853/('Inputs'!$B$19*'Inputs'!$B$49)*365,0)</x:f>
        <x:v>1.2601685493609227</x:v>
      </x:c>
      <x:c r="AK1853" s="81" t="n">
        <x:f>W1853/MAX($W$1829:W1853)-1</x:f>
        <x:v>-0.9368220689282875</x:v>
      </x:c>
      <x:c r="AL1853" s="83" t="n">
        <x:f>'Inputs'!$B$49</x:f>
        <x:v>1</x:v>
      </x:c>
      <x:c r="AM1853" s="83" t="n">
        <x:f>'Inputs'!$C$49</x:f>
        <x:v>3</x:v>
      </x:c>
      <x:c r="AN1853" s="83" t="n">
        <x:f>'Inputs'!$D$49</x:f>
        <x:v>0.75</x:v>
      </x:c>
      <x:c r="AO1853" s="81" t="n">
        <x:f>'Inputs'!$E$49</x:f>
        <x:v>-0.03</x:v>
      </x:c>
    </x:row>
    <x:row r="1854">
      <x:c r="A1854" s="59" t="str">
        <x:v>Mercenary LP</x:v>
      </x:c>
      <x:c r="B1854" s="59" t="n">
        <x:v>26</x:v>
      </x:c>
      <x:c r="C1854" s="78" t="n">
        <x:f>(('Inputs'!$B$29*(3*26*'Inputs'!$B$12-26^2)/(2*'Inputs'!$B$12^2))-('Inputs'!$B$29*(3*25*'Inputs'!$B$12-25^2)/(2*'Inputs'!$B$12^2)))*'Inputs'!$B$49</x:f>
        <x:v>703696.0499155559</x:v>
      </x:c>
      <x:c r="D1854" s="78" t="n">
        <x:f>IF('Inputs'!$C$49&gt;0,('Inputs'!$B$30*(3*26*'Inputs'!$B$12-26^2)/(2*'Inputs'!$B$12^2))-('Inputs'!$B$30*(3*25*'Inputs'!$B$12-25^2)/(2*'Inputs'!$B$12^2)),0)</x:f>
        <x:v>301584.02139238175</x:v>
      </x:c>
      <x:c r="E1854" s="78" t="n">
        <x:f>C1854+D1854</x:f>
        <x:v>1005280.0713079376</x:v>
      </x:c>
      <x:c r="F1854" s="78" t="n">
        <x:f>'Inputs'!$B$13*E1854+(1-'Inputs'!$B$13)/'Inputs'!$B$14*SUM(E1829:E1854)</x:f>
        <x:v>576602.0829423906</x:v>
      </x:c>
      <x:c r="G1854" s="78" t="n">
        <x:f>F1854*'Inputs'!$F$49</x:f>
        <x:v>518941.8746481515</x:v>
      </x:c>
      <x:c r="H1854" s="78" t="n">
        <x:f>U1853</x:f>
        <x:v>48478647.365647286</x:v>
      </x:c>
      <x:c r="I1854" s="78" t="n">
        <x:f>V1853</x:f>
        <x:v>2377.390674088349</x:v>
      </x:c>
      <x:c r="J1854" s="79" t="n">
        <x:f>IF(H1854&gt;0,I1854/H1854,0)</x:f>
        <x:v>0.00004903995476930333</x:v>
      </x:c>
      <x:c r="K1854" s="80" t="n">
        <x:f>(H1854*J1854+I1854)*'Inputs'!$D$49*(1+'Inputs'!$G$49)^(B1854/30)</x:f>
        <x:v>3566.0860111325237</x:v>
      </x:c>
      <x:c r="L1854" s="80" t="n">
        <x:f>MAX(0,K1854*'Inputs'!$E$49)</x:f>
        <x:v>0</x:v>
      </x:c>
      <x:c r="M1854" s="80" t="n">
        <x:f>MAX(0,-K1854*'Inputs'!$E$49)</x:f>
        <x:v>106.9825803339757</x:v>
      </x:c>
      <x:c r="N1854" s="78" t="n">
        <x:f>H1854*(L1854*(1-'Inputs'!$B$15))/(I1854+L1854*(1-'Inputs'!$B$15))</x:f>
        <x:v>0</x:v>
      </x:c>
      <x:c r="O1854" s="78" t="n">
        <x:f>H1854-N1854</x:f>
        <x:v>48478647.365647286</x:v>
      </x:c>
      <x:c r="P1854" s="78" t="n">
        <x:f>I1854+L1854*(1-'Inputs'!$B$17)</x:f>
        <x:v>2377.390674088349</x:v>
      </x:c>
      <x:c r="Q1854" s="78" t="n">
        <x:f>IF(J1854&gt;0,M1854/J1854,0)</x:f>
        <x:v>2181539.131454128</x:v>
      </x:c>
      <x:c r="R1854" s="78" t="n">
        <x:f>IF(B1854='Inputs'!$H$49,'Inputs'!$B$27*'Inputs'!$I$49,0)</x:f>
        <x:v>0</x:v>
      </x:c>
      <x:c r="S1854" s="78" t="n">
        <x:f>Q1854+G1854+R1854</x:f>
        <x:v>2700481.0061022793</x:v>
      </x:c>
      <x:c r="T1854" s="78" t="n">
        <x:f>P1854*(S1854*(1-'Inputs'!$B$15))/(O1854+S1854*(1-'Inputs'!$B$15))</x:f>
        <x:v>124.25480964051434</x:v>
      </x:c>
      <x:c r="U1854" s="78" t="n">
        <x:f>O1854+S1854*(1-'Inputs'!$B$17)</x:f>
        <x:v>51168261.24496444</x:v>
      </x:c>
      <x:c r="V1854" s="78" t="n">
        <x:f>P1854-T1854</x:f>
        <x:v>2253.1358644478346</x:v>
      </x:c>
      <x:c r="W1854" s="79" t="n">
        <x:f>IF(U1854&gt;0,V1854/U1854,0)</x:f>
        <x:v>0.000044033856332563375</x:v>
      </x:c>
      <x:c r="X1854" s="80" t="n">
        <x:f>W1854*('Inputs'!$B$6-AC1854)</x:f>
        <x:v>43939.13520028279</x:v>
      </x:c>
      <x:c r="Y1854" s="80" t="n">
        <x:f>2*V1854</x:f>
        <x:v>4506.271728895669</x:v>
      </x:c>
      <x:c r="Z1854" s="80" t="n">
        <x:f>K1854*'Inputs'!$B$16+(G1854+R1854)*J1854*'Inputs'!$B$16</x:f>
        <x:v>21.549209383159</x:v>
      </x:c>
      <x:c r="AA1854" s="80" t="n">
        <x:f>K1854*(1+'Inputs'!$E$49)/2*'Inputs'!$B$17</x:f>
        <x:v>6.9599666615664955</x:v>
      </x:c>
      <x:c r="AB1854" s="78" t="n">
        <x:f>(IF(J1854&gt;0,K1854*(1-'Inputs'!$E$49)/2/J1854,0)+G1854+R1854)*'Inputs'!$B$17</x:f>
        <x:v>152791.53708092833</x:v>
      </x:c>
      <x:c r="AC1854" s="78" t="n">
        <x:f>AC1853+AB1854</x:f>
        <x:v>2151097.8181245015</x:v>
      </x:c>
      <x:c r="AD1854" s="80" t="n">
        <x:f>Z1854/(1+'Inputs'!$C$49)</x:f>
        <x:v>5.38730234578975</x:v>
      </x:c>
      <x:c r="AE1854" s="80" t="n">
        <x:f>Z1854-AD1854</x:f>
        <x:v>16.16190703736925</x:v>
      </x:c>
      <x:c r="AF1854" s="80" t="n">
        <x:f>D1854*W1854</x:f>
        <x:v>13.279907470188858</x:v>
      </x:c>
      <x:c r="AG1854" s="80" t="n">
        <x:f>C1854*W1854</x:f>
        <x:v>30.98645076377393</x:v>
      </x:c>
      <x:c r="AH1854" s="80" t="n">
        <x:f>2*'Inputs'!$B$8*'Inputs'!$C$49</x:f>
        <x:v>15000</x:v>
      </x:c>
      <x:c r="AI1854" s="81" t="n">
        <x:f>IF(AH1854&gt;0,(AE1854+AF1854)/AH1854*365,0)</x:f>
        <x:v>0.7164174863505807</x:v>
      </x:c>
      <x:c r="AJ1854" s="81" t="n">
        <x:f>IF('Inputs'!$B$49&gt;0,AG1854/('Inputs'!$B$19*'Inputs'!$B$49)*365,0)</x:f>
        <x:v>1.1310054528777485</x:v>
      </x:c>
      <x:c r="AK1854" s="81" t="n">
        <x:f>W1854/MAX($W$1829:W1854)-1</x:f>
        <x:v>-0.9432714007733596</x:v>
      </x:c>
      <x:c r="AL1854" s="83" t="n">
        <x:f>'Inputs'!$B$49</x:f>
        <x:v>1</x:v>
      </x:c>
      <x:c r="AM1854" s="83" t="n">
        <x:f>'Inputs'!$C$49</x:f>
        <x:v>3</x:v>
      </x:c>
      <x:c r="AN1854" s="83" t="n">
        <x:f>'Inputs'!$D$49</x:f>
        <x:v>0.75</x:v>
      </x:c>
      <x:c r="AO1854" s="81" t="n">
        <x:f>'Inputs'!$E$49</x:f>
        <x:v>-0.03</x:v>
      </x:c>
    </x:row>
    <x:row r="1855">
      <x:c r="A1855" s="59" t="str">
        <x:v>Mercenary LP</x:v>
      </x:c>
      <x:c r="B1855" s="59" t="n">
        <x:v>27</x:v>
      </x:c>
      <x:c r="C1855" s="78" t="n">
        <x:f>(('Inputs'!$B$29*(3*27*'Inputs'!$B$12-27^2)/(2*'Inputs'!$B$12^2))-('Inputs'!$B$29*(3*26*'Inputs'!$B$12-26^2)/(2*'Inputs'!$B$12^2)))*'Inputs'!$B$49</x:f>
        <x:v>703370.9420153871</x:v>
      </x:c>
      <x:c r="D1855" s="78" t="n">
        <x:f>IF('Inputs'!$C$49&gt;0,('Inputs'!$B$30*(3*27*'Inputs'!$B$12-27^2)/(2*'Inputs'!$B$12^2))-('Inputs'!$B$30*(3*26*'Inputs'!$B$12-26^2)/(2*'Inputs'!$B$12^2)),0)</x:f>
        <x:v>301444.6894351663</x:v>
      </x:c>
      <x:c r="E1855" s="78" t="n">
        <x:f>C1855+D1855</x:f>
        <x:v>1004815.6314505534</x:v>
      </x:c>
      <x:c r="F1855" s="78" t="n">
        <x:f>'Inputs'!$B$13*E1855+(1-'Inputs'!$B$13)/'Inputs'!$B$14*SUM(E1829:E1855)</x:f>
        <x:v>590863.7039916359</x:v>
      </x:c>
      <x:c r="G1855" s="78" t="n">
        <x:f>F1855*'Inputs'!$F$49</x:f>
        <x:v>531777.3335924724</x:v>
      </x:c>
      <x:c r="H1855" s="78" t="n">
        <x:f>U1854</x:f>
        <x:v>51168261.24496444</x:v>
      </x:c>
      <x:c r="I1855" s="78" t="n">
        <x:f>V1854</x:f>
        <x:v>2253.1358644478346</x:v>
      </x:c>
      <x:c r="J1855" s="79" t="n">
        <x:f>IF(H1855&gt;0,I1855/H1855,0)</x:f>
        <x:v>0.000044033856332563375</x:v>
      </x:c>
      <x:c r="K1855" s="80" t="n">
        <x:f>(H1855*J1855+I1855)*'Inputs'!$D$49*(1+'Inputs'!$G$49)^(B1855/30)</x:f>
        <x:v>3379.7037966717517</x:v>
      </x:c>
      <x:c r="L1855" s="80" t="n">
        <x:f>MAX(0,K1855*'Inputs'!$E$49)</x:f>
        <x:v>0</x:v>
      </x:c>
      <x:c r="M1855" s="80" t="n">
        <x:f>MAX(0,-K1855*'Inputs'!$E$49)</x:f>
        <x:v>101.39111390015255</x:v>
      </x:c>
      <x:c r="N1855" s="78" t="n">
        <x:f>H1855*(L1855*(1-'Inputs'!$B$15))/(I1855+L1855*(1-'Inputs'!$B$15))</x:f>
        <x:v>0</x:v>
      </x:c>
      <x:c r="O1855" s="78" t="n">
        <x:f>H1855-N1855</x:f>
        <x:v>51168261.24496444</x:v>
      </x:c>
      <x:c r="P1855" s="78" t="n">
        <x:f>I1855+L1855*(1-'Inputs'!$B$17)</x:f>
        <x:v>2253.1358644478346</x:v>
      </x:c>
      <x:c r="Q1855" s="78" t="n">
        <x:f>IF(J1855&gt;0,M1855/J1855,0)</x:f>
        <x:v>2302571.7560233995</x:v>
      </x:c>
      <x:c r="R1855" s="78" t="n">
        <x:f>IF(B1855='Inputs'!$H$49,'Inputs'!$B$27*'Inputs'!$I$49,0)</x:f>
        <x:v>0</x:v>
      </x:c>
      <x:c r="S1855" s="78" t="n">
        <x:f>Q1855+G1855+R1855</x:f>
        <x:v>2834349.089615872</x:v>
      </x:c>
      <x:c r="T1855" s="78" t="n">
        <x:f>P1855*(S1855*(1-'Inputs'!$B$15))/(O1855+S1855*(1-'Inputs'!$B$15))</x:f>
        <x:v>117.13566890360856</x:v>
      </x:c>
      <x:c r="U1855" s="78" t="n">
        <x:f>O1855+S1855*(1-'Inputs'!$B$17)</x:f>
        <x:v>53991204.503233775</x:v>
      </x:c>
      <x:c r="V1855" s="78" t="n">
        <x:f>P1855-T1855</x:f>
        <x:v>2136.0001955442262</x:v>
      </x:c>
      <x:c r="W1855" s="79" t="n">
        <x:f>IF(U1855&gt;0,V1855/U1855,0)</x:f>
        <x:v>0.00003956200301877488</x:v>
      </x:c>
      <x:c r="X1855" s="80" t="n">
        <x:f>W1855*('Inputs'!$B$6-AC1855)</x:f>
        <x:v>39470.52371689457</x:v>
      </x:c>
      <x:c r="Y1855" s="80" t="n">
        <x:f>2*V1855</x:f>
        <x:v>4272.0003910884525</x:v>
      </x:c>
      <x:c r="Z1855" s="80" t="n">
        <x:f>K1855*'Inputs'!$B$16+(G1855+R1855)*J1855*'Inputs'!$B$16</x:f>
        <x:v>20.418720020280457</x:v>
      </x:c>
      <x:c r="AA1855" s="80" t="n">
        <x:f>K1855*(1+'Inputs'!$E$49)/2*'Inputs'!$B$17</x:f>
        <x:v>6.596202581029375</x:v>
      </x:c>
      <x:c r="AB1855" s="78" t="n">
        <x:f>(IF(J1855&gt;0,K1855*(1-'Inputs'!$E$49)/2/J1855,0)+G1855+R1855)*'Inputs'!$B$17</x:f>
        <x:v>161204.26215423542</x:v>
      </x:c>
      <x:c r="AC1855" s="78" t="n">
        <x:f>AC1854+AB1855</x:f>
        <x:v>2312302.080278737</x:v>
      </x:c>
      <x:c r="AD1855" s="80" t="n">
        <x:f>Z1855/(1+'Inputs'!$C$49)</x:f>
        <x:v>5.104680005070114</x:v>
      </x:c>
      <x:c r="AE1855" s="80" t="n">
        <x:f>Z1855-AD1855</x:f>
        <x:v>15.314040015210342</x:v>
      </x:c>
      <x:c r="AF1855" s="80" t="n">
        <x:f>D1855*W1855</x:f>
        <x:v>11.925755713427705</x:v>
      </x:c>
      <x:c r="AG1855" s="80" t="n">
        <x:f>C1855*W1855</x:f>
        <x:v>27.826763331331275</x:v>
      </x:c>
      <x:c r="AH1855" s="80" t="n">
        <x:f>2*'Inputs'!$B$8*'Inputs'!$C$49</x:f>
        <x:v>15000</x:v>
      </x:c>
      <x:c r="AI1855" s="81" t="n">
        <x:f>IF(AH1855&gt;0,(AE1855+AF1855)/AH1855*365,0)</x:f>
        <x:v>0.6628350293968591</x:v>
      </x:c>
      <x:c r="AJ1855" s="81" t="n">
        <x:f>IF('Inputs'!$B$49&gt;0,AG1855/('Inputs'!$B$19*'Inputs'!$B$49)*365,0)</x:f>
        <x:v>1.0156768615935916</x:v>
      </x:c>
      <x:c r="AK1855" s="81" t="n">
        <x:f>W1855/MAX($W$1829:W1855)-1</x:f>
        <x:v>-0.9490324672700641</x:v>
      </x:c>
      <x:c r="AL1855" s="83" t="n">
        <x:f>'Inputs'!$B$49</x:f>
        <x:v>1</x:v>
      </x:c>
      <x:c r="AM1855" s="83" t="n">
        <x:f>'Inputs'!$C$49</x:f>
        <x:v>3</x:v>
      </x:c>
      <x:c r="AN1855" s="83" t="n">
        <x:f>'Inputs'!$D$49</x:f>
        <x:v>0.75</x:v>
      </x:c>
      <x:c r="AO1855" s="81" t="n">
        <x:f>'Inputs'!$E$49</x:f>
        <x:v>-0.03</x:v>
      </x:c>
    </x:row>
    <x:row r="1856">
      <x:c r="A1856" s="59" t="str">
        <x:v>Mercenary LP</x:v>
      </x:c>
      <x:c r="B1856" s="59" t="n">
        <x:v>28</x:v>
      </x:c>
      <x:c r="C1856" s="78" t="n">
        <x:f>(('Inputs'!$B$29*(3*28*'Inputs'!$B$12-28^2)/(2*'Inputs'!$B$12^2))-('Inputs'!$B$29*(3*27*'Inputs'!$B$12-27^2)/(2*'Inputs'!$B$12^2)))*'Inputs'!$B$49</x:f>
        <x:v>703045.8341152184</x:v>
      </x:c>
      <x:c r="D1856" s="78" t="n">
        <x:f>IF('Inputs'!$C$49&gt;0,('Inputs'!$B$30*(3*28*'Inputs'!$B$12-28^2)/(2*'Inputs'!$B$12^2))-('Inputs'!$B$30*(3*27*'Inputs'!$B$12-27^2)/(2*'Inputs'!$B$12^2)),0)</x:f>
        <x:v>301305.35747795086</x:v>
      </x:c>
      <x:c r="E1856" s="78" t="n">
        <x:f>C1856+D1856</x:f>
        <x:v>1004351.1915931692</x:v>
      </x:c>
      <x:c r="F1856" s="78" t="n">
        <x:f>'Inputs'!$B$13*E1856+(1-'Inputs'!$B$13)/'Inputs'!$B$14*SUM(E1829:E1856)</x:f>
        <x:v>605118.690185776</x:v>
      </x:c>
      <x:c r="G1856" s="78" t="n">
        <x:f>F1856*'Inputs'!$F$49</x:f>
        <x:v>544606.8211671984</x:v>
      </x:c>
      <x:c r="H1856" s="78" t="n">
        <x:f>U1855</x:f>
        <x:v>53991204.503233775</x:v>
      </x:c>
      <x:c r="I1856" s="78" t="n">
        <x:f>V1855</x:f>
        <x:v>2136.0001955442262</x:v>
      </x:c>
      <x:c r="J1856" s="79" t="n">
        <x:f>IF(H1856&gt;0,I1856/H1856,0)</x:f>
        <x:v>0.00003956200301877488</x:v>
      </x:c>
      <x:c r="K1856" s="80" t="n">
        <x:f>(H1856*J1856+I1856)*'Inputs'!$D$49*(1+'Inputs'!$G$49)^(B1856/30)</x:f>
        <x:v>3204.0002933163396</x:v>
      </x:c>
      <x:c r="L1856" s="80" t="n">
        <x:f>MAX(0,K1856*'Inputs'!$E$49)</x:f>
        <x:v>0</x:v>
      </x:c>
      <x:c r="M1856" s="80" t="n">
        <x:f>MAX(0,-K1856*'Inputs'!$E$49)</x:f>
        <x:v>96.12000879949018</x:v>
      </x:c>
      <x:c r="N1856" s="78" t="n">
        <x:f>H1856*(L1856*(1-'Inputs'!$B$15))/(I1856+L1856*(1-'Inputs'!$B$15))</x:f>
        <x:v>0</x:v>
      </x:c>
      <x:c r="O1856" s="78" t="n">
        <x:f>H1856-N1856</x:f>
        <x:v>53991204.503233775</x:v>
      </x:c>
      <x:c r="P1856" s="78" t="n">
        <x:f>I1856+L1856*(1-'Inputs'!$B$17)</x:f>
        <x:v>2136.0001955442262</x:v>
      </x:c>
      <x:c r="Q1856" s="78" t="n">
        <x:f>IF(J1856&gt;0,M1856/J1856,0)</x:f>
        <x:v>2429604.2026455197</x:v>
      </x:c>
      <x:c r="R1856" s="78" t="n">
        <x:f>IF(B1856='Inputs'!$H$49,'Inputs'!$B$27*'Inputs'!$I$49,0)</x:f>
        <x:v>0</x:v>
      </x:c>
      <x:c r="S1856" s="78" t="n">
        <x:f>Q1856+G1856+R1856</x:f>
        <x:v>2974211.023812718</x:v>
      </x:c>
      <x:c r="T1856" s="78" t="n">
        <x:f>P1856*(S1856*(1-'Inputs'!$B$15))/(O1856+S1856*(1-'Inputs'!$B$15))</x:f>
        <x:v>110.46477186853626</x:v>
      </x:c>
      <x:c r="U1856" s="78" t="n">
        <x:f>O1856+S1856*(1-'Inputs'!$B$17)</x:f>
        <x:v>56953446.87101506</x:v>
      </x:c>
      <x:c r="V1856" s="78" t="n">
        <x:f>P1856-T1856</x:f>
        <x:v>2025.53542367569</x:v>
      </x:c>
      <x:c r="W1856" s="79" t="n">
        <x:f>IF(U1856&gt;0,V1856/U1856,0)</x:f>
        <x:v>0.00003556475569008155</x:v>
      </x:c>
      <x:c r="X1856" s="80" t="n">
        <x:f>W1856*('Inputs'!$B$6-AC1856)</x:f>
        <x:v>35476.47210496883</x:v>
      </x:c>
      <x:c r="Y1856" s="80" t="n">
        <x:f>2*V1856</x:f>
        <x:v>4051.07084735138</x:v>
      </x:c>
      <x:c r="Z1856" s="80" t="n">
        <x:f>K1856*'Inputs'!$B$16+(G1856+R1856)*J1856*'Inputs'!$B$16</x:f>
        <x:v>19.35327618011641</x:v>
      </x:c>
      <x:c r="AA1856" s="80" t="n">
        <x:f>K1856*(1+'Inputs'!$E$49)/2*'Inputs'!$B$17</x:f>
        <x:v>6.25328025053692</x:v>
      </x:c>
      <x:c r="AB1856" s="78" t="n">
        <x:f>(IF(J1856&gt;0,K1856*(1-'Inputs'!$E$49)/2/J1856,0)+G1856+R1856)*'Inputs'!$B$17</x:f>
        <x:v>170031.4378266209</x:v>
      </x:c>
      <x:c r="AC1856" s="78" t="n">
        <x:f>AC1855+AB1856</x:f>
        <x:v>2482333.518105358</x:v>
      </x:c>
      <x:c r="AD1856" s="80" t="n">
        <x:f>Z1856/(1+'Inputs'!$C$49)</x:f>
        <x:v>4.8383190450291025</x:v>
      </x:c>
      <x:c r="AE1856" s="80" t="n">
        <x:f>Z1856-AD1856</x:f>
        <x:v>14.514957135087307</x:v>
      </x:c>
      <x:c r="AF1856" s="80" t="n">
        <x:f>D1856*W1856</x:f>
        <x:v>10.715851426816009</x:v>
      </x:c>
      <x:c r="AG1856" s="80" t="n">
        <x:f>C1856*W1856</x:f>
        <x:v>25.00365332923734</x:v>
      </x:c>
      <x:c r="AH1856" s="80" t="n">
        <x:f>2*'Inputs'!$B$8*'Inputs'!$C$49</x:f>
        <x:v>15000</x:v>
      </x:c>
      <x:c r="AI1856" s="81" t="n">
        <x:f>IF(AH1856&gt;0,(AE1856+AF1856)/AH1856*365,0)</x:f>
        <x:v>0.613949675006314</x:v>
      </x:c>
      <x:c r="AJ1856" s="81" t="n">
        <x:f>IF('Inputs'!$B$49&gt;0,AG1856/('Inputs'!$B$19*'Inputs'!$B$49)*365,0)</x:f>
        <x:v>0.912633346517163</x:v>
      </x:c>
      <x:c r="AK1856" s="81" t="n">
        <x:f>W1856/MAX($W$1829:W1856)-1</x:f>
        <x:v>-0.9541821012245972</x:v>
      </x:c>
      <x:c r="AL1856" s="83" t="n">
        <x:f>'Inputs'!$B$49</x:f>
        <x:v>1</x:v>
      </x:c>
      <x:c r="AM1856" s="83" t="n">
        <x:f>'Inputs'!$C$49</x:f>
        <x:v>3</x:v>
      </x:c>
      <x:c r="AN1856" s="83" t="n">
        <x:f>'Inputs'!$D$49</x:f>
        <x:v>0.75</x:v>
      </x:c>
      <x:c r="AO1856" s="81" t="n">
        <x:f>'Inputs'!$E$49</x:f>
        <x:v>-0.03</x:v>
      </x:c>
    </x:row>
    <x:row r="1857">
      <x:c r="A1857" s="59" t="str">
        <x:v>Mercenary LP</x:v>
      </x:c>
      <x:c r="B1857" s="59" t="n">
        <x:v>29</x:v>
      </x:c>
      <x:c r="C1857" s="78" t="n">
        <x:f>(('Inputs'!$B$29*(3*29*'Inputs'!$B$12-29^2)/(2*'Inputs'!$B$12^2))-('Inputs'!$B$29*(3*28*'Inputs'!$B$12-28^2)/(2*'Inputs'!$B$12^2)))*'Inputs'!$B$49</x:f>
        <x:v>702720.7262150496</x:v>
      </x:c>
      <x:c r="D1857" s="78" t="n">
        <x:f>IF('Inputs'!$C$49&gt;0,('Inputs'!$B$30*(3*29*'Inputs'!$B$12-29^2)/(2*'Inputs'!$B$12^2))-('Inputs'!$B$30*(3*28*'Inputs'!$B$12-28^2)/(2*'Inputs'!$B$12^2)),0)</x:f>
        <x:v>301166.0255207345</x:v>
      </x:c>
      <x:c r="E1857" s="78" t="n">
        <x:f>C1857+D1857</x:f>
        <x:v>1003886.7517357841</x:v>
      </x:c>
      <x:c r="F1857" s="78" t="n">
        <x:f>'Inputs'!$B$13*E1857+(1-'Inputs'!$B$13)/'Inputs'!$B$14*SUM(E1829:E1857)</x:f>
        <x:v>619367.0415248101</x:v>
      </x:c>
      <x:c r="G1857" s="78" t="n">
        <x:f>F1857*'Inputs'!$F$49</x:f>
        <x:v>557430.3373723291</x:v>
      </x:c>
      <x:c r="H1857" s="78" t="n">
        <x:f>U1856</x:f>
        <x:v>56953446.87101506</x:v>
      </x:c>
      <x:c r="I1857" s="78" t="n">
        <x:f>V1856</x:f>
        <x:v>2025.53542367569</x:v>
      </x:c>
      <x:c r="J1857" s="79" t="n">
        <x:f>IF(H1857&gt;0,I1857/H1857,0)</x:f>
        <x:v>0.00003556475569008155</x:v>
      </x:c>
      <x:c r="K1857" s="80" t="n">
        <x:f>(H1857*J1857+I1857)*'Inputs'!$D$49*(1+'Inputs'!$G$49)^(B1857/30)</x:f>
        <x:v>3038.303135513535</x:v>
      </x:c>
      <x:c r="L1857" s="80" t="n">
        <x:f>MAX(0,K1857*'Inputs'!$E$49)</x:f>
        <x:v>0</x:v>
      </x:c>
      <x:c r="M1857" s="80" t="n">
        <x:f>MAX(0,-K1857*'Inputs'!$E$49)</x:f>
        <x:v>91.14909406540605</x:v>
      </x:c>
      <x:c r="N1857" s="78" t="n">
        <x:f>H1857*(L1857*(1-'Inputs'!$B$15))/(I1857+L1857*(1-'Inputs'!$B$15))</x:f>
        <x:v>0</x:v>
      </x:c>
      <x:c r="O1857" s="78" t="n">
        <x:f>H1857-N1857</x:f>
        <x:v>56953446.87101506</x:v>
      </x:c>
      <x:c r="P1857" s="78" t="n">
        <x:f>I1857+L1857*(1-'Inputs'!$B$17)</x:f>
        <x:v>2025.53542367569</x:v>
      </x:c>
      <x:c r="Q1857" s="78" t="n">
        <x:f>IF(J1857&gt;0,M1857/J1857,0)</x:f>
        <x:v>2562905.1091956776</x:v>
      </x:c>
      <x:c r="R1857" s="78" t="n">
        <x:f>IF(B1857='Inputs'!$H$49,'Inputs'!$B$27*'Inputs'!$I$49,0)</x:f>
        <x:v>0</x:v>
      </x:c>
      <x:c r="S1857" s="78" t="n">
        <x:f>Q1857+G1857+R1857</x:f>
        <x:v>3120335.4465680066</x:v>
      </x:c>
      <x:c r="T1857" s="78" t="n">
        <x:f>P1857*(S1857*(1-'Inputs'!$B$15))/(O1857+S1857*(1-'Inputs'!$B$15))</x:f>
        <x:v>104.21182082818697</x:v>
      </x:c>
      <x:c r="U1857" s="78" t="n">
        <x:f>O1857+S1857*(1-'Inputs'!$B$17)</x:f>
        <x:v>60061225.63570552</x:v>
      </x:c>
      <x:c r="V1857" s="78" t="n">
        <x:f>P1857-T1857</x:f>
        <x:v>1921.323602847503</x:v>
      </x:c>
      <x:c r="W1857" s="79" t="n">
        <x:f>IF(U1857&gt;0,V1857/U1857,0)</x:f>
        <x:v>0.00003198941717408617</x:v>
      </x:c>
      <x:c r="X1857" s="80" t="n">
        <x:f>W1857*('Inputs'!$B$6-AC1857)</x:f>
        <x:v>31904.273337121107</x:v>
      </x:c>
      <x:c r="Y1857" s="80" t="n">
        <x:f>2*V1857</x:f>
        <x:v>3842.647205695006</x:v>
      </x:c>
      <x:c r="Z1857" s="80" t="n">
        <x:f>K1857*'Inputs'!$B$16+(G1857+R1857)*J1857*'Inputs'!$B$16</x:f>
        <x:v>18.348768055658528</x:v>
      </x:c>
      <x:c r="AA1857" s="80" t="n">
        <x:f>K1857*(1+'Inputs'!$E$49)/2*'Inputs'!$B$17</x:f>
        <x:v>5.9298874073403</x:v>
      </x:c>
      <x:c r="AB1857" s="78" t="n">
        <x:f>(IF(J1857&gt;0,K1857*(1-'Inputs'!$E$49)/2/J1857,0)+G1857+R1857)*'Inputs'!$B$17</x:f>
        <x:v>179291.62191240027</x:v>
      </x:c>
      <x:c r="AC1857" s="78" t="n">
        <x:f>AC1856+AB1857</x:f>
        <x:v>2661625.140017758</x:v>
      </x:c>
      <x:c r="AD1857" s="80" t="n">
        <x:f>Z1857/(1+'Inputs'!$C$49)</x:f>
        <x:v>4.587192013914632</x:v>
      </x:c>
      <x:c r="AE1857" s="80" t="n">
        <x:f>Z1857-AD1857</x:f>
        <x:v>13.761576041743897</x:v>
      </x:c>
      <x:c r="AF1857" s="80" t="n">
        <x:f>D1857*W1857</x:f>
        <x:v>9.634125629044258</x:v>
      </x:c>
      <x:c r="AG1857" s="80" t="n">
        <x:f>C1857*W1857</x:f>
        <x:v>22.479626467770014</x:v>
      </x:c>
      <x:c r="AH1857" s="80" t="n">
        <x:f>2*'Inputs'!$B$8*'Inputs'!$C$49</x:f>
        <x:v>15000</x:v>
      </x:c>
      <x:c r="AI1857" s="81" t="n">
        <x:f>IF(AH1857&gt;0,(AE1857+AF1857)/AH1857*365,0)</x:f>
        <x:v>0.5692954073225118</x:v>
      </x:c>
      <x:c r="AJ1857" s="81" t="n">
        <x:f>IF('Inputs'!$B$49&gt;0,AG1857/('Inputs'!$B$19*'Inputs'!$B$49)*365,0)</x:f>
        <x:v>0.8205063660736055</x:v>
      </x:c>
      <x:c r="AK1857" s="81" t="n">
        <x:f>W1857/MAX($W$1829:W1857)-1</x:f>
        <x:v>-0.9587881921434043</x:v>
      </x:c>
      <x:c r="AL1857" s="83" t="n">
        <x:f>'Inputs'!$B$49</x:f>
        <x:v>1</x:v>
      </x:c>
      <x:c r="AM1857" s="83" t="n">
        <x:f>'Inputs'!$C$49</x:f>
        <x:v>3</x:v>
      </x:c>
      <x:c r="AN1857" s="83" t="n">
        <x:f>'Inputs'!$D$49</x:f>
        <x:v>0.75</x:v>
      </x:c>
      <x:c r="AO1857" s="81" t="n">
        <x:f>'Inputs'!$E$49</x:f>
        <x:v>-0.03</x:v>
      </x:c>
    </x:row>
    <x:row r="1858">
      <x:c r="A1858" s="59" t="str">
        <x:v>Mercenary LP</x:v>
      </x:c>
      <x:c r="B1858" s="59" t="n">
        <x:v>30</x:v>
      </x:c>
      <x:c r="C1858" s="78" t="n">
        <x:f>(('Inputs'!$B$29*(3*30*'Inputs'!$B$12-30^2)/(2*'Inputs'!$B$12^2))-('Inputs'!$B$29*(3*29*'Inputs'!$B$12-29^2)/(2*'Inputs'!$B$12^2)))*'Inputs'!$B$49</x:f>
        <x:v>702395.6183148809</x:v>
      </x:c>
      <x:c r="D1858" s="78" t="n">
        <x:f>IF('Inputs'!$C$49&gt;0,('Inputs'!$B$30*(3*30*'Inputs'!$B$12-30^2)/(2*'Inputs'!$B$12^2))-('Inputs'!$B$30*(3*29*'Inputs'!$B$12-29^2)/(2*'Inputs'!$B$12^2)),0)</x:f>
        <x:v>301026.6935635209</x:v>
      </x:c>
      <x:c r="E1858" s="78" t="n">
        <x:f>C1858+D1858</x:f>
        <x:v>1003422.3118784018</x:v>
      </x:c>
      <x:c r="F1858" s="78" t="n">
        <x:f>'Inputs'!$B$13*E1858+(1-'Inputs'!$B$13)/'Inputs'!$B$14*SUM(E1829:E1858)</x:f>
        <x:v>633608.7580087393</x:v>
      </x:c>
      <x:c r="G1858" s="78" t="n">
        <x:f>F1858*'Inputs'!$F$49</x:f>
        <x:v>570247.8822078654</x:v>
      </x:c>
      <x:c r="H1858" s="78" t="n">
        <x:f>U1857</x:f>
        <x:v>60061225.63570552</x:v>
      </x:c>
      <x:c r="I1858" s="78" t="n">
        <x:f>V1857</x:f>
        <x:v>1921.323602847503</x:v>
      </x:c>
      <x:c r="J1858" s="79" t="n">
        <x:f>IF(H1858&gt;0,I1858/H1858,0)</x:f>
        <x:v>0.00003198941717408617</x:v>
      </x:c>
      <x:c r="K1858" s="80" t="n">
        <x:f>(H1858*J1858+I1858)*'Inputs'!$D$49*(1+'Inputs'!$G$49)^(B1858/30)</x:f>
        <x:v>2881.9854042712545</x:v>
      </x:c>
      <x:c r="L1858" s="80" t="n">
        <x:f>MAX(0,K1858*'Inputs'!$E$49)</x:f>
        <x:v>0</x:v>
      </x:c>
      <x:c r="M1858" s="80" t="n">
        <x:f>MAX(0,-K1858*'Inputs'!$E$49)</x:f>
        <x:v>86.45956212813763</x:v>
      </x:c>
      <x:c r="N1858" s="78" t="n">
        <x:f>H1858*(L1858*(1-'Inputs'!$B$15))/(I1858+L1858*(1-'Inputs'!$B$15))</x:f>
        <x:v>0</x:v>
      </x:c>
      <x:c r="O1858" s="78" t="n">
        <x:f>H1858-N1858</x:f>
        <x:v>60061225.63570552</x:v>
      </x:c>
      <x:c r="P1858" s="78" t="n">
        <x:f>I1858+L1858*(1-'Inputs'!$B$17)</x:f>
        <x:v>1921.323602847503</x:v>
      </x:c>
      <x:c r="Q1858" s="78" t="n">
        <x:f>IF(J1858&gt;0,M1858/J1858,0)</x:f>
        <x:v>2702755.1536067487</x:v>
      </x:c>
      <x:c r="R1858" s="78" t="n">
        <x:f>IF(B1858='Inputs'!$H$49,'Inputs'!$B$27*'Inputs'!$I$49,0)</x:f>
        <x:v>0</x:v>
      </x:c>
      <x:c r="S1858" s="78" t="n">
        <x:f>Q1858+G1858+R1858</x:f>
        <x:v>3273003.035814614</x:v>
      </x:c>
      <x:c r="T1858" s="78" t="n">
        <x:f>P1858*(S1858*(1-'Inputs'!$B$15))/(O1858+S1858*(1-'Inputs'!$B$15))</x:f>
        <x:v>98.34858792750452</x:v>
      </x:c>
      <x:c r="U1858" s="78" t="n">
        <x:f>O1858+S1858*(1-'Inputs'!$B$17)</x:f>
        <x:v>63321057.633146636</x:v>
      </x:c>
      <x:c r="V1858" s="78" t="n">
        <x:f>P1858-T1858</x:f>
        <x:v>1822.9750149199986</x:v>
      </x:c>
      <x:c r="W1858" s="79" t="n">
        <x:f>IF(U1858&gt;0,V1858/U1858,0)</x:f>
        <x:v>0.00002878939618288572</x:v>
      </x:c>
      <x:c r="X1858" s="80" t="n">
        <x:f>W1858*('Inputs'!$B$6-AC1858)</x:f>
        <x:v>28707.328285331187</x:v>
      </x:c>
      <x:c r="Y1858" s="80" t="n">
        <x:f>2*V1858</x:f>
        <x:v>3645.950029839997</x:v>
      </x:c>
      <x:c r="Z1858" s="80" t="n">
        <x:f>K1858*'Inputs'!$B$16+(G1858+R1858)*J1858*'Inputs'!$B$16</x:f>
        <x:v>17.401363810007044</x:v>
      </x:c>
      <x:c r="AA1858" s="80" t="n">
        <x:f>K1858*(1+'Inputs'!$E$49)/2*'Inputs'!$B$17</x:f>
        <x:v>5.624800487209491</x:v>
      </x:c>
      <x:c r="AB1858" s="78" t="n">
        <x:f>(IF(J1858&gt;0,K1858*(1-'Inputs'!$E$49)/2/J1858,0)+G1858+R1858)*'Inputs'!$B$17</x:f>
        <x:v>189004.20396696337</x:v>
      </x:c>
      <x:c r="AC1858" s="78" t="n">
        <x:f>AC1857+AB1858</x:f>
        <x:v>2850629.3439847217</x:v>
      </x:c>
      <x:c r="AD1858" s="80" t="n">
        <x:f>Z1858/(1+'Inputs'!$C$49)</x:f>
        <x:v>4.350340952501761</x:v>
      </x:c>
      <x:c r="AE1858" s="80" t="n">
        <x:f>Z1858-AD1858</x:f>
        <x:v>13.051022857505284</x:v>
      </x:c>
      <x:c r="AF1858" s="80" t="n">
        <x:f>D1858*W1858</x:f>
        <x:v>8.666376742624339</x:v>
      </x:c>
      <x:c r="AG1858" s="80" t="n">
        <x:f>C1858*W1858</x:f>
        <x:v>20.221545732790087</x:v>
      </x:c>
      <x:c r="AH1858" s="80" t="n">
        <x:f>2*'Inputs'!$B$8*'Inputs'!$C$49</x:f>
        <x:v>15000</x:v>
      </x:c>
      <x:c r="AI1858" s="81" t="n">
        <x:f>IF(AH1858&gt;0,(AE1858+AF1858)/AH1858*365,0)</x:f>
        <x:v>0.5284567236031542</x:v>
      </x:c>
      <x:c r="AJ1858" s="81" t="n">
        <x:f>IF('Inputs'!$B$49&gt;0,AG1858/('Inputs'!$B$19*'Inputs'!$B$49)*365,0)</x:f>
        <x:v>0.7380864192468383</x:v>
      </x:c>
      <x:c r="AK1858" s="81" t="n">
        <x:f>W1858/MAX($W$1829:W1858)-1</x:f>
        <x:v>-0.9629107633521494</x:v>
      </x:c>
      <x:c r="AL1858" s="83" t="n">
        <x:f>'Inputs'!$B$49</x:f>
        <x:v>1</x:v>
      </x:c>
      <x:c r="AM1858" s="83" t="n">
        <x:f>'Inputs'!$C$49</x:f>
        <x:v>3</x:v>
      </x:c>
      <x:c r="AN1858" s="83" t="n">
        <x:f>'Inputs'!$D$49</x:f>
        <x:v>0.75</x:v>
      </x:c>
      <x:c r="AO1858" s="81" t="n">
        <x:f>'Inputs'!$E$49</x:f>
        <x:v>-0.03</x:v>
      </x:c>
    </x:row>
    <x:row r="1859">
      <x:c r="A1859" s="59" t="str">
        <x:v>Mercenary LP</x:v>
      </x:c>
      <x:c r="B1859" s="59" t="n">
        <x:v>31</x:v>
      </x:c>
      <x:c r="C1859" s="78" t="n">
        <x:f>(('Inputs'!$B$29*(3*31*'Inputs'!$B$12-31^2)/(2*'Inputs'!$B$12^2))-('Inputs'!$B$29*(3*30*'Inputs'!$B$12-30^2)/(2*'Inputs'!$B$12^2)))*'Inputs'!$B$49</x:f>
        <x:v>702070.5104147121</x:v>
      </x:c>
      <x:c r="D1859" s="78" t="n">
        <x:f>IF('Inputs'!$C$49&gt;0,('Inputs'!$B$30*(3*31*'Inputs'!$B$12-31^2)/(2*'Inputs'!$B$12^2))-('Inputs'!$B$30*(3*30*'Inputs'!$B$12-30^2)/(2*'Inputs'!$B$12^2)),0)</x:f>
        <x:v>300887.36160630547</x:v>
      </x:c>
      <x:c r="E1859" s="78" t="n">
        <x:f>C1859+D1859</x:f>
        <x:v>1002957.8720210176</x:v>
      </x:c>
      <x:c r="F1859" s="78" t="n">
        <x:f>'Inputs'!$B$13*E1859+(1-'Inputs'!$B$13)/'Inputs'!$B$14*SUM(E1829:E1859)</x:f>
        <x:v>647843.8396375627</x:v>
      </x:c>
      <x:c r="G1859" s="78" t="n">
        <x:f>F1859*'Inputs'!$F$49</x:f>
        <x:v>583059.4556738065</x:v>
      </x:c>
      <x:c r="H1859" s="78" t="n">
        <x:f>U1858</x:f>
        <x:v>63321057.633146636</x:v>
      </x:c>
      <x:c r="I1859" s="78" t="n">
        <x:f>V1858</x:f>
        <x:v>1822.9750149199986</x:v>
      </x:c>
      <x:c r="J1859" s="79" t="n">
        <x:f>IF(H1859&gt;0,I1859/H1859,0)</x:f>
        <x:v>0.00002878939618288572</x:v>
      </x:c>
      <x:c r="K1859" s="80" t="n">
        <x:f>(H1859*J1859+I1859)*'Inputs'!$D$49*(1+'Inputs'!$G$49)^(B1859/30)</x:f>
        <x:v>2734.4625223799976</x:v>
      </x:c>
      <x:c r="L1859" s="80" t="n">
        <x:f>MAX(0,K1859*'Inputs'!$E$49)</x:f>
        <x:v>0</x:v>
      </x:c>
      <x:c r="M1859" s="80" t="n">
        <x:f>MAX(0,-K1859*'Inputs'!$E$49)</x:f>
        <x:v>82.03387567139993</x:v>
      </x:c>
      <x:c r="N1859" s="78" t="n">
        <x:f>H1859*(L1859*(1-'Inputs'!$B$15))/(I1859+L1859*(1-'Inputs'!$B$15))</x:f>
        <x:v>0</x:v>
      </x:c>
      <x:c r="O1859" s="78" t="n">
        <x:f>H1859-N1859</x:f>
        <x:v>63321057.633146636</x:v>
      </x:c>
      <x:c r="P1859" s="78" t="n">
        <x:f>I1859+L1859*(1-'Inputs'!$B$17)</x:f>
        <x:v>1822.9750149199986</x:v>
      </x:c>
      <x:c r="Q1859" s="78" t="n">
        <x:f>IF(J1859&gt;0,M1859/J1859,0)</x:f>
        <x:v>2849447.5934915985</x:v>
      </x:c>
      <x:c r="R1859" s="78" t="n">
        <x:f>IF(B1859='Inputs'!$H$49,'Inputs'!$B$27*'Inputs'!$I$49,0)</x:f>
        <x:v>0</x:v>
      </x:c>
      <x:c r="S1859" s="78" t="n">
        <x:f>Q1859+G1859+R1859</x:f>
        <x:v>3432507.049165405</x:v>
      </x:c>
      <x:c r="T1859" s="78" t="n">
        <x:f>P1859*(S1859*(1-'Inputs'!$B$15))/(O1859+S1859*(1-'Inputs'!$B$15))</x:f>
        <x:v>92.84879263186541</x:v>
      </x:c>
      <x:c r="U1859" s="78" t="n">
        <x:f>O1859+S1859*(1-'Inputs'!$B$17)</x:f>
        <x:v>66739751.776681595</x:v>
      </x:c>
      <x:c r="V1859" s="78" t="n">
        <x:f>P1859-T1859</x:f>
        <x:v>1730.1262222881332</x:v>
      </x:c>
      <x:c r="W1859" s="79" t="n">
        <x:f>IF(U1859&gt;0,V1859/U1859,0)</x:f>
        <x:v>0.000025923474035044693</x:v>
      </x:c>
      <x:c r="X1859" s="80" t="n">
        <x:f>W1859*('Inputs'!$B$6-AC1859)</x:f>
        <x:v>25844.412136919993</x:v>
      </x:c>
      <x:c r="Y1859" s="80" t="n">
        <x:f>2*V1859</x:f>
        <x:v>3460.2524445762665</x:v>
      </x:c>
      <x:c r="Z1859" s="80" t="n">
        <x:f>K1859*'Inputs'!$B$16+(G1859+R1859)*J1859*'Inputs'!$B$16</x:f>
        <x:v>16.50749071228541</x:v>
      </x:c>
      <x:c r="AA1859" s="80" t="n">
        <x:f>K1859*(1+'Inputs'!$E$49)/2*'Inputs'!$B$17</x:f>
        <x:v>5.336878564806032</x:v>
      </x:c>
      <x:c r="AB1859" s="78" t="n">
        <x:f>(IF(J1859&gt;0,K1859*(1-'Inputs'!$E$49)/2/J1859,0)+G1859+R1859)*'Inputs'!$B$17</x:f>
        <x:v>199189.44256450539</x:v>
      </x:c>
      <x:c r="AC1859" s="78" t="n">
        <x:f>AC1858+AB1859</x:f>
        <x:v>3049818.7865492273</x:v>
      </x:c>
      <x:c r="AD1859" s="80" t="n">
        <x:f>Z1859/(1+'Inputs'!$C$49)</x:f>
        <x:v>4.1268726780713525</x:v>
      </x:c>
      <x:c r="AE1859" s="80" t="n">
        <x:f>Z1859-AD1859</x:f>
        <x:v>12.380618034214057</x:v>
      </x:c>
      <x:c r="AF1859" s="80" t="n">
        <x:f>D1859*W1859</x:f>
        <x:v>7.8000457060741635</x:v>
      </x:c>
      <x:c r="AG1859" s="80" t="n">
        <x:f>C1859*W1859</x:f>
        <x:v>18.200106647506363</x:v>
      </x:c>
      <x:c r="AH1859" s="80" t="n">
        <x:f>2*'Inputs'!$B$8*'Inputs'!$C$49</x:f>
        <x:v>15000</x:v>
      </x:c>
      <x:c r="AI1859" s="81" t="n">
        <x:f>IF(AH1859&gt;0,(AE1859+AF1859)/AH1859*365,0)</x:f>
        <x:v>0.4910628176803467</x:v>
      </x:c>
      <x:c r="AJ1859" s="81" t="n">
        <x:f>IF('Inputs'!$B$49&gt;0,AG1859/('Inputs'!$B$19*'Inputs'!$B$49)*365,0)</x:f>
        <x:v>0.6643038926339823</x:v>
      </x:c>
      <x:c r="AK1859" s="81" t="n">
        <x:f>W1859/MAX($W$1829:W1859)-1</x:f>
        <x:v>-0.9666029166741694</x:v>
      </x:c>
      <x:c r="AL1859" s="83" t="n">
        <x:f>'Inputs'!$B$49</x:f>
        <x:v>1</x:v>
      </x:c>
      <x:c r="AM1859" s="83" t="n">
        <x:f>'Inputs'!$C$49</x:f>
        <x:v>3</x:v>
      </x:c>
      <x:c r="AN1859" s="83" t="n">
        <x:f>'Inputs'!$D$49</x:f>
        <x:v>0.75</x:v>
      </x:c>
      <x:c r="AO1859" s="81" t="n">
        <x:f>'Inputs'!$E$49</x:f>
        <x:v>-0.03</x:v>
      </x:c>
    </x:row>
    <x:row r="1860">
      <x:c r="A1860" s="59" t="str">
        <x:v>Mercenary LP</x:v>
      </x:c>
      <x:c r="B1860" s="59" t="n">
        <x:v>32</x:v>
      </x:c>
      <x:c r="C1860" s="78" t="n">
        <x:f>(('Inputs'!$B$29*(3*32*'Inputs'!$B$12-32^2)/(2*'Inputs'!$B$12^2))-('Inputs'!$B$29*(3*31*'Inputs'!$B$12-31^2)/(2*'Inputs'!$B$12^2)))*'Inputs'!$B$49</x:f>
        <x:v>701745.4025145434</x:v>
      </x:c>
      <x:c r="D1860" s="78" t="n">
        <x:f>IF('Inputs'!$C$49&gt;0,('Inputs'!$B$30*(3*32*'Inputs'!$B$12-32^2)/(2*'Inputs'!$B$12^2))-('Inputs'!$B$30*(3*31*'Inputs'!$B$12-31^2)/(2*'Inputs'!$B$12^2)),0)</x:f>
        <x:v>300748.02964909</x:v>
      </x:c>
      <x:c r="E1860" s="78" t="n">
        <x:f>C1860+D1860</x:f>
        <x:v>1002493.4321636334</x:v>
      </x:c>
      <x:c r="F1860" s="78" t="n">
        <x:f>'Inputs'!$B$13*E1860+(1-'Inputs'!$B$13)/'Inputs'!$B$14*SUM(E1829:E1860)</x:f>
        <x:v>662072.2864112806</x:v>
      </x:c>
      <x:c r="G1860" s="78" t="n">
        <x:f>F1860*'Inputs'!$F$49</x:f>
        <x:v>595865.0577701526</x:v>
      </x:c>
      <x:c r="H1860" s="78" t="n">
        <x:f>U1859</x:f>
        <x:v>66739751.776681595</x:v>
      </x:c>
      <x:c r="I1860" s="78" t="n">
        <x:f>V1859</x:f>
        <x:v>1730.1262222881332</x:v>
      </x:c>
      <x:c r="J1860" s="79" t="n">
        <x:f>IF(H1860&gt;0,I1860/H1860,0)</x:f>
        <x:v>0.000025923474035044693</x:v>
      </x:c>
      <x:c r="K1860" s="80" t="n">
        <x:f>(H1860*J1860+I1860)*'Inputs'!$D$49*(1+'Inputs'!$G$49)^(B1860/30)</x:f>
        <x:v>2595.1893334322</x:v>
      </x:c>
      <x:c r="L1860" s="80" t="n">
        <x:f>MAX(0,K1860*'Inputs'!$E$49)</x:f>
        <x:v>0</x:v>
      </x:c>
      <x:c r="M1860" s="80" t="n">
        <x:f>MAX(0,-K1860*'Inputs'!$E$49)</x:f>
        <x:v>77.855680002966</x:v>
      </x:c>
      <x:c r="N1860" s="78" t="n">
        <x:f>H1860*(L1860*(1-'Inputs'!$B$15))/(I1860+L1860*(1-'Inputs'!$B$15))</x:f>
        <x:v>0</x:v>
      </x:c>
      <x:c r="O1860" s="78" t="n">
        <x:f>H1860-N1860</x:f>
        <x:v>66739751.776681595</x:v>
      </x:c>
      <x:c r="P1860" s="78" t="n">
        <x:f>I1860+L1860*(1-'Inputs'!$B$17)</x:f>
        <x:v>1730.1262222881332</x:v>
      </x:c>
      <x:c r="Q1860" s="78" t="n">
        <x:f>IF(J1860&gt;0,M1860/J1860,0)</x:f>
        <x:v>3003288.8299506716</x:v>
      </x:c>
      <x:c r="R1860" s="78" t="n">
        <x:f>IF(B1860='Inputs'!$H$49,'Inputs'!$B$27*'Inputs'!$I$49,0)</x:f>
        <x:v>0</x:v>
      </x:c>
      <x:c r="S1860" s="78" t="n">
        <x:f>Q1860+G1860+R1860</x:f>
        <x:v>3599153.887720824</x:v>
      </x:c>
      <x:c r="T1860" s="78" t="n">
        <x:f>P1860*(S1860*(1-'Inputs'!$B$15))/(O1860+S1860*(1-'Inputs'!$B$15))</x:f>
        <x:v>87.68798122645478</x:v>
      </x:c>
      <x:c r="U1860" s="78" t="n">
        <x:f>O1860+S1860*(1-'Inputs'!$B$17)</x:f>
        <x:v>70324422.14775163</x:v>
      </x:c>
      <x:c r="V1860" s="78" t="n">
        <x:f>P1860-T1860</x:f>
        <x:v>1642.4382410616786</x:v>
      </x:c>
      <x:c r="W1860" s="79" t="n">
        <x:f>IF(U1860&gt;0,V1860/U1860,0)</x:f>
        <x:v>0.00002335516156266333</x:v>
      </x:c>
      <x:c r="X1860" s="80" t="n">
        <x:f>W1860*('Inputs'!$B$6-AC1860)</x:f>
        <x:v>23279.031039343037</x:v>
      </x:c>
      <x:c r="Y1860" s="80" t="n">
        <x:f>2*V1860</x:f>
        <x:v>3284.876482123357</x:v>
      </x:c>
      <x:c r="Z1860" s="80" t="n">
        <x:f>K1860*'Inputs'!$B$16+(G1860+R1860)*J1860*'Inputs'!$B$16</x:f>
        <x:v>15.663817354714169</x:v>
      </x:c>
      <x:c r="AA1860" s="80" t="n">
        <x:f>K1860*(1+'Inputs'!$E$49)/2*'Inputs'!$B$17</x:f>
        <x:v>5.065057652775119</x:v>
      </x:c>
      <x:c r="AB1860" s="78" t="n">
        <x:f>(IF(J1860&gt;0,K1860*(1-'Inputs'!$E$49)/2/J1860,0)+G1860+R1860)*'Inputs'!$B$17</x:f>
        <x:v>209868.5042465058</x:v>
      </x:c>
      <x:c r="AC1860" s="78" t="n">
        <x:f>AC1859+AB1860</x:f>
        <x:v>3259687.290795733</x:v>
      </x:c>
      <x:c r="AD1860" s="80" t="n">
        <x:f>Z1860/(1+'Inputs'!$C$49)</x:f>
        <x:v>3.9159543386785423</x:v>
      </x:c>
      <x:c r="AE1860" s="80" t="n">
        <x:f>Z1860-AD1860</x:f>
        <x:v>11.747863016035627</x:v>
      </x:c>
      <x:c r="AF1860" s="80" t="n">
        <x:f>D1860*W1860</x:f>
        <x:v>7.024018822107158</x:v>
      </x:c>
      <x:c r="AG1860" s="80" t="n">
        <x:f>C1860*W1860</x:f>
        <x:v>16.38937725158337</x:v>
      </x:c>
      <x:c r="AH1860" s="80" t="n">
        <x:f>2*'Inputs'!$B$8*'Inputs'!$C$49</x:f>
        <x:v>15000</x:v>
      </x:c>
      <x:c r="AI1860" s="81" t="n">
        <x:f>IF(AH1860&gt;0,(AE1860+AF1860)/AH1860*365,0)</x:f>
        <x:v>0.4567824580614745</x:v>
      </x:c>
      <x:c r="AJ1860" s="81" t="n">
        <x:f>IF('Inputs'!$B$49&gt;0,AG1860/('Inputs'!$B$19*'Inputs'!$B$49)*365,0)</x:f>
        <x:v>0.598212269682793</x:v>
      </x:c>
      <x:c r="AK1860" s="81" t="n">
        <x:f>W1860/MAX($W$1829:W1860)-1</x:f>
        <x:v>-0.9699116609239153</x:v>
      </x:c>
      <x:c r="AL1860" s="83" t="n">
        <x:f>'Inputs'!$B$49</x:f>
        <x:v>1</x:v>
      </x:c>
      <x:c r="AM1860" s="83" t="n">
        <x:f>'Inputs'!$C$49</x:f>
        <x:v>3</x:v>
      </x:c>
      <x:c r="AN1860" s="83" t="n">
        <x:f>'Inputs'!$D$49</x:f>
        <x:v>0.75</x:v>
      </x:c>
      <x:c r="AO1860" s="81" t="n">
        <x:f>'Inputs'!$E$49</x:f>
        <x:v>-0.03</x:v>
      </x:c>
    </x:row>
    <x:row r="1861">
      <x:c r="A1861" s="59" t="str">
        <x:v>Mercenary LP</x:v>
      </x:c>
      <x:c r="B1861" s="59" t="n">
        <x:v>33</x:v>
      </x:c>
      <x:c r="C1861" s="78" t="n">
        <x:f>(('Inputs'!$B$29*(3*33*'Inputs'!$B$12-33^2)/(2*'Inputs'!$B$12^2))-('Inputs'!$B$29*(3*32*'Inputs'!$B$12-32^2)/(2*'Inputs'!$B$12^2)))*'Inputs'!$B$49</x:f>
        <x:v>701420.2946143746</x:v>
      </x:c>
      <x:c r="D1861" s="78" t="n">
        <x:f>IF('Inputs'!$C$49&gt;0,('Inputs'!$B$30*(3*33*'Inputs'!$B$12-33^2)/(2*'Inputs'!$B$12^2))-('Inputs'!$B$30*(3*32*'Inputs'!$B$12-32^2)/(2*'Inputs'!$B$12^2)),0)</x:f>
        <x:v>300608.6976918746</x:v>
      </x:c>
      <x:c r="E1861" s="78" t="n">
        <x:f>C1861+D1861</x:f>
        <x:v>1002028.9923062492</x:v>
      </x:c>
      <x:c r="F1861" s="78" t="n">
        <x:f>'Inputs'!$B$13*E1861+(1-'Inputs'!$B$13)/'Inputs'!$B$14*SUM(E1829:E1861)</x:f>
        <x:v>676294.0983298931</x:v>
      </x:c>
      <x:c r="G1861" s="78" t="n">
        <x:f>F1861*'Inputs'!$F$49</x:f>
        <x:v>608664.6884969037</x:v>
      </x:c>
      <x:c r="H1861" s="78" t="n">
        <x:f>U1860</x:f>
        <x:v>70324422.14775163</x:v>
      </x:c>
      <x:c r="I1861" s="78" t="n">
        <x:f>V1860</x:f>
        <x:v>1642.4382410616786</x:v>
      </x:c>
      <x:c r="J1861" s="79" t="n">
        <x:f>IF(H1861&gt;0,I1861/H1861,0)</x:f>
        <x:v>0.00002335516156266333</x:v>
      </x:c>
      <x:c r="K1861" s="80" t="n">
        <x:f>(H1861*J1861+I1861)*'Inputs'!$D$49*(1+'Inputs'!$G$49)^(B1861/30)</x:f>
        <x:v>2463.657361592518</x:v>
      </x:c>
      <x:c r="L1861" s="80" t="n">
        <x:f>MAX(0,K1861*'Inputs'!$E$49)</x:f>
        <x:v>0</x:v>
      </x:c>
      <x:c r="M1861" s="80" t="n">
        <x:f>MAX(0,-K1861*'Inputs'!$E$49)</x:f>
        <x:v>73.90972084777555</x:v>
      </x:c>
      <x:c r="N1861" s="78" t="n">
        <x:f>H1861*(L1861*(1-'Inputs'!$B$15))/(I1861+L1861*(1-'Inputs'!$B$15))</x:f>
        <x:v>0</x:v>
      </x:c>
      <x:c r="O1861" s="78" t="n">
        <x:f>H1861-N1861</x:f>
        <x:v>70324422.14775163</x:v>
      </x:c>
      <x:c r="P1861" s="78" t="n">
        <x:f>I1861+L1861*(1-'Inputs'!$B$17)</x:f>
        <x:v>1642.4382410616786</x:v>
      </x:c>
      <x:c r="Q1861" s="78" t="n">
        <x:f>IF(J1861&gt;0,M1861/J1861,0)</x:f>
        <x:v>3164598.996648824</x:v>
      </x:c>
      <x:c r="R1861" s="78" t="n">
        <x:f>IF(B1861='Inputs'!$H$49,'Inputs'!$B$27*'Inputs'!$I$49,0)</x:f>
        <x:v>0</x:v>
      </x:c>
      <x:c r="S1861" s="78" t="n">
        <x:f>Q1861+G1861+R1861</x:f>
        <x:v>3773263.6851457274</x:v>
      </x:c>
      <x:c r="T1861" s="78" t="n">
        <x:f>P1861*(S1861*(1-'Inputs'!$B$15))/(O1861+S1861*(1-'Inputs'!$B$15))</x:f>
        <x:v>82.84340969201828</x:v>
      </x:c>
      <x:c r="U1861" s="78" t="n">
        <x:f>O1861+S1861*(1-'Inputs'!$B$17)</x:f>
        <x:v>74082501.67319858</x:v>
      </x:c>
      <x:c r="V1861" s="78" t="n">
        <x:f>P1861-T1861</x:f>
        <x:v>1559.5948313696604</x:v>
      </x:c>
      <x:c r="W1861" s="79" t="n">
        <x:f>IF(U1861&gt;0,V1861/U1861,0)</x:f>
        <x:v>0.00002105213506759704</x:v>
      </x:c>
      <x:c r="X1861" s="80" t="n">
        <x:f>W1861*('Inputs'!$B$6-AC1861)</x:f>
        <x:v>20978.857831723813</x:v>
      </x:c>
      <x:c r="Y1861" s="80" t="n">
        <x:f>2*V1861</x:f>
        <x:v>3119.1896627393207</x:v>
      </x:c>
      <x:c r="Z1861" s="80" t="n">
        <x:f>K1861*'Inputs'!$B$16+(G1861+R1861)*J1861*'Inputs'!$B$16</x:f>
        <x:v>14.867236942379108</x:v>
      </x:c>
      <x:c r="AA1861" s="80" t="n">
        <x:f>K1861*(1+'Inputs'!$E$49)/2*'Inputs'!$B$17</x:f>
        <x:v>4.808345353611152</x:v>
      </x:c>
      <x:c r="AB1861" s="78" t="n">
        <x:f>(IF(J1861&gt;0,K1861*(1-'Inputs'!$E$49)/2/J1861,0)+G1861+R1861)*'Inputs'!$B$17</x:f>
        <x:v>221063.5042158352</x:v>
      </x:c>
      <x:c r="AC1861" s="78" t="n">
        <x:f>AC1860+AB1861</x:f>
        <x:v>3480750.7950115683</x:v>
      </x:c>
      <x:c r="AD1861" s="80" t="n">
        <x:f>Z1861/(1+'Inputs'!$C$49)</x:f>
        <x:v>3.716809235594777</x:v>
      </x:c>
      <x:c r="AE1861" s="80" t="n">
        <x:f>Z1861-AD1861</x:f>
        <x:v>11.150427706784331</x:v>
      </x:c>
      <x:c r="AF1861" s="80" t="n">
        <x:f>D1861*W1861</x:f>
        <x:v>6.328454906303791</x:v>
      </x:c>
      <x:c r="AG1861" s="80" t="n">
        <x:f>C1861*W1861</x:f>
        <x:v>14.766394781375524</x:v>
      </x:c>
      <x:c r="AH1861" s="80" t="n">
        <x:f>2*'Inputs'!$B$8*'Inputs'!$C$49</x:f>
        <x:v>15000</x:v>
      </x:c>
      <x:c r="AI1861" s="81" t="n">
        <x:f>IF(AH1861&gt;0,(AE1861+AF1861)/AH1861*365,0)</x:f>
        <x:v>0.42531947691847766</x:v>
      </x:c>
      <x:c r="AJ1861" s="81" t="n">
        <x:f>IF('Inputs'!$B$49&gt;0,AG1861/('Inputs'!$B$19*'Inputs'!$B$49)*365,0)</x:f>
        <x:v>0.5389734095202067</x:v>
      </x:c>
      <x:c r="AK1861" s="81" t="n">
        <x:f>W1861/MAX($W$1829:W1861)-1</x:f>
        <x:v>-0.9728786385617638</x:v>
      </x:c>
      <x:c r="AL1861" s="83" t="n">
        <x:f>'Inputs'!$B$49</x:f>
        <x:v>1</x:v>
      </x:c>
      <x:c r="AM1861" s="83" t="n">
        <x:f>'Inputs'!$C$49</x:f>
        <x:v>3</x:v>
      </x:c>
      <x:c r="AN1861" s="83" t="n">
        <x:f>'Inputs'!$D$49</x:f>
        <x:v>0.75</x:v>
      </x:c>
      <x:c r="AO1861" s="81" t="n">
        <x:f>'Inputs'!$E$49</x:f>
        <x:v>-0.03</x:v>
      </x:c>
    </x:row>
    <x:row r="1862">
      <x:c r="A1862" s="59" t="str">
        <x:v>Mercenary LP</x:v>
      </x:c>
      <x:c r="B1862" s="59" t="n">
        <x:v>34</x:v>
      </x:c>
      <x:c r="C1862" s="78" t="n">
        <x:f>(('Inputs'!$B$29*(3*34*'Inputs'!$B$12-34^2)/(2*'Inputs'!$B$12^2))-('Inputs'!$B$29*(3*33*'Inputs'!$B$12-33^2)/(2*'Inputs'!$B$12^2)))*'Inputs'!$B$49</x:f>
        <x:v>701095.1867142059</x:v>
      </x:c>
      <x:c r="D1862" s="78" t="n">
        <x:f>IF('Inputs'!$C$49&gt;0,('Inputs'!$B$30*(3*34*'Inputs'!$B$12-34^2)/(2*'Inputs'!$B$12^2))-('Inputs'!$B$30*(3*33*'Inputs'!$B$12-33^2)/(2*'Inputs'!$B$12^2)),0)</x:f>
        <x:v>300469.36573465914</x:v>
      </x:c>
      <x:c r="E1862" s="78" t="n">
        <x:f>C1862+D1862</x:f>
        <x:v>1001564.552448865</x:v>
      </x:c>
      <x:c r="F1862" s="78" t="n">
        <x:f>'Inputs'!$B$13*E1862+(1-'Inputs'!$B$13)/'Inputs'!$B$14*SUM(E1829:E1862)</x:f>
        <x:v>690509.2753934</x:v>
      </x:c>
      <x:c r="G1862" s="78" t="n">
        <x:f>F1862*'Inputs'!$F$49</x:f>
        <x:v>621458.34785406</x:v>
      </x:c>
      <x:c r="H1862" s="78" t="n">
        <x:f>U1861</x:f>
        <x:v>74082501.67319858</x:v>
      </x:c>
      <x:c r="I1862" s="78" t="n">
        <x:f>V1861</x:f>
        <x:v>1559.5948313696604</x:v>
      </x:c>
      <x:c r="J1862" s="79" t="n">
        <x:f>IF(H1862&gt;0,I1862/H1862,0)</x:f>
        <x:v>0.00002105213506759704</x:v>
      </x:c>
      <x:c r="K1862" s="80" t="n">
        <x:f>(H1862*J1862+I1862)*'Inputs'!$D$49*(1+'Inputs'!$G$49)^(B1862/30)</x:f>
        <x:v>2339.3922470544903</x:v>
      </x:c>
      <x:c r="L1862" s="80" t="n">
        <x:f>MAX(0,K1862*'Inputs'!$E$49)</x:f>
        <x:v>0</x:v>
      </x:c>
      <x:c r="M1862" s="80" t="n">
        <x:f>MAX(0,-K1862*'Inputs'!$E$49)</x:f>
        <x:v>70.18176741163471</x:v>
      </x:c>
      <x:c r="N1862" s="78" t="n">
        <x:f>H1862*(L1862*(1-'Inputs'!$B$15))/(I1862+L1862*(1-'Inputs'!$B$15))</x:f>
        <x:v>0</x:v>
      </x:c>
      <x:c r="O1862" s="78" t="n">
        <x:f>H1862-N1862</x:f>
        <x:v>74082501.67319858</x:v>
      </x:c>
      <x:c r="P1862" s="78" t="n">
        <x:f>I1862+L1862*(1-'Inputs'!$B$17)</x:f>
        <x:v>1559.5948313696604</x:v>
      </x:c>
      <x:c r="Q1862" s="78" t="n">
        <x:f>IF(J1862&gt;0,M1862/J1862,0)</x:f>
        <x:v>3333712.575293936</x:v>
      </x:c>
      <x:c r="R1862" s="78" t="n">
        <x:f>IF(B1862='Inputs'!$H$49,'Inputs'!$B$27*'Inputs'!$I$49,0)</x:f>
        <x:v>0</x:v>
      </x:c>
      <x:c r="S1862" s="78" t="n">
        <x:f>Q1862+G1862+R1862</x:f>
        <x:v>3955170.923147996</x:v>
      </x:c>
      <x:c r="T1862" s="78" t="n">
        <x:f>P1862*(S1862*(1-'Inputs'!$B$15))/(O1862+S1862*(1-'Inputs'!$B$15))</x:f>
        <x:v>78.29393090731166</x:v>
      </x:c>
      <x:c r="U1862" s="78" t="n">
        <x:f>O1862+S1862*(1-'Inputs'!$B$17)</x:f>
        <x:v>78021756.41556932</x:v>
      </x:c>
      <x:c r="V1862" s="78" t="n">
        <x:f>P1862-T1862</x:f>
        <x:v>1481.3009004623486</x:v>
      </x:c>
      <x:c r="W1862" s="79" t="n">
        <x:f>IF(U1862&gt;0,V1862/U1862,0)</x:f>
        <x:v>0.000018985741522819058</x:v>
      </x:c>
      <x:c r="X1862" s="80" t="n">
        <x:f>W1862*('Inputs'!$B$6-AC1862)</x:f>
        <x:v>18915.23705382992</x:v>
      </x:c>
      <x:c r="Y1862" s="80" t="n">
        <x:f>2*V1862</x:f>
        <x:v>2962.6018009246973</x:v>
      </x:c>
      <x:c r="Z1862" s="80" t="n">
        <x:f>K1862*'Inputs'!$B$16+(G1862+R1862)*J1862*'Inputs'!$B$16</x:f>
        <x:v>14.1148516327944</x:v>
      </x:c>
      <x:c r="AA1862" s="80" t="n">
        <x:f>K1862*(1+'Inputs'!$E$49)/2*'Inputs'!$B$17</x:f>
        <x:v>4.565815854412185</x:v>
      </x:c>
      <x:c r="AB1862" s="78" t="n">
        <x:f>(IF(J1862&gt;0,K1862*(1-'Inputs'!$E$49)/2/J1862,0)+G1862+R1862)*'Inputs'!$B$17</x:f>
        <x:v>232797.54885472823</x:v>
      </x:c>
      <x:c r="AC1862" s="78" t="n">
        <x:f>AC1861+AB1862</x:f>
        <x:v>3713548.3438662966</x:v>
      </x:c>
      <x:c r="AD1862" s="80" t="n">
        <x:f>Z1862/(1+'Inputs'!$C$49)</x:f>
        <x:v>3.5287129081986</x:v>
      </x:c>
      <x:c r="AE1862" s="80" t="n">
        <x:f>Z1862-AD1862</x:f>
        <x:v>10.5861387245958</x:v>
      </x:c>
      <x:c r="AF1862" s="80" t="n">
        <x:f>D1862*W1862</x:f>
        <x:v>5.704633713363624</x:v>
      </x:c>
      <x:c r="AG1862" s="80" t="n">
        <x:f>C1862*W1862</x:f>
        <x:v>13.310811997848479</x:v>
      </x:c>
      <x:c r="AH1862" s="80" t="n">
        <x:f>2*'Inputs'!$B$8*'Inputs'!$C$49</x:f>
        <x:v>15000</x:v>
      </x:c>
      <x:c r="AI1862" s="81" t="n">
        <x:f>IF(AH1862&gt;0,(AE1862+AF1862)/AH1862*365,0)</x:f>
        <x:v>0.396408795990346</x:v>
      </x:c>
      <x:c r="AJ1862" s="81" t="n">
        <x:f>IF('Inputs'!$B$49&gt;0,AG1862/('Inputs'!$B$19*'Inputs'!$B$49)*365,0)</x:f>
        <x:v>0.48584463792146954</x:v>
      </x:c>
      <x:c r="AK1862" s="81" t="n">
        <x:f>W1862/MAX($W$1829:W1862)-1</x:f>
        <x:v>-0.9755407631406539</x:v>
      </x:c>
      <x:c r="AL1862" s="83" t="n">
        <x:f>'Inputs'!$B$49</x:f>
        <x:v>1</x:v>
      </x:c>
      <x:c r="AM1862" s="83" t="n">
        <x:f>'Inputs'!$C$49</x:f>
        <x:v>3</x:v>
      </x:c>
      <x:c r="AN1862" s="83" t="n">
        <x:f>'Inputs'!$D$49</x:f>
        <x:v>0.75</x:v>
      </x:c>
      <x:c r="AO1862" s="81" t="n">
        <x:f>'Inputs'!$E$49</x:f>
        <x:v>-0.03</x:v>
      </x:c>
    </x:row>
    <x:row r="1863">
      <x:c r="A1863" s="59" t="str">
        <x:v>Mercenary LP</x:v>
      </x:c>
      <x:c r="B1863" s="59" t="n">
        <x:v>35</x:v>
      </x:c>
      <x:c r="C1863" s="78" t="n">
        <x:f>(('Inputs'!$B$29*(3*35*'Inputs'!$B$12-35^2)/(2*'Inputs'!$B$12^2))-('Inputs'!$B$29*(3*34*'Inputs'!$B$12-34^2)/(2*'Inputs'!$B$12^2)))*'Inputs'!$B$49</x:f>
        <x:v>700770.0788140334</x:v>
      </x:c>
      <x:c r="D1863" s="78" t="n">
        <x:f>IF('Inputs'!$C$49&gt;0,('Inputs'!$B$30*(3*35*'Inputs'!$B$12-35^2)/(2*'Inputs'!$B$12^2))-('Inputs'!$B$30*(3*34*'Inputs'!$B$12-34^2)/(2*'Inputs'!$B$12^2)),0)</x:f>
        <x:v>300330.0337774437</x:v>
      </x:c>
      <x:c r="E1863" s="78" t="n">
        <x:f>C1863+D1863</x:f>
        <x:v>1001100.1125914771</x:v>
      </x:c>
      <x:c r="F1863" s="78" t="n">
        <x:f>'Inputs'!$B$13*E1863+(1-'Inputs'!$B$13)/'Inputs'!$B$14*SUM(E1829:E1863)</x:f>
        <x:v>704717.8176018007</x:v>
      </x:c>
      <x:c r="G1863" s="78" t="n">
        <x:f>F1863*'Inputs'!$F$49</x:f>
        <x:v>634246.0358416206</x:v>
      </x:c>
      <x:c r="H1863" s="78" t="n">
        <x:f>U1862</x:f>
        <x:v>78021756.41556932</x:v>
      </x:c>
      <x:c r="I1863" s="78" t="n">
        <x:f>V1862</x:f>
        <x:v>1481.3009004623486</x:v>
      </x:c>
      <x:c r="J1863" s="79" t="n">
        <x:f>IF(H1863&gt;0,I1863/H1863,0)</x:f>
        <x:v>0.000018985741522819058</x:v>
      </x:c>
      <x:c r="K1863" s="80" t="n">
        <x:f>(H1863*J1863+I1863)*'Inputs'!$D$49*(1+'Inputs'!$G$49)^(B1863/30)</x:f>
        <x:v>2221.9513506935227</x:v>
      </x:c>
      <x:c r="L1863" s="80" t="n">
        <x:f>MAX(0,K1863*'Inputs'!$E$49)</x:f>
        <x:v>0</x:v>
      </x:c>
      <x:c r="M1863" s="80" t="n">
        <x:f>MAX(0,-K1863*'Inputs'!$E$49)</x:f>
        <x:v>66.65854052080567</x:v>
      </x:c>
      <x:c r="N1863" s="78" t="n">
        <x:f>H1863*(L1863*(1-'Inputs'!$B$15))/(I1863+L1863*(1-'Inputs'!$B$15))</x:f>
        <x:v>0</x:v>
      </x:c>
      <x:c r="O1863" s="78" t="n">
        <x:f>H1863-N1863</x:f>
        <x:v>78021756.41556932</x:v>
      </x:c>
      <x:c r="P1863" s="78" t="n">
        <x:f>I1863+L1863*(1-'Inputs'!$B$17)</x:f>
        <x:v>1481.3009004623486</x:v>
      </x:c>
      <x:c r="Q1863" s="78" t="n">
        <x:f>IF(J1863&gt;0,M1863/J1863,0)</x:f>
        <x:v>3510979.0387006183</x:v>
      </x:c>
      <x:c r="R1863" s="78" t="n">
        <x:f>IF(B1863='Inputs'!$H$49,'Inputs'!$B$27*'Inputs'!$I$49,0)</x:f>
        <x:v>0</x:v>
      </x:c>
      <x:c r="S1863" s="78" t="n">
        <x:f>Q1863+G1863+R1863</x:f>
        <x:v>4145225.074542239</x:v>
      </x:c>
      <x:c r="T1863" s="78" t="n">
        <x:f>P1863*(S1863*(1-'Inputs'!$B$15))/(O1863+S1863*(1-'Inputs'!$B$15))</x:f>
        <x:v>74.01988681820588</x:v>
      </x:c>
      <x:c r="U1863" s="78" t="n">
        <x:f>O1863+S1863*(1-'Inputs'!$B$17)</x:f>
        <x:v>82150300.5038961</x:v>
      </x:c>
      <x:c r="V1863" s="78" t="n">
        <x:f>P1863-T1863</x:f>
        <x:v>1407.2810136441428</x:v>
      </x:c>
      <x:c r="W1863" s="79" t="n">
        <x:f>IF(U1863&gt;0,V1863/U1863,0)</x:f>
        <x:v>0.00001713056440465973</x:v>
      </x:c>
      <x:c r="X1863" s="80" t="n">
        <x:f>W1863*('Inputs'!$B$6-AC1863)</x:f>
        <x:v>17062.750613668737</x:v>
      </x:c>
      <x:c r="Y1863" s="80" t="n">
        <x:f>2*V1863</x:f>
        <x:v>2814.5620272882857</x:v>
      </x:c>
      <x:c r="Z1863" s="80" t="n">
        <x:f>K1863*'Inputs'!$B$16+(G1863+R1863)*J1863*'Inputs'!$B$16</x:f>
        <x:v>13.403957891951308</x:v>
      </x:c>
      <x:c r="AA1863" s="80" t="n">
        <x:f>K1863*(1+'Inputs'!$E$49)/2*'Inputs'!$B$17</x:f>
        <x:v>4.336605251856574</x:v>
      </x:c>
      <x:c r="AB1863" s="78" t="n">
        <x:f>(IF(J1863&gt;0,K1863*(1-'Inputs'!$E$49)/2/J1863,0)+G1863+R1863)*'Inputs'!$B$17</x:f>
        <x:v>245094.78014836585</x:v>
      </x:c>
      <x:c r="AC1863" s="78" t="n">
        <x:f>AC1862+AB1863</x:f>
        <x:v>3958643.1240146626</x:v>
      </x:c>
      <x:c r="AD1863" s="80" t="n">
        <x:f>Z1863/(1+'Inputs'!$C$49)</x:f>
        <x:v>3.350989472987827</x:v>
      </x:c>
      <x:c r="AE1863" s="80" t="n">
        <x:f>Z1863-AD1863</x:f>
        <x:v>10.05296841896348</x:v>
      </x:c>
      <x:c r="AF1863" s="80" t="n">
        <x:f>D1863*W1863</x:f>
        <x:v>5.144822986278132</x:v>
      </x:c>
      <x:c r="AG1863" s="80" t="n">
        <x:f>C1863*W1863</x:f>
        <x:v>12.004586967982275</x:v>
      </x:c>
      <x:c r="AH1863" s="80" t="n">
        <x:f>2*'Inputs'!$B$8*'Inputs'!$C$49</x:f>
        <x:v>15000</x:v>
      </x:c>
      <x:c r="AI1863" s="81" t="n">
        <x:f>IF(AH1863&gt;0,(AE1863+AF1863)/AH1863*365,0)</x:f>
        <x:v>0.3698129241942126</x:v>
      </x:c>
      <x:c r="AJ1863" s="81" t="n">
        <x:f>IF('Inputs'!$B$49&gt;0,AG1863/('Inputs'!$B$19*'Inputs'!$B$49)*365,0)</x:f>
        <x:v>0.4381674243313531</x:v>
      </x:c>
      <x:c r="AK1863" s="81" t="n">
        <x:f>W1863/MAX($W$1829:W1863)-1</x:f>
        <x:v>-0.9779307786422639</x:v>
      </x:c>
      <x:c r="AL1863" s="83" t="n">
        <x:f>'Inputs'!$B$49</x:f>
        <x:v>1</x:v>
      </x:c>
      <x:c r="AM1863" s="83" t="n">
        <x:f>'Inputs'!$C$49</x:f>
        <x:v>3</x:v>
      </x:c>
      <x:c r="AN1863" s="83" t="n">
        <x:f>'Inputs'!$D$49</x:f>
        <x:v>0.75</x:v>
      </x:c>
      <x:c r="AO1863" s="81" t="n">
        <x:f>'Inputs'!$E$49</x:f>
        <x:v>-0.03</x:v>
      </x:c>
    </x:row>
    <x:row r="1864">
      <x:c r="A1864" s="59" t="str">
        <x:v>Mercenary LP</x:v>
      </x:c>
      <x:c r="B1864" s="59" t="n">
        <x:v>36</x:v>
      </x:c>
      <x:c r="C1864" s="78" t="n">
        <x:f>(('Inputs'!$B$29*(3*36*'Inputs'!$B$12-36^2)/(2*'Inputs'!$B$12^2))-('Inputs'!$B$29*(3*35*'Inputs'!$B$12-35^2)/(2*'Inputs'!$B$12^2)))*'Inputs'!$B$49</x:f>
        <x:v>700444.9709138684</x:v>
      </x:c>
      <x:c r="D1864" s="78" t="n">
        <x:f>IF('Inputs'!$C$49&gt;0,('Inputs'!$B$30*(3*36*'Inputs'!$B$12-36^2)/(2*'Inputs'!$B$12^2))-('Inputs'!$B$30*(3*35*'Inputs'!$B$12-35^2)/(2*'Inputs'!$B$12^2)),0)</x:f>
        <x:v>300190.7018202301</x:v>
      </x:c>
      <x:c r="E1864" s="78" t="n">
        <x:f>C1864+D1864</x:f>
        <x:v>1000635.6727340985</x:v>
      </x:c>
      <x:c r="F1864" s="78" t="n">
        <x:f>'Inputs'!$B$13*E1864+(1-'Inputs'!$B$13)/'Inputs'!$B$14*SUM(E1829:E1864)</x:f>
        <x:v>718919.7249550978</x:v>
      </x:c>
      <x:c r="G1864" s="78" t="n">
        <x:f>F1864*'Inputs'!$F$49</x:f>
        <x:v>647027.752459588</x:v>
      </x:c>
      <x:c r="H1864" s="78" t="n">
        <x:f>U1863</x:f>
        <x:v>82150300.5038961</x:v>
      </x:c>
      <x:c r="I1864" s="78" t="n">
        <x:f>V1863</x:f>
        <x:v>1407.2810136441428</x:v>
      </x:c>
      <x:c r="J1864" s="79" t="n">
        <x:f>IF(H1864&gt;0,I1864/H1864,0)</x:f>
        <x:v>0.00001713056440465973</x:v>
      </x:c>
      <x:c r="K1864" s="80" t="n">
        <x:f>(H1864*J1864+I1864)*'Inputs'!$D$49*(1+'Inputs'!$G$49)^(B1864/30)</x:f>
        <x:v>2110.921520466214</x:v>
      </x:c>
      <x:c r="L1864" s="80" t="n">
        <x:f>MAX(0,K1864*'Inputs'!$E$49)</x:f>
        <x:v>0</x:v>
      </x:c>
      <x:c r="M1864" s="80" t="n">
        <x:f>MAX(0,-K1864*'Inputs'!$E$49)</x:f>
        <x:v>63.32764561398642</x:v>
      </x:c>
      <x:c r="N1864" s="78" t="n">
        <x:f>H1864*(L1864*(1-'Inputs'!$B$15))/(I1864+L1864*(1-'Inputs'!$B$15))</x:f>
        <x:v>0</x:v>
      </x:c>
      <x:c r="O1864" s="78" t="n">
        <x:f>H1864-N1864</x:f>
        <x:v>82150300.5038961</x:v>
      </x:c>
      <x:c r="P1864" s="78" t="n">
        <x:f>I1864+L1864*(1-'Inputs'!$B$17)</x:f>
        <x:v>1407.2810136441428</x:v>
      </x:c>
      <x:c r="Q1864" s="78" t="n">
        <x:f>IF(J1864&gt;0,M1864/J1864,0)</x:f>
        <x:v>3696763.5226753238</x:v>
      </x:c>
      <x:c r="R1864" s="78" t="n">
        <x:f>IF(B1864='Inputs'!$H$49,'Inputs'!$B$27*'Inputs'!$I$49,0)</x:f>
        <x:v>0</x:v>
      </x:c>
      <x:c r="S1864" s="78" t="n">
        <x:f>Q1864+G1864+R1864</x:f>
        <x:v>4343791.275134912</x:v>
      </x:c>
      <x:c r="T1864" s="78" t="n">
        <x:f>P1864*(S1864*(1-'Inputs'!$B$15))/(O1864+S1864*(1-'Inputs'!$B$15))</x:f>
        <x:v>70.00300597152177</x:v>
      </x:c>
      <x:c r="U1864" s="78" t="n">
        <x:f>O1864+S1864*(1-'Inputs'!$B$17)</x:f>
        <x:v>86476611.73365824</x:v>
      </x:c>
      <x:c r="V1864" s="78" t="n">
        <x:f>P1864-T1864</x:f>
        <x:v>1337.278007672621</x:v>
      </x:c>
      <x:c r="W1864" s="79" t="n">
        <x:f>IF(U1864&gt;0,V1864/U1864,0)</x:f>
        <x:v>0.00001546404259907108</x:v>
      </x:c>
      <x:c r="X1864" s="80" t="n">
        <x:f>W1864*('Inputs'!$B$6-AC1864)</x:f>
        <x:v>15398.836552929726</x:v>
      </x:c>
      <x:c r="Y1864" s="80" t="n">
        <x:f>2*V1864</x:f>
        <x:v>2674.556015345242</x:v>
      </x:c>
      <x:c r="Z1864" s="80" t="n">
        <x:f>K1864*'Inputs'!$B$16+(G1864+R1864)*J1864*'Inputs'!$B$16</x:f>
        <x:v>12.732032826307952</x:v>
      </x:c>
      <x:c r="AA1864" s="80" t="n">
        <x:f>K1864*(1+'Inputs'!$E$49)/2*'Inputs'!$B$17</x:f>
        <x:v>4.119907192861625</x:v>
      </x:c>
      <x:c r="AB1864" s="78" t="n">
        <x:f>(IF(J1864&gt;0,K1864*(1-'Inputs'!$E$49)/2/J1864,0)+G1864+R1864)*'Inputs'!$B$17</x:f>
        <x:v>257980.42209947415</x:v>
      </x:c>
      <x:c r="AC1864" s="78" t="n">
        <x:f>AC1863+AB1864</x:f>
        <x:v>4216623.546114136</x:v>
      </x:c>
      <x:c r="AD1864" s="80" t="n">
        <x:f>Z1864/(1+'Inputs'!$C$49)</x:f>
        <x:v>3.183008206576988</x:v>
      </x:c>
      <x:c r="AE1864" s="80" t="n">
        <x:f>Z1864-AD1864</x:f>
        <x:v>9.549024619730965</x:v>
      </x:c>
      <x:c r="AF1864" s="80" t="n">
        <x:f>D1864*W1864</x:f>
        <x:v>4.642161800793083</x:v>
      </x:c>
      <x:c r="AG1864" s="80" t="n">
        <x:f>C1864*W1864</x:f>
        <x:v>10.831710868517165</x:v>
      </x:c>
      <x:c r="AH1864" s="80" t="n">
        <x:f>2*'Inputs'!$B$8*'Inputs'!$C$49</x:f>
        <x:v>15000</x:v>
      </x:c>
      <x:c r="AI1864" s="81" t="n">
        <x:f>IF(AH1864&gt;0,(AE1864+AF1864)/AH1864*365,0)</x:f>
        <x:v>0.34531886956608515</x:v>
      </x:c>
      <x:c r="AJ1864" s="81" t="n">
        <x:f>IF('Inputs'!$B$49&gt;0,AG1864/('Inputs'!$B$19*'Inputs'!$B$49)*365,0)</x:f>
        <x:v>0.3953574467008765</x:v>
      </x:c>
      <x:c r="AK1864" s="81" t="n">
        <x:f>W1864/MAX($W$1829:W1864)-1</x:f>
        <x:v>-0.9800777504381859</x:v>
      </x:c>
      <x:c r="AL1864" s="83" t="n">
        <x:f>'Inputs'!$B$49</x:f>
        <x:v>1</x:v>
      </x:c>
      <x:c r="AM1864" s="83" t="n">
        <x:f>'Inputs'!$C$49</x:f>
        <x:v>3</x:v>
      </x:c>
      <x:c r="AN1864" s="83" t="n">
        <x:f>'Inputs'!$D$49</x:f>
        <x:v>0.75</x:v>
      </x:c>
      <x:c r="AO1864" s="81" t="n">
        <x:f>'Inputs'!$E$49</x:f>
        <x:v>-0.03</x:v>
      </x:c>
    </x:row>
    <x:row r="1865">
      <x:c r="A1865" s="59" t="str">
        <x:v>Mercenary LP</x:v>
      </x:c>
      <x:c r="B1865" s="59" t="n">
        <x:v>37</x:v>
      </x:c>
      <x:c r="C1865" s="78" t="n">
        <x:f>(('Inputs'!$B$29*(3*37*'Inputs'!$B$12-37^2)/(2*'Inputs'!$B$12^2))-('Inputs'!$B$29*(3*36*'Inputs'!$B$12-36^2)/(2*'Inputs'!$B$12^2)))*'Inputs'!$B$49</x:f>
        <x:v>700119.8630136997</x:v>
      </x:c>
      <x:c r="D1865" s="78" t="n">
        <x:f>IF('Inputs'!$C$49&gt;0,('Inputs'!$B$30*(3*37*'Inputs'!$B$12-37^2)/(2*'Inputs'!$B$12^2))-('Inputs'!$B$30*(3*36*'Inputs'!$B$12-36^2)/(2*'Inputs'!$B$12^2)),0)</x:f>
        <x:v>300051.3698630128</x:v>
      </x:c>
      <x:c r="E1865" s="78" t="n">
        <x:f>C1865+D1865</x:f>
        <x:v>1000171.2328767125</x:v>
      </x:c>
      <x:c r="F1865" s="78" t="n">
        <x:f>'Inputs'!$B$13*E1865+(1-'Inputs'!$B$13)/'Inputs'!$B$14*SUM(E1829:E1865)</x:f>
        <x:v>733114.9974532878</x:v>
      </x:c>
      <x:c r="G1865" s="78" t="n">
        <x:f>F1865*'Inputs'!$F$49</x:f>
        <x:v>659803.497707959</x:v>
      </x:c>
      <x:c r="H1865" s="78" t="n">
        <x:f>U1864</x:f>
        <x:v>86476611.73365824</x:v>
      </x:c>
      <x:c r="I1865" s="78" t="n">
        <x:f>V1864</x:f>
        <x:v>1337.278007672621</x:v>
      </x:c>
      <x:c r="J1865" s="79" t="n">
        <x:f>IF(H1865&gt;0,I1865/H1865,0)</x:f>
        <x:v>0.00001546404259907108</x:v>
      </x:c>
      <x:c r="K1865" s="80" t="n">
        <x:f>(H1865*J1865+I1865)*'Inputs'!$D$49*(1+'Inputs'!$G$49)^(B1865/30)</x:f>
        <x:v>2005.9170115089314</x:v>
      </x:c>
      <x:c r="L1865" s="80" t="n">
        <x:f>MAX(0,K1865*'Inputs'!$E$49)</x:f>
        <x:v>0</x:v>
      </x:c>
      <x:c r="M1865" s="80" t="n">
        <x:f>MAX(0,-K1865*'Inputs'!$E$49)</x:f>
        <x:v>60.17751034526794</x:v>
      </x:c>
      <x:c r="N1865" s="78" t="n">
        <x:f>H1865*(L1865*(1-'Inputs'!$B$15))/(I1865+L1865*(1-'Inputs'!$B$15))</x:f>
        <x:v>0</x:v>
      </x:c>
      <x:c r="O1865" s="78" t="n">
        <x:f>H1865-N1865</x:f>
        <x:v>86476611.73365824</x:v>
      </x:c>
      <x:c r="P1865" s="78" t="n">
        <x:f>I1865+L1865*(1-'Inputs'!$B$17)</x:f>
        <x:v>1337.278007672621</x:v>
      </x:c>
      <x:c r="Q1865" s="78" t="n">
        <x:f>IF(J1865&gt;0,M1865/J1865,0)</x:f>
        <x:v>3891447.5280146203</x:v>
      </x:c>
      <x:c r="R1865" s="78" t="n">
        <x:f>IF(B1865='Inputs'!$H$49,'Inputs'!$B$27*'Inputs'!$I$49,0)</x:f>
        <x:v>0</x:v>
      </x:c>
      <x:c r="S1865" s="78" t="n">
        <x:f>Q1865+G1865+R1865</x:f>
        <x:v>4551251.025722579</x:v>
      </x:c>
      <x:c r="T1865" s="78" t="n">
        <x:f>P1865*(S1865*(1-'Inputs'!$B$15))/(O1865+S1865*(1-'Inputs'!$B$15))</x:f>
        <x:v>66.22630662493071</x:v>
      </x:c>
      <x:c r="U1865" s="78" t="n">
        <x:f>O1865+S1865*(1-'Inputs'!$B$17)</x:f>
        <x:v>91009547.86591715</x:v>
      </x:c>
      <x:c r="V1865" s="78" t="n">
        <x:f>P1865-T1865</x:f>
        <x:v>1271.0517010476904</x:v>
      </x:c>
      <x:c r="W1865" s="79" t="n">
        <x:f>IF(U1865&gt;0,V1865/U1865,0)</x:f>
        <x:v>0.00001396613576105564</x:v>
      </x:c>
      <x:c r="X1865" s="80" t="n">
        <x:f>W1865*('Inputs'!$B$6-AC1865)</x:f>
        <x:v>13903.45428603989</x:v>
      </x:c>
      <x:c r="Y1865" s="80" t="n">
        <x:f>2*V1865</x:f>
        <x:v>2542.1034020953807</x:v>
      </x:c>
      <x:c r="Z1865" s="80" t="n">
        <x:f>K1865*'Inputs'!$B$16+(G1865+R1865)*J1865*'Inputs'!$B$16</x:f>
        <x:v>12.09672144542702</x:v>
      </x:c>
      <x:c r="AA1865" s="80" t="n">
        <x:f>K1865*(1+'Inputs'!$E$49)/2*'Inputs'!$B$17</x:f>
        <x:v>3.914968815218639</x:v>
      </x:c>
      <x:c r="AB1865" s="78" t="n">
        <x:f>(IF(J1865&gt;0,K1865*(1-'Inputs'!$E$49)/2/J1865,0)+G1865+R1865)*'Inputs'!$B$17</x:f>
        <x:v>271480.82922317483</x:v>
      </x:c>
      <x:c r="AC1865" s="78" t="n">
        <x:f>AC1864+AB1865</x:f>
        <x:v>4488104.375337311</x:v>
      </x:c>
      <x:c r="AD1865" s="80" t="n">
        <x:f>Z1865/(1+'Inputs'!$C$49)</x:f>
        <x:v>3.024180361356755</x:v>
      </x:c>
      <x:c r="AE1865" s="80" t="n">
        <x:f>Z1865-AD1865</x:f>
        <x:v>9.072541084070265</x:v>
      </x:c>
      <x:c r="AF1865" s="80" t="n">
        <x:f>D1865*W1865</x:f>
        <x:v>4.1905581667975556</x:v>
      </x:c>
      <x:c r="AG1865" s="80" t="n">
        <x:f>C1865*W1865</x:f>
        <x:v>9.777969055861007</x:v>
      </x:c>
      <x:c r="AH1865" s="80" t="n">
        <x:f>2*'Inputs'!$B$8*'Inputs'!$C$49</x:f>
        <x:v>15000</x:v>
      </x:c>
      <x:c r="AI1865" s="81" t="n">
        <x:f>IF(AH1865&gt;0,(AE1865+AF1865)/AH1865*365,0)</x:f>
        <x:v>0.3227354151044503</x:v>
      </x:c>
      <x:c r="AJ1865" s="81" t="n">
        <x:f>IF('Inputs'!$B$49&gt;0,AG1865/('Inputs'!$B$19*'Inputs'!$B$49)*365,0)</x:f>
        <x:v>0.35689587053892674</x:v>
      </x:c>
      <x:c r="AK1865" s="81" t="n">
        <x:f>W1865/MAX($W$1829:W1865)-1</x:f>
        <x:v>-0.9820074964057173</x:v>
      </x:c>
      <x:c r="AL1865" s="83" t="n">
        <x:f>'Inputs'!$B$49</x:f>
        <x:v>1</x:v>
      </x:c>
      <x:c r="AM1865" s="83" t="n">
        <x:f>'Inputs'!$C$49</x:f>
        <x:v>3</x:v>
      </x:c>
      <x:c r="AN1865" s="83" t="n">
        <x:f>'Inputs'!$D$49</x:f>
        <x:v>0.75</x:v>
      </x:c>
      <x:c r="AO1865" s="81" t="n">
        <x:f>'Inputs'!$E$49</x:f>
        <x:v>-0.03</x:v>
      </x:c>
    </x:row>
    <x:row r="1866">
      <x:c r="A1866" s="59" t="str">
        <x:v>Mercenary LP</x:v>
      </x:c>
      <x:c r="B1866" s="59" t="n">
        <x:v>38</x:v>
      </x:c>
      <x:c r="C1866" s="78" t="n">
        <x:f>(('Inputs'!$B$29*(3*38*'Inputs'!$B$12-38^2)/(2*'Inputs'!$B$12^2))-('Inputs'!$B$29*(3*37*'Inputs'!$B$12-37^2)/(2*'Inputs'!$B$12^2)))*'Inputs'!$B$49</x:f>
        <x:v>699794.7551135309</x:v>
      </x:c>
      <x:c r="D1866" s="78" t="n">
        <x:f>IF('Inputs'!$C$49&gt;0,('Inputs'!$B$30*(3*38*'Inputs'!$B$12-38^2)/(2*'Inputs'!$B$12^2))-('Inputs'!$B$30*(3*37*'Inputs'!$B$12-37^2)/(2*'Inputs'!$B$12^2)),0)</x:f>
        <x:v>299912.0379057992</x:v>
      </x:c>
      <x:c r="E1866" s="78" t="n">
        <x:f>C1866+D1866</x:f>
        <x:v>999706.7930193301</x:v>
      </x:c>
      <x:c r="F1866" s="78" t="n">
        <x:f>'Inputs'!$B$13*E1866+(1-'Inputs'!$B$13)/'Inputs'!$B$14*SUM(E1829:E1866)</x:f>
        <x:v>747303.6350963733</x:v>
      </x:c>
      <x:c r="G1866" s="78" t="n">
        <x:f>F1866*'Inputs'!$F$49</x:f>
        <x:v>672573.271586736</x:v>
      </x:c>
      <x:c r="H1866" s="78" t="n">
        <x:f>U1865</x:f>
        <x:v>91009547.86591715</x:v>
      </x:c>
      <x:c r="I1866" s="78" t="n">
        <x:f>V1865</x:f>
        <x:v>1271.0517010476904</x:v>
      </x:c>
      <x:c r="J1866" s="79" t="n">
        <x:f>IF(H1866&gt;0,I1866/H1866,0)</x:f>
        <x:v>0.00001396613576105564</x:v>
      </x:c>
      <x:c r="K1866" s="80" t="n">
        <x:f>(H1866*J1866+I1866)*'Inputs'!$D$49*(1+'Inputs'!$G$49)^(B1866/30)</x:f>
        <x:v>1906.5775515715354</x:v>
      </x:c>
      <x:c r="L1866" s="80" t="n">
        <x:f>MAX(0,K1866*'Inputs'!$E$49)</x:f>
        <x:v>0</x:v>
      </x:c>
      <x:c r="M1866" s="80" t="n">
        <x:f>MAX(0,-K1866*'Inputs'!$E$49)</x:f>
        <x:v>57.19732654714606</x:v>
      </x:c>
      <x:c r="N1866" s="78" t="n">
        <x:f>H1866*(L1866*(1-'Inputs'!$B$15))/(I1866+L1866*(1-'Inputs'!$B$15))</x:f>
        <x:v>0</x:v>
      </x:c>
      <x:c r="O1866" s="78" t="n">
        <x:f>H1866-N1866</x:f>
        <x:v>91009547.86591715</x:v>
      </x:c>
      <x:c r="P1866" s="78" t="n">
        <x:f>I1866+L1866*(1-'Inputs'!$B$17)</x:f>
        <x:v>1271.0517010476904</x:v>
      </x:c>
      <x:c r="Q1866" s="78" t="n">
        <x:f>IF(J1866&gt;0,M1866/J1866,0)</x:f>
        <x:v>4095429.6539662713</x:v>
      </x:c>
      <x:c r="R1866" s="78" t="n">
        <x:f>IF(B1866='Inputs'!$H$49,'Inputs'!$B$27*'Inputs'!$I$49,0)</x:f>
        <x:v>0</x:v>
      </x:c>
      <x:c r="S1866" s="78" t="n">
        <x:f>Q1866+G1866+R1866</x:f>
        <x:v>4768002.925553007</x:v>
      </x:c>
      <x:c r="T1866" s="78" t="n">
        <x:f>P1866*(S1866*(1-'Inputs'!$B$15))/(O1866+S1866*(1-'Inputs'!$B$15))</x:f>
        <x:v>62.674005501754316</x:v>
      </x:c>
      <x:c r="U1866" s="78" t="n">
        <x:f>O1866+S1866*(1-'Inputs'!$B$17)</x:f>
        <x:v>95758363.65696089</x:v>
      </x:c>
      <x:c r="V1866" s="78" t="n">
        <x:f>P1866-T1866</x:f>
        <x:v>1208.3776955459361</x:v>
      </x:c>
      <x:c r="W1866" s="79" t="n">
        <x:f>IF(U1866&gt;0,V1866/U1866,0)</x:f>
        <x:v>0.000012619030332167717</x:v>
      </x:c>
      <x:c r="X1866" s="80" t="n">
        <x:f>W1866*('Inputs'!$B$6-AC1866)</x:f>
        <x:v>12558.7905148417</x:v>
      </x:c>
      <x:c r="Y1866" s="80" t="n">
        <x:f>2*V1866</x:f>
        <x:v>2416.7553910918723</x:v>
      </x:c>
      <x:c r="Z1866" s="80" t="n">
        <x:f>K1866*'Inputs'!$B$16+(G1866+R1866)*J1866*'Inputs'!$B$16</x:f>
        <x:v>11.495824807150639</x:v>
      </x:c>
      <x:c r="AA1866" s="80" t="n">
        <x:f>K1866*(1+'Inputs'!$E$49)/2*'Inputs'!$B$17</x:f>
        <x:v>3.721086971880059</x:v>
      </x:c>
      <x:c r="AB1866" s="78" t="n">
        <x:f>(IF(J1866&gt;0,K1866*(1-'Inputs'!$E$49)/2/J1866,0)+G1866+R1866)*'Inputs'!$B$17</x:f>
        <x:v>285623.53721532284</x:v>
      </x:c>
      <x:c r="AC1866" s="78" t="n">
        <x:f>AC1865+AB1866</x:f>
        <x:v>4773727.912552634</x:v>
      </x:c>
      <x:c r="AD1866" s="80" t="n">
        <x:f>Z1866/(1+'Inputs'!$C$49)</x:f>
        <x:v>2.8739562017876596</x:v>
      </x:c>
      <x:c r="AE1866" s="80" t="n">
        <x:f>Z1866-AD1866</x:f>
        <x:v>8.621868605362978</x:v>
      </x:c>
      <x:c r="AF1866" s="80" t="n">
        <x:f>D1866*W1866</x:f>
        <x:v>3.7845991033155144</x:v>
      </x:c>
      <x:c r="AG1866" s="80" t="n">
        <x:f>C1866*W1866</x:f>
        <x:v>8.830731241069525</x:v>
      </x:c>
      <x:c r="AH1866" s="80" t="n">
        <x:f>2*'Inputs'!$B$8*'Inputs'!$C$49</x:f>
        <x:v>15000</x:v>
      </x:c>
      <x:c r="AI1866" s="81" t="n">
        <x:f>IF(AH1866&gt;0,(AE1866+AF1866)/AH1866*365,0)</x:f>
        <x:v>0.30189071424451003</x:v>
      </x:c>
      <x:c r="AJ1866" s="81" t="n">
        <x:f>IF('Inputs'!$B$49&gt;0,AG1866/('Inputs'!$B$19*'Inputs'!$B$49)*365,0)</x:f>
        <x:v>0.3223216902990377</x:v>
      </x:c>
      <x:c r="AK1866" s="81" t="n">
        <x:f>W1866/MAX($W$1829:W1866)-1</x:f>
        <x:v>-0.9837429656640593</x:v>
      </x:c>
      <x:c r="AL1866" s="83" t="n">
        <x:f>'Inputs'!$B$49</x:f>
        <x:v>1</x:v>
      </x:c>
      <x:c r="AM1866" s="83" t="n">
        <x:f>'Inputs'!$C$49</x:f>
        <x:v>3</x:v>
      </x:c>
      <x:c r="AN1866" s="83" t="n">
        <x:f>'Inputs'!$D$49</x:f>
        <x:v>0.75</x:v>
      </x:c>
      <x:c r="AO1866" s="81" t="n">
        <x:f>'Inputs'!$E$49</x:f>
        <x:v>-0.03</x:v>
      </x:c>
    </x:row>
    <x:row r="1867">
      <x:c r="A1867" s="59" t="str">
        <x:v>Mercenary LP</x:v>
      </x:c>
      <x:c r="B1867" s="59" t="n">
        <x:v>39</x:v>
      </x:c>
      <x:c r="C1867" s="78" t="n">
        <x:f>(('Inputs'!$B$29*(3*39*'Inputs'!$B$12-39^2)/(2*'Inputs'!$B$12^2))-('Inputs'!$B$29*(3*38*'Inputs'!$B$12-38^2)/(2*'Inputs'!$B$12^2)))*'Inputs'!$B$49</x:f>
        <x:v>699469.6472133584</x:v>
      </x:c>
      <x:c r="D1867" s="78" t="n">
        <x:f>IF('Inputs'!$C$49&gt;0,('Inputs'!$B$30*(3*39*'Inputs'!$B$12-39^2)/(2*'Inputs'!$B$12^2))-('Inputs'!$B$30*(3*38*'Inputs'!$B$12-38^2)/(2*'Inputs'!$B$12^2)),0)</x:f>
        <x:v>299772.7059485819</x:v>
      </x:c>
      <x:c r="E1867" s="78" t="n">
        <x:f>C1867+D1867</x:f>
        <x:v>999242.3531619404</x:v>
      </x:c>
      <x:c r="F1867" s="78" t="n">
        <x:f>'Inputs'!$B$13*E1867+(1-'Inputs'!$B$13)/'Inputs'!$B$14*SUM(E1829:E1867)</x:f>
        <x:v>761485.6378843514</x:v>
      </x:c>
      <x:c r="G1867" s="78" t="n">
        <x:f>F1867*'Inputs'!$F$49</x:f>
        <x:v>685337.0740959164</x:v>
      </x:c>
      <x:c r="H1867" s="78" t="n">
        <x:f>U1866</x:f>
        <x:v>95758363.65696089</x:v>
      </x:c>
      <x:c r="I1867" s="78" t="n">
        <x:f>V1866</x:f>
        <x:v>1208.3776955459361</x:v>
      </x:c>
      <x:c r="J1867" s="79" t="n">
        <x:f>IF(H1867&gt;0,I1867/H1867,0)</x:f>
        <x:v>0.000012619030332167717</x:v>
      </x:c>
      <x:c r="K1867" s="80" t="n">
        <x:f>(H1867*J1867+I1867)*'Inputs'!$D$49*(1+'Inputs'!$G$49)^(B1867/30)</x:f>
        <x:v>1812.5665433189042</x:v>
      </x:c>
      <x:c r="L1867" s="80" t="n">
        <x:f>MAX(0,K1867*'Inputs'!$E$49)</x:f>
        <x:v>0</x:v>
      </x:c>
      <x:c r="M1867" s="80" t="n">
        <x:f>MAX(0,-K1867*'Inputs'!$E$49)</x:f>
        <x:v>54.376996299567125</x:v>
      </x:c>
      <x:c r="N1867" s="78" t="n">
        <x:f>H1867*(L1867*(1-'Inputs'!$B$15))/(I1867+L1867*(1-'Inputs'!$B$15))</x:f>
        <x:v>0</x:v>
      </x:c>
      <x:c r="O1867" s="78" t="n">
        <x:f>H1867-N1867</x:f>
        <x:v>95758363.65696089</x:v>
      </x:c>
      <x:c r="P1867" s="78" t="n">
        <x:f>I1867+L1867*(1-'Inputs'!$B$17)</x:f>
        <x:v>1208.3776955459361</x:v>
      </x:c>
      <x:c r="Q1867" s="78" t="n">
        <x:f>IF(J1867&gt;0,M1867/J1867,0)</x:f>
        <x:v>4309126.36456324</x:v>
      </x:c>
      <x:c r="R1867" s="78" t="n">
        <x:f>IF(B1867='Inputs'!$H$49,'Inputs'!$B$27*'Inputs'!$I$49,0)</x:f>
        <x:v>0</x:v>
      </x:c>
      <x:c r="S1867" s="78" t="n">
        <x:f>Q1867+G1867+R1867</x:f>
        <x:v>4994463.438659156</x:v>
      </x:c>
      <x:c r="T1867" s="78" t="n">
        <x:f>P1867*(S1867*(1-'Inputs'!$B$15))/(O1867+S1867*(1-'Inputs'!$B$15))</x:f>
        <x:v>59.3314321523071</x:v>
      </x:c>
      <x:c r="U1867" s="78" t="n">
        <x:f>O1867+S1867*(1-'Inputs'!$B$17)</x:f>
        <x:v>100732728.65119888</x:v>
      </x:c>
      <x:c r="V1867" s="78" t="n">
        <x:f>P1867-T1867</x:f>
        <x:v>1149.046263393629</x:v>
      </x:c>
      <x:c r="W1867" s="79" t="n">
        <x:f>IF(U1867&gt;0,V1867/U1867,0)</x:f>
        <x:v>0.000011406881147559916</x:v>
      </x:c>
      <x:c r="X1867" s="80" t="n">
        <x:f>W1867*('Inputs'!$B$6-AC1867)</x:f>
        <x:v>11349.00074787597</x:v>
      </x:c>
      <x:c r="Y1867" s="80" t="n">
        <x:f>2*V1867</x:f>
        <x:v>2298.092526787258</x:v>
      </x:c>
      <x:c r="Z1867" s="80" t="n">
        <x:f>K1867*'Inputs'!$B$16+(G1867+R1867)*J1867*'Inputs'!$B$16</x:f>
        <x:v>10.927288995868079</x:v>
      </x:c>
      <x:c r="AA1867" s="80" t="n">
        <x:f>K1867*(1+'Inputs'!$E$49)/2*'Inputs'!$B$17</x:f>
        <x:v>3.5376047223729117</x:v>
      </x:c>
      <x:c r="AB1867" s="78" t="n">
        <x:f>(IF(J1867&gt;0,K1867*(1-'Inputs'!$E$49)/2/J1867,0)+G1867+R1867)*'Inputs'!$B$17</x:f>
        <x:v>300437.31589174335</x:v>
      </x:c>
      <x:c r="AC1867" s="78" t="n">
        <x:f>AC1866+AB1867</x:f>
        <x:v>5074165.228444378</x:v>
      </x:c>
      <x:c r="AD1867" s="80" t="n">
        <x:f>Z1867/(1+'Inputs'!$C$49)</x:f>
        <x:v>2.7318222489670196</x:v>
      </x:c>
      <x:c r="AE1867" s="80" t="n">
        <x:f>Z1867-AD1867</x:f>
        <x:v>8.195466746901058</x:v>
      </x:c>
      <x:c r="AF1867" s="80" t="n">
        <x:f>D1867*W1867</x:f>
        <x:v>3.4194716280379014</x:v>
      </x:c>
      <x:c r="AG1867" s="80" t="n">
        <x:f>C1867*W1867</x:f>
        <x:v>7.978767132088444</x:v>
      </x:c>
      <x:c r="AH1867" s="80" t="n">
        <x:f>2*'Inputs'!$B$8*'Inputs'!$C$49</x:f>
        <x:v>15000</x:v>
      </x:c>
      <x:c r="AI1867" s="81" t="n">
        <x:f>IF(AH1867&gt;0,(AE1867+AF1867)/AH1867*365,0)</x:f>
        <x:v>0.28263016712351463</x:v>
      </x:c>
      <x:c r="AJ1867" s="81" t="n">
        <x:f>IF('Inputs'!$B$49&gt;0,AG1867/('Inputs'!$B$19*'Inputs'!$B$49)*365,0)</x:f>
        <x:v>0.2912250003212282</x:v>
      </x:c>
      <x:c r="AK1867" s="81" t="n">
        <x:f>W1867/MAX($W$1829:W1867)-1</x:f>
        <x:v>-0.9853045714606805</x:v>
      </x:c>
      <x:c r="AL1867" s="83" t="n">
        <x:f>'Inputs'!$B$49</x:f>
        <x:v>1</x:v>
      </x:c>
      <x:c r="AM1867" s="83" t="n">
        <x:f>'Inputs'!$C$49</x:f>
        <x:v>3</x:v>
      </x:c>
      <x:c r="AN1867" s="83" t="n">
        <x:f>'Inputs'!$D$49</x:f>
        <x:v>0.75</x:v>
      </x:c>
      <x:c r="AO1867" s="81" t="n">
        <x:f>'Inputs'!$E$49</x:f>
        <x:v>-0.03</x:v>
      </x:c>
    </x:row>
    <x:row r="1868">
      <x:c r="A1868" s="59" t="str">
        <x:v>Mercenary LP</x:v>
      </x:c>
      <x:c r="B1868" s="59" t="n">
        <x:v>40</x:v>
      </x:c>
      <x:c r="C1868" s="78" t="n">
        <x:f>(('Inputs'!$B$29*(3*40*'Inputs'!$B$12-40^2)/(2*'Inputs'!$B$12^2))-('Inputs'!$B$29*(3*39*'Inputs'!$B$12-39^2)/(2*'Inputs'!$B$12^2)))*'Inputs'!$B$49</x:f>
        <x:v>699144.5393131934</x:v>
      </x:c>
      <x:c r="D1868" s="78" t="n">
        <x:f>IF('Inputs'!$C$49&gt;0,('Inputs'!$B$30*(3*40*'Inputs'!$B$12-40^2)/(2*'Inputs'!$B$12^2))-('Inputs'!$B$30*(3*39*'Inputs'!$B$12-39^2)/(2*'Inputs'!$B$12^2)),0)</x:f>
        <x:v>299633.37399136834</x:v>
      </x:c>
      <x:c r="E1868" s="78" t="n">
        <x:f>C1868+D1868</x:f>
        <x:v>998777.9133045617</x:v>
      </x:c>
      <x:c r="F1868" s="78" t="n">
        <x:f>'Inputs'!$B$13*E1868+(1-'Inputs'!$B$13)/'Inputs'!$B$14*SUM(E1829:E1868)</x:f>
        <x:v>775661.0058172266</x:v>
      </x:c>
      <x:c r="G1868" s="78" t="n">
        <x:f>F1868*'Inputs'!$F$49</x:f>
        <x:v>698094.9052355039</x:v>
      </x:c>
      <x:c r="H1868" s="78" t="n">
        <x:f>U1867</x:f>
        <x:v>100732728.65119888</x:v>
      </x:c>
      <x:c r="I1868" s="78" t="n">
        <x:f>V1867</x:f>
        <x:v>1149.046263393629</x:v>
      </x:c>
      <x:c r="J1868" s="79" t="n">
        <x:f>IF(H1868&gt;0,I1868/H1868,0)</x:f>
        <x:v>0.000011406881147559916</x:v>
      </x:c>
      <x:c r="K1868" s="80" t="n">
        <x:f>(H1868*J1868+I1868)*'Inputs'!$D$49*(1+'Inputs'!$G$49)^(B1868/30)</x:f>
        <x:v>1723.5693950904435</x:v>
      </x:c>
      <x:c r="L1868" s="80" t="n">
        <x:f>MAX(0,K1868*'Inputs'!$E$49)</x:f>
        <x:v>0</x:v>
      </x:c>
      <x:c r="M1868" s="80" t="n">
        <x:f>MAX(0,-K1868*'Inputs'!$E$49)</x:f>
        <x:v>51.7070818527133</x:v>
      </x:c>
      <x:c r="N1868" s="78" t="n">
        <x:f>H1868*(L1868*(1-'Inputs'!$B$15))/(I1868+L1868*(1-'Inputs'!$B$15))</x:f>
        <x:v>0</x:v>
      </x:c>
      <x:c r="O1868" s="78" t="n">
        <x:f>H1868-N1868</x:f>
        <x:v>100732728.65119888</x:v>
      </x:c>
      <x:c r="P1868" s="78" t="n">
        <x:f>I1868+L1868*(1-'Inputs'!$B$17)</x:f>
        <x:v>1149.046263393629</x:v>
      </x:c>
      <x:c r="Q1868" s="78" t="n">
        <x:f>IF(J1868&gt;0,M1868/J1868,0)</x:f>
        <x:v>4532972.789303949</x:v>
      </x:c>
      <x:c r="R1868" s="78" t="n">
        <x:f>IF(B1868='Inputs'!$H$49,'Inputs'!$B$27*'Inputs'!$I$49,0)</x:f>
        <x:v>0</x:v>
      </x:c>
      <x:c r="S1868" s="78" t="n">
        <x:f>Q1868+G1868+R1868</x:f>
        <x:v>5231067.694539453</x:v>
      </x:c>
      <x:c r="T1868" s="78" t="n">
        <x:f>P1868*(S1868*(1-'Inputs'!$B$15))/(O1868+S1868*(1-'Inputs'!$B$15))</x:f>
        <x:v>56.18494880431419</x:v>
      </x:c>
      <x:c r="U1868" s="78" t="n">
        <x:f>O1868+S1868*(1-'Inputs'!$B$17)</x:f>
        <x:v>105942745.77151483</x:v>
      </x:c>
      <x:c r="V1868" s="78" t="n">
        <x:f>P1868-T1868</x:f>
        <x:v>1092.8613145893148</x:v>
      </x:c>
      <x:c r="W1868" s="79" t="n">
        <x:f>IF(U1868&gt;0,V1868/U1868,0)</x:f>
        <x:v>0.00001031558420192613</x:v>
      </x:c>
      <x:c r="X1868" s="80" t="n">
        <x:f>W1868*('Inputs'!$B$6-AC1868)</x:f>
        <x:v>10259.98199148201</x:v>
      </x:c>
      <x:c r="Y1868" s="80" t="n">
        <x:f>2*V1868</x:f>
        <x:v>2185.7226291786296</x:v>
      </x:c>
      <x:c r="Z1868" s="80" t="n">
        <x:f>K1868*'Inputs'!$B$16+(G1868+R1868)*J1868*'Inputs'!$B$16</x:f>
        <x:v>10.389194884225093</x:v>
      </x:c>
      <x:c r="AA1868" s="80" t="n">
        <x:f>K1868*(1+'Inputs'!$E$49)/2*'Inputs'!$B$17</x:f>
        <x:v>3.3639080749250105</x:v>
      </x:c>
      <x:c r="AB1868" s="78" t="n">
        <x:f>(IF(J1868&gt;0,K1868*(1-'Inputs'!$E$49)/2/J1868,0)+G1868+R1868)*'Inputs'!$B$17</x:f>
        <x:v>315952.2245001474</x:v>
      </x:c>
      <x:c r="AC1868" s="78" t="n">
        <x:f>AC1867+AB1868</x:f>
        <x:v>5390117.4529445255</x:v>
      </x:c>
      <x:c r="AD1868" s="80" t="n">
        <x:f>Z1868/(1+'Inputs'!$C$49)</x:f>
        <x:v>2.5972987210562732</x:v>
      </x:c>
      <x:c r="AE1868" s="80" t="n">
        <x:f>Z1868-AD1868</x:f>
        <x:v>7.79189616316882</x:v>
      </x:c>
      <x:c r="AF1868" s="80" t="n">
        <x:f>D1868*W1868</x:f>
        <x:v>3.090893299115183</x:v>
      </x:c>
      <x:c r="AG1868" s="80" t="n">
        <x:f>C1868*W1868</x:f>
        <x:v>7.2120843646021005</x:v>
      </x:c>
      <x:c r="AH1868" s="80" t="n">
        <x:f>2*'Inputs'!$B$8*'Inputs'!$C$49</x:f>
        <x:v>15000</x:v>
      </x:c>
      <x:c r="AI1868" s="81" t="n">
        <x:f>IF(AH1868&gt;0,(AE1868+AF1868)/AH1868*365,0)</x:f>
        <x:v>0.2648145435822441</x:v>
      </x:c>
      <x:c r="AJ1868" s="81" t="n">
        <x:f>IF('Inputs'!$B$49&gt;0,AG1868/('Inputs'!$B$19*'Inputs'!$B$49)*365,0)</x:f>
        <x:v>0.2632410793079767</x:v>
      </x:c>
      <x:c r="AK1868" s="81" t="n">
        <x:f>W1868/MAX($W$1829:W1868)-1</x:f>
        <x:v>-0.9867104839158277</x:v>
      </x:c>
      <x:c r="AL1868" s="83" t="n">
        <x:f>'Inputs'!$B$49</x:f>
        <x:v>1</x:v>
      </x:c>
      <x:c r="AM1868" s="83" t="n">
        <x:f>'Inputs'!$C$49</x:f>
        <x:v>3</x:v>
      </x:c>
      <x:c r="AN1868" s="83" t="n">
        <x:f>'Inputs'!$D$49</x:f>
        <x:v>0.75</x:v>
      </x:c>
      <x:c r="AO1868" s="81" t="n">
        <x:f>'Inputs'!$E$49</x:f>
        <x:v>-0.03</x:v>
      </x:c>
    </x:row>
    <x:row r="1869">
      <x:c r="A1869" s="59" t="str">
        <x:v>Mercenary LP</x:v>
      </x:c>
      <x:c r="B1869" s="59" t="n">
        <x:v>41</x:v>
      </x:c>
      <x:c r="C1869" s="78" t="n">
        <x:f>(('Inputs'!$B$29*(3*41*'Inputs'!$B$12-41^2)/(2*'Inputs'!$B$12^2))-('Inputs'!$B$29*(3*40*'Inputs'!$B$12-40^2)/(2*'Inputs'!$B$12^2)))*'Inputs'!$B$49</x:f>
        <x:v>698819.4314130247</x:v>
      </x:c>
      <x:c r="D1869" s="78" t="n">
        <x:f>IF('Inputs'!$C$49&gt;0,('Inputs'!$B$30*(3*41*'Inputs'!$B$12-41^2)/(2*'Inputs'!$B$12^2))-('Inputs'!$B$30*(3*40*'Inputs'!$B$12-40^2)/(2*'Inputs'!$B$12^2)),0)</x:f>
        <x:v>299494.0420341529</x:v>
      </x:c>
      <x:c r="E1869" s="78" t="n">
        <x:f>C1869+D1869</x:f>
        <x:v>998313.4734471776</x:v>
      </x:c>
      <x:c r="F1869" s="78" t="n">
        <x:f>'Inputs'!$B$13*E1869+(1-'Inputs'!$B$13)/'Inputs'!$B$14*SUM(E1829:E1869)</x:f>
        <x:v>789829.7388949952</x:v>
      </x:c>
      <x:c r="G1869" s="78" t="n">
        <x:f>F1869*'Inputs'!$F$49</x:f>
        <x:v>710846.7650054956</x:v>
      </x:c>
      <x:c r="H1869" s="78" t="n">
        <x:f>U1868</x:f>
        <x:v>105942745.77151483</x:v>
      </x:c>
      <x:c r="I1869" s="78" t="n">
        <x:f>V1868</x:f>
        <x:v>1092.8613145893148</x:v>
      </x:c>
      <x:c r="J1869" s="79" t="n">
        <x:f>IF(H1869&gt;0,I1869/H1869,0)</x:f>
        <x:v>0.00001031558420192613</x:v>
      </x:c>
      <x:c r="K1869" s="80" t="n">
        <x:f>(H1869*J1869+I1869)*'Inputs'!$D$49*(1+'Inputs'!$G$49)^(B1869/30)</x:f>
        <x:v>1639.291971883972</x:v>
      </x:c>
      <x:c r="L1869" s="80" t="n">
        <x:f>MAX(0,K1869*'Inputs'!$E$49)</x:f>
        <x:v>0</x:v>
      </x:c>
      <x:c r="M1869" s="80" t="n">
        <x:f>MAX(0,-K1869*'Inputs'!$E$49)</x:f>
        <x:v>49.17875915651916</x:v>
      </x:c>
      <x:c r="N1869" s="78" t="n">
        <x:f>H1869*(L1869*(1-'Inputs'!$B$15))/(I1869+L1869*(1-'Inputs'!$B$15))</x:f>
        <x:v>0</x:v>
      </x:c>
      <x:c r="O1869" s="78" t="n">
        <x:f>H1869-N1869</x:f>
        <x:v>105942745.77151483</x:v>
      </x:c>
      <x:c r="P1869" s="78" t="n">
        <x:f>I1869+L1869*(1-'Inputs'!$B$17)</x:f>
        <x:v>1092.8613145893148</x:v>
      </x:c>
      <x:c r="Q1869" s="78" t="n">
        <x:f>IF(J1869&gt;0,M1869/J1869,0)</x:f>
        <x:v>4767423.559718167</x:v>
      </x:c>
      <x:c r="R1869" s="78" t="n">
        <x:f>IF(B1869='Inputs'!$H$49,'Inputs'!$B$27*'Inputs'!$I$49,0)</x:f>
        <x:v>0</x:v>
      </x:c>
      <x:c r="S1869" s="78" t="n">
        <x:f>Q1869+G1869+R1869</x:f>
        <x:v>5478270.324723663</x:v>
      </x:c>
      <x:c r="T1869" s="78" t="n">
        <x:f>P1869*(S1869*(1-'Inputs'!$B$15))/(O1869+S1869*(1-'Inputs'!$B$15))</x:f>
        <x:v>53.22187552801459</x:v>
      </x:c>
      <x:c r="U1869" s="78" t="n">
        <x:f>O1869+S1869*(1-'Inputs'!$B$17)</x:f>
        <x:v>111398970.74281909</x:v>
      </x:c>
      <x:c r="V1869" s="78" t="n">
        <x:f>P1869-T1869</x:f>
        <x:v>1039.6394390613002</x:v>
      </x:c>
      <x:c r="W1869" s="79" t="n">
        <x:f>IF(U1869&gt;0,V1869/U1869,0)</x:f>
        <x:v>0.000009332576702718922</x:v>
      </x:c>
      <x:c r="X1869" s="80" t="n">
        <x:f>W1869*('Inputs'!$B$6-AC1869)</x:f>
        <x:v>9279.172739256323</x:v>
      </x:c>
      <x:c r="Y1869" s="80" t="n">
        <x:f>2*V1869</x:f>
        <x:v>2079.2788781226004</x:v>
      </x:c>
      <x:c r="Z1869" s="80" t="n">
        <x:f>K1869*'Inputs'!$B$16+(G1869+R1869)*J1869*'Inputs'!$B$16</x:f>
        <x:v>9.87974862925832</x:v>
      </x:c>
      <x:c r="AA1869" s="80" t="n">
        <x:f>K1869*(1+'Inputs'!$E$49)/2*'Inputs'!$B$17</x:f>
        <x:v>3.199422963234312</x:v>
      </x:c>
      <x:c r="AB1869" s="78" t="n">
        <x:f>(IF(J1869&gt;0,K1869*(1-'Inputs'!$E$49)/2/J1869,0)+G1869+R1869)*'Inputs'!$B$17</x:f>
        <x:v>332199.66951106925</x:v>
      </x:c>
      <x:c r="AC1869" s="78" t="n">
        <x:f>AC1868+AB1869</x:f>
        <x:v>5722317.122455595</x:v>
      </x:c>
      <x:c r="AD1869" s="80" t="n">
        <x:f>Z1869/(1+'Inputs'!$C$49)</x:f>
        <x:v>2.46993715731458</x:v>
      </x:c>
      <x:c r="AE1869" s="80" t="n">
        <x:f>Z1869-AD1869</x:f>
        <x:v>7.40981147194374</x:v>
      </x:c>
      <x:c r="AF1869" s="80" t="n">
        <x:f>D1869*W1869</x:f>
        <x:v>2.7950511192910565</x:v>
      </x:c>
      <x:c r="AG1869" s="80" t="n">
        <x:f>C1869*W1869</x:f>
        <x:v>6.5217859450124775</x:v>
      </x:c>
      <x:c r="AH1869" s="80" t="n">
        <x:f>2*'Inputs'!$B$8*'Inputs'!$C$49</x:f>
        <x:v>15000</x:v>
      </x:c>
      <x:c r="AI1869" s="81" t="n">
        <x:f>IF(AH1869&gt;0,(AE1869+AF1869)/AH1869*365,0)</x:f>
        <x:v>0.24831832305338003</x:v>
      </x:c>
      <x:c r="AJ1869" s="81" t="n">
        <x:f>IF('Inputs'!$B$49&gt;0,AG1869/('Inputs'!$B$19*'Inputs'!$B$49)*365,0)</x:f>
        <x:v>0.2380451869929554</x:v>
      </x:c>
      <x:c r="AK1869" s="81" t="n">
        <x:f>W1869/MAX($W$1829:W1869)-1</x:f>
        <x:v>-0.9879768876129772</x:v>
      </x:c>
      <x:c r="AL1869" s="83" t="n">
        <x:f>'Inputs'!$B$49</x:f>
        <x:v>1</x:v>
      </x:c>
      <x:c r="AM1869" s="83" t="n">
        <x:f>'Inputs'!$C$49</x:f>
        <x:v>3</x:v>
      </x:c>
      <x:c r="AN1869" s="83" t="n">
        <x:f>'Inputs'!$D$49</x:f>
        <x:v>0.75</x:v>
      </x:c>
      <x:c r="AO1869" s="81" t="n">
        <x:f>'Inputs'!$E$49</x:f>
        <x:v>-0.03</x:v>
      </x:c>
    </x:row>
    <x:row r="1870">
      <x:c r="A1870" s="59" t="str">
        <x:v>Mercenary LP</x:v>
      </x:c>
      <x:c r="B1870" s="59" t="n">
        <x:v>42</x:v>
      </x:c>
      <x:c r="C1870" s="78" t="n">
        <x:f>(('Inputs'!$B$29*(3*42*'Inputs'!$B$12-42^2)/(2*'Inputs'!$B$12^2))-('Inputs'!$B$29*(3*41*'Inputs'!$B$12-41^2)/(2*'Inputs'!$B$12^2)))*'Inputs'!$B$49</x:f>
        <x:v>698494.3235128522</x:v>
      </x:c>
      <x:c r="D1870" s="78" t="n">
        <x:f>IF('Inputs'!$C$49&gt;0,('Inputs'!$B$30*(3*42*'Inputs'!$B$12-42^2)/(2*'Inputs'!$B$12^2))-('Inputs'!$B$30*(3*41*'Inputs'!$B$12-41^2)/(2*'Inputs'!$B$12^2)),0)</x:f>
        <x:v>299354.71007693745</x:v>
      </x:c>
      <x:c r="E1870" s="78" t="n">
        <x:f>C1870+D1870</x:f>
        <x:v>997849.0335897896</x:v>
      </x:c>
      <x:c r="F1870" s="78" t="n">
        <x:f>'Inputs'!$B$13*E1870+(1-'Inputs'!$B$13)/'Inputs'!$B$14*SUM(E1829:E1870)</x:f>
        <x:v>803991.8371176574</x:v>
      </x:c>
      <x:c r="G1870" s="78" t="n">
        <x:f>F1870*'Inputs'!$F$49</x:f>
        <x:v>723592.6534058917</x:v>
      </x:c>
      <x:c r="H1870" s="78" t="n">
        <x:f>U1869</x:f>
        <x:v>111398970.74281909</x:v>
      </x:c>
      <x:c r="I1870" s="78" t="n">
        <x:f>V1869</x:f>
        <x:v>1039.6394390613002</x:v>
      </x:c>
      <x:c r="J1870" s="79" t="n">
        <x:f>IF(H1870&gt;0,I1870/H1870,0)</x:f>
        <x:v>0.000009332576702718922</x:v>
      </x:c>
      <x:c r="K1870" s="80" t="n">
        <x:f>(H1870*J1870+I1870)*'Inputs'!$D$49*(1+'Inputs'!$G$49)^(B1870/30)</x:f>
        <x:v>1559.4591585919502</x:v>
      </x:c>
      <x:c r="L1870" s="80" t="n">
        <x:f>MAX(0,K1870*'Inputs'!$E$49)</x:f>
        <x:v>0</x:v>
      </x:c>
      <x:c r="M1870" s="80" t="n">
        <x:f>MAX(0,-K1870*'Inputs'!$E$49)</x:f>
        <x:v>46.78377475775851</x:v>
      </x:c>
      <x:c r="N1870" s="78" t="n">
        <x:f>H1870*(L1870*(1-'Inputs'!$B$15))/(I1870+L1870*(1-'Inputs'!$B$15))</x:f>
        <x:v>0</x:v>
      </x:c>
      <x:c r="O1870" s="78" t="n">
        <x:f>H1870-N1870</x:f>
        <x:v>111398970.74281909</x:v>
      </x:c>
      <x:c r="P1870" s="78" t="n">
        <x:f>I1870+L1870*(1-'Inputs'!$B$17)</x:f>
        <x:v>1039.6394390613002</x:v>
      </x:c>
      <x:c r="Q1870" s="78" t="n">
        <x:f>IF(J1870&gt;0,M1870/J1870,0)</x:f>
        <x:v>5012953.683426859</x:v>
      </x:c>
      <x:c r="R1870" s="78" t="n">
        <x:f>IF(B1870='Inputs'!$H$49,'Inputs'!$B$27*'Inputs'!$I$49,0)</x:f>
        <x:v>0</x:v>
      </x:c>
      <x:c r="S1870" s="78" t="n">
        <x:f>Q1870+G1870+R1870</x:f>
        <x:v>5736546.336832751</x:v>
      </x:c>
      <x:c r="T1870" s="78" t="n">
        <x:f>P1870*(S1870*(1-'Inputs'!$B$15))/(O1870+S1870*(1-'Inputs'!$B$15))</x:f>
        <x:v>50.43042050208652</x:v>
      </x:c>
      <x:c r="U1870" s="78" t="n">
        <x:f>O1870+S1870*(1-'Inputs'!$B$17)</x:f>
        <x:v>117112432.38614346</x:v>
      </x:c>
      <x:c r="V1870" s="78" t="n">
        <x:f>P1870-T1870</x:f>
        <x:v>989.2090185592137</x:v>
      </x:c>
      <x:c r="W1870" s="79" t="n">
        <x:f>IF(U1870&gt;0,V1870/U1870,0)</x:f>
        <x:v>0.000008446661028246692</x:v>
      </x:c>
      <x:c r="X1870" s="80" t="n">
        <x:f>W1870*('Inputs'!$B$6-AC1870)</x:f>
        <x:v>8395.376875898493</x:v>
      </x:c>
      <x:c r="Y1870" s="80" t="n">
        <x:f>2*V1870</x:f>
        <x:v>1978.4180371184275</x:v>
      </x:c>
      <x:c r="Z1870" s="80" t="n">
        <x:f>K1870*'Inputs'!$B$16+(G1870+R1870)*J1870*'Inputs'!$B$16</x:f>
        <x:v>9.397272855188309</x:v>
      </x:c>
      <x:c r="AA1870" s="80" t="n">
        <x:f>K1870*(1+'Inputs'!$E$49)/2*'Inputs'!$B$17</x:f>
        <x:v>3.0436124423223174</x:v>
      </x:c>
      <x:c r="AB1870" s="78" t="n">
        <x:f>(IF(J1870&gt;0,K1870*(1-'Inputs'!$E$49)/2/J1870,0)+G1870+R1870)*'Inputs'!$B$17</x:f>
        <x:v>349212.46499892813</x:v>
      </x:c>
      <x:c r="AC1870" s="78" t="n">
        <x:f>AC1869+AB1870</x:f>
        <x:v>6071529.587454523</x:v>
      </x:c>
      <x:c r="AD1870" s="80" t="n">
        <x:f>Z1870/(1+'Inputs'!$C$49)</x:f>
        <x:v>2.349318213797077</x:v>
      </x:c>
      <x:c r="AE1870" s="80" t="n">
        <x:f>Z1870-AD1870</x:f>
        <x:v>7.0479546413912315</x:v>
      </x:c>
      <x:c r="AF1870" s="80" t="n">
        <x:f>D1870*W1870</x:f>
        <x:v>2.528547763228955</x:v>
      </x:c>
      <x:c r="AG1870" s="80" t="n">
        <x:f>C1870*W1870</x:f>
        <x:v>5.899944780867545</x:v>
      </x:c>
      <x:c r="AH1870" s="80" t="n">
        <x:f>2*'Inputs'!$B$8*'Inputs'!$C$49</x:f>
        <x:v>15000</x:v>
      </x:c>
      <x:c r="AI1870" s="81" t="n">
        <x:f>IF(AH1870&gt;0,(AE1870+AF1870)/AH1870*365,0)</x:f>
        <x:v>0.23302822517909116</x:v>
      </x:c>
      <x:c r="AJ1870" s="81" t="n">
        <x:f>IF('Inputs'!$B$49&gt;0,AG1870/('Inputs'!$B$19*'Inputs'!$B$49)*365,0)</x:f>
        <x:v>0.21534798450166542</x:v>
      </x:c>
      <x:c r="AK1870" s="81" t="n">
        <x:f>W1870/MAX($W$1829:W1870)-1</x:f>
        <x:v>-0.9891182083927467</x:v>
      </x:c>
      <x:c r="AL1870" s="83" t="n">
        <x:f>'Inputs'!$B$49</x:f>
        <x:v>1</x:v>
      </x:c>
      <x:c r="AM1870" s="83" t="n">
        <x:f>'Inputs'!$C$49</x:f>
        <x:v>3</x:v>
      </x:c>
      <x:c r="AN1870" s="83" t="n">
        <x:f>'Inputs'!$D$49</x:f>
        <x:v>0.75</x:v>
      </x:c>
      <x:c r="AO1870" s="81" t="n">
        <x:f>'Inputs'!$E$49</x:f>
        <x:v>-0.03</x:v>
      </x:c>
    </x:row>
    <x:row r="1871">
      <x:c r="A1871" s="59" t="str">
        <x:v>Mercenary LP</x:v>
      </x:c>
      <x:c r="B1871" s="59" t="n">
        <x:v>43</x:v>
      </x:c>
      <x:c r="C1871" s="78" t="n">
        <x:f>(('Inputs'!$B$29*(3*43*'Inputs'!$B$12-43^2)/(2*'Inputs'!$B$12^2))-('Inputs'!$B$29*(3*42*'Inputs'!$B$12-42^2)/(2*'Inputs'!$B$12^2)))*'Inputs'!$B$49</x:f>
        <x:v>698169.2156126872</x:v>
      </x:c>
      <x:c r="D1871" s="78" t="n">
        <x:f>IF('Inputs'!$C$49&gt;0,('Inputs'!$B$30*(3*43*'Inputs'!$B$12-43^2)/(2*'Inputs'!$B$12^2))-('Inputs'!$B$30*(3*42*'Inputs'!$B$12-42^2)/(2*'Inputs'!$B$12^2)),0)</x:f>
        <x:v>299215.378119722</x:v>
      </x:c>
      <x:c r="E1871" s="78" t="n">
        <x:f>C1871+D1871</x:f>
        <x:v>997384.5937324092</x:v>
      </x:c>
      <x:c r="F1871" s="78" t="n">
        <x:f>'Inputs'!$B$13*E1871+(1-'Inputs'!$B$13)/'Inputs'!$B$14*SUM(E1829:E1871)</x:f>
        <x:v>818147.3004852157</x:v>
      </x:c>
      <x:c r="G1871" s="78" t="n">
        <x:f>F1871*'Inputs'!$F$49</x:f>
        <x:v>736332.5704366942</x:v>
      </x:c>
      <x:c r="H1871" s="78" t="n">
        <x:f>U1870</x:f>
        <x:v>117112432.38614346</x:v>
      </x:c>
      <x:c r="I1871" s="78" t="n">
        <x:f>V1870</x:f>
        <x:v>989.2090185592137</x:v>
      </x:c>
      <x:c r="J1871" s="79" t="n">
        <x:f>IF(H1871&gt;0,I1871/H1871,0)</x:f>
        <x:v>0.000008446661028246692</x:v>
      </x:c>
      <x:c r="K1871" s="80" t="n">
        <x:f>(H1871*J1871+I1871)*'Inputs'!$D$49*(1+'Inputs'!$G$49)^(B1871/30)</x:f>
        <x:v>1483.8135278388206</x:v>
      </x:c>
      <x:c r="L1871" s="80" t="n">
        <x:f>MAX(0,K1871*'Inputs'!$E$49)</x:f>
        <x:v>0</x:v>
      </x:c>
      <x:c r="M1871" s="80" t="n">
        <x:f>MAX(0,-K1871*'Inputs'!$E$49)</x:f>
        <x:v>44.51440583516462</x:v>
      </x:c>
      <x:c r="N1871" s="78" t="n">
        <x:f>H1871*(L1871*(1-'Inputs'!$B$15))/(I1871+L1871*(1-'Inputs'!$B$15))</x:f>
        <x:v>0</x:v>
      </x:c>
      <x:c r="O1871" s="78" t="n">
        <x:f>H1871-N1871</x:f>
        <x:v>117112432.38614346</x:v>
      </x:c>
      <x:c r="P1871" s="78" t="n">
        <x:f>I1871+L1871*(1-'Inputs'!$B$17)</x:f>
        <x:v>989.2090185592137</x:v>
      </x:c>
      <x:c r="Q1871" s="78" t="n">
        <x:f>IF(J1871&gt;0,M1871/J1871,0)</x:f>
        <x:v>5270059.457376456</x:v>
      </x:c>
      <x:c r="R1871" s="78" t="n">
        <x:f>IF(B1871='Inputs'!$H$49,'Inputs'!$B$27*'Inputs'!$I$49,0)</x:f>
        <x:v>0</x:v>
      </x:c>
      <x:c r="S1871" s="78" t="n">
        <x:f>Q1871+G1871+R1871</x:f>
        <x:v>6006392.02781315</x:v>
      </x:c>
      <x:c r="T1871" s="78" t="n">
        <x:f>P1871*(S1871*(1-'Inputs'!$B$15))/(O1871+S1871*(1-'Inputs'!$B$15))</x:f>
        <x:v>47.799615140670525</x:v>
      </x:c>
      <x:c r="U1871" s="78" t="n">
        <x:f>O1871+S1871*(1-'Inputs'!$B$17)</x:f>
        <x:v>123094653.8222954</x:v>
      </x:c>
      <x:c r="V1871" s="78" t="n">
        <x:f>P1871-T1871</x:f>
        <x:v>941.4094034185432</x:v>
      </x:c>
      <x:c r="W1871" s="79" t="n">
        <x:f>IF(U1871&gt;0,V1871/U1871,0)</x:f>
        <x:v>0.000007647849635920023</x:v>
      </x:c>
      <x:c r="X1871" s="80" t="n">
        <x:f>W1871*('Inputs'!$B$6-AC1871)</x:f>
        <x:v>7598.608539359954</x:v>
      </x:c>
      <x:c r="Y1871" s="80" t="n">
        <x:f>2*V1871</x:f>
        <x:v>1882.8188068370864</x:v>
      </x:c>
      <x:c r="Z1871" s="80" t="n">
        <x:f>K1871*'Inputs'!$B$16+(G1871+R1871)*J1871*'Inputs'!$B$16</x:f>
        <x:v>8.94019847679214</x:v>
      </x:c>
      <x:c r="AA1871" s="80" t="n">
        <x:f>K1871*(1+'Inputs'!$E$49)/2*'Inputs'!$B$17</x:f>
        <x:v>2.8959740885385434</x:v>
      </x:c>
      <x:c r="AB1871" s="78" t="n">
        <x:f>(IF(J1871&gt;0,K1871*(1-'Inputs'!$E$49)/2/J1871,0)+G1871+R1871)*'Inputs'!$B$17</x:f>
        <x:v>367024.895729306</x:v>
      </x:c>
      <x:c r="AC1871" s="78" t="n">
        <x:f>AC1870+AB1871</x:f>
        <x:v>6438554.483183829</x:v>
      </x:c>
      <x:c r="AD1871" s="80" t="n">
        <x:f>Z1871/(1+'Inputs'!$C$49)</x:f>
        <x:v>2.235049619198035</x:v>
      </x:c>
      <x:c r="AE1871" s="80" t="n">
        <x:f>Z1871-AD1871</x:f>
        <x:v>6.705148857594105</x:v>
      </x:c>
      <x:c r="AF1871" s="80" t="n">
        <x:f>D1871*W1871</x:f>
        <x:v>2.288354220614588</x:v>
      </x:c>
      <x:c r="AG1871" s="80" t="n">
        <x:f>C1871*W1871</x:f>
        <x:v>5.339493181434058</x:v>
      </x:c>
      <x:c r="AH1871" s="80" t="n">
        <x:f>2*'Inputs'!$B$8*'Inputs'!$C$49</x:f>
        <x:v>15000</x:v>
      </x:c>
      <x:c r="AI1871" s="81" t="n">
        <x:f>IF(AH1871&gt;0,(AE1871+AF1871)/AH1871*365,0)</x:f>
        <x:v>0.21884190823641153</x:v>
      </x:c>
      <x:c r="AJ1871" s="81" t="n">
        <x:f>IF('Inputs'!$B$49&gt;0,AG1871/('Inputs'!$B$19*'Inputs'!$B$49)*365,0)</x:f>
        <x:v>0.1948915011223431</x:v>
      </x:c>
      <x:c r="AK1871" s="81" t="n">
        <x:f>W1871/MAX($W$1829:W1871)-1</x:f>
        <x:v>-0.9901473131568339</x:v>
      </x:c>
      <x:c r="AL1871" s="83" t="n">
        <x:f>'Inputs'!$B$49</x:f>
        <x:v>1</x:v>
      </x:c>
      <x:c r="AM1871" s="83" t="n">
        <x:f>'Inputs'!$C$49</x:f>
        <x:v>3</x:v>
      </x:c>
      <x:c r="AN1871" s="83" t="n">
        <x:f>'Inputs'!$D$49</x:f>
        <x:v>0.75</x:v>
      </x:c>
      <x:c r="AO1871" s="81" t="n">
        <x:f>'Inputs'!$E$49</x:f>
        <x:v>-0.03</x:v>
      </x:c>
    </x:row>
    <x:row r="1872">
      <x:c r="A1872" s="59" t="str">
        <x:v>Mercenary LP</x:v>
      </x:c>
      <x:c r="B1872" s="59" t="n">
        <x:v>44</x:v>
      </x:c>
      <x:c r="C1872" s="78" t="n">
        <x:f>(('Inputs'!$B$29*(3*44*'Inputs'!$B$12-44^2)/(2*'Inputs'!$B$12^2))-('Inputs'!$B$29*(3*43*'Inputs'!$B$12-43^2)/(2*'Inputs'!$B$12^2)))*'Inputs'!$B$49</x:f>
        <x:v>697844.1077125147</x:v>
      </x:c>
      <x:c r="D1872" s="78" t="n">
        <x:f>IF('Inputs'!$C$49&gt;0,('Inputs'!$B$30*(3*44*'Inputs'!$B$12-44^2)/(2*'Inputs'!$B$12^2))-('Inputs'!$B$30*(3*43*'Inputs'!$B$12-43^2)/(2*'Inputs'!$B$12^2)),0)</x:f>
        <x:v>299076.0461625084</x:v>
      </x:c>
      <x:c r="E1872" s="78" t="n">
        <x:f>C1872+D1872</x:f>
        <x:v>996920.1538750231</x:v>
      </x:c>
      <x:c r="F1872" s="78" t="n">
        <x:f>'Inputs'!$B$13*E1872+(1-'Inputs'!$B$13)/'Inputs'!$B$14*SUM(E1829:E1872)</x:f>
        <x:v>832296.1289976675</x:v>
      </x:c>
      <x:c r="G1872" s="78" t="n">
        <x:f>F1872*'Inputs'!$F$49</x:f>
        <x:v>749066.5160979007</x:v>
      </x:c>
      <x:c r="H1872" s="78" t="n">
        <x:f>U1871</x:f>
        <x:v>123094653.8222954</x:v>
      </x:c>
      <x:c r="I1872" s="78" t="n">
        <x:f>V1871</x:f>
        <x:v>941.4094034185432</x:v>
      </x:c>
      <x:c r="J1872" s="79" t="n">
        <x:f>IF(H1872&gt;0,I1872/H1872,0)</x:f>
        <x:v>0.000007647849635920023</x:v>
      </x:c>
      <x:c r="K1872" s="80" t="n">
        <x:f>(H1872*J1872+I1872)*'Inputs'!$D$49*(1+'Inputs'!$G$49)^(B1872/30)</x:f>
        <x:v>1412.1141051278148</x:v>
      </x:c>
      <x:c r="L1872" s="80" t="n">
        <x:f>MAX(0,K1872*'Inputs'!$E$49)</x:f>
        <x:v>0</x:v>
      </x:c>
      <x:c r="M1872" s="80" t="n">
        <x:f>MAX(0,-K1872*'Inputs'!$E$49)</x:f>
        <x:v>42.36342315383444</x:v>
      </x:c>
      <x:c r="N1872" s="78" t="n">
        <x:f>H1872*(L1872*(1-'Inputs'!$B$15))/(I1872+L1872*(1-'Inputs'!$B$15))</x:f>
        <x:v>0</x:v>
      </x:c>
      <x:c r="O1872" s="78" t="n">
        <x:f>H1872-N1872</x:f>
        <x:v>123094653.8222954</x:v>
      </x:c>
      <x:c r="P1872" s="78" t="n">
        <x:f>I1872+L1872*(1-'Inputs'!$B$17)</x:f>
        <x:v>941.4094034185432</x:v>
      </x:c>
      <x:c r="Q1872" s="78" t="n">
        <x:f>IF(J1872&gt;0,M1872/J1872,0)</x:f>
        <x:v>5539259.4220032925</x:v>
      </x:c>
      <x:c r="R1872" s="78" t="n">
        <x:f>IF(B1872='Inputs'!$H$49,'Inputs'!$B$27*'Inputs'!$I$49,0)</x:f>
        <x:v>0</x:v>
      </x:c>
      <x:c r="S1872" s="78" t="n">
        <x:f>Q1872+G1872+R1872</x:f>
        <x:v>6288325.938101193</x:v>
      </x:c>
      <x:c r="T1872" s="78" t="n">
        <x:f>P1872*(S1872*(1-'Inputs'!$B$15))/(O1872+S1872*(1-'Inputs'!$B$15))</x:f>
        <x:v>45.31925382644822</x:v>
      </x:c>
      <x:c r="U1872" s="78" t="n">
        <x:f>O1872+S1872*(1-'Inputs'!$B$17)</x:f>
        <x:v>129357674.62583682</x:v>
      </x:c>
      <x:c r="V1872" s="78" t="n">
        <x:f>P1872-T1872</x:f>
        <x:v>896.090149592095</x:v>
      </x:c>
      <x:c r="W1872" s="79" t="n">
        <x:f>IF(U1872&gt;0,V1872/U1872,0)</x:f>
        <x:v>0.000006927228339439533</x:v>
      </x:c>
      <x:c r="X1872" s="80" t="n">
        <x:f>W1872*('Inputs'!$B$6-AC1872)</x:f>
        <x:v>6879.955358925938</x:v>
      </x:c>
      <x:c r="Y1872" s="80" t="n">
        <x:f>2*V1872</x:f>
        <x:v>1792.18029918419</x:v>
      </x:c>
      <x:c r="Z1872" s="80" t="n">
        <x:f>K1872*'Inputs'!$B$16+(G1872+R1872)*J1872*'Inputs'!$B$16</x:f>
        <x:v>8.507057119261404</x:v>
      </x:c>
      <x:c r="AA1872" s="80" t="n">
        <x:f>K1872*(1+'Inputs'!$E$49)/2*'Inputs'!$B$17</x:f>
        <x:v>2.7560375894848703</x:v>
      </x:c>
      <x:c r="AB1872" s="78" t="n">
        <x:f>(IF(J1872&gt;0,K1872*(1-'Inputs'!$E$49)/2/J1872,0)+G1872+R1872)*'Inputs'!$B$17</x:f>
        <x:v>385672.7830737268</x:v>
      </x:c>
      <x:c r="AC1872" s="78" t="n">
        <x:f>AC1871+AB1872</x:f>
        <x:v>6824227.266257556</x:v>
      </x:c>
      <x:c r="AD1872" s="80" t="n">
        <x:f>Z1872/(1+'Inputs'!$C$49)</x:f>
        <x:v>2.126764279815351</x:v>
      </x:c>
      <x:c r="AE1872" s="80" t="n">
        <x:f>Z1872-AD1872</x:f>
        <x:v>6.380292839446053</x:v>
      </x:c>
      <x:c r="AF1872" s="80" t="n">
        <x:f>D1872*W1872</x:f>
        <x:v>2.0717680626244546</x:v>
      </x:c>
      <x:c r="AG1872" s="80" t="n">
        <x:f>C1872*W1872</x:f>
        <x:v>4.834125479457025</x:v>
      </x:c>
      <x:c r="AH1872" s="80" t="n">
        <x:f>2*'Inputs'!$B$8*'Inputs'!$C$49</x:f>
        <x:v>15000</x:v>
      </x:c>
      <x:c r="AI1872" s="81" t="n">
        <x:f>IF(AH1872&gt;0,(AE1872+AF1872)/AH1872*365,0)</x:f>
        <x:v>0.20566681528371566</x:v>
      </x:c>
      <x:c r="AJ1872" s="81" t="n">
        <x:f>IF('Inputs'!$B$49&gt;0,AG1872/('Inputs'!$B$19*'Inputs'!$B$49)*365,0)</x:f>
        <x:v>0.17644558000018143</x:v>
      </x:c>
      <x:c r="AK1872" s="81" t="n">
        <x:f>W1872/MAX($W$1829:W1872)-1</x:f>
        <x:v>-0.9910756860073396</x:v>
      </x:c>
      <x:c r="AL1872" s="83" t="n">
        <x:f>'Inputs'!$B$49</x:f>
        <x:v>1</x:v>
      </x:c>
      <x:c r="AM1872" s="83" t="n">
        <x:f>'Inputs'!$C$49</x:f>
        <x:v>3</x:v>
      </x:c>
      <x:c r="AN1872" s="83" t="n">
        <x:f>'Inputs'!$D$49</x:f>
        <x:v>0.75</x:v>
      </x:c>
      <x:c r="AO1872" s="81" t="n">
        <x:f>'Inputs'!$E$49</x:f>
        <x:v>-0.03</x:v>
      </x:c>
    </x:row>
    <x:row r="1873">
      <x:c r="A1873" s="59" t="str">
        <x:v>Mercenary LP</x:v>
      </x:c>
      <x:c r="B1873" s="59" t="n">
        <x:v>45</x:v>
      </x:c>
      <x:c r="C1873" s="78" t="n">
        <x:f>(('Inputs'!$B$29*(3*45*'Inputs'!$B$12-45^2)/(2*'Inputs'!$B$12^2))-('Inputs'!$B$29*(3*44*'Inputs'!$B$12-44^2)/(2*'Inputs'!$B$12^2)))*'Inputs'!$B$49</x:f>
        <x:v>697518.999812346</x:v>
      </x:c>
      <x:c r="D1873" s="78" t="n">
        <x:f>IF('Inputs'!$C$49&gt;0,('Inputs'!$B$30*(3*45*'Inputs'!$B$12-45^2)/(2*'Inputs'!$B$12^2))-('Inputs'!$B$30*(3*44*'Inputs'!$B$12-44^2)/(2*'Inputs'!$B$12^2)),0)</x:f>
        <x:v>298936.7142052911</x:v>
      </x:c>
      <x:c r="E1873" s="78" t="n">
        <x:f>C1873+D1873</x:f>
        <x:v>996455.7140176371</x:v>
      </x:c>
      <x:c r="F1873" s="78" t="n">
        <x:f>'Inputs'!$B$13*E1873+(1-'Inputs'!$B$13)/'Inputs'!$B$14*SUM(E1829:E1873)</x:f>
        <x:v>846438.3226550135</x:v>
      </x:c>
      <x:c r="G1873" s="78" t="n">
        <x:f>F1873*'Inputs'!$F$49</x:f>
        <x:v>761794.4903895122</x:v>
      </x:c>
      <x:c r="H1873" s="78" t="n">
        <x:f>U1872</x:f>
        <x:v>129357674.62583682</x:v>
      </x:c>
      <x:c r="I1873" s="78" t="n">
        <x:f>V1872</x:f>
        <x:v>896.090149592095</x:v>
      </x:c>
      <x:c r="J1873" s="79" t="n">
        <x:f>IF(H1873&gt;0,I1873/H1873,0)</x:f>
        <x:v>0.000006927228339439533</x:v>
      </x:c>
      <x:c r="K1873" s="80" t="n">
        <x:f>(H1873*J1873+I1873)*'Inputs'!$D$49*(1+'Inputs'!$G$49)^(B1873/30)</x:f>
        <x:v>1344.1352243881424</x:v>
      </x:c>
      <x:c r="L1873" s="80" t="n">
        <x:f>MAX(0,K1873*'Inputs'!$E$49)</x:f>
        <x:v>0</x:v>
      </x:c>
      <x:c r="M1873" s="80" t="n">
        <x:f>MAX(0,-K1873*'Inputs'!$E$49)</x:f>
        <x:v>40.32405673164427</x:v>
      </x:c>
      <x:c r="N1873" s="78" t="n">
        <x:f>H1873*(L1873*(1-'Inputs'!$B$15))/(I1873+L1873*(1-'Inputs'!$B$15))</x:f>
        <x:v>0</x:v>
      </x:c>
      <x:c r="O1873" s="78" t="n">
        <x:f>H1873-N1873</x:f>
        <x:v>129357674.62583682</x:v>
      </x:c>
      <x:c r="P1873" s="78" t="n">
        <x:f>I1873+L1873*(1-'Inputs'!$B$17)</x:f>
        <x:v>896.090149592095</x:v>
      </x:c>
      <x:c r="Q1873" s="78" t="n">
        <x:f>IF(J1873&gt;0,M1873/J1873,0)</x:f>
        <x:v>5821095.358162656</x:v>
      </x:c>
      <x:c r="R1873" s="78" t="n">
        <x:f>IF(B1873='Inputs'!$H$49,'Inputs'!$B$27*'Inputs'!$I$49,0)</x:f>
        <x:v>0</x:v>
      </x:c>
      <x:c r="S1873" s="78" t="n">
        <x:f>Q1873+G1873+R1873</x:f>
        <x:v>6582889.848552168</x:v>
      </x:c>
      <x:c r="T1873" s="78" t="n">
        <x:f>P1873*(S1873*(1-'Inputs'!$B$15))/(O1873+S1873*(1-'Inputs'!$B$15))</x:f>
        <x:v>42.97983798749476</x:v>
      </x:c>
      <x:c r="U1873" s="78" t="n">
        <x:f>O1873+S1873*(1-'Inputs'!$B$17)</x:f>
        <x:v>135914073.97198033</x:v>
      </x:c>
      <x:c r="V1873" s="78" t="n">
        <x:f>P1873-T1873</x:f>
        <x:v>853.1103116046003</x:v>
      </x:c>
      <x:c r="W1873" s="79" t="n">
        <x:f>IF(U1873&gt;0,V1873/U1873,0)</x:f>
        <x:v>0.000006276835699741258</x:v>
      </x:c>
      <x:c r="X1873" s="80" t="n">
        <x:f>W1873*('Inputs'!$B$6-AC1873)</x:f>
        <x:v>6231.4578130489745</x:v>
      </x:c>
      <x:c r="Y1873" s="80" t="n">
        <x:f>2*V1873</x:f>
        <x:v>1706.2206232092005</x:v>
      </x:c>
      <x:c r="Z1873" s="80" t="n">
        <x:f>K1873*'Inputs'!$B$16+(G1873+R1873)*J1873*'Inputs'!$B$16</x:f>
        <x:v>8.096474092624785</x:v>
      </x:c>
      <x:c r="AA1873" s="80" t="n">
        <x:f>K1873*(1+'Inputs'!$E$49)/2*'Inputs'!$B$17</x:f>
        <x:v>2.623362510375248</x:v>
      </x:c>
      <x:c r="AB1873" s="78" t="n">
        <x:f>(IF(J1873&gt;0,K1873*(1-'Inputs'!$E$49)/2/J1873,0)+G1873+R1873)*'Inputs'!$B$17</x:f>
        <x:v>405193.55387866584</x:v>
      </x:c>
      <x:c r="AC1873" s="78" t="n">
        <x:f>AC1872+AB1873</x:f>
        <x:v>7229420.820136222</x:v>
      </x:c>
      <x:c r="AD1873" s="80" t="n">
        <x:f>Z1873/(1+'Inputs'!$C$49)</x:f>
        <x:v>2.0241185231561962</x:v>
      </x:c>
      <x:c r="AE1873" s="80" t="n">
        <x:f>Z1873-AD1873</x:f>
        <x:v>6.072355569468589</x:v>
      </x:c>
      <x:c r="AF1873" s="80" t="n">
        <x:f>D1873*W1873</x:f>
        <x:v>1.8763766396871209</x:v>
      </x:c>
      <x:c r="AG1873" s="80" t="n">
        <x:f>C1873*W1873</x:f>
        <x:v>4.378212159269949</x:v>
      </x:c>
      <x:c r="AH1873" s="80" t="n">
        <x:f>2*'Inputs'!$B$8*'Inputs'!$C$49</x:f>
        <x:v>15000</x:v>
      </x:c>
      <x:c r="AI1873" s="81" t="n">
        <x:f>IF(AH1873&gt;0,(AE1873+AF1873)/AH1873*365,0)</x:f>
        <x:v>0.19341915042278893</x:v>
      </x:c>
      <x:c r="AJ1873" s="81" t="n">
        <x:f>IF('Inputs'!$B$49&gt;0,AG1873/('Inputs'!$B$19*'Inputs'!$B$49)*365,0)</x:f>
        <x:v>0.15980474381335313</x:v>
      </x:c>
      <x:c r="AK1873" s="81" t="n">
        <x:f>W1873/MAX($W$1829:W1873)-1</x:f>
        <x:v>-0.9919135836268156</x:v>
      </x:c>
      <x:c r="AL1873" s="83" t="n">
        <x:f>'Inputs'!$B$49</x:f>
        <x:v>1</x:v>
      </x:c>
      <x:c r="AM1873" s="83" t="n">
        <x:f>'Inputs'!$C$49</x:f>
        <x:v>3</x:v>
      </x:c>
      <x:c r="AN1873" s="83" t="n">
        <x:f>'Inputs'!$D$49</x:f>
        <x:v>0.75</x:v>
      </x:c>
      <x:c r="AO1873" s="81" t="n">
        <x:f>'Inputs'!$E$49</x:f>
        <x:v>-0.03</x:v>
      </x:c>
    </x:row>
    <x:row r="1874">
      <x:c r="A1874" s="59" t="str">
        <x:v>Mercenary LP</x:v>
      </x:c>
      <x:c r="B1874" s="59" t="n">
        <x:v>46</x:v>
      </x:c>
      <x:c r="C1874" s="78" t="n">
        <x:f>(('Inputs'!$B$29*(3*46*'Inputs'!$B$12-46^2)/(2*'Inputs'!$B$12^2))-('Inputs'!$B$29*(3*45*'Inputs'!$B$12-45^2)/(2*'Inputs'!$B$12^2)))*'Inputs'!$B$49</x:f>
        <x:v>697193.8919121809</x:v>
      </x:c>
      <x:c r="D1874" s="78" t="n">
        <x:f>IF('Inputs'!$C$49&gt;0,('Inputs'!$B$30*(3*46*'Inputs'!$B$12-46^2)/(2*'Inputs'!$B$12^2))-('Inputs'!$B$30*(3*45*'Inputs'!$B$12-45^2)/(2*'Inputs'!$B$12^2)),0)</x:f>
        <x:v>298797.3822480757</x:v>
      </x:c>
      <x:c r="E1874" s="78" t="n">
        <x:f>C1874+D1874</x:f>
        <x:v>995991.2741602566</x:v>
      </x:c>
      <x:c r="F1874" s="78" t="n">
        <x:f>'Inputs'!$B$13*E1874+(1-'Inputs'!$B$13)/'Inputs'!$B$14*SUM(E1829:E1874)</x:f>
        <x:v>860573.8814572555</x:v>
      </x:c>
      <x:c r="G1874" s="78" t="n">
        <x:f>F1874*'Inputs'!$F$49</x:f>
        <x:v>774516.49331153</x:v>
      </x:c>
      <x:c r="H1874" s="78" t="n">
        <x:f>U1873</x:f>
        <x:v>135914073.97198033</x:v>
      </x:c>
      <x:c r="I1874" s="78" t="n">
        <x:f>V1873</x:f>
        <x:v>853.1103116046003</x:v>
      </x:c>
      <x:c r="J1874" s="79" t="n">
        <x:f>IF(H1874&gt;0,I1874/H1874,0)</x:f>
        <x:v>0.000006276835699741258</x:v>
      </x:c>
      <x:c r="K1874" s="80" t="n">
        <x:f>(H1874*J1874+I1874)*'Inputs'!$D$49*(1+'Inputs'!$G$49)^(B1874/30)</x:f>
        <x:v>1279.6654674069005</x:v>
      </x:c>
      <x:c r="L1874" s="80" t="n">
        <x:f>MAX(0,K1874*'Inputs'!$E$49)</x:f>
        <x:v>0</x:v>
      </x:c>
      <x:c r="M1874" s="80" t="n">
        <x:f>MAX(0,-K1874*'Inputs'!$E$49)</x:f>
        <x:v>38.38996402220701</x:v>
      </x:c>
      <x:c r="N1874" s="78" t="n">
        <x:f>H1874*(L1874*(1-'Inputs'!$B$15))/(I1874+L1874*(1-'Inputs'!$B$15))</x:f>
        <x:v>0</x:v>
      </x:c>
      <x:c r="O1874" s="78" t="n">
        <x:f>H1874-N1874</x:f>
        <x:v>135914073.97198033</x:v>
      </x:c>
      <x:c r="P1874" s="78" t="n">
        <x:f>I1874+L1874*(1-'Inputs'!$B$17)</x:f>
        <x:v>853.1103116046003</x:v>
      </x:c>
      <x:c r="Q1874" s="78" t="n">
        <x:f>IF(J1874&gt;0,M1874/J1874,0)</x:f>
        <x:v>6116133.328739115</x:v>
      </x:c>
      <x:c r="R1874" s="78" t="n">
        <x:f>IF(B1874='Inputs'!$H$49,'Inputs'!$B$27*'Inputs'!$I$49,0)</x:f>
        <x:v>0</x:v>
      </x:c>
      <x:c r="S1874" s="78" t="n">
        <x:f>Q1874+G1874+R1874</x:f>
        <x:v>6890649.822050645</x:v>
      </x:c>
      <x:c r="T1874" s="78" t="n">
        <x:f>P1874*(S1874*(1-'Inputs'!$B$15))/(O1874+S1874*(1-'Inputs'!$B$15))</x:f>
        <x:v>40.772524254500134</x:v>
      </x:c>
      <x:c r="U1874" s="78" t="n">
        <x:f>O1874+S1874*(1-'Inputs'!$B$17)</x:f>
        <x:v>142776994.82090402</x:v>
      </x:c>
      <x:c r="V1874" s="78" t="n">
        <x:f>P1874-T1874</x:f>
        <x:v>812.3377873501001</x:v>
      </x:c>
      <x:c r="W1874" s="79" t="n">
        <x:f>IF(U1874&gt;0,V1874/U1874,0)</x:f>
        <x:v>0.0000056895565589475875</x:v>
      </x:c>
      <x:c r="X1874" s="80" t="n">
        <x:f>W1874*('Inputs'!$B$6-AC1874)</x:f>
        <x:v>5646.002735325493</x:v>
      </x:c>
      <x:c r="Y1874" s="80" t="n">
        <x:f>2*V1874</x:f>
        <x:v>1624.6755747002003</x:v>
      </x:c>
      <x:c r="Z1874" s="80" t="n">
        <x:f>K1874*'Inputs'!$B$16+(G1874+R1874)*J1874*'Inputs'!$B$16</x:f>
        <x:v>7.70716188109294</x:v>
      </x:c>
      <x:c r="AA1874" s="80" t="n">
        <x:f>K1874*(1+'Inputs'!$E$49)/2*'Inputs'!$B$17</x:f>
        <x:v>2.4975362241140715</x:v>
      </x:c>
      <x:c r="AB1874" s="78" t="n">
        <x:f>(IF(J1874&gt;0,K1874*(1-'Inputs'!$E$49)/2/J1874,0)+G1874+R1874)*'Inputs'!$B$17</x:f>
        <x:v>425626.3124211926</x:v>
      </x:c>
      <x:c r="AC1874" s="78" t="n">
        <x:f>AC1873+AB1874</x:f>
        <x:v>7655047.1325574145</x:v>
      </x:c>
      <x:c r="AD1874" s="80" t="n">
        <x:f>Z1874/(1+'Inputs'!$C$49)</x:f>
        <x:v>1.926790470273235</x:v>
      </x:c>
      <x:c r="AE1874" s="80" t="n">
        <x:f>Z1874-AD1874</x:f>
        <x:v>5.780371410819705</x:v>
      </x:c>
      <x:c r="AF1874" s="80" t="n">
        <x:f>D1874*W1874</x:f>
        <x:v>1.7000246059659083</x:v>
      </x:c>
      <x:c r="AG1874" s="80" t="n">
        <x:f>C1874*W1874</x:f>
        <x:v>3.966724080587144</x:v>
      </x:c>
      <x:c r="AH1874" s="80" t="n">
        <x:f>2*'Inputs'!$B$8*'Inputs'!$C$49</x:f>
        <x:v>15000</x:v>
      </x:c>
      <x:c r="AI1874" s="81" t="n">
        <x:f>IF(AH1874&gt;0,(AE1874+AF1874)/AH1874*365,0)</x:f>
        <x:v>0.18202296974178325</x:v>
      </x:c>
      <x:c r="AJ1874" s="81" t="n">
        <x:f>IF('Inputs'!$B$49&gt;0,AG1874/('Inputs'!$B$19*'Inputs'!$B$49)*365,0)</x:f>
        <x:v>0.14478542894143076</x:v>
      </x:c>
      <x:c r="AK1874" s="81" t="n">
        <x:f>W1874/MAX($W$1829:W1874)-1</x:f>
        <x:v>-0.9926701724379484</x:v>
      </x:c>
      <x:c r="AL1874" s="83" t="n">
        <x:f>'Inputs'!$B$49</x:f>
        <x:v>1</x:v>
      </x:c>
      <x:c r="AM1874" s="83" t="n">
        <x:f>'Inputs'!$C$49</x:f>
        <x:v>3</x:v>
      </x:c>
      <x:c r="AN1874" s="83" t="n">
        <x:f>'Inputs'!$D$49</x:f>
        <x:v>0.75</x:v>
      </x:c>
      <x:c r="AO1874" s="81" t="n">
        <x:f>'Inputs'!$E$49</x:f>
        <x:v>-0.03</x:v>
      </x:c>
    </x:row>
    <x:row r="1875">
      <x:c r="A1875" s="59" t="str">
        <x:v>Mercenary LP</x:v>
      </x:c>
      <x:c r="B1875" s="59" t="n">
        <x:v>47</x:v>
      </x:c>
      <x:c r="C1875" s="78" t="n">
        <x:f>(('Inputs'!$B$29*(3*47*'Inputs'!$B$12-47^2)/(2*'Inputs'!$B$12^2))-('Inputs'!$B$29*(3*46*'Inputs'!$B$12-46^2)/(2*'Inputs'!$B$12^2)))*'Inputs'!$B$49</x:f>
        <x:v>696868.7840120085</x:v>
      </x:c>
      <x:c r="D1875" s="78" t="n">
        <x:f>IF('Inputs'!$C$49&gt;0,('Inputs'!$B$30*(3*47*'Inputs'!$B$12-47^2)/(2*'Inputs'!$B$12^2))-('Inputs'!$B$30*(3*46*'Inputs'!$B$12-46^2)/(2*'Inputs'!$B$12^2)),0)</x:f>
        <x:v>298658.0502908621</x:v>
      </x:c>
      <x:c r="E1875" s="78" t="n">
        <x:f>C1875+D1875</x:f>
        <x:v>995526.8343028706</x:v>
      </x:c>
      <x:c r="F1875" s="78" t="n">
        <x:f>'Inputs'!$B$13*E1875+(1-'Inputs'!$B$13)/'Inputs'!$B$14*SUM(E1829:E1875)</x:f>
        <x:v>874702.8054043907</x:v>
      </x:c>
      <x:c r="G1875" s="78" t="n">
        <x:f>F1875*'Inputs'!$F$49</x:f>
        <x:v>787232.5248639516</x:v>
      </x:c>
      <x:c r="H1875" s="78" t="n">
        <x:f>U1874</x:f>
        <x:v>142776994.82090402</x:v>
      </x:c>
      <x:c r="I1875" s="78" t="n">
        <x:f>V1874</x:f>
        <x:v>812.3377873501001</x:v>
      </x:c>
      <x:c r="J1875" s="79" t="n">
        <x:f>IF(H1875&gt;0,I1875/H1875,0)</x:f>
        <x:v>0.0000056895565589475875</x:v>
      </x:c>
      <x:c r="K1875" s="80" t="n">
        <x:f>(H1875*J1875+I1875)*'Inputs'!$D$49*(1+'Inputs'!$G$49)^(B1875/30)</x:f>
        <x:v>1218.50668102515</x:v>
      </x:c>
      <x:c r="L1875" s="80" t="n">
        <x:f>MAX(0,K1875*'Inputs'!$E$49)</x:f>
        <x:v>0</x:v>
      </x:c>
      <x:c r="M1875" s="80" t="n">
        <x:f>MAX(0,-K1875*'Inputs'!$E$49)</x:f>
        <x:v>36.5552004307545</x:v>
      </x:c>
      <x:c r="N1875" s="78" t="n">
        <x:f>H1875*(L1875*(1-'Inputs'!$B$15))/(I1875+L1875*(1-'Inputs'!$B$15))</x:f>
        <x:v>0</x:v>
      </x:c>
      <x:c r="O1875" s="78" t="n">
        <x:f>H1875-N1875</x:f>
        <x:v>142776994.82090402</x:v>
      </x:c>
      <x:c r="P1875" s="78" t="n">
        <x:f>I1875+L1875*(1-'Inputs'!$B$17)</x:f>
        <x:v>812.3377873501001</x:v>
      </x:c>
      <x:c r="Q1875" s="78" t="n">
        <x:f>IF(J1875&gt;0,M1875/J1875,0)</x:f>
        <x:v>6424964.76694068</x:v>
      </x:c>
      <x:c r="R1875" s="78" t="n">
        <x:f>IF(B1875='Inputs'!$H$49,'Inputs'!$B$27*'Inputs'!$I$49,0)</x:f>
        <x:v>0</x:v>
      </x:c>
      <x:c r="S1875" s="78" t="n">
        <x:f>Q1875+G1875+R1875</x:f>
        <x:v>7212197.291804632</x:v>
      </x:c>
      <x:c r="T1875" s="78" t="n">
        <x:f>P1875*(S1875*(1-'Inputs'!$B$15))/(O1875+S1875*(1-'Inputs'!$B$15))</x:f>
        <x:v>38.68907643838704</x:v>
      </x:c>
      <x:c r="U1875" s="78" t="n">
        <x:f>O1875+S1875*(1-'Inputs'!$B$17)</x:f>
        <x:v>149960169.18598107</x:v>
      </x:c>
      <x:c r="V1875" s="78" t="n">
        <x:f>P1875-T1875</x:f>
        <x:v>773.6487109117131</x:v>
      </x:c>
      <x:c r="W1875" s="79" t="n">
        <x:f>IF(U1875&gt;0,V1875/U1875,0)</x:f>
        <x:v>0.000005159027994641908</x:v>
      </x:c>
      <x:c r="X1875" s="80" t="n">
        <x:f>W1875*('Inputs'!$B$6-AC1875)</x:f>
        <x:v>5117.229245198276</x:v>
      </x:c>
      <x:c r="Y1875" s="80" t="n">
        <x:f>2*V1875</x:f>
        <x:v>1547.2974218234262</x:v>
      </x:c>
      <x:c r="Z1875" s="80" t="n">
        <x:f>K1875*'Inputs'!$B$16+(G1875+R1875)*J1875*'Inputs'!$B$16</x:f>
        <x:v>7.3379141100024405</x:v>
      </x:c>
      <x:c r="AA1875" s="80" t="n">
        <x:f>K1875*(1+'Inputs'!$E$49)/2*'Inputs'!$B$17</x:f>
        <x:v>2.3781719931476775</x:v>
      </x:c>
      <x:c r="AB1875" s="78" t="n">
        <x:f>(IF(J1875&gt;0,K1875*(1-'Inputs'!$E$49)/2/J1875,0)+G1875+R1875)*'Inputs'!$B$17</x:f>
        <x:v>447011.9155895868</x:v>
      </x:c>
      <x:c r="AC1875" s="78" t="n">
        <x:f>AC1874+AB1875</x:f>
        <x:v>8102059.048147001</x:v>
      </x:c>
      <x:c r="AD1875" s="80" t="n">
        <x:f>Z1875/(1+'Inputs'!$C$49)</x:f>
        <x:v>1.8344785275006101</x:v>
      </x:c>
      <x:c r="AE1875" s="80" t="n">
        <x:f>Z1875-AD1875</x:f>
        <x:v>5.50343558250183</x:v>
      </x:c>
      <x:c r="AF1875" s="80" t="n">
        <x:f>D1875*W1875</x:f>
        <x:v>1.5407852422757282</x:v>
      </x:c>
      <x:c r="AG1875" s="80" t="n">
        <x:f>C1875*W1875</x:f>
        <x:v>3.5951655653100167</x:v>
      </x:c>
      <x:c r="AH1875" s="80" t="n">
        <x:f>2*'Inputs'!$B$8*'Inputs'!$C$49</x:f>
        <x:v>15000</x:v>
      </x:c>
      <x:c r="AI1875" s="81" t="n">
        <x:f>IF(AH1875&gt;0,(AE1875+AF1875)/AH1875*365,0)</x:f>
        <x:v>0.1714093734029206</x:v>
      </x:c>
      <x:c r="AJ1875" s="81" t="n">
        <x:f>IF('Inputs'!$B$49&gt;0,AG1875/('Inputs'!$B$19*'Inputs'!$B$49)*365,0)</x:f>
        <x:v>0.1312235431338156</x:v>
      </x:c>
      <x:c r="AK1875" s="81" t="n">
        <x:f>W1875/MAX($W$1829:W1875)-1</x:f>
        <x:v>-0.9933536497622029</x:v>
      </x:c>
      <x:c r="AL1875" s="83" t="n">
        <x:f>'Inputs'!$B$49</x:f>
        <x:v>1</x:v>
      </x:c>
      <x:c r="AM1875" s="83" t="n">
        <x:f>'Inputs'!$C$49</x:f>
        <x:v>3</x:v>
      </x:c>
      <x:c r="AN1875" s="83" t="n">
        <x:f>'Inputs'!$D$49</x:f>
        <x:v>0.75</x:v>
      </x:c>
      <x:c r="AO1875" s="81" t="n">
        <x:f>'Inputs'!$E$49</x:f>
        <x:v>-0.03</x:v>
      </x:c>
    </x:row>
    <x:row r="1876">
      <x:c r="A1876" s="59" t="str">
        <x:v>Mercenary LP</x:v>
      </x:c>
      <x:c r="B1876" s="59" t="n">
        <x:v>48</x:v>
      </x:c>
      <x:c r="C1876" s="78" t="n">
        <x:f>(('Inputs'!$B$29*(3*48*'Inputs'!$B$12-48^2)/(2*'Inputs'!$B$12^2))-('Inputs'!$B$29*(3*47*'Inputs'!$B$12-47^2)/(2*'Inputs'!$B$12^2)))*'Inputs'!$B$49</x:f>
        <x:v>696543.6761118434</x:v>
      </x:c>
      <x:c r="D1876" s="78" t="n">
        <x:f>IF('Inputs'!$C$49&gt;0,('Inputs'!$B$30*(3*48*'Inputs'!$B$12-48^2)/(2*'Inputs'!$B$12^2))-('Inputs'!$B$30*(3*47*'Inputs'!$B$12-47^2)/(2*'Inputs'!$B$12^2)),0)</x:f>
        <x:v>298518.71833364666</x:v>
      </x:c>
      <x:c r="E1876" s="78" t="n">
        <x:f>C1876+D1876</x:f>
        <x:v>995062.3944454901</x:v>
      </x:c>
      <x:c r="F1876" s="78" t="n">
        <x:f>'Inputs'!$B$13*E1876+(1-'Inputs'!$B$13)/'Inputs'!$B$14*SUM(E1829:E1876)</x:f>
        <x:v>888825.0944964217</x:v>
      </x:c>
      <x:c r="G1876" s="78" t="n">
        <x:f>F1876*'Inputs'!$F$49</x:f>
        <x:v>799942.5850467796</x:v>
      </x:c>
      <x:c r="H1876" s="78" t="n">
        <x:f>U1875</x:f>
        <x:v>149960169.18598107</x:v>
      </x:c>
      <x:c r="I1876" s="78" t="n">
        <x:f>V1875</x:f>
        <x:v>773.6487109117131</x:v>
      </x:c>
      <x:c r="J1876" s="79" t="n">
        <x:f>IF(H1876&gt;0,I1876/H1876,0)</x:f>
        <x:v>0.000005159027994641908</x:v>
      </x:c>
      <x:c r="K1876" s="80" t="n">
        <x:f>(H1876*J1876+I1876)*'Inputs'!$D$49*(1+'Inputs'!$G$49)^(B1876/30)</x:f>
        <x:v>1160.4730663675696</x:v>
      </x:c>
      <x:c r="L1876" s="80" t="n">
        <x:f>MAX(0,K1876*'Inputs'!$E$49)</x:f>
        <x:v>0</x:v>
      </x:c>
      <x:c r="M1876" s="80" t="n">
        <x:f>MAX(0,-K1876*'Inputs'!$E$49)</x:f>
        <x:v>34.81419199102709</x:v>
      </x:c>
      <x:c r="N1876" s="78" t="n">
        <x:f>H1876*(L1876*(1-'Inputs'!$B$15))/(I1876+L1876*(1-'Inputs'!$B$15))</x:f>
        <x:v>0</x:v>
      </x:c>
      <x:c r="O1876" s="78" t="n">
        <x:f>H1876-N1876</x:f>
        <x:v>149960169.18598107</x:v>
      </x:c>
      <x:c r="P1876" s="78" t="n">
        <x:f>I1876+L1876*(1-'Inputs'!$B$17)</x:f>
        <x:v>773.6487109117131</x:v>
      </x:c>
      <x:c r="Q1876" s="78" t="n">
        <x:f>IF(J1876&gt;0,M1876/J1876,0)</x:f>
        <x:v>6748207.613369147</x:v>
      </x:c>
      <x:c r="R1876" s="78" t="n">
        <x:f>IF(B1876='Inputs'!$H$49,'Inputs'!$B$27*'Inputs'!$I$49,0)</x:f>
        <x:v>0</x:v>
      </x:c>
      <x:c r="S1876" s="78" t="n">
        <x:f>Q1876+G1876+R1876</x:f>
        <x:v>7548150.198415927</x:v>
      </x:c>
      <x:c r="T1876" s="78" t="n">
        <x:f>P1876*(S1876*(1-'Inputs'!$B$15))/(O1876+S1876*(1-'Inputs'!$B$15))</x:f>
        <x:v>36.72182107510991</x:v>
      </x:c>
      <x:c r="U1876" s="78" t="n">
        <x:f>O1876+S1876*(1-'Inputs'!$B$17)</x:f>
        <x:v>157477944.53450397</x:v>
      </x:c>
      <x:c r="V1876" s="78" t="n">
        <x:f>P1876-T1876</x:f>
        <x:v>736.9268898366032</x:v>
      </x:c>
      <x:c r="W1876" s="79" t="n">
        <x:f>IF(U1876&gt;0,V1876/U1876,0)</x:f>
        <x:v>0.0000046795561881056936</x:v>
      </x:c>
      <x:c r="X1876" s="80" t="n">
        <x:f>W1876*('Inputs'!$B$6-AC1876)</x:f>
        <x:v>4639.44559639205</x:v>
      </x:c>
      <x:c r="Y1876" s="80" t="n">
        <x:f>2*V1876</x:f>
        <x:v>1473.8537796732064</x:v>
      </x:c>
      <x:c r="Z1876" s="80" t="n">
        <x:f>K1876*'Inputs'!$B$16+(G1876+R1876)*J1876*'Inputs'!$B$16</x:f>
        <x:v>6.9875999553475925</x:v>
      </x:c>
      <x:c r="AA1876" s="80" t="n">
        <x:f>K1876*(1+'Inputs'!$E$49)/2*'Inputs'!$B$17</x:f>
        <x:v>2.264907191904512</x:v>
      </x:c>
      <x:c r="AB1876" s="78" t="n">
        <x:f>(IF(J1876&gt;0,K1876*(1-'Inputs'!$E$49)/2/J1876,0)+G1876+R1876)*'Inputs'!$B$17</x:f>
        <x:v>469393.05143346946</x:v>
      </x:c>
      <x:c r="AC1876" s="78" t="n">
        <x:f>AC1875+AB1876</x:f>
        <x:v>8571452.09958047</x:v>
      </x:c>
      <x:c r="AD1876" s="80" t="n">
        <x:f>Z1876/(1+'Inputs'!$C$49)</x:f>
        <x:v>1.7468999888368981</x:v>
      </x:c>
      <x:c r="AE1876" s="80" t="n">
        <x:f>Z1876-AD1876</x:f>
        <x:v>5.240699966510695</x:v>
      </x:c>
      <x:c r="AF1876" s="80" t="n">
        <x:f>D1876*W1876</x:f>
        <x:v>1.3969351156435967</x:v>
      </x:c>
      <x:c r="AG1876" s="80" t="n">
        <x:f>C1876*W1876</x:f>
        <x:v>3.259515269835065</x:v>
      </x:c>
      <x:c r="AH1876" s="80" t="n">
        <x:f>2*'Inputs'!$B$8*'Inputs'!$C$49</x:f>
        <x:v>15000</x:v>
      </x:c>
      <x:c r="AI1876" s="81" t="n">
        <x:f>IF(AH1876&gt;0,(AE1876+AF1876)/AH1876*365,0)</x:f>
        <x:v>0.16151578699908775</x:v>
      </x:c>
      <x:c r="AJ1876" s="81" t="n">
        <x:f>IF('Inputs'!$B$49&gt;0,AG1876/('Inputs'!$B$19*'Inputs'!$B$49)*365,0)</x:f>
        <x:v>0.11897230734897986</x:v>
      </x:c>
      <x:c r="AK1876" s="81" t="n">
        <x:f>W1876/MAX($W$1829:W1876)-1</x:f>
        <x:v>-0.9939713509180599</x:v>
      </x:c>
      <x:c r="AL1876" s="83" t="n">
        <x:f>'Inputs'!$B$49</x:f>
        <x:v>1</x:v>
      </x:c>
      <x:c r="AM1876" s="83" t="n">
        <x:f>'Inputs'!$C$49</x:f>
        <x:v>3</x:v>
      </x:c>
      <x:c r="AN1876" s="83" t="n">
        <x:f>'Inputs'!$D$49</x:f>
        <x:v>0.75</x:v>
      </x:c>
      <x:c r="AO1876" s="81" t="n">
        <x:f>'Inputs'!$E$49</x:f>
        <x:v>-0.03</x:v>
      </x:c>
    </x:row>
    <x:row r="1877">
      <x:c r="A1877" s="59" t="str">
        <x:v>Mercenary LP</x:v>
      </x:c>
      <x:c r="B1877" s="59" t="n">
        <x:v>49</x:v>
      </x:c>
      <x:c r="C1877" s="78" t="n">
        <x:f>(('Inputs'!$B$29*(3*49*'Inputs'!$B$12-49^2)/(2*'Inputs'!$B$12^2))-('Inputs'!$B$29*(3*48*'Inputs'!$B$12-48^2)/(2*'Inputs'!$B$12^2)))*'Inputs'!$B$49</x:f>
        <x:v>696218.5682116672</x:v>
      </x:c>
      <x:c r="D1877" s="78" t="n">
        <x:f>IF('Inputs'!$C$49&gt;0,('Inputs'!$B$30*(3*49*'Inputs'!$B$12-49^2)/(2*'Inputs'!$B$12^2))-('Inputs'!$B$30*(3*48*'Inputs'!$B$12-48^2)/(2*'Inputs'!$B$12^2)),0)</x:f>
        <x:v>298379.3863764312</x:v>
      </x:c>
      <x:c r="E1877" s="78" t="n">
        <x:f>C1877+D1877</x:f>
        <x:v>994597.9545880985</x:v>
      </x:c>
      <x:c r="F1877" s="78" t="n">
        <x:f>'Inputs'!$B$13*E1877+(1-'Inputs'!$B$13)/'Inputs'!$B$14*SUM(E1829:E1877)</x:f>
        <x:v>902940.7487333447</x:v>
      </x:c>
      <x:c r="G1877" s="78" t="n">
        <x:f>F1877*'Inputs'!$F$49</x:f>
        <x:v>812646.6738600102</x:v>
      </x:c>
      <x:c r="H1877" s="78" t="n">
        <x:f>U1876</x:f>
        <x:v>157477944.53450397</x:v>
      </x:c>
      <x:c r="I1877" s="78" t="n">
        <x:f>V1876</x:f>
        <x:v>736.9268898366032</x:v>
      </x:c>
      <x:c r="J1877" s="79" t="n">
        <x:f>IF(H1877&gt;0,I1877/H1877,0)</x:f>
        <x:v>0.0000046795561881056936</x:v>
      </x:c>
      <x:c r="K1877" s="80" t="n">
        <x:f>(H1877*J1877+I1877)*'Inputs'!$D$49*(1+'Inputs'!$G$49)^(B1877/30)</x:f>
        <x:v>1105.3903347549049</x:v>
      </x:c>
      <x:c r="L1877" s="80" t="n">
        <x:f>MAX(0,K1877*'Inputs'!$E$49)</x:f>
        <x:v>0</x:v>
      </x:c>
      <x:c r="M1877" s="80" t="n">
        <x:f>MAX(0,-K1877*'Inputs'!$E$49)</x:f>
        <x:v>33.161710042647144</x:v>
      </x:c>
      <x:c r="N1877" s="78" t="n">
        <x:f>H1877*(L1877*(1-'Inputs'!$B$15))/(I1877+L1877*(1-'Inputs'!$B$15))</x:f>
        <x:v>0</x:v>
      </x:c>
      <x:c r="O1877" s="78" t="n">
        <x:f>H1877-N1877</x:f>
        <x:v>157477944.53450397</x:v>
      </x:c>
      <x:c r="P1877" s="78" t="n">
        <x:f>I1877+L1877*(1-'Inputs'!$B$17)</x:f>
        <x:v>736.9268898366032</x:v>
      </x:c>
      <x:c r="Q1877" s="78" t="n">
        <x:f>IF(J1877&gt;0,M1877/J1877,0)</x:f>
        <x:v>7086507.504052678</x:v>
      </x:c>
      <x:c r="R1877" s="78" t="n">
        <x:f>IF(B1877='Inputs'!$H$49,'Inputs'!$B$27*'Inputs'!$I$49,0)</x:f>
        <x:v>0</x:v>
      </x:c>
      <x:c r="S1877" s="78" t="n">
        <x:f>Q1877+G1877+R1877</x:f>
        <x:v>7899154.177912688</x:v>
      </x:c>
      <x:c r="T1877" s="78" t="n">
        <x:f>P1877*(S1877*(1-'Inputs'!$B$15))/(O1877+S1877*(1-'Inputs'!$B$15))</x:f>
        <x:v>34.86360629352687</x:v>
      </x:c>
      <x:c r="U1877" s="78" t="n">
        <x:f>O1877+S1877*(1-'Inputs'!$B$17)</x:f>
        <x:v>165345311.37166047</x:v>
      </x:c>
      <x:c r="V1877" s="78" t="n">
        <x:f>P1877-T1877</x:f>
        <x:v>702.0632835430763</x:v>
      </x:c>
      <x:c r="W1877" s="79" t="n">
        <x:f>IF(U1877&gt;0,V1877/U1877,0)</x:f>
        <x:v>0.0000042460428887819506</x:v>
      </x:c>
      <x:c r="X1877" s="80" t="n">
        <x:f>W1877*('Inputs'!$B$6-AC1877)</x:f>
        <x:v>4207.555624803824</x:v>
      </x:c>
      <x:c r="Y1877" s="80" t="n">
        <x:f>2*V1877</x:f>
        <x:v>1404.1265670861526</x:v>
      </x:c>
      <x:c r="Z1877" s="80" t="n">
        <x:f>K1877*'Inputs'!$B$16+(G1877+R1877)*J1877*'Inputs'!$B$16</x:f>
        <x:v>6.65515896315786</x:v>
      </x:c>
      <x:c r="AA1877" s="80" t="n">
        <x:f>K1877*(1+'Inputs'!$E$49)/2*'Inputs'!$B$17</x:f>
        <x:v>2.1574016593808003</x:v>
      </x:c>
      <x:c r="AB1877" s="78" t="n">
        <x:f>(IF(J1877&gt;0,K1877*(1-'Inputs'!$E$49)/2/J1877,0)+G1877+R1877)*'Inputs'!$B$17</x:f>
        <x:v>492814.3212344641</x:v>
      </x:c>
      <x:c r="AC1877" s="78" t="n">
        <x:f>AC1876+AB1877</x:f>
        <x:v>9064266.420814935</x:v>
      </x:c>
      <x:c r="AD1877" s="80" t="n">
        <x:f>Z1877/(1+'Inputs'!$C$49)</x:f>
        <x:v>1.663789740789465</x:v>
      </x:c>
      <x:c r="AE1877" s="80" t="n">
        <x:f>Z1877-AD1877</x:f>
        <x:v>4.991369222368395</x:v>
      </x:c>
      <x:c r="AF1877" s="80" t="n">
        <x:f>D1877*W1877</x:f>
        <x:v>1.2669316716827677</x:v>
      </x:c>
      <x:c r="AG1877" s="80" t="n">
        <x:f>C1877*W1877</x:f>
        <x:v>2.956173900593101</x:v>
      </x:c>
      <x:c r="AH1877" s="80" t="n">
        <x:f>2*'Inputs'!$B$8*'Inputs'!$C$49</x:f>
        <x:v>15000</x:v>
      </x:c>
      <x:c r="AI1877" s="81" t="n">
        <x:f>IF(AH1877&gt;0,(AE1877+AF1877)/AH1877*365,0)</x:f>
        <x:v>0.15228532175524495</x:v>
      </x:c>
      <x:c r="AJ1877" s="81" t="n">
        <x:f>IF('Inputs'!$B$49&gt;0,AG1877/('Inputs'!$B$19*'Inputs'!$B$49)*365,0)</x:f>
        <x:v>0.10790034737164819</x:v>
      </x:c>
      <x:c r="AK1877" s="81" t="n">
        <x:f>W1877/MAX($W$1829:W1877)-1</x:f>
        <x:v>-0.9945298439564851</x:v>
      </x:c>
      <x:c r="AL1877" s="83" t="n">
        <x:f>'Inputs'!$B$49</x:f>
        <x:v>1</x:v>
      </x:c>
      <x:c r="AM1877" s="83" t="n">
        <x:f>'Inputs'!$C$49</x:f>
        <x:v>3</x:v>
      </x:c>
      <x:c r="AN1877" s="83" t="n">
        <x:f>'Inputs'!$D$49</x:f>
        <x:v>0.75</x:v>
      </x:c>
      <x:c r="AO1877" s="81" t="n">
        <x:f>'Inputs'!$E$49</x:f>
        <x:v>-0.03</x:v>
      </x:c>
    </x:row>
    <x:row r="1878">
      <x:c r="A1878" s="59" t="str">
        <x:v>Mercenary LP</x:v>
      </x:c>
      <x:c r="B1878" s="59" t="n">
        <x:v>50</x:v>
      </x:c>
      <x:c r="C1878" s="78" t="n">
        <x:f>(('Inputs'!$B$29*(3*50*'Inputs'!$B$12-50^2)/(2*'Inputs'!$B$12^2))-('Inputs'!$B$29*(3*49*'Inputs'!$B$12-49^2)/(2*'Inputs'!$B$12^2)))*'Inputs'!$B$49</x:f>
        <x:v>695893.4603115022</x:v>
      </x:c>
      <x:c r="D1878" s="78" t="n">
        <x:f>IF('Inputs'!$C$49&gt;0,('Inputs'!$B$30*(3*50*'Inputs'!$B$12-50^2)/(2*'Inputs'!$B$12^2))-('Inputs'!$B$30*(3*49*'Inputs'!$B$12-49^2)/(2*'Inputs'!$B$12^2)),0)</x:f>
        <x:v>298240.0544192139</x:v>
      </x:c>
      <x:c r="E1878" s="78" t="n">
        <x:f>C1878+D1878</x:f>
        <x:v>994133.5147307161</x:v>
      </x:c>
      <x:c r="F1878" s="78" t="n">
        <x:f>'Inputs'!$B$13*E1878+(1-'Inputs'!$B$13)/'Inputs'!$B$14*SUM(E1829:E1878)</x:f>
        <x:v>917049.7681151642</x:v>
      </x:c>
      <x:c r="G1878" s="78" t="n">
        <x:f>F1878*'Inputs'!$F$49</x:f>
        <x:v>825344.7913036478</x:v>
      </x:c>
      <x:c r="H1878" s="78" t="n">
        <x:f>U1877</x:f>
        <x:v>165345311.37166047</x:v>
      </x:c>
      <x:c r="I1878" s="78" t="n">
        <x:f>V1877</x:f>
        <x:v>702.0632835430763</x:v>
      </x:c>
      <x:c r="J1878" s="79" t="n">
        <x:f>IF(H1878&gt;0,I1878/H1878,0)</x:f>
        <x:v>0.0000042460428887819506</x:v>
      </x:c>
      <x:c r="K1878" s="80" t="n">
        <x:f>(H1878*J1878+I1878)*'Inputs'!$D$49*(1+'Inputs'!$G$49)^(B1878/30)</x:f>
        <x:v>1053.0949253146146</x:v>
      </x:c>
      <x:c r="L1878" s="80" t="n">
        <x:f>MAX(0,K1878*'Inputs'!$E$49)</x:f>
        <x:v>0</x:v>
      </x:c>
      <x:c r="M1878" s="80" t="n">
        <x:f>MAX(0,-K1878*'Inputs'!$E$49)</x:f>
        <x:v>31.592847759438435</x:v>
      </x:c>
      <x:c r="N1878" s="78" t="n">
        <x:f>H1878*(L1878*(1-'Inputs'!$B$15))/(I1878+L1878*(1-'Inputs'!$B$15))</x:f>
        <x:v>0</x:v>
      </x:c>
      <x:c r="O1878" s="78" t="n">
        <x:f>H1878-N1878</x:f>
        <x:v>165345311.37166047</x:v>
      </x:c>
      <x:c r="P1878" s="78" t="n">
        <x:f>I1878+L1878*(1-'Inputs'!$B$17)</x:f>
        <x:v>702.0632835430763</x:v>
      </x:c>
      <x:c r="Q1878" s="78" t="n">
        <x:f>IF(J1878&gt;0,M1878/J1878,0)</x:f>
        <x:v>7440539.011724722</x:v>
      </x:c>
      <x:c r="R1878" s="78" t="n">
        <x:f>IF(B1878='Inputs'!$H$49,'Inputs'!$B$27*'Inputs'!$I$49,0)</x:f>
        <x:v>0</x:v>
      </x:c>
      <x:c r="S1878" s="78" t="n">
        <x:f>Q1878+G1878+R1878</x:f>
        <x:v>8265883.803028369</x:v>
      </x:c>
      <x:c r="T1878" s="78" t="n">
        <x:f>P1878*(S1878*(1-'Inputs'!$B$15))/(O1878+S1878*(1-'Inputs'!$B$15))</x:f>
        <x:v>33.1077637729406</x:v>
      </x:c>
      <x:c r="U1878" s="78" t="n">
        <x:f>O1878+S1878*(1-'Inputs'!$B$17)</x:f>
        <x:v>173577932.06079334</x:v>
      </x:c>
      <x:c r="V1878" s="78" t="n">
        <x:f>P1878-T1878</x:f>
        <x:v>668.9555197701357</x:v>
      </x:c>
      <x:c r="W1878" s="79" t="n">
        <x:f>IF(U1878&gt;0,V1878/U1878,0)</x:f>
        <x:v>0.000003853920321713724</x:v>
      </x:c>
      <x:c r="X1878" s="80" t="n">
        <x:f>W1878*('Inputs'!$B$6-AC1878)</x:f>
        <x:v>3816.993642130941</x:v>
      </x:c>
      <x:c r="Y1878" s="80" t="n">
        <x:f>2*V1878</x:f>
        <x:v>1337.9110395402713</x:v>
      </x:c>
      <x:c r="Z1878" s="80" t="n">
        <x:f>K1878*'Inputs'!$B$16+(G1878+R1878)*J1878*'Inputs'!$B$16</x:f>
        <x:v>6.339596248179136</x:v>
      </x:c>
      <x:c r="AA1878" s="80" t="n">
        <x:f>K1878*(1+'Inputs'!$E$49)/2*'Inputs'!$B$17</x:f>
        <x:v>2.0553361721432117</x:v>
      </x:c>
      <x:c r="AB1878" s="78" t="n">
        <x:f>(IF(J1878&gt;0,K1878*(1-'Inputs'!$E$49)/2/J1878,0)+G1878+R1878)*'Inputs'!$B$17</x:f>
        <x:v>517322.3252551766</x:v>
      </x:c>
      <x:c r="AC1878" s="78" t="n">
        <x:f>AC1877+AB1878</x:f>
        <x:v>9581588.746070111</x:v>
      </x:c>
      <x:c r="AD1878" s="80" t="n">
        <x:f>Z1878/(1+'Inputs'!$C$49)</x:f>
        <x:v>1.584899062044784</x:v>
      </x:c>
      <x:c r="AE1878" s="80" t="n">
        <x:f>Z1878-AD1878</x:f>
        <x:v>4.7546971861343525</x:v>
      </x:c>
      <x:c r="AF1878" s="80" t="n">
        <x:f>D1878*W1878</x:f>
        <x:v>1.1493934064752156</x:v>
      </x:c>
      <x:c r="AG1878" s="80" t="n">
        <x:f>C1878*W1878</x:f>
        <x:v>2.6819179484421816</x:v>
      </x:c>
      <x:c r="AH1878" s="80" t="n">
        <x:f>2*'Inputs'!$B$8*'Inputs'!$C$49</x:f>
        <x:v>15000</x:v>
      </x:c>
      <x:c r="AI1878" s="81" t="n">
        <x:f>IF(AH1878&gt;0,(AE1878+AF1878)/AH1878*365,0)</x:f>
        <x:v>0.14366620442016617</x:v>
      </x:c>
      <x:c r="AJ1878" s="81" t="n">
        <x:f>IF('Inputs'!$B$49&gt;0,AG1878/('Inputs'!$B$19*'Inputs'!$B$49)*365,0)</x:f>
        <x:v>0.09789000511813963</x:v>
      </x:c>
      <x:c r="AK1878" s="81" t="n">
        <x:f>W1878/MAX($W$1829:W1878)-1</x:f>
        <x:v>-0.9950350135193536</x:v>
      </x:c>
      <x:c r="AL1878" s="83" t="n">
        <x:f>'Inputs'!$B$49</x:f>
        <x:v>1</x:v>
      </x:c>
      <x:c r="AM1878" s="83" t="n">
        <x:f>'Inputs'!$C$49</x:f>
        <x:v>3</x:v>
      </x:c>
      <x:c r="AN1878" s="83" t="n">
        <x:f>'Inputs'!$D$49</x:f>
        <x:v>0.75</x:v>
      </x:c>
      <x:c r="AO1878" s="81" t="n">
        <x:f>'Inputs'!$E$49</x:f>
        <x:v>-0.03</x:v>
      </x:c>
    </x:row>
    <x:row r="1879">
      <x:c r="A1879" s="59" t="str">
        <x:v>Mercenary LP</x:v>
      </x:c>
      <x:c r="B1879" s="59" t="n">
        <x:v>51</x:v>
      </x:c>
      <x:c r="C1879" s="78" t="n">
        <x:f>(('Inputs'!$B$29*(3*51*'Inputs'!$B$12-51^2)/(2*'Inputs'!$B$12^2))-('Inputs'!$B$29*(3*50*'Inputs'!$B$12-50^2)/(2*'Inputs'!$B$12^2)))*'Inputs'!$B$49</x:f>
        <x:v>695568.3524113372</x:v>
      </x:c>
      <x:c r="D1879" s="78" t="n">
        <x:f>IF('Inputs'!$C$49&gt;0,('Inputs'!$B$30*(3*51*'Inputs'!$B$12-51^2)/(2*'Inputs'!$B$12^2))-('Inputs'!$B$30*(3*50*'Inputs'!$B$12-50^2)/(2*'Inputs'!$B$12^2)),0)</x:f>
        <x:v>298100.7224620003</x:v>
      </x:c>
      <x:c r="E1879" s="78" t="n">
        <x:f>C1879+D1879</x:f>
        <x:v>993669.0748733375</x:v>
      </x:c>
      <x:c r="F1879" s="78" t="n">
        <x:f>'Inputs'!$B$13*E1879+(1-'Inputs'!$B$13)/'Inputs'!$B$14*SUM(E1829:E1879)</x:f>
        <x:v>931152.152641879</x:v>
      </x:c>
      <x:c r="G1879" s="78" t="n">
        <x:f>F1879*'Inputs'!$F$49</x:f>
        <x:v>838036.9373776912</x:v>
      </x:c>
      <x:c r="H1879" s="78" t="n">
        <x:f>U1878</x:f>
        <x:v>173577932.06079334</x:v>
      </x:c>
      <x:c r="I1879" s="78" t="n">
        <x:f>V1878</x:f>
        <x:v>668.9555197701357</x:v>
      </x:c>
      <x:c r="J1879" s="79" t="n">
        <x:f>IF(H1879&gt;0,I1879/H1879,0)</x:f>
        <x:v>0.000003853920321713724</x:v>
      </x:c>
      <x:c r="K1879" s="80" t="n">
        <x:f>(H1879*J1879+I1879)*'Inputs'!$D$49*(1+'Inputs'!$G$49)^(B1879/30)</x:f>
        <x:v>1003.4332796552035</x:v>
      </x:c>
      <x:c r="L1879" s="80" t="n">
        <x:f>MAX(0,K1879*'Inputs'!$E$49)</x:f>
        <x:v>0</x:v>
      </x:c>
      <x:c r="M1879" s="80" t="n">
        <x:f>MAX(0,-K1879*'Inputs'!$E$49)</x:f>
        <x:v>30.102998389656104</x:v>
      </x:c>
      <x:c r="N1879" s="78" t="n">
        <x:f>H1879*(L1879*(1-'Inputs'!$B$15))/(I1879+L1879*(1-'Inputs'!$B$15))</x:f>
        <x:v>0</x:v>
      </x:c>
      <x:c r="O1879" s="78" t="n">
        <x:f>H1879-N1879</x:f>
        <x:v>173577932.06079334</x:v>
      </x:c>
      <x:c r="P1879" s="78" t="n">
        <x:f>I1879+L1879*(1-'Inputs'!$B$17)</x:f>
        <x:v>668.9555197701357</x:v>
      </x:c>
      <x:c r="Q1879" s="78" t="n">
        <x:f>IF(J1879&gt;0,M1879/J1879,0)</x:f>
        <x:v>7811006.9427357</x:v>
      </x:c>
      <x:c r="R1879" s="78" t="n">
        <x:f>IF(B1879='Inputs'!$H$49,'Inputs'!$B$27*'Inputs'!$I$49,0)</x:f>
        <x:v>0</x:v>
      </x:c>
      <x:c r="S1879" s="78" t="n">
        <x:f>Q1879+G1879+R1879</x:f>
        <x:v>8649043.880113391</x:v>
      </x:c>
      <x:c r="T1879" s="78" t="n">
        <x:f>P1879*(S1879*(1-'Inputs'!$B$15))/(O1879+S1879*(1-'Inputs'!$B$15))</x:f>
        <x:v>31.448073568610248</x:v>
      </x:c>
      <x:c r="U1879" s="78" t="n">
        <x:f>O1879+S1879*(1-'Inputs'!$B$17)</x:f>
        <x:v>182192170.93535295</x:v>
      </x:c>
      <x:c r="V1879" s="78" t="n">
        <x:f>P1879-T1879</x:f>
        <x:v>637.5074462015255</x:v>
      </x:c>
      <x:c r="W1879" s="79" t="n">
        <x:f>IF(U1879&gt;0,V1879/U1879,0)</x:f>
        <x:v>0.0000034990935281611606</x:v>
      </x:c>
      <x:c r="X1879" s="80" t="n">
        <x:f>W1879*('Inputs'!$B$6-AC1879)</x:f>
        <x:v>3463.666765040289</x:v>
      </x:c>
      <x:c r="Y1879" s="80" t="n">
        <x:f>2*V1879</x:f>
        <x:v>1275.014892403051</x:v>
      </x:c>
      <x:c r="Z1879" s="80" t="n">
        <x:f>K1879*'Inputs'!$B$16+(G1879+R1879)*J1879*'Inputs'!$B$16</x:f>
        <x:v>6.039978043431061</x:v>
      </x:c>
      <x:c r="AA1879" s="80" t="n">
        <x:f>K1879*(1+'Inputs'!$E$49)/2*'Inputs'!$B$17</x:f>
        <x:v>1.9584110287033147</x:v>
      </x:c>
      <x:c r="AB1879" s="78" t="n">
        <x:f>(IF(J1879&gt;0,K1879*(1-'Inputs'!$E$49)/2/J1879,0)+G1879+R1879)*'Inputs'!$B$17</x:f>
        <x:v>542965.7523313502</x:v>
      </x:c>
      <x:c r="AC1879" s="78" t="n">
        <x:f>AC1878+AB1879</x:f>
        <x:v>10124554.498401461</x:v>
      </x:c>
      <x:c r="AD1879" s="80" t="n">
        <x:f>Z1879/(1+'Inputs'!$C$49)</x:f>
        <x:v>1.5099945108577653</x:v>
      </x:c>
      <x:c r="AE1879" s="80" t="n">
        <x:f>Z1879-AD1879</x:f>
        <x:v>4.529983532573295</x:v>
      </x:c>
      <x:c r="AF1879" s="80" t="n">
        <x:f>D1879*W1879</x:f>
        <x:v>1.0430823087069516</x:v>
      </x:c>
      <x:c r="AG1879" s="80" t="n">
        <x:f>C1879*W1879</x:f>
        <x:v>2.4338587203162314</x:v>
      </x:c>
      <x:c r="AH1879" s="80" t="n">
        <x:f>2*'Inputs'!$B$8*'Inputs'!$C$49</x:f>
        <x:v>15000</x:v>
      </x:c>
      <x:c r="AI1879" s="81" t="n">
        <x:f>IF(AH1879&gt;0,(AE1879+AF1879)/AH1879*365,0)</x:f>
        <x:v>0.135611268804486</x:v>
      </x:c>
      <x:c r="AJ1879" s="81" t="n">
        <x:f>IF('Inputs'!$B$49&gt;0,AG1879/('Inputs'!$B$19*'Inputs'!$B$49)*365,0)</x:f>
        <x:v>0.08883584329154244</x:v>
      </x:c>
      <x:c r="AK1879" s="81" t="n">
        <x:f>W1879/MAX($W$1829:W1879)-1</x:f>
        <x:v>-0.9954921351217474</x:v>
      </x:c>
      <x:c r="AL1879" s="83" t="n">
        <x:f>'Inputs'!$B$49</x:f>
        <x:v>1</x:v>
      </x:c>
      <x:c r="AM1879" s="83" t="n">
        <x:f>'Inputs'!$C$49</x:f>
        <x:v>3</x:v>
      </x:c>
      <x:c r="AN1879" s="83" t="n">
        <x:f>'Inputs'!$D$49</x:f>
        <x:v>0.75</x:v>
      </x:c>
      <x:c r="AO1879" s="81" t="n">
        <x:f>'Inputs'!$E$49</x:f>
        <x:v>-0.03</x:v>
      </x:c>
    </x:row>
    <x:row r="1880">
      <x:c r="A1880" s="59" t="str">
        <x:v>Mercenary LP</x:v>
      </x:c>
      <x:c r="B1880" s="59" t="n">
        <x:v>52</x:v>
      </x:c>
      <x:c r="C1880" s="78" t="n">
        <x:f>(('Inputs'!$B$29*(3*52*'Inputs'!$B$12-52^2)/(2*'Inputs'!$B$12^2))-('Inputs'!$B$29*(3*51*'Inputs'!$B$12-51^2)/(2*'Inputs'!$B$12^2)))*'Inputs'!$B$49</x:f>
        <x:v>695243.2445111647</x:v>
      </x:c>
      <x:c r="D1880" s="78" t="n">
        <x:f>IF('Inputs'!$C$49&gt;0,('Inputs'!$B$30*(3*52*'Inputs'!$B$12-52^2)/(2*'Inputs'!$B$12^2))-('Inputs'!$B$30*(3*51*'Inputs'!$B$12-51^2)/(2*'Inputs'!$B$12^2)),0)</x:f>
        <x:v>297961.39050478674</x:v>
      </x:c>
      <x:c r="E1880" s="78" t="n">
        <x:f>C1880+D1880</x:f>
        <x:v>993204.6350159515</x:v>
      </x:c>
      <x:c r="F1880" s="78" t="n">
        <x:f>'Inputs'!$B$13*E1880+(1-'Inputs'!$B$13)/'Inputs'!$B$14*SUM(E1829:E1880)</x:f>
        <x:v>945247.9023134868</x:v>
      </x:c>
      <x:c r="G1880" s="78" t="n">
        <x:f>F1880*'Inputs'!$F$49</x:f>
        <x:v>850723.1120821381</x:v>
      </x:c>
      <x:c r="H1880" s="78" t="n">
        <x:f>U1879</x:f>
        <x:v>182192170.93535295</x:v>
      </x:c>
      <x:c r="I1880" s="78" t="n">
        <x:f>V1879</x:f>
        <x:v>637.5074462015255</x:v>
      </x:c>
      <x:c r="J1880" s="79" t="n">
        <x:f>IF(H1880&gt;0,I1880/H1880,0)</x:f>
        <x:v>0.0000034990935281611606</x:v>
      </x:c>
      <x:c r="K1880" s="80" t="n">
        <x:f>(H1880*J1880+I1880)*'Inputs'!$D$49*(1+'Inputs'!$G$49)^(B1880/30)</x:f>
        <x:v>956.2611693022882</x:v>
      </x:c>
      <x:c r="L1880" s="80" t="n">
        <x:f>MAX(0,K1880*'Inputs'!$E$49)</x:f>
        <x:v>0</x:v>
      </x:c>
      <x:c r="M1880" s="80" t="n">
        <x:f>MAX(0,-K1880*'Inputs'!$E$49)</x:f>
        <x:v>28.687835079068645</x:v>
      </x:c>
      <x:c r="N1880" s="78" t="n">
        <x:f>H1880*(L1880*(1-'Inputs'!$B$15))/(I1880+L1880*(1-'Inputs'!$B$15))</x:f>
        <x:v>0</x:v>
      </x:c>
      <x:c r="O1880" s="78" t="n">
        <x:f>H1880-N1880</x:f>
        <x:v>182192170.93535295</x:v>
      </x:c>
      <x:c r="P1880" s="78" t="n">
        <x:f>I1880+L1880*(1-'Inputs'!$B$17)</x:f>
        <x:v>637.5074462015255</x:v>
      </x:c>
      <x:c r="Q1880" s="78" t="n">
        <x:f>IF(J1880&gt;0,M1880/J1880,0)</x:f>
        <x:v>8198647.692090883</x:v>
      </x:c>
      <x:c r="R1880" s="78" t="n">
        <x:f>IF(B1880='Inputs'!$H$49,'Inputs'!$B$27*'Inputs'!$I$49,0)</x:f>
        <x:v>0</x:v>
      </x:c>
      <x:c r="S1880" s="78" t="n">
        <x:f>Q1880+G1880+R1880</x:f>
        <x:v>9049370.80417302</x:v>
      </x:c>
      <x:c r="T1880" s="78" t="n">
        <x:f>P1880*(S1880*(1-'Inputs'!$B$15))/(O1880+S1880*(1-'Inputs'!$B$15))</x:f>
        <x:v>29.878731595796893</x:v>
      </x:c>
      <x:c r="U1880" s="78" t="n">
        <x:f>O1880+S1880*(1-'Inputs'!$B$17)</x:f>
        <x:v>191205125.76043475</x:v>
      </x:c>
      <x:c r="V1880" s="78" t="n">
        <x:f>P1880-T1880</x:f>
        <x:v>607.6287146057285</x:v>
      </x:c>
      <x:c r="W1880" s="79" t="n">
        <x:f>IF(U1880&gt;0,V1880/U1880,0)</x:f>
        <x:v>0.0000031778892547422625</x:v>
      </x:c>
      <x:c r="X1880" s="80" t="n">
        <x:f>W1880*('Inputs'!$B$6-AC1880)</x:f>
        <x:v>3143.903794880169</x:v>
      </x:c>
      <x:c r="Y1880" s="80" t="n">
        <x:f>2*V1880</x:f>
        <x:v>1215.257429211457</x:v>
      </x:c>
      <x:c r="Z1880" s="80" t="n">
        <x:f>K1880*'Inputs'!$B$16+(G1880+R1880)*J1880*'Inputs'!$B$16</x:f>
        <x:v>5.755427574228191</x:v>
      </x:c>
      <x:c r="AA1880" s="80" t="n">
        <x:f>K1880*(1+'Inputs'!$E$49)/2*'Inputs'!$B$17</x:f>
        <x:v>1.866344736867645</x:v>
      </x:c>
      <x:c r="AB1880" s="78" t="n">
        <x:f>(IF(J1880&gt;0,K1880*(1-'Inputs'!$E$49)/2/J1880,0)+G1880+R1880)*'Inputs'!$B$17</x:f>
        <x:v>569795.4734794458</x:v>
      </x:c>
      <x:c r="AC1880" s="78" t="n">
        <x:f>AC1879+AB1880</x:f>
        <x:v>10694349.971880907</x:v>
      </x:c>
      <x:c r="AD1880" s="80" t="n">
        <x:f>Z1880/(1+'Inputs'!$C$49)</x:f>
        <x:v>1.4388568935570478</x:v>
      </x:c>
      <x:c r="AE1880" s="80" t="n">
        <x:f>Z1880-AD1880</x:f>
        <x:v>4.316570680671143</x:v>
      </x:c>
      <x:c r="AF1880" s="80" t="n">
        <x:f>D1880*W1880</x:f>
        <x:v>0.946888301213225</x:v>
      </x:c>
      <x:c r="AG1880" s="80" t="n">
        <x:f>C1880*W1880</x:f>
        <x:v>2.209406036164178</x:v>
      </x:c>
      <x:c r="AH1880" s="80" t="n">
        <x:f>2*'Inputs'!$B$8*'Inputs'!$C$49</x:f>
        <x:v>15000</x:v>
      </x:c>
      <x:c r="AI1880" s="81" t="n">
        <x:f>IF(AH1880&gt;0,(AE1880+AF1880)/AH1880*365,0)</x:f>
        <x:v>0.12807750189251962</x:v>
      </x:c>
      <x:c r="AJ1880" s="81" t="n">
        <x:f>IF('Inputs'!$B$49&gt;0,AG1880/('Inputs'!$B$19*'Inputs'!$B$49)*365,0)</x:f>
        <x:v>0.0806433203199925</x:v>
      </x:c>
      <x:c r="AK1880" s="81" t="n">
        <x:f>W1880/MAX($W$1829:W1880)-1</x:f>
        <x:v>-0.9959059409978225</x:v>
      </x:c>
      <x:c r="AL1880" s="83" t="n">
        <x:f>'Inputs'!$B$49</x:f>
        <x:v>1</x:v>
      </x:c>
      <x:c r="AM1880" s="83" t="n">
        <x:f>'Inputs'!$C$49</x:f>
        <x:v>3</x:v>
      </x:c>
      <x:c r="AN1880" s="83" t="n">
        <x:f>'Inputs'!$D$49</x:f>
        <x:v>0.75</x:v>
      </x:c>
      <x:c r="AO1880" s="81" t="n">
        <x:f>'Inputs'!$E$49</x:f>
        <x:v>-0.03</x:v>
      </x:c>
    </x:row>
    <x:row r="1881">
      <x:c r="A1881" s="59" t="str">
        <x:v>Mercenary LP</x:v>
      </x:c>
      <x:c r="B1881" s="59" t="n">
        <x:v>53</x:v>
      </x:c>
      <x:c r="C1881" s="78" t="n">
        <x:f>(('Inputs'!$B$29*(3*53*'Inputs'!$B$12-53^2)/(2*'Inputs'!$B$12^2))-('Inputs'!$B$29*(3*52*'Inputs'!$B$12-52^2)/(2*'Inputs'!$B$12^2)))*'Inputs'!$B$49</x:f>
        <x:v>694918.1366109997</x:v>
      </x:c>
      <x:c r="D1881" s="78" t="n">
        <x:f>IF('Inputs'!$C$49&gt;0,('Inputs'!$B$30*(3*53*'Inputs'!$B$12-53^2)/(2*'Inputs'!$B$12^2))-('Inputs'!$B$30*(3*52*'Inputs'!$B$12-52^2)/(2*'Inputs'!$B$12^2)),0)</x:f>
        <x:v>297822.05854756944</x:v>
      </x:c>
      <x:c r="E1881" s="78" t="n">
        <x:f>C1881+D1881</x:f>
        <x:v>992740.1951585691</x:v>
      </x:c>
      <x:c r="F1881" s="78" t="n">
        <x:f>'Inputs'!$B$13*E1881+(1-'Inputs'!$B$13)/'Inputs'!$B$14*SUM(E1829:E1881)</x:f>
        <x:v>959337.0171299899</x:v>
      </x:c>
      <x:c r="G1881" s="78" t="n">
        <x:f>F1881*'Inputs'!$F$49</x:f>
        <x:v>863403.3154169909</x:v>
      </x:c>
      <x:c r="H1881" s="78" t="n">
        <x:f>U1880</x:f>
        <x:v>191205125.76043475</x:v>
      </x:c>
      <x:c r="I1881" s="78" t="n">
        <x:f>V1880</x:f>
        <x:v>607.6287146057285</x:v>
      </x:c>
      <x:c r="J1881" s="79" t="n">
        <x:f>IF(H1881&gt;0,I1881/H1881,0)</x:f>
        <x:v>0.0000031778892547422625</x:v>
      </x:c>
      <x:c r="K1881" s="80" t="n">
        <x:f>(H1881*J1881+I1881)*'Inputs'!$D$49*(1+'Inputs'!$G$49)^(B1881/30)</x:f>
        <x:v>911.4430719085929</x:v>
      </x:c>
      <x:c r="L1881" s="80" t="n">
        <x:f>MAX(0,K1881*'Inputs'!$E$49)</x:f>
        <x:v>0</x:v>
      </x:c>
      <x:c r="M1881" s="80" t="n">
        <x:f>MAX(0,-K1881*'Inputs'!$E$49)</x:f>
        <x:v>27.343292157257785</x:v>
      </x:c>
      <x:c r="N1881" s="78" t="n">
        <x:f>H1881*(L1881*(1-'Inputs'!$B$15))/(I1881+L1881*(1-'Inputs'!$B$15))</x:f>
        <x:v>0</x:v>
      </x:c>
      <x:c r="O1881" s="78" t="n">
        <x:f>H1881-N1881</x:f>
        <x:v>191205125.76043475</x:v>
      </x:c>
      <x:c r="P1881" s="78" t="n">
        <x:f>I1881+L1881*(1-'Inputs'!$B$17)</x:f>
        <x:v>607.6287146057285</x:v>
      </x:c>
      <x:c r="Q1881" s="78" t="n">
        <x:f>IF(J1881&gt;0,M1881/J1881,0)</x:f>
        <x:v>8604230.659219563</x:v>
      </x:c>
      <x:c r="R1881" s="78" t="n">
        <x:f>IF(B1881='Inputs'!$H$49,'Inputs'!$B$27*'Inputs'!$I$49,0)</x:f>
        <x:v>0</x:v>
      </x:c>
      <x:c r="S1881" s="78" t="n">
        <x:f>Q1881+G1881+R1881</x:f>
        <x:v>9467633.974636555</x:v>
      </x:c>
      <x:c r="T1881" s="78" t="n">
        <x:f>P1881*(S1881*(1-'Inputs'!$B$15))/(O1881+S1881*(1-'Inputs'!$B$15))</x:f>
        <x:v>28.394319575371014</x:v>
      </x:c>
      <x:c r="U1881" s="78" t="n">
        <x:f>O1881+S1881*(1-'Inputs'!$B$17)</x:f>
        <x:v>200634660.60438865</x:v>
      </x:c>
      <x:c r="V1881" s="78" t="n">
        <x:f>P1881-T1881</x:f>
        <x:v>579.2343950303575</x:v>
      </x:c>
      <x:c r="W1881" s="79" t="n">
        <x:f>IF(U1881&gt;0,V1881/U1881,0)</x:f>
        <x:v>0.0000028870106156407924</x:v>
      </x:c>
      <x:c r="X1881" s="80" t="n">
        <x:f>W1881*('Inputs'!$B$6-AC1881)</x:f>
        <x:v>2854.4098721830655</x:v>
      </x:c>
      <x:c r="Y1881" s="80" t="n">
        <x:f>2*V1881</x:f>
        <x:v>1158.468790060715</x:v>
      </x:c>
      <x:c r="Z1881" s="80" t="n">
        <x:f>K1881*'Inputs'!$B$16+(G1881+R1881)*J1881*'Inputs'!$B$16</x:f>
        <x:v>5.485121232162992</x:v>
      </x:c>
      <x:c r="AA1881" s="80" t="n">
        <x:f>K1881*(1+'Inputs'!$E$49)/2*'Inputs'!$B$17</x:f>
        <x:v>1.7788727962803523</x:v>
      </x:c>
      <x:c r="AB1881" s="78" t="n">
        <x:f>(IF(J1881&gt;0,K1881*(1-'Inputs'!$E$49)/2/J1881,0)+G1881+R1881)*'Inputs'!$B$17</x:f>
        <x:v>597864.639699609</x:v>
      </x:c>
      <x:c r="AC1881" s="78" t="n">
        <x:f>AC1880+AB1881</x:f>
        <x:v>11292214.611580517</x:v>
      </x:c>
      <x:c r="AD1881" s="80" t="n">
        <x:f>Z1881/(1+'Inputs'!$C$49)</x:f>
        <x:v>1.371280308040748</x:v>
      </x:c>
      <x:c r="AE1881" s="80" t="n">
        <x:f>Z1881-AD1881</x:f>
        <x:v>4.113840924122244</x:v>
      </x:c>
      <x:c r="AF1881" s="80" t="n">
        <x:f>D1881*W1881</x:f>
        <x:v>0.8598154445988265</x:v>
      </x:c>
      <x:c r="AG1881" s="80" t="n">
        <x:f>C1881*W1881</x:f>
        <x:v>2.0062360373972745</x:v>
      </x:c>
      <x:c r="AH1881" s="80" t="n">
        <x:f>2*'Inputs'!$B$8*'Inputs'!$C$49</x:f>
        <x:v>15000</x:v>
      </x:c>
      <x:c r="AI1881" s="81" t="n">
        <x:f>IF(AH1881&gt;0,(AE1881+AF1881)/AH1881*365,0)</x:f>
        <x:v>0.12102563830554605</x:v>
      </x:c>
      <x:c r="AJ1881" s="81" t="n">
        <x:f>IF('Inputs'!$B$49&gt;0,AG1881/('Inputs'!$B$19*'Inputs'!$B$49)*365,0)</x:f>
        <x:v>0.07322761536500053</x:v>
      </x:c>
      <x:c r="AK1881" s="81" t="n">
        <x:f>W1881/MAX($W$1829:W1881)-1</x:f>
        <x:v>-0.9962806785092627</x:v>
      </x:c>
      <x:c r="AL1881" s="83" t="n">
        <x:f>'Inputs'!$B$49</x:f>
        <x:v>1</x:v>
      </x:c>
      <x:c r="AM1881" s="83" t="n">
        <x:f>'Inputs'!$C$49</x:f>
        <x:v>3</x:v>
      </x:c>
      <x:c r="AN1881" s="83" t="n">
        <x:f>'Inputs'!$D$49</x:f>
        <x:v>0.75</x:v>
      </x:c>
      <x:c r="AO1881" s="81" t="n">
        <x:f>'Inputs'!$E$49</x:f>
        <x:v>-0.03</x:v>
      </x:c>
    </x:row>
    <x:row r="1882">
      <x:c r="A1882" s="59" t="str">
        <x:v>Mercenary LP</x:v>
      </x:c>
      <x:c r="B1882" s="59" t="n">
        <x:v>54</x:v>
      </x:c>
      <x:c r="C1882" s="78" t="n">
        <x:f>(('Inputs'!$B$29*(3*54*'Inputs'!$B$12-54^2)/(2*'Inputs'!$B$12^2))-('Inputs'!$B$29*(3*53*'Inputs'!$B$12-53^2)/(2*'Inputs'!$B$12^2)))*'Inputs'!$B$49</x:f>
        <x:v>694593.0287108272</x:v>
      </x:c>
      <x:c r="D1882" s="78" t="n">
        <x:f>IF('Inputs'!$C$49&gt;0,('Inputs'!$B$30*(3*54*'Inputs'!$B$12-54^2)/(2*'Inputs'!$B$12^2))-('Inputs'!$B$30*(3*53*'Inputs'!$B$12-53^2)/(2*'Inputs'!$B$12^2)),0)</x:f>
        <x:v>297682.726590354</x:v>
      </x:c>
      <x:c r="E1882" s="78" t="n">
        <x:f>C1882+D1882</x:f>
        <x:v>992275.7553011812</x:v>
      </x:c>
      <x:c r="F1882" s="78" t="n">
        <x:f>'Inputs'!$B$13*E1882+(1-'Inputs'!$B$13)/'Inputs'!$B$14*SUM(E1829:E1882)</x:f>
        <x:v>973419.4970913864</x:v>
      </x:c>
      <x:c r="G1882" s="78" t="n">
        <x:f>F1882*'Inputs'!$F$49</x:f>
        <x:v>876077.5473822478</x:v>
      </x:c>
      <x:c r="H1882" s="78" t="n">
        <x:f>U1881</x:f>
        <x:v>200634660.60438865</x:v>
      </x:c>
      <x:c r="I1882" s="78" t="n">
        <x:f>V1881</x:f>
        <x:v>579.2343950303575</x:v>
      </x:c>
      <x:c r="J1882" s="79" t="n">
        <x:f>IF(H1882&gt;0,I1882/H1882,0)</x:f>
        <x:v>0.0000028870106156407924</x:v>
      </x:c>
      <x:c r="K1882" s="80" t="n">
        <x:f>(H1882*J1882+I1882)*'Inputs'!$D$49*(1+'Inputs'!$G$49)^(B1882/30)</x:f>
        <x:v>868.8515925455363</x:v>
      </x:c>
      <x:c r="L1882" s="80" t="n">
        <x:f>MAX(0,K1882*'Inputs'!$E$49)</x:f>
        <x:v>0</x:v>
      </x:c>
      <x:c r="M1882" s="80" t="n">
        <x:f>MAX(0,-K1882*'Inputs'!$E$49)</x:f>
        <x:v>26.06554777636609</x:v>
      </x:c>
      <x:c r="N1882" s="78" t="n">
        <x:f>H1882*(L1882*(1-'Inputs'!$B$15))/(I1882+L1882*(1-'Inputs'!$B$15))</x:f>
        <x:v>0</x:v>
      </x:c>
      <x:c r="O1882" s="78" t="n">
        <x:f>H1882-N1882</x:f>
        <x:v>200634660.60438865</x:v>
      </x:c>
      <x:c r="P1882" s="78" t="n">
        <x:f>I1882+L1882*(1-'Inputs'!$B$17)</x:f>
        <x:v>579.2343950303575</x:v>
      </x:c>
      <x:c r="Q1882" s="78" t="n">
        <x:f>IF(J1882&gt;0,M1882/J1882,0)</x:f>
        <x:v>9028559.727197489</x:v>
      </x:c>
      <x:c r="R1882" s="78" t="n">
        <x:f>IF(B1882='Inputs'!$H$49,'Inputs'!$B$27*'Inputs'!$I$49,0)</x:f>
        <x:v>0</x:v>
      </x:c>
      <x:c r="S1882" s="78" t="n">
        <x:f>Q1882+G1882+R1882</x:f>
        <x:v>9904637.274579737</x:v>
      </x:c>
      <x:c r="T1882" s="78" t="n">
        <x:f>P1882*(S1882*(1-'Inputs'!$B$15))/(O1882+S1882*(1-'Inputs'!$B$15))</x:f>
        <x:v>26.98977725642479</x:v>
      </x:c>
      <x:c r="U1882" s="78" t="n">
        <x:f>O1882+S1882*(1-'Inputs'!$B$17)</x:f>
        <x:v>210499440.18369845</x:v>
      </x:c>
      <x:c r="V1882" s="78" t="n">
        <x:f>P1882-T1882</x:f>
        <x:v>552.2446177739328</x:v>
      </x:c>
      <x:c r="W1882" s="79" t="n">
        <x:f>IF(U1882&gt;0,V1882/U1882,0)</x:f>
        <x:v>0.0000026234968477445852</x:v>
      </x:c>
      <x:c r="X1882" s="80" t="n">
        <x:f>W1882*('Inputs'!$B$6-AC1882)</x:f>
        <x:v>2592.226225568985</x:v>
      </x:c>
      <x:c r="Y1882" s="80" t="n">
        <x:f>2*V1882</x:f>
        <x:v>1104.4892355478655</x:v>
      </x:c>
      <x:c r="Z1882" s="80" t="n">
        <x:f>K1882*'Inputs'!$B$16+(G1882+R1882)*J1882*'Inputs'!$B$16</x:f>
        <x:v>5.22828502634972</x:v>
      </x:c>
      <x:c r="AA1882" s="80" t="n">
        <x:f>K1882*(1+'Inputs'!$E$49)/2*'Inputs'!$B$17</x:f>
        <x:v>1.6957465689520528</x:v>
      </x:c>
      <x:c r="AB1882" s="78" t="n">
        <x:f>(IF(J1882&gt;0,K1882*(1-'Inputs'!$E$49)/2/J1882,0)+G1882+R1882)*'Inputs'!$B$17</x:f>
        <x:v>627228.7841620623</x:v>
      </x:c>
      <x:c r="AC1882" s="78" t="n">
        <x:f>AC1881+AB1882</x:f>
        <x:v>11919443.39574258</x:v>
      </x:c>
      <x:c r="AD1882" s="80" t="n">
        <x:f>Z1882/(1+'Inputs'!$C$49)</x:f>
        <x:v>1.30707125658743</x:v>
      </x:c>
      <x:c r="AE1882" s="80" t="n">
        <x:f>Z1882-AD1882</x:f>
        <x:v>3.92121376976229</x:v>
      </x:c>
      <x:c r="AF1882" s="80" t="n">
        <x:f>D1882*W1882</x:f>
        <x:v>0.7809696948378069</x:v>
      </x:c>
      <x:c r="AG1882" s="80" t="n">
        <x:f>C1882*W1882</x:f>
        <x:v>1.8222626212882194</x:v>
      </x:c>
      <x:c r="AH1882" s="80" t="n">
        <x:f>2*'Inputs'!$B$8*'Inputs'!$C$49</x:f>
        <x:v>15000</x:v>
      </x:c>
      <x:c r="AI1882" s="81" t="n">
        <x:f>IF(AH1882&gt;0,(AE1882+AF1882)/AH1882*365,0)</x:f>
        <x:v>0.11441979763860236</x:v>
      </x:c>
      <x:c r="AJ1882" s="81" t="n">
        <x:f>IF('Inputs'!$B$49&gt;0,AG1882/('Inputs'!$B$19*'Inputs'!$B$49)*365,0)</x:f>
        <x:v>0.06651258567702001</x:v>
      </x:c>
      <x:c r="AK1882" s="81" t="n">
        <x:f>W1882/MAX($W$1829:W1882)-1</x:f>
        <x:v>-0.9966201619925349</x:v>
      </x:c>
      <x:c r="AL1882" s="83" t="n">
        <x:f>'Inputs'!$B$49</x:f>
        <x:v>1</x:v>
      </x:c>
      <x:c r="AM1882" s="83" t="n">
        <x:f>'Inputs'!$C$49</x:f>
        <x:v>3</x:v>
      </x:c>
      <x:c r="AN1882" s="83" t="n">
        <x:f>'Inputs'!$D$49</x:f>
        <x:v>0.75</x:v>
      </x:c>
      <x:c r="AO1882" s="81" t="n">
        <x:f>'Inputs'!$E$49</x:f>
        <x:v>-0.03</x:v>
      </x:c>
    </x:row>
    <x:row r="1883">
      <x:c r="A1883" s="59" t="str">
        <x:v>Mercenary LP</x:v>
      </x:c>
      <x:c r="B1883" s="59" t="n">
        <x:v>55</x:v>
      </x:c>
      <x:c r="C1883" s="78" t="n">
        <x:f>(('Inputs'!$B$29*(3*55*'Inputs'!$B$12-55^2)/(2*'Inputs'!$B$12^2))-('Inputs'!$B$29*(3*54*'Inputs'!$B$12-54^2)/(2*'Inputs'!$B$12^2)))*'Inputs'!$B$49</x:f>
        <x:v>694267.9208106548</x:v>
      </x:c>
      <x:c r="D1883" s="78" t="n">
        <x:f>IF('Inputs'!$C$49&gt;0,('Inputs'!$B$30*(3*55*'Inputs'!$B$12-55^2)/(2*'Inputs'!$B$12^2))-('Inputs'!$B$30*(3*54*'Inputs'!$B$12-54^2)/(2*'Inputs'!$B$12^2)),0)</x:f>
        <x:v>297543.3946331404</x:v>
      </x:c>
      <x:c r="E1883" s="78" t="n">
        <x:f>C1883+D1883</x:f>
        <x:v>991811.3154437952</x:v>
      </x:c>
      <x:c r="F1883" s="78" t="n">
        <x:f>'Inputs'!$B$13*E1883+(1-'Inputs'!$B$13)/'Inputs'!$B$14*SUM(E1829:E1883)</x:f>
        <x:v>987495.3421976777</x:v>
      </x:c>
      <x:c r="G1883" s="78" t="n">
        <x:f>F1883*'Inputs'!$F$49</x:f>
        <x:v>888745.8079779099</x:v>
      </x:c>
      <x:c r="H1883" s="78" t="n">
        <x:f>U1882</x:f>
        <x:v>210499440.18369845</x:v>
      </x:c>
      <x:c r="I1883" s="78" t="n">
        <x:f>V1882</x:f>
        <x:v>552.2446177739328</x:v>
      </x:c>
      <x:c r="J1883" s="79" t="n">
        <x:f>IF(H1883&gt;0,I1883/H1883,0)</x:f>
        <x:v>0.0000026234968477445852</x:v>
      </x:c>
      <x:c r="K1883" s="80" t="n">
        <x:f>(H1883*J1883+I1883)*'Inputs'!$D$49*(1+'Inputs'!$G$49)^(B1883/30)</x:f>
        <x:v>828.3669266608991</x:v>
      </x:c>
      <x:c r="L1883" s="80" t="n">
        <x:f>MAX(0,K1883*'Inputs'!$E$49)</x:f>
        <x:v>0</x:v>
      </x:c>
      <x:c r="M1883" s="80" t="n">
        <x:f>MAX(0,-K1883*'Inputs'!$E$49)</x:f>
        <x:v>24.851007799826974</x:v>
      </x:c>
      <x:c r="N1883" s="78" t="n">
        <x:f>H1883*(L1883*(1-'Inputs'!$B$15))/(I1883+L1883*(1-'Inputs'!$B$15))</x:f>
        <x:v>0</x:v>
      </x:c>
      <x:c r="O1883" s="78" t="n">
        <x:f>H1883-N1883</x:f>
        <x:v>210499440.18369845</x:v>
      </x:c>
      <x:c r="P1883" s="78" t="n">
        <x:f>I1883+L1883*(1-'Inputs'!$B$17)</x:f>
        <x:v>552.2446177739328</x:v>
      </x:c>
      <x:c r="Q1883" s="78" t="n">
        <x:f>IF(J1883&gt;0,M1883/J1883,0)</x:f>
        <x:v>9472474.80826643</x:v>
      </x:c>
      <x:c r="R1883" s="78" t="n">
        <x:f>IF(B1883='Inputs'!$H$49,'Inputs'!$B$27*'Inputs'!$I$49,0)</x:f>
        <x:v>0</x:v>
      </x:c>
      <x:c r="S1883" s="78" t="n">
        <x:f>Q1883+G1883+R1883</x:f>
        <x:v>10361220.616244338</x:v>
      </x:c>
      <x:c r="T1883" s="78" t="n">
        <x:f>P1883*(S1883*(1-'Inputs'!$B$15))/(O1883+S1883*(1-'Inputs'!$B$15))</x:f>
        <x:v>25.660376743503686</x:v>
      </x:c>
      <x:c r="U1883" s="78" t="n">
        <x:f>O1883+S1883*(1-'Inputs'!$B$17)</x:f>
        <x:v>220818965.74716112</x:v>
      </x:c>
      <x:c r="V1883" s="78" t="n">
        <x:f>P1883-T1883</x:f>
        <x:v>526.5842410304291</x:v>
      </x:c>
      <x:c r="W1883" s="79" t="n">
        <x:f>IF(U1883&gt;0,V1883/U1883,0)</x:f>
        <x:v>0.000002384687561816456</x:v>
      </x:c>
      <x:c r="X1883" s="80" t="n">
        <x:f>W1883*('Inputs'!$B$6-AC1883)</x:f>
        <x:v>2354.6944179336824</x:v>
      </x:c>
      <x:c r="Y1883" s="80" t="n">
        <x:f>2*V1883</x:f>
        <x:v>1053.1684820608582</x:v>
      </x:c>
      <x:c r="Z1883" s="80" t="n">
        <x:f>K1883*'Inputs'!$B$16+(G1883+R1883)*J1883*'Inputs'!$B$16</x:f>
        <x:v>4.984191290919453</x:v>
      </x:c>
      <x:c r="AA1883" s="80" t="n">
        <x:f>K1883*(1+'Inputs'!$E$49)/2*'Inputs'!$B$17</x:f>
        <x:v>1.6167322311087973</x:v>
      </x:c>
      <x:c r="AB1883" s="78" t="n">
        <x:f>(IF(J1883&gt;0,K1883*(1-'Inputs'!$E$49)/2/J1883,0)+G1883+R1883)*'Inputs'!$B$17</x:f>
        <x:v>657945.9289733802</x:v>
      </x:c>
      <x:c r="AC1883" s="78" t="n">
        <x:f>AC1882+AB1883</x:f>
        <x:v>12577389.32471596</x:v>
      </x:c>
      <x:c r="AD1883" s="80" t="n">
        <x:f>Z1883/(1+'Inputs'!$C$49)</x:f>
        <x:v>1.2460478227298633</x:v>
      </x:c>
      <x:c r="AE1883" s="80" t="n">
        <x:f>Z1883-AD1883</x:f>
        <x:v>3.7381434681895898</x:v>
      </x:c>
      <x:c r="AF1883" s="80" t="n">
        <x:f>D1883*W1883</x:f>
        <x:v>0.7095480322822951</x:v>
      </x:c>
      <x:c r="AG1883" s="80" t="n">
        <x:f>C1883*W1883</x:f>
        <x:v>1.6556120753253405</x:v>
      </x:c>
      <x:c r="AH1883" s="80" t="n">
        <x:f>2*'Inputs'!$B$8*'Inputs'!$C$49</x:f>
        <x:v>15000</x:v>
      </x:c>
      <x:c r="AI1883" s="81" t="n">
        <x:f>IF(AH1883&gt;0,(AE1883+AF1883)/AH1883*365,0)</x:f>
        <x:v>0.10822715984481587</x:v>
      </x:c>
      <x:c r="AJ1883" s="81" t="n">
        <x:f>IF('Inputs'!$B$49&gt;0,AG1883/('Inputs'!$B$19*'Inputs'!$B$49)*365,0)</x:f>
        <x:v>0.06042984074937492</x:v>
      </x:c>
      <x:c r="AK1883" s="81" t="n">
        <x:f>W1883/MAX($W$1829:W1883)-1</x:f>
        <x:v>-0.9969278188139293</x:v>
      </x:c>
      <x:c r="AL1883" s="83" t="n">
        <x:f>'Inputs'!$B$49</x:f>
        <x:v>1</x:v>
      </x:c>
      <x:c r="AM1883" s="83" t="n">
        <x:f>'Inputs'!$C$49</x:f>
        <x:v>3</x:v>
      </x:c>
      <x:c r="AN1883" s="83" t="n">
        <x:f>'Inputs'!$D$49</x:f>
        <x:v>0.75</x:v>
      </x:c>
      <x:c r="AO1883" s="81" t="n">
        <x:f>'Inputs'!$E$49</x:f>
        <x:v>-0.03</x:v>
      </x:c>
    </x:row>
    <x:row r="1884">
      <x:c r="A1884" s="59" t="str">
        <x:v>Mercenary LP</x:v>
      </x:c>
      <x:c r="B1884" s="59" t="n">
        <x:v>56</x:v>
      </x:c>
      <x:c r="C1884" s="78" t="n">
        <x:f>(('Inputs'!$B$29*(3*56*'Inputs'!$B$12-56^2)/(2*'Inputs'!$B$12^2))-('Inputs'!$B$29*(3*55*'Inputs'!$B$12-55^2)/(2*'Inputs'!$B$12^2)))*'Inputs'!$B$49</x:f>
        <x:v>693942.8129104897</x:v>
      </x:c>
      <x:c r="D1884" s="78" t="n">
        <x:f>IF('Inputs'!$C$49&gt;0,('Inputs'!$B$30*(3*56*'Inputs'!$B$12-56^2)/(2*'Inputs'!$B$12^2))-('Inputs'!$B$30*(3*55*'Inputs'!$B$12-55^2)/(2*'Inputs'!$B$12^2)),0)</x:f>
        <x:v>297404.0626759231</x:v>
      </x:c>
      <x:c r="E1884" s="78" t="n">
        <x:f>C1884+D1884</x:f>
        <x:v>991346.8755864128</x:v>
      </x:c>
      <x:c r="F1884" s="78" t="n">
        <x:f>'Inputs'!$B$13*E1884+(1-'Inputs'!$B$13)/'Inputs'!$B$14*SUM(E1829:E1884)</x:f>
        <x:v>1001564.5524488643</x:v>
      </x:c>
      <x:c r="G1884" s="78" t="n">
        <x:f>F1884*'Inputs'!$F$49</x:f>
        <x:v>901408.0972039779</x:v>
      </x:c>
      <x:c r="H1884" s="78" t="n">
        <x:f>U1883</x:f>
        <x:v>220818965.74716112</x:v>
      </x:c>
      <x:c r="I1884" s="78" t="n">
        <x:f>V1883</x:f>
        <x:v>526.5842410304291</x:v>
      </x:c>
      <x:c r="J1884" s="79" t="n">
        <x:f>IF(H1884&gt;0,I1884/H1884,0)</x:f>
        <x:v>0.000002384687561816456</x:v>
      </x:c>
      <x:c r="K1884" s="80" t="n">
        <x:f>(H1884*J1884+I1884)*'Inputs'!$D$49*(1+'Inputs'!$G$49)^(B1884/30)</x:f>
        <x:v>789.8763615456437</x:v>
      </x:c>
      <x:c r="L1884" s="80" t="n">
        <x:f>MAX(0,K1884*'Inputs'!$E$49)</x:f>
        <x:v>0</x:v>
      </x:c>
      <x:c r="M1884" s="80" t="n">
        <x:f>MAX(0,-K1884*'Inputs'!$E$49)</x:f>
        <x:v>23.696290846369312</x:v>
      </x:c>
      <x:c r="N1884" s="78" t="n">
        <x:f>H1884*(L1884*(1-'Inputs'!$B$15))/(I1884+L1884*(1-'Inputs'!$B$15))</x:f>
        <x:v>0</x:v>
      </x:c>
      <x:c r="O1884" s="78" t="n">
        <x:f>H1884-N1884</x:f>
        <x:v>220818965.74716112</x:v>
      </x:c>
      <x:c r="P1884" s="78" t="n">
        <x:f>I1884+L1884*(1-'Inputs'!$B$17)</x:f>
        <x:v>526.5842410304291</x:v>
      </x:c>
      <x:c r="Q1884" s="78" t="n">
        <x:f>IF(J1884&gt;0,M1884/J1884,0)</x:f>
        <x:v>9936853.45862225</x:v>
      </x:c>
      <x:c r="R1884" s="78" t="n">
        <x:f>IF(B1884='Inputs'!$H$49,'Inputs'!$B$27*'Inputs'!$I$49,0)</x:f>
        <x:v>0</x:v>
      </x:c>
      <x:c r="S1884" s="78" t="n">
        <x:f>Q1884+G1884+R1884</x:f>
        <x:v>10838261.555826228</x:v>
      </x:c>
      <x:c r="T1884" s="78" t="n">
        <x:f>P1884*(S1884*(1-'Inputs'!$B$15))/(O1884+S1884*(1-'Inputs'!$B$15))</x:f>
        <x:v>24.401698767863223</x:v>
      </x:c>
      <x:c r="U1884" s="78" t="n">
        <x:f>O1884+S1884*(1-'Inputs'!$B$17)</x:f>
        <x:v>231613612.56835625</x:v>
      </x:c>
      <x:c r="V1884" s="78" t="n">
        <x:f>P1884-T1884</x:f>
        <x:v>502.1825422625659</x:v>
      </x:c>
      <x:c r="W1884" s="79" t="n">
        <x:f>IF(U1884&gt;0,V1884/U1884,0)</x:f>
        <x:v>0.0000021681909655217545</x:v>
      </x:c>
      <x:c r="X1884" s="80" t="n">
        <x:f>W1884*('Inputs'!$B$6-AC1884)</x:f>
        <x:v>2139.4245655586933</x:v>
      </x:c>
      <x:c r="Y1884" s="80" t="n">
        <x:f>2*V1884</x:f>
        <x:v>1004.3650845251318</x:v>
      </x:c>
      <x:c r="Z1884" s="80" t="n">
        <x:f>K1884*'Inputs'!$B$16+(G1884+R1884)*J1884*'Inputs'!$B$16</x:f>
        <x:v>4.752155629339</x:v>
      </x:c>
      <x:c r="AA1884" s="80" t="n">
        <x:f>K1884*(1+'Inputs'!$E$49)/2*'Inputs'!$B$17</x:f>
        <x:v>1.5416098001997474</x:v>
      </x:c>
      <x:c r="AB1884" s="78" t="n">
        <x:f>(IF(J1884&gt;0,K1884*(1-'Inputs'!$E$49)/2/J1884,0)+G1884+R1884)*'Inputs'!$B$17</x:f>
        <x:v>690076.6967279112</x:v>
      </x:c>
      <x:c r="AC1884" s="78" t="n">
        <x:f>AC1883+AB1884</x:f>
        <x:v>13267466.021443872</x:v>
      </x:c>
      <x:c r="AD1884" s="80" t="n">
        <x:f>Z1884/(1+'Inputs'!$C$49)</x:f>
        <x:v>1.18803890733475</x:v>
      </x:c>
      <x:c r="AE1884" s="80" t="n">
        <x:f>Z1884-AD1884</x:f>
        <x:v>3.5641167220042496</x:v>
      </x:c>
      <x:c r="AF1884" s="80" t="n">
        <x:f>D1884*W1884</x:f>
        <x:v>0.6448288018034021</x:v>
      </x:c>
      <x:c r="AG1884" s="80" t="n">
        <x:f>C1884*W1884</x:f>
        <x:v>1.504600537541277</x:v>
      </x:c>
      <x:c r="AH1884" s="80" t="n">
        <x:f>2*'Inputs'!$B$8*'Inputs'!$C$49</x:f>
        <x:v>15000</x:v>
      </x:c>
      <x:c r="AI1884" s="81" t="n">
        <x:f>IF(AH1884&gt;0,(AE1884+AF1884)/AH1884*365,0)</x:f>
        <x:v>0.10241767441265284</x:v>
      </x:c>
      <x:c r="AJ1884" s="81" t="n">
        <x:f>IF('Inputs'!$B$49&gt;0,AG1884/('Inputs'!$B$19*'Inputs'!$B$49)*365,0)</x:f>
        <x:v>0.054917919620256606</x:v>
      </x:c>
      <x:c r="AK1884" s="81" t="n">
        <x:f>W1884/MAX($W$1829:W1884)-1</x:f>
        <x:v>-0.9972067303076758</x:v>
      </x:c>
      <x:c r="AL1884" s="83" t="n">
        <x:f>'Inputs'!$B$49</x:f>
        <x:v>1</x:v>
      </x:c>
      <x:c r="AM1884" s="83" t="n">
        <x:f>'Inputs'!$C$49</x:f>
        <x:v>3</x:v>
      </x:c>
      <x:c r="AN1884" s="83" t="n">
        <x:f>'Inputs'!$D$49</x:f>
        <x:v>0.75</x:v>
      </x:c>
      <x:c r="AO1884" s="81" t="n">
        <x:f>'Inputs'!$E$49</x:f>
        <x:v>-0.03</x:v>
      </x:c>
    </x:row>
    <x:row r="1885">
      <x:c r="A1885" s="59" t="str">
        <x:v>Mercenary LP</x:v>
      </x:c>
      <x:c r="B1885" s="59" t="n">
        <x:v>57</x:v>
      </x:c>
      <x:c r="C1885" s="78" t="n">
        <x:f>(('Inputs'!$B$29*(3*57*'Inputs'!$B$12-57^2)/(2*'Inputs'!$B$12^2))-('Inputs'!$B$29*(3*56*'Inputs'!$B$12-56^2)/(2*'Inputs'!$B$12^2)))*'Inputs'!$B$49</x:f>
        <x:v>693617.7050103247</x:v>
      </x:c>
      <x:c r="D1885" s="78" t="n">
        <x:f>IF('Inputs'!$C$49&gt;0,('Inputs'!$B$30*(3*57*'Inputs'!$B$12-57^2)/(2*'Inputs'!$B$12^2))-('Inputs'!$B$30*(3*56*'Inputs'!$B$12-56^2)/(2*'Inputs'!$B$12^2)),0)</x:f>
        <x:v>297264.7307187095</x:v>
      </x:c>
      <x:c r="E1885" s="78" t="n">
        <x:f>C1885+D1885</x:f>
        <x:v>990882.4357290342</x:v>
      </x:c>
      <x:c r="F1885" s="78" t="n">
        <x:f>'Inputs'!$B$13*E1885+(1-'Inputs'!$B$13)/'Inputs'!$B$14*SUM(E1830:E1885)</x:f>
        <x:v>1001100.1125914815</x:v>
      </x:c>
      <x:c r="G1885" s="78" t="n">
        <x:f>F1885*'Inputs'!$F$49</x:f>
        <x:v>900990.1013323334</x:v>
      </x:c>
      <x:c r="H1885" s="78" t="n">
        <x:f>U1884</x:f>
        <x:v>231613612.56835625</x:v>
      </x:c>
      <x:c r="I1885" s="78" t="n">
        <x:f>V1884</x:f>
        <x:v>502.1825422625659</x:v>
      </x:c>
      <x:c r="J1885" s="79" t="n">
        <x:f>IF(H1885&gt;0,I1885/H1885,0)</x:f>
        <x:v>0.0000021681909655217545</x:v>
      </x:c>
      <x:c r="K1885" s="80" t="n">
        <x:f>(H1885*J1885+I1885)*'Inputs'!$D$49*(1+'Inputs'!$G$49)^(B1885/30)</x:f>
        <x:v>753.2738133938489</x:v>
      </x:c>
      <x:c r="L1885" s="80" t="n">
        <x:f>MAX(0,K1885*'Inputs'!$E$49)</x:f>
        <x:v>0</x:v>
      </x:c>
      <x:c r="M1885" s="80" t="n">
        <x:f>MAX(0,-K1885*'Inputs'!$E$49)</x:f>
        <x:v>22.598214401815465</x:v>
      </x:c>
      <x:c r="N1885" s="78" t="n">
        <x:f>H1885*(L1885*(1-'Inputs'!$B$15))/(I1885+L1885*(1-'Inputs'!$B$15))</x:f>
        <x:v>0</x:v>
      </x:c>
      <x:c r="O1885" s="78" t="n">
        <x:f>H1885-N1885</x:f>
        <x:v>231613612.56835625</x:v>
      </x:c>
      <x:c r="P1885" s="78" t="n">
        <x:f>I1885+L1885*(1-'Inputs'!$B$17)</x:f>
        <x:v>502.1825422625659</x:v>
      </x:c>
      <x:c r="Q1885" s="78" t="n">
        <x:f>IF(J1885&gt;0,M1885/J1885,0)</x:f>
        <x:v>10422612.56557603</x:v>
      </x:c>
      <x:c r="R1885" s="78" t="n">
        <x:f>IF(B1885='Inputs'!$H$49,'Inputs'!$B$27*'Inputs'!$I$49,0)</x:f>
        <x:v>0</x:v>
      </x:c>
      <x:c r="S1885" s="78" t="n">
        <x:f>Q1885+G1885+R1885</x:f>
        <x:v>11323602.666908363</x:v>
      </x:c>
      <x:c r="T1885" s="78" t="n">
        <x:f>P1885*(S1885*(1-'Inputs'!$B$15))/(O1885+S1885*(1-'Inputs'!$B$15))</x:f>
        <x:v>23.184079420157786</x:v>
      </x:c>
      <x:c r="U1885" s="78" t="n">
        <x:f>O1885+S1885*(1-'Inputs'!$B$17)</x:f>
        <x:v>242891647.41769153</x:v>
      </x:c>
      <x:c r="V1885" s="78" t="n">
        <x:f>P1885-T1885</x:f>
        <x:v>478.9984628424081</x:v>
      </x:c>
      <x:c r="W1885" s="79" t="n">
        <x:f>IF(U1885&gt;0,V1885/U1885,0)</x:f>
        <x:v>0.00000197206642523484</x:v>
      </x:c>
      <x:c r="X1885" s="80" t="n">
        <x:f>W1885*('Inputs'!$B$6-AC1885)</x:f>
        <x:v>1944.4750509411363</x:v>
      </x:c>
      <x:c r="Y1885" s="80" t="n">
        <x:f>2*V1885</x:f>
        <x:v>957.9969256848162</x:v>
      </x:c>
      <x:c r="Z1885" s="80" t="n">
        <x:f>K1885*'Inputs'!$B$16+(G1885+R1885)*J1885*'Inputs'!$B$16</x:f>
        <x:v>4.531363991949493</x:v>
      </x:c>
      <x:c r="AA1885" s="80" t="n">
        <x:f>K1885*(1+'Inputs'!$E$49)/2*'Inputs'!$B$17</x:f>
        <x:v>1.4701722313723005</x:v>
      </x:c>
      <x:c r="AB1885" s="78" t="n">
        <x:f>(IF(J1885&gt;0,K1885*(1-'Inputs'!$E$49)/2/J1885,0)+G1885+R1885)*'Inputs'!$B$17</x:f>
        <x:v>723631.8141263081</x:v>
      </x:c>
      <x:c r="AC1885" s="78" t="n">
        <x:f>AC1884+AB1885</x:f>
        <x:v>13991097.835570179</x:v>
      </x:c>
      <x:c r="AD1885" s="80" t="n">
        <x:f>Z1885/(1+'Inputs'!$C$49)</x:f>
        <x:v>1.1328409979873733</x:v>
      </x:c>
      <x:c r="AE1885" s="80" t="n">
        <x:f>Z1885-AD1885</x:f>
        <x:v>3.3985229939621195</x:v>
      </x:c>
      <x:c r="AF1885" s="80" t="n">
        <x:f>D1885*W1885</x:f>
        <x:v>0.5862257948568429</x:v>
      </x:c>
      <x:c r="AG1885" s="80" t="n">
        <x:f>C1885*W1885</x:f>
        <x:v>1.3678601879993049</x:v>
      </x:c>
      <x:c r="AH1885" s="80" t="n">
        <x:f>2*'Inputs'!$B$8*'Inputs'!$C$49</x:f>
        <x:v>15000</x:v>
      </x:c>
      <x:c r="AI1885" s="81" t="n">
        <x:f>IF(AH1885&gt;0,(AE1885+AF1885)/AH1885*365,0)</x:f>
        <x:v>0.09696222052792808</x:v>
      </x:c>
      <x:c r="AJ1885" s="81" t="n">
        <x:f>IF('Inputs'!$B$49&gt;0,AG1885/('Inputs'!$B$19*'Inputs'!$B$49)*365,0)</x:f>
        <x:v>0.04992689686197463</x:v>
      </x:c>
      <x:c r="AK1885" s="81" t="n">
        <x:f>W1885/MAX($W$1829:W1885)-1</x:f>
        <x:v>-0.9974593965824717</x:v>
      </x:c>
      <x:c r="AL1885" s="83" t="n">
        <x:f>'Inputs'!$B$49</x:f>
        <x:v>1</x:v>
      </x:c>
      <x:c r="AM1885" s="83" t="n">
        <x:f>'Inputs'!$C$49</x:f>
        <x:v>3</x:v>
      </x:c>
      <x:c r="AN1885" s="83" t="n">
        <x:f>'Inputs'!$D$49</x:f>
        <x:v>0.75</x:v>
      </x:c>
      <x:c r="AO1885" s="81" t="n">
        <x:f>'Inputs'!$E$49</x:f>
        <x:v>-0.03</x:v>
      </x:c>
    </x:row>
    <x:row r="1886">
      <x:c r="A1886" s="59" t="str">
        <x:v>Mercenary LP</x:v>
      </x:c>
      <x:c r="B1886" s="59" t="n">
        <x:v>58</x:v>
      </x:c>
      <x:c r="C1886" s="78" t="n">
        <x:f>(('Inputs'!$B$29*(3*58*'Inputs'!$B$12-58^2)/(2*'Inputs'!$B$12^2))-('Inputs'!$B$29*(3*57*'Inputs'!$B$12-57^2)/(2*'Inputs'!$B$12^2)))*'Inputs'!$B$49</x:f>
        <x:v>693292.5971101522</x:v>
      </x:c>
      <x:c r="D1886" s="78" t="n">
        <x:f>IF('Inputs'!$C$49&gt;0,('Inputs'!$B$30*(3*58*'Inputs'!$B$12-58^2)/(2*'Inputs'!$B$12^2))-('Inputs'!$B$30*(3*57*'Inputs'!$B$12-57^2)/(2*'Inputs'!$B$12^2)),0)</x:f>
        <x:v>297125.3987614922</x:v>
      </x:c>
      <x:c r="E1886" s="78" t="n">
        <x:f>C1886+D1886</x:f>
        <x:v>990417.9958716445</x:v>
      </x:c>
      <x:c r="F1886" s="78" t="n">
        <x:f>'Inputs'!$B$13*E1886+(1-'Inputs'!$B$13)/'Inputs'!$B$14*SUM(E1831:E1886)</x:f>
        <x:v>1000635.6727340964</x:v>
      </x:c>
      <x:c r="G1886" s="78" t="n">
        <x:f>F1886*'Inputs'!$F$49</x:f>
        <x:v>900572.1054606868</x:v>
      </x:c>
      <x:c r="H1886" s="78" t="n">
        <x:f>U1885</x:f>
        <x:v>242891647.41769153</x:v>
      </x:c>
      <x:c r="I1886" s="78" t="n">
        <x:f>V1885</x:f>
        <x:v>478.9984628424081</x:v>
      </x:c>
      <x:c r="J1886" s="79" t="n">
        <x:f>IF(H1886&gt;0,I1886/H1886,0)</x:f>
        <x:v>0.00000197206642523484</x:v>
      </x:c>
      <x:c r="K1886" s="80" t="n">
        <x:f>(H1886*J1886+I1886)*'Inputs'!$D$49*(1+'Inputs'!$G$49)^(B1886/30)</x:f>
        <x:v>718.4976942636122</x:v>
      </x:c>
      <x:c r="L1886" s="80" t="n">
        <x:f>MAX(0,K1886*'Inputs'!$E$49)</x:f>
        <x:v>0</x:v>
      </x:c>
      <x:c r="M1886" s="80" t="n">
        <x:f>MAX(0,-K1886*'Inputs'!$E$49)</x:f>
        <x:v>21.554930827908365</x:v>
      </x:c>
      <x:c r="N1886" s="78" t="n">
        <x:f>H1886*(L1886*(1-'Inputs'!$B$15))/(I1886+L1886*(1-'Inputs'!$B$15))</x:f>
        <x:v>0</x:v>
      </x:c>
      <x:c r="O1886" s="78" t="n">
        <x:f>H1886-N1886</x:f>
        <x:v>242891647.41769153</x:v>
      </x:c>
      <x:c r="P1886" s="78" t="n">
        <x:f>I1886+L1886*(1-'Inputs'!$B$17)</x:f>
        <x:v>478.9984628424081</x:v>
      </x:c>
      <x:c r="Q1886" s="78" t="n">
        <x:f>IF(J1886&gt;0,M1886/J1886,0)</x:f>
        <x:v>10930124.133796118</x:v>
      </x:c>
      <x:c r="R1886" s="78" t="n">
        <x:f>IF(B1886='Inputs'!$H$49,'Inputs'!$B$27*'Inputs'!$I$49,0)</x:f>
        <x:v>0</x:v>
      </x:c>
      <x:c r="S1886" s="78" t="n">
        <x:f>Q1886+G1886+R1886</x:f>
        <x:v>11830696.239256805</x:v>
      </x:c>
      <x:c r="T1886" s="78" t="n">
        <x:f>P1886*(S1886*(1-'Inputs'!$B$15))/(O1886+S1886*(1-'Inputs'!$B$15))</x:f>
        <x:v>22.03506485076023</x:v>
      </x:c>
      <x:c r="U1886" s="78" t="n">
        <x:f>O1886+S1886*(1-'Inputs'!$B$17)</x:f>
        <x:v>254674735.22137788</x:v>
      </x:c>
      <x:c r="V1886" s="78" t="n">
        <x:f>P1886-T1886</x:f>
        <x:v>456.96339799164787</x:v>
      </x:c>
      <x:c r="W1886" s="79" t="n">
        <x:f>IF(U1886&gt;0,V1886/U1886,0)</x:f>
        <x:v>0.0000017943020441129706</x:v>
      </x:c>
      <x:c r="X1886" s="80" t="n">
        <x:f>W1886*('Inputs'!$B$6-AC1886)</x:f>
        <x:v>1767.8364703372338</x:v>
      </x:c>
      <x:c r="Y1886" s="80" t="n">
        <x:f>2*V1886</x:f>
        <x:v>913.9267959832957</x:v>
      </x:c>
      <x:c r="Z1886" s="80" t="n">
        <x:f>K1886*'Inputs'!$B$16+(G1886+R1886)*J1886*'Inputs'!$B$16</x:f>
        <x:v>4.321642093657766</x:v>
      </x:c>
      <x:c r="AA1886" s="80" t="n">
        <x:f>K1886*(1+'Inputs'!$E$49)/2*'Inputs'!$B$17</x:f>
        <x:v>1.4022993228082572</x:v>
      </x:c>
      <x:c r="AB1886" s="78" t="n">
        <x:f>(IF(J1886&gt;0,K1886*(1-'Inputs'!$E$49)/2/J1886,0)+G1886+R1886)*'Inputs'!$B$17</x:f>
        <x:v>758689.6166423638</x:v>
      </x:c>
      <x:c r="AC1886" s="78" t="n">
        <x:f>AC1885+AB1886</x:f>
        <x:v>14749787.452212542</x:v>
      </x:c>
      <x:c r="AD1886" s="80" t="n">
        <x:f>Z1886/(1+'Inputs'!$C$49)</x:f>
        <x:v>1.0804105234144414</x:v>
      </x:c>
      <x:c r="AE1886" s="80" t="n">
        <x:f>Z1886-AD1886</x:f>
        <x:v>3.2412315702433245</x:v>
      </x:c>
      <x:c r="AF1886" s="80" t="n">
        <x:f>D1886*W1886</x:f>
        <x:v>0.533132710355627</x:v>
      </x:c>
      <x:c r="AG1886" s="80" t="n">
        <x:f>C1886*W1886</x:f>
        <x:v>1.2439763241631363</x:v>
      </x:c>
      <x:c r="AH1886" s="80" t="n">
        <x:f>2*'Inputs'!$B$8*'Inputs'!$C$49</x:f>
        <x:v>15000</x:v>
      </x:c>
      <x:c r="AI1886" s="81" t="n">
        <x:f>IF(AH1886&gt;0,(AE1886+AF1886)/AH1886*365,0)</x:f>
        <x:v>0.09184286416124114</x:v>
      </x:c>
      <x:c r="AJ1886" s="81" t="n">
        <x:f>IF('Inputs'!$B$49&gt;0,AG1886/('Inputs'!$B$19*'Inputs'!$B$49)*365,0)</x:f>
        <x:v>0.04540513583195447</x:v>
      </x:c>
      <x:c r="AK1886" s="81" t="n">
        <x:f>W1886/MAX($W$1829:W1886)-1</x:f>
        <x:v>-0.9976884095550642</x:v>
      </x:c>
      <x:c r="AL1886" s="83" t="n">
        <x:f>'Inputs'!$B$49</x:f>
        <x:v>1</x:v>
      </x:c>
      <x:c r="AM1886" s="83" t="n">
        <x:f>'Inputs'!$C$49</x:f>
        <x:v>3</x:v>
      </x:c>
      <x:c r="AN1886" s="83" t="n">
        <x:f>'Inputs'!$D$49</x:f>
        <x:v>0.75</x:v>
      </x:c>
      <x:c r="AO1886" s="81" t="n">
        <x:f>'Inputs'!$E$49</x:f>
        <x:v>-0.03</x:v>
      </x:c>
    </x:row>
    <x:row r="1887">
      <x:c r="A1887" s="59" t="str">
        <x:v>Mercenary LP</x:v>
      </x:c>
      <x:c r="B1887" s="59" t="n">
        <x:v>59</x:v>
      </x:c>
      <x:c r="C1887" s="78" t="n">
        <x:f>(('Inputs'!$B$29*(3*59*'Inputs'!$B$12-59^2)/(2*'Inputs'!$B$12^2))-('Inputs'!$B$29*(3*58*'Inputs'!$B$12-58^2)/(2*'Inputs'!$B$12^2)))*'Inputs'!$B$49</x:f>
        <x:v>692967.4892099798</x:v>
      </x:c>
      <x:c r="D1887" s="78" t="n">
        <x:f>IF('Inputs'!$C$49&gt;0,('Inputs'!$B$30*(3*59*'Inputs'!$B$12-59^2)/(2*'Inputs'!$B$12^2))-('Inputs'!$B$30*(3*58*'Inputs'!$B$12-58^2)/(2*'Inputs'!$B$12^2)),0)</x:f>
        <x:v>296986.06680427864</x:v>
      </x:c>
      <x:c r="E1887" s="78" t="n">
        <x:f>C1887+D1887</x:f>
        <x:v>989953.5560142584</x:v>
      </x:c>
      <x:c r="F1887" s="78" t="n">
        <x:f>'Inputs'!$B$13*E1887+(1-'Inputs'!$B$13)/'Inputs'!$B$14*SUM(E1832:E1887)</x:f>
        <x:v>1000171.2328767116</x:v>
      </x:c>
      <x:c r="G1887" s="78" t="n">
        <x:f>F1887*'Inputs'!$F$49</x:f>
        <x:v>900154.1095890405</x:v>
      </x:c>
      <x:c r="H1887" s="78" t="n">
        <x:f>U1886</x:f>
        <x:v>254674735.22137788</x:v>
      </x:c>
      <x:c r="I1887" s="78" t="n">
        <x:f>V1886</x:f>
        <x:v>456.96339799164787</x:v>
      </x:c>
      <x:c r="J1887" s="79" t="n">
        <x:f>IF(H1887&gt;0,I1887/H1887,0)</x:f>
        <x:v>0.0000017943020441129706</x:v>
      </x:c>
      <x:c r="K1887" s="80" t="n">
        <x:f>(H1887*J1887+I1887)*'Inputs'!$D$49*(1+'Inputs'!$G$49)^(B1887/30)</x:f>
        <x:v>685.4450969874717</x:v>
      </x:c>
      <x:c r="L1887" s="80" t="n">
        <x:f>MAX(0,K1887*'Inputs'!$E$49)</x:f>
        <x:v>0</x:v>
      </x:c>
      <x:c r="M1887" s="80" t="n">
        <x:f>MAX(0,-K1887*'Inputs'!$E$49)</x:f>
        <x:v>20.56335290962415</x:v>
      </x:c>
      <x:c r="N1887" s="78" t="n">
        <x:f>H1887*(L1887*(1-'Inputs'!$B$15))/(I1887+L1887*(1-'Inputs'!$B$15))</x:f>
        <x:v>0</x:v>
      </x:c>
      <x:c r="O1887" s="78" t="n">
        <x:f>H1887-N1887</x:f>
        <x:v>254674735.22137788</x:v>
      </x:c>
      <x:c r="P1887" s="78" t="n">
        <x:f>I1887+L1887*(1-'Inputs'!$B$17)</x:f>
        <x:v>456.96339799164787</x:v>
      </x:c>
      <x:c r="Q1887" s="78" t="n">
        <x:f>IF(J1887&gt;0,M1887/J1887,0)</x:f>
        <x:v>11460363.084962003</x:v>
      </x:c>
      <x:c r="R1887" s="78" t="n">
        <x:f>IF(B1887='Inputs'!$H$49,'Inputs'!$B$27*'Inputs'!$I$49,0)</x:f>
        <x:v>0</x:v>
      </x:c>
      <x:c r="S1887" s="78" t="n">
        <x:f>Q1887+G1887+R1887</x:f>
        <x:v>12360517.194551043</x:v>
      </x:c>
      <x:c r="T1887" s="78" t="n">
        <x:f>P1887*(S1887*(1-'Inputs'!$B$15))/(O1887+S1887*(1-'Inputs'!$B$15))</x:f>
        <x:v>20.950082008460274</x:v>
      </x:c>
      <x:c r="U1887" s="78" t="n">
        <x:f>O1887+S1887*(1-'Inputs'!$B$17)</x:f>
        <x:v>266985511.90407962</x:v>
      </x:c>
      <x:c r="V1887" s="78" t="n">
        <x:f>P1887-T1887</x:f>
        <x:v>436.01331598318757</x:v>
      </x:c>
      <x:c r="W1887" s="79" t="n">
        <x:f>IF(U1887&gt;0,V1887/U1887,0)</x:f>
        <x:v>0.000001633097290087542</x:v>
      </x:c>
      <x:c r="X1887" s="80" t="n">
        <x:f>W1887*('Inputs'!$B$6-AC1887)</x:f>
        <x:v>1607.7106213927286</x:v>
      </x:c>
      <x:c r="Y1887" s="80" t="n">
        <x:f>2*V1887</x:f>
        <x:v>872.0266319663751</x:v>
      </x:c>
      <x:c r="Z1887" s="80" t="n">
        <x:f>K1887*'Inputs'!$B$16+(G1887+R1887)*J1887*'Inputs'!$B$16</x:f>
        <x:v>4.1223614720779445</x:v>
      </x:c>
      <x:c r="AA1887" s="80" t="n">
        <x:f>K1887*(1+'Inputs'!$E$49)/2*'Inputs'!$B$17</x:f>
        <x:v>1.3377902295328925</x:v>
      </x:c>
      <x:c r="AB1887" s="78" t="n">
        <x:f>(IF(J1887&gt;0,K1887*(1-'Inputs'!$E$49)/2/J1887,0)+G1887+R1887)*'Inputs'!$B$17</x:f>
        <x:v>795317.4529903559</x:v>
      </x:c>
      <x:c r="AC1887" s="78" t="n">
        <x:f>AC1886+AB1887</x:f>
        <x:v>15545104.9052029</x:v>
      </x:c>
      <x:c r="AD1887" s="80" t="n">
        <x:f>Z1887/(1+'Inputs'!$C$49)</x:f>
        <x:v>1.0305903680194861</x:v>
      </x:c>
      <x:c r="AE1887" s="80" t="n">
        <x:f>Z1887-AD1887</x:f>
        <x:v>3.0917711040584583</x:v>
      </x:c>
      <x:c r="AF1887" s="80" t="n">
        <x:f>D1887*W1887</x:f>
        <x:v>0.4850071408918251</x:v>
      </x:c>
      <x:c r="AG1887" s="80" t="n">
        <x:f>C1887*W1887</x:f>
        <x:v>1.1316833287475858</x:v>
      </x:c>
      <x:c r="AH1887" s="80" t="n">
        <x:f>2*'Inputs'!$B$8*'Inputs'!$C$49</x:f>
        <x:v>15000</x:v>
      </x:c>
      <x:c r="AI1887" s="81" t="n">
        <x:f>IF(AH1887&gt;0,(AE1887+AF1887)/AH1887*365,0)</x:f>
        <x:v>0.08703493729379023</x:v>
      </x:c>
      <x:c r="AJ1887" s="81" t="n">
        <x:f>IF('Inputs'!$B$49&gt;0,AG1887/('Inputs'!$B$19*'Inputs'!$B$49)*365,0)</x:f>
        <x:v>0.04130644149928688</x:v>
      </x:c>
      <x:c r="AK1887" s="81" t="n">
        <x:f>W1887/MAX($W$1829:W1887)-1</x:f>
        <x:v>-0.9978960888420082</x:v>
      </x:c>
      <x:c r="AL1887" s="83" t="n">
        <x:f>'Inputs'!$B$49</x:f>
        <x:v>1</x:v>
      </x:c>
      <x:c r="AM1887" s="83" t="n">
        <x:f>'Inputs'!$C$49</x:f>
        <x:v>3</x:v>
      </x:c>
      <x:c r="AN1887" s="83" t="n">
        <x:f>'Inputs'!$D$49</x:f>
        <x:v>0.75</x:v>
      </x:c>
      <x:c r="AO1887" s="81" t="n">
        <x:f>'Inputs'!$E$49</x:f>
        <x:v>-0.03</x:v>
      </x:c>
    </x:row>
    <x:row r="1888">
      <x:c r="A1888" s="59" t="str">
        <x:v>Mercenary LP</x:v>
      </x:c>
      <x:c r="B1888" s="59" t="n">
        <x:v>60</x:v>
      </x:c>
      <x:c r="C1888" s="78" t="n">
        <x:f>(('Inputs'!$B$29*(3*60*'Inputs'!$B$12-60^2)/(2*'Inputs'!$B$12^2))-('Inputs'!$B$29*(3*59*'Inputs'!$B$12-59^2)/(2*'Inputs'!$B$12^2)))*'Inputs'!$B$49</x:f>
        <x:v>692642.3813098148</x:v>
      </x:c>
      <x:c r="D1888" s="78" t="n">
        <x:f>IF('Inputs'!$C$49&gt;0,('Inputs'!$B$30*(3*60*'Inputs'!$B$12-60^2)/(2*'Inputs'!$B$12^2))-('Inputs'!$B$30*(3*59*'Inputs'!$B$12-59^2)/(2*'Inputs'!$B$12^2)),0)</x:f>
        <x:v>296846.73484706506</x:v>
      </x:c>
      <x:c r="E1888" s="78" t="n">
        <x:f>C1888+D1888</x:f>
        <x:v>989489.1161568798</x:v>
      </x:c>
      <x:c r="F1888" s="78" t="n">
        <x:f>'Inputs'!$B$13*E1888+(1-'Inputs'!$B$13)/'Inputs'!$B$14*SUM(E1833:E1888)</x:f>
        <x:v>999706.7930193288</x:v>
      </x:c>
      <x:c r="G1888" s="78" t="n">
        <x:f>F1888*'Inputs'!$F$49</x:f>
        <x:v>899736.1137173959</x:v>
      </x:c>
      <x:c r="H1888" s="78" t="n">
        <x:f>U1887</x:f>
        <x:v>266985511.90407962</x:v>
      </x:c>
      <x:c r="I1888" s="78" t="n">
        <x:f>V1887</x:f>
        <x:v>436.01331598318757</x:v>
      </x:c>
      <x:c r="J1888" s="79" t="n">
        <x:f>IF(H1888&gt;0,I1888/H1888,0)</x:f>
        <x:v>0.000001633097290087542</x:v>
      </x:c>
      <x:c r="K1888" s="80" t="n">
        <x:f>(H1888*J1888+I1888)*'Inputs'!$D$49*(1+'Inputs'!$G$49)^(B1888/30)</x:f>
        <x:v>654.0199739747814</x:v>
      </x:c>
      <x:c r="L1888" s="80" t="n">
        <x:f>MAX(0,K1888*'Inputs'!$E$49)</x:f>
        <x:v>0</x:v>
      </x:c>
      <x:c r="M1888" s="80" t="n">
        <x:f>MAX(0,-K1888*'Inputs'!$E$49)</x:f>
        <x:v>19.62059921924344</x:v>
      </x:c>
      <x:c r="N1888" s="78" t="n">
        <x:f>H1888*(L1888*(1-'Inputs'!$B$15))/(I1888+L1888*(1-'Inputs'!$B$15))</x:f>
        <x:v>0</x:v>
      </x:c>
      <x:c r="O1888" s="78" t="n">
        <x:f>H1888-N1888</x:f>
        <x:v>266985511.90407962</x:v>
      </x:c>
      <x:c r="P1888" s="78" t="n">
        <x:f>I1888+L1888*(1-'Inputs'!$B$17)</x:f>
        <x:v>436.01331598318757</x:v>
      </x:c>
      <x:c r="Q1888" s="78" t="n">
        <x:f>IF(J1888&gt;0,M1888/J1888,0)</x:f>
        <x:v>12014348.035683583</x:v>
      </x:c>
      <x:c r="R1888" s="78" t="n">
        <x:f>IF(B1888='Inputs'!$H$49,'Inputs'!$B$27*'Inputs'!$I$49,0)</x:f>
        <x:v>0</x:v>
      </x:c>
      <x:c r="S1888" s="78" t="n">
        <x:f>Q1888+G1888+R1888</x:f>
        <x:v>12914084.14940098</x:v>
      </x:c>
      <x:c r="T1888" s="78" t="n">
        <x:f>P1888*(S1888*(1-'Inputs'!$B$15))/(O1888+S1888*(1-'Inputs'!$B$15))</x:f>
        <x:v>19.924925675635635</x:v>
      </x:c>
      <x:c r="U1888" s="78" t="n">
        <x:f>O1888+S1888*(1-'Inputs'!$B$17)</x:f>
        <x:v>279847627.9080102</x:v>
      </x:c>
      <x:c r="V1888" s="78" t="n">
        <x:f>P1888-T1888</x:f>
        <x:v>416.08839030755195</x:v>
      </x:c>
      <x:c r="W1888" s="79" t="n">
        <x:f>IF(U1888&gt;0,V1888/U1888,0)</x:f>
        <x:v>0.0000014868390824607097</x:v>
      </x:c>
      <x:c r="X1888" s="80" t="n">
        <x:f>W1888*('Inputs'!$B$6-AC1888)</x:f>
        <x:v>1462.4866051636643</x:v>
      </x:c>
      <x:c r="Y1888" s="80" t="n">
        <x:f>2*V1888</x:f>
        <x:v>832.1767806151039</x:v>
      </x:c>
      <x:c r="Z1888" s="80" t="n">
        <x:f>K1888*'Inputs'!$B$16+(G1888+R1888)*J1888*'Inputs'!$B$16</x:f>
        <x:v>3.932935983503323</x:v>
      </x:c>
      <x:c r="AA1888" s="80" t="n">
        <x:f>K1888*(1+'Inputs'!$E$49)/2*'Inputs'!$B$17</x:f>
        <x:v>1.2764574944779437</x:v>
      </x:c>
      <x:c r="AB1888" s="78" t="n">
        <x:f>(IF(J1888&gt;0,K1888*(1-'Inputs'!$E$49)/2/J1888,0)+G1888+R1888)*'Inputs'!$B$17</x:f>
        <x:v>833585.6903807602</x:v>
      </x:c>
      <x:c r="AC1888" s="78" t="n">
        <x:f>AC1887+AB1888</x:f>
        <x:v>16378690.595583659</x:v>
      </x:c>
      <x:c r="AD1888" s="80" t="n">
        <x:f>Z1888/(1+'Inputs'!$C$49)</x:f>
        <x:v>0.9832339958758307</x:v>
      </x:c>
      <x:c r="AE1888" s="80" t="n">
        <x:f>Z1888-AD1888</x:f>
        <x:v>2.949701987627492</x:v>
      </x:c>
      <x:c r="AF1888" s="80" t="n">
        <x:f>D1888*W1888</x:f>
        <x:v>0.4413633268714678</x:v>
      </x:c>
      <x:c r="AG1888" s="80" t="n">
        <x:f>C1888*W1888</x:f>
        <x:v>1.029847762700086</x:v>
      </x:c>
      <x:c r="AH1888" s="80" t="n">
        <x:f>2*'Inputs'!$B$8*'Inputs'!$C$49</x:f>
        <x:v>15000</x:v>
      </x:c>
      <x:c r="AI1888" s="81" t="n">
        <x:f>IF(AH1888&gt;0,(AE1888+AF1888)/AH1888*365,0)</x:f>
        <x:v>0.08251592265280801</x:v>
      </x:c>
      <x:c r="AJ1888" s="81" t="n">
        <x:f>IF('Inputs'!$B$49&gt;0,AG1888/('Inputs'!$B$19*'Inputs'!$B$49)*365,0)</x:f>
        <x:v>0.03758944333855314</x:v>
      </x:c>
      <x:c r="AK1888" s="81" t="n">
        <x:f>W1888/MAX($W$1829:W1888)-1</x:f>
        <x:v>-0.9980845125671847</x:v>
      </x:c>
      <x:c r="AL1888" s="83" t="n">
        <x:f>'Inputs'!$B$49</x:f>
        <x:v>1</x:v>
      </x:c>
      <x:c r="AM1888" s="83" t="n">
        <x:f>'Inputs'!$C$49</x:f>
        <x:v>3</x:v>
      </x:c>
      <x:c r="AN1888" s="83" t="n">
        <x:f>'Inputs'!$D$49</x:f>
        <x:v>0.75</x:v>
      </x:c>
      <x:c r="AO1888" s="81" t="n">
        <x:f>'Inputs'!$E$49</x:f>
        <x:v>-0.03</x:v>
      </x:c>
    </x:row>
    <x:row r="1889">
      <x:c r="A1889" s="59" t="str">
        <x:v>Mercenary LP</x:v>
      </x:c>
      <x:c r="B1889" s="59" t="n">
        <x:v>61</x:v>
      </x:c>
      <x:c r="C1889" s="78" t="n">
        <x:f>(('Inputs'!$B$29*(3*61*'Inputs'!$B$12-61^2)/(2*'Inputs'!$B$12^2))-('Inputs'!$B$29*(3*60*'Inputs'!$B$12-60^2)/(2*'Inputs'!$B$12^2)))*'Inputs'!$B$49</x:f>
        <x:v>692317.2734096497</x:v>
      </x:c>
      <x:c r="D1889" s="78" t="n">
        <x:f>IF('Inputs'!$C$49&gt;0,('Inputs'!$B$30*(3*61*'Inputs'!$B$12-61^2)/(2*'Inputs'!$B$12^2))-('Inputs'!$B$30*(3*60*'Inputs'!$B$12-60^2)/(2*'Inputs'!$B$12^2)),0)</x:f>
        <x:v>296707.40288984776</x:v>
      </x:c>
      <x:c r="E1889" s="78" t="n">
        <x:f>C1889+D1889</x:f>
        <x:v>989024.6762994975</x:v>
      </x:c>
      <x:c r="F1889" s="78" t="n">
        <x:f>'Inputs'!$B$13*E1889+(1-'Inputs'!$B$13)/'Inputs'!$B$14*SUM(E1834:E1889)</x:f>
        <x:v>999242.3531619449</x:v>
      </x:c>
      <x:c r="G1889" s="78" t="n">
        <x:f>F1889*'Inputs'!$F$49</x:f>
        <x:v>899318.1178457504</x:v>
      </x:c>
      <x:c r="H1889" s="78" t="n">
        <x:f>U1888</x:f>
        <x:v>279847627.9080102</x:v>
      </x:c>
      <x:c r="I1889" s="78" t="n">
        <x:f>V1888</x:f>
        <x:v>416.08839030755195</x:v>
      </x:c>
      <x:c r="J1889" s="79" t="n">
        <x:f>IF(H1889&gt;0,I1889/H1889,0)</x:f>
        <x:v>0.0000014868390824607097</x:v>
      </x:c>
      <x:c r="K1889" s="80" t="n">
        <x:f>(H1889*J1889+I1889)*'Inputs'!$D$49*(1+'Inputs'!$G$49)^(B1889/30)</x:f>
        <x:v>624.132585461328</x:v>
      </x:c>
      <x:c r="L1889" s="80" t="n">
        <x:f>MAX(0,K1889*'Inputs'!$E$49)</x:f>
        <x:v>0</x:v>
      </x:c>
      <x:c r="M1889" s="80" t="n">
        <x:f>MAX(0,-K1889*'Inputs'!$E$49)</x:f>
        <x:v>18.72397756383984</x:v>
      </x:c>
      <x:c r="N1889" s="78" t="n">
        <x:f>H1889*(L1889*(1-'Inputs'!$B$15))/(I1889+L1889*(1-'Inputs'!$B$15))</x:f>
        <x:v>0</x:v>
      </x:c>
      <x:c r="O1889" s="78" t="n">
        <x:f>H1889-N1889</x:f>
        <x:v>279847627.9080102</x:v>
      </x:c>
      <x:c r="P1889" s="78" t="n">
        <x:f>I1889+L1889*(1-'Inputs'!$B$17)</x:f>
        <x:v>416.08839030755195</x:v>
      </x:c>
      <x:c r="Q1889" s="78" t="n">
        <x:f>IF(J1889&gt;0,M1889/J1889,0)</x:f>
        <x:v>12593143.255860459</x:v>
      </x:c>
      <x:c r="R1889" s="78" t="n">
        <x:f>IF(B1889='Inputs'!$H$49,'Inputs'!$B$27*'Inputs'!$I$49,0)</x:f>
        <x:v>0</x:v>
      </x:c>
      <x:c r="S1889" s="78" t="n">
        <x:f>Q1889+G1889+R1889</x:f>
        <x:v>13492461.37370621</x:v>
      </x:c>
      <x:c r="T1889" s="78" t="n">
        <x:f>P1889*(S1889*(1-'Inputs'!$B$15))/(O1889+S1889*(1-'Inputs'!$B$15))</x:f>
        <x:v>18.955723290970017</x:v>
      </x:c>
      <x:c r="U1889" s="78" t="n">
        <x:f>O1889+S1889*(1-'Inputs'!$B$17)</x:f>
        <x:v>293285793.6625063</x:v>
      </x:c>
      <x:c r="V1889" s="78" t="n">
        <x:f>P1889-T1889</x:f>
        <x:v>397.13266701658193</x:v>
      </x:c>
      <x:c r="W1889" s="79" t="n">
        <x:f>IF(U1889&gt;0,V1889/U1889,0)</x:f>
        <x:v>0.000001354080816725735</x:v>
      </x:c>
      <x:c r="X1889" s="80" t="n">
        <x:f>W1889*('Inputs'!$B$6-AC1889)</x:f>
        <x:v>1330.7198645196383</x:v>
      </x:c>
      <x:c r="Y1889" s="80" t="n">
        <x:f>2*V1889</x:f>
        <x:v>794.2653340331639</x:v>
      </x:c>
      <x:c r="Z1889" s="80" t="n">
        <x:f>K1889*'Inputs'!$B$16+(G1889+R1889)*J1889*'Inputs'!$B$16</x:f>
        <x:v>3.7528183607190364</x:v>
      </x:c>
      <x:c r="AA1889" s="80" t="n">
        <x:f>K1889*(1+'Inputs'!$E$49)/2*'Inputs'!$B$17</x:f>
        <x:v>1.2181259716247246</x:v>
      </x:c>
      <x:c r="AB1889" s="78" t="n">
        <x:f>(IF(J1889&gt;0,K1889*(1-'Inputs'!$E$49)/2/J1889,0)+G1889+R1889)*'Inputs'!$B$17</x:f>
        <x:v>873567.8498059703</x:v>
      </x:c>
      <x:c r="AC1889" s="78" t="n">
        <x:f>AC1888+AB1889</x:f>
        <x:v>17252258.44538963</x:v>
      </x:c>
      <x:c r="AD1889" s="80" t="n">
        <x:f>Z1889/(1+'Inputs'!$C$49)</x:f>
        <x:v>0.9382045901797591</x:v>
      </x:c>
      <x:c r="AE1889" s="80" t="n">
        <x:f>Z1889-AD1889</x:f>
        <x:v>2.8146137705392773</x:v>
      </x:c>
      <x:c r="AF1889" s="80" t="n">
        <x:f>D1889*W1889</x:f>
        <x:v>0.4017658024336568</x:v>
      </x:c>
      <x:c r="AG1889" s="80" t="n">
        <x:f>C1889*W1889</x:f>
        <x:v>0.9374535390118726</x:v>
      </x:c>
      <x:c r="AH1889" s="80" t="n">
        <x:f>2*'Inputs'!$B$8*'Inputs'!$C$49</x:f>
        <x:v>15000</x:v>
      </x:c>
      <x:c r="AI1889" s="81" t="n">
        <x:f>IF(AH1889&gt;0,(AE1889+AF1889)/AH1889*365,0)</x:f>
        <x:v>0.07826523627567472</x:v>
      </x:c>
      <x:c r="AJ1889" s="81" t="n">
        <x:f>IF('Inputs'!$B$49&gt;0,AG1889/('Inputs'!$B$19*'Inputs'!$B$49)*365,0)</x:f>
        <x:v>0.034217054173933344</x:v>
      </x:c>
      <x:c r="AK1889" s="81" t="n">
        <x:f>W1889/MAX($W$1829:W1889)-1</x:f>
        <x:v>-0.9982555443840219</x:v>
      </x:c>
      <x:c r="AL1889" s="83" t="n">
        <x:f>'Inputs'!$B$49</x:f>
        <x:v>1</x:v>
      </x:c>
      <x:c r="AM1889" s="83" t="n">
        <x:f>'Inputs'!$C$49</x:f>
        <x:v>3</x:v>
      </x:c>
      <x:c r="AN1889" s="83" t="n">
        <x:f>'Inputs'!$D$49</x:f>
        <x:v>0.75</x:v>
      </x:c>
      <x:c r="AO1889" s="81" t="n">
        <x:f>'Inputs'!$E$49</x:f>
        <x:v>-0.03</x:v>
      </x:c>
    </x:row>
    <x:row r="1890">
      <x:c r="A1890" s="59" t="str">
        <x:v>Mercenary LP</x:v>
      </x:c>
      <x:c r="B1890" s="59" t="n">
        <x:v>62</x:v>
      </x:c>
      <x:c r="C1890" s="78" t="n">
        <x:f>(('Inputs'!$B$29*(3*62*'Inputs'!$B$12-62^2)/(2*'Inputs'!$B$12^2))-('Inputs'!$B$29*(3*61*'Inputs'!$B$12-61^2)/(2*'Inputs'!$B$12^2)))*'Inputs'!$B$49</x:f>
        <x:v>691992.1655094698</x:v>
      </x:c>
      <x:c r="D1890" s="78" t="n">
        <x:f>IF('Inputs'!$C$49&gt;0,('Inputs'!$B$30*(3*62*'Inputs'!$B$12-62^2)/(2*'Inputs'!$B$12^2))-('Inputs'!$B$30*(3*61*'Inputs'!$B$12-61^2)/(2*'Inputs'!$B$12^2)),0)</x:f>
        <x:v>296568.0709326342</x:v>
      </x:c>
      <x:c r="E1890" s="78" t="n">
        <x:f>C1890+D1890</x:f>
        <x:v>988560.236442104</x:v>
      </x:c>
      <x:c r="F1890" s="78" t="n">
        <x:f>'Inputs'!$B$13*E1890+(1-'Inputs'!$B$13)/'Inputs'!$B$14*SUM(E1835:E1890)</x:f>
        <x:v>998777.913304559</x:v>
      </x:c>
      <x:c r="G1890" s="78" t="n">
        <x:f>F1890*'Inputs'!$F$49</x:f>
        <x:v>898900.121974103</x:v>
      </x:c>
      <x:c r="H1890" s="78" t="n">
        <x:f>U1889</x:f>
        <x:v>293285793.6625063</x:v>
      </x:c>
      <x:c r="I1890" s="78" t="n">
        <x:f>V1889</x:f>
        <x:v>397.13266701658193</x:v>
      </x:c>
      <x:c r="J1890" s="79" t="n">
        <x:f>IF(H1890&gt;0,I1890/H1890,0)</x:f>
        <x:v>0.000001354080816725735</x:v>
      </x:c>
      <x:c r="K1890" s="80" t="n">
        <x:f>(H1890*J1890+I1890)*'Inputs'!$D$49*(1+'Inputs'!$G$49)^(B1890/30)</x:f>
        <x:v>595.6990005248729</x:v>
      </x:c>
      <x:c r="L1890" s="80" t="n">
        <x:f>MAX(0,K1890*'Inputs'!$E$49)</x:f>
        <x:v>0</x:v>
      </x:c>
      <x:c r="M1890" s="80" t="n">
        <x:f>MAX(0,-K1890*'Inputs'!$E$49)</x:f>
        <x:v>17.870970015746185</x:v>
      </x:c>
      <x:c r="N1890" s="78" t="n">
        <x:f>H1890*(L1890*(1-'Inputs'!$B$15))/(I1890+L1890*(1-'Inputs'!$B$15))</x:f>
        <x:v>0</x:v>
      </x:c>
      <x:c r="O1890" s="78" t="n">
        <x:f>H1890-N1890</x:f>
        <x:v>293285793.6625063</x:v>
      </x:c>
      <x:c r="P1890" s="78" t="n">
        <x:f>I1890+L1890*(1-'Inputs'!$B$17)</x:f>
        <x:v>397.13266701658193</x:v>
      </x:c>
      <x:c r="Q1890" s="78" t="n">
        <x:f>IF(J1890&gt;0,M1890/J1890,0)</x:f>
        <x:v>13197860.714812782</x:v>
      </x:c>
      <x:c r="R1890" s="78" t="n">
        <x:f>IF(B1890='Inputs'!$H$49,'Inputs'!$B$27*'Inputs'!$I$49,0)</x:f>
        <x:v>0</x:v>
      </x:c>
      <x:c r="S1890" s="78" t="n">
        <x:f>Q1890+G1890+R1890</x:f>
        <x:v>14096760.836786885</x:v>
      </x:c>
      <x:c r="T1890" s="78" t="n">
        <x:f>P1890*(S1890*(1-'Inputs'!$B$15))/(O1890+S1890*(1-'Inputs'!$B$15))</x:f>
        <x:v>18.03890365629958</x:v>
      </x:c>
      <x:c r="U1890" s="78" t="n">
        <x:f>O1890+S1890*(1-'Inputs'!$B$17)</x:f>
        <x:v>307325827.09149927</x:v>
      </x:c>
      <x:c r="V1890" s="78" t="n">
        <x:f>P1890-T1890</x:f>
        <x:v>379.09376336028237</x:v>
      </x:c>
      <x:c r="W1890" s="79" t="n">
        <x:f>IF(U1890&gt;0,V1890/U1890,0)</x:f>
        <x:v>0.0000012335239343467733</x:v>
      </x:c>
      <x:c r="X1890" s="80" t="n">
        <x:f>W1890*('Inputs'!$B$6-AC1890)</x:f>
        <x:v>1211.1137659128613</x:v>
      </x:c>
      <x:c r="Y1890" s="80" t="n">
        <x:f>2*V1890</x:f>
        <x:v>758.1875267205647</x:v>
      </x:c>
      <x:c r="Z1890" s="80" t="n">
        <x:f>K1890*'Inputs'!$B$16+(G1890+R1890)*J1890*'Inputs'!$B$16</x:f>
        <x:v>3.5814971036171426</x:v>
      </x:c>
      <x:c r="AA1890" s="80" t="n">
        <x:f>K1890*(1+'Inputs'!$E$49)/2*'Inputs'!$B$17</x:f>
        <x:v>1.1626318521310395</x:v>
      </x:c>
      <x:c r="AB1890" s="78" t="n">
        <x:f>(IF(J1890&gt;0,K1890*(1-'Inputs'!$E$49)/2/J1890,0)+G1890+R1890)*'Inputs'!$B$17</x:f>
        <x:v>915340.7473893773</x:v>
      </x:c>
      <x:c r="AC1890" s="78" t="n">
        <x:f>AC1889+AB1890</x:f>
        <x:v>18167599.192779005</x:v>
      </x:c>
      <x:c r="AD1890" s="80" t="n">
        <x:f>Z1890/(1+'Inputs'!$C$49)</x:f>
        <x:v>0.8953742759042856</x:v>
      </x:c>
      <x:c r="AE1890" s="80" t="n">
        <x:f>Z1890-AD1890</x:f>
        <x:v>2.686122827712857</x:v>
      </x:c>
      <x:c r="AF1890" s="80" t="n">
        <x:f>D1890*W1890</x:f>
        <x:v>0.36582381365845584</x:v>
      </x:c>
      <x:c r="AG1890" s="80" t="n">
        <x:f>C1890*W1890</x:f>
        <x:v>0.8535888985363848</x:v>
      </x:c>
      <x:c r="AH1890" s="80" t="n">
        <x:f>2*'Inputs'!$B$8*'Inputs'!$C$49</x:f>
        <x:v>15000</x:v>
      </x:c>
      <x:c r="AI1890" s="81" t="n">
        <x:f>IF(AH1890&gt;0,(AE1890+AF1890)/AH1890*365,0)</x:f>
        <x:v>0.07426403494003528</x:v>
      </x:c>
      <x:c r="AJ1890" s="81" t="n">
        <x:f>IF('Inputs'!$B$49&gt;0,AG1890/('Inputs'!$B$19*'Inputs'!$B$49)*365,0)</x:f>
        <x:v>0.031155994796578046</x:v>
      </x:c>
      <x:c r="AK1890" s="81" t="n">
        <x:f>W1890/MAX($W$1829:W1890)-1</x:f>
        <x:v>-0.9984108572190558</x:v>
      </x:c>
      <x:c r="AL1890" s="83" t="n">
        <x:f>'Inputs'!$B$49</x:f>
        <x:v>1</x:v>
      </x:c>
      <x:c r="AM1890" s="83" t="n">
        <x:f>'Inputs'!$C$49</x:f>
        <x:v>3</x:v>
      </x:c>
      <x:c r="AN1890" s="83" t="n">
        <x:f>'Inputs'!$D$49</x:f>
        <x:v>0.75</x:v>
      </x:c>
      <x:c r="AO1890" s="81" t="n">
        <x:f>'Inputs'!$E$49</x:f>
        <x:v>-0.03</x:v>
      </x:c>
    </x:row>
    <x:row r="1891">
      <x:c r="A1891" s="59" t="str">
        <x:v>Mercenary LP</x:v>
      </x:c>
      <x:c r="B1891" s="59" t="n">
        <x:v>63</x:v>
      </x:c>
      <x:c r="C1891" s="78" t="n">
        <x:f>(('Inputs'!$B$29*(3*63*'Inputs'!$B$12-63^2)/(2*'Inputs'!$B$12^2))-('Inputs'!$B$29*(3*62*'Inputs'!$B$12-62^2)/(2*'Inputs'!$B$12^2)))*'Inputs'!$B$49</x:f>
        <x:v>691667.0576093122</x:v>
      </x:c>
      <x:c r="D1891" s="78" t="n">
        <x:f>IF('Inputs'!$C$49&gt;0,('Inputs'!$B$30*(3*63*'Inputs'!$B$12-63^2)/(2*'Inputs'!$B$12^2))-('Inputs'!$B$30*(3*62*'Inputs'!$B$12-62^2)/(2*'Inputs'!$B$12^2)),0)</x:f>
        <x:v>296428.73897541687</x:v>
      </x:c>
      <x:c r="E1891" s="78" t="n">
        <x:f>C1891+D1891</x:f>
        <x:v>988095.7965847291</x:v>
      </x:c>
      <x:c r="F1891" s="78" t="n">
        <x:f>'Inputs'!$B$13*E1891+(1-'Inputs'!$B$13)/'Inputs'!$B$14*SUM(E1836:E1891)</x:f>
        <x:v>998313.4734471765</x:v>
      </x:c>
      <x:c r="G1891" s="78" t="n">
        <x:f>F1891*'Inputs'!$F$49</x:f>
        <x:v>898482.1261024589</x:v>
      </x:c>
      <x:c r="H1891" s="78" t="n">
        <x:f>U1890</x:f>
        <x:v>307325827.09149927</x:v>
      </x:c>
      <x:c r="I1891" s="78" t="n">
        <x:f>V1890</x:f>
        <x:v>379.09376336028237</x:v>
      </x:c>
      <x:c r="J1891" s="79" t="n">
        <x:f>IF(H1891&gt;0,I1891/H1891,0)</x:f>
        <x:v>0.0000012335239343467733</x:v>
      </x:c>
      <x:c r="K1891" s="80" t="n">
        <x:f>(H1891*J1891+I1891)*'Inputs'!$D$49*(1+'Inputs'!$G$49)^(B1891/30)</x:f>
        <x:v>568.6406450404236</x:v>
      </x:c>
      <x:c r="L1891" s="80" t="n">
        <x:f>MAX(0,K1891*'Inputs'!$E$49)</x:f>
        <x:v>0</x:v>
      </x:c>
      <x:c r="M1891" s="80" t="n">
        <x:f>MAX(0,-K1891*'Inputs'!$E$49)</x:f>
        <x:v>17.059219351212707</x:v>
      </x:c>
      <x:c r="N1891" s="78" t="n">
        <x:f>H1891*(L1891*(1-'Inputs'!$B$15))/(I1891+L1891*(1-'Inputs'!$B$15))</x:f>
        <x:v>0</x:v>
      </x:c>
      <x:c r="O1891" s="78" t="n">
        <x:f>H1891-N1891</x:f>
        <x:v>307325827.09149927</x:v>
      </x:c>
      <x:c r="P1891" s="78" t="n">
        <x:f>I1891+L1891*(1-'Inputs'!$B$17)</x:f>
        <x:v>379.09376336028237</x:v>
      </x:c>
      <x:c r="Q1891" s="78" t="n">
        <x:f>IF(J1891&gt;0,M1891/J1891,0)</x:f>
        <x:v>13829662.219117468</x:v>
      </x:c>
      <x:c r="R1891" s="78" t="n">
        <x:f>IF(B1891='Inputs'!$H$49,'Inputs'!$B$27*'Inputs'!$I$49,0)</x:f>
        <x:v>0</x:v>
      </x:c>
      <x:c r="S1891" s="78" t="n">
        <x:f>Q1891+G1891+R1891</x:f>
        <x:v>14728144.345219927</x:v>
      </x:c>
      <x:c r="T1891" s="78" t="n">
        <x:f>P1891*(S1891*(1-'Inputs'!$B$15))/(O1891+S1891*(1-'Inputs'!$B$15))</x:f>
        <x:v>17.171169044629263</x:v>
      </x:c>
      <x:c r="U1891" s="78" t="n">
        <x:f>O1891+S1891*(1-'Inputs'!$B$17)</x:f>
        <x:v>321994703.25021935</x:v>
      </x:c>
      <x:c r="V1891" s="78" t="n">
        <x:f>P1891-T1891</x:f>
        <x:v>361.9225943156531</x:v>
      </x:c>
      <x:c r="W1891" s="79" t="n">
        <x:f>IF(U1891&gt;0,V1891/U1891,0)</x:f>
        <x:v>0.0000011240017014640335</x:v>
      </x:c>
      <x:c r="X1891" s="80" t="n">
        <x:f>W1891*('Inputs'!$B$6-AC1891)</x:f>
        <x:v>1102.5033886904694</x:v>
      </x:c>
      <x:c r="Y1891" s="80" t="n">
        <x:f>2*V1891</x:f>
        <x:v>723.8451886313062</x:v>
      </x:c>
      <x:c r="Z1891" s="80" t="n">
        <x:f>K1891*'Inputs'!$B$16+(G1891+R1891)*J1891*'Inputs'!$B$16</x:f>
        <x:v>3.418493665485322</x:v>
      </x:c>
      <x:c r="AA1891" s="80" t="n">
        <x:f>K1891*(1+'Inputs'!$E$49)/2*'Inputs'!$B$17</x:f>
        <x:v>1.109821782070847</x:v>
      </x:c>
      <x:c r="AB1891" s="78" t="n">
        <x:f>(IF(J1891&gt;0,K1891*(1-'Inputs'!$E$49)/2/J1891,0)+G1891+R1891)*'Inputs'!$B$17</x:f>
        <x:v>958984.6420695601</x:v>
      </x:c>
      <x:c r="AC1891" s="78" t="n">
        <x:f>AC1890+AB1891</x:f>
        <x:v>19126583.834848564</x:v>
      </x:c>
      <x:c r="AD1891" s="80" t="n">
        <x:f>Z1891/(1+'Inputs'!$C$49)</x:f>
        <x:v>0.8546234163713305</x:v>
      </x:c>
      <x:c r="AE1891" s="80" t="n">
        <x:f>Z1891-AD1891</x:f>
        <x:v>2.5638702491139918</x:v>
      </x:c>
      <x:c r="AF1891" s="80" t="n">
        <x:f>D1891*W1891</x:f>
        <x:v>0.33318640697120644</x:v>
      </x:c>
      <x:c r="AG1891" s="80" t="n">
        <x:f>C1891*W1891</x:f>
        <x:v>0.7774349495994887</x:v>
      </x:c>
      <x:c r="AH1891" s="80" t="n">
        <x:f>2*'Inputs'!$B$8*'Inputs'!$C$49</x:f>
        <x:v>15000</x:v>
      </x:c>
      <x:c r="AI1891" s="81" t="n">
        <x:f>IF(AH1891&gt;0,(AE1891+AF1891)/AH1891*365,0)</x:f>
        <x:v>0.07049504529807316</x:v>
      </x:c>
      <x:c r="AJ1891" s="81" t="n">
        <x:f>IF('Inputs'!$B$49&gt;0,AG1891/('Inputs'!$B$19*'Inputs'!$B$49)*365,0)</x:f>
        <x:v>0.02837637566038134</x:v>
      </x:c>
      <x:c r="AK1891" s="81" t="n">
        <x:f>W1891/MAX($W$1829:W1891)-1</x:f>
        <x:v>-0.9985519541697451</x:v>
      </x:c>
      <x:c r="AL1891" s="83" t="n">
        <x:f>'Inputs'!$B$49</x:f>
        <x:v>1</x:v>
      </x:c>
      <x:c r="AM1891" s="83" t="n">
        <x:f>'Inputs'!$C$49</x:f>
        <x:v>3</x:v>
      </x:c>
      <x:c r="AN1891" s="83" t="n">
        <x:f>'Inputs'!$D$49</x:f>
        <x:v>0.75</x:v>
      </x:c>
      <x:c r="AO1891" s="81" t="n">
        <x:f>'Inputs'!$E$49</x:f>
        <x:v>-0.03</x:v>
      </x:c>
    </x:row>
    <x:row r="1892">
      <x:c r="A1892" s="59" t="str">
        <x:v>Mercenary LP</x:v>
      </x:c>
      <x:c r="B1892" s="59" t="n">
        <x:v>64</x:v>
      </x:c>
      <x:c r="C1892" s="78" t="n">
        <x:f>(('Inputs'!$B$29*(3*64*'Inputs'!$B$12-64^2)/(2*'Inputs'!$B$12^2))-('Inputs'!$B$29*(3*63*'Inputs'!$B$12-63^2)/(2*'Inputs'!$B$12^2)))*'Inputs'!$B$49</x:f>
        <x:v>691341.9497091398</x:v>
      </x:c>
      <x:c r="D1892" s="78" t="n">
        <x:f>IF('Inputs'!$C$49&gt;0,('Inputs'!$B$30*(3*64*'Inputs'!$B$12-64^2)/(2*'Inputs'!$B$12^2))-('Inputs'!$B$30*(3*63*'Inputs'!$B$12-63^2)/(2*'Inputs'!$B$12^2)),0)</x:f>
        <x:v>296289.40701819956</x:v>
      </x:c>
      <x:c r="E1892" s="78" t="n">
        <x:f>C1892+D1892</x:f>
        <x:v>987631.3567273393</x:v>
      </x:c>
      <x:c r="F1892" s="78" t="n">
        <x:f>'Inputs'!$B$13*E1892+(1-'Inputs'!$B$13)/'Inputs'!$B$14*SUM(E1837:E1892)</x:f>
        <x:v>997849.0335897914</x:v>
      </x:c>
      <x:c r="G1892" s="78" t="n">
        <x:f>F1892*'Inputs'!$F$49</x:f>
        <x:v>898064.1302308122</x:v>
      </x:c>
      <x:c r="H1892" s="78" t="n">
        <x:f>U1891</x:f>
        <x:v>321994703.25021935</x:v>
      </x:c>
      <x:c r="I1892" s="78" t="n">
        <x:f>V1891</x:f>
        <x:v>361.9225943156531</x:v>
      </x:c>
      <x:c r="J1892" s="79" t="n">
        <x:f>IF(H1892&gt;0,I1892/H1892,0)</x:f>
        <x:v>0.0000011240017014640335</x:v>
      </x:c>
      <x:c r="K1892" s="80" t="n">
        <x:f>(H1892*J1892+I1892)*'Inputs'!$D$49*(1+'Inputs'!$G$49)^(B1892/30)</x:f>
        <x:v>542.8838914734797</x:v>
      </x:c>
      <x:c r="L1892" s="80" t="n">
        <x:f>MAX(0,K1892*'Inputs'!$E$49)</x:f>
        <x:v>0</x:v>
      </x:c>
      <x:c r="M1892" s="80" t="n">
        <x:f>MAX(0,-K1892*'Inputs'!$E$49)</x:f>
        <x:v>16.28651674420439</x:v>
      </x:c>
      <x:c r="N1892" s="78" t="n">
        <x:f>H1892*(L1892*(1-'Inputs'!$B$15))/(I1892+L1892*(1-'Inputs'!$B$15))</x:f>
        <x:v>0</x:v>
      </x:c>
      <x:c r="O1892" s="78" t="n">
        <x:f>H1892-N1892</x:f>
        <x:v>321994703.25021935</x:v>
      </x:c>
      <x:c r="P1892" s="78" t="n">
        <x:f>I1892+L1892*(1-'Inputs'!$B$17)</x:f>
        <x:v>361.9225943156531</x:v>
      </x:c>
      <x:c r="Q1892" s="78" t="n">
        <x:f>IF(J1892&gt;0,M1892/J1892,0)</x:f>
        <x:v>14489761.646259872</x:v>
      </x:c>
      <x:c r="R1892" s="78" t="n">
        <x:f>IF(B1892='Inputs'!$H$49,'Inputs'!$B$27*'Inputs'!$I$49,0)</x:f>
        <x:v>0</x:v>
      </x:c>
      <x:c r="S1892" s="78" t="n">
        <x:f>Q1892+G1892+R1892</x:f>
        <x:v>15387825.776490685</x:v>
      </x:c>
      <x:c r="T1892" s="78" t="n">
        <x:f>P1892*(S1892*(1-'Inputs'!$B$15))/(O1892+S1892*(1-'Inputs'!$B$15))</x:f>
        <x:v>16.34947029285292</x:v>
      </x:c>
      <x:c r="U1892" s="78" t="n">
        <x:f>O1892+S1892*(1-'Inputs'!$B$17)</x:f>
        <x:v>337320606.1865632</x:v>
      </x:c>
      <x:c r="V1892" s="78" t="n">
        <x:f>P1892-T1892</x:f>
        <x:v>345.5731240228002</x:v>
      </x:c>
      <x:c r="W1892" s="79" t="n">
        <x:f>IF(U1892&gt;0,V1892/U1892,0)</x:f>
        <x:v>0.0000010244649087096468</x:v>
      </x:c>
      <x:c r="X1892" s="80" t="n">
        <x:f>W1892*('Inputs'!$B$6-AC1892)</x:f>
        <x:v>1003.8412343165226</x:v>
      </x:c>
      <x:c r="Y1892" s="80" t="n">
        <x:f>2*V1892</x:f>
        <x:v>691.1462480456004</x:v>
      </x:c>
      <x:c r="Z1892" s="80" t="n">
        <x:f>K1892*'Inputs'!$B$16+(G1892+R1892)*J1892*'Inputs'!$B$16</x:f>
        <x:v>3.2633599025032978</x:v>
      </x:c>
      <x:c r="AA1892" s="80" t="n">
        <x:f>K1892*(1+'Inputs'!$E$49)/2*'Inputs'!$B$17</x:f>
        <x:v>1.059552061829528</x:v>
      </x:c>
      <x:c r="AB1892" s="78" t="n">
        <x:f>(IF(J1892&gt;0,K1892*(1-'Inputs'!$E$49)/2/J1892,0)+G1892+R1892)*'Inputs'!$B$17</x:f>
        <x:v>1004583.3899035223</x:v>
      </x:c>
      <x:c r="AC1892" s="78" t="n">
        <x:f>AC1891+AB1892</x:f>
        <x:v>20131167.224752087</x:v>
      </x:c>
      <x:c r="AD1892" s="80" t="n">
        <x:f>Z1892/(1+'Inputs'!$C$49)</x:f>
        <x:v>0.8158399756258244</x:v>
      </x:c>
      <x:c r="AE1892" s="80" t="n">
        <x:f>Z1892-AD1892</x:f>
        <x:v>2.447519926877473</x:v>
      </x:c>
      <x:c r="AF1892" s="80" t="n">
        <x:f>D1892*W1892</x:f>
        <x:v>0.3035381003125352</x:v>
      </x:c>
      <x:c r="AG1892" s="80" t="n">
        <x:f>C1892*W1892</x:f>
        <x:v>0.7082555673959231</x:v>
      </x:c>
      <x:c r="AH1892" s="80" t="n">
        <x:f>2*'Inputs'!$B$8*'Inputs'!$C$49</x:f>
        <x:v>15000</x:v>
      </x:c>
      <x:c r="AI1892" s="81" t="n">
        <x:f>IF(AH1892&gt;0,(AE1892+AF1892)/AH1892*365,0)</x:f>
        <x:v>0.06694241199495687</x:v>
      </x:c>
      <x:c r="AJ1892" s="81" t="n">
        <x:f>IF('Inputs'!$B$49&gt;0,AG1892/('Inputs'!$B$19*'Inputs'!$B$49)*365,0)</x:f>
        <x:v>0.02585132820995119</x:v>
      </x:c>
      <x:c r="AK1892" s="81" t="n">
        <x:f>W1892/MAX($W$1829:W1892)-1</x:f>
        <x:v>-0.9986801869273264</x:v>
      </x:c>
      <x:c r="AL1892" s="83" t="n">
        <x:f>'Inputs'!$B$49</x:f>
        <x:v>1</x:v>
      </x:c>
      <x:c r="AM1892" s="83" t="n">
        <x:f>'Inputs'!$C$49</x:f>
        <x:v>3</x:v>
      </x:c>
      <x:c r="AN1892" s="83" t="n">
        <x:f>'Inputs'!$D$49</x:f>
        <x:v>0.75</x:v>
      </x:c>
      <x:c r="AO1892" s="81" t="n">
        <x:f>'Inputs'!$E$49</x:f>
        <x:v>-0.03</x:v>
      </x:c>
    </x:row>
    <x:row r="1893">
      <x:c r="A1893" s="59" t="str">
        <x:v>Mercenary LP</x:v>
      </x:c>
      <x:c r="B1893" s="59" t="n">
        <x:v>65</x:v>
      </x:c>
      <x:c r="C1893" s="78" t="n">
        <x:f>(('Inputs'!$B$29*(3*65*'Inputs'!$B$12-65^2)/(2*'Inputs'!$B$12^2))-('Inputs'!$B$29*(3*64*'Inputs'!$B$12-64^2)/(2*'Inputs'!$B$12^2)))*'Inputs'!$B$49</x:f>
        <x:v>691016.8418089673</x:v>
      </x:c>
      <x:c r="D1893" s="78" t="n">
        <x:f>IF('Inputs'!$C$49&gt;0,('Inputs'!$B$30*(3*65*'Inputs'!$B$12-65^2)/(2*'Inputs'!$B$12^2))-('Inputs'!$B$30*(3*64*'Inputs'!$B$12-64^2)/(2*'Inputs'!$B$12^2)),0)</x:f>
        <x:v>296150.0750609897</x:v>
      </x:c>
      <x:c r="E1893" s="78" t="n">
        <x:f>C1893+D1893</x:f>
        <x:v>987166.916869957</x:v>
      </x:c>
      <x:c r="F1893" s="78" t="n">
        <x:f>'Inputs'!$B$13*E1893+(1-'Inputs'!$B$13)/'Inputs'!$B$14*SUM(E1838:E1893)</x:f>
        <x:v>997384.5937324078</x:v>
      </x:c>
      <x:c r="G1893" s="78" t="n">
        <x:f>F1893*'Inputs'!$F$49</x:f>
        <x:v>897646.1343591671</x:v>
      </x:c>
      <x:c r="H1893" s="78" t="n">
        <x:f>U1892</x:f>
        <x:v>337320606.1865632</x:v>
      </x:c>
      <x:c r="I1893" s="78" t="n">
        <x:f>V1892</x:f>
        <x:v>345.5731240228002</x:v>
      </x:c>
      <x:c r="J1893" s="79" t="n">
        <x:f>IF(H1893&gt;0,I1893/H1893,0)</x:f>
        <x:v>0.0000010244649087096468</x:v>
      </x:c>
      <x:c r="K1893" s="80" t="n">
        <x:f>(H1893*J1893+I1893)*'Inputs'!$D$49*(1+'Inputs'!$G$49)^(B1893/30)</x:f>
        <x:v>518.3596860342003</x:v>
      </x:c>
      <x:c r="L1893" s="80" t="n">
        <x:f>MAX(0,K1893*'Inputs'!$E$49)</x:f>
        <x:v>0</x:v>
      </x:c>
      <x:c r="M1893" s="80" t="n">
        <x:f>MAX(0,-K1893*'Inputs'!$E$49)</x:f>
        <x:v>15.550790581026009</x:v>
      </x:c>
      <x:c r="N1893" s="78" t="n">
        <x:f>H1893*(L1893*(1-'Inputs'!$B$15))/(I1893+L1893*(1-'Inputs'!$B$15))</x:f>
        <x:v>0</x:v>
      </x:c>
      <x:c r="O1893" s="78" t="n">
        <x:f>H1893-N1893</x:f>
        <x:v>337320606.1865632</x:v>
      </x:c>
      <x:c r="P1893" s="78" t="n">
        <x:f>I1893+L1893*(1-'Inputs'!$B$17)</x:f>
        <x:v>345.5731240228002</x:v>
      </x:c>
      <x:c r="Q1893" s="78" t="n">
        <x:f>IF(J1893&gt;0,M1893/J1893,0)</x:f>
        <x:v>15179427.278395344</x:v>
      </x:c>
      <x:c r="R1893" s="78" t="n">
        <x:f>IF(B1893='Inputs'!$H$49,'Inputs'!$B$27*'Inputs'!$I$49,0)</x:f>
        <x:v>0</x:v>
      </x:c>
      <x:c r="S1893" s="78" t="n">
        <x:f>Q1893+G1893+R1893</x:f>
        <x:v>16077073.412754511</x:v>
      </x:c>
      <x:c r="T1893" s="78" t="n">
        <x:f>P1893*(S1893*(1-'Inputs'!$B$15))/(O1893+S1893*(1-'Inputs'!$B$15))</x:f>
        <x:v>15.570984519187675</x:v>
      </x:c>
      <x:c r="U1893" s="78" t="n">
        <x:f>O1893+S1893*(1-'Inputs'!$B$17)</x:f>
        <x:v>353332983.12683177</x:v>
      </x:c>
      <x:c r="V1893" s="78" t="n">
        <x:f>P1893-T1893</x:f>
        <x:v>330.0021395036125</x:v>
      </x:c>
      <x:c r="W1893" s="79" t="n">
        <x:f>IF(U1893&gt;0,V1893/U1893,0)</x:f>
        <x:v>9.339692450539087e-7</x:v>
      </x:c>
      <x:c r="X1893" s="80" t="n">
        <x:f>W1893*('Inputs'!$B$6-AC1893)</x:f>
        <x:v>914.1846085787272</x:v>
      </x:c>
      <x:c r="Y1893" s="80" t="n">
        <x:f>2*V1893</x:f>
        <x:v>660.004279007225</x:v>
      </x:c>
      <x:c r="Z1893" s="80" t="n">
        <x:f>K1893*'Inputs'!$B$16+(G1893+R1893)*J1893*'Inputs'!$B$16</x:f>
        <x:v>3.1156757579957413</x:v>
      </x:c>
      <x:c r="AA1893" s="80" t="n">
        <x:f>K1893*(1+'Inputs'!$E$49)/2*'Inputs'!$B$17</x:f>
        <x:v>1.0116879184168497</x:v>
      </x:c>
      <x:c r="AB1893" s="78" t="n">
        <x:f>(IF(J1893&gt;0,K1893*(1-'Inputs'!$E$49)/2/J1893,0)+G1893+R1893)*'Inputs'!$B$17</x:f>
        <x:v>1052224.605285631</x:v>
      </x:c>
      <x:c r="AC1893" s="78" t="n">
        <x:f>AC1892+AB1893</x:f>
        <x:v>21183391.830037717</x:v>
      </x:c>
      <x:c r="AD1893" s="80" t="n">
        <x:f>Z1893/(1+'Inputs'!$C$49)</x:f>
        <x:v>0.7789189394989353</x:v>
      </x:c>
      <x:c r="AE1893" s="80" t="n">
        <x:f>Z1893-AD1893</x:f>
        <x:v>2.3367568184968057</x:v>
      </x:c>
      <x:c r="AF1893" s="80" t="n">
        <x:f>D1893*W1893</x:f>
        <x:v>0.27659506202737094</x:v>
      </x:c>
      <x:c r="AG1893" s="80" t="n">
        <x:f>C1893*W1893</x:f>
        <x:v>0.6453884780638575</x:v>
      </x:c>
      <x:c r="AH1893" s="80" t="n">
        <x:f>2*'Inputs'!$B$8*'Inputs'!$C$49</x:f>
        <x:v>15000</x:v>
      </x:c>
      <x:c r="AI1893" s="81" t="n">
        <x:f>IF(AH1893&gt;0,(AE1893+AF1893)/AH1893*365,0)</x:f>
        <x:v>0.06359156242608831</x:v>
      </x:c>
      <x:c r="AJ1893" s="81" t="n">
        <x:f>IF('Inputs'!$B$49&gt;0,AG1893/('Inputs'!$B$19*'Inputs'!$B$49)*365,0)</x:f>
        <x:v>0.0235566794493308</x:v>
      </x:c>
      <x:c r="AK1893" s="81" t="n">
        <x:f>W1893/MAX($W$1829:W1893)-1</x:f>
        <x:v>-0.9987967720430271</x:v>
      </x:c>
      <x:c r="AL1893" s="83" t="n">
        <x:f>'Inputs'!$B$49</x:f>
        <x:v>1</x:v>
      </x:c>
      <x:c r="AM1893" s="83" t="n">
        <x:f>'Inputs'!$C$49</x:f>
        <x:v>3</x:v>
      </x:c>
      <x:c r="AN1893" s="83" t="n">
        <x:f>'Inputs'!$D$49</x:f>
        <x:v>0.75</x:v>
      </x:c>
      <x:c r="AO1893" s="81" t="n">
        <x:f>'Inputs'!$E$49</x:f>
        <x:v>-0.03</x:v>
      </x:c>
    </x:row>
    <x:row r="1894">
      <x:c r="A1894" s="59" t="str">
        <x:v>Mercenary LP</x:v>
      </x:c>
      <x:c r="B1894" s="59" t="n">
        <x:v>66</x:v>
      </x:c>
      <x:c r="C1894" s="78" t="n">
        <x:f>(('Inputs'!$B$29*(3*66*'Inputs'!$B$12-66^2)/(2*'Inputs'!$B$12^2))-('Inputs'!$B$29*(3*65*'Inputs'!$B$12-65^2)/(2*'Inputs'!$B$12^2)))*'Inputs'!$B$49</x:f>
        <x:v>690691.7339088023</x:v>
      </x:c>
      <x:c r="D1894" s="78" t="n">
        <x:f>IF('Inputs'!$C$49&gt;0,('Inputs'!$B$30*(3*66*'Inputs'!$B$12-66^2)/(2*'Inputs'!$B$12^2))-('Inputs'!$B$30*(3*65*'Inputs'!$B$12-65^2)/(2*'Inputs'!$B$12^2)),0)</x:f>
        <x:v>296010.7431037724</x:v>
      </x:c>
      <x:c r="E1894" s="78" t="n">
        <x:f>C1894+D1894</x:f>
        <x:v>986702.4770125747</x:v>
      </x:c>
      <x:c r="F1894" s="78" t="n">
        <x:f>'Inputs'!$B$13*E1894+(1-'Inputs'!$B$13)/'Inputs'!$B$14*SUM(E1839:E1894)</x:f>
        <x:v>996920.1538750238</x:v>
      </x:c>
      <x:c r="G1894" s="78" t="n">
        <x:f>F1894*'Inputs'!$F$49</x:f>
        <x:v>897228.1384875214</x:v>
      </x:c>
      <x:c r="H1894" s="78" t="n">
        <x:f>U1893</x:f>
        <x:v>353332983.12683177</x:v>
      </x:c>
      <x:c r="I1894" s="78" t="n">
        <x:f>V1893</x:f>
        <x:v>330.0021395036125</x:v>
      </x:c>
      <x:c r="J1894" s="79" t="n">
        <x:f>IF(H1894&gt;0,I1894/H1894,0)</x:f>
        <x:v>9.339692450539087e-7</x:v>
      </x:c>
      <x:c r="K1894" s="80" t="n">
        <x:f>(H1894*J1894+I1894)*'Inputs'!$D$49*(1+'Inputs'!$G$49)^(B1894/30)</x:f>
        <x:v>495.00320925541877</x:v>
      </x:c>
      <x:c r="L1894" s="80" t="n">
        <x:f>MAX(0,K1894*'Inputs'!$E$49)</x:f>
        <x:v>0</x:v>
      </x:c>
      <x:c r="M1894" s="80" t="n">
        <x:f>MAX(0,-K1894*'Inputs'!$E$49)</x:f>
        <x:v>14.850096277662562</x:v>
      </x:c>
      <x:c r="N1894" s="78" t="n">
        <x:f>H1894*(L1894*(1-'Inputs'!$B$15))/(I1894+L1894*(1-'Inputs'!$B$15))</x:f>
        <x:v>0</x:v>
      </x:c>
      <x:c r="O1894" s="78" t="n">
        <x:f>H1894-N1894</x:f>
        <x:v>353332983.12683177</x:v>
      </x:c>
      <x:c r="P1894" s="78" t="n">
        <x:f>I1894+L1894*(1-'Inputs'!$B$17)</x:f>
        <x:v>330.0021395036125</x:v>
      </x:c>
      <x:c r="Q1894" s="78" t="n">
        <x:f>IF(J1894&gt;0,M1894/J1894,0)</x:f>
        <x:v>15899984.240707427</x:v>
      </x:c>
      <x:c r="R1894" s="78" t="n">
        <x:f>IF(B1894='Inputs'!$H$49,'Inputs'!$B$27*'Inputs'!$I$49,0)</x:f>
        <x:v>0</x:v>
      </x:c>
      <x:c r="S1894" s="78" t="n">
        <x:f>Q1894+G1894+R1894</x:f>
        <x:v>16797212.37919495</x:v>
      </x:c>
      <x:c r="T1894" s="78" t="n">
        <x:f>P1894*(S1894*(1-'Inputs'!$B$15))/(O1894+S1894*(1-'Inputs'!$B$15))</x:f>
        <x:v>14.833095153428314</x:v>
      </x:c>
      <x:c r="U1894" s="78" t="n">
        <x:f>O1894+S1894*(1-'Inputs'!$B$17)</x:f>
        <x:v>370062601.09001386</x:v>
      </x:c>
      <x:c r="V1894" s="78" t="n">
        <x:f>P1894-T1894</x:f>
        <x:v>315.1690443501842</x:v>
      </x:c>
      <x:c r="W1894" s="79" t="n">
        <x:f>IF(U1894&gt;0,V1894/U1894,0)</x:f>
        <x:v>8.516641331003417e-7</x:v>
      </x:c>
      <x:c r="X1894" s="80" t="n">
        <x:f>W1894*('Inputs'!$B$6-AC1894)</x:f>
        <x:v>832.6844643319117</x:v>
      </x:c>
      <x:c r="Y1894" s="80" t="n">
        <x:f>2*V1894</x:f>
        <x:v>630.3380887003684</x:v>
      </x:c>
      <x:c r="Z1894" s="80" t="n">
        <x:f>K1894*'Inputs'!$B$16+(G1894+R1894)*J1894*'Inputs'!$B$16</x:f>
        <x:v>2.9750471564553784</x:v>
      </x:c>
      <x:c r="AA1894" s="80" t="n">
        <x:f>K1894*(1+'Inputs'!$E$49)/2*'Inputs'!$B$17</x:f>
        <x:v>0.966102843013594</x:v>
      </x:c>
      <x:c r="AB1894" s="78" t="n">
        <x:f>(IF(J1894&gt;0,K1894*(1-'Inputs'!$E$49)/2/J1894,0)+G1894+R1894)*'Inputs'!$B$17</x:f>
        <x:v>1101999.8293922136</x:v>
      </x:c>
      <x:c r="AC1894" s="78" t="n">
        <x:f>AC1893+AB1894</x:f>
        <x:v>22285391.65942993</x:v>
      </x:c>
      <x:c r="AD1894" s="80" t="n">
        <x:f>Z1894/(1+'Inputs'!$C$49)</x:f>
        <x:v>0.7437617891138446</x:v>
      </x:c>
      <x:c r="AE1894" s="80" t="n">
        <x:f>Z1894-AD1894</x:f>
        <x:v>2.231285367341534</x:v>
      </x:c>
      <x:c r="AF1894" s="80" t="n">
        <x:f>D1894*W1894</x:f>
        <x:v>0.2521017329138623</x:v>
      </x:c>
      <x:c r="AG1894" s="80" t="n">
        <x:f>C1894*W1894</x:f>
        <x:v>0.588237376799012</x:v>
      </x:c>
      <x:c r="AH1894" s="80" t="n">
        <x:f>2*'Inputs'!$B$8*'Inputs'!$C$49</x:f>
        <x:v>15000</x:v>
      </x:c>
      <x:c r="AI1894" s="81" t="n">
        <x:f>IF(AH1894&gt;0,(AE1894+AF1894)/AH1894*365,0)</x:f>
        <x:v>0.060429086106214634</x:v>
      </x:c>
      <x:c r="AJ1894" s="81" t="n">
        <x:f>IF('Inputs'!$B$49&gt;0,AG1894/('Inputs'!$B$19*'Inputs'!$B$49)*365,0)</x:f>
        <x:v>0.021470664253163938</x:v>
      </x:c>
      <x:c r="AK1894" s="81" t="n">
        <x:f>W1894/MAX($W$1829:W1894)-1</x:f>
        <x:v>-0.9989028053114979</x:v>
      </x:c>
      <x:c r="AL1894" s="83" t="n">
        <x:f>'Inputs'!$B$49</x:f>
        <x:v>1</x:v>
      </x:c>
      <x:c r="AM1894" s="83" t="n">
        <x:f>'Inputs'!$C$49</x:f>
        <x:v>3</x:v>
      </x:c>
      <x:c r="AN1894" s="83" t="n">
        <x:f>'Inputs'!$D$49</x:f>
        <x:v>0.75</x:v>
      </x:c>
      <x:c r="AO1894" s="81" t="n">
        <x:f>'Inputs'!$E$49</x:f>
        <x:v>-0.03</x:v>
      </x:c>
    </x:row>
    <x:row r="1895">
      <x:c r="A1895" s="59" t="str">
        <x:v>Mercenary LP</x:v>
      </x:c>
      <x:c r="B1895" s="59" t="n">
        <x:v>67</x:v>
      </x:c>
      <x:c r="C1895" s="78" t="n">
        <x:f>(('Inputs'!$B$29*(3*67*'Inputs'!$B$12-67^2)/(2*'Inputs'!$B$12^2))-('Inputs'!$B$29*(3*66*'Inputs'!$B$12-66^2)/(2*'Inputs'!$B$12^2)))*'Inputs'!$B$49</x:f>
        <x:v>690366.6260086298</x:v>
      </x:c>
      <x:c r="D1895" s="78" t="n">
        <x:f>IF('Inputs'!$C$49&gt;0,('Inputs'!$B$30*(3*67*'Inputs'!$B$12-67^2)/(2*'Inputs'!$B$12^2))-('Inputs'!$B$30*(3*66*'Inputs'!$B$12-66^2)/(2*'Inputs'!$B$12^2)),0)</x:f>
        <x:v>295871.4111465551</x:v>
      </x:c>
      <x:c r="E1895" s="78" t="n">
        <x:f>C1895+D1895</x:f>
        <x:v>986238.0371551849</x:v>
      </x:c>
      <x:c r="F1895" s="78" t="n">
        <x:f>'Inputs'!$B$13*E1895+(1-'Inputs'!$B$13)/'Inputs'!$B$14*SUM(E1840:E1895)</x:f>
        <x:v>996455.7140176386</x:v>
      </x:c>
      <x:c r="G1895" s="78" t="n">
        <x:f>F1895*'Inputs'!$F$49</x:f>
        <x:v>896810.1426158748</x:v>
      </x:c>
      <x:c r="H1895" s="78" t="n">
        <x:f>U1894</x:f>
        <x:v>370062601.09001386</x:v>
      </x:c>
      <x:c r="I1895" s="78" t="n">
        <x:f>V1894</x:f>
        <x:v>315.1690443501842</x:v>
      </x:c>
      <x:c r="J1895" s="79" t="n">
        <x:f>IF(H1895&gt;0,I1895/H1895,0)</x:f>
        <x:v>8.516641331003417e-7</x:v>
      </x:c>
      <x:c r="K1895" s="80" t="n">
        <x:f>(H1895*J1895+I1895)*'Inputs'!$D$49*(1+'Inputs'!$G$49)^(B1895/30)</x:f>
        <x:v>472.7535665252763</x:v>
      </x:c>
      <x:c r="L1895" s="80" t="n">
        <x:f>MAX(0,K1895*'Inputs'!$E$49)</x:f>
        <x:v>0</x:v>
      </x:c>
      <x:c r="M1895" s="80" t="n">
        <x:f>MAX(0,-K1895*'Inputs'!$E$49)</x:f>
        <x:v>14.182606995758288</x:v>
      </x:c>
      <x:c r="N1895" s="78" t="n">
        <x:f>H1895*(L1895*(1-'Inputs'!$B$15))/(I1895+L1895*(1-'Inputs'!$B$15))</x:f>
        <x:v>0</x:v>
      </x:c>
      <x:c r="O1895" s="78" t="n">
        <x:f>H1895-N1895</x:f>
        <x:v>370062601.09001386</x:v>
      </x:c>
      <x:c r="P1895" s="78" t="n">
        <x:f>I1895+L1895*(1-'Inputs'!$B$17)</x:f>
        <x:v>315.1690443501842</x:v>
      </x:c>
      <x:c r="Q1895" s="78" t="n">
        <x:f>IF(J1895&gt;0,M1895/J1895,0)</x:f>
        <x:v>16652817.049050622</x:v>
      </x:c>
      <x:c r="R1895" s="78" t="n">
        <x:f>IF(B1895='Inputs'!$H$49,'Inputs'!$B$27*'Inputs'!$I$49,0)</x:f>
        <x:v>0</x:v>
      </x:c>
      <x:c r="S1895" s="78" t="n">
        <x:f>Q1895+G1895+R1895</x:f>
        <x:v>17549627.191666495</x:v>
      </x:c>
      <x:c r="T1895" s="78" t="n">
        <x:f>P1895*(S1895*(1-'Inputs'!$B$15))/(O1895+S1895*(1-'Inputs'!$B$15))</x:f>
        <x:v>14.133374009190607</x:v>
      </x:c>
      <x:c r="U1895" s="78" t="n">
        <x:f>O1895+S1895*(1-'Inputs'!$B$17)</x:f>
        <x:v>387541606.03946036</x:v>
      </x:c>
      <x:c r="V1895" s="78" t="n">
        <x:f>P1895-T1895</x:f>
        <x:v>301.0356703409936</x:v>
      </x:c>
      <x:c r="W1895" s="79" t="n">
        <x:f>IF(U1895&gt;0,V1895/U1895,0)</x:f>
        <x:v>7.767828425377931e-7</x:v>
      </x:c>
      <x:c r="X1895" s="80" t="n">
        <x:f>W1895*('Inputs'!$B$6-AC1895)</x:f>
        <x:v>758.575521601548</x:v>
      </x:c>
      <x:c r="Y1895" s="80" t="n">
        <x:f>2*V1895</x:f>
        <x:v>602.0713406819872</x:v>
      </x:c>
      <x:c r="Z1895" s="80" t="n">
        <x:f>K1895*'Inputs'!$B$16+(G1895+R1895)*J1895*'Inputs'!$B$16</x:f>
        <x:v>2.841104085347657</x:v>
      </x:c>
      <x:c r="AA1895" s="80" t="n">
        <x:f>K1895*(1+'Inputs'!$E$49)/2*'Inputs'!$B$17</x:f>
        <x:v>0.9226779869809216</x:v>
      </x:c>
      <x:c r="AB1895" s="78" t="n">
        <x:f>(IF(J1895&gt;0,K1895*(1-'Inputs'!$E$49)/2/J1895,0)+G1895+R1895)*'Inputs'!$B$17</x:f>
        <x:v>1154004.7061756602</x:v>
      </x:c>
      <x:c r="AC1895" s="78" t="n">
        <x:f>AC1894+AB1895</x:f>
        <x:v>23439396.36560559</x:v>
      </x:c>
      <x:c r="AD1895" s="80" t="n">
        <x:f>Z1895/(1+'Inputs'!$C$49)</x:f>
        <x:v>0.7102760213369143</x:v>
      </x:c>
      <x:c r="AE1895" s="80" t="n">
        <x:f>Z1895-AD1895</x:f>
        <x:v>2.1308280640107427</x:v>
      </x:c>
      <x:c r="AF1895" s="80" t="n">
        <x:f>D1895*W1895</x:f>
        <x:v>0.22982783577608915</x:v>
      </x:c>
      <x:c r="AG1895" s="80" t="n">
        <x:f>C1895*W1895</x:f>
        <x:v>0.5362649501442089</x:v>
      </x:c>
      <x:c r="AH1895" s="80" t="n">
        <x:f>2*'Inputs'!$B$8*'Inputs'!$C$49</x:f>
        <x:v>15000</x:v>
      </x:c>
      <x:c r="AI1895" s="81" t="n">
        <x:f>IF(AH1895&gt;0,(AE1895+AF1895)/AH1895*365,0)</x:f>
        <x:v>0.0574426268948129</x:v>
      </x:c>
      <x:c r="AJ1895" s="81" t="n">
        <x:f>IF('Inputs'!$B$49&gt;0,AG1895/('Inputs'!$B$19*'Inputs'!$B$49)*365,0)</x:f>
        <x:v>0.019573670680263628</x:v>
      </x:c>
      <x:c r="AK1895" s="81" t="n">
        <x:f>W1895/MAX($W$1829:W1895)-1</x:f>
        <x:v>-0.998999274507605</x:v>
      </x:c>
      <x:c r="AL1895" s="83" t="n">
        <x:f>'Inputs'!$B$49</x:f>
        <x:v>1</x:v>
      </x:c>
      <x:c r="AM1895" s="83" t="n">
        <x:f>'Inputs'!$C$49</x:f>
        <x:v>3</x:v>
      </x:c>
      <x:c r="AN1895" s="83" t="n">
        <x:f>'Inputs'!$D$49</x:f>
        <x:v>0.75</x:v>
      </x:c>
      <x:c r="AO1895" s="81" t="n">
        <x:f>'Inputs'!$E$49</x:f>
        <x:v>-0.03</x:v>
      </x:c>
    </x:row>
    <x:row r="1896">
      <x:c r="A1896" s="59" t="str">
        <x:v>Mercenary LP</x:v>
      </x:c>
      <x:c r="B1896" s="59" t="n">
        <x:v>68</x:v>
      </x:c>
      <x:c r="C1896" s="78" t="n">
        <x:f>(('Inputs'!$B$29*(3*68*'Inputs'!$B$12-68^2)/(2*'Inputs'!$B$12^2))-('Inputs'!$B$29*(3*67*'Inputs'!$B$12-67^2)/(2*'Inputs'!$B$12^2)))*'Inputs'!$B$49</x:f>
        <x:v>690041.5181084648</x:v>
      </x:c>
      <x:c r="D1896" s="78" t="n">
        <x:f>IF('Inputs'!$C$49&gt;0,('Inputs'!$B$30*(3*68*'Inputs'!$B$12-68^2)/(2*'Inputs'!$B$12^2))-('Inputs'!$B$30*(3*67*'Inputs'!$B$12-67^2)/(2*'Inputs'!$B$12^2)),0)</x:f>
        <x:v>295732.0791893415</x:v>
      </x:c>
      <x:c r="E1896" s="78" t="n">
        <x:f>C1896+D1896</x:f>
        <x:v>985773.5972978063</x:v>
      </x:c>
      <x:c r="F1896" s="78" t="n">
        <x:f>'Inputs'!$B$13*E1896+(1-'Inputs'!$B$13)/'Inputs'!$B$14*SUM(E1841:E1896)</x:f>
        <x:v>995991.2741602554</x:v>
      </x:c>
      <x:c r="G1896" s="78" t="n">
        <x:f>F1896*'Inputs'!$F$49</x:f>
        <x:v>896392.14674423</x:v>
      </x:c>
      <x:c r="H1896" s="78" t="n">
        <x:f>U1895</x:f>
        <x:v>387541606.03946036</x:v>
      </x:c>
      <x:c r="I1896" s="78" t="n">
        <x:f>V1895</x:f>
        <x:v>301.0356703409936</x:v>
      </x:c>
      <x:c r="J1896" s="79" t="n">
        <x:f>IF(H1896&gt;0,I1896/H1896,0)</x:f>
        <x:v>7.767828425377931e-7</x:v>
      </x:c>
      <x:c r="K1896" s="80" t="n">
        <x:f>(H1896*J1896+I1896)*'Inputs'!$D$49*(1+'Inputs'!$G$49)^(B1896/30)</x:f>
        <x:v>451.55350551149036</x:v>
      </x:c>
      <x:c r="L1896" s="80" t="n">
        <x:f>MAX(0,K1896*'Inputs'!$E$49)</x:f>
        <x:v>0</x:v>
      </x:c>
      <x:c r="M1896" s="80" t="n">
        <x:f>MAX(0,-K1896*'Inputs'!$E$49)</x:f>
        <x:v>13.54660516534471</x:v>
      </x:c>
      <x:c r="N1896" s="78" t="n">
        <x:f>H1896*(L1896*(1-'Inputs'!$B$15))/(I1896+L1896*(1-'Inputs'!$B$15))</x:f>
        <x:v>0</x:v>
      </x:c>
      <x:c r="O1896" s="78" t="n">
        <x:f>H1896-N1896</x:f>
        <x:v>387541606.03946036</x:v>
      </x:c>
      <x:c r="P1896" s="78" t="n">
        <x:f>I1896+L1896*(1-'Inputs'!$B$17)</x:f>
        <x:v>301.0356703409936</x:v>
      </x:c>
      <x:c r="Q1896" s="78" t="n">
        <x:f>IF(J1896&gt;0,M1896/J1896,0)</x:f>
        <x:v>17439372.271775715</x:v>
      </x:c>
      <x:c r="R1896" s="78" t="n">
        <x:f>IF(B1896='Inputs'!$H$49,'Inputs'!$B$27*'Inputs'!$I$49,0)</x:f>
        <x:v>0</x:v>
      </x:c>
      <x:c r="S1896" s="78" t="n">
        <x:f>Q1896+G1896+R1896</x:f>
        <x:v>18335764.418519944</x:v>
      </x:c>
      <x:c r="T1896" s="78" t="n">
        <x:f>P1896*(S1896*(1-'Inputs'!$B$15))/(O1896+S1896*(1-'Inputs'!$B$15))</x:f>
        <x:v>13.469565162457432</x:v>
      </x:c>
      <x:c r="U1896" s="78" t="n">
        <x:f>O1896+S1896*(1-'Inputs'!$B$17)</x:f>
        <x:v>405803584.6856724</x:v>
      </x:c>
      <x:c r="V1896" s="78" t="n">
        <x:f>P1896-T1896</x:f>
        <x:v>287.56610517853613</x:v>
      </x:c>
      <x:c r="W1896" s="79" t="n">
        <x:f>IF(U1896&gt;0,V1896/U1896,0)</x:f>
        <x:v>7.086337233843788e-7</x:v>
      </x:c>
      <x:c r="X1896" s="80" t="n">
        <x:f>W1896*('Inputs'!$B$6-AC1896)</x:f>
        <x:v>691.1675067814491</x:v>
      </x:c>
      <x:c r="Y1896" s="80" t="n">
        <x:f>2*V1896</x:f>
        <x:v>575.1322103570723</x:v>
      </x:c>
      <x:c r="Z1896" s="80" t="n">
        <x:f>K1896*'Inputs'!$B$16+(G1896+R1896)*J1896*'Inputs'!$B$16</x:f>
        <x:v>2.7134988453076017</x:v>
      </x:c>
      <x:c r="AA1896" s="80" t="n">
        <x:f>K1896*(1+'Inputs'!$E$49)/2*'Inputs'!$B$17</x:f>
        <x:v>0.8813016103544179</x:v>
      </x:c>
      <x:c r="AB1896" s="78" t="n">
        <x:f>(IF(J1896&gt;0,K1896*(1-'Inputs'!$E$49)/2/J1896,0)+G1896+R1896)*'Inputs'!$B$17</x:f>
        <x:v>1208339.1662463879</x:v>
      </x:c>
      <x:c r="AC1896" s="78" t="n">
        <x:f>AC1895+AB1896</x:f>
        <x:v>24647735.531851977</x:v>
      </x:c>
      <x:c r="AD1896" s="80" t="n">
        <x:f>Z1896/(1+'Inputs'!$C$49)</x:f>
        <x:v>0.6783747113269004</x:v>
      </x:c>
      <x:c r="AE1896" s="80" t="n">
        <x:f>Z1896-AD1896</x:f>
        <x:v>2.0351241339807014</x:v>
      </x:c>
      <x:c r="AF1896" s="80" t="n">
        <x:f>D1896*W1896</x:f>
        <x:v>0.20956572440014704</x:v>
      </x:c>
      <x:c r="AG1896" s="80" t="n">
        <x:f>C1896*W1896</x:f>
        <x:v>0.48898669026701064</x:v>
      </x:c>
      <x:c r="AH1896" s="80" t="n">
        <x:f>2*'Inputs'!$B$8*'Inputs'!$C$49</x:f>
        <x:v>15000</x:v>
      </x:c>
      <x:c r="AI1896" s="81" t="n">
        <x:f>IF(AH1896&gt;0,(AE1896+AF1896)/AH1896*365,0)</x:f>
        <x:v>0.05462078655393397</x:v>
      </x:c>
      <x:c r="AJ1896" s="81" t="n">
        <x:f>IF('Inputs'!$B$49&gt;0,AG1896/('Inputs'!$B$19*'Inputs'!$B$49)*365,0)</x:f>
        <x:v>0.01784801419474589</x:v>
      </x:c>
      <x:c r="AK1896" s="81" t="n">
        <x:f>W1896/MAX($W$1829:W1896)-1</x:f>
        <x:v>-0.9990870706805975</x:v>
      </x:c>
      <x:c r="AL1896" s="83" t="n">
        <x:f>'Inputs'!$B$49</x:f>
        <x:v>1</x:v>
      </x:c>
      <x:c r="AM1896" s="83" t="n">
        <x:f>'Inputs'!$C$49</x:f>
        <x:v>3</x:v>
      </x:c>
      <x:c r="AN1896" s="83" t="n">
        <x:f>'Inputs'!$D$49</x:f>
        <x:v>0.75</x:v>
      </x:c>
      <x:c r="AO1896" s="81" t="n">
        <x:f>'Inputs'!$E$49</x:f>
        <x:v>-0.03</x:v>
      </x:c>
    </x:row>
    <x:row r="1897">
      <x:c r="A1897" s="59" t="str">
        <x:v>Mercenary LP</x:v>
      </x:c>
      <x:c r="B1897" s="59" t="n">
        <x:v>69</x:v>
      </x:c>
      <x:c r="C1897" s="78" t="n">
        <x:f>(('Inputs'!$B$29*(3*69*'Inputs'!$B$12-69^2)/(2*'Inputs'!$B$12^2))-('Inputs'!$B$29*(3*68*'Inputs'!$B$12-68^2)/(2*'Inputs'!$B$12^2)))*'Inputs'!$B$49</x:f>
        <x:v>689716.4102082923</x:v>
      </x:c>
      <x:c r="D1897" s="78" t="n">
        <x:f>IF('Inputs'!$C$49&gt;0,('Inputs'!$B$30*(3*69*'Inputs'!$B$12-69^2)/(2*'Inputs'!$B$12^2))-('Inputs'!$B$30*(3*68*'Inputs'!$B$12-68^2)/(2*'Inputs'!$B$12^2)),0)</x:f>
        <x:v>295592.7472321242</x:v>
      </x:c>
      <x:c r="E1897" s="78" t="n">
        <x:f>C1897+D1897</x:f>
        <x:v>985309.1574404165</x:v>
      </x:c>
      <x:c r="F1897" s="78" t="n">
        <x:f>'Inputs'!$B$13*E1897+(1-'Inputs'!$B$13)/'Inputs'!$B$14*SUM(E1842:E1897)</x:f>
        <x:v>995526.8343028703</x:v>
      </x:c>
      <x:c r="G1897" s="78" t="n">
        <x:f>F1897*'Inputs'!$F$49</x:f>
        <x:v>895974.1508725833</x:v>
      </x:c>
      <x:c r="H1897" s="78" t="n">
        <x:f>U1896</x:f>
        <x:v>405803584.6856724</x:v>
      </x:c>
      <x:c r="I1897" s="78" t="n">
        <x:f>V1896</x:f>
        <x:v>287.56610517853613</x:v>
      </x:c>
      <x:c r="J1897" s="79" t="n">
        <x:f>IF(H1897&gt;0,I1897/H1897,0)</x:f>
        <x:v>7.086337233843788e-7</x:v>
      </x:c>
      <x:c r="K1897" s="80" t="n">
        <x:f>(H1897*J1897+I1897)*'Inputs'!$D$49*(1+'Inputs'!$G$49)^(B1897/30)</x:f>
        <x:v>431.3491577678042</x:v>
      </x:c>
      <x:c r="L1897" s="80" t="n">
        <x:f>MAX(0,K1897*'Inputs'!$E$49)</x:f>
        <x:v>0</x:v>
      </x:c>
      <x:c r="M1897" s="80" t="n">
        <x:f>MAX(0,-K1897*'Inputs'!$E$49)</x:f>
        <x:v>12.940474733034124</x:v>
      </x:c>
      <x:c r="N1897" s="78" t="n">
        <x:f>H1897*(L1897*(1-'Inputs'!$B$15))/(I1897+L1897*(1-'Inputs'!$B$15))</x:f>
        <x:v>0</x:v>
      </x:c>
      <x:c r="O1897" s="78" t="n">
        <x:f>H1897-N1897</x:f>
        <x:v>405803584.6856724</x:v>
      </x:c>
      <x:c r="P1897" s="78" t="n">
        <x:f>I1897+L1897*(1-'Inputs'!$B$17)</x:f>
        <x:v>287.56610517853613</x:v>
      </x:c>
      <x:c r="Q1897" s="78" t="n">
        <x:f>IF(J1897&gt;0,M1897/J1897,0)</x:f>
        <x:v>18261161.31085526</x:v>
      </x:c>
      <x:c r="R1897" s="78" t="n">
        <x:f>IF(B1897='Inputs'!$H$49,'Inputs'!$B$27*'Inputs'!$I$49,0)</x:f>
        <x:v>0</x:v>
      </x:c>
      <x:c r="S1897" s="78" t="n">
        <x:f>Q1897+G1897+R1897</x:f>
        <x:v>19157135.461727843</x:v>
      </x:c>
      <x:c r="T1897" s="78" t="n">
        <x:f>P1897*(S1897*(1-'Inputs'!$B$15))/(O1897+S1897*(1-'Inputs'!$B$15))</x:f>
        <x:v>12.839570430893518</x:v>
      </x:c>
      <x:c r="U1897" s="78" t="n">
        <x:f>O1897+S1897*(1-'Inputs'!$B$17)</x:f>
        <x:v>424883629.0590231</x:v>
      </x:c>
      <x:c r="V1897" s="78" t="n">
        <x:f>P1897-T1897</x:f>
        <x:v>274.72653474764263</x:v>
      </x:c>
      <x:c r="W1897" s="79" t="n">
        <x:f>IF(U1897&gt;0,V1897/U1897,0)</x:f>
        <x:v>6.465924219204942e-7</x:v>
      </x:c>
      <x:c r="X1897" s="80" t="n">
        <x:f>W1897*('Inputs'!$B$6-AC1897)</x:f>
        <x:v>629.8373739087415</x:v>
      </x:c>
      <x:c r="Y1897" s="80" t="n">
        <x:f>2*V1897</x:f>
        <x:v>549.4530694952853</x:v>
      </x:c>
      <x:c r="Z1897" s="80" t="n">
        <x:f>K1897*'Inputs'!$B$16+(G1897+R1897)*J1897*'Inputs'!$B$16</x:f>
        <x:v>2.591904451598359</x:v>
      </x:c>
      <x:c r="AA1897" s="80" t="n">
        <x:f>K1897*(1+'Inputs'!$E$49)/2*'Inputs'!$B$17</x:f>
        <x:v>0.8418685775347486</x:v>
      </x:c>
      <x:c r="AB1897" s="78" t="n">
        <x:f>(IF(J1897&gt;0,K1897*(1-'Inputs'!$E$49)/2/J1897,0)+G1897+R1897)*'Inputs'!$B$17</x:f>
        <x:v>1265107.6189961955</x:v>
      </x:c>
      <x:c r="AC1897" s="78" t="n">
        <x:f>AC1896+AB1897</x:f>
        <x:v>25912843.150848173</x:v>
      </x:c>
      <x:c r="AD1897" s="80" t="n">
        <x:f>Z1897/(1+'Inputs'!$C$49)</x:f>
        <x:v>0.6479761128995898</x:v>
      </x:c>
      <x:c r="AE1897" s="80" t="n">
        <x:f>Z1897-AD1897</x:f>
        <x:v>1.9439283386987694</x:v>
      </x:c>
      <x:c r="AF1897" s="80" t="n">
        <x:f>D1897*W1897</x:f>
        <x:v>0.19112803033495165</x:v>
      </x:c>
      <x:c r="AG1897" s="80" t="n">
        <x:f>C1897*W1897</x:f>
        <x:v>0.44596540411488883</x:v>
      </x:c>
      <x:c r="AH1897" s="80" t="n">
        <x:f>2*'Inputs'!$B$8*'Inputs'!$C$49</x:f>
        <x:v>15000</x:v>
      </x:c>
      <x:c r="AI1897" s="81" t="n">
        <x:f>IF(AH1897&gt;0,(AE1897+AF1897)/AH1897*365,0)</x:f>
        <x:v>0.05195303831315388</x:v>
      </x:c>
      <x:c r="AJ1897" s="81" t="n">
        <x:f>IF('Inputs'!$B$49&gt;0,AG1897/('Inputs'!$B$19*'Inputs'!$B$49)*365,0)</x:f>
        <x:v>0.016277737250193443</x:v>
      </x:c>
      <x:c r="AK1897" s="81" t="n">
        <x:f>W1897/MAX($W$1829:W1897)-1</x:f>
        <x:v>-0.999166998182283</x:v>
      </x:c>
      <x:c r="AL1897" s="83" t="n">
        <x:f>'Inputs'!$B$49</x:f>
        <x:v>1</x:v>
      </x:c>
      <x:c r="AM1897" s="83" t="n">
        <x:f>'Inputs'!$C$49</x:f>
        <x:v>3</x:v>
      </x:c>
      <x:c r="AN1897" s="83" t="n">
        <x:f>'Inputs'!$D$49</x:f>
        <x:v>0.75</x:v>
      </x:c>
      <x:c r="AO1897" s="81" t="n">
        <x:f>'Inputs'!$E$49</x:f>
        <x:v>-0.03</x:v>
      </x:c>
    </x:row>
    <x:row r="1898">
      <x:c r="A1898" s="59" t="str">
        <x:v>Mercenary LP</x:v>
      </x:c>
      <x:c r="B1898" s="59" t="n">
        <x:v>70</x:v>
      </x:c>
      <x:c r="C1898" s="78" t="n">
        <x:f>(('Inputs'!$B$29*(3*70*'Inputs'!$B$12-70^2)/(2*'Inputs'!$B$12^2))-('Inputs'!$B$29*(3*69*'Inputs'!$B$12-69^2)/(2*'Inputs'!$B$12^2)))*'Inputs'!$B$49</x:f>
        <x:v>689391.3023081273</x:v>
      </x:c>
      <x:c r="D1898" s="78" t="n">
        <x:f>IF('Inputs'!$C$49&gt;0,('Inputs'!$B$30*(3*70*'Inputs'!$B$12-70^2)/(2*'Inputs'!$B$12^2))-('Inputs'!$B$30*(3*69*'Inputs'!$B$12-69^2)/(2*'Inputs'!$B$12^2)),0)</x:f>
        <x:v>295453.4152749106</x:v>
      </x:c>
      <x:c r="E1898" s="78" t="n">
        <x:f>C1898+D1898</x:f>
        <x:v>984844.7175830379</x:v>
      </x:c>
      <x:c r="F1898" s="78" t="n">
        <x:f>'Inputs'!$B$13*E1898+(1-'Inputs'!$B$13)/'Inputs'!$B$14*SUM(E1843:E1898)</x:f>
        <x:v>995062.3944454873</x:v>
      </x:c>
      <x:c r="G1898" s="78" t="n">
        <x:f>F1898*'Inputs'!$F$49</x:f>
        <x:v>895556.1550009386</x:v>
      </x:c>
      <x:c r="H1898" s="78" t="n">
        <x:f>U1897</x:f>
        <x:v>424883629.0590231</x:v>
      </x:c>
      <x:c r="I1898" s="78" t="n">
        <x:f>V1897</x:f>
        <x:v>274.72653474764263</x:v>
      </x:c>
      <x:c r="J1898" s="79" t="n">
        <x:f>IF(H1898&gt;0,I1898/H1898,0)</x:f>
        <x:v>6.465924219204942e-7</x:v>
      </x:c>
      <x:c r="K1898" s="80" t="n">
        <x:f>(H1898*J1898+I1898)*'Inputs'!$D$49*(1+'Inputs'!$G$49)^(B1898/30)</x:f>
        <x:v>412.08980212146395</x:v>
      </x:c>
      <x:c r="L1898" s="80" t="n">
        <x:f>MAX(0,K1898*'Inputs'!$E$49)</x:f>
        <x:v>0</x:v>
      </x:c>
      <x:c r="M1898" s="80" t="n">
        <x:f>MAX(0,-K1898*'Inputs'!$E$49)</x:f>
        <x:v>12.362694063643918</x:v>
      </x:c>
      <x:c r="N1898" s="78" t="n">
        <x:f>H1898*(L1898*(1-'Inputs'!$B$15))/(I1898+L1898*(1-'Inputs'!$B$15))</x:f>
        <x:v>0</x:v>
      </x:c>
      <x:c r="O1898" s="78" t="n">
        <x:f>H1898-N1898</x:f>
        <x:v>424883629.0590231</x:v>
      </x:c>
      <x:c r="P1898" s="78" t="n">
        <x:f>I1898+L1898*(1-'Inputs'!$B$17)</x:f>
        <x:v>274.72653474764263</x:v>
      </x:c>
      <x:c r="Q1898" s="78" t="n">
        <x:f>IF(J1898&gt;0,M1898/J1898,0)</x:f>
        <x:v>19119763.30765604</x:v>
      </x:c>
      <x:c r="R1898" s="78" t="n">
        <x:f>IF(B1898='Inputs'!$H$49,'Inputs'!$B$27*'Inputs'!$I$49,0)</x:f>
        <x:v>0</x:v>
      </x:c>
      <x:c r="S1898" s="78" t="n">
        <x:f>Q1898+G1898+R1898</x:f>
        <x:v>20015319.46265698</x:v>
      </x:c>
      <x:c r="T1898" s="78" t="n">
        <x:f>P1898*(S1898*(1-'Inputs'!$B$15))/(O1898+S1898*(1-'Inputs'!$B$15))</x:f>
        <x:v>12.241436274323089</x:v>
      </x:c>
      <x:c r="U1898" s="78" t="n">
        <x:f>O1898+S1898*(1-'Inputs'!$B$17)</x:f>
        <x:v>444818403.9765587</x:v>
      </x:c>
      <x:c r="V1898" s="78" t="n">
        <x:f>P1898-T1898</x:f>
        <x:v>262.48509847331957</x:v>
      </x:c>
      <x:c r="W1898" s="79" t="n">
        <x:f>IF(U1898&gt;0,V1898/U1898,0)</x:f>
        <x:v>5.900949603855693e-7</x:v>
      </x:c>
      <x:c r="X1898" s="80" t="n">
        <x:f>W1898*('Inputs'!$B$6-AC1898)</x:f>
        <x:v>574.0223891651725</x:v>
      </x:c>
      <x:c r="Y1898" s="80" t="n">
        <x:f>2*V1898</x:f>
        <x:v>524.9701969466391</x:v>
      </x:c>
      <x:c r="Z1898" s="80" t="n">
        <x:f>K1898*'Inputs'!$B$16+(G1898+R1898)*J1898*'Inputs'!$B$16</x:f>
        <x:v>2.4760131716681513</x:v>
      </x:c>
      <x:c r="AA1898" s="80" t="n">
        <x:f>K1898*(1+'Inputs'!$E$49)/2*'Inputs'!$B$17</x:f>
        <x:v>0.8042798954885716</x:v>
      </x:c>
      <x:c r="AB1898" s="78" t="n">
        <x:f>(IF(J1898&gt;0,K1898*(1-'Inputs'!$E$49)/2/J1898,0)+G1898+R1898)*'Inputs'!$B$17</x:f>
        <x:v>1324419.1533323794</x:v>
      </x:c>
      <x:c r="AC1898" s="78" t="n">
        <x:f>AC1897+AB1898</x:f>
        <x:v>27237262.30418055</x:v>
      </x:c>
      <x:c r="AD1898" s="80" t="n">
        <x:f>Z1898/(1+'Inputs'!$C$49)</x:f>
        <x:v>0.6190032929170378</x:v>
      </x:c>
      <x:c r="AE1898" s="80" t="n">
        <x:f>Z1898-AD1898</x:f>
        <x:v>1.8570098787511133</x:v>
      </x:c>
      <x:c r="AF1898" s="80" t="n">
        <x:f>D1898*W1898</x:f>
        <x:v>0.17434557138242954</x:v>
      </x:c>
      <x:c r="AG1898" s="80" t="n">
        <x:f>C1898*W1898</x:f>
        <x:v>0.4068063332256704</x:v>
      </x:c>
      <x:c r="AH1898" s="80" t="n">
        <x:f>2*'Inputs'!$B$8*'Inputs'!$C$49</x:f>
        <x:v>15000</x:v>
      </x:c>
      <x:c r="AI1898" s="81" t="n">
        <x:f>IF(AH1898&gt;0,(AE1898+AF1898)/AH1898*365,0)</x:f>
        <x:v>0.049429649286582875</x:v>
      </x:c>
      <x:c r="AJ1898" s="81" t="n">
        <x:f>IF('Inputs'!$B$49&gt;0,AG1898/('Inputs'!$B$19*'Inputs'!$B$49)*365,0)</x:f>
        <x:v>0.01484843116273697</x:v>
      </x:c>
      <x:c r="AK1898" s="81" t="n">
        <x:f>W1898/MAX($W$1829:W1898)-1</x:f>
        <x:v>-0.99923978358242</x:v>
      </x:c>
      <x:c r="AL1898" s="83" t="n">
        <x:f>'Inputs'!$B$49</x:f>
        <x:v>1</x:v>
      </x:c>
      <x:c r="AM1898" s="83" t="n">
        <x:f>'Inputs'!$C$49</x:f>
        <x:v>3</x:v>
      </x:c>
      <x:c r="AN1898" s="83" t="n">
        <x:f>'Inputs'!$D$49</x:f>
        <x:v>0.75</x:v>
      </x:c>
      <x:c r="AO1898" s="81" t="n">
        <x:f>'Inputs'!$E$49</x:f>
        <x:v>-0.03</x:v>
      </x:c>
    </x:row>
    <x:row r="1899">
      <x:c r="A1899" s="59" t="str">
        <x:v>Mercenary LP</x:v>
      </x:c>
      <x:c r="B1899" s="59" t="n">
        <x:v>71</x:v>
      </x:c>
      <x:c r="C1899" s="78" t="n">
        <x:f>(('Inputs'!$B$29*(3*71*'Inputs'!$B$12-71^2)/(2*'Inputs'!$B$12^2))-('Inputs'!$B$29*(3*70*'Inputs'!$B$12-70^2)/(2*'Inputs'!$B$12^2)))*'Inputs'!$B$49</x:f>
        <x:v>689066.1944079548</x:v>
      </x:c>
      <x:c r="D1899" s="78" t="n">
        <x:f>IF('Inputs'!$C$49&gt;0,('Inputs'!$B$30*(3*71*'Inputs'!$B$12-71^2)/(2*'Inputs'!$B$12^2))-('Inputs'!$B$30*(3*70*'Inputs'!$B$12-70^2)/(2*'Inputs'!$B$12^2)),0)</x:f>
        <x:v>295314.08331769705</x:v>
      </x:c>
      <x:c r="E1899" s="78" t="n">
        <x:f>C1899+D1899</x:f>
        <x:v>984380.2777256519</x:v>
      </x:c>
      <x:c r="F1899" s="78" t="n">
        <x:f>'Inputs'!$B$13*E1899+(1-'Inputs'!$B$13)/'Inputs'!$B$14*SUM(E1844:E1899)</x:f>
        <x:v>994597.9545881028</x:v>
      </x:c>
      <x:c r="G1899" s="78" t="n">
        <x:f>F1899*'Inputs'!$F$49</x:f>
        <x:v>895138.1591292925</x:v>
      </x:c>
      <x:c r="H1899" s="78" t="n">
        <x:f>U1898</x:f>
        <x:v>444818403.9765587</x:v>
      </x:c>
      <x:c r="I1899" s="78" t="n">
        <x:f>V1898</x:f>
        <x:v>262.48509847331957</x:v>
      </x:c>
      <x:c r="J1899" s="79" t="n">
        <x:f>IF(H1899&gt;0,I1899/H1899,0)</x:f>
        <x:v>5.900949603855693e-7</x:v>
      </x:c>
      <x:c r="K1899" s="80" t="n">
        <x:f>(H1899*J1899+I1899)*'Inputs'!$D$49*(1+'Inputs'!$G$49)^(B1899/30)</x:f>
        <x:v>393.72764770997935</x:v>
      </x:c>
      <x:c r="L1899" s="80" t="n">
        <x:f>MAX(0,K1899*'Inputs'!$E$49)</x:f>
        <x:v>0</x:v>
      </x:c>
      <x:c r="M1899" s="80" t="n">
        <x:f>MAX(0,-K1899*'Inputs'!$E$49)</x:f>
        <x:v>11.81182943129938</x:v>
      </x:c>
      <x:c r="N1899" s="78" t="n">
        <x:f>H1899*(L1899*(1-'Inputs'!$B$15))/(I1899+L1899*(1-'Inputs'!$B$15))</x:f>
        <x:v>0</x:v>
      </x:c>
      <x:c r="O1899" s="78" t="n">
        <x:f>H1899-N1899</x:f>
        <x:v>444818403.9765587</x:v>
      </x:c>
      <x:c r="P1899" s="78" t="n">
        <x:f>I1899+L1899*(1-'Inputs'!$B$17)</x:f>
        <x:v>262.48509847331957</x:v>
      </x:c>
      <x:c r="Q1899" s="78" t="n">
        <x:f>IF(J1899&gt;0,M1899/J1899,0)</x:f>
        <x:v>20016828.17894514</x:v>
      </x:c>
      <x:c r="R1899" s="78" t="n">
        <x:f>IF(B1899='Inputs'!$H$49,'Inputs'!$B$27*'Inputs'!$I$49,0)</x:f>
        <x:v>0</x:v>
      </x:c>
      <x:c r="S1899" s="78" t="n">
        <x:f>Q1899+G1899+R1899</x:f>
        <x:v>20911966.33807443</x:v>
      </x:c>
      <x:c r="T1899" s="78" t="n">
        <x:f>P1899*(S1899*(1-'Inputs'!$B$15))/(O1899+S1899*(1-'Inputs'!$B$15))</x:f>
        <x:v>11.673341959110818</x:v>
      </x:c>
      <x:c r="U1899" s="78" t="n">
        <x:f>O1899+S1899*(1-'Inputs'!$B$17)</x:f>
        <x:v>465646217.53258854</x:v>
      </x:c>
      <x:c r="V1899" s="78" t="n">
        <x:f>P1899-T1899</x:f>
        <x:v>250.81175651420875</x:v>
      </x:c>
      <x:c r="W1899" s="79" t="n">
        <x:f>IF(U1899&gt;0,V1899/U1899,0)</x:f>
        <x:v>5.386315770870737e-7</x:v>
      </x:c>
      <x:c r="X1899" s="80" t="n">
        <x:f>W1899*('Inputs'!$B$6-AC1899)</x:f>
        <x:v>523.2139753177978</x:v>
      </x:c>
      <x:c r="Y1899" s="80" t="n">
        <x:f>2*V1899</x:f>
        <x:v>501.6235130284175</x:v>
      </x:c>
      <x:c r="Z1899" s="80" t="n">
        <x:f>K1899*'Inputs'!$B$16+(G1899+R1899)*J1899*'Inputs'!$B$16</x:f>
        <x:v>2.365535185359182</x:v>
      </x:c>
      <x:c r="AA1899" s="80" t="n">
        <x:f>K1899*(1+'Inputs'!$E$49)/2*'Inputs'!$B$17</x:f>
        <x:v>0.7684422902991549</x:v>
      </x:c>
      <x:c r="AB1899" s="78" t="n">
        <x:f>(IF(J1899&gt;0,K1899*(1-'Inputs'!$E$49)/2/J1899,0)+G1899+R1899)*'Inputs'!$B$17</x:f>
        <x:v>1386387.747408535</x:v>
      </x:c>
      <x:c r="AC1899" s="78" t="n">
        <x:f>AC1898+AB1899</x:f>
        <x:v>28623650.051589087</x:v>
      </x:c>
      <x:c r="AD1899" s="80" t="n">
        <x:f>Z1899/(1+'Inputs'!$C$49)</x:f>
        <x:v>0.5913837963397955</x:v>
      </x:c>
      <x:c r="AE1899" s="80" t="n">
        <x:f>Z1899-AD1899</x:f>
        <x:v>1.7741513890193867</x:v>
      </x:c>
      <x:c r="AF1899" s="80" t="n">
        <x:f>D1899*W1899</x:f>
        <x:v>0.15906549043343465</x:v>
      </x:c>
      <x:c r="AG1899" s="80" t="n">
        <x:f>C1899*W1899</x:f>
        <x:v>0.37115281101134484</x:v>
      </x:c>
      <x:c r="AH1899" s="80" t="n">
        <x:f>2*'Inputs'!$B$8*'Inputs'!$C$49</x:f>
        <x:v>15000</x:v>
      </x:c>
      <x:c r="AI1899" s="81" t="n">
        <x:f>IF(AH1899&gt;0,(AE1899+AF1899)/AH1899*365,0)</x:f>
        <x:v>0.047041610733351995</x:v>
      </x:c>
      <x:c r="AJ1899" s="81" t="n">
        <x:f>IF('Inputs'!$B$49&gt;0,AG1899/('Inputs'!$B$19*'Inputs'!$B$49)*365,0)</x:f>
        <x:v>0.013547077601914086</x:v>
      </x:c>
      <x:c r="AK1899" s="81" t="n">
        <x:f>W1899/MAX($W$1829:W1899)-1</x:f>
        <x:v>-0.9993060836044744</x:v>
      </x:c>
      <x:c r="AL1899" s="83" t="n">
        <x:f>'Inputs'!$B$49</x:f>
        <x:v>1</x:v>
      </x:c>
      <x:c r="AM1899" s="83" t="n">
        <x:f>'Inputs'!$C$49</x:f>
        <x:v>3</x:v>
      </x:c>
      <x:c r="AN1899" s="83" t="n">
        <x:f>'Inputs'!$D$49</x:f>
        <x:v>0.75</x:v>
      </x:c>
      <x:c r="AO1899" s="81" t="n">
        <x:f>'Inputs'!$E$49</x:f>
        <x:v>-0.03</x:v>
      </x:c>
    </x:row>
    <x:row r="1900">
      <x:c r="A1900" s="59" t="str">
        <x:v>Mercenary LP</x:v>
      </x:c>
      <x:c r="B1900" s="59" t="n">
        <x:v>72</x:v>
      </x:c>
      <x:c r="C1900" s="78" t="n">
        <x:f>(('Inputs'!$B$29*(3*72*'Inputs'!$B$12-72^2)/(2*'Inputs'!$B$12^2))-('Inputs'!$B$29*(3*71*'Inputs'!$B$12-71^2)/(2*'Inputs'!$B$12^2)))*'Inputs'!$B$49</x:f>
        <x:v>688741.0865077898</x:v>
      </x:c>
      <x:c r="D1900" s="78" t="n">
        <x:f>IF('Inputs'!$C$49&gt;0,('Inputs'!$B$30*(3*72*'Inputs'!$B$12-72^2)/(2*'Inputs'!$B$12^2))-('Inputs'!$B$30*(3*71*'Inputs'!$B$12-71^2)/(2*'Inputs'!$B$12^2)),0)</x:f>
        <x:v>295174.75136047974</x:v>
      </x:c>
      <x:c r="E1900" s="78" t="n">
        <x:f>C1900+D1900</x:f>
        <x:v>983915.8378682695</x:v>
      </x:c>
      <x:c r="F1900" s="78" t="n">
        <x:f>'Inputs'!$B$13*E1900+(1-'Inputs'!$B$13)/'Inputs'!$B$14*SUM(E1845:E1900)</x:f>
        <x:v>994133.5147307189</x:v>
      </x:c>
      <x:c r="G1900" s="78" t="n">
        <x:f>F1900*'Inputs'!$F$49</x:f>
        <x:v>894720.1632576471</x:v>
      </x:c>
      <x:c r="H1900" s="78" t="n">
        <x:f>U1899</x:f>
        <x:v>465646217.53258854</x:v>
      </x:c>
      <x:c r="I1900" s="78" t="n">
        <x:f>V1899</x:f>
        <x:v>250.81175651420875</x:v>
      </x:c>
      <x:c r="J1900" s="79" t="n">
        <x:f>IF(H1900&gt;0,I1900/H1900,0)</x:f>
        <x:v>5.386315770870737e-7</x:v>
      </x:c>
      <x:c r="K1900" s="80" t="n">
        <x:f>(H1900*J1900+I1900)*'Inputs'!$D$49*(1+'Inputs'!$G$49)^(B1900/30)</x:f>
        <x:v>376.2176347713131</x:v>
      </x:c>
      <x:c r="L1900" s="80" t="n">
        <x:f>MAX(0,K1900*'Inputs'!$E$49)</x:f>
        <x:v>0</x:v>
      </x:c>
      <x:c r="M1900" s="80" t="n">
        <x:f>MAX(0,-K1900*'Inputs'!$E$49)</x:f>
        <x:v>11.286529043139392</x:v>
      </x:c>
      <x:c r="N1900" s="78" t="n">
        <x:f>H1900*(L1900*(1-'Inputs'!$B$15))/(I1900+L1900*(1-'Inputs'!$B$15))</x:f>
        <x:v>0</x:v>
      </x:c>
      <x:c r="O1900" s="78" t="n">
        <x:f>H1900-N1900</x:f>
        <x:v>465646217.53258854</x:v>
      </x:c>
      <x:c r="P1900" s="78" t="n">
        <x:f>I1900+L1900*(1-'Inputs'!$B$17)</x:f>
        <x:v>250.81175651420875</x:v>
      </x:c>
      <x:c r="Q1900" s="78" t="n">
        <x:f>IF(J1900&gt;0,M1900/J1900,0)</x:f>
        <x:v>20954079.78896648</x:v>
      </x:c>
      <x:c r="R1900" s="78" t="n">
        <x:f>IF(B1900='Inputs'!$H$49,'Inputs'!$B$27*'Inputs'!$I$49,0)</x:f>
        <x:v>0</x:v>
      </x:c>
      <x:c r="S1900" s="78" t="n">
        <x:f>Q1900+G1900+R1900</x:f>
        <x:v>21848799.952224128</x:v>
      </x:c>
      <x:c r="T1900" s="78" t="n">
        <x:f>P1900*(S1900*(1-'Inputs'!$B$15))/(O1900+S1900*(1-'Inputs'!$B$15))</x:f>
        <x:v>11.133588848488166</x:v>
      </x:c>
      <x:c r="U1900" s="78" t="n">
        <x:f>O1900+S1900*(1-'Inputs'!$B$17)</x:f>
        <x:v>487407094.7485864</x:v>
      </x:c>
      <x:c r="V1900" s="78" t="n">
        <x:f>P1900-T1900</x:f>
        <x:v>239.6781676657206</x:v>
      </x:c>
      <x:c r="W1900" s="79" t="n">
        <x:f>IF(U1900&gt;0,V1900/U1900,0)</x:f>
        <x:v>4.91741236941475e-7</x:v>
      </x:c>
      <x:c r="X1900" s="80" t="n">
        <x:f>W1900*('Inputs'!$B$6-AC1900)</x:f>
        <x:v>476.95222617483194</x:v>
      </x:c>
      <x:c r="Y1900" s="80" t="n">
        <x:f>2*V1900</x:f>
        <x:v>479.3563353314412</x:v>
      </x:c>
      <x:c r="Z1900" s="80" t="n">
        <x:f>K1900*'Inputs'!$B$16+(G1900+R1900)*J1900*'Inputs'!$B$16</x:f>
        <x:v>2.2601973558234008</x:v>
      </x:c>
      <x:c r="AA1900" s="80" t="n">
        <x:f>K1900*(1+'Inputs'!$E$49)/2*'Inputs'!$B$17</x:f>
        <x:v>0.7342678183665468</x:v>
      </x:c>
      <x:c r="AB1900" s="78" t="n">
        <x:f>(IF(J1900&gt;0,K1900*(1-'Inputs'!$E$49)/2/J1900,0)+G1900+R1900)*'Inputs'!$B$17</x:f>
        <x:v>1451132.487755261</x:v>
      </x:c>
      <x:c r="AC1900" s="78" t="n">
        <x:f>AC1899+AB1900</x:f>
        <x:v>30074782.539344348</x:v>
      </x:c>
      <x:c r="AD1900" s="80" t="n">
        <x:f>Z1900/(1+'Inputs'!$C$49)</x:f>
        <x:v>0.5650493389558502</x:v>
      </x:c>
      <x:c r="AE1900" s="80" t="n">
        <x:f>Z1900-AD1900</x:f>
        <x:v>1.6951480168675506</x:v>
      </x:c>
      <x:c r="AF1900" s="80" t="n">
        <x:f>D1900*W1900</x:f>
        <x:v>0.14514959734789462</x:v>
      </x:c>
      <x:c r="AG1900" s="80" t="n">
        <x:f>C1900*W1900</x:f>
        <x:v>0.33868239381175597</x:v>
      </x:c>
      <x:c r="AH1900" s="80" t="n">
        <x:f>2*'Inputs'!$B$8*'Inputs'!$C$49</x:f>
        <x:v>15000</x:v>
      </x:c>
      <x:c r="AI1900" s="81" t="n">
        <x:f>IF(AH1900&gt;0,(AE1900+AF1900)/AH1900*365,0)</x:f>
        <x:v>0.04478057527924249</x:v>
      </x:c>
      <x:c r="AJ1900" s="81" t="n">
        <x:f>IF('Inputs'!$B$49&gt;0,AG1900/('Inputs'!$B$19*'Inputs'!$B$49)*365,0)</x:f>
        <x:v>0.012361907374129092</x:v>
      </x:c>
      <x:c r="AK1900" s="81" t="n">
        <x:f>W1900/MAX($W$1829:W1900)-1</x:f>
        <x:v>-0.999366492197663</x:v>
      </x:c>
      <x:c r="AL1900" s="83" t="n">
        <x:f>'Inputs'!$B$49</x:f>
        <x:v>1</x:v>
      </x:c>
      <x:c r="AM1900" s="83" t="n">
        <x:f>'Inputs'!$C$49</x:f>
        <x:v>3</x:v>
      </x:c>
      <x:c r="AN1900" s="83" t="n">
        <x:f>'Inputs'!$D$49</x:f>
        <x:v>0.75</x:v>
      </x:c>
      <x:c r="AO1900" s="81" t="n">
        <x:f>'Inputs'!$E$49</x:f>
        <x:v>-0.03</x:v>
      </x:c>
    </x:row>
    <x:row r="1901">
      <x:c r="A1901" s="59" t="str">
        <x:v>Mercenary LP</x:v>
      </x:c>
      <x:c r="B1901" s="59" t="n">
        <x:v>73</x:v>
      </x:c>
      <x:c r="C1901" s="78" t="n">
        <x:f>(('Inputs'!$B$29*(3*73*'Inputs'!$B$12-73^2)/(2*'Inputs'!$B$12^2))-('Inputs'!$B$29*(3*72*'Inputs'!$B$12-72^2)/(2*'Inputs'!$B$12^2)))*'Inputs'!$B$49</x:f>
        <x:v>688415.9786076173</x:v>
      </x:c>
      <x:c r="D1901" s="78" t="n">
        <x:f>IF('Inputs'!$C$49&gt;0,('Inputs'!$B$30*(3*73*'Inputs'!$B$12-73^2)/(2*'Inputs'!$B$12^2))-('Inputs'!$B$30*(3*72*'Inputs'!$B$12-72^2)/(2*'Inputs'!$B$12^2)),0)</x:f>
        <x:v>295035.41940326616</x:v>
      </x:c>
      <x:c r="E1901" s="78" t="n">
        <x:f>C1901+D1901</x:f>
        <x:v>983451.3980108835</x:v>
      </x:c>
      <x:c r="F1901" s="78" t="n">
        <x:f>'Inputs'!$B$13*E1901+(1-'Inputs'!$B$13)/'Inputs'!$B$14*SUM(E1846:E1901)</x:f>
        <x:v>993669.0748733344</x:v>
      </x:c>
      <x:c r="G1901" s="78" t="n">
        <x:f>F1901*'Inputs'!$F$49</x:f>
        <x:v>894302.167386001</x:v>
      </x:c>
      <x:c r="H1901" s="78" t="n">
        <x:f>U1900</x:f>
        <x:v>487407094.7485864</x:v>
      </x:c>
      <x:c r="I1901" s="78" t="n">
        <x:f>V1900</x:f>
        <x:v>239.6781676657206</x:v>
      </x:c>
      <x:c r="J1901" s="79" t="n">
        <x:f>IF(H1901&gt;0,I1901/H1901,0)</x:f>
        <x:v>4.91741236941475e-7</x:v>
      </x:c>
      <x:c r="K1901" s="80" t="n">
        <x:f>(H1901*J1901+I1901)*'Inputs'!$D$49*(1+'Inputs'!$G$49)^(B1901/30)</x:f>
        <x:v>359.5172514985809</x:v>
      </x:c>
      <x:c r="L1901" s="80" t="n">
        <x:f>MAX(0,K1901*'Inputs'!$E$49)</x:f>
        <x:v>0</x:v>
      </x:c>
      <x:c r="M1901" s="80" t="n">
        <x:f>MAX(0,-K1901*'Inputs'!$E$49)</x:f>
        <x:v>10.785517544957425</x:v>
      </x:c>
      <x:c r="N1901" s="78" t="n">
        <x:f>H1901*(L1901*(1-'Inputs'!$B$15))/(I1901+L1901*(1-'Inputs'!$B$15))</x:f>
        <x:v>0</x:v>
      </x:c>
      <x:c r="O1901" s="78" t="n">
        <x:f>H1901-N1901</x:f>
        <x:v>487407094.7485864</x:v>
      </x:c>
      <x:c r="P1901" s="78" t="n">
        <x:f>I1901+L1901*(1-'Inputs'!$B$17)</x:f>
        <x:v>239.6781676657206</x:v>
      </x:c>
      <x:c r="Q1901" s="78" t="n">
        <x:f>IF(J1901&gt;0,M1901/J1901,0)</x:f>
        <x:v>21933319.26368639</x:v>
      </x:c>
      <x:c r="R1901" s="78" t="n">
        <x:f>IF(B1901='Inputs'!$H$49,'Inputs'!$B$27*'Inputs'!$I$49,0)</x:f>
        <x:v>0</x:v>
      </x:c>
      <x:c r="S1901" s="78" t="n">
        <x:f>Q1901+G1901+R1901</x:f>
        <x:v>22827621.43107239</x:v>
      </x:c>
      <x:c r="T1901" s="78" t="n">
        <x:f>P1901*(S1901*(1-'Inputs'!$B$15))/(O1901+S1901*(1-'Inputs'!$B$15))</x:f>
        <x:v>10.620590697573403</x:v>
      </x:c>
      <x:c r="U1901" s="78" t="n">
        <x:f>O1901+S1901*(1-'Inputs'!$B$17)</x:f>
        <x:v>510142854.5240006</x:v>
      </x:c>
      <x:c r="V1901" s="78" t="n">
        <x:f>P1901-T1901</x:f>
        <x:v>229.0575769681472</x:v>
      </x:c>
      <x:c r="W1901" s="79" t="n">
        <x:f>IF(U1901&gt;0,V1901/U1901,0)</x:f>
        <x:v>4.4900673397037807e-7</x:v>
      </x:c>
      <x:c r="X1901" s="80" t="n">
        <x:f>W1901*('Inputs'!$B$6-AC1901)</x:f>
        <x:v>434.8210126287068</x:v>
      </x:c>
      <x:c r="Y1901" s="80" t="n">
        <x:f>2*V1901</x:f>
        <x:v>458.1151539362944</x:v>
      </x:c>
      <x:c r="Z1901" s="80" t="n">
        <x:f>K1901*'Inputs'!$B$16+(G1901+R1901)*J1901*'Inputs'!$B$16</x:f>
        <x:v>2.159742100515424</x:v>
      </x:c>
      <x:c r="AA1901" s="80" t="n">
        <x:f>K1901*(1+'Inputs'!$E$49)/2*'Inputs'!$B$17</x:f>
        <x:v>0.7016735089610131</x:v>
      </x:c>
      <x:c r="AB1901" s="78" t="n">
        <x:f>(IF(J1901&gt;0,K1901*(1-'Inputs'!$E$49)/2/J1901,0)+G1901+R1901)*'Inputs'!$B$17</x:f>
        <x:v>1518777.7982320685</x:v>
      </x:c>
      <x:c r="AC1901" s="78" t="n">
        <x:f>AC1900+AB1901</x:f>
        <x:v>31593560.337576415</x:v>
      </x:c>
      <x:c r="AD1901" s="80" t="n">
        <x:f>Z1901/(1+'Inputs'!$C$49)</x:f>
        <x:v>0.539935525128856</x:v>
      </x:c>
      <x:c r="AE1901" s="80" t="n">
        <x:f>Z1901-AD1901</x:f>
        <x:v>1.619806575386568</x:v>
      </x:c>
      <x:c r="AF1901" s="80" t="n">
        <x:f>D1901*W1901</x:f>
        <x:v>0.13247289007184124</x:v>
      </x:c>
      <x:c r="AG1901" s="80" t="n">
        <x:f>C1901*W1901</x:f>
        <x:v>0.30910341016762793</x:v>
      </x:c>
      <x:c r="AH1901" s="80" t="n">
        <x:f>2*'Inputs'!$B$8*'Inputs'!$C$49</x:f>
        <x:v>15000</x:v>
      </x:c>
      <x:c r="AI1901" s="81" t="n">
        <x:f>IF(AH1901&gt;0,(AE1901+AF1901)/AH1901*365,0)</x:f>
        <x:v>0.04263880032615462</x:v>
      </x:c>
      <x:c r="AJ1901" s="81" t="n">
        <x:f>IF('Inputs'!$B$49&gt;0,AG1901/('Inputs'!$B$19*'Inputs'!$B$49)*365,0)</x:f>
        <x:v>0.01128227447111842</x:v>
      </x:c>
      <x:c r="AK1901" s="81" t="n">
        <x:f>W1901/MAX($W$1829:W1901)-1</x:f>
        <x:v>-0.9994215468463835</x:v>
      </x:c>
      <x:c r="AL1901" s="83" t="n">
        <x:f>'Inputs'!$B$49</x:f>
        <x:v>1</x:v>
      </x:c>
      <x:c r="AM1901" s="83" t="n">
        <x:f>'Inputs'!$C$49</x:f>
        <x:v>3</x:v>
      </x:c>
      <x:c r="AN1901" s="83" t="n">
        <x:f>'Inputs'!$D$49</x:f>
        <x:v>0.75</x:v>
      </x:c>
      <x:c r="AO1901" s="81" t="n">
        <x:f>'Inputs'!$E$49</x:f>
        <x:v>-0.03</x:v>
      </x:c>
    </x:row>
    <x:row r="1902">
      <x:c r="A1902" s="59" t="str">
        <x:v>Mercenary LP</x:v>
      </x:c>
      <x:c r="B1902" s="59" t="n">
        <x:v>74</x:v>
      </x:c>
      <x:c r="C1902" s="78" t="n">
        <x:f>(('Inputs'!$B$29*(3*74*'Inputs'!$B$12-74^2)/(2*'Inputs'!$B$12^2))-('Inputs'!$B$29*(3*73*'Inputs'!$B$12-73^2)/(2*'Inputs'!$B$12^2)))*'Inputs'!$B$49</x:f>
        <x:v>688090.8707074523</x:v>
      </x:c>
      <x:c r="D1902" s="78" t="n">
        <x:f>IF('Inputs'!$C$49&gt;0,('Inputs'!$B$30*(3*74*'Inputs'!$B$12-74^2)/(2*'Inputs'!$B$12^2))-('Inputs'!$B$30*(3*73*'Inputs'!$B$12-73^2)/(2*'Inputs'!$B$12^2)),0)</x:f>
        <x:v>294896.08744604886</x:v>
      </x:c>
      <x:c r="E1902" s="78" t="n">
        <x:f>C1902+D1902</x:f>
        <x:v>982986.9581535012</x:v>
      </x:c>
      <x:c r="F1902" s="78" t="n">
        <x:f>'Inputs'!$B$13*E1902+(1-'Inputs'!$B$13)/'Inputs'!$B$14*SUM(E1847:E1902)</x:f>
        <x:v>993204.6350159508</x:v>
      </x:c>
      <x:c r="G1902" s="78" t="n">
        <x:f>F1902*'Inputs'!$F$49</x:f>
        <x:v>893884.1715143557</x:v>
      </x:c>
      <x:c r="H1902" s="78" t="n">
        <x:f>U1901</x:f>
        <x:v>510142854.5240006</x:v>
      </x:c>
      <x:c r="I1902" s="78" t="n">
        <x:f>V1901</x:f>
        <x:v>229.0575769681472</x:v>
      </x:c>
      <x:c r="J1902" s="79" t="n">
        <x:f>IF(H1902&gt;0,I1902/H1902,0)</x:f>
        <x:v>4.4900673397037807e-7</x:v>
      </x:c>
      <x:c r="K1902" s="80" t="n">
        <x:f>(H1902*J1902+I1902)*'Inputs'!$D$49*(1+'Inputs'!$G$49)^(B1902/30)</x:f>
        <x:v>343.5863654522208</x:v>
      </x:c>
      <x:c r="L1902" s="80" t="n">
        <x:f>MAX(0,K1902*'Inputs'!$E$49)</x:f>
        <x:v>0</x:v>
      </x:c>
      <x:c r="M1902" s="80" t="n">
        <x:f>MAX(0,-K1902*'Inputs'!$E$49)</x:f>
        <x:v>10.307590963566623</x:v>
      </x:c>
      <x:c r="N1902" s="78" t="n">
        <x:f>H1902*(L1902*(1-'Inputs'!$B$15))/(I1902+L1902*(1-'Inputs'!$B$15))</x:f>
        <x:v>0</x:v>
      </x:c>
      <x:c r="O1902" s="78" t="n">
        <x:f>H1902-N1902</x:f>
        <x:v>510142854.5240006</x:v>
      </x:c>
      <x:c r="P1902" s="78" t="n">
        <x:f>I1902+L1902*(1-'Inputs'!$B$17)</x:f>
        <x:v>229.0575769681472</x:v>
      </x:c>
      <x:c r="Q1902" s="78" t="n">
        <x:f>IF(J1902&gt;0,M1902/J1902,0)</x:f>
        <x:v>22956428.45358002</x:v>
      </x:c>
      <x:c r="R1902" s="78" t="n">
        <x:f>IF(B1902='Inputs'!$H$49,'Inputs'!$B$27*'Inputs'!$I$49,0)</x:f>
        <x:v>0</x:v>
      </x:c>
      <x:c r="S1902" s="78" t="n">
        <x:f>Q1902+G1902+R1902</x:f>
        <x:v>23850312.625094377</x:v>
      </x:c>
      <x:c r="T1902" s="78" t="n">
        <x:f>P1902*(S1902*(1-'Inputs'!$B$15))/(O1902+S1902*(1-'Inputs'!$B$15))</x:f>
        <x:v>10.13286484632401</x:v>
      </x:c>
      <x:c r="U1902" s="78" t="n">
        <x:f>O1902+S1902*(1-'Inputs'!$B$17)</x:f>
        <x:v>533897190.0359155</x:v>
      </x:c>
      <x:c r="V1902" s="78" t="n">
        <x:f>P1902-T1902</x:f>
        <x:v>218.9247121218232</x:v>
      </x:c>
      <x:c r="W1902" s="79" t="n">
        <x:f>IF(U1902&gt;0,V1902/U1902,0)</x:f>
        <x:v>4.1005031719139793e-7</x:v>
      </x:c>
      <x:c r="X1902" s="80" t="n">
        <x:f>W1902*('Inputs'!$B$6-AC1902)</x:f>
        <x:v>396.44361176843546</x:v>
      </x:c>
      <x:c r="Y1902" s="80" t="n">
        <x:f>2*V1902</x:f>
        <x:v>437.8494242436464</x:v>
      </x:c>
      <x:c r="Z1902" s="80" t="n">
        <x:f>K1902*'Inputs'!$B$16+(G1902+R1902)*J1902*'Inputs'!$B$16</x:f>
        <x:v>2.0639263527877216</x:v>
      </x:c>
      <x:c r="AA1902" s="80" t="n">
        <x:f>K1902*(1+'Inputs'!$E$49)/2*'Inputs'!$B$17</x:f>
        <x:v>0.670581035188439</x:v>
      </x:c>
      <x:c r="AB1902" s="78" t="n">
        <x:f>(IF(J1902&gt;0,K1902*(1-'Inputs'!$E$49)/2/J1902,0)+G1902+R1902)*'Inputs'!$B$17</x:f>
        <x:v>1589453.6792406628</x:v>
      </x:c>
      <x:c r="AC1902" s="78" t="n">
        <x:f>AC1901+AB1902</x:f>
        <x:v>33183014.016817078</x:v>
      </x:c>
      <x:c r="AD1902" s="80" t="n">
        <x:f>Z1902/(1+'Inputs'!$C$49)</x:f>
        <x:v>0.5159815881969304</x:v>
      </x:c>
      <x:c r="AE1902" s="80" t="n">
        <x:f>Z1902-AD1902</x:f>
        <x:v>1.5479447645907913</x:v>
      </x:c>
      <x:c r="AF1902" s="80" t="n">
        <x:f>D1902*W1902</x:f>
        <x:v>0.12092223419575455</x:v>
      </x:c>
      <x:c r="AG1902" s="80" t="n">
        <x:f>C1902*W1902</x:f>
        <x:v>0.282151879790096</x:v>
      </x:c>
      <x:c r="AH1902" s="80" t="n">
        <x:f>2*'Inputs'!$B$8*'Inputs'!$C$49</x:f>
        <x:v>15000</x:v>
      </x:c>
      <x:c r="AI1902" s="81" t="n">
        <x:f>IF(AH1902&gt;0,(AE1902+AF1902)/AH1902*365,0)</x:f>
        <x:v>0.040609096970472616</x:v>
      </x:c>
      <x:c r="AJ1902" s="81" t="n">
        <x:f>IF('Inputs'!$B$49&gt;0,AG1902/('Inputs'!$B$19*'Inputs'!$B$49)*365,0)</x:f>
        <x:v>0.010298543612338503</x:v>
      </x:c>
      <x:c r="AK1902" s="81" t="n">
        <x:f>W1902/MAX($W$1829:W1902)-1</x:f>
        <x:v>-0.9994717342053572</x:v>
      </x:c>
      <x:c r="AL1902" s="83" t="n">
        <x:f>'Inputs'!$B$49</x:f>
        <x:v>1</x:v>
      </x:c>
      <x:c r="AM1902" s="83" t="n">
        <x:f>'Inputs'!$C$49</x:f>
        <x:v>3</x:v>
      </x:c>
      <x:c r="AN1902" s="83" t="n">
        <x:f>'Inputs'!$D$49</x:f>
        <x:v>0.75</x:v>
      </x:c>
      <x:c r="AO1902" s="81" t="n">
        <x:f>'Inputs'!$E$49</x:f>
        <x:v>-0.03</x:v>
      </x:c>
    </x:row>
    <x:row r="1903">
      <x:c r="A1903" s="59" t="str">
        <x:v>Mercenary LP</x:v>
      </x:c>
      <x:c r="B1903" s="59" t="n">
        <x:v>75</x:v>
      </x:c>
      <x:c r="C1903" s="78" t="n">
        <x:f>(('Inputs'!$B$29*(3*75*'Inputs'!$B$12-75^2)/(2*'Inputs'!$B$12^2))-('Inputs'!$B$29*(3*74*'Inputs'!$B$12-74^2)/(2*'Inputs'!$B$12^2)))*'Inputs'!$B$49</x:f>
        <x:v>687765.7628072798</x:v>
      </x:c>
      <x:c r="D1903" s="78" t="n">
        <x:f>IF('Inputs'!$C$49&gt;0,('Inputs'!$B$30*(3*75*'Inputs'!$B$12-75^2)/(2*'Inputs'!$B$12^2))-('Inputs'!$B$30*(3*74*'Inputs'!$B$12-74^2)/(2*'Inputs'!$B$12^2)),0)</x:f>
        <x:v>294756.7554888353</x:v>
      </x:c>
      <x:c r="E1903" s="78" t="n">
        <x:f>C1903+D1903</x:f>
        <x:v>982522.5182961151</x:v>
      </x:c>
      <x:c r="F1903" s="78" t="n">
        <x:f>'Inputs'!$B$13*E1903+(1-'Inputs'!$B$13)/'Inputs'!$B$14*SUM(E1848:E1903)</x:f>
        <x:v>992740.1951585663</x:v>
      </x:c>
      <x:c r="G1903" s="78" t="n">
        <x:f>F1903*'Inputs'!$F$49</x:f>
        <x:v>893466.1756427097</x:v>
      </x:c>
      <x:c r="H1903" s="78" t="n">
        <x:f>U1902</x:f>
        <x:v>533897190.0359155</x:v>
      </x:c>
      <x:c r="I1903" s="78" t="n">
        <x:f>V1902</x:f>
        <x:v>218.9247121218232</x:v>
      </x:c>
      <x:c r="J1903" s="79" t="n">
        <x:f>IF(H1903&gt;0,I1903/H1903,0)</x:f>
        <x:v>4.1005031719139793e-7</x:v>
      </x:c>
      <x:c r="K1903" s="80" t="n">
        <x:f>(H1903*J1903+I1903)*'Inputs'!$D$49*(1+'Inputs'!$G$49)^(B1903/30)</x:f>
        <x:v>328.3870681827348</x:v>
      </x:c>
      <x:c r="L1903" s="80" t="n">
        <x:f>MAX(0,K1903*'Inputs'!$E$49)</x:f>
        <x:v>0</x:v>
      </x:c>
      <x:c r="M1903" s="80" t="n">
        <x:f>MAX(0,-K1903*'Inputs'!$E$49)</x:f>
        <x:v>9.851612045482044</x:v>
      </x:c>
      <x:c r="N1903" s="78" t="n">
        <x:f>H1903*(L1903*(1-'Inputs'!$B$15))/(I1903+L1903*(1-'Inputs'!$B$15))</x:f>
        <x:v>0</x:v>
      </x:c>
      <x:c r="O1903" s="78" t="n">
        <x:f>H1903-N1903</x:f>
        <x:v>533897190.0359155</x:v>
      </x:c>
      <x:c r="P1903" s="78" t="n">
        <x:f>I1903+L1903*(1-'Inputs'!$B$17)</x:f>
        <x:v>218.9247121218232</x:v>
      </x:c>
      <x:c r="Q1903" s="78" t="n">
        <x:f>IF(J1903&gt;0,M1903/J1903,0)</x:f>
        <x:v>24025373.551616196</x:v>
      </x:c>
      <x:c r="R1903" s="78" t="n">
        <x:f>IF(B1903='Inputs'!$H$49,'Inputs'!$B$27*'Inputs'!$I$49,0)</x:f>
        <x:v>0</x:v>
      </x:c>
      <x:c r="S1903" s="78" t="n">
        <x:f>Q1903+G1903+R1903</x:f>
        <x:v>24918839.727258906</x:v>
      </x:c>
      <x:c r="T1903" s="78" t="n">
        <x:f>P1903*(S1903*(1-'Inputs'!$B$15))/(O1903+S1903*(1-'Inputs'!$B$15))</x:f>
        <x:v>9.669024216253277</x:v>
      </x:c>
      <x:c r="U1903" s="78" t="n">
        <x:f>O1903+S1903*(1-'Inputs'!$B$17)</x:f>
        <x:v>558715752.7421391</x:v>
      </x:c>
      <x:c r="V1903" s="78" t="n">
        <x:f>P1903-T1903</x:f>
        <x:v>209.2556879055699</x:v>
      </x:c>
      <x:c r="W1903" s="79" t="n">
        <x:f>IF(U1903&gt;0,V1903/U1903,0)</x:f>
        <x:v>3.74529779907864e-7</x:v>
      </x:c>
      <x:c r="X1903" s="80" t="n">
        <x:f>W1903*('Inputs'!$B$6-AC1903)</x:f>
        <x:v>361.4787991025221</x:v>
      </x:c>
      <x:c r="Y1903" s="80" t="n">
        <x:f>2*V1903</x:f>
        <x:v>418.5113758111398</x:v>
      </x:c>
      <x:c r="Z1903" s="80" t="n">
        <x:f>K1903*'Inputs'!$B$16+(G1903+R1903)*J1903*'Inputs'!$B$16</x:f>
        <x:v>1.9725206056287414</x:v>
      </x:c>
      <x:c r="AA1903" s="80" t="n">
        <x:f>K1903*(1+'Inputs'!$E$49)/2*'Inputs'!$B$17</x:f>
        <x:v>0.6409164107389392</x:v>
      </x:c>
      <x:c r="AB1903" s="78" t="n">
        <x:f>(IF(J1903&gt;0,K1903*(1-'Inputs'!$E$49)/2/J1903,0)+G1903+R1903)*'Inputs'!$B$17</x:f>
        <x:v>1663295.9576595072</x:v>
      </x:c>
      <x:c r="AC1903" s="78" t="n">
        <x:f>AC1902+AB1903</x:f>
        <x:v>34846309.97447658</x:v>
      </x:c>
      <x:c r="AD1903" s="80" t="n">
        <x:f>Z1903/(1+'Inputs'!$C$49)</x:f>
        <x:v>0.49313015140718536</x:v>
      </x:c>
      <x:c r="AE1903" s="80" t="n">
        <x:f>Z1903-AD1903</x:f>
        <x:v>1.4793904542215561</x:v>
      </x:c>
      <x:c r="AF1903" s="80" t="n">
        <x:f>D1903*W1903</x:f>
        <x:v>0.11039518275958955</x:v>
      </x:c>
      <x:c r="AG1903" s="80" t="n">
        <x:f>C1903*W1903</x:f>
        <x:v>0.2575887597723747</x:v>
      </x:c>
      <x:c r="AH1903" s="80" t="n">
        <x:f>2*'Inputs'!$B$8*'Inputs'!$C$49</x:f>
        <x:v>15000</x:v>
      </x:c>
      <x:c r="AI1903" s="81" t="n">
        <x:f>IF(AH1903&gt;0,(AE1903+AF1903)/AH1903*365,0)</x:f>
        <x:v>0.03868478383320788</x:v>
      </x:c>
      <x:c r="AJ1903" s="81" t="n">
        <x:f>IF('Inputs'!$B$49&gt;0,AG1903/('Inputs'!$B$19*'Inputs'!$B$49)*365,0)</x:f>
        <x:v>0.009401989731691677</x:v>
      </x:c>
      <x:c r="AK1903" s="81" t="n">
        <x:f>W1903/MAX($W$1829:W1903)-1</x:f>
        <x:v>-0.9995174951377783</x:v>
      </x:c>
      <x:c r="AL1903" s="83" t="n">
        <x:f>'Inputs'!$B$49</x:f>
        <x:v>1</x:v>
      </x:c>
      <x:c r="AM1903" s="83" t="n">
        <x:f>'Inputs'!$C$49</x:f>
        <x:v>3</x:v>
      </x:c>
      <x:c r="AN1903" s="83" t="n">
        <x:f>'Inputs'!$D$49</x:f>
        <x:v>0.75</x:v>
      </x:c>
      <x:c r="AO1903" s="81" t="n">
        <x:f>'Inputs'!$E$49</x:f>
        <x:v>-0.03</x:v>
      </x:c>
    </x:row>
    <x:row r="1904">
      <x:c r="A1904" s="59" t="str">
        <x:v>Mercenary LP</x:v>
      </x:c>
      <x:c r="B1904" s="59" t="n">
        <x:v>76</x:v>
      </x:c>
      <x:c r="C1904" s="78" t="n">
        <x:f>(('Inputs'!$B$29*(3*76*'Inputs'!$B$12-76^2)/(2*'Inputs'!$B$12^2))-('Inputs'!$B$29*(3*75*'Inputs'!$B$12-75^2)/(2*'Inputs'!$B$12^2)))*'Inputs'!$B$49</x:f>
        <x:v>687440.6549071074</x:v>
      </x:c>
      <x:c r="D1904" s="78" t="n">
        <x:f>IF('Inputs'!$C$49&gt;0,('Inputs'!$B$30*(3*76*'Inputs'!$B$12-76^2)/(2*'Inputs'!$B$12^2))-('Inputs'!$B$30*(3*75*'Inputs'!$B$12-75^2)/(2*'Inputs'!$B$12^2)),0)</x:f>
        <x:v>294617.4235316217</x:v>
      </x:c>
      <x:c r="E1904" s="78" t="n">
        <x:f>C1904+D1904</x:f>
        <x:v>982058.078438729</x:v>
      </x:c>
      <x:c r="F1904" s="78" t="n">
        <x:f>'Inputs'!$B$13*E1904+(1-'Inputs'!$B$13)/'Inputs'!$B$14*SUM(E1849:E1904)</x:f>
        <x:v>992275.7553011818</x:v>
      </x:c>
      <x:c r="G1904" s="78" t="n">
        <x:f>F1904*'Inputs'!$F$49</x:f>
        <x:v>893048.1797710636</x:v>
      </x:c>
      <x:c r="H1904" s="78" t="n">
        <x:f>U1903</x:f>
        <x:v>558715752.7421391</x:v>
      </x:c>
      <x:c r="I1904" s="78" t="n">
        <x:f>V1903</x:f>
        <x:v>209.2556879055699</x:v>
      </x:c>
      <x:c r="J1904" s="79" t="n">
        <x:f>IF(H1904&gt;0,I1904/H1904,0)</x:f>
        <x:v>3.74529779907864e-7</x:v>
      </x:c>
      <x:c r="K1904" s="80" t="n">
        <x:f>(H1904*J1904+I1904)*'Inputs'!$D$49*(1+'Inputs'!$G$49)^(B1904/30)</x:f>
        <x:v>313.8835318583549</x:v>
      </x:c>
      <x:c r="L1904" s="80" t="n">
        <x:f>MAX(0,K1904*'Inputs'!$E$49)</x:f>
        <x:v>0</x:v>
      </x:c>
      <x:c r="M1904" s="80" t="n">
        <x:f>MAX(0,-K1904*'Inputs'!$E$49)</x:f>
        <x:v>9.416505955750647</x:v>
      </x:c>
      <x:c r="N1904" s="78" t="n">
        <x:f>H1904*(L1904*(1-'Inputs'!$B$15))/(I1904+L1904*(1-'Inputs'!$B$15))</x:f>
        <x:v>0</x:v>
      </x:c>
      <x:c r="O1904" s="78" t="n">
        <x:f>H1904-N1904</x:f>
        <x:v>558715752.7421391</x:v>
      </x:c>
      <x:c r="P1904" s="78" t="n">
        <x:f>I1904+L1904*(1-'Inputs'!$B$17)</x:f>
        <x:v>209.2556879055699</x:v>
      </x:c>
      <x:c r="Q1904" s="78" t="n">
        <x:f>IF(J1904&gt;0,M1904/J1904,0)</x:f>
        <x:v>25142208.873396263</x:v>
      </x:c>
      <x:c r="R1904" s="78" t="n">
        <x:f>IF(B1904='Inputs'!$H$49,'Inputs'!$B$27*'Inputs'!$I$49,0)</x:f>
        <x:v>0</x:v>
      </x:c>
      <x:c r="S1904" s="78" t="n">
        <x:f>Q1904+G1904+R1904</x:f>
        <x:v>26035257.053167325</x:v>
      </x:c>
      <x:c r="T1904" s="78" t="n">
        <x:f>P1904*(S1904*(1-'Inputs'!$B$15))/(O1904+S1904*(1-'Inputs'!$B$15))</x:f>
        <x:v>9.227770027708264</x:v>
      </x:c>
      <x:c r="U1904" s="78" t="n">
        <x:f>O1904+S1904*(1-'Inputs'!$B$17)</x:f>
        <x:v>584646240.1492172</x:v>
      </x:c>
      <x:c r="V1904" s="78" t="n">
        <x:f>P1904-T1904</x:f>
        <x:v>200.02791787786165</x:v>
      </x:c>
      <x:c r="W1904" s="79" t="n">
        <x:f>IF(U1904&gt;0,V1904/U1904,0)</x:f>
        <x:v>3.4213495981229475e-7</x:v>
      </x:c>
      <x:c r="X1904" s="80" t="n">
        <x:f>W1904*('Inputs'!$B$6-AC1904)</x:f>
        <x:v>329.61735133982177</x:v>
      </x:c>
      <x:c r="Y1904" s="80" t="n">
        <x:f>2*V1904</x:f>
        <x:v>400.0558357557233</x:v>
      </x:c>
      <x:c r="Z1904" s="80" t="n">
        <x:f>K1904*'Inputs'!$B$16+(G1904+R1904)*J1904*'Inputs'!$B$16</x:f>
        <x:v>1.88530802997943</x:v>
      </x:c>
      <x:c r="AA1904" s="80" t="n">
        <x:f>K1904*(1+'Inputs'!$E$49)/2*'Inputs'!$B$17</x:f>
        <x:v>0.6126097100656022</x:v>
      </x:c>
      <x:c r="AB1904" s="78" t="n">
        <x:f>(IF(J1904&gt;0,K1904*(1-'Inputs'!$E$49)/2/J1904,0)+G1904+R1904)*'Inputs'!$B$17</x:f>
        <x:v>1740446.5479801756</x:v>
      </x:c>
      <x:c r="AC1904" s="78" t="n">
        <x:f>AC1903+AB1904</x:f>
        <x:v>36586756.52245676</x:v>
      </x:c>
      <x:c r="AD1904" s="80" t="n">
        <x:f>Z1904/(1+'Inputs'!$C$49)</x:f>
        <x:v>0.4713270074948575</x:v>
      </x:c>
      <x:c r="AE1904" s="80" t="n">
        <x:f>Z1904-AD1904</x:f>
        <x:v>1.4139810224845726</x:v>
      </x:c>
      <x:c r="AF1904" s="80" t="n">
        <x:f>D1904*W1904</x:f>
        <x:v>0.1007989203599932</x:v>
      </x:c>
      <x:c r="AG1904" s="80" t="n">
        <x:f>C1904*W1904</x:f>
        <x:v>0.23519748083998077</x:v>
      </x:c>
      <x:c r="AH1904" s="80" t="n">
        <x:f>2*'Inputs'!$B$8*'Inputs'!$C$49</x:f>
        <x:v>15000</x:v>
      </x:c>
      <x:c r="AI1904" s="81" t="n">
        <x:f>IF(AH1904&gt;0,(AE1904+AF1904)/AH1904*365,0)</x:f>
        <x:v>0.03685964527588444</x:v>
      </x:c>
      <x:c r="AJ1904" s="81" t="n">
        <x:f>IF('Inputs'!$B$49&gt;0,AG1904/('Inputs'!$B$19*'Inputs'!$B$49)*365,0)</x:f>
        <x:v>0.008584708050659298</x:v>
      </x:c>
      <x:c r="AK1904" s="81" t="n">
        <x:f>W1904/MAX($W$1829:W1904)-1</x:f>
        <x:v>-0.9995592292242126</x:v>
      </x:c>
      <x:c r="AL1904" s="83" t="n">
        <x:f>'Inputs'!$B$49</x:f>
        <x:v>1</x:v>
      </x:c>
      <x:c r="AM1904" s="83" t="n">
        <x:f>'Inputs'!$C$49</x:f>
        <x:v>3</x:v>
      </x:c>
      <x:c r="AN1904" s="83" t="n">
        <x:f>'Inputs'!$D$49</x:f>
        <x:v>0.75</x:v>
      </x:c>
      <x:c r="AO1904" s="81" t="n">
        <x:f>'Inputs'!$E$49</x:f>
        <x:v>-0.03</x:v>
      </x:c>
    </x:row>
    <x:row r="1905">
      <x:c r="A1905" s="59" t="str">
        <x:v>Mercenary LP</x:v>
      </x:c>
      <x:c r="B1905" s="59" t="n">
        <x:v>77</x:v>
      </x:c>
      <x:c r="C1905" s="78" t="n">
        <x:f>(('Inputs'!$B$29*(3*77*'Inputs'!$B$12-77^2)/(2*'Inputs'!$B$12^2))-('Inputs'!$B$29*(3*76*'Inputs'!$B$12-76^2)/(2*'Inputs'!$B$12^2)))*'Inputs'!$B$49</x:f>
        <x:v>687115.5470069498</x:v>
      </x:c>
      <x:c r="D1905" s="78" t="n">
        <x:f>IF('Inputs'!$C$49&gt;0,('Inputs'!$B$30*(3*77*'Inputs'!$B$12-77^2)/(2*'Inputs'!$B$12^2))-('Inputs'!$B$30*(3*76*'Inputs'!$B$12-76^2)/(2*'Inputs'!$B$12^2)),0)</x:f>
        <x:v>294478.09157440066</x:v>
      </x:c>
      <x:c r="E1905" s="78" t="n">
        <x:f>C1905+D1905</x:f>
        <x:v>981593.6385813504</x:v>
      </x:c>
      <x:c r="F1905" s="78" t="n">
        <x:f>'Inputs'!$B$13*E1905+(1-'Inputs'!$B$13)/'Inputs'!$B$14*SUM(E1850:E1905)</x:f>
        <x:v>991811.3154437987</x:v>
      </x:c>
      <x:c r="G1905" s="78" t="n">
        <x:f>F1905*'Inputs'!$F$49</x:f>
        <x:v>892630.1838994188</x:v>
      </x:c>
      <x:c r="H1905" s="78" t="n">
        <x:f>U1904</x:f>
        <x:v>584646240.1492172</x:v>
      </x:c>
      <x:c r="I1905" s="78" t="n">
        <x:f>V1904</x:f>
        <x:v>200.02791787786165</x:v>
      </x:c>
      <x:c r="J1905" s="79" t="n">
        <x:f>IF(H1905&gt;0,I1905/H1905,0)</x:f>
        <x:v>3.4213495981229475e-7</x:v>
      </x:c>
      <x:c r="K1905" s="80" t="n">
        <x:f>(H1905*J1905+I1905)*'Inputs'!$D$49*(1+'Inputs'!$G$49)^(B1905/30)</x:f>
        <x:v>300.04187681679247</x:v>
      </x:c>
      <x:c r="L1905" s="80" t="n">
        <x:f>MAX(0,K1905*'Inputs'!$E$49)</x:f>
        <x:v>0</x:v>
      </x:c>
      <x:c r="M1905" s="80" t="n">
        <x:f>MAX(0,-K1905*'Inputs'!$E$49)</x:f>
        <x:v>9.001256304503773</x:v>
      </x:c>
      <x:c r="N1905" s="78" t="n">
        <x:f>H1905*(L1905*(1-'Inputs'!$B$15))/(I1905+L1905*(1-'Inputs'!$B$15))</x:f>
        <x:v>0</x:v>
      </x:c>
      <x:c r="O1905" s="78" t="n">
        <x:f>H1905-N1905</x:f>
        <x:v>584646240.1492172</x:v>
      </x:c>
      <x:c r="P1905" s="78" t="n">
        <x:f>I1905+L1905*(1-'Inputs'!$B$17)</x:f>
        <x:v>200.02791787786165</x:v>
      </x:c>
      <x:c r="Q1905" s="78" t="n">
        <x:f>IF(J1905&gt;0,M1905/J1905,0)</x:f>
        <x:v>26309080.80671477</x:v>
      </x:c>
      <x:c r="R1905" s="78" t="n">
        <x:f>IF(B1905='Inputs'!$H$49,'Inputs'!$B$27*'Inputs'!$I$49,0)</x:f>
        <x:v>0</x:v>
      </x:c>
      <x:c r="S1905" s="78" t="n">
        <x:f>Q1905+G1905+R1905</x:f>
        <x:v>27201710.990614187</x:v>
      </x:c>
      <x:c r="T1905" s="78" t="n">
        <x:f>P1905*(S1905*(1-'Inputs'!$B$15))/(O1905+S1905*(1-'Inputs'!$B$15))</x:f>
        <x:v>8.807885164072927</x:v>
      </x:c>
      <x:c r="U1905" s="78" t="n">
        <x:f>O1905+S1905*(1-'Inputs'!$B$17)</x:f>
        <x:v>611738487.5141146</x:v>
      </x:c>
      <x:c r="V1905" s="78" t="n">
        <x:f>P1905-T1905</x:f>
        <x:v>191.22003271378873</x:v>
      </x:c>
      <x:c r="W1905" s="79" t="n">
        <x:f>IF(U1905&gt;0,V1905/U1905,0)</x:f>
        <x:v>3.1258460374275e-7</x:v>
      </x:c>
      <x:c r="X1905" s="80" t="n">
        <x:f>W1905*('Inputs'!$B$6-AC1905)</x:f>
        <x:v>300.57891359587586</x:v>
      </x:c>
      <x:c r="Y1905" s="80" t="n">
        <x:f>2*V1905</x:f>
        <x:v>382.44006542757745</x:v>
      </x:c>
      <x:c r="Z1905" s="80" t="n">
        <x:f>K1905*'Inputs'!$B$16+(G1905+R1905)*J1905*'Inputs'!$B$16</x:f>
        <x:v>1.8020836608533288</x:v>
      </x:c>
      <x:c r="AA1905" s="80" t="n">
        <x:f>K1905*(1+'Inputs'!$E$49)/2*'Inputs'!$B$17</x:f>
        <x:v>0.5855948098838807</x:v>
      </x:c>
      <x:c r="AB1905" s="78" t="n">
        <x:f>(IF(J1905&gt;0,K1905*(1-'Inputs'!$E$49)/2/J1905,0)+G1905+R1905)*'Inputs'!$B$17</x:f>
        <x:v>1821053.7251475644</x:v>
      </x:c>
      <x:c r="AC1905" s="78" t="n">
        <x:f>AC1904+AB1905</x:f>
        <x:v>38407810.247604325</x:v>
      </x:c>
      <x:c r="AD1905" s="80" t="n">
        <x:f>Z1905/(1+'Inputs'!$C$49)</x:f>
        <x:v>0.4505209152133322</x:v>
      </x:c>
      <x:c r="AE1905" s="80" t="n">
        <x:f>Z1905-AD1905</x:f>
        <x:v>1.3515627456399966</x:v>
      </x:c>
      <x:c r="AF1905" s="80" t="n">
        <x:f>D1905*W1905</x:f>
        <x:v>0.09204931756570528</x:v>
      </x:c>
      <x:c r="AG1905" s="80" t="n">
        <x:f>C1905*W1905</x:f>
        <x:v>0.2147817409866503</x:v>
      </x:c>
      <x:c r="AH1905" s="80" t="n">
        <x:f>2*'Inputs'!$B$8*'Inputs'!$C$49</x:f>
        <x:v>15000</x:v>
      </x:c>
      <x:c r="AI1905" s="81" t="n">
        <x:f>IF(AH1905&gt;0,(AE1905+AF1905)/AH1905*365,0)</x:f>
        <x:v>0.03512789353800541</x:v>
      </x:c>
      <x:c r="AJ1905" s="81" t="n">
        <x:f>IF('Inputs'!$B$49&gt;0,AG1905/('Inputs'!$B$19*'Inputs'!$B$49)*365,0)</x:f>
        <x:v>0.007839533546012736</x:v>
      </x:c>
      <x:c r="AK1905" s="81" t="n">
        <x:f>W1905/MAX($W$1829:W1905)-1</x:f>
        <x:v>-0.9995972988017171</x:v>
      </x:c>
      <x:c r="AL1905" s="83" t="n">
        <x:f>'Inputs'!$B$49</x:f>
        <x:v>1</x:v>
      </x:c>
      <x:c r="AM1905" s="83" t="n">
        <x:f>'Inputs'!$C$49</x:f>
        <x:v>3</x:v>
      </x:c>
      <x:c r="AN1905" s="83" t="n">
        <x:f>'Inputs'!$D$49</x:f>
        <x:v>0.75</x:v>
      </x:c>
      <x:c r="AO1905" s="81" t="n">
        <x:f>'Inputs'!$E$49</x:f>
        <x:v>-0.03</x:v>
      </x:c>
    </x:row>
    <x:row r="1906">
      <x:c r="A1906" s="59" t="str">
        <x:v>Mercenary LP</x:v>
      </x:c>
      <x:c r="B1906" s="59" t="n">
        <x:v>78</x:v>
      </x:c>
      <x:c r="C1906" s="78" t="n">
        <x:f>(('Inputs'!$B$29*(3*78*'Inputs'!$B$12-78^2)/(2*'Inputs'!$B$12^2))-('Inputs'!$B$29*(3*77*'Inputs'!$B$12-77^2)/(2*'Inputs'!$B$12^2)))*'Inputs'!$B$49</x:f>
        <x:v>686790.4391067699</x:v>
      </x:c>
      <x:c r="D1906" s="78" t="n">
        <x:f>IF('Inputs'!$C$49&gt;0,('Inputs'!$B$30*(3*78*'Inputs'!$B$12-78^2)/(2*'Inputs'!$B$12^2))-('Inputs'!$B$30*(3*77*'Inputs'!$B$12-77^2)/(2*'Inputs'!$B$12^2)),0)</x:f>
        <x:v>294338.7596171908</x:v>
      </x:c>
      <x:c r="E1906" s="78" t="n">
        <x:f>C1906+D1906</x:f>
        <x:v>981129.1987239607</x:v>
      </x:c>
      <x:c r="F1906" s="78" t="n">
        <x:f>'Inputs'!$B$13*E1906+(1-'Inputs'!$B$13)/'Inputs'!$B$14*SUM(E1851:E1906)</x:f>
        <x:v>991346.8755864135</x:v>
      </x:c>
      <x:c r="G1906" s="78" t="n">
        <x:f>F1906*'Inputs'!$F$49</x:f>
        <x:v>892212.1880277722</x:v>
      </x:c>
      <x:c r="H1906" s="78" t="n">
        <x:f>U1905</x:f>
        <x:v>611738487.5141146</x:v>
      </x:c>
      <x:c r="I1906" s="78" t="n">
        <x:f>V1905</x:f>
        <x:v>191.22003271378873</x:v>
      </x:c>
      <x:c r="J1906" s="79" t="n">
        <x:f>IF(H1906&gt;0,I1906/H1906,0)</x:f>
        <x:v>3.1258460374275e-7</x:v>
      </x:c>
      <x:c r="K1906" s="80" t="n">
        <x:f>(H1906*J1906+I1906)*'Inputs'!$D$49*(1+'Inputs'!$G$49)^(B1906/30)</x:f>
        <x:v>286.8300490706831</x:v>
      </x:c>
      <x:c r="L1906" s="80" t="n">
        <x:f>MAX(0,K1906*'Inputs'!$E$49)</x:f>
        <x:v>0</x:v>
      </x:c>
      <x:c r="M1906" s="80" t="n">
        <x:f>MAX(0,-K1906*'Inputs'!$E$49)</x:f>
        <x:v>8.604901472120494</x:v>
      </x:c>
      <x:c r="N1906" s="78" t="n">
        <x:f>H1906*(L1906*(1-'Inputs'!$B$15))/(I1906+L1906*(1-'Inputs'!$B$15))</x:f>
        <x:v>0</x:v>
      </x:c>
      <x:c r="O1906" s="78" t="n">
        <x:f>H1906-N1906</x:f>
        <x:v>611738487.5141146</x:v>
      </x:c>
      <x:c r="P1906" s="78" t="n">
        <x:f>I1906+L1906*(1-'Inputs'!$B$17)</x:f>
        <x:v>191.22003271378873</x:v>
      </x:c>
      <x:c r="Q1906" s="78" t="n">
        <x:f>IF(J1906&gt;0,M1906/J1906,0)</x:f>
        <x:v>27528231.938135162</x:v>
      </x:c>
      <x:c r="R1906" s="78" t="n">
        <x:f>IF(B1906='Inputs'!$H$49,'Inputs'!$B$27*'Inputs'!$I$49,0)</x:f>
        <x:v>0</x:v>
      </x:c>
      <x:c r="S1906" s="78" t="n">
        <x:f>Q1906+G1906+R1906</x:f>
        <x:v>28420444.126162935</x:v>
      </x:c>
      <x:c r="T1906" s="78" t="n">
        <x:f>P1906*(S1906*(1-'Inputs'!$B$15))/(O1906+S1906*(1-'Inputs'!$B$15))</x:f>
        <x:v>8.408228117620993</x:v>
      </x:c>
      <x:c r="U1906" s="78" t="n">
        <x:f>O1906+S1906*(1-'Inputs'!$B$17)</x:f>
        <x:v>640044563.6558664</x:v>
      </x:c>
      <x:c r="V1906" s="78" t="n">
        <x:f>P1906-T1906</x:f>
        <x:v>182.81180459616775</x:v>
      </x:c>
      <x:c r="W1906" s="79" t="n">
        <x:f>IF(U1906&gt;0,V1906/U1906,0)</x:f>
        <x:v>2.856235565098252e-7</x:v>
      </x:c>
      <x:c r="X1906" s="80" t="n">
        <x:f>W1906*('Inputs'!$B$6-AC1906)</x:f>
        <x:v>274.1091904673918</x:v>
      </x:c>
      <x:c r="Y1906" s="80" t="n">
        <x:f>2*V1906</x:f>
        <x:v>365.6236091923355</x:v>
      </x:c>
      <x:c r="Z1906" s="80" t="n">
        <x:f>K1906*'Inputs'!$B$16+(G1906+R1906)*J1906*'Inputs'!$B$16</x:f>
        <x:v>1.7226536451835934</x:v>
      </x:c>
      <x:c r="AA1906" s="80" t="n">
        <x:f>K1906*(1+'Inputs'!$E$49)/2*'Inputs'!$B$17</x:f>
        <x:v>0.5598091500977116</x:v>
      </x:c>
      <x:c r="AB1906" s="78" t="n">
        <x:f>(IF(J1906&gt;0,K1906*(1-'Inputs'!$E$49)/2/J1906,0)+G1906+R1906)*'Inputs'!$B$17</x:f>
        <x:v>1905272.4096284967</x:v>
      </x:c>
      <x:c r="AC1906" s="78" t="n">
        <x:f>AC1905+AB1906</x:f>
        <x:v>40313082.65723282</x:v>
      </x:c>
      <x:c r="AD1906" s="80" t="n">
        <x:f>Z1906/(1+'Inputs'!$C$49)</x:f>
        <x:v>0.43066341129589836</x:v>
      </x:c>
      <x:c r="AE1906" s="80" t="n">
        <x:f>Z1906-AD1906</x:f>
        <x:v>1.2919902338876952</x:v>
      </x:c>
      <x:c r="AF1906" s="80" t="n">
        <x:f>D1906*W1906</x:f>
        <x:v>0.08407008334055255</x:v>
      </x:c>
      <x:c r="AG1906" s="80" t="n">
        <x:f>C1906*W1906</x:f>
        <x:v>0.19616352779462012</x:v>
      </x:c>
      <x:c r="AH1906" s="80" t="n">
        <x:f>2*'Inputs'!$B$8*'Inputs'!$C$49</x:f>
        <x:v>15000</x:v>
      </x:c>
      <x:c r="AI1906" s="81" t="n">
        <x:f>IF(AH1906&gt;0,(AE1906+AF1906)/AH1906*365,0)</x:f>
        <x:v>0.03348413438588736</x:v>
      </x:c>
      <x:c r="AJ1906" s="81" t="n">
        <x:f>IF('Inputs'!$B$49&gt;0,AG1906/('Inputs'!$B$19*'Inputs'!$B$49)*365,0)</x:f>
        <x:v>0.007159968764503634</x:v>
      </x:c>
      <x:c r="AK1906" s="81" t="n">
        <x:f>W1906/MAX($W$1829:W1906)-1</x:f>
        <x:v>-0.9996320325854596</x:v>
      </x:c>
      <x:c r="AL1906" s="83" t="n">
        <x:f>'Inputs'!$B$49</x:f>
        <x:v>1</x:v>
      </x:c>
      <x:c r="AM1906" s="83" t="n">
        <x:f>'Inputs'!$C$49</x:f>
        <x:v>3</x:v>
      </x:c>
      <x:c r="AN1906" s="83" t="n">
        <x:f>'Inputs'!$D$49</x:f>
        <x:v>0.75</x:v>
      </x:c>
      <x:c r="AO1906" s="81" t="n">
        <x:f>'Inputs'!$E$49</x:f>
        <x:v>-0.03</x:v>
      </x:c>
    </x:row>
    <x:row r="1907">
      <x:c r="A1907" s="59" t="str">
        <x:v>Mercenary LP</x:v>
      </x:c>
      <x:c r="B1907" s="59" t="n">
        <x:v>79</x:v>
      </x:c>
      <x:c r="C1907" s="78" t="n">
        <x:f>(('Inputs'!$B$29*(3*79*'Inputs'!$B$12-79^2)/(2*'Inputs'!$B$12^2))-('Inputs'!$B$29*(3*78*'Inputs'!$B$12-78^2)/(2*'Inputs'!$B$12^2)))*'Inputs'!$B$49</x:f>
        <x:v>686465.3312066048</x:v>
      </x:c>
      <x:c r="D1907" s="78" t="n">
        <x:f>IF('Inputs'!$C$49&gt;0,('Inputs'!$B$30*(3*79*'Inputs'!$B$12-79^2)/(2*'Inputs'!$B$12^2))-('Inputs'!$B$30*(3*78*'Inputs'!$B$12-78^2)/(2*'Inputs'!$B$12^2)),0)</x:f>
        <x:v>294199.4276599735</x:v>
      </x:c>
      <x:c r="E1907" s="78" t="n">
        <x:f>C1907+D1907</x:f>
        <x:v>980664.7588665783</x:v>
      </x:c>
      <x:c r="F1907" s="78" t="n">
        <x:f>'Inputs'!$B$13*E1907+(1-'Inputs'!$B$13)/'Inputs'!$B$14*SUM(E1852:E1907)</x:f>
        <x:v>990882.4357290296</x:v>
      </x:c>
      <x:c r="G1907" s="78" t="n">
        <x:f>F1907*'Inputs'!$F$49</x:f>
        <x:v>891794.1921561266</x:v>
      </x:c>
      <x:c r="H1907" s="78" t="n">
        <x:f>U1906</x:f>
        <x:v>640044563.6558664</x:v>
      </x:c>
      <x:c r="I1907" s="78" t="n">
        <x:f>V1906</x:f>
        <x:v>182.81180459616775</x:v>
      </x:c>
      <x:c r="J1907" s="79" t="n">
        <x:f>IF(H1907&gt;0,I1907/H1907,0)</x:f>
        <x:v>2.856235565098252e-7</x:v>
      </x:c>
      <x:c r="K1907" s="80" t="n">
        <x:f>(H1907*J1907+I1907)*'Inputs'!$D$49*(1+'Inputs'!$G$49)^(B1907/30)</x:f>
        <x:v>274.2177068942516</x:v>
      </x:c>
      <x:c r="L1907" s="80" t="n">
        <x:f>MAX(0,K1907*'Inputs'!$E$49)</x:f>
        <x:v>0</x:v>
      </x:c>
      <x:c r="M1907" s="80" t="n">
        <x:f>MAX(0,-K1907*'Inputs'!$E$49)</x:f>
        <x:v>8.226531206827547</x:v>
      </x:c>
      <x:c r="N1907" s="78" t="n">
        <x:f>H1907*(L1907*(1-'Inputs'!$B$15))/(I1907+L1907*(1-'Inputs'!$B$15))</x:f>
        <x:v>0</x:v>
      </x:c>
      <x:c r="O1907" s="78" t="n">
        <x:f>H1907-N1907</x:f>
        <x:v>640044563.6558664</x:v>
      </x:c>
      <x:c r="P1907" s="78" t="n">
        <x:f>I1907+L1907*(1-'Inputs'!$B$17)</x:f>
        <x:v>182.81180459616775</x:v>
      </x:c>
      <x:c r="Q1907" s="78" t="n">
        <x:f>IF(J1907&gt;0,M1907/J1907,0)</x:f>
        <x:v>28802005.36451398</x:v>
      </x:c>
      <x:c r="R1907" s="78" t="n">
        <x:f>IF(B1907='Inputs'!$H$49,'Inputs'!$B$27*'Inputs'!$I$49,0)</x:f>
        <x:v>0</x:v>
      </x:c>
      <x:c r="S1907" s="78" t="n">
        <x:f>Q1907+G1907+R1907</x:f>
        <x:v>29693799.556670103</x:v>
      </x:c>
      <x:c r="T1907" s="78" t="n">
        <x:f>P1907*(S1907*(1-'Inputs'!$B$15))/(O1907+S1907*(1-'Inputs'!$B$15))</x:f>
        <x:v>8.027727459063735</x:v>
      </x:c>
      <x:c r="U1907" s="78" t="n">
        <x:f>O1907+S1907*(1-'Inputs'!$B$17)</x:f>
        <x:v>669618871.061403</x:v>
      </x:c>
      <x:c r="V1907" s="78" t="n">
        <x:f>P1907-T1907</x:f>
        <x:v>174.78407713710402</x:v>
      </x:c>
      <x:c r="W1907" s="79" t="n">
        <x:f>IF(U1907&gt;0,V1907/U1907,0)</x:f>
        <x:v>2.6102023806476113e-7</x:v>
      </x:c>
      <x:c r="X1907" s="80" t="n">
        <x:f>W1907*('Inputs'!$B$6-AC1907)</x:f>
        <x:v>249.97742526719847</x:v>
      </x:c>
      <x:c r="Y1907" s="80" t="n">
        <x:f>2*V1907</x:f>
        <x:v>349.56815427420804</x:v>
      </x:c>
      <x:c r="Z1907" s="80" t="n">
        <x:f>K1907*'Inputs'!$B$16+(G1907+R1907)*J1907*'Inputs'!$B$16</x:f>
        <x:v>1.64683454593854</x:v>
      </x:c>
      <x:c r="AA1907" s="80" t="n">
        <x:f>K1907*(1+'Inputs'!$E$49)/2*'Inputs'!$B$17</x:f>
        <x:v>0.5351935124495455</x:v>
      </x:c>
      <x:c r="AB1907" s="78" t="n">
        <x:f>(IF(J1907&gt;0,K1907*(1-'Inputs'!$E$49)/2/J1907,0)+G1907+R1907)*'Inputs'!$B$17</x:f>
        <x:v>1993264.465256792</x:v>
      </x:c>
      <x:c r="AC1907" s="78" t="n">
        <x:f>AC1906+AB1907</x:f>
        <x:v>42306347.12248962</x:v>
      </x:c>
      <x:c r="AD1907" s="80" t="n">
        <x:f>Z1907/(1+'Inputs'!$C$49)</x:f>
        <x:v>0.411708636484635</x:v>
      </x:c>
      <x:c r="AE1907" s="80" t="n">
        <x:f>Z1907-AD1907</x:f>
        <x:v>1.235125909453905</x:v>
      </x:c>
      <x:c r="AF1907" s="80" t="n">
        <x:f>D1907*W1907</x:f>
        <x:v>0.07679200464632276</x:v>
      </x:c>
      <x:c r="AG1907" s="80" t="n">
        <x:f>C1907*W1907</x:f>
        <x:v>0.1791813441747531</x:v>
      </x:c>
      <x:c r="AH1907" s="80" t="n">
        <x:f>2*'Inputs'!$B$8*'Inputs'!$C$49</x:f>
        <x:v>15000</x:v>
      </x:c>
      <x:c r="AI1907" s="81" t="n">
        <x:f>IF(AH1907&gt;0,(AE1907+AF1907)/AH1907*365,0)</x:f>
        <x:v>0.03192333590977221</x:v>
      </x:c>
      <x:c r="AJ1907" s="81" t="n">
        <x:f>IF('Inputs'!$B$49&gt;0,AG1907/('Inputs'!$B$19*'Inputs'!$B$49)*365,0)</x:f>
        <x:v>0.006540119062378488</x:v>
      </x:c>
      <x:c r="AK1907" s="81" t="n">
        <x:f>W1907/MAX($W$1829:W1907)-1</x:f>
        <x:v>-0.9996637289188712</x:v>
      </x:c>
      <x:c r="AL1907" s="83" t="n">
        <x:f>'Inputs'!$B$49</x:f>
        <x:v>1</x:v>
      </x:c>
      <x:c r="AM1907" s="83" t="n">
        <x:f>'Inputs'!$C$49</x:f>
        <x:v>3</x:v>
      </x:c>
      <x:c r="AN1907" s="83" t="n">
        <x:f>'Inputs'!$D$49</x:f>
        <x:v>0.75</x:v>
      </x:c>
      <x:c r="AO1907" s="81" t="n">
        <x:f>'Inputs'!$E$49</x:f>
        <x:v>-0.03</x:v>
      </x:c>
    </x:row>
    <x:row r="1908">
      <x:c r="A1908" s="59" t="str">
        <x:v>Mercenary LP</x:v>
      </x:c>
      <x:c r="B1908" s="59" t="n">
        <x:v>80</x:v>
      </x:c>
      <x:c r="C1908" s="78" t="n">
        <x:f>(('Inputs'!$B$29*(3*80*'Inputs'!$B$12-80^2)/(2*'Inputs'!$B$12^2))-('Inputs'!$B$29*(3*79*'Inputs'!$B$12-79^2)/(2*'Inputs'!$B$12^2)))*'Inputs'!$B$49</x:f>
        <x:v>686140.2233064398</x:v>
      </x:c>
      <x:c r="D1908" s="78" t="n">
        <x:f>IF('Inputs'!$C$49&gt;0,('Inputs'!$B$30*(3*80*'Inputs'!$B$12-80^2)/(2*'Inputs'!$B$12^2))-('Inputs'!$B$30*(3*79*'Inputs'!$B$12-79^2)/(2*'Inputs'!$B$12^2)),0)</x:f>
        <x:v>294060.0957027599</x:v>
      </x:c>
      <x:c r="E1908" s="78" t="n">
        <x:f>C1908+D1908</x:f>
        <x:v>980200.3190091997</x:v>
      </x:c>
      <x:c r="F1908" s="78" t="n">
        <x:f>'Inputs'!$B$13*E1908+(1-'Inputs'!$B$13)/'Inputs'!$B$14*SUM(E1853:E1908)</x:f>
        <x:v>990417.9958716466</x:v>
      </x:c>
      <x:c r="G1908" s="78" t="n">
        <x:f>F1908*'Inputs'!$F$49</x:f>
        <x:v>891376.1962844819</x:v>
      </x:c>
      <x:c r="H1908" s="78" t="n">
        <x:f>U1907</x:f>
        <x:v>669618871.061403</x:v>
      </x:c>
      <x:c r="I1908" s="78" t="n">
        <x:f>V1907</x:f>
        <x:v>174.78407713710402</x:v>
      </x:c>
      <x:c r="J1908" s="79" t="n">
        <x:f>IF(H1908&gt;0,I1908/H1908,0)</x:f>
        <x:v>2.6102023806476113e-7</x:v>
      </x:c>
      <x:c r="K1908" s="80" t="n">
        <x:f>(H1908*J1908+I1908)*'Inputs'!$D$49*(1+'Inputs'!$G$49)^(B1908/30)</x:f>
        <x:v>262.176115705656</x:v>
      </x:c>
      <x:c r="L1908" s="80" t="n">
        <x:f>MAX(0,K1908*'Inputs'!$E$49)</x:f>
        <x:v>0</x:v>
      </x:c>
      <x:c r="M1908" s="80" t="n">
        <x:f>MAX(0,-K1908*'Inputs'!$E$49)</x:f>
        <x:v>7.86528347116968</x:v>
      </x:c>
      <x:c r="N1908" s="78" t="n">
        <x:f>H1908*(L1908*(1-'Inputs'!$B$15))/(I1908+L1908*(1-'Inputs'!$B$15))</x:f>
        <x:v>0</x:v>
      </x:c>
      <x:c r="O1908" s="78" t="n">
        <x:f>H1908-N1908</x:f>
        <x:v>669618871.061403</x:v>
      </x:c>
      <x:c r="P1908" s="78" t="n">
        <x:f>I1908+L1908*(1-'Inputs'!$B$17)</x:f>
        <x:v>174.78407713710402</x:v>
      </x:c>
      <x:c r="Q1908" s="78" t="n">
        <x:f>IF(J1908&gt;0,M1908/J1908,0)</x:f>
        <x:v>30132849.197763134</x:v>
      </x:c>
      <x:c r="R1908" s="78" t="n">
        <x:f>IF(B1908='Inputs'!$H$49,'Inputs'!$B$27*'Inputs'!$I$49,0)</x:f>
        <x:v>0</x:v>
      </x:c>
      <x:c r="S1908" s="78" t="n">
        <x:f>Q1908+G1908+R1908</x:f>
        <x:v>31024225.394047614</x:v>
      </x:c>
      <x:c r="T1908" s="78" t="n">
        <x:f>P1908*(S1908*(1-'Inputs'!$B$15))/(O1908+S1908*(1-'Inputs'!$B$15))</x:f>
        <x:v>7.665376779258661</x:v>
      </x:c>
      <x:c r="U1908" s="78" t="n">
        <x:f>O1908+S1908*(1-'Inputs'!$B$17)</x:f>
        <x:v>700518250.4780098</x:v>
      </x:c>
      <x:c r="V1908" s="78" t="n">
        <x:f>P1908-T1908</x:f>
        <x:v>167.11870035784537</x:v>
      </x:c>
      <x:c r="W1908" s="79" t="n">
        <x:f>IF(U1908&gt;0,V1908/U1908,0)</x:f>
        <x:v>2.385643775073801e-7</x:v>
      </x:c>
      <x:c r="X1908" s="80" t="n">
        <x:f>W1908*('Inputs'!$B$6-AC1908)</x:f>
        <x:v>227.97413593759057</x:v>
      </x:c>
      <x:c r="Y1908" s="80" t="n">
        <x:f>2*V1908</x:f>
        <x:v>334.23740071569074</x:v>
      </x:c>
      <x:c r="Z1908" s="80" t="n">
        <x:f>K1908*'Inputs'!$B$16+(G1908+R1908)*J1908*'Inputs'!$B$16</x:f>
        <x:v>1.5744526975956927</x:v>
      </x:c>
      <x:c r="AA1908" s="80" t="n">
        <x:f>K1908*(1+'Inputs'!$E$49)/2*'Inputs'!$B$17</x:f>
        <x:v>0.5116918153611395</x:v>
      </x:c>
      <x:c r="AB1908" s="78" t="n">
        <x:f>(IF(J1908&gt;0,K1908*(1-'Inputs'!$E$49)/2/J1908,0)+G1908+R1908)*'Inputs'!$B$17</x:f>
        <x:v>2085199.010427438</x:v>
      </x:c>
      <x:c r="AC1908" s="78" t="n">
        <x:f>AC1907+AB1908</x:f>
        <x:v>44391546.132917054</x:v>
      </x:c>
      <x:c r="AD1908" s="80" t="n">
        <x:f>Z1908/(1+'Inputs'!$C$49)</x:f>
        <x:v>0.3936131743989232</x:v>
      </x:c>
      <x:c r="AE1908" s="80" t="n">
        <x:f>Z1908-AD1908</x:f>
        <x:v>1.1808395231967697</x:v>
      </x:c>
      <x:c r="AF1908" s="80" t="n">
        <x:f>D1908*W1908</x:f>
        <x:v>0.07015226368108954</x:v>
      </x:c>
      <x:c r="AG1908" s="80" t="n">
        <x:f>C1908*W1908</x:f>
        <x:v>0.16368861525587558</x:v>
      </x:c>
      <x:c r="AH1908" s="80" t="n">
        <x:f>2*'Inputs'!$B$8*'Inputs'!$C$49</x:f>
        <x:v>15000</x:v>
      </x:c>
      <x:c r="AI1908" s="81" t="n">
        <x:f>IF(AH1908&gt;0,(AE1908+AF1908)/AH1908*365,0)</x:f>
        <x:v>0.030440800147361242</x:v>
      </x:c>
      <x:c r="AJ1908" s="81" t="n">
        <x:f>IF('Inputs'!$B$49&gt;0,AG1908/('Inputs'!$B$19*'Inputs'!$B$49)*365,0)</x:f>
        <x:v>0.005974634456839458</x:v>
      </x:c>
      <x:c r="AK1908" s="81" t="n">
        <x:f>W1908/MAX($W$1829:W1908)-1</x:f>
        <x:v>-0.9996926586929121</x:v>
      </x:c>
      <x:c r="AL1908" s="83" t="n">
        <x:f>'Inputs'!$B$49</x:f>
        <x:v>1</x:v>
      </x:c>
      <x:c r="AM1908" s="83" t="n">
        <x:f>'Inputs'!$C$49</x:f>
        <x:v>3</x:v>
      </x:c>
      <x:c r="AN1908" s="83" t="n">
        <x:f>'Inputs'!$D$49</x:f>
        <x:v>0.75</x:v>
      </x:c>
      <x:c r="AO1908" s="81" t="n">
        <x:f>'Inputs'!$E$49</x:f>
        <x:v>-0.03</x:v>
      </x:c>
    </x:row>
    <x:row r="1909">
      <x:c r="A1909" s="59" t="str">
        <x:v>Mercenary LP</x:v>
      </x:c>
      <x:c r="B1909" s="59" t="n">
        <x:v>81</x:v>
      </x:c>
      <x:c r="C1909" s="78" t="n">
        <x:f>(('Inputs'!$B$29*(3*81*'Inputs'!$B$12-81^2)/(2*'Inputs'!$B$12^2))-('Inputs'!$B$29*(3*80*'Inputs'!$B$12-80^2)/(2*'Inputs'!$B$12^2)))*'Inputs'!$B$49</x:f>
        <x:v>685815.1154062673</x:v>
      </x:c>
      <x:c r="D1909" s="78" t="n">
        <x:f>IF('Inputs'!$C$49&gt;0,('Inputs'!$B$30*(3*81*'Inputs'!$B$12-81^2)/(2*'Inputs'!$B$12^2))-('Inputs'!$B$30*(3*80*'Inputs'!$B$12-80^2)/(2*'Inputs'!$B$12^2)),0)</x:f>
        <x:v>293920.7637455426</x:v>
      </x:c>
      <x:c r="E1909" s="78" t="n">
        <x:f>C1909+D1909</x:f>
        <x:v>979735.87915181</x:v>
      </x:c>
      <x:c r="F1909" s="78" t="n">
        <x:f>'Inputs'!$B$13*E1909+(1-'Inputs'!$B$13)/'Inputs'!$B$14*SUM(E1854:E1909)</x:f>
        <x:v>989953.5560142614</x:v>
      </x:c>
      <x:c r="G1909" s="78" t="n">
        <x:f>F1909*'Inputs'!$F$49</x:f>
        <x:v>890958.2004128353</x:v>
      </x:c>
      <x:c r="H1909" s="78" t="n">
        <x:f>U1908</x:f>
        <x:v>700518250.4780098</x:v>
      </x:c>
      <x:c r="I1909" s="78" t="n">
        <x:f>V1908</x:f>
        <x:v>167.11870035784537</x:v>
      </x:c>
      <x:c r="J1909" s="79" t="n">
        <x:f>IF(H1909&gt;0,I1909/H1909,0)</x:f>
        <x:v>2.385643775073801e-7</x:v>
      </x:c>
      <x:c r="K1909" s="80" t="n">
        <x:f>(H1909*J1909+I1909)*'Inputs'!$D$49*(1+'Inputs'!$G$49)^(B1909/30)</x:f>
        <x:v>250.67805053676807</x:v>
      </x:c>
      <x:c r="L1909" s="80" t="n">
        <x:f>MAX(0,K1909*'Inputs'!$E$49)</x:f>
        <x:v>0</x:v>
      </x:c>
      <x:c r="M1909" s="80" t="n">
        <x:f>MAX(0,-K1909*'Inputs'!$E$49)</x:f>
        <x:v>7.520341516103041</x:v>
      </x:c>
      <x:c r="N1909" s="78" t="n">
        <x:f>H1909*(L1909*(1-'Inputs'!$B$15))/(I1909+L1909*(1-'Inputs'!$B$15))</x:f>
        <x:v>0</x:v>
      </x:c>
      <x:c r="O1909" s="78" t="n">
        <x:f>H1909-N1909</x:f>
        <x:v>700518250.4780098</x:v>
      </x:c>
      <x:c r="P1909" s="78" t="n">
        <x:f>I1909+L1909*(1-'Inputs'!$B$17)</x:f>
        <x:v>167.11870035784537</x:v>
      </x:c>
      <x:c r="Q1909" s="78" t="n">
        <x:f>IF(J1909&gt;0,M1909/J1909,0)</x:f>
        <x:v>31523321.27151044</x:v>
      </x:c>
      <x:c r="R1909" s="78" t="n">
        <x:f>IF(B1909='Inputs'!$H$49,'Inputs'!$B$27*'Inputs'!$I$49,0)</x:f>
        <x:v>0</x:v>
      </x:c>
      <x:c r="S1909" s="78" t="n">
        <x:f>Q1909+G1909+R1909</x:f>
        <x:v>32414279.471923277</x:v>
      </x:c>
      <x:c r="T1909" s="78" t="n">
        <x:f>P1909*(S1909*(1-'Inputs'!$B$15))/(O1909+S1909*(1-'Inputs'!$B$15))</x:f>
        <x:v>7.320230057185743</x:v>
      </x:c>
      <x:c r="U1909" s="78" t="n">
        <x:f>O1909+S1909*(1-'Inputs'!$B$17)</x:f>
        <x:v>732802090.1935068</x:v>
      </x:c>
      <x:c r="V1909" s="78" t="n">
        <x:f>P1909-T1909</x:f>
        <x:v>159.79847030065963</x:v>
      </x:c>
      <x:c r="W1909" s="79" t="n">
        <x:f>IF(U1909&gt;0,V1909/U1909,0)</x:f>
        <x:v>2.180649761226289e-7</x:v>
      </x:c>
      <x:c r="X1909" s="80" t="n">
        <x:f>W1909*('Inputs'!$B$6-AC1909)</x:f>
        <x:v>207.90907984773614</x:v>
      </x:c>
      <x:c r="Y1909" s="80" t="n">
        <x:f>2*V1909</x:f>
        <x:v>319.59694060131926</x:v>
      </x:c>
      <x:c r="Z1909" s="80" t="n">
        <x:f>K1909*'Inputs'!$B$16+(G1909+R1909)*J1909*'Inputs'!$B$16</x:f>
        <x:v>1.5053436085514078</x:v>
      </x:c>
      <x:c r="AA1909" s="80" t="n">
        <x:f>K1909*(1+'Inputs'!$E$49)/2*'Inputs'!$B$17</x:f>
        <x:v>0.489250923582827</x:v>
      </x:c>
      <x:c r="AB1909" s="78" t="n">
        <x:f>(IF(J1909&gt;0,K1909*(1-'Inputs'!$E$49)/2/J1909,0)+G1909+R1909)*'Inputs'!$B$17</x:f>
        <x:v>2181252.7432381306</x:v>
      </x:c>
      <x:c r="AC1909" s="78" t="n">
        <x:f>AC1908+AB1909</x:f>
        <x:v>46572798.87615518</x:v>
      </x:c>
      <x:c r="AD1909" s="80" t="n">
        <x:f>Z1909/(1+'Inputs'!$C$49)</x:f>
        <x:v>0.37633590213785195</x:v>
      </x:c>
      <x:c r="AE1909" s="80" t="n">
        <x:f>Z1909-AD1909</x:f>
        <x:v>1.1290077064135557</x:v>
      </x:c>
      <x:c r="AF1909" s="80" t="n">
        <x:f>D1909*W1909</x:f>
        <x:v>0.0640938243281166</x:v>
      </x:c>
      <x:c r="AG1909" s="80" t="n">
        <x:f>C1909*W1909</x:f>
        <x:v>0.14955225676560568</x:v>
      </x:c>
      <x:c r="AH1909" s="80" t="n">
        <x:f>2*'Inputs'!$B$8*'Inputs'!$C$49</x:f>
        <x:v>15000</x:v>
      </x:c>
      <x:c r="AI1909" s="81" t="n">
        <x:f>IF(AH1909&gt;0,(AE1909+AF1909)/AH1909*365,0)</x:f>
        <x:v>0.02903213724804736</x:v>
      </x:c>
      <x:c r="AJ1909" s="81" t="n">
        <x:f>IF('Inputs'!$B$49&gt;0,AG1909/('Inputs'!$B$19*'Inputs'!$B$49)*365,0)</x:f>
        <x:v>0.0054586573719446075</x:v>
      </x:c>
      <x:c r="AK1909" s="81" t="n">
        <x:f>W1909/MAX($W$1829:W1909)-1</x:f>
        <x:v>-0.9997190679702818</x:v>
      </x:c>
      <x:c r="AL1909" s="83" t="n">
        <x:f>'Inputs'!$B$49</x:f>
        <x:v>1</x:v>
      </x:c>
      <x:c r="AM1909" s="83" t="n">
        <x:f>'Inputs'!$C$49</x:f>
        <x:v>3</x:v>
      </x:c>
      <x:c r="AN1909" s="83" t="n">
        <x:f>'Inputs'!$D$49</x:f>
        <x:v>0.75</x:v>
      </x:c>
      <x:c r="AO1909" s="81" t="n">
        <x:f>'Inputs'!$E$49</x:f>
        <x:v>-0.03</x:v>
      </x:c>
    </x:row>
    <x:row r="1910">
      <x:c r="A1910" s="59" t="str">
        <x:v>Mercenary LP</x:v>
      </x:c>
      <x:c r="B1910" s="59" t="n">
        <x:v>82</x:v>
      </x:c>
      <x:c r="C1910" s="78" t="n">
        <x:f>(('Inputs'!$B$29*(3*82*'Inputs'!$B$12-82^2)/(2*'Inputs'!$B$12^2))-('Inputs'!$B$29*(3*81*'Inputs'!$B$12-81^2)/(2*'Inputs'!$B$12^2)))*'Inputs'!$B$49</x:f>
        <x:v>685490.0075060949</x:v>
      </x:c>
      <x:c r="D1910" s="78" t="n">
        <x:f>IF('Inputs'!$C$49&gt;0,('Inputs'!$B$30*(3*82*'Inputs'!$B$12-82^2)/(2*'Inputs'!$B$12^2))-('Inputs'!$B$30*(3*81*'Inputs'!$B$12-81^2)/(2*'Inputs'!$B$12^2)),0)</x:f>
        <x:v>293781.43178832904</x:v>
      </x:c>
      <x:c r="E1910" s="78" t="n">
        <x:f>C1910+D1910</x:f>
        <x:v>979271.4392944239</x:v>
      </x:c>
      <x:c r="F1910" s="78" t="n">
        <x:f>'Inputs'!$B$13*E1910+(1-'Inputs'!$B$13)/'Inputs'!$B$14*SUM(E1855:E1910)</x:f>
        <x:v>989489.1161568769</x:v>
      </x:c>
      <x:c r="G1910" s="78" t="n">
        <x:f>F1910*'Inputs'!$F$49</x:f>
        <x:v>890540.2045411892</x:v>
      </x:c>
      <x:c r="H1910" s="78" t="n">
        <x:f>U1909</x:f>
        <x:v>732802090.1935068</x:v>
      </x:c>
      <x:c r="I1910" s="78" t="n">
        <x:f>V1909</x:f>
        <x:v>159.79847030065963</x:v>
      </x:c>
      <x:c r="J1910" s="79" t="n">
        <x:f>IF(H1910&gt;0,I1910/H1910,0)</x:f>
        <x:v>2.180649761226289e-7</x:v>
      </x:c>
      <x:c r="K1910" s="80" t="n">
        <x:f>(H1910*J1910+I1910)*'Inputs'!$D$49*(1+'Inputs'!$G$49)^(B1910/30)</x:f>
        <x:v>239.69770545098945</x:v>
      </x:c>
      <x:c r="L1910" s="80" t="n">
        <x:f>MAX(0,K1910*'Inputs'!$E$49)</x:f>
        <x:v>0</x:v>
      </x:c>
      <x:c r="M1910" s="80" t="n">
        <x:f>MAX(0,-K1910*'Inputs'!$E$49)</x:f>
        <x:v>7.190931163529683</x:v>
      </x:c>
      <x:c r="N1910" s="78" t="n">
        <x:f>H1910*(L1910*(1-'Inputs'!$B$15))/(I1910+L1910*(1-'Inputs'!$B$15))</x:f>
        <x:v>0</x:v>
      </x:c>
      <x:c r="O1910" s="78" t="n">
        <x:f>H1910-N1910</x:f>
        <x:v>732802090.1935068</x:v>
      </x:c>
      <x:c r="P1910" s="78" t="n">
        <x:f>I1910+L1910*(1-'Inputs'!$B$17)</x:f>
        <x:v>159.79847030065963</x:v>
      </x:c>
      <x:c r="Q1910" s="78" t="n">
        <x:f>IF(J1910&gt;0,M1910/J1910,0)</x:f>
        <x:v>32976094.058707807</x:v>
      </x:c>
      <x:c r="R1910" s="78" t="n">
        <x:f>IF(B1910='Inputs'!$H$49,'Inputs'!$B$27*'Inputs'!$I$49,0)</x:f>
        <x:v>0</x:v>
      </x:c>
      <x:c r="S1910" s="78" t="n">
        <x:f>Q1910+G1910+R1910</x:f>
        <x:v>33866634.263248995</x:v>
      </x:c>
      <x:c r="T1910" s="78" t="n">
        <x:f>P1910*(S1910*(1-'Inputs'!$B$15))/(O1910+S1910*(1-'Inputs'!$B$15))</x:f>
        <x:v>6.9913974132621375</x:v>
      </x:c>
      <x:c r="U1910" s="78" t="n">
        <x:f>O1910+S1910*(1-'Inputs'!$B$17)</x:f>
        <x:v>766532440.2142478</x:v>
      </x:c>
      <x:c r="V1910" s="78" t="n">
        <x:f>P1910-T1910</x:f>
        <x:v>152.80707288739748</x:v>
      </x:c>
      <x:c r="W1910" s="79" t="n">
        <x:f>IF(U1910&gt;0,V1910/U1910,0)</x:f>
        <x:v>1.9934847485996483e-7</x:v>
      </x:c>
      <x:c r="X1910" s="80" t="n">
        <x:f>W1910*('Inputs'!$B$6-AC1910)</x:f>
        <x:v>189.6094229042607</x:v>
      </x:c>
      <x:c r="Y1910" s="80" t="n">
        <x:f>2*V1910</x:f>
        <x:v>305.61414577479496</x:v>
      </x:c>
      <x:c r="Z1910" s="80" t="n">
        <x:f>K1910*'Inputs'!$B$16+(G1910+R1910)*J1910*'Inputs'!$B$16</x:f>
        <x:v>1.4393514064765738</x:v>
      </x:c>
      <x:c r="AA1910" s="80" t="n">
        <x:f>K1910*(1+'Inputs'!$E$49)/2*'Inputs'!$B$17</x:f>
        <x:v>0.4678204714033396</x:v>
      </x:c>
      <x:c r="AB1910" s="78" t="n">
        <x:f>(IF(J1910&gt;0,K1910*(1-'Inputs'!$E$49)/2/J1910,0)+G1910+R1910)*'Inputs'!$B$17</x:f>
        <x:v>2281610.281203321</x:v>
      </x:c>
      <x:c r="AC1910" s="78" t="n">
        <x:f>AC1909+AB1910</x:f>
        <x:v>48854409.157358505</x:v>
      </x:c>
      <x:c r="AD1910" s="80" t="n">
        <x:f>Z1910/(1+'Inputs'!$C$49)</x:f>
        <x:v>0.35983785161914345</x:v>
      </x:c>
      <x:c r="AE1910" s="80" t="n">
        <x:f>Z1910-AD1910</x:f>
        <x:v>1.0795135548574304</x:v>
      </x:c>
      <x:c r="AF1910" s="80" t="n">
        <x:f>D1910*W1910</x:f>
        <x:v>0.058564880369180186</x:v>
      </x:c>
      <x:c r="AG1910" s="80" t="n">
        <x:f>C1910*W1910</x:f>
        <x:v>0.13665138752808587</x:v>
      </x:c>
      <x:c r="AH1910" s="80" t="n">
        <x:f>2*'Inputs'!$B$8*'Inputs'!$C$49</x:f>
        <x:v>15000</x:v>
      </x:c>
      <x:c r="AI1910" s="81" t="n">
        <x:f>IF(AH1910&gt;0,(AE1910+AF1910)/AH1910*365,0)</x:f>
        <x:v>0.027693241923847527</x:v>
      </x:c>
      <x:c r="AJ1910" s="81" t="n">
        <x:f>IF('Inputs'!$B$49&gt;0,AG1910/('Inputs'!$B$19*'Inputs'!$B$49)*365,0)</x:f>
        <x:v>0.004987775644775134</x:v>
      </x:c>
      <x:c r="AK1910" s="81" t="n">
        <x:f>W1910/MAX($W$1829:W1910)-1</x:f>
        <x:v>-0.9997431803462462</x:v>
      </x:c>
      <x:c r="AL1910" s="83" t="n">
        <x:f>'Inputs'!$B$49</x:f>
        <x:v>1</x:v>
      </x:c>
      <x:c r="AM1910" s="83" t="n">
        <x:f>'Inputs'!$C$49</x:f>
        <x:v>3</x:v>
      </x:c>
      <x:c r="AN1910" s="83" t="n">
        <x:f>'Inputs'!$D$49</x:f>
        <x:v>0.75</x:v>
      </x:c>
      <x:c r="AO1910" s="81" t="n">
        <x:f>'Inputs'!$E$49</x:f>
        <x:v>-0.03</x:v>
      </x:c>
    </x:row>
    <x:row r="1911">
      <x:c r="A1911" s="59" t="str">
        <x:v>Mercenary LP</x:v>
      </x:c>
      <x:c r="B1911" s="59" t="n">
        <x:v>83</x:v>
      </x:c>
      <x:c r="C1911" s="78" t="n">
        <x:f>(('Inputs'!$B$29*(3*83*'Inputs'!$B$12-83^2)/(2*'Inputs'!$B$12^2))-('Inputs'!$B$29*(3*82*'Inputs'!$B$12-82^2)/(2*'Inputs'!$B$12^2)))*'Inputs'!$B$49</x:f>
        <x:v>685164.8996059299</x:v>
      </x:c>
      <x:c r="D1911" s="78" t="n">
        <x:f>IF('Inputs'!$C$49&gt;0,('Inputs'!$B$30*(3*83*'Inputs'!$B$12-83^2)/(2*'Inputs'!$B$12^2))-('Inputs'!$B$30*(3*82*'Inputs'!$B$12-82^2)/(2*'Inputs'!$B$12^2)),0)</x:f>
        <x:v>293642.09983111173</x:v>
      </x:c>
      <x:c r="E1911" s="78" t="n">
        <x:f>C1911+D1911</x:f>
        <x:v>978806.9994370416</x:v>
      </x:c>
      <x:c r="F1911" s="78" t="n">
        <x:f>'Inputs'!$B$13*E1911+(1-'Inputs'!$B$13)/'Inputs'!$B$14*SUM(E1856:E1911)</x:f>
        <x:v>989024.6762994933</x:v>
      </x:c>
      <x:c r="G1911" s="78" t="n">
        <x:f>F1911*'Inputs'!$F$49</x:f>
        <x:v>890122.208669544</x:v>
      </x:c>
      <x:c r="H1911" s="78" t="n">
        <x:f>U1910</x:f>
        <x:v>766532440.2142478</x:v>
      </x:c>
      <x:c r="I1911" s="78" t="n">
        <x:f>V1910</x:f>
        <x:v>152.80707288739748</x:v>
      </x:c>
      <x:c r="J1911" s="79" t="n">
        <x:f>IF(H1911&gt;0,I1911/H1911,0)</x:f>
        <x:v>1.9934847485996483e-7</x:v>
      </x:c>
      <x:c r="K1911" s="80" t="n">
        <x:f>(H1911*J1911+I1911)*'Inputs'!$D$49*(1+'Inputs'!$G$49)^(B1911/30)</x:f>
        <x:v>229.21060933109624</x:v>
      </x:c>
      <x:c r="L1911" s="80" t="n">
        <x:f>MAX(0,K1911*'Inputs'!$E$49)</x:f>
        <x:v>0</x:v>
      </x:c>
      <x:c r="M1911" s="80" t="n">
        <x:f>MAX(0,-K1911*'Inputs'!$E$49)</x:f>
        <x:v>6.876318279932887</x:v>
      </x:c>
      <x:c r="N1911" s="78" t="n">
        <x:f>H1911*(L1911*(1-'Inputs'!$B$15))/(I1911+L1911*(1-'Inputs'!$B$15))</x:f>
        <x:v>0</x:v>
      </x:c>
      <x:c r="O1911" s="78" t="n">
        <x:f>H1911-N1911</x:f>
        <x:v>766532440.2142478</x:v>
      </x:c>
      <x:c r="P1911" s="78" t="n">
        <x:f>I1911+L1911*(1-'Inputs'!$B$17)</x:f>
        <x:v>152.80707288739748</x:v>
      </x:c>
      <x:c r="Q1911" s="78" t="n">
        <x:f>IF(J1911&gt;0,M1911/J1911,0)</x:f>
        <x:v>34493959.80964115</x:v>
      </x:c>
      <x:c r="R1911" s="78" t="n">
        <x:f>IF(B1911='Inputs'!$H$49,'Inputs'!$B$27*'Inputs'!$I$49,0)</x:f>
        <x:v>0</x:v>
      </x:c>
      <x:c r="S1911" s="78" t="n">
        <x:f>Q1911+G1911+R1911</x:f>
        <x:v>35384082.018310696</x:v>
      </x:c>
      <x:c r="T1911" s="78" t="n">
        <x:f>P1911*(S1911*(1-'Inputs'!$B$15))/(O1911+S1911*(1-'Inputs'!$B$15))</x:f>
        <x:v>6.678041211441499</x:v>
      </x:c>
      <x:c r="U1911" s="78" t="n">
        <x:f>O1911+S1911*(1-'Inputs'!$B$17)</x:f>
        <x:v>801774131.5604527</x:v>
      </x:c>
      <x:c r="V1911" s="78" t="n">
        <x:f>P1911-T1911</x:f>
        <x:v>146.12903167595599</x:v>
      </x:c>
      <x:c r="W1911" s="79" t="n">
        <x:f>IF(U1911&gt;0,V1911/U1911,0)</x:f>
        <x:v>1.822571044934468e-7</x:v>
      </x:c>
      <x:c r="X1911" s="80" t="n">
        <x:f>W1911*('Inputs'!$B$6-AC1911)</x:f>
        <x:v>172.91809122599065</x:v>
      </x:c>
      <x:c r="Y1911" s="80" t="n">
        <x:f>2*V1911</x:f>
        <x:v>292.25806335191197</x:v>
      </x:c>
      <x:c r="Z1911" s="80" t="n">
        <x:f>K1911*'Inputs'!$B$16+(G1911+R1911)*J1911*'Inputs'!$B$16</x:f>
        <x:v>1.376328323015001</x:v>
      </x:c>
      <x:c r="AA1911" s="80" t="n">
        <x:f>K1911*(1+'Inputs'!$E$49)/2*'Inputs'!$B$17</x:f>
        <x:v>0.4473526982920792</x:v>
      </x:c>
      <x:c r="AB1911" s="78" t="n">
        <x:f>(IF(J1911&gt;0,K1911*(1-'Inputs'!$E$49)/2/J1911,0)+G1911+R1911)*'Inputs'!$B$17</x:f>
        <x:v>2386464.516193867</x:v>
      </x:c>
      <x:c r="AC1911" s="78" t="n">
        <x:f>AC1910+AB1911</x:f>
        <x:v>51240873.67355237</x:v>
      </x:c>
      <x:c r="AD1911" s="80" t="n">
        <x:f>Z1911/(1+'Inputs'!$C$49)</x:f>
        <x:v>0.34408208075375024</x:v>
      </x:c>
      <x:c r="AE1911" s="80" t="n">
        <x:f>Z1911-AD1911</x:f>
        <x:v>1.0322462422612508</x:v>
      </x:c>
      <x:c r="AF1911" s="80" t="n">
        <x:f>D1911*W1911</x:f>
        <x:v>0.05351835887259407</x:v>
      </x:c>
      <x:c r="AG1911" s="80" t="n">
        <x:f>C1911*W1911</x:f>
        <x:v>0.12487617070271995</x:v>
      </x:c>
      <x:c r="AH1911" s="80" t="n">
        <x:f>2*'Inputs'!$B$8*'Inputs'!$C$49</x:f>
        <x:v>15000</x:v>
      </x:c>
      <x:c r="AI1911" s="81" t="n">
        <x:f>IF(AH1911&gt;0,(AE1911+AF1911)/AH1911*365,0)</x:f>
        <x:v>0.026420271960923558</x:v>
      </x:c>
      <x:c r="AJ1911" s="81" t="n">
        <x:f>IF('Inputs'!$B$49&gt;0,AG1911/('Inputs'!$B$19*'Inputs'!$B$49)*365,0)</x:f>
        <x:v>0.004557980230649278</x:v>
      </x:c>
      <x:c r="AK1911" s="81" t="n">
        <x:f>W1911/MAX($W$1829:W1911)-1</x:f>
        <x:v>-0.9997651990741185</x:v>
      </x:c>
      <x:c r="AL1911" s="83" t="n">
        <x:f>'Inputs'!$B$49</x:f>
        <x:v>1</x:v>
      </x:c>
      <x:c r="AM1911" s="83" t="n">
        <x:f>'Inputs'!$C$49</x:f>
        <x:v>3</x:v>
      </x:c>
      <x:c r="AN1911" s="83" t="n">
        <x:f>'Inputs'!$D$49</x:f>
        <x:v>0.75</x:v>
      </x:c>
      <x:c r="AO1911" s="81" t="n">
        <x:f>'Inputs'!$E$49</x:f>
        <x:v>-0.03</x:v>
      </x:c>
    </x:row>
    <x:row r="1912">
      <x:c r="A1912" s="59" t="str">
        <x:v>Mercenary LP</x:v>
      </x:c>
      <x:c r="B1912" s="59" t="n">
        <x:v>84</x:v>
      </x:c>
      <x:c r="C1912" s="78" t="n">
        <x:f>(('Inputs'!$B$29*(3*84*'Inputs'!$B$12-84^2)/(2*'Inputs'!$B$12^2))-('Inputs'!$B$29*(3*83*'Inputs'!$B$12-83^2)/(2*'Inputs'!$B$12^2)))*'Inputs'!$B$49</x:f>
        <x:v>684839.7917057648</x:v>
      </x:c>
      <x:c r="D1912" s="78" t="n">
        <x:f>IF('Inputs'!$C$49&gt;0,('Inputs'!$B$30*(3*84*'Inputs'!$B$12-84^2)/(2*'Inputs'!$B$12^2))-('Inputs'!$B$30*(3*83*'Inputs'!$B$12-83^2)/(2*'Inputs'!$B$12^2)),0)</x:f>
        <x:v>293502.76787389815</x:v>
      </x:c>
      <x:c r="E1912" s="78" t="n">
        <x:f>C1912+D1912</x:f>
        <x:v>978342.559579663</x:v>
      </x:c>
      <x:c r="F1912" s="78" t="n">
        <x:f>'Inputs'!$B$13*E1912+(1-'Inputs'!$B$13)/'Inputs'!$B$14*SUM(E1857:E1912)</x:f>
        <x:v>988560.2364421103</x:v>
      </x:c>
      <x:c r="G1912" s="78" t="n">
        <x:f>F1912*'Inputs'!$F$49</x:f>
        <x:v>889704.2127978993</x:v>
      </x:c>
      <x:c r="H1912" s="78" t="n">
        <x:f>U1911</x:f>
        <x:v>801774131.5604527</x:v>
      </x:c>
      <x:c r="I1912" s="78" t="n">
        <x:f>V1911</x:f>
        <x:v>146.12903167595599</x:v>
      </x:c>
      <x:c r="J1912" s="79" t="n">
        <x:f>IF(H1912&gt;0,I1912/H1912,0)</x:f>
        <x:v>1.822571044934468e-7</x:v>
      </x:c>
      <x:c r="K1912" s="80" t="n">
        <x:f>(H1912*J1912+I1912)*'Inputs'!$D$49*(1+'Inputs'!$G$49)^(B1912/30)</x:f>
        <x:v>219.193547513934</x:v>
      </x:c>
      <x:c r="L1912" s="80" t="n">
        <x:f>MAX(0,K1912*'Inputs'!$E$49)</x:f>
        <x:v>0</x:v>
      </x:c>
      <x:c r="M1912" s="80" t="n">
        <x:f>MAX(0,-K1912*'Inputs'!$E$49)</x:f>
        <x:v>6.57580642541802</x:v>
      </x:c>
      <x:c r="N1912" s="78" t="n">
        <x:f>H1912*(L1912*(1-'Inputs'!$B$15))/(I1912+L1912*(1-'Inputs'!$B$15))</x:f>
        <x:v>0</x:v>
      </x:c>
      <x:c r="O1912" s="78" t="n">
        <x:f>H1912-N1912</x:f>
        <x:v>801774131.5604527</x:v>
      </x:c>
      <x:c r="P1912" s="78" t="n">
        <x:f>I1912+L1912*(1-'Inputs'!$B$17)</x:f>
        <x:v>146.12903167595599</x:v>
      </x:c>
      <x:c r="Q1912" s="78" t="n">
        <x:f>IF(J1912&gt;0,M1912/J1912,0)</x:f>
        <x:v>36079835.920220375</x:v>
      </x:c>
      <x:c r="R1912" s="78" t="n">
        <x:f>IF(B1912='Inputs'!$H$49,'Inputs'!$B$27*'Inputs'!$I$49,0)</x:f>
        <x:v>0</x:v>
      </x:c>
      <x:c r="S1912" s="78" t="n">
        <x:f>Q1912+G1912+R1912</x:f>
        <x:v>36969540.13301828</x:v>
      </x:c>
      <x:c r="T1912" s="78" t="n">
        <x:f>P1912*(S1912*(1-'Inputs'!$B$15))/(O1912+S1912*(1-'Inputs'!$B$15))</x:f>
        <x:v>6.379372477406486</x:v>
      </x:c>
      <x:c r="U1912" s="78" t="n">
        <x:f>O1912+S1912*(1-'Inputs'!$B$17)</x:f>
        <x:v>838594900.9082274</x:v>
      </x:c>
      <x:c r="V1912" s="78" t="n">
        <x:f>P1912-T1912</x:f>
        <x:v>139.7496591985495</x:v>
      </x:c>
      <x:c r="W1912" s="79" t="n">
        <x:f>IF(U1912&gt;0,V1912/U1912,0)</x:f>
        <x:v>1.66647399175926e-7</x:v>
      </x:c>
      <x:c r="X1912" s="80" t="n">
        <x:f>W1912*('Inputs'!$B$6-AC1912)</x:f>
        <x:v>157.6922861078297</x:v>
      </x:c>
      <x:c r="Y1912" s="80" t="n">
        <x:f>2*V1912</x:f>
        <x:v>279.499318397099</x:v>
      </x:c>
      <x:c r="Z1912" s="80" t="n">
        <x:f>K1912*'Inputs'!$B$16+(G1912+R1912)*J1912*'Inputs'!$B$16</x:f>
        <x:v>1.3161342145656851</x:v>
      </x:c>
      <x:c r="AA1912" s="80" t="n">
        <x:f>K1912*(1+'Inputs'!$E$49)/2*'Inputs'!$B$17</x:f>
        <x:v>0.4278022959527485</x:v>
      </x:c>
      <x:c r="AB1912" s="78" t="n">
        <x:f>(IF(J1912&gt;0,K1912*(1-'Inputs'!$E$49)/2/J1912,0)+G1912+R1912)*'Inputs'!$B$17</x:f>
        <x:v>2496016.985284699</x:v>
      </x:c>
      <x:c r="AC1912" s="78" t="n">
        <x:f>AC1911+AB1912</x:f>
        <x:v>53736890.65883707</x:v>
      </x:c>
      <x:c r="AD1912" s="80" t="n">
        <x:f>Z1912/(1+'Inputs'!$C$49)</x:f>
        <x:v>0.3290335536414213</x:v>
      </x:c>
      <x:c r="AE1912" s="80" t="n">
        <x:f>Z1912-AD1912</x:f>
        <x:v>0.9871006609242639</x:v>
      </x:c>
      <x:c r="AF1912" s="80" t="n">
        <x:f>D1912*W1912</x:f>
        <x:v>0.048911472917120655</x:v>
      </x:c>
      <x:c r="AG1912" s="80" t="n">
        <x:f>C1912*W1912</x:f>
        <x:v>0.11412677013994861</x:v>
      </x:c>
      <x:c r="AH1912" s="80" t="n">
        <x:f>2*'Inputs'!$B$8*'Inputs'!$C$49</x:f>
        <x:v>15000</x:v>
      </x:c>
      <x:c r="AI1912" s="81" t="n">
        <x:f>IF(AH1912&gt;0,(AE1912+AF1912)/AH1912*365,0)</x:f>
        <x:v>0.025209628590140358</x:v>
      </x:c>
      <x:c r="AJ1912" s="81" t="n">
        <x:f>IF('Inputs'!$B$49&gt;0,AG1912/('Inputs'!$B$19*'Inputs'!$B$49)*365,0)</x:f>
        <x:v>0.004165627110108125</x:v>
      </x:c>
      <x:c r="AK1912" s="81" t="n">
        <x:f>W1912/MAX($W$1829:W1912)-1</x:f>
        <x:v>-0.9997853089802398</x:v>
      </x:c>
      <x:c r="AL1912" s="83" t="n">
        <x:f>'Inputs'!$B$49</x:f>
        <x:v>1</x:v>
      </x:c>
      <x:c r="AM1912" s="83" t="n">
        <x:f>'Inputs'!$C$49</x:f>
        <x:v>3</x:v>
      </x:c>
      <x:c r="AN1912" s="83" t="n">
        <x:f>'Inputs'!$D$49</x:f>
        <x:v>0.75</x:v>
      </x:c>
      <x:c r="AO1912" s="81" t="n">
        <x:f>'Inputs'!$E$49</x:f>
        <x:v>-0.03</x:v>
      </x:c>
    </x:row>
    <x:row r="1913">
      <x:c r="A1913" s="59" t="str">
        <x:v>Mercenary LP</x:v>
      </x:c>
      <x:c r="B1913" s="59" t="n">
        <x:v>85</x:v>
      </x:c>
      <x:c r="C1913" s="78" t="n">
        <x:f>(('Inputs'!$B$29*(3*85*'Inputs'!$B$12-85^2)/(2*'Inputs'!$B$12^2))-('Inputs'!$B$29*(3*84*'Inputs'!$B$12-84^2)/(2*'Inputs'!$B$12^2)))*'Inputs'!$B$49</x:f>
        <x:v>684514.6838055924</x:v>
      </x:c>
      <x:c r="D1913" s="78" t="n">
        <x:f>IF('Inputs'!$C$49&gt;0,('Inputs'!$B$30*(3*85*'Inputs'!$B$12-85^2)/(2*'Inputs'!$B$12^2))-('Inputs'!$B$30*(3*84*'Inputs'!$B$12-84^2)/(2*'Inputs'!$B$12^2)),0)</x:f>
        <x:v>293363.43591668084</x:v>
      </x:c>
      <x:c r="E1913" s="78" t="n">
        <x:f>C1913+D1913</x:f>
        <x:v>977878.1197222732</x:v>
      </x:c>
      <x:c r="F1913" s="78" t="n">
        <x:f>'Inputs'!$B$13*E1913+(1-'Inputs'!$B$13)/'Inputs'!$B$14*SUM(E1858:E1913)</x:f>
        <x:v>988095.7965847249</x:v>
      </x:c>
      <x:c r="G1913" s="78" t="n">
        <x:f>F1913*'Inputs'!$F$49</x:f>
        <x:v>889286.2169262525</x:v>
      </x:c>
      <x:c r="H1913" s="78" t="n">
        <x:f>U1912</x:f>
        <x:v>838594900.9082274</x:v>
      </x:c>
      <x:c r="I1913" s="78" t="n">
        <x:f>V1912</x:f>
        <x:v>139.7496591985495</x:v>
      </x:c>
      <x:c r="J1913" s="79" t="n">
        <x:f>IF(H1913&gt;0,I1913/H1913,0)</x:f>
        <x:v>1.66647399175926e-7</x:v>
      </x:c>
      <x:c r="K1913" s="80" t="n">
        <x:f>(H1913*J1913+I1913)*'Inputs'!$D$49*(1+'Inputs'!$G$49)^(B1913/30)</x:f>
        <x:v>209.62448879782426</x:v>
      </x:c>
      <x:c r="L1913" s="80" t="n">
        <x:f>MAX(0,K1913*'Inputs'!$E$49)</x:f>
        <x:v>0</x:v>
      </x:c>
      <x:c r="M1913" s="80" t="n">
        <x:f>MAX(0,-K1913*'Inputs'!$E$49)</x:f>
        <x:v>6.2887346639347275</x:v>
      </x:c>
      <x:c r="N1913" s="78" t="n">
        <x:f>H1913*(L1913*(1-'Inputs'!$B$15))/(I1913+L1913*(1-'Inputs'!$B$15))</x:f>
        <x:v>0</x:v>
      </x:c>
      <x:c r="O1913" s="78" t="n">
        <x:f>H1913-N1913</x:f>
        <x:v>838594900.9082274</x:v>
      </x:c>
      <x:c r="P1913" s="78" t="n">
        <x:f>I1913+L1913*(1-'Inputs'!$B$17)</x:f>
        <x:v>139.7496591985495</x:v>
      </x:c>
      <x:c r="Q1913" s="78" t="n">
        <x:f>IF(J1913&gt;0,M1913/J1913,0)</x:f>
        <x:v>37736770.540870234</x:v>
      </x:c>
      <x:c r="R1913" s="78" t="n">
        <x:f>IF(B1913='Inputs'!$H$49,'Inputs'!$B$27*'Inputs'!$I$49,0)</x:f>
        <x:v>0</x:v>
      </x:c>
      <x:c r="S1913" s="78" t="n">
        <x:f>Q1913+G1913+R1913</x:f>
        <x:v>38626056.75779649</x:v>
      </x:c>
      <x:c r="T1913" s="78" t="n">
        <x:f>P1913*(S1913*(1-'Inputs'!$B$15))/(O1913+S1913*(1-'Inputs'!$B$15))</x:f>
        <x:v>6.094647603577937</x:v>
      </x:c>
      <x:c r="U1913" s="78" t="n">
        <x:f>O1913+S1913*(1-'Inputs'!$B$17)</x:f>
        <x:v>877065520.817904</x:v>
      </x:c>
      <x:c r="V1913" s="78" t="n">
        <x:f>P1913-T1913</x:f>
        <x:v>133.65501159497157</x:v>
      </x:c>
      <x:c r="W1913" s="79" t="n">
        <x:f>IF(U1913&gt;0,V1913/U1913,0)</x:f>
        <x:v>1.52388856274195e-7</x:v>
      </x:c>
      <x:c r="X1913" s="80" t="n">
        <x:f>W1913*('Inputs'!$B$6-AC1913)</x:f>
        <x:v>143.80214517086404</x:v>
      </x:c>
      <x:c r="Y1913" s="80" t="n">
        <x:f>2*V1913</x:f>
        <x:v>267.31002318994314</x:v>
      </x:c>
      <x:c r="Z1913" s="80" t="n">
        <x:f>K1913*'Inputs'!$B$16+(G1913+R1913)*J1913*'Inputs'!$B$16</x:f>
        <x:v>1.258636116197988</x:v>
      </x:c>
      <x:c r="AA1913" s="80" t="n">
        <x:f>K1913*(1+'Inputs'!$E$49)/2*'Inputs'!$B$17</x:f>
        <x:v>0.4091262658629568</x:v>
      </x:c>
      <x:c r="AB1913" s="78" t="n">
        <x:f>(IF(J1913&gt;0,K1913*(1-'Inputs'!$E$49)/2/J1913,0)+G1913+R1913)*'Inputs'!$B$17</x:f>
        <x:v>2610478.258223469</x:v>
      </x:c>
      <x:c r="AC1913" s="78" t="n">
        <x:f>AC1912+AB1913</x:f>
        <x:v>56347368.91706054</x:v>
      </x:c>
      <x:c r="AD1913" s="80" t="n">
        <x:f>Z1913/(1+'Inputs'!$C$49)</x:f>
        <x:v>0.314659029049497</x:v>
      </x:c>
      <x:c r="AE1913" s="80" t="n">
        <x:f>Z1913-AD1913</x:f>
        <x:v>0.9439770871484909</x:v>
      </x:c>
      <x:c r="AF1913" s="80" t="n">
        <x:f>D1913*W1913</x:f>
        <x:v>0.04470531847201109</x:v>
      </x:c>
      <x:c r="AG1913" s="80" t="n">
        <x:f>C1913*W1913</x:f>
        <x:v>0.10431240976802646</x:v>
      </x:c>
      <x:c r="AH1913" s="80" t="n">
        <x:f>2*'Inputs'!$B$8*'Inputs'!$C$49</x:f>
        <x:v>15000</x:v>
      </x:c>
      <x:c r="AI1913" s="81" t="n">
        <x:f>IF(AH1913&gt;0,(AE1913+AF1913)/AH1913*365,0)</x:f>
        <x:v>0.02405793853676555</x:v>
      </x:c>
      <x:c r="AJ1913" s="81" t="n">
        <x:f>IF('Inputs'!$B$49&gt;0,AG1913/('Inputs'!$B$19*'Inputs'!$B$49)*365,0)</x:f>
        <x:v>0.0038074029565329658</x:v>
      </x:c>
      <x:c r="AK1913" s="81" t="n">
        <x:f>W1913/MAX($W$1829:W1913)-1</x:f>
        <x:v>-0.9998036781905065</x:v>
      </x:c>
      <x:c r="AL1913" s="83" t="n">
        <x:f>'Inputs'!$B$49</x:f>
        <x:v>1</x:v>
      </x:c>
      <x:c r="AM1913" s="83" t="n">
        <x:f>'Inputs'!$C$49</x:f>
        <x:v>3</x:v>
      </x:c>
      <x:c r="AN1913" s="83" t="n">
        <x:f>'Inputs'!$D$49</x:f>
        <x:v>0.75</x:v>
      </x:c>
      <x:c r="AO1913" s="81" t="n">
        <x:f>'Inputs'!$E$49</x:f>
        <x:v>-0.03</x:v>
      </x:c>
    </x:row>
    <x:row r="1914">
      <x:c r="A1914" s="59" t="str">
        <x:v>Mercenary LP</x:v>
      </x:c>
      <x:c r="B1914" s="59" t="n">
        <x:v>86</x:v>
      </x:c>
      <x:c r="C1914" s="78" t="n">
        <x:f>(('Inputs'!$B$29*(3*86*'Inputs'!$B$12-86^2)/(2*'Inputs'!$B$12^2))-('Inputs'!$B$29*(3*85*'Inputs'!$B$12-85^2)/(2*'Inputs'!$B$12^2)))*'Inputs'!$B$49</x:f>
        <x:v>684189.5759054199</x:v>
      </x:c>
      <x:c r="D1914" s="78" t="n">
        <x:f>IF('Inputs'!$C$49&gt;0,('Inputs'!$B$30*(3*86*'Inputs'!$B$12-86^2)/(2*'Inputs'!$B$12^2))-('Inputs'!$B$30*(3*85*'Inputs'!$B$12-85^2)/(2*'Inputs'!$B$12^2)),0)</x:f>
        <x:v>293224.10395946726</x:v>
      </x:c>
      <x:c r="E1914" s="78" t="n">
        <x:f>C1914+D1914</x:f>
        <x:v>977413.6798648871</x:v>
      </x:c>
      <x:c r="F1914" s="78" t="n">
        <x:f>'Inputs'!$B$13*E1914+(1-'Inputs'!$B$13)/'Inputs'!$B$14*SUM(E1859:E1914)</x:f>
        <x:v>987631.3567273404</x:v>
      </x:c>
      <x:c r="G1914" s="78" t="n">
        <x:f>F1914*'Inputs'!$F$49</x:f>
        <x:v>888868.2210546064</x:v>
      </x:c>
      <x:c r="H1914" s="78" t="n">
        <x:f>U1913</x:f>
        <x:v>877065520.817904</x:v>
      </x:c>
      <x:c r="I1914" s="78" t="n">
        <x:f>V1913</x:f>
        <x:v>133.65501159497157</x:v>
      </x:c>
      <x:c r="J1914" s="79" t="n">
        <x:f>IF(H1914&gt;0,I1914/H1914,0)</x:f>
        <x:v>1.52388856274195e-7</x:v>
      </x:c>
      <x:c r="K1914" s="80" t="n">
        <x:f>(H1914*J1914+I1914)*'Inputs'!$D$49*(1+'Inputs'!$G$49)^(B1914/30)</x:f>
        <x:v>200.48251739245734</x:v>
      </x:c>
      <x:c r="L1914" s="80" t="n">
        <x:f>MAX(0,K1914*'Inputs'!$E$49)</x:f>
        <x:v>0</x:v>
      </x:c>
      <x:c r="M1914" s="80" t="n">
        <x:f>MAX(0,-K1914*'Inputs'!$E$49)</x:f>
        <x:v>6.01447552177372</x:v>
      </x:c>
      <x:c r="N1914" s="78" t="n">
        <x:f>H1914*(L1914*(1-'Inputs'!$B$15))/(I1914+L1914*(1-'Inputs'!$B$15))</x:f>
        <x:v>0</x:v>
      </x:c>
      <x:c r="O1914" s="78" t="n">
        <x:f>H1914-N1914</x:f>
        <x:v>877065520.817904</x:v>
      </x:c>
      <x:c r="P1914" s="78" t="n">
        <x:f>I1914+L1914*(1-'Inputs'!$B$17)</x:f>
        <x:v>133.65501159497157</x:v>
      </x:c>
      <x:c r="Q1914" s="78" t="n">
        <x:f>IF(J1914&gt;0,M1914/J1914,0)</x:f>
        <x:v>39467948.43680568</x:v>
      </x:c>
      <x:c r="R1914" s="78" t="n">
        <x:f>IF(B1914='Inputs'!$H$49,'Inputs'!$B$27*'Inputs'!$I$49,0)</x:f>
        <x:v>0</x:v>
      </x:c>
      <x:c r="S1914" s="78" t="n">
        <x:f>Q1914+G1914+R1914</x:f>
        <x:v>40356816.65786029</x:v>
      </x:c>
      <x:c r="T1914" s="78" t="n">
        <x:f>P1914*(S1914*(1-'Inputs'!$B$15))/(O1914+S1914*(1-'Inputs'!$B$15))</x:f>
        <x:v>5.823165314687899</x:v>
      </x:c>
      <x:c r="U1914" s="78" t="n">
        <x:f>O1914+S1914*(1-'Inputs'!$B$17)</x:f>
        <x:v>917259935.7990727</x:v>
      </x:c>
      <x:c r="V1914" s="78" t="n">
        <x:f>P1914-T1914</x:f>
        <x:v>127.83184628028367</x:v>
      </x:c>
      <x:c r="W1914" s="79" t="n">
        <x:f>IF(U1914&gt;0,V1914/U1914,0)</x:f>
        <x:v>1.3936272728288597e-7</x:v>
      </x:c>
      <x:c r="X1914" s="80" t="n">
        <x:f>W1914*('Inputs'!$B$6-AC1914)</x:f>
        <x:v>131.12953450554275</x:v>
      </x:c>
      <x:c r="Y1914" s="80" t="n">
        <x:f>2*V1914</x:f>
        <x:v>255.66369256056734</x:v>
      </x:c>
      <x:c r="Z1914" s="80" t="n">
        <x:f>K1914*'Inputs'!$B$16+(G1914+R1914)*J1914*'Inputs'!$B$16</x:f>
        <x:v>1.203707826024254</x:v>
      </x:c>
      <x:c r="AA1914" s="80" t="n">
        <x:f>K1914*(1+'Inputs'!$E$49)/2*'Inputs'!$B$17</x:f>
        <x:v>0.391283786460128</x:v>
      </x:c>
      <x:c r="AB1914" s="78" t="n">
        <x:f>(IF(J1914&gt;0,K1914*(1-'Inputs'!$E$49)/2/J1914,0)+G1914+R1914)*'Inputs'!$B$17</x:f>
        <x:v>2730068.342265133</x:v>
      </x:c>
      <x:c r="AC1914" s="78" t="n">
        <x:f>AC1913+AB1914</x:f>
        <x:v>59077437.25932567</x:v>
      </x:c>
      <x:c r="AD1914" s="80" t="n">
        <x:f>Z1914/(1+'Inputs'!$C$49)</x:f>
        <x:v>0.3009269565060635</x:v>
      </x:c>
      <x:c r="AE1914" s="80" t="n">
        <x:f>Z1914-AD1914</x:f>
        <x:v>0.9027808695181905</x:v>
      </x:c>
      <x:c r="AF1914" s="80" t="n">
        <x:f>D1914*W1914</x:f>
        <x:v>0.04086451083287184</x:v>
      </x:c>
      <x:c r="AG1914" s="80" t="n">
        <x:f>C1914*W1914</x:f>
        <x:v>0.09535052527670045</x:v>
      </x:c>
      <x:c r="AH1914" s="80" t="n">
        <x:f>2*'Inputs'!$B$8*'Inputs'!$C$49</x:f>
        <x:v>15000</x:v>
      </x:c>
      <x:c r="AI1914" s="81" t="n">
        <x:f>IF(AH1914&gt;0,(AE1914+AF1914)/AH1914*365,0)</x:f>
        <x:v>0.022962037588542514</x:v>
      </x:c>
      <x:c r="AJ1914" s="81" t="n">
        <x:f>IF('Inputs'!$B$49&gt;0,AG1914/('Inputs'!$B$19*'Inputs'!$B$49)*365,0)</x:f>
        <x:v>0.0034802941725995667</x:v>
      </x:c>
      <x:c r="AK1914" s="81" t="n">
        <x:f>W1914/MAX($W$1829:W1914)-1</x:f>
        <x:v>-0.9998204596880307</x:v>
      </x:c>
      <x:c r="AL1914" s="83" t="n">
        <x:f>'Inputs'!$B$49</x:f>
        <x:v>1</x:v>
      </x:c>
      <x:c r="AM1914" s="83" t="n">
        <x:f>'Inputs'!$C$49</x:f>
        <x:v>3</x:v>
      </x:c>
      <x:c r="AN1914" s="83" t="n">
        <x:f>'Inputs'!$D$49</x:f>
        <x:v>0.75</x:v>
      </x:c>
      <x:c r="AO1914" s="81" t="n">
        <x:f>'Inputs'!$E$49</x:f>
        <x:v>-0.03</x:v>
      </x:c>
    </x:row>
    <x:row r="1915">
      <x:c r="A1915" s="59" t="str">
        <x:v>Mercenary LP</x:v>
      </x:c>
      <x:c r="B1915" s="59" t="n">
        <x:v>87</x:v>
      </x:c>
      <x:c r="C1915" s="78" t="n">
        <x:f>(('Inputs'!$B$29*(3*87*'Inputs'!$B$12-87^2)/(2*'Inputs'!$B$12^2))-('Inputs'!$B$29*(3*86*'Inputs'!$B$12-86^2)/(2*'Inputs'!$B$12^2)))*'Inputs'!$B$49</x:f>
        <x:v>683864.4680052549</x:v>
      </x:c>
      <x:c r="D1915" s="78" t="n">
        <x:f>IF('Inputs'!$C$49&gt;0,('Inputs'!$B$30*(3*87*'Inputs'!$B$12-87^2)/(2*'Inputs'!$B$12^2))-('Inputs'!$B$30*(3*86*'Inputs'!$B$12-86^2)/(2*'Inputs'!$B$12^2)),0)</x:f>
        <x:v>293084.7720022537</x:v>
      </x:c>
      <x:c r="E1915" s="78" t="n">
        <x:f>C1915+D1915</x:f>
        <x:v>976949.2400075085</x:v>
      </x:c>
      <x:c r="F1915" s="78" t="n">
        <x:f>'Inputs'!$B$13*E1915+(1-'Inputs'!$B$13)/'Inputs'!$B$14*SUM(E1860:E1915)</x:f>
        <x:v>987166.9168699573</x:v>
      </x:c>
      <x:c r="G1915" s="78" t="n">
        <x:f>F1915*'Inputs'!$F$49</x:f>
        <x:v>888450.2251829617</x:v>
      </x:c>
      <x:c r="H1915" s="78" t="n">
        <x:f>U1914</x:f>
        <x:v>917259935.7990727</x:v>
      </x:c>
      <x:c r="I1915" s="78" t="n">
        <x:f>V1914</x:f>
        <x:v>127.83184628028367</x:v>
      </x:c>
      <x:c r="J1915" s="79" t="n">
        <x:f>IF(H1915&gt;0,I1915/H1915,0)</x:f>
        <x:v>1.3936272728288597e-7</x:v>
      </x:c>
      <x:c r="K1915" s="80" t="n">
        <x:f>(H1915*J1915+I1915)*'Inputs'!$D$49*(1+'Inputs'!$G$49)^(B1915/30)</x:f>
        <x:v>191.7477694204255</x:v>
      </x:c>
      <x:c r="L1915" s="80" t="n">
        <x:f>MAX(0,K1915*'Inputs'!$E$49)</x:f>
        <x:v>0</x:v>
      </x:c>
      <x:c r="M1915" s="80" t="n">
        <x:f>MAX(0,-K1915*'Inputs'!$E$49)</x:f>
        <x:v>5.7524330826127645</x:v>
      </x:c>
      <x:c r="N1915" s="78" t="n">
        <x:f>H1915*(L1915*(1-'Inputs'!$B$15))/(I1915+L1915*(1-'Inputs'!$B$15))</x:f>
        <x:v>0</x:v>
      </x:c>
      <x:c r="O1915" s="78" t="n">
        <x:f>H1915-N1915</x:f>
        <x:v>917259935.7990727</x:v>
      </x:c>
      <x:c r="P1915" s="78" t="n">
        <x:f>I1915+L1915*(1-'Inputs'!$B$17)</x:f>
        <x:v>127.83184628028367</x:v>
      </x:c>
      <x:c r="Q1915" s="78" t="n">
        <x:f>IF(J1915&gt;0,M1915/J1915,0)</x:f>
        <x:v>41276697.11095827</x:v>
      </x:c>
      <x:c r="R1915" s="78" t="n">
        <x:f>IF(B1915='Inputs'!$H$49,'Inputs'!$B$27*'Inputs'!$I$49,0)</x:f>
        <x:v>0</x:v>
      </x:c>
      <x:c r="S1915" s="78" t="n">
        <x:f>Q1915+G1915+R1915</x:f>
        <x:v>42165147.33614123</x:v>
      </x:c>
      <x:c r="T1915" s="78" t="n">
        <x:f>P1915*(S1915*(1-'Inputs'!$B$15))/(O1915+S1915*(1-'Inputs'!$B$15))</x:f>
        <x:v>5.564263870344594</x:v>
      </x:c>
      <x:c r="U1915" s="78" t="n">
        <x:f>O1915+S1915*(1-'Inputs'!$B$17)</x:f>
        <x:v>959255404.4739015</x:v>
      </x:c>
      <x:c r="V1915" s="78" t="n">
        <x:f>P1915-T1915</x:f>
        <x:v>122.26758240993908</x:v>
      </x:c>
      <x:c r="W1915" s="79" t="n">
        <x:f>IF(U1915&gt;0,V1915/U1915,0)</x:f>
        <x:v>1.274609262973046e-7</x:v>
      </x:c>
      <x:c r="X1915" s="80" t="n">
        <x:f>W1915*('Inputs'!$B$6-AC1915)</x:f>
        <x:v>119.56695829614289</x:v>
      </x:c>
      <x:c r="Y1915" s="80" t="n">
        <x:f>2*V1915</x:f>
        <x:v>244.53516481987816</x:v>
      </x:c>
      <x:c r="Z1915" s="80" t="n">
        <x:f>K1915*'Inputs'!$B$16+(G1915+R1915)*J1915*'Inputs'!$B$16</x:f>
        <x:v>1.1512295176011724</x:v>
      </x:c>
      <x:c r="AA1915" s="80" t="n">
        <x:f>K1915*(1+'Inputs'!$E$49)/2*'Inputs'!$B$17</x:f>
        <x:v>0.3742360892108908</x:v>
      </x:c>
      <x:c r="AB1915" s="78" t="n">
        <x:f>(IF(J1915&gt;0,K1915*(1-'Inputs'!$E$49)/2/J1915,0)+G1915+R1915)*'Inputs'!$B$17</x:f>
        <x:v>2855017.105150772</x:v>
      </x:c>
      <x:c r="AC1915" s="78" t="n">
        <x:f>AC1914+AB1915</x:f>
        <x:v>61932454.36447644</x:v>
      </x:c>
      <x:c r="AD1915" s="80" t="n">
        <x:f>Z1915/(1+'Inputs'!$C$49)</x:f>
        <x:v>0.2878073794002931</x:v>
      </x:c>
      <x:c r="AE1915" s="80" t="n">
        <x:f>Z1915-AD1915</x:f>
        <x:v>0.8634221382008793</x:v>
      </x:c>
      <x:c r="AF1915" s="80" t="n">
        <x:f>D1915*W1915</x:f>
        <x:v>0.037356856523041576</x:v>
      </x:c>
      <x:c r="AG1915" s="80" t="n">
        <x:f>C1915*W1915</x:f>
        <x:v>0.08716599855376321</x:v>
      </x:c>
      <x:c r="AH1915" s="80" t="n">
        <x:f>2*'Inputs'!$B$8*'Inputs'!$C$49</x:f>
        <x:v>15000</x:v>
      </x:c>
      <x:c r="AI1915" s="81" t="n">
        <x:f>IF(AH1915&gt;0,(AE1915+AF1915)/AH1915*365,0)</x:f>
        <x:v>0.021918955538282076</x:v>
      </x:c>
      <x:c r="AJ1915" s="81" t="n">
        <x:f>IF('Inputs'!$B$49&gt;0,AG1915/('Inputs'!$B$19*'Inputs'!$B$49)*365,0)</x:f>
        <x:v>0.0031815589472123573</x:v>
      </x:c>
      <x:c r="AK1915" s="81" t="n">
        <x:f>W1915/MAX($W$1829:W1915)-1</x:f>
        <x:v>-0.9998357927193483</x:v>
      </x:c>
      <x:c r="AL1915" s="83" t="n">
        <x:f>'Inputs'!$B$49</x:f>
        <x:v>1</x:v>
      </x:c>
      <x:c r="AM1915" s="83" t="n">
        <x:f>'Inputs'!$C$49</x:f>
        <x:v>3</x:v>
      </x:c>
      <x:c r="AN1915" s="83" t="n">
        <x:f>'Inputs'!$D$49</x:f>
        <x:v>0.75</x:v>
      </x:c>
      <x:c r="AO1915" s="81" t="n">
        <x:f>'Inputs'!$E$49</x:f>
        <x:v>-0.03</x:v>
      </x:c>
    </x:row>
    <x:row r="1916">
      <x:c r="A1916" s="59" t="str">
        <x:v>Mercenary LP</x:v>
      </x:c>
      <x:c r="B1916" s="59" t="n">
        <x:v>88</x:v>
      </x:c>
      <x:c r="C1916" s="78" t="n">
        <x:f>(('Inputs'!$B$29*(3*88*'Inputs'!$B$12-88^2)/(2*'Inputs'!$B$12^2))-('Inputs'!$B$29*(3*87*'Inputs'!$B$12-87^2)/(2*'Inputs'!$B$12^2)))*'Inputs'!$B$49</x:f>
        <x:v>683539.3601050824</x:v>
      </x:c>
      <x:c r="D1916" s="78" t="n">
        <x:f>IF('Inputs'!$C$49&gt;0,('Inputs'!$B$30*(3*88*'Inputs'!$B$12-88^2)/(2*'Inputs'!$B$12^2))-('Inputs'!$B$30*(3*87*'Inputs'!$B$12-87^2)/(2*'Inputs'!$B$12^2)),0)</x:f>
        <x:v>292945.4400450364</x:v>
      </x:c>
      <x:c r="E1916" s="78" t="n">
        <x:f>C1916+D1916</x:f>
        <x:v>976484.8001501188</x:v>
      </x:c>
      <x:c r="F1916" s="78" t="n">
        <x:f>'Inputs'!$B$13*E1916+(1-'Inputs'!$B$13)/'Inputs'!$B$14*SUM(E1861:E1916)</x:f>
        <x:v>986702.4770125719</x:v>
      </x:c>
      <x:c r="G1916" s="78" t="n">
        <x:f>F1916*'Inputs'!$F$49</x:f>
        <x:v>888032.2293113148</x:v>
      </x:c>
      <x:c r="H1916" s="78" t="n">
        <x:f>U1915</x:f>
        <x:v>959255404.4739015</x:v>
      </x:c>
      <x:c r="I1916" s="78" t="n">
        <x:f>V1915</x:f>
        <x:v>122.26758240993908</x:v>
      </x:c>
      <x:c r="J1916" s="79" t="n">
        <x:f>IF(H1916&gt;0,I1916/H1916,0)</x:f>
        <x:v>1.274609262973046e-7</x:v>
      </x:c>
      <x:c r="K1916" s="80" t="n">
        <x:f>(H1916*J1916+I1916)*'Inputs'!$D$49*(1+'Inputs'!$G$49)^(B1916/30)</x:f>
        <x:v>183.4013736149086</x:v>
      </x:c>
      <x:c r="L1916" s="80" t="n">
        <x:f>MAX(0,K1916*'Inputs'!$E$49)</x:f>
        <x:v>0</x:v>
      </x:c>
      <x:c r="M1916" s="80" t="n">
        <x:f>MAX(0,-K1916*'Inputs'!$E$49)</x:f>
        <x:v>5.502041208447258</x:v>
      </x:c>
      <x:c r="N1916" s="78" t="n">
        <x:f>H1916*(L1916*(1-'Inputs'!$B$15))/(I1916+L1916*(1-'Inputs'!$B$15))</x:f>
        <x:v>0</x:v>
      </x:c>
      <x:c r="O1916" s="78" t="n">
        <x:f>H1916-N1916</x:f>
        <x:v>959255404.4739015</x:v>
      </x:c>
      <x:c r="P1916" s="78" t="n">
        <x:f>I1916+L1916*(1-'Inputs'!$B$17)</x:f>
        <x:v>122.26758240993908</x:v>
      </x:c>
      <x:c r="Q1916" s="78" t="n">
        <x:f>IF(J1916&gt;0,M1916/J1916,0)</x:f>
        <x:v>43166493.201325566</x:v>
      </x:c>
      <x:c r="R1916" s="78" t="n">
        <x:f>IF(B1916='Inputs'!$H$49,'Inputs'!$B$27*'Inputs'!$I$49,0)</x:f>
        <x:v>0</x:v>
      </x:c>
      <x:c r="S1916" s="78" t="n">
        <x:f>Q1916+G1916+R1916</x:f>
        <x:v>44054525.43063688</x:v>
      </x:c>
      <x:c r="T1916" s="78" t="n">
        <x:f>P1916*(S1916*(1-'Inputs'!$B$15))/(O1916+S1916*(1-'Inputs'!$B$15))</x:f>
        <x:v>5.317318483398282</x:v>
      </x:c>
      <x:c r="U1916" s="78" t="n">
        <x:f>O1916+S1916*(1-'Inputs'!$B$17)</x:f>
        <x:v>1003132648.112061</x:v>
      </x:c>
      <x:c r="V1916" s="78" t="n">
        <x:f>P1916-T1916</x:f>
        <x:v>116.9502639265408</x:v>
      </x:c>
      <x:c r="W1916" s="79" t="n">
        <x:f>IF(U1916&gt;0,V1916/U1916,0)</x:f>
        <x:v>1.1658504400853291e-7</x:v>
      </x:c>
      <x:c r="X1916" s="80" t="n">
        <x:f>W1916*('Inputs'!$B$6-AC1916)</x:f>
        <x:v>109.01657389696709</x:v>
      </x:c>
      <x:c r="Y1916" s="80" t="n">
        <x:f>2*V1916</x:f>
        <x:v>233.9005278530816</x:v>
      </x:c>
      <x:c r="Z1916" s="80" t="n">
        <x:f>K1916*'Inputs'!$B$16+(G1916+R1916)*J1916*'Inputs'!$B$16</x:f>
        <x:v>1.101087378152631</x:v>
      </x:c>
      <x:c r="AA1916" s="80" t="n">
        <x:f>K1916*(1+'Inputs'!$E$49)/2*'Inputs'!$B$17</x:f>
        <x:v>0.3579463428701436</x:v>
      </x:c>
      <x:c r="AB1916" s="78" t="n">
        <x:f>(IF(J1916&gt;0,K1916*(1-'Inputs'!$E$49)/2/J1916,0)+G1916+R1916)*'Inputs'!$B$17</x:f>
        <x:v>2985564.7170438645</x:v>
      </x:c>
      <x:c r="AC1916" s="78" t="n">
        <x:f>AC1915+AB1916</x:f>
        <x:v>64918019.081520304</x:v>
      </x:c>
      <x:c r="AD1916" s="80" t="n">
        <x:f>Z1916/(1+'Inputs'!$C$49)</x:f>
        <x:v>0.27527184453815773</x:v>
      </x:c>
      <x:c r="AE1916" s="80" t="n">
        <x:f>Z1916-AD1916</x:f>
        <x:v>0.8258155336144732</x:v>
      </x:c>
      <x:c r="AF1916" s="80" t="n">
        <x:f>D1916*W1916</x:f>
        <x:v>0.034153057019749605</x:v>
      </x:c>
      <x:c r="AG1916" s="80" t="n">
        <x:f>C1916*W1916</x:f>
        <x:v>0.07969046637941546</x:v>
      </x:c>
      <x:c r="AH1916" s="80" t="n">
        <x:f>2*'Inputs'!$B$8*'Inputs'!$C$49</x:f>
        <x:v>15000</x:v>
      </x:c>
      <x:c r="AI1916" s="81" t="n">
        <x:f>IF(AH1916&gt;0,(AE1916+AF1916)/AH1916*365,0)</x:f>
        <x:v>0.02092590237209942</x:v>
      </x:c>
      <x:c r="AJ1916" s="81" t="n">
        <x:f>IF('Inputs'!$B$49&gt;0,AG1916/('Inputs'!$B$19*'Inputs'!$B$49)*365,0)</x:f>
        <x:v>0.0029087020228486644</x:v>
      </x:c>
      <x:c r="AK1916" s="81" t="n">
        <x:f>W1916/MAX($W$1829:W1916)-1</x:f>
        <x:v>-0.9998498040646854</x:v>
      </x:c>
      <x:c r="AL1916" s="83" t="n">
        <x:f>'Inputs'!$B$49</x:f>
        <x:v>1</x:v>
      </x:c>
      <x:c r="AM1916" s="83" t="n">
        <x:f>'Inputs'!$C$49</x:f>
        <x:v>3</x:v>
      </x:c>
      <x:c r="AN1916" s="83" t="n">
        <x:f>'Inputs'!$D$49</x:f>
        <x:v>0.75</x:v>
      </x:c>
      <x:c r="AO1916" s="81" t="n">
        <x:f>'Inputs'!$E$49</x:f>
        <x:v>-0.03</x:v>
      </x:c>
    </x:row>
    <x:row r="1917">
      <x:c r="A1917" s="59" t="str">
        <x:v>Mercenary LP</x:v>
      </x:c>
      <x:c r="B1917" s="59" t="n">
        <x:v>89</x:v>
      </x:c>
      <x:c r="C1917" s="78" t="n">
        <x:f>(('Inputs'!$B$29*(3*89*'Inputs'!$B$12-89^2)/(2*'Inputs'!$B$12^2))-('Inputs'!$B$29*(3*88*'Inputs'!$B$12-88^2)/(2*'Inputs'!$B$12^2)))*'Inputs'!$B$49</x:f>
        <x:v>683214.2522049174</x:v>
      </x:c>
      <x:c r="D1917" s="78" t="n">
        <x:f>IF('Inputs'!$C$49&gt;0,('Inputs'!$B$30*(3*89*'Inputs'!$B$12-89^2)/(2*'Inputs'!$B$12^2))-('Inputs'!$B$30*(3*88*'Inputs'!$B$12-88^2)/(2*'Inputs'!$B$12^2)),0)</x:f>
        <x:v>292806.10808781907</x:v>
      </x:c>
      <x:c r="E1917" s="78" t="n">
        <x:f>C1917+D1917</x:f>
        <x:v>976020.3602927364</x:v>
      </x:c>
      <x:c r="F1917" s="78" t="n">
        <x:f>'Inputs'!$B$13*E1917+(1-'Inputs'!$B$13)/'Inputs'!$B$14*SUM(E1862:E1917)</x:f>
        <x:v>986238.0371551884</x:v>
      </x:c>
      <x:c r="G1917" s="78" t="n">
        <x:f>F1917*'Inputs'!$F$49</x:f>
        <x:v>887614.2334396696</x:v>
      </x:c>
      <x:c r="H1917" s="78" t="n">
        <x:f>U1916</x:f>
        <x:v>1003132648.112061</x:v>
      </x:c>
      <x:c r="I1917" s="78" t="n">
        <x:f>V1916</x:f>
        <x:v>116.9502639265408</x:v>
      </x:c>
      <x:c r="J1917" s="79" t="n">
        <x:f>IF(H1917&gt;0,I1917/H1917,0)</x:f>
        <x:v>1.1658504400853291e-7</x:v>
      </x:c>
      <x:c r="K1917" s="80" t="n">
        <x:f>(H1917*J1917+I1917)*'Inputs'!$D$49*(1+'Inputs'!$G$49)^(B1917/30)</x:f>
        <x:v>175.4253958898112</x:v>
      </x:c>
      <x:c r="L1917" s="80" t="n">
        <x:f>MAX(0,K1917*'Inputs'!$E$49)</x:f>
        <x:v>0</x:v>
      </x:c>
      <x:c r="M1917" s="80" t="n">
        <x:f>MAX(0,-K1917*'Inputs'!$E$49)</x:f>
        <x:v>5.262761876694336</x:v>
      </x:c>
      <x:c r="N1917" s="78" t="n">
        <x:f>H1917*(L1917*(1-'Inputs'!$B$15))/(I1917+L1917*(1-'Inputs'!$B$15))</x:f>
        <x:v>0</x:v>
      </x:c>
      <x:c r="O1917" s="78" t="n">
        <x:f>H1917-N1917</x:f>
        <x:v>1003132648.112061</x:v>
      </x:c>
      <x:c r="P1917" s="78" t="n">
        <x:f>I1917+L1917*(1-'Inputs'!$B$17)</x:f>
        <x:v>116.9502639265408</x:v>
      </x:c>
      <x:c r="Q1917" s="78" t="n">
        <x:f>IF(J1917&gt;0,M1917/J1917,0)</x:f>
        <x:v>45140969.16504275</x:v>
      </x:c>
      <x:c r="R1917" s="78" t="n">
        <x:f>IF(B1917='Inputs'!$H$49,'Inputs'!$B$27*'Inputs'!$I$49,0)</x:f>
        <x:v>0</x:v>
      </x:c>
      <x:c r="S1917" s="78" t="n">
        <x:f>Q1917+G1917+R1917</x:f>
        <x:v>46028583.39848242</x:v>
      </x:c>
      <x:c r="T1917" s="78" t="n">
        <x:f>P1917*(S1917*(1-'Inputs'!$B$15))/(O1917+S1917*(1-'Inputs'!$B$15))</x:f>
        <x:v>5.0817389350336155</x:v>
      </x:c>
      <x:c r="U1917" s="78" t="n">
        <x:f>O1917+S1917*(1-'Inputs'!$B$17)</x:f>
        <x:v>1048976005.8228232</x:v>
      </x:c>
      <x:c r="V1917" s="78" t="n">
        <x:f>P1917-T1917</x:f>
        <x:v>111.86852499150719</x:v>
      </x:c>
      <x:c r="W1917" s="79" t="n">
        <x:f>IF(U1917&gt;0,V1917/U1917,0)</x:f>
        <x:v>1.0664545649331305e-7</x:v>
      </x:c>
      <x:c r="X1917" s="80" t="n">
        <x:f>W1917*('Inputs'!$B$6-AC1917)</x:f>
        <x:v>99.38930163910445</x:v>
      </x:c>
      <x:c r="Y1917" s="80" t="n">
        <x:f>2*V1917</x:f>
        <x:v>223.73704998301437</x:v>
      </x:c>
      <x:c r="Z1917" s="80" t="n">
        <x:f>K1917*'Inputs'!$B$16+(G1917+R1917)*J1917*'Inputs'!$B$16</x:f>
        <x:v>1.0531732706056762</x:v>
      </x:c>
      <x:c r="AA1917" s="80" t="n">
        <x:f>K1917*(1+'Inputs'!$E$49)/2*'Inputs'!$B$17</x:f>
        <x:v>0.3423795452980219</x:v>
      </x:c>
      <x:c r="AB1917" s="78" t="n">
        <x:f>(IF(J1917&gt;0,K1917*(1-'Inputs'!$E$49)/2/J1917,0)+G1917+R1917)*'Inputs'!$B$17</x:f>
        <x:v>3121962.1122736693</x:v>
      </x:c>
      <x:c r="AC1917" s="78" t="n">
        <x:f>AC1916+AB1917</x:f>
        <x:v>68039981.19379397</x:v>
      </x:c>
      <x:c r="AD1917" s="80" t="n">
        <x:f>Z1917/(1+'Inputs'!$C$49)</x:f>
        <x:v>0.26329331765141906</x:v>
      </x:c>
      <x:c r="AE1917" s="80" t="n">
        <x:f>Z1917-AD1917</x:f>
        <x:v>0.7898799529542572</x:v>
      </x:c>
      <x:c r="AF1917" s="80" t="n">
        <x:f>D1917*W1917</x:f>
        <x:v>0.031226441061055828</x:v>
      </x:c>
      <x:c r="AG1917" s="80" t="n">
        <x:f>C1917*W1917</x:f>
        <x:v>0.07286169580913092</x:v>
      </x:c>
      <x:c r="AH1917" s="80" t="n">
        <x:f>2*'Inputs'!$B$8*'Inputs'!$C$49</x:f>
        <x:v>15000</x:v>
      </x:c>
      <x:c r="AI1917" s="81" t="n">
        <x:f>IF(AH1917&gt;0,(AE1917+AF1917)/AH1917*365,0)</x:f>
        <x:v>0.019980255587705952</x:v>
      </x:c>
      <x:c r="AJ1917" s="81" t="n">
        <x:f>IF('Inputs'!$B$49&gt;0,AG1917/('Inputs'!$B$19*'Inputs'!$B$49)*365,0)</x:f>
        <x:v>0.0026594518970332786</x:v>
      </x:c>
      <x:c r="AK1917" s="81" t="n">
        <x:f>W1917/MAX($W$1829:W1917)-1</x:f>
        <x:v>-0.9998626091860985</x:v>
      </x:c>
      <x:c r="AL1917" s="83" t="n">
        <x:f>'Inputs'!$B$49</x:f>
        <x:v>1</x:v>
      </x:c>
      <x:c r="AM1917" s="83" t="n">
        <x:f>'Inputs'!$C$49</x:f>
        <x:v>3</x:v>
      </x:c>
      <x:c r="AN1917" s="83" t="n">
        <x:f>'Inputs'!$D$49</x:f>
        <x:v>0.75</x:v>
      </x:c>
      <x:c r="AO1917" s="81" t="n">
        <x:f>'Inputs'!$E$49</x:f>
        <x:v>-0.03</x:v>
      </x:c>
    </x:row>
    <x:row r="1918">
      <x:c r="A1918" s="59" t="str">
        <x:v>Mercenary LP</x:v>
      </x:c>
      <x:c r="B1918" s="59" t="n">
        <x:v>90</x:v>
      </x:c>
      <x:c r="C1918" s="78" t="n">
        <x:f>(('Inputs'!$B$29*(3*90*'Inputs'!$B$12-90^2)/(2*'Inputs'!$B$12^2))-('Inputs'!$B$29*(3*89*'Inputs'!$B$12-89^2)/(2*'Inputs'!$B$12^2)))*'Inputs'!$B$49</x:f>
        <x:v>682889.1443047523</x:v>
      </x:c>
      <x:c r="D1918" s="78" t="n">
        <x:f>IF('Inputs'!$C$49&gt;0,('Inputs'!$B$30*(3*90*'Inputs'!$B$12-90^2)/(2*'Inputs'!$B$12^2))-('Inputs'!$B$30*(3*89*'Inputs'!$B$12-89^2)/(2*'Inputs'!$B$12^2)),0)</x:f>
        <x:v>292666.7761306055</x:v>
      </x:c>
      <x:c r="E1918" s="78" t="n">
        <x:f>C1918+D1918</x:f>
        <x:v>975555.9204353578</x:v>
      </x:c>
      <x:c r="F1918" s="78" t="n">
        <x:f>'Inputs'!$B$13*E1918+(1-'Inputs'!$B$13)/'Inputs'!$B$14*SUM(E1863:E1918)</x:f>
        <x:v>985773.5972978052</x:v>
      </x:c>
      <x:c r="G1918" s="78" t="n">
        <x:f>F1918*'Inputs'!$F$49</x:f>
        <x:v>887196.2375680248</x:v>
      </x:c>
      <x:c r="H1918" s="78" t="n">
        <x:f>U1917</x:f>
        <x:v>1048976005.8228232</x:v>
      </x:c>
      <x:c r="I1918" s="78" t="n">
        <x:f>V1917</x:f>
        <x:v>111.86852499150719</x:v>
      </x:c>
      <x:c r="J1918" s="79" t="n">
        <x:f>IF(H1918&gt;0,I1918/H1918,0)</x:f>
        <x:v>1.0664545649331305e-7</x:v>
      </x:c>
      <x:c r="K1918" s="80" t="n">
        <x:f>(H1918*J1918+I1918)*'Inputs'!$D$49*(1+'Inputs'!$G$49)^(B1918/30)</x:f>
        <x:v>167.8027874872608</x:v>
      </x:c>
      <x:c r="L1918" s="80" t="n">
        <x:f>MAX(0,K1918*'Inputs'!$E$49)</x:f>
        <x:v>0</x:v>
      </x:c>
      <x:c r="M1918" s="80" t="n">
        <x:f>MAX(0,-K1918*'Inputs'!$E$49)</x:f>
        <x:v>5.034083624617823</x:v>
      </x:c>
      <x:c r="N1918" s="78" t="n">
        <x:f>H1918*(L1918*(1-'Inputs'!$B$15))/(I1918+L1918*(1-'Inputs'!$B$15))</x:f>
        <x:v>0</x:v>
      </x:c>
      <x:c r="O1918" s="78" t="n">
        <x:f>H1918-N1918</x:f>
        <x:v>1048976005.8228232</x:v>
      </x:c>
      <x:c r="P1918" s="78" t="n">
        <x:f>I1918+L1918*(1-'Inputs'!$B$17)</x:f>
        <x:v>111.86852499150719</x:v>
      </x:c>
      <x:c r="Q1918" s="78" t="n">
        <x:f>IF(J1918&gt;0,M1918/J1918,0)</x:f>
        <x:v>47203920.26202704</x:v>
      </x:c>
      <x:c r="R1918" s="78" t="n">
        <x:f>IF(B1918='Inputs'!$H$49,'Inputs'!$B$27*'Inputs'!$I$49,0)</x:f>
        <x:v>0</x:v>
      </x:c>
      <x:c r="S1918" s="78" t="n">
        <x:f>Q1918+G1918+R1918</x:f>
        <x:v>48091116.49959507</x:v>
      </x:c>
      <x:c r="T1918" s="78" t="n">
        <x:f>P1918*(S1918*(1-'Inputs'!$B$15))/(O1918+S1918*(1-'Inputs'!$B$15))</x:f>
        <x:v>4.856967369398916</x:v>
      </x:c>
      <x:c r="U1918" s="78" t="n">
        <x:f>O1918+S1918*(1-'Inputs'!$B$17)</x:f>
        <x:v>1096873596.7027016</x:v>
      </x:c>
      <x:c r="V1918" s="78" t="n">
        <x:f>P1918-T1918</x:f>
        <x:v>107.01155762210827</x:v>
      </x:c>
      <x:c r="W1918" s="79" t="n">
        <x:f>IF(U1918&gt;0,V1918/U1918,0)</x:f>
        <x:v>9.756051922828156e-8</x:v>
      </x:c>
      <x:c r="X1918" s="80" t="n">
        <x:f>W1918*('Inputs'!$B$6-AC1918)</x:f>
        <x:v>90.60401980294037</x:v>
      </x:c>
      <x:c r="Y1918" s="80" t="n">
        <x:f>2*V1918</x:f>
        <x:v>214.02311524421654</x:v>
      </x:c>
      <x:c r="Z1918" s="80" t="n">
        <x:f>K1918*'Inputs'!$B$16+(G1918+R1918)*J1918*'Inputs'!$B$16</x:f>
        <x:v>1.0073844176100921</x:v>
      </x:c>
      <x:c r="AA1918" s="80" t="n">
        <x:f>K1918*(1+'Inputs'!$E$49)/2*'Inputs'!$B$17</x:f>
        <x:v>0.32750242225883897</x:v>
      </x:c>
      <x:c r="AB1918" s="78" t="n">
        <x:f>(IF(J1918&gt;0,K1918*(1-'Inputs'!$E$49)/2/J1918,0)+G1918+R1918)*'Inputs'!$B$17</x:f>
        <x:v>3264471.471773437</x:v>
      </x:c>
      <x:c r="AC1918" s="78" t="n">
        <x:f>AC1917+AB1918</x:f>
        <x:v>71304452.6655674</x:v>
      </x:c>
      <x:c r="AD1918" s="80" t="n">
        <x:f>Z1918/(1+'Inputs'!$C$49)</x:f>
        <x:v>0.25184610440252303</x:v>
      </x:c>
      <x:c r="AE1918" s="80" t="n">
        <x:f>Z1918-AD1918</x:f>
        <x:v>0.755538313207569</x:v>
      </x:c>
      <x:c r="AF1918" s="80" t="n">
        <x:f>D1918*W1918</x:f>
        <x:v>0.02855272264016911</x:v>
      </x:c>
      <x:c r="AG1918" s="80" t="n">
        <x:f>C1918*W1918</x:f>
        <x:v>0.06662301949372854</x:v>
      </x:c>
      <x:c r="AH1918" s="80" t="n">
        <x:f>2*'Inputs'!$B$8*'Inputs'!$C$49</x:f>
        <x:v>15000</x:v>
      </x:c>
      <x:c r="AI1918" s="81" t="n">
        <x:f>IF(AH1918&gt;0,(AE1918+AF1918)/AH1918*365,0)</x:f>
        <x:v>0.019079548538961627</x:v>
      </x:c>
      <x:c r="AJ1918" s="81" t="n">
        <x:f>IF('Inputs'!$B$49&gt;0,AG1918/('Inputs'!$B$19*'Inputs'!$B$49)*365,0)</x:f>
        <x:v>0.0024317402115210914</x:v>
      </x:c>
      <x:c r="AK1918" s="81" t="n">
        <x:f>W1918/MAX($W$1829:W1918)-1</x:f>
        <x:v>-0.9998743132658233</x:v>
      </x:c>
      <x:c r="AL1918" s="83" t="n">
        <x:f>'Inputs'!$B$49</x:f>
        <x:v>1</x:v>
      </x:c>
      <x:c r="AM1918" s="83" t="n">
        <x:f>'Inputs'!$C$49</x:f>
        <x:v>3</x:v>
      </x:c>
      <x:c r="AN1918" s="83" t="n">
        <x:f>'Inputs'!$D$49</x:f>
        <x:v>0.75</x:v>
      </x:c>
      <x:c r="AO1918" s="81" t="n">
        <x:f>'Inputs'!$E$49</x:f>
        <x:v>-0.03</x:v>
      </x:c>
    </x:row>
    <x:row r="1919">
      <x:c r="A1919" s="59" t="str">
        <x:v>Mercenary LP</x:v>
      </x:c>
      <x:c r="B1919" s="59" t="n">
        <x:v>91</x:v>
      </x:c>
      <x:c r="C1919" s="78" t="n">
        <x:f>(('Inputs'!$B$29*(3*91*'Inputs'!$B$12-91^2)/(2*'Inputs'!$B$12^2))-('Inputs'!$B$29*(3*90*'Inputs'!$B$12-90^2)/(2*'Inputs'!$B$12^2)))*'Inputs'!$B$49</x:f>
        <x:v>682564.0364045799</x:v>
      </x:c>
      <x:c r="D1919" s="78" t="n">
        <x:f>IF('Inputs'!$C$49&gt;0,('Inputs'!$B$30*(3*91*'Inputs'!$B$12-91^2)/(2*'Inputs'!$B$12^2))-('Inputs'!$B$30*(3*90*'Inputs'!$B$12-90^2)/(2*'Inputs'!$B$12^2)),0)</x:f>
        <x:v>292527.4441733919</x:v>
      </x:c>
      <x:c r="E1919" s="78" t="n">
        <x:f>C1919+D1919</x:f>
        <x:v>975091.4805779718</x:v>
      </x:c>
      <x:c r="F1919" s="78" t="n">
        <x:f>'Inputs'!$B$13*E1919+(1-'Inputs'!$B$13)/'Inputs'!$B$14*SUM(E1864:E1919)</x:f>
        <x:v>985309.1574404209</x:v>
      </x:c>
      <x:c r="G1919" s="78" t="n">
        <x:f>F1919*'Inputs'!$F$49</x:f>
        <x:v>886778.2416963789</x:v>
      </x:c>
      <x:c r="H1919" s="78" t="n">
        <x:f>U1918</x:f>
        <x:v>1096873596.7027016</x:v>
      </x:c>
      <x:c r="I1919" s="78" t="n">
        <x:f>V1918</x:f>
        <x:v>107.01155762210827</x:v>
      </x:c>
      <x:c r="J1919" s="79" t="n">
        <x:f>IF(H1919&gt;0,I1919/H1919,0)</x:f>
        <x:v>9.756051922828156e-8</x:v>
      </x:c>
      <x:c r="K1919" s="80" t="n">
        <x:f>(H1919*J1919+I1919)*'Inputs'!$D$49*(1+'Inputs'!$G$49)^(B1919/30)</x:f>
        <x:v>160.5173364331624</x:v>
      </x:c>
      <x:c r="L1919" s="80" t="n">
        <x:f>MAX(0,K1919*'Inputs'!$E$49)</x:f>
        <x:v>0</x:v>
      </x:c>
      <x:c r="M1919" s="80" t="n">
        <x:f>MAX(0,-K1919*'Inputs'!$E$49)</x:f>
        <x:v>4.815520092994872</x:v>
      </x:c>
      <x:c r="N1919" s="78" t="n">
        <x:f>H1919*(L1919*(1-'Inputs'!$B$15))/(I1919+L1919*(1-'Inputs'!$B$15))</x:f>
        <x:v>0</x:v>
      </x:c>
      <x:c r="O1919" s="78" t="n">
        <x:f>H1919-N1919</x:f>
        <x:v>1096873596.7027016</x:v>
      </x:c>
      <x:c r="P1919" s="78" t="n">
        <x:f>I1919+L1919*(1-'Inputs'!$B$17)</x:f>
        <x:v>107.01155762210827</x:v>
      </x:c>
      <x:c r="Q1919" s="78" t="n">
        <x:f>IF(J1919&gt;0,M1919/J1919,0)</x:f>
        <x:v>49359311.85162157</x:v>
      </x:c>
      <x:c r="R1919" s="78" t="n">
        <x:f>IF(B1919='Inputs'!$H$49,'Inputs'!$B$27*'Inputs'!$I$49,0)</x:f>
        <x:v>0</x:v>
      </x:c>
      <x:c r="S1919" s="78" t="n">
        <x:f>Q1919+G1919+R1919</x:f>
        <x:v>50246090.09331795</x:v>
      </x:c>
      <x:c r="T1919" s="78" t="n">
        <x:f>P1919*(S1919*(1-'Inputs'!$B$15))/(O1919+S1919*(1-'Inputs'!$B$15))</x:f>
        <x:v>4.642476252263045</x:v>
      </x:c>
      <x:c r="U1919" s="78" t="n">
        <x:f>O1919+S1919*(1-'Inputs'!$B$17)</x:f>
        <x:v>1146917489.2503724</x:v>
      </x:c>
      <x:c r="V1919" s="78" t="n">
        <x:f>P1919-T1919</x:f>
        <x:v>102.36908136984522</x:v>
      </x:c>
      <x:c r="W1919" s="79" t="n">
        <x:f>IF(U1919&gt;0,V1919/U1919,0)</x:f>
        <x:v>8.925583778197841e-8</x:v>
      </x:c>
      <x:c r="X1919" s="80" t="n">
        <x:f>W1919*('Inputs'!$B$6-AC1919)</x:f>
        <x:v>82.58683621483966</x:v>
      </x:c>
      <x:c r="Y1919" s="80" t="n">
        <x:f>2*V1919</x:f>
        <x:v>204.73816273969044</x:v>
      </x:c>
      <x:c r="Z1919" s="80" t="n">
        <x:f>K1919*'Inputs'!$B$16+(G1919+R1919)*J1919*'Inputs'!$B$16</x:f>
        <x:v>0.9636231058731759</x:v>
      </x:c>
      <x:c r="AA1919" s="80" t="n">
        <x:f>K1919*(1+'Inputs'!$E$49)/2*'Inputs'!$B$17</x:f>
        <x:v>0.3132833326763934</x:v>
      </x:c>
      <x:c r="AB1919" s="78" t="n">
        <x:f>(IF(J1919&gt;0,K1919*(1-'Inputs'!$E$49)/2/J1919,0)+G1919+R1919)*'Inputs'!$B$17</x:f>
        <x:v>3413366.7271409794</x:v>
      </x:c>
      <x:c r="AC1919" s="78" t="n">
        <x:f>AC1918+AB1919</x:f>
        <x:v>74717819.39270838</x:v>
      </x:c>
      <x:c r="AD1919" s="80" t="n">
        <x:f>Z1919/(1+'Inputs'!$C$49)</x:f>
        <x:v>0.24090577646829398</x:v>
      </x:c>
      <x:c r="AE1919" s="80" t="n">
        <x:f>Z1919-AD1919</x:f>
        <x:v>0.7227173294048819</x:v>
      </x:c>
      <x:c r="AF1919" s="80" t="n">
        <x:f>D1919*W1919</x:f>
        <x:v>0.026109782103917015</x:v>
      </x:c>
      <x:c r="AG1919" s="80" t="n">
        <x:f>C1919*W1919</x:f>
        <x:v>0.06092282490913959</x:v>
      </x:c>
      <x:c r="AH1919" s="80" t="n">
        <x:f>2*'Inputs'!$B$8*'Inputs'!$C$49</x:f>
        <x:v>15000</x:v>
      </x:c>
      <x:c r="AI1919" s="81" t="n">
        <x:f>IF(AH1919&gt;0,(AE1919+AF1919)/AH1919*365,0)</x:f>
        <x:v>0.018221459713380773</x:v>
      </x:c>
      <x:c r="AJ1919" s="81" t="n">
        <x:f>IF('Inputs'!$B$49&gt;0,AG1919/('Inputs'!$B$19*'Inputs'!$B$49)*365,0)</x:f>
        <x:v>0.002223683109183595</x:v>
      </x:c>
      <x:c r="AK1919" s="81" t="n">
        <x:f>W1919/MAX($W$1829:W1919)-1</x:f>
        <x:v>-0.9998850121458377</x:v>
      </x:c>
      <x:c r="AL1919" s="83" t="n">
        <x:f>'Inputs'!$B$49</x:f>
        <x:v>1</x:v>
      </x:c>
      <x:c r="AM1919" s="83" t="n">
        <x:f>'Inputs'!$C$49</x:f>
        <x:v>3</x:v>
      </x:c>
      <x:c r="AN1919" s="83" t="n">
        <x:f>'Inputs'!$D$49</x:f>
        <x:v>0.75</x:v>
      </x:c>
      <x:c r="AO1919" s="81" t="n">
        <x:f>'Inputs'!$E$49</x:f>
        <x:v>-0.03</x:v>
      </x:c>
    </x:row>
    <x:row r="1920">
      <x:c r="A1920" s="59" t="str">
        <x:v>Mercenary LP</x:v>
      </x:c>
      <x:c r="B1920" s="59" t="n">
        <x:v>92</x:v>
      </x:c>
      <x:c r="C1920" s="78" t="n">
        <x:f>(('Inputs'!$B$29*(3*92*'Inputs'!$B$12-92^2)/(2*'Inputs'!$B$12^2))-('Inputs'!$B$29*(3*91*'Inputs'!$B$12-91^2)/(2*'Inputs'!$B$12^2)))*'Inputs'!$B$49</x:f>
        <x:v>682238.9285044074</x:v>
      </x:c>
      <x:c r="D1920" s="78" t="n">
        <x:f>IF('Inputs'!$C$49&gt;0,('Inputs'!$B$30*(3*92*'Inputs'!$B$12-92^2)/(2*'Inputs'!$B$12^2))-('Inputs'!$B$30*(3*91*'Inputs'!$B$12-91^2)/(2*'Inputs'!$B$12^2)),0)</x:f>
        <x:v>292388.1122161746</x:v>
      </x:c>
      <x:c r="E1920" s="78" t="n">
        <x:f>C1920+D1920</x:f>
        <x:v>974627.040720582</x:v>
      </x:c>
      <x:c r="F1920" s="78" t="n">
        <x:f>'Inputs'!$B$13*E1920+(1-'Inputs'!$B$13)/'Inputs'!$B$14*SUM(E1865:E1920)</x:f>
        <x:v>984844.7175830356</x:v>
      </x:c>
      <x:c r="G1920" s="78" t="n">
        <x:f>F1920*'Inputs'!$F$49</x:f>
        <x:v>886360.245824732</x:v>
      </x:c>
      <x:c r="H1920" s="78" t="n">
        <x:f>U1919</x:f>
        <x:v>1146917489.2503724</x:v>
      </x:c>
      <x:c r="I1920" s="78" t="n">
        <x:f>V1919</x:f>
        <x:v>102.36908136984522</x:v>
      </x:c>
      <x:c r="J1920" s="79" t="n">
        <x:f>IF(H1920&gt;0,I1920/H1920,0)</x:f>
        <x:v>8.925583778197841e-8</x:v>
      </x:c>
      <x:c r="K1920" s="80" t="n">
        <x:f>(H1920*J1920+I1920)*'Inputs'!$D$49*(1+'Inputs'!$G$49)^(B1920/30)</x:f>
        <x:v>153.55362205476783</x:v>
      </x:c>
      <x:c r="L1920" s="80" t="n">
        <x:f>MAX(0,K1920*'Inputs'!$E$49)</x:f>
        <x:v>0</x:v>
      </x:c>
      <x:c r="M1920" s="80" t="n">
        <x:f>MAX(0,-K1920*'Inputs'!$E$49)</x:f>
        <x:v>4.606608661643035</x:v>
      </x:c>
      <x:c r="N1920" s="78" t="n">
        <x:f>H1920*(L1920*(1-'Inputs'!$B$15))/(I1920+L1920*(1-'Inputs'!$B$15))</x:f>
        <x:v>0</x:v>
      </x:c>
      <x:c r="O1920" s="78" t="n">
        <x:f>H1920-N1920</x:f>
        <x:v>1146917489.2503724</x:v>
      </x:c>
      <x:c r="P1920" s="78" t="n">
        <x:f>I1920+L1920*(1-'Inputs'!$B$17)</x:f>
        <x:v>102.36908136984522</x:v>
      </x:c>
      <x:c r="Q1920" s="78" t="n">
        <x:f>IF(J1920&gt;0,M1920/J1920,0)</x:f>
        <x:v>51611287.01626676</x:v>
      </x:c>
      <x:c r="R1920" s="78" t="n">
        <x:f>IF(B1920='Inputs'!$H$49,'Inputs'!$B$27*'Inputs'!$I$49,0)</x:f>
        <x:v>0</x:v>
      </x:c>
      <x:c r="S1920" s="78" t="n">
        <x:f>Q1920+G1920+R1920</x:f>
        <x:v>52497647.262091495</x:v>
      </x:c>
      <x:c r="T1920" s="78" t="n">
        <x:f>P1920*(S1920*(1-'Inputs'!$B$15))/(O1920+S1920*(1-'Inputs'!$B$15))</x:f>
        <x:v>4.437766479690414</x:v>
      </x:c>
      <x:c r="U1920" s="78" t="n">
        <x:f>O1920+S1920*(1-'Inputs'!$B$17)</x:f>
        <x:v>1199203878.3745883</x:v>
      </x:c>
      <x:c r="V1920" s="78" t="n">
        <x:f>P1920-T1920</x:f>
        <x:v>97.93131489015481</x:v>
      </x:c>
      <x:c r="W1920" s="79" t="n">
        <x:f>IF(U1920&gt;0,V1920/U1920,0)</x:f>
        <x:v>8.166360754510883e-8</x:v>
      </x:c>
      <x:c r="X1920" s="80" t="n">
        <x:f>W1920*('Inputs'!$B$6-AC1920)</x:f>
        <x:v>75.27042883293751</x:v>
      </x:c>
      <x:c r="Y1920" s="80" t="n">
        <x:f>2*V1920</x:f>
        <x:v>195.86262978030962</x:v>
      </x:c>
      <x:c r="Z1920" s="80" t="n">
        <x:f>K1920*'Inputs'!$B$16+(G1920+R1920)*J1920*'Inputs'!$B$16</x:f>
        <x:v>0.9217964092865134</x:v>
      </x:c>
      <x:c r="AA1920" s="80" t="n">
        <x:f>K1920*(1+'Inputs'!$E$49)/2*'Inputs'!$B$17</x:f>
        <x:v>0.2996921798654423</x:v>
      </x:c>
      <x:c r="AB1920" s="78" t="n">
        <x:f>(IF(J1920&gt;0,K1920*(1-'Inputs'!$E$49)/2/J1920,0)+G1920+R1920)*'Inputs'!$B$17</x:f>
        <x:v>3568934.087290694</x:v>
      </x:c>
      <x:c r="AC1920" s="78" t="n">
        <x:f>AC1919+AB1920</x:f>
        <x:v>78286753.47999907</x:v>
      </x:c>
      <x:c r="AD1920" s="80" t="n">
        <x:f>Z1920/(1+'Inputs'!$C$49)</x:f>
        <x:v>0.23044910232162835</x:v>
      </x:c>
      <x:c r="AE1920" s="80" t="n">
        <x:f>Z1920-AD1920</x:f>
        <x:v>0.691347306964885</x:v>
      </x:c>
      <x:c r="AF1920" s="80" t="n">
        <x:f>D1920*W1920</x:f>
        <x:v>0.023877468046876925</x:v>
      </x:c>
      <x:c r="AG1920" s="80" t="n">
        <x:f>C1920*W1920</x:f>
        <x:v>0.05571409210937949</x:v>
      </x:c>
      <x:c r="AH1920" s="80" t="n">
        <x:f>2*'Inputs'!$B$8*'Inputs'!$C$49</x:f>
        <x:v>15000</x:v>
      </x:c>
      <x:c r="AI1920" s="81" t="n">
        <x:f>IF(AH1920&gt;0,(AE1920+AF1920)/AH1920*365,0)</x:f>
        <x:v>0.01740380285861954</x:v>
      </x:c>
      <x:c r="AJ1920" s="81" t="n">
        <x:f>IF('Inputs'!$B$49&gt;0,AG1920/('Inputs'!$B$19*'Inputs'!$B$49)*365,0)</x:f>
        <x:v>0.0020335643619923513</x:v>
      </x:c>
      <x:c r="AK1920" s="81" t="n">
        <x:f>W1920/MAX($W$1829:W1920)-1</x:f>
        <x:v>-0.9998947931784843</x:v>
      </x:c>
      <x:c r="AL1920" s="83" t="n">
        <x:f>'Inputs'!$B$49</x:f>
        <x:v>1</x:v>
      </x:c>
      <x:c r="AM1920" s="83" t="n">
        <x:f>'Inputs'!$C$49</x:f>
        <x:v>3</x:v>
      </x:c>
      <x:c r="AN1920" s="83" t="n">
        <x:f>'Inputs'!$D$49</x:f>
        <x:v>0.75</x:v>
      </x:c>
      <x:c r="AO1920" s="81" t="n">
        <x:f>'Inputs'!$E$49</x:f>
        <x:v>-0.03</x:v>
      </x:c>
    </x:row>
    <x:row r="1921">
      <x:c r="A1921" s="59" t="str">
        <x:v>Mercenary LP</x:v>
      </x:c>
      <x:c r="B1921" s="59" t="n">
        <x:v>93</x:v>
      </x:c>
      <x:c r="C1921" s="78" t="n">
        <x:f>(('Inputs'!$B$29*(3*93*'Inputs'!$B$12-93^2)/(2*'Inputs'!$B$12^2))-('Inputs'!$B$29*(3*92*'Inputs'!$B$12-92^2)/(2*'Inputs'!$B$12^2)))*'Inputs'!$B$49</x:f>
        <x:v>681913.8206042424</x:v>
      </x:c>
      <x:c r="D1921" s="78" t="n">
        <x:f>IF('Inputs'!$C$49&gt;0,('Inputs'!$B$30*(3*93*'Inputs'!$B$12-93^2)/(2*'Inputs'!$B$12^2))-('Inputs'!$B$30*(3*92*'Inputs'!$B$12-92^2)/(2*'Inputs'!$B$12^2)),0)</x:f>
        <x:v>292248.780258961</x:v>
      </x:c>
      <x:c r="E1921" s="78" t="n">
        <x:f>C1921+D1921</x:f>
        <x:v>974162.6008632034</x:v>
      </x:c>
      <x:c r="F1921" s="78" t="n">
        <x:f>'Inputs'!$B$13*E1921+(1-'Inputs'!$B$13)/'Inputs'!$B$14*SUM(E1866:E1921)</x:f>
        <x:v>984380.2777256526</x:v>
      </x:c>
      <x:c r="G1921" s="78" t="n">
        <x:f>F1921*'Inputs'!$F$49</x:f>
        <x:v>885942.2499530873</x:v>
      </x:c>
      <x:c r="H1921" s="78" t="n">
        <x:f>U1920</x:f>
        <x:v>1199203878.3745883</x:v>
      </x:c>
      <x:c r="I1921" s="78" t="n">
        <x:f>V1920</x:f>
        <x:v>97.93131489015481</x:v>
      </x:c>
      <x:c r="J1921" s="79" t="n">
        <x:f>IF(H1921&gt;0,I1921/H1921,0)</x:f>
        <x:v>8.166360754510883e-8</x:v>
      </x:c>
      <x:c r="K1921" s="80" t="n">
        <x:f>(H1921*J1921+I1921)*'Inputs'!$D$49*(1+'Inputs'!$G$49)^(B1921/30)</x:f>
        <x:v>146.8969723352322</x:v>
      </x:c>
      <x:c r="L1921" s="80" t="n">
        <x:f>MAX(0,K1921*'Inputs'!$E$49)</x:f>
        <x:v>0</x:v>
      </x:c>
      <x:c r="M1921" s="80" t="n">
        <x:f>MAX(0,-K1921*'Inputs'!$E$49)</x:f>
        <x:v>4.406909170056966</x:v>
      </x:c>
      <x:c r="N1921" s="78" t="n">
        <x:f>H1921*(L1921*(1-'Inputs'!$B$15))/(I1921+L1921*(1-'Inputs'!$B$15))</x:f>
        <x:v>0</x:v>
      </x:c>
      <x:c r="O1921" s="78" t="n">
        <x:f>H1921-N1921</x:f>
        <x:v>1199203878.3745883</x:v>
      </x:c>
      <x:c r="P1921" s="78" t="n">
        <x:f>I1921+L1921*(1-'Inputs'!$B$17)</x:f>
        <x:v>97.93131489015481</x:v>
      </x:c>
      <x:c r="Q1921" s="78" t="n">
        <x:f>IF(J1921&gt;0,M1921/J1921,0)</x:f>
        <x:v>53964174.52685647</x:v>
      </x:c>
      <x:c r="R1921" s="78" t="n">
        <x:f>IF(B1921='Inputs'!$H$49,'Inputs'!$B$27*'Inputs'!$I$49,0)</x:f>
        <x:v>0</x:v>
      </x:c>
      <x:c r="S1921" s="78" t="n">
        <x:f>Q1921+G1921+R1921</x:f>
        <x:v>54850116.77680955</x:v>
      </x:c>
      <x:c r="T1921" s="78" t="n">
        <x:f>P1921*(S1921*(1-'Inputs'!$B$15))/(O1921+S1921*(1-'Inputs'!$B$15))</x:f>
        <x:v>4.242365624065332</x:v>
      </x:c>
      <x:c r="U1921" s="78" t="n">
        <x:f>O1921+S1921*(1-'Inputs'!$B$17)</x:f>
        <x:v>1253833270.3353946</x:v>
      </x:c>
      <x:c r="V1921" s="78" t="n">
        <x:f>P1921-T1921</x:f>
        <x:v>93.68894926608948</x:v>
      </x:c>
      <x:c r="W1921" s="79" t="n">
        <x:f>IF(U1921&gt;0,V1921/U1921,0)</x:f>
        <x:v>7.472201566403492e-8</x:v>
      </x:c>
      <x:c r="X1921" s="80" t="n">
        <x:f>W1921*('Inputs'!$B$6-AC1921)</x:f>
        <x:v>68.59344849099251</x:v>
      </x:c>
      <x:c r="Y1921" s="80" t="n">
        <x:f>2*V1921</x:f>
        <x:v>187.37789853217896</x:v>
      </x:c>
      <x:c r="Z1921" s="80" t="n">
        <x:f>K1921*'Inputs'!$B$16+(G1921+R1921)*J1921*'Inputs'!$B$16</x:f>
        <x:v>0.88181592945264</x:v>
      </x:c>
      <x:c r="AA1921" s="80" t="n">
        <x:f>K1921*(1+'Inputs'!$E$49)/2*'Inputs'!$B$17</x:f>
        <x:v>0.2867003283001514</x:v>
      </x:c>
      <x:c r="AB1921" s="78" t="n">
        <x:f>(IF(J1921&gt;0,K1921*(1-'Inputs'!$E$49)/2/J1921,0)+G1921+R1921)*'Inputs'!$B$17</x:f>
        <x:v>3731472.588709547</x:v>
      </x:c>
      <x:c r="AC1921" s="78" t="n">
        <x:f>AC1920+AB1921</x:f>
        <x:v>82018226.06870861</x:v>
      </x:c>
      <x:c r="AD1921" s="80" t="n">
        <x:f>Z1921/(1+'Inputs'!$C$49)</x:f>
        <x:v>0.22045398236316</x:v>
      </x:c>
      <x:c r="AE1921" s="80" t="n">
        <x:f>Z1921-AD1921</x:f>
        <x:v>0.66136194708948</x:v>
      </x:c>
      <x:c r="AF1921" s="80" t="n">
        <x:f>D1921*W1921</x:f>
        <x:v>0.021837417936305184</x:v>
      </x:c>
      <x:c r="AG1921" s="80" t="n">
        <x:f>C1921*W1921</x:f>
        <x:v>0.0509539751847121</x:v>
      </x:c>
      <x:c r="AH1921" s="80" t="n">
        <x:f>2*'Inputs'!$B$8*'Inputs'!$C$49</x:f>
        <x:v>15000</x:v>
      </x:c>
      <x:c r="AI1921" s="81" t="n">
        <x:f>IF(AH1921&gt;0,(AE1921+AF1921)/AH1921*365,0)</x:f>
        <x:v>0.016624517882294108</x:v>
      </x:c>
      <x:c r="AJ1921" s="81" t="n">
        <x:f>IF('Inputs'!$B$49&gt;0,AG1921/('Inputs'!$B$19*'Inputs'!$B$49)*365,0)</x:f>
        <x:v>0.0018598200942419915</x:v>
      </x:c>
      <x:c r="AK1921" s="81" t="n">
        <x:f>W1921/MAX($W$1829:W1921)-1</x:f>
        <x:v>-0.9999037359969566</x:v>
      </x:c>
      <x:c r="AL1921" s="83" t="n">
        <x:f>'Inputs'!$B$49</x:f>
        <x:v>1</x:v>
      </x:c>
      <x:c r="AM1921" s="83" t="n">
        <x:f>'Inputs'!$C$49</x:f>
        <x:v>3</x:v>
      </x:c>
      <x:c r="AN1921" s="83" t="n">
        <x:f>'Inputs'!$D$49</x:f>
        <x:v>0.75</x:v>
      </x:c>
      <x:c r="AO1921" s="81" t="n">
        <x:f>'Inputs'!$E$49</x:f>
        <x:v>-0.03</x:v>
      </x:c>
    </x:row>
    <x:row r="1922">
      <x:c r="A1922" s="59" t="str">
        <x:v>Mercenary LP</x:v>
      </x:c>
      <x:c r="B1922" s="59" t="n">
        <x:v>94</x:v>
      </x:c>
      <x:c r="C1922" s="78" t="n">
        <x:f>(('Inputs'!$B$29*(3*94*'Inputs'!$B$12-94^2)/(2*'Inputs'!$B$12^2))-('Inputs'!$B$29*(3*93*'Inputs'!$B$12-93^2)/(2*'Inputs'!$B$12^2)))*'Inputs'!$B$49</x:f>
        <x:v>681588.7127040699</x:v>
      </x:c>
      <x:c r="D1922" s="78" t="n">
        <x:f>IF('Inputs'!$C$49&gt;0,('Inputs'!$B$30*(3*94*'Inputs'!$B$12-94^2)/(2*'Inputs'!$B$12^2))-('Inputs'!$B$30*(3*93*'Inputs'!$B$12-93^2)/(2*'Inputs'!$B$12^2)),0)</x:f>
        <x:v>292109.44830174744</x:v>
      </x:c>
      <x:c r="E1922" s="78" t="n">
        <x:f>C1922+D1922</x:f>
        <x:v>973698.1610058174</x:v>
      </x:c>
      <x:c r="F1922" s="78" t="n">
        <x:f>'Inputs'!$B$13*E1922+(1-'Inputs'!$B$13)/'Inputs'!$B$14*SUM(E1867:E1922)</x:f>
        <x:v>983915.8378682681</x:v>
      </x:c>
      <x:c r="G1922" s="78" t="n">
        <x:f>F1922*'Inputs'!$F$49</x:f>
        <x:v>885524.2540814413</x:v>
      </x:c>
      <x:c r="H1922" s="78" t="n">
        <x:f>U1921</x:f>
        <x:v>1253833270.3353946</x:v>
      </x:c>
      <x:c r="I1922" s="78" t="n">
        <x:f>V1921</x:f>
        <x:v>93.68894926608948</x:v>
      </x:c>
      <x:c r="J1922" s="79" t="n">
        <x:f>IF(H1922&gt;0,I1922/H1922,0)</x:f>
        <x:v>7.472201566403492e-8</x:v>
      </x:c>
      <x:c r="K1922" s="80" t="n">
        <x:f>(H1922*J1922+I1922)*'Inputs'!$D$49*(1+'Inputs'!$G$49)^(B1922/30)</x:f>
        <x:v>140.53342389913422</x:v>
      </x:c>
      <x:c r="L1922" s="80" t="n">
        <x:f>MAX(0,K1922*'Inputs'!$E$49)</x:f>
        <x:v>0</x:v>
      </x:c>
      <x:c r="M1922" s="80" t="n">
        <x:f>MAX(0,-K1922*'Inputs'!$E$49)</x:f>
        <x:v>4.216002716974026</x:v>
      </x:c>
      <x:c r="N1922" s="78" t="n">
        <x:f>H1922*(L1922*(1-'Inputs'!$B$15))/(I1922+L1922*(1-'Inputs'!$B$15))</x:f>
        <x:v>0</x:v>
      </x:c>
      <x:c r="O1922" s="78" t="n">
        <x:f>H1922-N1922</x:f>
        <x:v>1253833270.3353946</x:v>
      </x:c>
      <x:c r="P1922" s="78" t="n">
        <x:f>I1922+L1922*(1-'Inputs'!$B$17)</x:f>
        <x:v>93.68894926608948</x:v>
      </x:c>
      <x:c r="Q1922" s="78" t="n">
        <x:f>IF(J1922&gt;0,M1922/J1922,0)</x:f>
        <x:v>56422497.16509275</x:v>
      </x:c>
      <x:c r="R1922" s="78" t="n">
        <x:f>IF(B1922='Inputs'!$H$49,'Inputs'!$B$27*'Inputs'!$I$49,0)</x:f>
        <x:v>0</x:v>
      </x:c>
      <x:c r="S1922" s="78" t="n">
        <x:f>Q1922+G1922+R1922</x:f>
        <x:v>57308021.419174194</x:v>
      </x:c>
      <x:c r="T1922" s="78" t="n">
        <x:f>P1922*(S1922*(1-'Inputs'!$B$15))/(O1922+S1922*(1-'Inputs'!$B$15))</x:f>
        <x:v>4.055826305996441</x:v>
      </x:c>
      <x:c r="U1922" s="78" t="n">
        <x:f>O1922+S1922*(1-'Inputs'!$B$17)</x:f>
        <x:v>1310910675.97421</x:v>
      </x:c>
      <x:c r="V1922" s="78" t="n">
        <x:f>P1922-T1922</x:f>
        <x:v>89.63312296009303</x:v>
      </x:c>
      <x:c r="W1922" s="79" t="n">
        <x:f>IF(U1922&gt;0,V1922/U1922,0)</x:f>
        <x:v>6.837469905680776e-8</x:v>
      </x:c>
      <x:c r="X1922" s="80" t="n">
        <x:f>W1922*('Inputs'!$B$6-AC1922)</x:f>
        <x:v>62.499977683167764</x:v>
      </x:c>
      <x:c r="Y1922" s="80" t="n">
        <x:f>2*V1922</x:f>
        <x:v>179.26624592018607</x:v>
      </x:c>
      <x:c r="Z1922" s="80" t="n">
        <x:f>K1922*'Inputs'!$B$16+(G1922+R1922)*J1922*'Inputs'!$B$16</x:f>
        <x:v>0.8435975523379114</x:v>
      </x:c>
      <x:c r="AA1922" s="80" t="n">
        <x:f>K1922*(1+'Inputs'!$E$49)/2*'Inputs'!$B$17</x:f>
        <x:v>0.27428052551742493</x:v>
      </x:c>
      <x:c r="AB1922" s="78" t="n">
        <x:f>(IF(J1922&gt;0,K1922*(1-'Inputs'!$E$49)/2/J1922,0)+G1922+R1922)*'Inputs'!$B$17</x:f>
        <x:v>3901294.670374945</x:v>
      </x:c>
      <x:c r="AC1922" s="78" t="n">
        <x:f>AC1921+AB1922</x:f>
        <x:v>85919520.73908356</x:v>
      </x:c>
      <x:c r="AD1922" s="80" t="n">
        <x:f>Z1922/(1+'Inputs'!$C$49)</x:f>
        <x:v>0.21089938808447786</x:v>
      </x:c>
      <x:c r="AE1922" s="80" t="n">
        <x:f>Z1922-AD1922</x:f>
        <x:v>0.6326981642534336</x:v>
      </x:c>
      <x:c r="AF1922" s="80" t="n">
        <x:f>D1922*W1922</x:f>
        <x:v>0.019972895619282123</x:v>
      </x:c>
      <x:c r="AG1922" s="80" t="n">
        <x:f>C1922*W1922</x:f>
        <x:v>0.04660342311165778</x:v>
      </x:c>
      <x:c r="AH1922" s="80" t="n">
        <x:f>2*'Inputs'!$B$8*'Inputs'!$C$49</x:f>
        <x:v>15000</x:v>
      </x:c>
      <x:c r="AI1922" s="81" t="n">
        <x:f>IF(AH1922&gt;0,(AE1922+AF1922)/AH1922*365,0)</x:f>
        <x:v>0.01588166245690275</x:v>
      </x:c>
      <x:c r="AJ1922" s="81" t="n">
        <x:f>IF('Inputs'!$B$49&gt;0,AG1922/('Inputs'!$B$19*'Inputs'!$B$49)*365,0)</x:f>
        <x:v>0.001701024943575509</x:v>
      </x:c>
      <x:c r="AK1922" s="81" t="n">
        <x:f>W1922/MAX($W$1829:W1922)-1</x:f>
        <x:v>-0.9999119132135341</x:v>
      </x:c>
      <x:c r="AL1922" s="83" t="n">
        <x:f>'Inputs'!$B$49</x:f>
        <x:v>1</x:v>
      </x:c>
      <x:c r="AM1922" s="83" t="n">
        <x:f>'Inputs'!$C$49</x:f>
        <x:v>3</x:v>
      </x:c>
      <x:c r="AN1922" s="83" t="n">
        <x:f>'Inputs'!$D$49</x:f>
        <x:v>0.75</x:v>
      </x:c>
      <x:c r="AO1922" s="81" t="n">
        <x:f>'Inputs'!$E$49</x:f>
        <x:v>-0.03</x:v>
      </x:c>
    </x:row>
    <x:row r="1923">
      <x:c r="A1923" s="59" t="str">
        <x:v>Mercenary LP</x:v>
      </x:c>
      <x:c r="B1923" s="59" t="n">
        <x:v>95</x:v>
      </x:c>
      <x:c r="C1923" s="78" t="n">
        <x:f>(('Inputs'!$B$29*(3*95*'Inputs'!$B$12-95^2)/(2*'Inputs'!$B$12^2))-('Inputs'!$B$29*(3*94*'Inputs'!$B$12-94^2)/(2*'Inputs'!$B$12^2)))*'Inputs'!$B$49</x:f>
        <x:v>681263.6048039049</x:v>
      </x:c>
      <x:c r="D1923" s="78" t="n">
        <x:f>IF('Inputs'!$C$49&gt;0,('Inputs'!$B$30*(3*95*'Inputs'!$B$12-95^2)/(2*'Inputs'!$B$12^2))-('Inputs'!$B$30*(3*94*'Inputs'!$B$12-94^2)/(2*'Inputs'!$B$12^2)),0)</x:f>
        <x:v>291970.11634453014</x:v>
      </x:c>
      <x:c r="E1923" s="78" t="n">
        <x:f>C1923+D1923</x:f>
        <x:v>973233.721148435</x:v>
      </x:c>
      <x:c r="F1923" s="78" t="n">
        <x:f>'Inputs'!$B$13*E1923+(1-'Inputs'!$B$13)/'Inputs'!$B$14*SUM(E1868:E1923)</x:f>
        <x:v>983451.3980108844</x:v>
      </x:c>
      <x:c r="G1923" s="78" t="n">
        <x:f>F1923*'Inputs'!$F$49</x:f>
        <x:v>885106.258209796</x:v>
      </x:c>
      <x:c r="H1923" s="78" t="n">
        <x:f>U1922</x:f>
        <x:v>1310910675.97421</x:v>
      </x:c>
      <x:c r="I1923" s="78" t="n">
        <x:f>V1922</x:f>
        <x:v>89.63312296009303</x:v>
      </x:c>
      <x:c r="J1923" s="79" t="n">
        <x:f>IF(H1923&gt;0,I1923/H1923,0)</x:f>
        <x:v>6.837469905680776e-8</x:v>
      </x:c>
      <x:c r="K1923" s="80" t="n">
        <x:f>(H1923*J1923+I1923)*'Inputs'!$D$49*(1+'Inputs'!$G$49)^(B1923/30)</x:f>
        <x:v>134.44968444013955</x:v>
      </x:c>
      <x:c r="L1923" s="80" t="n">
        <x:f>MAX(0,K1923*'Inputs'!$E$49)</x:f>
        <x:v>0</x:v>
      </x:c>
      <x:c r="M1923" s="80" t="n">
        <x:f>MAX(0,-K1923*'Inputs'!$E$49)</x:f>
        <x:v>4.033490533204186</x:v>
      </x:c>
      <x:c r="N1923" s="78" t="n">
        <x:f>H1923*(L1923*(1-'Inputs'!$B$15))/(I1923+L1923*(1-'Inputs'!$B$15))</x:f>
        <x:v>0</x:v>
      </x:c>
      <x:c r="O1923" s="78" t="n">
        <x:f>H1923-N1923</x:f>
        <x:v>1310910675.97421</x:v>
      </x:c>
      <x:c r="P1923" s="78" t="n">
        <x:f>I1923+L1923*(1-'Inputs'!$B$17)</x:f>
        <x:v>89.63312296009303</x:v>
      </x:c>
      <x:c r="Q1923" s="78" t="n">
        <x:f>IF(J1923&gt;0,M1923/J1923,0)</x:f>
        <x:v>58990980.41883945</x:v>
      </x:c>
      <x:c r="R1923" s="78" t="n">
        <x:f>IF(B1923='Inputs'!$H$49,'Inputs'!$B$27*'Inputs'!$I$49,0)</x:f>
        <x:v>0</x:v>
      </x:c>
      <x:c r="S1923" s="78" t="n">
        <x:f>Q1923+G1923+R1923</x:f>
        <x:v>59876086.67704924</x:v>
      </x:c>
      <x:c r="T1923" s="78" t="n">
        <x:f>P1923*(S1923*(1-'Inputs'!$B$15))/(O1923+S1923*(1-'Inputs'!$B$15))</x:f>
        <x:v>3.8777246817067845</x:v>
      </x:c>
      <x:c r="U1923" s="78" t="n">
        <x:f>O1923+S1923*(1-'Inputs'!$B$17)</x:f>
        <x:v>1370545812.604269</x:v>
      </x:c>
      <x:c r="V1923" s="78" t="n">
        <x:f>P1923-T1923</x:f>
        <x:v>85.75539827838625</x:v>
      </x:c>
      <x:c r="W1923" s="79" t="n">
        <x:f>IF(U1923&gt;0,V1923/U1923,0)</x:f>
        <x:v>6.257025302600902e-8</x:v>
      </x:c>
      <x:c r="X1923" s="80" t="n">
        <x:f>W1923*('Inputs'!$B$6-AC1923)</x:f>
        <x:v>56.93903990719048</x:v>
      </x:c>
      <x:c r="Y1923" s="80" t="n">
        <x:f>2*V1923</x:f>
        <x:v>171.5107965567725</x:v>
      </x:c>
      <x:c r="Z1923" s="80" t="n">
        <x:f>K1923*'Inputs'!$B$16+(G1923+R1923)*J1923*'Inputs'!$B$16</x:f>
        <x:v>0.8070612198850676</x:v>
      </x:c>
      <x:c r="AA1923" s="80" t="n">
        <x:f>K1923*(1+'Inputs'!$E$49)/2*'Inputs'!$B$17</x:f>
        <x:v>0.2624068287865903</x:v>
      </x:c>
      <x:c r="AB1923" s="78" t="n">
        <x:f>(IF(J1923&gt;0,K1923*(1-'Inputs'!$E$49)/2/J1923,0)+G1923+R1923)*'Inputs'!$B$17</x:f>
        <x:v>4078726.7744397875</x:v>
      </x:c>
      <x:c r="AC1923" s="78" t="n">
        <x:f>AC1922+AB1923</x:f>
        <x:v>89998247.51352334</x:v>
      </x:c>
      <x:c r="AD1923" s="80" t="n">
        <x:f>Z1923/(1+'Inputs'!$C$49)</x:f>
        <x:v>0.2017653049712669</x:v>
      </x:c>
      <x:c r="AE1923" s="80" t="n">
        <x:f>Z1923-AD1923</x:f>
        <x:v>0.6052959149138007</x:v>
      </x:c>
      <x:c r="AF1923" s="80" t="n">
        <x:f>D1923*W1923</x:f>
        <x:v>0.018268644055710544</x:v>
      </x:c>
      <x:c r="AG1923" s="80" t="n">
        <x:f>C1923*W1923</x:f>
        <x:v>0.042626836129991345</x:v>
      </x:c>
      <x:c r="AH1923" s="80" t="n">
        <x:f>2*'Inputs'!$B$8*'Inputs'!$C$49</x:f>
        <x:v>15000</x:v>
      </x:c>
      <x:c r="AI1923" s="81" t="n">
        <x:f>IF(AH1923&gt;0,(AE1923+AF1923)/AH1923*365,0)</x:f>
        <x:v>0.015173404268258108</x:v>
      </x:c>
      <x:c r="AJ1923" s="81" t="n">
        <x:f>IF('Inputs'!$B$49&gt;0,AG1923/('Inputs'!$B$19*'Inputs'!$B$49)*365,0)</x:f>
        <x:v>0.0015558795187446842</x:v>
      </x:c>
      <x:c r="AK1923" s="81" t="n">
        <x:f>W1923/MAX($W$1829:W1923)-1</x:f>
        <x:v>-0.9999193910526343</x:v>
      </x:c>
      <x:c r="AL1923" s="83" t="n">
        <x:f>'Inputs'!$B$49</x:f>
        <x:v>1</x:v>
      </x:c>
      <x:c r="AM1923" s="83" t="n">
        <x:f>'Inputs'!$C$49</x:f>
        <x:v>3</x:v>
      </x:c>
      <x:c r="AN1923" s="83" t="n">
        <x:f>'Inputs'!$D$49</x:f>
        <x:v>0.75</x:v>
      </x:c>
      <x:c r="AO1923" s="81" t="n">
        <x:f>'Inputs'!$E$49</x:f>
        <x:v>-0.03</x:v>
      </x:c>
    </x:row>
    <x:row r="1924">
      <x:c r="A1924" s="59" t="str">
        <x:v>Mercenary LP</x:v>
      </x:c>
      <x:c r="B1924" s="59" t="n">
        <x:v>96</x:v>
      </x:c>
      <x:c r="C1924" s="78" t="n">
        <x:f>(('Inputs'!$B$29*(3*96*'Inputs'!$B$12-96^2)/(2*'Inputs'!$B$12^2))-('Inputs'!$B$29*(3*95*'Inputs'!$B$12-95^2)/(2*'Inputs'!$B$12^2)))*'Inputs'!$B$49</x:f>
        <x:v>680938.4969037324</x:v>
      </x:c>
      <x:c r="D1924" s="78" t="n">
        <x:f>IF('Inputs'!$C$49&gt;0,('Inputs'!$B$30*(3*96*'Inputs'!$B$12-96^2)/(2*'Inputs'!$B$12^2))-('Inputs'!$B$30*(3*95*'Inputs'!$B$12-95^2)/(2*'Inputs'!$B$12^2)),0)</x:f>
        <x:v>291830.78438731283</x:v>
      </x:c>
      <x:c r="E1924" s="78" t="n">
        <x:f>C1924+D1924</x:f>
        <x:v>972769.2812910452</x:v>
      </x:c>
      <x:c r="F1924" s="78" t="n">
        <x:f>'Inputs'!$B$13*E1924+(1-'Inputs'!$B$13)/'Inputs'!$B$14*SUM(E1869:E1924)</x:f>
        <x:v>982986.9581534993</x:v>
      </x:c>
      <x:c r="G1924" s="78" t="n">
        <x:f>F1924*'Inputs'!$F$49</x:f>
        <x:v>884688.2623381494</x:v>
      </x:c>
      <x:c r="H1924" s="78" t="n">
        <x:f>U1923</x:f>
        <x:v>1370545812.604269</x:v>
      </x:c>
      <x:c r="I1924" s="78" t="n">
        <x:f>V1923</x:f>
        <x:v>85.75539827838625</x:v>
      </x:c>
      <x:c r="J1924" s="79" t="n">
        <x:f>IF(H1924&gt;0,I1924/H1924,0)</x:f>
        <x:v>6.257025302600902e-8</x:v>
      </x:c>
      <x:c r="K1924" s="80" t="n">
        <x:f>(H1924*J1924+I1924)*'Inputs'!$D$49*(1+'Inputs'!$G$49)^(B1924/30)</x:f>
        <x:v>128.6330974175794</x:v>
      </x:c>
      <x:c r="L1924" s="80" t="n">
        <x:f>MAX(0,K1924*'Inputs'!$E$49)</x:f>
        <x:v>0</x:v>
      </x:c>
      <x:c r="M1924" s="80" t="n">
        <x:f>MAX(0,-K1924*'Inputs'!$E$49)</x:f>
        <x:v>3.858992922527382</x:v>
      </x:c>
      <x:c r="N1924" s="78" t="n">
        <x:f>H1924*(L1924*(1-'Inputs'!$B$15))/(I1924+L1924*(1-'Inputs'!$B$15))</x:f>
        <x:v>0</x:v>
      </x:c>
      <x:c r="O1924" s="78" t="n">
        <x:f>H1924-N1924</x:f>
        <x:v>1370545812.604269</x:v>
      </x:c>
      <x:c r="P1924" s="78" t="n">
        <x:f>I1924+L1924*(1-'Inputs'!$B$17)</x:f>
        <x:v>85.75539827838625</x:v>
      </x:c>
      <x:c r="Q1924" s="78" t="n">
        <x:f>IF(J1924&gt;0,M1924/J1924,0)</x:f>
        <x:v>61674561.56719211</x:v>
      </x:c>
      <x:c r="R1924" s="78" t="n">
        <x:f>IF(B1924='Inputs'!$H$49,'Inputs'!$B$27*'Inputs'!$I$49,0)</x:f>
        <x:v>0</x:v>
      </x:c>
      <x:c r="S1924" s="78" t="n">
        <x:f>Q1924+G1924+R1924</x:f>
        <x:v>62559249.829530254</x:v>
      </x:c>
      <x:c r="T1924" s="78" t="n">
        <x:f>P1924*(S1924*(1-'Inputs'!$B$15))/(O1924+S1924*(1-'Inputs'!$B$15))</x:f>
        <x:v>3.7076590364790913</x:v>
      </x:c>
      <x:c r="U1924" s="78" t="n">
        <x:f>O1924+S1924*(1-'Inputs'!$B$17)</x:f>
        <x:v>1432853314.949576</x:v>
      </x:c>
      <x:c r="V1924" s="78" t="n">
        <x:f>P1924-T1924</x:f>
        <x:v>82.04773924190717</x:v>
      </x:c>
      <x:c r="W1924" s="79" t="n">
        <x:f>IF(U1924&gt;0,V1924/U1924,0)</x:f>
        <x:v>5.726178554766755e-8</x:v>
      </x:c>
      <x:c r="X1924" s="80" t="n">
        <x:f>W1924*('Inputs'!$B$6-AC1924)</x:f>
        <x:v>51.8641546480086</x:v>
      </x:c>
      <x:c r="Y1924" s="80" t="n">
        <x:f>2*V1924</x:f>
        <x:v>164.09547848381433</x:v>
      </x:c>
      <x:c r="Z1924" s="80" t="n">
        <x:f>K1924*'Inputs'!$B$16+(G1924+R1924)*J1924*'Inputs'!$B$16</x:f>
        <x:v>0.7721307155160182</x:v>
      </x:c>
      <x:c r="AA1924" s="80" t="n">
        <x:f>K1924*(1+'Inputs'!$E$49)/2*'Inputs'!$B$17</x:f>
        <x:v>0.25105453620734813</x:v>
      </x:c>
      <x:c r="AB1924" s="78" t="n">
        <x:f>(IF(J1924&gt;0,K1924*(1-'Inputs'!$E$49)/2/J1924,0)+G1924+R1924)*'Inputs'!$B$17</x:f>
        <x:v>4264109.973839582</x:v>
      </x:c>
      <x:c r="AC1924" s="78" t="n">
        <x:f>AC1923+AB1924</x:f>
        <x:v>94262357.48736292</x:v>
      </x:c>
      <x:c r="AD1924" s="80" t="n">
        <x:f>Z1924/(1+'Inputs'!$C$49)</x:f>
        <x:v>0.19303267887900455</x:v>
      </x:c>
      <x:c r="AE1924" s="80" t="n">
        <x:f>Z1924-AD1924</x:f>
        <x:v>0.5790980366370136</x:v>
      </x:c>
      <x:c r="AF1924" s="80" t="n">
        <x:f>D1924*W1924</x:f>
        <x:v>0.016710751791793915</x:v>
      </x:c>
      <x:c r="AG1924" s="80" t="n">
        <x:f>C1924*W1924</x:f>
        <x:v>0.03899175418085261</x:v>
      </x:c>
      <x:c r="AH1924" s="80" t="n">
        <x:f>2*'Inputs'!$B$8*'Inputs'!$C$49</x:f>
        <x:v>15000</x:v>
      </x:c>
      <x:c r="AI1924" s="81" t="n">
        <x:f>IF(AH1924&gt;0,(AE1924+AF1924)/AH1924*365,0)</x:f>
        <x:v>0.014498013851767652</x:v>
      </x:c>
      <x:c r="AJ1924" s="81" t="n">
        <x:f>IF('Inputs'!$B$49&gt;0,AG1924/('Inputs'!$B$19*'Inputs'!$B$49)*365,0)</x:f>
        <x:v>0.0014231990276011202</x:v>
      </x:c>
      <x:c r="AK1924" s="81" t="n">
        <x:f>W1924/MAX($W$1829:W1924)-1</x:f>
        <x:v>-0.9999262299250194</x:v>
      </x:c>
      <x:c r="AL1924" s="83" t="n">
        <x:f>'Inputs'!$B$49</x:f>
        <x:v>1</x:v>
      </x:c>
      <x:c r="AM1924" s="83" t="n">
        <x:f>'Inputs'!$C$49</x:f>
        <x:v>3</x:v>
      </x:c>
      <x:c r="AN1924" s="83" t="n">
        <x:f>'Inputs'!$D$49</x:f>
        <x:v>0.75</x:v>
      </x:c>
      <x:c r="AO1924" s="81" t="n">
        <x:f>'Inputs'!$E$49</x:f>
        <x:v>-0.03</x:v>
      </x:c>
    </x:row>
    <x:row r="1925">
      <x:c r="A1925" s="59" t="str">
        <x:v>Mercenary LP</x:v>
      </x:c>
      <x:c r="B1925" s="59" t="n">
        <x:v>97</x:v>
      </x:c>
      <x:c r="C1925" s="78" t="n">
        <x:f>(('Inputs'!$B$29*(3*97*'Inputs'!$B$12-97^2)/(2*'Inputs'!$B$12^2))-('Inputs'!$B$29*(3*96*'Inputs'!$B$12-96^2)/(2*'Inputs'!$B$12^2)))*'Inputs'!$B$49</x:f>
        <x:v>680613.38900356</x:v>
      </x:c>
      <x:c r="D1925" s="78" t="n">
        <x:f>IF('Inputs'!$C$49&gt;0,('Inputs'!$B$30*(3*97*'Inputs'!$B$12-97^2)/(2*'Inputs'!$B$12^2))-('Inputs'!$B$30*(3*96*'Inputs'!$B$12-96^2)/(2*'Inputs'!$B$12^2)),0)</x:f>
        <x:v>291691.45243009925</x:v>
      </x:c>
      <x:c r="E1925" s="78" t="n">
        <x:f>C1925+D1925</x:f>
        <x:v>972304.8414336592</x:v>
      </x:c>
      <x:c r="F1925" s="78" t="n">
        <x:f>'Inputs'!$B$13*E1925+(1-'Inputs'!$B$13)/'Inputs'!$B$14*SUM(E1870:E1925)</x:f>
        <x:v>982522.5182961144</x:v>
      </x:c>
      <x:c r="G1925" s="78" t="n">
        <x:f>F1925*'Inputs'!$F$49</x:f>
        <x:v>884270.266466503</x:v>
      </x:c>
      <x:c r="H1925" s="78" t="n">
        <x:f>U1924</x:f>
        <x:v>1432853314.949576</x:v>
      </x:c>
      <x:c r="I1925" s="78" t="n">
        <x:f>V1924</x:f>
        <x:v>82.04773924190717</x:v>
      </x:c>
      <x:c r="J1925" s="79" t="n">
        <x:f>IF(H1925&gt;0,I1925/H1925,0)</x:f>
        <x:v>5.726178554766755e-8</x:v>
      </x:c>
      <x:c r="K1925" s="80" t="n">
        <x:f>(H1925*J1925+I1925)*'Inputs'!$D$49*(1+'Inputs'!$G$49)^(B1925/30)</x:f>
        <x:v>123.07160886286076</x:v>
      </x:c>
      <x:c r="L1925" s="80" t="n">
        <x:f>MAX(0,K1925*'Inputs'!$E$49)</x:f>
        <x:v>0</x:v>
      </x:c>
      <x:c r="M1925" s="80" t="n">
        <x:f>MAX(0,-K1925*'Inputs'!$E$49)</x:f>
        <x:v>3.6921482658858227</x:v>
      </x:c>
      <x:c r="N1925" s="78" t="n">
        <x:f>H1925*(L1925*(1-'Inputs'!$B$15))/(I1925+L1925*(1-'Inputs'!$B$15))</x:f>
        <x:v>0</x:v>
      </x:c>
      <x:c r="O1925" s="78" t="n">
        <x:f>H1925-N1925</x:f>
        <x:v>1432853314.949576</x:v>
      </x:c>
      <x:c r="P1925" s="78" t="n">
        <x:f>I1925+L1925*(1-'Inputs'!$B$17)</x:f>
        <x:v>82.04773924190717</x:v>
      </x:c>
      <x:c r="Q1925" s="78" t="n">
        <x:f>IF(J1925&gt;0,M1925/J1925,0)</x:f>
        <x:v>64478399.17273092</x:v>
      </x:c>
      <x:c r="R1925" s="78" t="n">
        <x:f>IF(B1925='Inputs'!$H$49,'Inputs'!$B$27*'Inputs'!$I$49,0)</x:f>
        <x:v>0</x:v>
      </x:c>
      <x:c r="S1925" s="78" t="n">
        <x:f>Q1925+G1925+R1925</x:f>
        <x:v>65362669.43919743</x:v>
      </x:c>
      <x:c r="T1925" s="78" t="n">
        <x:f>P1925*(S1925*(1-'Inputs'!$B$15))/(O1925+S1925*(1-'Inputs'!$B$15))</x:f>
        <x:v>3.5452484755915035</x:v>
      </x:c>
      <x:c r="U1925" s="78" t="n">
        <x:f>O1925+S1925*(1-'Inputs'!$B$17)</x:f>
        <x:v>1497952955.5379114</x:v>
      </x:c>
      <x:c r="V1925" s="78" t="n">
        <x:f>P1925-T1925</x:f>
        <x:v>78.50249076631566</x:v>
      </x:c>
      <x:c r="W1925" s="79" t="n">
        <x:f>IF(U1925&gt;0,V1925/U1925,0)</x:f>
        <x:v>5.240651281877247e-8</x:v>
      </x:c>
      <x:c r="X1925" s="80" t="n">
        <x:f>W1925*('Inputs'!$B$6-AC1925)</x:f>
        <x:v>47.23293358702698</x:v>
      </x:c>
      <x:c r="Y1925" s="80" t="n">
        <x:f>2*V1925</x:f>
        <x:v>157.00498153263132</x:v>
      </x:c>
      <x:c r="Z1925" s="80" t="n">
        <x:f>K1925*'Inputs'!$B$16+(G1925+R1925)*J1925*'Inputs'!$B$16</x:f>
        <x:v>0.738733462543352</x:v>
      </x:c>
      <x:c r="AA1925" s="80" t="n">
        <x:f>K1925*(1+'Inputs'!$E$49)/2*'Inputs'!$B$17</x:f>
        <x:v>0.2402001219255029</x:v>
      </x:c>
      <x:c r="AB1925" s="78" t="n">
        <x:f>(IF(J1925&gt;0,K1925*(1-'Inputs'!$E$49)/2/J1925,0)+G1925+R1925)*'Inputs'!$B$17</x:f>
        <x:v>4457800.628028226</x:v>
      </x:c>
      <x:c r="AC1925" s="78" t="n">
        <x:f>AC1924+AB1925</x:f>
        <x:v>98720158.11539115</x:v>
      </x:c>
      <x:c r="AD1925" s="80" t="n">
        <x:f>Z1925/(1+'Inputs'!$C$49)</x:f>
        <x:v>0.184683365635838</x:v>
      </x:c>
      <x:c r="AE1925" s="80" t="n">
        <x:f>Z1925-AD1925</x:f>
        <x:v>0.5540500969075141</x:v>
      </x:c>
      <x:c r="AF1925" s="80" t="n">
        <x:f>D1925*W1925</x:f>
        <x:v>0.015286531840904357</x:v>
      </x:c>
      <x:c r="AG1925" s="80" t="n">
        <x:f>C1925*W1925</x:f>
        <x:v>0.03566857429544324</x:v>
      </x:c>
      <x:c r="AH1925" s="80" t="n">
        <x:f>2*'Inputs'!$B$8*'Inputs'!$C$49</x:f>
        <x:v>15000</x:v>
      </x:c>
      <x:c r="AI1925" s="81" t="n">
        <x:f>IF(AH1925&gt;0,(AE1925+AF1925)/AH1925*365,0)</x:f>
        <x:v>0.013853857966211514</x:v>
      </x:c>
      <x:c r="AJ1925" s="81" t="n">
        <x:f>IF('Inputs'!$B$49&gt;0,AG1925/('Inputs'!$B$19*'Inputs'!$B$49)*365,0)</x:f>
        <x:v>0.0013019029617836783</x:v>
      </x:c>
      <x:c r="AK1925" s="81" t="n">
        <x:f>W1925/MAX($W$1829:W1925)-1</x:f>
        <x:v>-0.9999324849488515</x:v>
      </x:c>
      <x:c r="AL1925" s="83" t="n">
        <x:f>'Inputs'!$B$49</x:f>
        <x:v>1</x:v>
      </x:c>
      <x:c r="AM1925" s="83" t="n">
        <x:f>'Inputs'!$C$49</x:f>
        <x:v>3</x:v>
      </x:c>
      <x:c r="AN1925" s="83" t="n">
        <x:f>'Inputs'!$D$49</x:f>
        <x:v>0.75</x:v>
      </x:c>
      <x:c r="AO1925" s="81" t="n">
        <x:f>'Inputs'!$E$49</x:f>
        <x:v>-0.03</x:v>
      </x:c>
    </x:row>
    <x:row r="1926">
      <x:c r="A1926" s="59" t="str">
        <x:v>Mercenary LP</x:v>
      </x:c>
      <x:c r="B1926" s="59" t="n">
        <x:v>98</x:v>
      </x:c>
      <x:c r="C1926" s="78" t="n">
        <x:f>(('Inputs'!$B$29*(3*98*'Inputs'!$B$12-98^2)/(2*'Inputs'!$B$12^2))-('Inputs'!$B$29*(3*97*'Inputs'!$B$12-97^2)/(2*'Inputs'!$B$12^2)))*'Inputs'!$B$49</x:f>
        <x:v>680288.2811034024</x:v>
      </x:c>
      <x:c r="D1926" s="78" t="n">
        <x:f>IF('Inputs'!$C$49&gt;0,('Inputs'!$B$30*(3*98*'Inputs'!$B$12-98^2)/(2*'Inputs'!$B$12^2))-('Inputs'!$B$30*(3*97*'Inputs'!$B$12-97^2)/(2*'Inputs'!$B$12^2)),0)</x:f>
        <x:v>291552.12047288567</x:v>
      </x:c>
      <x:c r="E1926" s="78" t="n">
        <x:f>C1926+D1926</x:f>
        <x:v>971840.401576288</x:v>
      </x:c>
      <x:c r="F1926" s="78" t="n">
        <x:f>'Inputs'!$B$13*E1926+(1-'Inputs'!$B$13)/'Inputs'!$B$14*SUM(E1871:E1926)</x:f>
        <x:v>982058.078438733</x:v>
      </x:c>
      <x:c r="G1926" s="78" t="n">
        <x:f>F1926*'Inputs'!$F$49</x:f>
        <x:v>883852.2705948597</x:v>
      </x:c>
      <x:c r="H1926" s="78" t="n">
        <x:f>U1925</x:f>
        <x:v>1497952955.5379114</x:v>
      </x:c>
      <x:c r="I1926" s="78" t="n">
        <x:f>V1925</x:f>
        <x:v>78.50249076631566</x:v>
      </x:c>
      <x:c r="J1926" s="79" t="n">
        <x:f>IF(H1926&gt;0,I1926/H1926,0)</x:f>
        <x:v>5.240651281877247e-8</x:v>
      </x:c>
      <x:c r="K1926" s="80" t="n">
        <x:f>(H1926*J1926+I1926)*'Inputs'!$D$49*(1+'Inputs'!$G$49)^(B1926/30)</x:f>
        <x:v>117.7537361494735</x:v>
      </x:c>
      <x:c r="L1926" s="80" t="n">
        <x:f>MAX(0,K1926*'Inputs'!$E$49)</x:f>
        <x:v>0</x:v>
      </x:c>
      <x:c r="M1926" s="80" t="n">
        <x:f>MAX(0,-K1926*'Inputs'!$E$49)</x:f>
        <x:v>3.532612084484205</x:v>
      </x:c>
      <x:c r="N1926" s="78" t="n">
        <x:f>H1926*(L1926*(1-'Inputs'!$B$15))/(I1926+L1926*(1-'Inputs'!$B$15))</x:f>
        <x:v>0</x:v>
      </x:c>
      <x:c r="O1926" s="78" t="n">
        <x:f>H1926-N1926</x:f>
        <x:v>1497952955.5379114</x:v>
      </x:c>
      <x:c r="P1926" s="78" t="n">
        <x:f>I1926+L1926*(1-'Inputs'!$B$17)</x:f>
        <x:v>78.50249076631566</x:v>
      </x:c>
      <x:c r="Q1926" s="78" t="n">
        <x:f>IF(J1926&gt;0,M1926/J1926,0)</x:f>
        <x:v>67407882.999206</x:v>
      </x:c>
      <x:c r="R1926" s="78" t="n">
        <x:f>IF(B1926='Inputs'!$H$49,'Inputs'!$B$27*'Inputs'!$I$49,0)</x:f>
        <x:v>0</x:v>
      </x:c>
      <x:c r="S1926" s="78" t="n">
        <x:f>Q1926+G1926+R1926</x:f>
        <x:v>68291735.26980087</x:v>
      </x:c>
      <x:c r="T1926" s="78" t="n">
        <x:f>P1926*(S1926*(1-'Inputs'!$B$15))/(O1926+S1926*(1-'Inputs'!$B$15))</x:f>
        <x:v>3.390131704957212</x:v>
      </x:c>
      <x:c r="U1926" s="78" t="n">
        <x:f>O1926+S1926*(1-'Inputs'!$B$17)</x:f>
        <x:v>1565969874.9716165</x:v>
      </x:c>
      <x:c r="V1926" s="78" t="n">
        <x:f>P1926-T1926</x:f>
        <x:v>75.11235906135845</x:v>
      </x:c>
      <x:c r="W1926" s="79" t="n">
        <x:f>IF(U1926&gt;0,V1926/U1926,0)</x:f>
        <x:v>4.796539209460838e-8</x:v>
      </x:c>
      <x:c r="X1926" s="80" t="n">
        <x:f>W1926*('Inputs'!$B$6-AC1926)</x:f>
        <x:v>43.00671407045239</x:v>
      </x:c>
      <x:c r="Y1926" s="80" t="n">
        <x:f>2*V1926</x:f>
        <x:v>150.2247181227169</x:v>
      </x:c>
      <x:c r="Z1926" s="80" t="n">
        <x:f>K1926*'Inputs'!$B$16+(G1926+R1926)*J1926*'Inputs'!$B$16</x:f>
        <x:v>0.706800334588934</x:v>
      </x:c>
      <x:c r="AA1926" s="80" t="n">
        <x:f>K1926*(1+'Inputs'!$E$49)/2*'Inputs'!$B$17</x:f>
        <x:v>0.22982117518106498</x:v>
      </x:c>
      <x:c r="AB1926" s="78" t="n">
        <x:f>(IF(J1926&gt;0,K1926*(1-'Inputs'!$E$49)/2/J1926,0)+G1926+R1926)*'Inputs'!$B$17</x:f>
        <x:v>4660171.068103145</x:v>
      </x:c>
      <x:c r="AC1926" s="78" t="n">
        <x:f>AC1925+AB1926</x:f>
        <x:v>103380329.1834943</x:v>
      </x:c>
      <x:c r="AD1926" s="80" t="n">
        <x:f>Z1926/(1+'Inputs'!$C$49)</x:f>
        <x:v>0.1767000836472335</x:v>
      </x:c>
      <x:c r="AE1926" s="80" t="n">
        <x:f>Z1926-AD1926</x:f>
        <x:v>0.5301002509417005</x:v>
      </x:c>
      <x:c r="AF1926" s="80" t="n">
        <x:f>D1926*W1926</x:f>
        <x:v>0.01398441177449646</x:v>
      </x:c>
      <x:c r="AG1926" s="80" t="n">
        <x:f>C1926*W1926</x:f>
        <x:v>0.03263029414049186</x:v>
      </x:c>
      <x:c r="AH1926" s="80" t="n">
        <x:f>2*'Inputs'!$B$8*'Inputs'!$C$49</x:f>
        <x:v>15000</x:v>
      </x:c>
      <x:c r="AI1926" s="81" t="n">
        <x:f>IF(AH1926&gt;0,(AE1926+AF1926)/AH1926*365,0)</x:f>
        <x:v>0.013239393459427462</x:v>
      </x:c>
      <x:c r="AJ1926" s="81" t="n">
        <x:f>IF('Inputs'!$B$49&gt;0,AG1926/('Inputs'!$B$19*'Inputs'!$B$49)*365,0)</x:f>
        <x:v>0.0011910057361279528</x:v>
      </x:c>
      <x:c r="AK1926" s="81" t="n">
        <x:f>W1926/MAX($W$1829:W1926)-1</x:f>
        <x:v>-0.999938206422705</x:v>
      </x:c>
      <x:c r="AL1926" s="83" t="n">
        <x:f>'Inputs'!$B$49</x:f>
        <x:v>1</x:v>
      </x:c>
      <x:c r="AM1926" s="83" t="n">
        <x:f>'Inputs'!$C$49</x:f>
        <x:v>3</x:v>
      </x:c>
      <x:c r="AN1926" s="83" t="n">
        <x:f>'Inputs'!$D$49</x:f>
        <x:v>0.75</x:v>
      </x:c>
      <x:c r="AO1926" s="81" t="n">
        <x:f>'Inputs'!$E$49</x:f>
        <x:v>-0.03</x:v>
      </x:c>
    </x:row>
    <x:row r="1927">
      <x:c r="A1927" s="59" t="str">
        <x:v>Mercenary LP</x:v>
      </x:c>
      <x:c r="B1927" s="59" t="n">
        <x:v>99</x:v>
      </x:c>
      <x:c r="C1927" s="78" t="n">
        <x:f>(('Inputs'!$B$29*(3*99*'Inputs'!$B$12-99^2)/(2*'Inputs'!$B$12^2))-('Inputs'!$B$29*(3*98*'Inputs'!$B$12-98^2)/(2*'Inputs'!$B$12^2)))*'Inputs'!$B$49</x:f>
        <x:v>679963.1732032299</x:v>
      </x:c>
      <x:c r="D1927" s="78" t="n">
        <x:f>IF('Inputs'!$C$49&gt;0,('Inputs'!$B$30*(3*99*'Inputs'!$B$12-99^2)/(2*'Inputs'!$B$12^2))-('Inputs'!$B$30*(3*98*'Inputs'!$B$12-98^2)/(2*'Inputs'!$B$12^2)),0)</x:f>
        <x:v>291412.78851566836</x:v>
      </x:c>
      <x:c r="E1927" s="78" t="n">
        <x:f>C1927+D1927</x:f>
        <x:v>971375.9617188983</x:v>
      </x:c>
      <x:c r="F1927" s="78" t="n">
        <x:f>'Inputs'!$B$13*E1927+(1-'Inputs'!$B$13)/'Inputs'!$B$14*SUM(E1872:E1927)</x:f>
        <x:v>981593.6385813479</x:v>
      </x:c>
      <x:c r="G1927" s="78" t="n">
        <x:f>F1927*'Inputs'!$F$49</x:f>
        <x:v>883434.2747232132</x:v>
      </x:c>
      <x:c r="H1927" s="78" t="n">
        <x:f>U1926</x:f>
        <x:v>1565969874.9716165</x:v>
      </x:c>
      <x:c r="I1927" s="78" t="n">
        <x:f>V1926</x:f>
        <x:v>75.11235906135845</x:v>
      </x:c>
      <x:c r="J1927" s="79" t="n">
        <x:f>IF(H1927&gt;0,I1927/H1927,0)</x:f>
        <x:v>4.796539209460838e-8</x:v>
      </x:c>
      <x:c r="K1927" s="80" t="n">
        <x:f>(H1927*J1927+I1927)*'Inputs'!$D$49*(1+'Inputs'!$G$49)^(B1927/30)</x:f>
        <x:v>112.66853859203766</x:v>
      </x:c>
      <x:c r="L1927" s="80" t="n">
        <x:f>MAX(0,K1927*'Inputs'!$E$49)</x:f>
        <x:v>0</x:v>
      </x:c>
      <x:c r="M1927" s="80" t="n">
        <x:f>MAX(0,-K1927*'Inputs'!$E$49)</x:f>
        <x:v>3.3800561577611297</x:v>
      </x:c>
      <x:c r="N1927" s="78" t="n">
        <x:f>H1927*(L1927*(1-'Inputs'!$B$15))/(I1927+L1927*(1-'Inputs'!$B$15))</x:f>
        <x:v>0</x:v>
      </x:c>
      <x:c r="O1927" s="78" t="n">
        <x:f>H1927-N1927</x:f>
        <x:v>1565969874.9716165</x:v>
      </x:c>
      <x:c r="P1927" s="78" t="n">
        <x:f>I1927+L1927*(1-'Inputs'!$B$17)</x:f>
        <x:v>75.11235906135845</x:v>
      </x:c>
      <x:c r="Q1927" s="78" t="n">
        <x:f>IF(J1927&gt;0,M1927/J1927,0)</x:f>
        <x:v>70468644.37372273</x:v>
      </x:c>
      <x:c r="R1927" s="78" t="n">
        <x:f>IF(B1927='Inputs'!$H$49,'Inputs'!$B$27*'Inputs'!$I$49,0)</x:f>
        <x:v>0</x:v>
      </x:c>
      <x:c r="S1927" s="78" t="n">
        <x:f>Q1927+G1927+R1927</x:f>
        <x:v>71352078.64844595</x:v>
      </x:c>
      <x:c r="T1927" s="78" t="n">
        <x:f>P1927*(S1927*(1-'Inputs'!$B$15))/(O1927+S1927*(1-'Inputs'!$B$15))</x:f>
        <x:v>3.2419658943818543</x:v>
      </x:c>
      <x:c r="U1927" s="78" t="n">
        <x:f>O1927+S1927*(1-'Inputs'!$B$17)</x:f>
        <x:v>1637034822.5188615</x:v>
      </x:c>
      <x:c r="V1927" s="78" t="n">
        <x:f>P1927-T1927</x:f>
        <x:v>71.8703931669766</x:v>
      </x:c>
      <x:c r="W1927" s="79" t="n">
        <x:f>IF(U1927&gt;0,V1927/U1927,0)</x:f>
        <x:v>4.3902788247589965e-8</x:v>
      </x:c>
      <x:c r="X1927" s="80" t="n">
        <x:f>W1927*('Inputs'!$B$6-AC1927)</x:f>
        <x:v>39.15022627050039</x:v>
      </x:c>
      <x:c r="Y1927" s="80" t="n">
        <x:f>2*V1927</x:f>
        <x:v>143.7407863339532</x:v>
      </x:c>
      <x:c r="Z1927" s="80" t="n">
        <x:f>K1927*'Inputs'!$B$16+(G1927+R1927)*J1927*'Inputs'!$B$16</x:f>
        <x:v>0.6762654771804875</x:v>
      </x:c>
      <x:c r="AA1927" s="80" t="n">
        <x:f>K1927*(1+'Inputs'!$E$49)/2*'Inputs'!$B$17</x:f>
        <x:v>0.21989634292610974</x:v>
      </x:c>
      <x:c r="AB1927" s="78" t="n">
        <x:f>(IF(J1927&gt;0,K1927*(1-'Inputs'!$E$49)/2/J1927,0)+G1927+R1927)*'Inputs'!$B$17</x:f>
        <x:v>4871610.312637011</x:v>
      </x:c>
      <x:c r="AC1927" s="78" t="n">
        <x:f>AC1926+AB1927</x:f>
        <x:v>108251939.49613132</x:v>
      </x:c>
      <x:c r="AD1927" s="80" t="n">
        <x:f>Z1927/(1+'Inputs'!$C$49)</x:f>
        <x:v>0.16906636929512187</x:v>
      </x:c>
      <x:c r="AE1927" s="80" t="n">
        <x:f>Z1927-AD1927</x:f>
        <x:v>0.5071991078853656</x:v>
      </x:c>
      <x:c r="AF1927" s="80" t="n">
        <x:f>D1927*W1927</x:f>
        <x:v>0.012793833946843105</x:v>
      </x:c>
      <x:c r="AG1927" s="80" t="n">
        <x:f>C1927*W1927</x:f>
        <x:v>0.029852279209300742</x:v>
      </x:c>
      <x:c r="AH1927" s="80" t="n">
        <x:f>2*'Inputs'!$B$8*'Inputs'!$C$49</x:f>
        <x:v>15000</x:v>
      </x:c>
      <x:c r="AI1927" s="81" t="n">
        <x:f>IF(AH1927&gt;0,(AE1927+AF1927)/AH1927*365,0)</x:f>
        <x:v>0.012653161584583746</x:v>
      </x:c>
      <x:c r="AJ1927" s="81" t="n">
        <x:f>IF('Inputs'!$B$49&gt;0,AG1927/('Inputs'!$B$19*'Inputs'!$B$49)*365,0)</x:f>
        <x:v>0.001089608191139477</x:v>
      </x:c>
      <x:c r="AK1927" s="81" t="n">
        <x:f>W1927/MAX($W$1829:W1927)-1</x:f>
        <x:v>-0.9999434402551387</x:v>
      </x:c>
      <x:c r="AL1927" s="83" t="n">
        <x:f>'Inputs'!$B$49</x:f>
        <x:v>1</x:v>
      </x:c>
      <x:c r="AM1927" s="83" t="n">
        <x:f>'Inputs'!$C$49</x:f>
        <x:v>3</x:v>
      </x:c>
      <x:c r="AN1927" s="83" t="n">
        <x:f>'Inputs'!$D$49</x:f>
        <x:v>0.75</x:v>
      </x:c>
      <x:c r="AO1927" s="81" t="n">
        <x:f>'Inputs'!$E$49</x:f>
        <x:v>-0.03</x:v>
      </x:c>
    </x:row>
    <x:row r="1928">
      <x:c r="A1928" s="59" t="str">
        <x:v>Mercenary LP</x:v>
      </x:c>
      <x:c r="B1928" s="59" t="n">
        <x:v>100</x:v>
      </x:c>
      <x:c r="C1928" s="78" t="n">
        <x:f>(('Inputs'!$B$29*(3*100*'Inputs'!$B$12-100^2)/(2*'Inputs'!$B$12^2))-('Inputs'!$B$29*(3*99*'Inputs'!$B$12-99^2)/(2*'Inputs'!$B$12^2)))*'Inputs'!$B$49</x:f>
        <x:v>679638.0653030574</x:v>
      </x:c>
      <x:c r="D1928" s="78" t="n">
        <x:f>IF('Inputs'!$C$49&gt;0,('Inputs'!$B$30*(3*100*'Inputs'!$B$12-100^2)/(2*'Inputs'!$B$12^2))-('Inputs'!$B$30*(3*99*'Inputs'!$B$12-99^2)/(2*'Inputs'!$B$12^2)),0)</x:f>
        <x:v>291273.4565584548</x:v>
      </x:c>
      <x:c r="E1928" s="78" t="n">
        <x:f>C1928+D1928</x:f>
        <x:v>970911.5218615122</x:v>
      </x:c>
      <x:c r="F1928" s="78" t="n">
        <x:f>'Inputs'!$B$13*E1928+(1-'Inputs'!$B$13)/'Inputs'!$B$14*SUM(E1873:E1928)</x:f>
        <x:v>981129.1987239633</x:v>
      </x:c>
      <x:c r="G1928" s="78" t="n">
        <x:f>F1928*'Inputs'!$F$49</x:f>
        <x:v>883016.2788515671</x:v>
      </x:c>
      <x:c r="H1928" s="78" t="n">
        <x:f>U1927</x:f>
        <x:v>1637034822.5188615</x:v>
      </x:c>
      <x:c r="I1928" s="78" t="n">
        <x:f>V1927</x:f>
        <x:v>71.8703931669766</x:v>
      </x:c>
      <x:c r="J1928" s="79" t="n">
        <x:f>IF(H1928&gt;0,I1928/H1928,0)</x:f>
        <x:v>4.3902788247589965e-8</x:v>
      </x:c>
      <x:c r="K1928" s="80" t="n">
        <x:f>(H1928*J1928+I1928)*'Inputs'!$D$49*(1+'Inputs'!$G$49)^(B1928/30)</x:f>
        <x:v>107.80558975046489</x:v>
      </x:c>
      <x:c r="L1928" s="80" t="n">
        <x:f>MAX(0,K1928*'Inputs'!$E$49)</x:f>
        <x:v>0</x:v>
      </x:c>
      <x:c r="M1928" s="80" t="n">
        <x:f>MAX(0,-K1928*'Inputs'!$E$49)</x:f>
        <x:v>3.2341676925139464</x:v>
      </x:c>
      <x:c r="N1928" s="78" t="n">
        <x:f>H1928*(L1928*(1-'Inputs'!$B$15))/(I1928+L1928*(1-'Inputs'!$B$15))</x:f>
        <x:v>0</x:v>
      </x:c>
      <x:c r="O1928" s="78" t="n">
        <x:f>H1928-N1928</x:f>
        <x:v>1637034822.5188615</x:v>
      </x:c>
      <x:c r="P1928" s="78" t="n">
        <x:f>I1928+L1928*(1-'Inputs'!$B$17)</x:f>
        <x:v>71.8703931669766</x:v>
      </x:c>
      <x:c r="Q1928" s="78" t="n">
        <x:f>IF(J1928&gt;0,M1928/J1928,0)</x:f>
        <x:v>73666567.01334876</x:v>
      </x:c>
      <x:c r="R1928" s="78" t="n">
        <x:f>IF(B1928='Inputs'!$H$49,'Inputs'!$B$27*'Inputs'!$I$49,0)</x:f>
        <x:v>0</x:v>
      </x:c>
      <x:c r="S1928" s="78" t="n">
        <x:f>Q1928+G1928+R1928</x:f>
        <x:v>74549583.29220033</x:v>
      </x:c>
      <x:c r="T1928" s="78" t="n">
        <x:f>P1928*(S1928*(1-'Inputs'!$B$15))/(O1928+S1928*(1-'Inputs'!$B$15))</x:f>
        <x:v>3.1004256169834457</x:v>
      </x:c>
      <x:c r="U1928" s="78" t="n">
        <x:f>O1928+S1928*(1-'Inputs'!$B$17)</x:f>
        <x:v>1711284407.4879544</x:v>
      </x:c>
      <x:c r="V1928" s="78" t="n">
        <x:f>P1928-T1928</x:f>
        <x:v>68.76996754999315</x:v>
      </x:c>
      <x:c r="W1928" s="79" t="n">
        <x:f>IF(U1928&gt;0,V1928/U1928,0)</x:f>
        <x:v>4.018617083699293e-8</x:v>
      </x:c>
      <x:c r="X1928" s="80" t="n">
        <x:f>W1928*('Inputs'!$B$6-AC1928)</x:f>
        <x:v>35.63129083073456</x:v>
      </x:c>
      <x:c r="Y1928" s="80" t="n">
        <x:f>2*V1928</x:f>
        <x:v>137.5399350999863</x:v>
      </x:c>
      <x:c r="Z1928" s="80" t="n">
        <x:f>K1928*'Inputs'!$B$16+(G1928+R1928)*J1928*'Inputs'!$B$16</x:f>
        <x:v>0.6470661397630469</x:v>
      </x:c>
      <x:c r="AA1928" s="80" t="n">
        <x:f>K1928*(1+'Inputs'!$E$49)/2*'Inputs'!$B$17</x:f>
        <x:v>0.21040527577052504</x:v>
      </x:c>
      <x:c r="AB1928" s="78" t="n">
        <x:f>(IF(J1928&gt;0,K1928*(1-'Inputs'!$E$49)/2/J1928,0)+G1928+R1928)*'Inputs'!$B$17</x:f>
        <x:v>5092524.8155922415</x:v>
      </x:c>
      <x:c r="AC1928" s="78" t="n">
        <x:f>AC1927+AB1928</x:f>
        <x:v>113344464.31172356</x:v>
      </x:c>
      <x:c r="AD1928" s="80" t="n">
        <x:f>Z1928/(1+'Inputs'!$C$49)</x:f>
        <x:v>0.16176653494076174</x:v>
      </x:c>
      <x:c r="AE1928" s="80" t="n">
        <x:f>Z1928-AD1928</x:f>
        <x:v>0.4852996048222852</x:v>
      </x:c>
      <x:c r="AF1928" s="80" t="n">
        <x:f>D1928*W1928</x:f>
        <x:v>0.011705164885539502</x:v>
      </x:c>
      <x:c r="AG1928" s="80" t="n">
        <x:f>C1928*W1928</x:f>
        <x:v>0.027312051399592023</x:v>
      </x:c>
      <x:c r="AH1928" s="80" t="n">
        <x:f>2*'Inputs'!$B$8*'Inputs'!$C$49</x:f>
        <x:v>15000</x:v>
      </x:c>
      <x:c r="AI1928" s="81" t="n">
        <x:f>IF(AH1928&gt;0,(AE1928+AF1928)/AH1928*365,0)</x:f>
        <x:v>0.012093782729557067</x:v>
      </x:c>
      <x:c r="AJ1928" s="81" t="n">
        <x:f>IF('Inputs'!$B$49&gt;0,AG1928/('Inputs'!$B$19*'Inputs'!$B$49)*365,0)</x:f>
        <x:v>0.000996889876085109</x:v>
      </x:c>
      <x:c r="AK1928" s="81" t="n">
        <x:f>W1928/MAX($W$1829:W1928)-1</x:f>
        <x:v>-0.9999482283549583</x:v>
      </x:c>
      <x:c r="AL1928" s="83" t="n">
        <x:f>'Inputs'!$B$49</x:f>
        <x:v>1</x:v>
      </x:c>
      <x:c r="AM1928" s="83" t="n">
        <x:f>'Inputs'!$C$49</x:f>
        <x:v>3</x:v>
      </x:c>
      <x:c r="AN1928" s="83" t="n">
        <x:f>'Inputs'!$D$49</x:f>
        <x:v>0.75</x:v>
      </x:c>
      <x:c r="AO1928" s="81" t="n">
        <x:f>'Inputs'!$E$49</x:f>
        <x:v>-0.03</x:v>
      </x:c>
    </x:row>
    <x:row r="1929">
      <x:c r="A1929" s="59" t="str">
        <x:v>Mercenary LP</x:v>
      </x:c>
      <x:c r="B1929" s="59" t="n">
        <x:v>101</x:v>
      </x:c>
      <x:c r="C1929" s="78" t="n">
        <x:f>(('Inputs'!$B$29*(3*101*'Inputs'!$B$12-101^2)/(2*'Inputs'!$B$12^2))-('Inputs'!$B$29*(3*100*'Inputs'!$B$12-100^2)/(2*'Inputs'!$B$12^2)))*'Inputs'!$B$49</x:f>
        <x:v>679312.957402885</x:v>
      </x:c>
      <x:c r="D1929" s="78" t="n">
        <x:f>IF('Inputs'!$C$49&gt;0,('Inputs'!$B$30*(3*101*'Inputs'!$B$12-101^2)/(2*'Inputs'!$B$12^2))-('Inputs'!$B$30*(3*100*'Inputs'!$B$12-100^2)/(2*'Inputs'!$B$12^2)),0)</x:f>
        <x:v>291134.1246012375</x:v>
      </x:c>
      <x:c r="E1929" s="78" t="n">
        <x:f>C1929+D1929</x:f>
        <x:v>970447.0820041224</x:v>
      </x:c>
      <x:c r="F1929" s="78" t="n">
        <x:f>'Inputs'!$B$13*E1929+(1-'Inputs'!$B$13)/'Inputs'!$B$14*SUM(E1874:E1929)</x:f>
        <x:v>980664.7588665781</x:v>
      </x:c>
      <x:c r="G1929" s="78" t="n">
        <x:f>F1929*'Inputs'!$F$49</x:f>
        <x:v>882598.2829799203</x:v>
      </x:c>
      <x:c r="H1929" s="78" t="n">
        <x:f>U1928</x:f>
        <x:v>1711284407.4879544</x:v>
      </x:c>
      <x:c r="I1929" s="78" t="n">
        <x:f>V1928</x:f>
        <x:v>68.76996754999315</x:v>
      </x:c>
      <x:c r="J1929" s="79" t="n">
        <x:f>IF(H1929&gt;0,I1929/H1929,0)</x:f>
        <x:v>4.018617083699293e-8</x:v>
      </x:c>
      <x:c r="K1929" s="80" t="n">
        <x:f>(H1929*J1929+I1929)*'Inputs'!$D$49*(1+'Inputs'!$G$49)^(B1929/30)</x:f>
        <x:v>103.15495132498972</x:v>
      </x:c>
      <x:c r="L1929" s="80" t="n">
        <x:f>MAX(0,K1929*'Inputs'!$E$49)</x:f>
        <x:v>0</x:v>
      </x:c>
      <x:c r="M1929" s="80" t="n">
        <x:f>MAX(0,-K1929*'Inputs'!$E$49)</x:f>
        <x:v>3.0946485397496915</x:v>
      </x:c>
      <x:c r="N1929" s="78" t="n">
        <x:f>H1929*(L1929*(1-'Inputs'!$B$15))/(I1929+L1929*(1-'Inputs'!$B$15))</x:f>
        <x:v>0</x:v>
      </x:c>
      <x:c r="O1929" s="78" t="n">
        <x:f>H1929-N1929</x:f>
        <x:v>1711284407.4879544</x:v>
      </x:c>
      <x:c r="P1929" s="78" t="n">
        <x:f>I1929+L1929*(1-'Inputs'!$B$17)</x:f>
        <x:v>68.76996754999315</x:v>
      </x:c>
      <x:c r="Q1929" s="78" t="n">
        <x:f>IF(J1929&gt;0,M1929/J1929,0)</x:f>
        <x:v>77007798.33695793</x:v>
      </x:c>
      <x:c r="R1929" s="78" t="n">
        <x:f>IF(B1929='Inputs'!$H$49,'Inputs'!$B$27*'Inputs'!$I$49,0)</x:f>
        <x:v>0</x:v>
      </x:c>
      <x:c r="S1929" s="78" t="n">
        <x:f>Q1929+G1929+R1929</x:f>
        <x:v>77890396.61993785</x:v>
      </x:c>
      <x:c r="T1929" s="78" t="n">
        <x:f>P1929*(S1929*(1-'Inputs'!$B$15))/(O1929+S1929*(1-'Inputs'!$B$15))</x:f>
        <x:v>2.9652018588887294</x:v>
      </x:c>
      <x:c r="U1929" s="78" t="n">
        <x:f>O1929+S1929*(1-'Inputs'!$B$17)</x:f>
        <x:v>1788861361.8679729</x:v>
      </x:c>
      <x:c r="V1929" s="78" t="n">
        <x:f>P1929-T1929</x:f>
        <x:v>65.80476569110442</x:v>
      </x:c>
      <x:c r="W1929" s="79" t="n">
        <x:f>IF(U1929&gt;0,V1929/U1929,0)</x:f>
        <x:v>3.678583879881528e-8</x:v>
      </x:c>
      <x:c r="X1929" s="80" t="n">
        <x:f>W1929*('Inputs'!$B$6-AC1929)</x:f>
        <x:v>32.42054410646678</x:v>
      </x:c>
      <x:c r="Y1929" s="80" t="n">
        <x:f>2*V1929</x:f>
        <x:v>131.60953138220884</x:v>
      </x:c>
      <x:c r="Z1929" s="80" t="n">
        <x:f>K1929*'Inputs'!$B$16+(G1929+R1929)*J1929*'Inputs'!$B$16</x:f>
        <x:v>0.61914251742222</x:v>
      </x:c>
      <x:c r="AA1929" s="80" t="n">
        <x:f>K1929*(1+'Inputs'!$E$49)/2*'Inputs'!$B$17</x:f>
        <x:v>0.20132857703267612</x:v>
      </x:c>
      <x:c r="AB1929" s="78" t="n">
        <x:f>(IF(J1929&gt;0,K1929*(1-'Inputs'!$E$49)/2/J1929,0)+G1929+R1929)*'Inputs'!$B$17</x:f>
        <x:v>5323339.247756237</x:v>
      </x:c>
      <x:c r="AC1929" s="78" t="n">
        <x:f>AC1928+AB1929</x:f>
        <x:v>118667803.5594798</x:v>
      </x:c>
      <x:c r="AD1929" s="80" t="n">
        <x:f>Z1929/(1+'Inputs'!$C$49)</x:f>
        <x:v>0.154785629355555</x:v>
      </x:c>
      <x:c r="AE1929" s="80" t="n">
        <x:f>Z1929-AD1929</x:f>
        <x:v>0.46435688806666503</x:v>
      </x:c>
      <x:c r="AF1929" s="80" t="n">
        <x:f>D1929*W1929</x:f>
        <x:v>0.010709612976415324</x:v>
      </x:c>
      <x:c r="AG1929" s="80" t="n">
        <x:f>C1929*W1929</x:f>
        <x:v>0.024989096944968998</x:v>
      </x:c>
      <x:c r="AH1929" s="80" t="n">
        <x:f>2*'Inputs'!$B$8*'Inputs'!$C$49</x:f>
        <x:v>15000</x:v>
      </x:c>
      <x:c r="AI1929" s="81" t="n">
        <x:f>IF(AH1929&gt;0,(AE1929+AF1929)/AH1929*365,0)</x:f>
        <x:v>0.011559951525381622</x:v>
      </x:c>
      <x:c r="AJ1929" s="81" t="n">
        <x:f>IF('Inputs'!$B$49&gt;0,AG1929/('Inputs'!$B$19*'Inputs'!$B$49)*365,0)</x:f>
        <x:v>0.0009121020384913684</x:v>
      </x:c>
      <x:c r="AK1929" s="81" t="n">
        <x:f>W1929/MAX($W$1829:W1929)-1</x:f>
        <x:v>-0.9999526089858978</x:v>
      </x:c>
      <x:c r="AL1929" s="83" t="n">
        <x:f>'Inputs'!$B$49</x:f>
        <x:v>1</x:v>
      </x:c>
      <x:c r="AM1929" s="83" t="n">
        <x:f>'Inputs'!$C$49</x:f>
        <x:v>3</x:v>
      </x:c>
      <x:c r="AN1929" s="83" t="n">
        <x:f>'Inputs'!$D$49</x:f>
        <x:v>0.75</x:v>
      </x:c>
      <x:c r="AO1929" s="81" t="n">
        <x:f>'Inputs'!$E$49</x:f>
        <x:v>-0.03</x:v>
      </x:c>
    </x:row>
    <x:row r="1930">
      <x:c r="A1930" s="59" t="str">
        <x:v>Mercenary LP</x:v>
      </x:c>
      <x:c r="B1930" s="59" t="n">
        <x:v>102</x:v>
      </x:c>
      <x:c r="C1930" s="78" t="n">
        <x:f>(('Inputs'!$B$29*(3*102*'Inputs'!$B$12-102^2)/(2*'Inputs'!$B$12^2))-('Inputs'!$B$29*(3*101*'Inputs'!$B$12-101^2)/(2*'Inputs'!$B$12^2)))*'Inputs'!$B$49</x:f>
        <x:v>678987.8495027274</x:v>
      </x:c>
      <x:c r="D1930" s="78" t="n">
        <x:f>IF('Inputs'!$C$49&gt;0,('Inputs'!$B$30*(3*102*'Inputs'!$B$12-102^2)/(2*'Inputs'!$B$12^2))-('Inputs'!$B$30*(3*101*'Inputs'!$B$12-101^2)/(2*'Inputs'!$B$12^2)),0)</x:f>
        <x:v>290994.7926440239</x:v>
      </x:c>
      <x:c r="E1930" s="78" t="n">
        <x:f>C1930+D1930</x:f>
        <x:v>969982.6421467513</x:v>
      </x:c>
      <x:c r="F1930" s="78" t="n">
        <x:f>'Inputs'!$B$13*E1930+(1-'Inputs'!$B$13)/'Inputs'!$B$14*SUM(E1875:E1930)</x:f>
        <x:v>980200.3190091965</x:v>
      </x:c>
      <x:c r="G1930" s="78" t="n">
        <x:f>F1930*'Inputs'!$F$49</x:f>
        <x:v>882180.2871082769</x:v>
      </x:c>
      <x:c r="H1930" s="78" t="n">
        <x:f>U1929</x:f>
        <x:v>1788861361.8679729</x:v>
      </x:c>
      <x:c r="I1930" s="78" t="n">
        <x:f>V1929</x:f>
        <x:v>65.80476569110442</x:v>
      </x:c>
      <x:c r="J1930" s="79" t="n">
        <x:f>IF(H1930&gt;0,I1930/H1930,0)</x:f>
        <x:v>3.678583879881528e-8</x:v>
      </x:c>
      <x:c r="K1930" s="80" t="n">
        <x:f>(H1930*J1930+I1930)*'Inputs'!$D$49*(1+'Inputs'!$G$49)^(B1930/30)</x:f>
        <x:v>98.70714853665663</x:v>
      </x:c>
      <x:c r="L1930" s="80" t="n">
        <x:f>MAX(0,K1930*'Inputs'!$E$49)</x:f>
        <x:v>0</x:v>
      </x:c>
      <x:c r="M1930" s="80" t="n">
        <x:f>MAX(0,-K1930*'Inputs'!$E$49)</x:f>
        <x:v>2.961214456099699</x:v>
      </x:c>
      <x:c r="N1930" s="78" t="n">
        <x:f>H1930*(L1930*(1-'Inputs'!$B$15))/(I1930+L1930*(1-'Inputs'!$B$15))</x:f>
        <x:v>0</x:v>
      </x:c>
      <x:c r="O1930" s="78" t="n">
        <x:f>H1930-N1930</x:f>
        <x:v>1788861361.8679729</x:v>
      </x:c>
      <x:c r="P1930" s="78" t="n">
        <x:f>I1930+L1930*(1-'Inputs'!$B$17)</x:f>
        <x:v>65.80476569110442</x:v>
      </x:c>
      <x:c r="Q1930" s="78" t="n">
        <x:f>IF(J1930&gt;0,M1930/J1930,0)</x:f>
        <x:v>80498761.28405878</x:v>
      </x:c>
      <x:c r="R1930" s="78" t="n">
        <x:f>IF(B1930='Inputs'!$H$49,'Inputs'!$B$27*'Inputs'!$I$49,0)</x:f>
        <x:v>0</x:v>
      </x:c>
      <x:c r="S1930" s="78" t="n">
        <x:f>Q1930+G1930+R1930</x:f>
        <x:v>81380941.57116705</x:v>
      </x:c>
      <x:c r="T1930" s="78" t="n">
        <x:f>P1930*(S1930*(1-'Inputs'!$B$15))/(O1930+S1930*(1-'Inputs'!$B$15))</x:f>
        <x:v>2.8360010938335165</x:v>
      </x:c>
      <x:c r="U1930" s="78" t="n">
        <x:f>O1930+S1930*(1-'Inputs'!$B$17)</x:f>
        <x:v>1869914814.7406645</x:v>
      </x:c>
      <x:c r="V1930" s="78" t="n">
        <x:f>P1930-T1930</x:f>
        <x:v>62.968764597270905</x:v>
      </x:c>
      <x:c r="W1930" s="79" t="n">
        <x:f>IF(U1930&gt;0,V1930/U1930,0)</x:f>
        <x:v>3.367467015121966e-8</x:v>
      </x:c>
      <x:c r="X1930" s="80" t="n">
        <x:f>W1930*('Inputs'!$B$6-AC1930)</x:f>
        <x:v>29.491188397205104</x:v>
      </x:c>
      <x:c r="Y1930" s="80" t="n">
        <x:f>2*V1930</x:f>
        <x:v>125.93752919454181</x:v>
      </x:c>
      <x:c r="Z1930" s="80" t="n">
        <x:f>K1930*'Inputs'!$B$16+(G1930+R1930)*J1930*'Inputs'!$B$16</x:f>
        <x:v>0.5924376016709382</x:v>
      </x:c>
      <x:c r="AA1930" s="80" t="n">
        <x:f>K1930*(1+'Inputs'!$E$49)/2*'Inputs'!$B$17</x:f>
        <x:v>0.19264775468924938</x:v>
      </x:c>
      <x:c r="AB1930" s="78" t="n">
        <x:f>(IF(J1930&gt;0,K1930*(1-'Inputs'!$E$49)/2/J1930,0)+G1930+R1930)*'Inputs'!$B$17</x:f>
        <x:v>5564497.313199667</x:v>
      </x:c>
      <x:c r="AC1930" s="78" t="n">
        <x:f>AC1929+AB1930</x:f>
        <x:v>124232300.87267947</x:v>
      </x:c>
      <x:c r="AD1930" s="80" t="n">
        <x:f>Z1930/(1+'Inputs'!$C$49)</x:f>
        <x:v>0.14810940041773454</x:v>
      </x:c>
      <x:c r="AE1930" s="80" t="n">
        <x:f>Z1930-AD1930</x:f>
        <x:v>0.4443282012532036</x:v>
      </x:c>
      <x:c r="AF1930" s="80" t="n">
        <x:f>D1930*W1930</x:f>
        <x:v>0.009799153658010066</x:v>
      </x:c>
      <x:c r="AG1930" s="80" t="n">
        <x:f>C1930*W1930</x:f>
        <x:v>0.022864691868690324</x:v>
      </x:c>
      <x:c r="AH1930" s="80" t="n">
        <x:f>2*'Inputs'!$B$8*'Inputs'!$C$49</x:f>
        <x:v>15000</x:v>
      </x:c>
      <x:c r="AI1930" s="81" t="n">
        <x:f>IF(AH1930&gt;0,(AE1930+AF1930)/AH1930*365,0)</x:f>
        <x:v>0.011050432302839532</x:v>
      </x:c>
      <x:c r="AJ1930" s="81" t="n">
        <x:f>IF('Inputs'!$B$49&gt;0,AG1930/('Inputs'!$B$19*'Inputs'!$B$49)*365,0)</x:f>
        <x:v>0.0008345612532071968</x:v>
      </x:c>
      <x:c r="AK1930" s="81" t="n">
        <x:f>W1930/MAX($W$1829:W1930)-1</x:f>
        <x:v>-0.9999566170890719</x:v>
      </x:c>
      <x:c r="AL1930" s="83" t="n">
        <x:f>'Inputs'!$B$49</x:f>
        <x:v>1</x:v>
      </x:c>
      <x:c r="AM1930" s="83" t="n">
        <x:f>'Inputs'!$C$49</x:f>
        <x:v>3</x:v>
      </x:c>
      <x:c r="AN1930" s="83" t="n">
        <x:f>'Inputs'!$D$49</x:f>
        <x:v>0.75</x:v>
      </x:c>
      <x:c r="AO1930" s="81" t="n">
        <x:f>'Inputs'!$E$49</x:f>
        <x:v>-0.03</x:v>
      </x:c>
    </x:row>
    <x:row r="1931">
      <x:c r="A1931" s="59" t="str">
        <x:v>Mercenary LP</x:v>
      </x:c>
      <x:c r="B1931" s="59" t="n">
        <x:v>103</x:v>
      </x:c>
      <x:c r="C1931" s="78" t="n">
        <x:f>(('Inputs'!$B$29*(3*103*'Inputs'!$B$12-103^2)/(2*'Inputs'!$B$12^2))-('Inputs'!$B$29*(3*102*'Inputs'!$B$12-102^2)/(2*'Inputs'!$B$12^2)))*'Inputs'!$B$49</x:f>
        <x:v>678662.7416025549</x:v>
      </x:c>
      <x:c r="D1931" s="78" t="n">
        <x:f>IF('Inputs'!$C$49&gt;0,('Inputs'!$B$30*(3*103*'Inputs'!$B$12-103^2)/(2*'Inputs'!$B$12^2))-('Inputs'!$B$30*(3*102*'Inputs'!$B$12-102^2)/(2*'Inputs'!$B$12^2)),0)</x:f>
        <x:v>290855.4606868066</x:v>
      </x:c>
      <x:c r="E1931" s="78" t="n">
        <x:f>C1931+D1931</x:f>
        <x:v>969518.2022893615</x:v>
      </x:c>
      <x:c r="F1931" s="78" t="n">
        <x:f>'Inputs'!$B$13*E1931+(1-'Inputs'!$B$13)/'Inputs'!$B$14*SUM(E1876:E1931)</x:f>
        <x:v>979735.8791518115</x:v>
      </x:c>
      <x:c r="G1931" s="78" t="n">
        <x:f>F1931*'Inputs'!$F$49</x:f>
        <x:v>881762.2912366303</x:v>
      </x:c>
      <x:c r="H1931" s="78" t="n">
        <x:f>U1930</x:f>
        <x:v>1869914814.7406645</x:v>
      </x:c>
      <x:c r="I1931" s="78" t="n">
        <x:f>V1930</x:f>
        <x:v>62.968764597270905</x:v>
      </x:c>
      <x:c r="J1931" s="79" t="n">
        <x:f>IF(H1931&gt;0,I1931/H1931,0)</x:f>
        <x:v>3.367467015121966e-8</x:v>
      </x:c>
      <x:c r="K1931" s="80" t="n">
        <x:f>(H1931*J1931+I1931)*'Inputs'!$D$49*(1+'Inputs'!$G$49)^(B1931/30)</x:f>
        <x:v>94.45314689590636</x:v>
      </x:c>
      <x:c r="L1931" s="80" t="n">
        <x:f>MAX(0,K1931*'Inputs'!$E$49)</x:f>
        <x:v>0</x:v>
      </x:c>
      <x:c r="M1931" s="80" t="n">
        <x:f>MAX(0,-K1931*'Inputs'!$E$49)</x:f>
        <x:v>2.8335944068771908</x:v>
      </x:c>
      <x:c r="N1931" s="78" t="n">
        <x:f>H1931*(L1931*(1-'Inputs'!$B$15))/(I1931+L1931*(1-'Inputs'!$B$15))</x:f>
        <x:v>0</x:v>
      </x:c>
      <x:c r="O1931" s="78" t="n">
        <x:f>H1931-N1931</x:f>
        <x:v>1869914814.7406645</x:v>
      </x:c>
      <x:c r="P1931" s="78" t="n">
        <x:f>I1931+L1931*(1-'Inputs'!$B$17)</x:f>
        <x:v>62.968764597270905</x:v>
      </x:c>
      <x:c r="Q1931" s="78" t="n">
        <x:f>IF(J1931&gt;0,M1931/J1931,0)</x:f>
        <x:v>84146166.66332991</x:v>
      </x:c>
      <x:c r="R1931" s="78" t="n">
        <x:f>IF(B1931='Inputs'!$H$49,'Inputs'!$B$27*'Inputs'!$I$49,0)</x:f>
        <x:v>0</x:v>
      </x:c>
      <x:c r="S1931" s="78" t="n">
        <x:f>Q1931+G1931+R1931</x:f>
        <x:v>85027928.95456654</x:v>
      </x:c>
      <x:c r="T1931" s="78" t="n">
        <x:f>P1931*(S1931*(1-'Inputs'!$B$15))/(O1931+S1931*(1-'Inputs'!$B$15))</x:f>
        <x:v>2.712544417758831</x:v>
      </x:c>
      <x:c r="U1931" s="78" t="n">
        <x:f>O1931+S1931*(1-'Inputs'!$B$17)</x:f>
        <x:v>1954600578.9911885</x:v>
      </x:c>
      <x:c r="V1931" s="78" t="n">
        <x:f>P1931-T1931</x:f>
        <x:v>60.25622017951208</x:v>
      </x:c>
      <x:c r="W1931" s="79" t="n">
        <x:f>IF(U1931&gt;0,V1931/U1931,0)</x:f>
        <x:v>3.0827894367355406e-8</x:v>
      </x:c>
      <x:c r="X1931" s="80" t="n">
        <x:f>W1931*('Inputs'!$B$6-AC1931)</x:f>
        <x:v>26.8187648243427</x:v>
      </x:c>
      <x:c r="Y1931" s="80" t="n">
        <x:f>2*V1931</x:f>
        <x:v>120.51244035902415</x:v>
      </x:c>
      <x:c r="Z1931" s="80" t="n">
        <x:f>K1931*'Inputs'!$B$16+(G1931+R1931)*J1931*'Inputs'!$B$16</x:f>
        <x:v>0.5668970397012932</x:v>
      </x:c>
      <x:c r="AA1931" s="80" t="n">
        <x:f>K1931*(1+'Inputs'!$E$49)/2*'Inputs'!$B$17</x:f>
        <x:v>0.18434517603426392</x:v>
      </x:c>
      <x:c r="AB1931" s="78" t="n">
        <x:f>(IF(J1931&gt;0,K1931*(1-'Inputs'!$E$49)/2/J1931,0)+G1931+R1931)*'Inputs'!$B$17</x:f>
        <x:v>5816462.602327566</x:v>
      </x:c>
      <x:c r="AC1931" s="78" t="n">
        <x:f>AC1930+AB1931</x:f>
        <x:v>130048763.47500704</x:v>
      </x:c>
      <x:c r="AD1931" s="80" t="n">
        <x:f>Z1931/(1+'Inputs'!$C$49)</x:f>
        <x:v>0.1417242599253233</x:v>
      </x:c>
      <x:c r="AE1931" s="80" t="n">
        <x:f>Z1931-AD1931</x:f>
        <x:v>0.4251727797759699</x:v>
      </x:c>
      <x:c r="AF1931" s="80" t="n">
        <x:f>D1931*W1931</x:f>
        <x:v>0.008966461418221366</x:v>
      </x:c>
      <x:c r="AG1931" s="80" t="n">
        <x:f>C1931*W1931</x:f>
        <x:v>0.02092174330918338</x:v>
      </x:c>
      <x:c r="AH1931" s="80" t="n">
        <x:f>2*'Inputs'!$B$8*'Inputs'!$C$49</x:f>
        <x:v>15000</x:v>
      </x:c>
      <x:c r="AI1931" s="81" t="n">
        <x:f>IF(AH1931&gt;0,(AE1931+AF1931)/AH1931*365,0)</x:f>
        <x:v>0.010564054869058655</x:v>
      </x:c>
      <x:c r="AJ1931" s="81" t="n">
        <x:f>IF('Inputs'!$B$49&gt;0,AG1931/('Inputs'!$B$19*'Inputs'!$B$49)*365,0)</x:f>
        <x:v>0.0007636436307851933</x:v>
      </x:c>
      <x:c r="AK1931" s="81" t="n">
        <x:f>W1931/MAX($W$1829:W1931)-1</x:f>
        <x:v>-0.9999602845762279</x:v>
      </x:c>
      <x:c r="AL1931" s="83" t="n">
        <x:f>'Inputs'!$B$49</x:f>
        <x:v>1</x:v>
      </x:c>
      <x:c r="AM1931" s="83" t="n">
        <x:f>'Inputs'!$C$49</x:f>
        <x:v>3</x:v>
      </x:c>
      <x:c r="AN1931" s="83" t="n">
        <x:f>'Inputs'!$D$49</x:f>
        <x:v>0.75</x:v>
      </x:c>
      <x:c r="AO1931" s="81" t="n">
        <x:f>'Inputs'!$E$49</x:f>
        <x:v>-0.03</x:v>
      </x:c>
    </x:row>
    <x:row r="1932">
      <x:c r="A1932" s="59" t="str">
        <x:v>Mercenary LP</x:v>
      </x:c>
      <x:c r="B1932" s="59" t="n">
        <x:v>104</x:v>
      </x:c>
      <x:c r="C1932" s="78" t="n">
        <x:f>(('Inputs'!$B$29*(3*104*'Inputs'!$B$12-104^2)/(2*'Inputs'!$B$12^2))-('Inputs'!$B$29*(3*103*'Inputs'!$B$12-103^2)/(2*'Inputs'!$B$12^2)))*'Inputs'!$B$49</x:f>
        <x:v>678337.6337023824</x:v>
      </x:c>
      <x:c r="D1932" s="78" t="n">
        <x:f>IF('Inputs'!$C$49&gt;0,('Inputs'!$B$30*(3*104*'Inputs'!$B$12-104^2)/(2*'Inputs'!$B$12^2))-('Inputs'!$B$30*(3*103*'Inputs'!$B$12-103^2)/(2*'Inputs'!$B$12^2)),0)</x:f>
        <x:v>290716.128729593</x:v>
      </x:c>
      <x:c r="E1932" s="78" t="n">
        <x:f>C1932+D1932</x:f>
        <x:v>969053.7624319755</x:v>
      </x:c>
      <x:c r="F1932" s="78" t="n">
        <x:f>'Inputs'!$B$13*E1932+(1-'Inputs'!$B$13)/'Inputs'!$B$14*SUM(E1877:E1932)</x:f>
        <x:v>979271.4392944269</x:v>
      </x:c>
      <x:c r="G1932" s="78" t="n">
        <x:f>F1932*'Inputs'!$F$49</x:f>
        <x:v>881344.2953649843</x:v>
      </x:c>
      <x:c r="H1932" s="78" t="n">
        <x:f>U1931</x:f>
        <x:v>1954600578.9911885</x:v>
      </x:c>
      <x:c r="I1932" s="78" t="n">
        <x:f>V1931</x:f>
        <x:v>60.25622017951208</x:v>
      </x:c>
      <x:c r="J1932" s="79" t="n">
        <x:f>IF(H1932&gt;0,I1932/H1932,0)</x:f>
        <x:v>3.0827894367355406e-8</x:v>
      </x:c>
      <x:c r="K1932" s="80" t="n">
        <x:f>(H1932*J1932+I1932)*'Inputs'!$D$49*(1+'Inputs'!$G$49)^(B1932/30)</x:f>
        <x:v>90.38433026926812</x:v>
      </x:c>
      <x:c r="L1932" s="80" t="n">
        <x:f>MAX(0,K1932*'Inputs'!$E$49)</x:f>
        <x:v>0</x:v>
      </x:c>
      <x:c r="M1932" s="80" t="n">
        <x:f>MAX(0,-K1932*'Inputs'!$E$49)</x:f>
        <x:v>2.7115299080780435</x:v>
      </x:c>
      <x:c r="N1932" s="78" t="n">
        <x:f>H1932*(L1932*(1-'Inputs'!$B$15))/(I1932+L1932*(1-'Inputs'!$B$15))</x:f>
        <x:v>0</x:v>
      </x:c>
      <x:c r="O1932" s="78" t="n">
        <x:f>H1932-N1932</x:f>
        <x:v>1954600578.9911885</x:v>
      </x:c>
      <x:c r="P1932" s="78" t="n">
        <x:f>I1932+L1932*(1-'Inputs'!$B$17)</x:f>
        <x:v>60.25622017951208</x:v>
      </x:c>
      <x:c r="Q1932" s="78" t="n">
        <x:f>IF(J1932&gt;0,M1932/J1932,0)</x:f>
        <x:v>87957026.05460349</x:v>
      </x:c>
      <x:c r="R1932" s="78" t="n">
        <x:f>IF(B1932='Inputs'!$H$49,'Inputs'!$B$27*'Inputs'!$I$49,0)</x:f>
        <x:v>0</x:v>
      </x:c>
      <x:c r="S1932" s="78" t="n">
        <x:f>Q1932+G1932+R1932</x:f>
        <x:v>88838370.34996848</x:v>
      </x:c>
      <x:c r="T1932" s="78" t="n">
        <x:f>P1932*(S1932*(1-'Inputs'!$B$15))/(O1932+S1932*(1-'Inputs'!$B$15))</x:f>
        <x:v>2.59456673891465</x:v>
      </x:c>
      <x:c r="U1932" s="78" t="n">
        <x:f>O1932+S1932*(1-'Inputs'!$B$17)</x:f>
        <x:v>2043081450.8689237</x:v>
      </x:c>
      <x:c r="V1932" s="78" t="n">
        <x:f>P1932-T1932</x:f>
        <x:v>57.661653440597426</x:v>
      </x:c>
      <x:c r="W1932" s="79" t="n">
        <x:f>IF(U1932&gt;0,V1932/U1932,0)</x:f>
        <x:v>2.822288529714461e-8</x:v>
      </x:c>
      <x:c r="X1932" s="80" t="n">
        <x:f>W1932*('Inputs'!$B$6-AC1932)</x:f>
        <x:v>24.380946736941866</x:v>
      </x:c>
      <x:c r="Y1932" s="80" t="n">
        <x:f>2*V1932</x:f>
        <x:v>115.32330688119485</x:v>
      </x:c>
      <x:c r="Z1932" s="80" t="n">
        <x:f>K1932*'Inputs'!$B$16+(G1932+R1932)*J1932*'Inputs'!$B$16</x:f>
        <x:v>0.5424690015486414</x:v>
      </x:c>
      <x:c r="AA1932" s="80" t="n">
        <x:f>K1932*(1+'Inputs'!$E$49)/2*'Inputs'!$B$17</x:f>
        <x:v>0.1764040248716098</x:v>
      </x:c>
      <x:c r="AB1932" s="78" t="n">
        <x:f>(IF(J1932&gt;0,K1932*(1-'Inputs'!$E$49)/2/J1932,0)+G1932+R1932)*'Inputs'!$B$17</x:f>
        <x:v>6079719.483163213</x:v>
      </x:c>
      <x:c r="AC1932" s="78" t="n">
        <x:f>AC1931+AB1932</x:f>
        <x:v>136128482.95817026</x:v>
      </x:c>
      <x:c r="AD1932" s="80" t="n">
        <x:f>Z1932/(1+'Inputs'!$C$49)</x:f>
        <x:v>0.13561725038716035</x:v>
      </x:c>
      <x:c r="AE1932" s="80" t="n">
        <x:f>Z1932-AD1932</x:f>
        <x:v>0.4068517511614811</x:v>
      </x:c>
      <x:c r="AF1932" s="80" t="n">
        <x:f>D1932*W1932</x:f>
        <x:v>0.008204847955165231</x:v>
      </x:c>
      <x:c r="AG1932" s="80" t="n">
        <x:f>C1932*W1932</x:f>
        <x:v>0.019144645228718837</x:v>
      </x:c>
      <x:c r="AH1932" s="80" t="n">
        <x:f>2*'Inputs'!$B$8*'Inputs'!$C$49</x:f>
        <x:v>15000</x:v>
      </x:c>
      <x:c r="AI1932" s="81" t="n">
        <x:f>IF(AH1932&gt;0,(AE1932+AF1932)/AH1932*365,0)</x:f>
        <x:v>0.010099710578505061</x:v>
      </x:c>
      <x:c r="AJ1932" s="81" t="n">
        <x:f>IF('Inputs'!$B$49&gt;0,AG1932/('Inputs'!$B$19*'Inputs'!$B$49)*365,0)</x:f>
        <x:v>0.0006987795508482376</x:v>
      </x:c>
      <x:c r="AK1932" s="81" t="n">
        <x:f>W1932/MAX($W$1829:W1932)-1</x:f>
        <x:v>-0.9999636405965231</x:v>
      </x:c>
      <x:c r="AL1932" s="83" t="n">
        <x:f>'Inputs'!$B$49</x:f>
        <x:v>1</x:v>
      </x:c>
      <x:c r="AM1932" s="83" t="n">
        <x:f>'Inputs'!$C$49</x:f>
        <x:v>3</x:v>
      </x:c>
      <x:c r="AN1932" s="83" t="n">
        <x:f>'Inputs'!$D$49</x:f>
        <x:v>0.75</x:v>
      </x:c>
      <x:c r="AO1932" s="81" t="n">
        <x:f>'Inputs'!$E$49</x:f>
        <x:v>-0.03</x:v>
      </x:c>
    </x:row>
    <x:row r="1933">
      <x:c r="A1933" s="59" t="str">
        <x:v>Mercenary LP</x:v>
      </x:c>
      <x:c r="B1933" s="59" t="n">
        <x:v>105</x:v>
      </x:c>
      <x:c r="C1933" s="78" t="n">
        <x:f>(('Inputs'!$B$29*(3*105*'Inputs'!$B$12-105^2)/(2*'Inputs'!$B$12^2))-('Inputs'!$B$29*(3*104*'Inputs'!$B$12-104^2)/(2*'Inputs'!$B$12^2)))*'Inputs'!$B$49</x:f>
        <x:v>678012.52580221</x:v>
      </x:c>
      <x:c r="D1933" s="78" t="n">
        <x:f>IF('Inputs'!$C$49&gt;0,('Inputs'!$B$30*(3*105*'Inputs'!$B$12-105^2)/(2*'Inputs'!$B$12^2))-('Inputs'!$B$30*(3*104*'Inputs'!$B$12-104^2)/(2*'Inputs'!$B$12^2)),0)</x:f>
        <x:v>290576.7967723794</x:v>
      </x:c>
      <x:c r="E1933" s="78" t="n">
        <x:f>C1933+D1933</x:f>
        <x:v>968589.3225745894</x:v>
      </x:c>
      <x:c r="F1933" s="78" t="n">
        <x:f>'Inputs'!$B$13*E1933+(1-'Inputs'!$B$13)/'Inputs'!$B$14*SUM(E1878:E1933)</x:f>
        <x:v>978806.9994370425</x:v>
      </x:c>
      <x:c r="G1933" s="78" t="n">
        <x:f>F1933*'Inputs'!$F$49</x:f>
        <x:v>880926.2994933383</x:v>
      </x:c>
      <x:c r="H1933" s="78" t="n">
        <x:f>U1932</x:f>
        <x:v>2043081450.8689237</x:v>
      </x:c>
      <x:c r="I1933" s="78" t="n">
        <x:f>V1932</x:f>
        <x:v>57.661653440597426</x:v>
      </x:c>
      <x:c r="J1933" s="79" t="n">
        <x:f>IF(H1933&gt;0,I1933/H1933,0)</x:f>
        <x:v>2.822288529714461e-8</x:v>
      </x:c>
      <x:c r="K1933" s="80" t="n">
        <x:f>(H1933*J1933+I1933)*'Inputs'!$D$49*(1+'Inputs'!$G$49)^(B1933/30)</x:f>
        <x:v>86.49248016089614</x:v>
      </x:c>
      <x:c r="L1933" s="80" t="n">
        <x:f>MAX(0,K1933*'Inputs'!$E$49)</x:f>
        <x:v>0</x:v>
      </x:c>
      <x:c r="M1933" s="80" t="n">
        <x:f>MAX(0,-K1933*'Inputs'!$E$49)</x:f>
        <x:v>2.594774404826884</x:v>
      </x:c>
      <x:c r="N1933" s="78" t="n">
        <x:f>H1933*(L1933*(1-'Inputs'!$B$15))/(I1933+L1933*(1-'Inputs'!$B$15))</x:f>
        <x:v>0</x:v>
      </x:c>
      <x:c r="O1933" s="78" t="n">
        <x:f>H1933-N1933</x:f>
        <x:v>2043081450.8689237</x:v>
      </x:c>
      <x:c r="P1933" s="78" t="n">
        <x:f>I1933+L1933*(1-'Inputs'!$B$17)</x:f>
        <x:v>57.661653440597426</x:v>
      </x:c>
      <x:c r="Q1933" s="78" t="n">
        <x:f>IF(J1933&gt;0,M1933/J1933,0)</x:f>
        <x:v>91938665.28910157</x:v>
      </x:c>
      <x:c r="R1933" s="78" t="n">
        <x:f>IF(B1933='Inputs'!$H$49,'Inputs'!$B$27*'Inputs'!$I$49,0)</x:f>
        <x:v>0</x:v>
      </x:c>
      <x:c r="S1933" s="78" t="n">
        <x:f>Q1933+G1933+R1933</x:f>
        <x:v>92819591.58859491</x:v>
      </x:c>
      <x:c r="T1933" s="78" t="n">
        <x:f>P1933*(S1933*(1-'Inputs'!$B$15))/(O1933+S1933*(1-'Inputs'!$B$15))</x:f>
        <x:v>2.481816019363239</x:v>
      </x:c>
      <x:c r="U1933" s="78" t="n">
        <x:f>O1933+S1933*(1-'Inputs'!$B$17)</x:f>
        <x:v>2135527522.9742646</x:v>
      </x:c>
      <x:c r="V1933" s="78" t="n">
        <x:f>P1933-T1933</x:f>
        <x:v>55.17983742123419</x:v>
      </x:c>
      <x:c r="W1933" s="79" t="n">
        <x:f>IF(U1933&gt;0,V1933/U1933,0)</x:f>
        <x:v>2.583897272575642e-8</x:v>
      </x:c>
      <x:c r="X1933" s="80" t="n">
        <x:f>W1933*('Inputs'!$B$6-AC1933)</x:f>
        <x:v>22.15735173449552</x:v>
      </x:c>
      <x:c r="Y1933" s="80" t="n">
        <x:f>2*V1933</x:f>
        <x:v>110.35967484246838</x:v>
      </x:c>
      <x:c r="Z1933" s="80" t="n">
        <x:f>K1933*'Inputs'!$B$16+(G1933+R1933)*J1933*'Inputs'!$B$16</x:f>
        <x:v>0.5191040546568119</x:v>
      </x:c>
      <x:c r="AA1933" s="80" t="n">
        <x:f>K1933*(1+'Inputs'!$E$49)/2*'Inputs'!$B$17</x:f>
        <x:v>0.16880826107861016</x:v>
      </x:c>
      <x:c r="AB1933" s="78" t="n">
        <x:f>(IF(J1933&gt;0,K1933*(1-'Inputs'!$E$49)/2/J1933,0)+G1933+R1933)*'Inputs'!$B$17</x:f>
        <x:v>6354774.032578419</x:v>
      </x:c>
      <x:c r="AC1933" s="78" t="n">
        <x:f>AC1932+AB1933</x:f>
        <x:v>142483256.99074867</x:v>
      </x:c>
      <x:c r="AD1933" s="80" t="n">
        <x:f>Z1933/(1+'Inputs'!$C$49)</x:f>
        <x:v>0.12977601366420297</x:v>
      </x:c>
      <x:c r="AE1933" s="80" t="n">
        <x:f>Z1933-AD1933</x:f>
        <x:v>0.38932804099260887</x:v>
      </x:c>
      <x:c r="AF1933" s="80" t="n">
        <x:f>D1933*W1933</x:f>
        <x:v>0.007508205926539178</x:v>
      </x:c>
      <x:c r="AG1933" s="80" t="n">
        <x:f>C1933*W1933</x:f>
        <x:v>0.017519147161924525</x:v>
      </x:c>
      <x:c r="AH1933" s="80" t="n">
        <x:f>2*'Inputs'!$B$8*'Inputs'!$C$49</x:f>
        <x:v>15000</x:v>
      </x:c>
      <x:c r="AI1933" s="81" t="n">
        <x:f>IF(AH1933&gt;0,(AE1933+AF1933)/AH1933*365,0)</x:f>
        <x:v>0.009656348675032603</x:v>
      </x:c>
      <x:c r="AJ1933" s="81" t="n">
        <x:f>IF('Inputs'!$B$49&gt;0,AG1933/('Inputs'!$B$19*'Inputs'!$B$49)*365,0)</x:f>
        <x:v>0.0006394488714102451</x:v>
      </x:c>
      <x:c r="AK1933" s="81" t="n">
        <x:f>W1933/MAX($W$1829:W1933)-1</x:f>
        <x:v>-0.9999667117792927</x:v>
      </x:c>
      <x:c r="AL1933" s="83" t="n">
        <x:f>'Inputs'!$B$49</x:f>
        <x:v>1</x:v>
      </x:c>
      <x:c r="AM1933" s="83" t="n">
        <x:f>'Inputs'!$C$49</x:f>
        <x:v>3</x:v>
      </x:c>
      <x:c r="AN1933" s="83" t="n">
        <x:f>'Inputs'!$D$49</x:f>
        <x:v>0.75</x:v>
      </x:c>
      <x:c r="AO1933" s="81" t="n">
        <x:f>'Inputs'!$E$49</x:f>
        <x:v>-0.03</x:v>
      </x:c>
    </x:row>
    <x:row r="1934">
      <x:c r="A1934" s="59" t="str">
        <x:v>Mercenary LP</x:v>
      </x:c>
      <x:c r="B1934" s="59" t="n">
        <x:v>106</x:v>
      </x:c>
      <x:c r="C1934" s="78" t="n">
        <x:f>(('Inputs'!$B$29*(3*106*'Inputs'!$B$12-106^2)/(2*'Inputs'!$B$12^2))-('Inputs'!$B$29*(3*105*'Inputs'!$B$12-105^2)/(2*'Inputs'!$B$12^2)))*'Inputs'!$B$49</x:f>
        <x:v>677687.4179020375</x:v>
      </x:c>
      <x:c r="D1934" s="78" t="n">
        <x:f>IF('Inputs'!$C$49&gt;0,('Inputs'!$B$30*(3*106*'Inputs'!$B$12-106^2)/(2*'Inputs'!$B$12^2))-('Inputs'!$B$30*(3*105*'Inputs'!$B$12-105^2)/(2*'Inputs'!$B$12^2)),0)</x:f>
        <x:v>290437.4648151621</x:v>
      </x:c>
      <x:c r="E1934" s="78" t="n">
        <x:f>C1934+D1934</x:f>
        <x:v>968124.8827171996</x:v>
      </x:c>
      <x:c r="F1934" s="78" t="n">
        <x:f>'Inputs'!$B$13*E1934+(1-'Inputs'!$B$13)/'Inputs'!$B$14*SUM(E1879:E1934)</x:f>
        <x:v>978342.5595796569</x:v>
      </x:c>
      <x:c r="G1934" s="78" t="n">
        <x:f>F1934*'Inputs'!$F$49</x:f>
        <x:v>880508.3036216913</x:v>
      </x:c>
      <x:c r="H1934" s="78" t="n">
        <x:f>U1933</x:f>
        <x:v>2135527522.9742646</x:v>
      </x:c>
      <x:c r="I1934" s="78" t="n">
        <x:f>V1933</x:f>
        <x:v>55.17983742123419</x:v>
      </x:c>
      <x:c r="J1934" s="79" t="n">
        <x:f>IF(H1934&gt;0,I1934/H1934,0)</x:f>
        <x:v>2.583897272575642e-8</x:v>
      </x:c>
      <x:c r="K1934" s="80" t="n">
        <x:f>(H1934*J1934+I1934)*'Inputs'!$D$49*(1+'Inputs'!$G$49)^(B1934/30)</x:f>
        <x:v>82.76975613185128</x:v>
      </x:c>
      <x:c r="L1934" s="80" t="n">
        <x:f>MAX(0,K1934*'Inputs'!$E$49)</x:f>
        <x:v>0</x:v>
      </x:c>
      <x:c r="M1934" s="80" t="n">
        <x:f>MAX(0,-K1934*'Inputs'!$E$49)</x:f>
        <x:v>2.4830926839555385</x:v>
      </x:c>
      <x:c r="N1934" s="78" t="n">
        <x:f>H1934*(L1934*(1-'Inputs'!$B$15))/(I1934+L1934*(1-'Inputs'!$B$15))</x:f>
        <x:v>0</x:v>
      </x:c>
      <x:c r="O1934" s="78" t="n">
        <x:f>H1934-N1934</x:f>
        <x:v>2135527522.9742646</x:v>
      </x:c>
      <x:c r="P1934" s="78" t="n">
        <x:f>I1934+L1934*(1-'Inputs'!$B$17)</x:f>
        <x:v>55.17983742123419</x:v>
      </x:c>
      <x:c r="Q1934" s="78" t="n">
        <x:f>IF(J1934&gt;0,M1934/J1934,0)</x:f>
        <x:v>96098738.53384191</x:v>
      </x:c>
      <x:c r="R1934" s="78" t="n">
        <x:f>IF(B1934='Inputs'!$H$49,'Inputs'!$B$27*'Inputs'!$I$49,0)</x:f>
        <x:v>0</x:v>
      </x:c>
      <x:c r="S1934" s="78" t="n">
        <x:f>Q1934+G1934+R1934</x:f>
        <x:v>96979246.8374636</x:v>
      </x:c>
      <x:c r="T1934" s="78" t="n">
        <x:f>P1934*(S1934*(1-'Inputs'!$B$15))/(O1934+S1934*(1-'Inputs'!$B$15))</x:f>
        <x:v>2.3740525641187222</x:v>
      </x:c>
      <x:c r="U1934" s="78" t="n">
        <x:f>O1934+S1934*(1-'Inputs'!$B$17)</x:f>
        <x:v>2232116511.273147</x:v>
      </x:c>
      <x:c r="V1934" s="78" t="n">
        <x:f>P1934-T1934</x:f>
        <x:v>52.80578485711547</x:v>
      </x:c>
      <x:c r="W1934" s="79" t="n">
        <x:f>IF(U1934&gt;0,V1934/U1934,0)</x:f>
        <x:v>2.365727084156386e-8</x:v>
      </x:c>
      <x:c r="X1934" s="80" t="n">
        <x:f>W1934*('Inputs'!$B$6-AC1934)</x:f>
        <x:v>20.129370580519844</x:v>
      </x:c>
      <x:c r="Y1934" s="80" t="n">
        <x:f>2*V1934</x:f>
        <x:v>105.61156971423094</x:v>
      </x:c>
      <x:c r="Z1934" s="80" t="n">
        <x:f>K1934*'Inputs'!$B$16+(G1934+R1934)*J1934*'Inputs'!$B$16</x:f>
        <x:v>0.49675504537136017</x:v>
      </x:c>
      <x:c r="AA1934" s="80" t="n">
        <x:f>K1934*(1+'Inputs'!$E$49)/2*'Inputs'!$B$17</x:f>
        <x:v>0.16154258239013228</x:v>
      </x:c>
      <x:c r="AB1934" s="78" t="n">
        <x:f>(IF(J1934&gt;0,K1934*(1-'Inputs'!$E$49)/2/J1934,0)+G1934+R1934)*'Inputs'!$B$17</x:f>
        <x:v>6642155.00926053</x:v>
      </x:c>
      <x:c r="AC1934" s="78" t="n">
        <x:f>AC1933+AB1934</x:f>
        <x:v>149125412.0000092</x:v>
      </x:c>
      <x:c r="AD1934" s="80" t="n">
        <x:f>Z1934/(1+'Inputs'!$C$49)</x:f>
        <x:v>0.12418876134284004</x:v>
      </x:c>
      <x:c r="AE1934" s="80" t="n">
        <x:f>Z1934-AD1934</x:f>
        <x:v>0.3725662840285201</x:v>
      </x:c>
      <x:c r="AF1934" s="80" t="n">
        <x:f>D1934*W1934</x:f>
        <x:v>0.006870957767669464</x:v>
      </x:c>
      <x:c r="AG1934" s="80" t="n">
        <x:f>C1934*W1934</x:f>
        <x:v>0.01603223479122857</x:v>
      </x:c>
      <x:c r="AH1934" s="80" t="n">
        <x:f>2*'Inputs'!$B$8*'Inputs'!$C$49</x:f>
        <x:v>15000</x:v>
      </x:c>
      <x:c r="AI1934" s="81" t="n">
        <x:f>IF(AH1934&gt;0,(AE1934+AF1934)/AH1934*365,0)</x:f>
        <x:v>0.009232972883707278</x:v>
      </x:c>
      <x:c r="AJ1934" s="81" t="n">
        <x:f>IF('Inputs'!$B$49&gt;0,AG1934/('Inputs'!$B$19*'Inputs'!$B$49)*365,0)</x:f>
        <x:v>0.0005851765698798428</x:v>
      </x:c>
      <x:c r="AK1934" s="81" t="n">
        <x:f>W1934/MAX($W$1829:W1934)-1</x:f>
        <x:v>-0.9999695224550348</x:v>
      </x:c>
      <x:c r="AL1934" s="83" t="n">
        <x:f>'Inputs'!$B$49</x:f>
        <x:v>1</x:v>
      </x:c>
      <x:c r="AM1934" s="83" t="n">
        <x:f>'Inputs'!$C$49</x:f>
        <x:v>3</x:v>
      </x:c>
      <x:c r="AN1934" s="83" t="n">
        <x:f>'Inputs'!$D$49</x:f>
        <x:v>0.75</x:v>
      </x:c>
      <x:c r="AO1934" s="81" t="n">
        <x:f>'Inputs'!$E$49</x:f>
        <x:v>-0.03</x:v>
      </x:c>
    </x:row>
    <x:row r="1935">
      <x:c r="A1935" s="59" t="str">
        <x:v>Mercenary LP</x:v>
      </x:c>
      <x:c r="B1935" s="59" t="n">
        <x:v>107</x:v>
      </x:c>
      <x:c r="C1935" s="78" t="n">
        <x:f>(('Inputs'!$B$29*(3*107*'Inputs'!$B$12-107^2)/(2*'Inputs'!$B$12^2))-('Inputs'!$B$29*(3*106*'Inputs'!$B$12-106^2)/(2*'Inputs'!$B$12^2)))*'Inputs'!$B$49</x:f>
        <x:v>677362.3100018799</x:v>
      </x:c>
      <x:c r="D1935" s="78" t="n">
        <x:f>IF('Inputs'!$C$49&gt;0,('Inputs'!$B$30*(3*107*'Inputs'!$B$12-107^2)/(2*'Inputs'!$B$12^2))-('Inputs'!$B$30*(3*106*'Inputs'!$B$12-106^2)/(2*'Inputs'!$B$12^2)),0)</x:f>
        <x:v>290298.1328579448</x:v>
      </x:c>
      <x:c r="E1935" s="78" t="n">
        <x:f>C1935+D1935</x:f>
        <x:v>967660.4428598247</x:v>
      </x:c>
      <x:c r="F1935" s="78" t="n">
        <x:f>'Inputs'!$B$13*E1935+(1-'Inputs'!$B$13)/'Inputs'!$B$14*SUM(E1880:E1935)</x:f>
        <x:v>977878.1197222748</x:v>
      </x:c>
      <x:c r="G1935" s="78" t="n">
        <x:f>F1935*'Inputs'!$F$49</x:f>
        <x:v>880090.3077500474</x:v>
      </x:c>
      <x:c r="H1935" s="78" t="n">
        <x:f>U1934</x:f>
        <x:v>2232116511.273147</x:v>
      </x:c>
      <x:c r="I1935" s="78" t="n">
        <x:f>V1934</x:f>
        <x:v>52.80578485711547</x:v>
      </x:c>
      <x:c r="J1935" s="79" t="n">
        <x:f>IF(H1935&gt;0,I1935/H1935,0)</x:f>
        <x:v>2.365727084156386e-8</x:v>
      </x:c>
      <x:c r="K1935" s="80" t="n">
        <x:f>(H1935*J1935+I1935)*'Inputs'!$D$49*(1+'Inputs'!$G$49)^(B1935/30)</x:f>
        <x:v>79.2086772856732</x:v>
      </x:c>
      <x:c r="L1935" s="80" t="n">
        <x:f>MAX(0,K1935*'Inputs'!$E$49)</x:f>
        <x:v>0</x:v>
      </x:c>
      <x:c r="M1935" s="80" t="n">
        <x:f>MAX(0,-K1935*'Inputs'!$E$49)</x:f>
        <x:v>2.376260318570196</x:v>
      </x:c>
      <x:c r="N1935" s="78" t="n">
        <x:f>H1935*(L1935*(1-'Inputs'!$B$15))/(I1935+L1935*(1-'Inputs'!$B$15))</x:f>
        <x:v>0</x:v>
      </x:c>
      <x:c r="O1935" s="78" t="n">
        <x:f>H1935-N1935</x:f>
        <x:v>2232116511.273147</x:v>
      </x:c>
      <x:c r="P1935" s="78" t="n">
        <x:f>I1935+L1935*(1-'Inputs'!$B$17)</x:f>
        <x:v>52.80578485711547</x:v>
      </x:c>
      <x:c r="Q1935" s="78" t="n">
        <x:f>IF(J1935&gt;0,M1935/J1935,0)</x:f>
        <x:v>100445243.0072916</x:v>
      </x:c>
      <x:c r="R1935" s="78" t="n">
        <x:f>IF(B1935='Inputs'!$H$49,'Inputs'!$B$27*'Inputs'!$I$49,0)</x:f>
        <x:v>0</x:v>
      </x:c>
      <x:c r="S1935" s="78" t="n">
        <x:f>Q1935+G1935+R1935</x:f>
        <x:v>101325333.31504165</x:v>
      </x:c>
      <x:c r="T1935" s="78" t="n">
        <x:f>P1935*(S1935*(1-'Inputs'!$B$15))/(O1935+S1935*(1-'Inputs'!$B$15))</x:f>
        <x:v>2.271048354472132</x:v>
      </x:c>
      <x:c r="U1935" s="78" t="n">
        <x:f>O1935+S1935*(1-'Inputs'!$B$17)</x:f>
        <x:v>2333034096.7680073</x:v>
      </x:c>
      <x:c r="V1935" s="78" t="n">
        <x:f>P1935-T1935</x:f>
        <x:v>50.53473650264334</x:v>
      </x:c>
      <x:c r="W1935" s="79" t="n">
        <x:f>IF(U1935&gt;0,V1935/U1935,0)</x:f>
        <x:v>2.1660522052656664e-8</x:v>
      </x:c>
      <x:c r="X1935" s="80" t="n">
        <x:f>W1935*('Inputs'!$B$6-AC1935)</x:f>
        <x:v>18.280011447022417</x:v>
      </x:c>
      <x:c r="Y1935" s="80" t="n">
        <x:f>2*V1935</x:f>
        <x:v>101.06947300528668</x:v>
      </x:c>
      <x:c r="Z1935" s="80" t="n">
        <x:f>K1935*'Inputs'!$B$16+(G1935+R1935)*J1935*'Inputs'!$B$16</x:f>
        <x:v>0.4753769869226921</x:v>
      </x:c>
      <x:c r="AA1935" s="80" t="n">
        <x:f>K1935*(1+'Inputs'!$E$49)/2*'Inputs'!$B$17</x:f>
        <x:v>0.15459238826378874</x:v>
      </x:c>
      <x:c r="AB1935" s="78" t="n">
        <x:f>(IF(J1935&gt;0,K1935*(1-'Inputs'!$E$49)/2/J1935,0)+G1935+R1935)*'Inputs'!$B$17</x:f>
        <x:v>6942414.870286746</x:v>
      </x:c>
      <x:c r="AC1935" s="78" t="n">
        <x:f>AC1934+AB1935</x:f>
        <x:v>156067826.87029594</x:v>
      </x:c>
      <x:c r="AD1935" s="80" t="n">
        <x:f>Z1935/(1+'Inputs'!$C$49)</x:f>
        <x:v>0.11884424673067302</x:v>
      </x:c>
      <x:c r="AE1935" s="80" t="n">
        <x:f>Z1935-AD1935</x:f>
        <x:v>0.3565327401920191</x:v>
      </x:c>
      <x:c r="AF1935" s="80" t="n">
        <x:f>D1935*W1935</x:f>
        <x:v>0.006288009108614568</x:v>
      </x:c>
      <x:c r="AG1935" s="80" t="n">
        <x:f>C1935*W1935</x:f>
        <x:v>0.01467202125343418</x:v>
      </x:c>
      <x:c r="AH1935" s="80" t="n">
        <x:f>2*'Inputs'!$B$8*'Inputs'!$C$49</x:f>
        <x:v>15000</x:v>
      </x:c>
      <x:c r="AI1935" s="81" t="n">
        <x:f>IF(AH1935&gt;0,(AE1935+AF1935)/AH1935*365,0)</x:f>
        <x:v>0.008828638232982085</x:v>
      </x:c>
      <x:c r="AJ1935" s="81" t="n">
        <x:f>IF('Inputs'!$B$49&gt;0,AG1935/('Inputs'!$B$19*'Inputs'!$B$49)*365,0)</x:f>
        <x:v>0.0005355287757503476</x:v>
      </x:c>
      <x:c r="AK1935" s="81" t="n">
        <x:f>W1935/MAX($W$1829:W1935)-1</x:f>
        <x:v>-0.9999720948566193</x:v>
      </x:c>
      <x:c r="AL1935" s="83" t="n">
        <x:f>'Inputs'!$B$49</x:f>
        <x:v>1</x:v>
      </x:c>
      <x:c r="AM1935" s="83" t="n">
        <x:f>'Inputs'!$C$49</x:f>
        <x:v>3</x:v>
      </x:c>
      <x:c r="AN1935" s="83" t="n">
        <x:f>'Inputs'!$D$49</x:f>
        <x:v>0.75</x:v>
      </x:c>
      <x:c r="AO1935" s="81" t="n">
        <x:f>'Inputs'!$E$49</x:f>
        <x:v>-0.03</x:v>
      </x:c>
    </x:row>
    <x:row r="1936">
      <x:c r="A1936" s="59" t="str">
        <x:v>Mercenary LP</x:v>
      </x:c>
      <x:c r="B1936" s="59" t="n">
        <x:v>108</x:v>
      </x:c>
      <x:c r="C1936" s="78" t="n">
        <x:f>(('Inputs'!$B$29*(3*108*'Inputs'!$B$12-108^2)/(2*'Inputs'!$B$12^2))-('Inputs'!$B$29*(3*107*'Inputs'!$B$12-107^2)/(2*'Inputs'!$B$12^2)))*'Inputs'!$B$49</x:f>
        <x:v>677037.2021017075</x:v>
      </x:c>
      <x:c r="D1936" s="78" t="n">
        <x:f>IF('Inputs'!$C$49&gt;0,('Inputs'!$B$30*(3*108*'Inputs'!$B$12-108^2)/(2*'Inputs'!$B$12^2))-('Inputs'!$B$30*(3*107*'Inputs'!$B$12-107^2)/(2*'Inputs'!$B$12^2)),0)</x:f>
        <x:v>290158.80090073124</x:v>
      </x:c>
      <x:c r="E1936" s="78" t="n">
        <x:f>C1936+D1936</x:f>
        <x:v>967196.0030024387</x:v>
      </x:c>
      <x:c r="F1936" s="78" t="n">
        <x:f>'Inputs'!$B$13*E1936+(1-'Inputs'!$B$13)/'Inputs'!$B$14*SUM(E1881:E1936)</x:f>
        <x:v>977413.6798648901</x:v>
      </x:c>
      <x:c r="G1936" s="78" t="n">
        <x:f>F1936*'Inputs'!$F$49</x:f>
        <x:v>879672.3118784011</x:v>
      </x:c>
      <x:c r="H1936" s="78" t="n">
        <x:f>U1935</x:f>
        <x:v>2333034096.7680073</x:v>
      </x:c>
      <x:c r="I1936" s="78" t="n">
        <x:f>V1935</x:f>
        <x:v>50.53473650264334</x:v>
      </x:c>
      <x:c r="J1936" s="79" t="n">
        <x:f>IF(H1936&gt;0,I1936/H1936,0)</x:f>
        <x:v>2.1660522052656664e-8</x:v>
      </x:c>
      <x:c r="K1936" s="80" t="n">
        <x:f>(H1936*J1936+I1936)*'Inputs'!$D$49*(1+'Inputs'!$G$49)^(B1936/30)</x:f>
        <x:v>75.80210475396501</x:v>
      </x:c>
      <x:c r="L1936" s="80" t="n">
        <x:f>MAX(0,K1936*'Inputs'!$E$49)</x:f>
        <x:v>0</x:v>
      </x:c>
      <x:c r="M1936" s="80" t="n">
        <x:f>MAX(0,-K1936*'Inputs'!$E$49)</x:f>
        <x:v>2.2740631426189504</x:v>
      </x:c>
      <x:c r="N1936" s="78" t="n">
        <x:f>H1936*(L1936*(1-'Inputs'!$B$15))/(I1936+L1936*(1-'Inputs'!$B$15))</x:f>
        <x:v>0</x:v>
      </x:c>
      <x:c r="O1936" s="78" t="n">
        <x:f>H1936-N1936</x:f>
        <x:v>2333034096.7680073</x:v>
      </x:c>
      <x:c r="P1936" s="78" t="n">
        <x:f>I1936+L1936*(1-'Inputs'!$B$17)</x:f>
        <x:v>50.53473650264334</x:v>
      </x:c>
      <x:c r="Q1936" s="78" t="n">
        <x:f>IF(J1936&gt;0,M1936/J1936,0)</x:f>
        <x:v>104986534.35456032</x:v>
      </x:c>
      <x:c r="R1936" s="78" t="n">
        <x:f>IF(B1936='Inputs'!$H$49,'Inputs'!$B$27*'Inputs'!$I$49,0)</x:f>
        <x:v>0</x:v>
      </x:c>
      <x:c r="S1936" s="78" t="n">
        <x:f>Q1936+G1936+R1936</x:f>
        <x:v>105866206.66643871</x:v>
      </x:c>
      <x:c r="T1936" s="78" t="n">
        <x:f>P1936*(S1936*(1-'Inputs'!$B$15))/(O1936+S1936*(1-'Inputs'!$B$15))</x:f>
        <x:v>2.1725864223350504</x:v>
      </x:c>
      <x:c r="U1936" s="78" t="n">
        <x:f>O1936+S1936*(1-'Inputs'!$B$17)</x:f>
        <x:v>2438474282.482066</x:v>
      </x:c>
      <x:c r="V1936" s="78" t="n">
        <x:f>P1936-T1936</x:f>
        <x:v>48.36215008030829</x:v>
      </x:c>
      <x:c r="W1936" s="79" t="n">
        <x:f>IF(U1936&gt;0,V1936/U1936,0)</x:f>
        <x:v>1.9832954740486984e-8</x:v>
      </x:c>
      <x:c r="X1936" s="80" t="n">
        <x:f>W1936*('Inputs'!$B$6-AC1936)</x:f>
        <x:v>16.593758079315144</x:v>
      </x:c>
      <x:c r="Y1936" s="80" t="n">
        <x:f>2*V1936</x:f>
        <x:v>96.72430016061658</x:v>
      </x:c>
      <x:c r="Z1936" s="80" t="n">
        <x:f>K1936*'Inputs'!$B$16+(G1936+R1936)*J1936*'Inputs'!$B$16</x:f>
        <x:v>0.4549269534928534</x:v>
      </x:c>
      <x:c r="AA1936" s="80" t="n">
        <x:f>K1936*(1+'Inputs'!$E$49)/2*'Inputs'!$B$17</x:f>
        <x:v>0.14794374569687335</x:v>
      </x:c>
      <x:c r="AB1936" s="78" t="n">
        <x:f>(IF(J1936&gt;0,K1936*(1-'Inputs'!$E$49)/2/J1936,0)+G1936+R1936)*'Inputs'!$B$17</x:f>
        <x:v>7256130.833260219</x:v>
      </x:c>
      <x:c r="AC1936" s="78" t="n">
        <x:f>AC1935+AB1936</x:f>
        <x:v>163323957.70355615</x:v>
      </x:c>
      <x:c r="AD1936" s="80" t="n">
        <x:f>Z1936/(1+'Inputs'!$C$49)</x:f>
        <x:v>0.11373173837321335</x:v>
      </x:c>
      <x:c r="AE1936" s="80" t="n">
        <x:f>Z1936-AD1936</x:f>
        <x:v>0.34119521511964</x:v>
      </x:c>
      <x:c r="AF1936" s="80" t="n">
        <x:f>D1936*W1936</x:f>
        <x:v>0.005754706365818176</x:v>
      </x:c>
      <x:c r="AG1936" s="80" t="n">
        <x:f>C1936*W1936</x:f>
        <x:v>0.013427648186909103</x:v>
      </x:c>
      <x:c r="AH1936" s="80" t="n">
        <x:f>2*'Inputs'!$B$8*'Inputs'!$C$49</x:f>
        <x:v>15000</x:v>
      </x:c>
      <x:c r="AI1936" s="81" t="n">
        <x:f>IF(AH1936&gt;0,(AE1936+AF1936)/AH1936*365,0)</x:f>
        <x:v>0.008442448089479483</x:v>
      </x:c>
      <x:c r="AJ1936" s="81" t="n">
        <x:f>IF('Inputs'!$B$49&gt;0,AG1936/('Inputs'!$B$19*'Inputs'!$B$49)*365,0)</x:f>
        <x:v>0.0004901091588221823</x:v>
      </x:c>
      <x:c r="AK1936" s="81" t="n">
        <x:f>W1936/MAX($W$1829:W1936)-1</x:f>
        <x:v>-0.9999744493025445</x:v>
      </x:c>
      <x:c r="AL1936" s="83" t="n">
        <x:f>'Inputs'!$B$49</x:f>
        <x:v>1</x:v>
      </x:c>
      <x:c r="AM1936" s="83" t="n">
        <x:f>'Inputs'!$C$49</x:f>
        <x:v>3</x:v>
      </x:c>
      <x:c r="AN1936" s="83" t="n">
        <x:f>'Inputs'!$D$49</x:f>
        <x:v>0.75</x:v>
      </x:c>
      <x:c r="AO1936" s="81" t="n">
        <x:f>'Inputs'!$E$49</x:f>
        <x:v>-0.03</x:v>
      </x:c>
    </x:row>
    <x:row r="1937">
      <x:c r="A1937" s="59" t="str">
        <x:v>Mercenary LP</x:v>
      </x:c>
      <x:c r="B1937" s="59" t="n">
        <x:v>109</x:v>
      </x:c>
      <x:c r="C1937" s="78" t="n">
        <x:f>(('Inputs'!$B$29*(3*109*'Inputs'!$B$12-109^2)/(2*'Inputs'!$B$12^2))-('Inputs'!$B$29*(3*108*'Inputs'!$B$12-108^2)/(2*'Inputs'!$B$12^2)))*'Inputs'!$B$49</x:f>
        <x:v>676712.0942015499</x:v>
      </x:c>
      <x:c r="D1937" s="78" t="n">
        <x:f>IF('Inputs'!$C$49&gt;0,('Inputs'!$B$30*(3*109*'Inputs'!$B$12-109^2)/(2*'Inputs'!$B$12^2))-('Inputs'!$B$30*(3*108*'Inputs'!$B$12-108^2)/(2*'Inputs'!$B$12^2)),0)</x:f>
        <x:v>290019.46894351766</x:v>
      </x:c>
      <x:c r="E1937" s="78" t="n">
        <x:f>C1937+D1937</x:f>
        <x:v>966731.5631450675</x:v>
      </x:c>
      <x:c r="F1937" s="78" t="n">
        <x:f>'Inputs'!$B$13*E1937+(1-'Inputs'!$B$13)/'Inputs'!$B$14*SUM(E1882:E1937)</x:f>
        <x:v>976949.2400075087</x:v>
      </x:c>
      <x:c r="G1937" s="78" t="n">
        <x:f>F1937*'Inputs'!$F$49</x:f>
        <x:v>879254.3160067578</x:v>
      </x:c>
      <x:c r="H1937" s="78" t="n">
        <x:f>U1936</x:f>
        <x:v>2438474282.482066</x:v>
      </x:c>
      <x:c r="I1937" s="78" t="n">
        <x:f>V1936</x:f>
        <x:v>48.36215008030829</x:v>
      </x:c>
      <x:c r="J1937" s="79" t="n">
        <x:f>IF(H1937&gt;0,I1937/H1937,0)</x:f>
        <x:v>1.9832954740486984e-8</x:v>
      </x:c>
      <x:c r="K1937" s="80" t="n">
        <x:f>(H1937*J1937+I1937)*'Inputs'!$D$49*(1+'Inputs'!$G$49)^(B1937/30)</x:f>
        <x:v>72.54322512046244</x:v>
      </x:c>
      <x:c r="L1937" s="80" t="n">
        <x:f>MAX(0,K1937*'Inputs'!$E$49)</x:f>
        <x:v>0</x:v>
      </x:c>
      <x:c r="M1937" s="80" t="n">
        <x:f>MAX(0,-K1937*'Inputs'!$E$49)</x:f>
        <x:v>2.176296753613873</x:v>
      </x:c>
      <x:c r="N1937" s="78" t="n">
        <x:f>H1937*(L1937*(1-'Inputs'!$B$15))/(I1937+L1937*(1-'Inputs'!$B$15))</x:f>
        <x:v>0</x:v>
      </x:c>
      <x:c r="O1937" s="78" t="n">
        <x:f>H1937-N1937</x:f>
        <x:v>2438474282.482066</x:v>
      </x:c>
      <x:c r="P1937" s="78" t="n">
        <x:f>I1937+L1937*(1-'Inputs'!$B$17)</x:f>
        <x:v>48.36215008030829</x:v>
      </x:c>
      <x:c r="Q1937" s="78" t="n">
        <x:f>IF(J1937&gt;0,M1937/J1937,0)</x:f>
        <x:v>109731342.71169297</x:v>
      </x:c>
      <x:c r="R1937" s="78" t="n">
        <x:f>IF(B1937='Inputs'!$H$49,'Inputs'!$B$27*'Inputs'!$I$49,0)</x:f>
        <x:v>0</x:v>
      </x:c>
      <x:c r="S1937" s="78" t="n">
        <x:f>Q1937+G1937+R1937</x:f>
        <x:v>110610597.02769974</x:v>
      </x:c>
      <x:c r="T1937" s="78" t="n">
        <x:f>P1937*(S1937*(1-'Inputs'!$B$15))/(O1937+S1937*(1-'Inputs'!$B$15))</x:f>
        <x:v>2.0784602626929143</x:v>
      </x:c>
      <x:c r="U1937" s="78" t="n">
        <x:f>O1937+S1937*(1-'Inputs'!$B$17)</x:f>
        <x:v>2548639766.443256</x:v>
      </x:c>
      <x:c r="V1937" s="78" t="n">
        <x:f>P1937-T1937</x:f>
        <x:v>46.283689817615375</x:v>
      </x:c>
      <x:c r="W1937" s="79" t="n">
        <x:f>IF(U1937&gt;0,V1937/U1937,0)</x:f>
        <x:v>1.8160153673740403e-8</x:v>
      </x:c>
      <x:c r="X1937" s="80" t="n">
        <x:f>W1937*('Inputs'!$B$6-AC1937)</x:f>
        <x:v>15.056440605086479</x:v>
      </x:c>
      <x:c r="Y1937" s="80" t="n">
        <x:f>2*V1937</x:f>
        <x:v>92.56737963523075</x:v>
      </x:c>
      <x:c r="Z1937" s="80" t="n">
        <x:f>K1937*'Inputs'!$B$16+(G1937+R1937)*J1937*'Inputs'!$B$16</x:f>
        <x:v>0.4353639799891031</x:v>
      </x:c>
      <x:c r="AA1937" s="80" t="n">
        <x:f>K1937*(1+'Inputs'!$E$49)/2*'Inputs'!$B$17</x:f>
        <x:v>0.14158335687494683</x:v>
      </x:c>
      <x:c r="AB1937" s="78" t="n">
        <x:f>(IF(J1937&gt;0,K1937*(1-'Inputs'!$E$49)/2/J1937,0)+G1937+R1937)*'Inputs'!$B$17</x:f>
        <x:v>7583905.986049911</x:v>
      </x:c>
      <x:c r="AC1937" s="78" t="n">
        <x:f>AC1936+AB1937</x:f>
        <x:v>170907863.68960607</x:v>
      </x:c>
      <x:c r="AD1937" s="80" t="n">
        <x:f>Z1937/(1+'Inputs'!$C$49)</x:f>
        <x:v>0.10884099499727577</x:v>
      </x:c>
      <x:c r="AE1937" s="80" t="n">
        <x:f>Z1937-AD1937</x:f>
        <x:v>0.3265229849918273</x:v>
      </x:c>
      <x:c r="AF1937" s="80" t="n">
        <x:f>D1937*W1937</x:f>
        <x:v>0.005266798124390863</x:v>
      </x:c>
      <x:c r="AG1937" s="80" t="n">
        <x:f>C1937*W1937</x:f>
        <x:v>0.012289195623578837</x:v>
      </x:c>
      <x:c r="AH1937" s="80" t="n">
        <x:f>2*'Inputs'!$B$8*'Inputs'!$C$49</x:f>
        <x:v>15000</x:v>
      </x:c>
      <x:c r="AI1937" s="81" t="n">
        <x:f>IF(AH1937&gt;0,(AE1937+AF1937)/AH1937*365,0)</x:f>
        <x:v>0.008073551389161309</x:v>
      </x:c>
      <x:c r="AJ1937" s="81" t="n">
        <x:f>IF('Inputs'!$B$49&gt;0,AG1937/('Inputs'!$B$19*'Inputs'!$B$49)*365,0)</x:f>
        <x:v>0.00044855564026062756</x:v>
      </x:c>
      <x:c r="AK1937" s="81" t="n">
        <x:f>W1937/MAX($W$1829:W1937)-1</x:f>
        <x:v>-0.9999766043638815</x:v>
      </x:c>
      <x:c r="AL1937" s="83" t="n">
        <x:f>'Inputs'!$B$49</x:f>
        <x:v>1</x:v>
      </x:c>
      <x:c r="AM1937" s="83" t="n">
        <x:f>'Inputs'!$C$49</x:f>
        <x:v>3</x:v>
      </x:c>
      <x:c r="AN1937" s="83" t="n">
        <x:f>'Inputs'!$D$49</x:f>
        <x:v>0.75</x:v>
      </x:c>
      <x:c r="AO1937" s="81" t="n">
        <x:f>'Inputs'!$E$49</x:f>
        <x:v>-0.03</x:v>
      </x:c>
    </x:row>
    <x:row r="1938">
      <x:c r="A1938" s="59" t="str">
        <x:v>Mercenary LP</x:v>
      </x:c>
      <x:c r="B1938" s="59" t="n">
        <x:v>110</x:v>
      </x:c>
      <x:c r="C1938" s="78" t="n">
        <x:f>(('Inputs'!$B$29*(3*110*'Inputs'!$B$12-110^2)/(2*'Inputs'!$B$12^2))-('Inputs'!$B$29*(3*109*'Inputs'!$B$12-109^2)/(2*'Inputs'!$B$12^2)))*'Inputs'!$B$49</x:f>
        <x:v>676386.9863013625</x:v>
      </x:c>
      <x:c r="D1938" s="78" t="n">
        <x:f>IF('Inputs'!$C$49&gt;0,('Inputs'!$B$30*(3*110*'Inputs'!$B$12-110^2)/(2*'Inputs'!$B$12^2))-('Inputs'!$B$30*(3*109*'Inputs'!$B$12-109^2)/(2*'Inputs'!$B$12^2)),0)</x:f>
        <x:v>289880.13698630035</x:v>
      </x:c>
      <x:c r="E1938" s="78" t="n">
        <x:f>C1938+D1938</x:f>
        <x:v>966267.1232876629</x:v>
      </x:c>
      <x:c r="F1938" s="78" t="n">
        <x:f>'Inputs'!$B$13*E1938+(1-'Inputs'!$B$13)/'Inputs'!$B$14*SUM(E1883:E1938)</x:f>
        <x:v>976484.8001501204</x:v>
      </x:c>
      <x:c r="G1938" s="78" t="n">
        <x:f>F1938*'Inputs'!$F$49</x:f>
        <x:v>878836.3201351084</x:v>
      </x:c>
      <x:c r="H1938" s="78" t="n">
        <x:f>U1937</x:f>
        <x:v>2548639766.443256</x:v>
      </x:c>
      <x:c r="I1938" s="78" t="n">
        <x:f>V1937</x:f>
        <x:v>46.283689817615375</x:v>
      </x:c>
      <x:c r="J1938" s="79" t="n">
        <x:f>IF(H1938&gt;0,I1938/H1938,0)</x:f>
        <x:v>1.8160153673740403e-8</x:v>
      </x:c>
      <x:c r="K1938" s="80" t="n">
        <x:f>(H1938*J1938+I1938)*'Inputs'!$D$49*(1+'Inputs'!$G$49)^(B1938/30)</x:f>
        <x:v>69.42553472642307</x:v>
      </x:c>
      <x:c r="L1938" s="80" t="n">
        <x:f>MAX(0,K1938*'Inputs'!$E$49)</x:f>
        <x:v>0</x:v>
      </x:c>
      <x:c r="M1938" s="80" t="n">
        <x:f>MAX(0,-K1938*'Inputs'!$E$49)</x:f>
        <x:v>2.082766041792692</x:v>
      </x:c>
      <x:c r="N1938" s="78" t="n">
        <x:f>H1938*(L1938*(1-'Inputs'!$B$15))/(I1938+L1938*(1-'Inputs'!$B$15))</x:f>
        <x:v>0</x:v>
      </x:c>
      <x:c r="O1938" s="78" t="n">
        <x:f>H1938-N1938</x:f>
        <x:v>2548639766.443256</x:v>
      </x:c>
      <x:c r="P1938" s="78" t="n">
        <x:f>I1938+L1938*(1-'Inputs'!$B$17)</x:f>
        <x:v>46.283689817615375</x:v>
      </x:c>
      <x:c r="Q1938" s="78" t="n">
        <x:f>IF(J1938&gt;0,M1938/J1938,0)</x:f>
        <x:v>114688789.48994651</x:v>
      </x:c>
      <x:c r="R1938" s="78" t="n">
        <x:f>IF(B1938='Inputs'!$H$49,'Inputs'!$B$27*'Inputs'!$I$49,0)</x:f>
        <x:v>0</x:v>
      </x:c>
      <x:c r="S1938" s="78" t="n">
        <x:f>Q1938+G1938+R1938</x:f>
        <x:v>115567625.81008162</x:v>
      </x:c>
      <x:c r="T1938" s="78" t="n">
        <x:f>P1938*(S1938*(1-'Inputs'!$B$15))/(O1938+S1938*(1-'Inputs'!$B$15))</x:f>
        <x:v>1.9884732814937225</x:v>
      </x:c>
      <x:c r="U1938" s="78" t="n">
        <x:f>O1938+S1938*(1-'Inputs'!$B$17)</x:f>
        <x:v>2663742331.3848863</x:v>
      </x:c>
      <x:c r="V1938" s="78" t="n">
        <x:f>P1938-T1938</x:f>
        <x:v>44.29521653612165</x:v>
      </x:c>
      <x:c r="W1938" s="79" t="n">
        <x:f>IF(U1938&gt;0,V1938/U1938,0)</x:f>
        <x:v>1.6628941926636145e-8</x:v>
      </x:c>
      <x:c r="X1938" s="80" t="n">
        <x:f>W1938*('Inputs'!$B$6-AC1938)</x:f>
        <x:v>13.655117832696247</x:v>
      </x:c>
      <x:c r="Y1938" s="80" t="n">
        <x:f>2*V1938</x:f>
        <x:v>88.5904330722433</x:v>
      </x:c>
      <x:c r="Z1938" s="80" t="n">
        <x:f>K1938*'Inputs'!$B$16+(G1938+R1938)*J1938*'Inputs'!$B$16</x:f>
        <x:v>0.4166489671743047</x:v>
      </x:c>
      <x:c r="AA1938" s="80" t="n">
        <x:f>K1938*(1+'Inputs'!$E$49)/2*'Inputs'!$B$17</x:f>
        <x:v>0.1354985285405038</x:v>
      </x:c>
      <x:c r="AB1938" s="78" t="n">
        <x:f>(IF(J1938&gt;0,K1938*(1-'Inputs'!$E$49)/2/J1938,0)+G1938+R1938)*'Inputs'!$B$17</x:f>
        <x:v>7926370.446267809</x:v>
      </x:c>
      <x:c r="AC1938" s="78" t="n">
        <x:f>AC1937+AB1938</x:f>
        <x:v>178834234.13587388</x:v>
      </x:c>
      <x:c r="AD1938" s="80" t="n">
        <x:f>Z1938/(1+'Inputs'!$C$49)</x:f>
        <x:v>0.10416224179357618</x:v>
      </x:c>
      <x:c r="AE1938" s="80" t="n">
        <x:f>Z1938-AD1938</x:f>
        <x:v>0.3124867253807285</x:v>
      </x:c>
      <x:c r="AF1938" s="80" t="n">
        <x:f>D1938*W1938</x:f>
        <x:v>0.004820399963630519</x:v>
      </x:c>
      <x:c r="AG1938" s="80" t="n">
        <x:f>C1938*W1938</x:f>
        <x:v>0.011247599915137794</x:v>
      </x:c>
      <x:c r="AH1938" s="80" t="n">
        <x:f>2*'Inputs'!$B$8*'Inputs'!$C$49</x:f>
        <x:v>15000</x:v>
      </x:c>
      <x:c r="AI1938" s="81" t="n">
        <x:f>IF(AH1938&gt;0,(AE1938+AF1938)/AH1938*365,0)</x:f>
        <x:v>0.007721140050046071</x:v>
      </x:c>
      <x:c r="AJ1938" s="81" t="n">
        <x:f>IF('Inputs'!$B$49&gt;0,AG1938/('Inputs'!$B$19*'Inputs'!$B$49)*365,0)</x:f>
        <x:v>0.00041053739690252944</x:v>
      </x:c>
      <x:c r="AK1938" s="81" t="n">
        <x:f>W1938/MAX($W$1829:W1938)-1</x:f>
        <x:v>-0.9999785770163986</x:v>
      </x:c>
      <x:c r="AL1938" s="83" t="n">
        <x:f>'Inputs'!$B$49</x:f>
        <x:v>1</x:v>
      </x:c>
      <x:c r="AM1938" s="83" t="n">
        <x:f>'Inputs'!$C$49</x:f>
        <x:v>3</x:v>
      </x:c>
      <x:c r="AN1938" s="83" t="n">
        <x:f>'Inputs'!$D$49</x:f>
        <x:v>0.75</x:v>
      </x:c>
      <x:c r="AO1938" s="81" t="n">
        <x:f>'Inputs'!$E$49</x:f>
        <x:v>-0.03</x:v>
      </x:c>
    </x:row>
    <x:row r="1939">
      <x:c r="A1939" s="59" t="str">
        <x:v>Mercenary LP</x:v>
      </x:c>
      <x:c r="B1939" s="59" t="n">
        <x:v>111</x:v>
      </x:c>
      <x:c r="C1939" s="78" t="n">
        <x:f>(('Inputs'!$B$29*(3*111*'Inputs'!$B$12-111^2)/(2*'Inputs'!$B$12^2))-('Inputs'!$B$29*(3*110*'Inputs'!$B$12-110^2)/(2*'Inputs'!$B$12^2)))*'Inputs'!$B$49</x:f>
        <x:v>676061.878401205</x:v>
      </x:c>
      <x:c r="D1939" s="78" t="n">
        <x:f>IF('Inputs'!$C$49&gt;0,('Inputs'!$B$30*(3*111*'Inputs'!$B$12-111^2)/(2*'Inputs'!$B$12^2))-('Inputs'!$B$30*(3*110*'Inputs'!$B$12-110^2)/(2*'Inputs'!$B$12^2)),0)</x:f>
        <x:v>289740.80502908677</x:v>
      </x:c>
      <x:c r="E1939" s="78" t="n">
        <x:f>C1939+D1939</x:f>
        <x:v>965802.6834302917</x:v>
      </x:c>
      <x:c r="F1939" s="78" t="n">
        <x:f>'Inputs'!$B$13*E1939+(1-'Inputs'!$B$13)/'Inputs'!$B$14*SUM(E1884:E1939)</x:f>
        <x:v>976020.3602927391</x:v>
      </x:c>
      <x:c r="G1939" s="78" t="n">
        <x:f>F1939*'Inputs'!$F$49</x:f>
        <x:v>878418.3242634652</x:v>
      </x:c>
      <x:c r="H1939" s="78" t="n">
        <x:f>U1938</x:f>
        <x:v>2663742331.3848863</x:v>
      </x:c>
      <x:c r="I1939" s="78" t="n">
        <x:f>V1938</x:f>
        <x:v>44.29521653612165</x:v>
      </x:c>
      <x:c r="J1939" s="79" t="n">
        <x:f>IF(H1939&gt;0,I1939/H1939,0)</x:f>
        <x:v>1.6628941926636145e-8</x:v>
      </x:c>
      <x:c r="K1939" s="80" t="n">
        <x:f>(H1939*J1939+I1939)*'Inputs'!$D$49*(1+'Inputs'!$G$49)^(B1939/30)</x:f>
        <x:v>66.44282480418246</x:v>
      </x:c>
      <x:c r="L1939" s="80" t="n">
        <x:f>MAX(0,K1939*'Inputs'!$E$49)</x:f>
        <x:v>0</x:v>
      </x:c>
      <x:c r="M1939" s="80" t="n">
        <x:f>MAX(0,-K1939*'Inputs'!$E$49)</x:f>
        <x:v>1.993284744125474</x:v>
      </x:c>
      <x:c r="N1939" s="78" t="n">
        <x:f>H1939*(L1939*(1-'Inputs'!$B$15))/(I1939+L1939*(1-'Inputs'!$B$15))</x:f>
        <x:v>0</x:v>
      </x:c>
      <x:c r="O1939" s="78" t="n">
        <x:f>H1939-N1939</x:f>
        <x:v>2663742331.3848863</x:v>
      </x:c>
      <x:c r="P1939" s="78" t="n">
        <x:f>I1939+L1939*(1-'Inputs'!$B$17)</x:f>
        <x:v>44.29521653612165</x:v>
      </x:c>
      <x:c r="Q1939" s="78" t="n">
        <x:f>IF(J1939&gt;0,M1939/J1939,0)</x:f>
        <x:v>119868404.91231987</x:v>
      </x:c>
      <x:c r="R1939" s="78" t="n">
        <x:f>IF(B1939='Inputs'!$H$49,'Inputs'!$B$27*'Inputs'!$I$49,0)</x:f>
        <x:v>0</x:v>
      </x:c>
      <x:c r="S1939" s="78" t="n">
        <x:f>Q1939+G1939+R1939</x:f>
        <x:v>120746823.23658334</x:v>
      </x:c>
      <x:c r="T1939" s="78" t="n">
        <x:f>P1939*(S1939*(1-'Inputs'!$B$15))/(O1939+S1939*(1-'Inputs'!$B$15))</x:f>
        <x:v>1.9024382765115084</x:v>
      </x:c>
      <x:c r="U1939" s="78" t="n">
        <x:f>O1939+S1939*(1-'Inputs'!$B$17)</x:f>
        <x:v>2784003251.912268</x:v>
      </x:c>
      <x:c r="V1939" s="78" t="n">
        <x:f>P1939-T1939</x:f>
        <x:v>42.39277825961014</x:v>
      </x:c>
      <x:c r="W1939" s="79" t="n">
        <x:f>IF(U1939&gt;0,V1939/U1939,0)</x:f>
        <x:v>1.522727325497609e-8</x:v>
      </x:c>
      <x:c r="X1939" s="80" t="n">
        <x:f>W1939*('Inputs'!$B$6-AC1939)</x:f>
        <x:v>12.377969992715961</x:v>
      </x:c>
      <x:c r="Y1939" s="80" t="n">
        <x:f>2*V1939</x:f>
        <x:v>84.78555651922028</x:v>
      </x:c>
      <x:c r="Z1939" s="80" t="n">
        <x:f>K1939*'Inputs'!$B$16+(G1939+R1939)*J1939*'Inputs'!$B$16</x:f>
        <x:v>0.3987445918289036</x:v>
      </x:c>
      <x:c r="AA1939" s="80" t="n">
        <x:f>K1939*(1+'Inputs'!$E$49)/2*'Inputs'!$B$17</x:f>
        <x:v>0.12967714297798189</x:v>
      </x:c>
      <x:c r="AB1939" s="78" t="n">
        <x:f>(IF(J1939&gt;0,K1939*(1-'Inputs'!$E$49)/2/J1939,0)+G1939+R1939)*'Inputs'!$B$17</x:f>
        <x:v>8284182.572712628</x:v>
      </x:c>
      <x:c r="AC1939" s="78" t="n">
        <x:f>AC1938+AB1939</x:f>
        <x:v>187118416.7085865</x:v>
      </x:c>
      <x:c r="AD1939" s="80" t="n">
        <x:f>Z1939/(1+'Inputs'!$C$49)</x:f>
        <x:v>0.0996861479572259</x:v>
      </x:c>
      <x:c r="AE1939" s="80" t="n">
        <x:f>Z1939-AD1939</x:f>
        <x:v>0.2990584438716777</x:v>
      </x:c>
      <x:c r="AF1939" s="80" t="n">
        <x:f>D1939*W1939</x:f>
        <x:v>0.004411962411294655</x:v>
      </x:c>
      <x:c r="AG1939" s="80" t="n">
        <x:f>C1939*W1939</x:f>
        <x:v>0.010294578959687566</x:v>
      </x:c>
      <x:c r="AH1939" s="80" t="n">
        <x:f>2*'Inputs'!$B$8*'Inputs'!$C$49</x:f>
        <x:v>15000</x:v>
      </x:c>
      <x:c r="AI1939" s="81" t="n">
        <x:f>IF(AH1939&gt;0,(AE1939+AF1939)/AH1939*365,0)</x:f>
        <x:v>0.007384446552885661</x:v>
      </x:c>
      <x:c r="AJ1939" s="81" t="n">
        <x:f>IF('Inputs'!$B$49&gt;0,AG1939/('Inputs'!$B$19*'Inputs'!$B$49)*365,0)</x:f>
        <x:v>0.00037575213202859615</x:v>
      </x:c>
      <x:c r="AK1939" s="81" t="n">
        <x:f>W1939/MAX($W$1829:W1939)-1</x:f>
        <x:v>-0.9999803827792126</x:v>
      </x:c>
      <x:c r="AL1939" s="83" t="n">
        <x:f>'Inputs'!$B$49</x:f>
        <x:v>1</x:v>
      </x:c>
      <x:c r="AM1939" s="83" t="n">
        <x:f>'Inputs'!$C$49</x:f>
        <x:v>3</x:v>
      </x:c>
      <x:c r="AN1939" s="83" t="n">
        <x:f>'Inputs'!$D$49</x:f>
        <x:v>0.75</x:v>
      </x:c>
      <x:c r="AO1939" s="81" t="n">
        <x:f>'Inputs'!$E$49</x:f>
        <x:v>-0.03</x:v>
      </x:c>
    </x:row>
    <x:row r="1940">
      <x:c r="A1940" s="59" t="str">
        <x:v>Mercenary LP</x:v>
      </x:c>
      <x:c r="B1940" s="59" t="n">
        <x:v>112</x:v>
      </x:c>
      <x:c r="C1940" s="78" t="n">
        <x:f>(('Inputs'!$B$29*(3*112*'Inputs'!$B$12-112^2)/(2*'Inputs'!$B$12^2))-('Inputs'!$B$29*(3*111*'Inputs'!$B$12-111^2)/(2*'Inputs'!$B$12^2)))*'Inputs'!$B$49</x:f>
        <x:v>675736.7705010325</x:v>
      </x:c>
      <x:c r="D1940" s="78" t="n">
        <x:f>IF('Inputs'!$C$49&gt;0,('Inputs'!$B$30*(3*112*'Inputs'!$B$12-112^2)/(2*'Inputs'!$B$12^2))-('Inputs'!$B$30*(3*111*'Inputs'!$B$12-111^2)/(2*'Inputs'!$B$12^2)),0)</x:f>
        <x:v>289601.4730718732</x:v>
      </x:c>
      <x:c r="E1940" s="78" t="n">
        <x:f>C1940+D1940</x:f>
        <x:v>965338.2435729057</x:v>
      </x:c>
      <x:c r="F1940" s="78" t="n">
        <x:f>'Inputs'!$B$13*E1940+(1-'Inputs'!$B$13)/'Inputs'!$B$14*SUM(E1885:E1940)</x:f>
        <x:v>975555.9204353546</x:v>
      </x:c>
      <x:c r="G1940" s="78" t="n">
        <x:f>F1940*'Inputs'!$F$49</x:f>
        <x:v>878000.3283918191</x:v>
      </x:c>
      <x:c r="H1940" s="78" t="n">
        <x:f>U1939</x:f>
        <x:v>2784003251.912268</x:v>
      </x:c>
      <x:c r="I1940" s="78" t="n">
        <x:f>V1939</x:f>
        <x:v>42.39277825961014</x:v>
      </x:c>
      <x:c r="J1940" s="79" t="n">
        <x:f>IF(H1940&gt;0,I1940/H1940,0)</x:f>
        <x:v>1.522727325497609e-8</x:v>
      </x:c>
      <x:c r="K1940" s="80" t="n">
        <x:f>(H1940*J1940+I1940)*'Inputs'!$D$49*(1+'Inputs'!$G$49)^(B1940/30)</x:f>
        <x:v>63.58916738941521</x:v>
      </x:c>
      <x:c r="L1940" s="80" t="n">
        <x:f>MAX(0,K1940*'Inputs'!$E$49)</x:f>
        <x:v>0</x:v>
      </x:c>
      <x:c r="M1940" s="80" t="n">
        <x:f>MAX(0,-K1940*'Inputs'!$E$49)</x:f>
        <x:v>1.9076750216824563</x:v>
      </x:c>
      <x:c r="N1940" s="78" t="n">
        <x:f>H1940*(L1940*(1-'Inputs'!$B$15))/(I1940+L1940*(1-'Inputs'!$B$15))</x:f>
        <x:v>0</x:v>
      </x:c>
      <x:c r="O1940" s="78" t="n">
        <x:f>H1940-N1940</x:f>
        <x:v>2784003251.912268</x:v>
      </x:c>
      <x:c r="P1940" s="78" t="n">
        <x:f>I1940+L1940*(1-'Inputs'!$B$17)</x:f>
        <x:v>42.39277825961014</x:v>
      </x:c>
      <x:c r="Q1940" s="78" t="n">
        <x:f>IF(J1940&gt;0,M1940/J1940,0)</x:f>
        <x:v>125280146.33605206</x:v>
      </x:c>
      <x:c r="R1940" s="78" t="n">
        <x:f>IF(B1940='Inputs'!$H$49,'Inputs'!$B$27*'Inputs'!$I$49,0)</x:f>
        <x:v>0</x:v>
      </x:c>
      <x:c r="S1940" s="78" t="n">
        <x:f>Q1940+G1940+R1940</x:f>
        <x:v>126158146.66444388</x:v>
      </x:c>
      <x:c r="T1940" s="78" t="n">
        <x:f>P1940*(S1940*(1-'Inputs'!$B$15))/(O1940+S1940*(1-'Inputs'!$B$15))</x:f>
        <x:v>1.8201769489185917</x:v>
      </x:c>
      <x:c r="U1940" s="78" t="n">
        <x:f>O1940+S1940*(1-'Inputs'!$B$17)</x:f>
        <x:v>2909653719.9181027</x:v>
      </x:c>
      <x:c r="V1940" s="78" t="n">
        <x:f>P1940-T1940</x:f>
        <x:v>40.572601310691546</x:v>
      </x:c>
      <x:c r="W1940" s="79" t="n">
        <x:f>IF(U1940&gt;0,V1940/U1940,0)</x:f>
        <x:v>1.3944133981631853e-8</x:v>
      </x:c>
      <x:c r="X1940" s="80" t="n">
        <x:f>W1940*('Inputs'!$B$6-AC1940)</x:f>
        <x:v>11.214200975056897</x:v>
      </x:c>
      <x:c r="Y1940" s="80" t="n">
        <x:f>2*V1940</x:f>
        <x:v>81.14520262138309</x:v>
      </x:c>
      <x:c r="Z1940" s="80" t="n">
        <x:f>K1940*'Inputs'!$B$16+(G1940+R1940)*J1940*'Inputs'!$B$16</x:f>
        <x:v>0.38161522164200157</x:v>
      </x:c>
      <x:c r="AA1940" s="80" t="n">
        <x:f>K1940*(1+'Inputs'!$E$49)/2*'Inputs'!$B$17</x:f>
        <x:v>0.12410763051857697</x:v>
      </x:c>
      <x:c r="AB1940" s="78" t="n">
        <x:f>(IF(J1940&gt;0,K1940*(1-'Inputs'!$E$49)/2/J1940,0)+G1940+R1940)*'Inputs'!$B$17</x:f>
        <x:v>8658030.231109133</x:v>
      </x:c>
      <x:c r="AC1940" s="78" t="n">
        <x:f>AC1939+AB1940</x:f>
        <x:v>195776446.93969566</x:v>
      </x:c>
      <x:c r="AD1940" s="80" t="n">
        <x:f>Z1940/(1+'Inputs'!$C$49)</x:f>
        <x:v>0.09540380541050039</x:v>
      </x:c>
      <x:c r="AE1940" s="80" t="n">
        <x:f>Z1940-AD1940</x:f>
        <x:v>0.28621141623150115</x:v>
      </x:c>
      <x:c r="AF1940" s="80" t="n">
        <x:f>D1940*W1940</x:f>
        <x:v>0.004038241741792149</x:v>
      </x:c>
      <x:c r="AG1940" s="80" t="n">
        <x:f>C1940*W1940</x:f>
        <x:v>0.009422564064181611</x:v>
      </x:c>
      <x:c r="AH1940" s="80" t="n">
        <x:f>2*'Inputs'!$B$8*'Inputs'!$C$49</x:f>
        <x:v>15000</x:v>
      </x:c>
      <x:c r="AI1940" s="81" t="n">
        <x:f>IF(AH1940&gt;0,(AE1940+AF1940)/AH1940*365,0)</x:f>
        <x:v>0.007062741677350136</x:v>
      </x:c>
      <x:c r="AJ1940" s="81" t="n">
        <x:f>IF('Inputs'!$B$49&gt;0,AG1940/('Inputs'!$B$19*'Inputs'!$B$49)*365,0)</x:f>
        <x:v>0.0003439235883426288</x:v>
      </x:c>
      <x:c r="AK1940" s="81" t="n">
        <x:f>W1940/MAX($W$1829:W1940)-1</x:f>
        <x:v>-0.9999820358411893</x:v>
      </x:c>
      <x:c r="AL1940" s="83" t="n">
        <x:f>'Inputs'!$B$49</x:f>
        <x:v>1</x:v>
      </x:c>
      <x:c r="AM1940" s="83" t="n">
        <x:f>'Inputs'!$C$49</x:f>
        <x:v>3</x:v>
      </x:c>
      <x:c r="AN1940" s="83" t="n">
        <x:f>'Inputs'!$D$49</x:f>
        <x:v>0.75</x:v>
      </x:c>
      <x:c r="AO1940" s="81" t="n">
        <x:f>'Inputs'!$E$49</x:f>
        <x:v>-0.03</x:v>
      </x:c>
    </x:row>
    <x:row r="1941">
      <x:c r="A1941" s="59" t="str">
        <x:v>Mercenary LP</x:v>
      </x:c>
      <x:c r="B1941" s="59" t="n">
        <x:v>113</x:v>
      </x:c>
      <x:c r="C1941" s="78" t="n">
        <x:f>(('Inputs'!$B$29*(3*113*'Inputs'!$B$12-113^2)/(2*'Inputs'!$B$12^2))-('Inputs'!$B$29*(3*112*'Inputs'!$B$12-112^2)/(2*'Inputs'!$B$12^2)))*'Inputs'!$B$49</x:f>
        <x:v>675411.66260086</x:v>
      </x:c>
      <x:c r="D1941" s="78" t="n">
        <x:f>IF('Inputs'!$C$49&gt;0,('Inputs'!$B$30*(3*113*'Inputs'!$B$12-113^2)/(2*'Inputs'!$B$12^2))-('Inputs'!$B$30*(3*112*'Inputs'!$B$12-112^2)/(2*'Inputs'!$B$12^2)),0)</x:f>
        <x:v>289462.14111465216</x:v>
      </x:c>
      <x:c r="E1941" s="78" t="n">
        <x:f>C1941+D1941</x:f>
        <x:v>964873.8037155122</x:v>
      </x:c>
      <x:c r="F1941" s="78" t="n">
        <x:f>'Inputs'!$B$13*E1941+(1-'Inputs'!$B$13)/'Inputs'!$B$14*SUM(E1886:E1941)</x:f>
        <x:v>975091.4805779682</x:v>
      </x:c>
      <x:c r="G1941" s="78" t="n">
        <x:f>F1941*'Inputs'!$F$49</x:f>
        <x:v>877582.3325201714</x:v>
      </x:c>
      <x:c r="H1941" s="78" t="n">
        <x:f>U1940</x:f>
        <x:v>2909653719.9181027</x:v>
      </x:c>
      <x:c r="I1941" s="78" t="n">
        <x:f>V1940</x:f>
        <x:v>40.572601310691546</x:v>
      </x:c>
      <x:c r="J1941" s="79" t="n">
        <x:f>IF(H1941&gt;0,I1941/H1941,0)</x:f>
        <x:v>1.3944133981631853e-8</x:v>
      </x:c>
      <x:c r="K1941" s="80" t="n">
        <x:f>(H1941*J1941+I1941)*'Inputs'!$D$49*(1+'Inputs'!$G$49)^(B1941/30)</x:f>
        <x:v>60.85890196603732</x:v>
      </x:c>
      <x:c r="L1941" s="80" t="n">
        <x:f>MAX(0,K1941*'Inputs'!$E$49)</x:f>
        <x:v>0</x:v>
      </x:c>
      <x:c r="M1941" s="80" t="n">
        <x:f>MAX(0,-K1941*'Inputs'!$E$49)</x:f>
        <x:v>1.8257670589811197</x:v>
      </x:c>
      <x:c r="N1941" s="78" t="n">
        <x:f>H1941*(L1941*(1-'Inputs'!$B$15))/(I1941+L1941*(1-'Inputs'!$B$15))</x:f>
        <x:v>0</x:v>
      </x:c>
      <x:c r="O1941" s="78" t="n">
        <x:f>H1941-N1941</x:f>
        <x:v>2909653719.9181027</x:v>
      </x:c>
      <x:c r="P1941" s="78" t="n">
        <x:f>I1941+L1941*(1-'Inputs'!$B$17)</x:f>
        <x:v>40.572601310691546</x:v>
      </x:c>
      <x:c r="Q1941" s="78" t="n">
        <x:f>IF(J1941&gt;0,M1941/J1941,0)</x:f>
        <x:v>130934417.39631464</x:v>
      </x:c>
      <x:c r="R1941" s="78" t="n">
        <x:f>IF(B1941='Inputs'!$H$49,'Inputs'!$B$27*'Inputs'!$I$49,0)</x:f>
        <x:v>0</x:v>
      </x:c>
      <x:c r="S1941" s="78" t="n">
        <x:f>Q1941+G1941+R1941</x:f>
        <x:v>131811999.72883481</x:v>
      </x:c>
      <x:c r="T1941" s="78" t="n">
        <x:f>P1941*(S1941*(1-'Inputs'!$B$15))/(O1941+S1941*(1-'Inputs'!$B$15))</x:f>
        <x:v>1.7415194434781753</x:v>
      </x:c>
      <x:c r="U1941" s="78" t="n">
        <x:f>O1941+S1941*(1-'Inputs'!$B$17)</x:f>
        <x:v>3040935289.0645275</x:v>
      </x:c>
      <x:c r="V1941" s="78" t="n">
        <x:f>P1941-T1941</x:f>
        <x:v>38.83108186721337</x:v>
      </x:c>
      <x:c r="W1941" s="79" t="n">
        <x:f>IF(U1941&gt;0,V1941/U1941,0)</x:f>
        <x:v>1.276945353189638e-8</x:v>
      </x:c>
      <x:c r="X1941" s="80" t="n">
        <x:f>W1941*('Inputs'!$B$6-AC1941)</x:f>
        <x:v>10.15394920272031</x:v>
      </x:c>
      <x:c r="Y1941" s="80" t="n">
        <x:f>2*V1941</x:f>
        <x:v>77.66216373442674</x:v>
      </x:c>
      <x:c r="Z1941" s="80" t="n">
        <x:f>K1941*'Inputs'!$B$16+(G1941+R1941)*J1941*'Inputs'!$B$16</x:f>
        <x:v>0.3652268345499714</x:v>
      </x:c>
      <x:c r="AA1941" s="80" t="n">
        <x:f>K1941*(1+'Inputs'!$E$49)/2*'Inputs'!$B$17</x:f>
        <x:v>0.11877894347496218</x:v>
      </x:c>
      <x:c r="AB1941" s="78" t="n">
        <x:f>(IF(J1941&gt;0,K1941*(1-'Inputs'!$E$49)/2/J1941,0)+G1941+R1941)*'Inputs'!$B$17</x:f>
        <x:v>9048632.116576478</x:v>
      </x:c>
      <x:c r="AC1941" s="78" t="n">
        <x:f>AC1940+AB1941</x:f>
        <x:v>204825079.05627215</x:v>
      </x:c>
      <x:c r="AD1941" s="80" t="n">
        <x:f>Z1941/(1+'Inputs'!$C$49)</x:f>
        <x:v>0.09130670863749285</x:v>
      </x:c>
      <x:c r="AE1941" s="80" t="n">
        <x:f>Z1941-AD1941</x:f>
        <x:v>0.27392012591247855</x:v>
      </x:c>
      <x:c r="AF1941" s="80" t="n">
        <x:f>D1941*W1941</x:f>
        <x:v>0.003696273360206783</x:v>
      </x:c>
      <x:c r="AG1941" s="80" t="n">
        <x:f>C1941*W1941</x:f>
        <x:v>0.008624637840482558</x:v>
      </x:c>
      <x:c r="AH1941" s="80" t="n">
        <x:f>2*'Inputs'!$B$8*'Inputs'!$C$49</x:f>
        <x:v>15000</x:v>
      </x:c>
      <x:c r="AI1941" s="81" t="n">
        <x:f>IF(AH1941&gt;0,(AE1941+AF1941)/AH1941*365,0)</x:f>
        <x:v>0.00675533238230201</x:v>
      </x:c>
      <x:c r="AJ1941" s="81" t="n">
        <x:f>IF('Inputs'!$B$49&gt;0,AG1941/('Inputs'!$B$19*'Inputs'!$B$49)*365,0)</x:f>
        <x:v>0.00031479928117761336</x:v>
      </x:c>
      <x:c r="AK1941" s="81" t="n">
        <x:f>W1941/MAX($W$1829:W1941)-1</x:f>
        <x:v>-0.9999835491762001</x:v>
      </x:c>
      <x:c r="AL1941" s="83" t="n">
        <x:f>'Inputs'!$B$49</x:f>
        <x:v>1</x:v>
      </x:c>
      <x:c r="AM1941" s="83" t="n">
        <x:f>'Inputs'!$C$49</x:f>
        <x:v>3</x:v>
      </x:c>
      <x:c r="AN1941" s="83" t="n">
        <x:f>'Inputs'!$D$49</x:f>
        <x:v>0.75</x:v>
      </x:c>
      <x:c r="AO1941" s="81" t="n">
        <x:f>'Inputs'!$E$49</x:f>
        <x:v>-0.03</x:v>
      </x:c>
    </x:row>
    <x:row r="1942">
      <x:c r="A1942" s="59" t="str">
        <x:v>Mercenary LP</x:v>
      </x:c>
      <x:c r="B1942" s="59" t="n">
        <x:v>114</x:v>
      </x:c>
      <x:c r="C1942" s="78" t="n">
        <x:f>(('Inputs'!$B$29*(3*114*'Inputs'!$B$12-114^2)/(2*'Inputs'!$B$12^2))-('Inputs'!$B$29*(3*113*'Inputs'!$B$12-113^2)/(2*'Inputs'!$B$12^2)))*'Inputs'!$B$49</x:f>
        <x:v>675086.5547006875</x:v>
      </x:c>
      <x:c r="D1942" s="78" t="n">
        <x:f>IF('Inputs'!$C$49&gt;0,('Inputs'!$B$30*(3*114*'Inputs'!$B$12-114^2)/(2*'Inputs'!$B$12^2))-('Inputs'!$B$30*(3*113*'Inputs'!$B$12-113^2)/(2*'Inputs'!$B$12^2)),0)</x:f>
        <x:v>289322.8091574386</x:v>
      </x:c>
      <x:c r="E1942" s="78" t="n">
        <x:f>C1942+D1942</x:f>
        <x:v>964409.3638581261</x:v>
      </x:c>
      <x:c r="F1942" s="78" t="n">
        <x:f>'Inputs'!$B$13*E1942+(1-'Inputs'!$B$13)/'Inputs'!$B$14*SUM(E1887:E1942)</x:f>
        <x:v>974627.0407205839</x:v>
      </x:c>
      <x:c r="G1942" s="78" t="n">
        <x:f>F1942*'Inputs'!$F$49</x:f>
        <x:v>877164.3366485256</x:v>
      </x:c>
      <x:c r="H1942" s="78" t="n">
        <x:f>U1941</x:f>
        <x:v>3040935289.0645275</x:v>
      </x:c>
      <x:c r="I1942" s="78" t="n">
        <x:f>V1941</x:f>
        <x:v>38.83108186721337</x:v>
      </x:c>
      <x:c r="J1942" s="79" t="n">
        <x:f>IF(H1942&gt;0,I1942/H1942,0)</x:f>
        <x:v>1.276945353189638e-8</x:v>
      </x:c>
      <x:c r="K1942" s="80" t="n">
        <x:f>(H1942*J1942+I1942)*'Inputs'!$D$49*(1+'Inputs'!$G$49)^(B1942/30)</x:f>
        <x:v>58.246622800820056</x:v>
      </x:c>
      <x:c r="L1942" s="80" t="n">
        <x:f>MAX(0,K1942*'Inputs'!$E$49)</x:f>
        <x:v>0</x:v>
      </x:c>
      <x:c r="M1942" s="80" t="n">
        <x:f>MAX(0,-K1942*'Inputs'!$E$49)</x:f>
        <x:v>1.7473986840246016</x:v>
      </x:c>
      <x:c r="N1942" s="78" t="n">
        <x:f>H1942*(L1942*(1-'Inputs'!$B$15))/(I1942+L1942*(1-'Inputs'!$B$15))</x:f>
        <x:v>0</x:v>
      </x:c>
      <x:c r="O1942" s="78" t="n">
        <x:f>H1942-N1942</x:f>
        <x:v>3040935289.0645275</x:v>
      </x:c>
      <x:c r="P1942" s="78" t="n">
        <x:f>I1942+L1942*(1-'Inputs'!$B$17)</x:f>
        <x:v>38.83108186721337</x:v>
      </x:c>
      <x:c r="Q1942" s="78" t="n">
        <x:f>IF(J1942&gt;0,M1942/J1942,0)</x:f>
        <x:v>136842088.00790375</x:v>
      </x:c>
      <x:c r="R1942" s="78" t="n">
        <x:f>IF(B1942='Inputs'!$H$49,'Inputs'!$B$27*'Inputs'!$I$49,0)</x:f>
        <x:v>0</x:v>
      </x:c>
      <x:c r="S1942" s="78" t="n">
        <x:f>Q1942+G1942+R1942</x:f>
        <x:v>137719252.34455228</x:v>
      </x:c>
      <x:c r="T1942" s="78" t="n">
        <x:f>P1942*(S1942*(1-'Inputs'!$B$15))/(O1942+S1942*(1-'Inputs'!$B$15))</x:f>
        <x:v>1.666303915430855</x:v>
      </x:c>
      <x:c r="U1942" s="78" t="n">
        <x:f>O1942+S1942*(1-'Inputs'!$B$17)</x:f>
        <x:v>3178100339.186365</x:v>
      </x:c>
      <x:c r="V1942" s="78" t="n">
        <x:f>P1942-T1942</x:f>
        <x:v>37.16477795178252</x:v>
      </x:c>
      <x:c r="W1942" s="79" t="n">
        <x:f>IF(U1942&gt;0,V1942/U1942,0)</x:f>
        <x:v>1.1694022839221364e-8</x:v>
      </x:c>
      <x:c r="X1942" s="80" t="n">
        <x:f>W1942*('Inputs'!$B$6-AC1942)</x:f>
        <x:v>9.188206363258441</x:v>
      </x:c>
      <x:c r="Y1942" s="80" t="n">
        <x:f>2*V1942</x:f>
        <x:v>74.32955590356504</x:v>
      </x:c>
      <x:c r="Z1942" s="80" t="n">
        <x:f>K1942*'Inputs'!$B$16+(G1942+R1942)*J1942*'Inputs'!$B$16</x:f>
        <x:v>0.34954694226034033</x:v>
      </x:c>
      <x:c r="AA1942" s="80" t="n">
        <x:f>K1942*(1+'Inputs'!$E$49)/2*'Inputs'!$B$17</x:f>
        <x:v>0.11368053142212366</x:v>
      </x:c>
      <x:c r="AB1942" s="78" t="n">
        <x:f>(IF(J1942&gt;0,K1942*(1-'Inputs'!$E$49)/2/J1942,0)+G1942+R1942)*'Inputs'!$B$17</x:f>
        <x:v>9456739.135368194</x:v>
      </x:c>
      <x:c r="AC1942" s="78" t="n">
        <x:f>AC1941+AB1942</x:f>
        <x:v>214281818.19164035</x:v>
      </x:c>
      <x:c r="AD1942" s="80" t="n">
        <x:f>Z1942/(1+'Inputs'!$C$49)</x:f>
        <x:v>0.08738673556508508</x:v>
      </x:c>
      <x:c r="AE1942" s="80" t="n">
        <x:f>Z1942-AD1942</x:f>
        <x:v>0.26216020669525525</x:v>
      </x:c>
      <x:c r="AF1942" s="80" t="n">
        <x:f>D1942*W1942</x:f>
        <x:v>0.0033833475381947705</x:v>
      </x:c>
      <x:c r="AG1942" s="80" t="n">
        <x:f>C1942*W1942</x:f>
        <x:v>0.007894477589121103</x:v>
      </x:c>
      <x:c r="AH1942" s="80" t="n">
        <x:f>2*'Inputs'!$B$8*'Inputs'!$C$49</x:f>
        <x:v>15000</x:v>
      </x:c>
      <x:c r="AI1942" s="81" t="n">
        <x:f>IF(AH1942&gt;0,(AE1942+AF1942)/AH1942*365,0)</x:f>
        <x:v>0.006461559819680616</x:v>
      </x:c>
      <x:c r="AJ1942" s="81" t="n">
        <x:f>IF('Inputs'!$B$49&gt;0,AG1942/('Inputs'!$B$19*'Inputs'!$B$49)*365,0)</x:f>
        <x:v>0.00028814843200292026</x:v>
      </x:c>
      <x:c r="AK1942" s="81" t="n">
        <x:f>W1942/MAX($W$1829:W1942)-1</x:f>
        <x:v>-0.9999849346482401</x:v>
      </x:c>
      <x:c r="AL1942" s="83" t="n">
        <x:f>'Inputs'!$B$49</x:f>
        <x:v>1</x:v>
      </x:c>
      <x:c r="AM1942" s="83" t="n">
        <x:f>'Inputs'!$C$49</x:f>
        <x:v>3</x:v>
      </x:c>
      <x:c r="AN1942" s="83" t="n">
        <x:f>'Inputs'!$D$49</x:f>
        <x:v>0.75</x:v>
      </x:c>
      <x:c r="AO1942" s="81" t="n">
        <x:f>'Inputs'!$E$49</x:f>
        <x:v>-0.03</x:v>
      </x:c>
    </x:row>
    <x:row r="1943">
      <x:c r="A1943" s="59" t="str">
        <x:v>Mercenary LP</x:v>
      </x:c>
      <x:c r="B1943" s="59" t="n">
        <x:v>115</x:v>
      </x:c>
      <x:c r="C1943" s="78" t="n">
        <x:f>(('Inputs'!$B$29*(3*115*'Inputs'!$B$12-115^2)/(2*'Inputs'!$B$12^2))-('Inputs'!$B$29*(3*114*'Inputs'!$B$12-114^2)/(2*'Inputs'!$B$12^2)))*'Inputs'!$B$49</x:f>
        <x:v>674761.44680053</x:v>
      </x:c>
      <x:c r="D1943" s="78" t="n">
        <x:f>IF('Inputs'!$C$49&gt;0,('Inputs'!$B$30*(3*115*'Inputs'!$B$12-115^2)/(2*'Inputs'!$B$12^2))-('Inputs'!$B$30*(3*114*'Inputs'!$B$12-114^2)/(2*'Inputs'!$B$12^2)),0)</x:f>
        <x:v>289183.47720023245</x:v>
      </x:c>
      <x:c r="E1943" s="78" t="n">
        <x:f>C1943+D1943</x:f>
        <x:v>963944.9240007624</x:v>
      </x:c>
      <x:c r="F1943" s="78" t="n">
        <x:f>'Inputs'!$B$13*E1943+(1-'Inputs'!$B$13)/'Inputs'!$B$14*SUM(E1888:E1943)</x:f>
        <x:v>974162.6008632038</x:v>
      </x:c>
      <x:c r="G1943" s="78" t="n">
        <x:f>F1943*'Inputs'!$F$49</x:f>
        <x:v>876746.3407768834</x:v>
      </x:c>
      <x:c r="H1943" s="78" t="n">
        <x:f>U1942</x:f>
        <x:v>3178100339.186365</x:v>
      </x:c>
      <x:c r="I1943" s="78" t="n">
        <x:f>V1942</x:f>
        <x:v>37.16477795178252</x:v>
      </x:c>
      <x:c r="J1943" s="79" t="n">
        <x:f>IF(H1943&gt;0,I1943/H1943,0)</x:f>
        <x:v>1.1694022839221364e-8</x:v>
      </x:c>
      <x:c r="K1943" s="80" t="n">
        <x:f>(H1943*J1943+I1943)*'Inputs'!$D$49*(1+'Inputs'!$G$49)^(B1943/30)</x:f>
        <x:v>55.747166927673774</x:v>
      </x:c>
      <x:c r="L1943" s="80" t="n">
        <x:f>MAX(0,K1943*'Inputs'!$E$49)</x:f>
        <x:v>0</x:v>
      </x:c>
      <x:c r="M1943" s="80" t="n">
        <x:f>MAX(0,-K1943*'Inputs'!$E$49)</x:f>
        <x:v>1.6724150078302131</x:v>
      </x:c>
      <x:c r="N1943" s="78" t="n">
        <x:f>H1943*(L1943*(1-'Inputs'!$B$15))/(I1943+L1943*(1-'Inputs'!$B$15))</x:f>
        <x:v>0</x:v>
      </x:c>
      <x:c r="O1943" s="78" t="n">
        <x:f>H1943-N1943</x:f>
        <x:v>3178100339.186365</x:v>
      </x:c>
      <x:c r="P1943" s="78" t="n">
        <x:f>I1943+L1943*(1-'Inputs'!$B$17)</x:f>
        <x:v>37.16477795178252</x:v>
      </x:c>
      <x:c r="Q1943" s="78" t="n">
        <x:f>IF(J1943&gt;0,M1943/J1943,0)</x:f>
        <x:v>143014515.26338643</x:v>
      </x:c>
      <x:c r="R1943" s="78" t="n">
        <x:f>IF(B1943='Inputs'!$H$49,'Inputs'!$B$27*'Inputs'!$I$49,0)</x:f>
        <x:v>0</x:v>
      </x:c>
      <x:c r="S1943" s="78" t="n">
        <x:f>Q1943+G1943+R1943</x:f>
        <x:v>143891261.60416332</x:v>
      </x:c>
      <x:c r="T1943" s="78" t="n">
        <x:f>P1943*(S1943*(1-'Inputs'!$B$15))/(O1943+S1943*(1-'Inputs'!$B$15))</x:f>
        <x:v>1.5943761222966555</x:v>
      </x:c>
      <x:c r="U1943" s="78" t="n">
        <x:f>O1943+S1943*(1-'Inputs'!$B$17)</x:f>
        <x:v>3321412561.508419</x:v>
      </x:c>
      <x:c r="V1943" s="78" t="n">
        <x:f>P1943-T1943</x:f>
        <x:v>35.57040182948586</x:v>
      </x:c>
      <x:c r="W1943" s="79" t="n">
        <x:f>IF(U1943&gt;0,V1943/U1943,0)</x:f>
        <x:v>1.0709419914198062e-8</x:v>
      </x:c>
      <x:c r="X1943" s="80" t="n">
        <x:f>W1943*('Inputs'!$B$6-AC1943)</x:f>
        <x:v>8.308743291334858</x:v>
      </x:c>
      <x:c r="Y1943" s="80" t="n">
        <x:f>2*V1943</x:f>
        <x:v>71.14080365897172</x:v>
      </x:c>
      <x:c r="Z1943" s="80" t="n">
        <x:f>K1943*'Inputs'!$B$16+(G1943+R1943)*J1943*'Inputs'!$B$16</x:f>
        <x:v>0.33454451771644217</x:v>
      </x:c>
      <x:c r="AA1943" s="80" t="n">
        <x:f>K1943*(1+'Inputs'!$E$49)/2*'Inputs'!$B$17</x:f>
        <x:v>0.10880231774616411</x:v>
      </x:c>
      <x:c r="AB1943" s="78" t="n">
        <x:f>(IF(J1943&gt;0,K1943*(1-'Inputs'!$E$49)/2/J1943,0)+G1943+R1943)*'Inputs'!$B$17</x:f>
        <x:v>9883135.848540219</x:v>
      </x:c>
      <x:c r="AC1943" s="78" t="n">
        <x:f>AC1942+AB1943</x:f>
        <x:v>224164954.04018056</x:v>
      </x:c>
      <x:c r="AD1943" s="80" t="n">
        <x:f>Z1943/(1+'Inputs'!$C$49)</x:f>
        <x:v>0.08363612942911054</x:v>
      </x:c>
      <x:c r="AE1943" s="80" t="n">
        <x:f>Z1943-AD1943</x:f>
        <x:v>0.25090838828733164</x:v>
      </x:c>
      <x:c r="AF1943" s="80" t="n">
        <x:f>D1943*W1943</x:f>
        <x:v>0.0030969872895852107</x:v>
      </x:c>
      <x:c r="AG1943" s="80" t="n">
        <x:f>C1943*W1943</x:f>
        <x:v>0.007226303675698692</x:v>
      </x:c>
      <x:c r="AH1943" s="80" t="n">
        <x:f>2*'Inputs'!$B$8*'Inputs'!$C$49</x:f>
        <x:v>15000</x:v>
      </x:c>
      <x:c r="AI1943" s="81" t="n">
        <x:f>IF(AH1943&gt;0,(AE1943+AF1943)/AH1943*365,0)</x:f>
        <x:v>0.006180797472371643</x:v>
      </x:c>
      <x:c r="AJ1943" s="81" t="n">
        <x:f>IF('Inputs'!$B$49&gt;0,AG1943/('Inputs'!$B$19*'Inputs'!$B$49)*365,0)</x:f>
        <x:v>0.00026376008416300223</x:v>
      </x:c>
      <x:c r="AK1943" s="81" t="n">
        <x:f>W1943/MAX($W$1829:W1943)-1</x:f>
        <x:v>-0.9999862031073165</x:v>
      </x:c>
      <x:c r="AL1943" s="83" t="n">
        <x:f>'Inputs'!$B$49</x:f>
        <x:v>1</x:v>
      </x:c>
      <x:c r="AM1943" s="83" t="n">
        <x:f>'Inputs'!$C$49</x:f>
        <x:v>3</x:v>
      </x:c>
      <x:c r="AN1943" s="83" t="n">
        <x:f>'Inputs'!$D$49</x:f>
        <x:v>0.75</x:v>
      </x:c>
      <x:c r="AO1943" s="81" t="n">
        <x:f>'Inputs'!$E$49</x:f>
        <x:v>-0.03</x:v>
      </x:c>
    </x:row>
    <x:row r="1944">
      <x:c r="A1944" s="59" t="str">
        <x:v>Mercenary LP</x:v>
      </x:c>
      <x:c r="B1944" s="59" t="n">
        <x:v>116</x:v>
      </x:c>
      <x:c r="C1944" s="78" t="n">
        <x:f>(('Inputs'!$B$29*(3*116*'Inputs'!$B$12-116^2)/(2*'Inputs'!$B$12^2))-('Inputs'!$B$29*(3*115*'Inputs'!$B$12-115^2)/(2*'Inputs'!$B$12^2)))*'Inputs'!$B$49</x:f>
        <x:v>674436.3389003575</x:v>
      </x:c>
      <x:c r="D1944" s="78" t="n">
        <x:f>IF('Inputs'!$C$49&gt;0,('Inputs'!$B$30*(3*116*'Inputs'!$B$12-116^2)/(2*'Inputs'!$B$12^2))-('Inputs'!$B$30*(3*115*'Inputs'!$B$12-115^2)/(2*'Inputs'!$B$12^2)),0)</x:f>
        <x:v>289044.14524300396</x:v>
      </x:c>
      <x:c r="E1944" s="78" t="n">
        <x:f>C1944+D1944</x:f>
        <x:v>963480.4841433614</x:v>
      </x:c>
      <x:c r="F1944" s="78" t="n">
        <x:f>'Inputs'!$B$13*E1944+(1-'Inputs'!$B$13)/'Inputs'!$B$14*SUM(E1889:E1944)</x:f>
        <x:v>973698.1610058163</x:v>
      </x:c>
      <x:c r="G1944" s="78" t="n">
        <x:f>F1944*'Inputs'!$F$49</x:f>
        <x:v>876328.3449052346</x:v>
      </x:c>
      <x:c r="H1944" s="78" t="n">
        <x:f>U1943</x:f>
        <x:v>3321412561.508419</x:v>
      </x:c>
      <x:c r="I1944" s="78" t="n">
        <x:f>V1943</x:f>
        <x:v>35.57040182948586</x:v>
      </x:c>
      <x:c r="J1944" s="79" t="n">
        <x:f>IF(H1944&gt;0,I1944/H1944,0)</x:f>
        <x:v>1.0709419914198062e-8</x:v>
      </x:c>
      <x:c r="K1944" s="80" t="n">
        <x:f>(H1944*J1944+I1944)*'Inputs'!$D$49*(1+'Inputs'!$G$49)^(B1944/30)</x:f>
        <x:v>53.35560274422879</x:v>
      </x:c>
      <x:c r="L1944" s="80" t="n">
        <x:f>MAX(0,K1944*'Inputs'!$E$49)</x:f>
        <x:v>0</x:v>
      </x:c>
      <x:c r="M1944" s="80" t="n">
        <x:f>MAX(0,-K1944*'Inputs'!$E$49)</x:f>
        <x:v>1.6006680823268635</x:v>
      </x:c>
      <x:c r="N1944" s="78" t="n">
        <x:f>H1944*(L1944*(1-'Inputs'!$B$15))/(I1944+L1944*(1-'Inputs'!$B$15))</x:f>
        <x:v>0</x:v>
      </x:c>
      <x:c r="O1944" s="78" t="n">
        <x:f>H1944-N1944</x:f>
        <x:v>3321412561.508419</x:v>
      </x:c>
      <x:c r="P1944" s="78" t="n">
        <x:f>I1944+L1944*(1-'Inputs'!$B$17)</x:f>
        <x:v>35.57040182948586</x:v>
      </x:c>
      <x:c r="Q1944" s="78" t="n">
        <x:f>IF(J1944&gt;0,M1944/J1944,0)</x:f>
        <x:v>149463565.26787883</x:v>
      </x:c>
      <x:c r="R1944" s="78" t="n">
        <x:f>IF(B1944='Inputs'!$H$49,'Inputs'!$B$27*'Inputs'!$I$49,0)</x:f>
        <x:v>0</x:v>
      </x:c>
      <x:c r="S1944" s="78" t="n">
        <x:f>Q1944+G1944+R1944</x:f>
        <x:v>150339893.61278406</x:v>
      </x:c>
      <x:c r="T1944" s="78" t="n">
        <x:f>P1944*(S1944*(1-'Inputs'!$B$15))/(O1944+S1944*(1-'Inputs'!$B$15))</x:f>
        <x:v>1.5255890389494988</x:v>
      </x:c>
      <x:c r="U1944" s="78" t="n">
        <x:f>O1944+S1944*(1-'Inputs'!$B$17)</x:f>
        <x:v>3471147465.609683</x:v>
      </x:c>
      <x:c r="V1944" s="78" t="n">
        <x:f>P1944-T1944</x:f>
        <x:v>34.04481279053636</x:v>
      </x:c>
      <x:c r="W1944" s="79" t="n">
        <x:f>IF(U1944&gt;0,V1944/U1944,0)</x:f>
        <x:v>9.807941935004085e-9</x:v>
      </x:c>
      <x:c r="X1944" s="80" t="n">
        <x:f>W1944*('Inputs'!$B$6-AC1944)</x:f>
        <x:v>7.508042361104685</x:v>
      </x:c>
      <x:c r="Y1944" s="80" t="n">
        <x:f>2*V1944</x:f>
        <x:v>68.08962558107272</x:v>
      </x:c>
      <x:c r="Z1944" s="80" t="n">
        <x:f>K1944*'Inputs'!$B$16+(G1944+R1944)*J1944*'Inputs'!$B$16</x:f>
        <x:v>0.3201899262747426</x:v>
      </x:c>
      <x:c r="AA1944" s="80" t="n">
        <x:f>K1944*(1+'Inputs'!$E$49)/2*'Inputs'!$B$17</x:f>
        <x:v>0.10413467738813266</x:v>
      </x:c>
      <x:c r="AB1944" s="78" t="n">
        <x:f>(IF(J1944&gt;0,K1944*(1-'Inputs'!$E$49)/2/J1944,0)+G1944+R1944)*'Inputs'!$B$17</x:f>
        <x:v>10328641.980322571</x:v>
      </x:c>
      <x:c r="AC1944" s="78" t="n">
        <x:f>AC1943+AB1944</x:f>
        <x:v>234493596.02050313</x:v>
      </x:c>
      <x:c r="AD1944" s="80" t="n">
        <x:f>Z1944/(1+'Inputs'!$C$49)</x:f>
        <x:v>0.08004748156868564</x:v>
      </x:c>
      <x:c r="AE1944" s="80" t="n">
        <x:f>Z1944-AD1944</x:f>
        <x:v>0.24014244470605695</x:v>
      </x:c>
      <x:c r="AF1944" s="80" t="n">
        <x:f>D1944*W1944</x:f>
        <x:v>0.00283492819319627</x:v>
      </x:c>
      <x:c r="AG1944" s="80" t="n">
        <x:f>C1944*W1944</x:f>
        <x:v>0.006614832450791443</x:v>
      </x:c>
      <x:c r="AH1944" s="80" t="n">
        <x:f>2*'Inputs'!$B$8*'Inputs'!$C$49</x:f>
        <x:v>15000</x:v>
      </x:c>
      <x:c r="AI1944" s="81" t="n">
        <x:f>IF(AH1944&gt;0,(AE1944+AF1944)/AH1944*365,0)</x:f>
        <x:v>0.005912449407215162</x:v>
      </x:c>
      <x:c r="AJ1944" s="81" t="n">
        <x:f>IF('Inputs'!$B$49&gt;0,AG1944/('Inputs'!$B$19*'Inputs'!$B$49)*365,0)</x:f>
        <x:v>0.00024144138445388768</x:v>
      </x:c>
      <x:c r="AK1944" s="81" t="n">
        <x:f>W1944/MAX($W$1829:W1944)-1</x:f>
        <x:v>-0.9999873644769364</x:v>
      </x:c>
      <x:c r="AL1944" s="83" t="n">
        <x:f>'Inputs'!$B$49</x:f>
        <x:v>1</x:v>
      </x:c>
      <x:c r="AM1944" s="83" t="n">
        <x:f>'Inputs'!$C$49</x:f>
        <x:v>3</x:v>
      </x:c>
      <x:c r="AN1944" s="83" t="n">
        <x:f>'Inputs'!$D$49</x:f>
        <x:v>0.75</x:v>
      </x:c>
      <x:c r="AO1944" s="81" t="n">
        <x:f>'Inputs'!$E$49</x:f>
        <x:v>-0.03</x:v>
      </x:c>
    </x:row>
    <x:row r="1945">
      <x:c r="A1945" s="59" t="str">
        <x:v>Mercenary LP</x:v>
      </x:c>
      <x:c r="B1945" s="59" t="n">
        <x:v>117</x:v>
      </x:c>
      <x:c r="C1945" s="78" t="n">
        <x:f>(('Inputs'!$B$29*(3*117*'Inputs'!$B$12-117^2)/(2*'Inputs'!$B$12^2))-('Inputs'!$B$29*(3*116*'Inputs'!$B$12-116^2)/(2*'Inputs'!$B$12^2)))*'Inputs'!$B$49</x:f>
        <x:v>674111.231000185</x:v>
      </x:c>
      <x:c r="D1945" s="78" t="n">
        <x:f>IF('Inputs'!$C$49&gt;0,('Inputs'!$B$30*(3*117*'Inputs'!$B$12-117^2)/(2*'Inputs'!$B$12^2))-('Inputs'!$B$30*(3*116*'Inputs'!$B$12-116^2)/(2*'Inputs'!$B$12^2)),0)</x:f>
        <x:v>288904.81328579783</x:v>
      </x:c>
      <x:c r="E1945" s="78" t="n">
        <x:f>C1945+D1945</x:f>
        <x:v>963016.0442859828</x:v>
      </x:c>
      <x:c r="F1945" s="78" t="n">
        <x:f>'Inputs'!$B$13*E1945+(1-'Inputs'!$B$13)/'Inputs'!$B$14*SUM(E1890:E1945)</x:f>
        <x:v>973233.7211484333</x:v>
      </x:c>
      <x:c r="G1945" s="78" t="n">
        <x:f>F1945*'Inputs'!$F$49</x:f>
        <x:v>875910.3490335899</x:v>
      </x:c>
      <x:c r="H1945" s="78" t="n">
        <x:f>U1944</x:f>
        <x:v>3471147465.609683</x:v>
      </x:c>
      <x:c r="I1945" s="78" t="n">
        <x:f>V1944</x:f>
        <x:v>34.04481279053636</x:v>
      </x:c>
      <x:c r="J1945" s="79" t="n">
        <x:f>IF(H1945&gt;0,I1945/H1945,0)</x:f>
        <x:v>9.807941935004085e-9</x:v>
      </x:c>
      <x:c r="K1945" s="80" t="n">
        <x:f>(H1945*J1945+I1945)*'Inputs'!$D$49*(1+'Inputs'!$G$49)^(B1945/30)</x:f>
        <x:v>51.06721918580455</x:v>
      </x:c>
      <x:c r="L1945" s="80" t="n">
        <x:f>MAX(0,K1945*'Inputs'!$E$49)</x:f>
        <x:v>0</x:v>
      </x:c>
      <x:c r="M1945" s="80" t="n">
        <x:f>MAX(0,-K1945*'Inputs'!$E$49)</x:f>
        <x:v>1.5320165755741364</x:v>
      </x:c>
      <x:c r="N1945" s="78" t="n">
        <x:f>H1945*(L1945*(1-'Inputs'!$B$15))/(I1945+L1945*(1-'Inputs'!$B$15))</x:f>
        <x:v>0</x:v>
      </x:c>
      <x:c r="O1945" s="78" t="n">
        <x:f>H1945-N1945</x:f>
        <x:v>3471147465.609683</x:v>
      </x:c>
      <x:c r="P1945" s="78" t="n">
        <x:f>I1945+L1945*(1-'Inputs'!$B$17)</x:f>
        <x:v>34.04481279053636</x:v>
      </x:c>
      <x:c r="Q1945" s="78" t="n">
        <x:f>IF(J1945&gt;0,M1945/J1945,0)</x:f>
        <x:v>156201635.95243576</x:v>
      </x:c>
      <x:c r="R1945" s="78" t="n">
        <x:f>IF(B1945='Inputs'!$H$49,'Inputs'!$B$27*'Inputs'!$I$49,0)</x:f>
        <x:v>0</x:v>
      </x:c>
      <x:c r="S1945" s="78" t="n">
        <x:f>Q1945+G1945+R1945</x:f>
        <x:v>157077546.30146936</x:v>
      </x:c>
      <x:c r="T1945" s="78" t="n">
        <x:f>P1945*(S1945*(1-'Inputs'!$B$15))/(O1945+S1945*(1-'Inputs'!$B$15))</x:f>
        <x:v>1.4598024944448649</x:v>
      </x:c>
      <x:c r="U1945" s="78" t="n">
        <x:f>O1945+S1945*(1-'Inputs'!$B$17)</x:f>
        <x:v>3627592909.109134</x:v>
      </x:c>
      <x:c r="V1945" s="78" t="n">
        <x:f>P1945-T1945</x:f>
        <x:v>32.5850102960915</x:v>
      </x:c>
      <x:c r="W1945" s="79" t="n">
        <x:f>IF(U1945&gt;0,V1945/U1945,0)</x:f>
        <x:v>8.982543276636224e-9</x:v>
      </x:c>
      <x:c r="X1945" s="80" t="n">
        <x:f>W1945*('Inputs'!$B$6-AC1945)</x:f>
        <x:v>6.779235806203103</x:v>
      </x:c>
      <x:c r="Y1945" s="80" t="n">
        <x:f>2*V1945</x:f>
        <x:v>65.170020592183</x:v>
      </x:c>
      <x:c r="Z1945" s="80" t="n">
        <x:f>K1945*'Inputs'!$B$16+(G1945+R1945)*J1945*'Inputs'!$B$16</x:f>
        <x:v>0.3064548603818888</x:v>
      </x:c>
      <x:c r="AA1945" s="80" t="n">
        <x:f>K1945*(1+'Inputs'!$E$49)/2*'Inputs'!$B$17</x:f>
        <x:v>0.09966841571474931</x:v>
      </x:c>
      <x:c r="AB1945" s="78" t="n">
        <x:f>(IF(J1945&gt;0,K1945*(1-'Inputs'!$E$49)/2/J1945,0)+G1945+R1945)*'Inputs'!$B$17</x:f>
        <x:v>10794113.994094625</x:v>
      </x:c>
      <x:c r="AC1945" s="78" t="n">
        <x:f>AC1944+AB1945</x:f>
        <x:v>245287710.01459777</x:v>
      </x:c>
      <x:c r="AD1945" s="80" t="n">
        <x:f>Z1945/(1+'Inputs'!$C$49)</x:f>
        <x:v>0.0766137150954722</x:v>
      </x:c>
      <x:c r="AE1945" s="80" t="n">
        <x:f>Z1945-AD1945</x:f>
        <x:v>0.22984114528641658</x:v>
      </x:c>
      <x:c r="AF1945" s="80" t="n">
        <x:f>D1945*W1945</x:f>
        <x:v>0.002595099988168187</x:v>
      </x:c>
      <x:c r="AG1945" s="80" t="n">
        <x:f>C1945*W1945</x:f>
        <x:v>0.00605523330572568</x:v>
      </x:c>
      <x:c r="AH1945" s="80" t="n">
        <x:f>2*'Inputs'!$B$8*'Inputs'!$C$49</x:f>
        <x:v>15000</x:v>
      </x:c>
      <x:c r="AI1945" s="81" t="n">
        <x:f>IF(AH1945&gt;0,(AE1945+AF1945)/AH1945*365,0)</x:f>
        <x:v>0.005655948635014896</x:v>
      </x:c>
      <x:c r="AJ1945" s="81" t="n">
        <x:f>IF('Inputs'!$B$49&gt;0,AG1945/('Inputs'!$B$19*'Inputs'!$B$49)*365,0)</x:f>
        <x:v>0.00022101601565898733</x:v>
      </x:c>
      <x:c r="AK1945" s="81" t="n">
        <x:f>W1945/MAX($W$1829:W1945)-1</x:f>
        <x:v>-0.9999884278339438</x:v>
      </x:c>
      <x:c r="AL1945" s="83" t="n">
        <x:f>'Inputs'!$B$49</x:f>
        <x:v>1</x:v>
      </x:c>
      <x:c r="AM1945" s="83" t="n">
        <x:f>'Inputs'!$C$49</x:f>
        <x:v>3</x:v>
      </x:c>
      <x:c r="AN1945" s="83" t="n">
        <x:f>'Inputs'!$D$49</x:f>
        <x:v>0.75</x:v>
      </x:c>
      <x:c r="AO1945" s="81" t="n">
        <x:f>'Inputs'!$E$49</x:f>
        <x:v>-0.03</x:v>
      </x:c>
    </x:row>
    <x:row r="1946">
      <x:c r="A1946" s="59" t="str">
        <x:v>Mercenary LP</x:v>
      </x:c>
      <x:c r="B1946" s="59" t="n">
        <x:v>118</x:v>
      </x:c>
      <x:c r="C1946" s="78" t="n">
        <x:f>(('Inputs'!$B$29*(3*118*'Inputs'!$B$12-118^2)/(2*'Inputs'!$B$12^2))-('Inputs'!$B$29*(3*117*'Inputs'!$B$12-117^2)/(2*'Inputs'!$B$12^2)))*'Inputs'!$B$49</x:f>
        <x:v>673786.1231000274</x:v>
      </x:c>
      <x:c r="D1946" s="78" t="n">
        <x:f>IF('Inputs'!$C$49&gt;0,('Inputs'!$B$30*(3*118*'Inputs'!$B$12-118^2)/(2*'Inputs'!$B$12^2))-('Inputs'!$B$30*(3*117*'Inputs'!$B$12-117^2)/(2*'Inputs'!$B$12^2)),0)</x:f>
        <x:v>288765.4813285768</x:v>
      </x:c>
      <x:c r="E1946" s="78" t="n">
        <x:f>C1946+D1946</x:f>
        <x:v>962551.6044286042</x:v>
      </x:c>
      <x:c r="F1946" s="78" t="n">
        <x:f>'Inputs'!$B$13*E1946+(1-'Inputs'!$B$13)/'Inputs'!$B$14*SUM(E1891:E1946)</x:f>
        <x:v>972769.2812910504</x:v>
      </x:c>
      <x:c r="G1946" s="78" t="n">
        <x:f>F1946*'Inputs'!$F$49</x:f>
        <x:v>875492.3531619454</x:v>
      </x:c>
      <x:c r="H1946" s="78" t="n">
        <x:f>U1945</x:f>
        <x:v>3627592909.109134</x:v>
      </x:c>
      <x:c r="I1946" s="78" t="n">
        <x:f>V1945</x:f>
        <x:v>32.5850102960915</x:v>
      </x:c>
      <x:c r="J1946" s="79" t="n">
        <x:f>IF(H1946&gt;0,I1946/H1946,0)</x:f>
        <x:v>8.982543276636224e-9</x:v>
      </x:c>
      <x:c r="K1946" s="80" t="n">
        <x:f>(H1946*J1946+I1946)*'Inputs'!$D$49*(1+'Inputs'!$G$49)^(B1946/30)</x:f>
        <x:v>48.877515444137245</x:v>
      </x:c>
      <x:c r="L1946" s="80" t="n">
        <x:f>MAX(0,K1946*'Inputs'!$E$49)</x:f>
        <x:v>0</x:v>
      </x:c>
      <x:c r="M1946" s="80" t="n">
        <x:f>MAX(0,-K1946*'Inputs'!$E$49)</x:f>
        <x:v>1.4663254633241174</x:v>
      </x:c>
      <x:c r="N1946" s="78" t="n">
        <x:f>H1946*(L1946*(1-'Inputs'!$B$15))/(I1946+L1946*(1-'Inputs'!$B$15))</x:f>
        <x:v>0</x:v>
      </x:c>
      <x:c r="O1946" s="78" t="n">
        <x:f>H1946-N1946</x:f>
        <x:v>3627592909.109134</x:v>
      </x:c>
      <x:c r="P1946" s="78" t="n">
        <x:f>I1946+L1946*(1-'Inputs'!$B$17)</x:f>
        <x:v>32.5850102960915</x:v>
      </x:c>
      <x:c r="Q1946" s="78" t="n">
        <x:f>IF(J1946&gt;0,M1946/J1946,0)</x:f>
        <x:v>163241680.90991107</x:v>
      </x:c>
      <x:c r="R1946" s="78" t="n">
        <x:f>IF(B1946='Inputs'!$H$49,'Inputs'!$B$27*'Inputs'!$I$49,0)</x:f>
        <x:v>0</x:v>
      </x:c>
      <x:c r="S1946" s="78" t="n">
        <x:f>Q1946+G1946+R1946</x:f>
        <x:v>164117173.263073</x:v>
      </x:c>
      <x:c r="T1946" s="78" t="n">
        <x:f>P1946*(S1946*(1-'Inputs'!$B$15))/(O1946+S1946*(1-'Inputs'!$B$15))</x:f>
        <x:v>1.3968828291947404</x:v>
      </x:c>
      <x:c r="U1946" s="78" t="n">
        <x:f>O1946+S1946*(1-'Inputs'!$B$17)</x:f>
        <x:v>3791049651.0914707</x:v>
      </x:c>
      <x:c r="V1946" s="78" t="n">
        <x:f>P1946-T1946</x:f>
        <x:v>31.188127466896756</x:v>
      </x:c>
      <x:c r="W1946" s="79" t="n">
        <x:f>IF(U1946&gt;0,V1946/U1946,0)</x:f>
        <x:v>8.22677894970789e-9</x:v>
      </x:c>
      <x:c r="X1946" s="80" t="n">
        <x:f>W1946*('Inputs'!$B$6-AC1946)</x:f>
        <x:v>6.116049438562089</x:v>
      </x:c>
      <x:c r="Y1946" s="80" t="n">
        <x:f>2*V1946</x:f>
        <x:v>62.37625493379351</x:v>
      </x:c>
      <x:c r="Z1946" s="80" t="n">
        <x:f>K1946*'Inputs'!$B$16+(G1946+R1946)*J1946*'Inputs'!$B$16</x:f>
        <x:v>0.2933122775525273</x:v>
      </x:c>
      <x:c r="AA1946" s="80" t="n">
        <x:f>K1946*(1+'Inputs'!$E$49)/2*'Inputs'!$B$17</x:f>
        <x:v>0.0953947484523403</x:v>
      </x:c>
      <x:c r="AB1946" s="78" t="n">
        <x:f>(IF(J1946&gt;0,K1946*(1-'Inputs'!$E$49)/2/J1946,0)+G1946+R1946)*'Inputs'!$B$17</x:f>
        <x:v>11280446.738993838</x:v>
      </x:c>
      <x:c r="AC1946" s="78" t="n">
        <x:f>AC1945+AB1946</x:f>
        <x:v>256568156.7535916</x:v>
      </x:c>
      <x:c r="AD1946" s="80" t="n">
        <x:f>Z1946/(1+'Inputs'!$C$49)</x:f>
        <x:v>0.07332806938813183</x:v>
      </x:c>
      <x:c r="AE1946" s="80" t="n">
        <x:f>Z1946-AD1946</x:f>
        <x:v>0.21998420816439548</x:v>
      </x:c>
      <x:c r="AF1946" s="80" t="n">
        <x:f>D1946*W1946</x:f>
        <x:v>0.0023756097831962027</x:v>
      </x:c>
      <x:c r="AG1946" s="80" t="n">
        <x:f>C1946*W1946</x:f>
        <x:v>0.005543089494124596</x:v>
      </x:c>
      <x:c r="AH1946" s="80" t="n">
        <x:f>2*'Inputs'!$B$8*'Inputs'!$C$49</x:f>
        <x:v>15000</x:v>
      </x:c>
      <x:c r="AI1946" s="81" t="n">
        <x:f>IF(AH1946&gt;0,(AE1946+AF1946)/AH1946*365,0)</x:f>
        <x:v>0.005410755570058065</x:v>
      </x:c>
      <x:c r="AJ1946" s="81" t="n">
        <x:f>IF('Inputs'!$B$49&gt;0,AG1946/('Inputs'!$B$19*'Inputs'!$B$49)*365,0)</x:f>
        <x:v>0.00020232276653554771</x:v>
      </x:c>
      <x:c r="AK1946" s="81" t="n">
        <x:f>W1946/MAX($W$1829:W1946)-1</x:f>
        <x:v>-0.9999894014813865</x:v>
      </x:c>
      <x:c r="AL1946" s="83" t="n">
        <x:f>'Inputs'!$B$49</x:f>
        <x:v>1</x:v>
      </x:c>
      <x:c r="AM1946" s="83" t="n">
        <x:f>'Inputs'!$C$49</x:f>
        <x:v>3</x:v>
      </x:c>
      <x:c r="AN1946" s="83" t="n">
        <x:f>'Inputs'!$D$49</x:f>
        <x:v>0.75</x:v>
      </x:c>
      <x:c r="AO1946" s="81" t="n">
        <x:f>'Inputs'!$E$49</x:f>
        <x:v>-0.03</x:v>
      </x:c>
    </x:row>
    <x:row r="1947">
      <x:c r="A1947" s="59" t="str">
        <x:v>Mercenary LP</x:v>
      </x:c>
      <x:c r="B1947" s="59" t="n">
        <x:v>119</x:v>
      </x:c>
      <x:c r="C1947" s="78" t="n">
        <x:f>(('Inputs'!$B$29*(3*119*'Inputs'!$B$12-119^2)/(2*'Inputs'!$B$12^2))-('Inputs'!$B$29*(3*118*'Inputs'!$B$12-118^2)/(2*'Inputs'!$B$12^2)))*'Inputs'!$B$49</x:f>
        <x:v>673461.0151998401</x:v>
      </x:c>
      <x:c r="D1947" s="78" t="n">
        <x:f>IF('Inputs'!$C$49&gt;0,('Inputs'!$B$30*(3*119*'Inputs'!$B$12-119^2)/(2*'Inputs'!$B$12^2))-('Inputs'!$B$30*(3*118*'Inputs'!$B$12-118^2)/(2*'Inputs'!$B$12^2)),0)</x:f>
        <x:v>288626.1493713632</x:v>
      </x:c>
      <x:c r="E1947" s="78" t="n">
        <x:f>C1947+D1947</x:f>
        <x:v>962087.1645712033</x:v>
      </x:c>
      <x:c r="F1947" s="78" t="n">
        <x:f>'Inputs'!$B$13*E1947+(1-'Inputs'!$B$13)/'Inputs'!$B$14*SUM(E1892:E1947)</x:f>
        <x:v>972304.8414336627</x:v>
      </x:c>
      <x:c r="G1947" s="78" t="n">
        <x:f>F1947*'Inputs'!$F$49</x:f>
        <x:v>875074.3572902965</x:v>
      </x:c>
      <x:c r="H1947" s="78" t="n">
        <x:f>U1946</x:f>
        <x:v>3791049651.0914707</x:v>
      </x:c>
      <x:c r="I1947" s="78" t="n">
        <x:f>V1946</x:f>
        <x:v>31.188127466896756</x:v>
      </x:c>
      <x:c r="J1947" s="79" t="n">
        <x:f>IF(H1947&gt;0,I1947/H1947,0)</x:f>
        <x:v>8.22677894970789e-9</x:v>
      </x:c>
      <x:c r="K1947" s="80" t="n">
        <x:f>(H1947*J1947+I1947)*'Inputs'!$D$49*(1+'Inputs'!$G$49)^(B1947/30)</x:f>
        <x:v>46.78219120034513</x:v>
      </x:c>
      <x:c r="L1947" s="80" t="n">
        <x:f>MAX(0,K1947*'Inputs'!$E$49)</x:f>
        <x:v>0</x:v>
      </x:c>
      <x:c r="M1947" s="80" t="n">
        <x:f>MAX(0,-K1947*'Inputs'!$E$49)</x:f>
        <x:v>1.403465736010354</x:v>
      </x:c>
      <x:c r="N1947" s="78" t="n">
        <x:f>H1947*(L1947*(1-'Inputs'!$B$15))/(I1947+L1947*(1-'Inputs'!$B$15))</x:f>
        <x:v>0</x:v>
      </x:c>
      <x:c r="O1947" s="78" t="n">
        <x:f>H1947-N1947</x:f>
        <x:v>3791049651.0914707</x:v>
      </x:c>
      <x:c r="P1947" s="78" t="n">
        <x:f>I1947+L1947*(1-'Inputs'!$B$17)</x:f>
        <x:v>31.188127466896756</x:v>
      </x:c>
      <x:c r="Q1947" s="78" t="n">
        <x:f>IF(J1947&gt;0,M1947/J1947,0)</x:f>
        <x:v>170597234.2991162</x:v>
      </x:c>
      <x:c r="R1947" s="78" t="n">
        <x:f>IF(B1947='Inputs'!$H$49,'Inputs'!$B$27*'Inputs'!$I$49,0)</x:f>
        <x:v>0</x:v>
      </x:c>
      <x:c r="S1947" s="78" t="n">
        <x:f>Q1947+G1947+R1947</x:f>
        <x:v>171472308.6564065</x:v>
      </x:c>
      <x:c r="T1947" s="78" t="n">
        <x:f>P1947*(S1947*(1-'Inputs'!$B$15))/(O1947+S1947*(1-'Inputs'!$B$15))</x:f>
        <x:v>1.3367025711879155</x:v>
      </x:c>
      <x:c r="U1947" s="78" t="n">
        <x:f>O1947+S1947*(1-'Inputs'!$B$17)</x:f>
        <x:v>3961831930.336785</x:v>
      </x:c>
      <x:c r="V1947" s="78" t="n">
        <x:f>P1947-T1947</x:f>
        <x:v>29.85142489570884</x:v>
      </x:c>
      <x:c r="W1947" s="79" t="n">
        <x:f>IF(U1947&gt;0,V1947/U1947,0)</x:f>
        <x:v>7.534752967971371e-9</x:v>
      </x:c>
      <x:c r="X1947" s="80" t="n">
        <x:f>W1947*('Inputs'!$B$6-AC1947)</x:f>
        <x:v>5.512751285632552</x:v>
      </x:c>
      <x:c r="Y1947" s="80" t="n">
        <x:f>2*V1947</x:f>
        <x:v>59.70284979141768</x:v>
      </x:c>
      <x:c r="Z1947" s="80" t="n">
        <x:f>K1947*'Inputs'!$B$16+(G1947+R1947)*J1947*'Inputs'!$B$16</x:f>
        <x:v>0.2807363414618827</x:v>
      </x:c>
      <x:c r="AA1947" s="80" t="n">
        <x:f>K1947*(1+'Inputs'!$E$49)/2*'Inputs'!$B$17</x:f>
        <x:v>0.09130528262441606</x:v>
      </x:c>
      <x:c r="AB1947" s="78" t="n">
        <x:f>(IF(J1947&gt;0,K1947*(1-'Inputs'!$E$49)/2/J1947,0)+G1947+R1947)*'Inputs'!$B$17</x:f>
        <x:v>11788575.170323748</x:v>
      </x:c>
      <x:c r="AC1947" s="78" t="n">
        <x:f>AC1946+AB1947</x:f>
        <x:v>268356731.92391536</x:v>
      </x:c>
      <x:c r="AD1947" s="80" t="n">
        <x:f>Z1947/(1+'Inputs'!$C$49)</x:f>
        <x:v>0.07018408536547067</x:v>
      </x:c>
      <x:c r="AE1947" s="80" t="n">
        <x:f>Z1947-AD1947</x:f>
        <x:v>0.21055225609641204</x:v>
      </x:c>
      <x:c r="AF1947" s="80" t="n">
        <x:f>D1947*W1947</x:f>
        <x:v>0.0021747267356100274</x:v>
      </x:c>
      <x:c r="AG1947" s="80" t="n">
        <x:f>C1947*W1947</x:f>
        <x:v>0.005074362383090007</x:v>
      </x:c>
      <x:c r="AH1947" s="80" t="n">
        <x:f>2*'Inputs'!$B$8*'Inputs'!$C$49</x:f>
        <x:v>15000</x:v>
      </x:c>
      <x:c r="AI1947" s="81" t="n">
        <x:f>IF(AH1947&gt;0,(AE1947+AF1947)/AH1947*365,0)</x:f>
        <x:v>0.0051763565822458705</x:v>
      </x:c>
      <x:c r="AJ1947" s="81" t="n">
        <x:f>IF('Inputs'!$B$49&gt;0,AG1947/('Inputs'!$B$19*'Inputs'!$B$49)*365,0)</x:f>
        <x:v>0.00018521422698278528</x:v>
      </x:c>
      <x:c r="AK1947" s="81" t="n">
        <x:f>W1947/MAX($W$1829:W1947)-1</x:f>
        <x:v>-0.9999902930150345</x:v>
      </x:c>
      <x:c r="AL1947" s="83" t="n">
        <x:f>'Inputs'!$B$49</x:f>
        <x:v>1</x:v>
      </x:c>
      <x:c r="AM1947" s="83" t="n">
        <x:f>'Inputs'!$C$49</x:f>
        <x:v>3</x:v>
      </x:c>
      <x:c r="AN1947" s="83" t="n">
        <x:f>'Inputs'!$D$49</x:f>
        <x:v>0.75</x:v>
      </x:c>
      <x:c r="AO1947" s="81" t="n">
        <x:f>'Inputs'!$E$49</x:f>
        <x:v>-0.03</x:v>
      </x:c>
    </x:row>
    <x:row r="1948">
      <x:c r="A1948" s="59" t="str">
        <x:v>Mercenary LP</x:v>
      </x:c>
      <x:c r="B1948" s="59" t="n">
        <x:v>120</x:v>
      </x:c>
      <x:c r="C1948" s="78" t="n">
        <x:f>(('Inputs'!$B$29*(3*120*'Inputs'!$B$12-120^2)/(2*'Inputs'!$B$12^2))-('Inputs'!$B$29*(3*119*'Inputs'!$B$12-119^2)/(2*'Inputs'!$B$12^2)))*'Inputs'!$B$49</x:f>
        <x:v>673135.9072996825</x:v>
      </x:c>
      <x:c r="D1948" s="78" t="n">
        <x:f>IF('Inputs'!$C$49&gt;0,('Inputs'!$B$30*(3*120*'Inputs'!$B$12-120^2)/(2*'Inputs'!$B$12^2))-('Inputs'!$B$30*(3*119*'Inputs'!$B$12-119^2)/(2*'Inputs'!$B$12^2)),0)</x:f>
        <x:v>288486.81741414964</x:v>
      </x:c>
      <x:c r="E1948" s="78" t="n">
        <x:f>C1948+D1948</x:f>
        <x:v>961622.7247138321</x:v>
      </x:c>
      <x:c r="F1948" s="78" t="n">
        <x:f>'Inputs'!$B$13*E1948+(1-'Inputs'!$B$13)/'Inputs'!$B$14*SUM(E1893:E1948)</x:f>
        <x:v>971840.4015762811</x:v>
      </x:c>
      <x:c r="G1948" s="78" t="n">
        <x:f>F1948*'Inputs'!$F$49</x:f>
        <x:v>874656.3614186529</x:v>
      </x:c>
      <x:c r="H1948" s="78" t="n">
        <x:f>U1947</x:f>
        <x:v>3961831930.336785</x:v>
      </x:c>
      <x:c r="I1948" s="78" t="n">
        <x:f>V1947</x:f>
        <x:v>29.85142489570884</x:v>
      </x:c>
      <x:c r="J1948" s="79" t="n">
        <x:f>IF(H1948&gt;0,I1948/H1948,0)</x:f>
        <x:v>7.534752967971371e-9</x:v>
      </x:c>
      <x:c r="K1948" s="80" t="n">
        <x:f>(H1948*J1948+I1948)*'Inputs'!$D$49*(1+'Inputs'!$G$49)^(B1948/30)</x:f>
        <x:v>44.777137343563254</x:v>
      </x:c>
      <x:c r="L1948" s="80" t="n">
        <x:f>MAX(0,K1948*'Inputs'!$E$49)</x:f>
        <x:v>0</x:v>
      </x:c>
      <x:c r="M1948" s="80" t="n">
        <x:f>MAX(0,-K1948*'Inputs'!$E$49)</x:f>
        <x:v>1.3433141203068977</x:v>
      </x:c>
      <x:c r="N1948" s="78" t="n">
        <x:f>H1948*(L1948*(1-'Inputs'!$B$15))/(I1948+L1948*(1-'Inputs'!$B$15))</x:f>
        <x:v>0</x:v>
      </x:c>
      <x:c r="O1948" s="78" t="n">
        <x:f>H1948-N1948</x:f>
        <x:v>3961831930.336785</x:v>
      </x:c>
      <x:c r="P1948" s="78" t="n">
        <x:f>I1948+L1948*(1-'Inputs'!$B$17)</x:f>
        <x:v>29.85142489570884</x:v>
      </x:c>
      <x:c r="Q1948" s="78" t="n">
        <x:f>IF(J1948&gt;0,M1948/J1948,0)</x:f>
        <x:v>178282436.8651553</x:v>
      </x:c>
      <x:c r="R1948" s="78" t="n">
        <x:f>IF(B1948='Inputs'!$H$49,'Inputs'!$B$27*'Inputs'!$I$49,0)</x:f>
        <x:v>0</x:v>
      </x:c>
      <x:c r="S1948" s="78" t="n">
        <x:f>Q1948+G1948+R1948</x:f>
        <x:v>179157093.22657397</x:v>
      </x:c>
      <x:c r="T1948" s="78" t="n">
        <x:f>P1948*(S1948*(1-'Inputs'!$B$15))/(O1948+S1948*(1-'Inputs'!$B$15))</x:f>
        <x:v>1.2791401300489247</x:v>
      </x:c>
      <x:c r="U1948" s="78" t="n">
        <x:f>O1948+S1948*(1-'Inputs'!$B$17)</x:f>
        <x:v>4140268069.4658675</x:v>
      </x:c>
      <x:c r="V1948" s="78" t="n">
        <x:f>P1948-T1948</x:f>
        <x:v>28.572284765659912</x:v>
      </x:c>
      <x:c r="W1948" s="79" t="n">
        <x:f>IF(U1948&gt;0,V1948/U1948,0)</x:f>
        <x:v>6.901071207533187e-9</x:v>
      </x:c>
      <x:c r="X1948" s="80" t="n">
        <x:f>W1948*('Inputs'!$B$6-AC1948)</x:f>
        <x:v>4.964104709374925</x:v>
      </x:c>
      <x:c r="Y1948" s="80" t="n">
        <x:f>2*V1948</x:f>
        <x:v>57.144569531319824</x:v>
      </x:c>
      <x:c r="Z1948" s="80" t="n">
        <x:f>K1948*'Inputs'!$B$16+(G1948+R1948)*J1948*'Inputs'!$B$16</x:f>
        <x:v>0.26870236597907043</x:v>
      </x:c>
      <x:c r="AA1948" s="80" t="n">
        <x:f>K1948*(1+'Inputs'!$E$49)/2*'Inputs'!$B$17</x:f>
        <x:v>0.08739199843713553</x:v>
      </x:c>
      <x:c r="AB1948" s="78" t="n">
        <x:f>(IF(J1948&gt;0,K1948*(1-'Inputs'!$E$49)/2/J1948,0)+G1948+R1948)*'Inputs'!$B$17</x:f>
        <x:v>12319476.147068754</x:v>
      </x:c>
      <x:c r="AC1948" s="78" t="n">
        <x:f>AC1947+AB1948</x:f>
        <x:v>280676208.0709841</x:v>
      </x:c>
      <x:c r="AD1948" s="80" t="n">
        <x:f>Z1948/(1+'Inputs'!$C$49)</x:f>
        <x:v>0.06717559149476761</x:v>
      </x:c>
      <x:c r="AE1948" s="80" t="n">
        <x:f>Z1948-AD1948</x:f>
        <x:v>0.20152677448430284</x:v>
      </x:c>
      <x:c r="AF1948" s="80" t="n">
        <x:f>D1948*W1948</x:f>
        <x:v>0.001990868069409672</x:v>
      </x:c>
      <x:c r="AG1948" s="80" t="n">
        <x:f>C1948*W1948</x:f>
        <x:v>0.004645358828622568</x:v>
      </x:c>
      <x:c r="AH1948" s="80" t="n">
        <x:f>2*'Inputs'!$B$8*'Inputs'!$C$49</x:f>
        <x:v>15000</x:v>
      </x:c>
      <x:c r="AI1948" s="81" t="n">
        <x:f>IF(AH1948&gt;0,(AE1948+AF1948)/AH1948*365,0)</x:f>
        <x:v>0.004952262635473672</x:v>
      </x:c>
      <x:c r="AJ1948" s="81" t="n">
        <x:f>IF('Inputs'!$B$49&gt;0,AG1948/('Inputs'!$B$19*'Inputs'!$B$49)*365,0)</x:f>
        <x:v>0.00016955559724472373</x:v>
      </x:c>
      <x:c r="AK1948" s="81" t="n">
        <x:f>W1948/MAX($W$1829:W1948)-1</x:f>
        <x:v>-0.999991109384111</x:v>
      </x:c>
      <x:c r="AL1948" s="83" t="n">
        <x:f>'Inputs'!$B$49</x:f>
        <x:v>1</x:v>
      </x:c>
      <x:c r="AM1948" s="83" t="n">
        <x:f>'Inputs'!$C$49</x:f>
        <x:v>3</x:v>
      </x:c>
      <x:c r="AN1948" s="83" t="n">
        <x:f>'Inputs'!$D$49</x:f>
        <x:v>0.75</x:v>
      </x:c>
      <x:c r="AO1948" s="81" t="n">
        <x:f>'Inputs'!$E$49</x:f>
        <x:v>-0.03</x:v>
      </x:c>
    </x:row>
    <x:row r="1949">
      <x:c r="A1949" s="59" t="str">
        <x:v>Mercenary LP</x:v>
      </x:c>
      <x:c r="B1949" s="59" t="n">
        <x:v>121</x:v>
      </x:c>
      <x:c r="C1949" s="78" t="n">
        <x:f>(('Inputs'!$B$29*(3*121*'Inputs'!$B$12-121^2)/(2*'Inputs'!$B$12^2))-('Inputs'!$B$29*(3*120*'Inputs'!$B$12-120^2)/(2*'Inputs'!$B$12^2)))*'Inputs'!$B$49</x:f>
        <x:v>672810.79939951</x:v>
      </x:c>
      <x:c r="D1949" s="78" t="n">
        <x:f>IF('Inputs'!$C$49&gt;0,('Inputs'!$B$30*(3*121*'Inputs'!$B$12-121^2)/(2*'Inputs'!$B$12^2))-('Inputs'!$B$30*(3*120*'Inputs'!$B$12-120^2)/(2*'Inputs'!$B$12^2)),0)</x:f>
        <x:v>288347.48545693606</x:v>
      </x:c>
      <x:c r="E1949" s="78" t="n">
        <x:f>C1949+D1949</x:f>
        <x:v>961158.2848564461</x:v>
      </x:c>
      <x:c r="F1949" s="78" t="n">
        <x:f>'Inputs'!$B$13*E1949+(1-'Inputs'!$B$13)/'Inputs'!$B$14*SUM(E1894:E1949)</x:f>
        <x:v>971375.9617188966</x:v>
      </x:c>
      <x:c r="G1949" s="78" t="n">
        <x:f>F1949*'Inputs'!$F$49</x:f>
        <x:v>874238.365547007</x:v>
      </x:c>
      <x:c r="H1949" s="78" t="n">
        <x:f>U1948</x:f>
        <x:v>4140268069.4658675</x:v>
      </x:c>
      <x:c r="I1949" s="78" t="n">
        <x:f>V1948</x:f>
        <x:v>28.572284765659912</x:v>
      </x:c>
      <x:c r="J1949" s="79" t="n">
        <x:f>IF(H1949&gt;0,I1949/H1949,0)</x:f>
        <x:v>6.901071207533187e-9</x:v>
      </x:c>
      <x:c r="K1949" s="80" t="n">
        <x:f>(H1949*J1949+I1949)*'Inputs'!$D$49*(1+'Inputs'!$G$49)^(B1949/30)</x:f>
        <x:v>42.85842714848987</x:v>
      </x:c>
      <x:c r="L1949" s="80" t="n">
        <x:f>MAX(0,K1949*'Inputs'!$E$49)</x:f>
        <x:v>0</x:v>
      </x:c>
      <x:c r="M1949" s="80" t="n">
        <x:f>MAX(0,-K1949*'Inputs'!$E$49)</x:f>
        <x:v>1.285752814454696</x:v>
      </x:c>
      <x:c r="N1949" s="78" t="n">
        <x:f>H1949*(L1949*(1-'Inputs'!$B$15))/(I1949+L1949*(1-'Inputs'!$B$15))</x:f>
        <x:v>0</x:v>
      </x:c>
      <x:c r="O1949" s="78" t="n">
        <x:f>H1949-N1949</x:f>
        <x:v>4140268069.4658675</x:v>
      </x:c>
      <x:c r="P1949" s="78" t="n">
        <x:f>I1949+L1949*(1-'Inputs'!$B$17)</x:f>
        <x:v>28.572284765659912</x:v>
      </x:c>
      <x:c r="Q1949" s="78" t="n">
        <x:f>IF(J1949&gt;0,M1949/J1949,0)</x:f>
        <x:v>186312063.12596402</x:v>
      </x:c>
      <x:c r="R1949" s="78" t="n">
        <x:f>IF(B1949='Inputs'!$H$49,'Inputs'!$B$27*'Inputs'!$I$49,0)</x:f>
        <x:v>0</x:v>
      </x:c>
      <x:c r="S1949" s="78" t="n">
        <x:f>Q1949+G1949+R1949</x:f>
        <x:v>187186301.49151102</x:v>
      </x:c>
      <x:c r="T1949" s="78" t="n">
        <x:f>P1949*(S1949*(1-'Inputs'!$B$15))/(O1949+S1949*(1-'Inputs'!$B$15))</x:f>
        <x:v>1.2240795078164513</x:v>
      </x:c>
      <x:c r="U1949" s="78" t="n">
        <x:f>O1949+S1949*(1-'Inputs'!$B$17)</x:f>
        <x:v>4326701106.162644</x:v>
      </x:c>
      <x:c r="V1949" s="78" t="n">
        <x:f>P1949-T1949</x:f>
        <x:v>27.34820525784346</x:v>
      </x:c>
      <x:c r="W1949" s="79" t="n">
        <x:f>IF(U1949&gt;0,V1949/U1949,0)</x:f>
        <x:v>6.3207983604161215e-9</x:v>
      </x:c>
      <x:c r="X1949" s="80" t="n">
        <x:f>W1949*('Inputs'!$B$6-AC1949)</x:f>
        <x:v>4.465325610046245</x:v>
      </x:c>
      <x:c r="Y1949" s="80" t="n">
        <x:f>2*V1949</x:f>
        <x:v>54.69641051568692</x:v>
      </x:c>
      <x:c r="Z1949" s="80" t="n">
        <x:f>K1949*'Inputs'!$B$16+(G1949+R1949)*J1949*'Inputs'!$B$16</x:f>
        <x:v>0.25718676197821716</x:v>
      </x:c>
      <x:c r="AA1949" s="80" t="n">
        <x:f>K1949*(1+'Inputs'!$E$49)/2*'Inputs'!$B$17</x:f>
        <x:v>0.08364723206043295</x:v>
      </x:c>
      <x:c r="AB1949" s="78" t="n">
        <x:f>(IF(J1949&gt;0,K1949*(1-'Inputs'!$E$49)/2/J1949,0)+G1949+R1949)*'Inputs'!$B$17</x:f>
        <x:v>12874170.309971549</x:v>
      </x:c>
      <x:c r="AC1949" s="78" t="n">
        <x:f>AC1948+AB1949</x:f>
        <x:v>293550378.3809557</x:v>
      </x:c>
      <x:c r="AD1949" s="80" t="n">
        <x:f>Z1949/(1+'Inputs'!$C$49)</x:f>
        <x:v>0.06429669049455429</x:v>
      </x:c>
      <x:c r="AE1949" s="80" t="n">
        <x:f>Z1949-AD1949</x:f>
        <x:v>0.19289007148366288</x:v>
      </x:c>
      <x:c r="AF1949" s="80" t="n">
        <x:f>D1949*W1949</x:f>
        <x:v>0.001822586313306313</x:v>
      </x:c>
      <x:c r="AG1949" s="80" t="n">
        <x:f>C1949*W1949</x:f>
        <x:v>0.0042527013977146835</x:v>
      </x:c>
      <x:c r="AH1949" s="80" t="n">
        <x:f>2*'Inputs'!$B$8*'Inputs'!$C$49</x:f>
        <x:v>15000</x:v>
      </x:c>
      <x:c r="AI1949" s="81" t="n">
        <x:f>IF(AH1949&gt;0,(AE1949+AF1949)/AH1949*365,0)</x:f>
        <x:v>0.004738008006392918</x:v>
      </x:c>
      <x:c r="AJ1949" s="81" t="n">
        <x:f>IF('Inputs'!$B$49&gt;0,AG1949/('Inputs'!$B$19*'Inputs'!$B$49)*365,0)</x:f>
        <x:v>0.00015522360101658596</x:v>
      </x:c>
      <x:c r="AK1949" s="81" t="n">
        <x:f>W1949/MAX($W$1829:W1949)-1</x:f>
        <x:v>-0.9999918569467486</x:v>
      </x:c>
      <x:c r="AL1949" s="83" t="n">
        <x:f>'Inputs'!$B$49</x:f>
        <x:v>1</x:v>
      </x:c>
      <x:c r="AM1949" s="83" t="n">
        <x:f>'Inputs'!$C$49</x:f>
        <x:v>3</x:v>
      </x:c>
      <x:c r="AN1949" s="83" t="n">
        <x:f>'Inputs'!$D$49</x:f>
        <x:v>0.75</x:v>
      </x:c>
      <x:c r="AO1949" s="81" t="n">
        <x:f>'Inputs'!$E$49</x:f>
        <x:v>-0.03</x:v>
      </x:c>
    </x:row>
    <x:row r="1950">
      <x:c r="A1950" s="59" t="str">
        <x:v>Mercenary LP</x:v>
      </x:c>
      <x:c r="B1950" s="59" t="n">
        <x:v>122</x:v>
      </x:c>
      <x:c r="C1950" s="78" t="n">
        <x:f>(('Inputs'!$B$29*(3*122*'Inputs'!$B$12-122^2)/(2*'Inputs'!$B$12^2))-('Inputs'!$B$29*(3*121*'Inputs'!$B$12-121^2)/(2*'Inputs'!$B$12^2)))*'Inputs'!$B$49</x:f>
        <x:v>672485.6914993525</x:v>
      </x:c>
      <x:c r="D1950" s="78" t="n">
        <x:f>IF('Inputs'!$C$49&gt;0,('Inputs'!$B$30*(3*122*'Inputs'!$B$12-122^2)/(2*'Inputs'!$B$12^2))-('Inputs'!$B$30*(3*121*'Inputs'!$B$12-121^2)/(2*'Inputs'!$B$12^2)),0)</x:f>
        <x:v>288208.15349971503</x:v>
      </x:c>
      <x:c r="E1950" s="78" t="n">
        <x:f>C1950+D1950</x:f>
        <x:v>960693.8449990675</x:v>
      </x:c>
      <x:c r="F1950" s="78" t="n">
        <x:f>'Inputs'!$B$13*E1950+(1-'Inputs'!$B$13)/'Inputs'!$B$14*SUM(E1895:E1950)</x:f>
        <x:v>970911.5218615136</x:v>
      </x:c>
      <x:c r="G1950" s="78" t="n">
        <x:f>F1950*'Inputs'!$F$49</x:f>
        <x:v>873820.3696753622</x:v>
      </x:c>
      <x:c r="H1950" s="78" t="n">
        <x:f>U1949</x:f>
        <x:v>4326701106.162644</x:v>
      </x:c>
      <x:c r="I1950" s="78" t="n">
        <x:f>V1949</x:f>
        <x:v>27.34820525784346</x:v>
      </x:c>
      <x:c r="J1950" s="79" t="n">
        <x:f>IF(H1950&gt;0,I1950/H1950,0)</x:f>
        <x:v>6.3207983604161215e-9</x:v>
      </x:c>
      <x:c r="K1950" s="80" t="n">
        <x:f>(H1950*J1950+I1950)*'Inputs'!$D$49*(1+'Inputs'!$G$49)^(B1950/30)</x:f>
        <x:v>41.02230788676519</x:v>
      </x:c>
      <x:c r="L1950" s="80" t="n">
        <x:f>MAX(0,K1950*'Inputs'!$E$49)</x:f>
        <x:v>0</x:v>
      </x:c>
      <x:c r="M1950" s="80" t="n">
        <x:f>MAX(0,-K1950*'Inputs'!$E$49)</x:f>
        <x:v>1.2306692366029557</x:v>
      </x:c>
      <x:c r="N1950" s="78" t="n">
        <x:f>H1950*(L1950*(1-'Inputs'!$B$15))/(I1950+L1950*(1-'Inputs'!$B$15))</x:f>
        <x:v>0</x:v>
      </x:c>
      <x:c r="O1950" s="78" t="n">
        <x:f>H1950-N1950</x:f>
        <x:v>4326701106.162644</x:v>
      </x:c>
      <x:c r="P1950" s="78" t="n">
        <x:f>I1950+L1950*(1-'Inputs'!$B$17)</x:f>
        <x:v>27.34820525784346</x:v>
      </x:c>
      <x:c r="Q1950" s="78" t="n">
        <x:f>IF(J1950&gt;0,M1950/J1950,0)</x:f>
        <x:v>194701549.77731898</x:v>
      </x:c>
      <x:c r="R1950" s="78" t="n">
        <x:f>IF(B1950='Inputs'!$H$49,'Inputs'!$B$27*'Inputs'!$I$49,0)</x:f>
        <x:v>0</x:v>
      </x:c>
      <x:c r="S1950" s="78" t="n">
        <x:f>Q1950+G1950+R1950</x:f>
        <x:v>195575370.14699435</x:v>
      </x:c>
      <x:c r="T1950" s="78" t="n">
        <x:f>P1950*(S1950*(1-'Inputs'!$B$15))/(O1950+S1950*(1-'Inputs'!$B$15))</x:f>
        <x:v>1.1714100254023325</x:v>
      </x:c>
      <x:c r="U1950" s="78" t="n">
        <x:f>O1950+S1950*(1-'Inputs'!$B$17)</x:f>
        <x:v>4521489452.687317</x:v>
      </x:c>
      <x:c r="V1950" s="78" t="n">
        <x:f>P1950-T1950</x:f>
        <x:v>26.17679523244113</x:v>
      </x:c>
      <x:c r="W1950" s="79" t="n">
        <x:f>IF(U1950&gt;0,V1950/U1950,0)</x:f>
        <x:v>5.789418621088042e-9</x:v>
      </x:c>
      <x:c r="X1950" s="80" t="n">
        <x:f>W1950*('Inputs'!$B$6-AC1950)</x:f>
        <x:v>4.012043353759834</x:v>
      </x:c>
      <x:c r="Y1950" s="80" t="n">
        <x:f>2*V1950</x:f>
        <x:v>52.35359046488226</x:v>
      </x:c>
      <x:c r="Z1950" s="80" t="n">
        <x:f>K1950*'Inputs'!$B$16+(G1950+R1950)*J1950*'Inputs'!$B$16</x:f>
        <x:v>0.2461669867747508</x:v>
      </x:c>
      <x:c r="AA1950" s="80" t="n">
        <x:f>K1950*(1+'Inputs'!$E$49)/2*'Inputs'!$B$17</x:f>
        <x:v>0.08006365925585963</x:v>
      </x:c>
      <x:c r="AB1950" s="78" t="n">
        <x:f>(IF(J1950&gt;0,K1950*(1-'Inputs'!$E$49)/2/J1950,0)+G1950+R1950)*'Inputs'!$B$17</x:f>
        <x:v>13453724.043783976</x:v>
      </x:c>
      <x:c r="AC1950" s="78" t="n">
        <x:f>AC1949+AB1950</x:f>
        <x:v>307004102.42473966</x:v>
      </x:c>
      <x:c r="AD1950" s="80" t="n">
        <x:f>Z1950/(1+'Inputs'!$C$49)</x:f>
        <x:v>0.0615417466936877</x:v>
      </x:c>
      <x:c r="AE1950" s="80" t="n">
        <x:f>Z1950-AD1950</x:f>
        <x:v>0.1846252400810631</x:v>
      </x:c>
      <x:c r="AF1950" s="80" t="n">
        <x:f>D1950*W1950</x:f>
        <x:v>0.0016685576506206509</x:v>
      </x:c>
      <x:c r="AG1950" s="80" t="n">
        <x:f>C1950*W1950</x:f>
        <x:v>0.0038933011847816193</x:v>
      </x:c>
      <x:c r="AH1950" s="80" t="n">
        <x:f>2*'Inputs'!$B$8*'Inputs'!$C$49</x:f>
        <x:v>15000</x:v>
      </x:c>
      <x:c r="AI1950" s="81" t="n">
        <x:f>IF(AH1950&gt;0,(AE1950+AF1950)/AH1950*365,0)</x:f>
        <x:v>0.004533149078137638</x:v>
      </x:c>
      <x:c r="AJ1950" s="81" t="n">
        <x:f>IF('Inputs'!$B$49&gt;0,AG1950/('Inputs'!$B$19*'Inputs'!$B$49)*365,0)</x:f>
        <x:v>0.0001421054932445291</x:v>
      </x:c>
      <x:c r="AK1950" s="81" t="n">
        <x:f>W1950/MAX($W$1829:W1950)-1</x:f>
        <x:v>-0.9999925415206374</x:v>
      </x:c>
      <x:c r="AL1950" s="83" t="n">
        <x:f>'Inputs'!$B$49</x:f>
        <x:v>1</x:v>
      </x:c>
      <x:c r="AM1950" s="83" t="n">
        <x:f>'Inputs'!$C$49</x:f>
        <x:v>3</x:v>
      </x:c>
      <x:c r="AN1950" s="83" t="n">
        <x:f>'Inputs'!$D$49</x:f>
        <x:v>0.75</x:v>
      </x:c>
      <x:c r="AO1950" s="81" t="n">
        <x:f>'Inputs'!$E$49</x:f>
        <x:v>-0.03</x:v>
      </x:c>
    </x:row>
    <x:row r="1951">
      <x:c r="A1951" s="59" t="str">
        <x:v>Mercenary LP</x:v>
      </x:c>
      <x:c r="B1951" s="59" t="n">
        <x:v>123</x:v>
      </x:c>
      <x:c r="C1951" s="78" t="n">
        <x:f>(('Inputs'!$B$29*(3*123*'Inputs'!$B$12-123^2)/(2*'Inputs'!$B$12^2))-('Inputs'!$B$29*(3*122*'Inputs'!$B$12-122^2)/(2*'Inputs'!$B$12^2)))*'Inputs'!$B$49</x:f>
        <x:v>672160.5835991651</x:v>
      </x:c>
      <x:c r="D1951" s="78" t="n">
        <x:f>IF('Inputs'!$C$49&gt;0,('Inputs'!$B$30*(3*123*'Inputs'!$B$12-123^2)/(2*'Inputs'!$B$12^2))-('Inputs'!$B$30*(3*122*'Inputs'!$B$12-122^2)/(2*'Inputs'!$B$12^2)),0)</x:f>
        <x:v>288068.8215425089</x:v>
      </x:c>
      <x:c r="E1951" s="78" t="n">
        <x:f>C1951+D1951</x:f>
        <x:v>960229.405141674</x:v>
      </x:c>
      <x:c r="F1951" s="78" t="n">
        <x:f>'Inputs'!$B$13*E1951+(1-'Inputs'!$B$13)/'Inputs'!$B$14*SUM(E1896:E1951)</x:f>
        <x:v>970447.0820041276</x:v>
      </x:c>
      <x:c r="G1951" s="78" t="n">
        <x:f>F1951*'Inputs'!$F$49</x:f>
        <x:v>873402.3738037149</x:v>
      </x:c>
      <x:c r="H1951" s="78" t="n">
        <x:f>U1950</x:f>
        <x:v>4521489452.687317</x:v>
      </x:c>
      <x:c r="I1951" s="78" t="n">
        <x:f>V1950</x:f>
        <x:v>26.17679523244113</x:v>
      </x:c>
      <x:c r="J1951" s="79" t="n">
        <x:f>IF(H1951&gt;0,I1951/H1951,0)</x:f>
        <x:v>5.789418621088042e-9</x:v>
      </x:c>
      <x:c r="K1951" s="80" t="n">
        <x:f>(H1951*J1951+I1951)*'Inputs'!$D$49*(1+'Inputs'!$G$49)^(B1951/30)</x:f>
        <x:v>39.2651928486617</x:v>
      </x:c>
      <x:c r="L1951" s="80" t="n">
        <x:f>MAX(0,K1951*'Inputs'!$E$49)</x:f>
        <x:v>0</x:v>
      </x:c>
      <x:c r="M1951" s="80" t="n">
        <x:f>MAX(0,-K1951*'Inputs'!$E$49)</x:f>
        <x:v>1.1779557854598508</x:v>
      </x:c>
      <x:c r="N1951" s="78" t="n">
        <x:f>H1951*(L1951*(1-'Inputs'!$B$15))/(I1951+L1951*(1-'Inputs'!$B$15))</x:f>
        <x:v>0</x:v>
      </x:c>
      <x:c r="O1951" s="78" t="n">
        <x:f>H1951-N1951</x:f>
        <x:v>4521489452.687317</x:v>
      </x:c>
      <x:c r="P1951" s="78" t="n">
        <x:f>I1951+L1951*(1-'Inputs'!$B$17)</x:f>
        <x:v>26.17679523244113</x:v>
      </x:c>
      <x:c r="Q1951" s="78" t="n">
        <x:f>IF(J1951&gt;0,M1951/J1951,0)</x:f>
        <x:v>203467025.37092924</x:v>
      </x:c>
      <x:c r="R1951" s="78" t="n">
        <x:f>IF(B1951='Inputs'!$H$49,'Inputs'!$B$27*'Inputs'!$I$49,0)</x:f>
        <x:v>0</x:v>
      </x:c>
      <x:c r="S1951" s="78" t="n">
        <x:f>Q1951+G1951+R1951</x:f>
        <x:v>204340427.74473295</x:v>
      </x:c>
      <x:c r="T1951" s="78" t="n">
        <x:f>P1951*(S1951*(1-'Inputs'!$B$15))/(O1951+S1951*(1-'Inputs'!$B$15))</x:f>
        <x:v>1.1210260637661729</x:v>
      </x:c>
      <x:c r="U1951" s="78" t="n">
        <x:f>O1951+S1951*(1-'Inputs'!$B$17)</x:f>
        <x:v>4725007584.948168</x:v>
      </x:c>
      <x:c r="V1951" s="78" t="n">
        <x:f>P1951-T1951</x:f>
        <x:v>25.055769168674956</x:v>
      </x:c>
      <x:c r="W1951" s="79" t="n">
        <x:f>IF(U1951&gt;0,V1951/U1951,0)</x:f>
        <x:v>5.302799777188043e-9</x:v>
      </x:c>
      <x:c r="X1951" s="80" t="n">
        <x:f>W1951*('Inputs'!$B$6-AC1951)</x:f>
        <x:v>3.6002650953870523</x:v>
      </x:c>
      <x:c r="Y1951" s="80" t="n">
        <x:f>2*V1951</x:f>
        <x:v>50.11153833734991</x:v>
      </x:c>
      <x:c r="Z1951" s="80" t="n">
        <x:f>K1951*'Inputs'!$B$16+(G1951+R1951)*J1951*'Inputs'!$B$16</x:f>
        <x:v>0.2356214960437698</x:v>
      </x:c>
      <x:c r="AA1951" s="80" t="n">
        <x:f>K1951*(1+'Inputs'!$E$49)/2*'Inputs'!$B$17</x:f>
        <x:v>0.07663427980523511</x:v>
      </x:c>
      <x:c r="AB1951" s="78" t="n">
        <x:f>(IF(J1951&gt;0,K1951*(1-'Inputs'!$E$49)/2/J1951,0)+G1951+R1951)*'Inputs'!$B$17</x:f>
        <x:v>14059251.527463809</x:v>
      </x:c>
      <x:c r="AC1951" s="78" t="n">
        <x:f>AC1950+AB1951</x:f>
        <x:v>321063353.95220345</x:v>
      </x:c>
      <x:c r="AD1951" s="80" t="n">
        <x:f>Z1951/(1+'Inputs'!$C$49)</x:f>
        <x:v>0.05890537401094245</x:v>
      </x:c>
      <x:c r="AE1951" s="80" t="n">
        <x:f>Z1951-AD1951</x:f>
        <x:v>0.17671612203282736</x:v>
      </x:c>
      <x:c r="AF1951" s="80" t="n">
        <x:f>D1951*W1951</x:f>
        <x:v>0.0015275712826904383</x:v>
      </x:c>
      <x:c r="AG1951" s="80" t="n">
        <x:f>C1951*W1951</x:f>
        <x:v>0.0035643329929442376</x:v>
      </x:c>
      <x:c r="AH1951" s="80" t="n">
        <x:f>2*'Inputs'!$B$8*'Inputs'!$C$49</x:f>
        <x:v>15000</x:v>
      </x:c>
      <x:c r="AI1951" s="81" t="n">
        <x:f>IF(AH1951&gt;0,(AE1951+AF1951)/AH1951*365,0)</x:f>
        <x:v>0.004337263204010933</x:v>
      </x:c>
      <x:c r="AJ1951" s="81" t="n">
        <x:f>IF('Inputs'!$B$49&gt;0,AG1951/('Inputs'!$B$19*'Inputs'!$B$49)*365,0)</x:f>
        <x:v>0.00013009815424246468</x:v>
      </x:c>
      <x:c r="AK1951" s="81" t="n">
        <x:f>W1951/MAX($W$1829:W1951)-1</x:f>
        <x:v>-0.9999931684292862</x:v>
      </x:c>
      <x:c r="AL1951" s="83" t="n">
        <x:f>'Inputs'!$B$49</x:f>
        <x:v>1</x:v>
      </x:c>
      <x:c r="AM1951" s="83" t="n">
        <x:f>'Inputs'!$C$49</x:f>
        <x:v>3</x:v>
      </x:c>
      <x:c r="AN1951" s="83" t="n">
        <x:f>'Inputs'!$D$49</x:f>
        <x:v>0.75</x:v>
      </x:c>
      <x:c r="AO1951" s="81" t="n">
        <x:f>'Inputs'!$E$49</x:f>
        <x:v>-0.03</x:v>
      </x:c>
    </x:row>
    <x:row r="1952">
      <x:c r="A1952" s="59" t="str">
        <x:v>Mercenary LP</x:v>
      </x:c>
      <x:c r="B1952" s="59" t="n">
        <x:v>124</x:v>
      </x:c>
      <x:c r="C1952" s="78" t="n">
        <x:f>(('Inputs'!$B$29*(3*124*'Inputs'!$B$12-124^2)/(2*'Inputs'!$B$12^2))-('Inputs'!$B$29*(3*123*'Inputs'!$B$12-123^2)/(2*'Inputs'!$B$12^2)))*'Inputs'!$B$49</x:f>
        <x:v>671835.4756990075</x:v>
      </x:c>
      <x:c r="D1952" s="78" t="n">
        <x:f>IF('Inputs'!$C$49&gt;0,('Inputs'!$B$30*(3*124*'Inputs'!$B$12-124^2)/(2*'Inputs'!$B$12^2))-('Inputs'!$B$30*(3*123*'Inputs'!$B$12-123^2)/(2*'Inputs'!$B$12^2)),0)</x:f>
        <x:v>287929.48958528787</x:v>
      </x:c>
      <x:c r="E1952" s="78" t="n">
        <x:f>C1952+D1952</x:f>
        <x:v>959764.9652842954</x:v>
      </x:c>
      <x:c r="F1952" s="78" t="n">
        <x:f>'Inputs'!$B$13*E1952+(1-'Inputs'!$B$13)/'Inputs'!$B$14*SUM(E1897:E1952)</x:f>
        <x:v>969982.6421467445</x:v>
      </x:c>
      <x:c r="G1952" s="78" t="n">
        <x:f>F1952*'Inputs'!$F$49</x:f>
        <x:v>872984.37793207</x:v>
      </x:c>
      <x:c r="H1952" s="78" t="n">
        <x:f>U1951</x:f>
        <x:v>4725007584.948168</x:v>
      </x:c>
      <x:c r="I1952" s="78" t="n">
        <x:f>V1951</x:f>
        <x:v>25.055769168674956</x:v>
      </x:c>
      <x:c r="J1952" s="79" t="n">
        <x:f>IF(H1952&gt;0,I1952/H1952,0)</x:f>
        <x:v>5.302799777188043e-9</x:v>
      </x:c>
      <x:c r="K1952" s="80" t="n">
        <x:f>(H1952*J1952+I1952)*'Inputs'!$D$49*(1+'Inputs'!$G$49)^(B1952/30)</x:f>
        <x:v>37.583653753012435</x:v>
      </x:c>
      <x:c r="L1952" s="80" t="n">
        <x:f>MAX(0,K1952*'Inputs'!$E$49)</x:f>
        <x:v>0</x:v>
      </x:c>
      <x:c r="M1952" s="80" t="n">
        <x:f>MAX(0,-K1952*'Inputs'!$E$49)</x:f>
        <x:v>1.127509612590373</x:v>
      </x:c>
      <x:c r="N1952" s="78" t="n">
        <x:f>H1952*(L1952*(1-'Inputs'!$B$15))/(I1952+L1952*(1-'Inputs'!$B$15))</x:f>
        <x:v>0</x:v>
      </x:c>
      <x:c r="O1952" s="78" t="n">
        <x:f>H1952-N1952</x:f>
        <x:v>4725007584.948168</x:v>
      </x:c>
      <x:c r="P1952" s="78" t="n">
        <x:f>I1952+L1952*(1-'Inputs'!$B$17)</x:f>
        <x:v>25.055769168674956</x:v>
      </x:c>
      <x:c r="Q1952" s="78" t="n">
        <x:f>IF(J1952&gt;0,M1952/J1952,0)</x:f>
        <x:v>212625341.32266754</x:v>
      </x:c>
      <x:c r="R1952" s="78" t="n">
        <x:f>IF(B1952='Inputs'!$H$49,'Inputs'!$B$27*'Inputs'!$I$49,0)</x:f>
        <x:v>0</x:v>
      </x:c>
      <x:c r="S1952" s="78" t="n">
        <x:f>Q1952+G1952+R1952</x:f>
        <x:v>213498325.7005996</x:v>
      </x:c>
      <x:c r="T1952" s="78" t="n">
        <x:f>P1952*(S1952*(1-'Inputs'!$B$15))/(O1952+S1952*(1-'Inputs'!$B$15))</x:f>
        <x:v>1.0728268189085353</x:v>
      </x:c>
      <x:c r="U1952" s="78" t="n">
        <x:f>O1952+S1952*(1-'Inputs'!$B$17)</x:f>
        <x:v>4937646762.456813</x:v>
      </x:c>
      <x:c r="V1952" s="78" t="n">
        <x:f>P1952-T1952</x:f>
        <x:v>23.98294234976642</x:v>
      </x:c>
      <x:c r="W1952" s="79" t="n">
        <x:f>IF(U1952&gt;0,V1952/U1952,0)</x:f>
        <x:v>4.8571604052601945e-9</x:v>
      </x:c>
      <x:c r="X1952" s="80" t="n">
        <x:f>W1952*('Inputs'!$B$6-AC1952)</x:f>
        <x:v>3.2263431979347725</x:v>
      </x:c>
      <x:c r="Y1952" s="80" t="n">
        <x:f>2*V1952</x:f>
        <x:v>47.96588469953284</x:v>
      </x:c>
      <x:c r="Z1952" s="80" t="n">
        <x:f>K1952*'Inputs'!$B$16+(G1952+R1952)*J1952*'Inputs'!$B$16</x:f>
        <x:v>0.22552969808626333</x:v>
      </x:c>
      <x:c r="AA1952" s="80" t="n">
        <x:f>K1952*(1+'Inputs'!$E$49)/2*'Inputs'!$B$17</x:f>
        <x:v>0.07335240269702628</x:v>
      </x:c>
      <x:c r="AB1952" s="78" t="n">
        <x:f>(IF(J1952&gt;0,K1952*(1-'Inputs'!$E$49)/2/J1952,0)+G1952+R1952)*'Inputs'!$B$17</x:f>
        <x:v>14691916.876259122</x:v>
      </x:c>
      <x:c r="AC1952" s="78" t="n">
        <x:f>AC1951+AB1952</x:f>
        <x:v>335755270.8284626</x:v>
      </x:c>
      <x:c r="AD1952" s="80" t="n">
        <x:f>Z1952/(1+'Inputs'!$C$49)</x:f>
        <x:v>0.05638242452156583</x:v>
      </x:c>
      <x:c r="AE1952" s="80" t="n">
        <x:f>Z1952-AD1952</x:f>
        <x:v>0.1691472735646975</x:v>
      </x:c>
      <x:c r="AF1952" s="80" t="n">
        <x:f>D1952*W1952</x:f>
        <x:v>0.0013985197163204378</x:v>
      </x:c>
      <x:c r="AG1952" s="80" t="n">
        <x:f>C1952*W1952</x:f>
        <x:v>0.003263212671414367</x:v>
      </x:c>
      <x:c r="AH1952" s="80" t="n">
        <x:f>2*'Inputs'!$B$8*'Inputs'!$C$49</x:f>
        <x:v>15000</x:v>
      </x:c>
      <x:c r="AI1952" s="81" t="n">
        <x:f>IF(AH1952&gt;0,(AE1952+AF1952)/AH1952*365,0)</x:f>
        <x:v>0.00414994763650477</x:v>
      </x:c>
      <x:c r="AJ1952" s="81" t="n">
        <x:f>IF('Inputs'!$B$49&gt;0,AG1952/('Inputs'!$B$19*'Inputs'!$B$49)*365,0)</x:f>
        <x:v>0.00011910726250662439</x:v>
      </x:c>
      <x:c r="AK1952" s="81" t="n">
        <x:f>W1952/MAX($W$1829:W1952)-1</x:f>
        <x:v>-0.9999937425442839</x:v>
      </x:c>
      <x:c r="AL1952" s="83" t="n">
        <x:f>'Inputs'!$B$49</x:f>
        <x:v>1</x:v>
      </x:c>
      <x:c r="AM1952" s="83" t="n">
        <x:f>'Inputs'!$C$49</x:f>
        <x:v>3</x:v>
      </x:c>
      <x:c r="AN1952" s="83" t="n">
        <x:f>'Inputs'!$D$49</x:f>
        <x:v>0.75</x:v>
      </x:c>
      <x:c r="AO1952" s="81" t="n">
        <x:f>'Inputs'!$E$49</x:f>
        <x:v>-0.03</x:v>
      </x:c>
    </x:row>
    <x:row r="1953">
      <x:c r="A1953" s="59" t="str">
        <x:v>Mercenary LP</x:v>
      </x:c>
      <x:c r="B1953" s="59" t="n">
        <x:v>125</x:v>
      </x:c>
      <x:c r="C1953" s="78" t="n">
        <x:f>(('Inputs'!$B$29*(3*125*'Inputs'!$B$12-125^2)/(2*'Inputs'!$B$12^2))-('Inputs'!$B$29*(3*124*'Inputs'!$B$12-124^2)/(2*'Inputs'!$B$12^2)))*'Inputs'!$B$49</x:f>
        <x:v>671510.367798835</x:v>
      </x:c>
      <x:c r="D1953" s="78" t="n">
        <x:f>IF('Inputs'!$C$49&gt;0,('Inputs'!$B$30*(3*125*'Inputs'!$B$12-125^2)/(2*'Inputs'!$B$12^2))-('Inputs'!$B$30*(3*124*'Inputs'!$B$12-124^2)/(2*'Inputs'!$B$12^2)),0)</x:f>
        <x:v>287790.1576280743</x:v>
      </x:c>
      <x:c r="E1953" s="78" t="n">
        <x:f>C1953+D1953</x:f>
        <x:v>959300.5254269093</x:v>
      </x:c>
      <x:c r="F1953" s="78" t="n">
        <x:f>'Inputs'!$B$13*E1953+(1-'Inputs'!$B$13)/'Inputs'!$B$14*SUM(E1898:E1953)</x:f>
        <x:v>969518.2022893602</x:v>
      </x:c>
      <x:c r="G1953" s="78" t="n">
        <x:f>F1953*'Inputs'!$F$49</x:f>
        <x:v>872566.3820604242</x:v>
      </x:c>
      <x:c r="H1953" s="78" t="n">
        <x:f>U1952</x:f>
        <x:v>4937646762.456813</x:v>
      </x:c>
      <x:c r="I1953" s="78" t="n">
        <x:f>V1952</x:f>
        <x:v>23.98294234976642</x:v>
      </x:c>
      <x:c r="J1953" s="79" t="n">
        <x:f>IF(H1953&gt;0,I1953/H1953,0)</x:f>
        <x:v>4.8571604052601945e-9</x:v>
      </x:c>
      <x:c r="K1953" s="80" t="n">
        <x:f>(H1953*J1953+I1953)*'Inputs'!$D$49*(1+'Inputs'!$G$49)^(B1953/30)</x:f>
        <x:v>35.974413524649634</x:v>
      </x:c>
      <x:c r="L1953" s="80" t="n">
        <x:f>MAX(0,K1953*'Inputs'!$E$49)</x:f>
        <x:v>0</x:v>
      </x:c>
      <x:c r="M1953" s="80" t="n">
        <x:f>MAX(0,-K1953*'Inputs'!$E$49)</x:f>
        <x:v>1.079232405739489</x:v>
      </x:c>
      <x:c r="N1953" s="78" t="n">
        <x:f>H1953*(L1953*(1-'Inputs'!$B$15))/(I1953+L1953*(1-'Inputs'!$B$15))</x:f>
        <x:v>0</x:v>
      </x:c>
      <x:c r="O1953" s="78" t="n">
        <x:f>H1953-N1953</x:f>
        <x:v>4937646762.456813</x:v>
      </x:c>
      <x:c r="P1953" s="78" t="n">
        <x:f>I1953+L1953*(1-'Inputs'!$B$17)</x:f>
        <x:v>23.98294234976642</x:v>
      </x:c>
      <x:c r="Q1953" s="78" t="n">
        <x:f>IF(J1953&gt;0,M1953/J1953,0)</x:f>
        <x:v>222194104.31055662</x:v>
      </x:c>
      <x:c r="R1953" s="78" t="n">
        <x:f>IF(B1953='Inputs'!$H$49,'Inputs'!$B$27*'Inputs'!$I$49,0)</x:f>
        <x:v>0</x:v>
      </x:c>
      <x:c r="S1953" s="78" t="n">
        <x:f>Q1953+G1953+R1953</x:f>
        <x:v>223066670.69261706</x:v>
      </x:c>
      <x:c r="T1953" s="78" t="n">
        <x:f>P1953*(S1953*(1-'Inputs'!$B$15))/(O1953+S1953*(1-'Inputs'!$B$15))</x:f>
        <x:v>1.0267160698482185</x:v>
      </x:c>
      <x:c r="U1953" s="78" t="n">
        <x:f>O1953+S1953*(1-'Inputs'!$B$17)</x:f>
        <x:v>5159815780.551069</x:v>
      </x:c>
      <x:c r="V1953" s="78" t="n">
        <x:f>P1953-T1953</x:f>
        <x:v>22.9562262799182</x:v>
      </x:c>
      <x:c r="W1953" s="79" t="n">
        <x:f>IF(U1953&gt;0,V1953/U1953,0)</x:f>
        <x:v>4.449039899146646e-9</x:v>
      </x:c>
      <x:c r="X1953" s="80" t="n">
        <x:f>W1953*('Inputs'!$B$6-AC1953)</x:f>
        <x:v>2.8869454763592435</x:v>
      </x:c>
      <x:c r="Y1953" s="80" t="n">
        <x:f>2*V1953</x:f>
        <x:v>45.9124525598364</x:v>
      </x:c>
      <x:c r="Z1953" s="80" t="n">
        <x:f>K1953*'Inputs'!$B$16+(G1953+R1953)*J1953*'Inputs'!$B$16</x:f>
        <x:v>0.21587191031718925</x:v>
      </x:c>
      <x:c r="AA1953" s="80" t="n">
        <x:f>K1953*(1+'Inputs'!$E$49)/2*'Inputs'!$B$17</x:f>
        <x:v>0.0702116320300003</x:v>
      </x:c>
      <x:c r="AB1953" s="78" t="n">
        <x:f>(IF(J1953&gt;0,K1953*(1-'Inputs'!$E$49)/2/J1953,0)+G1953+R1953)*'Inputs'!$B$17</x:f>
        <x:v>15352936.37979859</x:v>
      </x:c>
      <x:c r="AC1953" s="78" t="n">
        <x:f>AC1952+AB1953</x:f>
        <x:v>351108207.2082612</x:v>
      </x:c>
      <x:c r="AD1953" s="80" t="n">
        <x:f>Z1953/(1+'Inputs'!$C$49)</x:f>
        <x:v>0.05396797757929731</x:v>
      </x:c>
      <x:c r="AE1953" s="80" t="n">
        <x:f>Z1953-AD1953</x:f>
        <x:v>0.16190393273789194</x:v>
      </x:c>
      <x:c r="AF1953" s="80" t="n">
        <x:f>D1953*W1953</x:f>
        <x:v>0.001280389893869005</x:v>
      </x:c>
      <x:c r="AG1953" s="80" t="n">
        <x:f>C1953*W1953</x:f>
        <x:v>0.002987576419027656</x:v>
      </x:c>
      <x:c r="AH1953" s="80" t="n">
        <x:f>2*'Inputs'!$B$8*'Inputs'!$C$49</x:f>
        <x:v>15000</x:v>
      </x:c>
      <x:c r="AI1953" s="81" t="n">
        <x:f>IF(AH1953&gt;0,(AE1953+AF1953)/AH1953*365,0)</x:f>
        <x:v>0.0039708185173728495</x:v>
      </x:c>
      <x:c r="AJ1953" s="81" t="n">
        <x:f>IF('Inputs'!$B$49&gt;0,AG1953/('Inputs'!$B$19*'Inputs'!$B$49)*365,0)</x:f>
        <x:v>0.00010904653929450944</x:v>
      </x:c>
      <x:c r="AK1953" s="81" t="n">
        <x:f>W1953/MAX($W$1829:W1953)-1</x:f>
        <x:v>-0.9999942683239125</x:v>
      </x:c>
      <x:c r="AL1953" s="83" t="n">
        <x:f>'Inputs'!$B$49</x:f>
        <x:v>1</x:v>
      </x:c>
      <x:c r="AM1953" s="83" t="n">
        <x:f>'Inputs'!$C$49</x:f>
        <x:v>3</x:v>
      </x:c>
      <x:c r="AN1953" s="83" t="n">
        <x:f>'Inputs'!$D$49</x:f>
        <x:v>0.75</x:v>
      </x:c>
      <x:c r="AO1953" s="81" t="n">
        <x:f>'Inputs'!$E$49</x:f>
        <x:v>-0.03</x:v>
      </x:c>
    </x:row>
    <x:row r="1954">
      <x:c r="A1954" s="59" t="str">
        <x:v>Mercenary LP</x:v>
      </x:c>
      <x:c r="B1954" s="59" t="n">
        <x:v>126</x:v>
      </x:c>
      <x:c r="C1954" s="78" t="n">
        <x:f>(('Inputs'!$B$29*(3*126*'Inputs'!$B$12-126^2)/(2*'Inputs'!$B$12^2))-('Inputs'!$B$29*(3*125*'Inputs'!$B$12-125^2)/(2*'Inputs'!$B$12^2)))*'Inputs'!$B$49</x:f>
        <x:v>671185.2598986775</x:v>
      </x:c>
      <x:c r="D1954" s="78" t="n">
        <x:f>IF('Inputs'!$C$49&gt;0,('Inputs'!$B$30*(3*126*'Inputs'!$B$12-126^2)/(2*'Inputs'!$B$12^2))-('Inputs'!$B$30*(3*125*'Inputs'!$B$12-125^2)/(2*'Inputs'!$B$12^2)),0)</x:f>
        <x:v>287650.82567085326</x:v>
      </x:c>
      <x:c r="E1954" s="78" t="n">
        <x:f>C1954+D1954</x:f>
        <x:v>958836.0855695307</x:v>
      </x:c>
      <x:c r="F1954" s="78" t="n">
        <x:f>'Inputs'!$B$13*E1954+(1-'Inputs'!$B$13)/'Inputs'!$B$14*SUM(E1899:E1954)</x:f>
        <x:v>969053.7624319772</x:v>
      </x:c>
      <x:c r="G1954" s="78" t="n">
        <x:f>F1954*'Inputs'!$F$49</x:f>
        <x:v>872148.3861887795</x:v>
      </x:c>
      <x:c r="H1954" s="78" t="n">
        <x:f>U1953</x:f>
        <x:v>5159815780.551069</x:v>
      </x:c>
      <x:c r="I1954" s="78" t="n">
        <x:f>V1953</x:f>
        <x:v>22.9562262799182</x:v>
      </x:c>
      <x:c r="J1954" s="79" t="n">
        <x:f>IF(H1954&gt;0,I1954/H1954,0)</x:f>
        <x:v>4.449039899146646e-9</x:v>
      </x:c>
      <x:c r="K1954" s="80" t="n">
        <x:f>(H1954*J1954+I1954)*'Inputs'!$D$49*(1+'Inputs'!$G$49)^(B1954/30)</x:f>
        <x:v>34.434339419877304</x:v>
      </x:c>
      <x:c r="L1954" s="80" t="n">
        <x:f>MAX(0,K1954*'Inputs'!$E$49)</x:f>
        <x:v>0</x:v>
      </x:c>
      <x:c r="M1954" s="80" t="n">
        <x:f>MAX(0,-K1954*'Inputs'!$E$49)</x:f>
        <x:v>1.033030182596319</x:v>
      </x:c>
      <x:c r="N1954" s="78" t="n">
        <x:f>H1954*(L1954*(1-'Inputs'!$B$15))/(I1954+L1954*(1-'Inputs'!$B$15))</x:f>
        <x:v>0</x:v>
      </x:c>
      <x:c r="O1954" s="78" t="n">
        <x:f>H1954-N1954</x:f>
        <x:v>5159815780.551069</x:v>
      </x:c>
      <x:c r="P1954" s="78" t="n">
        <x:f>I1954+L1954*(1-'Inputs'!$B$17)</x:f>
        <x:v>22.9562262799182</x:v>
      </x:c>
      <x:c r="Q1954" s="78" t="n">
        <x:f>IF(J1954&gt;0,M1954/J1954,0)</x:f>
        <x:v>232191710.12479812</x:v>
      </x:c>
      <x:c r="R1954" s="78" t="n">
        <x:f>IF(B1954='Inputs'!$H$49,'Inputs'!$B$27*'Inputs'!$I$49,0)</x:f>
        <x:v>0</x:v>
      </x:c>
      <x:c r="S1954" s="78" t="n">
        <x:f>Q1954+G1954+R1954</x:f>
        <x:v>233063858.5109869</x:v>
      </x:c>
      <x:c r="T1954" s="78" t="n">
        <x:f>P1954*(S1954*(1-'Inputs'!$B$15))/(O1954+S1954*(1-'Inputs'!$B$15))</x:f>
        <x:v>0.9826019588067776</x:v>
      </x:c>
      <x:c r="U1954" s="78" t="n">
        <x:f>O1954+S1954*(1-'Inputs'!$B$17)</x:f>
        <x:v>5391941756.33163</x:v>
      </x:c>
      <x:c r="V1954" s="78" t="n">
        <x:f>P1954-T1954</x:f>
        <x:v>21.973624321111423</x:v>
      </x:c>
      <x:c r="W1954" s="79" t="n">
        <x:f>IF(U1954&gt;0,V1954/U1954,0)</x:f>
        <x:v>4.075271083058031e-9</x:v>
      </x:c>
      <x:c r="X1954" s="80" t="n">
        <x:f>W1954*('Inputs'!$B$6-AC1954)</x:f>
        <x:v>2.579028018129902</x:v>
      </x:c>
      <x:c r="Y1954" s="80" t="n">
        <x:f>2*V1954</x:f>
        <x:v>43.947248642222846</x:v>
      </x:c>
      <x:c r="Z1954" s="80" t="n">
        <x:f>K1954*'Inputs'!$B$16+(G1954+R1954)*J1954*'Inputs'!$B$16</x:f>
        <x:v>0.20662931785707261</x:v>
      </x:c>
      <x:c r="AA1954" s="80" t="n">
        <x:f>K1954*(1+'Inputs'!$E$49)/2*'Inputs'!$B$17</x:f>
        <x:v>0.0672058535961388</x:v>
      </x:c>
      <x:c r="AB1954" s="78" t="n">
        <x:f>(IF(J1954&gt;0,K1954*(1-'Inputs'!$E$49)/2/J1954,0)+G1954+R1954)*'Inputs'!$B$17</x:f>
        <x:v>16043580.840490505</x:v>
      </x:c>
      <x:c r="AC1954" s="78" t="n">
        <x:f>AC1953+AB1954</x:f>
        <x:v>367151788.0487517</x:v>
      </x:c>
      <x:c r="AD1954" s="80" t="n">
        <x:f>Z1954/(1+'Inputs'!$C$49)</x:f>
        <x:v>0.051657329464268154</x:v>
      </x:c>
      <x:c r="AE1954" s="80" t="n">
        <x:f>Z1954-AD1954</x:f>
        <x:v>0.15497198839280446</x:v>
      </x:c>
      <x:c r="AF1954" s="80" t="n">
        <x:f>D1954*W1954</x:f>
        <x:v>0.0011722550918741952</x:v>
      </x:c>
      <x:c r="AG1954" s="80" t="n">
        <x:f>C1954*W1954</x:f>
        <x:v>0.0027352618810398696</x:v>
      </x:c>
      <x:c r="AH1954" s="80" t="n">
        <x:f>2*'Inputs'!$B$8*'Inputs'!$C$49</x:f>
        <x:v>15000</x:v>
      </x:c>
      <x:c r="AI1954" s="81" t="n">
        <x:f>IF(AH1954&gt;0,(AE1954+AF1954)/AH1954*365,0)</x:f>
        <x:v>0.003799509924793847</x:v>
      </x:c>
      <x:c r="AJ1954" s="81" t="n">
        <x:f>IF('Inputs'!$B$49&gt;0,AG1954/('Inputs'!$B$19*'Inputs'!$B$49)*365,0)</x:f>
        <x:v>0.00009983705865795524</x:v>
      </x:c>
      <x:c r="AK1954" s="81" t="n">
        <x:f>W1954/MAX($W$1829:W1954)-1</x:f>
        <x:v>-0.9999947498484288</x:v>
      </x:c>
      <x:c r="AL1954" s="83" t="n">
        <x:f>'Inputs'!$B$49</x:f>
        <x:v>1</x:v>
      </x:c>
      <x:c r="AM1954" s="83" t="n">
        <x:f>'Inputs'!$C$49</x:f>
        <x:v>3</x:v>
      </x:c>
      <x:c r="AN1954" s="83" t="n">
        <x:f>'Inputs'!$D$49</x:f>
        <x:v>0.75</x:v>
      </x:c>
      <x:c r="AO1954" s="81" t="n">
        <x:f>'Inputs'!$E$49</x:f>
        <x:v>-0.03</x:v>
      </x:c>
    </x:row>
    <x:row r="1955">
      <x:c r="A1955" s="59" t="str">
        <x:v>Mercenary LP</x:v>
      </x:c>
      <x:c r="B1955" s="59" t="n">
        <x:v>127</x:v>
      </x:c>
      <x:c r="C1955" s="78" t="n">
        <x:f>(('Inputs'!$B$29*(3*127*'Inputs'!$B$12-127^2)/(2*'Inputs'!$B$12^2))-('Inputs'!$B$29*(3*126*'Inputs'!$B$12-126^2)/(2*'Inputs'!$B$12^2)))*'Inputs'!$B$49</x:f>
        <x:v>670860.1519984901</x:v>
      </x:c>
      <x:c r="D1955" s="78" t="n">
        <x:f>IF('Inputs'!$C$49&gt;0,('Inputs'!$B$30*(3*127*'Inputs'!$B$12-127^2)/(2*'Inputs'!$B$12^2))-('Inputs'!$B$30*(3*126*'Inputs'!$B$12-126^2)/(2*'Inputs'!$B$12^2)),0)</x:f>
        <x:v>287511.4937136397</x:v>
      </x:c>
      <x:c r="E1955" s="78" t="n">
        <x:f>C1955+D1955</x:f>
        <x:v>958371.6457121298</x:v>
      </x:c>
      <x:c r="F1955" s="78" t="n">
        <x:f>'Inputs'!$B$13*E1955+(1-'Inputs'!$B$13)/'Inputs'!$B$14*SUM(E1900:E1955)</x:f>
        <x:v>968589.3225745896</x:v>
      </x:c>
      <x:c r="G1955" s="78" t="n">
        <x:f>F1955*'Inputs'!$F$49</x:f>
        <x:v>871730.3903171307</x:v>
      </x:c>
      <x:c r="H1955" s="78" t="n">
        <x:f>U1954</x:f>
        <x:v>5391941756.33163</x:v>
      </x:c>
      <x:c r="I1955" s="78" t="n">
        <x:f>V1954</x:f>
        <x:v>21.973624321111423</x:v>
      </x:c>
      <x:c r="J1955" s="79" t="n">
        <x:f>IF(H1955&gt;0,I1955/H1955,0)</x:f>
        <x:v>4.075271083058031e-9</x:v>
      </x:c>
      <x:c r="K1955" s="80" t="n">
        <x:f>(H1955*J1955+I1955)*'Inputs'!$D$49*(1+'Inputs'!$G$49)^(B1955/30)</x:f>
        <x:v>32.96043648166713</x:v>
      </x:c>
      <x:c r="L1955" s="80" t="n">
        <x:f>MAX(0,K1955*'Inputs'!$E$49)</x:f>
        <x:v>0</x:v>
      </x:c>
      <x:c r="M1955" s="80" t="n">
        <x:f>MAX(0,-K1955*'Inputs'!$E$49)</x:f>
        <x:v>0.9888130944500139</x:v>
      </x:c>
      <x:c r="N1955" s="78" t="n">
        <x:f>H1955*(L1955*(1-'Inputs'!$B$15))/(I1955+L1955*(1-'Inputs'!$B$15))</x:f>
        <x:v>0</x:v>
      </x:c>
      <x:c r="O1955" s="78" t="n">
        <x:f>H1955-N1955</x:f>
        <x:v>5391941756.33163</x:v>
      </x:c>
      <x:c r="P1955" s="78" t="n">
        <x:f>I1955+L1955*(1-'Inputs'!$B$17)</x:f>
        <x:v>21.973624321111423</x:v>
      </x:c>
      <x:c r="Q1955" s="78" t="n">
        <x:f>IF(J1955&gt;0,M1955/J1955,0)</x:f>
        <x:v>242637379.0349233</x:v>
      </x:c>
      <x:c r="R1955" s="78" t="n">
        <x:f>IF(B1955='Inputs'!$H$49,'Inputs'!$B$27*'Inputs'!$I$49,0)</x:f>
        <x:v>0</x:v>
      </x:c>
      <x:c r="S1955" s="78" t="n">
        <x:f>Q1955+G1955+R1955</x:f>
        <x:v>243509109.42524043</x:v>
      </x:c>
      <x:c r="T1955" s="78" t="n">
        <x:f>P1955*(S1955*(1-'Inputs'!$B$15))/(O1955+S1955*(1-'Inputs'!$B$15))</x:f>
        <x:v>0.9403967828765991</x:v>
      </x:c>
      <x:c r="U1955" s="78" t="n">
        <x:f>O1955+S1955*(1-'Inputs'!$B$17)</x:f>
        <x:v>5634470949.823569</x:v>
      </x:c>
      <x:c r="V1955" s="78" t="n">
        <x:f>P1955-T1955</x:f>
        <x:v>21.033227538234822</x:v>
      </x:c>
      <x:c r="W1955" s="79" t="n">
        <x:f>IF(U1955&gt;0,V1955/U1955,0)</x:f>
        <x:v>3.732955183466414e-9</x:v>
      </x:c>
      <x:c r="X1955" s="80" t="n">
        <x:f>W1955*('Inputs'!$B$6-AC1955)</x:f>
        <x:v>2.299810354971588</x:v>
      </x:c>
      <x:c r="Y1955" s="80" t="n">
        <x:f>2*V1955</x:f>
        <x:v>42.066455076469644</x:v>
      </x:c>
      <x:c r="Z1955" s="80" t="n">
        <x:f>K1955*'Inputs'!$B$16+(G1955+R1955)*J1955*'Inputs'!$B$16</x:f>
        <x:v>0.19778393411591408</x:v>
      </x:c>
      <x:c r="AA1955" s="80" t="n">
        <x:f>K1955*(1+'Inputs'!$E$49)/2*'Inputs'!$B$17</x:f>
        <x:v>0.0643292221070767</x:v>
      </x:c>
      <x:c r="AB1955" s="78" t="n">
        <x:f>(IF(J1955&gt;0,K1955*(1-'Inputs'!$E$49)/2/J1955,0)+G1955+R1955)*'Inputs'!$B$17</x:f>
        <x:v>16765178.016726362</x:v>
      </x:c>
      <x:c r="AC1955" s="78" t="n">
        <x:f>AC1954+AB1955</x:f>
        <x:v>383916966.0654781</x:v>
      </x:c>
      <x:c r="AD1955" s="80" t="n">
        <x:f>Z1955/(1+'Inputs'!$C$49)</x:f>
        <x:v>0.04944598352897852</x:v>
      </x:c>
      <x:c r="AE1955" s="80" t="n">
        <x:f>Z1955-AD1955</x:f>
        <x:v>0.14833795058693555</x:v>
      </x:c>
      <x:c r="AF1955" s="80" t="n">
        <x:f>D1955*W1955</x:f>
        <x:v>0.0010732675207645026</x:v>
      </x:c>
      <x:c r="AG1955" s="80" t="n">
        <x:f>C1955*W1955</x:f>
        <x:v>0.00250429088178383</x:v>
      </x:c>
      <x:c r="AH1955" s="80" t="n">
        <x:f>2*'Inputs'!$B$8*'Inputs'!$C$49</x:f>
        <x:v>15000</x:v>
      </x:c>
      <x:c r="AI1955" s="81" t="n">
        <x:f>IF(AH1955&gt;0,(AE1955+AF1955)/AH1955*365,0)</x:f>
        <x:v>0.003635672973954035</x:v>
      </x:c>
      <x:c r="AJ1955" s="81" t="n">
        <x:f>IF('Inputs'!$B$49&gt;0,AG1955/('Inputs'!$B$19*'Inputs'!$B$49)*365,0)</x:f>
        <x:v>0.0000914066171851098</x:v>
      </x:c>
      <x:c r="AK1955" s="81" t="n">
        <x:f>W1955/MAX($W$1829:W1955)-1</x:f>
        <x:v>-0.9999951908523084</x:v>
      </x:c>
      <x:c r="AL1955" s="83" t="n">
        <x:f>'Inputs'!$B$49</x:f>
        <x:v>1</x:v>
      </x:c>
      <x:c r="AM1955" s="83" t="n">
        <x:f>'Inputs'!$C$49</x:f>
        <x:v>3</x:v>
      </x:c>
      <x:c r="AN1955" s="83" t="n">
        <x:f>'Inputs'!$D$49</x:f>
        <x:v>0.75</x:v>
      </x:c>
      <x:c r="AO1955" s="81" t="n">
        <x:f>'Inputs'!$E$49</x:f>
        <x:v>-0.03</x:v>
      </x:c>
    </x:row>
    <x:row r="1956">
      <x:c r="A1956" s="59" t="str">
        <x:v>Mercenary LP</x:v>
      </x:c>
      <x:c r="B1956" s="59" t="n">
        <x:v>128</x:v>
      </x:c>
      <x:c r="C1956" s="78" t="n">
        <x:f>(('Inputs'!$B$29*(3*128*'Inputs'!$B$12-128^2)/(2*'Inputs'!$B$12^2))-('Inputs'!$B$29*(3*127*'Inputs'!$B$12-127^2)/(2*'Inputs'!$B$12^2)))*'Inputs'!$B$49</x:f>
        <x:v>670535.0440983325</x:v>
      </x:c>
      <x:c r="D1956" s="78" t="n">
        <x:f>IF('Inputs'!$C$49&gt;0,('Inputs'!$B$30*(3*128*'Inputs'!$B$12-128^2)/(2*'Inputs'!$B$12^2))-('Inputs'!$B$30*(3*127*'Inputs'!$B$12-127^2)/(2*'Inputs'!$B$12^2)),0)</x:f>
        <x:v>287372.16175643355</x:v>
      </x:c>
      <x:c r="E1956" s="78" t="n">
        <x:f>C1956+D1956</x:f>
        <x:v>957907.2058547661</x:v>
      </x:c>
      <x:c r="F1956" s="78" t="n">
        <x:f>'Inputs'!$B$13*E1956+(1-'Inputs'!$B$13)/'Inputs'!$B$14*SUM(E1901:E1956)</x:f>
        <x:v>968124.8827172098</x:v>
      </x:c>
      <x:c r="G1956" s="78" t="n">
        <x:f>F1956*'Inputs'!$F$49</x:f>
        <x:v>871312.3944454888</x:v>
      </x:c>
      <x:c r="H1956" s="78" t="n">
        <x:f>U1955</x:f>
        <x:v>5634470949.823569</x:v>
      </x:c>
      <x:c r="I1956" s="78" t="n">
        <x:f>V1955</x:f>
        <x:v>21.033227538234822</x:v>
      </x:c>
      <x:c r="J1956" s="79" t="n">
        <x:f>IF(H1956&gt;0,I1956/H1956,0)</x:f>
        <x:v>3.732955183466414e-9</x:v>
      </x:c>
      <x:c r="K1956" s="80" t="n">
        <x:f>(H1956*J1956+I1956)*'Inputs'!$D$49*(1+'Inputs'!$G$49)^(B1956/30)</x:f>
        <x:v>31.54984130735223</x:v>
      </x:c>
      <x:c r="L1956" s="80" t="n">
        <x:f>MAX(0,K1956*'Inputs'!$E$49)</x:f>
        <x:v>0</x:v>
      </x:c>
      <x:c r="M1956" s="80" t="n">
        <x:f>MAX(0,-K1956*'Inputs'!$E$49)</x:f>
        <x:v>0.9464952392205669</x:v>
      </x:c>
      <x:c r="N1956" s="78" t="n">
        <x:f>H1956*(L1956*(1-'Inputs'!$B$15))/(I1956+L1956*(1-'Inputs'!$B$15))</x:f>
        <x:v>0</x:v>
      </x:c>
      <x:c r="O1956" s="78" t="n">
        <x:f>H1956-N1956</x:f>
        <x:v>5634470949.823569</x:v>
      </x:c>
      <x:c r="P1956" s="78" t="n">
        <x:f>I1956+L1956*(1-'Inputs'!$B$17)</x:f>
        <x:v>21.033227538234822</x:v>
      </x:c>
      <x:c r="Q1956" s="78" t="n">
        <x:f>IF(J1956&gt;0,M1956/J1956,0)</x:f>
        <x:v>253551192.7420606</x:v>
      </x:c>
      <x:c r="R1956" s="78" t="n">
        <x:f>IF(B1956='Inputs'!$H$49,'Inputs'!$B$27*'Inputs'!$I$49,0)</x:f>
        <x:v>0</x:v>
      </x:c>
      <x:c r="S1956" s="78" t="n">
        <x:f>Q1956+G1956+R1956</x:f>
        <x:v>254422505.13650608</x:v>
      </x:c>
      <x:c r="T1956" s="78" t="n">
        <x:f>P1956*(S1956*(1-'Inputs'!$B$15))/(O1956+S1956*(1-'Inputs'!$B$15))</x:f>
        <x:v>0.9000167964978479</x:v>
      </x:c>
      <x:c r="U1956" s="78" t="n">
        <x:f>O1956+S1956*(1-'Inputs'!$B$17)</x:f>
        <x:v>5887869621.941418</x:v>
      </x:c>
      <x:c r="V1956" s="78" t="n">
        <x:f>P1956-T1956</x:f>
        <x:v>20.133210741736974</x:v>
      </x:c>
      <x:c r="W1956" s="79" t="n">
        <x:f>IF(U1956&gt;0,V1956/U1956,0)</x:f>
        <x:v>3.419438954067467e-9</x:v>
      </x:c>
      <x:c r="X1956" s="80" t="n">
        <x:f>W1956*('Inputs'!$B$6-AC1956)</x:f>
        <x:v>2.0467527803035797</x:v>
      </x:c>
      <x:c r="Y1956" s="80" t="n">
        <x:f>2*V1956</x:f>
        <x:v>40.26642148347395</x:v>
      </x:c>
      <x:c r="Z1956" s="80" t="n">
        <x:f>K1956*'Inputs'!$B$16+(G1956+R1956)*J1956*'Inputs'!$B$16</x:f>
        <x:v>0.18931856326482896</x:v>
      </x:c>
      <x:c r="AA1956" s="80" t="n">
        <x:f>K1956*(1+'Inputs'!$E$49)/2*'Inputs'!$B$17</x:f>
        <x:v>0.06157614903044601</x:v>
      </x:c>
      <x:c r="AB1956" s="78" t="n">
        <x:f>(IF(J1956&gt;0,K1956*(1-'Inputs'!$E$49)/2/J1956,0)+G1956+R1956)*'Inputs'!$B$17</x:f>
        <x:v>17519115.17558613</x:v>
      </x:c>
      <x:c r="AC1956" s="78" t="n">
        <x:f>AC1955+AB1956</x:f>
        <x:v>401436081.2410642</x:v>
      </x:c>
      <x:c r="AD1956" s="80" t="n">
        <x:f>Z1956/(1+'Inputs'!$C$49)</x:f>
        <x:v>0.04732964081620724</x:v>
      </x:c>
      <x:c r="AE1956" s="80" t="n">
        <x:f>Z1956-AD1956</x:f>
        <x:v>0.1419889224486217</x:v>
      </x:c>
      <x:c r="AF1956" s="80" t="n">
        <x:f>D1956*W1956</x:f>
        <x:v>0.000982651564224526</x:v>
      </x:c>
      <x:c r="AG1956" s="80" t="n">
        <x:f>C1956*W1956</x:f>
        <x:v>0.002292853649857185</x:v>
      </x:c>
      <x:c r="AH1956" s="80" t="n">
        <x:f>2*'Inputs'!$B$8*'Inputs'!$C$49</x:f>
        <x:v>15000</x:v>
      </x:c>
      <x:c r="AI1956" s="81" t="n">
        <x:f>IF(AH1956&gt;0,(AE1956+AF1956)/AH1956*365,0)</x:f>
        <x:v>0.0034789749676459253</x:v>
      </x:c>
      <x:c r="AJ1956" s="81" t="n">
        <x:f>IF('Inputs'!$B$49&gt;0,AG1956/('Inputs'!$B$19*'Inputs'!$B$49)*365,0)</x:f>
        <x:v>0.00008368915821978725</x:v>
      </x:c>
      <x:c r="AK1956" s="81" t="n">
        <x:f>W1956/MAX($W$1829:W1956)-1</x:f>
        <x:v>-0.9999955947537154</x:v>
      </x:c>
      <x:c r="AL1956" s="83" t="n">
        <x:f>'Inputs'!$B$49</x:f>
        <x:v>1</x:v>
      </x:c>
      <x:c r="AM1956" s="83" t="n">
        <x:f>'Inputs'!$C$49</x:f>
        <x:v>3</x:v>
      </x:c>
      <x:c r="AN1956" s="83" t="n">
        <x:f>'Inputs'!$D$49</x:f>
        <x:v>0.75</x:v>
      </x:c>
      <x:c r="AO1956" s="81" t="n">
        <x:f>'Inputs'!$E$49</x:f>
        <x:v>-0.03</x:v>
      </x:c>
    </x:row>
    <x:row r="1957">
      <x:c r="A1957" s="59" t="str">
        <x:v>Mercenary LP</x:v>
      </x:c>
      <x:c r="B1957" s="59" t="n">
        <x:v>129</x:v>
      </x:c>
      <x:c r="C1957" s="78" t="n">
        <x:f>(('Inputs'!$B$29*(3*129*'Inputs'!$B$12-129^2)/(2*'Inputs'!$B$12^2))-('Inputs'!$B$29*(3*128*'Inputs'!$B$12-128^2)/(2*'Inputs'!$B$12^2)))*'Inputs'!$B$49</x:f>
        <x:v>670209.93619816</x:v>
      </x:c>
      <x:c r="D1957" s="78" t="n">
        <x:f>IF('Inputs'!$C$49&gt;0,('Inputs'!$B$30*(3*129*'Inputs'!$B$12-129^2)/(2*'Inputs'!$B$12^2))-('Inputs'!$B$30*(3*128*'Inputs'!$B$12-128^2)/(2*'Inputs'!$B$12^2)),0)</x:f>
        <x:v>287232.8297992125</x:v>
      </x:c>
      <x:c r="E1957" s="78" t="n">
        <x:f>C1957+D1957</x:f>
        <x:v>957442.7659973726</x:v>
      </x:c>
      <x:c r="F1957" s="78" t="n">
        <x:f>'Inputs'!$B$13*E1957+(1-'Inputs'!$B$13)/'Inputs'!$B$14*SUM(E1902:E1957)</x:f>
        <x:v>967660.4428598238</x:v>
      </x:c>
      <x:c r="G1957" s="78" t="n">
        <x:f>F1957*'Inputs'!$F$49</x:f>
        <x:v>870894.3985738414</x:v>
      </x:c>
      <x:c r="H1957" s="78" t="n">
        <x:f>U1956</x:f>
        <x:v>5887869621.941418</x:v>
      </x:c>
      <x:c r="I1957" s="78" t="n">
        <x:f>V1956</x:f>
        <x:v>20.133210741736974</x:v>
      </x:c>
      <x:c r="J1957" s="79" t="n">
        <x:f>IF(H1957&gt;0,I1957/H1957,0)</x:f>
        <x:v>3.419438954067467e-9</x:v>
      </x:c>
      <x:c r="K1957" s="80" t="n">
        <x:f>(H1957*J1957+I1957)*'Inputs'!$D$49*(1+'Inputs'!$G$49)^(B1957/30)</x:f>
        <x:v>30.19981611260546</x:v>
      </x:c>
      <x:c r="L1957" s="80" t="n">
        <x:f>MAX(0,K1957*'Inputs'!$E$49)</x:f>
        <x:v>0</x:v>
      </x:c>
      <x:c r="M1957" s="80" t="n">
        <x:f>MAX(0,-K1957*'Inputs'!$E$49)</x:f>
        <x:v>0.9059944833781638</x:v>
      </x:c>
      <x:c r="N1957" s="78" t="n">
        <x:f>H1957*(L1957*(1-'Inputs'!$B$15))/(I1957+L1957*(1-'Inputs'!$B$15))</x:f>
        <x:v>0</x:v>
      </x:c>
      <x:c r="O1957" s="78" t="n">
        <x:f>H1957-N1957</x:f>
        <x:v>5887869621.941418</x:v>
      </x:c>
      <x:c r="P1957" s="78" t="n">
        <x:f>I1957+L1957*(1-'Inputs'!$B$17)</x:f>
        <x:v>20.133210741736974</x:v>
      </x:c>
      <x:c r="Q1957" s="78" t="n">
        <x:f>IF(J1957&gt;0,M1957/J1957,0)</x:f>
        <x:v>264954132.9873638</x:v>
      </x:c>
      <x:c r="R1957" s="78" t="n">
        <x:f>IF(B1957='Inputs'!$H$49,'Inputs'!$B$27*'Inputs'!$I$49,0)</x:f>
        <x:v>0</x:v>
      </x:c>
      <x:c r="S1957" s="78" t="n">
        <x:f>Q1957+G1957+R1957</x:f>
        <x:v>265825027.38593763</x:v>
      </x:c>
      <x:c r="T1957" s="78" t="n">
        <x:f>P1957*(S1957*(1-'Inputs'!$B$15))/(O1957+S1957*(1-'Inputs'!$B$15))</x:f>
        <x:v>0.8613820241149109</x:v>
      </x:c>
      <x:c r="U1957" s="78" t="n">
        <x:f>O1957+S1957*(1-'Inputs'!$B$17)</x:f>
        <x:v>6152624930.907291</x:v>
      </x:c>
      <x:c r="V1957" s="78" t="n">
        <x:f>P1957-T1957</x:f>
        <x:v>19.271828717622064</x:v>
      </x:c>
      <x:c r="W1957" s="79" t="n">
        <x:f>IF(U1957&gt;0,V1957/U1957,0)</x:f>
        <x:v>3.132293766325873e-9</x:v>
      </x:c>
      <x:c r="X1957" s="80" t="n">
        <x:f>W1957*('Inputs'!$B$6-AC1957)</x:f>
        <x:v>1.817535625150386</x:v>
      </x:c>
      <x:c r="Y1957" s="80" t="n">
        <x:f>2*V1957</x:f>
        <x:v>38.54365743524413</x:v>
      </x:c>
      <x:c r="Z1957" s="80" t="n">
        <x:f>K1957*'Inputs'!$B$16+(G1957+R1957)*J1957*'Inputs'!$B$16</x:f>
        <x:v>0.18121676449702095</x:v>
      </x:c>
      <x:c r="AA1957" s="80" t="n">
        <x:f>K1957*(1+'Inputs'!$E$49)/2*'Inputs'!$B$17</x:f>
        <x:v>0.058941291004481484</x:v>
      </x:c>
      <x:c r="AB1957" s="78" t="n">
        <x:f>(IF(J1957&gt;0,K1957*(1-'Inputs'!$E$49)/2/J1957,0)+G1957+R1957)*'Inputs'!$B$17</x:f>
        <x:v>18306841.759952996</x:v>
      </x:c>
      <x:c r="AC1957" s="78" t="n">
        <x:f>AC1956+AB1957</x:f>
        <x:v>419742923.0010172</x:v>
      </x:c>
      <x:c r="AD1957" s="80" t="n">
        <x:f>Z1957/(1+'Inputs'!$C$49)</x:f>
        <x:v>0.04530419112425524</x:v>
      </x:c>
      <x:c r="AE1957" s="80" t="n">
        <x:f>Z1957-AD1957</x:f>
        <x:v>0.13591257337276572</x:v>
      </x:c>
      <x:c r="AF1957" s="80" t="n">
        <x:f>D1957*W1957</x:f>
        <x:v>0.0008996976022642138</x:v>
      </x:c>
      <x:c r="AG1957" s="80" t="n">
        <x:f>C1957*W1957</x:f>
        <x:v>0.002099294405283158</x:v>
      </x:c>
      <x:c r="AH1957" s="80" t="n">
        <x:f>2*'Inputs'!$B$8*'Inputs'!$C$49</x:f>
        <x:v>15000</x:v>
      </x:c>
      <x:c r="AI1957" s="81" t="n">
        <x:f>IF(AH1957&gt;0,(AE1957+AF1957)/AH1957*365,0)</x:f>
        <x:v>0.0033290985937257287</x:v>
      </x:c>
      <x:c r="AJ1957" s="81" t="n">
        <x:f>IF('Inputs'!$B$49&gt;0,AG1957/('Inputs'!$B$19*'Inputs'!$B$49)*365,0)</x:f>
        <x:v>0.00007662424579283527</x:v>
      </x:c>
      <x:c r="AK1957" s="81" t="n">
        <x:f>W1957/MAX($W$1829:W1957)-1</x:f>
        <x:v>-0.9999959646814399</x:v>
      </x:c>
      <x:c r="AL1957" s="83" t="n">
        <x:f>'Inputs'!$B$49</x:f>
        <x:v>1</x:v>
      </x:c>
      <x:c r="AM1957" s="83" t="n">
        <x:f>'Inputs'!$C$49</x:f>
        <x:v>3</x:v>
      </x:c>
      <x:c r="AN1957" s="83" t="n">
        <x:f>'Inputs'!$D$49</x:f>
        <x:v>0.75</x:v>
      </x:c>
      <x:c r="AO1957" s="81" t="n">
        <x:f>'Inputs'!$E$49</x:f>
        <x:v>-0.03</x:v>
      </x:c>
    </x:row>
    <x:row r="1958">
      <x:c r="A1958" s="59" t="str">
        <x:v>Mercenary LP</x:v>
      </x:c>
      <x:c r="B1958" s="59" t="n">
        <x:v>130</x:v>
      </x:c>
      <x:c r="C1958" s="78" t="n">
        <x:f>(('Inputs'!$B$29*(3*130*'Inputs'!$B$12-130^2)/(2*'Inputs'!$B$12^2))-('Inputs'!$B$29*(3*129*'Inputs'!$B$12-129^2)/(2*'Inputs'!$B$12^2)))*'Inputs'!$B$49</x:f>
        <x:v>669884.8282979876</x:v>
      </x:c>
      <x:c r="D1958" s="78" t="n">
        <x:f>IF('Inputs'!$C$49&gt;0,('Inputs'!$B$30*(3*130*'Inputs'!$B$12-130^2)/(2*'Inputs'!$B$12^2))-('Inputs'!$B$30*(3*129*'Inputs'!$B$12-129^2)/(2*'Inputs'!$B$12^2)),0)</x:f>
        <x:v>287093.4978419915</x:v>
      </x:c>
      <x:c r="E1958" s="78" t="n">
        <x:f>C1958+D1958</x:f>
        <x:v>956978.3261399791</x:v>
      </x:c>
      <x:c r="F1958" s="78" t="n">
        <x:f>'Inputs'!$B$13*E1958+(1-'Inputs'!$B$13)/'Inputs'!$B$14*SUM(E1903:E1958)</x:f>
        <x:v>967196.0030024375</x:v>
      </x:c>
      <x:c r="G1958" s="78" t="n">
        <x:f>F1958*'Inputs'!$F$49</x:f>
        <x:v>870476.4027021938</x:v>
      </x:c>
      <x:c r="H1958" s="78" t="n">
        <x:f>U1957</x:f>
        <x:v>6152624930.907291</x:v>
      </x:c>
      <x:c r="I1958" s="78" t="n">
        <x:f>V1957</x:f>
        <x:v>19.271828717622064</x:v>
      </x:c>
      <x:c r="J1958" s="79" t="n">
        <x:f>IF(H1958&gt;0,I1958/H1958,0)</x:f>
        <x:v>3.132293766325873e-9</x:v>
      </x:c>
      <x:c r="K1958" s="80" t="n">
        <x:f>(H1958*J1958+I1958)*'Inputs'!$D$49*(1+'Inputs'!$G$49)^(B1958/30)</x:f>
        <x:v>28.907743076433096</x:v>
      </x:c>
      <x:c r="L1958" s="80" t="n">
        <x:f>MAX(0,K1958*'Inputs'!$E$49)</x:f>
        <x:v>0</x:v>
      </x:c>
      <x:c r="M1958" s="80" t="n">
        <x:f>MAX(0,-K1958*'Inputs'!$E$49)</x:f>
        <x:v>0.8672322922929928</x:v>
      </x:c>
      <x:c r="N1958" s="78" t="n">
        <x:f>H1958*(L1958*(1-'Inputs'!$B$15))/(I1958+L1958*(1-'Inputs'!$B$15))</x:f>
        <x:v>0</x:v>
      </x:c>
      <x:c r="O1958" s="78" t="n">
        <x:f>H1958-N1958</x:f>
        <x:v>6152624930.907291</x:v>
      </x:c>
      <x:c r="P1958" s="78" t="n">
        <x:f>I1958+L1958*(1-'Inputs'!$B$17)</x:f>
        <x:v>19.271828717622064</x:v>
      </x:c>
      <x:c r="Q1958" s="78" t="n">
        <x:f>IF(J1958&gt;0,M1958/J1958,0)</x:f>
        <x:v>276868121.8908281</x:v>
      </x:c>
      <x:c r="R1958" s="78" t="n">
        <x:f>IF(B1958='Inputs'!$H$49,'Inputs'!$B$27*'Inputs'!$I$49,0)</x:f>
        <x:v>0</x:v>
      </x:c>
      <x:c r="S1958" s="78" t="n">
        <x:f>Q1958+G1958+R1958</x:f>
        <x:v>277738598.2935303</x:v>
      </x:c>
      <x:c r="T1958" s="78" t="n">
        <x:f>P1958*(S1958*(1-'Inputs'!$B$15))/(O1958+S1958*(1-'Inputs'!$B$15))</x:f>
        <x:v>0.8244160824247817</x:v>
      </x:c>
      <x:c r="U1958" s="78" t="n">
        <x:f>O1958+S1958*(1-'Inputs'!$B$17)</x:f>
        <x:v>6429245868.845516</x:v>
      </x:c>
      <x:c r="V1958" s="78" t="n">
        <x:f>P1958-T1958</x:f>
        <x:v>18.44741263519728</x:v>
      </x:c>
      <x:c r="W1958" s="79" t="n">
        <x:f>IF(U1958&gt;0,V1958/U1958,0)</x:f>
        <x:v>2.869296494724013e-9</x:v>
      </x:c>
      <x:c r="X1958" s="80" t="n">
        <x:f>W1958*('Inputs'!$B$6-AC1958)</x:f>
        <x:v>1.6100403218952628</x:v>
      </x:c>
      <x:c r="Y1958" s="80" t="n">
        <x:f>2*V1958</x:f>
        <x:v>36.89482527039456</x:v>
      </x:c>
      <x:c r="Z1958" s="80" t="n">
        <x:f>K1958*'Inputs'!$B$16+(G1958+R1958)*J1958*'Inputs'!$B$16</x:f>
        <x:v>0.17346281798545807</x:v>
      </x:c>
      <x:c r="AA1958" s="80" t="n">
        <x:f>K1958*(1+'Inputs'!$E$49)/2*'Inputs'!$B$17</x:f>
        <x:v>0.05641953880108673</x:v>
      </x:c>
      <x:c r="AB1958" s="78" t="n">
        <x:f>(IF(J1958&gt;0,K1958*(1-'Inputs'!$E$49)/2/J1958,0)+G1958+R1958)*'Inputs'!$B$17</x:f>
        <x:v>19129872.175165333</x:v>
      </x:c>
      <x:c r="AC1958" s="78" t="n">
        <x:f>AC1957+AB1958</x:f>
        <x:v>438872795.17618257</x:v>
      </x:c>
      <x:c r="AD1958" s="80" t="n">
        <x:f>Z1958/(1+'Inputs'!$C$49)</x:f>
        <x:v>0.04336570449636452</x:v>
      </x:c>
      <x:c r="AE1958" s="80" t="n">
        <x:f>Z1958-AD1958</x:f>
        <x:v>0.13009711348909356</x:v>
      </x:c>
      <x:c r="AF1958" s="80" t="n">
        <x:f>D1958*W1958</x:f>
        <x:v>0.0008237563670160822</x:v>
      </x:c>
      <x:c r="AG1958" s="80" t="n">
        <x:f>C1958*W1958</x:f>
        <x:v>0.0019220981897042132</x:v>
      </x:c>
      <x:c r="AH1958" s="80" t="n">
        <x:f>2*'Inputs'!$B$8*'Inputs'!$C$49</x:f>
        <x:v>15000</x:v>
      </x:c>
      <x:c r="AI1958" s="81" t="n">
        <x:f>IF(AH1958&gt;0,(AE1958+AF1958)/AH1958*365,0)</x:f>
        <x:v>0.0031857411664986683</x:v>
      </x:c>
      <x:c r="AJ1958" s="81" t="n">
        <x:f>IF('Inputs'!$B$49&gt;0,AG1958/('Inputs'!$B$19*'Inputs'!$B$49)*365,0)</x:f>
        <x:v>0.00007015658392420379</x:v>
      </x:c>
      <x:c r="AK1958" s="81" t="n">
        <x:f>W1958/MAX($W$1829:W1958)-1</x:f>
        <x:v>-0.9999963034995236</x:v>
      </x:c>
      <x:c r="AL1958" s="83" t="n">
        <x:f>'Inputs'!$B$49</x:f>
        <x:v>1</x:v>
      </x:c>
      <x:c r="AM1958" s="83" t="n">
        <x:f>'Inputs'!$C$49</x:f>
        <x:v>3</x:v>
      </x:c>
      <x:c r="AN1958" s="83" t="n">
        <x:f>'Inputs'!$D$49</x:f>
        <x:v>0.75</x:v>
      </x:c>
      <x:c r="AO1958" s="81" t="n">
        <x:f>'Inputs'!$E$49</x:f>
        <x:v>-0.03</x:v>
      </x:c>
    </x:row>
    <x:row r="1959">
      <x:c r="A1959" s="59" t="str">
        <x:v>Mercenary LP</x:v>
      </x:c>
      <x:c r="B1959" s="59" t="n">
        <x:v>131</x:v>
      </x:c>
      <x:c r="C1959" s="78" t="n">
        <x:f>(('Inputs'!$B$29*(3*131*'Inputs'!$B$12-131^2)/(2*'Inputs'!$B$12^2))-('Inputs'!$B$29*(3*130*'Inputs'!$B$12-130^2)/(2*'Inputs'!$B$12^2)))*'Inputs'!$B$49</x:f>
        <x:v>669559.72039783</x:v>
      </x:c>
      <x:c r="D1959" s="78" t="n">
        <x:f>IF('Inputs'!$C$49&gt;0,('Inputs'!$B$30*(3*131*'Inputs'!$B$12-131^2)/(2*'Inputs'!$B$12^2))-('Inputs'!$B$30*(3*130*'Inputs'!$B$12-130^2)/(2*'Inputs'!$B$12^2)),0)</x:f>
        <x:v>286954.16588478535</x:v>
      </x:c>
      <x:c r="E1959" s="78" t="n">
        <x:f>C1959+D1959</x:f>
        <x:v>956513.8862826154</x:v>
      </x:c>
      <x:c r="F1959" s="78" t="n">
        <x:f>'Inputs'!$B$13*E1959+(1-'Inputs'!$B$13)/'Inputs'!$B$14*SUM(E1904:E1959)</x:f>
        <x:v>966731.5631450575</x:v>
      </x:c>
      <x:c r="G1959" s="78" t="n">
        <x:f>F1959*'Inputs'!$F$49</x:f>
        <x:v>870058.4068305518</x:v>
      </x:c>
      <x:c r="H1959" s="78" t="n">
        <x:f>U1958</x:f>
        <x:v>6429245868.845516</x:v>
      </x:c>
      <x:c r="I1959" s="78" t="n">
        <x:f>V1958</x:f>
        <x:v>18.44741263519728</x:v>
      </x:c>
      <x:c r="J1959" s="79" t="n">
        <x:f>IF(H1959&gt;0,I1959/H1959,0)</x:f>
        <x:v>2.869296494724013e-9</x:v>
      </x:c>
      <x:c r="K1959" s="80" t="n">
        <x:f>(H1959*J1959+I1959)*'Inputs'!$D$49*(1+'Inputs'!$G$49)^(B1959/30)</x:f>
        <x:v>27.671118952795922</x:v>
      </x:c>
      <x:c r="L1959" s="80" t="n">
        <x:f>MAX(0,K1959*'Inputs'!$E$49)</x:f>
        <x:v>0</x:v>
      </x:c>
      <x:c r="M1959" s="80" t="n">
        <x:f>MAX(0,-K1959*'Inputs'!$E$49)</x:f>
        <x:v>0.8301335685838777</x:v>
      </x:c>
      <x:c r="N1959" s="78" t="n">
        <x:f>H1959*(L1959*(1-'Inputs'!$B$15))/(I1959+L1959*(1-'Inputs'!$B$15))</x:f>
        <x:v>0</x:v>
      </x:c>
      <x:c r="O1959" s="78" t="n">
        <x:f>H1959-N1959</x:f>
        <x:v>6429245868.845516</x:v>
      </x:c>
      <x:c r="P1959" s="78" t="n">
        <x:f>I1959+L1959*(1-'Inputs'!$B$17)</x:f>
        <x:v>18.44741263519728</x:v>
      </x:c>
      <x:c r="Q1959" s="78" t="n">
        <x:f>IF(J1959&gt;0,M1959/J1959,0)</x:f>
        <x:v>289316064.0980482</x:v>
      </x:c>
      <x:c r="R1959" s="78" t="n">
        <x:f>IF(B1959='Inputs'!$H$49,'Inputs'!$B$27*'Inputs'!$I$49,0)</x:f>
        <x:v>0</x:v>
      </x:c>
      <x:c r="S1959" s="78" t="n">
        <x:f>Q1959+G1959+R1959</x:f>
        <x:v>290186122.50487876</x:v>
      </x:c>
      <x:c r="T1959" s="78" t="n">
        <x:f>P1959*(S1959*(1-'Inputs'!$B$15))/(O1959+S1959*(1-'Inputs'!$B$15))</x:f>
        <x:v>0.7890460116685203</x:v>
      </x:c>
      <x:c r="U1959" s="78" t="n">
        <x:f>O1959+S1959*(1-'Inputs'!$B$17)</x:f>
        <x:v>6718264240.3544</x:v>
      </x:c>
      <x:c r="V1959" s="78" t="n">
        <x:f>P1959-T1959</x:f>
        <x:v>17.65836662352876</x:v>
      </x:c>
      <x:c r="W1959" s="79" t="n">
        <x:f>IF(U1959&gt;0,V1959/U1959,0)</x:f>
        <x:v>2.6284120409347356e-9</x:v>
      </x:c>
      <x:c r="X1959" s="80" t="n">
        <x:f>W1959*('Inputs'!$B$6-AC1959)</x:f>
        <x:v>1.4223321003386715</x:v>
      </x:c>
      <x:c r="Y1959" s="80" t="n">
        <x:f>2*V1959</x:f>
        <x:v>35.31673324705752</x:v>
      </x:c>
      <x:c r="Z1959" s="80" t="n">
        <x:f>K1959*'Inputs'!$B$16+(G1959+R1959)*J1959*'Inputs'!$B$16</x:f>
        <x:v>0.16604169244999709</x:v>
      </x:c>
      <x:c r="AA1959" s="80" t="n">
        <x:f>K1959*(1+'Inputs'!$E$49)/2*'Inputs'!$B$17</x:f>
        <x:v>0.05400600680927977</x:v>
      </x:c>
      <x:c r="AB1959" s="78" t="n">
        <x:f>(IF(J1959&gt;0,K1959*(1-'Inputs'!$E$49)/2/J1959,0)+G1959+R1959)*'Inputs'!$B$17</x:f>
        <x:v>19989788.700563353</x:v>
      </x:c>
      <x:c r="AC1959" s="78" t="n">
        <x:f>AC1958+AB1959</x:f>
        <x:v>458862583.87674594</x:v>
      </x:c>
      <x:c r="AD1959" s="80" t="n">
        <x:f>Z1959/(1+'Inputs'!$C$49)</x:f>
        <x:v>0.04151042311249927</x:v>
      </x:c>
      <x:c r="AE1959" s="80" t="n">
        <x:f>Z1959-AD1959</x:f>
        <x:v>0.12453126933749781</x:v>
      </x:c>
      <x:c r="AF1959" s="80" t="n">
        <x:f>D1959*W1959</x:f>
        <x:v>0.0007542337848079533</x:v>
      </x:c>
      <x:c r="AG1959" s="80" t="n">
        <x:f>C1959*W1959</x:f>
        <x:v>0.0017598788312185513</x:v>
      </x:c>
      <x:c r="AH1959" s="80" t="n">
        <x:f>2*'Inputs'!$B$8*'Inputs'!$C$49</x:f>
        <x:v>15000</x:v>
      </x:c>
      <x:c r="AI1959" s="81" t="n">
        <x:f>IF(AH1959&gt;0,(AE1959+AF1959)/AH1959*365,0)</x:f>
        <x:v>0.0030486139093094406</x:v>
      </x:c>
      <x:c r="AJ1959" s="81" t="n">
        <x:f>IF('Inputs'!$B$49&gt;0,AG1959/('Inputs'!$B$19*'Inputs'!$B$49)*365,0)</x:f>
        <x:v>0.00006423557733947713</x:v>
      </x:c>
      <x:c r="AK1959" s="81" t="n">
        <x:f>W1959/MAX($W$1829:W1959)-1</x:f>
        <x:v>-0.9999966138297735</x:v>
      </x:c>
      <x:c r="AL1959" s="83" t="n">
        <x:f>'Inputs'!$B$49</x:f>
        <x:v>1</x:v>
      </x:c>
      <x:c r="AM1959" s="83" t="n">
        <x:f>'Inputs'!$C$49</x:f>
        <x:v>3</x:v>
      </x:c>
      <x:c r="AN1959" s="83" t="n">
        <x:f>'Inputs'!$D$49</x:f>
        <x:v>0.75</x:v>
      </x:c>
      <x:c r="AO1959" s="81" t="n">
        <x:f>'Inputs'!$E$49</x:f>
        <x:v>-0.03</x:v>
      </x:c>
    </x:row>
    <x:row r="1960">
      <x:c r="A1960" s="59" t="str">
        <x:v>Mercenary LP</x:v>
      </x:c>
      <x:c r="B1960" s="59" t="n">
        <x:v>132</x:v>
      </x:c>
      <x:c r="C1960" s="78" t="n">
        <x:f>(('Inputs'!$B$29*(3*132*'Inputs'!$B$12-132^2)/(2*'Inputs'!$B$12^2))-('Inputs'!$B$29*(3*131*'Inputs'!$B$12-131^2)/(2*'Inputs'!$B$12^2)))*'Inputs'!$B$49</x:f>
        <x:v>669234.6124976575</x:v>
      </x:c>
      <x:c r="D1960" s="78" t="n">
        <x:f>IF('Inputs'!$C$49&gt;0,('Inputs'!$B$30*(3*132*'Inputs'!$B$12-132^2)/(2*'Inputs'!$B$12^2))-('Inputs'!$B$30*(3*131*'Inputs'!$B$12-131^2)/(2*'Inputs'!$B$12^2)),0)</x:f>
        <x:v>286814.8339275643</x:v>
      </x:c>
      <x:c r="E1960" s="78" t="n">
        <x:f>C1960+D1960</x:f>
        <x:v>956049.4464252219</x:v>
      </x:c>
      <x:c r="F1960" s="78" t="n">
        <x:f>'Inputs'!$B$13*E1960+(1-'Inputs'!$B$13)/'Inputs'!$B$14*SUM(E1905:E1960)</x:f>
        <x:v>966267.1232876717</x:v>
      </x:c>
      <x:c r="G1960" s="78" t="n">
        <x:f>F1960*'Inputs'!$F$49</x:f>
        <x:v>869640.4109589045</x:v>
      </x:c>
      <x:c r="H1960" s="78" t="n">
        <x:f>U1959</x:f>
        <x:v>6718264240.3544</x:v>
      </x:c>
      <x:c r="I1960" s="78" t="n">
        <x:f>V1959</x:f>
        <x:v>17.65836662352876</x:v>
      </x:c>
      <x:c r="J1960" s="79" t="n">
        <x:f>IF(H1960&gt;0,I1960/H1960,0)</x:f>
        <x:v>2.6284120409347356e-9</x:v>
      </x:c>
      <x:c r="K1960" s="80" t="n">
        <x:f>(H1960*J1960+I1960)*'Inputs'!$D$49*(1+'Inputs'!$G$49)^(B1960/30)</x:f>
        <x:v>26.48754993529314</x:v>
      </x:c>
      <x:c r="L1960" s="80" t="n">
        <x:f>MAX(0,K1960*'Inputs'!$E$49)</x:f>
        <x:v>0</x:v>
      </x:c>
      <x:c r="M1960" s="80" t="n">
        <x:f>MAX(0,-K1960*'Inputs'!$E$49)</x:f>
        <x:v>0.7946264980587942</x:v>
      </x:c>
      <x:c r="N1960" s="78" t="n">
        <x:f>H1960*(L1960*(1-'Inputs'!$B$15))/(I1960+L1960*(1-'Inputs'!$B$15))</x:f>
        <x:v>0</x:v>
      </x:c>
      <x:c r="O1960" s="78" t="n">
        <x:f>H1960-N1960</x:f>
        <x:v>6718264240.3544</x:v>
      </x:c>
      <x:c r="P1960" s="78" t="n">
        <x:f>I1960+L1960*(1-'Inputs'!$B$17)</x:f>
        <x:v>17.65836662352876</x:v>
      </x:c>
      <x:c r="Q1960" s="78" t="n">
        <x:f>IF(J1960&gt;0,M1960/J1960,0)</x:f>
        <x:v>302321890.815948</x:v>
      </x:c>
      <x:c r="R1960" s="78" t="n">
        <x:f>IF(B1960='Inputs'!$H$49,'Inputs'!$B$27*'Inputs'!$I$49,0)</x:f>
        <x:v>0</x:v>
      </x:c>
      <x:c r="S1960" s="78" t="n">
        <x:f>Q1960+G1960+R1960</x:f>
        <x:v>303191531.2269069</x:v>
      </x:c>
      <x:c r="T1960" s="78" t="n">
        <x:f>P1960*(S1960*(1-'Inputs'!$B$15))/(O1960+S1960*(1-'Inputs'!$B$15))</x:f>
        <x:v>0.7552021154527255</x:v>
      </x:c>
      <x:c r="U1960" s="78" t="n">
        <x:f>O1960+S1960*(1-'Inputs'!$B$17)</x:f>
        <x:v>7020235684.93653</x:v>
      </x:c>
      <x:c r="V1960" s="78" t="n">
        <x:f>P1960-T1960</x:f>
        <x:v>16.903164508076035</x:v>
      </x:c>
      <x:c r="W1960" s="79" t="n">
        <x:f>IF(U1960&gt;0,V1960/U1960,0)</x:f>
        <x:v>2.4077773548750672e-9</x:v>
      </x:c>
      <x:c r="X1960" s="80" t="n">
        <x:f>W1960*('Inputs'!$B$6-AC1960)</x:f>
        <x:v>1.2526441742510708</x:v>
      </x:c>
      <x:c r="Y1960" s="80" t="n">
        <x:f>2*V1960</x:f>
        <x:v>33.80632901615207</x:v>
      </x:c>
      <x:c r="Z1960" s="80" t="n">
        <x:f>K1960*'Inputs'!$B$16+(G1960+R1960)*J1960*'Inputs'!$B$16</x:f>
        <x:v>0.15893901425172352</x:v>
      </x:c>
      <x:c r="AA1960" s="80" t="n">
        <x:f>K1960*(1+'Inputs'!$E$49)/2*'Inputs'!$B$17</x:f>
        <x:v>0.05169602301254396</x:v>
      </x:c>
      <x:c r="AB1960" s="78" t="n">
        <x:f>(IF(J1960&gt;0,K1960*(1-'Inputs'!$E$49)/2/J1960,0)+G1960+R1960)*'Inputs'!$B$17</x:f>
        <x:v>20888244.531528104</x:v>
      </x:c>
      <x:c r="AC1960" s="78" t="n">
        <x:f>AC1959+AB1960</x:f>
        <x:v>479750828.40827405</x:v>
      </x:c>
      <x:c r="AD1960" s="80" t="n">
        <x:f>Z1960/(1+'Inputs'!$C$49)</x:f>
        <x:v>0.03973475356293088</x:v>
      </x:c>
      <x:c r="AE1960" s="80" t="n">
        <x:f>Z1960-AD1960</x:f>
        <x:v>0.11920426068879264</x:v>
      </x:c>
      <x:c r="AF1960" s="80" t="n">
        <x:f>D1960*W1960</x:f>
        <x:v>0.0006905862621730425</x:v>
      </x:c>
      <x:c r="AG1960" s="80" t="n">
        <x:f>C1960*W1960</x:f>
        <x:v>0.0016113679450704506</x:v>
      </x:c>
      <x:c r="AH1960" s="80" t="n">
        <x:f>2*'Inputs'!$B$8*'Inputs'!$C$49</x:f>
        <x:v>15000</x:v>
      </x:c>
      <x:c r="AI1960" s="81" t="n">
        <x:f>IF(AH1960&gt;0,(AE1960+AF1960)/AH1960*365,0)</x:f>
        <x:v>0.002917441275806831</x:v>
      </x:c>
      <x:c r="AJ1960" s="81" t="n">
        <x:f>IF('Inputs'!$B$49&gt;0,AG1960/('Inputs'!$B$19*'Inputs'!$B$49)*365,0)</x:f>
        <x:v>0.00005881492999507145</x:v>
      </x:c>
      <x:c r="AK1960" s="81" t="n">
        <x:f>W1960/MAX($W$1829:W1960)-1</x:f>
        <x:v>-0.9999968980723478</x:v>
      </x:c>
      <x:c r="AL1960" s="83" t="n">
        <x:f>'Inputs'!$B$49</x:f>
        <x:v>1</x:v>
      </x:c>
      <x:c r="AM1960" s="83" t="n">
        <x:f>'Inputs'!$C$49</x:f>
        <x:v>3</x:v>
      </x:c>
      <x:c r="AN1960" s="83" t="n">
        <x:f>'Inputs'!$D$49</x:f>
        <x:v>0.75</x:v>
      </x:c>
      <x:c r="AO1960" s="81" t="n">
        <x:f>'Inputs'!$E$49</x:f>
        <x:v>-0.03</x:v>
      </x:c>
    </x:row>
    <x:row r="1961">
      <x:c r="A1961" s="59" t="str">
        <x:v>Mercenary LP</x:v>
      </x:c>
      <x:c r="B1961" s="59" t="n">
        <x:v>133</x:v>
      </x:c>
      <x:c r="C1961" s="78" t="n">
        <x:f>(('Inputs'!$B$29*(3*133*'Inputs'!$B$12-133^2)/(2*'Inputs'!$B$12^2))-('Inputs'!$B$29*(3*132*'Inputs'!$B$12-132^2)/(2*'Inputs'!$B$12^2)))*'Inputs'!$B$49</x:f>
        <x:v>668909.5045974851</x:v>
      </x:c>
      <x:c r="D1961" s="78" t="n">
        <x:f>IF('Inputs'!$C$49&gt;0,('Inputs'!$B$30*(3*133*'Inputs'!$B$12-133^2)/(2*'Inputs'!$B$12^2))-('Inputs'!$B$30*(3*132*'Inputs'!$B$12-132^2)/(2*'Inputs'!$B$12^2)),0)</x:f>
        <x:v>286675.50197035074</x:v>
      </x:c>
      <x:c r="E1961" s="78" t="n">
        <x:f>C1961+D1961</x:f>
        <x:v>955585.0065678358</x:v>
      </x:c>
      <x:c r="F1961" s="78" t="n">
        <x:f>'Inputs'!$B$13*E1961+(1-'Inputs'!$B$13)/'Inputs'!$B$14*SUM(E1906:E1961)</x:f>
        <x:v>965802.683430287</x:v>
      </x:c>
      <x:c r="G1961" s="78" t="n">
        <x:f>F1961*'Inputs'!$F$49</x:f>
        <x:v>869222.4150872583</x:v>
      </x:c>
      <x:c r="H1961" s="78" t="n">
        <x:f>U1960</x:f>
        <x:v>7020235684.93653</x:v>
      </x:c>
      <x:c r="I1961" s="78" t="n">
        <x:f>V1960</x:f>
        <x:v>16.903164508076035</x:v>
      </x:c>
      <x:c r="J1961" s="79" t="n">
        <x:f>IF(H1961&gt;0,I1961/H1961,0)</x:f>
        <x:v>2.4077773548750672e-9</x:v>
      </x:c>
      <x:c r="K1961" s="80" t="n">
        <x:f>(H1961*J1961+I1961)*'Inputs'!$D$49*(1+'Inputs'!$G$49)^(B1961/30)</x:f>
        <x:v>25.354746762114054</x:v>
      </x:c>
      <x:c r="L1961" s="80" t="n">
        <x:f>MAX(0,K1961*'Inputs'!$E$49)</x:f>
        <x:v>0</x:v>
      </x:c>
      <x:c r="M1961" s="80" t="n">
        <x:f>MAX(0,-K1961*'Inputs'!$E$49)</x:f>
        <x:v>0.7606424028634216</x:v>
      </x:c>
      <x:c r="N1961" s="78" t="n">
        <x:f>H1961*(L1961*(1-'Inputs'!$B$15))/(I1961+L1961*(1-'Inputs'!$B$15))</x:f>
        <x:v>0</x:v>
      </x:c>
      <x:c r="O1961" s="78" t="n">
        <x:f>H1961-N1961</x:f>
        <x:v>7020235684.93653</x:v>
      </x:c>
      <x:c r="P1961" s="78" t="n">
        <x:f>I1961+L1961*(1-'Inputs'!$B$17)</x:f>
        <x:v>16.903164508076035</x:v>
      </x:c>
      <x:c r="Q1961" s="78" t="n">
        <x:f>IF(J1961&gt;0,M1961/J1961,0)</x:f>
        <x:v>315910605.82214385</x:v>
      </x:c>
      <x:c r="R1961" s="78" t="n">
        <x:f>IF(B1961='Inputs'!$H$49,'Inputs'!$B$27*'Inputs'!$I$49,0)</x:f>
        <x:v>0</x:v>
      </x:c>
      <x:c r="S1961" s="78" t="n">
        <x:f>Q1961+G1961+R1961</x:f>
        <x:v>316779828.23723114</x:v>
      </x:c>
      <x:c r="T1961" s="78" t="n">
        <x:f>P1961*(S1961*(1-'Inputs'!$B$15))/(O1961+S1961*(1-'Inputs'!$B$15))</x:f>
        <x:v>0.722817808621099</x:v>
      </x:c>
      <x:c r="U1961" s="78" t="n">
        <x:f>O1961+S1961*(1-'Inputs'!$B$17)</x:f>
        <x:v>7335740745.253289</x:v>
      </x:c>
      <x:c r="V1961" s="78" t="n">
        <x:f>P1961-T1961</x:f>
        <x:v>16.180346699454937</x:v>
      </x:c>
      <x:c r="W1961" s="79" t="n">
        <x:f>IF(U1961&gt;0,V1961/U1961,0)</x:f>
        <x:v>2.205686823096181e-9</x:v>
      </x:c>
      <x:c r="X1961" s="80" t="n">
        <x:f>W1961*('Inputs'!$B$6-AC1961)</x:f>
        <x:v>1.0993632890994631</x:v>
      </x:c>
      <x:c r="Y1961" s="80" t="n">
        <x:f>2*V1961</x:f>
        <x:v>32.36069339890987</x:v>
      </x:c>
      <x:c r="Z1961" s="80" t="n">
        <x:f>K1961*'Inputs'!$B$16+(G1961+R1961)*J1961*'Inputs'!$B$16</x:f>
        <x:v>0.1521410379369687</x:v>
      </x:c>
      <x:c r="AA1961" s="80" t="n">
        <x:f>K1961*(1+'Inputs'!$E$49)/2*'Inputs'!$B$17</x:f>
        <x:v>0.04948511943511194</x:v>
      </x:c>
      <x:c r="AB1961" s="78" t="n">
        <x:f>(IF(J1961&gt;0,K1961*(1-'Inputs'!$E$49)/2/J1961,0)+G1961+R1961)*'Inputs'!$B$17</x:f>
        <x:v>21826966.9578614</x:v>
      </x:c>
      <x:c r="AC1961" s="78" t="n">
        <x:f>AC1960+AB1961</x:f>
        <x:v>501577795.3661355</x:v>
      </x:c>
      <x:c r="AD1961" s="80" t="n">
        <x:f>Z1961/(1+'Inputs'!$C$49)</x:f>
        <x:v>0.038035259484242176</x:v>
      </x:c>
      <x:c r="AE1961" s="80" t="n">
        <x:f>Z1961-AD1961</x:f>
        <x:v>0.11410577845272653</x:v>
      </x:c>
      <x:c r="AF1961" s="80" t="n">
        <x:f>D1961*W1961</x:f>
        <x:v>0.0006323163772004859</x:v>
      </x:c>
      <x:c r="AG1961" s="80" t="n">
        <x:f>C1961*W1961</x:f>
        <x:v>0.001475404880134467</x:v>
      </x:c>
      <x:c r="AH1961" s="80" t="n">
        <x:f>2*'Inputs'!$B$8*'Inputs'!$C$49</x:f>
        <x:v>15000</x:v>
      </x:c>
      <x:c r="AI1961" s="81" t="n">
        <x:f>IF(AH1961&gt;0,(AE1961+AF1961)/AH1961*365,0)</x:f>
        <x:v>0.002791960307528224</x:v>
      </x:c>
      <x:c r="AJ1961" s="81" t="n">
        <x:f>IF('Inputs'!$B$49&gt;0,AG1961/('Inputs'!$B$19*'Inputs'!$B$49)*365,0)</x:f>
        <x:v>0.000053852278124908045</x:v>
      </x:c>
      <x:c r="AK1961" s="81" t="n">
        <x:f>W1961/MAX($W$1829:W1961)-1</x:f>
        <x:v>-0.9999971584245799</x:v>
      </x:c>
      <x:c r="AL1961" s="83" t="n">
        <x:f>'Inputs'!$B$49</x:f>
        <x:v>1</x:v>
      </x:c>
      <x:c r="AM1961" s="83" t="n">
        <x:f>'Inputs'!$C$49</x:f>
        <x:v>3</x:v>
      </x:c>
      <x:c r="AN1961" s="83" t="n">
        <x:f>'Inputs'!$D$49</x:f>
        <x:v>0.75</x:v>
      </x:c>
      <x:c r="AO1961" s="81" t="n">
        <x:f>'Inputs'!$E$49</x:f>
        <x:v>-0.03</x:v>
      </x:c>
    </x:row>
    <x:row r="1962">
      <x:c r="A1962" s="59" t="str">
        <x:v>Mercenary LP</x:v>
      </x:c>
      <x:c r="B1962" s="59" t="n">
        <x:v>134</x:v>
      </x:c>
      <x:c r="C1962" s="78" t="n">
        <x:f>(('Inputs'!$B$29*(3*134*'Inputs'!$B$12-134^2)/(2*'Inputs'!$B$12^2))-('Inputs'!$B$29*(3*133*'Inputs'!$B$12-133^2)/(2*'Inputs'!$B$12^2)))*'Inputs'!$B$49</x:f>
        <x:v>668584.3966973126</x:v>
      </x:c>
      <x:c r="D1962" s="78" t="n">
        <x:f>IF('Inputs'!$C$49&gt;0,('Inputs'!$B$30*(3*134*'Inputs'!$B$12-134^2)/(2*'Inputs'!$B$12^2))-('Inputs'!$B$30*(3*133*'Inputs'!$B$12-133^2)/(2*'Inputs'!$B$12^2)),0)</x:f>
        <x:v>286536.17001313716</x:v>
      </x:c>
      <x:c r="E1962" s="78" t="n">
        <x:f>C1962+D1962</x:f>
        <x:v>955120.5667104498</x:v>
      </x:c>
      <x:c r="F1962" s="78" t="n">
        <x:f>'Inputs'!$B$13*E1962+(1-'Inputs'!$B$13)/'Inputs'!$B$14*SUM(E1907:E1962)</x:f>
        <x:v>965338.2435729025</x:v>
      </x:c>
      <x:c r="G1962" s="78" t="n">
        <x:f>F1962*'Inputs'!$F$49</x:f>
        <x:v>868804.4192156122</x:v>
      </x:c>
      <x:c r="H1962" s="78" t="n">
        <x:f>U1961</x:f>
        <x:v>7335740745.253289</x:v>
      </x:c>
      <x:c r="I1962" s="78" t="n">
        <x:f>V1961</x:f>
        <x:v>16.180346699454937</x:v>
      </x:c>
      <x:c r="J1962" s="79" t="n">
        <x:f>IF(H1962&gt;0,I1962/H1962,0)</x:f>
        <x:v>2.205686823096181e-9</x:v>
      </x:c>
      <x:c r="K1962" s="80" t="n">
        <x:f>(H1962*J1962+I1962)*'Inputs'!$D$49*(1+'Inputs'!$G$49)^(B1962/30)</x:f>
        <x:v>24.270520049182405</x:v>
      </x:c>
      <x:c r="L1962" s="80" t="n">
        <x:f>MAX(0,K1962*'Inputs'!$E$49)</x:f>
        <x:v>0</x:v>
      </x:c>
      <x:c r="M1962" s="80" t="n">
        <x:f>MAX(0,-K1962*'Inputs'!$E$49)</x:f>
        <x:v>0.7281156014754722</x:v>
      </x:c>
      <x:c r="N1962" s="78" t="n">
        <x:f>H1962*(L1962*(1-'Inputs'!$B$15))/(I1962+L1962*(1-'Inputs'!$B$15))</x:f>
        <x:v>0</x:v>
      </x:c>
      <x:c r="O1962" s="78" t="n">
        <x:f>H1962-N1962</x:f>
        <x:v>7335740745.253289</x:v>
      </x:c>
      <x:c r="P1962" s="78" t="n">
        <x:f>I1962+L1962*(1-'Inputs'!$B$17)</x:f>
        <x:v>16.180346699454937</x:v>
      </x:c>
      <x:c r="Q1962" s="78" t="n">
        <x:f>IF(J1962&gt;0,M1962/J1962,0)</x:f>
        <x:v>330108333.536398</x:v>
      </x:c>
      <x:c r="R1962" s="78" t="n">
        <x:f>IF(B1962='Inputs'!$H$49,'Inputs'!$B$27*'Inputs'!$I$49,0)</x:f>
        <x:v>0</x:v>
      </x:c>
      <x:c r="S1962" s="78" t="n">
        <x:f>Q1962+G1962+R1962</x:f>
        <x:v>330977137.9556136</x:v>
      </x:c>
      <x:c r="T1962" s="78" t="n">
        <x:f>P1962*(S1962*(1-'Inputs'!$B$15))/(O1962+S1962*(1-'Inputs'!$B$15))</x:f>
        <x:v>0.6918294727269075</x:v>
      </x:c>
      <x:c r="U1962" s="78" t="n">
        <x:f>O1962+S1962*(1-'Inputs'!$B$17)</x:f>
        <x:v>7665385983.257371</x:v>
      </x:c>
      <x:c r="V1962" s="78" t="n">
        <x:f>P1962-T1962</x:f>
        <x:v>15.48851722672803</x:v>
      </x:c>
      <x:c r="W1962" s="79" t="n">
        <x:f>IF(U1962&gt;0,V1962/U1962,0)</x:f>
        <x:v>2.020578906340507e-9</x:v>
      </x:c>
      <x:c r="X1962" s="80" t="n">
        <x:f>W1962*('Inputs'!$B$6-AC1962)</x:f>
        <x:v>0.9610165129947185</x:v>
      </x:c>
      <x:c r="Y1962" s="80" t="n">
        <x:f>2*V1962</x:f>
        <x:v>30.97703445345606</x:v>
      </x:c>
      <x:c r="Z1962" s="80" t="n">
        <x:f>K1962*'Inputs'!$B$16+(G1962+R1962)*J1962*'Inputs'!$B$16</x:f>
        <x:v>0.1456346181578503</x:v>
      </x:c>
      <x:c r="AA1962" s="80" t="n">
        <x:f>K1962*(1+'Inputs'!$E$49)/2*'Inputs'!$B$17</x:f>
        <x:v>0.047369023033615565</x:v>
      </x:c>
      <x:c r="AB1962" s="78" t="n">
        <x:f>(IF(J1962&gt;0,K1962*(1-'Inputs'!$E$49)/2/J1962,0)+G1962+R1962)*'Inputs'!$B$17</x:f>
        <x:v>22807760.68461723</x:v>
      </x:c>
      <x:c r="AC1962" s="78" t="n">
        <x:f>AC1961+AB1962</x:f>
        <x:v>524385556.0507527</x:v>
      </x:c>
      <x:c r="AD1962" s="80" t="n">
        <x:f>Z1962/(1+'Inputs'!$C$49)</x:f>
        <x:v>0.03640865453946258</x:v>
      </x:c>
      <x:c r="AE1962" s="80" t="n">
        <x:f>Z1962-AD1962</x:f>
        <x:v>0.10922596361838774</x:v>
      </x:c>
      <x:c r="AF1962" s="80" t="n">
        <x:f>D1962*W1962</x:f>
        <x:v>0.0005789689410321423</x:v>
      </x:c>
      <x:c r="AG1962" s="80" t="n">
        <x:f>C1962*W1962</x:f>
        <x:v>0.0013509275290749835</x:v>
      </x:c>
      <x:c r="AH1962" s="80" t="n">
        <x:f>2*'Inputs'!$B$8*'Inputs'!$C$49</x:f>
        <x:v>15000</x:v>
      </x:c>
      <x:c r="AI1962" s="81" t="n">
        <x:f>IF(AH1962&gt;0,(AE1962+AF1962)/AH1962*365,0)</x:f>
        <x:v>0.00267192002561255</x:v>
      </x:c>
      <x:c r="AJ1962" s="81" t="n">
        <x:f>IF('Inputs'!$B$49&gt;0,AG1962/('Inputs'!$B$19*'Inputs'!$B$49)*365,0)</x:f>
        <x:v>0.000049308854811236893</x:v>
      </x:c>
      <x:c r="AK1962" s="81" t="n">
        <x:f>W1962/MAX($W$1829:W1962)-1</x:f>
        <x:v>-0.9999973968981931</x:v>
      </x:c>
      <x:c r="AL1962" s="83" t="n">
        <x:f>'Inputs'!$B$49</x:f>
        <x:v>1</x:v>
      </x:c>
      <x:c r="AM1962" s="83" t="n">
        <x:f>'Inputs'!$C$49</x:f>
        <x:v>3</x:v>
      </x:c>
      <x:c r="AN1962" s="83" t="n">
        <x:f>'Inputs'!$D$49</x:f>
        <x:v>0.75</x:v>
      </x:c>
      <x:c r="AO1962" s="81" t="n">
        <x:f>'Inputs'!$E$49</x:f>
        <x:v>-0.03</x:v>
      </x:c>
    </x:row>
    <x:row r="1963">
      <x:c r="A1963" s="59" t="str">
        <x:v>Mercenary LP</x:v>
      </x:c>
      <x:c r="B1963" s="59" t="n">
        <x:v>135</x:v>
      </x:c>
      <x:c r="C1963" s="78" t="n">
        <x:f>(('Inputs'!$B$29*(3*135*'Inputs'!$B$12-135^2)/(2*'Inputs'!$B$12^2))-('Inputs'!$B$29*(3*134*'Inputs'!$B$12-134^2)/(2*'Inputs'!$B$12^2)))*'Inputs'!$B$49</x:f>
        <x:v>668259.288797155</x:v>
      </x:c>
      <x:c r="D1963" s="78" t="n">
        <x:f>IF('Inputs'!$C$49&gt;0,('Inputs'!$B$30*(3*135*'Inputs'!$B$12-135^2)/(2*'Inputs'!$B$12^2))-('Inputs'!$B$30*(3*134*'Inputs'!$B$12-134^2)/(2*'Inputs'!$B$12^2)),0)</x:f>
        <x:v>286396.83805591613</x:v>
      </x:c>
      <x:c r="E1963" s="78" t="n">
        <x:f>C1963+D1963</x:f>
        <x:v>954656.1268530712</x:v>
      </x:c>
      <x:c r="F1963" s="78" t="n">
        <x:f>'Inputs'!$B$13*E1963+(1-'Inputs'!$B$13)/'Inputs'!$B$14*SUM(E1908:E1963)</x:f>
        <x:v>964873.8037155196</x:v>
      </x:c>
      <x:c r="G1963" s="78" t="n">
        <x:f>F1963*'Inputs'!$F$49</x:f>
        <x:v>868386.4233439676</x:v>
      </x:c>
      <x:c r="H1963" s="78" t="n">
        <x:f>U1962</x:f>
        <x:v>7665385983.257371</x:v>
      </x:c>
      <x:c r="I1963" s="78" t="n">
        <x:f>V1962</x:f>
        <x:v>15.48851722672803</x:v>
      </x:c>
      <x:c r="J1963" s="79" t="n">
        <x:f>IF(H1963&gt;0,I1963/H1963,0)</x:f>
        <x:v>2.020578906340507e-9</x:v>
      </x:c>
      <x:c r="K1963" s="80" t="n">
        <x:f>(H1963*J1963+I1963)*'Inputs'!$D$49*(1+'Inputs'!$G$49)^(B1963/30)</x:f>
        <x:v>23.232775840092046</x:v>
      </x:c>
      <x:c r="L1963" s="80" t="n">
        <x:f>MAX(0,K1963*'Inputs'!$E$49)</x:f>
        <x:v>0</x:v>
      </x:c>
      <x:c r="M1963" s="80" t="n">
        <x:f>MAX(0,-K1963*'Inputs'!$E$49)</x:f>
        <x:v>0.6969832752027614</x:v>
      </x:c>
      <x:c r="N1963" s="78" t="n">
        <x:f>H1963*(L1963*(1-'Inputs'!$B$15))/(I1963+L1963*(1-'Inputs'!$B$15))</x:f>
        <x:v>0</x:v>
      </x:c>
      <x:c r="O1963" s="78" t="n">
        <x:f>H1963-N1963</x:f>
        <x:v>7665385983.257371</x:v>
      </x:c>
      <x:c r="P1963" s="78" t="n">
        <x:f>I1963+L1963*(1-'Inputs'!$B$17)</x:f>
        <x:v>15.48851722672803</x:v>
      </x:c>
      <x:c r="Q1963" s="78" t="n">
        <x:f>IF(J1963&gt;0,M1963/J1963,0)</x:f>
        <x:v>344942369.2465817</x:v>
      </x:c>
      <x:c r="R1963" s="78" t="n">
        <x:f>IF(B1963='Inputs'!$H$49,'Inputs'!$B$27*'Inputs'!$I$49,0)</x:f>
        <x:v>0</x:v>
      </x:c>
      <x:c r="S1963" s="78" t="n">
        <x:f>Q1963+G1963+R1963</x:f>
        <x:v>345810755.66992563</x:v>
      </x:c>
      <x:c r="T1963" s="78" t="n">
        <x:f>P1963*(S1963*(1-'Inputs'!$B$15))/(O1963+S1963*(1-'Inputs'!$B$15))</x:f>
        <x:v>0.6621763186856273</x:v>
      </x:c>
      <x:c r="U1963" s="78" t="n">
        <x:f>O1963+S1963*(1-'Inputs'!$B$17)</x:f>
        <x:v>8009805146.349148</x:v>
      </x:c>
      <x:c r="V1963" s="78" t="n">
        <x:f>P1963-T1963</x:f>
        <x:v>14.826340908042402</x:v>
      </x:c>
      <x:c r="W1963" s="79" t="n">
        <x:f>IF(U1963&gt;0,V1963/U1963,0)</x:f>
        <x:v>1.8510239184532744e-9</x:v>
      </x:c>
      <x:c r="X1963" s="80" t="n">
        <x:f>W1963*('Inputs'!$B$6-AC1963)</x:f>
        <x:v>0.836259163255528</x:v>
      </x:c>
      <x:c r="Y1963" s="80" t="n">
        <x:f>2*V1963</x:f>
        <x:v>29.652681816084804</x:v>
      </x:c>
      <x:c r="Z1963" s="80" t="n">
        <x:f>K1963*'Inputs'!$B$16+(G1963+R1963)*J1963*'Inputs'!$B$16</x:f>
        <x:v>0.13940718290028967</x:v>
      </x:c>
      <x:c r="AA1963" s="80" t="n">
        <x:f>K1963*(1+'Inputs'!$E$49)/2*'Inputs'!$B$17</x:f>
        <x:v>0.04534364701184967</x:v>
      </x:c>
      <x:c r="AB1963" s="78" t="n">
        <x:f>(IF(J1963&gt;0,K1963*(1-'Inputs'!$E$49)/2/J1963,0)+G1963+R1963)*'Inputs'!$B$17</x:f>
        <x:v>23832511.30176927</x:v>
      </x:c>
      <x:c r="AC1963" s="78" t="n">
        <x:f>AC1962+AB1963</x:f>
        <x:v>548218067.352522</x:v>
      </x:c>
      <x:c r="AD1963" s="80" t="n">
        <x:f>Z1963/(1+'Inputs'!$C$49)</x:f>
        <x:v>0.03485179572507242</x:v>
      </x:c>
      <x:c r="AE1963" s="80" t="n">
        <x:f>Z1963-AD1963</x:f>
        <x:v>0.10455538717521726</x:v>
      </x:c>
      <x:c r="AF1963" s="80" t="n">
        <x:f>D1963*W1963</x:f>
        <x:v>0.0005301273974108897</x:v>
      </x:c>
      <x:c r="AG1963" s="80" t="n">
        <x:f>C1963*W1963</x:f>
        <x:v>0.0012369639272921081</x:v>
      </x:c>
      <x:c r="AH1963" s="80" t="n">
        <x:f>2*'Inputs'!$B$8*'Inputs'!$C$49</x:f>
        <x:v>15000</x:v>
      </x:c>
      <x:c r="AI1963" s="81" t="n">
        <x:f>IF(AH1963&gt;0,(AE1963+AF1963)/AH1963*365,0)</x:f>
        <x:v>0.0025570808546006183</x:v>
      </x:c>
      <x:c r="AJ1963" s="81" t="n">
        <x:f>IF('Inputs'!$B$49&gt;0,AG1963/('Inputs'!$B$19*'Inputs'!$B$49)*365,0)</x:f>
        <x:v>0.00004514918334616195</x:v>
      </x:c>
      <x:c r="AK1963" s="81" t="n">
        <x:f>W1963/MAX($W$1829:W1963)-1</x:f>
        <x:v>-0.999997615335045</x:v>
      </x:c>
      <x:c r="AL1963" s="83" t="n">
        <x:f>'Inputs'!$B$49</x:f>
        <x:v>1</x:v>
      </x:c>
      <x:c r="AM1963" s="83" t="n">
        <x:f>'Inputs'!$C$49</x:f>
        <x:v>3</x:v>
      </x:c>
      <x:c r="AN1963" s="83" t="n">
        <x:f>'Inputs'!$D$49</x:f>
        <x:v>0.75</x:v>
      </x:c>
      <x:c r="AO1963" s="81" t="n">
        <x:f>'Inputs'!$E$49</x:f>
        <x:v>-0.03</x:v>
      </x:c>
    </x:row>
    <x:row r="1964">
      <x:c r="A1964" s="59" t="str">
        <x:v>Mercenary LP</x:v>
      </x:c>
      <x:c r="B1964" s="59" t="n">
        <x:v>136</x:v>
      </x:c>
      <x:c r="C1964" s="78" t="n">
        <x:f>(('Inputs'!$B$29*(3*136*'Inputs'!$B$12-136^2)/(2*'Inputs'!$B$12^2))-('Inputs'!$B$29*(3*135*'Inputs'!$B$12-135^2)/(2*'Inputs'!$B$12^2)))*'Inputs'!$B$49</x:f>
        <x:v>667934.1808969676</x:v>
      </x:c>
      <x:c r="D1964" s="78" t="n">
        <x:f>IF('Inputs'!$C$49&gt;0,('Inputs'!$B$30*(3*136*'Inputs'!$B$12-136^2)/(2*'Inputs'!$B$12^2))-('Inputs'!$B$30*(3*135*'Inputs'!$B$12-135^2)/(2*'Inputs'!$B$12^2)),0)</x:f>
        <x:v>286257.50609871</x:v>
      </x:c>
      <x:c r="E1964" s="78" t="n">
        <x:f>C1964+D1964</x:f>
        <x:v>954191.6869956776</x:v>
      </x:c>
      <x:c r="F1964" s="78" t="n">
        <x:f>'Inputs'!$B$13*E1964+(1-'Inputs'!$B$13)/'Inputs'!$B$14*SUM(E1909:E1964)</x:f>
        <x:v>964409.3638581334</x:v>
      </x:c>
      <x:c r="G1964" s="78" t="n">
        <x:f>F1964*'Inputs'!$F$49</x:f>
        <x:v>867968.4274723202</x:v>
      </x:c>
      <x:c r="H1964" s="78" t="n">
        <x:f>U1963</x:f>
        <x:v>8009805146.349148</x:v>
      </x:c>
      <x:c r="I1964" s="78" t="n">
        <x:f>V1963</x:f>
        <x:v>14.826340908042402</x:v>
      </x:c>
      <x:c r="J1964" s="79" t="n">
        <x:f>IF(H1964&gt;0,I1964/H1964,0)</x:f>
        <x:v>1.8510239184532744e-9</x:v>
      </x:c>
      <x:c r="K1964" s="80" t="n">
        <x:f>(H1964*J1964+I1964)*'Inputs'!$D$49*(1+'Inputs'!$G$49)^(B1964/30)</x:f>
        <x:v>22.239511362063602</x:v>
      </x:c>
      <x:c r="L1964" s="80" t="n">
        <x:f>MAX(0,K1964*'Inputs'!$E$49)</x:f>
        <x:v>0</x:v>
      </x:c>
      <x:c r="M1964" s="80" t="n">
        <x:f>MAX(0,-K1964*'Inputs'!$E$49)</x:f>
        <x:v>0.6671853408619081</x:v>
      </x:c>
      <x:c r="N1964" s="78" t="n">
        <x:f>H1964*(L1964*(1-'Inputs'!$B$15))/(I1964+L1964*(1-'Inputs'!$B$15))</x:f>
        <x:v>0</x:v>
      </x:c>
      <x:c r="O1964" s="78" t="n">
        <x:f>H1964-N1964</x:f>
        <x:v>8009805146.349148</x:v>
      </x:c>
      <x:c r="P1964" s="78" t="n">
        <x:f>I1964+L1964*(1-'Inputs'!$B$17)</x:f>
        <x:v>14.826340908042402</x:v>
      </x:c>
      <x:c r="Q1964" s="78" t="n">
        <x:f>IF(J1964&gt;0,M1964/J1964,0)</x:f>
        <x:v>360441231.5857116</x:v>
      </x:c>
      <x:c r="R1964" s="78" t="n">
        <x:f>IF(B1964='Inputs'!$H$49,'Inputs'!$B$27*'Inputs'!$I$49,0)</x:f>
        <x:v>0</x:v>
      </x:c>
      <x:c r="S1964" s="78" t="n">
        <x:f>Q1964+G1964+R1964</x:f>
        <x:v>361309200.0131839</x:v>
      </x:c>
      <x:c r="T1964" s="78" t="n">
        <x:f>P1964*(S1964*(1-'Inputs'!$B$15))/(O1964+S1964*(1-'Inputs'!$B$15))</x:f>
        <x:v>0.6338002562134907</x:v>
      </x:c>
      <x:c r="U1964" s="78" t="n">
        <x:f>O1964+S1964*(1-'Inputs'!$B$17)</x:f>
        <x:v>8369660385.798899</x:v>
      </x:c>
      <x:c r="V1964" s="78" t="n">
        <x:f>P1964-T1964</x:f>
        <x:v>14.192540651828912</x:v>
      </x:c>
      <x:c r="W1964" s="79" t="n">
        <x:f>IF(U1964&gt;0,V1964/U1964,0)</x:f>
        <x:v>1.6957128482668068e-9</x:v>
      </x:c>
      <x:c r="X1964" s="80" t="n">
        <x:f>W1964*('Inputs'!$B$6-AC1964)</x:f>
        <x:v>0.7238637704086779</x:v>
      </x:c>
      <x:c r="Y1964" s="80" t="n">
        <x:f>2*V1964</x:f>
        <x:v>28.385081303657824</x:v>
      </x:c>
      <x:c r="Z1964" s="80" t="n">
        <x:f>K1964*'Inputs'!$B$16+(G1964+R1964)*J1964*'Inputs'!$B$16</x:f>
        <x:v>0.13344670795429991</x:v>
      </x:c>
      <x:c r="AA1964" s="80" t="n">
        <x:f>K1964*(1+'Inputs'!$E$49)/2*'Inputs'!$B$17</x:f>
        <x:v>0.04340508253762917</x:v>
      </x:c>
      <x:c r="AB1964" s="78" t="n">
        <x:f>(IF(J1964&gt;0,K1964*(1-'Inputs'!$E$49)/2/J1964,0)+G1964+R1964)*'Inputs'!$B$17</x:f>
        <x:v>24903188.90938507</x:v>
      </x:c>
      <x:c r="AC1964" s="78" t="n">
        <x:f>AC1963+AB1964</x:f>
        <x:v>573121256.2619071</x:v>
      </x:c>
      <x:c r="AD1964" s="80" t="n">
        <x:f>Z1964/(1+'Inputs'!$C$49)</x:f>
        <x:v>0.03336167698857498</x:v>
      </x:c>
      <x:c r="AE1964" s="80" t="n">
        <x:f>Z1964-AD1964</x:f>
        <x:v>0.10008503096572494</x:v>
      </x:c>
      <x:c r="AF1964" s="80" t="n">
        <x:f>D1964*W1964</x:f>
        <x:v>0.00048541053100439635</x:v>
      </x:c>
      <x:c r="AG1964" s="80" t="n">
        <x:f>C1964*W1964</x:f>
        <x:v>0.0011326245723435537</x:v>
      </x:c>
      <x:c r="AH1964" s="80" t="n">
        <x:f>2*'Inputs'!$B$8*'Inputs'!$C$49</x:f>
        <x:v>15000</x:v>
      </x:c>
      <x:c r="AI1964" s="81" t="n">
        <x:f>IF(AH1964&gt;0,(AE1964+AF1964)/AH1964*365,0)</x:f>
        <x:v>0.0024472140764204135</x:v>
      </x:c>
      <x:c r="AJ1964" s="81" t="n">
        <x:f>IF('Inputs'!$B$49&gt;0,AG1964/('Inputs'!$B$19*'Inputs'!$B$49)*365,0)</x:f>
        <x:v>0.00004134079689053971</x:v>
      </x:c>
      <x:c r="AK1964" s="81" t="n">
        <x:f>W1964/MAX($W$1829:W1964)-1</x:f>
        <x:v>-0.9999978154215282</x:v>
      </x:c>
      <x:c r="AL1964" s="83" t="n">
        <x:f>'Inputs'!$B$49</x:f>
        <x:v>1</x:v>
      </x:c>
      <x:c r="AM1964" s="83" t="n">
        <x:f>'Inputs'!$C$49</x:f>
        <x:v>3</x:v>
      </x:c>
      <x:c r="AN1964" s="83" t="n">
        <x:f>'Inputs'!$D$49</x:f>
        <x:v>0.75</x:v>
      </x:c>
      <x:c r="AO1964" s="81" t="n">
        <x:f>'Inputs'!$E$49</x:f>
        <x:v>-0.03</x:v>
      </x:c>
    </x:row>
    <x:row r="1965">
      <x:c r="A1965" s="59" t="str">
        <x:v>Mercenary LP</x:v>
      </x:c>
      <x:c r="B1965" s="59" t="n">
        <x:v>137</x:v>
      </x:c>
      <x:c r="C1965" s="78" t="n">
        <x:f>(('Inputs'!$B$29*(3*137*'Inputs'!$B$12-137^2)/(2*'Inputs'!$B$12^2))-('Inputs'!$B$29*(3*136*'Inputs'!$B$12-136^2)/(2*'Inputs'!$B$12^2)))*'Inputs'!$B$49</x:f>
        <x:v>667609.0729968101</x:v>
      </x:c>
      <x:c r="D1965" s="78" t="n">
        <x:f>IF('Inputs'!$C$49&gt;0,('Inputs'!$B$30*(3*137*'Inputs'!$B$12-137^2)/(2*'Inputs'!$B$12^2))-('Inputs'!$B$30*(3*136*'Inputs'!$B$12-136^2)/(2*'Inputs'!$B$12^2)),0)</x:f>
        <x:v>286118.17414148897</x:v>
      </x:c>
      <x:c r="E1965" s="78" t="n">
        <x:f>C1965+D1965</x:f>
        <x:v>953727.247138299</x:v>
      </x:c>
      <x:c r="F1965" s="78" t="n">
        <x:f>'Inputs'!$B$13*E1965+(1-'Inputs'!$B$13)/'Inputs'!$B$14*SUM(E1910:E1965)</x:f>
        <x:v>963944.9240007505</x:v>
      </x:c>
      <x:c r="G1965" s="78" t="n">
        <x:f>F1965*'Inputs'!$F$49</x:f>
        <x:v>867550.4316006755</x:v>
      </x:c>
      <x:c r="H1965" s="78" t="n">
        <x:f>U1964</x:f>
        <x:v>8369660385.798899</x:v>
      </x:c>
      <x:c r="I1965" s="78" t="n">
        <x:f>V1964</x:f>
        <x:v>14.192540651828912</x:v>
      </x:c>
      <x:c r="J1965" s="79" t="n">
        <x:f>IF(H1965&gt;0,I1965/H1965,0)</x:f>
        <x:v>1.6957128482668068e-9</x:v>
      </x:c>
      <x:c r="K1965" s="80" t="n">
        <x:f>(H1965*J1965+I1965)*'Inputs'!$D$49*(1+'Inputs'!$G$49)^(B1965/30)</x:f>
        <x:v>21.288810977743367</x:v>
      </x:c>
      <x:c r="L1965" s="80" t="n">
        <x:f>MAX(0,K1965*'Inputs'!$E$49)</x:f>
        <x:v>0</x:v>
      </x:c>
      <x:c r="M1965" s="80" t="n">
        <x:f>MAX(0,-K1965*'Inputs'!$E$49)</x:f>
        <x:v>0.638664329332301</x:v>
      </x:c>
      <x:c r="N1965" s="78" t="n">
        <x:f>H1965*(L1965*(1-'Inputs'!$B$15))/(I1965+L1965*(1-'Inputs'!$B$15))</x:f>
        <x:v>0</x:v>
      </x:c>
      <x:c r="O1965" s="78" t="n">
        <x:f>H1965-N1965</x:f>
        <x:v>8369660385.798899</x:v>
      </x:c>
      <x:c r="P1965" s="78" t="n">
        <x:f>I1965+L1965*(1-'Inputs'!$B$17)</x:f>
        <x:v>14.192540651828912</x:v>
      </x:c>
      <x:c r="Q1965" s="78" t="n">
        <x:f>IF(J1965&gt;0,M1965/J1965,0)</x:f>
        <x:v>376634717.3609504</x:v>
      </x:c>
      <x:c r="R1965" s="78" t="n">
        <x:f>IF(B1965='Inputs'!$H$49,'Inputs'!$B$27*'Inputs'!$I$49,0)</x:f>
        <x:v>0</x:v>
      </x:c>
      <x:c r="S1965" s="78" t="n">
        <x:f>Q1965+G1965+R1965</x:f>
        <x:v>377502267.7925511</x:v>
      </x:c>
      <x:c r="T1965" s="78" t="n">
        <x:f>P1965*(S1965*(1-'Inputs'!$B$15))/(O1965+S1965*(1-'Inputs'!$B$15))</x:f>
        <x:v>0.6066457696821987</x:v>
      </x:c>
      <x:c r="U1965" s="78" t="n">
        <x:f>O1965+S1965*(1-'Inputs'!$B$17)</x:f>
        <x:v>8745643529.777395</x:v>
      </x:c>
      <x:c r="V1965" s="78" t="n">
        <x:f>P1965-T1965</x:f>
        <x:v>13.585894882146713</x:v>
      </x:c>
      <x:c r="W1965" s="79" t="n">
        <x:f>IF(U1965&gt;0,V1965/U1965,0)</x:f>
        <x:v>1.5534471346664318e-9</x:v>
      </x:c>
      <x:c r="X1965" s="80" t="n">
        <x:f>W1965*('Inputs'!$B$6-AC1965)</x:f>
        <x:v>0.6227099900289802</x:v>
      </x:c>
      <x:c r="Y1965" s="80" t="n">
        <x:f>2*V1965</x:f>
        <x:v>27.171789764293425</x:v>
      </x:c>
      <x:c r="Z1965" s="80" t="n">
        <x:f>K1965*'Inputs'!$B$16+(G1965+R1965)*J1965*'Inputs'!$B$16</x:f>
        <x:v>0.12774169256494053</x:v>
      </x:c>
      <x:c r="AA1965" s="80" t="n">
        <x:f>K1965*(1+'Inputs'!$E$49)/2*'Inputs'!$B$17</x:f>
        <x:v>0.041549590841873374</x:v>
      </x:c>
      <x:c r="AB1965" s="78" t="n">
        <x:f>(IF(J1965&gt;0,K1965*(1-'Inputs'!$E$49)/2/J1965,0)+G1965+R1965)*'Inputs'!$B$17</x:f>
        <x:v>26021851.90527666</x:v>
      </x:c>
      <x:c r="AC1965" s="78" t="n">
        <x:f>AC1964+AB1965</x:f>
        <x:v>599143108.1671838</x:v>
      </x:c>
      <x:c r="AD1965" s="80" t="n">
        <x:f>Z1965/(1+'Inputs'!$C$49)</x:f>
        <x:v>0.03193542314123513</x:v>
      </x:c>
      <x:c r="AE1965" s="80" t="n">
        <x:f>Z1965-AD1965</x:f>
        <x:v>0.0958062694237054</x:v>
      </x:c>
      <x:c r="AF1965" s="80" t="n">
        <x:f>D1965*W1965</x:f>
        <x:v>0.0004444694577960872</x:v>
      </x:c>
      <x:c r="AG1965" s="80" t="n">
        <x:f>C1965*W1965</x:f>
        <x:v>0.0010370954015242074</x:v>
      </x:c>
      <x:c r="AH1965" s="80" t="n">
        <x:f>2*'Inputs'!$B$8*'Inputs'!$C$49</x:f>
        <x:v>15000</x:v>
      </x:c>
      <x:c r="AI1965" s="81" t="n">
        <x:f>IF(AH1965&gt;0,(AE1965+AF1965)/AH1965*365,0)</x:f>
        <x:v>0.002342101312783203</x:v>
      </x:c>
      <x:c r="AJ1965" s="81" t="n">
        <x:f>IF('Inputs'!$B$49&gt;0,AG1965/('Inputs'!$B$19*'Inputs'!$B$49)*365,0)</x:f>
        <x:v>0.00003785398215563357</x:v>
      </x:c>
      <x:c r="AK1965" s="81" t="n">
        <x:f>W1965/MAX($W$1829:W1965)-1</x:f>
        <x:v>-0.9999979987017431</x:v>
      </x:c>
      <x:c r="AL1965" s="83" t="n">
        <x:f>'Inputs'!$B$49</x:f>
        <x:v>1</x:v>
      </x:c>
      <x:c r="AM1965" s="83" t="n">
        <x:f>'Inputs'!$C$49</x:f>
        <x:v>3</x:v>
      </x:c>
      <x:c r="AN1965" s="83" t="n">
        <x:f>'Inputs'!$D$49</x:f>
        <x:v>0.75</x:v>
      </x:c>
      <x:c r="AO1965" s="81" t="n">
        <x:f>'Inputs'!$E$49</x:f>
        <x:v>-0.03</x:v>
      </x:c>
    </x:row>
    <x:row r="1966">
      <x:c r="A1966" s="59" t="str">
        <x:v>Mercenary LP</x:v>
      </x:c>
      <x:c r="B1966" s="59" t="n">
        <x:v>138</x:v>
      </x:c>
      <x:c r="C1966" s="78" t="n">
        <x:f>(('Inputs'!$B$29*(3*138*'Inputs'!$B$12-138^2)/(2*'Inputs'!$B$12^2))-('Inputs'!$B$29*(3*137*'Inputs'!$B$12-137^2)/(2*'Inputs'!$B$12^2)))*'Inputs'!$B$49</x:f>
        <x:v>667283.9650966525</x:v>
      </x:c>
      <x:c r="D1966" s="78" t="n">
        <x:f>IF('Inputs'!$C$49&gt;0,('Inputs'!$B$30*(3*138*'Inputs'!$B$12-138^2)/(2*'Inputs'!$B$12^2))-('Inputs'!$B$30*(3*137*'Inputs'!$B$12-137^2)/(2*'Inputs'!$B$12^2)),0)</x:f>
        <x:v>285978.8421842754</x:v>
      </x:c>
      <x:c r="E1966" s="78" t="n">
        <x:f>C1966+D1966</x:f>
        <x:v>953262.8072809279</x:v>
      </x:c>
      <x:c r="F1966" s="78" t="n">
        <x:f>'Inputs'!$B$13*E1966+(1-'Inputs'!$B$13)/'Inputs'!$B$14*SUM(E1911:E1966)</x:f>
        <x:v>963480.4841433691</x:v>
      </x:c>
      <x:c r="G1966" s="78" t="n">
        <x:f>F1966*'Inputs'!$F$49</x:f>
        <x:v>867132.4357290323</x:v>
      </x:c>
      <x:c r="H1966" s="78" t="n">
        <x:f>U1965</x:f>
        <x:v>8745643529.777395</x:v>
      </x:c>
      <x:c r="I1966" s="78" t="n">
        <x:f>V1965</x:f>
        <x:v>13.585894882146713</x:v>
      </x:c>
      <x:c r="J1966" s="79" t="n">
        <x:f>IF(H1966&gt;0,I1966/H1966,0)</x:f>
        <x:v>1.5534471346664318e-9</x:v>
      </x:c>
      <x:c r="K1966" s="80" t="n">
        <x:f>(H1966*J1966+I1966)*'Inputs'!$D$49*(1+'Inputs'!$G$49)^(B1966/30)</x:f>
        <x:v>20.37884232322007</x:v>
      </x:c>
      <x:c r="L1966" s="80" t="n">
        <x:f>MAX(0,K1966*'Inputs'!$E$49)</x:f>
        <x:v>0</x:v>
      </x:c>
      <x:c r="M1966" s="80" t="n">
        <x:f>MAX(0,-K1966*'Inputs'!$E$49)</x:f>
        <x:v>0.6113652696966021</x:v>
      </x:c>
      <x:c r="N1966" s="78" t="n">
        <x:f>H1966*(L1966*(1-'Inputs'!$B$15))/(I1966+L1966*(1-'Inputs'!$B$15))</x:f>
        <x:v>0</x:v>
      </x:c>
      <x:c r="O1966" s="78" t="n">
        <x:f>H1966-N1966</x:f>
        <x:v>8745643529.777395</x:v>
      </x:c>
      <x:c r="P1966" s="78" t="n">
        <x:f>I1966+L1966*(1-'Inputs'!$B$17)</x:f>
        <x:v>13.585894882146713</x:v>
      </x:c>
      <x:c r="Q1966" s="78" t="n">
        <x:f>IF(J1966&gt;0,M1966/J1966,0)</x:f>
        <x:v>393553958.8399828</x:v>
      </x:c>
      <x:c r="R1966" s="78" t="n">
        <x:f>IF(B1966='Inputs'!$H$49,'Inputs'!$B$27*'Inputs'!$I$49,0)</x:f>
        <x:v>0</x:v>
      </x:c>
      <x:c r="S1966" s="78" t="n">
        <x:f>Q1966+G1966+R1966</x:f>
        <x:v>394421091.27571183</x:v>
      </x:c>
      <x:c r="T1966" s="78" t="n">
        <x:f>P1966*(S1966*(1-'Inputs'!$B$15))/(O1966+S1966*(1-'Inputs'!$B$15))</x:f>
        <x:v>0.5806598000428702</x:v>
      </x:c>
      <x:c r="U1966" s="78" t="n">
        <x:f>O1966+S1966*(1-'Inputs'!$B$17)</x:f>
        <x:v>9138477413.442339</x:v>
      </x:c>
      <x:c r="V1966" s="78" t="n">
        <x:f>P1966-T1966</x:f>
        <x:v>13.005235082103843</x:v>
      </x:c>
      <x:c r="W1966" s="79" t="n">
        <x:f>IF(U1966&gt;0,V1966/U1966,0)</x:f>
        <x:v>1.4231293128736803e-9</x:v>
      </x:c>
      <x:c r="X1966" s="80" t="n">
        <x:f>W1966*('Inputs'!$B$6-AC1966)</x:f>
        <x:v>0.5317753806424557</x:v>
      </x:c>
      <x:c r="Y1966" s="80" t="n">
        <x:f>2*V1966</x:f>
        <x:v>26.010470164207685</x:v>
      </x:c>
      <x:c r="Z1966" s="80" t="n">
        <x:f>K1966*'Inputs'!$B$16+(G1966+R1966)*J1966*'Inputs'!$B$16</x:f>
        <x:v>0.12228113620570638</x:v>
      </x:c>
      <x:c r="AA1966" s="80" t="n">
        <x:f>K1966*(1+'Inputs'!$E$49)/2*'Inputs'!$B$17</x:f>
        <x:v>0.03977359568113374</x:v>
      </x:c>
      <x:c r="AB1966" s="78" t="n">
        <x:f>(IF(J1966&gt;0,K1966*(1-'Inputs'!$E$49)/2/J1966,0)+G1966+R1966)*'Inputs'!$B$17</x:f>
        <x:v>27190650.94240953</x:v>
      </x:c>
      <x:c r="AC1966" s="78" t="n">
        <x:f>AC1965+AB1966</x:f>
        <x:v>626333759.1095933</x:v>
      </x:c>
      <x:c r="AD1966" s="80" t="n">
        <x:f>Z1966/(1+'Inputs'!$C$49)</x:f>
        <x:v>0.030570284051426595</x:v>
      </x:c>
      <x:c r="AE1966" s="80" t="n">
        <x:f>Z1966-AD1966</x:f>
        <x:v>0.09171085215427979</x:v>
      </x:c>
      <x:c r="AF1966" s="80" t="n">
        <x:f>D1966*W1966</x:f>
        <x:v>0.0004069848731741185</x:v>
      </x:c>
      <x:c r="AG1966" s="80" t="n">
        <x:f>C1966*W1966</x:f>
        <x:v>0.0009496313707396239</x:v>
      </x:c>
      <x:c r="AH1966" s="80" t="n">
        <x:f>2*'Inputs'!$B$8*'Inputs'!$C$49</x:f>
        <x:v>15000</x:v>
      </x:c>
      <x:c r="AI1966" s="81" t="n">
        <x:f>IF(AH1966&gt;0,(AE1966+AF1966)/AH1966*365,0)</x:f>
        <x:v>0.002241534034334712</x:v>
      </x:c>
      <x:c r="AJ1966" s="81" t="n">
        <x:f>IF('Inputs'!$B$49&gt;0,AG1966/('Inputs'!$B$19*'Inputs'!$B$49)*365,0)</x:f>
        <x:v>0.00003466154503199627</x:v>
      </x:c>
      <x:c r="AK1966" s="81" t="n">
        <x:f>W1966/MAX($W$1829:W1966)-1</x:f>
        <x:v>-0.9999981665895481</x:v>
      </x:c>
      <x:c r="AL1966" s="83" t="n">
        <x:f>'Inputs'!$B$49</x:f>
        <x:v>1</x:v>
      </x:c>
      <x:c r="AM1966" s="83" t="n">
        <x:f>'Inputs'!$C$49</x:f>
        <x:v>3</x:v>
      </x:c>
      <x:c r="AN1966" s="83" t="n">
        <x:f>'Inputs'!$D$49</x:f>
        <x:v>0.75</x:v>
      </x:c>
      <x:c r="AO1966" s="81" t="n">
        <x:f>'Inputs'!$E$49</x:f>
        <x:v>-0.03</x:v>
      </x:c>
    </x:row>
    <x:row r="1967">
      <x:c r="A1967" s="59" t="str">
        <x:v>Mercenary LP</x:v>
      </x:c>
      <x:c r="B1967" s="59" t="n">
        <x:v>139</x:v>
      </x:c>
      <x:c r="C1967" s="78" t="n">
        <x:f>(('Inputs'!$B$29*(3*139*'Inputs'!$B$12-139^2)/(2*'Inputs'!$B$12^2))-('Inputs'!$B$29*(3*138*'Inputs'!$B$12-138^2)/(2*'Inputs'!$B$12^2)))*'Inputs'!$B$49</x:f>
        <x:v>666958.8571964651</x:v>
      </x:c>
      <x:c r="D1967" s="78" t="n">
        <x:f>IF('Inputs'!$C$49&gt;0,('Inputs'!$B$30*(3*139*'Inputs'!$B$12-139^2)/(2*'Inputs'!$B$12^2))-('Inputs'!$B$30*(3*138*'Inputs'!$B$12-138^2)/(2*'Inputs'!$B$12^2)),0)</x:f>
        <x:v>285839.51022705436</x:v>
      </x:c>
      <x:c r="E1967" s="78" t="n">
        <x:f>C1967+D1967</x:f>
        <x:v>952798.3674235195</x:v>
      </x:c>
      <x:c r="F1967" s="78" t="n">
        <x:f>'Inputs'!$B$13*E1967+(1-'Inputs'!$B$13)/'Inputs'!$B$14*SUM(E1912:E1967)</x:f>
        <x:v>963016.04428598</x:v>
      </x:c>
      <x:c r="G1967" s="78" t="n">
        <x:f>F1967*'Inputs'!$F$49</x:f>
        <x:v>866714.4398573821</x:v>
      </x:c>
      <x:c r="H1967" s="78" t="n">
        <x:f>U1966</x:f>
        <x:v>9138477413.442339</x:v>
      </x:c>
      <x:c r="I1967" s="78" t="n">
        <x:f>V1966</x:f>
        <x:v>13.005235082103843</x:v>
      </x:c>
      <x:c r="J1967" s="79" t="n">
        <x:f>IF(H1967&gt;0,I1967/H1967,0)</x:f>
        <x:v>1.4231293128736803e-9</x:v>
      </x:c>
      <x:c r="K1967" s="80" t="n">
        <x:f>(H1967*J1967+I1967)*'Inputs'!$D$49*(1+'Inputs'!$G$49)^(B1967/30)</x:f>
        <x:v>19.507852623155763</x:v>
      </x:c>
      <x:c r="L1967" s="80" t="n">
        <x:f>MAX(0,K1967*'Inputs'!$E$49)</x:f>
        <x:v>0</x:v>
      </x:c>
      <x:c r="M1967" s="80" t="n">
        <x:f>MAX(0,-K1967*'Inputs'!$E$49)</x:f>
        <x:v>0.5852355786946729</x:v>
      </x:c>
      <x:c r="N1967" s="78" t="n">
        <x:f>H1967*(L1967*(1-'Inputs'!$B$15))/(I1967+L1967*(1-'Inputs'!$B$15))</x:f>
        <x:v>0</x:v>
      </x:c>
      <x:c r="O1967" s="78" t="n">
        <x:f>H1967-N1967</x:f>
        <x:v>9138477413.442339</x:v>
      </x:c>
      <x:c r="P1967" s="78" t="n">
        <x:f>I1967+L1967*(1-'Inputs'!$B$17)</x:f>
        <x:v>13.005235082103843</x:v>
      </x:c>
      <x:c r="Q1967" s="78" t="n">
        <x:f>IF(J1967&gt;0,M1967/J1967,0)</x:f>
        <x:v>411231483.60490525</x:v>
      </x:c>
      <x:c r="R1967" s="78" t="n">
        <x:f>IF(B1967='Inputs'!$H$49,'Inputs'!$B$27*'Inputs'!$I$49,0)</x:f>
        <x:v>0</x:v>
      </x:c>
      <x:c r="S1967" s="78" t="n">
        <x:f>Q1967+G1967+R1967</x:f>
        <x:v>412098198.0447626</x:v>
      </x:c>
      <x:c r="T1967" s="78" t="n">
        <x:f>P1967*(S1967*(1-'Inputs'!$B$15))/(O1967+S1967*(1-'Inputs'!$B$15))</x:f>
        <x:v>0.5557916324935056</x:v>
      </x:c>
      <x:c r="U1967" s="78" t="n">
        <x:f>O1967+S1967*(1-'Inputs'!$B$17)</x:f>
        <x:v>9548917268.637827</x:v>
      </x:c>
      <x:c r="V1967" s="78" t="n">
        <x:f>P1967-T1967</x:f>
        <x:v>12.449443449610337</x:v>
      </x:c>
      <x:c r="W1967" s="79" t="n">
        <x:f>IF(U1967&gt;0,V1967/U1967,0)</x:f>
        <x:v>1.3037544571151443e-9</x:v>
      </x:c>
      <x:c r="X1967" s="80" t="n">
        <x:f>W1967*('Inputs'!$B$6-AC1967)</x:f>
        <x:v>0.45012697304274685</x:v>
      </x:c>
      <x:c r="Y1967" s="80" t="n">
        <x:f>2*V1967</x:f>
        <x:v>24.898886899220674</x:v>
      </x:c>
      <x:c r="Z1967" s="80" t="n">
        <x:f>K1967*'Inputs'!$B$16+(G1967+R1967)*J1967*'Inputs'!$B$16</x:f>
        <x:v>0.1170545164192861</x:v>
      </x:c>
      <x:c r="AA1967" s="80" t="n">
        <x:f>K1967*(1+'Inputs'!$E$49)/2*'Inputs'!$B$17</x:f>
        <x:v>0.038073676145796966</x:v>
      </x:c>
      <x:c r="AB1967" s="78" t="n">
        <x:f>(IF(J1967&gt;0,K1967*(1-'Inputs'!$E$49)/2/J1967,0)+G1967+R1967)*'Inputs'!$B$17</x:f>
        <x:v>28411833.063678324</x:v>
      </x:c>
      <x:c r="AC1967" s="78" t="n">
        <x:f>AC1966+AB1967</x:f>
        <x:v>654745592.1732717</x:v>
      </x:c>
      <x:c r="AD1967" s="80" t="n">
        <x:f>Z1967/(1+'Inputs'!$C$49)</x:f>
        <x:v>0.029263629104821526</x:v>
      </x:c>
      <x:c r="AE1967" s="80" t="n">
        <x:f>Z1967-AD1967</x:f>
        <x:v>0.08779088731446458</x:v>
      </x:c>
      <x:c r="AF1967" s="80" t="n">
        <x:f>D1967*W1967</x:f>
        <x:v>0.000372664535478132</x:v>
      </x:c>
      <x:c r="AG1967" s="80" t="n">
        <x:f>C1967*W1967</x:f>
        <x:v>0.0008695505827823145</x:v>
      </x:c>
      <x:c r="AH1967" s="80" t="n">
        <x:f>2*'Inputs'!$B$8*'Inputs'!$C$49</x:f>
        <x:v>15000</x:v>
      </x:c>
      <x:c r="AI1967" s="81" t="n">
        <x:f>IF(AH1967&gt;0,(AE1967+AF1967)/AH1967*365,0)</x:f>
        <x:v>0.002145313095015273</x:v>
      </x:c>
      <x:c r="AJ1967" s="81" t="n">
        <x:f>IF('Inputs'!$B$49&gt;0,AG1967/('Inputs'!$B$19*'Inputs'!$B$49)*365,0)</x:f>
        <x:v>0.00003173859627155448</x:v>
      </x:c>
      <x:c r="AK1967" s="81" t="n">
        <x:f>W1967/MAX($W$1829:W1967)-1</x:f>
        <x:v>-0.9999983203795841</x:v>
      </x:c>
      <x:c r="AL1967" s="83" t="n">
        <x:f>'Inputs'!$B$49</x:f>
        <x:v>1</x:v>
      </x:c>
      <x:c r="AM1967" s="83" t="n">
        <x:f>'Inputs'!$C$49</x:f>
        <x:v>3</x:v>
      </x:c>
      <x:c r="AN1967" s="83" t="n">
        <x:f>'Inputs'!$D$49</x:f>
        <x:v>0.75</x:v>
      </x:c>
      <x:c r="AO1967" s="81" t="n">
        <x:f>'Inputs'!$E$49</x:f>
        <x:v>-0.03</x:v>
      </x:c>
    </x:row>
    <x:row r="1968">
      <x:c r="A1968" s="59" t="str">
        <x:v>Mercenary LP</x:v>
      </x:c>
      <x:c r="B1968" s="59" t="n">
        <x:v>140</x:v>
      </x:c>
      <x:c r="C1968" s="78" t="n">
        <x:f>(('Inputs'!$B$29*(3*140*'Inputs'!$B$12-140^2)/(2*'Inputs'!$B$12^2))-('Inputs'!$B$29*(3*139*'Inputs'!$B$12-139^2)/(2*'Inputs'!$B$12^2)))*'Inputs'!$B$49</x:f>
        <x:v>666633.7492963076</x:v>
      </x:c>
      <x:c r="D1968" s="78" t="n">
        <x:f>IF('Inputs'!$C$49&gt;0,('Inputs'!$B$30*(3*140*'Inputs'!$B$12-140^2)/(2*'Inputs'!$B$12^2))-('Inputs'!$B$30*(3*139*'Inputs'!$B$12-139^2)/(2*'Inputs'!$B$12^2)),0)</x:f>
        <x:v>285700.1782698482</x:v>
      </x:c>
      <x:c r="E1968" s="78" t="n">
        <x:f>C1968+D1968</x:f>
        <x:v>952333.9275661558</x:v>
      </x:c>
      <x:c r="F1968" s="78" t="n">
        <x:f>'Inputs'!$B$13*E1968+(1-'Inputs'!$B$13)/'Inputs'!$B$14*SUM(E1913:E1968)</x:f>
        <x:v>962551.6044286</x:v>
      </x:c>
      <x:c r="G1968" s="78" t="n">
        <x:f>F1968*'Inputs'!$F$49</x:f>
        <x:v>866296.4439857401</x:v>
      </x:c>
      <x:c r="H1968" s="78" t="n">
        <x:f>U1967</x:f>
        <x:v>9548917268.637827</x:v>
      </x:c>
      <x:c r="I1968" s="78" t="n">
        <x:f>V1967</x:f>
        <x:v>12.449443449610337</x:v>
      </x:c>
      <x:c r="J1968" s="79" t="n">
        <x:f>IF(H1968&gt;0,I1968/H1968,0)</x:f>
        <x:v>1.3037544571151443e-9</x:v>
      </x:c>
      <x:c r="K1968" s="80" t="n">
        <x:f>(H1968*J1968+I1968)*'Inputs'!$D$49*(1+'Inputs'!$G$49)^(B1968/30)</x:f>
        <x:v>18.674165174415506</x:v>
      </x:c>
      <x:c r="L1968" s="80" t="n">
        <x:f>MAX(0,K1968*'Inputs'!$E$49)</x:f>
        <x:v>0</x:v>
      </x:c>
      <x:c r="M1968" s="80" t="n">
        <x:f>MAX(0,-K1968*'Inputs'!$E$49)</x:f>
        <x:v>0.5602249552324652</x:v>
      </x:c>
      <x:c r="N1968" s="78" t="n">
        <x:f>H1968*(L1968*(1-'Inputs'!$B$15))/(I1968+L1968*(1-'Inputs'!$B$15))</x:f>
        <x:v>0</x:v>
      </x:c>
      <x:c r="O1968" s="78" t="n">
        <x:f>H1968-N1968</x:f>
        <x:v>9548917268.637827</x:v>
      </x:c>
      <x:c r="P1968" s="78" t="n">
        <x:f>I1968+L1968*(1-'Inputs'!$B$17)</x:f>
        <x:v>12.449443449610337</x:v>
      </x:c>
      <x:c r="Q1968" s="78" t="n">
        <x:f>IF(J1968&gt;0,M1968/J1968,0)</x:f>
        <x:v>429701277.08870226</x:v>
      </x:c>
      <x:c r="R1968" s="78" t="n">
        <x:f>IF(B1968='Inputs'!$H$49,'Inputs'!$B$27*'Inputs'!$I$49,0)</x:f>
        <x:v>0</x:v>
      </x:c>
      <x:c r="S1968" s="78" t="n">
        <x:f>Q1968+G1968+R1968</x:f>
        <x:v>430567573.532688</x:v>
      </x:c>
      <x:c r="T1968" s="78" t="n">
        <x:f>P1968*(S1968*(1-'Inputs'!$B$15))/(O1968+S1968*(1-'Inputs'!$B$15))</x:f>
        <x:v>0.5319927895839772</x:v>
      </x:c>
      <x:c r="U1968" s="78" t="n">
        <x:f>O1968+S1968*(1-'Inputs'!$B$17)</x:f>
        <x:v>9977752175.878633</x:v>
      </x:c>
      <x:c r="V1968" s="78" t="n">
        <x:f>P1968-T1968</x:f>
        <x:v>11.91745066002636</x:v>
      </x:c>
      <x:c r="W1968" s="79" t="n">
        <x:f>IF(U1968&gt;0,V1968/U1968,0)</x:f>
        <x:v>1.1944023513469272e-9</x:v>
      </x:c>
      <x:c r="X1968" s="80" t="n">
        <x:f>W1968*('Inputs'!$B$6-AC1968)</x:f>
        <x:v>0.3769135628662694</x:v>
      </x:c>
      <x:c r="Y1968" s="80" t="n">
        <x:f>2*V1968</x:f>
        <x:v>23.83490132005272</x:v>
      </x:c>
      <x:c r="Z1968" s="80" t="n">
        <x:f>K1968*'Inputs'!$B$16+(G1968+R1968)*J1968*'Inputs'!$B$16</x:f>
        <x:v>0.11205176767359322</x:v>
      </x:c>
      <x:c r="AA1968" s="80" t="n">
        <x:f>K1968*(1+'Inputs'!$E$49)/2*'Inputs'!$B$17</x:f>
        <x:v>0.036446559797148975</x:v>
      </x:c>
      <x:c r="AB1968" s="78" t="n">
        <x:f>(IF(J1968&gt;0,K1968*(1-'Inputs'!$E$49)/2/J1968,0)+G1968+R1968)*'Inputs'!$B$17</x:f>
        <x:v>29687746.021998826</x:v>
      </x:c>
      <x:c r="AC1968" s="78" t="n">
        <x:f>AC1967+AB1968</x:f>
        <x:v>684433338.1952705</x:v>
      </x:c>
      <x:c r="AD1968" s="80" t="n">
        <x:f>Z1968/(1+'Inputs'!$C$49)</x:f>
        <x:v>0.028012941918398305</x:v>
      </x:c>
      <x:c r="AE1968" s="80" t="n">
        <x:f>Z1968-AD1968</x:f>
        <x:v>0.08403882575519492</x:v>
      </x:c>
      <x:c r="AF1968" s="80" t="n">
        <x:f>D1968*W1968</x:f>
        <x:v>0.000341240964705743</x:v>
      </x:c>
      <x:c r="AG1968" s="80" t="n">
        <x:f>C1968*W1968</x:f>
        <x:v>0.0007962289176467278</x:v>
      </x:c>
      <x:c r="AH1968" s="80" t="n">
        <x:f>2*'Inputs'!$B$8*'Inputs'!$C$49</x:f>
        <x:v>15000</x:v>
      </x:c>
      <x:c r="AI1968" s="81" t="n">
        <x:f>IF(AH1968&gt;0,(AE1968+AF1968)/AH1968*365,0)</x:f>
        <x:v>0.0020532482901842496</x:v>
      </x:c>
      <x:c r="AJ1968" s="81" t="n">
        <x:f>IF('Inputs'!$B$49&gt;0,AG1968/('Inputs'!$B$19*'Inputs'!$B$49)*365,0)</x:f>
        <x:v>0.000029062355494105562</x:v>
      </x:c>
      <x:c r="AK1968" s="81" t="n">
        <x:f>W1968/MAX($W$1829:W1968)-1</x:f>
        <x:v>-0.9999984612573608</x:v>
      </x:c>
      <x:c r="AL1968" s="83" t="n">
        <x:f>'Inputs'!$B$49</x:f>
        <x:v>1</x:v>
      </x:c>
      <x:c r="AM1968" s="83" t="n">
        <x:f>'Inputs'!$C$49</x:f>
        <x:v>3</x:v>
      </x:c>
      <x:c r="AN1968" s="83" t="n">
        <x:f>'Inputs'!$D$49</x:f>
        <x:v>0.75</x:v>
      </x:c>
      <x:c r="AO1968" s="81" t="n">
        <x:f>'Inputs'!$E$49</x:f>
        <x:v>-0.03</x:v>
      </x:c>
    </x:row>
    <x:row r="1969">
      <x:c r="A1969" s="59" t="str">
        <x:v>Mercenary LP</x:v>
      </x:c>
      <x:c r="B1969" s="59" t="n">
        <x:v>141</x:v>
      </x:c>
      <x:c r="C1969" s="78" t="n">
        <x:f>(('Inputs'!$B$29*(3*141*'Inputs'!$B$12-141^2)/(2*'Inputs'!$B$12^2))-('Inputs'!$B$29*(3*140*'Inputs'!$B$12-140^2)/(2*'Inputs'!$B$12^2)))*'Inputs'!$B$49</x:f>
        <x:v>666308.6413961351</x:v>
      </x:c>
      <x:c r="D1969" s="78" t="n">
        <x:f>IF('Inputs'!$C$49&gt;0,('Inputs'!$B$30*(3*141*'Inputs'!$B$12-141^2)/(2*'Inputs'!$B$12^2))-('Inputs'!$B$30*(3*140*'Inputs'!$B$12-140^2)/(2*'Inputs'!$B$12^2)),0)</x:f>
        <x:v>285560.8463126272</x:v>
      </x:c>
      <x:c r="E1969" s="78" t="n">
        <x:f>C1969+D1969</x:f>
        <x:v>951869.4877087623</x:v>
      </x:c>
      <x:c r="F1969" s="78" t="n">
        <x:f>'Inputs'!$B$13*E1969+(1-'Inputs'!$B$13)/'Inputs'!$B$14*SUM(E1914:E1969)</x:f>
        <x:v>962087.164571214</x:v>
      </x:c>
      <x:c r="G1969" s="78" t="n">
        <x:f>F1969*'Inputs'!$F$49</x:f>
        <x:v>865878.4481140926</x:v>
      </x:c>
      <x:c r="H1969" s="78" t="n">
        <x:f>U1968</x:f>
        <x:v>9977752175.878633</x:v>
      </x:c>
      <x:c r="I1969" s="78" t="n">
        <x:f>V1968</x:f>
        <x:v>11.91745066002636</x:v>
      </x:c>
      <x:c r="J1969" s="79" t="n">
        <x:f>IF(H1969&gt;0,I1969/H1969,0)</x:f>
        <x:v>1.1944023513469272e-9</x:v>
      </x:c>
      <x:c r="K1969" s="80" t="n">
        <x:f>(H1969*J1969+I1969)*'Inputs'!$D$49*(1+'Inputs'!$G$49)^(B1969/30)</x:f>
        <x:v>17.87617599003954</x:v>
      </x:c>
      <x:c r="L1969" s="80" t="n">
        <x:f>MAX(0,K1969*'Inputs'!$E$49)</x:f>
        <x:v>0</x:v>
      </x:c>
      <x:c r="M1969" s="80" t="n">
        <x:f>MAX(0,-K1969*'Inputs'!$E$49)</x:f>
        <x:v>0.5362852797011861</x:v>
      </x:c>
      <x:c r="N1969" s="78" t="n">
        <x:f>H1969*(L1969*(1-'Inputs'!$B$15))/(I1969+L1969*(1-'Inputs'!$B$15))</x:f>
        <x:v>0</x:v>
      </x:c>
      <x:c r="O1969" s="78" t="n">
        <x:f>H1969-N1969</x:f>
        <x:v>9977752175.878633</x:v>
      </x:c>
      <x:c r="P1969" s="78" t="n">
        <x:f>I1969+L1969*(1-'Inputs'!$B$17)</x:f>
        <x:v>11.91745066002636</x:v>
      </x:c>
      <x:c r="Q1969" s="78" t="n">
        <x:f>IF(J1969&gt;0,M1969/J1969,0)</x:f>
        <x:v>448998847.9145385</x:v>
      </x:c>
      <x:c r="R1969" s="78" t="n">
        <x:f>IF(B1969='Inputs'!$H$49,'Inputs'!$B$27*'Inputs'!$I$49,0)</x:f>
        <x:v>0</x:v>
      </x:c>
      <x:c r="S1969" s="78" t="n">
        <x:f>Q1969+G1969+R1969</x:f>
        <x:v>449864726.3626526</x:v>
      </x:c>
      <x:c r="T1969" s="78" t="n">
        <x:f>P1969*(S1969*(1-'Inputs'!$B$15))/(O1969+S1969*(1-'Inputs'!$B$15))</x:f>
        <x:v>0.5092169294709222</x:v>
      </x:c>
      <x:c r="U1969" s="78" t="n">
        <x:f>O1969+S1969*(1-'Inputs'!$B$17)</x:f>
        <x:v>10425806581.410852</x:v>
      </x:c>
      <x:c r="V1969" s="78" t="n">
        <x:f>P1969-T1969</x:f>
        <x:v>11.408233730555438</x:v>
      </x:c>
      <x:c r="W1969" s="79" t="n">
        <x:f>IF(U1969&gt;0,V1969/U1969,0)</x:f>
        <x:v>1.0942303256321911e-9</x:v>
      </x:c>
      <x:c r="X1969" s="80" t="n">
        <x:f>W1969*('Inputs'!$B$6-AC1969)</x:f>
        <x:v>0.3113586641933654</x:v>
      </x:c>
      <x:c r="Y1969" s="80" t="n">
        <x:f>2*V1969</x:f>
        <x:v>22.816467461110875</x:v>
      </x:c>
      <x:c r="Z1969" s="80" t="n">
        <x:f>K1969*'Inputs'!$B$16+(G1969+R1969)*J1969*'Inputs'!$B$16</x:f>
        <x:v>0.10726326118376367</x:v>
      </x:c>
      <x:c r="AA1969" s="80" t="n">
        <x:f>K1969*(1+'Inputs'!$E$49)/2*'Inputs'!$B$17</x:f>
        <x:v>0.03488911611738099</x:v>
      </x:c>
      <x:c r="AB1969" s="78" t="n">
        <x:f>(IF(J1969&gt;0,K1969*(1-'Inputs'!$E$49)/2/J1969,0)+G1969+R1969)*'Inputs'!$B$17</x:f>
        <x:v>31020842.794021565</x:v>
      </x:c>
      <x:c r="AC1969" s="78" t="n">
        <x:f>AC1968+AB1969</x:f>
        <x:v>715454180.9892921</x:v>
      </x:c>
      <x:c r="AD1969" s="80" t="n">
        <x:f>Z1969/(1+'Inputs'!$C$49)</x:f>
        <x:v>0.026815815295940917</x:v>
      </x:c>
      <x:c r="AE1969" s="80" t="n">
        <x:f>Z1969-AD1969</x:f>
        <x:v>0.08044744588782275</x:v>
      </x:c>
      <x:c r="AF1969" s="80" t="n">
        <x:f>D1969*W1969</x:f>
        <x:v>0.0003124693378484701</x:v>
      </x:c>
      <x:c r="AG1969" s="80" t="n">
        <x:f>C1969*W1969</x:f>
        <x:v>0.0007290951216464358</x:v>
      </x:c>
      <x:c r="AH1969" s="80" t="n">
        <x:f>2*'Inputs'!$B$8*'Inputs'!$C$49</x:f>
        <x:v>15000</x:v>
      </x:c>
      <x:c r="AI1969" s="81" t="n">
        <x:f>IF(AH1969&gt;0,(AE1969+AF1969)/AH1969*365,0)</x:f>
        <x:v>0.0019651579371579996</x:v>
      </x:c>
      <x:c r="AJ1969" s="81" t="n">
        <x:f>IF('Inputs'!$B$49&gt;0,AG1969/('Inputs'!$B$19*'Inputs'!$B$49)*365,0)</x:f>
        <x:v>0.000026611971940094905</x:v>
      </x:c>
      <x:c r="AK1969" s="81" t="n">
        <x:f>W1969/MAX($W$1829:W1969)-1</x:f>
        <x:v>-0.9999985903084859</x:v>
      </x:c>
      <x:c r="AL1969" s="83" t="n">
        <x:f>'Inputs'!$B$49</x:f>
        <x:v>1</x:v>
      </x:c>
      <x:c r="AM1969" s="83" t="n">
        <x:f>'Inputs'!$C$49</x:f>
        <x:v>3</x:v>
      </x:c>
      <x:c r="AN1969" s="83" t="n">
        <x:f>'Inputs'!$D$49</x:f>
        <x:v>0.75</x:v>
      </x:c>
      <x:c r="AO1969" s="81" t="n">
        <x:f>'Inputs'!$E$49</x:f>
        <x:v>-0.03</x:v>
      </x:c>
    </x:row>
    <x:row r="1970">
      <x:c r="A1970" s="59" t="str">
        <x:v>Mercenary LP</x:v>
      </x:c>
      <x:c r="B1970" s="59" t="n">
        <x:v>142</x:v>
      </x:c>
      <x:c r="C1970" s="78" t="n">
        <x:f>(('Inputs'!$B$29*(3*142*'Inputs'!$B$12-142^2)/(2*'Inputs'!$B$12^2))-('Inputs'!$B$29*(3*141*'Inputs'!$B$12-141^2)/(2*'Inputs'!$B$12^2)))*'Inputs'!$B$49</x:f>
        <x:v>665983.5334959626</x:v>
      </x:c>
      <x:c r="D1970" s="78" t="n">
        <x:f>IF('Inputs'!$C$49&gt;0,('Inputs'!$B$30*(3*142*'Inputs'!$B$12-142^2)/(2*'Inputs'!$B$12^2))-('Inputs'!$B$30*(3*141*'Inputs'!$B$12-141^2)/(2*'Inputs'!$B$12^2)),0)</x:f>
        <x:v>285421.5143554136</x:v>
      </x:c>
      <x:c r="E1970" s="78" t="n">
        <x:f>C1970+D1970</x:f>
        <x:v>951405.0478513762</x:v>
      </x:c>
      <x:c r="F1970" s="78" t="n">
        <x:f>'Inputs'!$B$13*E1970+(1-'Inputs'!$B$13)/'Inputs'!$B$14*SUM(E1915:E1970)</x:f>
        <x:v>961622.7247138293</x:v>
      </x:c>
      <x:c r="G1970" s="78" t="n">
        <x:f>F1970*'Inputs'!$F$49</x:f>
        <x:v>865460.4522424465</x:v>
      </x:c>
      <x:c r="H1970" s="78" t="n">
        <x:f>U1969</x:f>
        <x:v>10425806581.410852</x:v>
      </x:c>
      <x:c r="I1970" s="78" t="n">
        <x:f>V1969</x:f>
        <x:v>11.408233730555438</x:v>
      </x:c>
      <x:c r="J1970" s="79" t="n">
        <x:f>IF(H1970&gt;0,I1970/H1970,0)</x:f>
        <x:v>1.0942303256321911e-9</x:v>
      </x:c>
      <x:c r="K1970" s="80" t="n">
        <x:f>(H1970*J1970+I1970)*'Inputs'!$D$49*(1+'Inputs'!$G$49)^(B1970/30)</x:f>
        <x:v>17.112350595833156</x:v>
      </x:c>
      <x:c r="L1970" s="80" t="n">
        <x:f>MAX(0,K1970*'Inputs'!$E$49)</x:f>
        <x:v>0</x:v>
      </x:c>
      <x:c r="M1970" s="80" t="n">
        <x:f>MAX(0,-K1970*'Inputs'!$E$49)</x:f>
        <x:v>0.5133705178749947</x:v>
      </x:c>
      <x:c r="N1970" s="78" t="n">
        <x:f>H1970*(L1970*(1-'Inputs'!$B$15))/(I1970+L1970*(1-'Inputs'!$B$15))</x:f>
        <x:v>0</x:v>
      </x:c>
      <x:c r="O1970" s="78" t="n">
        <x:f>H1970-N1970</x:f>
        <x:v>10425806581.410852</x:v>
      </x:c>
      <x:c r="P1970" s="78" t="n">
        <x:f>I1970+L1970*(1-'Inputs'!$B$17)</x:f>
        <x:v>11.408233730555438</x:v>
      </x:c>
      <x:c r="Q1970" s="78" t="n">
        <x:f>IF(J1970&gt;0,M1970/J1970,0)</x:f>
        <x:v>469161296.16348827</x:v>
      </x:c>
      <x:c r="R1970" s="78" t="n">
        <x:f>IF(B1970='Inputs'!$H$49,'Inputs'!$B$27*'Inputs'!$I$49,0)</x:f>
        <x:v>0</x:v>
      </x:c>
      <x:c r="S1970" s="78" t="n">
        <x:f>Q1970+G1970+R1970</x:f>
        <x:v>470026756.6157307</x:v>
      </x:c>
      <x:c r="T1970" s="78" t="n">
        <x:f>P1970*(S1970*(1-'Inputs'!$B$15))/(O1970+S1970*(1-'Inputs'!$B$15))</x:f>
        <x:v>0.48741974905204766</x:v>
      </x:c>
      <x:c r="U1970" s="78" t="n">
        <x:f>O1970+S1970*(1-'Inputs'!$B$17)</x:f>
        <x:v>10893941882.265554</x:v>
      </x:c>
      <x:c r="V1970" s="78" t="n">
        <x:f>P1970-T1970</x:f>
        <x:v>10.92081398150339</x:v>
      </x:c>
      <x:c r="W1970" s="79" t="n">
        <x:f>IF(U1970&gt;0,V1970/U1970,0)</x:f>
        <x:v>1.0024667011746758e-9</x:v>
      </x:c>
      <x:c r="X1970" s="80" t="n">
        <x:f>W1970*('Inputs'!$B$6-AC1970)</x:f>
        <x:v>0.25275406734250294</x:v>
      </x:c>
      <x:c r="Y1970" s="80" t="n">
        <x:f>2*V1970</x:f>
        <x:v>21.84162796300678</x:v>
      </x:c>
      <x:c r="Z1970" s="80" t="n">
        <x:f>K1970*'Inputs'!$B$16+(G1970+R1970)*J1970*'Inputs'!$B$16</x:f>
        <x:v>0.10267978565343382</x:v>
      </x:c>
      <x:c r="AA1970" s="80" t="n">
        <x:f>K1970*(1+'Inputs'!$E$49)/2*'Inputs'!$B$17</x:f>
        <x:v>0.03339835025746109</x:v>
      </x:c>
      <x:c r="AB1970" s="78" t="n">
        <x:f>(IF(J1970&gt;0,K1970*(1-'Inputs'!$E$49)/2/J1970,0)+G1970+R1970)*'Inputs'!$B$17</x:f>
        <x:v>32413686.296145383</x:v>
      </x:c>
      <x:c r="AC1970" s="78" t="n">
        <x:f>AC1969+AB1970</x:f>
        <x:v>747867867.2854376</x:v>
      </x:c>
      <x:c r="AD1970" s="80" t="n">
        <x:f>Z1970/(1+'Inputs'!$C$49)</x:f>
        <x:v>0.025669946413358454</x:v>
      </x:c>
      <x:c r="AE1970" s="80" t="n">
        <x:f>Z1970-AD1970</x:f>
        <x:v>0.07700983924007536</x:v>
      </x:c>
      <x:c r="AF1970" s="80" t="n">
        <x:f>D1970*W1970</x:f>
        <x:v>0.0002861255639401519</x:v>
      </x:c>
      <x:c r="AG1970" s="80" t="n">
        <x:f>C1970*W1970</x:f>
        <x:v>0.0006676263158603518</x:v>
      </x:c>
      <x:c r="AH1970" s="80" t="n">
        <x:f>2*'Inputs'!$B$8*'Inputs'!$C$49</x:f>
        <x:v>15000</x:v>
      </x:c>
      <x:c r="AI1970" s="81" t="n">
        <x:f>IF(AH1970&gt;0,(AE1970+AF1970)/AH1970*365,0)</x:f>
        <x:v>0.001880868476897711</x:v>
      </x:c>
      <x:c r="AJ1970" s="81" t="n">
        <x:f>IF('Inputs'!$B$49&gt;0,AG1970/('Inputs'!$B$19*'Inputs'!$B$49)*365,0)</x:f>
        <x:v>0.00002436836052890284</x:v>
      </x:c>
      <x:c r="AK1970" s="81" t="n">
        <x:f>W1970/MAX($W$1829:W1970)-1</x:f>
        <x:v>-0.9999987085271093</x:v>
      </x:c>
      <x:c r="AL1970" s="83" t="n">
        <x:f>'Inputs'!$B$49</x:f>
        <x:v>1</x:v>
      </x:c>
      <x:c r="AM1970" s="83" t="n">
        <x:f>'Inputs'!$C$49</x:f>
        <x:v>3</x:v>
      </x:c>
      <x:c r="AN1970" s="83" t="n">
        <x:f>'Inputs'!$D$49</x:f>
        <x:v>0.75</x:v>
      </x:c>
      <x:c r="AO1970" s="81" t="n">
        <x:f>'Inputs'!$E$49</x:f>
        <x:v>-0.03</x:v>
      </x:c>
    </x:row>
    <x:row r="1971">
      <x:c r="A1971" s="59" t="str">
        <x:v>Mercenary LP</x:v>
      </x:c>
      <x:c r="B1971" s="59" t="n">
        <x:v>143</x:v>
      </x:c>
      <x:c r="C1971" s="78" t="n">
        <x:f>(('Inputs'!$B$29*(3*143*'Inputs'!$B$12-143^2)/(2*'Inputs'!$B$12^2))-('Inputs'!$B$29*(3*142*'Inputs'!$B$12-142^2)/(2*'Inputs'!$B$12^2)))*'Inputs'!$B$49</x:f>
        <x:v>665658.4255957901</x:v>
      </x:c>
      <x:c r="D1971" s="78" t="n">
        <x:f>IF('Inputs'!$C$49&gt;0,('Inputs'!$B$30*(3*143*'Inputs'!$B$12-143^2)/(2*'Inputs'!$B$12^2))-('Inputs'!$B$30*(3*142*'Inputs'!$B$12-142^2)/(2*'Inputs'!$B$12^2)),0)</x:f>
        <x:v>285282.18239820004</x:v>
      </x:c>
      <x:c r="E1971" s="78" t="n">
        <x:f>C1971+D1971</x:f>
        <x:v>950940.6079939902</x:v>
      </x:c>
      <x:c r="F1971" s="78" t="n">
        <x:f>'Inputs'!$B$13*E1971+(1-'Inputs'!$B$13)/'Inputs'!$B$14*SUM(E1916:E1971)</x:f>
        <x:v>961158.2848564449</x:v>
      </x:c>
      <x:c r="G1971" s="78" t="n">
        <x:f>F1971*'Inputs'!$F$49</x:f>
        <x:v>865042.4563708005</x:v>
      </x:c>
      <x:c r="H1971" s="78" t="n">
        <x:f>U1970</x:f>
        <x:v>10893941882.265554</x:v>
      </x:c>
      <x:c r="I1971" s="78" t="n">
        <x:f>V1970</x:f>
        <x:v>10.92081398150339</x:v>
      </x:c>
      <x:c r="J1971" s="79" t="n">
        <x:f>IF(H1971&gt;0,I1971/H1971,0)</x:f>
        <x:v>1.0024667011746758e-9</x:v>
      </x:c>
      <x:c r="K1971" s="80" t="n">
        <x:f>(H1971*J1971+I1971)*'Inputs'!$D$49*(1+'Inputs'!$G$49)^(B1971/30)</x:f>
        <x:v>16.381220972255086</x:v>
      </x:c>
      <x:c r="L1971" s="80" t="n">
        <x:f>MAX(0,K1971*'Inputs'!$E$49)</x:f>
        <x:v>0</x:v>
      </x:c>
      <x:c r="M1971" s="80" t="n">
        <x:f>MAX(0,-K1971*'Inputs'!$E$49)</x:f>
        <x:v>0.49143662916765257</x:v>
      </x:c>
      <x:c r="N1971" s="78" t="n">
        <x:f>H1971*(L1971*(1-'Inputs'!$B$15))/(I1971+L1971*(1-'Inputs'!$B$15))</x:f>
        <x:v>0</x:v>
      </x:c>
      <x:c r="O1971" s="78" t="n">
        <x:f>H1971-N1971</x:f>
        <x:v>10893941882.265554</x:v>
      </x:c>
      <x:c r="P1971" s="78" t="n">
        <x:f>I1971+L1971*(1-'Inputs'!$B$17)</x:f>
        <x:v>10.92081398150339</x:v>
      </x:c>
      <x:c r="Q1971" s="78" t="n">
        <x:f>IF(J1971&gt;0,M1971/J1971,0)</x:f>
        <x:v>490227384.70195</x:v>
      </x:c>
      <x:c r="R1971" s="78" t="n">
        <x:f>IF(B1971='Inputs'!$H$49,'Inputs'!$B$27*'Inputs'!$I$49,0)</x:f>
        <x:v>0</x:v>
      </x:c>
      <x:c r="S1971" s="78" t="n">
        <x:f>Q1971+G1971+R1971</x:f>
        <x:v>491092427.1583208</x:v>
      </x:c>
      <x:c r="T1971" s="78" t="n">
        <x:f>P1971*(S1971*(1-'Inputs'!$B$15))/(O1971+S1971*(1-'Inputs'!$B$15))</x:f>
        <x:v>0.46655889172529924</x:v>
      </x:c>
      <x:c r="U1971" s="78" t="n">
        <x:f>O1971+S1971*(1-'Inputs'!$B$17)</x:f>
        <x:v>11383058082.352816</x:v>
      </x:c>
      <x:c r="V1971" s="78" t="n">
        <x:f>P1971-T1971</x:f>
        <x:v>10.45425508977809</x:v>
      </x:c>
      <x:c r="W1971" s="79" t="n">
        <x:f>IF(U1971&gt;0,V1971/U1971,0)</x:f>
        <x:v>9.184047919412227e-10</x:v>
      </x:c>
      <x:c r="X1971" s="80" t="n">
        <x:f>W1971*('Inputs'!$B$6-AC1971)</x:f>
        <x:v>0.20045394894932952</x:v>
      </x:c>
      <x:c r="Y1971" s="80" t="n">
        <x:f>2*V1971</x:f>
        <x:v>20.90851017955618</x:v>
      </x:c>
      <x:c r="Z1971" s="80" t="n">
        <x:f>K1971*'Inputs'!$B$16+(G1971+R1971)*J1971*'Inputs'!$B$16</x:f>
        <x:v>0.0982925288910762</x:v>
      </x:c>
      <x:c r="AA1971" s="80" t="n">
        <x:f>K1971*(1+'Inputs'!$E$49)/2*'Inputs'!$B$17</x:f>
        <x:v>0.031971397068586385</x:v>
      </x:c>
      <x:c r="AB1971" s="78" t="n">
        <x:f>(IF(J1971&gt;0,K1971*(1-'Inputs'!$E$49)/2/J1971,0)+G1971+R1971)*'Inputs'!$B$17</x:f>
        <x:v>33868954.311897434</x:v>
      </x:c>
      <x:c r="AC1971" s="78" t="n">
        <x:f>AC1970+AB1971</x:f>
        <x:v>781736821.597335</x:v>
      </x:c>
      <x:c r="AD1971" s="80" t="n">
        <x:f>Z1971/(1+'Inputs'!$C$49)</x:f>
        <x:v>0.02457313222276905</x:v>
      </x:c>
      <x:c r="AE1971" s="80" t="n">
        <x:f>Z1971-AD1971</x:f>
        <x:v>0.07371939666830715</x:v>
      </x:c>
      <x:c r="AF1971" s="80" t="n">
        <x:f>D1971*W1971</x:f>
        <x:v>0.00026200452336995684</x:v>
      </x:c>
      <x:c r="AG1971" s="80" t="n">
        <x:f>C1971*W1971</x:f>
        <x:v>0.0006113438878632236</x:v>
      </x:c>
      <x:c r="AH1971" s="80" t="n">
        <x:f>2*'Inputs'!$B$8*'Inputs'!$C$49</x:f>
        <x:v>15000</x:v>
      </x:c>
      <x:c r="AI1971" s="81" t="n">
        <x:f>IF(AH1971&gt;0,(AE1971+AF1971)/AH1971*365,0)</x:f>
        <x:v>0.0018002140956641431</x:v>
      </x:c>
      <x:c r="AJ1971" s="81" t="n">
        <x:f>IF('Inputs'!$B$49&gt;0,AG1971/('Inputs'!$B$19*'Inputs'!$B$49)*365,0)</x:f>
        <x:v>0.000022314051907007657</x:v>
      </x:c>
      <x:c r="AK1971" s="81" t="n">
        <x:f>W1971/MAX($W$1829:W1971)-1</x:f>
        <x:v>-0.999998816823651</x:v>
      </x:c>
      <x:c r="AL1971" s="83" t="n">
        <x:f>'Inputs'!$B$49</x:f>
        <x:v>1</x:v>
      </x:c>
      <x:c r="AM1971" s="83" t="n">
        <x:f>'Inputs'!$C$49</x:f>
        <x:v>3</x:v>
      </x:c>
      <x:c r="AN1971" s="83" t="n">
        <x:f>'Inputs'!$D$49</x:f>
        <x:v>0.75</x:v>
      </x:c>
      <x:c r="AO1971" s="81" t="n">
        <x:f>'Inputs'!$E$49</x:f>
        <x:v>-0.03</x:v>
      </x:c>
    </x:row>
    <x:row r="1972">
      <x:c r="A1972" s="59" t="str">
        <x:v>Mercenary LP</x:v>
      </x:c>
      <x:c r="B1972" s="59" t="n">
        <x:v>144</x:v>
      </x:c>
      <x:c r="C1972" s="78" t="n">
        <x:f>(('Inputs'!$B$29*(3*144*'Inputs'!$B$12-144^2)/(2*'Inputs'!$B$12^2))-('Inputs'!$B$29*(3*143*'Inputs'!$B$12-143^2)/(2*'Inputs'!$B$12^2)))*'Inputs'!$B$49</x:f>
        <x:v>665333.3176956326</x:v>
      </x:c>
      <x:c r="D1972" s="78" t="n">
        <x:f>IF('Inputs'!$C$49&gt;0,('Inputs'!$B$30*(3*144*'Inputs'!$B$12-144^2)/(2*'Inputs'!$B$12^2))-('Inputs'!$B$30*(3*143*'Inputs'!$B$12-143^2)/(2*'Inputs'!$B$12^2)),0)</x:f>
        <x:v>285142.85044098645</x:v>
      </x:c>
      <x:c r="E1972" s="78" t="n">
        <x:f>C1972+D1972</x:f>
        <x:v>950476.168136619</x:v>
      </x:c>
      <x:c r="F1972" s="78" t="n">
        <x:f>'Inputs'!$B$13*E1972+(1-'Inputs'!$B$13)/'Inputs'!$B$14*SUM(E1917:E1972)</x:f>
        <x:v>960693.8449990635</x:v>
      </x:c>
      <x:c r="G1972" s="78" t="n">
        <x:f>F1972*'Inputs'!$F$49</x:f>
        <x:v>864624.4604991572</x:v>
      </x:c>
      <x:c r="H1972" s="78" t="n">
        <x:f>U1971</x:f>
        <x:v>11383058082.352816</x:v>
      </x:c>
      <x:c r="I1972" s="78" t="n">
        <x:f>V1971</x:f>
        <x:v>10.45425508977809</x:v>
      </x:c>
      <x:c r="J1972" s="79" t="n">
        <x:f>IF(H1972&gt;0,I1972/H1972,0)</x:f>
        <x:v>9.184047919412227e-10</x:v>
      </x:c>
      <x:c r="K1972" s="80" t="n">
        <x:f>(H1972*J1972+I1972)*'Inputs'!$D$49*(1+'Inputs'!$G$49)^(B1972/30)</x:f>
        <x:v>15.681382634667136</x:v>
      </x:c>
      <x:c r="L1972" s="80" t="n">
        <x:f>MAX(0,K1972*'Inputs'!$E$49)</x:f>
        <x:v>0</x:v>
      </x:c>
      <x:c r="M1972" s="80" t="n">
        <x:f>MAX(0,-K1972*'Inputs'!$E$49)</x:f>
        <x:v>0.47044147904001404</x:v>
      </x:c>
      <x:c r="N1972" s="78" t="n">
        <x:f>H1972*(L1972*(1-'Inputs'!$B$15))/(I1972+L1972*(1-'Inputs'!$B$15))</x:f>
        <x:v>0</x:v>
      </x:c>
      <x:c r="O1972" s="78" t="n">
        <x:f>H1972-N1972</x:f>
        <x:v>11383058082.352816</x:v>
      </x:c>
      <x:c r="P1972" s="78" t="n">
        <x:f>I1972+L1972*(1-'Inputs'!$B$17)</x:f>
        <x:v>10.45425508977809</x:v>
      </x:c>
      <x:c r="Q1972" s="78" t="n">
        <x:f>IF(J1972&gt;0,M1972/J1972,0)</x:f>
        <x:v>512237613.70587665</x:v>
      </x:c>
      <x:c r="R1972" s="78" t="n">
        <x:f>IF(B1972='Inputs'!$H$49,'Inputs'!$B$27*'Inputs'!$I$49,0)</x:f>
        <x:v>0</x:v>
      </x:c>
      <x:c r="S1972" s="78" t="n">
        <x:f>Q1972+G1972+R1972</x:f>
        <x:v>513102238.1663758</x:v>
      </x:c>
      <x:c r="T1972" s="78" t="n">
        <x:f>P1972*(S1972*(1-'Inputs'!$B$15))/(O1972+S1972*(1-'Inputs'!$B$15))</x:f>
        <x:v>0.44659385953324154</x:v>
      </x:c>
      <x:c r="U1972" s="78" t="n">
        <x:f>O1972+S1972*(1-'Inputs'!$B$17)</x:f>
        <x:v>11894095522.780092</x:v>
      </x:c>
      <x:c r="V1972" s="78" t="n">
        <x:f>P1972-T1972</x:f>
        <x:v>10.00766123024485</x:v>
      </x:c>
      <x:c r="W1972" s="79" t="n">
        <x:f>IF(U1972&gt;0,V1972/U1972,0)</x:f>
        <x:v>8.413974153038992e-10</x:v>
      </x:c>
      <x:c r="X1972" s="80" t="n">
        <x:f>W1972*('Inputs'!$B$6-AC1972)</x:f>
        <x:v>0.15386948691475089</x:v>
      </x:c>
      <x:c r="Y1972" s="80" t="n">
        <x:f>2*V1972</x:f>
        <x:v>20.0153224604897</x:v>
      </x:c>
      <x:c r="Z1972" s="80" t="n">
        <x:f>K1972*'Inputs'!$B$16+(G1972+R1972)*J1972*'Inputs'!$B$16</x:f>
        <x:v>0.09409306025948933</x:v>
      </x:c>
      <x:c r="AA1972" s="80" t="n">
        <x:f>K1972*(1+'Inputs'!$E$49)/2*'Inputs'!$B$17</x:f>
        <x:v>0.030605515403676304</x:v>
      </x:c>
      <x:c r="AB1972" s="78" t="n">
        <x:f>(IF(J1972&gt;0,K1972*(1-'Inputs'!$E$49)/2/J1972,0)+G1972+R1972)*'Inputs'!$B$17</x:f>
        <x:v>35389444.64015312</x:v>
      </x:c>
      <x:c r="AC1972" s="78" t="n">
        <x:f>AC1971+AB1972</x:f>
        <x:v>817126266.2374882</x:v>
      </x:c>
      <x:c r="AD1972" s="80" t="n">
        <x:f>Z1972/(1+'Inputs'!$C$49)</x:f>
        <x:v>0.02352326506487233</x:v>
      </x:c>
      <x:c r="AE1972" s="80" t="n">
        <x:f>Z1972-AD1972</x:f>
        <x:v>0.070569795194617</x:v>
      </x:c>
      <x:c r="AF1972" s="80" t="n">
        <x:f>D1972*W1972</x:f>
        <x:v>0.0002399184573534323</x:v>
      </x:c>
      <x:c r="AG1972" s="80" t="n">
        <x:f>C1972*W1972</x:f>
        <x:v>0.0005598097338246733</x:v>
      </x:c>
      <x:c r="AH1972" s="80" t="n">
        <x:f>2*'Inputs'!$B$8*'Inputs'!$C$49</x:f>
        <x:v>15000</x:v>
      </x:c>
      <x:c r="AI1972" s="81" t="n">
        <x:f>IF(AH1972&gt;0,(AE1972+AF1972)/AH1972*365,0)</x:f>
        <x:v>0.0017230363655312804</x:v>
      </x:c>
      <x:c r="AJ1972" s="81" t="n">
        <x:f>IF('Inputs'!$B$49&gt;0,AG1972/('Inputs'!$B$19*'Inputs'!$B$49)*365,0)</x:f>
        <x:v>0.000020433055284600576</x:v>
      </x:c>
      <x:c r="AK1972" s="81" t="n">
        <x:f>W1972/MAX($W$1829:W1972)-1</x:f>
        <x:v>-0.9999989160318732</x:v>
      </x:c>
      <x:c r="AL1972" s="83" t="n">
        <x:f>'Inputs'!$B$49</x:f>
        <x:v>1</x:v>
      </x:c>
      <x:c r="AM1972" s="83" t="n">
        <x:f>'Inputs'!$C$49</x:f>
        <x:v>3</x:v>
      </x:c>
      <x:c r="AN1972" s="83" t="n">
        <x:f>'Inputs'!$D$49</x:f>
        <x:v>0.75</x:v>
      </x:c>
      <x:c r="AO1972" s="81" t="n">
        <x:f>'Inputs'!$E$49</x:f>
        <x:v>-0.03</x:v>
      </x:c>
    </x:row>
    <x:row r="1973">
      <x:c r="A1973" s="59" t="str">
        <x:v>Mercenary LP</x:v>
      </x:c>
      <x:c r="B1973" s="59" t="n">
        <x:v>145</x:v>
      </x:c>
      <x:c r="C1973" s="78" t="n">
        <x:f>(('Inputs'!$B$29*(3*145*'Inputs'!$B$12-145^2)/(2*'Inputs'!$B$12^2))-('Inputs'!$B$29*(3*144*'Inputs'!$B$12-144^2)/(2*'Inputs'!$B$12^2)))*'Inputs'!$B$49</x:f>
        <x:v>665008.2097954601</x:v>
      </x:c>
      <x:c r="D1973" s="78" t="n">
        <x:f>IF('Inputs'!$C$49&gt;0,('Inputs'!$B$30*(3*145*'Inputs'!$B$12-145^2)/(2*'Inputs'!$B$12^2))-('Inputs'!$B$30*(3*144*'Inputs'!$B$12-144^2)/(2*'Inputs'!$B$12^2)),0)</x:f>
        <x:v>285003.5184837654</x:v>
      </x:c>
      <x:c r="E1973" s="78" t="n">
        <x:f>C1973+D1973</x:f>
        <x:v>950011.7282792255</x:v>
      </x:c>
      <x:c r="F1973" s="78" t="n">
        <x:f>'Inputs'!$B$13*E1973+(1-'Inputs'!$B$13)/'Inputs'!$B$14*SUM(E1918:E1973)</x:f>
        <x:v>960229.4051416776</x:v>
      </x:c>
      <x:c r="G1973" s="78" t="n">
        <x:f>F1973*'Inputs'!$F$49</x:f>
        <x:v>864206.4646275098</x:v>
      </x:c>
      <x:c r="H1973" s="78" t="n">
        <x:f>U1972</x:f>
        <x:v>11894095522.780092</x:v>
      </x:c>
      <x:c r="I1973" s="78" t="n">
        <x:f>V1972</x:f>
        <x:v>10.00766123024485</x:v>
      </x:c>
      <x:c r="J1973" s="79" t="n">
        <x:f>IF(H1973&gt;0,I1973/H1973,0)</x:f>
        <x:v>8.413974153038992e-10</x:v>
      </x:c>
      <x:c r="K1973" s="80" t="n">
        <x:f>(H1973*J1973+I1973)*'Inputs'!$D$49*(1+'Inputs'!$G$49)^(B1973/30)</x:f>
        <x:v>15.011491845367274</x:v>
      </x:c>
      <x:c r="L1973" s="80" t="n">
        <x:f>MAX(0,K1973*'Inputs'!$E$49)</x:f>
        <x:v>0</x:v>
      </x:c>
      <x:c r="M1973" s="80" t="n">
        <x:f>MAX(0,-K1973*'Inputs'!$E$49)</x:f>
        <x:v>0.4503447553610182</x:v>
      </x:c>
      <x:c r="N1973" s="78" t="n">
        <x:f>H1973*(L1973*(1-'Inputs'!$B$15))/(I1973+L1973*(1-'Inputs'!$B$15))</x:f>
        <x:v>0</x:v>
      </x:c>
      <x:c r="O1973" s="78" t="n">
        <x:f>H1973-N1973</x:f>
        <x:v>11894095522.780092</x:v>
      </x:c>
      <x:c r="P1973" s="78" t="n">
        <x:f>I1973+L1973*(1-'Inputs'!$B$17)</x:f>
        <x:v>10.00766123024485</x:v>
      </x:c>
      <x:c r="Q1973" s="78" t="n">
        <x:f>IF(J1973&gt;0,M1973/J1973,0)</x:f>
        <x:v>535234298.5251041</x:v>
      </x:c>
      <x:c r="R1973" s="78" t="n">
        <x:f>IF(B1973='Inputs'!$H$49,'Inputs'!$B$27*'Inputs'!$I$49,0)</x:f>
        <x:v>0</x:v>
      </x:c>
      <x:c r="S1973" s="78" t="n">
        <x:f>Q1973+G1973+R1973</x:f>
        <x:v>536098504.9897316</x:v>
      </x:c>
      <x:c r="T1973" s="78" t="n">
        <x:f>P1973*(S1973*(1-'Inputs'!$B$15))/(O1973+S1973*(1-'Inputs'!$B$15))</x:f>
        <x:v>0.4274859294669002</x:v>
      </x:c>
      <x:c r="U1973" s="78" t="n">
        <x:f>O1973+S1973*(1-'Inputs'!$B$17)</x:f>
        <x:v>12428036689.721575</x:v>
      </x:c>
      <x:c r="V1973" s="78" t="n">
        <x:f>P1973-T1973</x:f>
        <x:v>9.580175300777949</x:v>
      </x:c>
      <x:c r="W1973" s="79" t="n">
        <x:f>IF(U1973&gt;0,V1973/U1973,0)</x:f>
        <x:v>7.708518682360418e-10</x:v>
      </x:c>
      <x:c r="X1973" s="80" t="n">
        <x:f>W1973*('Inputs'!$B$6-AC1973)</x:f>
        <x:v>0.11246393690489506</x:v>
      </x:c>
      <x:c r="Y1973" s="80" t="n">
        <x:f>2*V1973</x:f>
        <x:v>19.160350601555898</x:v>
      </x:c>
      <x:c r="Z1973" s="80" t="n">
        <x:f>K1973*'Inputs'!$B$16+(G1973+R1973)*J1973*'Inputs'!$B$16</x:f>
        <x:v>0.09007331391871741</x:v>
      </x:c>
      <x:c r="AA1973" s="80" t="n">
        <x:f>K1973*(1+'Inputs'!$E$49)/2*'Inputs'!$B$17</x:f>
        <x:v>0.029298082676068926</x:v>
      </x:c>
      <x:c r="AB1973" s="78" t="n">
        <x:f>(IF(J1973&gt;0,K1973*(1-'Inputs'!$E$49)/2/J1973,0)+G1973+R1973)*'Inputs'!$B$17</x:f>
        <x:v>36978080.474093564</x:v>
      </x:c>
      <x:c r="AC1973" s="78" t="n">
        <x:f>AC1972+AB1973</x:f>
        <x:v>854104346.7115817</x:v>
      </x:c>
      <x:c r="AD1973" s="80" t="n">
        <x:f>Z1973/(1+'Inputs'!$C$49)</x:f>
        <x:v>0.022518328479679352</x:v>
      </x:c>
      <x:c r="AE1973" s="80" t="n">
        <x:f>Z1973-AD1973</x:f>
        <x:v>0.06755498543903805</x:v>
      </x:c>
      <x:c r="AF1973" s="80" t="n">
        <x:f>D1973*W1973</x:f>
        <x:v>0.00021969549467705586</x:v>
      </x:c>
      <x:c r="AG1973" s="80" t="n">
        <x:f>C1973*W1973</x:f>
        <x:v>0.0005126228209131361</x:v>
      </x:c>
      <x:c r="AH1973" s="80" t="n">
        <x:f>2*'Inputs'!$B$8*'Inputs'!$C$49</x:f>
        <x:v>15000</x:v>
      </x:c>
      <x:c r="AI1973" s="81" t="n">
        <x:f>IF(AH1973&gt;0,(AE1973+AF1973)/AH1973*365,0)</x:f>
        <x:v>0.0016491839027204008</x:v>
      </x:c>
      <x:c r="AJ1973" s="81" t="n">
        <x:f>IF('Inputs'!$B$49&gt;0,AG1973/('Inputs'!$B$19*'Inputs'!$B$49)*365,0)</x:f>
        <x:v>0.000018710732963329468</x:v>
      </x:c>
      <x:c r="AK1973" s="81" t="n">
        <x:f>W1973/MAX($W$1829:W1973)-1</x:f>
        <x:v>-0.9999990069153525</x:v>
      </x:c>
      <x:c r="AL1973" s="83" t="n">
        <x:f>'Inputs'!$B$49</x:f>
        <x:v>1</x:v>
      </x:c>
      <x:c r="AM1973" s="83" t="n">
        <x:f>'Inputs'!$C$49</x:f>
        <x:v>3</x:v>
      </x:c>
      <x:c r="AN1973" s="83" t="n">
        <x:f>'Inputs'!$D$49</x:f>
        <x:v>0.75</x:v>
      </x:c>
      <x:c r="AO1973" s="81" t="n">
        <x:f>'Inputs'!$E$49</x:f>
        <x:v>-0.03</x:v>
      </x:c>
    </x:row>
    <x:row r="1974">
      <x:c r="A1974" s="59" t="str">
        <x:v>Mercenary LP</x:v>
      </x:c>
      <x:c r="B1974" s="59" t="n">
        <x:v>146</x:v>
      </x:c>
      <x:c r="C1974" s="78" t="n">
        <x:f>(('Inputs'!$B$29*(3*146*'Inputs'!$B$12-146^2)/(2*'Inputs'!$B$12^2))-('Inputs'!$B$29*(3*145*'Inputs'!$B$12-145^2)/(2*'Inputs'!$B$12^2)))*'Inputs'!$B$49</x:f>
        <x:v>664683.1018952876</x:v>
      </x:c>
      <x:c r="D1974" s="78" t="n">
        <x:f>IF('Inputs'!$C$49&gt;0,('Inputs'!$B$30*(3*146*'Inputs'!$B$12-146^2)/(2*'Inputs'!$B$12^2))-('Inputs'!$B$30*(3*145*'Inputs'!$B$12-145^2)/(2*'Inputs'!$B$12^2)),0)</x:f>
        <x:v>284864.18652655184</x:v>
      </x:c>
      <x:c r="E1974" s="78" t="n">
        <x:f>C1974+D1974</x:f>
        <x:v>949547.2884218395</x:v>
      </x:c>
      <x:c r="F1974" s="78" t="n">
        <x:f>'Inputs'!$B$13*E1974+(1-'Inputs'!$B$13)/'Inputs'!$B$14*SUM(E1919:E1974)</x:f>
        <x:v>959764.9652842929</x:v>
      </x:c>
      <x:c r="G1974" s="78" t="n">
        <x:f>F1974*'Inputs'!$F$49</x:f>
        <x:v>863788.4687558636</x:v>
      </x:c>
      <x:c r="H1974" s="78" t="n">
        <x:f>U1973</x:f>
        <x:v>12428036689.721575</x:v>
      </x:c>
      <x:c r="I1974" s="78" t="n">
        <x:f>V1973</x:f>
        <x:v>9.580175300777949</x:v>
      </x:c>
      <x:c r="J1974" s="79" t="n">
        <x:f>IF(H1974&gt;0,I1974/H1974,0)</x:f>
        <x:v>7.708518682360418e-10</x:v>
      </x:c>
      <x:c r="K1974" s="80" t="n">
        <x:f>(H1974*J1974+I1974)*'Inputs'!$D$49*(1+'Inputs'!$G$49)^(B1974/30)</x:f>
        <x:v>14.370262951166923</x:v>
      </x:c>
      <x:c r="L1974" s="80" t="n">
        <x:f>MAX(0,K1974*'Inputs'!$E$49)</x:f>
        <x:v>0</x:v>
      </x:c>
      <x:c r="M1974" s="80" t="n">
        <x:f>MAX(0,-K1974*'Inputs'!$E$49)</x:f>
        <x:v>0.4311078885350077</x:v>
      </x:c>
      <x:c r="N1974" s="78" t="n">
        <x:f>H1974*(L1974*(1-'Inputs'!$B$15))/(I1974+L1974*(1-'Inputs'!$B$15))</x:f>
        <x:v>0</x:v>
      </x:c>
      <x:c r="O1974" s="78" t="n">
        <x:f>H1974-N1974</x:f>
        <x:v>12428036689.721575</x:v>
      </x:c>
      <x:c r="P1974" s="78" t="n">
        <x:f>I1974+L1974*(1-'Inputs'!$B$17)</x:f>
        <x:v>9.580175300777949</x:v>
      </x:c>
      <x:c r="Q1974" s="78" t="n">
        <x:f>IF(J1974&gt;0,M1974/J1974,0)</x:f>
        <x:v>559261651.0374708</x:v>
      </x:c>
      <x:c r="R1974" s="78" t="n">
        <x:f>IF(B1974='Inputs'!$H$49,'Inputs'!$B$27*'Inputs'!$I$49,0)</x:f>
        <x:v>0</x:v>
      </x:c>
      <x:c r="S1974" s="78" t="n">
        <x:f>Q1974+G1974+R1974</x:f>
        <x:v>560125439.5062267</x:v>
      </x:c>
      <x:c r="T1974" s="78" t="n">
        <x:f>P1974*(S1974*(1-'Inputs'!$B$15))/(O1974+S1974*(1-'Inputs'!$B$15))</x:f>
        <x:v>0.4091980737162874</x:v>
      </x:c>
      <x:c r="U1974" s="78" t="n">
        <x:f>O1974+S1974*(1-'Inputs'!$B$17)</x:f>
        <x:v>12985908103.314295</x:v>
      </x:c>
      <x:c r="V1974" s="78" t="n">
        <x:f>P1974-T1974</x:f>
        <x:v>9.17097722706166</x:v>
      </x:c>
      <x:c r="W1974" s="79" t="n">
        <x:f>IF(U1974&gt;0,V1974/U1974,0)</x:f>
        <x:v>7.062253293415053e-10</x:v>
      </x:c>
      <x:c r="X1974" s="80" t="n">
        <x:f>W1974*('Inputs'!$B$6-AC1974)</x:f>
        <x:v>0.07574813082593612</x:v>
      </x:c>
      <x:c r="Y1974" s="80" t="n">
        <x:f>2*V1974</x:f>
        <x:v>18.34195445412332</x:v>
      </x:c>
      <x:c r="Z1974" s="80" t="n">
        <x:f>K1974*'Inputs'!$B$16+(G1974+R1974)*J1974*'Inputs'!$B$16</x:f>
        <x:v>0.08622557282473095</x:v>
      </x:c>
      <x:c r="AA1974" s="80" t="n">
        <x:f>K1974*(1+'Inputs'!$E$49)/2*'Inputs'!$B$17</x:f>
        <x:v>0.028046589663243294</x:v>
      </x:c>
      <x:c r="AB1974" s="78" t="n">
        <x:f>(IF(J1974&gt;0,K1974*(1-'Inputs'!$E$49)/2/J1974,0)+G1974+R1974)*'Inputs'!$B$17</x:f>
        <x:v>38637916.02124215</x:v>
      </x:c>
      <x:c r="AC1974" s="78" t="n">
        <x:f>AC1973+AB1974</x:f>
        <x:v>892742262.7328238</x:v>
      </x:c>
      <x:c r="AD1974" s="80" t="n">
        <x:f>Z1974/(1+'Inputs'!$C$49)</x:f>
        <x:v>0.021556393206182738</x:v>
      </x:c>
      <x:c r="AE1974" s="80" t="n">
        <x:f>Z1974-AD1974</x:f>
        <x:v>0.0646691796185482</x:v>
      </x:c>
      <x:c r="AF1974" s="80" t="n">
        <x:f>D1974*W1974</x:f>
        <x:v>0.00020117830394731409</x:v>
      </x:c>
      <x:c r="AG1974" s="80" t="n">
        <x:f>C1974*W1974</x:f>
        <x:v>0.00046941604254373287</x:v>
      </x:c>
      <x:c r="AH1974" s="80" t="n">
        <x:f>2*'Inputs'!$B$8*'Inputs'!$C$49</x:f>
        <x:v>15000</x:v>
      </x:c>
      <x:c r="AI1974" s="81" t="n">
        <x:f>IF(AH1974&gt;0,(AE1974+AF1974)/AH1974*365,0)</x:f>
        <x:v>0.001578512042780724</x:v>
      </x:c>
      <x:c r="AJ1974" s="81" t="n">
        <x:f>IF('Inputs'!$B$49&gt;0,AG1974/('Inputs'!$B$19*'Inputs'!$B$49)*365,0)</x:f>
        <x:v>0.000017133685552846252</x:v>
      </x:c>
      <x:c r="AK1974" s="81" t="n">
        <x:f>W1974/MAX($W$1829:W1974)-1</x:f>
        <x:v>-0.9999990901734027</x:v>
      </x:c>
      <x:c r="AL1974" s="83" t="n">
        <x:f>'Inputs'!$B$49</x:f>
        <x:v>1</x:v>
      </x:c>
      <x:c r="AM1974" s="83" t="n">
        <x:f>'Inputs'!$C$49</x:f>
        <x:v>3</x:v>
      </x:c>
      <x:c r="AN1974" s="83" t="n">
        <x:f>'Inputs'!$D$49</x:f>
        <x:v>0.75</x:v>
      </x:c>
      <x:c r="AO1974" s="81" t="n">
        <x:f>'Inputs'!$E$49</x:f>
        <x:v>-0.03</x:v>
      </x:c>
    </x:row>
    <x:row r="1975">
      <x:c r="A1975" s="59" t="str">
        <x:v>Mercenary LP</x:v>
      </x:c>
      <x:c r="B1975" s="59" t="n">
        <x:v>147</x:v>
      </x:c>
      <x:c r="C1975" s="78" t="n">
        <x:f>(('Inputs'!$B$29*(3*147*'Inputs'!$B$12-147^2)/(2*'Inputs'!$B$12^2))-('Inputs'!$B$29*(3*146*'Inputs'!$B$12-146^2)/(2*'Inputs'!$B$12^2)))*'Inputs'!$B$49</x:f>
        <x:v>664357.9939951152</x:v>
      </x:c>
      <x:c r="D1975" s="78" t="n">
        <x:f>IF('Inputs'!$C$49&gt;0,('Inputs'!$B$30*(3*147*'Inputs'!$B$12-147^2)/(2*'Inputs'!$B$12^2))-('Inputs'!$B$30*(3*146*'Inputs'!$B$12-146^2)/(2*'Inputs'!$B$12^2)),0)</x:f>
        <x:v>284724.85456933826</x:v>
      </x:c>
      <x:c r="E1975" s="78" t="n">
        <x:f>C1975+D1975</x:f>
        <x:v>949082.8485644534</x:v>
      </x:c>
      <x:c r="F1975" s="78" t="n">
        <x:f>'Inputs'!$B$13*E1975+(1-'Inputs'!$B$13)/'Inputs'!$B$14*SUM(E1920:E1975)</x:f>
        <x:v>959300.5254269083</x:v>
      </x:c>
      <x:c r="G1975" s="78" t="n">
        <x:f>F1975*'Inputs'!$F$49</x:f>
        <x:v>863370.4728842175</x:v>
      </x:c>
      <x:c r="H1975" s="78" t="n">
        <x:f>U1974</x:f>
        <x:v>12985908103.314295</x:v>
      </x:c>
      <x:c r="I1975" s="78" t="n">
        <x:f>V1974</x:f>
        <x:v>9.17097722706166</x:v>
      </x:c>
      <x:c r="J1975" s="79" t="n">
        <x:f>IF(H1975&gt;0,I1975/H1975,0)</x:f>
        <x:v>7.062253293415053e-10</x:v>
      </x:c>
      <x:c r="K1975" s="80" t="n">
        <x:f>(H1975*J1975+I1975)*'Inputs'!$D$49*(1+'Inputs'!$G$49)^(B1975/30)</x:f>
        <x:v>13.75646584059249</x:v>
      </x:c>
      <x:c r="L1975" s="80" t="n">
        <x:f>MAX(0,K1975*'Inputs'!$E$49)</x:f>
        <x:v>0</x:v>
      </x:c>
      <x:c r="M1975" s="80" t="n">
        <x:f>MAX(0,-K1975*'Inputs'!$E$49)</x:f>
        <x:v>0.4126939752177747</x:v>
      </x:c>
      <x:c r="N1975" s="78" t="n">
        <x:f>H1975*(L1975*(1-'Inputs'!$B$15))/(I1975+L1975*(1-'Inputs'!$B$15))</x:f>
        <x:v>0</x:v>
      </x:c>
      <x:c r="O1975" s="78" t="n">
        <x:f>H1975-N1975</x:f>
        <x:v>12985908103.314295</x:v>
      </x:c>
      <x:c r="P1975" s="78" t="n">
        <x:f>I1975+L1975*(1-'Inputs'!$B$17)</x:f>
        <x:v>9.17097722706166</x:v>
      </x:c>
      <x:c r="Q1975" s="78" t="n">
        <x:f>IF(J1975&gt;0,M1975/J1975,0)</x:f>
        <x:v>584365864.6491432</x:v>
      </x:c>
      <x:c r="R1975" s="78" t="n">
        <x:f>IF(B1975='Inputs'!$H$49,'Inputs'!$B$27*'Inputs'!$I$49,0)</x:f>
        <x:v>0</x:v>
      </x:c>
      <x:c r="S1975" s="78" t="n">
        <x:f>Q1975+G1975+R1975</x:f>
        <x:v>585229235.1220274</x:v>
      </x:c>
      <x:c r="T1975" s="78" t="n">
        <x:f>P1975*(S1975*(1-'Inputs'!$B$15))/(O1975+S1975*(1-'Inputs'!$B$15))</x:f>
        <x:v>0.39169488366697647</x:v>
      </x:c>
      <x:c r="U1975" s="78" t="n">
        <x:f>O1975+S1975*(1-'Inputs'!$B$17)</x:f>
        <x:v>13568782291.212492</x:v>
      </x:c>
      <x:c r="V1975" s="78" t="n">
        <x:f>P1975-T1975</x:f>
        <x:v>8.779282343394684</x:v>
      </x:c>
      <x:c r="W1975" s="79" t="n">
        <x:f>IF(U1975&gt;0,V1975/U1975,0)</x:f>
        <x:v>6.470206504146199e-10</x:v>
      </x:c>
      <x:c r="X1975" s="80" t="n">
        <x:f>W1975*('Inputs'!$B$6-AC1975)</x:f>
        <x:v>0.043276361110255464</x:v>
      </x:c>
      <x:c r="Y1975" s="80" t="n">
        <x:f>2*V1975</x:f>
        <x:v>17.558564686789367</x:v>
      </x:c>
      <x:c r="Z1975" s="80" t="n">
        <x:f>K1975*'Inputs'!$B$16+(G1975+R1975)*J1975*'Inputs'!$B$16</x:f>
        <x:v>0.08254245344813428</x:v>
      </x:c>
      <x:c r="AA1975" s="80" t="n">
        <x:f>K1975*(1+'Inputs'!$E$49)/2*'Inputs'!$B$17</x:f>
        <x:v>0.02684863554401351</x:v>
      </x:c>
      <x:c r="AB1975" s="78" t="n">
        <x:f>(IF(J1975&gt;0,K1975*(1-'Inputs'!$E$49)/2/J1975,0)+G1975+R1975)*'Inputs'!$B$17</x:f>
        <x:v>40372142.37538502</x:v>
      </x:c>
      <x:c r="AC1975" s="78" t="n">
        <x:f>AC1974+AB1975</x:f>
        <x:v>933114405.1082089</x:v>
      </x:c>
      <x:c r="AD1975" s="80" t="n">
        <x:f>Z1975/(1+'Inputs'!$C$49)</x:f>
        <x:v>0.02063561336203357</x:v>
      </x:c>
      <x:c r="AE1975" s="80" t="n">
        <x:f>Z1975-AD1975</x:f>
        <x:v>0.061906840086100715</x:v>
      </x:c>
      <x:c r="AF1975" s="80" t="n">
        <x:f>D1975*W1975</x:f>
        <x:v>0.00018422286059266131</x:v>
      </x:c>
      <x:c r="AG1975" s="80" t="n">
        <x:f>C1975*W1975</x:f>
        <x:v>0.0004298533413828716</x:v>
      </x:c>
      <x:c r="AH1975" s="80" t="n">
        <x:f>2*'Inputs'!$B$8*'Inputs'!$C$49</x:f>
        <x:v>15000</x:v>
      </x:c>
      <x:c r="AI1975" s="81" t="n">
        <x:f>IF(AH1975&gt;0,(AE1975+AF1975)/AH1975*365,0)</x:f>
        <x:v>0.0015108825317028723</x:v>
      </x:c>
      <x:c r="AJ1975" s="81" t="n">
        <x:f>IF('Inputs'!$B$49&gt;0,AG1975/('Inputs'!$B$19*'Inputs'!$B$49)*365,0)</x:f>
        <x:v>0.000015689646960474812</x:v>
      </x:c>
      <x:c r="AK1975" s="81" t="n">
        <x:f>W1975/MAX($W$1829:W1975)-1</x:f>
        <x:v>-0.9999991664464977</x:v>
      </x:c>
      <x:c r="AL1975" s="83" t="n">
        <x:f>'Inputs'!$B$49</x:f>
        <x:v>1</x:v>
      </x:c>
      <x:c r="AM1975" s="83" t="n">
        <x:f>'Inputs'!$C$49</x:f>
        <x:v>3</x:v>
      </x:c>
      <x:c r="AN1975" s="83" t="n">
        <x:f>'Inputs'!$D$49</x:f>
        <x:v>0.75</x:v>
      </x:c>
      <x:c r="AO1975" s="81" t="n">
        <x:f>'Inputs'!$E$49</x:f>
        <x:v>-0.03</x:v>
      </x:c>
    </x:row>
    <x:row r="1976">
      <x:c r="A1976" s="59" t="str">
        <x:v>Mercenary LP</x:v>
      </x:c>
      <x:c r="B1976" s="59" t="n">
        <x:v>148</x:v>
      </x:c>
      <x:c r="C1976" s="78" t="n">
        <x:f>(('Inputs'!$B$29*(3*148*'Inputs'!$B$12-148^2)/(2*'Inputs'!$B$12^2))-('Inputs'!$B$29*(3*147*'Inputs'!$B$12-147^2)/(2*'Inputs'!$B$12^2)))*'Inputs'!$B$49</x:f>
        <x:v>664032.8860949576</x:v>
      </x:c>
      <x:c r="D1976" s="78" t="n">
        <x:f>IF('Inputs'!$C$49&gt;0,('Inputs'!$B$30*(3*148*'Inputs'!$B$12-148^2)/(2*'Inputs'!$B$12^2))-('Inputs'!$B$30*(3*147*'Inputs'!$B$12-147^2)/(2*'Inputs'!$B$12^2)),0)</x:f>
        <x:v>284585.5226121247</x:v>
      </x:c>
      <x:c r="E1976" s="78" t="n">
        <x:f>C1976+D1976</x:f>
        <x:v>948618.4087070823</x:v>
      </x:c>
      <x:c r="F1976" s="78" t="n">
        <x:f>'Inputs'!$B$13*E1976+(1-'Inputs'!$B$13)/'Inputs'!$B$14*SUM(E1921:E1976)</x:f>
        <x:v>958836.0855695269</x:v>
      </x:c>
      <x:c r="G1976" s="78" t="n">
        <x:f>F1976*'Inputs'!$F$49</x:f>
        <x:v>862952.4770125742</x:v>
      </x:c>
      <x:c r="H1976" s="78" t="n">
        <x:f>U1975</x:f>
        <x:v>13568782291.212492</x:v>
      </x:c>
      <x:c r="I1976" s="78" t="n">
        <x:f>V1975</x:f>
        <x:v>8.779282343394684</x:v>
      </x:c>
      <x:c r="J1976" s="79" t="n">
        <x:f>IF(H1976&gt;0,I1976/H1976,0)</x:f>
        <x:v>6.470206504146199e-10</x:v>
      </x:c>
      <x:c r="K1976" s="80" t="n">
        <x:f>(H1976*J1976+I1976)*'Inputs'!$D$49*(1+'Inputs'!$G$49)^(B1976/30)</x:f>
        <x:v>13.168923515092025</x:v>
      </x:c>
      <x:c r="L1976" s="80" t="n">
        <x:f>MAX(0,K1976*'Inputs'!$E$49)</x:f>
        <x:v>0</x:v>
      </x:c>
      <x:c r="M1976" s="80" t="n">
        <x:f>MAX(0,-K1976*'Inputs'!$E$49)</x:f>
        <x:v>0.39506770545276076</x:v>
      </x:c>
      <x:c r="N1976" s="78" t="n">
        <x:f>H1976*(L1976*(1-'Inputs'!$B$15))/(I1976+L1976*(1-'Inputs'!$B$15))</x:f>
        <x:v>0</x:v>
      </x:c>
      <x:c r="O1976" s="78" t="n">
        <x:f>H1976-N1976</x:f>
        <x:v>13568782291.212492</x:v>
      </x:c>
      <x:c r="P1976" s="78" t="n">
        <x:f>I1976+L1976*(1-'Inputs'!$B$17)</x:f>
        <x:v>8.779282343394684</x:v>
      </x:c>
      <x:c r="Q1976" s="78" t="n">
        <x:f>IF(J1976&gt;0,M1976/J1976,0)</x:f>
        <x:v>610595203.1045622</x:v>
      </x:c>
      <x:c r="R1976" s="78" t="n">
        <x:f>IF(B1976='Inputs'!$H$49,'Inputs'!$B$27*'Inputs'!$I$49,0)</x:f>
        <x:v>0</x:v>
      </x:c>
      <x:c r="S1976" s="78" t="n">
        <x:f>Q1976+G1976+R1976</x:f>
        <x:v>611458155.5815747</x:v>
      </x:c>
      <x:c r="T1976" s="78" t="n">
        <x:f>P1976*(S1976*(1-'Inputs'!$B$15))/(O1976+S1976*(1-'Inputs'!$B$15))</x:f>
        <x:v>0.37494249745343633</x:v>
      </x:c>
      <x:c r="U1976" s="78" t="n">
        <x:f>O1976+S1976*(1-'Inputs'!$B$17)</x:f>
        <x:v>14177779850.594543</x:v>
      </x:c>
      <x:c r="V1976" s="78" t="n">
        <x:f>P1976-T1976</x:f>
        <x:v>8.404339845941248</x:v>
      </x:c>
      <x:c r="W1976" s="79" t="n">
        <x:f>IF(U1976&gt;0,V1976/U1976,0)</x:f>
        <x:v>5.927825043487901e-10</x:v>
      </x:c>
      <x:c r="X1976" s="80" t="n">
        <x:f>W1976*('Inputs'!$B$6-AC1976)</x:f>
        <x:v>0.014642617766296924</x:v>
      </x:c>
      <x:c r="Y1976" s="80" t="n">
        <x:f>2*V1976</x:f>
        <x:v>16.808679691882496</x:v>
      </x:c>
      <x:c r="Z1976" s="80" t="n">
        <x:f>K1976*'Inputs'!$B$16+(G1976+R1976)*J1976*'Inputs'!$B$16</x:f>
        <x:v>0.07901689117898987</x:v>
      </x:c>
      <x:c r="AA1976" s="80" t="n">
        <x:f>K1976*(1+'Inputs'!$E$49)/2*'Inputs'!$B$17</x:f>
        <x:v>0.0257019231582279</x:v>
      </x:c>
      <x:c r="AB1976" s="78" t="n">
        <x:f>(IF(J1976&gt;0,K1976*(1-'Inputs'!$E$49)/2/J1976,0)+G1976+R1976)*'Inputs'!$B$17</x:f>
        <x:v>42184093.65166464</x:v>
      </x:c>
      <x:c r="AC1976" s="78" t="n">
        <x:f>AC1975+AB1976</x:f>
        <x:v>975298498.7598735</x:v>
      </x:c>
      <x:c r="AD1976" s="80" t="n">
        <x:f>Z1976/(1+'Inputs'!$C$49)</x:f>
        <x:v>0.019754222794747468</x:v>
      </x:c>
      <x:c r="AE1976" s="80" t="n">
        <x:f>Z1976-AD1976</x:f>
        <x:v>0.059262668384242406</x:v>
      </x:c>
      <x:c r="AF1976" s="80" t="n">
        <x:f>D1976*W1976</x:f>
        <x:v>0.00016869731879542448</x:v>
      </x:c>
      <x:c r="AG1976" s="80" t="n">
        <x:f>C1976*W1976</x:f>
        <x:v>0.0003936270771893238</x:v>
      </x:c>
      <x:c r="AH1976" s="80" t="n">
        <x:f>2*'Inputs'!$B$8*'Inputs'!$C$49</x:f>
        <x:v>15000</x:v>
      </x:c>
      <x:c r="AI1976" s="81" t="n">
        <x:f>IF(AH1976&gt;0,(AE1976+AF1976)/AH1976*365,0)</x:f>
        <x:v>0.0014461632321072539</x:v>
      </x:c>
      <x:c r="AJ1976" s="81" t="n">
        <x:f>IF('Inputs'!$B$49&gt;0,AG1976/('Inputs'!$B$19*'Inputs'!$B$49)*365,0)</x:f>
        <x:v>0.000014367388317410318</x:v>
      </x:c>
      <x:c r="AK1976" s="81" t="n">
        <x:f>W1976/MAX($W$1829:W1976)-1</x:f>
        <x:v>-0.9999992363212328</x:v>
      </x:c>
      <x:c r="AL1976" s="83" t="n">
        <x:f>'Inputs'!$B$49</x:f>
        <x:v>1</x:v>
      </x:c>
      <x:c r="AM1976" s="83" t="n">
        <x:f>'Inputs'!$C$49</x:f>
        <x:v>3</x:v>
      </x:c>
      <x:c r="AN1976" s="83" t="n">
        <x:f>'Inputs'!$D$49</x:f>
        <x:v>0.75</x:v>
      </x:c>
      <x:c r="AO1976" s="81" t="n">
        <x:f>'Inputs'!$E$49</x:f>
        <x:v>-0.03</x:v>
      </x:c>
    </x:row>
    <x:row r="1977">
      <x:c r="A1977" s="59" t="str">
        <x:v>Mercenary LP</x:v>
      </x:c>
      <x:c r="B1977" s="59" t="n">
        <x:v>149</x:v>
      </x:c>
      <x:c r="C1977" s="78" t="n">
        <x:f>(('Inputs'!$B$29*(3*149*'Inputs'!$B$12-149^2)/(2*'Inputs'!$B$12^2))-('Inputs'!$B$29*(3*148*'Inputs'!$B$12-148^2)/(2*'Inputs'!$B$12^2)))*'Inputs'!$B$49</x:f>
        <x:v>663707.7781947851</x:v>
      </x:c>
      <x:c r="D1977" s="78" t="n">
        <x:f>IF('Inputs'!$C$49&gt;0,('Inputs'!$B$30*(3*149*'Inputs'!$B$12-149^2)/(2*'Inputs'!$B$12^2))-('Inputs'!$B$30*(3*148*'Inputs'!$B$12-148^2)/(2*'Inputs'!$B$12^2)),0)</x:f>
        <x:v>284446.19065490365</x:v>
      </x:c>
      <x:c r="E1977" s="78" t="n">
        <x:f>C1977+D1977</x:f>
        <x:v>948153.9688496888</x:v>
      </x:c>
      <x:c r="F1977" s="78" t="n">
        <x:f>'Inputs'!$B$13*E1977+(1-'Inputs'!$B$13)/'Inputs'!$B$14*SUM(E1922:E1977)</x:f>
        <x:v>958371.645712141</x:v>
      </x:c>
      <x:c r="G1977" s="78" t="n">
        <x:f>F1977*'Inputs'!$F$49</x:f>
        <x:v>862534.4811409268</x:v>
      </x:c>
      <x:c r="H1977" s="78" t="n">
        <x:f>U1976</x:f>
        <x:v>14177779850.594543</x:v>
      </x:c>
      <x:c r="I1977" s="78" t="n">
        <x:f>V1976</x:f>
        <x:v>8.404339845941248</x:v>
      </x:c>
      <x:c r="J1977" s="79" t="n">
        <x:f>IF(H1977&gt;0,I1977/H1977,0)</x:f>
        <x:v>5.927825043487901e-10</x:v>
      </x:c>
      <x:c r="K1977" s="80" t="n">
        <x:f>(H1977*J1977+I1977)*'Inputs'!$D$49*(1+'Inputs'!$G$49)^(B1977/30)</x:f>
        <x:v>12.606509768911872</x:v>
      </x:c>
      <x:c r="L1977" s="80" t="n">
        <x:f>MAX(0,K1977*'Inputs'!$E$49)</x:f>
        <x:v>0</x:v>
      </x:c>
      <x:c r="M1977" s="80" t="n">
        <x:f>MAX(0,-K1977*'Inputs'!$E$49)</x:f>
        <x:v>0.37819529306735616</x:v>
      </x:c>
      <x:c r="N1977" s="78" t="n">
        <x:f>H1977*(L1977*(1-'Inputs'!$B$15))/(I1977+L1977*(1-'Inputs'!$B$15))</x:f>
        <x:v>0</x:v>
      </x:c>
      <x:c r="O1977" s="78" t="n">
        <x:f>H1977-N1977</x:f>
        <x:v>14177779850.594543</x:v>
      </x:c>
      <x:c r="P1977" s="78" t="n">
        <x:f>I1977+L1977*(1-'Inputs'!$B$17)</x:f>
        <x:v>8.404339845941248</x:v>
      </x:c>
      <x:c r="Q1977" s="78" t="n">
        <x:f>IF(J1977&gt;0,M1977/J1977,0)</x:f>
        <x:v>638000093.2767545</x:v>
      </x:c>
      <x:c r="R1977" s="78" t="n">
        <x:f>IF(B1977='Inputs'!$H$49,'Inputs'!$B$27*'Inputs'!$I$49,0)</x:f>
        <x:v>0</x:v>
      </x:c>
      <x:c r="S1977" s="78" t="n">
        <x:f>Q1977+G1977+R1977</x:f>
        <x:v>638862627.7578955</x:v>
      </x:c>
      <x:c r="T1977" s="78" t="n">
        <x:f>P1977*(S1977*(1-'Inputs'!$B$15))/(O1977+S1977*(1-'Inputs'!$B$15))</x:f>
        <x:v>0.35890853089045754</x:v>
      </x:c>
      <x:c r="U1977" s="78" t="n">
        <x:f>O1977+S1977*(1-'Inputs'!$B$17)</x:f>
        <x:v>14814071602.586813</x:v>
      </x:c>
      <x:c r="V1977" s="78" t="n">
        <x:f>P1977-T1977</x:f>
        <x:v>8.04543131505079</x:v>
      </x:c>
      <x:c r="W1977" s="79" t="n">
        <x:f>IF(U1977&gt;0,V1977/U1977,0)</x:f>
        <x:v>5.430938590607262e-10</x:v>
      </x:c>
      <x:c r="X1977" s="80" t="n">
        <x:f>W1977*('Inputs'!$B$6-AC1977)</x:f>
        <x:v>-0.010522852010885986</x:v>
      </x:c>
      <x:c r="Y1977" s="80" t="n">
        <x:f>2*V1977</x:f>
        <x:v>16.09086263010158</x:v>
      </x:c>
      <x:c r="Z1977" s="80" t="n">
        <x:f>K1977*'Inputs'!$B$16+(G1977+R1977)*J1977*'Inputs'!$B$16</x:f>
        <x:v>0.07564212638557014</x:v>
      </x:c>
      <x:c r="AA1977" s="80" t="n">
        <x:f>K1977*(1+'Inputs'!$E$49)/2*'Inputs'!$B$17</x:f>
        <x:v>0.024604254478560395</x:v>
      </x:c>
      <x:c r="AB1977" s="78" t="n">
        <x:f>(IF(J1977&gt;0,K1977*(1-'Inputs'!$E$49)/2/J1977,0)+G1977+R1977)*'Inputs'!$B$17</x:f>
        <x:v>44077253.39664156</x:v>
      </x:c>
      <x:c r="AC1977" s="78" t="n">
        <x:f>AC1976+AB1977</x:f>
        <x:v>1019375752.1565151</x:v>
      </x:c>
      <x:c r="AD1977" s="80" t="n">
        <x:f>Z1977/(1+'Inputs'!$C$49)</x:f>
        <x:v>0.018910531596392534</x:v>
      </x:c>
      <x:c r="AE1977" s="80" t="n">
        <x:f>Z1977-AD1977</x:f>
        <x:v>0.0567315947891776</x:v>
      </x:c>
      <x:c r="AF1977" s="80" t="n">
        <x:f>D1977*W1977</x:f>
        <x:v>0.0001544809793778947</x:v>
      </x:c>
      <x:c r="AG1977" s="80" t="n">
        <x:f>C1977*W1977</x:f>
        <x:v>0.0003604556185484264</x:v>
      </x:c>
      <x:c r="AH1977" s="80" t="n">
        <x:f>2*'Inputs'!$B$8*'Inputs'!$C$49</x:f>
        <x:v>15000</x:v>
      </x:c>
      <x:c r="AI1977" s="81" t="n">
        <x:f>IF(AH1977&gt;0,(AE1977+AF1977)/AH1977*365,0)</x:f>
        <x:v>0.001384227843701517</x:v>
      </x:c>
      <x:c r="AJ1977" s="81" t="n">
        <x:f>IF('Inputs'!$B$49&gt;0,AG1977/('Inputs'!$B$19*'Inputs'!$B$49)*365,0)</x:f>
        <x:v>0.000013156630077017562</x:v>
      </x:c>
      <x:c r="AK1977" s="81" t="n">
        <x:f>W1977/MAX($W$1829:W1977)-1</x:f>
        <x:v>-0.9999993003348687</x:v>
      </x:c>
      <x:c r="AL1977" s="83" t="n">
        <x:f>'Inputs'!$B$49</x:f>
        <x:v>1</x:v>
      </x:c>
      <x:c r="AM1977" s="83" t="n">
        <x:f>'Inputs'!$C$49</x:f>
        <x:v>3</x:v>
      </x:c>
      <x:c r="AN1977" s="83" t="n">
        <x:f>'Inputs'!$D$49</x:f>
        <x:v>0.75</x:v>
      </x:c>
      <x:c r="AO1977" s="81" t="n">
        <x:f>'Inputs'!$E$49</x:f>
        <x:v>-0.03</x:v>
      </x:c>
    </x:row>
    <x:row r="1978">
      <x:c r="A1978" s="59" t="str">
        <x:v>Mercenary LP</x:v>
      </x:c>
      <x:c r="B1978" s="59" t="n">
        <x:v>150</x:v>
      </x:c>
      <x:c r="C1978" s="78" t="n">
        <x:f>(('Inputs'!$B$29*(3*150*'Inputs'!$B$12-150^2)/(2*'Inputs'!$B$12^2))-('Inputs'!$B$29*(3*149*'Inputs'!$B$12-149^2)/(2*'Inputs'!$B$12^2)))*'Inputs'!$B$49</x:f>
        <x:v>663382.6702946126</x:v>
      </x:c>
      <x:c r="D1978" s="78" t="n">
        <x:f>IF('Inputs'!$C$49&gt;0,('Inputs'!$B$30*(3*150*'Inputs'!$B$12-150^2)/(2*'Inputs'!$B$12^2))-('Inputs'!$B$30*(3*149*'Inputs'!$B$12-149^2)/(2*'Inputs'!$B$12^2)),0)</x:f>
        <x:v>284306.85869769007</x:v>
      </x:c>
      <x:c r="E1978" s="78" t="n">
        <x:f>C1978+D1978</x:f>
        <x:v>947689.5289923027</x:v>
      </x:c>
      <x:c r="F1978" s="78" t="n">
        <x:f>'Inputs'!$B$13*E1978+(1-'Inputs'!$B$13)/'Inputs'!$B$14*SUM(E1923:E1978)</x:f>
        <x:v>957907.2058547564</x:v>
      </x:c>
      <x:c r="G1978" s="78" t="n">
        <x:f>F1978*'Inputs'!$F$49</x:f>
        <x:v>862116.4852692807</x:v>
      </x:c>
      <x:c r="H1978" s="78" t="n">
        <x:f>U1977</x:f>
        <x:v>14814071602.586813</x:v>
      </x:c>
      <x:c r="I1978" s="78" t="n">
        <x:f>V1977</x:f>
        <x:v>8.04543131505079</x:v>
      </x:c>
      <x:c r="J1978" s="79" t="n">
        <x:f>IF(H1978&gt;0,I1978/H1978,0)</x:f>
        <x:v>5.430938590607262e-10</x:v>
      </x:c>
      <x:c r="K1978" s="80" t="n">
        <x:f>(H1978*J1978+I1978)*'Inputs'!$D$49*(1+'Inputs'!$G$49)^(B1978/30)</x:f>
        <x:v>12.068146972576184</x:v>
      </x:c>
      <x:c r="L1978" s="80" t="n">
        <x:f>MAX(0,K1978*'Inputs'!$E$49)</x:f>
        <x:v>0</x:v>
      </x:c>
      <x:c r="M1978" s="80" t="n">
        <x:f>MAX(0,-K1978*'Inputs'!$E$49)</x:f>
        <x:v>0.3620444091772855</x:v>
      </x:c>
      <x:c r="N1978" s="78" t="n">
        <x:f>H1978*(L1978*(1-'Inputs'!$B$15))/(I1978+L1978*(1-'Inputs'!$B$15))</x:f>
        <x:v>0</x:v>
      </x:c>
      <x:c r="O1978" s="78" t="n">
        <x:f>H1978-N1978</x:f>
        <x:v>14814071602.586813</x:v>
      </x:c>
      <x:c r="P1978" s="78" t="n">
        <x:f>I1978+L1978*(1-'Inputs'!$B$17)</x:f>
        <x:v>8.04543131505079</x:v>
      </x:c>
      <x:c r="Q1978" s="78" t="n">
        <x:f>IF(J1978&gt;0,M1978/J1978,0)</x:f>
        <x:v>666633222.1164064</x:v>
      </x:c>
      <x:c r="R1978" s="78" t="n">
        <x:f>IF(B1978='Inputs'!$H$49,'Inputs'!$B$27*'Inputs'!$I$49,0)</x:f>
        <x:v>0</x:v>
      </x:c>
      <x:c r="S1978" s="78" t="n">
        <x:f>Q1978+G1978+R1978</x:f>
        <x:v>667495338.6016757</x:v>
      </x:c>
      <x:c r="T1978" s="78" t="n">
        <x:f>P1978*(S1978*(1-'Inputs'!$B$15))/(O1978+S1978*(1-'Inputs'!$B$15))</x:f>
        <x:v>0.34356201161394834</x:v>
      </x:c>
      <x:c r="U1978" s="78" t="n">
        <x:f>O1978+S1978*(1-'Inputs'!$B$17)</x:f>
        <x:v>15478880843.24643</x:v>
      </x:c>
      <x:c r="V1978" s="78" t="n">
        <x:f>P1978-T1978</x:f>
        <x:v>7.701869303436841</x:v>
      </x:c>
      <x:c r="W1978" s="79" t="n">
        <x:f>IF(U1978&gt;0,V1978/U1978,0)</x:f>
        <x:v>4.975727496989703e-10</x:v>
      </x:c>
      <x:c r="X1978" s="80" t="n">
        <x:f>W1978*('Inputs'!$B$6-AC1978)</x:f>
        <x:v>-0.032556689274007504</x:v>
      </x:c>
      <x:c r="Y1978" s="80" t="n">
        <x:f>2*V1978</x:f>
        <x:v>15.403738606873683</x:v>
      </x:c>
      <x:c r="Z1978" s="80" t="n">
        <x:f>K1978*'Inputs'!$B$16+(G1978+R1978)*J1978*'Inputs'!$B$16</x:f>
        <x:v>0.07241169109647078</x:v>
      </x:c>
      <x:c r="AA1978" s="80" t="n">
        <x:f>K1978*(1+'Inputs'!$E$49)/2*'Inputs'!$B$17</x:f>
        <x:v>0.023553526284504828</x:v>
      </x:c>
      <x:c r="AB1978" s="78" t="n">
        <x:f>(IF(J1978&gt;0,K1978*(1-'Inputs'!$E$49)/2/J1978,0)+G1978+R1978)*'Inputs'!$B$17</x:f>
        <x:v>46055261.28564822</x:v>
      </x:c>
      <x:c r="AC1978" s="78" t="n">
        <x:f>AC1977+AB1978</x:f>
        <x:v>1065431013.4421633</x:v>
      </x:c>
      <x:c r="AD1978" s="80" t="n">
        <x:f>Z1978/(1+'Inputs'!$C$49)</x:f>
        <x:v>0.018102922774117694</x:v>
      </x:c>
      <x:c r="AE1978" s="80" t="n">
        <x:f>Z1978-AD1978</x:f>
        <x:v>0.05430876832235308</x:v>
      </x:c>
      <x:c r="AF1978" s="80" t="n">
        <x:f>D1978*W1978</x:f>
        <x:v>0.00014146334544048626</x:v>
      </x:c>
      <x:c r="AG1978" s="80" t="n">
        <x:f>C1978*W1978</x:f>
        <x:v>0.00033008113936113583</x:v>
      </x:c>
      <x:c r="AH1978" s="80" t="n">
        <x:f>2*'Inputs'!$B$8*'Inputs'!$C$49</x:f>
        <x:v>15000</x:v>
      </x:c>
      <x:c r="AI1978" s="81" t="n">
        <x:f>IF(AH1978&gt;0,(AE1978+AF1978)/AH1978*365,0)</x:f>
        <x:v>0.0013249556372496433</x:v>
      </x:c>
      <x:c r="AJ1978" s="81" t="n">
        <x:f>IF('Inputs'!$B$49&gt;0,AG1978/('Inputs'!$B$19*'Inputs'!$B$49)*365,0)</x:f>
        <x:v>0.000012047961586681457</x:v>
      </x:c>
      <x:c r="AK1978" s="81" t="n">
        <x:f>W1978/MAX($W$1829:W1978)-1</x:f>
        <x:v>-0.9999993589794887</x:v>
      </x:c>
      <x:c r="AL1978" s="83" t="n">
        <x:f>'Inputs'!$B$49</x:f>
        <x:v>1</x:v>
      </x:c>
      <x:c r="AM1978" s="83" t="n">
        <x:f>'Inputs'!$C$49</x:f>
        <x:v>3</x:v>
      </x:c>
      <x:c r="AN1978" s="83" t="n">
        <x:f>'Inputs'!$D$49</x:f>
        <x:v>0.75</x:v>
      </x:c>
      <x:c r="AO1978" s="81" t="n">
        <x:f>'Inputs'!$E$49</x:f>
        <x:v>-0.03</x:v>
      </x:c>
    </x:row>
    <x:row r="1979">
      <x:c r="A1979" s="59" t="str">
        <x:v>Mercenary LP</x:v>
      </x:c>
      <x:c r="B1979" s="59" t="n">
        <x:v>151</x:v>
      </x:c>
      <x:c r="C1979" s="78" t="n">
        <x:f>(('Inputs'!$B$29*(3*151*'Inputs'!$B$12-151^2)/(2*'Inputs'!$B$12^2))-('Inputs'!$B$29*(3*150*'Inputs'!$B$12-150^2)/(2*'Inputs'!$B$12^2)))*'Inputs'!$B$49</x:f>
        <x:v>663057.5623944402</x:v>
      </x:c>
      <x:c r="D1979" s="78" t="n">
        <x:f>IF('Inputs'!$C$49&gt;0,('Inputs'!$B$30*(3*151*'Inputs'!$B$12-151^2)/(2*'Inputs'!$B$12^2))-('Inputs'!$B$30*(3*150*'Inputs'!$B$12-150^2)/(2*'Inputs'!$B$12^2)),0)</x:f>
        <x:v>284167.5267404765</x:v>
      </x:c>
      <x:c r="E1979" s="78" t="n">
        <x:f>C1979+D1979</x:f>
        <x:v>947225.0891349167</x:v>
      </x:c>
      <x:c r="F1979" s="78" t="n">
        <x:f>'Inputs'!$B$13*E1979+(1-'Inputs'!$B$13)/'Inputs'!$B$14*SUM(E1924:E1979)</x:f>
        <x:v>957442.7659973718</x:v>
      </x:c>
      <x:c r="G1979" s="78" t="n">
        <x:f>F1979*'Inputs'!$F$49</x:f>
        <x:v>861698.4893976346</x:v>
      </x:c>
      <x:c r="H1979" s="78" t="n">
        <x:f>U1978</x:f>
        <x:v>15478880843.24643</x:v>
      </x:c>
      <x:c r="I1979" s="78" t="n">
        <x:f>V1978</x:f>
        <x:v>7.701869303436841</x:v>
      </x:c>
      <x:c r="J1979" s="79" t="n">
        <x:f>IF(H1979&gt;0,I1979/H1979,0)</x:f>
        <x:v>4.975727496989703e-10</x:v>
      </x:c>
      <x:c r="K1979" s="80" t="n">
        <x:f>(H1979*J1979+I1979)*'Inputs'!$D$49*(1+'Inputs'!$G$49)^(B1979/30)</x:f>
        <x:v>11.552803955155262</x:v>
      </x:c>
      <x:c r="L1979" s="80" t="n">
        <x:f>MAX(0,K1979*'Inputs'!$E$49)</x:f>
        <x:v>0</x:v>
      </x:c>
      <x:c r="M1979" s="80" t="n">
        <x:f>MAX(0,-K1979*'Inputs'!$E$49)</x:f>
        <x:v>0.3465841186546579</x:v>
      </x:c>
      <x:c r="N1979" s="78" t="n">
        <x:f>H1979*(L1979*(1-'Inputs'!$B$15))/(I1979+L1979*(1-'Inputs'!$B$15))</x:f>
        <x:v>0</x:v>
      </x:c>
      <x:c r="O1979" s="78" t="n">
        <x:f>H1979-N1979</x:f>
        <x:v>15478880843.24643</x:v>
      </x:c>
      <x:c r="P1979" s="78" t="n">
        <x:f>I1979+L1979*(1-'Inputs'!$B$17)</x:f>
        <x:v>7.701869303436841</x:v>
      </x:c>
      <x:c r="Q1979" s="78" t="n">
        <x:f>IF(J1979&gt;0,M1979/J1979,0)</x:f>
        <x:v>696549637.9460894</x:v>
      </x:c>
      <x:c r="R1979" s="78" t="n">
        <x:f>IF(B1979='Inputs'!$H$49,'Inputs'!$B$27*'Inputs'!$I$49,0)</x:f>
        <x:v>0</x:v>
      </x:c>
      <x:c r="S1979" s="78" t="n">
        <x:f>Q1979+G1979+R1979</x:f>
        <x:v>697411336.435487</x:v>
      </x:c>
      <x:c r="T1979" s="78" t="n">
        <x:f>P1979*(S1979*(1-'Inputs'!$B$15))/(O1979+S1979*(1-'Inputs'!$B$15))</x:f>
        <x:v>0.32887331627169747</x:v>
      </x:c>
      <x:c r="U1979" s="78" t="n">
        <x:f>O1979+S1979*(1-'Inputs'!$B$17)</x:f>
        <x:v>16173485695.430668</x:v>
      </x:c>
      <x:c r="V1979" s="78" t="n">
        <x:f>P1979-T1979</x:f>
        <x:v>7.372995987165144</x:v>
      </x:c>
      <x:c r="W1979" s="79" t="n">
        <x:f>IF(U1979&gt;0,V1979/U1979,0)</x:f>
        <x:v>4.55869323781463e-10</x:v>
      </x:c>
      <x:c r="X1979" s="80" t="n">
        <x:f>W1979*('Inputs'!$B$6-AC1979)</x:f>
        <x:v>-0.05176529903652653</x:v>
      </x:c>
      <x:c r="Y1979" s="80" t="n">
        <x:f>2*V1979</x:f>
        <x:v>14.745991974330288</x:v>
      </x:c>
      <x:c r="Z1979" s="80" t="n">
        <x:f>K1979*'Inputs'!$B$16+(G1979+R1979)*J1979*'Inputs'!$B$16</x:f>
        <x:v>0.06931939627705226</x:v>
      </x:c>
      <x:c r="AA1979" s="80" t="n">
        <x:f>K1979*(1+'Inputs'!$E$49)/2*'Inputs'!$B$17</x:f>
        <x:v>0.02254772602917627</x:v>
      </x:c>
      <x:c r="AB1979" s="78" t="n">
        <x:f>(IF(J1979&gt;0,K1979*(1-'Inputs'!$E$49)/2/J1979,0)+G1979+R1979)*'Inputs'!$B$17</x:f>
        <x:v>48121920.12031092</x:v>
      </x:c>
      <x:c r="AC1979" s="78" t="n">
        <x:f>AC1978+AB1979</x:f>
        <x:v>1113552933.5624743</x:v>
      </x:c>
      <x:c r="AD1979" s="80" t="n">
        <x:f>Z1979/(1+'Inputs'!$C$49)</x:f>
        <x:v>0.017329849069263065</x:v>
      </x:c>
      <x:c r="AE1979" s="80" t="n">
        <x:f>Z1979-AD1979</x:f>
        <x:v>0.0519895472077892</x:v>
      </x:c>
      <x:c r="AF1979" s="80" t="n">
        <x:f>D1979*W1979</x:f>
        <x:v>0.00012954325825583182</x:v>
      </x:c>
      <x:c r="AG1979" s="80" t="n">
        <x:f>C1979*W1979</x:f>
        <x:v>0.00030226760259693865</x:v>
      </x:c>
      <x:c r="AH1979" s="80" t="n">
        <x:f>2*'Inputs'!$B$8*'Inputs'!$C$49</x:f>
        <x:v>15000</x:v>
      </x:c>
      <x:c r="AI1979" s="81" t="n">
        <x:f>IF(AH1979&gt;0,(AE1979+AF1979)/AH1979*365,0)</x:f>
        <x:v>0.001268231201340429</x:v>
      </x:c>
      <x:c r="AJ1979" s="81" t="n">
        <x:f>IF('Inputs'!$B$49&gt;0,AG1979/('Inputs'!$B$19*'Inputs'!$B$49)*365,0)</x:f>
        <x:v>0.00001103276749478826</x:v>
      </x:c>
      <x:c r="AK1979" s="81" t="n">
        <x:f>W1979/MAX($W$1829:W1979)-1</x:f>
        <x:v>-0.9999994127058058</x:v>
      </x:c>
      <x:c r="AL1979" s="83" t="n">
        <x:f>'Inputs'!$B$49</x:f>
        <x:v>1</x:v>
      </x:c>
      <x:c r="AM1979" s="83" t="n">
        <x:f>'Inputs'!$C$49</x:f>
        <x:v>3</x:v>
      </x:c>
      <x:c r="AN1979" s="83" t="n">
        <x:f>'Inputs'!$D$49</x:f>
        <x:v>0.75</x:v>
      </x:c>
      <x:c r="AO1979" s="81" t="n">
        <x:f>'Inputs'!$E$49</x:f>
        <x:v>-0.03</x:v>
      </x:c>
    </x:row>
    <x:row r="1980">
      <x:c r="A1980" s="59" t="str">
        <x:v>Mercenary LP</x:v>
      </x:c>
      <x:c r="B1980" s="59" t="n">
        <x:v>152</x:v>
      </x:c>
      <x:c r="C1980" s="78" t="n">
        <x:f>(('Inputs'!$B$29*(3*152*'Inputs'!$B$12-152^2)/(2*'Inputs'!$B$12^2))-('Inputs'!$B$29*(3*151*'Inputs'!$B$12-151^2)/(2*'Inputs'!$B$12^2)))*'Inputs'!$B$49</x:f>
        <x:v>662732.4544942826</x:v>
      </x:c>
      <x:c r="D1980" s="78" t="n">
        <x:f>IF('Inputs'!$C$49&gt;0,('Inputs'!$B$30*(3*152*'Inputs'!$B$12-152^2)/(2*'Inputs'!$B$12^2))-('Inputs'!$B$30*(3*151*'Inputs'!$B$12-151^2)/(2*'Inputs'!$B$12^2)),0)</x:f>
        <x:v>284028.1947832629</x:v>
      </x:c>
      <x:c r="E1980" s="78" t="n">
        <x:f>C1980+D1980</x:f>
        <x:v>946760.6492775455</x:v>
      </x:c>
      <x:c r="F1980" s="78" t="n">
        <x:f>'Inputs'!$B$13*E1980+(1-'Inputs'!$B$13)/'Inputs'!$B$14*SUM(E1925:E1980)</x:f>
        <x:v>956978.3261399904</x:v>
      </x:c>
      <x:c r="G1980" s="78" t="n">
        <x:f>F1980*'Inputs'!$F$49</x:f>
        <x:v>861280.4935259913</x:v>
      </x:c>
      <x:c r="H1980" s="78" t="n">
        <x:f>U1979</x:f>
        <x:v>16173485695.430668</x:v>
      </x:c>
      <x:c r="I1980" s="78" t="n">
        <x:f>V1979</x:f>
        <x:v>7.372995987165144</x:v>
      </x:c>
      <x:c r="J1980" s="79" t="n">
        <x:f>IF(H1980&gt;0,I1980/H1980,0)</x:f>
        <x:v>4.55869323781463e-10</x:v>
      </x:c>
      <x:c r="K1980" s="80" t="n">
        <x:f>(H1980*J1980+I1980)*'Inputs'!$D$49*(1+'Inputs'!$G$49)^(B1980/30)</x:f>
        <x:v>11.059493980747716</x:v>
      </x:c>
      <x:c r="L1980" s="80" t="n">
        <x:f>MAX(0,K1980*'Inputs'!$E$49)</x:f>
        <x:v>0</x:v>
      </x:c>
      <x:c r="M1980" s="80" t="n">
        <x:f>MAX(0,-K1980*'Inputs'!$E$49)</x:f>
        <x:v>0.33178481942243143</x:v>
      </x:c>
      <x:c r="N1980" s="78" t="n">
        <x:f>H1980*(L1980*(1-'Inputs'!$B$15))/(I1980+L1980*(1-'Inputs'!$B$15))</x:f>
        <x:v>0</x:v>
      </x:c>
      <x:c r="O1980" s="78" t="n">
        <x:f>H1980-N1980</x:f>
        <x:v>16173485695.430668</x:v>
      </x:c>
      <x:c r="P1980" s="78" t="n">
        <x:f>I1980+L1980*(1-'Inputs'!$B$17)</x:f>
        <x:v>7.372995987165144</x:v>
      </x:c>
      <x:c r="Q1980" s="78" t="n">
        <x:f>IF(J1980&gt;0,M1980/J1980,0)</x:f>
        <x:v>727806856.29438</x:v>
      </x:c>
      <x:c r="R1980" s="78" t="n">
        <x:f>IF(B1980='Inputs'!$H$49,'Inputs'!$B$27*'Inputs'!$I$49,0)</x:f>
        <x:v>0</x:v>
      </x:c>
      <x:c r="S1980" s="78" t="n">
        <x:f>Q1980+G1980+R1980</x:f>
        <x:v>728668136.7879059</x:v>
      </x:c>
      <x:c r="T1980" s="78" t="n">
        <x:f>P1980*(S1980*(1-'Inputs'!$B$15))/(O1980+S1980*(1-'Inputs'!$B$15))</x:f>
        <x:v>0.31481411061343556</x:v>
      </x:c>
      <x:c r="U1980" s="78" t="n">
        <x:f>O1980+S1980*(1-'Inputs'!$B$17)</x:f>
        <x:v>16899221566.074558</x:v>
      </x:c>
      <x:c r="V1980" s="78" t="n">
        <x:f>P1980-T1980</x:f>
        <x:v>7.058181876551708</x:v>
      </x:c>
      <x:c r="W1980" s="79" t="n">
        <x:f>IF(U1980&gt;0,V1980/U1980,0)</x:f>
        <x:v>4.176631360772921e-10</x:v>
      </x:c>
      <x:c r="X1980" s="80" t="n">
        <x:f>W1980*('Inputs'!$B$6-AC1980)</x:f>
        <x:v>-0.06842747933154296</x:v>
      </x:c>
      <x:c r="Y1980" s="80" t="n">
        <x:f>2*V1980</x:f>
        <x:v>14.116363753103416</x:v>
      </x:c>
      <x:c r="Z1980" s="80" t="n">
        <x:f>K1980*'Inputs'!$B$16+(G1980+R1980)*J1980*'Inputs'!$B$16</x:f>
        <x:v>0.06635931967262332</x:v>
      </x:c>
      <x:c r="AA1980" s="80" t="n">
        <x:f>K1980*(1+'Inputs'!$E$49)/2*'Inputs'!$B$17</x:f>
        <x:v>0.021584927889990516</x:v>
      </x:c>
      <x:c r="AB1980" s="78" t="n">
        <x:f>(IF(J1980&gt;0,K1980*(1-'Inputs'!$E$49)/2/J1980,0)+G1980+R1980)*'Inputs'!$B$17</x:f>
        <x:v>50281203.13969303</x:v>
      </x:c>
      <x:c r="AC1980" s="78" t="n">
        <x:f>AC1979+AB1980</x:f>
        <x:v>1163834136.7021673</x:v>
      </x:c>
      <x:c r="AD1980" s="80" t="n">
        <x:f>Z1980/(1+'Inputs'!$C$49)</x:f>
        <x:v>0.01658982991815583</x:v>
      </x:c>
      <x:c r="AE1980" s="80" t="n">
        <x:f>Z1980-AD1980</x:f>
        <x:v>0.04976948975446749</x:v>
      </x:c>
      <x:c r="AF1980" s="80" t="n">
        <x:f>D1980*W1980</x:f>
        <x:v>0.00011862810656754956</x:v>
      </x:c>
      <x:c r="AG1980" s="80" t="n">
        <x:f>C1980*W1980</x:f>
        <x:v>0.00027679891532428336</x:v>
      </x:c>
      <x:c r="AH1980" s="80" t="n">
        <x:f>2*'Inputs'!$B$8*'Inputs'!$C$49</x:f>
        <x:v>15000</x:v>
      </x:c>
      <x:c r="AI1980" s="81" t="n">
        <x:f>IF(AH1980&gt;0,(AE1980+AF1980)/AH1980*365,0)</x:f>
        <x:v>0.0012139442012851858</x:v>
      </x:c>
      <x:c r="AJ1980" s="81" t="n">
        <x:f>IF('Inputs'!$B$49&gt;0,AG1980/('Inputs'!$B$19*'Inputs'!$B$49)*365,0)</x:f>
        <x:v>0.000010103160409336343</x:v>
      </x:c>
      <x:c r="AK1980" s="81" t="n">
        <x:f>W1980/MAX($W$1829:W1980)-1</x:f>
        <x:v>-0.9999994619266485</x:v>
      </x:c>
      <x:c r="AL1980" s="83" t="n">
        <x:f>'Inputs'!$B$49</x:f>
        <x:v>1</x:v>
      </x:c>
      <x:c r="AM1980" s="83" t="n">
        <x:f>'Inputs'!$C$49</x:f>
        <x:v>3</x:v>
      </x:c>
      <x:c r="AN1980" s="83" t="n">
        <x:f>'Inputs'!$D$49</x:f>
        <x:v>0.75</x:v>
      </x:c>
      <x:c r="AO1980" s="81" t="n">
        <x:f>'Inputs'!$E$49</x:f>
        <x:v>-0.03</x:v>
      </x:c>
    </x:row>
    <x:row r="1981">
      <x:c r="A1981" s="59" t="str">
        <x:v>Mercenary LP</x:v>
      </x:c>
      <x:c r="B1981" s="59" t="n">
        <x:v>153</x:v>
      </x:c>
      <x:c r="C1981" s="78" t="n">
        <x:f>(('Inputs'!$B$29*(3*153*'Inputs'!$B$12-153^2)/(2*'Inputs'!$B$12^2))-('Inputs'!$B$29*(3*152*'Inputs'!$B$12-152^2)/(2*'Inputs'!$B$12^2)))*'Inputs'!$B$49</x:f>
        <x:v>662407.3465941101</x:v>
      </x:c>
      <x:c r="D1981" s="78" t="n">
        <x:f>IF('Inputs'!$C$49&gt;0,('Inputs'!$B$30*(3*153*'Inputs'!$B$12-153^2)/(2*'Inputs'!$B$12^2))-('Inputs'!$B$30*(3*152*'Inputs'!$B$12-152^2)/(2*'Inputs'!$B$12^2)),0)</x:f>
        <x:v>283888.8628260493</x:v>
      </x:c>
      <x:c r="E1981" s="78" t="n">
        <x:f>C1981+D1981</x:f>
        <x:v>946296.2094201595</x:v>
      </x:c>
      <x:c r="F1981" s="78" t="n">
        <x:f>'Inputs'!$B$13*E1981+(1-'Inputs'!$B$13)/'Inputs'!$B$14*SUM(E1926:E1981)</x:f>
        <x:v>956513.8862826059</x:v>
      </x:c>
      <x:c r="G1981" s="78" t="n">
        <x:f>F1981*'Inputs'!$F$49</x:f>
        <x:v>860862.4976543454</x:v>
      </x:c>
      <x:c r="H1981" s="78" t="n">
        <x:f>U1980</x:f>
        <x:v>16899221566.074558</x:v>
      </x:c>
      <x:c r="I1981" s="78" t="n">
        <x:f>V1980</x:f>
        <x:v>7.058181876551708</x:v>
      </x:c>
      <x:c r="J1981" s="79" t="n">
        <x:f>IF(H1981&gt;0,I1981/H1981,0)</x:f>
        <x:v>4.176631360772921e-10</x:v>
      </x:c>
      <x:c r="K1981" s="80" t="n">
        <x:f>(H1981*J1981+I1981)*'Inputs'!$D$49*(1+'Inputs'!$G$49)^(B1981/30)</x:f>
        <x:v>10.587272814827562</x:v>
      </x:c>
      <x:c r="L1981" s="80" t="n">
        <x:f>MAX(0,K1981*'Inputs'!$E$49)</x:f>
        <x:v>0</x:v>
      </x:c>
      <x:c r="M1981" s="80" t="n">
        <x:f>MAX(0,-K1981*'Inputs'!$E$49)</x:f>
        <x:v>0.31761818444482687</x:v>
      </x:c>
      <x:c r="N1981" s="78" t="n">
        <x:f>H1981*(L1981*(1-'Inputs'!$B$15))/(I1981+L1981*(1-'Inputs'!$B$15))</x:f>
        <x:v>0</x:v>
      </x:c>
      <x:c r="O1981" s="78" t="n">
        <x:f>H1981-N1981</x:f>
        <x:v>16899221566.074558</x:v>
      </x:c>
      <x:c r="P1981" s="78" t="n">
        <x:f>I1981+L1981*(1-'Inputs'!$B$17)</x:f>
        <x:v>7.058181876551708</x:v>
      </x:c>
      <x:c r="Q1981" s="78" t="n">
        <x:f>IF(J1981&gt;0,M1981/J1981,0)</x:f>
        <x:v>760464970.4733552</x:v>
      </x:c>
      <x:c r="R1981" s="78" t="n">
        <x:f>IF(B1981='Inputs'!$H$49,'Inputs'!$B$27*'Inputs'!$I$49,0)</x:f>
        <x:v>0</x:v>
      </x:c>
      <x:c r="S1981" s="78" t="n">
        <x:f>Q1981+G1981+R1981</x:f>
        <x:v>761325832.9710095</x:v>
      </x:c>
      <x:c r="T1981" s="78" t="n">
        <x:f>P1981*(S1981*(1-'Inputs'!$B$15))/(O1981+S1981*(1-'Inputs'!$B$15))</x:f>
        <x:v>0.3013572923377267</x:v>
      </x:c>
      <x:c r="U1981" s="78" t="n">
        <x:f>O1981+S1981*(1-'Inputs'!$B$17)</x:f>
        <x:v>17657483713.601017</x:v>
      </x:c>
      <x:c r="V1981" s="78" t="n">
        <x:f>P1981-T1981</x:f>
        <x:v>6.756824584213981</x:v>
      </x:c>
      <x:c r="W1981" s="79" t="n">
        <x:f>IF(U1981&gt;0,V1981/U1981,0)</x:f>
        <x:v>3.826606720304891e-10</x:v>
      </x:c>
      <x:c r="X1981" s="80" t="n">
        <x:f>W1981*('Inputs'!$B$6-AC1981)</x:f>
        <x:v>-0.08279682470510524</x:v>
      </x:c>
      <x:c r="Y1981" s="80" t="n">
        <x:f>2*V1981</x:f>
        <x:v>13.513649168427962</x:v>
      </x:c>
      <x:c r="Z1981" s="80" t="n">
        <x:f>K1981*'Inputs'!$B$16+(G1981+R1981)*J1981*'Inputs'!$B$16</x:f>
        <x:v>0.06352579419214839</x:v>
      </x:c>
      <x:c r="AA1981" s="80" t="n">
        <x:f>K1981*(1+'Inputs'!$E$49)/2*'Inputs'!$B$17</x:f>
        <x:v>0.020663288994733877</x:v>
      </x:c>
      <x:c r="AB1981" s="78" t="n">
        <x:f>(IF(J1981&gt;0,K1981*(1-'Inputs'!$E$49)/2/J1981,0)+G1981+R1981)*'Inputs'!$B$17</x:f>
        <x:v>52537261.6591157</x:v>
      </x:c>
      <x:c r="AC1981" s="78" t="n">
        <x:f>AC1980+AB1981</x:f>
        <x:v>1216371398.361283</x:v>
      </x:c>
      <x:c r="AD1981" s="80" t="n">
        <x:f>Z1981/(1+'Inputs'!$C$49)</x:f>
        <x:v>0.015881448548037098</x:v>
      </x:c>
      <x:c r="AE1981" s="80" t="n">
        <x:f>Z1981-AD1981</x:f>
        <x:v>0.0476443456441113</x:v>
      </x:c>
      <x:c r="AF1981" s="80" t="n">
        <x:f>D1981*W1981</x:f>
        <x:v>0.00010863310303098736</x:v>
      </x:c>
      <x:c r="AG1981" s="80" t="n">
        <x:f>C1981*W1981</x:f>
        <x:v>0.0002534772404056353</x:v>
      </x:c>
      <x:c r="AH1981" s="80" t="n">
        <x:f>2*'Inputs'!$B$8*'Inputs'!$C$49</x:f>
        <x:v>15000</x:v>
      </x:c>
      <x:c r="AI1981" s="81" t="n">
        <x:f>IF(AH1981&gt;0,(AE1981+AF1981)/AH1981*365,0)</x:f>
        <x:v>0.0011619891495137956</x:v>
      </x:c>
      <x:c r="AJ1981" s="81" t="n">
        <x:f>IF('Inputs'!$B$49&gt;0,AG1981/('Inputs'!$B$19*'Inputs'!$B$49)*365,0)</x:f>
        <x:v>0.000009251919274805688</x:v>
      </x:c>
      <x:c r="AK1981" s="81" t="n">
        <x:f>W1981/MAX($W$1829:W1981)-1</x:f>
        <x:v>-0.9999995070201497</x:v>
      </x:c>
      <x:c r="AL1981" s="83" t="n">
        <x:f>'Inputs'!$B$49</x:f>
        <x:v>1</x:v>
      </x:c>
      <x:c r="AM1981" s="83" t="n">
        <x:f>'Inputs'!$C$49</x:f>
        <x:v>3</x:v>
      </x:c>
      <x:c r="AN1981" s="83" t="n">
        <x:f>'Inputs'!$D$49</x:f>
        <x:v>0.75</x:v>
      </x:c>
      <x:c r="AO1981" s="81" t="n">
        <x:f>'Inputs'!$E$49</x:f>
        <x:v>-0.03</x:v>
      </x:c>
    </x:row>
    <x:row r="1982">
      <x:c r="A1982" s="59" t="str">
        <x:v>Mercenary LP</x:v>
      </x:c>
      <x:c r="B1982" s="59" t="n">
        <x:v>154</x:v>
      </x:c>
      <x:c r="C1982" s="78" t="n">
        <x:f>(('Inputs'!$B$29*(3*154*'Inputs'!$B$12-154^2)/(2*'Inputs'!$B$12^2))-('Inputs'!$B$29*(3*153*'Inputs'!$B$12-153^2)/(2*'Inputs'!$B$12^2)))*'Inputs'!$B$49</x:f>
        <x:v>662082.2386939377</x:v>
      </x:c>
      <x:c r="D1982" s="78" t="n">
        <x:f>IF('Inputs'!$C$49&gt;0,('Inputs'!$B$30*(3*154*'Inputs'!$B$12-154^2)/(2*'Inputs'!$B$12^2))-('Inputs'!$B$30*(3*153*'Inputs'!$B$12-153^2)/(2*'Inputs'!$B$12^2)),0)</x:f>
        <x:v>283749.5308688283</x:v>
      </x:c>
      <x:c r="E1982" s="78" t="n">
        <x:f>C1982+D1982</x:f>
        <x:v>945831.769562766</x:v>
      </x:c>
      <x:c r="F1982" s="78" t="n">
        <x:f>'Inputs'!$B$13*E1982+(1-'Inputs'!$B$13)/'Inputs'!$B$14*SUM(E1927:E1982)</x:f>
        <x:v>956049.4464252198</x:v>
      </x:c>
      <x:c r="G1982" s="78" t="n">
        <x:f>F1982*'Inputs'!$F$49</x:f>
        <x:v>860444.5017826979</x:v>
      </x:c>
      <x:c r="H1982" s="78" t="n">
        <x:f>U1981</x:f>
        <x:v>17657483713.601017</x:v>
      </x:c>
      <x:c r="I1982" s="78" t="n">
        <x:f>V1981</x:f>
        <x:v>6.756824584213981</x:v>
      </x:c>
      <x:c r="J1982" s="79" t="n">
        <x:f>IF(H1982&gt;0,I1982/H1982,0)</x:f>
        <x:v>3.826606720304891e-10</x:v>
      </x:c>
      <x:c r="K1982" s="80" t="n">
        <x:f>(H1982*J1982+I1982)*'Inputs'!$D$49*(1+'Inputs'!$G$49)^(B1982/30)</x:f>
        <x:v>10.135236876320972</x:v>
      </x:c>
      <x:c r="L1982" s="80" t="n">
        <x:f>MAX(0,K1982*'Inputs'!$E$49)</x:f>
        <x:v>0</x:v>
      </x:c>
      <x:c r="M1982" s="80" t="n">
        <x:f>MAX(0,-K1982*'Inputs'!$E$49)</x:f>
        <x:v>0.3040571062896292</x:v>
      </x:c>
      <x:c r="N1982" s="78" t="n">
        <x:f>H1982*(L1982*(1-'Inputs'!$B$15))/(I1982+L1982*(1-'Inputs'!$B$15))</x:f>
        <x:v>0</x:v>
      </x:c>
      <x:c r="O1982" s="78" t="n">
        <x:f>H1982-N1982</x:f>
        <x:v>17657483713.601017</x:v>
      </x:c>
      <x:c r="P1982" s="78" t="n">
        <x:f>I1982+L1982*(1-'Inputs'!$B$17)</x:f>
        <x:v>6.756824584213981</x:v>
      </x:c>
      <x:c r="Q1982" s="78" t="n">
        <x:f>IF(J1982&gt;0,M1982/J1982,0)</x:f>
        <x:v>794586767.1120459</x:v>
      </x:c>
      <x:c r="R1982" s="78" t="n">
        <x:f>IF(B1982='Inputs'!$H$49,'Inputs'!$B$27*'Inputs'!$I$49,0)</x:f>
        <x:v>0</x:v>
      </x:c>
      <x:c r="S1982" s="78" t="n">
        <x:f>Q1982+G1982+R1982</x:f>
        <x:v>795447211.6138285</x:v>
      </x:c>
      <x:c r="T1982" s="78" t="n">
        <x:f>P1982*(S1982*(1-'Inputs'!$B$15))/(O1982+S1982*(1-'Inputs'!$B$15))</x:f>
        <x:v>0.2884769365609086</x:v>
      </x:c>
      <x:c r="U1982" s="78" t="n">
        <x:f>O1982+S1982*(1-'Inputs'!$B$17)</x:f>
        <x:v>18449729930.399498</x:v>
      </x:c>
      <x:c r="V1982" s="78" t="n">
        <x:f>P1982-T1982</x:f>
        <x:v>6.468347647653072</x:v>
      </x:c>
      <x:c r="W1982" s="79" t="n">
        <x:f>IF(U1982&gt;0,V1982/U1982,0)</x:f>
        <x:v>3.505930803352963e-10</x:v>
      </x:c>
      <x:c r="X1982" s="80" t="n">
        <x:f>W1982*('Inputs'!$B$6-AC1982)</x:f>
        <x:v>-0.09510392342466749</x:v>
      </x:c>
      <x:c r="Y1982" s="80" t="n">
        <x:f>2*V1982</x:f>
        <x:v>12.936695295306144</x:v>
      </x:c>
      <x:c r="Z1982" s="80" t="n">
        <x:f>K1982*'Inputs'!$B$16+(G1982+R1982)*J1982*'Inputs'!$B$16</x:f>
        <x:v>0.06081339680755361</x:v>
      </x:c>
      <x:c r="AA1982" s="80" t="n">
        <x:f>K1982*(1+'Inputs'!$E$49)/2*'Inputs'!$B$17</x:f>
        <x:v>0.0197810458149524</x:v>
      </x:c>
      <x:c r="AB1982" s="78" t="n">
        <x:f>(IF(J1982&gt;0,K1982*(1-'Inputs'!$E$49)/2/J1982,0)+G1982+R1982)*'Inputs'!$B$17</x:f>
        <x:v>54894433.05134234</x:v>
      </x:c>
      <x:c r="AC1982" s="78" t="n">
        <x:f>AC1981+AB1982</x:f>
        <x:v>1271265831.4126253</x:v>
      </x:c>
      <x:c r="AD1982" s="80" t="n">
        <x:f>Z1982/(1+'Inputs'!$C$49)</x:f>
        <x:v>0.015203349201888403</x:v>
      </x:c>
      <x:c r="AE1982" s="80" t="n">
        <x:f>Z1982-AD1982</x:f>
        <x:v>0.04561004760566521</x:v>
      </x:c>
      <x:c r="AF1982" s="80" t="n">
        <x:f>D1982*W1982</x:f>
        <x:v>0.00009948062207099776</x:v>
      </x:c>
      <x:c r="AG1982" s="80" t="n">
        <x:f>C1982*W1982</x:f>
        <x:v>0.0002321214514989965</x:v>
      </x:c>
      <x:c r="AH1982" s="80" t="n">
        <x:f>2*'Inputs'!$B$8*'Inputs'!$C$49</x:f>
        <x:v>15000</x:v>
      </x:c>
      <x:c r="AI1982" s="81" t="n">
        <x:f>IF(AH1982&gt;0,(AE1982+AF1982)/AH1982*365,0)</x:f>
        <x:v>0.0011122651868749145</x:v>
      </x:c>
      <x:c r="AJ1982" s="81" t="n">
        <x:f>IF('Inputs'!$B$49&gt;0,AG1982/('Inputs'!$B$19*'Inputs'!$B$49)*365,0)</x:f>
        <x:v>0.000008472432979713374</x:v>
      </x:c>
      <x:c r="AK1982" s="81" t="n">
        <x:f>W1982/MAX($W$1829:W1982)-1</x:f>
        <x:v>-0.9999995483326694</x:v>
      </x:c>
      <x:c r="AL1982" s="83" t="n">
        <x:f>'Inputs'!$B$49</x:f>
        <x:v>1</x:v>
      </x:c>
      <x:c r="AM1982" s="83" t="n">
        <x:f>'Inputs'!$C$49</x:f>
        <x:v>3</x:v>
      </x:c>
      <x:c r="AN1982" s="83" t="n">
        <x:f>'Inputs'!$D$49</x:f>
        <x:v>0.75</x:v>
      </x:c>
      <x:c r="AO1982" s="81" t="n">
        <x:f>'Inputs'!$E$49</x:f>
        <x:v>-0.03</x:v>
      </x:c>
    </x:row>
    <x:row r="1983">
      <x:c r="A1983" s="59" t="str">
        <x:v>Mercenary LP</x:v>
      </x:c>
      <x:c r="B1983" s="59" t="n">
        <x:v>155</x:v>
      </x:c>
      <x:c r="C1983" s="78" t="n">
        <x:f>(('Inputs'!$B$29*(3*155*'Inputs'!$B$12-155^2)/(2*'Inputs'!$B$12^2))-('Inputs'!$B$29*(3*154*'Inputs'!$B$12-154^2)/(2*'Inputs'!$B$12^2)))*'Inputs'!$B$49</x:f>
        <x:v>661757.1307937652</x:v>
      </x:c>
      <x:c r="D1983" s="78" t="n">
        <x:f>IF('Inputs'!$C$49&gt;0,('Inputs'!$B$30*(3*155*'Inputs'!$B$12-155^2)/(2*'Inputs'!$B$12^2))-('Inputs'!$B$30*(3*154*'Inputs'!$B$12-154^2)/(2*'Inputs'!$B$12^2)),0)</x:f>
        <x:v>283610.1989116147</x:v>
      </x:c>
      <x:c r="E1983" s="78" t="n">
        <x:f>C1983+D1983</x:f>
        <x:v>945367.3297053799</x:v>
      </x:c>
      <x:c r="F1983" s="78" t="n">
        <x:f>'Inputs'!$B$13*E1983+(1-'Inputs'!$B$13)/'Inputs'!$B$14*SUM(E1928:E1983)</x:f>
        <x:v>955585.0065678353</x:v>
      </x:c>
      <x:c r="G1983" s="78" t="n">
        <x:f>F1983*'Inputs'!$F$49</x:f>
        <x:v>860026.5059110519</x:v>
      </x:c>
      <x:c r="H1983" s="78" t="n">
        <x:f>U1982</x:f>
        <x:v>18449729930.399498</x:v>
      </x:c>
      <x:c r="I1983" s="78" t="n">
        <x:f>V1982</x:f>
        <x:v>6.468347647653072</x:v>
      </x:c>
      <x:c r="J1983" s="79" t="n">
        <x:f>IF(H1983&gt;0,I1983/H1983,0)</x:f>
        <x:v>3.505930803352963e-10</x:v>
      </x:c>
      <x:c r="K1983" s="80" t="n">
        <x:f>(H1983*J1983+I1983)*'Inputs'!$D$49*(1+'Inputs'!$G$49)^(B1983/30)</x:f>
        <x:v>9.702521471479608</x:v>
      </x:c>
      <x:c r="L1983" s="80" t="n">
        <x:f>MAX(0,K1983*'Inputs'!$E$49)</x:f>
        <x:v>0</x:v>
      </x:c>
      <x:c r="M1983" s="80" t="n">
        <x:f>MAX(0,-K1983*'Inputs'!$E$49)</x:f>
        <x:v>0.29107564414438825</x:v>
      </x:c>
      <x:c r="N1983" s="78" t="n">
        <x:f>H1983*(L1983*(1-'Inputs'!$B$15))/(I1983+L1983*(1-'Inputs'!$B$15))</x:f>
        <x:v>0</x:v>
      </x:c>
      <x:c r="O1983" s="78" t="n">
        <x:f>H1983-N1983</x:f>
        <x:v>18449729930.399498</x:v>
      </x:c>
      <x:c r="P1983" s="78" t="n">
        <x:f>I1983+L1983*(1-'Inputs'!$B$17)</x:f>
        <x:v>6.468347647653072</x:v>
      </x:c>
      <x:c r="Q1983" s="78" t="n">
        <x:f>IF(J1983&gt;0,M1983/J1983,0)</x:f>
        <x:v>830237846.8679774</x:v>
      </x:c>
      <x:c r="R1983" s="78" t="n">
        <x:f>IF(B1983='Inputs'!$H$49,'Inputs'!$B$27*'Inputs'!$I$49,0)</x:f>
        <x:v>0</x:v>
      </x:c>
      <x:c r="S1983" s="78" t="n">
        <x:f>Q1983+G1983+R1983</x:f>
        <x:v>831097873.3738884</x:v>
      </x:c>
      <x:c r="T1983" s="78" t="n">
        <x:f>P1983*(S1983*(1-'Inputs'!$B$15))/(O1983+S1983*(1-'Inputs'!$B$15))</x:f>
        <x:v>0.2761482437805286</x:v>
      </x:c>
      <x:c r="U1983" s="78" t="n">
        <x:f>O1983+S1983*(1-'Inputs'!$B$17)</x:f>
        <x:v>19277483345.530434</x:v>
      </x:c>
      <x:c r="V1983" s="78" t="n">
        <x:f>P1983-T1983</x:f>
        <x:v>6.192199403872544</x:v>
      </x:c>
      <x:c r="W1983" s="79" t="n">
        <x:f>IF(U1983&gt;0,V1983/U1983,0)</x:f>
        <x:v>3.2121409692765897e-10</x:v>
      </x:c>
      <x:c r="X1983" s="80" t="n">
        <x:f>W1983*('Inputs'!$B$6-AC1983)</x:f>
        <x:v>-0.10555836603178136</x:v>
      </x:c>
      <x:c r="Y1983" s="80" t="n">
        <x:f>2*V1983</x:f>
        <x:v>12.384398807745088</x:v>
      </x:c>
      <x:c r="Z1983" s="80" t="n">
        <x:f>K1983*'Inputs'!$B$16+(G1983+R1983)*J1983*'Inputs'!$B$16</x:f>
        <x:v>0.058216937944928916</x:v>
      </x:c>
      <x:c r="AA1983" s="80" t="n">
        <x:f>K1983*(1+'Inputs'!$E$49)/2*'Inputs'!$B$17</x:f>
        <x:v>0.018936510718984348</x:v>
      </x:c>
      <x:c r="AB1983" s="78" t="n">
        <x:f>(IF(J1983&gt;0,K1983*(1-'Inputs'!$E$49)/2/J1983,0)+G1983+R1983)*'Inputs'!$B$17</x:f>
        <x:v>57357249.08547093</x:v>
      </x:c>
      <x:c r="AC1983" s="78" t="n">
        <x:f>AC1982+AB1983</x:f>
        <x:v>1328623080.4980962</x:v>
      </x:c>
      <x:c r="AD1983" s="80" t="n">
        <x:f>Z1983/(1+'Inputs'!$C$49)</x:f>
        <x:v>0.014554234486232229</x:v>
      </x:c>
      <x:c r="AE1983" s="80" t="n">
        <x:f>Z1983-AD1983</x:f>
        <x:v>0.04366270345869669</x:v>
      </x:c>
      <x:c r="AF1983" s="80" t="n">
        <x:f>D1983*W1983</x:f>
        <x:v>0.00009109959392286806</x:v>
      </x:c>
      <x:c r="AG1983" s="80" t="n">
        <x:f>C1983*W1983</x:f>
        <x:v>0.000212565719153358</x:v>
      </x:c>
      <x:c r="AH1983" s="80" t="n">
        <x:f>2*'Inputs'!$B$8*'Inputs'!$C$49</x:f>
        <x:v>15000</x:v>
      </x:c>
      <x:c r="AI1983" s="81" t="n">
        <x:f>IF(AH1983&gt;0,(AE1983+AF1983)/AH1983*365,0)</x:f>
        <x:v>0.0010646758742804093</x:v>
      </x:c>
      <x:c r="AJ1983" s="81" t="n">
        <x:f>IF('Inputs'!$B$49&gt;0,AG1983/('Inputs'!$B$19*'Inputs'!$B$49)*365,0)</x:f>
        <x:v>0.000007758648749097567</x:v>
      </x:c>
      <x:c r="AK1983" s="81" t="n">
        <x:f>W1983/MAX($W$1829:W1983)-1</x:f>
        <x:v>-0.9999995861814683</x:v>
      </x:c>
      <x:c r="AL1983" s="83" t="n">
        <x:f>'Inputs'!$B$49</x:f>
        <x:v>1</x:v>
      </x:c>
      <x:c r="AM1983" s="83" t="n">
        <x:f>'Inputs'!$C$49</x:f>
        <x:v>3</x:v>
      </x:c>
      <x:c r="AN1983" s="83" t="n">
        <x:f>'Inputs'!$D$49</x:f>
        <x:v>0.75</x:v>
      </x:c>
      <x:c r="AO1983" s="81" t="n">
        <x:f>'Inputs'!$E$49</x:f>
        <x:v>-0.03</x:v>
      </x:c>
    </x:row>
    <x:row r="1984">
      <x:c r="A1984" s="59" t="str">
        <x:v>Mercenary LP</x:v>
      </x:c>
      <x:c r="B1984" s="59" t="n">
        <x:v>156</x:v>
      </x:c>
      <x:c r="C1984" s="78" t="n">
        <x:f>(('Inputs'!$B$29*(3*156*'Inputs'!$B$12-156^2)/(2*'Inputs'!$B$12^2))-('Inputs'!$B$29*(3*155*'Inputs'!$B$12-155^2)/(2*'Inputs'!$B$12^2)))*'Inputs'!$B$49</x:f>
        <x:v>661432.0228936076</x:v>
      </x:c>
      <x:c r="D1984" s="78" t="n">
        <x:f>IF('Inputs'!$C$49&gt;0,('Inputs'!$B$30*(3*156*'Inputs'!$B$12-156^2)/(2*'Inputs'!$B$12^2))-('Inputs'!$B$30*(3*155*'Inputs'!$B$12-155^2)/(2*'Inputs'!$B$12^2)),0)</x:f>
        <x:v>283470.86695440114</x:v>
      </x:c>
      <x:c r="E1984" s="78" t="n">
        <x:f>C1984+D1984</x:f>
        <x:v>944902.8898480088</x:v>
      </x:c>
      <x:c r="F1984" s="78" t="n">
        <x:f>'Inputs'!$B$13*E1984+(1-'Inputs'!$B$13)/'Inputs'!$B$14*SUM(E1929:E1984)</x:f>
        <x:v>955120.5667104537</x:v>
      </x:c>
      <x:c r="G1984" s="78" t="n">
        <x:f>F1984*'Inputs'!$F$49</x:f>
        <x:v>859608.5100394083</x:v>
      </x:c>
      <x:c r="H1984" s="78" t="n">
        <x:f>U1983</x:f>
        <x:v>19277483345.530434</x:v>
      </x:c>
      <x:c r="I1984" s="78" t="n">
        <x:f>V1983</x:f>
        <x:v>6.192199403872544</x:v>
      </x:c>
      <x:c r="J1984" s="79" t="n">
        <x:f>IF(H1984&gt;0,I1984/H1984,0)</x:f>
        <x:v>3.2121409692765897e-10</x:v>
      </x:c>
      <x:c r="K1984" s="80" t="n">
        <x:f>(H1984*J1984+I1984)*'Inputs'!$D$49*(1+'Inputs'!$G$49)^(B1984/30)</x:f>
        <x:v>9.288299105808816</x:v>
      </x:c>
      <x:c r="L1984" s="80" t="n">
        <x:f>MAX(0,K1984*'Inputs'!$E$49)</x:f>
        <x:v>0</x:v>
      </x:c>
      <x:c r="M1984" s="80" t="n">
        <x:f>MAX(0,-K1984*'Inputs'!$E$49)</x:f>
        <x:v>0.27864897317426446</x:v>
      </x:c>
      <x:c r="N1984" s="78" t="n">
        <x:f>H1984*(L1984*(1-'Inputs'!$B$15))/(I1984+L1984*(1-'Inputs'!$B$15))</x:f>
        <x:v>0</x:v>
      </x:c>
      <x:c r="O1984" s="78" t="n">
        <x:f>H1984-N1984</x:f>
        <x:v>19277483345.530434</x:v>
      </x:c>
      <x:c r="P1984" s="78" t="n">
        <x:f>I1984+L1984*(1-'Inputs'!$B$17)</x:f>
        <x:v>6.192199403872544</x:v>
      </x:c>
      <x:c r="Q1984" s="78" t="n">
        <x:f>IF(J1984&gt;0,M1984/J1984,0)</x:f>
        <x:v>867486750.5488694</x:v>
      </x:c>
      <x:c r="R1984" s="78" t="n">
        <x:f>IF(B1984='Inputs'!$H$49,'Inputs'!$B$27*'Inputs'!$I$49,0)</x:f>
        <x:v>0</x:v>
      </x:c>
      <x:c r="S1984" s="78" t="n">
        <x:f>Q1984+G1984+R1984</x:f>
        <x:v>868346359.0589088</x:v>
      </x:c>
      <x:c r="T1984" s="78" t="n">
        <x:f>P1984*(S1984*(1-'Inputs'!$B$15))/(O1984+S1984*(1-'Inputs'!$B$15))</x:f>
        <x:v>0.26434749021250875</x:v>
      </x:c>
      <x:c r="U1984" s="78" t="n">
        <x:f>O1984+S1984*(1-'Inputs'!$B$17)</x:f>
        <x:v>20142335353.043835</x:v>
      </x:c>
      <x:c r="V1984" s="78" t="n">
        <x:f>P1984-T1984</x:f>
        <x:v>5.927851913660035</x:v>
      </x:c>
      <x:c r="W1984" s="79" t="n">
        <x:f>IF(U1984&gt;0,V1984/U1984,0)</x:f>
        <x:v>2.942981441704693e-10</x:v>
      </x:c>
      <x:c r="X1984" s="80" t="n">
        <x:f>W1984*('Inputs'!$B$6-AC1984)</x:f>
        <x:v>-0.11435058135890797</x:v>
      </x:c>
      <x:c r="Y1984" s="80" t="n">
        <x:f>2*V1984</x:f>
        <x:v>11.85570382732007</x:v>
      </x:c>
      <x:c r="Z1984" s="80" t="n">
        <x:f>K1984*'Inputs'!$B$16+(G1984+R1984)*J1984*'Inputs'!$B$16</x:f>
        <x:v>0.05573145134508048</x:v>
      </x:c>
      <x:c r="AA1984" s="80" t="n">
        <x:f>K1984*(1+'Inputs'!$E$49)/2*'Inputs'!$B$17</x:f>
        <x:v>0.018128068677333103</x:v>
      </x:c>
      <x:c r="AB1984" s="78" t="n">
        <x:f>(IF(J1984&gt;0,K1984*(1-'Inputs'!$E$49)/2/J1984,0)+G1984+R1984)*'Inputs'!$B$17</x:f>
        <x:v>59930444.63956661</x:v>
      </x:c>
      <x:c r="AC1984" s="78" t="n">
        <x:f>AC1983+AB1984</x:f>
        <x:v>1388553525.137663</x:v>
      </x:c>
      <x:c r="AD1984" s="80" t="n">
        <x:f>Z1984/(1+'Inputs'!$C$49)</x:f>
        <x:v>0.01393286283627012</x:v>
      </x:c>
      <x:c r="AE1984" s="80" t="n">
        <x:f>Z1984-AD1984</x:f>
        <x:v>0.04179858850881036</x:v>
      </x:c>
      <x:c r="AF1984" s="80" t="n">
        <x:f>D1984*W1984</x:f>
        <x:v>0.00008342495007107425</x:v>
      </x:c>
      <x:c r="AG1984" s="80" t="n">
        <x:f>C1984*W1984</x:f>
        <x:v>0.00019465821683250806</x:v>
      </x:c>
      <x:c r="AH1984" s="80" t="n">
        <x:f>2*'Inputs'!$B$8*'Inputs'!$C$49</x:f>
        <x:v>15000</x:v>
      </x:c>
      <x:c r="AI1984" s="81" t="n">
        <x:f>IF(AH1984&gt;0,(AE1984+AF1984)/AH1984*365,0)</x:f>
        <x:v>0.0010191289941661149</x:v>
      </x:c>
      <x:c r="AJ1984" s="81" t="n">
        <x:f>IF('Inputs'!$B$49&gt;0,AG1984/('Inputs'!$B$19*'Inputs'!$B$49)*365,0)</x:f>
        <x:v>0.000007105024914386544</x:v>
      </x:c>
      <x:c r="AK1984" s="81" t="n">
        <x:f>W1984/MAX($W$1829:W1984)-1</x:f>
        <x:v>-0.9999996208571571</x:v>
      </x:c>
      <x:c r="AL1984" s="83" t="n">
        <x:f>'Inputs'!$B$49</x:f>
        <x:v>1</x:v>
      </x:c>
      <x:c r="AM1984" s="83" t="n">
        <x:f>'Inputs'!$C$49</x:f>
        <x:v>3</x:v>
      </x:c>
      <x:c r="AN1984" s="83" t="n">
        <x:f>'Inputs'!$D$49</x:f>
        <x:v>0.75</x:v>
      </x:c>
      <x:c r="AO1984" s="81" t="n">
        <x:f>'Inputs'!$E$49</x:f>
        <x:v>-0.03</x:v>
      </x:c>
    </x:row>
    <x:row r="1985">
      <x:c r="A1985" s="59" t="str">
        <x:v>Mercenary LP</x:v>
      </x:c>
      <x:c r="B1985" s="59" t="n">
        <x:v>157</x:v>
      </x:c>
      <x:c r="C1985" s="78" t="n">
        <x:f>(('Inputs'!$B$29*(3*157*'Inputs'!$B$12-157^2)/(2*'Inputs'!$B$12^2))-('Inputs'!$B$29*(3*156*'Inputs'!$B$12-156^2)/(2*'Inputs'!$B$12^2)))*'Inputs'!$B$49</x:f>
        <x:v>661106.9149934351</x:v>
      </x:c>
      <x:c r="D1985" s="78" t="n">
        <x:f>IF('Inputs'!$C$49&gt;0,('Inputs'!$B$30*(3*157*'Inputs'!$B$12-157^2)/(2*'Inputs'!$B$12^2))-('Inputs'!$B$30*(3*156*'Inputs'!$B$12-156^2)/(2*'Inputs'!$B$12^2)),0)</x:f>
        <x:v>283331.53499718755</x:v>
      </x:c>
      <x:c r="E1985" s="78" t="n">
        <x:f>C1985+D1985</x:f>
        <x:v>944438.4499906227</x:v>
      </x:c>
      <x:c r="F1985" s="78" t="n">
        <x:f>'Inputs'!$B$13*E1985+(1-'Inputs'!$B$13)/'Inputs'!$B$14*SUM(E1930:E1985)</x:f>
        <x:v>954656.1268530695</x:v>
      </x:c>
      <x:c r="G1985" s="78" t="n">
        <x:f>F1985*'Inputs'!$F$49</x:f>
        <x:v>859190.5141677626</x:v>
      </x:c>
      <x:c r="H1985" s="78" t="n">
        <x:f>U1984</x:f>
        <x:v>20142335353.043835</x:v>
      </x:c>
      <x:c r="I1985" s="78" t="n">
        <x:f>V1984</x:f>
        <x:v>5.927851913660035</x:v>
      </x:c>
      <x:c r="J1985" s="79" t="n">
        <x:f>IF(H1985&gt;0,I1985/H1985,0)</x:f>
        <x:v>2.942981441704693e-10</x:v>
      </x:c>
      <x:c r="K1985" s="80" t="n">
        <x:f>(H1985*J1985+I1985)*'Inputs'!$D$49*(1+'Inputs'!$G$49)^(B1985/30)</x:f>
        <x:v>8.891777870490053</x:v>
      </x:c>
      <x:c r="L1985" s="80" t="n">
        <x:f>MAX(0,K1985*'Inputs'!$E$49)</x:f>
        <x:v>0</x:v>
      </x:c>
      <x:c r="M1985" s="80" t="n">
        <x:f>MAX(0,-K1985*'Inputs'!$E$49)</x:f>
        <x:v>0.2667533361147016</x:v>
      </x:c>
      <x:c r="N1985" s="78" t="n">
        <x:f>H1985*(L1985*(1-'Inputs'!$B$15))/(I1985+L1985*(1-'Inputs'!$B$15))</x:f>
        <x:v>0</x:v>
      </x:c>
      <x:c r="O1985" s="78" t="n">
        <x:f>H1985-N1985</x:f>
        <x:v>20142335353.043835</x:v>
      </x:c>
      <x:c r="P1985" s="78" t="n">
        <x:f>I1985+L1985*(1-'Inputs'!$B$17)</x:f>
        <x:v>5.927851913660035</x:v>
      </x:c>
      <x:c r="Q1985" s="78" t="n">
        <x:f>IF(J1985&gt;0,M1985/J1985,0)</x:f>
        <x:v>906405090.8869727</x:v>
      </x:c>
      <x:c r="R1985" s="78" t="n">
        <x:f>IF(B1985='Inputs'!$H$49,'Inputs'!$B$27*'Inputs'!$I$49,0)</x:f>
        <x:v>0</x:v>
      </x:c>
      <x:c r="S1985" s="78" t="n">
        <x:f>Q1985+G1985+R1985</x:f>
        <x:v>907264281.4011405</x:v>
      </x:c>
      <x:c r="T1985" s="78" t="n">
        <x:f>P1985*(S1985*(1-'Inputs'!$B$15))/(O1985+S1985*(1-'Inputs'!$B$15))</x:f>
        <x:v>0.25305198038765647</x:v>
      </x:c>
      <x:c r="U1985" s="78" t="n">
        <x:f>O1985+S1985*(1-'Inputs'!$B$17)</x:f>
        <x:v>21045948671.541954</x:v>
      </x:c>
      <x:c r="V1985" s="78" t="n">
        <x:f>P1985-T1985</x:f>
        <x:v>5.674799933272379</x:v>
      </x:c>
      <x:c r="W1985" s="79" t="n">
        <x:f>IF(U1985&gt;0,V1985/U1985,0)</x:f>
        <x:v>2.6963859039273273e-10</x:v>
      </x:c>
      <x:c r="X1985" s="80" t="n">
        <x:f>W1985*('Inputs'!$B$6-AC1985)</x:f>
        <x:v>-0.12165351475106853</x:v>
      </x:c>
      <x:c r="Y1985" s="80" t="n">
        <x:f>2*V1985</x:f>
        <x:v>11.349599866544757</x:v>
      </x:c>
      <x:c r="Z1985" s="80" t="n">
        <x:f>K1985*'Inputs'!$B$16+(G1985+R1985)*J1985*'Inputs'!$B$16</x:f>
        <x:v>0.05335218437198317</x:v>
      </x:c>
      <x:c r="AA1985" s="80" t="n">
        <x:f>K1985*(1+'Inputs'!$E$49)/2*'Inputs'!$B$17</x:f>
        <x:v>0.017354174113431292</x:v>
      </x:c>
      <x:c r="AB1985" s="78" t="n">
        <x:f>(IF(J1985&gt;0,K1985*(1-'Inputs'!$E$49)/2/J1985,0)+G1985+R1985)*'Inputs'!$B$17</x:f>
        <x:v>62618966.80378484</x:v>
      </x:c>
      <x:c r="AC1985" s="78" t="n">
        <x:f>AC1984+AB1985</x:f>
        <x:v>1451172491.9414477</x:v>
      </x:c>
      <x:c r="AD1985" s="80" t="n">
        <x:f>Z1985/(1+'Inputs'!$C$49)</x:f>
        <x:v>0.013338046092995793</x:v>
      </x:c>
      <x:c r="AE1985" s="80" t="n">
        <x:f>Z1985-AD1985</x:f>
        <x:v>0.04001413827898738</x:v>
      </x:c>
      <x:c r="AF1985" s="80" t="n">
        <x:f>D1985*W1985</x:f>
        <x:v>0.00007639711571045087</x:v>
      </x:c>
      <x:c r="AG1985" s="80" t="n">
        <x:f>C1985*W1985</x:f>
        <x:v>0.00017825993665771802</x:v>
      </x:c>
      <x:c r="AH1985" s="80" t="n">
        <x:f>2*'Inputs'!$B$8*'Inputs'!$C$49</x:f>
        <x:v>15000</x:v>
      </x:c>
      <x:c r="AI1985" s="81" t="n">
        <x:f>IF(AH1985&gt;0,(AE1985+AF1985)/AH1985*365,0)</x:f>
        <x:v>0.0009755363612709805</x:v>
      </x:c>
      <x:c r="AJ1985" s="81" t="n">
        <x:f>IF('Inputs'!$B$49&gt;0,AG1985/('Inputs'!$B$19*'Inputs'!$B$49)*365,0)</x:f>
        <x:v>0.000006506487688006708</x:v>
      </x:c>
      <x:c r="AK1985" s="81" t="n">
        <x:f>W1985/MAX($W$1829:W1985)-1</x:f>
        <x:v>-0.9999996526259383</x:v>
      </x:c>
      <x:c r="AL1985" s="83" t="n">
        <x:f>'Inputs'!$B$49</x:f>
        <x:v>1</x:v>
      </x:c>
      <x:c r="AM1985" s="83" t="n">
        <x:f>'Inputs'!$C$49</x:f>
        <x:v>3</x:v>
      </x:c>
      <x:c r="AN1985" s="83" t="n">
        <x:f>'Inputs'!$D$49</x:f>
        <x:v>0.75</x:v>
      </x:c>
      <x:c r="AO1985" s="81" t="n">
        <x:f>'Inputs'!$E$49</x:f>
        <x:v>-0.03</x:v>
      </x:c>
    </x:row>
    <x:row r="1986">
      <x:c r="A1986" s="59" t="str">
        <x:v>Mercenary LP</x:v>
      </x:c>
      <x:c r="B1986" s="59" t="n">
        <x:v>158</x:v>
      </x:c>
      <x:c r="C1986" s="78" t="n">
        <x:f>(('Inputs'!$B$29*(3*158*'Inputs'!$B$12-158^2)/(2*'Inputs'!$B$12^2))-('Inputs'!$B$29*(3*157*'Inputs'!$B$12-157^2)/(2*'Inputs'!$B$12^2)))*'Inputs'!$B$49</x:f>
        <x:v>660781.8070932627</x:v>
      </x:c>
      <x:c r="D1986" s="78" t="n">
        <x:f>IF('Inputs'!$C$49&gt;0,('Inputs'!$B$30*(3*158*'Inputs'!$B$12-158^2)/(2*'Inputs'!$B$12^2))-('Inputs'!$B$30*(3*157*'Inputs'!$B$12-157^2)/(2*'Inputs'!$B$12^2)),0)</x:f>
        <x:v>283192.2030399665</x:v>
      </x:c>
      <x:c r="E1986" s="78" t="n">
        <x:f>C1986+D1986</x:f>
        <x:v>943974.0101332292</x:v>
      </x:c>
      <x:c r="F1986" s="78" t="n">
        <x:f>'Inputs'!$B$13*E1986+(1-'Inputs'!$B$13)/'Inputs'!$B$14*SUM(E1931:E1986)</x:f>
        <x:v>954191.6869956832</x:v>
      </x:c>
      <x:c r="G1986" s="78" t="n">
        <x:f>F1986*'Inputs'!$F$49</x:f>
        <x:v>858772.518296115</x:v>
      </x:c>
      <x:c r="H1986" s="78" t="n">
        <x:f>U1985</x:f>
        <x:v>21045948671.541954</x:v>
      </x:c>
      <x:c r="I1986" s="78" t="n">
        <x:f>V1985</x:f>
        <x:v>5.674799933272379</x:v>
      </x:c>
      <x:c r="J1986" s="79" t="n">
        <x:f>IF(H1986&gt;0,I1986/H1986,0)</x:f>
        <x:v>2.6963859039273273e-10</x:v>
      </x:c>
      <x:c r="K1986" s="80" t="n">
        <x:f>(H1986*J1986+I1986)*'Inputs'!$D$49*(1+'Inputs'!$G$49)^(B1986/30)</x:f>
        <x:v>8.512199899908568</x:v>
      </x:c>
      <x:c r="L1986" s="80" t="n">
        <x:f>MAX(0,K1986*'Inputs'!$E$49)</x:f>
        <x:v>0</x:v>
      </x:c>
      <x:c r="M1986" s="80" t="n">
        <x:f>MAX(0,-K1986*'Inputs'!$E$49)</x:f>
        <x:v>0.25536599699725704</x:v>
      </x:c>
      <x:c r="N1986" s="78" t="n">
        <x:f>H1986*(L1986*(1-'Inputs'!$B$15))/(I1986+L1986*(1-'Inputs'!$B$15))</x:f>
        <x:v>0</x:v>
      </x:c>
      <x:c r="O1986" s="78" t="n">
        <x:f>H1986-N1986</x:f>
        <x:v>21045948671.541954</x:v>
      </x:c>
      <x:c r="P1986" s="78" t="n">
        <x:f>I1986+L1986*(1-'Inputs'!$B$17)</x:f>
        <x:v>5.674799933272379</x:v>
      </x:c>
      <x:c r="Q1986" s="78" t="n">
        <x:f>IF(J1986&gt;0,M1986/J1986,0)</x:f>
        <x:v>947067690.219388</x:v>
      </x:c>
      <x:c r="R1986" s="78" t="n">
        <x:f>IF(B1986='Inputs'!$H$49,'Inputs'!$B$27*'Inputs'!$I$49,0)</x:f>
        <x:v>0</x:v>
      </x:c>
      <x:c r="S1986" s="78" t="n">
        <x:f>Q1986+G1986+R1986</x:f>
        <x:v>947926462.7376841</x:v>
      </x:c>
      <x:c r="T1986" s="78" t="n">
        <x:f>P1986*(S1986*(1-'Inputs'!$B$15))/(O1986+S1986*(1-'Inputs'!$B$15))</x:f>
        <x:v>0.2422400018991406</x:v>
      </x:c>
      <x:c r="U1986" s="78" t="n">
        <x:f>O1986+S1986*(1-'Inputs'!$B$17)</x:f>
        <x:v>21990060540.868217</x:v>
      </x:c>
      <x:c r="V1986" s="78" t="n">
        <x:f>P1986-T1986</x:f>
        <x:v>5.4325599313732384</x:v>
      </x:c>
      <x:c r="W1986" s="79" t="n">
        <x:f>IF(U1986&gt;0,V1986/U1986,0)</x:f>
        <x:v>2.4704615620665993e-10</x:v>
      </x:c>
      <x:c r="X1986" s="80" t="n">
        <x:f>W1986*('Inputs'!$B$6-AC1986)</x:f>
        <x:v>-0.12762416197258103</x:v>
      </x:c>
      <x:c r="Y1986" s="80" t="n">
        <x:f>2*V1986</x:f>
        <x:v>10.865119862746477</x:v>
      </x:c>
      <x:c r="Z1986" s="80" t="n">
        <x:f>K1986*'Inputs'!$B$16+(G1986+R1986)*J1986*'Inputs'!$B$16</x:f>
        <x:v>0.051074588748719216</x:v>
      </x:c>
      <x:c r="AA1986" s="80" t="n">
        <x:f>K1986*(1+'Inputs'!$E$49)/2*'Inputs'!$B$17</x:f>
        <x:v>0.016613347893181713</x:v>
      </x:c>
      <x:c r="AB1986" s="78" t="n">
        <x:f>(IF(J1986&gt;0,K1986*(1-'Inputs'!$E$49)/2/J1986,0)+G1986+R1986)*'Inputs'!$B$17</x:f>
        <x:v>65427984.39148675</x:v>
      </x:c>
      <x:c r="AC1986" s="78" t="n">
        <x:f>AC1985+AB1986</x:f>
        <x:v>1516600476.3329344</x:v>
      </x:c>
      <x:c r="AD1986" s="80" t="n">
        <x:f>Z1986/(1+'Inputs'!$C$49)</x:f>
        <x:v>0.012768647187179804</x:v>
      </x:c>
      <x:c r="AE1986" s="80" t="n">
        <x:f>Z1986-AD1986</x:f>
        <x:v>0.03830594156153941</x:v>
      </x:c>
      <x:c r="AF1986" s="80" t="n">
        <x:f>D1986*W1986</x:f>
        <x:v>0.00006996154522871972</x:v>
      </x:c>
      <x:c r="AG1986" s="80" t="n">
        <x:f>C1986*W1986</x:f>
        <x:v>0.0001632436055336812</x:v>
      </x:c>
      <x:c r="AH1986" s="80" t="n">
        <x:f>2*'Inputs'!$B$8*'Inputs'!$C$49</x:f>
        <x:v>15000</x:v>
      </x:c>
      <x:c r="AI1986" s="81" t="n">
        <x:f>IF(AH1986&gt;0,(AE1986+AF1986)/AH1986*365,0)</x:f>
        <x:v>0.000933813642264691</x:v>
      </x:c>
      <x:c r="AJ1986" s="81" t="n">
        <x:f>IF('Inputs'!$B$49&gt;0,AG1986/('Inputs'!$B$19*'Inputs'!$B$49)*365,0)</x:f>
        <x:v>0.000005958391601979364</x:v>
      </x:c>
      <x:c r="AK1986" s="81" t="n">
        <x:f>W1986/MAX($W$1829:W1986)-1</x:f>
        <x:v>-0.9999996817316594</x:v>
      </x:c>
      <x:c r="AL1986" s="83" t="n">
        <x:f>'Inputs'!$B$49</x:f>
        <x:v>1</x:v>
      </x:c>
      <x:c r="AM1986" s="83" t="n">
        <x:f>'Inputs'!$C$49</x:f>
        <x:v>3</x:v>
      </x:c>
      <x:c r="AN1986" s="83" t="n">
        <x:f>'Inputs'!$D$49</x:f>
        <x:v>0.75</x:v>
      </x:c>
      <x:c r="AO1986" s="81" t="n">
        <x:f>'Inputs'!$E$49</x:f>
        <x:v>-0.03</x:v>
      </x:c>
    </x:row>
    <x:row r="1987">
      <x:c r="A1987" s="59" t="str">
        <x:v>Mercenary LP</x:v>
      </x:c>
      <x:c r="B1987" s="59" t="n">
        <x:v>159</x:v>
      </x:c>
      <x:c r="C1987" s="78" t="n">
        <x:f>(('Inputs'!$B$29*(3*159*'Inputs'!$B$12-159^2)/(2*'Inputs'!$B$12^2))-('Inputs'!$B$29*(3*158*'Inputs'!$B$12-158^2)/(2*'Inputs'!$B$12^2)))*'Inputs'!$B$49</x:f>
        <x:v>660456.6991930902</x:v>
      </x:c>
      <x:c r="D1987" s="78" t="n">
        <x:f>IF('Inputs'!$C$49&gt;0,('Inputs'!$B$30*(3*159*'Inputs'!$B$12-159^2)/(2*'Inputs'!$B$12^2))-('Inputs'!$B$30*(3*158*'Inputs'!$B$12-158^2)/(2*'Inputs'!$B$12^2)),0)</x:f>
        <x:v>283052.87108275294</x:v>
      </x:c>
      <x:c r="E1987" s="78" t="n">
        <x:f>C1987+D1987</x:f>
        <x:v>943509.5702758431</x:v>
      </x:c>
      <x:c r="F1987" s="78" t="n">
        <x:f>'Inputs'!$B$13*E1987+(1-'Inputs'!$B$13)/'Inputs'!$B$14*SUM(E1932:E1987)</x:f>
        <x:v>953727.2471382986</x:v>
      </x:c>
      <x:c r="G1987" s="78" t="n">
        <x:f>F1987*'Inputs'!$F$49</x:f>
        <x:v>858354.5224244688</x:v>
      </x:c>
      <x:c r="H1987" s="78" t="n">
        <x:f>U1986</x:f>
        <x:v>21990060540.868217</x:v>
      </x:c>
      <x:c r="I1987" s="78" t="n">
        <x:f>V1986</x:f>
        <x:v>5.4325599313732384</x:v>
      </x:c>
      <x:c r="J1987" s="79" t="n">
        <x:f>IF(H1987&gt;0,I1987/H1987,0)</x:f>
        <x:v>2.4704615620665993e-10</x:v>
      </x:c>
      <x:c r="K1987" s="80" t="n">
        <x:f>(H1987*J1987+I1987)*'Inputs'!$D$49*(1+'Inputs'!$G$49)^(B1987/30)</x:f>
        <x:v>8.148839897059858</x:v>
      </x:c>
      <x:c r="L1987" s="80" t="n">
        <x:f>MAX(0,K1987*'Inputs'!$E$49)</x:f>
        <x:v>0</x:v>
      </x:c>
      <x:c r="M1987" s="80" t="n">
        <x:f>MAX(0,-K1987*'Inputs'!$E$49)</x:f>
        <x:v>0.24446519691179575</x:v>
      </x:c>
      <x:c r="N1987" s="78" t="n">
        <x:f>H1987*(L1987*(1-'Inputs'!$B$15))/(I1987+L1987*(1-'Inputs'!$B$15))</x:f>
        <x:v>0</x:v>
      </x:c>
      <x:c r="O1987" s="78" t="n">
        <x:f>H1987-N1987</x:f>
        <x:v>21990060540.868217</x:v>
      </x:c>
      <x:c r="P1987" s="78" t="n">
        <x:f>I1987+L1987*(1-'Inputs'!$B$17)</x:f>
        <x:v>5.4325599313732384</x:v>
      </x:c>
      <x:c r="Q1987" s="78" t="n">
        <x:f>IF(J1987&gt;0,M1987/J1987,0)</x:f>
        <x:v>989552724.3390698</x:v>
      </x:c>
      <x:c r="R1987" s="78" t="n">
        <x:f>IF(B1987='Inputs'!$H$49,'Inputs'!$B$27*'Inputs'!$I$49,0)</x:f>
        <x:v>0</x:v>
      </x:c>
      <x:c r="S1987" s="78" t="n">
        <x:f>Q1987+G1987+R1987</x:f>
        <x:v>990411078.8614943</x:v>
      </x:c>
      <x:c r="T1987" s="78" t="n">
        <x:f>P1987*(S1987*(1-'Inputs'!$B$15))/(O1987+S1987*(1-'Inputs'!$B$15))</x:f>
        <x:v>0.23189078219820322</x:v>
      </x:c>
      <x:c r="U1987" s="78" t="n">
        <x:f>O1987+S1987*(1-'Inputs'!$B$17)</x:f>
        <x:v>22976486062.0683</x:v>
      </x:c>
      <x:c r="V1987" s="78" t="n">
        <x:f>P1987-T1987</x:f>
        <x:v>5.200669149175035</x:v>
      </x:c>
      <x:c r="W1987" s="79" t="n">
        <x:f>IF(U1987&gt;0,V1987/U1987,0)</x:f>
        <x:v>2.263474551820515e-10</x:v>
      </x:c>
      <x:c r="X1987" s="80" t="n">
        <x:f>W1987*('Inputs'!$B$6-AC1987)</x:f>
        <x:v>-0.1324049711270415</x:v>
      </x:c>
      <x:c r="Y1987" s="80" t="n">
        <x:f>2*V1987</x:f>
        <x:v>10.40133829835007</x:v>
      </x:c>
      <x:c r="Z1987" s="80" t="n">
        <x:f>K1987*'Inputs'!$B$16+(G1987+R1987)*J1987*'Inputs'!$B$16</x:f>
        <x:v>0.04889431170147172</x:v>
      </x:c>
      <x:c r="AA1987" s="80" t="n">
        <x:f>K1987*(1+'Inputs'!$E$49)/2*'Inputs'!$B$17</x:f>
        <x:v>0.015904174446977993</x:v>
      </x:c>
      <x:c r="AB1987" s="78" t="n">
        <x:f>(IF(J1987&gt;0,K1987*(1-'Inputs'!$E$49)/2/J1987,0)+G1987+R1987)*'Inputs'!$B$17</x:f>
        <x:v>68362897.87663229</x:v>
      </x:c>
      <x:c r="AC1987" s="78" t="n">
        <x:f>AC1986+AB1987</x:f>
        <x:v>1584963374.2095666</x:v>
      </x:c>
      <x:c r="AD1987" s="80" t="n">
        <x:f>Z1987/(1+'Inputs'!$C$49)</x:f>
        <x:v>0.01222357792536793</x:v>
      </x:c>
      <x:c r="AE1987" s="80" t="n">
        <x:f>Z1987-AD1987</x:f>
        <x:v>0.03667073377610379</x:v>
      </x:c>
      <x:c r="AF1987" s="80" t="n">
        <x:f>D1987*W1987</x:f>
        <x:v>0.00006406829705155443</x:v>
      </x:c>
      <x:c r="AG1987" s="80" t="n">
        <x:f>C1987*W1987</x:f>
        <x:v>0.00014949269312029365</x:v>
      </x:c>
      <x:c r="AH1987" s="80" t="n">
        <x:f>2*'Inputs'!$B$8*'Inputs'!$C$49</x:f>
        <x:v>15000</x:v>
      </x:c>
      <x:c r="AI1987" s="81" t="n">
        <x:f>IF(AH1987&gt;0,(AE1987+AF1987)/AH1987*365,0)</x:f>
        <x:v>0.0008938801837801134</x:v>
      </x:c>
      <x:c r="AJ1987" s="81" t="n">
        <x:f>IF('Inputs'!$B$49&gt;0,AG1987/('Inputs'!$B$19*'Inputs'!$B$49)*365,0)</x:f>
        <x:v>0.000005456483298890718</x:v>
      </x:c>
      <x:c r="AK1987" s="81" t="n">
        <x:f>W1987/MAX($W$1829:W1987)-1</x:f>
        <x:v>-0.9999997083976935</x:v>
      </x:c>
      <x:c r="AL1987" s="83" t="n">
        <x:f>'Inputs'!$B$49</x:f>
        <x:v>1</x:v>
      </x:c>
      <x:c r="AM1987" s="83" t="n">
        <x:f>'Inputs'!$C$49</x:f>
        <x:v>3</x:v>
      </x:c>
      <x:c r="AN1987" s="83" t="n">
        <x:f>'Inputs'!$D$49</x:f>
        <x:v>0.75</x:v>
      </x:c>
      <x:c r="AO1987" s="81" t="n">
        <x:f>'Inputs'!$E$49</x:f>
        <x:v>-0.03</x:v>
      </x:c>
    </x:row>
    <x:row r="1988">
      <x:c r="A1988" s="59" t="str">
        <x:v>Mercenary LP</x:v>
      </x:c>
      <x:c r="B1988" s="59" t="n">
        <x:v>160</x:v>
      </x:c>
      <x:c r="C1988" s="78" t="n">
        <x:f>(('Inputs'!$B$29*(3*160*'Inputs'!$B$12-160^2)/(2*'Inputs'!$B$12^2))-('Inputs'!$B$29*(3*159*'Inputs'!$B$12-159^2)/(2*'Inputs'!$B$12^2)))*'Inputs'!$B$49</x:f>
        <x:v>660131.5912929177</x:v>
      </x:c>
      <x:c r="D1988" s="78" t="n">
        <x:f>IF('Inputs'!$C$49&gt;0,('Inputs'!$B$30*(3*160*'Inputs'!$B$12-160^2)/(2*'Inputs'!$B$12^2))-('Inputs'!$B$30*(3*159*'Inputs'!$B$12-159^2)/(2*'Inputs'!$B$12^2)),0)</x:f>
        <x:v>282913.53912553936</x:v>
      </x:c>
      <x:c r="E1988" s="78" t="n">
        <x:f>C1988+D1988</x:f>
        <x:v>943045.1304184571</x:v>
      </x:c>
      <x:c r="F1988" s="78" t="n">
        <x:f>'Inputs'!$B$13*E1988+(1-'Inputs'!$B$13)/'Inputs'!$B$14*SUM(E1933:E1988)</x:f>
        <x:v>953262.807280914</x:v>
      </x:c>
      <x:c r="G1988" s="78" t="n">
        <x:f>F1988*'Inputs'!$F$49</x:f>
        <x:v>857936.5265528227</x:v>
      </x:c>
      <x:c r="H1988" s="78" t="n">
        <x:f>U1987</x:f>
        <x:v>22976486062.0683</x:v>
      </x:c>
      <x:c r="I1988" s="78" t="n">
        <x:f>V1987</x:f>
        <x:v>5.200669149175035</x:v>
      </x:c>
      <x:c r="J1988" s="79" t="n">
        <x:f>IF(H1988&gt;0,I1988/H1988,0)</x:f>
        <x:v>2.263474551820515e-10</x:v>
      </x:c>
      <x:c r="K1988" s="80" t="n">
        <x:f>(H1988*J1988+I1988)*'Inputs'!$D$49*(1+'Inputs'!$G$49)^(B1988/30)</x:f>
        <x:v>7.801003723762554</x:v>
      </x:c>
      <x:c r="L1988" s="80" t="n">
        <x:f>MAX(0,K1988*'Inputs'!$E$49)</x:f>
        <x:v>0</x:v>
      </x:c>
      <x:c r="M1988" s="80" t="n">
        <x:f>MAX(0,-K1988*'Inputs'!$E$49)</x:f>
        <x:v>0.2340301117128766</x:v>
      </x:c>
      <x:c r="N1988" s="78" t="n">
        <x:f>H1988*(L1988*(1-'Inputs'!$B$15))/(I1988+L1988*(1-'Inputs'!$B$15))</x:f>
        <x:v>0</x:v>
      </x:c>
      <x:c r="O1988" s="78" t="n">
        <x:f>H1988-N1988</x:f>
        <x:v>22976486062.0683</x:v>
      </x:c>
      <x:c r="P1988" s="78" t="n">
        <x:f>I1988+L1988*(1-'Inputs'!$B$17)</x:f>
        <x:v>5.200669149175035</x:v>
      </x:c>
      <x:c r="Q1988" s="78" t="n">
        <x:f>IF(J1988&gt;0,M1988/J1988,0)</x:f>
        <x:v>1033941872.7930735</x:v>
      </x:c>
      <x:c r="R1988" s="78" t="n">
        <x:f>IF(B1988='Inputs'!$H$49,'Inputs'!$B$27*'Inputs'!$I$49,0)</x:f>
        <x:v>0</x:v>
      </x:c>
      <x:c r="S1988" s="78" t="n">
        <x:f>Q1988+G1988+R1988</x:f>
        <x:v>1034799809.3196263</x:v>
      </x:c>
      <x:c r="T1988" s="78" t="n">
        <x:f>P1988*(S1988*(1-'Inputs'!$B$15))/(O1988+S1988*(1-'Inputs'!$B$15))</x:f>
        <x:v>0.22198444734069903</x:v>
      </x:c>
      <x:c r="U1988" s="78" t="n">
        <x:f>O1988+S1988*(1-'Inputs'!$B$17)</x:f>
        <x:v>24007121687.044586</x:v>
      </x:c>
      <x:c r="V1988" s="78" t="n">
        <x:f>P1988-T1988</x:f>
        <x:v>4.978684701834337</x:v>
      </x:c>
      <x:c r="W1988" s="79" t="n">
        <x:f>IF(U1988&gt;0,V1988/U1988,0)</x:f>
        <x:v>2.0738365751364012e-10</x:v>
      </x:c>
      <x:c r="X1988" s="80" t="n">
        <x:f>W1988*('Inputs'!$B$6-AC1988)</x:f>
        <x:v>-0.13612512386558345</x:v>
      </x:c>
      <x:c r="Y1988" s="80" t="n">
        <x:f>2*V1988</x:f>
        <x:v>9.957369403668674</x:v>
      </x:c>
      <x:c r="Z1988" s="80" t="n">
        <x:f>K1988*'Inputs'!$B$16+(G1988+R1988)*J1988*'Inputs'!$B$16</x:f>
        <x:v>0.046807187493072284</x:v>
      </x:c>
      <x:c r="AA1988" s="80" t="n">
        <x:f>K1988*(1+'Inputs'!$E$49)/2*'Inputs'!$B$17</x:f>
        <x:v>0.015225299018208606</x:v>
      </x:c>
      <x:c r="AB1988" s="78" t="n">
        <x:f>(IF(J1988&gt;0,K1988*(1-'Inputs'!$E$49)/2/J1988,0)+G1988+R1988)*'Inputs'!$B$17</x:f>
        <x:v>71429349.77655661</x:v>
      </x:c>
      <x:c r="AC1988" s="78" t="n">
        <x:f>AC1987+AB1988</x:f>
        <x:v>1656392723.986123</x:v>
      </x:c>
      <x:c r="AD1988" s="80" t="n">
        <x:f>Z1988/(1+'Inputs'!$C$49)</x:f>
        <x:v>0.011701796873268071</x:v>
      </x:c>
      <x:c r="AE1988" s="80" t="n">
        <x:f>Z1988-AD1988</x:f>
        <x:v>0.035105390619804215</x:v>
      </x:c>
      <x:c r="AF1988" s="80" t="n">
        <x:f>D1988*W1988</x:f>
        <x:v>0.00005867164450398268</x:v>
      </x:c>
      <x:c r="AG1988" s="80" t="n">
        <x:f>C1988*W1988</x:f>
        <x:v>0.0001369005038426247</x:v>
      </x:c>
      <x:c r="AH1988" s="80" t="n">
        <x:f>2*'Inputs'!$B$8*'Inputs'!$C$49</x:f>
        <x:v>15000</x:v>
      </x:c>
      <x:c r="AI1988" s="81" t="n">
        <x:f>IF(AH1988&gt;0,(AE1988+AF1988)/AH1988*365,0)</x:f>
        <x:v>0.0008556588484314995</x:v>
      </x:c>
      <x:c r="AJ1988" s="81" t="n">
        <x:f>IF('Inputs'!$B$49&gt;0,AG1988/('Inputs'!$B$19*'Inputs'!$B$49)*365,0)</x:f>
        <x:v>0.000004996868390255802</x:v>
      </x:c>
      <x:c r="AK1988" s="81" t="n">
        <x:f>W1988/MAX($W$1829:W1988)-1</x:f>
        <x:v>-0.9999997328286602</x:v>
      </x:c>
      <x:c r="AL1988" s="83" t="n">
        <x:f>'Inputs'!$B$49</x:f>
        <x:v>1</x:v>
      </x:c>
      <x:c r="AM1988" s="83" t="n">
        <x:f>'Inputs'!$C$49</x:f>
        <x:v>3</x:v>
      </x:c>
      <x:c r="AN1988" s="83" t="n">
        <x:f>'Inputs'!$D$49</x:f>
        <x:v>0.75</x:v>
      </x:c>
      <x:c r="AO1988" s="81" t="n">
        <x:f>'Inputs'!$E$49</x:f>
        <x:v>-0.03</x:v>
      </x:c>
    </x:row>
    <x:row r="1989">
      <x:c r="A1989" s="59" t="str">
        <x:v>Mercenary LP</x:v>
      </x:c>
      <x:c r="B1989" s="59" t="n">
        <x:v>161</x:v>
      </x:c>
      <x:c r="C1989" s="78" t="n">
        <x:f>(('Inputs'!$B$29*(3*161*'Inputs'!$B$12-161^2)/(2*'Inputs'!$B$12^2))-('Inputs'!$B$29*(3*160*'Inputs'!$B$12-160^2)/(2*'Inputs'!$B$12^2)))*'Inputs'!$B$49</x:f>
        <x:v>659806.4833927602</x:v>
      </x:c>
      <x:c r="D1989" s="78" t="n">
        <x:f>IF('Inputs'!$C$49&gt;0,('Inputs'!$B$30*(3*161*'Inputs'!$B$12-161^2)/(2*'Inputs'!$B$12^2))-('Inputs'!$B$30*(3*160*'Inputs'!$B$12-160^2)/(2*'Inputs'!$B$12^2)),0)</x:f>
        <x:v>282774.2071683258</x:v>
      </x:c>
      <x:c r="E1989" s="78" t="n">
        <x:f>C1989+D1989</x:f>
        <x:v>942580.6905610859</x:v>
      </x:c>
      <x:c r="F1989" s="78" t="n">
        <x:f>'Inputs'!$B$13*E1989+(1-'Inputs'!$B$13)/'Inputs'!$B$14*SUM(E1934:E1989)</x:f>
        <x:v>952798.3674235325</x:v>
      </x:c>
      <x:c r="G1989" s="78" t="n">
        <x:f>F1989*'Inputs'!$F$49</x:f>
        <x:v>857518.5306811793</x:v>
      </x:c>
      <x:c r="H1989" s="78" t="n">
        <x:f>U1988</x:f>
        <x:v>24007121687.044586</x:v>
      </x:c>
      <x:c r="I1989" s="78" t="n">
        <x:f>V1988</x:f>
        <x:v>4.978684701834337</x:v>
      </x:c>
      <x:c r="J1989" s="79" t="n">
        <x:f>IF(H1989&gt;0,I1989/H1989,0)</x:f>
        <x:v>2.0738365751364012e-10</x:v>
      </x:c>
      <x:c r="K1989" s="80" t="n">
        <x:f>(H1989*J1989+I1989)*'Inputs'!$D$49*(1+'Inputs'!$G$49)^(B1989/30)</x:f>
        <x:v>7.468027052751506</x:v>
      </x:c>
      <x:c r="L1989" s="80" t="n">
        <x:f>MAX(0,K1989*'Inputs'!$E$49)</x:f>
        <x:v>0</x:v>
      </x:c>
      <x:c r="M1989" s="80" t="n">
        <x:f>MAX(0,-K1989*'Inputs'!$E$49)</x:f>
        <x:v>0.22404081158254516</x:v>
      </x:c>
      <x:c r="N1989" s="78" t="n">
        <x:f>H1989*(L1989*(1-'Inputs'!$B$15))/(I1989+L1989*(1-'Inputs'!$B$15))</x:f>
        <x:v>0</x:v>
      </x:c>
      <x:c r="O1989" s="78" t="n">
        <x:f>H1989-N1989</x:f>
        <x:v>24007121687.044586</x:v>
      </x:c>
      <x:c r="P1989" s="78" t="n">
        <x:f>I1989+L1989*(1-'Inputs'!$B$17)</x:f>
        <x:v>4.978684701834337</x:v>
      </x:c>
      <x:c r="Q1989" s="78" t="n">
        <x:f>IF(J1989&gt;0,M1989/J1989,0)</x:f>
        <x:v>1080320475.9170065</x:v>
      </x:c>
      <x:c r="R1989" s="78" t="n">
        <x:f>IF(B1989='Inputs'!$H$49,'Inputs'!$B$27*'Inputs'!$I$49,0)</x:f>
        <x:v>0</x:v>
      </x:c>
      <x:c r="S1989" s="78" t="n">
        <x:f>Q1989+G1989+R1989</x:f>
        <x:v>1081177994.4476876</x:v>
      </x:c>
      <x:c r="T1989" s="78" t="n">
        <x:f>P1989*(S1989*(1-'Inputs'!$B$15))/(O1989+S1989*(1-'Inputs'!$B$15))</x:f>
        <x:v>0.21250198259206637</x:v>
      </x:c>
      <x:c r="U1989" s="78" t="n">
        <x:f>O1989+S1989*(1-'Inputs'!$B$17)</x:f>
        <x:v>25083948864.61321</x:v>
      </x:c>
      <x:c r="V1989" s="78" t="n">
        <x:f>P1989-T1989</x:f>
        <x:v>4.766182719242271</x:v>
      </x:c>
      <x:c r="W1989" s="79" t="n">
        <x:f>IF(U1989&gt;0,V1989/U1989,0)</x:f>
        <x:v>1.9000926628287339e-10</x:v>
      </x:c>
      <x:c r="X1989" s="80" t="n">
        <x:f>W1989*('Inputs'!$B$6-AC1989)</x:f>
        <x:v>-0.13890170619570907</x:v>
      </x:c>
      <x:c r="Y1989" s="80" t="n">
        <x:f>2*V1989</x:f>
        <x:v>9.532365438484542</x:v>
      </x:c>
      <x:c r="Z1989" s="80" t="n">
        <x:f>K1989*'Inputs'!$B$16+(G1989+R1989)*J1989*'Inputs'!$B$16</x:f>
        <x:v>0.044809229328484704</x:v>
      </x:c>
      <x:c r="AA1989" s="80" t="n">
        <x:f>K1989*(1+'Inputs'!$E$49)/2*'Inputs'!$B$17</x:f>
        <x:v>0.01457542503253312</x:v>
      </x:c>
      <x:c r="AB1989" s="78" t="n">
        <x:f>(IF(J1989&gt;0,K1989*(1-'Inputs'!$E$49)/2/J1989,0)+G1989+R1989)*'Inputs'!$B$17</x:f>
        <x:v>74633235.50009105</x:v>
      </x:c>
      <x:c r="AC1989" s="78" t="n">
        <x:f>AC1988+AB1989</x:f>
        <x:v>1731025959.4862142</x:v>
      </x:c>
      <x:c r="AD1989" s="80" t="n">
        <x:f>Z1989/(1+'Inputs'!$C$49)</x:f>
        <x:v>0.011202307332121176</x:v>
      </x:c>
      <x:c r="AE1989" s="80" t="n">
        <x:f>Z1989-AD1989</x:f>
        <x:v>0.03360692199636353</x:v>
      </x:c>
      <x:c r="AF1989" s="80" t="n">
        <x:f>D1989*W1989</x:f>
        <x:v>0.00005372971962777482</x:v>
      </x:c>
      <x:c r="AG1989" s="80" t="n">
        <x:f>C1989*W1989</x:f>
        <x:v>0.00012536934579814125</x:v>
      </x:c>
      <x:c r="AH1989" s="80" t="n">
        <x:f>2*'Inputs'!$B$8*'Inputs'!$C$49</x:f>
        <x:v>15000</x:v>
      </x:c>
      <x:c r="AI1989" s="81" t="n">
        <x:f>IF(AH1989&gt;0,(AE1989+AF1989)/AH1989*365,0)</x:f>
        <x:v>0.0008190758584224552</x:v>
      </x:c>
      <x:c r="AJ1989" s="81" t="n">
        <x:f>IF('Inputs'!$B$49&gt;0,AG1989/('Inputs'!$B$19*'Inputs'!$B$49)*365,0)</x:f>
        <x:v>0.0000045759811216321554</x:v>
      </x:c>
      <x:c r="AK1989" s="81" t="n">
        <x:f>W1989/MAX($W$1829:W1989)-1</x:f>
        <x:v>-0.9999997552120025</x:v>
      </x:c>
      <x:c r="AL1989" s="83" t="n">
        <x:f>'Inputs'!$B$49</x:f>
        <x:v>1</x:v>
      </x:c>
      <x:c r="AM1989" s="83" t="n">
        <x:f>'Inputs'!$C$49</x:f>
        <x:v>3</x:v>
      </x:c>
      <x:c r="AN1989" s="83" t="n">
        <x:f>'Inputs'!$D$49</x:f>
        <x:v>0.75</x:v>
      </x:c>
      <x:c r="AO1989" s="81" t="n">
        <x:f>'Inputs'!$E$49</x:f>
        <x:v>-0.03</x:v>
      </x:c>
    </x:row>
    <x:row r="1990">
      <x:c r="A1990" s="59" t="str">
        <x:v>Mercenary LP</x:v>
      </x:c>
      <x:c r="B1990" s="59" t="n">
        <x:v>162</x:v>
      </x:c>
      <x:c r="C1990" s="78" t="n">
        <x:f>(('Inputs'!$B$29*(3*162*'Inputs'!$B$12-162^2)/(2*'Inputs'!$B$12^2))-('Inputs'!$B$29*(3*161*'Inputs'!$B$12-161^2)/(2*'Inputs'!$B$12^2)))*'Inputs'!$B$49</x:f>
        <x:v>659481.3754925877</x:v>
      </x:c>
      <x:c r="D1990" s="78" t="n">
        <x:f>IF('Inputs'!$C$49&gt;0,('Inputs'!$B$30*(3*162*'Inputs'!$B$12-162^2)/(2*'Inputs'!$B$12^2))-('Inputs'!$B$30*(3*161*'Inputs'!$B$12-161^2)/(2*'Inputs'!$B$12^2)),0)</x:f>
        <x:v>282634.8752111122</x:v>
      </x:c>
      <x:c r="E1990" s="78" t="n">
        <x:f>C1990+D1990</x:f>
        <x:v>942116.2507036999</x:v>
      </x:c>
      <x:c r="F1990" s="78" t="n">
        <x:f>'Inputs'!$B$13*E1990+(1-'Inputs'!$B$13)/'Inputs'!$B$14*SUM(E1935:E1990)</x:f>
        <x:v>952333.9275661482</x:v>
      </x:c>
      <x:c r="G1990" s="78" t="n">
        <x:f>F1990*'Inputs'!$F$49</x:f>
        <x:v>857100.5348095334</x:v>
      </x:c>
      <x:c r="H1990" s="78" t="n">
        <x:f>U1989</x:f>
        <x:v>25083948864.61321</x:v>
      </x:c>
      <x:c r="I1990" s="78" t="n">
        <x:f>V1989</x:f>
        <x:v>4.766182719242271</x:v>
      </x:c>
      <x:c r="J1990" s="79" t="n">
        <x:f>IF(H1990&gt;0,I1990/H1990,0)</x:f>
        <x:v>1.9000926628287339e-10</x:v>
      </x:c>
      <x:c r="K1990" s="80" t="n">
        <x:f>(H1990*J1990+I1990)*'Inputs'!$D$49*(1+'Inputs'!$G$49)^(B1990/30)</x:f>
        <x:v>7.149274078863407</x:v>
      </x:c>
      <x:c r="L1990" s="80" t="n">
        <x:f>MAX(0,K1990*'Inputs'!$E$49)</x:f>
        <x:v>0</x:v>
      </x:c>
      <x:c r="M1990" s="80" t="n">
        <x:f>MAX(0,-K1990*'Inputs'!$E$49)</x:f>
        <x:v>0.2144782223659022</x:v>
      </x:c>
      <x:c r="N1990" s="78" t="n">
        <x:f>H1990*(L1990*(1-'Inputs'!$B$15))/(I1990+L1990*(1-'Inputs'!$B$15))</x:f>
        <x:v>0</x:v>
      </x:c>
      <x:c r="O1990" s="78" t="n">
        <x:f>H1990-N1990</x:f>
        <x:v>25083948864.61321</x:v>
      </x:c>
      <x:c r="P1990" s="78" t="n">
        <x:f>I1990+L1990*(1-'Inputs'!$B$17)</x:f>
        <x:v>4.766182719242271</x:v>
      </x:c>
      <x:c r="Q1990" s="78" t="n">
        <x:f>IF(J1990&gt;0,M1990/J1990,0)</x:f>
        <x:v>1128777698.9075944</x:v>
      </x:c>
      <x:c r="R1990" s="78" t="n">
        <x:f>IF(B1990='Inputs'!$H$49,'Inputs'!$B$27*'Inputs'!$I$49,0)</x:f>
        <x:v>0</x:v>
      </x:c>
      <x:c r="S1990" s="78" t="n">
        <x:f>Q1990+G1990+R1990</x:f>
        <x:v>1129634799.442404</x:v>
      </x:c>
      <x:c r="T1990" s="78" t="n">
        <x:f>P1990*(S1990*(1-'Inputs'!$B$15))/(O1990+S1990*(1-'Inputs'!$B$15))</x:f>
        <x:v>0.20342519480306107</x:v>
      </x:c>
      <x:c r="U1990" s="78" t="n">
        <x:f>O1990+S1990*(1-'Inputs'!$B$17)</x:f>
        <x:v>26209037849.97335</x:v>
      </x:c>
      <x:c r="V1990" s="78" t="n">
        <x:f>P1990-T1990</x:f>
        <x:v>4.56275752443921</x:v>
      </x:c>
      <x:c r="W1990" s="79" t="n">
        <x:f>IF(U1990&gt;0,V1990/U1990,0)</x:f>
        <x:v>1.7409099679879508e-10</x:v>
      </x:c>
      <x:c r="X1990" s="80" t="n">
        <x:f>W1990*('Inputs'!$B$6-AC1990)</x:f>
        <x:v>-0.14084077832280248</x:v>
      </x:c>
      <x:c r="Y1990" s="80" t="n">
        <x:f>2*V1990</x:f>
        <x:v>9.12551504887842</x:v>
      </x:c>
      <x:c r="Z1990" s="80" t="n">
        <x:f>K1990*'Inputs'!$B$16+(G1990+R1990)*J1990*'Inputs'!$B$16</x:f>
        <x:v>0.04289662161544294</x:v>
      </x:c>
      <x:c r="AA1990" s="80" t="n">
        <x:f>K1990*(1+'Inputs'!$E$49)/2*'Inputs'!$B$17</x:f>
        <x:v>0.01395331158248995</x:v>
      </x:c>
      <x:c r="AB1990" s="78" t="n">
        <x:f>(IF(J1990&gt;0,K1990*(1-'Inputs'!$E$49)/2/J1990,0)+G1990+R1990)*'Inputs'!$B$17</x:f>
        <x:v>77980714.68188538</x:v>
      </x:c>
      <x:c r="AC1990" s="78" t="n">
        <x:f>AC1989+AB1990</x:f>
        <x:v>1809006674.1680996</x:v>
      </x:c>
      <x:c r="AD1990" s="80" t="n">
        <x:f>Z1990/(1+'Inputs'!$C$49)</x:f>
        <x:v>0.010724155403860736</x:v>
      </x:c>
      <x:c r="AE1990" s="80" t="n">
        <x:f>Z1990-AD1990</x:f>
        <x:v>0.03217246621158221</x:v>
      </x:c>
      <x:c r="AF1990" s="80" t="n">
        <x:f>D1990*W1990</x:f>
        <x:v>0.00004920418715560558</x:v>
      </x:c>
      <x:c r="AG1990" s="80" t="n">
        <x:f>C1990*W1990</x:f>
        <x:v>0.00011480977002974506</x:v>
      </x:c>
      <x:c r="AH1990" s="80" t="n">
        <x:f>2*'Inputs'!$B$8*'Inputs'!$C$49</x:f>
        <x:v>15000</x:v>
      </x:c>
      <x:c r="AI1990" s="81" t="n">
        <x:f>IF(AH1990&gt;0,(AE1990+AF1990)/AH1990*365,0)</x:f>
        <x:v>0.0007840606463692868</x:v>
      </x:c>
      <x:c r="AJ1990" s="81" t="n">
        <x:f>IF('Inputs'!$B$49&gt;0,AG1990/('Inputs'!$B$19*'Inputs'!$B$49)*365,0)</x:f>
        <x:v>0.000004190556606085695</x:v>
      </x:c>
      <x:c r="AK1990" s="81" t="n">
        <x:f>W1990/MAX($W$1829:W1990)-1</x:f>
        <x:v>-0.9999997757194302</x:v>
      </x:c>
      <x:c r="AL1990" s="83" t="n">
        <x:f>'Inputs'!$B$49</x:f>
        <x:v>1</x:v>
      </x:c>
      <x:c r="AM1990" s="83" t="n">
        <x:f>'Inputs'!$C$49</x:f>
        <x:v>3</x:v>
      </x:c>
      <x:c r="AN1990" s="83" t="n">
        <x:f>'Inputs'!$D$49</x:f>
        <x:v>0.75</x:v>
      </x:c>
      <x:c r="AO1990" s="81" t="n">
        <x:f>'Inputs'!$E$49</x:f>
        <x:v>-0.03</x:v>
      </x:c>
    </x:row>
    <x:row r="1991">
      <x:c r="A1991" s="59" t="str">
        <x:v>Mercenary LP</x:v>
      </x:c>
      <x:c r="B1991" s="59" t="n">
        <x:v>163</x:v>
      </x:c>
      <x:c r="C1991" s="78" t="n">
        <x:f>(('Inputs'!$B$29*(3*163*'Inputs'!$B$12-163^2)/(2*'Inputs'!$B$12^2))-('Inputs'!$B$29*(3*162*'Inputs'!$B$12-162^2)/(2*'Inputs'!$B$12^2)))*'Inputs'!$B$49</x:f>
        <x:v>659156.2675924152</x:v>
      </x:c>
      <x:c r="D1991" s="78" t="n">
        <x:f>IF('Inputs'!$C$49&gt;0,('Inputs'!$B$30*(3*163*'Inputs'!$B$12-163^2)/(2*'Inputs'!$B$12^2))-('Inputs'!$B$30*(3*162*'Inputs'!$B$12-162^2)/(2*'Inputs'!$B$12^2)),0)</x:f>
        <x:v>282495.54325389117</x:v>
      </x:c>
      <x:c r="E1991" s="78" t="n">
        <x:f>C1991+D1991</x:f>
        <x:v>941651.8108463064</x:v>
      </x:c>
      <x:c r="F1991" s="78" t="n">
        <x:f>'Inputs'!$B$13*E1991+(1-'Inputs'!$B$13)/'Inputs'!$B$14*SUM(E1936:E1991)</x:f>
        <x:v>951869.4877087622</x:v>
      </x:c>
      <x:c r="G1991" s="78" t="n">
        <x:f>F1991*'Inputs'!$F$49</x:f>
        <x:v>856682.538937886</x:v>
      </x:c>
      <x:c r="H1991" s="78" t="n">
        <x:f>U1990</x:f>
        <x:v>26209037849.97335</x:v>
      </x:c>
      <x:c r="I1991" s="78" t="n">
        <x:f>V1990</x:f>
        <x:v>4.56275752443921</x:v>
      </x:c>
      <x:c r="J1991" s="79" t="n">
        <x:f>IF(H1991&gt;0,I1991/H1991,0)</x:f>
        <x:v>1.7409099679879508e-10</x:v>
      </x:c>
      <x:c r="K1991" s="80" t="n">
        <x:f>(H1991*J1991+I1991)*'Inputs'!$D$49*(1+'Inputs'!$G$49)^(B1991/30)</x:f>
        <x:v>6.844136286658815</x:v>
      </x:c>
      <x:c r="L1991" s="80" t="n">
        <x:f>MAX(0,K1991*'Inputs'!$E$49)</x:f>
        <x:v>0</x:v>
      </x:c>
      <x:c r="M1991" s="80" t="n">
        <x:f>MAX(0,-K1991*'Inputs'!$E$49)</x:f>
        <x:v>0.20532408859976442</x:v>
      </x:c>
      <x:c r="N1991" s="78" t="n">
        <x:f>H1991*(L1991*(1-'Inputs'!$B$15))/(I1991+L1991*(1-'Inputs'!$B$15))</x:f>
        <x:v>0</x:v>
      </x:c>
      <x:c r="O1991" s="78" t="n">
        <x:f>H1991-N1991</x:f>
        <x:v>26209037849.97335</x:v>
      </x:c>
      <x:c r="P1991" s="78" t="n">
        <x:f>I1991+L1991*(1-'Inputs'!$B$17)</x:f>
        <x:v>4.56275752443921</x:v>
      </x:c>
      <x:c r="Q1991" s="78" t="n">
        <x:f>IF(J1991&gt;0,M1991/J1991,0)</x:f>
        <x:v>1179406703.2488008</x:v>
      </x:c>
      <x:c r="R1991" s="78" t="n">
        <x:f>IF(B1991='Inputs'!$H$49,'Inputs'!$B$27*'Inputs'!$I$49,0)</x:f>
        <x:v>0</x:v>
      </x:c>
      <x:c r="S1991" s="78" t="n">
        <x:f>Q1991+G1991+R1991</x:f>
        <x:v>1180263385.7877386</x:v>
      </x:c>
      <x:c r="T1991" s="78" t="n">
        <x:f>P1991*(S1991*(1-'Inputs'!$B$15))/(O1991+S1991*(1-'Inputs'!$B$15))</x:f>
        <x:v>0.19473667647303777</x:v>
      </x:c>
      <x:c r="U1991" s="78" t="n">
        <x:f>O1991+S1991*(1-'Inputs'!$B$17)</x:f>
        <x:v>27384551684.91285</x:v>
      </x:c>
      <x:c r="V1991" s="78" t="n">
        <x:f>P1991-T1991</x:f>
        <x:v>4.368020847966172</x:v>
      </x:c>
      <x:c r="W1991" s="79" t="n">
        <x:f>IF(U1991&gt;0,V1991/U1991,0)</x:f>
        <x:v>1.595067503103465e-10</x:v>
      </x:c>
      <x:c r="X1991" s="80" t="n">
        <x:f>W1991*('Inputs'!$B$6-AC1991)</x:f>
        <x:v>-0.14203835215166996</x:v>
      </x:c>
      <x:c r="Y1991" s="80" t="n">
        <x:f>2*V1991</x:f>
        <x:v>8.736041695932345</x:v>
      </x:c>
      <x:c r="Z1991" s="80" t="n">
        <x:f>K1991*'Inputs'!$B$16+(G1991+R1991)*J1991*'Inputs'!$B$16</x:f>
        <x:v>0.04106571256425575</x:v>
      </x:c>
      <x:c r="AA1991" s="80" t="n">
        <x:f>K1991*(1+'Inputs'!$E$49)/2*'Inputs'!$B$17</x:f>
        <x:v>0.01335777102225161</x:v>
      </x:c>
      <x:c r="AB1991" s="78" t="n">
        <x:f>(IF(J1991&gt;0,K1991*(1-'Inputs'!$E$49)/2/J1991,0)+G1991+R1991)*'Inputs'!$B$17</x:f>
        <x:v>81478223.02472174</x:v>
      </x:c>
      <x:c r="AC1991" s="78" t="n">
        <x:f>AC1990+AB1991</x:f>
        <x:v>1890484897.1928215</x:v>
      </x:c>
      <x:c r="AD1991" s="80" t="n">
        <x:f>Z1991/(1+'Inputs'!$C$49)</x:f>
        <x:v>0.010266428141063938</x:v>
      </x:c>
      <x:c r="AE1991" s="80" t="n">
        <x:f>Z1991-AD1991</x:f>
        <x:v>0.03079928442319181</x:v>
      </x:c>
      <x:c r="AF1991" s="80" t="n">
        <x:f>D1991*W1991</x:f>
        <x:v>0.00004505994608158411</x:v>
      </x:c>
      <x:c r="AG1991" s="80" t="n">
        <x:f>C1991*W1991</x:f>
        <x:v>0.00010513987419036332</x:v>
      </x:c>
      <x:c r="AH1991" s="80" t="n">
        <x:f>2*'Inputs'!$B$8*'Inputs'!$C$49</x:f>
        <x:v>15000</x:v>
      </x:c>
      <x:c r="AI1991" s="81" t="n">
        <x:f>IF(AH1991&gt;0,(AE1991+AF1991)/AH1991*365,0)</x:f>
        <x:v>0.0007505457129856525</x:v>
      </x:c>
      <x:c r="AJ1991" s="81" t="n">
        <x:f>IF('Inputs'!$B$49&gt;0,AG1991/('Inputs'!$B$19*'Inputs'!$B$49)*365,0)</x:f>
        <x:v>0.000003837605407948261</x:v>
      </x:c>
      <x:c r="AK1991" s="81" t="n">
        <x:f>W1991/MAX($W$1829:W1991)-1</x:f>
        <x:v>-0.9999997945082428</x:v>
      </x:c>
      <x:c r="AL1991" s="83" t="n">
        <x:f>'Inputs'!$B$49</x:f>
        <x:v>1</x:v>
      </x:c>
      <x:c r="AM1991" s="83" t="n">
        <x:f>'Inputs'!$C$49</x:f>
        <x:v>3</x:v>
      </x:c>
      <x:c r="AN1991" s="83" t="n">
        <x:f>'Inputs'!$D$49</x:f>
        <x:v>0.75</x:v>
      </x:c>
      <x:c r="AO1991" s="81" t="n">
        <x:f>'Inputs'!$E$49</x:f>
        <x:v>-0.03</x:v>
      </x:c>
    </x:row>
    <x:row r="1992">
      <x:c r="A1992" s="59" t="str">
        <x:v>Mercenary LP</x:v>
      </x:c>
      <x:c r="B1992" s="59" t="n">
        <x:v>164</x:v>
      </x:c>
      <x:c r="C1992" s="78" t="n">
        <x:f>(('Inputs'!$B$29*(3*164*'Inputs'!$B$12-164^2)/(2*'Inputs'!$B$12^2))-('Inputs'!$B$29*(3*163*'Inputs'!$B$12-163^2)/(2*'Inputs'!$B$12^2)))*'Inputs'!$B$49</x:f>
        <x:v>658831.1596922576</x:v>
      </x:c>
      <x:c r="D1992" s="78" t="n">
        <x:f>IF('Inputs'!$C$49&gt;0,('Inputs'!$B$30*(3*164*'Inputs'!$B$12-164^2)/(2*'Inputs'!$B$12^2))-('Inputs'!$B$30*(3*163*'Inputs'!$B$12-163^2)/(2*'Inputs'!$B$12^2)),0)</x:f>
        <x:v>282356.2112966776</x:v>
      </x:c>
      <x:c r="E1992" s="78" t="n">
        <x:f>C1992+D1992</x:f>
        <x:v>941187.3709889352</x:v>
      </x:c>
      <x:c r="F1992" s="78" t="n">
        <x:f>'Inputs'!$B$13*E1992+(1-'Inputs'!$B$13)/'Inputs'!$B$14*SUM(E1937:E1992)</x:f>
        <x:v>951405.0478513807</x:v>
      </x:c>
      <x:c r="G1992" s="78" t="n">
        <x:f>F1992*'Inputs'!$F$49</x:f>
        <x:v>856264.5430662426</x:v>
      </x:c>
      <x:c r="H1992" s="78" t="n">
        <x:f>U1991</x:f>
        <x:v>27384551684.91285</x:v>
      </x:c>
      <x:c r="I1992" s="78" t="n">
        <x:f>V1991</x:f>
        <x:v>4.368020847966172</x:v>
      </x:c>
      <x:c r="J1992" s="79" t="n">
        <x:f>IF(H1992&gt;0,I1992/H1992,0)</x:f>
        <x:v>1.595067503103465e-10</x:v>
      </x:c>
      <x:c r="K1992" s="80" t="n">
        <x:f>(H1992*J1992+I1992)*'Inputs'!$D$49*(1+'Inputs'!$G$49)^(B1992/30)</x:f>
        <x:v>6.552031271949259</x:v>
      </x:c>
      <x:c r="L1992" s="80" t="n">
        <x:f>MAX(0,K1992*'Inputs'!$E$49)</x:f>
        <x:v>0</x:v>
      </x:c>
      <x:c r="M1992" s="80" t="n">
        <x:f>MAX(0,-K1992*'Inputs'!$E$49)</x:f>
        <x:v>0.19656093815847778</x:v>
      </x:c>
      <x:c r="N1992" s="78" t="n">
        <x:f>H1992*(L1992*(1-'Inputs'!$B$15))/(I1992+L1992*(1-'Inputs'!$B$15))</x:f>
        <x:v>0</x:v>
      </x:c>
      <x:c r="O1992" s="78" t="n">
        <x:f>H1992-N1992</x:f>
        <x:v>27384551684.91285</x:v>
      </x:c>
      <x:c r="P1992" s="78" t="n">
        <x:f>I1992+L1992*(1-'Inputs'!$B$17)</x:f>
        <x:v>4.368020847966172</x:v>
      </x:c>
      <x:c r="Q1992" s="78" t="n">
        <x:f>IF(J1992&gt;0,M1992/J1992,0)</x:f>
        <x:v>1232304825.8210783</x:v>
      </x:c>
      <x:c r="R1992" s="78" t="n">
        <x:f>IF(B1992='Inputs'!$H$49,'Inputs'!$B$27*'Inputs'!$I$49,0)</x:f>
        <x:v>0</x:v>
      </x:c>
      <x:c r="S1992" s="78" t="n">
        <x:f>Q1992+G1992+R1992</x:f>
        <x:v>1233161090.3641446</x:v>
      </x:c>
      <x:c r="T1992" s="78" t="n">
        <x:f>P1992*(S1992*(1-'Inputs'!$B$15))/(O1992+S1992*(1-'Inputs'!$B$15))</x:f>
        <x:v>0.18641977142177285</x:v>
      </x:c>
      <x:c r="U1992" s="78" t="n">
        <x:f>O1992+S1992*(1-'Inputs'!$B$17)</x:f>
        <x:v>28612750356.40229</x:v>
      </x:c>
      <x:c r="V1992" s="78" t="n">
        <x:f>P1992-T1992</x:f>
        <x:v>4.1816010765444</x:v>
      </x:c>
      <x:c r="W1992" s="79" t="n">
        <x:f>IF(U1992&gt;0,V1992/U1992,0)</x:f>
        <x:v>1.46144674121086e-10</x:v>
      </x:c>
      <x:c r="X1992" s="80" t="n">
        <x:f>W1992*('Inputs'!$B$6-AC1992)</x:f>
        <x:v>-0.14258128433958747</x:v>
      </x:c>
      <x:c r="Y1992" s="80" t="n">
        <x:f>2*V1992</x:f>
        <x:v>8.3632021530888</x:v>
      </x:c>
      <x:c r="Z1992" s="80" t="n">
        <x:f>K1992*'Inputs'!$B$16+(G1992+R1992)*J1992*'Inputs'!$B$16</x:f>
        <x:v>0.03931300711154358</x:v>
      </x:c>
      <x:c r="AA1992" s="80" t="n">
        <x:f>K1992*(1+'Inputs'!$E$49)/2*'Inputs'!$B$17</x:f>
        <x:v>0.012787666667587086</x:v>
      </x:c>
      <x:c r="AB1992" s="78" t="n">
        <x:f>(IF(J1992&gt;0,K1992*(1-'Inputs'!$E$49)/2/J1992,0)+G1992+R1992)*'Inputs'!$B$17</x:f>
        <x:v>85132484.67258851</x:v>
      </x:c>
      <x:c r="AC1992" s="78" t="n">
        <x:f>AC1991+AB1992</x:f>
        <x:v>1975617381.86541</x:v>
      </x:c>
      <x:c r="AD1992" s="80" t="n">
        <x:f>Z1992/(1+'Inputs'!$C$49)</x:f>
        <x:v>0.009828251777885894</x:v>
      </x:c>
      <x:c r="AE1992" s="80" t="n">
        <x:f>Z1992-AD1992</x:f>
        <x:v>0.029484755333657683</x:v>
      </x:c>
      <x:c r="AF1992" s="80" t="n">
        <x:f>D1992*W1992</x:f>
        <x:v>0.00004126485648601745</x:v>
      </x:c>
      <x:c r="AG1992" s="80" t="n">
        <x:f>C1992*W1992</x:f>
        <x:v>0.00009628466513404217</x:v>
      </x:c>
      <x:c r="AH1992" s="80" t="n">
        <x:f>2*'Inputs'!$B$8*'Inputs'!$C$49</x:f>
        <x:v>15000</x:v>
      </x:c>
      <x:c r="AI1992" s="81" t="n">
        <x:f>IF(AH1992&gt;0,(AE1992+AF1992)/AH1992*365,0)</x:f>
        <x:v>0.0007184664912934967</x:v>
      </x:c>
      <x:c r="AJ1992" s="81" t="n">
        <x:f>IF('Inputs'!$B$49&gt;0,AG1992/('Inputs'!$B$19*'Inputs'!$B$49)*365,0)</x:f>
        <x:v>0.000003514390277392539</x:v>
      </x:c>
      <x:c r="AK1992" s="81" t="n">
        <x:f>W1992/MAX($W$1829:W1992)-1</x:f>
        <x:v>-0.9999998117225395</x:v>
      </x:c>
      <x:c r="AL1992" s="83" t="n">
        <x:f>'Inputs'!$B$49</x:f>
        <x:v>1</x:v>
      </x:c>
      <x:c r="AM1992" s="83" t="n">
        <x:f>'Inputs'!$C$49</x:f>
        <x:v>3</x:v>
      </x:c>
      <x:c r="AN1992" s="83" t="n">
        <x:f>'Inputs'!$D$49</x:f>
        <x:v>0.75</x:v>
      </x:c>
      <x:c r="AO1992" s="81" t="n">
        <x:f>'Inputs'!$E$49</x:f>
        <x:v>-0.03</x:v>
      </x:c>
    </x:row>
    <x:row r="1993">
      <x:c r="A1993" s="59" t="str">
        <x:v>Mercenary LP</x:v>
      </x:c>
      <x:c r="B1993" s="59" t="n">
        <x:v>165</x:v>
      </x:c>
      <x:c r="C1993" s="78" t="n">
        <x:f>(('Inputs'!$B$29*(3*165*'Inputs'!$B$12-165^2)/(2*'Inputs'!$B$12^2))-('Inputs'!$B$29*(3*164*'Inputs'!$B$12-164^2)/(2*'Inputs'!$B$12^2)))*'Inputs'!$B$49</x:f>
        <x:v>658506.0517920852</x:v>
      </x:c>
      <x:c r="D1993" s="78" t="n">
        <x:f>IF('Inputs'!$C$49&gt;0,('Inputs'!$B$30*(3*165*'Inputs'!$B$12-165^2)/(2*'Inputs'!$B$12^2))-('Inputs'!$B$30*(3*164*'Inputs'!$B$12-164^2)/(2*'Inputs'!$B$12^2)),0)</x:f>
        <x:v>282216.879339464</x:v>
      </x:c>
      <x:c r="E1993" s="78" t="n">
        <x:f>C1993+D1993</x:f>
        <x:v>940722.9311315492</x:v>
      </x:c>
      <x:c r="F1993" s="78" t="n">
        <x:f>'Inputs'!$B$13*E1993+(1-'Inputs'!$B$13)/'Inputs'!$B$14*SUM(E1938:E1993)</x:f>
        <x:v>950940.6079939961</x:v>
      </x:c>
      <x:c r="G1993" s="78" t="n">
        <x:f>F1993*'Inputs'!$F$49</x:f>
        <x:v>855846.5471945965</x:v>
      </x:c>
      <x:c r="H1993" s="78" t="n">
        <x:f>U1992</x:f>
        <x:v>28612750356.40229</x:v>
      </x:c>
      <x:c r="I1993" s="78" t="n">
        <x:f>V1992</x:f>
        <x:v>4.1816010765444</x:v>
      </x:c>
      <x:c r="J1993" s="79" t="n">
        <x:f>IF(H1993&gt;0,I1993/H1993,0)</x:f>
        <x:v>1.46144674121086e-10</x:v>
      </x:c>
      <x:c r="K1993" s="80" t="n">
        <x:f>(H1993*J1993+I1993)*'Inputs'!$D$49*(1+'Inputs'!$G$49)^(B1993/30)</x:f>
        <x:v>6.2724016148166</x:v>
      </x:c>
      <x:c r="L1993" s="80" t="n">
        <x:f>MAX(0,K1993*'Inputs'!$E$49)</x:f>
        <x:v>0</x:v>
      </x:c>
      <x:c r="M1993" s="80" t="n">
        <x:f>MAX(0,-K1993*'Inputs'!$E$49)</x:f>
        <x:v>0.18817204844449797</x:v>
      </x:c>
      <x:c r="N1993" s="78" t="n">
        <x:f>H1993*(L1993*(1-'Inputs'!$B$15))/(I1993+L1993*(1-'Inputs'!$B$15))</x:f>
        <x:v>0</x:v>
      </x:c>
      <x:c r="O1993" s="78" t="n">
        <x:f>H1993-N1993</x:f>
        <x:v>28612750356.40229</x:v>
      </x:c>
      <x:c r="P1993" s="78" t="n">
        <x:f>I1993+L1993*(1-'Inputs'!$B$17)</x:f>
        <x:v>4.1816010765444</x:v>
      </x:c>
      <x:c r="Q1993" s="78" t="n">
        <x:f>IF(J1993&gt;0,M1993/J1993,0)</x:f>
        <x:v>1287573766.0381029</x:v>
      </x:c>
      <x:c r="R1993" s="78" t="n">
        <x:f>IF(B1993='Inputs'!$H$49,'Inputs'!$B$27*'Inputs'!$I$49,0)</x:f>
        <x:v>0</x:v>
      </x:c>
      <x:c r="S1993" s="78" t="n">
        <x:f>Q1993+G1993+R1993</x:f>
        <x:v>1288429612.5852973</x:v>
      </x:c>
      <x:c r="T1993" s="78" t="n">
        <x:f>P1993*(S1993*(1-'Inputs'!$B$15))/(O1993+S1993*(1-'Inputs'!$B$15))</x:f>
        <x:v>0.17845854199478606</x:v>
      </x:c>
      <x:c r="U1993" s="78" t="n">
        <x:f>O1993+S1993*(1-'Inputs'!$B$17)</x:f>
        <x:v>29895995141.572758</x:v>
      </x:c>
      <x:c r="V1993" s="78" t="n">
        <x:f>P1993-T1993</x:f>
        <x:v>4.003142534549614</x:v>
      </x:c>
      <x:c r="W1993" s="79" t="n">
        <x:f>IF(U1993&gt;0,V1993/U1993,0)</x:f>
        <x:v>1.3390230081295826e-10</x:v>
      </x:c>
      <x:c r="X1993" s="80" t="n">
        <x:f>W1993*('Inputs'!$B$6-AC1993)</x:f>
        <x:v>-0.14254809211943237</x:v>
      </x:c>
      <x:c r="Y1993" s="80" t="n">
        <x:f>2*V1993</x:f>
        <x:v>8.006285069099228</x:v>
      </x:c>
      <x:c r="Z1993" s="80" t="n">
        <x:f>K1993*'Inputs'!$B$16+(G1993+R1993)*J1993*'Inputs'!$B$16</x:f>
        <x:v>0.037635160153388025</x:v>
      </x:c>
      <x:c r="AA1993" s="80" t="n">
        <x:f>K1993*(1+'Inputs'!$E$49)/2*'Inputs'!$B$17</x:f>
        <x:v>0.012241910596322137</x:v>
      </x:c>
      <x:c r="AB1993" s="78" t="n">
        <x:f>(IF(J1993&gt;0,K1993*(1-'Inputs'!$E$49)/2/J1993,0)+G1993+R1993)*'Inputs'!$B$17</x:f>
        <x:v>88950525.13830167</x:v>
      </x:c>
      <x:c r="AC1993" s="78" t="n">
        <x:f>AC1992+AB1993</x:f>
        <x:v>2064567907.0037117</x:v>
      </x:c>
      <x:c r="AD1993" s="80" t="n">
        <x:f>Z1993/(1+'Inputs'!$C$49)</x:f>
        <x:v>0.009408790038347006</x:v>
      </x:c>
      <x:c r="AE1993" s="80" t="n">
        <x:f>Z1993-AD1993</x:f>
        <x:v>0.02822637011504102</x:v>
      </x:c>
      <x:c r="AF1993" s="80" t="n">
        <x:f>D1993*W1993</x:f>
        <x:v>0.000037789489471807256</x:v>
      </x:c>
      <x:c r="AG1993" s="80" t="n">
        <x:f>C1993*W1993</x:f>
        <x:v>0.00008817547543421725</x:v>
      </x:c>
      <x:c r="AH1993" s="80" t="n">
        <x:f>2*'Inputs'!$B$8*'Inputs'!$C$49</x:f>
        <x:v>15000</x:v>
      </x:c>
      <x:c r="AI1993" s="81" t="n">
        <x:f>IF(AH1993&gt;0,(AE1993+AF1993)/AH1993*365,0)</x:f>
        <x:v>0.0006877612170431455</x:v>
      </x:c>
      <x:c r="AJ1993" s="81" t="n">
        <x:f>IF('Inputs'!$B$49&gt;0,AG1993/('Inputs'!$B$19*'Inputs'!$B$49)*365,0)</x:f>
        <x:v>0.00000321840485334893</x:v>
      </x:c>
      <x:c r="AK1993" s="81" t="n">
        <x:f>W1993/MAX($W$1829:W1993)-1</x:f>
        <x:v>-0.9999998274943285</x:v>
      </x:c>
      <x:c r="AL1993" s="83" t="n">
        <x:f>'Inputs'!$B$49</x:f>
        <x:v>1</x:v>
      </x:c>
      <x:c r="AM1993" s="83" t="n">
        <x:f>'Inputs'!$C$49</x:f>
        <x:v>3</x:v>
      </x:c>
      <x:c r="AN1993" s="83" t="n">
        <x:f>'Inputs'!$D$49</x:f>
        <x:v>0.75</x:v>
      </x:c>
      <x:c r="AO1993" s="81" t="n">
        <x:f>'Inputs'!$E$49</x:f>
        <x:v>-0.03</x:v>
      </x:c>
    </x:row>
    <x:row r="1994">
      <x:c r="A1994" s="59" t="str">
        <x:v>Mercenary LP</x:v>
      </x:c>
      <x:c r="B1994" s="59" t="n">
        <x:v>166</x:v>
      </x:c>
      <x:c r="C1994" s="78" t="n">
        <x:f>(('Inputs'!$B$29*(3*166*'Inputs'!$B$12-166^2)/(2*'Inputs'!$B$12^2))-('Inputs'!$B$29*(3*165*'Inputs'!$B$12-165^2)/(2*'Inputs'!$B$12^2)))*'Inputs'!$B$49</x:f>
        <x:v>658180.9438919127</x:v>
      </x:c>
      <x:c r="D1994" s="78" t="n">
        <x:f>IF('Inputs'!$C$49&gt;0,('Inputs'!$B$30*(3*166*'Inputs'!$B$12-166^2)/(2*'Inputs'!$B$12^2))-('Inputs'!$B$30*(3*165*'Inputs'!$B$12-165^2)/(2*'Inputs'!$B$12^2)),0)</x:f>
        <x:v>282077.5473822504</x:v>
      </x:c>
      <x:c r="E1994" s="78" t="n">
        <x:f>C1994+D1994</x:f>
        <x:v>940258.4912741631</x:v>
      </x:c>
      <x:c r="F1994" s="78" t="n">
        <x:f>'Inputs'!$B$13*E1994+(1-'Inputs'!$B$13)/'Inputs'!$B$14*SUM(E1939:E1994)</x:f>
        <x:v>950476.1681366118</x:v>
      </x:c>
      <x:c r="G1994" s="78" t="n">
        <x:f>F1994*'Inputs'!$F$49</x:f>
        <x:v>855428.5513229506</x:v>
      </x:c>
      <x:c r="H1994" s="78" t="n">
        <x:f>U1993</x:f>
        <x:v>29895995141.572758</x:v>
      </x:c>
      <x:c r="I1994" s="78" t="n">
        <x:f>V1993</x:f>
        <x:v>4.003142534549614</x:v>
      </x:c>
      <x:c r="J1994" s="79" t="n">
        <x:f>IF(H1994&gt;0,I1994/H1994,0)</x:f>
        <x:v>1.3390230081295826e-10</x:v>
      </x:c>
      <x:c r="K1994" s="80" t="n">
        <x:f>(H1994*J1994+I1994)*'Inputs'!$D$49*(1+'Inputs'!$G$49)^(B1994/30)</x:f>
        <x:v>6.004713801824421</x:v>
      </x:c>
      <x:c r="L1994" s="80" t="n">
        <x:f>MAX(0,K1994*'Inputs'!$E$49)</x:f>
        <x:v>0</x:v>
      </x:c>
      <x:c r="M1994" s="80" t="n">
        <x:f>MAX(0,-K1994*'Inputs'!$E$49)</x:f>
        <x:v>0.1801414140547326</x:v>
      </x:c>
      <x:c r="N1994" s="78" t="n">
        <x:f>H1994*(L1994*(1-'Inputs'!$B$15))/(I1994+L1994*(1-'Inputs'!$B$15))</x:f>
        <x:v>0</x:v>
      </x:c>
      <x:c r="O1994" s="78" t="n">
        <x:f>H1994-N1994</x:f>
        <x:v>29895995141.572758</x:v>
      </x:c>
      <x:c r="P1994" s="78" t="n">
        <x:f>I1994+L1994*(1-'Inputs'!$B$17)</x:f>
        <x:v>4.003142534549614</x:v>
      </x:c>
      <x:c r="Q1994" s="78" t="n">
        <x:f>IF(J1994&gt;0,M1994/J1994,0)</x:f>
        <x:v>1345319781.370774</x:v>
      </x:c>
      <x:c r="R1994" s="78" t="n">
        <x:f>IF(B1994='Inputs'!$H$49,'Inputs'!$B$27*'Inputs'!$I$49,0)</x:f>
        <x:v>0</x:v>
      </x:c>
      <x:c r="S1994" s="78" t="n">
        <x:f>Q1994+G1994+R1994</x:f>
        <x:v>1346175209.922097</x:v>
      </x:c>
      <x:c r="T1994" s="78" t="n">
        <x:f>P1994*(S1994*(1-'Inputs'!$B$15))/(O1994+S1994*(1-'Inputs'!$B$15))</x:f>
        <x:v>0.17083773773087424</x:v>
      </x:c>
      <x:c r="U1994" s="78" t="n">
        <x:f>O1994+S1994*(1-'Inputs'!$B$17)</x:f>
        <x:v>31236753147.430782</x:v>
      </x:c>
      <x:c r="V1994" s="78" t="n">
        <x:f>P1994-T1994</x:f>
        <x:v>3.8323047968187396</x:v>
      </x:c>
      <x:c r="W1994" s="79" t="n">
        <x:f>IF(U1994&gt;0,V1994/U1994,0)</x:f>
        <x:v>1.2268575990376087e-10</x:v>
      </x:c>
      <x:c r="X1994" s="80" t="n">
        <x:f>W1994*('Inputs'!$B$6-AC1994)</x:f>
        <x:v>-0.1420096984961023</x:v>
      </x:c>
      <x:c r="Y1994" s="80" t="n">
        <x:f>2*V1994</x:f>
        <x:v>7.664609593637479</x:v>
      </x:c>
      <x:c r="Z1994" s="80" t="n">
        <x:f>K1994*'Inputs'!$B$16+(G1994+R1994)*J1994*'Inputs'!$B$16</x:f>
        <x:v>0.03602897007405375</x:v>
      </x:c>
      <x:c r="AA1994" s="80" t="n">
        <x:f>K1994*(1+'Inputs'!$E$49)/2*'Inputs'!$B$17</x:f>
        <x:v>0.011719461544808227</x:v>
      </x:c>
      <x:c r="AB1994" s="78" t="n">
        <x:f>(IF(J1994&gt;0,K1994*(1-'Inputs'!$E$49)/2/J1994,0)+G1994+R1994)*'Inputs'!$B$17</x:f>
        <x:v>92939684.8105283</x:v>
      </x:c>
      <x:c r="AC1994" s="78" t="n">
        <x:f>AC1993+AB1994</x:f>
        <x:v>2157507591.81424</x:v>
      </x:c>
      <x:c r="AD1994" s="80" t="n">
        <x:f>Z1994/(1+'Inputs'!$C$49)</x:f>
        <x:v>0.009007242518513437</x:v>
      </x:c>
      <x:c r="AE1994" s="80" t="n">
        <x:f>Z1994-AD1994</x:f>
        <x:v>0.02702172755554031</x:v>
      </x:c>
      <x:c r="AF1994" s="80" t="n">
        <x:f>D1994*W1994</x:f>
        <x:v>0.000034606898252380504</x:v>
      </x:c>
      <x:c r="AG1994" s="80" t="n">
        <x:f>C1994*W1994</x:f>
        <x:v>0.00008074942925555391</x:v>
      </x:c>
      <x:c r="AH1994" s="80" t="n">
        <x:f>2*'Inputs'!$B$8*'Inputs'!$C$49</x:f>
        <x:v>15000</x:v>
      </x:c>
      <x:c r="AI1994" s="81" t="n">
        <x:f>IF(AH1994&gt;0,(AE1994+AF1994)/AH1994*365,0)</x:f>
        <x:v>0.0006583708050422888</x:v>
      </x:c>
      <x:c r="AJ1994" s="81" t="n">
        <x:f>IF('Inputs'!$B$49&gt;0,AG1994/('Inputs'!$B$19*'Inputs'!$B$49)*365,0)</x:f>
        <x:v>0.0000029473541678277174</x:v>
      </x:c>
      <x:c r="AK1994" s="81" t="n">
        <x:f>W1994/MAX($W$1829:W1994)-1</x:f>
        <x:v>-0.9999998419445426</x:v>
      </x:c>
      <x:c r="AL1994" s="83" t="n">
        <x:f>'Inputs'!$B$49</x:f>
        <x:v>1</x:v>
      </x:c>
      <x:c r="AM1994" s="83" t="n">
        <x:f>'Inputs'!$C$49</x:f>
        <x:v>3</x:v>
      </x:c>
      <x:c r="AN1994" s="83" t="n">
        <x:f>'Inputs'!$D$49</x:f>
        <x:v>0.75</x:v>
      </x:c>
      <x:c r="AO1994" s="81" t="n">
        <x:f>'Inputs'!$E$49</x:f>
        <x:v>-0.03</x:v>
      </x:c>
    </x:row>
    <x:row r="1995">
      <x:c r="A1995" s="59" t="str">
        <x:v>Mercenary LP</x:v>
      </x:c>
      <x:c r="B1995" s="59" t="n">
        <x:v>167</x:v>
      </x:c>
      <x:c r="C1995" s="78" t="n">
        <x:f>(('Inputs'!$B$29*(3*167*'Inputs'!$B$12-167^2)/(2*'Inputs'!$B$12^2))-('Inputs'!$B$29*(3*166*'Inputs'!$B$12-166^2)/(2*'Inputs'!$B$12^2)))*'Inputs'!$B$49</x:f>
        <x:v>657855.8359917402</x:v>
      </x:c>
      <x:c r="D1995" s="78" t="n">
        <x:f>IF('Inputs'!$C$49&gt;0,('Inputs'!$B$30*(3*167*'Inputs'!$B$12-167^2)/(2*'Inputs'!$B$12^2))-('Inputs'!$B$30*(3*166*'Inputs'!$B$12-166^2)/(2*'Inputs'!$B$12^2)),0)</x:f>
        <x:v>281938.2154250294</x:v>
      </x:c>
      <x:c r="E1995" s="78" t="n">
        <x:f>C1995+D1995</x:f>
        <x:v>939794.0514167696</x:v>
      </x:c>
      <x:c r="F1995" s="78" t="n">
        <x:f>'Inputs'!$B$13*E1995+(1-'Inputs'!$B$13)/'Inputs'!$B$14*SUM(E1940:E1995)</x:f>
        <x:v>950011.7282792255</x:v>
      </x:c>
      <x:c r="G1995" s="78" t="n">
        <x:f>F1995*'Inputs'!$F$49</x:f>
        <x:v>855010.555451303</x:v>
      </x:c>
      <x:c r="H1995" s="78" t="n">
        <x:f>U1994</x:f>
        <x:v>31236753147.430782</x:v>
      </x:c>
      <x:c r="I1995" s="78" t="n">
        <x:f>V1994</x:f>
        <x:v>3.8323047968187396</x:v>
      </x:c>
      <x:c r="J1995" s="79" t="n">
        <x:f>IF(H1995&gt;0,I1995/H1995,0)</x:f>
        <x:v>1.2268575990376087e-10</x:v>
      </x:c>
      <x:c r="K1995" s="80" t="n">
        <x:f>(H1995*J1995+I1995)*'Inputs'!$D$49*(1+'Inputs'!$G$49)^(B1995/30)</x:f>
        <x:v>5.748457195228109</x:v>
      </x:c>
      <x:c r="L1995" s="80" t="n">
        <x:f>MAX(0,K1995*'Inputs'!$E$49)</x:f>
        <x:v>0</x:v>
      </x:c>
      <x:c r="M1995" s="80" t="n">
        <x:f>MAX(0,-K1995*'Inputs'!$E$49)</x:f>
        <x:v>0.17245371585684327</x:v>
      </x:c>
      <x:c r="N1995" s="78" t="n">
        <x:f>H1995*(L1995*(1-'Inputs'!$B$15))/(I1995+L1995*(1-'Inputs'!$B$15))</x:f>
        <x:v>0</x:v>
      </x:c>
      <x:c r="O1995" s="78" t="n">
        <x:f>H1995-N1995</x:f>
        <x:v>31236753147.430782</x:v>
      </x:c>
      <x:c r="P1995" s="78" t="n">
        <x:f>I1995+L1995*(1-'Inputs'!$B$17)</x:f>
        <x:v>3.8323047968187396</x:v>
      </x:c>
      <x:c r="Q1995" s="78" t="n">
        <x:f>IF(J1995&gt;0,M1995/J1995,0)</x:f>
        <x:v>1405653891.634385</x:v>
      </x:c>
      <x:c r="R1995" s="78" t="n">
        <x:f>IF(B1995='Inputs'!$H$49,'Inputs'!$B$27*'Inputs'!$I$49,0)</x:f>
        <x:v>0</x:v>
      </x:c>
      <x:c r="S1995" s="78" t="n">
        <x:f>Q1995+G1995+R1995</x:f>
        <x:v>1406508902.1898365</x:v>
      </x:c>
      <x:c r="T1995" s="78" t="n">
        <x:f>P1995*(S1995*(1-'Inputs'!$B$15))/(O1995+S1995*(1-'Inputs'!$B$15))</x:f>
        <x:v>0.16354276542410348</x:v>
      </x:c>
      <x:c r="U1995" s="78" t="n">
        <x:f>O1995+S1995*(1-'Inputs'!$B$17)</x:f>
        <x:v>32637602054.038364</x:v>
      </x:c>
      <x:c r="V1995" s="78" t="n">
        <x:f>P1995-T1995</x:f>
        <x:v>3.6687620313946363</x:v>
      </x:c>
      <x:c r="W1995" s="79" t="n">
        <x:f>IF(U1995&gt;0,V1995/U1995,0)</x:f>
        <x:v>1.1240905582831223e-10</x:v>
      </x:c>
      <x:c r="X1995" s="80" t="n">
        <x:f>W1995*('Inputs'!$B$6-AC1995)</x:f>
        <x:v>-0.14103011285663367</x:v>
      </x:c>
      <x:c r="Y1995" s="80" t="n">
        <x:f>2*V1995</x:f>
        <x:v>7.337524062789273</x:v>
      </x:c>
      <x:c r="Z1995" s="80" t="n">
        <x:f>K1995*'Inputs'!$B$16+(G1995+R1995)*J1995*'Inputs'!$B$16</x:f>
        <x:v>0.03449137255708699</x:v>
      </x:c>
      <x:c r="AA1995" s="80" t="n">
        <x:f>K1995*(1+'Inputs'!$E$49)/2*'Inputs'!$B$17</x:f>
        <x:v>0.011219322896119249</x:v>
      </x:c>
      <x:c r="AB1995" s="78" t="n">
        <x:f>(IF(J1995&gt;0,K1995*(1-'Inputs'!$E$49)/2/J1995,0)+G1995+R1995)*'Inputs'!$B$17</x:f>
        <x:v>97107633.06618</x:v>
      </x:c>
      <x:c r="AC1995" s="78" t="n">
        <x:f>AC1994+AB1995</x:f>
        <x:v>2254615224.88042</x:v>
      </x:c>
      <x:c r="AD1995" s="80" t="n">
        <x:f>Z1995/(1+'Inputs'!$C$49)</x:f>
        <x:v>0.008622843139271747</x:v>
      </x:c>
      <x:c r="AE1995" s="80" t="n">
        <x:f>Z1995-AD1995</x:f>
        <x:v>0.025868529417815242</x:v>
      </x:c>
      <x:c r="AF1995" s="80" t="n">
        <x:f>D1995*W1995</x:f>
        <x:v>0.00003169240859784685</x:v>
      </x:c>
      <x:c r="AG1995" s="80" t="n">
        <x:f>C1995*W1995</x:f>
        <x:v>0.00007394895339497654</x:v>
      </x:c>
      <x:c r="AH1995" s="80" t="n">
        <x:f>2*'Inputs'!$B$8*'Inputs'!$C$49</x:f>
        <x:v>15000</x:v>
      </x:c>
      <x:c r="AI1995" s="81" t="n">
        <x:f>IF(AH1995&gt;0,(AE1995+AF1995)/AH1995*365,0)</x:f>
        <x:v>0.0006302387311093851</x:v>
      </x:c>
      <x:c r="AJ1995" s="81" t="n">
        <x:f>IF('Inputs'!$B$49&gt;0,AG1995/('Inputs'!$B$19*'Inputs'!$B$49)*365,0)</x:f>
        <x:v>0.0000026991367989166434</x:v>
      </x:c>
      <x:c r="AK1995" s="81" t="n">
        <x:f>W1995/MAX($W$1829:W1995)-1</x:f>
        <x:v>-0.9999998551839696</x:v>
      </x:c>
      <x:c r="AL1995" s="83" t="n">
        <x:f>'Inputs'!$B$49</x:f>
        <x:v>1</x:v>
      </x:c>
      <x:c r="AM1995" s="83" t="n">
        <x:f>'Inputs'!$C$49</x:f>
        <x:v>3</x:v>
      </x:c>
      <x:c r="AN1995" s="83" t="n">
        <x:f>'Inputs'!$D$49</x:f>
        <x:v>0.75</x:v>
      </x:c>
      <x:c r="AO1995" s="81" t="n">
        <x:f>'Inputs'!$E$49</x:f>
        <x:v>-0.03</x:v>
      </x:c>
    </x:row>
    <x:row r="1996">
      <x:c r="A1996" s="59" t="str">
        <x:v>Mercenary LP</x:v>
      </x:c>
      <x:c r="B1996" s="59" t="n">
        <x:v>168</x:v>
      </x:c>
      <x:c r="C1996" s="78" t="n">
        <x:f>(('Inputs'!$B$29*(3*168*'Inputs'!$B$12-168^2)/(2*'Inputs'!$B$12^2))-('Inputs'!$B$29*(3*167*'Inputs'!$B$12-167^2)/(2*'Inputs'!$B$12^2)))*'Inputs'!$B$49</x:f>
        <x:v>657530.7280915678</x:v>
      </x:c>
      <x:c r="D1996" s="78" t="n">
        <x:f>IF('Inputs'!$C$49&gt;0,('Inputs'!$B$30*(3*168*'Inputs'!$B$12-168^2)/(2*'Inputs'!$B$12^2))-('Inputs'!$B$30*(3*167*'Inputs'!$B$12-167^2)/(2*'Inputs'!$B$12^2)),0)</x:f>
        <x:v>281798.88346782327</x:v>
      </x:c>
      <x:c r="E1996" s="78" t="n">
        <x:f>C1996+D1996</x:f>
        <x:v>939329.611559391</x:v>
      </x:c>
      <x:c r="F1996" s="78" t="n">
        <x:f>'Inputs'!$B$13*E1996+(1-'Inputs'!$B$13)/'Inputs'!$B$14*SUM(E1941:E1996)</x:f>
        <x:v>949547.2884218425</x:v>
      </x:c>
      <x:c r="G1996" s="78" t="n">
        <x:f>F1996*'Inputs'!$F$49</x:f>
        <x:v>854592.5595796583</x:v>
      </x:c>
      <x:c r="H1996" s="78" t="n">
        <x:f>U1995</x:f>
        <x:v>32637602054.038364</x:v>
      </x:c>
      <x:c r="I1996" s="78" t="n">
        <x:f>V1995</x:f>
        <x:v>3.6687620313946363</x:v>
      </x:c>
      <x:c r="J1996" s="79" t="n">
        <x:f>IF(H1996&gt;0,I1996/H1996,0)</x:f>
        <x:v>1.1240905582831223e-10</x:v>
      </x:c>
      <x:c r="K1996" s="80" t="n">
        <x:f>(H1996*J1996+I1996)*'Inputs'!$D$49*(1+'Inputs'!$G$49)^(B1996/30)</x:f>
        <x:v>5.503143047091955</x:v>
      </x:c>
      <x:c r="L1996" s="80" t="n">
        <x:f>MAX(0,K1996*'Inputs'!$E$49)</x:f>
        <x:v>0</x:v>
      </x:c>
      <x:c r="M1996" s="80" t="n">
        <x:f>MAX(0,-K1996*'Inputs'!$E$49)</x:f>
        <x:v>0.16509429141275864</x:v>
      </x:c>
      <x:c r="N1996" s="78" t="n">
        <x:f>H1996*(L1996*(1-'Inputs'!$B$15))/(I1996+L1996*(1-'Inputs'!$B$15))</x:f>
        <x:v>0</x:v>
      </x:c>
      <x:c r="O1996" s="78" t="n">
        <x:f>H1996-N1996</x:f>
        <x:v>32637602054.038364</x:v>
      </x:c>
      <x:c r="P1996" s="78" t="n">
        <x:f>I1996+L1996*(1-'Inputs'!$B$17)</x:f>
        <x:v>3.6687620313946363</x:v>
      </x:c>
      <x:c r="Q1996" s="78" t="n">
        <x:f>IF(J1996&gt;0,M1996/J1996,0)</x:f>
        <x:v>1468692092.4317265</x:v>
      </x:c>
      <x:c r="R1996" s="78" t="n">
        <x:f>IF(B1996='Inputs'!$H$49,'Inputs'!$B$27*'Inputs'!$I$49,0)</x:f>
        <x:v>0</x:v>
      </x:c>
      <x:c r="S1996" s="78" t="n">
        <x:f>Q1996+G1996+R1996</x:f>
        <x:v>1469546684.991306</x:v>
      </x:c>
      <x:c r="T1996" s="78" t="n">
        <x:f>P1996*(S1996*(1-'Inputs'!$B$15))/(O1996+S1996*(1-'Inputs'!$B$15))</x:f>
        <x:v>0.1565596605158628</x:v>
      </x:c>
      <x:c r="U1996" s="78" t="n">
        <x:f>O1996+S1996*(1-'Inputs'!$B$17)</x:f>
        <x:v>34101235070.27719</x:v>
      </x:c>
      <x:c r="V1996" s="78" t="n">
        <x:f>P1996-T1996</x:f>
        <x:v>3.5122023708787733</x:v>
      </x:c>
      <x:c r="W1996" s="79" t="n">
        <x:f>IF(U1996&gt;0,V1996/U1996,0)</x:f>
        <x:v>1.0299340665054171e-10</x:v>
      </x:c>
      <x:c r="X1996" s="80" t="n">
        <x:f>W1996*('Inputs'!$B$6-AC1996)</x:f>
        <x:v>-0.1396670525196987</x:v>
      </x:c>
      <x:c r="Y1996" s="80" t="n">
        <x:f>2*V1996</x:f>
        <x:v>7.024404741757547</x:v>
      </x:c>
      <x:c r="Z1996" s="80" t="n">
        <x:f>K1996*'Inputs'!$B$16+(G1996+R1996)*J1996*'Inputs'!$B$16</x:f>
        <x:v>0.03301943466620817</x:v>
      </x:c>
      <x:c r="AA1996" s="80" t="n">
        <x:f>K1996*(1+'Inputs'!$E$49)/2*'Inputs'!$B$17</x:f>
        <x:v>0.010740540755893755</x:v>
      </x:c>
      <x:c r="AB1996" s="78" t="n">
        <x:f>(IF(J1996&gt;0,K1996*(1-'Inputs'!$E$49)/2/J1996,0)+G1996+R1996)*'Inputs'!$B$17</x:f>
        <x:v>101462383.01530872</x:v>
      </x:c>
      <x:c r="AC1996" s="78" t="n">
        <x:f>AC1995+AB1996</x:f>
        <x:v>2356077607.895729</x:v>
      </x:c>
      <x:c r="AD1996" s="80" t="n">
        <x:f>Z1996/(1+'Inputs'!$C$49)</x:f>
        <x:v>0.008254858666552043</x:v>
      </x:c>
      <x:c r="AE1996" s="80" t="n">
        <x:f>Z1996-AD1996</x:f>
        <x:v>0.02476457599965613</x:v>
      </x:c>
      <x:c r="AF1996" s="80" t="n">
        <x:f>D1996*W1996</x:f>
        <x:v>0.00002902342699867014</x:v>
      </x:c>
      <x:c r="AG1996" s="80" t="n">
        <x:f>C1996*W1996</x:f>
        <x:v>0.00006772132966356161</x:v>
      </x:c>
      <x:c r="AH1996" s="80" t="n">
        <x:f>2*'Inputs'!$B$8*'Inputs'!$C$49</x:f>
        <x:v>15000</x:v>
      </x:c>
      <x:c r="AI1996" s="81" t="n">
        <x:f>IF(AH1996&gt;0,(AE1996+AF1996)/AH1996*365,0)</x:f>
        <x:v>0.0006033109193819335</x:v>
      </x:c>
      <x:c r="AJ1996" s="81" t="n">
        <x:f>IF('Inputs'!$B$49&gt;0,AG1996/('Inputs'!$B$19*'Inputs'!$B$49)*365,0)</x:f>
        <x:v>0.0000024718285327199987</x:v>
      </x:c>
      <x:c r="AK1996" s="81" t="n">
        <x:f>W1996/MAX($W$1829:W1996)-1</x:f>
        <x:v>-0.9999998673141038</x:v>
      </x:c>
      <x:c r="AL1996" s="83" t="n">
        <x:f>'Inputs'!$B$49</x:f>
        <x:v>1</x:v>
      </x:c>
      <x:c r="AM1996" s="83" t="n">
        <x:f>'Inputs'!$C$49</x:f>
        <x:v>3</x:v>
      </x:c>
      <x:c r="AN1996" s="83" t="n">
        <x:f>'Inputs'!$D$49</x:f>
        <x:v>0.75</x:v>
      </x:c>
      <x:c r="AO1996" s="81" t="n">
        <x:f>'Inputs'!$E$49</x:f>
        <x:v>-0.03</x:v>
      </x:c>
    </x:row>
    <x:row r="1997">
      <x:c r="A1997" s="59" t="str">
        <x:v>Mercenary LP</x:v>
      </x:c>
      <x:c r="B1997" s="59" t="n">
        <x:v>169</x:v>
      </x:c>
      <x:c r="C1997" s="78" t="n">
        <x:f>(('Inputs'!$B$29*(3*169*'Inputs'!$B$12-169^2)/(2*'Inputs'!$B$12^2))-('Inputs'!$B$29*(3*168*'Inputs'!$B$12-168^2)/(2*'Inputs'!$B$12^2)))*'Inputs'!$B$49</x:f>
        <x:v>657205.6201914102</x:v>
      </x:c>
      <x:c r="D1997" s="78" t="n">
        <x:f>IF('Inputs'!$C$49&gt;0,('Inputs'!$B$30*(3*169*'Inputs'!$B$12-169^2)/(2*'Inputs'!$B$12^2))-('Inputs'!$B$30*(3*168*'Inputs'!$B$12-168^2)/(2*'Inputs'!$B$12^2)),0)</x:f>
        <x:v>281659.55151060224</x:v>
      </x:c>
      <x:c r="E1997" s="78" t="n">
        <x:f>C1997+D1997</x:f>
        <x:v>938865.1717020124</x:v>
      </x:c>
      <x:c r="F1997" s="78" t="n">
        <x:f>'Inputs'!$B$13*E1997+(1-'Inputs'!$B$13)/'Inputs'!$B$14*SUM(E1942:E1997)</x:f>
        <x:v>949082.8485644596</x:v>
      </x:c>
      <x:c r="G1997" s="78" t="n">
        <x:f>F1997*'Inputs'!$F$49</x:f>
        <x:v>854174.5637080136</x:v>
      </x:c>
      <x:c r="H1997" s="78" t="n">
        <x:f>U1996</x:f>
        <x:v>34101235070.27719</x:v>
      </x:c>
      <x:c r="I1997" s="78" t="n">
        <x:f>V1996</x:f>
        <x:v>3.5122023708787733</x:v>
      </x:c>
      <x:c r="J1997" s="79" t="n">
        <x:f>IF(H1997&gt;0,I1997/H1997,0)</x:f>
        <x:v>1.0299340665054171e-10</x:v>
      </x:c>
      <x:c r="K1997" s="80" t="n">
        <x:f>(H1997*J1997+I1997)*'Inputs'!$D$49*(1+'Inputs'!$G$49)^(B1997/30)</x:f>
        <x:v>5.26830355631816</x:v>
      </x:c>
      <x:c r="L1997" s="80" t="n">
        <x:f>MAX(0,K1997*'Inputs'!$E$49)</x:f>
        <x:v>0</x:v>
      </x:c>
      <x:c r="M1997" s="80" t="n">
        <x:f>MAX(0,-K1997*'Inputs'!$E$49)</x:f>
        <x:v>0.1580491066895448</x:v>
      </x:c>
      <x:c r="N1997" s="78" t="n">
        <x:f>H1997*(L1997*(1-'Inputs'!$B$15))/(I1997+L1997*(1-'Inputs'!$B$15))</x:f>
        <x:v>0</x:v>
      </x:c>
      <x:c r="O1997" s="78" t="n">
        <x:f>H1997-N1997</x:f>
        <x:v>34101235070.27719</x:v>
      </x:c>
      <x:c r="P1997" s="78" t="n">
        <x:f>I1997+L1997*(1-'Inputs'!$B$17)</x:f>
        <x:v>3.5122023708787733</x:v>
      </x:c>
      <x:c r="Q1997" s="78" t="n">
        <x:f>IF(J1997&gt;0,M1997/J1997,0)</x:f>
        <x:v>1534555578.1624737</x:v>
      </x:c>
      <x:c r="R1997" s="78" t="n">
        <x:f>IF(B1997='Inputs'!$H$49,'Inputs'!$B$27*'Inputs'!$I$49,0)</x:f>
        <x:v>0</x:v>
      </x:c>
      <x:c r="S1997" s="78" t="n">
        <x:f>Q1997+G1997+R1997</x:f>
        <x:v>1535409752.7261817</x:v>
      </x:c>
      <x:c r="T1997" s="78" t="n">
        <x:f>P1997*(S1997*(1-'Inputs'!$B$15))/(O1997+S1997*(1-'Inputs'!$B$15))</x:f>
        <x:v>0.14987505975574042</x:v>
      </x:c>
      <x:c r="U1997" s="78" t="n">
        <x:f>O1997+S1997*(1-'Inputs'!$B$17)</x:f>
        <x:v>35630466111.7248</x:v>
      </x:c>
      <x:c r="V1997" s="78" t="n">
        <x:f>P1997-T1997</x:f>
        <x:v>3.3623273111230327</x:v>
      </x:c>
      <x:c r="W1997" s="79" t="n">
        <x:f>IF(U1997&gt;0,V1997/U1997,0)</x:f>
        <x:v>9.436663838693378e-11</x:v>
      </x:c>
      <x:c r="X1997" s="80" t="n">
        <x:f>W1997*('Inputs'!$B$6-AC1997)</x:f>
        <x:v>-0.13797251027935806</x:v>
      </x:c>
      <x:c r="Y1997" s="80" t="n">
        <x:f>2*V1997</x:f>
        <x:v>6.7246546222460655</x:v>
      </x:c>
      <x:c r="Z1997" s="80" t="n">
        <x:f>K1997*'Inputs'!$B$16+(G1997+R1997)*J1997*'Inputs'!$B$16</x:f>
        <x:v>0.031610349183998104</x:v>
      </x:c>
      <x:c r="AA1997" s="80" t="n">
        <x:f>K1997*(1+'Inputs'!$E$49)/2*'Inputs'!$B$17</x:f>
        <x:v>0.010282202111928804</x:v>
      </x:c>
      <x:c r="AB1997" s="78" t="n">
        <x:f>(IF(J1997&gt;0,K1997*(1-'Inputs'!$E$49)/2/J1997,0)+G1997+R1997)*'Inputs'!$B$17</x:f>
        <x:v>106012306.9068525</x:v>
      </x:c>
      <x:c r="AC1997" s="78" t="n">
        <x:f>AC1996+AB1997</x:f>
        <x:v>2462089914.802582</x:v>
      </x:c>
      <x:c r="AD1997" s="80" t="n">
        <x:f>Z1997/(1+'Inputs'!$C$49)</x:f>
        <x:v>0.007902587295999526</x:v>
      </x:c>
      <x:c r="AE1997" s="80" t="n">
        <x:f>Z1997-AD1997</x:f>
        <x:v>0.023707761887998578</x:v>
      </x:c>
      <x:c r="AF1997" s="80" t="n">
        <x:f>D1997*W1997</x:f>
        <x:v>0.00002657926504562695</x:v>
      </x:c>
      <x:c r="AG1997" s="80" t="n">
        <x:f>C1997*W1997</x:f>
        <x:v>0.00006201828510646336</x:v>
      </x:c>
      <x:c r="AH1997" s="80" t="n">
        <x:f>2*'Inputs'!$B$8*'Inputs'!$C$49</x:f>
        <x:v>15000</x:v>
      </x:c>
      <x:c r="AI1997" s="81" t="n">
        <x:f>IF(AH1997&gt;0,(AE1997+AF1997)/AH1997*365,0)</x:f>
        <x:v>0.0005775356347240756</x:v>
      </x:c>
      <x:c r="AJ1997" s="81" t="n">
        <x:f>IF('Inputs'!$B$49&gt;0,AG1997/('Inputs'!$B$19*'Inputs'!$B$49)*365,0)</x:f>
        <x:v>0.0000022636674063859126</x:v>
      </x:c>
      <x:c r="AK1997" s="81" t="n">
        <x:f>W1997/MAX($W$1829:W1997)-1</x:f>
        <x:v>-0.9999998784279267</x:v>
      </x:c>
      <x:c r="AL1997" s="83" t="n">
        <x:f>'Inputs'!$B$49</x:f>
        <x:v>1</x:v>
      </x:c>
      <x:c r="AM1997" s="83" t="n">
        <x:f>'Inputs'!$C$49</x:f>
        <x:v>3</x:v>
      </x:c>
      <x:c r="AN1997" s="83" t="n">
        <x:f>'Inputs'!$D$49</x:f>
        <x:v>0.75</x:v>
      </x:c>
      <x:c r="AO1997" s="81" t="n">
        <x:f>'Inputs'!$E$49</x:f>
        <x:v>-0.03</x:v>
      </x:c>
    </x:row>
    <x:row r="1998">
      <x:c r="A1998" s="59" t="str">
        <x:v>Mercenary LP</x:v>
      </x:c>
      <x:c r="B1998" s="59" t="n">
        <x:v>170</x:v>
      </x:c>
      <x:c r="C1998" s="78" t="n">
        <x:f>(('Inputs'!$B$29*(3*170*'Inputs'!$B$12-170^2)/(2*'Inputs'!$B$12^2))-('Inputs'!$B$29*(3*169*'Inputs'!$B$12-169^2)/(2*'Inputs'!$B$12^2)))*'Inputs'!$B$49</x:f>
        <x:v>656880.5122912377</x:v>
      </x:c>
      <x:c r="D1998" s="78" t="n">
        <x:f>IF('Inputs'!$C$49&gt;0,('Inputs'!$B$30*(3*170*'Inputs'!$B$12-170^2)/(2*'Inputs'!$B$12^2))-('Inputs'!$B$30*(3*169*'Inputs'!$B$12-169^2)/(2*'Inputs'!$B$12^2)),0)</x:f>
        <x:v>281520.2195533812</x:v>
      </x:c>
      <x:c r="E1998" s="78" t="n">
        <x:f>C1998+D1998</x:f>
        <x:v>938400.7318446189</x:v>
      </x:c>
      <x:c r="F1998" s="78" t="n">
        <x:f>'Inputs'!$B$13*E1998+(1-'Inputs'!$B$13)/'Inputs'!$B$14*SUM(E1943:E1998)</x:f>
        <x:v>948618.4087070738</x:v>
      </x:c>
      <x:c r="G1998" s="78" t="n">
        <x:f>F1998*'Inputs'!$F$49</x:f>
        <x:v>853756.5678363664</x:v>
      </x:c>
      <x:c r="H1998" s="78" t="n">
        <x:f>U1997</x:f>
        <x:v>35630466111.7248</x:v>
      </x:c>
      <x:c r="I1998" s="78" t="n">
        <x:f>V1997</x:f>
        <x:v>3.3623273111230327</x:v>
      </x:c>
      <x:c r="J1998" s="79" t="n">
        <x:f>IF(H1998&gt;0,I1998/H1998,0)</x:f>
        <x:v>9.436663838693378e-11</x:v>
      </x:c>
      <x:c r="K1998" s="80" t="n">
        <x:f>(H1998*J1998+I1998)*'Inputs'!$D$49*(1+'Inputs'!$G$49)^(B1998/30)</x:f>
        <x:v>5.0434909666845495</x:v>
      </x:c>
      <x:c r="L1998" s="80" t="n">
        <x:f>MAX(0,K1998*'Inputs'!$E$49)</x:f>
        <x:v>0</x:v>
      </x:c>
      <x:c r="M1998" s="80" t="n">
        <x:f>MAX(0,-K1998*'Inputs'!$E$49)</x:f>
        <x:v>0.1513047290005365</x:v>
      </x:c>
      <x:c r="N1998" s="78" t="n">
        <x:f>H1998*(L1998*(1-'Inputs'!$B$15))/(I1998+L1998*(1-'Inputs'!$B$15))</x:f>
        <x:v>0</x:v>
      </x:c>
      <x:c r="O1998" s="78" t="n">
        <x:f>H1998-N1998</x:f>
        <x:v>35630466111.7248</x:v>
      </x:c>
      <x:c r="P1998" s="78" t="n">
        <x:f>I1998+L1998*(1-'Inputs'!$B$17)</x:f>
        <x:v>3.3623273111230327</x:v>
      </x:c>
      <x:c r="Q1998" s="78" t="n">
        <x:f>IF(J1998&gt;0,M1998/J1998,0)</x:f>
        <x:v>1603370975.027616</x:v>
      </x:c>
      <x:c r="R1998" s="78" t="n">
        <x:f>IF(B1998='Inputs'!$H$49,'Inputs'!$B$27*'Inputs'!$I$49,0)</x:f>
        <x:v>0</x:v>
      </x:c>
      <x:c r="S1998" s="78" t="n">
        <x:f>Q1998+G1998+R1998</x:f>
        <x:v>1604224731.5954523</x:v>
      </x:c>
      <x:c r="T1998" s="78" t="n">
        <x:f>P1998*(S1998*(1-'Inputs'!$B$15))/(O1998+S1998*(1-'Inputs'!$B$15))</x:f>
        <x:v>0.14347617507298402</x:v>
      </x:c>
      <x:c r="U1998" s="78" t="n">
        <x:f>O1998+S1998*(1-'Inputs'!$B$17)</x:f>
        <x:v>37228235210.597534</x:v>
      </x:c>
      <x:c r="V1998" s="78" t="n">
        <x:f>P1998-T1998</x:f>
        <x:v>3.218851136050049</x:v>
      </x:c>
      <x:c r="W1998" s="79" t="n">
        <x:f>IF(U1998&gt;0,V1998/U1998,0)</x:f>
        <x:v>8.646263025473091e-11</x:v>
      </x:c>
      <x:c r="X1998" s="80" t="n">
        <x:f>W1998*('Inputs'!$B$6-AC1998)</x:f>
        <x:v>-0.13599327256730312</x:v>
      </x:c>
      <x:c r="Y1998" s="80" t="n">
        <x:f>2*V1998</x:f>
        <x:v>6.437702272100098</x:v>
      </x:c>
      <x:c r="Z1998" s="80" t="n">
        <x:f>K1998*'Inputs'!$B$16+(G1998+R1998)*J1998*'Inputs'!$B$16</x:f>
        <x:v>0.03026142919693114</x:v>
      </x:c>
      <x:c r="AA1998" s="80" t="n">
        <x:f>K1998*(1+'Inputs'!$E$49)/2*'Inputs'!$B$17</x:f>
        <x:v>0.009843433073810892</x:v>
      </x:c>
      <x:c r="AB1998" s="78" t="n">
        <x:f>(IF(J1998&gt;0,K1998*(1-'Inputs'!$E$49)/2/J1998,0)+G1998+R1998)*'Inputs'!$B$17</x:f>
        <x:v>110766152.2248501</x:v>
      </x:c>
      <x:c r="AC1998" s="78" t="n">
        <x:f>AC1997+AB1998</x:f>
        <x:v>2572856067.027432</x:v>
      </x:c>
      <x:c r="AD1998" s="80" t="n">
        <x:f>Z1998/(1+'Inputs'!$C$49)</x:f>
        <x:v>0.007565357299232785</x:v>
      </x:c>
      <x:c r="AE1998" s="80" t="n">
        <x:f>Z1998-AD1998</x:f>
        <x:v>0.022696071897698355</x:v>
      </x:c>
      <x:c r="AF1998" s="80" t="n">
        <x:f>D1998*W1998</x:f>
        <x:v>0.000024340978652474666</x:v>
      </x:c>
      <x:c r="AG1998" s="80" t="n">
        <x:f>C1998*W1998</x:f>
        <x:v>0.00005679561685577551</x:v>
      </x:c>
      <x:c r="AH1998" s="80" t="n">
        <x:f>2*'Inputs'!$B$8*'Inputs'!$C$49</x:f>
        <x:v>15000</x:v>
      </x:c>
      <x:c r="AI1998" s="81" t="n">
        <x:f>IF(AH1998&gt;0,(AE1998+AF1998)/AH1998*365,0)</x:f>
        <x:v>0.0005528633799912036</x:v>
      </x:c>
      <x:c r="AJ1998" s="81" t="n">
        <x:f>IF('Inputs'!$B$49&gt;0,AG1998/('Inputs'!$B$19*'Inputs'!$B$49)*365,0)</x:f>
        <x:v>0.0000020730400152358062</x:v>
      </x:c>
      <x:c r="AK1998" s="81" t="n">
        <x:f>W1998/MAX($W$1829:W1998)-1</x:f>
        <x:v>-0.9999998886106213</x:v>
      </x:c>
      <x:c r="AL1998" s="83" t="n">
        <x:f>'Inputs'!$B$49</x:f>
        <x:v>1</x:v>
      </x:c>
      <x:c r="AM1998" s="83" t="n">
        <x:f>'Inputs'!$C$49</x:f>
        <x:v>3</x:v>
      </x:c>
      <x:c r="AN1998" s="83" t="n">
        <x:f>'Inputs'!$D$49</x:f>
        <x:v>0.75</x:v>
      </x:c>
      <x:c r="AO1998" s="81" t="n">
        <x:f>'Inputs'!$E$49</x:f>
        <x:v>-0.03</x:v>
      </x:c>
    </x:row>
    <x:row r="1999">
      <x:c r="A1999" s="59" t="str">
        <x:v>Mercenary LP</x:v>
      </x:c>
      <x:c r="B1999" s="59" t="n">
        <x:v>171</x:v>
      </x:c>
      <x:c r="C1999" s="78" t="n">
        <x:f>(('Inputs'!$B$29*(3*171*'Inputs'!$B$12-171^2)/(2*'Inputs'!$B$12^2))-('Inputs'!$B$29*(3*170*'Inputs'!$B$12-170^2)/(2*'Inputs'!$B$12^2)))*'Inputs'!$B$49</x:f>
        <x:v>656555.4043910652</x:v>
      </x:c>
      <x:c r="D1999" s="78" t="n">
        <x:f>IF('Inputs'!$C$49&gt;0,('Inputs'!$B$30*(3*171*'Inputs'!$B$12-171^2)/(2*'Inputs'!$B$12^2))-('Inputs'!$B$30*(3*170*'Inputs'!$B$12-170^2)/(2*'Inputs'!$B$12^2)),0)</x:f>
        <x:v>281380.8875961751</x:v>
      </x:c>
      <x:c r="E1999" s="78" t="n">
        <x:f>C1999+D1999</x:f>
        <x:v>937936.2919872403</x:v>
      </x:c>
      <x:c r="F1999" s="78" t="n">
        <x:f>'Inputs'!$B$13*E1999+(1-'Inputs'!$B$13)/'Inputs'!$B$14*SUM(E1944:E1999)</x:f>
        <x:v>948153.9688496906</x:v>
      </x:c>
      <x:c r="G1999" s="78" t="n">
        <x:f>F1999*'Inputs'!$F$49</x:f>
        <x:v>853338.5719647215</x:v>
      </x:c>
      <x:c r="H1999" s="78" t="n">
        <x:f>U1998</x:f>
        <x:v>37228235210.597534</x:v>
      </x:c>
      <x:c r="I1999" s="78" t="n">
        <x:f>V1998</x:f>
        <x:v>3.218851136050049</x:v>
      </x:c>
      <x:c r="J1999" s="79" t="n">
        <x:f>IF(H1999&gt;0,I1999/H1999,0)</x:f>
        <x:v>8.646263025473091e-11</x:v>
      </x:c>
      <x:c r="K1999" s="80" t="n">
        <x:f>(H1999*J1999+I1999)*'Inputs'!$D$49*(1+'Inputs'!$G$49)^(B1999/30)</x:f>
        <x:v>4.828276704075074</x:v>
      </x:c>
      <x:c r="L1999" s="80" t="n">
        <x:f>MAX(0,K1999*'Inputs'!$E$49)</x:f>
        <x:v>0</x:v>
      </x:c>
      <x:c r="M1999" s="80" t="n">
        <x:f>MAX(0,-K1999*'Inputs'!$E$49)</x:f>
        <x:v>0.1448483011222522</x:v>
      </x:c>
      <x:c r="N1999" s="78" t="n">
        <x:f>H1999*(L1999*(1-'Inputs'!$B$15))/(I1999+L1999*(1-'Inputs'!$B$15))</x:f>
        <x:v>0</x:v>
      </x:c>
      <x:c r="O1999" s="78" t="n">
        <x:f>H1999-N1999</x:f>
        <x:v>37228235210.597534</x:v>
      </x:c>
      <x:c r="P1999" s="78" t="n">
        <x:f>I1999+L1999*(1-'Inputs'!$B$17)</x:f>
        <x:v>3.218851136050049</x:v>
      </x:c>
      <x:c r="Q1999" s="78" t="n">
        <x:f>IF(J1999&gt;0,M1999/J1999,0)</x:f>
        <x:v>1675270584.476889</x:v>
      </x:c>
      <x:c r="R1999" s="78" t="n">
        <x:f>IF(B1999='Inputs'!$H$49,'Inputs'!$B$27*'Inputs'!$I$49,0)</x:f>
        <x:v>0</x:v>
      </x:c>
      <x:c r="S1999" s="78" t="n">
        <x:f>Q1999+G1999+R1999</x:f>
        <x:v>1676123923.0488536</x:v>
      </x:c>
      <x:c r="T1999" s="78" t="n">
        <x:f>P1999*(S1999*(1-'Inputs'!$B$15))/(O1999+S1999*(1-'Inputs'!$B$15))</x:f>
        <x:v>0.13735076860313822</x:v>
      </x:c>
      <x:c r="U1999" s="78" t="n">
        <x:f>O1999+S1999*(1-'Inputs'!$B$17)</x:f>
        <x:v>38897614168.161285</x:v>
      </x:c>
      <x:c r="V1999" s="78" t="n">
        <x:f>P1999-T1999</x:f>
        <x:v>3.081500367446911</x:v>
      </x:c>
      <x:c r="W1999" s="79" t="n">
        <x:f>IF(U1999&gt;0,V1999/U1999,0)</x:f>
        <x:v>7.922080655448527e-11</x:v>
      </x:c>
      <x:c r="X1999" s="80" t="n">
        <x:f>W1999*('Inputs'!$B$6-AC1999)</x:f>
        <x:v>-0.13377139246389705</x:v>
      </x:c>
      <x:c r="Y1999" s="80" t="n">
        <x:f>2*V1999</x:f>
        <x:v>6.163000734893822</x:v>
      </x:c>
      <x:c r="Z1999" s="80" t="n">
        <x:f>K1999*'Inputs'!$B$16+(G1999+R1999)*J1999*'Inputs'!$B$16</x:f>
        <x:v>0.02897010291583502</x:v>
      </x:c>
      <x:c r="AA1999" s="80" t="n">
        <x:f>K1999*(1+'Inputs'!$E$49)/2*'Inputs'!$B$17</x:f>
        <x:v>0.009423397189039883</x:v>
      </x:c>
      <x:c r="AB1999" s="78" t="n">
        <x:f>(IF(J1999&gt;0,K1999*(1-'Inputs'!$E$49)/2/J1999,0)+G1999+R1999)*'Inputs'!$B$17</x:f>
        <x:v>115733058.50607067</x:v>
      </x:c>
      <x:c r="AC1999" s="78" t="n">
        <x:f>AC1998+AB1999</x:f>
        <x:v>2688589125.5335026</x:v>
      </x:c>
      <x:c r="AD1999" s="80" t="n">
        <x:f>Z1999/(1+'Inputs'!$C$49)</x:f>
        <x:v>0.007242525728958755</x:v>
      </x:c>
      <x:c r="AE1999" s="80" t="n">
        <x:f>Z1999-AD1999</x:f>
        <x:v>0.021727577186876266</x:v>
      </x:c>
      <x:c r="AF1999" s="80" t="n">
        <x:f>D1999*W1999</x:f>
        <x:v>0.00002229122086438595</x:v>
      </x:c>
      <x:c r="AG1999" s="80" t="n">
        <x:f>C1999*W1999</x:f>
        <x:v>0.000052012848683566426</x:v>
      </x:c>
      <x:c r="AH1999" s="80" t="n">
        <x:f>2*'Inputs'!$B$8*'Inputs'!$C$49</x:f>
        <x:v>15000</x:v>
      </x:c>
      <x:c r="AI1999" s="81" t="n">
        <x:f>IF(AH1999&gt;0,(AE1999+AF1999)/AH1999*365,0)</x:f>
        <x:v>0.0005292467979216893</x:v>
      </x:c>
      <x:c r="AJ1999" s="81" t="n">
        <x:f>IF('Inputs'!$B$49&gt;0,AG1999/('Inputs'!$B$19*'Inputs'!$B$49)*365,0)</x:f>
        <x:v>0.0000018984689769501747</x:v>
      </x:c>
      <x:c r="AK1999" s="81" t="n">
        <x:f>W1999/MAX($W$1829:W1999)-1</x:f>
        <x:v>-0.9999998979402269</x:v>
      </x:c>
      <x:c r="AL1999" s="83" t="n">
        <x:f>'Inputs'!$B$49</x:f>
        <x:v>1</x:v>
      </x:c>
      <x:c r="AM1999" s="83" t="n">
        <x:f>'Inputs'!$C$49</x:f>
        <x:v>3</x:v>
      </x:c>
      <x:c r="AN1999" s="83" t="n">
        <x:f>'Inputs'!$D$49</x:f>
        <x:v>0.75</x:v>
      </x:c>
      <x:c r="AO1999" s="81" t="n">
        <x:f>'Inputs'!$E$49</x:f>
        <x:v>-0.03</x:v>
      </x:c>
    </x:row>
    <x:row r="2000">
      <x:c r="A2000" s="59" t="str">
        <x:v>Mercenary LP</x:v>
      </x:c>
      <x:c r="B2000" s="59" t="n">
        <x:v>172</x:v>
      </x:c>
      <x:c r="C2000" s="78" t="n">
        <x:f>(('Inputs'!$B$29*(3*172*'Inputs'!$B$12-172^2)/(2*'Inputs'!$B$12^2))-('Inputs'!$B$29*(3*171*'Inputs'!$B$12-171^2)/(2*'Inputs'!$B$12^2)))*'Inputs'!$B$49</x:f>
        <x:v>656230.2964908928</x:v>
      </x:c>
      <x:c r="D2000" s="78" t="n">
        <x:f>IF('Inputs'!$C$49&gt;0,('Inputs'!$B$30*(3*172*'Inputs'!$B$12-172^2)/(2*'Inputs'!$B$12^2))-('Inputs'!$B$30*(3*171*'Inputs'!$B$12-171^2)/(2*'Inputs'!$B$12^2)),0)</x:f>
        <x:v>281241.55563895404</x:v>
      </x:c>
      <x:c r="E2000" s="78" t="n">
        <x:f>C2000+D2000</x:f>
        <x:v>937471.8521298468</x:v>
      </x:c>
      <x:c r="F2000" s="78" t="n">
        <x:f>'Inputs'!$B$13*E2000+(1-'Inputs'!$B$13)/'Inputs'!$B$14*SUM(E1945:E2000)</x:f>
        <x:v>947689.5289923045</x:v>
      </x:c>
      <x:c r="G2000" s="78" t="n">
        <x:f>F2000*'Inputs'!$F$49</x:f>
        <x:v>852920.576093074</x:v>
      </x:c>
      <x:c r="H2000" s="78" t="n">
        <x:f>U1999</x:f>
        <x:v>38897614168.161285</x:v>
      </x:c>
      <x:c r="I2000" s="78" t="n">
        <x:f>V1999</x:f>
        <x:v>3.081500367446911</x:v>
      </x:c>
      <x:c r="J2000" s="79" t="n">
        <x:f>IF(H2000&gt;0,I2000/H2000,0)</x:f>
        <x:v>7.922080655448527e-11</x:v>
      </x:c>
      <x:c r="K2000" s="80" t="n">
        <x:f>(H2000*J2000+I2000)*'Inputs'!$D$49*(1+'Inputs'!$G$49)^(B2000/30)</x:f>
        <x:v>4.622250551170366</x:v>
      </x:c>
      <x:c r="L2000" s="80" t="n">
        <x:f>MAX(0,K2000*'Inputs'!$E$49)</x:f>
        <x:v>0</x:v>
      </x:c>
      <x:c r="M2000" s="80" t="n">
        <x:f>MAX(0,-K2000*'Inputs'!$E$49)</x:f>
        <x:v>0.13866751653511097</x:v>
      </x:c>
      <x:c r="N2000" s="78" t="n">
        <x:f>H2000*(L2000*(1-'Inputs'!$B$15))/(I2000+L2000*(1-'Inputs'!$B$15))</x:f>
        <x:v>0</x:v>
      </x:c>
      <x:c r="O2000" s="78" t="n">
        <x:f>H2000-N2000</x:f>
        <x:v>38897614168.161285</x:v>
      </x:c>
      <x:c r="P2000" s="78" t="n">
        <x:f>I2000+L2000*(1-'Inputs'!$B$17)</x:f>
        <x:v>3.081500367446911</x:v>
      </x:c>
      <x:c r="Q2000" s="78" t="n">
        <x:f>IF(J2000&gt;0,M2000/J2000,0)</x:f>
        <x:v>1750392637.5672576</x:v>
      </x:c>
      <x:c r="R2000" s="78" t="n">
        <x:f>IF(B2000='Inputs'!$H$49,'Inputs'!$B$27*'Inputs'!$I$49,0)</x:f>
        <x:v>0</x:v>
      </x:c>
      <x:c r="S2000" s="78" t="n">
        <x:f>Q2000+G2000+R2000</x:f>
        <x:v>1751245558.1433506</x:v>
      </x:c>
      <x:c r="T2000" s="78" t="n">
        <x:f>P2000*(S2000*(1-'Inputs'!$B$15))/(O2000+S2000*(1-'Inputs'!$B$15))</x:f>
        <x:v>0.13148712881713726</x:v>
      </x:c>
      <x:c r="U2000" s="78" t="n">
        <x:f>O2000+S2000*(1-'Inputs'!$B$17)</x:f>
        <x:v>40641812460.4771</x:v>
      </x:c>
      <x:c r="V2000" s="78" t="n">
        <x:f>P2000-T2000</x:f>
        <x:v>2.9500132386297735</x:v>
      </x:c>
      <x:c r="W2000" s="79" t="n">
        <x:f>IF(U2000&gt;0,V2000/U2000,0)</x:f>
        <x:v>7.258567125908988e-11</x:v>
      </x:c>
      <x:c r="X2000" s="80" t="n">
        <x:f>W2000*('Inputs'!$B$6-AC2000)</x:f>
        <x:v>-0.1313446214279698</x:v>
      </x:c>
      <x:c r="Y2000" s="80" t="n">
        <x:f>2*V2000</x:f>
        <x:v>5.900026477259547</x:v>
      </x:c>
      <x:c r="Z2000" s="80" t="n">
        <x:f>K2000*'Inputs'!$B$16+(G2000+R2000)*J2000*'Inputs'!$B$16</x:f>
        <x:v>0.02773390872135799</x:v>
      </x:c>
      <x:c r="AA2000" s="80" t="n">
        <x:f>K2000*(1+'Inputs'!$E$49)/2*'Inputs'!$B$17</x:f>
        <x:v>0.009021293832264096</x:v>
      </x:c>
      <x:c r="AB2000" s="78" t="n">
        <x:f>(IF(J2000&gt;0,K2000*(1-'Inputs'!$E$49)/2/J2000,0)+G2000+R2000)*'Inputs'!$B$17</x:f>
        <x:v>120922574.91139112</x:v>
      </x:c>
      <x:c r="AC2000" s="78" t="n">
        <x:f>AC1999+AB2000</x:f>
        <x:v>2809511700.444894</x:v>
      </x:c>
      <x:c r="AD2000" s="80" t="n">
        <x:f>Z2000/(1+'Inputs'!$C$49)</x:f>
        <x:v>0.006933477180339497</x:v>
      </x:c>
      <x:c r="AE2000" s="80" t="n">
        <x:f>Z2000-AD2000</x:f>
        <x:v>0.02080043154101849</x:v>
      </x:c>
      <x:c r="AF2000" s="80" t="n">
        <x:f>D2000*W2000</x:f>
        <x:v>0.000020414107102004153</x:v>
      </x:c>
      <x:c r="AG2000" s="80" t="n">
        <x:f>C2000*W2000</x:f>
        <x:v>0.00004763291657134303</x:v>
      </x:c>
      <x:c r="AH2000" s="80" t="n">
        <x:f>2*'Inputs'!$B$8*'Inputs'!$C$49</x:f>
        <x:v>15000</x:v>
      </x:c>
      <x:c r="AI2000" s="81" t="n">
        <x:f>IF(AH2000&gt;0,(AE2000+AF2000)/AH2000*365,0)</x:f>
        <x:v>0.0005066405774375988</x:v>
      </x:c>
      <x:c r="AJ2000" s="81" t="n">
        <x:f>IF('Inputs'!$B$49&gt;0,AG2000/('Inputs'!$B$19*'Inputs'!$B$49)*365,0)</x:f>
        <x:v>0.0000017386014548540205</x:v>
      </x:c>
      <x:c r="AK2000" s="81" t="n">
        <x:f>W2000/MAX($W$1829:W2000)-1</x:f>
        <x:v>-0.9999999064882389</x:v>
      </x:c>
      <x:c r="AL2000" s="83" t="n">
        <x:f>'Inputs'!$B$49</x:f>
        <x:v>1</x:v>
      </x:c>
      <x:c r="AM2000" s="83" t="n">
        <x:f>'Inputs'!$C$49</x:f>
        <x:v>3</x:v>
      </x:c>
      <x:c r="AN2000" s="83" t="n">
        <x:f>'Inputs'!$D$49</x:f>
        <x:v>0.75</x:v>
      </x:c>
      <x:c r="AO2000" s="81" t="n">
        <x:f>'Inputs'!$E$49</x:f>
        <x:v>-0.03</x:v>
      </x:c>
    </x:row>
    <x:row r="2001">
      <x:c r="A2001" s="59" t="str">
        <x:v>Mercenary LP</x:v>
      </x:c>
      <x:c r="B2001" s="59" t="n">
        <x:v>173</x:v>
      </x:c>
      <x:c r="C2001" s="78" t="n">
        <x:f>(('Inputs'!$B$29*(3*173*'Inputs'!$B$12-173^2)/(2*'Inputs'!$B$12^2))-('Inputs'!$B$29*(3*172*'Inputs'!$B$12-172^2)/(2*'Inputs'!$B$12^2)))*'Inputs'!$B$49</x:f>
        <x:v>655905.1885907352</x:v>
      </x:c>
      <x:c r="D2001" s="78" t="n">
        <x:f>IF('Inputs'!$C$49&gt;0,('Inputs'!$B$30*(3*173*'Inputs'!$B$12-173^2)/(2*'Inputs'!$B$12^2))-('Inputs'!$B$30*(3*172*'Inputs'!$B$12-172^2)/(2*'Inputs'!$B$12^2)),0)</x:f>
        <x:v>281102.2236817479</x:v>
      </x:c>
      <x:c r="E2001" s="78" t="n">
        <x:f>C2001+D2001</x:f>
        <x:v>937007.4122724831</x:v>
      </x:c>
      <x:c r="F2001" s="78" t="n">
        <x:f>'Inputs'!$B$13*E2001+(1-'Inputs'!$B$13)/'Inputs'!$B$14*SUM(E1946:E2001)</x:f>
        <x:v>947225.0891349247</x:v>
      </x:c>
      <x:c r="G2001" s="78" t="n">
        <x:f>F2001*'Inputs'!$F$49</x:f>
        <x:v>852502.5802214323</x:v>
      </x:c>
      <x:c r="H2001" s="78" t="n">
        <x:f>U2000</x:f>
        <x:v>40641812460.4771</x:v>
      </x:c>
      <x:c r="I2001" s="78" t="n">
        <x:f>V2000</x:f>
        <x:v>2.9500132386297735</x:v>
      </x:c>
      <x:c r="J2001" s="79" t="n">
        <x:f>IF(H2001&gt;0,I2001/H2001,0)</x:f>
        <x:v>7.258567125908988e-11</x:v>
      </x:c>
      <x:c r="K2001" s="80" t="n">
        <x:f>(H2001*J2001+I2001)*'Inputs'!$D$49*(1+'Inputs'!$G$49)^(B2001/30)</x:f>
        <x:v>4.42501985794466</x:v>
      </x:c>
      <x:c r="L2001" s="80" t="n">
        <x:f>MAX(0,K2001*'Inputs'!$E$49)</x:f>
        <x:v>0</x:v>
      </x:c>
      <x:c r="M2001" s="80" t="n">
        <x:f>MAX(0,-K2001*'Inputs'!$E$49)</x:f>
        <x:v>0.1327505957383398</x:v>
      </x:c>
      <x:c r="N2001" s="78" t="n">
        <x:f>H2001*(L2001*(1-'Inputs'!$B$15))/(I2001+L2001*(1-'Inputs'!$B$15))</x:f>
        <x:v>0</x:v>
      </x:c>
      <x:c r="O2001" s="78" t="n">
        <x:f>H2001-N2001</x:f>
        <x:v>40641812460.4771</x:v>
      </x:c>
      <x:c r="P2001" s="78" t="n">
        <x:f>I2001+L2001*(1-'Inputs'!$B$17)</x:f>
        <x:v>2.9500132386297735</x:v>
      </x:c>
      <x:c r="Q2001" s="78" t="n">
        <x:f>IF(J2001&gt;0,M2001/J2001,0)</x:f>
        <x:v>1828881560.7214694</x:v>
      </x:c>
      <x:c r="R2001" s="78" t="n">
        <x:f>IF(B2001='Inputs'!$H$49,'Inputs'!$B$27*'Inputs'!$I$49,0)</x:f>
        <x:v>0</x:v>
      </x:c>
      <x:c r="S2001" s="78" t="n">
        <x:f>Q2001+G2001+R2001</x:f>
        <x:v>1829734063.3016908</x:v>
      </x:c>
      <x:c r="T2001" s="78" t="n">
        <x:f>P2001*(S2001*(1-'Inputs'!$B$15))/(O2001+S2001*(1-'Inputs'!$B$15))</x:f>
        <x:v>0.12587404770267213</x:v>
      </x:c>
      <x:c r="U2001" s="78" t="n">
        <x:f>O2001+S2001*(1-'Inputs'!$B$17)</x:f>
        <x:v>42464183408.83592</x:v>
      </x:c>
      <x:c r="V2001" s="78" t="n">
        <x:f>P2001-T2001</x:f>
        <x:v>2.8241391909271014</x:v>
      </x:c>
      <x:c r="W2001" s="79" t="n">
        <x:f>IF(U2001&gt;0,V2001/U2001,0)</x:f>
        <x:v>6.650638171319353e-11</x:v>
      </x:c>
      <x:c r="X2001" s="80" t="n">
        <x:f>W2001*('Inputs'!$B$6-AC2001)</x:f>
        <x:v>-0.12874680328566304</x:v>
      </x:c>
      <x:c r="Y2001" s="80" t="n">
        <x:f>2*V2001</x:f>
        <x:v>5.648278381854203</x:v>
      </x:c>
      <x:c r="Z2001" s="80" t="n">
        <x:f>K2001*'Inputs'!$B$16+(G2001+R2001)*J2001*'Inputs'!$B$16</x:f>
        <x:v>0.026550490424500174</x:v>
      </x:c>
      <x:c r="AA2001" s="80" t="n">
        <x:f>K2001*(1+'Inputs'!$E$49)/2*'Inputs'!$B$17</x:f>
        <x:v>0.008636356664399035</x:v>
      </x:c>
      <x:c r="AB2001" s="78" t="n">
        <x:f>(IF(J2001&gt;0,K2001*(1-'Inputs'!$E$49)/2/J2001,0)+G2001+R2001)*'Inputs'!$B$17</x:f>
        <x:v>126344678.58470336</x:v>
      </x:c>
      <x:c r="AC2001" s="78" t="n">
        <x:f>AC2000+AB2001</x:f>
        <x:v>2935856379.0295973</x:v>
      </x:c>
      <x:c r="AD2001" s="80" t="n">
        <x:f>Z2001/(1+'Inputs'!$C$49)</x:f>
        <x:v>0.0066376226061250435</x:v>
      </x:c>
      <x:c r="AE2001" s="80" t="n">
        <x:f>Z2001-AD2001</x:f>
        <x:v>0.019912867818375132</x:v>
      </x:c>
      <x:c r="AF2001" s="80" t="n">
        <x:f>D2001*W2001</x:f>
        <x:v>0.000018695091788605836</x:v>
      </x:c>
      <x:c r="AG2001" s="80" t="n">
        <x:f>C2001*W2001</x:f>
        <x:v>0.00004362188084007963</x:v>
      </x:c>
      <x:c r="AH2001" s="80" t="n">
        <x:f>2*'Inputs'!$B$8*'Inputs'!$C$49</x:f>
        <x:v>15000</x:v>
      </x:c>
      <x:c r="AI2001" s="81" t="n">
        <x:f>IF(AH2001&gt;0,(AE2001+AF2001)/AH2001*365,0)</x:f>
        <x:v>0.00048500136414731765</x:v>
      </x:c>
      <x:c r="AJ2001" s="81" t="n">
        <x:f>IF('Inputs'!$B$49&gt;0,AG2001/('Inputs'!$B$19*'Inputs'!$B$49)*365,0)</x:f>
        <x:v>0.0000015921986506629064</x:v>
      </x:c>
      <x:c r="AK2001" s="81" t="n">
        <x:f>W2001/MAX($W$1829:W2001)-1</x:f>
        <x:v>-0.9999999143201576</x:v>
      </x:c>
      <x:c r="AL2001" s="83" t="n">
        <x:f>'Inputs'!$B$49</x:f>
        <x:v>1</x:v>
      </x:c>
      <x:c r="AM2001" s="83" t="n">
        <x:f>'Inputs'!$C$49</x:f>
        <x:v>3</x:v>
      </x:c>
      <x:c r="AN2001" s="83" t="n">
        <x:f>'Inputs'!$D$49</x:f>
        <x:v>0.75</x:v>
      </x:c>
      <x:c r="AO2001" s="81" t="n">
        <x:f>'Inputs'!$E$49</x:f>
        <x:v>-0.03</x:v>
      </x:c>
    </x:row>
    <x:row r="2002">
      <x:c r="A2002" s="59" t="str">
        <x:v>Mercenary LP</x:v>
      </x:c>
      <x:c r="B2002" s="59" t="n">
        <x:v>174</x:v>
      </x:c>
      <x:c r="C2002" s="78" t="n">
        <x:f>(('Inputs'!$B$29*(3*174*'Inputs'!$B$12-174^2)/(2*'Inputs'!$B$12^2))-('Inputs'!$B$29*(3*173*'Inputs'!$B$12-173^2)/(2*'Inputs'!$B$12^2)))*'Inputs'!$B$49</x:f>
        <x:v>655580.0806905627</x:v>
      </x:c>
      <x:c r="D2002" s="78" t="n">
        <x:f>IF('Inputs'!$C$49&gt;0,('Inputs'!$B$30*(3*174*'Inputs'!$B$12-174^2)/(2*'Inputs'!$B$12^2))-('Inputs'!$B$30*(3*173*'Inputs'!$B$12-173^2)/(2*'Inputs'!$B$12^2)),0)</x:f>
        <x:v>280962.89172451943</x:v>
      </x:c>
      <x:c r="E2002" s="78" t="n">
        <x:f>C2002+D2002</x:f>
        <x:v>936542.9724150822</x:v>
      </x:c>
      <x:c r="F2002" s="78" t="n">
        <x:f>'Inputs'!$B$13*E2002+(1-'Inputs'!$B$13)/'Inputs'!$B$14*SUM(E1947:E2002)</x:f>
        <x:v>946760.6492775369</x:v>
      </x:c>
      <x:c r="G2002" s="78" t="n">
        <x:f>F2002*'Inputs'!$F$49</x:f>
        <x:v>852084.5843497833</x:v>
      </x:c>
      <x:c r="H2002" s="78" t="n">
        <x:f>U2001</x:f>
        <x:v>42464183408.83592</x:v>
      </x:c>
      <x:c r="I2002" s="78" t="n">
        <x:f>V2001</x:f>
        <x:v>2.8241391909271014</x:v>
      </x:c>
      <x:c r="J2002" s="79" t="n">
        <x:f>IF(H2002&gt;0,I2002/H2002,0)</x:f>
        <x:v>6.650638171319353e-11</x:v>
      </x:c>
      <x:c r="K2002" s="80" t="n">
        <x:f>(H2002*J2002+I2002)*'Inputs'!$D$49*(1+'Inputs'!$G$49)^(B2002/30)</x:f>
        <x:v>4.236208786390652</x:v>
      </x:c>
      <x:c r="L2002" s="80" t="n">
        <x:f>MAX(0,K2002*'Inputs'!$E$49)</x:f>
        <x:v>0</x:v>
      </x:c>
      <x:c r="M2002" s="80" t="n">
        <x:f>MAX(0,-K2002*'Inputs'!$E$49)</x:f>
        <x:v>0.12708626359171954</x:v>
      </x:c>
      <x:c r="N2002" s="78" t="n">
        <x:f>H2002*(L2002*(1-'Inputs'!$B$15))/(I2002+L2002*(1-'Inputs'!$B$15))</x:f>
        <x:v>0</x:v>
      </x:c>
      <x:c r="O2002" s="78" t="n">
        <x:f>H2002-N2002</x:f>
        <x:v>42464183408.83592</x:v>
      </x:c>
      <x:c r="P2002" s="78" t="n">
        <x:f>I2002+L2002*(1-'Inputs'!$B$17)</x:f>
        <x:v>2.8241391909271014</x:v>
      </x:c>
      <x:c r="Q2002" s="78" t="n">
        <x:f>IF(J2002&gt;0,M2002/J2002,0)</x:f>
        <x:v>1910888253.3976161</x:v>
      </x:c>
      <x:c r="R2002" s="78" t="n">
        <x:f>IF(B2002='Inputs'!$H$49,'Inputs'!$B$27*'Inputs'!$I$49,0)</x:f>
        <x:v>0</x:v>
      </x:c>
      <x:c r="S2002" s="78" t="n">
        <x:f>Q2002+G2002+R2002</x:f>
        <x:v>1911740337.981966</x:v>
      </x:c>
      <x:c r="T2002" s="78" t="n">
        <x:f>P2002*(S2002*(1-'Inputs'!$B$15))/(O2002+S2002*(1-'Inputs'!$B$15))</x:f>
        <x:v>0.12050079895006012</x:v>
      </x:c>
      <x:c r="U2002" s="78" t="n">
        <x:f>O2002+S2002*(1-'Inputs'!$B$17)</x:f>
        <x:v>44368230626.74553</x:v>
      </x:c>
      <x:c r="V2002" s="78" t="n">
        <x:f>P2002-T2002</x:f>
        <x:v>2.7036383919770413</x:v>
      </x:c>
      <x:c r="W2002" s="79" t="n">
        <x:f>IF(U2002&gt;0,V2002/U2002,0)</x:f>
        <x:v>6.093635815053815e-11</x:v>
      </x:c>
      <x:c r="X2002" s="80" t="n">
        <x:f>W2002*('Inputs'!$B$6-AC2002)</x:f>
        <x:v>-0.1260082337170383</x:v>
      </x:c>
      <x:c r="Y2002" s="80" t="n">
        <x:f>2*V2002</x:f>
        <x:v>5.4072767839540825</x:v>
      </x:c>
      <x:c r="Z2002" s="80" t="n">
        <x:f>K2002*'Inputs'!$B$16+(G2002+R2002)*J2002*'Inputs'!$B$16</x:f>
        <x:v>0.025417592732719624</x:v>
      </x:c>
      <x:c r="AA2002" s="80" t="n">
        <x:f>K2002*(1+'Inputs'!$E$49)/2*'Inputs'!$B$17</x:f>
        <x:v>0.00826785215854916</x:v>
      </x:c>
      <x:c r="AB2002" s="78" t="n">
        <x:f>(IF(J2002&gt;0,K2002*(1-'Inputs'!$E$49)/2/J2002,0)+G2002+R2002)*'Inputs'!$B$17</x:f>
        <x:v>132009793.83464828</x:v>
      </x:c>
      <x:c r="AC2002" s="78" t="n">
        <x:f>AC2001+AB2002</x:f>
        <x:v>3067866172.8642454</x:v>
      </x:c>
      <x:c r="AD2002" s="80" t="n">
        <x:f>Z2002/(1+'Inputs'!$C$49)</x:f>
        <x:v>0.006354398183179906</x:v>
      </x:c>
      <x:c r="AE2002" s="80" t="n">
        <x:f>Z2002-AD2002</x:f>
        <x:v>0.019063194549539718</x:v>
      </x:c>
      <x:c r="AF2002" s="80" t="n">
        <x:f>D2002*W2002</x:f>
        <x:v>0.00001712085539713619</x:v>
      </x:c>
      <x:c r="AG2002" s="80" t="n">
        <x:f>C2002*W2002</x:f>
        <x:v>0.00003994866259331883</x:v>
      </x:c>
      <x:c r="AH2002" s="80" t="n">
        <x:f>2*'Inputs'!$B$8*'Inputs'!$C$49</x:f>
        <x:v>15000</x:v>
      </x:c>
      <x:c r="AI2002" s="81" t="n">
        <x:f>IF(AH2002&gt;0,(AE2002+AF2002)/AH2002*365,0)</x:f>
        <x:v>0.0004642876748534635</x:v>
      </x:c>
      <x:c r="AJ2002" s="81" t="n">
        <x:f>IF('Inputs'!$B$49&gt;0,AG2002/('Inputs'!$B$19*'Inputs'!$B$49)*365,0)</x:f>
        <x:v>0.0000014581261846561375</x:v>
      </x:c>
      <x:c r="AK2002" s="81" t="n">
        <x:f>W2002/MAX($W$1829:W2002)-1</x:f>
        <x:v>-0.9999999214959914</x:v>
      </x:c>
      <x:c r="AL2002" s="83" t="n">
        <x:f>'Inputs'!$B$49</x:f>
        <x:v>1</x:v>
      </x:c>
      <x:c r="AM2002" s="83" t="n">
        <x:f>'Inputs'!$C$49</x:f>
        <x:v>3</x:v>
      </x:c>
      <x:c r="AN2002" s="83" t="n">
        <x:f>'Inputs'!$D$49</x:f>
        <x:v>0.75</x:v>
      </x:c>
      <x:c r="AO2002" s="81" t="n">
        <x:f>'Inputs'!$E$49</x:f>
        <x:v>-0.03</x:v>
      </x:c>
    </x:row>
    <x:row r="2003">
      <x:c r="A2003" s="59" t="str">
        <x:v>Mercenary LP</x:v>
      </x:c>
      <x:c r="B2003" s="59" t="n">
        <x:v>175</x:v>
      </x:c>
      <x:c r="C2003" s="78" t="n">
        <x:f>(('Inputs'!$B$29*(3*175*'Inputs'!$B$12-175^2)/(2*'Inputs'!$B$12^2))-('Inputs'!$B$29*(3*174*'Inputs'!$B$12-174^2)/(2*'Inputs'!$B$12^2)))*'Inputs'!$B$49</x:f>
        <x:v>655254.9727903903</x:v>
      </x:c>
      <x:c r="D2003" s="78" t="n">
        <x:f>IF('Inputs'!$C$49&gt;0,('Inputs'!$B$30*(3*175*'Inputs'!$B$12-175^2)/(2*'Inputs'!$B$12^2))-('Inputs'!$B$30*(3*174*'Inputs'!$B$12-174^2)/(2*'Inputs'!$B$12^2)),0)</x:f>
        <x:v>280823.5597673133</x:v>
      </x:c>
      <x:c r="E2003" s="78" t="n">
        <x:f>C2003+D2003</x:f>
        <x:v>936078.5325577036</x:v>
      </x:c>
      <x:c r="F2003" s="78" t="n">
        <x:f>'Inputs'!$B$13*E2003+(1-'Inputs'!$B$13)/'Inputs'!$B$14*SUM(E1948:E2003)</x:f>
        <x:v>946296.2094201541</x:v>
      </x:c>
      <x:c r="G2003" s="78" t="n">
        <x:f>F2003*'Inputs'!$F$49</x:f>
        <x:v>851666.5884781387</x:v>
      </x:c>
      <x:c r="H2003" s="78" t="n">
        <x:f>U2002</x:f>
        <x:v>44368230626.74553</x:v>
      </x:c>
      <x:c r="I2003" s="78" t="n">
        <x:f>V2002</x:f>
        <x:v>2.7036383919770413</x:v>
      </x:c>
      <x:c r="J2003" s="79" t="n">
        <x:f>IF(H2003&gt;0,I2003/H2003,0)</x:f>
        <x:v>6.093635815053815e-11</x:v>
      </x:c>
      <x:c r="K2003" s="80" t="n">
        <x:f>(H2003*J2003+I2003)*'Inputs'!$D$49*(1+'Inputs'!$G$49)^(B2003/30)</x:f>
        <x:v>4.055457587965562</x:v>
      </x:c>
      <x:c r="L2003" s="80" t="n">
        <x:f>MAX(0,K2003*'Inputs'!$E$49)</x:f>
        <x:v>0</x:v>
      </x:c>
      <x:c r="M2003" s="80" t="n">
        <x:f>MAX(0,-K2003*'Inputs'!$E$49)</x:f>
        <x:v>0.12166372763896686</x:v>
      </x:c>
      <x:c r="N2003" s="78" t="n">
        <x:f>H2003*(L2003*(1-'Inputs'!$B$15))/(I2003+L2003*(1-'Inputs'!$B$15))</x:f>
        <x:v>0</x:v>
      </x:c>
      <x:c r="O2003" s="78" t="n">
        <x:f>H2003-N2003</x:f>
        <x:v>44368230626.74553</x:v>
      </x:c>
      <x:c r="P2003" s="78" t="n">
        <x:f>I2003+L2003*(1-'Inputs'!$B$17)</x:f>
        <x:v>2.7036383919770413</x:v>
      </x:c>
      <x:c r="Q2003" s="78" t="n">
        <x:f>IF(J2003&gt;0,M2003/J2003,0)</x:f>
        <x:v>1996570378.203549</x:v>
      </x:c>
      <x:c r="R2003" s="78" t="n">
        <x:f>IF(B2003='Inputs'!$H$49,'Inputs'!$B$27*'Inputs'!$I$49,0)</x:f>
        <x:v>0</x:v>
      </x:c>
      <x:c r="S2003" s="78" t="n">
        <x:f>Q2003+G2003+R2003</x:f>
        <x:v>1997422044.792027</x:v>
      </x:c>
      <x:c r="T2003" s="78" t="n">
        <x:f>P2003*(S2003*(1-'Inputs'!$B$15))/(O2003+S2003*(1-'Inputs'!$B$15))</x:f>
        <x:v>0.11535711709712822</x:v>
      </x:c>
      <x:c r="U2003" s="78" t="n">
        <x:f>O2003+S2003*(1-'Inputs'!$B$17)</x:f>
        <x:v>46357614755.86435</x:v>
      </x:c>
      <x:c r="V2003" s="78" t="n">
        <x:f>P2003-T2003</x:f>
        <x:v>2.588281274879913</x:v>
      </x:c>
      <x:c r="W2003" s="79" t="n">
        <x:f>IF(U2003&gt;0,V2003/U2003,0)</x:f>
        <x:v>5.583292601465197e-11</x:v>
      </x:c>
      <x:c r="X2003" s="80" t="n">
        <x:f>W2003*('Inputs'!$B$6-AC2003)</x:f>
        <x:v>-0.12315598820324539</x:v>
      </x:c>
      <x:c r="Y2003" s="80" t="n">
        <x:f>2*V2003</x:f>
        <x:v>5.176562549759826</x:v>
      </x:c>
      <x:c r="Z2003" s="80" t="n">
        <x:f>K2003*'Inputs'!$B$16+(G2003+R2003)*J2003*'Inputs'!$B$16</x:f>
        <x:v>0.024333056912554937</x:v>
      </x:c>
      <x:c r="AA2003" s="80" t="n">
        <x:f>K2003*(1+'Inputs'!$E$49)/2*'Inputs'!$B$17</x:f>
        <x:v>0.007915078189791942</x:v>
      </x:c>
      <x:c r="AB2003" s="78" t="n">
        <x:f>(IF(J2003&gt;0,K2003*(1-'Inputs'!$E$49)/2/J2003,0)+G2003+R2003)*'Inputs'!$B$17</x:f>
        <x:v>137928812.17605394</x:v>
      </x:c>
      <x:c r="AC2003" s="78" t="n">
        <x:f>AC2002+AB2003</x:f>
        <x:v>3205794985.0402994</x:v>
      </x:c>
      <x:c r="AD2003" s="80" t="n">
        <x:f>Z2003/(1+'Inputs'!$C$49)</x:f>
        <x:v>0.006083264228138734</x:v>
      </x:c>
      <x:c r="AE2003" s="80" t="n">
        <x:f>Z2003-AD2003</x:f>
        <x:v>0.0182497926844162</x:v>
      </x:c>
      <x:c r="AF2003" s="80" t="n">
        <x:f>D2003*W2003</x:f>
        <x:v>0.0000156792010356596</x:v>
      </x:c>
      <x:c r="AG2003" s="80" t="n">
        <x:f>C2003*W2003</x:f>
        <x:v>0.00003658480241653865</x:v>
      </x:c>
      <x:c r="AH2003" s="80" t="n">
        <x:f>2*'Inputs'!$B$8*'Inputs'!$C$49</x:f>
        <x:v>15000</x:v>
      </x:c>
      <x:c r="AI2003" s="81" t="n">
        <x:f>IF(AH2003&gt;0,(AE2003+AF2003)/AH2003*365,0)</x:f>
        <x:v>0.00044445981587932853</x:v>
      </x:c>
      <x:c r="AJ2003" s="81" t="n">
        <x:f>IF('Inputs'!$B$49&gt;0,AG2003/('Inputs'!$B$19*'Inputs'!$B$49)*365,0)</x:f>
        <x:v>0.0000013353452882036607</x:v>
      </x:c>
      <x:c r="AK2003" s="81" t="n">
        <x:f>W2003/MAX($W$1829:W2003)-1</x:f>
        <x:v>-0.9999999280707177</x:v>
      </x:c>
      <x:c r="AL2003" s="83" t="n">
        <x:f>'Inputs'!$B$49</x:f>
        <x:v>1</x:v>
      </x:c>
      <x:c r="AM2003" s="83" t="n">
        <x:f>'Inputs'!$C$49</x:f>
        <x:v>3</x:v>
      </x:c>
      <x:c r="AN2003" s="83" t="n">
        <x:f>'Inputs'!$D$49</x:f>
        <x:v>0.75</x:v>
      </x:c>
      <x:c r="AO2003" s="81" t="n">
        <x:f>'Inputs'!$E$49</x:f>
        <x:v>-0.03</x:v>
      </x:c>
    </x:row>
    <x:row r="2004">
      <x:c r="A2004" s="59" t="str">
        <x:v>Mercenary LP</x:v>
      </x:c>
      <x:c r="B2004" s="59" t="n">
        <x:v>176</x:v>
      </x:c>
      <x:c r="C2004" s="78" t="n">
        <x:f>(('Inputs'!$B$29*(3*176*'Inputs'!$B$12-176^2)/(2*'Inputs'!$B$12^2))-('Inputs'!$B$29*(3*175*'Inputs'!$B$12-175^2)/(2*'Inputs'!$B$12^2)))*'Inputs'!$B$49</x:f>
        <x:v>654929.8648902178</x:v>
      </x:c>
      <x:c r="D2004" s="78" t="n">
        <x:f>IF('Inputs'!$C$49&gt;0,('Inputs'!$B$30*(3*176*'Inputs'!$B$12-176^2)/(2*'Inputs'!$B$12^2))-('Inputs'!$B$30*(3*175*'Inputs'!$B$12-175^2)/(2*'Inputs'!$B$12^2)),0)</x:f>
        <x:v>280684.2278100997</x:v>
      </x:c>
      <x:c r="E2004" s="78" t="n">
        <x:f>C2004+D2004</x:f>
        <x:v>935614.0927003175</x:v>
      </x:c>
      <x:c r="F2004" s="78" t="n">
        <x:f>'Inputs'!$B$13*E2004+(1-'Inputs'!$B$13)/'Inputs'!$B$14*SUM(E1949:E2004)</x:f>
        <x:v>945831.7695627694</x:v>
      </x:c>
      <x:c r="G2004" s="78" t="n">
        <x:f>F2004*'Inputs'!$F$49</x:f>
        <x:v>851248.5926064926</x:v>
      </x:c>
      <x:c r="H2004" s="78" t="n">
        <x:f>U2003</x:f>
        <x:v>46357614755.86435</x:v>
      </x:c>
      <x:c r="I2004" s="78" t="n">
        <x:f>V2003</x:f>
        <x:v>2.588281274879913</x:v>
      </x:c>
      <x:c r="J2004" s="79" t="n">
        <x:f>IF(H2004&gt;0,I2004/H2004,0)</x:f>
        <x:v>5.583292601465197e-11</x:v>
      </x:c>
      <x:c r="K2004" s="80" t="n">
        <x:f>(H2004*J2004+I2004)*'Inputs'!$D$49*(1+'Inputs'!$G$49)^(B2004/30)</x:f>
        <x:v>3.8824219123198693</x:v>
      </x:c>
      <x:c r="L2004" s="80" t="n">
        <x:f>MAX(0,K2004*'Inputs'!$E$49)</x:f>
        <x:v>0</x:v>
      </x:c>
      <x:c r="M2004" s="80" t="n">
        <x:f>MAX(0,-K2004*'Inputs'!$E$49)</x:f>
        <x:v>0.11647265736959607</x:v>
      </x:c>
      <x:c r="N2004" s="78" t="n">
        <x:f>H2004*(L2004*(1-'Inputs'!$B$15))/(I2004+L2004*(1-'Inputs'!$B$15))</x:f>
        <x:v>0</x:v>
      </x:c>
      <x:c r="O2004" s="78" t="n">
        <x:f>H2004-N2004</x:f>
        <x:v>46357614755.86435</x:v>
      </x:c>
      <x:c r="P2004" s="78" t="n">
        <x:f>I2004+L2004*(1-'Inputs'!$B$17)</x:f>
        <x:v>2.588281274879913</x:v>
      </x:c>
      <x:c r="Q2004" s="78" t="n">
        <x:f>IF(J2004&gt;0,M2004/J2004,0)</x:f>
        <x:v>2086092664.0138958</x:v>
      </x:c>
      <x:c r="R2004" s="78" t="n">
        <x:f>IF(B2004='Inputs'!$H$49,'Inputs'!$B$27*'Inputs'!$I$49,0)</x:f>
        <x:v>0</x:v>
      </x:c>
      <x:c r="S2004" s="78" t="n">
        <x:f>Q2004+G2004+R2004</x:f>
        <x:v>2086943912.6065023</x:v>
      </x:c>
      <x:c r="T2004" s="78" t="n">
        <x:f>P2004*(S2004*(1-'Inputs'!$B$15))/(O2004+S2004*(1-'Inputs'!$B$15))</x:f>
        <x:v>0.11043317758978498</x:v>
      </x:c>
      <x:c r="U2004" s="78" t="n">
        <x:f>O2004+S2004*(1-'Inputs'!$B$17)</x:f>
        <x:v>48436160503.832596</x:v>
      </x:c>
      <x:c r="V2004" s="78" t="n">
        <x:f>P2004-T2004</x:f>
        <x:v>2.477848097290128</x:v>
      </x:c>
      <x:c r="W2004" s="79" t="n">
        <x:f>IF(U2004&gt;0,V2004/U2004,0)</x:f>
        <x:v>5.115698832268226e-11</x:v>
      </x:c>
      <x:c r="X2004" s="80" t="n">
        <x:f>W2004*('Inputs'!$B$6-AC2004)</x:f>
        <x:v>-0.12021422114461645</x:v>
      </x:c>
      <x:c r="Y2004" s="80" t="n">
        <x:f>2*V2004</x:f>
        <x:v>4.955696194580256</x:v>
      </x:c>
      <x:c r="Z2004" s="80" t="n">
        <x:f>K2004*'Inputs'!$B$16+(G2004+R2004)*J2004*'Inputs'!$B$16</x:f>
        <x:v>0.023294816640117365</x:v>
      </x:c>
      <x:c r="AA2004" s="80" t="n">
        <x:f>K2004*(1+'Inputs'!$E$49)/2*'Inputs'!$B$17</x:f>
        <x:v>0.007577362686016647</x:v>
      </x:c>
      <x:c r="AB2004" s="78" t="n">
        <x:f>(IF(J2004&gt;0,K2004*(1-'Inputs'!$E$49)/2/J2004,0)+G2004+R2004)*'Inputs'!$B$17</x:f>
        <x:v>144113113.26960894</x:v>
      </x:c>
      <x:c r="AC2004" s="78" t="n">
        <x:f>AC2003+AB2004</x:f>
        <x:v>3349908098.3099084</x:v>
      </x:c>
      <x:c r="AD2004" s="80" t="n">
        <x:f>Z2004/(1+'Inputs'!$C$49)</x:f>
        <x:v>0.005823704160029341</x:v>
      </x:c>
      <x:c r="AE2004" s="80" t="n">
        <x:f>Z2004-AD2004</x:f>
        <x:v>0.017471112480088022</x:v>
      </x:c>
      <x:c r="AF2004" s="80" t="n">
        <x:f>D2004*W2004</x:f>
        <x:v>0.000014358959764442358</x:v>
      </x:c>
      <x:c r="AG2004" s="80" t="n">
        <x:f>C2004*W2004</x:f>
        <x:v>0.00003350423945036474</x:v>
      </x:c>
      <x:c r="AH2004" s="80" t="n">
        <x:f>2*'Inputs'!$B$8*'Inputs'!$C$49</x:f>
        <x:v>15000</x:v>
      </x:c>
      <x:c r="AI2004" s="81" t="n">
        <x:f>IF(AH2004&gt;0,(AE2004+AF2004)/AH2004*365,0)</x:f>
        <x:v>0.00042547980503641</x:v>
      </x:c>
      <x:c r="AJ2004" s="81" t="n">
        <x:f>IF('Inputs'!$B$49&gt;0,AG2004/('Inputs'!$B$19*'Inputs'!$B$49)*365,0)</x:f>
        <x:v>0.000001222904739938313</x:v>
      </x:c>
      <x:c r="AK2004" s="81" t="n">
        <x:f>W2004/MAX($W$1829:W2004)-1</x:f>
        <x:v>-0.9999999340947051</x:v>
      </x:c>
      <x:c r="AL2004" s="83" t="n">
        <x:f>'Inputs'!$B$49</x:f>
        <x:v>1</x:v>
      </x:c>
      <x:c r="AM2004" s="83" t="n">
        <x:f>'Inputs'!$C$49</x:f>
        <x:v>3</x:v>
      </x:c>
      <x:c r="AN2004" s="83" t="n">
        <x:f>'Inputs'!$D$49</x:f>
        <x:v>0.75</x:v>
      </x:c>
      <x:c r="AO2004" s="81" t="n">
        <x:f>'Inputs'!$E$49</x:f>
        <x:v>-0.03</x:v>
      </x:c>
    </x:row>
    <x:row r="2005">
      <x:c r="A2005" s="59" t="str">
        <x:v>Mercenary LP</x:v>
      </x:c>
      <x:c r="B2005" s="59" t="n">
        <x:v>177</x:v>
      </x:c>
      <x:c r="C2005" s="78" t="n">
        <x:f>(('Inputs'!$B$29*(3*177*'Inputs'!$B$12-177^2)/(2*'Inputs'!$B$12^2))-('Inputs'!$B$29*(3*176*'Inputs'!$B$12-176^2)/(2*'Inputs'!$B$12^2)))*'Inputs'!$B$49</x:f>
        <x:v>654604.7569900602</x:v>
      </x:c>
      <x:c r="D2005" s="78" t="n">
        <x:f>IF('Inputs'!$C$49&gt;0,('Inputs'!$B$30*(3*177*'Inputs'!$B$12-177^2)/(2*'Inputs'!$B$12^2))-('Inputs'!$B$30*(3*176*'Inputs'!$B$12-176^2)/(2*'Inputs'!$B$12^2)),0)</x:f>
        <x:v>280544.8958528787</x:v>
      </x:c>
      <x:c r="E2005" s="78" t="n">
        <x:f>C2005+D2005</x:f>
        <x:v>935149.6528429389</x:v>
      </x:c>
      <x:c r="F2005" s="78" t="n">
        <x:f>'Inputs'!$B$13*E2005+(1-'Inputs'!$B$13)/'Inputs'!$B$14*SUM(E1950:E2005)</x:f>
        <x:v>945367.3297053867</x:v>
      </x:c>
      <x:c r="G2005" s="78" t="n">
        <x:f>F2005*'Inputs'!$F$49</x:f>
        <x:v>850830.596734848</x:v>
      </x:c>
      <x:c r="H2005" s="78" t="n">
        <x:f>U2004</x:f>
        <x:v>48436160503.832596</x:v>
      </x:c>
      <x:c r="I2005" s="78" t="n">
        <x:f>V2004</x:f>
        <x:v>2.477848097290128</x:v>
      </x:c>
      <x:c r="J2005" s="79" t="n">
        <x:f>IF(H2005&gt;0,I2005/H2005,0)</x:f>
        <x:v>5.115698832268226e-11</x:v>
      </x:c>
      <x:c r="K2005" s="80" t="n">
        <x:f>(H2005*J2005+I2005)*'Inputs'!$D$49*(1+'Inputs'!$G$49)^(B2005/30)</x:f>
        <x:v>3.7167721459351917</x:v>
      </x:c>
      <x:c r="L2005" s="80" t="n">
        <x:f>MAX(0,K2005*'Inputs'!$E$49)</x:f>
        <x:v>0</x:v>
      </x:c>
      <x:c r="M2005" s="80" t="n">
        <x:f>MAX(0,-K2005*'Inputs'!$E$49)</x:f>
        <x:v>0.11150316437805574</x:v>
      </x:c>
      <x:c r="N2005" s="78" t="n">
        <x:f>H2005*(L2005*(1-'Inputs'!$B$15))/(I2005+L2005*(1-'Inputs'!$B$15))</x:f>
        <x:v>0</x:v>
      </x:c>
      <x:c r="O2005" s="78" t="n">
        <x:f>H2005-N2005</x:f>
        <x:v>48436160503.832596</x:v>
      </x:c>
      <x:c r="P2005" s="78" t="n">
        <x:f>I2005+L2005*(1-'Inputs'!$B$17)</x:f>
        <x:v>2.477848097290128</x:v>
      </x:c>
      <x:c r="Q2005" s="78" t="n">
        <x:f>IF(J2005&gt;0,M2005/J2005,0)</x:f>
        <x:v>2179627222.6724668</x:v>
      </x:c>
      <x:c r="R2005" s="78" t="n">
        <x:f>IF(B2005='Inputs'!$H$49,'Inputs'!$B$27*'Inputs'!$I$49,0)</x:f>
        <x:v>0</x:v>
      </x:c>
      <x:c r="S2005" s="78" t="n">
        <x:f>Q2005+G2005+R2005</x:f>
        <x:v>2180478053.2692018</x:v>
      </x:c>
      <x:c r="T2005" s="78" t="n">
        <x:f>P2005*(S2005*(1-'Inputs'!$B$15))/(O2005+S2005*(1-'Inputs'!$B$15))</x:f>
        <x:v>0.10571957771701027</x:v>
      </x:c>
      <x:c r="U2005" s="78" t="n">
        <x:f>O2005+S2005*(1-'Inputs'!$B$17)</x:f>
        <x:v>50607863997.531296</x:v>
      </x:c>
      <x:c r="V2005" s="78" t="n">
        <x:f>P2005-T2005</x:f>
        <x:v>2.3721285195731174</x:v>
      </x:c>
      <x:c r="W2005" s="79" t="n">
        <x:f>IF(U2005&gt;0,V2005/U2005,0)</x:f>
        <x:v>4.6872725544963375e-11</x:v>
      </x:c>
      <x:c r="X2005" s="80" t="n">
        <x:f>W2005*('Inputs'!$B$6-AC2005)</x:f>
        <x:v>-0.1172044386290912</x:v>
      </x:c>
      <x:c r="Y2005" s="80" t="n">
        <x:f>2*V2005</x:f>
        <x:v>4.744257039146235</x:v>
      </x:c>
      <x:c r="Z2005" s="80" t="n">
        <x:f>K2005*'Inputs'!$B$16+(G2005+R2005)*J2005*'Inputs'!$B$16</x:f>
        <x:v>0.02230089403119656</x:v>
      </x:c>
      <x:c r="AA2005" s="80" t="n">
        <x:f>K2005*(1+'Inputs'!$E$49)/2*'Inputs'!$B$17</x:f>
        <x:v>0.007254062337137095</x:v>
      </x:c>
      <x:c r="AB2005" s="78" t="n">
        <x:f>(IF(J2005&gt;0,K2005*(1-'Inputs'!$E$49)/2/J2005,0)+G2005+R2005)*'Inputs'!$B$17</x:f>
        <x:v>150574586.80002987</x:v>
      </x:c>
      <x:c r="AC2005" s="78" t="n">
        <x:f>AC2004+AB2005</x:f>
        <x:v>3500482685.109938</x:v>
      </x:c>
      <x:c r="AD2005" s="80" t="n">
        <x:f>Z2005/(1+'Inputs'!$C$49)</x:f>
        <x:v>0.00557522350779914</x:v>
      </x:c>
      <x:c r="AE2005" s="80" t="n">
        <x:f>Z2005-AD2005</x:f>
        <x:v>0.01672567052339742</x:v>
      </x:c>
      <x:c r="AF2005" s="80" t="n">
        <x:f>D2005*W2005</x:f>
        <x:v>0.000013149903906352317</x:v>
      </x:c>
      <x:c r="AG2005" s="80" t="n">
        <x:f>C2005*W2005</x:f>
        <x:v>0.000030683109114822535</x:v>
      </x:c>
      <x:c r="AH2005" s="80" t="n">
        <x:f>2*'Inputs'!$B$8*'Inputs'!$C$49</x:f>
        <x:v>15000</x:v>
      </x:c>
      <x:c r="AI2005" s="81" t="n">
        <x:f>IF(AH2005&gt;0,(AE2005+AF2005)/AH2005*365,0)</x:f>
        <x:v>0.0004073112970643918</x:v>
      </x:c>
      <x:c r="AJ2005" s="81" t="n">
        <x:f>IF('Inputs'!$B$49&gt;0,AG2005/('Inputs'!$B$19*'Inputs'!$B$49)*365,0)</x:f>
        <x:v>0.0000011199334826910224</x:v>
      </x:c>
      <x:c r="AK2005" s="81" t="n">
        <x:f>W2005/MAX($W$1829:W2005)-1</x:f>
        <x:v>-0.9999999396140996</x:v>
      </x:c>
      <x:c r="AL2005" s="83" t="n">
        <x:f>'Inputs'!$B$49</x:f>
        <x:v>1</x:v>
      </x:c>
      <x:c r="AM2005" s="83" t="n">
        <x:f>'Inputs'!$C$49</x:f>
        <x:v>3</x:v>
      </x:c>
      <x:c r="AN2005" s="83" t="n">
        <x:f>'Inputs'!$D$49</x:f>
        <x:v>0.75</x:v>
      </x:c>
      <x:c r="AO2005" s="81" t="n">
        <x:f>'Inputs'!$E$49</x:f>
        <x:v>-0.03</x:v>
      </x:c>
    </x:row>
    <x:row r="2006">
      <x:c r="A2006" s="59" t="str">
        <x:v>Mercenary LP</x:v>
      </x:c>
      <x:c r="B2006" s="59" t="n">
        <x:v>178</x:v>
      </x:c>
      <x:c r="C2006" s="78" t="n">
        <x:f>(('Inputs'!$B$29*(3*178*'Inputs'!$B$12-178^2)/(2*'Inputs'!$B$12^2))-('Inputs'!$B$29*(3*177*'Inputs'!$B$12-177^2)/(2*'Inputs'!$B$12^2)))*'Inputs'!$B$49</x:f>
        <x:v>654279.6490898877</x:v>
      </x:c>
      <x:c r="D2006" s="78" t="n">
        <x:f>IF('Inputs'!$C$49&gt;0,('Inputs'!$B$30*(3*178*'Inputs'!$B$12-178^2)/(2*'Inputs'!$B$12^2))-('Inputs'!$B$30*(3*177*'Inputs'!$B$12-177^2)/(2*'Inputs'!$B$12^2)),0)</x:f>
        <x:v>280405.5638956651</x:v>
      </x:c>
      <x:c r="E2006" s="78" t="n">
        <x:f>C2006+D2006</x:f>
        <x:v>934685.2129855528</x:v>
      </x:c>
      <x:c r="F2006" s="78" t="n">
        <x:f>'Inputs'!$B$13*E2006+(1-'Inputs'!$B$13)/'Inputs'!$B$14*SUM(E1951:E2006)</x:f>
        <x:v>944902.889848002</x:v>
      </x:c>
      <x:c r="G2006" s="78" t="n">
        <x:f>F2006*'Inputs'!$F$49</x:f>
        <x:v>850412.6008632018</x:v>
      </x:c>
      <x:c r="H2006" s="78" t="n">
        <x:f>U2005</x:f>
        <x:v>50607863997.531296</x:v>
      </x:c>
      <x:c r="I2006" s="78" t="n">
        <x:f>V2005</x:f>
        <x:v>2.3721285195731174</x:v>
      </x:c>
      <x:c r="J2006" s="79" t="n">
        <x:f>IF(H2006&gt;0,I2006/H2006,0)</x:f>
        <x:v>4.6872725544963375e-11</x:v>
      </x:c>
      <x:c r="K2006" s="80" t="n">
        <x:f>(H2006*J2006+I2006)*'Inputs'!$D$49*(1+'Inputs'!$G$49)^(B2006/30)</x:f>
        <x:v>3.5581927793596764</x:v>
      </x:c>
      <x:c r="L2006" s="80" t="n">
        <x:f>MAX(0,K2006*'Inputs'!$E$49)</x:f>
        <x:v>0</x:v>
      </x:c>
      <x:c r="M2006" s="80" t="n">
        <x:f>MAX(0,-K2006*'Inputs'!$E$49)</x:f>
        <x:v>0.10674578338079029</x:v>
      </x:c>
      <x:c r="N2006" s="78" t="n">
        <x:f>H2006*(L2006*(1-'Inputs'!$B$15))/(I2006+L2006*(1-'Inputs'!$B$15))</x:f>
        <x:v>0</x:v>
      </x:c>
      <x:c r="O2006" s="78" t="n">
        <x:f>H2006-N2006</x:f>
        <x:v>50607863997.531296</x:v>
      </x:c>
      <x:c r="P2006" s="78" t="n">
        <x:f>I2006+L2006*(1-'Inputs'!$B$17)</x:f>
        <x:v>2.3721285195731174</x:v>
      </x:c>
      <x:c r="Q2006" s="78" t="n">
        <x:f>IF(J2006&gt;0,M2006/J2006,0)</x:f>
        <x:v>2277353879.8889084</x:v>
      </x:c>
      <x:c r="R2006" s="78" t="n">
        <x:f>IF(B2006='Inputs'!$H$49,'Inputs'!$B$27*'Inputs'!$I$49,0)</x:f>
        <x:v>0</x:v>
      </x:c>
      <x:c r="S2006" s="78" t="n">
        <x:f>Q2006+G2006+R2006</x:f>
        <x:v>2278204292.4897714</x:v>
      </x:c>
      <x:c r="T2006" s="78" t="n">
        <x:f>P2006*(S2006*(1-'Inputs'!$B$15))/(O2006+S2006*(1-'Inputs'!$B$15))</x:f>
        <x:v>0.10120731838093934</x:v>
      </x:c>
      <x:c r="U2006" s="78" t="n">
        <x:f>O2006+S2006*(1-'Inputs'!$B$17)</x:f>
        <x:v>52876900465.90642</x:v>
      </x:c>
      <x:c r="V2006" s="78" t="n">
        <x:f>P2006-T2006</x:f>
        <x:v>2.270921201192178</x:v>
      </x:c>
      <x:c r="W2006" s="79" t="n">
        <x:f>IF(U2006&gt;0,V2006/U2006,0)</x:f>
        <x:v>4.2947320686022546e-11</x:v>
      </x:c>
      <x:c r="X2006" s="80" t="n">
        <x:f>W2006*('Inputs'!$B$6-AC2006)</x:f>
        <x:v>-0.11414574711906487</x:v>
      </x:c>
      <x:c r="Y2006" s="80" t="n">
        <x:f>2*V2006</x:f>
        <x:v>4.541842402384356</x:v>
      </x:c>
      <x:c r="Z2006" s="80" t="n">
        <x:f>K2006*'Inputs'!$B$16+(G2006+R2006)*J2006*'Inputs'!$B$16</x:f>
        <x:v>0.0213493958430967</x:v>
      </x:c>
      <x:c r="AA2006" s="80" t="n">
        <x:f>K2006*(1+'Inputs'!$E$49)/2*'Inputs'!$B$17</x:f>
        <x:v>0.006944561360118483</x:v>
      </x:c>
      <x:c r="AB2006" s="78" t="n">
        <x:f>(IF(J2006&gt;0,K2006*(1-'Inputs'!$E$49)/2/J2006,0)+G2006+R2006)*'Inputs'!$B$17</x:f>
        <x:v>157325655.33478388</x:v>
      </x:c>
      <x:c r="AC2006" s="78" t="n">
        <x:f>AC2005+AB2006</x:f>
        <x:v>3657808340.444722</x:v>
      </x:c>
      <x:c r="AD2006" s="80" t="n">
        <x:f>Z2006/(1+'Inputs'!$C$49)</x:f>
        <x:v>0.005337348960774175</x:v>
      </x:c>
      <x:c r="AE2006" s="80" t="n">
        <x:f>Z2006-AD2006</x:f>
        <x:v>0.016012046882322526</x:v>
      </x:c>
      <x:c r="AF2006" s="80" t="n">
        <x:f>D2006*W2006</x:f>
        <x:v>0.000012042667674772115</x:v>
      </x:c>
      <x:c r="AG2006" s="80" t="n">
        <x:f>C2006*W2006</x:f>
        <x:v>0.000028099557907801707</x:v>
      </x:c>
      <x:c r="AH2006" s="80" t="n">
        <x:f>2*'Inputs'!$B$8*'Inputs'!$C$49</x:f>
        <x:v>15000</x:v>
      </x:c>
      <x:c r="AI2006" s="81" t="n">
        <x:f>IF(AH2006&gt;0,(AE2006+AF2006)/AH2006*365,0)</x:f>
        <x:v>0.0003899195123832676</x:v>
      </x:c>
      <x:c r="AJ2006" s="81" t="n">
        <x:f>IF('Inputs'!$B$49&gt;0,AG2006/('Inputs'!$B$19*'Inputs'!$B$49)*365,0)</x:f>
        <x:v>0.0000010256338636347624</x:v>
      </x:c>
      <x:c r="AK2006" s="81" t="n">
        <x:f>W2006/MAX($W$1829:W2006)-1</x:f>
        <x:v>-0.9999999446711793</x:v>
      </x:c>
      <x:c r="AL2006" s="83" t="n">
        <x:f>'Inputs'!$B$49</x:f>
        <x:v>1</x:v>
      </x:c>
      <x:c r="AM2006" s="83" t="n">
        <x:f>'Inputs'!$C$49</x:f>
        <x:v>3</x:v>
      </x:c>
      <x:c r="AN2006" s="83" t="n">
        <x:f>'Inputs'!$D$49</x:f>
        <x:v>0.75</x:v>
      </x:c>
      <x:c r="AO2006" s="81" t="n">
        <x:f>'Inputs'!$E$49</x:f>
        <x:v>-0.03</x:v>
      </x:c>
    </x:row>
    <x:row r="2007">
      <x:c r="A2007" s="59" t="str">
        <x:v>Mercenary LP</x:v>
      </x:c>
      <x:c r="B2007" s="59" t="n">
        <x:v>179</x:v>
      </x:c>
      <x:c r="C2007" s="78" t="n">
        <x:f>(('Inputs'!$B$29*(3*179*'Inputs'!$B$12-179^2)/(2*'Inputs'!$B$12^2))-('Inputs'!$B$29*(3*178*'Inputs'!$B$12-178^2)/(2*'Inputs'!$B$12^2)))*'Inputs'!$B$49</x:f>
        <x:v>653954.5411897153</x:v>
      </x:c>
      <x:c r="D2007" s="78" t="n">
        <x:f>IF('Inputs'!$C$49&gt;0,('Inputs'!$B$30*(3*179*'Inputs'!$B$12-179^2)/(2*'Inputs'!$B$12^2))-('Inputs'!$B$30*(3*178*'Inputs'!$B$12-178^2)/(2*'Inputs'!$B$12^2)),0)</x:f>
        <x:v>280266.2319384515</x:v>
      </x:c>
      <x:c r="E2007" s="78" t="n">
        <x:f>C2007+D2007</x:f>
        <x:v>934220.7731281668</x:v>
      </x:c>
      <x:c r="F2007" s="78" t="n">
        <x:f>'Inputs'!$B$13*E2007+(1-'Inputs'!$B$13)/'Inputs'!$B$14*SUM(E1952:E2007)</x:f>
        <x:v>944438.4499906176</x:v>
      </x:c>
      <x:c r="G2007" s="78" t="n">
        <x:f>F2007*'Inputs'!$F$49</x:f>
        <x:v>849994.6049915558</x:v>
      </x:c>
      <x:c r="H2007" s="78" t="n">
        <x:f>U2006</x:f>
        <x:v>52876900465.90642</x:v>
      </x:c>
      <x:c r="I2007" s="78" t="n">
        <x:f>V2006</x:f>
        <x:v>2.270921201192178</x:v>
      </x:c>
      <x:c r="J2007" s="79" t="n">
        <x:f>IF(H2007&gt;0,I2007/H2007,0)</x:f>
        <x:v>4.2947320686022546e-11</x:v>
      </x:c>
      <x:c r="K2007" s="80" t="n">
        <x:f>(H2007*J2007+I2007)*'Inputs'!$D$49*(1+'Inputs'!$G$49)^(B2007/30)</x:f>
        <x:v>3.406381801788267</x:v>
      </x:c>
      <x:c r="L2007" s="80" t="n">
        <x:f>MAX(0,K2007*'Inputs'!$E$49)</x:f>
        <x:v>0</x:v>
      </x:c>
      <x:c r="M2007" s="80" t="n">
        <x:f>MAX(0,-K2007*'Inputs'!$E$49)</x:f>
        <x:v>0.102191454053648</x:v>
      </x:c>
      <x:c r="N2007" s="78" t="n">
        <x:f>H2007*(L2007*(1-'Inputs'!$B$15))/(I2007+L2007*(1-'Inputs'!$B$15))</x:f>
        <x:v>0</x:v>
      </x:c>
      <x:c r="O2007" s="78" t="n">
        <x:f>H2007-N2007</x:f>
        <x:v>52876900465.90642</x:v>
      </x:c>
      <x:c r="P2007" s="78" t="n">
        <x:f>I2007+L2007*(1-'Inputs'!$B$17)</x:f>
        <x:v>2.270921201192178</x:v>
      </x:c>
      <x:c r="Q2007" s="78" t="n">
        <x:f>IF(J2007&gt;0,M2007/J2007,0)</x:f>
        <x:v>2379460520.965789</x:v>
      </x:c>
      <x:c r="R2007" s="78" t="n">
        <x:f>IF(B2007='Inputs'!$H$49,'Inputs'!$B$27*'Inputs'!$I$49,0)</x:f>
        <x:v>0</x:v>
      </x:c>
      <x:c r="S2007" s="78" t="n">
        <x:f>Q2007+G2007+R2007</x:f>
        <x:v>2380310515.5707803</x:v>
      </x:c>
      <x:c r="T2007" s="78" t="n">
        <x:f>P2007*(S2007*(1-'Inputs'!$B$15))/(O2007+S2007*(1-'Inputs'!$B$15))</x:f>
        <x:v>0.09688778666456725</x:v>
      </x:c>
      <x:c r="U2007" s="78" t="n">
        <x:f>O2007+S2007*(1-'Inputs'!$B$17)</x:f>
        <x:v>55247632267.12882</x:v>
      </x:c>
      <x:c r="V2007" s="78" t="n">
        <x:f>P2007-T2007</x:f>
        <x:v>2.1740334145276106</x:v>
      </x:c>
      <x:c r="W2007" s="79" t="n">
        <x:f>IF(U2007&gt;0,V2007/U2007,0)</x:f>
        <x:v>3.935070744780342e-11</x:v>
      </x:c>
      <x:c r="X2007" s="80" t="n">
        <x:f>W2007*('Inputs'!$B$6-AC2007)</x:f>
        <x:v>-0.11105508013140344</x:v>
      </x:c>
      <x:c r="Y2007" s="80" t="n">
        <x:f>2*V2007</x:f>
        <x:v>4.348066829055221</x:v>
      </x:c>
      <x:c r="Z2007" s="80" t="n">
        <x:f>K2007*'Inputs'!$B$16+(G2007+R2007)*J2007*'Inputs'!$B$16</x:f>
        <x:v>0.020438509840674895</x:v>
      </x:c>
      <x:c r="AA2007" s="80" t="n">
        <x:f>K2007*(1+'Inputs'!$E$49)/2*'Inputs'!$B$17</x:f>
        <x:v>0.0066482703173734795</x:v>
      </x:c>
      <x:c r="AB2007" s="78" t="n">
        <x:f>(IF(J2007&gt;0,K2007*(1-'Inputs'!$E$49)/2/J2007,0)+G2007+R2007)*'Inputs'!$B$17</x:f>
        <x:v>164379298.2073147</x:v>
      </x:c>
      <x:c r="AC2007" s="78" t="n">
        <x:f>AC2006+AB2007</x:f>
        <x:v>3822187638.6520367</x:v>
      </x:c>
      <x:c r="AD2007" s="80" t="n">
        <x:f>Z2007/(1+'Inputs'!$C$49)</x:f>
        <x:v>0.005109627460168724</x:v>
      </x:c>
      <x:c r="AE2007" s="80" t="n">
        <x:f>Z2007-AD2007</x:f>
        <x:v>0.01532888238050617</x:v>
      </x:c>
      <x:c r="AF2007" s="80" t="n">
        <x:f>D2007*W2007</x:f>
        <x:v>0.000011028674500508225</x:v>
      </x:c>
      <x:c r="AG2007" s="80" t="n">
        <x:f>C2007*W2007</x:f>
        <x:v>0.000025733573834518998</x:v>
      </x:c>
      <x:c r="AH2007" s="80" t="n">
        <x:f>2*'Inputs'!$B$8*'Inputs'!$C$49</x:f>
        <x:v>15000</x:v>
      </x:c>
      <x:c r="AI2007" s="81" t="n">
        <x:f>IF(AH2007&gt;0,(AE2007+AF2007)/AH2007*365,0)</x:f>
        <x:v>0.0003732711690051625</x:v>
      </x:c>
      <x:c r="AJ2007" s="81" t="n">
        <x:f>IF('Inputs'!$B$49&gt;0,AG2007/('Inputs'!$B$19*'Inputs'!$B$49)*365,0)</x:f>
        <x:v>9.392754449599434e-7</x:v>
      </x:c>
      <x:c r="AK2007" s="81" t="n">
        <x:f>W2007/MAX($W$1829:W2007)-1</x:f>
        <x:v>-0.9999999493046783</x:v>
      </x:c>
      <x:c r="AL2007" s="83" t="n">
        <x:f>'Inputs'!$B$49</x:f>
        <x:v>1</x:v>
      </x:c>
      <x:c r="AM2007" s="83" t="n">
        <x:f>'Inputs'!$C$49</x:f>
        <x:v>3</x:v>
      </x:c>
      <x:c r="AN2007" s="83" t="n">
        <x:f>'Inputs'!$D$49</x:f>
        <x:v>0.75</x:v>
      </x:c>
      <x:c r="AO2007" s="81" t="n">
        <x:f>'Inputs'!$E$49</x:f>
        <x:v>-0.03</x:v>
      </x:c>
    </x:row>
    <x:row r="2008">
      <x:c r="A2008" s="59" t="str">
        <x:v>Mercenary LP</x:v>
      </x:c>
      <x:c r="B2008" s="59" t="n">
        <x:v>180</x:v>
      </x:c>
      <x:c r="C2008" s="78" t="n">
        <x:f>(('Inputs'!$B$29*(3*180*'Inputs'!$B$12-180^2)/(2*'Inputs'!$B$12^2))-('Inputs'!$B$29*(3*179*'Inputs'!$B$12-179^2)/(2*'Inputs'!$B$12^2)))*'Inputs'!$B$49</x:f>
        <x:v>653629.4332895428</x:v>
      </x:c>
      <x:c r="D2008" s="78" t="n">
        <x:f>IF('Inputs'!$C$49&gt;0,('Inputs'!$B$30*(3*180*'Inputs'!$B$12-180^2)/(2*'Inputs'!$B$12^2))-('Inputs'!$B$30*(3*179*'Inputs'!$B$12-179^2)/(2*'Inputs'!$B$12^2)),0)</x:f>
        <x:v>280126.8999812305</x:v>
      </x:c>
      <x:c r="E2008" s="78" t="n">
        <x:f>C2008+D2008</x:f>
        <x:v>933756.3332707733</x:v>
      </x:c>
      <x:c r="F2008" s="78" t="n">
        <x:f>'Inputs'!$B$13*E2008+(1-'Inputs'!$B$13)/'Inputs'!$B$14*SUM(E1953:E2008)</x:f>
        <x:v>943974.0101332314</x:v>
      </x:c>
      <x:c r="G2008" s="78" t="n">
        <x:f>F2008*'Inputs'!$F$49</x:f>
        <x:v>849576.6091199083</x:v>
      </x:c>
      <x:c r="H2008" s="78" t="n">
        <x:f>U2007</x:f>
        <x:v>55247632267.12882</x:v>
      </x:c>
      <x:c r="I2008" s="78" t="n">
        <x:f>V2007</x:f>
        <x:v>2.1740334145276106</x:v>
      </x:c>
      <x:c r="J2008" s="79" t="n">
        <x:f>IF(H2008&gt;0,I2008/H2008,0)</x:f>
        <x:v>3.935070744780342e-11</x:v>
      </x:c>
      <x:c r="K2008" s="80" t="n">
        <x:f>(H2008*J2008+I2008)*'Inputs'!$D$49*(1+'Inputs'!$G$49)^(B2008/30)</x:f>
        <x:v>3.261050121791416</x:v>
      </x:c>
      <x:c r="L2008" s="80" t="n">
        <x:f>MAX(0,K2008*'Inputs'!$E$49)</x:f>
        <x:v>0</x:v>
      </x:c>
      <x:c r="M2008" s="80" t="n">
        <x:f>MAX(0,-K2008*'Inputs'!$E$49)</x:f>
        <x:v>0.09783150365374248</x:v>
      </x:c>
      <x:c r="N2008" s="78" t="n">
        <x:f>H2008*(L2008*(1-'Inputs'!$B$15))/(I2008+L2008*(1-'Inputs'!$B$15))</x:f>
        <x:v>0</x:v>
      </x:c>
      <x:c r="O2008" s="78" t="n">
        <x:f>H2008-N2008</x:f>
        <x:v>55247632267.12882</x:v>
      </x:c>
      <x:c r="P2008" s="78" t="n">
        <x:f>I2008+L2008*(1-'Inputs'!$B$17)</x:f>
        <x:v>2.1740334145276106</x:v>
      </x:c>
      <x:c r="Q2008" s="78" t="n">
        <x:f>IF(J2008&gt;0,M2008/J2008,0)</x:f>
        <x:v>2486143452.020797</x:v>
      </x:c>
      <x:c r="R2008" s="78" t="n">
        <x:f>IF(B2008='Inputs'!$H$49,'Inputs'!$B$27*'Inputs'!$I$49,0)</x:f>
        <x:v>0</x:v>
      </x:c>
      <x:c r="S2008" s="78" t="n">
        <x:f>Q2008+G2008+R2008</x:f>
        <x:v>2486993028.6299167</x:v>
      </x:c>
      <x:c r="T2008" s="78" t="n">
        <x:f>P2008*(S2008*(1-'Inputs'!$B$15))/(O2008+S2008*(1-'Inputs'!$B$15))</x:f>
        <x:v>0.09275273916135504</x:v>
      </x:c>
      <x:c r="U2008" s="78" t="n">
        <x:f>O2008+S2008*(1-'Inputs'!$B$17)</x:f>
        <x:v>57724617275.522804</x:v>
      </x:c>
      <x:c r="V2008" s="78" t="n">
        <x:f>P2008-T2008</x:f>
        <x:v>2.0812806753662554</x:v>
      </x:c>
      <x:c r="W2008" s="79" t="n">
        <x:f>IF(U2008&gt;0,V2008/U2008,0)</x:f>
        <x:v>3.60553395344691e-11</x:v>
      </x:c>
      <x:c r="X2008" s="80" t="n">
        <x:f>W2008*('Inputs'!$B$6-AC2008)</x:f>
        <x:v>-0.10794740480846295</x:v>
      </x:c>
      <x:c r="Y2008" s="80" t="n">
        <x:f>2*V2008</x:f>
        <x:v>4.162561350732511</x:v>
      </x:c>
      <x:c r="Z2008" s="80" t="n">
        <x:f>K2008*'Inputs'!$B$16+(G2008+R2008)*J2008*'Inputs'!$B$16</x:f>
        <x:v>0.0195665013193921</x:v>
      </x:c>
      <x:c r="AA2008" s="80" t="n">
        <x:f>K2008*(1+'Inputs'!$E$49)/2*'Inputs'!$B$17</x:f>
        <x:v>0.006364624986192503</x:v>
      </x:c>
      <x:c r="AB2008" s="78" t="n">
        <x:f>(IF(J2008&gt;0,K2008*(1-'Inputs'!$E$49)/2/J2008,0)+G2008+R2008)*'Inputs'!$B$17</x:f>
        <x:v>171749076.4706887</x:v>
      </x:c>
      <x:c r="AC2008" s="78" t="n">
        <x:f>AC2007+AB2008</x:f>
        <x:v>3993936715.1227255</x:v>
      </x:c>
      <x:c r="AD2008" s="80" t="n">
        <x:f>Z2008/(1+'Inputs'!$C$49)</x:f>
        <x:v>0.004891625329848025</x:v>
      </x:c>
      <x:c r="AE2008" s="80" t="n">
        <x:f>Z2008-AD2008</x:f>
        <x:v>0.014674875989544076</x:v>
      </x:c>
      <x:c r="AF2008" s="80" t="n">
        <x:f>D2008*W2008</x:f>
        <x:v>0.00001010007049156153</x:v>
      </x:c>
      <x:c r="AG2008" s="80" t="n">
        <x:f>C2008*W2008</x:f>
        <x:v>0.000023566831146977083</x:v>
      </x:c>
      <x:c r="AH2008" s="80" t="n">
        <x:f>2*'Inputs'!$B$8*'Inputs'!$C$49</x:f>
        <x:v>15000</x:v>
      </x:c>
      <x:c r="AI2008" s="81" t="n">
        <x:f>IF(AH2008&gt;0,(AE2008+AF2008)/AH2008*365,0)</x:f>
        <x:v>0.00035733441746086715</x:v>
      </x:c>
      <x:c r="AJ2008" s="81" t="n">
        <x:f>IF('Inputs'!$B$49&gt;0,AG2008/('Inputs'!$B$19*'Inputs'!$B$49)*365,0)</x:f>
        <x:v>8.601893368646635e-7</x:v>
      </x:c>
      <x:c r="AK2008" s="81" t="n">
        <x:f>W2008/MAX($W$1829:W2008)-1</x:f>
        <x:v>-0.9999999535500845</x:v>
      </x:c>
      <x:c r="AL2008" s="83" t="n">
        <x:f>'Inputs'!$B$49</x:f>
        <x:v>1</x:v>
      </x:c>
      <x:c r="AM2008" s="83" t="n">
        <x:f>'Inputs'!$C$49</x:f>
        <x:v>3</x:v>
      </x:c>
      <x:c r="AN2008" s="83" t="n">
        <x:f>'Inputs'!$D$49</x:f>
        <x:v>0.75</x:v>
      </x:c>
      <x:c r="AO2008" s="81" t="n">
        <x:f>'Inputs'!$E$49</x:f>
        <x:v>-0.03</x:v>
      </x:c>
    </x:row>
    <x:row r="2009">
      <x:c r="A2009" s="59" t="str">
        <x:v>Mercenary LP</x:v>
      </x:c>
      <x:c r="B2009" s="59" t="n">
        <x:v>181</x:v>
      </x:c>
      <x:c r="C2009" s="78" t="n">
        <x:f>(('Inputs'!$B$29*(3*181*'Inputs'!$B$12-181^2)/(2*'Inputs'!$B$12^2))-('Inputs'!$B$29*(3*180*'Inputs'!$B$12-180^2)/(2*'Inputs'!$B$12^2)))*'Inputs'!$B$49</x:f>
        <x:v>653304.3253893852</x:v>
      </x:c>
      <x:c r="D2009" s="78" t="n">
        <x:f>IF('Inputs'!$C$49&gt;0,('Inputs'!$B$30*(3*181*'Inputs'!$B$12-181^2)/(2*'Inputs'!$B$12^2))-('Inputs'!$B$30*(3*180*'Inputs'!$B$12-180^2)/(2*'Inputs'!$B$12^2)),0)</x:f>
        <x:v>279987.56802402437</x:v>
      </x:c>
      <x:c r="E2009" s="78" t="n">
        <x:f>C2009+D2009</x:f>
        <x:v>933291.8934134096</x:v>
      </x:c>
      <x:c r="F2009" s="78" t="n">
        <x:f>'Inputs'!$B$13*E2009+(1-'Inputs'!$B$13)/'Inputs'!$B$14*SUM(E1954:E2009)</x:f>
        <x:v>943509.5702758515</x:v>
      </x:c>
      <x:c r="G2009" s="78" t="n">
        <x:f>F2009*'Inputs'!$F$49</x:f>
        <x:v>849158.6132482664</x:v>
      </x:c>
      <x:c r="H2009" s="78" t="n">
        <x:f>U2008</x:f>
        <x:v>57724617275.522804</x:v>
      </x:c>
      <x:c r="I2009" s="78" t="n">
        <x:f>V2008</x:f>
        <x:v>2.0812806753662554</x:v>
      </x:c>
      <x:c r="J2009" s="79" t="n">
        <x:f>IF(H2009&gt;0,I2009/H2009,0)</x:f>
        <x:v>3.60553395344691e-11</x:v>
      </x:c>
      <x:c r="K2009" s="80" t="n">
        <x:f>(H2009*J2009+I2009)*'Inputs'!$D$49*(1+'Inputs'!$G$49)^(B2009/30)</x:f>
        <x:v>3.1219210130493833</x:v>
      </x:c>
      <x:c r="L2009" s="80" t="n">
        <x:f>MAX(0,K2009*'Inputs'!$E$49)</x:f>
        <x:v>0</x:v>
      </x:c>
      <x:c r="M2009" s="80" t="n">
        <x:f>MAX(0,-K2009*'Inputs'!$E$49)</x:f>
        <x:v>0.09365763039148149</x:v>
      </x:c>
      <x:c r="N2009" s="78" t="n">
        <x:f>H2009*(L2009*(1-'Inputs'!$B$15))/(I2009+L2009*(1-'Inputs'!$B$15))</x:f>
        <x:v>0</x:v>
      </x:c>
      <x:c r="O2009" s="78" t="n">
        <x:f>H2009-N2009</x:f>
        <x:v>57724617275.522804</x:v>
      </x:c>
      <x:c r="P2009" s="78" t="n">
        <x:f>I2009+L2009*(1-'Inputs'!$B$17)</x:f>
        <x:v>2.0812806753662554</x:v>
      </x:c>
      <x:c r="Q2009" s="78" t="n">
        <x:f>IF(J2009&gt;0,M2009/J2009,0)</x:f>
        <x:v>2597607777.398526</x:v>
      </x:c>
      <x:c r="R2009" s="78" t="n">
        <x:f>IF(B2009='Inputs'!$H$49,'Inputs'!$B$27*'Inputs'!$I$49,0)</x:f>
        <x:v>0</x:v>
      </x:c>
      <x:c r="S2009" s="78" t="n">
        <x:f>Q2009+G2009+R2009</x:f>
        <x:v>2598456936.0117745</x:v>
      </x:c>
      <x:c r="T2009" s="78" t="n">
        <x:f>P2009*(S2009*(1-'Inputs'!$B$15))/(O2009+S2009*(1-'Inputs'!$B$15))</x:f>
        <x:v>0.0887942860326867</x:v>
      </x:c>
      <x:c r="U2009" s="78" t="n">
        <x:f>O2009+S2009*(1-'Inputs'!$B$17)</x:f>
        <x:v>60312617644.38765</x:v>
      </x:c>
      <x:c r="V2009" s="78" t="n">
        <x:f>P2009-T2009</x:f>
        <x:v>1.9924863893335687</x:v>
      </x:c>
      <x:c r="W2009" s="79" t="n">
        <x:f>IF(U2009&gt;0,V2009/U2009,0)</x:f>
        <x:v>3.3035979321633344e-11</x:v>
      </x:c>
      <x:c r="X2009" s="80" t="n">
        <x:f>W2009*('Inputs'!$B$6-AC2009)</x:f>
        <x:v>-0.10483591011607862</x:v>
      </x:c>
      <x:c r="Y2009" s="80" t="n">
        <x:f>2*V2009</x:f>
        <x:v>3.9849727786671374</x:v>
      </x:c>
      <x:c r="Z2009" s="80" t="n">
        <x:f>K2009*'Inputs'!$B$16+(G2009+R2009)*J2009*'Inputs'!$B$16</x:f>
        <x:v>0.018731709778509017</x:v>
      </x:c>
      <x:c r="AA2009" s="80" t="n">
        <x:f>K2009*(1+'Inputs'!$E$49)/2*'Inputs'!$B$17</x:f>
        <x:v>0.00609308527697767</x:v>
      </x:c>
      <x:c r="AB2009" s="78" t="n">
        <x:f>(IF(J2009&gt;0,K2009*(1-'Inputs'!$E$49)/2/J2009,0)+G2009+R2009)*'Inputs'!$B$17</x:f>
        <x:v>179449158.96963632</x:v>
      </x:c>
      <x:c r="AC2009" s="78" t="n">
        <x:f>AC2008+AB2009</x:f>
        <x:v>4173385874.092362</x:v>
      </x:c>
      <x:c r="AD2009" s="80" t="n">
        <x:f>Z2009/(1+'Inputs'!$C$49)</x:f>
        <x:v>0.004682927444627254</x:v>
      </x:c>
      <x:c r="AE2009" s="80" t="n">
        <x:f>Z2009-AD2009</x:f>
        <x:v>0.014048782333881762</x:v>
      </x:c>
      <x:c r="AF2009" s="80" t="n">
        <x:f>D2009*W2009</x:f>
        <x:v>0.000009249663507556078</x:v>
      </x:c>
      <x:c r="AG2009" s="80" t="n">
        <x:f>C2009*W2009</x:f>
        <x:v>0.00002158254818429735</x:v>
      </x:c>
      <x:c r="AH2009" s="80" t="n">
        <x:f>2*'Inputs'!$B$8*'Inputs'!$C$49</x:f>
        <x:v>15000</x:v>
      </x:c>
      <x:c r="AI2009" s="81" t="n">
        <x:f>IF(AH2009&gt;0,(AE2009+AF2009)/AH2009*365,0)</x:f>
        <x:v>0.0003420787786031401</x:v>
      </x:c>
      <x:c r="AJ2009" s="81" t="n">
        <x:f>IF('Inputs'!$B$49&gt;0,AG2009/('Inputs'!$B$19*'Inputs'!$B$49)*365,0)</x:f>
        <x:v>7.877630087268532e-7</x:v>
      </x:c>
      <x:c r="AK2009" s="81" t="n">
        <x:f>W2009/MAX($W$1829:W2009)-1</x:f>
        <x:v>-0.9999999574399113</x:v>
      </x:c>
      <x:c r="AL2009" s="83" t="n">
        <x:f>'Inputs'!$B$49</x:f>
        <x:v>1</x:v>
      </x:c>
      <x:c r="AM2009" s="83" t="n">
        <x:f>'Inputs'!$C$49</x:f>
        <x:v>3</x:v>
      </x:c>
      <x:c r="AN2009" s="83" t="n">
        <x:f>'Inputs'!$D$49</x:f>
        <x:v>0.75</x:v>
      </x:c>
      <x:c r="AO2009" s="81" t="n">
        <x:f>'Inputs'!$E$49</x:f>
        <x:v>-0.03</x:v>
      </x:c>
    </x:row>
    <x:row r="2010">
      <x:c r="A2010" s="59" t="str">
        <x:v>Mercenary LP</x:v>
      </x:c>
      <x:c r="B2010" s="59" t="n">
        <x:v>182</x:v>
      </x:c>
      <x:c r="C2010" s="78" t="n">
        <x:f>(('Inputs'!$B$29*(3*182*'Inputs'!$B$12-182^2)/(2*'Inputs'!$B$12^2))-('Inputs'!$B$29*(3*181*'Inputs'!$B$12-181^2)/(2*'Inputs'!$B$12^2)))*'Inputs'!$B$49</x:f>
        <x:v>652979.2174892128</x:v>
      </x:c>
      <x:c r="D2010" s="78" t="n">
        <x:f>IF('Inputs'!$C$49&gt;0,('Inputs'!$B$30*(3*182*'Inputs'!$B$12-182^2)/(2*'Inputs'!$B$12^2))-('Inputs'!$B$30*(3*181*'Inputs'!$B$12-181^2)/(2*'Inputs'!$B$12^2)),0)</x:f>
        <x:v>279848.23606680334</x:v>
      </x:c>
      <x:c r="E2010" s="78" t="n">
        <x:f>C2010+D2010</x:f>
        <x:v>932827.4535560161</x:v>
      </x:c>
      <x:c r="F2010" s="78" t="n">
        <x:f>'Inputs'!$B$13*E2010+(1-'Inputs'!$B$13)/'Inputs'!$B$14*SUM(E1955:E2010)</x:f>
        <x:v>943045.1304184655</x:v>
      </x:c>
      <x:c r="G2010" s="78" t="n">
        <x:f>F2010*'Inputs'!$F$49</x:f>
        <x:v>848740.6173766189</x:v>
      </x:c>
      <x:c r="H2010" s="78" t="n">
        <x:f>U2009</x:f>
        <x:v>60312617644.38765</x:v>
      </x:c>
      <x:c r="I2010" s="78" t="n">
        <x:f>V2009</x:f>
        <x:v>1.9924863893335687</x:v>
      </x:c>
      <x:c r="J2010" s="79" t="n">
        <x:f>IF(H2010&gt;0,I2010/H2010,0)</x:f>
        <x:v>3.3035979321633344e-11</x:v>
      </x:c>
      <x:c r="K2010" s="80" t="n">
        <x:f>(H2010*J2010+I2010)*'Inputs'!$D$49*(1+'Inputs'!$G$49)^(B2010/30)</x:f>
        <x:v>2.988729584000353</x:v>
      </x:c>
      <x:c r="L2010" s="80" t="n">
        <x:f>MAX(0,K2010*'Inputs'!$E$49)</x:f>
        <x:v>0</x:v>
      </x:c>
      <x:c r="M2010" s="80" t="n">
        <x:f>MAX(0,-K2010*'Inputs'!$E$49)</x:f>
        <x:v>0.08966188752001059</x:v>
      </x:c>
      <x:c r="N2010" s="78" t="n">
        <x:f>H2010*(L2010*(1-'Inputs'!$B$15))/(I2010+L2010*(1-'Inputs'!$B$15))</x:f>
        <x:v>0</x:v>
      </x:c>
      <x:c r="O2010" s="78" t="n">
        <x:f>H2010-N2010</x:f>
        <x:v>60312617644.38765</x:v>
      </x:c>
      <x:c r="P2010" s="78" t="n">
        <x:f>I2010+L2010*(1-'Inputs'!$B$17)</x:f>
        <x:v>1.9924863893335687</x:v>
      </x:c>
      <x:c r="Q2010" s="78" t="n">
        <x:f>IF(J2010&gt;0,M2010/J2010,0)</x:f>
        <x:v>2714067793.997444</x:v>
      </x:c>
      <x:c r="R2010" s="78" t="n">
        <x:f>IF(B2010='Inputs'!$H$49,'Inputs'!$B$27*'Inputs'!$I$49,0)</x:f>
        <x:v>0</x:v>
      </x:c>
      <x:c r="S2010" s="78" t="n">
        <x:f>Q2010+G2010+R2010</x:f>
        <x:v>2714916534.614821</x:v>
      </x:c>
      <x:c r="T2010" s="78" t="n">
        <x:f>P2010*(S2010*(1-'Inputs'!$B$15))/(O2010+S2010*(1-'Inputs'!$B$15))</x:f>
        <x:v>0.08500487576070953</x:v>
      </x:c>
      <x:c r="U2010" s="78" t="n">
        <x:f>O2010+S2010*(1-'Inputs'!$B$17)</x:f>
        <x:v>63016608961.55935</x:v>
      </x:c>
      <x:c r="V2010" s="78" t="n">
        <x:f>P2010-T2010</x:f>
        <x:v>1.907481513572859</x:v>
      </x:c>
      <x:c r="W2010" s="79" t="n">
        <x:f>IF(U2010&gt;0,V2010/U2010,0)</x:f>
        <x:v>3.026950426254194e-11</x:v>
      </x:c>
      <x:c r="X2010" s="80" t="n">
        <x:f>W2010*('Inputs'!$B$6-AC2010)</x:f>
        <x:v>-0.10173217825637719</x:v>
      </x:c>
      <x:c r="Y2010" s="80" t="n">
        <x:f>2*V2010</x:f>
        <x:v>3.814963027145718</x:v>
      </x:c>
      <x:c r="Z2010" s="80" t="n">
        <x:f>K2010*'Inputs'!$B$16+(G2010+R2010)*J2010*'Inputs'!$B$16</x:f>
        <x:v>0.017932545737867032</x:v>
      </x:c>
      <x:c r="AA2010" s="80" t="n">
        <x:f>K2010*(1+'Inputs'!$E$49)/2*'Inputs'!$B$17</x:f>
        <x:v>0.005833134198149583</x:v>
      </x:c>
      <x:c r="AB2010" s="78" t="n">
        <x:f>(IF(J2010&gt;0,K2010*(1-'Inputs'!$E$49)/2/J2010,0)+G2010+R2010)*'Inputs'!$B$17</x:f>
        <x:v>187494349.58111408</x:v>
      </x:c>
      <x:c r="AC2010" s="78" t="n">
        <x:f>AC2009+AB2010</x:f>
        <x:v>4360880223.673476</x:v>
      </x:c>
      <x:c r="AD2010" s="80" t="n">
        <x:f>Z2010/(1+'Inputs'!$C$49)</x:f>
        <x:v>0.004483136434466758</x:v>
      </x:c>
      <x:c r="AE2010" s="80" t="n">
        <x:f>Z2010-AD2010</x:f>
        <x:v>0.013449409303400274</x:v>
      </x:c>
      <x:c r="AF2010" s="80" t="n">
        <x:f>D2010*W2010</x:f>
        <x:v>0.000008470867374488946</x:v>
      </x:c>
      <x:c r="AG2010" s="80" t="n">
        <x:f>C2010*W2010</x:f>
        <x:v>0.000019765357207141024</x:v>
      </x:c>
      <x:c r="AH2010" s="80" t="n">
        <x:f>2*'Inputs'!$B$8*'Inputs'!$C$49</x:f>
        <x:v>15000</x:v>
      </x:c>
      <x:c r="AI2010" s="81" t="n">
        <x:f>IF(AH2010&gt;0,(AE2010+AF2010)/AH2010*365,0)</x:f>
        <x:v>0.00032747508415551923</x:v>
      </x:c>
      <x:c r="AJ2010" s="81" t="n">
        <x:f>IF('Inputs'!$B$49&gt;0,AG2010/('Inputs'!$B$19*'Inputs'!$B$49)*365,0)</x:f>
        <x:v>7.214355380606474e-7</x:v>
      </x:c>
      <x:c r="AK2010" s="81" t="n">
        <x:f>W2010/MAX($W$1829:W2010)-1</x:f>
        <x:v>-0.9999999610039474</x:v>
      </x:c>
      <x:c r="AL2010" s="83" t="n">
        <x:f>'Inputs'!$B$49</x:f>
        <x:v>1</x:v>
      </x:c>
      <x:c r="AM2010" s="83" t="n">
        <x:f>'Inputs'!$C$49</x:f>
        <x:v>3</x:v>
      </x:c>
      <x:c r="AN2010" s="83" t="n">
        <x:f>'Inputs'!$D$49</x:f>
        <x:v>0.75</x:v>
      </x:c>
      <x:c r="AO2010" s="81" t="n">
        <x:f>'Inputs'!$E$49</x:f>
        <x:v>-0.03</x:v>
      </x:c>
    </x:row>
    <x:row r="2011">
      <x:c r="A2011" s="59" t="str">
        <x:v>Mercenary LP</x:v>
      </x:c>
      <x:c r="B2011" s="59" t="n">
        <x:v>183</x:v>
      </x:c>
      <x:c r="C2011" s="78" t="n">
        <x:f>(('Inputs'!$B$29*(3*183*'Inputs'!$B$12-183^2)/(2*'Inputs'!$B$12^2))-('Inputs'!$B$29*(3*182*'Inputs'!$B$12-182^2)/(2*'Inputs'!$B$12^2)))*'Inputs'!$B$49</x:f>
        <x:v>652654.1095890403</x:v>
      </x:c>
      <x:c r="D2011" s="78" t="n">
        <x:f>IF('Inputs'!$C$49&gt;0,('Inputs'!$B$30*(3*183*'Inputs'!$B$12-183^2)/(2*'Inputs'!$B$12^2))-('Inputs'!$B$30*(3*182*'Inputs'!$B$12-182^2)/(2*'Inputs'!$B$12^2)),0)</x:f>
        <x:v>279708.90410958976</x:v>
      </x:c>
      <x:c r="E2011" s="78" t="n">
        <x:f>C2011+D2011</x:f>
        <x:v>932363.01369863</x:v>
      </x:c>
      <x:c r="F2011" s="78" t="n">
        <x:f>'Inputs'!$B$13*E2011+(1-'Inputs'!$B$13)/'Inputs'!$B$14*SUM(E1956:E2011)</x:f>
        <x:v>942580.690561081</x:v>
      </x:c>
      <x:c r="G2011" s="78" t="n">
        <x:f>F2011*'Inputs'!$F$49</x:f>
        <x:v>848322.6215049729</x:v>
      </x:c>
      <x:c r="H2011" s="78" t="n">
        <x:f>U2010</x:f>
        <x:v>63016608961.55935</x:v>
      </x:c>
      <x:c r="I2011" s="78" t="n">
        <x:f>V2010</x:f>
        <x:v>1.907481513572859</x:v>
      </x:c>
      <x:c r="J2011" s="79" t="n">
        <x:f>IF(H2011&gt;0,I2011/H2011,0)</x:f>
        <x:v>3.026950426254194e-11</x:v>
      </x:c>
      <x:c r="K2011" s="80" t="n">
        <x:f>(H2011*J2011+I2011)*'Inputs'!$D$49*(1+'Inputs'!$G$49)^(B2011/30)</x:f>
        <x:v>2.8612222703592884</x:v>
      </x:c>
      <x:c r="L2011" s="80" t="n">
        <x:f>MAX(0,K2011*'Inputs'!$E$49)</x:f>
        <x:v>0</x:v>
      </x:c>
      <x:c r="M2011" s="80" t="n">
        <x:f>MAX(0,-K2011*'Inputs'!$E$49)</x:f>
        <x:v>0.08583666811077865</x:v>
      </x:c>
      <x:c r="N2011" s="78" t="n">
        <x:f>H2011*(L2011*(1-'Inputs'!$B$15))/(I2011+L2011*(1-'Inputs'!$B$15))</x:f>
        <x:v>0</x:v>
      </x:c>
      <x:c r="O2011" s="78" t="n">
        <x:f>H2011-N2011</x:f>
        <x:v>63016608961.55935</x:v>
      </x:c>
      <x:c r="P2011" s="78" t="n">
        <x:f>I2011+L2011*(1-'Inputs'!$B$17)</x:f>
        <x:v>1.907481513572859</x:v>
      </x:c>
      <x:c r="Q2011" s="78" t="n">
        <x:f>IF(J2011&gt;0,M2011/J2011,0)</x:f>
        <x:v>2835747403.27017</x:v>
      </x:c>
      <x:c r="R2011" s="78" t="n">
        <x:f>IF(B2011='Inputs'!$H$49,'Inputs'!$B$27*'Inputs'!$I$49,0)</x:f>
        <x:v>0</x:v>
      </x:c>
      <x:c r="S2011" s="78" t="n">
        <x:f>Q2011+G2011+R2011</x:f>
        <x:v>2836595725.891675</x:v>
      </x:c>
      <x:c r="T2011" s="78" t="n">
        <x:f>P2011*(S2011*(1-'Inputs'!$B$15))/(O2011+S2011*(1-'Inputs'!$B$15))</x:f>
        <x:v>0.08137728056559632</x:v>
      </x:c>
      <x:c r="U2011" s="78" t="n">
        <x:f>O2011+S2011*(1-'Inputs'!$B$17)</x:f>
        <x:v>65841789815.31464</x:v>
      </x:c>
      <x:c r="V2011" s="78" t="n">
        <x:f>P2011-T2011</x:f>
        <x:v>1.8261042330072628</x:v>
      </x:c>
      <x:c r="W2011" s="79" t="n">
        <x:f>IF(U2011&gt;0,V2011/U2011,0)</x:f>
        <x:v>2.7734729540759164e-11</x:v>
      </x:c>
      <x:c r="X2011" s="80" t="n">
        <x:f>W2011*('Inputs'!$B$6-AC2011)</x:f>
        <x:v>-0.09864634074774065</x:v>
      </x:c>
      <x:c r="Y2011" s="80" t="n">
        <x:f>2*V2011</x:f>
        <x:v>3.6522084660145255</x:v>
      </x:c>
      <x:c r="Z2011" s="80" t="n">
        <x:f>K2011*'Inputs'!$B$16+(G2011+R2011)*J2011*'Inputs'!$B$16</x:f>
        <x:v>0.017167487691986977</x:v>
      </x:c>
      <x:c r="AA2011" s="80" t="n">
        <x:f>K2011*(1+'Inputs'!$E$49)/2*'Inputs'!$B$17</x:f>
        <x:v>0.005584276865691167</x:v>
      </x:c>
      <x:c r="AB2011" s="78" t="n">
        <x:f>(IF(J2011&gt;0,K2011*(1-'Inputs'!$E$49)/2/J2011,0)+G2011+R2011)*'Inputs'!$B$17</x:f>
        <x:v>195900115.675759</x:v>
      </x:c>
      <x:c r="AC2011" s="78" t="n">
        <x:f>AC2010+AB2011</x:f>
        <x:v>4556780339.349236</x:v>
      </x:c>
      <x:c r="AD2011" s="80" t="n">
        <x:f>Z2011/(1+'Inputs'!$C$49)</x:f>
        <x:v>0.004291871922996744</x:v>
      </x:c>
      <x:c r="AE2011" s="80" t="n">
        <x:f>Z2011-AD2011</x:f>
        <x:v>0.012875615768990233</x:v>
      </x:c>
      <x:c r="AF2011" s="80" t="n">
        <x:f>D2011*W2011</x:f>
        <x:v>0.000007757650805621612</x:v>
      </x:c>
      <x:c r="AG2011" s="80" t="n">
        <x:f>C2011*W2011</x:f>
        <x:v>0.000018101185213117024</x:v>
      </x:c>
      <x:c r="AH2011" s="80" t="n">
        <x:f>2*'Inputs'!$B$8*'Inputs'!$C$49</x:f>
        <x:v>15000</x:v>
      </x:c>
      <x:c r="AI2011" s="81" t="n">
        <x:f>IF(AH2011&gt;0,(AE2011+AF2011)/AH2011*365,0)</x:f>
        <x:v>0.00031349541988169913</x:v>
      </x:c>
      <x:c r="AJ2011" s="81" t="n">
        <x:f>IF('Inputs'!$B$49&gt;0,AG2011/('Inputs'!$B$19*'Inputs'!$B$49)*365,0)</x:f>
        <x:v>6.606932602787714e-7</x:v>
      </x:c>
      <x:c r="AK2011" s="81" t="n">
        <x:f>W2011/MAX($W$1829:W2011)-1</x:f>
        <x:v>-0.9999999642694851</x:v>
      </x:c>
      <x:c r="AL2011" s="83" t="n">
        <x:f>'Inputs'!$B$49</x:f>
        <x:v>1</x:v>
      </x:c>
      <x:c r="AM2011" s="83" t="n">
        <x:f>'Inputs'!$C$49</x:f>
        <x:v>3</x:v>
      </x:c>
      <x:c r="AN2011" s="83" t="n">
        <x:f>'Inputs'!$D$49</x:f>
        <x:v>0.75</x:v>
      </x:c>
      <x:c r="AO2011" s="81" t="n">
        <x:f>'Inputs'!$E$49</x:f>
        <x:v>-0.03</x:v>
      </x:c>
    </x:row>
    <x:row r="2012">
      <x:c r="A2012" s="59" t="str">
        <x:v>Mercenary LP</x:v>
      </x:c>
      <x:c r="B2012" s="59" t="n">
        <x:v>184</x:v>
      </x:c>
      <x:c r="C2012" s="78" t="n">
        <x:f>(('Inputs'!$B$29*(3*184*'Inputs'!$B$12-184^2)/(2*'Inputs'!$B$12^2))-('Inputs'!$B$29*(3*183*'Inputs'!$B$12-183^2)/(2*'Inputs'!$B$12^2)))*'Inputs'!$B$49</x:f>
        <x:v>652329.0016888678</x:v>
      </x:c>
      <x:c r="D2012" s="78" t="n">
        <x:f>IF('Inputs'!$C$49&gt;0,('Inputs'!$B$30*(3*184*'Inputs'!$B$12-184^2)/(2*'Inputs'!$B$12^2))-('Inputs'!$B$30*(3*183*'Inputs'!$B$12-183^2)/(2*'Inputs'!$B$12^2)),0)</x:f>
        <x:v>279569.5721523687</x:v>
      </x:c>
      <x:c r="E2012" s="78" t="n">
        <x:f>C2012+D2012</x:f>
        <x:v>931898.5738412365</x:v>
      </x:c>
      <x:c r="F2012" s="78" t="n">
        <x:f>'Inputs'!$B$13*E2012+(1-'Inputs'!$B$13)/'Inputs'!$B$14*SUM(E1957:E2012)</x:f>
        <x:v>942116.2507036949</x:v>
      </x:c>
      <x:c r="G2012" s="78" t="n">
        <x:f>F2012*'Inputs'!$F$49</x:f>
        <x:v>847904.6256333254</x:v>
      </x:c>
      <x:c r="H2012" s="78" t="n">
        <x:f>U2011</x:f>
        <x:v>65841789815.31464</x:v>
      </x:c>
      <x:c r="I2012" s="78" t="n">
        <x:f>V2011</x:f>
        <x:v>1.8261042330072628</x:v>
      </x:c>
      <x:c r="J2012" s="79" t="n">
        <x:f>IF(H2012&gt;0,I2012/H2012,0)</x:f>
        <x:v>2.7734729540759164e-11</x:v>
      </x:c>
      <x:c r="K2012" s="80" t="n">
        <x:f>(H2012*J2012+I2012)*'Inputs'!$D$49*(1+'Inputs'!$G$49)^(B2012/30)</x:f>
        <x:v>2.7391563495108944</x:v>
      </x:c>
      <x:c r="L2012" s="80" t="n">
        <x:f>MAX(0,K2012*'Inputs'!$E$49)</x:f>
        <x:v>0</x:v>
      </x:c>
      <x:c r="M2012" s="80" t="n">
        <x:f>MAX(0,-K2012*'Inputs'!$E$49)</x:f>
        <x:v>0.08217469048532683</x:v>
      </x:c>
      <x:c r="N2012" s="78" t="n">
        <x:f>H2012*(L2012*(1-'Inputs'!$B$15))/(I2012+L2012*(1-'Inputs'!$B$15))</x:f>
        <x:v>0</x:v>
      </x:c>
      <x:c r="O2012" s="78" t="n">
        <x:f>H2012-N2012</x:f>
        <x:v>65841789815.31464</x:v>
      </x:c>
      <x:c r="P2012" s="78" t="n">
        <x:f>I2012+L2012*(1-'Inputs'!$B$17)</x:f>
        <x:v>1.8261042330072628</x:v>
      </x:c>
      <x:c r="Q2012" s="78" t="n">
        <x:f>IF(J2012&gt;0,M2012/J2012,0)</x:f>
        <x:v>2962880541.689159</x:v>
      </x:c>
      <x:c r="R2012" s="78" t="n">
        <x:f>IF(B2012='Inputs'!$H$49,'Inputs'!$B$27*'Inputs'!$I$49,0)</x:f>
        <x:v>0</x:v>
      </x:c>
      <x:c r="S2012" s="78" t="n">
        <x:f>Q2012+G2012+R2012</x:f>
        <x:v>2963728446.314792</x:v>
      </x:c>
      <x:c r="T2012" s="78" t="n">
        <x:f>P2012*(S2012*(1-'Inputs'!$B$15))/(O2012+S2012*(1-'Inputs'!$B$15))</x:f>
        <x:v>0.07790458245769817</x:v>
      </x:c>
      <x:c r="U2012" s="78" t="n">
        <x:f>O2012+S2012*(1-'Inputs'!$B$17)</x:f>
        <x:v>68793591789.00844</x:v>
      </x:c>
      <x:c r="V2012" s="78" t="n">
        <x:f>P2012-T2012</x:f>
        <x:v>1.7481996505495645</x:v>
      </x:c>
      <x:c r="W2012" s="79" t="n">
        <x:f>IF(U2012&gt;0,V2012/U2012,0)</x:f>
        <x:v>2.5412245604377424e-11</x:v>
      </x:c>
      <x:c r="X2012" s="80" t="n">
        <x:f>W2012*('Inputs'!$B$6-AC2012)</x:f>
        <x:v>-0.09558722050024068</x:v>
      </x:c>
      <x:c r="Y2012" s="80" t="n">
        <x:f>2*V2012</x:f>
        <x:v>3.496399301099129</x:v>
      </x:c>
      <x:c r="Z2012" s="80" t="n">
        <x:f>K2012*'Inputs'!$B$16+(G2012+R2012)*J2012*'Inputs'!$B$16</x:f>
        <x:v>0.016435079195498175</x:v>
      </x:c>
      <x:c r="AA2012" s="80" t="n">
        <x:f>K2012*(1+'Inputs'!$E$49)/2*'Inputs'!$B$17</x:f>
        <x:v>0.005346039555383436</x:v>
      </x:c>
      <x:c r="AB2012" s="78" t="n">
        <x:f>(IF(J2012&gt;0,K2012*(1-'Inputs'!$E$49)/2/J2012,0)+G2012+R2012)*'Inputs'!$B$17</x:f>
        <x:v>204682617.85495454</x:v>
      </x:c>
      <x:c r="AC2012" s="78" t="n">
        <x:f>AC2011+AB2012</x:f>
        <x:v>4761462957.20419</x:v>
      </x:c>
      <x:c r="AD2012" s="80" t="n">
        <x:f>Z2012/(1+'Inputs'!$C$49)</x:f>
        <x:v>0.004108769798874544</x:v>
      </x:c>
      <x:c r="AE2012" s="80" t="n">
        <x:f>Z2012-AD2012</x:f>
        <x:v>0.01232630939662363</x:v>
      </x:c>
      <x:c r="AF2012" s="80" t="n">
        <x:f>D2012*W2012</x:f>
        <x:v>0.000007104490631046709</x:v>
      </x:c>
      <x:c r="AG2012" s="80" t="n">
        <x:f>C2012*W2012</x:f>
        <x:v>0.000016577144805775844</x:v>
      </x:c>
      <x:c r="AH2012" s="80" t="n">
        <x:f>2*'Inputs'!$B$8*'Inputs'!$C$49</x:f>
        <x:v>15000</x:v>
      </x:c>
      <x:c r="AI2012" s="81" t="n">
        <x:f>IF(AH2012&gt;0,(AE2012+AF2012)/AH2012*365,0)</x:f>
        <x:v>0.0003001130712565305</x:v>
      </x:c>
      <x:c r="AJ2012" s="81" t="n">
        <x:f>IF('Inputs'!$B$49&gt;0,AG2012/('Inputs'!$B$19*'Inputs'!$B$49)*365,0)</x:f>
        <x:v>6.050657854108183e-7</x:v>
      </x:c>
      <x:c r="AK2012" s="81" t="n">
        <x:f>W2012/MAX($W$1829:W2012)-1</x:f>
        <x:v>-0.9999999672615297</x:v>
      </x:c>
      <x:c r="AL2012" s="83" t="n">
        <x:f>'Inputs'!$B$49</x:f>
        <x:v>1</x:v>
      </x:c>
      <x:c r="AM2012" s="83" t="n">
        <x:f>'Inputs'!$C$49</x:f>
        <x:v>3</x:v>
      </x:c>
      <x:c r="AN2012" s="83" t="n">
        <x:f>'Inputs'!$D$49</x:f>
        <x:v>0.75</x:v>
      </x:c>
      <x:c r="AO2012" s="81" t="n">
        <x:f>'Inputs'!$E$49</x:f>
        <x:v>-0.03</x:v>
      </x:c>
    </x:row>
    <x:row r="2013">
      <x:c r="A2013" s="59" t="str">
        <x:v>Mercenary LP</x:v>
      </x:c>
      <x:c r="B2013" s="59" t="n">
        <x:v>185</x:v>
      </x:c>
      <x:c r="C2013" s="78" t="n">
        <x:f>(('Inputs'!$B$29*(3*185*'Inputs'!$B$12-185^2)/(2*'Inputs'!$B$12^2))-('Inputs'!$B$29*(3*184*'Inputs'!$B$12-184^2)/(2*'Inputs'!$B$12^2)))*'Inputs'!$B$49</x:f>
        <x:v>652003.8937887102</x:v>
      </x:c>
      <x:c r="D2013" s="78" t="n">
        <x:f>IF('Inputs'!$C$49&gt;0,('Inputs'!$B$30*(3*185*'Inputs'!$B$12-185^2)/(2*'Inputs'!$B$12^2))-('Inputs'!$B$30*(3*184*'Inputs'!$B$12-184^2)/(2*'Inputs'!$B$12^2)),0)</x:f>
        <x:v>279430.2401951626</x:v>
      </x:c>
      <x:c r="E2013" s="78" t="n">
        <x:f>C2013+D2013</x:f>
        <x:v>931434.1339838728</x:v>
      </x:c>
      <x:c r="F2013" s="78" t="n">
        <x:f>'Inputs'!$B$13*E2013+(1-'Inputs'!$B$13)/'Inputs'!$B$14*SUM(E1958:E2013)</x:f>
        <x:v>941651.810846315</x:v>
      </x:c>
      <x:c r="G2013" s="78" t="n">
        <x:f>F2013*'Inputs'!$F$49</x:f>
        <x:v>847486.6297616835</x:v>
      </x:c>
      <x:c r="H2013" s="78" t="n">
        <x:f>U2012</x:f>
        <x:v>68793591789.00844</x:v>
      </x:c>
      <x:c r="I2013" s="78" t="n">
        <x:f>V2012</x:f>
        <x:v>1.7481996505495645</x:v>
      </x:c>
      <x:c r="J2013" s="79" t="n">
        <x:f>IF(H2013&gt;0,I2013/H2013,0)</x:f>
        <x:v>2.5412245604377424e-11</x:v>
      </x:c>
      <x:c r="K2013" s="80" t="n">
        <x:f>(H2013*J2013+I2013)*'Inputs'!$D$49*(1+'Inputs'!$G$49)^(B2013/30)</x:f>
        <x:v>2.622299475824347</x:v>
      </x:c>
      <x:c r="L2013" s="80" t="n">
        <x:f>MAX(0,K2013*'Inputs'!$E$49)</x:f>
        <x:v>0</x:v>
      </x:c>
      <x:c r="M2013" s="80" t="n">
        <x:f>MAX(0,-K2013*'Inputs'!$E$49)</x:f>
        <x:v>0.0786689842747304</x:v>
      </x:c>
      <x:c r="N2013" s="78" t="n">
        <x:f>H2013*(L2013*(1-'Inputs'!$B$15))/(I2013+L2013*(1-'Inputs'!$B$15))</x:f>
        <x:v>0</x:v>
      </x:c>
      <x:c r="O2013" s="78" t="n">
        <x:f>H2013-N2013</x:f>
        <x:v>68793591789.00844</x:v>
      </x:c>
      <x:c r="P2013" s="78" t="n">
        <x:f>I2013+L2013*(1-'Inputs'!$B$17)</x:f>
        <x:v>1.7481996505495645</x:v>
      </x:c>
      <x:c r="Q2013" s="78" t="n">
        <x:f>IF(J2013&gt;0,M2013/J2013,0)</x:f>
        <x:v>3095711630.5053797</x:v>
      </x:c>
      <x:c r="R2013" s="78" t="n">
        <x:f>IF(B2013='Inputs'!$H$49,'Inputs'!$B$27*'Inputs'!$I$49,0)</x:f>
        <x:v>0</x:v>
      </x:c>
      <x:c r="S2013" s="78" t="n">
        <x:f>Q2013+G2013+R2013</x:f>
        <x:v>3096559117.1351414</x:v>
      </x:c>
      <x:c r="T2013" s="78" t="n">
        <x:f>P2013*(S2013*(1-'Inputs'!$B$15))/(O2013+S2013*(1-'Inputs'!$B$15))</x:f>
        <x:v>0.07458015989641723</x:v>
      </x:c>
      <x:c r="U2013" s="78" t="n">
        <x:f>O2013+S2013*(1-'Inputs'!$B$17)</x:f>
        <x:v>71877689903.66014</x:v>
      </x:c>
      <x:c r="V2013" s="78" t="n">
        <x:f>P2013-T2013</x:f>
        <x:v>1.6736194906531472</x:v>
      </x:c>
      <x:c r="W2013" s="79" t="n">
        <x:f>IF(U2013&gt;0,V2013/U2013,0)</x:f>
        <x:v>2.3284269331643108e-11</x:v>
      </x:c>
      <x:c r="X2013" s="80" t="n">
        <x:f>W2013*('Inputs'!$B$6-AC2013)</x:f>
        <x:v>-0.09256246110139273</x:v>
      </x:c>
      <x:c r="Y2013" s="80" t="n">
        <x:f>2*V2013</x:f>
        <x:v>3.3472389813062944</x:v>
      </x:c>
      <x:c r="Z2013" s="80" t="n">
        <x:f>K2013*'Inputs'!$B$16+(G2013+R2013)*J2013*'Inputs'!$B$16</x:f>
        <x:v>0.015733926074176372</x:v>
      </x:c>
      <x:c r="AA2013" s="80" t="n">
        <x:f>K2013*(1+'Inputs'!$E$49)/2*'Inputs'!$B$17</x:f>
        <x:v>0.00511796879587448</x:v>
      </x:c>
      <x:c r="AB2013" s="78" t="n">
        <x:f>(IF(J2013&gt;0,K2013*(1-'Inputs'!$E$49)/2/J2013,0)+G2013+R2013)*'Inputs'!$B$17</x:f>
        <x:v>213858741.02067924</x:v>
      </x:c>
      <x:c r="AC2013" s="78" t="n">
        <x:f>AC2012+AB2013</x:f>
        <x:v>4975321698.22487</x:v>
      </x:c>
      <x:c r="AD2013" s="80" t="n">
        <x:f>Z2013/(1+'Inputs'!$C$49)</x:f>
        <x:v>0.003933481518544093</x:v>
      </x:c>
      <x:c r="AE2013" s="80" t="n">
        <x:f>Z2013-AD2013</x:f>
        <x:v>0.01180044455563228</x:v>
      </x:c>
      <x:c r="AF2013" s="80" t="n">
        <x:f>D2013*W2013</x:f>
        <x:v>0.000006506328972109892</x:v>
      </x:c>
      <x:c r="AG2013" s="80" t="n">
        <x:f>C2013*W2013</x:f>
        <x:v>0.000015181434268256356</x:v>
      </x:c>
      <x:c r="AH2013" s="80" t="n">
        <x:f>2*'Inputs'!$B$8*'Inputs'!$C$49</x:f>
        <x:v>15000</x:v>
      </x:c>
      <x:c r="AI2013" s="81" t="n">
        <x:f>IF(AH2013&gt;0,(AE2013+AF2013)/AH2013*365,0)</x:f>
        <x:v>0.00028730247152537346</x:v>
      </x:c>
      <x:c r="AJ2013" s="81" t="n">
        <x:f>IF('Inputs'!$B$49&gt;0,AG2013/('Inputs'!$B$19*'Inputs'!$B$49)*365,0)</x:f>
        <x:v>5.541223507913569e-7</x:v>
      </x:c>
      <x:c r="AK2013" s="81" t="n">
        <x:f>W2013/MAX($W$1829:W2013)-1</x:f>
        <x:v>-0.999999970002991</x:v>
      </x:c>
      <x:c r="AL2013" s="83" t="n">
        <x:f>'Inputs'!$B$49</x:f>
        <x:v>1</x:v>
      </x:c>
      <x:c r="AM2013" s="83" t="n">
        <x:f>'Inputs'!$C$49</x:f>
        <x:v>3</x:v>
      </x:c>
      <x:c r="AN2013" s="83" t="n">
        <x:f>'Inputs'!$D$49</x:f>
        <x:v>0.75</x:v>
      </x:c>
      <x:c r="AO2013" s="81" t="n">
        <x:f>'Inputs'!$E$49</x:f>
        <x:v>-0.03</x:v>
      </x:c>
    </x:row>
    <x:row r="2014">
      <x:c r="A2014" s="59" t="str">
        <x:v>Mercenary LP</x:v>
      </x:c>
      <x:c r="B2014" s="59" t="n">
        <x:v>186</x:v>
      </x:c>
      <x:c r="C2014" s="78" t="n">
        <x:f>(('Inputs'!$B$29*(3*186*'Inputs'!$B$12-186^2)/(2*'Inputs'!$B$12^2))-('Inputs'!$B$29*(3*185*'Inputs'!$B$12-185^2)/(2*'Inputs'!$B$12^2)))*'Inputs'!$B$49</x:f>
        <x:v>651678.7858885229</x:v>
      </x:c>
      <x:c r="D2014" s="78" t="n">
        <x:f>IF('Inputs'!$C$49&gt;0,('Inputs'!$B$30*(3*186*'Inputs'!$B$12-186^2)/(2*'Inputs'!$B$12^2))-('Inputs'!$B$30*(3*185*'Inputs'!$B$12-185^2)/(2*'Inputs'!$B$12^2)),0)</x:f>
        <x:v>279290.90823794156</x:v>
      </x:c>
      <x:c r="E2014" s="78" t="n">
        <x:f>C2014+D2014</x:f>
        <x:v>930969.6941264644</x:v>
      </x:c>
      <x:c r="F2014" s="78" t="n">
        <x:f>'Inputs'!$B$13*E2014+(1-'Inputs'!$B$13)/'Inputs'!$B$14*SUM(E1959:E2014)</x:f>
        <x:v>941187.3709889259</x:v>
      </x:c>
      <x:c r="G2014" s="78" t="n">
        <x:f>F2014*'Inputs'!$F$49</x:f>
        <x:v>847068.6338900334</x:v>
      </x:c>
      <x:c r="H2014" s="78" t="n">
        <x:f>U2013</x:f>
        <x:v>71877689903.66014</x:v>
      </x:c>
      <x:c r="I2014" s="78" t="n">
        <x:f>V2013</x:f>
        <x:v>1.6736194906531472</x:v>
      </x:c>
      <x:c r="J2014" s="79" t="n">
        <x:f>IF(H2014&gt;0,I2014/H2014,0)</x:f>
        <x:v>2.3284269331643108e-11</x:v>
      </x:c>
      <x:c r="K2014" s="80" t="n">
        <x:f>(H2014*J2014+I2014)*'Inputs'!$D$49*(1+'Inputs'!$G$49)^(B2014/30)</x:f>
        <x:v>2.510429235979721</x:v>
      </x:c>
      <x:c r="L2014" s="80" t="n">
        <x:f>MAX(0,K2014*'Inputs'!$E$49)</x:f>
        <x:v>0</x:v>
      </x:c>
      <x:c r="M2014" s="80" t="n">
        <x:f>MAX(0,-K2014*'Inputs'!$E$49)</x:f>
        <x:v>0.07531287707939162</x:v>
      </x:c>
      <x:c r="N2014" s="78" t="n">
        <x:f>H2014*(L2014*(1-'Inputs'!$B$15))/(I2014+L2014*(1-'Inputs'!$B$15))</x:f>
        <x:v>0</x:v>
      </x:c>
      <x:c r="O2014" s="78" t="n">
        <x:f>H2014-N2014</x:f>
        <x:v>71877689903.66014</x:v>
      </x:c>
      <x:c r="P2014" s="78" t="n">
        <x:f>I2014+L2014*(1-'Inputs'!$B$17)</x:f>
        <x:v>1.6736194906531472</x:v>
      </x:c>
      <x:c r="Q2014" s="78" t="n">
        <x:f>IF(J2014&gt;0,M2014/J2014,0)</x:f>
        <x:v>3234496045.6647058</x:v>
      </x:c>
      <x:c r="R2014" s="78" t="n">
        <x:f>IF(B2014='Inputs'!$H$49,'Inputs'!$B$27*'Inputs'!$I$49,0)</x:f>
        <x:v>0</x:v>
      </x:c>
      <x:c r="S2014" s="78" t="n">
        <x:f>Q2014+G2014+R2014</x:f>
        <x:v>3235343114.298596</x:v>
      </x:c>
      <x:c r="T2014" s="78" t="n">
        <x:f>P2014*(S2014*(1-'Inputs'!$B$15))/(O2014+S2014*(1-'Inputs'!$B$15))</x:f>
        <x:v>0.07139767502892319</x:v>
      </x:c>
      <x:c r="U2014" s="78" t="n">
        <x:f>O2014+S2014*(1-'Inputs'!$B$17)</x:f>
        <x:v>75100013528.56519</x:v>
      </x:c>
      <x:c r="V2014" s="78" t="n">
        <x:f>P2014-T2014</x:f>
        <x:v>1.602221815624224</x:v>
      </x:c>
      <x:c r="W2014" s="79" t="n">
        <x:f>IF(U2014&gt;0,V2014/U2014,0)</x:f>
        <x:v>2.1334507683075184e-11</x:v>
      </x:c>
      <x:c r="X2014" s="80" t="n">
        <x:f>W2014*('Inputs'!$B$6-AC2014)</x:f>
        <x:v>-0.08957864442324995</x:v>
      </x:c>
      <x:c r="Y2014" s="80" t="n">
        <x:f>2*V2014</x:f>
        <x:v>3.204443631248448</x:v>
      </x:c>
      <x:c r="Z2014" s="80" t="n">
        <x:f>K2014*'Inputs'!$B$16+(G2014+R2014)*J2014*'Inputs'!$B$16</x:f>
        <x:v>0.01506269375612361</x:v>
      </x:c>
      <x:c r="AA2014" s="80" t="n">
        <x:f>K2014*(1+'Inputs'!$E$49)/2*'Inputs'!$B$17</x:f>
        <x:v>0.004899630500805492</x:v>
      </x:c>
      <x:c r="AB2014" s="78" t="n">
        <x:f>(IF(J2014&gt;0,K2014*(1-'Inputs'!$E$49)/2/J2014,0)+G2014+R2014)*'Inputs'!$B$17</x:f>
        <x:v>223446126.83787265</x:v>
      </x:c>
      <x:c r="AC2014" s="78" t="n">
        <x:f>AC2013+AB2014</x:f>
        <x:v>5198767825.062742</x:v>
      </x:c>
      <x:c r="AD2014" s="80" t="n">
        <x:f>Z2014/(1+'Inputs'!$C$49)</x:f>
        <x:v>0.0037656734390309025</x:v>
      </x:c>
      <x:c r="AE2014" s="80" t="n">
        <x:f>Z2014-AD2014</x:f>
        <x:v>0.011297020317092708</x:v>
      </x:c>
      <x:c r="AF2014" s="80" t="n">
        <x:f>D2014*W2014</x:f>
        <x:v>0.000005958534027615411</x:v>
      </x:c>
      <x:c r="AG2014" s="80" t="n">
        <x:f>C2014*W2014</x:f>
        <x:v>0.000013903246064435799</x:v>
      </x:c>
      <x:c r="AH2014" s="80" t="n">
        <x:f>2*'Inputs'!$B$8*'Inputs'!$C$49</x:f>
        <x:v>15000</x:v>
      </x:c>
      <x:c r="AI2014" s="81" t="n">
        <x:f>IF(AH2014&gt;0,(AE2014+AF2014)/AH2014*365,0)</x:f>
        <x:v>0.0002750391520439279</x:v>
      </x:c>
      <x:c r="AJ2014" s="81" t="n">
        <x:f>IF('Inputs'!$B$49&gt;0,AG2014/('Inputs'!$B$19*'Inputs'!$B$49)*365,0)</x:f>
        <x:v>5.074684813519066e-7</x:v>
      </x:c>
      <x:c r="AK2014" s="81" t="n">
        <x:f>W2014/MAX($W$1829:W2014)-1</x:f>
        <x:v>-0.9999999725148593</x:v>
      </x:c>
      <x:c r="AL2014" s="83" t="n">
        <x:f>'Inputs'!$B$49</x:f>
        <x:v>1</x:v>
      </x:c>
      <x:c r="AM2014" s="83" t="n">
        <x:f>'Inputs'!$C$49</x:f>
        <x:v>3</x:v>
      </x:c>
      <x:c r="AN2014" s="83" t="n">
        <x:f>'Inputs'!$D$49</x:f>
        <x:v>0.75</x:v>
      </x:c>
      <x:c r="AO2014" s="81" t="n">
        <x:f>'Inputs'!$E$49</x:f>
        <x:v>-0.03</x:v>
      </x:c>
    </x:row>
    <x:row r="2015">
      <x:c r="A2015" s="59" t="str">
        <x:v>Mercenary LP</x:v>
      </x:c>
      <x:c r="B2015" s="59" t="n">
        <x:v>187</x:v>
      </x:c>
      <x:c r="C2015" s="78" t="n">
        <x:f>(('Inputs'!$B$29*(3*187*'Inputs'!$B$12-187^2)/(2*'Inputs'!$B$12^2))-('Inputs'!$B$29*(3*186*'Inputs'!$B$12-186^2)/(2*'Inputs'!$B$12^2)))*'Inputs'!$B$49</x:f>
        <x:v>651353.6779883653</x:v>
      </x:c>
      <x:c r="D2015" s="78" t="n">
        <x:f>IF('Inputs'!$C$49&gt;0,('Inputs'!$B$30*(3*187*'Inputs'!$B$12-187^2)/(2*'Inputs'!$B$12^2))-('Inputs'!$B$30*(3*186*'Inputs'!$B$12-186^2)/(2*'Inputs'!$B$12^2)),0)</x:f>
        <x:v>279151.576280728</x:v>
      </x:c>
      <x:c r="E2015" s="78" t="n">
        <x:f>C2015+D2015</x:f>
        <x:v>930505.2542690933</x:v>
      </x:c>
      <x:c r="F2015" s="78" t="n">
        <x:f>'Inputs'!$B$13*E2015+(1-'Inputs'!$B$13)/'Inputs'!$B$14*SUM(E1960:E2015)</x:f>
        <x:v>940722.9311315443</x:v>
      </x:c>
      <x:c r="G2015" s="78" t="n">
        <x:f>F2015*'Inputs'!$F$49</x:f>
        <x:v>846650.6380183899</x:v>
      </x:c>
      <x:c r="H2015" s="78" t="n">
        <x:f>U2014</x:f>
        <x:v>75100013528.56519</x:v>
      </x:c>
      <x:c r="I2015" s="78" t="n">
        <x:f>V2014</x:f>
        <x:v>1.602221815624224</x:v>
      </x:c>
      <x:c r="J2015" s="79" t="n">
        <x:f>IF(H2015&gt;0,I2015/H2015,0)</x:f>
        <x:v>2.1334507683075184e-11</x:v>
      </x:c>
      <x:c r="K2015" s="80" t="n">
        <x:f>(H2015*J2015+I2015)*'Inputs'!$D$49*(1+'Inputs'!$G$49)^(B2015/30)</x:f>
        <x:v>2.4033327234363364</x:v>
      </x:c>
      <x:c r="L2015" s="80" t="n">
        <x:f>MAX(0,K2015*'Inputs'!$E$49)</x:f>
        <x:v>0</x:v>
      </x:c>
      <x:c r="M2015" s="80" t="n">
        <x:f>MAX(0,-K2015*'Inputs'!$E$49)</x:f>
        <x:v>0.0720999817030901</x:v>
      </x:c>
      <x:c r="N2015" s="78" t="n">
        <x:f>H2015*(L2015*(1-'Inputs'!$B$15))/(I2015+L2015*(1-'Inputs'!$B$15))</x:f>
        <x:v>0</x:v>
      </x:c>
      <x:c r="O2015" s="78" t="n">
        <x:f>H2015-N2015</x:f>
        <x:v>75100013528.56519</x:v>
      </x:c>
      <x:c r="P2015" s="78" t="n">
        <x:f>I2015+L2015*(1-'Inputs'!$B$17)</x:f>
        <x:v>1.602221815624224</x:v>
      </x:c>
      <x:c r="Q2015" s="78" t="n">
        <x:f>IF(J2015&gt;0,M2015/J2015,0)</x:f>
        <x:v>3379500608.785434</x:v>
      </x:c>
      <x:c r="R2015" s="78" t="n">
        <x:f>IF(B2015='Inputs'!$H$49,'Inputs'!$B$27*'Inputs'!$I$49,0)</x:f>
        <x:v>0</x:v>
      </x:c>
      <x:c r="S2015" s="78" t="n">
        <x:f>Q2015+G2015+R2015</x:f>
        <x:v>3380347259.4234524</x:v>
      </x:c>
      <x:c r="T2015" s="78" t="n">
        <x:f>P2015*(S2015*(1-'Inputs'!$B$15))/(O2015+S2015*(1-'Inputs'!$B$15))</x:f>
        <x:v>0.06835106148306716</x:v>
      </x:c>
      <x:c r="U2015" s="78" t="n">
        <x:f>O2015+S2015*(1-'Inputs'!$B$17)</x:f>
        <x:v>78466757780.90846</x:v>
      </x:c>
      <x:c r="V2015" s="78" t="n">
        <x:f>P2015-T2015</x:f>
        <x:v>1.533870754141157</x:v>
      </x:c>
      <x:c r="W2015" s="79" t="n">
        <x:f>IF(U2015&gt;0,V2015/U2015,0)</x:f>
        <x:v>1.9548032791465213e-11</x:v>
      </x:c>
      <x:c r="X2015" s="80" t="n">
        <x:f>W2015*('Inputs'!$B$6-AC2015)</x:f>
        <x:v>-0.0866413975668522</x:v>
      </x:c>
      <x:c r="Y2015" s="80" t="n">
        <x:f>2*V2015</x:f>
        <x:v>3.067741508282314</x:v>
      </x:c>
      <x:c r="Z2015" s="80" t="n">
        <x:f>K2015*'Inputs'!$B$16+(G2015+R2015)*J2015*'Inputs'!$B$16</x:f>
        <x:v>0.014420104717865269</x:v>
      </x:c>
      <x:c r="AA2015" s="80" t="n">
        <x:f>K2015*(1+'Inputs'!$E$49)/2*'Inputs'!$B$17</x:f>
        <x:v>0.00469060913829627</x:v>
      </x:c>
      <x:c r="AB2015" s="78" t="n">
        <x:f>(IF(J2015&gt;0,K2015*(1-'Inputs'!$E$49)/2/J2015,0)+G2015+R2015)*'Inputs'!$B$17</x:f>
        <x:v>233463207.6517289</x:v>
      </x:c>
      <x:c r="AC2015" s="78" t="n">
        <x:f>AC2014+AB2015</x:f>
        <x:v>5432231032.714471</x:v>
      </x:c>
      <x:c r="AD2015" s="80" t="n">
        <x:f>Z2015/(1+'Inputs'!$C$49)</x:f>
        <x:v>0.003605026179466317</x:v>
      </x:c>
      <x:c r="AE2015" s="80" t="n">
        <x:f>Z2015-AD2015</x:f>
        <x:v>0.010815078538398951</x:v>
      </x:c>
      <x:c r="AF2015" s="80" t="n">
        <x:f>D2015*W2015</x:f>
        <x:v>0.000005456864166924874</x:v>
      </x:c>
      <x:c r="AG2015" s="80" t="n">
        <x:f>C2015*W2015</x:f>
        <x:v>0.000012732683056158038</x:v>
      </x:c>
      <x:c r="AH2015" s="80" t="n">
        <x:f>2*'Inputs'!$B$8*'Inputs'!$C$49</x:f>
        <x:v>15000</x:v>
      </x:c>
      <x:c r="AI2015" s="81" t="n">
        <x:f>IF(AH2015&gt;0,(AE2015+AF2015)/AH2015*365,0)</x:f>
        <x:v>0.0002632996947957697</x:v>
      </x:c>
      <x:c r="AJ2015" s="81" t="n">
        <x:f>IF('Inputs'!$B$49&gt;0,AG2015/('Inputs'!$B$19*'Inputs'!$B$49)*365,0)</x:f>
        <x:v>4.647429315497684e-7</x:v>
      </x:c>
      <x:c r="AK2015" s="81" t="n">
        <x:f>W2015/MAX($W$1829:W2015)-1</x:f>
        <x:v>-0.999999974816366</x:v>
      </x:c>
      <x:c r="AL2015" s="83" t="n">
        <x:f>'Inputs'!$B$49</x:f>
        <x:v>1</x:v>
      </x:c>
      <x:c r="AM2015" s="83" t="n">
        <x:f>'Inputs'!$C$49</x:f>
        <x:v>3</x:v>
      </x:c>
      <x:c r="AN2015" s="83" t="n">
        <x:f>'Inputs'!$D$49</x:f>
        <x:v>0.75</x:v>
      </x:c>
      <x:c r="AO2015" s="81" t="n">
        <x:f>'Inputs'!$E$49</x:f>
        <x:v>-0.03</x:v>
      </x:c>
    </x:row>
    <x:row r="2016">
      <x:c r="A2016" s="59" t="str">
        <x:v>Mercenary LP</x:v>
      </x:c>
      <x:c r="B2016" s="59" t="n">
        <x:v>188</x:v>
      </x:c>
      <x:c r="C2016" s="78" t="n">
        <x:f>(('Inputs'!$B$29*(3*188*'Inputs'!$B$12-188^2)/(2*'Inputs'!$B$12^2))-('Inputs'!$B$29*(3*187*'Inputs'!$B$12-187^2)/(2*'Inputs'!$B$12^2)))*'Inputs'!$B$49</x:f>
        <x:v>651028.5700882077</x:v>
      </x:c>
      <x:c r="D2016" s="78" t="n">
        <x:f>IF('Inputs'!$C$49&gt;0,('Inputs'!$B$30*(3*188*'Inputs'!$B$12-188^2)/(2*'Inputs'!$B$12^2))-('Inputs'!$B$30*(3*187*'Inputs'!$B$12-187^2)/(2*'Inputs'!$B$12^2)),0)</x:f>
        <x:v>279012.2443235144</x:v>
      </x:c>
      <x:c r="E2016" s="78" t="n">
        <x:f>C2016+D2016</x:f>
        <x:v>930040.8144117221</x:v>
      </x:c>
      <x:c r="F2016" s="78" t="n">
        <x:f>'Inputs'!$B$13*E2016+(1-'Inputs'!$B$13)/'Inputs'!$B$14*SUM(E1961:E2016)</x:f>
        <x:v>940258.4912741629</x:v>
      </x:c>
      <x:c r="G2016" s="78" t="n">
        <x:f>F2016*'Inputs'!$F$49</x:f>
        <x:v>846232.6421467466</x:v>
      </x:c>
      <x:c r="H2016" s="78" t="n">
        <x:f>U2015</x:f>
        <x:v>78466757780.90846</x:v>
      </x:c>
      <x:c r="I2016" s="78" t="n">
        <x:f>V2015</x:f>
        <x:v>1.533870754141157</x:v>
      </x:c>
      <x:c r="J2016" s="79" t="n">
        <x:f>IF(H2016&gt;0,I2016/H2016,0)</x:f>
        <x:v>1.9548032791465213e-11</x:v>
      </x:c>
      <x:c r="K2016" s="80" t="n">
        <x:f>(H2016*J2016+I2016)*'Inputs'!$D$49*(1+'Inputs'!$G$49)^(B2016/30)</x:f>
        <x:v>2.3008061312117354</x:v>
      </x:c>
      <x:c r="L2016" s="80" t="n">
        <x:f>MAX(0,K2016*'Inputs'!$E$49)</x:f>
        <x:v>0</x:v>
      </x:c>
      <x:c r="M2016" s="80" t="n">
        <x:f>MAX(0,-K2016*'Inputs'!$E$49)</x:f>
        <x:v>0.06902418393635205</x:v>
      </x:c>
      <x:c r="N2016" s="78" t="n">
        <x:f>H2016*(L2016*(1-'Inputs'!$B$15))/(I2016+L2016*(1-'Inputs'!$B$15))</x:f>
        <x:v>0</x:v>
      </x:c>
      <x:c r="O2016" s="78" t="n">
        <x:f>H2016-N2016</x:f>
        <x:v>78466757780.90846</x:v>
      </x:c>
      <x:c r="P2016" s="78" t="n">
        <x:f>I2016+L2016*(1-'Inputs'!$B$17)</x:f>
        <x:v>1.533870754141157</x:v>
      </x:c>
      <x:c r="Q2016" s="78" t="n">
        <x:f>IF(J2016&gt;0,M2016/J2016,0)</x:f>
        <x:v>3531004100.1408806</x:v>
      </x:c>
      <x:c r="R2016" s="78" t="n">
        <x:f>IF(B2016='Inputs'!$H$49,'Inputs'!$B$27*'Inputs'!$I$49,0)</x:f>
        <x:v>0</x:v>
      </x:c>
      <x:c r="S2016" s="78" t="n">
        <x:f>Q2016+G2016+R2016</x:f>
        <x:v>3531850332.783027</x:v>
      </x:c>
      <x:c r="T2016" s="78" t="n">
        <x:f>P2016*(S2016*(1-'Inputs'!$B$15))/(O2016+S2016*(1-'Inputs'!$B$15))</x:f>
        <x:v>0.06543451269001849</x:v>
      </x:c>
      <x:c r="U2016" s="78" t="n">
        <x:f>O2016+S2016*(1-'Inputs'!$B$17)</x:f>
        <x:v>81984395436.29599</x:v>
      </x:c>
      <x:c r="V2016" s="78" t="n">
        <x:f>P2016-T2016</x:f>
        <x:v>1.4684362414511385</x:v>
      </x:c>
      <x:c r="W2016" s="79" t="n">
        <x:f>IF(U2016&gt;0,V2016/U2016,0)</x:f>
        <x:v>1.7911167529339797e-11</x:v>
      </x:c>
      <x:c r="X2016" s="80" t="n">
        <x:f>W2016*('Inputs'!$B$6-AC2016)</x:f>
        <x:v>-0.08375549007311342</x:v>
      </x:c>
      <x:c r="Y2016" s="80" t="n">
        <x:f>2*V2016</x:f>
        <x:v>2.936872482902277</x:v>
      </x:c>
      <x:c r="Z2016" s="80" t="n">
        <x:f>K2016*'Inputs'!$B$16+(G2016+R2016)*J2016*'Inputs'!$B$16</x:f>
        <x:v>0.01380493604037104</x:v>
      </x:c>
      <x:c r="AA2016" s="80" t="n">
        <x:f>K2016*(1+'Inputs'!$E$49)/2*'Inputs'!$B$17</x:f>
        <x:v>0.0044905069361677735</x:v>
      </x:c>
      <x:c r="AB2016" s="78" t="n">
        <x:f>(IF(J2016&gt;0,K2016*(1-'Inputs'!$E$49)/2/J2016,0)+G2016+R2016)*'Inputs'!$B$17</x:f>
        <x:v>243929241.92512652</x:v>
      </x:c>
      <x:c r="AC2016" s="78" t="n">
        <x:f>AC2015+AB2016</x:f>
        <x:v>5676160274.639597</x:v>
      </x:c>
      <x:c r="AD2016" s="80" t="n">
        <x:f>Z2016/(1+'Inputs'!$C$49)</x:f>
        <x:v>0.00345123401009276</x:v>
      </x:c>
      <x:c r="AE2016" s="80" t="n">
        <x:f>Z2016-AD2016</x:f>
        <x:v>0.01035370203027828</x:v>
      </x:c>
      <x:c r="AF2016" s="80" t="n">
        <x:f>D2016*W2016</x:f>
        <x:v>0.0000049974350508155535</x:v>
      </x:c>
      <x:c r="AG2016" s="80" t="n">
        <x:f>C2016*W2016</x:f>
        <x:v>0.000011660681785236425</x:v>
      </x:c>
      <x:c r="AH2016" s="80" t="n">
        <x:f>2*'Inputs'!$B$8*'Inputs'!$C$49</x:f>
        <x:v>15000</x:v>
      </x:c>
      <x:c r="AI2016" s="81" t="n">
        <x:f>IF(AH2016&gt;0,(AE2016+AF2016)/AH2016*365,0)</x:f>
        <x:v>0.00025206168698967466</x:v>
      </x:c>
      <x:c r="AJ2016" s="81" t="n">
        <x:f>IF('Inputs'!$B$49&gt;0,AG2016/('Inputs'!$B$19*'Inputs'!$B$49)*365,0)</x:f>
        <x:v>4.2561488516112954e-7</x:v>
      </x:c>
      <x:c r="AK2016" s="81" t="n">
        <x:f>W2016/MAX($W$1829:W2016)-1</x:f>
        <x:v>-0.9999999769251315</x:v>
      </x:c>
      <x:c r="AL2016" s="83" t="n">
        <x:f>'Inputs'!$B$49</x:f>
        <x:v>1</x:v>
      </x:c>
      <x:c r="AM2016" s="83" t="n">
        <x:f>'Inputs'!$C$49</x:f>
        <x:v>3</x:v>
      </x:c>
      <x:c r="AN2016" s="83" t="n">
        <x:f>'Inputs'!$D$49</x:f>
        <x:v>0.75</x:v>
      </x:c>
      <x:c r="AO2016" s="81" t="n">
        <x:f>'Inputs'!$E$49</x:f>
        <x:v>-0.03</x:v>
      </x:c>
    </x:row>
    <x:row r="2017">
      <x:c r="A2017" s="59" t="str">
        <x:v>Mercenary LP</x:v>
      </x:c>
      <x:c r="B2017" s="59" t="n">
        <x:v>189</x:v>
      </x:c>
      <x:c r="C2017" s="78" t="n">
        <x:f>(('Inputs'!$B$29*(3*189*'Inputs'!$B$12-189^2)/(2*'Inputs'!$B$12^2))-('Inputs'!$B$29*(3*188*'Inputs'!$B$12-188^2)/(2*'Inputs'!$B$12^2)))*'Inputs'!$B$49</x:f>
        <x:v>650703.4621880203</x:v>
      </x:c>
      <x:c r="D2017" s="78" t="n">
        <x:f>IF('Inputs'!$C$49&gt;0,('Inputs'!$B$30*(3*189*'Inputs'!$B$12-189^2)/(2*'Inputs'!$B$12^2))-('Inputs'!$B$30*(3*188*'Inputs'!$B$12-188^2)/(2*'Inputs'!$B$12^2)),0)</x:f>
        <x:v>278872.91236629337</x:v>
      </x:c>
      <x:c r="E2017" s="78" t="n">
        <x:f>C2017+D2017</x:f>
        <x:v>929576.3745543137</x:v>
      </x:c>
      <x:c r="F2017" s="78" t="n">
        <x:f>'Inputs'!$B$13*E2017+(1-'Inputs'!$B$13)/'Inputs'!$B$14*SUM(E1962:E2017)</x:f>
        <x:v>939794.0514167738</x:v>
      </x:c>
      <x:c r="G2017" s="78" t="n">
        <x:f>F2017*'Inputs'!$F$49</x:f>
        <x:v>845814.6462750965</x:v>
      </x:c>
      <x:c r="H2017" s="78" t="n">
        <x:f>U2016</x:f>
        <x:v>81984395436.29599</x:v>
      </x:c>
      <x:c r="I2017" s="78" t="n">
        <x:f>V2016</x:f>
        <x:v>1.4684362414511385</x:v>
      </x:c>
      <x:c r="J2017" s="79" t="n">
        <x:f>IF(H2017&gt;0,I2017/H2017,0)</x:f>
        <x:v>1.7911167529339797e-11</x:v>
      </x:c>
      <x:c r="K2017" s="80" t="n">
        <x:f>(H2017*J2017+I2017)*'Inputs'!$D$49*(1+'Inputs'!$G$49)^(B2017/30)</x:f>
        <x:v>2.2026543621767076</x:v>
      </x:c>
      <x:c r="L2017" s="80" t="n">
        <x:f>MAX(0,K2017*'Inputs'!$E$49)</x:f>
        <x:v>0</x:v>
      </x:c>
      <x:c r="M2017" s="80" t="n">
        <x:f>MAX(0,-K2017*'Inputs'!$E$49)</x:f>
        <x:v>0.06607963086530122</x:v>
      </x:c>
      <x:c r="N2017" s="78" t="n">
        <x:f>H2017*(L2017*(1-'Inputs'!$B$15))/(I2017+L2017*(1-'Inputs'!$B$15))</x:f>
        <x:v>0</x:v>
      </x:c>
      <x:c r="O2017" s="78" t="n">
        <x:f>H2017-N2017</x:f>
        <x:v>81984395436.29599</x:v>
      </x:c>
      <x:c r="P2017" s="78" t="n">
        <x:f>I2017+L2017*(1-'Inputs'!$B$17)</x:f>
        <x:v>1.4684362414511385</x:v>
      </x:c>
      <x:c r="Q2017" s="78" t="n">
        <x:f>IF(J2017&gt;0,M2017/J2017,0)</x:f>
        <x:v>3689297794.6333184</x:v>
      </x:c>
      <x:c r="R2017" s="78" t="n">
        <x:f>IF(B2017='Inputs'!$H$49,'Inputs'!$B$27*'Inputs'!$I$49,0)</x:f>
        <x:v>0</x:v>
      </x:c>
      <x:c r="S2017" s="78" t="n">
        <x:f>Q2017+G2017+R2017</x:f>
        <x:v>3690143609.2795935</x:v>
      </x:c>
      <x:c r="T2017" s="78" t="n">
        <x:f>P2017*(S2017*(1-'Inputs'!$B$15))/(O2017+S2017*(1-'Inputs'!$B$15))</x:f>
        <x:v>0.06264247071326481</x:v>
      </x:c>
      <x:c r="U2017" s="78" t="n">
        <x:f>O2017+S2017*(1-'Inputs'!$B$17)</x:f>
        <x:v>85659689373.10364</x:v>
      </x:c>
      <x:c r="V2017" s="78" t="n">
        <x:f>P2017-T2017</x:f>
        <x:v>1.4057937707378736</x:v>
      </x:c>
      <x:c r="W2017" s="79" t="n">
        <x:f>IF(U2017&gt;0,V2017/U2017,0)</x:f>
        <x:v>1.6411380674225046e-11</x:v>
      </x:c>
      <x:c r="X2017" s="80" t="n">
        <x:f>W2017*('Inputs'!$B$6-AC2017)</x:f>
        <x:v>-0.08092492224968743</x:v>
      </x:c>
      <x:c r="Y2017" s="80" t="n">
        <x:f>2*V2017</x:f>
        <x:v>2.811587541475747</x:v>
      </x:c>
      <x:c r="Z2017" s="80" t="n">
        <x:f>K2017*'Inputs'!$B$16+(G2017+R2017)*J2017*'Inputs'!$B$16</x:f>
        <x:v>0.013216017070227215</x:v>
      </x:c>
      <x:c r="AA2017" s="80" t="n">
        <x:f>K2017*(1+'Inputs'!$E$49)/2*'Inputs'!$B$17</x:f>
        <x:v>0.004298943121350919</x:v>
      </x:c>
      <x:c r="AB2017" s="78" t="n">
        <x:f>(IF(J2017&gt;0,K2017*(1-'Inputs'!$E$49)/2/J2017,0)+G2017+R2017)*'Inputs'!$B$17</x:f>
        <x:v>254864351.26432565</x:v>
      </x:c>
      <x:c r="AC2017" s="78" t="n">
        <x:f>AC2016+AB2017</x:f>
        <x:v>5931024625.903923</x:v>
      </x:c>
      <x:c r="AD2017" s="80" t="n">
        <x:f>Z2017/(1+'Inputs'!$C$49)</x:f>
        <x:v>0.0033040042675568037</x:v>
      </x:c>
      <x:c r="AE2017" s="80" t="n">
        <x:f>Z2017-AD2017</x:f>
        <x:v>0.00991201280267041</x:v>
      </x:c>
      <x:c r="AF2017" s="80" t="n">
        <x:f>D2017*W2017</x:f>
        <x:v>0.000004576689524573042</x:v>
      </x:c>
      <x:c r="AG2017" s="80" t="n">
        <x:f>C2017*W2017</x:f>
        <x:v>0.000010678942224003804</x:v>
      </x:c>
      <x:c r="AH2017" s="80" t="n">
        <x:f>2*'Inputs'!$B$8*'Inputs'!$C$49</x:f>
        <x:v>15000</x:v>
      </x:c>
      <x:c r="AI2017" s="81" t="n">
        <x:f>IF(AH2017&gt;0,(AE2017+AF2017)/AH2017*365,0)</x:f>
        <x:v>0.00024130367764341128</x:v>
      </x:c>
      <x:c r="AJ2017" s="81" t="n">
        <x:f>IF('Inputs'!$B$49&gt;0,AG2017/('Inputs'!$B$19*'Inputs'!$B$49)*365,0)</x:f>
        <x:v>3.8978139117613886e-7</x:v>
      </x:c>
      <x:c r="AK2017" s="81" t="n">
        <x:f>W2017/MAX($W$1829:W2017)-1</x:f>
        <x:v>-0.9999999788572995</x:v>
      </x:c>
      <x:c r="AL2017" s="83" t="n">
        <x:f>'Inputs'!$B$49</x:f>
        <x:v>1</x:v>
      </x:c>
      <x:c r="AM2017" s="83" t="n">
        <x:f>'Inputs'!$C$49</x:f>
        <x:v>3</x:v>
      </x:c>
      <x:c r="AN2017" s="83" t="n">
        <x:f>'Inputs'!$D$49</x:f>
        <x:v>0.75</x:v>
      </x:c>
      <x:c r="AO2017" s="81" t="n">
        <x:f>'Inputs'!$E$49</x:f>
        <x:v>-0.03</x:v>
      </x:c>
    </x:row>
    <x:row r="2018">
      <x:c r="A2018" s="59" t="str">
        <x:v>Mercenary LP</x:v>
      </x:c>
      <x:c r="B2018" s="59" t="n">
        <x:v>190</x:v>
      </x:c>
      <x:c r="C2018" s="78" t="n">
        <x:f>(('Inputs'!$B$29*(3*190*'Inputs'!$B$12-190^2)/(2*'Inputs'!$B$12^2))-('Inputs'!$B$29*(3*189*'Inputs'!$B$12-189^2)/(2*'Inputs'!$B$12^2)))*'Inputs'!$B$49</x:f>
        <x:v>650378.3542878628</x:v>
      </x:c>
      <x:c r="D2018" s="78" t="n">
        <x:f>IF('Inputs'!$C$49&gt;0,('Inputs'!$B$30*(3*190*'Inputs'!$B$12-190^2)/(2*'Inputs'!$B$12^2))-('Inputs'!$B$30*(3*189*'Inputs'!$B$12-189^2)/(2*'Inputs'!$B$12^2)),0)</x:f>
        <x:v>278733.58040908724</x:v>
      </x:c>
      <x:c r="E2018" s="78" t="n">
        <x:f>C2018+D2018</x:f>
        <x:v>929111.93469695</x:v>
      </x:c>
      <x:c r="F2018" s="78" t="n">
        <x:f>'Inputs'!$B$13*E2018+(1-'Inputs'!$B$13)/'Inputs'!$B$14*SUM(E1963:E2018)</x:f>
        <x:v>939329.6115593938</x:v>
      </x:c>
      <x:c r="G2018" s="78" t="n">
        <x:f>F2018*'Inputs'!$F$49</x:f>
        <x:v>845396.6504034544</x:v>
      </x:c>
      <x:c r="H2018" s="78" t="n">
        <x:f>U2017</x:f>
        <x:v>85659689373.10364</x:v>
      </x:c>
      <x:c r="I2018" s="78" t="n">
        <x:f>V2017</x:f>
        <x:v>1.4057937707378736</x:v>
      </x:c>
      <x:c r="J2018" s="79" t="n">
        <x:f>IF(H2018&gt;0,I2018/H2018,0)</x:f>
        <x:v>1.6411380674225046e-11</x:v>
      </x:c>
      <x:c r="K2018" s="80" t="n">
        <x:f>(H2018*J2018+I2018)*'Inputs'!$D$49*(1+'Inputs'!$G$49)^(B2018/30)</x:f>
        <x:v>2.1086906561068104</x:v>
      </x:c>
      <x:c r="L2018" s="80" t="n">
        <x:f>MAX(0,K2018*'Inputs'!$E$49)</x:f>
        <x:v>0</x:v>
      </x:c>
      <x:c r="M2018" s="80" t="n">
        <x:f>MAX(0,-K2018*'Inputs'!$E$49)</x:f>
        <x:v>0.0632607196832043</x:v>
      </x:c>
      <x:c r="N2018" s="78" t="n">
        <x:f>H2018*(L2018*(1-'Inputs'!$B$15))/(I2018+L2018*(1-'Inputs'!$B$15))</x:f>
        <x:v>0</x:v>
      </x:c>
      <x:c r="O2018" s="78" t="n">
        <x:f>H2018-N2018</x:f>
        <x:v>85659689373.10364</x:v>
      </x:c>
      <x:c r="P2018" s="78" t="n">
        <x:f>I2018+L2018*(1-'Inputs'!$B$17)</x:f>
        <x:v>1.4057937707378736</x:v>
      </x:c>
      <x:c r="Q2018" s="78" t="n">
        <x:f>IF(J2018&gt;0,M2018/J2018,0)</x:f>
        <x:v>3854686021.7896633</x:v>
      </x:c>
      <x:c r="R2018" s="78" t="n">
        <x:f>IF(B2018='Inputs'!$H$49,'Inputs'!$B$27*'Inputs'!$I$49,0)</x:f>
        <x:v>0</x:v>
      </x:c>
      <x:c r="S2018" s="78" t="n">
        <x:f>Q2018+G2018+R2018</x:f>
        <x:v>3855531418.440067</x:v>
      </x:c>
      <x:c r="T2018" s="78" t="n">
        <x:f>P2018*(S2018*(1-'Inputs'!$B$15))/(O2018+S2018*(1-'Inputs'!$B$15))</x:f>
        <x:v>0.059969615561676085</x:v>
      </x:c>
      <x:c r="U2018" s="78" t="n">
        <x:f>O2018+S2018*(1-'Inputs'!$B$17)</x:f>
        <x:v>89499705574.56808</x:v>
      </x:c>
      <x:c r="V2018" s="78" t="n">
        <x:f>P2018-T2018</x:f>
        <x:v>1.3458241551761976</x:v>
      </x:c>
      <x:c r="W2018" s="79" t="n">
        <x:f>IF(U2018&gt;0,V2018/U2018,0)</x:f>
        <x:v>1.503719086600685e-11</x:v>
      </x:c>
      <x:c r="X2018" s="80" t="n">
        <x:f>W2018*('Inputs'!$B$6-AC2018)</x:f>
        <x:v>-0.07815300539057073</x:v>
      </x:c>
      <x:c r="Y2018" s="80" t="n">
        <x:f>2*V2018</x:f>
        <x:v>2.691648310352395</x:v>
      </x:c>
      <x:c r="Z2018" s="80" t="n">
        <x:f>K2018*'Inputs'!$B$16+(G2018+R2018)*J2018*'Inputs'!$B$16</x:f>
        <x:v>0.012652227181398365</x:v>
      </x:c>
      <x:c r="AA2018" s="80" t="n">
        <x:f>K2018*(1+'Inputs'!$E$49)/2*'Inputs'!$B$17</x:f>
        <x:v>0.004115553191999208</x:v>
      </x:c>
      <x:c r="AB2018" s="78" t="n">
        <x:f>(IF(J2018&gt;0,K2018*(1-'Inputs'!$E$49)/2/J2018,0)+G2018+R2018)*'Inputs'!$B$17</x:f>
        <x:v>266289559.10411656</x:v>
      </x:c>
      <x:c r="AC2018" s="78" t="n">
        <x:f>AC2017+AB2018</x:f>
        <x:v>6197314185.008039</x:v>
      </x:c>
      <x:c r="AD2018" s="80" t="n">
        <x:f>Z2018/(1+'Inputs'!$C$49)</x:f>
        <x:v>0.0031630567953495913</x:v>
      </x:c>
      <x:c r="AE2018" s="80" t="n">
        <x:f>Z2018-AD2018</x:f>
        <x:v>0.009489170386048774</x:v>
      </x:c>
      <x:c r="AF2018" s="80" t="n">
        <x:f>D2018*W2018</x:f>
        <x:v>0.000004191370049376912</x:v>
      </x:c>
      <x:c r="AG2018" s="80" t="n">
        <x:f>C2018*W2018</x:f>
        <x:v>0.000009779863448546016</x:v>
      </x:c>
      <x:c r="AH2018" s="80" t="n">
        <x:f>2*'Inputs'!$B$8*'Inputs'!$C$49</x:f>
        <x:v>15000</x:v>
      </x:c>
      <x:c r="AI2018" s="81" t="n">
        <x:f>IF(AH2018&gt;0,(AE2018+AF2018)/AH2018*365,0)</x:f>
        <x:v>0.000231005136065055</x:v>
      </x:c>
      <x:c r="AJ2018" s="81" t="n">
        <x:f>IF('Inputs'!$B$49&gt;0,AG2018/('Inputs'!$B$19*'Inputs'!$B$49)*365,0)</x:f>
        <x:v>3.5696501587192954e-7</x:v>
      </x:c>
      <x:c r="AK2018" s="81" t="n">
        <x:f>W2018/MAX($W$1829:W2018)-1</x:f>
        <x:v>-0.9999999806276614</x:v>
      </x:c>
      <x:c r="AL2018" s="83" t="n">
        <x:f>'Inputs'!$B$49</x:f>
        <x:v>1</x:v>
      </x:c>
      <x:c r="AM2018" s="83" t="n">
        <x:f>'Inputs'!$C$49</x:f>
        <x:v>3</x:v>
      </x:c>
      <x:c r="AN2018" s="83" t="n">
        <x:f>'Inputs'!$D$49</x:f>
        <x:v>0.75</x:v>
      </x:c>
      <x:c r="AO2018" s="81" t="n">
        <x:f>'Inputs'!$E$49</x:f>
        <x:v>-0.03</x:v>
      </x:c>
    </x:row>
    <x:row r="2019">
      <x:c r="A2019" s="59" t="str">
        <x:v>Mercenary LP</x:v>
      </x:c>
      <x:c r="B2019" s="59" t="n">
        <x:v>191</x:v>
      </x:c>
      <x:c r="C2019" s="78" t="n">
        <x:f>(('Inputs'!$B$29*(3*191*'Inputs'!$B$12-191^2)/(2*'Inputs'!$B$12^2))-('Inputs'!$B$29*(3*190*'Inputs'!$B$12-190^2)/(2*'Inputs'!$B$12^2)))*'Inputs'!$B$49</x:f>
        <x:v>650053.2463876903</x:v>
      </x:c>
      <x:c r="D2019" s="78" t="n">
        <x:f>IF('Inputs'!$C$49&gt;0,('Inputs'!$B$30*(3*191*'Inputs'!$B$12-191^2)/(2*'Inputs'!$B$12^2))-('Inputs'!$B$30*(3*190*'Inputs'!$B$12-190^2)/(2*'Inputs'!$B$12^2)),0)</x:f>
        <x:v>278594.2484518662</x:v>
      </x:c>
      <x:c r="E2019" s="78" t="n">
        <x:f>C2019+D2019</x:f>
        <x:v>928647.4948395565</x:v>
      </x:c>
      <x:c r="F2019" s="78" t="n">
        <x:f>'Inputs'!$B$13*E2019+(1-'Inputs'!$B$13)/'Inputs'!$B$14*SUM(E1964:E2019)</x:f>
        <x:v>938865.1717020079</x:v>
      </x:c>
      <x:c r="G2019" s="78" t="n">
        <x:f>F2019*'Inputs'!$F$49</x:f>
        <x:v>844978.654531807</x:v>
      </x:c>
      <x:c r="H2019" s="78" t="n">
        <x:f>U2018</x:f>
        <x:v>89499705574.56808</x:v>
      </x:c>
      <x:c r="I2019" s="78" t="n">
        <x:f>V2018</x:f>
        <x:v>1.3458241551761976</x:v>
      </x:c>
      <x:c r="J2019" s="79" t="n">
        <x:f>IF(H2019&gt;0,I2019/H2019,0)</x:f>
        <x:v>1.503719086600685e-11</x:v>
      </x:c>
      <x:c r="K2019" s="80" t="n">
        <x:f>(H2019*J2019+I2019)*'Inputs'!$D$49*(1+'Inputs'!$G$49)^(B2019/30)</x:f>
        <x:v>2.0187362327642964</x:v>
      </x:c>
      <x:c r="L2019" s="80" t="n">
        <x:f>MAX(0,K2019*'Inputs'!$E$49)</x:f>
        <x:v>0</x:v>
      </x:c>
      <x:c r="M2019" s="80" t="n">
        <x:f>MAX(0,-K2019*'Inputs'!$E$49)</x:f>
        <x:v>0.06056208698292889</x:v>
      </x:c>
      <x:c r="N2019" s="78" t="n">
        <x:f>H2019*(L2019*(1-'Inputs'!$B$15))/(I2019+L2019*(1-'Inputs'!$B$15))</x:f>
        <x:v>0</x:v>
      </x:c>
      <x:c r="O2019" s="78" t="n">
        <x:f>H2019-N2019</x:f>
        <x:v>89499705574.56808</x:v>
      </x:c>
      <x:c r="P2019" s="78" t="n">
        <x:f>I2019+L2019*(1-'Inputs'!$B$17)</x:f>
        <x:v>1.3458241551761976</x:v>
      </x:c>
      <x:c r="Q2019" s="78" t="n">
        <x:f>IF(J2019&gt;0,M2019/J2019,0)</x:f>
        <x:v>4027486750.855564</x:v>
      </x:c>
      <x:c r="R2019" s="78" t="n">
        <x:f>IF(B2019='Inputs'!$H$49,'Inputs'!$B$27*'Inputs'!$I$49,0)</x:f>
        <x:v>0</x:v>
      </x:c>
      <x:c r="S2019" s="78" t="n">
        <x:f>Q2019+G2019+R2019</x:f>
        <x:v>4028331729.510096</x:v>
      </x:c>
      <x:c r="T2019" s="78" t="n">
        <x:f>P2019*(S2019*(1-'Inputs'!$B$15))/(O2019+S2019*(1-'Inputs'!$B$15))</x:f>
        <x:v>0.057410854965344614</x:v>
      </x:c>
      <x:c r="U2019" s="78" t="n">
        <x:f>O2019+S2019*(1-'Inputs'!$B$17)</x:f>
        <x:v>93511826713.61737</x:v>
      </x:c>
      <x:c r="V2019" s="78" t="n">
        <x:f>P2019-T2019</x:f>
        <x:v>1.2884133002108529</x:v>
      </x:c>
      <x:c r="W2019" s="79" t="n">
        <x:f>IF(U2019&gt;0,V2019/U2019,0)</x:f>
        <x:v>1.3778078618404656e-11</x:v>
      </x:c>
      <x:c r="X2019" s="80" t="n">
        <x:f>W2019*('Inputs'!$B$6-AC2019)</x:f>
        <x:v>-0.07544243459860506</x:v>
      </x:c>
      <x:c r="Y2019" s="80" t="n">
        <x:f>2*V2019</x:f>
        <x:v>2.5768266004217057</x:v>
      </x:c>
      <x:c r="Z2019" s="80" t="n">
        <x:f>K2019*'Inputs'!$B$16+(G2019+R2019)*J2019*'Inputs'!$B$16</x:f>
        <x:v>0.012112493633217614</x:v>
      </x:c>
      <x:c r="AA2019" s="80" t="n">
        <x:f>K2019*(1+'Inputs'!$E$49)/2*'Inputs'!$B$17</x:f>
        <x:v>0.003939988220888064</x:v>
      </x:c>
      <x:c r="AB2019" s="78" t="n">
        <x:f>(IF(J2019&gt;0,K2019*(1-'Inputs'!$E$49)/2/J2019,0)+G2019+R2019)*'Inputs'!$B$17</x:f>
        <x:v>278226831.1267943</x:v>
      </x:c>
      <x:c r="AC2019" s="78" t="n">
        <x:f>AC2018+AB2019</x:f>
        <x:v>6475541016.134833</x:v>
      </x:c>
      <x:c r="AD2019" s="80" t="n">
        <x:f>Z2019/(1+'Inputs'!$C$49)</x:f>
        <x:v>0.0030281234083044035</x:v>
      </x:c>
      <x:c r="AE2019" s="80" t="n">
        <x:f>Z2019-AD2019</x:f>
        <x:v>0.009084370224913211</x:v>
      </x:c>
      <x:c r="AF2019" s="80" t="n">
        <x:f>D2019*W2019</x:f>
        <x:v>0.000003838493457805173</x:v>
      </x:c>
      <x:c r="AG2019" s="80" t="n">
        <x:f>C2019*W2019</x:f>
        <x:v>0.00000895648473487877</x:v>
      </x:c>
      <x:c r="AH2019" s="80" t="n">
        <x:f>2*'Inputs'!$B$8*'Inputs'!$C$49</x:f>
        <x:v>15000</x:v>
      </x:c>
      <x:c r="AI2019" s="81" t="n">
        <x:f>IF(AH2019&gt;0,(AE2019+AF2019)/AH2019*365,0)</x:f>
        <x:v>0.00022114641214702807</x:v>
      </x:c>
      <x:c r="AJ2019" s="81" t="n">
        <x:f>IF('Inputs'!$B$49&gt;0,AG2019/('Inputs'!$B$19*'Inputs'!$B$49)*365,0)</x:f>
        <x:v>3.269116928230751e-7</x:v>
      </x:c>
      <x:c r="AK2019" s="81" t="n">
        <x:f>W2019/MAX($W$1829:W2019)-1</x:f>
        <x:v>-0.9999999822497695</x:v>
      </x:c>
      <x:c r="AL2019" s="83" t="n">
        <x:f>'Inputs'!$B$49</x:f>
        <x:v>1</x:v>
      </x:c>
      <x:c r="AM2019" s="83" t="n">
        <x:f>'Inputs'!$C$49</x:f>
        <x:v>3</x:v>
      </x:c>
      <x:c r="AN2019" s="83" t="n">
        <x:f>'Inputs'!$D$49</x:f>
        <x:v>0.75</x:v>
      </x:c>
      <x:c r="AO2019" s="81" t="n">
        <x:f>'Inputs'!$E$49</x:f>
        <x:v>-0.03</x:v>
      </x:c>
    </x:row>
    <x:row r="2020">
      <x:c r="A2020" s="59" t="str">
        <x:v>Mercenary LP</x:v>
      </x:c>
      <x:c r="B2020" s="59" t="n">
        <x:v>192</x:v>
      </x:c>
      <x:c r="C2020" s="78" t="n">
        <x:f>(('Inputs'!$B$29*(3*192*'Inputs'!$B$12-192^2)/(2*'Inputs'!$B$12^2))-('Inputs'!$B$29*(3*191*'Inputs'!$B$12-191^2)/(2*'Inputs'!$B$12^2)))*'Inputs'!$B$49</x:f>
        <x:v>649728.1384875178</x:v>
      </x:c>
      <x:c r="D2020" s="78" t="n">
        <x:f>IF('Inputs'!$C$49&gt;0,('Inputs'!$B$30*(3*192*'Inputs'!$B$12-192^2)/(2*'Inputs'!$B$12^2))-('Inputs'!$B$30*(3*191*'Inputs'!$B$12-191^2)/(2*'Inputs'!$B$12^2)),0)</x:f>
        <x:v>278454.9164946526</x:v>
      </x:c>
      <x:c r="E2020" s="78" t="n">
        <x:f>C2020+D2020</x:f>
        <x:v>928183.0549821705</x:v>
      </x:c>
      <x:c r="F2020" s="78" t="n">
        <x:f>'Inputs'!$B$13*E2020+(1-'Inputs'!$B$13)/'Inputs'!$B$14*SUM(E1965:E2020)</x:f>
        <x:v>938400.7318446233</x:v>
      </x:c>
      <x:c r="G2020" s="78" t="n">
        <x:f>F2020*'Inputs'!$F$49</x:f>
        <x:v>844560.6586601611</x:v>
      </x:c>
      <x:c r="H2020" s="78" t="n">
        <x:f>U2019</x:f>
        <x:v>93511826713.61737</x:v>
      </x:c>
      <x:c r="I2020" s="78" t="n">
        <x:f>V2019</x:f>
        <x:v>1.2884133002108529</x:v>
      </x:c>
      <x:c r="J2020" s="79" t="n">
        <x:f>IF(H2020&gt;0,I2020/H2020,0)</x:f>
        <x:v>1.3778078618404656e-11</x:v>
      </x:c>
      <x:c r="K2020" s="80" t="n">
        <x:f>(H2020*J2020+I2020)*'Inputs'!$D$49*(1+'Inputs'!$G$49)^(B2020/30)</x:f>
        <x:v>1.9326199503162793</x:v>
      </x:c>
      <x:c r="L2020" s="80" t="n">
        <x:f>MAX(0,K2020*'Inputs'!$E$49)</x:f>
        <x:v>0</x:v>
      </x:c>
      <x:c r="M2020" s="80" t="n">
        <x:f>MAX(0,-K2020*'Inputs'!$E$49)</x:f>
        <x:v>0.057978598509488374</x:v>
      </x:c>
      <x:c r="N2020" s="78" t="n">
        <x:f>H2020*(L2020*(1-'Inputs'!$B$15))/(I2020+L2020*(1-'Inputs'!$B$15))</x:f>
        <x:v>0</x:v>
      </x:c>
      <x:c r="O2020" s="78" t="n">
        <x:f>H2020-N2020</x:f>
        <x:v>93511826713.61737</x:v>
      </x:c>
      <x:c r="P2020" s="78" t="n">
        <x:f>I2020+L2020*(1-'Inputs'!$B$17)</x:f>
        <x:v>1.2884133002108529</x:v>
      </x:c>
      <x:c r="Q2020" s="78" t="n">
        <x:f>IF(J2020&gt;0,M2020/J2020,0)</x:f>
        <x:v>4208032202.1127815</x:v>
      </x:c>
      <x:c r="R2020" s="78" t="n">
        <x:f>IF(B2020='Inputs'!$H$49,'Inputs'!$B$27*'Inputs'!$I$49,0)</x:f>
        <x:v>0</x:v>
      </x:c>
      <x:c r="S2020" s="78" t="n">
        <x:f>Q2020+G2020+R2020</x:f>
        <x:v>4208876762.7714415</x:v>
      </x:c>
      <x:c r="T2020" s="78" t="n">
        <x:f>P2020*(S2020*(1-'Inputs'!$B$15))/(O2020+S2020*(1-'Inputs'!$B$15))</x:f>
        <x:v>0.054961314593874676</x:v>
      </x:c>
      <x:c r="U2020" s="78" t="n">
        <x:f>O2020+S2020*(1-'Inputs'!$B$17)</x:f>
        <x:v>97703766346.55875</x:v>
      </x:c>
      <x:c r="V2020" s="78" t="n">
        <x:f>P2020-T2020</x:f>
        <x:v>1.233451985616978</x:v>
      </x:c>
      <x:c r="W2020" s="79" t="n">
        <x:f>IF(U2020&gt;0,V2020/U2020,0)</x:f>
        <x:v>1.2624405708597556e-11</x:v>
      </x:c>
      <x:c r="X2020" s="80" t="n">
        <x:f>W2020*('Inputs'!$B$6-AC2020)</x:f>
        <x:v>-0.07279535486011136</x:v>
      </x:c>
      <x:c r="Y2020" s="80" t="n">
        <x:f>2*V2020</x:f>
        <x:v>2.466903971233956</x:v>
      </x:c>
      <x:c r="Z2020" s="80" t="n">
        <x:f>K2020*'Inputs'!$B$16+(G2020+R2020)*J2020*'Inputs'!$B$16</x:f>
        <x:v>0.011595789520436595</x:v>
      </x:c>
      <x:c r="AA2020" s="80" t="n">
        <x:f>K2020*(1+'Inputs'!$E$49)/2*'Inputs'!$B$17</x:f>
        <x:v>0.003771914188746058</x:v>
      </x:c>
      <x:c r="AB2020" s="78" t="n">
        <x:f>(IF(J2020&gt;0,K2020*(1-'Inputs'!$E$49)/2/J2020,0)+G2020+R2020)*'Inputs'!$B$17</x:f>
        <x:v>290699117.4926684</x:v>
      </x:c>
      <x:c r="AC2020" s="78" t="n">
        <x:f>AC2019+AB2020</x:f>
        <x:v>6766240133.6275015</x:v>
      </x:c>
      <x:c r="AD2020" s="80" t="n">
        <x:f>Z2020/(1+'Inputs'!$C$49)</x:f>
        <x:v>0.002898947380109149</x:v>
      </x:c>
      <x:c r="AE2020" s="80" t="n">
        <x:f>Z2020-AD2020</x:f>
        <x:v>0.008696842140327447</x:v>
      </x:c>
      <x:c r="AF2020" s="80" t="n">
        <x:f>D2020*W2020</x:f>
        <x:v>0.0000035153278373821483</x:v>
      </x:c>
      <x:c r="AG2020" s="80" t="n">
        <x:f>C2020*W2020</x:f>
        <x:v>0.000008202431620558283</x:v>
      </x:c>
      <x:c r="AH2020" s="80" t="n">
        <x:f>2*'Inputs'!$B$8*'Inputs'!$C$49</x:f>
        <x:v>15000</x:v>
      </x:c>
      <x:c r="AI2020" s="81" t="n">
        <x:f>IF(AH2020&gt;0,(AE2020+AF2020)/AH2020*365,0)</x:f>
        <x:v>0.00021170869839201085</x:v>
      </x:c>
      <x:c r="AJ2020" s="81" t="n">
        <x:f>IF('Inputs'!$B$49&gt;0,AG2020/('Inputs'!$B$19*'Inputs'!$B$49)*365,0)</x:f>
        <x:v>2.993887541503773e-7</x:v>
      </x:c>
      <x:c r="AK2020" s="81" t="n">
        <x:f>W2020/MAX($W$1829:W2020)-1</x:f>
        <x:v>-0.9999999837360406</x:v>
      </x:c>
      <x:c r="AL2020" s="83" t="n">
        <x:f>'Inputs'!$B$49</x:f>
        <x:v>1</x:v>
      </x:c>
      <x:c r="AM2020" s="83" t="n">
        <x:f>'Inputs'!$C$49</x:f>
        <x:v>3</x:v>
      </x:c>
      <x:c r="AN2020" s="83" t="n">
        <x:f>'Inputs'!$D$49</x:f>
        <x:v>0.75</x:v>
      </x:c>
      <x:c r="AO2020" s="81" t="n">
        <x:f>'Inputs'!$E$49</x:f>
        <x:v>-0.03</x:v>
      </x:c>
    </x:row>
    <x:row r="2021">
      <x:c r="A2021" s="59" t="str">
        <x:v>Mercenary LP</x:v>
      </x:c>
      <x:c r="B2021" s="59" t="n">
        <x:v>193</x:v>
      </x:c>
      <x:c r="C2021" s="78" t="n">
        <x:f>(('Inputs'!$B$29*(3*193*'Inputs'!$B$12-193^2)/(2*'Inputs'!$B$12^2))-('Inputs'!$B$29*(3*192*'Inputs'!$B$12-192^2)/(2*'Inputs'!$B$12^2)))*'Inputs'!$B$49</x:f>
        <x:v>649403.0305873603</x:v>
      </x:c>
      <x:c r="D2021" s="78" t="n">
        <x:f>IF('Inputs'!$C$49&gt;0,('Inputs'!$B$30*(3*193*'Inputs'!$B$12-193^2)/(2*'Inputs'!$B$12^2))-('Inputs'!$B$30*(3*192*'Inputs'!$B$12-192^2)/(2*'Inputs'!$B$12^2)),0)</x:f>
        <x:v>278315.5845374316</x:v>
      </x:c>
      <x:c r="E2021" s="78" t="n">
        <x:f>C2021+D2021</x:f>
        <x:v>927718.6151247919</x:v>
      </x:c>
      <x:c r="F2021" s="78" t="n">
        <x:f>'Inputs'!$B$13*E2021+(1-'Inputs'!$B$13)/'Inputs'!$B$14*SUM(E1966:E2021)</x:f>
        <x:v>937936.2919872404</x:v>
      </x:c>
      <x:c r="G2021" s="78" t="n">
        <x:f>F2021*'Inputs'!$F$49</x:f>
        <x:v>844142.6627885164</x:v>
      </x:c>
      <x:c r="H2021" s="78" t="n">
        <x:f>U2020</x:f>
        <x:v>97703766346.55875</x:v>
      </x:c>
      <x:c r="I2021" s="78" t="n">
        <x:f>V2020</x:f>
        <x:v>1.233451985616978</x:v>
      </x:c>
      <x:c r="J2021" s="79" t="n">
        <x:f>IF(H2021&gt;0,I2021/H2021,0)</x:f>
        <x:v>1.2624405708597556e-11</x:v>
      </x:c>
      <x:c r="K2021" s="80" t="n">
        <x:f>(H2021*J2021+I2021)*'Inputs'!$D$49*(1+'Inputs'!$G$49)^(B2021/30)</x:f>
        <x:v>1.8501779784254673</x:v>
      </x:c>
      <x:c r="L2021" s="80" t="n">
        <x:f>MAX(0,K2021*'Inputs'!$E$49)</x:f>
        <x:v>0</x:v>
      </x:c>
      <x:c r="M2021" s="80" t="n">
        <x:f>MAX(0,-K2021*'Inputs'!$E$49)</x:f>
        <x:v>0.05550533935276401</x:v>
      </x:c>
      <x:c r="N2021" s="78" t="n">
        <x:f>H2021*(L2021*(1-'Inputs'!$B$15))/(I2021+L2021*(1-'Inputs'!$B$15))</x:f>
        <x:v>0</x:v>
      </x:c>
      <x:c r="O2021" s="78" t="n">
        <x:f>H2021-N2021</x:f>
        <x:v>97703766346.55875</x:v>
      </x:c>
      <x:c r="P2021" s="78" t="n">
        <x:f>I2021+L2021*(1-'Inputs'!$B$17)</x:f>
        <x:v>1.233451985616978</x:v>
      </x:c>
      <x:c r="Q2021" s="78" t="n">
        <x:f>IF(J2021&gt;0,M2021/J2021,0)</x:f>
        <x:v>4396669485.595143</x:v>
      </x:c>
      <x:c r="R2021" s="78" t="n">
        <x:f>IF(B2021='Inputs'!$H$49,'Inputs'!$B$27*'Inputs'!$I$49,0)</x:f>
        <x:v>0</x:v>
      </x:c>
      <x:c r="S2021" s="78" t="n">
        <x:f>Q2021+G2021+R2021</x:f>
        <x:v>4397513628.257932</x:v>
      </x:c>
      <x:c r="T2021" s="78" t="n">
        <x:f>P2021*(S2021*(1-'Inputs'!$B$15))/(O2021+S2021*(1-'Inputs'!$B$15))</x:f>
        <x:v>0.052616328697712385</x:v>
      </x:c>
      <x:c r="U2021" s="78" t="n">
        <x:f>O2021+S2021*(1-'Inputs'!$B$17)</x:f>
        <x:v>102083583742.91222</x:v>
      </x:c>
      <x:c r="V2021" s="78" t="n">
        <x:f>P2021-T2021</x:f>
        <x:v>1.1808356569192657</x:v>
      </x:c>
      <x:c r="W2021" s="79" t="n">
        <x:f>IF(U2021&gt;0,V2021/U2021,0)</x:f>
        <x:v>1.1567341325840282e-11</x:v>
      </x:c>
      <x:c r="X2021" s="80" t="n">
        <x:f>W2021*('Inputs'!$B$6-AC2021)</x:f>
        <x:v>-0.07021342096513562</x:v>
      </x:c>
      <x:c r="Y2021" s="80" t="n">
        <x:f>2*V2021</x:f>
        <x:v>2.3616713138385315</x:v>
      </x:c>
      <x:c r="Z2021" s="80" t="n">
        <x:f>K2021*'Inputs'!$B$16+(G2021+R2021)*J2021*'Inputs'!$B$16</x:f>
        <x:v>0.01110113181134951</x:v>
      </x:c>
      <x:c r="AA2021" s="80" t="n">
        <x:f>K2021*(1+'Inputs'!$E$49)/2*'Inputs'!$B$17</x:f>
        <x:v>0.003611011346222743</x:v>
      </x:c>
      <x:c r="AB2021" s="78" t="n">
        <x:f>(IF(J2021&gt;0,K2021*(1-'Inputs'!$E$49)/2/J2021,0)+G2021+R2021)*'Inputs'!$B$17</x:f>
        <x:v>303730396.96329755</x:v>
      </x:c>
      <x:c r="AC2021" s="78" t="n">
        <x:f>AC2020+AB2021</x:f>
        <x:v>7069970530.590799</x:v>
      </x:c>
      <x:c r="AD2021" s="80" t="n">
        <x:f>Z2021/(1+'Inputs'!$C$49)</x:f>
        <x:v>0.0027752829528373776</x:v>
      </x:c>
      <x:c r="AE2021" s="80" t="n">
        <x:f>Z2021-AD2021</x:f>
        <x:v>0.008325848858512133</x:v>
      </x:c>
      <x:c r="AF2021" s="80" t="n">
        <x:f>D2021*W2021</x:f>
        <x:v>0.000003219371362645227</x:v>
      </x:c>
      <x:c r="AG2021" s="80" t="n">
        <x:f>C2021*W2021</x:f>
        <x:v>0.000007511866512839093</x:v>
      </x:c>
      <x:c r="AH2021" s="80" t="n">
        <x:f>2*'Inputs'!$B$8*'Inputs'!$C$49</x:f>
        <x:v>15000</x:v>
      </x:c>
      <x:c r="AI2021" s="81" t="n">
        <x:f>IF(AH2021&gt;0,(AE2021+AF2021)/AH2021*365,0)</x:f>
        <x:v>0.0002026739935936196</x:v>
      </x:c>
      <x:c r="AJ2021" s="81" t="n">
        <x:f>IF('Inputs'!$B$49&gt;0,AG2021/('Inputs'!$B$19*'Inputs'!$B$49)*365,0)</x:f>
        <x:v>2.7418312771862693e-7</x:v>
      </x:c>
      <x:c r="AK2021" s="81" t="n">
        <x:f>W2021/MAX($W$1829:W2021)-1</x:f>
        <x:v>-0.9999999850978514</x:v>
      </x:c>
      <x:c r="AL2021" s="83" t="n">
        <x:f>'Inputs'!$B$49</x:f>
        <x:v>1</x:v>
      </x:c>
      <x:c r="AM2021" s="83" t="n">
        <x:f>'Inputs'!$C$49</x:f>
        <x:v>3</x:v>
      </x:c>
      <x:c r="AN2021" s="83" t="n">
        <x:f>'Inputs'!$D$49</x:f>
        <x:v>0.75</x:v>
      </x:c>
      <x:c r="AO2021" s="81" t="n">
        <x:f>'Inputs'!$E$49</x:f>
        <x:v>-0.03</x:v>
      </x:c>
    </x:row>
    <x:row r="2022">
      <x:c r="A2022" s="59" t="str">
        <x:v>Mercenary LP</x:v>
      </x:c>
      <x:c r="B2022" s="59" t="n">
        <x:v>194</x:v>
      </x:c>
      <x:c r="C2022" s="78" t="n">
        <x:f>(('Inputs'!$B$29*(3*194*'Inputs'!$B$12-194^2)/(2*'Inputs'!$B$12^2))-('Inputs'!$B$29*(3*193*'Inputs'!$B$12-193^2)/(2*'Inputs'!$B$12^2)))*'Inputs'!$B$49</x:f>
        <x:v>649077.9226871729</x:v>
      </x:c>
      <x:c r="D2022" s="78" t="n">
        <x:f>IF('Inputs'!$C$49&gt;0,('Inputs'!$B$30*(3*194*'Inputs'!$B$12-194^2)/(2*'Inputs'!$B$12^2))-('Inputs'!$B$30*(3*193*'Inputs'!$B$12-193^2)/(2*'Inputs'!$B$12^2)),0)</x:f>
        <x:v>278176.25258022547</x:v>
      </x:c>
      <x:c r="E2022" s="78" t="n">
        <x:f>C2022+D2022</x:f>
        <x:v>927254.1752673984</x:v>
      </x:c>
      <x:c r="F2022" s="78" t="n">
        <x:f>'Inputs'!$B$13*E2022+(1-'Inputs'!$B$13)/'Inputs'!$B$14*SUM(E1967:E2022)</x:f>
        <x:v>937471.8521298541</x:v>
      </x:c>
      <x:c r="G2022" s="78" t="n">
        <x:f>F2022*'Inputs'!$F$49</x:f>
        <x:v>843724.6669168688</x:v>
      </x:c>
      <x:c r="H2022" s="78" t="n">
        <x:f>U2021</x:f>
        <x:v>102083583742.91222</x:v>
      </x:c>
      <x:c r="I2022" s="78" t="n">
        <x:f>V2021</x:f>
        <x:v>1.1808356569192657</x:v>
      </x:c>
      <x:c r="J2022" s="79" t="n">
        <x:f>IF(H2022&gt;0,I2022/H2022,0)</x:f>
        <x:v>1.1567341325840282e-11</x:v>
      </x:c>
      <x:c r="K2022" s="80" t="n">
        <x:f>(H2022*J2022+I2022)*'Inputs'!$D$49*(1+'Inputs'!$G$49)^(B2022/30)</x:f>
        <x:v>1.7712534853788986</x:v>
      </x:c>
      <x:c r="L2022" s="80" t="n">
        <x:f>MAX(0,K2022*'Inputs'!$E$49)</x:f>
        <x:v>0</x:v>
      </x:c>
      <x:c r="M2022" s="80" t="n">
        <x:f>MAX(0,-K2022*'Inputs'!$E$49)</x:f>
        <x:v>0.05313760456136696</x:v>
      </x:c>
      <x:c r="N2022" s="78" t="n">
        <x:f>H2022*(L2022*(1-'Inputs'!$B$15))/(I2022+L2022*(1-'Inputs'!$B$15))</x:f>
        <x:v>0</x:v>
      </x:c>
      <x:c r="O2022" s="78" t="n">
        <x:f>H2022-N2022</x:f>
        <x:v>102083583742.91222</x:v>
      </x:c>
      <x:c r="P2022" s="78" t="n">
        <x:f>I2022+L2022*(1-'Inputs'!$B$17)</x:f>
        <x:v>1.1808356569192657</x:v>
      </x:c>
      <x:c r="Q2022" s="78" t="n">
        <x:f>IF(J2022&gt;0,M2022/J2022,0)</x:f>
        <x:v>4593761268.43105</x:v>
      </x:c>
      <x:c r="R2022" s="78" t="n">
        <x:f>IF(B2022='Inputs'!$H$49,'Inputs'!$B$27*'Inputs'!$I$49,0)</x:f>
        <x:v>0</x:v>
      </x:c>
      <x:c r="S2022" s="78" t="n">
        <x:f>Q2022+G2022+R2022</x:f>
        <x:v>4594604993.097967</x:v>
      </x:c>
      <x:c r="T2022" s="78" t="n">
        <x:f>P2022*(S2022*(1-'Inputs'!$B$15))/(O2022+S2022*(1-'Inputs'!$B$15))</x:f>
        <x:v>0.050371431153979594</x:v>
      </x:c>
      <x:c r="U2022" s="78" t="n">
        <x:f>O2022+S2022*(1-'Inputs'!$B$17)</x:f>
        <x:v>106659699379.90114</x:v>
      </x:c>
      <x:c r="V2022" s="78" t="n">
        <x:f>P2022-T2022</x:f>
        <x:v>1.1304642257652862</x:v>
      </x:c>
      <x:c r="W2022" s="79" t="n">
        <x:f>IF(U2022&gt;0,V2022/U2022,0)</x:f>
        <x:v>1.0598794411924902e-11</x:v>
      </x:c>
      <x:c r="X2022" s="80" t="n">
        <x:f>W2022*('Inputs'!$B$6-AC2022)</x:f>
        <x:v>-0.06769785181577943</x:v>
      </x:c>
      <x:c r="Y2022" s="80" t="n">
        <x:f>2*V2022</x:f>
        <x:v>2.2609284515305723</x:v>
      </x:c>
      <x:c r="Z2022" s="80" t="n">
        <x:f>K2022*'Inputs'!$B$16+(G2022+R2022)*J2022*'Inputs'!$B$16</x:f>
        <x:v>0.010627579470180636</x:v>
      </x:c>
      <x:c r="AA2022" s="80" t="n">
        <x:f>K2022*(1+'Inputs'!$E$49)/2*'Inputs'!$B$17</x:f>
        <x:v>0.003456973603254591</x:v>
      </x:c>
      <x:c r="AB2022" s="78" t="n">
        <x:f>(IF(J2022&gt;0,K2022*(1-'Inputs'!$E$49)/2/J2022,0)+G2022+R2022)*'Inputs'!$B$17</x:f>
        <x:v>317345723.0022801</x:v>
      </x:c>
      <x:c r="AC2022" s="78" t="n">
        <x:f>AC2021+AB2022</x:f>
        <x:v>7387316253.59308</x:v>
      </x:c>
      <x:c r="AD2022" s="80" t="n">
        <x:f>Z2022/(1+'Inputs'!$C$49)</x:f>
        <x:v>0.002656894867545159</x:v>
      </x:c>
      <x:c r="AE2022" s="80" t="n">
        <x:f>Z2022-AD2022</x:f>
        <x:v>0.007970684602635477</x:v>
      </x:c>
      <x:c r="AF2022" s="80" t="n">
        <x:f>D2022*W2022</x:f>
        <x:v>0.000002948332911377504</x:v>
      </x:c>
      <x:c r="AG2022" s="80" t="n">
        <x:f>C2022*W2022</x:f>
        <x:v>0.000006879443459880631</x:v>
      </x:c>
      <x:c r="AH2022" s="80" t="n">
        <x:f>2*'Inputs'!$B$8*'Inputs'!$C$49</x:f>
        <x:v>15000</x:v>
      </x:c>
      <x:c r="AI2022" s="81" t="n">
        <x:f>IF(AH2022&gt;0,(AE2022+AF2022)/AH2022*365,0)</x:f>
        <x:v>0.00019402506809830682</x:v>
      </x:c>
      <x:c r="AJ2022" s="81" t="n">
        <x:f>IF('Inputs'!$B$49&gt;0,AG2022/('Inputs'!$B$19*'Inputs'!$B$49)*365,0)</x:f>
        <x:v>2.5109968628564306e-7</x:v>
      </x:c>
      <x:c r="AK2022" s="81" t="n">
        <x:f>W2022/MAX($W$1829:W2022)-1</x:f>
        <x:v>-0.9999999863456256</x:v>
      </x:c>
      <x:c r="AL2022" s="83" t="n">
        <x:f>'Inputs'!$B$49</x:f>
        <x:v>1</x:v>
      </x:c>
      <x:c r="AM2022" s="83" t="n">
        <x:f>'Inputs'!$C$49</x:f>
        <x:v>3</x:v>
      </x:c>
      <x:c r="AN2022" s="83" t="n">
        <x:f>'Inputs'!$D$49</x:f>
        <x:v>0.75</x:v>
      </x:c>
      <x:c r="AO2022" s="81" t="n">
        <x:f>'Inputs'!$E$49</x:f>
        <x:v>-0.03</x:v>
      </x:c>
    </x:row>
    <x:row r="2023">
      <x:c r="A2023" s="59" t="str">
        <x:v>Mercenary LP</x:v>
      </x:c>
      <x:c r="B2023" s="59" t="n">
        <x:v>195</x:v>
      </x:c>
      <x:c r="C2023" s="78" t="n">
        <x:f>(('Inputs'!$B$29*(3*195*'Inputs'!$B$12-195^2)/(2*'Inputs'!$B$12^2))-('Inputs'!$B$29*(3*194*'Inputs'!$B$12-194^2)/(2*'Inputs'!$B$12^2)))*'Inputs'!$B$49</x:f>
        <x:v>648752.8147870153</x:v>
      </x:c>
      <x:c r="D2023" s="78" t="n">
        <x:f>IF('Inputs'!$C$49&gt;0,('Inputs'!$B$30*(3*195*'Inputs'!$B$12-195^2)/(2*'Inputs'!$B$12^2))-('Inputs'!$B$30*(3*194*'Inputs'!$B$12-194^2)/(2*'Inputs'!$B$12^2)),0)</x:f>
        <x:v>278036.92062300444</x:v>
      </x:c>
      <x:c r="E2023" s="78" t="n">
        <x:f>C2023+D2023</x:f>
        <x:v>926789.7354100198</x:v>
      </x:c>
      <x:c r="F2023" s="78" t="n">
        <x:f>'Inputs'!$B$13*E2023+(1-'Inputs'!$B$13)/'Inputs'!$B$14*SUM(E1968:E2023)</x:f>
        <x:v>937007.4122724712</x:v>
      </x:c>
      <x:c r="G2023" s="78" t="n">
        <x:f>F2023*'Inputs'!$F$49</x:f>
        <x:v>843306.6710452242</x:v>
      </x:c>
      <x:c r="H2023" s="78" t="n">
        <x:f>U2022</x:f>
        <x:v>106659699379.90114</x:v>
      </x:c>
      <x:c r="I2023" s="78" t="n">
        <x:f>V2022</x:f>
        <x:v>1.1304642257652862</x:v>
      </x:c>
      <x:c r="J2023" s="79" t="n">
        <x:f>IF(H2023&gt;0,I2023/H2023,0)</x:f>
        <x:v>1.0598794411924902e-11</x:v>
      </x:c>
      <x:c r="K2023" s="80" t="n">
        <x:f>(H2023*J2023+I2023)*'Inputs'!$D$49*(1+'Inputs'!$G$49)^(B2023/30)</x:f>
        <x:v>1.6956963386479291</x:v>
      </x:c>
      <x:c r="L2023" s="80" t="n">
        <x:f>MAX(0,K2023*'Inputs'!$E$49)</x:f>
        <x:v>0</x:v>
      </x:c>
      <x:c r="M2023" s="80" t="n">
        <x:f>MAX(0,-K2023*'Inputs'!$E$49)</x:f>
        <x:v>0.050870890159437875</x:v>
      </x:c>
      <x:c r="N2023" s="78" t="n">
        <x:f>H2023*(L2023*(1-'Inputs'!$B$15))/(I2023+L2023*(1-'Inputs'!$B$15))</x:f>
        <x:v>0</x:v>
      </x:c>
      <x:c r="O2023" s="78" t="n">
        <x:f>H2023-N2023</x:f>
        <x:v>106659699379.90114</x:v>
      </x:c>
      <x:c r="P2023" s="78" t="n">
        <x:f>I2023+L2023*(1-'Inputs'!$B$17)</x:f>
        <x:v>1.1304642257652862</x:v>
      </x:c>
      <x:c r="Q2023" s="78" t="n">
        <x:f>IF(J2023&gt;0,M2023/J2023,0)</x:f>
        <x:v>4799686472.0955515</x:v>
      </x:c>
      <x:c r="R2023" s="78" t="n">
        <x:f>IF(B2023='Inputs'!$H$49,'Inputs'!$B$27*'Inputs'!$I$49,0)</x:f>
        <x:v>0</x:v>
      </x:c>
      <x:c r="S2023" s="78" t="n">
        <x:f>Q2023+G2023+R2023</x:f>
        <x:v>4800529778.766597</x:v>
      </x:c>
      <x:c r="T2023" s="78" t="n">
        <x:f>P2023*(S2023*(1-'Inputs'!$B$15))/(O2023+S2023*(1-'Inputs'!$B$15))</x:f>
        <x:v>0.048222346899107815</x:v>
      </x:c>
      <x:c r="U2023" s="78" t="n">
        <x:f>O2023+S2023*(1-'Inputs'!$B$17)</x:f>
        <x:v>111440911131.38899</x:v>
      </x:c>
      <x:c r="V2023" s="78" t="n">
        <x:f>P2023-T2023</x:f>
        <x:v>1.0822418788661783</x:v>
      </x:c>
      <x:c r="W2023" s="79" t="n">
        <x:f>IF(U2023&gt;0,V2023/U2023,0)</x:f>
        <x:v>9.711351673984552e-12</x:v>
      </x:c>
      <x:c r="X2023" s="80" t="n">
        <x:f>W2023*('Inputs'!$B$6-AC2023)</x:f>
        <x:v>-0.06524947961842127</x:v>
      </x:c>
      <x:c r="Y2023" s="80" t="n">
        <x:f>2*V2023</x:f>
        <x:v>2.1644837577323566</x:v>
      </x:c>
      <x:c r="Z2023" s="80" t="n">
        <x:f>K2023*'Inputs'!$B$16+(G2023+R2023)*J2023*'Inputs'!$B$16</x:f>
        <x:v>0.01017423166009177</x:v>
      </x:c>
      <x:c r="AA2023" s="80" t="n">
        <x:f>K2023*(1+'Inputs'!$E$49)/2*'Inputs'!$B$17</x:f>
        <x:v>0.0033095079446448517</x:v>
      </x:c>
      <x:c r="AB2023" s="78" t="n">
        <x:f>(IF(J2023&gt;0,K2023*(1-'Inputs'!$E$49)/2/J2023,0)+G2023+R2023)*'Inputs'!$B$17</x:f>
        <x:v>331571271.94223213</x:v>
      </x:c>
      <x:c r="AC2023" s="78" t="n">
        <x:f>AC2022+AB2023</x:f>
        <x:v>7718887525.535312</x:v>
      </x:c>
      <x:c r="AD2023" s="80" t="n">
        <x:f>Z2023/(1+'Inputs'!$C$49)</x:f>
        <x:v>0.0025435579150229425</x:v>
      </x:c>
      <x:c r="AE2023" s="80" t="n">
        <x:f>Z2023-AD2023</x:f>
        <x:v>0.007630673745068827</x:v>
      </x:c>
      <x:c r="AF2023" s="80" t="n">
        <x:f>D2023*W2023</x:f>
        <x:v>0.0000027001143145217243</x:v>
      </x:c>
      <x:c r="AG2023" s="80" t="n">
        <x:f>C2023*W2023</x:f>
        <x:v>0.000006300266733884071</x:v>
      </x:c>
      <x:c r="AH2023" s="80" t="n">
        <x:f>2*'Inputs'!$B$8*'Inputs'!$C$49</x:f>
        <x:v>15000</x:v>
      </x:c>
      <x:c r="AI2023" s="81" t="n">
        <x:f>IF(AH2023&gt;0,(AE2023+AF2023)/AH2023*365,0)</x:f>
        <x:v>0.00018574543057832816</x:v>
      </x:c>
      <x:c r="AJ2023" s="81" t="n">
        <x:f>IF('Inputs'!$B$49&gt;0,AG2023/('Inputs'!$B$19*'Inputs'!$B$49)*365,0)</x:f>
        <x:v>2.299597357867686e-7</x:v>
      </x:c>
      <x:c r="AK2023" s="81" t="n">
        <x:f>W2023/MAX($W$1829:W2023)-1</x:f>
        <x:v>-0.9999999874889137</x:v>
      </x:c>
      <x:c r="AL2023" s="83" t="n">
        <x:f>'Inputs'!$B$49</x:f>
        <x:v>1</x:v>
      </x:c>
      <x:c r="AM2023" s="83" t="n">
        <x:f>'Inputs'!$C$49</x:f>
        <x:v>3</x:v>
      </x:c>
      <x:c r="AN2023" s="83" t="n">
        <x:f>'Inputs'!$D$49</x:f>
        <x:v>0.75</x:v>
      </x:c>
      <x:c r="AO2023" s="81" t="n">
        <x:f>'Inputs'!$E$49</x:f>
        <x:v>-0.03</x:v>
      </x:c>
    </x:row>
    <x:row r="2024">
      <x:c r="A2024" s="59" t="str">
        <x:v>Mercenary LP</x:v>
      </x:c>
      <x:c r="B2024" s="59" t="n">
        <x:v>196</x:v>
      </x:c>
      <x:c r="C2024" s="78" t="n">
        <x:f>(('Inputs'!$B$29*(3*196*'Inputs'!$B$12-196^2)/(2*'Inputs'!$B$12^2))-('Inputs'!$B$29*(3*195*'Inputs'!$B$12-195^2)/(2*'Inputs'!$B$12^2)))*'Inputs'!$B$49</x:f>
        <x:v>648427.7068868428</x:v>
      </x:c>
      <x:c r="D2024" s="78" t="n">
        <x:f>IF('Inputs'!$C$49&gt;0,('Inputs'!$B$30*(3*196*'Inputs'!$B$12-196^2)/(2*'Inputs'!$B$12^2))-('Inputs'!$B$30*(3*195*'Inputs'!$B$12-195^2)/(2*'Inputs'!$B$12^2)),0)</x:f>
        <x:v>277897.58866579086</x:v>
      </x:c>
      <x:c r="E2024" s="78" t="n">
        <x:f>C2024+D2024</x:f>
        <x:v>926325.2955526337</x:v>
      </x:c>
      <x:c r="F2024" s="78" t="n">
        <x:f>'Inputs'!$B$13*E2024+(1-'Inputs'!$B$13)/'Inputs'!$B$14*SUM(E1969:E2024)</x:f>
        <x:v>936542.9724150866</x:v>
      </x:c>
      <x:c r="G2024" s="78" t="n">
        <x:f>F2024*'Inputs'!$F$49</x:f>
        <x:v>842888.675173578</x:v>
      </x:c>
      <x:c r="H2024" s="78" t="n">
        <x:f>U2023</x:f>
        <x:v>111440911131.38899</x:v>
      </x:c>
      <x:c r="I2024" s="78" t="n">
        <x:f>V2023</x:f>
        <x:v>1.0822418788661783</x:v>
      </x:c>
      <x:c r="J2024" s="79" t="n">
        <x:f>IF(H2024&gt;0,I2024/H2024,0)</x:f>
        <x:v>9.711351673984552e-12</x:v>
      </x:c>
      <x:c r="K2024" s="80" t="n">
        <x:f>(H2024*J2024+I2024)*'Inputs'!$D$49*(1+'Inputs'!$G$49)^(B2024/30)</x:f>
        <x:v>1.6233628182992674</x:v>
      </x:c>
      <x:c r="L2024" s="80" t="n">
        <x:f>MAX(0,K2024*'Inputs'!$E$49)</x:f>
        <x:v>0</x:v>
      </x:c>
      <x:c r="M2024" s="80" t="n">
        <x:f>MAX(0,-K2024*'Inputs'!$E$49)</x:f>
        <x:v>0.04870088454897802</x:v>
      </x:c>
      <x:c r="N2024" s="78" t="n">
        <x:f>H2024*(L2024*(1-'Inputs'!$B$15))/(I2024+L2024*(1-'Inputs'!$B$15))</x:f>
        <x:v>0</x:v>
      </x:c>
      <x:c r="O2024" s="78" t="n">
        <x:f>H2024-N2024</x:f>
        <x:v>111440911131.38899</x:v>
      </x:c>
      <x:c r="P2024" s="78" t="n">
        <x:f>I2024+L2024*(1-'Inputs'!$B$17)</x:f>
        <x:v>1.0822418788661783</x:v>
      </x:c>
      <x:c r="Q2024" s="78" t="n">
        <x:f>IF(J2024&gt;0,M2024/J2024,0)</x:f>
        <x:v>5014841000.912505</x:v>
      </x:c>
      <x:c r="R2024" s="78" t="n">
        <x:f>IF(B2024='Inputs'!$H$49,'Inputs'!$B$27*'Inputs'!$I$49,0)</x:f>
        <x:v>0</x:v>
      </x:c>
      <x:c r="S2024" s="78" t="n">
        <x:f>Q2024+G2024+R2024</x:f>
        <x:v>5015683889.587679</x:v>
      </x:c>
      <x:c r="T2024" s="78" t="n">
        <x:f>P2024*(S2024*(1-'Inputs'!$B$15))/(O2024+S2024*(1-'Inputs'!$B$15))</x:f>
        <x:v>0.04616498373136176</x:v>
      </x:c>
      <x:c r="U2024" s="78" t="n">
        <x:f>O2024+S2024*(1-'Inputs'!$B$17)</x:f>
        <x:v>116436411182.38678</x:v>
      </x:c>
      <x:c r="V2024" s="78" t="n">
        <x:f>P2024-T2024</x:f>
        <x:v>1.0360768951348165</x:v>
      </x:c>
      <x:c r="W2024" s="79" t="n">
        <x:f>IF(U2024&gt;0,V2024/U2024,0)</x:f>
        <x:v>8.898220793767842e-12</x:v>
      </x:c>
      <x:c r="X2024" s="80" t="n">
        <x:f>W2024*('Inputs'!$B$6-AC2024)</x:f>
        <x:v>-0.06286879441293801</x:v>
      </x:c>
      <x:c r="Y2024" s="80" t="n">
        <x:f>2*V2024</x:f>
        <x:v>2.072153790269633</x:v>
      </x:c>
      <x:c r="Z2024" s="80" t="n">
        <x:f>K2024*'Inputs'!$B$16+(G2024+R2024)*J2024*'Inputs'!$B$16</x:f>
        <x:v>0.009740226023325685</x:v>
      </x:c>
      <x:c r="AA2024" s="80" t="n">
        <x:f>K2024*(1+'Inputs'!$E$49)/2*'Inputs'!$B$17</x:f>
        <x:v>0.0031683338707249285</x:v>
      </x:c>
      <x:c r="AB2024" s="78" t="n">
        <x:f>(IF(J2024&gt;0,K2024*(1-'Inputs'!$E$49)/2/J2024,0)+G2024+R2024)*'Inputs'!$B$17</x:f>
        <x:v>346434393.31055605</x:v>
      </x:c>
      <x:c r="AC2024" s="78" t="n">
        <x:f>AC2023+AB2024</x:f>
        <x:v>8065321918.845868</x:v>
      </x:c>
      <x:c r="AD2024" s="80" t="n">
        <x:f>Z2024/(1+'Inputs'!$C$49)</x:f>
        <x:v>0.002435056505831421</x:v>
      </x:c>
      <x:c r="AE2024" s="80" t="n">
        <x:f>Z2024-AD2024</x:f>
        <x:v>0.007305169517494263</x:v>
      </x:c>
      <x:c r="AF2024" s="80" t="n">
        <x:f>D2024*W2024</x:f>
        <x:v>0.0000024727941020038826</x:v>
      </x:c>
      <x:c r="AG2024" s="80" t="n">
        <x:f>C2024*W2024</x:f>
        <x:v>0.000005769852904675704</x:v>
      </x:c>
      <x:c r="AH2024" s="80" t="n">
        <x:f>2*'Inputs'!$B$8*'Inputs'!$C$49</x:f>
        <x:v>15000</x:v>
      </x:c>
      <x:c r="AI2024" s="81" t="n">
        <x:f>IF(AH2024&gt;0,(AE2024+AF2024)/AH2024*365,0)</x:f>
        <x:v>0.0001778192962488425</x:v>
      </x:c>
      <x:c r="AJ2024" s="81" t="n">
        <x:f>IF('Inputs'!$B$49&gt;0,AG2024/('Inputs'!$B$19*'Inputs'!$B$49)*365,0)</x:f>
        <x:v>2.1059963102066321e-7</x:v>
      </x:c>
      <x:c r="AK2024" s="81" t="n">
        <x:f>W2024/MAX($W$1829:W2024)-1</x:f>
        <x:v>-0.9999999885364662</x:v>
      </x:c>
      <x:c r="AL2024" s="83" t="n">
        <x:f>'Inputs'!$B$49</x:f>
        <x:v>1</x:v>
      </x:c>
      <x:c r="AM2024" s="83" t="n">
        <x:f>'Inputs'!$C$49</x:f>
        <x:v>3</x:v>
      </x:c>
      <x:c r="AN2024" s="83" t="n">
        <x:f>'Inputs'!$D$49</x:f>
        <x:v>0.75</x:v>
      </x:c>
      <x:c r="AO2024" s="81" t="n">
        <x:f>'Inputs'!$E$49</x:f>
        <x:v>-0.03</x:v>
      </x:c>
    </x:row>
    <x:row r="2025">
      <x:c r="A2025" s="59" t="str">
        <x:v>Mercenary LP</x:v>
      </x:c>
      <x:c r="B2025" s="59" t="n">
        <x:v>197</x:v>
      </x:c>
      <x:c r="C2025" s="78" t="n">
        <x:f>(('Inputs'!$B$29*(3*197*'Inputs'!$B$12-197^2)/(2*'Inputs'!$B$12^2))-('Inputs'!$B$29*(3*196*'Inputs'!$B$12-196^2)/(2*'Inputs'!$B$12^2)))*'Inputs'!$B$49</x:f>
        <x:v>648102.5989866853</x:v>
      </x:c>
      <x:c r="D2025" s="78" t="n">
        <x:f>IF('Inputs'!$C$49&gt;0,('Inputs'!$B$30*(3*197*'Inputs'!$B$12-197^2)/(2*'Inputs'!$B$12^2))-('Inputs'!$B$30*(3*196*'Inputs'!$B$12-196^2)/(2*'Inputs'!$B$12^2)),0)</x:f>
        <x:v>277758.2567085773</x:v>
      </x:c>
      <x:c r="E2025" s="78" t="n">
        <x:f>C2025+D2025</x:f>
        <x:v>925860.8556952626</x:v>
      </x:c>
      <x:c r="F2025" s="78" t="n">
        <x:f>'Inputs'!$B$13*E2025+(1-'Inputs'!$B$13)/'Inputs'!$B$14*SUM(E1970:E2025)</x:f>
        <x:v>936078.5325577052</x:v>
      </x:c>
      <x:c r="G2025" s="78" t="n">
        <x:f>F2025*'Inputs'!$F$49</x:f>
        <x:v>842470.6793019347</x:v>
      </x:c>
      <x:c r="H2025" s="78" t="n">
        <x:f>U2024</x:f>
        <x:v>116436411182.38678</x:v>
      </x:c>
      <x:c r="I2025" s="78" t="n">
        <x:f>V2024</x:f>
        <x:v>1.0360768951348165</x:v>
      </x:c>
      <x:c r="J2025" s="79" t="n">
        <x:f>IF(H2025&gt;0,I2025/H2025,0)</x:f>
        <x:v>8.898220793767842e-12</x:v>
      </x:c>
      <x:c r="K2025" s="80" t="n">
        <x:f>(H2025*J2025+I2025)*'Inputs'!$D$49*(1+'Inputs'!$G$49)^(B2025/30)</x:f>
        <x:v>1.5541153427022247</x:v>
      </x:c>
      <x:c r="L2025" s="80" t="n">
        <x:f>MAX(0,K2025*'Inputs'!$E$49)</x:f>
        <x:v>0</x:v>
      </x:c>
      <x:c r="M2025" s="80" t="n">
        <x:f>MAX(0,-K2025*'Inputs'!$E$49)</x:f>
        <x:v>0.04662346028106674</x:v>
      </x:c>
      <x:c r="N2025" s="78" t="n">
        <x:f>H2025*(L2025*(1-'Inputs'!$B$15))/(I2025+L2025*(1-'Inputs'!$B$15))</x:f>
        <x:v>0</x:v>
      </x:c>
      <x:c r="O2025" s="78" t="n">
        <x:f>H2025-N2025</x:f>
        <x:v>116436411182.38678</x:v>
      </x:c>
      <x:c r="P2025" s="78" t="n">
        <x:f>I2025+L2025*(1-'Inputs'!$B$17)</x:f>
        <x:v>1.0360768951348165</x:v>
      </x:c>
      <x:c r="Q2025" s="78" t="n">
        <x:f>IF(J2025&gt;0,M2025/J2025,0)</x:f>
        <x:v>5239638503.207404</x:v>
      </x:c>
      <x:c r="R2025" s="78" t="n">
        <x:f>IF(B2025='Inputs'!$H$49,'Inputs'!$B$27*'Inputs'!$I$49,0)</x:f>
        <x:v>0</x:v>
      </x:c>
      <x:c r="S2025" s="78" t="n">
        <x:f>Q2025+G2025+R2025</x:f>
        <x:v>5240480973.886706</x:v>
      </x:c>
      <x:c r="T2025" s="78" t="n">
        <x:f>P2025*(S2025*(1-'Inputs'!$B$15))/(O2025+S2025*(1-'Inputs'!$B$15))</x:f>
        <x:v>0.04419542446709763</x:v>
      </x:c>
      <x:c r="U2025" s="78" t="n">
        <x:f>O2025+S2025*(1-'Inputs'!$B$17)</x:f>
        <x:v>121655803701.6502</x:v>
      </x:c>
      <x:c r="V2025" s="78" t="n">
        <x:f>P2025-T2025</x:f>
        <x:v>0.9918814706677188</x:v>
      </x:c>
      <x:c r="W2025" s="79" t="n">
        <x:f>IF(U2025&gt;0,V2025/U2025,0)</x:f>
        <x:v>8.153178397474715e-12</x:v>
      </x:c>
      <x:c r="X2025" s="80" t="n">
        <x:f>W2025*('Inputs'!$B$6-AC2025)</x:f>
        <x:v>-0.060555984352976946</x:v>
      </x:c>
      <x:c r="Y2025" s="80" t="n">
        <x:f>2*V2025</x:f>
        <x:v>1.9837629413354376</x:v>
      </x:c>
      <x:c r="Z2025" s="80" t="n">
        <x:f>K2025*'Inputs'!$B$16+(G2025+R2025)*J2025*'Inputs'!$B$16</x:f>
        <x:v>0.00932473703515405</x:v>
      </x:c>
      <x:c r="AA2025" s="80" t="n">
        <x:f>K2025*(1+'Inputs'!$E$49)/2*'Inputs'!$B$17</x:f>
        <x:v>0.0030331828620144027</x:v>
      </x:c>
      <x:c r="AB2025" s="78" t="n">
        <x:f>(IF(J2025&gt;0,K2025*(1-'Inputs'!$E$49)/2/J2025,0)+G2025+R2025)*'Inputs'!$B$17</x:f>
        <x:v>361963662.41075695</x:v>
      </x:c>
      <x:c r="AC2025" s="78" t="n">
        <x:f>AC2024+AB2025</x:f>
        <x:v>8427285581.256625</x:v>
      </x:c>
      <x:c r="AD2025" s="80" t="n">
        <x:f>Z2025/(1+'Inputs'!$C$49)</x:f>
        <x:v>0.0023311842587885124</x:v>
      </x:c>
      <x:c r="AE2025" s="80" t="n">
        <x:f>Z2025-AD2025</x:f>
        <x:v>0.006993552776365537</x:v>
      </x:c>
      <x:c r="AF2025" s="80" t="n">
        <x:f>D2025*W2025</x:f>
        <x:v>0.0000022646126183166083</x:v>
      </x:c>
      <x:c r="AG2025" s="80" t="n">
        <x:f>C2025*W2025</x:f>
        <x:v>0.00000528409610940546</x:v>
      </x:c>
      <x:c r="AH2025" s="80" t="n">
        <x:f>2*'Inputs'!$B$8*'Inputs'!$C$49</x:f>
        <x:v>15000</x:v>
      </x:c>
      <x:c r="AI2025" s="81" t="n">
        <x:f>IF(AH2025&gt;0,(AE2025+AF2025)/AH2025*365,0)</x:f>
        <x:v>0.00017023155646527375</x:v>
      </x:c>
      <x:c r="AJ2025" s="81" t="n">
        <x:f>IF('Inputs'!$B$49&gt;0,AG2025/('Inputs'!$B$19*'Inputs'!$B$49)*365,0)</x:f>
        <x:v>1.9286950799329933e-7</x:v>
      </x:c>
      <x:c r="AK2025" s="81" t="n">
        <x:f>W2025/MAX($W$1829:W2025)-1</x:f>
        <x:v>-0.9999999894963006</x:v>
      </x:c>
      <x:c r="AL2025" s="83" t="n">
        <x:f>'Inputs'!$B$49</x:f>
        <x:v>1</x:v>
      </x:c>
      <x:c r="AM2025" s="83" t="n">
        <x:f>'Inputs'!$C$49</x:f>
        <x:v>3</x:v>
      </x:c>
      <x:c r="AN2025" s="83" t="n">
        <x:f>'Inputs'!$D$49</x:f>
        <x:v>0.75</x:v>
      </x:c>
      <x:c r="AO2025" s="81" t="n">
        <x:f>'Inputs'!$E$49</x:f>
        <x:v>-0.03</x:v>
      </x:c>
    </x:row>
    <x:row r="2026">
      <x:c r="A2026" s="59" t="str">
        <x:v>Mercenary LP</x:v>
      </x:c>
      <x:c r="B2026" s="59" t="n">
        <x:v>198</x:v>
      </x:c>
      <x:c r="C2026" s="78" t="n">
        <x:f>(('Inputs'!$B$29*(3*198*'Inputs'!$B$12-198^2)/(2*'Inputs'!$B$12^2))-('Inputs'!$B$29*(3*197*'Inputs'!$B$12-197^2)/(2*'Inputs'!$B$12^2)))*'Inputs'!$B$49</x:f>
        <x:v>647777.4910865128</x:v>
      </x:c>
      <x:c r="D2026" s="78" t="n">
        <x:f>IF('Inputs'!$C$49&gt;0,('Inputs'!$B$30*(3*198*'Inputs'!$B$12-198^2)/(2*'Inputs'!$B$12^2))-('Inputs'!$B$30*(3*197*'Inputs'!$B$12-197^2)/(2*'Inputs'!$B$12^2)),0)</x:f>
        <x:v>277618.92475135624</x:v>
      </x:c>
      <x:c r="E2026" s="78" t="n">
        <x:f>C2026+D2026</x:f>
        <x:v>925396.415837869</x:v>
      </x:c>
      <x:c r="F2026" s="78" t="n">
        <x:f>'Inputs'!$B$13*E2026+(1-'Inputs'!$B$13)/'Inputs'!$B$14*SUM(E1971:E2026)</x:f>
        <x:v>935614.0927003194</x:v>
      </x:c>
      <x:c r="G2026" s="78" t="n">
        <x:f>F2026*'Inputs'!$F$49</x:f>
        <x:v>842052.6834302874</x:v>
      </x:c>
      <x:c r="H2026" s="78" t="n">
        <x:f>U2025</x:f>
        <x:v>121655803701.6502</x:v>
      </x:c>
      <x:c r="I2026" s="78" t="n">
        <x:f>V2025</x:f>
        <x:v>0.9918814706677188</x:v>
      </x:c>
      <x:c r="J2026" s="79" t="n">
        <x:f>IF(H2026&gt;0,I2026/H2026,0)</x:f>
        <x:v>8.153178397474715e-12</x:v>
      </x:c>
      <x:c r="K2026" s="80" t="n">
        <x:f>(H2026*J2026+I2026)*'Inputs'!$D$49*(1+'Inputs'!$G$49)^(B2026/30)</x:f>
        <x:v>1.4878222060015782</x:v>
      </x:c>
      <x:c r="L2026" s="80" t="n">
        <x:f>MAX(0,K2026*'Inputs'!$E$49)</x:f>
        <x:v>0</x:v>
      </x:c>
      <x:c r="M2026" s="80" t="n">
        <x:f>MAX(0,-K2026*'Inputs'!$E$49)</x:f>
        <x:v>0.04463466618004734</x:v>
      </x:c>
      <x:c r="N2026" s="78" t="n">
        <x:f>H2026*(L2026*(1-'Inputs'!$B$15))/(I2026+L2026*(1-'Inputs'!$B$15))</x:f>
        <x:v>0</x:v>
      </x:c>
      <x:c r="O2026" s="78" t="n">
        <x:f>H2026-N2026</x:f>
        <x:v>121655803701.6502</x:v>
      </x:c>
      <x:c r="P2026" s="78" t="n">
        <x:f>I2026+L2026*(1-'Inputs'!$B$17)</x:f>
        <x:v>0.9918814706677188</x:v>
      </x:c>
      <x:c r="Q2026" s="78" t="n">
        <x:f>IF(J2026&gt;0,M2026/J2026,0)</x:f>
        <x:v>5474511166.574258</x:v>
      </x:c>
      <x:c r="R2026" s="78" t="n">
        <x:f>IF(B2026='Inputs'!$H$49,'Inputs'!$B$27*'Inputs'!$I$49,0)</x:f>
        <x:v>0</x:v>
      </x:c>
      <x:c r="S2026" s="78" t="n">
        <x:f>Q2026+G2026+R2026</x:f>
        <x:v>5475353219.2576885</x:v>
      </x:c>
      <x:c r="T2026" s="78" t="n">
        <x:f>P2026*(S2026*(1-'Inputs'!$B$15))/(O2026+S2026*(1-'Inputs'!$B$15))</x:f>
        <x:v>0.042309919435322745</x:v>
      </x:c>
      <x:c r="U2026" s="78" t="n">
        <x:f>O2026+S2026*(1-'Inputs'!$B$17)</x:f>
        <x:v>127109123306.34348</x:v>
      </x:c>
      <x:c r="V2026" s="78" t="n">
        <x:f>P2026-T2026</x:f>
        <x:v>0.9495715512323961</x:v>
      </x:c>
      <x:c r="W2026" s="79" t="n">
        <x:f>IF(U2026&gt;0,V2026/U2026,0)</x:f>
        <x:v>7.47052238684591e-12</x:v>
      </x:c>
      <x:c r="X2026" s="80" t="n">
        <x:f>W2026*('Inputs'!$B$6-AC2026)</x:f>
        <x:v>-0.05831097211559566</x:v>
      </x:c>
      <x:c r="Y2026" s="80" t="n">
        <x:f>2*V2026</x:f>
        <x:v>1.8991431024647922</x:v>
      </x:c>
      <x:c r="Z2026" s="80" t="n">
        <x:f>K2026*'Inputs'!$B$16+(G2026+R2026)*J2026*'Inputs'!$B$16</x:f>
        <x:v>0.008926974428443956</x:v>
      </x:c>
      <x:c r="AA2026" s="80" t="n">
        <x:f>K2026*(1+'Inputs'!$E$49)/2*'Inputs'!$B$17</x:f>
        <x:v>0.0029037978668441265</x:v>
      </x:c>
      <x:c r="AB2026" s="78" t="n">
        <x:f>(IF(J2026&gt;0,K2026*(1-'Inputs'!$E$49)/2/J2026,0)+G2026+R2026)*'Inputs'!$B$17</x:f>
        <x:v>378188935.2603952</x:v>
      </x:c>
      <x:c r="AC2026" s="78" t="n">
        <x:f>AC2025+AB2026</x:f>
        <x:v>8805474516.517021</x:v>
      </x:c>
      <x:c r="AD2026" s="80" t="n">
        <x:f>Z2026/(1+'Inputs'!$C$49)</x:f>
        <x:v>0.002231743607110989</x:v>
      </x:c>
      <x:c r="AE2026" s="80" t="n">
        <x:f>Z2026-AD2026</x:f>
        <x:v>0.006695230821332967</x:v>
      </x:c>
      <x:c r="AF2026" s="80" t="n">
        <x:f>D2026*W2026</x:f>
        <x:v>0.0000020739583923670967</x:v>
      </x:c>
      <x:c r="AG2026" s="80" t="n">
        <x:f>C2026*W2026</x:f>
        <x:v>0.000004839236248856671</x:v>
      </x:c>
      <x:c r="AH2026" s="80" t="n">
        <x:f>2*'Inputs'!$B$8*'Inputs'!$C$49</x:f>
        <x:v>15000</x:v>
      </x:c>
      <x:c r="AI2026" s="81" t="n">
        <x:f>IF(AH2026&gt;0,(AE2026+AF2026)/AH2026*365,0)</x:f>
        <x:v>0.00016296774963998315</x:v>
      </x:c>
      <x:c r="AJ2026" s="81" t="n">
        <x:f>IF('Inputs'!$B$49&gt;0,AG2026/('Inputs'!$B$19*'Inputs'!$B$49)*365,0)</x:f>
        <x:v>1.766321230832685e-7</x:v>
      </x:c>
      <x:c r="AK2026" s="81" t="n">
        <x:f>W2026/MAX($W$1829:W2026)-1</x:f>
        <x:v>-0.9999999903757629</x:v>
      </x:c>
      <x:c r="AL2026" s="83" t="n">
        <x:f>'Inputs'!$B$49</x:f>
        <x:v>1</x:v>
      </x:c>
      <x:c r="AM2026" s="83" t="n">
        <x:f>'Inputs'!$C$49</x:f>
        <x:v>3</x:v>
      </x:c>
      <x:c r="AN2026" s="83" t="n">
        <x:f>'Inputs'!$D$49</x:f>
        <x:v>0.75</x:v>
      </x:c>
      <x:c r="AO2026" s="81" t="n">
        <x:f>'Inputs'!$E$49</x:f>
        <x:v>-0.03</x:v>
      </x:c>
    </x:row>
    <x:row r="2027">
      <x:c r="A2027" s="59" t="str">
        <x:v>Mercenary LP</x:v>
      </x:c>
      <x:c r="B2027" s="59" t="n">
        <x:v>199</x:v>
      </x:c>
      <x:c r="C2027" s="78" t="n">
        <x:f>(('Inputs'!$B$29*(3*199*'Inputs'!$B$12-199^2)/(2*'Inputs'!$B$12^2))-('Inputs'!$B$29*(3*198*'Inputs'!$B$12-198^2)/(2*'Inputs'!$B$12^2)))*'Inputs'!$B$49</x:f>
        <x:v>647452.3831863403</x:v>
      </x:c>
      <x:c r="D2027" s="78" t="n">
        <x:f>IF('Inputs'!$C$49&gt;0,('Inputs'!$B$30*(3*199*'Inputs'!$B$12-199^2)/(2*'Inputs'!$B$12^2))-('Inputs'!$B$30*(3*198*'Inputs'!$B$12-198^2)/(2*'Inputs'!$B$12^2)),0)</x:f>
        <x:v>277479.5927941501</x:v>
      </x:c>
      <x:c r="E2027" s="78" t="n">
        <x:f>C2027+D2027</x:f>
        <x:v>924931.9759804904</x:v>
      </x:c>
      <x:c r="F2027" s="78" t="n">
        <x:f>'Inputs'!$B$13*E2027+(1-'Inputs'!$B$13)/'Inputs'!$B$14*SUM(E1972:E2027)</x:f>
        <x:v>935149.6528429365</x:v>
      </x:c>
      <x:c r="G2027" s="78" t="n">
        <x:f>F2027*'Inputs'!$F$49</x:f>
        <x:v>841634.6875586428</x:v>
      </x:c>
      <x:c r="H2027" s="78" t="n">
        <x:f>U2026</x:f>
        <x:v>127109123306.34348</x:v>
      </x:c>
      <x:c r="I2027" s="78" t="n">
        <x:f>V2026</x:f>
        <x:v>0.9495715512323961</x:v>
      </x:c>
      <x:c r="J2027" s="79" t="n">
        <x:f>IF(H2027&gt;0,I2027/H2027,0)</x:f>
        <x:v>7.47052238684591e-12</x:v>
      </x:c>
      <x:c r="K2027" s="80" t="n">
        <x:f>(H2027*J2027+I2027)*'Inputs'!$D$49*(1+'Inputs'!$G$49)^(B2027/30)</x:f>
        <x:v>1.424357326848594</x:v>
      </x:c>
      <x:c r="L2027" s="80" t="n">
        <x:f>MAX(0,K2027*'Inputs'!$E$49)</x:f>
        <x:v>0</x:v>
      </x:c>
      <x:c r="M2027" s="80" t="n">
        <x:f>MAX(0,-K2027*'Inputs'!$E$49)</x:f>
        <x:v>0.04273071980545782</x:v>
      </x:c>
      <x:c r="N2027" s="78" t="n">
        <x:f>H2027*(L2027*(1-'Inputs'!$B$15))/(I2027+L2027*(1-'Inputs'!$B$15))</x:f>
        <x:v>0</x:v>
      </x:c>
      <x:c r="O2027" s="78" t="n">
        <x:f>H2027-N2027</x:f>
        <x:v>127109123306.34348</x:v>
      </x:c>
      <x:c r="P2027" s="78" t="n">
        <x:f>I2027+L2027*(1-'Inputs'!$B$17)</x:f>
        <x:v>0.9495715512323961</x:v>
      </x:c>
      <x:c r="Q2027" s="78" t="n">
        <x:f>IF(J2027&gt;0,M2027/J2027,0)</x:f>
        <x:v>5719910548.785456</x:v>
      </x:c>
      <x:c r="R2027" s="78" t="n">
        <x:f>IF(B2027='Inputs'!$H$49,'Inputs'!$B$27*'Inputs'!$I$49,0)</x:f>
        <x:v>0</x:v>
      </x:c>
      <x:c r="S2027" s="78" t="n">
        <x:f>Q2027+G2027+R2027</x:f>
        <x:v>5720752183.473014</x:v>
      </x:c>
      <x:c r="T2027" s="78" t="n">
        <x:f>P2027*(S2027*(1-'Inputs'!$B$15))/(O2027+S2027*(1-'Inputs'!$B$15))</x:f>
        <x:v>0.04050487929581046</x:v>
      </x:c>
      <x:c r="U2027" s="78" t="n">
        <x:f>O2027+S2027*(1-'Inputs'!$B$17)</x:f>
        <x:v>132806854354.26932</x:v>
      </x:c>
      <x:c r="V2027" s="78" t="n">
        <x:f>P2027-T2027</x:f>
        <x:v>0.9090666719365856</x:v>
      </x:c>
      <x:c r="W2027" s="79" t="n">
        <x:f>IF(U2027&gt;0,V2027/U2027,0)</x:f>
        <x:v>6.845028265721905e-12</x:v>
      </x:c>
      <x:c r="X2027" s="80" t="n">
        <x:f>W2027*('Inputs'!$B$6-AC2027)</x:f>
        <x:v>-0.056133447785898564</x:v>
      </x:c>
      <x:c r="Y2027" s="80" t="n">
        <x:f>2*V2027</x:f>
        <x:v>1.8181333438731713</x:v>
      </x:c>
      <x:c r="Z2027" s="80" t="n">
        <x:f>K2027*'Inputs'!$B$16+(G2027+R2027)*J2027*'Inputs'!$B$16</x:f>
        <x:v>0.008546181685796215</x:v>
      </x:c>
      <x:c r="AA2027" s="80" t="n">
        <x:f>K2027*(1+'Inputs'!$E$49)/2*'Inputs'!$B$17</x:f>
        <x:v>0.0027799328109519845</x:v>
      </x:c>
      <x:c r="AB2027" s="78" t="n">
        <x:f>(IF(J2027&gt;0,K2027*(1-'Inputs'!$E$49)/2/J2027,0)+G2027+R2027)*'Inputs'!$B$17</x:f>
        <x:v>395141405.9912994</x:v>
      </x:c>
      <x:c r="AC2027" s="78" t="n">
        <x:f>AC2026+AB2027</x:f>
        <x:v>9200615922.50832</x:v>
      </x:c>
      <x:c r="AD2027" s="80" t="n">
        <x:f>Z2027/(1+'Inputs'!$C$49)</x:f>
        <x:v>0.0021365454214490537</x:v>
      </x:c>
      <x:c r="AE2027" s="80" t="n">
        <x:f>Z2027-AD2027</x:f>
        <x:v>0.006409636264347161</x:v>
      </x:c>
      <x:c r="AF2027" s="80" t="n">
        <x:f>D2027*W2027</x:f>
        <x:v>0.0000018993556558369617</x:v>
      </x:c>
      <x:c r="AG2027" s="80" t="n">
        <x:f>C2027*W2027</x:f>
        <x:v>0.000004431829863619509</x:v>
      </x:c>
      <x:c r="AH2027" s="80" t="n">
        <x:f>2*'Inputs'!$B$8*'Inputs'!$C$49</x:f>
        <x:v>15000</x:v>
      </x:c>
      <x:c r="AI2027" s="81" t="n">
        <x:f>IF(AH2027&gt;0,(AE2027+AF2027)/AH2027*365,0)</x:f>
        <x:v>0.00015601403342007294</x:v>
      </x:c>
      <x:c r="AJ2027" s="81" t="n">
        <x:f>IF('Inputs'!$B$49&gt;0,AG2027/('Inputs'!$B$19*'Inputs'!$B$49)*365,0)</x:f>
        <x:v>1.6176179002211208e-7</x:v>
      </x:c>
      <x:c r="AK2027" s="81" t="n">
        <x:f>W2027/MAX($W$1829:W2027)-1</x:f>
        <x:v>-0.999999991181584</x:v>
      </x:c>
      <x:c r="AL2027" s="83" t="n">
        <x:f>'Inputs'!$B$49</x:f>
        <x:v>1</x:v>
      </x:c>
      <x:c r="AM2027" s="83" t="n">
        <x:f>'Inputs'!$C$49</x:f>
        <x:v>3</x:v>
      </x:c>
      <x:c r="AN2027" s="83" t="n">
        <x:f>'Inputs'!$D$49</x:f>
        <x:v>0.75</x:v>
      </x:c>
      <x:c r="AO2027" s="81" t="n">
        <x:f>'Inputs'!$E$49</x:f>
        <x:v>-0.03</x:v>
      </x:c>
    </x:row>
    <x:row r="2028">
      <x:c r="A2028" s="59" t="str">
        <x:v>Mercenary LP</x:v>
      </x:c>
      <x:c r="B2028" s="59" t="n">
        <x:v>200</x:v>
      </x:c>
      <x:c r="C2028" s="78" t="n">
        <x:f>(('Inputs'!$B$29*(3*200*'Inputs'!$B$12-200^2)/(2*'Inputs'!$B$12^2))-('Inputs'!$B$29*(3*199*'Inputs'!$B$12-199^2)/(2*'Inputs'!$B$12^2)))*'Inputs'!$B$49</x:f>
        <x:v>647127.2752861679</x:v>
      </x:c>
      <x:c r="D2028" s="78" t="n">
        <x:f>IF('Inputs'!$C$49&gt;0,('Inputs'!$B$30*(3*200*'Inputs'!$B$12-200^2)/(2*'Inputs'!$B$12^2))-('Inputs'!$B$30*(3*199*'Inputs'!$B$12-199^2)/(2*'Inputs'!$B$12^2)),0)</x:f>
        <x:v>277340.2608369291</x:v>
      </x:c>
      <x:c r="E2028" s="78" t="n">
        <x:f>C2028+D2028</x:f>
        <x:v>924467.536123097</x:v>
      </x:c>
      <x:c r="F2028" s="78" t="n">
        <x:f>'Inputs'!$B$13*E2028+(1-'Inputs'!$B$13)/'Inputs'!$B$14*SUM(E1973:E2028)</x:f>
        <x:v>934685.2129855503</x:v>
      </x:c>
      <x:c r="G2028" s="78" t="n">
        <x:f>F2028*'Inputs'!$F$49</x:f>
        <x:v>841216.6916869953</x:v>
      </x:c>
      <x:c r="H2028" s="78" t="n">
        <x:f>U2027</x:f>
        <x:v>132806854354.26932</x:v>
      </x:c>
      <x:c r="I2028" s="78" t="n">
        <x:f>V2027</x:f>
        <x:v>0.9090666719365856</x:v>
      </x:c>
      <x:c r="J2028" s="79" t="n">
        <x:f>IF(H2028&gt;0,I2028/H2028,0)</x:f>
        <x:v>6.845028265721905e-12</x:v>
      </x:c>
      <x:c r="K2028" s="80" t="n">
        <x:f>(H2028*J2028+I2028)*'Inputs'!$D$49*(1+'Inputs'!$G$49)^(B2028/30)</x:f>
        <x:v>1.3636000079048785</x:v>
      </x:c>
      <x:c r="L2028" s="80" t="n">
        <x:f>MAX(0,K2028*'Inputs'!$E$49)</x:f>
        <x:v>0</x:v>
      </x:c>
      <x:c r="M2028" s="80" t="n">
        <x:f>MAX(0,-K2028*'Inputs'!$E$49)</x:f>
        <x:v>0.04090800023714635</x:v>
      </x:c>
      <x:c r="N2028" s="78" t="n">
        <x:f>H2028*(L2028*(1-'Inputs'!$B$15))/(I2028+L2028*(1-'Inputs'!$B$15))</x:f>
        <x:v>0</x:v>
      </x:c>
      <x:c r="O2028" s="78" t="n">
        <x:f>H2028-N2028</x:f>
        <x:v>132806854354.26932</x:v>
      </x:c>
      <x:c r="P2028" s="78" t="n">
        <x:f>I2028+L2028*(1-'Inputs'!$B$17)</x:f>
        <x:v>0.9090666719365856</x:v>
      </x:c>
      <x:c r="Q2028" s="78" t="n">
        <x:f>IF(J2028&gt;0,M2028/J2028,0)</x:f>
        <x:v>5976308445.942119</x:v>
      </x:c>
      <x:c r="R2028" s="78" t="n">
        <x:f>IF(B2028='Inputs'!$H$49,'Inputs'!$B$27*'Inputs'!$I$49,0)</x:f>
        <x:v>0</x:v>
      </x:c>
      <x:c r="S2028" s="78" t="n">
        <x:f>Q2028+G2028+R2028</x:f>
        <x:v>5977149662.633805</x:v>
      </x:c>
      <x:c r="T2028" s="78" t="n">
        <x:f>P2028*(S2028*(1-'Inputs'!$B$15))/(O2028+S2028*(1-'Inputs'!$B$15))</x:f>
        <x:v>0.03877686816667992</x:v>
      </x:c>
      <x:c r="U2028" s="78" t="n">
        <x:f>O2028+S2028*(1-'Inputs'!$B$17)</x:f>
        <x:v>138759951100.7557</x:v>
      </x:c>
      <x:c r="V2028" s="78" t="n">
        <x:f>P2028-T2028</x:f>
        <x:v>0.8702898037699057</x:v>
      </x:c>
      <x:c r="W2028" s="79" t="n">
        <x:f>IF(U2028&gt;0,V2028/U2028,0)</x:f>
        <x:v>6.27190912699281e-12</x:v>
      </x:c>
      <x:c r="X2028" s="80" t="n">
        <x:f>W2028*('Inputs'!$B$6-AC2028)</x:f>
        <x:v>-0.05402289853239831</x:v>
      </x:c>
      <x:c r="Y2028" s="80" t="n">
        <x:f>2*V2028</x:f>
        <x:v>1.7405796075398114</x:v>
      </x:c>
      <x:c r="Z2028" s="80" t="n">
        <x:f>K2028*'Inputs'!$B$16+(G2028+R2028)*J2028*'Inputs'!$B$16</x:f>
        <x:v>0.008181634596341464</x:v>
      </x:c>
      <x:c r="AA2028" s="80" t="n">
        <x:f>K2028*(1+'Inputs'!$E$49)/2*'Inputs'!$B$17</x:f>
        <x:v>0.0026613521281040886</x:v>
      </x:c>
      <x:c r="AB2028" s="78" t="n">
        <x:f>(IF(J2028&gt;0,K2028*(1-'Inputs'!$E$49)/2/J2028,0)+G2028+R2028)*'Inputs'!$B$17</x:f>
        <x:v>412853666.8223933</x:v>
      </x:c>
      <x:c r="AC2028" s="78" t="n">
        <x:f>AC2027+AB2028</x:f>
        <x:v>9613469589.330713</x:v>
      </x:c>
      <x:c r="AD2028" s="80" t="n">
        <x:f>Z2028/(1+'Inputs'!$C$49)</x:f>
        <x:v>0.002045408649085366</x:v>
      </x:c>
      <x:c r="AE2028" s="80" t="n">
        <x:f>Z2028-AD2028</x:f>
        <x:v>0.006136225947256099</x:v>
      </x:c>
      <x:c r="AF2028" s="80" t="n">
        <x:f>D2028*W2028</x:f>
        <x:v>0.000001739452913225702</x:v>
      </x:c>
      <x:c r="AG2028" s="80" t="n">
        <x:f>C2028*W2028</x:f>
        <x:v>0.000004058723464193305</x:v>
      </x:c>
      <x:c r="AH2028" s="80" t="n">
        <x:f>2*'Inputs'!$B$8*'Inputs'!$C$49</x:f>
        <x:v>15000</x:v>
      </x:c>
      <x:c r="AI2028" s="81" t="n">
        <x:f>IF(AH2028&gt;0,(AE2028+AF2028)/AH2028*365,0)</x:f>
        <x:v>0.0001493571580707869</x:v>
      </x:c>
      <x:c r="AJ2028" s="81" t="n">
        <x:f>IF('Inputs'!$B$49&gt;0,AG2028/('Inputs'!$B$19*'Inputs'!$B$49)*365,0)</x:f>
        <x:v>1.4814340644305564e-7</x:v>
      </x:c>
      <x:c r="AK2028" s="81" t="n">
        <x:f>W2028/MAX($W$1829:W2028)-1</x:f>
        <x:v>-0.9999999919199305</x:v>
      </x:c>
      <x:c r="AL2028" s="83" t="n">
        <x:f>'Inputs'!$B$49</x:f>
        <x:v>1</x:v>
      </x:c>
      <x:c r="AM2028" s="83" t="n">
        <x:f>'Inputs'!$C$49</x:f>
        <x:v>3</x:v>
      </x:c>
      <x:c r="AN2028" s="83" t="n">
        <x:f>'Inputs'!$D$49</x:f>
        <x:v>0.75</x:v>
      </x:c>
      <x:c r="AO2028" s="81" t="n">
        <x:f>'Inputs'!$E$49</x:f>
        <x:v>-0.03</x:v>
      </x:c>
    </x:row>
    <x:row r="2029">
      <x:c r="A2029" s="59" t="str">
        <x:v>Mercenary LP</x:v>
      </x:c>
      <x:c r="B2029" s="59" t="n">
        <x:v>201</x:v>
      </x:c>
      <x:c r="C2029" s="78" t="n">
        <x:f>(('Inputs'!$B$29*(3*201*'Inputs'!$B$12-201^2)/(2*'Inputs'!$B$12^2))-('Inputs'!$B$29*(3*200*'Inputs'!$B$12-200^2)/(2*'Inputs'!$B$12^2)))*'Inputs'!$B$49</x:f>
        <x:v>646802.1673859954</x:v>
      </x:c>
      <x:c r="D2029" s="78" t="n">
        <x:f>IF('Inputs'!$C$49&gt;0,('Inputs'!$B$30*(3*201*'Inputs'!$B$12-201^2)/(2*'Inputs'!$B$12^2))-('Inputs'!$B$30*(3*200*'Inputs'!$B$12-200^2)/(2*'Inputs'!$B$12^2)),0)</x:f>
        <x:v>277200.9288797155</x:v>
      </x:c>
      <x:c r="E2029" s="78" t="n">
        <x:f>C2029+D2029</x:f>
        <x:v>924003.0962657109</x:v>
      </x:c>
      <x:c r="F2029" s="78" t="n">
        <x:f>'Inputs'!$B$13*E2029+(1-'Inputs'!$B$13)/'Inputs'!$B$14*SUM(E1974:E2029)</x:f>
        <x:v>934220.7731281656</x:v>
      </x:c>
      <x:c r="G2029" s="78" t="n">
        <x:f>F2029*'Inputs'!$F$49</x:f>
        <x:v>840798.6958153491</x:v>
      </x:c>
      <x:c r="H2029" s="78" t="n">
        <x:f>U2028</x:f>
        <x:v>138759951100.7557</x:v>
      </x:c>
      <x:c r="I2029" s="78" t="n">
        <x:f>V2028</x:f>
        <x:v>0.8702898037699057</x:v>
      </x:c>
      <x:c r="J2029" s="79" t="n">
        <x:f>IF(H2029&gt;0,I2029/H2029,0)</x:f>
        <x:v>6.27190912699281e-12</x:v>
      </x:c>
      <x:c r="K2029" s="80" t="n">
        <x:f>(H2029*J2029+I2029)*'Inputs'!$D$49*(1+'Inputs'!$G$49)^(B2029/30)</x:f>
        <x:v>1.3054347056548585</x:v>
      </x:c>
      <x:c r="L2029" s="80" t="n">
        <x:f>MAX(0,K2029*'Inputs'!$E$49)</x:f>
        <x:v>0</x:v>
      </x:c>
      <x:c r="M2029" s="80" t="n">
        <x:f>MAX(0,-K2029*'Inputs'!$E$49)</x:f>
        <x:v>0.03916304116964575</x:v>
      </x:c>
      <x:c r="N2029" s="78" t="n">
        <x:f>H2029*(L2029*(1-'Inputs'!$B$15))/(I2029+L2029*(1-'Inputs'!$B$15))</x:f>
        <x:v>0</x:v>
      </x:c>
      <x:c r="O2029" s="78" t="n">
        <x:f>H2029-N2029</x:f>
        <x:v>138759951100.7557</x:v>
      </x:c>
      <x:c r="P2029" s="78" t="n">
        <x:f>I2029+L2029*(1-'Inputs'!$B$17)</x:f>
        <x:v>0.8702898037699057</x:v>
      </x:c>
      <x:c r="Q2029" s="78" t="n">
        <x:f>IF(J2029&gt;0,M2029/J2029,0)</x:f>
        <x:v>6244197799.534006</x:v>
      </x:c>
      <x:c r="R2029" s="78" t="n">
        <x:f>IF(B2029='Inputs'!$H$49,'Inputs'!$B$27*'Inputs'!$I$49,0)</x:f>
        <x:v>0</x:v>
      </x:c>
      <x:c r="S2029" s="78" t="n">
        <x:f>Q2029+G2029+R2029</x:f>
        <x:v>6245038598.229821</x:v>
      </x:c>
      <x:c r="T2029" s="78" t="n">
        <x:f>P2029*(S2029*(1-'Inputs'!$B$15))/(O2029+S2029*(1-'Inputs'!$B$15))</x:f>
        <x:v>0.03712259704797593</x:v>
      </x:c>
      <x:c r="U2029" s="78" t="n">
        <x:f>O2029+S2029*(1-'Inputs'!$B$17)</x:f>
        <x:v>144979858758.95242</x:v>
      </x:c>
      <x:c r="V2029" s="78" t="n">
        <x:f>P2029-T2029</x:f>
        <x:v>0.8331672067219298</x:v>
      </x:c>
      <x:c r="W2029" s="79" t="n">
        <x:f>IF(U2029&gt;0,V2029/U2029,0)</x:f>
        <x:v>5.7467789929853425e-12</x:v>
      </x:c>
      <x:c r="X2029" s="80" t="n">
        <x:f>W2029*('Inputs'!$B$6-AC2029)</x:f>
        <x:v>-0.051978635361479036</x:v>
      </x:c>
      <x:c r="Y2029" s="80" t="n">
        <x:f>2*V2029</x:f>
        <x:v>1.6663344134438596</x:v>
      </x:c>
      <x:c r="Z2029" s="80" t="n">
        <x:f>K2029*'Inputs'!$B$16+(G2029+R2029)*J2029*'Inputs'!$B$16</x:f>
        <x:v>0.007832639874407236</x:v>
      </x:c>
      <x:c r="AA2029" s="80" t="n">
        <x:f>K2029*(1+'Inputs'!$E$49)/2*'Inputs'!$B$17</x:f>
        <x:v>0.0025478303108354386</x:v>
      </x:c>
      <x:c r="AB2029" s="78" t="n">
        <x:f>(IF(J2029&gt;0,K2029*(1-'Inputs'!$E$49)/2/J2029,0)+G2029+R2029)*'Inputs'!$B$17</x:f>
        <x:v>431359770.7204411</x:v>
      </x:c>
      <x:c r="AC2029" s="78" t="n">
        <x:f>AC2028+AB2029</x:f>
        <x:v>10044829360.051155</x:v>
      </x:c>
      <x:c r="AD2029" s="80" t="n">
        <x:f>Z2029/(1+'Inputs'!$C$49)</x:f>
        <x:v>0.001958159968601809</x:v>
      </x:c>
      <x:c r="AE2029" s="80" t="n">
        <x:f>Z2029-AD2029</x:f>
        <x:v>0.005874479905805427</x:v>
      </x:c>
      <x:c r="AF2029" s="80" t="n">
        <x:f>D2029*W2029</x:f>
        <x:v>0.000001593012474921973</x:v>
      </x:c>
      <x:c r="AG2029" s="80" t="n">
        <x:f>C2029*W2029</x:f>
        <x:v>0.0000037170291081512274</x:v>
      </x:c>
      <x:c r="AH2029" s="80" t="n">
        <x:f>2*'Inputs'!$B$8*'Inputs'!$C$49</x:f>
        <x:v>15000</x:v>
      </x:c>
      <x:c r="AI2029" s="81" t="n">
        <x:f>IF(AH2029&gt;0,(AE2029+AF2029)/AH2029*365,0)</x:f>
        <x:v>0.00014298444101148853</x:v>
      </x:c>
      <x:c r="AJ2029" s="81" t="n">
        <x:f>IF('Inputs'!$B$49&gt;0,AG2029/('Inputs'!$B$19*'Inputs'!$B$49)*365,0)</x:f>
        <x:v>1.356715624475198e-7</x:v>
      </x:c>
      <x:c r="AK2029" s="81" t="n">
        <x:f>W2029/MAX($W$1829:W2029)-1</x:f>
        <x:v>-0.9999999925964531</x:v>
      </x:c>
      <x:c r="AL2029" s="83" t="n">
        <x:f>'Inputs'!$B$49</x:f>
        <x:v>1</x:v>
      </x:c>
      <x:c r="AM2029" s="83" t="n">
        <x:f>'Inputs'!$C$49</x:f>
        <x:v>3</x:v>
      </x:c>
      <x:c r="AN2029" s="83" t="n">
        <x:f>'Inputs'!$D$49</x:f>
        <x:v>0.75</x:v>
      </x:c>
      <x:c r="AO2029" s="81" t="n">
        <x:f>'Inputs'!$E$49</x:f>
        <x:v>-0.03</x:v>
      </x:c>
    </x:row>
    <x:row r="2030">
      <x:c r="A2030" s="59" t="str">
        <x:v>Mercenary LP</x:v>
      </x:c>
      <x:c r="B2030" s="59" t="n">
        <x:v>202</x:v>
      </x:c>
      <x:c r="C2030" s="78" t="n">
        <x:f>(('Inputs'!$B$29*(3*202*'Inputs'!$B$12-202^2)/(2*'Inputs'!$B$12^2))-('Inputs'!$B$29*(3*201*'Inputs'!$B$12-201^2)/(2*'Inputs'!$B$12^2)))*'Inputs'!$B$49</x:f>
        <x:v>646477.0594858229</x:v>
      </x:c>
      <x:c r="D2030" s="78" t="n">
        <x:f>IF('Inputs'!$C$49&gt;0,('Inputs'!$B$30*(3*202*'Inputs'!$B$12-202^2)/(2*'Inputs'!$B$12^2))-('Inputs'!$B$30*(3*201*'Inputs'!$B$12-201^2)/(2*'Inputs'!$B$12^2)),0)</x:f>
        <x:v>277061.5969224945</x:v>
      </x:c>
      <x:c r="E2030" s="78" t="n">
        <x:f>C2030+D2030</x:f>
        <x:v>923538.6564083174</x:v>
      </x:c>
      <x:c r="F2030" s="78" t="n">
        <x:f>'Inputs'!$B$13*E2030+(1-'Inputs'!$B$13)/'Inputs'!$B$14*SUM(E1975:E2030)</x:f>
        <x:v>933756.3332707796</x:v>
      </x:c>
      <x:c r="G2030" s="78" t="n">
        <x:f>F2030*'Inputs'!$F$49</x:f>
        <x:v>840380.6999437016</x:v>
      </x:c>
      <x:c r="H2030" s="78" t="n">
        <x:f>U2029</x:f>
        <x:v>144979858758.95242</x:v>
      </x:c>
      <x:c r="I2030" s="78" t="n">
        <x:f>V2029</x:f>
        <x:v>0.8331672067219298</x:v>
      </x:c>
      <x:c r="J2030" s="79" t="n">
        <x:f>IF(H2030&gt;0,I2030/H2030,0)</x:f>
        <x:v>5.7467789929853425e-12</x:v>
      </x:c>
      <x:c r="K2030" s="80" t="n">
        <x:f>(H2030*J2030+I2030)*'Inputs'!$D$49*(1+'Inputs'!$G$49)^(B2030/30)</x:f>
        <x:v>1.2497508100828947</x:v>
      </x:c>
      <x:c r="L2030" s="80" t="n">
        <x:f>MAX(0,K2030*'Inputs'!$E$49)</x:f>
        <x:v>0</x:v>
      </x:c>
      <x:c r="M2030" s="80" t="n">
        <x:f>MAX(0,-K2030*'Inputs'!$E$49)</x:f>
        <x:v>0.03749252430248684</x:v>
      </x:c>
      <x:c r="N2030" s="78" t="n">
        <x:f>H2030*(L2030*(1-'Inputs'!$B$15))/(I2030+L2030*(1-'Inputs'!$B$15))</x:f>
        <x:v>0</x:v>
      </x:c>
      <x:c r="O2030" s="78" t="n">
        <x:f>H2030-N2030</x:f>
        <x:v>144979858758.95242</x:v>
      </x:c>
      <x:c r="P2030" s="78" t="n">
        <x:f>I2030+L2030*(1-'Inputs'!$B$17)</x:f>
        <x:v>0.8331672067219298</x:v>
      </x:c>
      <x:c r="Q2030" s="78" t="n">
        <x:f>IF(J2030&gt;0,M2030/J2030,0)</x:f>
        <x:v>6524093644.152859</x:v>
      </x:c>
      <x:c r="R2030" s="78" t="n">
        <x:f>IF(B2030='Inputs'!$H$49,'Inputs'!$B$27*'Inputs'!$I$49,0)</x:f>
        <x:v>0</x:v>
      </x:c>
      <x:c r="S2030" s="78" t="n">
        <x:f>Q2030+G2030+R2030</x:f>
        <x:v>6524934024.852802</x:v>
      </x:c>
      <x:c r="T2030" s="78" t="n">
        <x:f>P2030*(S2030*(1-'Inputs'!$B$15))/(O2030+S2030*(1-'Inputs'!$B$15))</x:f>
        <x:v>0.0355389175283806</x:v>
      </x:c>
      <x:c r="U2030" s="78" t="n">
        <x:f>O2030+S2030*(1-'Inputs'!$B$17)</x:f>
        <x:v>151478535504.02716</x:v>
      </x:c>
      <x:c r="V2030" s="78" t="n">
        <x:f>P2030-T2030</x:f>
        <x:v>0.7976282891935492</x:v>
      </x:c>
      <x:c r="W2030" s="79" t="n">
        <x:f>IF(U2030&gt;0,V2030/U2030,0)</x:f>
        <x:v>5.265619228094159e-12</x:v>
      </x:c>
      <x:c r="X2030" s="80" t="n">
        <x:f>W2030*('Inputs'!$B$6-AC2030)</x:f>
        <x:v>-0.0499998172143219</x:v>
      </x:c>
      <x:c r="Y2030" s="80" t="n">
        <x:f>2*V2030</x:f>
        <x:v>1.5952565783870984</x:v>
      </x:c>
      <x:c r="Z2030" s="80" t="n">
        <x:f>K2030*'Inputs'!$B$16+(G2030+R2030)*J2030*'Inputs'!$B$16</x:f>
        <x:v>0.007498533837390284</x:v>
      </x:c>
      <x:c r="AA2030" s="80" t="n">
        <x:f>K2030*(1+'Inputs'!$E$49)/2*'Inputs'!$B$17</x:f>
        <x:v>0.0024391514804434767</x:v>
      </x:c>
      <x:c r="AB2030" s="78" t="n">
        <x:f>(IF(J2030&gt;0,K2030*(1-'Inputs'!$E$49)/2/J2030,0)+G2030+R2030)*'Inputs'!$B$17</x:f>
        <x:v>450695296.8691779</x:v>
      </x:c>
      <x:c r="AC2030" s="78" t="n">
        <x:f>AC2029+AB2030</x:f>
        <x:v>10495524656.920334</x:v>
      </x:c>
      <x:c r="AD2030" s="80" t="n">
        <x:f>Z2030/(1+'Inputs'!$C$49)</x:f>
        <x:v>0.001874633459347571</x:v>
      </x:c>
      <x:c r="AE2030" s="80" t="n">
        <x:f>Z2030-AD2030</x:f>
        <x:v>0.005623900378042713</x:v>
      </x:c>
      <x:c r="AF2030" s="80" t="n">
        <x:f>D2030*W2030</x:f>
        <x:v>0.0000014589008721215604</x:v>
      </x:c>
      <x:c r="AG2030" s="80" t="n">
        <x:f>C2030*W2030</x:f>
        <x:v>0.0000034041020349503207</x:v>
      </x:c>
      <x:c r="AH2030" s="80" t="n">
        <x:f>2*'Inputs'!$B$8*'Inputs'!$C$49</x:f>
        <x:v>15000</x:v>
      </x:c>
      <x:c r="AI2030" s="81" t="n">
        <x:f>IF(AH2030&gt;0,(AE2030+AF2030)/AH2030*365,0)</x:f>
        <x:v>0.00013688374245359432</x:v>
      </x:c>
      <x:c r="AJ2030" s="81" t="n">
        <x:f>IF('Inputs'!$B$49&gt;0,AG2030/('Inputs'!$B$19*'Inputs'!$B$49)*365,0)</x:f>
        <x:v>1.2424972427568672e-7</x:v>
      </x:c>
      <x:c r="AK2030" s="81" t="n">
        <x:f>W2030/MAX($W$1829:W2030)-1</x:f>
        <x:v>-0.9999999932163288</x:v>
      </x:c>
      <x:c r="AL2030" s="83" t="n">
        <x:f>'Inputs'!$B$49</x:f>
        <x:v>1</x:v>
      </x:c>
      <x:c r="AM2030" s="83" t="n">
        <x:f>'Inputs'!$C$49</x:f>
        <x:v>3</x:v>
      </x:c>
      <x:c r="AN2030" s="83" t="n">
        <x:f>'Inputs'!$D$49</x:f>
        <x:v>0.75</x:v>
      </x:c>
      <x:c r="AO2030" s="81" t="n">
        <x:f>'Inputs'!$E$49</x:f>
        <x:v>-0.03</x:v>
      </x:c>
    </x:row>
    <x:row r="2031">
      <x:c r="A2031" s="59" t="str">
        <x:v>Mercenary LP</x:v>
      </x:c>
      <x:c r="B2031" s="59" t="n">
        <x:v>203</x:v>
      </x:c>
      <x:c r="C2031" s="78" t="n">
        <x:f>(('Inputs'!$B$29*(3*203*'Inputs'!$B$12-203^2)/(2*'Inputs'!$B$12^2))-('Inputs'!$B$29*(3*202*'Inputs'!$B$12-202^2)/(2*'Inputs'!$B$12^2)))*'Inputs'!$B$49</x:f>
        <x:v>646151.9515856802</x:v>
      </x:c>
      <x:c r="D2031" s="78" t="n">
        <x:f>IF('Inputs'!$C$49&gt;0,('Inputs'!$B$30*(3*203*'Inputs'!$B$12-203^2)/(2*'Inputs'!$B$12^2))-('Inputs'!$B$30*(3*202*'Inputs'!$B$12-202^2)/(2*'Inputs'!$B$12^2)),0)</x:f>
        <x:v>276922.26496528834</x:v>
      </x:c>
      <x:c r="E2031" s="78" t="n">
        <x:f>C2031+D2031</x:f>
        <x:v>923074.2165509686</x:v>
      </x:c>
      <x:c r="F2031" s="78" t="n">
        <x:f>'Inputs'!$B$13*E2031+(1-'Inputs'!$B$13)/'Inputs'!$B$14*SUM(E1976:E2031)</x:f>
        <x:v>933291.8934134028</x:v>
      </x:c>
      <x:c r="G2031" s="78" t="n">
        <x:f>F2031*'Inputs'!$F$49</x:f>
        <x:v>839962.7040720626</x:v>
      </x:c>
      <x:c r="H2031" s="78" t="n">
        <x:f>U2030</x:f>
        <x:v>151478535504.02716</x:v>
      </x:c>
      <x:c r="I2031" s="78" t="n">
        <x:f>V2030</x:f>
        <x:v>0.7976282891935492</x:v>
      </x:c>
      <x:c r="J2031" s="79" t="n">
        <x:f>IF(H2031&gt;0,I2031/H2031,0)</x:f>
        <x:v>5.265619228094159e-12</x:v>
      </x:c>
      <x:c r="K2031" s="80" t="n">
        <x:f>(H2031*J2031+I2031)*'Inputs'!$D$49*(1+'Inputs'!$G$49)^(B2031/30)</x:f>
        <x:v>1.1964424337903237</x:v>
      </x:c>
      <x:c r="L2031" s="80" t="n">
        <x:f>MAX(0,K2031*'Inputs'!$E$49)</x:f>
        <x:v>0</x:v>
      </x:c>
      <x:c r="M2031" s="80" t="n">
        <x:f>MAX(0,-K2031*'Inputs'!$E$49)</x:f>
        <x:v>0.03589327301370971</x:v>
      </x:c>
      <x:c r="N2031" s="78" t="n">
        <x:f>H2031*(L2031*(1-'Inputs'!$B$15))/(I2031+L2031*(1-'Inputs'!$B$15))</x:f>
        <x:v>0</x:v>
      </x:c>
      <x:c r="O2031" s="78" t="n">
        <x:f>H2031-N2031</x:f>
        <x:v>151478535504.02716</x:v>
      </x:c>
      <x:c r="P2031" s="78" t="n">
        <x:f>I2031+L2031*(1-'Inputs'!$B$17)</x:f>
        <x:v>0.7976282891935492</x:v>
      </x:c>
      <x:c r="Q2031" s="78" t="n">
        <x:f>IF(J2031&gt;0,M2031/J2031,0)</x:f>
        <x:v>6816534097.681222</x:v>
      </x:c>
      <x:c r="R2031" s="78" t="n">
        <x:f>IF(B2031='Inputs'!$H$49,'Inputs'!$B$27*'Inputs'!$I$49,0)</x:f>
        <x:v>0</x:v>
      </x:c>
      <x:c r="S2031" s="78" t="n">
        <x:f>Q2031+G2031+R2031</x:f>
        <x:v>6817374060.385294</x:v>
      </x:c>
      <x:c r="T2031" s="78" t="n">
        <x:f>P2031*(S2031*(1-'Inputs'!$B$15))/(O2031+S2031*(1-'Inputs'!$B$15))</x:f>
        <x:v>0.03402281576275827</x:v>
      </x:c>
      <x:c r="U2031" s="78" t="n">
        <x:f>O2031+S2031*(1-'Inputs'!$B$17)</x:f>
        <x:v>158268475463.56583</x:v>
      </x:c>
      <x:c r="V2031" s="78" t="n">
        <x:f>P2031-T2031</x:f>
        <x:v>0.763605473430791</x:v>
      </x:c>
      <x:c r="W2031" s="79" t="n">
        <x:f>IF(U2031&gt;0,V2031/U2031,0)</x:f>
        <x:v>4.824747766061452e-12</x:v>
      </x:c>
      <x:c r="X2031" s="80" t="n">
        <x:f>W2031*('Inputs'!$B$6-AC2031)</x:f>
        <x:v>-0.04808547264677292</x:v>
      </x:c>
      <x:c r="Y2031" s="80" t="n">
        <x:f>2*V2031</x:f>
        <x:v>1.527210946861582</x:v>
      </x:c>
      <x:c r="Z2031" s="80" t="n">
        <x:f>K2031*'Inputs'!$B$16+(G2031+R2031)*J2031*'Inputs'!$B$16</x:f>
        <x:v>0.007178681140284535</x:v>
      </x:c>
      <x:c r="AA2031" s="80" t="n">
        <x:f>K2031*(1+'Inputs'!$E$49)/2*'Inputs'!$B$17</x:f>
        <x:v>0.002335108975405662</x:v>
      </x:c>
      <x:c r="AB2031" s="78" t="n">
        <x:f>(IF(J2031&gt;0,K2031*(1-'Inputs'!$E$49)/2/J2031,0)+G2031+R2031)*'Inputs'!$B$17</x:f>
        <x:v>470897419.0726964</x:v>
      </x:c>
      <x:c r="AC2031" s="78" t="n">
        <x:f>AC2030+AB2031</x:f>
        <x:v>10966422075.99303</x:v>
      </x:c>
      <x:c r="AD2031" s="80" t="n">
        <x:f>Z2031/(1+'Inputs'!$C$49)</x:f>
        <x:v>0.0017946702850711337</x:v>
      </x:c>
      <x:c r="AE2031" s="80" t="n">
        <x:f>Z2031-AD2031</x:f>
        <x:v>0.005384010855213402</x:v>
      </x:c>
      <x:c r="AF2031" s="80" t="n">
        <x:f>D2031*W2031</x:f>
        <x:v>0.0000013360800792639525</x:v>
      </x:c>
      <x:c r="AG2031" s="80" t="n">
        <x:f>C2031*W2031</x:f>
        <x:v>0.0000031175201849492586</x:v>
      </x:c>
      <x:c r="AH2031" s="80" t="n">
        <x:f>2*'Inputs'!$B$8*'Inputs'!$C$49</x:f>
        <x:v>15000</x:v>
      </x:c>
      <x:c r="AI2031" s="81" t="n">
        <x:f>IF(AH2031&gt;0,(AE2031+AF2031)/AH2031*365,0)</x:f>
        <x:v>0.00013104344209212152</x:v>
      </x:c>
      <x:c r="AJ2031" s="81" t="n">
        <x:f>IF('Inputs'!$B$49&gt;0,AG2031/('Inputs'!$B$19*'Inputs'!$B$49)*365,0)</x:f>
        <x:v>1.1378948675064793e-7</x:v>
      </x:c>
      <x:c r="AK2031" s="81" t="n">
        <x:f>W2031/MAX($W$1829:W2031)-1</x:f>
        <x:v>-0.9999999937843014</x:v>
      </x:c>
      <x:c r="AL2031" s="83" t="n">
        <x:f>'Inputs'!$B$49</x:f>
        <x:v>1</x:v>
      </x:c>
      <x:c r="AM2031" s="83" t="n">
        <x:f>'Inputs'!$C$49</x:f>
        <x:v>3</x:v>
      </x:c>
      <x:c r="AN2031" s="83" t="n">
        <x:f>'Inputs'!$D$49</x:f>
        <x:v>0.75</x:v>
      </x:c>
      <x:c r="AO2031" s="81" t="n">
        <x:f>'Inputs'!$E$49</x:f>
        <x:v>-0.03</x:v>
      </x:c>
    </x:row>
    <x:row r="2032">
      <x:c r="A2032" s="59" t="str">
        <x:v>Mercenary LP</x:v>
      </x:c>
      <x:c r="B2032" s="59" t="n">
        <x:v>204</x:v>
      </x:c>
      <x:c r="C2032" s="78" t="n">
        <x:f>(('Inputs'!$B$29*(3*204*'Inputs'!$B$12-204^2)/(2*'Inputs'!$B$12^2))-('Inputs'!$B$29*(3*203*'Inputs'!$B$12-203^2)/(2*'Inputs'!$B$12^2)))*'Inputs'!$B$49</x:f>
        <x:v>645826.843685478</x:v>
      </x:c>
      <x:c r="D2032" s="78" t="n">
        <x:f>IF('Inputs'!$C$49&gt;0,('Inputs'!$B$30*(3*204*'Inputs'!$B$12-204^2)/(2*'Inputs'!$B$12^2))-('Inputs'!$B$30*(3*203*'Inputs'!$B$12-203^2)/(2*'Inputs'!$B$12^2)),0)</x:f>
        <x:v>276782.9330080673</x:v>
      </x:c>
      <x:c r="E2032" s="78" t="n">
        <x:f>C2032+D2032</x:f>
        <x:v>922609.7766935453</x:v>
      </x:c>
      <x:c r="F2032" s="78" t="n">
        <x:f>'Inputs'!$B$13*E2032+(1-'Inputs'!$B$13)/'Inputs'!$B$14*SUM(E1977:E2032)</x:f>
        <x:v>932827.4535560105</x:v>
      </x:c>
      <x:c r="G2032" s="78" t="n">
        <x:f>F2032*'Inputs'!$F$49</x:f>
        <x:v>839544.7082004094</x:v>
      </x:c>
      <x:c r="H2032" s="78" t="n">
        <x:f>U2031</x:f>
        <x:v>158268475463.56583</x:v>
      </x:c>
      <x:c r="I2032" s="78" t="n">
        <x:f>V2031</x:f>
        <x:v>0.763605473430791</x:v>
      </x:c>
      <x:c r="J2032" s="79" t="n">
        <x:f>IF(H2032&gt;0,I2032/H2032,0)</x:f>
        <x:v>4.824747766061452e-12</x:v>
      </x:c>
      <x:c r="K2032" s="80" t="n">
        <x:f>(H2032*J2032+I2032)*'Inputs'!$D$49*(1+'Inputs'!$G$49)^(B2032/30)</x:f>
        <x:v>1.1454082101461864</x:v>
      </x:c>
      <x:c r="L2032" s="80" t="n">
        <x:f>MAX(0,K2032*'Inputs'!$E$49)</x:f>
        <x:v>0</x:v>
      </x:c>
      <x:c r="M2032" s="80" t="n">
        <x:f>MAX(0,-K2032*'Inputs'!$E$49)</x:f>
        <x:v>0.03436224630438559</x:v>
      </x:c>
      <x:c r="N2032" s="78" t="n">
        <x:f>H2032*(L2032*(1-'Inputs'!$B$15))/(I2032+L2032*(1-'Inputs'!$B$15))</x:f>
        <x:v>0</x:v>
      </x:c>
      <x:c r="O2032" s="78" t="n">
        <x:f>H2032-N2032</x:f>
        <x:v>158268475463.56583</x:v>
      </x:c>
      <x:c r="P2032" s="78" t="n">
        <x:f>I2032+L2032*(1-'Inputs'!$B$17)</x:f>
        <x:v>0.763605473430791</x:v>
      </x:c>
      <x:c r="Q2032" s="78" t="n">
        <x:f>IF(J2032&gt;0,M2032/J2032,0)</x:f>
        <x:v>7122081395.860461</x:v>
      </x:c>
      <x:c r="R2032" s="78" t="n">
        <x:f>IF(B2032='Inputs'!$H$49,'Inputs'!$B$27*'Inputs'!$I$49,0)</x:f>
        <x:v>0</x:v>
      </x:c>
      <x:c r="S2032" s="78" t="n">
        <x:f>Q2032+G2032+R2032</x:f>
        <x:v>7122920940.568662</x:v>
      </x:c>
      <x:c r="T2032" s="78" t="n">
        <x:f>P2032*(S2032*(1-'Inputs'!$B$15))/(O2032+S2032*(1-'Inputs'!$B$15))</x:f>
        <x:v>0.03257140670877805</x:v>
      </x:c>
      <x:c r="U2032" s="78" t="n">
        <x:f>O2032+S2032*(1-'Inputs'!$B$17)</x:f>
        <x:v>165362732738.3777</x:v>
      </x:c>
      <x:c r="V2032" s="78" t="n">
        <x:f>P2032-T2032</x:f>
        <x:v>0.731034066722013</x:v>
      </x:c>
      <x:c r="W2032" s="79" t="n">
        <x:f>IF(U2032&gt;0,V2032/U2032,0)</x:f>
        <x:v>4.4207909159229395e-12</x:v>
      </x:c>
      <x:c r="X2032" s="80" t="n">
        <x:f>W2032*('Inputs'!$B$6-AC2032)</x:f>
        <x:v>-0.04623451931170721</x:v>
      </x:c>
      <x:c r="Y2032" s="80" t="n">
        <x:f>2*V2032</x:f>
        <x:v>1.462068133444026</x:v>
      </x:c>
      <x:c r="Z2032" s="80" t="n">
        <x:f>K2032*'Inputs'!$B$16+(G2032+R2032)*J2032*'Inputs'!$B$16</x:f>
        <x:v>0.006872473564425851</x:v>
      </x:c>
      <x:c r="AA2032" s="80" t="n">
        <x:f>K2032*(1+'Inputs'!$E$49)/2*'Inputs'!$B$17</x:f>
        <x:v>0.002235504957428171</x:v>
      </x:c>
      <x:c r="AB2032" s="78" t="n">
        <x:f>(IF(J2032&gt;0,K2032*(1-'Inputs'!$E$49)/2/J2032,0)+G2032+R2032)*'Inputs'!$B$17</x:f>
        <x:v>492004977.22459877</x:v>
      </x:c>
      <x:c r="AC2032" s="78" t="n">
        <x:f>AC2031+AB2032</x:f>
        <x:v>11458427053.217628</x:v>
      </x:c>
      <x:c r="AD2032" s="80" t="n">
        <x:f>Z2032/(1+'Inputs'!$C$49)</x:f>
        <x:v>0.0017181183911064628</x:v>
      </x:c>
      <x:c r="AE2032" s="80" t="n">
        <x:f>Z2032-AD2032</x:f>
        <x:v>0.005154355173319389</x:v>
      </x:c>
      <x:c r="AF2032" s="80" t="n">
        <x:f>D2032*W2032</x:f>
        <x:v>0.0000012235994759245715</x:v>
      </x:c>
      <x:c r="AG2032" s="80" t="n">
        <x:f>C2032*W2032</x:f>
        <x:v>0.000002855065443823945</x:v>
      </x:c>
      <x:c r="AH2032" s="80" t="n">
        <x:f>2*'Inputs'!$B$8*'Inputs'!$C$49</x:f>
        <x:v>15000</x:v>
      </x:c>
      <x:c r="AI2032" s="81" t="n">
        <x:f>IF(AH2032&gt;0,(AE2032+AF2032)/AH2032*365,0)</x:f>
        <x:v>0.00012545241680468594</x:v>
      </x:c>
      <x:c r="AJ2032" s="81" t="n">
        <x:f>IF('Inputs'!$B$49&gt;0,AG2032/('Inputs'!$B$19*'Inputs'!$B$49)*365,0)</x:f>
        <x:v>1.0420988869957398e-7</x:v>
      </x:c>
      <x:c r="AK2032" s="81" t="n">
        <x:f>W2032/MAX($W$1829:W2032)-1</x:f>
        <x:v>-0.999999994304717</x:v>
      </x:c>
      <x:c r="AL2032" s="83" t="n">
        <x:f>'Inputs'!$B$49</x:f>
        <x:v>1</x:v>
      </x:c>
      <x:c r="AM2032" s="83" t="n">
        <x:f>'Inputs'!$C$49</x:f>
        <x:v>3</x:v>
      </x:c>
      <x:c r="AN2032" s="83" t="n">
        <x:f>'Inputs'!$D$49</x:f>
        <x:v>0.75</x:v>
      </x:c>
      <x:c r="AO2032" s="81" t="n">
        <x:f>'Inputs'!$E$49</x:f>
        <x:v>-0.03</x:v>
      </x:c>
    </x:row>
    <x:row r="2033">
      <x:c r="A2033" s="59" t="str">
        <x:v>Mercenary LP</x:v>
      </x:c>
      <x:c r="B2033" s="59" t="n">
        <x:v>205</x:v>
      </x:c>
      <x:c r="C2033" s="78" t="n">
        <x:f>(('Inputs'!$B$29*(3*205*'Inputs'!$B$12-205^2)/(2*'Inputs'!$B$12^2))-('Inputs'!$B$29*(3*204*'Inputs'!$B$12-204^2)/(2*'Inputs'!$B$12^2)))*'Inputs'!$B$49</x:f>
        <x:v>645501.7357853353</x:v>
      </x:c>
      <x:c r="D2033" s="78" t="n">
        <x:f>IF('Inputs'!$C$49&gt;0,('Inputs'!$B$30*(3*205*'Inputs'!$B$12-205^2)/(2*'Inputs'!$B$12^2))-('Inputs'!$B$30*(3*204*'Inputs'!$B$12-204^2)/(2*'Inputs'!$B$12^2)),0)</x:f>
        <x:v>276643.60105085373</x:v>
      </x:c>
      <x:c r="E2033" s="78" t="n">
        <x:f>C2033+D2033</x:f>
        <x:v>922145.336836189</x:v>
      </x:c>
      <x:c r="F2033" s="78" t="n">
        <x:f>'Inputs'!$B$13*E2033+(1-'Inputs'!$B$13)/'Inputs'!$B$14*SUM(E1978:E2033)</x:f>
        <x:v>932363.0136986321</x:v>
      </x:c>
      <x:c r="G2033" s="78" t="n">
        <x:f>F2033*'Inputs'!$F$49</x:f>
        <x:v>839126.7123287689</x:v>
      </x:c>
      <x:c r="H2033" s="78" t="n">
        <x:f>U2032</x:f>
        <x:v>165362732738.3777</x:v>
      </x:c>
      <x:c r="I2033" s="78" t="n">
        <x:f>V2032</x:f>
        <x:v>0.731034066722013</x:v>
      </x:c>
      <x:c r="J2033" s="79" t="n">
        <x:f>IF(H2033&gt;0,I2033/H2033,0)</x:f>
        <x:v>4.4207909159229395e-12</x:v>
      </x:c>
      <x:c r="K2033" s="80" t="n">
        <x:f>(H2033*J2033+I2033)*'Inputs'!$D$49*(1+'Inputs'!$G$49)^(B2033/30)</x:f>
        <x:v>1.0965511000830195</x:v>
      </x:c>
      <x:c r="L2033" s="80" t="n">
        <x:f>MAX(0,K2033*'Inputs'!$E$49)</x:f>
        <x:v>0</x:v>
      </x:c>
      <x:c r="M2033" s="80" t="n">
        <x:f>MAX(0,-K2033*'Inputs'!$E$49)</x:f>
        <x:v>0.03289653300249058</x:v>
      </x:c>
      <x:c r="N2033" s="78" t="n">
        <x:f>H2033*(L2033*(1-'Inputs'!$B$15))/(I2033+L2033*(1-'Inputs'!$B$15))</x:f>
        <x:v>0</x:v>
      </x:c>
      <x:c r="O2033" s="78" t="n">
        <x:f>H2033-N2033</x:f>
        <x:v>165362732738.3777</x:v>
      </x:c>
      <x:c r="P2033" s="78" t="n">
        <x:f>I2033+L2033*(1-'Inputs'!$B$17)</x:f>
        <x:v>0.731034066722013</x:v>
      </x:c>
      <x:c r="Q2033" s="78" t="n">
        <x:f>IF(J2033&gt;0,M2033/J2033,0)</x:f>
        <x:v>7441322973.226995</x:v>
      </x:c>
      <x:c r="R2033" s="78" t="n">
        <x:f>IF(B2033='Inputs'!$H$49,'Inputs'!$B$27*'Inputs'!$I$49,0)</x:f>
        <x:v>0</x:v>
      </x:c>
      <x:c r="S2033" s="78" t="n">
        <x:f>Q2033+G2033+R2033</x:f>
        <x:v>7442162099.939324</x:v>
      </x:c>
      <x:c r="T2033" s="78" t="n">
        <x:f>P2033*(S2033*(1-'Inputs'!$B$15))/(O2033+S2033*(1-'Inputs'!$B$15))</x:f>
        <x:v>0.031181928611377484</x:v>
      </x:c>
      <x:c r="U2033" s="78" t="n">
        <x:f>O2033+S2033*(1-'Inputs'!$B$17)</x:f>
        <x:v>172774946499.88666</x:v>
      </x:c>
      <x:c r="V2033" s="78" t="n">
        <x:f>P2033-T2033</x:f>
        <x:v>0.6998521381106355</x:v>
      </x:c>
      <x:c r="W2033" s="79" t="n">
        <x:f>IF(U2033&gt;0,V2033/U2033,0)</x:f>
        <x:v>4.0506575304371145e-12</x:v>
      </x:c>
      <x:c r="X2033" s="80" t="n">
        <x:f>W2033*('Inputs'!$B$6-AC2033)</x:f>
        <x:v>-0.0444457814443079</x:v>
      </x:c>
      <x:c r="Y2033" s="80" t="n">
        <x:f>2*V2033</x:f>
        <x:v>1.399704276221271</x:v>
      </x:c>
      <x:c r="Z2033" s="80" t="n">
        <x:f>K2033*'Inputs'!$B$16+(G2033+R2033)*J2033*'Inputs'!$B$16</x:f>
        <x:v>0.0065793288581206</x:v>
      </x:c>
      <x:c r="AA2033" s="80" t="n">
        <x:f>K2033*(1+'Inputs'!$E$49)/2*'Inputs'!$B$17</x:f>
        <x:v>0.0021401500343672616</x:v>
      </x:c>
      <x:c r="AB2033" s="78" t="n">
        <x:f>(IF(J2033&gt;0,K2033*(1-'Inputs'!$E$49)/2/J2033,0)+G2033+R2033)*'Inputs'!$B$17</x:f>
        <x:v>514058551.98031837</x:v>
      </x:c>
      <x:c r="AC2033" s="78" t="n">
        <x:f>AC2032+AB2033</x:f>
        <x:v>11972485605.197947</x:v>
      </x:c>
      <x:c r="AD2033" s="80" t="n">
        <x:f>Z2033/(1+'Inputs'!$C$49)</x:f>
        <x:v>0.00164483221453015</x:v>
      </x:c>
      <x:c r="AE2033" s="80" t="n">
        <x:f>Z2033-AD2033</x:f>
        <x:v>0.00493449664359045</x:v>
      </x:c>
      <x:c r="AF2033" s="80" t="n">
        <x:f>D2033*W2033</x:f>
        <x:v>0.0000011205884858438815</x:v>
      </x:c>
      <x:c r="AG2033" s="80" t="n">
        <x:f>C2033*W2033</x:f>
        <x:v>0.0000026147064669690973</x:v>
      </x:c>
      <x:c r="AH2033" s="80" t="n">
        <x:f>2*'Inputs'!$B$8*'Inputs'!$C$49</x:f>
        <x:v>15000</x:v>
      </x:c>
      <x:c r="AI2033" s="81" t="n">
        <x:f>IF(AH2033&gt;0,(AE2033+AF2033)/AH2033*365,0)</x:f>
        <x:v>0.00012010001931385648</x:v>
      </x:c>
      <x:c r="AJ2033" s="81" t="n">
        <x:f>IF('Inputs'!$B$49&gt;0,AG2033/('Inputs'!$B$19*'Inputs'!$B$49)*365,0)</x:f>
        <x:v>9.543678604437206e-8</x:v>
      </x:c>
      <x:c r="AK2033" s="81" t="n">
        <x:f>W2033/MAX($W$1829:W2033)-1</x:f>
        <x:v>-0.999999994781558</x:v>
      </x:c>
      <x:c r="AL2033" s="83" t="n">
        <x:f>'Inputs'!$B$49</x:f>
        <x:v>1</x:v>
      </x:c>
      <x:c r="AM2033" s="83" t="n">
        <x:f>'Inputs'!$C$49</x:f>
        <x:v>3</x:v>
      </x:c>
      <x:c r="AN2033" s="83" t="n">
        <x:f>'Inputs'!$D$49</x:f>
        <x:v>0.75</x:v>
      </x:c>
      <x:c r="AO2033" s="81" t="n">
        <x:f>'Inputs'!$E$49</x:f>
        <x:v>-0.03</x:v>
      </x:c>
    </x:row>
    <x:row r="2034">
      <x:c r="A2034" s="59" t="str">
        <x:v>Mercenary LP</x:v>
      </x:c>
      <x:c r="B2034" s="59" t="n">
        <x:v>206</x:v>
      </x:c>
      <x:c r="C2034" s="78" t="n">
        <x:f>(('Inputs'!$B$29*(3*206*'Inputs'!$B$12-206^2)/(2*'Inputs'!$B$12^2))-('Inputs'!$B$29*(3*205*'Inputs'!$B$12-205^2)/(2*'Inputs'!$B$12^2)))*'Inputs'!$B$49</x:f>
        <x:v>645176.6278851628</x:v>
      </x:c>
      <x:c r="D2034" s="78" t="n">
        <x:f>IF('Inputs'!$C$49&gt;0,('Inputs'!$B$30*(3*206*'Inputs'!$B$12-206^2)/(2*'Inputs'!$B$12^2))-('Inputs'!$B$30*(3*205*'Inputs'!$B$12-205^2)/(2*'Inputs'!$B$12^2)),0)</x:f>
        <x:v>276504.26909364015</x:v>
      </x:c>
      <x:c r="E2034" s="78" t="n">
        <x:f>C2034+D2034</x:f>
        <x:v>921680.896978803</x:v>
      </x:c>
      <x:c r="F2034" s="78" t="n">
        <x:f>'Inputs'!$B$13*E2034+(1-'Inputs'!$B$13)/'Inputs'!$B$14*SUM(E1979:E2034)</x:f>
        <x:v>931898.5738412478</x:v>
      </x:c>
      <x:c r="G2034" s="78" t="n">
        <x:f>F2034*'Inputs'!$F$49</x:f>
        <x:v>838708.716457123</x:v>
      </x:c>
      <x:c r="H2034" s="78" t="n">
        <x:f>U2033</x:f>
        <x:v>172774946499.88666</x:v>
      </x:c>
      <x:c r="I2034" s="78" t="n">
        <x:f>V2033</x:f>
        <x:v>0.6998521381106355</x:v>
      </x:c>
      <x:c r="J2034" s="79" t="n">
        <x:f>IF(H2034&gt;0,I2034/H2034,0)</x:f>
        <x:v>4.0506575304371145e-12</x:v>
      </x:c>
      <x:c r="K2034" s="80" t="n">
        <x:f>(H2034*J2034+I2034)*'Inputs'!$D$49*(1+'Inputs'!$G$49)^(B2034/30)</x:f>
        <x:v>1.0497782071659532</x:v>
      </x:c>
      <x:c r="L2034" s="80" t="n">
        <x:f>MAX(0,K2034*'Inputs'!$E$49)</x:f>
        <x:v>0</x:v>
      </x:c>
      <x:c r="M2034" s="80" t="n">
        <x:f>MAX(0,-K2034*'Inputs'!$E$49)</x:f>
        <x:v>0.031493346214978596</x:v>
      </x:c>
      <x:c r="N2034" s="78" t="n">
        <x:f>H2034*(L2034*(1-'Inputs'!$B$15))/(I2034+L2034*(1-'Inputs'!$B$15))</x:f>
        <x:v>0</x:v>
      </x:c>
      <x:c r="O2034" s="78" t="n">
        <x:f>H2034-N2034</x:f>
        <x:v>172774946499.88666</x:v>
      </x:c>
      <x:c r="P2034" s="78" t="n">
        <x:f>I2034+L2034*(1-'Inputs'!$B$17)</x:f>
        <x:v>0.6998521381106355</x:v>
      </x:c>
      <x:c r="Q2034" s="78" t="n">
        <x:f>IF(J2034&gt;0,M2034/J2034,0)</x:f>
        <x:v>7774872592.4949</x:v>
      </x:c>
      <x:c r="R2034" s="78" t="n">
        <x:f>IF(B2034='Inputs'!$H$49,'Inputs'!$B$27*'Inputs'!$I$49,0)</x:f>
        <x:v>0</x:v>
      </x:c>
      <x:c r="S2034" s="78" t="n">
        <x:f>Q2034+G2034+R2034</x:f>
        <x:v>7775711301.211357</x:v>
      </x:c>
      <x:c r="T2034" s="78" t="n">
        <x:f>P2034*(S2034*(1-'Inputs'!$B$15))/(O2034+S2034*(1-'Inputs'!$B$15))</x:f>
        <x:v>0.02985173772432538</x:v>
      </x:c>
      <x:c r="U2034" s="78" t="n">
        <x:f>O2034+S2034*(1-'Inputs'!$B$17)</x:f>
        <x:v>180519367212.36075</x:v>
      </x:c>
      <x:c r="V2034" s="78" t="n">
        <x:f>P2034-T2034</x:f>
        <x:v>0.6700004003863101</x:v>
      </x:c>
      <x:c r="W2034" s="79" t="n">
        <x:f>IF(U2034&gt;0,V2034/U2034,0)</x:f>
        <x:v>3.711515338950474e-12</x:v>
      </x:c>
      <x:c r="X2034" s="80" t="n">
        <x:f>W2034*('Inputs'!$B$6-AC2034)</x:f>
        <x:v>-0.04271800553317784</x:v>
      </x:c>
      <x:c r="Y2034" s="80" t="n">
        <x:f>2*V2034</x:f>
        <x:v>1.3400008007726203</x:v>
      </x:c>
      <x:c r="Z2034" s="80" t="n">
        <x:f>K2034*'Inputs'!$B$16+(G2034+R2034)*J2034*'Inputs'!$B$16</x:f>
        <x:v>0.006298689626926388</x:v>
      </x:c>
      <x:c r="AA2034" s="80" t="n">
        <x:f>K2034*(1+'Inputs'!$E$49)/2*'Inputs'!$B$17</x:f>
        <x:v>0.0020488628992977355</x:v>
      </x:c>
      <x:c r="AB2034" s="78" t="n">
        <x:f>(IF(J2034&gt;0,K2034*(1-'Inputs'!$E$49)/2/J2034,0)+G2034+R2034)*'Inputs'!$B$17</x:f>
        <x:v>537100542.7761728</x:v>
      </x:c>
      <x:c r="AC2034" s="78" t="n">
        <x:f>AC2033+AB2034</x:f>
        <x:v>12509586147.97412</x:v>
      </x:c>
      <x:c r="AD2034" s="80" t="n">
        <x:f>Z2034/(1+'Inputs'!$C$49)</x:f>
        <x:v>0.001574672406731597</x:v>
      </x:c>
      <x:c r="AE2034" s="80" t="n">
        <x:f>Z2034-AD2034</x:f>
        <x:v>0.004724017220194791</x:v>
      </x:c>
      <x:c r="AF2034" s="80" t="n">
        <x:f>D2034*W2034</x:f>
        <x:v>0.0000010262498360263348</x:v>
      </x:c>
      <x:c r="AG2034" s="80" t="n">
        <x:f>C2034*W2034</x:f>
        <x:v>0.000002394582950728124</x:v>
      </x:c>
      <x:c r="AH2034" s="80" t="n">
        <x:f>2*'Inputs'!$B$8*'Inputs'!$C$49</x:f>
        <x:v>15000</x:v>
      </x:c>
      <x:c r="AI2034" s="81" t="n">
        <x:f>IF(AH2034&gt;0,(AE2034+AF2034)/AH2034*365,0)</x:f>
        <x:v>0.00011497605777074987</x:v>
      </x:c>
      <x:c r="AJ2034" s="81" t="n">
        <x:f>IF('Inputs'!$B$49&gt;0,AG2034/('Inputs'!$B$19*'Inputs'!$B$49)*365,0)</x:f>
        <x:v>8.740227770157652e-8</x:v>
      </x:c>
      <x:c r="AK2034" s="81" t="n">
        <x:f>W2034/MAX($W$1829:W2034)-1</x:f>
        <x:v>-0.9999999952184732</x:v>
      </x:c>
      <x:c r="AL2034" s="83" t="n">
        <x:f>'Inputs'!$B$49</x:f>
        <x:v>1</x:v>
      </x:c>
      <x:c r="AM2034" s="83" t="n">
        <x:f>'Inputs'!$C$49</x:f>
        <x:v>3</x:v>
      </x:c>
      <x:c r="AN2034" s="83" t="n">
        <x:f>'Inputs'!$D$49</x:f>
        <x:v>0.75</x:v>
      </x:c>
      <x:c r="AO2034" s="81" t="n">
        <x:f>'Inputs'!$E$49</x:f>
        <x:v>-0.03</x:v>
      </x:c>
    </x:row>
    <x:row r="2035">
      <x:c r="A2035" s="59" t="str">
        <x:v>Mercenary LP</x:v>
      </x:c>
      <x:c r="B2035" s="59" t="n">
        <x:v>207</x:v>
      </x:c>
      <x:c r="C2035" s="78" t="n">
        <x:f>(('Inputs'!$B$29*(3*207*'Inputs'!$B$12-207^2)/(2*'Inputs'!$B$12^2))-('Inputs'!$B$29*(3*206*'Inputs'!$B$12-206^2)/(2*'Inputs'!$B$12^2)))*'Inputs'!$B$49</x:f>
        <x:v>644851.5199849904</x:v>
      </x:c>
      <x:c r="D2035" s="78" t="n">
        <x:f>IF('Inputs'!$C$49&gt;0,('Inputs'!$B$30*(3*207*'Inputs'!$B$12-207^2)/(2*'Inputs'!$B$12^2))-('Inputs'!$B$30*(3*206*'Inputs'!$B$12-206^2)/(2*'Inputs'!$B$12^2)),0)</x:f>
        <x:v>276364.93713642657</x:v>
      </x:c>
      <x:c r="E2035" s="78" t="n">
        <x:f>C2035+D2035</x:f>
        <x:v>921216.4571214169</x:v>
      </x:c>
      <x:c r="F2035" s="78" t="n">
        <x:f>'Inputs'!$B$13*E2035+(1-'Inputs'!$B$13)/'Inputs'!$B$14*SUM(E1980:E2035)</x:f>
        <x:v>931434.1339838634</x:v>
      </x:c>
      <x:c r="G2035" s="78" t="n">
        <x:f>F2035*'Inputs'!$F$49</x:f>
        <x:v>838290.7205854771</x:v>
      </x:c>
      <x:c r="H2035" s="78" t="n">
        <x:f>U2034</x:f>
        <x:v>180519367212.36075</x:v>
      </x:c>
      <x:c r="I2035" s="78" t="n">
        <x:f>V2034</x:f>
        <x:v>0.6700004003863101</x:v>
      </x:c>
      <x:c r="J2035" s="79" t="n">
        <x:f>IF(H2035&gt;0,I2035/H2035,0)</x:f>
        <x:v>3.711515338950474e-12</x:v>
      </x:c>
      <x:c r="K2035" s="80" t="n">
        <x:f>(H2035*J2035+I2035)*'Inputs'!$D$49*(1+'Inputs'!$G$49)^(B2035/30)</x:f>
        <x:v>1.0050006005794652</x:v>
      </x:c>
      <x:c r="L2035" s="80" t="n">
        <x:f>MAX(0,K2035*'Inputs'!$E$49)</x:f>
        <x:v>0</x:v>
      </x:c>
      <x:c r="M2035" s="80" t="n">
        <x:f>MAX(0,-K2035*'Inputs'!$E$49)</x:f>
        <x:v>0.030150018017383953</x:v>
      </x:c>
      <x:c r="N2035" s="78" t="n">
        <x:f>H2035*(L2035*(1-'Inputs'!$B$15))/(I2035+L2035*(1-'Inputs'!$B$15))</x:f>
        <x:v>0</x:v>
      </x:c>
      <x:c r="O2035" s="78" t="n">
        <x:f>H2035-N2035</x:f>
        <x:v>180519367212.36075</x:v>
      </x:c>
      <x:c r="P2035" s="78" t="n">
        <x:f>I2035+L2035*(1-'Inputs'!$B$17)</x:f>
        <x:v>0.6700004003863101</x:v>
      </x:c>
      <x:c r="Q2035" s="78" t="n">
        <x:f>IF(J2035&gt;0,M2035/J2035,0)</x:f>
        <x:v>8123371524.556232</x:v>
      </x:c>
      <x:c r="R2035" s="78" t="n">
        <x:f>IF(B2035='Inputs'!$H$49,'Inputs'!$B$27*'Inputs'!$I$49,0)</x:f>
        <x:v>0</x:v>
      </x:c>
      <x:c r="S2035" s="78" t="n">
        <x:f>Q2035+G2035+R2035</x:f>
        <x:v>8124209815.276818</x:v>
      </x:c>
      <x:c r="T2035" s="78" t="n">
        <x:f>P2035*(S2035*(1-'Inputs'!$B$15))/(O2035+S2035*(1-'Inputs'!$B$15))</x:f>
        <x:v>0.02857830325861464</x:v>
      </x:c>
      <x:c r="U2035" s="78" t="n">
        <x:f>O2035+S2035*(1-'Inputs'!$B$17)</x:f>
        <x:v>188610884030.393</x:v>
      </x:c>
      <x:c r="V2035" s="78" t="n">
        <x:f>P2035-T2035</x:f>
        <x:v>0.6414220971276955</x:v>
      </x:c>
      <x:c r="W2035" s="79" t="n">
        <x:f>IF(U2035&gt;0,V2035/U2035,0)</x:f>
        <x:v>3.400769263264446e-12</x:v>
      </x:c>
      <x:c r="X2035" s="80" t="n">
        <x:f>W2035*('Inputs'!$B$6-AC2035)</x:f>
        <x:v>-0.04104987434420236</x:v>
      </x:c>
      <x:c r="Y2035" s="80" t="n">
        <x:f>2*V2035</x:f>
        <x:v>1.282844194255391</x:v>
      </x:c>
      <x:c r="Z2035" s="80" t="n">
        <x:f>K2035*'Inputs'!$B$16+(G2035+R2035)*J2035*'Inputs'!$B$16</x:f>
        <x:v>0.006030022271449999</x:v>
      </x:c>
      <x:c r="AA2035" s="80" t="n">
        <x:f>K2035*(1+'Inputs'!$E$49)/2*'Inputs'!$B$17</x:f>
        <x:v>0.0019614699850343687</x:v>
      </x:c>
      <x:c r="AB2035" s="78" t="n">
        <x:f>(IF(J2035&gt;0,K2035*(1-'Inputs'!$E$49)/2/J2035,0)+G2035+R2035)*'Inputs'!$B$17</x:f>
        <x:v>561175249.345148</x:v>
      </x:c>
      <x:c r="AC2035" s="78" t="n">
        <x:f>AC2034+AB2035</x:f>
        <x:v>13070761397.319267</x:v>
      </x:c>
      <x:c r="AD2035" s="80" t="n">
        <x:f>Z2035/(1+'Inputs'!$C$49)</x:f>
        <x:v>0.0015075055678624998</x:v>
      </x:c>
      <x:c r="AE2035" s="80" t="n">
        <x:f>Z2035-AD2035</x:f>
        <x:v>0.0045225167035875</x:v>
      </x:c>
      <x:c r="AF2035" s="80" t="n">
        <x:f>D2035*W2035</x:f>
        <x:v>9.398533836575703e-7</x:v>
      </x:c>
      <x:c r="AG2035" s="80" t="n">
        <x:f>C2035*W2035</x:f>
        <x:v>0.000002192991228534314</x:v>
      </x:c>
      <x:c r="AH2035" s="80" t="n">
        <x:f>2*'Inputs'!$B$8*'Inputs'!$C$49</x:f>
        <x:v>15000</x:v>
      </x:c>
      <x:c r="AI2035" s="81" t="n">
        <x:f>IF(AH2035&gt;0,(AE2035+AF2035)/AH2035*365,0)</x:f>
        <x:v>0.0001100707762196315</x:v>
      </x:c>
      <x:c r="AJ2035" s="81" t="n">
        <x:f>IF('Inputs'!$B$49&gt;0,AG2035/('Inputs'!$B$19*'Inputs'!$B$49)*365,0)</x:f>
        <x:v>8.004417984150246e-8</x:v>
      </x:c>
      <x:c r="AK2035" s="81" t="n">
        <x:f>W2035/MAX($W$1829:W2035)-1</x:f>
        <x:v>-0.9999999956188058</x:v>
      </x:c>
      <x:c r="AL2035" s="83" t="n">
        <x:f>'Inputs'!$B$49</x:f>
        <x:v>1</x:v>
      </x:c>
      <x:c r="AM2035" s="83" t="n">
        <x:f>'Inputs'!$C$49</x:f>
        <x:v>3</x:v>
      </x:c>
      <x:c r="AN2035" s="83" t="n">
        <x:f>'Inputs'!$D$49</x:f>
        <x:v>0.75</x:v>
      </x:c>
      <x:c r="AO2035" s="81" t="n">
        <x:f>'Inputs'!$E$49</x:f>
        <x:v>-0.03</x:v>
      </x:c>
    </x:row>
    <x:row r="2036">
      <x:c r="A2036" s="59" t="str">
        <x:v>Mercenary LP</x:v>
      </x:c>
      <x:c r="B2036" s="59" t="n">
        <x:v>208</x:v>
      </x:c>
      <x:c r="C2036" s="78" t="n">
        <x:f>(('Inputs'!$B$29*(3*208*'Inputs'!$B$12-208^2)/(2*'Inputs'!$B$12^2))-('Inputs'!$B$29*(3*207*'Inputs'!$B$12-207^2)/(2*'Inputs'!$B$12^2)))*'Inputs'!$B$49</x:f>
        <x:v>644526.4120848179</x:v>
      </x:c>
      <x:c r="D2036" s="78" t="n">
        <x:f>IF('Inputs'!$C$49&gt;0,('Inputs'!$B$30*(3*208*'Inputs'!$B$12-208^2)/(2*'Inputs'!$B$12^2))-('Inputs'!$B$30*(3*207*'Inputs'!$B$12-207^2)/(2*'Inputs'!$B$12^2)),0)</x:f>
        <x:v>276225.60517920554</x:v>
      </x:c>
      <x:c r="E2036" s="78" t="n">
        <x:f>C2036+D2036</x:f>
        <x:v>920752.0172640234</x:v>
      </x:c>
      <x:c r="F2036" s="78" t="n">
        <x:f>'Inputs'!$B$13*E2036+(1-'Inputs'!$B$13)/'Inputs'!$B$14*SUM(E1981:E2036)</x:f>
        <x:v>930969.6941264772</x:v>
      </x:c>
      <x:c r="G2036" s="78" t="n">
        <x:f>F2036*'Inputs'!$F$49</x:f>
        <x:v>837872.7247138296</x:v>
      </x:c>
      <x:c r="H2036" s="78" t="n">
        <x:f>U2035</x:f>
        <x:v>188610884030.393</x:v>
      </x:c>
      <x:c r="I2036" s="78" t="n">
        <x:f>V2035</x:f>
        <x:v>0.6414220971276955</x:v>
      </x:c>
      <x:c r="J2036" s="79" t="n">
        <x:f>IF(H2036&gt;0,I2036/H2036,0)</x:f>
        <x:v>3.400769263264446e-12</x:v>
      </x:c>
      <x:c r="K2036" s="80" t="n">
        <x:f>(H2036*J2036+I2036)*'Inputs'!$D$49*(1+'Inputs'!$G$49)^(B2036/30)</x:f>
        <x:v>0.9621331456915432</x:v>
      </x:c>
      <x:c r="L2036" s="80" t="n">
        <x:f>MAX(0,K2036*'Inputs'!$E$49)</x:f>
        <x:v>0</x:v>
      </x:c>
      <x:c r="M2036" s="80" t="n">
        <x:f>MAX(0,-K2036*'Inputs'!$E$49)</x:f>
        <x:v>0.028863994370746295</x:v>
      </x:c>
      <x:c r="N2036" s="78" t="n">
        <x:f>H2036*(L2036*(1-'Inputs'!$B$15))/(I2036+L2036*(1-'Inputs'!$B$15))</x:f>
        <x:v>0</x:v>
      </x:c>
      <x:c r="O2036" s="78" t="n">
        <x:f>H2036-N2036</x:f>
        <x:v>188610884030.393</x:v>
      </x:c>
      <x:c r="P2036" s="78" t="n">
        <x:f>I2036+L2036*(1-'Inputs'!$B$17)</x:f>
        <x:v>0.6414220971276955</x:v>
      </x:c>
      <x:c r="Q2036" s="78" t="n">
        <x:f>IF(J2036&gt;0,M2036/J2036,0)</x:f>
        <x:v>8487489781.367684</x:v>
      </x:c>
      <x:c r="R2036" s="78" t="n">
        <x:f>IF(B2036='Inputs'!$H$49,'Inputs'!$B$27*'Inputs'!$I$49,0)</x:f>
        <x:v>0</x:v>
      </x:c>
      <x:c r="S2036" s="78" t="n">
        <x:f>Q2036+G2036+R2036</x:f>
        <x:v>8488327654.092399</x:v>
      </x:c>
      <x:c r="T2036" s="78" t="n">
        <x:f>P2036*(S2036*(1-'Inputs'!$B$15))/(O2036+S2036*(1-'Inputs'!$B$15))</x:f>
        <x:v>0.027359202547867344</x:v>
      </x:c>
      <x:c r="U2036" s="78" t="n">
        <x:f>O2036+S2036*(1-'Inputs'!$B$17)</x:f>
        <x:v>197065053424.30798</x:v>
      </x:c>
      <x:c r="V2036" s="78" t="n">
        <x:f>P2036-T2036</x:f>
        <x:v>0.6140628945798281</x:v>
      </x:c>
      <x:c r="W2036" s="79" t="n">
        <x:f>IF(U2036&gt;0,V2036/U2036,0)</x:f>
        <x:v>3.1160415502877965e-12</x:v>
      </x:c>
      <x:c r="X2036" s="80" t="n">
        <x:f>W2036*('Inputs'!$B$6-AC2036)</x:f>
        <x:v>-0.0394400194494509</x:v>
      </x:c>
      <x:c r="Y2036" s="80" t="n">
        <x:f>2*V2036</x:f>
        <x:v>1.2281257891596562</x:v>
      </x:c>
      <x:c r="Z2036" s="80" t="n">
        <x:f>K2036*'Inputs'!$B$16+(G2036+R2036)*J2036*'Inputs'!$B$16</x:f>
        <x:v>0.005772815970620112</x:v>
      </x:c>
      <x:c r="AA2036" s="80" t="n">
        <x:f>K2036*(1+'Inputs'!$E$49)/2*'Inputs'!$B$17</x:f>
        <x:v>0.0018778051334422475</x:v>
      </x:c>
      <x:c r="AB2036" s="78" t="n">
        <x:f>(IF(J2036&gt;0,K2036*(1-'Inputs'!$E$49)/2/J2036,0)+G2036+R2036)*'Inputs'!$B$17</x:f>
        <x:v>586328956.88613</x:v>
      </x:c>
      <x:c r="AC2036" s="78" t="n">
        <x:f>AC2035+AB2036</x:f>
        <x:v>13657090354.205397</x:v>
      </x:c>
      <x:c r="AD2036" s="80" t="n">
        <x:f>Z2036/(1+'Inputs'!$C$49)</x:f>
        <x:v>0.001443203992655028</x:v>
      </x:c>
      <x:c r="AE2036" s="80" t="n">
        <x:f>Z2036-AD2036</x:f>
        <x:v>0.004329611977965084</x:v>
      </x:c>
      <x:c r="AF2036" s="80" t="n">
        <x:f>D2036*W2036</x:f>
        <x:v>8.607304629917964e-7</x:v>
      </x:c>
      <x:c r="AG2036" s="80" t="n">
        <x:f>C2036*W2036</x:f>
        <x:v>0.000002008371080314207</x:v>
      </x:c>
      <x:c r="AH2036" s="80" t="n">
        <x:f>2*'Inputs'!$B$8*'Inputs'!$C$49</x:f>
        <x:v>15000</x:v>
      </x:c>
      <x:c r="AI2036" s="81" t="n">
        <x:f>IF(AH2036&gt;0,(AE2036+AF2036)/AH2036*365,0)</x:f>
        <x:v>0.00010537483590508316</x:v>
      </x:c>
      <x:c r="AJ2036" s="81" t="n">
        <x:f>IF('Inputs'!$B$49&gt;0,AG2036/('Inputs'!$B$19*'Inputs'!$B$49)*365,0)</x:f>
        <x:v>7.330554443146856e-8</x:v>
      </x:c>
      <x:c r="AK2036" s="81" t="n">
        <x:f>W2036/MAX($W$1829:W2036)-1</x:f>
        <x:v>-0.9999999959856191</x:v>
      </x:c>
      <x:c r="AL2036" s="83" t="n">
        <x:f>'Inputs'!$B$49</x:f>
        <x:v>1</x:v>
      </x:c>
      <x:c r="AM2036" s="83" t="n">
        <x:f>'Inputs'!$C$49</x:f>
        <x:v>3</x:v>
      </x:c>
      <x:c r="AN2036" s="83" t="n">
        <x:f>'Inputs'!$D$49</x:f>
        <x:v>0.75</x:v>
      </x:c>
      <x:c r="AO2036" s="81" t="n">
        <x:f>'Inputs'!$E$49</x:f>
        <x:v>-0.03</x:v>
      </x:c>
    </x:row>
    <x:row r="2037">
      <x:c r="A2037" s="59" t="str">
        <x:v>Mercenary LP</x:v>
      </x:c>
      <x:c r="B2037" s="59" t="n">
        <x:v>209</x:v>
      </x:c>
      <x:c r="C2037" s="78" t="n">
        <x:f>(('Inputs'!$B$29*(3*209*'Inputs'!$B$12-209^2)/(2*'Inputs'!$B$12^2))-('Inputs'!$B$29*(3*208*'Inputs'!$B$12-208^2)/(2*'Inputs'!$B$12^2)))*'Inputs'!$B$49</x:f>
        <x:v>644201.3041846454</x:v>
      </x:c>
      <x:c r="D2037" s="78" t="n">
        <x:f>IF('Inputs'!$C$49&gt;0,('Inputs'!$B$30*(3*209*'Inputs'!$B$12-209^2)/(2*'Inputs'!$B$12^2))-('Inputs'!$B$30*(3*208*'Inputs'!$B$12-208^2)/(2*'Inputs'!$B$12^2)),0)</x:f>
        <x:v>276086.27322199196</x:v>
      </x:c>
      <x:c r="E2037" s="78" t="n">
        <x:f>C2037+D2037</x:f>
        <x:v>920287.5774066374</x:v>
      </x:c>
      <x:c r="F2037" s="78" t="n">
        <x:f>'Inputs'!$B$13*E2037+(1-'Inputs'!$B$13)/'Inputs'!$B$14*SUM(E1982:E2037)</x:f>
        <x:v>930505.2542690926</x:v>
      </x:c>
      <x:c r="G2037" s="78" t="n">
        <x:f>F2037*'Inputs'!$F$49</x:f>
        <x:v>837454.7288421834</x:v>
      </x:c>
      <x:c r="H2037" s="78" t="n">
        <x:f>U2036</x:f>
        <x:v>197065053424.30798</x:v>
      </x:c>
      <x:c r="I2037" s="78" t="n">
        <x:f>V2036</x:f>
        <x:v>0.6140628945798281</x:v>
      </x:c>
      <x:c r="J2037" s="79" t="n">
        <x:f>IF(H2037&gt;0,I2037/H2037,0)</x:f>
        <x:v>3.1160415502877965e-12</x:v>
      </x:c>
      <x:c r="K2037" s="80" t="n">
        <x:f>(H2037*J2037+I2037)*'Inputs'!$D$49*(1+'Inputs'!$G$49)^(B2037/30)</x:f>
        <x:v>0.9210943418697422</x:v>
      </x:c>
      <x:c r="L2037" s="80" t="n">
        <x:f>MAX(0,K2037*'Inputs'!$E$49)</x:f>
        <x:v>0</x:v>
      </x:c>
      <x:c r="M2037" s="80" t="n">
        <x:f>MAX(0,-K2037*'Inputs'!$E$49)</x:f>
        <x:v>0.027632830256092263</x:v>
      </x:c>
      <x:c r="N2037" s="78" t="n">
        <x:f>H2037*(L2037*(1-'Inputs'!$B$15))/(I2037+L2037*(1-'Inputs'!$B$15))</x:f>
        <x:v>0</x:v>
      </x:c>
      <x:c r="O2037" s="78" t="n">
        <x:f>H2037-N2037</x:f>
        <x:v>197065053424.30798</x:v>
      </x:c>
      <x:c r="P2037" s="78" t="n">
        <x:f>I2037+L2037*(1-'Inputs'!$B$17)</x:f>
        <x:v>0.6140628945798281</x:v>
      </x:c>
      <x:c r="Q2037" s="78" t="n">
        <x:f>IF(J2037&gt;0,M2037/J2037,0)</x:f>
        <x:v>8867927404.093859</x:v>
      </x:c>
      <x:c r="R2037" s="78" t="n">
        <x:f>IF(B2037='Inputs'!$H$49,'Inputs'!$B$27*'Inputs'!$I$49,0)</x:f>
        <x:v>0</x:v>
      </x:c>
      <x:c r="S2037" s="78" t="n">
        <x:f>Q2037+G2037+R2037</x:f>
        <x:v>8868764858.8227</x:v>
      </x:c>
      <x:c r="T2037" s="78" t="n">
        <x:f>P2037*(S2037*(1-'Inputs'!$B$15))/(O2037+S2037*(1-'Inputs'!$B$15))</x:f>
        <x:v>0.026192116421364712</x:v>
      </x:c>
      <x:c r="U2037" s="78" t="n">
        <x:f>O2037+S2037*(1-'Inputs'!$B$17)</x:f>
        <x:v>205898129088.52777</x:v>
      </x:c>
      <x:c r="V2037" s="78" t="n">
        <x:f>P2037-T2037</x:f>
        <x:v>0.5878707781584633</x:v>
      </x:c>
      <x:c r="W2037" s="79" t="n">
        <x:f>IF(U2037&gt;0,V2037/U2037,0)</x:f>
        <x:v>2.85515356919879e-12</x:v>
      </x:c>
      <x:c r="X2037" s="80" t="n">
        <x:f>W2037*('Inputs'!$B$6-AC2037)</x:f>
        <x:v>-0.037887032400030524</x:v>
      </x:c>
      <x:c r="Y2037" s="80" t="n">
        <x:f>2*V2037</x:f>
        <x:v>1.1757415563169267</x:v>
      </x:c>
      <x:c r="Z2037" s="80" t="n">
        <x:f>K2037*'Inputs'!$B$16+(G2037+R2037)*J2037*'Inputs'!$B$16</x:f>
        <x:v>0.005526581708480843</x:v>
      </x:c>
      <x:c r="AA2037" s="80" t="n">
        <x:f>K2037*(1+'Inputs'!$E$49)/2*'Inputs'!$B$17</x:f>
        <x:v>0.001797709278900704</x:v>
      </x:c>
      <x:c r="AB2037" s="78" t="n">
        <x:f>(IF(J2037&gt;0,K2037*(1-'Inputs'!$E$49)/2/J2037,0)+G2037+R2037)*'Inputs'!$B$17</x:f>
        <x:v>612610025.0503291</x:v>
      </x:c>
      <x:c r="AC2037" s="78" t="n">
        <x:f>AC2036+AB2037</x:f>
        <x:v>14269700379.255726</x:v>
      </x:c>
      <x:c r="AD2037" s="80" t="n">
        <x:f>Z2037/(1+'Inputs'!$C$49)</x:f>
        <x:v>0.0013816454271202106</x:v>
      </x:c>
      <x:c r="AE2037" s="80" t="n">
        <x:f>Z2037-AD2037</x:f>
        <x:v>0.004144936281360632</x:v>
      </x:c>
      <x:c r="AF2037" s="80" t="n">
        <x:f>D2037*W2037</x:f>
        <x:v>7.882687083965627e-7</x:v>
      </x:c>
      <x:c r="AG2037" s="80" t="n">
        <x:f>C2037*W2037</x:f>
        <x:v>0.000001839293652925306</x:v>
      </x:c>
      <x:c r="AH2037" s="80" t="n">
        <x:f>2*'Inputs'!$B$8*'Inputs'!$C$49</x:f>
        <x:v>15000</x:v>
      </x:c>
      <x:c r="AI2037" s="81" t="n">
        <x:f>IF(AH2037&gt;0,(AE2037+AF2037)/AH2037*365,0)</x:f>
        <x:v>0.00010087929738501303</x:v>
      </x:c>
      <x:c r="AJ2037" s="81" t="n">
        <x:f>IF('Inputs'!$B$49&gt;0,AG2037/('Inputs'!$B$19*'Inputs'!$B$49)*365,0)</x:f>
        <x:v>6.713421833177367e-8</x:v>
      </x:c>
      <x:c r="AK2037" s="81" t="n">
        <x:f>W2037/MAX($W$1829:W2037)-1</x:f>
        <x:v>-0.9999999963217198</x:v>
      </x:c>
      <x:c r="AL2037" s="83" t="n">
        <x:f>'Inputs'!$B$49</x:f>
        <x:v>1</x:v>
      </x:c>
      <x:c r="AM2037" s="83" t="n">
        <x:f>'Inputs'!$C$49</x:f>
        <x:v>3</x:v>
      </x:c>
      <x:c r="AN2037" s="83" t="n">
        <x:f>'Inputs'!$D$49</x:f>
        <x:v>0.75</x:v>
      </x:c>
      <x:c r="AO2037" s="81" t="n">
        <x:f>'Inputs'!$E$49</x:f>
        <x:v>-0.03</x:v>
      </x:c>
    </x:row>
    <x:row r="2038">
      <x:c r="A2038" s="59" t="str">
        <x:v>Mercenary LP</x:v>
      </x:c>
      <x:c r="B2038" s="59" t="n">
        <x:v>210</x:v>
      </x:c>
      <x:c r="C2038" s="78" t="n">
        <x:f>(('Inputs'!$B$29*(3*210*'Inputs'!$B$12-210^2)/(2*'Inputs'!$B$12^2))-('Inputs'!$B$29*(3*209*'Inputs'!$B$12-209^2)/(2*'Inputs'!$B$12^2)))*'Inputs'!$B$49</x:f>
        <x:v>643876.196284473</x:v>
      </x:c>
      <x:c r="D2038" s="78" t="n">
        <x:f>IF('Inputs'!$C$49&gt;0,('Inputs'!$B$30*(3*210*'Inputs'!$B$12-210^2)/(2*'Inputs'!$B$12^2))-('Inputs'!$B$30*(3*209*'Inputs'!$B$12-209^2)/(2*'Inputs'!$B$12^2)),0)</x:f>
        <x:v>275946.9412647784</x:v>
      </x:c>
      <x:c r="E2038" s="78" t="n">
        <x:f>C2038+D2038</x:f>
        <x:v>919823.1375492513</x:v>
      </x:c>
      <x:c r="F2038" s="78" t="n">
        <x:f>'Inputs'!$B$13*E2038+(1-'Inputs'!$B$13)/'Inputs'!$B$14*SUM(E1983:E2038)</x:f>
        <x:v>930040.814411708</x:v>
      </x:c>
      <x:c r="G2038" s="78" t="n">
        <x:f>F2038*'Inputs'!$F$49</x:f>
        <x:v>837036.7329705373</x:v>
      </x:c>
      <x:c r="H2038" s="78" t="n">
        <x:f>U2037</x:f>
        <x:v>205898129088.52777</x:v>
      </x:c>
      <x:c r="I2038" s="78" t="n">
        <x:f>V2037</x:f>
        <x:v>0.5878707781584633</x:v>
      </x:c>
      <x:c r="J2038" s="79" t="n">
        <x:f>IF(H2038&gt;0,I2038/H2038,0)</x:f>
        <x:v>2.85515356919879e-12</x:v>
      </x:c>
      <x:c r="K2038" s="80" t="n">
        <x:f>(H2038*J2038+I2038)*'Inputs'!$D$49*(1+'Inputs'!$G$49)^(B2038/30)</x:f>
        <x:v>0.881806167237695</x:v>
      </x:c>
      <x:c r="L2038" s="80" t="n">
        <x:f>MAX(0,K2038*'Inputs'!$E$49)</x:f>
        <x:v>0</x:v>
      </x:c>
      <x:c r="M2038" s="80" t="n">
        <x:f>MAX(0,-K2038*'Inputs'!$E$49)</x:f>
        <x:v>0.02645418501713085</x:v>
      </x:c>
      <x:c r="N2038" s="78" t="n">
        <x:f>H2038*(L2038*(1-'Inputs'!$B$15))/(I2038+L2038*(1-'Inputs'!$B$15))</x:f>
        <x:v>0</x:v>
      </x:c>
      <x:c r="O2038" s="78" t="n">
        <x:f>H2038-N2038</x:f>
        <x:v>205898129088.52777</x:v>
      </x:c>
      <x:c r="P2038" s="78" t="n">
        <x:f>I2038+L2038*(1-'Inputs'!$B$17)</x:f>
        <x:v>0.5878707781584633</x:v>
      </x:c>
      <x:c r="Q2038" s="78" t="n">
        <x:f>IF(J2038&gt;0,M2038/J2038,0)</x:f>
        <x:v>9265415808.98375</x:v>
      </x:c>
      <x:c r="R2038" s="78" t="n">
        <x:f>IF(B2038='Inputs'!$H$49,'Inputs'!$B$27*'Inputs'!$I$49,0)</x:f>
        <x:v>0</x:v>
      </x:c>
      <x:c r="S2038" s="78" t="n">
        <x:f>Q2038+G2038+R2038</x:f>
        <x:v>9266252845.71672</x:v>
      </x:c>
      <x:c r="T2038" s="78" t="n">
        <x:f>P2038*(S2038*(1-'Inputs'!$B$15))/(O2038+S2038*(1-'Inputs'!$B$15))</x:f>
        <x:v>0.02507482477572643</x:v>
      </x:c>
      <x:c r="U2038" s="78" t="n">
        <x:f>O2038+S2038*(1-'Inputs'!$B$17)</x:f>
        <x:v>215127093190.39856</x:v>
      </x:c>
      <x:c r="V2038" s="78" t="n">
        <x:f>P2038-T2038</x:f>
        <x:v>0.5627959533827369</x:v>
      </x:c>
      <x:c r="W2038" s="79" t="n">
        <x:f>IF(U2038&gt;0,V2038/U2038,0)</x:f>
        <x:v>2.6161091336116996e-12</x:v>
      </x:c>
      <x:c r="X2038" s="80" t="n">
        <x:f>W2038*('Inputs'!$B$6-AC2038)</x:f>
        <x:v>-0.036389474669577364</x:v>
      </x:c>
      <x:c r="Y2038" s="80" t="n">
        <x:f>2*V2038</x:f>
        <x:v>1.1255919067654738</x:v>
      </x:c>
      <x:c r="Z2038" s="80" t="n">
        <x:f>K2038*'Inputs'!$B$16+(G2038+R2038)*J2038*'Inputs'!$B$16</x:f>
        <x:v>0.005290851342636665</x:v>
      </x:c>
      <x:c r="AA2038" s="80" t="n">
        <x:f>K2038*(1+'Inputs'!$E$49)/2*'Inputs'!$B$17</x:f>
        <x:v>0.0017210301453130063</x:v>
      </x:c>
      <x:c r="AB2038" s="78" t="n">
        <x:f>(IF(J2038&gt;0,K2038*(1-'Inputs'!$E$49)/2/J2038,0)+G2038+R2038)*'Inputs'!$B$17</x:f>
        <x:v>640068980.9159787</x:v>
      </x:c>
      <x:c r="AC2038" s="78" t="n">
        <x:f>AC2037+AB2038</x:f>
        <x:v>14909769360.171705</x:v>
      </x:c>
      <x:c r="AD2038" s="80" t="n">
        <x:f>Z2038/(1+'Inputs'!$C$49)</x:f>
        <x:v>0.0013227128356591662</x:v>
      </x:c>
      <x:c r="AE2038" s="80" t="n">
        <x:f>Z2038-AD2038</x:f>
        <x:v>0.003968138506977499</x:v>
      </x:c>
      <x:c r="AF2038" s="80" t="n">
        <x:f>D2038*W2038</x:f>
        <x:v>7.219073134349979e-7</x:v>
      </x:c>
      <x:c r="AG2038" s="80" t="n">
        <x:f>C2038*W2038</x:f>
        <x:v>0.0000016844503980149692</x:v>
      </x:c>
      <x:c r="AH2038" s="80" t="n">
        <x:f>2*'Inputs'!$B$8*'Inputs'!$C$49</x:f>
        <x:v>15000</x:v>
      </x:c>
      <x:c r="AI2038" s="81" t="n">
        <x:f>IF(AH2038&gt;0,(AE2038+AF2038)/AH2038*365,0)</x:f>
        <x:v>0.00009657560341441272</x:v>
      </x:c>
      <x:c r="AJ2038" s="81" t="n">
        <x:f>IF('Inputs'!$B$49&gt;0,AG2038/('Inputs'!$B$19*'Inputs'!$B$49)*365,0)</x:f>
        <x:v>6.148243952754637e-8</x:v>
      </x:c>
      <x:c r="AK2038" s="81" t="n">
        <x:f>W2038/MAX($W$1829:W2038)-1</x:f>
        <x:v>-0.9999999966296795</x:v>
      </x:c>
      <x:c r="AL2038" s="83" t="n">
        <x:f>'Inputs'!$B$49</x:f>
        <x:v>1</x:v>
      </x:c>
      <x:c r="AM2038" s="83" t="n">
        <x:f>'Inputs'!$C$49</x:f>
        <x:v>3</x:v>
      </x:c>
      <x:c r="AN2038" s="83" t="n">
        <x:f>'Inputs'!$D$49</x:f>
        <x:v>0.75</x:v>
      </x:c>
      <x:c r="AO2038" s="81" t="n">
        <x:f>'Inputs'!$E$49</x:f>
        <x:v>-0.03</x:v>
      </x:c>
    </x:row>
    <x:row r="2039">
      <x:c r="A2039" s="59" t="str">
        <x:v>Mercenary LP</x:v>
      </x:c>
      <x:c r="B2039" s="59" t="n">
        <x:v>211</x:v>
      </x:c>
      <x:c r="C2039" s="78" t="n">
        <x:f>(('Inputs'!$B$29*(3*211*'Inputs'!$B$12-211^2)/(2*'Inputs'!$B$12^2))-('Inputs'!$B$29*(3*210*'Inputs'!$B$12-210^2)/(2*'Inputs'!$B$12^2)))*'Inputs'!$B$49</x:f>
        <x:v>643551.0883843303</x:v>
      </x:c>
      <x:c r="D2039" s="78" t="n">
        <x:f>IF('Inputs'!$C$49&gt;0,('Inputs'!$B$30*(3*211*'Inputs'!$B$12-211^2)/(2*'Inputs'!$B$12^2))-('Inputs'!$B$30*(3*210*'Inputs'!$B$12-210^2)/(2*'Inputs'!$B$12^2)),0)</x:f>
        <x:v>275807.6093075648</x:v>
      </x:c>
      <x:c r="E2039" s="78" t="n">
        <x:f>C2039+D2039</x:f>
        <x:v>919358.6976918951</x:v>
      </x:c>
      <x:c r="F2039" s="78" t="n">
        <x:f>'Inputs'!$B$13*E2039+(1-'Inputs'!$B$13)/'Inputs'!$B$14*SUM(E1984:E2039)</x:f>
        <x:v>929576.3745543299</x:v>
      </x:c>
      <x:c r="G2039" s="78" t="n">
        <x:f>F2039*'Inputs'!$F$49</x:f>
        <x:v>836618.7370988969</x:v>
      </x:c>
      <x:c r="H2039" s="78" t="n">
        <x:f>U2038</x:f>
        <x:v>215127093190.39856</x:v>
      </x:c>
      <x:c r="I2039" s="78" t="n">
        <x:f>V2038</x:f>
        <x:v>0.5627959533827369</x:v>
      </x:c>
      <x:c r="J2039" s="79" t="n">
        <x:f>IF(H2039&gt;0,I2039/H2039,0)</x:f>
        <x:v>2.6161091336116996e-12</x:v>
      </x:c>
      <x:c r="K2039" s="80" t="n">
        <x:f>(H2039*J2039+I2039)*'Inputs'!$D$49*(1+'Inputs'!$G$49)^(B2039/30)</x:f>
        <x:v>0.8441939300741054</x:v>
      </x:c>
      <x:c r="L2039" s="80" t="n">
        <x:f>MAX(0,K2039*'Inputs'!$E$49)</x:f>
        <x:v>0</x:v>
      </x:c>
      <x:c r="M2039" s="80" t="n">
        <x:f>MAX(0,-K2039*'Inputs'!$E$49)</x:f>
        <x:v>0.02532581790222316</x:v>
      </x:c>
      <x:c r="N2039" s="78" t="n">
        <x:f>H2039*(L2039*(1-'Inputs'!$B$15))/(I2039+L2039*(1-'Inputs'!$B$15))</x:f>
        <x:v>0</x:v>
      </x:c>
      <x:c r="O2039" s="78" t="n">
        <x:f>H2039-N2039</x:f>
        <x:v>215127093190.39856</x:v>
      </x:c>
      <x:c r="P2039" s="78" t="n">
        <x:f>I2039+L2039*(1-'Inputs'!$B$17)</x:f>
        <x:v>0.5627959533827369</x:v>
      </x:c>
      <x:c r="Q2039" s="78" t="n">
        <x:f>IF(J2039&gt;0,M2039/J2039,0)</x:f>
        <x:v>9680719193.567936</x:v>
      </x:c>
      <x:c r="R2039" s="78" t="n">
        <x:f>IF(B2039='Inputs'!$H$49,'Inputs'!$B$27*'Inputs'!$I$49,0)</x:f>
        <x:v>0</x:v>
      </x:c>
      <x:c r="S2039" s="78" t="n">
        <x:f>Q2039+G2039+R2039</x:f>
        <x:v>9681555812.305035</x:v>
      </x:c>
      <x:c r="T2039" s="78" t="n">
        <x:f>P2039*(S2039*(1-'Inputs'!$B$15))/(O2039+S2039*(1-'Inputs'!$B$15))</x:f>
        <x:v>0.024005202336656657</x:v>
      </x:c>
      <x:c r="U2039" s="78" t="n">
        <x:f>O2039+S2039*(1-'Inputs'!$B$17)</x:f>
        <x:v>224769689019.55548</x:v>
      </x:c>
      <x:c r="V2039" s="78" t="n">
        <x:f>P2039-T2039</x:f>
        <x:v>0.5387907510460802</x:v>
      </x:c>
      <x:c r="W2039" s="79" t="n">
        <x:f>IF(U2039&gt;0,V2039/U2039,0)</x:f>
        <x:v>2.3970792209407033e-12</x:v>
      </x:c>
      <x:c r="X2039" s="80" t="n">
        <x:f>W2039*('Inputs'!$B$6-AC2039)</x:f>
        <x:v>-0.03494588648389568</x:v>
      </x:c>
      <x:c r="Y2039" s="80" t="n">
        <x:f>2*V2039</x:f>
        <x:v>1.0775815020921604</x:v>
      </x:c>
      <x:c r="Z2039" s="80" t="n">
        <x:f>K2039*'Inputs'!$B$16+(G2039+R2039)*J2039*'Inputs'!$B$16</x:f>
        <x:v>0.005065176712560149</x:v>
      </x:c>
      <x:c r="AA2039" s="80" t="n">
        <x:f>K2039*(1+'Inputs'!$E$49)/2*'Inputs'!$B$17</x:f>
        <x:v>0.001647621956080246</x:v>
      </x:c>
      <x:c r="AB2039" s="78" t="n">
        <x:f>(IF(J2039&gt;0,K2039*(1-'Inputs'!$E$49)/2/J2039,0)+G2039+R2039)*'Inputs'!$B$17</x:f>
        <x:v>668758616.1300603</x:v>
      </x:c>
      <x:c r="AC2039" s="78" t="n">
        <x:f>AC2038+AB2039</x:f>
        <x:v>15578527976.301765</x:v>
      </x:c>
      <x:c r="AD2039" s="80" t="n">
        <x:f>Z2039/(1+'Inputs'!$C$49)</x:f>
        <x:v>0.0012662941781400373</x:v>
      </x:c>
      <x:c r="AE2039" s="80" t="n">
        <x:f>Z2039-AD2039</x:f>
        <x:v>0.003798882534420112</x:v>
      </x:c>
      <x:c r="AF2039" s="80" t="n">
        <x:f>D2039*W2039</x:f>
        <x:v>6.611326892484953e-7</x:v>
      </x:c>
      <x:c r="AG2039" s="80" t="n">
        <x:f>C2039*W2039</x:f>
        <x:v>0.0000015426429415798522</x:v>
      </x:c>
      <x:c r="AH2039" s="80" t="n">
        <x:f>2*'Inputs'!$B$8*'Inputs'!$C$49</x:f>
        <x:v>15000</x:v>
      </x:c>
      <x:c r="AI2039" s="81" t="n">
        <x:f>IF(AH2039&gt;0,(AE2039+AF2039)/AH2039*365,0)</x:f>
        <x:v>0.00009245556256632777</x:v>
      </x:c>
      <x:c r="AJ2039" s="81" t="n">
        <x:f>IF('Inputs'!$B$49&gt;0,AG2039/('Inputs'!$B$19*'Inputs'!$B$49)*365,0)</x:f>
        <x:v>5.6306467367664605e-8</x:v>
      </x:c>
      <x:c r="AK2039" s="81" t="n">
        <x:f>W2039/MAX($W$1829:W2039)-1</x:f>
        <x:v>-0.9999999969118547</x:v>
      </x:c>
      <x:c r="AL2039" s="83" t="n">
        <x:f>'Inputs'!$B$49</x:f>
        <x:v>1</x:v>
      </x:c>
      <x:c r="AM2039" s="83" t="n">
        <x:f>'Inputs'!$C$49</x:f>
        <x:v>3</x:v>
      </x:c>
      <x:c r="AN2039" s="83" t="n">
        <x:f>'Inputs'!$D$49</x:f>
        <x:v>0.75</x:v>
      </x:c>
      <x:c r="AO2039" s="81" t="n">
        <x:f>'Inputs'!$E$49</x:f>
        <x:v>-0.03</x:v>
      </x:c>
    </x:row>
    <x:row r="2040">
      <x:c r="A2040" s="59" t="str">
        <x:v>Mercenary LP</x:v>
      </x:c>
      <x:c r="B2040" s="59" t="n">
        <x:v>212</x:v>
      </x:c>
      <x:c r="C2040" s="78" t="n">
        <x:f>(('Inputs'!$B$29*(3*212*'Inputs'!$B$12-212^2)/(2*'Inputs'!$B$12^2))-('Inputs'!$B$29*(3*211*'Inputs'!$B$12-211^2)/(2*'Inputs'!$B$12^2)))*'Inputs'!$B$49</x:f>
        <x:v>643225.980484128</x:v>
      </x:c>
      <x:c r="D2040" s="78" t="n">
        <x:f>IF('Inputs'!$C$49&gt;0,('Inputs'!$B$30*(3*212*'Inputs'!$B$12-212^2)/(2*'Inputs'!$B$12^2))-('Inputs'!$B$30*(3*211*'Inputs'!$B$12-211^2)/(2*'Inputs'!$B$12^2)),0)</x:f>
        <x:v>275668.27735034376</x:v>
      </x:c>
      <x:c r="E2040" s="78" t="n">
        <x:f>C2040+D2040</x:f>
        <x:v>918894.2578344718</x:v>
      </x:c>
      <x:c r="F2040" s="78" t="n">
        <x:f>'Inputs'!$B$13*E2040+(1-'Inputs'!$B$13)/'Inputs'!$B$14*SUM(E1985:E2040)</x:f>
        <x:v>929111.9346969374</x:v>
      </x:c>
      <x:c r="G2040" s="78" t="n">
        <x:f>F2040*'Inputs'!$F$49</x:f>
        <x:v>836200.7412272437</x:v>
      </x:c>
      <x:c r="H2040" s="78" t="n">
        <x:f>U2039</x:f>
        <x:v>224769689019.55548</x:v>
      </x:c>
      <x:c r="I2040" s="78" t="n">
        <x:f>V2039</x:f>
        <x:v>0.5387907510460802</x:v>
      </x:c>
      <x:c r="J2040" s="79" t="n">
        <x:f>IF(H2040&gt;0,I2040/H2040,0)</x:f>
        <x:v>2.3970792209407033e-12</x:v>
      </x:c>
      <x:c r="K2040" s="80" t="n">
        <x:f>(H2040*J2040+I2040)*'Inputs'!$D$49*(1+'Inputs'!$G$49)^(B2040/30)</x:f>
        <x:v>0.8081861265691204</x:v>
      </x:c>
      <x:c r="L2040" s="80" t="n">
        <x:f>MAX(0,K2040*'Inputs'!$E$49)</x:f>
        <x:v>0</x:v>
      </x:c>
      <x:c r="M2040" s="80" t="n">
        <x:f>MAX(0,-K2040*'Inputs'!$E$49)</x:f>
        <x:v>0.02424558379707361</x:v>
      </x:c>
      <x:c r="N2040" s="78" t="n">
        <x:f>H2040*(L2040*(1-'Inputs'!$B$15))/(I2040+L2040*(1-'Inputs'!$B$15))</x:f>
        <x:v>0</x:v>
      </x:c>
      <x:c r="O2040" s="78" t="n">
        <x:f>H2040-N2040</x:f>
        <x:v>224769689019.55548</x:v>
      </x:c>
      <x:c r="P2040" s="78" t="n">
        <x:f>I2040+L2040*(1-'Inputs'!$B$17)</x:f>
        <x:v>0.5387907510460802</x:v>
      </x:c>
      <x:c r="Q2040" s="78" t="n">
        <x:f>IF(J2040&gt;0,M2040/J2040,0)</x:f>
        <x:v>10114636005.879997</x:v>
      </x:c>
      <x:c r="R2040" s="78" t="n">
        <x:f>IF(B2040='Inputs'!$H$49,'Inputs'!$B$27*'Inputs'!$I$49,0)</x:f>
        <x:v>0</x:v>
      </x:c>
      <x:c r="S2040" s="78" t="n">
        <x:f>Q2040+G2040+R2040</x:f>
        <x:v>10115472206.621225</x:v>
      </x:c>
      <x:c r="T2040" s="78" t="n">
        <x:f>P2040*(S2040*(1-'Inputs'!$B$15))/(O2040+S2040*(1-'Inputs'!$B$15))</x:f>
        <x:v>0.022981214602549278</x:v>
      </x:c>
      <x:c r="U2040" s="78" t="n">
        <x:f>O2040+S2040*(1-'Inputs'!$B$17)</x:f>
        <x:v>234844455100.59674</x:v>
      </x:c>
      <x:c r="V2040" s="78" t="n">
        <x:f>P2040-T2040</x:f>
        <x:v>0.5158095364435309</x:v>
      </x:c>
      <x:c r="W2040" s="79" t="n">
        <x:f>IF(U2040&gt;0,V2040/U2040,0)</x:f>
        <x:v>2.1963879718709197e-12</x:v>
      </x:c>
      <x:c r="X2040" s="80" t="n">
        <x:f>W2040*('Inputs'!$B$6-AC2040)</x:f>
        <x:v>-0.033554794642039226</x:v>
      </x:c>
      <x:c r="Y2040" s="80" t="n">
        <x:f>2*V2040</x:f>
        <x:v>1.0316190728870618</x:v>
      </x:c>
      <x:c r="Z2040" s="80" t="n">
        <x:f>K2040*'Inputs'!$B$16+(G2040+R2040)*J2040*'Inputs'!$B$16</x:f>
        <x:v>0.00484912878605125</x:v>
      </x:c>
      <x:c r="AA2040" s="80" t="n">
        <x:f>K2040*(1+'Inputs'!$E$49)/2*'Inputs'!$B$17</x:f>
        <x:v>0.0015773451564829915</x:v>
      </x:c>
      <x:c r="AB2040" s="78" t="n">
        <x:f>(IF(J2040&gt;0,K2040*(1-'Inputs'!$E$49)/2/J2040,0)+G2040+R2040)*'Inputs'!$B$17</x:f>
        <x:v>698734088.4038144</x:v>
      </x:c>
      <x:c r="AC2040" s="78" t="n">
        <x:f>AC2039+AB2040</x:f>
        <x:v>16277262064.70558</x:v>
      </x:c>
      <x:c r="AD2040" s="80" t="n">
        <x:f>Z2040/(1+'Inputs'!$C$49)</x:f>
        <x:v>0.0012122821965128126</x:v>
      </x:c>
      <x:c r="AE2040" s="80" t="n">
        <x:f>Z2040-AD2040</x:f>
        <x:v>0.003636846589538438</x:v>
      </x:c>
      <x:c r="AF2040" s="80" t="n">
        <x:f>D2040*W2040</x:f>
        <x:v>6.054744885986717e-7</x:v>
      </x:c>
      <x:c r="AG2040" s="80" t="n">
        <x:f>C2040*W2040</x:f>
        <x:v>0.0000014127738067302177</x:v>
      </x:c>
      <x:c r="AH2040" s="80" t="n">
        <x:f>2*'Inputs'!$B$8*'Inputs'!$C$49</x:f>
        <x:v>15000</x:v>
      </x:c>
      <x:c r="AI2040" s="81" t="n">
        <x:f>IF(AH2040&gt;0,(AE2040+AF2040)/AH2040*365,0)</x:f>
        <x:v>0.00008851133355799123</x:v>
      </x:c>
      <x:c r="AJ2040" s="81" t="n">
        <x:f>IF('Inputs'!$B$49&gt;0,AG2040/('Inputs'!$B$19*'Inputs'!$B$49)*365,0)</x:f>
        <x:v>5.156624394565295e-8</x:v>
      </x:c>
      <x:c r="AK2040" s="81" t="n">
        <x:f>W2040/MAX($W$1829:W2040)-1</x:f>
        <x:v>-0.9999999971704042</x:v>
      </x:c>
      <x:c r="AL2040" s="83" t="n">
        <x:f>'Inputs'!$B$49</x:f>
        <x:v>1</x:v>
      </x:c>
      <x:c r="AM2040" s="83" t="n">
        <x:f>'Inputs'!$C$49</x:f>
        <x:v>3</x:v>
      </x:c>
      <x:c r="AN2040" s="83" t="n">
        <x:f>'Inputs'!$D$49</x:f>
        <x:v>0.75</x:v>
      </x:c>
      <x:c r="AO2040" s="81" t="n">
        <x:f>'Inputs'!$E$49</x:f>
        <x:v>-0.03</x:v>
      </x:c>
    </x:row>
    <x:row r="2041">
      <x:c r="A2041" s="59" t="str">
        <x:v>Mercenary LP</x:v>
      </x:c>
      <x:c r="B2041" s="59" t="n">
        <x:v>213</x:v>
      </x:c>
      <x:c r="C2041" s="78" t="n">
        <x:f>(('Inputs'!$B$29*(3*213*'Inputs'!$B$12-213^2)/(2*'Inputs'!$B$12^2))-('Inputs'!$B$29*(3*212*'Inputs'!$B$12-212^2)/(2*'Inputs'!$B$12^2)))*'Inputs'!$B$49</x:f>
        <x:v>642900.8725839853</x:v>
      </x:c>
      <x:c r="D2041" s="78" t="n">
        <x:f>IF('Inputs'!$C$49&gt;0,('Inputs'!$B$30*(3*213*'Inputs'!$B$12-213^2)/(2*'Inputs'!$B$12^2))-('Inputs'!$B$30*(3*212*'Inputs'!$B$12-212^2)/(2*'Inputs'!$B$12^2)),0)</x:f>
        <x:v>275528.9453931302</x:v>
      </x:c>
      <x:c r="E2041" s="78" t="n">
        <x:f>C2041+D2041</x:f>
        <x:v>918429.8179771155</x:v>
      </x:c>
      <x:c r="F2041" s="78" t="n">
        <x:f>'Inputs'!$B$13*E2041+(1-'Inputs'!$B$13)/'Inputs'!$B$14*SUM(E1986:E2041)</x:f>
        <x:v>928647.4948395591</x:v>
      </x:c>
      <x:c r="G2041" s="78" t="n">
        <x:f>F2041*'Inputs'!$F$49</x:f>
        <x:v>835782.7453556032</x:v>
      </x:c>
      <x:c r="H2041" s="78" t="n">
        <x:f>U2040</x:f>
        <x:v>234844455100.59674</x:v>
      </x:c>
      <x:c r="I2041" s="78" t="n">
        <x:f>V2040</x:f>
        <x:v>0.5158095364435309</x:v>
      </x:c>
      <x:c r="J2041" s="79" t="n">
        <x:f>IF(H2041&gt;0,I2041/H2041,0)</x:f>
        <x:v>2.1963879718709197e-12</x:v>
      </x:c>
      <x:c r="K2041" s="80" t="n">
        <x:f>(H2041*J2041+I2041)*'Inputs'!$D$49*(1+'Inputs'!$G$49)^(B2041/30)</x:f>
        <x:v>0.7737143046652963</x:v>
      </x:c>
      <x:c r="L2041" s="80" t="n">
        <x:f>MAX(0,K2041*'Inputs'!$E$49)</x:f>
        <x:v>0</x:v>
      </x:c>
      <x:c r="M2041" s="80" t="n">
        <x:f>MAX(0,-K2041*'Inputs'!$E$49)</x:f>
        <x:v>0.02321142913995889</x:v>
      </x:c>
      <x:c r="N2041" s="78" t="n">
        <x:f>H2041*(L2041*(1-'Inputs'!$B$15))/(I2041+L2041*(1-'Inputs'!$B$15))</x:f>
        <x:v>0</x:v>
      </x:c>
      <x:c r="O2041" s="78" t="n">
        <x:f>H2041-N2041</x:f>
        <x:v>234844455100.59674</x:v>
      </x:c>
      <x:c r="P2041" s="78" t="n">
        <x:f>I2041+L2041*(1-'Inputs'!$B$17)</x:f>
        <x:v>0.5158095364435309</x:v>
      </x:c>
      <x:c r="Q2041" s="78" t="n">
        <x:f>IF(J2041&gt;0,M2041/J2041,0)</x:f>
        <x:v>10568000479.526854</x:v>
      </x:c>
      <x:c r="R2041" s="78" t="n">
        <x:f>IF(B2041='Inputs'!$H$49,'Inputs'!$B$27*'Inputs'!$I$49,0)</x:f>
        <x:v>0</x:v>
      </x:c>
      <x:c r="S2041" s="78" t="n">
        <x:f>Q2041+G2041+R2041</x:f>
        <x:v>10568836262.27221</x:v>
      </x:c>
      <x:c r="T2041" s="78" t="n">
        <x:f>P2041*(S2041*(1-'Inputs'!$B$15))/(O2041+S2041*(1-'Inputs'!$B$15))</x:f>
        <x:v>0.02200091396210369</x:v>
      </x:c>
      <x:c r="U2041" s="78" t="n">
        <x:f>O2041+S2041*(1-'Inputs'!$B$17)</x:f>
        <x:v>245370760834.65054</x:v>
      </x:c>
      <x:c r="V2041" s="78" t="n">
        <x:f>P2041-T2041</x:f>
        <x:v>0.4938086224814272</x:v>
      </x:c>
      <x:c r="W2041" s="79" t="n">
        <x:f>IF(U2041&gt;0,V2041/U2041,0)</x:f>
        <x:v>2.012499862663722e-12</x:v>
      </x:c>
      <x:c r="X2041" s="80" t="n">
        <x:f>W2041*('Inputs'!$B$6-AC2041)</x:f>
        <x:v>-0.03221471942479371</x:v>
      </x:c>
      <x:c r="Y2041" s="80" t="n">
        <x:f>2*V2041</x:f>
        <x:v>0.9876172449628544</x:v>
      </x:c>
      <x:c r="Z2041" s="80" t="n">
        <x:f>K2041*'Inputs'!$B$16+(G2041+R2041)*J2041*'Inputs'!$B$16</x:f>
        <x:v>0.004642296842210792</x:v>
      </x:c>
      <x:c r="AA2041" s="80" t="n">
        <x:f>K2041*(1+'Inputs'!$E$49)/2*'Inputs'!$B$17</x:f>
        <x:v>0.0015100661479383048</x:v>
      </x:c>
      <x:c r="AB2041" s="78" t="n">
        <x:f>(IF(J2041&gt;0,K2041*(1-'Inputs'!$E$49)/2/J2041,0)+G2041+R2041)*'Inputs'!$B$17</x:f>
        <x:v>730053027.5571684</x:v>
      </x:c>
      <x:c r="AC2041" s="78" t="n">
        <x:f>AC2040+AB2041</x:f>
        <x:v>17007315092.262749</x:v>
      </x:c>
      <x:c r="AD2041" s="80" t="n">
        <x:f>Z2041/(1+'Inputs'!$C$49)</x:f>
        <x:v>0.001160574210552698</x:v>
      </x:c>
      <x:c r="AE2041" s="80" t="n">
        <x:f>Z2041-AD2041</x:f>
        <x:v>0.0034817226316580943</x:v>
      </x:c>
      <x:c r="AF2041" s="80" t="n">
        <x:f>D2041*W2041</x:f>
        <x:v>5.545019647635546e-7</x:v>
      </x:c>
      <x:c r="AG2041" s="80" t="n">
        <x:f>C2041*W2041</x:f>
        <x:v>0.0000012938379177816575</x:v>
      </x:c>
      <x:c r="AH2041" s="80" t="n">
        <x:f>2*'Inputs'!$B$8*'Inputs'!$C$49</x:f>
        <x:v>15000</x:v>
      </x:c>
      <x:c r="AI2041" s="81" t="n">
        <x:f>IF(AH2041&gt;0,(AE2041+AF2041)/AH2041*365,0)</x:f>
        <x:v>0.00008473541025148954</x:v>
      </x:c>
      <x:c r="AJ2041" s="81" t="n">
        <x:f>IF('Inputs'!$B$49&gt;0,AG2041/('Inputs'!$B$19*'Inputs'!$B$49)*365,0)</x:f>
        <x:v>4.722508399903049e-8</x:v>
      </x:c>
      <x:c r="AK2041" s="81" t="n">
        <x:f>W2041/MAX($W$1829:W2041)-1</x:f>
        <x:v>-0.9999999974073064</x:v>
      </x:c>
      <x:c r="AL2041" s="83" t="n">
        <x:f>'Inputs'!$B$49</x:f>
        <x:v>1</x:v>
      </x:c>
      <x:c r="AM2041" s="83" t="n">
        <x:f>'Inputs'!$C$49</x:f>
        <x:v>3</x:v>
      </x:c>
      <x:c r="AN2041" s="83" t="n">
        <x:f>'Inputs'!$D$49</x:f>
        <x:v>0.75</x:v>
      </x:c>
      <x:c r="AO2041" s="81" t="n">
        <x:f>'Inputs'!$E$49</x:f>
        <x:v>-0.03</x:v>
      </x:c>
    </x:row>
    <x:row r="2042">
      <x:c r="A2042" s="59" t="str">
        <x:v>Mercenary LP</x:v>
      </x:c>
      <x:c r="B2042" s="59" t="n">
        <x:v>214</x:v>
      </x:c>
      <x:c r="C2042" s="78" t="n">
        <x:f>(('Inputs'!$B$29*(3*214*'Inputs'!$B$12-214^2)/(2*'Inputs'!$B$12^2))-('Inputs'!$B$29*(3*213*'Inputs'!$B$12-213^2)/(2*'Inputs'!$B$12^2)))*'Inputs'!$B$49</x:f>
        <x:v>642575.764683783</x:v>
      </x:c>
      <x:c r="D2042" s="78" t="n">
        <x:f>IF('Inputs'!$C$49&gt;0,('Inputs'!$B$30*(3*214*'Inputs'!$B$12-214^2)/(2*'Inputs'!$B$12^2))-('Inputs'!$B$30*(3*213*'Inputs'!$B$12-213^2)/(2*'Inputs'!$B$12^2)),0)</x:f>
        <x:v>275389.6134359166</x:v>
      </x:c>
      <x:c r="E2042" s="78" t="n">
        <x:f>C2042+D2042</x:f>
        <x:v>917965.3781196997</x:v>
      </x:c>
      <x:c r="F2042" s="78" t="n">
        <x:f>'Inputs'!$B$13*E2042+(1-'Inputs'!$B$13)/'Inputs'!$B$14*SUM(E1987:E2042)</x:f>
        <x:v>928183.0549821684</x:v>
      </x:c>
      <x:c r="G2042" s="78" t="n">
        <x:f>F2042*'Inputs'!$F$49</x:f>
        <x:v>835364.7494839516</x:v>
      </x:c>
      <x:c r="H2042" s="78" t="n">
        <x:f>U2041</x:f>
        <x:v>245370760834.65054</x:v>
      </x:c>
      <x:c r="I2042" s="78" t="n">
        <x:f>V2041</x:f>
        <x:v>0.4938086224814272</x:v>
      </x:c>
      <x:c r="J2042" s="79" t="n">
        <x:f>IF(H2042&gt;0,I2042/H2042,0)</x:f>
        <x:v>2.012499862663722e-12</x:v>
      </x:c>
      <x:c r="K2042" s="80" t="n">
        <x:f>(H2042*J2042+I2042)*'Inputs'!$D$49*(1+'Inputs'!$G$49)^(B2042/30)</x:f>
        <x:v>0.7407129337221408</x:v>
      </x:c>
      <x:c r="L2042" s="80" t="n">
        <x:f>MAX(0,K2042*'Inputs'!$E$49)</x:f>
        <x:v>0</x:v>
      </x:c>
      <x:c r="M2042" s="80" t="n">
        <x:f>MAX(0,-K2042*'Inputs'!$E$49)</x:f>
        <x:v>0.022221388011664223</x:v>
      </x:c>
      <x:c r="N2042" s="78" t="n">
        <x:f>H2042*(L2042*(1-'Inputs'!$B$15))/(I2042+L2042*(1-'Inputs'!$B$15))</x:f>
        <x:v>0</x:v>
      </x:c>
      <x:c r="O2042" s="78" t="n">
        <x:f>H2042-N2042</x:f>
        <x:v>245370760834.65054</x:v>
      </x:c>
      <x:c r="P2042" s="78" t="n">
        <x:f>I2042+L2042*(1-'Inputs'!$B$17)</x:f>
        <x:v>0.4938086224814272</x:v>
      </x:c>
      <x:c r="Q2042" s="78" t="n">
        <x:f>IF(J2042&gt;0,M2042/J2042,0)</x:f>
        <x:v>11041684237.559275</x:v>
      </x:c>
      <x:c r="R2042" s="78" t="n">
        <x:f>IF(B2042='Inputs'!$H$49,'Inputs'!$B$27*'Inputs'!$I$49,0)</x:f>
        <x:v>0</x:v>
      </x:c>
      <x:c r="S2042" s="78" t="n">
        <x:f>Q2042+G2042+R2042</x:f>
        <x:v>11042519602.308758</x:v>
      </x:c>
      <x:c r="T2042" s="78" t="n">
        <x:f>P2042*(S2042*(1-'Inputs'!$B$15))/(O2042+S2042*(1-'Inputs'!$B$15))</x:f>
        <x:v>0.02106243597844487</x:v>
      </x:c>
      <x:c r="U2042" s="78" t="n">
        <x:f>O2042+S2042*(1-'Inputs'!$B$17)</x:f>
        <x:v>256368843738.35846</x:v>
      </x:c>
      <x:c r="V2042" s="78" t="n">
        <x:f>P2042-T2042</x:f>
        <x:v>0.47274618650298234</x:v>
      </x:c>
      <x:c r="W2042" s="79" t="n">
        <x:f>IF(U2042&gt;0,V2042/U2042,0)</x:f>
        <x:v>1.844007952017178e-12</x:v>
      </x:c>
      <x:c r="X2042" s="80" t="n">
        <x:f>W2042*('Inputs'!$B$6-AC2042)</x:f>
        <x:v>-0.030924180677988775</x:v>
      </x:c>
      <x:c r="Y2042" s="80" t="n">
        <x:f>2*V2042</x:f>
        <x:v>0.9454923730059647</x:v>
      </x:c>
      <x:c r="Z2042" s="80" t="n">
        <x:f>K2042*'Inputs'!$B$16+(G2042+R2042)*J2042*'Inputs'!$B$16</x:f>
        <x:v>0.004444287689361507</x:v>
      </x:c>
      <x:c r="AA2042" s="80" t="n">
        <x:f>K2042*(1+'Inputs'!$E$49)/2*'Inputs'!$B$17</x:f>
        <x:v>0.0014456570336226892</x:v>
      </x:c>
      <x:c r="AB2042" s="78" t="n">
        <x:f>(IF(J2042&gt;0,K2042*(1-'Inputs'!$E$49)/2/J2042,0)+G2042+R2042)*'Inputs'!$B$17</x:f>
        <x:v>762775646.315964</x:v>
      </x:c>
      <x:c r="AC2042" s="78" t="n">
        <x:f>AC2041+AB2042</x:f>
        <x:v>17770090738.578712</x:v>
      </x:c>
      <x:c r="AD2042" s="80" t="n">
        <x:f>Z2042/(1+'Inputs'!$C$49)</x:f>
        <x:v>0.0011110719223403768</x:v>
      </x:c>
      <x:c r="AE2042" s="80" t="n">
        <x:f>Z2042-AD2042</x:f>
        <x:v>0.0033332157670211303</x:v>
      </x:c>
      <x:c r="AF2042" s="80" t="n">
        <x:f>D2042*W2042</x:f>
        <x:v>5.078206370787669e-7</x:v>
      </x:c>
      <x:c r="AG2042" s="80" t="n">
        <x:f>C2042*W2042</x:f>
        <x:v>0.0000011849148198504149</x:v>
      </x:c>
      <x:c r="AH2042" s="80" t="n">
        <x:f>2*'Inputs'!$B$8*'Inputs'!$C$49</x:f>
        <x:v>15000</x:v>
      </x:c>
      <x:c r="AI2042" s="81" t="n">
        <x:f>IF(AH2042&gt;0,(AE2042+AF2042)/AH2042*365,0)</x:f>
        <x:v>0.00008112060729968309</x:v>
      </x:c>
      <x:c r="AJ2042" s="81" t="n">
        <x:f>IF('Inputs'!$B$49&gt;0,AG2042/('Inputs'!$B$19*'Inputs'!$B$49)*365,0)</x:f>
        <x:v>4.324939092454014e-8</x:v>
      </x:c>
      <x:c r="AK2042" s="81" t="n">
        <x:f>W2042/MAX($W$1829:W2042)-1</x:f>
        <x:v>-0.9999999976243736</x:v>
      </x:c>
      <x:c r="AL2042" s="83" t="n">
        <x:f>'Inputs'!$B$49</x:f>
        <x:v>1</x:v>
      </x:c>
      <x:c r="AM2042" s="83" t="n">
        <x:f>'Inputs'!$C$49</x:f>
        <x:v>3</x:v>
      </x:c>
      <x:c r="AN2042" s="83" t="n">
        <x:f>'Inputs'!$D$49</x:f>
        <x:v>0.75</x:v>
      </x:c>
      <x:c r="AO2042" s="81" t="n">
        <x:f>'Inputs'!$E$49</x:f>
        <x:v>-0.03</x:v>
      </x:c>
    </x:row>
    <x:row r="2043">
      <x:c r="A2043" s="59" t="str">
        <x:v>Mercenary LP</x:v>
      </x:c>
      <x:c r="B2043" s="59" t="n">
        <x:v>215</x:v>
      </x:c>
      <x:c r="C2043" s="78" t="n">
        <x:f>(('Inputs'!$B$29*(3*215*'Inputs'!$B$12-215^2)/(2*'Inputs'!$B$12^2))-('Inputs'!$B$29*(3*214*'Inputs'!$B$12-214^2)/(2*'Inputs'!$B$12^2)))*'Inputs'!$B$49</x:f>
        <x:v>642250.6567836404</x:v>
      </x:c>
      <x:c r="D2043" s="78" t="n">
        <x:f>IF('Inputs'!$C$49&gt;0,('Inputs'!$B$30*(3*215*'Inputs'!$B$12-215^2)/(2*'Inputs'!$B$12^2))-('Inputs'!$B$30*(3*214*'Inputs'!$B$12-214^2)/(2*'Inputs'!$B$12^2)),0)</x:f>
        <x:v>275250.281478703</x:v>
      </x:c>
      <x:c r="E2043" s="78" t="n">
        <x:f>C2043+D2043</x:f>
        <x:v>917500.9382623434</x:v>
      </x:c>
      <x:c r="F2043" s="78" t="n">
        <x:f>'Inputs'!$B$13*E2043+(1-'Inputs'!$B$13)/'Inputs'!$B$14*SUM(E1988:E2043)</x:f>
        <x:v>927718.6151247899</x:v>
      </x:c>
      <x:c r="G2043" s="78" t="n">
        <x:f>F2043*'Inputs'!$F$49</x:f>
        <x:v>834946.7536123109</x:v>
      </x:c>
      <x:c r="H2043" s="78" t="n">
        <x:f>U2042</x:f>
        <x:v>256368843738.35846</x:v>
      </x:c>
      <x:c r="I2043" s="78" t="n">
        <x:f>V2042</x:f>
        <x:v>0.47274618650298234</x:v>
      </x:c>
      <x:c r="J2043" s="79" t="n">
        <x:f>IF(H2043&gt;0,I2043/H2043,0)</x:f>
        <x:v>1.844007952017178e-12</x:v>
      </x:c>
      <x:c r="K2043" s="80" t="n">
        <x:f>(H2043*J2043+I2043)*'Inputs'!$D$49*(1+'Inputs'!$G$49)^(B2043/30)</x:f>
        <x:v>0.7091192797544735</x:v>
      </x:c>
      <x:c r="L2043" s="80" t="n">
        <x:f>MAX(0,K2043*'Inputs'!$E$49)</x:f>
        <x:v>0</x:v>
      </x:c>
      <x:c r="M2043" s="80" t="n">
        <x:f>MAX(0,-K2043*'Inputs'!$E$49)</x:f>
        <x:v>0.021273578392634204</x:v>
      </x:c>
      <x:c r="N2043" s="78" t="n">
        <x:f>H2043*(L2043*(1-'Inputs'!$B$15))/(I2043+L2043*(1-'Inputs'!$B$15))</x:f>
        <x:v>0</x:v>
      </x:c>
      <x:c r="O2043" s="78" t="n">
        <x:f>H2043-N2043</x:f>
        <x:v>256368843738.35846</x:v>
      </x:c>
      <x:c r="P2043" s="78" t="n">
        <x:f>I2043+L2043*(1-'Inputs'!$B$17)</x:f>
        <x:v>0.47274618650298234</x:v>
      </x:c>
      <x:c r="Q2043" s="78" t="n">
        <x:f>IF(J2043&gt;0,M2043/J2043,0)</x:f>
        <x:v>11536597968.226131</x:v>
      </x:c>
      <x:c r="R2043" s="78" t="n">
        <x:f>IF(B2043='Inputs'!$H$49,'Inputs'!$B$27*'Inputs'!$I$49,0)</x:f>
        <x:v>0</x:v>
      </x:c>
      <x:c r="S2043" s="78" t="n">
        <x:f>Q2043+G2043+R2043</x:f>
        <x:v>11537432914.979744</x:v>
      </x:c>
      <x:c r="T2043" s="78" t="n">
        <x:f>P2043*(S2043*(1-'Inputs'!$B$15))/(O2043+S2043*(1-'Inputs'!$B$15))</x:f>
        <x:v>0.020163995832568726</x:v>
      </x:c>
      <x:c r="U2043" s="78" t="n">
        <x:f>O2043+S2043*(1-'Inputs'!$B$17)</x:f>
        <x:v>267859848351.86948</x:v>
      </x:c>
      <x:c r="V2043" s="78" t="n">
        <x:f>P2043-T2043</x:f>
        <x:v>0.4525821906704136</x:v>
      </x:c>
      <x:c r="W2043" s="79" t="n">
        <x:f>IF(U2043&gt;0,V2043/U2043,0)</x:f>
        <x:v>1.6896231124415735e-12</x:v>
      </x:c>
      <x:c r="X2043" s="80" t="n">
        <x:f>W2043*('Inputs'!$B$6-AC2043)</x:f>
        <x:v>-0.02968170315027295</x:v>
      </x:c>
      <x:c r="Y2043" s="80" t="n">
        <x:f>2*V2043</x:f>
        <x:v>0.9051643813408272</x:v>
      </x:c>
      <x:c r="Z2043" s="80" t="n">
        <x:f>K2043*'Inputs'!$B$16+(G2043+R2043)*J2043*'Inputs'!$B$16</x:f>
        <x:v>0.00425472491641756</x:v>
      </x:c>
      <x:c r="AA2043" s="80" t="n">
        <x:f>K2043*(1+'Inputs'!$E$49)/2*'Inputs'!$B$17</x:f>
        <x:v>0.00138399537497352</x:v>
      </x:c>
      <x:c r="AB2043" s="78" t="n">
        <x:f>(IF(J2043&gt;0,K2043*(1-'Inputs'!$E$49)/2/J2043,0)+G2043+R2043)*'Inputs'!$B$17</x:f>
        <x:v>796964856.0749922</x:v>
      </x:c>
      <x:c r="AC2043" s="78" t="n">
        <x:f>AC2042+AB2043</x:f>
        <x:v>18567055594.653706</x:v>
      </x:c>
      <x:c r="AD2043" s="80" t="n">
        <x:f>Z2043/(1+'Inputs'!$C$49)</x:f>
        <x:v>0.00106368122910439</x:v>
      </x:c>
      <x:c r="AE2043" s="80" t="n">
        <x:f>Z2043-AD2043</x:f>
        <x:v>0.00319104368731317</x:v>
      </x:c>
      <x:c r="AF2043" s="80" t="n">
        <x:f>D2043*W2043</x:f>
        <x:v>4.650692372924654e-7</x:v>
      </x:c>
      <x:c r="AG2043" s="80" t="n">
        <x:f>C2043*W2043</x:f>
        <x:v>0.0000010851615536824193</x:v>
      </x:c>
      <x:c r="AH2043" s="80" t="n">
        <x:f>2*'Inputs'!$B$8*'Inputs'!$C$49</x:f>
        <x:v>15000</x:v>
      </x:c>
      <x:c r="AI2043" s="81" t="n">
        <x:f>IF(AH2043&gt;0,(AE2043+AF2043)/AH2043*365,0)</x:f>
        <x:v>0.00007766004640939458</x:v>
      </x:c>
      <x:c r="AJ2043" s="81" t="n">
        <x:f>IF('Inputs'!$B$49&gt;0,AG2043/('Inputs'!$B$19*'Inputs'!$B$49)*365,0)</x:f>
        <x:v>3.9608396709408305e-8</x:v>
      </x:c>
      <x:c r="AK2043" s="81" t="n">
        <x:f>W2043/MAX($W$1829:W2043)-1</x:f>
        <x:v>-0.9999999978232669</x:v>
      </x:c>
      <x:c r="AL2043" s="83" t="n">
        <x:f>'Inputs'!$B$49</x:f>
        <x:v>1</x:v>
      </x:c>
      <x:c r="AM2043" s="83" t="n">
        <x:f>'Inputs'!$C$49</x:f>
        <x:v>3</x:v>
      </x:c>
      <x:c r="AN2043" s="83" t="n">
        <x:f>'Inputs'!$D$49</x:f>
        <x:v>0.75</x:v>
      </x:c>
      <x:c r="AO2043" s="81" t="n">
        <x:f>'Inputs'!$E$49</x:f>
        <x:v>-0.03</x:v>
      </x:c>
    </x:row>
    <x:row r="2044">
      <x:c r="A2044" s="59" t="str">
        <x:v>Mercenary LP</x:v>
      </x:c>
      <x:c r="B2044" s="59" t="n">
        <x:v>216</x:v>
      </x:c>
      <x:c r="C2044" s="78" t="n">
        <x:f>(('Inputs'!$B$29*(3*216*'Inputs'!$B$12-216^2)/(2*'Inputs'!$B$12^2))-('Inputs'!$B$29*(3*215*'Inputs'!$B$12-215^2)/(2*'Inputs'!$B$12^2)))*'Inputs'!$B$49</x:f>
        <x:v>641925.5488834679</x:v>
      </x:c>
      <x:c r="D2044" s="78" t="n">
        <x:f>IF('Inputs'!$C$49&gt;0,('Inputs'!$B$30*(3*216*'Inputs'!$B$12-216^2)/(2*'Inputs'!$B$12^2))-('Inputs'!$B$30*(3*215*'Inputs'!$B$12-215^2)/(2*'Inputs'!$B$12^2)),0)</x:f>
        <x:v>275110.94952148944</x:v>
      </x:c>
      <x:c r="E2044" s="78" t="n">
        <x:f>C2044+D2044</x:f>
        <x:v>917036.4984049574</x:v>
      </x:c>
      <x:c r="F2044" s="78" t="n">
        <x:f>'Inputs'!$B$13*E2044+(1-'Inputs'!$B$13)/'Inputs'!$B$14*SUM(E1989:E2044)</x:f>
        <x:v>927254.1752674056</x:v>
      </x:c>
      <x:c r="G2044" s="78" t="n">
        <x:f>F2044*'Inputs'!$F$49</x:f>
        <x:v>834528.757740665</x:v>
      </x:c>
      <x:c r="H2044" s="78" t="n">
        <x:f>U2043</x:f>
        <x:v>267859848351.86948</x:v>
      </x:c>
      <x:c r="I2044" s="78" t="n">
        <x:f>V2043</x:f>
        <x:v>0.4525821906704136</x:v>
      </x:c>
      <x:c r="J2044" s="79" t="n">
        <x:f>IF(H2044&gt;0,I2044/H2044,0)</x:f>
        <x:v>1.6896231124415735e-12</x:v>
      </x:c>
      <x:c r="K2044" s="80" t="n">
        <x:f>(H2044*J2044+I2044)*'Inputs'!$D$49*(1+'Inputs'!$G$49)^(B2044/30)</x:f>
        <x:v>0.6788732860056204</x:v>
      </x:c>
      <x:c r="L2044" s="80" t="n">
        <x:f>MAX(0,K2044*'Inputs'!$E$49)</x:f>
        <x:v>0</x:v>
      </x:c>
      <x:c r="M2044" s="80" t="n">
        <x:f>MAX(0,-K2044*'Inputs'!$E$49)</x:f>
        <x:v>0.02036619858016861</x:v>
      </x:c>
      <x:c r="N2044" s="78" t="n">
        <x:f>H2044*(L2044*(1-'Inputs'!$B$15))/(I2044+L2044*(1-'Inputs'!$B$15))</x:f>
        <x:v>0</x:v>
      </x:c>
      <x:c r="O2044" s="78" t="n">
        <x:f>H2044-N2044</x:f>
        <x:v>267859848351.86948</x:v>
      </x:c>
      <x:c r="P2044" s="78" t="n">
        <x:f>I2044+L2044*(1-'Inputs'!$B$17)</x:f>
        <x:v>0.4525821906704136</x:v>
      </x:c>
      <x:c r="Q2044" s="78" t="n">
        <x:f>IF(J2044&gt;0,M2044/J2044,0)</x:f>
        <x:v>12053693175.834126</x:v>
      </x:c>
      <x:c r="R2044" s="78" t="n">
        <x:f>IF(B2044='Inputs'!$H$49,'Inputs'!$B$27*'Inputs'!$I$49,0)</x:f>
        <x:v>0</x:v>
      </x:c>
      <x:c r="S2044" s="78" t="n">
        <x:f>Q2044+G2044+R2044</x:f>
        <x:v>12054527704.591866</x:v>
      </x:c>
      <x:c r="T2044" s="78" t="n">
        <x:f>P2044*(S2044*(1-'Inputs'!$B$15))/(O2044+S2044*(1-'Inputs'!$B$15))</x:f>
        <x:v>0.019303884919246502</x:v>
      </x:c>
      <x:c r="U2044" s="78" t="n">
        <x:f>O2044+S2044*(1-'Inputs'!$B$17)</x:f>
        <x:v>279865866890.6481</x:v>
      </x:c>
      <x:c r="V2044" s="78" t="n">
        <x:f>P2044-T2044</x:f>
        <x:v>0.4332783057511671</x:v>
      </x:c>
      <x:c r="W2044" s="79" t="n">
        <x:f>IF(U2044&gt;0,V2044/U2044,0)</x:f>
        <x:v>1.5481641636579492e-12</x:v>
      </x:c>
      <x:c r="X2044" s="80" t="n">
        <x:f>W2044*('Inputs'!$B$6-AC2044)</x:f>
        <x:v>-0.02848582115786398</x:v>
      </x:c>
      <x:c r="Y2044" s="80" t="n">
        <x:f>2*V2044</x:f>
        <x:v>0.8665566115023342</x:v>
      </x:c>
      <x:c r="Z2044" s="80" t="n">
        <x:f>K2044*'Inputs'!$B$16+(G2044+R2044)*J2044*'Inputs'!$B$16</x:f>
        <x:v>0.004073248176268185</x:v>
      </x:c>
      <x:c r="AA2044" s="80" t="n">
        <x:f>K2044*(1+'Inputs'!$E$49)/2*'Inputs'!$B$17</x:f>
        <x:v>0.0013249639586025187</x:v>
      </x:c>
      <x:c r="AB2044" s="78" t="n">
        <x:f>(IF(J2044&gt;0,K2044*(1-'Inputs'!$E$49)/2/J2044,0)+G2044+R2044)*'Inputs'!$B$17</x:f>
        <x:v>832686387.8494042</x:v>
      </x:c>
      <x:c r="AC2044" s="78" t="n">
        <x:f>AC2043+AB2044</x:f>
        <x:v>19399741982.50311</x:v>
      </x:c>
      <x:c r="AD2044" s="80" t="n">
        <x:f>Z2044/(1+'Inputs'!$C$49)</x:f>
        <x:v>0.0010183120440670462</x:v>
      </x:c>
      <x:c r="AE2044" s="80" t="n">
        <x:f>Z2044-AD2044</x:f>
        <x:v>0.0030549361322011383</x:v>
      </x:c>
      <x:c r="AF2044" s="80" t="n">
        <x:f>D2044*W2044</x:f>
        <x:v>4.2591691307908097e-7</x:v>
      </x:c>
      <x:c r="AG2044" s="80" t="n">
        <x:f>C2044*W2044</x:f>
        <x:v>9.93806130517844e-7</x:v>
      </x:c>
      <x:c r="AH2044" s="80" t="n">
        <x:f>2*'Inputs'!$B$8*'Inputs'!$C$49</x:f>
        <x:v>15000</x:v>
      </x:c>
      <x:c r="AI2044" s="81" t="n">
        <x:f>IF(AH2044&gt;0,(AE2044+AF2044)/AH2044*365,0)</x:f>
        <x:v>0.00007434714319511261</x:v>
      </x:c>
      <x:c r="AJ2044" s="81" t="n">
        <x:f>IF('Inputs'!$B$49&gt;0,AG2044/('Inputs'!$B$19*'Inputs'!$B$49)*365,0)</x:f>
        <x:v>3.627392376390131e-8</x:v>
      </x:c>
      <x:c r="AK2044" s="81" t="n">
        <x:f>W2044/MAX($W$1829:W2044)-1</x:f>
        <x:v>-0.9999999980055078</x:v>
      </x:c>
      <x:c r="AL2044" s="83" t="n">
        <x:f>'Inputs'!$B$49</x:f>
        <x:v>1</x:v>
      </x:c>
      <x:c r="AM2044" s="83" t="n">
        <x:f>'Inputs'!$C$49</x:f>
        <x:v>3</x:v>
      </x:c>
      <x:c r="AN2044" s="83" t="n">
        <x:f>'Inputs'!$D$49</x:f>
        <x:v>0.75</x:v>
      </x:c>
      <x:c r="AO2044" s="81" t="n">
        <x:f>'Inputs'!$E$49</x:f>
        <x:v>-0.03</x:v>
      </x:c>
    </x:row>
    <x:row r="2045">
      <x:c r="A2045" s="59" t="str">
        <x:v>Mercenary LP</x:v>
      </x:c>
      <x:c r="B2045" s="59" t="n">
        <x:v>217</x:v>
      </x:c>
      <x:c r="C2045" s="78" t="n">
        <x:f>(('Inputs'!$B$29*(3*217*'Inputs'!$B$12-217^2)/(2*'Inputs'!$B$12^2))-('Inputs'!$B$29*(3*216*'Inputs'!$B$12-216^2)/(2*'Inputs'!$B$12^2)))*'Inputs'!$B$49</x:f>
        <x:v>641600.4409832954</x:v>
      </x:c>
      <x:c r="D2045" s="78" t="n">
        <x:f>IF('Inputs'!$C$49&gt;0,('Inputs'!$B$30*(3*217*'Inputs'!$B$12-217^2)/(2*'Inputs'!$B$12^2))-('Inputs'!$B$30*(3*216*'Inputs'!$B$12-216^2)/(2*'Inputs'!$B$12^2)),0)</x:f>
        <x:v>274971.6175642684</x:v>
      </x:c>
      <x:c r="E2045" s="78" t="n">
        <x:f>C2045+D2045</x:f>
        <x:v>916572.0585475639</x:v>
      </x:c>
      <x:c r="F2045" s="78" t="n">
        <x:f>'Inputs'!$B$13*E2045+(1-'Inputs'!$B$13)/'Inputs'!$B$14*SUM(E1990:E2045)</x:f>
        <x:v>926789.7354100194</x:v>
      </x:c>
      <x:c r="G2045" s="78" t="n">
        <x:f>F2045*'Inputs'!$F$49</x:f>
        <x:v>834110.7618690175</x:v>
      </x:c>
      <x:c r="H2045" s="78" t="n">
        <x:f>U2044</x:f>
        <x:v>279865866890.6481</x:v>
      </x:c>
      <x:c r="I2045" s="78" t="n">
        <x:f>V2044</x:f>
        <x:v>0.4332783057511671</x:v>
      </x:c>
      <x:c r="J2045" s="79" t="n">
        <x:f>IF(H2045&gt;0,I2045/H2045,0)</x:f>
        <x:v>1.5481641636579492e-12</x:v>
      </x:c>
      <x:c r="K2045" s="80" t="n">
        <x:f>(H2045*J2045+I2045)*'Inputs'!$D$49*(1+'Inputs'!$G$49)^(B2045/30)</x:f>
        <x:v>0.6499174586267507</x:v>
      </x:c>
      <x:c r="L2045" s="80" t="n">
        <x:f>MAX(0,K2045*'Inputs'!$E$49)</x:f>
        <x:v>0</x:v>
      </x:c>
      <x:c r="M2045" s="80" t="n">
        <x:f>MAX(0,-K2045*'Inputs'!$E$49)</x:f>
        <x:v>0.01949752375880252</x:v>
      </x:c>
      <x:c r="N2045" s="78" t="n">
        <x:f>H2045*(L2045*(1-'Inputs'!$B$15))/(I2045+L2045*(1-'Inputs'!$B$15))</x:f>
        <x:v>0</x:v>
      </x:c>
      <x:c r="O2045" s="78" t="n">
        <x:f>H2045-N2045</x:f>
        <x:v>279865866890.6481</x:v>
      </x:c>
      <x:c r="P2045" s="78" t="n">
        <x:f>I2045+L2045*(1-'Inputs'!$B$17)</x:f>
        <x:v>0.4332783057511671</x:v>
      </x:c>
      <x:c r="Q2045" s="78" t="n">
        <x:f>IF(J2045&gt;0,M2045/J2045,0)</x:f>
        <x:v>12593964010.079165</x:v>
      </x:c>
      <x:c r="R2045" s="78" t="n">
        <x:f>IF(B2045='Inputs'!$H$49,'Inputs'!$B$27*'Inputs'!$I$49,0)</x:f>
        <x:v>0</x:v>
      </x:c>
      <x:c r="S2045" s="78" t="n">
        <x:f>Q2045+G2045+R2045</x:f>
        <x:v>12594798120.841034</x:v>
      </x:c>
      <x:c r="T2045" s="78" t="n">
        <x:f>P2045*(S2045*(1-'Inputs'!$B$15))/(O2045+S2045*(1-'Inputs'!$B$15))</x:f>
        <x:v>0.018480467588820885</x:v>
      </x:c>
      <x:c r="U2045" s="78" t="n">
        <x:f>O2045+S2045*(1-'Inputs'!$B$17)</x:f>
        <x:v>292409981719.2523</x:v>
      </x:c>
      <x:c r="V2045" s="78" t="n">
        <x:f>P2045-T2045</x:f>
        <x:v>0.4147978381623462</x:v>
      </x:c>
      <x:c r="W2045" s="79" t="n">
        <x:f>IF(U2045&gt;0,V2045/U2045,0)</x:f>
        <x:v>1.4185488324423907e-12</x:v>
      </x:c>
      <x:c r="X2045" s="80" t="n">
        <x:f>W2045*('Inputs'!$B$6-AC2045)</x:f>
        <x:v>-0.02733508264228224</x:v>
      </x:c>
      <x:c r="Y2045" s="80" t="n">
        <x:f>2*V2045</x:f>
        <x:v>0.8295956763246924</x:v>
      </x:c>
      <x:c r="Z2045" s="80" t="n">
        <x:f>K2045*'Inputs'!$B$16+(G2045+R2045)*J2045*'Inputs'!$B$16</x:f>
        <x:v>0.003899512499802844</x:v>
      </x:c>
      <x:c r="AA2045" s="80" t="n">
        <x:f>K2045*(1+'Inputs'!$E$49)/2*'Inputs'!$B$17</x:f>
        <x:v>0.001268450573174946</x:v>
      </x:c>
      <x:c r="AB2045" s="78" t="n">
        <x:f>(IF(J2045&gt;0,K2045*(1-'Inputs'!$E$49)/2/J2045,0)+G2045+R2045)*'Inputs'!$B$17</x:f>
        <x:v>870008918.6470323</x:v>
      </x:c>
      <x:c r="AC2045" s="78" t="n">
        <x:f>AC2044+AB2045</x:f>
        <x:v>20269750901.150143</x:v>
      </x:c>
      <x:c r="AD2045" s="80" t="n">
        <x:f>Z2045/(1+'Inputs'!$C$49)</x:f>
        <x:v>0.000974878124950711</x:v>
      </x:c>
      <x:c r="AE2045" s="80" t="n">
        <x:f>Z2045-AD2045</x:f>
        <x:v>0.002924634374852133</x:v>
      </x:c>
      <x:c r="AF2045" s="80" t="n">
        <x:f>D2045*W2045</x:f>
        <x:v>3.9006066705058854e-7</x:v>
      </x:c>
      <x:c r="AG2045" s="80" t="n">
        <x:f>C2045*W2045</x:f>
        <x:v>9.101415564513767e-7</x:v>
      </x:c>
      <x:c r="AH2045" s="80" t="n">
        <x:f>2*'Inputs'!$B$8*'Inputs'!$C$49</x:f>
        <x:v>15000</x:v>
      </x:c>
      <x:c r="AI2045" s="81" t="n">
        <x:f>IF(AH2045&gt;0,(AE2045+AF2045)/AH2045*365,0)</x:f>
        <x:v>0.00007117559459763347</x:v>
      </x:c>
      <x:c r="AJ2045" s="81" t="n">
        <x:f>IF('Inputs'!$B$49&gt;0,AG2045/('Inputs'!$B$19*'Inputs'!$B$49)*365,0)</x:f>
        <x:v>3.3220166810475246e-8</x:v>
      </x:c>
      <x:c r="AK2045" s="81" t="n">
        <x:f>W2045/MAX($W$1829:W2045)-1</x:f>
        <x:v>-0.9999999981724905</x:v>
      </x:c>
      <x:c r="AL2045" s="83" t="n">
        <x:f>'Inputs'!$B$49</x:f>
        <x:v>1</x:v>
      </x:c>
      <x:c r="AM2045" s="83" t="n">
        <x:f>'Inputs'!$C$49</x:f>
        <x:v>3</x:v>
      </x:c>
      <x:c r="AN2045" s="83" t="n">
        <x:f>'Inputs'!$D$49</x:f>
        <x:v>0.75</x:v>
      </x:c>
      <x:c r="AO2045" s="81" t="n">
        <x:f>'Inputs'!$E$49</x:f>
        <x:v>-0.03</x:v>
      </x:c>
    </x:row>
    <x:row r="2046">
      <x:c r="A2046" s="59" t="str">
        <x:v>Mercenary LP</x:v>
      </x:c>
      <x:c r="B2046" s="59" t="n">
        <x:v>218</x:v>
      </x:c>
      <x:c r="C2046" s="78" t="n">
        <x:f>(('Inputs'!$B$29*(3*218*'Inputs'!$B$12-218^2)/(2*'Inputs'!$B$12^2))-('Inputs'!$B$29*(3*217*'Inputs'!$B$12-217^2)/(2*'Inputs'!$B$12^2)))*'Inputs'!$B$49</x:f>
        <x:v>641275.3330831528</x:v>
      </x:c>
      <x:c r="D2046" s="78" t="n">
        <x:f>IF('Inputs'!$C$49&gt;0,('Inputs'!$B$30*(3*218*'Inputs'!$B$12-218^2)/(2*'Inputs'!$B$12^2))-('Inputs'!$B$30*(3*217*'Inputs'!$B$12-217^2)/(2*'Inputs'!$B$12^2)),0)</x:f>
        <x:v>274832.28560705483</x:v>
      </x:c>
      <x:c r="E2046" s="78" t="n">
        <x:f>C2046+D2046</x:f>
        <x:v>916107.6186902076</x:v>
      </x:c>
      <x:c r="F2046" s="78" t="n">
        <x:f>'Inputs'!$B$13*E2046+(1-'Inputs'!$B$13)/'Inputs'!$B$14*SUM(E1991:E2046)</x:f>
        <x:v>926325.2955526412</x:v>
      </x:c>
      <x:c r="G2046" s="78" t="n">
        <x:f>F2046*'Inputs'!$F$49</x:f>
        <x:v>833692.7659973771</x:v>
      </x:c>
      <x:c r="H2046" s="78" t="n">
        <x:f>U2045</x:f>
        <x:v>292409981719.2523</x:v>
      </x:c>
      <x:c r="I2046" s="78" t="n">
        <x:f>V2045</x:f>
        <x:v>0.4147978381623462</x:v>
      </x:c>
      <x:c r="J2046" s="79" t="n">
        <x:f>IF(H2046&gt;0,I2046/H2046,0)</x:f>
        <x:v>1.4185488324423907e-12</x:v>
      </x:c>
      <x:c r="K2046" s="80" t="n">
        <x:f>(H2046*J2046+I2046)*'Inputs'!$D$49*(1+'Inputs'!$G$49)^(B2046/30)</x:f>
        <x:v>0.6221967572435193</x:v>
      </x:c>
      <x:c r="L2046" s="80" t="n">
        <x:f>MAX(0,K2046*'Inputs'!$E$49)</x:f>
        <x:v>0</x:v>
      </x:c>
      <x:c r="M2046" s="80" t="n">
        <x:f>MAX(0,-K2046*'Inputs'!$E$49)</x:f>
        <x:v>0.018665902717305578</x:v>
      </x:c>
      <x:c r="N2046" s="78" t="n">
        <x:f>H2046*(L2046*(1-'Inputs'!$B$15))/(I2046+L2046*(1-'Inputs'!$B$15))</x:f>
        <x:v>0</x:v>
      </x:c>
      <x:c r="O2046" s="78" t="n">
        <x:f>H2046-N2046</x:f>
        <x:v>292409981719.2523</x:v>
      </x:c>
      <x:c r="P2046" s="78" t="n">
        <x:f>I2046+L2046*(1-'Inputs'!$B$17)</x:f>
        <x:v>0.4147978381623462</x:v>
      </x:c>
      <x:c r="Q2046" s="78" t="n">
        <x:f>IF(J2046&gt;0,M2046/J2046,0)</x:f>
        <x:v>13158449177.366354</x:v>
      </x:c>
      <x:c r="R2046" s="78" t="n">
        <x:f>IF(B2046='Inputs'!$H$49,'Inputs'!$B$27*'Inputs'!$I$49,0)</x:f>
        <x:v>0</x:v>
      </x:c>
      <x:c r="S2046" s="78" t="n">
        <x:f>Q2046+G2046+R2046</x:f>
        <x:v>13159282870.13235</x:v>
      </x:c>
      <x:c r="T2046" s="78" t="n">
        <x:f>P2046*(S2046*(1-'Inputs'!$B$15))/(O2046+S2046*(1-'Inputs'!$B$15))</x:f>
        <x:v>0.017692178028611838</x:v>
      </x:c>
      <x:c r="U2046" s="78" t="n">
        <x:f>O2046+S2046*(1-'Inputs'!$B$17)</x:f>
        <x:v>305516309728.7403</x:v>
      </x:c>
      <x:c r="V2046" s="78" t="n">
        <x:f>P2046-T2046</x:f>
        <x:v>0.3971056601337344</x:v>
      </x:c>
      <x:c r="W2046" s="79" t="n">
        <x:f>IF(U2046&gt;0,V2046/U2046,0)</x:f>
        <x:v>1.299785469673661e-12</x:v>
      </x:c>
      <x:c r="X2046" s="80" t="n">
        <x:f>W2046*('Inputs'!$B$6-AC2046)</x:f>
        <x:v>-0.026228052681133422</x:v>
      </x:c>
      <x:c r="Y2046" s="80" t="n">
        <x:f>2*V2046</x:f>
        <x:v>0.7942113202674688</x:v>
      </x:c>
      <x:c r="Z2046" s="80" t="n">
        <x:f>K2046*'Inputs'!$B$16+(G2046+R2046)*J2046*'Inputs'!$B$16</x:f>
        <x:v>0.003733187639264515</x:v>
      </x:c>
      <x:c r="AA2046" s="80" t="n">
        <x:f>K2046*(1+'Inputs'!$E$49)/2*'Inputs'!$B$17</x:f>
        <x:v>0.0012143477958273918</x:v>
      </x:c>
      <x:c r="AB2046" s="78" t="n">
        <x:f>(IF(J2046&gt;0,K2046*(1-'Inputs'!$E$49)/2/J2046,0)+G2046+R2046)*'Inputs'!$B$17</x:f>
        <x:v>909004203.5045813</x:v>
      </x:c>
      <x:c r="AC2046" s="78" t="n">
        <x:f>AC2045+AB2046</x:f>
        <x:v>21178755104.654724</x:v>
      </x:c>
      <x:c r="AD2046" s="80" t="n">
        <x:f>Z2046/(1+'Inputs'!$C$49)</x:f>
        <x:v>0.0009332969098161287</x:v>
      </x:c>
      <x:c r="AE2046" s="80" t="n">
        <x:f>Z2046-AD2046</x:f>
        <x:v>0.002799890729448386</x:v>
      </x:c>
      <x:c r="AF2046" s="80" t="n">
        <x:f>D2046*W2046</x:f>
        <x:v>3.572230114292515e-7</x:v>
      </x:c>
      <x:c r="AG2046" s="80" t="n">
        <x:f>C2046*W2046</x:f>
        <x:v>8.335203600016191e-7</x:v>
      </x:c>
      <x:c r="AH2046" s="80" t="n">
        <x:f>2*'Inputs'!$B$8*'Inputs'!$C$49</x:f>
        <x:v>15000</x:v>
      </x:c>
      <x:c r="AI2046" s="81" t="n">
        <x:f>IF(AH2046&gt;0,(AE2046+AF2046)/AH2046*365,0)</x:f>
        <x:v>0.00006813936684318883</x:v>
      </x:c>
      <x:c r="AJ2046" s="81" t="n">
        <x:f>IF('Inputs'!$B$49&gt;0,AG2046/('Inputs'!$B$19*'Inputs'!$B$49)*365,0)</x:f>
        <x:v>3.04234931400591e-8</x:v>
      </x:c>
      <x:c r="AK2046" s="81" t="n">
        <x:f>W2046/MAX($W$1829:W2046)-1</x:f>
        <x:v>-0.9999999983254928</x:v>
      </x:c>
      <x:c r="AL2046" s="83" t="n">
        <x:f>'Inputs'!$B$49</x:f>
        <x:v>1</x:v>
      </x:c>
      <x:c r="AM2046" s="83" t="n">
        <x:f>'Inputs'!$C$49</x:f>
        <x:v>3</x:v>
      </x:c>
      <x:c r="AN2046" s="83" t="n">
        <x:f>'Inputs'!$D$49</x:f>
        <x:v>0.75</x:v>
      </x:c>
      <x:c r="AO2046" s="81" t="n">
        <x:f>'Inputs'!$E$49</x:f>
        <x:v>-0.03</x:v>
      </x:c>
    </x:row>
    <x:row r="2047">
      <x:c r="A2047" s="59" t="str">
        <x:v>Mercenary LP</x:v>
      </x:c>
      <x:c r="B2047" s="59" t="n">
        <x:v>219</x:v>
      </x:c>
      <x:c r="C2047" s="78" t="n">
        <x:f>(('Inputs'!$B$29*(3*219*'Inputs'!$B$12-219^2)/(2*'Inputs'!$B$12^2))-('Inputs'!$B$29*(3*218*'Inputs'!$B$12-218^2)/(2*'Inputs'!$B$12^2)))*'Inputs'!$B$49</x:f>
        <x:v>640950.2251829505</x:v>
      </x:c>
      <x:c r="D2047" s="78" t="n">
        <x:f>IF('Inputs'!$C$49&gt;0,('Inputs'!$B$30*(3*219*'Inputs'!$B$12-219^2)/(2*'Inputs'!$B$12^2))-('Inputs'!$B$30*(3*218*'Inputs'!$B$12-218^2)/(2*'Inputs'!$B$12^2)),0)</x:f>
        <x:v>274692.95364984125</x:v>
      </x:c>
      <x:c r="E2047" s="78" t="n">
        <x:f>C2047+D2047</x:f>
        <x:v>915643.1788327917</x:v>
      </x:c>
      <x:c r="F2047" s="78" t="n">
        <x:f>'Inputs'!$B$13*E2047+(1-'Inputs'!$B$13)/'Inputs'!$B$14*SUM(E1992:E2047)</x:f>
        <x:v>925860.8556952506</x:v>
      </x:c>
      <x:c r="G2047" s="78" t="n">
        <x:f>F2047*'Inputs'!$F$49</x:f>
        <x:v>833274.7701257255</x:v>
      </x:c>
      <x:c r="H2047" s="78" t="n">
        <x:f>U2046</x:f>
        <x:v>305516309728.7403</x:v>
      </x:c>
      <x:c r="I2047" s="78" t="n">
        <x:f>V2046</x:f>
        <x:v>0.3971056601337344</x:v>
      </x:c>
      <x:c r="J2047" s="79" t="n">
        <x:f>IF(H2047&gt;0,I2047/H2047,0)</x:f>
        <x:v>1.299785469673661e-12</x:v>
      </x:c>
      <x:c r="K2047" s="80" t="n">
        <x:f>(H2047*J2047+I2047)*'Inputs'!$D$49*(1+'Inputs'!$G$49)^(B2047/30)</x:f>
        <x:v>0.5956584902006016</x:v>
      </x:c>
      <x:c r="L2047" s="80" t="n">
        <x:f>MAX(0,K2047*'Inputs'!$E$49)</x:f>
        <x:v>0</x:v>
      </x:c>
      <x:c r="M2047" s="80" t="n">
        <x:f>MAX(0,-K2047*'Inputs'!$E$49)</x:f>
        <x:v>0.017869754706018048</x:v>
      </x:c>
      <x:c r="N2047" s="78" t="n">
        <x:f>H2047*(L2047*(1-'Inputs'!$B$15))/(I2047+L2047*(1-'Inputs'!$B$15))</x:f>
        <x:v>0</x:v>
      </x:c>
      <x:c r="O2047" s="78" t="n">
        <x:f>H2047-N2047</x:f>
        <x:v>305516309728.7403</x:v>
      </x:c>
      <x:c r="P2047" s="78" t="n">
        <x:f>I2047+L2047*(1-'Inputs'!$B$17)</x:f>
        <x:v>0.3971056601337344</x:v>
      </x:c>
      <x:c r="Q2047" s="78" t="n">
        <x:f>IF(J2047&gt;0,M2047/J2047,0)</x:f>
        <x:v>13748233937.793314</x:v>
      </x:c>
      <x:c r="R2047" s="78" t="n">
        <x:f>IF(B2047='Inputs'!$H$49,'Inputs'!$B$27*'Inputs'!$I$49,0)</x:f>
        <x:v>0</x:v>
      </x:c>
      <x:c r="S2047" s="78" t="n">
        <x:f>Q2047+G2047+R2047</x:f>
        <x:v>13749067212.56344</x:v>
      </x:c>
      <x:c r="T2047" s="78" t="n">
        <x:f>P2047*(S2047*(1-'Inputs'!$B$15))/(O2047+S2047*(1-'Inputs'!$B$15))</x:f>
        <x:v>0.016937517277923492</x:v>
      </x:c>
      <x:c r="U2047" s="78" t="n">
        <x:f>O2047+S2047*(1-'Inputs'!$B$17)</x:f>
        <x:v>319210048703.0238</x:v>
      </x:c>
      <x:c r="V2047" s="78" t="n">
        <x:f>P2047-T2047</x:f>
        <x:v>0.3801681428558109</x:v>
      </x:c>
      <x:c r="W2047" s="79" t="n">
        <x:f>IF(U2047&gt;0,V2047/U2047,0)</x:f>
        <x:v>1.1909654611453016e-12</x:v>
      </x:c>
      <x:c r="X2047" s="80" t="n">
        <x:f>W2047*('Inputs'!$B$6-AC2047)</x:f>
        <x:v>-0.025163316506581088</x:v>
      </x:c>
      <x:c r="Y2047" s="80" t="n">
        <x:f>2*V2047</x:f>
        <x:v>0.7603362857116218</x:v>
      </x:c>
      <x:c r="Z2047" s="80" t="n">
        <x:f>K2047*'Inputs'!$B$16+(G2047+R2047)*J2047*'Inputs'!$B$16</x:f>
        <x:v>0.00357395743967424</x:v>
      </x:c>
      <x:c r="AA2047" s="80" t="n">
        <x:f>K2047*(1+'Inputs'!$E$49)/2*'Inputs'!$B$17</x:f>
        <x:v>0.00116255278771546</x:v>
      </x:c>
      <x:c r="AB2047" s="78" t="n">
        <x:f>(IF(J2047&gt;0,K2047*(1-'Inputs'!$E$49)/2/J2047,0)+G2047+R2047)*'Inputs'!$B$17</x:f>
        <x:v>949747213.4415373</x:v>
      </x:c>
      <x:c r="AC2047" s="78" t="n">
        <x:f>AC2046+AB2047</x:f>
        <x:v>22128502318.09626</x:v>
      </x:c>
      <x:c r="AD2047" s="80" t="n">
        <x:f>Z2047/(1+'Inputs'!$C$49)</x:f>
        <x:v>0.00089348935991856</x:v>
      </x:c>
      <x:c r="AE2047" s="80" t="n">
        <x:f>Z2047-AD2047</x:f>
        <x:v>0.00268046807975568</x:v>
      </x:c>
      <x:c r="AF2047" s="80" t="n">
        <x:f>D2047*W2047</x:f>
        <x:v>3.2714982021694816e-7</x:v>
      </x:c>
      <x:c r="AG2047" s="80" t="n">
        <x:f>C2047*W2047</x:f>
        <x:v>7.633495805061976e-7</x:v>
      </x:c>
      <x:c r="AH2047" s="80" t="n">
        <x:f>2*'Inputs'!$B$8*'Inputs'!$C$49</x:f>
        <x:v>15000</x:v>
      </x:c>
      <x:c r="AI2047" s="81" t="n">
        <x:f>IF(AH2047&gt;0,(AE2047+AF2047)/AH2047*365,0)</x:f>
        <x:v>0.00006523268391968017</x:v>
      </x:c>
      <x:c r="AJ2047" s="81" t="n">
        <x:f>IF('Inputs'!$B$49&gt;0,AG2047/('Inputs'!$B$19*'Inputs'!$B$49)*365,0)</x:f>
        <x:v>2.7862259688476213e-8</x:v>
      </x:c>
      <x:c r="AK2047" s="81" t="n">
        <x:f>W2047/MAX($W$1829:W2047)-1</x:f>
        <x:v>-0.9999999984656851</x:v>
      </x:c>
      <x:c r="AL2047" s="83" t="n">
        <x:f>'Inputs'!$B$49</x:f>
        <x:v>1</x:v>
      </x:c>
      <x:c r="AM2047" s="83" t="n">
        <x:f>'Inputs'!$C$49</x:f>
        <x:v>3</x:v>
      </x:c>
      <x:c r="AN2047" s="83" t="n">
        <x:f>'Inputs'!$D$49</x:f>
        <x:v>0.75</x:v>
      </x:c>
      <x:c r="AO2047" s="81" t="n">
        <x:f>'Inputs'!$E$49</x:f>
        <x:v>-0.03</x:v>
      </x:c>
    </x:row>
    <x:row r="2048">
      <x:c r="A2048" s="59" t="str">
        <x:v>Mercenary LP</x:v>
      </x:c>
      <x:c r="B2048" s="59" t="n">
        <x:v>220</x:v>
      </x:c>
      <x:c r="C2048" s="78" t="n">
        <x:f>(('Inputs'!$B$29*(3*220*'Inputs'!$B$12-220^2)/(2*'Inputs'!$B$12^2))-('Inputs'!$B$29*(3*219*'Inputs'!$B$12-219^2)/(2*'Inputs'!$B$12^2)))*'Inputs'!$B$49</x:f>
        <x:v>640625.117282778</x:v>
      </x:c>
      <x:c r="D2048" s="78" t="n">
        <x:f>IF('Inputs'!$C$49&gt;0,('Inputs'!$B$30*(3*220*'Inputs'!$B$12-220^2)/(2*'Inputs'!$B$12^2))-('Inputs'!$B$30*(3*219*'Inputs'!$B$12-219^2)/(2*'Inputs'!$B$12^2)),0)</x:f>
        <x:v>274553.62169262767</x:v>
      </x:c>
      <x:c r="E2048" s="78" t="n">
        <x:f>C2048+D2048</x:f>
        <x:v>915178.7389754057</x:v>
      </x:c>
      <x:c r="F2048" s="78" t="n">
        <x:f>'Inputs'!$B$13*E2048+(1-'Inputs'!$B$13)/'Inputs'!$B$14*SUM(E1993:E2048)</x:f>
        <x:v>925396.4158378658</x:v>
      </x:c>
      <x:c r="G2048" s="78" t="n">
        <x:f>F2048*'Inputs'!$F$49</x:f>
        <x:v>832856.7742540792</x:v>
      </x:c>
      <x:c r="H2048" s="78" t="n">
        <x:f>U2047</x:f>
        <x:v>319210048703.0238</x:v>
      </x:c>
      <x:c r="I2048" s="78" t="n">
        <x:f>V2047</x:f>
        <x:v>0.3801681428558109</x:v>
      </x:c>
      <x:c r="J2048" s="79" t="n">
        <x:f>IF(H2048&gt;0,I2048/H2048,0)</x:f>
        <x:v>1.1909654611453016e-12</x:v>
      </x:c>
      <x:c r="K2048" s="80" t="n">
        <x:f>(H2048*J2048+I2048)*'Inputs'!$D$49*(1+'Inputs'!$G$49)^(B2048/30)</x:f>
        <x:v>0.5702522142837163</x:v>
      </x:c>
      <x:c r="L2048" s="80" t="n">
        <x:f>MAX(0,K2048*'Inputs'!$E$49)</x:f>
        <x:v>0</x:v>
      </x:c>
      <x:c r="M2048" s="80" t="n">
        <x:f>MAX(0,-K2048*'Inputs'!$E$49)</x:f>
        <x:v>0.017107566428511488</x:v>
      </x:c>
      <x:c r="N2048" s="78" t="n">
        <x:f>H2048*(L2048*(1-'Inputs'!$B$15))/(I2048+L2048*(1-'Inputs'!$B$15))</x:f>
        <x:v>0</x:v>
      </x:c>
      <x:c r="O2048" s="78" t="n">
        <x:f>H2048-N2048</x:f>
        <x:v>319210048703.0238</x:v>
      </x:c>
      <x:c r="P2048" s="78" t="n">
        <x:f>I2048+L2048*(1-'Inputs'!$B$17)</x:f>
        <x:v>0.3801681428558109</x:v>
      </x:c>
      <x:c r="Q2048" s="78" t="n">
        <x:f>IF(J2048&gt;0,M2048/J2048,0)</x:f>
        <x:v>14364452191.636068</x:v>
      </x:c>
      <x:c r="R2048" s="78" t="n">
        <x:f>IF(B2048='Inputs'!$H$49,'Inputs'!$B$27*'Inputs'!$I$49,0)</x:f>
        <x:v>0</x:v>
      </x:c>
      <x:c r="S2048" s="78" t="n">
        <x:f>Q2048+G2048+R2048</x:f>
        <x:v>14365285048.410322</x:v>
      </x:c>
      <x:c r="T2048" s="78" t="n">
        <x:f>P2048*(S2048*(1-'Inputs'!$B$15))/(O2048+S2048*(1-'Inputs'!$B$15))</x:f>
        <x:v>0.01621505037090376</x:v>
      </x:c>
      <x:c r="U2048" s="78" t="n">
        <x:f>O2048+S2048*(1-'Inputs'!$B$17)</x:f>
        <x:v>333517525763.31177</x:v>
      </x:c>
      <x:c r="V2048" s="78" t="n">
        <x:f>P2048-T2048</x:f>
        <x:v>0.36395309248490715</x:v>
      </x:c>
      <x:c r="W2048" s="79" t="n">
        <x:f>IF(U2048&gt;0,V2048/U2048,0)</x:f>
        <x:v>1.0912562740201985e-12</x:v>
      </x:c>
      <x:c r="X2048" s="80" t="n">
        <x:f>W2048*('Inputs'!$B$6-AC2048)</x:f>
        <x:v>-0.024139482081195485</x:v>
      </x:c>
      <x:c r="Y2048" s="80" t="n">
        <x:f>2*V2048</x:f>
        <x:v>0.7279061849698143</x:v>
      </x:c>
      <x:c r="Z2048" s="80" t="n">
        <x:f>K2048*'Inputs'!$B$16+(G2048+R2048)*J2048*'Inputs'!$B$16</x:f>
        <x:v>0.0034215192371242114</x:v>
      </x:c>
      <x:c r="AA2048" s="80" t="n">
        <x:f>K2048*(1+'Inputs'!$E$49)/2*'Inputs'!$B$17</x:f>
        <x:v>0.001112967098300211</x:v>
      </x:c>
      <x:c r="AB2048" s="78" t="n">
        <x:f>(IF(J2048&gt;0,K2048*(1-'Inputs'!$E$49)/2/J2048,0)+G2048+R2048)*'Inputs'!$B$17</x:f>
        <x:v>992316279.5970227</x:v>
      </x:c>
      <x:c r="AC2048" s="78" t="n">
        <x:f>AC2047+AB2048</x:f>
        <x:v>23120818597.693283</x:v>
      </x:c>
      <x:c r="AD2048" s="80" t="n">
        <x:f>Z2048/(1+'Inputs'!$C$49)</x:f>
        <x:v>0.0008553798092810528</x:v>
      </x:c>
      <x:c r="AE2048" s="80" t="n">
        <x:f>Z2048-AD2048</x:f>
        <x:v>0.0025661394278431587</x:v>
      </x:c>
      <x:c r="AF2048" s="80" t="n">
        <x:f>D2048*W2048</x:f>
        <x:v>2.9960836222704804e-7</x:v>
      </x:c>
      <x:c r="AG2048" s="80" t="n">
        <x:f>C2048*W2048</x:f>
        <x:v>6.99086178529757e-7</x:v>
      </x:c>
      <x:c r="AH2048" s="80" t="n">
        <x:f>2*'Inputs'!$B$8*'Inputs'!$C$49</x:f>
        <x:v>15000</x:v>
      </x:c>
      <x:c r="AI2048" s="81" t="n">
        <x:f>IF(AH2048&gt;0,(AE2048+AF2048)/AH2048*365,0)</x:f>
        <x:v>0.00006245001654766439</x:v>
      </x:c>
      <x:c r="AJ2048" s="81" t="n">
        <x:f>IF('Inputs'!$B$49&gt;0,AG2048/('Inputs'!$B$19*'Inputs'!$B$49)*365,0)</x:f>
        <x:v>2.551664551633613e-8</x:v>
      </x:c>
      <x:c r="AK2048" s="81" t="n">
        <x:f>W2048/MAX($W$1829:W2048)-1</x:f>
        <x:v>-0.9999999985941399</x:v>
      </x:c>
      <x:c r="AL2048" s="83" t="n">
        <x:f>'Inputs'!$B$49</x:f>
        <x:v>1</x:v>
      </x:c>
      <x:c r="AM2048" s="83" t="n">
        <x:f>'Inputs'!$C$49</x:f>
        <x:v>3</x:v>
      </x:c>
      <x:c r="AN2048" s="83" t="n">
        <x:f>'Inputs'!$D$49</x:f>
        <x:v>0.75</x:v>
      </x:c>
      <x:c r="AO2048" s="81" t="n">
        <x:f>'Inputs'!$E$49</x:f>
        <x:v>-0.03</x:v>
      </x:c>
    </x:row>
    <x:row r="2049">
      <x:c r="A2049" s="59" t="str">
        <x:v>Mercenary LP</x:v>
      </x:c>
      <x:c r="B2049" s="59" t="n">
        <x:v>221</x:v>
      </x:c>
      <x:c r="C2049" s="78" t="n">
        <x:f>(('Inputs'!$B$29*(3*221*'Inputs'!$B$12-221^2)/(2*'Inputs'!$B$12^2))-('Inputs'!$B$29*(3*220*'Inputs'!$B$12-220^2)/(2*'Inputs'!$B$12^2)))*'Inputs'!$B$49</x:f>
        <x:v>640300.0093826354</x:v>
      </x:c>
      <x:c r="D2049" s="78" t="n">
        <x:f>IF('Inputs'!$C$49&gt;0,('Inputs'!$B$30*(3*221*'Inputs'!$B$12-221^2)/(2*'Inputs'!$B$12^2))-('Inputs'!$B$30*(3*220*'Inputs'!$B$12-220^2)/(2*'Inputs'!$B$12^2)),0)</x:f>
        <x:v>274414.28973540664</x:v>
      </x:c>
      <x:c r="E2049" s="78" t="n">
        <x:f>C2049+D2049</x:f>
        <x:v>914714.299118042</x:v>
      </x:c>
      <x:c r="F2049" s="78" t="n">
        <x:f>'Inputs'!$B$13*E2049+(1-'Inputs'!$B$13)/'Inputs'!$B$14*SUM(E1994:E2049)</x:f>
        <x:v>924931.9759804859</x:v>
      </x:c>
      <x:c r="G2049" s="78" t="n">
        <x:f>F2049*'Inputs'!$F$49</x:f>
        <x:v>832438.7783824373</x:v>
      </x:c>
      <x:c r="H2049" s="78" t="n">
        <x:f>U2048</x:f>
        <x:v>333517525763.31177</x:v>
      </x:c>
      <x:c r="I2049" s="78" t="n">
        <x:f>V2048</x:f>
        <x:v>0.36395309248490715</x:v>
      </x:c>
      <x:c r="J2049" s="79" t="n">
        <x:f>IF(H2049&gt;0,I2049/H2049,0)</x:f>
        <x:v>1.0912562740201985e-12</x:v>
      </x:c>
      <x:c r="K2049" s="80" t="n">
        <x:f>(H2049*J2049+I2049)*'Inputs'!$D$49*(1+'Inputs'!$G$49)^(B2049/30)</x:f>
        <x:v>0.5459296387273607</x:v>
      </x:c>
      <x:c r="L2049" s="80" t="n">
        <x:f>MAX(0,K2049*'Inputs'!$E$49)</x:f>
        <x:v>0</x:v>
      </x:c>
      <x:c r="M2049" s="80" t="n">
        <x:f>MAX(0,-K2049*'Inputs'!$E$49)</x:f>
        <x:v>0.01637788916182082</x:v>
      </x:c>
      <x:c r="N2049" s="78" t="n">
        <x:f>H2049*(L2049*(1-'Inputs'!$B$15))/(I2049+L2049*(1-'Inputs'!$B$15))</x:f>
        <x:v>0</x:v>
      </x:c>
      <x:c r="O2049" s="78" t="n">
        <x:f>H2049-N2049</x:f>
        <x:v>333517525763.31177</x:v>
      </x:c>
      <x:c r="P2049" s="78" t="n">
        <x:f>I2049+L2049*(1-'Inputs'!$B$17)</x:f>
        <x:v>0.36395309248490715</x:v>
      </x:c>
      <x:c r="Q2049" s="78" t="n">
        <x:f>IF(J2049&gt;0,M2049/J2049,0)</x:f>
        <x:v>15008288659.349028</x:v>
      </x:c>
      <x:c r="R2049" s="78" t="n">
        <x:f>IF(B2049='Inputs'!$H$49,'Inputs'!$B$27*'Inputs'!$I$49,0)</x:f>
        <x:v>0</x:v>
      </x:c>
      <x:c r="S2049" s="78" t="n">
        <x:f>Q2049+G2049+R2049</x:f>
        <x:v>15009121098.12741</x:v>
      </x:c>
      <x:c r="T2049" s="78" t="n">
        <x:f>P2049*(S2049*(1-'Inputs'!$B$15))/(O2049+S2049*(1-'Inputs'!$B$15))</x:f>
        <x:v>0.015523403601758383</x:v>
      </x:c>
      <x:c r="U2049" s="78" t="n">
        <x:f>O2049+S2049*(1-'Inputs'!$B$17)</x:f>
        <x:v>348466247983.7807</x:v>
      </x:c>
      <x:c r="V2049" s="78" t="n">
        <x:f>P2049-T2049</x:f>
        <x:v>0.3484296888831488</x:v>
      </x:c>
      <x:c r="W2049" s="79" t="n">
        <x:f>IF(U2049&gt;0,V2049/U2049,0)</x:f>
        <x:v>9.998950856766088e-13</x:v>
      </x:c>
      <x:c r="X2049" s="80" t="n">
        <x:f>W2049*('Inputs'!$B$6-AC2049)</x:f>
        <x:v>-0.02315518227634228</x:v>
      </x:c>
      <x:c r="Y2049" s="80" t="n">
        <x:f>2*V2049</x:f>
        <x:v>0.6968593777662976</x:v>
      </x:c>
      <x:c r="Z2049" s="80" t="n">
        <x:f>K2049*'Inputs'!$B$16+(G2049+R2049)*J2049*'Inputs'!$B$16</x:f>
        <x:v>0.003275583282788402</x:v>
      </x:c>
      <x:c r="AA2049" s="80" t="n">
        <x:f>K2049*(1+'Inputs'!$E$49)/2*'Inputs'!$B$17</x:f>
        <x:v>0.0010654964779990743</x:v>
      </x:c>
      <x:c r="AB2049" s="78" t="n">
        <x:f>(IF(J2049&gt;0,K2049*(1-'Inputs'!$E$49)/2/J2049,0)+G2049+R2049)*'Inputs'!$B$17</x:f>
        <x:v>1036793243.826707</x:v>
      </x:c>
      <x:c r="AC2049" s="78" t="n">
        <x:f>AC2048+AB2049</x:f>
        <x:v>24157611841.51999</x:v>
      </x:c>
      <x:c r="AD2049" s="80" t="n">
        <x:f>Z2049/(1+'Inputs'!$C$49)</x:f>
        <x:v>0.0008188958206971005</x:v>
      </x:c>
      <x:c r="AE2049" s="80" t="n">
        <x:f>Z2049-AD2049</x:f>
        <x:v>0.0024566874620913014</x:v>
      </x:c>
      <x:c r="AF2049" s="80" t="n">
        <x:f>D2049*W2049</x:f>
        <x:v>2.7438549974587015e-7</x:v>
      </x:c>
      <x:c r="AG2049" s="80" t="n">
        <x:f>C2049*W2049</x:f>
        <x:v>6.402328327403836e-7</x:v>
      </x:c>
      <x:c r="AH2049" s="80" t="n">
        <x:f>2*'Inputs'!$B$8*'Inputs'!$C$49</x:f>
        <x:v>15000</x:v>
      </x:c>
      <x:c r="AI2049" s="81" t="n">
        <x:f>IF(AH2049&gt;0,(AE2049+AF2049)/AH2049*365,0)</x:f>
        <x:v>0.00005978607162471548</x:v>
      </x:c>
      <x:c r="AJ2049" s="81" t="n">
        <x:f>IF('Inputs'!$B$49&gt;0,AG2049/('Inputs'!$B$19*'Inputs'!$B$49)*365,0)</x:f>
        <x:v>2.3368498395024004e-8</x:v>
      </x:c>
      <x:c r="AK2049" s="81" t="n">
        <x:f>W2049/MAX($W$1829:W2049)-1</x:f>
        <x:v>-0.9999999987118401</x:v>
      </x:c>
      <x:c r="AL2049" s="83" t="n">
        <x:f>'Inputs'!$B$49</x:f>
        <x:v>1</x:v>
      </x:c>
      <x:c r="AM2049" s="83" t="n">
        <x:f>'Inputs'!$C$49</x:f>
        <x:v>3</x:v>
      </x:c>
      <x:c r="AN2049" s="83" t="n">
        <x:f>'Inputs'!$D$49</x:f>
        <x:v>0.75</x:v>
      </x:c>
      <x:c r="AO2049" s="81" t="n">
        <x:f>'Inputs'!$E$49</x:f>
        <x:v>-0.03</x:v>
      </x:c>
    </x:row>
    <x:row r="2050">
      <x:c r="A2050" s="59" t="str">
        <x:v>Mercenary LP</x:v>
      </x:c>
      <x:c r="B2050" s="59" t="n">
        <x:v>222</x:v>
      </x:c>
      <x:c r="C2050" s="78" t="n">
        <x:f>(('Inputs'!$B$29*(3*222*'Inputs'!$B$12-222^2)/(2*'Inputs'!$B$12^2))-('Inputs'!$B$29*(3*221*'Inputs'!$B$12-221^2)/(2*'Inputs'!$B$12^2)))*'Inputs'!$B$49</x:f>
        <x:v>639974.9014824629</x:v>
      </x:c>
      <x:c r="D2050" s="78" t="n">
        <x:f>IF('Inputs'!$C$49&gt;0,('Inputs'!$B$30*(3*222*'Inputs'!$B$12-222^2)/(2*'Inputs'!$B$12^2))-('Inputs'!$B$30*(3*221*'Inputs'!$B$12-221^2)/(2*'Inputs'!$B$12^2)),0)</x:f>
        <x:v>274274.95777819306</x:v>
      </x:c>
      <x:c r="E2050" s="78" t="n">
        <x:f>C2050+D2050</x:f>
        <x:v>914249.8592606559</x:v>
      </x:c>
      <x:c r="F2050" s="78" t="n">
        <x:f>'Inputs'!$B$13*E2050+(1-'Inputs'!$B$13)/'Inputs'!$B$14*SUM(E1995:E2050)</x:f>
        <x:v>924467.5361231014</x:v>
      </x:c>
      <x:c r="G2050" s="78" t="n">
        <x:f>F2050*'Inputs'!$F$49</x:f>
        <x:v>832020.7825107912</x:v>
      </x:c>
      <x:c r="H2050" s="78" t="n">
        <x:f>U2049</x:f>
        <x:v>348466247983.7807</x:v>
      </x:c>
      <x:c r="I2050" s="78" t="n">
        <x:f>V2049</x:f>
        <x:v>0.3484296888831488</x:v>
      </x:c>
      <x:c r="J2050" s="79" t="n">
        <x:f>IF(H2050&gt;0,I2050/H2050,0)</x:f>
        <x:v>9.998950856766088e-13</x:v>
      </x:c>
      <x:c r="K2050" s="80" t="n">
        <x:f>(H2050*J2050+I2050)*'Inputs'!$D$49*(1+'Inputs'!$G$49)^(B2050/30)</x:f>
        <x:v>0.5226445333247232</x:v>
      </x:c>
      <x:c r="L2050" s="80" t="n">
        <x:f>MAX(0,K2050*'Inputs'!$E$49)</x:f>
        <x:v>0</x:v>
      </x:c>
      <x:c r="M2050" s="80" t="n">
        <x:f>MAX(0,-K2050*'Inputs'!$E$49)</x:f>
        <x:v>0.015679335999741695</x:v>
      </x:c>
      <x:c r="N2050" s="78" t="n">
        <x:f>H2050*(L2050*(1-'Inputs'!$B$15))/(I2050+L2050*(1-'Inputs'!$B$15))</x:f>
        <x:v>0</x:v>
      </x:c>
      <x:c r="O2050" s="78" t="n">
        <x:f>H2050-N2050</x:f>
        <x:v>348466247983.7807</x:v>
      </x:c>
      <x:c r="P2050" s="78" t="n">
        <x:f>I2050+L2050*(1-'Inputs'!$B$17)</x:f>
        <x:v>0.3484296888831488</x:v>
      </x:c>
      <x:c r="Q2050" s="78" t="n">
        <x:f>IF(J2050&gt;0,M2050/J2050,0)</x:f>
        <x:v>0</x:v>
      </x:c>
      <x:c r="R2050" s="78" t="n">
        <x:f>IF(B2050='Inputs'!$H$49,'Inputs'!$B$27*'Inputs'!$I$49,0)</x:f>
        <x:v>0</x:v>
      </x:c>
      <x:c r="S2050" s="78" t="n">
        <x:f>Q2050+G2050+R2050</x:f>
        <x:v>832020.7825107912</x:v>
      </x:c>
      <x:c r="T2050" s="78" t="n">
        <x:f>P2050*(S2050*(1-'Inputs'!$B$15))/(O2050+S2050*(1-'Inputs'!$B$15))</x:f>
        <x:v>8.236122098519892e-7</x:v>
      </x:c>
      <x:c r="U2050" s="78" t="n">
        <x:f>O2050+S2050*(1-'Inputs'!$B$17)</x:f>
        <x:v>348467076656.39105</x:v>
      </x:c>
      <x:c r="V2050" s="78" t="n">
        <x:f>P2050-T2050</x:f>
        <x:v>0.3484288652709389</x:v>
      </x:c>
      <x:c r="W2050" s="79" t="n">
        <x:f>IF(U2050&gt;0,V2050/U2050,0)</x:f>
        <x:v>9.998903443452426e-13</x:v>
      </x:c>
      <x:c r="X2050" s="80" t="n">
        <x:f>W2050*('Inputs'!$B$6-AC2050)</x:f>
        <x:v>-0.023155075826235907</x:v>
      </x:c>
      <x:c r="Y2050" s="80" t="n">
        <x:f>2*V2050</x:f>
        <x:v>0.6968577305418778</x:v>
      </x:c>
      <x:c r="Z2050" s="80" t="n">
        <x:f>K2050*'Inputs'!$B$16+(G2050+R2050)*J2050*'Inputs'!$B$16</x:f>
        <x:v>0.003135872191549289</x:v>
      </x:c>
      <x:c r="AA2050" s="80" t="n">
        <x:f>K2050*(1+'Inputs'!$E$49)/2*'Inputs'!$B$17</x:f>
        <x:v>0.0010200506988430212</x:v>
      </x:c>
      <x:c r="AB2050" s="78" t="n">
        <x:f>(IF(J2050&gt;0,K2050*(1-'Inputs'!$E$49)/2/J2050,0)+G2050+R2050)*'Inputs'!$B$17</x:f>
        <x:v>3348.172163021293</x:v>
      </x:c>
      <x:c r="AC2050" s="78" t="n">
        <x:f>AC2049+AB2050</x:f>
        <x:v>24157615189.692154</x:v>
      </x:c>
      <x:c r="AD2050" s="80" t="n">
        <x:f>Z2050/(1+'Inputs'!$C$49)</x:f>
        <x:v>0.0007839680478873223</x:v>
      </x:c>
      <x:c r="AE2050" s="80" t="n">
        <x:f>Z2050-AD2050</x:f>
        <x:v>0.002351904143661967</x:v>
      </x:c>
      <x:c r="AF2050" s="80" t="n">
        <x:f>D2050*W2050</x:f>
        <x:v>2.7424488197811434e-7</x:v>
      </x:c>
      <x:c r="AG2050" s="80" t="n">
        <x:f>C2050*W2050</x:f>
        <x:v>6.399047246156125e-7</x:v>
      </x:c>
      <x:c r="AH2050" s="80" t="n">
        <x:f>2*'Inputs'!$B$8*'Inputs'!$C$49</x:f>
        <x:v>15000</x:v>
      </x:c>
      <x:c r="AI2050" s="81" t="n">
        <x:f>IF(AH2050&gt;0,(AE2050+AF2050)/AH2050*365,0)</x:f>
        <x:v>0.00005723634078790267</x:v>
      </x:c>
      <x:c r="AJ2050" s="81" t="n">
        <x:f>IF('Inputs'!$B$49&gt;0,AG2050/('Inputs'!$B$19*'Inputs'!$B$49)*365,0)</x:f>
        <x:v>2.3356522448469858e-8</x:v>
      </x:c>
      <x:c r="AK2050" s="81" t="n">
        <x:f>W2050/MAX($W$1829:W2050)-1</x:f>
        <x:v>-0.9999999987118462</x:v>
      </x:c>
      <x:c r="AL2050" s="83" t="n">
        <x:f>'Inputs'!$B$49</x:f>
        <x:v>1</x:v>
      </x:c>
      <x:c r="AM2050" s="83" t="n">
        <x:f>'Inputs'!$C$49</x:f>
        <x:v>3</x:v>
      </x:c>
      <x:c r="AN2050" s="83" t="n">
        <x:f>'Inputs'!$D$49</x:f>
        <x:v>0.75</x:v>
      </x:c>
      <x:c r="AO2050" s="81" t="n">
        <x:f>'Inputs'!$E$49</x:f>
        <x:v>-0.03</x:v>
      </x:c>
    </x:row>
    <x:row r="2051">
      <x:c r="A2051" s="59" t="str">
        <x:v>Mercenary LP</x:v>
      </x:c>
      <x:c r="B2051" s="59" t="n">
        <x:v>223</x:v>
      </x:c>
      <x:c r="C2051" s="78" t="n">
        <x:f>(('Inputs'!$B$29*(3*223*'Inputs'!$B$12-223^2)/(2*'Inputs'!$B$12^2))-('Inputs'!$B$29*(3*222*'Inputs'!$B$12-222^2)/(2*'Inputs'!$B$12^2)))*'Inputs'!$B$49</x:f>
        <x:v>639649.7935822904</x:v>
      </x:c>
      <x:c r="D2051" s="78" t="n">
        <x:f>IF('Inputs'!$C$49&gt;0,('Inputs'!$B$30*(3*223*'Inputs'!$B$12-223^2)/(2*'Inputs'!$B$12^2))-('Inputs'!$B$30*(3*222*'Inputs'!$B$12-222^2)/(2*'Inputs'!$B$12^2)),0)</x:f>
        <x:v>274135.6258209795</x:v>
      </x:c>
      <x:c r="E2051" s="78" t="n">
        <x:f>C2051+D2051</x:f>
        <x:v>913785.4194032699</x:v>
      </x:c>
      <x:c r="F2051" s="78" t="n">
        <x:f>'Inputs'!$B$13*E2051+(1-'Inputs'!$B$13)/'Inputs'!$B$14*SUM(E1996:E2051)</x:f>
        <x:v>924003.096265717</x:v>
      </x:c>
      <x:c r="G2051" s="78" t="n">
        <x:f>F2051*'Inputs'!$F$49</x:f>
        <x:v>831602.7866391452</x:v>
      </x:c>
      <x:c r="H2051" s="78" t="n">
        <x:f>U2050</x:f>
        <x:v>348467076656.39105</x:v>
      </x:c>
      <x:c r="I2051" s="78" t="n">
        <x:f>V2050</x:f>
        <x:v>0.3484288652709389</x:v>
      </x:c>
      <x:c r="J2051" s="79" t="n">
        <x:f>IF(H2051&gt;0,I2051/H2051,0)</x:f>
        <x:v>9.998903443452426e-13</x:v>
      </x:c>
      <x:c r="K2051" s="80" t="n">
        <x:f>(H2051*J2051+I2051)*'Inputs'!$D$49*(1+'Inputs'!$G$49)^(B2051/30)</x:f>
        <x:v>0.5226432979064084</x:v>
      </x:c>
      <x:c r="L2051" s="80" t="n">
        <x:f>MAX(0,K2051*'Inputs'!$E$49)</x:f>
        <x:v>0</x:v>
      </x:c>
      <x:c r="M2051" s="80" t="n">
        <x:f>MAX(0,-K2051*'Inputs'!$E$49)</x:f>
        <x:v>0.015679298937192252</x:v>
      </x:c>
      <x:c r="N2051" s="78" t="n">
        <x:f>H2051*(L2051*(1-'Inputs'!$B$15))/(I2051+L2051*(1-'Inputs'!$B$15))</x:f>
        <x:v>0</x:v>
      </x:c>
      <x:c r="O2051" s="78" t="n">
        <x:f>H2051-N2051</x:f>
        <x:v>348467076656.39105</x:v>
      </x:c>
      <x:c r="P2051" s="78" t="n">
        <x:f>I2051+L2051*(1-'Inputs'!$B$17)</x:f>
        <x:v>0.3484288652709389</x:v>
      </x:c>
      <x:c r="Q2051" s="78" t="n">
        <x:f>IF(J2051&gt;0,M2051/J2051,0)</x:f>
        <x:v>0</x:v>
      </x:c>
      <x:c r="R2051" s="78" t="n">
        <x:f>IF(B2051='Inputs'!$H$49,'Inputs'!$B$27*'Inputs'!$I$49,0)</x:f>
        <x:v>0</x:v>
      </x:c>
      <x:c r="S2051" s="78" t="n">
        <x:f>Q2051+G2051+R2051</x:f>
        <x:v>831602.7866391452</x:v>
      </x:c>
      <x:c r="T2051" s="78" t="n">
        <x:f>P2051*(S2051*(1-'Inputs'!$B$15))/(O2051+S2051*(1-'Inputs'!$B$15))</x:f>
        <x:v>8.23194535848434e-7</x:v>
      </x:c>
      <x:c r="U2051" s="78" t="n">
        <x:f>O2051+S2051*(1-'Inputs'!$B$17)</x:f>
        <x:v>348467904912.6876</x:v>
      </x:c>
      <x:c r="V2051" s="78" t="n">
        <x:f>P2051-T2051</x:f>
        <x:v>0.34842804207640304</x:v>
      </x:c>
      <x:c r="W2051" s="79" t="n">
        <x:f>IF(U2051&gt;0,V2051/U2051,0)</x:f>
        <x:v>9.998856054295889e-13</x:v>
      </x:c>
      <x:c r="X2051" s="80" t="n">
        <x:f>W2051*('Inputs'!$B$6-AC2051)</x:f>
        <x:v>-0.02315496943035805</x:v>
      </x:c>
      <x:c r="Y2051" s="80" t="n">
        <x:f>2*V2051</x:f>
        <x:v>0.6968560841528061</x:v>
      </x:c>
      <x:c r="Z2051" s="80" t="n">
        <x:f>K2051*'Inputs'!$B$16+(G2051+R2051)*J2051*'Inputs'!$B$16</x:f>
        <x:v>0.0031358647765080305</x:v>
      </x:c>
      <x:c r="AA2051" s="80" t="n">
        <x:f>K2051*(1+'Inputs'!$E$49)/2*'Inputs'!$B$17</x:f>
        <x:v>0.001020048287664419</x:v>
      </x:c>
      <x:c r="AB2051" s="78" t="n">
        <x:f>(IF(J2051&gt;0,K2051*(1-'Inputs'!$E$49)/2/J2051,0)+G2051+R2051)*'Inputs'!$B$17</x:f>
        <x:v>3346.4900870790557</x:v>
      </x:c>
      <x:c r="AC2051" s="78" t="n">
        <x:f>AC2050+AB2051</x:f>
        <x:v>24157618536.18224</x:v>
      </x:c>
      <x:c r="AD2051" s="80" t="n">
        <x:f>Z2051/(1+'Inputs'!$C$49)</x:f>
        <x:v>0.0007839661941270076</x:v>
      </x:c>
      <x:c r="AE2051" s="80" t="n">
        <x:f>Z2051-AD2051</x:f>
        <x:v>0.002351898582381023</x:v>
      </x:c>
      <x:c r="AF2051" s="80" t="n">
        <x:f>D2051*W2051</x:f>
        <x:v>2.741042661938293e-7</x:v>
      </x:c>
      <x:c r="AG2051" s="80" t="n">
        <x:f>C2051*W2051</x:f>
        <x:v>6.3957662111894e-7</x:v>
      </x:c>
      <x:c r="AH2051" s="80" t="n">
        <x:f>2*'Inputs'!$B$8*'Inputs'!$C$49</x:f>
        <x:v>15000</x:v>
      </x:c>
      <x:c r="AI2051" s="81" t="n">
        <x:f>IF(AH2051&gt;0,(AE2051+AF2051)/AH2051*365,0)</x:f>
        <x:v>0.00005723620204174895</x:v>
      </x:c>
      <x:c r="AJ2051" s="81" t="n">
        <x:f>IF('Inputs'!$B$49&gt;0,AG2051/('Inputs'!$B$19*'Inputs'!$B$49)*365,0)</x:f>
        <x:v>2.334454667084131e-8</x:v>
      </x:c>
      <x:c r="AK2051" s="81" t="n">
        <x:f>W2051/MAX($W$1829:W2051)-1</x:f>
        <x:v>-0.9999999987118523</x:v>
      </x:c>
      <x:c r="AL2051" s="83" t="n">
        <x:f>'Inputs'!$B$49</x:f>
        <x:v>1</x:v>
      </x:c>
      <x:c r="AM2051" s="83" t="n">
        <x:f>'Inputs'!$C$49</x:f>
        <x:v>3</x:v>
      </x:c>
      <x:c r="AN2051" s="83" t="n">
        <x:f>'Inputs'!$D$49</x:f>
        <x:v>0.75</x:v>
      </x:c>
      <x:c r="AO2051" s="81" t="n">
        <x:f>'Inputs'!$E$49</x:f>
        <x:v>-0.03</x:v>
      </x:c>
    </x:row>
    <x:row r="2052">
      <x:c r="A2052" s="59" t="str">
        <x:v>Mercenary LP</x:v>
      </x:c>
      <x:c r="B2052" s="59" t="n">
        <x:v>224</x:v>
      </x:c>
      <x:c r="C2052" s="78" t="n">
        <x:f>(('Inputs'!$B$29*(3*224*'Inputs'!$B$12-224^2)/(2*'Inputs'!$B$12^2))-('Inputs'!$B$29*(3*223*'Inputs'!$B$12-223^2)/(2*'Inputs'!$B$12^2)))*'Inputs'!$B$49</x:f>
        <x:v>639324.6856821179</x:v>
      </x:c>
      <x:c r="D2052" s="78" t="n">
        <x:f>IF('Inputs'!$C$49&gt;0,('Inputs'!$B$30*(3*224*'Inputs'!$B$12-224^2)/(2*'Inputs'!$B$12^2))-('Inputs'!$B$30*(3*223*'Inputs'!$B$12-223^2)/(2*'Inputs'!$B$12^2)),0)</x:f>
        <x:v>273996.2938637659</x:v>
      </x:c>
      <x:c r="E2052" s="78" t="n">
        <x:f>C2052+D2052</x:f>
        <x:v>913320.9795458838</x:v>
      </x:c>
      <x:c r="F2052" s="78" t="n">
        <x:f>'Inputs'!$B$13*E2052+(1-'Inputs'!$B$13)/'Inputs'!$B$14*SUM(E1997:E2052)</x:f>
        <x:v>923538.6564083325</x:v>
      </x:c>
      <x:c r="G2052" s="78" t="n">
        <x:f>F2052*'Inputs'!$F$49</x:f>
        <x:v>831184.7907674992</x:v>
      </x:c>
      <x:c r="H2052" s="78" t="n">
        <x:f>U2051</x:f>
        <x:v>348467904912.6876</x:v>
      </x:c>
      <x:c r="I2052" s="78" t="n">
        <x:f>V2051</x:f>
        <x:v>0.34842804207640304</x:v>
      </x:c>
      <x:c r="J2052" s="79" t="n">
        <x:f>IF(H2052&gt;0,I2052/H2052,0)</x:f>
        <x:v>9.998856054295889e-13</x:v>
      </x:c>
      <x:c r="K2052" s="80" t="n">
        <x:f>(H2052*J2052+I2052)*'Inputs'!$D$49*(1+'Inputs'!$G$49)^(B2052/30)</x:f>
        <x:v>0.5226420631146047</x:v>
      </x:c>
      <x:c r="L2052" s="80" t="n">
        <x:f>MAX(0,K2052*'Inputs'!$E$49)</x:f>
        <x:v>0</x:v>
      </x:c>
      <x:c r="M2052" s="80" t="n">
        <x:f>MAX(0,-K2052*'Inputs'!$E$49)</x:f>
        <x:v>0.01567926189343814</x:v>
      </x:c>
      <x:c r="N2052" s="78" t="n">
        <x:f>H2052*(L2052*(1-'Inputs'!$B$15))/(I2052+L2052*(1-'Inputs'!$B$15))</x:f>
        <x:v>0</x:v>
      </x:c>
      <x:c r="O2052" s="78" t="n">
        <x:f>H2052-N2052</x:f>
        <x:v>348467904912.6876</x:v>
      </x:c>
      <x:c r="P2052" s="78" t="n">
        <x:f>I2052+L2052*(1-'Inputs'!$B$17)</x:f>
        <x:v>0.34842804207640304</x:v>
      </x:c>
      <x:c r="Q2052" s="78" t="n">
        <x:f>IF(J2052&gt;0,M2052/J2052,0)</x:f>
        <x:v>0</x:v>
      </x:c>
      <x:c r="R2052" s="78" t="n">
        <x:f>IF(B2052='Inputs'!$H$49,'Inputs'!$B$27*'Inputs'!$I$49,0)</x:f>
        <x:v>0</x:v>
      </x:c>
      <x:c r="S2052" s="78" t="n">
        <x:f>Q2052+G2052+R2052</x:f>
        <x:v>831184.7907674992</x:v>
      </x:c>
      <x:c r="T2052" s="78" t="n">
        <x:f>P2052*(S2052*(1-'Inputs'!$B$15))/(O2052+S2052*(1-'Inputs'!$B$15))</x:f>
        <x:v>8.227768677557624e-7</x:v>
      </x:c>
      <x:c r="U2052" s="78" t="n">
        <x:f>O2052+S2052*(1-'Inputs'!$B$17)</x:f>
        <x:v>348468732752.67035</x:v>
      </x:c>
      <x:c r="V2052" s="78" t="n">
        <x:f>P2052-T2052</x:f>
        <x:v>0.3484272192995353</x:v>
      </x:c>
      <x:c r="W2052" s="79" t="n">
        <x:f>IF(U2052&gt;0,V2052/U2052,0)</x:f>
        <x:v>9.998808689295962e-13</x:v>
      </x:c>
      <x:c r="X2052" s="80" t="n">
        <x:f>W2052*('Inputs'!$B$6-AC2052)</x:f>
        <x:v>-0.02315486308870756</x:v>
      </x:c>
      <x:c r="Y2052" s="80" t="n">
        <x:f>2*V2052</x:f>
        <x:v>0.6968544385990706</x:v>
      </x:c>
      <x:c r="Z2052" s="80" t="n">
        <x:f>K2052*'Inputs'!$B$16+(G2052+R2052)*J2052*'Inputs'!$B$16</x:f>
        <x:v>0.003135857365225875</x:v>
      </x:c>
      <x:c r="AA2052" s="80" t="n">
        <x:f>K2052*(1+'Inputs'!$E$49)/2*'Inputs'!$B$17</x:f>
        <x:v>0.0010200458777085847</x:v>
      </x:c>
      <x:c r="AB2052" s="78" t="n">
        <x:f>(IF(J2052&gt;0,K2052*(1-'Inputs'!$E$49)/2/J2052,0)+G2052+R2052)*'Inputs'!$B$17</x:f>
        <x:v>3344.808011136818</x:v>
      </x:c>
      <x:c r="AC2052" s="78" t="n">
        <x:f>AC2051+AB2052</x:f>
        <x:v>24157621880.99025</x:v>
      </x:c>
      <x:c r="AD2052" s="80" t="n">
        <x:f>Z2052/(1+'Inputs'!$C$49)</x:f>
        <x:v>0.0007839643413064687</x:v>
      </x:c>
      <x:c r="AE2052" s="80" t="n">
        <x:f>Z2052-AD2052</x:f>
        <x:v>0.0023518930239194063</x:v>
      </x:c>
      <x:c r="AF2052" s="80" t="n">
        <x:f>D2052*W2052</x:f>
        <x:v>2.7396365239199124e-7</x:v>
      </x:c>
      <x:c r="AG2052" s="80" t="n">
        <x:f>C2052*W2052</x:f>
        <x:v>6.39248522247977e-7</x:v>
      </x:c>
      <x:c r="AH2052" s="80" t="n">
        <x:f>2*'Inputs'!$B$8*'Inputs'!$C$49</x:f>
        <x:v>15000</x:v>
      </x:c>
      <x:c r="AI2052" s="81" t="n">
        <x:f>IF(AH2052&gt;0,(AE2052+AF2052)/AH2052*365,0)</x:f>
        <x:v>0.00005723606336424709</x:v>
      </x:c>
      <x:c r="AJ2052" s="81" t="n">
        <x:f>IF('Inputs'!$B$49&gt;0,AG2052/('Inputs'!$B$19*'Inputs'!$B$49)*365,0)</x:f>
        <x:v>2.333257106205116e-8</x:v>
      </x:c>
      <x:c r="AK2052" s="81" t="n">
        <x:f>W2052/MAX($W$1829:W2052)-1</x:f>
        <x:v>-0.9999999987118584</x:v>
      </x:c>
      <x:c r="AL2052" s="83" t="n">
        <x:f>'Inputs'!$B$49</x:f>
        <x:v>1</x:v>
      </x:c>
      <x:c r="AM2052" s="83" t="n">
        <x:f>'Inputs'!$C$49</x:f>
        <x:v>3</x:v>
      </x:c>
      <x:c r="AN2052" s="83" t="n">
        <x:f>'Inputs'!$D$49</x:f>
        <x:v>0.75</x:v>
      </x:c>
      <x:c r="AO2052" s="81" t="n">
        <x:f>'Inputs'!$E$49</x:f>
        <x:v>-0.03</x:v>
      </x:c>
    </x:row>
    <x:row r="2053">
      <x:c r="A2053" s="59" t="str">
        <x:v>Mercenary LP</x:v>
      </x:c>
      <x:c r="B2053" s="59" t="n">
        <x:v>225</x:v>
      </x:c>
      <x:c r="C2053" s="78" t="n">
        <x:f>(('Inputs'!$B$29*(3*225*'Inputs'!$B$12-225^2)/(2*'Inputs'!$B$12^2))-('Inputs'!$B$29*(3*224*'Inputs'!$B$12-224^2)/(2*'Inputs'!$B$12^2)))*'Inputs'!$B$49</x:f>
        <x:v>638999.5777819455</x:v>
      </x:c>
      <x:c r="D2053" s="78" t="n">
        <x:f>IF('Inputs'!$C$49&gt;0,('Inputs'!$B$30*(3*225*'Inputs'!$B$12-225^2)/(2*'Inputs'!$B$12^2))-('Inputs'!$B$30*(3*224*'Inputs'!$B$12-224^2)/(2*'Inputs'!$B$12^2)),0)</x:f>
        <x:v>273856.9619065523</x:v>
      </x:c>
      <x:c r="E2053" s="78" t="n">
        <x:f>C2053+D2053</x:f>
        <x:v>912856.5396884978</x:v>
      </x:c>
      <x:c r="F2053" s="78" t="n">
        <x:f>'Inputs'!$B$13*E2053+(1-'Inputs'!$B$13)/'Inputs'!$B$14*SUM(E1998:E2053)</x:f>
        <x:v>923074.2165509481</x:v>
      </x:c>
      <x:c r="G2053" s="78" t="n">
        <x:f>F2053*'Inputs'!$F$49</x:f>
        <x:v>830766.7948958533</x:v>
      </x:c>
      <x:c r="H2053" s="78" t="n">
        <x:f>U2052</x:f>
        <x:v>348468732752.67035</x:v>
      </x:c>
      <x:c r="I2053" s="78" t="n">
        <x:f>V2052</x:f>
        <x:v>0.3484272192995353</x:v>
      </x:c>
      <x:c r="J2053" s="79" t="n">
        <x:f>IF(H2053&gt;0,I2053/H2053,0)</x:f>
        <x:v>9.998808689295962e-13</x:v>
      </x:c>
      <x:c r="K2053" s="80" t="n">
        <x:f>(H2053*J2053+I2053)*'Inputs'!$D$49*(1+'Inputs'!$G$49)^(B2053/30)</x:f>
        <x:v>0.522640828949303</x:v>
      </x:c>
      <x:c r="L2053" s="80" t="n">
        <x:f>MAX(0,K2053*'Inputs'!$E$49)</x:f>
        <x:v>0</x:v>
      </x:c>
      <x:c r="M2053" s="80" t="n">
        <x:f>MAX(0,-K2053*'Inputs'!$E$49)</x:f>
        <x:v>0.01567922486847909</x:v>
      </x:c>
      <x:c r="N2053" s="78" t="n">
        <x:f>H2053*(L2053*(1-'Inputs'!$B$15))/(I2053+L2053*(1-'Inputs'!$B$15))</x:f>
        <x:v>0</x:v>
      </x:c>
      <x:c r="O2053" s="78" t="n">
        <x:f>H2053-N2053</x:f>
        <x:v>348468732752.67035</x:v>
      </x:c>
      <x:c r="P2053" s="78" t="n">
        <x:f>I2053+L2053*(1-'Inputs'!$B$17)</x:f>
        <x:v>0.3484272192995353</x:v>
      </x:c>
      <x:c r="Q2053" s="78" t="n">
        <x:f>IF(J2053&gt;0,M2053/J2053,0)</x:f>
        <x:v>0</x:v>
      </x:c>
      <x:c r="R2053" s="78" t="n">
        <x:f>IF(B2053='Inputs'!$H$49,'Inputs'!$B$27*'Inputs'!$I$49,0)</x:f>
        <x:v>0</x:v>
      </x:c>
      <x:c r="S2053" s="78" t="n">
        <x:f>Q2053+G2053+R2053</x:f>
        <x:v>830766.7948958533</x:v>
      </x:c>
      <x:c r="T2053" s="78" t="n">
        <x:f>P2053*(S2053*(1-'Inputs'!$B$15))/(O2053+S2053*(1-'Inputs'!$B$15))</x:f>
        <x:v>8.22359205570933e-7</x:v>
      </x:c>
      <x:c r="U2053" s="78" t="n">
        <x:f>O2053+S2053*(1-'Inputs'!$B$17)</x:f>
        <x:v>348469560176.3393</x:v>
      </x:c>
      <x:c r="V2053" s="78" t="n">
        <x:f>P2053-T2053</x:f>
        <x:v>0.34842639694032973</x:v>
      </x:c>
      <x:c r="W2053" s="79" t="n">
        <x:f>IF(U2053&gt;0,V2053/U2053,0)</x:f>
        <x:v>9.998761348452137e-13</x:v>
      </x:c>
      <x:c r="X2053" s="80" t="n">
        <x:f>W2053*('Inputs'!$B$6-AC2053)</x:f>
        <x:v>-0.023154756801283316</x:v>
      </x:c>
      <x:c r="Y2053" s="80" t="n">
        <x:f>2*V2053</x:f>
        <x:v>0.6968527938806595</x:v>
      </x:c>
      <x:c r="Z2053" s="80" t="n">
        <x:f>K2053*'Inputs'!$B$16+(G2053+R2053)*J2053*'Inputs'!$B$16</x:f>
        <x:v>0.0031358499577027665</x:v>
      </x:c>
      <x:c r="AA2053" s="80" t="n">
        <x:f>K2053*(1+'Inputs'!$E$49)/2*'Inputs'!$B$17</x:f>
        <x:v>0.001020043468975501</x:v>
      </x:c>
      <x:c r="AB2053" s="78" t="n">
        <x:f>(IF(J2053&gt;0,K2053*(1-'Inputs'!$E$49)/2/J2053,0)+G2053+R2053)*'Inputs'!$B$17</x:f>
        <x:v>3343.125935194581</x:v>
      </x:c>
      <x:c r="AC2053" s="78" t="n">
        <x:f>AC2052+AB2053</x:f>
        <x:v>24157625224.116184</x:v>
      </x:c>
      <x:c r="AD2053" s="80" t="n">
        <x:f>Z2053/(1+'Inputs'!$C$49)</x:f>
        <x:v>0.0007839624894256916</x:v>
      </x:c>
      <x:c r="AE2053" s="80" t="n">
        <x:f>Z2053-AD2053</x:f>
        <x:v>0.0023518874682770747</x:v>
      </x:c>
      <x:c r="AF2053" s="80" t="n">
        <x:f>D2053*W2053</x:f>
        <x:v>2.7382304057157647e-7</x:v>
      </x:c>
      <x:c r="AG2053" s="80" t="n">
        <x:f>C2053*W2053</x:f>
        <x:v>6.389204280003351e-7</x:v>
      </x:c>
      <x:c r="AH2053" s="80" t="n">
        <x:f>2*'Inputs'!$B$8*'Inputs'!$C$49</x:f>
        <x:v>15000</x:v>
      </x:c>
      <x:c r="AI2053" s="81" t="n">
        <x:f>IF(AH2053&gt;0,(AE2053+AF2053)/AH2053*365,0)</x:f>
        <x:v>0.00005723592475539606</x:v>
      </x:c>
      <x:c r="AJ2053" s="81" t="n">
        <x:f>IF('Inputs'!$B$49&gt;0,AG2053/('Inputs'!$B$19*'Inputs'!$B$49)*365,0)</x:f>
        <x:v>2.3320595622012233e-8</x:v>
      </x:c>
      <x:c r="AK2053" s="81" t="n">
        <x:f>W2053/MAX($W$1829:W2053)-1</x:f>
        <x:v>-0.9999999987118645</x:v>
      </x:c>
      <x:c r="AL2053" s="83" t="n">
        <x:f>'Inputs'!$B$49</x:f>
        <x:v>1</x:v>
      </x:c>
      <x:c r="AM2053" s="83" t="n">
        <x:f>'Inputs'!$C$49</x:f>
        <x:v>3</x:v>
      </x:c>
      <x:c r="AN2053" s="83" t="n">
        <x:f>'Inputs'!$D$49</x:f>
        <x:v>0.75</x:v>
      </x:c>
      <x:c r="AO2053" s="81" t="n">
        <x:f>'Inputs'!$E$49</x:f>
        <x:v>-0.03</x:v>
      </x:c>
    </x:row>
    <x:row r="2054">
      <x:c r="A2054" s="59" t="str">
        <x:v>Mercenary LP</x:v>
      </x:c>
      <x:c r="B2054" s="59" t="n">
        <x:v>226</x:v>
      </x:c>
      <x:c r="C2054" s="78" t="n">
        <x:f>(('Inputs'!$B$29*(3*226*'Inputs'!$B$12-226^2)/(2*'Inputs'!$B$12^2))-('Inputs'!$B$29*(3*225*'Inputs'!$B$12-225^2)/(2*'Inputs'!$B$12^2)))*'Inputs'!$B$49</x:f>
        <x:v>638674.469881773</x:v>
      </x:c>
      <x:c r="D2054" s="78" t="n">
        <x:f>IF('Inputs'!$C$49&gt;0,('Inputs'!$B$30*(3*226*'Inputs'!$B$12-226^2)/(2*'Inputs'!$B$12^2))-('Inputs'!$B$30*(3*225*'Inputs'!$B$12-225^2)/(2*'Inputs'!$B$12^2)),0)</x:f>
        <x:v>273717.6299493313</x:v>
      </x:c>
      <x:c r="E2054" s="78" t="n">
        <x:f>C2054+D2054</x:f>
        <x:v>912392.0998311043</x:v>
      </x:c>
      <x:c r="F2054" s="78" t="n">
        <x:f>'Inputs'!$B$13*E2054+(1-'Inputs'!$B$13)/'Inputs'!$B$14*SUM(E1999:E2054)</x:f>
        <x:v>922609.7766935619</x:v>
      </x:c>
      <x:c r="G2054" s="78" t="n">
        <x:f>F2054*'Inputs'!$F$49</x:f>
        <x:v>830348.7990242058</x:v>
      </x:c>
      <x:c r="H2054" s="78" t="n">
        <x:f>U2053</x:f>
        <x:v>348469560176.3393</x:v>
      </x:c>
      <x:c r="I2054" s="78" t="n">
        <x:f>V2053</x:f>
        <x:v>0.34842639694032973</x:v>
      </x:c>
      <x:c r="J2054" s="79" t="n">
        <x:f>IF(H2054&gt;0,I2054/H2054,0)</x:f>
        <x:v>9.998761348452137e-13</x:v>
      </x:c>
      <x:c r="K2054" s="80" t="n">
        <x:f>(H2054*J2054+I2054)*'Inputs'!$D$49*(1+'Inputs'!$G$49)^(B2054/30)</x:f>
        <x:v>0.5226395954104945</x:v>
      </x:c>
      <x:c r="L2054" s="80" t="n">
        <x:f>MAX(0,K2054*'Inputs'!$E$49)</x:f>
        <x:v>0</x:v>
      </x:c>
      <x:c r="M2054" s="80" t="n">
        <x:f>MAX(0,-K2054*'Inputs'!$E$49)</x:f>
        <x:v>0.015679187862314835</x:v>
      </x:c>
      <x:c r="N2054" s="78" t="n">
        <x:f>H2054*(L2054*(1-'Inputs'!$B$15))/(I2054+L2054*(1-'Inputs'!$B$15))</x:f>
        <x:v>0</x:v>
      </x:c>
      <x:c r="O2054" s="78" t="n">
        <x:f>H2054-N2054</x:f>
        <x:v>348469560176.3393</x:v>
      </x:c>
      <x:c r="P2054" s="78" t="n">
        <x:f>I2054+L2054*(1-'Inputs'!$B$17)</x:f>
        <x:v>0.34842639694032973</x:v>
      </x:c>
      <x:c r="Q2054" s="78" t="n">
        <x:f>IF(J2054&gt;0,M2054/J2054,0)</x:f>
        <x:v>0</x:v>
      </x:c>
      <x:c r="R2054" s="78" t="n">
        <x:f>IF(B2054='Inputs'!$H$49,'Inputs'!$B$27*'Inputs'!$I$49,0)</x:f>
        <x:v>0</x:v>
      </x:c>
      <x:c r="S2054" s="78" t="n">
        <x:f>Q2054+G2054+R2054</x:f>
        <x:v>830348.7990242058</x:v>
      </x:c>
      <x:c r="T2054" s="78" t="n">
        <x:f>P2054*(S2054*(1-'Inputs'!$B$15))/(O2054+S2054*(1-'Inputs'!$B$15))</x:f>
        <x:v>8.219415492909037e-7</x:v>
      </x:c>
      <x:c r="U2054" s="78" t="n">
        <x:f>O2054+S2054*(1-'Inputs'!$B$17)</x:f>
        <x:v>348470387183.69446</x:v>
      </x:c>
      <x:c r="V2054" s="78" t="n">
        <x:f>P2054-T2054</x:f>
        <x:v>0.34842557499878046</x:v>
      </x:c>
      <x:c r="W2054" s="79" t="n">
        <x:f>IF(U2054&gt;0,V2054/U2054,0)</x:f>
        <x:v>9.9987140317639e-13</x:v>
      </x:c>
      <x:c r="X2054" s="80" t="n">
        <x:f>W2054*('Inputs'!$B$6-AC2054)</x:f>
        <x:v>-0.023154650568084172</x:v>
      </x:c>
      <x:c r="Y2054" s="80" t="n">
        <x:f>2*V2054</x:f>
        <x:v>0.6968511499975609</x:v>
      </x:c>
      <x:c r="Z2054" s="80" t="n">
        <x:f>K2054*'Inputs'!$B$16+(G2054+R2054)*J2054*'Inputs'!$B$16</x:f>
        <x:v>0.003135842553938654</x:v>
      </x:c>
      <x:c r="AA2054" s="80" t="n">
        <x:f>K2054*(1+'Inputs'!$E$49)/2*'Inputs'!$B$17</x:f>
        <x:v>0.0010200410614651504</x:v>
      </x:c>
      <x:c r="AB2054" s="78" t="n">
        <x:f>(IF(J2054&gt;0,K2054*(1-'Inputs'!$E$49)/2/J2054,0)+G2054+R2054)*'Inputs'!$B$17</x:f>
        <x:v>3341.4438592523375</x:v>
      </x:c>
      <x:c r="AC2054" s="78" t="n">
        <x:f>AC2053+AB2054</x:f>
        <x:v>24157628565.560043</x:v>
      </x:c>
      <x:c r="AD2054" s="80" t="n">
        <x:f>Z2054/(1+'Inputs'!$C$49)</x:f>
        <x:v>0.0007839606384846635</x:v>
      </x:c>
      <x:c r="AE2054" s="80" t="n">
        <x:f>Z2054-AD2054</x:f>
        <x:v>0.0023518819154539905</x:v>
      </x:c>
      <x:c r="AF2054" s="80" t="n">
        <x:f>D2054*W2054</x:f>
        <x:v>2.7368243073155374e-7</x:v>
      </x:c>
      <x:c r="AG2054" s="80" t="n">
        <x:f>C2054*W2054</x:f>
        <x:v>6.385923383736253e-7</x:v>
      </x:c>
      <x:c r="AH2054" s="80" t="n">
        <x:f>2*'Inputs'!$B$8*'Inputs'!$C$49</x:f>
        <x:v>15000</x:v>
      </x:c>
      <x:c r="AI2054" s="81" t="n">
        <x:f>IF(AH2054&gt;0,(AE2054+AF2054)/AH2054*365,0)</x:f>
        <x:v>0.0000572357862151949</x:v>
      </x:c>
      <x:c r="AJ2054" s="81" t="n">
        <x:f>IF('Inputs'!$B$49&gt;0,AG2054/('Inputs'!$B$19*'Inputs'!$B$49)*365,0)</x:f>
        <x:v>2.3308620350637327e-8</x:v>
      </x:c>
      <x:c r="AK2054" s="81" t="n">
        <x:f>W2054/MAX($W$1829:W2054)-1</x:f>
        <x:v>-0.9999999987118706</x:v>
      </x:c>
      <x:c r="AL2054" s="83" t="n">
        <x:f>'Inputs'!$B$49</x:f>
        <x:v>1</x:v>
      </x:c>
      <x:c r="AM2054" s="83" t="n">
        <x:f>'Inputs'!$C$49</x:f>
        <x:v>3</x:v>
      </x:c>
      <x:c r="AN2054" s="83" t="n">
        <x:f>'Inputs'!$D$49</x:f>
        <x:v>0.75</x:v>
      </x:c>
      <x:c r="AO2054" s="81" t="n">
        <x:f>'Inputs'!$E$49</x:f>
        <x:v>-0.03</x:v>
      </x:c>
    </x:row>
    <x:row r="2055">
      <x:c r="A2055" s="59" t="str">
        <x:v>Mercenary LP</x:v>
      </x:c>
      <x:c r="B2055" s="59" t="n">
        <x:v>227</x:v>
      </x:c>
      <x:c r="C2055" s="78" t="n">
        <x:f>(('Inputs'!$B$29*(3*227*'Inputs'!$B$12-227^2)/(2*'Inputs'!$B$12^2))-('Inputs'!$B$29*(3*226*'Inputs'!$B$12-226^2)/(2*'Inputs'!$B$12^2)))*'Inputs'!$B$49</x:f>
        <x:v>638349.3619816005</x:v>
      </x:c>
      <x:c r="D2055" s="78" t="n">
        <x:f>IF('Inputs'!$C$49&gt;0,('Inputs'!$B$30*(3*227*'Inputs'!$B$12-227^2)/(2*'Inputs'!$B$12^2))-('Inputs'!$B$30*(3*226*'Inputs'!$B$12-226^2)/(2*'Inputs'!$B$12^2)),0)</x:f>
        <x:v>273578.2979921177</x:v>
      </x:c>
      <x:c r="E2055" s="78" t="n">
        <x:f>C2055+D2055</x:f>
        <x:v>911927.6599737182</x:v>
      </x:c>
      <x:c r="F2055" s="78" t="n">
        <x:f>'Inputs'!$B$13*E2055+(1-'Inputs'!$B$13)/'Inputs'!$B$14*SUM(E2000:E2055)</x:f>
        <x:v>922145.3368361773</x:v>
      </x:c>
      <x:c r="G2055" s="78" t="n">
        <x:f>F2055*'Inputs'!$F$49</x:f>
        <x:v>829930.8031525596</x:v>
      </x:c>
      <x:c r="H2055" s="78" t="n">
        <x:f>U2054</x:f>
        <x:v>348470387183.69446</x:v>
      </x:c>
      <x:c r="I2055" s="78" t="n">
        <x:f>V2054</x:f>
        <x:v>0.34842557499878046</x:v>
      </x:c>
      <x:c r="J2055" s="79" t="n">
        <x:f>IF(H2055&gt;0,I2055/H2055,0)</x:f>
        <x:v>9.9987140317639e-13</x:v>
      </x:c>
      <x:c r="K2055" s="80" t="n">
        <x:f>(H2055*J2055+I2055)*'Inputs'!$D$49*(1+'Inputs'!$G$49)^(B2055/30)</x:f>
        <x:v>0.5226383624981707</x:v>
      </x:c>
      <x:c r="L2055" s="80" t="n">
        <x:f>MAX(0,K2055*'Inputs'!$E$49)</x:f>
        <x:v>0</x:v>
      </x:c>
      <x:c r="M2055" s="80" t="n">
        <x:f>MAX(0,-K2055*'Inputs'!$E$49)</x:f>
        <x:v>0.015679150874945123</x:v>
      </x:c>
      <x:c r="N2055" s="78" t="n">
        <x:f>H2055*(L2055*(1-'Inputs'!$B$15))/(I2055+L2055*(1-'Inputs'!$B$15))</x:f>
        <x:v>0</x:v>
      </x:c>
      <x:c r="O2055" s="78" t="n">
        <x:f>H2055-N2055</x:f>
        <x:v>348470387183.69446</x:v>
      </x:c>
      <x:c r="P2055" s="78" t="n">
        <x:f>I2055+L2055*(1-'Inputs'!$B$17)</x:f>
        <x:v>0.34842557499878046</x:v>
      </x:c>
      <x:c r="Q2055" s="78" t="n">
        <x:f>IF(J2055&gt;0,M2055/J2055,0)</x:f>
        <x:v>0</x:v>
      </x:c>
      <x:c r="R2055" s="78" t="n">
        <x:f>IF(B2055='Inputs'!$H$49,'Inputs'!$B$27*'Inputs'!$I$49,0)</x:f>
        <x:v>0</x:v>
      </x:c>
      <x:c r="S2055" s="78" t="n">
        <x:f>Q2055+G2055+R2055</x:f>
        <x:v>829930.8031525596</x:v>
      </x:c>
      <x:c r="T2055" s="78" t="n">
        <x:f>P2055*(S2055*(1-'Inputs'!$B$15))/(O2055+S2055*(1-'Inputs'!$B$15))</x:f>
        <x:v>8.215238989126363e-7</x:v>
      </x:c>
      <x:c r="U2055" s="78" t="n">
        <x:f>O2055+S2055*(1-'Inputs'!$B$17)</x:f>
        <x:v>348471213774.73584</x:v>
      </x:c>
      <x:c r="V2055" s="78" t="n">
        <x:f>P2055-T2055</x:f>
        <x:v>0.34842475347488155</x:v>
      </x:c>
      <x:c r="W2055" s="79" t="n">
        <x:f>IF(U2055&gt;0,V2055/U2055,0)</x:f>
        <x:v>9.998666739230738e-13</x:v>
      </x:c>
      <x:c r="X2055" s="80" t="n">
        <x:f>W2055*('Inputs'!$B$6-AC2055)</x:f>
        <x:v>-0.02315454438910899</x:v>
      </x:c>
      <x:c r="Y2055" s="80" t="n">
        <x:f>2*V2055</x:f>
        <x:v>0.6968495069497631</x:v>
      </x:c>
      <x:c r="Z2055" s="80" t="n">
        <x:f>K2055*'Inputs'!$B$16+(G2055+R2055)*J2055*'Inputs'!$B$16</x:f>
        <x:v>0.003135835153933485</x:v>
      </x:c>
      <x:c r="AA2055" s="80" t="n">
        <x:f>K2055*(1+'Inputs'!$E$49)/2*'Inputs'!$B$17</x:f>
        <x:v>0.0010200386551775164</x:v>
      </x:c>
      <x:c r="AB2055" s="78" t="n">
        <x:f>(IF(J2055&gt;0,K2055*(1-'Inputs'!$E$49)/2/J2055,0)+G2055+R2055)*'Inputs'!$B$17</x:f>
        <x:v>3339.761783310099</x:v>
      </x:c>
      <x:c r="AC2055" s="78" t="n">
        <x:f>AC2054+AB2055</x:f>
        <x:v>24157631905.321827</x:v>
      </x:c>
      <x:c r="AD2055" s="80" t="n">
        <x:f>Z2055/(1+'Inputs'!$C$49)</x:f>
        <x:v>0.0007839587884833712</x:v>
      </x:c>
      <x:c r="AE2055" s="80" t="n">
        <x:f>Z2055-AD2055</x:f>
        <x:v>0.002351876365450114</x:v>
      </x:c>
      <x:c r="AF2055" s="80" t="n">
        <x:f>D2055*W2055</x:f>
        <x:v>2.735418228709143e-7</x:v>
      </x:c>
      <x:c r="AG2055" s="80" t="n">
        <x:f>C2055*W2055</x:f>
        <x:v>6.382642533654592e-7</x:v>
      </x:c>
      <x:c r="AH2055" s="80" t="n">
        <x:f>2*'Inputs'!$B$8*'Inputs'!$C$49</x:f>
        <x:v>15000</x:v>
      </x:c>
      <x:c r="AI2055" s="81" t="n">
        <x:f>IF(AH2055&gt;0,(AE2055+AF2055)/AH2055*365,0)</x:f>
        <x:v>0.00005723564774364263</x:v>
      </x:c>
      <x:c r="AJ2055" s="81" t="n">
        <x:f>IF('Inputs'!$B$49&gt;0,AG2055/('Inputs'!$B$19*'Inputs'!$B$49)*365,0)</x:f>
        <x:v>2.329664524783926e-8</x:v>
      </x:c>
      <x:c r="AK2055" s="81" t="n">
        <x:f>W2055/MAX($W$1829:W2055)-1</x:f>
        <x:v>-0.9999999987118767</x:v>
      </x:c>
      <x:c r="AL2055" s="83" t="n">
        <x:f>'Inputs'!$B$49</x:f>
        <x:v>1</x:v>
      </x:c>
      <x:c r="AM2055" s="83" t="n">
        <x:f>'Inputs'!$C$49</x:f>
        <x:v>3</x:v>
      </x:c>
      <x:c r="AN2055" s="83" t="n">
        <x:f>'Inputs'!$D$49</x:f>
        <x:v>0.75</x:v>
      </x:c>
      <x:c r="AO2055" s="81" t="n">
        <x:f>'Inputs'!$E$49</x:f>
        <x:v>-0.03</x:v>
      </x:c>
    </x:row>
    <x:row r="2056">
      <x:c r="A2056" s="59" t="str">
        <x:v>Mercenary LP</x:v>
      </x:c>
      <x:c r="B2056" s="59" t="n">
        <x:v>228</x:v>
      </x:c>
      <x:c r="C2056" s="78" t="n">
        <x:f>(('Inputs'!$B$29*(3*228*'Inputs'!$B$12-228^2)/(2*'Inputs'!$B$12^2))-('Inputs'!$B$29*(3*227*'Inputs'!$B$12-227^2)/(2*'Inputs'!$B$12^2)))*'Inputs'!$B$49</x:f>
        <x:v>638024.2540814579</x:v>
      </x:c>
      <x:c r="D2056" s="78" t="n">
        <x:f>IF('Inputs'!$C$49&gt;0,('Inputs'!$B$30*(3*228*'Inputs'!$B$12-228^2)/(2*'Inputs'!$B$12^2))-('Inputs'!$B$30*(3*227*'Inputs'!$B$12-227^2)/(2*'Inputs'!$B$12^2)),0)</x:f>
        <x:v>273438.9660349041</x:v>
      </x:c>
      <x:c r="E2056" s="78" t="n">
        <x:f>C2056+D2056</x:f>
        <x:v>911463.220116362</x:v>
      </x:c>
      <x:c r="F2056" s="78" t="n">
        <x:f>'Inputs'!$B$13*E2056+(1-'Inputs'!$B$13)/'Inputs'!$B$14*SUM(E2001:E2056)</x:f>
        <x:v>921680.8969787991</x:v>
      </x:c>
      <x:c r="G2056" s="78" t="n">
        <x:f>F2056*'Inputs'!$F$49</x:f>
        <x:v>829512.8072809193</x:v>
      </x:c>
      <x:c r="H2056" s="78" t="n">
        <x:f>U2055</x:f>
        <x:v>348471213774.73584</x:v>
      </x:c>
      <x:c r="I2056" s="78" t="n">
        <x:f>V2055</x:f>
        <x:v>0.34842475347488155</x:v>
      </x:c>
      <x:c r="J2056" s="79" t="n">
        <x:f>IF(H2056&gt;0,I2056/H2056,0)</x:f>
        <x:v>9.998666739230738e-13</x:v>
      </x:c>
      <x:c r="K2056" s="80" t="n">
        <x:f>(H2056*J2056+I2056)*'Inputs'!$D$49*(1+'Inputs'!$G$49)^(B2056/30)</x:f>
        <x:v>0.5226371302123223</x:v>
      </x:c>
      <x:c r="L2056" s="80" t="n">
        <x:f>MAX(0,K2056*'Inputs'!$E$49)</x:f>
        <x:v>0</x:v>
      </x:c>
      <x:c r="M2056" s="80" t="n">
        <x:f>MAX(0,-K2056*'Inputs'!$E$49)</x:f>
        <x:v>0.01567911390636967</x:v>
      </x:c>
      <x:c r="N2056" s="78" t="n">
        <x:f>H2056*(L2056*(1-'Inputs'!$B$15))/(I2056+L2056*(1-'Inputs'!$B$15))</x:f>
        <x:v>0</x:v>
      </x:c>
      <x:c r="O2056" s="78" t="n">
        <x:f>H2056-N2056</x:f>
        <x:v>348471213774.73584</x:v>
      </x:c>
      <x:c r="P2056" s="78" t="n">
        <x:f>I2056+L2056*(1-'Inputs'!$B$17)</x:f>
        <x:v>0.34842475347488155</x:v>
      </x:c>
      <x:c r="Q2056" s="78" t="n">
        <x:f>IF(J2056&gt;0,M2056/J2056,0)</x:f>
        <x:v>0</x:v>
      </x:c>
      <x:c r="R2056" s="78" t="n">
        <x:f>IF(B2056='Inputs'!$H$49,'Inputs'!$B$27*'Inputs'!$I$49,0)</x:f>
        <x:v>0</x:v>
      </x:c>
      <x:c r="S2056" s="78" t="n">
        <x:f>Q2056+G2056+R2056</x:f>
        <x:v>829512.8072809193</x:v>
      </x:c>
      <x:c r="T2056" s="78" t="n">
        <x:f>P2056*(S2056*(1-'Inputs'!$B$15))/(O2056+S2056*(1-'Inputs'!$B$15))</x:f>
        <x:v>8.211062544330945e-7</x:v>
      </x:c>
      <x:c r="U2056" s="78" t="n">
        <x:f>O2056+S2056*(1-'Inputs'!$B$17)</x:f>
        <x:v>348472039949.46344</x:v>
      </x:c>
      <x:c r="V2056" s="78" t="n">
        <x:f>P2056-T2056</x:f>
        <x:v>0.3484239323686271</x:v>
      </x:c>
      <x:c r="W2056" s="79" t="n">
        <x:f>IF(U2056&gt;0,V2056/U2056,0)</x:f>
        <x:v>9.998619470852143e-13</x:v>
      </x:c>
      <x:c r="X2056" s="80" t="n">
        <x:f>W2056*('Inputs'!$B$6-AC2056)</x:f>
        <x:v>-0.02315443826435664</x:v>
      </x:c>
      <x:c r="Y2056" s="80" t="n">
        <x:f>2*V2056</x:f>
        <x:v>0.6968478647372542</x:v>
      </x:c>
      <x:c r="Z2056" s="80" t="n">
        <x:f>K2056*'Inputs'!$B$16+(G2056+R2056)*J2056*'Inputs'!$B$16</x:f>
        <x:v>0.0031358277576872037</x:v>
      </x:c>
      <x:c r="AA2056" s="80" t="n">
        <x:f>K2056*(1+'Inputs'!$E$49)/2*'Inputs'!$B$17</x:f>
        <x:v>0.0010200362501125808</x:v>
      </x:c>
      <x:c r="AB2056" s="78" t="n">
        <x:f>(IF(J2056&gt;0,K2056*(1-'Inputs'!$E$49)/2/J2056,0)+G2056+R2056)*'Inputs'!$B$17</x:f>
        <x:v>3338.0797073678846</x:v>
      </x:c>
      <x:c r="AC2056" s="78" t="n">
        <x:f>AC2055+AB2056</x:f>
        <x:v>24157635243.401535</x:v>
      </x:c>
      <x:c r="AD2056" s="80" t="n">
        <x:f>Z2056/(1+'Inputs'!$C$49)</x:f>
        <x:v>0.0007839569394218009</x:v>
      </x:c>
      <x:c r="AE2056" s="80" t="n">
        <x:f>Z2056-AD2056</x:f>
        <x:v>0.0023518708182654027</x:v>
      </x:c>
      <x:c r="AF2056" s="80" t="n">
        <x:f>D2056*W2056</x:f>
        <x:v>2.73401216988627e-7</x:v>
      </x:c>
      <x:c r="AG2056" s="80" t="n">
        <x:f>C2056*W2056</x:f>
        <x:v>6.379361729734779e-7</x:v>
      </x:c>
      <x:c r="AH2056" s="80" t="n">
        <x:f>2*'Inputs'!$B$8*'Inputs'!$C$49</x:f>
        <x:v>15000</x:v>
      </x:c>
      <x:c r="AI2056" s="81" t="n">
        <x:f>IF(AH2056&gt;0,(AE2056+AF2056)/AH2056*365,0)</x:f>
        <x:v>0.000057235509340738196</x:v>
      </x:c>
      <x:c r="AJ2056" s="81" t="n">
        <x:f>IF('Inputs'!$B$49&gt;0,AG2056/('Inputs'!$B$19*'Inputs'!$B$49)*365,0)</x:f>
        <x:v>2.3284670313531942e-8</x:v>
      </x:c>
      <x:c r="AK2056" s="81" t="n">
        <x:f>W2056/MAX($W$1829:W2056)-1</x:f>
        <x:v>-0.9999999987118828</x:v>
      </x:c>
      <x:c r="AL2056" s="83" t="n">
        <x:f>'Inputs'!$B$49</x:f>
        <x:v>1</x:v>
      </x:c>
      <x:c r="AM2056" s="83" t="n">
        <x:f>'Inputs'!$C$49</x:f>
        <x:v>3</x:v>
      </x:c>
      <x:c r="AN2056" s="83" t="n">
        <x:f>'Inputs'!$D$49</x:f>
        <x:v>0.75</x:v>
      </x:c>
      <x:c r="AO2056" s="81" t="n">
        <x:f>'Inputs'!$E$49</x:f>
        <x:v>-0.03</x:v>
      </x:c>
    </x:row>
    <x:row r="2057">
      <x:c r="A2057" s="59" t="str">
        <x:v>Mercenary LP</x:v>
      </x:c>
      <x:c r="B2057" s="59" t="n">
        <x:v>229</x:v>
      </x:c>
      <x:c r="C2057" s="78" t="n">
        <x:f>(('Inputs'!$B$29*(3*229*'Inputs'!$B$12-229^2)/(2*'Inputs'!$B$12^2))-('Inputs'!$B$29*(3*228*'Inputs'!$B$12-228^2)/(2*'Inputs'!$B$12^2)))*'Inputs'!$B$49</x:f>
        <x:v>637699.1461812556</x:v>
      </x:c>
      <x:c r="D2057" s="78" t="n">
        <x:f>IF('Inputs'!$C$49&gt;0,('Inputs'!$B$30*(3*229*'Inputs'!$B$12-229^2)/(2*'Inputs'!$B$12^2))-('Inputs'!$B$30*(3*228*'Inputs'!$B$12-228^2)/(2*'Inputs'!$B$12^2)),0)</x:f>
        <x:v>273299.63407769054</x:v>
      </x:c>
      <x:c r="E2057" s="78" t="n">
        <x:f>C2057+D2057</x:f>
        <x:v>910998.7802589461</x:v>
      </x:c>
      <x:c r="F2057" s="78" t="n">
        <x:f>'Inputs'!$B$13*E2057+(1-'Inputs'!$B$13)/'Inputs'!$B$14*SUM(E2002:E2057)</x:f>
        <x:v>921216.4571214083</x:v>
      </x:c>
      <x:c r="G2057" s="78" t="n">
        <x:f>F2057*'Inputs'!$F$49</x:f>
        <x:v>829094.8114092675</x:v>
      </x:c>
      <x:c r="H2057" s="78" t="n">
        <x:f>U2056</x:f>
        <x:v>348472039949.46344</x:v>
      </x:c>
      <x:c r="I2057" s="78" t="n">
        <x:f>V2056</x:f>
        <x:v>0.3484239323686271</x:v>
      </x:c>
      <x:c r="J2057" s="79" t="n">
        <x:f>IF(H2057&gt;0,I2057/H2057,0)</x:f>
        <x:v>9.998619470852143e-13</x:v>
      </x:c>
      <x:c r="K2057" s="80" t="n">
        <x:f>(H2057*J2057+I2057)*'Inputs'!$D$49*(1+'Inputs'!$G$49)^(B2057/30)</x:f>
        <x:v>0.5226358985529407</x:v>
      </x:c>
      <x:c r="L2057" s="80" t="n">
        <x:f>MAX(0,K2057*'Inputs'!$E$49)</x:f>
        <x:v>0</x:v>
      </x:c>
      <x:c r="M2057" s="80" t="n">
        <x:f>MAX(0,-K2057*'Inputs'!$E$49)</x:f>
        <x:v>0.01567907695658822</x:v>
      </x:c>
      <x:c r="N2057" s="78" t="n">
        <x:f>H2057*(L2057*(1-'Inputs'!$B$15))/(I2057+L2057*(1-'Inputs'!$B$15))</x:f>
        <x:v>0</x:v>
      </x:c>
      <x:c r="O2057" s="78" t="n">
        <x:f>H2057-N2057</x:f>
        <x:v>348472039949.46344</x:v>
      </x:c>
      <x:c r="P2057" s="78" t="n">
        <x:f>I2057+L2057*(1-'Inputs'!$B$17)</x:f>
        <x:v>0.3484239323686271</x:v>
      </x:c>
      <x:c r="Q2057" s="78" t="n">
        <x:f>IF(J2057&gt;0,M2057/J2057,0)</x:f>
        <x:v>0</x:v>
      </x:c>
      <x:c r="R2057" s="78" t="n">
        <x:f>IF(B2057='Inputs'!$H$49,'Inputs'!$B$27*'Inputs'!$I$49,0)</x:f>
        <x:v>0</x:v>
      </x:c>
      <x:c r="S2057" s="78" t="n">
        <x:f>Q2057+G2057+R2057</x:f>
        <x:v>829094.8114092675</x:v>
      </x:c>
      <x:c r="T2057" s="78" t="n">
        <x:f>P2057*(S2057*(1-'Inputs'!$B$15))/(O2057+S2057*(1-'Inputs'!$B$15))</x:f>
        <x:v>8.206886158492204e-7</x:v>
      </x:c>
      <x:c r="U2057" s="78" t="n">
        <x:f>O2057+S2057*(1-'Inputs'!$B$17)</x:f>
        <x:v>348472865707.8772</x:v>
      </x:c>
      <x:c r="V2057" s="78" t="n">
        <x:f>P2057-T2057</x:f>
        <x:v>0.3484231116800113</x:v>
      </x:c>
      <x:c r="W2057" s="79" t="n">
        <x:f>IF(U2057&gt;0,V2057/U2057,0)</x:f>
        <x:v>9.998572226627607e-13</x:v>
      </x:c>
      <x:c r="X2057" s="80" t="n">
        <x:f>W2057*('Inputs'!$B$6-AC2057)</x:f>
        <x:v>-0.023154332193825993</x:v>
      </x:c>
      <x:c r="Y2057" s="80" t="n">
        <x:f>2*V2057</x:f>
        <x:v>0.6968462233600226</x:v>
      </x:c>
      <x:c r="Z2057" s="80" t="n">
        <x:f>K2057*'Inputs'!$B$16+(G2057+R2057)*J2057*'Inputs'!$B$16</x:f>
        <x:v>0.003135820365199759</x:v>
      </x:c>
      <x:c r="AA2057" s="80" t="n">
        <x:f>K2057*(1+'Inputs'!$E$49)/2*'Inputs'!$B$17</x:f>
        <x:v>0.001020033846270327</x:v>
      </x:c>
      <x:c r="AB2057" s="78" t="n">
        <x:f>(IF(J2057&gt;0,K2057*(1-'Inputs'!$E$49)/2/J2057,0)+G2057+R2057)*'Inputs'!$B$17</x:f>
        <x:v>3336.397631425624</x:v>
      </x:c>
      <x:c r="AC2057" s="78" t="n">
        <x:f>AC2056+AB2057</x:f>
        <x:v>24157638579.799168</x:v>
      </x:c>
      <x:c r="AD2057" s="80" t="n">
        <x:f>Z2057/(1+'Inputs'!$C$49)</x:f>
        <x:v>0.0007839550912999397</x:v>
      </x:c>
      <x:c r="AE2057" s="80" t="n">
        <x:f>Z2057-AD2057</x:f>
        <x:v>0.0023518652738998194</x:v>
      </x:c>
      <x:c r="AF2057" s="80" t="n">
        <x:f>D2057*W2057</x:f>
        <x:v>2.732606130836685e-7</x:v>
      </x:c>
      <x:c r="AG2057" s="80" t="n">
        <x:f>C2057*W2057</x:f>
        <x:v>6.376080971952041e-7</x:v>
      </x:c>
      <x:c r="AH2057" s="80" t="n">
        <x:f>2*'Inputs'!$B$8*'Inputs'!$C$49</x:f>
        <x:v>15000</x:v>
      </x:c>
      <x:c r="AI2057" s="81" t="n">
        <x:f>IF(AH2057&gt;0,(AE2057+AF2057)/AH2057*365,0)</x:f>
        <x:v>0.000057235371006480634</x:v>
      </x:c>
      <x:c r="AJ2057" s="81" t="n">
        <x:f>IF('Inputs'!$B$49&gt;0,AG2057/('Inputs'!$B$19*'Inputs'!$B$49)*365,0)</x:f>
        <x:v>2.327269554762495e-8</x:v>
      </x:c>
      <x:c r="AK2057" s="81" t="n">
        <x:f>W2057/MAX($W$1829:W2057)-1</x:f>
        <x:v>-0.9999999987118889</x:v>
      </x:c>
      <x:c r="AL2057" s="83" t="n">
        <x:f>'Inputs'!$B$49</x:f>
        <x:v>1</x:v>
      </x:c>
      <x:c r="AM2057" s="83" t="n">
        <x:f>'Inputs'!$C$49</x:f>
        <x:v>3</x:v>
      </x:c>
      <x:c r="AN2057" s="83" t="n">
        <x:f>'Inputs'!$D$49</x:f>
        <x:v>0.75</x:v>
      </x:c>
      <x:c r="AO2057" s="81" t="n">
        <x:f>'Inputs'!$E$49</x:f>
        <x:v>-0.03</x:v>
      </x:c>
    </x:row>
    <x:row r="2058">
      <x:c r="A2058" s="59" t="str">
        <x:v>Mercenary LP</x:v>
      </x:c>
      <x:c r="B2058" s="59" t="n">
        <x:v>230</x:v>
      </x:c>
      <x:c r="C2058" s="78" t="n">
        <x:f>(('Inputs'!$B$29*(3*230*'Inputs'!$B$12-230^2)/(2*'Inputs'!$B$12^2))-('Inputs'!$B$29*(3*229*'Inputs'!$B$12-229^2)/(2*'Inputs'!$B$12^2)))*'Inputs'!$B$49</x:f>
        <x:v>637374.0382811129</x:v>
      </x:c>
      <x:c r="D2058" s="78" t="n">
        <x:f>IF('Inputs'!$C$49&gt;0,('Inputs'!$B$30*(3*230*'Inputs'!$B$12-230^2)/(2*'Inputs'!$B$12^2))-('Inputs'!$B$30*(3*229*'Inputs'!$B$12-229^2)/(2*'Inputs'!$B$12^2)),0)</x:f>
        <x:v>273160.3021204695</x:v>
      </x:c>
      <x:c r="E2058" s="78" t="n">
        <x:f>C2058+D2058</x:f>
        <x:v>910534.3404015824</x:v>
      </x:c>
      <x:c r="F2058" s="78" t="n">
        <x:f>'Inputs'!$B$13*E2058+(1-'Inputs'!$B$13)/'Inputs'!$B$14*SUM(E2003:E2058)</x:f>
        <x:v>920752.0172640283</x:v>
      </x:c>
      <x:c r="G2058" s="78" t="n">
        <x:f>F2058*'Inputs'!$F$49</x:f>
        <x:v>828676.8155376255</x:v>
      </x:c>
      <x:c r="H2058" s="78" t="n">
        <x:f>U2057</x:f>
        <x:v>348472865707.8772</x:v>
      </x:c>
      <x:c r="I2058" s="78" t="n">
        <x:f>V2057</x:f>
        <x:v>0.3484231116800113</x:v>
      </x:c>
      <x:c r="J2058" s="79" t="n">
        <x:f>IF(H2058&gt;0,I2058/H2058,0)</x:f>
        <x:v>9.998572226627607e-13</x:v>
      </x:c>
      <x:c r="K2058" s="80" t="n">
        <x:f>(H2058*J2058+I2058)*'Inputs'!$D$49*(1+'Inputs'!$G$49)^(B2058/30)</x:f>
        <x:v>0.5226346675200169</x:v>
      </x:c>
      <x:c r="L2058" s="80" t="n">
        <x:f>MAX(0,K2058*'Inputs'!$E$49)</x:f>
        <x:v>0</x:v>
      </x:c>
      <x:c r="M2058" s="80" t="n">
        <x:f>MAX(0,-K2058*'Inputs'!$E$49)</x:f>
        <x:v>0.015679040025600506</x:v>
      </x:c>
      <x:c r="N2058" s="78" t="n">
        <x:f>H2058*(L2058*(1-'Inputs'!$B$15))/(I2058+L2058*(1-'Inputs'!$B$15))</x:f>
        <x:v>0</x:v>
      </x:c>
      <x:c r="O2058" s="78" t="n">
        <x:f>H2058-N2058</x:f>
        <x:v>348472865707.8772</x:v>
      </x:c>
      <x:c r="P2058" s="78" t="n">
        <x:f>I2058+L2058*(1-'Inputs'!$B$17)</x:f>
        <x:v>0.3484231116800113</x:v>
      </x:c>
      <x:c r="Q2058" s="78" t="n">
        <x:f>IF(J2058&gt;0,M2058/J2058,0)</x:f>
        <x:v>0</x:v>
      </x:c>
      <x:c r="R2058" s="78" t="n">
        <x:f>IF(B2058='Inputs'!$H$49,'Inputs'!$B$27*'Inputs'!$I$49,0)</x:f>
        <x:v>0</x:v>
      </x:c>
      <x:c r="S2058" s="78" t="n">
        <x:f>Q2058+G2058+R2058</x:f>
        <x:v>828676.8155376255</x:v>
      </x:c>
      <x:c r="T2058" s="78" t="n">
        <x:f>P2058*(S2058*(1-'Inputs'!$B$15))/(O2058+S2058*(1-'Inputs'!$B$15))</x:f>
        <x:v>8.202709831579951e-7</x:v>
      </x:c>
      <x:c r="U2058" s="78" t="n">
        <x:f>O2058+S2058*(1-'Inputs'!$B$17)</x:f>
        <x:v>348473691049.9772</x:v>
      </x:c>
      <x:c r="V2058" s="78" t="n">
        <x:f>P2058-T2058</x:f>
        <x:v>0.34842229140902814</x:v>
      </x:c>
      <x:c r="W2058" s="79" t="n">
        <x:f>IF(U2058&gt;0,V2058/U2058,0)</x:f>
        <x:v>9.998525006556617e-13</x:v>
      </x:c>
      <x:c r="X2058" s="80" t="n">
        <x:f>W2058*('Inputs'!$B$6-AC2058)</x:f>
        <x:v>-0.02315422617751591</x:v>
      </x:c>
      <x:c r="Y2058" s="80" t="n">
        <x:f>2*V2058</x:f>
        <x:v>0.6968445828180563</x:v>
      </x:c>
      <x:c r="Z2058" s="80" t="n">
        <x:f>K2058*'Inputs'!$B$16+(G2058+R2058)*J2058*'Inputs'!$B$16</x:f>
        <x:v>0.003135812976471097</x:v>
      </x:c>
      <x:c r="AA2058" s="80" t="n">
        <x:f>K2058*(1+'Inputs'!$E$49)/2*'Inputs'!$B$17</x:f>
        <x:v>0.0010200314436507373</x:v>
      </x:c>
      <x:c r="AB2058" s="78" t="n">
        <x:f>(IF(J2058&gt;0,K2058*(1-'Inputs'!$E$49)/2/J2058,0)+G2058+R2058)*'Inputs'!$B$17</x:f>
        <x:v>3334.7155554834026</x:v>
      </x:c>
      <x:c r="AC2058" s="78" t="n">
        <x:f>AC2057+AB2058</x:f>
        <x:v>24157641914.514725</x:v>
      </x:c>
      <x:c r="AD2058" s="80" t="n">
        <x:f>Z2058/(1+'Inputs'!$C$49)</x:f>
        <x:v>0.0007839532441177743</x:v>
      </x:c>
      <x:c r="AE2058" s="80" t="n">
        <x:f>Z2058-AD2058</x:f>
        <x:v>0.002351859732353323</x:v>
      </x:c>
      <x:c r="AF2058" s="80" t="n">
        <x:f>D2058*W2058</x:f>
        <x:v>2.731200111550075e-7</x:v>
      </x:c>
      <x:c r="AG2058" s="80" t="n">
        <x:f>C2058*W2058</x:f>
        <x:v>6.372800260283682e-7</x:v>
      </x:c>
      <x:c r="AH2058" s="80" t="n">
        <x:f>2*'Inputs'!$B$8*'Inputs'!$C$49</x:f>
        <x:v>15000</x:v>
      </x:c>
      <x:c r="AI2058" s="81" t="n">
        <x:f>IF(AH2058&gt;0,(AE2058+AF2058)/AH2058*365,0)</x:f>
        <x:v>0.00005723523274086896</x:v>
      </x:c>
      <x:c r="AJ2058" s="81" t="n">
        <x:f>IF('Inputs'!$B$49&gt;0,AG2058/('Inputs'!$B$19*'Inputs'!$B$49)*365,0)</x:f>
        <x:v>2.3260720950035438e-8</x:v>
      </x:c>
      <x:c r="AK2058" s="81" t="n">
        <x:f>W2058/MAX($W$1829:W2058)-1</x:f>
        <x:v>-0.9999999987118949</x:v>
      </x:c>
      <x:c r="AL2058" s="83" t="n">
        <x:f>'Inputs'!$B$49</x:f>
        <x:v>1</x:v>
      </x:c>
      <x:c r="AM2058" s="83" t="n">
        <x:f>'Inputs'!$C$49</x:f>
        <x:v>3</x:v>
      </x:c>
      <x:c r="AN2058" s="83" t="n">
        <x:f>'Inputs'!$D$49</x:f>
        <x:v>0.75</x:v>
      </x:c>
      <x:c r="AO2058" s="81" t="n">
        <x:f>'Inputs'!$E$49</x:f>
        <x:v>-0.03</x:v>
      </x:c>
    </x:row>
    <x:row r="2059">
      <x:c r="A2059" s="59" t="str">
        <x:v>Mercenary LP</x:v>
      </x:c>
      <x:c r="B2059" s="59" t="n">
        <x:v>231</x:v>
      </x:c>
      <x:c r="C2059" s="78" t="n">
        <x:f>(('Inputs'!$B$29*(3*231*'Inputs'!$B$12-231^2)/(2*'Inputs'!$B$12^2))-('Inputs'!$B$29*(3*230*'Inputs'!$B$12-230^2)/(2*'Inputs'!$B$12^2)))*'Inputs'!$B$49</x:f>
        <x:v>637048.9303809404</x:v>
      </x:c>
      <x:c r="D2059" s="78" t="n">
        <x:f>IF('Inputs'!$C$49&gt;0,('Inputs'!$B$30*(3*231*'Inputs'!$B$12-231^2)/(2*'Inputs'!$B$12^2))-('Inputs'!$B$30*(3*230*'Inputs'!$B$12-230^2)/(2*'Inputs'!$B$12^2)),0)</x:f>
        <x:v>273020.97016325593</x:v>
      </x:c>
      <x:c r="E2059" s="78" t="n">
        <x:f>C2059+D2059</x:f>
        <x:v>910069.9005441964</x:v>
      </x:c>
      <x:c r="F2059" s="78" t="n">
        <x:f>'Inputs'!$B$13*E2059+(1-'Inputs'!$B$13)/'Inputs'!$B$14*SUM(E2004:E2059)</x:f>
        <x:v>920287.5774066439</x:v>
      </x:c>
      <x:c r="G2059" s="78" t="n">
        <x:f>F2059*'Inputs'!$F$49</x:f>
        <x:v>828258.8196659795</x:v>
      </x:c>
      <x:c r="H2059" s="78" t="n">
        <x:f>U2058</x:f>
        <x:v>348473691049.9772</x:v>
      </x:c>
      <x:c r="I2059" s="78" t="n">
        <x:f>V2058</x:f>
        <x:v>0.34842229140902814</x:v>
      </x:c>
      <x:c r="J2059" s="79" t="n">
        <x:f>IF(H2059&gt;0,I2059/H2059,0)</x:f>
        <x:v>9.998525006556617e-13</x:v>
      </x:c>
      <x:c r="K2059" s="80" t="n">
        <x:f>(H2059*J2059+I2059)*'Inputs'!$D$49*(1+'Inputs'!$G$49)^(B2059/30)</x:f>
        <x:v>0.5226334371135422</x:v>
      </x:c>
      <x:c r="L2059" s="80" t="n">
        <x:f>MAX(0,K2059*'Inputs'!$E$49)</x:f>
        <x:v>0</x:v>
      </x:c>
      <x:c r="M2059" s="80" t="n">
        <x:f>MAX(0,-K2059*'Inputs'!$E$49)</x:f>
        <x:v>0.015679003113406264</x:v>
      </x:c>
      <x:c r="N2059" s="78" t="n">
        <x:f>H2059*(L2059*(1-'Inputs'!$B$15))/(I2059+L2059*(1-'Inputs'!$B$15))</x:f>
        <x:v>0</x:v>
      </x:c>
      <x:c r="O2059" s="78" t="n">
        <x:f>H2059-N2059</x:f>
        <x:v>348473691049.9772</x:v>
      </x:c>
      <x:c r="P2059" s="78" t="n">
        <x:f>I2059+L2059*(1-'Inputs'!$B$17)</x:f>
        <x:v>0.34842229140902814</x:v>
      </x:c>
      <x:c r="Q2059" s="78" t="n">
        <x:f>IF(J2059&gt;0,M2059/J2059,0)</x:f>
        <x:v>0</x:v>
      </x:c>
      <x:c r="R2059" s="78" t="n">
        <x:f>IF(B2059='Inputs'!$H$49,'Inputs'!$B$27*'Inputs'!$I$49,0)</x:f>
        <x:v>0</x:v>
      </x:c>
      <x:c r="S2059" s="78" t="n">
        <x:f>Q2059+G2059+R2059</x:f>
        <x:v>828258.8196659795</x:v>
      </x:c>
      <x:c r="T2059" s="78" t="n">
        <x:f>P2059*(S2059*(1-'Inputs'!$B$15))/(O2059+S2059*(1-'Inputs'!$B$15))</x:f>
        <x:v>8.198533563563643e-7</x:v>
      </x:c>
      <x:c r="U2059" s="78" t="n">
        <x:f>O2059+S2059*(1-'Inputs'!$B$17)</x:f>
        <x:v>348474515975.76337</x:v>
      </x:c>
      <x:c r="V2059" s="78" t="n">
        <x:f>P2059-T2059</x:f>
        <x:v>0.34842147155567177</x:v>
      </x:c>
      <x:c r="W2059" s="79" t="n">
        <x:f>IF(U2059&gt;0,V2059/U2059,0)</x:f>
        <x:v>9.998477810638661e-13</x:v>
      </x:c>
      <x:c r="X2059" s="80" t="n">
        <x:f>W2059*('Inputs'!$B$6-AC2059)</x:f>
        <x:v>-0.023154120215425254</x:v>
      </x:c>
      <x:c r="Y2059" s="80" t="n">
        <x:f>2*V2059</x:f>
        <x:v>0.6968429431113435</x:v>
      </x:c>
      <x:c r="Z2059" s="80" t="n">
        <x:f>K2059*'Inputs'!$B$16+(G2059+R2059)*J2059*'Inputs'!$B$16</x:f>
        <x:v>0.0031358055915011655</x:v>
      </x:c>
      <x:c r="AA2059" s="80" t="n">
        <x:f>K2059*(1+'Inputs'!$E$49)/2*'Inputs'!$B$17</x:f>
        <x:v>0.0010200290422537946</x:v>
      </x:c>
      <x:c r="AB2059" s="78" t="n">
        <x:f>(IF(J2059&gt;0,K2059*(1-'Inputs'!$E$49)/2/J2059,0)+G2059+R2059)*'Inputs'!$B$17</x:f>
        <x:v>3333.033479541165</x:v>
      </x:c>
      <x:c r="AC2059" s="78" t="n">
        <x:f>AC2058+AB2059</x:f>
        <x:v>24157645247.548203</x:v>
      </x:c>
      <x:c r="AD2059" s="80" t="n">
        <x:f>Z2059/(1+'Inputs'!$C$49)</x:f>
        <x:v>0.0007839513978752914</x:v>
      </x:c>
      <x:c r="AE2059" s="80" t="n">
        <x:f>Z2059-AD2059</x:f>
        <x:v>0.002351854193625874</x:v>
      </x:c>
      <x:c r="AF2059" s="80" t="n">
        <x:f>D2059*W2059</x:f>
        <x:v>2.7297941120163543e-7</x:v>
      </x:c>
      <x:c r="AG2059" s="80" t="n">
        <x:f>C2059*W2059</x:f>
        <x:v>6.369519594704926e-7</x:v>
      </x:c>
      <x:c r="AH2059" s="80" t="n">
        <x:f>2*'Inputs'!$B$8*'Inputs'!$C$49</x:f>
        <x:v>15000</x:v>
      </x:c>
      <x:c r="AI2059" s="81" t="n">
        <x:f>IF(AH2059&gt;0,(AE2059+AF2059)/AH2059*365,0)</x:f>
        <x:v>0.000057235094543902184</x:v>
      </x:c>
      <x:c r="AJ2059" s="81" t="n">
        <x:f>IF('Inputs'!$B$49&gt;0,AG2059/('Inputs'!$B$19*'Inputs'!$B$49)*365,0)</x:f>
        <x:v>2.3248746520672983e-8</x:v>
      </x:c>
      <x:c r="AK2059" s="81" t="n">
        <x:f>W2059/MAX($W$1829:W2059)-1</x:f>
        <x:v>-0.999999998711901</x:v>
      </x:c>
      <x:c r="AL2059" s="83" t="n">
        <x:f>'Inputs'!$B$49</x:f>
        <x:v>1</x:v>
      </x:c>
      <x:c r="AM2059" s="83" t="n">
        <x:f>'Inputs'!$C$49</x:f>
        <x:v>3</x:v>
      </x:c>
      <x:c r="AN2059" s="83" t="n">
        <x:f>'Inputs'!$D$49</x:f>
        <x:v>0.75</x:v>
      </x:c>
      <x:c r="AO2059" s="81" t="n">
        <x:f>'Inputs'!$E$49</x:f>
        <x:v>-0.03</x:v>
      </x:c>
    </x:row>
    <x:row r="2060">
      <x:c r="A2060" s="59" t="str">
        <x:v>Mercenary LP</x:v>
      </x:c>
      <x:c r="B2060" s="59" t="n">
        <x:v>232</x:v>
      </x:c>
      <x:c r="C2060" s="78" t="n">
        <x:f>(('Inputs'!$B$29*(3*232*'Inputs'!$B$12-232^2)/(2*'Inputs'!$B$12^2))-('Inputs'!$B$29*(3*231*'Inputs'!$B$12-231^2)/(2*'Inputs'!$B$12^2)))*'Inputs'!$B$49</x:f>
        <x:v>636723.822480768</x:v>
      </x:c>
      <x:c r="D2060" s="78" t="n">
        <x:f>IF('Inputs'!$C$49&gt;0,('Inputs'!$B$30*(3*232*'Inputs'!$B$12-232^2)/(2*'Inputs'!$B$12^2))-('Inputs'!$B$30*(3*231*'Inputs'!$B$12-231^2)/(2*'Inputs'!$B$12^2)),0)</x:f>
        <x:v>272881.63820604235</x:v>
      </x:c>
      <x:c r="E2060" s="78" t="n">
        <x:f>C2060+D2060</x:f>
        <x:v>909605.4606868103</x:v>
      </x:c>
      <x:c r="F2060" s="78" t="n">
        <x:f>'Inputs'!$B$13*E2060+(1-'Inputs'!$B$13)/'Inputs'!$B$14*SUM(E2005:E2060)</x:f>
        <x:v>919823.1375492595</x:v>
      </x:c>
      <x:c r="G2060" s="78" t="n">
        <x:f>F2060*'Inputs'!$F$49</x:f>
        <x:v>827840.8237943335</x:v>
      </x:c>
      <x:c r="H2060" s="78" t="n">
        <x:f>U2059</x:f>
        <x:v>348474515975.76337</x:v>
      </x:c>
      <x:c r="I2060" s="78" t="n">
        <x:f>V2059</x:f>
        <x:v>0.34842147155567177</x:v>
      </x:c>
      <x:c r="J2060" s="79" t="n">
        <x:f>IF(H2060&gt;0,I2060/H2060,0)</x:f>
        <x:v>9.998477810638661e-13</x:v>
      </x:c>
      <x:c r="K2060" s="80" t="n">
        <x:f>(H2060*J2060+I2060)*'Inputs'!$D$49*(1+'Inputs'!$G$49)^(B2060/30)</x:f>
        <x:v>0.5226322073335077</x:v>
      </x:c>
      <x:c r="L2060" s="80" t="n">
        <x:f>MAX(0,K2060*'Inputs'!$E$49)</x:f>
        <x:v>0</x:v>
      </x:c>
      <x:c r="M2060" s="80" t="n">
        <x:f>MAX(0,-K2060*'Inputs'!$E$49)</x:f>
        <x:v>0.01567896622000523</x:v>
      </x:c>
      <x:c r="N2060" s="78" t="n">
        <x:f>H2060*(L2060*(1-'Inputs'!$B$15))/(I2060+L2060*(1-'Inputs'!$B$15))</x:f>
        <x:v>0</x:v>
      </x:c>
      <x:c r="O2060" s="78" t="n">
        <x:f>H2060-N2060</x:f>
        <x:v>348474515975.76337</x:v>
      </x:c>
      <x:c r="P2060" s="78" t="n">
        <x:f>I2060+L2060*(1-'Inputs'!$B$17)</x:f>
        <x:v>0.34842147155567177</x:v>
      </x:c>
      <x:c r="Q2060" s="78" t="n">
        <x:f>IF(J2060&gt;0,M2060/J2060,0)</x:f>
        <x:v>0</x:v>
      </x:c>
      <x:c r="R2060" s="78" t="n">
        <x:f>IF(B2060='Inputs'!$H$49,'Inputs'!$B$27*'Inputs'!$I$49,0)</x:f>
        <x:v>0</x:v>
      </x:c>
      <x:c r="S2060" s="78" t="n">
        <x:f>Q2060+G2060+R2060</x:f>
        <x:v>827840.8237943335</x:v>
      </x:c>
      <x:c r="T2060" s="78" t="n">
        <x:f>P2060*(S2060*(1-'Inputs'!$B$15))/(O2060+S2060*(1-'Inputs'!$B$15))</x:f>
        <x:v>8.194357354412914e-7</x:v>
      </x:c>
      <x:c r="U2060" s="78" t="n">
        <x:f>O2060+S2060*(1-'Inputs'!$B$17)</x:f>
        <x:v>348475340485.2358</x:v>
      </x:c>
      <x:c r="V2060" s="78" t="n">
        <x:f>P2060-T2060</x:f>
        <x:v>0.34842065211993634</x:v>
      </x:c>
      <x:c r="W2060" s="79" t="n">
        <x:f>IF(U2060&gt;0,V2060/U2060,0)</x:f>
        <x:v>9.998430638873233e-13</x:v>
      </x:c>
      <x:c r="X2060" s="80" t="n">
        <x:f>W2060*('Inputs'!$B$6-AC2060)</x:f>
        <x:v>-0.0231540143075529</x:v>
      </x:c>
      <x:c r="Y2060" s="80" t="n">
        <x:f>2*V2060</x:f>
        <x:v>0.6968413042398727</x:v>
      </x:c>
      <x:c r="Z2060" s="80" t="n">
        <x:f>K2060*'Inputs'!$B$16+(G2060+R2060)*J2060*'Inputs'!$B$16</x:f>
        <x:v>0.003135798210289911</x:v>
      </x:c>
      <x:c r="AA2060" s="80" t="n">
        <x:f>K2060*(1+'Inputs'!$E$49)/2*'Inputs'!$B$17</x:f>
        <x:v>0.0010200266420794819</x:v>
      </x:c>
      <x:c r="AB2060" s="78" t="n">
        <x:f>(IF(J2060&gt;0,K2060*(1-'Inputs'!$E$49)/2/J2060,0)+G2060+R2060)*'Inputs'!$B$17</x:f>
        <x:v>3331.351403598928</x:v>
      </x:c>
      <x:c r="AC2060" s="78" t="n">
        <x:f>AC2059+AB2060</x:f>
        <x:v>24157648578.899605</x:v>
      </x:c>
      <x:c r="AD2060" s="80" t="n">
        <x:f>Z2060/(1+'Inputs'!$C$49)</x:f>
        <x:v>0.0007839495525724777</x:v>
      </x:c>
      <x:c r="AE2060" s="80" t="n">
        <x:f>Z2060-AD2060</x:f>
        <x:v>0.002351848657717433</x:v>
      </x:c>
      <x:c r="AF2060" s="80" t="n">
        <x:f>D2060*W2060</x:f>
        <x:v>2.7283881322252147e-7</x:v>
      </x:c>
      <x:c r="AG2060" s="80" t="n">
        <x:f>C2060*W2060</x:f>
        <x:v>6.366238975192192e-7</x:v>
      </x:c>
      <x:c r="AH2060" s="80" t="n">
        <x:f>2*'Inputs'!$B$8*'Inputs'!$C$49</x:f>
        <x:v>15000</x:v>
      </x:c>
      <x:c r="AI2060" s="81" t="n">
        <x:f>IF(AH2060&gt;0,(AE2060+AF2060)/AH2060*365,0)</x:f>
        <x:v>0.00005723495641557929</x:v>
      </x:c>
      <x:c r="AJ2060" s="81" t="n">
        <x:f>IF('Inputs'!$B$49&gt;0,AG2060/('Inputs'!$B$19*'Inputs'!$B$49)*365,0)</x:f>
        <x:v>2.32367722594515e-8</x:v>
      </x:c>
      <x:c r="AK2060" s="81" t="n">
        <x:f>W2060/MAX($W$1829:W2060)-1</x:f>
        <x:v>-0.9999999987119071</x:v>
      </x:c>
      <x:c r="AL2060" s="83" t="n">
        <x:f>'Inputs'!$B$49</x:f>
        <x:v>1</x:v>
      </x:c>
      <x:c r="AM2060" s="83" t="n">
        <x:f>'Inputs'!$C$49</x:f>
        <x:v>3</x:v>
      </x:c>
      <x:c r="AN2060" s="83" t="n">
        <x:f>'Inputs'!$D$49</x:f>
        <x:v>0.75</x:v>
      </x:c>
      <x:c r="AO2060" s="81" t="n">
        <x:f>'Inputs'!$E$49</x:f>
        <x:v>-0.03</x:v>
      </x:c>
    </x:row>
    <x:row r="2061">
      <x:c r="A2061" s="59" t="str">
        <x:v>Mercenary LP</x:v>
      </x:c>
      <x:c r="B2061" s="59" t="n">
        <x:v>233</x:v>
      </x:c>
      <x:c r="C2061" s="78" t="n">
        <x:f>(('Inputs'!$B$29*(3*233*'Inputs'!$B$12-233^2)/(2*'Inputs'!$B$12^2))-('Inputs'!$B$29*(3*232*'Inputs'!$B$12-232^2)/(2*'Inputs'!$B$12^2)))*'Inputs'!$B$49</x:f>
        <x:v>636398.7145805955</x:v>
      </x:c>
      <x:c r="D2061" s="78" t="n">
        <x:f>IF('Inputs'!$C$49&gt;0,('Inputs'!$B$30*(3*233*'Inputs'!$B$12-233^2)/(2*'Inputs'!$B$12^2))-('Inputs'!$B$30*(3*232*'Inputs'!$B$12-232^2)/(2*'Inputs'!$B$12^2)),0)</x:f>
        <x:v>272742.30624882877</x:v>
      </x:c>
      <x:c r="E2061" s="78" t="n">
        <x:f>C2061+D2061</x:f>
        <x:v>909141.0208294243</x:v>
      </x:c>
      <x:c r="F2061" s="78" t="n">
        <x:f>'Inputs'!$B$13*E2061+(1-'Inputs'!$B$13)/'Inputs'!$B$14*SUM(E2006:E2061)</x:f>
        <x:v>919358.6976918749</x:v>
      </x:c>
      <x:c r="G2061" s="78" t="n">
        <x:f>F2061*'Inputs'!$F$49</x:f>
        <x:v>827422.8279226874</x:v>
      </x:c>
      <x:c r="H2061" s="78" t="n">
        <x:f>U2060</x:f>
        <x:v>348475340485.2358</x:v>
      </x:c>
      <x:c r="I2061" s="78" t="n">
        <x:f>V2060</x:f>
        <x:v>0.34842065211993634</x:v>
      </x:c>
      <x:c r="J2061" s="79" t="n">
        <x:f>IF(H2061&gt;0,I2061/H2061,0)</x:f>
        <x:v>9.998430638873233e-13</x:v>
      </x:c>
      <x:c r="K2061" s="80" t="n">
        <x:f>(H2061*J2061+I2061)*'Inputs'!$D$49*(1+'Inputs'!$G$49)^(B2061/30)</x:f>
        <x:v>0.5226309781799046</x:v>
      </x:c>
      <x:c r="L2061" s="80" t="n">
        <x:f>MAX(0,K2061*'Inputs'!$E$49)</x:f>
        <x:v>0</x:v>
      </x:c>
      <x:c r="M2061" s="80" t="n">
        <x:f>MAX(0,-K2061*'Inputs'!$E$49)</x:f>
        <x:v>0.015678929345397136</x:v>
      </x:c>
      <x:c r="N2061" s="78" t="n">
        <x:f>H2061*(L2061*(1-'Inputs'!$B$15))/(I2061+L2061*(1-'Inputs'!$B$15))</x:f>
        <x:v>0</x:v>
      </x:c>
      <x:c r="O2061" s="78" t="n">
        <x:f>H2061-N2061</x:f>
        <x:v>348475340485.2358</x:v>
      </x:c>
      <x:c r="P2061" s="78" t="n">
        <x:f>I2061+L2061*(1-'Inputs'!$B$17)</x:f>
        <x:v>0.34842065211993634</x:v>
      </x:c>
      <x:c r="Q2061" s="78" t="n">
        <x:f>IF(J2061&gt;0,M2061/J2061,0)</x:f>
        <x:v>0</x:v>
      </x:c>
      <x:c r="R2061" s="78" t="n">
        <x:f>IF(B2061='Inputs'!$H$49,'Inputs'!$B$27*'Inputs'!$I$49,0)</x:f>
        <x:v>0</x:v>
      </x:c>
      <x:c r="S2061" s="78" t="n">
        <x:f>Q2061+G2061+R2061</x:f>
        <x:v>827422.8279226874</x:v>
      </x:c>
      <x:c r="T2061" s="78" t="n">
        <x:f>P2061*(S2061*(1-'Inputs'!$B$15))/(O2061+S2061*(1-'Inputs'!$B$15))</x:f>
        <x:v>8.190181204097364e-7</x:v>
      </x:c>
      <x:c r="U2061" s="78" t="n">
        <x:f>O2061+S2061*(1-'Inputs'!$B$17)</x:f>
        <x:v>348476164578.39435</x:v>
      </x:c>
      <x:c r="V2061" s="78" t="n">
        <x:f>P2061-T2061</x:f>
        <x:v>0.3484198331018159</x:v>
      </x:c>
      <x:c r="W2061" s="79" t="n">
        <x:f>IF(U2061&gt;0,V2061/U2061,0)</x:f>
        <x:v>9.998383491259823e-13</x:v>
      </x:c>
      <x:c r="X2061" s="80" t="n">
        <x:f>W2061*('Inputs'!$B$6-AC2061)</x:f>
        <x:v>-0.023153908453897712</x:v>
      </x:c>
      <x:c r="Y2061" s="80" t="n">
        <x:f>2*V2061</x:f>
        <x:v>0.6968396662036318</x:v>
      </x:c>
      <x:c r="Z2061" s="80" t="n">
        <x:f>K2061*'Inputs'!$B$16+(G2061+R2061)*J2061*'Inputs'!$B$16</x:f>
        <x:v>0.0031357908328372795</x:v>
      </x:c>
      <x:c r="AA2061" s="80" t="n">
        <x:f>K2061*(1+'Inputs'!$E$49)/2*'Inputs'!$B$17</x:f>
        <x:v>0.0010200242431277816</x:v>
      </x:c>
      <x:c r="AB2061" s="78" t="n">
        <x:f>(IF(J2061&gt;0,K2061*(1-'Inputs'!$E$49)/2/J2061,0)+G2061+R2061)*'Inputs'!$B$17</x:f>
        <x:v>3329.66932765669</x:v>
      </x:c>
      <x:c r="AC2061" s="78" t="n">
        <x:f>AC2060+AB2061</x:f>
        <x:v>24157651908.56893</x:v>
      </x:c>
      <x:c r="AD2061" s="80" t="n">
        <x:f>Z2061/(1+'Inputs'!$C$49)</x:f>
        <x:v>0.0007839477082093199</x:v>
      </x:c>
      <x:c r="AE2061" s="80" t="n">
        <x:f>Z2061-AD2061</x:f>
        <x:v>0.0023518431246279596</x:v>
      </x:c>
      <x:c r="AF2061" s="80" t="n">
        <x:f>D2061*W2061</x:f>
        <x:v>2.72698217216642e-7</x:v>
      </x:c>
      <x:c r="AG2061" s="80" t="n">
        <x:f>C2061*W2061</x:f>
        <x:v>6.362958401721598e-7</x:v>
      </x:c>
      <x:c r="AH2061" s="80" t="n">
        <x:f>2*'Inputs'!$B$8*'Inputs'!$C$49</x:f>
        <x:v>15000</x:v>
      </x:c>
      <x:c r="AI2061" s="81" t="n">
        <x:f>IF(AH2061&gt;0,(AE2061+AF2061)/AH2061*365,0)</x:f>
        <x:v>0.00005723481835589929</x:v>
      </x:c>
      <x:c r="AJ2061" s="81" t="n">
        <x:f>IF('Inputs'!$B$49&gt;0,AG2061/('Inputs'!$B$19*'Inputs'!$B$49)*365,0)</x:f>
        <x:v>2.3224798166283833e-8</x:v>
      </x:c>
      <x:c r="AK2061" s="81" t="n">
        <x:f>W2061/MAX($W$1829:W2061)-1</x:f>
        <x:v>-0.9999999987119133</x:v>
      </x:c>
      <x:c r="AL2061" s="83" t="n">
        <x:f>'Inputs'!$B$49</x:f>
        <x:v>1</x:v>
      </x:c>
      <x:c r="AM2061" s="83" t="n">
        <x:f>'Inputs'!$C$49</x:f>
        <x:v>3</x:v>
      </x:c>
      <x:c r="AN2061" s="83" t="n">
        <x:f>'Inputs'!$D$49</x:f>
        <x:v>0.75</x:v>
      </x:c>
      <x:c r="AO2061" s="81" t="n">
        <x:f>'Inputs'!$E$49</x:f>
        <x:v>-0.03</x:v>
      </x:c>
    </x:row>
    <x:row r="2062">
      <x:c r="A2062" s="59" t="str">
        <x:v>Mercenary LP</x:v>
      </x:c>
      <x:c r="B2062" s="59" t="n">
        <x:v>234</x:v>
      </x:c>
      <x:c r="C2062" s="78" t="n">
        <x:f>(('Inputs'!$B$29*(3*234*'Inputs'!$B$12-234^2)/(2*'Inputs'!$B$12^2))-('Inputs'!$B$29*(3*233*'Inputs'!$B$12-233^2)/(2*'Inputs'!$B$12^2)))*'Inputs'!$B$49</x:f>
        <x:v>636073.606680423</x:v>
      </x:c>
      <x:c r="D2062" s="78" t="n">
        <x:f>IF('Inputs'!$C$49&gt;0,('Inputs'!$B$30*(3*234*'Inputs'!$B$12-234^2)/(2*'Inputs'!$B$12^2))-('Inputs'!$B$30*(3*233*'Inputs'!$B$12-233^2)/(2*'Inputs'!$B$12^2)),0)</x:f>
        <x:v>272602.97429160774</x:v>
      </x:c>
      <x:c r="E2062" s="78" t="n">
        <x:f>C2062+D2062</x:f>
        <x:v>908676.5809720308</x:v>
      </x:c>
      <x:c r="F2062" s="78" t="n">
        <x:f>'Inputs'!$B$13*E2062+(1-'Inputs'!$B$13)/'Inputs'!$B$14*SUM(E2007:E2062)</x:f>
        <x:v>918894.2578344888</x:v>
      </x:c>
      <x:c r="G2062" s="78" t="n">
        <x:f>F2062*'Inputs'!$F$49</x:f>
        <x:v>827004.8320510399</x:v>
      </x:c>
      <x:c r="H2062" s="78" t="n">
        <x:f>U2061</x:f>
        <x:v>348476164578.39435</x:v>
      </x:c>
      <x:c r="I2062" s="78" t="n">
        <x:f>V2061</x:f>
        <x:v>0.3484198331018159</x:v>
      </x:c>
      <x:c r="J2062" s="79" t="n">
        <x:f>IF(H2062&gt;0,I2062/H2062,0)</x:f>
        <x:v>9.998383491259823e-13</x:v>
      </x:c>
      <x:c r="K2062" s="80" t="n">
        <x:f>(H2062*J2062+I2062)*'Inputs'!$D$49*(1+'Inputs'!$G$49)^(B2062/30)</x:f>
        <x:v>0.5226297496527239</x:v>
      </x:c>
      <x:c r="L2062" s="80" t="n">
        <x:f>MAX(0,K2062*'Inputs'!$E$49)</x:f>
        <x:v>0</x:v>
      </x:c>
      <x:c r="M2062" s="80" t="n">
        <x:f>MAX(0,-K2062*'Inputs'!$E$49)</x:f>
        <x:v>0.015678892489581715</x:v>
      </x:c>
      <x:c r="N2062" s="78" t="n">
        <x:f>H2062*(L2062*(1-'Inputs'!$B$15))/(I2062+L2062*(1-'Inputs'!$B$15))</x:f>
        <x:v>0</x:v>
      </x:c>
      <x:c r="O2062" s="78" t="n">
        <x:f>H2062-N2062</x:f>
        <x:v>348476164578.39435</x:v>
      </x:c>
      <x:c r="P2062" s="78" t="n">
        <x:f>I2062+L2062*(1-'Inputs'!$B$17)</x:f>
        <x:v>0.3484198331018159</x:v>
      </x:c>
      <x:c r="Q2062" s="78" t="n">
        <x:f>IF(J2062&gt;0,M2062/J2062,0)</x:f>
        <x:v>0</x:v>
      </x:c>
      <x:c r="R2062" s="78" t="n">
        <x:f>IF(B2062='Inputs'!$H$49,'Inputs'!$B$27*'Inputs'!$I$49,0)</x:f>
        <x:v>0</x:v>
      </x:c>
      <x:c r="S2062" s="78" t="n">
        <x:f>Q2062+G2062+R2062</x:f>
        <x:v>827004.8320510399</x:v>
      </x:c>
      <x:c r="T2062" s="78" t="n">
        <x:f>P2062*(S2062*(1-'Inputs'!$B$15))/(O2062+S2062*(1-'Inputs'!$B$15))</x:f>
        <x:v>8.18600511258658e-7</x:v>
      </x:c>
      <x:c r="U2062" s="78" t="n">
        <x:f>O2062+S2062*(1-'Inputs'!$B$17)</x:f>
        <x:v>348476988255.23914</x:v>
      </x:c>
      <x:c r="V2062" s="78" t="n">
        <x:f>P2062-T2062</x:f>
        <x:v>0.34841901450130464</x:v>
      </x:c>
      <x:c r="W2062" s="79" t="n">
        <x:f>IF(U2062&gt;0,V2062/U2062,0)</x:f>
        <x:v>9.998336367797921e-13</x:v>
      </x:c>
      <x:c r="X2062" s="80" t="n">
        <x:f>W2062*('Inputs'!$B$6-AC2062)</x:f>
        <x:v>-0.023153802654458565</x:v>
      </x:c>
      <x:c r="Y2062" s="80" t="n">
        <x:f>2*V2062</x:f>
        <x:v>0.6968380290026093</x:v>
      </x:c>
      <x:c r="Z2062" s="80" t="n">
        <x:f>K2062*'Inputs'!$B$16+(G2062+R2062)*J2062*'Inputs'!$B$16</x:f>
        <x:v>0.0031357834591432196</x:v>
      </x:c>
      <x:c r="AA2062" s="80" t="n">
        <x:f>K2062*(1+'Inputs'!$E$49)/2*'Inputs'!$B$17</x:f>
        <x:v>0.0010200218453986765</x:v>
      </x:c>
      <x:c r="AB2062" s="78" t="n">
        <x:f>(IF(J2062&gt;0,K2062*(1-'Inputs'!$E$49)/2/J2062,0)+G2062+R2062)*'Inputs'!$B$17</x:f>
        <x:v>3327.9872517144468</x:v>
      </x:c>
      <x:c r="AC2062" s="78" t="n">
        <x:f>AC2061+AB2062</x:f>
        <x:v>24157655236.556183</x:v>
      </x:c>
      <x:c r="AD2062" s="80" t="n">
        <x:f>Z2062/(1+'Inputs'!$C$49)</x:f>
        <x:v>0.0007839458647858049</x:v>
      </x:c>
      <x:c r="AE2062" s="80" t="n">
        <x:f>Z2062-AD2062</x:f>
        <x:v>0.0023518375943574147</x:v>
      </x:c>
      <x:c r="AF2062" s="80" t="n">
        <x:f>D2062*W2062</x:f>
        <x:v>2.725576231829663e-7</x:v>
      </x:c>
      <x:c r="AG2062" s="80" t="n">
        <x:f>C2062*W2062</x:f>
        <x:v>6.359677874269264e-7</x:v>
      </x:c>
      <x:c r="AH2062" s="80" t="n">
        <x:f>2*'Inputs'!$B$8*'Inputs'!$C$49</x:f>
        <x:v>15000</x:v>
      </x:c>
      <x:c r="AI2062" s="81" t="n">
        <x:f>IF(AH2062&gt;0,(AE2062+AF2062)/AH2062*365,0)</x:f>
        <x:v>0.000057234680364861205</x:v>
      </x:c>
      <x:c r="AJ2062" s="81" t="n">
        <x:f>IF('Inputs'!$B$49&gt;0,AG2062/('Inputs'!$B$19*'Inputs'!$B$49)*365,0)</x:f>
        <x:v>2.3212824241082813e-8</x:v>
      </x:c>
      <x:c r="AK2062" s="81" t="n">
        <x:f>W2062/MAX($W$1829:W2062)-1</x:f>
        <x:v>-0.9999999987119192</x:v>
      </x:c>
      <x:c r="AL2062" s="83" t="n">
        <x:f>'Inputs'!$B$49</x:f>
        <x:v>1</x:v>
      </x:c>
      <x:c r="AM2062" s="83" t="n">
        <x:f>'Inputs'!$C$49</x:f>
        <x:v>3</x:v>
      </x:c>
      <x:c r="AN2062" s="83" t="n">
        <x:f>'Inputs'!$D$49</x:f>
        <x:v>0.75</x:v>
      </x:c>
      <x:c r="AO2062" s="81" t="n">
        <x:f>'Inputs'!$E$49</x:f>
        <x:v>-0.03</x:v>
      </x:c>
    </x:row>
    <x:row r="2063">
      <x:c r="A2063" s="59" t="str">
        <x:v>Mercenary LP</x:v>
      </x:c>
      <x:c r="B2063" s="59" t="n">
        <x:v>235</x:v>
      </x:c>
      <x:c r="C2063" s="78" t="n">
        <x:f>(('Inputs'!$B$29*(3*235*'Inputs'!$B$12-235^2)/(2*'Inputs'!$B$12^2))-('Inputs'!$B$29*(3*234*'Inputs'!$B$12-234^2)/(2*'Inputs'!$B$12^2)))*'Inputs'!$B$49</x:f>
        <x:v>635748.4987802505</x:v>
      </x:c>
      <x:c r="D2063" s="78" t="n">
        <x:f>IF('Inputs'!$C$49&gt;0,('Inputs'!$B$30*(3*235*'Inputs'!$B$12-235^2)/(2*'Inputs'!$B$12^2))-('Inputs'!$B$30*(3*234*'Inputs'!$B$12-234^2)/(2*'Inputs'!$B$12^2)),0)</x:f>
        <x:v>272463.6423344016</x:v>
      </x:c>
      <x:c r="E2063" s="78" t="n">
        <x:f>C2063+D2063</x:f>
        <x:v>908212.1411146522</x:v>
      </x:c>
      <x:c r="F2063" s="78" t="n">
        <x:f>'Inputs'!$B$13*E2063+(1-'Inputs'!$B$13)/'Inputs'!$B$14*SUM(E2008:E2063)</x:f>
        <x:v>918429.8179771056</x:v>
      </x:c>
      <x:c r="G2063" s="78" t="n">
        <x:f>F2063*'Inputs'!$F$49</x:f>
        <x:v>826586.8361793951</x:v>
      </x:c>
      <x:c r="H2063" s="78" t="n">
        <x:f>U2062</x:f>
        <x:v>348476988255.23914</x:v>
      </x:c>
      <x:c r="I2063" s="78" t="n">
        <x:f>V2062</x:f>
        <x:v>0.34841901450130464</x:v>
      </x:c>
      <x:c r="J2063" s="79" t="n">
        <x:f>IF(H2063&gt;0,I2063/H2063,0)</x:f>
        <x:v>9.998336367797921e-13</x:v>
      </x:c>
      <x:c r="K2063" s="80" t="n">
        <x:f>(H2063*J2063+I2063)*'Inputs'!$D$49*(1+'Inputs'!$G$49)^(B2063/30)</x:f>
        <x:v>0.522628521751957</x:v>
      </x:c>
      <x:c r="L2063" s="80" t="n">
        <x:f>MAX(0,K2063*'Inputs'!$E$49)</x:f>
        <x:v>0</x:v>
      </x:c>
      <x:c r="M2063" s="80" t="n">
        <x:f>MAX(0,-K2063*'Inputs'!$E$49)</x:f>
        <x:v>0.015678855652558707</x:v>
      </x:c>
      <x:c r="N2063" s="78" t="n">
        <x:f>H2063*(L2063*(1-'Inputs'!$B$15))/(I2063+L2063*(1-'Inputs'!$B$15))</x:f>
        <x:v>0</x:v>
      </x:c>
      <x:c r="O2063" s="78" t="n">
        <x:f>H2063-N2063</x:f>
        <x:v>348476988255.23914</x:v>
      </x:c>
      <x:c r="P2063" s="78" t="n">
        <x:f>I2063+L2063*(1-'Inputs'!$B$17)</x:f>
        <x:v>0.34841901450130464</x:v>
      </x:c>
      <x:c r="Q2063" s="78" t="n">
        <x:f>IF(J2063&gt;0,M2063/J2063,0)</x:f>
        <x:v>0</x:v>
      </x:c>
      <x:c r="R2063" s="78" t="n">
        <x:f>IF(B2063='Inputs'!$H$49,'Inputs'!$B$27*'Inputs'!$I$49,0)</x:f>
        <x:v>0</x:v>
      </x:c>
      <x:c r="S2063" s="78" t="n">
        <x:f>Q2063+G2063+R2063</x:f>
        <x:v>826586.8361793951</x:v>
      </x:c>
      <x:c r="T2063" s="78" t="n">
        <x:f>P2063*(S2063*(1-'Inputs'!$B$15))/(O2063+S2063*(1-'Inputs'!$B$15))</x:f>
        <x:v>8.181829079850202e-7</x:v>
      </x:c>
      <x:c r="U2063" s="78" t="n">
        <x:f>O2063+S2063*(1-'Inputs'!$B$17)</x:f>
        <x:v>348477811515.77014</x:v>
      </x:c>
      <x:c r="V2063" s="78" t="n">
        <x:f>P2063-T2063</x:f>
        <x:v>0.34841819631839666</x:v>
      </x:c>
      <x:c r="W2063" s="79" t="n">
        <x:f>IF(U2063&gt;0,V2063/U2063,0)</x:f>
        <x:v>9.998289268487018e-13</x:v>
      </x:c>
      <x:c r="X2063" s="80" t="n">
        <x:f>W2063*('Inputs'!$B$6-AC2063)</x:f>
        <x:v>-0.02315369690923432</x:v>
      </x:c>
      <x:c r="Y2063" s="80" t="n">
        <x:f>2*V2063</x:f>
        <x:v>0.6968363926367933</x:v>
      </x:c>
      <x:c r="Z2063" s="80" t="n">
        <x:f>K2063*'Inputs'!$B$16+(G2063+R2063)*J2063*'Inputs'!$B$16</x:f>
        <x:v>0.003135776089207677</x:v>
      </x:c>
      <x:c r="AA2063" s="80" t="n">
        <x:f>K2063*(1+'Inputs'!$E$49)/2*'Inputs'!$B$17</x:f>
        <x:v>0.0010200194488921494</x:v>
      </x:c>
      <x:c r="AB2063" s="78" t="n">
        <x:f>(IF(J2063&gt;0,K2063*(1-'Inputs'!$E$49)/2/J2063,0)+G2063+R2063)*'Inputs'!$B$17</x:f>
        <x:v>3326.3051757722137</x:v>
      </x:c>
      <x:c r="AC2063" s="78" t="n">
        <x:f>AC2062+AB2063</x:f>
        <x:v>24157658562.86136</x:v>
      </x:c>
      <x:c r="AD2063" s="80" t="n">
        <x:f>Z2063/(1+'Inputs'!$C$49)</x:f>
        <x:v>0.0007839440223019193</x:v>
      </x:c>
      <x:c r="AE2063" s="80" t="n">
        <x:f>Z2063-AD2063</x:f>
        <x:v>0.0023518320669057577</x:v>
      </x:c>
      <x:c r="AF2063" s="80" t="n">
        <x:f>D2063*W2063</x:f>
        <x:v>2.7241703112049327e-7</x:v>
      </x:c>
      <x:c r="AG2063" s="80" t="n">
        <x:f>C2063*W2063</x:f>
        <x:v>6.356397392811311e-7</x:v>
      </x:c>
      <x:c r="AH2063" s="80" t="n">
        <x:f>2*'Inputs'!$B$8*'Inputs'!$C$49</x:f>
        <x:v>15000</x:v>
      </x:c>
      <x:c r="AI2063" s="81" t="n">
        <x:f>IF(AH2063&gt;0,(AE2063+AF2063)/AH2063*365,0)</x:f>
        <x:v>0.000057234542442464035</x:v>
      </x:c>
      <x:c r="AJ2063" s="81" t="n">
        <x:f>IF('Inputs'!$B$49&gt;0,AG2063/('Inputs'!$B$19*'Inputs'!$B$49)*365,0)</x:f>
        <x:v>2.3200850483761284e-8</x:v>
      </x:c>
      <x:c r="AK2063" s="81" t="n">
        <x:f>W2063/MAX($W$1829:W2063)-1</x:f>
        <x:v>-0.9999999987119254</x:v>
      </x:c>
      <x:c r="AL2063" s="83" t="n">
        <x:f>'Inputs'!$B$49</x:f>
        <x:v>1</x:v>
      </x:c>
      <x:c r="AM2063" s="83" t="n">
        <x:f>'Inputs'!$C$49</x:f>
        <x:v>3</x:v>
      </x:c>
      <x:c r="AN2063" s="83" t="n">
        <x:f>'Inputs'!$D$49</x:f>
        <x:v>0.75</x:v>
      </x:c>
      <x:c r="AO2063" s="81" t="n">
        <x:f>'Inputs'!$E$49</x:f>
        <x:v>-0.03</x:v>
      </x:c>
    </x:row>
    <x:row r="2064">
      <x:c r="A2064" s="59" t="str">
        <x:v>Mercenary LP</x:v>
      </x:c>
      <x:c r="B2064" s="59" t="n">
        <x:v>236</x:v>
      </x:c>
      <x:c r="C2064" s="78" t="n">
        <x:f>(('Inputs'!$B$29*(3*236*'Inputs'!$B$12-236^2)/(2*'Inputs'!$B$12^2))-('Inputs'!$B$29*(3*235*'Inputs'!$B$12-235^2)/(2*'Inputs'!$B$12^2)))*'Inputs'!$B$49</x:f>
        <x:v>635423.3908800781</x:v>
      </x:c>
      <x:c r="D2064" s="78" t="n">
        <x:f>IF('Inputs'!$C$49&gt;0,('Inputs'!$B$30*(3*236*'Inputs'!$B$12-236^2)/(2*'Inputs'!$B$12^2))-('Inputs'!$B$30*(3*235*'Inputs'!$B$12-235^2)/(2*'Inputs'!$B$12^2)),0)</x:f>
        <x:v>272324.3103771806</x:v>
      </x:c>
      <x:c r="E2064" s="78" t="n">
        <x:f>C2064+D2064</x:f>
        <x:v>907747.7012572587</x:v>
      </x:c>
      <x:c r="F2064" s="78" t="n">
        <x:f>'Inputs'!$B$13*E2064+(1-'Inputs'!$B$13)/'Inputs'!$B$14*SUM(E2009:E2064)</x:f>
        <x:v>917965.3781197197</x:v>
      </x:c>
      <x:c r="G2064" s="78" t="n">
        <x:f>F2064*'Inputs'!$F$49</x:f>
        <x:v>826168.8403077477</x:v>
      </x:c>
      <x:c r="H2064" s="78" t="n">
        <x:f>U2063</x:f>
        <x:v>348477811515.77014</x:v>
      </x:c>
      <x:c r="I2064" s="78" t="n">
        <x:f>V2063</x:f>
        <x:v>0.34841819631839666</x:v>
      </x:c>
      <x:c r="J2064" s="79" t="n">
        <x:f>IF(H2064&gt;0,I2064/H2064,0)</x:f>
        <x:v>9.998289268487018e-13</x:v>
      </x:c>
      <x:c r="K2064" s="80" t="n">
        <x:f>(H2064*J2064+I2064)*'Inputs'!$D$49*(1+'Inputs'!$G$49)^(B2064/30)</x:f>
        <x:v>0.5226272944775949</x:v>
      </x:c>
      <x:c r="L2064" s="80" t="n">
        <x:f>MAX(0,K2064*'Inputs'!$E$49)</x:f>
        <x:v>0</x:v>
      </x:c>
      <x:c r="M2064" s="80" t="n">
        <x:f>MAX(0,-K2064*'Inputs'!$E$49)</x:f>
        <x:v>0.015678818834327847</x:v>
      </x:c>
      <x:c r="N2064" s="78" t="n">
        <x:f>H2064*(L2064*(1-'Inputs'!$B$15))/(I2064+L2064*(1-'Inputs'!$B$15))</x:f>
        <x:v>0</x:v>
      </x:c>
      <x:c r="O2064" s="78" t="n">
        <x:f>H2064-N2064</x:f>
        <x:v>348477811515.77014</x:v>
      </x:c>
      <x:c r="P2064" s="78" t="n">
        <x:f>I2064+L2064*(1-'Inputs'!$B$17)</x:f>
        <x:v>0.34841819631839666</x:v>
      </x:c>
      <x:c r="Q2064" s="78" t="n">
        <x:f>IF(J2064&gt;0,M2064/J2064,0)</x:f>
        <x:v>0</x:v>
      </x:c>
      <x:c r="R2064" s="78" t="n">
        <x:f>IF(B2064='Inputs'!$H$49,'Inputs'!$B$27*'Inputs'!$I$49,0)</x:f>
        <x:v>0</x:v>
      </x:c>
      <x:c r="S2064" s="78" t="n">
        <x:f>Q2064+G2064+R2064</x:f>
        <x:v>826168.8403077477</x:v>
      </x:c>
      <x:c r="T2064" s="78" t="n">
        <x:f>P2064*(S2064*(1-'Inputs'!$B$15))/(O2064+S2064*(1-'Inputs'!$B$15))</x:f>
        <x:v>8.177653105857779e-7</x:v>
      </x:c>
      <x:c r="U2064" s="78" t="n">
        <x:f>O2064+S2064*(1-'Inputs'!$B$17)</x:f>
        <x:v>348478634359.98737</x:v>
      </x:c>
      <x:c r="V2064" s="78" t="n">
        <x:f>P2064-T2064</x:f>
        <x:v>0.3484173785530861</x:v>
      </x:c>
      <x:c r="W2064" s="79" t="n">
        <x:f>IF(U2064&gt;0,V2064/U2064,0)</x:f>
        <x:v>9.998242193326608e-13</x:v>
      </x:c>
      <x:c r="X2064" s="80" t="n">
        <x:f>W2064*('Inputs'!$B$6-AC2064)</x:f>
        <x:v>-0.02315359121822386</x:v>
      </x:c>
      <x:c r="Y2064" s="80" t="n">
        <x:f>2*V2064</x:f>
        <x:v>0.6968347571061722</x:v>
      </x:c>
      <x:c r="Z2064" s="80" t="n">
        <x:f>K2064*'Inputs'!$B$16+(G2064+R2064)*J2064*'Inputs'!$B$16</x:f>
        <x:v>0.0031357687230305995</x:v>
      </x:c>
      <x:c r="AA2064" s="80" t="n">
        <x:f>K2064*(1+'Inputs'!$E$49)/2*'Inputs'!$B$17</x:f>
        <x:v>0.0010200170536081832</x:v>
      </x:c>
      <x:c r="AB2064" s="78" t="n">
        <x:f>(IF(J2064&gt;0,K2064*(1-'Inputs'!$E$49)/2/J2064,0)+G2064+R2064)*'Inputs'!$B$17</x:f>
        <x:v>3324.623099829971</x:v>
      </x:c>
      <x:c r="AC2064" s="78" t="n">
        <x:f>AC2063+AB2064</x:f>
        <x:v>24157661887.48446</x:v>
      </x:c>
      <x:c r="AD2064" s="80" t="n">
        <x:f>Z2064/(1+'Inputs'!$C$49)</x:f>
        <x:v>0.0007839421807576499</x:v>
      </x:c>
      <x:c r="AE2064" s="80" t="n">
        <x:f>Z2064-AD2064</x:f>
        <x:v>0.0023518265422729496</x:v>
      </x:c>
      <x:c r="AF2064" s="80" t="n">
        <x:f>D2064*W2064</x:f>
        <x:v>2.722764410281698e-7</x:v>
      </x:c>
      <x:c r="AG2064" s="80" t="n">
        <x:f>C2064*W2064</x:f>
        <x:v>6.353116957323862e-7</x:v>
      </x:c>
      <x:c r="AH2064" s="80" t="n">
        <x:f>2*'Inputs'!$B$8*'Inputs'!$C$49</x:f>
        <x:v>15000</x:v>
      </x:c>
      <x:c r="AI2064" s="81" t="n">
        <x:f>IF(AH2064&gt;0,(AE2064+AF2064)/AH2064*365,0)</x:f>
        <x:v>0.00005723440458870679</x:v>
      </x:c>
      <x:c r="AJ2064" s="81" t="n">
        <x:f>IF('Inputs'!$B$49&gt;0,AG2064/('Inputs'!$B$19*'Inputs'!$B$49)*365,0)</x:f>
        <x:v>2.3188876894232098e-8</x:v>
      </x:c>
      <x:c r="AK2064" s="81" t="n">
        <x:f>W2064/MAX($W$1829:W2064)-1</x:f>
        <x:v>-0.9999999987119315</x:v>
      </x:c>
      <x:c r="AL2064" s="83" t="n">
        <x:f>'Inputs'!$B$49</x:f>
        <x:v>1</x:v>
      </x:c>
      <x:c r="AM2064" s="83" t="n">
        <x:f>'Inputs'!$C$49</x:f>
        <x:v>3</x:v>
      </x:c>
      <x:c r="AN2064" s="83" t="n">
        <x:f>'Inputs'!$D$49</x:f>
        <x:v>0.75</x:v>
      </x:c>
      <x:c r="AO2064" s="81" t="n">
        <x:f>'Inputs'!$E$49</x:f>
        <x:v>-0.03</x:v>
      </x:c>
    </x:row>
    <x:row r="2065">
      <x:c r="A2065" s="59" t="str">
        <x:v>Mercenary LP</x:v>
      </x:c>
      <x:c r="B2065" s="59" t="n">
        <x:v>237</x:v>
      </x:c>
      <x:c r="C2065" s="78" t="n">
        <x:f>(('Inputs'!$B$29*(3*237*'Inputs'!$B$12-237^2)/(2*'Inputs'!$B$12^2))-('Inputs'!$B$29*(3*236*'Inputs'!$B$12-236^2)/(2*'Inputs'!$B$12^2)))*'Inputs'!$B$49</x:f>
        <x:v>635098.2829799354</x:v>
      </x:c>
      <x:c r="D2065" s="78" t="n">
        <x:f>IF('Inputs'!$C$49&gt;0,('Inputs'!$B$30*(3*237*'Inputs'!$B$12-237^2)/(2*'Inputs'!$B$12^2))-('Inputs'!$B$30*(3*236*'Inputs'!$B$12-236^2)/(2*'Inputs'!$B$12^2)),0)</x:f>
        <x:v>272184.97841997445</x:v>
      </x:c>
      <x:c r="E2065" s="78" t="n">
        <x:f>C2065+D2065</x:f>
        <x:v>907283.2613999099</x:v>
      </x:c>
      <x:c r="F2065" s="78" t="n">
        <x:f>'Inputs'!$B$13*E2065+(1-'Inputs'!$B$13)/'Inputs'!$B$14*SUM(E2010:E2065)</x:f>
        <x:v>917500.9382623427</x:v>
      </x:c>
      <x:c r="G2065" s="78" t="n">
        <x:f>F2065*'Inputs'!$F$49</x:f>
        <x:v>825750.8444361085</x:v>
      </x:c>
      <x:c r="H2065" s="78" t="n">
        <x:f>U2064</x:f>
        <x:v>348478634359.98737</x:v>
      </x:c>
      <x:c r="I2065" s="78" t="n">
        <x:f>V2064</x:f>
        <x:v>0.3484173785530861</x:v>
      </x:c>
      <x:c r="J2065" s="79" t="n">
        <x:f>IF(H2065&gt;0,I2065/H2065,0)</x:f>
        <x:v>9.998242193326608e-13</x:v>
      </x:c>
      <x:c r="K2065" s="80" t="n">
        <x:f>(H2065*J2065+I2065)*'Inputs'!$D$49*(1+'Inputs'!$G$49)^(B2065/30)</x:f>
        <x:v>0.5226260678296291</x:v>
      </x:c>
      <x:c r="L2065" s="80" t="n">
        <x:f>MAX(0,K2065*'Inputs'!$E$49)</x:f>
        <x:v>0</x:v>
      </x:c>
      <x:c r="M2065" s="80" t="n">
        <x:f>MAX(0,-K2065*'Inputs'!$E$49)</x:f>
        <x:v>0.015678782034888872</x:v>
      </x:c>
      <x:c r="N2065" s="78" t="n">
        <x:f>H2065*(L2065*(1-'Inputs'!$B$15))/(I2065+L2065*(1-'Inputs'!$B$15))</x:f>
        <x:v>0</x:v>
      </x:c>
      <x:c r="O2065" s="78" t="n">
        <x:f>H2065-N2065</x:f>
        <x:v>348478634359.98737</x:v>
      </x:c>
      <x:c r="P2065" s="78" t="n">
        <x:f>I2065+L2065*(1-'Inputs'!$B$17)</x:f>
        <x:v>0.3484173785530861</x:v>
      </x:c>
      <x:c r="Q2065" s="78" t="n">
        <x:f>IF(J2065&gt;0,M2065/J2065,0)</x:f>
        <x:v>0</x:v>
      </x:c>
      <x:c r="R2065" s="78" t="n">
        <x:f>IF(B2065='Inputs'!$H$49,'Inputs'!$B$27*'Inputs'!$I$49,0)</x:f>
        <x:v>0</x:v>
      </x:c>
      <x:c r="S2065" s="78" t="n">
        <x:f>Q2065+G2065+R2065</x:f>
        <x:v>825750.8444361085</x:v>
      </x:c>
      <x:c r="T2065" s="78" t="n">
        <x:f>P2065*(S2065*(1-'Inputs'!$B$15))/(O2065+S2065*(1-'Inputs'!$B$15))</x:f>
        <x:v>8.173477190579021e-7</x:v>
      </x:c>
      <x:c r="U2065" s="78" t="n">
        <x:f>O2065+S2065*(1-'Inputs'!$B$17)</x:f>
        <x:v>348479456787.8908</x:v>
      </x:c>
      <x:c r="V2065" s="78" t="n">
        <x:f>P2065-T2065</x:f>
        <x:v>0.348416561205367</x:v>
      </x:c>
      <x:c r="W2065" s="79" t="n">
        <x:f>IF(U2065&gt;0,V2065/U2065,0)</x:f>
        <x:v>9.998195142316178e-13</x:v>
      </x:c>
      <x:c r="X2065" s="80" t="n">
        <x:f>W2065*('Inputs'!$B$6-AC2065)</x:f>
        <x:v>-0.02315348558142604</x:v>
      </x:c>
      <x:c r="Y2065" s="80" t="n">
        <x:f>2*V2065</x:f>
        <x:v>0.696833122410734</x:v>
      </x:c>
      <x:c r="Z2065" s="80" t="n">
        <x:f>K2065*'Inputs'!$B$16+(G2065+R2065)*J2065*'Inputs'!$B$16</x:f>
        <x:v>0.0031357613606119348</x:v>
      </x:c>
      <x:c r="AA2065" s="80" t="n">
        <x:f>K2065*(1+'Inputs'!$E$49)/2*'Inputs'!$B$17</x:f>
        <x:v>0.0010200146595467608</x:v>
      </x:c>
      <x:c r="AB2065" s="78" t="n">
        <x:f>(IF(J2065&gt;0,K2065*(1-'Inputs'!$E$49)/2/J2065,0)+G2065+R2065)*'Inputs'!$B$17</x:f>
        <x:v>3322.941023887761</x:v>
      </x:c>
      <x:c r="AC2065" s="78" t="n">
        <x:f>AC2064+AB2065</x:f>
        <x:v>24157665210.425484</x:v>
      </x:c>
      <x:c r="AD2065" s="80" t="n">
        <x:f>Z2065/(1+'Inputs'!$C$49)</x:f>
        <x:v>0.0007839403401529837</x:v>
      </x:c>
      <x:c r="AE2065" s="80" t="n">
        <x:f>Z2065-AD2065</x:f>
        <x:v>0.002351821020458951</x:v>
      </x:c>
      <x:c r="AF2065" s="80" t="n">
        <x:f>D2065*W2065</x:f>
        <x:v>2.7213585290500223e-7</x:v>
      </x:c>
      <x:c r="AG2065" s="80" t="n">
        <x:f>C2065*W2065</x:f>
        <x:v>6.349836567783336e-7</x:v>
      </x:c>
      <x:c r="AH2065" s="80" t="n">
        <x:f>2*'Inputs'!$B$8*'Inputs'!$C$49</x:f>
        <x:v>15000</x:v>
      </x:c>
      <x:c r="AI2065" s="81" t="n">
        <x:f>IF(AH2065&gt;0,(AE2065+AF2065)/AH2065*365,0)</x:f>
        <x:v>0.00005723426680358849</x:v>
      </x:c>
      <x:c r="AJ2065" s="81" t="n">
        <x:f>IF('Inputs'!$B$49&gt;0,AG2065/('Inputs'!$B$19*'Inputs'!$B$49)*365,0)</x:f>
        <x:v>2.3176903472409173e-8</x:v>
      </x:c>
      <x:c r="AK2065" s="81" t="n">
        <x:f>W2065/MAX($W$1829:W2065)-1</x:f>
        <x:v>-0.9999999987119375</x:v>
      </x:c>
      <x:c r="AL2065" s="83" t="n">
        <x:f>'Inputs'!$B$49</x:f>
        <x:v>1</x:v>
      </x:c>
      <x:c r="AM2065" s="83" t="n">
        <x:f>'Inputs'!$C$49</x:f>
        <x:v>3</x:v>
      </x:c>
      <x:c r="AN2065" s="83" t="n">
        <x:f>'Inputs'!$D$49</x:f>
        <x:v>0.75</x:v>
      </x:c>
      <x:c r="AO2065" s="81" t="n">
        <x:f>'Inputs'!$E$49</x:f>
        <x:v>-0.03</x:v>
      </x:c>
    </x:row>
    <x:row r="2066">
      <x:c r="A2066" s="59" t="str">
        <x:v>Mercenary LP</x:v>
      </x:c>
      <x:c r="B2066" s="59" t="n">
        <x:v>238</x:v>
      </x:c>
      <x:c r="C2066" s="78" t="n">
        <x:f>(('Inputs'!$B$29*(3*238*'Inputs'!$B$12-238^2)/(2*'Inputs'!$B$12^2))-('Inputs'!$B$29*(3*237*'Inputs'!$B$12-237^2)/(2*'Inputs'!$B$12^2)))*'Inputs'!$B$49</x:f>
        <x:v>634773.1750797629</x:v>
      </x:c>
      <x:c r="D2066" s="78" t="n">
        <x:f>IF('Inputs'!$C$49&gt;0,('Inputs'!$B$30*(3*238*'Inputs'!$B$12-238^2)/(2*'Inputs'!$B$12^2))-('Inputs'!$B$30*(3*237*'Inputs'!$B$12-237^2)/(2*'Inputs'!$B$12^2)),0)</x:f>
        <x:v>272045.6464627385</x:v>
      </x:c>
      <x:c r="E2066" s="78" t="n">
        <x:f>C2066+D2066</x:f>
        <x:v>906818.8215425014</x:v>
      </x:c>
      <x:c r="F2066" s="78" t="n">
        <x:f>'Inputs'!$B$13*E2066+(1-'Inputs'!$B$13)/'Inputs'!$B$14*SUM(E2011:E2066)</x:f>
        <x:v>917036.4984049537</x:v>
      </x:c>
      <x:c r="G2066" s="78" t="n">
        <x:f>F2066*'Inputs'!$F$49</x:f>
        <x:v>825332.8485644584</x:v>
      </x:c>
      <x:c r="H2066" s="78" t="n">
        <x:f>U2065</x:f>
        <x:v>348479456787.8908</x:v>
      </x:c>
      <x:c r="I2066" s="78" t="n">
        <x:f>V2065</x:f>
        <x:v>0.348416561205367</x:v>
      </x:c>
      <x:c r="J2066" s="79" t="n">
        <x:f>IF(H2066&gt;0,I2066/H2066,0)</x:f>
        <x:v>9.998195142316178e-13</x:v>
      </x:c>
      <x:c r="K2066" s="80" t="n">
        <x:f>(H2066*J2066+I2066)*'Inputs'!$D$49*(1+'Inputs'!$G$49)^(B2066/30)</x:f>
        <x:v>0.5226248418080506</x:v>
      </x:c>
      <x:c r="L2066" s="80" t="n">
        <x:f>MAX(0,K2066*'Inputs'!$E$49)</x:f>
        <x:v>0</x:v>
      </x:c>
      <x:c r="M2066" s="80" t="n">
        <x:f>MAX(0,-K2066*'Inputs'!$E$49)</x:f>
        <x:v>0.015678745254241518</x:v>
      </x:c>
      <x:c r="N2066" s="78" t="n">
        <x:f>H2066*(L2066*(1-'Inputs'!$B$15))/(I2066+L2066*(1-'Inputs'!$B$15))</x:f>
        <x:v>0</x:v>
      </x:c>
      <x:c r="O2066" s="78" t="n">
        <x:f>H2066-N2066</x:f>
        <x:v>348479456787.8908</x:v>
      </x:c>
      <x:c r="P2066" s="78" t="n">
        <x:f>I2066+L2066*(1-'Inputs'!$B$17)</x:f>
        <x:v>0.348416561205367</x:v>
      </x:c>
      <x:c r="Q2066" s="78" t="n">
        <x:f>IF(J2066&gt;0,M2066/J2066,0)</x:f>
        <x:v>0</x:v>
      </x:c>
      <x:c r="R2066" s="78" t="n">
        <x:f>IF(B2066='Inputs'!$H$49,'Inputs'!$B$27*'Inputs'!$I$49,0)</x:f>
        <x:v>0</x:v>
      </x:c>
      <x:c r="S2066" s="78" t="n">
        <x:f>Q2066+G2066+R2066</x:f>
        <x:v>825332.8485644584</x:v>
      </x:c>
      <x:c r="T2066" s="78" t="n">
        <x:f>P2066*(S2066*(1-'Inputs'!$B$15))/(O2066+S2066*(1-'Inputs'!$B$15))</x:f>
        <x:v>8.169301333983341e-7</x:v>
      </x:c>
      <x:c r="U2066" s="78" t="n">
        <x:f>O2066+S2066*(1-'Inputs'!$B$17)</x:f>
        <x:v>348480278799.4804</x:v>
      </x:c>
      <x:c r="V2066" s="78" t="n">
        <x:f>P2066-T2066</x:f>
        <x:v>0.34841574427523364</x:v>
      </x:c>
      <x:c r="W2066" s="79" t="n">
        <x:f>IF(U2066&gt;0,V2066/U2066,0)</x:f>
        <x:v>9.998148115455225e-13</x:v>
      </x:c>
      <x:c r="X2066" s="80" t="n">
        <x:f>W2066*('Inputs'!$B$6-AC2066)</x:f>
        <x:v>-0.02315337999883975</x:v>
      </x:c>
      <x:c r="Y2066" s="80" t="n">
        <x:f>2*V2066</x:f>
        <x:v>0.6968314885504673</x:v>
      </x:c>
      <x:c r="Z2066" s="80" t="n">
        <x:f>K2066*'Inputs'!$B$16+(G2066+R2066)*J2066*'Inputs'!$B$16</x:f>
        <x:v>0.00313575400195163</x:v>
      </x:c>
      <x:c r="AA2066" s="80" t="n">
        <x:f>K2066*(1+'Inputs'!$E$49)/2*'Inputs'!$B$17</x:f>
        <x:v>0.0010200122667078655</x:v>
      </x:c>
      <x:c r="AB2066" s="78" t="n">
        <x:f>(IF(J2066&gt;0,K2066*(1-'Inputs'!$E$49)/2/J2066,0)+G2066+R2066)*'Inputs'!$B$17</x:f>
        <x:v>3321.258947945507</x:v>
      </x:c>
      <x:c r="AC2066" s="78" t="n">
        <x:f>AC2065+AB2066</x:f>
        <x:v>24157668531.684433</x:v>
      </x:c>
      <x:c r="AD2066" s="80" t="n">
        <x:f>Z2066/(1+'Inputs'!$C$49)</x:f>
        <x:v>0.0007839385004879075</x:v>
      </x:c>
      <x:c r="AE2066" s="80" t="n">
        <x:f>Z2066-AD2066</x:f>
        <x:v>0.0023518155014637223</x:v>
      </x:c>
      <x:c r="AF2066" s="80" t="n">
        <x:f>D2066*W2066</x:f>
        <x:v>2.7199526674992277e-7</x:v>
      </x:c>
      <x:c r="AG2066" s="80" t="n">
        <x:f>C2066*W2066</x:f>
        <x:v>6.346556224165261e-7</x:v>
      </x:c>
      <x:c r="AH2066" s="80" t="n">
        <x:f>2*'Inputs'!$B$8*'Inputs'!$C$49</x:f>
        <x:v>15000</x:v>
      </x:c>
      <x:c r="AI2066" s="81" t="n">
        <x:f>IF(AH2066&gt;0,(AE2066+AF2066)/AH2066*365,0)</x:f>
        <x:v>0.00005723412908710816</x:v>
      </x:c>
      <x:c r="AJ2066" s="81" t="n">
        <x:f>IF('Inputs'!$B$49&gt;0,AG2066/('Inputs'!$B$19*'Inputs'!$B$49)*365,0)</x:f>
        <x:v>2.31649302182032e-8</x:v>
      </x:c>
      <x:c r="AK2066" s="81" t="n">
        <x:f>W2066/MAX($W$1829:W2066)-1</x:f>
        <x:v>-0.9999999987119436</x:v>
      </x:c>
      <x:c r="AL2066" s="83" t="n">
        <x:f>'Inputs'!$B$49</x:f>
        <x:v>1</x:v>
      </x:c>
      <x:c r="AM2066" s="83" t="n">
        <x:f>'Inputs'!$C$49</x:f>
        <x:v>3</x:v>
      </x:c>
      <x:c r="AN2066" s="83" t="n">
        <x:f>'Inputs'!$D$49</x:f>
        <x:v>0.75</x:v>
      </x:c>
      <x:c r="AO2066" s="81" t="n">
        <x:f>'Inputs'!$E$49</x:f>
        <x:v>-0.03</x:v>
      </x:c>
    </x:row>
    <x:row r="2067">
      <x:c r="A2067" s="59" t="str">
        <x:v>Mercenary LP</x:v>
      </x:c>
      <x:c r="B2067" s="59" t="n">
        <x:v>239</x:v>
      </x:c>
      <x:c r="C2067" s="78" t="n">
        <x:f>(('Inputs'!$B$29*(3*239*'Inputs'!$B$12-239^2)/(2*'Inputs'!$B$12^2))-('Inputs'!$B$29*(3*238*'Inputs'!$B$12-238^2)/(2*'Inputs'!$B$12^2)))*'Inputs'!$B$49</x:f>
        <x:v>634448.0671795607</x:v>
      </x:c>
      <x:c r="D2067" s="78" t="n">
        <x:f>IF('Inputs'!$C$49&gt;0,('Inputs'!$B$30*(3*239*'Inputs'!$B$12-239^2)/(2*'Inputs'!$B$12^2))-('Inputs'!$B$30*(3*238*'Inputs'!$B$12-238^2)/(2*'Inputs'!$B$12^2)),0)</x:f>
        <x:v>271906.3145055473</x:v>
      </x:c>
      <x:c r="E2067" s="78" t="n">
        <x:f>C2067+D2067</x:f>
        <x:v>906354.381685108</x:v>
      </x:c>
      <x:c r="F2067" s="78" t="n">
        <x:f>'Inputs'!$B$13*E2067+(1-'Inputs'!$B$13)/'Inputs'!$B$14*SUM(E2012:E2067)</x:f>
        <x:v>916572.0585475676</x:v>
      </x:c>
      <x:c r="G2067" s="78" t="n">
        <x:f>F2067*'Inputs'!$F$49</x:f>
        <x:v>824914.8526928108</x:v>
      </x:c>
      <x:c r="H2067" s="78" t="n">
        <x:f>U2066</x:f>
        <x:v>348480278799.4804</x:v>
      </x:c>
      <x:c r="I2067" s="78" t="n">
        <x:f>V2066</x:f>
        <x:v>0.34841574427523364</x:v>
      </x:c>
      <x:c r="J2067" s="79" t="n">
        <x:f>IF(H2067&gt;0,I2067/H2067,0)</x:f>
        <x:v>9.998148115455225e-13</x:v>
      </x:c>
      <x:c r="K2067" s="80" t="n">
        <x:f>(H2067*J2067+I2067)*'Inputs'!$D$49*(1+'Inputs'!$G$49)^(B2067/30)</x:f>
        <x:v>0.5226236164128505</x:v>
      </x:c>
      <x:c r="L2067" s="80" t="n">
        <x:f>MAX(0,K2067*'Inputs'!$E$49)</x:f>
        <x:v>0</x:v>
      </x:c>
      <x:c r="M2067" s="80" t="n">
        <x:f>MAX(0,-K2067*'Inputs'!$E$49)</x:f>
        <x:v>0.015678708492385514</x:v>
      </x:c>
      <x:c r="N2067" s="78" t="n">
        <x:f>H2067*(L2067*(1-'Inputs'!$B$15))/(I2067+L2067*(1-'Inputs'!$B$15))</x:f>
        <x:v>0</x:v>
      </x:c>
      <x:c r="O2067" s="78" t="n">
        <x:f>H2067-N2067</x:f>
        <x:v>348480278799.4804</x:v>
      </x:c>
      <x:c r="P2067" s="78" t="n">
        <x:f>I2067+L2067*(1-'Inputs'!$B$17)</x:f>
        <x:v>0.34841574427523364</x:v>
      </x:c>
      <x:c r="Q2067" s="78" t="n">
        <x:f>IF(J2067&gt;0,M2067/J2067,0)</x:f>
        <x:v>0</x:v>
      </x:c>
      <x:c r="R2067" s="78" t="n">
        <x:f>IF(B2067='Inputs'!$H$49,'Inputs'!$B$27*'Inputs'!$I$49,0)</x:f>
        <x:v>0</x:v>
      </x:c>
      <x:c r="S2067" s="78" t="n">
        <x:f>Q2067+G2067+R2067</x:f>
        <x:v>824914.8526928108</x:v>
      </x:c>
      <x:c r="T2067" s="78" t="n">
        <x:f>P2067*(S2067*(1-'Inputs'!$B$15))/(O2067+S2067*(1-'Inputs'!$B$15))</x:f>
        <x:v>8.165125536040477e-7</x:v>
      </x:c>
      <x:c r="U2067" s="78" t="n">
        <x:f>O2067+S2067*(1-'Inputs'!$B$17)</x:f>
        <x:v>348481100394.7562</x:v>
      </x:c>
      <x:c r="V2067" s="78" t="n">
        <x:f>P2067-T2067</x:f>
        <x:v>0.34841492776268</x:v>
      </x:c>
      <x:c r="W2067" s="79" t="n">
        <x:f>IF(U2067&gt;0,V2067/U2067,0)</x:f>
        <x:v>9.998101112743237e-13</x:v>
      </x:c>
      <x:c r="X2067" s="80" t="n">
        <x:f>W2067*('Inputs'!$B$6-AC2067)</x:f>
        <x:v>-0.023153274470463843</x:v>
      </x:c>
      <x:c r="Y2067" s="80" t="n">
        <x:f>2*V2067</x:f>
        <x:v>0.69682985552536</x:v>
      </x:c>
      <x:c r="Z2067" s="80" t="n">
        <x:f>K2067*'Inputs'!$B$16+(G2067+R2067)*J2067*'Inputs'!$B$16</x:f>
        <x:v>0.003135746647049631</x:v>
      </x:c>
      <x:c r="AA2067" s="80" t="n">
        <x:f>K2067*(1+'Inputs'!$E$49)/2*'Inputs'!$B$17</x:f>
        <x:v>0.001020009875091479</x:v>
      </x:c>
      <x:c r="AB2067" s="78" t="n">
        <x:f>(IF(J2067&gt;0,K2067*(1-'Inputs'!$E$49)/2/J2067,0)+G2067+R2067)*'Inputs'!$B$17</x:f>
        <x:v>3319.576872003263</x:v>
      </x:c>
      <x:c r="AC2067" s="78" t="n">
        <x:f>AC2066+AB2067</x:f>
        <x:v>24157671851.261307</x:v>
      </x:c>
      <x:c r="AD2067" s="80" t="n">
        <x:f>Z2067/(1+'Inputs'!$C$49)</x:f>
        <x:v>0.0007839366617624077</x:v>
      </x:c>
      <x:c r="AE2067" s="80" t="n">
        <x:f>Z2067-AD2067</x:f>
        <x:v>0.002351809985287223</x:v>
      </x:c>
      <x:c r="AF2067" s="80" t="n">
        <x:f>D2067*W2067</x:f>
        <x:v>2.718546825619825e-7</x:v>
      </x:c>
      <x:c r="AG2067" s="80" t="n">
        <x:f>C2067*W2067</x:f>
        <x:v>6.343275926445761e-7</x:v>
      </x:c>
      <x:c r="AH2067" s="80" t="n">
        <x:f>2*'Inputs'!$B$8*'Inputs'!$C$49</x:f>
        <x:v>15000</x:v>
      </x:c>
      <x:c r="AI2067" s="81" t="n">
        <x:f>IF(AH2067&gt;0,(AE2067+AF2067)/AH2067*365,0)</x:f>
        <x:v>0.00005723399143926478</x:v>
      </x:c>
      <x:c r="AJ2067" s="81" t="n">
        <x:f>IF('Inputs'!$B$49&gt;0,AG2067/('Inputs'!$B$19*'Inputs'!$B$49)*365,0)</x:f>
        <x:v>2.3152957131527026e-8</x:v>
      </x:c>
      <x:c r="AK2067" s="81" t="n">
        <x:f>W2067/MAX($W$1829:W2067)-1</x:f>
        <x:v>-0.9999999987119496</x:v>
      </x:c>
      <x:c r="AL2067" s="83" t="n">
        <x:f>'Inputs'!$B$49</x:f>
        <x:v>1</x:v>
      </x:c>
      <x:c r="AM2067" s="83" t="n">
        <x:f>'Inputs'!$C$49</x:f>
        <x:v>3</x:v>
      </x:c>
      <x:c r="AN2067" s="83" t="n">
        <x:f>'Inputs'!$D$49</x:f>
        <x:v>0.75</x:v>
      </x:c>
      <x:c r="AO2067" s="81" t="n">
        <x:f>'Inputs'!$E$49</x:f>
        <x:v>-0.03</x:v>
      </x:c>
    </x:row>
    <x:row r="2068">
      <x:c r="A2068" s="59" t="str">
        <x:v>Mercenary LP</x:v>
      </x:c>
      <x:c r="B2068" s="59" t="n">
        <x:v>240</x:v>
      </x:c>
      <x:c r="C2068" s="78" t="n">
        <x:f>(('Inputs'!$B$29*(3*240*'Inputs'!$B$12-240^2)/(2*'Inputs'!$B$12^2))-('Inputs'!$B$29*(3*239*'Inputs'!$B$12-239^2)/(2*'Inputs'!$B$12^2)))*'Inputs'!$B$49</x:f>
        <x:v>634122.959279418</x:v>
      </x:c>
      <x:c r="D2068" s="78" t="n">
        <x:f>IF('Inputs'!$C$49&gt;0,('Inputs'!$B$30*(3*240*'Inputs'!$B$12-240^2)/(2*'Inputs'!$B$12^2))-('Inputs'!$B$30*(3*239*'Inputs'!$B$12-239^2)/(2*'Inputs'!$B$12^2)),0)</x:f>
        <x:v>271766.98254831135</x:v>
      </x:c>
      <x:c r="E2068" s="78" t="n">
        <x:f>C2068+D2068</x:f>
        <x:v>905889.9418277293</x:v>
      </x:c>
      <x:c r="F2068" s="78" t="n">
        <x:f>'Inputs'!$B$13*E2068+(1-'Inputs'!$B$13)/'Inputs'!$B$14*SUM(E2013:E2068)</x:f>
        <x:v>916107.6186901846</x:v>
      </x:c>
      <x:c r="G2068" s="78" t="n">
        <x:f>F2068*'Inputs'!$F$49</x:f>
        <x:v>824496.8568211661</x:v>
      </x:c>
      <x:c r="H2068" s="78" t="n">
        <x:f>U2067</x:f>
        <x:v>348481100394.7562</x:v>
      </x:c>
      <x:c r="I2068" s="78" t="n">
        <x:f>V2067</x:f>
        <x:v>0.34841492776268</x:v>
      </x:c>
      <x:c r="J2068" s="79" t="n">
        <x:f>IF(H2068&gt;0,I2068/H2068,0)</x:f>
        <x:v>9.998101112743237e-13</x:v>
      </x:c>
      <x:c r="K2068" s="80" t="n">
        <x:f>(H2068*J2068+I2068)*'Inputs'!$D$49*(1+'Inputs'!$G$49)^(B2068/30)</x:f>
        <x:v>0.52262239164402</x:v>
      </x:c>
      <x:c r="L2068" s="80" t="n">
        <x:f>MAX(0,K2068*'Inputs'!$E$49)</x:f>
        <x:v>0</x:v>
      </x:c>
      <x:c r="M2068" s="80" t="n">
        <x:f>MAX(0,-K2068*'Inputs'!$E$49)</x:f>
        <x:v>0.0156786717493206</x:v>
      </x:c>
      <x:c r="N2068" s="78" t="n">
        <x:f>H2068*(L2068*(1-'Inputs'!$B$15))/(I2068+L2068*(1-'Inputs'!$B$15))</x:f>
        <x:v>0</x:v>
      </x:c>
      <x:c r="O2068" s="78" t="n">
        <x:f>H2068-N2068</x:f>
        <x:v>348481100394.7562</x:v>
      </x:c>
      <x:c r="P2068" s="78" t="n">
        <x:f>I2068+L2068*(1-'Inputs'!$B$17)</x:f>
        <x:v>0.34841492776268</x:v>
      </x:c>
      <x:c r="Q2068" s="78" t="n">
        <x:f>IF(J2068&gt;0,M2068/J2068,0)</x:f>
        <x:v>0</x:v>
      </x:c>
      <x:c r="R2068" s="78" t="n">
        <x:f>IF(B2068='Inputs'!$H$49,'Inputs'!$B$27*'Inputs'!$I$49,0)</x:f>
        <x:v>0</x:v>
      </x:c>
      <x:c r="S2068" s="78" t="n">
        <x:f>Q2068+G2068+R2068</x:f>
        <x:v>824496.8568211661</x:v>
      </x:c>
      <x:c r="T2068" s="78" t="n">
        <x:f>P2068*(S2068*(1-'Inputs'!$B$15))/(O2068+S2068*(1-'Inputs'!$B$15))</x:f>
        <x:v>8.160949796720039e-7</x:v>
      </x:c>
      <x:c r="U2068" s="78" t="n">
        <x:f>O2068+S2068*(1-'Inputs'!$B$17)</x:f>
        <x:v>348481921573.71826</x:v>
      </x:c>
      <x:c r="V2068" s="78" t="n">
        <x:f>P2068-T2068</x:f>
        <x:v>0.34841411166770037</x:v>
      </x:c>
      <x:c r="W2068" s="79" t="n">
        <x:f>IF(U2068&gt;0,V2068/U2068,0)</x:f>
        <x:v>9.99805413417971e-13</x:v>
      </x:c>
      <x:c r="X2068" s="80" t="n">
        <x:f>W2068*('Inputs'!$B$6-AC2068)</x:f>
        <x:v>-0.0231531689962972</x:v>
      </x:c>
      <x:c r="Y2068" s="80" t="n">
        <x:f>2*V2068</x:f>
        <x:v>0.6968282233354007</x:v>
      </x:c>
      <x:c r="Z2068" s="80" t="n">
        <x:f>K2068*'Inputs'!$B$16+(G2068+R2068)*J2068*'Inputs'!$B$16</x:f>
        <x:v>0.003135739295905885</x:v>
      </x:c>
      <x:c r="AA2068" s="80" t="n">
        <x:f>K2068*(1+'Inputs'!$E$49)/2*'Inputs'!$B$17</x:f>
        <x:v>0.0010200074846975844</x:v>
      </x:c>
      <x:c r="AB2068" s="78" t="n">
        <x:f>(IF(J2068&gt;0,K2068*(1-'Inputs'!$E$49)/2/J2068,0)+G2068+R2068)*'Inputs'!$B$17</x:f>
        <x:v>3317.894796061031</x:v>
      </x:c>
      <x:c r="AC2068" s="78" t="n">
        <x:f>AC2067+AB2068</x:f>
        <x:v>24157675169.1561</x:v>
      </x:c>
      <x:c r="AD2068" s="80" t="n">
        <x:f>Z2068/(1+'Inputs'!$C$49)</x:f>
        <x:v>0.0007839348239764713</x:v>
      </x:c>
      <x:c r="AE2068" s="80" t="n">
        <x:f>Z2068-AD2068</x:f>
        <x:v>0.002351804471929414</x:v>
      </x:c>
      <x:c r="AF2068" s="80" t="n">
        <x:f>D2068*W2068</x:f>
        <x:v>2.7171410034006894e-7</x:v>
      </x:c>
      <x:c r="AG2068" s="80" t="n">
        <x:f>C2068*W2068</x:f>
        <x:v>6.339995674601858e-7</x:v>
      </x:c>
      <x:c r="AH2068" s="80" t="n">
        <x:f>2*'Inputs'!$B$8*'Inputs'!$C$49</x:f>
        <x:v>15000</x:v>
      </x:c>
      <x:c r="AI2068" s="81" t="n">
        <x:f>IF(AH2068&gt;0,(AE2068+AF2068)/AH2068*365,0)</x:f>
        <x:v>0.00005723385386005734</x:v>
      </x:c>
      <x:c r="AJ2068" s="81" t="n">
        <x:f>IF('Inputs'!$B$49&gt;0,AG2068/('Inputs'!$B$19*'Inputs'!$B$49)*365,0)</x:f>
        <x:v>2.314098421229678e-8</x:v>
      </x:c>
      <x:c r="AK2068" s="81" t="n">
        <x:f>W2068/MAX($W$1829:W2068)-1</x:f>
        <x:v>-0.9999999987119557</x:v>
      </x:c>
      <x:c r="AL2068" s="83" t="n">
        <x:f>'Inputs'!$B$49</x:f>
        <x:v>1</x:v>
      </x:c>
      <x:c r="AM2068" s="83" t="n">
        <x:f>'Inputs'!$C$49</x:f>
        <x:v>3</x:v>
      </x:c>
      <x:c r="AN2068" s="83" t="n">
        <x:f>'Inputs'!$D$49</x:f>
        <x:v>0.75</x:v>
      </x:c>
      <x:c r="AO2068" s="81" t="n">
        <x:f>'Inputs'!$E$49</x:f>
        <x:v>-0.03</x:v>
      </x:c>
    </x:row>
    <x:row r="2069">
      <x:c r="A2069" s="59" t="str">
        <x:v>Mercenary LP</x:v>
      </x:c>
      <x:c r="B2069" s="59" t="n">
        <x:v>241</x:v>
      </x:c>
      <x:c r="C2069" s="78" t="n">
        <x:f>(('Inputs'!$B$29*(3*241*'Inputs'!$B$12-241^2)/(2*'Inputs'!$B$12^2))-('Inputs'!$B$29*(3*240*'Inputs'!$B$12-240^2)/(2*'Inputs'!$B$12^2)))*'Inputs'!$B$49</x:f>
        <x:v>633797.8513792455</x:v>
      </x:c>
      <x:c r="D2069" s="78" t="n">
        <x:f>IF('Inputs'!$C$49&gt;0,('Inputs'!$B$30*(3*241*'Inputs'!$B$12-241^2)/(2*'Inputs'!$B$12^2))-('Inputs'!$B$30*(3*240*'Inputs'!$B$12-240^2)/(2*'Inputs'!$B$12^2)),0)</x:f>
        <x:v>271627.6505911052</x:v>
      </x:c>
      <x:c r="E2069" s="78" t="n">
        <x:f>C2069+D2069</x:f>
        <x:v>905425.5019703507</x:v>
      </x:c>
      <x:c r="F2069" s="78" t="n">
        <x:f>'Inputs'!$B$13*E2069+(1-'Inputs'!$B$13)/'Inputs'!$B$14*SUM(E2014:E2069)</x:f>
        <x:v>915643.1788328014</x:v>
      </x:c>
      <x:c r="G2069" s="78" t="n">
        <x:f>F2069*'Inputs'!$F$49</x:f>
        <x:v>824078.8609495213</x:v>
      </x:c>
      <x:c r="H2069" s="78" t="n">
        <x:f>U2068</x:f>
        <x:v>348481921573.71826</x:v>
      </x:c>
      <x:c r="I2069" s="78" t="n">
        <x:f>V2068</x:f>
        <x:v>0.34841411166770037</x:v>
      </x:c>
      <x:c r="J2069" s="79" t="n">
        <x:f>IF(H2069&gt;0,I2069/H2069,0)</x:f>
        <x:v>9.99805413417971e-13</x:v>
      </x:c>
      <x:c r="K2069" s="80" t="n">
        <x:f>(H2069*J2069+I2069)*'Inputs'!$D$49*(1+'Inputs'!$G$49)^(B2069/30)</x:f>
        <x:v>0.5226211675015505</x:v>
      </x:c>
      <x:c r="L2069" s="80" t="n">
        <x:f>MAX(0,K2069*'Inputs'!$E$49)</x:f>
        <x:v>0</x:v>
      </x:c>
      <x:c r="M2069" s="80" t="n">
        <x:f>MAX(0,-K2069*'Inputs'!$E$49)</x:f>
        <x:v>0.015678635025046517</x:v>
      </x:c>
      <x:c r="N2069" s="78" t="n">
        <x:f>H2069*(L2069*(1-'Inputs'!$B$15))/(I2069+L2069*(1-'Inputs'!$B$15))</x:f>
        <x:v>0</x:v>
      </x:c>
      <x:c r="O2069" s="78" t="n">
        <x:f>H2069-N2069</x:f>
        <x:v>348481921573.71826</x:v>
      </x:c>
      <x:c r="P2069" s="78" t="n">
        <x:f>I2069+L2069*(1-'Inputs'!$B$17)</x:f>
        <x:v>0.34841411166770037</x:v>
      </x:c>
      <x:c r="Q2069" s="78" t="n">
        <x:f>IF(J2069&gt;0,M2069/J2069,0)</x:f>
        <x:v>0</x:v>
      </x:c>
      <x:c r="R2069" s="78" t="n">
        <x:f>IF(B2069='Inputs'!$H$49,'Inputs'!$B$27*'Inputs'!$I$49,0)</x:f>
        <x:v>0</x:v>
      </x:c>
      <x:c r="S2069" s="78" t="n">
        <x:f>Q2069+G2069+R2069</x:f>
        <x:v>824078.8609495213</x:v>
      </x:c>
      <x:c r="T2069" s="78" t="n">
        <x:f>P2069*(S2069*(1-'Inputs'!$B$15))/(O2069+S2069*(1-'Inputs'!$B$15))</x:f>
        <x:v>8.156774115991603e-7</x:v>
      </x:c>
      <x:c r="U2069" s="78" t="n">
        <x:f>O2069+S2069*(1-'Inputs'!$B$17)</x:f>
        <x:v>348482742336.3665</x:v>
      </x:c>
      <x:c r="V2069" s="78" t="n">
        <x:f>P2069-T2069</x:f>
        <x:v>0.34841329599028875</x:v>
      </x:c>
      <x:c r="W2069" s="79" t="n">
        <x:f>IF(U2069&gt;0,V2069/U2069,0)</x:f>
        <x:v>9.998007179764135e-13</x:v>
      </x:c>
      <x:c r="X2069" s="80" t="n">
        <x:f>W2069*('Inputs'!$B$6-AC2069)</x:f>
        <x:v>-0.02315306357633869</x:v>
      </x:c>
      <x:c r="Y2069" s="80" t="n">
        <x:f>2*V2069</x:f>
        <x:v>0.6968265919805775</x:v>
      </x:c>
      <x:c r="Z2069" s="80" t="n">
        <x:f>K2069*'Inputs'!$B$16+(G2069+R2069)*J2069*'Inputs'!$B$16</x:f>
        <x:v>0.003135731948520341</x:v>
      </x:c>
      <x:c r="AA2069" s="80" t="n">
        <x:f>K2069*(1+'Inputs'!$E$49)/2*'Inputs'!$B$17</x:f>
        <x:v>0.0010200050955261651</x:v>
      </x:c>
      <x:c r="AB2069" s="78" t="n">
        <x:f>(IF(J2069&gt;0,K2069*(1-'Inputs'!$E$49)/2/J2069,0)+G2069+R2069)*'Inputs'!$B$17</x:f>
        <x:v>3316.212720118798</x:v>
      </x:c>
      <x:c r="AC2069" s="78" t="n">
        <x:f>AC2068+AB2069</x:f>
        <x:v>24157678485.36882</x:v>
      </x:c>
      <x:c r="AD2069" s="80" t="n">
        <x:f>Z2069/(1+'Inputs'!$C$49)</x:f>
        <x:v>0.0007839329871300852</x:v>
      </x:c>
      <x:c r="AE2069" s="80" t="n">
        <x:f>Z2069-AD2069</x:f>
        <x:v>0.0023517989613902556</x:v>
      </x:c>
      <x:c r="AF2069" s="80" t="n">
        <x:f>D2069*W2069</x:f>
        <x:v>2.715735200832334e-7</x:v>
      </x:c>
      <x:c r="AG2069" s="80" t="n">
        <x:f>C2069*W2069</x:f>
        <x:v>6.336715468608779e-7</x:v>
      </x:c>
      <x:c r="AH2069" s="80" t="n">
        <x:f>2*'Inputs'!$B$8*'Inputs'!$C$49</x:f>
        <x:v>15000</x:v>
      </x:c>
      <x:c r="AI2069" s="81" t="n">
        <x:f>IF(AH2069&gt;0,(AE2069+AF2069)/AH2069*365,0)</x:f>
        <x:v>0.000057233716349484904</x:v>
      </x:c>
      <x:c r="AJ2069" s="81" t="n">
        <x:f>IF('Inputs'!$B$49&gt;0,AG2069/('Inputs'!$B$19*'Inputs'!$B$49)*365,0)</x:f>
        <x:v>2.3129011460422045e-8</x:v>
      </x:c>
      <x:c r="AK2069" s="81" t="n">
        <x:f>W2069/MAX($W$1829:W2069)-1</x:f>
        <x:v>-0.9999999987119617</x:v>
      </x:c>
      <x:c r="AL2069" s="83" t="n">
        <x:f>'Inputs'!$B$49</x:f>
        <x:v>1</x:v>
      </x:c>
      <x:c r="AM2069" s="83" t="n">
        <x:f>'Inputs'!$C$49</x:f>
        <x:v>3</x:v>
      </x:c>
      <x:c r="AN2069" s="83" t="n">
        <x:f>'Inputs'!$D$49</x:f>
        <x:v>0.75</x:v>
      </x:c>
      <x:c r="AO2069" s="81" t="n">
        <x:f>'Inputs'!$E$49</x:f>
        <x:v>-0.03</x:v>
      </x:c>
    </x:row>
    <x:row r="2070">
      <x:c r="A2070" s="59" t="str">
        <x:v>Mercenary LP</x:v>
      </x:c>
      <x:c r="B2070" s="59" t="n">
        <x:v>242</x:v>
      </x:c>
      <x:c r="C2070" s="78" t="n">
        <x:f>(('Inputs'!$B$29*(3*242*'Inputs'!$B$12-242^2)/(2*'Inputs'!$B$12^2))-('Inputs'!$B$29*(3*241*'Inputs'!$B$12-241^2)/(2*'Inputs'!$B$12^2)))*'Inputs'!$B$49</x:f>
        <x:v>633472.743479073</x:v>
      </x:c>
      <x:c r="D2070" s="78" t="n">
        <x:f>IF('Inputs'!$C$49&gt;0,('Inputs'!$B$30*(3*242*'Inputs'!$B$12-242^2)/(2*'Inputs'!$B$12^2))-('Inputs'!$B$30*(3*241*'Inputs'!$B$12-241^2)/(2*'Inputs'!$B$12^2)),0)</x:f>
        <x:v>271488.3186338991</x:v>
      </x:c>
      <x:c r="E2070" s="78" t="n">
        <x:f>C2070+D2070</x:f>
        <x:v>904961.0621129721</x:v>
      </x:c>
      <x:c r="F2070" s="78" t="n">
        <x:f>'Inputs'!$B$13*E2070+(1-'Inputs'!$B$13)/'Inputs'!$B$14*SUM(E2015:E2070)</x:f>
        <x:v>915178.7389754186</x:v>
      </x:c>
      <x:c r="G2070" s="78" t="n">
        <x:f>F2070*'Inputs'!$F$49</x:f>
        <x:v>823660.8650778767</x:v>
      </x:c>
      <x:c r="H2070" s="78" t="n">
        <x:f>U2069</x:f>
        <x:v>348482742336.3665</x:v>
      </x:c>
      <x:c r="I2070" s="78" t="n">
        <x:f>V2069</x:f>
        <x:v>0.34841329599028875</x:v>
      </x:c>
      <x:c r="J2070" s="79" t="n">
        <x:f>IF(H2070&gt;0,I2070/H2070,0)</x:f>
        <x:v>9.998007179764135e-13</x:v>
      </x:c>
      <x:c r="K2070" s="80" t="n">
        <x:f>(H2070*J2070+I2070)*'Inputs'!$D$49*(1+'Inputs'!$G$49)^(B2070/30)</x:f>
        <x:v>0.5226199439854331</x:v>
      </x:c>
      <x:c r="L2070" s="80" t="n">
        <x:f>MAX(0,K2070*'Inputs'!$E$49)</x:f>
        <x:v>0</x:v>
      </x:c>
      <x:c r="M2070" s="80" t="n">
        <x:f>MAX(0,-K2070*'Inputs'!$E$49)</x:f>
        <x:v>0.015678598319562993</x:v>
      </x:c>
      <x:c r="N2070" s="78" t="n">
        <x:f>H2070*(L2070*(1-'Inputs'!$B$15))/(I2070+L2070*(1-'Inputs'!$B$15))</x:f>
        <x:v>0</x:v>
      </x:c>
      <x:c r="O2070" s="78" t="n">
        <x:f>H2070-N2070</x:f>
        <x:v>348482742336.3665</x:v>
      </x:c>
      <x:c r="P2070" s="78" t="n">
        <x:f>I2070+L2070*(1-'Inputs'!$B$17)</x:f>
        <x:v>0.34841329599028875</x:v>
      </x:c>
      <x:c r="Q2070" s="78" t="n">
        <x:f>IF(J2070&gt;0,M2070/J2070,0)</x:f>
        <x:v>0</x:v>
      </x:c>
      <x:c r="R2070" s="78" t="n">
        <x:f>IF(B2070='Inputs'!$H$49,'Inputs'!$B$27*'Inputs'!$I$49,0)</x:f>
        <x:v>0</x:v>
      </x:c>
      <x:c r="S2070" s="78" t="n">
        <x:f>Q2070+G2070+R2070</x:f>
        <x:v>823660.8650778767</x:v>
      </x:c>
      <x:c r="T2070" s="78" t="n">
        <x:f>P2070*(S2070*(1-'Inputs'!$B$15))/(O2070+S2070*(1-'Inputs'!$B$15))</x:f>
        <x:v>8.152598493824782e-7</x:v>
      </x:c>
      <x:c r="U2070" s="78" t="n">
        <x:f>O2070+S2070*(1-'Inputs'!$B$17)</x:f>
        <x:v>348483562682.7009</x:v>
      </x:c>
      <x:c r="V2070" s="78" t="n">
        <x:f>P2070-T2070</x:f>
        <x:v>0.34841248073043934</x:v>
      </x:c>
      <x:c r="W2070" s="79" t="n">
        <x:f>IF(U2070&gt;0,V2070/U2070,0)</x:f>
        <x:v>9.997960249496005e-13</x:v>
      </x:c>
      <x:c r="X2070" s="80" t="n">
        <x:f>W2070*('Inputs'!$B$6-AC2070)</x:f>
        <x:v>-0.023152958210587195</x:v>
      </x:c>
      <x:c r="Y2070" s="80" t="n">
        <x:f>2*V2070</x:f>
        <x:v>0.6968249614608787</x:v>
      </x:c>
      <x:c r="Z2070" s="80" t="n">
        <x:f>K2070*'Inputs'!$B$16+(G2070+R2070)*J2070*'Inputs'!$B$16</x:f>
        <x:v>0.0031357246048929447</x:v>
      </x:c>
      <x:c r="AA2070" s="80" t="n">
        <x:f>K2070*(1+'Inputs'!$E$49)/2*'Inputs'!$B$17</x:f>
        <x:v>0.0010200027075772035</x:v>
      </x:c>
      <x:c r="AB2070" s="78" t="n">
        <x:f>(IF(J2070&gt;0,K2070*(1-'Inputs'!$E$49)/2/J2070,0)+G2070+R2070)*'Inputs'!$B$17</x:f>
        <x:v>3314.5306441765665</x:v>
      </x:c>
      <x:c r="AC2070" s="78" t="n">
        <x:f>AC2069+AB2070</x:f>
        <x:v>24157681799.899464</x:v>
      </x:c>
      <x:c r="AD2070" s="80" t="n">
        <x:f>Z2070/(1+'Inputs'!$C$49)</x:f>
        <x:v>0.0007839311512232362</x:v>
      </x:c>
      <x:c r="AE2070" s="80" t="n">
        <x:f>Z2070-AD2070</x:f>
        <x:v>0.0023517934536697086</x:v>
      </x:c>
      <x:c r="AF2070" s="80" t="n">
        <x:f>D2070*W2070</x:f>
        <x:v>2.714329417904229e-7</x:v>
      </x:c>
      <x:c r="AG2070" s="80" t="n">
        <x:f>C2070*W2070</x:f>
        <x:v>6.333435308442952e-7</x:v>
      </x:c>
      <x:c r="AH2070" s="80" t="n">
        <x:f>2*'Inputs'!$B$8*'Inputs'!$C$49</x:f>
        <x:v>15000</x:v>
      </x:c>
      <x:c r="AI2070" s="81" t="n">
        <x:f>IF(AH2070&gt;0,(AE2070+AF2070)/AH2070*365,0)</x:f>
        <x:v>0.00005723357890754648</x:v>
      </x:c>
      <x:c r="AJ2070" s="81" t="n">
        <x:f>IF('Inputs'!$B$49&gt;0,AG2070/('Inputs'!$B$19*'Inputs'!$B$49)*365,0)</x:f>
        <x:v>2.3117038875816778e-8</x:v>
      </x:c>
      <x:c r="AK2070" s="81" t="n">
        <x:f>W2070/MAX($W$1829:W2070)-1</x:f>
        <x:v>-0.9999999987119678</x:v>
      </x:c>
      <x:c r="AL2070" s="83" t="n">
        <x:f>'Inputs'!$B$49</x:f>
        <x:v>1</x:v>
      </x:c>
      <x:c r="AM2070" s="83" t="n">
        <x:f>'Inputs'!$C$49</x:f>
        <x:v>3</x:v>
      </x:c>
      <x:c r="AN2070" s="83" t="n">
        <x:f>'Inputs'!$D$49</x:f>
        <x:v>0.75</x:v>
      </x:c>
      <x:c r="AO2070" s="81" t="n">
        <x:f>'Inputs'!$E$49</x:f>
        <x:v>-0.03</x:v>
      </x:c>
    </x:row>
    <x:row r="2071">
      <x:c r="A2071" s="59" t="str">
        <x:v>Mercenary LP</x:v>
      </x:c>
      <x:c r="B2071" s="59" t="n">
        <x:v>243</x:v>
      </x:c>
      <x:c r="C2071" s="78" t="n">
        <x:f>(('Inputs'!$B$29*(3*243*'Inputs'!$B$12-243^2)/(2*'Inputs'!$B$12^2))-('Inputs'!$B$29*(3*242*'Inputs'!$B$12-242^2)/(2*'Inputs'!$B$12^2)))*'Inputs'!$B$49</x:f>
        <x:v>633147.6355789304</x:v>
      </x:c>
      <x:c r="D2071" s="78" t="n">
        <x:f>IF('Inputs'!$C$49&gt;0,('Inputs'!$B$30*(3*243*'Inputs'!$B$12-243^2)/(2*'Inputs'!$B$12^2))-('Inputs'!$B$30*(3*242*'Inputs'!$B$12-242^2)/(2*'Inputs'!$B$12^2)),0)</x:f>
        <x:v>271348.98667666316</x:v>
      </x:c>
      <x:c r="E2071" s="78" t="n">
        <x:f>C2071+D2071</x:f>
        <x:v>904496.6222555935</x:v>
      </x:c>
      <x:c r="F2071" s="78" t="n">
        <x:f>'Inputs'!$B$13*E2071+(1-'Inputs'!$B$13)/'Inputs'!$B$14*SUM(E2016:E2071)</x:f>
        <x:v>914714.2991180358</x:v>
      </x:c>
      <x:c r="G2071" s="78" t="n">
        <x:f>F2071*'Inputs'!$F$49</x:f>
        <x:v>823242.8692062323</x:v>
      </x:c>
      <x:c r="H2071" s="78" t="n">
        <x:f>U2070</x:f>
        <x:v>348483562682.7009</x:v>
      </x:c>
      <x:c r="I2071" s="78" t="n">
        <x:f>V2070</x:f>
        <x:v>0.34841248073043934</x:v>
      </x:c>
      <x:c r="J2071" s="79" t="n">
        <x:f>IF(H2071&gt;0,I2071/H2071,0)</x:f>
        <x:v>9.997960249496005e-13</x:v>
      </x:c>
      <x:c r="K2071" s="80" t="n">
        <x:f>(H2071*J2071+I2071)*'Inputs'!$D$49*(1+'Inputs'!$G$49)^(B2071/30)</x:f>
        <x:v>0.522618721095659</x:v>
      </x:c>
      <x:c r="L2071" s="80" t="n">
        <x:f>MAX(0,K2071*'Inputs'!$E$49)</x:f>
        <x:v>0</x:v>
      </x:c>
      <x:c r="M2071" s="80" t="n">
        <x:f>MAX(0,-K2071*'Inputs'!$E$49)</x:f>
        <x:v>0.015678561632869768</x:v>
      </x:c>
      <x:c r="N2071" s="78" t="n">
        <x:f>H2071*(L2071*(1-'Inputs'!$B$15))/(I2071+L2071*(1-'Inputs'!$B$15))</x:f>
        <x:v>0</x:v>
      </x:c>
      <x:c r="O2071" s="78" t="n">
        <x:f>H2071-N2071</x:f>
        <x:v>348483562682.7009</x:v>
      </x:c>
      <x:c r="P2071" s="78" t="n">
        <x:f>I2071+L2071*(1-'Inputs'!$B$17)</x:f>
        <x:v>0.34841248073043934</x:v>
      </x:c>
      <x:c r="Q2071" s="78" t="n">
        <x:f>IF(J2071&gt;0,M2071/J2071,0)</x:f>
        <x:v>0</x:v>
      </x:c>
      <x:c r="R2071" s="78" t="n">
        <x:f>IF(B2071='Inputs'!$H$49,'Inputs'!$B$27*'Inputs'!$I$49,0)</x:f>
        <x:v>0</x:v>
      </x:c>
      <x:c r="S2071" s="78" t="n">
        <x:f>Q2071+G2071+R2071</x:f>
        <x:v>823242.8692062323</x:v>
      </x:c>
      <x:c r="T2071" s="78" t="n">
        <x:f>P2071*(S2071*(1-'Inputs'!$B$15))/(O2071+S2071*(1-'Inputs'!$B$15))</x:f>
        <x:v>8.148422930189182e-7</x:v>
      </x:c>
      <x:c r="U2071" s="78" t="n">
        <x:f>O2071+S2071*(1-'Inputs'!$B$17)</x:f>
        <x:v>348484382612.72156</x:v>
      </x:c>
      <x:c r="V2071" s="78" t="n">
        <x:f>P2071-T2071</x:f>
        <x:v>0.3484116658881463</x:v>
      </x:c>
      <x:c r="W2071" s="79" t="n">
        <x:f>IF(U2071&gt;0,V2071/U2071,0)</x:f>
        <x:v>9.997913343374814e-13</x:v>
      </x:c>
      <x:c r="X2071" s="80" t="n">
        <x:f>W2071*('Inputs'!$B$6-AC2071)</x:f>
        <x:v>-0.023152852899041582</x:v>
      </x:c>
      <x:c r="Y2071" s="80" t="n">
        <x:f>2*V2071</x:f>
        <x:v>0.6968233317762926</x:v>
      </x:c>
      <x:c r="Z2071" s="80" t="n">
        <x:f>K2071*'Inputs'!$B$16+(G2071+R2071)*J2071*'Inputs'!$B$16</x:f>
        <x:v>0.0031357172650236433</x:v>
      </x:c>
      <x:c r="AA2071" s="80" t="n">
        <x:f>K2071*(1+'Inputs'!$E$49)/2*'Inputs'!$B$17</x:f>
        <x:v>0.0010200003208506827</x:v>
      </x:c>
      <x:c r="AB2071" s="78" t="n">
        <x:f>(IF(J2071&gt;0,K2071*(1-'Inputs'!$E$49)/2/J2071,0)+G2071+R2071)*'Inputs'!$B$17</x:f>
        <x:v>3312.8485682343353</x:v>
      </x:c>
      <x:c r="AC2071" s="78" t="n">
        <x:f>AC2070+AB2071</x:f>
        <x:v>24157685112.74803</x:v>
      </x:c>
      <x:c r="AD2071" s="80" t="n">
        <x:f>Z2071/(1+'Inputs'!$C$49)</x:f>
        <x:v>0.0007839293162559108</x:v>
      </x:c>
      <x:c r="AE2071" s="80" t="n">
        <x:f>Z2071-AD2071</x:f>
        <x:v>0.0023517879487677325</x:v>
      </x:c>
      <x:c r="AF2071" s="80" t="n">
        <x:f>D2071*W2071</x:f>
        <x:v>2.7129236546058453e-7</x:v>
      </x:c>
      <x:c r="AG2071" s="80" t="n">
        <x:f>C2071*W2071</x:f>
        <x:v>6.330155194080802e-7</x:v>
      </x:c>
      <x:c r="AH2071" s="80" t="n">
        <x:f>2*'Inputs'!$B$8*'Inputs'!$C$49</x:f>
        <x:v>15000</x:v>
      </x:c>
      <x:c r="AI2071" s="81" t="n">
        <x:f>IF(AH2071&gt;0,(AE2071+AF2071)/AH2071*365,0)</x:f>
        <x:v>0.00005723344153424103</x:v>
      </x:c>
      <x:c r="AJ2071" s="81" t="n">
        <x:f>IF('Inputs'!$B$49&gt;0,AG2071/('Inputs'!$B$19*'Inputs'!$B$49)*365,0)</x:f>
        <x:v>2.310506645839493e-8</x:v>
      </x:c>
      <x:c r="AK2071" s="81" t="n">
        <x:f>W2071/MAX($W$1829:W2071)-1</x:f>
        <x:v>-0.9999999987119738</x:v>
      </x:c>
      <x:c r="AL2071" s="83" t="n">
        <x:f>'Inputs'!$B$49</x:f>
        <x:v>1</x:v>
      </x:c>
      <x:c r="AM2071" s="83" t="n">
        <x:f>'Inputs'!$C$49</x:f>
        <x:v>3</x:v>
      </x:c>
      <x:c r="AN2071" s="83" t="n">
        <x:f>'Inputs'!$D$49</x:f>
        <x:v>0.75</x:v>
      </x:c>
      <x:c r="AO2071" s="81" t="n">
        <x:f>'Inputs'!$E$49</x:f>
        <x:v>-0.03</x:v>
      </x:c>
    </x:row>
    <x:row r="2072">
      <x:c r="A2072" s="59" t="str">
        <x:v>Mercenary LP</x:v>
      </x:c>
      <x:c r="B2072" s="59" t="n">
        <x:v>244</x:v>
      </x:c>
      <x:c r="C2072" s="78" t="n">
        <x:f>(('Inputs'!$B$29*(3*244*'Inputs'!$B$12-244^2)/(2*'Inputs'!$B$12^2))-('Inputs'!$B$29*(3*243*'Inputs'!$B$12-243^2)/(2*'Inputs'!$B$12^2)))*'Inputs'!$B$49</x:f>
        <x:v>632822.5276787281</x:v>
      </x:c>
      <x:c r="D2072" s="78" t="n">
        <x:f>IF('Inputs'!$C$49&gt;0,('Inputs'!$B$30*(3*244*'Inputs'!$B$12-244^2)/(2*'Inputs'!$B$12^2))-('Inputs'!$B$30*(3*243*'Inputs'!$B$12-243^2)/(2*'Inputs'!$B$12^2)),0)</x:f>
        <x:v>271209.65471947193</x:v>
      </x:c>
      <x:c r="E2072" s="78" t="n">
        <x:f>C2072+D2072</x:f>
        <x:v>904032.1823982</x:v>
      </x:c>
      <x:c r="F2072" s="78" t="n">
        <x:f>'Inputs'!$B$13*E2072+(1-'Inputs'!$B$13)/'Inputs'!$B$14*SUM(E2017:E2072)</x:f>
        <x:v>914249.8592606497</x:v>
      </x:c>
      <x:c r="G2072" s="78" t="n">
        <x:f>F2072*'Inputs'!$F$49</x:f>
        <x:v>822824.8733345848</x:v>
      </x:c>
      <x:c r="H2072" s="78" t="n">
        <x:f>U2071</x:f>
        <x:v>348484382612.72156</x:v>
      </x:c>
      <x:c r="I2072" s="78" t="n">
        <x:f>V2071</x:f>
        <x:v>0.3484116658881463</x:v>
      </x:c>
      <x:c r="J2072" s="79" t="n">
        <x:f>IF(H2072&gt;0,I2072/H2072,0)</x:f>
        <x:v>9.997913343374814e-13</x:v>
      </x:c>
      <x:c r="K2072" s="80" t="n">
        <x:f>(H2072*J2072+I2072)*'Inputs'!$D$49*(1+'Inputs'!$G$49)^(B2072/30)</x:f>
        <x:v>0.5226174988322194</x:v>
      </x:c>
      <x:c r="L2072" s="80" t="n">
        <x:f>MAX(0,K2072*'Inputs'!$E$49)</x:f>
        <x:v>0</x:v>
      </x:c>
      <x:c r="M2072" s="80" t="n">
        <x:f>MAX(0,-K2072*'Inputs'!$E$49)</x:f>
        <x:v>0.01567852496496658</x:v>
      </x:c>
      <x:c r="N2072" s="78" t="n">
        <x:f>H2072*(L2072*(1-'Inputs'!$B$15))/(I2072+L2072*(1-'Inputs'!$B$15))</x:f>
        <x:v>0</x:v>
      </x:c>
      <x:c r="O2072" s="78" t="n">
        <x:f>H2072-N2072</x:f>
        <x:v>348484382612.72156</x:v>
      </x:c>
      <x:c r="P2072" s="78" t="n">
        <x:f>I2072+L2072*(1-'Inputs'!$B$17)</x:f>
        <x:v>0.3484116658881463</x:v>
      </x:c>
      <x:c r="Q2072" s="78" t="n">
        <x:f>IF(J2072&gt;0,M2072/J2072,0)</x:f>
        <x:v>0</x:v>
      </x:c>
      <x:c r="R2072" s="78" t="n">
        <x:f>IF(B2072='Inputs'!$H$49,'Inputs'!$B$27*'Inputs'!$I$49,0)</x:f>
        <x:v>0</x:v>
      </x:c>
      <x:c r="S2072" s="78" t="n">
        <x:f>Q2072+G2072+R2072</x:f>
        <x:v>822824.8733345848</x:v>
      </x:c>
      <x:c r="T2072" s="78" t="n">
        <x:f>P2072*(S2072*(1-'Inputs'!$B$15))/(O2072+S2072*(1-'Inputs'!$B$15))</x:f>
        <x:v>8.144247425054383e-7</x:v>
      </x:c>
      <x:c r="U2072" s="78" t="n">
        <x:f>O2072+S2072*(1-'Inputs'!$B$17)</x:f>
        <x:v>348485202126.4284</x:v>
      </x:c>
      <x:c r="V2072" s="78" t="n">
        <x:f>P2072-T2072</x:f>
        <x:v>0.34841085146340384</x:v>
      </x:c>
      <x:c r="W2072" s="79" t="n">
        <x:f>IF(U2072&gt;0,V2072/U2072,0)</x:f>
        <x:v>9.997866461400057e-13</x:v>
      </x:c>
      <x:c r="X2072" s="80" t="n">
        <x:f>W2072*('Inputs'!$B$6-AC2072)</x:f>
        <x:v>-0.023152747641700736</x:v>
      </x:c>
      <x:c r="Y2072" s="80" t="n">
        <x:f>2*V2072</x:f>
        <x:v>0.6968217029268077</x:v>
      </x:c>
      <x:c r="Z2072" s="80" t="n">
        <x:f>K2072*'Inputs'!$B$16+(G2072+R2072)*J2072*'Inputs'!$B$16</x:f>
        <x:v>0.003135709928912385</x:v>
      </x:c>
      <x:c r="AA2072" s="80" t="n">
        <x:f>K2072*(1+'Inputs'!$E$49)/2*'Inputs'!$B$17</x:f>
        <x:v>0.0010199979353465853</x:v>
      </x:c>
      <x:c r="AB2072" s="78" t="n">
        <x:f>(IF(J2072&gt;0,K2072*(1-'Inputs'!$E$49)/2/J2072,0)+G2072+R2072)*'Inputs'!$B$17</x:f>
        <x:v>3311.166492292092</x:v>
      </x:c>
      <x:c r="AC2072" s="78" t="n">
        <x:f>AC2071+AB2072</x:f>
        <x:v>24157688423.914524</x:v>
      </x:c>
      <x:c r="AD2072" s="80" t="n">
        <x:f>Z2072/(1+'Inputs'!$C$49)</x:f>
        <x:v>0.0007839274822280962</x:v>
      </x:c>
      <x:c r="AE2072" s="80" t="n">
        <x:f>Z2072-AD2072</x:f>
        <x:v>0.0023517824466842887</x:v>
      </x:c>
      <x:c r="AF2072" s="80" t="n">
        <x:f>D2072*W2072</x:f>
        <x:v>2.7115179109276983e-7</x:v>
      </x:c>
      <x:c r="AG2072" s="80" t="n">
        <x:f>C2072*W2072</x:f>
        <x:v>6.326875125497565e-7</x:v>
      </x:c>
      <x:c r="AH2072" s="80" t="n">
        <x:f>2*'Inputs'!$B$8*'Inputs'!$C$49</x:f>
        <x:v>15000</x:v>
      </x:c>
      <x:c r="AI2072" s="81" t="n">
        <x:f>IF(AH2072&gt;0,(AE2072+AF2072)/AH2072*365,0)</x:f>
        <x:v>0.00005723330422956761</x:v>
      </x:c>
      <x:c r="AJ2072" s="81" t="n">
        <x:f>IF('Inputs'!$B$49&gt;0,AG2072/('Inputs'!$B$19*'Inputs'!$B$49)*365,0)</x:f>
        <x:v>2.309309420806611e-8</x:v>
      </x:c>
      <x:c r="AK2072" s="81" t="n">
        <x:f>W2072/MAX($W$1829:W2072)-1</x:f>
        <x:v>-0.9999999987119799</x:v>
      </x:c>
      <x:c r="AL2072" s="83" t="n">
        <x:f>'Inputs'!$B$49</x:f>
        <x:v>1</x:v>
      </x:c>
      <x:c r="AM2072" s="83" t="n">
        <x:f>'Inputs'!$C$49</x:f>
        <x:v>3</x:v>
      </x:c>
      <x:c r="AN2072" s="83" t="n">
        <x:f>'Inputs'!$D$49</x:f>
        <x:v>0.75</x:v>
      </x:c>
      <x:c r="AO2072" s="81" t="n">
        <x:f>'Inputs'!$E$49</x:f>
        <x:v>-0.03</x:v>
      </x:c>
    </x:row>
    <x:row r="2073">
      <x:c r="A2073" s="59" t="str">
        <x:v>Mercenary LP</x:v>
      </x:c>
      <x:c r="B2073" s="59" t="n">
        <x:v>245</x:v>
      </x:c>
      <x:c r="C2073" s="78" t="n">
        <x:f>(('Inputs'!$B$29*(3*245*'Inputs'!$B$12-245^2)/(2*'Inputs'!$B$12^2))-('Inputs'!$B$29*(3*244*'Inputs'!$B$12-244^2)/(2*'Inputs'!$B$12^2)))*'Inputs'!$B$49</x:f>
        <x:v>632497.4197785854</x:v>
      </x:c>
      <x:c r="D2073" s="78" t="n">
        <x:f>IF('Inputs'!$C$49&gt;0,('Inputs'!$B$30*(3*245*'Inputs'!$B$12-245^2)/(2*'Inputs'!$B$12^2))-('Inputs'!$B$30*(3*244*'Inputs'!$B$12-244^2)/(2*'Inputs'!$B$12^2)),0)</x:f>
        <x:v>271070.322762236</x:v>
      </x:c>
      <x:c r="E2073" s="78" t="n">
        <x:f>C2073+D2073</x:f>
        <x:v>903567.7425408214</x:v>
      </x:c>
      <x:c r="F2073" s="78" t="n">
        <x:f>'Inputs'!$B$13*E2073+(1-'Inputs'!$B$13)/'Inputs'!$B$14*SUM(E2018:E2073)</x:f>
        <x:v>913785.4194032669</x:v>
      </x:c>
      <x:c r="G2073" s="78" t="n">
        <x:f>F2073*'Inputs'!$F$49</x:f>
        <x:v>822406.8774629402</x:v>
      </x:c>
      <x:c r="H2073" s="78" t="n">
        <x:f>U2072</x:f>
        <x:v>348485202126.4284</x:v>
      </x:c>
      <x:c r="I2073" s="78" t="n">
        <x:f>V2072</x:f>
        <x:v>0.34841085146340384</x:v>
      </x:c>
      <x:c r="J2073" s="79" t="n">
        <x:f>IF(H2073&gt;0,I2073/H2073,0)</x:f>
        <x:v>9.997866461400057e-13</x:v>
      </x:c>
      <x:c r="K2073" s="80" t="n">
        <x:f>(H2073*J2073+I2073)*'Inputs'!$D$49*(1+'Inputs'!$G$49)^(B2073/30)</x:f>
        <x:v>0.5226162771951057</x:v>
      </x:c>
      <x:c r="L2073" s="80" t="n">
        <x:f>MAX(0,K2073*'Inputs'!$E$49)</x:f>
        <x:v>0</x:v>
      </x:c>
      <x:c r="M2073" s="80" t="n">
        <x:f>MAX(0,-K2073*'Inputs'!$E$49)</x:f>
        <x:v>0.01567848831585317</x:v>
      </x:c>
      <x:c r="N2073" s="78" t="n">
        <x:f>H2073*(L2073*(1-'Inputs'!$B$15))/(I2073+L2073*(1-'Inputs'!$B$15))</x:f>
        <x:v>0</x:v>
      </x:c>
      <x:c r="O2073" s="78" t="n">
        <x:f>H2073-N2073</x:f>
        <x:v>348485202126.4284</x:v>
      </x:c>
      <x:c r="P2073" s="78" t="n">
        <x:f>I2073+L2073*(1-'Inputs'!$B$17)</x:f>
        <x:v>0.34841085146340384</x:v>
      </x:c>
      <x:c r="Q2073" s="78" t="n">
        <x:f>IF(J2073&gt;0,M2073/J2073,0)</x:f>
        <x:v>0</x:v>
      </x:c>
      <x:c r="R2073" s="78" t="n">
        <x:f>IF(B2073='Inputs'!$H$49,'Inputs'!$B$27*'Inputs'!$I$49,0)</x:f>
        <x:v>0</x:v>
      </x:c>
      <x:c r="S2073" s="78" t="n">
        <x:f>Q2073+G2073+R2073</x:f>
        <x:v>822406.8774629402</x:v>
      </x:c>
      <x:c r="T2073" s="78" t="n">
        <x:f>P2073*(S2073*(1-'Inputs'!$B$15))/(O2073+S2073*(1-'Inputs'!$B$15))</x:f>
        <x:v>8.140071978390052e-7</x:v>
      </x:c>
      <x:c r="U2073" s="78" t="n">
        <x:f>O2073+S2073*(1-'Inputs'!$B$17)</x:f>
        <x:v>348486021223.8215</x:v>
      </x:c>
      <x:c r="V2073" s="78" t="n">
        <x:f>P2073-T2073</x:f>
        <x:v>0.348410037456206</x:v>
      </x:c>
      <x:c r="W2073" s="79" t="n">
        <x:f>IF(U2073&gt;0,V2073/U2073,0)</x:f>
        <x:v>9.997819603571225e-13</x:v>
      </x:c>
      <x:c r="X2073" s="80" t="n">
        <x:f>W2073*('Inputs'!$B$6-AC2073)</x:f>
        <x:v>-0.023152642438563523</x:v>
      </x:c>
      <x:c r="Y2073" s="80" t="n">
        <x:f>2*V2073</x:f>
        <x:v>0.696820074912412</x:v>
      </x:c>
      <x:c r="Z2073" s="80" t="n">
        <x:f>K2073*'Inputs'!$B$16+(G2073+R2073)*J2073*'Inputs'!$B$16</x:f>
        <x:v>0.0031357025965591174</x:v>
      </x:c>
      <x:c r="AA2073" s="80" t="n">
        <x:f>K2073*(1+'Inputs'!$E$49)/2*'Inputs'!$B$17</x:f>
        <x:v>0.0010199955510648946</x:v>
      </x:c>
      <x:c r="AB2073" s="78" t="n">
        <x:f>(IF(J2073&gt;0,K2073*(1-'Inputs'!$E$49)/2/J2073,0)+G2073+R2073)*'Inputs'!$B$17</x:f>
        <x:v>3309.48441634986</x:v>
      </x:c>
      <x:c r="AC2073" s="78" t="n">
        <x:f>AC2072+AB2073</x:f>
        <x:v>24157691733.39894</x:v>
      </x:c>
      <x:c r="AD2073" s="80" t="n">
        <x:f>Z2073/(1+'Inputs'!$C$49)</x:f>
        <x:v>0.0007839256491397794</x:v>
      </x:c>
      <x:c r="AE2073" s="80" t="n">
        <x:f>Z2073-AD2073</x:f>
        <x:v>0.002351776947419338</x:v>
      </x:c>
      <x:c r="AF2073" s="80" t="n">
        <x:f>D2073*W2073</x:f>
        <x:v>2.7101121868586626e-7</x:v>
      </x:c>
      <x:c r="AG2073" s="80" t="n">
        <x:f>C2073*W2073</x:f>
        <x:v>6.32359510267056e-7</x:v>
      </x:c>
      <x:c r="AH2073" s="80" t="n">
        <x:f>2*'Inputs'!$B$8*'Inputs'!$C$49</x:f>
        <x:v>15000</x:v>
      </x:c>
      <x:c r="AI2073" s="81" t="n">
        <x:f>IF(AH2073&gt;0,(AE2073+AF2073)/AH2073*365,0)</x:f>
        <x:v>0.00005723316699352524</x:v>
      </x:c>
      <x:c r="AJ2073" s="81" t="n">
        <x:f>IF('Inputs'!$B$49&gt;0,AG2073/('Inputs'!$B$19*'Inputs'!$B$49)*365,0)</x:f>
        <x:v>2.3081122124747547e-8</x:v>
      </x:c>
      <x:c r="AK2073" s="81" t="n">
        <x:f>W2073/MAX($W$1829:W2073)-1</x:f>
        <x:v>-0.9999999987119859</x:v>
      </x:c>
      <x:c r="AL2073" s="83" t="n">
        <x:f>'Inputs'!$B$49</x:f>
        <x:v>1</x:v>
      </x:c>
      <x:c r="AM2073" s="83" t="n">
        <x:f>'Inputs'!$C$49</x:f>
        <x:v>3</x:v>
      </x:c>
      <x:c r="AN2073" s="83" t="n">
        <x:f>'Inputs'!$D$49</x:f>
        <x:v>0.75</x:v>
      </x:c>
      <x:c r="AO2073" s="81" t="n">
        <x:f>'Inputs'!$E$49</x:f>
        <x:v>-0.03</x:v>
      </x:c>
    </x:row>
    <x:row r="2074">
      <x:c r="A2074" s="59" t="str">
        <x:v>Mercenary LP</x:v>
      </x:c>
      <x:c r="B2074" s="59" t="n">
        <x:v>246</x:v>
      </x:c>
      <x:c r="C2074" s="78" t="n">
        <x:f>(('Inputs'!$B$29*(3*246*'Inputs'!$B$12-246^2)/(2*'Inputs'!$B$12^2))-('Inputs'!$B$29*(3*245*'Inputs'!$B$12-245^2)/(2*'Inputs'!$B$12^2)))*'Inputs'!$B$49</x:f>
        <x:v>632172.3118783832</x:v>
      </x:c>
      <x:c r="D2074" s="78" t="n">
        <x:f>IF('Inputs'!$C$49&gt;0,('Inputs'!$B$30*(3*246*'Inputs'!$B$12-246^2)/(2*'Inputs'!$B$12^2))-('Inputs'!$B$30*(3*245*'Inputs'!$B$12-245^2)/(2*'Inputs'!$B$12^2)),0)</x:f>
        <x:v>270930.99080502987</x:v>
      </x:c>
      <x:c r="E2074" s="78" t="n">
        <x:f>C2074+D2074</x:f>
        <x:v>903103.302683413</x:v>
      </x:c>
      <x:c r="F2074" s="78" t="n">
        <x:f>'Inputs'!$B$13*E2074+(1-'Inputs'!$B$13)/'Inputs'!$B$14*SUM(E2019:E2074)</x:f>
        <x:v>913320.9795458775</x:v>
      </x:c>
      <x:c r="G2074" s="78" t="n">
        <x:f>F2074*'Inputs'!$F$49</x:f>
        <x:v>821988.8815912898</x:v>
      </x:c>
      <x:c r="H2074" s="78" t="n">
        <x:f>U2073</x:f>
        <x:v>348486021223.8215</x:v>
      </x:c>
      <x:c r="I2074" s="78" t="n">
        <x:f>V2073</x:f>
        <x:v>0.348410037456206</x:v>
      </x:c>
      <x:c r="J2074" s="79" t="n">
        <x:f>IF(H2074&gt;0,I2074/H2074,0)</x:f>
        <x:v>9.997819603571225e-13</x:v>
      </x:c>
      <x:c r="K2074" s="80" t="n">
        <x:f>(H2074*J2074+I2074)*'Inputs'!$D$49*(1+'Inputs'!$G$49)^(B2074/30)</x:f>
        <x:v>0.522615056184309</x:v>
      </x:c>
      <x:c r="L2074" s="80" t="n">
        <x:f>MAX(0,K2074*'Inputs'!$E$49)</x:f>
        <x:v>0</x:v>
      </x:c>
      <x:c r="M2074" s="80" t="n">
        <x:f>MAX(0,-K2074*'Inputs'!$E$49)</x:f>
        <x:v>0.015678451685529272</x:v>
      </x:c>
      <x:c r="N2074" s="78" t="n">
        <x:f>H2074*(L2074*(1-'Inputs'!$B$15))/(I2074+L2074*(1-'Inputs'!$B$15))</x:f>
        <x:v>0</x:v>
      </x:c>
      <x:c r="O2074" s="78" t="n">
        <x:f>H2074-N2074</x:f>
        <x:v>348486021223.8215</x:v>
      </x:c>
      <x:c r="P2074" s="78" t="n">
        <x:f>I2074+L2074*(1-'Inputs'!$B$17)</x:f>
        <x:v>0.348410037456206</x:v>
      </x:c>
      <x:c r="Q2074" s="78" t="n">
        <x:f>IF(J2074&gt;0,M2074/J2074,0)</x:f>
        <x:v>0</x:v>
      </x:c>
      <x:c r="R2074" s="78" t="n">
        <x:f>IF(B2074='Inputs'!$H$49,'Inputs'!$B$27*'Inputs'!$I$49,0)</x:f>
        <x:v>0</x:v>
      </x:c>
      <x:c r="S2074" s="78" t="n">
        <x:f>Q2074+G2074+R2074</x:f>
        <x:v>821988.8815912898</x:v>
      </x:c>
      <x:c r="T2074" s="78" t="n">
        <x:f>P2074*(S2074*(1-'Inputs'!$B$15))/(O2074+S2074*(1-'Inputs'!$B$15))</x:f>
        <x:v>8.135896590165718e-7</x:v>
      </x:c>
      <x:c r="U2074" s="78" t="n">
        <x:f>O2074+S2074*(1-'Inputs'!$B$17)</x:f>
        <x:v>348486839904.9007</x:v>
      </x:c>
      <x:c r="V2074" s="78" t="n">
        <x:f>P2074-T2074</x:f>
        <x:v>0.348409223866547</x:v>
      </x:c>
      <x:c r="W2074" s="79" t="n">
        <x:f>IF(U2074&gt;0,V2074/U2074,0)</x:f>
        <x:v>9.997772769887813e-13</x:v>
      </x:c>
      <x:c r="X2074" s="80" t="n">
        <x:f>W2074*('Inputs'!$B$6-AC2074)</x:f>
        <x:v>-0.023152537289628822</x:v>
      </x:c>
      <x:c r="Y2074" s="80" t="n">
        <x:f>2*V2074</x:f>
        <x:v>0.696818447733094</x:v>
      </x:c>
      <x:c r="Z2074" s="80" t="n">
        <x:f>K2074*'Inputs'!$B$16+(G2074+R2074)*J2074*'Inputs'!$B$16</x:f>
        <x:v>0.0031356952679637866</x:v>
      </x:c>
      <x:c r="AA2074" s="80" t="n">
        <x:f>K2074*(1+'Inputs'!$E$49)/2*'Inputs'!$B$17</x:f>
        <x:v>0.0010199931680055932</x:v>
      </x:c>
      <x:c r="AB2074" s="78" t="n">
        <x:f>(IF(J2074&gt;0,K2074*(1-'Inputs'!$E$49)/2/J2074,0)+G2074+R2074)*'Inputs'!$B$17</x:f>
        <x:v>3307.802340407605</x:v>
      </x:c>
      <x:c r="AC2074" s="78" t="n">
        <x:f>AC2073+AB2074</x:f>
        <x:v>24157695041.201283</x:v>
      </x:c>
      <x:c r="AD2074" s="80" t="n">
        <x:f>Z2074/(1+'Inputs'!$C$49)</x:f>
        <x:v>0.0007839238169909466</x:v>
      </x:c>
      <x:c r="AE2074" s="80" t="n">
        <x:f>Z2074-AD2074</x:f>
        <x:v>0.0023517714509728397</x:v>
      </x:c>
      <x:c r="AF2074" s="80" t="n">
        <x:f>D2074*W2074</x:f>
        <x:v>2.708706482389253e-7</x:v>
      </x:c>
      <x:c r="AG2074" s="80" t="n">
        <x:f>C2074*W2074</x:f>
        <x:v>6.320315125574725e-7</x:v>
      </x:c>
      <x:c r="AH2074" s="80" t="n">
        <x:f>2*'Inputs'!$B$8*'Inputs'!$C$49</x:f>
        <x:v>15000</x:v>
      </x:c>
      <x:c r="AI2074" s="81" t="n">
        <x:f>IF(AH2074&gt;0,(AE2074+AF2074)/AH2074*365,0)</x:f>
        <x:v>0.00005723302982611291</x:v>
      </x:c>
      <x:c r="AJ2074" s="81" t="n">
        <x:f>IF('Inputs'!$B$49&gt;0,AG2074/('Inputs'!$B$19*'Inputs'!$B$49)*365,0)</x:f>
        <x:v>2.3069150208347746e-8</x:v>
      </x:c>
      <x:c r="AK2074" s="81" t="n">
        <x:f>W2074/MAX($W$1829:W2074)-1</x:f>
        <x:v>-0.9999999987119919</x:v>
      </x:c>
      <x:c r="AL2074" s="83" t="n">
        <x:f>'Inputs'!$B$49</x:f>
        <x:v>1</x:v>
      </x:c>
      <x:c r="AM2074" s="83" t="n">
        <x:f>'Inputs'!$C$49</x:f>
        <x:v>3</x:v>
      </x:c>
      <x:c r="AN2074" s="83" t="n">
        <x:f>'Inputs'!$D$49</x:f>
        <x:v>0.75</x:v>
      </x:c>
      <x:c r="AO2074" s="81" t="n">
        <x:f>'Inputs'!$E$49</x:f>
        <x:v>-0.03</x:v>
      </x:c>
    </x:row>
    <x:row r="2075">
      <x:c r="A2075" s="59" t="str">
        <x:v>Mercenary LP</x:v>
      </x:c>
      <x:c r="B2075" s="59" t="n">
        <x:v>247</x:v>
      </x:c>
      <x:c r="C2075" s="78" t="n">
        <x:f>(('Inputs'!$B$29*(3*247*'Inputs'!$B$12-247^2)/(2*'Inputs'!$B$12^2))-('Inputs'!$B$29*(3*246*'Inputs'!$B$12-246^2)/(2*'Inputs'!$B$12^2)))*'Inputs'!$B$49</x:f>
        <x:v>631847.2039782405</x:v>
      </x:c>
      <x:c r="D2075" s="78" t="n">
        <x:f>IF('Inputs'!$C$49&gt;0,('Inputs'!$B$30*(3*247*'Inputs'!$B$12-247^2)/(2*'Inputs'!$B$12^2))-('Inputs'!$B$30*(3*246*'Inputs'!$B$12-246^2)/(2*'Inputs'!$B$12^2)),0)</x:f>
        <x:v>270791.65884780884</x:v>
      </x:c>
      <x:c r="E2075" s="78" t="n">
        <x:f>C2075+D2075</x:f>
        <x:v>902638.8628260493</x:v>
      </x:c>
      <x:c r="F2075" s="78" t="n">
        <x:f>'Inputs'!$B$13*E2075+(1-'Inputs'!$B$13)/'Inputs'!$B$14*SUM(E2020:E2075)</x:f>
        <x:v>912856.5396884975</x:v>
      </x:c>
      <x:c r="G2075" s="78" t="n">
        <x:f>F2075*'Inputs'!$F$49</x:f>
        <x:v>821570.8857196479</x:v>
      </x:c>
      <x:c r="H2075" s="78" t="n">
        <x:f>U2074</x:f>
        <x:v>348486839904.9007</x:v>
      </x:c>
      <x:c r="I2075" s="78" t="n">
        <x:f>V2074</x:f>
        <x:v>0.348409223866547</x:v>
      </x:c>
      <x:c r="J2075" s="79" t="n">
        <x:f>IF(H2075&gt;0,I2075/H2075,0)</x:f>
        <x:v>9.997772769887813e-13</x:v>
      </x:c>
      <x:c r="K2075" s="80" t="n">
        <x:f>(H2075*J2075+I2075)*'Inputs'!$D$49*(1+'Inputs'!$G$49)^(B2075/30)</x:f>
        <x:v>0.5226138357998205</x:v>
      </x:c>
      <x:c r="L2075" s="80" t="n">
        <x:f>MAX(0,K2075*'Inputs'!$E$49)</x:f>
        <x:v>0</x:v>
      </x:c>
      <x:c r="M2075" s="80" t="n">
        <x:f>MAX(0,-K2075*'Inputs'!$E$49)</x:f>
        <x:v>0.015678415073994614</x:v>
      </x:c>
      <x:c r="N2075" s="78" t="n">
        <x:f>H2075*(L2075*(1-'Inputs'!$B$15))/(I2075+L2075*(1-'Inputs'!$B$15))</x:f>
        <x:v>0</x:v>
      </x:c>
      <x:c r="O2075" s="78" t="n">
        <x:f>H2075-N2075</x:f>
        <x:v>348486839904.9007</x:v>
      </x:c>
      <x:c r="P2075" s="78" t="n">
        <x:f>I2075+L2075*(1-'Inputs'!$B$17)</x:f>
        <x:v>0.348409223866547</x:v>
      </x:c>
      <x:c r="Q2075" s="78" t="n">
        <x:f>IF(J2075&gt;0,M2075/J2075,0)</x:f>
        <x:v>0</x:v>
      </x:c>
      <x:c r="R2075" s="78" t="n">
        <x:f>IF(B2075='Inputs'!$H$49,'Inputs'!$B$27*'Inputs'!$I$49,0)</x:f>
        <x:v>0</x:v>
      </x:c>
      <x:c r="S2075" s="78" t="n">
        <x:f>Q2075+G2075+R2075</x:f>
        <x:v>821570.8857196479</x:v>
      </x:c>
      <x:c r="T2075" s="78" t="n">
        <x:f>P2075*(S2075*(1-'Inputs'!$B$15))/(O2075+S2075*(1-'Inputs'!$B$15))</x:f>
        <x:v>8.131721260351134e-7</x:v>
      </x:c>
      <x:c r="U2075" s="78" t="n">
        <x:f>O2075+S2075*(1-'Inputs'!$B$17)</x:f>
        <x:v>348487658169.66614</x:v>
      </x:c>
      <x:c r="V2075" s="78" t="n">
        <x:f>P2075-T2075</x:f>
        <x:v>0.34840841069442097</x:v>
      </x:c>
      <x:c r="W2075" s="79" t="n">
        <x:f>IF(U2075&gt;0,V2075/U2075,0)</x:f>
        <x:v>9.997725960349317e-13</x:v>
      </x:c>
      <x:c r="X2075" s="80" t="n">
        <x:f>W2075*('Inputs'!$B$6-AC2075)</x:f>
        <x:v>-0.023152432194895513</x:v>
      </x:c>
      <x:c r="Y2075" s="80" t="n">
        <x:f>2*V2075</x:f>
        <x:v>0.6968168213888419</x:v>
      </x:c>
      <x:c r="Z2075" s="80" t="n">
        <x:f>K2075*'Inputs'!$B$16+(G2075+R2075)*J2075*'Inputs'!$B$16</x:f>
        <x:v>0.0031356879431263408</x:v>
      </x:c>
      <x:c r="AA2075" s="80" t="n">
        <x:f>K2075*(1+'Inputs'!$E$49)/2*'Inputs'!$B$17</x:f>
        <x:v>0.0010199907861686637</x:v>
      </x:c>
      <x:c r="AB2075" s="78" t="n">
        <x:f>(IF(J2075&gt;0,K2075*(1-'Inputs'!$E$49)/2/J2075,0)+G2075+R2075)*'Inputs'!$B$17</x:f>
        <x:v>3306.120264465384</x:v>
      </x:c>
      <x:c r="AC2075" s="78" t="n">
        <x:f>AC2074+AB2075</x:f>
        <x:v>24157698347.32155</x:v>
      </x:c>
      <x:c r="AD2075" s="80" t="n">
        <x:f>Z2075/(1+'Inputs'!$C$49)</x:f>
        <x:v>0.0007839219857815852</x:v>
      </x:c>
      <x:c r="AE2075" s="80" t="n">
        <x:f>Z2075-AD2075</x:f>
        <x:v>0.0023517659573447556</x:v>
      </x:c>
      <x:c r="AF2075" s="80" t="n">
        <x:f>D2075*W2075</x:f>
        <x:v>2.707300797508794e-7</x:v>
      </x:c>
      <x:c r="AG2075" s="80" t="n">
        <x:f>C2075*W2075</x:f>
        <x:v>6.317035194187386e-7</x:v>
      </x:c>
      <x:c r="AH2075" s="80" t="n">
        <x:f>2*'Inputs'!$B$8*'Inputs'!$C$49</x:f>
        <x:v>15000</x:v>
      </x:c>
      <x:c r="AI2075" s="81" t="n">
        <x:f>IF(AH2075&gt;0,(AE2075+AF2075)/AH2075*365,0)</x:f>
        <x:v>0.00005723289272732965</x:v>
      </x:c>
      <x:c r="AJ2075" s="81" t="n">
        <x:f>IF('Inputs'!$B$49&gt;0,AG2075/('Inputs'!$B$19*'Inputs'!$B$49)*365,0)</x:f>
        <x:v>2.3057178458783957e-8</x:v>
      </x:c>
      <x:c r="AK2075" s="81" t="n">
        <x:f>W2075/MAX($W$1829:W2075)-1</x:f>
        <x:v>-0.999999998711998</x:v>
      </x:c>
      <x:c r="AL2075" s="83" t="n">
        <x:f>'Inputs'!$B$49</x:f>
        <x:v>1</x:v>
      </x:c>
      <x:c r="AM2075" s="83" t="n">
        <x:f>'Inputs'!$C$49</x:f>
        <x:v>3</x:v>
      </x:c>
      <x:c r="AN2075" s="83" t="n">
        <x:f>'Inputs'!$D$49</x:f>
        <x:v>0.75</x:v>
      </x:c>
      <x:c r="AO2075" s="81" t="n">
        <x:f>'Inputs'!$E$49</x:f>
        <x:v>-0.03</x:v>
      </x:c>
    </x:row>
    <x:row r="2076">
      <x:c r="A2076" s="59" t="str">
        <x:v>Mercenary LP</x:v>
      </x:c>
      <x:c r="B2076" s="59" t="n">
        <x:v>248</x:v>
      </x:c>
      <x:c r="C2076" s="78" t="n">
        <x:f>(('Inputs'!$B$29*(3*248*'Inputs'!$B$12-248^2)/(2*'Inputs'!$B$12^2))-('Inputs'!$B$29*(3*247*'Inputs'!$B$12-247^2)/(2*'Inputs'!$B$12^2)))*'Inputs'!$B$49</x:f>
        <x:v>631522.096078068</x:v>
      </x:c>
      <x:c r="D2076" s="78" t="n">
        <x:f>IF('Inputs'!$C$49&gt;0,('Inputs'!$B$30*(3*248*'Inputs'!$B$12-248^2)/(2*'Inputs'!$B$12^2))-('Inputs'!$B$30*(3*247*'Inputs'!$B$12-247^2)/(2*'Inputs'!$B$12^2)),0)</x:f>
        <x:v>270652.3268906027</x:v>
      </x:c>
      <x:c r="E2076" s="78" t="n">
        <x:f>C2076+D2076</x:f>
        <x:v>902174.4229686707</x:v>
      </x:c>
      <x:c r="F2076" s="78" t="n">
        <x:f>'Inputs'!$B$13*E2076+(1-'Inputs'!$B$13)/'Inputs'!$B$14*SUM(E2021:E2076)</x:f>
        <x:v>912392.0998311146</x:v>
      </x:c>
      <x:c r="G2076" s="78" t="n">
        <x:f>F2076*'Inputs'!$F$49</x:f>
        <x:v>821152.8898480032</x:v>
      </x:c>
      <x:c r="H2076" s="78" t="n">
        <x:f>U2075</x:f>
        <x:v>348487658169.66614</x:v>
      </x:c>
      <x:c r="I2076" s="78" t="n">
        <x:f>V2075</x:f>
        <x:v>0.34840841069442097</x:v>
      </x:c>
      <x:c r="J2076" s="79" t="n">
        <x:f>IF(H2076&gt;0,I2076/H2076,0)</x:f>
        <x:v>9.997725960349317e-13</x:v>
      </x:c>
      <x:c r="K2076" s="80" t="n">
        <x:f>(H2076*J2076+I2076)*'Inputs'!$D$49*(1+'Inputs'!$G$49)^(B2076/30)</x:f>
        <x:v>0.5226126160416315</x:v>
      </x:c>
      <x:c r="L2076" s="80" t="n">
        <x:f>MAX(0,K2076*'Inputs'!$E$49)</x:f>
        <x:v>0</x:v>
      </x:c>
      <x:c r="M2076" s="80" t="n">
        <x:f>MAX(0,-K2076*'Inputs'!$E$49)</x:f>
        <x:v>0.015678378481248943</x:v>
      </x:c>
      <x:c r="N2076" s="78" t="n">
        <x:f>H2076*(L2076*(1-'Inputs'!$B$15))/(I2076+L2076*(1-'Inputs'!$B$15))</x:f>
        <x:v>0</x:v>
      </x:c>
      <x:c r="O2076" s="78" t="n">
        <x:f>H2076-N2076</x:f>
        <x:v>348487658169.66614</x:v>
      </x:c>
      <x:c r="P2076" s="78" t="n">
        <x:f>I2076+L2076*(1-'Inputs'!$B$17)</x:f>
        <x:v>0.34840841069442097</x:v>
      </x:c>
      <x:c r="Q2076" s="78" t="n">
        <x:f>IF(J2076&gt;0,M2076/J2076,0)</x:f>
        <x:v>0</x:v>
      </x:c>
      <x:c r="R2076" s="78" t="n">
        <x:f>IF(B2076='Inputs'!$H$49,'Inputs'!$B$27*'Inputs'!$I$49,0)</x:f>
        <x:v>0</x:v>
      </x:c>
      <x:c r="S2076" s="78" t="n">
        <x:f>Q2076+G2076+R2076</x:f>
        <x:v>821152.8898480032</x:v>
      </x:c>
      <x:c r="T2076" s="78" t="n">
        <x:f>P2076*(S2076*(1-'Inputs'!$B$15))/(O2076+S2076*(1-'Inputs'!$B$15))</x:f>
        <x:v>8.127545988915807e-7</x:v>
      </x:c>
      <x:c r="U2076" s="78" t="n">
        <x:f>O2076+S2076*(1-'Inputs'!$B$17)</x:f>
        <x:v>348488476018.1178</x:v>
      </x:c>
      <x:c r="V2076" s="78" t="n">
        <x:f>P2076-T2076</x:f>
        <x:v>0.34840759793982207</x:v>
      </x:c>
      <x:c r="W2076" s="79" t="n">
        <x:f>IF(U2076&gt;0,V2076/U2076,0)</x:f>
        <x:v>9.997679174955227e-13</x:v>
      </x:c>
      <x:c r="X2076" s="80" t="n">
        <x:f>W2076*('Inputs'!$B$6-AC2076)</x:f>
        <x:v>-0.023152327154362457</x:v>
      </x:c>
      <x:c r="Y2076" s="80" t="n">
        <x:f>2*V2076</x:f>
        <x:v>0.6968151958796441</x:v>
      </x:c>
      <x:c r="Z2076" s="80" t="n">
        <x:f>K2076*'Inputs'!$B$16+(G2076+R2076)*J2076*'Inputs'!$B$16</x:f>
        <x:v>0.0031356806220467276</x:v>
      </x:c>
      <x:c r="AA2076" s="80" t="n">
        <x:f>K2076*(1+'Inputs'!$E$49)/2*'Inputs'!$B$17</x:f>
        <x:v>0.0010199884055540895</x:v>
      </x:c>
      <x:c r="AB2076" s="78" t="n">
        <x:f>(IF(J2076&gt;0,K2076*(1-'Inputs'!$E$49)/2/J2076,0)+G2076+R2076)*'Inputs'!$B$17</x:f>
        <x:v>3304.438188523152</x:v>
      </x:c>
      <x:c r="AC2076" s="78" t="n">
        <x:f>AC2075+AB2076</x:f>
        <x:v>24157701651.759735</x:v>
      </x:c>
      <x:c r="AD2076" s="80" t="n">
        <x:f>Z2076/(1+'Inputs'!$C$49)</x:f>
        <x:v>0.0007839201555116819</x:v>
      </x:c>
      <x:c r="AE2076" s="80" t="n">
        <x:f>Z2076-AD2076</x:f>
        <x:v>0.0023517604665350455</x:v>
      </x:c>
      <x:c r="AF2076" s="80" t="n">
        <x:f>D2076*W2076</x:f>
        <x:v>2.7058951322073533e-7</x:v>
      </x:c>
      <x:c r="AG2076" s="80" t="n">
        <x:f>C2076*W2076</x:f>
        <x:v>6.313755308483775e-7</x:v>
      </x:c>
      <x:c r="AH2076" s="80" t="n">
        <x:f>2*'Inputs'!$B$8*'Inputs'!$C$49</x:f>
        <x:v>15000</x:v>
      </x:c>
      <x:c r="AI2076" s="81" t="n">
        <x:f>IF(AH2076&gt;0,(AE2076+AF2076)/AH2076*365,0)</x:f>
        <x:v>0.00005723275569717448</x:v>
      </x:c>
      <x:c r="AJ2076" s="81" t="n">
        <x:f>IF('Inputs'!$B$49&gt;0,AG2076/('Inputs'!$B$19*'Inputs'!$B$49)*365,0)</x:f>
        <x:v>2.3045206875965775e-8</x:v>
      </x:c>
      <x:c r="AK2076" s="81" t="n">
        <x:f>W2076/MAX($W$1829:W2076)-1</x:f>
        <x:v>-0.999999998712004</x:v>
      </x:c>
      <x:c r="AL2076" s="83" t="n">
        <x:f>'Inputs'!$B$49</x:f>
        <x:v>1</x:v>
      </x:c>
      <x:c r="AM2076" s="83" t="n">
        <x:f>'Inputs'!$C$49</x:f>
        <x:v>3</x:v>
      </x:c>
      <x:c r="AN2076" s="83" t="n">
        <x:f>'Inputs'!$D$49</x:f>
        <x:v>0.75</x:v>
      </x:c>
      <x:c r="AO2076" s="81" t="n">
        <x:f>'Inputs'!$E$49</x:f>
        <x:v>-0.03</x:v>
      </x:c>
    </x:row>
    <x:row r="2077">
      <x:c r="A2077" s="59" t="str">
        <x:v>Mercenary LP</x:v>
      </x:c>
      <x:c r="B2077" s="59" t="n">
        <x:v>249</x:v>
      </x:c>
      <x:c r="C2077" s="78" t="n">
        <x:f>(('Inputs'!$B$29*(3*249*'Inputs'!$B$12-249^2)/(2*'Inputs'!$B$12^2))-('Inputs'!$B$29*(3*248*'Inputs'!$B$12-248^2)/(2*'Inputs'!$B$12^2)))*'Inputs'!$B$49</x:f>
        <x:v>631196.9881778955</x:v>
      </x:c>
      <x:c r="D2077" s="78" t="n">
        <x:f>IF('Inputs'!$C$49&gt;0,('Inputs'!$B$30*(3*249*'Inputs'!$B$12-249^2)/(2*'Inputs'!$B$12^2))-('Inputs'!$B$30*(3*248*'Inputs'!$B$12-248^2)/(2*'Inputs'!$B$12^2)),0)</x:f>
        <x:v>270512.9949333817</x:v>
      </x:c>
      <x:c r="E2077" s="78" t="n">
        <x:f>C2077+D2077</x:f>
        <x:v>901709.9831112772</x:v>
      </x:c>
      <x:c r="F2077" s="78" t="n">
        <x:f>'Inputs'!$B$13*E2077+(1-'Inputs'!$B$13)/'Inputs'!$B$14*SUM(E2022:E2077)</x:f>
        <x:v>911927.6599737286</x:v>
      </x:c>
      <x:c r="G2077" s="78" t="n">
        <x:f>F2077*'Inputs'!$F$49</x:f>
        <x:v>820734.8939763558</x:v>
      </x:c>
      <x:c r="H2077" s="78" t="n">
        <x:f>U2076</x:f>
        <x:v>348488476018.1178</x:v>
      </x:c>
      <x:c r="I2077" s="78" t="n">
        <x:f>V2076</x:f>
        <x:v>0.34840759793982207</x:v>
      </x:c>
      <x:c r="J2077" s="79" t="n">
        <x:f>IF(H2077&gt;0,I2077/H2077,0)</x:f>
        <x:v>9.997679174955227e-13</x:v>
      </x:c>
      <x:c r="K2077" s="80" t="n">
        <x:f>(H2077*J2077+I2077)*'Inputs'!$D$49*(1+'Inputs'!$G$49)^(B2077/30)</x:f>
        <x:v>0.5226113969097331</x:v>
      </x:c>
      <x:c r="L2077" s="80" t="n">
        <x:f>MAX(0,K2077*'Inputs'!$E$49)</x:f>
        <x:v>0</x:v>
      </x:c>
      <x:c r="M2077" s="80" t="n">
        <x:f>MAX(0,-K2077*'Inputs'!$E$49)</x:f>
        <x:v>0.015678341907291993</x:v>
      </x:c>
      <x:c r="N2077" s="78" t="n">
        <x:f>H2077*(L2077*(1-'Inputs'!$B$15))/(I2077+L2077*(1-'Inputs'!$B$15))</x:f>
        <x:v>0</x:v>
      </x:c>
      <x:c r="O2077" s="78" t="n">
        <x:f>H2077-N2077</x:f>
        <x:v>348488476018.1178</x:v>
      </x:c>
      <x:c r="P2077" s="78" t="n">
        <x:f>I2077+L2077*(1-'Inputs'!$B$17)</x:f>
        <x:v>0.34840759793982207</x:v>
      </x:c>
      <x:c r="Q2077" s="78" t="n">
        <x:f>IF(J2077&gt;0,M2077/J2077,0)</x:f>
        <x:v>0</x:v>
      </x:c>
      <x:c r="R2077" s="78" t="n">
        <x:f>IF(B2077='Inputs'!$H$49,'Inputs'!$B$27*'Inputs'!$I$49,0)</x:f>
        <x:v>0</x:v>
      </x:c>
      <x:c r="S2077" s="78" t="n">
        <x:f>Q2077+G2077+R2077</x:f>
        <x:v>820734.8939763558</x:v>
      </x:c>
      <x:c r="T2077" s="78" t="n">
        <x:f>P2077*(S2077*(1-'Inputs'!$B$15))/(O2077+S2077*(1-'Inputs'!$B$15))</x:f>
        <x:v>8.123370775829343e-7</x:v>
      </x:c>
      <x:c r="U2077" s="78" t="n">
        <x:f>O2077+S2077*(1-'Inputs'!$B$17)</x:f>
        <x:v>348489293450.2557</x:v>
      </x:c>
      <x:c r="V2077" s="78" t="n">
        <x:f>P2077-T2077</x:f>
        <x:v>0.34840678560274446</x:v>
      </x:c>
      <x:c r="W2077" s="79" t="n">
        <x:f>IF(U2077&gt;0,V2077/U2077,0)</x:f>
        <x:v>9.997632413705043e-13</x:v>
      </x:c>
      <x:c r="X2077" s="80" t="n">
        <x:f>W2077*('Inputs'!$B$6-AC2077)</x:f>
        <x:v>-0.02315222216802855</x:v>
      </x:c>
      <x:c r="Y2077" s="80" t="n">
        <x:f>2*V2077</x:f>
        <x:v>0.6968135712054889</x:v>
      </x:c>
      <x:c r="Z2077" s="80" t="n">
        <x:f>K2077*'Inputs'!$B$16+(G2077+R2077)*J2077*'Inputs'!$B$16</x:f>
        <x:v>0.0031356733047248936</x:v>
      </x:c>
      <x:c r="AA2077" s="80" t="n">
        <x:f>K2077*(1+'Inputs'!$E$49)/2*'Inputs'!$B$17</x:f>
        <x:v>0.0010199860261618534</x:v>
      </x:c>
      <x:c r="AB2077" s="78" t="n">
        <x:f>(IF(J2077&gt;0,K2077*(1-'Inputs'!$E$49)/2/J2077,0)+G2077+R2077)*'Inputs'!$B$17</x:f>
        <x:v>3302.756112580909</x:v>
      </x:c>
      <x:c r="AC2077" s="78" t="n">
        <x:f>AC2076+AB2077</x:f>
        <x:v>24157704954.515846</x:v>
      </x:c>
      <x:c r="AD2077" s="80" t="n">
        <x:f>Z2077/(1+'Inputs'!$C$49)</x:f>
        <x:v>0.0007839183261812234</x:v>
      </x:c>
      <x:c r="AE2077" s="80" t="n">
        <x:f>Z2077-AD2077</x:f>
        <x:v>0.0023517549785436703</x:v>
      </x:c>
      <x:c r="AF2077" s="80" t="n">
        <x:f>D2077*W2077</x:f>
        <x:v>2.7044894864744047e-7</x:v>
      </x:c>
      <x:c r="AG2077" s="80" t="n">
        <x:f>C2077*W2077</x:f>
        <x:v>6.310475468440327e-7</x:v>
      </x:c>
      <x:c r="AH2077" s="80" t="n">
        <x:f>2*'Inputs'!$B$8*'Inputs'!$C$49</x:f>
        <x:v>15000</x:v>
      </x:c>
      <x:c r="AI2077" s="81" t="n">
        <x:f>IF(AH2077&gt;0,(AE2077+AF2077)/AH2077*365,0)</x:f>
        <x:v>0.0000572326187356464</x:v>
      </x:c>
      <x:c r="AJ2077" s="81" t="n">
        <x:f>IF('Inputs'!$B$49&gt;0,AG2077/('Inputs'!$B$19*'Inputs'!$B$49)*365,0)</x:f>
        <x:v>2.3033235459807197e-8</x:v>
      </x:c>
      <x:c r="AK2077" s="81" t="n">
        <x:f>W2077/MAX($W$1829:W2077)-1</x:f>
        <x:v>-0.99999999871201</x:v>
      </x:c>
      <x:c r="AL2077" s="83" t="n">
        <x:f>'Inputs'!$B$49</x:f>
        <x:v>1</x:v>
      </x:c>
      <x:c r="AM2077" s="83" t="n">
        <x:f>'Inputs'!$C$49</x:f>
        <x:v>3</x:v>
      </x:c>
      <x:c r="AN2077" s="83" t="n">
        <x:f>'Inputs'!$D$49</x:f>
        <x:v>0.75</x:v>
      </x:c>
      <x:c r="AO2077" s="81" t="n">
        <x:f>'Inputs'!$E$49</x:f>
        <x:v>-0.03</x:v>
      </x:c>
    </x:row>
    <x:row r="2078">
      <x:c r="A2078" s="59" t="str">
        <x:v>Mercenary LP</x:v>
      </x:c>
      <x:c r="B2078" s="59" t="n">
        <x:v>250</x:v>
      </x:c>
      <x:c r="C2078" s="78" t="n">
        <x:f>(('Inputs'!$B$29*(3*250*'Inputs'!$B$12-250^2)/(2*'Inputs'!$B$12^2))-('Inputs'!$B$29*(3*249*'Inputs'!$B$12-249^2)/(2*'Inputs'!$B$12^2)))*'Inputs'!$B$49</x:f>
        <x:v>630871.8802777231</x:v>
      </x:c>
      <x:c r="D2078" s="78" t="n">
        <x:f>IF('Inputs'!$C$49&gt;0,('Inputs'!$B$30*(3*250*'Inputs'!$B$12-250^2)/(2*'Inputs'!$B$12^2))-('Inputs'!$B$30*(3*249*'Inputs'!$B$12-249^2)/(2*'Inputs'!$B$12^2)),0)</x:f>
        <x:v>270373.66297617555</x:v>
      </x:c>
      <x:c r="E2078" s="78" t="n">
        <x:f>C2078+D2078</x:f>
        <x:v>901245.5432538986</x:v>
      </x:c>
      <x:c r="F2078" s="78" t="n">
        <x:f>'Inputs'!$B$13*E2078+(1-'Inputs'!$B$13)/'Inputs'!$B$14*SUM(E2023:E2078)</x:f>
        <x:v>911463.2201163457</x:v>
      </x:c>
      <x:c r="G2078" s="78" t="n">
        <x:f>F2078*'Inputs'!$F$49</x:f>
        <x:v>820316.8981047111</x:v>
      </x:c>
      <x:c r="H2078" s="78" t="n">
        <x:f>U2077</x:f>
        <x:v>348489293450.2557</x:v>
      </x:c>
      <x:c r="I2078" s="78" t="n">
        <x:f>V2077</x:f>
        <x:v>0.34840678560274446</x:v>
      </x:c>
      <x:c r="J2078" s="79" t="n">
        <x:f>IF(H2078&gt;0,I2078/H2078,0)</x:f>
        <x:v>9.997632413705043e-13</x:v>
      </x:c>
      <x:c r="K2078" s="80" t="n">
        <x:f>(H2078*J2078+I2078)*'Inputs'!$D$49*(1+'Inputs'!$G$49)^(B2078/30)</x:f>
        <x:v>0.5226101784041167</x:v>
      </x:c>
      <x:c r="L2078" s="80" t="n">
        <x:f>MAX(0,K2078*'Inputs'!$E$49)</x:f>
        <x:v>0</x:v>
      </x:c>
      <x:c r="M2078" s="80" t="n">
        <x:f>MAX(0,-K2078*'Inputs'!$E$49)</x:f>
        <x:v>0.0156783053521235</x:v>
      </x:c>
      <x:c r="N2078" s="78" t="n">
        <x:f>H2078*(L2078*(1-'Inputs'!$B$15))/(I2078+L2078*(1-'Inputs'!$B$15))</x:f>
        <x:v>0</x:v>
      </x:c>
      <x:c r="O2078" s="78" t="n">
        <x:f>H2078-N2078</x:f>
        <x:v>348489293450.2557</x:v>
      </x:c>
      <x:c r="P2078" s="78" t="n">
        <x:f>I2078+L2078*(1-'Inputs'!$B$17)</x:f>
        <x:v>0.34840678560274446</x:v>
      </x:c>
      <x:c r="Q2078" s="78" t="n">
        <x:f>IF(J2078&gt;0,M2078/J2078,0)</x:f>
        <x:v>0</x:v>
      </x:c>
      <x:c r="R2078" s="78" t="n">
        <x:f>IF(B2078='Inputs'!$H$49,'Inputs'!$B$27*'Inputs'!$I$49,0)</x:f>
        <x:v>0</x:v>
      </x:c>
      <x:c r="S2078" s="78" t="n">
        <x:f>Q2078+G2078+R2078</x:f>
        <x:v>820316.8981047111</x:v>
      </x:c>
      <x:c r="T2078" s="78" t="n">
        <x:f>P2078*(S2078*(1-'Inputs'!$B$15))/(O2078+S2078*(1-'Inputs'!$B$15))</x:f>
        <x:v>8.119195621061419e-7</x:v>
      </x:c>
      <x:c r="U2078" s="78" t="n">
        <x:f>O2078+S2078*(1-'Inputs'!$B$17)</x:f>
        <x:v>348490110466.0798</x:v>
      </x:c>
      <x:c r="V2078" s="78" t="n">
        <x:f>P2078-T2078</x:f>
        <x:v>0.3484059736831824</x:v>
      </x:c>
      <x:c r="W2078" s="79" t="n">
        <x:f>IF(U2078&gt;0,V2078/U2078,0)</x:f>
        <x:v>9.997585676598258e-13</x:v>
      </x:c>
      <x:c r="X2078" s="80" t="n">
        <x:f>W2078*('Inputs'!$B$6-AC2078)</x:f>
        <x:v>-0.023152117235892663</x:v>
      </x:c>
      <x:c r="Y2078" s="80" t="n">
        <x:f>2*V2078</x:f>
        <x:v>0.6968119473663648</x:v>
      </x:c>
      <x:c r="Z2078" s="80" t="n">
        <x:f>K2078*'Inputs'!$B$16+(G2078+R2078)*J2078*'Inputs'!$B$16</x:f>
        <x:v>0.0031356659911607864</x:v>
      </x:c>
      <x:c r="AA2078" s="80" t="n">
        <x:f>K2078*(1+'Inputs'!$E$49)/2*'Inputs'!$B$17</x:f>
        <x:v>0.001019983647991938</x:v>
      </x:c>
      <x:c r="AB2078" s="78" t="n">
        <x:f>(IF(J2078&gt;0,K2078*(1-'Inputs'!$E$49)/2/J2078,0)+G2078+R2078)*'Inputs'!$B$17</x:f>
        <x:v>3301.0740366386767</x:v>
      </x:c>
      <x:c r="AC2078" s="78" t="n">
        <x:f>AC2077+AB2078</x:f>
        <x:v>24157708255.58988</x:v>
      </x:c>
      <x:c r="AD2078" s="80" t="n">
        <x:f>Z2078/(1+'Inputs'!$C$49)</x:f>
        <x:v>0.0007839164977901966</x:v>
      </x:c>
      <x:c r="AE2078" s="80" t="n">
        <x:f>Z2078-AD2078</x:f>
        <x:v>0.00235174949337059</x:v>
      </x:c>
      <x:c r="AF2078" s="80" t="n">
        <x:f>D2078*W2078</x:f>
        <x:v>2.7030838603000176e-7</x:v>
      </x:c>
      <x:c r="AG2078" s="80" t="n">
        <x:f>C2078*W2078</x:f>
        <x:v>6.307195674033175e-7</x:v>
      </x:c>
      <x:c r="AH2078" s="80" t="n">
        <x:f>2*'Inputs'!$B$8*'Inputs'!$C$49</x:f>
        <x:v>15000</x:v>
      </x:c>
      <x:c r="AI2078" s="81" t="n">
        <x:f>IF(AH2078&gt;0,(AE2078+AF2078)/AH2078*365,0)</x:f>
        <x:v>0.00005723248184274442</x:v>
      </x:c>
      <x:c r="AJ2078" s="81" t="n">
        <x:f>IF('Inputs'!$B$49&gt;0,AG2078/('Inputs'!$B$19*'Inputs'!$B$49)*365,0)</x:f>
        <x:v>2.302126421022109e-8</x:v>
      </x:c>
      <x:c r="AK2078" s="81" t="n">
        <x:f>W2078/MAX($W$1829:W2078)-1</x:f>
        <x:v>-0.999999998712016</x:v>
      </x:c>
      <x:c r="AL2078" s="83" t="n">
        <x:f>'Inputs'!$B$49</x:f>
        <x:v>1</x:v>
      </x:c>
      <x:c r="AM2078" s="83" t="n">
        <x:f>'Inputs'!$C$49</x:f>
        <x:v>3</x:v>
      </x:c>
      <x:c r="AN2078" s="83" t="n">
        <x:f>'Inputs'!$D$49</x:f>
        <x:v>0.75</x:v>
      </x:c>
      <x:c r="AO2078" s="81" t="n">
        <x:f>'Inputs'!$E$49</x:f>
        <x:v>-0.03</x:v>
      </x:c>
    </x:row>
    <x:row r="2079">
      <x:c r="A2079" s="59" t="str">
        <x:v>Mercenary LP</x:v>
      </x:c>
      <x:c r="B2079" s="59" t="n">
        <x:v>251</x:v>
      </x:c>
      <x:c r="C2079" s="78" t="n">
        <x:f>(('Inputs'!$B$29*(3*251*'Inputs'!$B$12-251^2)/(2*'Inputs'!$B$12^2))-('Inputs'!$B$29*(3*250*'Inputs'!$B$12-250^2)/(2*'Inputs'!$B$12^2)))*'Inputs'!$B$49</x:f>
        <x:v>630546.7723775506</x:v>
      </x:c>
      <x:c r="D2079" s="78" t="n">
        <x:f>IF('Inputs'!$C$49&gt;0,('Inputs'!$B$30*(3*251*'Inputs'!$B$12-251^2)/(2*'Inputs'!$B$12^2))-('Inputs'!$B$30*(3*250*'Inputs'!$B$12-250^2)/(2*'Inputs'!$B$12^2)),0)</x:f>
        <x:v>270234.3310189545</x:v>
      </x:c>
      <x:c r="E2079" s="78" t="n">
        <x:f>C2079+D2079</x:f>
        <x:v>900781.1033965051</x:v>
      </x:c>
      <x:c r="F2079" s="78" t="n">
        <x:f>'Inputs'!$B$13*E2079+(1-'Inputs'!$B$13)/'Inputs'!$B$14*SUM(E2024:E2079)</x:f>
        <x:v>910998.7802589597</x:v>
      </x:c>
      <x:c r="G2079" s="78" t="n">
        <x:f>F2079*'Inputs'!$F$49</x:f>
        <x:v>819898.9022330638</x:v>
      </x:c>
      <x:c r="H2079" s="78" t="n">
        <x:f>U2078</x:f>
        <x:v>348490110466.0798</x:v>
      </x:c>
      <x:c r="I2079" s="78" t="n">
        <x:f>V2078</x:f>
        <x:v>0.3484059736831824</x:v>
      </x:c>
      <x:c r="J2079" s="79" t="n">
        <x:f>IF(H2079&gt;0,I2079/H2079,0)</x:f>
        <x:v>9.997585676598258e-13</x:v>
      </x:c>
      <x:c r="K2079" s="80" t="n">
        <x:f>(H2079*J2079+I2079)*'Inputs'!$D$49*(1+'Inputs'!$G$49)^(B2079/30)</x:f>
        <x:v>0.5226089605247736</x:v>
      </x:c>
      <x:c r="L2079" s="80" t="n">
        <x:f>MAX(0,K2079*'Inputs'!$E$49)</x:f>
        <x:v>0</x:v>
      </x:c>
      <x:c r="M2079" s="80" t="n">
        <x:f>MAX(0,-K2079*'Inputs'!$E$49)</x:f>
        <x:v>0.015678268815743208</x:v>
      </x:c>
      <x:c r="N2079" s="78" t="n">
        <x:f>H2079*(L2079*(1-'Inputs'!$B$15))/(I2079+L2079*(1-'Inputs'!$B$15))</x:f>
        <x:v>0</x:v>
      </x:c>
      <x:c r="O2079" s="78" t="n">
        <x:f>H2079-N2079</x:f>
        <x:v>348490110466.0798</x:v>
      </x:c>
      <x:c r="P2079" s="78" t="n">
        <x:f>I2079+L2079*(1-'Inputs'!$B$17)</x:f>
        <x:v>0.3484059736831824</x:v>
      </x:c>
      <x:c r="Q2079" s="78" t="n">
        <x:f>IF(J2079&gt;0,M2079/J2079,0)</x:f>
        <x:v>0</x:v>
      </x:c>
      <x:c r="R2079" s="78" t="n">
        <x:f>IF(B2079='Inputs'!$H$49,'Inputs'!$B$27*'Inputs'!$I$49,0)</x:f>
        <x:v>0</x:v>
      </x:c>
      <x:c r="S2079" s="78" t="n">
        <x:f>Q2079+G2079+R2079</x:f>
        <x:v>819898.9022330638</x:v>
      </x:c>
      <x:c r="T2079" s="78" t="n">
        <x:f>P2079*(S2079*(1-'Inputs'!$B$15))/(O2079+S2079*(1-'Inputs'!$B$15))</x:f>
        <x:v>8.115020524581598e-7</x:v>
      </x:c>
      <x:c r="U2079" s="78" t="n">
        <x:f>O2079+S2079*(1-'Inputs'!$B$17)</x:f>
        <x:v>348490927065.59</x:v>
      </x:c>
      <x:c r="V2079" s="78" t="n">
        <x:f>P2079-T2079</x:f>
        <x:v>0.34840516218112993</x:v>
      </x:c>
      <x:c r="W2079" s="79" t="n">
        <x:f>IF(U2079&gt;0,V2079/U2079,0)</x:f>
        <x:v>9.997538963634368e-13</x:v>
      </x:c>
      <x:c r="X2079" s="80" t="n">
        <x:f>W2079*('Inputs'!$B$6-AC2079)</x:f>
        <x:v>-0.02315201235795368</x:v>
      </x:c>
      <x:c r="Y2079" s="80" t="n">
        <x:f>2*V2079</x:f>
        <x:v>0.6968103243622599</x:v>
      </x:c>
      <x:c r="Z2079" s="80" t="n">
        <x:f>K2079*'Inputs'!$B$16+(G2079+R2079)*J2079*'Inputs'!$B$16</x:f>
        <x:v>0.0031356586813543544</x:v>
      </x:c>
      <x:c r="AA2079" s="80" t="n">
        <x:f>K2079*(1+'Inputs'!$E$49)/2*'Inputs'!$B$17</x:f>
        <x:v>0.0010199812710443268</x:v>
      </x:c>
      <x:c r="AB2079" s="78" t="n">
        <x:f>(IF(J2079&gt;0,K2079*(1-'Inputs'!$E$49)/2/J2079,0)+G2079+R2079)*'Inputs'!$B$17</x:f>
        <x:v>3299.391960696434</x:v>
      </x:c>
      <x:c r="AC2079" s="78" t="n">
        <x:f>AC2078+AB2079</x:f>
        <x:v>24157711554.981842</x:v>
      </x:c>
      <x:c r="AD2079" s="80" t="n">
        <x:f>Z2079/(1+'Inputs'!$C$49)</x:f>
        <x:v>0.0007839146703385886</x:v>
      </x:c>
      <x:c r="AE2079" s="80" t="n">
        <x:f>Z2079-AD2079</x:f>
        <x:v>0.002351744011015766</x:v>
      </x:c>
      <x:c r="AF2079" s="80" t="n">
        <x:f>D2079*W2079</x:f>
        <x:v>2.7016782536736654e-7</x:v>
      </x:c>
      <x:c r="AG2079" s="80" t="n">
        <x:f>C2079*W2079</x:f>
        <x:v>6.303915925238453e-7</x:v>
      </x:c>
      <x:c r="AH2079" s="80" t="n">
        <x:f>2*'Inputs'!$B$8*'Inputs'!$C$49</x:f>
        <x:v>15000</x:v>
      </x:c>
      <x:c r="AI2079" s="81" t="n">
        <x:f>IF(AH2079&gt;0,(AE2079+AF2079)/AH2079*365,0)</x:f>
        <x:v>0.000057232345018467575</x:v>
      </x:c>
      <x:c r="AJ2079" s="81" t="n">
        <x:f>IF('Inputs'!$B$49&gt;0,AG2079/('Inputs'!$B$19*'Inputs'!$B$49)*365,0)</x:f>
        <x:v>2.3009293127120354e-8</x:v>
      </x:c>
      <x:c r="AK2079" s="81" t="n">
        <x:f>W2079/MAX($W$1829:W2079)-1</x:f>
        <x:v>-0.999999998712022</x:v>
      </x:c>
      <x:c r="AL2079" s="83" t="n">
        <x:f>'Inputs'!$B$49</x:f>
        <x:v>1</x:v>
      </x:c>
      <x:c r="AM2079" s="83" t="n">
        <x:f>'Inputs'!$C$49</x:f>
        <x:v>3</x:v>
      </x:c>
      <x:c r="AN2079" s="83" t="n">
        <x:f>'Inputs'!$D$49</x:f>
        <x:v>0.75</x:v>
      </x:c>
      <x:c r="AO2079" s="81" t="n">
        <x:f>'Inputs'!$E$49</x:f>
        <x:v>-0.03</x:v>
      </x:c>
    </x:row>
    <x:row r="2080">
      <x:c r="A2080" s="59" t="str">
        <x:v>Mercenary LP</x:v>
      </x:c>
      <x:c r="B2080" s="59" t="n">
        <x:v>252</x:v>
      </x:c>
      <x:c r="C2080" s="78" t="n">
        <x:f>(('Inputs'!$B$29*(3*252*'Inputs'!$B$12-252^2)/(2*'Inputs'!$B$12^2))-('Inputs'!$B$29*(3*251*'Inputs'!$B$12-251^2)/(2*'Inputs'!$B$12^2)))*'Inputs'!$B$49</x:f>
        <x:v>630221.6644773781</x:v>
      </x:c>
      <x:c r="D2080" s="78" t="n">
        <x:f>IF('Inputs'!$C$49&gt;0,('Inputs'!$B$30*(3*252*'Inputs'!$B$12-252^2)/(2*'Inputs'!$B$12^2))-('Inputs'!$B$30*(3*251*'Inputs'!$B$12-251^2)/(2*'Inputs'!$B$12^2)),0)</x:f>
        <x:v>270094.9990617335</x:v>
      </x:c>
      <x:c r="E2080" s="78" t="n">
        <x:f>C2080+D2080</x:f>
        <x:v>900316.6635391116</x:v>
      </x:c>
      <x:c r="F2080" s="78" t="n">
        <x:f>'Inputs'!$B$13*E2080+(1-'Inputs'!$B$13)/'Inputs'!$B$14*SUM(E2025:E2080)</x:f>
        <x:v>910534.3404015736</x:v>
      </x:c>
      <x:c r="G2080" s="78" t="n">
        <x:f>F2080*'Inputs'!$F$49</x:f>
        <x:v>819480.9063614162</x:v>
      </x:c>
      <x:c r="H2080" s="78" t="n">
        <x:f>U2079</x:f>
        <x:v>348490927065.59</x:v>
      </x:c>
      <x:c r="I2080" s="78" t="n">
        <x:f>V2079</x:f>
        <x:v>0.34840516218112993</x:v>
      </x:c>
      <x:c r="J2080" s="79" t="n">
        <x:f>IF(H2080&gt;0,I2080/H2080,0)</x:f>
        <x:v>9.997538963634368e-13</x:v>
      </x:c>
      <x:c r="K2080" s="80" t="n">
        <x:f>(H2080*J2080+I2080)*'Inputs'!$D$49*(1+'Inputs'!$G$49)^(B2080/30)</x:f>
        <x:v>0.5226077432716949</x:v>
      </x:c>
      <x:c r="L2080" s="80" t="n">
        <x:f>MAX(0,K2080*'Inputs'!$E$49)</x:f>
        <x:v>0</x:v>
      </x:c>
      <x:c r="M2080" s="80" t="n">
        <x:f>MAX(0,-K2080*'Inputs'!$E$49)</x:f>
        <x:v>0.015678232298150848</x:v>
      </x:c>
      <x:c r="N2080" s="78" t="n">
        <x:f>H2080*(L2080*(1-'Inputs'!$B$15))/(I2080+L2080*(1-'Inputs'!$B$15))</x:f>
        <x:v>0</x:v>
      </x:c>
      <x:c r="O2080" s="78" t="n">
        <x:f>H2080-N2080</x:f>
        <x:v>348490927065.59</x:v>
      </x:c>
      <x:c r="P2080" s="78" t="n">
        <x:f>I2080+L2080*(1-'Inputs'!$B$17)</x:f>
        <x:v>0.34840516218112993</x:v>
      </x:c>
      <x:c r="Q2080" s="78" t="n">
        <x:f>IF(J2080&gt;0,M2080/J2080,0)</x:f>
        <x:v>0</x:v>
      </x:c>
      <x:c r="R2080" s="78" t="n">
        <x:f>IF(B2080='Inputs'!$H$49,'Inputs'!$B$27*'Inputs'!$I$49,0)</x:f>
        <x:v>0</x:v>
      </x:c>
      <x:c r="S2080" s="78" t="n">
        <x:f>Q2080+G2080+R2080</x:f>
        <x:v>819480.9063614162</x:v>
      </x:c>
      <x:c r="T2080" s="78" t="n">
        <x:f>P2080*(S2080*(1-'Inputs'!$B$15))/(O2080+S2080*(1-'Inputs'!$B$15))</x:f>
        <x:v>8.110845486359522e-7</x:v>
      </x:c>
      <x:c r="U2080" s="78" t="n">
        <x:f>O2080+S2080*(1-'Inputs'!$B$17)</x:f>
        <x:v>348491743248.7865</x:v>
      </x:c>
      <x:c r="V2080" s="78" t="n">
        <x:f>P2080-T2080</x:f>
        <x:v>0.3484043510965813</x:v>
      </x:c>
      <x:c r="W2080" s="79" t="n">
        <x:f>IF(U2080&gt;0,V2080/U2080,0)</x:f>
        <x:v>9.99749227481287e-13</x:v>
      </x:c>
      <x:c r="X2080" s="80" t="n">
        <x:f>W2080*('Inputs'!$B$6-AC2080)</x:f>
        <x:v>-0.02315190753421048</x:v>
      </x:c>
      <x:c r="Y2080" s="80" t="n">
        <x:f>2*V2080</x:f>
        <x:v>0.6968087021931626</x:v>
      </x:c>
      <x:c r="Z2080" s="80" t="n">
        <x:f>K2080*'Inputs'!$B$16+(G2080+R2080)*J2080*'Inputs'!$B$16</x:f>
        <x:v>0.0031356513753055446</x:v>
      </x:c>
      <x:c r="AA2080" s="80" t="n">
        <x:f>K2080*(1+'Inputs'!$E$49)/2*'Inputs'!$B$17</x:f>
        <x:v>0.001019978895319002</x:v>
      </x:c>
      <x:c r="AB2080" s="78" t="n">
        <x:f>(IF(J2080&gt;0,K2080*(1-'Inputs'!$E$49)/2/J2080,0)+G2080+R2080)*'Inputs'!$B$17</x:f>
        <x:v>3297.70988475419</x:v>
      </x:c>
      <x:c r="AC2080" s="78" t="n">
        <x:f>AC2079+AB2080</x:f>
        <x:v>24157714852.691727</x:v>
      </x:c>
      <x:c r="AD2080" s="80" t="n">
        <x:f>Z2080/(1+'Inputs'!$C$49)</x:f>
        <x:v>0.0007839128438263862</x:v>
      </x:c>
      <x:c r="AE2080" s="80" t="n">
        <x:f>Z2080-AD2080</x:f>
        <x:v>0.0023517385314791583</x:v>
      </x:c>
      <x:c r="AF2080" s="80" t="n">
        <x:f>D2080*W2080</x:f>
        <x:v>2.70027266658527e-7</x:v>
      </x:c>
      <x:c r="AG2080" s="80" t="n">
        <x:f>C2080*W2080</x:f>
        <x:v>6.300636222032296e-7</x:v>
      </x:c>
      <x:c r="AH2080" s="80" t="n">
        <x:f>2*'Inputs'!$B$8*'Inputs'!$C$49</x:f>
        <x:v>15000</x:v>
      </x:c>
      <x:c r="AI2080" s="81" t="n">
        <x:f>IF(AH2080&gt;0,(AE2080+AF2080)/AH2080*365,0)</x:f>
        <x:v>0.00005723220826281488</x:v>
      </x:c>
      <x:c r="AJ2080" s="81" t="n">
        <x:f>IF('Inputs'!$B$49&gt;0,AG2080/('Inputs'!$B$19*'Inputs'!$B$49)*365,0)</x:f>
        <x:v>2.299732221041788e-8</x:v>
      </x:c>
      <x:c r="AK2080" s="81" t="n">
        <x:f>W2080/MAX($W$1829:W2080)-1</x:f>
        <x:v>-0.999999998712028</x:v>
      </x:c>
      <x:c r="AL2080" s="83" t="n">
        <x:f>'Inputs'!$B$49</x:f>
        <x:v>1</x:v>
      </x:c>
      <x:c r="AM2080" s="83" t="n">
        <x:f>'Inputs'!$C$49</x:f>
        <x:v>3</x:v>
      </x:c>
      <x:c r="AN2080" s="83" t="n">
        <x:f>'Inputs'!$D$49</x:f>
        <x:v>0.75</x:v>
      </x:c>
      <x:c r="AO2080" s="81" t="n">
        <x:f>'Inputs'!$E$49</x:f>
        <x:v>-0.03</x:v>
      </x:c>
    </x:row>
    <x:row r="2081">
      <x:c r="A2081" s="59" t="str">
        <x:v>Mercenary LP</x:v>
      </x:c>
      <x:c r="B2081" s="59" t="n">
        <x:v>253</x:v>
      </x:c>
      <x:c r="C2081" s="78" t="n">
        <x:f>(('Inputs'!$B$29*(3*253*'Inputs'!$B$12-253^2)/(2*'Inputs'!$B$12^2))-('Inputs'!$B$29*(3*252*'Inputs'!$B$12-252^2)/(2*'Inputs'!$B$12^2)))*'Inputs'!$B$49</x:f>
        <x:v>629896.5565772355</x:v>
      </x:c>
      <x:c r="D2081" s="78" t="n">
        <x:f>IF('Inputs'!$C$49&gt;0,('Inputs'!$B$30*(3*253*'Inputs'!$B$12-253^2)/(2*'Inputs'!$B$12^2))-('Inputs'!$B$30*(3*252*'Inputs'!$B$12-252^2)/(2*'Inputs'!$B$12^2)),0)</x:f>
        <x:v>269955.66710452735</x:v>
      </x:c>
      <x:c r="E2081" s="78" t="n">
        <x:f>C2081+D2081</x:f>
        <x:v>899852.2236817628</x:v>
      </x:c>
      <x:c r="F2081" s="78" t="n">
        <x:f>'Inputs'!$B$13*E2081+(1-'Inputs'!$B$13)/'Inputs'!$B$14*SUM(E2026:E2081)</x:f>
        <x:v>910069.9005441966</x:v>
      </x:c>
      <x:c r="G2081" s="78" t="n">
        <x:f>F2081*'Inputs'!$F$49</x:f>
        <x:v>819062.910489777</x:v>
      </x:c>
      <x:c r="H2081" s="78" t="n">
        <x:f>U2080</x:f>
        <x:v>348491743248.7865</x:v>
      </x:c>
      <x:c r="I2081" s="78" t="n">
        <x:f>V2080</x:f>
        <x:v>0.3484043510965813</x:v>
      </x:c>
      <x:c r="J2081" s="79" t="n">
        <x:f>IF(H2081&gt;0,I2081/H2081,0)</x:f>
        <x:v>9.99749227481287e-13</x:v>
      </x:c>
      <x:c r="K2081" s="80" t="n">
        <x:f>(H2081*J2081+I2081)*'Inputs'!$D$49*(1+'Inputs'!$G$49)^(B2081/30)</x:f>
        <x:v>0.522606526644872</x:v>
      </x:c>
      <x:c r="L2081" s="80" t="n">
        <x:f>MAX(0,K2081*'Inputs'!$E$49)</x:f>
        <x:v>0</x:v>
      </x:c>
      <x:c r="M2081" s="80" t="n">
        <x:f>MAX(0,-K2081*'Inputs'!$E$49)</x:f>
        <x:v>0.015678195799346158</x:v>
      </x:c>
      <x:c r="N2081" s="78" t="n">
        <x:f>H2081*(L2081*(1-'Inputs'!$B$15))/(I2081+L2081*(1-'Inputs'!$B$15))</x:f>
        <x:v>0</x:v>
      </x:c>
      <x:c r="O2081" s="78" t="n">
        <x:f>H2081-N2081</x:f>
        <x:v>348491743248.7865</x:v>
      </x:c>
      <x:c r="P2081" s="78" t="n">
        <x:f>I2081+L2081*(1-'Inputs'!$B$17)</x:f>
        <x:v>0.3484043510965813</x:v>
      </x:c>
      <x:c r="Q2081" s="78" t="n">
        <x:f>IF(J2081&gt;0,M2081/J2081,0)</x:f>
        <x:v>0</x:v>
      </x:c>
      <x:c r="R2081" s="78" t="n">
        <x:f>IF(B2081='Inputs'!$H$49,'Inputs'!$B$27*'Inputs'!$I$49,0)</x:f>
        <x:v>0</x:v>
      </x:c>
      <x:c r="S2081" s="78" t="n">
        <x:f>Q2081+G2081+R2081</x:f>
        <x:v>819062.910489777</x:v>
      </x:c>
      <x:c r="T2081" s="78" t="n">
        <x:f>P2081*(S2081*(1-'Inputs'!$B$15))/(O2081+S2081*(1-'Inputs'!$B$15))</x:f>
        <x:v>8.106670506364896e-7</x:v>
      </x:c>
      <x:c r="U2081" s="78" t="n">
        <x:f>O2081+S2081*(1-'Inputs'!$B$17)</x:f>
        <x:v>348492559015.6692</x:v>
      </x:c>
      <x:c r="V2081" s="78" t="n">
        <x:f>P2081-T2081</x:f>
        <x:v>0.34840354042953064</x:v>
      </x:c>
      <x:c r="W2081" s="79" t="n">
        <x:f>IF(U2081&gt;0,V2081/U2081,0)</x:f>
        <x:v>9.997445610133256e-13</x:v>
      </x:c>
      <x:c r="X2081" s="80" t="n">
        <x:f>W2081*('Inputs'!$B$6-AC2081)</x:f>
        <x:v>-0.023151802764661934</x:v>
      </x:c>
      <x:c r="Y2081" s="80" t="n">
        <x:f>2*V2081</x:f>
        <x:v>0.6968070808590613</x:v>
      </x:c>
      <x:c r="Z2081" s="80" t="n">
        <x:f>K2081*'Inputs'!$B$16+(G2081+R2081)*J2081*'Inputs'!$B$16</x:f>
        <x:v>0.003135644073014304</x:v>
      </x:c>
      <x:c r="AA2081" s="80" t="n">
        <x:f>K2081*(1+'Inputs'!$E$49)/2*'Inputs'!$B$17</x:f>
        <x:v>0.0010199765208159474</x:v>
      </x:c>
      <x:c r="AB2081" s="78" t="n">
        <x:f>(IF(J2081&gt;0,K2081*(1-'Inputs'!$E$49)/2/J2081,0)+G2081+R2081)*'Inputs'!$B$17</x:f>
        <x:v>3296.0278088119803</x:v>
      </x:c>
      <x:c r="AC2081" s="78" t="n">
        <x:f>AC2080+AB2081</x:f>
        <x:v>24157718148.719536</x:v>
      </x:c>
      <x:c r="AD2081" s="80" t="n">
        <x:f>Z2081/(1+'Inputs'!$C$49)</x:f>
        <x:v>0.000783911018253576</x:v>
      </x:c>
      <x:c r="AE2081" s="80" t="n">
        <x:f>Z2081-AD2081</x:f>
        <x:v>0.002351733054760728</x:v>
      </x:c>
      <x:c r="AF2081" s="80" t="n">
        <x:f>D2081*W2081</x:f>
        <x:v>2.6988670990247513e-7</x:v>
      </x:c>
      <x:c r="AG2081" s="80" t="n">
        <x:f>C2081*W2081</x:f>
        <x:v>6.297356564391137e-7</x:v>
      </x:c>
      <x:c r="AH2081" s="80" t="n">
        <x:f>2*'Inputs'!$B$8*'Inputs'!$C$49</x:f>
        <x:v>15000</x:v>
      </x:c>
      <x:c r="AI2081" s="81" t="n">
        <x:f>IF(AH2081&gt;0,(AE2081+AF2081)/AH2081*365,0)</x:f>
        <x:v>0.00005723207157578534</x:v>
      </x:c>
      <x:c r="AJ2081" s="81" t="n">
        <x:f>IF('Inputs'!$B$49&gt;0,AG2081/('Inputs'!$B$19*'Inputs'!$B$49)*365,0)</x:f>
        <x:v>2.298535146002765e-8</x:v>
      </x:c>
      <x:c r="AK2081" s="81" t="n">
        <x:f>W2081/MAX($W$1829:W2081)-1</x:f>
        <x:v>-0.999999998712034</x:v>
      </x:c>
      <x:c r="AL2081" s="83" t="n">
        <x:f>'Inputs'!$B$49</x:f>
        <x:v>1</x:v>
      </x:c>
      <x:c r="AM2081" s="83" t="n">
        <x:f>'Inputs'!$C$49</x:f>
        <x:v>3</x:v>
      </x:c>
      <x:c r="AN2081" s="83" t="n">
        <x:f>'Inputs'!$D$49</x:f>
        <x:v>0.75</x:v>
      </x:c>
      <x:c r="AO2081" s="81" t="n">
        <x:f>'Inputs'!$E$49</x:f>
        <x:v>-0.03</x:v>
      </x:c>
    </x:row>
    <x:row r="2082">
      <x:c r="A2082" s="59" t="str">
        <x:v>Mercenary LP</x:v>
      </x:c>
      <x:c r="B2082" s="59" t="n">
        <x:v>254</x:v>
      </x:c>
      <x:c r="C2082" s="78" t="n">
        <x:f>(('Inputs'!$B$29*(3*254*'Inputs'!$B$12-254^2)/(2*'Inputs'!$B$12^2))-('Inputs'!$B$29*(3*253*'Inputs'!$B$12-253^2)/(2*'Inputs'!$B$12^2)))*'Inputs'!$B$49</x:f>
        <x:v>629571.4486770332</x:v>
      </x:c>
      <x:c r="D2082" s="78" t="n">
        <x:f>IF('Inputs'!$C$49&gt;0,('Inputs'!$B$30*(3*254*'Inputs'!$B$12-254^2)/(2*'Inputs'!$B$12^2))-('Inputs'!$B$30*(3*253*'Inputs'!$B$12-253^2)/(2*'Inputs'!$B$12^2)),0)</x:f>
        <x:v>269816.3351473063</x:v>
      </x:c>
      <x:c r="E2082" s="78" t="n">
        <x:f>C2082+D2082</x:f>
        <x:v>899387.7838243395</x:v>
      </x:c>
      <x:c r="F2082" s="78" t="n">
        <x:f>'Inputs'!$B$13*E2082+(1-'Inputs'!$B$13)/'Inputs'!$B$14*SUM(E2027:E2082)</x:f>
        <x:v>909605.4606868045</x:v>
      </x:c>
      <x:c r="G2082" s="78" t="n">
        <x:f>F2082*'Inputs'!$F$49</x:f>
        <x:v>818644.914618124</x:v>
      </x:c>
      <x:c r="H2082" s="78" t="n">
        <x:f>U2081</x:f>
        <x:v>348492559015.6692</x:v>
      </x:c>
      <x:c r="I2082" s="78" t="n">
        <x:f>V2081</x:f>
        <x:v>0.34840354042953064</x:v>
      </x:c>
      <x:c r="J2082" s="79" t="n">
        <x:f>IF(H2082&gt;0,I2082/H2082,0)</x:f>
        <x:v>9.997445610133256e-13</x:v>
      </x:c>
      <x:c r="K2082" s="80" t="n">
        <x:f>(H2082*J2082+I2082)*'Inputs'!$D$49*(1+'Inputs'!$G$49)^(B2082/30)</x:f>
        <x:v>0.5226053106442959</x:v>
      </x:c>
      <x:c r="L2082" s="80" t="n">
        <x:f>MAX(0,K2082*'Inputs'!$E$49)</x:f>
        <x:v>0</x:v>
      </x:c>
      <x:c r="M2082" s="80" t="n">
        <x:f>MAX(0,-K2082*'Inputs'!$E$49)</x:f>
        <x:v>0.015678159319328876</x:v>
      </x:c>
      <x:c r="N2082" s="78" t="n">
        <x:f>H2082*(L2082*(1-'Inputs'!$B$15))/(I2082+L2082*(1-'Inputs'!$B$15))</x:f>
        <x:v>0</x:v>
      </x:c>
      <x:c r="O2082" s="78" t="n">
        <x:f>H2082-N2082</x:f>
        <x:v>348492559015.6692</x:v>
      </x:c>
      <x:c r="P2082" s="78" t="n">
        <x:f>I2082+L2082*(1-'Inputs'!$B$17)</x:f>
        <x:v>0.34840354042953064</x:v>
      </x:c>
      <x:c r="Q2082" s="78" t="n">
        <x:f>IF(J2082&gt;0,M2082/J2082,0)</x:f>
        <x:v>0</x:v>
      </x:c>
      <x:c r="R2082" s="78" t="n">
        <x:f>IF(B2082='Inputs'!$H$49,'Inputs'!$B$27*'Inputs'!$I$49,0)</x:f>
        <x:v>0</x:v>
      </x:c>
      <x:c r="S2082" s="78" t="n">
        <x:f>Q2082+G2082+R2082</x:f>
        <x:v>818644.914618124</x:v>
      </x:c>
      <x:c r="T2082" s="78" t="n">
        <x:f>P2082*(S2082*(1-'Inputs'!$B$15))/(O2082+S2082*(1-'Inputs'!$B$15))</x:f>
        <x:v>8.10249558456712e-7</x:v>
      </x:c>
      <x:c r="U2082" s="78" t="n">
        <x:f>O2082+S2082*(1-'Inputs'!$B$17)</x:f>
        <x:v>348493374366.2381</x:v>
      </x:c>
      <x:c r="V2082" s="78" t="n">
        <x:f>P2082-T2082</x:f>
        <x:v>0.3484027301799722</x:v>
      </x:c>
      <x:c r="W2082" s="79" t="n">
        <x:f>IF(U2082&gt;0,V2082/U2082,0)</x:f>
        <x:v>9.997398969595025e-13</x:v>
      </x:c>
      <x:c r="X2082" s="80" t="n">
        <x:f>W2082*('Inputs'!$B$6-AC2082)</x:f>
        <x:v>-0.023151698049306932</x:v>
      </x:c>
      <x:c r="Y2082" s="80" t="n">
        <x:f>2*V2082</x:f>
        <x:v>0.6968054603599444</x:v>
      </x:c>
      <x:c r="Z2082" s="80" t="n">
        <x:f>K2082*'Inputs'!$B$16+(G2082+R2082)*J2082*'Inputs'!$B$16</x:f>
        <x:v>0.00313563677448058</x:v>
      </x:c>
      <x:c r="AA2082" s="80" t="n">
        <x:f>K2082*(1+'Inputs'!$E$49)/2*'Inputs'!$B$17</x:f>
        <x:v>0.001019974147535145</x:v>
      </x:c>
      <x:c r="AB2082" s="78" t="n">
        <x:f>(IF(J2082&gt;0,K2082*(1-'Inputs'!$E$49)/2/J2082,0)+G2082+R2082)*'Inputs'!$B$17</x:f>
        <x:v>3294.3457328697145</x:v>
      </x:c>
      <x:c r="AC2082" s="78" t="n">
        <x:f>AC2081+AB2082</x:f>
        <x:v>24157721443.06527</x:v>
      </x:c>
      <x:c r="AD2082" s="80" t="n">
        <x:f>Z2082/(1+'Inputs'!$C$49)</x:f>
        <x:v>0.000783909193620145</x:v>
      </x:c>
      <x:c r="AE2082" s="80" t="n">
        <x:f>Z2082-AD2082</x:f>
        <x:v>0.002351727580860435</x:v>
      </x:c>
      <x:c r="AF2082" s="80" t="n">
        <x:f>D2082*W2082</x:f>
        <x:v>2.697461550981586e-7</x:v>
      </x:c>
      <x:c r="AG2082" s="80" t="n">
        <x:f>C2082*W2082</x:f>
        <x:v>6.294076952290219e-7</x:v>
      </x:c>
      <x:c r="AH2082" s="80" t="n">
        <x:f>2*'Inputs'!$B$8*'Inputs'!$C$49</x:f>
        <x:v>15000</x:v>
      </x:c>
      <x:c r="AI2082" s="81" t="n">
        <x:f>IF(AH2082&gt;0,(AE2082+AF2082)/AH2082*365,0)</x:f>
        <x:v>0.000057231934957377965</x:v>
      </x:c>
      <x:c r="AJ2082" s="81" t="n">
        <x:f>IF('Inputs'!$B$49&gt;0,AG2082/('Inputs'!$B$19*'Inputs'!$B$49)*365,0)</x:f>
        <x:v>2.2973380875859297e-8</x:v>
      </x:c>
      <x:c r="AK2082" s="81" t="n">
        <x:f>W2082/MAX($W$1829:W2082)-1</x:f>
        <x:v>-0.99999999871204</x:v>
      </x:c>
      <x:c r="AL2082" s="83" t="n">
        <x:f>'Inputs'!$B$49</x:f>
        <x:v>1</x:v>
      </x:c>
      <x:c r="AM2082" s="83" t="n">
        <x:f>'Inputs'!$C$49</x:f>
        <x:v>3</x:v>
      </x:c>
      <x:c r="AN2082" s="83" t="n">
        <x:f>'Inputs'!$D$49</x:f>
        <x:v>0.75</x:v>
      </x:c>
      <x:c r="AO2082" s="81" t="n">
        <x:f>'Inputs'!$E$49</x:f>
        <x:v>-0.03</x:v>
      </x:c>
    </x:row>
    <x:row r="2083">
      <x:c r="A2083" s="59" t="str">
        <x:v>Mercenary LP</x:v>
      </x:c>
      <x:c r="B2083" s="59" t="n">
        <x:v>255</x:v>
      </x:c>
      <x:c r="C2083" s="78" t="n">
        <x:f>(('Inputs'!$B$29*(3*255*'Inputs'!$B$12-255^2)/(2*'Inputs'!$B$12^2))-('Inputs'!$B$29*(3*254*'Inputs'!$B$12-254^2)/(2*'Inputs'!$B$12^2)))*'Inputs'!$B$49</x:f>
        <x:v>629246.3407768905</x:v>
      </x:c>
      <x:c r="D2083" s="78" t="n">
        <x:f>IF('Inputs'!$C$49&gt;0,('Inputs'!$B$30*(3*255*'Inputs'!$B$12-255^2)/(2*'Inputs'!$B$12^2))-('Inputs'!$B$30*(3*254*'Inputs'!$B$12-254^2)/(2*'Inputs'!$B$12^2)),0)</x:f>
        <x:v>269677.0031900853</x:v>
      </x:c>
      <x:c r="E2083" s="78" t="n">
        <x:f>C2083+D2083</x:f>
        <x:v>898923.3439669758</x:v>
      </x:c>
      <x:c r="F2083" s="78" t="n">
        <x:f>'Inputs'!$B$13*E2083+(1-'Inputs'!$B$13)/'Inputs'!$B$14*SUM(E2028:E2083)</x:f>
        <x:v>909141.0208294244</x:v>
      </x:c>
      <x:c r="G2083" s="78" t="n">
        <x:f>F2083*'Inputs'!$F$49</x:f>
        <x:v>818226.918746482</x:v>
      </x:c>
      <x:c r="H2083" s="78" t="n">
        <x:f>U2082</x:f>
        <x:v>348493374366.2381</x:v>
      </x:c>
      <x:c r="I2083" s="78" t="n">
        <x:f>V2082</x:f>
        <x:v>0.3484027301799722</x:v>
      </x:c>
      <x:c r="J2083" s="79" t="n">
        <x:f>IF(H2083&gt;0,I2083/H2083,0)</x:f>
        <x:v>9.997398969595025e-13</x:v>
      </x:c>
      <x:c r="K2083" s="80" t="n">
        <x:f>(H2083*J2083+I2083)*'Inputs'!$D$49*(1+'Inputs'!$G$49)^(B2083/30)</x:f>
        <x:v>0.5226040952699583</x:v>
      </x:c>
      <x:c r="L2083" s="80" t="n">
        <x:f>MAX(0,K2083*'Inputs'!$E$49)</x:f>
        <x:v>0</x:v>
      </x:c>
      <x:c r="M2083" s="80" t="n">
        <x:f>MAX(0,-K2083*'Inputs'!$E$49)</x:f>
        <x:v>0.015678122858098748</x:v>
      </x:c>
      <x:c r="N2083" s="78" t="n">
        <x:f>H2083*(L2083*(1-'Inputs'!$B$15))/(I2083+L2083*(1-'Inputs'!$B$15))</x:f>
        <x:v>0</x:v>
      </x:c>
      <x:c r="O2083" s="78" t="n">
        <x:f>H2083-N2083</x:f>
        <x:v>348493374366.2381</x:v>
      </x:c>
      <x:c r="P2083" s="78" t="n">
        <x:f>I2083+L2083*(1-'Inputs'!$B$17)</x:f>
        <x:v>0.3484027301799722</x:v>
      </x:c>
      <x:c r="Q2083" s="78" t="n">
        <x:f>IF(J2083&gt;0,M2083/J2083,0)</x:f>
        <x:v>0</x:v>
      </x:c>
      <x:c r="R2083" s="78" t="n">
        <x:f>IF(B2083='Inputs'!$H$49,'Inputs'!$B$27*'Inputs'!$I$49,0)</x:f>
        <x:v>0</x:v>
      </x:c>
      <x:c r="S2083" s="78" t="n">
        <x:f>Q2083+G2083+R2083</x:f>
        <x:v>818226.918746482</x:v>
      </x:c>
      <x:c r="T2083" s="78" t="n">
        <x:f>P2083*(S2083*(1-'Inputs'!$B$15))/(O2083+S2083*(1-'Inputs'!$B$15))</x:f>
        <x:v>8.098320720936061e-7</x:v>
      </x:c>
      <x:c r="U2083" s="78" t="n">
        <x:f>O2083+S2083*(1-'Inputs'!$B$17)</x:f>
        <x:v>348494189300.49316</x:v>
      </x:c>
      <x:c r="V2083" s="78" t="n">
        <x:f>P2083-T2083</x:f>
        <x:v>0.34840192034790013</x:v>
      </x:c>
      <x:c r="W2083" s="79" t="n">
        <x:f>IF(U2083&gt;0,V2083/U2083,0)</x:f>
        <x:v>9.997352353197674e-13</x:v>
      </x:c>
      <x:c r="X2083" s="80" t="n">
        <x:f>W2083*('Inputs'!$B$6-AC2083)</x:f>
        <x:v>-0.02315159338814436</x:v>
      </x:c>
      <x:c r="Y2083" s="80" t="n">
        <x:f>2*V2083</x:f>
        <x:v>0.6968038406958003</x:v>
      </x:c>
      <x:c r="Z2083" s="80" t="n">
        <x:f>K2083*'Inputs'!$B$16+(G2083+R2083)*J2083*'Inputs'!$B$16</x:f>
        <x:v>0.0031356294797043223</x:v>
      </x:c>
      <x:c r="AA2083" s="80" t="n">
        <x:f>K2083*(1+'Inputs'!$E$49)/2*'Inputs'!$B$17</x:f>
        <x:v>0.0010199717754765787</x:v>
      </x:c>
      <x:c r="AB2083" s="78" t="n">
        <x:f>(IF(J2083&gt;0,K2083*(1-'Inputs'!$E$49)/2/J2083,0)+G2083+R2083)*'Inputs'!$B$17</x:f>
        <x:v>3292.6636569274933</x:v>
      </x:c>
      <x:c r="AC2083" s="78" t="n">
        <x:f>AC2082+AB2083</x:f>
        <x:v>24157724735.728928</x:v>
      </x:c>
      <x:c r="AD2083" s="80" t="n">
        <x:f>Z2083/(1+'Inputs'!$C$49)</x:f>
        <x:v>0.0007839073699260806</x:v>
      </x:c>
      <x:c r="AE2083" s="80" t="n">
        <x:f>Z2083-AD2083</x:f>
        <x:v>0.0023517221097782417</x:v>
      </x:c>
      <x:c r="AF2083" s="80" t="n">
        <x:f>D2083*W2083</x:f>
        <x:v>2.6960560224456956e-7</x:v>
      </x:c>
      <x:c r="AG2083" s="80" t="n">
        <x:f>C2083*W2083</x:f>
        <x:v>6.290797385706872e-7</x:v>
      </x:c>
      <x:c r="AH2083" s="80" t="n">
        <x:f>2*'Inputs'!$B$8*'Inputs'!$C$49</x:f>
        <x:v>15000</x:v>
      </x:c>
      <x:c r="AI2083" s="81" t="n">
        <x:f>IF(AH2083&gt;0,(AE2083+AF2083)/AH2083*365,0)</x:f>
        <x:v>0.00005723179840759183</x:v>
      </x:c>
      <x:c r="AJ2083" s="81" t="n">
        <x:f>IF('Inputs'!$B$49&gt;0,AG2083/('Inputs'!$B$19*'Inputs'!$B$49)*365,0)</x:f>
        <x:v>2.2961410457830084e-8</x:v>
      </x:c>
      <x:c r="AK2083" s="81" t="n">
        <x:f>W2083/MAX($W$1829:W2083)-1</x:f>
        <x:v>-0.999999998712046</x:v>
      </x:c>
      <x:c r="AL2083" s="83" t="n">
        <x:f>'Inputs'!$B$49</x:f>
        <x:v>1</x:v>
      </x:c>
      <x:c r="AM2083" s="83" t="n">
        <x:f>'Inputs'!$C$49</x:f>
        <x:v>3</x:v>
      </x:c>
      <x:c r="AN2083" s="83" t="n">
        <x:f>'Inputs'!$D$49</x:f>
        <x:v>0.75</x:v>
      </x:c>
      <x:c r="AO2083" s="81" t="n">
        <x:f>'Inputs'!$E$49</x:f>
        <x:v>-0.03</x:v>
      </x:c>
    </x:row>
    <x:row r="2084">
      <x:c r="A2084" s="59" t="str">
        <x:v>Mercenary LP</x:v>
      </x:c>
      <x:c r="B2084" s="59" t="n">
        <x:v>256</x:v>
      </x:c>
      <x:c r="C2084" s="78" t="n">
        <x:f>(('Inputs'!$B$29*(3*256*'Inputs'!$B$12-256^2)/(2*'Inputs'!$B$12^2))-('Inputs'!$B$29*(3*255*'Inputs'!$B$12-255^2)/(2*'Inputs'!$B$12^2)))*'Inputs'!$B$49</x:f>
        <x:v>628921.232876718</x:v>
      </x:c>
      <x:c r="D2084" s="78" t="n">
        <x:f>IF('Inputs'!$C$49&gt;0,('Inputs'!$B$30*(3*256*'Inputs'!$B$12-256^2)/(2*'Inputs'!$B$12^2))-('Inputs'!$B$30*(3*255*'Inputs'!$B$12-255^2)/(2*'Inputs'!$B$12^2)),0)</x:f>
        <x:v>269537.67123287916</x:v>
      </x:c>
      <x:c r="E2084" s="78" t="n">
        <x:f>C2084+D2084</x:f>
        <x:v>898458.9041095972</x:v>
      </x:c>
      <x:c r="F2084" s="78" t="n">
        <x:f>'Inputs'!$B$13*E2084+(1-'Inputs'!$B$13)/'Inputs'!$B$14*SUM(E2029:E2084)</x:f>
        <x:v>908676.5809720415</x:v>
      </x:c>
      <x:c r="G2084" s="78" t="n">
        <x:f>F2084*'Inputs'!$F$49</x:f>
        <x:v>817808.9228748373</x:v>
      </x:c>
      <x:c r="H2084" s="78" t="n">
        <x:f>U2083</x:f>
        <x:v>348494189300.49316</x:v>
      </x:c>
      <x:c r="I2084" s="78" t="n">
        <x:f>V2083</x:f>
        <x:v>0.34840192034790013</x:v>
      </x:c>
      <x:c r="J2084" s="79" t="n">
        <x:f>IF(H2084&gt;0,I2084/H2084,0)</x:f>
        <x:v>9.997352353197674e-13</x:v>
      </x:c>
      <x:c r="K2084" s="80" t="n">
        <x:f>(H2084*J2084+I2084)*'Inputs'!$D$49*(1+'Inputs'!$G$49)^(B2084/30)</x:f>
        <x:v>0.5226028805218501</x:v>
      </x:c>
      <x:c r="L2084" s="80" t="n">
        <x:f>MAX(0,K2084*'Inputs'!$E$49)</x:f>
        <x:v>0</x:v>
      </x:c>
      <x:c r="M2084" s="80" t="n">
        <x:f>MAX(0,-K2084*'Inputs'!$E$49)</x:f>
        <x:v>0.015678086415655504</x:v>
      </x:c>
      <x:c r="N2084" s="78" t="n">
        <x:f>H2084*(L2084*(1-'Inputs'!$B$15))/(I2084+L2084*(1-'Inputs'!$B$15))</x:f>
        <x:v>0</x:v>
      </x:c>
      <x:c r="O2084" s="78" t="n">
        <x:f>H2084-N2084</x:f>
        <x:v>348494189300.49316</x:v>
      </x:c>
      <x:c r="P2084" s="78" t="n">
        <x:f>I2084+L2084*(1-'Inputs'!$B$17)</x:f>
        <x:v>0.34840192034790013</x:v>
      </x:c>
      <x:c r="Q2084" s="78" t="n">
        <x:f>IF(J2084&gt;0,M2084/J2084,0)</x:f>
        <x:v>0</x:v>
      </x:c>
      <x:c r="R2084" s="78" t="n">
        <x:f>IF(B2084='Inputs'!$H$49,'Inputs'!$B$27*'Inputs'!$I$49,0)</x:f>
        <x:v>0</x:v>
      </x:c>
      <x:c r="S2084" s="78" t="n">
        <x:f>Q2084+G2084+R2084</x:f>
        <x:v>817808.9228748373</x:v>
      </x:c>
      <x:c r="T2084" s="78" t="n">
        <x:f>P2084*(S2084*(1-'Inputs'!$B$15))/(O2084+S2084*(1-'Inputs'!$B$15))</x:f>
        <x:v>8.094145915441208e-7</x:v>
      </x:c>
      <x:c r="U2084" s="78" t="n">
        <x:f>O2084+S2084*(1-'Inputs'!$B$17)</x:f>
        <x:v>348495003818.43445</x:v>
      </x:c>
      <x:c r="V2084" s="78" t="n">
        <x:f>P2084-T2084</x:f>
        <x:v>0.3484011109333086</x:v>
      </x:c>
      <x:c r="W2084" s="79" t="n">
        <x:f>IF(U2084&gt;0,V2084/U2084,0)</x:f>
        <x:v>9.997305760940701e-13</x:v>
      </x:c>
      <x:c r="X2084" s="80" t="n">
        <x:f>W2084*('Inputs'!$B$6-AC2084)</x:f>
        <x:v>-0.023151488781173093</x:v>
      </x:c>
      <x:c r="Y2084" s="80" t="n">
        <x:f>2*V2084</x:f>
        <x:v>0.6968022218666172</x:v>
      </x:c>
      <x:c r="Z2084" s="80" t="n">
        <x:f>K2084*'Inputs'!$B$16+(G2084+R2084)*J2084*'Inputs'!$B$16</x:f>
        <x:v>0.0031356221886854768</x:v>
      </x:c>
      <x:c r="AA2084" s="80" t="n">
        <x:f>K2084*(1+'Inputs'!$E$49)/2*'Inputs'!$B$17</x:f>
        <x:v>0.0010199694046402307</x:v>
      </x:c>
      <x:c r="AB2084" s="78" t="n">
        <x:f>(IF(J2084&gt;0,K2084*(1-'Inputs'!$E$49)/2/J2084,0)+G2084+R2084)*'Inputs'!$B$17</x:f>
        <x:v>3290.981580985261</x:v>
      </x:c>
      <x:c r="AC2084" s="78" t="n">
        <x:f>AC2083+AB2084</x:f>
        <x:v>24157728026.71051</x:v>
      </x:c>
      <x:c r="AD2084" s="80" t="n">
        <x:f>Z2084/(1+'Inputs'!$C$49)</x:f>
        <x:v>0.0007839055471713692</x:v>
      </x:c>
      <x:c r="AE2084" s="80" t="n">
        <x:f>Z2084-AD2084</x:f>
        <x:v>0.0023517166415141077</x:v>
      </x:c>
      <x:c r="AF2084" s="80" t="n">
        <x:f>D2084*W2084</x:f>
        <x:v>2.6946505134070035e-7</x:v>
      </x:c>
      <x:c r="AG2084" s="80" t="n">
        <x:f>C2084*W2084</x:f>
        <x:v>6.287517864616342e-7</x:v>
      </x:c>
      <x:c r="AH2084" s="80" t="n">
        <x:f>2*'Inputs'!$B$8*'Inputs'!$C$49</x:f>
        <x:v>15000</x:v>
      </x:c>
      <x:c r="AI2084" s="81" t="n">
        <x:f>IF(AH2084&gt;0,(AE2084+AF2084)/AH2084*365,0)</x:f>
        <x:v>0.000057231661926425904</x:v>
      </x:c>
      <x:c r="AJ2084" s="81" t="n">
        <x:f>IF('Inputs'!$B$49&gt;0,AG2084/('Inputs'!$B$19*'Inputs'!$B$49)*365,0)</x:f>
        <x:v>2.294944020584965e-8</x:v>
      </x:c>
      <x:c r="AK2084" s="81" t="n">
        <x:f>W2084/MAX($W$1829:W2084)-1</x:f>
        <x:v>-0.999999998712052</x:v>
      </x:c>
      <x:c r="AL2084" s="83" t="n">
        <x:f>'Inputs'!$B$49</x:f>
        <x:v>1</x:v>
      </x:c>
      <x:c r="AM2084" s="83" t="n">
        <x:f>'Inputs'!$C$49</x:f>
        <x:v>3</x:v>
      </x:c>
      <x:c r="AN2084" s="83" t="n">
        <x:f>'Inputs'!$D$49</x:f>
        <x:v>0.75</x:v>
      </x:c>
      <x:c r="AO2084" s="81" t="n">
        <x:f>'Inputs'!$E$49</x:f>
        <x:v>-0.03</x:v>
      </x:c>
    </x:row>
    <x:row r="2085">
      <x:c r="A2085" s="59" t="str">
        <x:v>Mercenary LP</x:v>
      </x:c>
      <x:c r="B2085" s="59" t="n">
        <x:v>257</x:v>
      </x:c>
      <x:c r="C2085" s="78" t="n">
        <x:f>(('Inputs'!$B$29*(3*257*'Inputs'!$B$12-257^2)/(2*'Inputs'!$B$12^2))-('Inputs'!$B$29*(3*256*'Inputs'!$B$12-256^2)/(2*'Inputs'!$B$12^2)))*'Inputs'!$B$49</x:f>
        <x:v>628596.1249765456</x:v>
      </x:c>
      <x:c r="D2085" s="78" t="n">
        <x:f>IF('Inputs'!$C$49&gt;0,('Inputs'!$B$30*(3*257*'Inputs'!$B$12-257^2)/(2*'Inputs'!$B$12^2))-('Inputs'!$B$30*(3*256*'Inputs'!$B$12-256^2)/(2*'Inputs'!$B$12^2)),0)</x:f>
        <x:v>269398.33927565813</x:v>
      </x:c>
      <x:c r="E2085" s="78" t="n">
        <x:f>C2085+D2085</x:f>
        <x:v>897994.4642522037</x:v>
      </x:c>
      <x:c r="F2085" s="78" t="n">
        <x:f>'Inputs'!$B$13*E2085+(1-'Inputs'!$B$13)/'Inputs'!$B$14*SUM(E2030:E2085)</x:f>
        <x:v>908212.1411146556</x:v>
      </x:c>
      <x:c r="G2085" s="78" t="n">
        <x:f>F2085*'Inputs'!$F$49</x:f>
        <x:v>817390.9270031902</x:v>
      </x:c>
      <x:c r="H2085" s="78" t="n">
        <x:f>U2084</x:f>
        <x:v>348495003818.43445</x:v>
      </x:c>
      <x:c r="I2085" s="78" t="n">
        <x:f>V2084</x:f>
        <x:v>0.3484011109333086</x:v>
      </x:c>
      <x:c r="J2085" s="79" t="n">
        <x:f>IF(H2085&gt;0,I2085/H2085,0)</x:f>
        <x:v>9.997305760940701e-13</x:v>
      </x:c>
      <x:c r="K2085" s="80" t="n">
        <x:f>(H2085*J2085+I2085)*'Inputs'!$D$49*(1+'Inputs'!$G$49)^(B2085/30)</x:f>
        <x:v>0.5226016663999629</x:v>
      </x:c>
      <x:c r="L2085" s="80" t="n">
        <x:f>MAX(0,K2085*'Inputs'!$E$49)</x:f>
        <x:v>0</x:v>
      </x:c>
      <x:c r="M2085" s="80" t="n">
        <x:f>MAX(0,-K2085*'Inputs'!$E$49)</x:f>
        <x:v>0.015678049991998885</x:v>
      </x:c>
      <x:c r="N2085" s="78" t="n">
        <x:f>H2085*(L2085*(1-'Inputs'!$B$15))/(I2085+L2085*(1-'Inputs'!$B$15))</x:f>
        <x:v>0</x:v>
      </x:c>
      <x:c r="O2085" s="78" t="n">
        <x:f>H2085-N2085</x:f>
        <x:v>348495003818.43445</x:v>
      </x:c>
      <x:c r="P2085" s="78" t="n">
        <x:f>I2085+L2085*(1-'Inputs'!$B$17)</x:f>
        <x:v>0.3484011109333086</x:v>
      </x:c>
      <x:c r="Q2085" s="78" t="n">
        <x:f>IF(J2085&gt;0,M2085/J2085,0)</x:f>
        <x:v>0</x:v>
      </x:c>
      <x:c r="R2085" s="78" t="n">
        <x:f>IF(B2085='Inputs'!$H$49,'Inputs'!$B$27*'Inputs'!$I$49,0)</x:f>
        <x:v>0</x:v>
      </x:c>
      <x:c r="S2085" s="78" t="n">
        <x:f>Q2085+G2085+R2085</x:f>
        <x:v>817390.9270031902</x:v>
      </x:c>
      <x:c r="T2085" s="78" t="n">
        <x:f>P2085*(S2085*(1-'Inputs'!$B$15))/(O2085+S2085*(1-'Inputs'!$B$15))</x:f>
        <x:v>8.089971168052182e-7</x:v>
      </x:c>
      <x:c r="U2085" s="78" t="n">
        <x:f>O2085+S2085*(1-'Inputs'!$B$17)</x:f>
        <x:v>348495817920.06195</x:v>
      </x:c>
      <x:c r="V2085" s="78" t="n">
        <x:f>P2085-T2085</x:f>
        <x:v>0.3484003019361918</x:v>
      </x:c>
      <x:c r="W2085" s="79" t="n">
        <x:f>IF(U2085&gt;0,V2085/U2085,0)</x:f>
        <x:v>9.997259192823599e-13</x:v>
      </x:c>
      <x:c r="X2085" s="80" t="n">
        <x:f>W2085*('Inputs'!$B$6-AC2085)</x:f>
        <x:v>-0.023151384228392004</x:v>
      </x:c>
      <x:c r="Y2085" s="80" t="n">
        <x:f>2*V2085</x:f>
        <x:v>0.6968006038723836</x:v>
      </x:c>
      <x:c r="Z2085" s="80" t="n">
        <x:f>K2085*'Inputs'!$B$16+(G2085+R2085)*J2085*'Inputs'!$B$16</x:f>
        <x:v>0.003135614901423991</x:v>
      </x:c>
      <x:c r="AA2085" s="80" t="n">
        <x:f>K2085*(1+'Inputs'!$E$49)/2*'Inputs'!$B$17</x:f>
        <x:v>0.0010199670350260843</x:v>
      </x:c>
      <x:c r="AB2085" s="78" t="n">
        <x:f>(IF(J2085&gt;0,K2085*(1-'Inputs'!$E$49)/2/J2085,0)+G2085+R2085)*'Inputs'!$B$17</x:f>
        <x:v>3289.299505043019</x:v>
      </x:c>
      <x:c r="AC2085" s="78" t="n">
        <x:f>AC2084+AB2085</x:f>
        <x:v>24157731316.010014</x:v>
      </x:c>
      <x:c r="AD2085" s="80" t="n">
        <x:f>Z2085/(1+'Inputs'!$C$49)</x:f>
        <x:v>0.0007839037253559978</x:v>
      </x:c>
      <x:c r="AE2085" s="80" t="n">
        <x:f>Z2085-AD2085</x:f>
        <x:v>0.0023517111760679933</x:v>
      </x:c>
      <x:c r="AF2085" s="80" t="n">
        <x:f>D2085*W2085</x:f>
        <x:v>2.693245023854984e-7</x:v>
      </x:c>
      <x:c r="AG2085" s="80" t="n">
        <x:f>C2085*W2085</x:f>
        <x:v>6.284238388995062e-7</x:v>
      </x:c>
      <x:c r="AH2085" s="80" t="n">
        <x:f>2*'Inputs'!$B$8*'Inputs'!$C$49</x:f>
        <x:v>15000</x:v>
      </x:c>
      <x:c r="AI2085" s="81" t="n">
        <x:f>IF(AH2085&gt;0,(AE2085+AF2085)/AH2085*365,0)</x:f>
        <x:v>0.00005723152551387922</x:v>
      </x:c>
      <x:c r="AJ2085" s="81" t="n">
        <x:f>IF('Inputs'!$B$49&gt;0,AG2085/('Inputs'!$B$19*'Inputs'!$B$49)*365,0)</x:f>
        <x:v>2.2937470119831974e-8</x:v>
      </x:c>
      <x:c r="AK2085" s="81" t="n">
        <x:f>W2085/MAX($W$1829:W2085)-1</x:f>
        <x:v>-0.999999998712058</x:v>
      </x:c>
      <x:c r="AL2085" s="83" t="n">
        <x:f>'Inputs'!$B$49</x:f>
        <x:v>1</x:v>
      </x:c>
      <x:c r="AM2085" s="83" t="n">
        <x:f>'Inputs'!$C$49</x:f>
        <x:v>3</x:v>
      </x:c>
      <x:c r="AN2085" s="83" t="n">
        <x:f>'Inputs'!$D$49</x:f>
        <x:v>0.75</x:v>
      </x:c>
      <x:c r="AO2085" s="81" t="n">
        <x:f>'Inputs'!$E$49</x:f>
        <x:v>-0.03</x:v>
      </x:c>
    </x:row>
    <x:row r="2086">
      <x:c r="A2086" s="59" t="str">
        <x:v>Mercenary LP</x:v>
      </x:c>
      <x:c r="B2086" s="59" t="n">
        <x:v>258</x:v>
      </x:c>
      <x:c r="C2086" s="78" t="n">
        <x:f>(('Inputs'!$B$29*(3*258*'Inputs'!$B$12-258^2)/(2*'Inputs'!$B$12^2))-('Inputs'!$B$29*(3*257*'Inputs'!$B$12-257^2)/(2*'Inputs'!$B$12^2)))*'Inputs'!$B$49</x:f>
        <x:v>628271.0170763731</x:v>
      </x:c>
      <x:c r="D2086" s="78" t="n">
        <x:f>IF('Inputs'!$C$49&gt;0,('Inputs'!$B$30*(3*258*'Inputs'!$B$12-258^2)/(2*'Inputs'!$B$12^2))-('Inputs'!$B$30*(3*257*'Inputs'!$B$12-257^2)/(2*'Inputs'!$B$12^2)),0)</x:f>
        <x:v>269259.007318452</x:v>
      </x:c>
      <x:c r="E2086" s="78" t="n">
        <x:f>C2086+D2086</x:f>
        <x:v>897530.0243948251</x:v>
      </x:c>
      <x:c r="F2086" s="78" t="n">
        <x:f>'Inputs'!$B$13*E2086+(1-'Inputs'!$B$13)/'Inputs'!$B$14*SUM(E2031:E2086)</x:f>
        <x:v>907747.7012572729</x:v>
      </x:c>
      <x:c r="G2086" s="78" t="n">
        <x:f>F2086*'Inputs'!$F$49</x:f>
        <x:v>816972.9311315456</x:v>
      </x:c>
      <x:c r="H2086" s="78" t="n">
        <x:f>U2085</x:f>
        <x:v>348495817920.06195</x:v>
      </x:c>
      <x:c r="I2086" s="78" t="n">
        <x:f>V2085</x:f>
        <x:v>0.3484003019361918</x:v>
      </x:c>
      <x:c r="J2086" s="79" t="n">
        <x:f>IF(H2086&gt;0,I2086/H2086,0)</x:f>
        <x:v>9.997259192823599e-13</x:v>
      </x:c>
      <x:c r="K2086" s="80" t="n">
        <x:f>(H2086*J2086+I2086)*'Inputs'!$D$49*(1+'Inputs'!$G$49)^(B2086/30)</x:f>
        <x:v>0.5226004529042877</x:v>
      </x:c>
      <x:c r="L2086" s="80" t="n">
        <x:f>MAX(0,K2086*'Inputs'!$E$49)</x:f>
        <x:v>0</x:v>
      </x:c>
      <x:c r="M2086" s="80" t="n">
        <x:f>MAX(0,-K2086*'Inputs'!$E$49)</x:f>
        <x:v>0.01567801358712863</x:v>
      </x:c>
      <x:c r="N2086" s="78" t="n">
        <x:f>H2086*(L2086*(1-'Inputs'!$B$15))/(I2086+L2086*(1-'Inputs'!$B$15))</x:f>
        <x:v>0</x:v>
      </x:c>
      <x:c r="O2086" s="78" t="n">
        <x:f>H2086-N2086</x:f>
        <x:v>348495817920.06195</x:v>
      </x:c>
      <x:c r="P2086" s="78" t="n">
        <x:f>I2086+L2086*(1-'Inputs'!$B$17)</x:f>
        <x:v>0.3484003019361918</x:v>
      </x:c>
      <x:c r="Q2086" s="78" t="n">
        <x:f>IF(J2086&gt;0,M2086/J2086,0)</x:f>
        <x:v>0</x:v>
      </x:c>
      <x:c r="R2086" s="78" t="n">
        <x:f>IF(B2086='Inputs'!$H$49,'Inputs'!$B$27*'Inputs'!$I$49,0)</x:f>
        <x:v>0</x:v>
      </x:c>
      <x:c r="S2086" s="78" t="n">
        <x:f>Q2086+G2086+R2086</x:f>
        <x:v>816972.9311315456</x:v>
      </x:c>
      <x:c r="T2086" s="78" t="n">
        <x:f>P2086*(S2086*(1-'Inputs'!$B$15))/(O2086+S2086*(1-'Inputs'!$B$15))</x:f>
        <x:v>8.085796478738663e-7</x:v>
      </x:c>
      <x:c r="U2086" s="78" t="n">
        <x:f>O2086+S2086*(1-'Inputs'!$B$17)</x:f>
        <x:v>348496631605.3757</x:v>
      </x:c>
      <x:c r="V2086" s="78" t="n">
        <x:f>P2086-T2086</x:f>
        <x:v>0.34839949335654397</x:v>
      </x:c>
      <x:c r="W2086" s="79" t="n">
        <x:f>IF(U2086&gt;0,V2086/U2086,0)</x:f>
        <x:v>9.997212648845866e-13</x:v>
      </x:c>
      <x:c r="X2086" s="80" t="n">
        <x:f>W2086*('Inputs'!$B$6-AC2086)</x:f>
        <x:v>-0.023151279729799988</x:v>
      </x:c>
      <x:c r="Y2086" s="80" t="n">
        <x:f>2*V2086</x:f>
        <x:v>0.6967989867130879</x:v>
      </x:c>
      <x:c r="Z2086" s="80" t="n">
        <x:f>K2086*'Inputs'!$B$16+(G2086+R2086)*J2086*'Inputs'!$B$16</x:f>
        <x:v>0.003135607617919814</x:v>
      </x:c>
      <x:c r="AA2086" s="80" t="n">
        <x:f>K2086*(1+'Inputs'!$E$49)/2*'Inputs'!$B$17</x:f>
        <x:v>0.001019964666634123</x:v>
      </x:c>
      <x:c r="AB2086" s="78" t="n">
        <x:f>(IF(J2086&gt;0,K2086*(1-'Inputs'!$E$49)/2/J2086,0)+G2086+R2086)*'Inputs'!$B$17</x:f>
        <x:v>3287.6174291007874</x:v>
      </x:c>
      <x:c r="AC2086" s="78" t="n">
        <x:f>AC2085+AB2086</x:f>
        <x:v>24157734603.62744</x:v>
      </x:c>
      <x:c r="AD2086" s="80" t="n">
        <x:f>Z2086/(1+'Inputs'!$C$49)</x:f>
        <x:v>0.0007839019044799535</x:v>
      </x:c>
      <x:c r="AE2086" s="80" t="n">
        <x:f>Z2086-AD2086</x:f>
        <x:v>0.0023517057134398605</x:v>
      </x:c>
      <x:c r="AF2086" s="80" t="n">
        <x:f>D2086*W2086</x:f>
        <x:v>2.69183955377971e-7</x:v>
      </x:c>
      <x:c r="AG2086" s="80" t="n">
        <x:f>C2086*W2086</x:f>
        <x:v>6.280958958819175e-7</x:v>
      </x:c>
      <x:c r="AH2086" s="80" t="n">
        <x:f>2*'Inputs'!$B$8*'Inputs'!$C$49</x:f>
        <x:v>15000</x:v>
      </x:c>
      <x:c r="AI2086" s="81" t="n">
        <x:f>IF(AH2086&gt;0,(AE2086+AF2086)/AH2086*365,0)</x:f>
        <x:v>0.00005723138916995081</x:v>
      </x:c>
      <x:c r="AJ2086" s="81" t="n">
        <x:f>IF('Inputs'!$B$49&gt;0,AG2086/('Inputs'!$B$19*'Inputs'!$B$49)*365,0)</x:f>
        <x:v>2.292550019968999e-8</x:v>
      </x:c>
      <x:c r="AK2086" s="81" t="n">
        <x:f>W2086/MAX($W$1829:W2086)-1</x:f>
        <x:v>-0.999999998712064</x:v>
      </x:c>
      <x:c r="AL2086" s="83" t="n">
        <x:f>'Inputs'!$B$49</x:f>
        <x:v>1</x:v>
      </x:c>
      <x:c r="AM2086" s="83" t="n">
        <x:f>'Inputs'!$C$49</x:f>
        <x:v>3</x:v>
      </x:c>
      <x:c r="AN2086" s="83" t="n">
        <x:f>'Inputs'!$D$49</x:f>
        <x:v>0.75</x:v>
      </x:c>
      <x:c r="AO2086" s="81" t="n">
        <x:f>'Inputs'!$E$49</x:f>
        <x:v>-0.03</x:v>
      </x:c>
    </x:row>
    <x:row r="2087">
      <x:c r="A2087" s="59" t="str">
        <x:v>Mercenary LP</x:v>
      </x:c>
      <x:c r="B2087" s="59" t="n">
        <x:v>259</x:v>
      </x:c>
      <x:c r="C2087" s="78" t="n">
        <x:f>(('Inputs'!$B$29*(3*259*'Inputs'!$B$12-259^2)/(2*'Inputs'!$B$12^2))-('Inputs'!$B$29*(3*258*'Inputs'!$B$12-258^2)/(2*'Inputs'!$B$12^2)))*'Inputs'!$B$49</x:f>
        <x:v>627945.9091762006</x:v>
      </x:c>
      <x:c r="D2087" s="78" t="n">
        <x:f>IF('Inputs'!$C$49&gt;0,('Inputs'!$B$30*(3*259*'Inputs'!$B$12-259^2)/(2*'Inputs'!$B$12^2))-('Inputs'!$B$30*(3*258*'Inputs'!$B$12-258^2)/(2*'Inputs'!$B$12^2)),0)</x:f>
        <x:v>269119.67536123097</x:v>
      </x:c>
      <x:c r="E2087" s="78" t="n">
        <x:f>C2087+D2087</x:f>
        <x:v>897065.5845374316</x:v>
      </x:c>
      <x:c r="F2087" s="78" t="n">
        <x:f>'Inputs'!$B$13*E2087+(1-'Inputs'!$B$13)/'Inputs'!$B$14*SUM(E2032:E2087)</x:f>
        <x:v>907283.2613998865</x:v>
      </x:c>
      <x:c r="G2087" s="78" t="n">
        <x:f>F2087*'Inputs'!$F$49</x:f>
        <x:v>816554.9352598978</x:v>
      </x:c>
      <x:c r="H2087" s="78" t="n">
        <x:f>U2086</x:f>
        <x:v>348496631605.3757</x:v>
      </x:c>
      <x:c r="I2087" s="78" t="n">
        <x:f>V2086</x:f>
        <x:v>0.34839949335654397</x:v>
      </x:c>
      <x:c r="J2087" s="79" t="n">
        <x:f>IF(H2087&gt;0,I2087/H2087,0)</x:f>
        <x:v>9.997212648845866e-13</x:v>
      </x:c>
      <x:c r="K2087" s="80" t="n">
        <x:f>(H2087*J2087+I2087)*'Inputs'!$D$49*(1+'Inputs'!$G$49)^(B2087/30)</x:f>
        <x:v>0.522599240034816</x:v>
      </x:c>
      <x:c r="L2087" s="80" t="n">
        <x:f>MAX(0,K2087*'Inputs'!$E$49)</x:f>
        <x:v>0</x:v>
      </x:c>
      <x:c r="M2087" s="80" t="n">
        <x:f>MAX(0,-K2087*'Inputs'!$E$49)</x:f>
        <x:v>0.01567797720104448</x:v>
      </x:c>
      <x:c r="N2087" s="78" t="n">
        <x:f>H2087*(L2087*(1-'Inputs'!$B$15))/(I2087+L2087*(1-'Inputs'!$B$15))</x:f>
        <x:v>0</x:v>
      </x:c>
      <x:c r="O2087" s="78" t="n">
        <x:f>H2087-N2087</x:f>
        <x:v>348496631605.3757</x:v>
      </x:c>
      <x:c r="P2087" s="78" t="n">
        <x:f>I2087+L2087*(1-'Inputs'!$B$17)</x:f>
        <x:v>0.34839949335654397</x:v>
      </x:c>
      <x:c r="Q2087" s="78" t="n">
        <x:f>IF(J2087&gt;0,M2087/J2087,0)</x:f>
        <x:v>0</x:v>
      </x:c>
      <x:c r="R2087" s="78" t="n">
        <x:f>IF(B2087='Inputs'!$H$49,'Inputs'!$B$27*'Inputs'!$I$49,0)</x:f>
        <x:v>0</x:v>
      </x:c>
      <x:c r="S2087" s="78" t="n">
        <x:f>Q2087+G2087+R2087</x:f>
        <x:v>816554.9352598978</x:v>
      </x:c>
      <x:c r="T2087" s="78" t="n">
        <x:f>P2087*(S2087*(1-'Inputs'!$B$15))/(O2087+S2087*(1-'Inputs'!$B$15))</x:f>
        <x:v>8.081621847470216e-7</x:v>
      </x:c>
      <x:c r="U2087" s="78" t="n">
        <x:f>O2087+S2087*(1-'Inputs'!$B$17)</x:f>
        <x:v>348497444874.37555</x:v>
      </x:c>
      <x:c r="V2087" s="78" t="n">
        <x:f>P2087-T2087</x:f>
        <x:v>0.34839868519435924</x:v>
      </x:c>
      <x:c r="W2087" s="79" t="n">
        <x:f>IF(U2087&gt;0,V2087/U2087,0)</x:f>
        <x:v>9.997166129007003e-13</x:v>
      </x:c>
      <x:c r="X2087" s="80" t="n">
        <x:f>W2087*('Inputs'!$B$6-AC2087)</x:f>
        <x:v>-0.02315117528539593</x:v>
      </x:c>
      <x:c r="Y2087" s="80" t="n">
        <x:f>2*V2087</x:f>
        <x:v>0.6967973703887185</x:v>
      </x:c>
      <x:c r="Z2087" s="80" t="n">
        <x:f>K2087*'Inputs'!$B$16+(G2087+R2087)*J2087*'Inputs'!$B$16</x:f>
        <x:v>0.003135600338172892</x:v>
      </x:c>
      <x:c r="AA2087" s="80" t="n">
        <x:f>K2087*(1+'Inputs'!$E$49)/2*'Inputs'!$B$17</x:f>
        <x:v>0.0010199622994643291</x:v>
      </x:c>
      <x:c r="AB2087" s="78" t="n">
        <x:f>(IF(J2087&gt;0,K2087*(1-'Inputs'!$E$49)/2/J2087,0)+G2087+R2087)*'Inputs'!$B$17</x:f>
        <x:v>3285.935353158543</x:v>
      </x:c>
      <x:c r="AC2087" s="78" t="n">
        <x:f>AC2086+AB2087</x:f>
        <x:v>24157737889.562794</x:v>
      </x:c>
      <x:c r="AD2087" s="80" t="n">
        <x:f>Z2087/(1+'Inputs'!$C$49)</x:f>
        <x:v>0.000783900084543223</x:v>
      </x:c>
      <x:c r="AE2087" s="80" t="n">
        <x:f>Z2087-AD2087</x:f>
        <x:v>0.0023517002536296693</x:v>
      </x:c>
      <x:c r="AF2087" s="80" t="n">
        <x:f>D2087*W2087</x:f>
        <x:v>2.690434103170659e-7</x:v>
      </x:c>
      <x:c r="AG2087" s="80" t="n">
        <x:f>C2087*W2087</x:f>
        <x:v>6.277679574064821e-7</x:v>
      </x:c>
      <x:c r="AH2087" s="80" t="n">
        <x:f>2*'Inputs'!$B$8*'Inputs'!$C$49</x:f>
        <x:v>15000</x:v>
      </x:c>
      <x:c r="AI2087" s="81" t="n">
        <x:f>IF(AH2087&gt;0,(AE2087+AF2087)/AH2087*365,0)</x:f>
        <x:v>0.00005723125289463967</x:v>
      </x:c>
      <x:c r="AJ2087" s="81" t="n">
        <x:f>IF('Inputs'!$B$49&gt;0,AG2087/('Inputs'!$B$19*'Inputs'!$B$49)*365,0)</x:f>
        <x:v>2.2913530445336597e-8</x:v>
      </x:c>
      <x:c r="AK2087" s="81" t="n">
        <x:f>W2087/MAX($W$1829:W2087)-1</x:f>
        <x:v>-0.99999999871207</x:v>
      </x:c>
      <x:c r="AL2087" s="83" t="n">
        <x:f>'Inputs'!$B$49</x:f>
        <x:v>1</x:v>
      </x:c>
      <x:c r="AM2087" s="83" t="n">
        <x:f>'Inputs'!$C$49</x:f>
        <x:v>3</x:v>
      </x:c>
      <x:c r="AN2087" s="83" t="n">
        <x:f>'Inputs'!$D$49</x:f>
        <x:v>0.75</x:v>
      </x:c>
      <x:c r="AO2087" s="81" t="n">
        <x:f>'Inputs'!$E$49</x:f>
        <x:v>-0.03</x:v>
      </x:c>
    </x:row>
    <x:row r="2088">
      <x:c r="A2088" s="59" t="str">
        <x:v>Mercenary LP</x:v>
      </x:c>
      <x:c r="B2088" s="59" t="n">
        <x:v>260</x:v>
      </x:c>
      <x:c r="C2088" s="78" t="n">
        <x:f>(('Inputs'!$B$29*(3*260*'Inputs'!$B$12-260^2)/(2*'Inputs'!$B$12^2))-('Inputs'!$B$29*(3*259*'Inputs'!$B$12-259^2)/(2*'Inputs'!$B$12^2)))*'Inputs'!$B$49</x:f>
        <x:v>627620.8012760282</x:v>
      </x:c>
      <x:c r="D2088" s="78" t="n">
        <x:f>IF('Inputs'!$C$49&gt;0,('Inputs'!$B$30*(3*260*'Inputs'!$B$12-260^2)/(2*'Inputs'!$B$12^2))-('Inputs'!$B$30*(3*259*'Inputs'!$B$12-259^2)/(2*'Inputs'!$B$12^2)),0)</x:f>
        <x:v>268980.34340400994</x:v>
      </x:c>
      <x:c r="E2088" s="78" t="n">
        <x:f>C2088+D2088</x:f>
        <x:v>896601.1446800381</x:v>
      </x:c>
      <x:c r="F2088" s="78" t="n">
        <x:f>'Inputs'!$B$13*E2088+(1-'Inputs'!$B$13)/'Inputs'!$B$14*SUM(E2033:E2088)</x:f>
        <x:v>906818.8215425004</x:v>
      </x:c>
      <x:c r="G2088" s="78" t="n">
        <x:f>F2088*'Inputs'!$F$49</x:f>
        <x:v>816136.9393882504</x:v>
      </x:c>
      <x:c r="H2088" s="78" t="n">
        <x:f>U2087</x:f>
        <x:v>348497444874.37555</x:v>
      </x:c>
      <x:c r="I2088" s="78" t="n">
        <x:f>V2087</x:f>
        <x:v>0.34839868519435924</x:v>
      </x:c>
      <x:c r="J2088" s="79" t="n">
        <x:f>IF(H2088&gt;0,I2088/H2088,0)</x:f>
        <x:v>9.997166129007003e-13</x:v>
      </x:c>
      <x:c r="K2088" s="80" t="n">
        <x:f>(H2088*J2088+I2088)*'Inputs'!$D$49*(1+'Inputs'!$G$49)^(B2088/30)</x:f>
        <x:v>0.5225980277915389</x:v>
      </x:c>
      <x:c r="L2088" s="80" t="n">
        <x:f>MAX(0,K2088*'Inputs'!$E$49)</x:f>
        <x:v>0</x:v>
      </x:c>
      <x:c r="M2088" s="80" t="n">
        <x:f>MAX(0,-K2088*'Inputs'!$E$49)</x:f>
        <x:v>0.015677940833746164</x:v>
      </x:c>
      <x:c r="N2088" s="78" t="n">
        <x:f>H2088*(L2088*(1-'Inputs'!$B$15))/(I2088+L2088*(1-'Inputs'!$B$15))</x:f>
        <x:v>0</x:v>
      </x:c>
      <x:c r="O2088" s="78" t="n">
        <x:f>H2088-N2088</x:f>
        <x:v>348497444874.37555</x:v>
      </x:c>
      <x:c r="P2088" s="78" t="n">
        <x:f>I2088+L2088*(1-'Inputs'!$B$17)</x:f>
        <x:v>0.34839868519435924</x:v>
      </x:c>
      <x:c r="Q2088" s="78" t="n">
        <x:f>IF(J2088&gt;0,M2088/J2088,0)</x:f>
        <x:v>0</x:v>
      </x:c>
      <x:c r="R2088" s="78" t="n">
        <x:f>IF(B2088='Inputs'!$H$49,'Inputs'!$B$27*'Inputs'!$I$49,0)</x:f>
        <x:v>0</x:v>
      </x:c>
      <x:c r="S2088" s="78" t="n">
        <x:f>Q2088+G2088+R2088</x:f>
        <x:v>816136.9393882504</x:v>
      </x:c>
      <x:c r="T2088" s="78" t="n">
        <x:f>P2088*(S2088*(1-'Inputs'!$B$15))/(O2088+S2088*(1-'Inputs'!$B$15))</x:f>
        <x:v>8.077447274216507e-7</x:v>
      </x:c>
      <x:c r="U2088" s="78" t="n">
        <x:f>O2088+S2088*(1-'Inputs'!$B$17)</x:f>
        <x:v>348498257727.06165</x:v>
      </x:c>
      <x:c r="V2088" s="78" t="n">
        <x:f>P2088-T2088</x:f>
        <x:v>0.3483978774496318</x:v>
      </x:c>
      <x:c r="W2088" s="79" t="n">
        <x:f>IF(U2088&gt;0,V2088/U2088,0)</x:f>
        <x:v>9.997119633306504e-13</x:v>
      </x:c>
      <x:c r="X2088" s="80" t="n">
        <x:f>W2088*('Inputs'!$B$6-AC2088)</x:f>
        <x:v>-0.023151070895178705</x:v>
      </x:c>
      <x:c r="Y2088" s="80" t="n">
        <x:f>2*V2088</x:f>
        <x:v>0.6967957548992636</x:v>
      </x:c>
      <x:c r="Z2088" s="80" t="n">
        <x:f>K2088*'Inputs'!$B$16+(G2088+R2088)*J2088*'Inputs'!$B$16</x:f>
        <x:v>0.0031355930621831734</x:v>
      </x:c>
      <x:c r="AA2088" s="80" t="n">
        <x:f>K2088*(1+'Inputs'!$E$49)/2*'Inputs'!$B$17</x:f>
        <x:v>0.0010199599335166856</x:v>
      </x:c>
      <x:c r="AB2088" s="78" t="n">
        <x:f>(IF(J2088&gt;0,K2088*(1-'Inputs'!$E$49)/2/J2088,0)+G2088+R2088)*'Inputs'!$B$17</x:f>
        <x:v>3284.2532772162995</x:v>
      </x:c>
      <x:c r="AC2088" s="78" t="n">
        <x:f>AC2087+AB2088</x:f>
        <x:v>24157741173.81607</x:v>
      </x:c>
      <x:c r="AD2088" s="80" t="n">
        <x:f>Z2088/(1+'Inputs'!$C$49)</x:f>
        <x:v>0.0007838982655457934</x:v>
      </x:c>
      <x:c r="AE2088" s="80" t="n">
        <x:f>Z2088-AD2088</x:f>
        <x:v>0.00235169479663738</x:v>
      </x:c>
      <x:c r="AF2088" s="80" t="n">
        <x:f>D2088*W2088</x:f>
        <x:v>2.689028672017753e-7</x:v>
      </x:c>
      <x:c r="AG2088" s="80" t="n">
        <x:f>C2088*W2088</x:f>
        <x:v>6.274400234708141e-7</x:v>
      </x:c>
      <x:c r="AH2088" s="80" t="n">
        <x:f>2*'Inputs'!$B$8*'Inputs'!$C$49</x:f>
        <x:v>15000</x:v>
      </x:c>
      <x:c r="AI2088" s="81" t="n">
        <x:f>IF(AH2088&gt;0,(AE2088+AF2088)/AH2088*365,0)</x:f>
        <x:v>0.00005723111668794482</x:v>
      </x:c>
      <x:c r="AJ2088" s="81" t="n">
        <x:f>IF('Inputs'!$B$49&gt;0,AG2088/('Inputs'!$B$19*'Inputs'!$B$49)*365,0)</x:f>
        <x:v>2.2901560856684713e-8</x:v>
      </x:c>
      <x:c r="AK2088" s="81" t="n">
        <x:f>W2088/MAX($W$1829:W2088)-1</x:f>
        <x:v>-0.999999998712076</x:v>
      </x:c>
      <x:c r="AL2088" s="83" t="n">
        <x:f>'Inputs'!$B$49</x:f>
        <x:v>1</x:v>
      </x:c>
      <x:c r="AM2088" s="83" t="n">
        <x:f>'Inputs'!$C$49</x:f>
        <x:v>3</x:v>
      </x:c>
      <x:c r="AN2088" s="83" t="n">
        <x:f>'Inputs'!$D$49</x:f>
        <x:v>0.75</x:v>
      </x:c>
      <x:c r="AO2088" s="81" t="n">
        <x:f>'Inputs'!$E$49</x:f>
        <x:v>-0.03</x:v>
      </x:c>
    </x:row>
    <x:row r="2089">
      <x:c r="A2089" s="59" t="str">
        <x:v>Mercenary LP</x:v>
      </x:c>
      <x:c r="B2089" s="59" t="n">
        <x:v>261</x:v>
      </x:c>
      <x:c r="C2089" s="78" t="n">
        <x:f>(('Inputs'!$B$29*(3*261*'Inputs'!$B$12-261^2)/(2*'Inputs'!$B$12^2))-('Inputs'!$B$29*(3*260*'Inputs'!$B$12-260^2)/(2*'Inputs'!$B$12^2)))*'Inputs'!$B$49</x:f>
        <x:v>627295.6933758855</x:v>
      </x:c>
      <x:c r="D2089" s="78" t="n">
        <x:f>IF('Inputs'!$C$49&gt;0,('Inputs'!$B$30*(3*261*'Inputs'!$B$12-261^2)/(2*'Inputs'!$B$12^2))-('Inputs'!$B$30*(3*260*'Inputs'!$B$12-260^2)/(2*'Inputs'!$B$12^2)),0)</x:f>
        <x:v>268841.0114468038</x:v>
      </x:c>
      <x:c r="E2089" s="78" t="n">
        <x:f>C2089+D2089</x:f>
        <x:v>896136.7048226893</x:v>
      </x:c>
      <x:c r="F2089" s="78" t="n">
        <x:f>'Inputs'!$B$13*E2089+(1-'Inputs'!$B$13)/'Inputs'!$B$14*SUM(E2034:E2089)</x:f>
        <x:v>906354.3816851235</x:v>
      </x:c>
      <x:c r="G2089" s="78" t="n">
        <x:f>F2089*'Inputs'!$F$49</x:f>
        <x:v>815718.9435166112</x:v>
      </x:c>
      <x:c r="H2089" s="78" t="n">
        <x:f>U2088</x:f>
        <x:v>348498257727.06165</x:v>
      </x:c>
      <x:c r="I2089" s="78" t="n">
        <x:f>V2088</x:f>
        <x:v>0.3483978774496318</x:v>
      </x:c>
      <x:c r="J2089" s="79" t="n">
        <x:f>IF(H2089&gt;0,I2089/H2089,0)</x:f>
        <x:v>9.997119633306504e-13</x:v>
      </x:c>
      <x:c r="K2089" s="80" t="n">
        <x:f>(H2089*J2089+I2089)*'Inputs'!$D$49*(1+'Inputs'!$G$49)^(B2089/30)</x:f>
        <x:v>0.5225968161744476</x:v>
      </x:c>
      <x:c r="L2089" s="80" t="n">
        <x:f>MAX(0,K2089*'Inputs'!$E$49)</x:f>
        <x:v>0</x:v>
      </x:c>
      <x:c r="M2089" s="80" t="n">
        <x:f>MAX(0,-K2089*'Inputs'!$E$49)</x:f>
        <x:v>0.01567790448523343</x:v>
      </x:c>
      <x:c r="N2089" s="78" t="n">
        <x:f>H2089*(L2089*(1-'Inputs'!$B$15))/(I2089+L2089*(1-'Inputs'!$B$15))</x:f>
        <x:v>0</x:v>
      </x:c>
      <x:c r="O2089" s="78" t="n">
        <x:f>H2089-N2089</x:f>
        <x:v>348498257727.06165</x:v>
      </x:c>
      <x:c r="P2089" s="78" t="n">
        <x:f>I2089+L2089*(1-'Inputs'!$B$17)</x:f>
        <x:v>0.3483978774496318</x:v>
      </x:c>
      <x:c r="Q2089" s="78" t="n">
        <x:f>IF(J2089&gt;0,M2089/J2089,0)</x:f>
        <x:v>0</x:v>
      </x:c>
      <x:c r="R2089" s="78" t="n">
        <x:f>IF(B2089='Inputs'!$H$49,'Inputs'!$B$27*'Inputs'!$I$49,0)</x:f>
        <x:v>0</x:v>
      </x:c>
      <x:c r="S2089" s="78" t="n">
        <x:f>Q2089+G2089+R2089</x:f>
        <x:v>815718.9435166112</x:v>
      </x:c>
      <x:c r="T2089" s="78" t="n">
        <x:f>P2089*(S2089*(1-'Inputs'!$B$15))/(O2089+S2089*(1-'Inputs'!$B$15))</x:f>
        <x:v>8.073272758947237e-7</x:v>
      </x:c>
      <x:c r="U2089" s="78" t="n">
        <x:f>O2089+S2089*(1-'Inputs'!$B$17)</x:f>
        <x:v>348499070163.43396</x:v>
      </x:c>
      <x:c r="V2089" s="78" t="n">
        <x:f>P2089-T2089</x:f>
        <x:v>0.3483970701223559</x:v>
      </x:c>
      <x:c r="W2089" s="79" t="n">
        <x:f>IF(U2089&gt;0,V2089/U2089,0)</x:f>
        <x:v>9.997073161743868e-13</x:v>
      </x:c>
      <x:c r="X2089" s="80" t="n">
        <x:f>W2089*('Inputs'!$B$6-AC2089)</x:f>
        <x:v>-0.023150966559147203</x:v>
      </x:c>
      <x:c r="Y2089" s="80" t="n">
        <x:f>2*V2089</x:f>
        <x:v>0.6967941402447118</x:v>
      </x:c>
      <x:c r="Z2089" s="80" t="n">
        <x:f>K2089*'Inputs'!$B$16+(G2089+R2089)*J2089*'Inputs'!$B$16</x:f>
        <x:v>0.003135585789950605</x:v>
      </x:c>
      <x:c r="AA2089" s="80" t="n">
        <x:f>K2089*(1+'Inputs'!$E$49)/2*'Inputs'!$B$17</x:f>
        <x:v>0.0010199575687911756</x:v>
      </x:c>
      <x:c r="AB2089" s="78" t="n">
        <x:f>(IF(J2089&gt;0,K2089*(1-'Inputs'!$E$49)/2/J2089,0)+G2089+R2089)*'Inputs'!$B$17</x:f>
        <x:v>3282.5712012740896</x:v>
      </x:c>
      <x:c r="AC2089" s="78" t="n">
        <x:f>AC2088+AB2089</x:f>
        <x:v>24157744456.38727</x:v>
      </x:c>
      <x:c r="AD2089" s="80" t="n">
        <x:f>Z2089/(1+'Inputs'!$C$49)</x:f>
        <x:v>0.0007838964474876513</x:v>
      </x:c>
      <x:c r="AE2089" s="80" t="n">
        <x:f>Z2089-AD2089</x:f>
        <x:v>0.002351689342462954</x:v>
      </x:c>
      <x:c r="AF2089" s="80" t="n">
        <x:f>D2089*W2089</x:f>
        <x:v>2.687623260310918e-7</x:v>
      </x:c>
      <x:c r="AG2089" s="80" t="n">
        <x:f>C2089*W2089</x:f>
        <x:v>6.271120940725575e-7</x:v>
      </x:c>
      <x:c r="AH2089" s="80" t="n">
        <x:f>2*'Inputs'!$B$8*'Inputs'!$C$49</x:f>
        <x:v>15000</x:v>
      </x:c>
      <x:c r="AI2089" s="81" t="n">
        <x:f>IF(AH2089&gt;0,(AE2089+AF2089)/AH2089*365,0)</x:f>
        <x:v>0.00005723098054986531</x:v>
      </x:c>
      <x:c r="AJ2089" s="81" t="n">
        <x:f>IF('Inputs'!$B$49&gt;0,AG2089/('Inputs'!$B$19*'Inputs'!$B$49)*365,0)</x:f>
        <x:v>2.2889591433648348e-8</x:v>
      </x:c>
      <x:c r="AK2089" s="81" t="n">
        <x:f>W2089/MAX($W$1829:W2089)-1</x:f>
        <x:v>-0.999999998712082</x:v>
      </x:c>
      <x:c r="AL2089" s="83" t="n">
        <x:f>'Inputs'!$B$49</x:f>
        <x:v>1</x:v>
      </x:c>
      <x:c r="AM2089" s="83" t="n">
        <x:f>'Inputs'!$C$49</x:f>
        <x:v>3</x:v>
      </x:c>
      <x:c r="AN2089" s="83" t="n">
        <x:f>'Inputs'!$D$49</x:f>
        <x:v>0.75</x:v>
      </x:c>
      <x:c r="AO2089" s="81" t="n">
        <x:f>'Inputs'!$E$49</x:f>
        <x:v>-0.03</x:v>
      </x:c>
    </x:row>
    <x:row r="2090">
      <x:c r="A2090" s="59" t="str">
        <x:v>Mercenary LP</x:v>
      </x:c>
      <x:c r="B2090" s="59" t="n">
        <x:v>262</x:v>
      </x:c>
      <x:c r="C2090" s="78" t="n">
        <x:f>(('Inputs'!$B$29*(3*262*'Inputs'!$B$12-262^2)/(2*'Inputs'!$B$12^2))-('Inputs'!$B$29*(3*261*'Inputs'!$B$12-261^2)/(2*'Inputs'!$B$12^2)))*'Inputs'!$B$49</x:f>
        <x:v>626970.5854756832</x:v>
      </x:c>
      <x:c r="D2090" s="78" t="n">
        <x:f>IF('Inputs'!$C$49&gt;0,('Inputs'!$B$30*(3*262*'Inputs'!$B$12-262^2)/(2*'Inputs'!$B$12^2))-('Inputs'!$B$30*(3*261*'Inputs'!$B$12-261^2)/(2*'Inputs'!$B$12^2)),0)</x:f>
        <x:v>268701.6794895828</x:v>
      </x:c>
      <x:c r="E2090" s="78" t="n">
        <x:f>C2090+D2090</x:f>
        <x:v>895672.264965266</x:v>
      </x:c>
      <x:c r="F2090" s="78" t="n">
        <x:f>'Inputs'!$B$13*E2090+(1-'Inputs'!$B$13)/'Inputs'!$B$14*SUM(E2035:E2090)</x:f>
        <x:v>905889.9418277313</x:v>
      </x:c>
      <x:c r="G2090" s="78" t="n">
        <x:f>F2090*'Inputs'!$F$49</x:f>
        <x:v>815300.9476449582</x:v>
      </x:c>
      <x:c r="H2090" s="78" t="n">
        <x:f>U2089</x:f>
        <x:v>348499070163.43396</x:v>
      </x:c>
      <x:c r="I2090" s="78" t="n">
        <x:f>V2089</x:f>
        <x:v>0.3483970701223559</x:v>
      </x:c>
      <x:c r="J2090" s="79" t="n">
        <x:f>IF(H2090&gt;0,I2090/H2090,0)</x:f>
        <x:v>9.997073161743868e-13</x:v>
      </x:c>
      <x:c r="K2090" s="80" t="n">
        <x:f>(H2090*J2090+I2090)*'Inputs'!$D$49*(1+'Inputs'!$G$49)^(B2090/30)</x:f>
        <x:v>0.5225956051835339</x:v>
      </x:c>
      <x:c r="L2090" s="80" t="n">
        <x:f>MAX(0,K2090*'Inputs'!$E$49)</x:f>
        <x:v>0</x:v>
      </x:c>
      <x:c r="M2090" s="80" t="n">
        <x:f>MAX(0,-K2090*'Inputs'!$E$49)</x:f>
        <x:v>0.015677868155506015</x:v>
      </x:c>
      <x:c r="N2090" s="78" t="n">
        <x:f>H2090*(L2090*(1-'Inputs'!$B$15))/(I2090+L2090*(1-'Inputs'!$B$15))</x:f>
        <x:v>0</x:v>
      </x:c>
      <x:c r="O2090" s="78" t="n">
        <x:f>H2090-N2090</x:f>
        <x:v>348499070163.43396</x:v>
      </x:c>
      <x:c r="P2090" s="78" t="n">
        <x:f>I2090+L2090*(1-'Inputs'!$B$17)</x:f>
        <x:v>0.3483970701223559</x:v>
      </x:c>
      <x:c r="Q2090" s="78" t="n">
        <x:f>IF(J2090&gt;0,M2090/J2090,0)</x:f>
        <x:v>0</x:v>
      </x:c>
      <x:c r="R2090" s="78" t="n">
        <x:f>IF(B2090='Inputs'!$H$49,'Inputs'!$B$27*'Inputs'!$I$49,0)</x:f>
        <x:v>0</x:v>
      </x:c>
      <x:c r="S2090" s="78" t="n">
        <x:f>Q2090+G2090+R2090</x:f>
        <x:v>815300.9476449582</x:v>
      </x:c>
      <x:c r="T2090" s="78" t="n">
        <x:f>P2090*(S2090*(1-'Inputs'!$B$15))/(O2090+S2090*(1-'Inputs'!$B$15))</x:f>
        <x:v>8.069098301631814e-7</x:v>
      </x:c>
      <x:c r="U2090" s="78" t="n">
        <x:f>O2090+S2090*(1-'Inputs'!$B$17)</x:f>
        <x:v>348499882183.4925</x:v>
      </x:c>
      <x:c r="V2090" s="78" t="n">
        <x:f>P2090-T2090</x:f>
        <x:v>0.3483962632125257</x:v>
      </x:c>
      <x:c r="W2090" s="79" t="n">
        <x:f>IF(U2090&gt;0,V2090/U2090,0)</x:f>
        <x:v>9.997026714318593e-13</x:v>
      </x:c>
      <x:c r="X2090" s="80" t="n">
        <x:f>W2090*('Inputs'!$B$6-AC2090)</x:f>
        <x:v>-0.02315086227730031</x:v>
      </x:c>
      <x:c r="Y2090" s="80" t="n">
        <x:f>2*V2090</x:f>
        <x:v>0.6967925264250514</x:v>
      </x:c>
      <x:c r="Z2090" s="80" t="n">
        <x:f>K2090*'Inputs'!$B$16+(G2090+R2090)*J2090*'Inputs'!$B$16</x:f>
        <x:v>0.003135578521475137</x:v>
      </x:c>
      <x:c r="AA2090" s="80" t="n">
        <x:f>K2090*(1+'Inputs'!$E$49)/2*'Inputs'!$B$17</x:f>
        <x:v>0.0010199552052877826</x:v>
      </x:c>
      <x:c r="AB2090" s="78" t="n">
        <x:f>(IF(J2090&gt;0,K2090*(1-'Inputs'!$E$49)/2/J2090,0)+G2090+R2090)*'Inputs'!$B$17</x:f>
        <x:v>3280.889125331824</x:v>
      </x:c>
      <x:c r="AC2090" s="78" t="n">
        <x:f>AC2089+AB2090</x:f>
        <x:v>24157747737.276398</x:v>
      </x:c>
      <x:c r="AD2090" s="80" t="n">
        <x:f>Z2090/(1+'Inputs'!$C$49)</x:f>
        <x:v>0.0007838946303687842</x:v>
      </x:c>
      <x:c r="AE2090" s="80" t="n">
        <x:f>Z2090-AD2090</x:f>
        <x:v>0.0023516838911063526</x:v>
      </x:c>
      <x:c r="AF2090" s="80" t="n">
        <x:f>D2090*W2090</x:f>
        <x:v>2.686217868039631e-7</x:v>
      </x:c>
      <x:c r="AG2090" s="80" t="n">
        <x:f>C2090*W2090</x:f>
        <x:v>6.267841692092374e-7</x:v>
      </x:c>
      <x:c r="AH2090" s="80" t="n">
        <x:f>2*'Inputs'!$B$8*'Inputs'!$C$49</x:f>
        <x:v>15000</x:v>
      </x:c>
      <x:c r="AI2090" s="81" t="n">
        <x:f>IF(AH2090&gt;0,(AE2090+AF2090)/AH2090*365,0)</x:f>
        <x:v>0.00005723084448040014</x:v>
      </x:c>
      <x:c r="AJ2090" s="81" t="n">
        <x:f>IF('Inputs'!$B$49&gt;0,AG2090/('Inputs'!$B$19*'Inputs'!$B$49)*365,0)</x:f>
        <x:v>2.2877622176137163e-8</x:v>
      </x:c>
      <x:c r="AK2090" s="81" t="n">
        <x:f>W2090/MAX($W$1829:W2090)-1</x:f>
        <x:v>-0.999999998712088</x:v>
      </x:c>
      <x:c r="AL2090" s="83" t="n">
        <x:f>'Inputs'!$B$49</x:f>
        <x:v>1</x:v>
      </x:c>
      <x:c r="AM2090" s="83" t="n">
        <x:f>'Inputs'!$C$49</x:f>
        <x:v>3</x:v>
      </x:c>
      <x:c r="AN2090" s="83" t="n">
        <x:f>'Inputs'!$D$49</x:f>
        <x:v>0.75</x:v>
      </x:c>
      <x:c r="AO2090" s="81" t="n">
        <x:f>'Inputs'!$E$49</x:f>
        <x:v>-0.03</x:v>
      </x:c>
    </x:row>
    <x:row r="2091">
      <x:c r="A2091" s="59" t="str">
        <x:v>Mercenary LP</x:v>
      </x:c>
      <x:c r="B2091" s="59" t="n">
        <x:v>263</x:v>
      </x:c>
      <x:c r="C2091" s="78" t="n">
        <x:f>(('Inputs'!$B$29*(3*263*'Inputs'!$B$12-263^2)/(2*'Inputs'!$B$12^2))-('Inputs'!$B$29*(3*262*'Inputs'!$B$12-262^2)/(2*'Inputs'!$B$12^2)))*'Inputs'!$B$49</x:f>
        <x:v>626645.4775755405</x:v>
      </x:c>
      <x:c r="D2091" s="78" t="n">
        <x:f>IF('Inputs'!$C$49&gt;0,('Inputs'!$B$30*(3*263*'Inputs'!$B$12-263^2)/(2*'Inputs'!$B$12^2))-('Inputs'!$B$30*(3*262*'Inputs'!$B$12-262^2)/(2*'Inputs'!$B$12^2)),0)</x:f>
        <x:v>268562.34753237665</x:v>
      </x:c>
      <x:c r="E2091" s="78" t="n">
        <x:f>C2091+D2091</x:f>
        <x:v>895207.8251079172</x:v>
      </x:c>
      <x:c r="F2091" s="78" t="n">
        <x:f>'Inputs'!$B$13*E2091+(1-'Inputs'!$B$13)/'Inputs'!$B$14*SUM(E2036:E2091)</x:f>
        <x:v>905425.5019703544</x:v>
      </x:c>
      <x:c r="G2091" s="78" t="n">
        <x:f>F2091*'Inputs'!$F$49</x:f>
        <x:v>814882.9517733189</x:v>
      </x:c>
      <x:c r="H2091" s="78" t="n">
        <x:f>U2090</x:f>
        <x:v>348499882183.4925</x:v>
      </x:c>
      <x:c r="I2091" s="78" t="n">
        <x:f>V2090</x:f>
        <x:v>0.3483962632125257</x:v>
      </x:c>
      <x:c r="J2091" s="79" t="n">
        <x:f>IF(H2091&gt;0,I2091/H2091,0)</x:f>
        <x:v>9.997026714318593e-13</x:v>
      </x:c>
      <x:c r="K2091" s="80" t="n">
        <x:f>(H2091*J2091+I2091)*'Inputs'!$D$49*(1+'Inputs'!$G$49)^(B2091/30)</x:f>
        <x:v>0.5225943948187886</x:v>
      </x:c>
      <x:c r="L2091" s="80" t="n">
        <x:f>MAX(0,K2091*'Inputs'!$E$49)</x:f>
        <x:v>0</x:v>
      </x:c>
      <x:c r="M2091" s="80" t="n">
        <x:f>MAX(0,-K2091*'Inputs'!$E$49)</x:f>
        <x:v>0.015677831844563655</x:v>
      </x:c>
      <x:c r="N2091" s="78" t="n">
        <x:f>H2091*(L2091*(1-'Inputs'!$B$15))/(I2091+L2091*(1-'Inputs'!$B$15))</x:f>
        <x:v>0</x:v>
      </x:c>
      <x:c r="O2091" s="78" t="n">
        <x:f>H2091-N2091</x:f>
        <x:v>348499882183.4925</x:v>
      </x:c>
      <x:c r="P2091" s="78" t="n">
        <x:f>I2091+L2091*(1-'Inputs'!$B$17)</x:f>
        <x:v>0.3483962632125257</x:v>
      </x:c>
      <x:c r="Q2091" s="78" t="n">
        <x:f>IF(J2091&gt;0,M2091/J2091,0)</x:f>
        <x:v>0</x:v>
      </x:c>
      <x:c r="R2091" s="78" t="n">
        <x:f>IF(B2091='Inputs'!$H$49,'Inputs'!$B$27*'Inputs'!$I$49,0)</x:f>
        <x:v>0</x:v>
      </x:c>
      <x:c r="S2091" s="78" t="n">
        <x:f>Q2091+G2091+R2091</x:f>
        <x:v>814882.9517733189</x:v>
      </x:c>
      <x:c r="T2091" s="78" t="n">
        <x:f>P2091*(S2091*(1-'Inputs'!$B$15))/(O2091+S2091*(1-'Inputs'!$B$15))</x:f>
        <x:v>8.064923902240149e-7</x:v>
      </x:c>
      <x:c r="U2091" s="78" t="n">
        <x:f>O2091+S2091*(1-'Inputs'!$B$17)</x:f>
        <x:v>348500693787.23724</x:v>
      </x:c>
      <x:c r="V2091" s="78" t="n">
        <x:f>P2091-T2091</x:f>
        <x:v>0.3483954567201355</x:v>
      </x:c>
      <x:c r="W2091" s="79" t="n">
        <x:f>IF(U2091&gt;0,V2091/U2091,0)</x:f>
        <x:v>9.996980291030181e-13</x:v>
      </x:c>
      <x:c r="X2091" s="80" t="n">
        <x:f>W2091*('Inputs'!$B$6-AC2091)</x:f>
        <x:v>-0.023150758049636917</x:v>
      </x:c>
      <x:c r="Y2091" s="80" t="n">
        <x:f>2*V2091</x:f>
        <x:v>0.696790913440271</x:v>
      </x:c>
      <x:c r="Z2091" s="80" t="n">
        <x:f>K2091*'Inputs'!$B$16+(G2091+R2091)*J2091*'Inputs'!$B$16</x:f>
        <x:v>0.003135571256756714</x:v>
      </x:c>
      <x:c r="AA2091" s="80" t="n">
        <x:f>K2091*(1+'Inputs'!$E$49)/2*'Inputs'!$B$17</x:f>
        <x:v>0.0010199528430064888</x:v>
      </x:c>
      <x:c r="AB2091" s="78" t="n">
        <x:f>(IF(J2091&gt;0,K2091*(1-'Inputs'!$E$49)/2/J2091,0)+G2091+R2091)*'Inputs'!$B$17</x:f>
        <x:v>3279.2070493896135</x:v>
      </x:c>
      <x:c r="AC2091" s="78" t="n">
        <x:f>AC2090+AB2091</x:f>
        <x:v>24157751016.483448</x:v>
      </x:c>
      <x:c r="AD2091" s="80" t="n">
        <x:f>Z2091/(1+'Inputs'!$C$49)</x:f>
        <x:v>0.0007838928141891785</x:v>
      </x:c>
      <x:c r="AE2091" s="80" t="n">
        <x:f>Z2091-AD2091</x:f>
        <x:v>0.002351678442567536</x:v>
      </x:c>
      <x:c r="AF2091" s="80" t="n">
        <x:f>D2091*W2091</x:f>
        <x:v>2.6848124951939675e-7</x:v>
      </x:c>
      <x:c r="AG2091" s="80" t="n">
        <x:f>C2091*W2091</x:f>
        <x:v>6.264562488785874e-7</x:v>
      </x:c>
      <x:c r="AH2091" s="80" t="n">
        <x:f>2*'Inputs'!$B$8*'Inputs'!$C$49</x:f>
        <x:v>15000</x:v>
      </x:c>
      <x:c r="AI2091" s="81" t="n">
        <x:f>IF(AH2091&gt;0,(AE2091+AF2091)/AH2091*365,0)</x:f>
        <x:v>0.00005723070847954834</x:v>
      </x:c>
      <x:c r="AJ2091" s="81" t="n">
        <x:f>IF('Inputs'!$B$49&gt;0,AG2091/('Inputs'!$B$19*'Inputs'!$B$49)*365,0)</x:f>
        <x:v>2.286565308406844e-8</x:v>
      </x:c>
      <x:c r="AK2091" s="81" t="n">
        <x:f>W2091/MAX($W$1829:W2091)-1</x:f>
        <x:v>-0.999999998712094</x:v>
      </x:c>
      <x:c r="AL2091" s="83" t="n">
        <x:f>'Inputs'!$B$49</x:f>
        <x:v>1</x:v>
      </x:c>
      <x:c r="AM2091" s="83" t="n">
        <x:f>'Inputs'!$C$49</x:f>
        <x:v>3</x:v>
      </x:c>
      <x:c r="AN2091" s="83" t="n">
        <x:f>'Inputs'!$D$49</x:f>
        <x:v>0.75</x:v>
      </x:c>
      <x:c r="AO2091" s="81" t="n">
        <x:f>'Inputs'!$E$49</x:f>
        <x:v>-0.03</x:v>
      </x:c>
    </x:row>
    <x:row r="2092">
      <x:c r="A2092" s="59" t="str">
        <x:v>Mercenary LP</x:v>
      </x:c>
      <x:c r="B2092" s="59" t="n">
        <x:v>264</x:v>
      </x:c>
      <x:c r="C2092" s="78" t="n">
        <x:f>(('Inputs'!$B$29*(3*264*'Inputs'!$B$12-264^2)/(2*'Inputs'!$B$12^2))-('Inputs'!$B$29*(3*263*'Inputs'!$B$12-263^2)/(2*'Inputs'!$B$12^2)))*'Inputs'!$B$49</x:f>
        <x:v>626320.3696753681</x:v>
      </x:c>
      <x:c r="D2092" s="78" t="n">
        <x:f>IF('Inputs'!$C$49&gt;0,('Inputs'!$B$30*(3*264*'Inputs'!$B$12-264^2)/(2*'Inputs'!$B$12^2))-('Inputs'!$B$30*(3*263*'Inputs'!$B$12-263^2)/(2*'Inputs'!$B$12^2)),0)</x:f>
        <x:v>268423.0155751556</x:v>
      </x:c>
      <x:c r="E2092" s="78" t="n">
        <x:f>C2092+D2092</x:f>
        <x:v>894743.3852505237</x:v>
      </x:c>
      <x:c r="F2092" s="78" t="n">
        <x:f>'Inputs'!$B$13*E2092+(1-'Inputs'!$B$13)/'Inputs'!$B$14*SUM(E2037:E2092)</x:f>
        <x:v>904961.0621129684</x:v>
      </x:c>
      <x:c r="G2092" s="78" t="n">
        <x:f>F2092*'Inputs'!$F$49</x:f>
        <x:v>814464.9559016716</x:v>
      </x:c>
      <x:c r="H2092" s="78" t="n">
        <x:f>U2091</x:f>
        <x:v>348500693787.23724</x:v>
      </x:c>
      <x:c r="I2092" s="78" t="n">
        <x:f>V2091</x:f>
        <x:v>0.3483954567201355</x:v>
      </x:c>
      <x:c r="J2092" s="79" t="n">
        <x:f>IF(H2092&gt;0,I2092/H2092,0)</x:f>
        <x:v>9.996980291030181e-13</x:v>
      </x:c>
      <x:c r="K2092" s="80" t="n">
        <x:f>(H2092*J2092+I2092)*'Inputs'!$D$49*(1+'Inputs'!$G$49)^(B2092/30)</x:f>
        <x:v>0.5225931850802032</x:v>
      </x:c>
      <x:c r="L2092" s="80" t="n">
        <x:f>MAX(0,K2092*'Inputs'!$E$49)</x:f>
        <x:v>0</x:v>
      </x:c>
      <x:c r="M2092" s="80" t="n">
        <x:f>MAX(0,-K2092*'Inputs'!$E$49)</x:f>
        <x:v>0.015677795552406098</x:v>
      </x:c>
      <x:c r="N2092" s="78" t="n">
        <x:f>H2092*(L2092*(1-'Inputs'!$B$15))/(I2092+L2092*(1-'Inputs'!$B$15))</x:f>
        <x:v>0</x:v>
      </x:c>
      <x:c r="O2092" s="78" t="n">
        <x:f>H2092-N2092</x:f>
        <x:v>348500693787.23724</x:v>
      </x:c>
      <x:c r="P2092" s="78" t="n">
        <x:f>I2092+L2092*(1-'Inputs'!$B$17)</x:f>
        <x:v>0.3483954567201355</x:v>
      </x:c>
      <x:c r="Q2092" s="78" t="n">
        <x:f>IF(J2092&gt;0,M2092/J2092,0)</x:f>
        <x:v>0</x:v>
      </x:c>
      <x:c r="R2092" s="78" t="n">
        <x:f>IF(B2092='Inputs'!$H$49,'Inputs'!$B$27*'Inputs'!$I$49,0)</x:f>
        <x:v>0</x:v>
      </x:c>
      <x:c r="S2092" s="78" t="n">
        <x:f>Q2092+G2092+R2092</x:f>
        <x:v>814464.9559016716</x:v>
      </x:c>
      <x:c r="T2092" s="78" t="n">
        <x:f>P2092*(S2092*(1-'Inputs'!$B$15))/(O2092+S2092*(1-'Inputs'!$B$15))</x:f>
        <x:v>8.06074956074165e-7</x:v>
      </x:c>
      <x:c r="U2092" s="78" t="n">
        <x:f>O2092+S2092*(1-'Inputs'!$B$17)</x:f>
        <x:v>348501504974.66815</x:v>
      </x:c>
      <x:c r="V2092" s="78" t="n">
        <x:f>P2092-T2092</x:f>
        <x:v>0.34839465064517944</x:v>
      </x:c>
      <x:c r="W2092" s="79" t="n">
        <x:f>IF(U2092&gt;0,V2092/U2092,0)</x:f>
        <x:v>9.996933891878129e-13</x:v>
      </x:c>
      <x:c r="X2092" s="80" t="n">
        <x:f>W2092*('Inputs'!$B$6-AC2092)</x:f>
        <x:v>-0.023150653876155905</x:v>
      </x:c>
      <x:c r="Y2092" s="80" t="n">
        <x:f>2*V2092</x:f>
        <x:v>0.6967893012903589</x:v>
      </x:c>
      <x:c r="Z2092" s="80" t="n">
        <x:f>K2092*'Inputs'!$B$16+(G2092+R2092)*J2092*'Inputs'!$B$16</x:f>
        <x:v>0.003135563995795287</x:v>
      </x:c>
      <x:c r="AA2092" s="80" t="n">
        <x:f>K2092*(1+'Inputs'!$E$49)/2*'Inputs'!$B$17</x:f>
        <x:v>0.001019950481947278</x:v>
      </x:c>
      <x:c r="AB2092" s="78" t="n">
        <x:f>(IF(J2092&gt;0,K2092*(1-'Inputs'!$E$49)/2/J2092,0)+G2092+R2092)*'Inputs'!$B$17</x:f>
        <x:v>3277.5249734473705</x:v>
      </x:c>
      <x:c r="AC2092" s="78" t="n">
        <x:f>AC2091+AB2092</x:f>
        <x:v>24157754294.008423</x:v>
      </x:c>
      <x:c r="AD2092" s="80" t="n">
        <x:f>Z2092/(1+'Inputs'!$C$49)</x:f>
        <x:v>0.0007838909989488218</x:v>
      </x:c>
      <x:c r="AE2092" s="80" t="n">
        <x:f>Z2092-AD2092</x:f>
        <x:v>0.002351672996846465</x:v>
      </x:c>
      <x:c r="AF2092" s="80" t="n">
        <x:f>D2092*W2092</x:f>
        <x:v>2.683407141763404e-7</x:v>
      </x:c>
      <x:c r="AG2092" s="80" t="n">
        <x:f>C2092*W2092</x:f>
        <x:v>6.261283330781325e-7</x:v>
      </x:c>
      <x:c r="AH2092" s="80" t="n">
        <x:f>2*'Inputs'!$B$8*'Inputs'!$C$49</x:f>
        <x:v>15000</x:v>
      </x:c>
      <x:c r="AI2092" s="81" t="n">
        <x:f>IF(AH2092&gt;0,(AE2092+AF2092)/AH2092*365,0)</x:f>
        <x:v>0.00005723057254730894</x:v>
      </x:c>
      <x:c r="AJ2092" s="81" t="n">
        <x:f>IF('Inputs'!$B$49&gt;0,AG2092/('Inputs'!$B$19*'Inputs'!$B$49)*365,0)</x:f>
        <x:v>2.285368415735184e-8</x:v>
      </x:c>
      <x:c r="AK2092" s="81" t="n">
        <x:f>W2092/MAX($W$1829:W2092)-1</x:f>
        <x:v>-0.9999999987121</x:v>
      </x:c>
      <x:c r="AL2092" s="83" t="n">
        <x:f>'Inputs'!$B$49</x:f>
        <x:v>1</x:v>
      </x:c>
      <x:c r="AM2092" s="83" t="n">
        <x:f>'Inputs'!$C$49</x:f>
        <x:v>3</x:v>
      </x:c>
      <x:c r="AN2092" s="83" t="n">
        <x:f>'Inputs'!$D$49</x:f>
        <x:v>0.75</x:v>
      </x:c>
      <x:c r="AO2092" s="81" t="n">
        <x:f>'Inputs'!$E$49</x:f>
        <x:v>-0.03</x:v>
      </x:c>
    </x:row>
    <x:row r="2093">
      <x:c r="A2093" s="59" t="str">
        <x:v>Mercenary LP</x:v>
      </x:c>
      <x:c r="B2093" s="59" t="n">
        <x:v>265</x:v>
      </x:c>
      <x:c r="C2093" s="78" t="n">
        <x:f>(('Inputs'!$B$29*(3*265*'Inputs'!$B$12-265^2)/(2*'Inputs'!$B$12^2))-('Inputs'!$B$29*(3*264*'Inputs'!$B$12-264^2)/(2*'Inputs'!$B$12^2)))*'Inputs'!$B$49</x:f>
        <x:v>625995.2617751658</x:v>
      </x:c>
      <x:c r="D2093" s="78" t="n">
        <x:f>IF('Inputs'!$C$49&gt;0,('Inputs'!$B$30*(3*265*'Inputs'!$B$12-265^2)/(2*'Inputs'!$B$12^2))-('Inputs'!$B$30*(3*264*'Inputs'!$B$12-264^2)/(2*'Inputs'!$B$12^2)),0)</x:f>
        <x:v>268283.6836179346</x:v>
      </x:c>
      <x:c r="E2093" s="78" t="n">
        <x:f>C2093+D2093</x:f>
        <x:v>894278.9453931004</x:v>
      </x:c>
      <x:c r="F2093" s="78" t="n">
        <x:f>'Inputs'!$B$13*E2093+(1-'Inputs'!$B$13)/'Inputs'!$B$14*SUM(E2038:E2093)</x:f>
        <x:v>904496.6222555761</x:v>
      </x:c>
      <x:c r="G2093" s="78" t="n">
        <x:f>F2093*'Inputs'!$F$49</x:f>
        <x:v>814046.9600300185</x:v>
      </x:c>
      <x:c r="H2093" s="78" t="n">
        <x:f>U2092</x:f>
        <x:v>348501504974.66815</x:v>
      </x:c>
      <x:c r="I2093" s="78" t="n">
        <x:f>V2092</x:f>
        <x:v>0.34839465064517944</x:v>
      </x:c>
      <x:c r="J2093" s="79" t="n">
        <x:f>IF(H2093&gt;0,I2093/H2093,0)</x:f>
        <x:v>9.996933891878129e-13</x:v>
      </x:c>
      <x:c r="K2093" s="80" t="n">
        <x:f>(H2093*J2093+I2093)*'Inputs'!$D$49*(1+'Inputs'!$G$49)^(B2093/30)</x:f>
        <x:v>0.5225919759677692</x:v>
      </x:c>
      <x:c r="L2093" s="80" t="n">
        <x:f>MAX(0,K2093*'Inputs'!$E$49)</x:f>
        <x:v>0</x:v>
      </x:c>
      <x:c r="M2093" s="80" t="n">
        <x:f>MAX(0,-K2093*'Inputs'!$E$49)</x:f>
        <x:v>0.015677759279033074</x:v>
      </x:c>
      <x:c r="N2093" s="78" t="n">
        <x:f>H2093*(L2093*(1-'Inputs'!$B$15))/(I2093+L2093*(1-'Inputs'!$B$15))</x:f>
        <x:v>0</x:v>
      </x:c>
      <x:c r="O2093" s="78" t="n">
        <x:f>H2093-N2093</x:f>
        <x:v>348501504974.66815</x:v>
      </x:c>
      <x:c r="P2093" s="78" t="n">
        <x:f>I2093+L2093*(1-'Inputs'!$B$17)</x:f>
        <x:v>0.34839465064517944</x:v>
      </x:c>
      <x:c r="Q2093" s="78" t="n">
        <x:f>IF(J2093&gt;0,M2093/J2093,0)</x:f>
        <x:v>0</x:v>
      </x:c>
      <x:c r="R2093" s="78" t="n">
        <x:f>IF(B2093='Inputs'!$H$49,'Inputs'!$B$27*'Inputs'!$I$49,0)</x:f>
        <x:v>0</x:v>
      </x:c>
      <x:c r="S2093" s="78" t="n">
        <x:f>Q2093+G2093+R2093</x:f>
        <x:v>814046.9600300185</x:v>
      </x:c>
      <x:c r="T2093" s="78" t="n">
        <x:f>P2093*(S2093*(1-'Inputs'!$B$15))/(O2093+S2093*(1-'Inputs'!$B$15))</x:f>
        <x:v>8.056575277105976e-7</x:v>
      </x:c>
      <x:c r="U2093" s="78" t="n">
        <x:f>O2093+S2093*(1-'Inputs'!$B$17)</x:f>
        <x:v>348502315745.7853</x:v>
      </x:c>
      <x:c r="V2093" s="78" t="n">
        <x:f>P2093-T2093</x:f>
        <x:v>0.34839384498765175</x:v>
      </x:c>
      <x:c r="W2093" s="79" t="n">
        <x:f>IF(U2093&gt;0,V2093/U2093,0)</x:f>
        <x:v>9.996887516861936e-13</x:v>
      </x:c>
      <x:c r="X2093" s="80" t="n">
        <x:f>W2093*('Inputs'!$B$6-AC2093)</x:f>
        <x:v>-0.023150549756856167</x:v>
      </x:c>
      <x:c r="Y2093" s="80" t="n">
        <x:f>2*V2093</x:f>
        <x:v>0.6967876899753035</x:v>
      </x:c>
      <x:c r="Z2093" s="80" t="n">
        <x:f>K2093*'Inputs'!$B$16+(G2093+R2093)*J2093*'Inputs'!$B$16</x:f>
        <x:v>0.0031355567385908016</x:v>
      </x:c>
      <x:c r="AA2093" s="80" t="n">
        <x:f>K2093*(1+'Inputs'!$E$49)/2*'Inputs'!$B$17</x:f>
        <x:v>0.0010199481221101329</x:v>
      </x:c>
      <x:c r="AB2093" s="78" t="n">
        <x:f>(IF(J2093&gt;0,K2093*(1-'Inputs'!$E$49)/2/J2093,0)+G2093+R2093)*'Inputs'!$B$17</x:f>
        <x:v>3275.8428975051047</x:v>
      </x:c>
      <x:c r="AC2093" s="78" t="n">
        <x:f>AC2092+AB2093</x:f>
        <x:v>24157757569.851322</x:v>
      </x:c>
      <x:c r="AD2093" s="80" t="n">
        <x:f>Z2093/(1+'Inputs'!$C$49)</x:f>
        <x:v>0.0007838891846477004</x:v>
      </x:c>
      <x:c r="AE2093" s="80" t="n">
        <x:f>Z2093-AD2093</x:f>
        <x:v>0.0023516675539431015</x:v>
      </x:c>
      <x:c r="AF2093" s="80" t="n">
        <x:f>D2093*W2093</x:f>
        <x:v>2.682001807737867e-7</x:v>
      </x:c>
      <x:c r="AG2093" s="80" t="n">
        <x:f>C2093*W2093</x:f>
        <x:v>6.258004218054875e-7</x:v>
      </x:c>
      <x:c r="AH2093" s="80" t="n">
        <x:f>2*'Inputs'!$B$8*'Inputs'!$C$49</x:f>
        <x:v>15000</x:v>
      </x:c>
      <x:c r="AI2093" s="81" t="n">
        <x:f>IF(AH2093&gt;0,(AE2093+AF2093)/AH2093*365,0)</x:f>
        <x:v>0.00005723043668368096</x:v>
      </x:c>
      <x:c r="AJ2093" s="81" t="n">
        <x:f>IF('Inputs'!$B$49&gt;0,AG2093/('Inputs'!$B$19*'Inputs'!$B$49)*365,0)</x:f>
        <x:v>2.2841715395900297e-8</x:v>
      </x:c>
      <x:c r="AK2093" s="81" t="n">
        <x:f>W2093/MAX($W$1829:W2093)-1</x:f>
        <x:v>-0.9999999987121059</x:v>
      </x:c>
      <x:c r="AL2093" s="83" t="n">
        <x:f>'Inputs'!$B$49</x:f>
        <x:v>1</x:v>
      </x:c>
      <x:c r="AM2093" s="83" t="n">
        <x:f>'Inputs'!$C$49</x:f>
        <x:v>3</x:v>
      </x:c>
      <x:c r="AN2093" s="83" t="n">
        <x:f>'Inputs'!$D$49</x:f>
        <x:v>0.75</x:v>
      </x:c>
      <x:c r="AO2093" s="81" t="n">
        <x:f>'Inputs'!$E$49</x:f>
        <x:v>-0.03</x:v>
      </x:c>
    </x:row>
    <x:row r="2094">
      <x:c r="A2094" s="59" t="str">
        <x:v>Mercenary LP</x:v>
      </x:c>
      <x:c r="B2094" s="59" t="n">
        <x:v>266</x:v>
      </x:c>
      <x:c r="C2094" s="78" t="n">
        <x:f>(('Inputs'!$B$29*(3*266*'Inputs'!$B$12-266^2)/(2*'Inputs'!$B$12^2))-('Inputs'!$B$29*(3*265*'Inputs'!$B$12-265^2)/(2*'Inputs'!$B$12^2)))*'Inputs'!$B$49</x:f>
        <x:v>625670.1538750231</x:v>
      </x:c>
      <x:c r="D2094" s="78" t="n">
        <x:f>IF('Inputs'!$C$49&gt;0,('Inputs'!$B$30*(3*266*'Inputs'!$B$12-266^2)/(2*'Inputs'!$B$12^2))-('Inputs'!$B$30*(3*265*'Inputs'!$B$12-265^2)/(2*'Inputs'!$B$12^2)),0)</x:f>
        <x:v>268144.35166072845</x:v>
      </x:c>
      <x:c r="E2094" s="78" t="n">
        <x:f>C2094+D2094</x:f>
        <x:v>893814.5055357516</x:v>
      </x:c>
      <x:c r="F2094" s="78" t="n">
        <x:f>'Inputs'!$B$13*E2094+(1-'Inputs'!$B$13)/'Inputs'!$B$14*SUM(E2039:E2094)</x:f>
        <x:v>904032.1823981993</x:v>
      </x:c>
      <x:c r="G2094" s="78" t="n">
        <x:f>F2094*'Inputs'!$F$49</x:f>
        <x:v>813628.9641583795</x:v>
      </x:c>
      <x:c r="H2094" s="78" t="n">
        <x:f>U2093</x:f>
        <x:v>348502315745.7853</x:v>
      </x:c>
      <x:c r="I2094" s="78" t="n">
        <x:f>V2093</x:f>
        <x:v>0.34839384498765175</x:v>
      </x:c>
      <x:c r="J2094" s="79" t="n">
        <x:f>IF(H2094&gt;0,I2094/H2094,0)</x:f>
        <x:v>9.996887516861936e-13</x:v>
      </x:c>
      <x:c r="K2094" s="80" t="n">
        <x:f>(H2094*J2094+I2094)*'Inputs'!$D$49*(1+'Inputs'!$G$49)^(B2094/30)</x:f>
        <x:v>0.5225907674814776</x:v>
      </x:c>
      <x:c r="L2094" s="80" t="n">
        <x:f>MAX(0,K2094*'Inputs'!$E$49)</x:f>
        <x:v>0</x:v>
      </x:c>
      <x:c r="M2094" s="80" t="n">
        <x:f>MAX(0,-K2094*'Inputs'!$E$49)</x:f>
        <x:v>0.015677723024444326</x:v>
      </x:c>
      <x:c r="N2094" s="78" t="n">
        <x:f>H2094*(L2094*(1-'Inputs'!$B$15))/(I2094+L2094*(1-'Inputs'!$B$15))</x:f>
        <x:v>0</x:v>
      </x:c>
      <x:c r="O2094" s="78" t="n">
        <x:f>H2094-N2094</x:f>
        <x:v>348502315745.7853</x:v>
      </x:c>
      <x:c r="P2094" s="78" t="n">
        <x:f>I2094+L2094*(1-'Inputs'!$B$17)</x:f>
        <x:v>0.34839384498765175</x:v>
      </x:c>
      <x:c r="Q2094" s="78" t="n">
        <x:f>IF(J2094&gt;0,M2094/J2094,0)</x:f>
        <x:v>0</x:v>
      </x:c>
      <x:c r="R2094" s="78" t="n">
        <x:f>IF(B2094='Inputs'!$H$49,'Inputs'!$B$27*'Inputs'!$I$49,0)</x:f>
        <x:v>0</x:v>
      </x:c>
      <x:c r="S2094" s="78" t="n">
        <x:f>Q2094+G2094+R2094</x:f>
        <x:v>813628.9641583795</x:v>
      </x:c>
      <x:c r="T2094" s="78" t="n">
        <x:f>P2094*(S2094*(1-'Inputs'!$B$15))/(O2094+S2094*(1-'Inputs'!$B$15))</x:f>
        <x:v>8.052401051302957e-7</x:v>
      </x:c>
      <x:c r="U2094" s="78" t="n">
        <x:f>O2094+S2094*(1-'Inputs'!$B$17)</x:f>
        <x:v>348503126100.5886</x:v>
      </x:c>
      <x:c r="V2094" s="78" t="n">
        <x:f>P2094-T2094</x:f>
        <x:v>0.3483930397475466</x:v>
      </x:c>
      <x:c r="W2094" s="79" t="n">
        <x:f>IF(U2094&gt;0,V2094/U2094,0)</x:f>
        <x:v>9.996841165981098e-13</x:v>
      </x:c>
      <x:c r="X2094" s="80" t="n">
        <x:f>W2094*('Inputs'!$B$6-AC2094)</x:f>
        <x:v>-0.023150445691736576</x:v>
      </x:c>
      <x:c r="Y2094" s="80" t="n">
        <x:f>2*V2094</x:f>
        <x:v>0.6967860794950932</x:v>
      </x:c>
      <x:c r="Z2094" s="80" t="n">
        <x:f>K2094*'Inputs'!$B$16+(G2094+R2094)*J2094*'Inputs'!$B$16</x:f>
        <x:v>0.003135549485143207</x:v>
      </x:c>
      <x:c r="AA2094" s="80" t="n">
        <x:f>K2094*(1+'Inputs'!$E$49)/2*'Inputs'!$B$17</x:f>
        <x:v>0.0010199457634950367</x:v>
      </x:c>
      <x:c r="AB2094" s="78" t="n">
        <x:f>(IF(J2094&gt;0,K2094*(1-'Inputs'!$E$49)/2/J2094,0)+G2094+R2094)*'Inputs'!$B$17</x:f>
        <x:v>3274.1608215628958</x:v>
      </x:c>
      <x:c r="AC2094" s="78" t="n">
        <x:f>AC2093+AB2094</x:f>
        <x:v>24157760844.012142</x:v>
      </x:c>
      <x:c r="AD2094" s="80" t="n">
        <x:f>Z2094/(1+'Inputs'!$C$49)</x:f>
        <x:v>0.0007838873712858017</x:v>
      </x:c>
      <x:c r="AE2094" s="80" t="n">
        <x:f>Z2094-AD2094</x:f>
        <x:v>0.0023516621138574053</x:v>
      </x:c>
      <x:c r="AF2094" s="80" t="n">
        <x:f>D2094*W2094</x:f>
        <x:v>2.6805964931072824e-7</x:v>
      </x:c>
      <x:c r="AG2094" s="80" t="n">
        <x:f>C2094*W2094</x:f>
        <x:v>6.254725150583559e-7</x:v>
      </x:c>
      <x:c r="AH2094" s="80" t="n">
        <x:f>2*'Inputs'!$B$8*'Inputs'!$C$49</x:f>
        <x:v>15000</x:v>
      </x:c>
      <x:c r="AI2094" s="81" t="n">
        <x:f>IF(AH2094&gt;0,(AE2094+AF2094)/AH2094*365,0)</x:f>
        <x:v>0.00005723030088866342</x:v>
      </x:c>
      <x:c r="AJ2094" s="81" t="n">
        <x:f>IF('Inputs'!$B$49&gt;0,AG2094/('Inputs'!$B$19*'Inputs'!$B$49)*365,0)</x:f>
        <x:v>2.282974679962999e-8</x:v>
      </x:c>
      <x:c r="AK2094" s="81" t="n">
        <x:f>W2094/MAX($W$1829:W2094)-1</x:f>
        <x:v>-0.9999999987121119</x:v>
      </x:c>
      <x:c r="AL2094" s="83" t="n">
        <x:f>'Inputs'!$B$49</x:f>
        <x:v>1</x:v>
      </x:c>
      <x:c r="AM2094" s="83" t="n">
        <x:f>'Inputs'!$C$49</x:f>
        <x:v>3</x:v>
      </x:c>
      <x:c r="AN2094" s="83" t="n">
        <x:f>'Inputs'!$D$49</x:f>
        <x:v>0.75</x:v>
      </x:c>
      <x:c r="AO2094" s="81" t="n">
        <x:f>'Inputs'!$E$49</x:f>
        <x:v>-0.03</x:v>
      </x:c>
    </x:row>
    <x:row r="2095">
      <x:c r="A2095" s="59" t="str">
        <x:v>Mercenary LP</x:v>
      </x:c>
      <x:c r="B2095" s="59" t="n">
        <x:v>267</x:v>
      </x:c>
      <x:c r="C2095" s="78" t="n">
        <x:f>(('Inputs'!$B$29*(3*267*'Inputs'!$B$12-267^2)/(2*'Inputs'!$B$12^2))-('Inputs'!$B$29*(3*266*'Inputs'!$B$12-266^2)/(2*'Inputs'!$B$12^2)))*'Inputs'!$B$49</x:f>
        <x:v>625345.0459748805</x:v>
      </x:c>
      <x:c r="D2095" s="78" t="n">
        <x:f>IF('Inputs'!$C$49&gt;0,('Inputs'!$B$30*(3*267*'Inputs'!$B$12-267^2)/(2*'Inputs'!$B$12^2))-('Inputs'!$B$30*(3*266*'Inputs'!$B$12-266^2)/(2*'Inputs'!$B$12^2)),0)</x:f>
        <x:v>268005.0197035074</x:v>
      </x:c>
      <x:c r="E2095" s="78" t="n">
        <x:f>C2095+D2095</x:f>
        <x:v>893350.0656783879</x:v>
      </x:c>
      <x:c r="F2095" s="78" t="n">
        <x:f>'Inputs'!$B$13*E2095+(1-'Inputs'!$B$13)/'Inputs'!$B$14*SUM(E2040:E2095)</x:f>
        <x:v>903567.7425408192</x:v>
      </x:c>
      <x:c r="G2095" s="78" t="n">
        <x:f>F2095*'Inputs'!$F$49</x:f>
        <x:v>813210.9682867373</x:v>
      </x:c>
      <x:c r="H2095" s="78" t="n">
        <x:f>U2094</x:f>
        <x:v>348503126100.5886</x:v>
      </x:c>
      <x:c r="I2095" s="78" t="n">
        <x:f>V2094</x:f>
        <x:v>0.3483930397475466</x:v>
      </x:c>
      <x:c r="J2095" s="79" t="n">
        <x:f>IF(H2095&gt;0,I2095/H2095,0)</x:f>
        <x:v>9.996841165981098e-13</x:v>
      </x:c>
      <x:c r="K2095" s="80" t="n">
        <x:f>(H2095*J2095+I2095)*'Inputs'!$D$49*(1+'Inputs'!$G$49)^(B2095/30)</x:f>
        <x:v>0.5225895596213199</x:v>
      </x:c>
      <x:c r="L2095" s="80" t="n">
        <x:f>MAX(0,K2095*'Inputs'!$E$49)</x:f>
        <x:v>0</x:v>
      </x:c>
      <x:c r="M2095" s="80" t="n">
        <x:f>MAX(0,-K2095*'Inputs'!$E$49)</x:f>
        <x:v>0.015677686788639598</x:v>
      </x:c>
      <x:c r="N2095" s="78" t="n">
        <x:f>H2095*(L2095*(1-'Inputs'!$B$15))/(I2095+L2095*(1-'Inputs'!$B$15))</x:f>
        <x:v>0</x:v>
      </x:c>
      <x:c r="O2095" s="78" t="n">
        <x:f>H2095-N2095</x:f>
        <x:v>348503126100.5886</x:v>
      </x:c>
      <x:c r="P2095" s="78" t="n">
        <x:f>I2095+L2095*(1-'Inputs'!$B$17)</x:f>
        <x:v>0.3483930397475466</x:v>
      </x:c>
      <x:c r="Q2095" s="78" t="n">
        <x:f>IF(J2095&gt;0,M2095/J2095,0)</x:f>
        <x:v>0</x:v>
      </x:c>
      <x:c r="R2095" s="78" t="n">
        <x:f>IF(B2095='Inputs'!$H$49,'Inputs'!$B$27*'Inputs'!$I$49,0)</x:f>
        <x:v>0</x:v>
      </x:c>
      <x:c r="S2095" s="78" t="n">
        <x:f>Q2095+G2095+R2095</x:f>
        <x:v>813210.9682867373</x:v>
      </x:c>
      <x:c r="T2095" s="78" t="n">
        <x:f>P2095*(S2095*(1-'Inputs'!$B$15))/(O2095+S2095*(1-'Inputs'!$B$15))</x:f>
        <x:v>8.048226883302052e-7</x:v>
      </x:c>
      <x:c r="U2095" s="78" t="n">
        <x:f>O2095+S2095*(1-'Inputs'!$B$17)</x:f>
        <x:v>348503936039.0782</x:v>
      </x:c>
      <x:c r="V2095" s="78" t="n">
        <x:f>P2095-T2095</x:f>
        <x:v>0.34839223492485827</x:v>
      </x:c>
      <x:c r="W2095" s="79" t="n">
        <x:f>IF(U2095&gt;0,V2095/U2095,0)</x:f>
        <x:v>9.99679483923512e-13</x:v>
      </x:c>
      <x:c r="X2095" s="80" t="n">
        <x:f>W2095*('Inputs'!$B$6-AC2095)</x:f>
        <x:v>-0.023150341680796032</x:v>
      </x:c>
      <x:c r="Y2095" s="80" t="n">
        <x:f>2*V2095</x:f>
        <x:v>0.6967844698497165</x:v>
      </x:c>
      <x:c r="Z2095" s="80" t="n">
        <x:f>K2095*'Inputs'!$B$16+(G2095+R2095)*J2095*'Inputs'!$B$16</x:f>
        <x:v>0.0031355422354524503</x:v>
      </x:c>
      <x:c r="AA2095" s="80" t="n">
        <x:f>K2095*(1+'Inputs'!$E$49)/2*'Inputs'!$B$17</x:f>
        <x:v>0.0010199434061019727</x:v>
      </x:c>
      <x:c r="AB2095" s="78" t="n">
        <x:f>(IF(J2095&gt;0,K2095*(1-'Inputs'!$E$49)/2/J2095,0)+G2095+R2095)*'Inputs'!$B$17</x:f>
        <x:v>3272.4787456206736</x:v>
      </x:c>
      <x:c r="AC2095" s="78" t="n">
        <x:f>AC2094+AB2095</x:f>
        <x:v>24157764116.490887</x:v>
      </x:c>
      <x:c r="AD2095" s="80" t="n">
        <x:f>Z2095/(1+'Inputs'!$C$49)</x:f>
        <x:v>0.0007838855588631126</x:v>
      </x:c>
      <x:c r="AE2095" s="80" t="n">
        <x:f>Z2095-AD2095</x:f>
        <x:v>0.0023516566765893377</x:v>
      </x:c>
      <x:c r="AF2095" s="80" t="n">
        <x:f>D2095*W2095</x:f>
        <x:v>2.679191197861129e-7</x:v>
      </x:c>
      <x:c r="AG2095" s="80" t="n">
        <x:f>C2095*W2095</x:f>
        <x:v>6.251446128342934e-7</x:v>
      </x:c>
      <x:c r="AH2095" s="80" t="n">
        <x:f>2*'Inputs'!$B$8*'Inputs'!$C$49</x:f>
        <x:v>15000</x:v>
      </x:c>
      <x:c r="AI2095" s="81" t="n">
        <x:f>IF(AH2095&gt;0,(AE2095+AF2095)/AH2095*365,0)</x:f>
        <x:v>0.00005723016516225534</x:v>
      </x:c>
      <x:c r="AJ2095" s="81" t="n">
        <x:f>IF('Inputs'!$B$49&gt;0,AG2095/('Inputs'!$B$19*'Inputs'!$B$49)*365,0)</x:f>
        <x:v>2.2817778368451707e-8</x:v>
      </x:c>
      <x:c r="AK2095" s="81" t="n">
        <x:f>W2095/MAX($W$1829:W2095)-1</x:f>
        <x:v>-0.9999999987121179</x:v>
      </x:c>
      <x:c r="AL2095" s="83" t="n">
        <x:f>'Inputs'!$B$49</x:f>
        <x:v>1</x:v>
      </x:c>
      <x:c r="AM2095" s="83" t="n">
        <x:f>'Inputs'!$C$49</x:f>
        <x:v>3</x:v>
      </x:c>
      <x:c r="AN2095" s="83" t="n">
        <x:f>'Inputs'!$D$49</x:f>
        <x:v>0.75</x:v>
      </x:c>
      <x:c r="AO2095" s="81" t="n">
        <x:f>'Inputs'!$E$49</x:f>
        <x:v>-0.03</x:v>
      </x:c>
    </x:row>
    <x:row r="2096">
      <x:c r="A2096" s="59" t="str">
        <x:v>Mercenary LP</x:v>
      </x:c>
      <x:c r="B2096" s="59" t="n">
        <x:v>268</x:v>
      </x:c>
      <x:c r="C2096" s="78" t="n">
        <x:f>(('Inputs'!$B$29*(3*268*'Inputs'!$B$12-268^2)/(2*'Inputs'!$B$12^2))-('Inputs'!$B$29*(3*267*'Inputs'!$B$12-267^2)/(2*'Inputs'!$B$12^2)))*'Inputs'!$B$49</x:f>
        <x:v>625019.9380746782</x:v>
      </x:c>
      <x:c r="D2096" s="78" t="n">
        <x:f>IF('Inputs'!$C$49&gt;0,('Inputs'!$B$30*(3*268*'Inputs'!$B$12-268^2)/(2*'Inputs'!$B$12^2))-('Inputs'!$B$30*(3*267*'Inputs'!$B$12-267^2)/(2*'Inputs'!$B$12^2)),0)</x:f>
        <x:v>267865.6877462864</x:v>
      </x:c>
      <x:c r="E2096" s="78" t="n">
        <x:f>C2096+D2096</x:f>
        <x:v>892885.6258209646</x:v>
      </x:c>
      <x:c r="F2096" s="78" t="n">
        <x:f>'Inputs'!$B$13*E2096+(1-'Inputs'!$B$13)/'Inputs'!$B$14*SUM(E2041:E2096)</x:f>
        <x:v>903103.3026834275</x:v>
      </x:c>
      <x:c r="G2096" s="78" t="n">
        <x:f>F2096*'Inputs'!$F$49</x:f>
        <x:v>812792.9724150847</x:v>
      </x:c>
      <x:c r="H2096" s="78" t="n">
        <x:f>U2095</x:f>
        <x:v>348503936039.0782</x:v>
      </x:c>
      <x:c r="I2096" s="78" t="n">
        <x:f>V2095</x:f>
        <x:v>0.34839223492485827</x:v>
      </x:c>
      <x:c r="J2096" s="79" t="n">
        <x:f>IF(H2096&gt;0,I2096/H2096,0)</x:f>
        <x:v>9.99679483923512e-13</x:v>
      </x:c>
      <x:c r="K2096" s="80" t="n">
        <x:f>(H2096*J2096+I2096)*'Inputs'!$D$49*(1+'Inputs'!$G$49)^(B2096/30)</x:f>
        <x:v>0.5225883523872874</x:v>
      </x:c>
      <x:c r="L2096" s="80" t="n">
        <x:f>MAX(0,K2096*'Inputs'!$E$49)</x:f>
        <x:v>0</x:v>
      </x:c>
      <x:c r="M2096" s="80" t="n">
        <x:f>MAX(0,-K2096*'Inputs'!$E$49)</x:f>
        <x:v>0.015677650571618622</x:v>
      </x:c>
      <x:c r="N2096" s="78" t="n">
        <x:f>H2096*(L2096*(1-'Inputs'!$B$15))/(I2096+L2096*(1-'Inputs'!$B$15))</x:f>
        <x:v>0</x:v>
      </x:c>
      <x:c r="O2096" s="78" t="n">
        <x:f>H2096-N2096</x:f>
        <x:v>348503936039.0782</x:v>
      </x:c>
      <x:c r="P2096" s="78" t="n">
        <x:f>I2096+L2096*(1-'Inputs'!$B$17)</x:f>
        <x:v>0.34839223492485827</x:v>
      </x:c>
      <x:c r="Q2096" s="78" t="n">
        <x:f>IF(J2096&gt;0,M2096/J2096,0)</x:f>
        <x:v>0</x:v>
      </x:c>
      <x:c r="R2096" s="78" t="n">
        <x:f>IF(B2096='Inputs'!$H$49,'Inputs'!$B$27*'Inputs'!$I$49,0)</x:f>
        <x:v>0</x:v>
      </x:c>
      <x:c r="S2096" s="78" t="n">
        <x:f>Q2096+G2096+R2096</x:f>
        <x:v>812792.9724150847</x:v>
      </x:c>
      <x:c r="T2096" s="78" t="n">
        <x:f>P2096*(S2096*(1-'Inputs'!$B$15))/(O2096+S2096*(1-'Inputs'!$B$15))</x:f>
        <x:v>8.044052773072826e-7</x:v>
      </x:c>
      <x:c r="U2096" s="78" t="n">
        <x:f>O2096+S2096*(1-'Inputs'!$B$17)</x:f>
        <x:v>348504745561.2539</x:v>
      </x:c>
      <x:c r="V2096" s="78" t="n">
        <x:f>P2096-T2096</x:f>
        <x:v>0.34839143051958094</x:v>
      </x:c>
      <x:c r="W2096" s="79" t="n">
        <x:f>IF(U2096&gt;0,V2096/U2096,0)</x:f>
        <x:v>9.996748536623497e-13</x:v>
      </x:c>
      <x:c r="X2096" s="80" t="n">
        <x:f>W2096*('Inputs'!$B$6-AC2096)</x:f>
        <x:v>-0.02315023772403342</x:v>
      </x:c>
      <x:c r="Y2096" s="80" t="n">
        <x:f>2*V2096</x:f>
        <x:v>0.6967828610391619</x:v>
      </x:c>
      <x:c r="Z2096" s="80" t="n">
        <x:f>K2096*'Inputs'!$B$16+(G2096+R2096)*J2096*'Inputs'!$B$16</x:f>
        <x:v>0.00313553498951848</x:v>
      </x:c>
      <x:c r="AA2096" s="80" t="n">
        <x:f>K2096*(1+'Inputs'!$E$49)/2*'Inputs'!$B$17</x:f>
        <x:v>0.0010199410499309232</x:v>
      </x:c>
      <x:c r="AB2096" s="78" t="n">
        <x:f>(IF(J2096&gt;0,K2096*(1-'Inputs'!$E$49)/2/J2096,0)+G2096+R2096)*'Inputs'!$B$17</x:f>
        <x:v>3270.7966696784097</x:v>
      </x:c>
      <x:c r="AC2096" s="78" t="n">
        <x:f>AC2095+AB2096</x:f>
        <x:v>24157767387.287556</x:v>
      </x:c>
      <x:c r="AD2096" s="80" t="n">
        <x:f>Z2096/(1+'Inputs'!$C$49)</x:f>
        <x:v>0.00078388374737962</x:v>
      </x:c>
      <x:c r="AE2096" s="80" t="n">
        <x:f>Z2096-AD2096</x:f>
        <x:v>0.00235165124213886</x:v>
      </x:c>
      <x:c r="AF2096" s="80" t="n">
        <x:f>D2096*W2096</x:f>
        <x:v>2.6777859219893353e-7</x:v>
      </x:c>
      <x:c r="AG2096" s="80" t="n">
        <x:f>C2096*W2096</x:f>
        <x:v>6.248167151308548e-7</x:v>
      </x:c>
      <x:c r="AH2096" s="80" t="n">
        <x:f>2*'Inputs'!$B$8*'Inputs'!$C$49</x:f>
        <x:v>15000</x:v>
      </x:c>
      <x:c r="AI2096" s="81" t="n">
        <x:f>IF(AH2096&gt;0,(AE2096+AF2096)/AH2096*365,0)</x:f>
        <x:v>0.00005723002950445577</x:v>
      </x:c>
      <x:c r="AJ2096" s="81" t="n">
        <x:f>IF('Inputs'!$B$49&gt;0,AG2096/('Inputs'!$B$19*'Inputs'!$B$49)*365,0)</x:f>
        <x:v>2.28058101022762e-8</x:v>
      </x:c>
      <x:c r="AK2096" s="81" t="n">
        <x:f>W2096/MAX($W$1829:W2096)-1</x:f>
        <x:v>-0.9999999987121239</x:v>
      </x:c>
      <x:c r="AL2096" s="83" t="n">
        <x:f>'Inputs'!$B$49</x:f>
        <x:v>1</x:v>
      </x:c>
      <x:c r="AM2096" s="83" t="n">
        <x:f>'Inputs'!$C$49</x:f>
        <x:v>3</x:v>
      </x:c>
      <x:c r="AN2096" s="83" t="n">
        <x:f>'Inputs'!$D$49</x:f>
        <x:v>0.75</x:v>
      </x:c>
      <x:c r="AO2096" s="81" t="n">
        <x:f>'Inputs'!$E$49</x:f>
        <x:v>-0.03</x:v>
      </x:c>
    </x:row>
    <x:row r="2097">
      <x:c r="A2097" s="59" t="str">
        <x:v>Mercenary LP</x:v>
      </x:c>
      <x:c r="B2097" s="59" t="n">
        <x:v>269</x:v>
      </x:c>
      <x:c r="C2097" s="78" t="n">
        <x:f>(('Inputs'!$B$29*(3*269*'Inputs'!$B$12-269^2)/(2*'Inputs'!$B$12^2))-('Inputs'!$B$29*(3*268*'Inputs'!$B$12-268^2)/(2*'Inputs'!$B$12^2)))*'Inputs'!$B$49</x:f>
        <x:v>624694.8301745057</x:v>
      </x:c>
      <x:c r="D2097" s="78" t="n">
        <x:f>IF('Inputs'!$C$49&gt;0,('Inputs'!$B$30*(3*269*'Inputs'!$B$12-269^2)/(2*'Inputs'!$B$12^2))-('Inputs'!$B$30*(3*268*'Inputs'!$B$12-268^2)/(2*'Inputs'!$B$12^2)),0)</x:f>
        <x:v>267726.35578908026</x:v>
      </x:c>
      <x:c r="E2097" s="78" t="n">
        <x:f>C2097+D2097</x:f>
        <x:v>892421.185963586</x:v>
      </x:c>
      <x:c r="F2097" s="78" t="n">
        <x:f>'Inputs'!$B$13*E2097+(1-'Inputs'!$B$13)/'Inputs'!$B$14*SUM(E2042:E2097)</x:f>
        <x:v>902638.862826044</x:v>
      </x:c>
      <x:c r="G2097" s="78" t="n">
        <x:f>F2097*'Inputs'!$F$49</x:f>
        <x:v>812374.9765434396</x:v>
      </x:c>
      <x:c r="H2097" s="78" t="n">
        <x:f>U2096</x:f>
        <x:v>348504745561.2539</x:v>
      </x:c>
      <x:c r="I2097" s="78" t="n">
        <x:f>V2096</x:f>
        <x:v>0.34839143051958094</x:v>
      </x:c>
      <x:c r="J2097" s="79" t="n">
        <x:f>IF(H2097&gt;0,I2097/H2097,0)</x:f>
        <x:v>9.996748536623497e-13</x:v>
      </x:c>
      <x:c r="K2097" s="80" t="n">
        <x:f>(H2097*J2097+I2097)*'Inputs'!$D$49*(1+'Inputs'!$G$49)^(B2097/30)</x:f>
        <x:v>0.5225871457793714</x:v>
      </x:c>
      <x:c r="L2097" s="80" t="n">
        <x:f>MAX(0,K2097*'Inputs'!$E$49)</x:f>
        <x:v>0</x:v>
      </x:c>
      <x:c r="M2097" s="80" t="n">
        <x:f>MAX(0,-K2097*'Inputs'!$E$49)</x:f>
        <x:v>0.01567761437338114</x:v>
      </x:c>
      <x:c r="N2097" s="78" t="n">
        <x:f>H2097*(L2097*(1-'Inputs'!$B$15))/(I2097+L2097*(1-'Inputs'!$B$15))</x:f>
        <x:v>0</x:v>
      </x:c>
      <x:c r="O2097" s="78" t="n">
        <x:f>H2097-N2097</x:f>
        <x:v>348504745561.2539</x:v>
      </x:c>
      <x:c r="P2097" s="78" t="n">
        <x:f>I2097+L2097*(1-'Inputs'!$B$17)</x:f>
        <x:v>0.34839143051958094</x:v>
      </x:c>
      <x:c r="Q2097" s="78" t="n">
        <x:f>IF(J2097&gt;0,M2097/J2097,0)</x:f>
        <x:v>0</x:v>
      </x:c>
      <x:c r="R2097" s="78" t="n">
        <x:f>IF(B2097='Inputs'!$H$49,'Inputs'!$B$27*'Inputs'!$I$49,0)</x:f>
        <x:v>0</x:v>
      </x:c>
      <x:c r="S2097" s="78" t="n">
        <x:f>Q2097+G2097+R2097</x:f>
        <x:v>812374.9765434396</x:v>
      </x:c>
      <x:c r="T2097" s="78" t="n">
        <x:f>P2097*(S2097*(1-'Inputs'!$B$15))/(O2097+S2097*(1-'Inputs'!$B$15))</x:f>
        <x:v>8.039878720585091e-7</x:v>
      </x:c>
      <x:c r="U2097" s="78" t="n">
        <x:f>O2097+S2097*(1-'Inputs'!$B$17)</x:f>
        <x:v>348505554667.11584</x:v>
      </x:c>
      <x:c r="V2097" s="78" t="n">
        <x:f>P2097-T2097</x:f>
        <x:v>0.3483906265317089</x:v>
      </x:c>
      <x:c r="W2097" s="79" t="n">
        <x:f>IF(U2097&gt;0,V2097/U2097,0)</x:f>
        <x:v>9.996702258145734e-13</x:v>
      </x:c>
      <x:c r="X2097" s="80" t="n">
        <x:f>W2097*('Inputs'!$B$6-AC2097)</x:f>
        <x:v>-0.02315013382144764</x:v>
      </x:c>
      <x:c r="Y2097" s="80" t="n">
        <x:f>2*V2097</x:f>
        <x:v>0.6967812530634178</x:v>
      </x:c>
      <x:c r="Z2097" s="80" t="n">
        <x:f>K2097*'Inputs'!$B$16+(G2097+R2097)*J2097*'Inputs'!$B$16</x:f>
        <x:v>0.003135527747341243</x:v>
      </x:c>
      <x:c r="AA2097" s="80" t="n">
        <x:f>K2097*(1+'Inputs'!$E$49)/2*'Inputs'!$B$17</x:f>
        <x:v>0.001019938694981872</x:v>
      </x:c>
      <x:c r="AB2097" s="78" t="n">
        <x:f>(IF(J2097&gt;0,K2097*(1-'Inputs'!$E$49)/2/J2097,0)+G2097+R2097)*'Inputs'!$B$17</x:f>
        <x:v>3269.1145937361757</x:v>
      </x:c>
      <x:c r="AC2097" s="78" t="n">
        <x:f>AC2096+AB2097</x:f>
        <x:v>24157770656.40215</x:v>
      </x:c>
      <x:c r="AD2097" s="80" t="n">
        <x:f>Z2097/(1+'Inputs'!$C$49)</x:f>
        <x:v>0.0007838819368353108</x:v>
      </x:c>
      <x:c r="AE2097" s="80" t="n">
        <x:f>Z2097-AD2097</x:f>
        <x:v>0.002351645810505932</x:v>
      </x:c>
      <x:c r="AF2097" s="80" t="n">
        <x:f>D2097*W2097</x:f>
        <x:v>2.676380665481827e-7</x:v>
      </x:c>
      <x:c r="AG2097" s="80" t="n">
        <x:f>C2097*W2097</x:f>
        <x:v>6.244888219457447e-7</x:v>
      </x:c>
      <x:c r="AH2097" s="80" t="n">
        <x:f>2*'Inputs'!$B$8*'Inputs'!$C$49</x:f>
        <x:v>15000</x:v>
      </x:c>
      <x:c r="AI2097" s="81" t="n">
        <x:f>IF(AH2097&gt;0,(AE2097+AF2097)/AH2097*365,0)</x:f>
        <x:v>0.000057229893915263694</x:v>
      </x:c>
      <x:c r="AJ2097" s="81" t="n">
        <x:f>IF('Inputs'!$B$49&gt;0,AG2097/('Inputs'!$B$19*'Inputs'!$B$49)*365,0)</x:f>
        <x:v>2.279384200101968e-8</x:v>
      </x:c>
      <x:c r="AK2097" s="81" t="n">
        <x:f>W2097/MAX($W$1829:W2097)-1</x:f>
        <x:v>-0.9999999987121297</x:v>
      </x:c>
      <x:c r="AL2097" s="83" t="n">
        <x:f>'Inputs'!$B$49</x:f>
        <x:v>1</x:v>
      </x:c>
      <x:c r="AM2097" s="83" t="n">
        <x:f>'Inputs'!$C$49</x:f>
        <x:v>3</x:v>
      </x:c>
      <x:c r="AN2097" s="83" t="n">
        <x:f>'Inputs'!$D$49</x:f>
        <x:v>0.75</x:v>
      </x:c>
      <x:c r="AO2097" s="81" t="n">
        <x:f>'Inputs'!$E$49</x:f>
        <x:v>-0.03</x:v>
      </x:c>
    </x:row>
    <x:row r="2098">
      <x:c r="A2098" s="59" t="str">
        <x:v>Mercenary LP</x:v>
      </x:c>
      <x:c r="B2098" s="59" t="n">
        <x:v>270</x:v>
      </x:c>
      <x:c r="C2098" s="78" t="n">
        <x:f>(('Inputs'!$B$29*(3*270*'Inputs'!$B$12-270^2)/(2*'Inputs'!$B$12^2))-('Inputs'!$B$29*(3*269*'Inputs'!$B$12-269^2)/(2*'Inputs'!$B$12^2)))*'Inputs'!$B$49</x:f>
        <x:v>624369.722274363</x:v>
      </x:c>
      <x:c r="D2098" s="78" t="n">
        <x:f>IF('Inputs'!$C$49&gt;0,('Inputs'!$B$30*(3*270*'Inputs'!$B$12-270^2)/(2*'Inputs'!$B$12^2))-('Inputs'!$B$30*(3*269*'Inputs'!$B$12-269^2)/(2*'Inputs'!$B$12^2)),0)</x:f>
        <x:v>267587.02383185923</x:v>
      </x:c>
      <x:c r="E2098" s="78" t="n">
        <x:f>C2098+D2098</x:f>
        <x:v>891956.7461062223</x:v>
      </x:c>
      <x:c r="F2098" s="78" t="n">
        <x:f>'Inputs'!$B$13*E2098+(1-'Inputs'!$B$13)/'Inputs'!$B$14*SUM(E2043:E2098)</x:f>
        <x:v>902174.4229686646</x:v>
      </x:c>
      <x:c r="G2098" s="78" t="n">
        <x:f>F2098*'Inputs'!$F$49</x:f>
        <x:v>811956.9806717981</x:v>
      </x:c>
      <x:c r="H2098" s="78" t="n">
        <x:f>U2097</x:f>
        <x:v>348505554667.11584</x:v>
      </x:c>
      <x:c r="I2098" s="78" t="n">
        <x:f>V2097</x:f>
        <x:v>0.3483906265317089</x:v>
      </x:c>
      <x:c r="J2098" s="79" t="n">
        <x:f>IF(H2098&gt;0,I2098/H2098,0)</x:f>
        <x:v>9.996702258145734e-13</x:v>
      </x:c>
      <x:c r="K2098" s="80" t="n">
        <x:f>(H2098*J2098+I2098)*'Inputs'!$D$49*(1+'Inputs'!$G$49)^(B2098/30)</x:f>
        <x:v>0.5225859397975633</x:v>
      </x:c>
      <x:c r="L2098" s="80" t="n">
        <x:f>MAX(0,K2098*'Inputs'!$E$49)</x:f>
        <x:v>0</x:v>
      </x:c>
      <x:c r="M2098" s="80" t="n">
        <x:f>MAX(0,-K2098*'Inputs'!$E$49)</x:f>
        <x:v>0.0156775781939269</x:v>
      </x:c>
      <x:c r="N2098" s="78" t="n">
        <x:f>H2098*(L2098*(1-'Inputs'!$B$15))/(I2098+L2098*(1-'Inputs'!$B$15))</x:f>
        <x:v>0</x:v>
      </x:c>
      <x:c r="O2098" s="78" t="n">
        <x:f>H2098-N2098</x:f>
        <x:v>348505554667.11584</x:v>
      </x:c>
      <x:c r="P2098" s="78" t="n">
        <x:f>I2098+L2098*(1-'Inputs'!$B$17)</x:f>
        <x:v>0.3483906265317089</x:v>
      </x:c>
      <x:c r="Q2098" s="78" t="n">
        <x:f>IF(J2098&gt;0,M2098/J2098,0)</x:f>
        <x:v>0</x:v>
      </x:c>
      <x:c r="R2098" s="78" t="n">
        <x:f>IF(B2098='Inputs'!$H$49,'Inputs'!$B$27*'Inputs'!$I$49,0)</x:f>
        <x:v>0</x:v>
      </x:c>
      <x:c r="S2098" s="78" t="n">
        <x:f>Q2098+G2098+R2098</x:f>
        <x:v>811956.9806717981</x:v>
      </x:c>
      <x:c r="T2098" s="78" t="n">
        <x:f>P2098*(S2098*(1-'Inputs'!$B$15))/(O2098+S2098*(1-'Inputs'!$B$15))</x:f>
        <x:v>8.035704725808451e-7</x:v>
      </x:c>
      <x:c r="U2098" s="78" t="n">
        <x:f>O2098+S2098*(1-'Inputs'!$B$17)</x:f>
        <x:v>348506363356.664</x:v>
      </x:c>
      <x:c r="V2098" s="78" t="n">
        <x:f>P2098-T2098</x:f>
        <x:v>0.3483898229612363</x:v>
      </x:c>
      <x:c r="W2098" s="79" t="n">
        <x:f>IF(U2098&gt;0,V2098/U2098,0)</x:f>
        <x:v>9.99665600380133e-13</x:v>
      </x:c>
      <x:c r="X2098" s="80" t="n">
        <x:f>W2098*('Inputs'!$B$6-AC2098)</x:f>
        <x:v>-0.02315002997303757</x:v>
      </x:c>
      <x:c r="Y2098" s="80" t="n">
        <x:f>2*V2098</x:f>
        <x:v>0.6967796459224725</x:v>
      </x:c>
      <x:c r="Z2098" s="80" t="n">
        <x:f>K2098*'Inputs'!$B$16+(G2098+R2098)*J2098*'Inputs'!$B$16</x:f>
        <x:v>0.003135520508920689</x:v>
      </x:c>
      <x:c r="AA2098" s="80" t="n">
        <x:f>K2098*(1+'Inputs'!$E$49)/2*'Inputs'!$B$17</x:f>
        <x:v>0.0010199363412548017</x:v>
      </x:c>
      <x:c r="AB2098" s="78" t="n">
        <x:f>(IF(J2098&gt;0,K2098*(1-'Inputs'!$E$49)/2/J2098,0)+G2098+R2098)*'Inputs'!$B$17</x:f>
        <x:v>3267.4325177939563</x:v>
      </x:c>
      <x:c r="AC2098" s="78" t="n">
        <x:f>AC2097+AB2098</x:f>
        <x:v>24157773923.834667</x:v>
      </x:c>
      <x:c r="AD2098" s="80" t="n">
        <x:f>Z2098/(1+'Inputs'!$C$49)</x:f>
        <x:v>0.0007838801272301723</x:v>
      </x:c>
      <x:c r="AE2098" s="80" t="n">
        <x:f>Z2098-AD2098</x:f>
        <x:v>0.0023516403816905168</x:v>
      </x:c>
      <x:c r="AF2098" s="80" t="n">
        <x:f>D2098*W2098</x:f>
        <x:v>2.6749754283280847e-7</x:v>
      </x:c>
      <x:c r="AG2098" s="80" t="n">
        <x:f>C2098*W2098</x:f>
        <x:v>6.24160933276578e-7</x:v>
      </x:c>
      <x:c r="AH2098" s="80" t="n">
        <x:f>2*'Inputs'!$B$8*'Inputs'!$C$49</x:f>
        <x:v>15000</x:v>
      </x:c>
      <x:c r="AI2098" s="81" t="n">
        <x:f>IF(AH2098&gt;0,(AE2098+AF2098)/AH2098*365,0)</x:f>
        <x:v>0.00005722975839467817</x:v>
      </x:c>
      <x:c r="AJ2098" s="81" t="n">
        <x:f>IF('Inputs'!$B$49&gt;0,AG2098/('Inputs'!$B$19*'Inputs'!$B$49)*365,0)</x:f>
        <x:v>2.2781874064595098e-8</x:v>
      </x:c>
      <x:c r="AK2098" s="81" t="n">
        <x:f>W2098/MAX($W$1829:W2098)-1</x:f>
        <x:v>-0.9999999987121357</x:v>
      </x:c>
      <x:c r="AL2098" s="83" t="n">
        <x:f>'Inputs'!$B$49</x:f>
        <x:v>1</x:v>
      </x:c>
      <x:c r="AM2098" s="83" t="n">
        <x:f>'Inputs'!$C$49</x:f>
        <x:v>3</x:v>
      </x:c>
      <x:c r="AN2098" s="83" t="n">
        <x:f>'Inputs'!$D$49</x:f>
        <x:v>0.75</x:v>
      </x:c>
      <x:c r="AO2098" s="81" t="n">
        <x:f>'Inputs'!$E$49</x:f>
        <x:v>-0.03</x:v>
      </x:c>
    </x:row>
    <x:row r="2099">
      <x:c r="A2099" s="59" t="str">
        <x:v>Mercenary LP</x:v>
      </x:c>
      <x:c r="B2099" s="59" t="n">
        <x:v>271</x:v>
      </x:c>
      <x:c r="C2099" s="78" t="n">
        <x:f>(('Inputs'!$B$29*(3*271*'Inputs'!$B$12-271^2)/(2*'Inputs'!$B$12^2))-('Inputs'!$B$29*(3*270*'Inputs'!$B$12-270^2)/(2*'Inputs'!$B$12^2)))*'Inputs'!$B$49</x:f>
        <x:v>624044.6143741608</x:v>
      </x:c>
      <x:c r="D2099" s="78" t="n">
        <x:f>IF('Inputs'!$C$49&gt;0,('Inputs'!$B$30*(3*271*'Inputs'!$B$12-271^2)/(2*'Inputs'!$B$12^2))-('Inputs'!$B$30*(3*270*'Inputs'!$B$12-270^2)/(2*'Inputs'!$B$12^2)),0)</x:f>
        <x:v>267447.6918746531</x:v>
      </x:c>
      <x:c r="E2099" s="78" t="n">
        <x:f>C2099+D2099</x:f>
        <x:v>891492.3062488139</x:v>
      </x:c>
      <x:c r="F2099" s="78" t="n">
        <x:f>'Inputs'!$B$13*E2099+(1-'Inputs'!$B$13)/'Inputs'!$B$14*SUM(E2044:E2099)</x:f>
        <x:v>901709.9831112752</x:v>
      </x:c>
      <x:c r="G2099" s="78" t="n">
        <x:f>F2099*'Inputs'!$F$49</x:f>
        <x:v>811538.9848001477</x:v>
      </x:c>
      <x:c r="H2099" s="78" t="n">
        <x:f>U2098</x:f>
        <x:v>348506363356.664</x:v>
      </x:c>
      <x:c r="I2099" s="78" t="n">
        <x:f>V2098</x:f>
        <x:v>0.3483898229612363</x:v>
      </x:c>
      <x:c r="J2099" s="79" t="n">
        <x:f>IF(H2099&gt;0,I2099/H2099,0)</x:f>
        <x:v>9.99665600380133e-13</x:v>
      </x:c>
      <x:c r="K2099" s="80" t="n">
        <x:f>(H2099*J2099+I2099)*'Inputs'!$D$49*(1+'Inputs'!$G$49)^(B2099/30)</x:f>
        <x:v>0.5225847344418544</x:v>
      </x:c>
      <x:c r="L2099" s="80" t="n">
        <x:f>MAX(0,K2099*'Inputs'!$E$49)</x:f>
        <x:v>0</x:v>
      </x:c>
      <x:c r="M2099" s="80" t="n">
        <x:f>MAX(0,-K2099*'Inputs'!$E$49)</x:f>
        <x:v>0.01567754203325563</x:v>
      </x:c>
      <x:c r="N2099" s="78" t="n">
        <x:f>H2099*(L2099*(1-'Inputs'!$B$15))/(I2099+L2099*(1-'Inputs'!$B$15))</x:f>
        <x:v>0</x:v>
      </x:c>
      <x:c r="O2099" s="78" t="n">
        <x:f>H2099-N2099</x:f>
        <x:v>348506363356.664</x:v>
      </x:c>
      <x:c r="P2099" s="78" t="n">
        <x:f>I2099+L2099*(1-'Inputs'!$B$17)</x:f>
        <x:v>0.3483898229612363</x:v>
      </x:c>
      <x:c r="Q2099" s="78" t="n">
        <x:f>IF(J2099&gt;0,M2099/J2099,0)</x:f>
        <x:v>0</x:v>
      </x:c>
      <x:c r="R2099" s="78" t="n">
        <x:f>IF(B2099='Inputs'!$H$49,'Inputs'!$B$27*'Inputs'!$I$49,0)</x:f>
        <x:v>0</x:v>
      </x:c>
      <x:c r="S2099" s="78" t="n">
        <x:f>Q2099+G2099+R2099</x:f>
        <x:v>811538.9848001477</x:v>
      </x:c>
      <x:c r="T2099" s="78" t="n">
        <x:f>P2099*(S2099*(1-'Inputs'!$B$15))/(O2099+S2099*(1-'Inputs'!$B$15))</x:f>
        <x:v>8.031530788712414e-7</x:v>
      </x:c>
      <x:c r="U2099" s="78" t="n">
        <x:f>O2099+S2099*(1-'Inputs'!$B$17)</x:f>
        <x:v>348507171629.8984</x:v>
      </x:c>
      <x:c r="V2099" s="78" t="n">
        <x:f>P2099-T2099</x:f>
        <x:v>0.3483890198081574</x:v>
      </x:c>
      <x:c r="W2099" s="79" t="n">
        <x:f>IF(U2099&gt;0,V2099/U2099,0)</x:f>
        <x:v>9.996609773589783e-13</x:v>
      </x:c>
      <x:c r="X2099" s="80" t="n">
        <x:f>W2099*('Inputs'!$B$6-AC2099)</x:f>
        <x:v>-0.023149926178802106</x:v>
      </x:c>
      <x:c r="Y2099" s="80" t="n">
        <x:f>2*V2099</x:f>
        <x:v>0.6967780396163148</x:v>
      </x:c>
      <x:c r="Z2099" s="80" t="n">
        <x:f>K2099*'Inputs'!$B$16+(G2099+R2099)*J2099*'Inputs'!$B$16</x:f>
        <x:v>0.0031355132742567652</x:v>
      </x:c>
      <x:c r="AA2099" s="80" t="n">
        <x:f>K2099*(1+'Inputs'!$E$49)/2*'Inputs'!$B$17</x:f>
        <x:v>0.0010199339887496956</x:v>
      </x:c>
      <x:c r="AB2099" s="78" t="n">
        <x:f>(IF(J2099&gt;0,K2099*(1-'Inputs'!$E$49)/2/J2099,0)+G2099+R2099)*'Inputs'!$B$17</x:f>
        <x:v>3265.7504418517015</x:v>
      </x:c>
      <x:c r="AC2099" s="78" t="n">
        <x:f>AC2098+AB2099</x:f>
        <x:v>24157777189.58511</x:v>
      </x:c>
      <x:c r="AD2099" s="80" t="n">
        <x:f>Z2099/(1+'Inputs'!$C$49)</x:f>
        <x:v>0.0007838783185641913</x:v>
      </x:c>
      <x:c r="AE2099" s="80" t="n">
        <x:f>Z2099-AD2099</x:f>
        <x:v>0.0023516349556925737</x:v>
      </x:c>
      <x:c r="AF2099" s="80" t="n">
        <x:f>D2099*W2099</x:f>
        <x:v>2.673570210518186e-7</x:v>
      </x:c>
      <x:c r="AG2099" s="80" t="n">
        <x:f>C2099*W2099</x:f>
        <x:v>6.238330491208803e-7</x:v>
      </x:c>
      <x:c r="AH2099" s="80" t="n">
        <x:f>2*'Inputs'!$B$8*'Inputs'!$C$49</x:f>
        <x:v>15000</x:v>
      </x:c>
      <x:c r="AI2099" s="81" t="n">
        <x:f>IF(AH2099&gt;0,(AE2099+AF2099)/AH2099*365,0)</x:f>
        <x:v>0.00005722962294269822</x:v>
      </x:c>
      <x:c r="AJ2099" s="81" t="n">
        <x:f>IF('Inputs'!$B$49&gt;0,AG2099/('Inputs'!$B$19*'Inputs'!$B$49)*365,0)</x:f>
        <x:v>2.276990629291213e-8</x:v>
      </x:c>
      <x:c r="AK2099" s="81" t="n">
        <x:f>W2099/MAX($W$1829:W2099)-1</x:f>
        <x:v>-0.9999999987121417</x:v>
      </x:c>
      <x:c r="AL2099" s="83" t="n">
        <x:f>'Inputs'!$B$49</x:f>
        <x:v>1</x:v>
      </x:c>
      <x:c r="AM2099" s="83" t="n">
        <x:f>'Inputs'!$C$49</x:f>
        <x:v>3</x:v>
      </x:c>
      <x:c r="AN2099" s="83" t="n">
        <x:f>'Inputs'!$D$49</x:f>
        <x:v>0.75</x:v>
      </x:c>
      <x:c r="AO2099" s="81" t="n">
        <x:f>'Inputs'!$E$49</x:f>
        <x:v>-0.03</x:v>
      </x:c>
    </x:row>
    <x:row r="2100">
      <x:c r="A2100" s="59" t="str">
        <x:v>Mercenary LP</x:v>
      </x:c>
      <x:c r="B2100" s="59" t="n">
        <x:v>272</x:v>
      </x:c>
      <x:c r="C2100" s="78" t="n">
        <x:f>(('Inputs'!$B$29*(3*272*'Inputs'!$B$12-272^2)/(2*'Inputs'!$B$12^2))-('Inputs'!$B$29*(3*271*'Inputs'!$B$12-271^2)/(2*'Inputs'!$B$12^2)))*'Inputs'!$B$49</x:f>
        <x:v>623719.5064740181</x:v>
      </x:c>
      <x:c r="D2100" s="78" t="n">
        <x:f>IF('Inputs'!$C$49&gt;0,('Inputs'!$B$30*(3*272*'Inputs'!$B$12-272^2)/(2*'Inputs'!$B$12^2))-('Inputs'!$B$30*(3*271*'Inputs'!$B$12-271^2)/(2*'Inputs'!$B$12^2)),0)</x:f>
        <x:v>267308.35991743207</x:v>
      </x:c>
      <x:c r="E2100" s="78" t="n">
        <x:f>C2100+D2100</x:f>
        <x:v>891027.8663914502</x:v>
      </x:c>
      <x:c r="F2100" s="78" t="n">
        <x:f>'Inputs'!$B$13*E2100+(1-'Inputs'!$B$13)/'Inputs'!$B$14*SUM(E2045:E2100)</x:f>
        <x:v>901245.5432538954</x:v>
      </x:c>
      <x:c r="G2100" s="78" t="n">
        <x:f>F2100*'Inputs'!$F$49</x:f>
        <x:v>811120.9889285058</x:v>
      </x:c>
      <x:c r="H2100" s="78" t="n">
        <x:f>U2099</x:f>
        <x:v>348507171629.8984</x:v>
      </x:c>
      <x:c r="I2100" s="78" t="n">
        <x:f>V2099</x:f>
        <x:v>0.3483890198081574</x:v>
      </x:c>
      <x:c r="J2100" s="79" t="n">
        <x:f>IF(H2100&gt;0,I2100/H2100,0)</x:f>
        <x:v>9.996609773589783e-13</x:v>
      </x:c>
      <x:c r="K2100" s="80" t="n">
        <x:f>(H2100*J2100+I2100)*'Inputs'!$D$49*(1+'Inputs'!$G$49)^(B2100/30)</x:f>
        <x:v>0.5225835297122361</x:v>
      </x:c>
      <x:c r="L2100" s="80" t="n">
        <x:f>MAX(0,K2100*'Inputs'!$E$49)</x:f>
        <x:v>0</x:v>
      </x:c>
      <x:c r="M2100" s="80" t="n">
        <x:f>MAX(0,-K2100*'Inputs'!$E$49)</x:f>
        <x:v>0.015677505891367082</x:v>
      </x:c>
      <x:c r="N2100" s="78" t="n">
        <x:f>H2100*(L2100*(1-'Inputs'!$B$15))/(I2100+L2100*(1-'Inputs'!$B$15))</x:f>
        <x:v>0</x:v>
      </x:c>
      <x:c r="O2100" s="78" t="n">
        <x:f>H2100-N2100</x:f>
        <x:v>348507171629.8984</x:v>
      </x:c>
      <x:c r="P2100" s="78" t="n">
        <x:f>I2100+L2100*(1-'Inputs'!$B$17)</x:f>
        <x:v>0.3483890198081574</x:v>
      </x:c>
      <x:c r="Q2100" s="78" t="n">
        <x:f>IF(J2100&gt;0,M2100/J2100,0)</x:f>
        <x:v>0</x:v>
      </x:c>
      <x:c r="R2100" s="78" t="n">
        <x:f>IF(B2100='Inputs'!$H$49,'Inputs'!$B$27*'Inputs'!$I$49,0)</x:f>
        <x:v>0</x:v>
      </x:c>
      <x:c r="S2100" s="78" t="n">
        <x:f>Q2100+G2100+R2100</x:f>
        <x:v>811120.9889285058</x:v>
      </x:c>
      <x:c r="T2100" s="78" t="n">
        <x:f>P2100*(S2100*(1-'Inputs'!$B$15))/(O2100+S2100*(1-'Inputs'!$B$15))</x:f>
        <x:v>8.027356909266796e-7</x:v>
      </x:c>
      <x:c r="U2100" s="78" t="n">
        <x:f>O2100+S2100*(1-'Inputs'!$B$17)</x:f>
        <x:v>348507979486.8189</x:v>
      </x:c>
      <x:c r="V2100" s="78" t="n">
        <x:f>P2100-T2100</x:f>
        <x:v>0.3483882170724665</x:v>
      </x:c>
      <x:c r="W2100" s="79" t="n">
        <x:f>IF(U2100&gt;0,V2100/U2100,0)</x:f>
        <x:v>9.996563567510597e-13</x:v>
      </x:c>
      <x:c r="X2100" s="80" t="n">
        <x:f>W2100*('Inputs'!$B$6-AC2100)</x:f>
        <x:v>-0.02314982243874014</x:v>
      </x:c>
      <x:c r="Y2100" s="80" t="n">
        <x:f>2*V2100</x:f>
        <x:v>0.696776434144933</x:v>
      </x:c>
      <x:c r="Z2100" s="80" t="n">
        <x:f>K2100*'Inputs'!$B$16+(G2100+R2100)*J2100*'Inputs'!$B$16</x:f>
        <x:v>0.0031355060433494197</x:v>
      </x:c>
      <x:c r="AA2100" s="80" t="n">
        <x:f>K2100*(1+'Inputs'!$E$49)/2*'Inputs'!$B$17</x:f>
        <x:v>0.0010199316374665374</x:v>
      </x:c>
      <x:c r="AB2100" s="78" t="n">
        <x:f>(IF(J2100&gt;0,K2100*(1-'Inputs'!$E$49)/2/J2100,0)+G2100+R2100)*'Inputs'!$B$17</x:f>
        <x:v>3264.0683659094802</x:v>
      </x:c>
      <x:c r="AC2100" s="78" t="n">
        <x:f>AC2099+AB2100</x:f>
        <x:v>24157780453.653477</x:v>
      </x:c>
      <x:c r="AD2100" s="80" t="n">
        <x:f>Z2100/(1+'Inputs'!$C$49)</x:f>
        <x:v>0.0007838765108373549</x:v>
      </x:c>
      <x:c r="AE2100" s="80" t="n">
        <x:f>Z2100-AD2100</x:f>
        <x:v>0.002351629532512065</x:v>
      </x:c>
      <x:c r="AF2100" s="80" t="n">
        <x:f>D2100*W2100</x:f>
        <x:v>2.6721650120416114e-7</x:v>
      </x:c>
      <x:c r="AG2100" s="80" t="n">
        <x:f>C2100*W2100</x:f>
        <x:v>6.23505169476386e-7</x:v>
      </x:c>
      <x:c r="AH2100" s="80" t="n">
        <x:f>2*'Inputs'!$B$8*'Inputs'!$C$49</x:f>
        <x:v>15000</x:v>
      </x:c>
      <x:c r="AI2100" s="81" t="n">
        <x:f>IF(AH2100&gt;0,(AE2100+AF2100)/AH2100*365,0)</x:f>
        <x:v>0.00005722948755932288</x:v>
      </x:c>
      <x:c r="AJ2100" s="81" t="n">
        <x:f>IF('Inputs'!$B$49&gt;0,AG2100/('Inputs'!$B$19*'Inputs'!$B$49)*365,0)</x:f>
        <x:v>2.275793868588809e-8</x:v>
      </x:c>
      <x:c r="AK2100" s="81" t="n">
        <x:f>W2100/MAX($W$1829:W2100)-1</x:f>
        <x:v>-0.9999999987121476</x:v>
      </x:c>
      <x:c r="AL2100" s="83" t="n">
        <x:f>'Inputs'!$B$49</x:f>
        <x:v>1</x:v>
      </x:c>
      <x:c r="AM2100" s="83" t="n">
        <x:f>'Inputs'!$C$49</x:f>
        <x:v>3</x:v>
      </x:c>
      <x:c r="AN2100" s="83" t="n">
        <x:f>'Inputs'!$D$49</x:f>
        <x:v>0.75</x:v>
      </x:c>
      <x:c r="AO2100" s="81" t="n">
        <x:f>'Inputs'!$E$49</x:f>
        <x:v>-0.03</x:v>
      </x:c>
    </x:row>
    <x:row r="2101">
      <x:c r="A2101" s="59" t="str">
        <x:v>Mercenary LP</x:v>
      </x:c>
      <x:c r="B2101" s="59" t="n">
        <x:v>273</x:v>
      </x:c>
      <x:c r="C2101" s="78" t="n">
        <x:f>(('Inputs'!$B$29*(3*273*'Inputs'!$B$12-273^2)/(2*'Inputs'!$B$12^2))-('Inputs'!$B$29*(3*272*'Inputs'!$B$12-272^2)/(2*'Inputs'!$B$12^2)))*'Inputs'!$B$49</x:f>
        <x:v>623394.3985738456</x:v>
      </x:c>
      <x:c r="D2101" s="78" t="n">
        <x:f>IF('Inputs'!$C$49&gt;0,('Inputs'!$B$30*(3*273*'Inputs'!$B$12-273^2)/(2*'Inputs'!$B$12^2))-('Inputs'!$B$30*(3*272*'Inputs'!$B$12-272^2)/(2*'Inputs'!$B$12^2)),0)</x:f>
        <x:v>267169.02796022594</x:v>
      </x:c>
      <x:c r="E2101" s="78" t="n">
        <x:f>C2101+D2101</x:f>
        <x:v>890563.4265340716</x:v>
      </x:c>
      <x:c r="F2101" s="78" t="n">
        <x:f>'Inputs'!$B$13*E2101+(1-'Inputs'!$B$13)/'Inputs'!$B$14*SUM(E2046:E2101)</x:f>
        <x:v>900781.1033965126</x:v>
      </x:c>
      <x:c r="G2101" s="78" t="n">
        <x:f>F2101*'Inputs'!$F$49</x:f>
        <x:v>810702.9930568613</x:v>
      </x:c>
      <x:c r="H2101" s="78" t="n">
        <x:f>U2100</x:f>
        <x:v>348507979486.8189</x:v>
      </x:c>
      <x:c r="I2101" s="78" t="n">
        <x:f>V2100</x:f>
        <x:v>0.3483882170724665</x:v>
      </x:c>
      <x:c r="J2101" s="79" t="n">
        <x:f>IF(H2101&gt;0,I2101/H2101,0)</x:f>
        <x:v>9.996563567510597e-13</x:v>
      </x:c>
      <x:c r="K2101" s="80" t="n">
        <x:f>(H2101*J2101+I2101)*'Inputs'!$D$49*(1+'Inputs'!$G$49)^(B2101/30)</x:f>
        <x:v>0.5225823256086997</x:v>
      </x:c>
      <x:c r="L2101" s="80" t="n">
        <x:f>MAX(0,K2101*'Inputs'!$E$49)</x:f>
        <x:v>0</x:v>
      </x:c>
      <x:c r="M2101" s="80" t="n">
        <x:f>MAX(0,-K2101*'Inputs'!$E$49)</x:f>
        <x:v>0.01567746976826099</x:v>
      </x:c>
      <x:c r="N2101" s="78" t="n">
        <x:f>H2101*(L2101*(1-'Inputs'!$B$15))/(I2101+L2101*(1-'Inputs'!$B$15))</x:f>
        <x:v>0</x:v>
      </x:c>
      <x:c r="O2101" s="78" t="n">
        <x:f>H2101-N2101</x:f>
        <x:v>348507979486.8189</x:v>
      </x:c>
      <x:c r="P2101" s="78" t="n">
        <x:f>I2101+L2101*(1-'Inputs'!$B$17)</x:f>
        <x:v>0.3483882170724665</x:v>
      </x:c>
      <x:c r="Q2101" s="78" t="n">
        <x:f>IF(J2101&gt;0,M2101/J2101,0)</x:f>
        <x:v>0</x:v>
      </x:c>
      <x:c r="R2101" s="78" t="n">
        <x:f>IF(B2101='Inputs'!$H$49,'Inputs'!$B$27*'Inputs'!$I$49,0)</x:f>
        <x:v>0</x:v>
      </x:c>
      <x:c r="S2101" s="78" t="n">
        <x:f>Q2101+G2101+R2101</x:f>
        <x:v>810702.9930568613</x:v>
      </x:c>
      <x:c r="T2101" s="78" t="n">
        <x:f>P2101*(S2101*(1-'Inputs'!$B$15))/(O2101+S2101*(1-'Inputs'!$B$15))</x:f>
        <x:v>8.023183087441126e-7</x:v>
      </x:c>
      <x:c r="U2101" s="78" t="n">
        <x:f>O2101+S2101*(1-'Inputs'!$B$17)</x:f>
        <x:v>348508786927.42566</x:v>
      </x:c>
      <x:c r="V2101" s="78" t="n">
        <x:f>P2101-T2101</x:f>
        <x:v>0.34838741475415774</x:v>
      </x:c>
      <x:c r="W2101" s="79" t="n">
        <x:f>IF(U2101&gt;0,V2101/U2101,0)</x:f>
        <x:v>9.996517385563275e-13</x:v>
      </x:c>
      <x:c r="X2101" s="80" t="n">
        <x:f>W2101*('Inputs'!$B$6-AC2101)</x:f>
        <x:v>-0.023149718752850566</x:v>
      </x:c>
      <x:c r="Y2101" s="80" t="n">
        <x:f>2*V2101</x:f>
        <x:v>0.6967748295083155</x:v>
      </x:c>
      <x:c r="Z2101" s="80" t="n">
        <x:f>K2101*'Inputs'!$B$16+(G2101+R2101)*J2101*'Inputs'!$B$16</x:f>
        <x:v>0.003135498816198601</x:v>
      </x:c>
      <x:c r="AA2101" s="80" t="n">
        <x:f>K2101*(1+'Inputs'!$E$49)/2*'Inputs'!$B$17</x:f>
        <x:v>0.0010199292874053093</x:v>
      </x:c>
      <x:c r="AB2101" s="78" t="n">
        <x:f>(IF(J2101&gt;0,K2101*(1-'Inputs'!$E$49)/2/J2101,0)+G2101+R2101)*'Inputs'!$B$17</x:f>
        <x:v>3262.386289967249</x:v>
      </x:c>
      <x:c r="AC2101" s="78" t="n">
        <x:f>AC2100+AB2101</x:f>
        <x:v>24157783716.03977</x:v>
      </x:c>
      <x:c r="AD2101" s="80" t="n">
        <x:f>Z2101/(1+'Inputs'!$C$49)</x:f>
        <x:v>0.0007838747040496502</x:v>
      </x:c>
      <x:c r="AE2101" s="80" t="n">
        <x:f>Z2101-AD2101</x:f>
        <x:v>0.002351624112148951</x:v>
      </x:c>
      <x:c r="AF2101" s="80" t="n">
        <x:f>D2101*W2101</x:f>
        <x:v>2.670759832888439e-7</x:v>
      </x:c>
      <x:c r="AG2101" s="80" t="n">
        <x:f>C2101*W2101</x:f>
        <x:v>6.23177294340621e-7</x:v>
      </x:c>
      <x:c r="AH2101" s="80" t="n">
        <x:f>2*'Inputs'!$B$8*'Inputs'!$C$49</x:f>
        <x:v>15000</x:v>
      </x:c>
      <x:c r="AI2101" s="81" t="n">
        <x:f>IF(AH2101&gt;0,(AE2101+AF2101)/AH2101*365,0)</x:f>
        <x:v>0.000057229352244551165</x:v>
      </x:c>
      <x:c r="AJ2101" s="81" t="n">
        <x:f>IF('Inputs'!$B$49&gt;0,AG2101/('Inputs'!$B$19*'Inputs'!$B$49)*365,0)</x:f>
        <x:v>2.2745971243432665e-8</x:v>
      </x:c>
      <x:c r="AK2101" s="81" t="n">
        <x:f>W2101/MAX($W$1829:W2101)-1</x:f>
        <x:v>-0.9999999987121536</x:v>
      </x:c>
      <x:c r="AL2101" s="83" t="n">
        <x:f>'Inputs'!$B$49</x:f>
        <x:v>1</x:v>
      </x:c>
      <x:c r="AM2101" s="83" t="n">
        <x:f>'Inputs'!$C$49</x:f>
        <x:v>3</x:v>
      </x:c>
      <x:c r="AN2101" s="83" t="n">
        <x:f>'Inputs'!$D$49</x:f>
        <x:v>0.75</x:v>
      </x:c>
      <x:c r="AO2101" s="81" t="n">
        <x:f>'Inputs'!$E$49</x:f>
        <x:v>-0.03</x:v>
      </x:c>
    </x:row>
    <x:row r="2102">
      <x:c r="A2102" s="59" t="str">
        <x:v>Mercenary LP</x:v>
      </x:c>
      <x:c r="B2102" s="59" t="n">
        <x:v>274</x:v>
      </x:c>
      <x:c r="C2102" s="78" t="n">
        <x:f>(('Inputs'!$B$29*(3*274*'Inputs'!$B$12-274^2)/(2*'Inputs'!$B$12^2))-('Inputs'!$B$29*(3*273*'Inputs'!$B$12-273^2)/(2*'Inputs'!$B$12^2)))*'Inputs'!$B$49</x:f>
        <x:v>623069.2906736732</x:v>
      </x:c>
      <x:c r="D2102" s="78" t="n">
        <x:f>IF('Inputs'!$C$49&gt;0,('Inputs'!$B$30*(3*274*'Inputs'!$B$12-274^2)/(2*'Inputs'!$B$12^2))-('Inputs'!$B$30*(3*273*'Inputs'!$B$12-273^2)/(2*'Inputs'!$B$12^2)),0)</x:f>
        <x:v>267029.69600299</x:v>
      </x:c>
      <x:c r="E2102" s="78" t="n">
        <x:f>C2102+D2102</x:f>
        <x:v>890098.9866766632</x:v>
      </x:c>
      <x:c r="F2102" s="78" t="n">
        <x:f>'Inputs'!$B$13*E2102+(1-'Inputs'!$B$13)/'Inputs'!$B$14*SUM(E2047:E2102)</x:f>
        <x:v>900316.663539123</x:v>
      </x:c>
      <x:c r="G2102" s="78" t="n">
        <x:f>F2102*'Inputs'!$F$49</x:f>
        <x:v>810284.9971852107</x:v>
      </x:c>
      <x:c r="H2102" s="78" t="n">
        <x:f>U2101</x:f>
        <x:v>348508786927.42566</x:v>
      </x:c>
      <x:c r="I2102" s="78" t="n">
        <x:f>V2101</x:f>
        <x:v>0.34838741475415774</x:v>
      </x:c>
      <x:c r="J2102" s="79" t="n">
        <x:f>IF(H2102&gt;0,I2102/H2102,0)</x:f>
        <x:v>9.996517385563275e-13</x:v>
      </x:c>
      <x:c r="K2102" s="80" t="n">
        <x:f>(H2102*J2102+I2102)*'Inputs'!$D$49*(1+'Inputs'!$G$49)^(B2102/30)</x:f>
        <x:v>0.5225811221312366</x:v>
      </x:c>
      <x:c r="L2102" s="80" t="n">
        <x:f>MAX(0,K2102*'Inputs'!$E$49)</x:f>
        <x:v>0</x:v>
      </x:c>
      <x:c r="M2102" s="80" t="n">
        <x:f>MAX(0,-K2102*'Inputs'!$E$49)</x:f>
        <x:v>0.015677433663937097</x:v>
      </x:c>
      <x:c r="N2102" s="78" t="n">
        <x:f>H2102*(L2102*(1-'Inputs'!$B$15))/(I2102+L2102*(1-'Inputs'!$B$15))</x:f>
        <x:v>0</x:v>
      </x:c>
      <x:c r="O2102" s="78" t="n">
        <x:f>H2102-N2102</x:f>
        <x:v>348508786927.42566</x:v>
      </x:c>
      <x:c r="P2102" s="78" t="n">
        <x:f>I2102+L2102*(1-'Inputs'!$B$17)</x:f>
        <x:v>0.34838741475415774</x:v>
      </x:c>
      <x:c r="Q2102" s="78" t="n">
        <x:f>IF(J2102&gt;0,M2102/J2102,0)</x:f>
        <x:v>0</x:v>
      </x:c>
      <x:c r="R2102" s="78" t="n">
        <x:f>IF(B2102='Inputs'!$H$49,'Inputs'!$B$27*'Inputs'!$I$49,0)</x:f>
        <x:v>0</x:v>
      </x:c>
      <x:c r="S2102" s="78" t="n">
        <x:f>Q2102+G2102+R2102</x:f>
        <x:v>810284.9971852107</x:v>
      </x:c>
      <x:c r="T2102" s="78" t="n">
        <x:f>P2102*(S2102*(1-'Inputs'!$B$15))/(O2102+S2102*(1-'Inputs'!$B$15))</x:f>
        <x:v>8.019009323205008e-7</x:v>
      </x:c>
      <x:c r="U2102" s="78" t="n">
        <x:f>O2102+S2102*(1-'Inputs'!$B$17)</x:f>
        <x:v>348509593951.7186</x:v>
      </x:c>
      <x:c r="V2102" s="78" t="n">
        <x:f>P2102-T2102</x:f>
        <x:v>0.3483866128532254</x:v>
      </x:c>
      <x:c r="W2102" s="79" t="n">
        <x:f>IF(U2102&gt;0,V2102/U2102,0)</x:f>
        <x:v>9.996471227747313e-13</x:v>
      </x:c>
      <x:c r="X2102" s="80" t="n">
        <x:f>W2102*('Inputs'!$B$6-AC2102)</x:f>
        <x:v>-0.023149615121132262</x:v>
      </x:c>
      <x:c r="Y2102" s="80" t="n">
        <x:f>2*V2102</x:f>
        <x:v>0.6967732257064508</x:v>
      </x:c>
      <x:c r="Z2102" s="80" t="n">
        <x:f>K2102*'Inputs'!$B$16+(G2102+R2102)*J2102*'Inputs'!$B$16</x:f>
        <x:v>0.003135491592804257</x:v>
      </x:c>
      <x:c r="AA2102" s="80" t="n">
        <x:f>K2102*(1+'Inputs'!$E$49)/2*'Inputs'!$B$17</x:f>
        <x:v>0.001019926938565995</x:v>
      </x:c>
      <x:c r="AB2102" s="78" t="n">
        <x:f>(IF(J2102&gt;0,K2102*(1-'Inputs'!$E$49)/2/J2102,0)+G2102+R2102)*'Inputs'!$B$17</x:f>
        <x:v>3260.7042140249932</x:v>
      </x:c>
      <x:c r="AC2102" s="78" t="n">
        <x:f>AC2101+AB2102</x:f>
        <x:v>24157786976.74398</x:v>
      </x:c>
      <x:c r="AD2102" s="80" t="n">
        <x:f>Z2102/(1+'Inputs'!$C$49)</x:f>
        <x:v>0.0007838728982010642</x:v>
      </x:c>
      <x:c r="AE2102" s="80" t="n">
        <x:f>Z2102-AD2102</x:f>
        <x:v>0.0023516186946031924</x:v>
      </x:c>
      <x:c r="AF2102" s="80" t="n">
        <x:f>D2102*W2102</x:f>
        <x:v>2.6693546730480015e-7</x:v>
      </x:c>
      <x:c r="AG2102" s="80" t="n">
        <x:f>C2102*W2102</x:f>
        <x:v>6.228494237112301e-7</x:v>
      </x:c>
      <x:c r="AH2102" s="80" t="n">
        <x:f>2*'Inputs'!$B$8*'Inputs'!$C$49</x:f>
        <x:v>15000</x:v>
      </x:c>
      <x:c r="AI2102" s="81" t="n">
        <x:f>IF(AH2102&gt;0,(AE2102+AF2102)/AH2102*365,0)</x:f>
        <x:v>0.0000572292169983821</x:v>
      </x:c>
      <x:c r="AJ2102" s="81" t="n">
        <x:f>IF('Inputs'!$B$49&gt;0,AG2102/('Inputs'!$B$19*'Inputs'!$B$49)*365,0)</x:f>
        <x:v>2.2734003965459897e-8</x:v>
      </x:c>
      <x:c r="AK2102" s="81" t="n">
        <x:f>W2102/MAX($W$1829:W2102)-1</x:f>
        <x:v>-0.9999999987121596</x:v>
      </x:c>
      <x:c r="AL2102" s="83" t="n">
        <x:f>'Inputs'!$B$49</x:f>
        <x:v>1</x:v>
      </x:c>
      <x:c r="AM2102" s="83" t="n">
        <x:f>'Inputs'!$C$49</x:f>
        <x:v>3</x:v>
      </x:c>
      <x:c r="AN2102" s="83" t="n">
        <x:f>'Inputs'!$D$49</x:f>
        <x:v>0.75</x:v>
      </x:c>
      <x:c r="AO2102" s="81" t="n">
        <x:f>'Inputs'!$E$49</x:f>
        <x:v>-0.03</x:v>
      </x:c>
    </x:row>
    <x:row r="2103">
      <x:c r="A2103" s="59" t="str">
        <x:v>Mercenary LP</x:v>
      </x:c>
      <x:c r="B2103" s="59" t="n">
        <x:v>275</x:v>
      </x:c>
      <x:c r="C2103" s="78" t="n">
        <x:f>(('Inputs'!$B$29*(3*275*'Inputs'!$B$12-275^2)/(2*'Inputs'!$B$12^2))-('Inputs'!$B$29*(3*274*'Inputs'!$B$12-274^2)/(2*'Inputs'!$B$12^2)))*'Inputs'!$B$49</x:f>
        <x:v>622744.1827735007</x:v>
      </x:c>
      <x:c r="D2103" s="78" t="n">
        <x:f>IF('Inputs'!$C$49&gt;0,('Inputs'!$B$30*(3*275*'Inputs'!$B$12-275^2)/(2*'Inputs'!$B$12^2))-('Inputs'!$B$30*(3*274*'Inputs'!$B$12-274^2)/(2*'Inputs'!$B$12^2)),0)</x:f>
        <x:v>266890.3640457988</x:v>
      </x:c>
      <x:c r="E2103" s="78" t="n">
        <x:f>C2103+D2103</x:f>
        <x:v>889634.5468192995</x:v>
      </x:c>
      <x:c r="F2103" s="78" t="n">
        <x:f>'Inputs'!$B$13*E2103+(1-'Inputs'!$B$13)/'Inputs'!$B$14*SUM(E2048:E2103)</x:f>
        <x:v>899852.2236817434</x:v>
      </x:c>
      <x:c r="G2103" s="78" t="n">
        <x:f>F2103*'Inputs'!$F$49</x:f>
        <x:v>809867.001313569</x:v>
      </x:c>
      <x:c r="H2103" s="78" t="n">
        <x:f>U2102</x:f>
        <x:v>348509593951.7186</x:v>
      </x:c>
      <x:c r="I2103" s="78" t="n">
        <x:f>V2102</x:f>
        <x:v>0.3483866128532254</x:v>
      </x:c>
      <x:c r="J2103" s="79" t="n">
        <x:f>IF(H2103&gt;0,I2103/H2103,0)</x:f>
        <x:v>9.996471227747313e-13</x:v>
      </x:c>
      <x:c r="K2103" s="80" t="n">
        <x:f>(H2103*J2103+I2103)*'Inputs'!$D$49*(1+'Inputs'!$G$49)^(B2103/30)</x:f>
        <x:v>0.5225799192798382</x:v>
      </x:c>
      <x:c r="L2103" s="80" t="n">
        <x:f>MAX(0,K2103*'Inputs'!$E$49)</x:f>
        <x:v>0</x:v>
      </x:c>
      <x:c r="M2103" s="80" t="n">
        <x:f>MAX(0,-K2103*'Inputs'!$E$49)</x:f>
        <x:v>0.015677397578395143</x:v>
      </x:c>
      <x:c r="N2103" s="78" t="n">
        <x:f>H2103*(L2103*(1-'Inputs'!$B$15))/(I2103+L2103*(1-'Inputs'!$B$15))</x:f>
        <x:v>0</x:v>
      </x:c>
      <x:c r="O2103" s="78" t="n">
        <x:f>H2103-N2103</x:f>
        <x:v>348509593951.7186</x:v>
      </x:c>
      <x:c r="P2103" s="78" t="n">
        <x:f>I2103+L2103*(1-'Inputs'!$B$17)</x:f>
        <x:v>0.3483866128532254</x:v>
      </x:c>
      <x:c r="Q2103" s="78" t="n">
        <x:f>IF(J2103&gt;0,M2103/J2103,0)</x:f>
        <x:v>0</x:v>
      </x:c>
      <x:c r="R2103" s="78" t="n">
        <x:f>IF(B2103='Inputs'!$H$49,'Inputs'!$B$27*'Inputs'!$I$49,0)</x:f>
        <x:v>0</x:v>
      </x:c>
      <x:c r="S2103" s="78" t="n">
        <x:f>Q2103+G2103+R2103</x:f>
        <x:v>809867.001313569</x:v>
      </x:c>
      <x:c r="T2103" s="78" t="n">
        <x:f>P2103*(S2103*(1-'Inputs'!$B$15))/(O2103+S2103*(1-'Inputs'!$B$15))</x:f>
        <x:v>8.014835616528238e-7</x:v>
      </x:c>
      <x:c r="U2103" s="78" t="n">
        <x:f>O2103+S2103*(1-'Inputs'!$B$17)</x:f>
        <x:v>348510400559.6978</x:v>
      </x:c>
      <x:c r="V2103" s="78" t="n">
        <x:f>P2103-T2103</x:f>
        <x:v>0.3483858113696638</x:v>
      </x:c>
      <x:c r="W2103" s="79" t="n">
        <x:f>IF(U2103&gt;0,V2103/U2103,0)</x:f>
        <x:v>9.996425094062215e-13</x:v>
      </x:c>
      <x:c r="X2103" s="80" t="n">
        <x:f>W2103*('Inputs'!$B$6-AC2103)</x:f>
        <x:v>-0.023149511543584137</x:v>
      </x:c>
      <x:c r="Y2103" s="80" t="n">
        <x:f>2*V2103</x:f>
        <x:v>0.6967716227393276</x:v>
      </x:c>
      <x:c r="Z2103" s="80" t="n">
        <x:f>K2103*'Inputs'!$B$16+(G2103+R2103)*J2103*'Inputs'!$B$16</x:f>
        <x:v>0.003135484373166335</x:v>
      </x:c>
      <x:c r="AA2103" s="80" t="n">
        <x:f>K2103*(1+'Inputs'!$E$49)/2*'Inputs'!$B$17</x:f>
        <x:v>0.0010199245909485776</x:v>
      </x:c>
      <x:c r="AB2103" s="78" t="n">
        <x:f>(IF(J2103&gt;0,K2103*(1-'Inputs'!$E$49)/2/J2103,0)+G2103+R2103)*'Inputs'!$B$17</x:f>
        <x:v>3259.022138082773</x:v>
      </x:c>
      <x:c r="AC2103" s="78" t="n">
        <x:f>AC2102+AB2103</x:f>
        <x:v>24157790235.766117</x:v>
      </x:c>
      <x:c r="AD2103" s="80" t="n">
        <x:f>Z2103/(1+'Inputs'!$C$49)</x:f>
        <x:v>0.0007838710932915838</x:v>
      </x:c>
      <x:c r="AE2103" s="80" t="n">
        <x:f>Z2103-AD2103</x:f>
        <x:v>0.002351613279874751</x:v>
      </x:c>
      <x:c r="AF2103" s="80" t="n">
        <x:f>D2103*W2103</x:f>
        <x:v>2.667949532510823e-7</x:v>
      </x:c>
      <x:c r="AG2103" s="80" t="n">
        <x:f>C2103*W2103</x:f>
        <x:v>6.225215575858289e-7</x:v>
      </x:c>
      <x:c r="AH2103" s="80" t="n">
        <x:f>2*'Inputs'!$B$8*'Inputs'!$C$49</x:f>
        <x:v>15000</x:v>
      </x:c>
      <x:c r="AI2103" s="81" t="n">
        <x:f>IF(AH2103&gt;0,(AE2103+AF2103)/AH2103*365,0)</x:f>
        <x:v>0.000057229081820814735</x:v>
      </x:c>
      <x:c r="AJ2103" s="81" t="n">
        <x:f>IF('Inputs'!$B$49&gt;0,AG2103/('Inputs'!$B$19*'Inputs'!$B$49)*365,0)</x:f>
        <x:v>2.2722036851882755e-8</x:v>
      </x:c>
      <x:c r="AK2103" s="81" t="n">
        <x:f>W2103/MAX($W$1829:W2103)-1</x:f>
        <x:v>-0.9999999987121655</x:v>
      </x:c>
      <x:c r="AL2103" s="83" t="n">
        <x:f>'Inputs'!$B$49</x:f>
        <x:v>1</x:v>
      </x:c>
      <x:c r="AM2103" s="83" t="n">
        <x:f>'Inputs'!$C$49</x:f>
        <x:v>3</x:v>
      </x:c>
      <x:c r="AN2103" s="83" t="n">
        <x:f>'Inputs'!$D$49</x:f>
        <x:v>0.75</x:v>
      </x:c>
      <x:c r="AO2103" s="81" t="n">
        <x:f>'Inputs'!$E$49</x:f>
        <x:v>-0.03</x:v>
      </x:c>
    </x:row>
    <x:row r="2104">
      <x:c r="A2104" s="59" t="str">
        <x:v>Mercenary LP</x:v>
      </x:c>
      <x:c r="B2104" s="59" t="n">
        <x:v>276</x:v>
      </x:c>
      <x:c r="C2104" s="78" t="n">
        <x:f>(('Inputs'!$B$29*(3*276*'Inputs'!$B$12-276^2)/(2*'Inputs'!$B$12^2))-('Inputs'!$B$29*(3*275*'Inputs'!$B$12-275^2)/(2*'Inputs'!$B$12^2)))*'Inputs'!$B$49</x:f>
        <x:v>622419.0748733282</x:v>
      </x:c>
      <x:c r="D2104" s="78" t="n">
        <x:f>IF('Inputs'!$C$49&gt;0,('Inputs'!$B$30*(3*276*'Inputs'!$B$12-276^2)/(2*'Inputs'!$B$12^2))-('Inputs'!$B$30*(3*275*'Inputs'!$B$12-275^2)/(2*'Inputs'!$B$12^2)),0)</x:f>
        <x:v>266751.03208856285</x:v>
      </x:c>
      <x:c r="E2104" s="78" t="n">
        <x:f>C2104+D2104</x:f>
        <x:v>889170.106961891</x:v>
      </x:c>
      <x:c r="F2104" s="78" t="n">
        <x:f>'Inputs'!$B$13*E2104+(1-'Inputs'!$B$13)/'Inputs'!$B$14*SUM(E2049:E2104)</x:f>
        <x:v>899387.7838243543</x:v>
      </x:c>
      <x:c r="G2104" s="78" t="n">
        <x:f>F2104*'Inputs'!$F$49</x:f>
        <x:v>809449.0054419189</x:v>
      </x:c>
      <x:c r="H2104" s="78" t="n">
        <x:f>U2103</x:f>
        <x:v>348510400559.6978</x:v>
      </x:c>
      <x:c r="I2104" s="78" t="n">
        <x:f>V2103</x:f>
        <x:v>0.3483858113696638</x:v>
      </x:c>
      <x:c r="J2104" s="79" t="n">
        <x:f>IF(H2104&gt;0,I2104/H2104,0)</x:f>
        <x:v>9.996425094062215e-13</x:v>
      </x:c>
      <x:c r="K2104" s="80" t="n">
        <x:f>(H2104*J2104+I2104)*'Inputs'!$D$49*(1+'Inputs'!$G$49)^(B2104/30)</x:f>
        <x:v>0.5225787170544955</x:v>
      </x:c>
      <x:c r="L2104" s="80" t="n">
        <x:f>MAX(0,K2104*'Inputs'!$E$49)</x:f>
        <x:v>0</x:v>
      </x:c>
      <x:c r="M2104" s="80" t="n">
        <x:f>MAX(0,-K2104*'Inputs'!$E$49)</x:f>
        <x:v>0.015677361511634867</x:v>
      </x:c>
      <x:c r="N2104" s="78" t="n">
        <x:f>H2104*(L2104*(1-'Inputs'!$B$15))/(I2104+L2104*(1-'Inputs'!$B$15))</x:f>
        <x:v>0</x:v>
      </x:c>
      <x:c r="O2104" s="78" t="n">
        <x:f>H2104-N2104</x:f>
        <x:v>348510400559.6978</x:v>
      </x:c>
      <x:c r="P2104" s="78" t="n">
        <x:f>I2104+L2104*(1-'Inputs'!$B$17)</x:f>
        <x:v>0.3483858113696638</x:v>
      </x:c>
      <x:c r="Q2104" s="78" t="n">
        <x:f>IF(J2104&gt;0,M2104/J2104,0)</x:f>
        <x:v>0</x:v>
      </x:c>
      <x:c r="R2104" s="78" t="n">
        <x:f>IF(B2104='Inputs'!$H$49,'Inputs'!$B$27*'Inputs'!$I$49,0)</x:f>
        <x:v>0</x:v>
      </x:c>
      <x:c r="S2104" s="78" t="n">
        <x:f>Q2104+G2104+R2104</x:f>
        <x:v>809449.0054419189</x:v>
      </x:c>
      <x:c r="T2104" s="78" t="n">
        <x:f>P2104*(S2104*(1-'Inputs'!$B$15))/(O2104+S2104*(1-'Inputs'!$B$15))</x:f>
        <x:v>8.010661967380283e-7</x:v>
      </x:c>
      <x:c r="U2104" s="78" t="n">
        <x:f>O2104+S2104*(1-'Inputs'!$B$17)</x:f>
        <x:v>348511206751.3632</x:v>
      </x:c>
      <x:c r="V2104" s="78" t="n">
        <x:f>P2104-T2104</x:f>
        <x:v>0.348385010303467</x:v>
      </x:c>
      <x:c r="W2104" s="79" t="n">
        <x:f>IF(U2104&gt;0,V2104/U2104,0)</x:f>
        <x:v>9.996378984507484e-13</x:v>
      </x:c>
      <x:c r="X2104" s="80" t="n">
        <x:f>W2104*('Inputs'!$B$6-AC2104)</x:f>
        <x:v>-0.023149408020205077</x:v>
      </x:c>
      <x:c r="Y2104" s="80" t="n">
        <x:f>2*V2104</x:f>
        <x:v>0.696770020606934</x:v>
      </x:c>
      <x:c r="Z2104" s="80" t="n">
        <x:f>K2104*'Inputs'!$B$16+(G2104+R2104)*J2104*'Inputs'!$B$16</x:f>
        <x:v>0.0031354771572847835</x:v>
      </x:c>
      <x:c r="AA2104" s="80" t="n">
        <x:f>K2104*(1+'Inputs'!$E$49)/2*'Inputs'!$B$17</x:f>
        <x:v>0.0010199222445530396</x:v>
      </x:c>
      <x:c r="AB2104" s="78" t="n">
        <x:f>(IF(J2104&gt;0,K2104*(1-'Inputs'!$E$49)/2/J2104,0)+G2104+R2104)*'Inputs'!$B$17</x:f>
        <x:v>3257.340062140519</x:v>
      </x:c>
      <x:c r="AC2104" s="78" t="n">
        <x:f>AC2103+AB2104</x:f>
        <x:v>24157793493.10618</x:v>
      </x:c>
      <x:c r="AD2104" s="80" t="n">
        <x:f>Z2104/(1+'Inputs'!$C$49)</x:f>
        <x:v>0.0007838692893211959</x:v>
      </x:c>
      <x:c r="AE2104" s="80" t="n">
        <x:f>Z2104-AD2104</x:f>
        <x:v>0.0023516078679635876</x:v>
      </x:c>
      <x:c r="AF2104" s="80" t="n">
        <x:f>D2104*W2104</x:f>
        <x:v>2.666544411265791e-7</x:v>
      </x:c>
      <x:c r="AG2104" s="80" t="n">
        <x:f>C2104*W2104</x:f>
        <x:v>6.221936959620329e-7</x:v>
      </x:c>
      <x:c r="AH2104" s="80" t="n">
        <x:f>2*'Inputs'!$B$8*'Inputs'!$C$49</x:f>
        <x:v>15000</x:v>
      </x:c>
      <x:c r="AI2104" s="81" t="n">
        <x:f>IF(AH2104&gt;0,(AE2104+AF2104)/AH2104*365,0)</x:f>
        <x:v>0.00005722894671184805</x:v>
      </x:c>
      <x:c r="AJ2104" s="81" t="n">
        <x:f>IF('Inputs'!$B$49&gt;0,AG2104/('Inputs'!$B$19*'Inputs'!$B$49)*365,0)</x:f>
        <x:v>2.27100699026142e-8</x:v>
      </x:c>
      <x:c r="AK2104" s="81" t="n">
        <x:f>W2104/MAX($W$1829:W2104)-1</x:f>
        <x:v>-0.9999999987121715</x:v>
      </x:c>
      <x:c r="AL2104" s="83" t="n">
        <x:f>'Inputs'!$B$49</x:f>
        <x:v>1</x:v>
      </x:c>
      <x:c r="AM2104" s="83" t="n">
        <x:f>'Inputs'!$C$49</x:f>
        <x:v>3</x:v>
      </x:c>
      <x:c r="AN2104" s="83" t="n">
        <x:f>'Inputs'!$D$49</x:f>
        <x:v>0.75</x:v>
      </x:c>
      <x:c r="AO2104" s="81" t="n">
        <x:f>'Inputs'!$E$49</x:f>
        <x:v>-0.03</x:v>
      </x:c>
    </x:row>
    <x:row r="2105">
      <x:c r="A2105" s="59" t="str">
        <x:v>Mercenary LP</x:v>
      </x:c>
      <x:c r="B2105" s="59" t="n">
        <x:v>277</x:v>
      </x:c>
      <x:c r="C2105" s="78" t="n">
        <x:f>(('Inputs'!$B$29*(3*277*'Inputs'!$B$12-277^2)/(2*'Inputs'!$B$12^2))-('Inputs'!$B$29*(3*276*'Inputs'!$B$12-276^2)/(2*'Inputs'!$B$12^2)))*'Inputs'!$B$49</x:f>
        <x:v>622093.9669731855</x:v>
      </x:c>
      <x:c r="D2105" s="78" t="n">
        <x:f>IF('Inputs'!$C$49&gt;0,('Inputs'!$B$30*(3*277*'Inputs'!$B$12-277^2)/(2*'Inputs'!$B$12^2))-('Inputs'!$B$30*(3*276*'Inputs'!$B$12-276^2)/(2*'Inputs'!$B$12^2)),0)</x:f>
        <x:v>266611.7001313567</x:v>
      </x:c>
      <x:c r="E2105" s="78" t="n">
        <x:f>C2105+D2105</x:f>
        <x:v>888705.6671045423</x:v>
      </x:c>
      <x:c r="F2105" s="78" t="n">
        <x:f>'Inputs'!$B$13*E2105+(1-'Inputs'!$B$13)/'Inputs'!$B$14*SUM(E2050:E2105)</x:f>
        <x:v>898923.3439669774</x:v>
      </x:c>
      <x:c r="G2105" s="78" t="n">
        <x:f>F2105*'Inputs'!$F$49</x:f>
        <x:v>809031.0095702797</x:v>
      </x:c>
      <x:c r="H2105" s="78" t="n">
        <x:f>U2104</x:f>
        <x:v>348511206751.3632</x:v>
      </x:c>
      <x:c r="I2105" s="78" t="n">
        <x:f>V2104</x:f>
        <x:v>0.348385010303467</x:v>
      </x:c>
      <x:c r="J2105" s="79" t="n">
        <x:f>IF(H2105&gt;0,I2105/H2105,0)</x:f>
        <x:v>9.996378984507484e-13</x:v>
      </x:c>
      <x:c r="K2105" s="80" t="n">
        <x:f>(H2105*J2105+I2105)*'Inputs'!$D$49*(1+'Inputs'!$G$49)^(B2105/30)</x:f>
        <x:v>0.5225775154552006</x:v>
      </x:c>
      <x:c r="L2105" s="80" t="n">
        <x:f>MAX(0,K2105*'Inputs'!$E$49)</x:f>
        <x:v>0</x:v>
      </x:c>
      <x:c r="M2105" s="80" t="n">
        <x:f>MAX(0,-K2105*'Inputs'!$E$49)</x:f>
        <x:v>0.01567732546365602</x:v>
      </x:c>
      <x:c r="N2105" s="78" t="n">
        <x:f>H2105*(L2105*(1-'Inputs'!$B$15))/(I2105+L2105*(1-'Inputs'!$B$15))</x:f>
        <x:v>0</x:v>
      </x:c>
      <x:c r="O2105" s="78" t="n">
        <x:f>H2105-N2105</x:f>
        <x:v>348511206751.3632</x:v>
      </x:c>
      <x:c r="P2105" s="78" t="n">
        <x:f>I2105+L2105*(1-'Inputs'!$B$17)</x:f>
        <x:v>0.348385010303467</x:v>
      </x:c>
      <x:c r="Q2105" s="78" t="n">
        <x:f>IF(J2105&gt;0,M2105/J2105,0)</x:f>
        <x:v>0</x:v>
      </x:c>
      <x:c r="R2105" s="78" t="n">
        <x:f>IF(B2105='Inputs'!$H$49,'Inputs'!$B$27*'Inputs'!$I$49,0)</x:f>
        <x:v>0</x:v>
      </x:c>
      <x:c r="S2105" s="78" t="n">
        <x:f>Q2105+G2105+R2105</x:f>
        <x:v>809031.0095702797</x:v>
      </x:c>
      <x:c r="T2105" s="78" t="n">
        <x:f>P2105*(S2105*(1-'Inputs'!$B$15))/(O2105+S2105*(1-'Inputs'!$B$15))</x:f>
        <x:v>8.00648837573098e-7</x:v>
      </x:c>
      <x:c r="U2105" s="78" t="n">
        <x:f>O2105+S2105*(1-'Inputs'!$B$17)</x:f>
        <x:v>348512012526.7148</x:v>
      </x:c>
      <x:c r="V2105" s="78" t="n">
        <x:f>P2105-T2105</x:f>
        <x:v>0.34838420965462946</x:v>
      </x:c>
      <x:c r="W2105" s="79" t="n">
        <x:f>IF(U2105&gt;0,V2105/U2105,0)</x:f>
        <x:v>9.996332899082624e-13</x:v>
      </x:c>
      <x:c r="X2105" s="80" t="n">
        <x:f>W2105*('Inputs'!$B$6-AC2105)</x:f>
        <x:v>-0.023149304550993982</x:v>
      </x:c>
      <x:c r="Y2105" s="80" t="n">
        <x:f>2*V2105</x:f>
        <x:v>0.6967684193092589</x:v>
      </x:c>
      <x:c r="Z2105" s="80" t="n">
        <x:f>K2105*'Inputs'!$B$16+(G2105+R2105)*J2105*'Inputs'!$B$16</x:f>
        <x:v>0.003135469945159553</x:v>
      </x:c>
      <x:c r="AA2105" s="80" t="n">
        <x:f>K2105*(1+'Inputs'!$E$49)/2*'Inputs'!$B$17</x:f>
        <x:v>0.0010199198993793652</x:v>
      </x:c>
      <x:c r="AB2105" s="78" t="n">
        <x:f>(IF(J2105&gt;0,K2105*(1-'Inputs'!$E$49)/2/J2105,0)+G2105+R2105)*'Inputs'!$B$17</x:f>
        <x:v>3255.657986198309</x:v>
      </x:c>
      <x:c r="AC2105" s="78" t="n">
        <x:f>AC2104+AB2105</x:f>
        <x:v>24157796748.764164</x:v>
      </x:c>
      <x:c r="AD2105" s="80" t="n">
        <x:f>Z2105/(1+'Inputs'!$C$49)</x:f>
        <x:v>0.0007838674862898883</x:v>
      </x:c>
      <x:c r="AE2105" s="80" t="n">
        <x:f>Z2105-AD2105</x:f>
        <x:v>0.002351602458869665</x:v>
      </x:c>
      <x:c r="AF2105" s="80" t="n">
        <x:f>D2105*W2105</x:f>
        <x:v>2.6651393093034323e-7</x:v>
      </x:c>
      <x:c r="AG2105" s="80" t="n">
        <x:f>C2105*W2105</x:f>
        <x:v>6.218658388374874e-7</x:v>
      </x:c>
      <x:c r="AH2105" s="80" t="n">
        <x:f>2*'Inputs'!$B$8*'Inputs'!$C$49</x:f>
        <x:v>15000</x:v>
      </x:c>
      <x:c r="AI2105" s="81" t="n">
        <x:f>IF(AH2105&gt;0,(AE2105+AF2105)/AH2105*365,0)</x:f>
        <x:v>0.00005722881167148115</x:v>
      </x:c>
      <x:c r="AJ2105" s="81" t="n">
        <x:f>IF('Inputs'!$B$49&gt;0,AG2105/('Inputs'!$B$19*'Inputs'!$B$49)*365,0)</x:f>
        <x:v>2.2698103117568288e-8</x:v>
      </x:c>
      <x:c r="AK2105" s="81" t="n">
        <x:f>W2105/MAX($W$1829:W2105)-1</x:f>
        <x:v>-0.9999999987121774</x:v>
      </x:c>
      <x:c r="AL2105" s="83" t="n">
        <x:f>'Inputs'!$B$49</x:f>
        <x:v>1</x:v>
      </x:c>
      <x:c r="AM2105" s="83" t="n">
        <x:f>'Inputs'!$C$49</x:f>
        <x:v>3</x:v>
      </x:c>
      <x:c r="AN2105" s="83" t="n">
        <x:f>'Inputs'!$D$49</x:f>
        <x:v>0.75</x:v>
      </x:c>
      <x:c r="AO2105" s="81" t="n">
        <x:f>'Inputs'!$E$49</x:f>
        <x:v>-0.03</x:v>
      </x:c>
    </x:row>
    <x:row r="2106">
      <x:c r="A2106" s="59" t="str">
        <x:v>Mercenary LP</x:v>
      </x:c>
      <x:c r="B2106" s="59" t="n">
        <x:v>278</x:v>
      </x:c>
      <x:c r="C2106" s="78" t="n">
        <x:f>(('Inputs'!$B$29*(3*278*'Inputs'!$B$12-278^2)/(2*'Inputs'!$B$12^2))-('Inputs'!$B$29*(3*277*'Inputs'!$B$12-277^2)/(2*'Inputs'!$B$12^2)))*'Inputs'!$B$49</x:f>
        <x:v>621768.8590729833</x:v>
      </x:c>
      <x:c r="D2106" s="78" t="n">
        <x:f>IF('Inputs'!$C$49&gt;0,('Inputs'!$B$30*(3*278*'Inputs'!$B$12-278^2)/(2*'Inputs'!$B$12^2))-('Inputs'!$B$30*(3*277*'Inputs'!$B$12-277^2)/(2*'Inputs'!$B$12^2)),0)</x:f>
        <x:v>266472.3681741506</x:v>
      </x:c>
      <x:c r="E2106" s="78" t="n">
        <x:f>C2106+D2106</x:f>
        <x:v>888241.2272471339</x:v>
      </x:c>
      <x:c r="F2106" s="78" t="n">
        <x:f>'Inputs'!$B$13*E2106+(1-'Inputs'!$B$13)/'Inputs'!$B$14*SUM(E2051:E2106)</x:f>
        <x:v>898458.9041095882</x:v>
      </x:c>
      <x:c r="G2106" s="78" t="n">
        <x:f>F2106*'Inputs'!$F$49</x:f>
        <x:v>808613.0136986295</x:v>
      </x:c>
      <x:c r="H2106" s="78" t="n">
        <x:f>U2105</x:f>
        <x:v>348512012526.7148</x:v>
      </x:c>
      <x:c r="I2106" s="78" t="n">
        <x:f>V2105</x:f>
        <x:v>0.34838420965462946</x:v>
      </x:c>
      <x:c r="J2106" s="79" t="n">
        <x:f>IF(H2106&gt;0,I2106/H2106,0)</x:f>
        <x:v>9.996332899082624e-13</x:v>
      </x:c>
      <x:c r="K2106" s="80" t="n">
        <x:f>(H2106*J2106+I2106)*'Inputs'!$D$49*(1+'Inputs'!$G$49)^(B2106/30)</x:f>
        <x:v>0.5225763144819442</x:v>
      </x:c>
      <x:c r="L2106" s="80" t="n">
        <x:f>MAX(0,K2106*'Inputs'!$E$49)</x:f>
        <x:v>0</x:v>
      </x:c>
      <x:c r="M2106" s="80" t="n">
        <x:f>MAX(0,-K2106*'Inputs'!$E$49)</x:f>
        <x:v>0.015677289434458324</x:v>
      </x:c>
      <x:c r="N2106" s="78" t="n">
        <x:f>H2106*(L2106*(1-'Inputs'!$B$15))/(I2106+L2106*(1-'Inputs'!$B$15))</x:f>
        <x:v>0</x:v>
      </x:c>
      <x:c r="O2106" s="78" t="n">
        <x:f>H2106-N2106</x:f>
        <x:v>348512012526.7148</x:v>
      </x:c>
      <x:c r="P2106" s="78" t="n">
        <x:f>I2106+L2106*(1-'Inputs'!$B$17)</x:f>
        <x:v>0.34838420965462946</x:v>
      </x:c>
      <x:c r="Q2106" s="78" t="n">
        <x:f>IF(J2106&gt;0,M2106/J2106,0)</x:f>
        <x:v>0</x:v>
      </x:c>
      <x:c r="R2106" s="78" t="n">
        <x:f>IF(B2106='Inputs'!$H$49,'Inputs'!$B$27*'Inputs'!$I$49,0)</x:f>
        <x:v>0</x:v>
      </x:c>
      <x:c r="S2106" s="78" t="n">
        <x:f>Q2106+G2106+R2106</x:f>
        <x:v>808613.0136986295</x:v>
      </x:c>
      <x:c r="T2106" s="78" t="n">
        <x:f>P2106*(S2106*(1-'Inputs'!$B$15))/(O2106+S2106*(1-'Inputs'!$B$15))</x:f>
        <x:v>8.002314841549758e-7</x:v>
      </x:c>
      <x:c r="U2106" s="78" t="n">
        <x:f>O2106+S2106*(1-'Inputs'!$B$17)</x:f>
        <x:v>348512817885.75256</x:v>
      </x:c>
      <x:c r="V2106" s="78" t="n">
        <x:f>P2106-T2106</x:f>
        <x:v>0.34838340942314533</x:v>
      </x:c>
      <x:c r="W2106" s="79" t="n">
        <x:f>IF(U2106&gt;0,V2106/U2106,0)</x:f>
        <x:v>9.996286837787134e-13</x:v>
      </x:c>
      <x:c r="X2106" s="80" t="n">
        <x:f>W2106*('Inputs'!$B$6-AC2106)</x:f>
        <x:v>-0.023149201135949746</x:v>
      </x:c>
      <x:c r="Y2106" s="80" t="n">
        <x:f>2*V2106</x:f>
        <x:v>0.6967668188462907</x:v>
      </x:c>
      <x:c r="Z2106" s="80" t="n">
        <x:f>K2106*'Inputs'!$B$16+(G2106+R2106)*J2106*'Inputs'!$B$16</x:f>
        <x:v>0.003135462736790588</x:v>
      </x:c>
      <x:c r="AA2106" s="80" t="n">
        <x:f>K2106*(1+'Inputs'!$E$49)/2*'Inputs'!$B$17</x:f>
        <x:v>0.001019917555427537</x:v>
      </x:c>
      <x:c r="AB2106" s="78" t="n">
        <x:f>(IF(J2106&gt;0,K2106*(1-'Inputs'!$E$49)/2/J2106,0)+G2106+R2106)*'Inputs'!$B$17</x:f>
        <x:v>3253.9759102560542</x:v>
      </x:c>
      <x:c r="AC2106" s="78" t="n">
        <x:f>AC2105+AB2106</x:f>
        <x:v>24157800002.740074</x:v>
      </x:c>
      <x:c r="AD2106" s="80" t="n">
        <x:f>Z2106/(1+'Inputs'!$C$49)</x:f>
        <x:v>0.000783865684197647</x:v>
      </x:c>
      <x:c r="AE2106" s="80" t="n">
        <x:f>Z2106-AD2106</x:f>
        <x:v>0.002351597052592941</x:v>
      </x:c>
      <x:c r="AF2106" s="80" t="n">
        <x:f>D2106*W2106</x:f>
        <x:v>2.663734226613229e-7</x:v>
      </x:c>
      <x:c r="AG2106" s="80" t="n">
        <x:f>C2106*W2106</x:f>
        <x:v>6.215379862097186e-7</x:v>
      </x:c>
      <x:c r="AH2106" s="80" t="n">
        <x:f>2*'Inputs'!$B$8*'Inputs'!$C$49</x:f>
        <x:v>15000</x:v>
      </x:c>
      <x:c r="AI2106" s="81" t="n">
        <x:f>IF(AH2106&gt;0,(AE2106+AF2106)/AH2106*365,0)</x:f>
        <x:v>0.00005722867669971299</x:v>
      </x:c>
      <x:c r="AJ2106" s="81" t="n">
        <x:f>IF('Inputs'!$B$49&gt;0,AG2106/('Inputs'!$B$19*'Inputs'!$B$49)*365,0)</x:f>
        <x:v>2.268613649665473e-8</x:v>
      </x:c>
      <x:c r="AK2106" s="81" t="n">
        <x:f>W2106/MAX($W$1829:W2106)-1</x:f>
        <x:v>-0.9999999987121833</x:v>
      </x:c>
      <x:c r="AL2106" s="83" t="n">
        <x:f>'Inputs'!$B$49</x:f>
        <x:v>1</x:v>
      </x:c>
      <x:c r="AM2106" s="83" t="n">
        <x:f>'Inputs'!$C$49</x:f>
        <x:v>3</x:v>
      </x:c>
      <x:c r="AN2106" s="83" t="n">
        <x:f>'Inputs'!$D$49</x:f>
        <x:v>0.75</x:v>
      </x:c>
      <x:c r="AO2106" s="81" t="n">
        <x:f>'Inputs'!$E$49</x:f>
        <x:v>-0.03</x:v>
      </x:c>
    </x:row>
    <x:row r="2107">
      <x:c r="A2107" s="59" t="str">
        <x:v>Mercenary LP</x:v>
      </x:c>
      <x:c r="B2107" s="59" t="n">
        <x:v>279</x:v>
      </x:c>
      <x:c r="C2107" s="78" t="n">
        <x:f>(('Inputs'!$B$29*(3*279*'Inputs'!$B$12-279^2)/(2*'Inputs'!$B$12^2))-('Inputs'!$B$29*(3*278*'Inputs'!$B$12-278^2)/(2*'Inputs'!$B$12^2)))*'Inputs'!$B$49</x:f>
        <x:v>621443.7511728406</x:v>
      </x:c>
      <x:c r="D2107" s="78" t="n">
        <x:f>IF('Inputs'!$C$49&gt;0,('Inputs'!$B$30*(3*279*'Inputs'!$B$12-279^2)/(2*'Inputs'!$B$12^2))-('Inputs'!$B$30*(3*278*'Inputs'!$B$12-278^2)/(2*'Inputs'!$B$12^2)),0)</x:f>
        <x:v>266333.03621691465</x:v>
      </x:c>
      <x:c r="E2107" s="78" t="n">
        <x:f>C2107+D2107</x:f>
        <x:v>887776.7873897552</x:v>
      </x:c>
      <x:c r="F2107" s="78" t="n">
        <x:f>'Inputs'!$B$13*E2107+(1-'Inputs'!$B$13)/'Inputs'!$B$14*SUM(E2052:E2107)</x:f>
        <x:v>897994.4642522052</x:v>
      </x:c>
      <x:c r="G2107" s="78" t="n">
        <x:f>F2107*'Inputs'!$F$49</x:f>
        <x:v>808195.0178269848</x:v>
      </x:c>
      <x:c r="H2107" s="78" t="n">
        <x:f>U2106</x:f>
        <x:v>348512817885.75256</x:v>
      </x:c>
      <x:c r="I2107" s="78" t="n">
        <x:f>V2106</x:f>
        <x:v>0.34838340942314533</x:v>
      </x:c>
      <x:c r="J2107" s="79" t="n">
        <x:f>IF(H2107&gt;0,I2107/H2107,0)</x:f>
        <x:v>9.996286837787134e-13</x:v>
      </x:c>
      <x:c r="K2107" s="80" t="n">
        <x:f>(H2107*J2107+I2107)*'Inputs'!$D$49*(1+'Inputs'!$G$49)^(B2107/30)</x:f>
        <x:v>0.5225751141347179</x:v>
      </x:c>
      <x:c r="L2107" s="80" t="n">
        <x:f>MAX(0,K2107*'Inputs'!$E$49)</x:f>
        <x:v>0</x:v>
      </x:c>
      <x:c r="M2107" s="80" t="n">
        <x:f>MAX(0,-K2107*'Inputs'!$E$49)</x:f>
        <x:v>0.015677253424041537</x:v>
      </x:c>
      <x:c r="N2107" s="78" t="n">
        <x:f>H2107*(L2107*(1-'Inputs'!$B$15))/(I2107+L2107*(1-'Inputs'!$B$15))</x:f>
        <x:v>0</x:v>
      </x:c>
      <x:c r="O2107" s="78" t="n">
        <x:f>H2107-N2107</x:f>
        <x:v>348512817885.75256</x:v>
      </x:c>
      <x:c r="P2107" s="78" t="n">
        <x:f>I2107+L2107*(1-'Inputs'!$B$17)</x:f>
        <x:v>0.34838340942314533</x:v>
      </x:c>
      <x:c r="Q2107" s="78" t="n">
        <x:f>IF(J2107&gt;0,M2107/J2107,0)</x:f>
        <x:v>0</x:v>
      </x:c>
      <x:c r="R2107" s="78" t="n">
        <x:f>IF(B2107='Inputs'!$H$49,'Inputs'!$B$27*'Inputs'!$I$49,0)</x:f>
        <x:v>0</x:v>
      </x:c>
      <x:c r="S2107" s="78" t="n">
        <x:f>Q2107+G2107+R2107</x:f>
        <x:v>808195.0178269848</x:v>
      </x:c>
      <x:c r="T2107" s="78" t="n">
        <x:f>P2107*(S2107*(1-'Inputs'!$B$15))/(O2107+S2107*(1-'Inputs'!$B$15))</x:f>
        <x:v>7.998141364806429e-7</x:v>
      </x:c>
      <x:c r="U2107" s="78" t="n">
        <x:f>O2107+S2107*(1-'Inputs'!$B$17)</x:f>
        <x:v>348513622828.47656</x:v>
      </x:c>
      <x:c r="V2107" s="78" t="n">
        <x:f>P2107-T2107</x:f>
        <x:v>0.34838260960900885</x:v>
      </x:c>
      <x:c r="W2107" s="79" t="n">
        <x:f>IF(U2107&gt;0,V2107/U2107,0)</x:f>
        <x:v>9.99624080062052e-13</x:v>
      </x:c>
      <x:c r="X2107" s="80" t="n">
        <x:f>W2107*('Inputs'!$B$6-AC2107)</x:f>
        <x:v>-0.023149097775071265</x:v>
      </x:c>
      <x:c r="Y2107" s="80" t="n">
        <x:f>2*V2107</x:f>
        <x:v>0.6967652192180177</x:v>
      </x:c>
      <x:c r="Z2107" s="80" t="n">
        <x:f>K2107*'Inputs'!$B$16+(G2107+R2107)*J2107*'Inputs'!$B$16</x:f>
        <x:v>0.003135455532177839</x:v>
      </x:c>
      <x:c r="AA2107" s="80" t="n">
        <x:f>K2107*(1+'Inputs'!$E$49)/2*'Inputs'!$B$17</x:f>
        <x:v>0.001019915212697538</x:v>
      </x:c>
      <x:c r="AB2107" s="78" t="n">
        <x:f>(IF(J2107&gt;0,K2107*(1-'Inputs'!$E$49)/2/J2107,0)+G2107+R2107)*'Inputs'!$B$17</x:f>
        <x:v>3252.293834313822</x:v>
      </x:c>
      <x:c r="AC2107" s="78" t="n">
        <x:f>AC2106+AB2107</x:f>
        <x:v>24157803255.03391</x:v>
      </x:c>
      <x:c r="AD2107" s="80" t="n">
        <x:f>Z2107/(1+'Inputs'!$C$49)</x:f>
        <x:v>0.0007838638830444597</x:v>
      </x:c>
      <x:c r="AE2107" s="80" t="n">
        <x:f>Z2107-AD2107</x:f>
        <x:v>0.002351591649133379</x:v>
      </x:c>
      <x:c r="AF2107" s="80" t="n">
        <x:f>D2107*W2107</x:f>
        <x:v>2.662329163184665e-7</x:v>
      </x:c>
      <x:c r="AG2107" s="80" t="n">
        <x:f>C2107*W2107</x:f>
        <x:v>6.212101380764616e-7</x:v>
      </x:c>
      <x:c r="AH2107" s="80" t="n">
        <x:f>2*'Inputs'!$B$8*'Inputs'!$C$49</x:f>
        <x:v>15000</x:v>
      </x:c>
      <x:c r="AI2107" s="81" t="n">
        <x:f>IF(AH2107&gt;0,(AE2107+AF2107)/AH2107*365,0)</x:f>
        <x:v>0.00005722854179654264</x:v>
      </x:c>
      <x:c r="AJ2107" s="81" t="n">
        <x:f>IF('Inputs'!$B$49&gt;0,AG2107/('Inputs'!$B$19*'Inputs'!$B$49)*365,0)</x:f>
        <x:v>2.2674170039790848e-8</x:v>
      </x:c>
      <x:c r="AK2107" s="81" t="n">
        <x:f>W2107/MAX($W$1829:W2107)-1</x:f>
        <x:v>-0.9999999987121893</x:v>
      </x:c>
      <x:c r="AL2107" s="83" t="n">
        <x:f>'Inputs'!$B$49</x:f>
        <x:v>1</x:v>
      </x:c>
      <x:c r="AM2107" s="83" t="n">
        <x:f>'Inputs'!$C$49</x:f>
        <x:v>3</x:v>
      </x:c>
      <x:c r="AN2107" s="83" t="n">
        <x:f>'Inputs'!$D$49</x:f>
        <x:v>0.75</x:v>
      </x:c>
      <x:c r="AO2107" s="81" t="n">
        <x:f>'Inputs'!$E$49</x:f>
        <x:v>-0.03</x:v>
      </x:c>
    </x:row>
    <x:row r="2108">
      <x:c r="A2108" s="59" t="str">
        <x:v>Mercenary LP</x:v>
      </x:c>
      <x:c r="B2108" s="59" t="n">
        <x:v>280</x:v>
      </x:c>
      <x:c r="C2108" s="78" t="n">
        <x:f>(('Inputs'!$B$29*(3*280*'Inputs'!$B$12-280^2)/(2*'Inputs'!$B$12^2))-('Inputs'!$B$29*(3*279*'Inputs'!$B$12-279^2)/(2*'Inputs'!$B$12^2)))*'Inputs'!$B$49</x:f>
        <x:v>621118.6432726383</x:v>
      </x:c>
      <x:c r="D2108" s="78" t="n">
        <x:f>IF('Inputs'!$C$49&gt;0,('Inputs'!$B$30*(3*280*'Inputs'!$B$12-280^2)/(2*'Inputs'!$B$12^2))-('Inputs'!$B$30*(3*279*'Inputs'!$B$12-279^2)/(2*'Inputs'!$B$12^2)),0)</x:f>
        <x:v>266193.7042597234</x:v>
      </x:c>
      <x:c r="E2108" s="78" t="n">
        <x:f>C2108+D2108</x:f>
        <x:v>887312.3475323617</x:v>
      </x:c>
      <x:c r="F2108" s="78" t="n">
        <x:f>'Inputs'!$B$13*E2108+(1-'Inputs'!$B$13)/'Inputs'!$B$14*SUM(E2053:E2108)</x:f>
        <x:v>897530.024394819</x:v>
      </x:c>
      <x:c r="G2108" s="78" t="n">
        <x:f>F2108*'Inputs'!$F$49</x:f>
        <x:v>807777.0219553371</x:v>
      </x:c>
      <x:c r="H2108" s="78" t="n">
        <x:f>U2107</x:f>
        <x:v>348513622828.47656</x:v>
      </x:c>
      <x:c r="I2108" s="78" t="n">
        <x:f>V2107</x:f>
        <x:v>0.34838260960900885</x:v>
      </x:c>
      <x:c r="J2108" s="79" t="n">
        <x:f>IF(H2108&gt;0,I2108/H2108,0)</x:f>
        <x:v>9.99624080062052e-13</x:v>
      </x:c>
      <x:c r="K2108" s="80" t="n">
        <x:f>(H2108*J2108+I2108)*'Inputs'!$D$49*(1+'Inputs'!$G$49)^(B2108/30)</x:f>
        <x:v>0.5225739144135133</x:v>
      </x:c>
      <x:c r="L2108" s="80" t="n">
        <x:f>MAX(0,K2108*'Inputs'!$E$49)</x:f>
        <x:v>0</x:v>
      </x:c>
      <x:c r="M2108" s="80" t="n">
        <x:f>MAX(0,-K2108*'Inputs'!$E$49)</x:f>
        <x:v>0.0156772174324054</x:v>
      </x:c>
      <x:c r="N2108" s="78" t="n">
        <x:f>H2108*(L2108*(1-'Inputs'!$B$15))/(I2108+L2108*(1-'Inputs'!$B$15))</x:f>
        <x:v>0</x:v>
      </x:c>
      <x:c r="O2108" s="78" t="n">
        <x:f>H2108-N2108</x:f>
        <x:v>348513622828.47656</x:v>
      </x:c>
      <x:c r="P2108" s="78" t="n">
        <x:f>I2108+L2108*(1-'Inputs'!$B$17)</x:f>
        <x:v>0.34838260960900885</x:v>
      </x:c>
      <x:c r="Q2108" s="78" t="n">
        <x:f>IF(J2108&gt;0,M2108/J2108,0)</x:f>
        <x:v>0</x:v>
      </x:c>
      <x:c r="R2108" s="78" t="n">
        <x:f>IF(B2108='Inputs'!$H$49,'Inputs'!$B$27*'Inputs'!$I$49,0)</x:f>
        <x:v>0</x:v>
      </x:c>
      <x:c r="S2108" s="78" t="n">
        <x:f>Q2108+G2108+R2108</x:f>
        <x:v>807777.0219553371</x:v>
      </x:c>
      <x:c r="T2108" s="78" t="n">
        <x:f>P2108*(S2108*(1-'Inputs'!$B$15))/(O2108+S2108*(1-'Inputs'!$B$15))</x:f>
        <x:v>7.993967945470553e-7</x:v>
      </x:c>
      <x:c r="U2108" s="78" t="n">
        <x:f>O2108+S2108*(1-'Inputs'!$B$17)</x:f>
        <x:v>348514427354.8868</x:v>
      </x:c>
      <x:c r="V2108" s="78" t="n">
        <x:f>P2108-T2108</x:f>
        <x:v>0.3483818102122143</x:v>
      </x:c>
      <x:c r="W2108" s="79" t="n">
        <x:f>IF(U2108&gt;0,V2108/U2108,0)</x:f>
        <x:v>9.996194787582283e-13</x:v>
      </x:c>
      <x:c r="X2108" s="80" t="n">
        <x:f>W2108*('Inputs'!$B$6-AC2108)</x:f>
        <x:v>-0.023148994468357432</x:v>
      </x:c>
      <x:c r="Y2108" s="80" t="n">
        <x:f>2*V2108</x:f>
        <x:v>0.6967636204244286</x:v>
      </x:c>
      <x:c r="Z2108" s="80" t="n">
        <x:f>K2108*'Inputs'!$B$16+(G2108+R2108)*J2108*'Inputs'!$B$16</x:f>
        <x:v>0.0031354483313212546</x:v>
      </x:c>
      <x:c r="AA2108" s="80" t="n">
        <x:f>K2108*(1+'Inputs'!$E$49)/2*'Inputs'!$B$17</x:f>
        <x:v>0.001019912871189352</x:v>
      </x:c>
      <x:c r="AB2108" s="78" t="n">
        <x:f>(IF(J2108&gt;0,K2108*(1-'Inputs'!$E$49)/2/J2108,0)+G2108+R2108)*'Inputs'!$B$17</x:f>
        <x:v>3250.611758371578</x:v>
      </x:c>
      <x:c r="AC2108" s="78" t="n">
        <x:f>AC2107+AB2108</x:f>
        <x:v>24157806505.645668</x:v>
      </x:c>
      <x:c r="AD2108" s="80" t="n">
        <x:f>Z2108/(1+'Inputs'!$C$49)</x:f>
        <x:v>0.0007838620828303137</x:v>
      </x:c>
      <x:c r="AE2108" s="80" t="n">
        <x:f>Z2108-AD2108</x:f>
        <x:v>0.002351586248490941</x:v>
      </x:c>
      <x:c r="AF2108" s="80" t="n">
        <x:f>D2108*W2108</x:f>
        <x:v>2.660924119008267e-7</x:v>
      </x:c>
      <x:c r="AG2108" s="80" t="n">
        <x:f>C2108*W2108</x:f>
        <x:v>6.208822944352126e-7</x:v>
      </x:c>
      <x:c r="AH2108" s="80" t="n">
        <x:f>2*'Inputs'!$B$8*'Inputs'!$C$49</x:f>
        <x:v>15000</x:v>
      </x:c>
      <x:c r="AI2108" s="81" t="n">
        <x:f>IF(AH2108&gt;0,(AE2108+AF2108)/AH2108*365,0)</x:f>
        <x:v>0.00005722840696196915</x:v>
      </x:c>
      <x:c r="AJ2108" s="81" t="n">
        <x:f>IF('Inputs'!$B$49&gt;0,AG2108/('Inputs'!$B$19*'Inputs'!$B$49)*365,0)</x:f>
        <x:v>2.266220374688526e-8</x:v>
      </x:c>
      <x:c r="AK2108" s="81" t="n">
        <x:f>W2108/MAX($W$1829:W2108)-1</x:f>
        <x:v>-0.9999999987121951</x:v>
      </x:c>
      <x:c r="AL2108" s="83" t="n">
        <x:f>'Inputs'!$B$49</x:f>
        <x:v>1</x:v>
      </x:c>
      <x:c r="AM2108" s="83" t="n">
        <x:f>'Inputs'!$C$49</x:f>
        <x:v>3</x:v>
      </x:c>
      <x:c r="AN2108" s="83" t="n">
        <x:f>'Inputs'!$D$49</x:f>
        <x:v>0.75</x:v>
      </x:c>
      <x:c r="AO2108" s="81" t="n">
        <x:f>'Inputs'!$E$49</x:f>
        <x:v>-0.03</x:v>
      </x:c>
    </x:row>
    <x:row r="2109">
      <x:c r="A2109" s="59" t="str">
        <x:v>Mercenary LP</x:v>
      </x:c>
      <x:c r="B2109" s="59" t="n">
        <x:v>281</x:v>
      </x:c>
      <x:c r="C2109" s="78" t="n">
        <x:f>(('Inputs'!$B$29*(3*281*'Inputs'!$B$12-281^2)/(2*'Inputs'!$B$12^2))-('Inputs'!$B$29*(3*280*'Inputs'!$B$12-280^2)/(2*'Inputs'!$B$12^2)))*'Inputs'!$B$49</x:f>
        <x:v>620793.5353724957</x:v>
      </x:c>
      <x:c r="D2109" s="78" t="n">
        <x:f>IF('Inputs'!$C$49&gt;0,('Inputs'!$B$30*(3*281*'Inputs'!$B$12-281^2)/(2*'Inputs'!$B$12^2))-('Inputs'!$B$30*(3*280*'Inputs'!$B$12-280^2)/(2*'Inputs'!$B$12^2)),0)</x:f>
        <x:v>266054.3723024875</x:v>
      </x:c>
      <x:c r="E2109" s="78" t="n">
        <x:f>C2109+D2109</x:f>
        <x:v>886847.9076749831</x:v>
      </x:c>
      <x:c r="F2109" s="78" t="n">
        <x:f>'Inputs'!$B$13*E2109+(1-'Inputs'!$B$13)/'Inputs'!$B$14*SUM(E2054:E2109)</x:f>
        <x:v>897065.5845374359</x:v>
      </x:c>
      <x:c r="G2109" s="78" t="n">
        <x:f>F2109*'Inputs'!$F$49</x:f>
        <x:v>807359.0260836923</x:v>
      </x:c>
      <x:c r="H2109" s="78" t="n">
        <x:f>U2108</x:f>
        <x:v>348514427354.8868</x:v>
      </x:c>
      <x:c r="I2109" s="78" t="n">
        <x:f>V2108</x:f>
        <x:v>0.3483818102122143</x:v>
      </x:c>
      <x:c r="J2109" s="79" t="n">
        <x:f>IF(H2109&gt;0,I2109/H2109,0)</x:f>
        <x:v>9.996194787582283e-13</x:v>
      </x:c>
      <x:c r="K2109" s="80" t="n">
        <x:f>(H2109*J2109+I2109)*'Inputs'!$D$49*(1+'Inputs'!$G$49)^(B2109/30)</x:f>
        <x:v>0.5225727153183215</x:v>
      </x:c>
      <x:c r="L2109" s="80" t="n">
        <x:f>MAX(0,K2109*'Inputs'!$E$49)</x:f>
        <x:v>0</x:v>
      </x:c>
      <x:c r="M2109" s="80" t="n">
        <x:f>MAX(0,-K2109*'Inputs'!$E$49)</x:f>
        <x:v>0.015677181459549643</x:v>
      </x:c>
      <x:c r="N2109" s="78" t="n">
        <x:f>H2109*(L2109*(1-'Inputs'!$B$15))/(I2109+L2109*(1-'Inputs'!$B$15))</x:f>
        <x:v>0</x:v>
      </x:c>
      <x:c r="O2109" s="78" t="n">
        <x:f>H2109-N2109</x:f>
        <x:v>348514427354.8868</x:v>
      </x:c>
      <x:c r="P2109" s="78" t="n">
        <x:f>I2109+L2109*(1-'Inputs'!$B$17)</x:f>
        <x:v>0.3483818102122143</x:v>
      </x:c>
      <x:c r="Q2109" s="78" t="n">
        <x:f>IF(J2109&gt;0,M2109/J2109,0)</x:f>
        <x:v>0</x:v>
      </x:c>
      <x:c r="R2109" s="78" t="n">
        <x:f>IF(B2109='Inputs'!$H$49,'Inputs'!$B$27*'Inputs'!$I$49,0)</x:f>
        <x:v>0</x:v>
      </x:c>
      <x:c r="S2109" s="78" t="n">
        <x:f>Q2109+G2109+R2109</x:f>
        <x:v>807359.0260836923</x:v>
      </x:c>
      <x:c r="T2109" s="78" t="n">
        <x:f>P2109*(S2109*(1-'Inputs'!$B$15))/(O2109+S2109*(1-'Inputs'!$B$15))</x:f>
        <x:v>7.989794583511837e-7</x:v>
      </x:c>
      <x:c r="U2109" s="78" t="n">
        <x:f>O2109+S2109*(1-'Inputs'!$B$17)</x:f>
        <x:v>348515231464.98315</x:v>
      </x:c>
      <x:c r="V2109" s="78" t="n">
        <x:f>P2109-T2109</x:f>
        <x:v>0.34838101123275594</x:v>
      </x:c>
      <x:c r="W2109" s="79" t="n">
        <x:f>IF(U2109&gt;0,V2109/U2109,0)</x:f>
        <x:v>9.996148798671925e-13</x:v>
      </x:c>
      <x:c r="X2109" s="80" t="n">
        <x:f>W2109*('Inputs'!$B$6-AC2109)</x:f>
        <x:v>-0.02314889121580714</x:v>
      </x:c>
      <x:c r="Y2109" s="80" t="n">
        <x:f>2*V2109</x:f>
        <x:v>0.6967620224655119</x:v>
      </x:c>
      <x:c r="Z2109" s="80" t="n">
        <x:f>K2109*'Inputs'!$B$16+(G2109+R2109)*J2109*'Inputs'!$B$16</x:f>
        <x:v>0.003135441134220782</x:v>
      </x:c>
      <x:c r="AA2109" s="80" t="n">
        <x:f>K2109*(1+'Inputs'!$E$49)/2*'Inputs'!$B$17</x:f>
        <x:v>0.0010199105309029615</x:v>
      </x:c>
      <x:c r="AB2109" s="78" t="n">
        <x:f>(IF(J2109&gt;0,K2109*(1-'Inputs'!$E$49)/2/J2109,0)+G2109+R2109)*'Inputs'!$B$17</x:f>
        <x:v>3248.9296824293456</x:v>
      </x:c>
      <x:c r="AC2109" s="78" t="n">
        <x:f>AC2108+AB2109</x:f>
        <x:v>24157809754.57535</x:v>
      </x:c>
      <x:c r="AD2109" s="80" t="n">
        <x:f>Z2109/(1+'Inputs'!$C$49)</x:f>
        <x:v>0.0007838602835551955</x:v>
      </x:c>
      <x:c r="AE2109" s="80" t="n">
        <x:f>Z2109-AD2109</x:f>
        <x:v>0.0023515808506655864</x:v>
      </x:c>
      <x:c r="AF2109" s="80" t="n">
        <x:f>D2109*W2109</x:f>
        <x:v>2.6595190940729236e-7</x:v>
      </x:c>
      <x:c r="AG2109" s="80" t="n">
        <x:f>C2109*W2109</x:f>
        <x:v>6.20554455283707e-7</x:v>
      </x:c>
      <x:c r="AH2109" s="80" t="n">
        <x:f>2*'Inputs'!$B$8*'Inputs'!$C$49</x:f>
        <x:v>15000</x:v>
      </x:c>
      <x:c r="AI2109" s="81" t="n">
        <x:f>IF(AH2109&gt;0,(AE2109+AF2109)/AH2109*365,0)</x:f>
        <x:v>0.00005722827219599152</x:v>
      </x:c>
      <x:c r="AJ2109" s="81" t="n">
        <x:f>IF('Inputs'!$B$49&gt;0,AG2109/('Inputs'!$B$19*'Inputs'!$B$49)*365,0)</x:f>
        <x:v>2.2650237617855306e-8</x:v>
      </x:c>
      <x:c r="AK2109" s="81" t="n">
        <x:f>W2109/MAX($W$1829:W2109)-1</x:f>
        <x:v>-0.9999999987122011</x:v>
      </x:c>
      <x:c r="AL2109" s="83" t="n">
        <x:f>'Inputs'!$B$49</x:f>
        <x:v>1</x:v>
      </x:c>
      <x:c r="AM2109" s="83" t="n">
        <x:f>'Inputs'!$C$49</x:f>
        <x:v>3</x:v>
      </x:c>
      <x:c r="AN2109" s="83" t="n">
        <x:f>'Inputs'!$D$49</x:f>
        <x:v>0.75</x:v>
      </x:c>
      <x:c r="AO2109" s="81" t="n">
        <x:f>'Inputs'!$E$49</x:f>
        <x:v>-0.03</x:v>
      </x:c>
    </x:row>
    <x:row r="2110">
      <x:c r="A2110" s="59" t="str">
        <x:v>Mercenary LP</x:v>
      </x:c>
      <x:c r="B2110" s="59" t="n">
        <x:v>282</x:v>
      </x:c>
      <x:c r="C2110" s="78" t="n">
        <x:f>(('Inputs'!$B$29*(3*282*'Inputs'!$B$12-282^2)/(2*'Inputs'!$B$12^2))-('Inputs'!$B$29*(3*281*'Inputs'!$B$12-281^2)/(2*'Inputs'!$B$12^2)))*'Inputs'!$B$49</x:f>
        <x:v>620468.4274723232</x:v>
      </x:c>
      <x:c r="D2110" s="78" t="n">
        <x:f>IF('Inputs'!$C$49&gt;0,('Inputs'!$B$30*(3*282*'Inputs'!$B$12-282^2)/(2*'Inputs'!$B$12^2))-('Inputs'!$B$30*(3*281*'Inputs'!$B$12-281^2)/(2*'Inputs'!$B$12^2)),0)</x:f>
        <x:v>265915.04034528136</x:v>
      </x:c>
      <x:c r="E2110" s="78" t="n">
        <x:f>C2110+D2110</x:f>
        <x:v>886383.4678176045</x:v>
      </x:c>
      <x:c r="F2110" s="78" t="n">
        <x:f>'Inputs'!$B$13*E2110+(1-'Inputs'!$B$13)/'Inputs'!$B$14*SUM(E2055:E2110)</x:f>
        <x:v>896601.1446800531</x:v>
      </x:c>
      <x:c r="G2110" s="78" t="n">
        <x:f>F2110*'Inputs'!$F$49</x:f>
        <x:v>806941.0302120479</x:v>
      </x:c>
      <x:c r="H2110" s="78" t="n">
        <x:f>U2109</x:f>
        <x:v>348515231464.98315</x:v>
      </x:c>
      <x:c r="I2110" s="78" t="n">
        <x:f>V2109</x:f>
        <x:v>0.34838101123275594</x:v>
      </x:c>
      <x:c r="J2110" s="79" t="n">
        <x:f>IF(H2110&gt;0,I2110/H2110,0)</x:f>
        <x:v>9.996148798671925e-13</x:v>
      </x:c>
      <x:c r="K2110" s="80" t="n">
        <x:f>(H2110*J2110+I2110)*'Inputs'!$D$49*(1+'Inputs'!$G$49)^(B2110/30)</x:f>
        <x:v>0.5225715168491339</x:v>
      </x:c>
      <x:c r="L2110" s="80" t="n">
        <x:f>MAX(0,K2110*'Inputs'!$E$49)</x:f>
        <x:v>0</x:v>
      </x:c>
      <x:c r="M2110" s="80" t="n">
        <x:f>MAX(0,-K2110*'Inputs'!$E$49)</x:f>
        <x:v>0.015677145505474017</x:v>
      </x:c>
      <x:c r="N2110" s="78" t="n">
        <x:f>H2110*(L2110*(1-'Inputs'!$B$15))/(I2110+L2110*(1-'Inputs'!$B$15))</x:f>
        <x:v>0</x:v>
      </x:c>
      <x:c r="O2110" s="78" t="n">
        <x:f>H2110-N2110</x:f>
        <x:v>348515231464.98315</x:v>
      </x:c>
      <x:c r="P2110" s="78" t="n">
        <x:f>I2110+L2110*(1-'Inputs'!$B$17)</x:f>
        <x:v>0.34838101123275594</x:v>
      </x:c>
      <x:c r="Q2110" s="78" t="n">
        <x:f>IF(J2110&gt;0,M2110/J2110,0)</x:f>
        <x:v>0</x:v>
      </x:c>
      <x:c r="R2110" s="78" t="n">
        <x:f>IF(B2110='Inputs'!$H$49,'Inputs'!$B$27*'Inputs'!$I$49,0)</x:f>
        <x:v>0</x:v>
      </x:c>
      <x:c r="S2110" s="78" t="n">
        <x:f>Q2110+G2110+R2110</x:f>
        <x:v>806941.0302120479</x:v>
      </x:c>
      <x:c r="T2110" s="78" t="n">
        <x:f>P2110*(S2110*(1-'Inputs'!$B$15))/(O2110+S2110*(1-'Inputs'!$B$15))</x:f>
        <x:v>7.985621278899908e-7</x:v>
      </x:c>
      <x:c r="U2110" s="78" t="n">
        <x:f>O2110+S2110*(1-'Inputs'!$B$17)</x:f>
        <x:v>348516035158.76575</x:v>
      </x:c>
      <x:c r="V2110" s="78" t="n">
        <x:f>P2110-T2110</x:f>
        <x:v>0.3483802126706281</x:v>
      </x:c>
      <x:c r="W2110" s="79" t="n">
        <x:f>IF(U2110&gt;0,V2110/U2110,0)</x:f>
        <x:v>9.996102833888954e-13</x:v>
      </x:c>
      <x:c r="X2110" s="80" t="n">
        <x:f>W2110*('Inputs'!$B$6-AC2110)</x:f>
        <x:v>-0.023148788017419295</x:v>
      </x:c>
      <x:c r="Y2110" s="80" t="n">
        <x:f>2*V2110</x:f>
        <x:v>0.6967604253412562</x:v>
      </x:c>
      <x:c r="Z2110" s="80" t="n">
        <x:f>K2110*'Inputs'!$B$16+(G2110+R2110)*J2110*'Inputs'!$B$16</x:f>
        <x:v>0.00313543394087637</x:v>
      </x:c>
      <x:c r="AA2110" s="80" t="n">
        <x:f>K2110*(1+'Inputs'!$E$49)/2*'Inputs'!$B$17</x:f>
        <x:v>0.00101990819183835</x:v>
      </x:c>
      <x:c r="AB2110" s="78" t="n">
        <x:f>(IF(J2110&gt;0,K2110*(1-'Inputs'!$E$49)/2/J2110,0)+G2110+R2110)*'Inputs'!$B$17</x:f>
        <x:v>3247.2476064871144</x:v>
      </x:c>
      <x:c r="AC2110" s="78" t="n">
        <x:f>AC2109+AB2110</x:f>
        <x:v>24157813001.82296</x:v>
      </x:c>
      <x:c r="AD2110" s="80" t="n">
        <x:f>Z2110/(1+'Inputs'!$C$49)</x:f>
        <x:v>0.0007838584852190925</x:v>
      </x:c>
      <x:c r="AE2110" s="80" t="n">
        <x:f>Z2110-AD2110</x:f>
        <x:v>0.0023515754556572774</x:v>
      </x:c>
      <x:c r="AF2110" s="80" t="n">
        <x:f>D2110*W2110</x:f>
        <x:v>2.6581140883691625e-7</x:v>
      </x:c>
      <x:c r="AG2110" s="80" t="n">
        <x:f>C2110*W2110</x:f>
        <x:v>6.202266206194712e-7</x:v>
      </x:c>
      <x:c r="AH2110" s="80" t="n">
        <x:f>2*'Inputs'!$B$8*'Inputs'!$C$49</x:f>
        <x:v>15000</x:v>
      </x:c>
      <x:c r="AI2110" s="81" t="n">
        <x:f>IF(AH2110&gt;0,(AE2110+AF2110)/AH2110*365,0)</x:f>
        <x:v>0.00005722813749860878</x:v>
      </x:c>
      <x:c r="AJ2110" s="81" t="n">
        <x:f>IF('Inputs'!$B$49&gt;0,AG2110/('Inputs'!$B$19*'Inputs'!$B$49)*365,0)</x:f>
        <x:v>2.26382716526107e-8</x:v>
      </x:c>
      <x:c r="AK2110" s="81" t="n">
        <x:f>W2110/MAX($W$1829:W2110)-1</x:f>
        <x:v>-0.999999998712207</x:v>
      </x:c>
      <x:c r="AL2110" s="83" t="n">
        <x:f>'Inputs'!$B$49</x:f>
        <x:v>1</x:v>
      </x:c>
      <x:c r="AM2110" s="83" t="n">
        <x:f>'Inputs'!$C$49</x:f>
        <x:v>3</x:v>
      </x:c>
      <x:c r="AN2110" s="83" t="n">
        <x:f>'Inputs'!$D$49</x:f>
        <x:v>0.75</x:v>
      </x:c>
      <x:c r="AO2110" s="81" t="n">
        <x:f>'Inputs'!$E$49</x:f>
        <x:v>-0.03</x:v>
      </x:c>
    </x:row>
    <x:row r="2111">
      <x:c r="A2111" s="59" t="str">
        <x:v>Mercenary LP</x:v>
      </x:c>
      <x:c r="B2111" s="59" t="n">
        <x:v>283</x:v>
      </x:c>
      <x:c r="C2111" s="78" t="n">
        <x:f>(('Inputs'!$B$29*(3*283*'Inputs'!$B$12-283^2)/(2*'Inputs'!$B$12^2))-('Inputs'!$B$29*(3*282*'Inputs'!$B$12-282^2)/(2*'Inputs'!$B$12^2)))*'Inputs'!$B$49</x:f>
        <x:v>620143.3195721507</x:v>
      </x:c>
      <x:c r="D2111" s="78" t="n">
        <x:f>IF('Inputs'!$C$49&gt;0,('Inputs'!$B$30*(3*283*'Inputs'!$B$12-283^2)/(2*'Inputs'!$B$12^2))-('Inputs'!$B$30*(3*282*'Inputs'!$B$12-282^2)/(2*'Inputs'!$B$12^2)),0)</x:f>
        <x:v>265775.70838807523</x:v>
      </x:c>
      <x:c r="E2111" s="78" t="n">
        <x:f>C2111+D2111</x:f>
        <x:v>885919.0279602259</x:v>
      </x:c>
      <x:c r="F2111" s="78" t="n">
        <x:f>'Inputs'!$B$13*E2111+(1-'Inputs'!$B$13)/'Inputs'!$B$14*SUM(E2056:E2111)</x:f>
        <x:v>896136.7048226703</x:v>
      </x:c>
      <x:c r="G2111" s="78" t="n">
        <x:f>F2111*'Inputs'!$F$49</x:f>
        <x:v>806523.0343404033</x:v>
      </x:c>
      <x:c r="H2111" s="78" t="n">
        <x:f>U2110</x:f>
        <x:v>348516035158.76575</x:v>
      </x:c>
      <x:c r="I2111" s="78" t="n">
        <x:f>V2110</x:f>
        <x:v>0.3483802126706281</x:v>
      </x:c>
      <x:c r="J2111" s="79" t="n">
        <x:f>IF(H2111&gt;0,I2111/H2111,0)</x:f>
        <x:v>9.996102833888954e-13</x:v>
      </x:c>
      <x:c r="K2111" s="80" t="n">
        <x:f>(H2111*J2111+I2111)*'Inputs'!$D$49*(1+'Inputs'!$G$49)^(B2111/30)</x:f>
        <x:v>0.5225703190059421</x:v>
      </x:c>
      <x:c r="L2111" s="80" t="n">
        <x:f>MAX(0,K2111*'Inputs'!$E$49)</x:f>
        <x:v>0</x:v>
      </x:c>
      <x:c r="M2111" s="80" t="n">
        <x:f>MAX(0,-K2111*'Inputs'!$E$49)</x:f>
        <x:v>0.01567710957017826</x:v>
      </x:c>
      <x:c r="N2111" s="78" t="n">
        <x:f>H2111*(L2111*(1-'Inputs'!$B$15))/(I2111+L2111*(1-'Inputs'!$B$15))</x:f>
        <x:v>0</x:v>
      </x:c>
      <x:c r="O2111" s="78" t="n">
        <x:f>H2111-N2111</x:f>
        <x:v>348516035158.76575</x:v>
      </x:c>
      <x:c r="P2111" s="78" t="n">
        <x:f>I2111+L2111*(1-'Inputs'!$B$17)</x:f>
        <x:v>0.3483802126706281</x:v>
      </x:c>
      <x:c r="Q2111" s="78" t="n">
        <x:f>IF(J2111&gt;0,M2111/J2111,0)</x:f>
        <x:v>0</x:v>
      </x:c>
      <x:c r="R2111" s="78" t="n">
        <x:f>IF(B2111='Inputs'!$H$49,'Inputs'!$B$27*'Inputs'!$I$49,0)</x:f>
        <x:v>0</x:v>
      </x:c>
      <x:c r="S2111" s="78" t="n">
        <x:f>Q2111+G2111+R2111</x:f>
        <x:v>806523.0343404033</x:v>
      </x:c>
      <x:c r="T2111" s="78" t="n">
        <x:f>P2111*(S2111*(1-'Inputs'!$B$15))/(O2111+S2111*(1-'Inputs'!$B$15))</x:f>
        <x:v>7.981448031604412e-7</x:v>
      </x:c>
      <x:c r="U2111" s="78" t="n">
        <x:f>O2111+S2111*(1-'Inputs'!$B$17)</x:f>
        <x:v>348516838436.23456</x:v>
      </x:c>
      <x:c r="V2111" s="78" t="n">
        <x:f>P2111-T2111</x:f>
        <x:v>0.34837941452582494</x:v>
      </x:c>
      <x:c r="W2111" s="79" t="n">
        <x:f>IF(U2111&gt;0,V2111/U2111,0)</x:f>
        <x:v>9.996056893232872e-13</x:v>
      </x:c>
      <x:c r="X2111" s="80" t="n">
        <x:f>W2111*('Inputs'!$B$6-AC2111)</x:f>
        <x:v>-0.023148684873192788</x:v>
      </x:c>
      <x:c r="Y2111" s="80" t="n">
        <x:f>2*V2111</x:f>
        <x:v>0.6967588290516499</x:v>
      </x:c>
      <x:c r="Z2111" s="80" t="n">
        <x:f>K2111*'Inputs'!$B$16+(G2111+R2111)*J2111*'Inputs'!$B$16</x:f>
        <x:v>0.003135426751287966</x:v>
      </x:c>
      <x:c r="AA2111" s="80" t="n">
        <x:f>K2111*(1+'Inputs'!$E$49)/2*'Inputs'!$B$17</x:f>
        <x:v>0.0010199058539955006</x:v>
      </x:c>
      <x:c r="AB2111" s="78" t="n">
        <x:f>(IF(J2111&gt;0,K2111*(1-'Inputs'!$E$49)/2/J2111,0)+G2111+R2111)*'Inputs'!$B$17</x:f>
        <x:v>3245.5655305448827</x:v>
      </x:c>
      <x:c r="AC2111" s="78" t="n">
        <x:f>AC2110+AB2111</x:f>
        <x:v>24157816247.38849</x:v>
      </x:c>
      <x:c r="AD2111" s="80" t="n">
        <x:f>Z2111/(1+'Inputs'!$C$49)</x:f>
        <x:v>0.0007838566878219915</x:v>
      </x:c>
      <x:c r="AE2111" s="80" t="n">
        <x:f>Z2111-AD2111</x:f>
        <x:v>0.0023515700634659745</x:v>
      </x:c>
      <x:c r="AF2111" s="80" t="n">
        <x:f>D2111*W2111</x:f>
        <x:v>2.656709101886469e-7</x:v>
      </x:c>
      <x:c r="AG2111" s="80" t="n">
        <x:f>C2111*W2111</x:f>
        <x:v>6.198987904401513e-7</x:v>
      </x:c>
      <x:c r="AH2111" s="80" t="n">
        <x:f>2*'Inputs'!$B$8*'Inputs'!$C$49</x:f>
        <x:v>15000</x:v>
      </x:c>
      <x:c r="AI2111" s="81" t="n">
        <x:f>IF(AH2111&gt;0,(AE2111+AF2111)/AH2111*365,0)</x:f>
        <x:v>0.00005722800286981997</x:v>
      </x:c>
      <x:c r="AJ2111" s="81" t="n">
        <x:f>IF('Inputs'!$B$49&gt;0,AG2111/('Inputs'!$B$19*'Inputs'!$B$49)*365,0)</x:f>
        <x:v>2.2626305851065524e-8</x:v>
      </x:c>
      <x:c r="AK2111" s="81" t="n">
        <x:f>W2111/MAX($W$1829:W2111)-1</x:f>
        <x:v>-0.9999999987122129</x:v>
      </x:c>
      <x:c r="AL2111" s="83" t="n">
        <x:f>'Inputs'!$B$49</x:f>
        <x:v>1</x:v>
      </x:c>
      <x:c r="AM2111" s="83" t="n">
        <x:f>'Inputs'!$C$49</x:f>
        <x:v>3</x:v>
      </x:c>
      <x:c r="AN2111" s="83" t="n">
        <x:f>'Inputs'!$D$49</x:f>
        <x:v>0.75</x:v>
      </x:c>
      <x:c r="AO2111" s="81" t="n">
        <x:f>'Inputs'!$E$49</x:f>
        <x:v>-0.03</x:v>
      </x:c>
    </x:row>
    <x:row r="2112">
      <x:c r="A2112" s="59" t="str">
        <x:v>Mercenary LP</x:v>
      </x:c>
      <x:c r="B2112" s="59" t="n">
        <x:v>284</x:v>
      </x:c>
      <x:c r="C2112" s="78" t="n">
        <x:f>(('Inputs'!$B$29*(3*284*'Inputs'!$B$12-284^2)/(2*'Inputs'!$B$12^2))-('Inputs'!$B$29*(3*283*'Inputs'!$B$12-283^2)/(2*'Inputs'!$B$12^2)))*'Inputs'!$B$49</x:f>
        <x:v>619818.2116719782</x:v>
      </x:c>
      <x:c r="D2112" s="78" t="n">
        <x:f>IF('Inputs'!$C$49&gt;0,('Inputs'!$B$30*(3*284*'Inputs'!$B$12-284^2)/(2*'Inputs'!$B$12^2))-('Inputs'!$B$30*(3*283*'Inputs'!$B$12-283^2)/(2*'Inputs'!$B$12^2)),0)</x:f>
        <x:v>265636.3764308393</x:v>
      </x:c>
      <x:c r="E2112" s="78" t="n">
        <x:f>C2112+D2112</x:f>
        <x:v>885454.5881028175</x:v>
      </x:c>
      <x:c r="F2112" s="78" t="n">
        <x:f>'Inputs'!$B$13*E2112+(1-'Inputs'!$B$13)/'Inputs'!$B$14*SUM(E2057:E2112)</x:f>
        <x:v>895672.2649652809</x:v>
      </x:c>
      <x:c r="G2112" s="78" t="n">
        <x:f>F2112*'Inputs'!$F$49</x:f>
        <x:v>806105.0384687529</x:v>
      </x:c>
      <x:c r="H2112" s="78" t="n">
        <x:f>U2111</x:f>
        <x:v>348516838436.23456</x:v>
      </x:c>
      <x:c r="I2112" s="78" t="n">
        <x:f>V2111</x:f>
        <x:v>0.34837941452582494</x:v>
      </x:c>
      <x:c r="J2112" s="79" t="n">
        <x:f>IF(H2112&gt;0,I2112/H2112,0)</x:f>
        <x:v>9.996056893232872e-13</x:v>
      </x:c>
      <x:c r="K2112" s="80" t="n">
        <x:f>(H2112*J2112+I2112)*'Inputs'!$D$49*(1+'Inputs'!$G$49)^(B2112/30)</x:f>
        <x:v>0.5225691217887374</x:v>
      </x:c>
      <x:c r="L2112" s="80" t="n">
        <x:f>MAX(0,K2112*'Inputs'!$E$49)</x:f>
        <x:v>0</x:v>
      </x:c>
      <x:c r="M2112" s="80" t="n">
        <x:f>MAX(0,-K2112*'Inputs'!$E$49)</x:f>
        <x:v>0.01567707365366212</x:v>
      </x:c>
      <x:c r="N2112" s="78" t="n">
        <x:f>H2112*(L2112*(1-'Inputs'!$B$15))/(I2112+L2112*(1-'Inputs'!$B$15))</x:f>
        <x:v>0</x:v>
      </x:c>
      <x:c r="O2112" s="78" t="n">
        <x:f>H2112-N2112</x:f>
        <x:v>348516838436.23456</x:v>
      </x:c>
      <x:c r="P2112" s="78" t="n">
        <x:f>I2112+L2112*(1-'Inputs'!$B$17)</x:f>
        <x:v>0.34837941452582494</x:v>
      </x:c>
      <x:c r="Q2112" s="78" t="n">
        <x:f>IF(J2112&gt;0,M2112/J2112,0)</x:f>
        <x:v>0</x:v>
      </x:c>
      <x:c r="R2112" s="78" t="n">
        <x:f>IF(B2112='Inputs'!$H$49,'Inputs'!$B$27*'Inputs'!$I$49,0)</x:f>
        <x:v>0</x:v>
      </x:c>
      <x:c r="S2112" s="78" t="n">
        <x:f>Q2112+G2112+R2112</x:f>
        <x:v>806105.0384687529</x:v>
      </x:c>
      <x:c r="T2112" s="78" t="n">
        <x:f>P2112*(S2112*(1-'Inputs'!$B$15))/(O2112+S2112*(1-'Inputs'!$B$15))</x:f>
        <x:v>7.97727484159494e-7</x:v>
      </x:c>
      <x:c r="U2112" s="78" t="n">
        <x:f>O2112+S2112*(1-'Inputs'!$B$17)</x:f>
        <x:v>348517641297.3896</x:v>
      </x:c>
      <x:c r="V2112" s="78" t="n">
        <x:f>P2112-T2112</x:f>
        <x:v>0.34837861679834076</x:v>
      </x:c>
      <x:c r="W2112" s="79" t="n">
        <x:f>IF(U2112&gt;0,V2112/U2112,0)</x:f>
        <x:v>9.996010976703178e-13</x:v>
      </x:c>
      <x:c r="X2112" s="80" t="n">
        <x:f>W2112*('Inputs'!$B$6-AC2112)</x:f>
        <x:v>-0.023148581783126513</x:v>
      </x:c>
      <x:c r="Y2112" s="80" t="n">
        <x:f>2*V2112</x:f>
        <x:v>0.6967572335966815</x:v>
      </x:c>
      <x:c r="Z2112" s="80" t="n">
        <x:f>K2112*'Inputs'!$B$16+(G2112+R2112)*J2112*'Inputs'!$B$16</x:f>
        <x:v>0.00313541956545552</x:v>
      </x:c>
      <x:c r="AA2112" s="80" t="n">
        <x:f>K2112*(1+'Inputs'!$E$49)/2*'Inputs'!$B$17</x:f>
        <x:v>0.001019903517374397</x:v>
      </x:c>
      <x:c r="AB2112" s="78" t="n">
        <x:f>(IF(J2112&gt;0,K2112*(1-'Inputs'!$E$49)/2/J2112,0)+G2112+R2112)*'Inputs'!$B$17</x:f>
        <x:v>3243.8834546026274</x:v>
      </x:c>
      <x:c r="AC2112" s="78" t="n">
        <x:f>AC2111+AB2112</x:f>
        <x:v>24157819491.271942</x:v>
      </x:c>
      <x:c r="AD2112" s="80" t="n">
        <x:f>Z2112/(1+'Inputs'!$C$49)</x:f>
        <x:v>0.00078385489136388</x:v>
      </x:c>
      <x:c r="AE2112" s="80" t="n">
        <x:f>Z2112-AD2112</x:f>
        <x:v>0.00235156467409164</x:v>
      </x:c>
      <x:c r="AF2112" s="80" t="n">
        <x:f>D2112*W2112</x:f>
        <x:v>2.655304134614327e-7</x:v>
      </x:c>
      <x:c r="AG2112" s="80" t="n">
        <x:f>C2112*W2112</x:f>
        <x:v>6.195709647433629e-7</x:v>
      </x:c>
      <x:c r="AH2112" s="80" t="n">
        <x:f>2*'Inputs'!$B$8*'Inputs'!$C$49</x:f>
        <x:v>15000</x:v>
      </x:c>
      <x:c r="AI2112" s="81" t="n">
        <x:f>IF(AH2112&gt;0,(AE2112+AF2112)/AH2112*365,0)</x:f>
        <x:v>0.00005722786830962414</x:v>
      </x:c>
      <x:c r="AJ2112" s="81" t="n">
        <x:f>IF('Inputs'!$B$49&gt;0,AG2112/('Inputs'!$B$19*'Inputs'!$B$49)*365,0)</x:f>
        <x:v>2.2614340213132742e-8</x:v>
      </x:c>
      <x:c r="AK2112" s="81" t="n">
        <x:f>W2112/MAX($W$1829:W2112)-1</x:f>
        <x:v>-0.9999999987122189</x:v>
      </x:c>
      <x:c r="AL2112" s="83" t="n">
        <x:f>'Inputs'!$B$49</x:f>
        <x:v>1</x:v>
      </x:c>
      <x:c r="AM2112" s="83" t="n">
        <x:f>'Inputs'!$C$49</x:f>
        <x:v>3</x:v>
      </x:c>
      <x:c r="AN2112" s="83" t="n">
        <x:f>'Inputs'!$D$49</x:f>
        <x:v>0.75</x:v>
      </x:c>
      <x:c r="AO2112" s="81" t="n">
        <x:f>'Inputs'!$E$49</x:f>
        <x:v>-0.03</x:v>
      </x:c>
    </x:row>
    <x:row r="2113">
      <x:c r="A2113" s="59" t="str">
        <x:v>Mercenary LP</x:v>
      </x:c>
      <x:c r="B2113" s="59" t="n">
        <x:v>285</x:v>
      </x:c>
      <x:c r="C2113" s="78" t="n">
        <x:f>(('Inputs'!$B$29*(3*285*'Inputs'!$B$12-285^2)/(2*'Inputs'!$B$12^2))-('Inputs'!$B$29*(3*284*'Inputs'!$B$12-284^2)/(2*'Inputs'!$B$12^2)))*'Inputs'!$B$49</x:f>
        <x:v>619493.1037718356</x:v>
      </x:c>
      <x:c r="D2113" s="78" t="n">
        <x:f>IF('Inputs'!$C$49&gt;0,('Inputs'!$B$30*(3*285*'Inputs'!$B$12-285^2)/(2*'Inputs'!$B$12^2))-('Inputs'!$B$30*(3*284*'Inputs'!$B$12-284^2)/(2*'Inputs'!$B$12^2)),0)</x:f>
        <x:v>265497.04447363317</x:v>
      </x:c>
      <x:c r="E2113" s="78" t="n">
        <x:f>C2113+D2113</x:f>
        <x:v>884990.1482454687</x:v>
      </x:c>
      <x:c r="F2113" s="78" t="n">
        <x:f>'Inputs'!$B$13*E2113+(1-'Inputs'!$B$13)/'Inputs'!$B$14*SUM(E2058:E2113)</x:f>
        <x:v>895207.8251079043</x:v>
      </x:c>
      <x:c r="G2113" s="78" t="n">
        <x:f>F2113*'Inputs'!$F$49</x:f>
        <x:v>805687.0425971139</x:v>
      </x:c>
      <x:c r="H2113" s="78" t="n">
        <x:f>U2112</x:f>
        <x:v>348517641297.3896</x:v>
      </x:c>
      <x:c r="I2113" s="78" t="n">
        <x:f>V2112</x:f>
        <x:v>0.34837861679834076</x:v>
      </x:c>
      <x:c r="J2113" s="79" t="n">
        <x:f>IF(H2113&gt;0,I2113/H2113,0)</x:f>
        <x:v>9.996010976703178e-13</x:v>
      </x:c>
      <x:c r="K2113" s="80" t="n">
        <x:f>(H2113*J2113+I2113)*'Inputs'!$D$49*(1+'Inputs'!$G$49)^(B2113/30)</x:f>
        <x:v>0.522567925197511</x:v>
      </x:c>
      <x:c r="L2113" s="80" t="n">
        <x:f>MAX(0,K2113*'Inputs'!$E$49)</x:f>
        <x:v>0</x:v>
      </x:c>
      <x:c r="M2113" s="80" t="n">
        <x:f>MAX(0,-K2113*'Inputs'!$E$49)</x:f>
        <x:v>0.01567703775592533</x:v>
      </x:c>
      <x:c r="N2113" s="78" t="n">
        <x:f>H2113*(L2113*(1-'Inputs'!$B$15))/(I2113+L2113*(1-'Inputs'!$B$15))</x:f>
        <x:v>0</x:v>
      </x:c>
      <x:c r="O2113" s="78" t="n">
        <x:f>H2113-N2113</x:f>
        <x:v>348517641297.3896</x:v>
      </x:c>
      <x:c r="P2113" s="78" t="n">
        <x:f>I2113+L2113*(1-'Inputs'!$B$17)</x:f>
        <x:v>0.34837861679834076</x:v>
      </x:c>
      <x:c r="Q2113" s="78" t="n">
        <x:f>IF(J2113&gt;0,M2113/J2113,0)</x:f>
        <x:v>0</x:v>
      </x:c>
      <x:c r="R2113" s="78" t="n">
        <x:f>IF(B2113='Inputs'!$H$49,'Inputs'!$B$27*'Inputs'!$I$49,0)</x:f>
        <x:v>0</x:v>
      </x:c>
      <x:c r="S2113" s="78" t="n">
        <x:f>Q2113+G2113+R2113</x:f>
        <x:v>805687.0425971139</x:v>
      </x:c>
      <x:c r="T2113" s="78" t="n">
        <x:f>P2113*(S2113*(1-'Inputs'!$B$15))/(O2113+S2113*(1-'Inputs'!$B$15))</x:f>
        <x:v>7.973101708841316e-7</x:v>
      </x:c>
      <x:c r="U2113" s="78" t="n">
        <x:f>O2113+S2113*(1-'Inputs'!$B$17)</x:f>
        <x:v>348518443742.23083</x:v>
      </x:c>
      <x:c r="V2113" s="78" t="n">
        <x:f>P2113-T2113</x:f>
        <x:v>0.34837781948816987</x:v>
      </x:c>
      <x:c r="W2113" s="79" t="n">
        <x:f>IF(U2113&gt;0,V2113/U2113,0)</x:f>
        <x:v>9.995965084299385e-13</x:v>
      </x:c>
      <x:c r="X2113" s="80" t="n">
        <x:f>W2113*('Inputs'!$B$6-AC2113)</x:f>
        <x:v>-0.023148478747219384</x:v>
      </x:c>
      <x:c r="Y2113" s="80" t="n">
        <x:f>2*V2113</x:f>
        <x:v>0.6967556389763397</x:v>
      </x:c>
      <x:c r="Z2113" s="80" t="n">
        <x:f>K2113*'Inputs'!$B$16+(G2113+R2113)*J2113*'Inputs'!$B$16</x:f>
        <x:v>0.0031354123833789794</x:v>
      </x:c>
      <x:c r="AA2113" s="80" t="n">
        <x:f>K2113*(1+'Inputs'!$E$49)/2*'Inputs'!$B$17</x:f>
        <x:v>0.0010199011819750216</x:v>
      </x:c>
      <x:c r="AB2113" s="78" t="n">
        <x:f>(IF(J2113&gt;0,K2113*(1-'Inputs'!$E$49)/2/J2113,0)+G2113+R2113)*'Inputs'!$B$17</x:f>
        <x:v>3242.2013786604184</x:v>
      </x:c>
      <x:c r="AC2113" s="78" t="n">
        <x:f>AC2112+AB2113</x:f>
        <x:v>24157822733.47332</x:v>
      </x:c>
      <x:c r="AD2113" s="80" t="n">
        <x:f>Z2113/(1+'Inputs'!$C$49)</x:f>
        <x:v>0.0007838530958447448</x:v>
      </x:c>
      <x:c r="AE2113" s="80" t="n">
        <x:f>Z2113-AD2113</x:f>
        <x:v>0.0023515592875342347</x:v>
      </x:c>
      <x:c r="AF2113" s="80" t="n">
        <x:f>D2113*W2113</x:f>
        <x:v>2.653899186543118e-7</x:v>
      </x:c>
      <x:c r="AG2113" s="80" t="n">
        <x:f>C2113*W2113</x:f>
        <x:v>6.192431435267524e-7</x:v>
      </x:c>
      <x:c r="AH2113" s="80" t="n">
        <x:f>2*'Inputs'!$B$8*'Inputs'!$C$49</x:f>
        <x:v>15000</x:v>
      </x:c>
      <x:c r="AI2113" s="81" t="n">
        <x:f>IF(AH2113&gt;0,(AE2113+AF2113)/AH2113*365,0)</x:f>
        <x:v>0.000057227733818020305</x:v>
      </x:c>
      <x:c r="AJ2113" s="81" t="n">
        <x:f>IF('Inputs'!$B$49&gt;0,AG2113/('Inputs'!$B$19*'Inputs'!$B$49)*365,0)</x:f>
        <x:v>2.2602374738726464e-8</x:v>
      </x:c>
      <x:c r="AK2113" s="81" t="n">
        <x:f>W2113/MAX($W$1829:W2113)-1</x:f>
        <x:v>-0.9999999987122248</x:v>
      </x:c>
      <x:c r="AL2113" s="83" t="n">
        <x:f>'Inputs'!$B$49</x:f>
        <x:v>1</x:v>
      </x:c>
      <x:c r="AM2113" s="83" t="n">
        <x:f>'Inputs'!$C$49</x:f>
        <x:v>3</x:v>
      </x:c>
      <x:c r="AN2113" s="83" t="n">
        <x:f>'Inputs'!$D$49</x:f>
        <x:v>0.75</x:v>
      </x:c>
      <x:c r="AO2113" s="81" t="n">
        <x:f>'Inputs'!$E$49</x:f>
        <x:v>-0.03</x:v>
      </x:c>
    </x:row>
    <x:row r="2114">
      <x:c r="A2114" s="59" t="str">
        <x:v>Mercenary LP</x:v>
      </x:c>
      <x:c r="B2114" s="59" t="n">
        <x:v>286</x:v>
      </x:c>
      <x:c r="C2114" s="78" t="n">
        <x:f>(('Inputs'!$B$29*(3*286*'Inputs'!$B$12-286^2)/(2*'Inputs'!$B$12^2))-('Inputs'!$B$29*(3*285*'Inputs'!$B$12-285^2)/(2*'Inputs'!$B$12^2)))*'Inputs'!$B$49</x:f>
        <x:v>619167.9958716333</x:v>
      </x:c>
      <x:c r="D2114" s="78" t="n">
        <x:f>IF('Inputs'!$C$49&gt;0,('Inputs'!$B$30*(3*286*'Inputs'!$B$12-286^2)/(2*'Inputs'!$B$12^2))-('Inputs'!$B$30*(3*285*'Inputs'!$B$12-285^2)/(2*'Inputs'!$B$12^2)),0)</x:f>
        <x:v>265357.71251642704</x:v>
      </x:c>
      <x:c r="E2114" s="78" t="n">
        <x:f>C2114+D2114</x:f>
        <x:v>884525.7083880603</x:v>
      </x:c>
      <x:c r="F2114" s="78" t="n">
        <x:f>'Inputs'!$B$13*E2114+(1-'Inputs'!$B$13)/'Inputs'!$B$14*SUM(E2059:E2114)</x:f>
        <x:v>894743.3852505152</x:v>
      </x:c>
      <x:c r="G2114" s="78" t="n">
        <x:f>F2114*'Inputs'!$F$49</x:f>
        <x:v>805269.0467254637</x:v>
      </x:c>
      <x:c r="H2114" s="78" t="n">
        <x:f>U2113</x:f>
        <x:v>348518443742.23083</x:v>
      </x:c>
      <x:c r="I2114" s="78" t="n">
        <x:f>V2113</x:f>
        <x:v>0.34837781948816987</x:v>
      </x:c>
      <x:c r="J2114" s="79" t="n">
        <x:f>IF(H2114&gt;0,I2114/H2114,0)</x:f>
        <x:v>9.995965084299385e-13</x:v>
      </x:c>
      <x:c r="K2114" s="80" t="n">
        <x:f>(H2114*J2114+I2114)*'Inputs'!$D$49*(1+'Inputs'!$G$49)^(B2114/30)</x:f>
        <x:v>0.5225667292322548</x:v>
      </x:c>
      <x:c r="L2114" s="80" t="n">
        <x:f>MAX(0,K2114*'Inputs'!$E$49)</x:f>
        <x:v>0</x:v>
      </x:c>
      <x:c r="M2114" s="80" t="n">
        <x:f>MAX(0,-K2114*'Inputs'!$E$49)</x:f>
        <x:v>0.015677001876967644</x:v>
      </x:c>
      <x:c r="N2114" s="78" t="n">
        <x:f>H2114*(L2114*(1-'Inputs'!$B$15))/(I2114+L2114*(1-'Inputs'!$B$15))</x:f>
        <x:v>0</x:v>
      </x:c>
      <x:c r="O2114" s="78" t="n">
        <x:f>H2114-N2114</x:f>
        <x:v>348518443742.23083</x:v>
      </x:c>
      <x:c r="P2114" s="78" t="n">
        <x:f>I2114+L2114*(1-'Inputs'!$B$17)</x:f>
        <x:v>0.34837781948816987</x:v>
      </x:c>
      <x:c r="Q2114" s="78" t="n">
        <x:f>IF(J2114&gt;0,M2114/J2114,0)</x:f>
        <x:v>0</x:v>
      </x:c>
      <x:c r="R2114" s="78" t="n">
        <x:f>IF(B2114='Inputs'!$H$49,'Inputs'!$B$27*'Inputs'!$I$49,0)</x:f>
        <x:v>0</x:v>
      </x:c>
      <x:c r="S2114" s="78" t="n">
        <x:f>Q2114+G2114+R2114</x:f>
        <x:v>805269.0467254637</x:v>
      </x:c>
      <x:c r="T2114" s="78" t="n">
        <x:f>P2114*(S2114*(1-'Inputs'!$B$15))/(O2114+S2114*(1-'Inputs'!$B$15))</x:f>
        <x:v>7.968928633312976e-7</x:v>
      </x:c>
      <x:c r="U2114" s="78" t="n">
        <x:f>O2114+S2114*(1-'Inputs'!$B$17)</x:f>
        <x:v>348519245770.75824</x:v>
      </x:c>
      <x:c r="V2114" s="78" t="n">
        <x:f>P2114-T2114</x:f>
        <x:v>0.34837702259530656</x:v>
      </x:c>
      <x:c r="W2114" s="79" t="n">
        <x:f>IF(U2114&gt;0,V2114/U2114,0)</x:f>
        <x:v>9.995919216020992e-13</x:v>
      </x:c>
      <x:c r="X2114" s="80" t="n">
        <x:f>W2114*('Inputs'!$B$6-AC2114)</x:f>
        <x:v>-0.02314837576547029</x:v>
      </x:c>
      <x:c r="Y2114" s="80" t="n">
        <x:f>2*V2114</x:f>
        <x:v>0.6967540451906131</x:v>
      </x:c>
      <x:c r="Z2114" s="80" t="n">
        <x:f>K2114*'Inputs'!$B$16+(G2114+R2114)*J2114*'Inputs'!$B$16</x:f>
        <x:v>0.0031354052050582937</x:v>
      </x:c>
      <x:c r="AA2114" s="80" t="n">
        <x:f>K2114*(1+'Inputs'!$E$49)/2*'Inputs'!$B$17</x:f>
        <x:v>0.0010198988477973586</x:v>
      </x:c>
      <x:c r="AB2114" s="78" t="n">
        <x:f>(IF(J2114&gt;0,K2114*(1-'Inputs'!$E$49)/2/J2114,0)+G2114+R2114)*'Inputs'!$B$17</x:f>
        <x:v>3240.519302718164</x:v>
      </x:c>
      <x:c r="AC2114" s="78" t="n">
        <x:f>AC2113+AB2114</x:f>
        <x:v>24157825973.992622</x:v>
      </x:c>
      <x:c r="AD2114" s="80" t="n">
        <x:f>Z2114/(1+'Inputs'!$C$49)</x:f>
        <x:v>0.0007838513012645734</x:v>
      </x:c>
      <x:c r="AE2114" s="80" t="n">
        <x:f>Z2114-AD2114</x:f>
        <x:v>0.00235155390379372</x:v>
      </x:c>
      <x:c r="AF2114" s="80" t="n">
        <x:f>D2114*W2114</x:f>
        <x:v>2.6524942576623273e-7</x:v>
      </x:c>
      <x:c r="AG2114" s="80" t="n">
        <x:f>C2114*W2114</x:f>
        <x:v>6.189153267878465e-7</x:v>
      </x:c>
      <x:c r="AH2114" s="80" t="n">
        <x:f>2*'Inputs'!$B$8*'Inputs'!$C$49</x:f>
        <x:v>15000</x:v>
      </x:c>
      <x:c r="AI2114" s="81" t="n">
        <x:f>IF(AH2114&gt;0,(AE2114+AF2114)/AH2114*365,0)</x:f>
        <x:v>0.0000572275993950075</x:v>
      </x:c>
      <x:c r="AJ2114" s="81" t="n">
        <x:f>IF('Inputs'!$B$49&gt;0,AG2114/('Inputs'!$B$19*'Inputs'!$B$49)*365,0)</x:f>
        <x:v>2.25904094277564e-8</x:v>
      </x:c>
      <x:c r="AK2114" s="81" t="n">
        <x:f>W2114/MAX($W$1829:W2114)-1</x:f>
        <x:v>-0.9999999987122307</x:v>
      </x:c>
      <x:c r="AL2114" s="83" t="n">
        <x:f>'Inputs'!$B$49</x:f>
        <x:v>1</x:v>
      </x:c>
      <x:c r="AM2114" s="83" t="n">
        <x:f>'Inputs'!$C$49</x:f>
        <x:v>3</x:v>
      </x:c>
      <x:c r="AN2114" s="83" t="n">
        <x:f>'Inputs'!$D$49</x:f>
        <x:v>0.75</x:v>
      </x:c>
      <x:c r="AO2114" s="81" t="n">
        <x:f>'Inputs'!$E$49</x:f>
        <x:v>-0.03</x:v>
      </x:c>
    </x:row>
    <x:row r="2115">
      <x:c r="A2115" s="59" t="str">
        <x:v>Mercenary LP</x:v>
      </x:c>
      <x:c r="B2115" s="59" t="n">
        <x:v>287</x:v>
      </x:c>
      <x:c r="C2115" s="78" t="n">
        <x:f>(('Inputs'!$B$29*(3*287*'Inputs'!$B$12-287^2)/(2*'Inputs'!$B$12^2))-('Inputs'!$B$29*(3*286*'Inputs'!$B$12-286^2)/(2*'Inputs'!$B$12^2)))*'Inputs'!$B$49</x:f>
        <x:v>618842.8879714906</x:v>
      </x:c>
      <x:c r="D2115" s="78" t="n">
        <x:f>IF('Inputs'!$C$49&gt;0,('Inputs'!$B$30*(3*287*'Inputs'!$B$12-287^2)/(2*'Inputs'!$B$12^2))-('Inputs'!$B$30*(3*286*'Inputs'!$B$12-286^2)/(2*'Inputs'!$B$12^2)),0)</x:f>
        <x:v>265218.380559206</x:v>
      </x:c>
      <x:c r="E2115" s="78" t="n">
        <x:f>C2115+D2115</x:f>
        <x:v>884061.2685306966</x:v>
      </x:c>
      <x:c r="F2115" s="78" t="n">
        <x:f>'Inputs'!$B$13*E2115+(1-'Inputs'!$B$13)/'Inputs'!$B$14*SUM(E2060:E2115)</x:f>
        <x:v>894278.9453931353</x:v>
      </x:c>
      <x:c r="G2115" s="78" t="n">
        <x:f>F2115*'Inputs'!$F$49</x:f>
        <x:v>804851.0508538218</x:v>
      </x:c>
      <x:c r="H2115" s="78" t="n">
        <x:f>U2114</x:f>
        <x:v>348519245770.75824</x:v>
      </x:c>
      <x:c r="I2115" s="78" t="n">
        <x:f>V2114</x:f>
        <x:v>0.34837702259530656</x:v>
      </x:c>
      <x:c r="J2115" s="79" t="n">
        <x:f>IF(H2115&gt;0,I2115/H2115,0)</x:f>
        <x:v>9.995919216020992e-13</x:v>
      </x:c>
      <x:c r="K2115" s="80" t="n">
        <x:f>(H2115*J2115+I2115)*'Inputs'!$D$49*(1+'Inputs'!$G$49)^(B2115/30)</x:f>
        <x:v>0.5225655338929598</x:v>
      </x:c>
      <x:c r="L2115" s="80" t="n">
        <x:f>MAX(0,K2115*'Inputs'!$E$49)</x:f>
        <x:v>0</x:v>
      </x:c>
      <x:c r="M2115" s="80" t="n">
        <x:f>MAX(0,-K2115*'Inputs'!$E$49)</x:f>
        <x:v>0.015676966016788793</x:v>
      </x:c>
      <x:c r="N2115" s="78" t="n">
        <x:f>H2115*(L2115*(1-'Inputs'!$B$15))/(I2115+L2115*(1-'Inputs'!$B$15))</x:f>
        <x:v>0</x:v>
      </x:c>
      <x:c r="O2115" s="78" t="n">
        <x:f>H2115-N2115</x:f>
        <x:v>348519245770.75824</x:v>
      </x:c>
      <x:c r="P2115" s="78" t="n">
        <x:f>I2115+L2115*(1-'Inputs'!$B$17)</x:f>
        <x:v>0.34837702259530656</x:v>
      </x:c>
      <x:c r="Q2115" s="78" t="n">
        <x:f>IF(J2115&gt;0,M2115/J2115,0)</x:f>
        <x:v>0</x:v>
      </x:c>
      <x:c r="R2115" s="78" t="n">
        <x:f>IF(B2115='Inputs'!$H$49,'Inputs'!$B$27*'Inputs'!$I$49,0)</x:f>
        <x:v>0</x:v>
      </x:c>
      <x:c r="S2115" s="78" t="n">
        <x:f>Q2115+G2115+R2115</x:f>
        <x:v>804851.0508538218</x:v>
      </x:c>
      <x:c r="T2115" s="78" t="n">
        <x:f>P2115*(S2115*(1-'Inputs'!$B$15))/(O2115+S2115*(1-'Inputs'!$B$15))</x:f>
        <x:v>7.964755614979761e-7</x:v>
      </x:c>
      <x:c r="U2115" s="78" t="n">
        <x:f>O2115+S2115*(1-'Inputs'!$B$17)</x:f>
        <x:v>348520047382.97186</x:v>
      </x:c>
      <x:c r="V2115" s="78" t="n">
        <x:f>P2115-T2115</x:f>
        <x:v>0.34837622611974506</x:v>
      </x:c>
      <x:c r="W2115" s="79" t="n">
        <x:f>IF(U2115&gt;0,V2115/U2115,0)</x:f>
        <x:v>9.995873371867508e-13</x:v>
      </x:c>
      <x:c r="X2115" s="80" t="n">
        <x:f>W2115*('Inputs'!$B$6-AC2115)</x:f>
        <x:v>-0.02314827283787814</x:v>
      </x:c>
      <x:c r="Y2115" s="80" t="n">
        <x:f>2*V2115</x:f>
        <x:v>0.6967524522394901</x:v>
      </x:c>
      <x:c r="Z2115" s="80" t="n">
        <x:f>K2115*'Inputs'!$B$16+(G2115+R2115)*J2115*'Inputs'!$B$16</x:f>
        <x:v>0.00313539803049341</x:v>
      </x:c>
      <x:c r="AA2115" s="80" t="n">
        <x:f>K2115*(1+'Inputs'!$E$49)/2*'Inputs'!$B$17</x:f>
        <x:v>0.0010198965148413904</x:v>
      </x:c>
      <x:c r="AB2115" s="78" t="n">
        <x:f>(IF(J2115&gt;0,K2115*(1-'Inputs'!$E$49)/2/J2115,0)+G2115+R2115)*'Inputs'!$B$17</x:f>
        <x:v>3238.8372267759432</x:v>
      </x:c>
      <x:c r="AC2115" s="78" t="n">
        <x:f>AC2114+AB2115</x:f>
        <x:v>24157829212.82985</x:v>
      </x:c>
      <x:c r="AD2115" s="80" t="n">
        <x:f>Z2115/(1+'Inputs'!$C$49)</x:f>
        <x:v>0.0007838495076233525</x:v>
      </x:c>
      <x:c r="AE2115" s="80" t="n">
        <x:f>Z2115-AD2115</x:f>
        <x:v>0.0023515485228700573</x:v>
      </x:c>
      <x:c r="AF2115" s="80" t="n">
        <x:f>D2115*W2115</x:f>
        <x:v>2.6510893479615906e-7</x:v>
      </x:c>
      <x:c r="AG2115" s="80" t="n">
        <x:f>C2115*W2115</x:f>
        <x:v>6.185875145243811e-7</x:v>
      </x:c>
      <x:c r="AH2115" s="80" t="n">
        <x:f>2*'Inputs'!$B$8*'Inputs'!$C$49</x:f>
        <x:v>15000</x:v>
      </x:c>
      <x:c r="AI2115" s="81" t="n">
        <x:f>IF(AH2115&gt;0,(AE2115+AF2115)/AH2115*365,0)</x:f>
        <x:v>0.00005722746504058477</x:v>
      </x:c>
      <x:c r="AJ2115" s="81" t="n">
        <x:f>IF('Inputs'!$B$49&gt;0,AG2115/('Inputs'!$B$19*'Inputs'!$B$49)*365,0)</x:f>
        <x:v>2.257844428013991e-8</x:v>
      </x:c>
      <x:c r="AK2115" s="81" t="n">
        <x:f>W2115/MAX($W$1829:W2115)-1</x:f>
        <x:v>-0.9999999987122365</x:v>
      </x:c>
      <x:c r="AL2115" s="83" t="n">
        <x:f>'Inputs'!$B$49</x:f>
        <x:v>1</x:v>
      </x:c>
      <x:c r="AM2115" s="83" t="n">
        <x:f>'Inputs'!$C$49</x:f>
        <x:v>3</x:v>
      </x:c>
      <x:c r="AN2115" s="83" t="n">
        <x:f>'Inputs'!$D$49</x:f>
        <x:v>0.75</x:v>
      </x:c>
      <x:c r="AO2115" s="81" t="n">
        <x:f>'Inputs'!$E$49</x:f>
        <x:v>-0.03</x:v>
      </x:c>
    </x:row>
    <x:row r="2116">
      <x:c r="A2116" s="59" t="str">
        <x:v>Mercenary LP</x:v>
      </x:c>
      <x:c r="B2116" s="59" t="n">
        <x:v>288</x:v>
      </x:c>
      <x:c r="C2116" s="78" t="n">
        <x:f>(('Inputs'!$B$29*(3*288*'Inputs'!$B$12-288^2)/(2*'Inputs'!$B$12^2))-('Inputs'!$B$29*(3*287*'Inputs'!$B$12-287^2)/(2*'Inputs'!$B$12^2)))*'Inputs'!$B$49</x:f>
        <x:v>618517.7800712883</x:v>
      </x:c>
      <x:c r="D2116" s="78" t="n">
        <x:f>IF('Inputs'!$C$49&gt;0,('Inputs'!$B$30*(3*288*'Inputs'!$B$12-288^2)/(2*'Inputs'!$B$12^2))-('Inputs'!$B$30*(3*287*'Inputs'!$B$12-287^2)/(2*'Inputs'!$B$12^2)),0)</x:f>
        <x:v>265079.048601985</x:v>
      </x:c>
      <x:c r="E2116" s="78" t="n">
        <x:f>C2116+D2116</x:f>
        <x:v>883596.8286732733</x:v>
      </x:c>
      <x:c r="F2116" s="78" t="n">
        <x:f>'Inputs'!$B$13*E2116+(1-'Inputs'!$B$13)/'Inputs'!$B$14*SUM(E2061:E2116)</x:f>
        <x:v>893814.505535743</x:v>
      </x:c>
      <x:c r="G2116" s="78" t="n">
        <x:f>F2116*'Inputs'!$F$49</x:f>
        <x:v>804433.0549821687</x:v>
      </x:c>
      <x:c r="H2116" s="78" t="n">
        <x:f>U2115</x:f>
        <x:v>348520047382.97186</x:v>
      </x:c>
      <x:c r="I2116" s="78" t="n">
        <x:f>V2115</x:f>
        <x:v>0.34837622611974506</x:v>
      </x:c>
      <x:c r="J2116" s="79" t="n">
        <x:f>IF(H2116&gt;0,I2116/H2116,0)</x:f>
        <x:v>9.995873371867508e-13</x:v>
      </x:c>
      <x:c r="K2116" s="80" t="n">
        <x:f>(H2116*J2116+I2116)*'Inputs'!$D$49*(1+'Inputs'!$G$49)^(B2116/30)</x:f>
        <x:v>0.5225643391796175</x:v>
      </x:c>
      <x:c r="L2116" s="80" t="n">
        <x:f>MAX(0,K2116*'Inputs'!$E$49)</x:f>
        <x:v>0</x:v>
      </x:c>
      <x:c r="M2116" s="80" t="n">
        <x:f>MAX(0,-K2116*'Inputs'!$E$49)</x:f>
        <x:v>0.015676930175388525</x:v>
      </x:c>
      <x:c r="N2116" s="78" t="n">
        <x:f>H2116*(L2116*(1-'Inputs'!$B$15))/(I2116+L2116*(1-'Inputs'!$B$15))</x:f>
        <x:v>0</x:v>
      </x:c>
      <x:c r="O2116" s="78" t="n">
        <x:f>H2116-N2116</x:f>
        <x:v>348520047382.97186</x:v>
      </x:c>
      <x:c r="P2116" s="78" t="n">
        <x:f>I2116+L2116*(1-'Inputs'!$B$17)</x:f>
        <x:v>0.34837622611974506</x:v>
      </x:c>
      <x:c r="Q2116" s="78" t="n">
        <x:f>IF(J2116&gt;0,M2116/J2116,0)</x:f>
        <x:v>0</x:v>
      </x:c>
      <x:c r="R2116" s="78" t="n">
        <x:f>IF(B2116='Inputs'!$H$49,'Inputs'!$B$27*'Inputs'!$I$49,0)</x:f>
        <x:v>0</x:v>
      </x:c>
      <x:c r="S2116" s="78" t="n">
        <x:f>Q2116+G2116+R2116</x:f>
        <x:v>804433.0549821687</x:v>
      </x:c>
      <x:c r="T2116" s="78" t="n">
        <x:f>P2116*(S2116*(1-'Inputs'!$B$15))/(O2116+S2116*(1-'Inputs'!$B$15))</x:f>
        <x:v>7.960582653811136e-7</x:v>
      </x:c>
      <x:c r="U2116" s="78" t="n">
        <x:f>O2116+S2116*(1-'Inputs'!$B$17)</x:f>
        <x:v>348520848578.8717</x:v>
      </x:c>
      <x:c r="V2116" s="78" t="n">
        <x:f>P2116-T2116</x:f>
        <x:v>0.3483754300614797</x:v>
      </x:c>
      <x:c r="W2116" s="79" t="n">
        <x:f>IF(U2116&gt;0,V2116/U2116,0)</x:f>
        <x:v>9.995827551838434e-13</x:v>
      </x:c>
      <x:c r="X2116" s="80" t="n">
        <x:f>W2116*('Inputs'!$B$6-AC2116)</x:f>
        <x:v>-0.02314816996444182</x:v>
      </x:c>
      <x:c r="Y2116" s="80" t="n">
        <x:f>2*V2116</x:f>
        <x:v>0.6967508601229594</x:v>
      </x:c>
      <x:c r="Z2116" s="80" t="n">
        <x:f>K2116*'Inputs'!$B$16+(G2116+R2116)*J2116*'Inputs'!$B$16</x:f>
        <x:v>0.0031353908596842774</x:v>
      </x:c>
      <x:c r="AA2116" s="80" t="n">
        <x:f>K2116*(1+'Inputs'!$E$49)/2*'Inputs'!$B$17</x:f>
        <x:v>0.0010198941831071008</x:v>
      </x:c>
      <x:c r="AB2116" s="78" t="n">
        <x:f>(IF(J2116&gt;0,K2116*(1-'Inputs'!$E$49)/2/J2116,0)+G2116+R2116)*'Inputs'!$B$17</x:f>
        <x:v>3237.155150833677</x:v>
      </x:c>
      <x:c r="AC2116" s="78" t="n">
        <x:f>AC2115+AB2116</x:f>
        <x:v>24157832449.985</x:v>
      </x:c>
      <x:c r="AD2116" s="80" t="n">
        <x:f>Z2116/(1+'Inputs'!$C$49)</x:f>
        <x:v>0.0007838477149210693</x:v>
      </x:c>
      <x:c r="AE2116" s="80" t="n">
        <x:f>Z2116-AD2116</x:f>
        <x:v>0.002351543144763208</x:v>
      </x:c>
      <x:c r="AF2116" s="80" t="n">
        <x:f>D2116*W2116</x:f>
        <x:v>2.6496844574308405e-7</x:v>
      </x:c>
      <x:c r="AG2116" s="80" t="n">
        <x:f>C2116*W2116</x:f>
        <x:v>6.18259706733853e-7</x:v>
      </x:c>
      <x:c r="AH2116" s="80" t="n">
        <x:f>2*'Inputs'!$B$8*'Inputs'!$C$49</x:f>
        <x:v>15000</x:v>
      </x:c>
      <x:c r="AI2116" s="81" t="n">
        <x:f>IF(AH2116&gt;0,(AE2116+AF2116)/AH2116*365,0)</x:f>
        <x:v>0.00005722733075475115</x:v>
      </x:c>
      <x:c r="AJ2116" s="81" t="n">
        <x:f>IF('Inputs'!$B$49&gt;0,AG2116/('Inputs'!$B$19*'Inputs'!$B$49)*365,0)</x:f>
        <x:v>2.256647929578563e-8</x:v>
      </x:c>
      <x:c r="AK2116" s="81" t="n">
        <x:f>W2116/MAX($W$1829:W2116)-1</x:f>
        <x:v>-0.9999999987122424</x:v>
      </x:c>
      <x:c r="AL2116" s="83" t="n">
        <x:f>'Inputs'!$B$49</x:f>
        <x:v>1</x:v>
      </x:c>
      <x:c r="AM2116" s="83" t="n">
        <x:f>'Inputs'!$C$49</x:f>
        <x:v>3</x:v>
      </x:c>
      <x:c r="AN2116" s="83" t="n">
        <x:f>'Inputs'!$D$49</x:f>
        <x:v>0.75</x:v>
      </x:c>
      <x:c r="AO2116" s="81" t="n">
        <x:f>'Inputs'!$E$49</x:f>
        <x:v>-0.03</x:v>
      </x:c>
    </x:row>
    <x:row r="2117">
      <x:c r="A2117" s="59" t="str">
        <x:v>Mercenary LP</x:v>
      </x:c>
      <x:c r="B2117" s="59" t="n">
        <x:v>289</x:v>
      </x:c>
      <x:c r="C2117" s="78" t="n">
        <x:f>(('Inputs'!$B$29*(3*289*'Inputs'!$B$12-289^2)/(2*'Inputs'!$B$12^2))-('Inputs'!$B$29*(3*288*'Inputs'!$B$12-288^2)/(2*'Inputs'!$B$12^2)))*'Inputs'!$B$49</x:f>
        <x:v>618192.6721711457</x:v>
      </x:c>
      <x:c r="D2117" s="78" t="n">
        <x:f>IF('Inputs'!$C$49&gt;0,('Inputs'!$B$30*(3*289*'Inputs'!$B$12-289^2)/(2*'Inputs'!$B$12^2))-('Inputs'!$B$30*(3*288*'Inputs'!$B$12-288^2)/(2*'Inputs'!$B$12^2)),0)</x:f>
        <x:v>264939.71664477885</x:v>
      </x:c>
      <x:c r="E2117" s="78" t="n">
        <x:f>C2117+D2117</x:f>
        <x:v>883132.3888159245</x:v>
      </x:c>
      <x:c r="F2117" s="78" t="n">
        <x:f>'Inputs'!$B$13*E2117+(1-'Inputs'!$B$13)/'Inputs'!$B$14*SUM(E2062:E2117)</x:f>
        <x:v>893350.065678366</x:v>
      </x:c>
      <x:c r="G2117" s="78" t="n">
        <x:f>F2117*'Inputs'!$F$49</x:f>
        <x:v>804015.0591105294</x:v>
      </x:c>
      <x:c r="H2117" s="78" t="n">
        <x:f>U2116</x:f>
        <x:v>348520848578.8717</x:v>
      </x:c>
      <x:c r="I2117" s="78" t="n">
        <x:f>V2116</x:f>
        <x:v>0.3483754300614797</x:v>
      </x:c>
      <x:c r="J2117" s="79" t="n">
        <x:f>IF(H2117&gt;0,I2117/H2117,0)</x:f>
        <x:v>9.995827551838434e-13</x:v>
      </x:c>
      <x:c r="K2117" s="80" t="n">
        <x:f>(H2117*J2117+I2117)*'Inputs'!$D$49*(1+'Inputs'!$G$49)^(B2117/30)</x:f>
        <x:v>0.5225631450922196</x:v>
      </x:c>
      <x:c r="L2117" s="80" t="n">
        <x:f>MAX(0,K2117*'Inputs'!$E$49)</x:f>
        <x:v>0</x:v>
      </x:c>
      <x:c r="M2117" s="80" t="n">
        <x:f>MAX(0,-K2117*'Inputs'!$E$49)</x:f>
        <x:v>0.015676894352766587</x:v>
      </x:c>
      <x:c r="N2117" s="78" t="n">
        <x:f>H2117*(L2117*(1-'Inputs'!$B$15))/(I2117+L2117*(1-'Inputs'!$B$15))</x:f>
        <x:v>0</x:v>
      </x:c>
      <x:c r="O2117" s="78" t="n">
        <x:f>H2117-N2117</x:f>
        <x:v>348520848578.8717</x:v>
      </x:c>
      <x:c r="P2117" s="78" t="n">
        <x:f>I2117+L2117*(1-'Inputs'!$B$17)</x:f>
        <x:v>0.3483754300614797</x:v>
      </x:c>
      <x:c r="Q2117" s="78" t="n">
        <x:f>IF(J2117&gt;0,M2117/J2117,0)</x:f>
        <x:v>0</x:v>
      </x:c>
      <x:c r="R2117" s="78" t="n">
        <x:f>IF(B2117='Inputs'!$H$49,'Inputs'!$B$27*'Inputs'!$I$49,0)</x:f>
        <x:v>0</x:v>
      </x:c>
      <x:c r="S2117" s="78" t="n">
        <x:f>Q2117+G2117+R2117</x:f>
        <x:v>804015.0591105294</x:v>
      </x:c>
      <x:c r="T2117" s="78" t="n">
        <x:f>P2117*(S2117*(1-'Inputs'!$B$15))/(O2117+S2117*(1-'Inputs'!$B$15))</x:f>
        <x:v>7.956409749777005e-7</x:v>
      </x:c>
      <x:c r="U2117" s="78" t="n">
        <x:f>O2117+S2117*(1-'Inputs'!$B$17)</x:f>
        <x:v>348521649358.45776</x:v>
      </x:c>
      <x:c r="V2117" s="78" t="n">
        <x:f>P2117-T2117</x:f>
        <x:v>0.3483746344205047</x:v>
      </x:c>
      <x:c r="W2117" s="79" t="n">
        <x:f>IF(U2117&gt;0,V2117/U2117,0)</x:f>
        <x:v>9.995781755933278e-13</x:v>
      </x:c>
      <x:c r="X2117" s="80" t="n">
        <x:f>W2117*('Inputs'!$B$6-AC2117)</x:f>
        <x:v>-0.023148067145160246</x:v>
      </x:c>
      <x:c r="Y2117" s="80" t="n">
        <x:f>2*V2117</x:f>
        <x:v>0.6967492688410094</x:v>
      </x:c>
      <x:c r="Z2117" s="80" t="n">
        <x:f>K2117*'Inputs'!$B$16+(G2117+R2117)*J2117*'Inputs'!$B$16</x:f>
        <x:v>0.0031353836926308457</x:v>
      </x:c>
      <x:c r="AA2117" s="80" t="n">
        <x:f>K2117*(1+'Inputs'!$E$49)/2*'Inputs'!$B$17</x:f>
        <x:v>0.0010198918525944729</x:v>
      </x:c>
      <x:c r="AB2117" s="78" t="n">
        <x:f>(IF(J2117&gt;0,K2117*(1-'Inputs'!$E$49)/2/J2117,0)+G2117+R2117)*'Inputs'!$B$17</x:f>
        <x:v>3235.4730748914667</x:v>
      </x:c>
      <x:c r="AC2117" s="78" t="n">
        <x:f>AC2116+AB2117</x:f>
        <x:v>24157835685.458076</x:v>
      </x:c>
      <x:c r="AD2117" s="80" t="n">
        <x:f>Z2117/(1+'Inputs'!$C$49)</x:f>
        <x:v>0.0007838459231577114</x:v>
      </x:c>
      <x:c r="AE2117" s="80" t="n">
        <x:f>Z2117-AD2117</x:f>
        <x:v>0.0023515377694731344</x:v>
      </x:c>
      <x:c r="AF2117" s="80" t="n">
        <x:f>D2117*W2117</x:f>
        <x:v>2.648279586060013e-7</x:v>
      </x:c>
      <x:c r="AG2117" s="80" t="n">
        <x:f>C2117*W2117</x:f>
        <x:v>6.17931903413998e-7</x:v>
      </x:c>
      <x:c r="AH2117" s="80" t="n">
        <x:f>2*'Inputs'!$B$8*'Inputs'!$C$49</x:f>
        <x:v>15000</x:v>
      </x:c>
      <x:c r="AI2117" s="81" t="n">
        <x:f>IF(AH2117&gt;0,(AE2117+AF2117)/AH2117*365,0)</x:f>
        <x:v>0.00005722719653750569</x:v>
      </x:c>
      <x:c r="AJ2117" s="81" t="n">
        <x:f>IF('Inputs'!$B$49&gt;0,AG2117/('Inputs'!$B$19*'Inputs'!$B$49)*365,0)</x:f>
        <x:v>2.255451447461093e-8</x:v>
      </x:c>
      <x:c r="AK2117" s="81" t="n">
        <x:f>W2117/MAX($W$1829:W2117)-1</x:f>
        <x:v>-0.9999999987122484</x:v>
      </x:c>
      <x:c r="AL2117" s="83" t="n">
        <x:f>'Inputs'!$B$49</x:f>
        <x:v>1</x:v>
      </x:c>
      <x:c r="AM2117" s="83" t="n">
        <x:f>'Inputs'!$C$49</x:f>
        <x:v>3</x:v>
      </x:c>
      <x:c r="AN2117" s="83" t="n">
        <x:f>'Inputs'!$D$49</x:f>
        <x:v>0.75</x:v>
      </x:c>
      <x:c r="AO2117" s="81" t="n">
        <x:f>'Inputs'!$E$49</x:f>
        <x:v>-0.03</x:v>
      </x:c>
    </x:row>
    <x:row r="2118">
      <x:c r="A2118" s="59" t="str">
        <x:v>Mercenary LP</x:v>
      </x:c>
      <x:c r="B2118" s="59" t="n">
        <x:v>290</x:v>
      </x:c>
      <x:c r="C2118" s="78" t="n">
        <x:f>(('Inputs'!$B$29*(3*290*'Inputs'!$B$12-290^2)/(2*'Inputs'!$B$12^2))-('Inputs'!$B$29*(3*289*'Inputs'!$B$12-289^2)/(2*'Inputs'!$B$12^2)))*'Inputs'!$B$49</x:f>
        <x:v>617867.5642709732</x:v>
      </x:c>
      <x:c r="D2118" s="78" t="n">
        <x:f>IF('Inputs'!$C$49&gt;0,('Inputs'!$B$30*(3*290*'Inputs'!$B$12-290^2)/(2*'Inputs'!$B$12^2))-('Inputs'!$B$30*(3*289*'Inputs'!$B$12-289^2)/(2*'Inputs'!$B$12^2)),0)</x:f>
        <x:v>264800.3846875578</x:v>
      </x:c>
      <x:c r="E2118" s="78" t="n">
        <x:f>C2118+D2118</x:f>
        <x:v>882667.948958531</x:v>
      </x:c>
      <x:c r="F2118" s="78" t="n">
        <x:f>'Inputs'!$B$13*E2118+(1-'Inputs'!$B$13)/'Inputs'!$B$14*SUM(E2063:E2118)</x:f>
        <x:v>892885.6258209802</x:v>
      </x:c>
      <x:c r="G2118" s="78" t="n">
        <x:f>F2118*'Inputs'!$F$49</x:f>
        <x:v>803597.0632388822</x:v>
      </x:c>
      <x:c r="H2118" s="78" t="n">
        <x:f>U2117</x:f>
        <x:v>348521649358.45776</x:v>
      </x:c>
      <x:c r="I2118" s="78" t="n">
        <x:f>V2117</x:f>
        <x:v>0.3483746344205047</x:v>
      </x:c>
      <x:c r="J2118" s="79" t="n">
        <x:f>IF(H2118&gt;0,I2118/H2118,0)</x:f>
        <x:v>9.995781755933278e-13</x:v>
      </x:c>
      <x:c r="K2118" s="80" t="n">
        <x:f>(H2118*J2118+I2118)*'Inputs'!$D$49*(1+'Inputs'!$G$49)^(B2118/30)</x:f>
        <x:v>0.522561951630757</x:v>
      </x:c>
      <x:c r="L2118" s="80" t="n">
        <x:f>MAX(0,K2118*'Inputs'!$E$49)</x:f>
        <x:v>0</x:v>
      </x:c>
      <x:c r="M2118" s="80" t="n">
        <x:f>MAX(0,-K2118*'Inputs'!$E$49)</x:f>
        <x:v>0.01567685854892271</x:v>
      </x:c>
      <x:c r="N2118" s="78" t="n">
        <x:f>H2118*(L2118*(1-'Inputs'!$B$15))/(I2118+L2118*(1-'Inputs'!$B$15))</x:f>
        <x:v>0</x:v>
      </x:c>
      <x:c r="O2118" s="78" t="n">
        <x:f>H2118-N2118</x:f>
        <x:v>348521649358.45776</x:v>
      </x:c>
      <x:c r="P2118" s="78" t="n">
        <x:f>I2118+L2118*(1-'Inputs'!$B$17)</x:f>
        <x:v>0.3483746344205047</x:v>
      </x:c>
      <x:c r="Q2118" s="78" t="n">
        <x:f>IF(J2118&gt;0,M2118/J2118,0)</x:f>
        <x:v>0</x:v>
      </x:c>
      <x:c r="R2118" s="78" t="n">
        <x:f>IF(B2118='Inputs'!$H$49,'Inputs'!$B$27*'Inputs'!$I$49,0)</x:f>
        <x:v>0</x:v>
      </x:c>
      <x:c r="S2118" s="78" t="n">
        <x:f>Q2118+G2118+R2118</x:f>
        <x:v>803597.0632388822</x:v>
      </x:c>
      <x:c r="T2118" s="78" t="n">
        <x:f>P2118*(S2118*(1-'Inputs'!$B$15))/(O2118+S2118*(1-'Inputs'!$B$15))</x:f>
        <x:v>7.952236902846814e-7</x:v>
      </x:c>
      <x:c r="U2118" s="78" t="n">
        <x:f>O2118+S2118*(1-'Inputs'!$B$17)</x:f>
        <x:v>348522449721.73</x:v>
      </x:c>
      <x:c r="V2118" s="78" t="n">
        <x:f>P2118-T2118</x:f>
        <x:v>0.3483738391968144</x:v>
      </x:c>
      <x:c r="W2118" s="79" t="n">
        <x:f>IF(U2118&gt;0,V2118/U2118,0)</x:f>
        <x:v>9.995735984151545e-13</x:v>
      </x:c>
      <x:c r="X2118" s="80" t="n">
        <x:f>W2118*('Inputs'!$B$6-AC2118)</x:f>
        <x:v>-0.02314796438003231</x:v>
      </x:c>
      <x:c r="Y2118" s="80" t="n">
        <x:f>2*V2118</x:f>
        <x:v>0.6967476783936288</x:v>
      </x:c>
      <x:c r="Z2118" s="80" t="n">
        <x:f>K2118*'Inputs'!$B$16+(G2118+R2118)*J2118*'Inputs'!$B$16</x:f>
        <x:v>0.003135376529333061</x:v>
      </x:c>
      <x:c r="AA2118" s="80" t="n">
        <x:f>K2118*(1+'Inputs'!$E$49)/2*'Inputs'!$B$17</x:f>
        <x:v>0.0010198895233034895</x:v>
      </x:c>
      <x:c r="AB2118" s="78" t="n">
        <x:f>(IF(J2118&gt;0,K2118*(1-'Inputs'!$E$49)/2/J2118,0)+G2118+R2118)*'Inputs'!$B$17</x:f>
        <x:v>3233.7909989492246</x:v>
      </x:c>
      <x:c r="AC2118" s="78" t="n">
        <x:f>AC2117+AB2118</x:f>
        <x:v>24157838919.249077</x:v>
      </x:c>
      <x:c r="AD2118" s="80" t="n">
        <x:f>Z2118/(1+'Inputs'!$C$49)</x:f>
        <x:v>0.0007838441323332652</x:v>
      </x:c>
      <x:c r="AE2118" s="80" t="n">
        <x:f>Z2118-AD2118</x:f>
        <x:v>0.002351532396999796</x:v>
      </x:c>
      <x:c r="AF2118" s="80" t="n">
        <x:f>D2118*W2118</x:f>
        <x:v>2.6468747338385936e-7</x:v>
      </x:c>
      <x:c r="AG2118" s="80" t="n">
        <x:f>C2118*W2118</x:f>
        <x:v>6.176041045623435e-7</x:v>
      </x:c>
      <x:c r="AH2118" s="80" t="n">
        <x:f>2*'Inputs'!$B$8*'Inputs'!$C$49</x:f>
        <x:v>15000</x:v>
      </x:c>
      <x:c r="AI2118" s="81" t="n">
        <x:f>IF(AH2118&gt;0,(AE2118+AF2118)/AH2118*365,0)</x:f>
        <x:v>0.00005722706238884737</x:v>
      </x:c>
      <x:c r="AJ2118" s="81" t="n">
        <x:f>IF('Inputs'!$B$49&gt;0,AG2118/('Inputs'!$B$19*'Inputs'!$B$49)*365,0)</x:f>
        <x:v>2.2542549816525534e-8</x:v>
      </x:c>
      <x:c r="AK2118" s="81" t="n">
        <x:f>W2118/MAX($W$1829:W2118)-1</x:f>
        <x:v>-0.9999999987122543</x:v>
      </x:c>
      <x:c r="AL2118" s="83" t="n">
        <x:f>'Inputs'!$B$49</x:f>
        <x:v>1</x:v>
      </x:c>
      <x:c r="AM2118" s="83" t="n">
        <x:f>'Inputs'!$C$49</x:f>
        <x:v>3</x:v>
      </x:c>
      <x:c r="AN2118" s="83" t="n">
        <x:f>'Inputs'!$D$49</x:f>
        <x:v>0.75</x:v>
      </x:c>
      <x:c r="AO2118" s="81" t="n">
        <x:f>'Inputs'!$E$49</x:f>
        <x:v>-0.03</x:v>
      </x:c>
    </x:row>
    <x:row r="2119">
      <x:c r="A2119" s="59" t="str">
        <x:v>Mercenary LP</x:v>
      </x:c>
      <x:c r="B2119" s="59" t="n">
        <x:v>291</x:v>
      </x:c>
      <x:c r="C2119" s="78" t="n">
        <x:f>(('Inputs'!$B$29*(3*291*'Inputs'!$B$12-291^2)/(2*'Inputs'!$B$12^2))-('Inputs'!$B$29*(3*290*'Inputs'!$B$12-290^2)/(2*'Inputs'!$B$12^2)))*'Inputs'!$B$49</x:f>
        <x:v>617542.4563708007</x:v>
      </x:c>
      <x:c r="D2119" s="78" t="n">
        <x:f>IF('Inputs'!$C$49&gt;0,('Inputs'!$B$30*(3*291*'Inputs'!$B$12-291^2)/(2*'Inputs'!$B$12^2))-('Inputs'!$B$30*(3*290*'Inputs'!$B$12-290^2)/(2*'Inputs'!$B$12^2)),0)</x:f>
        <x:v>264661.0527303368</x:v>
      </x:c>
      <x:c r="E2119" s="78" t="n">
        <x:f>C2119+D2119</x:f>
        <x:v>882203.5091011375</x:v>
      </x:c>
      <x:c r="F2119" s="78" t="n">
        <x:f>'Inputs'!$B$13*E2119+(1-'Inputs'!$B$13)/'Inputs'!$B$14*SUM(E2064:E2119)</x:f>
        <x:v>892421.1859635941</x:v>
      </x:c>
      <x:c r="G2119" s="78" t="n">
        <x:f>F2119*'Inputs'!$F$49</x:f>
        <x:v>803179.0673672347</x:v>
      </x:c>
      <x:c r="H2119" s="78" t="n">
        <x:f>U2118</x:f>
        <x:v>348522449721.73</x:v>
      </x:c>
      <x:c r="I2119" s="78" t="n">
        <x:f>V2118</x:f>
        <x:v>0.3483738391968144</x:v>
      </x:c>
      <x:c r="J2119" s="79" t="n">
        <x:f>IF(H2119&gt;0,I2119/H2119,0)</x:f>
        <x:v>9.995735984151545e-13</x:v>
      </x:c>
      <x:c r="K2119" s="80" t="n">
        <x:f>(H2119*J2119+I2119)*'Inputs'!$D$49*(1+'Inputs'!$G$49)^(B2119/30)</x:f>
        <x:v>0.5225607587952217</x:v>
      </x:c>
      <x:c r="L2119" s="80" t="n">
        <x:f>MAX(0,K2119*'Inputs'!$E$49)</x:f>
        <x:v>0</x:v>
      </x:c>
      <x:c r="M2119" s="80" t="n">
        <x:f>MAX(0,-K2119*'Inputs'!$E$49)</x:f>
        <x:v>0.01567682276385665</x:v>
      </x:c>
      <x:c r="N2119" s="78" t="n">
        <x:f>H2119*(L2119*(1-'Inputs'!$B$15))/(I2119+L2119*(1-'Inputs'!$B$15))</x:f>
        <x:v>0</x:v>
      </x:c>
      <x:c r="O2119" s="78" t="n">
        <x:f>H2119-N2119</x:f>
        <x:v>348522449721.73</x:v>
      </x:c>
      <x:c r="P2119" s="78" t="n">
        <x:f>I2119+L2119*(1-'Inputs'!$B$17)</x:f>
        <x:v>0.3483738391968144</x:v>
      </x:c>
      <x:c r="Q2119" s="78" t="n">
        <x:f>IF(J2119&gt;0,M2119/J2119,0)</x:f>
        <x:v>0</x:v>
      </x:c>
      <x:c r="R2119" s="78" t="n">
        <x:f>IF(B2119='Inputs'!$H$49,'Inputs'!$B$27*'Inputs'!$I$49,0)</x:f>
        <x:v>0</x:v>
      </x:c>
      <x:c r="S2119" s="78" t="n">
        <x:f>Q2119+G2119+R2119</x:f>
        <x:v>803179.0673672347</x:v>
      </x:c>
      <x:c r="T2119" s="78" t="n">
        <x:f>P2119*(S2119*(1-'Inputs'!$B$15))/(O2119+S2119*(1-'Inputs'!$B$15))</x:f>
        <x:v>7.948064112990293e-7</x:v>
      </x:c>
      <x:c r="U2119" s="78" t="n">
        <x:f>O2119+S2119*(1-'Inputs'!$B$17)</x:f>
        <x:v>348523249668.6884</x:v>
      </x:c>
      <x:c r="V2119" s="78" t="n">
        <x:f>P2119-T2119</x:f>
        <x:v>0.3483730443904031</x:v>
      </x:c>
      <x:c r="W2119" s="79" t="n">
        <x:f>IF(U2119&gt;0,V2119/U2119,0)</x:f>
        <x:v>9.995690236492742e-13</x:v>
      </x:c>
      <x:c r="X2119" s="80" t="n">
        <x:f>W2119*('Inputs'!$B$6-AC2119)</x:f>
        <x:v>-0.023147861669056927</x:v>
      </x:c>
      <x:c r="Y2119" s="80" t="n">
        <x:f>2*V2119</x:f>
        <x:v>0.6967460887808062</x:v>
      </x:c>
      <x:c r="Z2119" s="80" t="n">
        <x:f>K2119*'Inputs'!$B$16+(G2119+R2119)*J2119*'Inputs'!$B$16</x:f>
        <x:v>0.0031353693697908735</x:v>
      </x:c>
      <x:c r="AA2119" s="80" t="n">
        <x:f>K2119*(1+'Inputs'!$E$49)/2*'Inputs'!$B$17</x:f>
        <x:v>0.001019887195234135</x:v>
      </x:c>
      <x:c r="AB2119" s="78" t="n">
        <x:f>(IF(J2119&gt;0,K2119*(1-'Inputs'!$E$49)/2/J2119,0)+G2119+R2119)*'Inputs'!$B$17</x:f>
        <x:v>3232.108923006981</x:v>
      </x:c>
      <x:c r="AC2119" s="78" t="n">
        <x:f>AC2118+AB2119</x:f>
        <x:v>24157842151.358</x:v>
      </x:c>
      <x:c r="AD2119" s="80" t="n">
        <x:f>Z2119/(1+'Inputs'!$C$49)</x:f>
        <x:v>0.0007838423424477184</x:v>
      </x:c>
      <x:c r="AE2119" s="80" t="n">
        <x:f>Z2119-AD2119</x:f>
        <x:v>0.002351527027343155</x:v>
      </x:c>
      <x:c r="AF2119" s="80" t="n">
        <x:f>D2119*W2119</x:f>
        <x:v>2.645469900756518e-7</x:v>
      </x:c>
      <x:c r="AG2119" s="80" t="n">
        <x:f>C2119*W2119</x:f>
        <x:v>6.172763101765358e-7</x:v>
      </x:c>
      <x:c r="AH2119" s="80" t="n">
        <x:f>2*'Inputs'!$B$8*'Inputs'!$C$49</x:f>
        <x:v>15000</x:v>
      </x:c>
      <x:c r="AI2119" s="81" t="n">
        <x:f>IF(AH2119&gt;0,(AE2119+AF2119)/AH2119*365,0)</x:f>
        <x:v>0.00005722692830877528</x:v>
      </x:c>
      <x:c r="AJ2119" s="81" t="n">
        <x:f>IF('Inputs'!$B$49&gt;0,AG2119/('Inputs'!$B$19*'Inputs'!$B$49)*365,0)</x:f>
        <x:v>2.253058532144356e-8</x:v>
      </x:c>
      <x:c r="AK2119" s="81" t="n">
        <x:f>W2119/MAX($W$1829:W2119)-1</x:f>
        <x:v>-0.9999999987122602</x:v>
      </x:c>
      <x:c r="AL2119" s="83" t="n">
        <x:f>'Inputs'!$B$49</x:f>
        <x:v>1</x:v>
      </x:c>
      <x:c r="AM2119" s="83" t="n">
        <x:f>'Inputs'!$C$49</x:f>
        <x:v>3</x:v>
      </x:c>
      <x:c r="AN2119" s="83" t="n">
        <x:f>'Inputs'!$D$49</x:f>
        <x:v>0.75</x:v>
      </x:c>
      <x:c r="AO2119" s="81" t="n">
        <x:f>'Inputs'!$E$49</x:f>
        <x:v>-0.03</x:v>
      </x:c>
    </x:row>
    <x:row r="2120">
      <x:c r="A2120" s="59" t="str">
        <x:v>Mercenary LP</x:v>
      </x:c>
      <x:c r="B2120" s="59" t="n">
        <x:v>292</x:v>
      </x:c>
      <x:c r="C2120" s="78" t="n">
        <x:f>(('Inputs'!$B$29*(3*292*'Inputs'!$B$12-292^2)/(2*'Inputs'!$B$12^2))-('Inputs'!$B$29*(3*291*'Inputs'!$B$12-291^2)/(2*'Inputs'!$B$12^2)))*'Inputs'!$B$49</x:f>
        <x:v>617217.3484706283</x:v>
      </x:c>
      <x:c r="D2120" s="78" t="n">
        <x:f>IF('Inputs'!$C$49&gt;0,('Inputs'!$B$30*(3*292*'Inputs'!$B$12-292^2)/(2*'Inputs'!$B$12^2))-('Inputs'!$B$30*(3*291*'Inputs'!$B$12-291^2)/(2*'Inputs'!$B$12^2)),0)</x:f>
        <x:v>264521.72077313066</x:v>
      </x:c>
      <x:c r="E2120" s="78" t="n">
        <x:f>C2120+D2120</x:f>
        <x:v>881739.0692437589</x:v>
      </x:c>
      <x:c r="F2120" s="78" t="n">
        <x:f>'Inputs'!$B$13*E2120+(1-'Inputs'!$B$13)/'Inputs'!$B$14*SUM(E2065:E2120)</x:f>
        <x:v>891956.7461062113</x:v>
      </x:c>
      <x:c r="G2120" s="78" t="n">
        <x:f>F2120*'Inputs'!$F$49</x:f>
        <x:v>802761.0714955903</x:v>
      </x:c>
      <x:c r="H2120" s="78" t="n">
        <x:f>U2119</x:f>
        <x:v>348523249668.6884</x:v>
      </x:c>
      <x:c r="I2120" s="78" t="n">
        <x:f>V2119</x:f>
        <x:v>0.3483730443904031</x:v>
      </x:c>
      <x:c r="J2120" s="79" t="n">
        <x:f>IF(H2120&gt;0,I2120/H2120,0)</x:f>
        <x:v>9.995690236492742e-13</x:v>
      </x:c>
      <x:c r="K2120" s="80" t="n">
        <x:f>(H2120*J2120+I2120)*'Inputs'!$D$49*(1+'Inputs'!$G$49)^(B2120/30)</x:f>
        <x:v>0.5225595665856047</x:v>
      </x:c>
      <x:c r="L2120" s="80" t="n">
        <x:f>MAX(0,K2120*'Inputs'!$E$49)</x:f>
        <x:v>0</x:v>
      </x:c>
      <x:c r="M2120" s="80" t="n">
        <x:f>MAX(0,-K2120*'Inputs'!$E$49)</x:f>
        <x:v>0.015676786997568137</x:v>
      </x:c>
      <x:c r="N2120" s="78" t="n">
        <x:f>H2120*(L2120*(1-'Inputs'!$B$15))/(I2120+L2120*(1-'Inputs'!$B$15))</x:f>
        <x:v>0</x:v>
      </x:c>
      <x:c r="O2120" s="78" t="n">
        <x:f>H2120-N2120</x:f>
        <x:v>348523249668.6884</x:v>
      </x:c>
      <x:c r="P2120" s="78" t="n">
        <x:f>I2120+L2120*(1-'Inputs'!$B$17)</x:f>
        <x:v>0.3483730443904031</x:v>
      </x:c>
      <x:c r="Q2120" s="78" t="n">
        <x:f>IF(J2120&gt;0,M2120/J2120,0)</x:f>
        <x:v>0</x:v>
      </x:c>
      <x:c r="R2120" s="78" t="n">
        <x:f>IF(B2120='Inputs'!$H$49,'Inputs'!$B$27*'Inputs'!$I$49,0)</x:f>
        <x:v>0</x:v>
      </x:c>
      <x:c r="S2120" s="78" t="n">
        <x:f>Q2120+G2120+R2120</x:f>
        <x:v>802761.0714955903</x:v>
      </x:c>
      <x:c r="T2120" s="78" t="n">
        <x:f>P2120*(S2120*(1-'Inputs'!$B$15))/(O2120+S2120*(1-'Inputs'!$B$15))</x:f>
        <x:v>7.943891380177135e-7</x:v>
      </x:c>
      <x:c r="U2120" s="78" t="n">
        <x:f>O2120+S2120*(1-'Inputs'!$B$17)</x:f>
        <x:v>348524049199.33307</x:v>
      </x:c>
      <x:c r="V2120" s="78" t="n">
        <x:f>P2120-T2120</x:f>
        <x:v>0.3483722500012651</x:v>
      </x:c>
      <x:c r="W2120" s="79" t="n">
        <x:f>IF(U2120&gt;0,V2120/U2120,0)</x:f>
        <x:v>9.995644512956374e-13</x:v>
      </x:c>
      <x:c r="X2120" s="80" t="n">
        <x:f>W2120*('Inputs'!$B$6-AC2120)</x:f>
        <x:v>-0.023147759012232982</x:v>
      </x:c>
      <x:c r="Y2120" s="80" t="n">
        <x:f>2*V2120</x:f>
        <x:v>0.6967445000025302</x:v>
      </x:c>
      <x:c r="Z2120" s="80" t="n">
        <x:f>K2120*'Inputs'!$B$16+(G2120+R2120)*J2120*'Inputs'!$B$16</x:f>
        <x:v>0.0031353622140042306</x:v>
      </x:c>
      <x:c r="AA2120" s="80" t="n">
        <x:f>K2120*(1+'Inputs'!$E$49)/2*'Inputs'!$B$17</x:f>
        <x:v>0.0010198848683863914</x:v>
      </x:c>
      <x:c r="AB2120" s="78" t="n">
        <x:f>(IF(J2120&gt;0,K2120*(1-'Inputs'!$E$49)/2/J2120,0)+G2120+R2120)*'Inputs'!$B$17</x:f>
        <x:v>3230.42684706475</x:v>
      </x:c>
      <x:c r="AC2120" s="78" t="n">
        <x:f>AC2119+AB2120</x:f>
        <x:v>24157845381.784847</x:v>
      </x:c>
      <x:c r="AD2120" s="80" t="n">
        <x:f>Z2120/(1+'Inputs'!$C$49)</x:f>
        <x:v>0.0007838405535010577</x:v>
      </x:c>
      <x:c r="AE2120" s="80" t="n">
        <x:f>Z2120-AD2120</x:f>
        <x:v>0.002351521660503173</x:v>
      </x:c>
      <x:c r="AF2120" s="80" t="n">
        <x:f>D2120*W2120</x:f>
        <x:v>2.644065086803722e-7</x:v>
      </x:c>
      <x:c r="AG2120" s="80" t="n">
        <x:f>C2120*W2120</x:f>
        <x:v>6.169485202541918e-7</x:v>
      </x:c>
      <x:c r="AH2120" s="80" t="n">
        <x:f>2*'Inputs'!$B$8*'Inputs'!$C$49</x:f>
        <x:v>15000</x:v>
      </x:c>
      <x:c r="AI2120" s="81" t="n">
        <x:f>IF(AH2120&gt;0,(AE2120+AF2120)/AH2120*365,0)</x:f>
        <x:v>0.000057226794297288435</x:v>
      </x:c>
      <x:c r="AJ2120" s="81" t="n">
        <x:f>IF('Inputs'!$B$49&gt;0,AG2120/('Inputs'!$B$19*'Inputs'!$B$49)*365,0)</x:f>
        <x:v>2.2518620989278005e-8</x:v>
      </x:c>
      <x:c r="AK2120" s="81" t="n">
        <x:f>W2120/MAX($W$1829:W2120)-1</x:f>
        <x:v>-0.9999999987122661</x:v>
      </x:c>
      <x:c r="AL2120" s="83" t="n">
        <x:f>'Inputs'!$B$49</x:f>
        <x:v>1</x:v>
      </x:c>
      <x:c r="AM2120" s="83" t="n">
        <x:f>'Inputs'!$C$49</x:f>
        <x:v>3</x:v>
      </x:c>
      <x:c r="AN2120" s="83" t="n">
        <x:f>'Inputs'!$D$49</x:f>
        <x:v>0.75</x:v>
      </x:c>
      <x:c r="AO2120" s="81" t="n">
        <x:f>'Inputs'!$E$49</x:f>
        <x:v>-0.03</x:v>
      </x:c>
    </x:row>
    <x:row r="2121">
      <x:c r="A2121" s="59" t="str">
        <x:v>Mercenary LP</x:v>
      </x:c>
      <x:c r="B2121" s="59" t="n">
        <x:v>293</x:v>
      </x:c>
      <x:c r="C2121" s="78" t="n">
        <x:f>(('Inputs'!$B$29*(3*293*'Inputs'!$B$12-293^2)/(2*'Inputs'!$B$12^2))-('Inputs'!$B$29*(3*292*'Inputs'!$B$12-292^2)/(2*'Inputs'!$B$12^2)))*'Inputs'!$B$49</x:f>
        <x:v>616892.2405704558</x:v>
      </x:c>
      <x:c r="D2121" s="78" t="n">
        <x:f>IF('Inputs'!$C$49&gt;0,('Inputs'!$B$30*(3*293*'Inputs'!$B$12-293^2)/(2*'Inputs'!$B$12^2))-('Inputs'!$B$30*(3*292*'Inputs'!$B$12-292^2)/(2*'Inputs'!$B$12^2)),0)</x:f>
        <x:v>264382.3888159096</x:v>
      </x:c>
      <x:c r="E2121" s="78" t="n">
        <x:f>C2121+D2121</x:f>
        <x:v>881274.6293863654</x:v>
      </x:c>
      <x:c r="F2121" s="78" t="n">
        <x:f>'Inputs'!$B$13*E2121+(1-'Inputs'!$B$13)/'Inputs'!$B$14*SUM(E2066:E2121)</x:f>
        <x:v>891492.3062488248</x:v>
      </x:c>
      <x:c r="G2121" s="78" t="n">
        <x:f>F2121*'Inputs'!$F$49</x:f>
        <x:v>802343.0756239423</x:v>
      </x:c>
      <x:c r="H2121" s="78" t="n">
        <x:f>U2120</x:f>
        <x:v>348524049199.33307</x:v>
      </x:c>
      <x:c r="I2121" s="78" t="n">
        <x:f>V2120</x:f>
        <x:v>0.3483722500012651</x:v>
      </x:c>
      <x:c r="J2121" s="79" t="n">
        <x:f>IF(H2121&gt;0,I2121/H2121,0)</x:f>
        <x:v>9.995644512956374e-13</x:v>
      </x:c>
      <x:c r="K2121" s="80" t="n">
        <x:f>(H2121*J2121+I2121)*'Inputs'!$D$49*(1+'Inputs'!$G$49)^(B2121/30)</x:f>
        <x:v>0.5225583750018976</x:v>
      </x:c>
      <x:c r="L2121" s="80" t="n">
        <x:f>MAX(0,K2121*'Inputs'!$E$49)</x:f>
        <x:v>0</x:v>
      </x:c>
      <x:c r="M2121" s="80" t="n">
        <x:f>MAX(0,-K2121*'Inputs'!$E$49)</x:f>
        <x:v>0.01567675125005693</x:v>
      </x:c>
      <x:c r="N2121" s="78" t="n">
        <x:f>H2121*(L2121*(1-'Inputs'!$B$15))/(I2121+L2121*(1-'Inputs'!$B$15))</x:f>
        <x:v>0</x:v>
      </x:c>
      <x:c r="O2121" s="78" t="n">
        <x:f>H2121-N2121</x:f>
        <x:v>348524049199.33307</x:v>
      </x:c>
      <x:c r="P2121" s="78" t="n">
        <x:f>I2121+L2121*(1-'Inputs'!$B$17)</x:f>
        <x:v>0.3483722500012651</x:v>
      </x:c>
      <x:c r="Q2121" s="78" t="n">
        <x:f>IF(J2121&gt;0,M2121/J2121,0)</x:f>
        <x:v>0</x:v>
      </x:c>
      <x:c r="R2121" s="78" t="n">
        <x:f>IF(B2121='Inputs'!$H$49,'Inputs'!$B$27*'Inputs'!$I$49,0)</x:f>
        <x:v>0</x:v>
      </x:c>
      <x:c r="S2121" s="78" t="n">
        <x:f>Q2121+G2121+R2121</x:f>
        <x:v>802343.0756239423</x:v>
      </x:c>
      <x:c r="T2121" s="78" t="n">
        <x:f>P2121*(S2121*(1-'Inputs'!$B$15))/(O2121+S2121*(1-'Inputs'!$B$15))</x:f>
        <x:v>7.939718704376939e-7</x:v>
      </x:c>
      <x:c r="U2121" s="78" t="n">
        <x:f>O2121+S2121*(1-'Inputs'!$B$17)</x:f>
        <x:v>348524848313.66394</x:v>
      </x:c>
      <x:c r="V2121" s="78" t="n">
        <x:f>P2121-T2121</x:f>
        <x:v>0.3483714560293947</x:v>
      </x:c>
      <x:c r="W2121" s="79" t="n">
        <x:f>IF(U2121&gt;0,V2121/U2121,0)</x:f>
        <x:v>9.995598813541948e-13</x:v>
      </x:c>
      <x:c r="X2121" s="80" t="n">
        <x:f>W2121*('Inputs'!$B$6-AC2121)</x:f>
        <x:v>-0.02314765640955939</x:v>
      </x:c>
      <x:c r="Y2121" s="80" t="n">
        <x:f>2*V2121</x:f>
        <x:v>0.6967429120587894</x:v>
      </x:c>
      <x:c r="Z2121" s="80" t="n">
        <x:f>K2121*'Inputs'!$B$16+(G2121+R2121)*J2121*'Inputs'!$B$16</x:f>
        <x:v>0.0031353550619730823</x:v>
      </x:c>
      <x:c r="AA2121" s="80" t="n">
        <x:f>K2121*(1+'Inputs'!$E$49)/2*'Inputs'!$B$17</x:f>
        <x:v>0.0010198825427602427</x:v>
      </x:c>
      <x:c r="AB2121" s="78" t="n">
        <x:f>(IF(J2121&gt;0,K2121*(1-'Inputs'!$E$49)/2/J2121,0)+G2121+R2121)*'Inputs'!$B$17</x:f>
        <x:v>3228.7447711225045</x:v>
      </x:c>
      <x:c r="AC2121" s="78" t="n">
        <x:f>AC2120+AB2121</x:f>
        <x:v>24157848610.529617</x:v>
      </x:c>
      <x:c r="AD2121" s="80" t="n">
        <x:f>Z2121/(1+'Inputs'!$C$49)</x:f>
        <x:v>0.0007838387654932706</x:v>
      </x:c>
      <x:c r="AE2121" s="80" t="n">
        <x:f>Z2121-AD2121</x:f>
        <x:v>0.0023515162964798117</x:v>
      </x:c>
      <x:c r="AF2121" s="80" t="n">
        <x:f>D2121*W2121</x:f>
        <x:v>2.642660291969692e-7</x:v>
      </x:c>
      <x:c r="AG2121" s="80" t="n">
        <x:f>C2121*W2121</x:f>
        <x:v>6.166207347929282e-7</x:v>
      </x:c>
      <x:c r="AH2121" s="80" t="n">
        <x:f>2*'Inputs'!$B$8*'Inputs'!$C$49</x:f>
        <x:v>15000</x:v>
      </x:c>
      <x:c r="AI2121" s="81" t="n">
        <x:f>IF(AH2121&gt;0,(AE2121+AF2121)/AH2121*365,0)</x:f>
        <x:v>0.000057226660354385876</x:v>
      </x:c>
      <x:c r="AJ2121" s="81" t="n">
        <x:f>IF('Inputs'!$B$49&gt;0,AG2121/('Inputs'!$B$19*'Inputs'!$B$49)*365,0)</x:f>
        <x:v>2.250665681994188e-8</x:v>
      </x:c>
      <x:c r="AK2121" s="81" t="n">
        <x:f>W2121/MAX($W$1829:W2121)-1</x:f>
        <x:v>-0.999999998712272</x:v>
      </x:c>
      <x:c r="AL2121" s="83" t="n">
        <x:f>'Inputs'!$B$49</x:f>
        <x:v>1</x:v>
      </x:c>
      <x:c r="AM2121" s="83" t="n">
        <x:f>'Inputs'!$C$49</x:f>
        <x:v>3</x:v>
      </x:c>
      <x:c r="AN2121" s="83" t="n">
        <x:f>'Inputs'!$D$49</x:f>
        <x:v>0.75</x:v>
      </x:c>
      <x:c r="AO2121" s="81" t="n">
        <x:f>'Inputs'!$E$49</x:f>
        <x:v>-0.03</x:v>
      </x:c>
    </x:row>
    <x:row r="2122">
      <x:c r="A2122" s="59" t="str">
        <x:v>Mercenary LP</x:v>
      </x:c>
      <x:c r="B2122" s="59" t="n">
        <x:v>294</x:v>
      </x:c>
      <x:c r="C2122" s="78" t="n">
        <x:f>(('Inputs'!$B$29*(3*294*'Inputs'!$B$12-294^2)/(2*'Inputs'!$B$12^2))-('Inputs'!$B$29*(3*293*'Inputs'!$B$12-293^2)/(2*'Inputs'!$B$12^2)))*'Inputs'!$B$49</x:f>
        <x:v>616567.1326703131</x:v>
      </x:c>
      <x:c r="D2122" s="78" t="n">
        <x:f>IF('Inputs'!$C$49&gt;0,('Inputs'!$B$30*(3*294*'Inputs'!$B$12-294^2)/(2*'Inputs'!$B$12^2))-('Inputs'!$B$30*(3*293*'Inputs'!$B$12-293^2)/(2*'Inputs'!$B$12^2)),0)</x:f>
        <x:v>264243.0568587035</x:v>
      </x:c>
      <x:c r="E2122" s="78" t="n">
        <x:f>C2122+D2122</x:f>
        <x:v>880810.1895290166</x:v>
      </x:c>
      <x:c r="F2122" s="78" t="n">
        <x:f>'Inputs'!$B$13*E2122+(1-'Inputs'!$B$13)/'Inputs'!$B$14*SUM(E2067:E2122)</x:f>
        <x:v>891027.8663914481</x:v>
      </x:c>
      <x:c r="G2122" s="78" t="n">
        <x:f>F2122*'Inputs'!$F$49</x:f>
        <x:v>801925.0797523033</x:v>
      </x:c>
      <x:c r="H2122" s="78" t="n">
        <x:f>U2121</x:f>
        <x:v>348524848313.66394</x:v>
      </x:c>
      <x:c r="I2122" s="78" t="n">
        <x:f>V2121</x:f>
        <x:v>0.3483714560293947</x:v>
      </x:c>
      <x:c r="J2122" s="79" t="n">
        <x:f>IF(H2122&gt;0,I2122/H2122,0)</x:f>
        <x:v>9.995598813541948e-13</x:v>
      </x:c>
      <x:c r="K2122" s="80" t="n">
        <x:f>(H2122*J2122+I2122)*'Inputs'!$D$49*(1+'Inputs'!$G$49)^(B2122/30)</x:f>
        <x:v>0.522557184044092</x:v>
      </x:c>
      <x:c r="L2122" s="80" t="n">
        <x:f>MAX(0,K2122*'Inputs'!$E$49)</x:f>
        <x:v>0</x:v>
      </x:c>
      <x:c r="M2122" s="80" t="n">
        <x:f>MAX(0,-K2122*'Inputs'!$E$49)</x:f>
        <x:v>0.01567671552132276</x:v>
      </x:c>
      <x:c r="N2122" s="78" t="n">
        <x:f>H2122*(L2122*(1-'Inputs'!$B$15))/(I2122+L2122*(1-'Inputs'!$B$15))</x:f>
        <x:v>0</x:v>
      </x:c>
      <x:c r="O2122" s="78" t="n">
        <x:f>H2122-N2122</x:f>
        <x:v>348524848313.66394</x:v>
      </x:c>
      <x:c r="P2122" s="78" t="n">
        <x:f>I2122+L2122*(1-'Inputs'!$B$17)</x:f>
        <x:v>0.3483714560293947</x:v>
      </x:c>
      <x:c r="Q2122" s="78" t="n">
        <x:f>IF(J2122&gt;0,M2122/J2122,0)</x:f>
        <x:v>0</x:v>
      </x:c>
      <x:c r="R2122" s="78" t="n">
        <x:f>IF(B2122='Inputs'!$H$49,'Inputs'!$B$27*'Inputs'!$I$49,0)</x:f>
        <x:v>0</x:v>
      </x:c>
      <x:c r="S2122" s="78" t="n">
        <x:f>Q2122+G2122+R2122</x:f>
        <x:v>801925.0797523033</x:v>
      </x:c>
      <x:c r="T2122" s="78" t="n">
        <x:f>P2122*(S2122*(1-'Inputs'!$B$15))/(O2122+S2122*(1-'Inputs'!$B$15))</x:f>
        <x:v>7.935546085559488e-7</x:v>
      </x:c>
      <x:c r="U2122" s="78" t="n">
        <x:f>O2122+S2122*(1-'Inputs'!$B$17)</x:f>
        <x:v>348525647011.68097</x:v>
      </x:c>
      <x:c r="V2122" s="78" t="n">
        <x:f>P2122-T2122</x:f>
        <x:v>0.3483706624747861</x:v>
      </x:c>
      <x:c r="W2122" s="79" t="n">
        <x:f>IF(U2122&gt;0,V2122/U2122,0)</x:f>
        <x:v>9.995553138248971e-13</x:v>
      </x:c>
      <x:c r="X2122" s="80" t="n">
        <x:f>W2122*('Inputs'!$B$6-AC2122)</x:f>
        <x:v>-0.023147553861035054</x:v>
      </x:c>
      <x:c r="Y2122" s="80" t="n">
        <x:f>2*V2122</x:f>
        <x:v>0.6967413249495722</x:v>
      </x:c>
      <x:c r="Z2122" s="80" t="n">
        <x:f>K2122*'Inputs'!$B$16+(G2122+R2122)*J2122*'Inputs'!$B$16</x:f>
        <x:v>0.003135347913697378</x:v>
      </x:c>
      <x:c r="AA2122" s="80" t="n">
        <x:f>K2122*(1+'Inputs'!$E$49)/2*'Inputs'!$B$17</x:f>
        <x:v>0.0010198802183556727</x:v>
      </x:c>
      <x:c r="AB2122" s="78" t="n">
        <x:f>(IF(J2122&gt;0,K2122*(1-'Inputs'!$E$49)/2/J2122,0)+G2122+R2122)*'Inputs'!$B$17</x:f>
        <x:v>3227.062695180295</x:v>
      </x:c>
      <x:c r="AC2122" s="78" t="n">
        <x:f>AC2121+AB2122</x:f>
        <x:v>24157851837.59231</x:v>
      </x:c>
      <x:c r="AD2122" s="80" t="n">
        <x:f>Z2122/(1+'Inputs'!$C$49)</x:f>
        <x:v>0.0007838369784243445</x:v>
      </x:c>
      <x:c r="AE2122" s="80" t="n">
        <x:f>Z2122-AD2122</x:f>
        <x:v>0.0023515109352730333</x:v>
      </x:c>
      <x:c r="AF2122" s="80" t="n">
        <x:f>D2122*W2122</x:f>
        <x:v>2.641255516244515e-7</x:v>
      </x:c>
      <x:c r="AG2122" s="80" t="n">
        <x:f>C2122*W2122</x:f>
        <x:v>6.162929537903918e-7</x:v>
      </x:c>
      <x:c r="AH2122" s="80" t="n">
        <x:f>2*'Inputs'!$B$8*'Inputs'!$C$49</x:f>
        <x:v>15000</x:v>
      </x:c>
      <x:c r="AI2122" s="81" t="n">
        <x:f>IF(AH2122&gt;0,(AE2122+AF2122)/AH2122*365,0)</x:f>
        <x:v>0.000057226526480066666</x:v>
      </x:c>
      <x:c r="AJ2122" s="81" t="n">
        <x:f>IF('Inputs'!$B$49&gt;0,AG2122/('Inputs'!$B$19*'Inputs'!$B$49)*365,0)</x:f>
        <x:v>2.2494692813349304e-8</x:v>
      </x:c>
      <x:c r="AK2122" s="81" t="n">
        <x:f>W2122/MAX($W$1829:W2122)-1</x:f>
        <x:v>-0.9999999987122778</x:v>
      </x:c>
      <x:c r="AL2122" s="83" t="n">
        <x:f>'Inputs'!$B$49</x:f>
        <x:v>1</x:v>
      </x:c>
      <x:c r="AM2122" s="83" t="n">
        <x:f>'Inputs'!$C$49</x:f>
        <x:v>3</x:v>
      </x:c>
      <x:c r="AN2122" s="83" t="n">
        <x:f>'Inputs'!$D$49</x:f>
        <x:v>0.75</x:v>
      </x:c>
      <x:c r="AO2122" s="81" t="n">
        <x:f>'Inputs'!$E$49</x:f>
        <x:v>-0.03</x:v>
      </x:c>
    </x:row>
    <x:row r="2123">
      <x:c r="A2123" s="59" t="str">
        <x:v>Mercenary LP</x:v>
      </x:c>
      <x:c r="B2123" s="59" t="n">
        <x:v>295</x:v>
      </x:c>
      <x:c r="C2123" s="78" t="n">
        <x:f>(('Inputs'!$B$29*(3*295*'Inputs'!$B$12-295^2)/(2*'Inputs'!$B$12^2))-('Inputs'!$B$29*(3*294*'Inputs'!$B$12-294^2)/(2*'Inputs'!$B$12^2)))*'Inputs'!$B$49</x:f>
        <x:v>616242.0247701108</x:v>
      </x:c>
      <x:c r="D2123" s="78" t="n">
        <x:f>IF('Inputs'!$C$49&gt;0,('Inputs'!$B$30*(3*295*'Inputs'!$B$12-295^2)/(2*'Inputs'!$B$12^2))-('Inputs'!$B$30*(3*294*'Inputs'!$B$12-294^2)/(2*'Inputs'!$B$12^2)),0)</x:f>
        <x:v>264103.72490148246</x:v>
      </x:c>
      <x:c r="E2123" s="78" t="n">
        <x:f>C2123+D2123</x:f>
        <x:v>880345.7496715933</x:v>
      </x:c>
      <x:c r="F2123" s="78" t="n">
        <x:f>'Inputs'!$B$13*E2123+(1-'Inputs'!$B$13)/'Inputs'!$B$14*SUM(E2068:E2123)</x:f>
        <x:v>890563.4265340562</x:v>
      </x:c>
      <x:c r="G2123" s="78" t="n">
        <x:f>F2123*'Inputs'!$F$49</x:f>
        <x:v>801507.0838806506</x:v>
      </x:c>
      <x:c r="H2123" s="78" t="n">
        <x:f>U2122</x:f>
        <x:v>348525647011.68097</x:v>
      </x:c>
      <x:c r="I2123" s="78" t="n">
        <x:f>V2122</x:f>
        <x:v>0.3483706624747861</x:v>
      </x:c>
      <x:c r="J2123" s="79" t="n">
        <x:f>IF(H2123&gt;0,I2123/H2123,0)</x:f>
        <x:v>9.995553138248971e-13</x:v>
      </x:c>
      <x:c r="K2123" s="80" t="n">
        <x:f>(H2123*J2123+I2123)*'Inputs'!$D$49*(1+'Inputs'!$G$49)^(B2123/30)</x:f>
        <x:v>0.5225559937121791</x:v>
      </x:c>
      <x:c r="L2123" s="80" t="n">
        <x:f>MAX(0,K2123*'Inputs'!$E$49)</x:f>
        <x:v>0</x:v>
      </x:c>
      <x:c r="M2123" s="80" t="n">
        <x:f>MAX(0,-K2123*'Inputs'!$E$49)</x:f>
        <x:v>0.015676679811365373</x:v>
      </x:c>
      <x:c r="N2123" s="78" t="n">
        <x:f>H2123*(L2123*(1-'Inputs'!$B$15))/(I2123+L2123*(1-'Inputs'!$B$15))</x:f>
        <x:v>0</x:v>
      </x:c>
      <x:c r="O2123" s="78" t="n">
        <x:f>H2123-N2123</x:f>
        <x:v>348525647011.68097</x:v>
      </x:c>
      <x:c r="P2123" s="78" t="n">
        <x:f>I2123+L2123*(1-'Inputs'!$B$17)</x:f>
        <x:v>0.3483706624747861</x:v>
      </x:c>
      <x:c r="Q2123" s="78" t="n">
        <x:f>IF(J2123&gt;0,M2123/J2123,0)</x:f>
        <x:v>0</x:v>
      </x:c>
      <x:c r="R2123" s="78" t="n">
        <x:f>IF(B2123='Inputs'!$H$49,'Inputs'!$B$27*'Inputs'!$I$49,0)</x:f>
        <x:v>0</x:v>
      </x:c>
      <x:c r="S2123" s="78" t="n">
        <x:f>Q2123+G2123+R2123</x:f>
        <x:v>801507.0838806506</x:v>
      </x:c>
      <x:c r="T2123" s="78" t="n">
        <x:f>P2123*(S2123*(1-'Inputs'!$B$15))/(O2123+S2123*(1-'Inputs'!$B$15))</x:f>
        <x:v>7.931373523694221e-7</x:v>
      </x:c>
      <x:c r="U2123" s="78" t="n">
        <x:f>O2123+S2123*(1-'Inputs'!$B$17)</x:f>
        <x:v>348526445293.3842</x:v>
      </x:c>
      <x:c r="V2123" s="78" t="n">
        <x:f>P2123-T2123</x:f>
        <x:v>0.34836986933743375</x:v>
      </x:c>
      <x:c r="W2123" s="79" t="n">
        <x:f>IF(U2123&gt;0,V2123/U2123,0)</x:f>
        <x:v>9.995507487076952e-13</x:v>
      </x:c>
      <x:c r="X2123" s="80" t="n">
        <x:f>W2123*('Inputs'!$B$6-AC2123)</x:f>
        <x:v>-0.023147451366658883</x:v>
      </x:c>
      <x:c r="Y2123" s="80" t="n">
        <x:f>2*V2123</x:f>
        <x:v>0.6967397386748675</x:v>
      </x:c>
      <x:c r="Z2123" s="80" t="n">
        <x:f>K2123*'Inputs'!$B$16+(G2123+R2123)*J2123*'Inputs'!$B$16</x:f>
        <x:v>0.003135340769177063</x:v>
      </x:c>
      <x:c r="AA2123" s="80" t="n">
        <x:f>K2123*(1+'Inputs'!$E$49)/2*'Inputs'!$B$17</x:f>
        <x:v>0.0010198778951726636</x:v>
      </x:c>
      <x:c r="AB2123" s="78" t="n">
        <x:f>(IF(J2123&gt;0,K2123*(1-'Inputs'!$E$49)/2/J2123,0)+G2123+R2123)*'Inputs'!$B$17</x:f>
        <x:v>3225.3806192380307</x:v>
      </x:c>
      <x:c r="AC2123" s="78" t="n">
        <x:f>AC2122+AB2123</x:f>
        <x:v>24157855062.97293</x:v>
      </x:c>
      <x:c r="AD2123" s="80" t="n">
        <x:f>Z2123/(1+'Inputs'!$C$49)</x:f>
        <x:v>0.0007838351922942658</x:v>
      </x:c>
      <x:c r="AE2123" s="80" t="n">
        <x:f>Z2123-AD2123</x:f>
        <x:v>0.0023515055768827974</x:v>
      </x:c>
      <x:c r="AF2123" s="80" t="n">
        <x:f>D2123*W2123</x:f>
        <x:v>2.6398507596176795e-7</x:v>
      </x:c>
      <x:c r="AG2123" s="80" t="n">
        <x:f>C2123*W2123</x:f>
        <x:v>6.159651772441103e-7</x:v>
      </x:c>
      <x:c r="AH2123" s="80" t="n">
        <x:f>2*'Inputs'!$B$8*'Inputs'!$C$49</x:f>
        <x:v>15000</x:v>
      </x:c>
      <x:c r="AI2123" s="81" t="n">
        <x:f>IF(AH2123&gt;0,(AE2123+AF2123)/AH2123*365,0)</x:f>
        <x:v>0.000057226392674329803</x:v>
      </x:c>
      <x:c r="AJ2123" s="81" t="n">
        <x:f>IF('Inputs'!$B$49&gt;0,AG2123/('Inputs'!$B$19*'Inputs'!$B$49)*365,0)</x:f>
        <x:v>2.2482728969410027e-8</x:v>
      </x:c>
      <x:c r="AK2123" s="81" t="n">
        <x:f>W2123/MAX($W$1829:W2123)-1</x:f>
        <x:v>-0.9999999987122837</x:v>
      </x:c>
      <x:c r="AL2123" s="83" t="n">
        <x:f>'Inputs'!$B$49</x:f>
        <x:v>1</x:v>
      </x:c>
      <x:c r="AM2123" s="83" t="n">
        <x:f>'Inputs'!$C$49</x:f>
        <x:v>3</x:v>
      </x:c>
      <x:c r="AN2123" s="83" t="n">
        <x:f>'Inputs'!$D$49</x:f>
        <x:v>0.75</x:v>
      </x:c>
      <x:c r="AO2123" s="81" t="n">
        <x:f>'Inputs'!$E$49</x:f>
        <x:v>-0.03</x:v>
      </x:c>
    </x:row>
    <x:row r="2124">
      <x:c r="A2124" s="59" t="str">
        <x:v>Mercenary LP</x:v>
      </x:c>
      <x:c r="B2124" s="59" t="n">
        <x:v>296</x:v>
      </x:c>
      <x:c r="C2124" s="78" t="n">
        <x:f>(('Inputs'!$B$29*(3*296*'Inputs'!$B$12-296^2)/(2*'Inputs'!$B$12^2))-('Inputs'!$B$29*(3*295*'Inputs'!$B$12-295^2)/(2*'Inputs'!$B$12^2)))*'Inputs'!$B$49</x:f>
        <x:v>615916.9168699682</x:v>
      </x:c>
      <x:c r="D2124" s="78" t="n">
        <x:f>IF('Inputs'!$C$49&gt;0,('Inputs'!$B$30*(3*296*'Inputs'!$B$12-296^2)/(2*'Inputs'!$B$12^2))-('Inputs'!$B$30*(3*295*'Inputs'!$B$12-295^2)/(2*'Inputs'!$B$12^2)),0)</x:f>
        <x:v>263964.39294426143</x:v>
      </x:c>
      <x:c r="E2124" s="78" t="n">
        <x:f>C2124+D2124</x:f>
        <x:v>879881.3098142296</x:v>
      </x:c>
      <x:c r="F2124" s="78" t="n">
        <x:f>'Inputs'!$B$13*E2124+(1-'Inputs'!$B$13)/'Inputs'!$B$14*SUM(E2069:E2124)</x:f>
        <x:v>890098.9866766762</x:v>
      </x:c>
      <x:c r="G2124" s="78" t="n">
        <x:f>F2124*'Inputs'!$F$49</x:f>
        <x:v>801089.0880090086</x:v>
      </x:c>
      <x:c r="H2124" s="78" t="n">
        <x:f>U2123</x:f>
        <x:v>348526445293.3842</x:v>
      </x:c>
      <x:c r="I2124" s="78" t="n">
        <x:f>V2123</x:f>
        <x:v>0.34836986933743375</x:v>
      </x:c>
      <x:c r="J2124" s="79" t="n">
        <x:f>IF(H2124&gt;0,I2124/H2124,0)</x:f>
        <x:v>9.995507487076952e-13</x:v>
      </x:c>
      <x:c r="K2124" s="80" t="n">
        <x:f>(H2124*J2124+I2124)*'Inputs'!$D$49*(1+'Inputs'!$G$49)^(B2124/30)</x:f>
        <x:v>0.5225548040061506</x:v>
      </x:c>
      <x:c r="L2124" s="80" t="n">
        <x:f>MAX(0,K2124*'Inputs'!$E$49)</x:f>
        <x:v>0</x:v>
      </x:c>
      <x:c r="M2124" s="80" t="n">
        <x:f>MAX(0,-K2124*'Inputs'!$E$49)</x:f>
        <x:v>0.01567664412018452</x:v>
      </x:c>
      <x:c r="N2124" s="78" t="n">
        <x:f>H2124*(L2124*(1-'Inputs'!$B$15))/(I2124+L2124*(1-'Inputs'!$B$15))</x:f>
        <x:v>0</x:v>
      </x:c>
      <x:c r="O2124" s="78" t="n">
        <x:f>H2124-N2124</x:f>
        <x:v>348526445293.3842</x:v>
      </x:c>
      <x:c r="P2124" s="78" t="n">
        <x:f>I2124+L2124*(1-'Inputs'!$B$17)</x:f>
        <x:v>0.34836986933743375</x:v>
      </x:c>
      <x:c r="Q2124" s="78" t="n">
        <x:f>IF(J2124&gt;0,M2124/J2124,0)</x:f>
        <x:v>0</x:v>
      </x:c>
      <x:c r="R2124" s="78" t="n">
        <x:f>IF(B2124='Inputs'!$H$49,'Inputs'!$B$27*'Inputs'!$I$49,0)</x:f>
        <x:v>0</x:v>
      </x:c>
      <x:c r="S2124" s="78" t="n">
        <x:f>Q2124+G2124+R2124</x:f>
        <x:v>801089.0880090086</x:v>
      </x:c>
      <x:c r="T2124" s="78" t="n">
        <x:f>P2124*(S2124*(1-'Inputs'!$B$15))/(O2124+S2124*(1-'Inputs'!$B$15))</x:f>
        <x:v>7.927201018751047e-7</x:v>
      </x:c>
      <x:c r="U2124" s="78" t="n">
        <x:f>O2124+S2124*(1-'Inputs'!$B$17)</x:f>
        <x:v>348527243158.7737</x:v>
      </x:c>
      <x:c r="V2124" s="78" t="n">
        <x:f>P2124-T2124</x:f>
        <x:v>0.34836907661733185</x:v>
      </x:c>
      <x:c r="W2124" s="79" t="n">
        <x:f>IF(U2124&gt;0,V2124/U2124,0)</x:f>
        <x:v>9.995461860025393e-13</x:v>
      </x:c>
      <x:c r="X2124" s="80" t="n">
        <x:f>W2124*('Inputs'!$B$6-AC2124)</x:f>
        <x:v>-0.02314734892642977</x:v>
      </x:c>
      <x:c r="Y2124" s="80" t="n">
        <x:f>2*V2124</x:f>
        <x:v>0.6967381532346637</x:v>
      </x:c>
      <x:c r="Z2124" s="80" t="n">
        <x:f>K2124*'Inputs'!$B$16+(G2124+R2124)*J2124*'Inputs'!$B$16</x:f>
        <x:v>0.0031353336284120903</x:v>
      </x:c>
      <x:c r="AA2124" s="80" t="n">
        <x:f>K2124*(1+'Inputs'!$E$49)/2*'Inputs'!$B$17</x:f>
        <x:v>0.0010198755732111994</x:v>
      </x:c>
      <x:c r="AB2124" s="78" t="n">
        <x:f>(IF(J2124&gt;0,K2124*(1-'Inputs'!$E$49)/2/J2124,0)+G2124+R2124)*'Inputs'!$B$17</x:f>
        <x:v>3223.6985432958095</x:v>
      </x:c>
      <x:c r="AC2124" s="78" t="n">
        <x:f>AC2123+AB2124</x:f>
        <x:v>24157858286.671474</x:v>
      </x:c>
      <x:c r="AD2124" s="80" t="n">
        <x:f>Z2124/(1+'Inputs'!$C$49)</x:f>
        <x:v>0.0007838334071030226</x:v>
      </x:c>
      <x:c r="AE2124" s="80" t="n">
        <x:f>Z2124-AD2124</x:f>
        <x:v>0.0023515002213090677</x:v>
      </x:c>
      <x:c r="AF2124" s="80" t="n">
        <x:f>D2124*W2124</x:f>
        <x:v>2.638446022079121e-7</x:v>
      </x:c>
      <x:c r="AG2124" s="80" t="n">
        <x:f>C2124*W2124</x:f>
        <x:v>6.156374051518198e-7</x:v>
      </x:c>
      <x:c r="AH2124" s="80" t="n">
        <x:f>2*'Inputs'!$B$8*'Inputs'!$C$49</x:f>
        <x:v>15000</x:v>
      </x:c>
      <x:c r="AI2124" s="81" t="n">
        <x:f>IF(AH2124&gt;0,(AE2124+AF2124)/AH2124*365,0)</x:f>
        <x:v>0.00005722625893717437</x:v>
      </x:c>
      <x:c r="AJ2124" s="81" t="n">
        <x:f>IF('Inputs'!$B$49&gt;0,AG2124/('Inputs'!$B$19*'Inputs'!$B$49)*365,0)</x:f>
        <x:v>2.247076528804142e-8</x:v>
      </x:c>
      <x:c r="AK2124" s="81" t="n">
        <x:f>W2124/MAX($W$1829:W2124)-1</x:f>
        <x:v>-0.9999999987122896</x:v>
      </x:c>
      <x:c r="AL2124" s="83" t="n">
        <x:f>'Inputs'!$B$49</x:f>
        <x:v>1</x:v>
      </x:c>
      <x:c r="AM2124" s="83" t="n">
        <x:f>'Inputs'!$C$49</x:f>
        <x:v>3</x:v>
      </x:c>
      <x:c r="AN2124" s="83" t="n">
        <x:f>'Inputs'!$D$49</x:f>
        <x:v>0.75</x:v>
      </x:c>
      <x:c r="AO2124" s="81" t="n">
        <x:f>'Inputs'!$E$49</x:f>
        <x:v>-0.03</x:v>
      </x:c>
    </x:row>
    <x:row r="2125">
      <x:c r="A2125" s="59" t="str">
        <x:v>Mercenary LP</x:v>
      </x:c>
      <x:c r="B2125" s="59" t="n">
        <x:v>297</x:v>
      </x:c>
      <x:c r="C2125" s="78" t="n">
        <x:f>(('Inputs'!$B$29*(3*297*'Inputs'!$B$12-297^2)/(2*'Inputs'!$B$12^2))-('Inputs'!$B$29*(3*296*'Inputs'!$B$12-296^2)/(2*'Inputs'!$B$12^2)))*'Inputs'!$B$49</x:f>
        <x:v>615591.8089697659</x:v>
      </x:c>
      <x:c r="D2125" s="78" t="n">
        <x:f>IF('Inputs'!$C$49&gt;0,('Inputs'!$B$30*(3*297*'Inputs'!$B$12-297^2)/(2*'Inputs'!$B$12^2))-('Inputs'!$B$30*(3*296*'Inputs'!$B$12-296^2)/(2*'Inputs'!$B$12^2)),0)</x:f>
        <x:v>263825.0609870553</x:v>
      </x:c>
      <x:c r="E2125" s="78" t="n">
        <x:f>C2125+D2125</x:f>
        <x:v>879416.8699568212</x:v>
      </x:c>
      <x:c r="F2125" s="78" t="n">
        <x:f>'Inputs'!$B$13*E2125+(1-'Inputs'!$B$13)/'Inputs'!$B$14*SUM(E2070:E2125)</x:f>
        <x:v>889634.546819287</x:v>
      </x:c>
      <x:c r="G2125" s="78" t="n">
        <x:f>F2125*'Inputs'!$F$49</x:f>
        <x:v>800671.0921373583</x:v>
      </x:c>
      <x:c r="H2125" s="78" t="n">
        <x:f>U2124</x:f>
        <x:v>348527243158.7737</x:v>
      </x:c>
      <x:c r="I2125" s="78" t="n">
        <x:f>V2124</x:f>
        <x:v>0.34836907661733185</x:v>
      </x:c>
      <x:c r="J2125" s="79" t="n">
        <x:f>IF(H2125&gt;0,I2125/H2125,0)</x:f>
        <x:v>9.995461860025393e-13</x:v>
      </x:c>
      <x:c r="K2125" s="80" t="n">
        <x:f>(H2125*J2125+I2125)*'Inputs'!$D$49*(1+'Inputs'!$G$49)^(B2125/30)</x:f>
        <x:v>0.5225536149259977</x:v>
      </x:c>
      <x:c r="L2125" s="80" t="n">
        <x:f>MAX(0,K2125*'Inputs'!$E$49)</x:f>
        <x:v>0</x:v>
      </x:c>
      <x:c r="M2125" s="80" t="n">
        <x:f>MAX(0,-K2125*'Inputs'!$E$49)</x:f>
        <x:v>0.015676608447779933</x:v>
      </x:c>
      <x:c r="N2125" s="78" t="n">
        <x:f>H2125*(L2125*(1-'Inputs'!$B$15))/(I2125+L2125*(1-'Inputs'!$B$15))</x:f>
        <x:v>0</x:v>
      </x:c>
      <x:c r="O2125" s="78" t="n">
        <x:f>H2125-N2125</x:f>
        <x:v>348527243158.7737</x:v>
      </x:c>
      <x:c r="P2125" s="78" t="n">
        <x:f>I2125+L2125*(1-'Inputs'!$B$17)</x:f>
        <x:v>0.34836907661733185</x:v>
      </x:c>
      <x:c r="Q2125" s="78" t="n">
        <x:f>IF(J2125&gt;0,M2125/J2125,0)</x:f>
        <x:v>0</x:v>
      </x:c>
      <x:c r="R2125" s="78" t="n">
        <x:f>IF(B2125='Inputs'!$H$49,'Inputs'!$B$27*'Inputs'!$I$49,0)</x:f>
        <x:v>0</x:v>
      </x:c>
      <x:c r="S2125" s="78" t="n">
        <x:f>Q2125+G2125+R2125</x:f>
        <x:v>800671.0921373583</x:v>
      </x:c>
      <x:c r="T2125" s="78" t="n">
        <x:f>P2125*(S2125*(1-'Inputs'!$B$15))/(O2125+S2125*(1-'Inputs'!$B$15))</x:f>
        <x:v>7.923028570699438e-7</x:v>
      </x:c>
      <x:c r="U2125" s="78" t="n">
        <x:f>O2125+S2125*(1-'Inputs'!$B$17)</x:f>
        <x:v>348528040607.84937</x:v>
      </x:c>
      <x:c r="V2125" s="78" t="n">
        <x:f>P2125-T2125</x:f>
        <x:v>0.3483682843144748</x:v>
      </x:c>
      <x:c r="W2125" s="79" t="n">
        <x:f>IF(U2125&gt;0,V2125/U2125,0)</x:f>
        <x:v>9.995416257093806e-13</x:v>
      </x:c>
      <x:c r="X2125" s="80" t="n">
        <x:f>W2125*('Inputs'!$B$6-AC2125)</x:f>
        <x:v>-0.023147246540346635</x:v>
      </x:c>
      <x:c r="Y2125" s="80" t="n">
        <x:f>2*V2125</x:f>
        <x:v>0.6967365686289496</x:v>
      </x:c>
      <x:c r="Z2125" s="80" t="n">
        <x:f>K2125*'Inputs'!$B$16+(G2125+R2125)*J2125*'Inputs'!$B$16</x:f>
        <x:v>0.003135326491402405</x:v>
      </x:c>
      <x:c r="AA2125" s="80" t="n">
        <x:f>K2125*(1+'Inputs'!$E$49)/2*'Inputs'!$B$17</x:f>
        <x:v>0.0010198732524712632</x:v>
      </x:c>
      <x:c r="AB2125" s="78" t="n">
        <x:f>(IF(J2125&gt;0,K2125*(1-'Inputs'!$E$49)/2/J2125,0)+G2125+R2125)*'Inputs'!$B$17</x:f>
        <x:v>3222.0164673535546</x:v>
      </x:c>
      <x:c r="AC2125" s="78" t="n">
        <x:f>AC2124+AB2125</x:f>
        <x:v>24157861508.687943</x:v>
      </x:c>
      <x:c r="AD2125" s="80" t="n">
        <x:f>Z2125/(1+'Inputs'!$C$49)</x:f>
        <x:v>0.0007838316228506012</x:v>
      </x:c>
      <x:c r="AE2125" s="80" t="n">
        <x:f>Z2125-AD2125</x:f>
        <x:v>0.0023514948685518034</x:v>
      </x:c>
      <x:c r="AF2125" s="80" t="n">
        <x:f>D2125*W2125</x:f>
        <x:v>2.6370413036187774e-7</x:v>
      </x:c>
      <x:c r="AG2125" s="80" t="n">
        <x:f>C2125*W2125</x:f>
        <x:v>6.153096375110182e-7</x:v>
      </x:c>
      <x:c r="AH2125" s="80" t="n">
        <x:f>2*'Inputs'!$B$8*'Inputs'!$C$49</x:f>
        <x:v>15000</x:v>
      </x:c>
      <x:c r="AI2125" s="81" t="n">
        <x:f>IF(AH2125&gt;0,(AE2125+AF2125)/AH2125*365,0)</x:f>
        <x:v>0.00005722612526859936</x:v>
      </x:c>
      <x:c r="AJ2125" s="81" t="n">
        <x:f>IF('Inputs'!$B$49&gt;0,AG2125/('Inputs'!$B$19*'Inputs'!$B$49)*365,0)</x:f>
        <x:v>2.2458801769152168e-8</x:v>
      </x:c>
      <x:c r="AK2125" s="81" t="n">
        <x:f>W2125/MAX($W$1829:W2125)-1</x:f>
        <x:v>-0.9999999987122955</x:v>
      </x:c>
      <x:c r="AL2125" s="83" t="n">
        <x:f>'Inputs'!$B$49</x:f>
        <x:v>1</x:v>
      </x:c>
      <x:c r="AM2125" s="83" t="n">
        <x:f>'Inputs'!$C$49</x:f>
        <x:v>3</x:v>
      </x:c>
      <x:c r="AN2125" s="83" t="n">
        <x:f>'Inputs'!$D$49</x:f>
        <x:v>0.75</x:v>
      </x:c>
      <x:c r="AO2125" s="81" t="n">
        <x:f>'Inputs'!$E$49</x:f>
        <x:v>-0.03</x:v>
      </x:c>
    </x:row>
    <x:row r="2126">
      <x:c r="A2126" s="59" t="str">
        <x:v>Mercenary LP</x:v>
      </x:c>
      <x:c r="B2126" s="59" t="n">
        <x:v>298</x:v>
      </x:c>
      <x:c r="C2126" s="78" t="n">
        <x:f>(('Inputs'!$B$29*(3*298*'Inputs'!$B$12-298^2)/(2*'Inputs'!$B$12^2))-('Inputs'!$B$29*(3*297*'Inputs'!$B$12-297^2)/(2*'Inputs'!$B$12^2)))*'Inputs'!$B$49</x:f>
        <x:v>615266.7010696232</x:v>
      </x:c>
      <x:c r="D2126" s="78" t="n">
        <x:f>IF('Inputs'!$C$49&gt;0,('Inputs'!$B$30*(3*298*'Inputs'!$B$12-298^2)/(2*'Inputs'!$B$12^2))-('Inputs'!$B$30*(3*297*'Inputs'!$B$12-297^2)/(2*'Inputs'!$B$12^2)),0)</x:f>
        <x:v>263685.72902983427</x:v>
      </x:c>
      <x:c r="E2126" s="78" t="n">
        <x:f>C2126+D2126</x:f>
        <x:v>878952.4300994575</x:v>
      </x:c>
      <x:c r="F2126" s="78" t="n">
        <x:f>'Inputs'!$B$13*E2126+(1-'Inputs'!$B$13)/'Inputs'!$B$14*SUM(E2071:E2126)</x:f>
        <x:v>889170.1069619069</x:v>
      </x:c>
      <x:c r="G2126" s="78" t="n">
        <x:f>F2126*'Inputs'!$F$49</x:f>
        <x:v>800253.0962657162</x:v>
      </x:c>
      <x:c r="H2126" s="78" t="n">
        <x:f>U2125</x:f>
        <x:v>348528040607.84937</x:v>
      </x:c>
      <x:c r="I2126" s="78" t="n">
        <x:f>V2125</x:f>
        <x:v>0.3483682843144748</x:v>
      </x:c>
      <x:c r="J2126" s="79" t="n">
        <x:f>IF(H2126&gt;0,I2126/H2126,0)</x:f>
        <x:v>9.995416257093806e-13</x:v>
      </x:c>
      <x:c r="K2126" s="80" t="n">
        <x:f>(H2126*J2126+I2126)*'Inputs'!$D$49*(1+'Inputs'!$G$49)^(B2126/30)</x:f>
        <x:v>0.5225524264717121</x:v>
      </x:c>
      <x:c r="L2126" s="80" t="n">
        <x:f>MAX(0,K2126*'Inputs'!$E$49)</x:f>
        <x:v>0</x:v>
      </x:c>
      <x:c r="M2126" s="80" t="n">
        <x:f>MAX(0,-K2126*'Inputs'!$E$49)</x:f>
        <x:v>0.015676572794151362</x:v>
      </x:c>
      <x:c r="N2126" s="78" t="n">
        <x:f>H2126*(L2126*(1-'Inputs'!$B$15))/(I2126+L2126*(1-'Inputs'!$B$15))</x:f>
        <x:v>0</x:v>
      </x:c>
      <x:c r="O2126" s="78" t="n">
        <x:f>H2126-N2126</x:f>
        <x:v>348528040607.84937</x:v>
      </x:c>
      <x:c r="P2126" s="78" t="n">
        <x:f>I2126+L2126*(1-'Inputs'!$B$17)</x:f>
        <x:v>0.3483682843144748</x:v>
      </x:c>
      <x:c r="Q2126" s="78" t="n">
        <x:f>IF(J2126&gt;0,M2126/J2126,0)</x:f>
        <x:v>0</x:v>
      </x:c>
      <x:c r="R2126" s="78" t="n">
        <x:f>IF(B2126='Inputs'!$H$49,'Inputs'!$B$27*'Inputs'!$I$49,0)</x:f>
        <x:v>0</x:v>
      </x:c>
      <x:c r="S2126" s="78" t="n">
        <x:f>Q2126+G2126+R2126</x:f>
        <x:v>800253.0962657162</x:v>
      </x:c>
      <x:c r="T2126" s="78" t="n">
        <x:f>P2126*(S2126*(1-'Inputs'!$B$15))/(O2126+S2126*(1-'Inputs'!$B$15))</x:f>
        <x:v>7.918856179509225e-7</x:v>
      </x:c>
      <x:c r="U2126" s="78" t="n">
        <x:f>O2126+S2126*(1-'Inputs'!$B$17)</x:f>
        <x:v>348528837640.61127</x:v>
      </x:c>
      <x:c r="V2126" s="78" t="n">
        <x:f>P2126-T2126</x:f>
        <x:v>0.34836749242885684</x:v>
      </x:c>
      <x:c r="W2126" s="79" t="n">
        <x:f>IF(U2126&gt;0,V2126/U2126,0)</x:f>
        <x:v>9.995370678281697e-13</x:v>
      </x:c>
      <x:c r="X2126" s="80" t="n">
        <x:f>W2126*('Inputs'!$B$6-AC2126)</x:f>
        <x:v>-0.02314714420840838</x:v>
      </x:c>
      <x:c r="Y2126" s="80" t="n">
        <x:f>2*V2126</x:f>
        <x:v>0.6967349848577137</x:v>
      </x:c>
      <x:c r="Z2126" s="80" t="n">
        <x:f>K2126*'Inputs'!$B$16+(G2126+R2126)*J2126*'Inputs'!$B$16</x:f>
        <x:v>0.0031353193581479576</x:v>
      </x:c>
      <x:c r="AA2126" s="80" t="n">
        <x:f>K2126*(1+'Inputs'!$E$49)/2*'Inputs'!$B$17</x:f>
        <x:v>0.0010198709329528384</x:v>
      </x:c>
      <x:c r="AB2126" s="78" t="n">
        <x:f>(IF(J2126&gt;0,K2126*(1-'Inputs'!$E$49)/2/J2126,0)+G2126+R2126)*'Inputs'!$B$17</x:f>
        <x:v>3220.3343914113334</x:v>
      </x:c>
      <x:c r="AC2126" s="78" t="n">
        <x:f>AC2125+AB2126</x:f>
        <x:v>24157864729.022335</x:v>
      </x:c>
      <x:c r="AD2126" s="80" t="n">
        <x:f>Z2126/(1+'Inputs'!$C$49)</x:f>
        <x:v>0.0007838298395369894</x:v>
      </x:c>
      <x:c r="AE2126" s="80" t="n">
        <x:f>Z2126-AD2126</x:f>
        <x:v>0.0023514895186109684</x:v>
      </x:c>
      <x:c r="AF2126" s="80" t="n">
        <x:f>D2126*W2126</x:f>
        <x:v>2.6356366042261386e-7</x:v>
      </x:c>
      <x:c r="AG2126" s="80" t="n">
        <x:f>C2126*W2126</x:f>
        <x:v>6.149818743194422e-7</x:v>
      </x:c>
      <x:c r="AH2126" s="80" t="n">
        <x:f>2*'Inputs'!$B$8*'Inputs'!$C$49</x:f>
        <x:v>15000</x:v>
      </x:c>
      <x:c r="AI2126" s="81" t="n">
        <x:f>IF(AH2126&gt;0,(AE2126+AF2126)/AH2126*365,0)</x:f>
        <x:v>0.000057225991668603843</x:v>
      </x:c>
      <x:c r="AJ2126" s="81" t="n">
        <x:f>IF('Inputs'!$B$49&gt;0,AG2126/('Inputs'!$B$19*'Inputs'!$B$49)*365,0)</x:f>
        <x:v>2.244683841265964e-8</x:v>
      </x:c>
      <x:c r="AK2126" s="81" t="n">
        <x:f>W2126/MAX($W$1829:W2126)-1</x:f>
        <x:v>-0.9999999987123014</x:v>
      </x:c>
      <x:c r="AL2126" s="83" t="n">
        <x:f>'Inputs'!$B$49</x:f>
        <x:v>1</x:v>
      </x:c>
      <x:c r="AM2126" s="83" t="n">
        <x:f>'Inputs'!$C$49</x:f>
        <x:v>3</x:v>
      </x:c>
      <x:c r="AN2126" s="83" t="n">
        <x:f>'Inputs'!$D$49</x:f>
        <x:v>0.75</x:v>
      </x:c>
      <x:c r="AO2126" s="81" t="n">
        <x:f>'Inputs'!$E$49</x:f>
        <x:v>-0.03</x:v>
      </x:c>
    </x:row>
    <x:row r="2127">
      <x:c r="A2127" s="59" t="str">
        <x:v>Mercenary LP</x:v>
      </x:c>
      <x:c r="B2127" s="59" t="n">
        <x:v>299</x:v>
      </x:c>
      <x:c r="C2127" s="78" t="n">
        <x:f>(('Inputs'!$B$29*(3*299*'Inputs'!$B$12-299^2)/(2*'Inputs'!$B$12^2))-('Inputs'!$B$29*(3*298*'Inputs'!$B$12-298^2)/(2*'Inputs'!$B$12^2)))*'Inputs'!$B$49</x:f>
        <x:v>614941.5931694508</x:v>
      </x:c>
      <x:c r="D2127" s="78" t="n">
        <x:f>IF('Inputs'!$C$49&gt;0,('Inputs'!$B$30*(3*299*'Inputs'!$B$12-299^2)/(2*'Inputs'!$B$12^2))-('Inputs'!$B$30*(3*298*'Inputs'!$B$12-298^2)/(2*'Inputs'!$B$12^2)),0)</x:f>
        <x:v>263546.39707262814</x:v>
      </x:c>
      <x:c r="E2127" s="78" t="n">
        <x:f>C2127+D2127</x:f>
        <x:v>878487.9902420789</x:v>
      </x:c>
      <x:c r="F2127" s="78" t="n">
        <x:f>'Inputs'!$B$13*E2127+(1-'Inputs'!$B$13)/'Inputs'!$B$14*SUM(E2072:E2127)</x:f>
        <x:v>888705.6671045239</x:v>
      </x:c>
      <x:c r="G2127" s="78" t="n">
        <x:f>F2127*'Inputs'!$F$49</x:f>
        <x:v>799835.1003940715</x:v>
      </x:c>
      <x:c r="H2127" s="78" t="n">
        <x:f>U2126</x:f>
        <x:v>348528837640.61127</x:v>
      </x:c>
      <x:c r="I2127" s="78" t="n">
        <x:f>V2126</x:f>
        <x:v>0.34836749242885684</x:v>
      </x:c>
      <x:c r="J2127" s="79" t="n">
        <x:f>IF(H2127&gt;0,I2127/H2127,0)</x:f>
        <x:v>9.995370678281697e-13</x:v>
      </x:c>
      <x:c r="K2127" s="80" t="n">
        <x:f>(H2127*J2127+I2127)*'Inputs'!$D$49*(1+'Inputs'!$G$49)^(B2127/30)</x:f>
        <x:v>0.5225512386432852</x:v>
      </x:c>
      <x:c r="L2127" s="80" t="n">
        <x:f>MAX(0,K2127*'Inputs'!$E$49)</x:f>
        <x:v>0</x:v>
      </x:c>
      <x:c r="M2127" s="80" t="n">
        <x:f>MAX(0,-K2127*'Inputs'!$E$49)</x:f>
        <x:v>0.015676537159298558</x:v>
      </x:c>
      <x:c r="N2127" s="78" t="n">
        <x:f>H2127*(L2127*(1-'Inputs'!$B$15))/(I2127+L2127*(1-'Inputs'!$B$15))</x:f>
        <x:v>0</x:v>
      </x:c>
      <x:c r="O2127" s="78" t="n">
        <x:f>H2127-N2127</x:f>
        <x:v>348528837640.61127</x:v>
      </x:c>
      <x:c r="P2127" s="78" t="n">
        <x:f>I2127+L2127*(1-'Inputs'!$B$17)</x:f>
        <x:v>0.34836749242885684</x:v>
      </x:c>
      <x:c r="Q2127" s="78" t="n">
        <x:f>IF(J2127&gt;0,M2127/J2127,0)</x:f>
        <x:v>0</x:v>
      </x:c>
      <x:c r="R2127" s="78" t="n">
        <x:f>IF(B2127='Inputs'!$H$49,'Inputs'!$B$27*'Inputs'!$I$49,0)</x:f>
        <x:v>0</x:v>
      </x:c>
      <x:c r="S2127" s="78" t="n">
        <x:f>Q2127+G2127+R2127</x:f>
        <x:v>799835.1003940715</x:v>
      </x:c>
      <x:c r="T2127" s="78" t="n">
        <x:f>P2127*(S2127*(1-'Inputs'!$B$15))/(O2127+S2127*(1-'Inputs'!$B$15))</x:f>
        <x:v>7.914683845149968e-7</x:v>
      </x:c>
      <x:c r="U2127" s="78" t="n">
        <x:f>O2127+S2127*(1-'Inputs'!$B$17)</x:f>
        <x:v>348529634257.0593</x:v>
      </x:c>
      <x:c r="V2127" s="78" t="n">
        <x:f>P2127-T2127</x:f>
        <x:v>0.34836670096047234</x:v>
      </x:c>
      <x:c r="W2127" s="79" t="n">
        <x:f>IF(U2127&gt;0,V2127/U2127,0)</x:f>
        <x:v>9.995325123588578e-13</x:v>
      </x:c>
      <x:c r="X2127" s="80" t="n">
        <x:f>W2127*('Inputs'!$B$6-AC2127)</x:f>
        <x:v>-0.023147041930613912</x:v>
      </x:c>
      <x:c r="Y2127" s="80" t="n">
        <x:f>2*V2127</x:f>
        <x:v>0.6967334019209447</x:v>
      </x:c>
      <x:c r="Z2127" s="80" t="n">
        <x:f>K2127*'Inputs'!$B$16+(G2127+R2127)*J2127*'Inputs'!$B$16</x:f>
        <x:v>0.0031353122286486975</x:v>
      </x:c>
      <x:c r="AA2127" s="80" t="n">
        <x:f>K2127*(1+'Inputs'!$E$49)/2*'Inputs'!$B$17</x:f>
        <x:v>0.0010198686146559088</x:v>
      </x:c>
      <x:c r="AB2127" s="78" t="n">
        <x:f>(IF(J2127&gt;0,K2127*(1-'Inputs'!$E$49)/2/J2127,0)+G2127+R2127)*'Inputs'!$B$17</x:f>
        <x:v>3218.6523154691013</x:v>
      </x:c>
      <x:c r="AC2127" s="78" t="n">
        <x:f>AC2126+AB2127</x:f>
        <x:v>24157867947.674652</x:v>
      </x:c>
      <x:c r="AD2127" s="80" t="n">
        <x:f>Z2127/(1+'Inputs'!$C$49)</x:f>
        <x:v>0.0007838280571621744</x:v>
      </x:c>
      <x:c r="AE2127" s="80" t="n">
        <x:f>Z2127-AD2127</x:f>
        <x:v>0.002351484171486523</x:v>
      </x:c>
      <x:c r="AF2127" s="80" t="n">
        <x:f>D2127*W2127</x:f>
        <x:v>2.634231923891291e-7</x:v>
      </x:c>
      <x:c r="AG2127" s="80" t="n">
        <x:f>C2127*W2127</x:f>
        <x:v>6.146541155746198e-7</x:v>
      </x:c>
      <x:c r="AH2127" s="80" t="n">
        <x:f>2*'Inputs'!$B$8*'Inputs'!$C$49</x:f>
        <x:v>15000</x:v>
      </x:c>
      <x:c r="AI2127" s="81" t="n">
        <x:f>IF(AH2127&gt;0,(AE2127+AF2127)/AH2127*365,0)</x:f>
        <x:v>0.000057225858137186854</x:v>
      </x:c>
      <x:c r="AJ2127" s="81" t="n">
        <x:f>IF('Inputs'!$B$49&gt;0,AG2127/('Inputs'!$B$19*'Inputs'!$B$49)*365,0)</x:f>
        <x:v>2.2434875218473622e-8</x:v>
      </x:c>
      <x:c r="AK2127" s="81" t="n">
        <x:f>W2127/MAX($W$1829:W2127)-1</x:f>
        <x:v>-0.9999999987123072</x:v>
      </x:c>
      <x:c r="AL2127" s="83" t="n">
        <x:f>'Inputs'!$B$49</x:f>
        <x:v>1</x:v>
      </x:c>
      <x:c r="AM2127" s="83" t="n">
        <x:f>'Inputs'!$C$49</x:f>
        <x:v>3</x:v>
      </x:c>
      <x:c r="AN2127" s="83" t="n">
        <x:f>'Inputs'!$D$49</x:f>
        <x:v>0.75</x:v>
      </x:c>
      <x:c r="AO2127" s="81" t="n">
        <x:f>'Inputs'!$E$49</x:f>
        <x:v>-0.03</x:v>
      </x:c>
    </x:row>
    <x:row r="2128">
      <x:c r="A2128" s="59" t="str">
        <x:v>Mercenary LP</x:v>
      </x:c>
      <x:c r="B2128" s="59" t="n">
        <x:v>300</x:v>
      </x:c>
      <x:c r="C2128" s="78" t="n">
        <x:f>(('Inputs'!$B$29*(3*300*'Inputs'!$B$12-300^2)/(2*'Inputs'!$B$12^2))-('Inputs'!$B$29*(3*299*'Inputs'!$B$12-299^2)/(2*'Inputs'!$B$12^2)))*'Inputs'!$B$49</x:f>
        <x:v>614616.4852692783</x:v>
      </x:c>
      <x:c r="D2128" s="78" t="n">
        <x:f>IF('Inputs'!$C$49&gt;0,('Inputs'!$B$30*(3*300*'Inputs'!$B$12-300^2)/(2*'Inputs'!$B$12^2))-('Inputs'!$B$30*(3*299*'Inputs'!$B$12-299^2)/(2*'Inputs'!$B$12^2)),0)</x:f>
        <x:v>263407.0651154071</x:v>
      </x:c>
      <x:c r="E2128" s="78" t="n">
        <x:f>C2128+D2128</x:f>
        <x:v>878023.5503846854</x:v>
      </x:c>
      <x:c r="F2128" s="78" t="n">
        <x:f>'Inputs'!$B$13*E2128+(1-'Inputs'!$B$13)/'Inputs'!$B$14*SUM(E2073:E2128)</x:f>
        <x:v>888241.2272471378</x:v>
      </x:c>
      <x:c r="G2128" s="78" t="n">
        <x:f>F2128*'Inputs'!$F$49</x:f>
        <x:v>799417.104522424</x:v>
      </x:c>
      <x:c r="H2128" s="78" t="n">
        <x:f>U2127</x:f>
        <x:v>348529634257.0593</x:v>
      </x:c>
      <x:c r="I2128" s="78" t="n">
        <x:f>V2127</x:f>
        <x:v>0.34836670096047234</x:v>
      </x:c>
      <x:c r="J2128" s="79" t="n">
        <x:f>IF(H2128&gt;0,I2128/H2128,0)</x:f>
        <x:v>9.995325123588578e-13</x:v>
      </x:c>
      <x:c r="K2128" s="80" t="n">
        <x:f>(H2128*J2128+I2128)*'Inputs'!$D$49*(1+'Inputs'!$G$49)^(B2128/30)</x:f>
        <x:v>0.5225500514407085</x:v>
      </x:c>
      <x:c r="L2128" s="80" t="n">
        <x:f>MAX(0,K2128*'Inputs'!$E$49)</x:f>
        <x:v>0</x:v>
      </x:c>
      <x:c r="M2128" s="80" t="n">
        <x:f>MAX(0,-K2128*'Inputs'!$E$49)</x:f>
        <x:v>0.015676501543221255</x:v>
      </x:c>
      <x:c r="N2128" s="78" t="n">
        <x:f>H2128*(L2128*(1-'Inputs'!$B$15))/(I2128+L2128*(1-'Inputs'!$B$15))</x:f>
        <x:v>0</x:v>
      </x:c>
      <x:c r="O2128" s="78" t="n">
        <x:f>H2128-N2128</x:f>
        <x:v>348529634257.0593</x:v>
      </x:c>
      <x:c r="P2128" s="78" t="n">
        <x:f>I2128+L2128*(1-'Inputs'!$B$17)</x:f>
        <x:v>0.34836670096047234</x:v>
      </x:c>
      <x:c r="Q2128" s="78" t="n">
        <x:f>IF(J2128&gt;0,M2128/J2128,0)</x:f>
        <x:v>0</x:v>
      </x:c>
      <x:c r="R2128" s="78" t="n">
        <x:f>IF(B2128='Inputs'!$H$49,'Inputs'!$B$27*'Inputs'!$I$49,0)</x:f>
        <x:v>0</x:v>
      </x:c>
      <x:c r="S2128" s="78" t="n">
        <x:f>Q2128+G2128+R2128</x:f>
        <x:v>799417.104522424</x:v>
      </x:c>
      <x:c r="T2128" s="78" t="n">
        <x:f>P2128*(S2128*(1-'Inputs'!$B$15))/(O2128+S2128*(1-'Inputs'!$B$15))</x:f>
        <x:v>7.910511567591333e-7</x:v>
      </x:c>
      <x:c r="U2128" s="78" t="n">
        <x:f>O2128+S2128*(1-'Inputs'!$B$17)</x:f>
        <x:v>348530430457.1936</x:v>
      </x:c>
      <x:c r="V2128" s="78" t="n">
        <x:f>P2128-T2128</x:f>
        <x:v>0.3483659099093156</x:v>
      </x:c>
      <x:c r="W2128" s="79" t="n">
        <x:f>IF(U2128&gt;0,V2128/U2128,0)</x:f>
        <x:v>9.995279593013953e-13</x:v>
      </x:c>
      <x:c r="X2128" s="80" t="n">
        <x:f>W2128*('Inputs'!$B$6-AC2128)</x:f>
        <x:v>-0.023146939706962133</x:v>
      </x:c>
      <x:c r="Y2128" s="80" t="n">
        <x:f>2*V2128</x:f>
        <x:v>0.6967318198186312</x:v>
      </x:c>
      <x:c r="Z2128" s="80" t="n">
        <x:f>K2128*'Inputs'!$B$16+(G2128+R2128)*J2128*'Inputs'!$B$16</x:f>
        <x:v>0.003135305102904573</x:v>
      </x:c>
      <x:c r="AA2128" s="80" t="n">
        <x:f>K2128*(1+'Inputs'!$E$49)/2*'Inputs'!$B$17</x:f>
        <x:v>0.0010198662975804574</x:v>
      </x:c>
      <x:c r="AB2128" s="78" t="n">
        <x:f>(IF(J2128&gt;0,K2128*(1-'Inputs'!$E$49)/2/J2128,0)+G2128+R2128)*'Inputs'!$B$17</x:f>
        <x:v>3216.9702395268578</x:v>
      </x:c>
      <x:c r="AC2128" s="78" t="n">
        <x:f>AC2127+AB2128</x:f>
        <x:v>24157871164.64489</x:v>
      </x:c>
      <x:c r="AD2128" s="80" t="n">
        <x:f>Z2128/(1+'Inputs'!$C$49)</x:f>
        <x:v>0.0007838262757261433</x:v>
      </x:c>
      <x:c r="AE2128" s="80" t="n">
        <x:f>Z2128-AD2128</x:f>
        <x:v>0.0023514788271784296</x:v>
      </x:c>
      <x:c r="AF2128" s="80" t="n">
        <x:f>D2128*W2128</x:f>
        <x:v>2.6328272626037264e-7</x:v>
      </x:c>
      <x:c r="AG2128" s="80" t="n">
        <x:f>C2128*W2128</x:f>
        <x:v>6.143263612741978e-7</x:v>
      </x:c>
      <x:c r="AH2128" s="80" t="n">
        <x:f>2*'Inputs'!$B$8*'Inputs'!$C$49</x:f>
        <x:v>15000</x:v>
      </x:c>
      <x:c r="AI2128" s="81" t="n">
        <x:f>IF(AH2128&gt;0,(AE2128+AF2128)/AH2128*365,0)</x:f>
        <x:v>0.000057225724674347455</x:v>
      </x:c>
      <x:c r="AJ2128" s="81" t="n">
        <x:f>IF('Inputs'!$B$49&gt;0,AG2128/('Inputs'!$B$19*'Inputs'!$B$49)*365,0)</x:f>
        <x:v>2.2422912186508218e-8</x:v>
      </x:c>
      <x:c r="AK2128" s="81" t="n">
        <x:f>W2128/MAX($W$1829:W2128)-1</x:f>
        <x:v>-0.999999998712313</x:v>
      </x:c>
      <x:c r="AL2128" s="83" t="n">
        <x:f>'Inputs'!$B$49</x:f>
        <x:v>1</x:v>
      </x:c>
      <x:c r="AM2128" s="83" t="n">
        <x:f>'Inputs'!$C$49</x:f>
        <x:v>3</x:v>
      </x:c>
      <x:c r="AN2128" s="83" t="n">
        <x:f>'Inputs'!$D$49</x:f>
        <x:v>0.75</x:v>
      </x:c>
      <x:c r="AO2128" s="81" t="n">
        <x:f>'Inputs'!$E$49</x:f>
        <x:v>-0.03</x:v>
      </x:c>
    </x:row>
    <x:row r="2129">
      <x:c r="A2129" s="59" t="str">
        <x:v>Mercenary LP</x:v>
      </x:c>
      <x:c r="B2129" s="59" t="n">
        <x:v>301</x:v>
      </x:c>
      <x:c r="C2129" s="78" t="n">
        <x:f>(('Inputs'!$B$29*(3*301*'Inputs'!$B$12-301^2)/(2*'Inputs'!$B$12^2))-('Inputs'!$B$29*(3*300*'Inputs'!$B$12-300^2)/(2*'Inputs'!$B$12^2)))*'Inputs'!$B$49</x:f>
        <x:v>614291.3773691356</x:v>
      </x:c>
      <x:c r="D2129" s="78" t="n">
        <x:f>IF('Inputs'!$C$49&gt;0,('Inputs'!$B$30*(3*301*'Inputs'!$B$12-301^2)/(2*'Inputs'!$B$12^2))-('Inputs'!$B$30*(3*300*'Inputs'!$B$12-300^2)/(2*'Inputs'!$B$12^2)),0)</x:f>
        <x:v>263267.7331581861</x:v>
      </x:c>
      <x:c r="E2129" s="78" t="n">
        <x:f>C2129+D2129</x:f>
        <x:v>877559.1105273217</x:v>
      </x:c>
      <x:c r="F2129" s="78" t="n">
        <x:f>'Inputs'!$B$13*E2129+(1-'Inputs'!$B$13)/'Inputs'!$B$14*SUM(E2074:E2129)</x:f>
        <x:v>887776.7873897578</x:v>
      </x:c>
      <x:c r="G2129" s="78" t="n">
        <x:f>F2129*'Inputs'!$F$49</x:f>
        <x:v>798999.108650782</x:v>
      </x:c>
      <x:c r="H2129" s="78" t="n">
        <x:f>U2128</x:f>
        <x:v>348530430457.1936</x:v>
      </x:c>
      <x:c r="I2129" s="78" t="n">
        <x:f>V2128</x:f>
        <x:v>0.3483659099093156</x:v>
      </x:c>
      <x:c r="J2129" s="79" t="n">
        <x:f>IF(H2129&gt;0,I2129/H2129,0)</x:f>
        <x:v>9.995279593013953e-13</x:v>
      </x:c>
      <x:c r="K2129" s="80" t="n">
        <x:f>(H2129*J2129+I2129)*'Inputs'!$D$49*(1+'Inputs'!$G$49)^(B2129/30)</x:f>
        <x:v>0.5225488648639733</x:v>
      </x:c>
      <x:c r="L2129" s="80" t="n">
        <x:f>MAX(0,K2129*'Inputs'!$E$49)</x:f>
        <x:v>0</x:v>
      </x:c>
      <x:c r="M2129" s="80" t="n">
        <x:f>MAX(0,-K2129*'Inputs'!$E$49)</x:f>
        <x:v>0.0156764659459192</x:v>
      </x:c>
      <x:c r="N2129" s="78" t="n">
        <x:f>H2129*(L2129*(1-'Inputs'!$B$15))/(I2129+L2129*(1-'Inputs'!$B$15))</x:f>
        <x:v>0</x:v>
      </x:c>
      <x:c r="O2129" s="78" t="n">
        <x:f>H2129-N2129</x:f>
        <x:v>348530430457.1936</x:v>
      </x:c>
      <x:c r="P2129" s="78" t="n">
        <x:f>I2129+L2129*(1-'Inputs'!$B$17)</x:f>
        <x:v>0.3483659099093156</x:v>
      </x:c>
      <x:c r="Q2129" s="78" t="n">
        <x:f>IF(J2129&gt;0,M2129/J2129,0)</x:f>
        <x:v>0</x:v>
      </x:c>
      <x:c r="R2129" s="78" t="n">
        <x:f>IF(B2129='Inputs'!$H$49,'Inputs'!$B$27*'Inputs'!$I$49,0)</x:f>
        <x:v>0</x:v>
      </x:c>
      <x:c r="S2129" s="78" t="n">
        <x:f>Q2129+G2129+R2129</x:f>
        <x:v>798999.108650782</x:v>
      </x:c>
      <x:c r="T2129" s="78" t="n">
        <x:f>P2129*(S2129*(1-'Inputs'!$B$15))/(O2129+S2129*(1-'Inputs'!$B$15))</x:f>
        <x:v>7.906339346803073e-7</x:v>
      </x:c>
      <x:c r="U2129" s="78" t="n">
        <x:f>O2129+S2129*(1-'Inputs'!$B$17)</x:f>
        <x:v>348531226241.0141</x:v>
      </x:c>
      <x:c r="V2129" s="78" t="n">
        <x:f>P2129-T2129</x:f>
        <x:v>0.34836511927538094</x:v>
      </x:c>
      <x:c r="W2129" s="79" t="n">
        <x:f>IF(U2129&gt;0,V2129/U2129,0)</x:f>
        <x:v>9.995234086557332e-13</x:v>
      </x:c>
      <x:c r="X2129" s="80" t="n">
        <x:f>W2129*('Inputs'!$B$6-AC2129)</x:f>
        <x:v>-0.023146837537451958</x:v>
      </x:c>
      <x:c r="Y2129" s="80" t="n">
        <x:f>2*V2129</x:f>
        <x:v>0.6967302385507619</x:v>
      </x:c>
      <x:c r="Z2129" s="80" t="n">
        <x:f>K2129*'Inputs'!$B$16+(G2129+R2129)*J2129*'Inputs'!$B$16</x:f>
        <x:v>0.003135297980915531</x:v>
      </x:c>
      <x:c r="AA2129" s="80" t="n">
        <x:f>K2129*(1+'Inputs'!$E$49)/2*'Inputs'!$B$17</x:f>
        <x:v>0.0010198639817264672</x:v>
      </x:c>
      <x:c r="AB2129" s="78" t="n">
        <x:f>(IF(J2129&gt;0,K2129*(1-'Inputs'!$E$49)/2/J2129,0)+G2129+R2129)*'Inputs'!$B$17</x:f>
        <x:v>3215.288163584636</x:v>
      </x:c>
      <x:c r="AC2129" s="78" t="n">
        <x:f>AC2128+AB2129</x:f>
        <x:v>24157874379.933052</x:v>
      </x:c>
      <x:c r="AD2129" s="80" t="n">
        <x:f>Z2129/(1+'Inputs'!$C$49)</x:f>
        <x:v>0.0007838244952288828</x:v>
      </x:c>
      <x:c r="AE2129" s="80" t="n">
        <x:f>Z2129-AD2129</x:f>
        <x:v>0.002351473485686648</x:v>
      </x:c>
      <x:c r="AF2129" s="80" t="n">
        <x:f>D2129*W2129</x:f>
        <x:v>2.631422620353381e-7</x:v>
      </x:c>
      <x:c r="AG2129" s="80" t="n">
        <x:f>C2129*W2129</x:f>
        <x:v>6.139986114158237e-7</x:v>
      </x:c>
      <x:c r="AH2129" s="80" t="n">
        <x:f>2*'Inputs'!$B$8*'Inputs'!$C$49</x:f>
        <x:v>15000</x:v>
      </x:c>
      <x:c r="AI2129" s="81" t="n">
        <x:f>IF(AH2129&gt;0,(AE2129+AF2129)/AH2129*365,0)</x:f>
        <x:v>0.000057225591280084636</x:v>
      </x:c>
      <x:c r="AJ2129" s="81" t="n">
        <x:f>IF('Inputs'!$B$49&gt;0,AG2129/('Inputs'!$B$19*'Inputs'!$B$49)*365,0)</x:f>
        <x:v>2.2410949316677566e-8</x:v>
      </x:c>
      <x:c r="AK2129" s="81" t="n">
        <x:f>W2129/MAX($W$1829:W2129)-1</x:f>
        <x:v>-0.9999999987123189</x:v>
      </x:c>
      <x:c r="AL2129" s="83" t="n">
        <x:f>'Inputs'!$B$49</x:f>
        <x:v>1</x:v>
      </x:c>
      <x:c r="AM2129" s="83" t="n">
        <x:f>'Inputs'!$C$49</x:f>
        <x:v>3</x:v>
      </x:c>
      <x:c r="AN2129" s="83" t="n">
        <x:f>'Inputs'!$D$49</x:f>
        <x:v>0.75</x:v>
      </x:c>
      <x:c r="AO2129" s="81" t="n">
        <x:f>'Inputs'!$E$49</x:f>
        <x:v>-0.03</x:v>
      </x:c>
    </x:row>
    <x:row r="2130">
      <x:c r="A2130" s="59" t="str">
        <x:v>Mercenary LP</x:v>
      </x:c>
      <x:c r="B2130" s="59" t="n">
        <x:v>302</x:v>
      </x:c>
      <x:c r="C2130" s="78" t="n">
        <x:f>(('Inputs'!$B$29*(3*302*'Inputs'!$B$12-302^2)/(2*'Inputs'!$B$12^2))-('Inputs'!$B$29*(3*301*'Inputs'!$B$12-301^2)/(2*'Inputs'!$B$12^2)))*'Inputs'!$B$49</x:f>
        <x:v>613966.2694689333</x:v>
      </x:c>
      <x:c r="D2130" s="78" t="n">
        <x:f>IF('Inputs'!$C$49&gt;0,('Inputs'!$B$30*(3*302*'Inputs'!$B$12-302^2)/(2*'Inputs'!$B$12^2))-('Inputs'!$B$30*(3*301*'Inputs'!$B$12-301^2)/(2*'Inputs'!$B$12^2)),0)</x:f>
        <x:v>263128.40120097995</x:v>
      </x:c>
      <x:c r="E2130" s="78" t="n">
        <x:f>C2130+D2130</x:f>
        <x:v>877094.6706699133</x:v>
      </x:c>
      <x:c r="F2130" s="78" t="n">
        <x:f>'Inputs'!$B$13*E2130+(1-'Inputs'!$B$13)/'Inputs'!$B$14*SUM(E2075:E2130)</x:f>
        <x:v>887312.3475323691</x:v>
      </x:c>
      <x:c r="G2130" s="78" t="n">
        <x:f>F2130*'Inputs'!$F$49</x:f>
        <x:v>798581.1127791322</x:v>
      </x:c>
      <x:c r="H2130" s="78" t="n">
        <x:f>U2129</x:f>
        <x:v>348531226241.0141</x:v>
      </x:c>
      <x:c r="I2130" s="78" t="n">
        <x:f>V2129</x:f>
        <x:v>0.34836511927538094</x:v>
      </x:c>
      <x:c r="J2130" s="79" t="n">
        <x:f>IF(H2130&gt;0,I2130/H2130,0)</x:f>
        <x:v>9.995234086557332e-13</x:v>
      </x:c>
      <x:c r="K2130" s="80" t="n">
        <x:f>(H2130*J2130+I2130)*'Inputs'!$D$49*(1+'Inputs'!$G$49)^(B2130/30)</x:f>
        <x:v>0.5225476789130714</x:v>
      </x:c>
      <x:c r="L2130" s="80" t="n">
        <x:f>MAX(0,K2130*'Inputs'!$E$49)</x:f>
        <x:v>0</x:v>
      </x:c>
      <x:c r="M2130" s="80" t="n">
        <x:f>MAX(0,-K2130*'Inputs'!$E$49)</x:f>
        <x:v>0.015676430367392143</x:v>
      </x:c>
      <x:c r="N2130" s="78" t="n">
        <x:f>H2130*(L2130*(1-'Inputs'!$B$15))/(I2130+L2130*(1-'Inputs'!$B$15))</x:f>
        <x:v>0</x:v>
      </x:c>
      <x:c r="O2130" s="78" t="n">
        <x:f>H2130-N2130</x:f>
        <x:v>348531226241.0141</x:v>
      </x:c>
      <x:c r="P2130" s="78" t="n">
        <x:f>I2130+L2130*(1-'Inputs'!$B$17)</x:f>
        <x:v>0.34836511927538094</x:v>
      </x:c>
      <x:c r="Q2130" s="78" t="n">
        <x:f>IF(J2130&gt;0,M2130/J2130,0)</x:f>
        <x:v>0</x:v>
      </x:c>
      <x:c r="R2130" s="78" t="n">
        <x:f>IF(B2130='Inputs'!$H$49,'Inputs'!$B$27*'Inputs'!$I$49,0)</x:f>
        <x:v>0</x:v>
      </x:c>
      <x:c r="S2130" s="78" t="n">
        <x:f>Q2130+G2130+R2130</x:f>
        <x:v>798581.1127791322</x:v>
      </x:c>
      <x:c r="T2130" s="78" t="n">
        <x:f>P2130*(S2130*(1-'Inputs'!$B$15))/(O2130+S2130*(1-'Inputs'!$B$15))</x:f>
        <x:v>7.902167182754725e-7</x:v>
      </x:c>
      <x:c r="U2130" s="78" t="n">
        <x:f>O2130+S2130*(1-'Inputs'!$B$17)</x:f>
        <x:v>348532021608.5208</x:v>
      </x:c>
      <x:c r="V2130" s="78" t="n">
        <x:f>P2130-T2130</x:f>
        <x:v>0.34836432905866266</x:v>
      </x:c>
      <x:c r="W2130" s="79" t="n">
        <x:f>IF(U2130&gt;0,V2130/U2130,0)</x:f>
        <x:v>9.995188604218223e-13</x:v>
      </x:c>
      <x:c r="X2130" s="80" t="n">
        <x:f>W2130*('Inputs'!$B$6-AC2130)</x:f>
        <x:v>-0.023146735422082294</x:v>
      </x:c>
      <x:c r="Y2130" s="80" t="n">
        <x:f>2*V2130</x:f>
        <x:v>0.6967286581173253</x:v>
      </x:c>
      <x:c r="Z2130" s="80" t="n">
        <x:f>K2130*'Inputs'!$B$16+(G2130+R2130)*J2130*'Inputs'!$B$16</x:f>
        <x:v>0.003135290862681524</x:v>
      </x:c>
      <x:c r="AA2130" s="80" t="n">
        <x:f>K2130*(1+'Inputs'!$E$49)/2*'Inputs'!$B$17</x:f>
        <x:v>0.0010198616670939221</x:v>
      </x:c>
      <x:c r="AB2130" s="78" t="n">
        <x:f>(IF(J2130&gt;0,K2130*(1-'Inputs'!$E$49)/2/J2130,0)+G2130+R2130)*'Inputs'!$B$17</x:f>
        <x:v>3213.6060876423835</x:v>
      </x:c>
      <x:c r="AC2130" s="78" t="n">
        <x:f>AC2129+AB2130</x:f>
        <x:v>24157877593.53914</x:v>
      </x:c>
      <x:c r="AD2130" s="80" t="n">
        <x:f>Z2130/(1+'Inputs'!$C$49)</x:f>
        <x:v>0.000783822715670381</x:v>
      </x:c>
      <x:c r="AE2130" s="80" t="n">
        <x:f>Z2130-AD2130</x:f>
        <x:v>0.002351468147011143</x:v>
      </x:c>
      <x:c r="AF2130" s="80" t="n">
        <x:f>D2130*W2130</x:f>
        <x:v>2.6300179971301955e-7</x:v>
      </x:c>
      <x:c r="AG2130" s="80" t="n">
        <x:f>C2130*W2130</x:f>
        <x:v>6.136708659970258e-7</x:v>
      </x:c>
      <x:c r="AH2130" s="80" t="n">
        <x:f>2*'Inputs'!$B$8*'Inputs'!$C$49</x:f>
        <x:v>15000</x:v>
      </x:c>
      <x:c r="AI2130" s="81" t="n">
        <x:f>IF(AH2130&gt;0,(AE2130+AF2130)/AH2130*365,0)</x:f>
        <x:v>0.0000572254579543975</x:v>
      </x:c>
      <x:c r="AJ2130" s="81" t="n">
        <x:f>IF('Inputs'!$B$49&gt;0,AG2130/('Inputs'!$B$19*'Inputs'!$B$49)*365,0)</x:f>
        <x:v>2.239898660889144e-8</x:v>
      </x:c>
      <x:c r="AK2130" s="81" t="n">
        <x:f>W2130/MAX($W$1829:W2130)-1</x:f>
        <x:v>-0.9999999987123248</x:v>
      </x:c>
      <x:c r="AL2130" s="83" t="n">
        <x:f>'Inputs'!$B$49</x:f>
        <x:v>1</x:v>
      </x:c>
      <x:c r="AM2130" s="83" t="n">
        <x:f>'Inputs'!$C$49</x:f>
        <x:v>3</x:v>
      </x:c>
      <x:c r="AN2130" s="83" t="n">
        <x:f>'Inputs'!$D$49</x:f>
        <x:v>0.75</x:v>
      </x:c>
      <x:c r="AO2130" s="81" t="n">
        <x:f>'Inputs'!$E$49</x:f>
        <x:v>-0.03</x:v>
      </x:c>
    </x:row>
    <x:row r="2131">
      <x:c r="A2131" s="59" t="str">
        <x:v>Mercenary LP</x:v>
      </x:c>
      <x:c r="B2131" s="59" t="n">
        <x:v>303</x:v>
      </x:c>
      <x:c r="C2131" s="78" t="n">
        <x:f>(('Inputs'!$B$29*(3*303*'Inputs'!$B$12-303^2)/(2*'Inputs'!$B$12^2))-('Inputs'!$B$29*(3*302*'Inputs'!$B$12-302^2)/(2*'Inputs'!$B$12^2)))*'Inputs'!$B$49</x:f>
        <x:v>613641.1615687609</x:v>
      </x:c>
      <x:c r="D2131" s="78" t="n">
        <x:f>IF('Inputs'!$C$49&gt;0,('Inputs'!$B$30*(3*303*'Inputs'!$B$12-303^2)/(2*'Inputs'!$B$12^2))-('Inputs'!$B$30*(3*302*'Inputs'!$B$12-302^2)/(2*'Inputs'!$B$12^2)),0)</x:f>
        <x:v>262989.0692437589</x:v>
      </x:c>
      <x:c r="E2131" s="78" t="n">
        <x:f>C2131+D2131</x:f>
        <x:v>876630.2308125198</x:v>
      </x:c>
      <x:c r="F2131" s="78" t="n">
        <x:f>'Inputs'!$B$13*E2131+(1-'Inputs'!$B$13)/'Inputs'!$B$14*SUM(E2076:E2131)</x:f>
        <x:v>886847.9076749828</x:v>
      </x:c>
      <x:c r="G2131" s="78" t="n">
        <x:f>F2131*'Inputs'!$F$49</x:f>
        <x:v>798163.1169074845</x:v>
      </x:c>
      <x:c r="H2131" s="78" t="n">
        <x:f>U2130</x:f>
        <x:v>348532021608.5208</x:v>
      </x:c>
      <x:c r="I2131" s="78" t="n">
        <x:f>V2130</x:f>
        <x:v>0.34836432905866266</x:v>
      </x:c>
      <x:c r="J2131" s="79" t="n">
        <x:f>IF(H2131&gt;0,I2131/H2131,0)</x:f>
        <x:v>9.995188604218223e-13</x:v>
      </x:c>
      <x:c r="K2131" s="80" t="n">
        <x:f>(H2131*J2131+I2131)*'Inputs'!$D$49*(1+'Inputs'!$G$49)^(B2131/30)</x:f>
        <x:v>0.522546493587994</x:v>
      </x:c>
      <x:c r="L2131" s="80" t="n">
        <x:f>MAX(0,K2131*'Inputs'!$E$49)</x:f>
        <x:v>0</x:v>
      </x:c>
      <x:c r="M2131" s="80" t="n">
        <x:f>MAX(0,-K2131*'Inputs'!$E$49)</x:f>
        <x:v>0.01567639480763982</x:v>
      </x:c>
      <x:c r="N2131" s="78" t="n">
        <x:f>H2131*(L2131*(1-'Inputs'!$B$15))/(I2131+L2131*(1-'Inputs'!$B$15))</x:f>
        <x:v>0</x:v>
      </x:c>
      <x:c r="O2131" s="78" t="n">
        <x:f>H2131-N2131</x:f>
        <x:v>348532021608.5208</x:v>
      </x:c>
      <x:c r="P2131" s="78" t="n">
        <x:f>I2131+L2131*(1-'Inputs'!$B$17)</x:f>
        <x:v>0.34836432905866266</x:v>
      </x:c>
      <x:c r="Q2131" s="78" t="n">
        <x:f>IF(J2131&gt;0,M2131/J2131,0)</x:f>
        <x:v>0</x:v>
      </x:c>
      <x:c r="R2131" s="78" t="n">
        <x:f>IF(B2131='Inputs'!$H$49,'Inputs'!$B$27*'Inputs'!$I$49,0)</x:f>
        <x:v>0</x:v>
      </x:c>
      <x:c r="S2131" s="78" t="n">
        <x:f>Q2131+G2131+R2131</x:f>
        <x:v>798163.1169074845</x:v>
      </x:c>
      <x:c r="T2131" s="78" t="n">
        <x:f>P2131*(S2131*(1-'Inputs'!$B$15))/(O2131+S2131*(1-'Inputs'!$B$15))</x:f>
        <x:v>7.897995075416057e-7</x:v>
      </x:c>
      <x:c r="U2131" s="78" t="n">
        <x:f>O2131+S2131*(1-'Inputs'!$B$17)</x:f>
        <x:v>348532816559.7137</x:v>
      </x:c>
      <x:c r="V2131" s="78" t="n">
        <x:f>P2131-T2131</x:f>
        <x:v>0.34836353925915514</x:v>
      </x:c>
      <x:c r="W2131" s="79" t="n">
        <x:f>IF(U2131&gt;0,V2131/U2131,0)</x:f>
        <x:v>9.995143145996137e-13</x:v>
      </x:c>
      <x:c r="X2131" s="80" t="n">
        <x:f>W2131*('Inputs'!$B$6-AC2131)</x:f>
        <x:v>-0.02314663336085205</x:v>
      </x:c>
      <x:c r="Y2131" s="80" t="n">
        <x:f>2*V2131</x:f>
        <x:v>0.6967270785183103</x:v>
      </x:c>
      <x:c r="Z2131" s="80" t="n">
        <x:f>K2131*'Inputs'!$B$16+(G2131+R2131)*J2131*'Inputs'!$B$16</x:f>
        <x:v>0.003135283748202498</x:v>
      </x:c>
      <x:c r="AA2131" s="80" t="n">
        <x:f>K2131*(1+'Inputs'!$E$49)/2*'Inputs'!$B$17</x:f>
        <x:v>0.0010198593536828052</x:v>
      </x:c>
      <x:c r="AB2131" s="78" t="n">
        <x:f>(IF(J2131&gt;0,K2131*(1-'Inputs'!$E$49)/2/J2131,0)+G2131+R2131)*'Inputs'!$B$17</x:f>
        <x:v>3211.924011700139</x:v>
      </x:c>
      <x:c r="AC2131" s="78" t="n">
        <x:f>AC2130+AB2131</x:f>
        <x:v>24157880805.46315</x:v>
      </x:c>
      <x:c r="AD2131" s="80" t="n">
        <x:f>Z2131/(1+'Inputs'!$C$49)</x:f>
        <x:v>0.0007838209370506246</x:v>
      </x:c>
      <x:c r="AE2131" s="80" t="n">
        <x:f>Z2131-AD2131</x:f>
        <x:v>0.0023514628111518734</x:v>
      </x:c>
      <x:c r="AF2131" s="80" t="n">
        <x:f>D2131*W2131</x:f>
        <x:v>2.628613392923661e-7</x:v>
      </x:c>
      <x:c r="AG2131" s="80" t="n">
        <x:f>C2131*W2131</x:f>
        <x:v>6.133431250155108e-7</x:v>
      </x:c>
      <x:c r="AH2131" s="80" t="n">
        <x:f>2*'Inputs'!$B$8*'Inputs'!$C$49</x:f>
        <x:v>15000</x:v>
      </x:c>
      <x:c r="AI2131" s="81" t="n">
        <x:f>IF(AH2131&gt;0,(AE2131+AF2131)/AH2131*365,0)</x:f>
        <x:v>0.00005722532469728504</x:v>
      </x:c>
      <x:c r="AJ2131" s="81" t="n">
        <x:f>IF('Inputs'!$B$49&gt;0,AG2131/('Inputs'!$B$19*'Inputs'!$B$49)*365,0)</x:f>
        <x:v>2.2387024063066144e-8</x:v>
      </x:c>
      <x:c r="AK2131" s="81" t="n">
        <x:f>W2131/MAX($W$1829:W2131)-1</x:f>
        <x:v>-0.9999999987123307</x:v>
      </x:c>
      <x:c r="AL2131" s="83" t="n">
        <x:f>'Inputs'!$B$49</x:f>
        <x:v>1</x:v>
      </x:c>
      <x:c r="AM2131" s="83" t="n">
        <x:f>'Inputs'!$C$49</x:f>
        <x:v>3</x:v>
      </x:c>
      <x:c r="AN2131" s="83" t="n">
        <x:f>'Inputs'!$D$49</x:f>
        <x:v>0.75</x:v>
      </x:c>
      <x:c r="AO2131" s="81" t="n">
        <x:f>'Inputs'!$E$49</x:f>
        <x:v>-0.03</x:v>
      </x:c>
    </x:row>
    <x:row r="2132">
      <x:c r="A2132" s="59" t="str">
        <x:v>Mercenary LP</x:v>
      </x:c>
      <x:c r="B2132" s="59" t="n">
        <x:v>304</x:v>
      </x:c>
      <x:c r="C2132" s="78" t="n">
        <x:f>(('Inputs'!$B$29*(3*304*'Inputs'!$B$12-304^2)/(2*'Inputs'!$B$12^2))-('Inputs'!$B$29*(3*303*'Inputs'!$B$12-303^2)/(2*'Inputs'!$B$12^2)))*'Inputs'!$B$49</x:f>
        <x:v>613316.0536686182</x:v>
      </x:c>
      <x:c r="D2132" s="78" t="n">
        <x:f>IF('Inputs'!$C$49&gt;0,('Inputs'!$B$30*(3*304*'Inputs'!$B$12-304^2)/(2*'Inputs'!$B$12^2))-('Inputs'!$B$30*(3*303*'Inputs'!$B$12-303^2)/(2*'Inputs'!$B$12^2)),0)</x:f>
        <x:v>262849.7372865379</x:v>
      </x:c>
      <x:c r="E2132" s="78" t="n">
        <x:f>C2132+D2132</x:f>
        <x:v>876165.7909551561</x:v>
      </x:c>
      <x:c r="F2132" s="78" t="n">
        <x:f>'Inputs'!$B$13*E2132+(1-'Inputs'!$B$13)/'Inputs'!$B$14*SUM(E2077:E2132)</x:f>
        <x:v>886383.4678176027</x:v>
      </x:c>
      <x:c r="G2132" s="78" t="n">
        <x:f>F2132*'Inputs'!$F$49</x:f>
        <x:v>797745.1210358425</x:v>
      </x:c>
      <x:c r="H2132" s="78" t="n">
        <x:f>U2131</x:f>
        <x:v>348532816559.7137</x:v>
      </x:c>
      <x:c r="I2132" s="78" t="n">
        <x:f>V2131</x:f>
        <x:v>0.34836353925915514</x:v>
      </x:c>
      <x:c r="J2132" s="79" t="n">
        <x:f>IF(H2132&gt;0,I2132/H2132,0)</x:f>
        <x:v>9.995143145996137e-13</x:v>
      </x:c>
      <x:c r="K2132" s="80" t="n">
        <x:f>(H2132*J2132+I2132)*'Inputs'!$D$49*(1+'Inputs'!$G$49)^(B2132/30)</x:f>
        <x:v>0.5225453088887327</x:v>
      </x:c>
      <x:c r="L2132" s="80" t="n">
        <x:f>MAX(0,K2132*'Inputs'!$E$49)</x:f>
        <x:v>0</x:v>
      </x:c>
      <x:c r="M2132" s="80" t="n">
        <x:f>MAX(0,-K2132*'Inputs'!$E$49)</x:f>
        <x:v>0.01567635926666198</x:v>
      </x:c>
      <x:c r="N2132" s="78" t="n">
        <x:f>H2132*(L2132*(1-'Inputs'!$B$15))/(I2132+L2132*(1-'Inputs'!$B$15))</x:f>
        <x:v>0</x:v>
      </x:c>
      <x:c r="O2132" s="78" t="n">
        <x:f>H2132-N2132</x:f>
        <x:v>348532816559.7137</x:v>
      </x:c>
      <x:c r="P2132" s="78" t="n">
        <x:f>I2132+L2132*(1-'Inputs'!$B$17)</x:f>
        <x:v>0.34836353925915514</x:v>
      </x:c>
      <x:c r="Q2132" s="78" t="n">
        <x:f>IF(J2132&gt;0,M2132/J2132,0)</x:f>
        <x:v>0</x:v>
      </x:c>
      <x:c r="R2132" s="78" t="n">
        <x:f>IF(B2132='Inputs'!$H$49,'Inputs'!$B$27*'Inputs'!$I$49,0)</x:f>
        <x:v>0</x:v>
      </x:c>
      <x:c r="S2132" s="78" t="n">
        <x:f>Q2132+G2132+R2132</x:f>
        <x:v>797745.1210358425</x:v>
      </x:c>
      <x:c r="T2132" s="78" t="n">
        <x:f>P2132*(S2132*(1-'Inputs'!$B$15))/(O2132+S2132*(1-'Inputs'!$B$15))</x:f>
        <x:v>7.89382302475678e-7</x:v>
      </x:c>
      <x:c r="U2132" s="78" t="n">
        <x:f>O2132+S2132*(1-'Inputs'!$B$17)</x:f>
        <x:v>348533611094.5928</x:v>
      </x:c>
      <x:c r="V2132" s="78" t="n">
        <x:f>P2132-T2132</x:f>
        <x:v>0.3483627498768527</x:v>
      </x:c>
      <x:c r="W2132" s="79" t="n">
        <x:f>IF(U2132&gt;0,V2132/U2132,0)</x:f>
        <x:v>9.995097711890583e-13</x:v>
      </x:c>
      <x:c r="X2132" s="80" t="n">
        <x:f>W2132*('Inputs'!$B$6-AC2132)</x:f>
        <x:v>-0.02314653135376014</x:v>
      </x:c>
      <x:c r="Y2132" s="80" t="n">
        <x:f>2*V2132</x:f>
        <x:v>0.6967254997537053</x:v>
      </x:c>
      <x:c r="Z2132" s="80" t="n">
        <x:f>K2132*'Inputs'!$B$16+(G2132+R2132)*J2132*'Inputs'!$B$16</x:f>
        <x:v>0.0031352766374784036</x:v>
      </x:c>
      <x:c r="AA2132" s="80" t="n">
        <x:f>K2132*(1+'Inputs'!$E$49)/2*'Inputs'!$B$17</x:f>
        <x:v>0.0010198570414931</x:v>
      </x:c>
      <x:c r="AB2132" s="78" t="n">
        <x:f>(IF(J2132&gt;0,K2132*(1-'Inputs'!$E$49)/2/J2132,0)+G2132+R2132)*'Inputs'!$B$17</x:f>
        <x:v>3210.2419357579174</x:v>
      </x:c>
      <x:c r="AC2132" s="78" t="n">
        <x:f>AC2131+AB2132</x:f>
        <x:v>24157884015.705086</x:v>
      </x:c>
      <x:c r="AD2132" s="80" t="n">
        <x:f>Z2132/(1+'Inputs'!$C$49)</x:f>
        <x:v>0.0007838191593696009</x:v>
      </x:c>
      <x:c r="AE2132" s="80" t="n">
        <x:f>Z2132-AD2132</x:f>
        <x:v>0.002351457478108803</x:v>
      </x:c>
      <x:c r="AF2132" s="80" t="n">
        <x:f>D2132*W2132</x:f>
        <x:v>2.627208807723716e-7</x:v>
      </x:c>
      <x:c r="AG2132" s="80" t="n">
        <x:f>C2132*W2132</x:f>
        <x:v>6.130153884688968e-7</x:v>
      </x:c>
      <x:c r="AH2132" s="80" t="n">
        <x:f>2*'Inputs'!$B$8*'Inputs'!$C$49</x:f>
        <x:v>15000</x:v>
      </x:c>
      <x:c r="AI2132" s="81" t="n">
        <x:f>IF(AH2132&gt;0,(AE2132+AF2132)/AH2132*365,0)</x:f>
        <x:v>0.00005722519150874632</x:v>
      </x:c>
      <x:c r="AJ2132" s="81" t="n">
        <x:f>IF('Inputs'!$B$49&gt;0,AG2132/('Inputs'!$B$19*'Inputs'!$B$49)*365,0)</x:f>
        <x:v>2.2375061679114733e-8</x:v>
      </x:c>
      <x:c r="AK2132" s="81" t="n">
        <x:f>W2132/MAX($W$1829:W2132)-1</x:f>
        <x:v>-0.9999999987123365</x:v>
      </x:c>
      <x:c r="AL2132" s="83" t="n">
        <x:f>'Inputs'!$B$49</x:f>
        <x:v>1</x:v>
      </x:c>
      <x:c r="AM2132" s="83" t="n">
        <x:f>'Inputs'!$C$49</x:f>
        <x:v>3</x:v>
      </x:c>
      <x:c r="AN2132" s="83" t="n">
        <x:f>'Inputs'!$D$49</x:f>
        <x:v>0.75</x:v>
      </x:c>
      <x:c r="AO2132" s="81" t="n">
        <x:f>'Inputs'!$E$49</x:f>
        <x:v>-0.03</x:v>
      </x:c>
    </x:row>
    <x:row r="2133">
      <x:c r="A2133" s="59" t="str">
        <x:v>Mercenary LP</x:v>
      </x:c>
      <x:c r="B2133" s="59" t="n">
        <x:v>305</x:v>
      </x:c>
      <x:c r="C2133" s="78" t="n">
        <x:f>(('Inputs'!$B$29*(3*305*'Inputs'!$B$12-305^2)/(2*'Inputs'!$B$12^2))-('Inputs'!$B$29*(3*304*'Inputs'!$B$12-304^2)/(2*'Inputs'!$B$12^2)))*'Inputs'!$B$49</x:f>
        <x:v>612990.9457684457</x:v>
      </x:c>
      <x:c r="D2133" s="78" t="n">
        <x:f>IF('Inputs'!$C$49&gt;0,('Inputs'!$B$30*(3*305*'Inputs'!$B$12-305^2)/(2*'Inputs'!$B$12^2))-('Inputs'!$B$30*(3*304*'Inputs'!$B$12-304^2)/(2*'Inputs'!$B$12^2)),0)</x:f>
        <x:v>262710.40532933176</x:v>
      </x:c>
      <x:c r="E2133" s="78" t="n">
        <x:f>C2133+D2133</x:f>
        <x:v>875701.3510977775</x:v>
      </x:c>
      <x:c r="F2133" s="78" t="n">
        <x:f>'Inputs'!$B$13*E2133+(1-'Inputs'!$B$13)/'Inputs'!$B$14*SUM(E2078:E2133)</x:f>
        <x:v>885919.0279602198</x:v>
      </x:c>
      <x:c r="G2133" s="78" t="n">
        <x:f>F2133*'Inputs'!$F$49</x:f>
        <x:v>797327.1251641978</x:v>
      </x:c>
      <x:c r="H2133" s="78" t="n">
        <x:f>U2132</x:f>
        <x:v>348533611094.5928</x:v>
      </x:c>
      <x:c r="I2133" s="78" t="n">
        <x:f>V2132</x:f>
        <x:v>0.3483627498768527</x:v>
      </x:c>
      <x:c r="J2133" s="79" t="n">
        <x:f>IF(H2133&gt;0,I2133/H2133,0)</x:f>
        <x:v>9.995097711890583e-13</x:v>
      </x:c>
      <x:c r="K2133" s="80" t="n">
        <x:f>(H2133*J2133+I2133)*'Inputs'!$D$49*(1+'Inputs'!$G$49)^(B2133/30)</x:f>
        <x:v>0.522544124815279</x:v>
      </x:c>
      <x:c r="L2133" s="80" t="n">
        <x:f>MAX(0,K2133*'Inputs'!$E$49)</x:f>
        <x:v>0</x:v>
      </x:c>
      <x:c r="M2133" s="80" t="n">
        <x:f>MAX(0,-K2133*'Inputs'!$E$49)</x:f>
        <x:v>0.01567632374445837</x:v>
      </x:c>
      <x:c r="N2133" s="78" t="n">
        <x:f>H2133*(L2133*(1-'Inputs'!$B$15))/(I2133+L2133*(1-'Inputs'!$B$15))</x:f>
        <x:v>0</x:v>
      </x:c>
      <x:c r="O2133" s="78" t="n">
        <x:f>H2133-N2133</x:f>
        <x:v>348533611094.5928</x:v>
      </x:c>
      <x:c r="P2133" s="78" t="n">
        <x:f>I2133+L2133*(1-'Inputs'!$B$17)</x:f>
        <x:v>0.3483627498768527</x:v>
      </x:c>
      <x:c r="Q2133" s="78" t="n">
        <x:f>IF(J2133&gt;0,M2133/J2133,0)</x:f>
        <x:v>0</x:v>
      </x:c>
      <x:c r="R2133" s="78" t="n">
        <x:f>IF(B2133='Inputs'!$H$49,'Inputs'!$B$27*'Inputs'!$I$49,0)</x:f>
        <x:v>0</x:v>
      </x:c>
      <x:c r="S2133" s="78" t="n">
        <x:f>Q2133+G2133+R2133</x:f>
        <x:v>797327.1251641978</x:v>
      </x:c>
      <x:c r="T2133" s="78" t="n">
        <x:f>P2133*(S2133*(1-'Inputs'!$B$15))/(O2133+S2133*(1-'Inputs'!$B$15))</x:f>
        <x:v>7.889651030746479e-7</x:v>
      </x:c>
      <x:c r="U2133" s="78" t="n">
        <x:f>O2133+S2133*(1-'Inputs'!$B$17)</x:f>
        <x:v>348534405213.1581</x:v>
      </x:c>
      <x:c r="V2133" s="78" t="n">
        <x:f>P2133-T2133</x:f>
        <x:v>0.3483619609117496</x:v>
      </x:c>
      <x:c r="W2133" s="79" t="n">
        <x:f>IF(U2133&gt;0,V2133/U2133,0)</x:f>
        <x:v>9.99505230190107e-13</x:v>
      </x:c>
      <x:c r="X2133" s="80" t="n">
        <x:f>W2133*('Inputs'!$B$6-AC2133)</x:f>
        <x:v>-0.023146429400805472</x:v>
      </x:c>
      <x:c r="Y2133" s="80" t="n">
        <x:f>2*V2133</x:f>
        <x:v>0.6967239218234992</x:v>
      </x:c>
      <x:c r="Z2133" s="80" t="n">
        <x:f>K2133*'Inputs'!$B$16+(G2133+R2133)*J2133*'Inputs'!$B$16</x:f>
        <x:v>0.0031352695305091887</x:v>
      </x:c>
      <x:c r="AA2133" s="80" t="n">
        <x:f>K2133*(1+'Inputs'!$E$49)/2*'Inputs'!$B$17</x:f>
        <x:v>0.0010198547305247901</x:v>
      </x:c>
      <x:c r="AB2133" s="78" t="n">
        <x:f>(IF(J2133&gt;0,K2133*(1-'Inputs'!$E$49)/2/J2133,0)+G2133+R2133)*'Inputs'!$B$17</x:f>
        <x:v>3208.5598598156853</x:v>
      </x:c>
      <x:c r="AC2133" s="78" t="n">
        <x:f>AC2132+AB2133</x:f>
        <x:v>24157887224.264946</x:v>
      </x:c>
      <x:c r="AD2133" s="80" t="n">
        <x:f>Z2133/(1+'Inputs'!$C$49)</x:f>
        <x:v>0.0007838173826272972</x:v>
      </x:c>
      <x:c r="AE2133" s="80" t="n">
        <x:f>Z2133-AD2133</x:f>
        <x:v>0.0023514521478818916</x:v>
      </x:c>
      <x:c r="AF2133" s="80" t="n">
        <x:f>D2133*W2133</x:f>
        <x:v>2.6258042415203004e-7</x:v>
      </x:c>
      <x:c r="AG2133" s="80" t="n">
        <x:f>C2133*W2133</x:f>
        <x:v>6.126876563547417e-7</x:v>
      </x:c>
      <x:c r="AH2133" s="80" t="n">
        <x:f>2*'Inputs'!$B$8*'Inputs'!$C$49</x:f>
        <x:v>15000</x:v>
      </x:c>
      <x:c r="AI2133" s="81" t="n">
        <x:f>IF(AH2133&gt;0,(AE2133+AF2133)/AH2133*365,0)</x:f>
        <x:v>0.00005722505838878039</x:v>
      </x:c>
      <x:c r="AJ2133" s="81" t="n">
        <x:f>IF('Inputs'!$B$49&gt;0,AG2133/('Inputs'!$B$19*'Inputs'!$B$49)*365,0)</x:f>
        <x:v>2.236309945694807e-8</x:v>
      </x:c>
      <x:c r="AK2133" s="81" t="n">
        <x:f>W2133/MAX($W$1829:W2133)-1</x:f>
        <x:v>-0.9999999987123424</x:v>
      </x:c>
      <x:c r="AL2133" s="83" t="n">
        <x:f>'Inputs'!$B$49</x:f>
        <x:v>1</x:v>
      </x:c>
      <x:c r="AM2133" s="83" t="n">
        <x:f>'Inputs'!$C$49</x:f>
        <x:v>3</x:v>
      </x:c>
      <x:c r="AN2133" s="83" t="n">
        <x:f>'Inputs'!$D$49</x:f>
        <x:v>0.75</x:v>
      </x:c>
      <x:c r="AO2133" s="81" t="n">
        <x:f>'Inputs'!$E$49</x:f>
        <x:v>-0.03</x:v>
      </x:c>
    </x:row>
    <x:row r="2134">
      <x:c r="A2134" s="59" t="str">
        <x:v>Mercenary LP</x:v>
      </x:c>
      <x:c r="B2134" s="59" t="n">
        <x:v>306</x:v>
      </x:c>
      <x:c r="C2134" s="78" t="n">
        <x:f>(('Inputs'!$B$29*(3*306*'Inputs'!$B$12-306^2)/(2*'Inputs'!$B$12^2))-('Inputs'!$B$29*(3*305*'Inputs'!$B$12-305^2)/(2*'Inputs'!$B$12^2)))*'Inputs'!$B$49</x:f>
        <x:v>612665.8378682733</x:v>
      </x:c>
      <x:c r="D2134" s="78" t="n">
        <x:f>IF('Inputs'!$C$49&gt;0,('Inputs'!$B$30*(3*306*'Inputs'!$B$12-306^2)/(2*'Inputs'!$B$12^2))-('Inputs'!$B$30*(3*305*'Inputs'!$B$12-305^2)/(2*'Inputs'!$B$12^2)),0)</x:f>
        <x:v>262571.0733721107</x:v>
      </x:c>
      <x:c r="E2134" s="78" t="n">
        <x:f>C2134+D2134</x:f>
        <x:v>875236.911240384</x:v>
      </x:c>
      <x:c r="F2134" s="78" t="n">
        <x:f>'Inputs'!$B$13*E2134+(1-'Inputs'!$B$13)/'Inputs'!$B$14*SUM(E2079:E2134)</x:f>
        <x:v>885454.5881028338</x:v>
      </x:c>
      <x:c r="G2134" s="78" t="n">
        <x:f>F2134*'Inputs'!$F$49</x:f>
        <x:v>796909.1292925505</x:v>
      </x:c>
      <x:c r="H2134" s="78" t="n">
        <x:f>U2133</x:f>
        <x:v>348534405213.1581</x:v>
      </x:c>
      <x:c r="I2134" s="78" t="n">
        <x:f>V2133</x:f>
        <x:v>0.3483619609117496</x:v>
      </x:c>
      <x:c r="J2134" s="79" t="n">
        <x:f>IF(H2134&gt;0,I2134/H2134,0)</x:f>
        <x:v>9.99505230190107e-13</x:v>
      </x:c>
      <x:c r="K2134" s="80" t="n">
        <x:f>(H2134*J2134+I2134)*'Inputs'!$D$49*(1+'Inputs'!$G$49)^(B2134/30)</x:f>
        <x:v>0.5225429413676244</x:v>
      </x:c>
      <x:c r="L2134" s="80" t="n">
        <x:f>MAX(0,K2134*'Inputs'!$E$49)</x:f>
        <x:v>0</x:v>
      </x:c>
      <x:c r="M2134" s="80" t="n">
        <x:f>MAX(0,-K2134*'Inputs'!$E$49)</x:f>
        <x:v>0.01567628824102873</x:v>
      </x:c>
      <x:c r="N2134" s="78" t="n">
        <x:f>H2134*(L2134*(1-'Inputs'!$B$15))/(I2134+L2134*(1-'Inputs'!$B$15))</x:f>
        <x:v>0</x:v>
      </x:c>
      <x:c r="O2134" s="78" t="n">
        <x:f>H2134-N2134</x:f>
        <x:v>348534405213.1581</x:v>
      </x:c>
      <x:c r="P2134" s="78" t="n">
        <x:f>I2134+L2134*(1-'Inputs'!$B$17)</x:f>
        <x:v>0.3483619609117496</x:v>
      </x:c>
      <x:c r="Q2134" s="78" t="n">
        <x:f>IF(J2134&gt;0,M2134/J2134,0)</x:f>
        <x:v>0</x:v>
      </x:c>
      <x:c r="R2134" s="78" t="n">
        <x:f>IF(B2134='Inputs'!$H$49,'Inputs'!$B$27*'Inputs'!$I$49,0)</x:f>
        <x:v>0</x:v>
      </x:c>
      <x:c r="S2134" s="78" t="n">
        <x:f>Q2134+G2134+R2134</x:f>
        <x:v>796909.1292925505</x:v>
      </x:c>
      <x:c r="T2134" s="78" t="n">
        <x:f>P2134*(S2134*(1-'Inputs'!$B$15))/(O2134+S2134*(1-'Inputs'!$B$15))</x:f>
        <x:v>7.885479093354835e-7</x:v>
      </x:c>
      <x:c r="U2134" s="78" t="n">
        <x:f>O2134+S2134*(1-'Inputs'!$B$17)</x:f>
        <x:v>348535198915.4096</x:v>
      </x:c>
      <x:c r="V2134" s="78" t="n">
        <x:f>P2134-T2134</x:f>
        <x:v>0.34836117236384023</x:v>
      </x:c>
      <x:c r="W2134" s="79" t="n">
        <x:f>IF(U2134&gt;0,V2134/U2134,0)</x:f>
        <x:v>9.995006916027107e-13</x:v>
      </x:c>
      <x:c r="X2134" s="80" t="n">
        <x:f>W2134*('Inputs'!$B$6-AC2134)</x:f>
        <x:v>-0.023146327501986957</x:v>
      </x:c>
      <x:c r="Y2134" s="80" t="n">
        <x:f>2*V2134</x:f>
        <x:v>0.6967223447276805</x:v>
      </x:c>
      <x:c r="Z2134" s="80" t="n">
        <x:f>K2134*'Inputs'!$B$16+(G2134+R2134)*J2134*'Inputs'!$B$16</x:f>
        <x:v>0.0031352624272948026</x:v>
      </x:c>
      <x:c r="AA2134" s="80" t="n">
        <x:f>K2134*(1+'Inputs'!$E$49)/2*'Inputs'!$B$17</x:f>
        <x:v>0.0010198524207778584</x:v>
      </x:c>
      <x:c r="AB2134" s="78" t="n">
        <x:f>(IF(J2134&gt;0,K2134*(1-'Inputs'!$E$49)/2/J2134,0)+G2134+R2134)*'Inputs'!$B$17</x:f>
        <x:v>3206.8777838734427</x:v>
      </x:c>
      <x:c r="AC2134" s="78" t="n">
        <x:f>AC2133+AB2134</x:f>
        <x:v>24157890431.14273</x:v>
      </x:c>
      <x:c r="AD2134" s="80" t="n">
        <x:f>Z2134/(1+'Inputs'!$C$49)</x:f>
        <x:v>0.0007838156068237007</x:v>
      </x:c>
      <x:c r="AE2134" s="80" t="n">
        <x:f>Z2134-AD2134</x:f>
        <x:v>0.0023514468204711017</x:v>
      </x:c>
      <x:c r="AF2134" s="80" t="n">
        <x:f>D2134*W2134</x:f>
        <x:v>2.624399694302908e-7</x:v>
      </x:c>
      <x:c r="AG2134" s="80" t="n">
        <x:f>C2134*W2134</x:f>
        <x:v>6.123599286706934e-7</x:v>
      </x:c>
      <x:c r="AH2134" s="80" t="n">
        <x:f>2*'Inputs'!$B$8*'Inputs'!$C$49</x:f>
        <x:v>15000</x:v>
      </x:c>
      <x:c r="AI2134" s="81" t="n">
        <x:f>IF(AH2134&gt;0,(AE2134+AF2134)/AH2134*365,0)</x:f>
        <x:v>0.00005722492533738628</x:v>
      </x:c>
      <x:c r="AJ2134" s="81" t="n">
        <x:f>IF('Inputs'!$B$49&gt;0,AG2134/('Inputs'!$B$19*'Inputs'!$B$49)*365,0)</x:f>
        <x:v>2.2351137396480304e-8</x:v>
      </x:c>
      <x:c r="AK2134" s="81" t="n">
        <x:f>W2134/MAX($W$1829:W2134)-1</x:f>
        <x:v>-0.9999999987123482</x:v>
      </x:c>
      <x:c r="AL2134" s="83" t="n">
        <x:f>'Inputs'!$B$49</x:f>
        <x:v>1</x:v>
      </x:c>
      <x:c r="AM2134" s="83" t="n">
        <x:f>'Inputs'!$C$49</x:f>
        <x:v>3</x:v>
      </x:c>
      <x:c r="AN2134" s="83" t="n">
        <x:f>'Inputs'!$D$49</x:f>
        <x:v>0.75</x:v>
      </x:c>
      <x:c r="AO2134" s="81" t="n">
        <x:f>'Inputs'!$E$49</x:f>
        <x:v>-0.03</x:v>
      </x:c>
    </x:row>
    <x:row r="2135">
      <x:c r="A2135" s="59" t="str">
        <x:v>Mercenary LP</x:v>
      </x:c>
      <x:c r="B2135" s="59" t="n">
        <x:v>307</x:v>
      </x:c>
      <x:c r="C2135" s="78" t="n">
        <x:f>(('Inputs'!$B$29*(3*307*'Inputs'!$B$12-307^2)/(2*'Inputs'!$B$12^2))-('Inputs'!$B$29*(3*306*'Inputs'!$B$12-306^2)/(2*'Inputs'!$B$12^2)))*'Inputs'!$B$49</x:f>
        <x:v>612340.7299681008</x:v>
      </x:c>
      <x:c r="D2135" s="78" t="n">
        <x:f>IF('Inputs'!$C$49&gt;0,('Inputs'!$B$30*(3*307*'Inputs'!$B$12-307^2)/(2*'Inputs'!$B$12^2))-('Inputs'!$B$30*(3*306*'Inputs'!$B$12-306^2)/(2*'Inputs'!$B$12^2)),0)</x:f>
        <x:v>262431.7414149046</x:v>
      </x:c>
      <x:c r="E2135" s="78" t="n">
        <x:f>C2135+D2135</x:f>
        <x:v>874772.4713830054</x:v>
      </x:c>
      <x:c r="F2135" s="78" t="n">
        <x:f>'Inputs'!$B$13*E2135+(1-'Inputs'!$B$13)/'Inputs'!$B$14*SUM(E2080:E2135)</x:f>
        <x:v>884990.1482454509</x:v>
      </x:c>
      <x:c r="G2135" s="78" t="n">
        <x:f>F2135*'Inputs'!$F$49</x:f>
        <x:v>796491.1334209058</x:v>
      </x:c>
      <x:c r="H2135" s="78" t="n">
        <x:f>U2134</x:f>
        <x:v>348535198915.4096</x:v>
      </x:c>
      <x:c r="I2135" s="78" t="n">
        <x:f>V2134</x:f>
        <x:v>0.34836117236384023</x:v>
      </x:c>
      <x:c r="J2135" s="79" t="n">
        <x:f>IF(H2135&gt;0,I2135/H2135,0)</x:f>
        <x:v>9.995006916027107e-13</x:v>
      </x:c>
      <x:c r="K2135" s="80" t="n">
        <x:f>(H2135*J2135+I2135)*'Inputs'!$D$49*(1+'Inputs'!$G$49)^(B2135/30)</x:f>
        <x:v>0.5225417585457603</x:v>
      </x:c>
      <x:c r="L2135" s="80" t="n">
        <x:f>MAX(0,K2135*'Inputs'!$E$49)</x:f>
        <x:v>0</x:v>
      </x:c>
      <x:c r="M2135" s="80" t="n">
        <x:f>MAX(0,-K2135*'Inputs'!$E$49)</x:f>
        <x:v>0.01567625275637281</x:v>
      </x:c>
      <x:c r="N2135" s="78" t="n">
        <x:f>H2135*(L2135*(1-'Inputs'!$B$15))/(I2135+L2135*(1-'Inputs'!$B$15))</x:f>
        <x:v>0</x:v>
      </x:c>
      <x:c r="O2135" s="78" t="n">
        <x:f>H2135-N2135</x:f>
        <x:v>348535198915.4096</x:v>
      </x:c>
      <x:c r="P2135" s="78" t="n">
        <x:f>I2135+L2135*(1-'Inputs'!$B$17)</x:f>
        <x:v>0.34836117236384023</x:v>
      </x:c>
      <x:c r="Q2135" s="78" t="n">
        <x:f>IF(J2135&gt;0,M2135/J2135,0)</x:f>
        <x:v>0</x:v>
      </x:c>
      <x:c r="R2135" s="78" t="n">
        <x:f>IF(B2135='Inputs'!$H$49,'Inputs'!$B$27*'Inputs'!$I$49,0)</x:f>
        <x:v>0</x:v>
      </x:c>
      <x:c r="S2135" s="78" t="n">
        <x:f>Q2135+G2135+R2135</x:f>
        <x:v>796491.1334209058</x:v>
      </x:c>
      <x:c r="T2135" s="78" t="n">
        <x:f>P2135*(S2135*(1-'Inputs'!$B$15))/(O2135+S2135*(1-'Inputs'!$B$15))</x:f>
        <x:v>7.88130721255157e-7</x:v>
      </x:c>
      <x:c r="U2135" s="78" t="n">
        <x:f>O2135+S2135*(1-'Inputs'!$B$17)</x:f>
        <x:v>348535992201.3473</x:v>
      </x:c>
      <x:c r="V2135" s="78" t="n">
        <x:f>P2135-T2135</x:f>
        <x:v>0.348360384233119</x:v>
      </x:c>
      <x:c r="W2135" s="79" t="n">
        <x:f>IF(U2135&gt;0,V2135/U2135,0)</x:f>
        <x:v>9.994961554268207e-13</x:v>
      </x:c>
      <x:c r="X2135" s="80" t="n">
        <x:f>W2135*('Inputs'!$B$6-AC2135)</x:f>
        <x:v>-0.02314622565730351</x:v>
      </x:c>
      <x:c r="Y2135" s="80" t="n">
        <x:f>2*V2135</x:f>
        <x:v>0.696720768466238</x:v>
      </x:c>
      <x:c r="Z2135" s="80" t="n">
        <x:f>K2135*'Inputs'!$B$16+(G2135+R2135)*J2135*'Inputs'!$B$16</x:f>
        <x:v>0.0031352553278351943</x:v>
      </x:c>
      <x:c r="AA2135" s="80" t="n">
        <x:f>K2135*(1+'Inputs'!$E$49)/2*'Inputs'!$B$17</x:f>
        <x:v>0.0010198501122522887</x:v>
      </x:c>
      <x:c r="AB2135" s="78" t="n">
        <x:f>(IF(J2135&gt;0,K2135*(1-'Inputs'!$E$49)/2/J2135,0)+G2135+R2135)*'Inputs'!$B$17</x:f>
        <x:v>3205.1957079312106</x:v>
      </x:c>
      <x:c r="AC2135" s="78" t="n">
        <x:f>AC2134+AB2135</x:f>
        <x:v>24157893636.33844</x:v>
      </x:c>
      <x:c r="AD2135" s="80" t="n">
        <x:f>Z2135/(1+'Inputs'!$C$49)</x:f>
        <x:v>0.0007838138319587986</x:v>
      </x:c>
      <x:c r="AE2135" s="80" t="n">
        <x:f>Z2135-AD2135</x:f>
        <x:v>0.0023514414958763956</x:v>
      </x:c>
      <x:c r="AF2135" s="80" t="n">
        <x:f>D2135*W2135</x:f>
        <x:v>2.622995166061627e-7</x:v>
      </x:c>
      <x:c r="AG2135" s="80" t="n">
        <x:f>C2135*W2135</x:f>
        <x:v>6.120322054143697e-7</x:v>
      </x:c>
      <x:c r="AH2135" s="80" t="n">
        <x:f>2*'Inputs'!$B$8*'Inputs'!$C$49</x:f>
        <x:v>15000</x:v>
      </x:c>
      <x:c r="AI2135" s="81" t="n">
        <x:f>IF(AH2135&gt;0,(AE2135+AF2135)/AH2135*365,0)</x:f>
        <x:v>0.00005722479235456304</x:v>
      </x:c>
      <x:c r="AJ2135" s="81" t="n">
        <x:f>IF('Inputs'!$B$49&gt;0,AG2135/('Inputs'!$B$19*'Inputs'!$B$49)*365,0)</x:f>
        <x:v>2.2339175497624497e-8</x:v>
      </x:c>
      <x:c r="AK2135" s="81" t="n">
        <x:f>W2135/MAX($W$1829:W2135)-1</x:f>
        <x:v>-0.999999998712354</x:v>
      </x:c>
      <x:c r="AL2135" s="83" t="n">
        <x:f>'Inputs'!$B$49</x:f>
        <x:v>1</x:v>
      </x:c>
      <x:c r="AM2135" s="83" t="n">
        <x:f>'Inputs'!$C$49</x:f>
        <x:v>3</x:v>
      </x:c>
      <x:c r="AN2135" s="83" t="n">
        <x:f>'Inputs'!$D$49</x:f>
        <x:v>0.75</x:v>
      </x:c>
      <x:c r="AO2135" s="81" t="n">
        <x:f>'Inputs'!$E$49</x:f>
        <x:v>-0.03</x:v>
      </x:c>
    </x:row>
    <x:row r="2136">
      <x:c r="A2136" s="59" t="str">
        <x:v>Mercenary LP</x:v>
      </x:c>
      <x:c r="B2136" s="59" t="n">
        <x:v>308</x:v>
      </x:c>
      <x:c r="C2136" s="78" t="n">
        <x:f>(('Inputs'!$B$29*(3*308*'Inputs'!$B$12-308^2)/(2*'Inputs'!$B$12^2))-('Inputs'!$B$29*(3*307*'Inputs'!$B$12-307^2)/(2*'Inputs'!$B$12^2)))*'Inputs'!$B$49</x:f>
        <x:v>612015.6220679283</x:v>
      </x:c>
      <x:c r="D2136" s="78" t="n">
        <x:f>IF('Inputs'!$C$49&gt;0,('Inputs'!$B$30*(3*308*'Inputs'!$B$12-308^2)/(2*'Inputs'!$B$12^2))-('Inputs'!$B$30*(3*307*'Inputs'!$B$12-307^2)/(2*'Inputs'!$B$12^2)),0)</x:f>
        <x:v>262292.40945768356</x:v>
      </x:c>
      <x:c r="E2136" s="78" t="n">
        <x:f>C2136+D2136</x:f>
        <x:v>874308.0315256119</x:v>
      </x:c>
      <x:c r="F2136" s="78" t="n">
        <x:f>'Inputs'!$B$13*E2136+(1-'Inputs'!$B$13)/'Inputs'!$B$14*SUM(E2081:E2136)</x:f>
        <x:v>884525.7083880651</x:v>
      </x:c>
      <x:c r="G2136" s="78" t="n">
        <x:f>F2136*'Inputs'!$F$49</x:f>
        <x:v>796073.1375492587</x:v>
      </x:c>
      <x:c r="H2136" s="78" t="n">
        <x:f>U2135</x:f>
        <x:v>348535992201.3473</x:v>
      </x:c>
      <x:c r="I2136" s="78" t="n">
        <x:f>V2135</x:f>
        <x:v>0.348360384233119</x:v>
      </x:c>
      <x:c r="J2136" s="79" t="n">
        <x:f>IF(H2136&gt;0,I2136/H2136,0)</x:f>
        <x:v>9.994961554268207e-13</x:v>
      </x:c>
      <x:c r="K2136" s="80" t="n">
        <x:f>(H2136*J2136+I2136)*'Inputs'!$D$49*(1+'Inputs'!$G$49)^(B2136/30)</x:f>
        <x:v>0.5225405763496784</x:v>
      </x:c>
      <x:c r="L2136" s="80" t="n">
        <x:f>MAX(0,K2136*'Inputs'!$E$49)</x:f>
        <x:v>0</x:v>
      </x:c>
      <x:c r="M2136" s="80" t="n">
        <x:f>MAX(0,-K2136*'Inputs'!$E$49)</x:f>
        <x:v>0.015676217290490353</x:v>
      </x:c>
      <x:c r="N2136" s="78" t="n">
        <x:f>H2136*(L2136*(1-'Inputs'!$B$15))/(I2136+L2136*(1-'Inputs'!$B$15))</x:f>
        <x:v>0</x:v>
      </x:c>
      <x:c r="O2136" s="78" t="n">
        <x:f>H2136-N2136</x:f>
        <x:v>348535992201.3473</x:v>
      </x:c>
      <x:c r="P2136" s="78" t="n">
        <x:f>I2136+L2136*(1-'Inputs'!$B$17)</x:f>
        <x:v>0.348360384233119</x:v>
      </x:c>
      <x:c r="Q2136" s="78" t="n">
        <x:f>IF(J2136&gt;0,M2136/J2136,0)</x:f>
        <x:v>0</x:v>
      </x:c>
      <x:c r="R2136" s="78" t="n">
        <x:f>IF(B2136='Inputs'!$H$49,'Inputs'!$B$27*'Inputs'!$I$49,0)</x:f>
        <x:v>0</x:v>
      </x:c>
      <x:c r="S2136" s="78" t="n">
        <x:f>Q2136+G2136+R2136</x:f>
        <x:v>796073.1375492587</x:v>
      </x:c>
      <x:c r="T2136" s="78" t="n">
        <x:f>P2136*(S2136*(1-'Inputs'!$B$15))/(O2136+S2136*(1-'Inputs'!$B$15))</x:f>
        <x:v>7.877135388306314e-7</x:v>
      </x:c>
      <x:c r="U2136" s="78" t="n">
        <x:f>O2136+S2136*(1-'Inputs'!$B$17)</x:f>
        <x:v>348536785070.9712</x:v>
      </x:c>
      <x:c r="V2136" s="78" t="n">
        <x:f>P2136-T2136</x:f>
        <x:v>0.34835959651958015</x:v>
      </x:c>
      <x:c r="W2136" s="79" t="n">
        <x:f>IF(U2136&gt;0,V2136/U2136,0)</x:f>
        <x:v>9.99491621662388e-13</x:v>
      </x:c>
      <x:c r="X2136" s="80" t="n">
        <x:f>W2136*('Inputs'!$B$6-AC2136)</x:f>
        <x:v>-0.023146123866754038</x:v>
      </x:c>
      <x:c r="Y2136" s="80" t="n">
        <x:f>2*V2136</x:f>
        <x:v>0.6967191930391603</x:v>
      </x:c>
      <x:c r="Z2136" s="80" t="n">
        <x:f>K2136*'Inputs'!$B$16+(G2136+R2136)*J2136*'Inputs'!$B$16</x:f>
        <x:v>0.003135248232130313</x:v>
      </x:c>
      <x:c r="AA2136" s="80" t="n">
        <x:f>K2136*(1+'Inputs'!$E$49)/2*'Inputs'!$B$17</x:f>
        <x:v>0.0010198478049480645</x:v>
      </x:c>
      <x:c r="AB2136" s="78" t="n">
        <x:f>(IF(J2136&gt;0,K2136*(1-'Inputs'!$E$49)/2/J2136,0)+G2136+R2136)*'Inputs'!$B$17</x:f>
        <x:v>3203.513631988969</x:v>
      </x:c>
      <x:c r="AC2136" s="78" t="n">
        <x:f>AC2135+AB2136</x:f>
        <x:v>24157896839.852074</x:v>
      </x:c>
      <x:c r="AD2136" s="80" t="n">
        <x:f>Z2136/(1+'Inputs'!$C$49)</x:f>
        <x:v>0.0007838120580325783</x:v>
      </x:c>
      <x:c r="AE2136" s="80" t="n">
        <x:f>Z2136-AD2136</x:f>
        <x:v>0.0023514361740977346</x:v>
      </x:c>
      <x:c r="AF2136" s="80" t="n">
        <x:f>D2136*W2136</x:f>
        <x:v>2.621590656785952e-7</x:v>
      </x:c>
      <x:c r="AG2136" s="80" t="n">
        <x:f>C2136*W2136</x:f>
        <x:v>6.117044865833888e-7</x:v>
      </x:c>
      <x:c r="AH2136" s="80" t="n">
        <x:f>2*'Inputs'!$B$8*'Inputs'!$C$49</x:f>
        <x:v>15000</x:v>
      </x:c>
      <x:c r="AI2136" s="81" t="n">
        <x:f>IF(AH2136&gt;0,(AE2136+AF2136)/AH2136*365,0)</x:f>
        <x:v>0.000057224659440309724</x:v>
      </x:c>
      <x:c r="AJ2136" s="81" t="n">
        <x:f>IF('Inputs'!$B$49&gt;0,AG2136/('Inputs'!$B$19*'Inputs'!$B$49)*365,0)</x:f>
        <x:v>2.232721376029369e-8</x:v>
      </x:c>
      <x:c r="AK2136" s="81" t="n">
        <x:f>W2136/MAX($W$1829:W2136)-1</x:f>
        <x:v>-0.9999999987123599</x:v>
      </x:c>
      <x:c r="AL2136" s="83" t="n">
        <x:f>'Inputs'!$B$49</x:f>
        <x:v>1</x:v>
      </x:c>
      <x:c r="AM2136" s="83" t="n">
        <x:f>'Inputs'!$C$49</x:f>
        <x:v>3</x:v>
      </x:c>
      <x:c r="AN2136" s="83" t="n">
        <x:f>'Inputs'!$D$49</x:f>
        <x:v>0.75</x:v>
      </x:c>
      <x:c r="AO2136" s="81" t="n">
        <x:f>'Inputs'!$E$49</x:f>
        <x:v>-0.03</x:v>
      </x:c>
    </x:row>
    <x:row r="2137">
      <x:c r="A2137" s="59" t="str">
        <x:v>Mercenary LP</x:v>
      </x:c>
      <x:c r="B2137" s="59" t="n">
        <x:v>309</x:v>
      </x:c>
      <x:c r="C2137" s="78" t="n">
        <x:f>(('Inputs'!$B$29*(3*309*'Inputs'!$B$12-309^2)/(2*'Inputs'!$B$12^2))-('Inputs'!$B$29*(3*308*'Inputs'!$B$12-308^2)/(2*'Inputs'!$B$12^2)))*'Inputs'!$B$49</x:f>
        <x:v>611690.5141677558</x:v>
      </x:c>
      <x:c r="D2137" s="78" t="n">
        <x:f>IF('Inputs'!$C$49&gt;0,('Inputs'!$B$30*(3*309*'Inputs'!$B$12-309^2)/(2*'Inputs'!$B$12^2))-('Inputs'!$B$30*(3*308*'Inputs'!$B$12-308^2)/(2*'Inputs'!$B$12^2)),0)</x:f>
        <x:v>262153.07750047743</x:v>
      </x:c>
      <x:c r="E2137" s="78" t="n">
        <x:f>C2137+D2137</x:f>
        <x:v>873843.5916682333</x:v>
      </x:c>
      <x:c r="F2137" s="78" t="n">
        <x:f>'Inputs'!$B$13*E2137+(1-'Inputs'!$B$13)/'Inputs'!$B$14*SUM(E2082:E2137)</x:f>
        <x:v>884061.2685306818</x:v>
      </x:c>
      <x:c r="G2137" s="78" t="n">
        <x:f>F2137*'Inputs'!$F$49</x:f>
        <x:v>795655.1416776137</x:v>
      </x:c>
      <x:c r="H2137" s="78" t="n">
        <x:f>U2136</x:f>
        <x:v>348536785070.9712</x:v>
      </x:c>
      <x:c r="I2137" s="78" t="n">
        <x:f>V2136</x:f>
        <x:v>0.34835959651958015</x:v>
      </x:c>
      <x:c r="J2137" s="79" t="n">
        <x:f>IF(H2137&gt;0,I2137/H2137,0)</x:f>
        <x:v>9.99491621662388e-13</x:v>
      </x:c>
      <x:c r="K2137" s="80" t="n">
        <x:f>(H2137*J2137+I2137)*'Inputs'!$D$49*(1+'Inputs'!$G$49)^(B2137/30)</x:f>
        <x:v>0.5225393947793702</x:v>
      </x:c>
      <x:c r="L2137" s="80" t="n">
        <x:f>MAX(0,K2137*'Inputs'!$E$49)</x:f>
        <x:v>0</x:v>
      </x:c>
      <x:c r="M2137" s="80" t="n">
        <x:f>MAX(0,-K2137*'Inputs'!$E$49)</x:f>
        <x:v>0.015676181843381105</x:v>
      </x:c>
      <x:c r="N2137" s="78" t="n">
        <x:f>H2137*(L2137*(1-'Inputs'!$B$15))/(I2137+L2137*(1-'Inputs'!$B$15))</x:f>
        <x:v>0</x:v>
      </x:c>
      <x:c r="O2137" s="78" t="n">
        <x:f>H2137-N2137</x:f>
        <x:v>348536785070.9712</x:v>
      </x:c>
      <x:c r="P2137" s="78" t="n">
        <x:f>I2137+L2137*(1-'Inputs'!$B$17)</x:f>
        <x:v>0.34835959651958015</x:v>
      </x:c>
      <x:c r="Q2137" s="78" t="n">
        <x:f>IF(J2137&gt;0,M2137/J2137,0)</x:f>
        <x:v>0</x:v>
      </x:c>
      <x:c r="R2137" s="78" t="n">
        <x:f>IF(B2137='Inputs'!$H$49,'Inputs'!$B$27*'Inputs'!$I$49,0)</x:f>
        <x:v>0</x:v>
      </x:c>
      <x:c r="S2137" s="78" t="n">
        <x:f>Q2137+G2137+R2137</x:f>
        <x:v>795655.1416776137</x:v>
      </x:c>
      <x:c r="T2137" s="78" t="n">
        <x:f>P2137*(S2137*(1-'Inputs'!$B$15))/(O2137+S2137*(1-'Inputs'!$B$15))</x:f>
        <x:v>7.872963620588787e-7</x:v>
      </x:c>
      <x:c r="U2137" s="78" t="n">
        <x:f>O2137+S2137*(1-'Inputs'!$B$17)</x:f>
        <x:v>348537577524.2813</x:v>
      </x:c>
      <x:c r="V2137" s="78" t="n">
        <x:f>P2137-T2137</x:f>
        <x:v>0.3483588092232181</x:v>
      </x:c>
      <x:c r="W2137" s="79" t="n">
        <x:f>IF(U2137&gt;0,V2137/U2137,0)</x:f>
        <x:v>9.994870903093634e-13</x:v>
      </x:c>
      <x:c r="X2137" s="80" t="n">
        <x:f>W2137*('Inputs'!$B$6-AC2137)</x:f>
        <x:v>-0.023146022130337455</x:v>
      </x:c>
      <x:c r="Y2137" s="80" t="n">
        <x:f>2*V2137</x:f>
        <x:v>0.6967176184464362</x:v>
      </x:c>
      <x:c r="Z2137" s="80" t="n">
        <x:f>K2137*'Inputs'!$B$16+(G2137+R2137)*J2137*'Inputs'!$B$16</x:f>
        <x:v>0.003135241140180108</x:v>
      </x:c>
      <x:c r="AA2137" s="80" t="n">
        <x:f>K2137*(1+'Inputs'!$E$49)/2*'Inputs'!$B$17</x:f>
        <x:v>0.0010198454988651691</x:v>
      </x:c>
      <x:c r="AB2137" s="78" t="n">
        <x:f>(IF(J2137&gt;0,K2137*(1-'Inputs'!$E$49)/2/J2137,0)+G2137+R2137)*'Inputs'!$B$17</x:f>
        <x:v>3201.8315560467354</x:v>
      </x:c>
      <x:c r="AC2137" s="78" t="n">
        <x:f>AC2136+AB2137</x:f>
        <x:v>24157900041.683628</x:v>
      </x:c>
      <x:c r="AD2137" s="80" t="n">
        <x:f>Z2137/(1+'Inputs'!$C$49)</x:f>
        <x:v>0.000783810285045027</x:v>
      </x:c>
      <x:c r="AE2137" s="80" t="n">
        <x:f>Z2137-AD2137</x:f>
        <x:v>0.002351430855135081</x:v>
      </x:c>
      <x:c r="AF2137" s="80" t="n">
        <x:f>D2137*W2137</x:f>
        <x:v>2.6201861664659723e-7</x:v>
      </x:c>
      <x:c r="AG2137" s="80" t="n">
        <x:f>C2137*W2137</x:f>
        <x:v>6.113767721753688e-7</x:v>
      </x:c>
      <x:c r="AH2137" s="80" t="n">
        <x:f>2*'Inputs'!$B$8*'Inputs'!$C$49</x:f>
        <x:v>15000</x:v>
      </x:c>
      <x:c r="AI2137" s="81" t="n">
        <x:f>IF(AH2137&gt;0,(AE2137+AF2137)/AH2137*365,0)</x:f>
        <x:v>0.00005722452659462537</x:v>
      </x:c>
      <x:c r="AJ2137" s="81" t="n">
        <x:f>IF('Inputs'!$B$49&gt;0,AG2137/('Inputs'!$B$19*'Inputs'!$B$49)*365,0)</x:f>
        <x:v>2.2315252184400958e-8</x:v>
      </x:c>
      <x:c r="AK2137" s="81" t="n">
        <x:f>W2137/MAX($W$1829:W2137)-1</x:f>
        <x:v>-0.9999999987123658</x:v>
      </x:c>
      <x:c r="AL2137" s="83" t="n">
        <x:f>'Inputs'!$B$49</x:f>
        <x:v>1</x:v>
      </x:c>
      <x:c r="AM2137" s="83" t="n">
        <x:f>'Inputs'!$C$49</x:f>
        <x:v>3</x:v>
      </x:c>
      <x:c r="AN2137" s="83" t="n">
        <x:f>'Inputs'!$D$49</x:f>
        <x:v>0.75</x:v>
      </x:c>
      <x:c r="AO2137" s="81" t="n">
        <x:f>'Inputs'!$E$49</x:f>
        <x:v>-0.03</x:v>
      </x:c>
    </x:row>
    <x:row r="2138">
      <x:c r="A2138" s="59" t="str">
        <x:v>Mercenary LP</x:v>
      </x:c>
      <x:c r="B2138" s="59" t="n">
        <x:v>310</x:v>
      </x:c>
      <x:c r="C2138" s="78" t="n">
        <x:f>(('Inputs'!$B$29*(3*310*'Inputs'!$B$12-310^2)/(2*'Inputs'!$B$12^2))-('Inputs'!$B$29*(3*309*'Inputs'!$B$12-309^2)/(2*'Inputs'!$B$12^2)))*'Inputs'!$B$49</x:f>
        <x:v>611365.4062675834</x:v>
      </x:c>
      <x:c r="D2138" s="78" t="n">
        <x:f>IF('Inputs'!$C$49&gt;0,('Inputs'!$B$30*(3*310*'Inputs'!$B$12-310^2)/(2*'Inputs'!$B$12^2))-('Inputs'!$B$30*(3*309*'Inputs'!$B$12-309^2)/(2*'Inputs'!$B$12^2)),0)</x:f>
        <x:v>262013.7455432415</x:v>
      </x:c>
      <x:c r="E2138" s="78" t="n">
        <x:f>C2138+D2138</x:f>
        <x:v>873379.1518108249</x:v>
      </x:c>
      <x:c r="F2138" s="78" t="n">
        <x:f>'Inputs'!$B$13*E2138+(1-'Inputs'!$B$13)/'Inputs'!$B$14*SUM(E2083:E2138)</x:f>
        <x:v>883596.8286732928</x:v>
      </x:c>
      <x:c r="G2138" s="78" t="n">
        <x:f>F2138*'Inputs'!$F$49</x:f>
        <x:v>795237.1458059635</x:v>
      </x:c>
      <x:c r="H2138" s="78" t="n">
        <x:f>U2137</x:f>
        <x:v>348537577524.2813</x:v>
      </x:c>
      <x:c r="I2138" s="78" t="n">
        <x:f>V2137</x:f>
        <x:v>0.3483588092232181</x:v>
      </x:c>
      <x:c r="J2138" s="79" t="n">
        <x:f>IF(H2138&gt;0,I2138/H2138,0)</x:f>
        <x:v>9.994870903093634e-13</x:v>
      </x:c>
      <x:c r="K2138" s="80" t="n">
        <x:f>(H2138*J2138+I2138)*'Inputs'!$D$49*(1+'Inputs'!$G$49)^(B2138/30)</x:f>
        <x:v>0.5225382138348271</x:v>
      </x:c>
      <x:c r="L2138" s="80" t="n">
        <x:f>MAX(0,K2138*'Inputs'!$E$49)</x:f>
        <x:v>0</x:v>
      </x:c>
      <x:c r="M2138" s="80" t="n">
        <x:f>MAX(0,-K2138*'Inputs'!$E$49)</x:f>
        <x:v>0.015676146415044813</x:v>
      </x:c>
      <x:c r="N2138" s="78" t="n">
        <x:f>H2138*(L2138*(1-'Inputs'!$B$15))/(I2138+L2138*(1-'Inputs'!$B$15))</x:f>
        <x:v>0</x:v>
      </x:c>
      <x:c r="O2138" s="78" t="n">
        <x:f>H2138-N2138</x:f>
        <x:v>348537577524.2813</x:v>
      </x:c>
      <x:c r="P2138" s="78" t="n">
        <x:f>I2138+L2138*(1-'Inputs'!$B$17)</x:f>
        <x:v>0.3483588092232181</x:v>
      </x:c>
      <x:c r="Q2138" s="78" t="n">
        <x:f>IF(J2138&gt;0,M2138/J2138,0)</x:f>
        <x:v>0</x:v>
      </x:c>
      <x:c r="R2138" s="78" t="n">
        <x:f>IF(B2138='Inputs'!$H$49,'Inputs'!$B$27*'Inputs'!$I$49,0)</x:f>
        <x:v>0</x:v>
      </x:c>
      <x:c r="S2138" s="78" t="n">
        <x:f>Q2138+G2138+R2138</x:f>
        <x:v>795237.1458059635</x:v>
      </x:c>
      <x:c r="T2138" s="78" t="n">
        <x:f>P2138*(S2138*(1-'Inputs'!$B$15))/(O2138+S2138*(1-'Inputs'!$B$15))</x:f>
        <x:v>7.868791909368597e-7</x:v>
      </x:c>
      <x:c r="U2138" s="78" t="n">
        <x:f>O2138+S2138*(1-'Inputs'!$B$17)</x:f>
        <x:v>348538369561.27765</x:v>
      </x:c>
      <x:c r="V2138" s="78" t="n">
        <x:f>P2138-T2138</x:f>
        <x:v>0.3483580223440272</x:v>
      </x:c>
      <x:c r="W2138" s="79" t="n">
        <x:f>IF(U2138&gt;0,V2138/U2138,0)</x:f>
        <x:v>9.994825613676984e-13</x:v>
      </x:c>
      <x:c r="X2138" s="80" t="n">
        <x:f>W2138*('Inputs'!$B$6-AC2138)</x:f>
        <x:v>-0.02314592044805268</x:v>
      </x:c>
      <x:c r="Y2138" s="80" t="n">
        <x:f>2*V2138</x:f>
        <x:v>0.6967160446880544</x:v>
      </x:c>
      <x:c r="Z2138" s="80" t="n">
        <x:f>K2138*'Inputs'!$B$16+(G2138+R2138)*J2138*'Inputs'!$B$16</x:f>
        <x:v>0.003135234051984529</x:v>
      </x:c>
      <x:c r="AA2138" s="80" t="n">
        <x:f>K2138*(1+'Inputs'!$E$49)/2*'Inputs'!$B$17</x:f>
        <x:v>0.0010198431940035863</x:v>
      </x:c>
      <x:c r="AB2138" s="78" t="n">
        <x:f>(IF(J2138&gt;0,K2138*(1-'Inputs'!$E$49)/2/J2138,0)+G2138+R2138)*'Inputs'!$B$17</x:f>
        <x:v>3200.1494801044814</x:v>
      </x:c>
      <x:c r="AC2138" s="78" t="n">
        <x:f>AC2137+AB2138</x:f>
        <x:v>24157903241.833107</x:v>
      </x:c>
      <x:c r="AD2138" s="80" t="n">
        <x:f>Z2138/(1+'Inputs'!$C$49)</x:f>
        <x:v>0.0007838085129961322</x:v>
      </x:c>
      <x:c r="AE2138" s="80" t="n">
        <x:f>Z2138-AD2138</x:f>
        <x:v>0.0023514255389883968</x:v>
      </x:c>
      <x:c r="AF2138" s="80" t="n">
        <x:f>D2138*W2138</x:f>
        <x:v>2.6187816950910337e-7</x:v>
      </x:c>
      <x:c r="AG2138" s="80" t="n">
        <x:f>C2138*W2138</x:f>
        <x:v>6.110490621879278e-7</x:v>
      </x:c>
      <x:c r="AH2138" s="80" t="n">
        <x:f>2*'Inputs'!$B$8*'Inputs'!$C$49</x:f>
        <x:v>15000</x:v>
      </x:c>
      <x:c r="AI2138" s="81" t="n">
        <x:f>IF(AH2138&gt;0,(AE2138+AF2138)/AH2138*365,0)</x:f>
        <x:v>0.00005722439381750904</x:v>
      </x:c>
      <x:c r="AJ2138" s="81" t="n">
        <x:f>IF('Inputs'!$B$49&gt;0,AG2138/('Inputs'!$B$19*'Inputs'!$B$49)*365,0)</x:f>
        <x:v>2.2303290769859363e-8</x:v>
      </x:c>
      <x:c r="AK2138" s="81" t="n">
        <x:f>W2138/MAX($W$1829:W2138)-1</x:f>
        <x:v>-0.9999999987123716</x:v>
      </x:c>
      <x:c r="AL2138" s="83" t="n">
        <x:f>'Inputs'!$B$49</x:f>
        <x:v>1</x:v>
      </x:c>
      <x:c r="AM2138" s="83" t="n">
        <x:f>'Inputs'!$C$49</x:f>
        <x:v>3</x:v>
      </x:c>
      <x:c r="AN2138" s="83" t="n">
        <x:f>'Inputs'!$D$49</x:f>
        <x:v>0.75</x:v>
      </x:c>
      <x:c r="AO2138" s="81" t="n">
        <x:f>'Inputs'!$E$49</x:f>
        <x:v>-0.03</x:v>
      </x:c>
    </x:row>
    <x:row r="2139">
      <x:c r="A2139" s="59" t="str">
        <x:v>Mercenary LP</x:v>
      </x:c>
      <x:c r="B2139" s="59" t="n">
        <x:v>311</x:v>
      </x:c>
      <x:c r="C2139" s="78" t="n">
        <x:f>(('Inputs'!$B$29*(3*311*'Inputs'!$B$12-311^2)/(2*'Inputs'!$B$12^2))-('Inputs'!$B$29*(3*310*'Inputs'!$B$12-310^2)/(2*'Inputs'!$B$12^2)))*'Inputs'!$B$49</x:f>
        <x:v>611040.2983674109</x:v>
      </x:c>
      <x:c r="D2139" s="78" t="n">
        <x:f>IF('Inputs'!$C$49&gt;0,('Inputs'!$B$30*(3*311*'Inputs'!$B$12-311^2)/(2*'Inputs'!$B$12^2))-('Inputs'!$B$30*(3*310*'Inputs'!$B$12-310^2)/(2*'Inputs'!$B$12^2)),0)</x:f>
        <x:v>261874.41358605027</x:v>
      </x:c>
      <x:c r="E2139" s="78" t="n">
        <x:f>C2139+D2139</x:f>
        <x:v>872914.7119534612</x:v>
      </x:c>
      <x:c r="F2139" s="78" t="n">
        <x:f>'Inputs'!$B$13*E2139+(1-'Inputs'!$B$13)/'Inputs'!$B$14*SUM(E2084:E2139)</x:f>
        <x:v>883132.3888159127</x:v>
      </x:c>
      <x:c r="G2139" s="78" t="n">
        <x:f>F2139*'Inputs'!$F$49</x:f>
        <x:v>794819.1499343214</x:v>
      </x:c>
      <x:c r="H2139" s="78" t="n">
        <x:f>U2138</x:f>
        <x:v>348538369561.27765</x:v>
      </x:c>
      <x:c r="I2139" s="78" t="n">
        <x:f>V2138</x:f>
        <x:v>0.3483580223440272</x:v>
      </x:c>
      <x:c r="J2139" s="79" t="n">
        <x:f>IF(H2139&gt;0,I2139/H2139,0)</x:f>
        <x:v>9.994825613676984e-13</x:v>
      </x:c>
      <x:c r="K2139" s="80" t="n">
        <x:f>(H2139*J2139+I2139)*'Inputs'!$D$49*(1+'Inputs'!$G$49)^(B2139/30)</x:f>
        <x:v>0.5225370335160409</x:v>
      </x:c>
      <x:c r="L2139" s="80" t="n">
        <x:f>MAX(0,K2139*'Inputs'!$E$49)</x:f>
        <x:v>0</x:v>
      </x:c>
      <x:c r="M2139" s="80" t="n">
        <x:f>MAX(0,-K2139*'Inputs'!$E$49)</x:f>
        <x:v>0.015676111005481226</x:v>
      </x:c>
      <x:c r="N2139" s="78" t="n">
        <x:f>H2139*(L2139*(1-'Inputs'!$B$15))/(I2139+L2139*(1-'Inputs'!$B$15))</x:f>
        <x:v>0</x:v>
      </x:c>
      <x:c r="O2139" s="78" t="n">
        <x:f>H2139-N2139</x:f>
        <x:v>348538369561.27765</x:v>
      </x:c>
      <x:c r="P2139" s="78" t="n">
        <x:f>I2139+L2139*(1-'Inputs'!$B$17)</x:f>
        <x:v>0.3483580223440272</x:v>
      </x:c>
      <x:c r="Q2139" s="78" t="n">
        <x:f>IF(J2139&gt;0,M2139/J2139,0)</x:f>
        <x:v>0</x:v>
      </x:c>
      <x:c r="R2139" s="78" t="n">
        <x:f>IF(B2139='Inputs'!$H$49,'Inputs'!$B$27*'Inputs'!$I$49,0)</x:f>
        <x:v>0</x:v>
      </x:c>
      <x:c r="S2139" s="78" t="n">
        <x:f>Q2139+G2139+R2139</x:f>
        <x:v>794819.1499343214</x:v>
      </x:c>
      <x:c r="T2139" s="78" t="n">
        <x:f>P2139*(S2139*(1-'Inputs'!$B$15))/(O2139+S2139*(1-'Inputs'!$B$15))</x:f>
        <x:v>7.864620254615552e-7</x:v>
      </x:c>
      <x:c r="U2139" s="78" t="n">
        <x:f>O2139+S2139*(1-'Inputs'!$B$17)</x:f>
        <x:v>348539161181.9602</x:v>
      </x:c>
      <x:c r="V2139" s="78" t="n">
        <x:f>P2139-T2139</x:f>
        <x:v>0.34835723588200174</x:v>
      </x:c>
      <x:c r="W2139" s="79" t="n">
        <x:f>IF(U2139&gt;0,V2139/U2139,0)</x:f>
        <x:v>9.994780348373436e-13</x:v>
      </x:c>
      <x:c r="X2139" s="80" t="n">
        <x:f>W2139*('Inputs'!$B$6-AC2139)</x:f>
        <x:v>-0.023145818819898616</x:v>
      </x:c>
      <x:c r="Y2139" s="80" t="n">
        <x:f>2*V2139</x:f>
        <x:v>0.6967144717640035</x:v>
      </x:c>
      <x:c r="Z2139" s="80" t="n">
        <x:f>K2139*'Inputs'!$B$16+(G2139+R2139)*J2139*'Inputs'!$B$16</x:f>
        <x:v>0.003135226967543524</x:v>
      </x:c>
      <x:c r="AA2139" s="80" t="n">
        <x:f>K2139*(1+'Inputs'!$E$49)/2*'Inputs'!$B$17</x:f>
        <x:v>0.001019840890363299</x:v>
      </x:c>
      <x:c r="AB2139" s="78" t="n">
        <x:f>(IF(J2139&gt;0,K2139*(1-'Inputs'!$E$49)/2/J2139,0)+G2139+R2139)*'Inputs'!$B$17</x:f>
        <x:v>3198.4674041622593</x:v>
      </x:c>
      <x:c r="AC2139" s="78" t="n">
        <x:f>AC2138+AB2139</x:f>
        <x:v>24157906440.30051</x:v>
      </x:c>
      <x:c r="AD2139" s="80" t="n">
        <x:f>Z2139/(1+'Inputs'!$C$49)</x:f>
        <x:v>0.000783806741885881</x:v>
      </x:c>
      <x:c r="AE2139" s="80" t="n">
        <x:f>Z2139-AD2139</x:f>
        <x:v>0.002351420225657643</x:v>
      </x:c>
      <x:c r="AF2139" s="80" t="n">
        <x:f>D2139*W2139</x:f>
        <x:v>2.617377242651673e-7</x:v>
      </x:c>
      <x:c r="AG2139" s="80" t="n">
        <x:f>C2139*W2139</x:f>
        <x:v>6.107213566186839e-7</x:v>
      </x:c>
      <x:c r="AH2139" s="80" t="n">
        <x:f>2*'Inputs'!$B$8*'Inputs'!$C$49</x:f>
        <x:v>15000</x:v>
      </x:c>
      <x:c r="AI2139" s="81" t="n">
        <x:f>IF(AH2139&gt;0,(AE2139+AF2139)/AH2139*365,0)</x:f>
        <x:v>0.00005722426110895976</x:v>
      </x:c>
      <x:c r="AJ2139" s="81" t="n">
        <x:f>IF('Inputs'!$B$49&gt;0,AG2139/('Inputs'!$B$19*'Inputs'!$B$49)*365,0)</x:f>
        <x:v>2.2291329516581962e-8</x:v>
      </x:c>
      <x:c r="AK2139" s="81" t="n">
        <x:f>W2139/MAX($W$1829:W2139)-1</x:f>
        <x:v>-0.9999999987123774</x:v>
      </x:c>
      <x:c r="AL2139" s="83" t="n">
        <x:f>'Inputs'!$B$49</x:f>
        <x:v>1</x:v>
      </x:c>
      <x:c r="AM2139" s="83" t="n">
        <x:f>'Inputs'!$C$49</x:f>
        <x:v>3</x:v>
      </x:c>
      <x:c r="AN2139" s="83" t="n">
        <x:f>'Inputs'!$D$49</x:f>
        <x:v>0.75</x:v>
      </x:c>
      <x:c r="AO2139" s="81" t="n">
        <x:f>'Inputs'!$E$49</x:f>
        <x:v>-0.03</x:v>
      </x:c>
    </x:row>
    <x:row r="2140">
      <x:c r="A2140" s="59" t="str">
        <x:v>Mercenary LP</x:v>
      </x:c>
      <x:c r="B2140" s="59" t="n">
        <x:v>312</x:v>
      </x:c>
      <x:c r="C2140" s="78" t="n">
        <x:f>(('Inputs'!$B$29*(3*312*'Inputs'!$B$12-312^2)/(2*'Inputs'!$B$12^2))-('Inputs'!$B$29*(3*311*'Inputs'!$B$12-311^2)/(2*'Inputs'!$B$12^2)))*'Inputs'!$B$49</x:f>
        <x:v>610715.1904672682</x:v>
      </x:c>
      <x:c r="D2140" s="78" t="n">
        <x:f>IF('Inputs'!$C$49&gt;0,('Inputs'!$B$30*(3*312*'Inputs'!$B$12-312^2)/(2*'Inputs'!$B$12^2))-('Inputs'!$B$30*(3*311*'Inputs'!$B$12-311^2)/(2*'Inputs'!$B$12^2)),0)</x:f>
        <x:v>261735.08162881434</x:v>
      </x:c>
      <x:c r="E2140" s="78" t="n">
        <x:f>C2140+D2140</x:f>
        <x:v>872450.2720960826</x:v>
      </x:c>
      <x:c r="F2140" s="78" t="n">
        <x:f>'Inputs'!$B$13*E2140+(1-'Inputs'!$B$13)/'Inputs'!$B$14*SUM(E2085:E2140)</x:f>
        <x:v>882667.9489585296</x:v>
      </x:c>
      <x:c r="G2140" s="78" t="n">
        <x:f>F2140*'Inputs'!$F$49</x:f>
        <x:v>794401.1540626767</x:v>
      </x:c>
      <x:c r="H2140" s="78" t="n">
        <x:f>U2139</x:f>
        <x:v>348539161181.9602</x:v>
      </x:c>
      <x:c r="I2140" s="78" t="n">
        <x:f>V2139</x:f>
        <x:v>0.34835723588200174</x:v>
      </x:c>
      <x:c r="J2140" s="79" t="n">
        <x:f>IF(H2140&gt;0,I2140/H2140,0)</x:f>
        <x:v>9.994780348373436e-13</x:v>
      </x:c>
      <x:c r="K2140" s="80" t="n">
        <x:f>(H2140*J2140+I2140)*'Inputs'!$D$49*(1+'Inputs'!$G$49)^(B2140/30)</x:f>
        <x:v>0.5225358538230026</x:v>
      </x:c>
      <x:c r="L2140" s="80" t="n">
        <x:f>MAX(0,K2140*'Inputs'!$E$49)</x:f>
        <x:v>0</x:v>
      </x:c>
      <x:c r="M2140" s="80" t="n">
        <x:f>MAX(0,-K2140*'Inputs'!$E$49)</x:f>
        <x:v>0.015676075614690078</x:v>
      </x:c>
      <x:c r="N2140" s="78" t="n">
        <x:f>H2140*(L2140*(1-'Inputs'!$B$15))/(I2140+L2140*(1-'Inputs'!$B$15))</x:f>
        <x:v>0</x:v>
      </x:c>
      <x:c r="O2140" s="78" t="n">
        <x:f>H2140-N2140</x:f>
        <x:v>348539161181.9602</x:v>
      </x:c>
      <x:c r="P2140" s="78" t="n">
        <x:f>I2140+L2140*(1-'Inputs'!$B$17)</x:f>
        <x:v>0.34835723588200174</x:v>
      </x:c>
      <x:c r="Q2140" s="78" t="n">
        <x:f>IF(J2140&gt;0,M2140/J2140,0)</x:f>
        <x:v>0</x:v>
      </x:c>
      <x:c r="R2140" s="78" t="n">
        <x:f>IF(B2140='Inputs'!$H$49,'Inputs'!$B$27*'Inputs'!$I$49,0)</x:f>
        <x:v>0</x:v>
      </x:c>
      <x:c r="S2140" s="78" t="n">
        <x:f>Q2140+G2140+R2140</x:f>
        <x:v>794401.1540626767</x:v>
      </x:c>
      <x:c r="T2140" s="78" t="n">
        <x:f>P2140*(S2140*(1-'Inputs'!$B$15))/(O2140+S2140*(1-'Inputs'!$B$15))</x:f>
        <x:v>7.860448656299227e-7</x:v>
      </x:c>
      <x:c r="U2140" s="78" t="n">
        <x:f>O2140+S2140*(1-'Inputs'!$B$17)</x:f>
        <x:v>348539952386.3289</x:v>
      </x:c>
      <x:c r="V2140" s="78" t="n">
        <x:f>P2140-T2140</x:f>
        <x:v>0.3483564498371361</x:v>
      </x:c>
      <x:c r="W2140" s="79" t="n">
        <x:f>IF(U2140&gt;0,V2140/U2140,0)</x:f>
        <x:v>9.994735107182507e-13</x:v>
      </x:c>
      <x:c r="X2140" s="80" t="n">
        <x:f>W2140*('Inputs'!$B$6-AC2140)</x:f>
        <x:v>-0.023145717245874196</x:v>
      </x:c>
      <x:c r="Y2140" s="80" t="n">
        <x:f>2*V2140</x:f>
        <x:v>0.6967128996742722</x:v>
      </x:c>
      <x:c r="Z2140" s="80" t="n">
        <x:f>K2140*'Inputs'!$B$16+(G2140+R2140)*J2140*'Inputs'!$B$16</x:f>
        <x:v>0.003135219886857042</x:v>
      </x:c>
      <x:c r="AA2140" s="80" t="n">
        <x:f>K2140*(1+'Inputs'!$E$49)/2*'Inputs'!$B$17</x:f>
        <x:v>0.0010198385879442908</x:v>
      </x:c>
      <x:c r="AB2140" s="78" t="n">
        <x:f>(IF(J2140&gt;0,K2140*(1-'Inputs'!$E$49)/2/J2140,0)+G2140+R2140)*'Inputs'!$B$17</x:f>
        <x:v>3196.785328220027</x:v>
      </x:c>
      <x:c r="AC2140" s="78" t="n">
        <x:f>AC2139+AB2140</x:f>
        <x:v>24157909637.08584</x:v>
      </x:c>
      <x:c r="AD2140" s="80" t="n">
        <x:f>Z2140/(1+'Inputs'!$C$49)</x:f>
        <x:v>0.0007838049717142605</x:v>
      </x:c>
      <x:c r="AE2140" s="80" t="n">
        <x:f>Z2140-AD2140</x:f>
        <x:v>0.0023514149151427815</x:v>
      </x:c>
      <x:c r="AF2140" s="80" t="n">
        <x:f>D2140*W2140</x:f>
        <x:v>2.61597280913679e-7</x:v>
      </x:c>
      <x:c r="AG2140" s="80" t="n">
        <x:f>C2140*W2140</x:f>
        <x:v>6.103936554652858e-7</x:v>
      </x:c>
      <x:c r="AH2140" s="80" t="n">
        <x:f>2*'Inputs'!$B$8*'Inputs'!$C$49</x:f>
        <x:v>15000</x:v>
      </x:c>
      <x:c r="AI2140" s="81" t="n">
        <x:f>IF(AH2140&gt;0,(AE2140+AF2140)/AH2140*365,0)</x:f>
        <x:v>0.00005722412846897658</x:v>
      </x:c>
      <x:c r="AJ2140" s="81" t="n">
        <x:f>IF('Inputs'!$B$49&gt;0,AG2140/('Inputs'!$B$19*'Inputs'!$B$49)*365,0)</x:f>
        <x:v>2.227936842448293e-8</x:v>
      </x:c>
      <x:c r="AK2140" s="81" t="n">
        <x:f>W2140/MAX($W$1829:W2140)-1</x:f>
        <x:v>-0.9999999987123832</x:v>
      </x:c>
      <x:c r="AL2140" s="83" t="n">
        <x:f>'Inputs'!$B$49</x:f>
        <x:v>1</x:v>
      </x:c>
      <x:c r="AM2140" s="83" t="n">
        <x:f>'Inputs'!$C$49</x:f>
        <x:v>3</x:v>
      </x:c>
      <x:c r="AN2140" s="83" t="n">
        <x:f>'Inputs'!$D$49</x:f>
        <x:v>0.75</x:v>
      </x:c>
      <x:c r="AO2140" s="81" t="n">
        <x:f>'Inputs'!$E$49</x:f>
        <x:v>-0.03</x:v>
      </x:c>
    </x:row>
    <x:row r="2141">
      <x:c r="A2141" s="59" t="str">
        <x:v>Mercenary LP</x:v>
      </x:c>
      <x:c r="B2141" s="59" t="n">
        <x:v>313</x:v>
      </x:c>
      <x:c r="C2141" s="78" t="n">
        <x:f>(('Inputs'!$B$29*(3*313*'Inputs'!$B$12-313^2)/(2*'Inputs'!$B$12^2))-('Inputs'!$B$29*(3*312*'Inputs'!$B$12-312^2)/(2*'Inputs'!$B$12^2)))*'Inputs'!$B$49</x:f>
        <x:v>610390.0825670958</x:v>
      </x:c>
      <x:c r="D2141" s="78" t="n">
        <x:f>IF('Inputs'!$C$49&gt;0,('Inputs'!$B$30*(3*313*'Inputs'!$B$12-313^2)/(2*'Inputs'!$B$12^2))-('Inputs'!$B$30*(3*312*'Inputs'!$B$12-312^2)/(2*'Inputs'!$B$12^2)),0)</x:f>
        <x:v>261595.7496716082</x:v>
      </x:c>
      <x:c r="E2141" s="78" t="n">
        <x:f>C2141+D2141</x:f>
        <x:v>871985.832238704</x:v>
      </x:c>
      <x:c r="F2141" s="78" t="n">
        <x:f>'Inputs'!$B$13*E2141+(1-'Inputs'!$B$13)/'Inputs'!$B$14*SUM(E2086:E2141)</x:f>
        <x:v>882203.5091011468</x:v>
      </x:c>
      <x:c r="G2141" s="78" t="n">
        <x:f>F2141*'Inputs'!$F$49</x:f>
        <x:v>793983.1581910321</x:v>
      </x:c>
      <x:c r="H2141" s="78" t="n">
        <x:f>U2140</x:f>
        <x:v>348539952386.3289</x:v>
      </x:c>
      <x:c r="I2141" s="78" t="n">
        <x:f>V2140</x:f>
        <x:v>0.3483564498371361</x:v>
      </x:c>
      <x:c r="J2141" s="79" t="n">
        <x:f>IF(H2141&gt;0,I2141/H2141,0)</x:f>
        <x:v>9.994735107182507e-13</x:v>
      </x:c>
      <x:c r="K2141" s="80" t="n">
        <x:f>(H2141*J2141+I2141)*'Inputs'!$D$49*(1+'Inputs'!$G$49)^(B2141/30)</x:f>
        <x:v>0.5225346747557041</x:v>
      </x:c>
      <x:c r="L2141" s="80" t="n">
        <x:f>MAX(0,K2141*'Inputs'!$E$49)</x:f>
        <x:v>0</x:v>
      </x:c>
      <x:c r="M2141" s="80" t="n">
        <x:f>MAX(0,-K2141*'Inputs'!$E$49)</x:f>
        <x:v>0.015676040242671125</x:v>
      </x:c>
      <x:c r="N2141" s="78" t="n">
        <x:f>H2141*(L2141*(1-'Inputs'!$B$15))/(I2141+L2141*(1-'Inputs'!$B$15))</x:f>
        <x:v>0</x:v>
      </x:c>
      <x:c r="O2141" s="78" t="n">
        <x:f>H2141-N2141</x:f>
        <x:v>348539952386.3289</x:v>
      </x:c>
      <x:c r="P2141" s="78" t="n">
        <x:f>I2141+L2141*(1-'Inputs'!$B$17)</x:f>
        <x:v>0.3483564498371361</x:v>
      </x:c>
      <x:c r="Q2141" s="78" t="n">
        <x:f>IF(J2141&gt;0,M2141/J2141,0)</x:f>
        <x:v>0</x:v>
      </x:c>
      <x:c r="R2141" s="78" t="n">
        <x:f>IF(B2141='Inputs'!$H$49,'Inputs'!$B$27*'Inputs'!$I$49,0)</x:f>
        <x:v>0</x:v>
      </x:c>
      <x:c r="S2141" s="78" t="n">
        <x:f>Q2141+G2141+R2141</x:f>
        <x:v>793983.1581910321</x:v>
      </x:c>
      <x:c r="T2141" s="78" t="n">
        <x:f>P2141*(S2141*(1-'Inputs'!$B$15))/(O2141+S2141*(1-'Inputs'!$B$15))</x:f>
        <x:v>7.856277114389332e-7</x:v>
      </x:c>
      <x:c r="U2141" s="78" t="n">
        <x:f>O2141+S2141*(1-'Inputs'!$B$17)</x:f>
        <x:v>348540743174.38385</x:v>
      </x:c>
      <x:c r="V2141" s="78" t="n">
        <x:f>P2141-T2141</x:f>
        <x:v>0.34835566420942465</x:v>
      </x:c>
      <x:c r="W2141" s="79" t="n">
        <x:f>IF(U2141&gt;0,V2141/U2141,0)</x:f>
        <x:v>9.994689890103706e-13</x:v>
      </x:c>
      <x:c r="X2141" s="80" t="n">
        <x:f>W2141*('Inputs'!$B$6-AC2141)</x:f>
        <x:v>-0.02314561572597832</x:v>
      </x:c>
      <x:c r="Y2141" s="80" t="n">
        <x:f>2*V2141</x:f>
        <x:v>0.6967113284188493</x:v>
      </x:c>
      <x:c r="Z2141" s="80" t="n">
        <x:f>K2141*'Inputs'!$B$16+(G2141+R2141)*J2141*'Inputs'!$B$16</x:f>
        <x:v>0.003135212809925032</x:v>
      </x:c>
      <x:c r="AA2141" s="80" t="n">
        <x:f>K2141*(1+'Inputs'!$E$49)/2*'Inputs'!$B$17</x:f>
        <x:v>0.0010198362867465454</x:v>
      </x:c>
      <x:c r="AB2141" s="78" t="n">
        <x:f>(IF(J2141&gt;0,K2141*(1-'Inputs'!$E$49)/2/J2141,0)+G2141+R2141)*'Inputs'!$B$17</x:f>
        <x:v>3195.1032522777955</x:v>
      </x:c>
      <x:c r="AC2141" s="78" t="n">
        <x:f>AC2140+AB2141</x:f>
        <x:v>24157912832.18909</x:v>
      </x:c>
      <x:c r="AD2141" s="80" t="n">
        <x:f>Z2141/(1+'Inputs'!$C$49)</x:f>
        <x:v>0.000783803202481258</x:v>
      </x:c>
      <x:c r="AE2141" s="80" t="n">
        <x:f>Z2141-AD2141</x:f>
        <x:v>0.002351409607443774</x:v>
      </x:c>
      <x:c r="AF2141" s="80" t="n">
        <x:f>D2141*W2141</x:f>
        <x:v>2.6145683945369227e-7</x:v>
      </x:c>
      <x:c r="AG2141" s="80" t="n">
        <x:f>C2141*W2141</x:f>
        <x:v>6.100659587252918e-7</x:v>
      </x:c>
      <x:c r="AH2141" s="80" t="n">
        <x:f>2*'Inputs'!$B$8*'Inputs'!$C$49</x:f>
        <x:v>15000</x:v>
      </x:c>
      <x:c r="AI2141" s="81" t="n">
        <x:f>IF(AH2141&gt;0,(AE2141+AF2141)/AH2141*365,0)</x:f>
        <x:v>0.00005722399589755854</x:v>
      </x:c>
      <x:c r="AJ2141" s="81" t="n">
        <x:f>IF('Inputs'!$B$49&gt;0,AG2141/('Inputs'!$B$19*'Inputs'!$B$49)*365,0)</x:f>
        <x:v>2.226740749347315e-8</x:v>
      </x:c>
      <x:c r="AK2141" s="81" t="n">
        <x:f>W2141/MAX($W$1829:W2141)-1</x:f>
        <x:v>-0.9999999987123891</x:v>
      </x:c>
      <x:c r="AL2141" s="83" t="n">
        <x:f>'Inputs'!$B$49</x:f>
        <x:v>1</x:v>
      </x:c>
      <x:c r="AM2141" s="83" t="n">
        <x:f>'Inputs'!$C$49</x:f>
        <x:v>3</x:v>
      </x:c>
      <x:c r="AN2141" s="83" t="n">
        <x:f>'Inputs'!$D$49</x:f>
        <x:v>0.75</x:v>
      </x:c>
      <x:c r="AO2141" s="81" t="n">
        <x:f>'Inputs'!$E$49</x:f>
        <x:v>-0.03</x:v>
      </x:c>
    </x:row>
    <x:row r="2142">
      <x:c r="A2142" s="59" t="str">
        <x:v>Mercenary LP</x:v>
      </x:c>
      <x:c r="B2142" s="59" t="n">
        <x:v>314</x:v>
      </x:c>
      <x:c r="C2142" s="78" t="n">
        <x:f>(('Inputs'!$B$29*(3*314*'Inputs'!$B$12-314^2)/(2*'Inputs'!$B$12^2))-('Inputs'!$B$29*(3*313*'Inputs'!$B$12-313^2)/(2*'Inputs'!$B$12^2)))*'Inputs'!$B$49</x:f>
        <x:v>610064.9746668935</x:v>
      </x:c>
      <x:c r="D2142" s="78" t="n">
        <x:f>IF('Inputs'!$C$49&gt;0,('Inputs'!$B$30*(3*314*'Inputs'!$B$12-314^2)/(2*'Inputs'!$B$12^2))-('Inputs'!$B$30*(3*313*'Inputs'!$B$12-313^2)/(2*'Inputs'!$B$12^2)),0)</x:f>
        <x:v>261456.41771440208</x:v>
      </x:c>
      <x:c r="E2142" s="78" t="n">
        <x:f>C2142+D2142</x:f>
        <x:v>871521.3923812956</x:v>
      </x:c>
      <x:c r="F2142" s="78" t="n">
        <x:f>'Inputs'!$B$13*E2142+(1-'Inputs'!$B$13)/'Inputs'!$B$14*SUM(E2087:E2142)</x:f>
        <x:v>881739.0692437575</x:v>
      </x:c>
      <x:c r="G2142" s="78" t="n">
        <x:f>F2142*'Inputs'!$F$49</x:f>
        <x:v>793565.1623193818</x:v>
      </x:c>
      <x:c r="H2142" s="78" t="n">
        <x:f>U2141</x:f>
        <x:v>348540743174.38385</x:v>
      </x:c>
      <x:c r="I2142" s="78" t="n">
        <x:f>V2141</x:f>
        <x:v>0.34835566420942465</x:v>
      </x:c>
      <x:c r="J2142" s="79" t="n">
        <x:f>IF(H2142&gt;0,I2142/H2142,0)</x:f>
        <x:v>9.994689890103706e-13</x:v>
      </x:c>
      <x:c r="K2142" s="80" t="n">
        <x:f>(H2142*J2142+I2142)*'Inputs'!$D$49*(1+'Inputs'!$G$49)^(B2142/30)</x:f>
        <x:v>0.522533496314137</x:v>
      </x:c>
      <x:c r="L2142" s="80" t="n">
        <x:f>MAX(0,K2142*'Inputs'!$E$49)</x:f>
        <x:v>0</x:v>
      </x:c>
      <x:c r="M2142" s="80" t="n">
        <x:f>MAX(0,-K2142*'Inputs'!$E$49)</x:f>
        <x:v>0.01567600488942411</x:v>
      </x:c>
      <x:c r="N2142" s="78" t="n">
        <x:f>H2142*(L2142*(1-'Inputs'!$B$15))/(I2142+L2142*(1-'Inputs'!$B$15))</x:f>
        <x:v>0</x:v>
      </x:c>
      <x:c r="O2142" s="78" t="n">
        <x:f>H2142-N2142</x:f>
        <x:v>348540743174.38385</x:v>
      </x:c>
      <x:c r="P2142" s="78" t="n">
        <x:f>I2142+L2142*(1-'Inputs'!$B$17)</x:f>
        <x:v>0.34835566420942465</x:v>
      </x:c>
      <x:c r="Q2142" s="78" t="n">
        <x:f>IF(J2142&gt;0,M2142/J2142,0)</x:f>
        <x:v>0</x:v>
      </x:c>
      <x:c r="R2142" s="78" t="n">
        <x:f>IF(B2142='Inputs'!$H$49,'Inputs'!$B$27*'Inputs'!$I$49,0)</x:f>
        <x:v>0</x:v>
      </x:c>
      <x:c r="S2142" s="78" t="n">
        <x:f>Q2142+G2142+R2142</x:f>
        <x:v>793565.1623193818</x:v>
      </x:c>
      <x:c r="T2142" s="78" t="n">
        <x:f>P2142*(S2142*(1-'Inputs'!$B$15))/(O2142+S2142*(1-'Inputs'!$B$15))</x:f>
        <x:v>7.852105628855491e-7</x:v>
      </x:c>
      <x:c r="U2142" s="78" t="n">
        <x:f>O2142+S2142*(1-'Inputs'!$B$17)</x:f>
        <x:v>348541533546.125</x:v>
      </x:c>
      <x:c r="V2142" s="78" t="n">
        <x:f>P2142-T2142</x:f>
        <x:v>0.34835487899886175</x:v>
      </x:c>
      <x:c r="W2142" s="79" t="n">
        <x:f>IF(U2142&gt;0,V2142/U2142,0)</x:f>
        <x:v>9.994644697136545e-13</x:v>
      </x:c>
      <x:c r="X2142" s="80" t="n">
        <x:f>W2142*('Inputs'!$B$6-AC2142)</x:f>
        <x:v>-0.023145514260209908</x:v>
      </x:c>
      <x:c r="Y2142" s="80" t="n">
        <x:f>2*V2142</x:f>
        <x:v>0.6967097579977235</x:v>
      </x:c>
      <x:c r="Z2142" s="80" t="n">
        <x:f>K2142*'Inputs'!$B$16+(G2142+R2142)*J2142*'Inputs'!$B$16</x:f>
        <x:v>0.0031352057367474455</x:v>
      </x:c>
      <x:c r="AA2142" s="80" t="n">
        <x:f>K2142*(1+'Inputs'!$E$49)/2*'Inputs'!$B$17</x:f>
        <x:v>0.0010198339867700463</x:v>
      </x:c>
      <x:c r="AB2142" s="78" t="n">
        <x:f>(IF(J2142&gt;0,K2142*(1-'Inputs'!$E$49)/2/J2142,0)+G2142+R2142)*'Inputs'!$B$17</x:f>
        <x:v>3193.421176335541</x:v>
      </x:c>
      <x:c r="AC2142" s="78" t="n">
        <x:f>AC2141+AB2142</x:f>
        <x:v>24157916025.610268</x:v>
      </x:c>
      <x:c r="AD2142" s="80" t="n">
        <x:f>Z2142/(1+'Inputs'!$C$49)</x:f>
        <x:v>0.0007838014341868614</x:v>
      </x:c>
      <x:c r="AE2142" s="80" t="n">
        <x:f>Z2142-AD2142</x:f>
        <x:v>0.002351404302560584</x:v>
      </x:c>
      <x:c r="AF2142" s="80" t="n">
        <x:f>D2142*W2142</x:f>
        <x:v>2.6131639988415663e-7</x:v>
      </x:c>
      <x:c r="AG2142" s="80" t="n">
        <x:f>C2142*W2142</x:f>
        <x:v>6.097382663963207e-7</x:v>
      </x:c>
      <x:c r="AH2142" s="80" t="n">
        <x:f>2*'Inputs'!$B$8*'Inputs'!$C$49</x:f>
        <x:v>15000</x:v>
      </x:c>
      <x:c r="AI2142" s="81" t="n">
        <x:f>IF(AH2142&gt;0,(AE2142+AF2142)/AH2142*365,0)</x:f>
        <x:v>0.00005722386339470473</x:v>
      </x:c>
      <x:c r="AJ2142" s="81" t="n">
        <x:f>IF('Inputs'!$B$49&gt;0,AG2142/('Inputs'!$B$19*'Inputs'!$B$49)*365,0)</x:f>
        <x:v>2.2255446723465706e-8</x:v>
      </x:c>
      <x:c r="AK2142" s="81" t="n">
        <x:f>W2142/MAX($W$1829:W2142)-1</x:f>
        <x:v>-0.9999999987123949</x:v>
      </x:c>
      <x:c r="AL2142" s="83" t="n">
        <x:f>'Inputs'!$B$49</x:f>
        <x:v>1</x:v>
      </x:c>
      <x:c r="AM2142" s="83" t="n">
        <x:f>'Inputs'!$C$49</x:f>
        <x:v>3</x:v>
      </x:c>
      <x:c r="AN2142" s="83" t="n">
        <x:f>'Inputs'!$D$49</x:f>
        <x:v>0.75</x:v>
      </x:c>
      <x:c r="AO2142" s="81" t="n">
        <x:f>'Inputs'!$E$49</x:f>
        <x:v>-0.03</x:v>
      </x:c>
    </x:row>
    <x:row r="2143">
      <x:c r="A2143" s="59" t="str">
        <x:v>Mercenary LP</x:v>
      </x:c>
      <x:c r="B2143" s="59" t="n">
        <x:v>315</x:v>
      </x:c>
      <x:c r="C2143" s="78" t="n">
        <x:f>(('Inputs'!$B$29*(3*315*'Inputs'!$B$12-315^2)/(2*'Inputs'!$B$12^2))-('Inputs'!$B$29*(3*314*'Inputs'!$B$12-314^2)/(2*'Inputs'!$B$12^2)))*'Inputs'!$B$49</x:f>
        <x:v>609739.8667667508</x:v>
      </x:c>
      <x:c r="D2143" s="78" t="n">
        <x:f>IF('Inputs'!$C$49&gt;0,('Inputs'!$B$30*(3*315*'Inputs'!$B$12-315^2)/(2*'Inputs'!$B$12^2))-('Inputs'!$B$30*(3*314*'Inputs'!$B$12-314^2)/(2*'Inputs'!$B$12^2)),0)</x:f>
        <x:v>261317.08575716615</x:v>
      </x:c>
      <x:c r="E2143" s="78" t="n">
        <x:f>C2143+D2143</x:f>
        <x:v>871056.952523917</x:v>
      </x:c>
      <x:c r="F2143" s="78" t="n">
        <x:f>'Inputs'!$B$13*E2143+(1-'Inputs'!$B$13)/'Inputs'!$B$14*SUM(E2088:E2143)</x:f>
        <x:v>881274.6293863744</x:v>
      </x:c>
      <x:c r="G2143" s="78" t="n">
        <x:f>F2143*'Inputs'!$F$49</x:f>
        <x:v>793147.1664477369</x:v>
      </x:c>
      <x:c r="H2143" s="78" t="n">
        <x:f>U2142</x:f>
        <x:v>348541533546.125</x:v>
      </x:c>
      <x:c r="I2143" s="78" t="n">
        <x:f>V2142</x:f>
        <x:v>0.34835487899886175</x:v>
      </x:c>
      <x:c r="J2143" s="79" t="n">
        <x:f>IF(H2143&gt;0,I2143/H2143,0)</x:f>
        <x:v>9.994644697136545e-13</x:v>
      </x:c>
      <x:c r="K2143" s="80" t="n">
        <x:f>(H2143*J2143+I2143)*'Inputs'!$D$49*(1+'Inputs'!$G$49)^(B2143/30)</x:f>
        <x:v>0.5225323184982926</x:v>
      </x:c>
      <x:c r="L2143" s="80" t="n">
        <x:f>MAX(0,K2143*'Inputs'!$E$49)</x:f>
        <x:v>0</x:v>
      </x:c>
      <x:c r="M2143" s="80" t="n">
        <x:f>MAX(0,-K2143*'Inputs'!$E$49)</x:f>
        <x:v>0.01567596955494878</x:v>
      </x:c>
      <x:c r="N2143" s="78" t="n">
        <x:f>H2143*(L2143*(1-'Inputs'!$B$15))/(I2143+L2143*(1-'Inputs'!$B$15))</x:f>
        <x:v>0</x:v>
      </x:c>
      <x:c r="O2143" s="78" t="n">
        <x:f>H2143-N2143</x:f>
        <x:v>348541533546.125</x:v>
      </x:c>
      <x:c r="P2143" s="78" t="n">
        <x:f>I2143+L2143*(1-'Inputs'!$B$17)</x:f>
        <x:v>0.34835487899886175</x:v>
      </x:c>
      <x:c r="Q2143" s="78" t="n">
        <x:f>IF(J2143&gt;0,M2143/J2143,0)</x:f>
        <x:v>0</x:v>
      </x:c>
      <x:c r="R2143" s="78" t="n">
        <x:f>IF(B2143='Inputs'!$H$49,'Inputs'!$B$27*'Inputs'!$I$49,0)</x:f>
        <x:v>0</x:v>
      </x:c>
      <x:c r="S2143" s="78" t="n">
        <x:f>Q2143+G2143+R2143</x:f>
        <x:v>793147.1664477369</x:v>
      </x:c>
      <x:c r="T2143" s="78" t="n">
        <x:f>P2143*(S2143*(1-'Inputs'!$B$15))/(O2143+S2143*(1-'Inputs'!$B$15))</x:f>
        <x:v>7.847934199667496e-7</x:v>
      </x:c>
      <x:c r="U2143" s="78" t="n">
        <x:f>O2143+S2143*(1-'Inputs'!$B$17)</x:f>
        <x:v>348542323501.55237</x:v>
      </x:c>
      <x:c r="V2143" s="78" t="n">
        <x:f>P2143-T2143</x:f>
        <x:v>0.3483540942054418</x:v>
      </x:c>
      <x:c r="W2143" s="79" t="n">
        <x:f>IF(U2143&gt;0,V2143/U2143,0)</x:f>
        <x:v>9.994599528280538e-13</x:v>
      </x:c>
      <x:c r="X2143" s="80" t="n">
        <x:f>W2143*('Inputs'!$B$6-AC2143)</x:f>
        <x:v>-0.02314541284856788</x:v>
      </x:c>
      <x:c r="Y2143" s="80" t="n">
        <x:f>2*V2143</x:f>
        <x:v>0.6967081884108836</x:v>
      </x:c>
      <x:c r="Z2143" s="80" t="n">
        <x:f>K2143*'Inputs'!$B$16+(G2143+R2143)*J2143*'Inputs'!$B$16</x:f>
        <x:v>0.0031351986673242285</x:v>
      </x:c>
      <x:c r="AA2143" s="80" t="n">
        <x:f>K2143*(1+'Inputs'!$E$49)/2*'Inputs'!$B$17</x:f>
        <x:v>0.0010198316880147766</x:v>
      </x:c>
      <x:c r="AB2143" s="78" t="n">
        <x:f>(IF(J2143&gt;0,K2143*(1-'Inputs'!$E$49)/2/J2143,0)+G2143+R2143)*'Inputs'!$B$17</x:f>
        <x:v>3191.7391003933076</x:v>
      </x:c>
      <x:c r="AC2143" s="78" t="n">
        <x:f>AC2142+AB2143</x:f>
        <x:v>24157919217.34937</x:v>
      </x:c>
      <x:c r="AD2143" s="80" t="n">
        <x:f>Z2143/(1+'Inputs'!$C$49)</x:f>
        <x:v>0.0007837996668310571</x:v>
      </x:c>
      <x:c r="AE2143" s="80" t="n">
        <x:f>Z2143-AD2143</x:f>
        <x:v>0.002351399000493171</x:v>
      </x:c>
      <x:c r="AF2143" s="80" t="n">
        <x:f>D2143*W2143</x:f>
        <x:v>2.611759622040218e-7</x:v>
      </x:c>
      <x:c r="AG2143" s="80" t="n">
        <x:f>C2143*W2143</x:f>
        <x:v>6.094105784760806e-7</x:v>
      </x:c>
      <x:c r="AH2143" s="80" t="n">
        <x:f>2*'Inputs'!$B$8*'Inputs'!$C$49</x:f>
        <x:v>15000</x:v>
      </x:c>
      <x:c r="AI2143" s="81" t="n">
        <x:f>IF(AH2143&gt;0,(AE2143+AF2143)/AH2143*365,0)</x:f>
        <x:v>0.00005722373096041413</x:v>
      </x:c>
      <x:c r="AJ2143" s="81" t="n">
        <x:f>IF('Inputs'!$B$49&gt;0,AG2143/('Inputs'!$B$19*'Inputs'!$B$49)*365,0)</x:f>
        <x:v>2.224348611437694e-8</x:v>
      </x:c>
      <x:c r="AK2143" s="81" t="n">
        <x:f>W2143/MAX($W$1829:W2143)-1</x:f>
        <x:v>-0.9999999987124006</x:v>
      </x:c>
      <x:c r="AL2143" s="83" t="n">
        <x:f>'Inputs'!$B$49</x:f>
        <x:v>1</x:v>
      </x:c>
      <x:c r="AM2143" s="83" t="n">
        <x:f>'Inputs'!$C$49</x:f>
        <x:v>3</x:v>
      </x:c>
      <x:c r="AN2143" s="83" t="n">
        <x:f>'Inputs'!$D$49</x:f>
        <x:v>0.75</x:v>
      </x:c>
      <x:c r="AO2143" s="81" t="n">
        <x:f>'Inputs'!$E$49</x:f>
        <x:v>-0.03</x:v>
      </x:c>
    </x:row>
    <x:row r="2144">
      <x:c r="A2144" s="59" t="str">
        <x:v>Mercenary LP</x:v>
      </x:c>
      <x:c r="B2144" s="59" t="n">
        <x:v>316</x:v>
      </x:c>
      <x:c r="C2144" s="78" t="n">
        <x:f>(('Inputs'!$B$29*(3*316*'Inputs'!$B$12-316^2)/(2*'Inputs'!$B$12^2))-('Inputs'!$B$29*(3*315*'Inputs'!$B$12-315^2)/(2*'Inputs'!$B$12^2)))*'Inputs'!$B$49</x:f>
        <x:v>609414.7588665783</x:v>
      </x:c>
      <x:c r="D2144" s="78" t="n">
        <x:f>IF('Inputs'!$C$49&gt;0,('Inputs'!$B$30*(3*316*'Inputs'!$B$12-316^2)/(2*'Inputs'!$B$12^2))-('Inputs'!$B$30*(3*315*'Inputs'!$B$12-315^2)/(2*'Inputs'!$B$12^2)),0)</x:f>
        <x:v>261177.75379997492</x:v>
      </x:c>
      <x:c r="E2144" s="78" t="n">
        <x:f>C2144+D2144</x:f>
        <x:v>870592.5126665533</x:v>
      </x:c>
      <x:c r="F2144" s="78" t="n">
        <x:f>'Inputs'!$B$13*E2144+(1-'Inputs'!$B$13)/'Inputs'!$B$14*SUM(E2089:E2144)</x:f>
        <x:v>880810.1895289947</x:v>
      </x:c>
      <x:c r="G2144" s="78" t="n">
        <x:f>F2144*'Inputs'!$F$49</x:f>
        <x:v>792729.1705760952</x:v>
      </x:c>
      <x:c r="H2144" s="78" t="n">
        <x:f>U2143</x:f>
        <x:v>348542323501.55237</x:v>
      </x:c>
      <x:c r="I2144" s="78" t="n">
        <x:f>V2143</x:f>
        <x:v>0.3483540942054418</x:v>
      </x:c>
      <x:c r="J2144" s="79" t="n">
        <x:f>IF(H2144&gt;0,I2144/H2144,0)</x:f>
        <x:v>9.994599528280538e-13</x:v>
      </x:c>
      <x:c r="K2144" s="80" t="n">
        <x:f>(H2144*J2144+I2144)*'Inputs'!$D$49*(1+'Inputs'!$G$49)^(B2144/30)</x:f>
        <x:v>0.5225311413081627</x:v>
      </x:c>
      <x:c r="L2144" s="80" t="n">
        <x:f>MAX(0,K2144*'Inputs'!$E$49)</x:f>
        <x:v>0</x:v>
      </x:c>
      <x:c r="M2144" s="80" t="n">
        <x:f>MAX(0,-K2144*'Inputs'!$E$49)</x:f>
        <x:v>0.01567593423924488</x:v>
      </x:c>
      <x:c r="N2144" s="78" t="n">
        <x:f>H2144*(L2144*(1-'Inputs'!$B$15))/(I2144+L2144*(1-'Inputs'!$B$15))</x:f>
        <x:v>0</x:v>
      </x:c>
      <x:c r="O2144" s="78" t="n">
        <x:f>H2144-N2144</x:f>
        <x:v>348542323501.55237</x:v>
      </x:c>
      <x:c r="P2144" s="78" t="n">
        <x:f>I2144+L2144*(1-'Inputs'!$B$17)</x:f>
        <x:v>0.3483540942054418</x:v>
      </x:c>
      <x:c r="Q2144" s="78" t="n">
        <x:f>IF(J2144&gt;0,M2144/J2144,0)</x:f>
        <x:v>0</x:v>
      </x:c>
      <x:c r="R2144" s="78" t="n">
        <x:f>IF(B2144='Inputs'!$H$49,'Inputs'!$B$27*'Inputs'!$I$49,0)</x:f>
        <x:v>0</x:v>
      </x:c>
      <x:c r="S2144" s="78" t="n">
        <x:f>Q2144+G2144+R2144</x:f>
        <x:v>792729.1705760952</x:v>
      </x:c>
      <x:c r="T2144" s="78" t="n">
        <x:f>P2144*(S2144*(1-'Inputs'!$B$15))/(O2144+S2144*(1-'Inputs'!$B$15))</x:f>
        <x:v>7.843762826795012e-7</x:v>
      </x:c>
      <x:c r="U2144" s="78" t="n">
        <x:f>O2144+S2144*(1-'Inputs'!$B$17)</x:f>
        <x:v>348543113040.6659</x:v>
      </x:c>
      <x:c r="V2144" s="78" t="n">
        <x:f>P2144-T2144</x:f>
        <x:v>0.3483533098291591</x:v>
      </x:c>
      <x:c r="W2144" s="79" t="n">
        <x:f>IF(U2144&gt;0,V2144/U2144,0)</x:f>
        <x:v>9.994554383535196e-13</x:v>
      </x:c>
      <x:c r="X2144" s="80" t="n">
        <x:f>W2144*('Inputs'!$B$6-AC2144)</x:f>
        <x:v>-0.023145311491051153</x:v>
      </x:c>
      <x:c r="Y2144" s="80" t="n">
        <x:f>2*V2144</x:f>
        <x:v>0.6967066196583181</x:v>
      </x:c>
      <x:c r="Z2144" s="80" t="n">
        <x:f>K2144*'Inputs'!$B$16+(G2144+R2144)*J2144*'Inputs'!$B$16</x:f>
        <x:v>0.0031351916016553326</x:v>
      </x:c>
      <x:c r="AA2144" s="80" t="n">
        <x:f>K2144*(1+'Inputs'!$E$49)/2*'Inputs'!$B$17</x:f>
        <x:v>0.0010198293904807201</x:v>
      </x:c>
      <x:c r="AB2144" s="78" t="n">
        <x:f>(IF(J2144&gt;0,K2144*(1-'Inputs'!$E$49)/2/J2144,0)+G2144+R2144)*'Inputs'!$B$17</x:f>
        <x:v>3190.0570244510877</x:v>
      </x:c>
      <x:c r="AC2144" s="78" t="n">
        <x:f>AC2143+AB2144</x:f>
        <x:v>24157922407.406395</x:v>
      </x:c>
      <x:c r="AD2144" s="80" t="n">
        <x:f>Z2144/(1+'Inputs'!$C$49)</x:f>
        <x:v>0.0007837979004138332</x:v>
      </x:c>
      <x:c r="AE2144" s="80" t="n">
        <x:f>Z2144-AD2144</x:f>
        <x:v>0.0023513937012414996</x:v>
      </x:c>
      <x:c r="AF2144" s="80" t="n">
        <x:f>D2144*W2144</x:f>
        <x:v>2.6103552641234155e-7</x:v>
      </x:c>
      <x:c r="AG2144" s="80" t="n">
        <x:f>C2144*W2144</x:f>
        <x:v>6.090828949621005e-7</x:v>
      </x:c>
      <x:c r="AH2144" s="80" t="n">
        <x:f>2*'Inputs'!$B$8*'Inputs'!$C$49</x:f>
        <x:v>15000</x:v>
      </x:c>
      <x:c r="AI2144" s="81" t="n">
        <x:f>IF(AH2144&gt;0,(AE2144+AF2144)/AH2144*365,0)</x:f>
        <x:v>0.000057223598594685854</x:v>
      </x:c>
      <x:c r="AJ2144" s="81" t="n">
        <x:f>IF('Inputs'!$B$49&gt;0,AG2144/('Inputs'!$B$19*'Inputs'!$B$49)*365,0)</x:f>
        <x:v>2.2231525666116667e-8</x:v>
      </x:c>
      <x:c r="AK2144" s="81" t="n">
        <x:f>W2144/MAX($W$1829:W2144)-1</x:f>
        <x:v>-0.9999999987124065</x:v>
      </x:c>
      <x:c r="AL2144" s="83" t="n">
        <x:f>'Inputs'!$B$49</x:f>
        <x:v>1</x:v>
      </x:c>
      <x:c r="AM2144" s="83" t="n">
        <x:f>'Inputs'!$C$49</x:f>
        <x:v>3</x:v>
      </x:c>
      <x:c r="AN2144" s="83" t="n">
        <x:f>'Inputs'!$D$49</x:f>
        <x:v>0.75</x:v>
      </x:c>
      <x:c r="AO2144" s="81" t="n">
        <x:f>'Inputs'!$E$49</x:f>
        <x:v>-0.03</x:v>
      </x:c>
    </x:row>
    <x:row r="2145">
      <x:c r="A2145" s="59" t="str">
        <x:v>Mercenary LP</x:v>
      </x:c>
      <x:c r="B2145" s="59" t="n">
        <x:v>317</x:v>
      </x:c>
      <x:c r="C2145" s="78" t="n">
        <x:f>(('Inputs'!$B$29*(3*317*'Inputs'!$B$12-317^2)/(2*'Inputs'!$B$12^2))-('Inputs'!$B$29*(3*316*'Inputs'!$B$12-316^2)/(2*'Inputs'!$B$12^2)))*'Inputs'!$B$49</x:f>
        <x:v>609089.6509664357</x:v>
      </x:c>
      <x:c r="D2145" s="78" t="n">
        <x:f>IF('Inputs'!$C$49&gt;0,('Inputs'!$B$30*(3*317*'Inputs'!$B$12-317^2)/(2*'Inputs'!$B$12^2))-('Inputs'!$B$30*(3*316*'Inputs'!$B$12-316^2)/(2*'Inputs'!$B$12^2)),0)</x:f>
        <x:v>261038.421842739</x:v>
      </x:c>
      <x:c r="E2145" s="78" t="n">
        <x:f>C2145+D2145</x:f>
        <x:v>870128.0728091747</x:v>
      </x:c>
      <x:c r="F2145" s="78" t="n">
        <x:f>'Inputs'!$B$13*E2145+(1-'Inputs'!$B$13)/'Inputs'!$B$14*SUM(E2090:E2145)</x:f>
        <x:v>880345.7496716117</x:v>
      </x:c>
      <x:c r="G2145" s="78" t="n">
        <x:f>F2145*'Inputs'!$F$49</x:f>
        <x:v>792311.1747044505</x:v>
      </x:c>
      <x:c r="H2145" s="78" t="n">
        <x:f>U2144</x:f>
        <x:v>348543113040.6659</x:v>
      </x:c>
      <x:c r="I2145" s="78" t="n">
        <x:f>V2144</x:f>
        <x:v>0.3483533098291591</x:v>
      </x:c>
      <x:c r="J2145" s="79" t="n">
        <x:f>IF(H2145&gt;0,I2145/H2145,0)</x:f>
        <x:v>9.994554383535196e-13</x:v>
      </x:c>
      <x:c r="K2145" s="80" t="n">
        <x:f>(H2145*J2145+I2145)*'Inputs'!$D$49*(1+'Inputs'!$G$49)^(B2145/30)</x:f>
        <x:v>0.5225299647437386</x:v>
      </x:c>
      <x:c r="L2145" s="80" t="n">
        <x:f>MAX(0,K2145*'Inputs'!$E$49)</x:f>
        <x:v>0</x:v>
      </x:c>
      <x:c r="M2145" s="80" t="n">
        <x:f>MAX(0,-K2145*'Inputs'!$E$49)</x:f>
        <x:v>0.015675898942312156</x:v>
      </x:c>
      <x:c r="N2145" s="78" t="n">
        <x:f>H2145*(L2145*(1-'Inputs'!$B$15))/(I2145+L2145*(1-'Inputs'!$B$15))</x:f>
        <x:v>0</x:v>
      </x:c>
      <x:c r="O2145" s="78" t="n">
        <x:f>H2145-N2145</x:f>
        <x:v>348543113040.6659</x:v>
      </x:c>
      <x:c r="P2145" s="78" t="n">
        <x:f>I2145+L2145*(1-'Inputs'!$B$17)</x:f>
        <x:v>0.3483533098291591</x:v>
      </x:c>
      <x:c r="Q2145" s="78" t="n">
        <x:f>IF(J2145&gt;0,M2145/J2145,0)</x:f>
        <x:v>0</x:v>
      </x:c>
      <x:c r="R2145" s="78" t="n">
        <x:f>IF(B2145='Inputs'!$H$49,'Inputs'!$B$27*'Inputs'!$I$49,0)</x:f>
        <x:v>0</x:v>
      </x:c>
      <x:c r="S2145" s="78" t="n">
        <x:f>Q2145+G2145+R2145</x:f>
        <x:v>792311.1747044505</x:v>
      </x:c>
      <x:c r="T2145" s="78" t="n">
        <x:f>P2145*(S2145*(1-'Inputs'!$B$15))/(O2145+S2145*(1-'Inputs'!$B$15))</x:f>
        <x:v>7.83959151020766e-7</x:v>
      </x:c>
      <x:c r="U2145" s="78" t="n">
        <x:f>O2145+S2145*(1-'Inputs'!$B$17)</x:f>
        <x:v>348543902163.46564</x:v>
      </x:c>
      <x:c r="V2145" s="78" t="n">
        <x:f>P2145-T2145</x:f>
        <x:v>0.34835252587000803</x:v>
      </x:c>
      <x:c r="W2145" s="79" t="n">
        <x:f>IF(U2145&gt;0,V2145/U2145,0)</x:f>
        <x:v>9.994509262900034e-13</x:v>
      </x:c>
      <x:c r="X2145" s="80" t="n">
        <x:f>W2145*('Inputs'!$B$6-AC2145)</x:f>
        <x:v>-0.023145210187658645</x:v>
      </x:c>
      <x:c r="Y2145" s="80" t="n">
        <x:f>2*V2145</x:f>
        <x:v>0.6967050517400161</x:v>
      </x:c>
      <x:c r="Z2145" s="80" t="n">
        <x:f>K2145*'Inputs'!$B$16+(G2145+R2145)*J2145*'Inputs'!$B$16</x:f>
        <x:v>0.003135184539740706</x:v>
      </x:c>
      <x:c r="AA2145" s="80" t="n">
        <x:f>K2145*(1+'Inputs'!$E$49)/2*'Inputs'!$B$17</x:f>
        <x:v>0.0010198270941678602</x:v>
      </x:c>
      <x:c r="AB2145" s="78" t="n">
        <x:f>(IF(J2145&gt;0,K2145*(1-'Inputs'!$E$49)/2/J2145,0)+G2145+R2145)*'Inputs'!$B$17</x:f>
        <x:v>3188.3749485088556</x:v>
      </x:c>
      <x:c r="AC2145" s="78" t="n">
        <x:f>AC2144+AB2145</x:f>
        <x:v>24157925595.781345</x:v>
      </x:c>
      <x:c r="AD2145" s="80" t="n">
        <x:f>Z2145/(1+'Inputs'!$C$49)</x:f>
        <x:v>0.0007837961349351765</x:v>
      </x:c>
      <x:c r="AE2145" s="80" t="n">
        <x:f>Z2145-AD2145</x:f>
        <x:v>0.0023513884048055296</x:v>
      </x:c>
      <x:c r="AF2145" s="80" t="n">
        <x:f>D2145*W2145</x:f>
        <x:v>2.6089509250800615e-7</x:v>
      </x:c>
      <x:c r="AG2145" s="80" t="n">
        <x:f>C2145*W2145</x:f>
        <x:v>6.08755215852059e-7</x:v>
      </x:c>
      <x:c r="AH2145" s="80" t="n">
        <x:f>2*'Inputs'!$B$8*'Inputs'!$C$49</x:f>
        <x:v>15000</x:v>
      </x:c>
      <x:c r="AI2145" s="81" t="n">
        <x:f>IF(AH2145&gt;0,(AE2145+AF2145)/AH2145*365,0)</x:f>
        <x:v>0.00005722346629751891</x:v>
      </x:c>
      <x:c r="AJ2145" s="81" t="n">
        <x:f>IF('Inputs'!$B$49&gt;0,AG2145/('Inputs'!$B$19*'Inputs'!$B$49)*365,0)</x:f>
        <x:v>2.2219565378600153e-8</x:v>
      </x:c>
      <x:c r="AK2145" s="81" t="n">
        <x:f>W2145/MAX($W$1829:W2145)-1</x:f>
        <x:v>-0.9999999987124123</x:v>
      </x:c>
      <x:c r="AL2145" s="83" t="n">
        <x:f>'Inputs'!$B$49</x:f>
        <x:v>1</x:v>
      </x:c>
      <x:c r="AM2145" s="83" t="n">
        <x:f>'Inputs'!$C$49</x:f>
        <x:v>3</x:v>
      </x:c>
      <x:c r="AN2145" s="83" t="n">
        <x:f>'Inputs'!$D$49</x:f>
        <x:v>0.75</x:v>
      </x:c>
      <x:c r="AO2145" s="81" t="n">
        <x:f>'Inputs'!$E$49</x:f>
        <x:v>-0.03</x:v>
      </x:c>
    </x:row>
    <x:row r="2146">
      <x:c r="A2146" s="59" t="str">
        <x:v>Mercenary LP</x:v>
      </x:c>
      <x:c r="B2146" s="59" t="n">
        <x:v>318</x:v>
      </x:c>
      <x:c r="C2146" s="78" t="n">
        <x:f>(('Inputs'!$B$29*(3*318*'Inputs'!$B$12-318^2)/(2*'Inputs'!$B$12^2))-('Inputs'!$B$29*(3*317*'Inputs'!$B$12-317^2)/(2*'Inputs'!$B$12^2)))*'Inputs'!$B$49</x:f>
        <x:v>608764.5430662334</x:v>
      </x:c>
      <x:c r="D2146" s="78" t="n">
        <x:f>IF('Inputs'!$C$49&gt;0,('Inputs'!$B$30*(3*318*'Inputs'!$B$12-318^2)/(2*'Inputs'!$B$12^2))-('Inputs'!$B$30*(3*317*'Inputs'!$B$12-317^2)/(2*'Inputs'!$B$12^2)),0)</x:f>
        <x:v>260899.08988553286</x:v>
      </x:c>
      <x:c r="E2146" s="78" t="n">
        <x:f>C2146+D2146</x:f>
        <x:v>869663.6329517663</x:v>
      </x:c>
      <x:c r="F2146" s="78" t="n">
        <x:f>'Inputs'!$B$13*E2146+(1-'Inputs'!$B$13)/'Inputs'!$B$14*SUM(E2091:E2146)</x:f>
        <x:v>879881.3098142229</x:v>
      </x:c>
      <x:c r="G2146" s="78" t="n">
        <x:f>F2146*'Inputs'!$F$49</x:f>
        <x:v>791893.1788328006</x:v>
      </x:c>
      <x:c r="H2146" s="78" t="n">
        <x:f>U2145</x:f>
        <x:v>348543902163.46564</x:v>
      </x:c>
      <x:c r="I2146" s="78" t="n">
        <x:f>V2145</x:f>
        <x:v>0.34835252587000803</x:v>
      </x:c>
      <x:c r="J2146" s="79" t="n">
        <x:f>IF(H2146&gt;0,I2146/H2146,0)</x:f>
        <x:v>9.994509262900034e-13</x:v>
      </x:c>
      <x:c r="K2146" s="80" t="n">
        <x:f>(H2146*J2146+I2146)*'Inputs'!$D$49*(1+'Inputs'!$G$49)^(B2146/30)</x:f>
        <x:v>0.5225287888050121</x:v>
      </x:c>
      <x:c r="L2146" s="80" t="n">
        <x:f>MAX(0,K2146*'Inputs'!$E$49)</x:f>
        <x:v>0</x:v>
      </x:c>
      <x:c r="M2146" s="80" t="n">
        <x:f>MAX(0,-K2146*'Inputs'!$E$49)</x:f>
        <x:v>0.01567586366415036</x:v>
      </x:c>
      <x:c r="N2146" s="78" t="n">
        <x:f>H2146*(L2146*(1-'Inputs'!$B$15))/(I2146+L2146*(1-'Inputs'!$B$15))</x:f>
        <x:v>0</x:v>
      </x:c>
      <x:c r="O2146" s="78" t="n">
        <x:f>H2146-N2146</x:f>
        <x:v>348543902163.46564</x:v>
      </x:c>
      <x:c r="P2146" s="78" t="n">
        <x:f>I2146+L2146*(1-'Inputs'!$B$17)</x:f>
        <x:v>0.34835252587000803</x:v>
      </x:c>
      <x:c r="Q2146" s="78" t="n">
        <x:f>IF(J2146&gt;0,M2146/J2146,0)</x:f>
        <x:v>0</x:v>
      </x:c>
      <x:c r="R2146" s="78" t="n">
        <x:f>IF(B2146='Inputs'!$H$49,'Inputs'!$B$27*'Inputs'!$I$49,0)</x:f>
        <x:v>0</x:v>
      </x:c>
      <x:c r="S2146" s="78" t="n">
        <x:f>Q2146+G2146+R2146</x:f>
        <x:v>791893.1788328006</x:v>
      </x:c>
      <x:c r="T2146" s="78" t="n">
        <x:f>P2146*(S2146*(1-'Inputs'!$B$15))/(O2146+S2146*(1-'Inputs'!$B$15))</x:f>
        <x:v>7.835420249875106e-7</x:v>
      </x:c>
      <x:c r="U2146" s="78" t="n">
        <x:f>O2146+S2146*(1-'Inputs'!$B$17)</x:f>
        <x:v>348544690869.9516</x:v>
      </x:c>
      <x:c r="V2146" s="78" t="n">
        <x:f>P2146-T2146</x:f>
        <x:v>0.34835174232798305</x:v>
      </x:c>
      <x:c r="W2146" s="79" t="n">
        <x:f>IF(U2146&gt;0,V2146/U2146,0)</x:f>
        <x:v>9.994464166374563e-13</x:v>
      </x:c>
      <x:c r="X2146" s="80" t="n">
        <x:f>W2146*('Inputs'!$B$6-AC2146)</x:f>
        <x:v>-0.023145108938389267</x:v>
      </x:c>
      <x:c r="Y2146" s="80" t="n">
        <x:f>2*V2146</x:f>
        <x:v>0.6967034846559661</x:v>
      </x:c>
      <x:c r="Z2146" s="80" t="n">
        <x:f>K2146*'Inputs'!$B$16+(G2146+R2146)*J2146*'Inputs'!$B$16</x:f>
        <x:v>0.0031351774815802994</x:v>
      </x:c>
      <x:c r="AA2146" s="80" t="n">
        <x:f>K2146*(1+'Inputs'!$E$49)/2*'Inputs'!$B$17</x:f>
        <x:v>0.0010198247990761806</x:v>
      </x:c>
      <x:c r="AB2146" s="78" t="n">
        <x:f>(IF(J2146&gt;0,K2146*(1-'Inputs'!$E$49)/2/J2146,0)+G2146+R2146)*'Inputs'!$B$17</x:f>
        <x:v>3186.692872566602</x:v>
      </x:c>
      <x:c r="AC2146" s="78" t="n">
        <x:f>AC2145+AB2146</x:f>
        <x:v>24157928782.474216</x:v>
      </x:c>
      <x:c r="AD2146" s="80" t="n">
        <x:f>Z2146/(1+'Inputs'!$C$49)</x:f>
        <x:v>0.0007837943703950748</x:v>
      </x:c>
      <x:c r="AE2146" s="80" t="n">
        <x:f>Z2146-AD2146</x:f>
        <x:v>0.0023513831111852245</x:v>
      </x:c>
      <x:c r="AF2146" s="80" t="n">
        <x:f>D2146*W2146</x:f>
        <x:v>2.6075466049006946e-7</x:v>
      </x:c>
      <x:c r="AG2146" s="80" t="n">
        <x:f>C2146*W2146</x:f>
        <x:v>6.084275411434854e-7</x:v>
      </x:c>
      <x:c r="AH2146" s="80" t="n">
        <x:f>2*'Inputs'!$B$8*'Inputs'!$C$49</x:f>
        <x:v>15000</x:v>
      </x:c>
      <x:c r="AI2146" s="81" t="n">
        <x:f>IF(AH2146&gt;0,(AE2146+AF2146)/AH2146*365,0)</x:f>
        <x:v>0.00005722333406891238</x:v>
      </x:c>
      <x:c r="AJ2146" s="81" t="n">
        <x:f>IF('Inputs'!$B$49&gt;0,AG2146/('Inputs'!$B$19*'Inputs'!$B$49)*365,0)</x:f>
        <x:v>2.2207605251737215e-8</x:v>
      </x:c>
      <x:c r="AK2146" s="81" t="n">
        <x:f>W2146/MAX($W$1829:W2146)-1</x:f>
        <x:v>-0.9999999987124182</x:v>
      </x:c>
      <x:c r="AL2146" s="83" t="n">
        <x:f>'Inputs'!$B$49</x:f>
        <x:v>1</x:v>
      </x:c>
      <x:c r="AM2146" s="83" t="n">
        <x:f>'Inputs'!$C$49</x:f>
        <x:v>3</x:v>
      </x:c>
      <x:c r="AN2146" s="83" t="n">
        <x:f>'Inputs'!$D$49</x:f>
        <x:v>0.75</x:v>
      </x:c>
      <x:c r="AO2146" s="81" t="n">
        <x:f>'Inputs'!$E$49</x:f>
        <x:v>-0.03</x:v>
      </x:c>
    </x:row>
    <x:row r="2147">
      <x:c r="A2147" s="59" t="str">
        <x:v>Mercenary LP</x:v>
      </x:c>
      <x:c r="B2147" s="59" t="n">
        <x:v>319</x:v>
      </x:c>
      <x:c r="C2147" s="78" t="n">
        <x:f>(('Inputs'!$B$29*(3*319*'Inputs'!$B$12-319^2)/(2*'Inputs'!$B$12^2))-('Inputs'!$B$29*(3*318*'Inputs'!$B$12-318^2)/(2*'Inputs'!$B$12^2)))*'Inputs'!$B$49</x:f>
        <x:v>608439.4351660609</x:v>
      </x:c>
      <x:c r="D2147" s="78" t="n">
        <x:f>IF('Inputs'!$C$49&gt;0,('Inputs'!$B$30*(3*319*'Inputs'!$B$12-319^2)/(2*'Inputs'!$B$12^2))-('Inputs'!$B$30*(3*318*'Inputs'!$B$12-318^2)/(2*'Inputs'!$B$12^2)),0)</x:f>
        <x:v>260759.75792831182</x:v>
      </x:c>
      <x:c r="E2147" s="78" t="n">
        <x:f>C2147+D2147</x:f>
        <x:v>869199.1930943727</x:v>
      </x:c>
      <x:c r="F2147" s="78" t="n">
        <x:f>'Inputs'!$B$13*E2147+(1-'Inputs'!$B$13)/'Inputs'!$B$14*SUM(E2092:E2147)</x:f>
        <x:v>879416.8699568363</x:v>
      </x:c>
      <x:c r="G2147" s="78" t="n">
        <x:f>F2147*'Inputs'!$F$49</x:f>
        <x:v>791475.1829611528</x:v>
      </x:c>
      <x:c r="H2147" s="78" t="n">
        <x:f>U2146</x:f>
        <x:v>348544690869.9516</x:v>
      </x:c>
      <x:c r="I2147" s="78" t="n">
        <x:f>V2146</x:f>
        <x:v>0.34835174232798305</x:v>
      </x:c>
      <x:c r="J2147" s="79" t="n">
        <x:f>IF(H2147&gt;0,I2147/H2147,0)</x:f>
        <x:v>9.994464166374563e-13</x:v>
      </x:c>
      <x:c r="K2147" s="80" t="n">
        <x:f>(H2147*J2147+I2147)*'Inputs'!$D$49*(1+'Inputs'!$G$49)^(B2147/30)</x:f>
        <x:v>0.5225276134919745</x:v>
      </x:c>
      <x:c r="L2147" s="80" t="n">
        <x:f>MAX(0,K2147*'Inputs'!$E$49)</x:f>
        <x:v>0</x:v>
      </x:c>
      <x:c r="M2147" s="80" t="n">
        <x:f>MAX(0,-K2147*'Inputs'!$E$49)</x:f>
        <x:v>0.015675828404759236</x:v>
      </x:c>
      <x:c r="N2147" s="78" t="n">
        <x:f>H2147*(L2147*(1-'Inputs'!$B$15))/(I2147+L2147*(1-'Inputs'!$B$15))</x:f>
        <x:v>0</x:v>
      </x:c>
      <x:c r="O2147" s="78" t="n">
        <x:f>H2147-N2147</x:f>
        <x:v>348544690869.9516</x:v>
      </x:c>
      <x:c r="P2147" s="78" t="n">
        <x:f>I2147+L2147*(1-'Inputs'!$B$17)</x:f>
        <x:v>0.34835174232798305</x:v>
      </x:c>
      <x:c r="Q2147" s="78" t="n">
        <x:f>IF(J2147&gt;0,M2147/J2147,0)</x:f>
        <x:v>0</x:v>
      </x:c>
      <x:c r="R2147" s="78" t="n">
        <x:f>IF(B2147='Inputs'!$H$49,'Inputs'!$B$27*'Inputs'!$I$49,0)</x:f>
        <x:v>0</x:v>
      </x:c>
      <x:c r="S2147" s="78" t="n">
        <x:f>Q2147+G2147+R2147</x:f>
        <x:v>791475.1829611528</x:v>
      </x:c>
      <x:c r="T2147" s="78" t="n">
        <x:f>P2147*(S2147*(1-'Inputs'!$B$15))/(O2147+S2147*(1-'Inputs'!$B$15))</x:f>
        <x:v>7.83124904576711e-7</x:v>
      </x:c>
      <x:c r="U2147" s="78" t="n">
        <x:f>O2147+S2147*(1-'Inputs'!$B$17)</x:f>
        <x:v>348545479160.1238</x:v>
      </x:c>
      <x:c r="V2147" s="78" t="n">
        <x:f>P2147-T2147</x:f>
        <x:v>0.34835095920307846</x:v>
      </x:c>
      <x:c r="W2147" s="79" t="n">
        <x:f>IF(U2147&gt;0,V2147/U2147,0)</x:f>
        <x:v>9.994419093958296e-13</x:v>
      </x:c>
      <x:c r="X2147" s="80" t="n">
        <x:f>W2147*('Inputs'!$B$6-AC2147)</x:f>
        <x:v>-0.023145007743241942</x:v>
      </x:c>
      <x:c r="Y2147" s="80" t="n">
        <x:f>2*V2147</x:f>
        <x:v>0.6967019184061569</x:v>
      </x:c>
      <x:c r="Z2147" s="80" t="n">
        <x:f>K2147*'Inputs'!$B$16+(G2147+R2147)*J2147*'Inputs'!$B$16</x:f>
        <x:v>0.00313517042717406</x:v>
      </x:c>
      <x:c r="AA2147" s="80" t="n">
        <x:f>K2147*(1+'Inputs'!$E$49)/2*'Inputs'!$B$17</x:f>
        <x:v>0.0010198225052056647</x:v>
      </x:c>
      <x:c r="AB2147" s="78" t="n">
        <x:f>(IF(J2147&gt;0,K2147*(1-'Inputs'!$E$49)/2/J2147,0)+G2147+R2147)*'Inputs'!$B$17</x:f>
        <x:v>3185.010796624357</x:v>
      </x:c>
      <x:c r="AC2147" s="78" t="n">
        <x:f>AC2146+AB2147</x:f>
        <x:v>24157931967.485012</x:v>
      </x:c>
      <x:c r="AD2147" s="80" t="n">
        <x:f>Z2147/(1+'Inputs'!$C$49)</x:f>
        <x:v>0.000783792606793515</x:v>
      </x:c>
      <x:c r="AE2147" s="80" t="n">
        <x:f>Z2147-AD2147</x:f>
        <x:v>0.002351377820380545</x:v>
      </x:c>
      <x:c r="AF2147" s="80" t="n">
        <x:f>D2147*W2147</x:f>
        <x:v>2.6061423035746627e-7</x:v>
      </x:c>
      <x:c r="AG2147" s="80" t="n">
        <x:f>C2147*W2147</x:f>
        <x:v>6.08099870834088e-7</x:v>
      </x:c>
      <x:c r="AH2147" s="80" t="n">
        <x:f>2*'Inputs'!$B$8*'Inputs'!$C$49</x:f>
        <x:v>15000</x:v>
      </x:c>
      <x:c r="AI2147" s="81" t="n">
        <x:f>IF(AH2147&gt;0,(AE2147+AF2147)/AH2147*365,0)</x:f>
        <x:v>0.000057223201908865296</x:v>
      </x:c>
      <x:c r="AJ2147" s="81" t="n">
        <x:f>IF('Inputs'!$B$49&gt;0,AG2147/('Inputs'!$B$19*'Inputs'!$B$49)*365,0)</x:f>
        <x:v>2.219564528544421e-8</x:v>
      </x:c>
      <x:c r="AK2147" s="81" t="n">
        <x:f>W2147/MAX($W$1829:W2147)-1</x:f>
        <x:v>-0.999999998712424</x:v>
      </x:c>
      <x:c r="AL2147" s="83" t="n">
        <x:f>'Inputs'!$B$49</x:f>
        <x:v>1</x:v>
      </x:c>
      <x:c r="AM2147" s="83" t="n">
        <x:f>'Inputs'!$C$49</x:f>
        <x:v>3</x:v>
      </x:c>
      <x:c r="AN2147" s="83" t="n">
        <x:f>'Inputs'!$D$49</x:f>
        <x:v>0.75</x:v>
      </x:c>
      <x:c r="AO2147" s="81" t="n">
        <x:f>'Inputs'!$E$49</x:f>
        <x:v>-0.03</x:v>
      </x:c>
    </x:row>
    <x:row r="2148">
      <x:c r="A2148" s="59" t="str">
        <x:v>Mercenary LP</x:v>
      </x:c>
      <x:c r="B2148" s="59" t="n">
        <x:v>320</x:v>
      </x:c>
      <x:c r="C2148" s="78" t="n">
        <x:f>(('Inputs'!$B$29*(3*320*'Inputs'!$B$12-320^2)/(2*'Inputs'!$B$12^2))-('Inputs'!$B$29*(3*319*'Inputs'!$B$12-319^2)/(2*'Inputs'!$B$12^2)))*'Inputs'!$B$49</x:f>
        <x:v>608114.3272659183</x:v>
      </x:c>
      <x:c r="D2148" s="78" t="n">
        <x:f>IF('Inputs'!$C$49&gt;0,('Inputs'!$B$30*(3*320*'Inputs'!$B$12-320^2)/(2*'Inputs'!$B$12^2))-('Inputs'!$B$30*(3*319*'Inputs'!$B$12-319^2)/(2*'Inputs'!$B$12^2)),0)</x:f>
        <x:v>260620.4259711057</x:v>
      </x:c>
      <x:c r="E2148" s="78" t="n">
        <x:f>C2148+D2148</x:f>
        <x:v>868734.753237024</x:v>
      </x:c>
      <x:c r="F2148" s="78" t="n">
        <x:f>'Inputs'!$B$13*E2148+(1-'Inputs'!$B$13)/'Inputs'!$B$14*SUM(E2093:E2148)</x:f>
        <x:v>878952.4300994595</x:v>
      </x:c>
      <x:c r="G2148" s="78" t="n">
        <x:f>F2148*'Inputs'!$F$49</x:f>
        <x:v>791057.1870895135</x:v>
      </x:c>
      <x:c r="H2148" s="78" t="n">
        <x:f>U2147</x:f>
        <x:v>348545479160.1238</x:v>
      </x:c>
      <x:c r="I2148" s="78" t="n">
        <x:f>V2147</x:f>
        <x:v>0.34835095920307846</x:v>
      </x:c>
      <x:c r="J2148" s="79" t="n">
        <x:f>IF(H2148&gt;0,I2148/H2148,0)</x:f>
        <x:v>9.994419093958296e-13</x:v>
      </x:c>
      <x:c r="K2148" s="80" t="n">
        <x:f>(H2148*J2148+I2148)*'Inputs'!$D$49*(1+'Inputs'!$G$49)^(B2148/30)</x:f>
        <x:v>0.5225264388046177</x:v>
      </x:c>
      <x:c r="L2148" s="80" t="n">
        <x:f>MAX(0,K2148*'Inputs'!$E$49)</x:f>
        <x:v>0</x:v>
      </x:c>
      <x:c r="M2148" s="80" t="n">
        <x:f>MAX(0,-K2148*'Inputs'!$E$49)</x:f>
        <x:v>0.01567579316413853</x:v>
      </x:c>
      <x:c r="N2148" s="78" t="n">
        <x:f>H2148*(L2148*(1-'Inputs'!$B$15))/(I2148+L2148*(1-'Inputs'!$B$15))</x:f>
        <x:v>0</x:v>
      </x:c>
      <x:c r="O2148" s="78" t="n">
        <x:f>H2148-N2148</x:f>
        <x:v>348545479160.1238</x:v>
      </x:c>
      <x:c r="P2148" s="78" t="n">
        <x:f>I2148+L2148*(1-'Inputs'!$B$17)</x:f>
        <x:v>0.34835095920307846</x:v>
      </x:c>
      <x:c r="Q2148" s="78" t="n">
        <x:f>IF(J2148&gt;0,M2148/J2148,0)</x:f>
        <x:v>0</x:v>
      </x:c>
      <x:c r="R2148" s="78" t="n">
        <x:f>IF(B2148='Inputs'!$H$49,'Inputs'!$B$27*'Inputs'!$I$49,0)</x:f>
        <x:v>0</x:v>
      </x:c>
      <x:c r="S2148" s="78" t="n">
        <x:f>Q2148+G2148+R2148</x:f>
        <x:v>791057.1870895135</x:v>
      </x:c>
      <x:c r="T2148" s="78" t="n">
        <x:f>P2148*(S2148*(1-'Inputs'!$B$15))/(O2148+S2148*(1-'Inputs'!$B$15))</x:f>
        <x:v>7.827077897853425e-7</x:v>
      </x:c>
      <x:c r="U2148" s="78" t="n">
        <x:f>O2148+S2148*(1-'Inputs'!$B$17)</x:f>
        <x:v>348546267033.9822</x:v>
      </x:c>
      <x:c r="V2148" s="78" t="n">
        <x:f>P2148-T2148</x:f>
        <x:v>0.34835017649528865</x:v>
      </x:c>
      <x:c r="W2148" s="79" t="n">
        <x:f>IF(U2148&gt;0,V2148/U2148,0)</x:f>
        <x:v>9.994374045650748e-13</x:v>
      </x:c>
      <x:c r="X2148" s="80" t="n">
        <x:f>W2148*('Inputs'!$B$6-AC2148)</x:f>
        <x:v>-0.023144906602215593</x:v>
      </x:c>
      <x:c r="Y2148" s="80" t="n">
        <x:f>2*V2148</x:f>
        <x:v>0.6967003529905773</x:v>
      </x:c>
      <x:c r="Z2148" s="80" t="n">
        <x:f>K2148*'Inputs'!$B$16+(G2148+R2148)*J2148*'Inputs'!$B$16</x:f>
        <x:v>0.0031351633765219393</x:v>
      </x:c>
      <x:c r="AA2148" s="80" t="n">
        <x:f>K2148*(1+'Inputs'!$E$49)/2*'Inputs'!$B$17</x:f>
        <x:v>0.001019820212556296</x:v>
      </x:c>
      <x:c r="AB2148" s="78" t="n">
        <x:f>(IF(J2148&gt;0,K2148*(1-'Inputs'!$E$49)/2/J2148,0)+G2148+R2148)*'Inputs'!$B$17</x:f>
        <x:v>3183.3287206821474</x:v>
      </x:c>
      <x:c r="AC2148" s="78" t="n">
        <x:f>AC2147+AB2148</x:f>
        <x:v>24157935150.813732</x:v>
      </x:c>
      <x:c r="AD2148" s="80" t="n">
        <x:f>Z2148/(1+'Inputs'!$C$49)</x:f>
        <x:v>0.0007837908441304848</x:v>
      </x:c>
      <x:c r="AE2148" s="80" t="n">
        <x:f>Z2148-AD2148</x:f>
        <x:v>0.0023513725323914547</x:v>
      </x:c>
      <x:c r="AF2148" s="80" t="n">
        <x:f>D2148*W2148</x:f>
        <x:v>2.604738021092061e-7</x:v>
      </x:c>
      <x:c r="AG2148" s="80" t="n">
        <x:f>C2148*W2148</x:f>
        <x:v>6.077722049214859e-7</x:v>
      </x:c>
      <x:c r="AH2148" s="80" t="n">
        <x:f>2*'Inputs'!$B$8*'Inputs'!$C$49</x:f>
        <x:v>15000</x:v>
      </x:c>
      <x:c r="AI2148" s="81" t="n">
        <x:f>IF(AH2148&gt;0,(AE2148+AF2148)/AH2148*365,0)</x:f>
        <x:v>0.00005722306981737672</x:v>
      </x:c>
      <x:c r="AJ2148" s="81" t="n">
        <x:f>IF('Inputs'!$B$49&gt;0,AG2148/('Inputs'!$B$19*'Inputs'!$B$49)*365,0)</x:f>
        <x:v>2.2183685479634234e-8</x:v>
      </x:c>
      <x:c r="AK2148" s="81" t="n">
        <x:f>W2148/MAX($W$1829:W2148)-1</x:f>
        <x:v>-0.9999999987124297</x:v>
      </x:c>
      <x:c r="AL2148" s="83" t="n">
        <x:f>'Inputs'!$B$49</x:f>
        <x:v>1</x:v>
      </x:c>
      <x:c r="AM2148" s="83" t="n">
        <x:f>'Inputs'!$C$49</x:f>
        <x:v>3</x:v>
      </x:c>
      <x:c r="AN2148" s="83" t="n">
        <x:f>'Inputs'!$D$49</x:f>
        <x:v>0.75</x:v>
      </x:c>
      <x:c r="AO2148" s="81" t="n">
        <x:f>'Inputs'!$E$49</x:f>
        <x:v>-0.03</x:v>
      </x:c>
    </x:row>
    <x:row r="2149">
      <x:c r="A2149" s="59" t="str">
        <x:v>Mercenary LP</x:v>
      </x:c>
      <x:c r="B2149" s="59" t="n">
        <x:v>321</x:v>
      </x:c>
      <x:c r="C2149" s="78" t="n">
        <x:f>(('Inputs'!$B$29*(3*321*'Inputs'!$B$12-321^2)/(2*'Inputs'!$B$12^2))-('Inputs'!$B$29*(3*320*'Inputs'!$B$12-320^2)/(2*'Inputs'!$B$12^2)))*'Inputs'!$B$49</x:f>
        <x:v>607789.219365716</x:v>
      </x:c>
      <x:c r="D2149" s="78" t="n">
        <x:f>IF('Inputs'!$C$49&gt;0,('Inputs'!$B$30*(3*321*'Inputs'!$B$12-321^2)/(2*'Inputs'!$B$12^2))-('Inputs'!$B$30*(3*320*'Inputs'!$B$12-320^2)/(2*'Inputs'!$B$12^2)),0)</x:f>
        <x:v>260481.09401388466</x:v>
      </x:c>
      <x:c r="E2149" s="78" t="n">
        <x:f>C2149+D2149</x:f>
        <x:v>868270.3133796006</x:v>
      </x:c>
      <x:c r="F2149" s="78" t="n">
        <x:f>'Inputs'!$B$13*E2149+(1-'Inputs'!$B$13)/'Inputs'!$B$14*SUM(E2094:E2149)</x:f>
        <x:v>878487.9902420677</x:v>
      </x:c>
      <x:c r="G2149" s="78" t="n">
        <x:f>F2149*'Inputs'!$F$49</x:f>
        <x:v>790639.191217861</x:v>
      </x:c>
      <x:c r="H2149" s="78" t="n">
        <x:f>U2148</x:f>
        <x:v>348546267033.9822</x:v>
      </x:c>
      <x:c r="I2149" s="78" t="n">
        <x:f>V2148</x:f>
        <x:v>0.34835017649528865</x:v>
      </x:c>
      <x:c r="J2149" s="79" t="n">
        <x:f>IF(H2149&gt;0,I2149/H2149,0)</x:f>
        <x:v>9.994374045650748e-13</x:v>
      </x:c>
      <x:c r="K2149" s="80" t="n">
        <x:f>(H2149*J2149+I2149)*'Inputs'!$D$49*(1+'Inputs'!$G$49)^(B2149/30)</x:f>
        <x:v>0.522525264742933</x:v>
      </x:c>
      <x:c r="L2149" s="80" t="n">
        <x:f>MAX(0,K2149*'Inputs'!$E$49)</x:f>
        <x:v>0</x:v>
      </x:c>
      <x:c r="M2149" s="80" t="n">
        <x:f>MAX(0,-K2149*'Inputs'!$E$49)</x:f>
        <x:v>0.01567575794228799</x:v>
      </x:c>
      <x:c r="N2149" s="78" t="n">
        <x:f>H2149*(L2149*(1-'Inputs'!$B$15))/(I2149+L2149*(1-'Inputs'!$B$15))</x:f>
        <x:v>0</x:v>
      </x:c>
      <x:c r="O2149" s="78" t="n">
        <x:f>H2149-N2149</x:f>
        <x:v>348546267033.9822</x:v>
      </x:c>
      <x:c r="P2149" s="78" t="n">
        <x:f>I2149+L2149*(1-'Inputs'!$B$17)</x:f>
        <x:v>0.34835017649528865</x:v>
      </x:c>
      <x:c r="Q2149" s="78" t="n">
        <x:f>IF(J2149&gt;0,M2149/J2149,0)</x:f>
        <x:v>0</x:v>
      </x:c>
      <x:c r="R2149" s="78" t="n">
        <x:f>IF(B2149='Inputs'!$H$49,'Inputs'!$B$27*'Inputs'!$I$49,0)</x:f>
        <x:v>0</x:v>
      </x:c>
      <x:c r="S2149" s="78" t="n">
        <x:f>Q2149+G2149+R2149</x:f>
        <x:v>790639.191217861</x:v>
      </x:c>
      <x:c r="T2149" s="78" t="n">
        <x:f>P2149*(S2149*(1-'Inputs'!$B$15))/(O2149+S2149*(1-'Inputs'!$B$15))</x:f>
        <x:v>7.822906806103522e-7</x:v>
      </x:c>
      <x:c r="U2149" s="78" t="n">
        <x:f>O2149+S2149*(1-'Inputs'!$B$17)</x:f>
        <x:v>348547054491.52673</x:v>
      </x:c>
      <x:c r="V2149" s="78" t="n">
        <x:f>P2149-T2149</x:f>
        <x:v>0.34834939420460803</x:v>
      </x:c>
      <x:c r="W2149" s="79" t="n">
        <x:f>IF(U2149&gt;0,V2149/U2149,0)</x:f>
        <x:v>9.994329021451434e-13</x:v>
      </x:c>
      <x:c r="X2149" s="80" t="n">
        <x:f>W2149*('Inputs'!$B$6-AC2149)</x:f>
        <x:v>-0.023144805515309137</x:v>
      </x:c>
      <x:c r="Y2149" s="80" t="n">
        <x:f>2*V2149</x:f>
        <x:v>0.6966987884092161</x:v>
      </x:c>
      <x:c r="Z2149" s="80" t="n">
        <x:f>K2149*'Inputs'!$B$16+(G2149+R2149)*J2149*'Inputs'!$B$16</x:f>
        <x:v>0.0031351563296238855</x:v>
      </x:c>
      <x:c r="AA2149" s="80" t="n">
        <x:f>K2149*(1+'Inputs'!$E$49)/2*'Inputs'!$B$17</x:f>
        <x:v>0.0010198179211280585</x:v>
      </x:c>
      <x:c r="AB2149" s="78" t="n">
        <x:f>(IF(J2149&gt;0,K2149*(1-'Inputs'!$E$49)/2/J2149,0)+G2149+R2149)*'Inputs'!$B$17</x:f>
        <x:v>3181.646644739884</x:v>
      </x:c>
      <x:c r="AC2149" s="78" t="n">
        <x:f>AC2148+AB2149</x:f>
        <x:v>24157938332.460377</x:v>
      </x:c>
      <x:c r="AD2149" s="80" t="n">
        <x:f>Z2149/(1+'Inputs'!$C$49)</x:f>
        <x:v>0.0007837890824059714</x:v>
      </x:c>
      <x:c r="AE2149" s="80" t="n">
        <x:f>Z2149-AD2149</x:f>
        <x:v>0.002351367247217914</x:v>
      </x:c>
      <x:c r="AF2149" s="80" t="n">
        <x:f>D2149*W2149</x:f>
        <x:v>2.603333757442387e-7</x:v>
      </x:c>
      <x:c r="AG2149" s="80" t="n">
        <x:f>C2149*W2149</x:f>
        <x:v>6.074445434032088e-7</x:v>
      </x:c>
      <x:c r="AH2149" s="80" t="n">
        <x:f>2*'Inputs'!$B$8*'Inputs'!$C$49</x:f>
        <x:v>15000</x:v>
      </x:c>
      <x:c r="AI2149" s="81" t="n">
        <x:f>IF(AH2149&gt;0,(AE2149+AF2149)/AH2149*365,0)</x:f>
        <x:v>0.00005722293779444569</x:v>
      </x:c>
      <x:c r="AJ2149" s="81" t="n">
        <x:f>IF('Inputs'!$B$49&gt;0,AG2149/('Inputs'!$B$19*'Inputs'!$B$49)*365,0)</x:f>
        <x:v>2.2171725834217117e-8</x:v>
      </x:c>
      <x:c r="AK2149" s="81" t="n">
        <x:f>W2149/MAX($W$1829:W2149)-1</x:f>
        <x:v>-0.9999999987124355</x:v>
      </x:c>
      <x:c r="AL2149" s="83" t="n">
        <x:f>'Inputs'!$B$49</x:f>
        <x:v>1</x:v>
      </x:c>
      <x:c r="AM2149" s="83" t="n">
        <x:f>'Inputs'!$C$49</x:f>
        <x:v>3</x:v>
      </x:c>
      <x:c r="AN2149" s="83" t="n">
        <x:f>'Inputs'!$D$49</x:f>
        <x:v>0.75</x:v>
      </x:c>
      <x:c r="AO2149" s="81" t="n">
        <x:f>'Inputs'!$E$49</x:f>
        <x:v>-0.03</x:v>
      </x:c>
    </x:row>
    <x:row r="2150">
      <x:c r="A2150" s="59" t="str">
        <x:v>Mercenary LP</x:v>
      </x:c>
      <x:c r="B2150" s="59" t="n">
        <x:v>322</x:v>
      </x:c>
      <x:c r="C2150" s="78" t="n">
        <x:f>(('Inputs'!$B$29*(3*322*'Inputs'!$B$12-322^2)/(2*'Inputs'!$B$12^2))-('Inputs'!$B$29*(3*321*'Inputs'!$B$12-321^2)/(2*'Inputs'!$B$12^2)))*'Inputs'!$B$49</x:f>
        <x:v>607464.1114655733</x:v>
      </x:c>
      <x:c r="D2150" s="78" t="n">
        <x:f>IF('Inputs'!$C$49&gt;0,('Inputs'!$B$30*(3*322*'Inputs'!$B$12-322^2)/(2*'Inputs'!$B$12^2))-('Inputs'!$B$30*(3*321*'Inputs'!$B$12-321^2)/(2*'Inputs'!$B$12^2)),0)</x:f>
        <x:v>260341.76205667853</x:v>
      </x:c>
      <x:c r="E2150" s="78" t="n">
        <x:f>C2150+D2150</x:f>
        <x:v>867805.8735222518</x:v>
      </x:c>
      <x:c r="F2150" s="78" t="n">
        <x:f>'Inputs'!$B$13*E2150+(1-'Inputs'!$B$13)/'Inputs'!$B$14*SUM(E2095:E2150)</x:f>
        <x:v>878023.5503846909</x:v>
      </x:c>
      <x:c r="G2150" s="78" t="n">
        <x:f>F2150*'Inputs'!$F$49</x:f>
        <x:v>790221.1953462218</x:v>
      </x:c>
      <x:c r="H2150" s="78" t="n">
        <x:f>U2149</x:f>
        <x:v>348547054491.52673</x:v>
      </x:c>
      <x:c r="I2150" s="78" t="n">
        <x:f>V2149</x:f>
        <x:v>0.34834939420460803</x:v>
      </x:c>
      <x:c r="J2150" s="79" t="n">
        <x:f>IF(H2150&gt;0,I2150/H2150,0)</x:f>
        <x:v>9.994329021451434e-13</x:v>
      </x:c>
      <x:c r="K2150" s="80" t="n">
        <x:f>(H2150*J2150+I2150)*'Inputs'!$D$49*(1+'Inputs'!$G$49)^(B2150/30)</x:f>
        <x:v>0.522524091306912</x:v>
      </x:c>
      <x:c r="L2150" s="80" t="n">
        <x:f>MAX(0,K2150*'Inputs'!$E$49)</x:f>
        <x:v>0</x:v>
      </x:c>
      <x:c r="M2150" s="80" t="n">
        <x:f>MAX(0,-K2150*'Inputs'!$E$49)</x:f>
        <x:v>0.01567572273920736</x:v>
      </x:c>
      <x:c r="N2150" s="78" t="n">
        <x:f>H2150*(L2150*(1-'Inputs'!$B$15))/(I2150+L2150*(1-'Inputs'!$B$15))</x:f>
        <x:v>0</x:v>
      </x:c>
      <x:c r="O2150" s="78" t="n">
        <x:f>H2150-N2150</x:f>
        <x:v>348547054491.52673</x:v>
      </x:c>
      <x:c r="P2150" s="78" t="n">
        <x:f>I2150+L2150*(1-'Inputs'!$B$17)</x:f>
        <x:v>0.34834939420460803</x:v>
      </x:c>
      <x:c r="Q2150" s="78" t="n">
        <x:f>IF(J2150&gt;0,M2150/J2150,0)</x:f>
        <x:v>0</x:v>
      </x:c>
      <x:c r="R2150" s="78" t="n">
        <x:f>IF(B2150='Inputs'!$H$49,'Inputs'!$B$27*'Inputs'!$I$49,0)</x:f>
        <x:v>0</x:v>
      </x:c>
      <x:c r="S2150" s="78" t="n">
        <x:f>Q2150+G2150+R2150</x:f>
        <x:v>790221.1953462218</x:v>
      </x:c>
      <x:c r="T2150" s="78" t="n">
        <x:f>P2150*(S2150*(1-'Inputs'!$B$15))/(O2150+S2150*(1-'Inputs'!$B$15))</x:f>
        <x:v>7.818735770487358e-7</x:v>
      </x:c>
      <x:c r="U2150" s="78" t="n">
        <x:f>O2150+S2150*(1-'Inputs'!$B$17)</x:f>
        <x:v>348547841532.7575</x:v>
      </x:c>
      <x:c r="V2150" s="78" t="n">
        <x:f>P2150-T2150</x:f>
        <x:v>0.348348612331031</x:v>
      </x:c>
      <x:c r="W2150" s="79" t="n">
        <x:f>IF(U2150&gt;0,V2150/U2150,0)</x:f>
        <x:v>9.994284021359867e-13</x:v>
      </x:c>
      <x:c r="X2150" s="80" t="n">
        <x:f>W2150*('Inputs'!$B$6-AC2150)</x:f>
        <x:v>-0.0231447044825215</x:v>
      </x:c>
      <x:c r="Y2150" s="80" t="n">
        <x:f>2*V2150</x:f>
        <x:v>0.696697224662062</x:v>
      </x:c>
      <x:c r="Z2150" s="80" t="n">
        <x:f>K2150*'Inputs'!$B$16+(G2150+R2150)*J2150*'Inputs'!$B$16</x:f>
        <x:v>0.003135149286479848</x:v>
      </x:c>
      <x:c r="AA2150" s="80" t="n">
        <x:f>K2150*(1+'Inputs'!$E$49)/2*'Inputs'!$B$17</x:f>
        <x:v>0.001019815630920935</x:v>
      </x:c>
      <x:c r="AB2150" s="78" t="n">
        <x:f>(IF(J2150&gt;0,K2150*(1-'Inputs'!$E$49)/2/J2150,0)+G2150+R2150)*'Inputs'!$B$17</x:f>
        <x:v>3179.9645687976736</x:v>
      </x:c>
      <x:c r="AC2150" s="78" t="n">
        <x:f>AC2149+AB2150</x:f>
        <x:v>24157941512.424946</x:v>
      </x:c>
      <x:c r="AD2150" s="80" t="n">
        <x:f>Z2150/(1+'Inputs'!$C$49)</x:f>
        <x:v>0.000783787321619962</x:v>
      </x:c>
      <x:c r="AE2150" s="80" t="n">
        <x:f>Z2150-AD2150</x:f>
        <x:v>0.002351361964859886</x:v>
      </x:c>
      <x:c r="AF2150" s="80" t="n">
        <x:f>D2150*W2150</x:f>
        <x:v>2.601929512615735e-7</x:v>
      </x:c>
      <x:c r="AG2150" s="80" t="n">
        <x:f>C2150*W2150</x:f>
        <x:v>6.071168862769948e-7</x:v>
      </x:c>
      <x:c r="AH2150" s="80" t="n">
        <x:f>2*'Inputs'!$B$8*'Inputs'!$C$49</x:f>
        <x:v>15000</x:v>
      </x:c>
      <x:c r="AI2150" s="81" t="n">
        <x:f>IF(AH2150&gt;0,(AE2150+AF2150)/AH2150*365,0)</x:f>
        <x:v>0.00005722280584007126</x:v>
      </x:c>
      <x:c r="AJ2150" s="81" t="n">
        <x:f>IF('Inputs'!$B$49&gt;0,AG2150/('Inputs'!$B$19*'Inputs'!$B$49)*365,0)</x:f>
        <x:v>2.2159766349110313e-8</x:v>
      </x:c>
      <x:c r="AK2150" s="81" t="n">
        <x:f>W2150/MAX($W$1829:W2150)-1</x:f>
        <x:v>-0.9999999987124414</x:v>
      </x:c>
      <x:c r="AL2150" s="83" t="n">
        <x:f>'Inputs'!$B$49</x:f>
        <x:v>1</x:v>
      </x:c>
      <x:c r="AM2150" s="83" t="n">
        <x:f>'Inputs'!$C$49</x:f>
        <x:v>3</x:v>
      </x:c>
      <x:c r="AN2150" s="83" t="n">
        <x:f>'Inputs'!$D$49</x:f>
        <x:v>0.75</x:v>
      </x:c>
      <x:c r="AO2150" s="81" t="n">
        <x:f>'Inputs'!$E$49</x:f>
        <x:v>-0.03</x:v>
      </x:c>
    </x:row>
    <x:row r="2151">
      <x:c r="A2151" s="59" t="str">
        <x:v>Mercenary LP</x:v>
      </x:c>
      <x:c r="B2151" s="59" t="n">
        <x:v>323</x:v>
      </x:c>
      <x:c r="C2151" s="78" t="n">
        <x:f>(('Inputs'!$B$29*(3*323*'Inputs'!$B$12-323^2)/(2*'Inputs'!$B$12^2))-('Inputs'!$B$29*(3*322*'Inputs'!$B$12-322^2)/(2*'Inputs'!$B$12^2)))*'Inputs'!$B$49</x:f>
        <x:v>607139.0035654008</x:v>
      </x:c>
      <x:c r="D2151" s="78" t="n">
        <x:f>IF('Inputs'!$C$49&gt;0,('Inputs'!$B$30*(3*323*'Inputs'!$B$12-323^2)/(2*'Inputs'!$B$12^2))-('Inputs'!$B$30*(3*322*'Inputs'!$B$12-322^2)/(2*'Inputs'!$B$12^2)),0)</x:f>
        <x:v>260202.4300994575</x:v>
      </x:c>
      <x:c r="E2151" s="78" t="n">
        <x:f>C2151+D2151</x:f>
        <x:v>867341.4336648583</x:v>
      </x:c>
      <x:c r="F2151" s="78" t="n">
        <x:f>'Inputs'!$B$13*E2151+(1-'Inputs'!$B$13)/'Inputs'!$B$14*SUM(E2096:E2151)</x:f>
        <x:v>877559.1105273045</x:v>
      </x:c>
      <x:c r="G2151" s="78" t="n">
        <x:f>F2151*'Inputs'!$F$49</x:f>
        <x:v>789803.1994745741</x:v>
      </x:c>
      <x:c r="H2151" s="78" t="n">
        <x:f>U2150</x:f>
        <x:v>348547841532.7575</x:v>
      </x:c>
      <x:c r="I2151" s="78" t="n">
        <x:f>V2150</x:f>
        <x:v>0.348348612331031</x:v>
      </x:c>
      <x:c r="J2151" s="79" t="n">
        <x:f>IF(H2151&gt;0,I2151/H2151,0)</x:f>
        <x:v>9.994284021359867e-13</x:v>
      </x:c>
      <x:c r="K2151" s="80" t="n">
        <x:f>(H2151*J2151+I2151)*'Inputs'!$D$49*(1+'Inputs'!$G$49)^(B2151/30)</x:f>
        <x:v>0.5225229184965465</x:v>
      </x:c>
      <x:c r="L2151" s="80" t="n">
        <x:f>MAX(0,K2151*'Inputs'!$E$49)</x:f>
        <x:v>0</x:v>
      </x:c>
      <x:c r="M2151" s="80" t="n">
        <x:f>MAX(0,-K2151*'Inputs'!$E$49)</x:f>
        <x:v>0.015675687554896397</x:v>
      </x:c>
      <x:c r="N2151" s="78" t="n">
        <x:f>H2151*(L2151*(1-'Inputs'!$B$15))/(I2151+L2151*(1-'Inputs'!$B$15))</x:f>
        <x:v>0</x:v>
      </x:c>
      <x:c r="O2151" s="78" t="n">
        <x:f>H2151-N2151</x:f>
        <x:v>348547841532.7575</x:v>
      </x:c>
      <x:c r="P2151" s="78" t="n">
        <x:f>I2151+L2151*(1-'Inputs'!$B$17)</x:f>
        <x:v>0.348348612331031</x:v>
      </x:c>
      <x:c r="Q2151" s="78" t="n">
        <x:f>IF(J2151&gt;0,M2151/J2151,0)</x:f>
        <x:v>0</x:v>
      </x:c>
      <x:c r="R2151" s="78" t="n">
        <x:f>IF(B2151='Inputs'!$H$49,'Inputs'!$B$27*'Inputs'!$I$49,0)</x:f>
        <x:v>0</x:v>
      </x:c>
      <x:c r="S2151" s="78" t="n">
        <x:f>Q2151+G2151+R2151</x:f>
        <x:v>789803.1994745741</x:v>
      </x:c>
      <x:c r="T2151" s="78" t="n">
        <x:f>P2151*(S2151*(1-'Inputs'!$B$15))/(O2151+S2151*(1-'Inputs'!$B$15))</x:f>
        <x:v>7.814564790974408e-7</x:v>
      </x:c>
      <x:c r="U2151" s="78" t="n">
        <x:f>O2151+S2151*(1-'Inputs'!$B$17)</x:f>
        <x:v>348548628157.6745</x:v>
      </x:c>
      <x:c r="V2151" s="78" t="n">
        <x:f>P2151-T2151</x:f>
        <x:v>0.3483478308745519</x:v>
      </x:c>
      <x:c r="W2151" s="79" t="n">
        <x:f>IF(U2151&gt;0,V2151/U2151,0)</x:f>
        <x:v>9.994239045375564e-13</x:v>
      </x:c>
      <x:c r="X2151" s="80" t="n">
        <x:f>W2151*('Inputs'!$B$6-AC2151)</x:f>
        <x:v>-0.023144603503851603</x:v>
      </x:c>
      <x:c r="Y2151" s="80" t="n">
        <x:f>2*V2151</x:f>
        <x:v>0.6966956617491038</x:v>
      </x:c>
      <x:c r="Z2151" s="80" t="n">
        <x:f>K2151*'Inputs'!$B$16+(G2151+R2151)*J2151*'Inputs'!$B$16</x:f>
        <x:v>0.003135142247089777</x:v>
      </x:c>
      <x:c r="AA2151" s="80" t="n">
        <x:f>K2151*(1+'Inputs'!$E$49)/2*'Inputs'!$B$17</x:f>
        <x:v>0.0010198133419349097</x:v>
      </x:c>
      <x:c r="AB2151" s="78" t="n">
        <x:f>(IF(J2151&gt;0,K2151*(1-'Inputs'!$E$49)/2/J2151,0)+G2151+R2151)*'Inputs'!$B$17</x:f>
        <x:v>3178.282492855429</x:v>
      </x:c>
      <x:c r="AC2151" s="78" t="n">
        <x:f>AC2150+AB2151</x:f>
        <x:v>24157944690.70744</x:v>
      </x:c>
      <x:c r="AD2151" s="80" t="n">
        <x:f>Z2151/(1+'Inputs'!$C$49)</x:f>
        <x:v>0.0007837855617724443</x:v>
      </x:c>
      <x:c r="AE2151" s="80" t="n">
        <x:f>Z2151-AD2151</x:f>
        <x:v>0.002351356685317333</x:v>
      </x:c>
      <x:c r="AF2151" s="80" t="n">
        <x:f>D2151*W2151</x:f>
        <x:v>2.600525286601604e-7</x:v>
      </x:c>
      <x:c r="AG2151" s="80" t="n">
        <x:f>C2151*W2151</x:f>
        <x:v>6.067892335403743e-7</x:v>
      </x:c>
      <x:c r="AH2151" s="80" t="n">
        <x:f>2*'Inputs'!$B$8*'Inputs'!$C$49</x:f>
        <x:v>15000</x:v>
      </x:c>
      <x:c r="AI2151" s="81" t="n">
        <x:f>IF(AH2151&gt;0,(AE2151+AF2151)/AH2151*365,0)</x:f>
        <x:v>0.0000572226739542525</x:v>
      </x:c>
      <x:c r="AJ2151" s="81" t="n">
        <x:f>IF('Inputs'!$B$49&gt;0,AG2151/('Inputs'!$B$19*'Inputs'!$B$49)*365,0)</x:f>
        <x:v>2.214780702422366e-8</x:v>
      </x:c>
      <x:c r="AK2151" s="81" t="n">
        <x:f>W2151/MAX($W$1829:W2151)-1</x:f>
        <x:v>-0.9999999987124472</x:v>
      </x:c>
      <x:c r="AL2151" s="83" t="n">
        <x:f>'Inputs'!$B$49</x:f>
        <x:v>1</x:v>
      </x:c>
      <x:c r="AM2151" s="83" t="n">
        <x:f>'Inputs'!$C$49</x:f>
        <x:v>3</x:v>
      </x:c>
      <x:c r="AN2151" s="83" t="n">
        <x:f>'Inputs'!$D$49</x:f>
        <x:v>0.75</x:v>
      </x:c>
      <x:c r="AO2151" s="81" t="n">
        <x:f>'Inputs'!$E$49</x:f>
        <x:v>-0.03</x:v>
      </x:c>
    </x:row>
    <x:row r="2152">
      <x:c r="A2152" s="59" t="str">
        <x:v>Mercenary LP</x:v>
      </x:c>
      <x:c r="B2152" s="59" t="n">
        <x:v>324</x:v>
      </x:c>
      <x:c r="C2152" s="78" t="n">
        <x:f>(('Inputs'!$B$29*(3*324*'Inputs'!$B$12-324^2)/(2*'Inputs'!$B$12^2))-('Inputs'!$B$29*(3*323*'Inputs'!$B$12-323^2)/(2*'Inputs'!$B$12^2)))*'Inputs'!$B$49</x:f>
        <x:v>606813.8956652284</x:v>
      </x:c>
      <x:c r="D2152" s="78" t="n">
        <x:f>IF('Inputs'!$C$49&gt;0,('Inputs'!$B$30*(3*324*'Inputs'!$B$12-324^2)/(2*'Inputs'!$B$12^2))-('Inputs'!$B$30*(3*323*'Inputs'!$B$12-323^2)/(2*'Inputs'!$B$12^2)),0)</x:f>
        <x:v>260063.09814223647</x:v>
      </x:c>
      <x:c r="E2152" s="78" t="n">
        <x:f>C2152+D2152</x:f>
        <x:v>866876.9938074648</x:v>
      </x:c>
      <x:c r="F2152" s="78" t="n">
        <x:f>'Inputs'!$B$13*E2152+(1-'Inputs'!$B$13)/'Inputs'!$B$14*SUM(E2097:E2152)</x:f>
        <x:v>877094.6706699186</x:v>
      </x:c>
      <x:c r="G2152" s="78" t="n">
        <x:f>F2152*'Inputs'!$F$49</x:f>
        <x:v>789385.2036029268</x:v>
      </x:c>
      <x:c r="H2152" s="78" t="n">
        <x:f>U2151</x:f>
        <x:v>348548628157.6745</x:v>
      </x:c>
      <x:c r="I2152" s="78" t="n">
        <x:f>V2151</x:f>
        <x:v>0.3483478308745519</x:v>
      </x:c>
      <x:c r="J2152" s="79" t="n">
        <x:f>IF(H2152&gt;0,I2152/H2152,0)</x:f>
        <x:v>9.994239045375564e-13</x:v>
      </x:c>
      <x:c r="K2152" s="80" t="n">
        <x:f>(H2152*J2152+I2152)*'Inputs'!$D$49*(1+'Inputs'!$G$49)^(B2152/30)</x:f>
        <x:v>0.5225217463118279</x:v>
      </x:c>
      <x:c r="L2152" s="80" t="n">
        <x:f>MAX(0,K2152*'Inputs'!$E$49)</x:f>
        <x:v>0</x:v>
      </x:c>
      <x:c r="M2152" s="80" t="n">
        <x:f>MAX(0,-K2152*'Inputs'!$E$49)</x:f>
        <x:v>0.01567565238935484</x:v>
      </x:c>
      <x:c r="N2152" s="78" t="n">
        <x:f>H2152*(L2152*(1-'Inputs'!$B$15))/(I2152+L2152*(1-'Inputs'!$B$15))</x:f>
        <x:v>0</x:v>
      </x:c>
      <x:c r="O2152" s="78" t="n">
        <x:f>H2152-N2152</x:f>
        <x:v>348548628157.6745</x:v>
      </x:c>
      <x:c r="P2152" s="78" t="n">
        <x:f>I2152+L2152*(1-'Inputs'!$B$17)</x:f>
        <x:v>0.3483478308745519</x:v>
      </x:c>
      <x:c r="Q2152" s="78" t="n">
        <x:f>IF(J2152&gt;0,M2152/J2152,0)</x:f>
        <x:v>0</x:v>
      </x:c>
      <x:c r="R2152" s="78" t="n">
        <x:f>IF(B2152='Inputs'!$H$49,'Inputs'!$B$27*'Inputs'!$I$49,0)</x:f>
        <x:v>0</x:v>
      </x:c>
      <x:c r="S2152" s="78" t="n">
        <x:f>Q2152+G2152+R2152</x:f>
        <x:v>789385.2036029268</x:v>
      </x:c>
      <x:c r="T2152" s="78" t="n">
        <x:f>P2152*(S2152*(1-'Inputs'!$B$15))/(O2152+S2152*(1-'Inputs'!$B$15))</x:f>
        <x:v>7.81039386753445e-7</x:v>
      </x:c>
      <x:c r="U2152" s="78" t="n">
        <x:f>O2152+S2152*(1-'Inputs'!$B$17)</x:f>
        <x:v>348549414366.2777</x:v>
      </x:c>
      <x:c r="V2152" s="78" t="n">
        <x:f>P2152-T2152</x:f>
        <x:v>0.3483470498351651</x:v>
      </x:c>
      <x:c r="W2152" s="79" t="n">
        <x:f>IF(U2152&gt;0,V2152/U2152,0)</x:f>
        <x:v>9.994194093498033e-13</x:v>
      </x:c>
      <x:c r="X2152" s="80" t="n">
        <x:f>W2152*('Inputs'!$B$6-AC2152)</x:f>
        <x:v>-0.023144502579298357</x:v>
      </x:c>
      <x:c r="Y2152" s="80" t="n">
        <x:f>2*V2152</x:f>
        <x:v>0.6966940996703302</x:v>
      </x:c>
      <x:c r="Z2152" s="80" t="n">
        <x:f>K2152*'Inputs'!$B$16+(G2152+R2152)*J2152*'Inputs'!$B$16</x:f>
        <x:v>0.003135135211453622</x:v>
      </x:c>
      <x:c r="AA2152" s="80" t="n">
        <x:f>K2152*(1+'Inputs'!$E$49)/2*'Inputs'!$B$17</x:f>
        <x:v>0.001019811054169966</x:v>
      </x:c>
      <x:c r="AB2152" s="78" t="n">
        <x:f>(IF(J2152&gt;0,K2152*(1-'Inputs'!$E$49)/2/J2152,0)+G2152+R2152)*'Inputs'!$B$17</x:f>
        <x:v>3176.6004169131866</x:v>
      </x:c>
      <x:c r="AC2152" s="78" t="n">
        <x:f>AC2151+AB2152</x:f>
        <x:v>24157947867.307858</x:v>
      </x:c>
      <x:c r="AD2152" s="80" t="n">
        <x:f>Z2152/(1+'Inputs'!$C$49)</x:f>
        <x:v>0.0007837838028634055</x:v>
      </x:c>
      <x:c r="AE2152" s="80" t="n">
        <x:f>Z2152-AD2152</x:f>
        <x:v>0.002351351408590216</x:v>
      </x:c>
      <x:c r="AF2152" s="80" t="n">
        <x:f>D2152*W2152</x:f>
        <x:v>2.599121079389939e-7</x:v>
      </x:c>
      <x:c r="AG2152" s="80" t="n">
        <x:f>C2152*W2152</x:f>
        <x:v>6.064615851909957e-7</x:v>
      </x:c>
      <x:c r="AH2152" s="80" t="n">
        <x:f>2*'Inputs'!$B$8*'Inputs'!$C$49</x:f>
        <x:v>15000</x:v>
      </x:c>
      <x:c r="AI2152" s="81" t="n">
        <x:f>IF(AH2152&gt;0,(AE2152+AF2152)/AH2152*365,0)</x:f>
        <x:v>0.00005722254213698844</x:v>
      </x:c>
      <x:c r="AJ2152" s="81" t="n">
        <x:f>IF('Inputs'!$B$49&gt;0,AG2152/('Inputs'!$B$19*'Inputs'!$B$49)*365,0)</x:f>
        <x:v>2.2135847859471343e-8</x:v>
      </x:c>
      <x:c r="AK2152" s="81" t="n">
        <x:f>W2152/MAX($W$1829:W2152)-1</x:f>
        <x:v>-0.9999999987124529</x:v>
      </x:c>
      <x:c r="AL2152" s="83" t="n">
        <x:f>'Inputs'!$B$49</x:f>
        <x:v>1</x:v>
      </x:c>
      <x:c r="AM2152" s="83" t="n">
        <x:f>'Inputs'!$C$49</x:f>
        <x:v>3</x:v>
      </x:c>
      <x:c r="AN2152" s="83" t="n">
        <x:f>'Inputs'!$D$49</x:f>
        <x:v>0.75</x:v>
      </x:c>
      <x:c r="AO2152" s="81" t="n">
        <x:f>'Inputs'!$E$49</x:f>
        <x:v>-0.03</x:v>
      </x:c>
    </x:row>
    <x:row r="2153">
      <x:c r="A2153" s="59" t="str">
        <x:v>Mercenary LP</x:v>
      </x:c>
      <x:c r="B2153" s="59" t="n">
        <x:v>325</x:v>
      </x:c>
      <x:c r="C2153" s="78" t="n">
        <x:f>(('Inputs'!$B$29*(3*325*'Inputs'!$B$12-325^2)/(2*'Inputs'!$B$12^2))-('Inputs'!$B$29*(3*324*'Inputs'!$B$12-324^2)/(2*'Inputs'!$B$12^2)))*'Inputs'!$B$49</x:f>
        <x:v>606488.7877650559</x:v>
      </x:c>
      <x:c r="D2153" s="78" t="n">
        <x:f>IF('Inputs'!$C$49&gt;0,('Inputs'!$B$30*(3*325*'Inputs'!$B$12-325^2)/(2*'Inputs'!$B$12^2))-('Inputs'!$B$30*(3*324*'Inputs'!$B$12-324^2)/(2*'Inputs'!$B$12^2)),0)</x:f>
        <x:v>259923.76618503034</x:v>
      </x:c>
      <x:c r="E2153" s="78" t="n">
        <x:f>C2153+D2153</x:f>
        <x:v>866412.5539500862</x:v>
      </x:c>
      <x:c r="F2153" s="78" t="n">
        <x:f>'Inputs'!$B$13*E2153+(1-'Inputs'!$B$13)/'Inputs'!$B$14*SUM(E2098:E2153)</x:f>
        <x:v>876630.2308125359</x:v>
      </x:c>
      <x:c r="G2153" s="78" t="n">
        <x:f>F2153*'Inputs'!$F$49</x:f>
        <x:v>788967.2077312823</x:v>
      </x:c>
      <x:c r="H2153" s="78" t="n">
        <x:f>U2152</x:f>
        <x:v>348549414366.2777</x:v>
      </x:c>
      <x:c r="I2153" s="78" t="n">
        <x:f>V2152</x:f>
        <x:v>0.3483470498351651</x:v>
      </x:c>
      <x:c r="J2153" s="79" t="n">
        <x:f>IF(H2153&gt;0,I2153/H2153,0)</x:f>
        <x:v>9.994194093498033e-13</x:v>
      </x:c>
      <x:c r="K2153" s="80" t="n">
        <x:f>(H2153*J2153+I2153)*'Inputs'!$D$49*(1+'Inputs'!$G$49)^(B2153/30)</x:f>
        <x:v>0.5225205747527477</x:v>
      </x:c>
      <x:c r="L2153" s="80" t="n">
        <x:f>MAX(0,K2153*'Inputs'!$E$49)</x:f>
        <x:v>0</x:v>
      </x:c>
      <x:c r="M2153" s="80" t="n">
        <x:f>MAX(0,-K2153*'Inputs'!$E$49)</x:f>
        <x:v>0.01567561724258243</x:v>
      </x:c>
      <x:c r="N2153" s="78" t="n">
        <x:f>H2153*(L2153*(1-'Inputs'!$B$15))/(I2153+L2153*(1-'Inputs'!$B$15))</x:f>
        <x:v>0</x:v>
      </x:c>
      <x:c r="O2153" s="78" t="n">
        <x:f>H2153-N2153</x:f>
        <x:v>348549414366.2777</x:v>
      </x:c>
      <x:c r="P2153" s="78" t="n">
        <x:f>I2153+L2153*(1-'Inputs'!$B$17)</x:f>
        <x:v>0.3483470498351651</x:v>
      </x:c>
      <x:c r="Q2153" s="78" t="n">
        <x:f>IF(J2153&gt;0,M2153/J2153,0)</x:f>
        <x:v>0</x:v>
      </x:c>
      <x:c r="R2153" s="78" t="n">
        <x:f>IF(B2153='Inputs'!$H$49,'Inputs'!$B$27*'Inputs'!$I$49,0)</x:f>
        <x:v>0</x:v>
      </x:c>
      <x:c r="S2153" s="78" t="n">
        <x:f>Q2153+G2153+R2153</x:f>
        <x:v>788967.2077312823</x:v>
      </x:c>
      <x:c r="T2153" s="78" t="n">
        <x:f>P2153*(S2153*(1-'Inputs'!$B$15))/(O2153+S2153*(1-'Inputs'!$B$15))</x:f>
        <x:v>7.806223000137201e-7</x:v>
      </x:c>
      <x:c r="U2153" s="78" t="n">
        <x:f>O2153+S2153*(1-'Inputs'!$B$17)</x:f>
        <x:v>348550200158.5671</x:v>
      </x:c>
      <x:c r="V2153" s="78" t="n">
        <x:f>P2153-T2153</x:f>
        <x:v>0.3483462692128651</x:v>
      </x:c>
      <x:c r="W2153" s="79" t="n">
        <x:f>IF(U2153&gt;0,V2153/U2153,0)</x:f>
        <x:v>9.994149165726796e-13</x:v>
      </x:c>
      <x:c r="X2153" s="80" t="n">
        <x:f>W2153*('Inputs'!$B$6-AC2153)</x:f>
        <x:v>-0.023144401708860694</x:v>
      </x:c>
      <x:c r="Y2153" s="80" t="n">
        <x:f>2*V2153</x:f>
        <x:v>0.6966925384257302</x:v>
      </x:c>
      <x:c r="Z2153" s="80" t="n">
        <x:f>K2153*'Inputs'!$B$16+(G2153+R2153)*J2153*'Inputs'!$B$16</x:f>
        <x:v>0.0031351281795713305</x:v>
      </x:c>
      <x:c r="AA2153" s="80" t="n">
        <x:f>K2153*(1+'Inputs'!$E$49)/2*'Inputs'!$B$17</x:f>
        <x:v>0.0010198087676260871</x:v>
      </x:c>
      <x:c r="AB2153" s="78" t="n">
        <x:f>(IF(J2153&gt;0,K2153*(1-'Inputs'!$E$49)/2/J2153,0)+G2153+R2153)*'Inputs'!$B$17</x:f>
        <x:v>3174.9183409709553</x:v>
      </x:c>
      <x:c r="AC2153" s="78" t="n">
        <x:f>AC2152+AB2153</x:f>
        <x:v>24157951042.2262</x:v>
      </x:c>
      <x:c r="AD2153" s="80" t="n">
        <x:f>Z2153/(1+'Inputs'!$C$49)</x:f>
        <x:v>0.0007837820448928326</x:v>
      </x:c>
      <x:c r="AE2153" s="80" t="n">
        <x:f>Z2153-AD2153</x:f>
        <x:v>0.0023513461346784978</x:v>
      </x:c>
      <x:c r="AF2153" s="80" t="n">
        <x:f>D2153*W2153</x:f>
        <x:v>2.5977168909706875e-7</x:v>
      </x:c>
      <x:c r="AG2153" s="80" t="n">
        <x:f>C2153*W2153</x:f>
        <x:v>6.061339412264789e-7</x:v>
      </x:c>
      <x:c r="AH2153" s="80" t="n">
        <x:f>2*'Inputs'!$B$8*'Inputs'!$C$49</x:f>
        <x:v>15000</x:v>
      </x:c>
      <x:c r="AI2153" s="81" t="n">
        <x:f>IF(AH2153&gt;0,(AE2153+AF2153)/AH2153*365,0)</x:f>
        <x:v>0.000057222410388278145</x:v>
      </x:c>
      <x:c r="AJ2153" s="81" t="n">
        <x:f>IF('Inputs'!$B$49&gt;0,AG2153/('Inputs'!$B$19*'Inputs'!$B$49)*365,0)</x:f>
        <x:v>2.212388885476648e-8</x:v>
      </x:c>
      <x:c r="AK2153" s="81" t="n">
        <x:f>W2153/MAX($W$1829:W2153)-1</x:f>
        <x:v>-0.9999999987124587</x:v>
      </x:c>
      <x:c r="AL2153" s="83" t="n">
        <x:f>'Inputs'!$B$49</x:f>
        <x:v>1</x:v>
      </x:c>
      <x:c r="AM2153" s="83" t="n">
        <x:f>'Inputs'!$C$49</x:f>
        <x:v>3</x:v>
      </x:c>
      <x:c r="AN2153" s="83" t="n">
        <x:f>'Inputs'!$D$49</x:f>
        <x:v>0.75</x:v>
      </x:c>
      <x:c r="AO2153" s="81" t="n">
        <x:f>'Inputs'!$E$49</x:f>
        <x:v>-0.03</x:v>
      </x:c>
    </x:row>
    <x:row r="2154">
      <x:c r="A2154" s="59" t="str">
        <x:v>Mercenary LP</x:v>
      </x:c>
      <x:c r="B2154" s="59" t="n">
        <x:v>326</x:v>
      </x:c>
      <x:c r="C2154" s="78" t="n">
        <x:f>(('Inputs'!$B$29*(3*326*'Inputs'!$B$12-326^2)/(2*'Inputs'!$B$12^2))-('Inputs'!$B$29*(3*325*'Inputs'!$B$12-325^2)/(2*'Inputs'!$B$12^2)))*'Inputs'!$B$49</x:f>
        <x:v>606163.6798648834</x:v>
      </x:c>
      <x:c r="D2154" s="78" t="n">
        <x:f>IF('Inputs'!$C$49&gt;0,('Inputs'!$B$30*(3*326*'Inputs'!$B$12-326^2)/(2*'Inputs'!$B$12^2))-('Inputs'!$B$30*(3*325*'Inputs'!$B$12-325^2)/(2*'Inputs'!$B$12^2)),0)</x:f>
        <x:v>259784.4342278093</x:v>
      </x:c>
      <x:c r="E2154" s="78" t="n">
        <x:f>C2154+D2154</x:f>
        <x:v>865948.1140926927</x:v>
      </x:c>
      <x:c r="F2154" s="78" t="n">
        <x:f>'Inputs'!$B$13*E2154+(1-'Inputs'!$B$13)/'Inputs'!$B$14*SUM(E2099:E2154)</x:f>
        <x:v>876165.7909551496</x:v>
      </x:c>
      <x:c r="G2154" s="78" t="n">
        <x:f>F2154*'Inputs'!$F$49</x:f>
        <x:v>788549.2118596346</x:v>
      </x:c>
      <x:c r="H2154" s="78" t="n">
        <x:f>U2153</x:f>
        <x:v>348550200158.5671</x:v>
      </x:c>
      <x:c r="I2154" s="78" t="n">
        <x:f>V2153</x:f>
        <x:v>0.3483462692128651</x:v>
      </x:c>
      <x:c r="J2154" s="79" t="n">
        <x:f>IF(H2154&gt;0,I2154/H2154,0)</x:f>
        <x:v>9.994149165726796e-13</x:v>
      </x:c>
      <x:c r="K2154" s="80" t="n">
        <x:f>(H2154*J2154+I2154)*'Inputs'!$D$49*(1+'Inputs'!$G$49)^(B2154/30)</x:f>
        <x:v>0.5225194038192976</x:v>
      </x:c>
      <x:c r="L2154" s="80" t="n">
        <x:f>MAX(0,K2154*'Inputs'!$E$49)</x:f>
        <x:v>0</x:v>
      </x:c>
      <x:c r="M2154" s="80" t="n">
        <x:f>MAX(0,-K2154*'Inputs'!$E$49)</x:f>
        <x:v>0.015675582114578927</x:v>
      </x:c>
      <x:c r="N2154" s="78" t="n">
        <x:f>H2154*(L2154*(1-'Inputs'!$B$15))/(I2154+L2154*(1-'Inputs'!$B$15))</x:f>
        <x:v>0</x:v>
      </x:c>
      <x:c r="O2154" s="78" t="n">
        <x:f>H2154-N2154</x:f>
        <x:v>348550200158.5671</x:v>
      </x:c>
      <x:c r="P2154" s="78" t="n">
        <x:f>I2154+L2154*(1-'Inputs'!$B$17)</x:f>
        <x:v>0.3483462692128651</x:v>
      </x:c>
      <x:c r="Q2154" s="78" t="n">
        <x:f>IF(J2154&gt;0,M2154/J2154,0)</x:f>
        <x:v>0</x:v>
      </x:c>
      <x:c r="R2154" s="78" t="n">
        <x:f>IF(B2154='Inputs'!$H$49,'Inputs'!$B$27*'Inputs'!$I$49,0)</x:f>
        <x:v>0</x:v>
      </x:c>
      <x:c r="S2154" s="78" t="n">
        <x:f>Q2154+G2154+R2154</x:f>
        <x:v>788549.2118596346</x:v>
      </x:c>
      <x:c r="T2154" s="78" t="n">
        <x:f>P2154*(S2154*(1-'Inputs'!$B$15))/(O2154+S2154*(1-'Inputs'!$B$15))</x:f>
        <x:v>7.802052188752301e-7</x:v>
      </x:c>
      <x:c r="U2154" s="78" t="n">
        <x:f>O2154+S2154*(1-'Inputs'!$B$17)</x:f>
        <x:v>348550985534.54266</x:v>
      </x:c>
      <x:c r="V2154" s="78" t="n">
        <x:f>P2154-T2154</x:f>
        <x:v>0.3483454890076462</x:v>
      </x:c>
      <x:c r="W2154" s="79" t="n">
        <x:f>IF(U2154&gt;0,V2154/U2154,0)</x:f>
        <x:v>9.994104262061365e-13</x:v>
      </x:c>
      <x:c r="X2154" s="80" t="n">
        <x:f>W2154*('Inputs'!$B$6-AC2154)</x:f>
        <x:v>-0.023144300892537537</x:v>
      </x:c>
      <x:c r="Y2154" s="80" t="n">
        <x:f>2*V2154</x:f>
        <x:v>0.6966909780152925</x:v>
      </x:c>
      <x:c r="Z2154" s="80" t="n">
        <x:f>K2154*'Inputs'!$B$16+(G2154+R2154)*J2154*'Inputs'!$B$16</x:f>
        <x:v>0.0031351211514428546</x:v>
      </x:c>
      <x:c r="AA2154" s="80" t="n">
        <x:f>K2154*(1+'Inputs'!$E$49)/2*'Inputs'!$B$17</x:f>
        <x:v>0.0010198064823032568</x:v>
      </x:c>
      <x:c r="AB2154" s="78" t="n">
        <x:f>(IF(J2154&gt;0,K2154*(1-'Inputs'!$E$49)/2/J2154,0)+G2154+R2154)*'Inputs'!$B$17</x:f>
        <x:v>3173.236265028711</x:v>
      </x:c>
      <x:c r="AC2154" s="78" t="n">
        <x:f>AC2153+AB2154</x:f>
        <x:v>24157954215.462463</x:v>
      </x:c>
      <x:c r="AD2154" s="80" t="n">
        <x:f>Z2154/(1+'Inputs'!$C$49)</x:f>
        <x:v>0.0007837802878607137</x:v>
      </x:c>
      <x:c r="AE2154" s="80" t="n">
        <x:f>Z2154-AD2154</x:f>
        <x:v>0.002351340863582141</x:v>
      </x:c>
      <x:c r="AF2154" s="80" t="n">
        <x:f>D2154*W2154</x:f>
        <x:v>2.596312721333349e-7</x:v>
      </x:c>
      <x:c r="AG2154" s="80" t="n">
        <x:f>C2154*W2154</x:f>
        <x:v>6.058063016444432e-7</x:v>
      </x:c>
      <x:c r="AH2154" s="80" t="n">
        <x:f>2*'Inputs'!$B$8*'Inputs'!$C$49</x:f>
        <x:v>15000</x:v>
      </x:c>
      <x:c r="AI2154" s="81" t="n">
        <x:f>IF(AH2154&gt;0,(AE2154+AF2154)/AH2154*365,0)</x:f>
        <x:v>0.000057222278708120685</x:v>
      </x:c>
      <x:c r="AJ2154" s="81" t="n">
        <x:f>IF('Inputs'!$B$49&gt;0,AG2154/('Inputs'!$B$19*'Inputs'!$B$49)*365,0)</x:f>
        <x:v>2.2111930010022177e-8</x:v>
      </x:c>
      <x:c r="AK2154" s="81" t="n">
        <x:f>W2154/MAX($W$1829:W2154)-1</x:f>
        <x:v>-0.9999999987124645</x:v>
      </x:c>
      <x:c r="AL2154" s="83" t="n">
        <x:f>'Inputs'!$B$49</x:f>
        <x:v>1</x:v>
      </x:c>
      <x:c r="AM2154" s="83" t="n">
        <x:f>'Inputs'!$C$49</x:f>
        <x:v>3</x:v>
      </x:c>
      <x:c r="AN2154" s="83" t="n">
        <x:f>'Inputs'!$D$49</x:f>
        <x:v>0.75</x:v>
      </x:c>
      <x:c r="AO2154" s="81" t="n">
        <x:f>'Inputs'!$E$49</x:f>
        <x:v>-0.03</x:v>
      </x:c>
    </x:row>
    <x:row r="2155">
      <x:c r="A2155" s="59" t="str">
        <x:v>Mercenary LP</x:v>
      </x:c>
      <x:c r="B2155" s="59" t="n">
        <x:v>327</x:v>
      </x:c>
      <x:c r="C2155" s="78" t="n">
        <x:f>(('Inputs'!$B$29*(3*327*'Inputs'!$B$12-327^2)/(2*'Inputs'!$B$12^2))-('Inputs'!$B$29*(3*326*'Inputs'!$B$12-326^2)/(2*'Inputs'!$B$12^2)))*'Inputs'!$B$49</x:f>
        <x:v>605838.5719647408</x:v>
      </x:c>
      <x:c r="D2155" s="78" t="n">
        <x:f>IF('Inputs'!$C$49&gt;0,('Inputs'!$B$30*(3*327*'Inputs'!$B$12-327^2)/(2*'Inputs'!$B$12^2))-('Inputs'!$B$30*(3*326*'Inputs'!$B$12-326^2)/(2*'Inputs'!$B$12^2)),0)</x:f>
        <x:v>259645.10227058828</x:v>
      </x:c>
      <x:c r="E2155" s="78" t="n">
        <x:f>C2155+D2155</x:f>
        <x:v>865483.674235329</x:v>
      </x:c>
      <x:c r="F2155" s="78" t="n">
        <x:f>'Inputs'!$B$13*E2155+(1-'Inputs'!$B$13)/'Inputs'!$B$14*SUM(E2100:E2155)</x:f>
        <x:v>875701.3510977698</x:v>
      </x:c>
      <x:c r="G2155" s="78" t="n">
        <x:f>F2155*'Inputs'!$F$49</x:f>
        <x:v>788131.2159879928</x:v>
      </x:c>
      <x:c r="H2155" s="78" t="n">
        <x:f>U2154</x:f>
        <x:v>348550985534.54266</x:v>
      </x:c>
      <x:c r="I2155" s="78" t="n">
        <x:f>V2154</x:f>
        <x:v>0.3483454890076462</x:v>
      </x:c>
      <x:c r="J2155" s="79" t="n">
        <x:f>IF(H2155&gt;0,I2155/H2155,0)</x:f>
        <x:v>9.994104262061365e-13</x:v>
      </x:c>
      <x:c r="K2155" s="80" t="n">
        <x:f>(H2155*J2155+I2155)*'Inputs'!$D$49*(1+'Inputs'!$G$49)^(B2155/30)</x:f>
        <x:v>0.5225182335114693</x:v>
      </x:c>
      <x:c r="L2155" s="80" t="n">
        <x:f>MAX(0,K2155*'Inputs'!$E$49)</x:f>
        <x:v>0</x:v>
      </x:c>
      <x:c r="M2155" s="80" t="n">
        <x:f>MAX(0,-K2155*'Inputs'!$E$49)</x:f>
        <x:v>0.015675547005344077</x:v>
      </x:c>
      <x:c r="N2155" s="78" t="n">
        <x:f>H2155*(L2155*(1-'Inputs'!$B$15))/(I2155+L2155*(1-'Inputs'!$B$15))</x:f>
        <x:v>0</x:v>
      </x:c>
      <x:c r="O2155" s="78" t="n">
        <x:f>H2155-N2155</x:f>
        <x:v>348550985534.54266</x:v>
      </x:c>
      <x:c r="P2155" s="78" t="n">
        <x:f>I2155+L2155*(1-'Inputs'!$B$17)</x:f>
        <x:v>0.3483454890076462</x:v>
      </x:c>
      <x:c r="Q2155" s="78" t="n">
        <x:f>IF(J2155&gt;0,M2155/J2155,0)</x:f>
        <x:v>0</x:v>
      </x:c>
      <x:c r="R2155" s="78" t="n">
        <x:f>IF(B2155='Inputs'!$H$49,'Inputs'!$B$27*'Inputs'!$I$49,0)</x:f>
        <x:v>0</x:v>
      </x:c>
      <x:c r="S2155" s="78" t="n">
        <x:f>Q2155+G2155+R2155</x:f>
        <x:v>788131.2159879928</x:v>
      </x:c>
      <x:c r="T2155" s="78" t="n">
        <x:f>P2155*(S2155*(1-'Inputs'!$B$15))/(O2155+S2155*(1-'Inputs'!$B$15))</x:f>
        <x:v>7.79788143334953e-7</x:v>
      </x:c>
      <x:c r="U2155" s="78" t="n">
        <x:f>O2155+S2155*(1-'Inputs'!$B$17)</x:f>
        <x:v>348551770494.20447</x:v>
      </x:c>
      <x:c r="V2155" s="78" t="n">
        <x:f>P2155-T2155</x:f>
        <x:v>0.3483447092195029</x:v>
      </x:c>
      <x:c r="W2155" s="79" t="n">
        <x:f>IF(U2155&gt;0,V2155/U2155,0)</x:f>
        <x:v>9.994059382501257e-13</x:v>
      </x:c>
      <x:c r="X2155" s="80" t="n">
        <x:f>W2155*('Inputs'!$B$6-AC2155)</x:f>
        <x:v>-0.023144200130327808</x:v>
      </x:c>
      <x:c r="Y2155" s="80" t="n">
        <x:f>2*V2155</x:f>
        <x:v>0.6966894184390058</x:v>
      </x:c>
      <x:c r="Z2155" s="80" t="n">
        <x:f>K2155*'Inputs'!$B$16+(G2155+R2155)*J2155*'Inputs'!$B$16</x:f>
        <x:v>0.0031351141270681425</x:v>
      </x:c>
      <x:c r="AA2155" s="80" t="n">
        <x:f>K2155*(1+'Inputs'!$E$49)/2*'Inputs'!$B$17</x:f>
        <x:v>0.0010198041982014592</x:v>
      </x:c>
      <x:c r="AB2155" s="78" t="n">
        <x:f>(IF(J2155&gt;0,K2155*(1-'Inputs'!$E$49)/2/J2155,0)+G2155+R2155)*'Inputs'!$B$17</x:f>
        <x:v>3171.5541890864906</x:v>
      </x:c>
      <x:c r="AC2155" s="78" t="n">
        <x:f>AC2154+AB2155</x:f>
        <x:v>24157957387.01665</x:v>
      </x:c>
      <x:c r="AD2155" s="80" t="n">
        <x:f>Z2155/(1+'Inputs'!$C$49)</x:f>
        <x:v>0.0007837785317670356</x:v>
      </x:c>
      <x:c r="AE2155" s="80" t="n">
        <x:f>Z2155-AD2155</x:f>
        <x:v>0.002351335595301107</x:v>
      </x:c>
      <x:c r="AF2155" s="80" t="n">
        <x:f>D2155*W2155</x:f>
        <x:v>2.594908570467871e-7</x:v>
      </x:c>
      <x:c r="AG2155" s="80" t="n">
        <x:f>C2155*W2155</x:f>
        <x:v>6.05478666442538e-7</x:v>
      </x:c>
      <x:c r="AH2155" s="80" t="n">
        <x:f>2*'Inputs'!$B$8*'Inputs'!$C$49</x:f>
        <x:v>15000</x:v>
      </x:c>
      <x:c r="AI2155" s="81" t="n">
        <x:f>IF(AH2155&gt;0,(AE2155+AF2155)/AH2155*365,0)</x:f>
        <x:v>0.00005722214709651508</x:v>
      </x:c>
      <x:c r="AJ2155" s="81" t="n">
        <x:f>IF('Inputs'!$B$49&gt;0,AG2155/('Inputs'!$B$19*'Inputs'!$B$49)*365,0)</x:f>
        <x:v>2.209997132515264e-8</x:v>
      </x:c>
      <x:c r="AK2155" s="81" t="n">
        <x:f>W2155/MAX($W$1829:W2155)-1</x:f>
        <x:v>-0.9999999987124703</x:v>
      </x:c>
      <x:c r="AL2155" s="83" t="n">
        <x:f>'Inputs'!$B$49</x:f>
        <x:v>1</x:v>
      </x:c>
      <x:c r="AM2155" s="83" t="n">
        <x:f>'Inputs'!$C$49</x:f>
        <x:v>3</x:v>
      </x:c>
      <x:c r="AN2155" s="83" t="n">
        <x:f>'Inputs'!$D$49</x:f>
        <x:v>0.75</x:v>
      </x:c>
      <x:c r="AO2155" s="81" t="n">
        <x:f>'Inputs'!$E$49</x:f>
        <x:v>-0.03</x:v>
      </x:c>
    </x:row>
    <x:row r="2156">
      <x:c r="A2156" s="59" t="str">
        <x:v>Mercenary LP</x:v>
      </x:c>
      <x:c r="B2156" s="59" t="n">
        <x:v>328</x:v>
      </x:c>
      <x:c r="C2156" s="78" t="n">
        <x:f>(('Inputs'!$B$29*(3*328*'Inputs'!$B$12-328^2)/(2*'Inputs'!$B$12^2))-('Inputs'!$B$29*(3*327*'Inputs'!$B$12-327^2)/(2*'Inputs'!$B$12^2)))*'Inputs'!$B$49</x:f>
        <x:v>605513.4640645385</x:v>
      </x:c>
      <x:c r="D2156" s="78" t="n">
        <x:f>IF('Inputs'!$C$49&gt;0,('Inputs'!$B$30*(3*328*'Inputs'!$B$12-328^2)/(2*'Inputs'!$B$12^2))-('Inputs'!$B$30*(3*327*'Inputs'!$B$12-327^2)/(2*'Inputs'!$B$12^2)),0)</x:f>
        <x:v>259505.77031338215</x:v>
      </x:c>
      <x:c r="E2156" s="78" t="n">
        <x:f>C2156+D2156</x:f>
        <x:v>865019.2343779206</x:v>
      </x:c>
      <x:c r="F2156" s="78" t="n">
        <x:f>'Inputs'!$B$13*E2156+(1-'Inputs'!$B$13)/'Inputs'!$B$14*SUM(E2101:E2156)</x:f>
        <x:v>875236.9112403806</x:v>
      </x:c>
      <x:c r="G2156" s="78" t="n">
        <x:f>F2156*'Inputs'!$F$49</x:f>
        <x:v>787713.2201163425</x:v>
      </x:c>
      <x:c r="H2156" s="78" t="n">
        <x:f>U2155</x:f>
        <x:v>348551770494.20447</x:v>
      </x:c>
      <x:c r="I2156" s="78" t="n">
        <x:f>V2155</x:f>
        <x:v>0.3483447092195029</x:v>
      </x:c>
      <x:c r="J2156" s="79" t="n">
        <x:f>IF(H2156&gt;0,I2156/H2156,0)</x:f>
        <x:v>9.994059382501257e-13</x:v>
      </x:c>
      <x:c r="K2156" s="80" t="n">
        <x:f>(H2156*J2156+I2156)*'Inputs'!$D$49*(1+'Inputs'!$G$49)^(B2156/30)</x:f>
        <x:v>0.5225170638292543</x:v>
      </x:c>
      <x:c r="L2156" s="80" t="n">
        <x:f>MAX(0,K2156*'Inputs'!$E$49)</x:f>
        <x:v>0</x:v>
      </x:c>
      <x:c r="M2156" s="80" t="n">
        <x:f>MAX(0,-K2156*'Inputs'!$E$49)</x:f>
        <x:v>0.015675511914877628</x:v>
      </x:c>
      <x:c r="N2156" s="78" t="n">
        <x:f>H2156*(L2156*(1-'Inputs'!$B$15))/(I2156+L2156*(1-'Inputs'!$B$15))</x:f>
        <x:v>0</x:v>
      </x:c>
      <x:c r="O2156" s="78" t="n">
        <x:f>H2156-N2156</x:f>
        <x:v>348551770494.20447</x:v>
      </x:c>
      <x:c r="P2156" s="78" t="n">
        <x:f>I2156+L2156*(1-'Inputs'!$B$17)</x:f>
        <x:v>0.3483447092195029</x:v>
      </x:c>
      <x:c r="Q2156" s="78" t="n">
        <x:f>IF(J2156&gt;0,M2156/J2156,0)</x:f>
        <x:v>0</x:v>
      </x:c>
      <x:c r="R2156" s="78" t="n">
        <x:f>IF(B2156='Inputs'!$H$49,'Inputs'!$B$27*'Inputs'!$I$49,0)</x:f>
        <x:v>0</x:v>
      </x:c>
      <x:c r="S2156" s="78" t="n">
        <x:f>Q2156+G2156+R2156</x:f>
        <x:v>787713.2201163425</x:v>
      </x:c>
      <x:c r="T2156" s="78" t="n">
        <x:f>P2156*(S2156*(1-'Inputs'!$B$15))/(O2156+S2156*(1-'Inputs'!$B$15))</x:f>
        <x:v>7.793710733898445e-7</x:v>
      </x:c>
      <x:c r="U2156" s="78" t="n">
        <x:f>O2156+S2156*(1-'Inputs'!$B$17)</x:f>
        <x:v>348552555037.5525</x:v>
      </x:c>
      <x:c r="V2156" s="78" t="n">
        <x:f>P2156-T2156</x:f>
        <x:v>0.3483439298484295</x:v>
      </x:c>
      <x:c r="W2156" s="79" t="n">
        <x:f>IF(U2156&gt;0,V2156/U2156,0)</x:f>
        <x:v>9.994014527045985e-13</x:v>
      </x:c>
      <x:c r="X2156" s="80" t="n">
        <x:f>W2156*('Inputs'!$B$6-AC2156)</x:f>
        <x:v>-0.023144099422230422</x:v>
      </x:c>
      <x:c r="Y2156" s="80" t="n">
        <x:f>2*V2156</x:f>
        <x:v>0.696687859696859</x:v>
      </x:c>
      <x:c r="Z2156" s="80" t="n">
        <x:f>K2156*'Inputs'!$B$16+(G2156+R2156)*J2156*'Inputs'!$B$16</x:f>
        <x:v>0.003135107106447145</x:v>
      </x:c>
      <x:c r="AA2156" s="80" t="n">
        <x:f>K2156*(1+'Inputs'!$E$49)/2*'Inputs'!$B$17</x:f>
        <x:v>0.0010198019153206776</x:v>
      </x:c>
      <x:c r="AB2156" s="78" t="n">
        <x:f>(IF(J2156&gt;0,K2156*(1-'Inputs'!$E$49)/2/J2156,0)+G2156+R2156)*'Inputs'!$B$17</x:f>
        <x:v>3169.8721131442358</x:v>
      </x:c>
      <x:c r="AC2156" s="78" t="n">
        <x:f>AC2155+AB2156</x:f>
        <x:v>24157960556.888763</x:v>
      </x:c>
      <x:c r="AD2156" s="80" t="n">
        <x:f>Z2156/(1+'Inputs'!$C$49)</x:f>
        <x:v>0.0007837767766117863</x:v>
      </x:c>
      <x:c r="AE2156" s="80" t="n">
        <x:f>Z2156-AD2156</x:f>
        <x:v>0.002351330329835359</x:v>
      </x:c>
      <x:c r="AF2156" s="80" t="n">
        <x:f>D2156*W2156</x:f>
        <x:v>2.5935044383641996e-7</x:v>
      </x:c>
      <x:c r="AG2156" s="80" t="n">
        <x:f>C2156*W2156</x:f>
        <x:v>6.051510356182935e-7</x:v>
      </x:c>
      <x:c r="AH2156" s="80" t="n">
        <x:f>2*'Inputs'!$B$8*'Inputs'!$C$49</x:f>
        <x:v>15000</x:v>
      </x:c>
      <x:c r="AI2156" s="81" t="n">
        <x:f>IF(AH2156&gt;0,(AE2156+AF2156)/AH2156*365,0)</x:f>
        <x:v>0.00005722201555346043</x:v>
      </x:c>
      <x:c r="AJ2156" s="81" t="n">
        <x:f>IF('Inputs'!$B$49&gt;0,AG2156/('Inputs'!$B$19*'Inputs'!$B$49)*365,0)</x:f>
        <x:v>2.208801280006771e-8</x:v>
      </x:c>
      <x:c r="AK2156" s="81" t="n">
        <x:f>W2156/MAX($W$1829:W2156)-1</x:f>
        <x:v>-0.999999998712476</x:v>
      </x:c>
      <x:c r="AL2156" s="83" t="n">
        <x:f>'Inputs'!$B$49</x:f>
        <x:v>1</x:v>
      </x:c>
      <x:c r="AM2156" s="83" t="n">
        <x:f>'Inputs'!$C$49</x:f>
        <x:v>3</x:v>
      </x:c>
      <x:c r="AN2156" s="83" t="n">
        <x:f>'Inputs'!$D$49</x:f>
        <x:v>0.75</x:v>
      </x:c>
      <x:c r="AO2156" s="81" t="n">
        <x:f>'Inputs'!$E$49</x:f>
        <x:v>-0.03</x:v>
      </x:c>
    </x:row>
    <x:row r="2157">
      <x:c r="A2157" s="59" t="str">
        <x:v>Mercenary LP</x:v>
      </x:c>
      <x:c r="B2157" s="59" t="n">
        <x:v>329</x:v>
      </x:c>
      <x:c r="C2157" s="78" t="n">
        <x:f>(('Inputs'!$B$29*(3*329*'Inputs'!$B$12-329^2)/(2*'Inputs'!$B$12^2))-('Inputs'!$B$29*(3*328*'Inputs'!$B$12-328^2)/(2*'Inputs'!$B$12^2)))*'Inputs'!$B$49</x:f>
        <x:v>605188.3561643958</x:v>
      </x:c>
      <x:c r="D2157" s="78" t="n">
        <x:f>IF('Inputs'!$C$49&gt;0,('Inputs'!$B$30*(3*329*'Inputs'!$B$12-329^2)/(2*'Inputs'!$B$12^2))-('Inputs'!$B$30*(3*328*'Inputs'!$B$12-328^2)/(2*'Inputs'!$B$12^2)),0)</x:f>
        <x:v>259366.43835616112</x:v>
      </x:c>
      <x:c r="E2157" s="78" t="n">
        <x:f>C2157+D2157</x:f>
        <x:v>864554.7945205569</x:v>
      </x:c>
      <x:c r="F2157" s="78" t="n">
        <x:f>'Inputs'!$B$13*E2157+(1-'Inputs'!$B$13)/'Inputs'!$B$14*SUM(E2102:E2157)</x:f>
        <x:v>874772.4713830006</x:v>
      </x:c>
      <x:c r="G2157" s="78" t="n">
        <x:f>F2157*'Inputs'!$F$49</x:f>
        <x:v>787295.2242447005</x:v>
      </x:c>
      <x:c r="H2157" s="78" t="n">
        <x:f>U2156</x:f>
        <x:v>348552555037.5525</x:v>
      </x:c>
      <x:c r="I2157" s="78" t="n">
        <x:f>V2156</x:f>
        <x:v>0.3483439298484295</x:v>
      </x:c>
      <x:c r="J2157" s="79" t="n">
        <x:f>IF(H2157&gt;0,I2157/H2157,0)</x:f>
        <x:v>9.994014527045985e-13</x:v>
      </x:c>
      <x:c r="K2157" s="80" t="n">
        <x:f>(H2157*J2157+I2157)*'Inputs'!$D$49*(1+'Inputs'!$G$49)^(B2157/30)</x:f>
        <x:v>0.5225158947726443</x:v>
      </x:c>
      <x:c r="L2157" s="80" t="n">
        <x:f>MAX(0,K2157*'Inputs'!$E$49)</x:f>
        <x:v>0</x:v>
      </x:c>
      <x:c r="M2157" s="80" t="n">
        <x:f>MAX(0,-K2157*'Inputs'!$E$49)</x:f>
        <x:v>0.015675476843179326</x:v>
      </x:c>
      <x:c r="N2157" s="78" t="n">
        <x:f>H2157*(L2157*(1-'Inputs'!$B$15))/(I2157+L2157*(1-'Inputs'!$B$15))</x:f>
        <x:v>0</x:v>
      </x:c>
      <x:c r="O2157" s="78" t="n">
        <x:f>H2157-N2157</x:f>
        <x:v>348552555037.5525</x:v>
      </x:c>
      <x:c r="P2157" s="78" t="n">
        <x:f>I2157+L2157*(1-'Inputs'!$B$17)</x:f>
        <x:v>0.3483439298484295</x:v>
      </x:c>
      <x:c r="Q2157" s="78" t="n">
        <x:f>IF(J2157&gt;0,M2157/J2157,0)</x:f>
        <x:v>0</x:v>
      </x:c>
      <x:c r="R2157" s="78" t="n">
        <x:f>IF(B2157='Inputs'!$H$49,'Inputs'!$B$27*'Inputs'!$I$49,0)</x:f>
        <x:v>0</x:v>
      </x:c>
      <x:c r="S2157" s="78" t="n">
        <x:f>Q2157+G2157+R2157</x:f>
        <x:v>787295.2242447005</x:v>
      </x:c>
      <x:c r="T2157" s="78" t="n">
        <x:f>P2157*(S2157*(1-'Inputs'!$B$15))/(O2157+S2157*(1-'Inputs'!$B$15))</x:f>
        <x:v>7.789540090368906e-7</x:v>
      </x:c>
      <x:c r="U2157" s="78" t="n">
        <x:f>O2157+S2157*(1-'Inputs'!$B$17)</x:f>
        <x:v>348553339164.5867</x:v>
      </x:c>
      <x:c r="V2157" s="78" t="n">
        <x:f>P2157-T2157</x:f>
        <x:v>0.3483431508944205</x:v>
      </x:c>
      <x:c r="W2157" s="79" t="n">
        <x:f>IF(U2157&gt;0,V2157/U2157,0)</x:f>
        <x:v>9.99396969569507e-13</x:v>
      </x:c>
      <x:c r="X2157" s="80" t="n">
        <x:f>W2157*('Inputs'!$B$6-AC2157)</x:f>
        <x:v>-0.023143998768244325</x:v>
      </x:c>
      <x:c r="Y2157" s="80" t="n">
        <x:f>2*V2157</x:f>
        <x:v>0.696686301788841</x:v>
      </x:c>
      <x:c r="Z2157" s="80" t="n">
        <x:f>K2157*'Inputs'!$B$16+(G2157+R2157)*J2157*'Inputs'!$B$16</x:f>
        <x:v>0.0031351000895798106</x:v>
      </x:c>
      <x:c r="AA2157" s="80" t="n">
        <x:f>K2157*(1+'Inputs'!$E$49)/2*'Inputs'!$B$17</x:f>
        <x:v>0.0010197996336608953</x:v>
      </x:c>
      <x:c r="AB2157" s="78" t="n">
        <x:f>(IF(J2157&gt;0,K2157*(1-'Inputs'!$E$49)/2/J2157,0)+G2157+R2157)*'Inputs'!$B$17</x:f>
        <x:v>3168.1900372020145</x:v>
      </x:c>
      <x:c r="AC2157" s="78" t="n">
        <x:f>AC2156+AB2157</x:f>
        <x:v>24157963725.0788</x:v>
      </x:c>
      <x:c r="AD2157" s="80" t="n">
        <x:f>Z2157/(1+'Inputs'!$C$49)</x:f>
        <x:v>0.0007837750223949527</x:v>
      </x:c>
      <x:c r="AE2157" s="80" t="n">
        <x:f>Z2157-AD2157</x:f>
        <x:v>0.002351325067184858</x:v>
      </x:c>
      <x:c r="AF2157" s="80" t="n">
        <x:f>D2157*W2157</x:f>
        <x:v>2.5921003250118374e-7</x:v>
      </x:c>
      <x:c r="AG2157" s="80" t="n">
        <x:f>C2157*W2157</x:f>
        <x:v>6.048234091694486e-7</x:v>
      </x:c>
      <x:c r="AH2157" s="80" t="n">
        <x:f>2*'Inputs'!$B$8*'Inputs'!$C$49</x:f>
        <x:v>15000</x:v>
      </x:c>
      <x:c r="AI2157" s="81" t="n">
        <x:f>IF(AH2157&gt;0,(AE2157+AF2157)/AH2157*365,0)</x:f>
        <x:v>0.00005722188407895574</x:v>
      </x:c>
      <x:c r="AJ2157" s="81" t="n">
        <x:f>IF('Inputs'!$B$49&gt;0,AG2157/('Inputs'!$B$19*'Inputs'!$B$49)*365,0)</x:f>
        <x:v>2.2076054434684874e-8</x:v>
      </x:c>
      <x:c r="AK2157" s="81" t="n">
        <x:f>W2157/MAX($W$1829:W2157)-1</x:f>
        <x:v>-0.9999999987124818</x:v>
      </x:c>
      <x:c r="AL2157" s="83" t="n">
        <x:f>'Inputs'!$B$49</x:f>
        <x:v>1</x:v>
      </x:c>
      <x:c r="AM2157" s="83" t="n">
        <x:f>'Inputs'!$C$49</x:f>
        <x:v>3</x:v>
      </x:c>
      <x:c r="AN2157" s="83" t="n">
        <x:f>'Inputs'!$D$49</x:f>
        <x:v>0.75</x:v>
      </x:c>
      <x:c r="AO2157" s="81" t="n">
        <x:f>'Inputs'!$E$49</x:f>
        <x:v>-0.03</x:v>
      </x:c>
    </x:row>
    <x:row r="2158">
      <x:c r="A2158" s="59" t="str">
        <x:v>Mercenary LP</x:v>
      </x:c>
      <x:c r="B2158" s="59" t="n">
        <x:v>330</x:v>
      </x:c>
      <x:c r="C2158" s="78" t="n">
        <x:f>(('Inputs'!$B$29*(3*330*'Inputs'!$B$12-330^2)/(2*'Inputs'!$B$12^2))-('Inputs'!$B$29*(3*329*'Inputs'!$B$12-329^2)/(2*'Inputs'!$B$12^2)))*'Inputs'!$B$49</x:f>
        <x:v>604863.2482641935</x:v>
      </x:c>
      <x:c r="D2158" s="78" t="n">
        <x:f>IF('Inputs'!$C$49&gt;0,('Inputs'!$B$30*(3*330*'Inputs'!$B$12-330^2)/(2*'Inputs'!$B$12^2))-('Inputs'!$B$30*(3*329*'Inputs'!$B$12-329^2)/(2*'Inputs'!$B$12^2)),0)</x:f>
        <x:v>259227.106398955</x:v>
      </x:c>
      <x:c r="E2158" s="78" t="n">
        <x:f>C2158+D2158</x:f>
        <x:v>864090.3546631485</x:v>
      </x:c>
      <x:c r="F2158" s="78" t="n">
        <x:f>'Inputs'!$B$13*E2158+(1-'Inputs'!$B$13)/'Inputs'!$B$14*SUM(E2103:E2158)</x:f>
        <x:v>874308.0315256115</x:v>
      </x:c>
      <x:c r="G2158" s="78" t="n">
        <x:f>F2158*'Inputs'!$F$49</x:f>
        <x:v>786877.2283730503</x:v>
      </x:c>
      <x:c r="H2158" s="78" t="n">
        <x:f>U2157</x:f>
        <x:v>348553339164.5867</x:v>
      </x:c>
      <x:c r="I2158" s="78" t="n">
        <x:f>V2157</x:f>
        <x:v>0.3483431508944205</x:v>
      </x:c>
      <x:c r="J2158" s="79" t="n">
        <x:f>IF(H2158&gt;0,I2158/H2158,0)</x:f>
        <x:v>9.99396969569507e-13</x:v>
      </x:c>
      <x:c r="K2158" s="80" t="n">
        <x:f>(H2158*J2158+I2158)*'Inputs'!$D$49*(1+'Inputs'!$G$49)^(B2158/30)</x:f>
        <x:v>0.5225147263416308</x:v>
      </x:c>
      <x:c r="L2158" s="80" t="n">
        <x:f>MAX(0,K2158*'Inputs'!$E$49)</x:f>
        <x:v>0</x:v>
      </x:c>
      <x:c r="M2158" s="80" t="n">
        <x:f>MAX(0,-K2158*'Inputs'!$E$49)</x:f>
        <x:v>0.015675441790248924</x:v>
      </x:c>
      <x:c r="N2158" s="78" t="n">
        <x:f>H2158*(L2158*(1-'Inputs'!$B$15))/(I2158+L2158*(1-'Inputs'!$B$15))</x:f>
        <x:v>0</x:v>
      </x:c>
      <x:c r="O2158" s="78" t="n">
        <x:f>H2158-N2158</x:f>
        <x:v>348553339164.5867</x:v>
      </x:c>
      <x:c r="P2158" s="78" t="n">
        <x:f>I2158+L2158*(1-'Inputs'!$B$17)</x:f>
        <x:v>0.3483431508944205</x:v>
      </x:c>
      <x:c r="Q2158" s="78" t="n">
        <x:f>IF(J2158&gt;0,M2158/J2158,0)</x:f>
        <x:v>0</x:v>
      </x:c>
      <x:c r="R2158" s="78" t="n">
        <x:f>IF(B2158='Inputs'!$H$49,'Inputs'!$B$27*'Inputs'!$I$49,0)</x:f>
        <x:v>0</x:v>
      </x:c>
      <x:c r="S2158" s="78" t="n">
        <x:f>Q2158+G2158+R2158</x:f>
        <x:v>786877.2283730503</x:v>
      </x:c>
      <x:c r="T2158" s="78" t="n">
        <x:f>P2158*(S2158*(1-'Inputs'!$B$15))/(O2158+S2158*(1-'Inputs'!$B$15))</x:f>
        <x:v>7.785369502730456e-7</x:v>
      </x:c>
      <x:c r="U2158" s="78" t="n">
        <x:f>O2158+S2158*(1-'Inputs'!$B$17)</x:f>
        <x:v>348554122875.30707</x:v>
      </x:c>
      <x:c r="V2158" s="78" t="n">
        <x:f>P2158-T2158</x:f>
        <x:v>0.3483423723574702</x:v>
      </x:c>
      <x:c r="W2158" s="79" t="n">
        <x:f>IF(U2158&gt;0,V2158/U2158,0)</x:f>
        <x:v>9.993924888448023e-13</x:v>
      </x:c>
      <x:c r="X2158" s="80" t="n">
        <x:f>W2158*('Inputs'!$B$6-AC2158)</x:f>
        <x:v>-0.023143898168368423</x:v>
      </x:c>
      <x:c r="Y2158" s="80" t="n">
        <x:f>2*V2158</x:f>
        <x:v>0.6966847447149404</x:v>
      </x:c>
      <x:c r="Z2158" s="80" t="n">
        <x:f>K2158*'Inputs'!$B$16+(G2158+R2158)*J2158*'Inputs'!$B$16</x:f>
        <x:v>0.0031350930764660894</x:v>
      </x:c>
      <x:c r="AA2158" s="80" t="n">
        <x:f>K2158*(1+'Inputs'!$E$49)/2*'Inputs'!$B$17</x:f>
        <x:v>0.0010197973532220963</x:v>
      </x:c>
      <x:c r="AB2158" s="78" t="n">
        <x:f>(IF(J2158&gt;0,K2158*(1-'Inputs'!$E$49)/2/J2158,0)+G2158+R2158)*'Inputs'!$B$17</x:f>
        <x:v>3166.50796125976</x:v>
      </x:c>
      <x:c r="AC2158" s="78" t="n">
        <x:f>AC2157+AB2158</x:f>
        <x:v>24157966891.58676</x:v>
      </x:c>
      <x:c r="AD2158" s="80" t="n">
        <x:f>Z2158/(1+'Inputs'!$C$49)</x:f>
        <x:v>0.0007837732691165223</x:v>
      </x:c>
      <x:c r="AE2158" s="80" t="n">
        <x:f>Z2158-AD2158</x:f>
        <x:v>0.002351319807349567</x:v>
      </x:c>
      <x:c r="AF2158" s="80" t="n">
        <x:f>D2158*W2158</x:f>
        <x:v>2.59069623040088e-7</x:v>
      </x:c>
      <x:c r="AG2158" s="80" t="n">
        <x:f>C2158*W2158</x:f>
        <x:v>6.044957870935039e-7</x:v>
      </x:c>
      <x:c r="AH2158" s="80" t="n">
        <x:f>2*'Inputs'!$B$8*'Inputs'!$C$49</x:f>
        <x:v>15000</x:v>
      </x:c>
      <x:c r="AI2158" s="81" t="n">
        <x:f>IF(AH2158&gt;0,(AE2158+AF2158)/AH2158*365,0)</x:f>
        <x:v>0.00005722175267300011</x:v>
      </x:c>
      <x:c r="AJ2158" s="81" t="n">
        <x:f>IF('Inputs'!$B$49&gt;0,AG2158/('Inputs'!$B$19*'Inputs'!$B$49)*365,0)</x:f>
        <x:v>2.206409622891289e-8</x:v>
      </x:c>
      <x:c r="AK2158" s="81" t="n">
        <x:f>W2158/MAX($W$1829:W2158)-1</x:f>
        <x:v>-0.9999999987124876</x:v>
      </x:c>
      <x:c r="AL2158" s="83" t="n">
        <x:f>'Inputs'!$B$49</x:f>
        <x:v>1</x:v>
      </x:c>
      <x:c r="AM2158" s="83" t="n">
        <x:f>'Inputs'!$C$49</x:f>
        <x:v>3</x:v>
      </x:c>
      <x:c r="AN2158" s="83" t="n">
        <x:f>'Inputs'!$D$49</x:f>
        <x:v>0.75</x:v>
      </x:c>
      <x:c r="AO2158" s="81" t="n">
        <x:f>'Inputs'!$E$49</x:f>
        <x:v>-0.03</x:v>
      </x:c>
    </x:row>
    <x:row r="2159">
      <x:c r="A2159" s="59" t="str">
        <x:v>Mercenary LP</x:v>
      </x:c>
      <x:c r="B2159" s="59" t="n">
        <x:v>331</x:v>
      </x:c>
      <x:c r="C2159" s="78" t="n">
        <x:f>(('Inputs'!$B$29*(3*331*'Inputs'!$B$12-331^2)/(2*'Inputs'!$B$12^2))-('Inputs'!$B$29*(3*330*'Inputs'!$B$12-330^2)/(2*'Inputs'!$B$12^2)))*'Inputs'!$B$49</x:f>
        <x:v>604538.1403640509</x:v>
      </x:c>
      <x:c r="D2159" s="78" t="n">
        <x:f>IF('Inputs'!$C$49&gt;0,('Inputs'!$B$30*(3*331*'Inputs'!$B$12-331^2)/(2*'Inputs'!$B$12^2))-('Inputs'!$B$30*(3*330*'Inputs'!$B$12-330^2)/(2*'Inputs'!$B$12^2)),0)</x:f>
        <x:v>259087.77444173396</x:v>
      </x:c>
      <x:c r="E2159" s="78" t="n">
        <x:f>C2159+D2159</x:f>
        <x:v>863625.9148057848</x:v>
      </x:c>
      <x:c r="F2159" s="78" t="n">
        <x:f>'Inputs'!$B$13*E2159+(1-'Inputs'!$B$13)/'Inputs'!$B$14*SUM(E2104:E2159)</x:f>
        <x:v>873843.5916682314</x:v>
      </x:c>
      <x:c r="G2159" s="78" t="n">
        <x:f>F2159*'Inputs'!$F$49</x:f>
        <x:v>786459.2325014083</x:v>
      </x:c>
      <x:c r="H2159" s="78" t="n">
        <x:f>U2158</x:f>
        <x:v>348554122875.30707</x:v>
      </x:c>
      <x:c r="I2159" s="78" t="n">
        <x:f>V2158</x:f>
        <x:v>0.3483423723574702</x:v>
      </x:c>
      <x:c r="J2159" s="79" t="n">
        <x:f>IF(H2159&gt;0,I2159/H2159,0)</x:f>
        <x:v>9.993924888448023e-13</x:v>
      </x:c>
      <x:c r="K2159" s="80" t="n">
        <x:f>(H2159*J2159+I2159)*'Inputs'!$D$49*(1+'Inputs'!$G$49)^(B2159/30)</x:f>
        <x:v>0.5225135585362053</x:v>
      </x:c>
      <x:c r="L2159" s="80" t="n">
        <x:f>MAX(0,K2159*'Inputs'!$E$49)</x:f>
        <x:v>0</x:v>
      </x:c>
      <x:c r="M2159" s="80" t="n">
        <x:f>MAX(0,-K2159*'Inputs'!$E$49)</x:f>
        <x:v>0.01567540675608616</x:v>
      </x:c>
      <x:c r="N2159" s="78" t="n">
        <x:f>H2159*(L2159*(1-'Inputs'!$B$15))/(I2159+L2159*(1-'Inputs'!$B$15))</x:f>
        <x:v>0</x:v>
      </x:c>
      <x:c r="O2159" s="78" t="n">
        <x:f>H2159-N2159</x:f>
        <x:v>348554122875.30707</x:v>
      </x:c>
      <x:c r="P2159" s="78" t="n">
        <x:f>I2159+L2159*(1-'Inputs'!$B$17)</x:f>
        <x:v>0.3483423723574702</x:v>
      </x:c>
      <x:c r="Q2159" s="78" t="n">
        <x:f>IF(J2159&gt;0,M2159/J2159,0)</x:f>
        <x:v>0</x:v>
      </x:c>
      <x:c r="R2159" s="78" t="n">
        <x:f>IF(B2159='Inputs'!$H$49,'Inputs'!$B$27*'Inputs'!$I$49,0)</x:f>
        <x:v>0</x:v>
      </x:c>
      <x:c r="S2159" s="78" t="n">
        <x:f>Q2159+G2159+R2159</x:f>
        <x:v>786459.2325014083</x:v>
      </x:c>
      <x:c r="T2159" s="78" t="n">
        <x:f>P2159*(S2159*(1-'Inputs'!$B$15))/(O2159+S2159*(1-'Inputs'!$B$15))</x:f>
        <x:v>7.781198970952949e-7</x:v>
      </x:c>
      <x:c r="U2159" s="78" t="n">
        <x:f>O2159+S2159*(1-'Inputs'!$B$17)</x:f>
        <x:v>348554906169.7137</x:v>
      </x:c>
      <x:c r="V2159" s="78" t="n">
        <x:f>P2159-T2159</x:f>
        <x:v>0.3483415942375731</x:v>
      </x:c>
      <x:c r="W2159" s="79" t="n">
        <x:f>IF(U2159&gt;0,V2159/U2159,0)</x:f>
        <x:v>9.993880105304364e-13</x:v>
      </x:c>
      <x:c r="X2159" s="80" t="n">
        <x:f>W2159*('Inputs'!$B$6-AC2159)</x:f>
        <x:v>-0.023143797622601655</x:v>
      </x:c>
      <x:c r="Y2159" s="80" t="n">
        <x:f>2*V2159</x:f>
        <x:v>0.6966831884751462</x:v>
      </x:c>
      <x:c r="Z2159" s="80" t="n">
        <x:f>K2159*'Inputs'!$B$16+(G2159+R2159)*J2159*'Inputs'!$B$16</x:f>
        <x:v>0.0031350860671059307</x:v>
      </x:c>
      <x:c r="AA2159" s="80" t="n">
        <x:f>K2159*(1+'Inputs'!$E$49)/2*'Inputs'!$B$17</x:f>
        <x:v>0.001019795074004264</x:v>
      </x:c>
      <x:c r="AB2159" s="78" t="n">
        <x:f>(IF(J2159&gt;0,K2159*(1-'Inputs'!$E$49)/2/J2159,0)+G2159+R2159)*'Inputs'!$B$17</x:f>
        <x:v>3164.825885317539</x:v>
      </x:c>
      <x:c r="AC2159" s="78" t="n">
        <x:f>AC2158+AB2159</x:f>
        <x:v>24157970056.412647</x:v>
      </x:c>
      <x:c r="AD2159" s="80" t="n">
        <x:f>Z2159/(1+'Inputs'!$C$49)</x:f>
        <x:v>0.0007837715167764827</x:v>
      </x:c>
      <x:c r="AE2159" s="80" t="n">
        <x:f>Z2159-AD2159</x:f>
        <x:v>0.002351314550329448</x:v>
      </x:c>
      <x:c r="AF2159" s="80" t="n">
        <x:f>D2159*W2159</x:f>
        <x:v>2.5892921545208294e-7</x:v>
      </x:c>
      <x:c r="AG2159" s="80" t="n">
        <x:f>C2159*W2159</x:f>
        <x:v>6.041681693881985e-7</x:v>
      </x:c>
      <x:c r="AH2159" s="80" t="n">
        <x:f>2*'Inputs'!$B$8*'Inputs'!$C$49</x:f>
        <x:v>15000</x:v>
      </x:c>
      <x:c r="AI2159" s="81" t="n">
        <x:f>IF(AH2159&gt;0,(AE2159+AF2159)/AH2159*365,0)</x:f>
        <x:v>0.00005722162133559256</x:v>
      </x:c>
      <x:c r="AJ2159" s="81" t="n">
        <x:f>IF('Inputs'!$B$49&gt;0,AG2159/('Inputs'!$B$19*'Inputs'!$B$49)*365,0)</x:f>
        <x:v>2.2052138182669245e-8</x:v>
      </x:c>
      <x:c r="AK2159" s="81" t="n">
        <x:f>W2159/MAX($W$1829:W2159)-1</x:f>
        <x:v>-0.9999999987124933</x:v>
      </x:c>
      <x:c r="AL2159" s="83" t="n">
        <x:f>'Inputs'!$B$49</x:f>
        <x:v>1</x:v>
      </x:c>
      <x:c r="AM2159" s="83" t="n">
        <x:f>'Inputs'!$C$49</x:f>
        <x:v>3</x:v>
      </x:c>
      <x:c r="AN2159" s="83" t="n">
        <x:f>'Inputs'!$D$49</x:f>
        <x:v>0.75</x:v>
      </x:c>
      <x:c r="AO2159" s="81" t="n">
        <x:f>'Inputs'!$E$49</x:f>
        <x:v>-0.03</x:v>
      </x:c>
    </x:row>
    <x:row r="2160">
      <x:c r="A2160" s="59" t="str">
        <x:v>Mercenary LP</x:v>
      </x:c>
      <x:c r="B2160" s="59" t="n">
        <x:v>332</x:v>
      </x:c>
      <x:c r="C2160" s="78" t="n">
        <x:f>(('Inputs'!$B$29*(3*332*'Inputs'!$B$12-332^2)/(2*'Inputs'!$B$12^2))-('Inputs'!$B$29*(3*331*'Inputs'!$B$12-331^2)/(2*'Inputs'!$B$12^2)))*'Inputs'!$B$49</x:f>
        <x:v>604213.0324638784</x:v>
      </x:c>
      <x:c r="D2160" s="78" t="n">
        <x:f>IF('Inputs'!$C$49&gt;0,('Inputs'!$B$30*(3*332*'Inputs'!$B$12-332^2)/(2*'Inputs'!$B$12^2))-('Inputs'!$B$30*(3*331*'Inputs'!$B$12-331^2)/(2*'Inputs'!$B$12^2)),0)</x:f>
        <x:v>258948.44248451293</x:v>
      </x:c>
      <x:c r="E2160" s="78" t="n">
        <x:f>C2160+D2160</x:f>
        <x:v>863161.4749483913</x:v>
      </x:c>
      <x:c r="F2160" s="78" t="n">
        <x:f>'Inputs'!$B$13*E2160+(1-'Inputs'!$B$13)/'Inputs'!$B$14*SUM(E2105:E2160)</x:f>
        <x:v>873379.1518108456</x:v>
      </x:c>
      <x:c r="G2160" s="78" t="n">
        <x:f>F2160*'Inputs'!$F$49</x:f>
        <x:v>786041.236629761</x:v>
      </x:c>
      <x:c r="H2160" s="78" t="n">
        <x:f>U2159</x:f>
        <x:v>348554906169.7137</x:v>
      </x:c>
      <x:c r="I2160" s="78" t="n">
        <x:f>V2159</x:f>
        <x:v>0.3483415942375731</x:v>
      </x:c>
      <x:c r="J2160" s="79" t="n">
        <x:f>IF(H2160&gt;0,I2160/H2160,0)</x:f>
        <x:v>9.993880105304364e-13</x:v>
      </x:c>
      <x:c r="K2160" s="80" t="n">
        <x:f>(H2160*J2160+I2160)*'Inputs'!$D$49*(1+'Inputs'!$G$49)^(B2160/30)</x:f>
        <x:v>0.5225123913563596</x:v>
      </x:c>
      <x:c r="L2160" s="80" t="n">
        <x:f>MAX(0,K2160*'Inputs'!$E$49)</x:f>
        <x:v>0</x:v>
      </x:c>
      <x:c r="M2160" s="80" t="n">
        <x:f>MAX(0,-K2160*'Inputs'!$E$49)</x:f>
        <x:v>0.015675371740690787</x:v>
      </x:c>
      <x:c r="N2160" s="78" t="n">
        <x:f>H2160*(L2160*(1-'Inputs'!$B$15))/(I2160+L2160*(1-'Inputs'!$B$15))</x:f>
        <x:v>0</x:v>
      </x:c>
      <x:c r="O2160" s="78" t="n">
        <x:f>H2160-N2160</x:f>
        <x:v>348554906169.7137</x:v>
      </x:c>
      <x:c r="P2160" s="78" t="n">
        <x:f>I2160+L2160*(1-'Inputs'!$B$17)</x:f>
        <x:v>0.3483415942375731</x:v>
      </x:c>
      <x:c r="Q2160" s="78" t="n">
        <x:f>IF(J2160&gt;0,M2160/J2160,0)</x:f>
        <x:v>0</x:v>
      </x:c>
      <x:c r="R2160" s="78" t="n">
        <x:f>IF(B2160='Inputs'!$H$49,'Inputs'!$B$27*'Inputs'!$I$49,0)</x:f>
        <x:v>0</x:v>
      </x:c>
      <x:c r="S2160" s="78" t="n">
        <x:f>Q2160+G2160+R2160</x:f>
        <x:v>786041.236629761</x:v>
      </x:c>
      <x:c r="T2160" s="78" t="n">
        <x:f>P2160*(S2160*(1-'Inputs'!$B$15))/(O2160+S2160*(1-'Inputs'!$B$15))</x:f>
        <x:v>7.777028495005958e-7</x:v>
      </x:c>
      <x:c r="U2160" s="78" t="n">
        <x:f>O2160+S2160*(1-'Inputs'!$B$17)</x:f>
        <x:v>348555689047.8065</x:v>
      </x:c>
      <x:c r="V2160" s="78" t="n">
        <x:f>P2160-T2160</x:f>
        <x:v>0.3483408165347236</x:v>
      </x:c>
      <x:c r="W2160" s="79" t="n">
        <x:f>IF(U2160&gt;0,V2160/U2160,0)</x:f>
        <x:v>9.993835346263608e-13</x:v>
      </x:c>
      <x:c r="X2160" s="80" t="n">
        <x:f>W2160*('Inputs'!$B$6-AC2160)</x:f>
        <x:v>-0.023143697130942935</x:v>
      </x:c>
      <x:c r="Y2160" s="80" t="n">
        <x:f>2*V2160</x:f>
        <x:v>0.6966816330694472</x:v>
      </x:c>
      <x:c r="Z2160" s="80" t="n">
        <x:f>K2160*'Inputs'!$B$16+(G2160+R2160)*J2160*'Inputs'!$B$16</x:f>
        <x:v>0.0031350790614992838</x:v>
      </x:c>
      <x:c r="AA2160" s="80" t="n">
        <x:f>K2160*(1+'Inputs'!$E$49)/2*'Inputs'!$B$17</x:f>
        <x:v>0.001019792796007382</x:v>
      </x:c>
      <x:c r="AB2160" s="78" t="n">
        <x:f>(IF(J2160&gt;0,K2160*(1-'Inputs'!$E$49)/2/J2160,0)+G2160+R2160)*'Inputs'!$B$17</x:f>
        <x:v>3163.1438093752963</x:v>
      </x:c>
      <x:c r="AC2160" s="78" t="n">
        <x:f>AC2159+AB2160</x:f>
        <x:v>24157973219.556458</x:v>
      </x:c>
      <x:c r="AD2160" s="80" t="n">
        <x:f>Z2160/(1+'Inputs'!$C$49)</x:f>
        <x:v>0.0007837697653748209</x:v>
      </x:c>
      <x:c r="AE2160" s="80" t="n">
        <x:f>Z2160-AD2160</x:f>
        <x:v>0.002351309296124463</x:v>
      </x:c>
      <x:c r="AF2160" s="80" t="n">
        <x:f>D2160*W2160</x:f>
        <x:v>2.587888097361634e-7</x:v>
      </x:c>
      <x:c r="AG2160" s="80" t="n">
        <x:f>C2160*W2160</x:f>
        <x:v>6.038405560510628e-7</x:v>
      </x:c>
      <x:c r="AH2160" s="80" t="n">
        <x:f>2*'Inputs'!$B$8*'Inputs'!$C$49</x:f>
        <x:v>15000</x:v>
      </x:c>
      <x:c r="AI2160" s="81" t="n">
        <x:f>IF(AH2160&gt;0,(AE2160+AF2160)/AH2160*365,0)</x:f>
        <x:v>0.000057221490066732176</x:v>
      </x:c>
      <x:c r="AJ2160" s="81" t="n">
        <x:f>IF('Inputs'!$B$49&gt;0,AG2160/('Inputs'!$B$19*'Inputs'!$B$49)*365,0)</x:f>
        <x:v>2.2040180295863793e-8</x:v>
      </x:c>
      <x:c r="AK2160" s="81" t="n">
        <x:f>W2160/MAX($W$1829:W2160)-1</x:f>
        <x:v>-0.9999999987124991</x:v>
      </x:c>
      <x:c r="AL2160" s="83" t="n">
        <x:f>'Inputs'!$B$49</x:f>
        <x:v>1</x:v>
      </x:c>
      <x:c r="AM2160" s="83" t="n">
        <x:f>'Inputs'!$C$49</x:f>
        <x:v>3</x:v>
      </x:c>
      <x:c r="AN2160" s="83" t="n">
        <x:f>'Inputs'!$D$49</x:f>
        <x:v>0.75</x:v>
      </x:c>
      <x:c r="AO2160" s="81" t="n">
        <x:f>'Inputs'!$E$49</x:f>
        <x:v>-0.03</x:v>
      </x:c>
    </x:row>
    <x:row r="2161">
      <x:c r="A2161" s="59" t="str">
        <x:v>Mercenary LP</x:v>
      </x:c>
      <x:c r="B2161" s="59" t="n">
        <x:v>333</x:v>
      </x:c>
      <x:c r="C2161" s="78" t="n">
        <x:f>(('Inputs'!$B$29*(3*333*'Inputs'!$B$12-333^2)/(2*'Inputs'!$B$12^2))-('Inputs'!$B$29*(3*332*'Inputs'!$B$12-332^2)/(2*'Inputs'!$B$12^2)))*'Inputs'!$B$49</x:f>
        <x:v>603887.9245637059</x:v>
      </x:c>
      <x:c r="D2161" s="78" t="n">
        <x:f>IF('Inputs'!$C$49&gt;0,('Inputs'!$B$30*(3*333*'Inputs'!$B$12-333^2)/(2*'Inputs'!$B$12^2))-('Inputs'!$B$30*(3*332*'Inputs'!$B$12-332^2)/(2*'Inputs'!$B$12^2)),0)</x:f>
        <x:v>258809.1105273068</x:v>
      </x:c>
      <x:c r="E2161" s="78" t="n">
        <x:f>C2161+D2161</x:f>
        <x:v>862697.0350910127</x:v>
      </x:c>
      <x:c r="F2161" s="78" t="n">
        <x:f>'Inputs'!$B$13*E2161+(1-'Inputs'!$B$13)/'Inputs'!$B$14*SUM(E2106:E2161)</x:f>
        <x:v>872914.7119534623</x:v>
      </x:c>
      <x:c r="G2161" s="78" t="n">
        <x:f>F2161*'Inputs'!$F$49</x:f>
        <x:v>785623.2407581161</x:v>
      </x:c>
      <x:c r="H2161" s="78" t="n">
        <x:f>U2160</x:f>
        <x:v>348555689047.8065</x:v>
      </x:c>
      <x:c r="I2161" s="78" t="n">
        <x:f>V2160</x:f>
        <x:v>0.3483408165347236</x:v>
      </x:c>
      <x:c r="J2161" s="79" t="n">
        <x:f>IF(H2161&gt;0,I2161/H2161,0)</x:f>
        <x:v>9.993835346263608e-13</x:v>
      </x:c>
      <x:c r="K2161" s="80" t="n">
        <x:f>(H2161*J2161+I2161)*'Inputs'!$D$49*(1+'Inputs'!$G$49)^(B2161/30)</x:f>
        <x:v>0.5225112248020853</x:v>
      </x:c>
      <x:c r="L2161" s="80" t="n">
        <x:f>MAX(0,K2161*'Inputs'!$E$49)</x:f>
        <x:v>0</x:v>
      </x:c>
      <x:c r="M2161" s="80" t="n">
        <x:f>MAX(0,-K2161*'Inputs'!$E$49)</x:f>
        <x:v>0.01567533674406256</x:v>
      </x:c>
      <x:c r="N2161" s="78" t="n">
        <x:f>H2161*(L2161*(1-'Inputs'!$B$15))/(I2161+L2161*(1-'Inputs'!$B$15))</x:f>
        <x:v>0</x:v>
      </x:c>
      <x:c r="O2161" s="78" t="n">
        <x:f>H2161-N2161</x:f>
        <x:v>348555689047.8065</x:v>
      </x:c>
      <x:c r="P2161" s="78" t="n">
        <x:f>I2161+L2161*(1-'Inputs'!$B$17)</x:f>
        <x:v>0.3483408165347236</x:v>
      </x:c>
      <x:c r="Q2161" s="78" t="n">
        <x:f>IF(J2161&gt;0,M2161/J2161,0)</x:f>
        <x:v>0</x:v>
      </x:c>
      <x:c r="R2161" s="78" t="n">
        <x:f>IF(B2161='Inputs'!$H$49,'Inputs'!$B$27*'Inputs'!$I$49,0)</x:f>
        <x:v>0</x:v>
      </x:c>
      <x:c r="S2161" s="78" t="n">
        <x:f>Q2161+G2161+R2161</x:f>
        <x:v>785623.2407581161</x:v>
      </x:c>
      <x:c r="T2161" s="78" t="n">
        <x:f>P2161*(S2161*(1-'Inputs'!$B$15))/(O2161+S2161*(1-'Inputs'!$B$15))</x:f>
        <x:v>7.772858074859254e-7</x:v>
      </x:c>
      <x:c r="U2161" s="78" t="n">
        <x:f>O2161+S2161*(1-'Inputs'!$B$17)</x:f>
        <x:v>348556471509.5856</x:v>
      </x:c>
      <x:c r="V2161" s="78" t="n">
        <x:f>P2161-T2161</x:f>
        <x:v>0.3483400392489161</x:v>
      </x:c>
      <x:c r="W2161" s="79" t="n">
        <x:f>IF(U2161&gt;0,V2161/U2161,0)</x:f>
        <x:v>9.993790611325273e-13</x:v>
      </x:c>
      <x:c r="X2161" s="80" t="n">
        <x:f>W2161*('Inputs'!$B$6-AC2161)</x:f>
        <x:v>-0.0231435966933912</x:v>
      </x:c>
      <x:c r="Y2161" s="80" t="n">
        <x:f>2*V2161</x:f>
        <x:v>0.6966800784978322</x:v>
      </x:c>
      <x:c r="Z2161" s="80" t="n">
        <x:f>K2161*'Inputs'!$B$16+(G2161+R2161)*J2161*'Inputs'!$B$16</x:f>
        <x:v>0.0031350720596460993</x:v>
      </x:c>
      <x:c r="AA2161" s="80" t="n">
        <x:f>K2161*(1+'Inputs'!$E$49)/2*'Inputs'!$B$17</x:f>
        <x:v>0.0010197905192314341</x:v>
      </x:c>
      <x:c r="AB2161" s="78" t="n">
        <x:f>(IF(J2161&gt;0,K2161*(1-'Inputs'!$E$49)/2/J2161,0)+G2161+R2161)*'Inputs'!$B$17</x:f>
        <x:v>3161.4617334330633</x:v>
      </x:c>
      <x:c r="AC2161" s="78" t="n">
        <x:f>AC2160+AB2161</x:f>
        <x:v>24157976381.018192</x:v>
      </x:c>
      <x:c r="AD2161" s="80" t="n">
        <x:f>Z2161/(1+'Inputs'!$C$49)</x:f>
        <x:v>0.0007837680149115248</x:v>
      </x:c>
      <x:c r="AE2161" s="80" t="n">
        <x:f>Z2161-AD2161</x:f>
        <x:v>0.0023513040447345744</x:v>
      </x:c>
      <x:c r="AF2161" s="80" t="n">
        <x:f>D2161*W2161</x:f>
        <x:v>2.5864840589132434e-7</x:v>
      </x:c>
      <x:c r="AG2161" s="80" t="n">
        <x:f>C2161*W2161</x:f>
        <x:v>6.035129470797469e-7</x:v>
      </x:c>
      <x:c r="AH2161" s="80" t="n">
        <x:f>2*'Inputs'!$B$8*'Inputs'!$C$49</x:f>
        <x:v>15000</x:v>
      </x:c>
      <x:c r="AI2161" s="81" t="n">
        <x:f>IF(AH2161&gt;0,(AE2161+AF2161)/AH2161*365,0)</x:f>
        <x:v>0.000057221358866418</x:v>
      </x:c>
      <x:c r="AJ2161" s="81" t="n">
        <x:f>IF('Inputs'!$B$49&gt;0,AG2161/('Inputs'!$B$19*'Inputs'!$B$49)*365,0)</x:f>
        <x:v>2.202822256841076e-8</x:v>
      </x:c>
      <x:c r="AK2161" s="81" t="n">
        <x:f>W2161/MAX($W$1829:W2161)-1</x:f>
        <x:v>-0.9999999987125049</x:v>
      </x:c>
      <x:c r="AL2161" s="83" t="n">
        <x:f>'Inputs'!$B$49</x:f>
        <x:v>1</x:v>
      </x:c>
      <x:c r="AM2161" s="83" t="n">
        <x:f>'Inputs'!$C$49</x:f>
        <x:v>3</x:v>
      </x:c>
      <x:c r="AN2161" s="83" t="n">
        <x:f>'Inputs'!$D$49</x:f>
        <x:v>0.75</x:v>
      </x:c>
      <x:c r="AO2161" s="81" t="n">
        <x:f>'Inputs'!$E$49</x:f>
        <x:v>-0.03</x:v>
      </x:c>
    </x:row>
    <x:row r="2162">
      <x:c r="A2162" s="59" t="str">
        <x:v>Mercenary LP</x:v>
      </x:c>
      <x:c r="B2162" s="59" t="n">
        <x:v>334</x:v>
      </x:c>
      <x:c r="C2162" s="78" t="n">
        <x:f>(('Inputs'!$B$29*(3*334*'Inputs'!$B$12-334^2)/(2*'Inputs'!$B$12^2))-('Inputs'!$B$29*(3*333*'Inputs'!$B$12-333^2)/(2*'Inputs'!$B$12^2)))*'Inputs'!$B$49</x:f>
        <x:v>603562.8166635334</x:v>
      </x:c>
      <x:c r="D2162" s="78" t="n">
        <x:f>IF('Inputs'!$C$49&gt;0,('Inputs'!$B$30*(3*334*'Inputs'!$B$12-334^2)/(2*'Inputs'!$B$12^2))-('Inputs'!$B$30*(3*333*'Inputs'!$B$12-333^2)/(2*'Inputs'!$B$12^2)),0)</x:f>
        <x:v>258669.77857008576</x:v>
      </x:c>
      <x:c r="E2162" s="78" t="n">
        <x:f>C2162+D2162</x:f>
        <x:v>862232.5952336192</x:v>
      </x:c>
      <x:c r="F2162" s="78" t="n">
        <x:f>'Inputs'!$B$13*E2162+(1-'Inputs'!$B$13)/'Inputs'!$B$14*SUM(E2107:E2162)</x:f>
        <x:v>872450.2720960763</x:v>
      </x:c>
      <x:c r="G2162" s="78" t="n">
        <x:f>F2162*'Inputs'!$F$49</x:f>
        <x:v>785205.2448864686</x:v>
      </x:c>
      <x:c r="H2162" s="78" t="n">
        <x:f>U2161</x:f>
        <x:v>348556471509.5856</x:v>
      </x:c>
      <x:c r="I2162" s="78" t="n">
        <x:f>V2161</x:f>
        <x:v>0.3483400392489161</x:v>
      </x:c>
      <x:c r="J2162" s="79" t="n">
        <x:f>IF(H2162&gt;0,I2162/H2162,0)</x:f>
        <x:v>9.993790611325273e-13</x:v>
      </x:c>
      <x:c r="K2162" s="80" t="n">
        <x:f>(H2162*J2162+I2162)*'Inputs'!$D$49*(1+'Inputs'!$G$49)^(B2162/30)</x:f>
        <x:v>0.5225100588733742</x:v>
      </x:c>
      <x:c r="L2162" s="80" t="n">
        <x:f>MAX(0,K2162*'Inputs'!$E$49)</x:f>
        <x:v>0</x:v>
      </x:c>
      <x:c r="M2162" s="80" t="n">
        <x:f>MAX(0,-K2162*'Inputs'!$E$49)</x:f>
        <x:v>0.015675301766201227</x:v>
      </x:c>
      <x:c r="N2162" s="78" t="n">
        <x:f>H2162*(L2162*(1-'Inputs'!$B$15))/(I2162+L2162*(1-'Inputs'!$B$15))</x:f>
        <x:v>0</x:v>
      </x:c>
      <x:c r="O2162" s="78" t="n">
        <x:f>H2162-N2162</x:f>
        <x:v>348556471509.5856</x:v>
      </x:c>
      <x:c r="P2162" s="78" t="n">
        <x:f>I2162+L2162*(1-'Inputs'!$B$17)</x:f>
        <x:v>0.3483400392489161</x:v>
      </x:c>
      <x:c r="Q2162" s="78" t="n">
        <x:f>IF(J2162&gt;0,M2162/J2162,0)</x:f>
        <x:v>0</x:v>
      </x:c>
      <x:c r="R2162" s="78" t="n">
        <x:f>IF(B2162='Inputs'!$H$49,'Inputs'!$B$27*'Inputs'!$I$49,0)</x:f>
        <x:v>0</x:v>
      </x:c>
      <x:c r="S2162" s="78" t="n">
        <x:f>Q2162+G2162+R2162</x:f>
        <x:v>785205.2448864686</x:v>
      </x:c>
      <x:c r="T2162" s="78" t="n">
        <x:f>P2162*(S2162*(1-'Inputs'!$B$15))/(O2162+S2162*(1-'Inputs'!$B$15))</x:f>
        <x:v>7.768687710482494e-7</x:v>
      </x:c>
      <x:c r="U2162" s="78" t="n">
        <x:f>O2162+S2162*(1-'Inputs'!$B$17)</x:f>
        <x:v>348557253555.0508</x:v>
      </x:c>
      <x:c r="V2162" s="78" t="n">
        <x:f>P2162-T2162</x:f>
        <x:v>0.34833926238014506</x:v>
      </x:c>
      <x:c r="W2162" s="79" t="n">
        <x:f>IF(U2162&gt;0,V2162/U2162,0)</x:f>
        <x:v>9.993745900488876e-13</x:v>
      </x:c>
      <x:c r="X2162" s="80" t="n">
        <x:f>W2162*('Inputs'!$B$6-AC2162)</x:f>
        <x:v>-0.02314349630994538</x:v>
      </x:c>
      <x:c r="Y2162" s="80" t="n">
        <x:f>2*V2162</x:f>
        <x:v>0.6966785247602901</x:v>
      </x:c>
      <x:c r="Z2162" s="80" t="n">
        <x:f>K2162*'Inputs'!$B$16+(G2162+R2162)*J2162*'Inputs'!$B$16</x:f>
        <x:v>0.003135065061546328</x:v>
      </x:c>
      <x:c r="AA2162" s="80" t="n">
        <x:f>K2162*(1+'Inputs'!$E$49)/2*'Inputs'!$B$17</x:f>
        <x:v>0.0010197882436764043</x:v>
      </x:c>
      <x:c r="AB2162" s="78" t="n">
        <x:f>(IF(J2162&gt;0,K2162*(1-'Inputs'!$E$49)/2/J2162,0)+G2162+R2162)*'Inputs'!$B$17</x:f>
        <x:v>3159.77965749082</x:v>
      </x:c>
      <x:c r="AC2162" s="78" t="n">
        <x:f>AC2161+AB2162</x:f>
        <x:v>24157979540.79785</x:v>
      </x:c>
      <x:c r="AD2162" s="80" t="n">
        <x:f>Z2162/(1+'Inputs'!$C$49)</x:f>
        <x:v>0.000783766265386582</x:v>
      </x:c>
      <x:c r="AE2162" s="80" t="n">
        <x:f>Z2162-AD2162</x:f>
        <x:v>0.002351298796159746</x:v>
      </x:c>
      <x:c r="AF2162" s="80" t="n">
        <x:f>D2162*W2162</x:f>
        <x:v>2.5850800391651597e-7</x:v>
      </x:c>
      <x:c r="AG2162" s="80" t="n">
        <x:f>C2162*W2162</x:f>
        <x:v>6.031853424718707e-7</x:v>
      </x:c>
      <x:c r="AH2162" s="80" t="n">
        <x:f>2*'Inputs'!$B$8*'Inputs'!$C$49</x:f>
        <x:v>15000</x:v>
      </x:c>
      <x:c r="AI2162" s="81" t="n">
        <x:f>IF(AH2162&gt;0,(AE2162+AF2162)/AH2162*365,0)</x:f>
        <x:v>0.000057221227734649125</x:v>
      </x:c>
      <x:c r="AJ2162" s="81" t="n">
        <x:f>IF('Inputs'!$B$49&gt;0,AG2162/('Inputs'!$B$19*'Inputs'!$B$49)*365,0)</x:f>
        <x:v>2.2016265000223278e-8</x:v>
      </x:c>
      <x:c r="AK2162" s="81" t="n">
        <x:f>W2162/MAX($W$1829:W2162)-1</x:f>
        <x:v>-0.9999999987125107</x:v>
      </x:c>
      <x:c r="AL2162" s="83" t="n">
        <x:f>'Inputs'!$B$49</x:f>
        <x:v>1</x:v>
      </x:c>
      <x:c r="AM2162" s="83" t="n">
        <x:f>'Inputs'!$C$49</x:f>
        <x:v>3</x:v>
      </x:c>
      <x:c r="AN2162" s="83" t="n">
        <x:f>'Inputs'!$D$49</x:f>
        <x:v>0.75</x:v>
      </x:c>
      <x:c r="AO2162" s="81" t="n">
        <x:f>'Inputs'!$E$49</x:f>
        <x:v>-0.03</x:v>
      </x:c>
    </x:row>
    <x:row r="2163">
      <x:c r="A2163" s="59" t="str">
        <x:v>Mercenary LP</x:v>
      </x:c>
      <x:c r="B2163" s="59" t="n">
        <x:v>335</x:v>
      </x:c>
      <x:c r="C2163" s="78" t="n">
        <x:f>(('Inputs'!$B$29*(3*335*'Inputs'!$B$12-335^2)/(2*'Inputs'!$B$12^2))-('Inputs'!$B$29*(3*334*'Inputs'!$B$12-334^2)/(2*'Inputs'!$B$12^2)))*'Inputs'!$B$49</x:f>
        <x:v>603237.7087633908</x:v>
      </x:c>
      <x:c r="D2163" s="78" t="n">
        <x:f>IF('Inputs'!$C$49&gt;0,('Inputs'!$B$30*(3*335*'Inputs'!$B$12-335^2)/(2*'Inputs'!$B$12^2))-('Inputs'!$B$30*(3*334*'Inputs'!$B$12-334^2)/(2*'Inputs'!$B$12^2)),0)</x:f>
        <x:v>258530.44661287963</x:v>
      </x:c>
      <x:c r="E2163" s="78" t="n">
        <x:f>C2163+D2163</x:f>
        <x:v>861768.1553762704</x:v>
      </x:c>
      <x:c r="F2163" s="78" t="n">
        <x:f>'Inputs'!$B$13*E2163+(1-'Inputs'!$B$13)/'Inputs'!$B$14*SUM(E2108:E2163)</x:f>
        <x:v>871985.8322386995</x:v>
      </x:c>
      <x:c r="G2163" s="78" t="n">
        <x:f>F2163*'Inputs'!$F$49</x:f>
        <x:v>784787.2490148296</x:v>
      </x:c>
      <x:c r="H2163" s="78" t="n">
        <x:f>U2162</x:f>
        <x:v>348557253555.0508</x:v>
      </x:c>
      <x:c r="I2163" s="78" t="n">
        <x:f>V2162</x:f>
        <x:v>0.34833926238014506</x:v>
      </x:c>
      <x:c r="J2163" s="79" t="n">
        <x:f>IF(H2163&gt;0,I2163/H2163,0)</x:f>
        <x:v>9.993745900488876e-13</x:v>
      </x:c>
      <x:c r="K2163" s="80" t="n">
        <x:f>(H2163*J2163+I2163)*'Inputs'!$D$49*(1+'Inputs'!$G$49)^(B2163/30)</x:f>
        <x:v>0.5225088935702176</x:v>
      </x:c>
      <x:c r="L2163" s="80" t="n">
        <x:f>MAX(0,K2163*'Inputs'!$E$49)</x:f>
        <x:v>0</x:v>
      </x:c>
      <x:c r="M2163" s="80" t="n">
        <x:f>MAX(0,-K2163*'Inputs'!$E$49)</x:f>
        <x:v>0.015675266807106528</x:v>
      </x:c>
      <x:c r="N2163" s="78" t="n">
        <x:f>H2163*(L2163*(1-'Inputs'!$B$15))/(I2163+L2163*(1-'Inputs'!$B$15))</x:f>
        <x:v>0</x:v>
      </x:c>
      <x:c r="O2163" s="78" t="n">
        <x:f>H2163-N2163</x:f>
        <x:v>348557253555.0508</x:v>
      </x:c>
      <x:c r="P2163" s="78" t="n">
        <x:f>I2163+L2163*(1-'Inputs'!$B$17)</x:f>
        <x:v>0.34833926238014506</x:v>
      </x:c>
      <x:c r="Q2163" s="78" t="n">
        <x:f>IF(J2163&gt;0,M2163/J2163,0)</x:f>
        <x:v>0</x:v>
      </x:c>
      <x:c r="R2163" s="78" t="n">
        <x:f>IF(B2163='Inputs'!$H$49,'Inputs'!$B$27*'Inputs'!$I$49,0)</x:f>
        <x:v>0</x:v>
      </x:c>
      <x:c r="S2163" s="78" t="n">
        <x:f>Q2163+G2163+R2163</x:f>
        <x:v>784787.2490148296</x:v>
      </x:c>
      <x:c r="T2163" s="78" t="n">
        <x:f>P2163*(S2163*(1-'Inputs'!$B$15))/(O2163+S2163*(1-'Inputs'!$B$15))</x:f>
        <x:v>7.764517401845494e-7</x:v>
      </x:c>
      <x:c r="U2163" s="78" t="n">
        <x:f>O2163+S2163*(1-'Inputs'!$B$17)</x:f>
        <x:v>348558035184.2022</x:v>
      </x:c>
      <x:c r="V2163" s="78" t="n">
        <x:f>P2163-T2163</x:f>
        <x:v>0.3483384859284049</x:v>
      </x:c>
      <x:c r="W2163" s="79" t="n">
        <x:f>IF(U2163&gt;0,V2163/U2163,0)</x:f>
        <x:v>9.993701213753936e-13</x:v>
      </x:c>
      <x:c r="X2163" s="80" t="n">
        <x:f>W2163*('Inputs'!$B$6-AC2163)</x:f>
        <x:v>-0.023143395980604393</x:v>
      </x:c>
      <x:c r="Y2163" s="80" t="n">
        <x:f>2*V2163</x:f>
        <x:v>0.6966769718568098</x:v>
      </x:c>
      <x:c r="Z2163" s="80" t="n">
        <x:f>K2163*'Inputs'!$B$16+(G2163+R2163)*J2163*'Inputs'!$B$16</x:f>
        <x:v>0.0031350580671999167</x:v>
      </x:c>
      <x:c r="AA2163" s="80" t="n">
        <x:f>K2163*(1+'Inputs'!$E$49)/2*'Inputs'!$B$17</x:f>
        <x:v>0.0010197859693422758</x:v>
      </x:c>
      <x:c r="AB2163" s="78" t="n">
        <x:f>(IF(J2163&gt;0,K2163*(1-'Inputs'!$E$49)/2/J2163,0)+G2163+R2163)*'Inputs'!$B$17</x:f>
        <x:v>3158.0975815486104</x:v>
      </x:c>
      <x:c r="AC2163" s="78" t="n">
        <x:f>AC2162+AB2163</x:f>
        <x:v>24157982698.89543</x:v>
      </x:c>
      <x:c r="AD2163" s="80" t="n">
        <x:f>Z2163/(1+'Inputs'!$C$49)</x:f>
        <x:v>0.0007837645167999792</x:v>
      </x:c>
      <x:c r="AE2163" s="80" t="n">
        <x:f>Z2163-AD2163</x:f>
        <x:v>0.0023512935503999374</x:v>
      </x:c>
      <x:c r="AF2163" s="80" t="n">
        <x:f>D2163*W2163</x:f>
        <x:v>2.583676038107482e-7</x:v>
      </x:c>
      <x:c r="AG2163" s="80" t="n">
        <x:f>C2163*W2163</x:f>
        <x:v>6.028577422250842e-7</x:v>
      </x:c>
      <x:c r="AH2163" s="80" t="n">
        <x:f>2*'Inputs'!$B$8*'Inputs'!$C$49</x:f>
        <x:v>15000</x:v>
      </x:c>
      <x:c r="AI2163" s="81" t="n">
        <x:f>IF(AH2163&gt;0,(AE2163+AF2163)/AH2163*365,0)</x:f>
        <x:v>0.00005722109667142453</x:v>
      </x:c>
      <x:c r="AJ2163" s="81" t="n">
        <x:f>IF('Inputs'!$B$49&gt;0,AG2163/('Inputs'!$B$19*'Inputs'!$B$49)*365,0)</x:f>
        <x:v>2.2004307591215572e-8</x:v>
      </x:c>
      <x:c r="AK2163" s="81" t="n">
        <x:f>W2163/MAX($W$1829:W2163)-1</x:f>
        <x:v>-0.9999999987125164</x:v>
      </x:c>
      <x:c r="AL2163" s="83" t="n">
        <x:f>'Inputs'!$B$49</x:f>
        <x:v>1</x:v>
      </x:c>
      <x:c r="AM2163" s="83" t="n">
        <x:f>'Inputs'!$C$49</x:f>
        <x:v>3</x:v>
      </x:c>
      <x:c r="AN2163" s="83" t="n">
        <x:f>'Inputs'!$D$49</x:f>
        <x:v>0.75</x:v>
      </x:c>
      <x:c r="AO2163" s="81" t="n">
        <x:f>'Inputs'!$E$49</x:f>
        <x:v>-0.03</x:v>
      </x:c>
    </x:row>
    <x:row r="2164">
      <x:c r="A2164" s="59" t="str">
        <x:v>Mercenary LP</x:v>
      </x:c>
      <x:c r="B2164" s="59" t="n">
        <x:v>336</x:v>
      </x:c>
      <x:c r="C2164" s="78" t="n">
        <x:f>(('Inputs'!$B$29*(3*336*'Inputs'!$B$12-336^2)/(2*'Inputs'!$B$12^2))-('Inputs'!$B$29*(3*335*'Inputs'!$B$12-335^2)/(2*'Inputs'!$B$12^2)))*'Inputs'!$B$49</x:f>
        <x:v>602912.6008631885</x:v>
      </x:c>
      <x:c r="D2164" s="78" t="n">
        <x:f>IF('Inputs'!$C$49&gt;0,('Inputs'!$B$30*(3*336*'Inputs'!$B$12-336^2)/(2*'Inputs'!$B$12^2))-('Inputs'!$B$30*(3*335*'Inputs'!$B$12-335^2)/(2*'Inputs'!$B$12^2)),0)</x:f>
        <x:v>258391.1146556586</x:v>
      </x:c>
      <x:c r="E2164" s="78" t="n">
        <x:f>C2164+D2164</x:f>
        <x:v>861303.7155188471</x:v>
      </x:c>
      <x:c r="F2164" s="78" t="n">
        <x:f>'Inputs'!$B$13*E2164+(1-'Inputs'!$B$13)/'Inputs'!$B$14*SUM(E2109:E2164)</x:f>
        <x:v>871521.3923813077</x:v>
      </x:c>
      <x:c r="G2164" s="78" t="n">
        <x:f>F2164*'Inputs'!$F$49</x:f>
        <x:v>784369.2531431769</x:v>
      </x:c>
      <x:c r="H2164" s="78" t="n">
        <x:f>U2163</x:f>
        <x:v>348558035184.2022</x:v>
      </x:c>
      <x:c r="I2164" s="78" t="n">
        <x:f>V2163</x:f>
        <x:v>0.3483384859284049</x:v>
      </x:c>
      <x:c r="J2164" s="79" t="n">
        <x:f>IF(H2164&gt;0,I2164/H2164,0)</x:f>
        <x:v>9.993701213753936e-13</x:v>
      </x:c>
      <x:c r="K2164" s="80" t="n">
        <x:f>(H2164*J2164+I2164)*'Inputs'!$D$49*(1+'Inputs'!$G$49)^(B2164/30)</x:f>
        <x:v>0.5225077288926073</x:v>
      </x:c>
      <x:c r="L2164" s="80" t="n">
        <x:f>MAX(0,K2164*'Inputs'!$E$49)</x:f>
        <x:v>0</x:v>
      </x:c>
      <x:c r="M2164" s="80" t="n">
        <x:f>MAX(0,-K2164*'Inputs'!$E$49)</x:f>
        <x:v>0.01567523186677822</x:v>
      </x:c>
      <x:c r="N2164" s="78" t="n">
        <x:f>H2164*(L2164*(1-'Inputs'!$B$15))/(I2164+L2164*(1-'Inputs'!$B$15))</x:f>
        <x:v>0</x:v>
      </x:c>
      <x:c r="O2164" s="78" t="n">
        <x:f>H2164-N2164</x:f>
        <x:v>348558035184.2022</x:v>
      </x:c>
      <x:c r="P2164" s="78" t="n">
        <x:f>I2164+L2164*(1-'Inputs'!$B$17)</x:f>
        <x:v>0.3483384859284049</x:v>
      </x:c>
      <x:c r="Q2164" s="78" t="n">
        <x:f>IF(J2164&gt;0,M2164/J2164,0)</x:f>
        <x:v>0</x:v>
      </x:c>
      <x:c r="R2164" s="78" t="n">
        <x:f>IF(B2164='Inputs'!$H$49,'Inputs'!$B$27*'Inputs'!$I$49,0)</x:f>
        <x:v>0</x:v>
      </x:c>
      <x:c r="S2164" s="78" t="n">
        <x:f>Q2164+G2164+R2164</x:f>
        <x:v>784369.2531431769</x:v>
      </x:c>
      <x:c r="T2164" s="78" t="n">
        <x:f>P2164*(S2164*(1-'Inputs'!$B$15))/(O2164+S2164*(1-'Inputs'!$B$15))</x:f>
        <x:v>7.760347148917734e-7</x:v>
      </x:c>
      <x:c r="U2164" s="78" t="n">
        <x:f>O2164+S2164*(1-'Inputs'!$B$17)</x:f>
        <x:v>348558816397.03986</x:v>
      </x:c>
      <x:c r="V2164" s="78" t="n">
        <x:f>P2164-T2164</x:f>
        <x:v>0.34833770989369</x:v>
      </x:c>
      <x:c r="W2164" s="79" t="n">
        <x:f>IF(U2164&gt;0,V2164/U2164,0)</x:f>
        <x:v>9.99365655111997e-13</x:v>
      </x:c>
      <x:c r="X2164" s="80" t="n">
        <x:f>W2164*('Inputs'!$B$6-AC2164)</x:f>
        <x:v>-0.023143295705367172</x:v>
      </x:c>
      <x:c r="Y2164" s="80" t="n">
        <x:f>2*V2164</x:f>
        <x:v>0.69667541978738</x:v>
      </x:c>
      <x:c r="Z2164" s="80" t="n">
        <x:f>K2164*'Inputs'!$B$16+(G2164+R2164)*J2164*'Inputs'!$B$16</x:f>
        <x:v>0.0031350510766068184</x:v>
      </x:c>
      <x:c r="AA2164" s="80" t="n">
        <x:f>K2164*(1+'Inputs'!$E$49)/2*'Inputs'!$B$17</x:f>
        <x:v>0.0010197836962290326</x:v>
      </x:c>
      <x:c r="AB2164" s="78" t="n">
        <x:f>(IF(J2164&gt;0,K2164*(1-'Inputs'!$E$49)/2/J2164,0)+G2164+R2164)*'Inputs'!$B$17</x:f>
        <x:v>3156.415505606346</x:v>
      </x:c>
      <x:c r="AC2164" s="78" t="n">
        <x:f>AC2163+AB2164</x:f>
        <x:v>24157985855.310936</x:v>
      </x:c>
      <x:c r="AD2164" s="80" t="n">
        <x:f>Z2164/(1+'Inputs'!$C$49)</x:f>
        <x:v>0.0007837627691517046</x:v>
      </x:c>
      <x:c r="AE2164" s="80" t="n">
        <x:f>Z2164-AD2164</x:f>
        <x:v>0.002351288307455114</x:v>
      </x:c>
      <x:c r="AF2164" s="80" t="n">
        <x:f>D2164*W2164</x:f>
        <x:v>2.582272055729714e-7</x:v>
      </x:c>
      <x:c r="AG2164" s="80" t="n">
        <x:f>C2164*W2164</x:f>
        <x:v>6.025301463369183e-7</x:v>
      </x:c>
      <x:c r="AH2164" s="80" t="n">
        <x:f>2*'Inputs'!$B$8*'Inputs'!$C$49</x:f>
        <x:v>15000</x:v>
      </x:c>
      <x:c r="AI2164" s="81" t="n">
        <x:f>IF(AH2164&gt;0,(AE2164+AF2164)/AH2164*365,0)</x:f>
        <x:v>0.000057220965676743374</x:v>
      </x:c>
      <x:c r="AJ2164" s="81" t="n">
        <x:f>IF('Inputs'!$B$49&gt;0,AG2164/('Inputs'!$B$19*'Inputs'!$B$49)*365,0)</x:f>
        <x:v>2.1992350341297518e-8</x:v>
      </x:c>
      <x:c r="AK2164" s="81" t="n">
        <x:f>W2164/MAX($W$1829:W2164)-1</x:f>
        <x:v>-0.9999999987125222</x:v>
      </x:c>
      <x:c r="AL2164" s="83" t="n">
        <x:f>'Inputs'!$B$49</x:f>
        <x:v>1</x:v>
      </x:c>
      <x:c r="AM2164" s="83" t="n">
        <x:f>'Inputs'!$C$49</x:f>
        <x:v>3</x:v>
      </x:c>
      <x:c r="AN2164" s="83" t="n">
        <x:f>'Inputs'!$D$49</x:f>
        <x:v>0.75</x:v>
      </x:c>
      <x:c r="AO2164" s="81" t="n">
        <x:f>'Inputs'!$E$49</x:f>
        <x:v>-0.03</x:v>
      </x:c>
    </x:row>
    <x:row r="2165">
      <x:c r="A2165" s="59" t="str">
        <x:v>Mercenary LP</x:v>
      </x:c>
      <x:c r="B2165" s="59" t="n">
        <x:v>337</x:v>
      </x:c>
      <x:c r="C2165" s="78" t="n">
        <x:f>(('Inputs'!$B$29*(3*337*'Inputs'!$B$12-337^2)/(2*'Inputs'!$B$12^2))-('Inputs'!$B$29*(3*336*'Inputs'!$B$12-336^2)/(2*'Inputs'!$B$12^2)))*'Inputs'!$B$49</x:f>
        <x:v>602587.4929630458</x:v>
      </x:c>
      <x:c r="D2165" s="78" t="n">
        <x:f>IF('Inputs'!$C$49&gt;0,('Inputs'!$B$30*(3*337*'Inputs'!$B$12-337^2)/(2*'Inputs'!$B$12^2))-('Inputs'!$B$30*(3*336*'Inputs'!$B$12-336^2)/(2*'Inputs'!$B$12^2)),0)</x:f>
        <x:v>258251.78269843757</x:v>
      </x:c>
      <x:c r="E2165" s="78" t="n">
        <x:f>C2165+D2165</x:f>
        <x:v>860839.2756614834</x:v>
      </x:c>
      <x:c r="F2165" s="78" t="n">
        <x:f>'Inputs'!$B$13*E2165+(1-'Inputs'!$B$13)/'Inputs'!$B$14*SUM(E2110:E2165)</x:f>
        <x:v>871056.9525239277</x:v>
      </x:c>
      <x:c r="G2165" s="78" t="n">
        <x:f>F2165*'Inputs'!$F$49</x:f>
        <x:v>783951.2572715349</x:v>
      </x:c>
      <x:c r="H2165" s="78" t="n">
        <x:f>U2164</x:f>
        <x:v>348558816397.03986</x:v>
      </x:c>
      <x:c r="I2165" s="78" t="n">
        <x:f>V2164</x:f>
        <x:v>0.34833770989369</x:v>
      </x:c>
      <x:c r="J2165" s="79" t="n">
        <x:f>IF(H2165&gt;0,I2165/H2165,0)</x:f>
        <x:v>9.99365655111997e-13</x:v>
      </x:c>
      <x:c r="K2165" s="80" t="n">
        <x:f>(H2165*J2165+I2165)*'Inputs'!$D$49*(1+'Inputs'!$G$49)^(B2165/30)</x:f>
        <x:v>0.522506564840535</x:v>
      </x:c>
      <x:c r="L2165" s="80" t="n">
        <x:f>MAX(0,K2165*'Inputs'!$E$49)</x:f>
        <x:v>0</x:v>
      </x:c>
      <x:c r="M2165" s="80" t="n">
        <x:f>MAX(0,-K2165*'Inputs'!$E$49)</x:f>
        <x:v>0.01567519694521605</x:v>
      </x:c>
      <x:c r="N2165" s="78" t="n">
        <x:f>H2165*(L2165*(1-'Inputs'!$B$15))/(I2165+L2165*(1-'Inputs'!$B$15))</x:f>
        <x:v>0</x:v>
      </x:c>
      <x:c r="O2165" s="78" t="n">
        <x:f>H2165-N2165</x:f>
        <x:v>348558816397.03986</x:v>
      </x:c>
      <x:c r="P2165" s="78" t="n">
        <x:f>I2165+L2165*(1-'Inputs'!$B$17)</x:f>
        <x:v>0.34833770989369</x:v>
      </x:c>
      <x:c r="Q2165" s="78" t="n">
        <x:f>IF(J2165&gt;0,M2165/J2165,0)</x:f>
        <x:v>0</x:v>
      </x:c>
      <x:c r="R2165" s="78" t="n">
        <x:f>IF(B2165='Inputs'!$H$49,'Inputs'!$B$27*'Inputs'!$I$49,0)</x:f>
        <x:v>0</x:v>
      </x:c>
      <x:c r="S2165" s="78" t="n">
        <x:f>Q2165+G2165+R2165</x:f>
        <x:v>783951.2572715349</x:v>
      </x:c>
      <x:c r="T2165" s="78" t="n">
        <x:f>P2165*(S2165*(1-'Inputs'!$B$15))/(O2165+S2165*(1-'Inputs'!$B$15))</x:f>
        <x:v>7.756176951669162e-7</x:v>
      </x:c>
      <x:c r="U2165" s="78" t="n">
        <x:f>O2165+S2165*(1-'Inputs'!$B$17)</x:f>
        <x:v>348559597193.5637</x:v>
      </x:c>
      <x:c r="V2165" s="78" t="n">
        <x:f>P2165-T2165</x:f>
        <x:v>0.3483369342759948</x:v>
      </x:c>
      <x:c r="W2165" s="79" t="n">
        <x:f>IF(U2165&gt;0,V2165/U2165,0)</x:f>
        <x:v>9.993611912586493e-13</x:v>
      </x:c>
      <x:c r="X2165" s="80" t="n">
        <x:f>W2165*('Inputs'!$B$6-AC2165)</x:f>
        <x:v>-0.023143195484232645</x:v>
      </x:c>
      <x:c r="Y2165" s="80" t="n">
        <x:f>2*V2165</x:f>
        <x:v>0.6966738685519897</x:v>
      </x:c>
      <x:c r="Z2165" s="80" t="n">
        <x:f>K2165*'Inputs'!$B$16+(G2165+R2165)*J2165*'Inputs'!$B$16</x:f>
        <x:v>0.003135044089766981</x:v>
      </x:c>
      <x:c r="AA2165" s="80" t="n">
        <x:f>K2165*(1+'Inputs'!$E$49)/2*'Inputs'!$B$17</x:f>
        <x:v>0.001019781424336658</x:v>
      </x:c>
      <x:c r="AB2165" s="78" t="n">
        <x:f>(IF(J2165&gt;0,K2165*(1-'Inputs'!$E$49)/2/J2165,0)+G2165+R2165)*'Inputs'!$B$17</x:f>
        <x:v>3154.7334296641247</x:v>
      </x:c>
      <x:c r="AC2165" s="78" t="n">
        <x:f>AC2164+AB2165</x:f>
        <x:v>24157989010.044365</x:v>
      </x:c>
      <x:c r="AD2165" s="80" t="n">
        <x:f>Z2165/(1+'Inputs'!$C$49)</x:f>
        <x:v>0.0007837610224417453</x:v>
      </x:c>
      <x:c r="AE2165" s="80" t="n">
        <x:f>Z2165-AD2165</x:f>
        <x:v>0.0023512830673252357</x:v>
      </x:c>
      <x:c r="AF2165" s="80" t="n">
        <x:f>D2165*W2165</x:f>
        <x:v>2.5808680920218043e-7</x:v>
      </x:c>
      <x:c r="AG2165" s="80" t="n">
        <x:f>C2165*W2165</x:f>
        <x:v>6.022025548051124e-7</x:v>
      </x:c>
      <x:c r="AH2165" s="80" t="n">
        <x:f>2*'Inputs'!$B$8*'Inputs'!$C$49</x:f>
        <x:v>15000</x:v>
      </x:c>
      <x:c r="AI2165" s="81" t="n">
        <x:f>IF(AH2165&gt;0,(AE2165+AF2165)/AH2165*365,0)</x:f>
        <x:v>0.00005722083475060465</x:v>
      </x:c>
      <x:c r="AJ2165" s="81" t="n">
        <x:f>IF('Inputs'!$B$49&gt;0,AG2165/('Inputs'!$B$19*'Inputs'!$B$49)*365,0)</x:f>
        <x:v>2.1980393250386604e-8</x:v>
      </x:c>
      <x:c r="AK2165" s="81" t="n">
        <x:f>W2165/MAX($W$1829:W2165)-1</x:f>
        <x:v>-0.9999999987125279</x:v>
      </x:c>
      <x:c r="AL2165" s="83" t="n">
        <x:f>'Inputs'!$B$49</x:f>
        <x:v>1</x:v>
      </x:c>
      <x:c r="AM2165" s="83" t="n">
        <x:f>'Inputs'!$C$49</x:f>
        <x:v>3</x:v>
      </x:c>
      <x:c r="AN2165" s="83" t="n">
        <x:f>'Inputs'!$D$49</x:f>
        <x:v>0.75</x:v>
      </x:c>
      <x:c r="AO2165" s="81" t="n">
        <x:f>'Inputs'!$E$49</x:f>
        <x:v>-0.03</x:v>
      </x:c>
    </x:row>
    <x:row r="2166">
      <x:c r="A2166" s="59" t="str">
        <x:v>Mercenary LP</x:v>
      </x:c>
      <x:c r="B2166" s="59" t="n">
        <x:v>338</x:v>
      </x:c>
      <x:c r="C2166" s="78" t="n">
        <x:f>(('Inputs'!$B$29*(3*338*'Inputs'!$B$12-338^2)/(2*'Inputs'!$B$12^2))-('Inputs'!$B$29*(3*337*'Inputs'!$B$12-337^2)/(2*'Inputs'!$B$12^2)))*'Inputs'!$B$49</x:f>
        <x:v>602262.3850628436</x:v>
      </x:c>
      <x:c r="D2166" s="78" t="n">
        <x:f>IF('Inputs'!$C$49&gt;0,('Inputs'!$B$30*(3*338*'Inputs'!$B$12-338^2)/(2*'Inputs'!$B$12^2))-('Inputs'!$B$30*(3*337*'Inputs'!$B$12-337^2)/(2*'Inputs'!$B$12^2)),0)</x:f>
        <x:v>258112.45074123144</x:v>
      </x:c>
      <x:c r="E2166" s="78" t="n">
        <x:f>C2166+D2166</x:f>
        <x:v>860374.835804075</x:v>
      </x:c>
      <x:c r="F2166" s="78" t="n">
        <x:f>'Inputs'!$B$13*E2166+(1-'Inputs'!$B$13)/'Inputs'!$B$14*SUM(E2111:E2166)</x:f>
        <x:v>870592.5126665385</x:v>
      </x:c>
      <x:c r="G2166" s="78" t="n">
        <x:f>F2166*'Inputs'!$F$49</x:f>
        <x:v>783533.2613998846</x:v>
      </x:c>
      <x:c r="H2166" s="78" t="n">
        <x:f>U2165</x:f>
        <x:v>348559597193.5637</x:v>
      </x:c>
      <x:c r="I2166" s="78" t="n">
        <x:f>V2165</x:f>
        <x:v>0.3483369342759948</x:v>
      </x:c>
      <x:c r="J2166" s="79" t="n">
        <x:f>IF(H2166&gt;0,I2166/H2166,0)</x:f>
        <x:v>9.993611912586493e-13</x:v>
      </x:c>
      <x:c r="K2166" s="80" t="n">
        <x:f>(H2166*J2166+I2166)*'Inputs'!$D$49*(1+'Inputs'!$G$49)^(B2166/30)</x:f>
        <x:v>0.5225054014139922</x:v>
      </x:c>
      <x:c r="L2166" s="80" t="n">
        <x:f>MAX(0,K2166*'Inputs'!$E$49)</x:f>
        <x:v>0</x:v>
      </x:c>
      <x:c r="M2166" s="80" t="n">
        <x:f>MAX(0,-K2166*'Inputs'!$E$49)</x:f>
        <x:v>0.015675162042419765</x:v>
      </x:c>
      <x:c r="N2166" s="78" t="n">
        <x:f>H2166*(L2166*(1-'Inputs'!$B$15))/(I2166+L2166*(1-'Inputs'!$B$15))</x:f>
        <x:v>0</x:v>
      </x:c>
      <x:c r="O2166" s="78" t="n">
        <x:f>H2166-N2166</x:f>
        <x:v>348559597193.5637</x:v>
      </x:c>
      <x:c r="P2166" s="78" t="n">
        <x:f>I2166+L2166*(1-'Inputs'!$B$17)</x:f>
        <x:v>0.3483369342759948</x:v>
      </x:c>
      <x:c r="Q2166" s="78" t="n">
        <x:f>IF(J2166&gt;0,M2166/J2166,0)</x:f>
        <x:v>0</x:v>
      </x:c>
      <x:c r="R2166" s="78" t="n">
        <x:f>IF(B2166='Inputs'!$H$49,'Inputs'!$B$27*'Inputs'!$I$49,0)</x:f>
        <x:v>0</x:v>
      </x:c>
      <x:c r="S2166" s="78" t="n">
        <x:f>Q2166+G2166+R2166</x:f>
        <x:v>783533.2613998846</x:v>
      </x:c>
      <x:c r="T2166" s="78" t="n">
        <x:f>P2166*(S2166*(1-'Inputs'!$B$15))/(O2166+S2166*(1-'Inputs'!$B$15))</x:f>
        <x:v>7.752006810069299e-7</x:v>
      </x:c>
      <x:c r="U2166" s="78" t="n">
        <x:f>O2166+S2166*(1-'Inputs'!$B$17)</x:f>
        <x:v>348560377573.77374</x:v>
      </x:c>
      <x:c r="V2166" s="78" t="n">
        <x:f>P2166-T2166</x:f>
        <x:v>0.34833615907531384</x:v>
      </x:c>
      <x:c r="W2166" s="79" t="n">
        <x:f>IF(U2166&gt;0,V2166/U2166,0)</x:f>
        <x:v>9.993567298153031e-13</x:v>
      </x:c>
      <x:c r="X2166" s="80" t="n">
        <x:f>W2166*('Inputs'!$B$6-AC2166)</x:f>
        <x:v>-0.023143095317199755</x:v>
      </x:c>
      <x:c r="Y2166" s="80" t="n">
        <x:f>2*V2166</x:f>
        <x:v>0.6966723181506277</x:v>
      </x:c>
      <x:c r="Z2166" s="80" t="n">
        <x:f>K2166*'Inputs'!$B$16+(G2166+R2166)*J2166*'Inputs'!$B$16</x:f>
        <x:v>0.003135037106680354</x:v>
      </x:c>
      <x:c r="AA2166" s="80" t="n">
        <x:f>K2166*(1+'Inputs'!$E$49)/2*'Inputs'!$B$17</x:f>
        <x:v>0.0010197791536651357</x:v>
      </x:c>
      <x:c r="AB2166" s="78" t="n">
        <x:f>(IF(J2166&gt;0,K2166*(1-'Inputs'!$E$49)/2/J2166,0)+G2166+R2166)*'Inputs'!$B$17</x:f>
        <x:v>3153.05135372187</x:v>
      </x:c>
      <x:c r="AC2166" s="78" t="n">
        <x:f>AC2165+AB2166</x:f>
        <x:v>24157992163.09572</x:v>
      </x:c>
      <x:c r="AD2166" s="80" t="n">
        <x:f>Z2166/(1+'Inputs'!$C$49)</x:f>
        <x:v>0.0007837592766700885</x:v>
      </x:c>
      <x:c r="AE2166" s="80" t="n">
        <x:f>Z2166-AD2166</x:f>
        <x:v>0.0023512778300102655</x:v>
      </x:c>
      <x:c r="AF2166" s="80" t="n">
        <x:f>D2166*W2166</x:f>
        <x:v>2.5794641469737056e-7</x:v>
      </x:c>
      <x:c r="AG2166" s="80" t="n">
        <x:f>C2166*W2166</x:f>
        <x:v>6.018749676271682e-7</x:v>
      </x:c>
      <x:c r="AH2166" s="80" t="n">
        <x:f>2*'Inputs'!$B$8*'Inputs'!$C$49</x:f>
        <x:v>15000</x:v>
      </x:c>
      <x:c r="AI2166" s="81" t="n">
        <x:f>IF(AH2166&gt;0,(AE2166+AF2166)/AH2166*365,0)</x:f>
        <x:v>0.00005722070389300743</x:v>
      </x:c>
      <x:c r="AJ2166" s="81" t="n">
        <x:f>IF('Inputs'!$B$49&gt;0,AG2166/('Inputs'!$B$19*'Inputs'!$B$49)*365,0)</x:f>
        <x:v>2.1968436318391643e-8</x:v>
      </x:c>
      <x:c r="AK2166" s="81" t="n">
        <x:f>W2166/MAX($W$1829:W2166)-1</x:f>
        <x:v>-0.9999999987125336</x:v>
      </x:c>
      <x:c r="AL2166" s="83" t="n">
        <x:f>'Inputs'!$B$49</x:f>
        <x:v>1</x:v>
      </x:c>
      <x:c r="AM2166" s="83" t="n">
        <x:f>'Inputs'!$C$49</x:f>
        <x:v>3</x:v>
      </x:c>
      <x:c r="AN2166" s="83" t="n">
        <x:f>'Inputs'!$D$49</x:f>
        <x:v>0.75</x:v>
      </x:c>
      <x:c r="AO2166" s="81" t="n">
        <x:f>'Inputs'!$E$49</x:f>
        <x:v>-0.03</x:v>
      </x:c>
    </x:row>
    <x:row r="2167">
      <x:c r="A2167" s="59" t="str">
        <x:v>Mercenary LP</x:v>
      </x:c>
      <x:c r="B2167" s="59" t="n">
        <x:v>339</x:v>
      </x:c>
      <x:c r="C2167" s="78" t="n">
        <x:f>(('Inputs'!$B$29*(3*339*'Inputs'!$B$12-339^2)/(2*'Inputs'!$B$12^2))-('Inputs'!$B$29*(3*338*'Inputs'!$B$12-338^2)/(2*'Inputs'!$B$12^2)))*'Inputs'!$B$49</x:f>
        <x:v>601937.2771627009</x:v>
      </x:c>
      <x:c r="D2167" s="78" t="n">
        <x:f>IF('Inputs'!$C$49&gt;0,('Inputs'!$B$30*(3*339*'Inputs'!$B$12-339^2)/(2*'Inputs'!$B$12^2))-('Inputs'!$B$30*(3*338*'Inputs'!$B$12-338^2)/(2*'Inputs'!$B$12^2)),0)</x:f>
        <x:v>257973.1187840104</x:v>
      </x:c>
      <x:c r="E2167" s="78" t="n">
        <x:f>C2167+D2167</x:f>
        <x:v>859910.3959467113</x:v>
      </x:c>
      <x:c r="F2167" s="78" t="n">
        <x:f>'Inputs'!$B$13*E2167+(1-'Inputs'!$B$13)/'Inputs'!$B$14*SUM(E2112:E2167)</x:f>
        <x:v>870128.0728091584</x:v>
      </x:c>
      <x:c r="G2167" s="78" t="n">
        <x:f>F2167*'Inputs'!$F$49</x:f>
        <x:v>783115.2655282426</x:v>
      </x:c>
      <x:c r="H2167" s="78" t="n">
        <x:f>U2166</x:f>
        <x:v>348560377573.77374</x:v>
      </x:c>
      <x:c r="I2167" s="78" t="n">
        <x:f>V2166</x:f>
        <x:v>0.34833615907531384</x:v>
      </x:c>
      <x:c r="J2167" s="79" t="n">
        <x:f>IF(H2167&gt;0,I2167/H2167,0)</x:f>
        <x:v>9.993567298153031e-13</x:v>
      </x:c>
      <x:c r="K2167" s="80" t="n">
        <x:f>(H2167*J2167+I2167)*'Inputs'!$D$49*(1+'Inputs'!$G$49)^(B2167/30)</x:f>
        <x:v>0.5225042386129708</x:v>
      </x:c>
      <x:c r="L2167" s="80" t="n">
        <x:f>MAX(0,K2167*'Inputs'!$E$49)</x:f>
        <x:v>0</x:v>
      </x:c>
      <x:c r="M2167" s="80" t="n">
        <x:f>MAX(0,-K2167*'Inputs'!$E$49)</x:f>
        <x:v>0.015675127158389122</x:v>
      </x:c>
      <x:c r="N2167" s="78" t="n">
        <x:f>H2167*(L2167*(1-'Inputs'!$B$15))/(I2167+L2167*(1-'Inputs'!$B$15))</x:f>
        <x:v>0</x:v>
      </x:c>
      <x:c r="O2167" s="78" t="n">
        <x:f>H2167-N2167</x:f>
        <x:v>348560377573.77374</x:v>
      </x:c>
      <x:c r="P2167" s="78" t="n">
        <x:f>I2167+L2167*(1-'Inputs'!$B$17)</x:f>
        <x:v>0.34833615907531384</x:v>
      </x:c>
      <x:c r="Q2167" s="78" t="n">
        <x:f>IF(J2167&gt;0,M2167/J2167,0)</x:f>
        <x:v>0</x:v>
      </x:c>
      <x:c r="R2167" s="78" t="n">
        <x:f>IF(B2167='Inputs'!$H$49,'Inputs'!$B$27*'Inputs'!$I$49,0)</x:f>
        <x:v>0</x:v>
      </x:c>
      <x:c r="S2167" s="78" t="n">
        <x:f>Q2167+G2167+R2167</x:f>
        <x:v>783115.2655282426</x:v>
      </x:c>
      <x:c r="T2167" s="78" t="n">
        <x:f>P2167*(S2167*(1-'Inputs'!$B$15))/(O2167+S2167*(1-'Inputs'!$B$15))</x:f>
        <x:v>7.747836724088016e-7</x:v>
      </x:c>
      <x:c r="U2167" s="78" t="n">
        <x:f>O2167+S2167*(1-'Inputs'!$B$17)</x:f>
        <x:v>348561157537.67</x:v>
      </x:c>
      <x:c r="V2167" s="78" t="n">
        <x:f>P2167-T2167</x:f>
        <x:v>0.34833538429164146</x:v>
      </x:c>
      <x:c r="W2167" s="79" t="n">
        <x:f>IF(U2167&gt;0,V2167/U2167,0)</x:f>
        <x:v>9.993522707819097e-13</x:v>
      </x:c>
      <x:c r="X2167" s="80" t="n">
        <x:f>W2167*('Inputs'!$B$6-AC2167)</x:f>
        <x:v>-0.02314299520426742</x:v>
      </x:c>
      <x:c r="Y2167" s="80" t="n">
        <x:f>2*V2167</x:f>
        <x:v>0.6966707685832829</x:v>
      </x:c>
      <x:c r="Z2167" s="80" t="n">
        <x:f>K2167*'Inputs'!$B$16+(G2167+R2167)*J2167*'Inputs'!$B$16</x:f>
        <x:v>0.00313503012734689</x:v>
      </x:c>
      <x:c r="AA2167" s="80" t="n">
        <x:f>K2167*(1+'Inputs'!$E$49)/2*'Inputs'!$B$17</x:f>
        <x:v>0.0010197768842144502</x:v>
      </x:c>
      <x:c r="AB2167" s="78" t="n">
        <x:f>(IF(J2167&gt;0,K2167*(1-'Inputs'!$E$49)/2/J2167,0)+G2167+R2167)*'Inputs'!$B$17</x:f>
        <x:v>3151.3692777796487</x:v>
      </x:c>
      <x:c r="AC2167" s="78" t="n">
        <x:f>AC2166+AB2167</x:f>
        <x:v>24157995314.464996</x:v>
      </x:c>
      <x:c r="AD2167" s="80" t="n">
        <x:f>Z2167/(1+'Inputs'!$C$49)</x:f>
        <x:v>0.0007837575318367225</x:v>
      </x:c>
      <x:c r="AE2167" s="80" t="n">
        <x:f>Z2167-AD2167</x:f>
        <x:v>0.0023512725955101674</x:v>
      </x:c>
      <x:c r="AF2167" s="80" t="n">
        <x:f>D2167*W2167</x:f>
        <x:v>2.578060220574921e-7</x:v>
      </x:c>
      <x:c r="AG2167" s="80" t="n">
        <x:f>C2167*W2167</x:f>
        <x:v>6.015473848008249e-7</x:v>
      </x:c>
      <x:c r="AH2167" s="80" t="n">
        <x:f>2*'Inputs'!$B$8*'Inputs'!$C$49</x:f>
        <x:v>15000</x:v>
      </x:c>
      <x:c r="AI2167" s="81" t="n">
        <x:f>IF(AH2167&gt;0,(AE2167+AF2167)/AH2167*365,0)</x:f>
        <x:v>0.0000572205731039508</x:v>
      </x:c>
      <x:c r="AJ2167" s="81" t="n">
        <x:f>IF('Inputs'!$B$49&gt;0,AG2167/('Inputs'!$B$19*'Inputs'!$B$49)*365,0)</x:f>
        <x:v>2.1956479545230107e-8</x:v>
      </x:c>
      <x:c r="AK2167" s="81" t="n">
        <x:f>W2167/MAX($W$1829:W2167)-1</x:f>
        <x:v>-0.9999999987125394</x:v>
      </x:c>
      <x:c r="AL2167" s="83" t="n">
        <x:f>'Inputs'!$B$49</x:f>
        <x:v>1</x:v>
      </x:c>
      <x:c r="AM2167" s="83" t="n">
        <x:f>'Inputs'!$C$49</x:f>
        <x:v>3</x:v>
      </x:c>
      <x:c r="AN2167" s="83" t="n">
        <x:f>'Inputs'!$D$49</x:f>
        <x:v>0.75</x:v>
      </x:c>
      <x:c r="AO2167" s="81" t="n">
        <x:f>'Inputs'!$E$49</x:f>
        <x:v>-0.03</x:v>
      </x:c>
    </x:row>
    <x:row r="2168">
      <x:c r="A2168" s="59" t="str">
        <x:v>Mercenary LP</x:v>
      </x:c>
      <x:c r="B2168" s="59" t="n">
        <x:v>340</x:v>
      </x:c>
      <x:c r="C2168" s="78" t="n">
        <x:f>(('Inputs'!$B$29*(3*340*'Inputs'!$B$12-340^2)/(2*'Inputs'!$B$12^2))-('Inputs'!$B$29*(3*339*'Inputs'!$B$12-339^2)/(2*'Inputs'!$B$12^2)))*'Inputs'!$B$49</x:f>
        <x:v>601612.1692625284</x:v>
      </x:c>
      <x:c r="D2168" s="78" t="n">
        <x:f>IF('Inputs'!$C$49&gt;0,('Inputs'!$B$30*(3*340*'Inputs'!$B$12-340^2)/(2*'Inputs'!$B$12^2))-('Inputs'!$B$30*(3*339*'Inputs'!$B$12-339^2)/(2*'Inputs'!$B$12^2)),0)</x:f>
        <x:v>257833.78682678938</x:v>
      </x:c>
      <x:c r="E2168" s="78" t="n">
        <x:f>C2168+D2168</x:f>
        <x:v>859445.9560893178</x:v>
      </x:c>
      <x:c r="F2168" s="78" t="n">
        <x:f>'Inputs'!$B$13*E2168+(1-'Inputs'!$B$13)/'Inputs'!$B$14*SUM(E2113:E2168)</x:f>
        <x:v>869663.6329517725</x:v>
      </x:c>
      <x:c r="G2168" s="78" t="n">
        <x:f>F2168*'Inputs'!$F$49</x:f>
        <x:v>782697.2696565953</x:v>
      </x:c>
      <x:c r="H2168" s="78" t="n">
        <x:f>U2167</x:f>
        <x:v>348561157537.67</x:v>
      </x:c>
      <x:c r="I2168" s="78" t="n">
        <x:f>V2167</x:f>
        <x:v>0.34833538429164146</x:v>
      </x:c>
      <x:c r="J2168" s="79" t="n">
        <x:f>IF(H2168&gt;0,I2168/H2168,0)</x:f>
        <x:v>9.993522707819097e-13</x:v>
      </x:c>
      <x:c r="K2168" s="80" t="n">
        <x:f>(H2168*J2168+I2168)*'Inputs'!$D$49*(1+'Inputs'!$G$49)^(B2168/30)</x:f>
        <x:v>0.5225030764374622</x:v>
      </x:c>
      <x:c r="L2168" s="80" t="n">
        <x:f>MAX(0,K2168*'Inputs'!$E$49)</x:f>
        <x:v>0</x:v>
      </x:c>
      <x:c r="M2168" s="80" t="n">
        <x:f>MAX(0,-K2168*'Inputs'!$E$49)</x:f>
        <x:v>0.015675092293123864</x:v>
      </x:c>
      <x:c r="N2168" s="78" t="n">
        <x:f>H2168*(L2168*(1-'Inputs'!$B$15))/(I2168+L2168*(1-'Inputs'!$B$15))</x:f>
        <x:v>0</x:v>
      </x:c>
      <x:c r="O2168" s="78" t="n">
        <x:f>H2168-N2168</x:f>
        <x:v>348561157537.67</x:v>
      </x:c>
      <x:c r="P2168" s="78" t="n">
        <x:f>I2168+L2168*(1-'Inputs'!$B$17)</x:f>
        <x:v>0.34833538429164146</x:v>
      </x:c>
      <x:c r="Q2168" s="78" t="n">
        <x:f>IF(J2168&gt;0,M2168/J2168,0)</x:f>
        <x:v>0</x:v>
      </x:c>
      <x:c r="R2168" s="78" t="n">
        <x:f>IF(B2168='Inputs'!$H$49,'Inputs'!$B$27*'Inputs'!$I$49,0)</x:f>
        <x:v>0</x:v>
      </x:c>
      <x:c r="S2168" s="78" t="n">
        <x:f>Q2168+G2168+R2168</x:f>
        <x:v>782697.2696565953</x:v>
      </x:c>
      <x:c r="T2168" s="78" t="n">
        <x:f>P2168*(S2168*(1-'Inputs'!$B$15))/(O2168+S2168*(1-'Inputs'!$B$15))</x:f>
        <x:v>7.743666693694886e-7</x:v>
      </x:c>
      <x:c r="U2168" s="78" t="n">
        <x:f>O2168+S2168*(1-'Inputs'!$B$17)</x:f>
        <x:v>348561937085.25244</x:v>
      </x:c>
      <x:c r="V2168" s="78" t="n">
        <x:f>P2168-T2168</x:f>
        <x:v>0.3483346099249721</x:v>
      </x:c>
      <x:c r="W2168" s="79" t="n">
        <x:f>IF(U2168&gt;0,V2168/U2168,0)</x:f>
        <x:v>9.993478141584211e-13</x:v>
      </x:c>
      <x:c r="X2168" s="80" t="n">
        <x:f>W2168*('Inputs'!$B$6-AC2168)</x:f>
        <x:v>-0.023142895145434574</x:v>
      </x:c>
      <x:c r="Y2168" s="80" t="n">
        <x:f>2*V2168</x:f>
        <x:v>0.6966692198499442</x:v>
      </x:c>
      <x:c r="Z2168" s="80" t="n">
        <x:f>K2168*'Inputs'!$B$16+(G2168+R2168)*J2168*'Inputs'!$B$16</x:f>
        <x:v>0.003135023151766536</x:v>
      </x:c>
      <x:c r="AA2168" s="80" t="n">
        <x:f>K2168*(1+'Inputs'!$E$49)/2*'Inputs'!$B$17</x:f>
        <x:v>0.001019774615984584</x:v>
      </x:c>
      <x:c r="AB2168" s="78" t="n">
        <x:f>(IF(J2168&gt;0,K2168*(1-'Inputs'!$E$49)/2/J2168,0)+G2168+R2168)*'Inputs'!$B$17</x:f>
        <x:v>3149.687201837406</x:v>
      </x:c>
      <x:c r="AC2168" s="78" t="n">
        <x:f>AC2167+AB2168</x:f>
        <x:v>24157998464.1522</x:v>
      </x:c>
      <x:c r="AD2168" s="80" t="n">
        <x:f>Z2168/(1+'Inputs'!$C$49)</x:f>
        <x:v>0.000783755787941634</x:v>
      </x:c>
      <x:c r="AE2168" s="80" t="n">
        <x:f>Z2168-AD2168</x:f>
        <x:v>0.0023512673638249023</x:v>
      </x:c>
      <x:c r="AF2168" s="80" t="n">
        <x:f>D2168*W2168</x:f>
        <x:v>2.576656312815403e-7</x:v>
      </x:c>
      <x:c r="AG2168" s="80" t="n">
        <x:f>C2168*W2168</x:f>
        <x:v>6.012198063236138e-7</x:v>
      </x:c>
      <x:c r="AH2168" s="80" t="n">
        <x:f>2*'Inputs'!$B$8*'Inputs'!$C$49</x:f>
        <x:v>15000</x:v>
      </x:c>
      <x:c r="AI2168" s="81" t="n">
        <x:f>IF(AH2168&gt;0,(AE2168+AF2168)/AH2168*365,0)</x:f>
        <x:v>0.00005722044238343381</x:v>
      </x:c>
      <x:c r="AJ2168" s="81" t="n">
        <x:f>IF('Inputs'!$B$49&gt;0,AG2168/('Inputs'!$B$19*'Inputs'!$B$49)*365,0)</x:f>
        <x:v>2.1944522930811903e-8</x:v>
      </x:c>
      <x:c r="AK2168" s="81" t="n">
        <x:f>W2168/MAX($W$1829:W2168)-1</x:f>
        <x:v>-0.9999999987125452</x:v>
      </x:c>
      <x:c r="AL2168" s="83" t="n">
        <x:f>'Inputs'!$B$49</x:f>
        <x:v>1</x:v>
      </x:c>
      <x:c r="AM2168" s="83" t="n">
        <x:f>'Inputs'!$C$49</x:f>
        <x:v>3</x:v>
      </x:c>
      <x:c r="AN2168" s="83" t="n">
        <x:f>'Inputs'!$D$49</x:f>
        <x:v>0.75</x:v>
      </x:c>
      <x:c r="AO2168" s="81" t="n">
        <x:f>'Inputs'!$E$49</x:f>
        <x:v>-0.03</x:v>
      </x:c>
    </x:row>
    <x:row r="2169">
      <x:c r="A2169" s="59" t="str">
        <x:v>Mercenary LP</x:v>
      </x:c>
      <x:c r="B2169" s="59" t="n">
        <x:v>341</x:v>
      </x:c>
      <x:c r="C2169" s="78" t="n">
        <x:f>(('Inputs'!$B$29*(3*341*'Inputs'!$B$12-341^2)/(2*'Inputs'!$B$12^2))-('Inputs'!$B$29*(3*340*'Inputs'!$B$12-340^2)/(2*'Inputs'!$B$12^2)))*'Inputs'!$B$49</x:f>
        <x:v>601287.061362356</x:v>
      </x:c>
      <x:c r="D2169" s="78" t="n">
        <x:f>IF('Inputs'!$C$49&gt;0,('Inputs'!$B$30*(3*341*'Inputs'!$B$12-341^2)/(2*'Inputs'!$B$12^2))-('Inputs'!$B$30*(3*340*'Inputs'!$B$12-340^2)/(2*'Inputs'!$B$12^2)),0)</x:f>
        <x:v>257694.45486958325</x:v>
      </x:c>
      <x:c r="E2169" s="78" t="n">
        <x:f>C2169+D2169</x:f>
        <x:v>858981.5162319392</x:v>
      </x:c>
      <x:c r="F2169" s="78" t="n">
        <x:f>'Inputs'!$B$13*E2169+(1-'Inputs'!$B$13)/'Inputs'!$B$14*SUM(E2114:E2169)</x:f>
        <x:v>869199.1930943893</x:v>
      </x:c>
      <x:c r="G2169" s="78" t="n">
        <x:f>F2169*'Inputs'!$F$49</x:f>
        <x:v>782279.2737849504</x:v>
      </x:c>
      <x:c r="H2169" s="78" t="n">
        <x:f>U2168</x:f>
        <x:v>348561937085.25244</x:v>
      </x:c>
      <x:c r="I2169" s="78" t="n">
        <x:f>V2168</x:f>
        <x:v>0.3483346099249721</x:v>
      </x:c>
      <x:c r="J2169" s="79" t="n">
        <x:f>IF(H2169&gt;0,I2169/H2169,0)</x:f>
        <x:v>9.993478141584211e-13</x:v>
      </x:c>
      <x:c r="K2169" s="80" t="n">
        <x:f>(H2169*J2169+I2169)*'Inputs'!$D$49*(1+'Inputs'!$G$49)^(B2169/30)</x:f>
        <x:v>0.5225019148874581</x:v>
      </x:c>
      <x:c r="L2169" s="80" t="n">
        <x:f>MAX(0,K2169*'Inputs'!$E$49)</x:f>
        <x:v>0</x:v>
      </x:c>
      <x:c r="M2169" s="80" t="n">
        <x:f>MAX(0,-K2169*'Inputs'!$E$49)</x:f>
        <x:v>0.015675057446623744</x:v>
      </x:c>
      <x:c r="N2169" s="78" t="n">
        <x:f>H2169*(L2169*(1-'Inputs'!$B$15))/(I2169+L2169*(1-'Inputs'!$B$15))</x:f>
        <x:v>0</x:v>
      </x:c>
      <x:c r="O2169" s="78" t="n">
        <x:f>H2169-N2169</x:f>
        <x:v>348561937085.25244</x:v>
      </x:c>
      <x:c r="P2169" s="78" t="n">
        <x:f>I2169+L2169*(1-'Inputs'!$B$17)</x:f>
        <x:v>0.3483346099249721</x:v>
      </x:c>
      <x:c r="Q2169" s="78" t="n">
        <x:f>IF(J2169&gt;0,M2169/J2169,0)</x:f>
        <x:v>0</x:v>
      </x:c>
      <x:c r="R2169" s="78" t="n">
        <x:f>IF(B2169='Inputs'!$H$49,'Inputs'!$B$27*'Inputs'!$I$49,0)</x:f>
        <x:v>0</x:v>
      </x:c>
      <x:c r="S2169" s="78" t="n">
        <x:f>Q2169+G2169+R2169</x:f>
        <x:v>782279.2737849504</x:v>
      </x:c>
      <x:c r="T2169" s="78" t="n">
        <x:f>P2169*(S2169*(1-'Inputs'!$B$15))/(O2169+S2169*(1-'Inputs'!$B$15))</x:f>
        <x:v>7.739496718859695e-7</x:v>
      </x:c>
      <x:c r="U2169" s="78" t="n">
        <x:f>O2169+S2169*(1-'Inputs'!$B$17)</x:f>
        <x:v>348562716216.5211</x:v>
      </x:c>
      <x:c r="V2169" s="78" t="n">
        <x:f>P2169-T2169</x:f>
        <x:v>0.3483338359753002</x:v>
      </x:c>
      <x:c r="W2169" s="79" t="n">
        <x:f>IF(U2169&gt;0,V2169/U2169,0)</x:f>
        <x:v>9.99343359944789e-13</x:v>
      </x:c>
      <x:c r="X2169" s="80" t="n">
        <x:f>W2169*('Inputs'!$B$6-AC2169)</x:f>
        <x:v>-0.023142795140700143</x:v>
      </x:c>
      <x:c r="Y2169" s="80" t="n">
        <x:f>2*V2169</x:f>
        <x:v>0.6966676719506004</x:v>
      </x:c>
      <x:c r="Z2169" s="80" t="n">
        <x:f>K2169*'Inputs'!$B$16+(G2169+R2169)*J2169*'Inputs'!$B$16</x:f>
        <x:v>0.0031350161799392428</x:v>
      </x:c>
      <x:c r="AA2169" s="80" t="n">
        <x:f>K2169*(1+'Inputs'!$E$49)/2*'Inputs'!$B$17</x:f>
        <x:v>0.0010197723489755218</x:v>
      </x:c>
      <x:c r="AB2169" s="78" t="n">
        <x:f>(IF(J2169&gt;0,K2169*(1-'Inputs'!$E$49)/2/J2169,0)+G2169+R2169)*'Inputs'!$B$17</x:f>
        <x:v>3148.005125895173</x:v>
      </x:c>
      <x:c r="AC2169" s="78" t="n">
        <x:f>AC2168+AB2169</x:f>
        <x:v>24158001612.157326</x:v>
      </x:c>
      <x:c r="AD2169" s="80" t="n">
        <x:f>Z2169/(1+'Inputs'!$C$49)</x:f>
        <x:v>0.0007837540449848107</x:v>
      </x:c>
      <x:c r="AE2169" s="80" t="n">
        <x:f>Z2169-AD2169</x:f>
        <x:v>0.002351262134954432</x:v>
      </x:c>
      <x:c r="AF2169" s="80" t="n">
        <x:f>D2169*W2169</x:f>
        <x:v>2.575252423685101e-7</x:v>
      </x:c>
      <x:c r="AG2169" s="80" t="n">
        <x:f>C2169*W2169</x:f>
        <x:v>6.008922321931853e-7</x:v>
      </x:c>
      <x:c r="AH2169" s="80" t="n">
        <x:f>2*'Inputs'!$B$8*'Inputs'!$C$49</x:f>
        <x:v>15000</x:v>
      </x:c>
      <x:c r="AI2169" s="81" t="n">
        <x:f>IF(AH2169&gt;0,(AE2169+AF2169)/AH2169*365,0)</x:f>
        <x:v>0.00005722031173145547</x:v>
      </x:c>
      <x:c r="AJ2169" s="81" t="n">
        <x:f>IF('Inputs'!$B$49&gt;0,AG2169/('Inputs'!$B$19*'Inputs'!$B$49)*365,0)</x:f>
        <x:v>2.1932566475051264e-8</x:v>
      </x:c>
      <x:c r="AK2169" s="81" t="n">
        <x:f>W2169/MAX($W$1829:W2169)-1</x:f>
        <x:v>-0.9999999987125509</x:v>
      </x:c>
      <x:c r="AL2169" s="83" t="n">
        <x:f>'Inputs'!$B$49</x:f>
        <x:v>1</x:v>
      </x:c>
      <x:c r="AM2169" s="83" t="n">
        <x:f>'Inputs'!$C$49</x:f>
        <x:v>3</x:v>
      </x:c>
      <x:c r="AN2169" s="83" t="n">
        <x:f>'Inputs'!$D$49</x:f>
        <x:v>0.75</x:v>
      </x:c>
      <x:c r="AO2169" s="81" t="n">
        <x:f>'Inputs'!$E$49</x:f>
        <x:v>-0.03</x:v>
      </x:c>
    </x:row>
    <x:row r="2170">
      <x:c r="A2170" s="59" t="str">
        <x:v>Mercenary LP</x:v>
      </x:c>
      <x:c r="B2170" s="59" t="n">
        <x:v>342</x:v>
      </x:c>
      <x:c r="C2170" s="78" t="n">
        <x:f>(('Inputs'!$B$29*(3*342*'Inputs'!$B$12-342^2)/(2*'Inputs'!$B$12^2))-('Inputs'!$B$29*(3*341*'Inputs'!$B$12-341^2)/(2*'Inputs'!$B$12^2)))*'Inputs'!$B$49</x:f>
        <x:v>600961.9534621835</x:v>
      </x:c>
      <x:c r="D2170" s="78" t="n">
        <x:f>IF('Inputs'!$C$49&gt;0,('Inputs'!$B$30*(3*342*'Inputs'!$B$12-342^2)/(2*'Inputs'!$B$12^2))-('Inputs'!$B$30*(3*341*'Inputs'!$B$12-341^2)/(2*'Inputs'!$B$12^2)),0)</x:f>
        <x:v>257555.12291236222</x:v>
      </x:c>
      <x:c r="E2170" s="78" t="n">
        <x:f>C2170+D2170</x:f>
        <x:v>858517.0763745457</x:v>
      </x:c>
      <x:c r="F2170" s="78" t="n">
        <x:f>'Inputs'!$B$13*E2170+(1-'Inputs'!$B$13)/'Inputs'!$B$14*SUM(E2115:E2170)</x:f>
        <x:v>868734.7532370031</x:v>
      </x:c>
      <x:c r="G2170" s="78" t="n">
        <x:f>F2170*'Inputs'!$F$49</x:f>
        <x:v>781861.2779133028</x:v>
      </x:c>
      <x:c r="H2170" s="78" t="n">
        <x:f>U2169</x:f>
        <x:v>348562716216.5211</x:v>
      </x:c>
      <x:c r="I2170" s="78" t="n">
        <x:f>V2169</x:f>
        <x:v>0.3483338359753002</x:v>
      </x:c>
      <x:c r="J2170" s="79" t="n">
        <x:f>IF(H2170&gt;0,I2170/H2170,0)</x:f>
        <x:v>9.99343359944789e-13</x:v>
      </x:c>
      <x:c r="K2170" s="80" t="n">
        <x:f>(H2170*J2170+I2170)*'Inputs'!$D$49*(1+'Inputs'!$G$49)^(B2170/30)</x:f>
        <x:v>0.5225007539629503</x:v>
      </x:c>
      <x:c r="L2170" s="80" t="n">
        <x:f>MAX(0,K2170*'Inputs'!$E$49)</x:f>
        <x:v>0</x:v>
      </x:c>
      <x:c r="M2170" s="80" t="n">
        <x:f>MAX(0,-K2170*'Inputs'!$E$49)</x:f>
        <x:v>0.015675022618888507</x:v>
      </x:c>
      <x:c r="N2170" s="78" t="n">
        <x:f>H2170*(L2170*(1-'Inputs'!$B$15))/(I2170+L2170*(1-'Inputs'!$B$15))</x:f>
        <x:v>0</x:v>
      </x:c>
      <x:c r="O2170" s="78" t="n">
        <x:f>H2170-N2170</x:f>
        <x:v>348562716216.5211</x:v>
      </x:c>
      <x:c r="P2170" s="78" t="n">
        <x:f>I2170+L2170*(1-'Inputs'!$B$17)</x:f>
        <x:v>0.3483338359753002</x:v>
      </x:c>
      <x:c r="Q2170" s="78" t="n">
        <x:f>IF(J2170&gt;0,M2170/J2170,0)</x:f>
        <x:v>0</x:v>
      </x:c>
      <x:c r="R2170" s="78" t="n">
        <x:f>IF(B2170='Inputs'!$H$49,'Inputs'!$B$27*'Inputs'!$I$49,0)</x:f>
        <x:v>0</x:v>
      </x:c>
      <x:c r="S2170" s="78" t="n">
        <x:f>Q2170+G2170+R2170</x:f>
        <x:v>781861.2779133028</x:v>
      </x:c>
      <x:c r="T2170" s="78" t="n">
        <x:f>P2170*(S2170*(1-'Inputs'!$B$15))/(O2170+S2170*(1-'Inputs'!$B$15))</x:f>
        <x:v>7.735326799552101e-7</x:v>
      </x:c>
      <x:c r="U2170" s="78" t="n">
        <x:f>O2170+S2170*(1-'Inputs'!$B$17)</x:f>
        <x:v>348563494931.47595</x:v>
      </x:c>
      <x:c r="V2170" s="78" t="n">
        <x:f>P2170-T2170</x:f>
        <x:v>0.34833306244262024</x:v>
      </x:c>
      <x:c r="W2170" s="79" t="n">
        <x:f>IF(U2170&gt;0,V2170/U2170,0)</x:f>
        <x:v>9.993389081409658e-13</x:v>
      </x:c>
      <x:c r="X2170" s="80" t="n">
        <x:f>W2170*('Inputs'!$B$6-AC2170)</x:f>
        <x:v>-0.02314269519006307</x:v>
      </x:c>
      <x:c r="Y2170" s="80" t="n">
        <x:f>2*V2170</x:f>
        <x:v>0.6966661248852405</x:v>
      </x:c>
      <x:c r="Z2170" s="80" t="n">
        <x:f>K2170*'Inputs'!$B$16+(G2170+R2170)*J2170*'Inputs'!$B$16</x:f>
        <x:v>0.0031350092118649603</x:v>
      </x:c>
      <x:c r="AA2170" s="80" t="n">
        <x:f>K2170*(1+'Inputs'!$E$49)/2*'Inputs'!$B$17</x:f>
        <x:v>0.001019770083187247</x:v>
      </x:c>
      <x:c r="AB2170" s="78" t="n">
        <x:f>(IF(J2170&gt;0,K2170*(1-'Inputs'!$E$49)/2/J2170,0)+G2170+R2170)*'Inputs'!$B$17</x:f>
        <x:v>3146.323049952929</x:v>
      </x:c>
      <x:c r="AC2170" s="78" t="n">
        <x:f>AC2169+AB2170</x:f>
        <x:v>24158004758.480377</x:v>
      </x:c>
      <x:c r="AD2170" s="80" t="n">
        <x:f>Z2170/(1+'Inputs'!$C$49)</x:f>
        <x:v>0.0007837523029662401</x:v>
      </x:c>
      <x:c r="AE2170" s="80" t="n">
        <x:f>Z2170-AD2170</x:f>
        <x:v>0.00235125690889872</x:v>
      </x:c>
      <x:c r="AF2170" s="80" t="n">
        <x:f>D2170*W2170</x:f>
        <x:v>2.573848553173523e-7</x:v>
      </x:c>
      <x:c r="AG2170" s="80" t="n">
        <x:f>C2170*W2170</x:f>
        <x:v>6.005646624071603e-7</x:v>
      </x:c>
      <x:c r="AH2170" s="80" t="n">
        <x:f>2*'Inputs'!$B$8*'Inputs'!$C$49</x:f>
        <x:v>15000</x:v>
      </x:c>
      <x:c r="AI2170" s="81" t="n">
        <x:f>IF(AH2170&gt;0,(AE2170+AF2170)/AH2170*365,0)</x:f>
        <x:v>0.00005722018114801491</x:v>
      </x:c>
      <x:c r="AJ2170" s="81" t="n">
        <x:f>IF('Inputs'!$B$49&gt;0,AG2170/('Inputs'!$B$19*'Inputs'!$B$49)*365,0)</x:f>
        <x:v>2.192061017786135e-8</x:v>
      </x:c>
      <x:c r="AK2170" s="81" t="n">
        <x:f>W2170/MAX($W$1829:W2170)-1</x:f>
        <x:v>-0.9999999987125566</x:v>
      </x:c>
      <x:c r="AL2170" s="83" t="n">
        <x:f>'Inputs'!$B$49</x:f>
        <x:v>1</x:v>
      </x:c>
      <x:c r="AM2170" s="83" t="n">
        <x:f>'Inputs'!$C$49</x:f>
        <x:v>3</x:v>
      </x:c>
      <x:c r="AN2170" s="83" t="n">
        <x:f>'Inputs'!$D$49</x:f>
        <x:v>0.75</x:v>
      </x:c>
      <x:c r="AO2170" s="81" t="n">
        <x:f>'Inputs'!$E$49</x:f>
        <x:v>-0.03</x:v>
      </x:c>
    </x:row>
    <x:row r="2171">
      <x:c r="A2171" s="59" t="str">
        <x:v>Mercenary LP</x:v>
      </x:c>
      <x:c r="B2171" s="59" t="n">
        <x:v>343</x:v>
      </x:c>
      <x:c r="C2171" s="78" t="n">
        <x:f>(('Inputs'!$B$29*(3*343*'Inputs'!$B$12-343^2)/(2*'Inputs'!$B$12^2))-('Inputs'!$B$29*(3*342*'Inputs'!$B$12-342^2)/(2*'Inputs'!$B$12^2)))*'Inputs'!$B$49</x:f>
        <x:v>600636.8455620408</x:v>
      </x:c>
      <x:c r="D2171" s="78" t="n">
        <x:f>IF('Inputs'!$C$49&gt;0,('Inputs'!$B$30*(3*343*'Inputs'!$B$12-343^2)/(2*'Inputs'!$B$12^2))-('Inputs'!$B$30*(3*342*'Inputs'!$B$12-342^2)/(2*'Inputs'!$B$12^2)),0)</x:f>
        <x:v>257415.7909551561</x:v>
      </x:c>
      <x:c r="E2171" s="78" t="n">
        <x:f>C2171+D2171</x:f>
        <x:v>858052.6365171969</x:v>
      </x:c>
      <x:c r="F2171" s="78" t="n">
        <x:f>'Inputs'!$B$13*E2171+(1-'Inputs'!$B$13)/'Inputs'!$B$14*SUM(E2116:E2171)</x:f>
        <x:v>868270.3133796263</x:v>
      </x:c>
      <x:c r="G2171" s="78" t="n">
        <x:f>F2171*'Inputs'!$F$49</x:f>
        <x:v>781443.2820416637</x:v>
      </x:c>
      <x:c r="H2171" s="78" t="n">
        <x:f>U2170</x:f>
        <x:v>348563494931.47595</x:v>
      </x:c>
      <x:c r="I2171" s="78" t="n">
        <x:f>V2170</x:f>
        <x:v>0.34833306244262024</x:v>
      </x:c>
      <x:c r="J2171" s="79" t="n">
        <x:f>IF(H2171&gt;0,I2171/H2171,0)</x:f>
        <x:v>9.993389081409658e-13</x:v>
      </x:c>
      <x:c r="K2171" s="80" t="n">
        <x:f>(H2171*J2171+I2171)*'Inputs'!$D$49*(1+'Inputs'!$G$49)^(B2171/30)</x:f>
        <x:v>0.5224995936639304</x:v>
      </x:c>
      <x:c r="L2171" s="80" t="n">
        <x:f>MAX(0,K2171*'Inputs'!$E$49)</x:f>
        <x:v>0</x:v>
      </x:c>
      <x:c r="M2171" s="80" t="n">
        <x:f>MAX(0,-K2171*'Inputs'!$E$49)</x:f>
        <x:v>0.015674987809917912</x:v>
      </x:c>
      <x:c r="N2171" s="78" t="n">
        <x:f>H2171*(L2171*(1-'Inputs'!$B$15))/(I2171+L2171*(1-'Inputs'!$B$15))</x:f>
        <x:v>0</x:v>
      </x:c>
      <x:c r="O2171" s="78" t="n">
        <x:f>H2171-N2171</x:f>
        <x:v>348563494931.47595</x:v>
      </x:c>
      <x:c r="P2171" s="78" t="n">
        <x:f>I2171+L2171*(1-'Inputs'!$B$17)</x:f>
        <x:v>0.34833306244262024</x:v>
      </x:c>
      <x:c r="Q2171" s="78" t="n">
        <x:f>IF(J2171&gt;0,M2171/J2171,0)</x:f>
        <x:v>0</x:v>
      </x:c>
      <x:c r="R2171" s="78" t="n">
        <x:f>IF(B2171='Inputs'!$H$49,'Inputs'!$B$27*'Inputs'!$I$49,0)</x:f>
        <x:v>0</x:v>
      </x:c>
      <x:c r="S2171" s="78" t="n">
        <x:f>Q2171+G2171+R2171</x:f>
        <x:v>781443.2820416637</x:v>
      </x:c>
      <x:c r="T2171" s="78" t="n">
        <x:f>P2171*(S2171*(1-'Inputs'!$B$15))/(O2171+S2171*(1-'Inputs'!$B$15))</x:f>
        <x:v>7.73115693574193e-7</x:v>
      </x:c>
      <x:c r="U2171" s="78" t="n">
        <x:f>O2171+S2171*(1-'Inputs'!$B$17)</x:f>
        <x:v>348564273230.117</x:v>
      </x:c>
      <x:c r="V2171" s="78" t="n">
        <x:f>P2171-T2171</x:f>
        <x:v>0.34833228932692667</x:v>
      </x:c>
      <x:c r="W2171" s="79" t="n">
        <x:f>IF(U2171&gt;0,V2171/U2171,0)</x:f>
        <x:v>9.993344587469033e-13</x:v>
      </x:c>
      <x:c r="X2171" s="80" t="n">
        <x:f>W2171*('Inputs'!$B$6-AC2171)</x:f>
        <x:v>-0.023142595293522285</x:v>
      </x:c>
      <x:c r="Y2171" s="80" t="n">
        <x:f>2*V2171</x:f>
        <x:v>0.6966645786538533</x:v>
      </x:c>
      <x:c r="Z2171" s="80" t="n">
        <x:f>K2171*'Inputs'!$B$16+(G2171+R2171)*J2171*'Inputs'!$B$16</x:f>
        <x:v>0.00313500224754364</x:v>
      </x:c>
      <x:c r="AA2171" s="80" t="n">
        <x:f>K2171*(1+'Inputs'!$E$49)/2*'Inputs'!$B$17</x:f>
        <x:v>0.0010197678186197434</x:v>
      </x:c>
      <x:c r="AB2171" s="78" t="n">
        <x:f>(IF(J2171&gt;0,K2171*(1-'Inputs'!$E$49)/2/J2171,0)+G2171+R2171)*'Inputs'!$B$17</x:f>
        <x:v>3144.640974010719</x:v>
      </x:c>
      <x:c r="AC2171" s="78" t="n">
        <x:f>AC2170+AB2171</x:f>
        <x:v>24158007903.12135</x:v>
      </x:c>
      <x:c r="AD2171" s="80" t="n">
        <x:f>Z2171/(1+'Inputs'!$C$49)</x:f>
        <x:v>0.00078375056188591</x:v>
      </x:c>
      <x:c r="AE2171" s="80" t="n">
        <x:f>Z2171-AD2171</x:f>
        <x:v>0.00235125168565773</x:v>
      </x:c>
      <x:c r="AF2171" s="80" t="n">
        <x:f>D2171*W2171</x:f>
        <x:v>2.572444701270769e-7</x:v>
      </x:c>
      <x:c r="AG2171" s="80" t="n">
        <x:f>C2171*W2171</x:f>
        <x:v>6.002370969631894e-7</x:v>
      </x:c>
      <x:c r="AH2171" s="80" t="n">
        <x:f>2*'Inputs'!$B$8*'Inputs'!$C$49</x:f>
        <x:v>15000</x:v>
      </x:c>
      <x:c r="AI2171" s="81" t="n">
        <x:f>IF(AH2171&gt;0,(AE2171+AF2171)/AH2171*365,0)</x:f>
        <x:v>0.00005722005063311119</x:v>
      </x:c>
      <x:c r="AJ2171" s="81" t="n">
        <x:f>IF('Inputs'!$B$49&gt;0,AG2171/('Inputs'!$B$19*'Inputs'!$B$49)*365,0)</x:f>
        <x:v>2.1908654039156414e-8</x:v>
      </x:c>
      <x:c r="AK2171" s="81" t="n">
        <x:f>W2171/MAX($W$1829:W2171)-1</x:f>
        <x:v>-0.9999999987125624</x:v>
      </x:c>
      <x:c r="AL2171" s="83" t="n">
        <x:f>'Inputs'!$B$49</x:f>
        <x:v>1</x:v>
      </x:c>
      <x:c r="AM2171" s="83" t="n">
        <x:f>'Inputs'!$C$49</x:f>
        <x:v>3</x:v>
      </x:c>
      <x:c r="AN2171" s="83" t="n">
        <x:f>'Inputs'!$D$49</x:f>
        <x:v>0.75</x:v>
      </x:c>
      <x:c r="AO2171" s="81" t="n">
        <x:f>'Inputs'!$E$49</x:f>
        <x:v>-0.03</x:v>
      </x:c>
    </x:row>
    <x:row r="2172">
      <x:c r="A2172" s="59" t="str">
        <x:v>Mercenary LP</x:v>
      </x:c>
      <x:c r="B2172" s="59" t="n">
        <x:v>344</x:v>
      </x:c>
      <x:c r="C2172" s="78" t="n">
        <x:f>(('Inputs'!$B$29*(3*344*'Inputs'!$B$12-344^2)/(2*'Inputs'!$B$12^2))-('Inputs'!$B$29*(3*343*'Inputs'!$B$12-343^2)/(2*'Inputs'!$B$12^2)))*'Inputs'!$B$49</x:f>
        <x:v>600311.7376618385</x:v>
      </x:c>
      <x:c r="D2172" s="78" t="n">
        <x:f>IF('Inputs'!$C$49&gt;0,('Inputs'!$B$30*(3*344*'Inputs'!$B$12-344^2)/(2*'Inputs'!$B$12^2))-('Inputs'!$B$30*(3*343*'Inputs'!$B$12-343^2)/(2*'Inputs'!$B$12^2)),0)</x:f>
        <x:v>257276.45899793506</x:v>
      </x:c>
      <x:c r="E2172" s="78" t="n">
        <x:f>C2172+D2172</x:f>
        <x:v>857588.1966597736</x:v>
      </x:c>
      <x:c r="F2172" s="78" t="n">
        <x:f>'Inputs'!$B$13*E2172+(1-'Inputs'!$B$13)/'Inputs'!$B$14*SUM(E2117:E2172)</x:f>
        <x:v>867805.8735222345</x:v>
      </x:c>
      <x:c r="G2172" s="78" t="n">
        <x:f>F2172*'Inputs'!$F$49</x:f>
        <x:v>781025.286170011</x:v>
      </x:c>
      <x:c r="H2172" s="78" t="n">
        <x:f>U2171</x:f>
        <x:v>348564273230.117</x:v>
      </x:c>
      <x:c r="I2172" s="78" t="n">
        <x:f>V2171</x:f>
        <x:v>0.34833228932692667</x:v>
      </x:c>
      <x:c r="J2172" s="79" t="n">
        <x:f>IF(H2172&gt;0,I2172/H2172,0)</x:f>
        <x:v>9.993344587469033e-13</x:v>
      </x:c>
      <x:c r="K2172" s="80" t="n">
        <x:f>(H2172*J2172+I2172)*'Inputs'!$D$49*(1+'Inputs'!$G$49)^(B2172/30)</x:f>
        <x:v>0.5224984339903901</x:v>
      </x:c>
      <x:c r="L2172" s="80" t="n">
        <x:f>MAX(0,K2172*'Inputs'!$E$49)</x:f>
        <x:v>0</x:v>
      </x:c>
      <x:c r="M2172" s="80" t="n">
        <x:f>MAX(0,-K2172*'Inputs'!$E$49)</x:f>
        <x:v>0.015674953019711703</x:v>
      </x:c>
      <x:c r="N2172" s="78" t="n">
        <x:f>H2172*(L2172*(1-'Inputs'!$B$15))/(I2172+L2172*(1-'Inputs'!$B$15))</x:f>
        <x:v>0</x:v>
      </x:c>
      <x:c r="O2172" s="78" t="n">
        <x:f>H2172-N2172</x:f>
        <x:v>348564273230.117</x:v>
      </x:c>
      <x:c r="P2172" s="78" t="n">
        <x:f>I2172+L2172*(1-'Inputs'!$B$17)</x:f>
        <x:v>0.34833228932692667</x:v>
      </x:c>
      <x:c r="Q2172" s="78" t="n">
        <x:f>IF(J2172&gt;0,M2172/J2172,0)</x:f>
        <x:v>0</x:v>
      </x:c>
      <x:c r="R2172" s="78" t="n">
        <x:f>IF(B2172='Inputs'!$H$49,'Inputs'!$B$27*'Inputs'!$I$49,0)</x:f>
        <x:v>0</x:v>
      </x:c>
      <x:c r="S2172" s="78" t="n">
        <x:f>Q2172+G2172+R2172</x:f>
        <x:v>781025.286170011</x:v>
      </x:c>
      <x:c r="T2172" s="78" t="n">
        <x:f>P2172*(S2172*(1-'Inputs'!$B$15))/(O2172+S2172*(1-'Inputs'!$B$15))</x:f>
        <x:v>7.726987127398675e-7</x:v>
      </x:c>
      <x:c r="U2172" s="78" t="n">
        <x:f>O2172+S2172*(1-'Inputs'!$B$17)</x:f>
        <x:v>348565051112.4443</x:v>
      </x:c>
      <x:c r="V2172" s="78" t="n">
        <x:f>P2172-T2172</x:f>
        <x:v>0.34833151662821393</x:v>
      </x:c>
      <x:c r="W2172" s="79" t="n">
        <x:f>IF(U2172&gt;0,V2172/U2172,0)</x:f>
        <x:v>9.993300117625533e-13</x:v>
      </x:c>
      <x:c r="X2172" s="80" t="n">
        <x:f>W2172*('Inputs'!$B$6-AC2172)</x:f>
        <x:v>-0.02314249545107671</x:v>
      </x:c>
      <x:c r="Y2172" s="80" t="n">
        <x:f>2*V2172</x:f>
        <x:v>0.6966630332564279</x:v>
      </x:c>
      <x:c r="Z2172" s="80" t="n">
        <x:f>K2172*'Inputs'!$B$16+(G2172+R2172)*J2172*'Inputs'!$B$16</x:f>
        <x:v>0.0031349952869752303</x:v>
      </x:c>
      <x:c r="AA2172" s="80" t="n">
        <x:f>K2172*(1+'Inputs'!$E$49)/2*'Inputs'!$B$17</x:f>
        <x:v>0.0010197655552729949</x:v>
      </x:c>
      <x:c r="AB2172" s="78" t="n">
        <x:f>(IF(J2172&gt;0,K2172*(1-'Inputs'!$E$49)/2/J2172,0)+G2172+R2172)*'Inputs'!$B$17</x:f>
        <x:v>3142.9588980684553</x:v>
      </x:c>
      <x:c r="AC2172" s="78" t="n">
        <x:f>AC2171+AB2172</x:f>
        <x:v>24158011046.080246</x:v>
      </x:c>
      <x:c r="AD2172" s="80" t="n">
        <x:f>Z2172/(1+'Inputs'!$C$49)</x:f>
        <x:v>0.0007837488217438076</x:v>
      </x:c>
      <x:c r="AE2172" s="80" t="n">
        <x:f>Z2172-AD2172</x:f>
        <x:v>0.002351246465231423</x:v>
      </x:c>
      <x:c r="AF2172" s="80" t="n">
        <x:f>D2172*W2172</x:f>
        <x:v>2.571040867966345e-7</x:v>
      </x:c>
      <x:c r="AG2172" s="80" t="n">
        <x:f>C2172*W2172</x:f>
        <x:v>5.999095358588039e-7</x:v>
      </x:c>
      <x:c r="AH2172" s="80" t="n">
        <x:f>2*'Inputs'!$B$8*'Inputs'!$C$49</x:f>
        <x:v>15000</x:v>
      </x:c>
      <x:c r="AI2172" s="81" t="n">
        <x:f>IF(AH2172&gt;0,(AE2172+AF2172)/AH2172*365,0)</x:f>
        <x:v>0.00005721992018674333</x:v>
      </x:c>
      <x:c r="AJ2172" s="81" t="n">
        <x:f>IF('Inputs'!$B$49&gt;0,AG2172/('Inputs'!$B$19*'Inputs'!$B$49)*365,0)</x:f>
        <x:v>2.189669805884634e-8</x:v>
      </x:c>
      <x:c r="AK2172" s="81" t="n">
        <x:f>W2172/MAX($W$1829:W2172)-1</x:f>
        <x:v>-0.9999999987125681</x:v>
      </x:c>
      <x:c r="AL2172" s="83" t="n">
        <x:f>'Inputs'!$B$49</x:f>
        <x:v>1</x:v>
      </x:c>
      <x:c r="AM2172" s="83" t="n">
        <x:f>'Inputs'!$C$49</x:f>
        <x:v>3</x:v>
      </x:c>
      <x:c r="AN2172" s="83" t="n">
        <x:f>'Inputs'!$D$49</x:f>
        <x:v>0.75</x:v>
      </x:c>
      <x:c r="AO2172" s="81" t="n">
        <x:f>'Inputs'!$E$49</x:f>
        <x:v>-0.03</x:v>
      </x:c>
    </x:row>
    <x:row r="2173">
      <x:c r="A2173" s="59" t="str">
        <x:v>Mercenary LP</x:v>
      </x:c>
      <x:c r="B2173" s="59" t="n">
        <x:v>345</x:v>
      </x:c>
      <x:c r="C2173" s="78" t="n">
        <x:f>(('Inputs'!$B$29*(3*345*'Inputs'!$B$12-345^2)/(2*'Inputs'!$B$12^2))-('Inputs'!$B$29*(3*344*'Inputs'!$B$12-344^2)/(2*'Inputs'!$B$12^2)))*'Inputs'!$B$49</x:f>
        <x:v>599986.6297616661</x:v>
      </x:c>
      <x:c r="D2173" s="78" t="n">
        <x:f>IF('Inputs'!$C$49&gt;0,('Inputs'!$B$30*(3*345*'Inputs'!$B$12-345^2)/(2*'Inputs'!$B$12^2))-('Inputs'!$B$30*(3*344*'Inputs'!$B$12-344^2)/(2*'Inputs'!$B$12^2)),0)</x:f>
        <x:v>257137.12704072893</x:v>
      </x:c>
      <x:c r="E2173" s="78" t="n">
        <x:f>C2173+D2173</x:f>
        <x:v>857123.756802395</x:v>
      </x:c>
      <x:c r="F2173" s="78" t="n">
        <x:f>'Inputs'!$B$13*E2173+(1-'Inputs'!$B$13)/'Inputs'!$B$14*SUM(E2118:E2173)</x:f>
        <x:v>867341.4336648512</x:v>
      </x:c>
      <x:c r="G2173" s="78" t="n">
        <x:f>F2173*'Inputs'!$F$49</x:f>
        <x:v>780607.2902983661</x:v>
      </x:c>
      <x:c r="H2173" s="78" t="n">
        <x:f>U2172</x:f>
        <x:v>348565051112.4443</x:v>
      </x:c>
      <x:c r="I2173" s="78" t="n">
        <x:f>V2172</x:f>
        <x:v>0.34833151662821393</x:v>
      </x:c>
      <x:c r="J2173" s="79" t="n">
        <x:f>IF(H2173&gt;0,I2173/H2173,0)</x:f>
        <x:v>9.993300117625533e-13</x:v>
      </x:c>
      <x:c r="K2173" s="80" t="n">
        <x:f>(H2173*J2173+I2173)*'Inputs'!$D$49*(1+'Inputs'!$G$49)^(B2173/30)</x:f>
        <x:v>0.5224972749423209</x:v>
      </x:c>
      <x:c r="L2173" s="80" t="n">
        <x:f>MAX(0,K2173*'Inputs'!$E$49)</x:f>
        <x:v>0</x:v>
      </x:c>
      <x:c r="M2173" s="80" t="n">
        <x:f>MAX(0,-K2173*'Inputs'!$E$49)</x:f>
        <x:v>0.015674918248269627</x:v>
      </x:c>
      <x:c r="N2173" s="78" t="n">
        <x:f>H2173*(L2173*(1-'Inputs'!$B$15))/(I2173+L2173*(1-'Inputs'!$B$15))</x:f>
        <x:v>0</x:v>
      </x:c>
      <x:c r="O2173" s="78" t="n">
        <x:f>H2173-N2173</x:f>
        <x:v>348565051112.4443</x:v>
      </x:c>
      <x:c r="P2173" s="78" t="n">
        <x:f>I2173+L2173*(1-'Inputs'!$B$17)</x:f>
        <x:v>0.34833151662821393</x:v>
      </x:c>
      <x:c r="Q2173" s="78" t="n">
        <x:f>IF(J2173&gt;0,M2173/J2173,0)</x:f>
        <x:v>0</x:v>
      </x:c>
      <x:c r="R2173" s="78" t="n">
        <x:f>IF(B2173='Inputs'!$H$49,'Inputs'!$B$27*'Inputs'!$I$49,0)</x:f>
        <x:v>0</x:v>
      </x:c>
      <x:c r="S2173" s="78" t="n">
        <x:f>Q2173+G2173+R2173</x:f>
        <x:v>780607.2902983661</x:v>
      </x:c>
      <x:c r="T2173" s="78" t="n">
        <x:f>P2173*(S2173*(1-'Inputs'!$B$15))/(O2173+S2173*(1-'Inputs'!$B$15))</x:f>
        <x:v>7.722817374492261e-7</x:v>
      </x:c>
      <x:c r="U2173" s="78" t="n">
        <x:f>O2173+S2173*(1-'Inputs'!$B$17)</x:f>
        <x:v>348565828578.45776</x:v>
      </x:c>
      <x:c r="V2173" s="78" t="n">
        <x:f>P2173-T2173</x:f>
        <x:v>0.3483307443464765</x:v>
      </x:c>
      <x:c r="W2173" s="79" t="n">
        <x:f>IF(U2173&gt;0,V2173/U2173,0)</x:f>
        <x:v>9.99325567187868e-13</x:v>
      </x:c>
      <x:c r="X2173" s="80" t="n">
        <x:f>W2173*('Inputs'!$B$6-AC2173)</x:f>
        <x:v>-0.023142395662725294</x:v>
      </x:c>
      <x:c r="Y2173" s="80" t="n">
        <x:f>2*V2173</x:f>
        <x:v>0.696661488692953</x:v>
      </x:c>
      <x:c r="Z2173" s="80" t="n">
        <x:f>K2173*'Inputs'!$B$16+(G2173+R2173)*J2173*'Inputs'!$B$16</x:f>
        <x:v>0.003134988330159681</x:v>
      </x:c>
      <x:c r="AA2173" s="80" t="n">
        <x:f>K2173*(1+'Inputs'!$E$49)/2*'Inputs'!$B$17</x:f>
        <x:v>0.0010197632931469845</x:v>
      </x:c>
      <x:c r="AB2173" s="78" t="n">
        <x:f>(IF(J2173&gt;0,K2173*(1-'Inputs'!$E$49)/2/J2173,0)+G2173+R2173)*'Inputs'!$B$17</x:f>
        <x:v>3141.276822126222</x:v>
      </x:c>
      <x:c r="AC2173" s="78" t="n">
        <x:f>AC2172+AB2173</x:f>
        <x:v>24158014187.357067</x:v>
      </x:c>
      <x:c r="AD2173" s="80" t="n">
        <x:f>Z2173/(1+'Inputs'!$C$49)</x:f>
        <x:v>0.0007837470825399202</x:v>
      </x:c>
      <x:c r="AE2173" s="80" t="n">
        <x:f>Z2173-AD2173</x:f>
        <x:v>0.0023512412476197606</x:v>
      </x:c>
      <x:c r="AF2173" s="80" t="n">
        <x:f>D2173*W2173</x:f>
        <x:v>2.5696370532503533e-7</x:v>
      </x:c>
      <x:c r="AG2173" s="80" t="n">
        <x:f>C2173*W2173</x:f>
        <x:v>5.995819790917143e-7</x:v>
      </x:c>
      <x:c r="AH2173" s="80" t="n">
        <x:f>2*'Inputs'!$B$8*'Inputs'!$C$49</x:f>
        <x:v>15000</x:v>
      </x:c>
      <x:c r="AI2173" s="81" t="n">
        <x:f>IF(AH2173&gt;0,(AE2173+AF2173)/AH2173*365,0)</x:f>
        <x:v>0.000057219789808910414</x:v>
      </x:c>
      <x:c r="AJ2173" s="81" t="n">
        <x:f>IF('Inputs'!$B$49&gt;0,AG2173/('Inputs'!$B$19*'Inputs'!$B$49)*365,0)</x:f>
        <x:v>2.1884742236847572e-8</x:v>
      </x:c>
      <x:c r="AK2173" s="81" t="n">
        <x:f>W2173/MAX($W$1829:W2173)-1</x:f>
        <x:v>-0.9999999987125738</x:v>
      </x:c>
      <x:c r="AL2173" s="83" t="n">
        <x:f>'Inputs'!$B$49</x:f>
        <x:v>1</x:v>
      </x:c>
      <x:c r="AM2173" s="83" t="n">
        <x:f>'Inputs'!$C$49</x:f>
        <x:v>3</x:v>
      </x:c>
      <x:c r="AN2173" s="83" t="n">
        <x:f>'Inputs'!$D$49</x:f>
        <x:v>0.75</x:v>
      </x:c>
      <x:c r="AO2173" s="81" t="n">
        <x:f>'Inputs'!$E$49</x:f>
        <x:v>-0.03</x:v>
      </x:c>
    </x:row>
    <x:row r="2174">
      <x:c r="A2174" s="59" t="str">
        <x:v>Mercenary LP</x:v>
      </x:c>
      <x:c r="B2174" s="59" t="n">
        <x:v>346</x:v>
      </x:c>
      <x:c r="C2174" s="78" t="n">
        <x:f>(('Inputs'!$B$29*(3*346*'Inputs'!$B$12-346^2)/(2*'Inputs'!$B$12^2))-('Inputs'!$B$29*(3*345*'Inputs'!$B$12-345^2)/(2*'Inputs'!$B$12^2)))*'Inputs'!$B$49</x:f>
        <x:v>599661.5218615234</x:v>
      </x:c>
      <x:c r="D2174" s="78" t="n">
        <x:f>IF('Inputs'!$C$49&gt;0,('Inputs'!$B$30*(3*346*'Inputs'!$B$12-346^2)/(2*'Inputs'!$B$12^2))-('Inputs'!$B$30*(3*345*'Inputs'!$B$12-345^2)/(2*'Inputs'!$B$12^2)),0)</x:f>
        <x:v>256997.795083493</x:v>
      </x:c>
      <x:c r="E2174" s="78" t="n">
        <x:f>C2174+D2174</x:f>
        <x:v>856659.3169450164</x:v>
      </x:c>
      <x:c r="F2174" s="78" t="n">
        <x:f>'Inputs'!$B$13*E2174+(1-'Inputs'!$B$13)/'Inputs'!$B$14*SUM(E2119:E2174)</x:f>
        <x:v>866876.9938074681</x:v>
      </x:c>
      <x:c r="G2174" s="78" t="n">
        <x:f>F2174*'Inputs'!$F$49</x:f>
        <x:v>780189.2944267213</x:v>
      </x:c>
      <x:c r="H2174" s="78" t="n">
        <x:f>U2173</x:f>
        <x:v>348565828578.45776</x:v>
      </x:c>
      <x:c r="I2174" s="78" t="n">
        <x:f>V2173</x:f>
        <x:v>0.3483307443464765</x:v>
      </x:c>
      <x:c r="J2174" s="79" t="n">
        <x:f>IF(H2174&gt;0,I2174/H2174,0)</x:f>
        <x:v>9.99325567187868e-13</x:v>
      </x:c>
      <x:c r="K2174" s="80" t="n">
        <x:f>(H2174*J2174+I2174)*'Inputs'!$D$49*(1+'Inputs'!$G$49)^(B2174/30)</x:f>
        <x:v>0.5224961165197147</x:v>
      </x:c>
      <x:c r="L2174" s="80" t="n">
        <x:f>MAX(0,K2174*'Inputs'!$E$49)</x:f>
        <x:v>0</x:v>
      </x:c>
      <x:c r="M2174" s="80" t="n">
        <x:f>MAX(0,-K2174*'Inputs'!$E$49)</x:f>
        <x:v>0.01567488349559144</x:v>
      </x:c>
      <x:c r="N2174" s="78" t="n">
        <x:f>H2174*(L2174*(1-'Inputs'!$B$15))/(I2174+L2174*(1-'Inputs'!$B$15))</x:f>
        <x:v>0</x:v>
      </x:c>
      <x:c r="O2174" s="78" t="n">
        <x:f>H2174-N2174</x:f>
        <x:v>348565828578.45776</x:v>
      </x:c>
      <x:c r="P2174" s="78" t="n">
        <x:f>I2174+L2174*(1-'Inputs'!$B$17)</x:f>
        <x:v>0.3483307443464765</x:v>
      </x:c>
      <x:c r="Q2174" s="78" t="n">
        <x:f>IF(J2174&gt;0,M2174/J2174,0)</x:f>
        <x:v>0</x:v>
      </x:c>
      <x:c r="R2174" s="78" t="n">
        <x:f>IF(B2174='Inputs'!$H$49,'Inputs'!$B$27*'Inputs'!$I$49,0)</x:f>
        <x:v>0</x:v>
      </x:c>
      <x:c r="S2174" s="78" t="n">
        <x:f>Q2174+G2174+R2174</x:f>
        <x:v>780189.2944267213</x:v>
      </x:c>
      <x:c r="T2174" s="78" t="n">
        <x:f>P2174*(S2174*(1-'Inputs'!$B$15))/(O2174+S2174*(1-'Inputs'!$B$15))</x:f>
        <x:v>7.718647676992323e-7</x:v>
      </x:c>
      <x:c r="U2174" s="78" t="n">
        <x:f>O2174+S2174*(1-'Inputs'!$B$17)</x:f>
        <x:v>348566605628.1575</x:v>
      </x:c>
      <x:c r="V2174" s="78" t="n">
        <x:f>P2174-T2174</x:f>
        <x:v>0.34832997248170877</x:v>
      </x:c>
      <x:c r="W2174" s="79" t="n">
        <x:f>IF(U2174&gt;0,V2174/U2174,0)</x:f>
        <x:v>9.993211250227994e-13</x:v>
      </x:c>
      <x:c r="X2174" s="80" t="n">
        <x:f>W2174*('Inputs'!$B$6-AC2174)</x:f>
        <x:v>-0.023142295928466967</x:v>
      </x:c>
      <x:c r="Y2174" s="80" t="n">
        <x:f>2*V2174</x:f>
        <x:v>0.6966599449634175</x:v>
      </x:c>
      <x:c r="Z2174" s="80" t="n">
        <x:f>K2174*'Inputs'!$B$16+(G2174+R2174)*J2174*'Inputs'!$B$16</x:f>
        <x:v>0.0031349813770969433</x:v>
      </x:c>
      <x:c r="AA2174" s="80" t="n">
        <x:f>K2174*(1+'Inputs'!$E$49)/2*'Inputs'!$B$17</x:f>
        <x:v>0.0010197610322416968</x:v>
      </x:c>
      <x:c r="AB2174" s="78" t="n">
        <x:f>(IF(J2174&gt;0,K2174*(1-'Inputs'!$E$49)/2/J2174,0)+G2174+R2174)*'Inputs'!$B$17</x:f>
        <x:v>3139.594746183989</x:v>
      </x:c>
      <x:c r="AC2174" s="78" t="n">
        <x:f>AC2173+AB2174</x:f>
        <x:v>24158017326.951813</x:v>
      </x:c>
      <x:c r="AD2174" s="80" t="n">
        <x:f>Z2174/(1+'Inputs'!$C$49)</x:f>
        <x:v>0.0007837453442742358</x:v>
      </x:c>
      <x:c r="AE2174" s="80" t="n">
        <x:f>Z2174-AD2174</x:f>
        <x:v>0.0023512360328227077</x:v>
      </x:c>
      <x:c r="AF2174" s="80" t="n">
        <x:f>D2174*W2174</x:f>
        <x:v>2.568233257112151e-7</x:v>
      </x:c>
      <x:c r="AG2174" s="80" t="n">
        <x:f>C2174*W2174</x:f>
        <x:v>5.992544266595416e-7</x:v>
      </x:c>
      <x:c r="AH2174" s="80" t="n">
        <x:f>2*'Inputs'!$B$8*'Inputs'!$C$49</x:f>
        <x:v>15000</x:v>
      </x:c>
      <x:c r="AI2174" s="81" t="n">
        <x:f>IF(AH2174&gt;0,(AE2174+AF2174)/AH2174*365,0)</x:f>
        <x:v>0.000057219659499611527</x:v>
      </x:c>
      <x:c r="AJ2174" s="81" t="n">
        <x:f>IF('Inputs'!$B$49&gt;0,AG2174/('Inputs'!$B$19*'Inputs'!$B$49)*365,0)</x:f>
        <x:v>2.1872786573073267e-8</x:v>
      </x:c>
      <x:c r="AK2174" s="81" t="n">
        <x:f>W2174/MAX($W$1829:W2174)-1</x:f>
        <x:v>-0.9999999987125795</x:v>
      </x:c>
      <x:c r="AL2174" s="83" t="n">
        <x:f>'Inputs'!$B$49</x:f>
        <x:v>1</x:v>
      </x:c>
      <x:c r="AM2174" s="83" t="n">
        <x:f>'Inputs'!$C$49</x:f>
        <x:v>3</x:v>
      </x:c>
      <x:c r="AN2174" s="83" t="n">
        <x:f>'Inputs'!$D$49</x:f>
        <x:v>0.75</x:v>
      </x:c>
      <x:c r="AO2174" s="81" t="n">
        <x:f>'Inputs'!$E$49</x:f>
        <x:v>-0.03</x:v>
      </x:c>
    </x:row>
    <x:row r="2175">
      <x:c r="A2175" s="59" t="str">
        <x:v>Mercenary LP</x:v>
      </x:c>
      <x:c r="B2175" s="59" t="n">
        <x:v>347</x:v>
      </x:c>
      <x:c r="C2175" s="78" t="n">
        <x:f>(('Inputs'!$B$29*(3*347*'Inputs'!$B$12-347^2)/(2*'Inputs'!$B$12^2))-('Inputs'!$B$29*(3*346*'Inputs'!$B$12-346^2)/(2*'Inputs'!$B$12^2)))*'Inputs'!$B$49</x:f>
        <x:v>599336.4139613509</x:v>
      </x:c>
      <x:c r="D2175" s="78" t="n">
        <x:f>IF('Inputs'!$C$49&gt;0,('Inputs'!$B$30*(3*347*'Inputs'!$B$12-347^2)/(2*'Inputs'!$B$12^2))-('Inputs'!$B$30*(3*346*'Inputs'!$B$12-346^2)/(2*'Inputs'!$B$12^2)),0)</x:f>
        <x:v>256858.46312630177</x:v>
      </x:c>
      <x:c r="E2175" s="78" t="n">
        <x:f>C2175+D2175</x:f>
        <x:v>856194.8770876527</x:v>
      </x:c>
      <x:c r="F2175" s="78" t="n">
        <x:f>'Inputs'!$B$13*E2175+(1-'Inputs'!$B$13)/'Inputs'!$B$14*SUM(E2120:E2175)</x:f>
        <x:v>866412.5539500884</x:v>
      </x:c>
      <x:c r="G2175" s="78" t="n">
        <x:f>F2175*'Inputs'!$F$49</x:f>
        <x:v>779771.2985550796</x:v>
      </x:c>
      <x:c r="H2175" s="78" t="n">
        <x:f>U2174</x:f>
        <x:v>348566605628.1575</x:v>
      </x:c>
      <x:c r="I2175" s="78" t="n">
        <x:f>V2174</x:f>
        <x:v>0.34832997248170877</x:v>
      </x:c>
      <x:c r="J2175" s="79" t="n">
        <x:f>IF(H2175&gt;0,I2175/H2175,0)</x:f>
        <x:v>9.993211250227994e-13</x:v>
      </x:c>
      <x:c r="K2175" s="80" t="n">
        <x:f>(H2175*J2175+I2175)*'Inputs'!$D$49*(1+'Inputs'!$G$49)^(B2175/30)</x:f>
        <x:v>0.5224949587225631</x:v>
      </x:c>
      <x:c r="L2175" s="80" t="n">
        <x:f>MAX(0,K2175*'Inputs'!$E$49)</x:f>
        <x:v>0</x:v>
      </x:c>
      <x:c r="M2175" s="80" t="n">
        <x:f>MAX(0,-K2175*'Inputs'!$E$49)</x:f>
        <x:v>0.015674848761676893</x:v>
      </x:c>
      <x:c r="N2175" s="78" t="n">
        <x:f>H2175*(L2175*(1-'Inputs'!$B$15))/(I2175+L2175*(1-'Inputs'!$B$15))</x:f>
        <x:v>0</x:v>
      </x:c>
      <x:c r="O2175" s="78" t="n">
        <x:f>H2175-N2175</x:f>
        <x:v>348566605628.1575</x:v>
      </x:c>
      <x:c r="P2175" s="78" t="n">
        <x:f>I2175+L2175*(1-'Inputs'!$B$17)</x:f>
        <x:v>0.34832997248170877</x:v>
      </x:c>
      <x:c r="Q2175" s="78" t="n">
        <x:f>IF(J2175&gt;0,M2175/J2175,0)</x:f>
        <x:v>0</x:v>
      </x:c>
      <x:c r="R2175" s="78" t="n">
        <x:f>IF(B2175='Inputs'!$H$49,'Inputs'!$B$27*'Inputs'!$I$49,0)</x:f>
        <x:v>0</x:v>
      </x:c>
      <x:c r="S2175" s="78" t="n">
        <x:f>Q2175+G2175+R2175</x:f>
        <x:v>779771.2985550796</x:v>
      </x:c>
      <x:c r="T2175" s="78" t="n">
        <x:f>P2175*(S2175*(1-'Inputs'!$B$15))/(O2175+S2175*(1-'Inputs'!$B$15))</x:f>
        <x:v>7.714478034868613e-7</x:v>
      </x:c>
      <x:c r="U2175" s="78" t="n">
        <x:f>O2175+S2175*(1-'Inputs'!$B$17)</x:f>
        <x:v>348567382261.54333</x:v>
      </x:c>
      <x:c r="V2175" s="78" t="n">
        <x:f>P2175-T2175</x:f>
        <x:v>0.3483292010339053</x:v>
      </x:c>
      <x:c r="W2175" s="79" t="n">
        <x:f>IF(U2175&gt;0,V2175/U2175,0)</x:f>
        <x:v>9.993166852673e-13</x:v>
      </x:c>
      <x:c r="X2175" s="80" t="n">
        <x:f>W2175*('Inputs'!$B$6-AC2175)</x:f>
        <x:v>-0.023142196248300672</x:v>
      </x:c>
      <x:c r="Y2175" s="80" t="n">
        <x:f>2*V2175</x:f>
        <x:v>0.6966584020678106</x:v>
      </x:c>
      <x:c r="Z2175" s="80" t="n">
        <x:f>K2175*'Inputs'!$B$16+(G2175+R2175)*J2175*'Inputs'!$B$16</x:f>
        <x:v>0.003134974427786967</x:v>
      </x:c>
      <x:c r="AA2175" s="80" t="n">
        <x:f>K2175*(1+'Inputs'!$E$49)/2*'Inputs'!$B$17</x:f>
        <x:v>0.0010197587725571152</x:v>
      </x:c>
      <x:c r="AB2175" s="78" t="n">
        <x:f>(IF(J2175&gt;0,K2175*(1-'Inputs'!$E$49)/2/J2175,0)+G2175+R2175)*'Inputs'!$B$17</x:f>
        <x:v>3137.9126702417693</x:v>
      </x:c>
      <x:c r="AC2175" s="78" t="n">
        <x:f>AC2174+AB2175</x:f>
        <x:v>24158020464.864483</x:v>
      </x:c>
      <x:c r="AD2175" s="80" t="n">
        <x:f>Z2175/(1+'Inputs'!$C$49)</x:f>
        <x:v>0.0007837436069467417</x:v>
      </x:c>
      <x:c r="AE2175" s="80" t="n">
        <x:f>Z2175-AD2175</x:f>
        <x:v>0.002351230820840225</x:v>
      </x:c>
      <x:c r="AF2175" s="80" t="n">
        <x:f>D2175*W2175</x:f>
        <x:v>2.566829479542289e-7</x:v>
      </x:c>
      <x:c r="AG2175" s="80" t="n">
        <x:f>C2175*W2175</x:f>
        <x:v>5.989268785598475e-7</x:v>
      </x:c>
      <x:c r="AH2175" s="80" t="n">
        <x:f>2*'Inputs'!$B$8*'Inputs'!$C$49</x:f>
        <x:v>15000</x:v>
      </x:c>
      <x:c r="AI2175" s="81" t="n">
        <x:f>IF(AH2175&gt;0,(AE2175+AF2175)/AH2175*365,0)</x:f>
        <x:v>0.000057219529258845695</x:v>
      </x:c>
      <x:c r="AJ2175" s="81" t="n">
        <x:f>IF('Inputs'!$B$49&gt;0,AG2175/('Inputs'!$B$19*'Inputs'!$B$49)*365,0)</x:f>
        <x:v>2.186083106743443e-8</x:v>
      </x:c>
      <x:c r="AK2175" s="81" t="n">
        <x:f>W2175/MAX($W$1829:W2175)-1</x:f>
        <x:v>-0.9999999987125853</x:v>
      </x:c>
      <x:c r="AL2175" s="83" t="n">
        <x:f>'Inputs'!$B$49</x:f>
        <x:v>1</x:v>
      </x:c>
      <x:c r="AM2175" s="83" t="n">
        <x:f>'Inputs'!$C$49</x:f>
        <x:v>3</x:v>
      </x:c>
      <x:c r="AN2175" s="83" t="n">
        <x:f>'Inputs'!$D$49</x:f>
        <x:v>0.75</x:v>
      </x:c>
      <x:c r="AO2175" s="81" t="n">
        <x:f>'Inputs'!$E$49</x:f>
        <x:v>-0.03</x:v>
      </x:c>
    </x:row>
    <x:row r="2176">
      <x:c r="A2176" s="59" t="str">
        <x:v>Mercenary LP</x:v>
      </x:c>
      <x:c r="B2176" s="59" t="n">
        <x:v>348</x:v>
      </x:c>
      <x:c r="C2176" s="78" t="n">
        <x:f>(('Inputs'!$B$29*(3*348*'Inputs'!$B$12-348^2)/(2*'Inputs'!$B$12^2))-('Inputs'!$B$29*(3*347*'Inputs'!$B$12-347^2)/(2*'Inputs'!$B$12^2)))*'Inputs'!$B$49</x:f>
        <x:v>599011.3060611784</x:v>
      </x:c>
      <x:c r="D2176" s="78" t="n">
        <x:f>IF('Inputs'!$C$49&gt;0,('Inputs'!$B$30*(3*348*'Inputs'!$B$12-348^2)/(2*'Inputs'!$B$12^2))-('Inputs'!$B$30*(3*347*'Inputs'!$B$12-347^2)/(2*'Inputs'!$B$12^2)),0)</x:f>
        <x:v>256719.13116906583</x:v>
      </x:c>
      <x:c r="E2176" s="78" t="n">
        <x:f>C2176+D2176</x:f>
        <x:v>855730.4372302443</x:v>
      </x:c>
      <x:c r="F2176" s="78" t="n">
        <x:f>'Inputs'!$B$13*E2176+(1-'Inputs'!$B$13)/'Inputs'!$B$14*SUM(E2121:E2176)</x:f>
        <x:v>865948.1140926994</x:v>
      </x:c>
      <x:c r="G2176" s="78" t="n">
        <x:f>F2176*'Inputs'!$F$49</x:f>
        <x:v>779353.3026834294</x:v>
      </x:c>
      <x:c r="H2176" s="78" t="n">
        <x:f>U2175</x:f>
        <x:v>348567382261.54333</x:v>
      </x:c>
      <x:c r="I2176" s="78" t="n">
        <x:f>V2175</x:f>
        <x:v>0.3483292010339053</x:v>
      </x:c>
      <x:c r="J2176" s="79" t="n">
        <x:f>IF(H2176&gt;0,I2176/H2176,0)</x:f>
        <x:v>9.993166852673e-13</x:v>
      </x:c>
      <x:c r="K2176" s="80" t="n">
        <x:f>(H2176*J2176+I2176)*'Inputs'!$D$49*(1+'Inputs'!$G$49)^(B2176/30)</x:f>
        <x:v>0.522493801550858</x:v>
      </x:c>
      <x:c r="L2176" s="80" t="n">
        <x:f>MAX(0,K2176*'Inputs'!$E$49)</x:f>
        <x:v>0</x:v>
      </x:c>
      <x:c r="M2176" s="80" t="n">
        <x:f>MAX(0,-K2176*'Inputs'!$E$49)</x:f>
        <x:v>0.01567481404652574</x:v>
      </x:c>
      <x:c r="N2176" s="78" t="n">
        <x:f>H2176*(L2176*(1-'Inputs'!$B$15))/(I2176+L2176*(1-'Inputs'!$B$15))</x:f>
        <x:v>0</x:v>
      </x:c>
      <x:c r="O2176" s="78" t="n">
        <x:f>H2176-N2176</x:f>
        <x:v>348567382261.54333</x:v>
      </x:c>
      <x:c r="P2176" s="78" t="n">
        <x:f>I2176+L2176*(1-'Inputs'!$B$17)</x:f>
        <x:v>0.3483292010339053</x:v>
      </x:c>
      <x:c r="Q2176" s="78" t="n">
        <x:f>IF(J2176&gt;0,M2176/J2176,0)</x:f>
        <x:v>0</x:v>
      </x:c>
      <x:c r="R2176" s="78" t="n">
        <x:f>IF(B2176='Inputs'!$H$49,'Inputs'!$B$27*'Inputs'!$I$49,0)</x:f>
        <x:v>0</x:v>
      </x:c>
      <x:c r="S2176" s="78" t="n">
        <x:f>Q2176+G2176+R2176</x:f>
        <x:v>779353.3026834294</x:v>
      </x:c>
      <x:c r="T2176" s="78" t="n">
        <x:f>P2176*(S2176*(1-'Inputs'!$B$15))/(O2176+S2176*(1-'Inputs'!$B$15))</x:f>
        <x:v>7.710308448090728e-7</x:v>
      </x:c>
      <x:c r="U2176" s="78" t="n">
        <x:f>O2176+S2176*(1-'Inputs'!$B$17)</x:f>
        <x:v>348568158478.6154</x:v>
      </x:c>
      <x:c r="V2176" s="78" t="n">
        <x:f>P2176-T2176</x:f>
        <x:v>0.3483284300030605</x:v>
      </x:c>
      <x:c r="W2176" s="79" t="n">
        <x:f>IF(U2176&gt;0,V2176/U2176,0)</x:f>
        <x:v>9.993122479213212e-13</x:v>
      </x:c>
      <x:c r="X2176" s="80" t="n">
        <x:f>W2176*('Inputs'!$B$6-AC2176)</x:f>
        <x:v>-0.02314209662222533</x:v>
      </x:c>
      <x:c r="Y2176" s="80" t="n">
        <x:f>2*V2176</x:f>
        <x:v>0.696656860006121</x:v>
      </x:c>
      <x:c r="Z2176" s="80" t="n">
        <x:f>K2176*'Inputs'!$B$16+(G2176+R2176)*J2176*'Inputs'!$B$16</x:f>
        <x:v>0.0031349674822297026</x:v>
      </x:c>
      <x:c r="AA2176" s="80" t="n">
        <x:f>K2176*(1+'Inputs'!$E$49)/2*'Inputs'!$B$17</x:f>
        <x:v>0.001019756514093224</x:v>
      </x:c>
      <x:c r="AB2176" s="78" t="n">
        <x:f>(IF(J2176&gt;0,K2176*(1-'Inputs'!$E$49)/2/J2176,0)+G2176+R2176)*'Inputs'!$B$17</x:f>
        <x:v>3136.230594299515</x:v>
      </x:c>
      <x:c r="AC2176" s="78" t="n">
        <x:f>AC2175+AB2176</x:f>
        <x:v>24158023601.095078</x:v>
      </x:c>
      <x:c r="AD2176" s="80" t="n">
        <x:f>Z2176/(1+'Inputs'!$C$49)</x:f>
        <x:v>0.0007837418705574256</x:v>
      </x:c>
      <x:c r="AE2176" s="80" t="n">
        <x:f>Z2176-AD2176</x:f>
        <x:v>0.002351225611672277</x:v>
      </x:c>
      <x:c r="AF2176" s="80" t="n">
        <x:f>D2176*W2176</x:f>
        <x:v>2.565425720529677e-7</x:v>
      </x:c>
      <x:c r="AG2176" s="80" t="n">
        <x:f>C2176*W2176</x:f>
        <x:v>5.985993347902828e-7</x:v>
      </x:c>
      <x:c r="AH2176" s="80" t="n">
        <x:f>2*'Inputs'!$B$8*'Inputs'!$C$49</x:f>
        <x:v>15000</x:v>
      </x:c>
      <x:c r="AI2176" s="81" t="n">
        <x:f>IF(AH2176&gt;0,(AE2176+AF2176)/AH2176*365,0)</x:f>
        <x:v>0.00005721939908661202</x:v>
      </x:c>
      <x:c r="AJ2176" s="81" t="n">
        <x:f>IF('Inputs'!$B$49&gt;0,AG2176/('Inputs'!$B$19*'Inputs'!$B$49)*365,0)</x:f>
        <x:v>2.184887571984532e-8</x:v>
      </x:c>
      <x:c r="AK2176" s="81" t="n">
        <x:f>W2176/MAX($W$1829:W2176)-1</x:f>
        <x:v>-0.9999999987125909</x:v>
      </x:c>
      <x:c r="AL2176" s="83" t="n">
        <x:f>'Inputs'!$B$49</x:f>
        <x:v>1</x:v>
      </x:c>
      <x:c r="AM2176" s="83" t="n">
        <x:f>'Inputs'!$C$49</x:f>
        <x:v>3</x:v>
      </x:c>
      <x:c r="AN2176" s="83" t="n">
        <x:f>'Inputs'!$D$49</x:f>
        <x:v>0.75</x:v>
      </x:c>
      <x:c r="AO2176" s="81" t="n">
        <x:f>'Inputs'!$E$49</x:f>
        <x:v>-0.03</x:v>
      </x:c>
    </x:row>
    <x:row r="2177">
      <x:c r="A2177" s="59" t="str">
        <x:v>Mercenary LP</x:v>
      </x:c>
      <x:c r="B2177" s="59" t="n">
        <x:v>349</x:v>
      </x:c>
      <x:c r="C2177" s="78" t="n">
        <x:f>(('Inputs'!$B$29*(3*349*'Inputs'!$B$12-349^2)/(2*'Inputs'!$B$12^2))-('Inputs'!$B$29*(3*348*'Inputs'!$B$12-348^2)/(2*'Inputs'!$B$12^2)))*'Inputs'!$B$49</x:f>
        <x:v>598686.198161006</x:v>
      </x:c>
      <x:c r="D2177" s="78" t="n">
        <x:f>IF('Inputs'!$C$49&gt;0,('Inputs'!$B$30*(3*349*'Inputs'!$B$12-349^2)/(2*'Inputs'!$B$12^2))-('Inputs'!$B$30*(3*348*'Inputs'!$B$12-348^2)/(2*'Inputs'!$B$12^2)),0)</x:f>
        <x:v>256579.7992118597</x:v>
      </x:c>
      <x:c r="E2177" s="78" t="n">
        <x:f>C2177+D2177</x:f>
        <x:v>855265.9973728657</x:v>
      </x:c>
      <x:c r="F2177" s="78" t="n">
        <x:f>'Inputs'!$B$13*E2177+(1-'Inputs'!$B$13)/'Inputs'!$B$14*SUM(E2122:E2177)</x:f>
        <x:v>865483.6742353166</x:v>
      </x:c>
      <x:c r="G2177" s="78" t="n">
        <x:f>F2177*'Inputs'!$F$49</x:f>
        <x:v>778935.306811785</x:v>
      </x:c>
      <x:c r="H2177" s="78" t="n">
        <x:f>U2176</x:f>
        <x:v>348568158478.6154</x:v>
      </x:c>
      <x:c r="I2177" s="78" t="n">
        <x:f>V2176</x:f>
        <x:v>0.3483284300030605</x:v>
      </x:c>
      <x:c r="J2177" s="79" t="n">
        <x:f>IF(H2177&gt;0,I2177/H2177,0)</x:f>
        <x:v>9.993122479213212e-13</x:v>
      </x:c>
      <x:c r="K2177" s="80" t="n">
        <x:f>(H2177*J2177+I2177)*'Inputs'!$D$49*(1+'Inputs'!$G$49)^(B2177/30)</x:f>
        <x:v>0.5224926450045908</x:v>
      </x:c>
      <x:c r="L2177" s="80" t="n">
        <x:f>MAX(0,K2177*'Inputs'!$E$49)</x:f>
        <x:v>0</x:v>
      </x:c>
      <x:c r="M2177" s="80" t="n">
        <x:f>MAX(0,-K2177*'Inputs'!$E$49)</x:f>
        <x:v>0.015674779350137724</x:v>
      </x:c>
      <x:c r="N2177" s="78" t="n">
        <x:f>H2177*(L2177*(1-'Inputs'!$B$15))/(I2177+L2177*(1-'Inputs'!$B$15))</x:f>
        <x:v>0</x:v>
      </x:c>
      <x:c r="O2177" s="78" t="n">
        <x:f>H2177-N2177</x:f>
        <x:v>348568158478.6154</x:v>
      </x:c>
      <x:c r="P2177" s="78" t="n">
        <x:f>I2177+L2177*(1-'Inputs'!$B$17)</x:f>
        <x:v>0.3483284300030605</x:v>
      </x:c>
      <x:c r="Q2177" s="78" t="n">
        <x:f>IF(J2177&gt;0,M2177/J2177,0)</x:f>
        <x:v>0</x:v>
      </x:c>
      <x:c r="R2177" s="78" t="n">
        <x:f>IF(B2177='Inputs'!$H$49,'Inputs'!$B$27*'Inputs'!$I$49,0)</x:f>
        <x:v>0</x:v>
      </x:c>
      <x:c r="S2177" s="78" t="n">
        <x:f>Q2177+G2177+R2177</x:f>
        <x:v>778935.306811785</x:v>
      </x:c>
      <x:c r="T2177" s="78" t="n">
        <x:f>P2177*(S2177*(1-'Inputs'!$B$15))/(O2177+S2177*(1-'Inputs'!$B$15))</x:f>
        <x:v>7.706138916628527e-7</x:v>
      </x:c>
      <x:c r="U2177" s="78" t="n">
        <x:f>O2177+S2177*(1-'Inputs'!$B$17)</x:f>
        <x:v>348568934279.3737</x:v>
      </x:c>
      <x:c r="V2177" s="78" t="n">
        <x:f>P2177-T2177</x:f>
        <x:v>0.3483276593891689</x:v>
      </x:c>
      <x:c r="W2177" s="79" t="n">
        <x:f>IF(U2177&gt;0,V2177/U2177,0)</x:f>
        <x:v>9.993078129848155e-13</x:v>
      </x:c>
      <x:c r="X2177" s="80" t="n">
        <x:f>W2177*('Inputs'!$B$6-AC2177)</x:f>
        <x:v>-0.02314199705023989</x:v>
      </x:c>
      <x:c r="Y2177" s="80" t="n">
        <x:f>2*V2177</x:f>
        <x:v>0.6966553187783378</x:v>
      </x:c>
      <x:c r="Z2177" s="80" t="n">
        <x:f>K2177*'Inputs'!$B$16+(G2177+R2177)*J2177*'Inputs'!$B$16</x:f>
        <x:v>0.0031349605404250996</x:v>
      </x:c>
      <x:c r="AA2177" s="80" t="n">
        <x:f>K2177*(1+'Inputs'!$E$49)/2*'Inputs'!$B$17</x:f>
        <x:v>0.0010197542568500062</x:v>
      </x:c>
      <x:c r="AB2177" s="78" t="n">
        <x:f>(IF(J2177&gt;0,K2177*(1-'Inputs'!$E$49)/2/J2177,0)+G2177+R2177)*'Inputs'!$B$17</x:f>
        <x:v>3134.5485183572837</x:v>
      </x:c>
      <x:c r="AC2177" s="78" t="n">
        <x:f>AC2176+AB2177</x:f>
        <x:v>24158026735.643597</x:v>
      </x:c>
      <x:c r="AD2177" s="80" t="n">
        <x:f>Z2177/(1+'Inputs'!$C$49)</x:f>
        <x:v>0.0007837401351062749</x:v>
      </x:c>
      <x:c r="AE2177" s="80" t="n">
        <x:f>Z2177-AD2177</x:f>
        <x:v>0.0023512204053188247</x:v>
      </x:c>
      <x:c r="AF2177" s="80" t="n">
        <x:f>D2177*W2177</x:f>
        <x:v>2.564021980064866e-7</x:v>
      </x:c>
      <x:c r="AG2177" s="80" t="n">
        <x:f>C2177*W2177</x:f>
        <x:v>5.982717953484687e-7</x:v>
      </x:c>
      <x:c r="AH2177" s="80" t="n">
        <x:f>2*'Inputs'!$B$8*'Inputs'!$C$49</x:f>
        <x:v>15000</x:v>
      </x:c>
      <x:c r="AI2177" s="81" t="n">
        <x:f>IF(AH2177&gt;0,(AE2177+AF2177)/AH2177*365,0)</x:f>
        <x:v>0.00005721926898290956</x:v>
      </x:c>
      <x:c r="AJ2177" s="81" t="n">
        <x:f>IF('Inputs'!$B$49&gt;0,AG2177/('Inputs'!$B$19*'Inputs'!$B$49)*365,0)</x:f>
        <x:v>2.183692053021911e-8</x:v>
      </x:c>
      <x:c r="AK2177" s="81" t="n">
        <x:f>W2177/MAX($W$1829:W2177)-1</x:f>
        <x:v>-0.9999999987125967</x:v>
      </x:c>
      <x:c r="AL2177" s="83" t="n">
        <x:f>'Inputs'!$B$49</x:f>
        <x:v>1</x:v>
      </x:c>
      <x:c r="AM2177" s="83" t="n">
        <x:f>'Inputs'!$C$49</x:f>
        <x:v>3</x:v>
      </x:c>
      <x:c r="AN2177" s="83" t="n">
        <x:f>'Inputs'!$D$49</x:f>
        <x:v>0.75</x:v>
      </x:c>
      <x:c r="AO2177" s="81" t="n">
        <x:f>'Inputs'!$E$49</x:f>
        <x:v>-0.03</x:v>
      </x:c>
    </x:row>
    <x:row r="2178">
      <x:c r="A2178" s="59" t="str">
        <x:v>Mercenary LP</x:v>
      </x:c>
      <x:c r="B2178" s="59" t="n">
        <x:v>350</x:v>
      </x:c>
      <x:c r="C2178" s="78" t="n">
        <x:f>(('Inputs'!$B$29*(3*350*'Inputs'!$B$12-350^2)/(2*'Inputs'!$B$12^2))-('Inputs'!$B$29*(3*349*'Inputs'!$B$12-349^2)/(2*'Inputs'!$B$12^2)))*'Inputs'!$B$49</x:f>
        <x:v>598361.0902608335</x:v>
      </x:c>
      <x:c r="D2178" s="78" t="n">
        <x:f>IF('Inputs'!$C$49&gt;0,('Inputs'!$B$30*(3*350*'Inputs'!$B$12-350^2)/(2*'Inputs'!$B$12^2))-('Inputs'!$B$30*(3*349*'Inputs'!$B$12-349^2)/(2*'Inputs'!$B$12^2)),0)</x:f>
        <x:v>256440.46725465357</x:v>
      </x:c>
      <x:c r="E2178" s="78" t="n">
        <x:f>C2178+D2178</x:f>
        <x:v>854801.5575154871</x:v>
      </x:c>
      <x:c r="F2178" s="78" t="n">
        <x:f>'Inputs'!$B$13*E2178+(1-'Inputs'!$B$13)/'Inputs'!$B$14*SUM(E2123:E2178)</x:f>
        <x:v>865019.2343779332</x:v>
      </x:c>
      <x:c r="G2178" s="78" t="n">
        <x:f>F2178*'Inputs'!$F$49</x:f>
        <x:v>778517.3109401399</x:v>
      </x:c>
      <x:c r="H2178" s="78" t="n">
        <x:f>U2177</x:f>
        <x:v>348568934279.3737</x:v>
      </x:c>
      <x:c r="I2178" s="78" t="n">
        <x:f>V2177</x:f>
        <x:v>0.3483276593891689</x:v>
      </x:c>
      <x:c r="J2178" s="79" t="n">
        <x:f>IF(H2178&gt;0,I2178/H2178,0)</x:f>
        <x:v>9.993078129848155e-13</x:v>
      </x:c>
      <x:c r="K2178" s="80" t="n">
        <x:f>(H2178*J2178+I2178)*'Inputs'!$D$49*(1+'Inputs'!$G$49)^(B2178/30)</x:f>
        <x:v>0.5224914890837533</x:v>
      </x:c>
      <x:c r="L2178" s="80" t="n">
        <x:f>MAX(0,K2178*'Inputs'!$E$49)</x:f>
        <x:v>0</x:v>
      </x:c>
      <x:c r="M2178" s="80" t="n">
        <x:f>MAX(0,-K2178*'Inputs'!$E$49)</x:f>
        <x:v>0.0156747446725126</x:v>
      </x:c>
      <x:c r="N2178" s="78" t="n">
        <x:f>H2178*(L2178*(1-'Inputs'!$B$15))/(I2178+L2178*(1-'Inputs'!$B$15))</x:f>
        <x:v>0</x:v>
      </x:c>
      <x:c r="O2178" s="78" t="n">
        <x:f>H2178-N2178</x:f>
        <x:v>348568934279.3737</x:v>
      </x:c>
      <x:c r="P2178" s="78" t="n">
        <x:f>I2178+L2178*(1-'Inputs'!$B$17)</x:f>
        <x:v>0.3483276593891689</x:v>
      </x:c>
      <x:c r="Q2178" s="78" t="n">
        <x:f>IF(J2178&gt;0,M2178/J2178,0)</x:f>
        <x:v>0</x:v>
      </x:c>
      <x:c r="R2178" s="78" t="n">
        <x:f>IF(B2178='Inputs'!$H$49,'Inputs'!$B$27*'Inputs'!$I$49,0)</x:f>
        <x:v>0</x:v>
      </x:c>
      <x:c r="S2178" s="78" t="n">
        <x:f>Q2178+G2178+R2178</x:f>
        <x:v>778517.3109401399</x:v>
      </x:c>
      <x:c r="T2178" s="78" t="n">
        <x:f>P2178*(S2178*(1-'Inputs'!$B$15))/(O2178+S2178*(1-'Inputs'!$B$15))</x:f>
        <x:v>7.701969440451668e-7</x:v>
      </x:c>
      <x:c r="U2178" s="78" t="n">
        <x:f>O2178+S2178*(1-'Inputs'!$B$17)</x:f>
        <x:v>348569709663.81824</x:v>
      </x:c>
      <x:c r="V2178" s="78" t="n">
        <x:f>P2178-T2178</x:f>
        <x:v>0.3483268891922248</x:v>
      </x:c>
      <x:c r="W2178" s="79" t="n">
        <x:f>IF(U2178&gt;0,V2178/U2178,0)</x:f>
        <x:v>9.993033804577352e-13</x:v>
      </x:c>
      <x:c r="X2178" s="80" t="n">
        <x:f>W2178*('Inputs'!$B$6-AC2178)</x:f>
        <x:v>-0.023141897532343282</x:v>
      </x:c>
      <x:c r="Y2178" s="80" t="n">
        <x:f>2*V2178</x:f>
        <x:v>0.6966537783844496</x:v>
      </x:c>
      <x:c r="Z2178" s="80" t="n">
        <x:f>K2178*'Inputs'!$B$16+(G2178+R2178)*J2178*'Inputs'!$B$16</x:f>
        <x:v>0.003134953602373108</x:v>
      </x:c>
      <x:c r="AA2178" s="80" t="n">
        <x:f>K2178*(1+'Inputs'!$E$49)/2*'Inputs'!$B$17</x:f>
        <x:v>0.0010197520008274463</x:v>
      </x:c>
      <x:c r="AB2178" s="78" t="n">
        <x:f>(IF(J2178&gt;0,K2178*(1-'Inputs'!$E$49)/2/J2178,0)+G2178+R2178)*'Inputs'!$B$17</x:f>
        <x:v>3132.86644241505</x:v>
      </x:c>
      <x:c r="AC2178" s="78" t="n">
        <x:f>AC2177+AB2178</x:f>
        <x:v>24158029868.51004</x:v>
      </x:c>
      <x:c r="AD2178" s="80" t="n">
        <x:f>Z2178/(1+'Inputs'!$C$49)</x:f>
        <x:v>0.000783738400593277</x:v>
      </x:c>
      <x:c r="AE2178" s="80" t="n">
        <x:f>Z2178-AD2178</x:f>
        <x:v>0.002351215201779831</x:v>
      </x:c>
      <x:c r="AF2178" s="80" t="n">
        <x:f>D2178*W2178</x:f>
        <x:v>2.5626182581373645e-7</x:v>
      </x:c>
      <x:c r="AG2178" s="80" t="n">
        <x:f>C2178*W2178</x:f>
        <x:v>5.97944260232027e-7</x:v>
      </x:c>
      <x:c r="AH2178" s="80" t="n">
        <x:f>2*'Inputs'!$B$8*'Inputs'!$C$49</x:f>
        <x:v>15000</x:v>
      </x:c>
      <x:c r="AI2178" s="81" t="n">
        <x:f>IF(AH2178&gt;0,(AE2178+AF2178)/AH2178*365,0)</x:f>
        <x:v>0.00005721913894773735</x:v>
      </x:c>
      <x:c r="AJ2178" s="81" t="n">
        <x:f>IF('Inputs'!$B$49&gt;0,AG2178/('Inputs'!$B$19*'Inputs'!$B$49)*365,0)</x:f>
        <x:v>2.1824965498468984e-8</x:v>
      </x:c>
      <x:c r="AK2178" s="81" t="n">
        <x:f>W2178/MAX($W$1829:W2178)-1</x:f>
        <x:v>-0.9999999987126024</x:v>
      </x:c>
      <x:c r="AL2178" s="83" t="n">
        <x:f>'Inputs'!$B$49</x:f>
        <x:v>1</x:v>
      </x:c>
      <x:c r="AM2178" s="83" t="n">
        <x:f>'Inputs'!$C$49</x:f>
        <x:v>3</x:v>
      </x:c>
      <x:c r="AN2178" s="83" t="n">
        <x:f>'Inputs'!$D$49</x:f>
        <x:v>0.75</x:v>
      </x:c>
      <x:c r="AO2178" s="81" t="n">
        <x:f>'Inputs'!$E$49</x:f>
        <x:v>-0.03</x:v>
      </x:c>
    </x:row>
    <x:row r="2179">
      <x:c r="A2179" s="59" t="str">
        <x:v>Mercenary LP</x:v>
      </x:c>
      <x:c r="B2179" s="59" t="n">
        <x:v>351</x:v>
      </x:c>
      <x:c r="C2179" s="78" t="n">
        <x:f>(('Inputs'!$B$29*(3*351*'Inputs'!$B$12-351^2)/(2*'Inputs'!$B$12^2))-('Inputs'!$B$29*(3*350*'Inputs'!$B$12-350^2)/(2*'Inputs'!$B$12^2)))*'Inputs'!$B$49</x:f>
        <x:v>598035.982360661</x:v>
      </x:c>
      <x:c r="D2179" s="78" t="n">
        <x:f>IF('Inputs'!$C$49&gt;0,('Inputs'!$B$30*(3*351*'Inputs'!$B$12-351^2)/(2*'Inputs'!$B$12^2))-('Inputs'!$B$30*(3*350*'Inputs'!$B$12-350^2)/(2*'Inputs'!$B$12^2)),0)</x:f>
        <x:v>256301.13529741764</x:v>
      </x:c>
      <x:c r="E2179" s="78" t="n">
        <x:f>C2179+D2179</x:f>
        <x:v>854337.1176580787</x:v>
      </x:c>
      <x:c r="F2179" s="78" t="n">
        <x:f>'Inputs'!$B$13*E2179+(1-'Inputs'!$B$13)/'Inputs'!$B$14*SUM(E2124:E2179)</x:f>
        <x:v>864554.7945205442</x:v>
      </x:c>
      <x:c r="G2179" s="78" t="n">
        <x:f>F2179*'Inputs'!$F$49</x:f>
        <x:v>778099.3150684899</x:v>
      </x:c>
      <x:c r="H2179" s="78" t="n">
        <x:f>U2178</x:f>
        <x:v>348569709663.81824</x:v>
      </x:c>
      <x:c r="I2179" s="78" t="n">
        <x:f>V2178</x:f>
        <x:v>0.3483268891922248</x:v>
      </x:c>
      <x:c r="J2179" s="79" t="n">
        <x:f>IF(H2179&gt;0,I2179/H2179,0)</x:f>
        <x:v>9.993033804577352e-13</x:v>
      </x:c>
      <x:c r="K2179" s="80" t="n">
        <x:f>(H2179*J2179+I2179)*'Inputs'!$D$49*(1+'Inputs'!$G$49)^(B2179/30)</x:f>
        <x:v>0.5224903337883372</x:v>
      </x:c>
      <x:c r="L2179" s="80" t="n">
        <x:f>MAX(0,K2179*'Inputs'!$E$49)</x:f>
        <x:v>0</x:v>
      </x:c>
      <x:c r="M2179" s="80" t="n">
        <x:f>MAX(0,-K2179*'Inputs'!$E$49)</x:f>
        <x:v>0.015674710013650117</x:v>
      </x:c>
      <x:c r="N2179" s="78" t="n">
        <x:f>H2179*(L2179*(1-'Inputs'!$B$15))/(I2179+L2179*(1-'Inputs'!$B$15))</x:f>
        <x:v>0</x:v>
      </x:c>
      <x:c r="O2179" s="78" t="n">
        <x:f>H2179-N2179</x:f>
        <x:v>348569709663.81824</x:v>
      </x:c>
      <x:c r="P2179" s="78" t="n">
        <x:f>I2179+L2179*(1-'Inputs'!$B$17)</x:f>
        <x:v>0.3483268891922248</x:v>
      </x:c>
      <x:c r="Q2179" s="78" t="n">
        <x:f>IF(J2179&gt;0,M2179/J2179,0)</x:f>
        <x:v>0</x:v>
      </x:c>
      <x:c r="R2179" s="78" t="n">
        <x:f>IF(B2179='Inputs'!$H$49,'Inputs'!$B$27*'Inputs'!$I$49,0)</x:f>
        <x:v>0</x:v>
      </x:c>
      <x:c r="S2179" s="78" t="n">
        <x:f>Q2179+G2179+R2179</x:f>
        <x:v>778099.3150684899</x:v>
      </x:c>
      <x:c r="T2179" s="78" t="n">
        <x:f>P2179*(S2179*(1-'Inputs'!$B$15))/(O2179+S2179*(1-'Inputs'!$B$15))</x:f>
        <x:v>7.697800019529824e-7</x:v>
      </x:c>
      <x:c r="U2179" s="78" t="n">
        <x:f>O2179+S2179*(1-'Inputs'!$B$17)</x:f>
        <x:v>348570484631.9489</x:v>
      </x:c>
      <x:c r="V2179" s="78" t="n">
        <x:f>P2179-T2179</x:f>
        <x:v>0.34832611941222286</x:v>
      </x:c>
      <x:c r="W2179" s="79" t="n">
        <x:f>IF(U2179&gt;0,V2179/U2179,0)</x:f>
        <x:v>9.992989503400322e-13</x:v>
      </x:c>
      <x:c r="X2179" s="80" t="n">
        <x:f>W2179*('Inputs'!$B$6-AC2179)</x:f>
        <x:v>-0.02314179806853445</x:v>
      </x:c>
      <x:c r="Y2179" s="80" t="n">
        <x:f>2*V2179</x:f>
        <x:v>0.6966522388244457</x:v>
      </x:c>
      <x:c r="Z2179" s="80" t="n">
        <x:f>K2179*'Inputs'!$B$16+(G2179+R2179)*J2179*'Inputs'!$B$16</x:f>
        <x:v>0.0031349466680736784</x:v>
      </x:c>
      <x:c r="AA2179" s="80" t="n">
        <x:f>K2179*(1+'Inputs'!$E$49)/2*'Inputs'!$B$17</x:f>
        <x:v>0.0010197497460255273</x:v>
      </x:c>
      <x:c r="AB2179" s="78" t="n">
        <x:f>(IF(J2179&gt;0,K2179*(1-'Inputs'!$E$49)/2/J2179,0)+G2179+R2179)*'Inputs'!$B$17</x:f>
        <x:v>3131.1843664727967</x:v>
      </x:c>
      <x:c r="AC2179" s="78" t="n">
        <x:f>AC2178+AB2179</x:f>
        <x:v>24158032999.69441</x:v>
      </x:c>
      <x:c r="AD2179" s="80" t="n">
        <x:f>Z2179/(1+'Inputs'!$C$49)</x:f>
        <x:v>0.0007837366670184196</x:v>
      </x:c>
      <x:c r="AE2179" s="80" t="n">
        <x:f>Z2179-AD2179</x:f>
        <x:v>0.0023512100010552586</x:v>
      </x:c>
      <x:c r="AF2179" s="80" t="n">
        <x:f>D2179*W2179</x:f>
        <x:v>2.5612145547366805e-7</x:v>
      </x:c>
      <x:c r="AG2179" s="80" t="n">
        <x:f>C2179*W2179</x:f>
        <x:v>5.976167294385785e-7</x:v>
      </x:c>
      <x:c r="AH2179" s="80" t="n">
        <x:f>2*'Inputs'!$B$8*'Inputs'!$C$49</x:f>
        <x:v>15000</x:v>
      </x:c>
      <x:c r="AI2179" s="81" t="n">
        <x:f>IF(AH2179&gt;0,(AE2179+AF2179)/AH2179*365,0)</x:f>
        <x:v>0.00005721900898109449</x:v>
      </x:c>
      <x:c r="AJ2179" s="81" t="n">
        <x:f>IF('Inputs'!$B$49&gt;0,AG2179/('Inputs'!$B$19*'Inputs'!$B$49)*365,0)</x:f>
        <x:v>2.1813010624508116e-8</x:v>
      </x:c>
      <x:c r="AK2179" s="81" t="n">
        <x:f>W2179/MAX($W$1829:W2179)-1</x:f>
        <x:v>-0.9999999987126081</x:v>
      </x:c>
      <x:c r="AL2179" s="83" t="n">
        <x:f>'Inputs'!$B$49</x:f>
        <x:v>1</x:v>
      </x:c>
      <x:c r="AM2179" s="83" t="n">
        <x:f>'Inputs'!$C$49</x:f>
        <x:v>3</x:v>
      </x:c>
      <x:c r="AN2179" s="83" t="n">
        <x:f>'Inputs'!$D$49</x:f>
        <x:v>0.75</x:v>
      </x:c>
      <x:c r="AO2179" s="81" t="n">
        <x:f>'Inputs'!$E$49</x:f>
        <x:v>-0.03</x:v>
      </x:c>
    </x:row>
    <x:row r="2180">
      <x:c r="A2180" s="59" t="str">
        <x:v>Mercenary LP</x:v>
      </x:c>
      <x:c r="B2180" s="59" t="n">
        <x:v>352</x:v>
      </x:c>
      <x:c r="C2180" s="78" t="n">
        <x:f>(('Inputs'!$B$29*(3*352*'Inputs'!$B$12-352^2)/(2*'Inputs'!$B$12^2))-('Inputs'!$B$29*(3*351*'Inputs'!$B$12-351^2)/(2*'Inputs'!$B$12^2)))*'Inputs'!$B$49</x:f>
        <x:v>597710.8744604886</x:v>
      </x:c>
      <x:c r="D2180" s="78" t="n">
        <x:f>IF('Inputs'!$C$49&gt;0,('Inputs'!$B$30*(3*352*'Inputs'!$B$12-352^2)/(2*'Inputs'!$B$12^2))-('Inputs'!$B$30*(3*351*'Inputs'!$B$12-351^2)/(2*'Inputs'!$B$12^2)),0)</x:f>
        <x:v>256161.8033402264</x:v>
      </x:c>
      <x:c r="E2180" s="78" t="n">
        <x:f>C2180+D2180</x:f>
        <x:v>853872.677800715</x:v>
      </x:c>
      <x:c r="F2180" s="78" t="n">
        <x:f>'Inputs'!$B$13*E2180+(1-'Inputs'!$B$13)/'Inputs'!$B$14*SUM(E2125:E2180)</x:f>
        <x:v>864090.3546631641</x:v>
      </x:c>
      <x:c r="G2180" s="78" t="n">
        <x:f>F2180*'Inputs'!$F$49</x:f>
        <x:v>777681.3191968477</x:v>
      </x:c>
      <x:c r="H2180" s="78" t="n">
        <x:f>U2179</x:f>
        <x:v>348570484631.9489</x:v>
      </x:c>
      <x:c r="I2180" s="78" t="n">
        <x:f>V2179</x:f>
        <x:v>0.34832611941222286</x:v>
      </x:c>
      <x:c r="J2180" s="79" t="n">
        <x:f>IF(H2180&gt;0,I2180/H2180,0)</x:f>
        <x:v>9.992989503400322e-13</x:v>
      </x:c>
      <x:c r="K2180" s="80" t="n">
        <x:f>(H2180*J2180+I2180)*'Inputs'!$D$49*(1+'Inputs'!$G$49)^(B2180/30)</x:f>
        <x:v>0.5224891791183343</x:v>
      </x:c>
      <x:c r="L2180" s="80" t="n">
        <x:f>MAX(0,K2180*'Inputs'!$E$49)</x:f>
        <x:v>0</x:v>
      </x:c>
      <x:c r="M2180" s="80" t="n">
        <x:f>MAX(0,-K2180*'Inputs'!$E$49)</x:f>
        <x:v>0.015674675373550027</x:v>
      </x:c>
      <x:c r="N2180" s="78" t="n">
        <x:f>H2180*(L2180*(1-'Inputs'!$B$15))/(I2180+L2180*(1-'Inputs'!$B$15))</x:f>
        <x:v>0</x:v>
      </x:c>
      <x:c r="O2180" s="78" t="n">
        <x:f>H2180-N2180</x:f>
        <x:v>348570484631.9489</x:v>
      </x:c>
      <x:c r="P2180" s="78" t="n">
        <x:f>I2180+L2180*(1-'Inputs'!$B$17)</x:f>
        <x:v>0.34832611941222286</x:v>
      </x:c>
      <x:c r="Q2180" s="78" t="n">
        <x:f>IF(J2180&gt;0,M2180/J2180,0)</x:f>
        <x:v>0</x:v>
      </x:c>
      <x:c r="R2180" s="78" t="n">
        <x:f>IF(B2180='Inputs'!$H$49,'Inputs'!$B$27*'Inputs'!$I$49,0)</x:f>
        <x:v>0</x:v>
      </x:c>
      <x:c r="S2180" s="78" t="n">
        <x:f>Q2180+G2180+R2180</x:f>
        <x:v>777681.3191968477</x:v>
      </x:c>
      <x:c r="T2180" s="78" t="n">
        <x:f>P2180*(S2180*(1-'Inputs'!$B$15))/(O2180+S2180*(1-'Inputs'!$B$15))</x:f>
        <x:v>7.693630653832845e-7</x:v>
      </x:c>
      <x:c r="U2180" s="78" t="n">
        <x:f>O2180+S2180*(1-'Inputs'!$B$17)</x:f>
        <x:v>348571259183.7658</x:v>
      </x:c>
      <x:c r="V2180" s="78" t="n">
        <x:f>P2180-T2180</x:f>
        <x:v>0.3483253500491575</x:v>
      </x:c>
      <x:c r="W2180" s="79" t="n">
        <x:f>IF(U2180&gt;0,V2180/U2180,0)</x:f>
        <x:v>9.992945226316588e-13</x:v>
      </x:c>
      <x:c r="X2180" s="80" t="n">
        <x:f>W2180*('Inputs'!$B$6-AC2180)</x:f>
        <x:v>-0.02314169865881232</x:v>
      </x:c>
      <x:c r="Y2180" s="80" t="n">
        <x:f>2*V2180</x:f>
        <x:v>0.696650700098315</x:v>
      </x:c>
      <x:c r="Z2180" s="80" t="n">
        <x:f>K2180*'Inputs'!$B$16+(G2180+R2180)*J2180*'Inputs'!$B$16</x:f>
        <x:v>0.0031349397375267617</x:v>
      </x:c>
      <x:c r="AA2180" s="80" t="n">
        <x:f>K2180*(1+'Inputs'!$E$49)/2*'Inputs'!$B$17</x:f>
        <x:v>0.001019747492444234</x:v>
      </x:c>
      <x:c r="AB2180" s="78" t="n">
        <x:f>(IF(J2180&gt;0,K2180*(1-'Inputs'!$E$49)/2/J2180,0)+G2180+R2180)*'Inputs'!$B$17</x:f>
        <x:v>3129.5022905305746</x:v>
      </x:c>
      <x:c r="AC2180" s="78" t="n">
        <x:f>AC2179+AB2180</x:f>
        <x:v>24158036129.196697</x:v>
      </x:c>
      <x:c r="AD2180" s="80" t="n">
        <x:f>Z2180/(1+'Inputs'!$C$49)</x:f>
        <x:v>0.0007837349343816904</x:v>
      </x:c>
      <x:c r="AE2180" s="80" t="n">
        <x:f>Z2180-AD2180</x:f>
        <x:v>0.0023512048031450712</x:v>
      </x:c>
      <x:c r="AF2180" s="80" t="n">
        <x:f>D2180*W2180</x:f>
        <x:v>2.559810869853364e-7</x:v>
      </x:c>
      <x:c r="AG2180" s="80" t="n">
        <x:f>C2180*W2180</x:f>
        <x:v>5.972892029657452e-7</x:v>
      </x:c>
      <x:c r="AH2180" s="80" t="n">
        <x:f>2*'Inputs'!$B$8*'Inputs'!$C$49</x:f>
        <x:v>15000</x:v>
      </x:c>
      <x:c r="AI2180" s="81" t="n">
        <x:f>IF(AH2180&gt;0,(AE2180+AF2180)/AH2180*365,0)</x:f>
        <x:v>0.00005721887908298005</x:v>
      </x:c>
      <x:c r="AJ2180" s="81" t="n">
        <x:f>IF('Inputs'!$B$49&gt;0,AG2180/('Inputs'!$B$19*'Inputs'!$B$49)*365,0)</x:f>
        <x:v>2.18010559082497e-8</x:v>
      </x:c>
      <x:c r="AK2180" s="81" t="n">
        <x:f>W2180/MAX($W$1829:W2180)-1</x:f>
        <x:v>-0.9999999987126138</x:v>
      </x:c>
      <x:c r="AL2180" s="83" t="n">
        <x:f>'Inputs'!$B$49</x:f>
        <x:v>1</x:v>
      </x:c>
      <x:c r="AM2180" s="83" t="n">
        <x:f>'Inputs'!$C$49</x:f>
        <x:v>3</x:v>
      </x:c>
      <x:c r="AN2180" s="83" t="n">
        <x:f>'Inputs'!$D$49</x:f>
        <x:v>0.75</x:v>
      </x:c>
      <x:c r="AO2180" s="81" t="n">
        <x:f>'Inputs'!$E$49</x:f>
        <x:v>-0.03</x:v>
      </x:c>
    </x:row>
    <x:row r="2181">
      <x:c r="A2181" s="59" t="str">
        <x:v>Mercenary LP</x:v>
      </x:c>
      <x:c r="B2181" s="59" t="n">
        <x:v>353</x:v>
      </x:c>
      <x:c r="C2181" s="78" t="n">
        <x:f>(('Inputs'!$B$29*(3*353*'Inputs'!$B$12-353^2)/(2*'Inputs'!$B$12^2))-('Inputs'!$B$29*(3*352*'Inputs'!$B$12-352^2)/(2*'Inputs'!$B$12^2)))*'Inputs'!$B$49</x:f>
        <x:v>597385.7665603459</x:v>
      </x:c>
      <x:c r="D2181" s="78" t="n">
        <x:f>IF('Inputs'!$C$49&gt;0,('Inputs'!$B$30*(3*353*'Inputs'!$B$12-353^2)/(2*'Inputs'!$B$12^2))-('Inputs'!$B$30*(3*352*'Inputs'!$B$12-352^2)/(2*'Inputs'!$B$12^2)),0)</x:f>
        <x:v>256022.47138299048</x:v>
      </x:c>
      <x:c r="E2181" s="78" t="n">
        <x:f>C2181+D2181</x:f>
        <x:v>853408.2379433364</x:v>
      </x:c>
      <x:c r="F2181" s="78" t="n">
        <x:f>'Inputs'!$B$13*E2181+(1-'Inputs'!$B$13)/'Inputs'!$B$14*SUM(E2126:E2181)</x:f>
        <x:v>863625.9148057816</x:v>
      </x:c>
      <x:c r="G2181" s="78" t="n">
        <x:f>F2181*'Inputs'!$F$49</x:f>
        <x:v>777263.3233252034</x:v>
      </x:c>
      <x:c r="H2181" s="78" t="n">
        <x:f>U2180</x:f>
        <x:v>348571259183.7658</x:v>
      </x:c>
      <x:c r="I2181" s="78" t="n">
        <x:f>V2180</x:f>
        <x:v>0.3483253500491575</x:v>
      </x:c>
      <x:c r="J2181" s="79" t="n">
        <x:f>IF(H2181&gt;0,I2181/H2181,0)</x:f>
        <x:v>9.992945226316588e-13</x:v>
      </x:c>
      <x:c r="K2181" s="80" t="n">
        <x:f>(H2181*J2181+I2181)*'Inputs'!$D$49*(1+'Inputs'!$G$49)^(B2181/30)</x:f>
        <x:v>0.5224880250737362</x:v>
      </x:c>
      <x:c r="L2181" s="80" t="n">
        <x:f>MAX(0,K2181*'Inputs'!$E$49)</x:f>
        <x:v>0</x:v>
      </x:c>
      <x:c r="M2181" s="80" t="n">
        <x:f>MAX(0,-K2181*'Inputs'!$E$49)</x:f>
        <x:v>0.015674640752212084</x:v>
      </x:c>
      <x:c r="N2181" s="78" t="n">
        <x:f>H2181*(L2181*(1-'Inputs'!$B$15))/(I2181+L2181*(1-'Inputs'!$B$15))</x:f>
        <x:v>0</x:v>
      </x:c>
      <x:c r="O2181" s="78" t="n">
        <x:f>H2181-N2181</x:f>
        <x:v>348571259183.7658</x:v>
      </x:c>
      <x:c r="P2181" s="78" t="n">
        <x:f>I2181+L2181*(1-'Inputs'!$B$17)</x:f>
        <x:v>0.3483253500491575</x:v>
      </x:c>
      <x:c r="Q2181" s="78" t="n">
        <x:f>IF(J2181&gt;0,M2181/J2181,0)</x:f>
        <x:v>0</x:v>
      </x:c>
      <x:c r="R2181" s="78" t="n">
        <x:f>IF(B2181='Inputs'!$H$49,'Inputs'!$B$27*'Inputs'!$I$49,0)</x:f>
        <x:v>0</x:v>
      </x:c>
      <x:c r="S2181" s="78" t="n">
        <x:f>Q2181+G2181+R2181</x:f>
        <x:v>777263.3233252034</x:v>
      </x:c>
      <x:c r="T2181" s="78" t="n">
        <x:f>P2181*(S2181*(1-'Inputs'!$B$15))/(O2181+S2181*(1-'Inputs'!$B$15))</x:f>
        <x:v>7.689461343330351e-7</x:v>
      </x:c>
      <x:c r="U2181" s="78" t="n">
        <x:f>O2181+S2181*(1-'Inputs'!$B$17)</x:f>
        <x:v>348572033319.2689</x:v>
      </x:c>
      <x:c r="V2181" s="78" t="n">
        <x:f>P2181-T2181</x:f>
        <x:v>0.34832458110302317</x:v>
      </x:c>
      <x:c r="W2181" s="79" t="n">
        <x:f>IF(U2181&gt;0,V2181/U2181,0)</x:f>
        <x:v>9.992900973325674e-13</x:v>
      </x:c>
      <x:c r="X2181" s="80" t="n">
        <x:f>W2181*('Inputs'!$B$6-AC2181)</x:f>
        <x:v>-0.023141599303175844</x:v>
      </x:c>
      <x:c r="Y2181" s="80" t="n">
        <x:f>2*V2181</x:f>
        <x:v>0.6966491622060463</x:v>
      </x:c>
      <x:c r="Z2181" s="80" t="n">
        <x:f>K2181*'Inputs'!$B$16+(G2181+R2181)*J2181*'Inputs'!$B$16</x:f>
        <x:v>0.003134932810732307</x:v>
      </x:c>
      <x:c r="AA2181" s="80" t="n">
        <x:f>K2181*(1+'Inputs'!$E$49)/2*'Inputs'!$B$17</x:f>
        <x:v>0.0010197452400835495</x:v>
      </x:c>
      <x:c r="AB2181" s="78" t="n">
        <x:f>(IF(J2181&gt;0,K2181*(1-'Inputs'!$E$49)/2/J2181,0)+G2181+R2181)*'Inputs'!$B$17</x:f>
        <x:v>3127.820214588344</x:v>
      </x:c>
      <x:c r="AC2181" s="78" t="n">
        <x:f>AC2180+AB2181</x:f>
        <x:v>24158039257.01691</x:v>
      </x:c>
      <x:c r="AD2181" s="80" t="n">
        <x:f>Z2181/(1+'Inputs'!$C$49)</x:f>
        <x:v>0.0007837332026830767</x:v>
      </x:c>
      <x:c r="AE2181" s="80" t="n">
        <x:f>Z2181-AD2181</x:f>
        <x:v>0.00235119960804923</x:v>
      </x:c>
      <x:c r="AF2181" s="80" t="n">
        <x:f>D2181*W2181</x:f>
        <x:v>2.55840720347633e-7</x:v>
      </x:c>
      <x:c r="AG2181" s="80" t="n">
        <x:f>C2181*W2181</x:f>
        <x:v>5.969616808111784e-7</x:v>
      </x:c>
      <x:c r="AH2181" s="80" t="n">
        <x:f>2*'Inputs'!$B$8*'Inputs'!$C$49</x:f>
        <x:v>15000</x:v>
      </x:c>
      <x:c r="AI2181" s="81" t="n">
        <x:f>IF(AH2181&gt;0,(AE2181+AF2181)/AH2181*365,0)</x:f>
        <x:v>0.00005721874925339306</x:v>
      </x:c>
      <x:c r="AJ2181" s="81" t="n">
        <x:f>IF('Inputs'!$B$49&gt;0,AG2181/('Inputs'!$B$19*'Inputs'!$B$49)*365,0)</x:f>
        <x:v>2.178910134960801e-8</x:v>
      </x:c>
      <x:c r="AK2181" s="81" t="n">
        <x:f>W2181/MAX($W$1829:W2181)-1</x:f>
        <x:v>-0.9999999987126195</x:v>
      </x:c>
      <x:c r="AL2181" s="83" t="n">
        <x:f>'Inputs'!$B$49</x:f>
        <x:v>1</x:v>
      </x:c>
      <x:c r="AM2181" s="83" t="n">
        <x:f>'Inputs'!$C$49</x:f>
        <x:v>3</x:v>
      </x:c>
      <x:c r="AN2181" s="83" t="n">
        <x:f>'Inputs'!$D$49</x:f>
        <x:v>0.75</x:v>
      </x:c>
      <x:c r="AO2181" s="81" t="n">
        <x:f>'Inputs'!$E$49</x:f>
        <x:v>-0.03</x:v>
      </x:c>
    </x:row>
    <x:row r="2182">
      <x:c r="A2182" s="59" t="str">
        <x:v>Mercenary LP</x:v>
      </x:c>
      <x:c r="B2182" s="59" t="n">
        <x:v>354</x:v>
      </x:c>
      <x:c r="C2182" s="78" t="n">
        <x:f>(('Inputs'!$B$29*(3*354*'Inputs'!$B$12-354^2)/(2*'Inputs'!$B$12^2))-('Inputs'!$B$29*(3*353*'Inputs'!$B$12-353^2)/(2*'Inputs'!$B$12^2)))*'Inputs'!$B$49</x:f>
        <x:v>597060.6586601734</x:v>
      </x:c>
      <x:c r="D2182" s="78" t="n">
        <x:f>IF('Inputs'!$C$49&gt;0,('Inputs'!$B$30*(3*354*'Inputs'!$B$12-354^2)/(2*'Inputs'!$B$12^2))-('Inputs'!$B$30*(3*353*'Inputs'!$B$12-353^2)/(2*'Inputs'!$B$12^2)),0)</x:f>
        <x:v>255883.13942578435</x:v>
      </x:c>
      <x:c r="E2182" s="78" t="n">
        <x:f>C2182+D2182</x:f>
        <x:v>852943.7980859578</x:v>
      </x:c>
      <x:c r="F2182" s="78" t="n">
        <x:f>'Inputs'!$B$13*E2182+(1-'Inputs'!$B$13)/'Inputs'!$B$14*SUM(E2127:E2182)</x:f>
        <x:v>863161.4749483985</x:v>
      </x:c>
      <x:c r="G2182" s="78" t="n">
        <x:f>F2182*'Inputs'!$F$49</x:f>
        <x:v>776845.3274535587</x:v>
      </x:c>
      <x:c r="H2182" s="78" t="n">
        <x:f>U2181</x:f>
        <x:v>348572033319.2689</x:v>
      </x:c>
      <x:c r="I2182" s="78" t="n">
        <x:f>V2181</x:f>
        <x:v>0.34832458110302317</x:v>
      </x:c>
      <x:c r="J2182" s="79" t="n">
        <x:f>IF(H2182&gt;0,I2182/H2182,0)</x:f>
        <x:v>9.992900973325674e-13</x:v>
      </x:c>
      <x:c r="K2182" s="80" t="n">
        <x:f>(H2182*J2182+I2182)*'Inputs'!$D$49*(1+'Inputs'!$G$49)^(B2182/30)</x:f>
        <x:v>0.5224868716545348</x:v>
      </x:c>
      <x:c r="L2182" s="80" t="n">
        <x:f>MAX(0,K2182*'Inputs'!$E$49)</x:f>
        <x:v>0</x:v>
      </x:c>
      <x:c r="M2182" s="80" t="n">
        <x:f>MAX(0,-K2182*'Inputs'!$E$49)</x:f>
        <x:v>0.015674606149636044</x:v>
      </x:c>
      <x:c r="N2182" s="78" t="n">
        <x:f>H2182*(L2182*(1-'Inputs'!$B$15))/(I2182+L2182*(1-'Inputs'!$B$15))</x:f>
        <x:v>0</x:v>
      </x:c>
      <x:c r="O2182" s="78" t="n">
        <x:f>H2182-N2182</x:f>
        <x:v>348572033319.2689</x:v>
      </x:c>
      <x:c r="P2182" s="78" t="n">
        <x:f>I2182+L2182*(1-'Inputs'!$B$17)</x:f>
        <x:v>0.34832458110302317</x:v>
      </x:c>
      <x:c r="Q2182" s="78" t="n">
        <x:f>IF(J2182&gt;0,M2182/J2182,0)</x:f>
        <x:v>0</x:v>
      </x:c>
      <x:c r="R2182" s="78" t="n">
        <x:f>IF(B2182='Inputs'!$H$49,'Inputs'!$B$27*'Inputs'!$I$49,0)</x:f>
        <x:v>0</x:v>
      </x:c>
      <x:c r="S2182" s="78" t="n">
        <x:f>Q2182+G2182+R2182</x:f>
        <x:v>776845.3274535587</x:v>
      </x:c>
      <x:c r="T2182" s="78" t="n">
        <x:f>P2182*(S2182*(1-'Inputs'!$B$15))/(O2182+S2182*(1-'Inputs'!$B$15))</x:f>
        <x:v>7.685292087992083e-7</x:v>
      </x:c>
      <x:c r="U2182" s="78" t="n">
        <x:f>O2182+S2182*(1-'Inputs'!$B$17)</x:f>
        <x:v>348572807038.45825</x:v>
      </x:c>
      <x:c r="V2182" s="78" t="n">
        <x:f>P2182-T2182</x:f>
        <x:v>0.3483238125738144</x:v>
      </x:c>
      <x:c r="W2182" s="79" t="n">
        <x:f>IF(U2182&gt;0,V2182/U2182,0)</x:f>
        <x:v>9.9928567444271e-13</x:v>
      </x:c>
      <x:c r="X2182" s="80" t="n">
        <x:f>W2182*('Inputs'!$B$6-AC2182)</x:f>
        <x:v>-0.023141500001623957</x:v>
      </x:c>
      <x:c r="Y2182" s="80" t="n">
        <x:f>2*V2182</x:f>
        <x:v>0.6966476251476288</x:v>
      </x:c>
      <x:c r="Z2182" s="80" t="n">
        <x:f>K2182*'Inputs'!$B$16+(G2182+R2182)*J2182*'Inputs'!$B$16</x:f>
        <x:v>0.003134925887690266</x:v>
      </x:c>
      <x:c r="AA2182" s="80" t="n">
        <x:f>K2182*(1+'Inputs'!$E$49)/2*'Inputs'!$B$17</x:f>
        <x:v>0.0010197429889434583</x:v>
      </x:c>
      <x:c r="AB2182" s="78" t="n">
        <x:f>(IF(J2182&gt;0,K2182*(1-'Inputs'!$E$49)/2/J2182,0)+G2182+R2182)*'Inputs'!$B$17</x:f>
        <x:v>3126.1381386461117</x:v>
      </x:c>
      <x:c r="AC2182" s="78" t="n">
        <x:f>AC2181+AB2182</x:f>
        <x:v>24158042383.15505</x:v>
      </x:c>
      <x:c r="AD2182" s="80" t="n">
        <x:f>Z2182/(1+'Inputs'!$C$49)</x:f>
        <x:v>0.0007837314719225665</x:v>
      </x:c>
      <x:c r="AE2182" s="80" t="n">
        <x:f>Z2182-AD2182</x:f>
        <x:v>0.0023511944157677</x:v>
      </x:c>
      <x:c r="AF2182" s="80" t="n">
        <x:f>D2182*W2182</x:f>
        <x:v>2.557003555596129e-7</x:v>
      </x:c>
      <x:c r="AG2182" s="80" t="n">
        <x:f>C2182*W2182</x:f>
        <x:v>5.966341629724401e-7</x:v>
      </x:c>
      <x:c r="AH2182" s="80" t="n">
        <x:f>2*'Inputs'!$B$8*'Inputs'!$C$49</x:f>
        <x:v>15000</x:v>
      </x:c>
      <x:c r="AI2182" s="81" t="n">
        <x:f>IF(AH2182&gt;0,(AE2182+AF2182)/AH2182*365,0)</x:f>
        <x:v>0.00005721861949233265</x:v>
      </x:c>
      <x:c r="AJ2182" s="81" t="n">
        <x:f>IF('Inputs'!$B$49&gt;0,AG2182/('Inputs'!$B$19*'Inputs'!$B$49)*365,0)</x:f>
        <x:v>2.177714694849406e-8</x:v>
      </x:c>
      <x:c r="AK2182" s="81" t="n">
        <x:f>W2182/MAX($W$1829:W2182)-1</x:f>
        <x:v>-0.9999999987126252</x:v>
      </x:c>
      <x:c r="AL2182" s="83" t="n">
        <x:f>'Inputs'!$B$49</x:f>
        <x:v>1</x:v>
      </x:c>
      <x:c r="AM2182" s="83" t="n">
        <x:f>'Inputs'!$C$49</x:f>
        <x:v>3</x:v>
      </x:c>
      <x:c r="AN2182" s="83" t="n">
        <x:f>'Inputs'!$D$49</x:f>
        <x:v>0.75</x:v>
      </x:c>
      <x:c r="AO2182" s="81" t="n">
        <x:f>'Inputs'!$E$49</x:f>
        <x:v>-0.03</x:v>
      </x:c>
    </x:row>
    <x:row r="2183">
      <x:c r="A2183" s="59" t="str">
        <x:v>Mercenary LP</x:v>
      </x:c>
      <x:c r="B2183" s="59" t="n">
        <x:v>355</x:v>
      </x:c>
      <x:c r="C2183" s="78" t="n">
        <x:f>(('Inputs'!$B$29*(3*355*'Inputs'!$B$12-355^2)/(2*'Inputs'!$B$12^2))-('Inputs'!$B$29*(3*354*'Inputs'!$B$12-354^2)/(2*'Inputs'!$B$12^2)))*'Inputs'!$B$49</x:f>
        <x:v>596735.5507599711</x:v>
      </x:c>
      <x:c r="D2183" s="78" t="n">
        <x:f>IF('Inputs'!$C$49&gt;0,('Inputs'!$B$30*(3*355*'Inputs'!$B$12-355^2)/(2*'Inputs'!$B$12^2))-('Inputs'!$B$30*(3*354*'Inputs'!$B$12-354^2)/(2*'Inputs'!$B$12^2)),0)</x:f>
        <x:v>255743.80746856332</x:v>
      </x:c>
      <x:c r="E2183" s="78" t="n">
        <x:f>C2183+D2183</x:f>
        <x:v>852479.3582285345</x:v>
      </x:c>
      <x:c r="F2183" s="78" t="n">
        <x:f>'Inputs'!$B$13*E2183+(1-'Inputs'!$B$13)/'Inputs'!$B$14*SUM(E2128:E2183)</x:f>
        <x:v>862697.0350910062</x:v>
      </x:c>
      <x:c r="G2183" s="78" t="n">
        <x:f>F2183*'Inputs'!$F$49</x:f>
        <x:v>776427.3315819056</x:v>
      </x:c>
      <x:c r="H2183" s="78" t="n">
        <x:f>U2182</x:f>
        <x:v>348572807038.45825</x:v>
      </x:c>
      <x:c r="I2183" s="78" t="n">
        <x:f>V2182</x:f>
        <x:v>0.3483238125738144</x:v>
      </x:c>
      <x:c r="J2183" s="79" t="n">
        <x:f>IF(H2183&gt;0,I2183/H2183,0)</x:f>
        <x:v>9.9928567444271e-13</x:v>
      </x:c>
      <x:c r="K2183" s="80" t="n">
        <x:f>(H2183*J2183+I2183)*'Inputs'!$D$49*(1+'Inputs'!$G$49)^(B2183/30)</x:f>
        <x:v>0.5224857188607216</x:v>
      </x:c>
      <x:c r="L2183" s="80" t="n">
        <x:f>MAX(0,K2183*'Inputs'!$E$49)</x:f>
        <x:v>0</x:v>
      </x:c>
      <x:c r="M2183" s="80" t="n">
        <x:f>MAX(0,-K2183*'Inputs'!$E$49)</x:f>
        <x:v>0.015674571565821648</x:v>
      </x:c>
      <x:c r="N2183" s="78" t="n">
        <x:f>H2183*(L2183*(1-'Inputs'!$B$15))/(I2183+L2183*(1-'Inputs'!$B$15))</x:f>
        <x:v>0</x:v>
      </x:c>
      <x:c r="O2183" s="78" t="n">
        <x:f>H2183-N2183</x:f>
        <x:v>348572807038.45825</x:v>
      </x:c>
      <x:c r="P2183" s="78" t="n">
        <x:f>I2183+L2183*(1-'Inputs'!$B$17)</x:f>
        <x:v>0.3483238125738144</x:v>
      </x:c>
      <x:c r="Q2183" s="78" t="n">
        <x:f>IF(J2183&gt;0,M2183/J2183,0)</x:f>
        <x:v>0</x:v>
      </x:c>
      <x:c r="R2183" s="78" t="n">
        <x:f>IF(B2183='Inputs'!$H$49,'Inputs'!$B$27*'Inputs'!$I$49,0)</x:f>
        <x:v>0</x:v>
      </x:c>
      <x:c r="S2183" s="78" t="n">
        <x:f>Q2183+G2183+R2183</x:f>
        <x:v>776427.3315819056</x:v>
      </x:c>
      <x:c r="T2183" s="78" t="n">
        <x:f>P2183*(S2183*(1-'Inputs'!$B$15))/(O2183+S2183*(1-'Inputs'!$B$15))</x:f>
        <x:v>7.681122887787688e-7</x:v>
      </x:c>
      <x:c r="U2183" s="78" t="n">
        <x:f>O2183+S2183*(1-'Inputs'!$B$17)</x:f>
        <x:v>348573580341.3338</x:v>
      </x:c>
      <x:c r="V2183" s="78" t="n">
        <x:f>P2183-T2183</x:f>
        <x:v>0.3483230444615256</x:v>
      </x:c>
      <x:c r="W2183" s="79" t="n">
        <x:f>IF(U2183&gt;0,V2183/U2183,0)</x:f>
        <x:v>9.992812539620391e-13</x:v>
      </x:c>
      <x:c r="X2183" s="80" t="n">
        <x:f>W2183*('Inputs'!$B$6-AC2183)</x:f>
        <x:v>-0.0231414007541556</x:v>
      </x:c>
      <x:c r="Y2183" s="80" t="n">
        <x:f>2*V2183</x:f>
        <x:v>0.6966460889230512</x:v>
      </x:c>
      <x:c r="Z2183" s="80" t="n">
        <x:f>K2183*'Inputs'!$B$16+(G2183+R2183)*J2183*'Inputs'!$B$16</x:f>
        <x:v>0.0031349189684005876</x:v>
      </x:c>
      <x:c r="AA2183" s="80" t="n">
        <x:f>K2183*(1+'Inputs'!$E$49)/2*'Inputs'!$B$17</x:f>
        <x:v>0.0010197407390239437</x:v>
      </x:c>
      <x:c r="AB2183" s="78" t="n">
        <x:f>(IF(J2183&gt;0,K2183*(1-'Inputs'!$E$49)/2/J2183,0)+G2183+R2183)*'Inputs'!$B$17</x:f>
        <x:v>3124.456062703846</x:v>
      </x:c>
      <x:c r="AC2183" s="78" t="n">
        <x:f>AC2182+AB2183</x:f>
        <x:v>24158045507.61111</x:v>
      </x:c>
      <x:c r="AD2183" s="80" t="n">
        <x:f>Z2183/(1+'Inputs'!$C$49)</x:f>
        <x:v>0.0007837297421001469</x:v>
      </x:c>
      <x:c r="AE2183" s="80" t="n">
        <x:f>Z2183-AD2183</x:f>
        <x:v>0.0023511892263004407</x:v>
      </x:c>
      <x:c r="AF2183" s="80" t="n">
        <x:f>D2183*W2183</x:f>
        <x:v>2.5555999262021226e-7</x:v>
      </x:c>
      <x:c r="AG2183" s="80" t="n">
        <x:f>C2183*W2183</x:f>
        <x:v>5.96306649447152e-7</x:v>
      </x:c>
      <x:c r="AH2183" s="80" t="n">
        <x:f>2*'Inputs'!$B$8*'Inputs'!$C$49</x:f>
        <x:v>15000</x:v>
      </x:c>
      <x:c r="AI2183" s="81" t="n">
        <x:f>IF(AH2183&gt;0,(AE2183+AF2183)/AH2183*365,0)</x:f>
        <x:v>0.000057218489799797814</x:v>
      </x:c>
      <x:c r="AJ2183" s="81" t="n">
        <x:f>IF('Inputs'!$B$49&gt;0,AG2183/('Inputs'!$B$19*'Inputs'!$B$49)*365,0)</x:f>
        <x:v>2.1765192704821047e-8</x:v>
      </x:c>
      <x:c r="AK2183" s="81" t="n">
        <x:f>W2183/MAX($W$1829:W2183)-1</x:f>
        <x:v>-0.9999999987126309</x:v>
      </x:c>
      <x:c r="AL2183" s="83" t="n">
        <x:f>'Inputs'!$B$49</x:f>
        <x:v>1</x:v>
      </x:c>
      <x:c r="AM2183" s="83" t="n">
        <x:f>'Inputs'!$C$49</x:f>
        <x:v>3</x:v>
      </x:c>
      <x:c r="AN2183" s="83" t="n">
        <x:f>'Inputs'!$D$49</x:f>
        <x:v>0.75</x:v>
      </x:c>
      <x:c r="AO2183" s="81" t="n">
        <x:f>'Inputs'!$E$49</x:f>
        <x:v>-0.03</x:v>
      </x:c>
    </x:row>
    <x:row r="2184">
      <x:c r="A2184" s="59" t="str">
        <x:v>Mercenary LP</x:v>
      </x:c>
      <x:c r="B2184" s="59" t="n">
        <x:v>356</x:v>
      </x:c>
      <x:c r="C2184" s="78" t="n">
        <x:f>(('Inputs'!$B$29*(3*356*'Inputs'!$B$12-356^2)/(2*'Inputs'!$B$12^2))-('Inputs'!$B$29*(3*355*'Inputs'!$B$12-355^2)/(2*'Inputs'!$B$12^2)))*'Inputs'!$B$49</x:f>
        <x:v>596410.4428598285</x:v>
      </x:c>
      <x:c r="D2184" s="78" t="n">
        <x:f>IF('Inputs'!$C$49&gt;0,('Inputs'!$B$30*(3*356*'Inputs'!$B$12-356^2)/(2*'Inputs'!$B$12^2))-('Inputs'!$B$30*(3*355*'Inputs'!$B$12-355^2)/(2*'Inputs'!$B$12^2)),0)</x:f>
        <x:v>255604.4755113572</x:v>
      </x:c>
      <x:c r="E2184" s="78" t="n">
        <x:f>C2184+D2184</x:f>
        <x:v>852014.9183711857</x:v>
      </x:c>
      <x:c r="F2184" s="78" t="n">
        <x:f>'Inputs'!$B$13*E2184+(1-'Inputs'!$B$13)/'Inputs'!$B$14*SUM(E2129:E2184)</x:f>
        <x:v>862232.5952336293</x:v>
      </x:c>
      <x:c r="G2184" s="78" t="n">
        <x:f>F2184*'Inputs'!$F$49</x:f>
        <x:v>776009.3357102664</x:v>
      </x:c>
      <x:c r="H2184" s="78" t="n">
        <x:f>U2183</x:f>
        <x:v>348573580341.3338</x:v>
      </x:c>
      <x:c r="I2184" s="78" t="n">
        <x:f>V2183</x:f>
        <x:v>0.3483230444615256</x:v>
      </x:c>
      <x:c r="J2184" s="79" t="n">
        <x:f>IF(H2184&gt;0,I2184/H2184,0)</x:f>
        <x:v>9.992812539620391e-13</x:v>
      </x:c>
      <x:c r="K2184" s="80" t="n">
        <x:f>(H2184*J2184+I2184)*'Inputs'!$D$49*(1+'Inputs'!$G$49)^(B2184/30)</x:f>
        <x:v>0.5224845666922884</x:v>
      </x:c>
      <x:c r="L2184" s="80" t="n">
        <x:f>MAX(0,K2184*'Inputs'!$E$49)</x:f>
        <x:v>0</x:v>
      </x:c>
      <x:c r="M2184" s="80" t="n">
        <x:f>MAX(0,-K2184*'Inputs'!$E$49)</x:f>
        <x:v>0.01567453700076865</x:v>
      </x:c>
      <x:c r="N2184" s="78" t="n">
        <x:f>H2184*(L2184*(1-'Inputs'!$B$15))/(I2184+L2184*(1-'Inputs'!$B$15))</x:f>
        <x:v>0</x:v>
      </x:c>
      <x:c r="O2184" s="78" t="n">
        <x:f>H2184-N2184</x:f>
        <x:v>348573580341.3338</x:v>
      </x:c>
      <x:c r="P2184" s="78" t="n">
        <x:f>I2184+L2184*(1-'Inputs'!$B$17)</x:f>
        <x:v>0.3483230444615256</x:v>
      </x:c>
      <x:c r="Q2184" s="78" t="n">
        <x:f>IF(J2184&gt;0,M2184/J2184,0)</x:f>
        <x:v>0</x:v>
      </x:c>
      <x:c r="R2184" s="78" t="n">
        <x:f>IF(B2184='Inputs'!$H$49,'Inputs'!$B$27*'Inputs'!$I$49,0)</x:f>
        <x:v>0</x:v>
      </x:c>
      <x:c r="S2184" s="78" t="n">
        <x:f>Q2184+G2184+R2184</x:f>
        <x:v>776009.3357102664</x:v>
      </x:c>
      <x:c r="T2184" s="78" t="n">
        <x:f>P2184*(S2184*(1-'Inputs'!$B$15))/(O2184+S2184*(1-'Inputs'!$B$15))</x:f>
        <x:v>7.676953742687106e-7</x:v>
      </x:c>
      <x:c r="U2184" s="78" t="n">
        <x:f>O2184+S2184*(1-'Inputs'!$B$17)</x:f>
        <x:v>348574353227.8955</x:v>
      </x:c>
      <x:c r="V2184" s="78" t="n">
        <x:f>P2184-T2184</x:f>
        <x:v>0.34832227676615135</x:v>
      </x:c>
      <x:c r="W2184" s="79" t="n">
        <x:f>IF(U2184&gt;0,V2184/U2184,0)</x:f>
        <x:v>9.99276835890507e-13</x:v>
      </x:c>
      <x:c r="X2184" s="80" t="n">
        <x:f>W2184*('Inputs'!$B$6-AC2184)</x:f>
        <x:v>-0.02314130156076971</x:v>
      </x:c>
      <x:c r="Y2184" s="80" t="n">
        <x:f>2*V2184</x:f>
        <x:v>0.6966445535323027</x:v>
      </x:c>
      <x:c r="Z2184" s="80" t="n">
        <x:f>K2184*'Inputs'!$B$16+(G2184+R2184)*J2184*'Inputs'!$B$16</x:f>
        <x:v>0.0031349120528632226</x:v>
      </x:c>
      <x:c r="AA2184" s="80" t="n">
        <x:f>K2184*(1+'Inputs'!$E$49)/2*'Inputs'!$B$17</x:f>
        <x:v>0.0010197384903249894</x:v>
      </x:c>
      <x:c r="AB2184" s="78" t="n">
        <x:f>(IF(J2184&gt;0,K2184*(1-'Inputs'!$E$49)/2/J2184,0)+G2184+R2184)*'Inputs'!$B$17</x:f>
        <x:v>3122.7739867616356</x:v>
      </x:c>
      <x:c r="AC2184" s="78" t="n">
        <x:f>AC2183+AB2184</x:f>
        <x:v>24158048630.385098</x:v>
      </x:c>
      <x:c r="AD2184" s="80" t="n">
        <x:f>Z2184/(1+'Inputs'!$C$49)</x:f>
        <x:v>0.0007837280132158056</x:v>
      </x:c>
      <x:c r="AE2184" s="80" t="n">
        <x:f>Z2184-AD2184</x:f>
        <x:v>0.002351184039647417</x:v>
      </x:c>
      <x:c r="AF2184" s="80" t="n">
        <x:f>D2184*W2184</x:f>
        <x:v>2.554196315284416e-7</x:v>
      </x:c>
      <x:c r="AG2184" s="80" t="n">
        <x:f>C2184*W2184</x:f>
        <x:v>5.959791402330255e-7</x:v>
      </x:c>
      <x:c r="AH2184" s="80" t="n">
        <x:f>2*'Inputs'!$B$8*'Inputs'!$C$49</x:f>
        <x:v>15000</x:v>
      </x:c>
      <x:c r="AI2184" s="81" t="n">
        <x:f>IF(AH2184&gt;0,(AE2184+AF2184)/AH2184*365,0)</x:f>
        <x:v>0.00005721836017578767</x:v>
      </x:c>
      <x:c r="AJ2184" s="81" t="n">
        <x:f>IF('Inputs'!$B$49&gt;0,AG2184/('Inputs'!$B$19*'Inputs'!$B$49)*365,0)</x:f>
        <x:v>2.175323861850543e-8</x:v>
      </x:c>
      <x:c r="AK2184" s="81" t="n">
        <x:f>W2184/MAX($W$1829:W2184)-1</x:f>
        <x:v>-0.9999999987126366</x:v>
      </x:c>
      <x:c r="AL2184" s="83" t="n">
        <x:f>'Inputs'!$B$49</x:f>
        <x:v>1</x:v>
      </x:c>
      <x:c r="AM2184" s="83" t="n">
        <x:f>'Inputs'!$C$49</x:f>
        <x:v>3</x:v>
      </x:c>
      <x:c r="AN2184" s="83" t="n">
        <x:f>'Inputs'!$D$49</x:f>
        <x:v>0.75</x:v>
      </x:c>
      <x:c r="AO2184" s="81" t="n">
        <x:f>'Inputs'!$E$49</x:f>
        <x:v>-0.03</x:v>
      </x:c>
    </x:row>
    <x:row r="2185">
      <x:c r="A2185" s="59" t="str">
        <x:v>Mercenary LP</x:v>
      </x:c>
      <x:c r="B2185" s="59" t="n">
        <x:v>357</x:v>
      </x:c>
      <x:c r="C2185" s="78" t="n">
        <x:f>(('Inputs'!$B$29*(3*357*'Inputs'!$B$12-357^2)/(2*'Inputs'!$B$12^2))-('Inputs'!$B$29*(3*356*'Inputs'!$B$12-356^2)/(2*'Inputs'!$B$12^2)))*'Inputs'!$B$49</x:f>
        <x:v>596085.334959656</x:v>
      </x:c>
      <x:c r="D2185" s="78" t="n">
        <x:f>IF('Inputs'!$C$49&gt;0,('Inputs'!$B$30*(3*357*'Inputs'!$B$12-357^2)/(2*'Inputs'!$B$12^2))-('Inputs'!$B$30*(3*356*'Inputs'!$B$12-356^2)/(2*'Inputs'!$B$12^2)),0)</x:f>
        <x:v>255465.14355413616</x:v>
      </x:c>
      <x:c r="E2185" s="78" t="n">
        <x:f>C2185+D2185</x:f>
        <x:v>851550.4785137922</x:v>
      </x:c>
      <x:c r="F2185" s="78" t="n">
        <x:f>'Inputs'!$B$13*E2185+(1-'Inputs'!$B$13)/'Inputs'!$B$14*SUM(E2130:E2185)</x:f>
        <x:v>861768.1553762429</x:v>
      </x:c>
      <x:c r="G2185" s="78" t="n">
        <x:f>F2185*'Inputs'!$F$49</x:f>
        <x:v>775591.3398386186</x:v>
      </x:c>
      <x:c r="H2185" s="78" t="n">
        <x:f>U2184</x:f>
        <x:v>348574353227.8955</x:v>
      </x:c>
      <x:c r="I2185" s="78" t="n">
        <x:f>V2184</x:f>
        <x:v>0.34832227676615135</x:v>
      </x:c>
      <x:c r="J2185" s="79" t="n">
        <x:f>IF(H2185&gt;0,I2185/H2185,0)</x:f>
        <x:v>9.99276835890507e-13</x:v>
      </x:c>
      <x:c r="K2185" s="80" t="n">
        <x:f>(H2185*J2185+I2185)*'Inputs'!$D$49*(1+'Inputs'!$G$49)^(B2185/30)</x:f>
        <x:v>0.522483415149227</x:v>
      </x:c>
      <x:c r="L2185" s="80" t="n">
        <x:f>MAX(0,K2185*'Inputs'!$E$49)</x:f>
        <x:v>0</x:v>
      </x:c>
      <x:c r="M2185" s="80" t="n">
        <x:f>MAX(0,-K2185*'Inputs'!$E$49)</x:f>
        <x:v>0.01567450245447681</x:v>
      </x:c>
      <x:c r="N2185" s="78" t="n">
        <x:f>H2185*(L2185*(1-'Inputs'!$B$15))/(I2185+L2185*(1-'Inputs'!$B$15))</x:f>
        <x:v>0</x:v>
      </x:c>
      <x:c r="O2185" s="78" t="n">
        <x:f>H2185-N2185</x:f>
        <x:v>348574353227.8955</x:v>
      </x:c>
      <x:c r="P2185" s="78" t="n">
        <x:f>I2185+L2185*(1-'Inputs'!$B$17)</x:f>
        <x:v>0.34832227676615135</x:v>
      </x:c>
      <x:c r="Q2185" s="78" t="n">
        <x:f>IF(J2185&gt;0,M2185/J2185,0)</x:f>
        <x:v>0</x:v>
      </x:c>
      <x:c r="R2185" s="78" t="n">
        <x:f>IF(B2185='Inputs'!$H$49,'Inputs'!$B$27*'Inputs'!$I$49,0)</x:f>
        <x:v>0</x:v>
      </x:c>
      <x:c r="S2185" s="78" t="n">
        <x:f>Q2185+G2185+R2185</x:f>
        <x:v>775591.3398386186</x:v>
      </x:c>
      <x:c r="T2185" s="78" t="n">
        <x:f>P2185*(S2185*(1-'Inputs'!$B$15))/(O2185+S2185*(1-'Inputs'!$B$15))</x:f>
        <x:v>7.672784652659846e-7</x:v>
      </x:c>
      <x:c r="U2185" s="78" t="n">
        <x:f>O2185+S2185*(1-'Inputs'!$B$17)</x:f>
        <x:v>348575125698.14343</x:v>
      </x:c>
      <x:c r="V2185" s="78" t="n">
        <x:f>P2185-T2185</x:f>
        <x:v>0.3483215094876861</x:v>
      </x:c>
      <x:c r="W2185" s="79" t="n">
        <x:f>IF(U2185&gt;0,V2185/U2185,0)</x:f>
        <x:v>9.99272420228066e-13</x:v>
      </x:c>
      <x:c r="X2185" s="80" t="n">
        <x:f>W2185*('Inputs'!$B$6-AC2185)</x:f>
        <x:v>-0.023141202421465234</x:v>
      </x:c>
      <x:c r="Y2185" s="80" t="n">
        <x:f>2*V2185</x:f>
        <x:v>0.6966430189753722</x:v>
      </x:c>
      <x:c r="Z2185" s="80" t="n">
        <x:f>K2185*'Inputs'!$B$16+(G2185+R2185)*J2185*'Inputs'!$B$16</x:f>
        <x:v>0.003134905141078122</x:v>
      </x:c>
      <x:c r="AA2185" s="80" t="n">
        <x:f>K2185*(1+'Inputs'!$E$49)/2*'Inputs'!$B$17</x:f>
        <x:v>0.00101973624284658</x:v>
      </x:c>
      <x:c r="AB2185" s="78" t="n">
        <x:f>(IF(J2185&gt;0,K2185*(1-'Inputs'!$E$49)/2/J2185,0)+G2185+R2185)*'Inputs'!$B$17</x:f>
        <x:v>3121.091910819391</x:v>
      </x:c>
      <x:c r="AC2185" s="78" t="n">
        <x:f>AC2184+AB2185</x:f>
        <x:v>24158051751.47701</x:v>
      </x:c>
      <x:c r="AD2185" s="80" t="n">
        <x:f>Z2185/(1+'Inputs'!$C$49)</x:f>
        <x:v>0.0007837262852695305</x:v>
      </x:c>
      <x:c r="AE2185" s="80" t="n">
        <x:f>Z2185-AD2185</x:f>
        <x:v>0.0023511788558085917</x:v>
      </x:c>
      <x:c r="AF2185" s="80" t="n">
        <x:f>D2185*W2185</x:f>
        <x:v>2.5527927228325195e-7</x:v>
      </x:c>
      <x:c r="AG2185" s="80" t="n">
        <x:f>C2185*W2185</x:f>
        <x:v>5.956516353275928e-7</x:v>
      </x:c>
      <x:c r="AH2185" s="80" t="n">
        <x:f>2*'Inputs'!$B$8*'Inputs'!$C$49</x:f>
        <x:v>15000</x:v>
      </x:c>
      <x:c r="AI2185" s="81" t="n">
        <x:f>IF(AH2185&gt;0,(AE2185+AF2185)/AH2185*365,0)</x:f>
        <x:v>0.000057218230620301285</x:v>
      </x:c>
      <x:c r="AJ2185" s="81" t="n">
        <x:f>IF('Inputs'!$B$49&gt;0,AG2185/('Inputs'!$B$19*'Inputs'!$B$49)*365,0)</x:f>
        <x:v>2.174128468945714e-8</x:v>
      </x:c>
      <x:c r="AK2185" s="81" t="n">
        <x:f>W2185/MAX($W$1829:W2185)-1</x:f>
        <x:v>-0.9999999987126423</x:v>
      </x:c>
      <x:c r="AL2185" s="83" t="n">
        <x:f>'Inputs'!$B$49</x:f>
        <x:v>1</x:v>
      </x:c>
      <x:c r="AM2185" s="83" t="n">
        <x:f>'Inputs'!$C$49</x:f>
        <x:v>3</x:v>
      </x:c>
      <x:c r="AN2185" s="83" t="n">
        <x:f>'Inputs'!$D$49</x:f>
        <x:v>0.75</x:v>
      </x:c>
      <x:c r="AO2185" s="81" t="n">
        <x:f>'Inputs'!$E$49</x:f>
        <x:v>-0.03</x:v>
      </x:c>
    </x:row>
    <x:row r="2186">
      <x:c r="A2186" s="59" t="str">
        <x:v>Mercenary LP</x:v>
      </x:c>
      <x:c r="B2186" s="59" t="n">
        <x:v>358</x:v>
      </x:c>
      <x:c r="C2186" s="78" t="n">
        <x:f>(('Inputs'!$B$29*(3*358*'Inputs'!$B$12-358^2)/(2*'Inputs'!$B$12^2))-('Inputs'!$B$29*(3*357*'Inputs'!$B$12-357^2)/(2*'Inputs'!$B$12^2)))*'Inputs'!$B$49</x:f>
        <x:v>595760.2270594835</x:v>
      </x:c>
      <x:c r="D2186" s="78" t="n">
        <x:f>IF('Inputs'!$C$49&gt;0,('Inputs'!$B$30*(3*358*'Inputs'!$B$12-358^2)/(2*'Inputs'!$B$12^2))-('Inputs'!$B$30*(3*357*'Inputs'!$B$12-357^2)/(2*'Inputs'!$B$12^2)),0)</x:f>
        <x:v>255325.81159693003</x:v>
      </x:c>
      <x:c r="E2186" s="78" t="n">
        <x:f>C2186+D2186</x:f>
        <x:v>851086.0386564136</x:v>
      </x:c>
      <x:c r="F2186" s="78" t="n">
        <x:f>'Inputs'!$B$13*E2186+(1-'Inputs'!$B$13)/'Inputs'!$B$14*SUM(E2131:E2186)</x:f>
        <x:v>861303.7155188601</x:v>
      </x:c>
      <x:c r="G2186" s="78" t="n">
        <x:f>F2186*'Inputs'!$F$49</x:f>
        <x:v>775173.3439669742</x:v>
      </x:c>
      <x:c r="H2186" s="78" t="n">
        <x:f>U2185</x:f>
        <x:v>348575125698.14343</x:v>
      </x:c>
      <x:c r="I2186" s="78" t="n">
        <x:f>V2185</x:f>
        <x:v>0.3483215094876861</x:v>
      </x:c>
      <x:c r="J2186" s="79" t="n">
        <x:f>IF(H2186&gt;0,I2186/H2186,0)</x:f>
        <x:v>9.99272420228066e-13</x:v>
      </x:c>
      <x:c r="K2186" s="80" t="n">
        <x:f>(H2186*J2186+I2186)*'Inputs'!$D$49*(1+'Inputs'!$G$49)^(B2186/30)</x:f>
        <x:v>0.5224822642315291</x:v>
      </x:c>
      <x:c r="L2186" s="80" t="n">
        <x:f>MAX(0,K2186*'Inputs'!$E$49)</x:f>
        <x:v>0</x:v>
      </x:c>
      <x:c r="M2186" s="80" t="n">
        <x:f>MAX(0,-K2186*'Inputs'!$E$49)</x:f>
        <x:v>0.01567446792694587</x:v>
      </x:c>
      <x:c r="N2186" s="78" t="n">
        <x:f>H2186*(L2186*(1-'Inputs'!$B$15))/(I2186+L2186*(1-'Inputs'!$B$15))</x:f>
        <x:v>0</x:v>
      </x:c>
      <x:c r="O2186" s="78" t="n">
        <x:f>H2186-N2186</x:f>
        <x:v>348575125698.14343</x:v>
      </x:c>
      <x:c r="P2186" s="78" t="n">
        <x:f>I2186+L2186*(1-'Inputs'!$B$17)</x:f>
        <x:v>0.3483215094876861</x:v>
      </x:c>
      <x:c r="Q2186" s="78" t="n">
        <x:f>IF(J2186&gt;0,M2186/J2186,0)</x:f>
        <x:v>0</x:v>
      </x:c>
      <x:c r="R2186" s="78" t="n">
        <x:f>IF(B2186='Inputs'!$H$49,'Inputs'!$B$27*'Inputs'!$I$49,0)</x:f>
        <x:v>0</x:v>
      </x:c>
      <x:c r="S2186" s="78" t="n">
        <x:f>Q2186+G2186+R2186</x:f>
        <x:v>775173.3439669742</x:v>
      </x:c>
      <x:c r="T2186" s="78" t="n">
        <x:f>P2186*(S2186*(1-'Inputs'!$B$15))/(O2186+S2186*(1-'Inputs'!$B$15))</x:f>
        <x:v>7.668615617675749e-7</x:v>
      </x:c>
      <x:c r="U2186" s="78" t="n">
        <x:f>O2186+S2186*(1-'Inputs'!$B$17)</x:f>
        <x:v>348575897752.0776</x:v>
      </x:c>
      <x:c r="V2186" s="78" t="n">
        <x:f>P2186-T2186</x:f>
        <x:v>0.34832074262612434</x:v>
      </x:c>
      <x:c r="W2186" s="79" t="n">
        <x:f>IF(U2186&gt;0,V2186/U2186,0)</x:f>
        <x:v>9.992680069746683e-13</x:v>
      </x:c>
      <x:c r="X2186" s="80" t="n">
        <x:f>W2186*('Inputs'!$B$6-AC2186)</x:f>
        <x:v>-0.023141103336241108</x:v>
      </x:c>
      <x:c r="Y2186" s="80" t="n">
        <x:f>2*V2186</x:f>
        <x:v>0.6966414852522487</x:v>
      </x:c>
      <x:c r="Z2186" s="80" t="n">
        <x:f>K2186*'Inputs'!$B$16+(G2186+R2186)*J2186*'Inputs'!$B$16</x:f>
        <x:v>0.003134898233045236</x:v>
      </x:c>
      <x:c r="AA2186" s="80" t="n">
        <x:f>K2186*(1+'Inputs'!$E$49)/2*'Inputs'!$B$17</x:f>
        <x:v>0.0010197339965886986</x:v>
      </x:c>
      <x:c r="AB2186" s="78" t="n">
        <x:f>(IF(J2186&gt;0,K2186*(1-'Inputs'!$E$49)/2/J2186,0)+G2186+R2186)*'Inputs'!$B$17</x:f>
        <x:v>3119.40983487716</x:v>
      </x:c>
      <x:c r="AC2186" s="78" t="n">
        <x:f>AC2185+AB2186</x:f>
        <x:v>24158054870.886845</x:v>
      </x:c>
      <x:c r="AD2186" s="80" t="n">
        <x:f>Z2186/(1+'Inputs'!$C$49)</x:f>
        <x:v>0.000783724558261309</x:v>
      </x:c>
      <x:c r="AE2186" s="80" t="n">
        <x:f>Z2186-AD2186</x:f>
        <x:v>0.002351173674783927</x:v>
      </x:c>
      <x:c r="AF2186" s="80" t="n">
        <x:f>D2186*W2186</x:f>
        <x:v>2.551389148836539e-7</x:v>
      </x:c>
      <x:c r="AG2186" s="80" t="n">
        <x:f>C2186*W2186</x:f>
        <x:v>5.95324134728506e-7</x:v>
      </x:c>
      <x:c r="AH2186" s="80" t="n">
        <x:f>2*'Inputs'!$B$8*'Inputs'!$C$49</x:f>
        <x:v>15000</x:v>
      </x:c>
      <x:c r="AI2186" s="81" t="n">
        <x:f>IF(AH2186&gt;0,(AE2186+AF2186)/AH2186*365,0)</x:f>
        <x:v>0.00005721810113333773</x:v>
      </x:c>
      <x:c r="AJ2186" s="81" t="n">
        <x:f>IF('Inputs'!$B$49&gt;0,AG2186/('Inputs'!$B$19*'Inputs'!$B$49)*365,0)</x:f>
        <x:v>2.172933091759047e-8</x:v>
      </x:c>
      <x:c r="AK2186" s="81" t="n">
        <x:f>W2186/MAX($W$1829:W2186)-1</x:f>
        <x:v>-0.999999998712648</x:v>
      </x:c>
      <x:c r="AL2186" s="83" t="n">
        <x:f>'Inputs'!$B$49</x:f>
        <x:v>1</x:v>
      </x:c>
      <x:c r="AM2186" s="83" t="n">
        <x:f>'Inputs'!$C$49</x:f>
        <x:v>3</x:v>
      </x:c>
      <x:c r="AN2186" s="83" t="n">
        <x:f>'Inputs'!$D$49</x:f>
        <x:v>0.75</x:v>
      </x:c>
      <x:c r="AO2186" s="81" t="n">
        <x:f>'Inputs'!$E$49</x:f>
        <x:v>-0.03</x:v>
      </x:c>
    </x:row>
    <x:row r="2187">
      <x:c r="A2187" s="59" t="str">
        <x:v>Mercenary LP</x:v>
      </x:c>
      <x:c r="B2187" s="59" t="n">
        <x:v>359</x:v>
      </x:c>
      <x:c r="C2187" s="78" t="n">
        <x:f>(('Inputs'!$B$29*(3*359*'Inputs'!$B$12-359^2)/(2*'Inputs'!$B$12^2))-('Inputs'!$B$29*(3*358*'Inputs'!$B$12-358^2)/(2*'Inputs'!$B$12^2)))*'Inputs'!$B$49</x:f>
        <x:v>595435.119159311</x:v>
      </x:c>
      <x:c r="D2187" s="78" t="n">
        <x:f>IF('Inputs'!$C$49&gt;0,('Inputs'!$B$30*(3*359*'Inputs'!$B$12-359^2)/(2*'Inputs'!$B$12^2))-('Inputs'!$B$30*(3*358*'Inputs'!$B$12-358^2)/(2*'Inputs'!$B$12^2)),0)</x:f>
        <x:v>255186.479639709</x:v>
      </x:c>
      <x:c r="E2187" s="78" t="n">
        <x:f>C2187+D2187</x:f>
        <x:v>850621.59879902</x:v>
      </x:c>
      <x:c r="F2187" s="78" t="n">
        <x:f>'Inputs'!$B$13*E2187+(1-'Inputs'!$B$13)/'Inputs'!$B$14*SUM(E2132:E2187)</x:f>
        <x:v>860839.2756614743</x:v>
      </x:c>
      <x:c r="G2187" s="78" t="n">
        <x:f>F2187*'Inputs'!$F$49</x:f>
        <x:v>774755.3480953269</x:v>
      </x:c>
      <x:c r="H2187" s="78" t="n">
        <x:f>U2186</x:f>
        <x:v>348575897752.0776</x:v>
      </x:c>
      <x:c r="I2187" s="78" t="n">
        <x:f>V2186</x:f>
        <x:v>0.34832074262612434</x:v>
      </x:c>
      <x:c r="J2187" s="79" t="n">
        <x:f>IF(H2187&gt;0,I2187/H2187,0)</x:f>
        <x:v>9.992680069746683e-13</x:v>
      </x:c>
      <x:c r="K2187" s="80" t="n">
        <x:f>(H2187*J2187+I2187)*'Inputs'!$D$49*(1+'Inputs'!$G$49)^(B2187/30)</x:f>
        <x:v>0.5224811139391865</x:v>
      </x:c>
      <x:c r="L2187" s="80" t="n">
        <x:f>MAX(0,K2187*'Inputs'!$E$49)</x:f>
        <x:v>0</x:v>
      </x:c>
      <x:c r="M2187" s="80" t="n">
        <x:f>MAX(0,-K2187*'Inputs'!$E$49)</x:f>
        <x:v>0.015674433418175593</x:v>
      </x:c>
      <x:c r="N2187" s="78" t="n">
        <x:f>H2187*(L2187*(1-'Inputs'!$B$15))/(I2187+L2187*(1-'Inputs'!$B$15))</x:f>
        <x:v>0</x:v>
      </x:c>
      <x:c r="O2187" s="78" t="n">
        <x:f>H2187-N2187</x:f>
        <x:v>348575897752.0776</x:v>
      </x:c>
      <x:c r="P2187" s="78" t="n">
        <x:f>I2187+L2187*(1-'Inputs'!$B$17)</x:f>
        <x:v>0.34832074262612434</x:v>
      </x:c>
      <x:c r="Q2187" s="78" t="n">
        <x:f>IF(J2187&gt;0,M2187/J2187,0)</x:f>
        <x:v>0</x:v>
      </x:c>
      <x:c r="R2187" s="78" t="n">
        <x:f>IF(B2187='Inputs'!$H$49,'Inputs'!$B$27*'Inputs'!$I$49,0)</x:f>
        <x:v>0</x:v>
      </x:c>
      <x:c r="S2187" s="78" t="n">
        <x:f>Q2187+G2187+R2187</x:f>
        <x:v>774755.3480953269</x:v>
      </x:c>
      <x:c r="T2187" s="78" t="n">
        <x:f>P2187*(S2187*(1-'Inputs'!$B$15))/(O2187+S2187*(1-'Inputs'!$B$15))</x:f>
        <x:v>7.664446637704481e-7</x:v>
      </x:c>
      <x:c r="U2187" s="78" t="n">
        <x:f>O2187+S2187*(1-'Inputs'!$B$17)</x:f>
        <x:v>348576669389.69794</x:v>
      </x:c>
      <x:c r="V2187" s="78" t="n">
        <x:f>P2187-T2187</x:f>
        <x:v>0.34831997618146054</x:v>
      </x:c>
      <x:c r="W2187" s="79" t="n">
        <x:f>IF(U2187&gt;0,V2187/U2187,0)</x:f>
        <x:v>9.992635961302665e-13</x:v>
      </x:c>
      <x:c r="X2187" s="80" t="n">
        <x:f>W2187*('Inputs'!$B$6-AC2187)</x:f>
        <x:v>-0.023141004305096278</x:v>
      </x:c>
      <x:c r="Y2187" s="80" t="n">
        <x:f>2*V2187</x:f>
        <x:v>0.6966399523629211</x:v>
      </x:c>
      <x:c r="Z2187" s="80" t="n">
        <x:f>K2187*'Inputs'!$B$16+(G2187+R2187)*J2187*'Inputs'!$B$16</x:f>
        <x:v>0.0031348913287645146</x:v>
      </x:c>
      <x:c r="AA2187" s="80" t="n">
        <x:f>K2187*(1+'Inputs'!$E$49)/2*'Inputs'!$B$17</x:f>
        <x:v>0.0010197317515513297</x:v>
      </x:c>
      <x:c r="AB2187" s="78" t="n">
        <x:f>(IF(J2187&gt;0,K2187*(1-'Inputs'!$E$49)/2/J2187,0)+G2187+R2187)*'Inputs'!$B$17</x:f>
        <x:v>3117.7277589349173</x:v>
      </x:c>
      <x:c r="AC2187" s="78" t="n">
        <x:f>AC2186+AB2187</x:f>
        <x:v>24158057988.614605</x:v>
      </x:c>
      <x:c r="AD2187" s="80" t="n">
        <x:f>Z2187/(1+'Inputs'!$C$49)</x:f>
        <x:v>0.0007837228321911287</x:v>
      </x:c>
      <x:c r="AE2187" s="80" t="n">
        <x:f>Z2187-AD2187</x:f>
        <x:v>0.002351168496573386</x:v>
      </x:c>
      <x:c r="AF2187" s="80" t="n">
        <x:f>D2187*W2187</x:f>
        <x:v>2.5499855932859866e-7</x:v>
      </x:c>
      <x:c r="AG2187" s="80" t="n">
        <x:f>C2187*W2187</x:f>
        <x:v>5.94996638433387e-7</x:v>
      </x:c>
      <x:c r="AH2187" s="80" t="n">
        <x:f>2*'Inputs'!$B$8*'Inputs'!$C$49</x:f>
        <x:v>15000</x:v>
      </x:c>
      <x:c r="AI2187" s="81" t="n">
        <x:f>IF(AH2187&gt;0,(AE2187+AF2187)/AH2187*365,0)</x:f>
        <x:v>0.000057217971714896045</x:v>
      </x:c>
      <x:c r="AJ2187" s="81" t="n">
        <x:f>IF('Inputs'!$B$49&gt;0,AG2187/('Inputs'!$B$19*'Inputs'!$B$49)*365,0)</x:f>
        <x:v>2.1717377302818626e-8</x:v>
      </x:c>
      <x:c r="AK2187" s="81" t="n">
        <x:f>W2187/MAX($W$1829:W2187)-1</x:f>
        <x:v>-0.9999999987126537</x:v>
      </x:c>
      <x:c r="AL2187" s="83" t="n">
        <x:f>'Inputs'!$B$49</x:f>
        <x:v>1</x:v>
      </x:c>
      <x:c r="AM2187" s="83" t="n">
        <x:f>'Inputs'!$C$49</x:f>
        <x:v>3</x:v>
      </x:c>
      <x:c r="AN2187" s="83" t="n">
        <x:f>'Inputs'!$D$49</x:f>
        <x:v>0.75</x:v>
      </x:c>
      <x:c r="AO2187" s="81" t="n">
        <x:f>'Inputs'!$E$49</x:f>
        <x:v>-0.03</x:v>
      </x:c>
    </x:row>
    <x:row r="2188">
      <x:c r="A2188" s="59" t="str">
        <x:v>Mercenary LP</x:v>
      </x:c>
      <x:c r="B2188" s="59" t="n">
        <x:v>360</x:v>
      </x:c>
      <x:c r="C2188" s="78" t="n">
        <x:f>(('Inputs'!$B$29*(3*360*'Inputs'!$B$12-360^2)/(2*'Inputs'!$B$12^2))-('Inputs'!$B$29*(3*359*'Inputs'!$B$12-359^2)/(2*'Inputs'!$B$12^2)))*'Inputs'!$B$49</x:f>
        <x:v>595110.0112591684</x:v>
      </x:c>
      <x:c r="D2188" s="78" t="n">
        <x:f>IF('Inputs'!$C$49&gt;0,('Inputs'!$B$30*(3*360*'Inputs'!$B$12-360^2)/(2*'Inputs'!$B$12^2))-('Inputs'!$B$30*(3*359*'Inputs'!$B$12-359^2)/(2*'Inputs'!$B$12^2)),0)</x:f>
        <x:v>255047.14768248796</x:v>
      </x:c>
      <x:c r="E2188" s="78" t="n">
        <x:f>C2188+D2188</x:f>
        <x:v>850157.1589416564</x:v>
      </x:c>
      <x:c r="F2188" s="78" t="n">
        <x:f>'Inputs'!$B$13*E2188+(1-'Inputs'!$B$13)/'Inputs'!$B$14*SUM(E2133:E2188)</x:f>
        <x:v>860374.8358040944</x:v>
      </x:c>
      <x:c r="G2188" s="78" t="n">
        <x:f>F2188*'Inputs'!$F$49</x:f>
        <x:v>774337.352223685</x:v>
      </x:c>
      <x:c r="H2188" s="78" t="n">
        <x:f>U2187</x:f>
        <x:v>348576669389.69794</x:v>
      </x:c>
      <x:c r="I2188" s="78" t="n">
        <x:f>V2187</x:f>
        <x:v>0.34831997618146054</x:v>
      </x:c>
      <x:c r="J2188" s="79" t="n">
        <x:f>IF(H2188&gt;0,I2188/H2188,0)</x:f>
        <x:v>9.992635961302665e-13</x:v>
      </x:c>
      <x:c r="K2188" s="80" t="n">
        <x:f>(H2188*J2188+I2188)*'Inputs'!$D$49*(1+'Inputs'!$G$49)^(B2188/30)</x:f>
        <x:v>0.5224799642721908</x:v>
      </x:c>
      <x:c r="L2188" s="80" t="n">
        <x:f>MAX(0,K2188*'Inputs'!$E$49)</x:f>
        <x:v>0</x:v>
      </x:c>
      <x:c r="M2188" s="80" t="n">
        <x:f>MAX(0,-K2188*'Inputs'!$E$49)</x:f>
        <x:v>0.015674398928165724</x:v>
      </x:c>
      <x:c r="N2188" s="78" t="n">
        <x:f>H2188*(L2188*(1-'Inputs'!$B$15))/(I2188+L2188*(1-'Inputs'!$B$15))</x:f>
        <x:v>0</x:v>
      </x:c>
      <x:c r="O2188" s="78" t="n">
        <x:f>H2188-N2188</x:f>
        <x:v>348576669389.69794</x:v>
      </x:c>
      <x:c r="P2188" s="78" t="n">
        <x:f>I2188+L2188*(1-'Inputs'!$B$17)</x:f>
        <x:v>0.34831997618146054</x:v>
      </x:c>
      <x:c r="Q2188" s="78" t="n">
        <x:f>IF(J2188&gt;0,M2188/J2188,0)</x:f>
        <x:v>0</x:v>
      </x:c>
      <x:c r="R2188" s="78" t="n">
        <x:f>IF(B2188='Inputs'!$H$49,'Inputs'!$B$27*'Inputs'!$I$49,0)</x:f>
        <x:v>0</x:v>
      </x:c>
      <x:c r="S2188" s="78" t="n">
        <x:f>Q2188+G2188+R2188</x:f>
        <x:v>774337.352223685</x:v>
      </x:c>
      <x:c r="T2188" s="78" t="n">
        <x:f>P2188*(S2188*(1-'Inputs'!$B$15))/(O2188+S2188*(1-'Inputs'!$B$15))</x:f>
        <x:v>7.660277712715852e-7</x:v>
      </x:c>
      <x:c r="U2188" s="78" t="n">
        <x:f>O2188+S2188*(1-'Inputs'!$B$17)</x:f>
        <x:v>348577440611.00446</x:v>
      </x:c>
      <x:c r="V2188" s="78" t="n">
        <x:f>P2188-T2188</x:f>
        <x:v>0.3483192101536893</x:v>
      </x:c>
      <x:c r="W2188" s="79" t="n">
        <x:f>IF(U2188&gt;0,V2188/U2188,0)</x:f>
        <x:v>9.992591876948132e-13</x:v>
      </x:c>
      <x:c r="X2188" s="80" t="n">
        <x:f>W2188*('Inputs'!$B$6-AC2188)</x:f>
        <x:v>-0.02314090532802969</x:v>
      </x:c>
      <x:c r="Y2188" s="80" t="n">
        <x:f>2*V2188</x:f>
        <x:v>0.6966384203073785</x:v>
      </x:c>
      <x:c r="Z2188" s="80" t="n">
        <x:f>K2188*'Inputs'!$B$16+(G2188+R2188)*J2188*'Inputs'!$B$16</x:f>
        <x:v>0.0031348844282359078</x:v>
      </x:c>
      <x:c r="AA2188" s="80" t="n">
        <x:f>K2188*(1+'Inputs'!$E$49)/2*'Inputs'!$B$17</x:f>
        <x:v>0.001019729507734457</x:v>
      </x:c>
      <x:c r="AB2188" s="78" t="n">
        <x:f>(IF(J2188&gt;0,K2188*(1-'Inputs'!$E$49)/2/J2188,0)+G2188+R2188)*'Inputs'!$B$17</x:f>
        <x:v>3116.0456829926966</x:v>
      </x:c>
      <x:c r="AC2188" s="78" t="n">
        <x:f>AC2187+AB2188</x:f>
        <x:v>24158061104.66029</x:v>
      </x:c>
      <x:c r="AD2188" s="80" t="n">
        <x:f>Z2188/(1+'Inputs'!$C$49)</x:f>
        <x:v>0.0007837211070589769</x:v>
      </x:c>
      <x:c r="AE2188" s="80" t="n">
        <x:f>Z2188-AD2188</x:f>
        <x:v>0.002351163321176931</x:v>
      </x:c>
      <x:c r="AF2188" s="80" t="n">
        <x:f>D2188*W2188</x:f>
        <x:v>2.5485820561708197e-7</x:v>
      </x:c>
      <x:c r="AG2188" s="80" t="n">
        <x:f>C2188*W2188</x:f>
        <x:v>5.946691464398877e-7</x:v>
      </x:c>
      <x:c r="AH2188" s="80" t="n">
        <x:f>2*'Inputs'!$B$8*'Inputs'!$C$49</x:f>
        <x:v>15000</x:v>
      </x:c>
      <x:c r="AI2188" s="81" t="n">
        <x:f>IF(AH2188&gt;0,(AE2188+AF2188)/AH2188*365,0)</x:f>
        <x:v>0.00005721784236497534</x:v>
      </x:c>
      <x:c r="AJ2188" s="81" t="n">
        <x:f>IF('Inputs'!$B$49&gt;0,AG2188/('Inputs'!$B$19*'Inputs'!$B$49)*365,0)</x:f>
        <x:v>2.17054238450559e-8</x:v>
      </x:c>
      <x:c r="AK2188" s="81" t="n">
        <x:f>W2188/MAX($W$1829:W2188)-1</x:f>
        <x:v>-0.9999999987126593</x:v>
      </x:c>
      <x:c r="AL2188" s="83" t="n">
        <x:f>'Inputs'!$B$49</x:f>
        <x:v>1</x:v>
      </x:c>
      <x:c r="AM2188" s="83" t="n">
        <x:f>'Inputs'!$C$49</x:f>
        <x:v>3</x:v>
      </x:c>
      <x:c r="AN2188" s="83" t="n">
        <x:f>'Inputs'!$D$49</x:f>
        <x:v>0.75</x:v>
      </x:c>
      <x:c r="AO2188" s="81" t="n">
        <x:f>'Inputs'!$E$49</x:f>
        <x:v>-0.03</x:v>
      </x:c>
    </x:row>
    <x:row r="2189">
      <x:c r="A2189" s="59" t="str">
        <x:v>Mercenary LP</x:v>
      </x:c>
      <x:c r="B2189" s="59" t="n">
        <x:v>361</x:v>
      </x:c>
      <x:c r="C2189" s="78" t="n">
        <x:f>(('Inputs'!$B$29*(3*361*'Inputs'!$B$12-361^2)/(2*'Inputs'!$B$12^2))-('Inputs'!$B$29*(3*360*'Inputs'!$B$12-360^2)/(2*'Inputs'!$B$12^2)))*'Inputs'!$B$49</x:f>
        <x:v>594784.9033589661</x:v>
      </x:c>
      <x:c r="D2189" s="78" t="n">
        <x:f>IF('Inputs'!$C$49&gt;0,('Inputs'!$B$30*(3*361*'Inputs'!$B$12-361^2)/(2*'Inputs'!$B$12^2))-('Inputs'!$B$30*(3*360*'Inputs'!$B$12-360^2)/(2*'Inputs'!$B$12^2)),0)</x:f>
        <x:v>254907.81572526693</x:v>
      </x:c>
      <x:c r="E2189" s="78" t="n">
        <x:f>C2189+D2189</x:f>
        <x:v>849692.719084233</x:v>
      </x:c>
      <x:c r="F2189" s="78" t="n">
        <x:f>'Inputs'!$B$13*E2189+(1-'Inputs'!$B$13)/'Inputs'!$B$14*SUM(E2134:E2189)</x:f>
        <x:v>859910.395946702</x:v>
      </x:c>
      <x:c r="G2189" s="78" t="n">
        <x:f>F2189*'Inputs'!$F$49</x:f>
        <x:v>773919.3563520318</x:v>
      </x:c>
      <x:c r="H2189" s="78" t="n">
        <x:f>U2188</x:f>
        <x:v>348577440611.00446</x:v>
      </x:c>
      <x:c r="I2189" s="78" t="n">
        <x:f>V2188</x:f>
        <x:v>0.3483192101536893</x:v>
      </x:c>
      <x:c r="J2189" s="79" t="n">
        <x:f>IF(H2189&gt;0,I2189/H2189,0)</x:f>
        <x:v>9.992591876948132e-13</x:v>
      </x:c>
      <x:c r="K2189" s="80" t="n">
        <x:f>(H2189*J2189+I2189)*'Inputs'!$D$49*(1+'Inputs'!$G$49)^(B2189/30)</x:f>
        <x:v>0.522478815230534</x:v>
      </x:c>
      <x:c r="L2189" s="80" t="n">
        <x:f>MAX(0,K2189*'Inputs'!$E$49)</x:f>
        <x:v>0</x:v>
      </x:c>
      <x:c r="M2189" s="80" t="n">
        <x:f>MAX(0,-K2189*'Inputs'!$E$49)</x:f>
        <x:v>0.01567436445691602</x:v>
      </x:c>
      <x:c r="N2189" s="78" t="n">
        <x:f>H2189*(L2189*(1-'Inputs'!$B$15))/(I2189+L2189*(1-'Inputs'!$B$15))</x:f>
        <x:v>0</x:v>
      </x:c>
      <x:c r="O2189" s="78" t="n">
        <x:f>H2189-N2189</x:f>
        <x:v>348577440611.00446</x:v>
      </x:c>
      <x:c r="P2189" s="78" t="n">
        <x:f>I2189+L2189*(1-'Inputs'!$B$17)</x:f>
        <x:v>0.3483192101536893</x:v>
      </x:c>
      <x:c r="Q2189" s="78" t="n">
        <x:f>IF(J2189&gt;0,M2189/J2189,0)</x:f>
        <x:v>0</x:v>
      </x:c>
      <x:c r="R2189" s="78" t="n">
        <x:f>IF(B2189='Inputs'!$H$49,'Inputs'!$B$27*'Inputs'!$I$49,0)</x:f>
        <x:v>0</x:v>
      </x:c>
      <x:c r="S2189" s="78" t="n">
        <x:f>Q2189+G2189+R2189</x:f>
        <x:v>773919.3563520318</x:v>
      </x:c>
      <x:c r="T2189" s="78" t="n">
        <x:f>P2189*(S2189*(1-'Inputs'!$B$15))/(O2189+S2189*(1-'Inputs'!$B$15))</x:f>
        <x:v>7.656108842679429e-7</x:v>
      </x:c>
      <x:c r="U2189" s="78" t="n">
        <x:f>O2189+S2189*(1-'Inputs'!$B$17)</x:f>
        <x:v>348578211415.9972</x:v>
      </x:c>
      <x:c r="V2189" s="78" t="n">
        <x:f>P2189-T2189</x:f>
        <x:v>0.34831844454280503</x:v>
      </x:c>
      <x:c r="W2189" s="79" t="n">
        <x:f>IF(U2189&gt;0,V2189/U2189,0)</x:f>
        <x:v>9.992547816682605e-13</x:v>
      </x:c>
      <x:c r="X2189" s="80" t="n">
        <x:f>W2189*('Inputs'!$B$6-AC2189)</x:f>
        <x:v>-0.02314080640504028</x:v>
      </x:c>
      <x:c r="Y2189" s="80" t="n">
        <x:f>2*V2189</x:f>
        <x:v>0.6966368890856101</x:v>
      </x:c>
      <x:c r="Z2189" s="80" t="n">
        <x:f>K2189*'Inputs'!$B$16+(G2189+R2189)*J2189*'Inputs'!$B$16</x:f>
        <x:v>0.0031348775314593677</x:v>
      </x:c>
      <x:c r="AA2189" s="80" t="n">
        <x:f>K2189*(1+'Inputs'!$E$49)/2*'Inputs'!$B$17</x:f>
        <x:v>0.0010197272651380643</x:v>
      </x:c>
      <x:c r="AB2189" s="78" t="n">
        <x:f>(IF(J2189&gt;0,K2189*(1-'Inputs'!$E$49)/2/J2189,0)+G2189+R2189)*'Inputs'!$B$17</x:f>
        <x:v>3114.36360705043</x:v>
      </x:c>
      <x:c r="AC2189" s="78" t="n">
        <x:f>AC2188+AB2189</x:f>
        <x:v>24158064219.023895</x:v>
      </x:c>
      <x:c r="AD2189" s="80" t="n">
        <x:f>Z2189/(1+'Inputs'!$C$49)</x:f>
        <x:v>0.0007837193828648419</x:v>
      </x:c>
      <x:c r="AE2189" s="80" t="n">
        <x:f>Z2189-AD2189</x:f>
        <x:v>0.002351158148594526</x:v>
      </x:c>
      <x:c r="AF2189" s="80" t="n">
        <x:f>D2189*W2189</x:f>
        <x:v>2.5471785374808477e-7</x:v>
      </x:c>
      <x:c r="AG2189" s="80" t="n">
        <x:f>C2189*W2189</x:f>
        <x:v>5.943416587455411e-7</x:v>
      </x:c>
      <x:c r="AH2189" s="80" t="n">
        <x:f>2*'Inputs'!$B$8*'Inputs'!$C$49</x:f>
        <x:v>15000</x:v>
      </x:c>
      <x:c r="AI2189" s="81" t="n">
        <x:f>IF(AH2189&gt;0,(AE2189+AF2189)/AH2189*365,0)</x:f>
        <x:v>0.00005721771308357467</x:v>
      </x:c>
      <x:c r="AJ2189" s="81" t="n">
        <x:f>IF('Inputs'!$B$49&gt;0,AG2189/('Inputs'!$B$19*'Inputs'!$B$49)*365,0)</x:f>
        <x:v>2.1693470544212252e-8</x:v>
      </x:c>
      <x:c r="AK2189" s="81" t="n">
        <x:f>W2189/MAX($W$1829:W2189)-1</x:f>
        <x:v>-0.999999998712665</x:v>
      </x:c>
      <x:c r="AL2189" s="83" t="n">
        <x:f>'Inputs'!$B$49</x:f>
        <x:v>1</x:v>
      </x:c>
      <x:c r="AM2189" s="83" t="n">
        <x:f>'Inputs'!$C$49</x:f>
        <x:v>3</x:v>
      </x:c>
      <x:c r="AN2189" s="83" t="n">
        <x:f>'Inputs'!$D$49</x:f>
        <x:v>0.75</x:v>
      </x:c>
      <x:c r="AO2189" s="81" t="n">
        <x:f>'Inputs'!$E$49</x:f>
        <x:v>-0.03</x:v>
      </x:c>
    </x:row>
    <x:row r="2190">
      <x:c r="A2190" s="59" t="str">
        <x:v>Mercenary LP</x:v>
      </x:c>
      <x:c r="B2190" s="59" t="n">
        <x:v>362</x:v>
      </x:c>
      <x:c r="C2190" s="78" t="n">
        <x:f>(('Inputs'!$B$29*(3*362*'Inputs'!$B$12-362^2)/(2*'Inputs'!$B$12^2))-('Inputs'!$B$29*(3*361*'Inputs'!$B$12-361^2)/(2*'Inputs'!$B$12^2)))*'Inputs'!$B$49</x:f>
        <x:v>594459.7954588234</x:v>
      </x:c>
      <x:c r="D2190" s="78" t="n">
        <x:f>IF('Inputs'!$C$49&gt;0,('Inputs'!$B$30*(3*362*'Inputs'!$B$12-362^2)/(2*'Inputs'!$B$12^2))-('Inputs'!$B$30*(3*361*'Inputs'!$B$12-361^2)/(2*'Inputs'!$B$12^2)),0)</x:f>
        <x:v>254768.4837680757</x:v>
      </x:c>
      <x:c r="E2190" s="78" t="n">
        <x:f>C2190+D2190</x:f>
        <x:v>849228.2792268991</x:v>
      </x:c>
      <x:c r="F2190" s="78" t="n">
        <x:f>'Inputs'!$B$13*E2190+(1-'Inputs'!$B$13)/'Inputs'!$B$14*SUM(E2135:E2190)</x:f>
        <x:v>859445.9560893283</x:v>
      </x:c>
      <x:c r="G2190" s="78" t="n">
        <x:f>F2190*'Inputs'!$F$49</x:f>
        <x:v>773501.3604803955</x:v>
      </x:c>
      <x:c r="H2190" s="78" t="n">
        <x:f>U2189</x:f>
        <x:v>348578211415.9972</x:v>
      </x:c>
      <x:c r="I2190" s="78" t="n">
        <x:f>V2189</x:f>
        <x:v>0.34831844454280503</x:v>
      </x:c>
      <x:c r="J2190" s="79" t="n">
        <x:f>IF(H2190&gt;0,I2190/H2190,0)</x:f>
        <x:v>9.992547816682605e-13</x:v>
      </x:c>
      <x:c r="K2190" s="80" t="n">
        <x:f>(H2190*J2190+I2190)*'Inputs'!$D$49*(1+'Inputs'!$G$49)^(B2190/30)</x:f>
        <x:v>0.5224776668142075</x:v>
      </x:c>
      <x:c r="L2190" s="80" t="n">
        <x:f>MAX(0,K2190*'Inputs'!$E$49)</x:f>
        <x:v>0</x:v>
      </x:c>
      <x:c r="M2190" s="80" t="n">
        <x:f>MAX(0,-K2190*'Inputs'!$E$49)</x:f>
        <x:v>0.015674330004426223</x:v>
      </x:c>
      <x:c r="N2190" s="78" t="n">
        <x:f>H2190*(L2190*(1-'Inputs'!$B$15))/(I2190+L2190*(1-'Inputs'!$B$15))</x:f>
        <x:v>0</x:v>
      </x:c>
      <x:c r="O2190" s="78" t="n">
        <x:f>H2190-N2190</x:f>
        <x:v>348578211415.9972</x:v>
      </x:c>
      <x:c r="P2190" s="78" t="n">
        <x:f>I2190+L2190*(1-'Inputs'!$B$17)</x:f>
        <x:v>0.34831844454280503</x:v>
      </x:c>
      <x:c r="Q2190" s="78" t="n">
        <x:f>IF(J2190&gt;0,M2190/J2190,0)</x:f>
        <x:v>0</x:v>
      </x:c>
      <x:c r="R2190" s="78" t="n">
        <x:f>IF(B2190='Inputs'!$H$49,'Inputs'!$B$27*'Inputs'!$I$49,0)</x:f>
        <x:v>0</x:v>
      </x:c>
      <x:c r="S2190" s="78" t="n">
        <x:f>Q2190+G2190+R2190</x:f>
        <x:v>773501.3604803955</x:v>
      </x:c>
      <x:c r="T2190" s="78" t="n">
        <x:f>P2190*(S2190*(1-'Inputs'!$B$15))/(O2190+S2190*(1-'Inputs'!$B$15))</x:f>
        <x:v>7.651940027565219e-7</x:v>
      </x:c>
      <x:c r="U2190" s="78" t="n">
        <x:f>O2190+S2190*(1-'Inputs'!$B$17)</x:f>
        <x:v>348578981804.67615</x:v>
      </x:c>
      <x:c r="V2190" s="78" t="n">
        <x:f>P2190-T2190</x:f>
        <x:v>0.34831767934880226</x:v>
      </x:c>
      <x:c r="W2190" s="79" t="n">
        <x:f>IF(U2190&gt;0,V2190/U2190,0)</x:f>
        <x:v>9.99250378050561e-13</x:v>
      </x:c>
      <x:c r="X2190" s="80" t="n">
        <x:f>W2190*('Inputs'!$B$6-AC2190)</x:f>
        <x:v>-0.02314070753612699</x:v>
      </x:c>
      <x:c r="Y2190" s="80" t="n">
        <x:f>2*V2190</x:f>
        <x:v>0.6966353586976045</x:v>
      </x:c>
      <x:c r="Z2190" s="80" t="n">
        <x:f>K2190*'Inputs'!$B$16+(G2190+R2190)*J2190*'Inputs'!$B$16</x:f>
        <x:v>0.0031348706384348437</x:v>
      </x:c>
      <x:c r="AA2190" s="80" t="n">
        <x:f>K2190*(1+'Inputs'!$E$49)/2*'Inputs'!$B$17</x:f>
        <x:v>0.0010197250237621355</x:v>
      </x:c>
      <x:c r="AB2190" s="78" t="n">
        <x:f>(IF(J2190&gt;0,K2190*(1-'Inputs'!$E$49)/2/J2190,0)+G2190+R2190)*'Inputs'!$B$17</x:f>
        <x:v>3112.6815311082314</x:v>
      </x:c>
      <x:c r="AC2190" s="78" t="n">
        <x:f>AC2189+AB2190</x:f>
        <x:v>24158067331.705425</x:v>
      </x:c>
      <x:c r="AD2190" s="80" t="n">
        <x:f>Z2190/(1+'Inputs'!$C$49)</x:f>
        <x:v>0.0007837176596087109</x:v>
      </x:c>
      <x:c r="AE2190" s="80" t="n">
        <x:f>Z2190-AD2190</x:f>
        <x:v>0.0023511529788261326</x:v>
      </x:c>
      <x:c r="AF2190" s="80" t="n">
        <x:f>D2190*W2190</x:f>
        <x:v>2.545775037206178e-7</x:v>
      </x:c>
      <x:c r="AG2190" s="80" t="n">
        <x:f>C2190*W2190</x:f>
        <x:v>5.940141753480884e-7</x:v>
      </x:c>
      <x:c r="AH2190" s="80" t="n">
        <x:f>2*'Inputs'!$B$8*'Inputs'!$C$49</x:f>
        <x:v>15000</x:v>
      </x:c>
      <x:c r="AI2190" s="81" t="n">
        <x:f>IF(AH2190&gt;0,(AE2190+AF2190)/AH2190*365,0)</x:f>
        <x:v>0.00005721758387069309</x:v>
      </x:c>
      <x:c r="AJ2190" s="81" t="n">
        <x:f>IF('Inputs'!$B$49&gt;0,AG2190/('Inputs'!$B$19*'Inputs'!$B$49)*365,0)</x:f>
        <x:v>2.1681517400205227e-8</x:v>
      </x:c>
      <x:c r="AK2190" s="81" t="n">
        <x:f>W2190/MAX($W$1829:W2190)-1</x:f>
        <x:v>-0.9999999987126706</x:v>
      </x:c>
      <x:c r="AL2190" s="83" t="n">
        <x:f>'Inputs'!$B$49</x:f>
        <x:v>1</x:v>
      </x:c>
      <x:c r="AM2190" s="83" t="n">
        <x:f>'Inputs'!$C$49</x:f>
        <x:v>3</x:v>
      </x:c>
      <x:c r="AN2190" s="83" t="n">
        <x:f>'Inputs'!$D$49</x:f>
        <x:v>0.75</x:v>
      </x:c>
      <x:c r="AO2190" s="81" t="n">
        <x:f>'Inputs'!$E$49</x:f>
        <x:v>-0.03</x:v>
      </x:c>
    </x:row>
    <x:row r="2191">
      <x:c r="A2191" s="59" t="str">
        <x:v>Mercenary LP</x:v>
      </x:c>
      <x:c r="B2191" s="59" t="n">
        <x:v>363</x:v>
      </x:c>
      <x:c r="C2191" s="78" t="n">
        <x:f>(('Inputs'!$B$29*(3*363*'Inputs'!$B$12-363^2)/(2*'Inputs'!$B$12^2))-('Inputs'!$B$29*(3*362*'Inputs'!$B$12-362^2)/(2*'Inputs'!$B$12^2)))*'Inputs'!$B$49</x:f>
        <x:v>594134.6875586212</x:v>
      </x:c>
      <x:c r="D2191" s="78" t="n">
        <x:f>IF('Inputs'!$C$49&gt;0,('Inputs'!$B$30*(3*363*'Inputs'!$B$12-363^2)/(2*'Inputs'!$B$12^2))-('Inputs'!$B$30*(3*362*'Inputs'!$B$12-362^2)/(2*'Inputs'!$B$12^2)),0)</x:f>
        <x:v>254629.15181083977</x:v>
      </x:c>
      <x:c r="E2191" s="78" t="n">
        <x:f>C2191+D2191</x:f>
        <x:v>848763.8393694609</x:v>
      </x:c>
      <x:c r="F2191" s="78" t="n">
        <x:f>'Inputs'!$B$13*E2191+(1-'Inputs'!$B$13)/'Inputs'!$B$14*SUM(E2136:E2191)</x:f>
        <x:v>858981.5162319329</x:v>
      </x:c>
      <x:c r="G2191" s="78" t="n">
        <x:f>F2191*'Inputs'!$F$49</x:f>
        <x:v>773083.3646087396</x:v>
      </x:c>
      <x:c r="H2191" s="78" t="n">
        <x:f>U2190</x:f>
        <x:v>348578981804.67615</x:v>
      </x:c>
      <x:c r="I2191" s="78" t="n">
        <x:f>V2190</x:f>
        <x:v>0.34831767934880226</x:v>
      </x:c>
      <x:c r="J2191" s="79" t="n">
        <x:f>IF(H2191&gt;0,I2191/H2191,0)</x:f>
        <x:v>9.99250378050561e-13</x:v>
      </x:c>
      <x:c r="K2191" s="80" t="n">
        <x:f>(H2191*J2191+I2191)*'Inputs'!$D$49*(1+'Inputs'!$G$49)^(B2191/30)</x:f>
        <x:v>0.5224765190232034</x:v>
      </x:c>
      <x:c r="L2191" s="80" t="n">
        <x:f>MAX(0,K2191*'Inputs'!$E$49)</x:f>
        <x:v>0</x:v>
      </x:c>
      <x:c r="M2191" s="80" t="n">
        <x:f>MAX(0,-K2191*'Inputs'!$E$49)</x:f>
        <x:v>0.0156742955706961</x:v>
      </x:c>
      <x:c r="N2191" s="78" t="n">
        <x:f>H2191*(L2191*(1-'Inputs'!$B$15))/(I2191+L2191*(1-'Inputs'!$B$15))</x:f>
        <x:v>0</x:v>
      </x:c>
      <x:c r="O2191" s="78" t="n">
        <x:f>H2191-N2191</x:f>
        <x:v>348578981804.67615</x:v>
      </x:c>
      <x:c r="P2191" s="78" t="n">
        <x:f>I2191+L2191*(1-'Inputs'!$B$17)</x:f>
        <x:v>0.34831767934880226</x:v>
      </x:c>
      <x:c r="Q2191" s="78" t="n">
        <x:f>IF(J2191&gt;0,M2191/J2191,0)</x:f>
        <x:v>0</x:v>
      </x:c>
      <x:c r="R2191" s="78" t="n">
        <x:f>IF(B2191='Inputs'!$H$49,'Inputs'!$B$27*'Inputs'!$I$49,0)</x:f>
        <x:v>0</x:v>
      </x:c>
      <x:c r="S2191" s="78" t="n">
        <x:f>Q2191+G2191+R2191</x:f>
        <x:v>773083.3646087396</x:v>
      </x:c>
      <x:c r="T2191" s="78" t="n">
        <x:f>P2191*(S2191*(1-'Inputs'!$B$15))/(O2191+S2191*(1-'Inputs'!$B$15))</x:f>
        <x:v>7.64777126734259e-7</x:v>
      </x:c>
      <x:c r="U2191" s="78" t="n">
        <x:f>O2191+S2191*(1-'Inputs'!$B$17)</x:f>
        <x:v>348579751777.0413</x:v>
      </x:c>
      <x:c r="V2191" s="78" t="n">
        <x:f>P2191-T2191</x:f>
        <x:v>0.3483169145716755</x:v>
      </x:c>
      <x:c r="W2191" s="79" t="n">
        <x:f>IF(U2191&gt;0,V2191/U2191,0)</x:f>
        <x:v>9.992459768416673e-13</x:v>
      </x:c>
      <x:c r="X2191" s="80" t="n">
        <x:f>W2191*('Inputs'!$B$6-AC2191)</x:f>
        <x:v>-0.02314060872128878</x:v>
      </x:c>
      <x:c r="Y2191" s="80" t="n">
        <x:f>2*V2191</x:f>
        <x:v>0.696633829143351</x:v>
      </x:c>
      <x:c r="Z2191" s="80" t="n">
        <x:f>K2191*'Inputs'!$B$16+(G2191+R2191)*J2191*'Inputs'!$B$16</x:f>
        <x:v>0.0031348637491622863</x:v>
      </x:c>
      <x:c r="AA2191" s="80" t="n">
        <x:f>K2191*(1+'Inputs'!$E$49)/2*'Inputs'!$B$17</x:f>
        <x:v>0.0010197227836066544</x:v>
      </x:c>
      <x:c r="AB2191" s="78" t="n">
        <x:f>(IF(J2191&gt;0,K2191*(1-'Inputs'!$E$49)/2/J2191,0)+G2191+R2191)*'Inputs'!$B$17</x:f>
        <x:v>3110.9994551659543</x:v>
      </x:c>
      <x:c r="AC2191" s="78" t="n">
        <x:f>AC2190+AB2191</x:f>
        <x:v>24158070442.70488</x:v>
      </x:c>
      <x:c r="AD2191" s="80" t="n">
        <x:f>Z2191/(1+'Inputs'!$C$49)</x:f>
        <x:v>0.0007837159372905716</x:v>
      </x:c>
      <x:c r="AE2191" s="80" t="n">
        <x:f>Z2191-AD2191</x:f>
        <x:v>0.002351147811871715</x:v>
      </x:c>
      <x:c r="AF2191" s="80" t="n">
        <x:f>D2191*W2191</x:f>
        <x:v>2.5443715553358777e-7</x:v>
      </x:c>
      <x:c r="AG2191" s="80" t="n">
        <x:f>C2191*W2191</x:f>
        <x:v>5.936866962450331e-7</x:v>
      </x:c>
      <x:c r="AH2191" s="80" t="n">
        <x:f>2*'Inputs'!$B$8*'Inputs'!$C$49</x:f>
        <x:v>15000</x:v>
      </x:c>
      <x:c r="AI2191" s="81" t="n">
        <x:f>IF(AH2191&gt;0,(AE2191+AF2191)/AH2191*365,0)</x:f>
        <x:v>0.00005721745472632971</x:v>
      </x:c>
      <x:c r="AJ2191" s="81" t="n">
        <x:f>IF('Inputs'!$B$49&gt;0,AG2191/('Inputs'!$B$19*'Inputs'!$B$49)*365,0)</x:f>
        <x:v>2.166956441294371e-8</x:v>
      </x:c>
      <x:c r="AK2191" s="81" t="n">
        <x:f>W2191/MAX($W$1829:W2191)-1</x:f>
        <x:v>-0.9999999987126763</x:v>
      </x:c>
      <x:c r="AL2191" s="83" t="n">
        <x:f>'Inputs'!$B$49</x:f>
        <x:v>1</x:v>
      </x:c>
      <x:c r="AM2191" s="83" t="n">
        <x:f>'Inputs'!$C$49</x:f>
        <x:v>3</x:v>
      </x:c>
      <x:c r="AN2191" s="83" t="n">
        <x:f>'Inputs'!$D$49</x:f>
        <x:v>0.75</x:v>
      </x:c>
      <x:c r="AO2191" s="81" t="n">
        <x:f>'Inputs'!$E$49</x:f>
        <x:v>-0.03</x:v>
      </x:c>
    </x:row>
    <x:row r="2192">
      <x:c r="A2192" s="59" t="str">
        <x:v>Mercenary LP</x:v>
      </x:c>
      <x:c r="B2192" s="59" t="n">
        <x:v>364</x:v>
      </x:c>
      <x:c r="C2192" s="78" t="n">
        <x:f>(('Inputs'!$B$29*(3*364*'Inputs'!$B$12-364^2)/(2*'Inputs'!$B$12^2))-('Inputs'!$B$29*(3*363*'Inputs'!$B$12-363^2)/(2*'Inputs'!$B$12^2)))*'Inputs'!$B$49</x:f>
        <x:v>593809.5796584785</x:v>
      </x:c>
      <x:c r="D2192" s="78" t="n">
        <x:f>IF('Inputs'!$C$49&gt;0,('Inputs'!$B$30*(3*364*'Inputs'!$B$12-364^2)/(2*'Inputs'!$B$12^2))-('Inputs'!$B$30*(3*363*'Inputs'!$B$12-363^2)/(2*'Inputs'!$B$12^2)),0)</x:f>
        <x:v>254489.81985363364</x:v>
      </x:c>
      <x:c r="E2192" s="78" t="n">
        <x:f>C2192+D2192</x:f>
        <x:v>848299.3995121121</x:v>
      </x:c>
      <x:c r="F2192" s="78" t="n">
        <x:f>'Inputs'!$B$13*E2192+(1-'Inputs'!$B$13)/'Inputs'!$B$14*SUM(E2137:E2192)</x:f>
        <x:v>858517.0763745559</x:v>
      </x:c>
      <x:c r="G2192" s="78" t="n">
        <x:f>F2192*'Inputs'!$F$49</x:f>
        <x:v>772665.3687371004</x:v>
      </x:c>
      <x:c r="H2192" s="78" t="n">
        <x:f>U2191</x:f>
        <x:v>348579751777.0413</x:v>
      </x:c>
      <x:c r="I2192" s="78" t="n">
        <x:f>V2191</x:f>
        <x:v>0.3483169145716755</x:v>
      </x:c>
      <x:c r="J2192" s="79" t="n">
        <x:f>IF(H2192&gt;0,I2192/H2192,0)</x:f>
        <x:v>9.992459768416673e-13</x:v>
      </x:c>
      <x:c r="K2192" s="80" t="n">
        <x:f>(H2192*J2192+I2192)*'Inputs'!$D$49*(1+'Inputs'!$G$49)^(B2192/30)</x:f>
        <x:v>0.5224753718575134</x:v>
      </x:c>
      <x:c r="L2192" s="80" t="n">
        <x:f>MAX(0,K2192*'Inputs'!$E$49)</x:f>
        <x:v>0</x:v>
      </x:c>
      <x:c r="M2192" s="80" t="n">
        <x:f>MAX(0,-K2192*'Inputs'!$E$49)</x:f>
        <x:v>0.0156742611557254</x:v>
      </x:c>
      <x:c r="N2192" s="78" t="n">
        <x:f>H2192*(L2192*(1-'Inputs'!$B$15))/(I2192+L2192*(1-'Inputs'!$B$15))</x:f>
        <x:v>0</x:v>
      </x:c>
      <x:c r="O2192" s="78" t="n">
        <x:f>H2192-N2192</x:f>
        <x:v>348579751777.0413</x:v>
      </x:c>
      <x:c r="P2192" s="78" t="n">
        <x:f>I2192+L2192*(1-'Inputs'!$B$17)</x:f>
        <x:v>0.3483169145716755</x:v>
      </x:c>
      <x:c r="Q2192" s="78" t="n">
        <x:f>IF(J2192&gt;0,M2192/J2192,0)</x:f>
        <x:v>0</x:v>
      </x:c>
      <x:c r="R2192" s="78" t="n">
        <x:f>IF(B2192='Inputs'!$H$49,'Inputs'!$B$27*'Inputs'!$I$49,0)</x:f>
        <x:v>0</x:v>
      </x:c>
      <x:c r="S2192" s="78" t="n">
        <x:f>Q2192+G2192+R2192</x:f>
        <x:v>772665.3687371004</x:v>
      </x:c>
      <x:c r="T2192" s="78" t="n">
        <x:f>P2192*(S2192*(1-'Inputs'!$B$15))/(O2192+S2192*(1-'Inputs'!$B$15))</x:f>
        <x:v>7.643602561981638e-7</x:v>
      </x:c>
      <x:c r="U2192" s="78" t="n">
        <x:f>O2192+S2192*(1-'Inputs'!$B$17)</x:f>
        <x:v>348580521333.09265</x:v>
      </x:c>
      <x:c r="V2192" s="78" t="n">
        <x:f>P2192-T2192</x:f>
        <x:v>0.3483161502114193</x:v>
      </x:c>
      <x:c r="W2192" s="79" t="n">
        <x:f>IF(U2192&gt;0,V2192/U2192,0)</x:f>
        <x:v>9.992415780415318e-13</x:v>
      </x:c>
      <x:c r="X2192" s="80" t="n">
        <x:f>W2192*('Inputs'!$B$6-AC2192)</x:f>
        <x:v>-0.023140509960524584</x:v>
      </x:c>
      <x:c r="Y2192" s="80" t="n">
        <x:f>2*V2192</x:f>
        <x:v>0.6966323004228386</x:v>
      </x:c>
      <x:c r="Z2192" s="80" t="n">
        <x:f>K2192*'Inputs'!$B$16+(G2192+R2192)*J2192*'Inputs'!$B$16</x:f>
        <x:v>0.003134856863641647</x:v>
      </x:c>
      <x:c r="AA2192" s="80" t="n">
        <x:f>K2192*(1+'Inputs'!$E$49)/2*'Inputs'!$B$17</x:f>
        <x:v>0.0010197205446716056</x:v>
      </x:c>
      <x:c r="AB2192" s="78" t="n">
        <x:f>(IF(J2192&gt;0,K2192*(1-'Inputs'!$E$49)/2/J2192,0)+G2192+R2192)*'Inputs'!$B$17</x:f>
        <x:v>3109.3173792237444</x:v>
      </x:c>
      <x:c r="AC2192" s="78" t="n">
        <x:f>AC2191+AB2192</x:f>
        <x:v>24158073552.02226</x:v>
      </x:c>
      <x:c r="AD2192" s="80" t="n">
        <x:f>Z2192/(1+'Inputs'!$C$49)</x:f>
        <x:v>0.0007837142159104118</x:v>
      </x:c>
      <x:c r="AE2192" s="80" t="n">
        <x:f>Z2192-AD2192</x:f>
        <x:v>0.0023511426477312355</x:v>
      </x:c>
      <x:c r="AF2192" s="80" t="n">
        <x:f>D2192*W2192</x:f>
        <x:v>2.5429680918605e-7</x:v>
      </x:c>
      <x:c r="AG2192" s="80" t="n">
        <x:f>C2192*W2192</x:f>
        <x:v>5.933592214341168e-7</x:v>
      </x:c>
      <x:c r="AH2192" s="80" t="n">
        <x:f>2*'Inputs'!$B$8*'Inputs'!$C$49</x:f>
        <x:v>15000</x:v>
      </x:c>
      <x:c r="AI2192" s="81" t="n">
        <x:f>IF(AH2192&gt;0,(AE2192+AF2192)/AH2192*365,0)</x:f>
        <x:v>0.000057217325650483594</x:v>
      </x:c>
      <x:c r="AJ2192" s="81" t="n">
        <x:f>IF('Inputs'!$B$49&gt;0,AG2192/('Inputs'!$B$19*'Inputs'!$B$49)*365,0)</x:f>
        <x:v>2.1657611582345262e-8</x:v>
      </x:c>
      <x:c r="AK2192" s="81" t="n">
        <x:f>W2192/MAX($W$1829:W2192)-1</x:f>
        <x:v>-0.999999998712682</x:v>
      </x:c>
      <x:c r="AL2192" s="83" t="n">
        <x:f>'Inputs'!$B$49</x:f>
        <x:v>1</x:v>
      </x:c>
      <x:c r="AM2192" s="83" t="n">
        <x:f>'Inputs'!$C$49</x:f>
        <x:v>3</x:v>
      </x:c>
      <x:c r="AN2192" s="83" t="n">
        <x:f>'Inputs'!$D$49</x:f>
        <x:v>0.75</x:v>
      </x:c>
      <x:c r="AO2192" s="81" t="n">
        <x:f>'Inputs'!$E$49</x:f>
        <x:v>-0.03</x:v>
      </x:c>
    </x:row>
    <x:row r="2193">
      <x:c r="A2193" s="59" t="str">
        <x:v>Mercenary LP</x:v>
      </x:c>
      <x:c r="B2193" s="59" t="n">
        <x:v>365</x:v>
      </x:c>
      <x:c r="C2193" s="78" t="n">
        <x:f>(('Inputs'!$B$29*(3*365*'Inputs'!$B$12-365^2)/(2*'Inputs'!$B$12^2))-('Inputs'!$B$29*(3*364*'Inputs'!$B$12-364^2)/(2*'Inputs'!$B$12^2)))*'Inputs'!$B$49</x:f>
        <x:v>593484.471758306</x:v>
      </x:c>
      <x:c r="D2193" s="78" t="n">
        <x:f>IF('Inputs'!$C$49&gt;0,('Inputs'!$B$30*(3*365*'Inputs'!$B$12-365^2)/(2*'Inputs'!$B$12^2))-('Inputs'!$B$30*(3*364*'Inputs'!$B$12-364^2)/(2*'Inputs'!$B$12^2)),0)</x:f>
        <x:v>254350.4878964126</x:v>
      </x:c>
      <x:c r="E2193" s="78" t="n">
        <x:f>C2193+D2193</x:f>
        <x:v>847834.9596547186</x:v>
      </x:c>
      <x:c r="F2193" s="78" t="n">
        <x:f>'Inputs'!$B$13*E2193+(1-'Inputs'!$B$13)/'Inputs'!$B$14*SUM(E2138:E2193)</x:f>
        <x:v>858052.6365171699</x:v>
      </x:c>
      <x:c r="G2193" s="78" t="n">
        <x:f>F2193*'Inputs'!$F$49</x:f>
        <x:v>772247.3728654529</x:v>
      </x:c>
      <x:c r="H2193" s="78" t="n">
        <x:f>U2192</x:f>
        <x:v>348580521333.09265</x:v>
      </x:c>
      <x:c r="I2193" s="78" t="n">
        <x:f>V2192</x:f>
        <x:v>0.3483161502114193</x:v>
      </x:c>
      <x:c r="J2193" s="79" t="n">
        <x:f>IF(H2193&gt;0,I2193/H2193,0)</x:f>
        <x:v>9.992415780415318e-13</x:v>
      </x:c>
      <x:c r="K2193" s="80" t="n">
        <x:f>(H2193*J2193+I2193)*'Inputs'!$D$49*(1+'Inputs'!$G$49)^(B2193/30)</x:f>
        <x:v>0.522474225317129</x:v>
      </x:c>
      <x:c r="L2193" s="80" t="n">
        <x:f>MAX(0,K2193*'Inputs'!$E$49)</x:f>
        <x:v>0</x:v>
      </x:c>
      <x:c r="M2193" s="80" t="n">
        <x:f>MAX(0,-K2193*'Inputs'!$E$49)</x:f>
        <x:v>0.015674226759513868</x:v>
      </x:c>
      <x:c r="N2193" s="78" t="n">
        <x:f>H2193*(L2193*(1-'Inputs'!$B$15))/(I2193+L2193*(1-'Inputs'!$B$15))</x:f>
        <x:v>0</x:v>
      </x:c>
      <x:c r="O2193" s="78" t="n">
        <x:f>H2193-N2193</x:f>
        <x:v>348580521333.09265</x:v>
      </x:c>
      <x:c r="P2193" s="78" t="n">
        <x:f>I2193+L2193*(1-'Inputs'!$B$17)</x:f>
        <x:v>0.3483161502114193</x:v>
      </x:c>
      <x:c r="Q2193" s="78" t="n">
        <x:f>IF(J2193&gt;0,M2193/J2193,0)</x:f>
        <x:v>0</x:v>
      </x:c>
      <x:c r="R2193" s="78" t="n">
        <x:f>IF(B2193='Inputs'!$H$49,'Inputs'!$B$27*'Inputs'!$I$49,0)</x:f>
        <x:v>0</x:v>
      </x:c>
      <x:c r="S2193" s="78" t="n">
        <x:f>Q2193+G2193+R2193</x:f>
        <x:v>772247.3728654529</x:v>
      </x:c>
      <x:c r="T2193" s="78" t="n">
        <x:f>P2193*(S2193*(1-'Inputs'!$B$15))/(O2193+S2193*(1-'Inputs'!$B$15))</x:f>
        <x:v>7.639433911451847e-7</x:v>
      </x:c>
      <x:c r="U2193" s="78" t="n">
        <x:f>O2193+S2193*(1-'Inputs'!$B$17)</x:f>
        <x:v>348581290472.8302</x:v>
      </x:c>
      <x:c r="V2193" s="78" t="n">
        <x:f>P2193-T2193</x:f>
        <x:v>0.34831538626802816</x:v>
      </x:c>
      <x:c r="W2193" s="79" t="n">
        <x:f>IF(U2193&gt;0,V2193/U2193,0)</x:f>
        <x:v>9.99237181650107e-13</x:v>
      </x:c>
      <x:c r="X2193" s="80" t="n">
        <x:f>W2193*('Inputs'!$B$6-AC2193)</x:f>
        <x:v>-0.02314041125383335</x:v>
      </x:c>
      <x:c r="Y2193" s="80" t="n">
        <x:f>2*V2193</x:f>
        <x:v>0.6966307725360563</x:v>
      </x:c>
      <x:c r="Z2193" s="80" t="n">
        <x:f>K2193*'Inputs'!$B$16+(G2193+R2193)*J2193*'Inputs'!$B$16</x:f>
        <x:v>0.0031348499818728746</x:v>
      </x:c>
      <x:c r="AA2193" s="80" t="n">
        <x:f>K2193*(1+'Inputs'!$E$49)/2*'Inputs'!$B$17</x:f>
        <x:v>0.001019718306956972</x:v>
      </x:c>
      <x:c r="AB2193" s="78" t="n">
        <x:f>(IF(J2193&gt;0,K2193*(1-'Inputs'!$E$49)/2/J2193,0)+G2193+R2193)*'Inputs'!$B$17</x:f>
        <x:v>3107.635303281501</x:v>
      </x:c>
      <x:c r="AC2193" s="78" t="n">
        <x:f>AC2192+AB2193</x:f>
        <x:v>24158076659.657562</x:v>
      </x:c>
      <x:c r="AD2193" s="80" t="n">
        <x:f>Z2193/(1+'Inputs'!$C$49)</x:f>
        <x:v>0.0007837124954682186</x:v>
      </x:c>
      <x:c r="AE2193" s="80" t="n">
        <x:f>Z2193-AD2193</x:f>
        <x:v>0.002351137486404656</x:v>
      </x:c>
      <x:c r="AF2193" s="80" t="n">
        <x:f>D2193*W2193</x:f>
        <x:v>2.5415646467694103e-7</x:v>
      </x:c>
      <x:c r="AG2193" s="80" t="n">
        <x:f>C2193*W2193</x:f>
        <x:v>5.930317509128723e-7</x:v>
      </x:c>
      <x:c r="AH2193" s="80" t="n">
        <x:f>2*'Inputs'!$B$8*'Inputs'!$C$49</x:f>
        <x:v>15000</x:v>
      </x:c>
      <x:c r="AI2193" s="81" t="n">
        <x:f>IF(AH2193&gt;0,(AE2193+AF2193)/AH2193*365,0)</x:f>
        <x:v>0.000057217196643153764</x:v>
      </x:c>
      <x:c r="AJ2193" s="81" t="n">
        <x:f>IF('Inputs'!$B$49&gt;0,AG2193/('Inputs'!$B$19*'Inputs'!$B$49)*365,0)</x:f>
        <x:v>2.1645658908319842e-8</x:v>
      </x:c>
      <x:c r="AK2193" s="81" t="n">
        <x:f>W2193/MAX($W$1829:W2193)-1</x:f>
        <x:v>-0.9999999987126876</x:v>
      </x:c>
      <x:c r="AL2193" s="83" t="n">
        <x:f>'Inputs'!$B$49</x:f>
        <x:v>1</x:v>
      </x:c>
      <x:c r="AM2193" s="83" t="n">
        <x:f>'Inputs'!$C$49</x:f>
        <x:v>3</x:v>
      </x:c>
      <x:c r="AN2193" s="83" t="n">
        <x:f>'Inputs'!$D$49</x:f>
        <x:v>0.75</x:v>
      </x:c>
      <x:c r="AO2193" s="81" t="n">
        <x:f>'Inputs'!$E$49</x:f>
        <x:v>-0.03</x:v>
      </x:c>
    </x:row>
    <x:row r="2194">
      <x:c r="A2194" s="59" t="str">
        <x:v>Whale exit</x:v>
      </x:c>
      <x:c r="B2194" s="59" t="n">
        <x:v>1</x:v>
      </x:c>
      <x:c r="C2194" s="78" t="n">
        <x:f>(('Inputs'!$B$29*(3*1*'Inputs'!$B$12-1^2)/(2*'Inputs'!$B$12^2))-('Inputs'!$B$29*(3*0*'Inputs'!$B$12-0^2)/(2*'Inputs'!$B$12^2)))*'Inputs'!$B$50</x:f>
        <x:v>711823.7474197786</x:v>
      </x:c>
      <x:c r="D2194" s="78" t="n">
        <x:f>IF('Inputs'!$C$50&gt;0,('Inputs'!$B$30*(3*1*'Inputs'!$B$12-1^2)/(2*'Inputs'!$B$12^2))-('Inputs'!$B$30*(3*0*'Inputs'!$B$12-0^2)/(2*'Inputs'!$B$12^2)),0)</x:f>
        <x:v>305067.32032276224</x:v>
      </x:c>
      <x:c r="E2194" s="78" t="n">
        <x:f>C2194+D2194</x:f>
        <x:v>1016891.0677425409</x:v>
      </x:c>
      <x:c r="F2194" s="78" t="n">
        <x:f>'Inputs'!$B$13*E2194+(1-'Inputs'!$B$13)/'Inputs'!$B$14*SUM(E2194:E2194)</x:f>
        <x:v>217905.22880197305</x:v>
      </x:c>
      <x:c r="G2194" s="78" t="n">
        <x:f>F2194*'Inputs'!$F$50</x:f>
        <x:v>108952.61440098652</x:v>
      </x:c>
      <x:c r="H2194" s="78" t="n">
        <x:f>'Inputs'!$B$26*(1+'Inputs'!$C$50)</x:f>
        <x:v>5714285.714285715</x:v>
      </x:c>
      <x:c r="I2194" s="78" t="n">
        <x:f>'Inputs'!$B$8*(1+'Inputs'!$C$50)</x:f>
        <x:v>5000</x:v>
      </x:c>
      <x:c r="J2194" s="79" t="n">
        <x:f>IF(H2194&gt;0,I2194/H2194,0)</x:f>
        <x:v>0.0008749999999999999</x:v>
      </x:c>
      <x:c r="K2194" s="80" t="n">
        <x:f>(H2194*J2194+I2194)*'Inputs'!$D$50*(1+'Inputs'!$G$50)^(B2194/30)</x:f>
        <x:v>10000</x:v>
      </x:c>
      <x:c r="L2194" s="80" t="n">
        <x:f>MAX(0,K2194*'Inputs'!$E$50)</x:f>
        <x:v>0</x:v>
      </x:c>
      <x:c r="M2194" s="80" t="n">
        <x:f>MAX(0,-K2194*'Inputs'!$E$50)</x:f>
        <x:v>0</x:v>
      </x:c>
      <x:c r="N2194" s="78" t="n">
        <x:f>H2194*(L2194*(1-'Inputs'!$B$15))/(I2194+L2194*(1-'Inputs'!$B$15))</x:f>
        <x:v>0</x:v>
      </x:c>
      <x:c r="O2194" s="78" t="n">
        <x:f>H2194-N2194</x:f>
        <x:v>5714285.714285715</x:v>
      </x:c>
      <x:c r="P2194" s="78" t="n">
        <x:f>I2194+L2194*(1-'Inputs'!$B$17)</x:f>
        <x:v>5000</x:v>
      </x:c>
      <x:c r="Q2194" s="78" t="n">
        <x:f>IF(J2194&gt;0,M2194/J2194,0)</x:f>
        <x:v>0</x:v>
      </x:c>
      <x:c r="R2194" s="78" t="n">
        <x:f>IF(B2194='Inputs'!$H$50,'Inputs'!$B$27*'Inputs'!$I$50,0)</x:f>
        <x:v>0</x:v>
      </x:c>
      <x:c r="S2194" s="78" t="n">
        <x:f>Q2194+G2194+R2194</x:f>
        <x:v>108952.61440098652</x:v>
      </x:c>
      <x:c r="T2194" s="78" t="n">
        <x:f>P2194*(S2194*(1-'Inputs'!$B$15))/(O2194+S2194*(1-'Inputs'!$B$15))</x:f>
        <x:v>92.6316828332092</x:v>
      </x:c>
      <x:c r="U2194" s="78" t="n">
        <x:f>O2194+S2194*(1-'Inputs'!$B$17)</x:f>
        <x:v>5822799.887582472</x:v>
      </x:c>
      <x:c r="V2194" s="78" t="n">
        <x:f>P2194-T2194</x:f>
        <x:v>4907.368317166791</x:v>
      </x:c>
      <x:c r="W2194" s="79" t="n">
        <x:f>IF(U2194&gt;0,V2194/U2194,0)</x:f>
        <x:v>0.0008427849852151192</x:v>
      </x:c>
      <x:c r="X2194" s="80" t="n">
        <x:f>W2194*('Inputs'!$B$6-AC2194)</x:f>
        <x:v>842765.2357671162</x:v>
      </x:c>
      <x:c r="Y2194" s="80" t="n">
        <x:f>2*V2194</x:f>
        <x:v>9814.736634333582</x:v>
      </x:c>
      <x:c r="Z2194" s="80" t="n">
        <x:f>K2194*'Inputs'!$B$16+(G2194+R2194)*J2194*'Inputs'!$B$16</x:f>
        <x:v>60.57200122560518</x:v>
      </x:c>
      <x:c r="AA2194" s="80" t="n">
        <x:f>K2194*(1+'Inputs'!$E$50)/2*'Inputs'!$B$17</x:f>
        <x:v>20.12072434607646</x:v>
      </x:c>
      <x:c r="AB2194" s="78" t="n">
        <x:f>(IF(J2194&gt;0,K2194*(1-'Inputs'!$E$50)/2/J2194,0)+G2194+R2194)*'Inputs'!$B$17</x:f>
        <x:v>23433.55464260242</x:v>
      </x:c>
      <x:c r="AC2194" s="78" t="n">
        <x:f>AB2194</x:f>
        <x:v>23433.55464260242</x:v>
      </x:c>
      <x:c r="AD2194" s="80" t="n">
        <x:f>Z2194/(1+'Inputs'!$C$50)</x:f>
        <x:v>30.28600061280259</x:v>
      </x:c>
      <x:c r="AE2194" s="80" t="n">
        <x:f>Z2194-AD2194</x:f>
        <x:v>30.28600061280259</x:v>
      </x:c>
      <x:c r="AF2194" s="80" t="n">
        <x:f>D2194*W2194</x:f>
        <x:v>257.1061570478352</x:v>
      </x:c>
      <x:c r="AG2194" s="80" t="n">
        <x:f>C2194*W2194</x:f>
        <x:v>599.9143664449489</x:v>
      </x:c>
      <x:c r="AH2194" s="80" t="n">
        <x:f>2*'Inputs'!$B$8*'Inputs'!$C$50</x:f>
        <x:v>5000</x:v>
      </x:c>
      <x:c r="AI2194" s="81" t="n">
        <x:f>IF(AH2194&gt;0,(AE2194+AF2194)/AH2194*365,0)</x:f>
        <x:v>20.97962750922656</x:v>
      </x:c>
      <x:c r="AJ2194" s="81" t="n">
        <x:f>IF('Inputs'!$B$50&gt;0,AG2194/('Inputs'!$B$19*'Inputs'!$B$50)*365,0)</x:f>
        <x:v>21.896874375240635</x:v>
      </x:c>
      <x:c r="AK2194" s="81" t="n">
        <x:f>W2194/MAX($W$2194:W2194)-1</x:f>
        <x:v>0</x:v>
      </x:c>
      <x:c r="AL2194" s="83" t="n">
        <x:f>'Inputs'!$B$50</x:f>
        <x:v>1</x:v>
      </x:c>
      <x:c r="AM2194" s="83" t="n">
        <x:f>'Inputs'!$C$50</x:f>
        <x:v>1</x:v>
      </x:c>
      <x:c r="AN2194" s="83" t="n">
        <x:f>'Inputs'!$D$50</x:f>
        <x:v>1</x:v>
      </x:c>
      <x:c r="AO2194" s="81" t="n">
        <x:f>'Inputs'!$E$50</x:f>
        <x:v>0</x:v>
      </x:c>
    </x:row>
    <x:row r="2195">
      <x:c r="A2195" s="59" t="str">
        <x:v>Whale exit</x:v>
      </x:c>
      <x:c r="B2195" s="59" t="n">
        <x:v>2</x:v>
      </x:c>
      <x:c r="C2195" s="78" t="n">
        <x:f>(('Inputs'!$B$29*(3*2*'Inputs'!$B$12-2^2)/(2*'Inputs'!$B$12^2))-('Inputs'!$B$29*(3*1*'Inputs'!$B$12-1^2)/(2*'Inputs'!$B$12^2)))*'Inputs'!$B$50</x:f>
        <x:v>711498.6395196096</x:v>
      </x:c>
      <x:c r="D2195" s="78" t="n">
        <x:f>IF('Inputs'!$C$50&gt;0,('Inputs'!$B$30*(3*2*'Inputs'!$B$12-2^2)/(2*'Inputs'!$B$12^2))-('Inputs'!$B$30*(3*1*'Inputs'!$B$12-1^2)/(2*'Inputs'!$B$12^2)),0)</x:f>
        <x:v>304927.98836554703</x:v>
      </x:c>
      <x:c r="E2195" s="78" t="n">
        <x:f>C2195+D2195</x:f>
        <x:v>1016426.6278851567</x:v>
      </x:c>
      <x:c r="F2195" s="78" t="n">
        <x:f>'Inputs'!$B$13*E2195+(1-'Inputs'!$B$13)/'Inputs'!$B$14*SUM(E2194:E2195)</x:f>
        <x:v>232332.7212288556</x:v>
      </x:c>
      <x:c r="G2195" s="78" t="n">
        <x:f>F2195*'Inputs'!$F$50</x:f>
        <x:v>116166.3606144278</x:v>
      </x:c>
      <x:c r="H2195" s="78" t="n">
        <x:f>U2194</x:f>
        <x:v>5822799.887582472</x:v>
      </x:c>
      <x:c r="I2195" s="78" t="n">
        <x:f>V2194</x:f>
        <x:v>4907.368317166791</x:v>
      </x:c>
      <x:c r="J2195" s="79" t="n">
        <x:f>IF(H2195&gt;0,I2195/H2195,0)</x:f>
        <x:v>0.0008427849852151192</x:v>
      </x:c>
      <x:c r="K2195" s="80" t="n">
        <x:f>(H2195*J2195+I2195)*'Inputs'!$D$50*(1+'Inputs'!$G$50)^(B2195/30)</x:f>
        <x:v>9814.736634333582</x:v>
      </x:c>
      <x:c r="L2195" s="80" t="n">
        <x:f>MAX(0,K2195*'Inputs'!$E$50)</x:f>
        <x:v>0</x:v>
      </x:c>
      <x:c r="M2195" s="80" t="n">
        <x:f>MAX(0,-K2195*'Inputs'!$E$50)</x:f>
        <x:v>0</x:v>
      </x:c>
      <x:c r="N2195" s="78" t="n">
        <x:f>H2195*(L2195*(1-'Inputs'!$B$15))/(I2195+L2195*(1-'Inputs'!$B$15))</x:f>
        <x:v>0</x:v>
      </x:c>
      <x:c r="O2195" s="78" t="n">
        <x:f>H2195-N2195</x:f>
        <x:v>5822799.887582472</x:v>
      </x:c>
      <x:c r="P2195" s="78" t="n">
        <x:f>I2195+L2195*(1-'Inputs'!$B$17)</x:f>
        <x:v>4907.368317166791</x:v>
      </x:c>
      <x:c r="Q2195" s="78" t="n">
        <x:f>IF(J2195&gt;0,M2195/J2195,0)</x:f>
        <x:v>0</x:v>
      </x:c>
      <x:c r="R2195" s="78" t="n">
        <x:f>IF(B2195='Inputs'!$H$50,'Inputs'!$B$27*'Inputs'!$I$50,0)</x:f>
        <x:v>0</x:v>
      </x:c>
      <x:c r="S2195" s="78" t="n">
        <x:f>Q2195+G2195+R2195</x:f>
        <x:v>116166.3606144278</x:v>
      </x:c>
      <x:c r="T2195" s="78" t="n">
        <x:f>P2195*(S2195*(1-'Inputs'!$B$15))/(O2195+S2195*(1-'Inputs'!$B$15))</x:f>
        <x:v>95.04698216044683</x:v>
      </x:c>
      <x:c r="U2195" s="78" t="n">
        <x:f>O2195+S2195*(1-'Inputs'!$B$17)</x:f>
        <x:v>5938498.777932857</x:v>
      </x:c>
      <x:c r="V2195" s="78" t="n">
        <x:f>P2195-T2195</x:f>
        <x:v>4812.321335006344</x:v>
      </x:c>
      <x:c r="W2195" s="79" t="n">
        <x:f>IF(U2195&gt;0,V2195/U2195,0)</x:f>
        <x:v>0.0008103599099638906</x:v>
      </x:c>
      <x:c r="X2195" s="80" t="n">
        <x:f>W2195*('Inputs'!$B$6-AC2195)</x:f>
        <x:v>810321.5533480278</x:v>
      </x:c>
      <x:c r="Y2195" s="80" t="n">
        <x:f>2*V2195</x:f>
        <x:v>9624.642670012689</x:v>
      </x:c>
      <x:c r="Z2195" s="80" t="n">
        <x:f>K2195*'Inputs'!$B$16+(G2195+R2195)*J2195*'Inputs'!$B$16</x:f>
        <x:v>59.47583939307904</x:v>
      </x:c>
      <x:c r="AA2195" s="80" t="n">
        <x:f>K2195*(1+'Inputs'!$E$50)/2*'Inputs'!$B$17</x:f>
        <x:v>19.747961034876422</x:v>
      </x:c>
      <x:c r="AB2195" s="78" t="n">
        <x:f>(IF(J2195&gt;0,K2195*(1-'Inputs'!$E$50)/2/J2195,0)+G2195+R2195)*'Inputs'!$B$17</x:f>
        <x:v>23899.260556124344</x:v>
      </x:c>
      <x:c r="AC2195" s="78" t="n">
        <x:f>AC2194+AB2195</x:f>
        <x:v>47332.81519872676</x:v>
      </x:c>
      <x:c r="AD2195" s="80" t="n">
        <x:f>Z2195/(1+'Inputs'!$C$50)</x:f>
        <x:v>29.73791969653952</x:v>
      </x:c>
      <x:c r="AE2195" s="80" t="n">
        <x:f>Z2195-AD2195</x:f>
        <x:v>29.73791969653952</x:v>
      </x:c>
      <x:c r="AF2195" s="80" t="n">
        <x:f>D2195*W2195</x:f>
        <x:v>247.10141719737496</x:v>
      </x:c>
      <x:c r="AG2195" s="80" t="n">
        <x:f>C2195*W2195</x:f>
        <x:v>576.5699734605415</x:v>
      </x:c>
      <x:c r="AH2195" s="80" t="n">
        <x:f>2*'Inputs'!$B$8*'Inputs'!$C$50</x:f>
        <x:v>5000</x:v>
      </x:c>
      <x:c r="AI2195" s="81" t="n">
        <x:f>IF(AH2195&gt;0,(AE2195+AF2195)/AH2195*365,0)</x:f>
        <x:v>20.209271593255757</x:v>
      </x:c>
      <x:c r="AJ2195" s="81" t="n">
        <x:f>IF('Inputs'!$B$50&gt;0,AG2195/('Inputs'!$B$19*'Inputs'!$B$50)*365,0)</x:f>
        <x:v>21.044804031309766</x:v>
      </x:c>
      <x:c r="AK2195" s="81" t="n">
        <x:f>W2195/MAX($W$2194:W2195)-1</x:f>
        <x:v>-0.03847372202881871</x:v>
      </x:c>
      <x:c r="AL2195" s="83" t="n">
        <x:f>'Inputs'!$B$50</x:f>
        <x:v>1</x:v>
      </x:c>
      <x:c r="AM2195" s="83" t="n">
        <x:f>'Inputs'!$C$50</x:f>
        <x:v>1</x:v>
      </x:c>
      <x:c r="AN2195" s="83" t="n">
        <x:f>'Inputs'!$D$50</x:f>
        <x:v>1</x:v>
      </x:c>
      <x:c r="AO2195" s="81" t="n">
        <x:f>'Inputs'!$E$50</x:f>
        <x:v>0</x:v>
      </x:c>
    </x:row>
    <x:row r="2196">
      <x:c r="A2196" s="59" t="str">
        <x:v>Whale exit</x:v>
      </x:c>
      <x:c r="B2196" s="59" t="n">
        <x:v>3</x:v>
      </x:c>
      <x:c r="C2196" s="78" t="n">
        <x:f>(('Inputs'!$B$29*(3*3*'Inputs'!$B$12-3^2)/(2*'Inputs'!$B$12^2))-('Inputs'!$B$29*(3*2*'Inputs'!$B$12-2^2)/(2*'Inputs'!$B$12^2)))*'Inputs'!$B$50</x:f>
        <x:v>711173.5316194408</x:v>
      </x:c>
      <x:c r="D2196" s="78" t="n">
        <x:f>IF('Inputs'!$C$50&gt;0,('Inputs'!$B$30*(3*3*'Inputs'!$B$12-3^2)/(2*'Inputs'!$B$12^2))-('Inputs'!$B$30*(3*2*'Inputs'!$B$12-2^2)/(2*'Inputs'!$B$12^2)),0)</x:f>
        <x:v>304788.6564083317</x:v>
      </x:c>
      <x:c r="E2196" s="78" t="n">
        <x:f>C2196+D2196</x:f>
        <x:v>1015962.1880277725</x:v>
      </x:c>
      <x:c r="F2196" s="78" t="n">
        <x:f>'Inputs'!$B$13*E2196+(1-'Inputs'!$B$13)/'Inputs'!$B$14*SUM(E2194:E2196)</x:f>
        <x:v>246753.57880063265</x:v>
      </x:c>
      <x:c r="G2196" s="78" t="n">
        <x:f>F2196*'Inputs'!$F$50</x:f>
        <x:v>123376.78940031632</x:v>
      </x:c>
      <x:c r="H2196" s="78" t="n">
        <x:f>U2195</x:f>
        <x:v>5938498.777932857</x:v>
      </x:c>
      <x:c r="I2196" s="78" t="n">
        <x:f>V2195</x:f>
        <x:v>4812.321335006344</x:v>
      </x:c>
      <x:c r="J2196" s="79" t="n">
        <x:f>IF(H2196&gt;0,I2196/H2196,0)</x:f>
        <x:v>0.0008103599099638906</x:v>
      </x:c>
      <x:c r="K2196" s="80" t="n">
        <x:f>(H2196*J2196+I2196)*'Inputs'!$D$50*(1+'Inputs'!$G$50)^(B2196/30)</x:f>
        <x:v>9624.642670012689</x:v>
      </x:c>
      <x:c r="L2196" s="80" t="n">
        <x:f>MAX(0,K2196*'Inputs'!$E$50)</x:f>
        <x:v>0</x:v>
      </x:c>
      <x:c r="M2196" s="80" t="n">
        <x:f>MAX(0,-K2196*'Inputs'!$E$50)</x:f>
        <x:v>0</x:v>
      </x:c>
      <x:c r="N2196" s="78" t="n">
        <x:f>H2196*(L2196*(1-'Inputs'!$B$15))/(I2196+L2196*(1-'Inputs'!$B$15))</x:f>
        <x:v>0</x:v>
      </x:c>
      <x:c r="O2196" s="78" t="n">
        <x:f>H2196-N2196</x:f>
        <x:v>5938498.777932857</x:v>
      </x:c>
      <x:c r="P2196" s="78" t="n">
        <x:f>I2196+L2196*(1-'Inputs'!$B$17)</x:f>
        <x:v>4812.321335006344</x:v>
      </x:c>
      <x:c r="Q2196" s="78" t="n">
        <x:f>IF(J2196&gt;0,M2196/J2196,0)</x:f>
        <x:v>0</x:v>
      </x:c>
      <x:c r="R2196" s="78" t="n">
        <x:f>IF(B2196='Inputs'!$H$50,'Inputs'!$B$27*'Inputs'!$I$50,0)</x:f>
        <x:v>0</x:v>
      </x:c>
      <x:c r="S2196" s="78" t="n">
        <x:f>Q2196+G2196+R2196</x:f>
        <x:v>123376.78940031632</x:v>
      </x:c>
      <x:c r="T2196" s="78" t="n">
        <x:f>P2196*(S2196*(1-'Inputs'!$B$15))/(O2196+S2196*(1-'Inputs'!$B$15))</x:f>
        <x:v>96.98502036060961</x:v>
      </x:c>
      <x:c r="U2196" s="78" t="n">
        <x:f>O2196+S2196*(1-'Inputs'!$B$17)</x:f>
        <x:v>6061379.081259128</x:v>
      </x:c>
      <x:c r="V2196" s="78" t="n">
        <x:f>P2196-T2196</x:f>
        <x:v>4715.336314645735</x:v>
      </x:c>
      <x:c r="W2196" s="79" t="n">
        <x:f>IF(U2196&gt;0,V2196/U2196,0)</x:f>
        <x:v>0.0007779312680219664</x:v>
      </x:c>
      <x:c r="X2196" s="80" t="n">
        <x:f>W2196*('Inputs'!$B$6-AC2196)</x:f>
        <x:v>777875.4695943289</x:v>
      </x:c>
      <x:c r="Y2196" s="80" t="n">
        <x:f>2*V2196</x:f>
        <x:v>9430.67262929147</x:v>
      </x:c>
      <x:c r="Z2196" s="80" t="n">
        <x:f>K2196*'Inputs'!$B$16+(G2196+R2196)*J2196*'Inputs'!$B$16</x:f>
        <x:v>58.34773364377658</x:v>
      </x:c>
      <x:c r="AA2196" s="80" t="n">
        <x:f>K2196*(1+'Inputs'!$E$50)/2*'Inputs'!$B$17</x:f>
        <x:v>19.365478209281065</x:v>
      </x:c>
      <x:c r="AB2196" s="78" t="n">
        <x:f>(IF(J2196&gt;0,K2196*(1-'Inputs'!$E$50)/2/J2196,0)+G2196+R2196)*'Inputs'!$B$17</x:f>
        <x:v>24393.86546210533</x:v>
      </x:c>
      <x:c r="AC2196" s="78" t="n">
        <x:f>AC2195+AB2196</x:f>
        <x:v>71726.68066083209</x:v>
      </x:c>
      <x:c r="AD2196" s="80" t="n">
        <x:f>Z2196/(1+'Inputs'!$C$50)</x:f>
        <x:v>29.17386682188829</x:v>
      </x:c>
      <x:c r="AE2196" s="80" t="n">
        <x:f>Z2196-AD2196</x:f>
        <x:v>29.17386682188829</x:v>
      </x:c>
      <x:c r="AF2196" s="80" t="n">
        <x:f>D2196*W2196</x:f>
        <x:v>237.10462595844493</x:v>
      </x:c>
      <x:c r="AG2196" s="80" t="n">
        <x:f>C2196*W2196</x:f>
        <x:v>553.2441272363716</x:v>
      </x:c>
      <x:c r="AH2196" s="80" t="n">
        <x:f>2*'Inputs'!$B$8*'Inputs'!$C$50</x:f>
        <x:v>5000</x:v>
      </x:c>
      <x:c r="AI2196" s="81" t="n">
        <x:f>IF(AH2196&gt;0,(AE2196+AF2196)/AH2196*365,0)</x:f>
        <x:v>19.438329972964326</x:v>
      </x:c>
      <x:c r="AJ2196" s="81" t="n">
        <x:f>IF('Inputs'!$B$50&gt;0,AG2196/('Inputs'!$B$19*'Inputs'!$B$50)*365,0)</x:f>
        <x:v>20.193410644127564</x:v>
      </x:c>
      <x:c r="AK2196" s="81" t="n">
        <x:f>W2196/MAX($W$2194:W2196)-1</x:f>
        <x:v>-0.0769516760868717</x:v>
      </x:c>
      <x:c r="AL2196" s="83" t="n">
        <x:f>'Inputs'!$B$50</x:f>
        <x:v>1</x:v>
      </x:c>
      <x:c r="AM2196" s="83" t="n">
        <x:f>'Inputs'!$C$50</x:f>
        <x:v>1</x:v>
      </x:c>
      <x:c r="AN2196" s="83" t="n">
        <x:f>'Inputs'!$D$50</x:f>
        <x:v>1</x:v>
      </x:c>
      <x:c r="AO2196" s="81" t="n">
        <x:f>'Inputs'!$E$50</x:f>
        <x:v>0</x:v>
      </x:c>
    </x:row>
    <x:row r="2197">
      <x:c r="A2197" s="59" t="str">
        <x:v>Whale exit</x:v>
      </x:c>
      <x:c r="B2197" s="59" t="n">
        <x:v>4</x:v>
      </x:c>
      <x:c r="C2197" s="78" t="n">
        <x:f>(('Inputs'!$B$29*(3*4*'Inputs'!$B$12-4^2)/(2*'Inputs'!$B$12^2))-('Inputs'!$B$29*(3*3*'Inputs'!$B$12-3^2)/(2*'Inputs'!$B$12^2)))*'Inputs'!$B$50</x:f>
        <x:v>710848.423719272</x:v>
      </x:c>
      <x:c r="D2197" s="78" t="n">
        <x:f>IF('Inputs'!$C$50&gt;0,('Inputs'!$B$30*(3*4*'Inputs'!$B$12-4^2)/(2*'Inputs'!$B$12^2))-('Inputs'!$B$30*(3*3*'Inputs'!$B$12-3^2)/(2*'Inputs'!$B$12^2)),0)</x:f>
        <x:v>304649.3244511165</x:v>
      </x:c>
      <x:c r="E2197" s="78" t="n">
        <x:f>C2197+D2197</x:f>
        <x:v>1015497.7481703885</x:v>
      </x:c>
      <x:c r="F2197" s="78" t="n">
        <x:f>'Inputs'!$B$13*E2197+(1-'Inputs'!$B$13)/'Inputs'!$B$14*SUM(E2194:E2197)</x:f>
        <x:v>261167.80151730427</x:v>
      </x:c>
      <x:c r="G2197" s="78" t="n">
        <x:f>F2197*'Inputs'!$F$50</x:f>
        <x:v>130583.90075865213</x:v>
      </x:c>
      <x:c r="H2197" s="78" t="n">
        <x:f>U2196</x:f>
        <x:v>6061379.081259128</x:v>
      </x:c>
      <x:c r="I2197" s="78" t="n">
        <x:f>V2196</x:f>
        <x:v>4715.336314645735</x:v>
      </x:c>
      <x:c r="J2197" s="79" t="n">
        <x:f>IF(H2197&gt;0,I2197/H2197,0)</x:f>
        <x:v>0.0007779312680219664</x:v>
      </x:c>
      <x:c r="K2197" s="80" t="n">
        <x:f>(H2197*J2197+I2197)*'Inputs'!$D$50*(1+'Inputs'!$G$50)^(B2197/30)</x:f>
        <x:v>9430.67262929147</x:v>
      </x:c>
      <x:c r="L2197" s="80" t="n">
        <x:f>MAX(0,K2197*'Inputs'!$E$50)</x:f>
        <x:v>0</x:v>
      </x:c>
      <x:c r="M2197" s="80" t="n">
        <x:f>MAX(0,-K2197*'Inputs'!$E$50)</x:f>
        <x:v>0</x:v>
      </x:c>
      <x:c r="N2197" s="78" t="n">
        <x:f>H2197*(L2197*(1-'Inputs'!$B$15))/(I2197+L2197*(1-'Inputs'!$B$15))</x:f>
        <x:v>0</x:v>
      </x:c>
      <x:c r="O2197" s="78" t="n">
        <x:f>H2197-N2197</x:f>
        <x:v>6061379.081259128</x:v>
      </x:c>
      <x:c r="P2197" s="78" t="n">
        <x:f>I2197+L2197*(1-'Inputs'!$B$17)</x:f>
        <x:v>4715.336314645735</x:v>
      </x:c>
      <x:c r="Q2197" s="78" t="n">
        <x:f>IF(J2197&gt;0,M2197/J2197,0)</x:f>
        <x:v>0</x:v>
      </x:c>
      <x:c r="R2197" s="78" t="n">
        <x:f>IF(B2197='Inputs'!$H$50,'Inputs'!$B$27*'Inputs'!$I$50,0)</x:f>
        <x:v>0</x:v>
      </x:c>
      <x:c r="S2197" s="78" t="n">
        <x:f>Q2197+G2197+R2197</x:f>
        <x:v>130583.90075865213</x:v>
      </x:c>
      <x:c r="T2197" s="78" t="n">
        <x:f>P2197*(S2197*(1-'Inputs'!$B$15))/(O2197+S2197*(1-'Inputs'!$B$15))</x:f>
        <x:v>98.4692780071167</x:v>
      </x:c>
      <x:c r="U2197" s="78" t="n">
        <x:f>O2197+S2197*(1-'Inputs'!$B$17)</x:f>
        <x:v>6191437.49348354</x:v>
      </x:c>
      <x:c r="V2197" s="78" t="n">
        <x:f>P2197-T2197</x:f>
        <x:v>4616.867036638619</x:v>
      </x:c>
      <x:c r="W2197" s="79" t="n">
        <x:f>IF(U2197&gt;0,V2197/U2197,0)</x:f>
        <x:v>0.0007456858026101129</x:v>
      </x:c>
      <x:c r="X2197" s="80" t="n">
        <x:f>W2197*('Inputs'!$B$6-AC2197)</x:f>
        <x:v>745613.7365240199</x:v>
      </x:c>
      <x:c r="Y2197" s="80" t="n">
        <x:f>2*V2197</x:f>
        <x:v>9233.734073277237</x:v>
      </x:c>
      <x:c r="Z2197" s="80" t="n">
        <x:f>K2197*'Inputs'!$B$16+(G2197+R2197)*J2197*'Inputs'!$B$16</x:f>
        <x:v>57.19354757275142</x:v>
      </x:c>
      <x:c r="AA2197" s="80" t="n">
        <x:f>K2197*(1+'Inputs'!$E$50)/2*'Inputs'!$B$17</x:f>
        <x:v>18.97519643720618</x:v>
      </x:c>
      <x:c r="AB2197" s="78" t="n">
        <x:f>(IF(J2197&gt;0,K2197*(1-'Inputs'!$E$50)/2/J2197,0)+G2197+R2197)*'Inputs'!$B$17</x:f>
        <x:v>24917.35606445787</x:v>
      </x:c>
      <x:c r="AC2197" s="78" t="n">
        <x:f>AC2196+AB2197</x:f>
        <x:v>96644.03672528996</x:v>
      </x:c>
      <x:c r="AD2197" s="80" t="n">
        <x:f>Z2197/(1+'Inputs'!$C$50)</x:f>
        <x:v>28.59677378637571</x:v>
      </x:c>
      <x:c r="AE2197" s="80" t="n">
        <x:f>Z2197-AD2197</x:f>
        <x:v>28.59677378637571</x:v>
      </x:c>
      <x:c r="AF2197" s="80" t="n">
        <x:f>D2197*W2197</x:f>
        <x:v>227.17267601795947</x:v>
      </x:c>
      <x:c r="AG2197" s="80" t="n">
        <x:f>C2197*W2197</x:f>
        <x:v>530.069577375239</x:v>
      </x:c>
      <x:c r="AH2197" s="80" t="n">
        <x:f>2*'Inputs'!$B$8*'Inputs'!$C$50</x:f>
        <x:v>5000</x:v>
      </x:c>
      <x:c r="AI2197" s="81" t="n">
        <x:f>IF(AH2197&gt;0,(AE2197+AF2197)/AH2197*365,0)</x:f>
        <x:v>18.67116983571647</x:v>
      </x:c>
      <x:c r="AJ2197" s="81" t="n">
        <x:f>IF('Inputs'!$B$50&gt;0,AG2197/('Inputs'!$B$19*'Inputs'!$B$50)*365,0)</x:f>
        <x:v>19.347539574196222</x:v>
      </x:c>
      <x:c r="AK2197" s="81" t="n">
        <x:f>W2197/MAX($W$2194:W2197)-1</x:f>
        <x:v>-0.11521228345118406</x:v>
      </x:c>
      <x:c r="AL2197" s="83" t="n">
        <x:f>'Inputs'!$B$50</x:f>
        <x:v>1</x:v>
      </x:c>
      <x:c r="AM2197" s="83" t="n">
        <x:f>'Inputs'!$C$50</x:f>
        <x:v>1</x:v>
      </x:c>
      <x:c r="AN2197" s="83" t="n">
        <x:f>'Inputs'!$D$50</x:f>
        <x:v>1</x:v>
      </x:c>
      <x:c r="AO2197" s="81" t="n">
        <x:f>'Inputs'!$E$50</x:f>
        <x:v>0</x:v>
      </x:c>
    </x:row>
    <x:row r="2198">
      <x:c r="A2198" s="59" t="str">
        <x:v>Whale exit</x:v>
      </x:c>
      <x:c r="B2198" s="59" t="n">
        <x:v>5</x:v>
      </x:c>
      <x:c r="C2198" s="78" t="n">
        <x:f>(('Inputs'!$B$29*(3*5*'Inputs'!$B$12-5^2)/(2*'Inputs'!$B$12^2))-('Inputs'!$B$29*(3*4*'Inputs'!$B$12-4^2)/(2*'Inputs'!$B$12^2)))*'Inputs'!$B$50</x:f>
        <x:v>710523.3158191028</x:v>
      </x:c>
      <x:c r="D2198" s="78" t="n">
        <x:f>IF('Inputs'!$C$50&gt;0,('Inputs'!$B$30*(3*5*'Inputs'!$B$12-5^2)/(2*'Inputs'!$B$12^2))-('Inputs'!$B$30*(3*4*'Inputs'!$B$12-4^2)/(2*'Inputs'!$B$12^2)),0)</x:f>
        <x:v>304509.9924939014</x:v>
      </x:c>
      <x:c r="E2198" s="78" t="n">
        <x:f>C2198+D2198</x:f>
        <x:v>1015033.3083130042</x:v>
      </x:c>
      <x:c r="F2198" s="78" t="n">
        <x:f>'Inputs'!$B$13*E2198+(1-'Inputs'!$B$13)/'Inputs'!$B$14*SUM(E2194:E2198)</x:f>
        <x:v>275575.3893788703</x:v>
      </x:c>
      <x:c r="G2198" s="78" t="n">
        <x:f>F2198*'Inputs'!$F$50</x:f>
        <x:v>137787.69468943516</x:v>
      </x:c>
      <x:c r="H2198" s="78" t="n">
        <x:f>U2197</x:f>
        <x:v>6191437.49348354</x:v>
      </x:c>
      <x:c r="I2198" s="78" t="n">
        <x:f>V2197</x:f>
        <x:v>4616.867036638619</x:v>
      </x:c>
      <x:c r="J2198" s="79" t="n">
        <x:f>IF(H2198&gt;0,I2198/H2198,0)</x:f>
        <x:v>0.0007456858026101129</x:v>
      </x:c>
      <x:c r="K2198" s="80" t="n">
        <x:f>(H2198*J2198+I2198)*'Inputs'!$D$50*(1+'Inputs'!$G$50)^(B2198/30)</x:f>
        <x:v>9233.734073277237</x:v>
      </x:c>
      <x:c r="L2198" s="80" t="n">
        <x:f>MAX(0,K2198*'Inputs'!$E$50)</x:f>
        <x:v>0</x:v>
      </x:c>
      <x:c r="M2198" s="80" t="n">
        <x:f>MAX(0,-K2198*'Inputs'!$E$50)</x:f>
        <x:v>0</x:v>
      </x:c>
      <x:c r="N2198" s="78" t="n">
        <x:f>H2198*(L2198*(1-'Inputs'!$B$15))/(I2198+L2198*(1-'Inputs'!$B$15))</x:f>
        <x:v>0</x:v>
      </x:c>
      <x:c r="O2198" s="78" t="n">
        <x:f>H2198-N2198</x:f>
        <x:v>6191437.49348354</x:v>
      </x:c>
      <x:c r="P2198" s="78" t="n">
        <x:f>I2198+L2198*(1-'Inputs'!$B$17)</x:f>
        <x:v>4616.867036638619</x:v>
      </x:c>
      <x:c r="Q2198" s="78" t="n">
        <x:f>IF(J2198&gt;0,M2198/J2198,0)</x:f>
        <x:v>0</x:v>
      </x:c>
      <x:c r="R2198" s="78" t="n">
        <x:f>IF(B2198='Inputs'!$H$50,'Inputs'!$B$27*'Inputs'!$I$50,0)</x:f>
        <x:v>0</x:v>
      </x:c>
      <x:c r="S2198" s="78" t="n">
        <x:f>Q2198+G2198+R2198</x:f>
        <x:v>137787.69468943516</x:v>
      </x:c>
      <x:c r="T2198" s="78" t="n">
        <x:f>P2198*(S2198*(1-'Inputs'!$B$15))/(O2198+S2198*(1-'Inputs'!$B$15))</x:f>
        <x:v>99.52610422380614</x:v>
      </x:c>
      <x:c r="U2198" s="78" t="n">
        <x:f>O2198+S2198*(1-'Inputs'!$B$17)</x:f>
        <x:v>6328670.7105283495</x:v>
      </x:c>
      <x:c r="V2198" s="78" t="n">
        <x:f>P2198-T2198</x:f>
        <x:v>4517.340932414812</x:v>
      </x:c>
      <x:c r="W2198" s="79" t="n">
        <x:f>IF(U2198&gt;0,V2198/U2198,0)</x:f>
        <x:v>0.0007137898524092561</x:v>
      </x:c>
      <x:c r="X2198" s="80" t="n">
        <x:f>W2198*('Inputs'!$B$6-AC2198)</x:f>
        <x:v>713702.6888495319</x:v>
      </x:c>
      <x:c r="Y2198" s="80" t="n">
        <x:f>2*V2198</x:f>
        <x:v>9034.681864829625</x:v>
      </x:c>
      <x:c r="Z2198" s="80" t="n">
        <x:f>K2198*'Inputs'!$B$16+(G2198+R2198)*J2198*'Inputs'!$B$16</x:f>
        <x:v>56.01888240588916</x:v>
      </x:c>
      <x:c r="AA2198" s="80" t="n">
        <x:f>K2198*(1+'Inputs'!$E$50)/2*'Inputs'!$B$17</x:f>
        <x:v>18.57894179733851</x:v>
      </x:c>
      <x:c r="AB2198" s="78" t="n">
        <x:f>(IF(J2198&gt;0,K2198*(1-'Inputs'!$E$50)/2/J2198,0)+G2198+R2198)*'Inputs'!$B$17</x:f>
        <x:v>25469.71906709447</x:v>
      </x:c>
      <x:c r="AC2198" s="78" t="n">
        <x:f>AC2197+AB2198</x:f>
        <x:v>122113.75579238443</x:v>
      </x:c>
      <x:c r="AD2198" s="80" t="n">
        <x:f>Z2198/(1+'Inputs'!$C$50)</x:f>
        <x:v>28.00944120294458</x:v>
      </x:c>
      <x:c r="AE2198" s="80" t="n">
        <x:f>Z2198-AD2198</x:f>
        <x:v>28.00944120294458</x:v>
      </x:c>
      <x:c r="AF2198" s="80" t="n">
        <x:f>D2198*W2198</x:f>
        <x:v>217.35614259936557</x:v>
      </x:c>
      <x:c r="AG2198" s="80" t="n">
        <x:f>C2198*W2198</x:f>
        <x:v>507.16433273185265</x:v>
      </x:c>
      <x:c r="AH2198" s="80" t="n">
        <x:f>2*'Inputs'!$B$8*'Inputs'!$C$50</x:f>
        <x:v>5000</x:v>
      </x:c>
      <x:c r="AI2198" s="81" t="n">
        <x:f>IF(AH2198&gt;0,(AE2198+AF2198)/AH2198*365,0)</x:f>
        <x:v>17.91168761756864</x:v>
      </x:c>
      <x:c r="AJ2198" s="81" t="n">
        <x:f>IF('Inputs'!$B$50&gt;0,AG2198/('Inputs'!$B$19*'Inputs'!$B$50)*365,0)</x:f>
        <x:v>18.511498144712622</x:v>
      </x:c>
      <x:c r="AK2198" s="81" t="n">
        <x:f>W2198/MAX($W$2194:W2198)-1</x:f>
        <x:v>-0.153058176247572</x:v>
      </x:c>
      <x:c r="AL2198" s="83" t="n">
        <x:f>'Inputs'!$B$50</x:f>
        <x:v>1</x:v>
      </x:c>
      <x:c r="AM2198" s="83" t="n">
        <x:f>'Inputs'!$C$50</x:f>
        <x:v>1</x:v>
      </x:c>
      <x:c r="AN2198" s="83" t="n">
        <x:f>'Inputs'!$D$50</x:f>
        <x:v>1</x:v>
      </x:c>
      <x:c r="AO2198" s="81" t="n">
        <x:f>'Inputs'!$E$50</x:f>
        <x:v>0</x:v>
      </x:c>
    </x:row>
    <x:row r="2199">
      <x:c r="A2199" s="59" t="str">
        <x:v>Whale exit</x:v>
      </x:c>
      <x:c r="B2199" s="59" t="n">
        <x:v>6</x:v>
      </x:c>
      <x:c r="C2199" s="78" t="n">
        <x:f>(('Inputs'!$B$29*(3*6*'Inputs'!$B$12-6^2)/(2*'Inputs'!$B$12^2))-('Inputs'!$B$29*(3*5*'Inputs'!$B$12-5^2)/(2*'Inputs'!$B$12^2)))*'Inputs'!$B$50</x:f>
        <x:v>710198.2079189345</x:v>
      </x:c>
      <x:c r="D2199" s="78" t="n">
        <x:f>IF('Inputs'!$C$50&gt;0,('Inputs'!$B$30*(3*6*'Inputs'!$B$12-6^2)/(2*'Inputs'!$B$12^2))-('Inputs'!$B$30*(3*5*'Inputs'!$B$12-5^2)/(2*'Inputs'!$B$12^2)),0)</x:f>
        <x:v>304370.66053668596</x:v>
      </x:c>
      <x:c r="E2199" s="78" t="n">
        <x:f>C2199+D2199</x:f>
        <x:v>1014568.8684556205</x:v>
      </x:c>
      <x:c r="F2199" s="78" t="n">
        <x:f>'Inputs'!$B$13*E2199+(1-'Inputs'!$B$13)/'Inputs'!$B$14*SUM(E2194:E2199)</x:f>
        <x:v>289976.342385331</x:v>
      </x:c>
      <x:c r="G2199" s="78" t="n">
        <x:f>F2199*'Inputs'!$F$50</x:f>
        <x:v>144988.1711926655</x:v>
      </x:c>
      <x:c r="H2199" s="78" t="n">
        <x:f>U2198</x:f>
        <x:v>6328670.7105283495</x:v>
      </x:c>
      <x:c r="I2199" s="78" t="n">
        <x:f>V2198</x:f>
        <x:v>4517.340932414812</x:v>
      </x:c>
      <x:c r="J2199" s="79" t="n">
        <x:f>IF(H2199&gt;0,I2199/H2199,0)</x:f>
        <x:v>0.0007137898524092561</x:v>
      </x:c>
      <x:c r="K2199" s="80" t="n">
        <x:f>(H2199*J2199+I2199)*'Inputs'!$D$50*(1+'Inputs'!$G$50)^(B2199/30)</x:f>
        <x:v>9034.681864829625</x:v>
      </x:c>
      <x:c r="L2199" s="80" t="n">
        <x:f>MAX(0,K2199*'Inputs'!$E$50)</x:f>
        <x:v>0</x:v>
      </x:c>
      <x:c r="M2199" s="80" t="n">
        <x:f>MAX(0,-K2199*'Inputs'!$E$50)</x:f>
        <x:v>0</x:v>
      </x:c>
      <x:c r="N2199" s="78" t="n">
        <x:f>H2199*(L2199*(1-'Inputs'!$B$15))/(I2199+L2199*(1-'Inputs'!$B$15))</x:f>
        <x:v>0</x:v>
      </x:c>
      <x:c r="O2199" s="78" t="n">
        <x:f>H2199-N2199</x:f>
        <x:v>6328670.7105283495</x:v>
      </x:c>
      <x:c r="P2199" s="78" t="n">
        <x:f>I2199+L2199*(1-'Inputs'!$B$17)</x:f>
        <x:v>4517.340932414812</x:v>
      </x:c>
      <x:c r="Q2199" s="78" t="n">
        <x:f>IF(J2199&gt;0,M2199/J2199,0)</x:f>
        <x:v>0</x:v>
      </x:c>
      <x:c r="R2199" s="78" t="n">
        <x:f>IF(B2199='Inputs'!$H$50,'Inputs'!$B$27*'Inputs'!$I$50,0)</x:f>
        <x:v>0</x:v>
      </x:c>
      <x:c r="S2199" s="78" t="n">
        <x:f>Q2199+G2199+R2199</x:f>
        <x:v>144988.1711926655</x:v>
      </x:c>
      <x:c r="T2199" s="78" t="n">
        <x:f>P2199*(S2199*(1-'Inputs'!$B$15))/(O2199+S2199*(1-'Inputs'!$B$15))</x:f>
        <x:v>100.18393881273572</x:v>
      </x:c>
      <x:c r="U2199" s="78" t="n">
        <x:f>O2199+S2199*(1-'Inputs'!$B$17)</x:f>
        <x:v>6473075.428315813</x:v>
      </x:c>
      <x:c r="V2199" s="78" t="n">
        <x:f>P2199-T2199</x:f>
        <x:v>4417.156993602077</x:v>
      </x:c>
      <x:c r="W2199" s="79" t="n">
        <x:f>IF(U2199&gt;0,V2199/U2199,0)</x:f>
        <x:v>0.000682389235614291</x:v>
      </x:c>
      <x:c r="X2199" s="80" t="n">
        <x:f>W2199*('Inputs'!$B$6-AC2199)</x:f>
        <x:v>682288.1296199831</x:v>
      </x:c>
      <x:c r="Y2199" s="80" t="n">
        <x:f>2*V2199</x:f>
        <x:v>8834.313987204154</x:v>
      </x:c>
      <x:c r="Z2199" s="80" t="n">
        <x:f>K2199*'Inputs'!$B$16+(G2199+R2199)*J2199*'Inputs'!$B$16</x:f>
        <x:v>54.82903770087795</x:v>
      </x:c>
      <x:c r="AA2199" s="80" t="n">
        <x:f>K2199*(1+'Inputs'!$E$50)/2*'Inputs'!$B$17</x:f>
        <x:v>18.17843433567329</x:v>
      </x:c>
      <x:c r="AB2199" s="78" t="n">
        <x:f>(IF(J2199&gt;0,K2199*(1-'Inputs'!$E$50)/2/J2199,0)+G2199+R2199)*'Inputs'!$B$17</x:f>
        <x:v>26050.94117392763</x:v>
      </x:c>
      <x:c r="AC2199" s="78" t="n">
        <x:f>AC2198+AB2199</x:f>
        <x:v>148164.69696631207</x:v>
      </x:c>
      <x:c r="AD2199" s="80" t="n">
        <x:f>Z2199/(1+'Inputs'!$C$50)</x:f>
        <x:v>27.414518850438974</x:v>
      </x:c>
      <x:c r="AE2199" s="80" t="n">
        <x:f>Z2199-AD2199</x:f>
        <x:v>27.414518850438974</x:v>
      </x:c>
      <x:c r="AF2199" s="80" t="n">
        <x:f>D2199*W2199</x:f>
        <x:v>207.699262387046</x:v>
      </x:c>
      <x:c r="AG2199" s="80" t="n">
        <x:f>C2199*W2199</x:f>
        <x:v>484.6316122364411</x:v>
      </x:c>
      <x:c r="AH2199" s="80" t="n">
        <x:f>2*'Inputs'!$B$8*'Inputs'!$C$50</x:f>
        <x:v>5000</x:v>
      </x:c>
      <x:c r="AI2199" s="81" t="n">
        <x:f>IF(AH2199&gt;0,(AE2199+AF2199)/AH2199*365,0)</x:f>
        <x:v>17.163306030336404</x:v>
      </x:c>
      <x:c r="AJ2199" s="81" t="n">
        <x:f>IF('Inputs'!$B$50&gt;0,AG2199/('Inputs'!$B$19*'Inputs'!$B$50)*365,0)</x:f>
        <x:v>17.6890538466301</x:v>
      </x:c>
      <x:c r="AK2199" s="81" t="n">
        <x:f>W2199/MAX($W$2194:W2199)-1</x:f>
        <x:v>-0.19031633502569756</x:v>
      </x:c>
      <x:c r="AL2199" s="83" t="n">
        <x:f>'Inputs'!$B$50</x:f>
        <x:v>1</x:v>
      </x:c>
      <x:c r="AM2199" s="83" t="n">
        <x:f>'Inputs'!$C$50</x:f>
        <x:v>1</x:v>
      </x:c>
      <x:c r="AN2199" s="83" t="n">
        <x:f>'Inputs'!$D$50</x:f>
        <x:v>1</x:v>
      </x:c>
      <x:c r="AO2199" s="81" t="n">
        <x:f>'Inputs'!$E$50</x:f>
        <x:v>0</x:v>
      </x:c>
    </x:row>
    <x:row r="2200">
      <x:c r="A2200" s="59" t="str">
        <x:v>Whale exit</x:v>
      </x:c>
      <x:c r="B2200" s="59" t="n">
        <x:v>7</x:v>
      </x:c>
      <x:c r="C2200" s="78" t="n">
        <x:f>(('Inputs'!$B$29*(3*7*'Inputs'!$B$12-7^2)/(2*'Inputs'!$B$12^2))-('Inputs'!$B$29*(3*6*'Inputs'!$B$12-6^2)/(2*'Inputs'!$B$12^2)))*'Inputs'!$B$50</x:f>
        <x:v>709873.1000187648</x:v>
      </x:c>
      <x:c r="D2200" s="78" t="n">
        <x:f>IF('Inputs'!$C$50&gt;0,('Inputs'!$B$30*(3*7*'Inputs'!$B$12-7^2)/(2*'Inputs'!$B$12^2))-('Inputs'!$B$30*(3*6*'Inputs'!$B$12-6^2)/(2*'Inputs'!$B$12^2)),0)</x:f>
        <x:v>304231.32857947075</x:v>
      </x:c>
      <x:c r="E2200" s="78" t="n">
        <x:f>C2200+D2200</x:f>
        <x:v>1014104.4285982356</x:v>
      </x:c>
      <x:c r="F2200" s="78" t="n">
        <x:f>'Inputs'!$B$13*E2200+(1-'Inputs'!$B$13)/'Inputs'!$B$14*SUM(E2194:E2200)</x:f>
        <x:v>304370.66053668596</x:v>
      </x:c>
      <x:c r="G2200" s="78" t="n">
        <x:f>F2200*'Inputs'!$F$50</x:f>
        <x:v>152185.33026834298</x:v>
      </x:c>
      <x:c r="H2200" s="78" t="n">
        <x:f>U2199</x:f>
        <x:v>6473075.428315813</x:v>
      </x:c>
      <x:c r="I2200" s="78" t="n">
        <x:f>V2199</x:f>
        <x:v>4417.156993602077</x:v>
      </x:c>
      <x:c r="J2200" s="79" t="n">
        <x:f>IF(H2200&gt;0,I2200/H2200,0)</x:f>
        <x:v>0.000682389235614291</x:v>
      </x:c>
      <x:c r="K2200" s="80" t="n">
        <x:f>(H2200*J2200+I2200)*'Inputs'!$D$50*(1+'Inputs'!$G$50)^(B2200/30)</x:f>
        <x:v>8834.313987204154</x:v>
      </x:c>
      <x:c r="L2200" s="80" t="n">
        <x:f>MAX(0,K2200*'Inputs'!$E$50)</x:f>
        <x:v>0</x:v>
      </x:c>
      <x:c r="M2200" s="80" t="n">
        <x:f>MAX(0,-K2200*'Inputs'!$E$50)</x:f>
        <x:v>0</x:v>
      </x:c>
      <x:c r="N2200" s="78" t="n">
        <x:f>H2200*(L2200*(1-'Inputs'!$B$15))/(I2200+L2200*(1-'Inputs'!$B$15))</x:f>
        <x:v>0</x:v>
      </x:c>
      <x:c r="O2200" s="78" t="n">
        <x:f>H2200-N2200</x:f>
        <x:v>6473075.428315813</x:v>
      </x:c>
      <x:c r="P2200" s="78" t="n">
        <x:f>I2200+L2200*(1-'Inputs'!$B$17)</x:f>
        <x:v>4417.156993602077</x:v>
      </x:c>
      <x:c r="Q2200" s="78" t="n">
        <x:f>IF(J2200&gt;0,M2200/J2200,0)</x:f>
        <x:v>0</x:v>
      </x:c>
      <x:c r="R2200" s="78" t="n">
        <x:f>IF(B2200='Inputs'!$H$50,'Inputs'!$B$27*'Inputs'!$I$50,0)</x:f>
        <x:v>0</x:v>
      </x:c>
      <x:c r="S2200" s="78" t="n">
        <x:f>Q2200+G2200+R2200</x:f>
        <x:v>152185.33026834298</x:v>
      </x:c>
      <x:c r="T2200" s="78" t="n">
        <x:f>P2200*(S2200*(1-'Inputs'!$B$15))/(O2200+S2200*(1-'Inputs'!$B$15))</x:f>
        <x:v>100.47259417617222</x:v>
      </x:c>
      <x:c r="U2200" s="78" t="n">
        <x:f>O2200+S2200*(1-'Inputs'!$B$17)</x:f>
        <x:v>6624648.342768187</x:v>
      </x:c>
      <x:c r="V2200" s="78" t="n">
        <x:f>P2200-T2200</x:f>
        <x:v>4316.684399425904</x:v>
      </x:c>
      <x:c r="W2200" s="79" t="n">
        <x:f>IF(U2200&gt;0,V2200/U2200,0)</x:f>
        <x:v>0.00065160959134355</x:v>
      </x:c>
      <x:c r="X2200" s="80" t="n">
        <x:f>W2200*('Inputs'!$B$6-AC2200)</x:f>
        <x:v>651495.673236671</x:v>
      </x:c>
      <x:c r="Y2200" s="80" t="n">
        <x:f>2*V2200</x:f>
        <x:v>8633.368798851809</x:v>
      </x:c>
      <x:c r="Z2200" s="80" t="n">
        <x:f>K2200*'Inputs'!$B$16+(G2200+R2200)*J2200*'Inputs'!$B$16</x:f>
        <x:v>53.62898171038606</x:v>
      </x:c>
      <x:c r="AA2200" s="80" t="n">
        <x:f>K2200*(1+'Inputs'!$E$50)/2*'Inputs'!$B$17</x:f>
        <x:v>17.775279652322244</x:v>
      </x:c>
      <x:c r="AB2200" s="78" t="n">
        <x:f>(IF(J2200&gt;0,K2200*(1-'Inputs'!$E$50)/2/J2200,0)+G2200+R2200)*'Inputs'!$B$17</x:f>
        <x:v>26661.009088869843</x:v>
      </x:c>
      <x:c r="AC2200" s="78" t="n">
        <x:f>AC2199+AB2200</x:f>
        <x:v>174825.70605518192</x:v>
      </x:c>
      <x:c r="AD2200" s="80" t="n">
        <x:f>Z2200/(1+'Inputs'!$C$50)</x:f>
        <x:v>26.81449085519303</x:v>
      </x:c>
      <x:c r="AE2200" s="80" t="n">
        <x:f>Z2200-AD2200</x:f>
        <x:v>26.81449085519303</x:v>
      </x:c>
      <x:c r="AF2200" s="80" t="n">
        <x:f>D2200*W2200</x:f>
        <x:v>198.24005168957422</x:v>
      </x:c>
      <x:c r="AG2200" s="80" t="n">
        <x:f>C2200*W2200</x:f>
        <x:v>462.5601206090064</x:v>
      </x:c>
      <x:c r="AH2200" s="80" t="n">
        <x:f>2*'Inputs'!$B$8*'Inputs'!$C$50</x:f>
        <x:v>5000</x:v>
      </x:c>
      <x:c r="AI2200" s="81" t="n">
        <x:f>IF(AH2200&gt;0,(AE2200+AF2200)/AH2200*365,0)</x:f>
        <x:v>16.42898160576801</x:v>
      </x:c>
      <x:c r="AJ2200" s="81" t="n">
        <x:f>IF('Inputs'!$B$50&gt;0,AG2200/('Inputs'!$B$19*'Inputs'!$B$50)*365,0)</x:f>
        <x:v>16.883444402228733</x:v>
      </x:c>
      <x:c r="AK2200" s="81" t="n">
        <x:f>W2200/MAX($W$2194:W2200)-1</x:f>
        <x:v>-0.22683768366230683</x:v>
      </x:c>
      <x:c r="AL2200" s="83" t="n">
        <x:f>'Inputs'!$B$50</x:f>
        <x:v>1</x:v>
      </x:c>
      <x:c r="AM2200" s="83" t="n">
        <x:f>'Inputs'!$C$50</x:f>
        <x:v>1</x:v>
      </x:c>
      <x:c r="AN2200" s="83" t="n">
        <x:f>'Inputs'!$D$50</x:f>
        <x:v>1</x:v>
      </x:c>
      <x:c r="AO2200" s="81" t="n">
        <x:f>'Inputs'!$E$50</x:f>
        <x:v>0</x:v>
      </x:c>
    </x:row>
    <x:row r="2201">
      <x:c r="A2201" s="59" t="str">
        <x:v>Whale exit</x:v>
      </x:c>
      <x:c r="B2201" s="59" t="n">
        <x:v>8</x:v>
      </x:c>
      <x:c r="C2201" s="78" t="n">
        <x:f>(('Inputs'!$B$29*(3*8*'Inputs'!$B$12-8^2)/(2*'Inputs'!$B$12^2))-('Inputs'!$B$29*(3*7*'Inputs'!$B$12-7^2)/(2*'Inputs'!$B$12^2)))*'Inputs'!$B$50</x:f>
        <x:v>709547.9921185961</x:v>
      </x:c>
      <x:c r="D2201" s="78" t="n">
        <x:f>IF('Inputs'!$C$50&gt;0,('Inputs'!$B$30*(3*8*'Inputs'!$B$12-8^2)/(2*'Inputs'!$B$12^2))-('Inputs'!$B$30*(3*7*'Inputs'!$B$12-7^2)/(2*'Inputs'!$B$12^2)),0)</x:f>
        <x:v>304091.99662225554</x:v>
      </x:c>
      <x:c r="E2201" s="78" t="n">
        <x:f>C2201+D2201</x:f>
        <x:v>1013639.9887408516</x:v>
      </x:c>
      <x:c r="F2201" s="78" t="n">
        <x:f>'Inputs'!$B$13*E2201+(1-'Inputs'!$B$13)/'Inputs'!$B$14*SUM(E2194:E2201)</x:f>
        <x:v>318758.3438329357</x:v>
      </x:c>
      <x:c r="G2201" s="78" t="n">
        <x:f>F2201*'Inputs'!$F$50</x:f>
        <x:v>159379.17191646784</x:v>
      </x:c>
      <x:c r="H2201" s="78" t="n">
        <x:f>U2200</x:f>
        <x:v>6624648.342768187</x:v>
      </x:c>
      <x:c r="I2201" s="78" t="n">
        <x:f>V2200</x:f>
        <x:v>4316.684399425904</x:v>
      </x:c>
      <x:c r="J2201" s="79" t="n">
        <x:f>IF(H2201&gt;0,I2201/H2201,0)</x:f>
        <x:v>0.00065160959134355</x:v>
      </x:c>
      <x:c r="K2201" s="80" t="n">
        <x:f>(H2201*J2201+I2201)*'Inputs'!$D$50*(1+'Inputs'!$G$50)^(B2201/30)</x:f>
        <x:v>8633.368798851809</x:v>
      </x:c>
      <x:c r="L2201" s="80" t="n">
        <x:f>MAX(0,K2201*'Inputs'!$E$50)</x:f>
        <x:v>0</x:v>
      </x:c>
      <x:c r="M2201" s="80" t="n">
        <x:f>MAX(0,-K2201*'Inputs'!$E$50)</x:f>
        <x:v>0</x:v>
      </x:c>
      <x:c r="N2201" s="78" t="n">
        <x:f>H2201*(L2201*(1-'Inputs'!$B$15))/(I2201+L2201*(1-'Inputs'!$B$15))</x:f>
        <x:v>0</x:v>
      </x:c>
      <x:c r="O2201" s="78" t="n">
        <x:f>H2201-N2201</x:f>
        <x:v>6624648.342768187</x:v>
      </x:c>
      <x:c r="P2201" s="78" t="n">
        <x:f>I2201+L2201*(1-'Inputs'!$B$17)</x:f>
        <x:v>4316.684399425904</x:v>
      </x:c>
      <x:c r="Q2201" s="78" t="n">
        <x:f>IF(J2201&gt;0,M2201/J2201,0)</x:f>
        <x:v>0</x:v>
      </x:c>
      <x:c r="R2201" s="78" t="n">
        <x:f>IF(B2201='Inputs'!$H$50,'Inputs'!$B$27*'Inputs'!$I$50,0)</x:f>
        <x:v>0</x:v>
      </x:c>
      <x:c r="S2201" s="78" t="n">
        <x:f>Q2201+G2201+R2201</x:f>
        <x:v>159379.17191646784</x:v>
      </x:c>
      <x:c r="T2201" s="78" t="n">
        <x:f>P2201*(S2201*(1-'Inputs'!$B$15))/(O2201+S2201*(1-'Inputs'!$B$15))</x:f>
        <x:v>100.42260890053804</x:v>
      </x:c>
      <x:c r="U2201" s="78" t="n">
        <x:f>O2201+S2201*(1-'Inputs'!$B$17)</x:f>
        <x:v>6783386.149807727</x:v>
      </x:c>
      <x:c r="V2201" s="78" t="n">
        <x:f>P2201-T2201</x:f>
        <x:v>4216.261790525366</x:v>
      </x:c>
      <x:c r="W2201" s="79" t="n">
        <x:f>IF(U2201&gt;0,V2201/U2201,0)</x:f>
        <x:v>0.000621557095145597</x:v>
      </x:c>
      <x:c r="X2201" s="80" t="n">
        <x:f>W2201*('Inputs'!$B$6-AC2201)</x:f>
        <x:v>621431.4625351282</x:v>
      </x:c>
      <x:c r="Y2201" s="80" t="n">
        <x:f>2*V2201</x:f>
        <x:v>8432.523581050733</x:v>
      </x:c>
      <x:c r="Z2201" s="80" t="n">
        <x:f>K2201*'Inputs'!$B$16+(G2201+R2201)*J2201*'Inputs'!$B$16</x:f>
        <x:v>52.42333077559783</x:v>
      </x:c>
      <x:c r="AA2201" s="80" t="n">
        <x:f>K2201*(1+'Inputs'!$E$50)/2*'Inputs'!$B$17</x:f>
        <x:v>17.370963377971446</x:v>
      </x:c>
      <x:c r="AB2201" s="78" t="n">
        <x:f>(IF(J2201&gt;0,K2201*(1-'Inputs'!$E$50)/2/J2201,0)+G2201+R2201)*'Inputs'!$B$17</x:f>
        <x:v>27299.909515833628</x:v>
      </x:c>
      <x:c r="AC2201" s="78" t="n">
        <x:f>AC2200+AB2201</x:f>
        <x:v>202125.61557101554</x:v>
      </x:c>
      <x:c r="AD2201" s="80" t="n">
        <x:f>Z2201/(1+'Inputs'!$C$50)</x:f>
        <x:v>26.211665387798917</x:v>
      </x:c>
      <x:c r="AE2201" s="80" t="n">
        <x:f>Z2201-AD2201</x:f>
        <x:v>26.211665387798917</x:v>
      </x:c>
      <x:c r="AF2201" s="80" t="n">
        <x:f>D2201*W2201</x:f>
        <x:v>189.01053807755386</x:v>
      </x:c>
      <x:c r="AG2201" s="80" t="n">
        <x:f>C2201*W2201</x:f>
        <x:v>441.0245888476256</x:v>
      </x:c>
      <x:c r="AH2201" s="80" t="n">
        <x:f>2*'Inputs'!$B$8*'Inputs'!$C$50</x:f>
        <x:v>5000</x:v>
      </x:c>
      <x:c r="AI2201" s="81" t="n">
        <x:f>IF(AH2201&gt;0,(AE2201+AF2201)/AH2201*365,0)</x:f>
        <x:v>15.711220852970753</x:v>
      </x:c>
      <x:c r="AJ2201" s="81" t="n">
        <x:f>IF('Inputs'!$B$50&gt;0,AG2201/('Inputs'!$B$19*'Inputs'!$B$50)*365,0)</x:f>
        <x:v>16.097397492938335</x:v>
      </x:c>
      <x:c r="AK2201" s="81" t="n">
        <x:f>W2201/MAX($W$2194:W2201)-1</x:f>
        <x:v>-0.26249624038218267</x:v>
      </x:c>
      <x:c r="AL2201" s="83" t="n">
        <x:f>'Inputs'!$B$50</x:f>
        <x:v>1</x:v>
      </x:c>
      <x:c r="AM2201" s="83" t="n">
        <x:f>'Inputs'!$C$50</x:f>
        <x:v>1</x:v>
      </x:c>
      <x:c r="AN2201" s="83" t="n">
        <x:f>'Inputs'!$D$50</x:f>
        <x:v>1</x:v>
      </x:c>
      <x:c r="AO2201" s="81" t="n">
        <x:f>'Inputs'!$E$50</x:f>
        <x:v>0</x:v>
      </x:c>
    </x:row>
    <x:row r="2202">
      <x:c r="A2202" s="59" t="str">
        <x:v>Whale exit</x:v>
      </x:c>
      <x:c r="B2202" s="59" t="n">
        <x:v>9</x:v>
      </x:c>
      <x:c r="C2202" s="78" t="n">
        <x:f>(('Inputs'!$B$29*(3*9*'Inputs'!$B$12-9^2)/(2*'Inputs'!$B$12^2))-('Inputs'!$B$29*(3*8*'Inputs'!$B$12-8^2)/(2*'Inputs'!$B$12^2)))*'Inputs'!$B$50</x:f>
        <x:v>709222.8842184283</x:v>
      </x:c>
      <x:c r="D2202" s="78" t="n">
        <x:f>IF('Inputs'!$C$50&gt;0,('Inputs'!$B$30*(3*9*'Inputs'!$B$12-9^2)/(2*'Inputs'!$B$12^2))-('Inputs'!$B$30*(3*8*'Inputs'!$B$12-8^2)/(2*'Inputs'!$B$12^2)),0)</x:f>
        <x:v>303952.66466504056</x:v>
      </x:c>
      <x:c r="E2202" s="78" t="n">
        <x:f>C2202+D2202</x:f>
        <x:v>1013175.5488834688</x:v>
      </x:c>
      <x:c r="F2202" s="78" t="n">
        <x:f>'Inputs'!$B$13*E2202+(1-'Inputs'!$B$13)/'Inputs'!$B$14*SUM(E2194:E2202)</x:f>
        <x:v>333139.3922740801</x:v>
      </x:c>
      <x:c r="G2202" s="78" t="n">
        <x:f>F2202*'Inputs'!$F$50</x:f>
        <x:v>166569.69613704004</x:v>
      </x:c>
      <x:c r="H2202" s="78" t="n">
        <x:f>U2201</x:f>
        <x:v>6783386.149807727</x:v>
      </x:c>
      <x:c r="I2202" s="78" t="n">
        <x:f>V2201</x:f>
        <x:v>4216.261790525366</x:v>
      </x:c>
      <x:c r="J2202" s="79" t="n">
        <x:f>IF(H2202&gt;0,I2202/H2202,0)</x:f>
        <x:v>0.000621557095145597</x:v>
      </x:c>
      <x:c r="K2202" s="80" t="n">
        <x:f>(H2202*J2202+I2202)*'Inputs'!$D$50*(1+'Inputs'!$G$50)^(B2202/30)</x:f>
        <x:v>8432.523581050733</x:v>
      </x:c>
      <x:c r="L2202" s="80" t="n">
        <x:f>MAX(0,K2202*'Inputs'!$E$50)</x:f>
        <x:v>0</x:v>
      </x:c>
      <x:c r="M2202" s="80" t="n">
        <x:f>MAX(0,-K2202*'Inputs'!$E$50)</x:f>
        <x:v>0</x:v>
      </x:c>
      <x:c r="N2202" s="78" t="n">
        <x:f>H2202*(L2202*(1-'Inputs'!$B$15))/(I2202+L2202*(1-'Inputs'!$B$15))</x:f>
        <x:v>0</x:v>
      </x:c>
      <x:c r="O2202" s="78" t="n">
        <x:f>H2202-N2202</x:f>
        <x:v>6783386.149807727</x:v>
      </x:c>
      <x:c r="P2202" s="78" t="n">
        <x:f>I2202+L2202*(1-'Inputs'!$B$17)</x:f>
        <x:v>4216.261790525366</x:v>
      </x:c>
      <x:c r="Q2202" s="78" t="n">
        <x:f>IF(J2202&gt;0,M2202/J2202,0)</x:f>
        <x:v>0</x:v>
      </x:c>
      <x:c r="R2202" s="78" t="n">
        <x:f>IF(B2202='Inputs'!$H$50,'Inputs'!$B$27*'Inputs'!$I$50,0)</x:f>
        <x:v>0</x:v>
      </x:c>
      <x:c r="S2202" s="78" t="n">
        <x:f>Q2202+G2202+R2202</x:f>
        <x:v>166569.69613704004</x:v>
      </x:c>
      <x:c r="T2202" s="78" t="n">
        <x:f>P2202*(S2202*(1-'Inputs'!$B$15))/(O2202+S2202*(1-'Inputs'!$B$15))</x:f>
        <x:v>100.06468007541805</x:v>
      </x:c>
      <x:c r="U2202" s="78" t="n">
        <x:f>O2202+S2202*(1-'Inputs'!$B$17)</x:f>
        <x:v>6949285.54535669</x:v>
      </x:c>
      <x:c r="V2202" s="78" t="n">
        <x:f>P2202-T2202</x:f>
        <x:v>4116.197110449948</x:v>
      </x:c>
      <x:c r="W2202" s="79" t="n">
        <x:f>IF(U2202&gt;0,V2202/U2202,0)</x:f>
        <x:v>0.0005923194670278401</x:v>
      </x:c>
      <x:c r="X2202" s="80" t="n">
        <x:f>W2202*('Inputs'!$B$6-AC2202)</x:f>
        <x:v>592183.1783197551</x:v>
      </x:c>
      <x:c r="Y2202" s="80" t="n">
        <x:f>2*V2202</x:f>
        <x:v>8232.394220899896</x:v>
      </x:c>
      <x:c r="Z2202" s="80" t="n">
        <x:f>K2202*'Inputs'!$B$16+(G2202+R2202)*J2202*'Inputs'!$B$16</x:f>
        <x:v>51.21633694512574</x:v>
      </x:c>
      <x:c r="AA2202" s="80" t="n">
        <x:f>K2202*(1+'Inputs'!$E$50)/2*'Inputs'!$B$17</x:f>
        <x:v>16.966848251611133</x:v>
      </x:c>
      <x:c r="AB2202" s="78" t="n">
        <x:f>(IF(J2202&gt;0,K2202*(1-'Inputs'!$E$50)/2/J2202,0)+G2202+R2202)*'Inputs'!$B$17</x:f>
        <x:v>27967.62915873146</x:v>
      </x:c>
      <x:c r="AC2202" s="78" t="n">
        <x:f>AC2201+AB2202</x:f>
        <x:v>230093.244729747</x:v>
      </x:c>
      <x:c r="AD2202" s="80" t="n">
        <x:f>Z2202/(1+'Inputs'!$C$50)</x:f>
        <x:v>25.60816847256287</x:v>
      </x:c>
      <x:c r="AE2202" s="80" t="n">
        <x:f>Z2202-AD2202</x:f>
        <x:v>25.60816847256287</x:v>
      </x:c>
      <x:c r="AF2202" s="80" t="n">
        <x:f>D2202*W2202</x:f>
        <x:v>180.03708033608865</x:v>
      </x:c>
      <x:c r="AG2202" s="80" t="n">
        <x:f>C2202*W2202</x:f>
        <x:v>420.086520784207</x:v>
      </x:c>
      <x:c r="AH2202" s="80" t="n">
        <x:f>2*'Inputs'!$B$8*'Inputs'!$C$50</x:f>
        <x:v>5000</x:v>
      </x:c>
      <x:c r="AI2202" s="81" t="n">
        <x:f>IF(AH2202&gt;0,(AE2202+AF2202)/AH2202*365,0)</x:f>
        <x:v>15.012103163031561</x:v>
      </x:c>
      <x:c r="AJ2202" s="81" t="n">
        <x:f>IF('Inputs'!$B$50&gt;0,AG2202/('Inputs'!$B$19*'Inputs'!$B$50)*365,0)</x:f>
        <x:v>15.333158008623556</x:v>
      </x:c>
      <x:c r="AK2202" s="81" t="n">
        <x:f>W2202/MAX($W$2194:W2202)-1</x:f>
        <x:v>-0.29718792168959707</x:v>
      </x:c>
      <x:c r="AL2202" s="83" t="n">
        <x:f>'Inputs'!$B$50</x:f>
        <x:v>1</x:v>
      </x:c>
      <x:c r="AM2202" s="83" t="n">
        <x:f>'Inputs'!$C$50</x:f>
        <x:v>1</x:v>
      </x:c>
      <x:c r="AN2202" s="83" t="n">
        <x:f>'Inputs'!$D$50</x:f>
        <x:v>1</x:v>
      </x:c>
      <x:c r="AO2202" s="81" t="n">
        <x:f>'Inputs'!$E$50</x:f>
        <x:v>0</x:v>
      </x:c>
    </x:row>
    <x:row r="2203">
      <x:c r="A2203" s="59" t="str">
        <x:v>Whale exit</x:v>
      </x:c>
      <x:c r="B2203" s="59" t="n">
        <x:v>10</x:v>
      </x:c>
      <x:c r="C2203" s="78" t="n">
        <x:f>(('Inputs'!$B$29*(3*10*'Inputs'!$B$12-10^2)/(2*'Inputs'!$B$12^2))-('Inputs'!$B$29*(3*9*'Inputs'!$B$12-9^2)/(2*'Inputs'!$B$12^2)))*'Inputs'!$B$50</x:f>
        <x:v>708897.7763182586</x:v>
      </x:c>
      <x:c r="D2203" s="78" t="n">
        <x:f>IF('Inputs'!$C$50&gt;0,('Inputs'!$B$30*(3*10*'Inputs'!$B$12-10^2)/(2*'Inputs'!$B$12^2))-('Inputs'!$B$30*(3*9*'Inputs'!$B$12-9^2)/(2*'Inputs'!$B$12^2)),0)</x:f>
        <x:v>303813.3327078251</x:v>
      </x:c>
      <x:c r="E2203" s="78" t="n">
        <x:f>C2203+D2203</x:f>
        <x:v>1012711.1090260837</x:v>
      </x:c>
      <x:c r="F2203" s="78" t="n">
        <x:f>'Inputs'!$B$13*E2203+(1-'Inputs'!$B$13)/'Inputs'!$B$14*SUM(E2194:E2203)</x:f>
        <x:v>347513.8058601185</x:v>
      </x:c>
      <x:c r="G2203" s="78" t="n">
        <x:f>F2203*'Inputs'!$F$50</x:f>
        <x:v>173756.90293005924</x:v>
      </x:c>
      <x:c r="H2203" s="78" t="n">
        <x:f>U2202</x:f>
        <x:v>6949285.54535669</x:v>
      </x:c>
      <x:c r="I2203" s="78" t="n">
        <x:f>V2202</x:f>
        <x:v>4116.197110449948</x:v>
      </x:c>
      <x:c r="J2203" s="79" t="n">
        <x:f>IF(H2203&gt;0,I2203/H2203,0)</x:f>
        <x:v>0.0005923194670278401</x:v>
      </x:c>
      <x:c r="K2203" s="80" t="n">
        <x:f>(H2203*J2203+I2203)*'Inputs'!$D$50*(1+'Inputs'!$G$50)^(B2203/30)</x:f>
        <x:v>8232.394220899896</x:v>
      </x:c>
      <x:c r="L2203" s="80" t="n">
        <x:f>MAX(0,K2203*'Inputs'!$E$50)</x:f>
        <x:v>0</x:v>
      </x:c>
      <x:c r="M2203" s="80" t="n">
        <x:f>MAX(0,-K2203*'Inputs'!$E$50)</x:f>
        <x:v>0</x:v>
      </x:c>
      <x:c r="N2203" s="78" t="n">
        <x:f>H2203*(L2203*(1-'Inputs'!$B$15))/(I2203+L2203*(1-'Inputs'!$B$15))</x:f>
        <x:v>0</x:v>
      </x:c>
      <x:c r="O2203" s="78" t="n">
        <x:f>H2203-N2203</x:f>
        <x:v>6949285.54535669</x:v>
      </x:c>
      <x:c r="P2203" s="78" t="n">
        <x:f>I2203+L2203*(1-'Inputs'!$B$17)</x:f>
        <x:v>4116.197110449948</x:v>
      </x:c>
      <x:c r="Q2203" s="78" t="n">
        <x:f>IF(J2203&gt;0,M2203/J2203,0)</x:f>
        <x:v>0</x:v>
      </x:c>
      <x:c r="R2203" s="78" t="n">
        <x:f>IF(B2203='Inputs'!$H$50,'Inputs'!$B$27*'Inputs'!$I$50,0)</x:f>
        <x:v>0</x:v>
      </x:c>
      <x:c r="S2203" s="78" t="n">
        <x:f>Q2203+G2203+R2203</x:f>
        <x:v>173756.90293005924</x:v>
      </x:c>
      <x:c r="T2203" s="78" t="n">
        <x:f>P2203*(S2203*(1-'Inputs'!$B$15))/(O2203+S2203*(1-'Inputs'!$B$15))</x:f>
        <x:v>99.42917725742123</x:v>
      </x:c>
      <x:c r="U2203" s="78" t="n">
        <x:f>O2203+S2203*(1-'Inputs'!$B$17)</x:f>
        <x:v>7122343.225337332</x:v>
      </x:c>
      <x:c r="V2203" s="78" t="n">
        <x:f>P2203-T2203</x:f>
        <x:v>4016.767933192527</x:v>
      </x:c>
      <x:c r="W2203" s="79" t="n">
        <x:f>IF(U2203&gt;0,V2203/U2203,0)</x:f>
        <x:v>0.0005639671953610861</x:v>
      </x:c>
      <x:c r="X2203" s="80" t="n">
        <x:f>W2203*('Inputs'!$B$6-AC2203)</x:f>
        <x:v>563821.2646762386</x:v>
      </x:c>
      <x:c r="Y2203" s="80" t="n">
        <x:f>2*V2203</x:f>
        <x:v>8033.535866385054</x:v>
      </x:c>
      <x:c r="Z2203" s="80" t="n">
        <x:f>K2203*'Inputs'!$B$16+(G2203+R2203)*J2203*'Inputs'!$B$16</x:f>
        <x:v>50.01188290221502</x:v>
      </x:c>
      <x:c r="AA2203" s="80" t="n">
        <x:f>K2203*(1+'Inputs'!$E$50)/2*'Inputs'!$B$17</x:f>
        <x:v>16.56417348269597</x:v>
      </x:c>
      <x:c r="AB2203" s="78" t="n">
        <x:f>(IF(J2203&gt;0,K2203*(1-'Inputs'!$E$50)/2/J2203,0)+G2203+R2203)*'Inputs'!$B$17</x:f>
        <x:v>28664.154721475854</x:v>
      </x:c>
      <x:c r="AC2203" s="78" t="n">
        <x:f>AC2202+AB2203</x:f>
        <x:v>258757.39945122285</x:v>
      </x:c>
      <x:c r="AD2203" s="80" t="n">
        <x:f>Z2203/(1+'Inputs'!$C$50)</x:f>
        <x:v>25.00594145110751</x:v>
      </x:c>
      <x:c r="AE2203" s="80" t="n">
        <x:f>Z2203-AD2203</x:f>
        <x:v>25.00594145110751</x:v>
      </x:c>
      <x:c r="AF2203" s="80" t="n">
        <x:f>D2203*W2203</x:f>
        <x:v>171.34075316053665</x:v>
      </x:c>
      <x:c r="AG2203" s="80" t="n">
        <x:f>C2203*W2203</x:f>
        <x:v>399.79509070791886</x:v>
      </x:c>
      <x:c r="AH2203" s="80" t="n">
        <x:f>2*'Inputs'!$B$8*'Inputs'!$C$50</x:f>
        <x:v>5000</x:v>
      </x:c>
      <x:c r="AI2203" s="81" t="n">
        <x:f>IF(AH2203&gt;0,(AE2203+AF2203)/AH2203*365,0)</x:f>
        <x:v>14.333308706650024</x:v>
      </x:c>
      <x:c r="AJ2203" s="81" t="n">
        <x:f>IF('Inputs'!$B$50&gt;0,AG2203/('Inputs'!$B$19*'Inputs'!$B$50)*365,0)</x:f>
        <x:v>14.592520810839037</x:v>
      </x:c>
      <x:c r="AK2203" s="81" t="n">
        <x:f>W2203/MAX($W$2194:W2203)-1</x:f>
        <x:v>-0.3308290901538373</x:v>
      </x:c>
      <x:c r="AL2203" s="83" t="n">
        <x:f>'Inputs'!$B$50</x:f>
        <x:v>1</x:v>
      </x:c>
      <x:c r="AM2203" s="83" t="n">
        <x:f>'Inputs'!$C$50</x:f>
        <x:v>1</x:v>
      </x:c>
      <x:c r="AN2203" s="83" t="n">
        <x:f>'Inputs'!$D$50</x:f>
        <x:v>1</x:v>
      </x:c>
      <x:c r="AO2203" s="81" t="n">
        <x:f>'Inputs'!$E$50</x:f>
        <x:v>0</x:v>
      </x:c>
    </x:row>
    <x:row r="2204">
      <x:c r="A2204" s="59" t="str">
        <x:v>Whale exit</x:v>
      </x:c>
      <x:c r="B2204" s="59" t="n">
        <x:v>11</x:v>
      </x:c>
      <x:c r="C2204" s="78" t="n">
        <x:f>(('Inputs'!$B$29*(3*11*'Inputs'!$B$12-11^2)/(2*'Inputs'!$B$12^2))-('Inputs'!$B$29*(3*10*'Inputs'!$B$12-10^2)/(2*'Inputs'!$B$12^2)))*'Inputs'!$B$50</x:f>
        <x:v>708572.6684180889</x:v>
      </x:c>
      <x:c r="D2204" s="78" t="n">
        <x:f>IF('Inputs'!$C$50&gt;0,('Inputs'!$B$30*(3*11*'Inputs'!$B$12-11^2)/(2*'Inputs'!$B$12^2))-('Inputs'!$B$30*(3*10*'Inputs'!$B$12-10^2)/(2*'Inputs'!$B$12^2)),0)</x:f>
        <x:v>303674.0007506097</x:v>
      </x:c>
      <x:c r="E2204" s="78" t="n">
        <x:f>C2204+D2204</x:f>
        <x:v>1012246.6691686986</x:v>
      </x:c>
      <x:c r="F2204" s="78" t="n">
        <x:f>'Inputs'!$B$13*E2204+(1-'Inputs'!$B$13)/'Inputs'!$B$14*SUM(E2194:E2204)</x:f>
        <x:v>361881.58459105145</x:v>
      </x:c>
      <x:c r="G2204" s="78" t="n">
        <x:f>F2204*'Inputs'!$F$50</x:f>
        <x:v>180940.79229552572</x:v>
      </x:c>
      <x:c r="H2204" s="78" t="n">
        <x:f>U2203</x:f>
        <x:v>7122343.225337332</x:v>
      </x:c>
      <x:c r="I2204" s="78" t="n">
        <x:f>V2203</x:f>
        <x:v>4016.767933192527</x:v>
      </x:c>
      <x:c r="J2204" s="79" t="n">
        <x:f>IF(H2204&gt;0,I2204/H2204,0)</x:f>
        <x:v>0.0005639671953610861</x:v>
      </x:c>
      <x:c r="K2204" s="80" t="n">
        <x:f>(H2204*J2204+I2204)*'Inputs'!$D$50*(1+'Inputs'!$G$50)^(B2204/30)</x:f>
        <x:v>8033.535866385055</x:v>
      </x:c>
      <x:c r="L2204" s="80" t="n">
        <x:f>MAX(0,K2204*'Inputs'!$E$50)</x:f>
        <x:v>0</x:v>
      </x:c>
      <x:c r="M2204" s="80" t="n">
        <x:f>MAX(0,-K2204*'Inputs'!$E$50)</x:f>
        <x:v>0</x:v>
      </x:c>
      <x:c r="N2204" s="78" t="n">
        <x:f>H2204*(L2204*(1-'Inputs'!$B$15))/(I2204+L2204*(1-'Inputs'!$B$15))</x:f>
        <x:v>0</x:v>
      </x:c>
      <x:c r="O2204" s="78" t="n">
        <x:f>H2204-N2204</x:f>
        <x:v>7122343.225337332</x:v>
      </x:c>
      <x:c r="P2204" s="78" t="n">
        <x:f>I2204+L2204*(1-'Inputs'!$B$17)</x:f>
        <x:v>4016.767933192527</x:v>
      </x:c>
      <x:c r="Q2204" s="78" t="n">
        <x:f>IF(J2204&gt;0,M2204/J2204,0)</x:f>
        <x:v>0</x:v>
      </x:c>
      <x:c r="R2204" s="78" t="n">
        <x:f>IF(B2204='Inputs'!$H$50,'Inputs'!$B$27*'Inputs'!$I$50,0)</x:f>
        <x:v>0</x:v>
      </x:c>
      <x:c r="S2204" s="78" t="n">
        <x:f>Q2204+G2204+R2204</x:f>
        <x:v>180940.79229552572</x:v>
      </x:c>
      <x:c r="T2204" s="78" t="n">
        <x:f>P2204*(S2204*(1-'Inputs'!$B$15))/(O2204+S2204*(1-'Inputs'!$B$15))</x:f>
        <x:v>98.5457375444758</x:v>
      </x:c>
      <x:c r="U2204" s="78" t="n">
        <x:f>O2204+S2204*(1-'Inputs'!$B$17)</x:f>
        <x:v>7302555.88567191</x:v>
      </x:c>
      <x:c r="V2204" s="78" t="n">
        <x:f>P2204-T2204</x:f>
        <x:v>3918.222195648051</x:v>
      </x:c>
      <x:c r="W2204" s="79" t="n">
        <x:f>IF(U2204&gt;0,V2204/U2204,0)</x:f>
        <x:v>0.0005365549072121253</x:v>
      </x:c>
      <x:c r="X2204" s="80" t="n">
        <x:f>W2204*('Inputs'!$B$6-AC2204)</x:f>
        <x:v>536400.3005937631</x:v>
      </x:c>
      <x:c r="Y2204" s="80" t="n">
        <x:f>2*V2204</x:f>
        <x:v>7836.444391296102</x:v>
      </x:c>
      <x:c r="Z2204" s="80" t="n">
        <x:f>K2204*'Inputs'!$B$16+(G2204+R2204)*J2204*'Inputs'!$B$16</x:f>
        <x:v>48.81348322525425</x:v>
      </x:c>
      <x:c r="AA2204" s="80" t="n">
        <x:f>K2204*(1+'Inputs'!$E$50)/2*'Inputs'!$B$17</x:f>
        <x:v>16.16405606918522</x:v>
      </x:c>
      <x:c r="AB2204" s="78" t="n">
        <x:f>(IF(J2204&gt;0,K2204*(1-'Inputs'!$E$50)/2/J2204,0)+G2204+R2204)*'Inputs'!$B$17</x:f>
        <x:v>29389.47290797931</x:v>
      </x:c>
      <x:c r="AC2204" s="78" t="n">
        <x:f>AC2203+AB2204</x:f>
        <x:v>288146.8723592022</x:v>
      </x:c>
      <x:c r="AD2204" s="80" t="n">
        <x:f>Z2204/(1+'Inputs'!$C$50)</x:f>
        <x:v>24.406741612627126</x:v>
      </x:c>
      <x:c r="AE2204" s="80" t="n">
        <x:f>Z2204-AD2204</x:f>
        <x:v>24.406741612627126</x:v>
      </x:c>
      <x:c r="AF2204" s="80" t="n">
        <x:f>D2204*W2204</x:f>
        <x:v>162.93777529547822</x:v>
      </x:c>
      <x:c r="AG2204" s="80" t="n">
        <x:f>C2204*W2204</x:f>
        <x:v>380.1881423561157</x:v>
      </x:c>
      <x:c r="AH2204" s="80" t="n">
        <x:f>2*'Inputs'!$B$8*'Inputs'!$C$50</x:f>
        <x:v>5000</x:v>
      </x:c>
      <x:c r="AI2204" s="81" t="n">
        <x:f>IF(AH2204&gt;0,(AE2204+AF2204)/AH2204*365,0)</x:f>
        <x:v>13.67614973429169</x:v>
      </x:c>
      <x:c r="AJ2204" s="81" t="n">
        <x:f>IF('Inputs'!$B$50&gt;0,AG2204/('Inputs'!$B$19*'Inputs'!$B$50)*365,0)</x:f>
        <x:v>13.876867195998223</x:v>
      </x:c>
      <x:c r="AK2204" s="81" t="n">
        <x:f>W2204/MAX($W$2194:W2204)-1</x:f>
        <x:v>-0.3633549284516848</x:v>
      </x:c>
      <x:c r="AL2204" s="83" t="n">
        <x:f>'Inputs'!$B$50</x:f>
        <x:v>1</x:v>
      </x:c>
      <x:c r="AM2204" s="83" t="n">
        <x:f>'Inputs'!$C$50</x:f>
        <x:v>1</x:v>
      </x:c>
      <x:c r="AN2204" s="83" t="n">
        <x:f>'Inputs'!$D$50</x:f>
        <x:v>1</x:v>
      </x:c>
      <x:c r="AO2204" s="81" t="n">
        <x:f>'Inputs'!$E$50</x:f>
        <x:v>0</x:v>
      </x:c>
    </x:row>
    <x:row r="2205">
      <x:c r="A2205" s="59" t="str">
        <x:v>Whale exit</x:v>
      </x:c>
      <x:c r="B2205" s="59" t="n">
        <x:v>12</x:v>
      </x:c>
      <x:c r="C2205" s="78" t="n">
        <x:f>(('Inputs'!$B$29*(3*12*'Inputs'!$B$12-12^2)/(2*'Inputs'!$B$12^2))-('Inputs'!$B$29*(3*11*'Inputs'!$B$12-11^2)/(2*'Inputs'!$B$12^2)))*'Inputs'!$B$50</x:f>
        <x:v>708247.5605179211</x:v>
      </x:c>
      <x:c r="D2205" s="78" t="n">
        <x:f>IF('Inputs'!$C$50&gt;0,('Inputs'!$B$30*(3*12*'Inputs'!$B$12-12^2)/(2*'Inputs'!$B$12^2))-('Inputs'!$B$30*(3*11*'Inputs'!$B$12-11^2)/(2*'Inputs'!$B$12^2)),0)</x:f>
        <x:v>303534.6687933947</x:v>
      </x:c>
      <x:c r="E2205" s="78" t="n">
        <x:f>C2205+D2205</x:f>
        <x:v>1011782.2293113158</x:v>
      </x:c>
      <x:c r="F2205" s="78" t="n">
        <x:f>'Inputs'!$B$13*E2205+(1-'Inputs'!$B$13)/'Inputs'!$B$14*SUM(E2194:E2205)</x:f>
        <x:v>376242.7284668794</x:v>
      </x:c>
      <x:c r="G2205" s="78" t="n">
        <x:f>F2205*'Inputs'!$F$50</x:f>
        <x:v>188121.3642334397</x:v>
      </x:c>
      <x:c r="H2205" s="78" t="n">
        <x:f>U2204</x:f>
        <x:v>7302555.88567191</x:v>
      </x:c>
      <x:c r="I2205" s="78" t="n">
        <x:f>V2204</x:f>
        <x:v>3918.222195648051</x:v>
      </x:c>
      <x:c r="J2205" s="79" t="n">
        <x:f>IF(H2205&gt;0,I2205/H2205,0)</x:f>
        <x:v>0.0005365549072121253</x:v>
      </x:c>
      <x:c r="K2205" s="80" t="n">
        <x:f>(H2205*J2205+I2205)*'Inputs'!$D$50*(1+'Inputs'!$G$50)^(B2205/30)</x:f>
        <x:v>7836.4443912961015</x:v>
      </x:c>
      <x:c r="L2205" s="80" t="n">
        <x:f>MAX(0,K2205*'Inputs'!$E$50)</x:f>
        <x:v>0</x:v>
      </x:c>
      <x:c r="M2205" s="80" t="n">
        <x:f>MAX(0,-K2205*'Inputs'!$E$50)</x:f>
        <x:v>0</x:v>
      </x:c>
      <x:c r="N2205" s="78" t="n">
        <x:f>H2205*(L2205*(1-'Inputs'!$B$15))/(I2205+L2205*(1-'Inputs'!$B$15))</x:f>
        <x:v>0</x:v>
      </x:c>
      <x:c r="O2205" s="78" t="n">
        <x:f>H2205-N2205</x:f>
        <x:v>7302555.88567191</x:v>
      </x:c>
      <x:c r="P2205" s="78" t="n">
        <x:f>I2205+L2205*(1-'Inputs'!$B$17)</x:f>
        <x:v>3918.222195648051</x:v>
      </x:c>
      <x:c r="Q2205" s="78" t="n">
        <x:f>IF(J2205&gt;0,M2205/J2205,0)</x:f>
        <x:v>0</x:v>
      </x:c>
      <x:c r="R2205" s="78" t="n">
        <x:f>IF(B2205='Inputs'!$H$50,'Inputs'!$B$27*'Inputs'!$I$50,0)</x:f>
        <x:v>0</x:v>
      </x:c>
      <x:c r="S2205" s="78" t="n">
        <x:f>Q2205+G2205+R2205</x:f>
        <x:v>188121.3642334397</x:v>
      </x:c>
      <x:c r="T2205" s="78" t="n">
        <x:f>P2205*(S2205*(1-'Inputs'!$B$15))/(O2205+S2205*(1-'Inputs'!$B$15))</x:f>
        <x:v>97.44293852220432</x:v>
      </x:c>
      <x:c r="U2205" s="78" t="n">
        <x:f>O2205+S2205*(1-'Inputs'!$B$17)</x:f>
        <x:v>7489920.22228268</x:v>
      </x:c>
      <x:c r="V2205" s="78" t="n">
        <x:f>P2205-T2205</x:f>
        <x:v>3820.779257125847</x:v>
      </x:c>
      <x:c r="W2205" s="79" t="n">
        <x:f>IF(U2205&gt;0,V2205/U2205,0)</x:f>
        <x:v>0.0005101228242403628</x:v>
      </x:c>
      <x:c r="X2205" s="80" t="n">
        <x:f>W2205*('Inputs'!$B$6-AC2205)</x:f>
        <x:v>509960.4570207625</x:v>
      </x:c>
      <x:c r="Y2205" s="80" t="n">
        <x:f>2*V2205</x:f>
        <x:v>7641.558514251694</x:v>
      </x:c>
      <x:c r="Z2205" s="80" t="n">
        <x:f>K2205*'Inputs'!$B$16+(G2205+R2205)*J2205*'Inputs'!$B$16</x:f>
        <x:v>47.62429099456196</x:v>
      </x:c>
      <x:c r="AA2205" s="80" t="n">
        <x:f>K2205*(1+'Inputs'!$E$50)/2*'Inputs'!$B$17</x:f>
        <x:v>15.76749374506258</x:v>
      </x:c>
      <x:c r="AB2205" s="78" t="n">
        <x:f>(IF(J2205&gt;0,K2205*(1-'Inputs'!$E$50)/2/J2205,0)+G2205+R2205)*'Inputs'!$B$17</x:f>
        <x:v>30143.570422154327</x:v>
      </x:c>
      <x:c r="AC2205" s="78" t="n">
        <x:f>AC2204+AB2205</x:f>
        <x:v>318290.4427813565</x:v>
      </x:c>
      <x:c r="AD2205" s="80" t="n">
        <x:f>Z2205/(1+'Inputs'!$C$50)</x:f>
        <x:v>23.81214549728098</x:v>
      </x:c>
      <x:c r="AE2205" s="80" t="n">
        <x:f>Z2205-AD2205</x:f>
        <x:v>23.81214549728098</x:v>
      </x:c>
      <x:c r="AF2205" s="80" t="n">
        <x:f>D2205*W2205</x:f>
        <x:v>154.83996249974962</x:v>
      </x:c>
      <x:c r="AG2205" s="80" t="n">
        <x:f>C2205*W2205</x:f>
        <x:v>361.2932458327492</x:v>
      </x:c>
      <x:c r="AH2205" s="80" t="n">
        <x:f>2*'Inputs'!$B$8*'Inputs'!$C$50</x:f>
        <x:v>5000</x:v>
      </x:c>
      <x:c r="AI2205" s="81" t="n">
        <x:f>IF(AH2205&gt;0,(AE2205+AF2205)/AH2205*365,0)</x:f>
        <x:v>13.041603883783234</x:v>
      </x:c>
      <x:c r="AJ2205" s="81" t="n">
        <x:f>IF('Inputs'!$B$50&gt;0,AG2205/('Inputs'!$B$19*'Inputs'!$B$50)*365,0)</x:f>
        <x:v>13.187203472895346</x:v>
      </x:c>
      <x:c r="AK2205" s="81" t="n">
        <x:f>W2205/MAX($W$2194:W2205)-1</x:f>
        <x:v>-0.3947177118845384</x:v>
      </x:c>
      <x:c r="AL2205" s="83" t="n">
        <x:f>'Inputs'!$B$50</x:f>
        <x:v>1</x:v>
      </x:c>
      <x:c r="AM2205" s="83" t="n">
        <x:f>'Inputs'!$C$50</x:f>
        <x:v>1</x:v>
      </x:c>
      <x:c r="AN2205" s="83" t="n">
        <x:f>'Inputs'!$D$50</x:f>
        <x:v>1</x:v>
      </x:c>
      <x:c r="AO2205" s="81" t="n">
        <x:f>'Inputs'!$E$50</x:f>
        <x:v>0</x:v>
      </x:c>
    </x:row>
    <x:row r="2206">
      <x:c r="A2206" s="59" t="str">
        <x:v>Whale exit</x:v>
      </x:c>
      <x:c r="B2206" s="59" t="n">
        <x:v>13</x:v>
      </x:c>
      <x:c r="C2206" s="78" t="n">
        <x:f>(('Inputs'!$B$29*(3*13*'Inputs'!$B$12-13^2)/(2*'Inputs'!$B$12^2))-('Inputs'!$B$29*(3*12*'Inputs'!$B$12-12^2)/(2*'Inputs'!$B$12^2)))*'Inputs'!$B$50</x:f>
        <x:v>707922.4526177514</x:v>
      </x:c>
      <x:c r="D2206" s="78" t="n">
        <x:f>IF('Inputs'!$C$50&gt;0,('Inputs'!$B$30*(3*13*'Inputs'!$B$12-13^2)/(2*'Inputs'!$B$12^2))-('Inputs'!$B$30*(3*12*'Inputs'!$B$12-12^2)/(2*'Inputs'!$B$12^2)),0)</x:f>
        <x:v>303395.3368361797</x:v>
      </x:c>
      <x:c r="E2206" s="78" t="n">
        <x:f>C2206+D2206</x:f>
        <x:v>1011317.7894539312</x:v>
      </x:c>
      <x:c r="F2206" s="78" t="n">
        <x:f>'Inputs'!$B$13*E2206+(1-'Inputs'!$B$13)/'Inputs'!$B$14*SUM(E2194:E2206)</x:f>
        <x:v>390597.23748760147</x:v>
      </x:c>
      <x:c r="G2206" s="78" t="n">
        <x:f>F2206*'Inputs'!$F$50</x:f>
        <x:v>195298.61874380073</x:v>
      </x:c>
      <x:c r="H2206" s="78" t="n">
        <x:f>U2205</x:f>
        <x:v>7489920.22228268</x:v>
      </x:c>
      <x:c r="I2206" s="78" t="n">
        <x:f>V2205</x:f>
        <x:v>3820.779257125847</x:v>
      </x:c>
      <x:c r="J2206" s="79" t="n">
        <x:f>IF(H2206&gt;0,I2206/H2206,0)</x:f>
        <x:v>0.0005101228242403628</x:v>
      </x:c>
      <x:c r="K2206" s="80" t="n">
        <x:f>(H2206*J2206+I2206)*'Inputs'!$D$50*(1+'Inputs'!$G$50)^(B2206/30)</x:f>
        <x:v>7641.558514251694</x:v>
      </x:c>
      <x:c r="L2206" s="80" t="n">
        <x:f>MAX(0,K2206*'Inputs'!$E$50)</x:f>
        <x:v>0</x:v>
      </x:c>
      <x:c r="M2206" s="80" t="n">
        <x:f>MAX(0,-K2206*'Inputs'!$E$50)</x:f>
        <x:v>0</x:v>
      </x:c>
      <x:c r="N2206" s="78" t="n">
        <x:f>H2206*(L2206*(1-'Inputs'!$B$15))/(I2206+L2206*(1-'Inputs'!$B$15))</x:f>
        <x:v>0</x:v>
      </x:c>
      <x:c r="O2206" s="78" t="n">
        <x:f>H2206-N2206</x:f>
        <x:v>7489920.22228268</x:v>
      </x:c>
      <x:c r="P2206" s="78" t="n">
        <x:f>I2206+L2206*(1-'Inputs'!$B$17)</x:f>
        <x:v>3820.779257125847</x:v>
      </x:c>
      <x:c r="Q2206" s="78" t="n">
        <x:f>IF(J2206&gt;0,M2206/J2206,0)</x:f>
        <x:v>0</x:v>
      </x:c>
      <x:c r="R2206" s="78" t="n">
        <x:f>IF(B2206='Inputs'!$H$50,'Inputs'!$B$27*'Inputs'!$I$50,0)</x:f>
        <x:v>0</x:v>
      </x:c>
      <x:c r="S2206" s="78" t="n">
        <x:f>Q2206+G2206+R2206</x:f>
        <x:v>195298.61874380073</x:v>
      </x:c>
      <x:c r="T2206" s="78" t="n">
        <x:f>P2206*(S2206*(1-'Inputs'!$B$15))/(O2206+S2206*(1-'Inputs'!$B$15))</x:f>
        <x:v>96.14804385064484</x:v>
      </x:c>
      <x:c r="U2206" s="78" t="n">
        <x:f>O2206+S2206*(1-'Inputs'!$B$17)</x:f>
        <x:v>7684432.931091898</x:v>
      </x:c>
      <x:c r="V2206" s="78" t="n">
        <x:f>P2206-T2206</x:f>
        <x:v>3724.6312132752023</x:v>
      </x:c>
      <x:c r="W2206" s="79" t="n">
        <x:f>IF(U2206&gt;0,V2206/U2206,0)</x:f>
        <x:v>0.000484698252515812</x:v>
      </x:c>
      <x:c r="X2206" s="80" t="n">
        <x:f>W2206*('Inputs'!$B$6-AC2206)</x:f>
        <x:v>484528.9877059026</x:v>
      </x:c>
      <x:c r="Y2206" s="80" t="n">
        <x:f>2*V2206</x:f>
        <x:v>7449.262426550405</x:v>
      </x:c>
      <x:c r="Z2206" s="80" t="n">
        <x:f>K2206*'Inputs'!$B$16+(G2206+R2206)*J2206*'Inputs'!$B$16</x:f>
        <x:v>46.44710878329314</x:v>
      </x:c>
      <x:c r="AA2206" s="80" t="n">
        <x:f>K2206*(1+'Inputs'!$E$50)/2*'Inputs'!$B$17</x:f>
        <x:v>15.375369243967192</x:v>
      </x:c>
      <x:c r="AB2206" s="78" t="n">
        <x:f>(IF(J2206&gt;0,K2206*(1-'Inputs'!$E$50)/2/J2206,0)+G2206+R2206)*'Inputs'!$B$17</x:f>
        <x:v>30926.433967913406</x:v>
      </x:c>
      <x:c r="AC2206" s="78" t="n">
        <x:f>AC2205+AB2206</x:f>
        <x:v>349216.8767492699</x:v>
      </x:c>
      <x:c r="AD2206" s="80" t="n">
        <x:f>Z2206/(1+'Inputs'!$C$50)</x:f>
        <x:v>23.22355439164657</x:v>
      </x:c>
      <x:c r="AE2206" s="80" t="n">
        <x:f>Z2206-AD2206</x:f>
        <x:v>23.22355439164657</x:v>
      </x:c>
      <x:c r="AF2206" s="80" t="n">
        <x:f>D2206*W2206</x:f>
        <x:v>147.0551895859425</x:v>
      </x:c>
      <x:c r="AG2206" s="80" t="n">
        <x:f>C2206*W2206</x:f>
        <x:v>343.12877570053183</x:v>
      </x:c>
      <x:c r="AH2206" s="80" t="n">
        <x:f>2*'Inputs'!$B$8*'Inputs'!$C$50</x:f>
        <x:v>5000</x:v>
      </x:c>
      <x:c r="AI2206" s="81" t="n">
        <x:f>IF(AH2206&gt;0,(AE2206+AF2206)/AH2206*365,0)</x:f>
        <x:v>12.430348310364</x:v>
      </x:c>
      <x:c r="AJ2206" s="81" t="n">
        <x:f>IF('Inputs'!$B$50&gt;0,AG2206/('Inputs'!$B$19*'Inputs'!$B$50)*365,0)</x:f>
        <x:v>12.524200313069413</x:v>
      </x:c>
      <x:c r="AK2206" s="81" t="n">
        <x:f>W2206/MAX($W$2194:W2206)-1</x:f>
        <x:v>-0.42488504064640664</x:v>
      </x:c>
      <x:c r="AL2206" s="83" t="n">
        <x:f>'Inputs'!$B$50</x:f>
        <x:v>1</x:v>
      </x:c>
      <x:c r="AM2206" s="83" t="n">
        <x:f>'Inputs'!$C$50</x:f>
        <x:v>1</x:v>
      </x:c>
      <x:c r="AN2206" s="83" t="n">
        <x:f>'Inputs'!$D$50</x:f>
        <x:v>1</x:v>
      </x:c>
      <x:c r="AO2206" s="81" t="n">
        <x:f>'Inputs'!$E$50</x:f>
        <x:v>0</x:v>
      </x:c>
    </x:row>
    <x:row r="2207">
      <x:c r="A2207" s="59" t="str">
        <x:v>Whale exit</x:v>
      </x:c>
      <x:c r="B2207" s="59" t="n">
        <x:v>14</x:v>
      </x:c>
      <x:c r="C2207" s="78" t="n">
        <x:f>(('Inputs'!$B$29*(3*14*'Inputs'!$B$12-14^2)/(2*'Inputs'!$B$12^2))-('Inputs'!$B$29*(3*13*'Inputs'!$B$12-13^2)/(2*'Inputs'!$B$12^2)))*'Inputs'!$B$50</x:f>
        <x:v>707597.3447175827</x:v>
      </x:c>
      <x:c r="D2207" s="78" t="n">
        <x:f>IF('Inputs'!$C$50&gt;0,('Inputs'!$B$30*(3*14*'Inputs'!$B$12-14^2)/(2*'Inputs'!$B$12^2))-('Inputs'!$B$30*(3*13*'Inputs'!$B$12-13^2)/(2*'Inputs'!$B$12^2)),0)</x:f>
        <x:v>303256.0048789638</x:v>
      </x:c>
      <x:c r="E2207" s="78" t="n">
        <x:f>C2207+D2207</x:f>
        <x:v>1010853.3495965465</x:v>
      </x:c>
      <x:c r="F2207" s="78" t="n">
        <x:f>'Inputs'!$B$13*E2207+(1-'Inputs'!$B$13)/'Inputs'!$B$14*SUM(E2194:E2207)</x:f>
        <x:v>404945.1116532181</x:v>
      </x:c>
      <x:c r="G2207" s="78" t="n">
        <x:f>F2207*'Inputs'!$F$50</x:f>
        <x:v>202472.55582660905</x:v>
      </x:c>
      <x:c r="H2207" s="78" t="n">
        <x:f>U2206</x:f>
        <x:v>7684432.931091898</x:v>
      </x:c>
      <x:c r="I2207" s="78" t="n">
        <x:f>V2206</x:f>
        <x:v>3724.6312132752023</x:v>
      </x:c>
      <x:c r="J2207" s="79" t="n">
        <x:f>IF(H2207&gt;0,I2207/H2207,0)</x:f>
        <x:v>0.000484698252515812</x:v>
      </x:c>
      <x:c r="K2207" s="80" t="n">
        <x:f>(H2207*J2207+I2207)*'Inputs'!$D$50*(1+'Inputs'!$G$50)^(B2207/30)</x:f>
        <x:v>7449.262426550405</x:v>
      </x:c>
      <x:c r="L2207" s="80" t="n">
        <x:f>MAX(0,K2207*'Inputs'!$E$50)</x:f>
        <x:v>0</x:v>
      </x:c>
      <x:c r="M2207" s="80" t="n">
        <x:f>MAX(0,-K2207*'Inputs'!$E$50)</x:f>
        <x:v>0</x:v>
      </x:c>
      <x:c r="N2207" s="78" t="n">
        <x:f>H2207*(L2207*(1-'Inputs'!$B$15))/(I2207+L2207*(1-'Inputs'!$B$15))</x:f>
        <x:v>0</x:v>
      </x:c>
      <x:c r="O2207" s="78" t="n">
        <x:f>H2207-N2207</x:f>
        <x:v>7684432.931091898</x:v>
      </x:c>
      <x:c r="P2207" s="78" t="n">
        <x:f>I2207+L2207*(1-'Inputs'!$B$17)</x:f>
        <x:v>3724.6312132752023</x:v>
      </x:c>
      <x:c r="Q2207" s="78" t="n">
        <x:f>IF(J2207&gt;0,M2207/J2207,0)</x:f>
        <x:v>0</x:v>
      </x:c>
      <x:c r="R2207" s="78" t="n">
        <x:f>IF(B2207='Inputs'!$H$50,'Inputs'!$B$27*'Inputs'!$I$50,0)</x:f>
        <x:v>0</x:v>
      </x:c>
      <x:c r="S2207" s="78" t="n">
        <x:f>Q2207+G2207+R2207</x:f>
        <x:v>202472.55582660905</x:v>
      </x:c>
      <x:c r="T2207" s="78" t="n">
        <x:f>P2207*(S2207*(1-'Inputs'!$B$15))/(O2207+S2207*(1-'Inputs'!$B$15))</x:f>
        <x:v>94.68681491157555</x:v>
      </x:c>
      <x:c r="U2207" s="78" t="n">
        <x:f>O2207+S2207*(1-'Inputs'!$B$17)</x:f>
        <x:v>7886090.7080218205</x:v>
      </x:c>
      <x:c r="V2207" s="78" t="n">
        <x:f>P2207-T2207</x:f>
        <x:v>3629.9443983636265</x:v>
      </x:c>
      <x:c r="W2207" s="79" t="n">
        <x:f>IF(U2207&gt;0,V2207/U2207,0)</x:f>
        <x:v>0.00046029706387617456</x:v>
      </x:c>
      <x:c r="X2207" s="80" t="n">
        <x:f>W2207*('Inputs'!$B$6-AC2207)</x:f>
        <x:v>460121.711441808</x:v>
      </x:c>
      <x:c r="Y2207" s="80" t="n">
        <x:f>2*V2207</x:f>
        <x:v>7259.888796727253</x:v>
      </x:c>
      <x:c r="Z2207" s="80" t="n">
        <x:f>K2207*'Inputs'!$B$16+(G2207+R2207)*J2207*'Inputs'!$B$16</x:f>
        <x:v>45.284403123251835</x:v>
      </x:c>
      <x:c r="AA2207" s="80" t="n">
        <x:f>K2207*(1+'Inputs'!$E$50)/2*'Inputs'!$B$17</x:f>
        <x:v>14.988455586620534</x:v>
      </x:c>
      <x:c r="AB2207" s="78" t="n">
        <x:f>(IF(J2207&gt;0,K2207*(1-'Inputs'!$E$50)/2/J2207,0)+G2207+R2207)*'Inputs'!$B$17</x:f>
        <x:v>31738.050249169046</x:v>
      </x:c>
      <x:c r="AC2207" s="78" t="n">
        <x:f>AC2206+AB2207</x:f>
        <x:v>380954.92699843895</x:v>
      </x:c>
      <x:c r="AD2207" s="80" t="n">
        <x:f>Z2207/(1+'Inputs'!$C$50)</x:f>
        <x:v>22.642201561625917</x:v>
      </x:c>
      <x:c r="AE2207" s="80" t="n">
        <x:f>Z2207-AD2207</x:f>
        <x:v>22.642201561625917</x:v>
      </x:c>
      <x:c r="AF2207" s="80" t="n">
        <x:f>D2207*W2207</x:f>
        <x:v>139.5878486486059</x:v>
      </x:c>
      <x:c r="AG2207" s="80" t="n">
        <x:f>C2207*W2207</x:f>
        <x:v>325.70498018008067</x:v>
      </x:c>
      <x:c r="AH2207" s="80" t="n">
        <x:f>2*'Inputs'!$B$8*'Inputs'!$C$50</x:f>
        <x:v>5000</x:v>
      </x:c>
      <x:c r="AI2207" s="81" t="n">
        <x:f>IF(AH2207&gt;0,(AE2207+AF2207)/AH2207*365,0)</x:f>
        <x:v>11.842793665346923</x:v>
      </x:c>
      <x:c r="AJ2207" s="81" t="n">
        <x:f>IF('Inputs'!$B$50&gt;0,AG2207/('Inputs'!$B$19*'Inputs'!$B$50)*365,0)</x:f>
        <x:v>11.888231776572944</x:v>
      </x:c>
      <x:c r="AK2207" s="81" t="n">
        <x:f>W2207/MAX($W$2194:W2207)-1</x:f>
        <x:v>-0.45383808213113264</x:v>
      </x:c>
      <x:c r="AL2207" s="83" t="n">
        <x:f>'Inputs'!$B$50</x:f>
        <x:v>1</x:v>
      </x:c>
      <x:c r="AM2207" s="83" t="n">
        <x:f>'Inputs'!$C$50</x:f>
        <x:v>1</x:v>
      </x:c>
      <x:c r="AN2207" s="83" t="n">
        <x:f>'Inputs'!$D$50</x:f>
        <x:v>1</x:v>
      </x:c>
      <x:c r="AO2207" s="81" t="n">
        <x:f>'Inputs'!$E$50</x:f>
        <x:v>0</x:v>
      </x:c>
    </x:row>
    <x:row r="2208">
      <x:c r="A2208" s="59" t="str">
        <x:v>Whale exit</x:v>
      </x:c>
      <x:c r="B2208" s="59" t="n">
        <x:v>15</x:v>
      </x:c>
      <x:c r="C2208" s="78" t="n">
        <x:f>(('Inputs'!$B$29*(3*15*'Inputs'!$B$12-15^2)/(2*'Inputs'!$B$12^2))-('Inputs'!$B$29*(3*14*'Inputs'!$B$12-14^2)/(2*'Inputs'!$B$12^2)))*'Inputs'!$B$50</x:f>
        <x:v>707272.2368174158</x:v>
      </x:c>
      <x:c r="D2208" s="78" t="n">
        <x:f>IF('Inputs'!$C$50&gt;0,('Inputs'!$B$30*(3*15*'Inputs'!$B$12-15^2)/(2*'Inputs'!$B$12^2))-('Inputs'!$B$30*(3*14*'Inputs'!$B$12-14^2)/(2*'Inputs'!$B$12^2)),0)</x:f>
        <x:v>303116.67292174883</x:v>
      </x:c>
      <x:c r="E2208" s="78" t="n">
        <x:f>C2208+D2208</x:f>
        <x:v>1010388.9097391646</x:v>
      </x:c>
      <x:c r="F2208" s="78" t="n">
        <x:f>'Inputs'!$B$13*E2208+(1-'Inputs'!$B$13)/'Inputs'!$B$14*SUM(E2194:E2208)</x:f>
        <x:v>419286.3509637298</x:v>
      </x:c>
      <x:c r="G2208" s="78" t="n">
        <x:f>F2208*'Inputs'!$F$50</x:f>
        <x:v>209643.1754818649</x:v>
      </x:c>
      <x:c r="H2208" s="78" t="n">
        <x:f>U2207</x:f>
        <x:v>7886090.7080218205</x:v>
      </x:c>
      <x:c r="I2208" s="78" t="n">
        <x:f>V2207</x:f>
        <x:v>3629.9443983636265</x:v>
      </x:c>
      <x:c r="J2208" s="79" t="n">
        <x:f>IF(H2208&gt;0,I2208/H2208,0)</x:f>
        <x:v>0.00046029706387617456</x:v>
      </x:c>
      <x:c r="K2208" s="80" t="n">
        <x:f>(H2208*J2208+I2208)*'Inputs'!$D$50*(1+'Inputs'!$G$50)^(B2208/30)</x:f>
        <x:v>7259.888796727253</x:v>
      </x:c>
      <x:c r="L2208" s="80" t="n">
        <x:f>MAX(0,K2208*'Inputs'!$E$50)</x:f>
        <x:v>0</x:v>
      </x:c>
      <x:c r="M2208" s="80" t="n">
        <x:f>MAX(0,-K2208*'Inputs'!$E$50)</x:f>
        <x:v>0</x:v>
      </x:c>
      <x:c r="N2208" s="78" t="n">
        <x:f>H2208*(L2208*(1-'Inputs'!$B$15))/(I2208+L2208*(1-'Inputs'!$B$15))</x:f>
        <x:v>0</x:v>
      </x:c>
      <x:c r="O2208" s="78" t="n">
        <x:f>H2208-N2208</x:f>
        <x:v>7886090.7080218205</x:v>
      </x:c>
      <x:c r="P2208" s="78" t="n">
        <x:f>I2208+L2208*(1-'Inputs'!$B$17)</x:f>
        <x:v>3629.9443983636265</x:v>
      </x:c>
      <x:c r="Q2208" s="78" t="n">
        <x:f>IF(J2208&gt;0,M2208/J2208,0)</x:f>
        <x:v>0</x:v>
      </x:c>
      <x:c r="R2208" s="78" t="n">
        <x:f>IF(B2208='Inputs'!$H$50,'Inputs'!$B$27*'Inputs'!$I$50,0)</x:f>
        <x:v>0</x:v>
      </x:c>
      <x:c r="S2208" s="78" t="n">
        <x:f>Q2208+G2208+R2208</x:f>
        <x:v>209643.1754818649</x:v>
      </x:c>
      <x:c r="T2208" s="78" t="n">
        <x:f>P2208*(S2208*(1-'Inputs'!$B$15))/(O2208+S2208*(1-'Inputs'!$B$15))</x:f>
        <x:v>93.0833811474731</x:v>
      </x:c>
      <x:c r="U2208" s="78" t="n">
        <x:f>O2208+S2208*(1-'Inputs'!$B$17)</x:f>
        <x:v>8094890.248994704</x:v>
      </x:c>
      <x:c r="V2208" s="78" t="n">
        <x:f>P2208-T2208</x:f>
        <x:v>3536.8610172161534</x:v>
      </x:c>
      <x:c r="W2208" s="79" t="n">
        <x:f>IF(U2208&gt;0,V2208/U2208,0)</x:f>
        <x:v>0.00043692513529203095</x:v>
      </x:c>
      <x:c r="X2208" s="80" t="n">
        <x:f>W2208*('Inputs'!$B$6-AC2208)</x:f>
        <x:v>436744.452184576</x:v>
      </x:c>
      <x:c r="Y2208" s="80" t="n">
        <x:f>2*V2208</x:f>
        <x:v>7073.722034432307</x:v>
      </x:c>
      <x:c r="Z2208" s="80" t="n">
        <x:f>K2208*'Inputs'!$B$16+(G2208+R2208)*J2208*'Inputs'!$B$16</x:f>
        <x:v>44.1383216091794</x:v>
      </x:c>
      <x:c r="AA2208" s="80" t="n">
        <x:f>K2208*(1+'Inputs'!$E$50)/2*'Inputs'!$B$17</x:f>
        <x:v>14.607422126211778</x:v>
      </x:c>
      <x:c r="AB2208" s="78" t="n">
        <x:f>(IF(J2208&gt;0,K2208*(1-'Inputs'!$E$50)/2/J2208,0)+G2208+R2208)*'Inputs'!$B$17</x:f>
        <x:v>32578.405969833748</x:v>
      </x:c>
      <x:c r="AC2208" s="78" t="n">
        <x:f>AC2207+AB2208</x:f>
        <x:v>413533.3329682727</x:v>
      </x:c>
      <x:c r="AD2208" s="80" t="n">
        <x:f>Z2208/(1+'Inputs'!$C$50)</x:f>
        <x:v>22.0691608045897</x:v>
      </x:c>
      <x:c r="AE2208" s="80" t="n">
        <x:f>Z2208-AD2208</x:f>
        <x:v>22.0691608045897</x:v>
      </x:c>
      <x:c r="AF2208" s="80" t="n">
        <x:f>D2208*W2208</x:f>
        <x:v>132.4392933256054</x:v>
      </x:c>
      <x:c r="AG2208" s="80" t="n">
        <x:f>C2208*W2208</x:f>
        <x:v>309.02501775974673</x:v>
      </x:c>
      <x:c r="AH2208" s="80" t="n">
        <x:f>2*'Inputs'!$B$8*'Inputs'!$C$50</x:f>
        <x:v>5000</x:v>
      </x:c>
      <x:c r="AI2208" s="81" t="n">
        <x:f>IF(AH2208&gt;0,(AE2208+AF2208)/AH2208*365,0)</x:f>
        <x:v>11.279117151504243</x:v>
      </x:c>
      <x:c r="AJ2208" s="81" t="n">
        <x:f>IF('Inputs'!$B$50&gt;0,AG2208/('Inputs'!$B$19*'Inputs'!$B$50)*365,0)</x:f>
        <x:v>11.279413148230756</x:v>
      </x:c>
      <x:c r="AK2208" s="81" t="n">
        <x:f>W2208/MAX($W$2194:W2208)-1</x:f>
        <x:v>-0.4815698630647689</x:v>
      </x:c>
      <x:c r="AL2208" s="83" t="n">
        <x:f>'Inputs'!$B$50</x:f>
        <x:v>1</x:v>
      </x:c>
      <x:c r="AM2208" s="83" t="n">
        <x:f>'Inputs'!$C$50</x:f>
        <x:v>1</x:v>
      </x:c>
      <x:c r="AN2208" s="83" t="n">
        <x:f>'Inputs'!$D$50</x:f>
        <x:v>1</x:v>
      </x:c>
      <x:c r="AO2208" s="81" t="n">
        <x:f>'Inputs'!$E$50</x:f>
        <x:v>0</x:v>
      </x:c>
    </x:row>
    <x:row r="2209">
      <x:c r="A2209" s="59" t="str">
        <x:v>Whale exit</x:v>
      </x:c>
      <x:c r="B2209" s="59" t="n">
        <x:v>16</x:v>
      </x:c>
      <x:c r="C2209" s="78" t="n">
        <x:f>(('Inputs'!$B$29*(3*16*'Inputs'!$B$12-16^2)/(2*'Inputs'!$B$12^2))-('Inputs'!$B$29*(3*15*'Inputs'!$B$12-15^2)/(2*'Inputs'!$B$12^2)))*'Inputs'!$B$50</x:f>
        <x:v>706947.1289172452</x:v>
      </x:c>
      <x:c r="D2209" s="78" t="n">
        <x:f>IF('Inputs'!$C$50&gt;0,('Inputs'!$B$30*(3*16*'Inputs'!$B$12-16^2)/(2*'Inputs'!$B$12^2))-('Inputs'!$B$30*(3*15*'Inputs'!$B$12-15^2)/(2*'Inputs'!$B$12^2)),0)</x:f>
        <x:v>302977.3409645343</x:v>
      </x:c>
      <x:c r="E2209" s="78" t="n">
        <x:f>C2209+D2209</x:f>
        <x:v>1009924.4698817795</x:v>
      </x:c>
      <x:c r="F2209" s="78" t="n">
        <x:f>'Inputs'!$B$13*E2209+(1-'Inputs'!$B$13)/'Inputs'!$B$14*SUM(E2194:E2209)</x:f>
        <x:v>433620.9554191353</x:v>
      </x:c>
      <x:c r="G2209" s="78" t="n">
        <x:f>F2209*'Inputs'!$F$50</x:f>
        <x:v>216810.47770956764</x:v>
      </x:c>
      <x:c r="H2209" s="78" t="n">
        <x:f>U2208</x:f>
        <x:v>8094890.248994704</x:v>
      </x:c>
      <x:c r="I2209" s="78" t="n">
        <x:f>V2208</x:f>
        <x:v>3536.8610172161534</x:v>
      </x:c>
      <x:c r="J2209" s="79" t="n">
        <x:f>IF(H2209&gt;0,I2209/H2209,0)</x:f>
        <x:v>0.00043692513529203095</x:v>
      </x:c>
      <x:c r="K2209" s="80" t="n">
        <x:f>(H2209*J2209+I2209)*'Inputs'!$D$50*(1+'Inputs'!$G$50)^(B2209/30)</x:f>
        <x:v>7073.722034432307</x:v>
      </x:c>
      <x:c r="L2209" s="80" t="n">
        <x:f>MAX(0,K2209*'Inputs'!$E$50)</x:f>
        <x:v>0</x:v>
      </x:c>
      <x:c r="M2209" s="80" t="n">
        <x:f>MAX(0,-K2209*'Inputs'!$E$50)</x:f>
        <x:v>0</x:v>
      </x:c>
      <x:c r="N2209" s="78" t="n">
        <x:f>H2209*(L2209*(1-'Inputs'!$B$15))/(I2209+L2209*(1-'Inputs'!$B$15))</x:f>
        <x:v>0</x:v>
      </x:c>
      <x:c r="O2209" s="78" t="n">
        <x:f>H2209-N2209</x:f>
        <x:v>8094890.248994704</x:v>
      </x:c>
      <x:c r="P2209" s="78" t="n">
        <x:f>I2209+L2209*(1-'Inputs'!$B$17)</x:f>
        <x:v>3536.8610172161534</x:v>
      </x:c>
      <x:c r="Q2209" s="78" t="n">
        <x:f>IF(J2209&gt;0,M2209/J2209,0)</x:f>
        <x:v>0</x:v>
      </x:c>
      <x:c r="R2209" s="78" t="n">
        <x:f>IF(B2209='Inputs'!$H$50,'Inputs'!$B$27*'Inputs'!$I$50,0)</x:f>
        <x:v>0</x:v>
      </x:c>
      <x:c r="S2209" s="78" t="n">
        <x:f>Q2209+G2209+R2209</x:f>
        <x:v>216810.47770956764</x:v>
      </x:c>
      <x:c r="T2209" s="78" t="n">
        <x:f>P2209*(S2209*(1-'Inputs'!$B$15))/(O2209+S2209*(1-'Inputs'!$B$15))</x:f>
        <x:v>91.3601613963656</x:v>
      </x:c>
      <x:c r="U2209" s="78" t="n">
        <x:f>O2209+S2209*(1-'Inputs'!$B$17)</x:f>
        <x:v>8310828.249932805</x:v>
      </x:c>
      <x:c r="V2209" s="78" t="n">
        <x:f>P2209-T2209</x:f>
        <x:v>3445.500855819788</x:v>
      </x:c>
      <x:c r="W2209" s="79" t="n">
        <x:f>IF(U2209&gt;0,V2209/U2209,0)</x:f>
        <x:v>0.00041457972084161957</x:v>
      </x:c>
      <x:c r="X2209" s="80" t="n">
        <x:f>W2209*('Inputs'!$B$6-AC2209)</x:f>
        <x:v>414394.41165770986</x:v>
      </x:c>
      <x:c r="Y2209" s="80" t="n">
        <x:f>2*V2209</x:f>
        <x:v>6891.001711639576</x:v>
      </x:c>
      <x:c r="Z2209" s="80" t="n">
        <x:f>K2209*'Inputs'!$B$16+(G2209+R2209)*J2209*'Inputs'!$B$16</x:f>
        <x:v>43.01071189042973</x:v>
      </x:c>
      <x:c r="AA2209" s="80" t="n">
        <x:f>K2209*(1+'Inputs'!$E$50)/2*'Inputs'!$B$17</x:f>
        <x:v>14.232841115557962</x:v>
      </x:c>
      <x:c r="AB2209" s="78" t="n">
        <x:f>(IF(J2209&gt;0,K2209*(1-'Inputs'!$E$50)/2/J2209,0)+G2209+R2209)*'Inputs'!$B$17</x:f>
        <x:v>33447.48783382001</x:v>
      </x:c>
      <x:c r="AC2209" s="78" t="n">
        <x:f>AC2208+AB2209</x:f>
        <x:v>446980.82080209267</x:v>
      </x:c>
      <x:c r="AD2209" s="80" t="n">
        <x:f>Z2209/(1+'Inputs'!$C$50)</x:f>
        <x:v>21.505355945214866</x:v>
      </x:c>
      <x:c r="AE2209" s="80" t="n">
        <x:f>Z2209-AD2209</x:f>
        <x:v>21.505355945214866</x:v>
      </x:c>
      <x:c r="AF2209" s="80" t="n">
        <x:f>D2209*W2209</x:f>
        <x:v>125.60826143841282</x:v>
      </x:c>
      <x:c r="AG2209" s="80" t="n">
        <x:f>C2209*W2209</x:f>
        <x:v>293.08594335629596</x:v>
      </x:c>
      <x:c r="AH2209" s="80" t="n">
        <x:f>2*'Inputs'!$B$8*'Inputs'!$C$50</x:f>
        <x:v>5000</x:v>
      </x:c>
      <x:c r="AI2209" s="81" t="n">
        <x:f>IF(AH2209&gt;0,(AE2209+AF2209)/AH2209*365,0)</x:f>
        <x:v>10.73929406900482</x:v>
      </x:c>
      <x:c r="AJ2209" s="81" t="n">
        <x:f>IF('Inputs'!$B$50&gt;0,AG2209/('Inputs'!$B$19*'Inputs'!$B$50)*365,0)</x:f>
        <x:v>10.697636932504803</x:v>
      </x:c>
      <x:c r="AK2209" s="81" t="n">
        <x:f>W2209/MAX($W$2194:W2209)-1</x:f>
        <x:v>-0.508083641599525</x:v>
      </x:c>
      <x:c r="AL2209" s="83" t="n">
        <x:f>'Inputs'!$B$50</x:f>
        <x:v>1</x:v>
      </x:c>
      <x:c r="AM2209" s="83" t="n">
        <x:f>'Inputs'!$C$50</x:f>
        <x:v>1</x:v>
      </x:c>
      <x:c r="AN2209" s="83" t="n">
        <x:f>'Inputs'!$D$50</x:f>
        <x:v>1</x:v>
      </x:c>
      <x:c r="AO2209" s="81" t="n">
        <x:f>'Inputs'!$E$50</x:f>
        <x:v>0</x:v>
      </x:c>
    </x:row>
    <x:row r="2210">
      <x:c r="A2210" s="59" t="str">
        <x:v>Whale exit</x:v>
      </x:c>
      <x:c r="B2210" s="59" t="n">
        <x:v>17</x:v>
      </x:c>
      <x:c r="C2210" s="78" t="n">
        <x:f>(('Inputs'!$B$29*(3*17*'Inputs'!$B$12-17^2)/(2*'Inputs'!$B$12^2))-('Inputs'!$B$29*(3*16*'Inputs'!$B$12-16^2)/(2*'Inputs'!$B$12^2)))*'Inputs'!$B$50</x:f>
        <x:v>706622.0210170764</x:v>
      </x:c>
      <x:c r="D2210" s="78" t="n">
        <x:f>IF('Inputs'!$C$50&gt;0,('Inputs'!$B$30*(3*17*'Inputs'!$B$12-17^2)/(2*'Inputs'!$B$12^2))-('Inputs'!$B$30*(3*16*'Inputs'!$B$12-16^2)/(2*'Inputs'!$B$12^2)),0)</x:f>
        <x:v>302838.00900731795</x:v>
      </x:c>
      <x:c r="E2210" s="78" t="n">
        <x:f>C2210+D2210</x:f>
        <x:v>1009460.0300243944</x:v>
      </x:c>
      <x:c r="F2210" s="78" t="n">
        <x:f>'Inputs'!$B$13*E2210+(1-'Inputs'!$B$13)/'Inputs'!$B$14*SUM(E2194:E2210)</x:f>
        <x:v>447948.92501943535</x:v>
      </x:c>
      <x:c r="G2210" s="78" t="n">
        <x:f>F2210*'Inputs'!$F$50</x:f>
        <x:v>223974.46250971768</x:v>
      </x:c>
      <x:c r="H2210" s="78" t="n">
        <x:f>U2209</x:f>
        <x:v>8310828.249932805</x:v>
      </x:c>
      <x:c r="I2210" s="78" t="n">
        <x:f>V2209</x:f>
        <x:v>3445.500855819788</x:v>
      </x:c>
      <x:c r="J2210" s="79" t="n">
        <x:f>IF(H2210&gt;0,I2210/H2210,0)</x:f>
        <x:v>0.00041457972084161957</x:v>
      </x:c>
      <x:c r="K2210" s="80" t="n">
        <x:f>(H2210*J2210+I2210)*'Inputs'!$D$50*(1+'Inputs'!$G$50)^(B2210/30)</x:f>
        <x:v>6891.001711639576</x:v>
      </x:c>
      <x:c r="L2210" s="80" t="n">
        <x:f>MAX(0,K2210*'Inputs'!$E$50)</x:f>
        <x:v>0</x:v>
      </x:c>
      <x:c r="M2210" s="80" t="n">
        <x:f>MAX(0,-K2210*'Inputs'!$E$50)</x:f>
        <x:v>0</x:v>
      </x:c>
      <x:c r="N2210" s="78" t="n">
        <x:f>H2210*(L2210*(1-'Inputs'!$B$15))/(I2210+L2210*(1-'Inputs'!$B$15))</x:f>
        <x:v>0</x:v>
      </x:c>
      <x:c r="O2210" s="78" t="n">
        <x:f>H2210-N2210</x:f>
        <x:v>8310828.249932805</x:v>
      </x:c>
      <x:c r="P2210" s="78" t="n">
        <x:f>I2210+L2210*(1-'Inputs'!$B$17)</x:f>
        <x:v>3445.500855819788</x:v>
      </x:c>
      <x:c r="Q2210" s="78" t="n">
        <x:f>IF(J2210&gt;0,M2210/J2210,0)</x:f>
        <x:v>0</x:v>
      </x:c>
      <x:c r="R2210" s="78" t="n">
        <x:f>IF(B2210='Inputs'!$H$50,'Inputs'!$B$27*'Inputs'!$I$50,0)</x:f>
        <x:v>0</x:v>
      </x:c>
      <x:c r="S2210" s="78" t="n">
        <x:f>Q2210+G2210+R2210</x:f>
        <x:v>223974.46250971768</x:v>
      </x:c>
      <x:c r="T2210" s="78" t="n">
        <x:f>P2210*(S2210*(1-'Inputs'!$B$15))/(O2210+S2210*(1-'Inputs'!$B$15))</x:f>
        <x:v>89.53782856545882</x:v>
      </x:c>
      <x:c r="U2210" s="78" t="n">
        <x:f>O2210+S2210*(1-'Inputs'!$B$17)</x:f>
        <x:v>8533901.40675838</x:v>
      </x:c>
      <x:c r="V2210" s="78" t="n">
        <x:f>P2210-T2210</x:f>
        <x:v>3355.963027254329</x:v>
      </x:c>
      <x:c r="W2210" s="79" t="n">
        <x:f>IF(U2210&gt;0,V2210/U2210,0)</x:f>
        <x:v>0.00039325073812038555</x:v>
      </x:c>
      <x:c r="X2210" s="80" t="n">
        <x:f>W2210*('Inputs'!$B$6-AC2210)</x:f>
        <x:v>393061.45627496764</x:v>
      </x:c>
      <x:c r="Y2210" s="80" t="n">
        <x:f>2*V2210</x:f>
        <x:v>6711.926054508658</x:v>
      </x:c>
      <x:c r="Z2210" s="80" t="n">
        <x:f>K2210*'Inputs'!$B$16+(G2210+R2210)*J2210*'Inputs'!$B$16</x:f>
        <x:v>41.90314189069504</x:v>
      </x:c>
      <x:c r="AA2210" s="80" t="n">
        <x:f>K2210*(1+'Inputs'!$E$50)/2*'Inputs'!$B$17</x:f>
        <x:v>13.865194590824098</x:v>
      </x:c>
      <x:c r="AB2210" s="78" t="n">
        <x:f>(IF(J2210&gt;0,K2210*(1-'Inputs'!$E$50)/2/J2210,0)+G2210+R2210)*'Inputs'!$B$17</x:f>
        <x:v>34345.28254504034</x:v>
      </x:c>
      <x:c r="AC2210" s="78" t="n">
        <x:f>AC2209+AB2210</x:f>
        <x:v>481326.10334713303</x:v>
      </x:c>
      <x:c r="AD2210" s="80" t="n">
        <x:f>Z2210/(1+'Inputs'!$C$50)</x:f>
        <x:v>20.95157094534752</x:v>
      </x:c>
      <x:c r="AE2210" s="80" t="n">
        <x:f>Z2210-AD2210</x:f>
        <x:v>20.95157094534752</x:v>
      </x:c>
      <x:c r="AF2210" s="80" t="n">
        <x:f>D2210*W2210</x:f>
        <x:v>119.09127057303574</x:v>
      </x:c>
      <x:c r="AG2210" s="80" t="n">
        <x:f>C2210*W2210</x:f>
        <x:v>277.8796313370839</x:v>
      </x:c>
      <x:c r="AH2210" s="80" t="n">
        <x:f>2*'Inputs'!$B$8*'Inputs'!$C$50</x:f>
        <x:v>5000</x:v>
      </x:c>
      <x:c r="AI2210" s="81" t="n">
        <x:f>IF(AH2210&gt;0,(AE2210+AF2210)/AH2210*365,0)</x:f>
        <x:v>10.223127430841977</x:v>
      </x:c>
      <x:c r="AJ2210" s="81" t="n">
        <x:f>IF('Inputs'!$B$50&gt;0,AG2210/('Inputs'!$B$19*'Inputs'!$B$50)*365,0)</x:f>
        <x:v>10.142606543803561</x:v>
      </x:c>
      <x:c r="AK2210" s="81" t="n">
        <x:f>W2210/MAX($W$2194:W2210)-1</x:f>
        <x:v>-0.5333913809344751</x:v>
      </x:c>
      <x:c r="AL2210" s="83" t="n">
        <x:f>'Inputs'!$B$50</x:f>
        <x:v>1</x:v>
      </x:c>
      <x:c r="AM2210" s="83" t="n">
        <x:f>'Inputs'!$C$50</x:f>
        <x:v>1</x:v>
      </x:c>
      <x:c r="AN2210" s="83" t="n">
        <x:f>'Inputs'!$D$50</x:f>
        <x:v>1</x:v>
      </x:c>
      <x:c r="AO2210" s="81" t="n">
        <x:f>'Inputs'!$E$50</x:f>
        <x:v>0</x:v>
      </x:c>
    </x:row>
    <x:row r="2211">
      <x:c r="A2211" s="59" t="str">
        <x:v>Whale exit</x:v>
      </x:c>
      <x:c r="B2211" s="59" t="n">
        <x:v>18</x:v>
      </x:c>
      <x:c r="C2211" s="78" t="n">
        <x:f>(('Inputs'!$B$29*(3*18*'Inputs'!$B$12-18^2)/(2*'Inputs'!$B$12^2))-('Inputs'!$B$29*(3*17*'Inputs'!$B$12-17^2)/(2*'Inputs'!$B$12^2)))*'Inputs'!$B$50</x:f>
        <x:v>706296.9131169058</x:v>
      </x:c>
      <x:c r="D2211" s="78" t="n">
        <x:f>IF('Inputs'!$C$50&gt;0,('Inputs'!$B$30*(3*18*'Inputs'!$B$12-18^2)/(2*'Inputs'!$B$12^2))-('Inputs'!$B$30*(3*17*'Inputs'!$B$12-17^2)/(2*'Inputs'!$B$12^2)),0)</x:f>
        <x:v>302698.67705010343</x:v>
      </x:c>
      <x:c r="E2211" s="78" t="n">
        <x:f>C2211+D2211</x:f>
        <x:v>1008995.5901670093</x:v>
      </x:c>
      <x:c r="F2211" s="78" t="n">
        <x:f>'Inputs'!$B$13*E2211+(1-'Inputs'!$B$13)/'Inputs'!$B$14*SUM(E2194:E2211)</x:f>
        <x:v>462270.2597646299</x:v>
      </x:c>
      <x:c r="G2211" s="78" t="n">
        <x:f>F2211*'Inputs'!$F$50</x:f>
        <x:v>231135.12988231494</x:v>
      </x:c>
      <x:c r="H2211" s="78" t="n">
        <x:f>U2210</x:f>
        <x:v>8533901.40675838</x:v>
      </x:c>
      <x:c r="I2211" s="78" t="n">
        <x:f>V2210</x:f>
        <x:v>3355.963027254329</x:v>
      </x:c>
      <x:c r="J2211" s="79" t="n">
        <x:f>IF(H2211&gt;0,I2211/H2211,0)</x:f>
        <x:v>0.00039325073812038555</x:v>
      </x:c>
      <x:c r="K2211" s="80" t="n">
        <x:f>(H2211*J2211+I2211)*'Inputs'!$D$50*(1+'Inputs'!$G$50)^(B2211/30)</x:f>
        <x:v>6711.926054508658</x:v>
      </x:c>
      <x:c r="L2211" s="80" t="n">
        <x:f>MAX(0,K2211*'Inputs'!$E$50)</x:f>
        <x:v>0</x:v>
      </x:c>
      <x:c r="M2211" s="80" t="n">
        <x:f>MAX(0,-K2211*'Inputs'!$E$50)</x:f>
        <x:v>0</x:v>
      </x:c>
      <x:c r="N2211" s="78" t="n">
        <x:f>H2211*(L2211*(1-'Inputs'!$B$15))/(I2211+L2211*(1-'Inputs'!$B$15))</x:f>
        <x:v>0</x:v>
      </x:c>
      <x:c r="O2211" s="78" t="n">
        <x:f>H2211-N2211</x:f>
        <x:v>8533901.40675838</x:v>
      </x:c>
      <x:c r="P2211" s="78" t="n">
        <x:f>I2211+L2211*(1-'Inputs'!$B$17)</x:f>
        <x:v>3355.963027254329</x:v>
      </x:c>
      <x:c r="Q2211" s="78" t="n">
        <x:f>IF(J2211&gt;0,M2211/J2211,0)</x:f>
        <x:v>0</x:v>
      </x:c>
      <x:c r="R2211" s="78" t="n">
        <x:f>IF(B2211='Inputs'!$H$50,'Inputs'!$B$27*'Inputs'!$I$50,0)</x:f>
        <x:v>0</x:v>
      </x:c>
      <x:c r="S2211" s="78" t="n">
        <x:f>Q2211+G2211+R2211</x:f>
        <x:v>231135.12988231494</x:v>
      </x:c>
      <x:c r="T2211" s="78" t="n">
        <x:f>P2211*(S2211*(1-'Inputs'!$B$15))/(O2211+S2211*(1-'Inputs'!$B$15))</x:f>
        <x:v>87.63531029906076</x:v>
      </x:c>
      <x:c r="U2211" s="78" t="n">
        <x:f>O2211+S2211*(1-'Inputs'!$B$17)</x:f>
        <x:v>8764106.415393682</x:v>
      </x:c>
      <x:c r="V2211" s="78" t="n">
        <x:f>P2211-T2211</x:f>
        <x:v>3268.3277169552684</x:v>
      </x:c>
      <x:c r="W2211" s="79" t="n">
        <x:f>IF(U2211&gt;0,V2211/U2211,0)</x:f>
        <x:v>0.00037292195713354485</x:v>
      </x:c>
      <x:c r="X2211" s="80" t="n">
        <x:f>W2211*('Inputs'!$B$6-AC2211)</x:f>
        <x:v>372729.3064410266</x:v>
      </x:c>
      <x:c r="Y2211" s="80" t="n">
        <x:f>2*V2211</x:f>
        <x:v>6536.655433910537</x:v>
      </x:c>
      <x:c r="Z2211" s="80" t="n">
        <x:f>K2211*'Inputs'!$B$16+(G2211+R2211)*J2211*'Inputs'!$B$16</x:f>
        <x:v>40.81692068964258</x:v>
      </x:c>
      <x:c r="AA2211" s="80" t="n">
        <x:f>K2211*(1+'Inputs'!$E$50)/2*'Inputs'!$B$17</x:f>
        <x:v>13.504881397401729</x:v>
      </x:c>
      <x:c r="AB2211" s="78" t="n">
        <x:f>(IF(J2211&gt;0,K2211*(1-'Inputs'!$E$50)/2/J2211,0)+G2211+R2211)*'Inputs'!$B$17</x:f>
        <x:v>35271.77680740722</x:v>
      </x:c>
      <x:c r="AC2211" s="78" t="n">
        <x:f>AC2210+AB2211</x:f>
        <x:v>516597.88015454024</x:v>
      </x:c>
      <x:c r="AD2211" s="80" t="n">
        <x:f>Z2211/(1+'Inputs'!$C$50)</x:f>
        <x:v>20.40846034482129</x:v>
      </x:c>
      <x:c r="AE2211" s="80" t="n">
        <x:f>Z2211-AD2211</x:f>
        <x:v>20.40846034482129</x:v>
      </x:c>
      <x:c r="AF2211" s="80" t="n">
        <x:f>D2211*W2211</x:f>
        <x:v>112.88298306725942</x:v>
      </x:c>
      <x:c r="AG2211" s="80" t="n">
        <x:f>C2211*W2211</x:f>
        <x:v>263.39362715693784</x:v>
      </x:c>
      <x:c r="AH2211" s="80" t="n">
        <x:f>2*'Inputs'!$B$8*'Inputs'!$C$50</x:f>
        <x:v>5000</x:v>
      </x:c>
      <x:c r="AI2211" s="81" t="n">
        <x:f>IF(AH2211&gt;0,(AE2211+AF2211)/AH2211*365,0)</x:f>
        <x:v>9.730275369081891</x:v>
      </x:c>
      <x:c r="AJ2211" s="81" t="n">
        <x:f>IF('Inputs'!$B$50&gt;0,AG2211/('Inputs'!$B$19*'Inputs'!$B$50)*365,0)</x:f>
        <x:v>9.613867391228231</x:v>
      </x:c>
      <x:c r="AK2211" s="81" t="n">
        <x:f>W2211/MAX($W$2194:W2211)-1</x:f>
        <x:v>-0.5575123386442898</x:v>
      </x:c>
      <x:c r="AL2211" s="83" t="n">
        <x:f>'Inputs'!$B$50</x:f>
        <x:v>1</x:v>
      </x:c>
      <x:c r="AM2211" s="83" t="n">
        <x:f>'Inputs'!$C$50</x:f>
        <x:v>1</x:v>
      </x:c>
      <x:c r="AN2211" s="83" t="n">
        <x:f>'Inputs'!$D$50</x:f>
        <x:v>1</x:v>
      </x:c>
      <x:c r="AO2211" s="81" t="n">
        <x:f>'Inputs'!$E$50</x:f>
        <x:v>0</x:v>
      </x:c>
    </x:row>
    <x:row r="2212">
      <x:c r="A2212" s="59" t="str">
        <x:v>Whale exit</x:v>
      </x:c>
      <x:c r="B2212" s="59" t="n">
        <x:v>19</x:v>
      </x:c>
      <x:c r="C2212" s="78" t="n">
        <x:f>(('Inputs'!$B$29*(3*19*'Inputs'!$B$12-19^2)/(2*'Inputs'!$B$12^2))-('Inputs'!$B$29*(3*18*'Inputs'!$B$12-18^2)/(2*'Inputs'!$B$12^2)))*'Inputs'!$B$50</x:f>
        <x:v>705971.805216739</x:v>
      </x:c>
      <x:c r="D2212" s="78" t="n">
        <x:f>IF('Inputs'!$C$50&gt;0,('Inputs'!$B$30*(3*19*'Inputs'!$B$12-19^2)/(2*'Inputs'!$B$12^2))-('Inputs'!$B$30*(3*18*'Inputs'!$B$12-18^2)/(2*'Inputs'!$B$12^2)),0)</x:f>
        <x:v>302559.345092888</x:v>
      </x:c>
      <x:c r="E2212" s="78" t="n">
        <x:f>C2212+D2212</x:f>
        <x:v>1008531.150309627</x:v>
      </x:c>
      <x:c r="F2212" s="78" t="n">
        <x:f>'Inputs'!$B$13*E2212+(1-'Inputs'!$B$13)/'Inputs'!$B$14*SUM(E2194:E2212)</x:f>
        <x:v>476584.95965471945</x:v>
      </x:c>
      <x:c r="G2212" s="78" t="n">
        <x:f>F2212*'Inputs'!$F$50</x:f>
        <x:v>238292.47982735973</x:v>
      </x:c>
      <x:c r="H2212" s="78" t="n">
        <x:f>U2211</x:f>
        <x:v>8764106.415393682</x:v>
      </x:c>
      <x:c r="I2212" s="78" t="n">
        <x:f>V2211</x:f>
        <x:v>3268.3277169552684</x:v>
      </x:c>
      <x:c r="J2212" s="79" t="n">
        <x:f>IF(H2212&gt;0,I2212/H2212,0)</x:f>
        <x:v>0.00037292195713354485</x:v>
      </x:c>
      <x:c r="K2212" s="80" t="n">
        <x:f>(H2212*J2212+I2212)*'Inputs'!$D$50*(1+'Inputs'!$G$50)^(B2212/30)</x:f>
        <x:v>6536.655433910537</x:v>
      </x:c>
      <x:c r="L2212" s="80" t="n">
        <x:f>MAX(0,K2212*'Inputs'!$E$50)</x:f>
        <x:v>0</x:v>
      </x:c>
      <x:c r="M2212" s="80" t="n">
        <x:f>MAX(0,-K2212*'Inputs'!$E$50)</x:f>
        <x:v>0</x:v>
      </x:c>
      <x:c r="N2212" s="78" t="n">
        <x:f>H2212*(L2212*(1-'Inputs'!$B$15))/(I2212+L2212*(1-'Inputs'!$B$15))</x:f>
        <x:v>0</x:v>
      </x:c>
      <x:c r="O2212" s="78" t="n">
        <x:f>H2212-N2212</x:f>
        <x:v>8764106.415393682</x:v>
      </x:c>
      <x:c r="P2212" s="78" t="n">
        <x:f>I2212+L2212*(1-'Inputs'!$B$17)</x:f>
        <x:v>3268.3277169552684</x:v>
      </x:c>
      <x:c r="Q2212" s="78" t="n">
        <x:f>IF(J2212&gt;0,M2212/J2212,0)</x:f>
        <x:v>0</x:v>
      </x:c>
      <x:c r="R2212" s="78" t="n">
        <x:f>IF(B2212='Inputs'!$H$50,'Inputs'!$B$27*'Inputs'!$I$50,0)</x:f>
        <x:v>0</x:v>
      </x:c>
      <x:c r="S2212" s="78" t="n">
        <x:f>Q2212+G2212+R2212</x:f>
        <x:v>238292.47982735973</x:v>
      </x:c>
      <x:c r="T2212" s="78" t="n">
        <x:f>P2212*(S2212*(1-'Inputs'!$B$15))/(O2212+S2212*(1-'Inputs'!$B$15))</x:f>
        <x:v>85.66981880143572</x:v>
      </x:c>
      <x:c r="U2212" s="78" t="n">
        <x:f>O2212+S2212*(1-'Inputs'!$B$17)</x:f>
        <x:v>9001439.971760971</x:v>
      </x:c>
      <x:c r="V2212" s="78" t="n">
        <x:f>P2212-T2212</x:f>
        <x:v>3182.657898153833</x:v>
      </x:c>
      <x:c r="W2212" s="79" t="n">
        <x:f>IF(U2212&gt;0,V2212/U2212,0)</x:f>
        <x:v>0.00035357208492623013</x:v>
      </x:c>
      <x:c r="X2212" s="80" t="n">
        <x:f>W2212*('Inputs'!$B$6-AC2212)</x:f>
        <x:v>353376.6214958436</x:v>
      </x:c>
      <x:c r="Y2212" s="80" t="n">
        <x:f>2*V2212</x:f>
        <x:v>6365.315796307666</x:v>
      </x:c>
      <x:c r="Z2212" s="80" t="n">
        <x:f>K2212*'Inputs'!$B$16+(G2212+R2212)*J2212*'Inputs'!$B$16</x:f>
        <x:v>39.75311959114777</x:v>
      </x:c>
      <x:c r="AA2212" s="80" t="n">
        <x:f>K2212*(1+'Inputs'!$E$50)/2*'Inputs'!$B$17</x:f>
        <x:v>13.152224213099673</x:v>
      </x:c>
      <x:c r="AB2212" s="78" t="n">
        <x:f>(IF(J2212&gt;0,K2212*(1-'Inputs'!$E$50)/2/J2212,0)+G2212+R2212)*'Inputs'!$B$17</x:f>
        <x:v>36226.957324833165</x:v>
      </x:c>
      <x:c r="AC2212" s="78" t="n">
        <x:f>AC2211+AB2212</x:f>
        <x:v>552824.8374793734</x:v>
      </x:c>
      <x:c r="AD2212" s="80" t="n">
        <x:f>Z2212/(1+'Inputs'!$C$50)</x:f>
        <x:v>19.876559795573886</x:v>
      </x:c>
      <x:c r="AE2212" s="80" t="n">
        <x:f>Z2212-AD2212</x:f>
        <x:v>19.876559795573886</x:v>
      </x:c>
      <x:c r="AF2212" s="80" t="n">
        <x:f>D2212*W2212</x:f>
        <x:v>106.97653845840716</x:v>
      </x:c>
      <x:c r="AG2212" s="80" t="n">
        <x:f>C2212*W2212</x:f>
        <x:v>249.61192306961684</x:v>
      </x:c>
      <x:c r="AH2212" s="80" t="n">
        <x:f>2*'Inputs'!$B$8*'Inputs'!$C$50</x:f>
        <x:v>5000</x:v>
      </x:c>
      <x:c r="AI2212" s="81" t="n">
        <x:f>IF(AH2212&gt;0,(AE2212+AF2212)/AH2212*365,0)</x:f>
        <x:v>9.260276172540616</x:v>
      </x:c>
      <x:c r="AJ2212" s="81" t="n">
        <x:f>IF('Inputs'!$B$50&gt;0,AG2212/('Inputs'!$B$19*'Inputs'!$B$50)*365,0)</x:f>
        <x:v>9.110835192041014</x:v>
      </x:c>
      <x:c r="AK2212" s="81" t="n">
        <x:f>W2212/MAX($W$2194:W2212)-1</x:f>
        <x:v>-0.580471779719733</x:v>
      </x:c>
      <x:c r="AL2212" s="83" t="n">
        <x:f>'Inputs'!$B$50</x:f>
        <x:v>1</x:v>
      </x:c>
      <x:c r="AM2212" s="83" t="n">
        <x:f>'Inputs'!$C$50</x:f>
        <x:v>1</x:v>
      </x:c>
      <x:c r="AN2212" s="83" t="n">
        <x:f>'Inputs'!$D$50</x:f>
        <x:v>1</x:v>
      </x:c>
      <x:c r="AO2212" s="81" t="n">
        <x:f>'Inputs'!$E$50</x:f>
        <x:v>0</x:v>
      </x:c>
    </x:row>
    <x:row r="2213">
      <x:c r="A2213" s="59" t="str">
        <x:v>Whale exit</x:v>
      </x:c>
      <x:c r="B2213" s="59" t="n">
        <x:v>20</x:v>
      </x:c>
      <x:c r="C2213" s="78" t="n">
        <x:f>(('Inputs'!$B$29*(3*20*'Inputs'!$B$12-20^2)/(2*'Inputs'!$B$12^2))-('Inputs'!$B$29*(3*19*'Inputs'!$B$12-19^2)/(2*'Inputs'!$B$12^2)))*'Inputs'!$B$50</x:f>
        <x:v>705646.6973165702</x:v>
      </x:c>
      <x:c r="D2213" s="78" t="n">
        <x:f>IF('Inputs'!$C$50&gt;0,('Inputs'!$B$30*(3*20*'Inputs'!$B$12-20^2)/(2*'Inputs'!$B$12^2))-('Inputs'!$B$30*(3*19*'Inputs'!$B$12-19^2)/(2*'Inputs'!$B$12^2)),0)</x:f>
        <x:v>302420.01313567255</x:v>
      </x:c>
      <x:c r="E2213" s="78" t="n">
        <x:f>C2213+D2213</x:f>
        <x:v>1008066.7104522428</x:v>
      </x:c>
      <x:c r="F2213" s="78" t="n">
        <x:f>'Inputs'!$B$13*E2213+(1-'Inputs'!$B$13)/'Inputs'!$B$14*SUM(E2194:E2213)</x:f>
        <x:v>490893.02468970325</x:v>
      </x:c>
      <x:c r="G2213" s="78" t="n">
        <x:f>F2213*'Inputs'!$F$50</x:f>
        <x:v>245446.51234485162</x:v>
      </x:c>
      <x:c r="H2213" s="78" t="n">
        <x:f>U2212</x:f>
        <x:v>9001439.971760971</x:v>
      </x:c>
      <x:c r="I2213" s="78" t="n">
        <x:f>V2212</x:f>
        <x:v>3182.657898153833</x:v>
      </x:c>
      <x:c r="J2213" s="79" t="n">
        <x:f>IF(H2213&gt;0,I2213/H2213,0)</x:f>
        <x:v>0.00035357208492623013</x:v>
      </x:c>
      <x:c r="K2213" s="80" t="n">
        <x:f>(H2213*J2213+I2213)*'Inputs'!$D$50*(1+'Inputs'!$G$50)^(B2213/30)</x:f>
        <x:v>6365.315796307666</x:v>
      </x:c>
      <x:c r="L2213" s="80" t="n">
        <x:f>MAX(0,K2213*'Inputs'!$E$50)</x:f>
        <x:v>0</x:v>
      </x:c>
      <x:c r="M2213" s="80" t="n">
        <x:f>MAX(0,-K2213*'Inputs'!$E$50)</x:f>
        <x:v>0</x:v>
      </x:c>
      <x:c r="N2213" s="78" t="n">
        <x:f>H2213*(L2213*(1-'Inputs'!$B$15))/(I2213+L2213*(1-'Inputs'!$B$15))</x:f>
        <x:v>0</x:v>
      </x:c>
      <x:c r="O2213" s="78" t="n">
        <x:f>H2213-N2213</x:f>
        <x:v>9001439.971760971</x:v>
      </x:c>
      <x:c r="P2213" s="78" t="n">
        <x:f>I2213+L2213*(1-'Inputs'!$B$17)</x:f>
        <x:v>3182.657898153833</x:v>
      </x:c>
      <x:c r="Q2213" s="78" t="n">
        <x:f>IF(J2213&gt;0,M2213/J2213,0)</x:f>
        <x:v>0</x:v>
      </x:c>
      <x:c r="R2213" s="78" t="n">
        <x:f>IF(B2213='Inputs'!$H$50,'Inputs'!$B$27*'Inputs'!$I$50,0)</x:f>
        <x:v>0</x:v>
      </x:c>
      <x:c r="S2213" s="78" t="n">
        <x:f>Q2213+G2213+R2213</x:f>
        <x:v>245446.51234485162</x:v>
      </x:c>
      <x:c r="T2213" s="78" t="n">
        <x:f>P2213*(S2213*(1-'Inputs'!$B$15))/(O2213+S2213*(1-'Inputs'!$B$15))</x:f>
        <x:v>83.65690360313765</x:v>
      </x:c>
      <x:c r="U2213" s="78" t="n">
        <x:f>O2213+S2213*(1-'Inputs'!$B$17)</x:f>
        <x:v>9245898.771782504</x:v>
      </x:c>
      <x:c r="V2213" s="78" t="n">
        <x:f>P2213-T2213</x:f>
        <x:v>3099.000994550695</x:v>
      </x:c>
      <x:c r="W2213" s="79" t="n">
        <x:f>IF(U2213&gt;0,V2213/U2213,0)</x:f>
        <x:v>0.000335175743434323</x:v>
      </x:c>
      <x:c r="X2213" s="80" t="n">
        <x:f>W2213*('Inputs'!$B$6-AC2213)</x:f>
        <x:v>334977.9777972578</x:v>
      </x:c>
      <x:c r="Y2213" s="80" t="n">
        <x:f>2*V2213</x:f>
        <x:v>6198.00198910139</x:v>
      </x:c>
      <x:c r="Z2213" s="80" t="n">
        <x:f>K2213*'Inputs'!$B$16+(G2213+R2213)*J2213*'Inputs'!$B$16</x:f>
        <x:v>38.71259298849184</x:v>
      </x:c>
      <x:c r="AA2213" s="80" t="n">
        <x:f>K2213*(1+'Inputs'!$E$50)/2*'Inputs'!$B$17</x:f>
        <x:v>12.807476451323272</x:v>
      </x:c>
      <x:c r="AB2213" s="78" t="n">
        <x:f>(IF(J2213&gt;0,K2213*(1-'Inputs'!$E$50)/2/J2213,0)+G2213+R2213)*'Inputs'!$B$17</x:f>
        <x:v>37210.810801230684</x:v>
      </x:c>
      <x:c r="AC2213" s="78" t="n">
        <x:f>AC2212+AB2213</x:f>
        <x:v>590035.6482806042</x:v>
      </x:c>
      <x:c r="AD2213" s="80" t="n">
        <x:f>Z2213/(1+'Inputs'!$C$50)</x:f>
        <x:v>19.35629649424592</x:v>
      </x:c>
      <x:c r="AE2213" s="80" t="n">
        <x:f>Z2213-AD2213</x:f>
        <x:v>19.35629649424592</x:v>
      </x:c>
      <x:c r="AF2213" s="80" t="n">
        <x:f>D2213*W2213</x:f>
        <x:v>101.36385273216678</x:v>
      </x:c>
      <x:c r="AG2213" s="80" t="n">
        <x:f>C2213*W2213</x:f>
        <x:v>236.51565637505612</x:v>
      </x:c>
      <x:c r="AH2213" s="80" t="n">
        <x:f>2*'Inputs'!$B$8*'Inputs'!$C$50</x:f>
        <x:v>5000</x:v>
      </x:c>
      <x:c r="AI2213" s="81" t="n">
        <x:f>IF(AH2213&gt;0,(AE2213+AF2213)/AH2213*365,0)</x:f>
        <x:v>8.812570893528127</x:v>
      </x:c>
      <x:c r="AJ2213" s="81" t="n">
        <x:f>IF('Inputs'!$B$50&gt;0,AG2213/('Inputs'!$B$19*'Inputs'!$B$50)*365,0)</x:f>
        <x:v>8.632821457689548</x:v>
      </x:c>
      <x:c r="AK2213" s="81" t="n">
        <x:f>W2213/MAX($W$2194:W2213)-1</x:f>
        <x:v>-0.6022998163063262</x:v>
      </x:c>
      <x:c r="AL2213" s="83" t="n">
        <x:f>'Inputs'!$B$50</x:f>
        <x:v>1</x:v>
      </x:c>
      <x:c r="AM2213" s="83" t="n">
        <x:f>'Inputs'!$C$50</x:f>
        <x:v>1</x:v>
      </x:c>
      <x:c r="AN2213" s="83" t="n">
        <x:f>'Inputs'!$D$50</x:f>
        <x:v>1</x:v>
      </x:c>
      <x:c r="AO2213" s="81" t="n">
        <x:f>'Inputs'!$E$50</x:f>
        <x:v>0</x:v>
      </x:c>
    </x:row>
    <x:row r="2214">
      <x:c r="A2214" s="59" t="str">
        <x:v>Whale exit</x:v>
      </x:c>
      <x:c r="B2214" s="59" t="n">
        <x:v>21</x:v>
      </x:c>
      <x:c r="C2214" s="78" t="n">
        <x:f>(('Inputs'!$B$29*(3*21*'Inputs'!$B$12-21^2)/(2*'Inputs'!$B$12^2))-('Inputs'!$B$29*(3*20*'Inputs'!$B$12-20^2)/(2*'Inputs'!$B$12^2)))*'Inputs'!$B$50</x:f>
        <x:v>705321.5894164015</x:v>
      </x:c>
      <x:c r="D2214" s="78" t="n">
        <x:f>IF('Inputs'!$C$50&gt;0,('Inputs'!$B$30*(3*21*'Inputs'!$B$12-21^2)/(2*'Inputs'!$B$12^2))-('Inputs'!$B$30*(3*20*'Inputs'!$B$12-20^2)/(2*'Inputs'!$B$12^2)),0)</x:f>
        <x:v>302280.6811784571</x:v>
      </x:c>
      <x:c r="E2214" s="78" t="n">
        <x:f>C2214+D2214</x:f>
        <x:v>1007602.2705948586</x:v>
      </x:c>
      <x:c r="F2214" s="78" t="n">
        <x:f>'Inputs'!$B$13*E2214+(1-'Inputs'!$B$13)/'Inputs'!$B$14*SUM(E2194:E2214)</x:f>
        <x:v>505194.45486958156</x:v>
      </x:c>
      <x:c r="G2214" s="78" t="n">
        <x:f>F2214*'Inputs'!$F$50</x:f>
        <x:v>252597.22743479078</x:v>
      </x:c>
      <x:c r="H2214" s="78" t="n">
        <x:f>U2213</x:f>
        <x:v>9245898.771782504</x:v>
      </x:c>
      <x:c r="I2214" s="78" t="n">
        <x:f>V2213</x:f>
        <x:v>3099.000994550695</x:v>
      </x:c>
      <x:c r="J2214" s="79" t="n">
        <x:f>IF(H2214&gt;0,I2214/H2214,0)</x:f>
        <x:v>0.000335175743434323</x:v>
      </x:c>
      <x:c r="K2214" s="80" t="n">
        <x:f>(H2214*J2214+I2214)*'Inputs'!$D$50*(1+'Inputs'!$G$50)^(B2214/30)</x:f>
        <x:v>6198.00198910139</x:v>
      </x:c>
      <x:c r="L2214" s="80" t="n">
        <x:f>MAX(0,K2214*'Inputs'!$E$50)</x:f>
        <x:v>0</x:v>
      </x:c>
      <x:c r="M2214" s="80" t="n">
        <x:f>MAX(0,-K2214*'Inputs'!$E$50)</x:f>
        <x:v>0</x:v>
      </x:c>
      <x:c r="N2214" s="78" t="n">
        <x:f>H2214*(L2214*(1-'Inputs'!$B$15))/(I2214+L2214*(1-'Inputs'!$B$15))</x:f>
        <x:v>0</x:v>
      </x:c>
      <x:c r="O2214" s="78" t="n">
        <x:f>H2214-N2214</x:f>
        <x:v>9245898.771782504</x:v>
      </x:c>
      <x:c r="P2214" s="78" t="n">
        <x:f>I2214+L2214*(1-'Inputs'!$B$17)</x:f>
        <x:v>3099.000994550695</x:v>
      </x:c>
      <x:c r="Q2214" s="78" t="n">
        <x:f>IF(J2214&gt;0,M2214/J2214,0)</x:f>
        <x:v>0</x:v>
      </x:c>
      <x:c r="R2214" s="78" t="n">
        <x:f>IF(B2214='Inputs'!$H$50,'Inputs'!$B$27*'Inputs'!$I$50,0)</x:f>
        <x:v>0</x:v>
      </x:c>
      <x:c r="S2214" s="78" t="n">
        <x:f>Q2214+G2214+R2214</x:f>
        <x:v>252597.22743479078</x:v>
      </x:c>
      <x:c r="T2214" s="78" t="n">
        <x:f>P2214*(S2214*(1-'Inputs'!$B$15))/(O2214+S2214*(1-'Inputs'!$B$15))</x:f>
        <x:v>81.61052175311475</x:v>
      </x:c>
      <x:c r="U2214" s="78" t="n">
        <x:f>O2214+S2214*(1-'Inputs'!$B$17)</x:f>
        <x:v>9497479.511380535</x:v>
      </x:c>
      <x:c r="V2214" s="78" t="n">
        <x:f>P2214-T2214</x:f>
        <x:v>3017.39047279758</x:v>
      </x:c>
      <x:c r="W2214" s="79" t="n">
        <x:f>IF(U2214&gt;0,V2214/U2214,0)</x:f>
        <x:v>0.00031770434136572077</x:v>
      </x:c>
      <x:c r="X2214" s="80" t="n">
        <x:f>W2214*('Inputs'!$B$6-AC2214)</x:f>
        <x:v>317504.74076274416</x:v>
      </x:c>
      <x:c r="Y2214" s="80" t="n">
        <x:f>2*V2214</x:f>
        <x:v>6034.78094559516</x:v>
      </x:c>
      <x:c r="Z2214" s="80" t="n">
        <x:f>K2214*'Inputs'!$B$16+(G2214+R2214)*J2214*'Inputs'!$B$16</x:f>
        <x:v>37.69599871557777</x:v>
      </x:c>
      <x:c r="AA2214" s="80" t="n">
        <x:f>K2214*(1+'Inputs'!$E$50)/2*'Inputs'!$B$17</x:f>
        <x:v>12.470828951914266</x:v>
      </x:c>
      <x:c r="AB2214" s="78" t="n">
        <x:f>(IF(J2214&gt;0,K2214*(1-'Inputs'!$E$50)/2/J2214,0)+G2214+R2214)*'Inputs'!$B$17</x:f>
        <x:v>38223.32394051226</x:v>
      </x:c>
      <x:c r="AC2214" s="78" t="n">
        <x:f>AC2213+AB2214</x:f>
        <x:v>628258.9722211164</x:v>
      </x:c>
      <x:c r="AD2214" s="80" t="n">
        <x:f>Z2214/(1+'Inputs'!$C$50)</x:f>
        <x:v>18.847999357788886</x:v>
      </x:c>
      <x:c r="AE2214" s="80" t="n">
        <x:f>Z2214-AD2214</x:f>
        <x:v>18.847999357788886</x:v>
      </x:c>
      <x:c r="AF2214" s="80" t="n">
        <x:f>D2214*W2214</x:f>
        <x:v>96.03588472138314</x:v>
      </x:c>
      <x:c r="AG2214" s="80" t="n">
        <x:f>C2214*W2214</x:f>
        <x:v>224.08373101656116</x:v>
      </x:c>
      <x:c r="AH2214" s="80" t="n">
        <x:f>2*'Inputs'!$B$8*'Inputs'!$C$50</x:f>
        <x:v>5000</x:v>
      </x:c>
      <x:c r="AI2214" s="81" t="n">
        <x:f>IF(AH2214&gt;0,(AE2214+AF2214)/AH2214*365,0)</x:f>
        <x:v>8.386523537779558</x:v>
      </x:c>
      <x:c r="AJ2214" s="81" t="n">
        <x:f>IF('Inputs'!$B$50&gt;0,AG2214/('Inputs'!$B$19*'Inputs'!$B$50)*365,0)</x:f>
        <x:v>8.179056182104482</x:v>
      </x:c>
      <x:c r="AK2214" s="81" t="n">
        <x:f>W2214/MAX($W$2194:W2214)-1</x:f>
        <x:v>-0.6230303731803819</x:v>
      </x:c>
      <x:c r="AL2214" s="83" t="n">
        <x:f>'Inputs'!$B$50</x:f>
        <x:v>1</x:v>
      </x:c>
      <x:c r="AM2214" s="83" t="n">
        <x:f>'Inputs'!$C$50</x:f>
        <x:v>1</x:v>
      </x:c>
      <x:c r="AN2214" s="83" t="n">
        <x:f>'Inputs'!$D$50</x:f>
        <x:v>1</x:v>
      </x:c>
      <x:c r="AO2214" s="81" t="n">
        <x:f>'Inputs'!$E$50</x:f>
        <x:v>0</x:v>
      </x:c>
    </x:row>
    <x:row r="2215">
      <x:c r="A2215" s="59" t="str">
        <x:v>Whale exit</x:v>
      </x:c>
      <x:c r="B2215" s="59" t="n">
        <x:v>22</x:v>
      </x:c>
      <x:c r="C2215" s="78" t="n">
        <x:f>(('Inputs'!$B$29*(3*22*'Inputs'!$B$12-22^2)/(2*'Inputs'!$B$12^2))-('Inputs'!$B$29*(3*21*'Inputs'!$B$12-21^2)/(2*'Inputs'!$B$12^2)))*'Inputs'!$B$50</x:f>
        <x:v>704996.4815162309</x:v>
      </x:c>
      <x:c r="D2215" s="78" t="n">
        <x:f>IF('Inputs'!$C$50&gt;0,('Inputs'!$B$30*(3*22*'Inputs'!$B$12-22^2)/(2*'Inputs'!$B$12^2))-('Inputs'!$B$30*(3*21*'Inputs'!$B$12-21^2)/(2*'Inputs'!$B$12^2)),0)</x:f>
        <x:v>302141.3492212426</x:v>
      </x:c>
      <x:c r="E2215" s="78" t="n">
        <x:f>C2215+D2215</x:f>
        <x:v>1007137.8307374734</x:v>
      </x:c>
      <x:c r="F2215" s="78" t="n">
        <x:f>'Inputs'!$B$13*E2215+(1-'Inputs'!$B$13)/'Inputs'!$B$14*SUM(E2194:E2215)</x:f>
        <x:v>519489.25019435416</x:v>
      </x:c>
      <x:c r="G2215" s="78" t="n">
        <x:f>F2215*'Inputs'!$F$50</x:f>
        <x:v>259744.62509717708</x:v>
      </x:c>
      <x:c r="H2215" s="78" t="n">
        <x:f>U2214</x:f>
        <x:v>9497479.511380535</x:v>
      </x:c>
      <x:c r="I2215" s="78" t="n">
        <x:f>V2214</x:f>
        <x:v>3017.39047279758</x:v>
      </x:c>
      <x:c r="J2215" s="79" t="n">
        <x:f>IF(H2215&gt;0,I2215/H2215,0)</x:f>
        <x:v>0.00031770434136572077</x:v>
      </x:c>
      <x:c r="K2215" s="80" t="n">
        <x:f>(H2215*J2215+I2215)*'Inputs'!$D$50*(1+'Inputs'!$G$50)^(B2215/30)</x:f>
        <x:v>6034.780945595161</x:v>
      </x:c>
      <x:c r="L2215" s="80" t="n">
        <x:f>MAX(0,K2215*'Inputs'!$E$50)</x:f>
        <x:v>0</x:v>
      </x:c>
      <x:c r="M2215" s="80" t="n">
        <x:f>MAX(0,-K2215*'Inputs'!$E$50)</x:f>
        <x:v>0</x:v>
      </x:c>
      <x:c r="N2215" s="78" t="n">
        <x:f>H2215*(L2215*(1-'Inputs'!$B$15))/(I2215+L2215*(1-'Inputs'!$B$15))</x:f>
        <x:v>0</x:v>
      </x:c>
      <x:c r="O2215" s="78" t="n">
        <x:f>H2215-N2215</x:f>
        <x:v>9497479.511380535</x:v>
      </x:c>
      <x:c r="P2215" s="78" t="n">
        <x:f>I2215+L2215*(1-'Inputs'!$B$17)</x:f>
        <x:v>3017.39047279758</x:v>
      </x:c>
      <x:c r="Q2215" s="78" t="n">
        <x:f>IF(J2215&gt;0,M2215/J2215,0)</x:f>
        <x:v>0</x:v>
      </x:c>
      <x:c r="R2215" s="78" t="n">
        <x:f>IF(B2215='Inputs'!$H$50,'Inputs'!$B$27*'Inputs'!$I$50,0)</x:f>
        <x:v>0</x:v>
      </x:c>
      <x:c r="S2215" s="78" t="n">
        <x:f>Q2215+G2215+R2215</x:f>
        <x:v>259744.62509717708</x:v>
      </x:c>
      <x:c r="T2215" s="78" t="n">
        <x:f>P2215*(S2215*(1-'Inputs'!$B$15))/(O2215+S2215*(1-'Inputs'!$B$15))</x:f>
        <x:v>79.54312063368974</x:v>
      </x:c>
      <x:c r="U2215" s="78" t="n">
        <x:f>O2215+S2215*(1-'Inputs'!$B$17)</x:f>
        <x:v>9756178.886477321</x:v>
      </x:c>
      <x:c r="V2215" s="78" t="n">
        <x:f>P2215-T2215</x:f>
        <x:v>2937.8473521638903</x:v>
      </x:c>
      <x:c r="W2215" s="79" t="n">
        <x:f>IF(U2215&gt;0,V2215/U2215,0)</x:f>
        <x:v>0.0003011268434444075</x:v>
      </x:c>
      <x:c r="X2215" s="80" t="n">
        <x:f>W2215*('Inputs'!$B$6-AC2215)</x:f>
        <x:v>300925.83421327715</x:v>
      </x:c>
      <x:c r="Y2215" s="80" t="n">
        <x:f>2*V2215</x:f>
        <x:v>5875.6947043277805</x:v>
      </x:c>
      <x:c r="Z2215" s="80" t="n">
        <x:f>K2215*'Inputs'!$B$16+(G2215+R2215)*J2215*'Inputs'!$B$16</x:f>
        <x:v>36.70381764380968</x:v>
      </x:c>
      <x:c r="AA2215" s="80" t="n">
        <x:f>K2215*(1+'Inputs'!$E$50)/2*'Inputs'!$B$17</x:f>
        <x:v>12.142416389527488</x:v>
      </x:c>
      <x:c r="AB2215" s="78" t="n">
        <x:f>(IF(J2215&gt;0,K2215*(1-'Inputs'!$E$50)/2/J2215,0)+G2215+R2215)*'Inputs'!$B$17</x:f>
        <x:v>39264.4834465904</x:v>
      </x:c>
      <x:c r="AC2215" s="78" t="n">
        <x:f>AC2214+AB2215</x:f>
        <x:v>667523.4556677068</x:v>
      </x:c>
      <x:c r="AD2215" s="80" t="n">
        <x:f>Z2215/(1+'Inputs'!$C$50)</x:f>
        <x:v>18.35190882190484</x:v>
      </x:c>
      <x:c r="AE2215" s="80" t="n">
        <x:f>Z2215-AD2215</x:f>
        <x:v>18.35190882190484</x:v>
      </x:c>
      <x:c r="AF2215" s="80" t="n">
        <x:f>D2215*W2215</x:f>
        <x:v>90.98287076502717</x:v>
      </x:c>
      <x:c r="AG2215" s="80" t="n">
        <x:f>C2215*W2215</x:f>
        <x:v>212.29336511839617</x:v>
      </x:c>
      <x:c r="AH2215" s="80" t="n">
        <x:f>2*'Inputs'!$B$8*'Inputs'!$C$50</x:f>
        <x:v>5000</x:v>
      </x:c>
      <x:c r="AI2215" s="81" t="n">
        <x:f>IF(AH2215&gt;0,(AE2215+AF2215)/AH2215*365,0)</x:f>
        <x:v>7.981438909846037</x:v>
      </x:c>
      <x:c r="AJ2215" s="81" t="n">
        <x:f>IF('Inputs'!$B$50&gt;0,AG2215/('Inputs'!$B$19*'Inputs'!$B$50)*365,0)</x:f>
        <x:v>7.748707826821461</x:v>
      </x:c>
      <x:c r="AK2215" s="81" t="n">
        <x:f>W2215/MAX($W$2194:W2215)-1</x:f>
        <x:v>-0.642700275008405</x:v>
      </x:c>
      <x:c r="AL2215" s="83" t="n">
        <x:f>'Inputs'!$B$50</x:f>
        <x:v>1</x:v>
      </x:c>
      <x:c r="AM2215" s="83" t="n">
        <x:f>'Inputs'!$C$50</x:f>
        <x:v>1</x:v>
      </x:c>
      <x:c r="AN2215" s="83" t="n">
        <x:f>'Inputs'!$D$50</x:f>
        <x:v>1</x:v>
      </x:c>
      <x:c r="AO2215" s="81" t="n">
        <x:f>'Inputs'!$E$50</x:f>
        <x:v>0</x:v>
      </x:c>
    </x:row>
    <x:row r="2216">
      <x:c r="A2216" s="59" t="str">
        <x:v>Whale exit</x:v>
      </x:c>
      <x:c r="B2216" s="59" t="n">
        <x:v>23</x:v>
      </x:c>
      <x:c r="C2216" s="78" t="n">
        <x:f>(('Inputs'!$B$29*(3*23*'Inputs'!$B$12-23^2)/(2*'Inputs'!$B$12^2))-('Inputs'!$B$29*(3*22*'Inputs'!$B$12-22^2)/(2*'Inputs'!$B$12^2)))*'Inputs'!$B$50</x:f>
        <x:v>704671.373616064</x:v>
      </x:c>
      <x:c r="D2216" s="78" t="n">
        <x:f>IF('Inputs'!$C$50&gt;0,('Inputs'!$B$30*(3*23*'Inputs'!$B$12-23^2)/(2*'Inputs'!$B$12^2))-('Inputs'!$B$30*(3*22*'Inputs'!$B$12-22^2)/(2*'Inputs'!$B$12^2)),0)</x:f>
        <x:v>302002.01726402715</x:v>
      </x:c>
      <x:c r="E2216" s="78" t="n">
        <x:f>C2216+D2216</x:f>
        <x:v>1006673.3908800911</x:v>
      </x:c>
      <x:c r="F2216" s="78" t="n">
        <x:f>'Inputs'!$B$13*E2216+(1-'Inputs'!$B$13)/'Inputs'!$B$14*SUM(E2194:E2216)</x:f>
        <x:v>533777.4106640219</x:v>
      </x:c>
      <x:c r="G2216" s="78" t="n">
        <x:f>F2216*'Inputs'!$F$50</x:f>
        <x:v>266888.7053320109</x:v>
      </x:c>
      <x:c r="H2216" s="78" t="n">
        <x:f>U2215</x:f>
        <x:v>9756178.886477321</x:v>
      </x:c>
      <x:c r="I2216" s="78" t="n">
        <x:f>V2215</x:f>
        <x:v>2937.8473521638903</x:v>
      </x:c>
      <x:c r="J2216" s="79" t="n">
        <x:f>IF(H2216&gt;0,I2216/H2216,0)</x:f>
        <x:v>0.0003011268434444075</x:v>
      </x:c>
      <x:c r="K2216" s="80" t="n">
        <x:f>(H2216*J2216+I2216)*'Inputs'!$D$50*(1+'Inputs'!$G$50)^(B2216/30)</x:f>
        <x:v>5875.6947043277805</x:v>
      </x:c>
      <x:c r="L2216" s="80" t="n">
        <x:f>MAX(0,K2216*'Inputs'!$E$50)</x:f>
        <x:v>0</x:v>
      </x:c>
      <x:c r="M2216" s="80" t="n">
        <x:f>MAX(0,-K2216*'Inputs'!$E$50)</x:f>
        <x:v>0</x:v>
      </x:c>
      <x:c r="N2216" s="78" t="n">
        <x:f>H2216*(L2216*(1-'Inputs'!$B$15))/(I2216+L2216*(1-'Inputs'!$B$15))</x:f>
        <x:v>0</x:v>
      </x:c>
      <x:c r="O2216" s="78" t="n">
        <x:f>H2216-N2216</x:f>
        <x:v>9756178.886477321</x:v>
      </x:c>
      <x:c r="P2216" s="78" t="n">
        <x:f>I2216+L2216*(1-'Inputs'!$B$17)</x:f>
        <x:v>2937.8473521638903</x:v>
      </x:c>
      <x:c r="Q2216" s="78" t="n">
        <x:f>IF(J2216&gt;0,M2216/J2216,0)</x:f>
        <x:v>0</x:v>
      </x:c>
      <x:c r="R2216" s="78" t="n">
        <x:f>IF(B2216='Inputs'!$H$50,'Inputs'!$B$27*'Inputs'!$I$50,0)</x:f>
        <x:v>0</x:v>
      </x:c>
      <x:c r="S2216" s="78" t="n">
        <x:f>Q2216+G2216+R2216</x:f>
        <x:v>266888.7053320109</x:v>
      </x:c>
      <x:c r="T2216" s="78" t="n">
        <x:f>P2216*(S2216*(1-'Inputs'!$B$15))/(O2216+S2216*(1-'Inputs'!$B$15))</x:f>
        <x:v>77.46572929786198</x:v>
      </x:c>
      <x:c r="U2216" s="78" t="n">
        <x:f>O2216+S2216*(1-'Inputs'!$B$17)</x:f>
        <x:v>10021993.592995118</x:v>
      </x:c>
      <x:c r="V2216" s="78" t="n">
        <x:f>P2216-T2216</x:f>
        <x:v>2860.3816228660285</x:v>
      </x:c>
      <x:c r="W2216" s="79" t="n">
        <x:f>IF(U2216&gt;0,V2216/U2216,0)</x:f>
        <x:v>0.0002854104421764243</x:v>
      </x:c>
      <x:c r="X2216" s="80" t="n">
        <x:f>W2216*('Inputs'!$B$6-AC2216)</x:f>
        <x:v>285208.4121882244</x:v>
      </x:c>
      <x:c r="Y2216" s="80" t="n">
        <x:f>2*V2216</x:f>
        <x:v>5720.763245732057</x:v>
      </x:c>
      <x:c r="Z2216" s="80" t="n">
        <x:f>K2216*'Inputs'!$B$16+(G2216+R2216)*J2216*'Inputs'!$B$16</x:f>
        <x:v>35.73637234629224</x:v>
      </x:c>
      <x:c r="AA2216" s="80" t="n">
        <x:f>K2216*(1+'Inputs'!$E$50)/2*'Inputs'!$B$17</x:f>
        <x:v>11.82232334874805</x:v>
      </x:c>
      <x:c r="AB2216" s="78" t="n">
        <x:f>(IF(J2216&gt;0,K2216*(1-'Inputs'!$E$50)/2/J2216,0)+G2216+R2216)*'Inputs'!$B$17</x:f>
        <x:v>40334.2760233776</x:v>
      </x:c>
      <x:c r="AC2216" s="78" t="n">
        <x:f>AC2215+AB2216</x:f>
        <x:v>707857.7316910843</x:v>
      </x:c>
      <x:c r="AD2216" s="80" t="n">
        <x:f>Z2216/(1+'Inputs'!$C$50)</x:f>
        <x:v>17.86818617314612</x:v>
      </x:c>
      <x:c r="AE2216" s="80" t="n">
        <x:f>Z2216-AD2216</x:f>
        <x:v>17.86818617314612</x:v>
      </x:c>
      <x:c r="AF2216" s="80" t="n">
        <x:f>D2216*W2216</x:f>
        <x:v>86.19452928549812</x:v>
      </x:c>
      <x:c r="AG2216" s="80" t="n">
        <x:f>C2216*W2216</x:f>
        <x:v>201.12056833282912</x:v>
      </x:c>
      <x:c r="AH2216" s="80" t="n">
        <x:f>2*'Inputs'!$B$8*'Inputs'!$C$50</x:f>
        <x:v>5000</x:v>
      </x:c>
      <x:c r="AI2216" s="81" t="n">
        <x:f>IF(AH2216&gt;0,(AE2216+AF2216)/AH2216*365,0)</x:f>
        <x:v>7.59657822848103</x:v>
      </x:c>
      <x:c r="AJ2216" s="81" t="n">
        <x:f>IF('Inputs'!$B$50&gt;0,AG2216/('Inputs'!$B$19*'Inputs'!$B$50)*365,0)</x:f>
        <x:v>7.3409007441482625</x:v>
      </x:c>
      <x:c r="AK2216" s="81" t="n">
        <x:f>W2216/MAX($W$2194:W2216)-1</x:f>
        <x:v>-0.6613484492683814</x:v>
      </x:c>
      <x:c r="AL2216" s="83" t="n">
        <x:f>'Inputs'!$B$50</x:f>
        <x:v>1</x:v>
      </x:c>
      <x:c r="AM2216" s="83" t="n">
        <x:f>'Inputs'!$C$50</x:f>
        <x:v>1</x:v>
      </x:c>
      <x:c r="AN2216" s="83" t="n">
        <x:f>'Inputs'!$D$50</x:f>
        <x:v>1</x:v>
      </x:c>
      <x:c r="AO2216" s="81" t="n">
        <x:f>'Inputs'!$E$50</x:f>
        <x:v>0</x:v>
      </x:c>
    </x:row>
    <x:row r="2217">
      <x:c r="A2217" s="59" t="str">
        <x:v>Whale exit</x:v>
      </x:c>
      <x:c r="B2217" s="59" t="n">
        <x:v>24</x:v>
      </x:c>
      <x:c r="C2217" s="78" t="n">
        <x:f>(('Inputs'!$B$29*(3*24*'Inputs'!$B$12-24^2)/(2*'Inputs'!$B$12^2))-('Inputs'!$B$29*(3*23*'Inputs'!$B$12-23^2)/(2*'Inputs'!$B$12^2)))*'Inputs'!$B$50</x:f>
        <x:v>704346.2657158952</x:v>
      </x:c>
      <x:c r="D2217" s="78" t="n">
        <x:f>IF('Inputs'!$C$50&gt;0,('Inputs'!$B$30*(3*24*'Inputs'!$B$12-24^2)/(2*'Inputs'!$B$12^2))-('Inputs'!$B$30*(3*23*'Inputs'!$B$12-23^2)/(2*'Inputs'!$B$12^2)),0)</x:f>
        <x:v>301862.6853068117</x:v>
      </x:c>
      <x:c r="E2217" s="78" t="n">
        <x:f>C2217+D2217</x:f>
        <x:v>1006208.9510227069</x:v>
      </x:c>
      <x:c r="F2217" s="78" t="n">
        <x:f>'Inputs'!$B$13*E2217+(1-'Inputs'!$B$13)/'Inputs'!$B$14*SUM(E2194:E2217)</x:f>
        <x:v>548058.9362785837</x:v>
      </x:c>
      <x:c r="G2217" s="78" t="n">
        <x:f>F2217*'Inputs'!$F$50</x:f>
        <x:v>274029.46813929186</x:v>
      </x:c>
      <x:c r="H2217" s="78" t="n">
        <x:f>U2216</x:f>
        <x:v>10021993.592995118</x:v>
      </x:c>
      <x:c r="I2217" s="78" t="n">
        <x:f>V2216</x:f>
        <x:v>2860.3816228660285</x:v>
      </x:c>
      <x:c r="J2217" s="79" t="n">
        <x:f>IF(H2217&gt;0,I2217/H2217,0)</x:f>
        <x:v>0.0002854104421764243</x:v>
      </x:c>
      <x:c r="K2217" s="80" t="n">
        <x:f>(H2217*J2217+I2217)*'Inputs'!$D$50*(1+'Inputs'!$G$50)^(B2217/30)</x:f>
        <x:v>5720.763245732057</x:v>
      </x:c>
      <x:c r="L2217" s="80" t="n">
        <x:f>MAX(0,K2217*'Inputs'!$E$50)</x:f>
        <x:v>0</x:v>
      </x:c>
      <x:c r="M2217" s="80" t="n">
        <x:f>MAX(0,-K2217*'Inputs'!$E$50)</x:f>
        <x:v>0</x:v>
      </x:c>
      <x:c r="N2217" s="78" t="n">
        <x:f>H2217*(L2217*(1-'Inputs'!$B$15))/(I2217+L2217*(1-'Inputs'!$B$15))</x:f>
        <x:v>0</x:v>
      </x:c>
      <x:c r="O2217" s="78" t="n">
        <x:f>H2217-N2217</x:f>
        <x:v>10021993.592995118</x:v>
      </x:c>
      <x:c r="P2217" s="78" t="n">
        <x:f>I2217+L2217*(1-'Inputs'!$B$17)</x:f>
        <x:v>2860.3816228660285</x:v>
      </x:c>
      <x:c r="Q2217" s="78" t="n">
        <x:f>IF(J2217&gt;0,M2217/J2217,0)</x:f>
        <x:v>0</x:v>
      </x:c>
      <x:c r="R2217" s="78" t="n">
        <x:f>IF(B2217='Inputs'!$H$50,'Inputs'!$B$27*'Inputs'!$I$50,0)</x:f>
        <x:v>0</x:v>
      </x:c>
      <x:c r="S2217" s="78" t="n">
        <x:f>Q2217+G2217+R2217</x:f>
        <x:v>274029.46813929186</x:v>
      </x:c>
      <x:c r="T2217" s="78" t="n">
        <x:f>P2217*(S2217*(1-'Inputs'!$B$15))/(O2217+S2217*(1-'Inputs'!$B$15))</x:f>
        <x:v>75.38805489445313</x:v>
      </x:c>
      <x:c r="U2217" s="78" t="n">
        <x:f>O2217+S2217*(1-'Inputs'!$B$17)</x:f>
        <x:v>10294920.326856183</x:v>
      </x:c>
      <x:c r="V2217" s="78" t="n">
        <x:f>P2217-T2217</x:f>
        <x:v>2784.9935679715754</x:v>
      </x:c>
      <x:c r="W2217" s="79" t="n">
        <x:f>IF(U2217&gt;0,V2217/U2217,0)</x:f>
        <x:v>0.00027052113853726583</x:v>
      </x:c>
      <x:c r="X2217" s="80" t="n">
        <x:f>W2217*('Inputs'!$B$6-AC2217)</x:f>
        <x:v>270318.4396397345</x:v>
      </x:c>
      <x:c r="Y2217" s="80" t="n">
        <x:f>2*V2217</x:f>
        <x:v>5569.987135943151</x:v>
      </x:c>
      <x:c r="Z2217" s="80" t="n">
        <x:f>K2217*'Inputs'!$B$16+(G2217+R2217)*J2217*'Inputs'!$B$16</x:f>
        <x:v>34.793844704418376</x:v>
      </x:c>
      <x:c r="AA2217" s="80" t="n">
        <x:f>K2217*(1+'Inputs'!$E$50)/2*'Inputs'!$B$17</x:f>
        <x:v>11.51059003165404</x:v>
      </x:c>
      <x:c r="AB2217" s="78" t="n">
        <x:f>(IF(J2217&gt;0,K2217*(1-'Inputs'!$E$50)/2/J2217,0)+G2217+R2217)*'Inputs'!$B$17</x:f>
        <x:v>41432.68837478637</x:v>
      </x:c>
      <x:c r="AC2217" s="78" t="n">
        <x:f>AC2216+AB2217</x:f>
        <x:v>749290.4200658707</x:v>
      </x:c>
      <x:c r="AD2217" s="80" t="n">
        <x:f>Z2217/(1+'Inputs'!$C$50)</x:f>
        <x:v>17.396922352209188</x:v>
      </x:c>
      <x:c r="AE2217" s="80" t="n">
        <x:f>Z2217-AD2217</x:f>
        <x:v>17.396922352209188</x:v>
      </x:c>
      <x:c r="AF2217" s="80" t="n">
        <x:f>D2217*W2217</x:f>
        <x:v>81.66023731111508</x:v>
      </x:c>
      <x:c r="AG2217" s="80" t="n">
        <x:f>C2217*W2217</x:f>
        <x:v>190.54055372593555</x:v>
      </x:c>
      <x:c r="AH2217" s="80" t="n">
        <x:f>2*'Inputs'!$B$8*'Inputs'!$C$50</x:f>
        <x:v>5000</x:v>
      </x:c>
      <x:c r="AI2217" s="81" t="n">
        <x:f>IF(AH2217&gt;0,(AE2217+AF2217)/AH2217*365,0)</x:f>
        <x:v>7.231172655422671</x:v>
      </x:c>
      <x:c r="AJ2217" s="81" t="n">
        <x:f>IF('Inputs'!$B$50&gt;0,AG2217/('Inputs'!$B$19*'Inputs'!$B$50)*365,0)</x:f>
        <x:v>6.954730210996647</x:v>
      </x:c>
      <x:c r="AK2217" s="81" t="n">
        <x:f>W2217/MAX($W$2194:W2217)-1</x:f>
        <x:v>-0.6790152372396432</x:v>
      </x:c>
      <x:c r="AL2217" s="83" t="n">
        <x:f>'Inputs'!$B$50</x:f>
        <x:v>1</x:v>
      </x:c>
      <x:c r="AM2217" s="83" t="n">
        <x:f>'Inputs'!$C$50</x:f>
        <x:v>1</x:v>
      </x:c>
      <x:c r="AN2217" s="83" t="n">
        <x:f>'Inputs'!$D$50</x:f>
        <x:v>1</x:v>
      </x:c>
      <x:c r="AO2217" s="81" t="n">
        <x:f>'Inputs'!$E$50</x:f>
        <x:v>0</x:v>
      </x:c>
    </x:row>
    <x:row r="2218">
      <x:c r="A2218" s="59" t="str">
        <x:v>Whale exit</x:v>
      </x:c>
      <x:c r="B2218" s="59" t="n">
        <x:v>25</x:v>
      </x:c>
      <x:c r="C2218" s="78" t="n">
        <x:f>(('Inputs'!$B$29*(3*25*'Inputs'!$B$12-25^2)/(2*'Inputs'!$B$12^2))-('Inputs'!$B$29*(3*24*'Inputs'!$B$12-24^2)/(2*'Inputs'!$B$12^2)))*'Inputs'!$B$50</x:f>
        <x:v>704021.1578157246</x:v>
      </x:c>
      <x:c r="D2218" s="78" t="n">
        <x:f>IF('Inputs'!$C$50&gt;0,('Inputs'!$B$30*(3*25*'Inputs'!$B$12-25^2)/(2*'Inputs'!$B$12^2))-('Inputs'!$B$30*(3*24*'Inputs'!$B$12-24^2)/(2*'Inputs'!$B$12^2)),0)</x:f>
        <x:v>301723.35334959626</x:v>
      </x:c>
      <x:c r="E2218" s="78" t="n">
        <x:f>C2218+D2218</x:f>
        <x:v>1005744.5111653209</x:v>
      </x:c>
      <x:c r="F2218" s="78" t="n">
        <x:f>'Inputs'!$B$13*E2218+(1-'Inputs'!$B$13)/'Inputs'!$B$14*SUM(E2194:E2218)</x:f>
        <x:v>562333.8270380397</x:v>
      </x:c>
      <x:c r="G2218" s="78" t="n">
        <x:f>F2218*'Inputs'!$F$50</x:f>
        <x:v>281166.91351901984</x:v>
      </x:c>
      <x:c r="H2218" s="78" t="n">
        <x:f>U2217</x:f>
        <x:v>10294920.326856183</x:v>
      </x:c>
      <x:c r="I2218" s="78" t="n">
        <x:f>V2217</x:f>
        <x:v>2784.9935679715754</x:v>
      </x:c>
      <x:c r="J2218" s="79" t="n">
        <x:f>IF(H2218&gt;0,I2218/H2218,0)</x:f>
        <x:v>0.00027052113853726583</x:v>
      </x:c>
      <x:c r="K2218" s="80" t="n">
        <x:f>(H2218*J2218+I2218)*'Inputs'!$D$50*(1+'Inputs'!$G$50)^(B2218/30)</x:f>
        <x:v>5569.987135943151</x:v>
      </x:c>
      <x:c r="L2218" s="80" t="n">
        <x:f>MAX(0,K2218*'Inputs'!$E$50)</x:f>
        <x:v>0</x:v>
      </x:c>
      <x:c r="M2218" s="80" t="n">
        <x:f>MAX(0,-K2218*'Inputs'!$E$50)</x:f>
        <x:v>0</x:v>
      </x:c>
      <x:c r="N2218" s="78" t="n">
        <x:f>H2218*(L2218*(1-'Inputs'!$B$15))/(I2218+L2218*(1-'Inputs'!$B$15))</x:f>
        <x:v>0</x:v>
      </x:c>
      <x:c r="O2218" s="78" t="n">
        <x:f>H2218-N2218</x:f>
        <x:v>10294920.326856183</x:v>
      </x:c>
      <x:c r="P2218" s="78" t="n">
        <x:f>I2218+L2218*(1-'Inputs'!$B$17)</x:f>
        <x:v>2784.9935679715754</x:v>
      </x:c>
      <x:c r="Q2218" s="78" t="n">
        <x:f>IF(J2218&gt;0,M2218/J2218,0)</x:f>
        <x:v>0</x:v>
      </x:c>
      <x:c r="R2218" s="78" t="n">
        <x:f>IF(B2218='Inputs'!$H$50,'Inputs'!$B$27*'Inputs'!$I$50,0)</x:f>
        <x:v>0</x:v>
      </x:c>
      <x:c r="S2218" s="78" t="n">
        <x:f>Q2218+G2218+R2218</x:f>
        <x:v>281166.91351901984</x:v>
      </x:c>
      <x:c r="T2218" s="78" t="n">
        <x:f>P2218*(S2218*(1-'Inputs'!$B$15))/(O2218+S2218*(1-'Inputs'!$B$15))</x:f>
        <x:v>73.31858136080015</x:v>
      </x:c>
      <x:c r="U2218" s="78" t="n">
        <x:f>O2218+S2218*(1-'Inputs'!$B$17)</x:f>
        <x:v>10574955.783982772</x:v>
      </x:c>
      <x:c r="V2218" s="78" t="n">
        <x:f>P2218-T2218</x:f>
        <x:v>2711.6749866107752</x:v>
      </x:c>
      <x:c r="W2218" s="79" t="n">
        <x:f>IF(U2218&gt;0,V2218/U2218,0)</x:f>
        <x:v>0.00025642423873941685</x:v>
      </x:c>
      <x:c r="X2218" s="80" t="n">
        <x:f>W2218*('Inputs'!$B$6-AC2218)</x:f>
        <x:v>256221.1891733358</x:v>
      </x:c>
      <x:c r="Y2218" s="80" t="n">
        <x:f>2*V2218</x:f>
        <x:v>5423.3499732215505</x:v>
      </x:c>
      <x:c r="Z2218" s="80" t="n">
        <x:f>K2218*'Inputs'!$B$16+(G2218+R2218)*J2218*'Inputs'!$B$16</x:f>
        <x:v>33.87629237704395</x:v>
      </x:c>
      <x:c r="AA2218" s="80" t="n">
        <x:f>K2218*(1+'Inputs'!$E$50)/2*'Inputs'!$B$17</x:f>
        <x:v>11.207217577350406</x:v>
      </x:c>
      <x:c r="AB2218" s="78" t="n">
        <x:f>(IF(J2218&gt;0,K2218*(1-'Inputs'!$E$50)/2/J2218,0)+G2218+R2218)*'Inputs'!$B$17</x:f>
        <x:v>42559.70720472919</x:v>
      </x:c>
      <x:c r="AC2218" s="78" t="n">
        <x:f>AC2217+AB2218</x:f>
        <x:v>791850.1272706</x:v>
      </x:c>
      <x:c r="AD2218" s="80" t="n">
        <x:f>Z2218/(1+'Inputs'!$C$50)</x:f>
        <x:v>16.938146188521976</x:v>
      </x:c>
      <x:c r="AE2218" s="80" t="n">
        <x:f>Z2218-AD2218</x:f>
        <x:v>16.938146188521976</x:v>
      </x:c>
      <x:c r="AF2218" s="80" t="n">
        <x:f>D2218*W2218</x:f>
        <x:v>77.3691811925743</x:v>
      </x:c>
      <x:c r="AG2218" s="80" t="n">
        <x:f>C2218*W2218</x:f>
        <x:v>180.52808944934003</x:v>
      </x:c>
      <x:c r="AH2218" s="80" t="n">
        <x:f>2*'Inputs'!$B$8*'Inputs'!$C$50</x:f>
        <x:v>5000</x:v>
      </x:c>
      <x:c r="AI2218" s="81" t="n">
        <x:f>IF(AH2218&gt;0,(AE2218+AF2218)/AH2218*365,0)</x:f>
        <x:v>6.884434898820029</x:v>
      </x:c>
      <x:c r="AJ2218" s="81" t="n">
        <x:f>IF('Inputs'!$B$50&gt;0,AG2218/('Inputs'!$B$19*'Inputs'!$B$50)*365,0)</x:f>
        <x:v>6.589275264900911</x:v>
      </x:c>
      <x:c r="AK2218" s="81" t="n">
        <x:f>W2218/MAX($W$2194:W2218)-1</x:f>
        <x:v>-0.6957418045671933</x:v>
      </x:c>
      <x:c r="AL2218" s="83" t="n">
        <x:f>'Inputs'!$B$50</x:f>
        <x:v>1</x:v>
      </x:c>
      <x:c r="AM2218" s="83" t="n">
        <x:f>'Inputs'!$C$50</x:f>
        <x:v>1</x:v>
      </x:c>
      <x:c r="AN2218" s="83" t="n">
        <x:f>'Inputs'!$D$50</x:f>
        <x:v>1</x:v>
      </x:c>
      <x:c r="AO2218" s="81" t="n">
        <x:f>'Inputs'!$E$50</x:f>
        <x:v>0</x:v>
      </x:c>
    </x:row>
    <x:row r="2219">
      <x:c r="A2219" s="59" t="str">
        <x:v>Whale exit</x:v>
      </x:c>
      <x:c r="B2219" s="59" t="n">
        <x:v>26</x:v>
      </x:c>
      <x:c r="C2219" s="78" t="n">
        <x:f>(('Inputs'!$B$29*(3*26*'Inputs'!$B$12-26^2)/(2*'Inputs'!$B$12^2))-('Inputs'!$B$29*(3*25*'Inputs'!$B$12-25^2)/(2*'Inputs'!$B$12^2)))*'Inputs'!$B$50</x:f>
        <x:v>703696.0499155559</x:v>
      </x:c>
      <x:c r="D2219" s="78" t="n">
        <x:f>IF('Inputs'!$C$50&gt;0,('Inputs'!$B$30*(3*26*'Inputs'!$B$12-26^2)/(2*'Inputs'!$B$12^2))-('Inputs'!$B$30*(3*25*'Inputs'!$B$12-25^2)/(2*'Inputs'!$B$12^2)),0)</x:f>
        <x:v>301584.02139238175</x:v>
      </x:c>
      <x:c r="E2219" s="78" t="n">
        <x:f>C2219+D2219</x:f>
        <x:v>1005280.0713079376</x:v>
      </x:c>
      <x:c r="F2219" s="78" t="n">
        <x:f>'Inputs'!$B$13*E2219+(1-'Inputs'!$B$13)/'Inputs'!$B$14*SUM(E2194:E2219)</x:f>
        <x:v>576602.0829423906</x:v>
      </x:c>
      <x:c r="G2219" s="78" t="n">
        <x:f>F2219*'Inputs'!$F$50</x:f>
        <x:v>288301.0414711953</x:v>
      </x:c>
      <x:c r="H2219" s="78" t="n">
        <x:f>U2218</x:f>
        <x:v>10574955.783982772</x:v>
      </x:c>
      <x:c r="I2219" s="78" t="n">
        <x:f>V2218</x:f>
        <x:v>2711.6749866107752</x:v>
      </x:c>
      <x:c r="J2219" s="79" t="n">
        <x:f>IF(H2219&gt;0,I2219/H2219,0)</x:f>
        <x:v>0.00025642423873941685</x:v>
      </x:c>
      <x:c r="K2219" s="80" t="n">
        <x:f>(H2219*J2219+I2219)*'Inputs'!$D$50*(1+'Inputs'!$G$50)^(B2219/30)</x:f>
        <x:v>5423.349973221551</x:v>
      </x:c>
      <x:c r="L2219" s="80" t="n">
        <x:f>MAX(0,K2219*'Inputs'!$E$50)</x:f>
        <x:v>0</x:v>
      </x:c>
      <x:c r="M2219" s="80" t="n">
        <x:f>MAX(0,-K2219*'Inputs'!$E$50)</x:f>
        <x:v>0</x:v>
      </x:c>
      <x:c r="N2219" s="78" t="n">
        <x:f>H2219*(L2219*(1-'Inputs'!$B$15))/(I2219+L2219*(1-'Inputs'!$B$15))</x:f>
        <x:v>0</x:v>
      </x:c>
      <x:c r="O2219" s="78" t="n">
        <x:f>H2219-N2219</x:f>
        <x:v>10574955.783982772</x:v>
      </x:c>
      <x:c r="P2219" s="78" t="n">
        <x:f>I2219+L2219*(1-'Inputs'!$B$17)</x:f>
        <x:v>2711.6749866107752</x:v>
      </x:c>
      <x:c r="Q2219" s="78" t="n">
        <x:f>IF(J2219&gt;0,M2219/J2219,0)</x:f>
        <x:v>0</x:v>
      </x:c>
      <x:c r="R2219" s="78" t="n">
        <x:f>IF(B2219='Inputs'!$H$50,'Inputs'!$B$27*'Inputs'!$I$50,0)</x:f>
        <x:v>0</x:v>
      </x:c>
      <x:c r="S2219" s="78" t="n">
        <x:f>Q2219+G2219+R2219</x:f>
        <x:v>288301.0414711953</x:v>
      </x:c>
      <x:c r="T2219" s="78" t="n">
        <x:f>P2219*(S2219*(1-'Inputs'!$B$15))/(O2219+S2219*(1-'Inputs'!$B$15))</x:f>
        <x:v>71.26466811591656</x:v>
      </x:c>
      <x:c r="U2219" s="78" t="n">
        <x:f>O2219+S2219*(1-'Inputs'!$B$17)</x:f>
        <x:v>10862096.660297142</x:v>
      </x:c>
      <x:c r="V2219" s="78" t="n">
        <x:f>P2219-T2219</x:f>
        <x:v>2640.4103184948585</x:v>
      </x:c>
      <x:c r="W2219" s="79" t="n">
        <x:f>IF(U2219&gt;0,V2219/U2219,0)</x:f>
        <x:v>0.00024308477461317562</x:v>
      </x:c>
      <x:c r="X2219" s="80" t="n">
        <x:f>W2219*('Inputs'!$B$6-AC2219)</x:f>
        <x:v>242881.6613749416</x:v>
      </x:c>
      <x:c r="Y2219" s="80" t="n">
        <x:f>2*V2219</x:f>
        <x:v>5280.820636989717</x:v>
      </x:c>
      <x:c r="Z2219" s="80" t="n">
        <x:f>K2219*'Inputs'!$B$16+(G2219+R2219)*J2219*'Inputs'!$B$16</x:f>
        <x:v>32.9836640898515</x:v>
      </x:c>
      <x:c r="AA2219" s="80" t="n">
        <x:f>K2219*(1+'Inputs'!$E$50)/2*'Inputs'!$B$17</x:f>
        <x:v>10.9121729843492</x:v>
      </x:c>
      <x:c r="AB2219" s="78" t="n">
        <x:f>(IF(J2219&gt;0,K2219*(1-'Inputs'!$E$50)/2/J2219,0)+G2219+R2219)*'Inputs'!$B$17</x:f>
        <x:v>43715.31921711858</x:v>
      </x:c>
      <x:c r="AC2219" s="78" t="n">
        <x:f>AC2218+AB2219</x:f>
        <x:v>835565.4464877185</x:v>
      </x:c>
      <x:c r="AD2219" s="80" t="n">
        <x:f>Z2219/(1+'Inputs'!$C$50)</x:f>
        <x:v>16.49183204492575</x:v>
      </x:c>
      <x:c r="AE2219" s="80" t="n">
        <x:f>Z2219-AD2219</x:f>
        <x:v>16.49183204492575</x:v>
      </x:c>
      <x:c r="AF2219" s="80" t="n">
        <x:f>D2219*W2219</x:f>
        <x:v>73.31048386710225</x:v>
      </x:c>
      <x:c r="AG2219" s="80" t="n">
        <x:f>C2219*W2219</x:f>
        <x:v>171.05779568990488</x:v>
      </x:c>
      <x:c r="AH2219" s="80" t="n">
        <x:f>2*'Inputs'!$B$8*'Inputs'!$C$50</x:f>
        <x:v>5000</x:v>
      </x:c>
      <x:c r="AI2219" s="81" t="n">
        <x:f>IF(AH2219&gt;0,(AE2219+AF2219)/AH2219*365,0)</x:f>
        <x:v>6.555569061578044</x:v>
      </x:c>
      <x:c r="AJ2219" s="81" t="n">
        <x:f>IF('Inputs'!$B$50&gt;0,AG2219/('Inputs'!$B$19*'Inputs'!$B$50)*365,0)</x:f>
        <x:v>6.243609542681528</x:v>
      </x:c>
      <x:c r="AK2219" s="81" t="n">
        <x:f>W2219/MAX($W$2194:W2219)-1</x:f>
        <x:v>-0.7115696424620941</x:v>
      </x:c>
      <x:c r="AL2219" s="83" t="n">
        <x:f>'Inputs'!$B$50</x:f>
        <x:v>1</x:v>
      </x:c>
      <x:c r="AM2219" s="83" t="n">
        <x:f>'Inputs'!$C$50</x:f>
        <x:v>1</x:v>
      </x:c>
      <x:c r="AN2219" s="83" t="n">
        <x:f>'Inputs'!$D$50</x:f>
        <x:v>1</x:v>
      </x:c>
      <x:c r="AO2219" s="81" t="n">
        <x:f>'Inputs'!$E$50</x:f>
        <x:v>0</x:v>
      </x:c>
    </x:row>
    <x:row r="2220">
      <x:c r="A2220" s="59" t="str">
        <x:v>Whale exit</x:v>
      </x:c>
      <x:c r="B2220" s="59" t="n">
        <x:v>27</x:v>
      </x:c>
      <x:c r="C2220" s="78" t="n">
        <x:f>(('Inputs'!$B$29*(3*27*'Inputs'!$B$12-27^2)/(2*'Inputs'!$B$12^2))-('Inputs'!$B$29*(3*26*'Inputs'!$B$12-26^2)/(2*'Inputs'!$B$12^2)))*'Inputs'!$B$50</x:f>
        <x:v>703370.9420153871</x:v>
      </x:c>
      <x:c r="D2220" s="78" t="n">
        <x:f>IF('Inputs'!$C$50&gt;0,('Inputs'!$B$30*(3*27*'Inputs'!$B$12-27^2)/(2*'Inputs'!$B$12^2))-('Inputs'!$B$30*(3*26*'Inputs'!$B$12-26^2)/(2*'Inputs'!$B$12^2)),0)</x:f>
        <x:v>301444.6894351663</x:v>
      </x:c>
      <x:c r="E2220" s="78" t="n">
        <x:f>C2220+D2220</x:f>
        <x:v>1004815.6314505534</x:v>
      </x:c>
      <x:c r="F2220" s="78" t="n">
        <x:f>'Inputs'!$B$13*E2220+(1-'Inputs'!$B$13)/'Inputs'!$B$14*SUM(E2194:E2220)</x:f>
        <x:v>590863.7039916359</x:v>
      </x:c>
      <x:c r="G2220" s="78" t="n">
        <x:f>F2220*'Inputs'!$F$50</x:f>
        <x:v>295431.85199581797</x:v>
      </x:c>
      <x:c r="H2220" s="78" t="n">
        <x:f>U2219</x:f>
        <x:v>10862096.660297142</x:v>
      </x:c>
      <x:c r="I2220" s="78" t="n">
        <x:f>V2219</x:f>
        <x:v>2640.4103184948585</x:v>
      </x:c>
      <x:c r="J2220" s="79" t="n">
        <x:f>IF(H2220&gt;0,I2220/H2220,0)</x:f>
        <x:v>0.00024308477461317562</x:v>
      </x:c>
      <x:c r="K2220" s="80" t="n">
        <x:f>(H2220*J2220+I2220)*'Inputs'!$D$50*(1+'Inputs'!$G$50)^(B2220/30)</x:f>
        <x:v>5280.820636989717</x:v>
      </x:c>
      <x:c r="L2220" s="80" t="n">
        <x:f>MAX(0,K2220*'Inputs'!$E$50)</x:f>
        <x:v>0</x:v>
      </x:c>
      <x:c r="M2220" s="80" t="n">
        <x:f>MAX(0,-K2220*'Inputs'!$E$50)</x:f>
        <x:v>0</x:v>
      </x:c>
      <x:c r="N2220" s="78" t="n">
        <x:f>H2220*(L2220*(1-'Inputs'!$B$15))/(I2220+L2220*(1-'Inputs'!$B$15))</x:f>
        <x:v>0</x:v>
      </x:c>
      <x:c r="O2220" s="78" t="n">
        <x:f>H2220-N2220</x:f>
        <x:v>10862096.660297142</x:v>
      </x:c>
      <x:c r="P2220" s="78" t="n">
        <x:f>I2220+L2220*(1-'Inputs'!$B$17)</x:f>
        <x:v>2640.4103184948585</x:v>
      </x:c>
      <x:c r="Q2220" s="78" t="n">
        <x:f>IF(J2220&gt;0,M2220/J2220,0)</x:f>
        <x:v>0</x:v>
      </x:c>
      <x:c r="R2220" s="78" t="n">
        <x:f>IF(B2220='Inputs'!$H$50,'Inputs'!$B$27*'Inputs'!$I$50,0)</x:f>
        <x:v>0</x:v>
      </x:c>
      <x:c r="S2220" s="78" t="n">
        <x:f>Q2220+G2220+R2220</x:f>
        <x:v>295431.85199581797</x:v>
      </x:c>
      <x:c r="T2220" s="78" t="n">
        <x:f>P2220*(S2220*(1-'Inputs'!$B$15))/(O2220+S2220*(1-'Inputs'!$B$15))</x:f>
        <x:v>69.2326469753276</x:v>
      </x:c>
      <x:c r="U2220" s="78" t="n">
        <x:f>O2220+S2220*(1-'Inputs'!$B$17)</x:f>
        <x:v>11156339.651721548</x:v>
      </x:c>
      <x:c r="V2220" s="78" t="n">
        <x:f>P2220-T2220</x:f>
        <x:v>2571.177671519531</x:v>
      </x:c>
      <x:c r="W2220" s="79" t="n">
        <x:f>IF(U2220&gt;0,V2220/U2220,0)</x:f>
        <x:v>0.00023046785520937143</x:v>
      </x:c>
      <x:c r="X2220" s="80" t="n">
        <x:f>W2220*('Inputs'!$B$6-AC2220)</x:f>
        <x:v>230264.93633900554</x:v>
      </x:c>
      <x:c r="Y2220" s="80" t="n">
        <x:f>2*V2220</x:f>
        <x:v>5142.355343039062</x:v>
      </x:c>
      <x:c r="Z2220" s="80" t="n">
        <x:f>K2220*'Inputs'!$B$16+(G2220+R2220)*J2220*'Inputs'!$B$16</x:f>
        <x:v>32.11581373287404</x:v>
      </x:c>
      <x:c r="AA2220" s="80" t="n">
        <x:f>K2220*(1+'Inputs'!$E$50)/2*'Inputs'!$B$17</x:f>
        <x:v>10.6253936357942</x:v>
      </x:c>
      <x:c r="AB2220" s="78" t="n">
        <x:f>(IF(J2220&gt;0,K2220*(1-'Inputs'!$E$50)/2/J2220,0)+G2220+R2220)*'Inputs'!$B$17</x:f>
        <x:v>44899.51111586705</x:v>
      </x:c>
      <x:c r="AC2220" s="78" t="n">
        <x:f>AC2219+AB2220</x:f>
        <x:v>880464.9576035856</x:v>
      </x:c>
      <x:c r="AD2220" s="80" t="n">
        <x:f>Z2220/(1+'Inputs'!$C$50)</x:f>
        <x:v>16.05790686643702</x:v>
      </x:c>
      <x:c r="AE2220" s="80" t="n">
        <x:f>Z2220-AD2220</x:f>
        <x:v>16.05790686643702</x:v>
      </x:c>
      <x:c r="AF2220" s="80" t="n">
        <x:f>D2220*W2220</x:f>
        <x:v>69.47331103837784</x:v>
      </x:c>
      <x:c r="AG2220" s="80" t="n">
        <x:f>C2220*W2220</x:f>
        <x:v>162.10439242288143</x:v>
      </x:c>
      <x:c r="AH2220" s="80" t="n">
        <x:f>2*'Inputs'!$B$8*'Inputs'!$C$50</x:f>
        <x:v>5000</x:v>
      </x:c>
      <x:c r="AI2220" s="81" t="n">
        <x:f>IF(AH2220&gt;0,(AE2220+AF2220)/AH2220*365,0)</x:f>
        <x:v>6.243778907051485</x:v>
      </x:c>
      <x:c r="AJ2220" s="81" t="n">
        <x:f>IF('Inputs'!$B$50&gt;0,AG2220/('Inputs'!$B$19*'Inputs'!$B$50)*365,0)</x:f>
        <x:v>5.916810323435173</x:v>
      </x:c>
      <x:c r="AK2220" s="81" t="n">
        <x:f>W2220/MAX($W$2194:W2220)-1</x:f>
        <x:v>-0.7265401505099844</x:v>
      </x:c>
      <x:c r="AL2220" s="83" t="n">
        <x:f>'Inputs'!$B$50</x:f>
        <x:v>1</x:v>
      </x:c>
      <x:c r="AM2220" s="83" t="n">
        <x:f>'Inputs'!$C$50</x:f>
        <x:v>1</x:v>
      </x:c>
      <x:c r="AN2220" s="83" t="n">
        <x:f>'Inputs'!$D$50</x:f>
        <x:v>1</x:v>
      </x:c>
      <x:c r="AO2220" s="81" t="n">
        <x:f>'Inputs'!$E$50</x:f>
        <x:v>0</x:v>
      </x:c>
    </x:row>
    <x:row r="2221">
      <x:c r="A2221" s="59" t="str">
        <x:v>Whale exit</x:v>
      </x:c>
      <x:c r="B2221" s="59" t="n">
        <x:v>28</x:v>
      </x:c>
      <x:c r="C2221" s="78" t="n">
        <x:f>(('Inputs'!$B$29*(3*28*'Inputs'!$B$12-28^2)/(2*'Inputs'!$B$12^2))-('Inputs'!$B$29*(3*27*'Inputs'!$B$12-27^2)/(2*'Inputs'!$B$12^2)))*'Inputs'!$B$50</x:f>
        <x:v>703045.8341152184</x:v>
      </x:c>
      <x:c r="D2221" s="78" t="n">
        <x:f>IF('Inputs'!$C$50&gt;0,('Inputs'!$B$30*(3*28*'Inputs'!$B$12-28^2)/(2*'Inputs'!$B$12^2))-('Inputs'!$B$30*(3*27*'Inputs'!$B$12-27^2)/(2*'Inputs'!$B$12^2)),0)</x:f>
        <x:v>301305.35747795086</x:v>
      </x:c>
      <x:c r="E2221" s="78" t="n">
        <x:f>C2221+D2221</x:f>
        <x:v>1004351.1915931692</x:v>
      </x:c>
      <x:c r="F2221" s="78" t="n">
        <x:f>'Inputs'!$B$13*E2221+(1-'Inputs'!$B$13)/'Inputs'!$B$14*SUM(E2194:E2221)</x:f>
        <x:v>605118.690185776</x:v>
      </x:c>
      <x:c r="G2221" s="78" t="n">
        <x:f>F2221*'Inputs'!$F$50</x:f>
        <x:v>302559.345092888</x:v>
      </x:c>
      <x:c r="H2221" s="78" t="n">
        <x:f>U2220</x:f>
        <x:v>11156339.651721548</x:v>
      </x:c>
      <x:c r="I2221" s="78" t="n">
        <x:f>V2220</x:f>
        <x:v>2571.177671519531</x:v>
      </x:c>
      <x:c r="J2221" s="79" t="n">
        <x:f>IF(H2221&gt;0,I2221/H2221,0)</x:f>
        <x:v>0.00023046785520937143</x:v>
      </x:c>
      <x:c r="K2221" s="80" t="n">
        <x:f>(H2221*J2221+I2221)*'Inputs'!$D$50*(1+'Inputs'!$G$50)^(B2221/30)</x:f>
        <x:v>5142.355343039062</x:v>
      </x:c>
      <x:c r="L2221" s="80" t="n">
        <x:f>MAX(0,K2221*'Inputs'!$E$50)</x:f>
        <x:v>0</x:v>
      </x:c>
      <x:c r="M2221" s="80" t="n">
        <x:f>MAX(0,-K2221*'Inputs'!$E$50)</x:f>
        <x:v>0</x:v>
      </x:c>
      <x:c r="N2221" s="78" t="n">
        <x:f>H2221*(L2221*(1-'Inputs'!$B$15))/(I2221+L2221*(1-'Inputs'!$B$15))</x:f>
        <x:v>0</x:v>
      </x:c>
      <x:c r="O2221" s="78" t="n">
        <x:f>H2221-N2221</x:f>
        <x:v>11156339.651721548</x:v>
      </x:c>
      <x:c r="P2221" s="78" t="n">
        <x:f>I2221+L2221*(1-'Inputs'!$B$17)</x:f>
        <x:v>2571.177671519531</x:v>
      </x:c>
      <x:c r="Q2221" s="78" t="n">
        <x:f>IF(J2221&gt;0,M2221/J2221,0)</x:f>
        <x:v>0</x:v>
      </x:c>
      <x:c r="R2221" s="78" t="n">
        <x:f>IF(B2221='Inputs'!$H$50,'Inputs'!$B$27*'Inputs'!$I$50,0)</x:f>
        <x:v>0</x:v>
      </x:c>
      <x:c r="S2221" s="78" t="n">
        <x:f>Q2221+G2221+R2221</x:f>
        <x:v>302559.345092888</x:v>
      </x:c>
      <x:c r="T2221" s="78" t="n">
        <x:f>P2221*(S2221*(1-'Inputs'!$B$15))/(O2221+S2221*(1-'Inputs'!$B$15))</x:f>
        <x:v>67.22791593194111</x:v>
      </x:c>
      <x:c r="U2221" s="78" t="n">
        <x:f>O2221+S2221*(1-'Inputs'!$B$17)</x:f>
        <x:v>11457681.454178248</x:v>
      </x:c>
      <x:c r="V2221" s="78" t="n">
        <x:f>P2221-T2221</x:f>
        <x:v>2503.94975558759</x:v>
      </x:c>
      <x:c r="W2221" s="79" t="n">
        <x:f>IF(U2221&gt;0,V2221/U2221,0)</x:f>
        <x:v>0.00021853895708319593</x:v>
      </x:c>
      <x:c r="X2221" s="80" t="n">
        <x:f>W2221*('Inputs'!$B$6-AC2221)</x:f>
        <x:v>218336.46386230475</x:v>
      </x:c>
      <x:c r="Y2221" s="80" t="n">
        <x:f>2*V2221</x:f>
        <x:v>5007.89951117518</x:v>
      </x:c>
      <x:c r="Z2221" s="80" t="n">
        <x:f>K2221*'Inputs'!$B$16+(G2221+R2221)*J2221*'Inputs'!$B$16</x:f>
        <x:v>31.272513278257033</x:v>
      </x:c>
      <x:c r="AA2221" s="80" t="n">
        <x:f>K2221*(1+'Inputs'!$E$50)/2*'Inputs'!$B$17</x:f>
        <x:v>10.346791434686242</x:v>
      </x:c>
      <x:c r="AB2221" s="78" t="n">
        <x:f>(IF(J2221&gt;0,K2221*(1-'Inputs'!$E$50)/2/J2221,0)+G2221+R2221)*'Inputs'!$B$17</x:f>
        <x:v>46112.26960488708</x:v>
      </x:c>
      <x:c r="AC2221" s="78" t="n">
        <x:f>AC2220+AB2221</x:f>
        <x:v>926577.2272084727</x:v>
      </x:c>
      <x:c r="AD2221" s="80" t="n">
        <x:f>Z2221/(1+'Inputs'!$C$50)</x:f>
        <x:v>15.636256639128517</x:v>
      </x:c>
      <x:c r="AE2221" s="80" t="n">
        <x:f>Z2221-AD2221</x:f>
        <x:v>15.636256639128517</x:v>
      </x:c>
      <x:c r="AF2221" s="80" t="n">
        <x:f>D2221*W2221</x:f>
        <x:v>65.84695858681091</x:v>
      </x:c>
      <x:c r="AG2221" s="80" t="n">
        <x:f>C2221*W2221</x:f>
        <x:v>153.6429033692254</x:v>
      </x:c>
      <x:c r="AH2221" s="80" t="n">
        <x:f>2*'Inputs'!$B$8*'Inputs'!$C$50</x:f>
        <x:v>5000</x:v>
      </x:c>
      <x:c r="AI2221" s="81" t="n">
        <x:f>IF(AH2221&gt;0,(AE2221+AF2221)/AH2221*365,0)</x:f>
        <x:v>5.948274711493579</x:v>
      </x:c>
      <x:c r="AJ2221" s="81" t="n">
        <x:f>IF('Inputs'!$B$50&gt;0,AG2221/('Inputs'!$B$19*'Inputs'!$B$50)*365,0)</x:f>
        <x:v>5.607965972976727</x:v>
      </x:c>
      <x:c r="AK2221" s="81" t="n">
        <x:f>W2221/MAX($W$2194:W2221)-1</x:f>
        <x:v>-0.7406942922370475</x:v>
      </x:c>
      <x:c r="AL2221" s="83" t="n">
        <x:f>'Inputs'!$B$50</x:f>
        <x:v>1</x:v>
      </x:c>
      <x:c r="AM2221" s="83" t="n">
        <x:f>'Inputs'!$C$50</x:f>
        <x:v>1</x:v>
      </x:c>
      <x:c r="AN2221" s="83" t="n">
        <x:f>'Inputs'!$D$50</x:f>
        <x:v>1</x:v>
      </x:c>
      <x:c r="AO2221" s="81" t="n">
        <x:f>'Inputs'!$E$50</x:f>
        <x:v>0</x:v>
      </x:c>
    </x:row>
    <x:row r="2222">
      <x:c r="A2222" s="59" t="str">
        <x:v>Whale exit</x:v>
      </x:c>
      <x:c r="B2222" s="59" t="n">
        <x:v>29</x:v>
      </x:c>
      <x:c r="C2222" s="78" t="n">
        <x:f>(('Inputs'!$B$29*(3*29*'Inputs'!$B$12-29^2)/(2*'Inputs'!$B$12^2))-('Inputs'!$B$29*(3*28*'Inputs'!$B$12-28^2)/(2*'Inputs'!$B$12^2)))*'Inputs'!$B$50</x:f>
        <x:v>702720.7262150496</x:v>
      </x:c>
      <x:c r="D2222" s="78" t="n">
        <x:f>IF('Inputs'!$C$50&gt;0,('Inputs'!$B$30*(3*29*'Inputs'!$B$12-29^2)/(2*'Inputs'!$B$12^2))-('Inputs'!$B$30*(3*28*'Inputs'!$B$12-28^2)/(2*'Inputs'!$B$12^2)),0)</x:f>
        <x:v>301166.0255207345</x:v>
      </x:c>
      <x:c r="E2222" s="78" t="n">
        <x:f>C2222+D2222</x:f>
        <x:v>1003886.7517357841</x:v>
      </x:c>
      <x:c r="F2222" s="78" t="n">
        <x:f>'Inputs'!$B$13*E2222+(1-'Inputs'!$B$13)/'Inputs'!$B$14*SUM(E2194:E2222)</x:f>
        <x:v>619367.0415248101</x:v>
      </x:c>
      <x:c r="G2222" s="78" t="n">
        <x:f>F2222*'Inputs'!$F$50</x:f>
        <x:v>309683.52076240507</x:v>
      </x:c>
      <x:c r="H2222" s="78" t="n">
        <x:f>U2221</x:f>
        <x:v>11457681.454178248</x:v>
      </x:c>
      <x:c r="I2222" s="78" t="n">
        <x:f>V2221</x:f>
        <x:v>2503.94975558759</x:v>
      </x:c>
      <x:c r="J2222" s="79" t="n">
        <x:f>IF(H2222&gt;0,I2222/H2222,0)</x:f>
        <x:v>0.00021853895708319593</x:v>
      </x:c>
      <x:c r="K2222" s="80" t="n">
        <x:f>(H2222*J2222+I2222)*'Inputs'!$D$50*(1+'Inputs'!$G$50)^(B2222/30)</x:f>
        <x:v>5007.89951117518</x:v>
      </x:c>
      <x:c r="L2222" s="80" t="n">
        <x:f>MAX(0,K2222*'Inputs'!$E$50)</x:f>
        <x:v>0</x:v>
      </x:c>
      <x:c r="M2222" s="80" t="n">
        <x:f>MAX(0,-K2222*'Inputs'!$E$50)</x:f>
        <x:v>0</x:v>
      </x:c>
      <x:c r="N2222" s="78" t="n">
        <x:f>H2222*(L2222*(1-'Inputs'!$B$15))/(I2222+L2222*(1-'Inputs'!$B$15))</x:f>
        <x:v>0</x:v>
      </x:c>
      <x:c r="O2222" s="78" t="n">
        <x:f>H2222-N2222</x:f>
        <x:v>11457681.454178248</x:v>
      </x:c>
      <x:c r="P2222" s="78" t="n">
        <x:f>I2222+L2222*(1-'Inputs'!$B$17)</x:f>
        <x:v>2503.94975558759</x:v>
      </x:c>
      <x:c r="Q2222" s="78" t="n">
        <x:f>IF(J2222&gt;0,M2222/J2222,0)</x:f>
        <x:v>0</x:v>
      </x:c>
      <x:c r="R2222" s="78" t="n">
        <x:f>IF(B2222='Inputs'!$H$50,'Inputs'!$B$27*'Inputs'!$I$50,0)</x:f>
        <x:v>0</x:v>
      </x:c>
      <x:c r="S2222" s="78" t="n">
        <x:f>Q2222+G2222+R2222</x:f>
        <x:v>309683.52076240507</x:v>
      </x:c>
      <x:c r="T2222" s="78" t="n">
        <x:f>P2222*(S2222*(1-'Inputs'!$B$15))/(O2222+S2222*(1-'Inputs'!$B$15))</x:f>
        <x:v>65.25502880782896</x:v>
      </x:c>
      <x:c r="U2222" s="78" t="n">
        <x:f>O2222+S2222*(1-'Inputs'!$B$17)</x:f>
        <x:v>11766118.763589496</x:v>
      </x:c>
      <x:c r="V2222" s="78" t="n">
        <x:f>P2222-T2222</x:f>
        <x:v>2438.694726779761</x:v>
      </x:c>
      <x:c r="W2222" s="79" t="n">
        <x:f>IF(U2222&gt;0,V2222/U2222,0)</x:f>
        <x:v>0.00020726416040660353</x:v>
      </x:c>
      <x:c r="X2222" s="80" t="n">
        <x:f>W2222*('Inputs'!$B$6-AC2222)</x:f>
        <x:v>207062.29945526563</x:v>
      </x:c>
      <x:c r="Y2222" s="80" t="n">
        <x:f>2*V2222</x:f>
        <x:v>4877.389453559522</x:v>
      </x:c>
      <x:c r="Z2222" s="80" t="n">
        <x:f>K2222*'Inputs'!$B$16+(G2222+R2222)*J2222*'Inputs'!$B$16</x:f>
        <x:v>30.453464548970693</x:v>
      </x:c>
      <x:c r="AA2222" s="80" t="n">
        <x:f>K2222*(1+'Inputs'!$E$50)/2*'Inputs'!$B$17</x:f>
        <x:v>10.076256561720685</x:v>
      </x:c>
      <x:c r="AB2222" s="78" t="n">
        <x:f>(IF(J2222&gt;0,K2222*(1-'Inputs'!$E$50)/2/J2222,0)+G2222+R2222)*'Inputs'!$B$17</x:f>
        <x:v>47353.58138809116</x:v>
      </x:c>
      <x:c r="AC2222" s="78" t="n">
        <x:f>AC2221+AB2222</x:f>
        <x:v>973930.8085965639</x:v>
      </x:c>
      <x:c r="AD2222" s="80" t="n">
        <x:f>Z2222/(1+'Inputs'!$C$50)</x:f>
        <x:v>15.226732274485347</x:v>
      </x:c>
      <x:c r="AE2222" s="80" t="n">
        <x:f>Z2222-AD2222</x:f>
        <x:v>15.226732274485347</x:v>
      </x:c>
      <x:c r="AF2222" s="80" t="n">
        <x:f>D2222*W2222</x:f>
        <x:v>62.42092342254877</x:v>
      </x:c>
      <x:c r="AG2222" s="80" t="n">
        <x:f>C2222*W2222</x:f>
        <x:v>145.64882131928096</x:v>
      </x:c>
      <x:c r="AH2222" s="80" t="n">
        <x:f>2*'Inputs'!$B$8*'Inputs'!$C$50</x:f>
        <x:v>5000</x:v>
      </x:c>
      <x:c r="AI2222" s="81" t="n">
        <x:f>IF(AH2222&gt;0,(AE2222+AF2222)/AH2222*365,0)</x:f>
        <x:v>5.66827886588349</x:v>
      </x:c>
      <x:c r="AJ2222" s="81" t="n">
        <x:f>IF('Inputs'!$B$50&gt;0,AG2222/('Inputs'!$B$19*'Inputs'!$B$50)*365,0)</x:f>
        <x:v>5.316181978153755</x:v>
      </x:c>
      <x:c r="AK2222" s="81" t="n">
        <x:f>W2222/MAX($W$2194:W2222)-1</x:f>
        <x:v>-0.7540723149526688</x:v>
      </x:c>
      <x:c r="AL2222" s="83" t="n">
        <x:f>'Inputs'!$B$50</x:f>
        <x:v>1</x:v>
      </x:c>
      <x:c r="AM2222" s="83" t="n">
        <x:f>'Inputs'!$C$50</x:f>
        <x:v>1</x:v>
      </x:c>
      <x:c r="AN2222" s="83" t="n">
        <x:f>'Inputs'!$D$50</x:f>
        <x:v>1</x:v>
      </x:c>
      <x:c r="AO2222" s="81" t="n">
        <x:f>'Inputs'!$E$50</x:f>
        <x:v>0</x:v>
      </x:c>
    </x:row>
    <x:row r="2223">
      <x:c r="A2223" s="59" t="str">
        <x:v>Whale exit</x:v>
      </x:c>
      <x:c r="B2223" s="59" t="n">
        <x:v>30</x:v>
      </x:c>
      <x:c r="C2223" s="78" t="n">
        <x:f>(('Inputs'!$B$29*(3*30*'Inputs'!$B$12-30^2)/(2*'Inputs'!$B$12^2))-('Inputs'!$B$29*(3*29*'Inputs'!$B$12-29^2)/(2*'Inputs'!$B$12^2)))*'Inputs'!$B$50</x:f>
        <x:v>702395.6183148809</x:v>
      </x:c>
      <x:c r="D2223" s="78" t="n">
        <x:f>IF('Inputs'!$C$50&gt;0,('Inputs'!$B$30*(3*30*'Inputs'!$B$12-30^2)/(2*'Inputs'!$B$12^2))-('Inputs'!$B$30*(3*29*'Inputs'!$B$12-29^2)/(2*'Inputs'!$B$12^2)),0)</x:f>
        <x:v>301026.6935635209</x:v>
      </x:c>
      <x:c r="E2223" s="78" t="n">
        <x:f>C2223+D2223</x:f>
        <x:v>1003422.3118784018</x:v>
      </x:c>
      <x:c r="F2223" s="78" t="n">
        <x:f>'Inputs'!$B$13*E2223+(1-'Inputs'!$B$13)/'Inputs'!$B$14*SUM(E2194:E2223)</x:f>
        <x:v>633608.7580087393</x:v>
      </x:c>
      <x:c r="G2223" s="78" t="n">
        <x:f>F2223*'Inputs'!$F$50</x:f>
        <x:v>316804.37900436966</x:v>
      </x:c>
      <x:c r="H2223" s="78" t="n">
        <x:f>U2222</x:f>
        <x:v>11766118.763589496</x:v>
      </x:c>
      <x:c r="I2223" s="78" t="n">
        <x:f>V2222</x:f>
        <x:v>2438.694726779761</x:v>
      </x:c>
      <x:c r="J2223" s="79" t="n">
        <x:f>IF(H2223&gt;0,I2223/H2223,0)</x:f>
        <x:v>0.00020726416040660353</x:v>
      </x:c>
      <x:c r="K2223" s="80" t="n">
        <x:f>(H2223*J2223+I2223)*'Inputs'!$D$50*(1+'Inputs'!$G$50)^(B2223/30)</x:f>
        <x:v>4877.389453559522</x:v>
      </x:c>
      <x:c r="L2223" s="80" t="n">
        <x:f>MAX(0,K2223*'Inputs'!$E$50)</x:f>
        <x:v>0</x:v>
      </x:c>
      <x:c r="M2223" s="80" t="n">
        <x:f>MAX(0,-K2223*'Inputs'!$E$50)</x:f>
        <x:v>0</x:v>
      </x:c>
      <x:c r="N2223" s="78" t="n">
        <x:f>H2223*(L2223*(1-'Inputs'!$B$15))/(I2223+L2223*(1-'Inputs'!$B$15))</x:f>
        <x:v>0</x:v>
      </x:c>
      <x:c r="O2223" s="78" t="n">
        <x:f>H2223-N2223</x:f>
        <x:v>11766118.763589496</x:v>
      </x:c>
      <x:c r="P2223" s="78" t="n">
        <x:f>I2223+L2223*(1-'Inputs'!$B$17)</x:f>
        <x:v>2438.694726779761</x:v>
      </x:c>
      <x:c r="Q2223" s="78" t="n">
        <x:f>IF(J2223&gt;0,M2223/J2223,0)</x:f>
        <x:v>0</x:v>
      </x:c>
      <x:c r="R2223" s="78" t="n">
        <x:f>IF(B2223='Inputs'!$H$50,'Inputs'!$B$27*'Inputs'!$I$50,0)</x:f>
        <x:v>2857142.8571428573</x:v>
      </x:c>
      <x:c r="S2223" s="78" t="n">
        <x:f>Q2223+G2223+R2223</x:f>
        <x:v>3173947.2361472268</x:v>
      </x:c>
      <x:c r="T2223" s="78" t="n">
        <x:f>P2223*(S2223*(1-'Inputs'!$B$15))/(O2223+S2223*(1-'Inputs'!$B$15))</x:f>
        <x:v>514.0003802519253</x:v>
      </x:c>
      <x:c r="U2223" s="78" t="n">
        <x:f>O2223+S2223*(1-'Inputs'!$B$17)</x:f>
        <x:v>14927293.57625122</x:v>
      </x:c>
      <x:c r="V2223" s="78" t="n">
        <x:f>P2223-T2223</x:f>
        <x:v>1924.6943465278355</x:v>
      </x:c>
      <x:c r="W2223" s="79" t="n">
        <x:f>IF(U2223&gt;0,V2223/U2223,0)</x:f>
        <x:v>0.00012893793082424226</x:v>
      </x:c>
      <x:c r="X2223" s="80" t="n">
        <x:f>W2223*('Inputs'!$B$6-AC2223)</x:f>
        <x:v>128804.60232497405</x:v>
      </x:c>
      <x:c r="Y2223" s="80" t="n">
        <x:f>2*V2223</x:f>
        <x:v>3849.388693055671</x:v>
      </x:c>
      <x:c r="Z2223" s="80" t="n">
        <x:f>K2223*'Inputs'!$B$16+(G2223+R2223)*J2223*'Inputs'!$B$16</x:f>
        <x:v>33.21140977580662</x:v>
      </x:c>
      <x:c r="AA2223" s="80" t="n">
        <x:f>K2223*(1+'Inputs'!$E$50)/2*'Inputs'!$B$17</x:f>
        <x:v>9.813660872353163</x:v>
      </x:c>
      <x:c r="AB2223" s="78" t="n">
        <x:f>(IF(J2223&gt;0,K2223*(1-'Inputs'!$E$50)/2/J2223,0)+G2223+R2223)*'Inputs'!$B$17</x:f>
        <x:v>60120.989938578365</x:v>
      </x:c>
      <x:c r="AC2223" s="78" t="n">
        <x:f>AC2222+AB2223</x:f>
        <x:v>1034051.7985351422</x:v>
      </x:c>
      <x:c r="AD2223" s="80" t="n">
        <x:f>Z2223/(1+'Inputs'!$C$50)</x:f>
        <x:v>16.60570488790331</x:v>
      </x:c>
      <x:c r="AE2223" s="80" t="n">
        <x:f>Z2223-AD2223</x:f>
        <x:v>16.60570488790331</x:v>
      </x:c>
      <x:c r="AF2223" s="80" t="n">
        <x:f>D2223*W2223</x:f>
        <x:v>38.81375899094363</x:v>
      </x:c>
      <x:c r="AG2223" s="80" t="n">
        <x:f>C2223*W2223</x:f>
        <x:v>90.56543764553498</x:v>
      </x:c>
      <x:c r="AH2223" s="80" t="n">
        <x:f>2*'Inputs'!$B$8*'Inputs'!$C$50</x:f>
        <x:v>5000</x:v>
      </x:c>
      <x:c r="AI2223" s="81" t="n">
        <x:f>IF(AH2223&gt;0,(AE2223+AF2223)/AH2223*365,0)</x:f>
        <x:v>4.045620863155826</x:v>
      </x:c>
      <x:c r="AJ2223" s="81" t="n">
        <x:f>IF('Inputs'!$B$50&gt;0,AG2223/('Inputs'!$B$19*'Inputs'!$B$50)*365,0)</x:f>
        <x:v>3.305638474062027</x:v>
      </x:c>
      <x:c r="AK2223" s="81" t="n">
        <x:f>W2223/MAX($W$2194:W2223)-1</x:f>
        <x:v>-0.8470096963209055</x:v>
      </x:c>
      <x:c r="AL2223" s="83" t="n">
        <x:f>'Inputs'!$B$50</x:f>
        <x:v>1</x:v>
      </x:c>
      <x:c r="AM2223" s="83" t="n">
        <x:f>'Inputs'!$C$50</x:f>
        <x:v>1</x:v>
      </x:c>
      <x:c r="AN2223" s="83" t="n">
        <x:f>'Inputs'!$D$50</x:f>
        <x:v>1</x:v>
      </x:c>
      <x:c r="AO2223" s="81" t="n">
        <x:f>'Inputs'!$E$50</x:f>
        <x:v>0</x:v>
      </x:c>
    </x:row>
    <x:row r="2224">
      <x:c r="A2224" s="59" t="str">
        <x:v>Whale exit</x:v>
      </x:c>
      <x:c r="B2224" s="59" t="n">
        <x:v>31</x:v>
      </x:c>
      <x:c r="C2224" s="78" t="n">
        <x:f>(('Inputs'!$B$29*(3*31*'Inputs'!$B$12-31^2)/(2*'Inputs'!$B$12^2))-('Inputs'!$B$29*(3*30*'Inputs'!$B$12-30^2)/(2*'Inputs'!$B$12^2)))*'Inputs'!$B$50</x:f>
        <x:v>702070.5104147121</x:v>
      </x:c>
      <x:c r="D2224" s="78" t="n">
        <x:f>IF('Inputs'!$C$50&gt;0,('Inputs'!$B$30*(3*31*'Inputs'!$B$12-31^2)/(2*'Inputs'!$B$12^2))-('Inputs'!$B$30*(3*30*'Inputs'!$B$12-30^2)/(2*'Inputs'!$B$12^2)),0)</x:f>
        <x:v>300887.36160630547</x:v>
      </x:c>
      <x:c r="E2224" s="78" t="n">
        <x:f>C2224+D2224</x:f>
        <x:v>1002957.8720210176</x:v>
      </x:c>
      <x:c r="F2224" s="78" t="n">
        <x:f>'Inputs'!$B$13*E2224+(1-'Inputs'!$B$13)/'Inputs'!$B$14*SUM(E2194:E2224)</x:f>
        <x:v>647843.8396375627</x:v>
      </x:c>
      <x:c r="G2224" s="78" t="n">
        <x:f>F2224*'Inputs'!$F$50</x:f>
        <x:v>323921.9198187814</x:v>
      </x:c>
      <x:c r="H2224" s="78" t="n">
        <x:f>U2223</x:f>
        <x:v>14927293.57625122</x:v>
      </x:c>
      <x:c r="I2224" s="78" t="n">
        <x:f>V2223</x:f>
        <x:v>1924.6943465278355</x:v>
      </x:c>
      <x:c r="J2224" s="79" t="n">
        <x:f>IF(H2224&gt;0,I2224/H2224,0)</x:f>
        <x:v>0.00012893793082424226</x:v>
      </x:c>
      <x:c r="K2224" s="80" t="n">
        <x:f>(H2224*J2224+I2224)*'Inputs'!$D$50*(1+'Inputs'!$G$50)^(B2224/30)</x:f>
        <x:v>3849.388693055671</x:v>
      </x:c>
      <x:c r="L2224" s="80" t="n">
        <x:f>MAX(0,K2224*'Inputs'!$E$50)</x:f>
        <x:v>0</x:v>
      </x:c>
      <x:c r="M2224" s="80" t="n">
        <x:f>MAX(0,-K2224*'Inputs'!$E$50)</x:f>
        <x:v>0</x:v>
      </x:c>
      <x:c r="N2224" s="78" t="n">
        <x:f>H2224*(L2224*(1-'Inputs'!$B$15))/(I2224+L2224*(1-'Inputs'!$B$15))</x:f>
        <x:v>0</x:v>
      </x:c>
      <x:c r="O2224" s="78" t="n">
        <x:f>H2224-N2224</x:f>
        <x:v>14927293.57625122</x:v>
      </x:c>
      <x:c r="P2224" s="78" t="n">
        <x:f>I2224+L2224*(1-'Inputs'!$B$17)</x:f>
        <x:v>1924.6943465278355</x:v>
      </x:c>
      <x:c r="Q2224" s="78" t="n">
        <x:f>IF(J2224&gt;0,M2224/J2224,0)</x:f>
        <x:v>0</x:v>
      </x:c>
      <x:c r="R2224" s="78" t="n">
        <x:f>IF(B2224='Inputs'!$H$50,'Inputs'!$B$27*'Inputs'!$I$50,0)</x:f>
        <x:v>0</x:v>
      </x:c>
      <x:c r="S2224" s="78" t="n">
        <x:f>Q2224+G2224+R2224</x:f>
        <x:v>323921.9198187814</x:v>
      </x:c>
      <x:c r="T2224" s="78" t="n">
        <x:f>P2224*(S2224*(1-'Inputs'!$B$15))/(O2224+S2224*(1-'Inputs'!$B$15))</x:f>
        <x:v>40.47856382423224</x:v>
      </x:c>
      <x:c r="U2224" s="78" t="n">
        <x:f>O2224+S2224*(1-'Inputs'!$B$17)</x:f>
        <x:v>15249911.987338336</x:v>
      </x:c>
      <x:c r="V2224" s="78" t="n">
        <x:f>P2224-T2224</x:f>
        <x:v>1884.2157827036033</x:v>
      </x:c>
      <x:c r="W2224" s="79" t="n">
        <x:f>IF(U2224&gt;0,V2224/U2224,0)</x:f>
        <x:v>0.0001235558463726234</x:v>
      </x:c>
      <x:c r="X2224" s="80" t="n">
        <x:f>W2224*('Inputs'!$B$6-AC2224)</x:f>
        <x:v>123420.50022207462</x:v>
      </x:c>
      <x:c r="Y2224" s="80" t="n">
        <x:f>2*V2224</x:f>
        <x:v>3768.4315654072066</x:v>
      </x:c>
      <x:c r="Z2224" s="80" t="n">
        <x:f>K2224*'Inputs'!$B$16+(G2224+R2224)*J2224*'Inputs'!$B$16</x:f>
        <x:v>23.346927090874324</x:v>
      </x:c>
      <x:c r="AA2224" s="80" t="n">
        <x:f>K2224*(1+'Inputs'!$E$50)/2*'Inputs'!$B$17</x:f>
        <x:v>7.745248879387669</x:v>
      </x:c>
      <x:c r="AB2224" s="78" t="n">
        <x:f>(IF(J2224&gt;0,K2224*(1-'Inputs'!$E$50)/2/J2224,0)+G2224+R2224)*'Inputs'!$B$17</x:f>
        <x:v>61373.100587806846</x:v>
      </x:c>
      <x:c r="AC2224" s="78" t="n">
        <x:f>AC2223+AB2224</x:f>
        <x:v>1095424.899122949</x:v>
      </x:c>
      <x:c r="AD2224" s="80" t="n">
        <x:f>Z2224/(1+'Inputs'!$C$50)</x:f>
        <x:v>11.673463545437162</x:v>
      </x:c>
      <x:c r="AE2224" s="80" t="n">
        <x:f>Z2224-AD2224</x:f>
        <x:v>11.673463545437162</x:v>
      </x:c>
      <x:c r="AF2224" s="80" t="n">
        <x:f>D2224*W2224</x:f>
        <x:v>37.176392626092664</x:v>
      </x:c>
      <x:c r="AG2224" s="80" t="n">
        <x:f>C2224*W2224</x:f>
        <x:v>86.74491612754947</x:v>
      </x:c>
      <x:c r="AH2224" s="80" t="n">
        <x:f>2*'Inputs'!$B$8*'Inputs'!$C$50</x:f>
        <x:v>5000</x:v>
      </x:c>
      <x:c r="AI2224" s="81" t="n">
        <x:f>IF(AH2224&gt;0,(AE2224+AF2224)/AH2224*365,0)</x:f>
        <x:v>3.566039500521677</x:v>
      </x:c>
      <x:c r="AJ2224" s="81" t="n">
        <x:f>IF('Inputs'!$B$50&gt;0,AG2224/('Inputs'!$B$19*'Inputs'!$B$50)*365,0)</x:f>
        <x:v>3.1661894386555556</x:v>
      </x:c>
      <x:c r="AK2224" s="81" t="n">
        <x:f>W2224/MAX($W$2194:W2224)-1</x:f>
        <x:v>-0.8533957669629271</x:v>
      </x:c>
      <x:c r="AL2224" s="83" t="n">
        <x:f>'Inputs'!$B$50</x:f>
        <x:v>1</x:v>
      </x:c>
      <x:c r="AM2224" s="83" t="n">
        <x:f>'Inputs'!$C$50</x:f>
        <x:v>1</x:v>
      </x:c>
      <x:c r="AN2224" s="83" t="n">
        <x:f>'Inputs'!$D$50</x:f>
        <x:v>1</x:v>
      </x:c>
      <x:c r="AO2224" s="81" t="n">
        <x:f>'Inputs'!$E$50</x:f>
        <x:v>0</x:v>
      </x:c>
    </x:row>
    <x:row r="2225">
      <x:c r="A2225" s="59" t="str">
        <x:v>Whale exit</x:v>
      </x:c>
      <x:c r="B2225" s="59" t="n">
        <x:v>32</x:v>
      </x:c>
      <x:c r="C2225" s="78" t="n">
        <x:f>(('Inputs'!$B$29*(3*32*'Inputs'!$B$12-32^2)/(2*'Inputs'!$B$12^2))-('Inputs'!$B$29*(3*31*'Inputs'!$B$12-31^2)/(2*'Inputs'!$B$12^2)))*'Inputs'!$B$50</x:f>
        <x:v>701745.4025145434</x:v>
      </x:c>
      <x:c r="D2225" s="78" t="n">
        <x:f>IF('Inputs'!$C$50&gt;0,('Inputs'!$B$30*(3*32*'Inputs'!$B$12-32^2)/(2*'Inputs'!$B$12^2))-('Inputs'!$B$30*(3*31*'Inputs'!$B$12-31^2)/(2*'Inputs'!$B$12^2)),0)</x:f>
        <x:v>300748.02964909</x:v>
      </x:c>
      <x:c r="E2225" s="78" t="n">
        <x:f>C2225+D2225</x:f>
        <x:v>1002493.4321636334</x:v>
      </x:c>
      <x:c r="F2225" s="78" t="n">
        <x:f>'Inputs'!$B$13*E2225+(1-'Inputs'!$B$13)/'Inputs'!$B$14*SUM(E2194:E2225)</x:f>
        <x:v>662072.2864112806</x:v>
      </x:c>
      <x:c r="G2225" s="78" t="n">
        <x:f>F2225*'Inputs'!$F$50</x:f>
        <x:v>331036.1432056403</x:v>
      </x:c>
      <x:c r="H2225" s="78" t="n">
        <x:f>U2224</x:f>
        <x:v>15249911.987338336</x:v>
      </x:c>
      <x:c r="I2225" s="78" t="n">
        <x:f>V2224</x:f>
        <x:v>1884.2157827036033</x:v>
      </x:c>
      <x:c r="J2225" s="79" t="n">
        <x:f>IF(H2225&gt;0,I2225/H2225,0)</x:f>
        <x:v>0.0001235558463726234</x:v>
      </x:c>
      <x:c r="K2225" s="80" t="n">
        <x:f>(H2225*J2225+I2225)*'Inputs'!$D$50*(1+'Inputs'!$G$50)^(B2225/30)</x:f>
        <x:v>3768.431565407207</x:v>
      </x:c>
      <x:c r="L2225" s="80" t="n">
        <x:f>MAX(0,K2225*'Inputs'!$E$50)</x:f>
        <x:v>0</x:v>
      </x:c>
      <x:c r="M2225" s="80" t="n">
        <x:f>MAX(0,-K2225*'Inputs'!$E$50)</x:f>
        <x:v>0</x:v>
      </x:c>
      <x:c r="N2225" s="78" t="n">
        <x:f>H2225*(L2225*(1-'Inputs'!$B$15))/(I2225+L2225*(1-'Inputs'!$B$15))</x:f>
        <x:v>0</x:v>
      </x:c>
      <x:c r="O2225" s="78" t="n">
        <x:f>H2225-N2225</x:f>
        <x:v>15249911.987338336</x:v>
      </x:c>
      <x:c r="P2225" s="78" t="n">
        <x:f>I2225+L2225*(1-'Inputs'!$B$17)</x:f>
        <x:v>1884.2157827036033</x:v>
      </x:c>
      <x:c r="Q2225" s="78" t="n">
        <x:f>IF(J2225&gt;0,M2225/J2225,0)</x:f>
        <x:v>0</x:v>
      </x:c>
      <x:c r="R2225" s="78" t="n">
        <x:f>IF(B2225='Inputs'!$H$50,'Inputs'!$B$27*'Inputs'!$I$50,0)</x:f>
        <x:v>0</x:v>
      </x:c>
      <x:c r="S2225" s="78" t="n">
        <x:f>Q2225+G2225+R2225</x:f>
        <x:v>331036.1432056403</x:v>
      </x:c>
      <x:c r="T2225" s="78" t="n">
        <x:f>P2225*(S2225*(1-'Inputs'!$B$15))/(O2225+S2225*(1-'Inputs'!$B$15))</x:f>
        <x:v>39.640547531608675</x:v>
      </x:c>
      <x:c r="U2225" s="78" t="n">
        <x:f>O2225+S2225*(1-'Inputs'!$B$17)</x:f>
        <x:v>15579615.993146772</x:v>
      </x:c>
      <x:c r="V2225" s="78" t="n">
        <x:f>P2225-T2225</x:f>
        <x:v>1844.5752351719946</x:v>
      </x:c>
      <x:c r="W2225" s="79" t="n">
        <x:f>IF(U2225&gt;0,V2225/U2225,0)</x:f>
        <x:v>0.0001183967073375489</x:v>
      </x:c>
      <x:c r="X2225" s="80" t="n">
        <x:f>W2225*('Inputs'!$B$6-AC2225)</x:f>
        <x:v>118259.58916369779</x:v>
      </x:c>
      <x:c r="Y2225" s="80" t="n">
        <x:f>2*V2225</x:f>
        <x:v>3689.150470343989</x:v>
      </x:c>
      <x:c r="Z2225" s="80" t="n">
        <x:f>K2225*'Inputs'!$B$16+(G2225+R2225)*J2225*'Inputs'!$B$16</x:f>
        <x:v>22.855998097565454</x:v>
      </x:c>
      <x:c r="AA2225" s="80" t="n">
        <x:f>K2225*(1+'Inputs'!$E$50)/2*'Inputs'!$B$17</x:f>
        <x:v>7.582357274461182</x:v>
      </x:c>
      <x:c r="AB2225" s="78" t="n">
        <x:f>(IF(J2225&gt;0,K2225*(1-'Inputs'!$E$50)/2/J2225,0)+G2225+R2225)*'Inputs'!$B$17</x:f>
        <x:v>62699.99247703814</x:v>
      </x:c>
      <x:c r="AC2225" s="78" t="n">
        <x:f>AC2224+AB2225</x:f>
        <x:v>1158124.8915999872</x:v>
      </x:c>
      <x:c r="AD2225" s="80" t="n">
        <x:f>Z2225/(1+'Inputs'!$C$50)</x:f>
        <x:v>11.427999048782727</x:v>
      </x:c>
      <x:c r="AE2225" s="80" t="n">
        <x:f>Z2225-AD2225</x:f>
        <x:v>11.427999048782727</x:v>
      </x:c>
      <x:c r="AF2225" s="80" t="n">
        <x:f>D2225*W2225</x:f>
        <x:v>35.60757644870779</x:v>
      </x:c>
      <x:c r="AG2225" s="80" t="n">
        <x:f>C2225*W2225</x:f>
        <x:v>83.08434504698484</x:v>
      </x:c>
      <x:c r="AH2225" s="80" t="n">
        <x:f>2*'Inputs'!$B$8*'Inputs'!$C$50</x:f>
        <x:v>5000</x:v>
      </x:c>
      <x:c r="AI2225" s="81" t="n">
        <x:f>IF(AH2225&gt;0,(AE2225+AF2225)/AH2225*365,0)</x:f>
        <x:v>3.4335970113168077</x:v>
      </x:c>
      <x:c r="AJ2225" s="81" t="n">
        <x:f>IF('Inputs'!$B$50&gt;0,AG2225/('Inputs'!$B$19*'Inputs'!$B$50)*365,0)</x:f>
        <x:v>3.0325785942149466</x:v>
      </x:c>
      <x:c r="AK2225" s="81" t="n">
        <x:f>W2225/MAX($W$2194:W2225)-1</x:f>
        <x:v>-0.8595173034468235</x:v>
      </x:c>
      <x:c r="AL2225" s="83" t="n">
        <x:f>'Inputs'!$B$50</x:f>
        <x:v>1</x:v>
      </x:c>
      <x:c r="AM2225" s="83" t="n">
        <x:f>'Inputs'!$C$50</x:f>
        <x:v>1</x:v>
      </x:c>
      <x:c r="AN2225" s="83" t="n">
        <x:f>'Inputs'!$D$50</x:f>
        <x:v>1</x:v>
      </x:c>
      <x:c r="AO2225" s="81" t="n">
        <x:f>'Inputs'!$E$50</x:f>
        <x:v>0</x:v>
      </x:c>
    </x:row>
    <x:row r="2226">
      <x:c r="A2226" s="59" t="str">
        <x:v>Whale exit</x:v>
      </x:c>
      <x:c r="B2226" s="59" t="n">
        <x:v>33</x:v>
      </x:c>
      <x:c r="C2226" s="78" t="n">
        <x:f>(('Inputs'!$B$29*(3*33*'Inputs'!$B$12-33^2)/(2*'Inputs'!$B$12^2))-('Inputs'!$B$29*(3*32*'Inputs'!$B$12-32^2)/(2*'Inputs'!$B$12^2)))*'Inputs'!$B$50</x:f>
        <x:v>701420.2946143746</x:v>
      </x:c>
      <x:c r="D2226" s="78" t="n">
        <x:f>IF('Inputs'!$C$50&gt;0,('Inputs'!$B$30*(3*33*'Inputs'!$B$12-33^2)/(2*'Inputs'!$B$12^2))-('Inputs'!$B$30*(3*32*'Inputs'!$B$12-32^2)/(2*'Inputs'!$B$12^2)),0)</x:f>
        <x:v>300608.6976918746</x:v>
      </x:c>
      <x:c r="E2226" s="78" t="n">
        <x:f>C2226+D2226</x:f>
        <x:v>1002028.9923062492</x:v>
      </x:c>
      <x:c r="F2226" s="78" t="n">
        <x:f>'Inputs'!$B$13*E2226+(1-'Inputs'!$B$13)/'Inputs'!$B$14*SUM(E2194:E2226)</x:f>
        <x:v>676294.0983298931</x:v>
      </x:c>
      <x:c r="G2226" s="78" t="n">
        <x:f>F2226*'Inputs'!$F$50</x:f>
        <x:v>338147.04916494654</x:v>
      </x:c>
      <x:c r="H2226" s="78" t="n">
        <x:f>U2225</x:f>
        <x:v>15579615.993146772</x:v>
      </x:c>
      <x:c r="I2226" s="78" t="n">
        <x:f>V2225</x:f>
        <x:v>1844.5752351719946</x:v>
      </x:c>
      <x:c r="J2226" s="79" t="n">
        <x:f>IF(H2226&gt;0,I2226/H2226,0)</x:f>
        <x:v>0.0001183967073375489</x:v>
      </x:c>
      <x:c r="K2226" s="80" t="n">
        <x:f>(H2226*J2226+I2226)*'Inputs'!$D$50*(1+'Inputs'!$G$50)^(B2226/30)</x:f>
        <x:v>3689.150470343989</x:v>
      </x:c>
      <x:c r="L2226" s="80" t="n">
        <x:f>MAX(0,K2226*'Inputs'!$E$50)</x:f>
        <x:v>0</x:v>
      </x:c>
      <x:c r="M2226" s="80" t="n">
        <x:f>MAX(0,-K2226*'Inputs'!$E$50)</x:f>
        <x:v>0</x:v>
      </x:c>
      <x:c r="N2226" s="78" t="n">
        <x:f>H2226*(L2226*(1-'Inputs'!$B$15))/(I2226+L2226*(1-'Inputs'!$B$15))</x:f>
        <x:v>0</x:v>
      </x:c>
      <x:c r="O2226" s="78" t="n">
        <x:f>H2226-N2226</x:f>
        <x:v>15579615.993146772</x:v>
      </x:c>
      <x:c r="P2226" s="78" t="n">
        <x:f>I2226+L2226*(1-'Inputs'!$B$17)</x:f>
        <x:v>1844.5752351719946</x:v>
      </x:c>
      <x:c r="Q2226" s="78" t="n">
        <x:f>IF(J2226&gt;0,M2226/J2226,0)</x:f>
        <x:v>0</x:v>
      </x:c>
      <x:c r="R2226" s="78" t="n">
        <x:f>IF(B2226='Inputs'!$H$50,'Inputs'!$B$27*'Inputs'!$I$50,0)</x:f>
        <x:v>0</x:v>
      </x:c>
      <x:c r="S2226" s="78" t="n">
        <x:f>Q2226+G2226+R2226</x:f>
        <x:v>338147.04916494654</x:v>
      </x:c>
      <x:c r="T2226" s="78" t="n">
        <x:f>P2226*(S2226*(1-'Inputs'!$B$15))/(O2226+S2226*(1-'Inputs'!$B$15))</x:f>
        <x:v>38.80140068415895</x:v>
      </x:c>
      <x:c r="U2226" s="78" t="n">
        <x:f>O2226+S2226*(1-'Inputs'!$B$17)</x:f>
        <x:v>15916402.289598782</x:v>
      </x:c>
      <x:c r="V2226" s="78" t="n">
        <x:f>P2226-T2226</x:f>
        <x:v>1805.7738344878355</x:v>
      </x:c>
      <x:c r="W2226" s="79" t="n">
        <x:f>IF(U2226&gt;0,V2226/U2226,0)</x:f>
        <x:v>0.0001134536437086597</x:v>
      </x:c>
      <x:c r="X2226" s="80" t="n">
        <x:f>W2226*('Inputs'!$B$6-AC2226)</x:f>
        <x:v>113314.98290307</x:v>
      </x:c>
      <x:c r="Y2226" s="80" t="n">
        <x:f>2*V2226</x:f>
        <x:v>3611.547668975671</x:v>
      </x:c>
      <x:c r="Z2226" s="80" t="n">
        <x:f>K2226*'Inputs'!$B$16+(G2226+R2226)*J2226*'Inputs'!$B$16</x:f>
        <x:v>22.375115805366164</x:v>
      </x:c>
      <x:c r="AA2226" s="80" t="n">
        <x:f>K2226*(1+'Inputs'!$E$50)/2*'Inputs'!$B$17</x:f>
        <x:v>7.422837968498973</x:v>
      </x:c>
      <x:c r="AB2226" s="78" t="n">
        <x:f>(IF(J2226&gt;0,K2226*(1-'Inputs'!$E$50)/2/J2226,0)+G2226+R2226)*'Inputs'!$B$17</x:f>
        <x:v>64055.3844761035</x:v>
      </x:c>
      <x:c r="AC2226" s="78" t="n">
        <x:f>AC2225+AB2226</x:f>
        <x:v>1222180.2760760908</x:v>
      </x:c>
      <x:c r="AD2226" s="80" t="n">
        <x:f>Z2226/(1+'Inputs'!$C$50)</x:f>
        <x:v>11.187557902683082</x:v>
      </x:c>
      <x:c r="AE2226" s="80" t="n">
        <x:f>Z2226-AD2226</x:f>
        <x:v>11.187557902683082</x:v>
      </x:c>
      <x:c r="AF2226" s="80" t="n">
        <x:f>D2226*W2226</x:f>
        <x:v>34.10515208365813</x:v>
      </x:c>
      <x:c r="AG2226" s="80" t="n">
        <x:f>C2226*W2226</x:f>
        <x:v>79.57868819520237</x:v>
      </x:c>
      <x:c r="AH2226" s="80" t="n">
        <x:f>2*'Inputs'!$B$8*'Inputs'!$C$50</x:f>
        <x:v>5000</x:v>
      </x:c>
      <x:c r="AI2226" s="81" t="n">
        <x:f>IF(AH2226&gt;0,(AE2226+AF2226)/AH2226*365,0)</x:f>
        <x:v>3.306367829002909</x:v>
      </x:c>
      <x:c r="AJ2226" s="81" t="n">
        <x:f>IF('Inputs'!$B$50&gt;0,AG2226/('Inputs'!$B$19*'Inputs'!$B$50)*365,0)</x:f>
        <x:v>2.9046221191248867</x:v>
      </x:c>
      <x:c r="AK2226" s="81" t="n">
        <x:f>W2226/MAX($W$2194:W2226)-1</x:f>
        <x:v>-0.865382457330204</x:v>
      </x:c>
      <x:c r="AL2226" s="83" t="n">
        <x:f>'Inputs'!$B$50</x:f>
        <x:v>1</x:v>
      </x:c>
      <x:c r="AM2226" s="83" t="n">
        <x:f>'Inputs'!$C$50</x:f>
        <x:v>1</x:v>
      </x:c>
      <x:c r="AN2226" s="83" t="n">
        <x:f>'Inputs'!$D$50</x:f>
        <x:v>1</x:v>
      </x:c>
      <x:c r="AO2226" s="81" t="n">
        <x:f>'Inputs'!$E$50</x:f>
        <x:v>0</x:v>
      </x:c>
    </x:row>
    <x:row r="2227">
      <x:c r="A2227" s="59" t="str">
        <x:v>Whale exit</x:v>
      </x:c>
      <x:c r="B2227" s="59" t="n">
        <x:v>34</x:v>
      </x:c>
      <x:c r="C2227" s="78" t="n">
        <x:f>(('Inputs'!$B$29*(3*34*'Inputs'!$B$12-34^2)/(2*'Inputs'!$B$12^2))-('Inputs'!$B$29*(3*33*'Inputs'!$B$12-33^2)/(2*'Inputs'!$B$12^2)))*'Inputs'!$B$50</x:f>
        <x:v>701095.1867142059</x:v>
      </x:c>
      <x:c r="D2227" s="78" t="n">
        <x:f>IF('Inputs'!$C$50&gt;0,('Inputs'!$B$30*(3*34*'Inputs'!$B$12-34^2)/(2*'Inputs'!$B$12^2))-('Inputs'!$B$30*(3*33*'Inputs'!$B$12-33^2)/(2*'Inputs'!$B$12^2)),0)</x:f>
        <x:v>300469.36573465914</x:v>
      </x:c>
      <x:c r="E2227" s="78" t="n">
        <x:f>C2227+D2227</x:f>
        <x:v>1001564.552448865</x:v>
      </x:c>
      <x:c r="F2227" s="78" t="n">
        <x:f>'Inputs'!$B$13*E2227+(1-'Inputs'!$B$13)/'Inputs'!$B$14*SUM(E2194:E2227)</x:f>
        <x:v>690509.2753934</x:v>
      </x:c>
      <x:c r="G2227" s="78" t="n">
        <x:f>F2227*'Inputs'!$F$50</x:f>
        <x:v>345254.6376967</x:v>
      </x:c>
      <x:c r="H2227" s="78" t="n">
        <x:f>U2226</x:f>
        <x:v>15916402.289598782</x:v>
      </x:c>
      <x:c r="I2227" s="78" t="n">
        <x:f>V2226</x:f>
        <x:v>1805.7738344878355</x:v>
      </x:c>
      <x:c r="J2227" s="79" t="n">
        <x:f>IF(H2227&gt;0,I2227/H2227,0)</x:f>
        <x:v>0.0001134536437086597</x:v>
      </x:c>
      <x:c r="K2227" s="80" t="n">
        <x:f>(H2227*J2227+I2227)*'Inputs'!$D$50*(1+'Inputs'!$G$50)^(B2227/30)</x:f>
        <x:v>3611.547668975671</x:v>
      </x:c>
      <x:c r="L2227" s="80" t="n">
        <x:f>MAX(0,K2227*'Inputs'!$E$50)</x:f>
        <x:v>0</x:v>
      </x:c>
      <x:c r="M2227" s="80" t="n">
        <x:f>MAX(0,-K2227*'Inputs'!$E$50)</x:f>
        <x:v>0</x:v>
      </x:c>
      <x:c r="N2227" s="78" t="n">
        <x:f>H2227*(L2227*(1-'Inputs'!$B$15))/(I2227+L2227*(1-'Inputs'!$B$15))</x:f>
        <x:v>0</x:v>
      </x:c>
      <x:c r="O2227" s="78" t="n">
        <x:f>H2227-N2227</x:f>
        <x:v>15916402.289598782</x:v>
      </x:c>
      <x:c r="P2227" s="78" t="n">
        <x:f>I2227+L2227*(1-'Inputs'!$B$17)</x:f>
        <x:v>1805.7738344878355</x:v>
      </x:c>
      <x:c r="Q2227" s="78" t="n">
        <x:f>IF(J2227&gt;0,M2227/J2227,0)</x:f>
        <x:v>0</x:v>
      </x:c>
      <x:c r="R2227" s="78" t="n">
        <x:f>IF(B2227='Inputs'!$H$50,'Inputs'!$B$27*'Inputs'!$I$50,0)</x:f>
        <x:v>0</x:v>
      </x:c>
      <x:c r="S2227" s="78" t="n">
        <x:f>Q2227+G2227+R2227</x:f>
        <x:v>345254.6376967</x:v>
      </x:c>
      <x:c r="T2227" s="78" t="n">
        <x:f>P2227*(S2227*(1-'Inputs'!$B$15))/(O2227+S2227*(1-'Inputs'!$B$15))</x:f>
        <x:v>37.963434252480816</x:v>
      </x:c>
      <x:c r="U2227" s="78" t="n">
        <x:f>O2227+S2227*(1-'Inputs'!$B$17)</x:f>
        <x:v>16260267.572616622</x:v>
      </x:c>
      <x:c r="V2227" s="78" t="n">
        <x:f>P2227-T2227</x:f>
        <x:v>1767.8104002353548</x:v>
      </x:c>
      <x:c r="W2227" s="79" t="n">
        <x:f>IF(U2227&gt;0,V2227/U2227,0)</x:f>
        <x:v>0.00010871963775137783</x:v>
      </x:c>
      <x:c r="X2227" s="80" t="n">
        <x:f>W2227*('Inputs'!$B$6-AC2227)</x:f>
        <x:v>108579.64822149646</x:v>
      </x:c>
      <x:c r="Y2227" s="80" t="n">
        <x:f>2*V2227</x:f>
        <x:v>3535.6208004707096</x:v>
      </x:c>
      <x:c r="Z2227" s="80" t="n">
        <x:f>K2227*'Inputs'!$B$16+(G2227+R2227)*J2227*'Inputs'!$B$16</x:f>
        <x:v>21.90430839377805</x:v>
      </x:c>
      <x:c r="AA2227" s="80" t="n">
        <x:f>K2227*(1+'Inputs'!$E$50)/2*'Inputs'!$B$17</x:f>
        <x:v>7.266695511017447</x:v>
      </x:c>
      <x:c r="AB2227" s="78" t="n">
        <x:f>(IF(J2227&gt;0,K2227*(1-'Inputs'!$E$50)/2/J2227,0)+G2227+R2227)*'Inputs'!$B$17</x:f>
        <x:v>65439.26328891543</x:v>
      </x:c>
      <x:c r="AC2227" s="78" t="n">
        <x:f>AC2226+AB2227</x:f>
        <x:v>1287619.5393650061</x:v>
      </x:c>
      <x:c r="AD2227" s="80" t="n">
        <x:f>Z2227/(1+'Inputs'!$C$50)</x:f>
        <x:v>10.952154196889024</x:v>
      </x:c>
      <x:c r="AE2227" s="80" t="n">
        <x:f>Z2227-AD2227</x:f>
        <x:v>10.952154196889024</x:v>
      </x:c>
      <x:c r="AF2227" s="80" t="n">
        <x:f>D2227*W2227</x:f>
        <x:v>32.6669205980584</x:v>
      </x:c>
      <x:c r="AG2227" s="80" t="n">
        <x:f>C2227*W2227</x:f>
        <x:v>76.22281472880307</x:v>
      </x:c>
      <x:c r="AH2227" s="80" t="n">
        <x:f>2*'Inputs'!$B$8*'Inputs'!$C$50</x:f>
        <x:v>5000</x:v>
      </x:c>
      <x:c r="AI2227" s="81" t="n">
        <x:f>IF(AH2227&gt;0,(AE2227+AF2227)/AH2227*365,0)</x:f>
        <x:v>3.184192460031162</x:v>
      </x:c>
      <x:c r="AJ2227" s="81" t="n">
        <x:f>IF('Inputs'!$B$50&gt;0,AG2227/('Inputs'!$B$19*'Inputs'!$B$50)*365,0)</x:f>
        <x:v>2.7821327376013123</x:v>
      </x:c>
      <x:c r="AK2227" s="81" t="n">
        <x:f>W2227/MAX($W$2194:W2227)-1</x:f>
        <x:v>-0.8709995554517059</x:v>
      </x:c>
      <x:c r="AL2227" s="83" t="n">
        <x:f>'Inputs'!$B$50</x:f>
        <x:v>1</x:v>
      </x:c>
      <x:c r="AM2227" s="83" t="n">
        <x:f>'Inputs'!$C$50</x:f>
        <x:v>1</x:v>
      </x:c>
      <x:c r="AN2227" s="83" t="n">
        <x:f>'Inputs'!$D$50</x:f>
        <x:v>1</x:v>
      </x:c>
      <x:c r="AO2227" s="81" t="n">
        <x:f>'Inputs'!$E$50</x:f>
        <x:v>0</x:v>
      </x:c>
    </x:row>
    <x:row r="2228">
      <x:c r="A2228" s="59" t="str">
        <x:v>Whale exit</x:v>
      </x:c>
      <x:c r="B2228" s="59" t="n">
        <x:v>35</x:v>
      </x:c>
      <x:c r="C2228" s="78" t="n">
        <x:f>(('Inputs'!$B$29*(3*35*'Inputs'!$B$12-35^2)/(2*'Inputs'!$B$12^2))-('Inputs'!$B$29*(3*34*'Inputs'!$B$12-34^2)/(2*'Inputs'!$B$12^2)))*'Inputs'!$B$50</x:f>
        <x:v>700770.0788140334</x:v>
      </x:c>
      <x:c r="D2228" s="78" t="n">
        <x:f>IF('Inputs'!$C$50&gt;0,('Inputs'!$B$30*(3*35*'Inputs'!$B$12-35^2)/(2*'Inputs'!$B$12^2))-('Inputs'!$B$30*(3*34*'Inputs'!$B$12-34^2)/(2*'Inputs'!$B$12^2)),0)</x:f>
        <x:v>300330.0337774437</x:v>
      </x:c>
      <x:c r="E2228" s="78" t="n">
        <x:f>C2228+D2228</x:f>
        <x:v>1001100.1125914771</x:v>
      </x:c>
      <x:c r="F2228" s="78" t="n">
        <x:f>'Inputs'!$B$13*E2228+(1-'Inputs'!$B$13)/'Inputs'!$B$14*SUM(E2194:E2228)</x:f>
        <x:v>704717.8176018007</x:v>
      </x:c>
      <x:c r="G2228" s="78" t="n">
        <x:f>F2228*'Inputs'!$F$50</x:f>
        <x:v>352358.90880090033</x:v>
      </x:c>
      <x:c r="H2228" s="78" t="n">
        <x:f>U2227</x:f>
        <x:v>16260267.572616622</x:v>
      </x:c>
      <x:c r="I2228" s="78" t="n">
        <x:f>V2227</x:f>
        <x:v>1767.8104002353548</x:v>
      </x:c>
      <x:c r="J2228" s="79" t="n">
        <x:f>IF(H2228&gt;0,I2228/H2228,0)</x:f>
        <x:v>0.00010871963775137783</x:v>
      </x:c>
      <x:c r="K2228" s="80" t="n">
        <x:f>(H2228*J2228+I2228)*'Inputs'!$D$50*(1+'Inputs'!$G$50)^(B2228/30)</x:f>
        <x:v>3535.6208004707096</x:v>
      </x:c>
      <x:c r="L2228" s="80" t="n">
        <x:f>MAX(0,K2228*'Inputs'!$E$50)</x:f>
        <x:v>0</x:v>
      </x:c>
      <x:c r="M2228" s="80" t="n">
        <x:f>MAX(0,-K2228*'Inputs'!$E$50)</x:f>
        <x:v>0</x:v>
      </x:c>
      <x:c r="N2228" s="78" t="n">
        <x:f>H2228*(L2228*(1-'Inputs'!$B$15))/(I2228+L2228*(1-'Inputs'!$B$15))</x:f>
        <x:v>0</x:v>
      </x:c>
      <x:c r="O2228" s="78" t="n">
        <x:f>H2228-N2228</x:f>
        <x:v>16260267.572616622</x:v>
      </x:c>
      <x:c r="P2228" s="78" t="n">
        <x:f>I2228+L2228*(1-'Inputs'!$B$17)</x:f>
        <x:v>1767.8104002353548</x:v>
      </x:c>
      <x:c r="Q2228" s="78" t="n">
        <x:f>IF(J2228&gt;0,M2228/J2228,0)</x:f>
        <x:v>0</x:v>
      </x:c>
      <x:c r="R2228" s="78" t="n">
        <x:f>IF(B2228='Inputs'!$H$50,'Inputs'!$B$27*'Inputs'!$I$50,0)</x:f>
        <x:v>0</x:v>
      </x:c>
      <x:c r="S2228" s="78" t="n">
        <x:f>Q2228+G2228+R2228</x:f>
        <x:v>352358.90880090033</x:v>
      </x:c>
      <x:c r="T2228" s="78" t="n">
        <x:f>P2228*(S2228*(1-'Inputs'!$B$15))/(O2228+S2228*(1-'Inputs'!$B$15))</x:f>
        <x:v>37.128718519931</x:v>
      </x:c>
      <x:c r="U2228" s="78" t="n">
        <x:f>O2228+S2228*(1-'Inputs'!$B$17)</x:f>
        <x:v>16611208.53812255</x:v>
      </x:c>
      <x:c r="V2228" s="78" t="n">
        <x:f>P2228-T2228</x:f>
        <x:v>1730.6816817154238</x:v>
      </x:c>
      <x:c r="W2228" s="79" t="n">
        <x:f>IF(U2228&gt;0,V2228/U2228,0)</x:f>
        <x:v>0.00010418758380785645</x:v>
      </x:c>
      <x:c r="X2228" s="80" t="n">
        <x:f>W2228*('Inputs'!$B$6-AC2228)</x:f>
        <x:v>104046.4647308812</x:v>
      </x:c>
      <x:c r="Y2228" s="80" t="n">
        <x:f>2*V2228</x:f>
        <x:v>3461.3633634308476</x:v>
      </x:c>
      <x:c r="Z2228" s="80" t="n">
        <x:f>K2228*'Inputs'!$B$16+(G2228+R2228)*J2228*'Inputs'!$B$16</x:f>
        <x:v>21.443574800364086</x:v>
      </x:c>
      <x:c r="AA2228" s="80" t="n">
        <x:f>K2228*(1+'Inputs'!$E$50)/2*'Inputs'!$B$17</x:f>
        <x:v>7.113925151852535</x:v>
      </x:c>
      <x:c r="AB2228" s="78" t="n">
        <x:f>(IF(J2228&gt;0,K2228*(1-'Inputs'!$E$50)/2/J2228,0)+G2228+R2228)*'Inputs'!$B$17</x:f>
        <x:v>66851.61561938642</x:v>
      </x:c>
      <x:c r="AC2228" s="78" t="n">
        <x:f>AC2227+AB2228</x:f>
        <x:v>1354471.1549843925</x:v>
      </x:c>
      <x:c r="AD2228" s="80" t="n">
        <x:f>Z2228/(1+'Inputs'!$C$50)</x:f>
        <x:v>10.721787400182043</x:v>
      </x:c>
      <x:c r="AE2228" s="80" t="n">
        <x:f>Z2228-AD2228</x:f>
        <x:v>10.721787400182043</x:v>
      </x:c>
      <x:c r="AF2228" s="80" t="n">
        <x:f>D2228*W2228</x:f>
        <x:v>31.290660564203773</x:v>
      </x:c>
      <x:c r="AG2228" s="80" t="n">
        <x:f>C2228*W2228</x:f>
        <x:v>73.01154131647527</x:v>
      </x:c>
      <x:c r="AH2228" s="80" t="n">
        <x:f>2*'Inputs'!$B$8*'Inputs'!$C$50</x:f>
        <x:v>5000</x:v>
      </x:c>
      <x:c r="AI2228" s="81" t="n">
        <x:f>IF(AH2228&gt;0,(AE2228+AF2228)/AH2228*365,0)</x:f>
        <x:v>3.0669087014001644</x:v>
      </x:c>
      <x:c r="AJ2228" s="81" t="n">
        <x:f>IF('Inputs'!$B$50&gt;0,AG2228/('Inputs'!$B$19*'Inputs'!$B$50)*365,0)</x:f>
        <x:v>2.6649212580513475</x:v>
      </x:c>
      <x:c r="AK2228" s="81" t="n">
        <x:f>W2228/MAX($W$2194:W2228)-1</x:f>
        <x:v>-0.8763770289746409</x:v>
      </x:c>
      <x:c r="AL2228" s="83" t="n">
        <x:f>'Inputs'!$B$50</x:f>
        <x:v>1</x:v>
      </x:c>
      <x:c r="AM2228" s="83" t="n">
        <x:f>'Inputs'!$C$50</x:f>
        <x:v>1</x:v>
      </x:c>
      <x:c r="AN2228" s="83" t="n">
        <x:f>'Inputs'!$D$50</x:f>
        <x:v>1</x:v>
      </x:c>
      <x:c r="AO2228" s="81" t="n">
        <x:f>'Inputs'!$E$50</x:f>
        <x:v>0</x:v>
      </x:c>
    </x:row>
    <x:row r="2229">
      <x:c r="A2229" s="59" t="str">
        <x:v>Whale exit</x:v>
      </x:c>
      <x:c r="B2229" s="59" t="n">
        <x:v>36</x:v>
      </x:c>
      <x:c r="C2229" s="78" t="n">
        <x:f>(('Inputs'!$B$29*(3*36*'Inputs'!$B$12-36^2)/(2*'Inputs'!$B$12^2))-('Inputs'!$B$29*(3*35*'Inputs'!$B$12-35^2)/(2*'Inputs'!$B$12^2)))*'Inputs'!$B$50</x:f>
        <x:v>700444.9709138684</x:v>
      </x:c>
      <x:c r="D2229" s="78" t="n">
        <x:f>IF('Inputs'!$C$50&gt;0,('Inputs'!$B$30*(3*36*'Inputs'!$B$12-36^2)/(2*'Inputs'!$B$12^2))-('Inputs'!$B$30*(3*35*'Inputs'!$B$12-35^2)/(2*'Inputs'!$B$12^2)),0)</x:f>
        <x:v>300190.7018202301</x:v>
      </x:c>
      <x:c r="E2229" s="78" t="n">
        <x:f>C2229+D2229</x:f>
        <x:v>1000635.6727340985</x:v>
      </x:c>
      <x:c r="F2229" s="78" t="n">
        <x:f>'Inputs'!$B$13*E2229+(1-'Inputs'!$B$13)/'Inputs'!$B$14*SUM(E2194:E2229)</x:f>
        <x:v>718919.7249550978</x:v>
      </x:c>
      <x:c r="G2229" s="78" t="n">
        <x:f>F2229*'Inputs'!$F$50</x:f>
        <x:v>359459.8624775489</x:v>
      </x:c>
      <x:c r="H2229" s="78" t="n">
        <x:f>U2228</x:f>
        <x:v>16611208.53812255</x:v>
      </x:c>
      <x:c r="I2229" s="78" t="n">
        <x:f>V2228</x:f>
        <x:v>1730.6816817154238</x:v>
      </x:c>
      <x:c r="J2229" s="79" t="n">
        <x:f>IF(H2229&gt;0,I2229/H2229,0)</x:f>
        <x:v>0.00010418758380785645</x:v>
      </x:c>
      <x:c r="K2229" s="80" t="n">
        <x:f>(H2229*J2229+I2229)*'Inputs'!$D$50*(1+'Inputs'!$G$50)^(B2229/30)</x:f>
        <x:v>3461.3633634308476</x:v>
      </x:c>
      <x:c r="L2229" s="80" t="n">
        <x:f>MAX(0,K2229*'Inputs'!$E$50)</x:f>
        <x:v>0</x:v>
      </x:c>
      <x:c r="M2229" s="80" t="n">
        <x:f>MAX(0,-K2229*'Inputs'!$E$50)</x:f>
        <x:v>0</x:v>
      </x:c>
      <x:c r="N2229" s="78" t="n">
        <x:f>H2229*(L2229*(1-'Inputs'!$B$15))/(I2229+L2229*(1-'Inputs'!$B$15))</x:f>
        <x:v>0</x:v>
      </x:c>
      <x:c r="O2229" s="78" t="n">
        <x:f>H2229-N2229</x:f>
        <x:v>16611208.53812255</x:v>
      </x:c>
      <x:c r="P2229" s="78" t="n">
        <x:f>I2229+L2229*(1-'Inputs'!$B$17)</x:f>
        <x:v>1730.6816817154238</x:v>
      </x:c>
      <x:c r="Q2229" s="78" t="n">
        <x:f>IF(J2229&gt;0,M2229/J2229,0)</x:f>
        <x:v>0</x:v>
      </x:c>
      <x:c r="R2229" s="78" t="n">
        <x:f>IF(B2229='Inputs'!$H$50,'Inputs'!$B$27*'Inputs'!$I$50,0)</x:f>
        <x:v>0</x:v>
      </x:c>
      <x:c r="S2229" s="78" t="n">
        <x:f>Q2229+G2229+R2229</x:f>
        <x:v>359459.8624775489</x:v>
      </x:c>
      <x:c r="T2229" s="78" t="n">
        <x:f>P2229*(S2229*(1-'Inputs'!$B$15))/(O2229+S2229*(1-'Inputs'!$B$15))</x:f>
        <x:v>36.2990990961045</x:v>
      </x:c>
      <x:c r="U2229" s="78" t="n">
        <x:f>O2229+S2229*(1-'Inputs'!$B$17)</x:f>
        <x:v>16969221.88203882</x:v>
      </x:c>
      <x:c r="V2229" s="78" t="n">
        <x:f>P2229-T2229</x:f>
        <x:v>1694.3825826193192</x:v>
      </x:c>
      <x:c r="W2229" s="79" t="n">
        <x:f>IF(U2229&gt;0,V2229/U2229,0)</x:f>
        <x:v>0.00009985034048100633</x:v>
      </x:c>
      <x:c r="X2229" s="80" t="n">
        <x:f>W2229*('Inputs'!$B$6-AC2229)</x:f>
        <x:v>99708.27705280425</x:v>
      </x:c>
      <x:c r="Y2229" s="80" t="n">
        <x:f>2*V2229</x:f>
        <x:v>3388.7651652386385</x:v>
      </x:c>
      <x:c r="Z2229" s="80" t="n">
        <x:f>K2229*'Inputs'!$B$16+(G2229+R2229)*J2229*'Inputs'!$B$16</x:f>
        <x:v>20.992887707869727</x:v>
      </x:c>
      <x:c r="AA2229" s="80" t="n">
        <x:f>K2229*(1+'Inputs'!$E$50)/2*'Inputs'!$B$17</x:f>
        <x:v>6.964513809720016</x:v>
      </x:c>
      <x:c r="AB2229" s="78" t="n">
        <x:f>(IF(J2229&gt;0,K2229*(1-'Inputs'!$E$50)/2/J2229,0)+G2229+R2229)*'Inputs'!$B$17</x:f>
        <x:v>68292.42817142897</x:v>
      </x:c>
      <x:c r="AC2229" s="78" t="n">
        <x:f>AC2228+AB2229</x:f>
        <x:v>1422763.5831558215</x:v>
      </x:c>
      <x:c r="AD2229" s="80" t="n">
        <x:f>Z2229/(1+'Inputs'!$C$50)</x:f>
        <x:v>10.496443853934863</x:v>
      </x:c>
      <x:c r="AE2229" s="80" t="n">
        <x:f>Z2229-AD2229</x:f>
        <x:v>10.496443853934863</x:v>
      </x:c>
      <x:c r="AF2229" s="80" t="n">
        <x:f>D2229*W2229</x:f>
        <x:v>29.974143785982225</x:v>
      </x:c>
      <x:c r="AG2229" s="80" t="n">
        <x:f>C2229*W2229</x:f>
        <x:v>69.93966883395834</x:v>
      </x:c>
      <x:c r="AH2229" s="80" t="n">
        <x:f>2*'Inputs'!$B$8*'Inputs'!$C$50</x:f>
        <x:v>5000</x:v>
      </x:c>
      <x:c r="AI2229" s="81" t="n">
        <x:f>IF(AH2229&gt;0,(AE2229+AF2229)/AH2229*365,0)</x:f>
        <x:v>2.9543528977139473</x:v>
      </x:c>
      <x:c r="AJ2229" s="81" t="n">
        <x:f>IF('Inputs'!$B$50&gt;0,AG2229/('Inputs'!$B$19*'Inputs'!$B$50)*365,0)</x:f>
        <x:v>2.5527979124394795</x:v>
      </x:c>
      <x:c r="AK2229" s="81" t="n">
        <x:f>W2229/MAX($W$2194:W2229)-1</x:f>
        <x:v>-0.8815233514684416</x:v>
      </x:c>
      <x:c r="AL2229" s="83" t="n">
        <x:f>'Inputs'!$B$50</x:f>
        <x:v>1</x:v>
      </x:c>
      <x:c r="AM2229" s="83" t="n">
        <x:f>'Inputs'!$C$50</x:f>
        <x:v>1</x:v>
      </x:c>
      <x:c r="AN2229" s="83" t="n">
        <x:f>'Inputs'!$D$50</x:f>
        <x:v>1</x:v>
      </x:c>
      <x:c r="AO2229" s="81" t="n">
        <x:f>'Inputs'!$E$50</x:f>
        <x:v>0</x:v>
      </x:c>
    </x:row>
    <x:row r="2230">
      <x:c r="A2230" s="59" t="str">
        <x:v>Whale exit</x:v>
      </x:c>
      <x:c r="B2230" s="59" t="n">
        <x:v>37</x:v>
      </x:c>
      <x:c r="C2230" s="78" t="n">
        <x:f>(('Inputs'!$B$29*(3*37*'Inputs'!$B$12-37^2)/(2*'Inputs'!$B$12^2))-('Inputs'!$B$29*(3*36*'Inputs'!$B$12-36^2)/(2*'Inputs'!$B$12^2)))*'Inputs'!$B$50</x:f>
        <x:v>700119.8630136997</x:v>
      </x:c>
      <x:c r="D2230" s="78" t="n">
        <x:f>IF('Inputs'!$C$50&gt;0,('Inputs'!$B$30*(3*37*'Inputs'!$B$12-37^2)/(2*'Inputs'!$B$12^2))-('Inputs'!$B$30*(3*36*'Inputs'!$B$12-36^2)/(2*'Inputs'!$B$12^2)),0)</x:f>
        <x:v>300051.3698630128</x:v>
      </x:c>
      <x:c r="E2230" s="78" t="n">
        <x:f>C2230+D2230</x:f>
        <x:v>1000171.2328767125</x:v>
      </x:c>
      <x:c r="F2230" s="78" t="n">
        <x:f>'Inputs'!$B$13*E2230+(1-'Inputs'!$B$13)/'Inputs'!$B$14*SUM(E2194:E2230)</x:f>
        <x:v>733114.9974532878</x:v>
      </x:c>
      <x:c r="G2230" s="78" t="n">
        <x:f>F2230*'Inputs'!$F$50</x:f>
        <x:v>366557.4987266439</x:v>
      </x:c>
      <x:c r="H2230" s="78" t="n">
        <x:f>U2229</x:f>
        <x:v>16969221.88203882</x:v>
      </x:c>
      <x:c r="I2230" s="78" t="n">
        <x:f>V2229</x:f>
        <x:v>1694.3825826193192</x:v>
      </x:c>
      <x:c r="J2230" s="79" t="n">
        <x:f>IF(H2230&gt;0,I2230/H2230,0)</x:f>
        <x:v>0.00009985034048100633</x:v>
      </x:c>
      <x:c r="K2230" s="80" t="n">
        <x:f>(H2230*J2230+I2230)*'Inputs'!$D$50*(1+'Inputs'!$G$50)^(B2230/30)</x:f>
        <x:v>3388.7651652386385</x:v>
      </x:c>
      <x:c r="L2230" s="80" t="n">
        <x:f>MAX(0,K2230*'Inputs'!$E$50)</x:f>
        <x:v>0</x:v>
      </x:c>
      <x:c r="M2230" s="80" t="n">
        <x:f>MAX(0,-K2230*'Inputs'!$E$50)</x:f>
        <x:v>0</x:v>
      </x:c>
      <x:c r="N2230" s="78" t="n">
        <x:f>H2230*(L2230*(1-'Inputs'!$B$15))/(I2230+L2230*(1-'Inputs'!$B$15))</x:f>
        <x:v>0</x:v>
      </x:c>
      <x:c r="O2230" s="78" t="n">
        <x:f>H2230-N2230</x:f>
        <x:v>16969221.88203882</x:v>
      </x:c>
      <x:c r="P2230" s="78" t="n">
        <x:f>I2230+L2230*(1-'Inputs'!$B$17)</x:f>
        <x:v>1694.3825826193192</x:v>
      </x:c>
      <x:c r="Q2230" s="78" t="n">
        <x:f>IF(J2230&gt;0,M2230/J2230,0)</x:f>
        <x:v>0</x:v>
      </x:c>
      <x:c r="R2230" s="78" t="n">
        <x:f>IF(B2230='Inputs'!$H$50,'Inputs'!$B$27*'Inputs'!$I$50,0)</x:f>
        <x:v>0</x:v>
      </x:c>
      <x:c r="S2230" s="78" t="n">
        <x:f>Q2230+G2230+R2230</x:f>
        <x:v>366557.4987266439</x:v>
      </x:c>
      <x:c r="T2230" s="78" t="n">
        <x:f>P2230*(S2230*(1-'Inputs'!$B$15))/(O2230+S2230*(1-'Inputs'!$B$15))</x:f>
        <x:v>35.47621264477452</x:v>
      </x:c>
      <x:c r="U2230" s="78" t="n">
        <x:f>O2230+S2230*(1-'Inputs'!$B$17)</x:f>
        <x:v>17334304.30028769</x:v>
      </x:c>
      <x:c r="V2230" s="78" t="n">
        <x:f>P2230-T2230</x:f>
        <x:v>1658.9063699745448</x:v>
      </x:c>
      <x:c r="W2230" s="79" t="n">
        <x:f>IF(U2230&gt;0,V2230/U2230,0)</x:f>
        <x:v>0.00009570077582790632</x:v>
      </x:c>
      <x:c r="X2230" s="80" t="n">
        <x:f>W2230*('Inputs'!$B$6-AC2230)</x:f>
        <x:v>95557.94000154755</x:v>
      </x:c>
      <x:c r="Y2230" s="80" t="n">
        <x:f>2*V2230</x:f>
        <x:v>3317.8127399490895</x:v>
      </x:c>
      <x:c r="Z2230" s="80" t="n">
        <x:f>K2230*'Inputs'!$B$16+(G2230+R2230)*J2230*'Inputs'!$B$16</x:f>
        <x:v>20.55219633775416</x:v>
      </x:c>
      <x:c r="AA2230" s="80" t="n">
        <x:f>K2230*(1+'Inputs'!$E$50)/2*'Inputs'!$B$17</x:f>
        <x:v>6.818440976335289</x:v>
      </x:c>
      <x:c r="AB2230" s="78" t="n">
        <x:f>(IF(J2230&gt;0,K2230*(1-'Inputs'!$E$50)/2/J2230,0)+G2230+R2230)*'Inputs'!$B$17</x:f>
        <x:v>69761.6876489556</x:v>
      </x:c>
      <x:c r="AC2230" s="78" t="n">
        <x:f>AC2229+AB2230</x:f>
        <x:v>1492525.270804777</x:v>
      </x:c>
      <x:c r="AD2230" s="80" t="n">
        <x:f>Z2230/(1+'Inputs'!$C$50)</x:f>
        <x:v>10.27609816887708</x:v>
      </x:c>
      <x:c r="AE2230" s="80" t="n">
        <x:f>Z2230-AD2230</x:f>
        <x:v>10.27609816887708</x:v>
      </x:c>
      <x:c r="AF2230" s="80" t="n">
        <x:f>D2230*W2230</x:f>
        <x:v>28.715148884116395</x:v>
      </x:c>
      <x:c r="AG2230" s="80" t="n">
        <x:f>C2230*W2230</x:f>
        <x:v>67.00201406293856</x:v>
      </x:c>
      <x:c r="AH2230" s="80" t="n">
        <x:f>2*'Inputs'!$B$8*'Inputs'!$C$50</x:f>
        <x:v>5000</x:v>
      </x:c>
      <x:c r="AI2230" s="81" t="n">
        <x:f>IF(AH2230&gt;0,(AE2230+AF2230)/AH2230*365,0)</x:f>
        <x:v>2.8463610348685235</x:v>
      </x:c>
      <x:c r="AJ2230" s="81" t="n">
        <x:f>IF('Inputs'!$B$50&gt;0,AG2230/('Inputs'!$B$19*'Inputs'!$B$50)*365,0)</x:f>
        <x:v>2.445573513297257</x:v>
      </x:c>
      <x:c r="AK2230" s="81" t="n">
        <x:f>W2230/MAX($W$2194:W2230)-1</x:f>
        <x:v>-0.8864469852847712</x:v>
      </x:c>
      <x:c r="AL2230" s="83" t="n">
        <x:f>'Inputs'!$B$50</x:f>
        <x:v>1</x:v>
      </x:c>
      <x:c r="AM2230" s="83" t="n">
        <x:f>'Inputs'!$C$50</x:f>
        <x:v>1</x:v>
      </x:c>
      <x:c r="AN2230" s="83" t="n">
        <x:f>'Inputs'!$D$50</x:f>
        <x:v>1</x:v>
      </x:c>
      <x:c r="AO2230" s="81" t="n">
        <x:f>'Inputs'!$E$50</x:f>
        <x:v>0</x:v>
      </x:c>
    </x:row>
    <x:row r="2231">
      <x:c r="A2231" s="59" t="str">
        <x:v>Whale exit</x:v>
      </x:c>
      <x:c r="B2231" s="59" t="n">
        <x:v>38</x:v>
      </x:c>
      <x:c r="C2231" s="78" t="n">
        <x:f>(('Inputs'!$B$29*(3*38*'Inputs'!$B$12-38^2)/(2*'Inputs'!$B$12^2))-('Inputs'!$B$29*(3*37*'Inputs'!$B$12-37^2)/(2*'Inputs'!$B$12^2)))*'Inputs'!$B$50</x:f>
        <x:v>699794.7551135309</x:v>
      </x:c>
      <x:c r="D2231" s="78" t="n">
        <x:f>IF('Inputs'!$C$50&gt;0,('Inputs'!$B$30*(3*38*'Inputs'!$B$12-38^2)/(2*'Inputs'!$B$12^2))-('Inputs'!$B$30*(3*37*'Inputs'!$B$12-37^2)/(2*'Inputs'!$B$12^2)),0)</x:f>
        <x:v>299912.0379057992</x:v>
      </x:c>
      <x:c r="E2231" s="78" t="n">
        <x:f>C2231+D2231</x:f>
        <x:v>999706.7930193301</x:v>
      </x:c>
      <x:c r="F2231" s="78" t="n">
        <x:f>'Inputs'!$B$13*E2231+(1-'Inputs'!$B$13)/'Inputs'!$B$14*SUM(E2194:E2231)</x:f>
        <x:v>747303.6350963733</x:v>
      </x:c>
      <x:c r="G2231" s="78" t="n">
        <x:f>F2231*'Inputs'!$F$50</x:f>
        <x:v>373651.81754818663</x:v>
      </x:c>
      <x:c r="H2231" s="78" t="n">
        <x:f>U2230</x:f>
        <x:v>17334304.30028769</x:v>
      </x:c>
      <x:c r="I2231" s="78" t="n">
        <x:f>V2230</x:f>
        <x:v>1658.9063699745448</x:v>
      </x:c>
      <x:c r="J2231" s="79" t="n">
        <x:f>IF(H2231&gt;0,I2231/H2231,0)</x:f>
        <x:v>0.00009570077582790632</x:v>
      </x:c>
      <x:c r="K2231" s="80" t="n">
        <x:f>(H2231*J2231+I2231)*'Inputs'!$D$50*(1+'Inputs'!$G$50)^(B2231/30)</x:f>
        <x:v>3317.8127399490895</x:v>
      </x:c>
      <x:c r="L2231" s="80" t="n">
        <x:f>MAX(0,K2231*'Inputs'!$E$50)</x:f>
        <x:v>0</x:v>
      </x:c>
      <x:c r="M2231" s="80" t="n">
        <x:f>MAX(0,-K2231*'Inputs'!$E$50)</x:f>
        <x:v>0</x:v>
      </x:c>
      <x:c r="N2231" s="78" t="n">
        <x:f>H2231*(L2231*(1-'Inputs'!$B$15))/(I2231+L2231*(1-'Inputs'!$B$15))</x:f>
        <x:v>0</x:v>
      </x:c>
      <x:c r="O2231" s="78" t="n">
        <x:f>H2231-N2231</x:f>
        <x:v>17334304.30028769</x:v>
      </x:c>
      <x:c r="P2231" s="78" t="n">
        <x:f>I2231+L2231*(1-'Inputs'!$B$17)</x:f>
        <x:v>1658.9063699745448</x:v>
      </x:c>
      <x:c r="Q2231" s="78" t="n">
        <x:f>IF(J2231&gt;0,M2231/J2231,0)</x:f>
        <x:v>0</x:v>
      </x:c>
      <x:c r="R2231" s="78" t="n">
        <x:f>IF(B2231='Inputs'!$H$50,'Inputs'!$B$27*'Inputs'!$I$50,0)</x:f>
        <x:v>0</x:v>
      </x:c>
      <x:c r="S2231" s="78" t="n">
        <x:f>Q2231+G2231+R2231</x:f>
        <x:v>373651.81754818663</x:v>
      </x:c>
      <x:c r="T2231" s="78" t="n">
        <x:f>P2231*(S2231*(1-'Inputs'!$B$15))/(O2231+S2231*(1-'Inputs'!$B$15))</x:f>
        <x:v>34.66150219308123</x:v>
      </x:c>
      <x:c r="U2231" s="78" t="n">
        <x:f>O2231+S2231*(1-'Inputs'!$B$17)</x:f>
        <x:v>17706452.488791417</x:v>
      </x:c>
      <x:c r="V2231" s="78" t="n">
        <x:f>P2231-T2231</x:f>
        <x:v>1624.2448677814634</x:v>
      </x:c>
      <x:c r="W2231" s="79" t="n">
        <x:f>IF(U2231&gt;0,V2231/U2231,0)</x:f>
        <x:v>0.00009173180617685259</x:v>
      </x:c>
      <x:c r="X2231" s="80" t="n">
        <x:f>W2231*('Inputs'!$B$6-AC2231)</x:f>
        <x:v>91588.35738629328</x:v>
      </x:c>
      <x:c r="Y2231" s="80" t="n">
        <x:f>2*V2231</x:f>
        <x:v>3248.489735562927</x:v>
      </x:c>
      <x:c r="Z2231" s="80" t="n">
        <x:f>K2231*'Inputs'!$B$16+(G2231+R2231)*J2231*'Inputs'!$B$16</x:f>
        <x:v>20.12142905266775</x:v>
      </x:c>
      <x:c r="AA2231" s="80" t="n">
        <x:f>K2231*(1+'Inputs'!$E$50)/2*'Inputs'!$B$17</x:f>
        <x:v>6.675679557241629</x:v>
      </x:c>
      <x:c r="AB2231" s="78" t="n">
        <x:f>(IF(J2231&gt;0,K2231*(1-'Inputs'!$E$50)/2/J2231,0)+G2231+R2231)*'Inputs'!$B$17</x:f>
        <x:v>71259.38075587878</x:v>
      </x:c>
      <x:c r="AC2231" s="78" t="n">
        <x:f>AC2230+AB2231</x:f>
        <x:v>1563784.6515606558</x:v>
      </x:c>
      <x:c r="AD2231" s="80" t="n">
        <x:f>Z2231/(1+'Inputs'!$C$50)</x:f>
        <x:v>10.060714526333875</x:v>
      </x:c>
      <x:c r="AE2231" s="80" t="n">
        <x:f>Z2231-AD2231</x:f>
        <x:v>10.060714526333875</x:v>
      </x:c>
      <x:c r="AF2231" s="80" t="n">
        <x:f>D2231*W2231</x:f>
        <x:v>27.51147293127964</x:v>
      </x:c>
      <x:c r="AG2231" s="80" t="n">
        <x:f>C2231*W2231</x:f>
        <x:v>64.19343683965243</x:v>
      </x:c>
      <x:c r="AH2231" s="80" t="n">
        <x:f>2*'Inputs'!$B$8*'Inputs'!$C$50</x:f>
        <x:v>5000</x:v>
      </x:c>
      <x:c r="AI2231" s="81" t="n">
        <x:f>IF(AH2231&gt;0,(AE2231+AF2231)/AH2231*365,0)</x:f>
        <x:v>2.7427696844057867</x:v>
      </x:c>
      <x:c r="AJ2231" s="81" t="n">
        <x:f>IF('Inputs'!$B$50&gt;0,AG2231/('Inputs'!$B$19*'Inputs'!$B$50)*365,0)</x:f>
        <x:v>2.343060444647314</x:v>
      </x:c>
      <x:c r="AK2231" s="81" t="n">
        <x:f>W2231/MAX($W$2194:W2231)-1</x:f>
        <x:v>-0.8911563354994534</x:v>
      </x:c>
      <x:c r="AL2231" s="83" t="n">
        <x:f>'Inputs'!$B$50</x:f>
        <x:v>1</x:v>
      </x:c>
      <x:c r="AM2231" s="83" t="n">
        <x:f>'Inputs'!$C$50</x:f>
        <x:v>1</x:v>
      </x:c>
      <x:c r="AN2231" s="83" t="n">
        <x:f>'Inputs'!$D$50</x:f>
        <x:v>1</x:v>
      </x:c>
      <x:c r="AO2231" s="81" t="n">
        <x:f>'Inputs'!$E$50</x:f>
        <x:v>0</x:v>
      </x:c>
    </x:row>
    <x:row r="2232">
      <x:c r="A2232" s="59" t="str">
        <x:v>Whale exit</x:v>
      </x:c>
      <x:c r="B2232" s="59" t="n">
        <x:v>39</x:v>
      </x:c>
      <x:c r="C2232" s="78" t="n">
        <x:f>(('Inputs'!$B$29*(3*39*'Inputs'!$B$12-39^2)/(2*'Inputs'!$B$12^2))-('Inputs'!$B$29*(3*38*'Inputs'!$B$12-38^2)/(2*'Inputs'!$B$12^2)))*'Inputs'!$B$50</x:f>
        <x:v>699469.6472133584</x:v>
      </x:c>
      <x:c r="D2232" s="78" t="n">
        <x:f>IF('Inputs'!$C$50&gt;0,('Inputs'!$B$30*(3*39*'Inputs'!$B$12-39^2)/(2*'Inputs'!$B$12^2))-('Inputs'!$B$30*(3*38*'Inputs'!$B$12-38^2)/(2*'Inputs'!$B$12^2)),0)</x:f>
        <x:v>299772.7059485819</x:v>
      </x:c>
      <x:c r="E2232" s="78" t="n">
        <x:f>C2232+D2232</x:f>
        <x:v>999242.3531619404</x:v>
      </x:c>
      <x:c r="F2232" s="78" t="n">
        <x:f>'Inputs'!$B$13*E2232+(1-'Inputs'!$B$13)/'Inputs'!$B$14*SUM(E2194:E2232)</x:f>
        <x:v>761485.6378843514</x:v>
      </x:c>
      <x:c r="G2232" s="78" t="n">
        <x:f>F2232*'Inputs'!$F$50</x:f>
        <x:v>380742.8189421757</x:v>
      </x:c>
      <x:c r="H2232" s="78" t="n">
        <x:f>U2231</x:f>
        <x:v>17706452.488791417</x:v>
      </x:c>
      <x:c r="I2232" s="78" t="n">
        <x:f>V2231</x:f>
        <x:v>1624.2448677814634</x:v>
      </x:c>
      <x:c r="J2232" s="79" t="n">
        <x:f>IF(H2232&gt;0,I2232/H2232,0)</x:f>
        <x:v>0.00009173180617685259</x:v>
      </x:c>
      <x:c r="K2232" s="80" t="n">
        <x:f>(H2232*J2232+I2232)*'Inputs'!$D$50*(1+'Inputs'!$G$50)^(B2232/30)</x:f>
        <x:v>3248.489735562927</x:v>
      </x:c>
      <x:c r="L2232" s="80" t="n">
        <x:f>MAX(0,K2232*'Inputs'!$E$50)</x:f>
        <x:v>0</x:v>
      </x:c>
      <x:c r="M2232" s="80" t="n">
        <x:f>MAX(0,-K2232*'Inputs'!$E$50)</x:f>
        <x:v>0</x:v>
      </x:c>
      <x:c r="N2232" s="78" t="n">
        <x:f>H2232*(L2232*(1-'Inputs'!$B$15))/(I2232+L2232*(1-'Inputs'!$B$15))</x:f>
        <x:v>0</x:v>
      </x:c>
      <x:c r="O2232" s="78" t="n">
        <x:f>H2232-N2232</x:f>
        <x:v>17706452.488791417</x:v>
      </x:c>
      <x:c r="P2232" s="78" t="n">
        <x:f>I2232+L2232*(1-'Inputs'!$B$17)</x:f>
        <x:v>1624.2448677814634</x:v>
      </x:c>
      <x:c r="Q2232" s="78" t="n">
        <x:f>IF(J2232&gt;0,M2232/J2232,0)</x:f>
        <x:v>0</x:v>
      </x:c>
      <x:c r="R2232" s="78" t="n">
        <x:f>IF(B2232='Inputs'!$H$50,'Inputs'!$B$27*'Inputs'!$I$50,0)</x:f>
        <x:v>0</x:v>
      </x:c>
      <x:c r="S2232" s="78" t="n">
        <x:f>Q2232+G2232+R2232</x:f>
        <x:v>380742.8189421757</x:v>
      </x:c>
      <x:c r="T2232" s="78" t="n">
        <x:f>P2232*(S2232*(1-'Inputs'!$B$15))/(O2232+S2232*(1-'Inputs'!$B$15))</x:f>
        <x:v>33.85623191813069</x:v>
      </x:c>
      <x:c r="U2232" s="78" t="n">
        <x:f>O2232+S2232*(1-'Inputs'!$B$17)</x:f>
        <x:v>18085663.143472258</x:v>
      </x:c>
      <x:c r="V2232" s="78" t="n">
        <x:f>P2232-T2232</x:f>
        <x:v>1590.3886358633326</x:v>
      </x:c>
      <x:c r="W2232" s="79" t="n">
        <x:f>IF(U2232&gt;0,V2232/U2232,0)</x:f>
        <x:v>0.00008793642916197734</x:v>
      </x:c>
      <x:c r="X2232" s="80" t="n">
        <x:f>W2232*('Inputs'!$B$6-AC2232)</x:f>
        <x:v>87792.5150272864</x:v>
      </x:c>
      <x:c r="Y2232" s="80" t="n">
        <x:f>2*V2232</x:f>
        <x:v>3180.7772717266653</x:v>
      </x:c>
      <x:c r="Z2232" s="80" t="n">
        <x:f>K2232*'Inputs'!$B$16+(G2232+R2232)*J2232*'Inputs'!$B$16</x:f>
        <x:v>19.700495772200156</x:v>
      </x:c>
      <x:c r="AA2232" s="80" t="n">
        <x:f>K2232*(1+'Inputs'!$E$50)/2*'Inputs'!$B$17</x:f>
        <x:v>6.536196651032046</x:v>
      </x:c>
      <x:c r="AB2232" s="78" t="n">
        <x:f>(IF(J2232&gt;0,K2232*(1-'Inputs'!$E$50)/2/J2232,0)+G2232+R2232)*'Inputs'!$B$17</x:f>
        <x:v>72785.49419611105</x:v>
      </x:c>
      <x:c r="AC2232" s="78" t="n">
        <x:f>AC2231+AB2232</x:f>
        <x:v>1636570.145756767</x:v>
      </x:c>
      <x:c r="AD2232" s="80" t="n">
        <x:f>Z2232/(1+'Inputs'!$C$50)</x:f>
        <x:v>9.850247886100078</x:v>
      </x:c>
      <x:c r="AE2232" s="80" t="n">
        <x:f>Z2232-AD2232</x:f>
        <x:v>9.850247886100078</x:v>
      </x:c>
      <x:c r="AF2232" s="80" t="n">
        <x:f>D2232*W2232</x:f>
        <x:v>26.360941321341738</x:v>
      </x:c>
      <x:c r="AG2232" s="80" t="n">
        <x:f>C2232*W2232</x:f>
        <x:v>61.50886308313077</x:v>
      </x:c>
      <x:c r="AH2232" s="80" t="n">
        <x:f>2*'Inputs'!$B$8*'Inputs'!$C$50</x:f>
        <x:v>5000</x:v>
      </x:c>
      <x:c r="AI2232" s="81" t="n">
        <x:f>IF(AH2232&gt;0,(AE2232+AF2232)/AH2232*365,0)</x:f>
        <x:v>2.643416812143253</x:v>
      </x:c>
      <x:c r="AJ2232" s="81" t="n">
        <x:f>IF('Inputs'!$B$50&gt;0,AG2232/('Inputs'!$B$19*'Inputs'!$B$50)*365,0)</x:f>
        <x:v>2.245073502534273</x:v>
      </x:c>
      <x:c r="AK2232" s="81" t="n">
        <x:f>W2232/MAX($W$2194:W2232)-1</x:f>
        <x:v>-0.8956597107155015</x:v>
      </x:c>
      <x:c r="AL2232" s="83" t="n">
        <x:f>'Inputs'!$B$50</x:f>
        <x:v>1</x:v>
      </x:c>
      <x:c r="AM2232" s="83" t="n">
        <x:f>'Inputs'!$C$50</x:f>
        <x:v>1</x:v>
      </x:c>
      <x:c r="AN2232" s="83" t="n">
        <x:f>'Inputs'!$D$50</x:f>
        <x:v>1</x:v>
      </x:c>
      <x:c r="AO2232" s="81" t="n">
        <x:f>'Inputs'!$E$50</x:f>
        <x:v>0</x:v>
      </x:c>
    </x:row>
    <x:row r="2233">
      <x:c r="A2233" s="59" t="str">
        <x:v>Whale exit</x:v>
      </x:c>
      <x:c r="B2233" s="59" t="n">
        <x:v>40</x:v>
      </x:c>
      <x:c r="C2233" s="78" t="n">
        <x:f>(('Inputs'!$B$29*(3*40*'Inputs'!$B$12-40^2)/(2*'Inputs'!$B$12^2))-('Inputs'!$B$29*(3*39*'Inputs'!$B$12-39^2)/(2*'Inputs'!$B$12^2)))*'Inputs'!$B$50</x:f>
        <x:v>699144.5393131934</x:v>
      </x:c>
      <x:c r="D2233" s="78" t="n">
        <x:f>IF('Inputs'!$C$50&gt;0,('Inputs'!$B$30*(3*40*'Inputs'!$B$12-40^2)/(2*'Inputs'!$B$12^2))-('Inputs'!$B$30*(3*39*'Inputs'!$B$12-39^2)/(2*'Inputs'!$B$12^2)),0)</x:f>
        <x:v>299633.37399136834</x:v>
      </x:c>
      <x:c r="E2233" s="78" t="n">
        <x:f>C2233+D2233</x:f>
        <x:v>998777.9133045617</x:v>
      </x:c>
      <x:c r="F2233" s="78" t="n">
        <x:f>'Inputs'!$B$13*E2233+(1-'Inputs'!$B$13)/'Inputs'!$B$14*SUM(E2194:E2233)</x:f>
        <x:v>775661.0058172266</x:v>
      </x:c>
      <x:c r="G2233" s="78" t="n">
        <x:f>F2233*'Inputs'!$F$50</x:f>
        <x:v>387830.5029086133</x:v>
      </x:c>
      <x:c r="H2233" s="78" t="n">
        <x:f>U2232</x:f>
        <x:v>18085663.143472258</x:v>
      </x:c>
      <x:c r="I2233" s="78" t="n">
        <x:f>V2232</x:f>
        <x:v>1590.3886358633326</x:v>
      </x:c>
      <x:c r="J2233" s="79" t="n">
        <x:f>IF(H2233&gt;0,I2233/H2233,0)</x:f>
        <x:v>0.00008793642916197734</x:v>
      </x:c>
      <x:c r="K2233" s="80" t="n">
        <x:f>(H2233*J2233+I2233)*'Inputs'!$D$50*(1+'Inputs'!$G$50)^(B2233/30)</x:f>
        <x:v>3180.7772717266653</x:v>
      </x:c>
      <x:c r="L2233" s="80" t="n">
        <x:f>MAX(0,K2233*'Inputs'!$E$50)</x:f>
        <x:v>0</x:v>
      </x:c>
      <x:c r="M2233" s="80" t="n">
        <x:f>MAX(0,-K2233*'Inputs'!$E$50)</x:f>
        <x:v>0</x:v>
      </x:c>
      <x:c r="N2233" s="78" t="n">
        <x:f>H2233*(L2233*(1-'Inputs'!$B$15))/(I2233+L2233*(1-'Inputs'!$B$15))</x:f>
        <x:v>0</x:v>
      </x:c>
      <x:c r="O2233" s="78" t="n">
        <x:f>H2233-N2233</x:f>
        <x:v>18085663.143472258</x:v>
      </x:c>
      <x:c r="P2233" s="78" t="n">
        <x:f>I2233+L2233*(1-'Inputs'!$B$17)</x:f>
        <x:v>1590.3886358633326</x:v>
      </x:c>
      <x:c r="Q2233" s="78" t="n">
        <x:f>IF(J2233&gt;0,M2233/J2233,0)</x:f>
        <x:v>0</x:v>
      </x:c>
      <x:c r="R2233" s="78" t="n">
        <x:f>IF(B2233='Inputs'!$H$50,'Inputs'!$B$27*'Inputs'!$I$50,0)</x:f>
        <x:v>0</x:v>
      </x:c>
      <x:c r="S2233" s="78" t="n">
        <x:f>Q2233+G2233+R2233</x:f>
        <x:v>387830.5029086133</x:v>
      </x:c>
      <x:c r="T2233" s="78" t="n">
        <x:f>P2233*(S2233*(1-'Inputs'!$B$15))/(O2233+S2233*(1-'Inputs'!$B$15))</x:f>
        <x:v>33.06150133268869</x:v>
      </x:c>
      <x:c r="U2233" s="78" t="n">
        <x:f>O2233+S2233*(1-'Inputs'!$B$17)</x:f>
        <x:v>18471932.960252468</x:v>
      </x:c>
      <x:c r="V2233" s="78" t="n">
        <x:f>P2233-T2233</x:f>
        <x:v>1557.327134530644</x:v>
      </x:c>
      <x:c r="W2233" s="79" t="n">
        <x:f>IF(U2233&gt;0,V2233/U2233,0)</x:f>
        <x:v>0.00008430775154293106</x:v>
      </x:c>
      <x:c r="X2233" s="80" t="n">
        <x:f>W2233*('Inputs'!$B$6-AC2233)</x:f>
        <x:v>84163.50855421321</x:v>
      </x:c>
      <x:c r="Y2233" s="80" t="n">
        <x:f>2*V2233</x:f>
        <x:v>3114.654269061288</x:v>
      </x:c>
      <x:c r="Z2233" s="80" t="n">
        <x:f>K2233*'Inputs'!$B$16+(G2233+R2233)*J2233*'Inputs'!$B$16</x:f>
        <x:v>19.289290207635254</x:v>
      </x:c>
      <x:c r="AA2233" s="80" t="n">
        <x:f>K2233*(1+'Inputs'!$E$50)/2*'Inputs'!$B$17</x:f>
        <x:v>6.399954269067737</x:v>
      </x:c>
      <x:c r="AB2233" s="78" t="n">
        <x:f>(IF(J2233&gt;0,K2233*(1-'Inputs'!$E$50)/2/J2233,0)+G2233+R2233)*'Inputs'!$B$17</x:f>
        <x:v>74340.01467356489</x:v>
      </x:c>
      <x:c r="AC2233" s="78" t="n">
        <x:f>AC2232+AB2233</x:f>
        <x:v>1710910.1604303317</x:v>
      </x:c>
      <x:c r="AD2233" s="80" t="n">
        <x:f>Z2233/(1+'Inputs'!$C$50)</x:f>
        <x:v>9.644645103817627</x:v>
      </x:c>
      <x:c r="AE2233" s="80" t="n">
        <x:f>Z2233-AD2233</x:f>
        <x:v>9.644645103817627</x:v>
      </x:c>
      <x:c r="AF2233" s="80" t="n">
        <x:f>D2233*W2233</x:f>
        <x:v>25.261416048434423</x:v>
      </x:c>
      <x:c r="AG2233" s="80" t="n">
        <x:f>C2233*W2233</x:f>
        <x:v>58.9433041130137</x:v>
      </x:c>
      <x:c r="AH2233" s="80" t="n">
        <x:f>2*'Inputs'!$B$8*'Inputs'!$C$50</x:f>
        <x:v>5000</x:v>
      </x:c>
      <x:c r="AI2233" s="81" t="n">
        <x:f>IF(AH2233&gt;0,(AE2233+AF2233)/AH2233*365,0)</x:f>
        <x:v>2.5481424641143997</x:v>
      </x:c>
      <x:c r="AJ2233" s="81" t="n">
        <x:f>IF('Inputs'!$B$50&gt;0,AG2233/('Inputs'!$B$19*'Inputs'!$B$50)*365,0)</x:f>
        <x:v>2.1514306001250003</x:v>
      </x:c>
      <x:c r="AK2233" s="81" t="n">
        <x:f>W2233/MAX($W$2194:W2233)-1</x:f>
        <x:v>-0.89996529005389</x:v>
      </x:c>
      <x:c r="AL2233" s="83" t="n">
        <x:f>'Inputs'!$B$50</x:f>
        <x:v>1</x:v>
      </x:c>
      <x:c r="AM2233" s="83" t="n">
        <x:f>'Inputs'!$C$50</x:f>
        <x:v>1</x:v>
      </x:c>
      <x:c r="AN2233" s="83" t="n">
        <x:f>'Inputs'!$D$50</x:f>
        <x:v>1</x:v>
      </x:c>
      <x:c r="AO2233" s="81" t="n">
        <x:f>'Inputs'!$E$50</x:f>
        <x:v>0</x:v>
      </x:c>
    </x:row>
    <x:row r="2234">
      <x:c r="A2234" s="59" t="str">
        <x:v>Whale exit</x:v>
      </x:c>
      <x:c r="B2234" s="59" t="n">
        <x:v>41</x:v>
      </x:c>
      <x:c r="C2234" s="78" t="n">
        <x:f>(('Inputs'!$B$29*(3*41*'Inputs'!$B$12-41^2)/(2*'Inputs'!$B$12^2))-('Inputs'!$B$29*(3*40*'Inputs'!$B$12-40^2)/(2*'Inputs'!$B$12^2)))*'Inputs'!$B$50</x:f>
        <x:v>698819.4314130247</x:v>
      </x:c>
      <x:c r="D2234" s="78" t="n">
        <x:f>IF('Inputs'!$C$50&gt;0,('Inputs'!$B$30*(3*41*'Inputs'!$B$12-41^2)/(2*'Inputs'!$B$12^2))-('Inputs'!$B$30*(3*40*'Inputs'!$B$12-40^2)/(2*'Inputs'!$B$12^2)),0)</x:f>
        <x:v>299494.0420341529</x:v>
      </x:c>
      <x:c r="E2234" s="78" t="n">
        <x:f>C2234+D2234</x:f>
        <x:v>998313.4734471776</x:v>
      </x:c>
      <x:c r="F2234" s="78" t="n">
        <x:f>'Inputs'!$B$13*E2234+(1-'Inputs'!$B$13)/'Inputs'!$B$14*SUM(E2194:E2234)</x:f>
        <x:v>789829.7388949952</x:v>
      </x:c>
      <x:c r="G2234" s="78" t="n">
        <x:f>F2234*'Inputs'!$F$50</x:f>
        <x:v>394914.8694474976</x:v>
      </x:c>
      <x:c r="H2234" s="78" t="n">
        <x:f>U2233</x:f>
        <x:v>18471932.960252468</x:v>
      </x:c>
      <x:c r="I2234" s="78" t="n">
        <x:f>V2233</x:f>
        <x:v>1557.327134530644</x:v>
      </x:c>
      <x:c r="J2234" s="79" t="n">
        <x:f>IF(H2234&gt;0,I2234/H2234,0)</x:f>
        <x:v>0.00008430775154293106</x:v>
      </x:c>
      <x:c r="K2234" s="80" t="n">
        <x:f>(H2234*J2234+I2234)*'Inputs'!$D$50*(1+'Inputs'!$G$50)^(B2234/30)</x:f>
        <x:v>3114.654269061288</x:v>
      </x:c>
      <x:c r="L2234" s="80" t="n">
        <x:f>MAX(0,K2234*'Inputs'!$E$50)</x:f>
        <x:v>0</x:v>
      </x:c>
      <x:c r="M2234" s="80" t="n">
        <x:f>MAX(0,-K2234*'Inputs'!$E$50)</x:f>
        <x:v>0</x:v>
      </x:c>
      <x:c r="N2234" s="78" t="n">
        <x:f>H2234*(L2234*(1-'Inputs'!$B$15))/(I2234+L2234*(1-'Inputs'!$B$15))</x:f>
        <x:v>0</x:v>
      </x:c>
      <x:c r="O2234" s="78" t="n">
        <x:f>H2234-N2234</x:f>
        <x:v>18471932.960252468</x:v>
      </x:c>
      <x:c r="P2234" s="78" t="n">
        <x:f>I2234+L2234*(1-'Inputs'!$B$17)</x:f>
        <x:v>1557.327134530644</x:v>
      </x:c>
      <x:c r="Q2234" s="78" t="n">
        <x:f>IF(J2234&gt;0,M2234/J2234,0)</x:f>
        <x:v>0</x:v>
      </x:c>
      <x:c r="R2234" s="78" t="n">
        <x:f>IF(B2234='Inputs'!$H$50,'Inputs'!$B$27*'Inputs'!$I$50,0)</x:f>
        <x:v>0</x:v>
      </x:c>
      <x:c r="S2234" s="78" t="n">
        <x:f>Q2234+G2234+R2234</x:f>
        <x:v>394914.8694474976</x:v>
      </x:c>
      <x:c r="T2234" s="78" t="n">
        <x:f>P2234*(S2234*(1-'Inputs'!$B$15))/(O2234+S2234*(1-'Inputs'!$B$15))</x:f>
        <x:v>32.278258813589574</x:v>
      </x:c>
      <x:c r="U2234" s="78" t="n">
        <x:f>O2234+S2234*(1-'Inputs'!$B$17)</x:f>
        <x:v>18865258.6350543</x:v>
      </x:c>
      <x:c r="V2234" s="78" t="n">
        <x:f>P2234-T2234</x:f>
        <x:v>1525.0488757170542</x:v>
      </x:c>
      <x:c r="W2234" s="79" t="n">
        <x:f>IF(U2234&gt;0,V2234/U2234,0)</x:f>
        <x:v>0.00008083901234639313</x:v>
      </x:c>
      <x:c r="X2234" s="80" t="n">
        <x:f>W2234*('Inputs'!$B$6-AC2234)</x:f>
        <x:v>80694.56652422444</x:v>
      </x:c>
      <x:c r="Y2234" s="80" t="n">
        <x:f>2*V2234</x:f>
        <x:v>3050.0977514341084</x:v>
      </x:c>
      <x:c r="Z2234" s="80" t="n">
        <x:f>K2234*'Inputs'!$B$16+(G2234+R2234)*J2234*'Inputs'!$B$16</x:f>
        <x:v>18.887691922531662</x:v>
      </x:c>
      <x:c r="AA2234" s="80" t="n">
        <x:f>K2234*(1+'Inputs'!$E$50)/2*'Inputs'!$B$17</x:f>
        <x:v>6.2669099981112435</x:v>
      </x:c>
      <x:c r="AB2234" s="78" t="n">
        <x:f>(IF(J2234&gt;0,K2234*(1-'Inputs'!$E$50)/2/J2234,0)+G2234+R2234)*'Inputs'!$B$17</x:f>
        <x:v>75922.92889215278</x:v>
      </x:c>
      <x:c r="AC2234" s="78" t="n">
        <x:f>AC2233+AB2234</x:f>
        <x:v>1786833.0893224846</x:v>
      </x:c>
      <x:c r="AD2234" s="80" t="n">
        <x:f>Z2234/(1+'Inputs'!$C$50)</x:f>
        <x:v>9.443845961265831</x:v>
      </x:c>
      <x:c r="AE2234" s="80" t="n">
        <x:f>Z2234-AD2234</x:f>
        <x:v>9.443845961265831</x:v>
      </x:c>
      <x:c r="AF2234" s="80" t="n">
        <x:f>D2234*W2234</x:f>
        <x:v>24.210802561670068</x:v>
      </x:c>
      <x:c r="AG2234" s="80" t="n">
        <x:f>C2234*W2234</x:f>
        <x:v>56.491872643896926</x:v>
      </x:c>
      <x:c r="AH2234" s="80" t="n">
        <x:f>2*'Inputs'!$B$8*'Inputs'!$C$50</x:f>
        <x:v>5000</x:v>
      </x:c>
      <x:c r="AI2234" s="81" t="n">
        <x:f>IF(AH2234&gt;0,(AE2234+AF2234)/AH2234*365,0)</x:f>
        <x:v>2.456789342174321</x:v>
      </x:c>
      <x:c r="AJ2234" s="81" t="n">
        <x:f>IF('Inputs'!$B$50&gt;0,AG2234/('Inputs'!$B$19*'Inputs'!$B$50)*365,0)</x:f>
        <x:v>2.061953351502238</x:v>
      </x:c>
      <x:c r="AK2234" s="81" t="n">
        <x:f>W2234/MAX($W$2194:W2234)-1</x:f>
        <x:v>-0.9040810956951741</x:v>
      </x:c>
      <x:c r="AL2234" s="83" t="n">
        <x:f>'Inputs'!$B$50</x:f>
        <x:v>1</x:v>
      </x:c>
      <x:c r="AM2234" s="83" t="n">
        <x:f>'Inputs'!$C$50</x:f>
        <x:v>1</x:v>
      </x:c>
      <x:c r="AN2234" s="83" t="n">
        <x:f>'Inputs'!$D$50</x:f>
        <x:v>1</x:v>
      </x:c>
      <x:c r="AO2234" s="81" t="n">
        <x:f>'Inputs'!$E$50</x:f>
        <x:v>0</x:v>
      </x:c>
    </x:row>
    <x:row r="2235">
      <x:c r="A2235" s="59" t="str">
        <x:v>Whale exit</x:v>
      </x:c>
      <x:c r="B2235" s="59" t="n">
        <x:v>42</x:v>
      </x:c>
      <x:c r="C2235" s="78" t="n">
        <x:f>(('Inputs'!$B$29*(3*42*'Inputs'!$B$12-42^2)/(2*'Inputs'!$B$12^2))-('Inputs'!$B$29*(3*41*'Inputs'!$B$12-41^2)/(2*'Inputs'!$B$12^2)))*'Inputs'!$B$50</x:f>
        <x:v>698494.3235128522</x:v>
      </x:c>
      <x:c r="D2235" s="78" t="n">
        <x:f>IF('Inputs'!$C$50&gt;0,('Inputs'!$B$30*(3*42*'Inputs'!$B$12-42^2)/(2*'Inputs'!$B$12^2))-('Inputs'!$B$30*(3*41*'Inputs'!$B$12-41^2)/(2*'Inputs'!$B$12^2)),0)</x:f>
        <x:v>299354.71007693745</x:v>
      </x:c>
      <x:c r="E2235" s="78" t="n">
        <x:f>C2235+D2235</x:f>
        <x:v>997849.0335897896</x:v>
      </x:c>
      <x:c r="F2235" s="78" t="n">
        <x:f>'Inputs'!$B$13*E2235+(1-'Inputs'!$B$13)/'Inputs'!$B$14*SUM(E2194:E2235)</x:f>
        <x:v>803991.8371176574</x:v>
      </x:c>
      <x:c r="G2235" s="78" t="n">
        <x:f>F2235*'Inputs'!$F$50</x:f>
        <x:v>401995.9185588287</x:v>
      </x:c>
      <x:c r="H2235" s="78" t="n">
        <x:f>U2234</x:f>
        <x:v>18865258.6350543</x:v>
      </x:c>
      <x:c r="I2235" s="78" t="n">
        <x:f>V2234</x:f>
        <x:v>1525.0488757170542</x:v>
      </x:c>
      <x:c r="J2235" s="79" t="n">
        <x:f>IF(H2235&gt;0,I2235/H2235,0)</x:f>
        <x:v>0.00008083901234639313</x:v>
      </x:c>
      <x:c r="K2235" s="80" t="n">
        <x:f>(H2235*J2235+I2235)*'Inputs'!$D$50*(1+'Inputs'!$G$50)^(B2235/30)</x:f>
        <x:v>3050.0977514341084</x:v>
      </x:c>
      <x:c r="L2235" s="80" t="n">
        <x:f>MAX(0,K2235*'Inputs'!$E$50)</x:f>
        <x:v>0</x:v>
      </x:c>
      <x:c r="M2235" s="80" t="n">
        <x:f>MAX(0,-K2235*'Inputs'!$E$50)</x:f>
        <x:v>0</x:v>
      </x:c>
      <x:c r="N2235" s="78" t="n">
        <x:f>H2235*(L2235*(1-'Inputs'!$B$15))/(I2235+L2235*(1-'Inputs'!$B$15))</x:f>
        <x:v>0</x:v>
      </x:c>
      <x:c r="O2235" s="78" t="n">
        <x:f>H2235-N2235</x:f>
        <x:v>18865258.6350543</x:v>
      </x:c>
      <x:c r="P2235" s="78" t="n">
        <x:f>I2235+L2235*(1-'Inputs'!$B$17)</x:f>
        <x:v>1525.0488757170542</x:v>
      </x:c>
      <x:c r="Q2235" s="78" t="n">
        <x:f>IF(J2235&gt;0,M2235/J2235,0)</x:f>
        <x:v>0</x:v>
      </x:c>
      <x:c r="R2235" s="78" t="n">
        <x:f>IF(B2235='Inputs'!$H$50,'Inputs'!$B$27*'Inputs'!$I$50,0)</x:f>
        <x:v>0</x:v>
      </x:c>
      <x:c r="S2235" s="78" t="n">
        <x:f>Q2235+G2235+R2235</x:f>
        <x:v>401995.9185588287</x:v>
      </x:c>
      <x:c r="T2235" s="78" t="n">
        <x:f>P2235*(S2235*(1-'Inputs'!$B$15))/(O2235+S2235*(1-'Inputs'!$B$15))</x:f>
        <x:v>31.507314435144217</x:v>
      </x:c>
      <x:c r="U2235" s="78" t="n">
        <x:f>O2235+S2235*(1-'Inputs'!$B$17)</x:f>
        <x:v>19265636.863800015</x:v>
      </x:c>
      <x:c r="V2235" s="78" t="n">
        <x:f>P2235-T2235</x:f>
        <x:v>1493.54156128191</x:v>
      </x:c>
      <x:c r="W2235" s="79" t="n">
        <x:f>IF(U2235&gt;0,V2235/U2235,0)</x:f>
        <x:v>0.00007752360183266317</x:v>
      </x:c>
      <x:c r="X2235" s="80" t="n">
        <x:f>W2235*('Inputs'!$B$6-AC2235)</x:f>
        <x:v>77379.06936342976</x:v>
      </x:c>
      <x:c r="Y2235" s="80" t="n">
        <x:f>2*V2235</x:f>
        <x:v>2987.08312256382</x:v>
      </x:c>
      <x:c r="Z2235" s="80" t="n">
        <x:f>K2235*'Inputs'!$B$16+(G2235+R2235)*J2235*'Inputs'!$B$16</x:f>
        <x:v>18.495568226746112</x:v>
      </x:c>
      <x:c r="AA2235" s="80" t="n">
        <x:f>K2235*(1+'Inputs'!$E$50)/2*'Inputs'!$B$17</x:f>
        <x:v>6.137017608519334</x:v>
      </x:c>
      <x:c r="AB2235" s="78" t="n">
        <x:f>(IF(J2235&gt;0,K2235*(1-'Inputs'!$E$50)/2/J2235,0)+G2235+R2235)*'Inputs'!$B$17</x:f>
        <x:v>77534.22355578725</x:v>
      </x:c>
      <x:c r="AC2235" s="78" t="n">
        <x:f>AC2234+AB2235</x:f>
        <x:v>1864367.3128782718</x:v>
      </x:c>
      <x:c r="AD2235" s="80" t="n">
        <x:f>Z2235/(1+'Inputs'!$C$50)</x:f>
        <x:v>9.247784113373056</x:v>
      </x:c>
      <x:c r="AE2235" s="80" t="n">
        <x:f>Z2235-AD2235</x:f>
        <x:v>9.247784113373056</x:v>
      </x:c>
      <x:c r="AF2235" s="80" t="n">
        <x:f>D2235*W2235</x:f>
        <x:v>23.20705535073682</x:v>
      </x:c>
      <x:c r="AG2235" s="80" t="n">
        <x:f>C2235*W2235</x:f>
        <x:v>54.14979581838577</x:v>
      </x:c>
      <x:c r="AH2235" s="80" t="n">
        <x:f>2*'Inputs'!$B$8*'Inputs'!$C$50</x:f>
        <x:v>5000</x:v>
      </x:c>
      <x:c r="AI2235" s="81" t="n">
        <x:f>IF(AH2235&gt;0,(AE2235+AF2235)/AH2235*365,0)</x:f>
        <x:v>2.3692032808800207</x:v>
      </x:c>
      <x:c r="AJ2235" s="81" t="n">
        <x:f>IF('Inputs'!$B$50&gt;0,AG2235/('Inputs'!$B$19*'Inputs'!$B$50)*365,0)</x:f>
        <x:v>1.9764675473710804</x:v>
      </x:c>
      <x:c r="AK2235" s="81" t="n">
        <x:f>W2235/MAX($W$2194:W2235)-1</x:f>
        <x:v>-0.9080149703748277</x:v>
      </x:c>
      <x:c r="AL2235" s="83" t="n">
        <x:f>'Inputs'!$B$50</x:f>
        <x:v>1</x:v>
      </x:c>
      <x:c r="AM2235" s="83" t="n">
        <x:f>'Inputs'!$C$50</x:f>
        <x:v>1</x:v>
      </x:c>
      <x:c r="AN2235" s="83" t="n">
        <x:f>'Inputs'!$D$50</x:f>
        <x:v>1</x:v>
      </x:c>
      <x:c r="AO2235" s="81" t="n">
        <x:f>'Inputs'!$E$50</x:f>
        <x:v>0</x:v>
      </x:c>
    </x:row>
    <x:row r="2236">
      <x:c r="A2236" s="59" t="str">
        <x:v>Whale exit</x:v>
      </x:c>
      <x:c r="B2236" s="59" t="n">
        <x:v>43</x:v>
      </x:c>
      <x:c r="C2236" s="78" t="n">
        <x:f>(('Inputs'!$B$29*(3*43*'Inputs'!$B$12-43^2)/(2*'Inputs'!$B$12^2))-('Inputs'!$B$29*(3*42*'Inputs'!$B$12-42^2)/(2*'Inputs'!$B$12^2)))*'Inputs'!$B$50</x:f>
        <x:v>698169.2156126872</x:v>
      </x:c>
      <x:c r="D2236" s="78" t="n">
        <x:f>IF('Inputs'!$C$50&gt;0,('Inputs'!$B$30*(3*43*'Inputs'!$B$12-43^2)/(2*'Inputs'!$B$12^2))-('Inputs'!$B$30*(3*42*'Inputs'!$B$12-42^2)/(2*'Inputs'!$B$12^2)),0)</x:f>
        <x:v>299215.378119722</x:v>
      </x:c>
      <x:c r="E2236" s="78" t="n">
        <x:f>C2236+D2236</x:f>
        <x:v>997384.5937324092</x:v>
      </x:c>
      <x:c r="F2236" s="78" t="n">
        <x:f>'Inputs'!$B$13*E2236+(1-'Inputs'!$B$13)/'Inputs'!$B$14*SUM(E2194:E2236)</x:f>
        <x:v>818147.3004852157</x:v>
      </x:c>
      <x:c r="G2236" s="78" t="n">
        <x:f>F2236*'Inputs'!$F$50</x:f>
        <x:v>409073.65024260787</x:v>
      </x:c>
      <x:c r="H2236" s="78" t="n">
        <x:f>U2235</x:f>
        <x:v>19265636.863800015</x:v>
      </x:c>
      <x:c r="I2236" s="78" t="n">
        <x:f>V2235</x:f>
        <x:v>1493.54156128191</x:v>
      </x:c>
      <x:c r="J2236" s="79" t="n">
        <x:f>IF(H2236&gt;0,I2236/H2236,0)</x:f>
        <x:v>0.00007752360183266317</x:v>
      </x:c>
      <x:c r="K2236" s="80" t="n">
        <x:f>(H2236*J2236+I2236)*'Inputs'!$D$50*(1+'Inputs'!$G$50)^(B2236/30)</x:f>
        <x:v>2987.08312256382</x:v>
      </x:c>
      <x:c r="L2236" s="80" t="n">
        <x:f>MAX(0,K2236*'Inputs'!$E$50)</x:f>
        <x:v>0</x:v>
      </x:c>
      <x:c r="M2236" s="80" t="n">
        <x:f>MAX(0,-K2236*'Inputs'!$E$50)</x:f>
        <x:v>0</x:v>
      </x:c>
      <x:c r="N2236" s="78" t="n">
        <x:f>H2236*(L2236*(1-'Inputs'!$B$15))/(I2236+L2236*(1-'Inputs'!$B$15))</x:f>
        <x:v>0</x:v>
      </x:c>
      <x:c r="O2236" s="78" t="n">
        <x:f>H2236-N2236</x:f>
        <x:v>19265636.863800015</x:v>
      </x:c>
      <x:c r="P2236" s="78" t="n">
        <x:f>I2236+L2236*(1-'Inputs'!$B$17)</x:f>
        <x:v>1493.54156128191</x:v>
      </x:c>
      <x:c r="Q2236" s="78" t="n">
        <x:f>IF(J2236&gt;0,M2236/J2236,0)</x:f>
        <x:v>0</x:v>
      </x:c>
      <x:c r="R2236" s="78" t="n">
        <x:f>IF(B2236='Inputs'!$H$50,'Inputs'!$B$27*'Inputs'!$I$50,0)</x:f>
        <x:v>0</x:v>
      </x:c>
      <x:c r="S2236" s="78" t="n">
        <x:f>Q2236+G2236+R2236</x:f>
        <x:v>409073.65024260787</x:v>
      </x:c>
      <x:c r="T2236" s="78" t="n">
        <x:f>P2236*(S2236*(1-'Inputs'!$B$15))/(O2236+S2236*(1-'Inputs'!$B$15))</x:f>
        <x:v>30.749352085521608</x:v>
      </x:c>
      <x:c r="U2236" s="78" t="n">
        <x:f>O2236+S2236*(1-'Inputs'!$B$17)</x:f>
        <x:v>19673064.34241187</x:v>
      </x:c>
      <x:c r="V2236" s="78" t="n">
        <x:f>P2236-T2236</x:f>
        <x:v>1462.7922091963883</x:v>
      </x:c>
      <x:c r="W2236" s="79" t="n">
        <x:f>IF(U2236&gt;0,V2236/U2236,0)</x:f>
        <x:v>0.00007435507675552357</x:v>
      </x:c>
      <x:c r="X2236" s="80" t="n">
        <x:f>W2236*('Inputs'!$B$6-AC2236)</x:f>
        <x:v>74210.56460055042</x:v>
      </x:c>
      <x:c r="Y2236" s="80" t="n">
        <x:f>2*V2236</x:f>
        <x:v>2925.5844183927766</x:v>
      </x:c>
      <x:c r="Z2236" s="80" t="n">
        <x:f>K2236*'Inputs'!$B$16+(G2236+R2236)*J2236*'Inputs'!$B$16</x:f>
        <x:v>18.112775912072774</x:v>
      </x:c>
      <x:c r="AA2236" s="80" t="n">
        <x:f>K2236*(1+'Inputs'!$E$50)/2*'Inputs'!$B$17</x:f>
        <x:v>6.010227610792395</x:v>
      </x:c>
      <x:c r="AB2236" s="78" t="n">
        <x:f>(IF(J2236&gt;0,K2236*(1-'Inputs'!$E$50)/2/J2236,0)+G2236+R2236)*'Inputs'!$B$17</x:f>
        <x:v>79173.88536838078</x:v>
      </x:c>
      <x:c r="AC2236" s="78" t="n">
        <x:f>AC2235+AB2236</x:f>
        <x:v>1943541.1982466525</x:v>
      </x:c>
      <x:c r="AD2236" s="80" t="n">
        <x:f>Z2236/(1+'Inputs'!$C$50)</x:f>
        <x:v>9.056387956036387</x:v>
      </x:c>
      <x:c r="AE2236" s="80" t="n">
        <x:f>Z2236-AD2236</x:f>
        <x:v>9.056387956036387</x:v>
      </x:c>
      <x:c r="AF2236" s="80" t="n">
        <x:f>D2236*W2236</x:f>
        <x:v>22.248182406524936</x:v>
      </x:c>
      <x:c r="AG2236" s="80" t="n">
        <x:f>C2236*W2236</x:f>
        <x:v>51.91242561522504</x:v>
      </x:c>
      <x:c r="AH2236" s="80" t="n">
        <x:f>2*'Inputs'!$B$8*'Inputs'!$C$50</x:f>
        <x:v>5000</x:v>
      </x:c>
      <x:c r="AI2236" s="81" t="n">
        <x:f>IF(AH2236&gt;0,(AE2236+AF2236)/AH2236*365,0)</x:f>
        <x:v>2.2852336364669767</x:v>
      </x:c>
      <x:c r="AJ2236" s="81" t="n">
        <x:f>IF('Inputs'!$B$50&gt;0,AG2236/('Inputs'!$B$19*'Inputs'!$B$50)*365,0)</x:f>
        <x:v>1.894803534955714</x:v>
      </x:c>
      <x:c r="AK2236" s="81" t="n">
        <x:f>W2236/MAX($W$2194:W2236)-1</x:f>
        <x:v>-0.9117745592767714</x:v>
      </x:c>
      <x:c r="AL2236" s="83" t="n">
        <x:f>'Inputs'!$B$50</x:f>
        <x:v>1</x:v>
      </x:c>
      <x:c r="AM2236" s="83" t="n">
        <x:f>'Inputs'!$C$50</x:f>
        <x:v>1</x:v>
      </x:c>
      <x:c r="AN2236" s="83" t="n">
        <x:f>'Inputs'!$D$50</x:f>
        <x:v>1</x:v>
      </x:c>
      <x:c r="AO2236" s="81" t="n">
        <x:f>'Inputs'!$E$50</x:f>
        <x:v>0</x:v>
      </x:c>
    </x:row>
    <x:row r="2237">
      <x:c r="A2237" s="59" t="str">
        <x:v>Whale exit</x:v>
      </x:c>
      <x:c r="B2237" s="59" t="n">
        <x:v>44</x:v>
      </x:c>
      <x:c r="C2237" s="78" t="n">
        <x:f>(('Inputs'!$B$29*(3*44*'Inputs'!$B$12-44^2)/(2*'Inputs'!$B$12^2))-('Inputs'!$B$29*(3*43*'Inputs'!$B$12-43^2)/(2*'Inputs'!$B$12^2)))*'Inputs'!$B$50</x:f>
        <x:v>697844.1077125147</x:v>
      </x:c>
      <x:c r="D2237" s="78" t="n">
        <x:f>IF('Inputs'!$C$50&gt;0,('Inputs'!$B$30*(3*44*'Inputs'!$B$12-44^2)/(2*'Inputs'!$B$12^2))-('Inputs'!$B$30*(3*43*'Inputs'!$B$12-43^2)/(2*'Inputs'!$B$12^2)),0)</x:f>
        <x:v>299076.0461625084</x:v>
      </x:c>
      <x:c r="E2237" s="78" t="n">
        <x:f>C2237+D2237</x:f>
        <x:v>996920.1538750231</x:v>
      </x:c>
      <x:c r="F2237" s="78" t="n">
        <x:f>'Inputs'!$B$13*E2237+(1-'Inputs'!$B$13)/'Inputs'!$B$14*SUM(E2194:E2237)</x:f>
        <x:v>832296.1289976675</x:v>
      </x:c>
      <x:c r="G2237" s="78" t="n">
        <x:f>F2237*'Inputs'!$F$50</x:f>
        <x:v>416148.06449883373</x:v>
      </x:c>
      <x:c r="H2237" s="78" t="n">
        <x:f>U2236</x:f>
        <x:v>19673064.34241187</x:v>
      </x:c>
      <x:c r="I2237" s="78" t="n">
        <x:f>V2236</x:f>
        <x:v>1462.7922091963883</x:v>
      </x:c>
      <x:c r="J2237" s="79" t="n">
        <x:f>IF(H2237&gt;0,I2237/H2237,0)</x:f>
        <x:v>0.00007435507675552357</x:v>
      </x:c>
      <x:c r="K2237" s="80" t="n">
        <x:f>(H2237*J2237+I2237)*'Inputs'!$D$50*(1+'Inputs'!$G$50)^(B2237/30)</x:f>
        <x:v>2925.5844183927766</x:v>
      </x:c>
      <x:c r="L2237" s="80" t="n">
        <x:f>MAX(0,K2237*'Inputs'!$E$50)</x:f>
        <x:v>0</x:v>
      </x:c>
      <x:c r="M2237" s="80" t="n">
        <x:f>MAX(0,-K2237*'Inputs'!$E$50)</x:f>
        <x:v>0</x:v>
      </x:c>
      <x:c r="N2237" s="78" t="n">
        <x:f>H2237*(L2237*(1-'Inputs'!$B$15))/(I2237+L2237*(1-'Inputs'!$B$15))</x:f>
        <x:v>0</x:v>
      </x:c>
      <x:c r="O2237" s="78" t="n">
        <x:f>H2237-N2237</x:f>
        <x:v>19673064.34241187</x:v>
      </x:c>
      <x:c r="P2237" s="78" t="n">
        <x:f>I2237+L2237*(1-'Inputs'!$B$17)</x:f>
        <x:v>1462.7922091963883</x:v>
      </x:c>
      <x:c r="Q2237" s="78" t="n">
        <x:f>IF(J2237&gt;0,M2237/J2237,0)</x:f>
        <x:v>0</x:v>
      </x:c>
      <x:c r="R2237" s="78" t="n">
        <x:f>IF(B2237='Inputs'!$H$50,'Inputs'!$B$27*'Inputs'!$I$50,0)</x:f>
        <x:v>0</x:v>
      </x:c>
      <x:c r="S2237" s="78" t="n">
        <x:f>Q2237+G2237+R2237</x:f>
        <x:v>416148.06449883373</x:v>
      </x:c>
      <x:c r="T2237" s="78" t="n">
        <x:f>P2237*(S2237*(1-'Inputs'!$B$15))/(O2237+S2237*(1-'Inputs'!$B$15))</x:f>
        <x:v>30.004940857119678</x:v>
      </x:c>
      <x:c r="U2237" s="78" t="n">
        <x:f>O2237+S2237*(1-'Inputs'!$B$17)</x:f>
        <x:v>20087537.766812116</x:v>
      </x:c>
      <x:c r="V2237" s="78" t="n">
        <x:f>P2237-T2237</x:f>
        <x:v>1432.7872683392686</x:v>
      </x:c>
      <x:c r="W2237" s="79" t="n">
        <x:f>IF(U2237&gt;0,V2237/U2237,0)</x:f>
        <x:v>0.00007132717234794533</x:v>
      </x:c>
      <x:c r="X2237" s="80" t="n">
        <x:f>W2237*('Inputs'!$B$6-AC2237)</x:f>
        <x:v>71182.77882572469</x:v>
      </x:c>
      <x:c r="Y2237" s="80" t="n">
        <x:f>2*V2237</x:f>
        <x:v>2865.5745366785372</x:v>
      </x:c>
      <x:c r="Z2237" s="80" t="n">
        <x:f>K2237*'Inputs'!$B$16+(G2237+R2237)*J2237*'Inputs'!$B$16</x:f>
        <x:v>17.7391628380215</x:v>
      </x:c>
      <x:c r="AA2237" s="80" t="n">
        <x:f>K2237*(1+'Inputs'!$E$50)/2*'Inputs'!$B$17</x:f>
        <x:v>5.886487763365748</x:v>
      </x:c>
      <x:c r="AB2237" s="78" t="n">
        <x:f>(IF(J2237&gt;0,K2237*(1-'Inputs'!$E$50)/2/J2237,0)+G2237+R2237)*'Inputs'!$B$17</x:f>
        <x:v>80841.90103384589</x:v>
      </x:c>
      <x:c r="AC2237" s="78" t="n">
        <x:f>AC2236+AB2237</x:f>
        <x:v>2024383.0992804985</x:v>
      </x:c>
      <x:c r="AD2237" s="80" t="n">
        <x:f>Z2237/(1+'Inputs'!$C$50)</x:f>
        <x:v>8.86958141901075</x:v>
      </x:c>
      <x:c r="AE2237" s="80" t="n">
        <x:f>Z2237-AD2237</x:f>
        <x:v>8.86958141901075</x:v>
      </x:c>
      <x:c r="AF2237" s="80" t="n">
        <x:f>D2237*W2237</x:f>
        <x:v>21.33224868977529</x:v>
      </x:c>
      <x:c r="AG2237" s="80" t="n">
        <x:f>C2237*W2237</x:f>
        <x:v>49.77524694280866</x:v>
      </x:c>
      <x:c r="AH2237" s="80" t="n">
        <x:f>2*'Inputs'!$B$8*'Inputs'!$C$50</x:f>
        <x:v>5000</x:v>
      </x:c>
      <x:c r="AI2237" s="81" t="n">
        <x:f>IF(AH2237&gt;0,(AE2237+AF2237)/AH2237*365,0)</x:f>
        <x:v>2.204733597941381</x:v>
      </x:c>
      <x:c r="AJ2237" s="81" t="n">
        <x:f>IF('Inputs'!$B$50&gt;0,AG2237/('Inputs'!$B$19*'Inputs'!$B$50)*365,0)</x:f>
        <x:v>1.8167965134125161</x:v>
      </x:c>
      <x:c r="AK2237" s="81" t="n">
        <x:f>W2237/MAX($W$2194:W2237)-1</x:f>
        <x:v>-0.9153672958118265</x:v>
      </x:c>
      <x:c r="AL2237" s="83" t="n">
        <x:f>'Inputs'!$B$50</x:f>
        <x:v>1</x:v>
      </x:c>
      <x:c r="AM2237" s="83" t="n">
        <x:f>'Inputs'!$C$50</x:f>
        <x:v>1</x:v>
      </x:c>
      <x:c r="AN2237" s="83" t="n">
        <x:f>'Inputs'!$D$50</x:f>
        <x:v>1</x:v>
      </x:c>
      <x:c r="AO2237" s="81" t="n">
        <x:f>'Inputs'!$E$50</x:f>
        <x:v>0</x:v>
      </x:c>
    </x:row>
    <x:row r="2238">
      <x:c r="A2238" s="59" t="str">
        <x:v>Whale exit</x:v>
      </x:c>
      <x:c r="B2238" s="59" t="n">
        <x:v>45</x:v>
      </x:c>
      <x:c r="C2238" s="78" t="n">
        <x:f>(('Inputs'!$B$29*(3*45*'Inputs'!$B$12-45^2)/(2*'Inputs'!$B$12^2))-('Inputs'!$B$29*(3*44*'Inputs'!$B$12-44^2)/(2*'Inputs'!$B$12^2)))*'Inputs'!$B$50</x:f>
        <x:v>697518.999812346</x:v>
      </x:c>
      <x:c r="D2238" s="78" t="n">
        <x:f>IF('Inputs'!$C$50&gt;0,('Inputs'!$B$30*(3*45*'Inputs'!$B$12-45^2)/(2*'Inputs'!$B$12^2))-('Inputs'!$B$30*(3*44*'Inputs'!$B$12-44^2)/(2*'Inputs'!$B$12^2)),0)</x:f>
        <x:v>298936.7142052911</x:v>
      </x:c>
      <x:c r="E2238" s="78" t="n">
        <x:f>C2238+D2238</x:f>
        <x:v>996455.7140176371</x:v>
      </x:c>
      <x:c r="F2238" s="78" t="n">
        <x:f>'Inputs'!$B$13*E2238+(1-'Inputs'!$B$13)/'Inputs'!$B$14*SUM(E2194:E2238)</x:f>
        <x:v>846438.3226550135</x:v>
      </x:c>
      <x:c r="G2238" s="78" t="n">
        <x:f>F2238*'Inputs'!$F$50</x:f>
        <x:v>423219.16132750676</x:v>
      </x:c>
      <x:c r="H2238" s="78" t="n">
        <x:f>U2237</x:f>
        <x:v>20087537.766812116</x:v>
      </x:c>
      <x:c r="I2238" s="78" t="n">
        <x:f>V2237</x:f>
        <x:v>1432.7872683392686</x:v>
      </x:c>
      <x:c r="J2238" s="79" t="n">
        <x:f>IF(H2238&gt;0,I2238/H2238,0)</x:f>
        <x:v>0.00007132717234794533</x:v>
      </x:c>
      <x:c r="K2238" s="80" t="n">
        <x:f>(H2238*J2238+I2238)*'Inputs'!$D$50*(1+'Inputs'!$G$50)^(B2238/30)</x:f>
        <x:v>2865.5745366785372</x:v>
      </x:c>
      <x:c r="L2238" s="80" t="n">
        <x:f>MAX(0,K2238*'Inputs'!$E$50)</x:f>
        <x:v>0</x:v>
      </x:c>
      <x:c r="M2238" s="80" t="n">
        <x:f>MAX(0,-K2238*'Inputs'!$E$50)</x:f>
        <x:v>0</x:v>
      </x:c>
      <x:c r="N2238" s="78" t="n">
        <x:f>H2238*(L2238*(1-'Inputs'!$B$15))/(I2238+L2238*(1-'Inputs'!$B$15))</x:f>
        <x:v>0</x:v>
      </x:c>
      <x:c r="O2238" s="78" t="n">
        <x:f>H2238-N2238</x:f>
        <x:v>20087537.766812116</x:v>
      </x:c>
      <x:c r="P2238" s="78" t="n">
        <x:f>I2238+L2238*(1-'Inputs'!$B$17)</x:f>
        <x:v>1432.7872683392686</x:v>
      </x:c>
      <x:c r="Q2238" s="78" t="n">
        <x:f>IF(J2238&gt;0,M2238/J2238,0)</x:f>
        <x:v>0</x:v>
      </x:c>
      <x:c r="R2238" s="78" t="n">
        <x:f>IF(B2238='Inputs'!$H$50,'Inputs'!$B$27*'Inputs'!$I$50,0)</x:f>
        <x:v>0</x:v>
      </x:c>
      <x:c r="S2238" s="78" t="n">
        <x:f>Q2238+G2238+R2238</x:f>
        <x:v>423219.16132750676</x:v>
      </x:c>
      <x:c r="T2238" s="78" t="n">
        <x:f>P2238*(S2238*(1-'Inputs'!$B$15))/(O2238+S2238*(1-'Inputs'!$B$15))</x:f>
        <x:v>29.274545712629195</x:v>
      </x:c>
      <x:c r="U2238" s="78" t="n">
        <x:f>O2238+S2238*(1-'Inputs'!$B$17)</x:f>
        <x:v>20509053.832923014</x:v>
      </x:c>
      <x:c r="V2238" s="78" t="n">
        <x:f>P2238-T2238</x:f>
        <x:v>1403.5127226266395</x:v>
      </x:c>
      <x:c r="W2238" s="79" t="n">
        <x:f>IF(U2238&gt;0,V2238/U2238,0)</x:f>
        <x:v>0.00006843381143081268</x:v>
      </x:c>
      <x:c r="X2238" s="80" t="n">
        <x:f>W2238*('Inputs'!$B$6-AC2238)</x:f>
        <x:v>68289.6267719999</x:v>
      </x:c>
      <x:c r="Y2238" s="80" t="n">
        <x:f>2*V2238</x:f>
        <x:v>2807.025445253279</x:v>
      </x:c>
      <x:c r="Z2238" s="80" t="n">
        <x:f>K2238*'Inputs'!$B$16+(G2238+R2238)*J2238*'Inputs'!$B$16</x:f>
        <x:v>17.374569376436984</x:v>
      </x:c>
      <x:c r="AA2238" s="80" t="n">
        <x:f>K2238*(1+'Inputs'!$E$50)/2*'Inputs'!$B$17</x:f>
        <x:v>5.765743534564462</x:v>
      </x:c>
      <x:c r="AB2238" s="78" t="n">
        <x:f>(IF(J2238&gt;0,K2238*(1-'Inputs'!$E$50)/2/J2238,0)+G2238+R2238)*'Inputs'!$B$17</x:f>
        <x:v>82538.25725609506</x:v>
      </x:c>
      <x:c r="AC2238" s="78" t="n">
        <x:f>AC2237+AB2238</x:f>
        <x:v>2106921.3565365933</x:v>
      </x:c>
      <x:c r="AD2238" s="80" t="n">
        <x:f>Z2238/(1+'Inputs'!$C$50)</x:f>
        <x:v>8.687284688218492</x:v>
      </x:c>
      <x:c r="AE2238" s="80" t="n">
        <x:f>Z2238-AD2238</x:f>
        <x:v>8.687284688218492</x:v>
      </x:c>
      <x:c r="AF2238" s="80" t="n">
        <x:f>D2238*W2238</x:f>
        <x:v>20.457378729671635</x:v>
      </x:c>
      <x:c r="AG2238" s="80" t="n">
        <x:f>C2238*W2238</x:f>
        <x:v>47.73388370256715</x:v>
      </x:c>
      <x:c r="AH2238" s="80" t="n">
        <x:f>2*'Inputs'!$B$8*'Inputs'!$C$50</x:f>
        <x:v>5000</x:v>
      </x:c>
      <x:c r="AI2238" s="81" t="n">
        <x:f>IF(AH2238&gt;0,(AE2238+AF2238)/AH2238*365,0)</x:f>
        <x:v>2.1275604295059796</x:v>
      </x:c>
      <x:c r="AJ2238" s="81" t="n">
        <x:f>IF('Inputs'!$B$50&gt;0,AG2238/('Inputs'!$B$19*'Inputs'!$B$50)*365,0)</x:f>
        <x:v>1.742286755143701</x:v>
      </x:c>
      <x:c r="AK2238" s="81" t="n">
        <x:f>W2238/MAX($W$2194:W2238)-1</x:f>
        <x:v>-0.9188003908098279</x:v>
      </x:c>
      <x:c r="AL2238" s="83" t="n">
        <x:f>'Inputs'!$B$50</x:f>
        <x:v>1</x:v>
      </x:c>
      <x:c r="AM2238" s="83" t="n">
        <x:f>'Inputs'!$C$50</x:f>
        <x:v>1</x:v>
      </x:c>
      <x:c r="AN2238" s="83" t="n">
        <x:f>'Inputs'!$D$50</x:f>
        <x:v>1</x:v>
      </x:c>
      <x:c r="AO2238" s="81" t="n">
        <x:f>'Inputs'!$E$50</x:f>
        <x:v>0</x:v>
      </x:c>
    </x:row>
    <x:row r="2239">
      <x:c r="A2239" s="59" t="str">
        <x:v>Whale exit</x:v>
      </x:c>
      <x:c r="B2239" s="59" t="n">
        <x:v>46</x:v>
      </x:c>
      <x:c r="C2239" s="78" t="n">
        <x:f>(('Inputs'!$B$29*(3*46*'Inputs'!$B$12-46^2)/(2*'Inputs'!$B$12^2))-('Inputs'!$B$29*(3*45*'Inputs'!$B$12-45^2)/(2*'Inputs'!$B$12^2)))*'Inputs'!$B$50</x:f>
        <x:v>697193.8919121809</x:v>
      </x:c>
      <x:c r="D2239" s="78" t="n">
        <x:f>IF('Inputs'!$C$50&gt;0,('Inputs'!$B$30*(3*46*'Inputs'!$B$12-46^2)/(2*'Inputs'!$B$12^2))-('Inputs'!$B$30*(3*45*'Inputs'!$B$12-45^2)/(2*'Inputs'!$B$12^2)),0)</x:f>
        <x:v>298797.3822480757</x:v>
      </x:c>
      <x:c r="E2239" s="78" t="n">
        <x:f>C2239+D2239</x:f>
        <x:v>995991.2741602566</x:v>
      </x:c>
      <x:c r="F2239" s="78" t="n">
        <x:f>'Inputs'!$B$13*E2239+(1-'Inputs'!$B$13)/'Inputs'!$B$14*SUM(E2194:E2239)</x:f>
        <x:v>860573.8814572555</x:v>
      </x:c>
      <x:c r="G2239" s="78" t="n">
        <x:f>F2239*'Inputs'!$F$50</x:f>
        <x:v>430286.9407286277</x:v>
      </x:c>
      <x:c r="H2239" s="78" t="n">
        <x:f>U2238</x:f>
        <x:v>20509053.832923014</x:v>
      </x:c>
      <x:c r="I2239" s="78" t="n">
        <x:f>V2238</x:f>
        <x:v>1403.5127226266395</x:v>
      </x:c>
      <x:c r="J2239" s="79" t="n">
        <x:f>IF(H2239&gt;0,I2239/H2239,0)</x:f>
        <x:v>0.00006843381143081268</x:v>
      </x:c>
      <x:c r="K2239" s="80" t="n">
        <x:f>(H2239*J2239+I2239)*'Inputs'!$D$50*(1+'Inputs'!$G$50)^(B2239/30)</x:f>
        <x:v>2807.025445253279</x:v>
      </x:c>
      <x:c r="L2239" s="80" t="n">
        <x:f>MAX(0,K2239*'Inputs'!$E$50)</x:f>
        <x:v>0</x:v>
      </x:c>
      <x:c r="M2239" s="80" t="n">
        <x:f>MAX(0,-K2239*'Inputs'!$E$50)</x:f>
        <x:v>0</x:v>
      </x:c>
      <x:c r="N2239" s="78" t="n">
        <x:f>H2239*(L2239*(1-'Inputs'!$B$15))/(I2239+L2239*(1-'Inputs'!$B$15))</x:f>
        <x:v>0</x:v>
      </x:c>
      <x:c r="O2239" s="78" t="n">
        <x:f>H2239-N2239</x:f>
        <x:v>20509053.832923014</x:v>
      </x:c>
      <x:c r="P2239" s="78" t="n">
        <x:f>I2239+L2239*(1-'Inputs'!$B$17)</x:f>
        <x:v>1403.5127226266395</x:v>
      </x:c>
      <x:c r="Q2239" s="78" t="n">
        <x:f>IF(J2239&gt;0,M2239/J2239,0)</x:f>
        <x:v>0</x:v>
      </x:c>
      <x:c r="R2239" s="78" t="n">
        <x:f>IF(B2239='Inputs'!$H$50,'Inputs'!$B$27*'Inputs'!$I$50,0)</x:f>
        <x:v>0</x:v>
      </x:c>
      <x:c r="S2239" s="78" t="n">
        <x:f>Q2239+G2239+R2239</x:f>
        <x:v>430286.9407286277</x:v>
      </x:c>
      <x:c r="T2239" s="78" t="n">
        <x:f>P2239*(S2239*(1-'Inputs'!$B$15))/(O2239+S2239*(1-'Inputs'!$B$15))</x:f>
        <x:v>28.5585374371156</x:v>
      </x:c>
      <x:c r="U2239" s="78" t="n">
        <x:f>O2239+S2239*(1-'Inputs'!$B$17)</x:f>
        <x:v>20937609.236666817</x:v>
      </x:c>
      <x:c r="V2239" s="78" t="n">
        <x:f>P2239-T2239</x:f>
        <x:v>1374.954185189524</x:v>
      </x:c>
      <x:c r="W2239" s="79" t="n">
        <x:f>IF(U2239&gt;0,V2239/U2239,0)</x:f>
        <x:v>0.00006566911100727043</x:v>
      </x:c>
      <x:c r="X2239" s="80" t="n">
        <x:f>W2239*('Inputs'!$B$6-AC2239)</x:f>
        <x:v>65525.21788241525</x:v>
      </x:c>
      <x:c r="Y2239" s="80" t="n">
        <x:f>2*V2239</x:f>
        <x:v>2749.908370379048</x:v>
      </x:c>
      <x:c r="Z2239" s="80" t="n">
        <x:f>K2239*'Inputs'!$B$16+(G2239+R2239)*J2239*'Inputs'!$B$16</x:f>
        <x:v>17.018829723697458</x:v>
      </x:c>
      <x:c r="AA2239" s="80" t="n">
        <x:f>K2239*(1+'Inputs'!$E$50)/2*'Inputs'!$B$17</x:f>
        <x:v>5.647938521636377</x:v>
      </x:c>
      <x:c r="AB2239" s="78" t="n">
        <x:f>(IF(J2239&gt;0,K2239*(1-'Inputs'!$E$50)/2/J2239,0)+G2239+R2239)*'Inputs'!$B$17</x:f>
        <x:v>84262.94073904082</x:v>
      </x:c>
      <x:c r="AC2239" s="78" t="n">
        <x:f>AC2238+AB2239</x:f>
        <x:v>2191184.297275634</x:v>
      </x:c>
      <x:c r="AD2239" s="80" t="n">
        <x:f>Z2239/(1+'Inputs'!$C$50)</x:f>
        <x:v>8.509414861848729</x:v>
      </x:c>
      <x:c r="AE2239" s="80" t="n">
        <x:f>Z2239-AD2239</x:f>
        <x:v>8.509414861848729</x:v>
      </x:c>
      <x:c r="AF2239" s="80" t="n">
        <x:f>D2239*W2239</x:f>
        <x:v>19.621758463530696</x:v>
      </x:c>
      <x:c r="AG2239" s="80" t="n">
        <x:f>C2239*W2239</x:f>
        <x:v>45.784103081571914</x:v>
      </x:c>
      <x:c r="AH2239" s="80" t="n">
        <x:f>2*'Inputs'!$B$8*'Inputs'!$C$50</x:f>
        <x:v>5000</x:v>
      </x:c>
      <x:c r="AI2239" s="81" t="n">
        <x:f>IF(AH2239&gt;0,(AE2239+AF2239)/AH2239*365,0)</x:f>
        <x:v>2.053575652752698</x:v>
      </x:c>
      <x:c r="AJ2239" s="81" t="n">
        <x:f>IF('Inputs'!$B$50&gt;0,AG2239/('Inputs'!$B$19*'Inputs'!$B$50)*365,0)</x:f>
        <x:v>1.6711197624773748</x:v>
      </x:c>
      <x:c r="AK2239" s="81" t="n">
        <x:f>W2239/MAX($W$2194:W2239)-1</x:f>
        <x:v>-0.9220808246951522</x:v>
      </x:c>
      <x:c r="AL2239" s="83" t="n">
        <x:f>'Inputs'!$B$50</x:f>
        <x:v>1</x:v>
      </x:c>
      <x:c r="AM2239" s="83" t="n">
        <x:f>'Inputs'!$C$50</x:f>
        <x:v>1</x:v>
      </x:c>
      <x:c r="AN2239" s="83" t="n">
        <x:f>'Inputs'!$D$50</x:f>
        <x:v>1</x:v>
      </x:c>
      <x:c r="AO2239" s="81" t="n">
        <x:f>'Inputs'!$E$50</x:f>
        <x:v>0</x:v>
      </x:c>
    </x:row>
    <x:row r="2240">
      <x:c r="A2240" s="59" t="str">
        <x:v>Whale exit</x:v>
      </x:c>
      <x:c r="B2240" s="59" t="n">
        <x:v>47</x:v>
      </x:c>
      <x:c r="C2240" s="78" t="n">
        <x:f>(('Inputs'!$B$29*(3*47*'Inputs'!$B$12-47^2)/(2*'Inputs'!$B$12^2))-('Inputs'!$B$29*(3*46*'Inputs'!$B$12-46^2)/(2*'Inputs'!$B$12^2)))*'Inputs'!$B$50</x:f>
        <x:v>696868.7840120085</x:v>
      </x:c>
      <x:c r="D2240" s="78" t="n">
        <x:f>IF('Inputs'!$C$50&gt;0,('Inputs'!$B$30*(3*47*'Inputs'!$B$12-47^2)/(2*'Inputs'!$B$12^2))-('Inputs'!$B$30*(3*46*'Inputs'!$B$12-46^2)/(2*'Inputs'!$B$12^2)),0)</x:f>
        <x:v>298658.0502908621</x:v>
      </x:c>
      <x:c r="E2240" s="78" t="n">
        <x:f>C2240+D2240</x:f>
        <x:v>995526.8343028706</x:v>
      </x:c>
      <x:c r="F2240" s="78" t="n">
        <x:f>'Inputs'!$B$13*E2240+(1-'Inputs'!$B$13)/'Inputs'!$B$14*SUM(E2194:E2240)</x:f>
        <x:v>874702.8054043907</x:v>
      </x:c>
      <x:c r="G2240" s="78" t="n">
        <x:f>F2240*'Inputs'!$F$50</x:f>
        <x:v>437351.40270219534</x:v>
      </x:c>
      <x:c r="H2240" s="78" t="n">
        <x:f>U2239</x:f>
        <x:v>20937609.236666817</x:v>
      </x:c>
      <x:c r="I2240" s="78" t="n">
        <x:f>V2239</x:f>
        <x:v>1374.954185189524</x:v>
      </x:c>
      <x:c r="J2240" s="79" t="n">
        <x:f>IF(H2240&gt;0,I2240/H2240,0)</x:f>
        <x:v>0.00006566911100727043</x:v>
      </x:c>
      <x:c r="K2240" s="80" t="n">
        <x:f>(H2240*J2240+I2240)*'Inputs'!$D$50*(1+'Inputs'!$G$50)^(B2240/30)</x:f>
        <x:v>2749.908370379048</x:v>
      </x:c>
      <x:c r="L2240" s="80" t="n">
        <x:f>MAX(0,K2240*'Inputs'!$E$50)</x:f>
        <x:v>0</x:v>
      </x:c>
      <x:c r="M2240" s="80" t="n">
        <x:f>MAX(0,-K2240*'Inputs'!$E$50)</x:f>
        <x:v>0</x:v>
      </x:c>
      <x:c r="N2240" s="78" t="n">
        <x:f>H2240*(L2240*(1-'Inputs'!$B$15))/(I2240+L2240*(1-'Inputs'!$B$15))</x:f>
        <x:v>0</x:v>
      </x:c>
      <x:c r="O2240" s="78" t="n">
        <x:f>H2240-N2240</x:f>
        <x:v>20937609.236666817</x:v>
      </x:c>
      <x:c r="P2240" s="78" t="n">
        <x:f>I2240+L2240*(1-'Inputs'!$B$17)</x:f>
        <x:v>1374.954185189524</x:v>
      </x:c>
      <x:c r="Q2240" s="78" t="n">
        <x:f>IF(J2240&gt;0,M2240/J2240,0)</x:f>
        <x:v>0</x:v>
      </x:c>
      <x:c r="R2240" s="78" t="n">
        <x:f>IF(B2240='Inputs'!$H$50,'Inputs'!$B$27*'Inputs'!$I$50,0)</x:f>
        <x:v>0</x:v>
      </x:c>
      <x:c r="S2240" s="78" t="n">
        <x:f>Q2240+G2240+R2240</x:f>
        <x:v>437351.40270219534</x:v>
      </x:c>
      <x:c r="T2240" s="78" t="n">
        <x:f>P2240*(S2240*(1-'Inputs'!$B$15))/(O2240+S2240*(1-'Inputs'!$B$15))</x:f>
        <x:v>27.857201893273984</x:v>
      </x:c>
      <x:c r="U2240" s="78" t="n">
        <x:f>O2240+S2240*(1-'Inputs'!$B$17)</x:f>
        <x:v>21373200.673965786</x:v>
      </x:c>
      <x:c r="V2240" s="78" t="n">
        <x:f>P2240-T2240</x:f>
        <x:v>1347.09698329625</x:v>
      </x:c>
      <x:c r="W2240" s="79" t="n">
        <x:f>IF(U2240&gt;0,V2240/U2240,0)</x:f>
        <x:v>0.00006302738667199801</x:v>
      </x:c>
      <x:c r="X2240" s="80" t="n">
        <x:f>W2240*('Inputs'!$B$6-AC2240)</x:f>
        <x:v>62883.86069222797</x:v>
      </x:c>
      <x:c r="Y2240" s="80" t="n">
        <x:f>2*V2240</x:f>
        <x:v>2694.1939665925</x:v>
      </x:c>
      <x:c r="Z2240" s="80" t="n">
        <x:f>K2240*'Inputs'!$B$16+(G2240+R2240)*J2240*'Inputs'!$B$16</x:f>
        <x:v>16.671773089153703</x:v>
      </x:c>
      <x:c r="AA2240" s="80" t="n">
        <x:f>K2240*(1+'Inputs'!$E$50)/2*'Inputs'!$B$17</x:f>
        <x:v>5.533014829736516</x:v>
      </x:c>
      <x:c r="AB2240" s="78" t="n">
        <x:f>(IF(J2240&gt;0,K2240*(1-'Inputs'!$E$50)/2/J2240,0)+G2240+R2240)*'Inputs'!$B$17</x:f>
        <x:v>86015.93818659562</x:v>
      </x:c>
      <x:c r="AC2240" s="78" t="n">
        <x:f>AC2239+AB2240</x:f>
        <x:v>2277200.2354622297</x:v>
      </x:c>
      <x:c r="AD2240" s="80" t="n">
        <x:f>Z2240/(1+'Inputs'!$C$50)</x:f>
        <x:v>8.335886544576852</x:v>
      </x:c>
      <x:c r="AE2240" s="80" t="n">
        <x:f>Z2240-AD2240</x:f>
        <x:v>8.335886544576852</x:v>
      </x:c>
      <x:c r="AF2240" s="80" t="n">
        <x:f>D2240*W2240</x:f>
        <x:v>18.823636418387196</x:v>
      </x:c>
      <x:c r="AG2240" s="80" t="n">
        <x:f>C2240*W2240</x:f>
        <x:v>43.92181830956992</x:v>
      </x:c>
      <x:c r="AH2240" s="80" t="n">
        <x:f>2*'Inputs'!$B$8*'Inputs'!$C$50</x:f>
        <x:v>5000</x:v>
      </x:c>
      <x:c r="AI2240" s="81" t="n">
        <x:f>IF(AH2240&gt;0,(AE2240+AF2240)/AH2240*365,0)</x:f>
        <x:v>1.9826451762963755</x:v>
      </x:c>
      <x:c r="AJ2240" s="81" t="n">
        <x:f>IF('Inputs'!$B$50&gt;0,AG2240/('Inputs'!$B$19*'Inputs'!$B$50)*365,0)</x:f>
        <x:v>1.603146368299302</x:v>
      </x:c>
      <x:c r="AK2240" s="81" t="n">
        <x:f>W2240/MAX($W$2194:W2240)-1</x:f>
        <x:v>-0.9252153422549283</x:v>
      </x:c>
      <x:c r="AL2240" s="83" t="n">
        <x:f>'Inputs'!$B$50</x:f>
        <x:v>1</x:v>
      </x:c>
      <x:c r="AM2240" s="83" t="n">
        <x:f>'Inputs'!$C$50</x:f>
        <x:v>1</x:v>
      </x:c>
      <x:c r="AN2240" s="83" t="n">
        <x:f>'Inputs'!$D$50</x:f>
        <x:v>1</x:v>
      </x:c>
      <x:c r="AO2240" s="81" t="n">
        <x:f>'Inputs'!$E$50</x:f>
        <x:v>0</x:v>
      </x:c>
    </x:row>
    <x:row r="2241">
      <x:c r="A2241" s="59" t="str">
        <x:v>Whale exit</x:v>
      </x:c>
      <x:c r="B2241" s="59" t="n">
        <x:v>48</x:v>
      </x:c>
      <x:c r="C2241" s="78" t="n">
        <x:f>(('Inputs'!$B$29*(3*48*'Inputs'!$B$12-48^2)/(2*'Inputs'!$B$12^2))-('Inputs'!$B$29*(3*47*'Inputs'!$B$12-47^2)/(2*'Inputs'!$B$12^2)))*'Inputs'!$B$50</x:f>
        <x:v>696543.6761118434</x:v>
      </x:c>
      <x:c r="D2241" s="78" t="n">
        <x:f>IF('Inputs'!$C$50&gt;0,('Inputs'!$B$30*(3*48*'Inputs'!$B$12-48^2)/(2*'Inputs'!$B$12^2))-('Inputs'!$B$30*(3*47*'Inputs'!$B$12-47^2)/(2*'Inputs'!$B$12^2)),0)</x:f>
        <x:v>298518.71833364666</x:v>
      </x:c>
      <x:c r="E2241" s="78" t="n">
        <x:f>C2241+D2241</x:f>
        <x:v>995062.3944454901</x:v>
      </x:c>
      <x:c r="F2241" s="78" t="n">
        <x:f>'Inputs'!$B$13*E2241+(1-'Inputs'!$B$13)/'Inputs'!$B$14*SUM(E2194:E2241)</x:f>
        <x:v>888825.0944964217</x:v>
      </x:c>
      <x:c r="G2241" s="78" t="n">
        <x:f>F2241*'Inputs'!$F$50</x:f>
        <x:v>444412.5472482109</x:v>
      </x:c>
      <x:c r="H2241" s="78" t="n">
        <x:f>U2240</x:f>
        <x:v>21373200.673965786</x:v>
      </x:c>
      <x:c r="I2241" s="78" t="n">
        <x:f>V2240</x:f>
        <x:v>1347.09698329625</x:v>
      </x:c>
      <x:c r="J2241" s="79" t="n">
        <x:f>IF(H2241&gt;0,I2241/H2241,0)</x:f>
        <x:v>0.00006302738667199801</x:v>
      </x:c>
      <x:c r="K2241" s="80" t="n">
        <x:f>(H2241*J2241+I2241)*'Inputs'!$D$50*(1+'Inputs'!$G$50)^(B2241/30)</x:f>
        <x:v>2694.1939665925</x:v>
      </x:c>
      <x:c r="L2241" s="80" t="n">
        <x:f>MAX(0,K2241*'Inputs'!$E$50)</x:f>
        <x:v>0</x:v>
      </x:c>
      <x:c r="M2241" s="80" t="n">
        <x:f>MAX(0,-K2241*'Inputs'!$E$50)</x:f>
        <x:v>0</x:v>
      </x:c>
      <x:c r="N2241" s="78" t="n">
        <x:f>H2241*(L2241*(1-'Inputs'!$B$15))/(I2241+L2241*(1-'Inputs'!$B$15))</x:f>
        <x:v>0</x:v>
      </x:c>
      <x:c r="O2241" s="78" t="n">
        <x:f>H2241-N2241</x:f>
        <x:v>21373200.673965786</x:v>
      </x:c>
      <x:c r="P2241" s="78" t="n">
        <x:f>I2241+L2241*(1-'Inputs'!$B$17)</x:f>
        <x:v>1347.09698329625</x:v>
      </x:c>
      <x:c r="Q2241" s="78" t="n">
        <x:f>IF(J2241&gt;0,M2241/J2241,0)</x:f>
        <x:v>0</x:v>
      </x:c>
      <x:c r="R2241" s="78" t="n">
        <x:f>IF(B2241='Inputs'!$H$50,'Inputs'!$B$27*'Inputs'!$I$50,0)</x:f>
        <x:v>0</x:v>
      </x:c>
      <x:c r="S2241" s="78" t="n">
        <x:f>Q2241+G2241+R2241</x:f>
        <x:v>444412.5472482109</x:v>
      </x:c>
      <x:c r="T2241" s="78" t="n">
        <x:f>P2241*(S2241*(1-'Inputs'!$B$15))/(O2241+S2241*(1-'Inputs'!$B$15))</x:f>
        <x:v>27.170748602292853</x:v>
      </x:c>
      <x:c r="U2241" s="78" t="n">
        <x:f>O2241+S2241*(1-'Inputs'!$B$17)</x:f>
        <x:v>21815824.840742175</x:v>
      </x:c>
      <x:c r="V2241" s="78" t="n">
        <x:f>P2241-T2241</x:f>
        <x:v>1319.9262346939572</x:v>
      </x:c>
      <x:c r="W2241" s="79" t="n">
        <x:f>IF(U2241&gt;0,V2241/U2241,0)</x:f>
        <x:v>0.00006050315513300818</x:v>
      </x:c>
      <x:c r="X2241" s="80" t="n">
        <x:f>W2241*('Inputs'!$B$6-AC2241)</x:f>
        <x:v>60360.06532408481</x:v>
      </x:c>
      <x:c r="Y2241" s="80" t="n">
        <x:f>2*V2241</x:f>
        <x:v>2639.8524693879144</x:v>
      </x:c>
      <x:c r="Z2241" s="80" t="n">
        <x:f>K2241*'Inputs'!$B$16+(G2241+R2241)*J2241*'Inputs'!$B$16</x:f>
        <x:v>16.333224768298802</x:v>
      </x:c>
      <x:c r="AA2241" s="80" t="n">
        <x:f>K2241*(1+'Inputs'!$E$50)/2*'Inputs'!$B$17</x:f>
        <x:v>5.4209134136670025</x:v>
      </x:c>
      <x:c r="AB2241" s="78" t="n">
        <x:f>(IF(J2241&gt;0,K2241*(1-'Inputs'!$E$50)/2/J2241,0)+G2241+R2241)*'Inputs'!$B$17</x:f>
        <x:v>87797.23630267203</x:v>
      </x:c>
      <x:c r="AC2241" s="78" t="n">
        <x:f>AC2240+AB2241</x:f>
        <x:v>2364997.4717649017</x:v>
      </x:c>
      <x:c r="AD2241" s="80" t="n">
        <x:f>Z2241/(1+'Inputs'!$C$50)</x:f>
        <x:v>8.166612384149401</x:v>
      </x:c>
      <x:c r="AE2241" s="80" t="n">
        <x:f>Z2241-AD2241</x:f>
        <x:v>8.166612384149401</x:v>
      </x:c>
      <x:c r="AF2241" s="80" t="n">
        <x:f>D2241*W2241</x:f>
        <x:v>18.061324325447398</x:v>
      </x:c>
      <x:c r="AG2241" s="80" t="n">
        <x:f>C2241*W2241</x:f>
        <x:v>42.143090092710665</x:v>
      </x:c>
      <x:c r="AH2241" s="80" t="n">
        <x:f>2*'Inputs'!$B$8*'Inputs'!$C$50</x:f>
        <x:v>5000</x:v>
      </x:c>
      <x:c r="AI2241" s="81" t="n">
        <x:f>IF(AH2241&gt;0,(AE2241+AF2241)/AH2241*365,0)</x:f>
        <x:v>1.9146393798005663</x:v>
      </x:c>
      <x:c r="AJ2241" s="81" t="n">
        <x:f>IF('Inputs'!$B$50&gt;0,AG2241/('Inputs'!$B$19*'Inputs'!$B$50)*365,0)</x:f>
        <x:v>1.5382227883839394</x:v>
      </x:c>
      <x:c r="AK2241" s="81" t="n">
        <x:f>W2241/MAX($W$2194:W2241)-1</x:f>
        <x:v>-0.9282104496468161</x:v>
      </x:c>
      <x:c r="AL2241" s="83" t="n">
        <x:f>'Inputs'!$B$50</x:f>
        <x:v>1</x:v>
      </x:c>
      <x:c r="AM2241" s="83" t="n">
        <x:f>'Inputs'!$C$50</x:f>
        <x:v>1</x:v>
      </x:c>
      <x:c r="AN2241" s="83" t="n">
        <x:f>'Inputs'!$D$50</x:f>
        <x:v>1</x:v>
      </x:c>
      <x:c r="AO2241" s="81" t="n">
        <x:f>'Inputs'!$E$50</x:f>
        <x:v>0</x:v>
      </x:c>
    </x:row>
    <x:row r="2242">
      <x:c r="A2242" s="59" t="str">
        <x:v>Whale exit</x:v>
      </x:c>
      <x:c r="B2242" s="59" t="n">
        <x:v>49</x:v>
      </x:c>
      <x:c r="C2242" s="78" t="n">
        <x:f>(('Inputs'!$B$29*(3*49*'Inputs'!$B$12-49^2)/(2*'Inputs'!$B$12^2))-('Inputs'!$B$29*(3*48*'Inputs'!$B$12-48^2)/(2*'Inputs'!$B$12^2)))*'Inputs'!$B$50</x:f>
        <x:v>696218.5682116672</x:v>
      </x:c>
      <x:c r="D2242" s="78" t="n">
        <x:f>IF('Inputs'!$C$50&gt;0,('Inputs'!$B$30*(3*49*'Inputs'!$B$12-49^2)/(2*'Inputs'!$B$12^2))-('Inputs'!$B$30*(3*48*'Inputs'!$B$12-48^2)/(2*'Inputs'!$B$12^2)),0)</x:f>
        <x:v>298379.3863764312</x:v>
      </x:c>
      <x:c r="E2242" s="78" t="n">
        <x:f>C2242+D2242</x:f>
        <x:v>994597.9545880985</x:v>
      </x:c>
      <x:c r="F2242" s="78" t="n">
        <x:f>'Inputs'!$B$13*E2242+(1-'Inputs'!$B$13)/'Inputs'!$B$14*SUM(E2194:E2242)</x:f>
        <x:v>902940.7487333447</x:v>
      </x:c>
      <x:c r="G2242" s="78" t="n">
        <x:f>F2242*'Inputs'!$F$50</x:f>
        <x:v>451470.37436667236</x:v>
      </x:c>
      <x:c r="H2242" s="78" t="n">
        <x:f>U2241</x:f>
        <x:v>21815824.840742175</x:v>
      </x:c>
      <x:c r="I2242" s="78" t="n">
        <x:f>V2241</x:f>
        <x:v>1319.9262346939572</x:v>
      </x:c>
      <x:c r="J2242" s="79" t="n">
        <x:f>IF(H2242&gt;0,I2242/H2242,0)</x:f>
        <x:v>0.00006050315513300818</x:v>
      </x:c>
      <x:c r="K2242" s="80" t="n">
        <x:f>(H2242*J2242+I2242)*'Inputs'!$D$50*(1+'Inputs'!$G$50)^(B2242/30)</x:f>
        <x:v>2639.8524693879144</x:v>
      </x:c>
      <x:c r="L2242" s="80" t="n">
        <x:f>MAX(0,K2242*'Inputs'!$E$50)</x:f>
        <x:v>0</x:v>
      </x:c>
      <x:c r="M2242" s="80" t="n">
        <x:f>MAX(0,-K2242*'Inputs'!$E$50)</x:f>
        <x:v>0</x:v>
      </x:c>
      <x:c r="N2242" s="78" t="n">
        <x:f>H2242*(L2242*(1-'Inputs'!$B$15))/(I2242+L2242*(1-'Inputs'!$B$15))</x:f>
        <x:v>0</x:v>
      </x:c>
      <x:c r="O2242" s="78" t="n">
        <x:f>H2242-N2242</x:f>
        <x:v>21815824.840742175</x:v>
      </x:c>
      <x:c r="P2242" s="78" t="n">
        <x:f>I2242+L2242*(1-'Inputs'!$B$17)</x:f>
        <x:v>1319.9262346939572</x:v>
      </x:c>
      <x:c r="Q2242" s="78" t="n">
        <x:f>IF(J2242&gt;0,M2242/J2242,0)</x:f>
        <x:v>0</x:v>
      </x:c>
      <x:c r="R2242" s="78" t="n">
        <x:f>IF(B2242='Inputs'!$H$50,'Inputs'!$B$27*'Inputs'!$I$50,0)</x:f>
        <x:v>0</x:v>
      </x:c>
      <x:c r="S2242" s="78" t="n">
        <x:f>Q2242+G2242+R2242</x:f>
        <x:v>451470.37436667236</x:v>
      </x:c>
      <x:c r="T2242" s="78" t="n">
        <x:f>P2242*(S2242*(1-'Inputs'!$B$15))/(O2242+S2242*(1-'Inputs'!$B$15))</x:f>
        <x:v>26.49931867671996</x:v>
      </x:c>
      <x:c r="U2242" s="78" t="n">
        <x:f>O2242+S2242*(1-'Inputs'!$B$17)</x:f>
        <x:v>22265478.432918236</x:v>
      </x:c>
      <x:c r="V2242" s="78" t="n">
        <x:f>P2242-T2242</x:f>
        <x:v>1293.4269160172373</x:v>
      </x:c>
      <x:c r="W2242" s="79" t="n">
        <x:f>IF(U2242&gt;0,V2242/U2242,0)</x:f>
        <x:v>0.000058091135113673535</x:v>
      </x:c>
      <x:c r="X2242" s="80" t="n">
        <x:f>W2242*('Inputs'!$B$6-AC2242)</x:f>
        <x:v>57948.54436400597</x:v>
      </x:c>
      <x:c r="Y2242" s="80" t="n">
        <x:f>2*V2242</x:f>
        <x:v>2586.8538320344746</x:v>
      </x:c>
      <x:c r="Z2242" s="80" t="n">
        <x:f>K2242*'Inputs'!$B$16+(G2242+R2242)*J2242*'Inputs'!$B$16</x:f>
        <x:v>16.00300710891707</x:v>
      </x:c>
      <x:c r="AA2242" s="80" t="n">
        <x:f>K2242*(1+'Inputs'!$E$50)/2*'Inputs'!$B$17</x:f>
        <x:v>5.311574385086347</x:v>
      </x:c>
      <x:c r="AB2242" s="78" t="n">
        <x:f>(IF(J2242&gt;0,K2242*(1-'Inputs'!$E$50)/2/J2242,0)+G2242+R2242)*'Inputs'!$B$17</x:f>
        <x:v>89606.82179118249</x:v>
      </x:c>
      <x:c r="AC2242" s="78" t="n">
        <x:f>AC2241+AB2242</x:f>
        <x:v>2454604.293556084</x:v>
      </x:c>
      <x:c r="AD2242" s="80" t="n">
        <x:f>Z2242/(1+'Inputs'!$C$50)</x:f>
        <x:v>8.001503554458536</x:v>
      </x:c>
      <x:c r="AE2242" s="80" t="n">
        <x:f>Z2242-AD2242</x:f>
        <x:v>8.001503554458536</x:v>
      </x:c>
      <x:c r="AF2242" s="80" t="n">
        <x:f>D2242*W2242</x:f>
        <x:v>17.333197249128265</x:v>
      </x:c>
      <x:c r="AG2242" s="80" t="n">
        <x:f>C2242*W2242</x:f>
        <x:v>40.4441269146323</x:v>
      </x:c>
      <x:c r="AH2242" s="80" t="n">
        <x:f>2*'Inputs'!$B$8*'Inputs'!$C$50</x:f>
        <x:v>5000</x:v>
      </x:c>
      <x:c r="AI2242" s="81" t="n">
        <x:f>IF(AH2242&gt;0,(AE2242+AF2242)/AH2242*365,0)</x:f>
        <x:v>1.8494331586618362</x:v>
      </x:c>
      <x:c r="AJ2242" s="81" t="n">
        <x:f>IF('Inputs'!$B$50&gt;0,AG2242/('Inputs'!$B$19*'Inputs'!$B$50)*365,0)</x:f>
        <x:v>1.4762106323840791</x:v>
      </x:c>
      <x:c r="AK2242" s="81" t="n">
        <x:f>W2242/MAX($W$2194:W2242)-1</x:f>
        <x:v>-0.931072413328714</x:v>
      </x:c>
      <x:c r="AL2242" s="83" t="n">
        <x:f>'Inputs'!$B$50</x:f>
        <x:v>1</x:v>
      </x:c>
      <x:c r="AM2242" s="83" t="n">
        <x:f>'Inputs'!$C$50</x:f>
        <x:v>1</x:v>
      </x:c>
      <x:c r="AN2242" s="83" t="n">
        <x:f>'Inputs'!$D$50</x:f>
        <x:v>1</x:v>
      </x:c>
      <x:c r="AO2242" s="81" t="n">
        <x:f>'Inputs'!$E$50</x:f>
        <x:v>0</x:v>
      </x:c>
    </x:row>
    <x:row r="2243">
      <x:c r="A2243" s="59" t="str">
        <x:v>Whale exit</x:v>
      </x:c>
      <x:c r="B2243" s="59" t="n">
        <x:v>50</x:v>
      </x:c>
      <x:c r="C2243" s="78" t="n">
        <x:f>(('Inputs'!$B$29*(3*50*'Inputs'!$B$12-50^2)/(2*'Inputs'!$B$12^2))-('Inputs'!$B$29*(3*49*'Inputs'!$B$12-49^2)/(2*'Inputs'!$B$12^2)))*'Inputs'!$B$50</x:f>
        <x:v>695893.4603115022</x:v>
      </x:c>
      <x:c r="D2243" s="78" t="n">
        <x:f>IF('Inputs'!$C$50&gt;0,('Inputs'!$B$30*(3*50*'Inputs'!$B$12-50^2)/(2*'Inputs'!$B$12^2))-('Inputs'!$B$30*(3*49*'Inputs'!$B$12-49^2)/(2*'Inputs'!$B$12^2)),0)</x:f>
        <x:v>298240.0544192139</x:v>
      </x:c>
      <x:c r="E2243" s="78" t="n">
        <x:f>C2243+D2243</x:f>
        <x:v>994133.5147307161</x:v>
      </x:c>
      <x:c r="F2243" s="78" t="n">
        <x:f>'Inputs'!$B$13*E2243+(1-'Inputs'!$B$13)/'Inputs'!$B$14*SUM(E2194:E2243)</x:f>
        <x:v>917049.7681151642</x:v>
      </x:c>
      <x:c r="G2243" s="78" t="n">
        <x:f>F2243*'Inputs'!$F$50</x:f>
        <x:v>458524.8840575821</x:v>
      </x:c>
      <x:c r="H2243" s="78" t="n">
        <x:f>U2242</x:f>
        <x:v>22265478.432918236</x:v>
      </x:c>
      <x:c r="I2243" s="78" t="n">
        <x:f>V2242</x:f>
        <x:v>1293.4269160172373</x:v>
      </x:c>
      <x:c r="J2243" s="79" t="n">
        <x:f>IF(H2243&gt;0,I2243/H2243,0)</x:f>
        <x:v>0.000058091135113673535</x:v>
      </x:c>
      <x:c r="K2243" s="80" t="n">
        <x:f>(H2243*J2243+I2243)*'Inputs'!$D$50*(1+'Inputs'!$G$50)^(B2243/30)</x:f>
        <x:v>2586.8538320344746</x:v>
      </x:c>
      <x:c r="L2243" s="80" t="n">
        <x:f>MAX(0,K2243*'Inputs'!$E$50)</x:f>
        <x:v>0</x:v>
      </x:c>
      <x:c r="M2243" s="80" t="n">
        <x:f>MAX(0,-K2243*'Inputs'!$E$50)</x:f>
        <x:v>0</x:v>
      </x:c>
      <x:c r="N2243" s="78" t="n">
        <x:f>H2243*(L2243*(1-'Inputs'!$B$15))/(I2243+L2243*(1-'Inputs'!$B$15))</x:f>
        <x:v>0</x:v>
      </x:c>
      <x:c r="O2243" s="78" t="n">
        <x:f>H2243-N2243</x:f>
        <x:v>22265478.432918236</x:v>
      </x:c>
      <x:c r="P2243" s="78" t="n">
        <x:f>I2243+L2243*(1-'Inputs'!$B$17)</x:f>
        <x:v>1293.4269160172373</x:v>
      </x:c>
      <x:c r="Q2243" s="78" t="n">
        <x:f>IF(J2243&gt;0,M2243/J2243,0)</x:f>
        <x:v>0</x:v>
      </x:c>
      <x:c r="R2243" s="78" t="n">
        <x:f>IF(B2243='Inputs'!$H$50,'Inputs'!$B$27*'Inputs'!$I$50,0)</x:f>
        <x:v>0</x:v>
      </x:c>
      <x:c r="S2243" s="78" t="n">
        <x:f>Q2243+G2243+R2243</x:f>
        <x:v>458524.8840575821</x:v>
      </x:c>
      <x:c r="T2243" s="78" t="n">
        <x:f>P2243*(S2243*(1-'Inputs'!$B$15))/(O2243+S2243*(1-'Inputs'!$B$15))</x:f>
        <x:v>25.842992134565403</x:v>
      </x:c>
      <x:c r="U2243" s="78" t="n">
        <x:f>O2243+S2243*(1-'Inputs'!$B$17)</x:f>
        <x:v>22722158.14641623</x:v>
      </x:c>
      <x:c r="V2243" s="78" t="n">
        <x:f>P2243-T2243</x:f>
        <x:v>1267.583923882672</x:v>
      </x:c>
      <x:c r="W2243" s="79" t="n">
        <x:f>IF(U2243&gt;0,V2243/U2243,0)</x:f>
        <x:v>0.000055786246874731715</x:v>
      </x:c>
      <x:c r="X2243" s="80" t="n">
        <x:f>W2243*('Inputs'!$B$6-AC2243)</x:f>
        <x:v>55644.212358062105</x:v>
      </x:c>
      <x:c r="Y2243" s="80" t="n">
        <x:f>2*V2243</x:f>
        <x:v>2535.167847765344</x:v>
      </x:c>
      <x:c r="Z2243" s="80" t="n">
        <x:f>K2243*'Inputs'!$B$16+(G2243+R2243)*J2243*'Inputs'!$B$16</x:f>
        <x:v>15.680940378163472</x:v>
      </x:c>
      <x:c r="AA2243" s="80" t="n">
        <x:f>K2243*(1+'Inputs'!$E$50)/2*'Inputs'!$B$17</x:f>
        <x:v>5.204937287795724</x:v>
      </x:c>
      <x:c r="AB2243" s="78" t="n">
        <x:f>(IF(J2243&gt;0,K2243*(1-'Inputs'!$E$50)/2/J2243,0)+G2243+R2243)*'Inputs'!$B$17</x:f>
        <x:v>91444.68135603951</x:v>
      </x:c>
      <x:c r="AC2243" s="78" t="n">
        <x:f>AC2242+AB2243</x:f>
        <x:v>2546048.9749121233</x:v>
      </x:c>
      <x:c r="AD2243" s="80" t="n">
        <x:f>Z2243/(1+'Inputs'!$C$50)</x:f>
        <x:v>7.840470189081736</x:v>
      </x:c>
      <x:c r="AE2243" s="80" t="n">
        <x:f>Z2243-AD2243</x:f>
        <x:v>7.840470189081736</x:v>
      </x:c>
      <x:c r="AF2243" s="80" t="n">
        <x:f>D2243*W2243</x:f>
        <x:v>16.637693303763687</x:v>
      </x:c>
      <x:c r="AG2243" s="80" t="n">
        <x:f>C2243*W2243</x:f>
        <x:v>38.821284375448776</x:v>
      </x:c>
      <x:c r="AH2243" s="80" t="n">
        <x:f>2*'Inputs'!$B$8*'Inputs'!$C$50</x:f>
        <x:v>5000</x:v>
      </x:c>
      <x:c r="AI2243" s="81" t="n">
        <x:f>IF(AH2243&gt;0,(AE2243+AF2243)/AH2243*365,0)</x:f>
        <x:v>1.7869059349777157</x:v>
      </x:c>
      <x:c r="AJ2243" s="81" t="n">
        <x:f>IF('Inputs'!$B$50&gt;0,AG2243/('Inputs'!$B$19*'Inputs'!$B$50)*365,0)</x:f>
        <x:v>1.4169768797038804</x:v>
      </x:c>
      <x:c r="AK2243" s="81" t="n">
        <x:f>W2243/MAX($W$2194:W2243)-1</x:f>
        <x:v>-0.9338072606259207</x:v>
      </x:c>
      <x:c r="AL2243" s="83" t="n">
        <x:f>'Inputs'!$B$50</x:f>
        <x:v>1</x:v>
      </x:c>
      <x:c r="AM2243" s="83" t="n">
        <x:f>'Inputs'!$C$50</x:f>
        <x:v>1</x:v>
      </x:c>
      <x:c r="AN2243" s="83" t="n">
        <x:f>'Inputs'!$D$50</x:f>
        <x:v>1</x:v>
      </x:c>
      <x:c r="AO2243" s="81" t="n">
        <x:f>'Inputs'!$E$50</x:f>
        <x:v>0</x:v>
      </x:c>
    </x:row>
    <x:row r="2244">
      <x:c r="A2244" s="59" t="str">
        <x:v>Whale exit</x:v>
      </x:c>
      <x:c r="B2244" s="59" t="n">
        <x:v>51</x:v>
      </x:c>
      <x:c r="C2244" s="78" t="n">
        <x:f>(('Inputs'!$B$29*(3*51*'Inputs'!$B$12-51^2)/(2*'Inputs'!$B$12^2))-('Inputs'!$B$29*(3*50*'Inputs'!$B$12-50^2)/(2*'Inputs'!$B$12^2)))*'Inputs'!$B$50</x:f>
        <x:v>695568.3524113372</x:v>
      </x:c>
      <x:c r="D2244" s="78" t="n">
        <x:f>IF('Inputs'!$C$50&gt;0,('Inputs'!$B$30*(3*51*'Inputs'!$B$12-51^2)/(2*'Inputs'!$B$12^2))-('Inputs'!$B$30*(3*50*'Inputs'!$B$12-50^2)/(2*'Inputs'!$B$12^2)),0)</x:f>
        <x:v>298100.7224620003</x:v>
      </x:c>
      <x:c r="E2244" s="78" t="n">
        <x:f>C2244+D2244</x:f>
        <x:v>993669.0748733375</x:v>
      </x:c>
      <x:c r="F2244" s="78" t="n">
        <x:f>'Inputs'!$B$13*E2244+(1-'Inputs'!$B$13)/'Inputs'!$B$14*SUM(E2194:E2244)</x:f>
        <x:v>931152.152641879</x:v>
      </x:c>
      <x:c r="G2244" s="78" t="n">
        <x:f>F2244*'Inputs'!$F$50</x:f>
        <x:v>465576.0763209395</x:v>
      </x:c>
      <x:c r="H2244" s="78" t="n">
        <x:f>U2243</x:f>
        <x:v>22722158.14641623</x:v>
      </x:c>
      <x:c r="I2244" s="78" t="n">
        <x:f>V2243</x:f>
        <x:v>1267.583923882672</x:v>
      </x:c>
      <x:c r="J2244" s="79" t="n">
        <x:f>IF(H2244&gt;0,I2244/H2244,0)</x:f>
        <x:v>0.000055786246874731715</x:v>
      </x:c>
      <x:c r="K2244" s="80" t="n">
        <x:f>(H2244*J2244+I2244)*'Inputs'!$D$50*(1+'Inputs'!$G$50)^(B2244/30)</x:f>
        <x:v>2535.167847765344</x:v>
      </x:c>
      <x:c r="L2244" s="80" t="n">
        <x:f>MAX(0,K2244*'Inputs'!$E$50)</x:f>
        <x:v>0</x:v>
      </x:c>
      <x:c r="M2244" s="80" t="n">
        <x:f>MAX(0,-K2244*'Inputs'!$E$50)</x:f>
        <x:v>0</x:v>
      </x:c>
      <x:c r="N2244" s="78" t="n">
        <x:f>H2244*(L2244*(1-'Inputs'!$B$15))/(I2244+L2244*(1-'Inputs'!$B$15))</x:f>
        <x:v>0</x:v>
      </x:c>
      <x:c r="O2244" s="78" t="n">
        <x:f>H2244-N2244</x:f>
        <x:v>22722158.14641623</x:v>
      </x:c>
      <x:c r="P2244" s="78" t="n">
        <x:f>I2244+L2244*(1-'Inputs'!$B$17)</x:f>
        <x:v>1267.583923882672</x:v>
      </x:c>
      <x:c r="Q2244" s="78" t="n">
        <x:f>IF(J2244&gt;0,M2244/J2244,0)</x:f>
        <x:v>0</x:v>
      </x:c>
      <x:c r="R2244" s="78" t="n">
        <x:f>IF(B2244='Inputs'!$H$50,'Inputs'!$B$27*'Inputs'!$I$50,0)</x:f>
        <x:v>0</x:v>
      </x:c>
      <x:c r="S2244" s="78" t="n">
        <x:f>Q2244+G2244+R2244</x:f>
        <x:v>465576.0763209395</x:v>
      </x:c>
      <x:c r="T2244" s="78" t="n">
        <x:f>P2244*(S2244*(1-'Inputs'!$B$15))/(O2244+S2244*(1-'Inputs'!$B$15))</x:f>
        <x:v>25.201794625775495</x:v>
      </x:c>
      <x:c r="U2244" s="78" t="n">
        <x:f>O2244+S2244*(1-'Inputs'!$B$17)</x:f>
        <x:v>23185860.67715841</x:v>
      </x:c>
      <x:c r="V2244" s="78" t="n">
        <x:f>P2244-T2244</x:f>
        <x:v>1242.3821292568966</x:v>
      </x:c>
      <x:c r="W2244" s="79" t="n">
        <x:f>IF(U2244&gt;0,V2244/U2244,0)</x:f>
        <x:v>0.00005358361057007607</x:v>
      </x:c>
      <x:c r="X2244" s="80" t="n">
        <x:f>W2244*('Inputs'!$B$6-AC2244)</x:f>
        <x:v>53442.184143651706</x:v>
      </x:c>
      <x:c r="Y2244" s="80" t="n">
        <x:f>2*V2244</x:f>
        <x:v>2484.7642585137933</x:v>
      </x:c>
      <x:c r="Z2244" s="80" t="n">
        <x:f>K2244*'Inputs'!$B$16+(G2244+R2244)*J2244*'Inputs'!$B$16</x:f>
        <x:v>15.36684353818772</x:v>
      </x:c>
      <x:c r="AA2244" s="80" t="n">
        <x:f>K2244*(1+'Inputs'!$E$50)/2*'Inputs'!$B$17</x:f>
        <x:v>5.100941343592242</x:v>
      </x:c>
      <x:c r="AB2244" s="78" t="n">
        <x:f>(IF(J2244&gt;0,K2244*(1-'Inputs'!$E$50)/2/J2244,0)+G2244+R2244)*'Inputs'!$B$17</x:f>
        <x:v>93310.80170115561</x:v>
      </x:c>
      <x:c r="AC2244" s="78" t="n">
        <x:f>AC2243+AB2244</x:f>
        <x:v>2639359.776613279</x:v>
      </x:c>
      <x:c r="AD2244" s="80" t="n">
        <x:f>Z2244/(1+'Inputs'!$C$50)</x:f>
        <x:v>7.68342176909386</x:v>
      </x:c>
      <x:c r="AE2244" s="80" t="n">
        <x:f>Z2244-AD2244</x:f>
        <x:v>7.68342176909386</x:v>
      </x:c>
      <x:c r="AF2244" s="80" t="n">
        <x:f>D2244*W2244</x:f>
        <x:v>15.973313023062154</x:v>
      </x:c>
      <x:c r="AG2244" s="80" t="n">
        <x:f>C2244*W2244</x:f>
        <x:v>37.27106372047852</x:v>
      </x:c>
      <x:c r="AH2244" s="80" t="n">
        <x:f>2*'Inputs'!$B$8*'Inputs'!$C$50</x:f>
        <x:v>5000</x:v>
      </x:c>
      <x:c r="AI2244" s="81" t="n">
        <x:f>IF(AH2244&gt;0,(AE2244+AF2244)/AH2244*365,0)</x:f>
        <x:v>1.7269416398273891</x:v>
      </x:c>
      <x:c r="AJ2244" s="81" t="n">
        <x:f>IF('Inputs'!$B$50&gt;0,AG2244/('Inputs'!$B$19*'Inputs'!$B$50)*365,0)</x:f>
        <x:v>1.360393825797466</x:v>
      </x:c>
      <x:c r="AK2244" s="81" t="n">
        <x:f>W2244/MAX($W$2194:W2244)-1</x:f>
        <x:v>-0.9364207816820574</x:v>
      </x:c>
      <x:c r="AL2244" s="83" t="n">
        <x:f>'Inputs'!$B$50</x:f>
        <x:v>1</x:v>
      </x:c>
      <x:c r="AM2244" s="83" t="n">
        <x:f>'Inputs'!$C$50</x:f>
        <x:v>1</x:v>
      </x:c>
      <x:c r="AN2244" s="83" t="n">
        <x:f>'Inputs'!$D$50</x:f>
        <x:v>1</x:v>
      </x:c>
      <x:c r="AO2244" s="81" t="n">
        <x:f>'Inputs'!$E$50</x:f>
        <x:v>0</x:v>
      </x:c>
    </x:row>
    <x:row r="2245">
      <x:c r="A2245" s="59" t="str">
        <x:v>Whale exit</x:v>
      </x:c>
      <x:c r="B2245" s="59" t="n">
        <x:v>52</x:v>
      </x:c>
      <x:c r="C2245" s="78" t="n">
        <x:f>(('Inputs'!$B$29*(3*52*'Inputs'!$B$12-52^2)/(2*'Inputs'!$B$12^2))-('Inputs'!$B$29*(3*51*'Inputs'!$B$12-51^2)/(2*'Inputs'!$B$12^2)))*'Inputs'!$B$50</x:f>
        <x:v>695243.2445111647</x:v>
      </x:c>
      <x:c r="D2245" s="78" t="n">
        <x:f>IF('Inputs'!$C$50&gt;0,('Inputs'!$B$30*(3*52*'Inputs'!$B$12-52^2)/(2*'Inputs'!$B$12^2))-('Inputs'!$B$30*(3*51*'Inputs'!$B$12-51^2)/(2*'Inputs'!$B$12^2)),0)</x:f>
        <x:v>297961.39050478674</x:v>
      </x:c>
      <x:c r="E2245" s="78" t="n">
        <x:f>C2245+D2245</x:f>
        <x:v>993204.6350159515</x:v>
      </x:c>
      <x:c r="F2245" s="78" t="n">
        <x:f>'Inputs'!$B$13*E2245+(1-'Inputs'!$B$13)/'Inputs'!$B$14*SUM(E2194:E2245)</x:f>
        <x:v>945247.9023134868</x:v>
      </x:c>
      <x:c r="G2245" s="78" t="n">
        <x:f>F2245*'Inputs'!$F$50</x:f>
        <x:v>472623.9511567434</x:v>
      </x:c>
      <x:c r="H2245" s="78" t="n">
        <x:f>U2244</x:f>
        <x:v>23185860.67715841</x:v>
      </x:c>
      <x:c r="I2245" s="78" t="n">
        <x:f>V2244</x:f>
        <x:v>1242.3821292568966</x:v>
      </x:c>
      <x:c r="J2245" s="79" t="n">
        <x:f>IF(H2245&gt;0,I2245/H2245,0)</x:f>
        <x:v>0.00005358361057007607</x:v>
      </x:c>
      <x:c r="K2245" s="80" t="n">
        <x:f>(H2245*J2245+I2245)*'Inputs'!$D$50*(1+'Inputs'!$G$50)^(B2245/30)</x:f>
        <x:v>2484.7642585137933</x:v>
      </x:c>
      <x:c r="L2245" s="80" t="n">
        <x:f>MAX(0,K2245*'Inputs'!$E$50)</x:f>
        <x:v>0</x:v>
      </x:c>
      <x:c r="M2245" s="80" t="n">
        <x:f>MAX(0,-K2245*'Inputs'!$E$50)</x:f>
        <x:v>0</x:v>
      </x:c>
      <x:c r="N2245" s="78" t="n">
        <x:f>H2245*(L2245*(1-'Inputs'!$B$15))/(I2245+L2245*(1-'Inputs'!$B$15))</x:f>
        <x:v>0</x:v>
      </x:c>
      <x:c r="O2245" s="78" t="n">
        <x:f>H2245-N2245</x:f>
        <x:v>23185860.67715841</x:v>
      </x:c>
      <x:c r="P2245" s="78" t="n">
        <x:f>I2245+L2245*(1-'Inputs'!$B$17)</x:f>
        <x:v>1242.3821292568966</x:v>
      </x:c>
      <x:c r="Q2245" s="78" t="n">
        <x:f>IF(J2245&gt;0,M2245/J2245,0)</x:f>
        <x:v>0</x:v>
      </x:c>
      <x:c r="R2245" s="78" t="n">
        <x:f>IF(B2245='Inputs'!$H$50,'Inputs'!$B$27*'Inputs'!$I$50,0)</x:f>
        <x:v>0</x:v>
      </x:c>
      <x:c r="S2245" s="78" t="n">
        <x:f>Q2245+G2245+R2245</x:f>
        <x:v>472623.9511567434</x:v>
      </x:c>
      <x:c r="T2245" s="78" t="n">
        <x:f>P2245*(S2245*(1-'Inputs'!$B$15))/(O2245+S2245*(1-'Inputs'!$B$15))</x:f>
        <x:v>24.575703603336155</x:v>
      </x:c>
      <x:c r="U2245" s="78" t="n">
        <x:f>O2245+S2245*(1-'Inputs'!$B$17)</x:f>
        <x:v>23656582.72106704</x:v>
      </x:c>
      <x:c r="V2245" s="78" t="n">
        <x:f>P2245-T2245</x:f>
        <x:v>1217.8064256535604</x:v>
      </x:c>
      <x:c r="W2245" s="79" t="n">
        <x:f>IF(U2245&gt;0,V2245/U2245,0)</x:f>
        <x:v>0.00005147854362621275</x:v>
      </x:c>
      <x:c r="X2245" s="80" t="n">
        <x:f>W2245*('Inputs'!$B$6-AC2245)</x:f>
        <x:v>51337.772205333975</x:v>
      </x:c>
      <x:c r="Y2245" s="80" t="n">
        <x:f>2*V2245</x:f>
        <x:v>2435.6128513071208</x:v>
      </x:c>
      <x:c r="Z2245" s="80" t="n">
        <x:f>K2245*'Inputs'!$B$16+(G2245+R2245)*J2245*'Inputs'!$B$16</x:f>
        <x:v>15.060534937552001</x:v>
      </x:c>
      <x:c r="AA2245" s="80" t="n">
        <x:f>K2245*(1+'Inputs'!$E$50)/2*'Inputs'!$B$17</x:f>
        <x:v>4.99952567105391</x:v>
      </x:c>
      <x:c r="AB2245" s="78" t="n">
        <x:f>(IF(J2245&gt;0,K2245*(1-'Inputs'!$E$50)/2/J2245,0)+G2245+R2245)*'Inputs'!$B$17</x:f>
        <x:v>95205.16953044328</x:v>
      </x:c>
      <x:c r="AC2245" s="78" t="n">
        <x:f>AC2244+AB2245</x:f>
        <x:v>2734564.946143722</x:v>
      </x:c>
      <x:c r="AD2245" s="80" t="n">
        <x:f>Z2245/(1+'Inputs'!$C$50)</x:f>
        <x:v>7.5302674687760005</x:v>
      </x:c>
      <x:c r="AE2245" s="80" t="n">
        <x:f>Z2245-AD2245</x:f>
        <x:v>7.5302674687760005</x:v>
      </x:c>
      <x:c r="AF2245" s="80" t="n">
        <x:f>D2245*W2245</x:f>
        <x:v>15.338618440027677</x:v>
      </x:c>
      <x:c r="AG2245" s="80" t="n">
        <x:f>C2245*W2245</x:f>
        <x:v>35.79010969339769</x:v>
      </x:c>
      <x:c r="AH2245" s="80" t="n">
        <x:f>2*'Inputs'!$B$8*'Inputs'!$C$50</x:f>
        <x:v>5000</x:v>
      </x:c>
      <x:c r="AI2245" s="81" t="n">
        <x:f>IF(AH2245&gt;0,(AE2245+AF2245)/AH2245*365,0)</x:f>
        <x:v>1.6694286713426683</x:v>
      </x:c>
      <x:c r="AJ2245" s="81" t="n">
        <x:f>IF('Inputs'!$B$50&gt;0,AG2245/('Inputs'!$B$19*'Inputs'!$B$50)*365,0)</x:f>
        <x:v>1.3063390038090157</x:v>
      </x:c>
      <x:c r="AK2245" s="81" t="n">
        <x:f>W2245/MAX($W$2194:W2245)-1</x:f>
        <x:v>-0.9389185325684546</x:v>
      </x:c>
      <x:c r="AL2245" s="83" t="n">
        <x:f>'Inputs'!$B$50</x:f>
        <x:v>1</x:v>
      </x:c>
      <x:c r="AM2245" s="83" t="n">
        <x:f>'Inputs'!$C$50</x:f>
        <x:v>1</x:v>
      </x:c>
      <x:c r="AN2245" s="83" t="n">
        <x:f>'Inputs'!$D$50</x:f>
        <x:v>1</x:v>
      </x:c>
      <x:c r="AO2245" s="81" t="n">
        <x:f>'Inputs'!$E$50</x:f>
        <x:v>0</x:v>
      </x:c>
    </x:row>
    <x:row r="2246">
      <x:c r="A2246" s="59" t="str">
        <x:v>Whale exit</x:v>
      </x:c>
      <x:c r="B2246" s="59" t="n">
        <x:v>53</x:v>
      </x:c>
      <x:c r="C2246" s="78" t="n">
        <x:f>(('Inputs'!$B$29*(3*53*'Inputs'!$B$12-53^2)/(2*'Inputs'!$B$12^2))-('Inputs'!$B$29*(3*52*'Inputs'!$B$12-52^2)/(2*'Inputs'!$B$12^2)))*'Inputs'!$B$50</x:f>
        <x:v>694918.1366109997</x:v>
      </x:c>
      <x:c r="D2246" s="78" t="n">
        <x:f>IF('Inputs'!$C$50&gt;0,('Inputs'!$B$30*(3*53*'Inputs'!$B$12-53^2)/(2*'Inputs'!$B$12^2))-('Inputs'!$B$30*(3*52*'Inputs'!$B$12-52^2)/(2*'Inputs'!$B$12^2)),0)</x:f>
        <x:v>297822.05854756944</x:v>
      </x:c>
      <x:c r="E2246" s="78" t="n">
        <x:f>C2246+D2246</x:f>
        <x:v>992740.1951585691</x:v>
      </x:c>
      <x:c r="F2246" s="78" t="n">
        <x:f>'Inputs'!$B$13*E2246+(1-'Inputs'!$B$13)/'Inputs'!$B$14*SUM(E2194:E2246)</x:f>
        <x:v>959337.0171299899</x:v>
      </x:c>
      <x:c r="G2246" s="78" t="n">
        <x:f>F2246*'Inputs'!$F$50</x:f>
        <x:v>479668.50856499496</x:v>
      </x:c>
      <x:c r="H2246" s="78" t="n">
        <x:f>U2245</x:f>
        <x:v>23656582.72106704</x:v>
      </x:c>
      <x:c r="I2246" s="78" t="n">
        <x:f>V2245</x:f>
        <x:v>1217.8064256535604</x:v>
      </x:c>
      <x:c r="J2246" s="79" t="n">
        <x:f>IF(H2246&gt;0,I2246/H2246,0)</x:f>
        <x:v>0.00005147854362621275</x:v>
      </x:c>
      <x:c r="K2246" s="80" t="n">
        <x:f>(H2246*J2246+I2246)*'Inputs'!$D$50*(1+'Inputs'!$G$50)^(B2246/30)</x:f>
        <x:v>2435.6128513071208</x:v>
      </x:c>
      <x:c r="L2246" s="80" t="n">
        <x:f>MAX(0,K2246*'Inputs'!$E$50)</x:f>
        <x:v>0</x:v>
      </x:c>
      <x:c r="M2246" s="80" t="n">
        <x:f>MAX(0,-K2246*'Inputs'!$E$50)</x:f>
        <x:v>0</x:v>
      </x:c>
      <x:c r="N2246" s="78" t="n">
        <x:f>H2246*(L2246*(1-'Inputs'!$B$15))/(I2246+L2246*(1-'Inputs'!$B$15))</x:f>
        <x:v>0</x:v>
      </x:c>
      <x:c r="O2246" s="78" t="n">
        <x:f>H2246-N2246</x:f>
        <x:v>23656582.72106704</x:v>
      </x:c>
      <x:c r="P2246" s="78" t="n">
        <x:f>I2246+L2246*(1-'Inputs'!$B$17)</x:f>
        <x:v>1217.8064256535604</x:v>
      </x:c>
      <x:c r="Q2246" s="78" t="n">
        <x:f>IF(J2246&gt;0,M2246/J2246,0)</x:f>
        <x:v>0</x:v>
      </x:c>
      <x:c r="R2246" s="78" t="n">
        <x:f>IF(B2246='Inputs'!$H$50,'Inputs'!$B$27*'Inputs'!$I$50,0)</x:f>
        <x:v>0</x:v>
      </x:c>
      <x:c r="S2246" s="78" t="n">
        <x:f>Q2246+G2246+R2246</x:f>
        <x:v>479668.50856499496</x:v>
      </x:c>
      <x:c r="T2246" s="78" t="n">
        <x:f>P2246*(S2246*(1-'Inputs'!$B$15))/(O2246+S2246*(1-'Inputs'!$B$15))</x:f>
        <x:v>23.964653971745918</x:v>
      </x:c>
      <x:c r="U2246" s="78" t="n">
        <x:f>O2246+S2246*(1-'Inputs'!$B$17)</x:f>
        <x:v>24134320.97406437</x:v>
      </x:c>
      <x:c r="V2246" s="78" t="n">
        <x:f>P2246-T2246</x:f>
        <x:v>1193.8417716818144</x:v>
      </x:c>
      <x:c r="W2246" s="79" t="n">
        <x:f>IF(U2246&gt;0,V2246/U2246,0)</x:f>
        <x:v>0.00004946655731332822</x:v>
      </x:c>
      <x:c r="X2246" s="80" t="n">
        <x:f>W2246*('Inputs'!$B$6-AC2246)</x:f>
        <x:v>49326.4832232148</x:v>
      </x:c>
      <x:c r="Y2246" s="80" t="n">
        <x:f>2*V2246</x:f>
        <x:v>2387.683543363629</x:v>
      </x:c>
      <x:c r="Z2246" s="80" t="n">
        <x:f>K2246*'Inputs'!$B$16+(G2246+R2246)*J2246*'Inputs'!$B$16</x:f>
        <x:v>14.761832925308426</x:v>
      </x:c>
      <x:c r="AA2246" s="80" t="n">
        <x:f>K2246*(1+'Inputs'!$E$50)/2*'Inputs'!$B$17</x:f>
        <x:v>4.900629479491189</x:v>
      </x:c>
      <x:c r="AB2246" s="78" t="n">
        <x:f>(IF(J2246&gt;0,K2246*(1-'Inputs'!$E$50)/2/J2246,0)+G2246+R2246)*'Inputs'!$B$17</x:f>
        <x:v>97127.77154781503</x:v>
      </x:c>
      <x:c r="AC2246" s="78" t="n">
        <x:f>AC2245+AB2246</x:f>
        <x:v>2831692.717691537</x:v>
      </x:c>
      <x:c r="AD2246" s="80" t="n">
        <x:f>Z2246/(1+'Inputs'!$C$50)</x:f>
        <x:v>7.380916462654213</x:v>
      </x:c>
      <x:c r="AE2246" s="80" t="n">
        <x:f>Z2246-AD2246</x:f>
        <x:v>7.380916462654213</x:v>
      </x:c>
      <x:c r="AF2246" s="80" t="n">
        <x:f>D2246*W2246</x:f>
        <x:v>14.732231928316736</x:v>
      </x:c>
      <x:c r="AG2246" s="80" t="n">
        <x:f>C2246*W2246</x:f>
        <x:v>34.37520783273927</x:v>
      </x:c>
      <x:c r="AH2246" s="80" t="n">
        <x:f>2*'Inputs'!$B$8*'Inputs'!$C$50</x:f>
        <x:v>5000</x:v>
      </x:c>
      <x:c r="AI2246" s="81" t="n">
        <x:f>IF(AH2246&gt;0,(AE2246+AF2246)/AH2246*365,0)</x:f>
        <x:v>1.6142598325408795</x:v>
      </x:c>
      <x:c r="AJ2246" s="81" t="n">
        <x:f>IF('Inputs'!$B$50&gt;0,AG2246/('Inputs'!$B$19*'Inputs'!$B$50)*365,0)</x:f>
        <x:v>1.2546950858949832</x:v>
      </x:c>
      <x:c r="AK2246" s="81" t="n">
        <x:f>W2246/MAX($W$2194:W2246)-1</x:f>
        <x:v>-0.9413058393527242</x:v>
      </x:c>
      <x:c r="AL2246" s="83" t="n">
        <x:f>'Inputs'!$B$50</x:f>
        <x:v>1</x:v>
      </x:c>
      <x:c r="AM2246" s="83" t="n">
        <x:f>'Inputs'!$C$50</x:f>
        <x:v>1</x:v>
      </x:c>
      <x:c r="AN2246" s="83" t="n">
        <x:f>'Inputs'!$D$50</x:f>
        <x:v>1</x:v>
      </x:c>
      <x:c r="AO2246" s="81" t="n">
        <x:f>'Inputs'!$E$50</x:f>
        <x:v>0</x:v>
      </x:c>
    </x:row>
    <x:row r="2247">
      <x:c r="A2247" s="59" t="str">
        <x:v>Whale exit</x:v>
      </x:c>
      <x:c r="B2247" s="59" t="n">
        <x:v>54</x:v>
      </x:c>
      <x:c r="C2247" s="78" t="n">
        <x:f>(('Inputs'!$B$29*(3*54*'Inputs'!$B$12-54^2)/(2*'Inputs'!$B$12^2))-('Inputs'!$B$29*(3*53*'Inputs'!$B$12-53^2)/(2*'Inputs'!$B$12^2)))*'Inputs'!$B$50</x:f>
        <x:v>694593.0287108272</x:v>
      </x:c>
      <x:c r="D2247" s="78" t="n">
        <x:f>IF('Inputs'!$C$50&gt;0,('Inputs'!$B$30*(3*54*'Inputs'!$B$12-54^2)/(2*'Inputs'!$B$12^2))-('Inputs'!$B$30*(3*53*'Inputs'!$B$12-53^2)/(2*'Inputs'!$B$12^2)),0)</x:f>
        <x:v>297682.726590354</x:v>
      </x:c>
      <x:c r="E2247" s="78" t="n">
        <x:f>C2247+D2247</x:f>
        <x:v>992275.7553011812</x:v>
      </x:c>
      <x:c r="F2247" s="78" t="n">
        <x:f>'Inputs'!$B$13*E2247+(1-'Inputs'!$B$13)/'Inputs'!$B$14*SUM(E2194:E2247)</x:f>
        <x:v>973419.4970913864</x:v>
      </x:c>
      <x:c r="G2247" s="78" t="n">
        <x:f>F2247*'Inputs'!$F$50</x:f>
        <x:v>486709.7485456932</x:v>
      </x:c>
      <x:c r="H2247" s="78" t="n">
        <x:f>U2246</x:f>
        <x:v>24134320.97406437</x:v>
      </x:c>
      <x:c r="I2247" s="78" t="n">
        <x:f>V2246</x:f>
        <x:v>1193.8417716818144</x:v>
      </x:c>
      <x:c r="J2247" s="79" t="n">
        <x:f>IF(H2247&gt;0,I2247/H2247,0)</x:f>
        <x:v>0.00004946655731332822</x:v>
      </x:c>
      <x:c r="K2247" s="80" t="n">
        <x:f>(H2247*J2247+I2247)*'Inputs'!$D$50*(1+'Inputs'!$G$50)^(B2247/30)</x:f>
        <x:v>2387.683543363629</x:v>
      </x:c>
      <x:c r="L2247" s="80" t="n">
        <x:f>MAX(0,K2247*'Inputs'!$E$50)</x:f>
        <x:v>0</x:v>
      </x:c>
      <x:c r="M2247" s="80" t="n">
        <x:f>MAX(0,-K2247*'Inputs'!$E$50)</x:f>
        <x:v>0</x:v>
      </x:c>
      <x:c r="N2247" s="78" t="n">
        <x:f>H2247*(L2247*(1-'Inputs'!$B$15))/(I2247+L2247*(1-'Inputs'!$B$15))</x:f>
        <x:v>0</x:v>
      </x:c>
      <x:c r="O2247" s="78" t="n">
        <x:f>H2247-N2247</x:f>
        <x:v>24134320.97406437</x:v>
      </x:c>
      <x:c r="P2247" s="78" t="n">
        <x:f>I2247+L2247*(1-'Inputs'!$B$17)</x:f>
        <x:v>1193.8417716818144</x:v>
      </x:c>
      <x:c r="Q2247" s="78" t="n">
        <x:f>IF(J2247&gt;0,M2247/J2247,0)</x:f>
        <x:v>0</x:v>
      </x:c>
      <x:c r="R2247" s="78" t="n">
        <x:f>IF(B2247='Inputs'!$H$50,'Inputs'!$B$27*'Inputs'!$I$50,0)</x:f>
        <x:v>0</x:v>
      </x:c>
      <x:c r="S2247" s="78" t="n">
        <x:f>Q2247+G2247+R2247</x:f>
        <x:v>486709.7485456932</x:v>
      </x:c>
      <x:c r="T2247" s="78" t="n">
        <x:f>P2247*(S2247*(1-'Inputs'!$B$15))/(O2247+S2247*(1-'Inputs'!$B$15))</x:f>
        <x:v>23.368543245564442</x:v>
      </x:c>
      <x:c r="U2247" s="78" t="n">
        <x:f>O2247+S2247*(1-'Inputs'!$B$17)</x:f>
        <x:v>24619072.132072654</x:v>
      </x:c>
      <x:c r="V2247" s="78" t="n">
        <x:f>P2247-T2247</x:f>
        <x:v>1170.4732284362499</x:v>
      </x:c>
      <x:c r="W2247" s="79" t="n">
        <x:f>IF(U2247&gt;0,V2247/U2247,0)</x:f>
        <x:v>0.00004754335265590324</x:v>
      </x:c>
      <x:c r="X2247" s="80" t="n">
        <x:f>W2247*('Inputs'!$B$6-AC2247)</x:f>
        <x:v>47404.01396185595</x:v>
      </x:c>
      <x:c r="Y2247" s="80" t="n">
        <x:f>2*V2247</x:f>
        <x:v>2340.9464568724998</x:v>
      </x:c>
      <x:c r="Z2247" s="80" t="n">
        <x:f>K2247*'Inputs'!$B$16+(G2247+R2247)*J2247*'Inputs'!$B$16</x:f>
        <x:v>14.470556394210119</x:v>
      </x:c>
      <x:c r="AA2247" s="80" t="n">
        <x:f>K2247*(1+'Inputs'!$E$50)/2*'Inputs'!$B$17</x:f>
        <x:v>4.804192240168268</x:v>
      </x:c>
      <x:c r="AB2247" s="78" t="n">
        <x:f>(IF(J2247&gt;0,K2247*(1-'Inputs'!$E$50)/2/J2247,0)+G2247+R2247)*'Inputs'!$B$17</x:f>
        <x:v>99078.59445718335</x:v>
      </x:c>
      <x:c r="AC2247" s="78" t="n">
        <x:f>AC2246+AB2247</x:f>
        <x:v>2930771.3121487205</x:v>
      </x:c>
      <x:c r="AD2247" s="80" t="n">
        <x:f>Z2247/(1+'Inputs'!$C$50)</x:f>
        <x:v>7.2352781971050595</x:v>
      </x:c>
      <x:c r="AE2247" s="80" t="n">
        <x:f>Z2247-AD2247</x:f>
        <x:v>7.2352781971050595</x:v>
      </x:c>
      <x:c r="AF2247" s="80" t="n">
        <x:f>D2247*W2247</x:f>
        <x:v>14.152834849856024</x:v>
      </x:c>
      <x:c r="AG2247" s="80" t="n">
        <x:f>C2247*W2247</x:f>
        <x:v>33.02328131633078</x:v>
      </x:c>
      <x:c r="AH2247" s="80" t="n">
        <x:f>2*'Inputs'!$B$8*'Inputs'!$C$50</x:f>
        <x:v>5000</x:v>
      </x:c>
      <x:c r="AI2247" s="81" t="n">
        <x:f>IF(AH2247&gt;0,(AE2247+AF2247)/AH2247*365,0)</x:f>
        <x:v>1.5613322524281592</x:v>
      </x:c>
      <x:c r="AJ2247" s="81" t="n">
        <x:f>IF('Inputs'!$B$50&gt;0,AG2247/('Inputs'!$B$19*'Inputs'!$B$50)*365,0)</x:f>
        <x:v>1.2053497680460734</x:v>
      </x:c>
      <x:c r="AK2247" s="81" t="n">
        <x:f>W2247/MAX($W$2194:W2247)-1</x:f>
        <x:v>-0.9435878029509889</x:v>
      </x:c>
      <x:c r="AL2247" s="83" t="n">
        <x:f>'Inputs'!$B$50</x:f>
        <x:v>1</x:v>
      </x:c>
      <x:c r="AM2247" s="83" t="n">
        <x:f>'Inputs'!$C$50</x:f>
        <x:v>1</x:v>
      </x:c>
      <x:c r="AN2247" s="83" t="n">
        <x:f>'Inputs'!$D$50</x:f>
        <x:v>1</x:v>
      </x:c>
      <x:c r="AO2247" s="81" t="n">
        <x:f>'Inputs'!$E$50</x:f>
        <x:v>0</x:v>
      </x:c>
    </x:row>
    <x:row r="2248">
      <x:c r="A2248" s="59" t="str">
        <x:v>Whale exit</x:v>
      </x:c>
      <x:c r="B2248" s="59" t="n">
        <x:v>55</x:v>
      </x:c>
      <x:c r="C2248" s="78" t="n">
        <x:f>(('Inputs'!$B$29*(3*55*'Inputs'!$B$12-55^2)/(2*'Inputs'!$B$12^2))-('Inputs'!$B$29*(3*54*'Inputs'!$B$12-54^2)/(2*'Inputs'!$B$12^2)))*'Inputs'!$B$50</x:f>
        <x:v>694267.9208106548</x:v>
      </x:c>
      <x:c r="D2248" s="78" t="n">
        <x:f>IF('Inputs'!$C$50&gt;0,('Inputs'!$B$30*(3*55*'Inputs'!$B$12-55^2)/(2*'Inputs'!$B$12^2))-('Inputs'!$B$30*(3*54*'Inputs'!$B$12-54^2)/(2*'Inputs'!$B$12^2)),0)</x:f>
        <x:v>297543.3946331404</x:v>
      </x:c>
      <x:c r="E2248" s="78" t="n">
        <x:f>C2248+D2248</x:f>
        <x:v>991811.3154437952</x:v>
      </x:c>
      <x:c r="F2248" s="78" t="n">
        <x:f>'Inputs'!$B$13*E2248+(1-'Inputs'!$B$13)/'Inputs'!$B$14*SUM(E2194:E2248)</x:f>
        <x:v>987495.3421976777</x:v>
      </x:c>
      <x:c r="G2248" s="78" t="n">
        <x:f>F2248*'Inputs'!$F$50</x:f>
        <x:v>493747.67109883885</x:v>
      </x:c>
      <x:c r="H2248" s="78" t="n">
        <x:f>U2247</x:f>
        <x:v>24619072.132072654</x:v>
      </x:c>
      <x:c r="I2248" s="78" t="n">
        <x:f>V2247</x:f>
        <x:v>1170.4732284362499</x:v>
      </x:c>
      <x:c r="J2248" s="79" t="n">
        <x:f>IF(H2248&gt;0,I2248/H2248,0)</x:f>
        <x:v>0.00004754335265590324</x:v>
      </x:c>
      <x:c r="K2248" s="80" t="n">
        <x:f>(H2248*J2248+I2248)*'Inputs'!$D$50*(1+'Inputs'!$G$50)^(B2248/30)</x:f>
        <x:v>2340.9464568724998</x:v>
      </x:c>
      <x:c r="L2248" s="80" t="n">
        <x:f>MAX(0,K2248*'Inputs'!$E$50)</x:f>
        <x:v>0</x:v>
      </x:c>
      <x:c r="M2248" s="80" t="n">
        <x:f>MAX(0,-K2248*'Inputs'!$E$50)</x:f>
        <x:v>0</x:v>
      </x:c>
      <x:c r="N2248" s="78" t="n">
        <x:f>H2248*(L2248*(1-'Inputs'!$B$15))/(I2248+L2248*(1-'Inputs'!$B$15))</x:f>
        <x:v>0</x:v>
      </x:c>
      <x:c r="O2248" s="78" t="n">
        <x:f>H2248-N2248</x:f>
        <x:v>24619072.132072654</x:v>
      </x:c>
      <x:c r="P2248" s="78" t="n">
        <x:f>I2248+L2248*(1-'Inputs'!$B$17)</x:f>
        <x:v>1170.4732284362499</x:v>
      </x:c>
      <x:c r="Q2248" s="78" t="n">
        <x:f>IF(J2248&gt;0,M2248/J2248,0)</x:f>
        <x:v>0</x:v>
      </x:c>
      <x:c r="R2248" s="78" t="n">
        <x:f>IF(B2248='Inputs'!$H$50,'Inputs'!$B$27*'Inputs'!$I$50,0)</x:f>
        <x:v>0</x:v>
      </x:c>
      <x:c r="S2248" s="78" t="n">
        <x:f>Q2248+G2248+R2248</x:f>
        <x:v>493747.67109883885</x:v>
      </x:c>
      <x:c r="T2248" s="78" t="n">
        <x:f>P2248*(S2248*(1-'Inputs'!$B$15))/(O2248+S2248*(1-'Inputs'!$B$15))</x:f>
        <x:v>22.787236250296445</x:v>
      </x:c>
      <x:c r="U2248" s="78" t="n">
        <x:f>O2248+S2248*(1-'Inputs'!$B$17)</x:f>
        <x:v>25110832.89101415</x:v>
      </x:c>
      <x:c r="V2248" s="78" t="n">
        <x:f>P2248-T2248</x:f>
        <x:v>1147.6859921859534</x:v>
      </x:c>
      <x:c r="W2248" s="79" t="n">
        <x:f>IF(U2248&gt;0,V2248/U2248,0)</x:f>
        <x:v>0.00004570481581264674</x:v>
      </x:c>
      <x:c r="X2248" s="80" t="n">
        <x:f>W2248*('Inputs'!$B$6-AC2248)</x:f>
        <x:v>45566.24662950062</x:v>
      </x:c>
      <x:c r="Y2248" s="80" t="n">
        <x:f>2*V2248</x:f>
        <x:v>2295.371984371907</x:v>
      </x:c>
      <x:c r="Z2248" s="80" t="n">
        <x:f>K2248*'Inputs'!$B$16+(G2248+R2248)*J2248*'Inputs'!$B$16</x:f>
        <x:v>14.186525259135497</x:v>
      </x:c>
      <x:c r="AA2248" s="80" t="n">
        <x:f>K2248*(1+'Inputs'!$E$50)/2*'Inputs'!$B$17</x:f>
        <x:v>4.710153836765594</x:v>
      </x:c>
      <x:c r="AB2248" s="78" t="n">
        <x:f>(IF(J2248&gt;0,K2248*(1-'Inputs'!$E$50)/2/J2248,0)+G2248+R2248)*'Inputs'!$B$17</x:f>
        <x:v>101057.62496246074</x:v>
      </x:c>
      <x:c r="AC2248" s="78" t="n">
        <x:f>AC2247+AB2248</x:f>
        <x:v>3031828.937111181</x:v>
      </x:c>
      <x:c r="AD2248" s="80" t="n">
        <x:f>Z2248/(1+'Inputs'!$C$50)</x:f>
        <x:v>7.093262629567748</x:v>
      </x:c>
      <x:c r="AE2248" s="80" t="n">
        <x:f>Z2248-AD2248</x:f>
        <x:v>7.093262629567748</x:v>
      </x:c>
      <x:c r="AF2248" s="80" t="n">
        <x:f>D2248*W2248</x:f>
        <x:v>13.599166047977345</x:v>
      </x:c>
      <x:c r="AG2248" s="80" t="n">
        <x:f>C2248*W2248</x:f>
        <x:v>31.731387445280188</x:v>
      </x:c>
      <x:c r="AH2248" s="80" t="n">
        <x:f>2*'Inputs'!$B$8*'Inputs'!$C$50</x:f>
        <x:v>5000</x:v>
      </x:c>
      <x:c r="AI2248" s="81" t="n">
        <x:f>IF(AH2248&gt;0,(AE2248+AF2248)/AH2248*365,0)</x:f>
        <x:v>1.510547293460792</x:v>
      </x:c>
      <x:c r="AJ2248" s="81" t="n">
        <x:f>IF('Inputs'!$B$50&gt;0,AG2248/('Inputs'!$B$19*'Inputs'!$B$50)*365,0)</x:f>
        <x:v>1.1581956417527268</x:v>
      </x:c>
      <x:c r="AK2248" s="81" t="n">
        <x:f>W2248/MAX($W$2194:W2248)-1</x:f>
        <x:v>-0.9457693046097865</x:v>
      </x:c>
      <x:c r="AL2248" s="83" t="n">
        <x:f>'Inputs'!$B$50</x:f>
        <x:v>1</x:v>
      </x:c>
      <x:c r="AM2248" s="83" t="n">
        <x:f>'Inputs'!$C$50</x:f>
        <x:v>1</x:v>
      </x:c>
      <x:c r="AN2248" s="83" t="n">
        <x:f>'Inputs'!$D$50</x:f>
        <x:v>1</x:v>
      </x:c>
      <x:c r="AO2248" s="81" t="n">
        <x:f>'Inputs'!$E$50</x:f>
        <x:v>0</x:v>
      </x:c>
    </x:row>
    <x:row r="2249">
      <x:c r="A2249" s="59" t="str">
        <x:v>Whale exit</x:v>
      </x:c>
      <x:c r="B2249" s="59" t="n">
        <x:v>56</x:v>
      </x:c>
      <x:c r="C2249" s="78" t="n">
        <x:f>(('Inputs'!$B$29*(3*56*'Inputs'!$B$12-56^2)/(2*'Inputs'!$B$12^2))-('Inputs'!$B$29*(3*55*'Inputs'!$B$12-55^2)/(2*'Inputs'!$B$12^2)))*'Inputs'!$B$50</x:f>
        <x:v>693942.8129104897</x:v>
      </x:c>
      <x:c r="D2249" s="78" t="n">
        <x:f>IF('Inputs'!$C$50&gt;0,('Inputs'!$B$30*(3*56*'Inputs'!$B$12-56^2)/(2*'Inputs'!$B$12^2))-('Inputs'!$B$30*(3*55*'Inputs'!$B$12-55^2)/(2*'Inputs'!$B$12^2)),0)</x:f>
        <x:v>297404.0626759231</x:v>
      </x:c>
      <x:c r="E2249" s="78" t="n">
        <x:f>C2249+D2249</x:f>
        <x:v>991346.8755864128</x:v>
      </x:c>
      <x:c r="F2249" s="78" t="n">
        <x:f>'Inputs'!$B$13*E2249+(1-'Inputs'!$B$13)/'Inputs'!$B$14*SUM(E2194:E2249)</x:f>
        <x:v>1001564.5524488643</x:v>
      </x:c>
      <x:c r="G2249" s="78" t="n">
        <x:f>F2249*'Inputs'!$F$50</x:f>
        <x:v>500782.27622443216</x:v>
      </x:c>
      <x:c r="H2249" s="78" t="n">
        <x:f>U2248</x:f>
        <x:v>25110832.89101415</x:v>
      </x:c>
      <x:c r="I2249" s="78" t="n">
        <x:f>V2248</x:f>
        <x:v>1147.6859921859534</x:v>
      </x:c>
      <x:c r="J2249" s="79" t="n">
        <x:f>IF(H2249&gt;0,I2249/H2249,0)</x:f>
        <x:v>0.00004570481581264674</x:v>
      </x:c>
      <x:c r="K2249" s="80" t="n">
        <x:f>(H2249*J2249+I2249)*'Inputs'!$D$50*(1+'Inputs'!$G$50)^(B2249/30)</x:f>
        <x:v>2295.371984371907</x:v>
      </x:c>
      <x:c r="L2249" s="80" t="n">
        <x:f>MAX(0,K2249*'Inputs'!$E$50)</x:f>
        <x:v>0</x:v>
      </x:c>
      <x:c r="M2249" s="80" t="n">
        <x:f>MAX(0,-K2249*'Inputs'!$E$50)</x:f>
        <x:v>0</x:v>
      </x:c>
      <x:c r="N2249" s="78" t="n">
        <x:f>H2249*(L2249*(1-'Inputs'!$B$15))/(I2249+L2249*(1-'Inputs'!$B$15))</x:f>
        <x:v>0</x:v>
      </x:c>
      <x:c r="O2249" s="78" t="n">
        <x:f>H2249-N2249</x:f>
        <x:v>25110832.89101415</x:v>
      </x:c>
      <x:c r="P2249" s="78" t="n">
        <x:f>I2249+L2249*(1-'Inputs'!$B$17)</x:f>
        <x:v>1147.6859921859534</x:v>
      </x:c>
      <x:c r="Q2249" s="78" t="n">
        <x:f>IF(J2249&gt;0,M2249/J2249,0)</x:f>
        <x:v>0</x:v>
      </x:c>
      <x:c r="R2249" s="78" t="n">
        <x:f>IF(B2249='Inputs'!$H$50,'Inputs'!$B$27*'Inputs'!$I$50,0)</x:f>
        <x:v>0</x:v>
      </x:c>
      <x:c r="S2249" s="78" t="n">
        <x:f>Q2249+G2249+R2249</x:f>
        <x:v>500782.27622443216</x:v>
      </x:c>
      <x:c r="T2249" s="78" t="n">
        <x:f>P2249*(S2249*(1-'Inputs'!$B$15))/(O2249+S2249*(1-'Inputs'!$B$15))</x:f>
        <x:v>22.220569397098938</x:v>
      </x:c>
      <x:c r="U2249" s="78" t="n">
        <x:f>O2249+S2249*(1-'Inputs'!$B$17)</x:f>
        <x:v>25609599.94681112</x:v>
      </x:c>
      <x:c r="V2249" s="78" t="n">
        <x:f>P2249-T2249</x:f>
        <x:v>1125.4654227888545</x:v>
      </x:c>
      <x:c r="W2249" s="79" t="n">
        <x:f>IF(U2249&gt;0,V2249/U2249,0)</x:f>
        <x:v>0.000043947013039108263</x:v>
      </x:c>
      <x:c r="X2249" s="80" t="n">
        <x:f>W2249*('Inputs'!$B$6-AC2249)</x:f>
        <x:v>43809.24382098008</x:v>
      </x:c>
      <x:c r="Y2249" s="80" t="n">
        <x:f>2*V2249</x:f>
        <x:v>2250.930845577709</x:v>
      </x:c>
      <x:c r="Z2249" s="80" t="n">
        <x:f>K2249*'Inputs'!$B$16+(G2249+R2249)*J2249*'Inputs'!$B$16</x:f>
        <x:v>13.909560876413895</x:v>
      </x:c>
      <x:c r="AA2249" s="80" t="n">
        <x:f>K2249*(1+'Inputs'!$E$50)/2*'Inputs'!$B$17</x:f>
        <x:v>4.618454696925366</x:v>
      </x:c>
      <x:c r="AB2249" s="78" t="n">
        <x:f>(IF(J2249&gt;0,K2249*(1-'Inputs'!$E$50)/2/J2249,0)+G2249+R2249)*'Inputs'!$B$17</x:f>
        <x:v>103064.84976755969</x:v>
      </x:c>
      <x:c r="AC2249" s="78" t="n">
        <x:f>AC2248+AB2249</x:f>
        <x:v>3134893.786878741</x:v>
      </x:c>
      <x:c r="AD2249" s="80" t="n">
        <x:f>Z2249/(1+'Inputs'!$C$50)</x:f>
        <x:v>6.954780438206948</x:v>
      </x:c>
      <x:c r="AE2249" s="80" t="n">
        <x:f>Z2249-AD2249</x:f>
        <x:v>6.954780438206948</x:v>
      </x:c>
      <x:c r="AF2249" s="80" t="n">
        <x:f>D2249*W2249</x:f>
        <x:v>13.070020220302563</x:v>
      </x:c>
      <x:c r="AG2249" s="80" t="n">
        <x:f>C2249*W2249</x:f>
        <x:v>30.49671384737276</x:v>
      </x:c>
      <x:c r="AH2249" s="80" t="n">
        <x:f>2*'Inputs'!$B$8*'Inputs'!$C$50</x:f>
        <x:v>5000</x:v>
      </x:c>
      <x:c r="AI2249" s="81" t="n">
        <x:f>IF(AH2249&gt;0,(AE2249+AF2249)/AH2249*365,0)</x:f>
        <x:v>1.4618104480711942</x:v>
      </x:c>
      <x:c r="AJ2249" s="81" t="n">
        <x:f>IF('Inputs'!$B$50&gt;0,AG2249/('Inputs'!$B$19*'Inputs'!$B$50)*365,0)</x:f>
        <x:v>1.113130055429106</x:v>
      </x:c>
      <x:c r="AK2249" s="81" t="n">
        <x:f>W2249/MAX($W$2194:W2249)-1</x:f>
        <x:v>-0.9478550118831426</x:v>
      </x:c>
      <x:c r="AL2249" s="83" t="n">
        <x:f>'Inputs'!$B$50</x:f>
        <x:v>1</x:v>
      </x:c>
      <x:c r="AM2249" s="83" t="n">
        <x:f>'Inputs'!$C$50</x:f>
        <x:v>1</x:v>
      </x:c>
      <x:c r="AN2249" s="83" t="n">
        <x:f>'Inputs'!$D$50</x:f>
        <x:v>1</x:v>
      </x:c>
      <x:c r="AO2249" s="81" t="n">
        <x:f>'Inputs'!$E$50</x:f>
        <x:v>0</x:v>
      </x:c>
    </x:row>
    <x:row r="2250">
      <x:c r="A2250" s="59" t="str">
        <x:v>Whale exit</x:v>
      </x:c>
      <x:c r="B2250" s="59" t="n">
        <x:v>57</x:v>
      </x:c>
      <x:c r="C2250" s="78" t="n">
        <x:f>(('Inputs'!$B$29*(3*57*'Inputs'!$B$12-57^2)/(2*'Inputs'!$B$12^2))-('Inputs'!$B$29*(3*56*'Inputs'!$B$12-56^2)/(2*'Inputs'!$B$12^2)))*'Inputs'!$B$50</x:f>
        <x:v>693617.7050103247</x:v>
      </x:c>
      <x:c r="D2250" s="78" t="n">
        <x:f>IF('Inputs'!$C$50&gt;0,('Inputs'!$B$30*(3*57*'Inputs'!$B$12-57^2)/(2*'Inputs'!$B$12^2))-('Inputs'!$B$30*(3*56*'Inputs'!$B$12-56^2)/(2*'Inputs'!$B$12^2)),0)</x:f>
        <x:v>297264.7307187095</x:v>
      </x:c>
      <x:c r="E2250" s="78" t="n">
        <x:f>C2250+D2250</x:f>
        <x:v>990882.4357290342</x:v>
      </x:c>
      <x:c r="F2250" s="78" t="n">
        <x:f>'Inputs'!$B$13*E2250+(1-'Inputs'!$B$13)/'Inputs'!$B$14*SUM(E2195:E2250)</x:f>
        <x:v>1001100.1125914815</x:v>
      </x:c>
      <x:c r="G2250" s="78" t="n">
        <x:f>F2250*'Inputs'!$F$50</x:f>
        <x:v>500550.05629574077</x:v>
      </x:c>
      <x:c r="H2250" s="78" t="n">
        <x:f>U2249</x:f>
        <x:v>25609599.94681112</x:v>
      </x:c>
      <x:c r="I2250" s="78" t="n">
        <x:f>V2249</x:f>
        <x:v>1125.4654227888545</x:v>
      </x:c>
      <x:c r="J2250" s="79" t="n">
        <x:f>IF(H2250&gt;0,I2250/H2250,0)</x:f>
        <x:v>0.000043947013039108263</x:v>
      </x:c>
      <x:c r="K2250" s="80" t="n">
        <x:f>(H2250*J2250+I2250)*'Inputs'!$D$50*(1+'Inputs'!$G$50)^(B2250/30)</x:f>
        <x:v>2250.930845577709</x:v>
      </x:c>
      <x:c r="L2250" s="80" t="n">
        <x:f>MAX(0,K2250*'Inputs'!$E$50)</x:f>
        <x:v>0</x:v>
      </x:c>
      <x:c r="M2250" s="80" t="n">
        <x:f>MAX(0,-K2250*'Inputs'!$E$50)</x:f>
        <x:v>0</x:v>
      </x:c>
      <x:c r="N2250" s="78" t="n">
        <x:f>H2250*(L2250*(1-'Inputs'!$B$15))/(I2250+L2250*(1-'Inputs'!$B$15))</x:f>
        <x:v>0</x:v>
      </x:c>
      <x:c r="O2250" s="78" t="n">
        <x:f>H2250-N2250</x:f>
        <x:v>25609599.94681112</x:v>
      </x:c>
      <x:c r="P2250" s="78" t="n">
        <x:f>I2250+L2250*(1-'Inputs'!$B$17)</x:f>
        <x:v>1125.4654227888545</x:v>
      </x:c>
      <x:c r="Q2250" s="78" t="n">
        <x:f>IF(J2250&gt;0,M2250/J2250,0)</x:f>
        <x:v>0</x:v>
      </x:c>
      <x:c r="R2250" s="78" t="n">
        <x:f>IF(B2250='Inputs'!$H$50,'Inputs'!$B$27*'Inputs'!$I$50,0)</x:f>
        <x:v>0</x:v>
      </x:c>
      <x:c r="S2250" s="78" t="n">
        <x:f>Q2250+G2250+R2250</x:f>
        <x:v>500550.05629574077</x:v>
      </x:c>
      <x:c r="T2250" s="78" t="n">
        <x:f>P2250*(S2250*(1-'Inputs'!$B$15))/(O2250+S2250*(1-'Inputs'!$B$15))</x:f>
        <x:v>21.364304758939884</x:v>
      </x:c>
      <x:c r="U2250" s="78" t="n">
        <x:f>O2250+S2250*(1-'Inputs'!$B$17)</x:f>
        <x:v>26108135.717166033</x:v>
      </x:c>
      <x:c r="V2250" s="78" t="n">
        <x:f>P2250-T2250</x:f>
        <x:v>1104.1011180299147</x:v>
      </x:c>
      <x:c r="W2250" s="79" t="n">
        <x:f>IF(U2250&gt;0,V2250/U2250,0)</x:f>
        <x:v>0.000042289542615789724</x:v>
      </x:c>
      <x:c r="X2250" s="80" t="n">
        <x:f>W2250*('Inputs'!$B$6-AC2250)</x:f>
        <x:v>42152.52598575466</x:v>
      </x:c>
      <x:c r="Y2250" s="80" t="n">
        <x:f>2*V2250</x:f>
        <x:v>2208.2022360598294</x:v>
      </x:c>
      <x:c r="Z2250" s="80" t="n">
        <x:f>K2250*'Inputs'!$B$16+(G2250+R2250)*J2250*'Inputs'!$B$16</x:f>
        <x:v>13.637571152570787</x:v>
      </x:c>
      <x:c r="AA2250" s="80" t="n">
        <x:f>K2250*(1+'Inputs'!$E$50)/2*'Inputs'!$B$17</x:f>
        <x:v>4.529035906594989</x:v>
      </x:c>
      <x:c r="AB2250" s="78" t="n">
        <x:f>(IF(J2250&gt;0,K2250*(1-'Inputs'!$E$50)/2/J2250,0)+G2250+R2250)*'Inputs'!$B$17</x:f>
        <x:v>105071.02616944411</x:v>
      </x:c>
      <x:c r="AC2250" s="78" t="n">
        <x:f>AC2249+AB2250</x:f>
        <x:v>3239964.813048185</x:v>
      </x:c>
      <x:c r="AD2250" s="80" t="n">
        <x:f>Z2250/(1+'Inputs'!$C$50)</x:f>
        <x:v>6.818785576285394</x:v>
      </x:c>
      <x:c r="AE2250" s="80" t="n">
        <x:f>Z2250-AD2250</x:f>
        <x:v>6.818785576285394</x:v>
      </x:c>
      <x:c r="AF2250" s="80" t="n">
        <x:f>D2250*W2250</x:f>
        <x:v>12.571189497900123</x:v>
      </x:c>
      <x:c r="AG2250" s="80" t="n">
        <x:f>C2250*W2250</x:f>
        <x:v>29.332775495100393</x:v>
      </x:c>
      <x:c r="AH2250" s="80" t="n">
        <x:f>2*'Inputs'!$B$8*'Inputs'!$C$50</x:f>
        <x:v>5000</x:v>
      </x:c>
      <x:c r="AI2250" s="81" t="n">
        <x:f>IF(AH2250&gt;0,(AE2250+AF2250)/AH2250*365,0)</x:f>
        <x:v>1.415468180415543</x:v>
      </x:c>
      <x:c r="AJ2250" s="81" t="n">
        <x:f>IF('Inputs'!$B$50&gt;0,AG2250/('Inputs'!$B$19*'Inputs'!$B$50)*365,0)</x:f>
        <x:v>1.0706463055711644</x:v>
      </x:c>
      <x:c r="AK2250" s="81" t="n">
        <x:f>W2250/MAX($W$2194:W2250)-1</x:f>
        <x:v>-0.9498216705830427</x:v>
      </x:c>
      <x:c r="AL2250" s="83" t="n">
        <x:f>'Inputs'!$B$50</x:f>
        <x:v>1</x:v>
      </x:c>
      <x:c r="AM2250" s="83" t="n">
        <x:f>'Inputs'!$C$50</x:f>
        <x:v>1</x:v>
      </x:c>
      <x:c r="AN2250" s="83" t="n">
        <x:f>'Inputs'!$D$50</x:f>
        <x:v>1</x:v>
      </x:c>
      <x:c r="AO2250" s="81" t="n">
        <x:f>'Inputs'!$E$50</x:f>
        <x:v>0</x:v>
      </x:c>
    </x:row>
    <x:row r="2251">
      <x:c r="A2251" s="59" t="str">
        <x:v>Whale exit</x:v>
      </x:c>
      <x:c r="B2251" s="59" t="n">
        <x:v>58</x:v>
      </x:c>
      <x:c r="C2251" s="78" t="n">
        <x:f>(('Inputs'!$B$29*(3*58*'Inputs'!$B$12-58^2)/(2*'Inputs'!$B$12^2))-('Inputs'!$B$29*(3*57*'Inputs'!$B$12-57^2)/(2*'Inputs'!$B$12^2)))*'Inputs'!$B$50</x:f>
        <x:v>693292.5971101522</x:v>
      </x:c>
      <x:c r="D2251" s="78" t="n">
        <x:f>IF('Inputs'!$C$50&gt;0,('Inputs'!$B$30*(3*58*'Inputs'!$B$12-58^2)/(2*'Inputs'!$B$12^2))-('Inputs'!$B$30*(3*57*'Inputs'!$B$12-57^2)/(2*'Inputs'!$B$12^2)),0)</x:f>
        <x:v>297125.3987614922</x:v>
      </x:c>
      <x:c r="E2251" s="78" t="n">
        <x:f>C2251+D2251</x:f>
        <x:v>990417.9958716445</x:v>
      </x:c>
      <x:c r="F2251" s="78" t="n">
        <x:f>'Inputs'!$B$13*E2251+(1-'Inputs'!$B$13)/'Inputs'!$B$14*SUM(E2196:E2251)</x:f>
        <x:v>1000635.6727340964</x:v>
      </x:c>
      <x:c r="G2251" s="78" t="n">
        <x:f>F2251*'Inputs'!$F$50</x:f>
        <x:v>500317.8363670482</x:v>
      </x:c>
      <x:c r="H2251" s="78" t="n">
        <x:f>U2250</x:f>
        <x:v>26108135.717166033</x:v>
      </x:c>
      <x:c r="I2251" s="78" t="n">
        <x:f>V2250</x:f>
        <x:v>1104.1011180299147</x:v>
      </x:c>
      <x:c r="J2251" s="79" t="n">
        <x:f>IF(H2251&gt;0,I2251/H2251,0)</x:f>
        <x:v>0.000042289542615789724</x:v>
      </x:c>
      <x:c r="K2251" s="80" t="n">
        <x:f>(H2251*J2251+I2251)*'Inputs'!$D$50*(1+'Inputs'!$G$50)^(B2251/30)</x:f>
        <x:v>2208.2022360598294</x:v>
      </x:c>
      <x:c r="L2251" s="80" t="n">
        <x:f>MAX(0,K2251*'Inputs'!$E$50)</x:f>
        <x:v>0</x:v>
      </x:c>
      <x:c r="M2251" s="80" t="n">
        <x:f>MAX(0,-K2251*'Inputs'!$E$50)</x:f>
        <x:v>0</x:v>
      </x:c>
      <x:c r="N2251" s="78" t="n">
        <x:f>H2251*(L2251*(1-'Inputs'!$B$15))/(I2251+L2251*(1-'Inputs'!$B$15))</x:f>
        <x:v>0</x:v>
      </x:c>
      <x:c r="O2251" s="78" t="n">
        <x:f>H2251-N2251</x:f>
        <x:v>26108135.717166033</x:v>
      </x:c>
      <x:c r="P2251" s="78" t="n">
        <x:f>I2251+L2251*(1-'Inputs'!$B$17)</x:f>
        <x:v>1104.1011180299147</x:v>
      </x:c>
      <x:c r="Q2251" s="78" t="n">
        <x:f>IF(J2251&gt;0,M2251/J2251,0)</x:f>
        <x:v>0</x:v>
      </x:c>
      <x:c r="R2251" s="78" t="n">
        <x:f>IF(B2251='Inputs'!$H$50,'Inputs'!$B$27*'Inputs'!$I$50,0)</x:f>
        <x:v>0</x:v>
      </x:c>
      <x:c r="S2251" s="78" t="n">
        <x:f>Q2251+G2251+R2251</x:f>
        <x:v>500317.8363670482</x:v>
      </x:c>
      <x:c r="T2251" s="78" t="n">
        <x:f>P2251*(S2251*(1-'Inputs'!$B$15))/(O2251+S2251*(1-'Inputs'!$B$15))</x:f>
        <x:v>20.556636825897126</x:v>
      </x:c>
      <x:c r="U2251" s="78" t="n">
        <x:f>O2251+S2251*(1-'Inputs'!$B$17)</x:f>
        <x:v>26606440.202078886</x:v>
      </x:c>
      <x:c r="V2251" s="78" t="n">
        <x:f>P2251-T2251</x:f>
        <x:v>1083.5444812040175</x:v>
      </x:c>
      <x:c r="W2251" s="79" t="n">
        <x:f>IF(U2251&gt;0,V2251/U2251,0)</x:f>
        <x:v>0.000040724894911697174</x:v>
      </x:c>
      <x:c r="X2251" s="80" t="n">
        <x:f>W2251*('Inputs'!$B$6-AC2251)</x:f>
        <x:v>40588.58701524976</x:v>
      </x:c>
      <x:c r="Y2251" s="80" t="n">
        <x:f>2*V2251</x:f>
        <x:v>2167.088962408035</x:v>
      </x:c>
      <x:c r="Z2251" s="80" t="n">
        <x:f>K2251*'Inputs'!$B$16+(G2251+R2251)*J2251*'Inputs'!$B$16</x:f>
        <x:v>13.376162691133882</x:v>
      </x:c>
      <x:c r="AA2251" s="80" t="n">
        <x:f>K2251*(1+'Inputs'!$E$50)/2*'Inputs'!$B$17</x:f>
        <x:v>4.443062849214948</x:v>
      </x:c>
      <x:c r="AB2251" s="78" t="n">
        <x:f>(IF(J2251&gt;0,K2251*(1-'Inputs'!$E$50)/2/J2251,0)+G2251+R2251)*'Inputs'!$B$17</x:f>
        <x:v>107076.27184520355</x:v>
      </x:c>
      <x:c r="AC2251" s="78" t="n">
        <x:f>AC2250+AB2251</x:f>
        <x:v>3347041.084893388</x:v>
      </x:c>
      <x:c r="AD2251" s="80" t="n">
        <x:f>Z2251/(1+'Inputs'!$C$50)</x:f>
        <x:v>6.688081345566941</x:v>
      </x:c>
      <x:c r="AE2251" s="80" t="n">
        <x:f>Z2251-AD2251</x:f>
        <x:v>6.688081345566941</x:v>
      </x:c>
      <x:c r="AF2251" s="80" t="n">
        <x:f>D2251*W2251</x:f>
        <x:v>12.100400640157888</x:v>
      </x:c>
      <x:c r="AG2251" s="80" t="n">
        <x:f>C2251*W2251</x:f>
        <x:v>28.234268160368558</x:v>
      </x:c>
      <x:c r="AH2251" s="80" t="n">
        <x:f>2*'Inputs'!$B$8*'Inputs'!$C$50</x:f>
        <x:v>5000</x:v>
      </x:c>
      <x:c r="AI2251" s="81" t="n">
        <x:f>IF(AH2251&gt;0,(AE2251+AF2251)/AH2251*365,0)</x:f>
        <x:v>1.3715591849579125</x:v>
      </x:c>
      <x:c r="AJ2251" s="81" t="n">
        <x:f>IF('Inputs'!$B$50&gt;0,AG2251/('Inputs'!$B$19*'Inputs'!$B$50)*365,0)</x:f>
        <x:v>1.0305507878534523</x:v>
      </x:c>
      <x:c r="AK2251" s="81" t="n">
        <x:f>W2251/MAX($W$2194:W2251)-1</x:f>
        <x:v>-0.9516781912040089</x:v>
      </x:c>
      <x:c r="AL2251" s="83" t="n">
        <x:f>'Inputs'!$B$50</x:f>
        <x:v>1</x:v>
      </x:c>
      <x:c r="AM2251" s="83" t="n">
        <x:f>'Inputs'!$C$50</x:f>
        <x:v>1</x:v>
      </x:c>
      <x:c r="AN2251" s="83" t="n">
        <x:f>'Inputs'!$D$50</x:f>
        <x:v>1</x:v>
      </x:c>
      <x:c r="AO2251" s="81" t="n">
        <x:f>'Inputs'!$E$50</x:f>
        <x:v>0</x:v>
      </x:c>
    </x:row>
    <x:row r="2252">
      <x:c r="A2252" s="59" t="str">
        <x:v>Whale exit</x:v>
      </x:c>
      <x:c r="B2252" s="59" t="n">
        <x:v>59</x:v>
      </x:c>
      <x:c r="C2252" s="78" t="n">
        <x:f>(('Inputs'!$B$29*(3*59*'Inputs'!$B$12-59^2)/(2*'Inputs'!$B$12^2))-('Inputs'!$B$29*(3*58*'Inputs'!$B$12-58^2)/(2*'Inputs'!$B$12^2)))*'Inputs'!$B$50</x:f>
        <x:v>692967.4892099798</x:v>
      </x:c>
      <x:c r="D2252" s="78" t="n">
        <x:f>IF('Inputs'!$C$50&gt;0,('Inputs'!$B$30*(3*59*'Inputs'!$B$12-59^2)/(2*'Inputs'!$B$12^2))-('Inputs'!$B$30*(3*58*'Inputs'!$B$12-58^2)/(2*'Inputs'!$B$12^2)),0)</x:f>
        <x:v>296986.06680427864</x:v>
      </x:c>
      <x:c r="E2252" s="78" t="n">
        <x:f>C2252+D2252</x:f>
        <x:v>989953.5560142584</x:v>
      </x:c>
      <x:c r="F2252" s="78" t="n">
        <x:f>'Inputs'!$B$13*E2252+(1-'Inputs'!$B$13)/'Inputs'!$B$14*SUM(E2197:E2252)</x:f>
        <x:v>1000171.2328767116</x:v>
      </x:c>
      <x:c r="G2252" s="78" t="n">
        <x:f>F2252*'Inputs'!$F$50</x:f>
        <x:v>500085.6164383558</x:v>
      </x:c>
      <x:c r="H2252" s="78" t="n">
        <x:f>U2251</x:f>
        <x:v>26606440.202078886</x:v>
      </x:c>
      <x:c r="I2252" s="78" t="n">
        <x:f>V2251</x:f>
        <x:v>1083.5444812040175</x:v>
      </x:c>
      <x:c r="J2252" s="79" t="n">
        <x:f>IF(H2252&gt;0,I2252/H2252,0)</x:f>
        <x:v>0.000040724894911697174</x:v>
      </x:c>
      <x:c r="K2252" s="80" t="n">
        <x:f>(H2252*J2252+I2252)*'Inputs'!$D$50*(1+'Inputs'!$G$50)^(B2252/30)</x:f>
        <x:v>2167.088962408035</x:v>
      </x:c>
      <x:c r="L2252" s="80" t="n">
        <x:f>MAX(0,K2252*'Inputs'!$E$50)</x:f>
        <x:v>0</x:v>
      </x:c>
      <x:c r="M2252" s="80" t="n">
        <x:f>MAX(0,-K2252*'Inputs'!$E$50)</x:f>
        <x:v>0</x:v>
      </x:c>
      <x:c r="N2252" s="78" t="n">
        <x:f>H2252*(L2252*(1-'Inputs'!$B$15))/(I2252+L2252*(1-'Inputs'!$B$15))</x:f>
        <x:v>0</x:v>
      </x:c>
      <x:c r="O2252" s="78" t="n">
        <x:f>H2252-N2252</x:f>
        <x:v>26606440.202078886</x:v>
      </x:c>
      <x:c r="P2252" s="78" t="n">
        <x:f>I2252+L2252*(1-'Inputs'!$B$17)</x:f>
        <x:v>1083.5444812040175</x:v>
      </x:c>
      <x:c r="Q2252" s="78" t="n">
        <x:f>IF(J2252&gt;0,M2252/J2252,0)</x:f>
        <x:v>0</x:v>
      </x:c>
      <x:c r="R2252" s="78" t="n">
        <x:f>IF(B2252='Inputs'!$H$50,'Inputs'!$B$27*'Inputs'!$I$50,0)</x:f>
        <x:v>0</x:v>
      </x:c>
      <x:c r="S2252" s="78" t="n">
        <x:f>Q2252+G2252+R2252</x:f>
        <x:v>500085.6164383558</x:v>
      </x:c>
      <x:c r="T2252" s="78" t="n">
        <x:f>P2252*(S2252*(1-'Inputs'!$B$15))/(O2252+S2252*(1-'Inputs'!$B$15))</x:f>
        <x:v>19.793954785506074</x:v>
      </x:c>
      <x:c r="U2252" s="78" t="n">
        <x:f>O2252+S2252*(1-'Inputs'!$B$17)</x:f>
        <x:v>27104513.401549682</x:v>
      </x:c>
      <x:c r="V2252" s="78" t="n">
        <x:f>P2252-T2252</x:f>
        <x:v>1063.7505264185115</x:v>
      </x:c>
      <x:c r="W2252" s="79" t="n">
        <x:f>IF(U2252&gt;0,V2252/U2252,0)</x:f>
        <x:v>0.00003924625063948546</x:v>
      </x:c>
      <x:c r="X2252" s="80" t="n">
        <x:f>W2252*('Inputs'!$B$6-AC2252)</x:f>
        <x:v>39110.61082211783</x:v>
      </x:c>
      <x:c r="Y2252" s="80" t="n">
        <x:f>2*V2252</x:f>
        <x:v>2127.501052837023</x:v>
      </x:c>
      <x:c r="Z2252" s="80" t="n">
        <x:f>K2252*'Inputs'!$B$16+(G2252+R2252)*J2252*'Inputs'!$B$16</x:f>
        <x:v>13.12472937950603</x:v>
      </x:c>
      <x:c r="AA2252" s="80" t="n">
        <x:f>K2252*(1+'Inputs'!$E$50)/2*'Inputs'!$B$17</x:f>
        <x:v>4.360339964603693</x:v>
      </x:c>
      <x:c r="AB2252" s="78" t="n">
        <x:f>(IF(J2252&gt;0,K2252*(1-'Inputs'!$E$50)/2/J2252,0)+G2252+R2252)*'Inputs'!$B$17</x:f>
        <x:v>109080.586794838</x:v>
      </x:c>
      <x:c r="AC2252" s="78" t="n">
        <x:f>AC2251+AB2252</x:f>
        <x:v>3456121.671688226</x:v>
      </x:c>
      <x:c r="AD2252" s="80" t="n">
        <x:f>Z2252/(1+'Inputs'!$C$50)</x:f>
        <x:v>6.562364689753015</x:v>
      </x:c>
      <x:c r="AE2252" s="80" t="n">
        <x:f>Z2252-AD2252</x:f>
        <x:v>6.562364689753015</x:v>
      </x:c>
      <x:c r="AF2252" s="80" t="n">
        <x:f>D2252*W2252</x:f>
        <x:v>11.655589614235693</x:v>
      </x:c>
      <x:c r="AG2252" s="80" t="n">
        <x:f>C2252*W2252</x:f>
        <x:v>27.196375766549803</x:v>
      </x:c>
      <x:c r="AH2252" s="80" t="n">
        <x:f>2*'Inputs'!$B$8*'Inputs'!$C$50</x:f>
        <x:v>5000</x:v>
      </x:c>
      <x:c r="AI2252" s="81" t="n">
        <x:f>IF(AH2252&gt;0,(AE2252+AF2252)/AH2252*365,0)</x:f>
        <x:v>1.3299106641911758</x:v>
      </x:c>
      <x:c r="AJ2252" s="81" t="n">
        <x:f>IF('Inputs'!$B$50&gt;0,AG2252/('Inputs'!$B$19*'Inputs'!$B$50)*365,0)</x:f>
        <x:v>0.9926677154790678</x:v>
      </x:c>
      <x:c r="AK2252" s="81" t="n">
        <x:f>W2252/MAX($W$2194:W2252)-1</x:f>
        <x:v>-0.9534326651186507</x:v>
      </x:c>
      <x:c r="AL2252" s="83" t="n">
        <x:f>'Inputs'!$B$50</x:f>
        <x:v>1</x:v>
      </x:c>
      <x:c r="AM2252" s="83" t="n">
        <x:f>'Inputs'!$C$50</x:f>
        <x:v>1</x:v>
      </x:c>
      <x:c r="AN2252" s="83" t="n">
        <x:f>'Inputs'!$D$50</x:f>
        <x:v>1</x:v>
      </x:c>
      <x:c r="AO2252" s="81" t="n">
        <x:f>'Inputs'!$E$50</x:f>
        <x:v>0</x:v>
      </x:c>
    </x:row>
    <x:row r="2253">
      <x:c r="A2253" s="59" t="str">
        <x:v>Whale exit</x:v>
      </x:c>
      <x:c r="B2253" s="59" t="n">
        <x:v>60</x:v>
      </x:c>
      <x:c r="C2253" s="78" t="n">
        <x:f>(('Inputs'!$B$29*(3*60*'Inputs'!$B$12-60^2)/(2*'Inputs'!$B$12^2))-('Inputs'!$B$29*(3*59*'Inputs'!$B$12-59^2)/(2*'Inputs'!$B$12^2)))*'Inputs'!$B$50</x:f>
        <x:v>692642.3813098148</x:v>
      </x:c>
      <x:c r="D2253" s="78" t="n">
        <x:f>IF('Inputs'!$C$50&gt;0,('Inputs'!$B$30*(3*60*'Inputs'!$B$12-60^2)/(2*'Inputs'!$B$12^2))-('Inputs'!$B$30*(3*59*'Inputs'!$B$12-59^2)/(2*'Inputs'!$B$12^2)),0)</x:f>
        <x:v>296846.73484706506</x:v>
      </x:c>
      <x:c r="E2253" s="78" t="n">
        <x:f>C2253+D2253</x:f>
        <x:v>989489.1161568798</x:v>
      </x:c>
      <x:c r="F2253" s="78" t="n">
        <x:f>'Inputs'!$B$13*E2253+(1-'Inputs'!$B$13)/'Inputs'!$B$14*SUM(E2198:E2253)</x:f>
        <x:v>999706.7930193288</x:v>
      </x:c>
      <x:c r="G2253" s="78" t="n">
        <x:f>F2253*'Inputs'!$F$50</x:f>
        <x:v>499853.3965096644</x:v>
      </x:c>
      <x:c r="H2253" s="78" t="n">
        <x:f>U2252</x:f>
        <x:v>27104513.401549682</x:v>
      </x:c>
      <x:c r="I2253" s="78" t="n">
        <x:f>V2252</x:f>
        <x:v>1063.7505264185115</x:v>
      </x:c>
      <x:c r="J2253" s="79" t="n">
        <x:f>IF(H2253&gt;0,I2253/H2253,0)</x:f>
        <x:v>0.00003924625063948546</x:v>
      </x:c>
      <x:c r="K2253" s="80" t="n">
        <x:f>(H2253*J2253+I2253)*'Inputs'!$D$50*(1+'Inputs'!$G$50)^(B2253/30)</x:f>
        <x:v>2127.501052837023</x:v>
      </x:c>
      <x:c r="L2253" s="80" t="n">
        <x:f>MAX(0,K2253*'Inputs'!$E$50)</x:f>
        <x:v>0</x:v>
      </x:c>
      <x:c r="M2253" s="80" t="n">
        <x:f>MAX(0,-K2253*'Inputs'!$E$50)</x:f>
        <x:v>0</x:v>
      </x:c>
      <x:c r="N2253" s="78" t="n">
        <x:f>H2253*(L2253*(1-'Inputs'!$B$15))/(I2253+L2253*(1-'Inputs'!$B$15))</x:f>
        <x:v>0</x:v>
      </x:c>
      <x:c r="O2253" s="78" t="n">
        <x:f>H2253-N2253</x:f>
        <x:v>27104513.401549682</x:v>
      </x:c>
      <x:c r="P2253" s="78" t="n">
        <x:f>I2253+L2253*(1-'Inputs'!$B$17)</x:f>
        <x:v>1063.7505264185115</x:v>
      </x:c>
      <x:c r="Q2253" s="78" t="n">
        <x:f>IF(J2253&gt;0,M2253/J2253,0)</x:f>
        <x:v>0</x:v>
      </x:c>
      <x:c r="R2253" s="78" t="n">
        <x:f>IF(B2253='Inputs'!$H$50,'Inputs'!$B$27*'Inputs'!$I$50,0)</x:f>
        <x:v>0</x:v>
      </x:c>
      <x:c r="S2253" s="78" t="n">
        <x:f>Q2253+G2253+R2253</x:f>
        <x:v>499853.3965096644</x:v>
      </x:c>
      <x:c r="T2253" s="78" t="n">
        <x:f>P2253*(S2253*(1-'Inputs'!$B$15))/(O2253+S2253*(1-'Inputs'!$B$15))</x:f>
        <x:v>19.072977160037887</x:v>
      </x:c>
      <x:c r="U2253" s="78" t="n">
        <x:f>O2253+S2253*(1-'Inputs'!$B$17)</x:f>
        <x:v>27602355.315578423</x:v>
      </x:c>
      <x:c r="V2253" s="78" t="n">
        <x:f>P2253-T2253</x:f>
        <x:v>1044.6775492584736</x:v>
      </x:c>
      <x:c r="W2253" s="79" t="n">
        <x:f>IF(U2253&gt;0,V2253/U2253,0)</x:f>
        <x:v>0.00003784740603889229</x:v>
      </x:c>
      <x:c r="X2253" s="80" t="n">
        <x:f>W2253*('Inputs'!$B$6-AC2253)</x:f>
        <x:v>37712.396558508546</x:v>
      </x:c>
      <x:c r="Y2253" s="80" t="n">
        <x:f>2*V2253</x:f>
        <x:v>2089.3550985169472</x:v>
      </x:c>
      <x:c r="Z2253" s="80" t="n">
        <x:f>K2253*'Inputs'!$B$16+(G2253+R2253)*J2253*'Inputs'!$B$16</x:f>
        <x:v>12.882710547116636</x:v>
      </x:c>
      <x:c r="AA2253" s="80" t="n">
        <x:f>K2253*(1+'Inputs'!$E$50)/2*'Inputs'!$B$17</x:f>
        <x:v>4.280686223012119</x:v>
      </x:c>
      <x:c r="AB2253" s="78" t="n">
        <x:f>(IF(J2253&gt;0,K2253*(1-'Inputs'!$E$50)/2/J2253,0)+G2253+R2253)*'Inputs'!$B$17</x:f>
        <x:v>111083.9710183475</x:v>
      </x:c>
      <x:c r="AC2253" s="78" t="n">
        <x:f>AC2252+AB2253</x:f>
        <x:v>3567205.6427065735</x:v>
      </x:c>
      <x:c r="AD2253" s="80" t="n">
        <x:f>Z2253/(1+'Inputs'!$C$50)</x:f>
        <x:v>6.441355273558318</x:v>
      </x:c>
      <x:c r="AE2253" s="80" t="n">
        <x:f>Z2253-AD2253</x:f>
        <x:v>6.441355273558318</x:v>
      </x:c>
      <x:c r="AF2253" s="80" t="n">
        <x:f>D2253*W2253</x:f>
        <x:v>11.23487890507627</x:v>
      </x:c>
      <x:c r="AG2253" s="80" t="n">
        <x:f>C2253*W2253</x:f>
        <x:v>26.214717445177822</x:v>
      </x:c>
      <x:c r="AH2253" s="80" t="n">
        <x:f>2*'Inputs'!$B$8*'Inputs'!$C$50</x:f>
        <x:v>5000</x:v>
      </x:c>
      <x:c r="AI2253" s="81" t="n">
        <x:f>IF(AH2253&gt;0,(AE2253+AF2253)/AH2253*365,0)</x:f>
        <x:v>1.290365095040325</x:v>
      </x:c>
      <x:c r="AJ2253" s="81" t="n">
        <x:f>IF('Inputs'!$B$50&gt;0,AG2253/('Inputs'!$B$19*'Inputs'!$B$50)*365,0)</x:f>
        <x:v>0.9568371867489905</x:v>
      </x:c>
      <x:c r="AK2253" s="81" t="n">
        <x:f>W2253/MAX($W$2194:W2253)-1</x:f>
        <x:v>-0.9550924533506825</x:v>
      </x:c>
      <x:c r="AL2253" s="83" t="n">
        <x:f>'Inputs'!$B$50</x:f>
        <x:v>1</x:v>
      </x:c>
      <x:c r="AM2253" s="83" t="n">
        <x:f>'Inputs'!$C$50</x:f>
        <x:v>1</x:v>
      </x:c>
      <x:c r="AN2253" s="83" t="n">
        <x:f>'Inputs'!$D$50</x:f>
        <x:v>1</x:v>
      </x:c>
      <x:c r="AO2253" s="81" t="n">
        <x:f>'Inputs'!$E$50</x:f>
        <x:v>0</x:v>
      </x:c>
    </x:row>
    <x:row r="2254">
      <x:c r="A2254" s="59" t="str">
        <x:v>Whale exit</x:v>
      </x:c>
      <x:c r="B2254" s="59" t="n">
        <x:v>61</x:v>
      </x:c>
      <x:c r="C2254" s="78" t="n">
        <x:f>(('Inputs'!$B$29*(3*61*'Inputs'!$B$12-61^2)/(2*'Inputs'!$B$12^2))-('Inputs'!$B$29*(3*60*'Inputs'!$B$12-60^2)/(2*'Inputs'!$B$12^2)))*'Inputs'!$B$50</x:f>
        <x:v>692317.2734096497</x:v>
      </x:c>
      <x:c r="D2254" s="78" t="n">
        <x:f>IF('Inputs'!$C$50&gt;0,('Inputs'!$B$30*(3*61*'Inputs'!$B$12-61^2)/(2*'Inputs'!$B$12^2))-('Inputs'!$B$30*(3*60*'Inputs'!$B$12-60^2)/(2*'Inputs'!$B$12^2)),0)</x:f>
        <x:v>296707.40288984776</x:v>
      </x:c>
      <x:c r="E2254" s="78" t="n">
        <x:f>C2254+D2254</x:f>
        <x:v>989024.6762994975</x:v>
      </x:c>
      <x:c r="F2254" s="78" t="n">
        <x:f>'Inputs'!$B$13*E2254+(1-'Inputs'!$B$13)/'Inputs'!$B$14*SUM(E2199:E2254)</x:f>
        <x:v>999242.3531619449</x:v>
      </x:c>
      <x:c r="G2254" s="78" t="n">
        <x:f>F2254*'Inputs'!$F$50</x:f>
        <x:v>499621.17658097245</x:v>
      </x:c>
      <x:c r="H2254" s="78" t="n">
        <x:f>U2253</x:f>
        <x:v>27602355.315578423</x:v>
      </x:c>
      <x:c r="I2254" s="78" t="n">
        <x:f>V2253</x:f>
        <x:v>1044.6775492584736</x:v>
      </x:c>
      <x:c r="J2254" s="79" t="n">
        <x:f>IF(H2254&gt;0,I2254/H2254,0)</x:f>
        <x:v>0.00003784740603889229</x:v>
      </x:c>
      <x:c r="K2254" s="80" t="n">
        <x:f>(H2254*J2254+I2254)*'Inputs'!$D$50*(1+'Inputs'!$G$50)^(B2254/30)</x:f>
        <x:v>2089.3550985169472</x:v>
      </x:c>
      <x:c r="L2254" s="80" t="n">
        <x:f>MAX(0,K2254*'Inputs'!$E$50)</x:f>
        <x:v>0</x:v>
      </x:c>
      <x:c r="M2254" s="80" t="n">
        <x:f>MAX(0,-K2254*'Inputs'!$E$50)</x:f>
        <x:v>0</x:v>
      </x:c>
      <x:c r="N2254" s="78" t="n">
        <x:f>H2254*(L2254*(1-'Inputs'!$B$15))/(I2254+L2254*(1-'Inputs'!$B$15))</x:f>
        <x:v>0</x:v>
      </x:c>
      <x:c r="O2254" s="78" t="n">
        <x:f>H2254-N2254</x:f>
        <x:v>27602355.315578423</x:v>
      </x:c>
      <x:c r="P2254" s="78" t="n">
        <x:f>I2254+L2254*(1-'Inputs'!$B$17)</x:f>
        <x:v>1044.6775492584736</x:v>
      </x:c>
      <x:c r="Q2254" s="78" t="n">
        <x:f>IF(J2254&gt;0,M2254/J2254,0)</x:f>
        <x:v>0</x:v>
      </x:c>
      <x:c r="R2254" s="78" t="n">
        <x:f>IF(B2254='Inputs'!$H$50,'Inputs'!$B$27*'Inputs'!$I$50,0)</x:f>
        <x:v>0</x:v>
      </x:c>
      <x:c r="S2254" s="78" t="n">
        <x:f>Q2254+G2254+R2254</x:f>
        <x:v>499621.17658097245</x:v>
      </x:c>
      <x:c r="T2254" s="78" t="n">
        <x:f>P2254*(S2254*(1-'Inputs'!$B$15))/(O2254+S2254*(1-'Inputs'!$B$15))</x:f>
        <x:v>18.390716400428943</x:v>
      </x:c>
      <x:c r="U2254" s="78" t="n">
        <x:f>O2254+S2254*(1-'Inputs'!$B$17)</x:f>
        <x:v>28099965.944165107</x:v>
      </x:c>
      <x:c r="V2254" s="78" t="n">
        <x:f>P2254-T2254</x:f>
        <x:v>1026.2868328580446</x:v>
      </x:c>
      <x:c r="W2254" s="79" t="n">
        <x:f>IF(U2254&gt;0,V2254/U2254,0)</x:f>
        <x:v>0.000036522707354780645</x:v>
      </x:c>
      <x:c r="X2254" s="80" t="n">
        <x:f>W2254*('Inputs'!$B$6-AC2254)</x:f>
        <x:v>36388.29312462936</x:v>
      </x:c>
      <x:c r="Y2254" s="80" t="n">
        <x:f>2*V2254</x:f>
        <x:v>2052.573665716089</x:v>
      </x:c>
      <x:c r="Z2254" s="80" t="n">
        <x:f>K2254*'Inputs'!$B$16+(G2254+R2254)*J2254*'Inputs'!$B$16</x:f>
        <x:v>12.649586784315819</x:v>
      </x:c>
      <x:c r="AA2254" s="80" t="n">
        <x:f>K2254*(1+'Inputs'!$E$50)/2*'Inputs'!$B$17</x:f>
        <x:v>4.2039337998328925</x:v>
      </x:c>
      <x:c r="AB2254" s="78" t="n">
        <x:f>(IF(J2254&gt;0,K2254*(1-'Inputs'!$E$50)/2/J2254,0)+G2254+R2254)*'Inputs'!$B$17</x:f>
        <x:v>113086.42451573198</x:v>
      </x:c>
      <x:c r="AC2254" s="78" t="n">
        <x:f>AC2253+AB2254</x:f>
        <x:v>3680292.0672223056</x:v>
      </x:c>
      <x:c r="AD2254" s="80" t="n">
        <x:f>Z2254/(1+'Inputs'!$C$50)</x:f>
        <x:v>6.324793392157909</x:v>
      </x:c>
      <x:c r="AE2254" s="80" t="n">
        <x:f>Z2254-AD2254</x:f>
        <x:v>6.324793392157909</x:v>
      </x:c>
      <x:c r="AF2254" s="80" t="n">
        <x:f>D2254*W2254</x:f>
        <x:v>10.836557645742907</x:v>
      </x:c>
      <x:c r="AG2254" s="80" t="n">
        <x:f>C2254*W2254</x:f>
        <x:v>25.285301173400295</x:v>
      </x:c>
      <x:c r="AH2254" s="80" t="n">
        <x:f>2*'Inputs'!$B$8*'Inputs'!$C$50</x:f>
        <x:v>5000</x:v>
      </x:c>
      <x:c r="AI2254" s="81" t="n">
        <x:f>IF(AH2254&gt;0,(AE2254+AF2254)/AH2254*365,0)</x:f>
        <x:v>1.2527786257667595</x:v>
      </x:c>
      <x:c r="AJ2254" s="81" t="n">
        <x:f>IF('Inputs'!$B$50&gt;0,AG2254/('Inputs'!$B$19*'Inputs'!$B$50)*365,0)</x:f>
        <x:v>0.9229134928291107</x:v>
      </x:c>
      <x:c r="AK2254" s="81" t="n">
        <x:f>W2254/MAX($W$2194:W2254)-1</x:f>
        <x:v>-0.9566642643194951</x:v>
      </x:c>
      <x:c r="AL2254" s="83" t="n">
        <x:f>'Inputs'!$B$50</x:f>
        <x:v>1</x:v>
      </x:c>
      <x:c r="AM2254" s="83" t="n">
        <x:f>'Inputs'!$C$50</x:f>
        <x:v>1</x:v>
      </x:c>
      <x:c r="AN2254" s="83" t="n">
        <x:f>'Inputs'!$D$50</x:f>
        <x:v>1</x:v>
      </x:c>
      <x:c r="AO2254" s="81" t="n">
        <x:f>'Inputs'!$E$50</x:f>
        <x:v>0</x:v>
      </x:c>
    </x:row>
    <x:row r="2255">
      <x:c r="A2255" s="59" t="str">
        <x:v>Whale exit</x:v>
      </x:c>
      <x:c r="B2255" s="59" t="n">
        <x:v>62</x:v>
      </x:c>
      <x:c r="C2255" s="78" t="n">
        <x:f>(('Inputs'!$B$29*(3*62*'Inputs'!$B$12-62^2)/(2*'Inputs'!$B$12^2))-('Inputs'!$B$29*(3*61*'Inputs'!$B$12-61^2)/(2*'Inputs'!$B$12^2)))*'Inputs'!$B$50</x:f>
        <x:v>691992.1655094698</x:v>
      </x:c>
      <x:c r="D2255" s="78" t="n">
        <x:f>IF('Inputs'!$C$50&gt;0,('Inputs'!$B$30*(3*62*'Inputs'!$B$12-62^2)/(2*'Inputs'!$B$12^2))-('Inputs'!$B$30*(3*61*'Inputs'!$B$12-61^2)/(2*'Inputs'!$B$12^2)),0)</x:f>
        <x:v>296568.0709326342</x:v>
      </x:c>
      <x:c r="E2255" s="78" t="n">
        <x:f>C2255+D2255</x:f>
        <x:v>988560.236442104</x:v>
      </x:c>
      <x:c r="F2255" s="78" t="n">
        <x:f>'Inputs'!$B$13*E2255+(1-'Inputs'!$B$13)/'Inputs'!$B$14*SUM(E2200:E2255)</x:f>
        <x:v>998777.913304559</x:v>
      </x:c>
      <x:c r="G2255" s="78" t="n">
        <x:f>F2255*'Inputs'!$F$50</x:f>
        <x:v>499388.9566522795</x:v>
      </x:c>
      <x:c r="H2255" s="78" t="n">
        <x:f>U2254</x:f>
        <x:v>28099965.944165107</x:v>
      </x:c>
      <x:c r="I2255" s="78" t="n">
        <x:f>V2254</x:f>
        <x:v>1026.2868328580446</x:v>
      </x:c>
      <x:c r="J2255" s="79" t="n">
        <x:f>IF(H2255&gt;0,I2255/H2255,0)</x:f>
        <x:v>0.000036522707354780645</x:v>
      </x:c>
      <x:c r="K2255" s="80" t="n">
        <x:f>(H2255*J2255+I2255)*'Inputs'!$D$50*(1+'Inputs'!$G$50)^(B2255/30)</x:f>
        <x:v>2052.573665716089</x:v>
      </x:c>
      <x:c r="L2255" s="80" t="n">
        <x:f>MAX(0,K2255*'Inputs'!$E$50)</x:f>
        <x:v>0</x:v>
      </x:c>
      <x:c r="M2255" s="80" t="n">
        <x:f>MAX(0,-K2255*'Inputs'!$E$50)</x:f>
        <x:v>0</x:v>
      </x:c>
      <x:c r="N2255" s="78" t="n">
        <x:f>H2255*(L2255*(1-'Inputs'!$B$15))/(I2255+L2255*(1-'Inputs'!$B$15))</x:f>
        <x:v>0</x:v>
      </x:c>
      <x:c r="O2255" s="78" t="n">
        <x:f>H2255-N2255</x:f>
        <x:v>28099965.944165107</x:v>
      </x:c>
      <x:c r="P2255" s="78" t="n">
        <x:f>I2255+L2255*(1-'Inputs'!$B$17)</x:f>
        <x:v>1026.2868328580446</x:v>
      </x:c>
      <x:c r="Q2255" s="78" t="n">
        <x:f>IF(J2255&gt;0,M2255/J2255,0)</x:f>
        <x:v>0</x:v>
      </x:c>
      <x:c r="R2255" s="78" t="n">
        <x:f>IF(B2255='Inputs'!$H$50,'Inputs'!$B$27*'Inputs'!$I$50,0)</x:f>
        <x:v>0</x:v>
      </x:c>
      <x:c r="S2255" s="78" t="n">
        <x:f>Q2255+G2255+R2255</x:f>
        <x:v>499388.9566522795</x:v>
      </x:c>
      <x:c r="T2255" s="78" t="n">
        <x:f>P2255*(S2255*(1-'Inputs'!$B$15))/(O2255+S2255*(1-'Inputs'!$B$15))</x:f>
        <x:v>17.74444784342064</x:v>
      </x:c>
      <x:c r="U2255" s="78" t="n">
        <x:f>O2255+S2255*(1-'Inputs'!$B$17)</x:f>
        <x:v>28597345.287309732</x:v>
      </x:c>
      <x:c r="V2255" s="78" t="n">
        <x:f>P2255-T2255</x:f>
        <x:v>1008.542385014624</x:v>
      </x:c>
      <x:c r="W2255" s="79" t="n">
        <x:f>IF(U2255&gt;0,V2255/U2255,0)</x:f>
        <x:v>0.00003526699331291326</x:v>
      </x:c>
      <x:c r="X2255" s="80" t="n">
        <x:f>W2255*('Inputs'!$B$6-AC2255)</x:f>
        <x:v>35133.141671321595</x:v>
      </x:c>
      <x:c r="Y2255" s="80" t="n">
        <x:f>2*V2255</x:f>
        <x:v>2017.084770029248</x:v>
      </x:c>
      <x:c r="Z2255" s="80" t="n">
        <x:f>K2255*'Inputs'!$B$16+(G2255+R2255)*J2255*'Inputs'!$B$16</x:f>
        <x:v>12.424876214616658</x:v>
      </x:c>
      <x:c r="AA2255" s="80" t="n">
        <x:f>K2255*(1+'Inputs'!$E$50)/2*'Inputs'!$B$17</x:f>
        <x:v>4.129926892788912</x:v>
      </x:c>
      <x:c r="AB2255" s="78" t="n">
        <x:f>(IF(J2255&gt;0,K2255*(1-'Inputs'!$E$50)/2/J2255,0)+G2255+R2255)*'Inputs'!$B$17</x:f>
        <x:v>115087.9472869915</x:v>
      </x:c>
      <x:c r="AC2255" s="78" t="n">
        <x:f>AC2254+AB2255</x:f>
        <x:v>3795380.014509297</x:v>
      </x:c>
      <x:c r="AD2255" s="80" t="n">
        <x:f>Z2255/(1+'Inputs'!$C$50)</x:f>
        <x:v>6.212438107308329</x:v>
      </x:c>
      <x:c r="AE2255" s="80" t="n">
        <x:f>Z2255-AD2255</x:f>
        <x:v>6.212438107308329</x:v>
      </x:c>
      <x:c r="AF2255" s="80" t="n">
        <x:f>D2255*W2255</x:f>
        <x:v>10.459064174404796</x:v>
      </x:c>
      <x:c r="AG2255" s="80" t="n">
        <x:f>C2255*W2255</x:f>
        <x:v>24.40448307361084</x:v>
      </x:c>
      <x:c r="AH2255" s="80" t="n">
        <x:f>2*'Inputs'!$B$8*'Inputs'!$C$50</x:f>
        <x:v>5000</x:v>
      </x:c>
      <x:c r="AI2255" s="81" t="n">
        <x:f>IF(AH2255&gt;0,(AE2255+AF2255)/AH2255*365,0)</x:f>
        <x:v>1.2170196665650581</x:v>
      </x:c>
      <x:c r="AJ2255" s="81" t="n">
        <x:f>IF('Inputs'!$B$50&gt;0,AG2255/('Inputs'!$B$19*'Inputs'!$B$50)*365,0)</x:f>
        <x:v>0.8907636321867957</x:v>
      </x:c>
      <x:c r="AK2255" s="81" t="n">
        <x:f>W2255/MAX($W$2194:W2255)-1</x:f>
        <x:v>-0.9581542220950798</x:v>
      </x:c>
      <x:c r="AL2255" s="83" t="n">
        <x:f>'Inputs'!$B$50</x:f>
        <x:v>1</x:v>
      </x:c>
      <x:c r="AM2255" s="83" t="n">
        <x:f>'Inputs'!$C$50</x:f>
        <x:v>1</x:v>
      </x:c>
      <x:c r="AN2255" s="83" t="n">
        <x:f>'Inputs'!$D$50</x:f>
        <x:v>1</x:v>
      </x:c>
      <x:c r="AO2255" s="81" t="n">
        <x:f>'Inputs'!$E$50</x:f>
        <x:v>0</x:v>
      </x:c>
    </x:row>
    <x:row r="2256">
      <x:c r="A2256" s="59" t="str">
        <x:v>Whale exit</x:v>
      </x:c>
      <x:c r="B2256" s="59" t="n">
        <x:v>63</x:v>
      </x:c>
      <x:c r="C2256" s="78" t="n">
        <x:f>(('Inputs'!$B$29*(3*63*'Inputs'!$B$12-63^2)/(2*'Inputs'!$B$12^2))-('Inputs'!$B$29*(3*62*'Inputs'!$B$12-62^2)/(2*'Inputs'!$B$12^2)))*'Inputs'!$B$50</x:f>
        <x:v>691667.0576093122</x:v>
      </x:c>
      <x:c r="D2256" s="78" t="n">
        <x:f>IF('Inputs'!$C$50&gt;0,('Inputs'!$B$30*(3*63*'Inputs'!$B$12-63^2)/(2*'Inputs'!$B$12^2))-('Inputs'!$B$30*(3*62*'Inputs'!$B$12-62^2)/(2*'Inputs'!$B$12^2)),0)</x:f>
        <x:v>296428.73897541687</x:v>
      </x:c>
      <x:c r="E2256" s="78" t="n">
        <x:f>C2256+D2256</x:f>
        <x:v>988095.7965847291</x:v>
      </x:c>
      <x:c r="F2256" s="78" t="n">
        <x:f>'Inputs'!$B$13*E2256+(1-'Inputs'!$B$13)/'Inputs'!$B$14*SUM(E2201:E2256)</x:f>
        <x:v>998313.4734471765</x:v>
      </x:c>
      <x:c r="G2256" s="78" t="n">
        <x:f>F2256*'Inputs'!$F$50</x:f>
        <x:v>499156.73672358826</x:v>
      </x:c>
      <x:c r="H2256" s="78" t="n">
        <x:f>U2255</x:f>
        <x:v>28597345.287309732</x:v>
      </x:c>
      <x:c r="I2256" s="78" t="n">
        <x:f>V2255</x:f>
        <x:v>1008.542385014624</x:v>
      </x:c>
      <x:c r="J2256" s="79" t="n">
        <x:f>IF(H2256&gt;0,I2256/H2256,0)</x:f>
        <x:v>0.00003526699331291326</x:v>
      </x:c>
      <x:c r="K2256" s="80" t="n">
        <x:f>(H2256*J2256+I2256)*'Inputs'!$D$50*(1+'Inputs'!$G$50)^(B2256/30)</x:f>
        <x:v>2017.084770029248</x:v>
      </x:c>
      <x:c r="L2256" s="80" t="n">
        <x:f>MAX(0,K2256*'Inputs'!$E$50)</x:f>
        <x:v>0</x:v>
      </x:c>
      <x:c r="M2256" s="80" t="n">
        <x:f>MAX(0,-K2256*'Inputs'!$E$50)</x:f>
        <x:v>0</x:v>
      </x:c>
      <x:c r="N2256" s="78" t="n">
        <x:f>H2256*(L2256*(1-'Inputs'!$B$15))/(I2256+L2256*(1-'Inputs'!$B$15))</x:f>
        <x:v>0</x:v>
      </x:c>
      <x:c r="O2256" s="78" t="n">
        <x:f>H2256-N2256</x:f>
        <x:v>28597345.287309732</x:v>
      </x:c>
      <x:c r="P2256" s="78" t="n">
        <x:f>I2256+L2256*(1-'Inputs'!$B$17)</x:f>
        <x:v>1008.542385014624</x:v>
      </x:c>
      <x:c r="Q2256" s="78" t="n">
        <x:f>IF(J2256&gt;0,M2256/J2256,0)</x:f>
        <x:v>0</x:v>
      </x:c>
      <x:c r="R2256" s="78" t="n">
        <x:f>IF(B2256='Inputs'!$H$50,'Inputs'!$B$27*'Inputs'!$I$50,0)</x:f>
        <x:v>0</x:v>
      </x:c>
      <x:c r="S2256" s="78" t="n">
        <x:f>Q2256+G2256+R2256</x:f>
        <x:v>499156.73672358826</x:v>
      </x:c>
      <x:c r="T2256" s="78" t="n">
        <x:f>P2256*(S2256*(1-'Inputs'!$B$15))/(O2256+S2256*(1-'Inputs'!$B$15))</x:f>
        <x:v>17.131682427978227</x:v>
      </x:c>
      <x:c r="U2256" s="78" t="n">
        <x:f>O2256+S2256*(1-'Inputs'!$B$17)</x:f>
        <x:v>29094493.3450123</x:v>
      </x:c>
      <x:c r="V2256" s="78" t="n">
        <x:f>P2256-T2256</x:f>
        <x:v>991.4107025866457</x:v>
      </x:c>
      <x:c r="W2256" s="79" t="n">
        <x:f>IF(U2256&gt;0,V2256/U2256,0)</x:f>
        <x:v>0.00003407554449669096</x:v>
      </x:c>
      <x:c r="X2256" s="80" t="n">
        <x:f>W2256*('Inputs'!$B$6-AC2256)</x:f>
        <x:v>33942.22500039263</x:v>
      </x:c>
      <x:c r="Y2256" s="80" t="n">
        <x:f>2*V2256</x:f>
        <x:v>1982.8214051732914</x:v>
      </x:c>
      <x:c r="Z2256" s="80" t="n">
        <x:f>K2256*'Inputs'!$B$16+(G2256+R2256)*J2256*'Inputs'!$B$16</x:f>
        <x:v>12.208131163952247</x:v>
      </x:c>
      <x:c r="AA2256" s="80" t="n">
        <x:f>K2256*(1+'Inputs'!$E$50)/2*'Inputs'!$B$17</x:f>
        <x:v>4.058520664042753</x:v>
      </x:c>
      <x:c r="AB2256" s="78" t="n">
        <x:f>(IF(J2256&gt;0,K2256*(1-'Inputs'!$E$50)/2/J2256,0)+G2256+R2256)*'Inputs'!$B$17</x:f>
        <x:v>117088.53933212605</x:v>
      </x:c>
      <x:c r="AC2256" s="78" t="n">
        <x:f>AC2255+AB2256</x:f>
        <x:v>3912468.5538414232</x:v>
      </x:c>
      <x:c r="AD2256" s="80" t="n">
        <x:f>Z2256/(1+'Inputs'!$C$50)</x:f>
        <x:v>6.104065581976124</x:v>
      </x:c>
      <x:c r="AE2256" s="80" t="n">
        <x:f>Z2256-AD2256</x:f>
        <x:v>6.104065581976124</x:v>
      </x:c>
      <x:c r="AF2256" s="80" t="n">
        <x:f>D2256*W2256</x:f>
        <x:v>10.100970685054808</x:v>
      </x:c>
      <x:c r="AG2256" s="80" t="n">
        <x:f>C2256*W2256</x:f>
        <x:v>23.56893159846143</x:v>
      </x:c>
      <x:c r="AH2256" s="80" t="n">
        <x:f>2*'Inputs'!$B$8*'Inputs'!$C$50</x:f>
        <x:v>5000</x:v>
      </x:c>
      <x:c r="AI2256" s="81" t="n">
        <x:f>IF(AH2256&gt;0,(AE2256+AF2256)/AH2256*365,0)</x:f>
        <x:v>1.1829676474932578</x:v>
      </x:c>
      <x:c r="AJ2256" s="81" t="n">
        <x:f>IF('Inputs'!$B$50&gt;0,AG2256/('Inputs'!$B$19*'Inputs'!$B$50)*365,0)</x:f>
        <x:v>0.8602660033438422</x:v>
      </x:c>
      <x:c r="AK2256" s="81" t="n">
        <x:f>W2256/MAX($W$2194:W2256)-1</x:f>
        <x:v>-0.9595679264646685</x:v>
      </x:c>
      <x:c r="AL2256" s="83" t="n">
        <x:f>'Inputs'!$B$50</x:f>
        <x:v>1</x:v>
      </x:c>
      <x:c r="AM2256" s="83" t="n">
        <x:f>'Inputs'!$C$50</x:f>
        <x:v>1</x:v>
      </x:c>
      <x:c r="AN2256" s="83" t="n">
        <x:f>'Inputs'!$D$50</x:f>
        <x:v>1</x:v>
      </x:c>
      <x:c r="AO2256" s="81" t="n">
        <x:f>'Inputs'!$E$50</x:f>
        <x:v>0</x:v>
      </x:c>
    </x:row>
    <x:row r="2257">
      <x:c r="A2257" s="59" t="str">
        <x:v>Whale exit</x:v>
      </x:c>
      <x:c r="B2257" s="59" t="n">
        <x:v>64</x:v>
      </x:c>
      <x:c r="C2257" s="78" t="n">
        <x:f>(('Inputs'!$B$29*(3*64*'Inputs'!$B$12-64^2)/(2*'Inputs'!$B$12^2))-('Inputs'!$B$29*(3*63*'Inputs'!$B$12-63^2)/(2*'Inputs'!$B$12^2)))*'Inputs'!$B$50</x:f>
        <x:v>691341.9497091398</x:v>
      </x:c>
      <x:c r="D2257" s="78" t="n">
        <x:f>IF('Inputs'!$C$50&gt;0,('Inputs'!$B$30*(3*64*'Inputs'!$B$12-64^2)/(2*'Inputs'!$B$12^2))-('Inputs'!$B$30*(3*63*'Inputs'!$B$12-63^2)/(2*'Inputs'!$B$12^2)),0)</x:f>
        <x:v>296289.40701819956</x:v>
      </x:c>
      <x:c r="E2257" s="78" t="n">
        <x:f>C2257+D2257</x:f>
        <x:v>987631.3567273393</x:v>
      </x:c>
      <x:c r="F2257" s="78" t="n">
        <x:f>'Inputs'!$B$13*E2257+(1-'Inputs'!$B$13)/'Inputs'!$B$14*SUM(E2202:E2257)</x:f>
        <x:v>997849.0335897914</x:v>
      </x:c>
      <x:c r="G2257" s="78" t="n">
        <x:f>F2257*'Inputs'!$F$50</x:f>
        <x:v>498924.5167948957</x:v>
      </x:c>
      <x:c r="H2257" s="78" t="n">
        <x:f>U2256</x:f>
        <x:v>29094493.3450123</x:v>
      </x:c>
      <x:c r="I2257" s="78" t="n">
        <x:f>V2256</x:f>
        <x:v>991.4107025866457</x:v>
      </x:c>
      <x:c r="J2257" s="79" t="n">
        <x:f>IF(H2257&gt;0,I2257/H2257,0)</x:f>
        <x:v>0.00003407554449669096</x:v>
      </x:c>
      <x:c r="K2257" s="80" t="n">
        <x:f>(H2257*J2257+I2257)*'Inputs'!$D$50*(1+'Inputs'!$G$50)^(B2257/30)</x:f>
        <x:v>1982.8214051732914</x:v>
      </x:c>
      <x:c r="L2257" s="80" t="n">
        <x:f>MAX(0,K2257*'Inputs'!$E$50)</x:f>
        <x:v>0</x:v>
      </x:c>
      <x:c r="M2257" s="80" t="n">
        <x:f>MAX(0,-K2257*'Inputs'!$E$50)</x:f>
        <x:v>0</x:v>
      </x:c>
      <x:c r="N2257" s="78" t="n">
        <x:f>H2257*(L2257*(1-'Inputs'!$B$15))/(I2257+L2257*(1-'Inputs'!$B$15))</x:f>
        <x:v>0</x:v>
      </x:c>
      <x:c r="O2257" s="78" t="n">
        <x:f>H2257-N2257</x:f>
        <x:v>29094493.3450123</x:v>
      </x:c>
      <x:c r="P2257" s="78" t="n">
        <x:f>I2257+L2257*(1-'Inputs'!$B$17)</x:f>
        <x:v>991.4107025866457</x:v>
      </x:c>
      <x:c r="Q2257" s="78" t="n">
        <x:f>IF(J2257&gt;0,M2257/J2257,0)</x:f>
        <x:v>0</x:v>
      </x:c>
      <x:c r="R2257" s="78" t="n">
        <x:f>IF(B2257='Inputs'!$H$50,'Inputs'!$B$27*'Inputs'!$I$50,0)</x:f>
        <x:v>0</x:v>
      </x:c>
      <x:c r="S2257" s="78" t="n">
        <x:f>Q2257+G2257+R2257</x:f>
        <x:v>498924.5167948957</x:v>
      </x:c>
      <x:c r="T2257" s="78" t="n">
        <x:f>P2257*(S2257*(1-'Inputs'!$B$15))/(O2257+S2257*(1-'Inputs'!$B$15))</x:f>
        <x:v>16.55014265950626</x:v>
      </x:c>
      <x:c r="U2257" s="78" t="n">
        <x:f>O2257+S2257*(1-'Inputs'!$B$17)</x:f>
        <x:v>29591410.11727281</x:v>
      </x:c>
      <x:c r="V2257" s="78" t="n">
        <x:f>P2257-T2257</x:f>
        <x:v>974.8605599271394</x:v>
      </x:c>
      <x:c r="W2257" s="79" t="n">
        <x:f>IF(U2257&gt;0,V2257/U2257,0)</x:f>
        <x:v>0.00003294403869446233</x:v>
      </x:c>
      <x:c r="X2257" s="80" t="n">
        <x:f>W2257*('Inputs'!$B$6-AC2257)</x:f>
        <x:v>32811.2229327434</x:v>
      </x:c>
      <x:c r="Y2257" s="80" t="n">
        <x:f>2*V2257</x:f>
        <x:v>1949.7211198542789</x:v>
      </x:c>
      <x:c r="Z2257" s="80" t="n">
        <x:f>K2257*'Inputs'!$B$16+(G2257+R2257)*J2257*'Inputs'!$B$16</x:f>
        <x:v>11.998935178474955</x:v>
      </x:c>
      <x:c r="AA2257" s="80" t="n">
        <x:f>K2257*(1+'Inputs'!$E$50)/2*'Inputs'!$B$17</x:f>
        <x:v>3.9895802920991783</x:v>
      </x:c>
      <x:c r="AB2257" s="78" t="n">
        <x:f>(IF(J2257&gt;0,K2257*(1-'Inputs'!$E$50)/2/J2257,0)+G2257+R2257)*'Inputs'!$B$17</x:f>
        <x:v>119088.2006511356</x:v>
      </x:c>
      <x:c r="AC2257" s="78" t="n">
        <x:f>AC2256+AB2257</x:f>
        <x:v>4031556.754492559</x:v>
      </x:c>
      <x:c r="AD2257" s="80" t="n">
        <x:f>Z2257/(1+'Inputs'!$C$50)</x:f>
        <x:v>5.999467589237478</x:v>
      </x:c>
      <x:c r="AE2257" s="80" t="n">
        <x:f>Z2257-AD2257</x:f>
        <x:v>5.999467589237478</x:v>
      </x:c>
      <x:c r="AF2257" s="80" t="n">
        <x:f>D2257*W2257</x:f>
        <x:v>9.760969689566865</x:v>
      </x:c>
      <x:c r="AG2257" s="80" t="n">
        <x:f>C2257*W2257</x:f>
        <x:v>22.77559594232293</x:v>
      </x:c>
      <x:c r="AH2257" s="80" t="n">
        <x:f>2*'Inputs'!$B$8*'Inputs'!$C$50</x:f>
        <x:v>5000</x:v>
      </x:c>
      <x:c r="AI2257" s="81" t="n">
        <x:f>IF(AH2257&gt;0,(AE2257+AF2257)/AH2257*365,0)</x:f>
        <x:v>1.150511921352717</x:v>
      </x:c>
      <x:c r="AJ2257" s="81" t="n">
        <x:f>IF('Inputs'!$B$50&gt;0,AG2257/('Inputs'!$B$19*'Inputs'!$B$50)*365,0)</x:f>
        <x:v>0.8313092518947869</x:v>
      </x:c>
      <x:c r="AK2257" s="81" t="n">
        <x:f>W2257/MAX($W$2194:W2257)-1</x:f>
        <x:v>-0.9609105059150367</x:v>
      </x:c>
      <x:c r="AL2257" s="83" t="n">
        <x:f>'Inputs'!$B$50</x:f>
        <x:v>1</x:v>
      </x:c>
      <x:c r="AM2257" s="83" t="n">
        <x:f>'Inputs'!$C$50</x:f>
        <x:v>1</x:v>
      </x:c>
      <x:c r="AN2257" s="83" t="n">
        <x:f>'Inputs'!$D$50</x:f>
        <x:v>1</x:v>
      </x:c>
      <x:c r="AO2257" s="81" t="n">
        <x:f>'Inputs'!$E$50</x:f>
        <x:v>0</x:v>
      </x:c>
    </x:row>
    <x:row r="2258">
      <x:c r="A2258" s="59" t="str">
        <x:v>Whale exit</x:v>
      </x:c>
      <x:c r="B2258" s="59" t="n">
        <x:v>65</x:v>
      </x:c>
      <x:c r="C2258" s="78" t="n">
        <x:f>(('Inputs'!$B$29*(3*65*'Inputs'!$B$12-65^2)/(2*'Inputs'!$B$12^2))-('Inputs'!$B$29*(3*64*'Inputs'!$B$12-64^2)/(2*'Inputs'!$B$12^2)))*'Inputs'!$B$50</x:f>
        <x:v>691016.8418089673</x:v>
      </x:c>
      <x:c r="D2258" s="78" t="n">
        <x:f>IF('Inputs'!$C$50&gt;0,('Inputs'!$B$30*(3*65*'Inputs'!$B$12-65^2)/(2*'Inputs'!$B$12^2))-('Inputs'!$B$30*(3*64*'Inputs'!$B$12-64^2)/(2*'Inputs'!$B$12^2)),0)</x:f>
        <x:v>296150.0750609897</x:v>
      </x:c>
      <x:c r="E2258" s="78" t="n">
        <x:f>C2258+D2258</x:f>
        <x:v>987166.916869957</x:v>
      </x:c>
      <x:c r="F2258" s="78" t="n">
        <x:f>'Inputs'!$B$13*E2258+(1-'Inputs'!$B$13)/'Inputs'!$B$14*SUM(E2203:E2258)</x:f>
        <x:v>997384.5937324078</x:v>
      </x:c>
      <x:c r="G2258" s="78" t="n">
        <x:f>F2258*'Inputs'!$F$50</x:f>
        <x:v>498692.2968662039</x:v>
      </x:c>
      <x:c r="H2258" s="78" t="n">
        <x:f>U2257</x:f>
        <x:v>29591410.11727281</x:v>
      </x:c>
      <x:c r="I2258" s="78" t="n">
        <x:f>V2257</x:f>
        <x:v>974.8605599271394</x:v>
      </x:c>
      <x:c r="J2258" s="79" t="n">
        <x:f>IF(H2258&gt;0,I2258/H2258,0)</x:f>
        <x:v>0.00003294403869446233</x:v>
      </x:c>
      <x:c r="K2258" s="80" t="n">
        <x:f>(H2258*J2258+I2258)*'Inputs'!$D$50*(1+'Inputs'!$G$50)^(B2258/30)</x:f>
        <x:v>1949.7211198542789</x:v>
      </x:c>
      <x:c r="L2258" s="80" t="n">
        <x:f>MAX(0,K2258*'Inputs'!$E$50)</x:f>
        <x:v>0</x:v>
      </x:c>
      <x:c r="M2258" s="80" t="n">
        <x:f>MAX(0,-K2258*'Inputs'!$E$50)</x:f>
        <x:v>0</x:v>
      </x:c>
      <x:c r="N2258" s="78" t="n">
        <x:f>H2258*(L2258*(1-'Inputs'!$B$15))/(I2258+L2258*(1-'Inputs'!$B$15))</x:f>
        <x:v>0</x:v>
      </x:c>
      <x:c r="O2258" s="78" t="n">
        <x:f>H2258-N2258</x:f>
        <x:v>29591410.11727281</x:v>
      </x:c>
      <x:c r="P2258" s="78" t="n">
        <x:f>I2258+L2258*(1-'Inputs'!$B$17)</x:f>
        <x:v>974.8605599271394</x:v>
      </x:c>
      <x:c r="Q2258" s="78" t="n">
        <x:f>IF(J2258&gt;0,M2258/J2258,0)</x:f>
        <x:v>0</x:v>
      </x:c>
      <x:c r="R2258" s="78" t="n">
        <x:f>IF(B2258='Inputs'!$H$50,'Inputs'!$B$27*'Inputs'!$I$50,0)</x:f>
        <x:v>0</x:v>
      </x:c>
      <x:c r="S2258" s="78" t="n">
        <x:f>Q2258+G2258+R2258</x:f>
        <x:v>498692.2968662039</x:v>
      </x:c>
      <x:c r="T2258" s="78" t="n">
        <x:f>P2258*(S2258*(1-'Inputs'!$B$15))/(O2258+S2258*(1-'Inputs'!$B$15))</x:f>
        <x:v>15.997741387366448</x:v>
      </x:c>
      <x:c r="U2258" s="78" t="n">
        <x:f>O2258+S2258*(1-'Inputs'!$B$17)</x:f>
        <x:v>30088095.60409126</x:v>
      </x:c>
      <x:c r="V2258" s="78" t="n">
        <x:f>P2258-T2258</x:f>
        <x:v>958.862818539773</x:v>
      </x:c>
      <x:c r="W2258" s="79" t="n">
        <x:f>IF(U2258&gt;0,V2258/U2258,0)</x:f>
        <x:v>0.000031868511425807574</x:v>
      </x:c>
      <x:c r="X2258" s="80" t="n">
        <x:f>W2258*('Inputs'!$B$6-AC2258)</x:f>
        <x:v>31736.172853061373</x:v>
      </x:c>
      <x:c r="Y2258" s="80" t="n">
        <x:f>2*V2258</x:f>
        <x:v>1917.725637079546</x:v>
      </x:c>
      <x:c r="Z2258" s="80" t="n">
        <x:f>K2258*'Inputs'!$B$16+(G2258+R2258)*J2258*'Inputs'!$B$16</x:f>
        <x:v>11.796900349073216</x:v>
      </x:c>
      <x:c r="AA2258" s="80" t="n">
        <x:f>K2258*(1+'Inputs'!$E$50)/2*'Inputs'!$B$17</x:f>
        <x:v>3.922980120431145</x:v>
      </x:c>
      <x:c r="AB2258" s="78" t="n">
        <x:f>(IF(J2258&gt;0,K2258*(1-'Inputs'!$E$50)/2/J2258,0)+G2258+R2258)*'Inputs'!$B$17</x:f>
        <x:v>121086.93124402019</x:v>
      </x:c>
      <x:c r="AC2258" s="78" t="n">
        <x:f>AC2257+AB2258</x:f>
        <x:v>4152643.6857365794</x:v>
      </x:c>
      <x:c r="AD2258" s="80" t="n">
        <x:f>Z2258/(1+'Inputs'!$C$50)</x:f>
        <x:v>5.898450174536608</x:v>
      </x:c>
      <x:c r="AE2258" s="80" t="n">
        <x:f>Z2258-AD2258</x:f>
        <x:v>5.898450174536608</x:v>
      </x:c>
      <x:c r="AF2258" s="80" t="n">
        <x:f>D2258*W2258</x:f>
        <x:v>9.437862050834921</x:v>
      </x:c>
      <x:c r="AG2258" s="80" t="n">
        <x:f>C2258*W2258</x:f>
        <x:v>22.02167811861454</x:v>
      </x:c>
      <x:c r="AH2258" s="80" t="n">
        <x:f>2*'Inputs'!$B$8*'Inputs'!$C$50</x:f>
        <x:v>5000</x:v>
      </x:c>
      <x:c r="AI2258" s="81" t="n">
        <x:f>IF(AH2258&gt;0,(AE2258+AF2258)/AH2258*365,0)</x:f>
        <x:v>1.1195507924521215</x:v>
      </x:c>
      <x:c r="AJ2258" s="81" t="n">
        <x:f>IF('Inputs'!$B$50&gt;0,AG2258/('Inputs'!$B$19*'Inputs'!$B$50)*365,0)</x:f>
        <x:v>0.8037912513294307</x:v>
      </x:c>
      <x:c r="AK2258" s="81" t="n">
        <x:f>W2258/MAX($W$2194:W2258)-1</x:f>
        <x:v>-0.9621866644697363</x:v>
      </x:c>
      <x:c r="AL2258" s="83" t="n">
        <x:f>'Inputs'!$B$50</x:f>
        <x:v>1</x:v>
      </x:c>
      <x:c r="AM2258" s="83" t="n">
        <x:f>'Inputs'!$C$50</x:f>
        <x:v>1</x:v>
      </x:c>
      <x:c r="AN2258" s="83" t="n">
        <x:f>'Inputs'!$D$50</x:f>
        <x:v>1</x:v>
      </x:c>
      <x:c r="AO2258" s="81" t="n">
        <x:f>'Inputs'!$E$50</x:f>
        <x:v>0</x:v>
      </x:c>
    </x:row>
    <x:row r="2259">
      <x:c r="A2259" s="59" t="str">
        <x:v>Whale exit</x:v>
      </x:c>
      <x:c r="B2259" s="59" t="n">
        <x:v>66</x:v>
      </x:c>
      <x:c r="C2259" s="78" t="n">
        <x:f>(('Inputs'!$B$29*(3*66*'Inputs'!$B$12-66^2)/(2*'Inputs'!$B$12^2))-('Inputs'!$B$29*(3*65*'Inputs'!$B$12-65^2)/(2*'Inputs'!$B$12^2)))*'Inputs'!$B$50</x:f>
        <x:v>690691.7339088023</x:v>
      </x:c>
      <x:c r="D2259" s="78" t="n">
        <x:f>IF('Inputs'!$C$50&gt;0,('Inputs'!$B$30*(3*66*'Inputs'!$B$12-66^2)/(2*'Inputs'!$B$12^2))-('Inputs'!$B$30*(3*65*'Inputs'!$B$12-65^2)/(2*'Inputs'!$B$12^2)),0)</x:f>
        <x:v>296010.7431037724</x:v>
      </x:c>
      <x:c r="E2259" s="78" t="n">
        <x:f>C2259+D2259</x:f>
        <x:v>986702.4770125747</x:v>
      </x:c>
      <x:c r="F2259" s="78" t="n">
        <x:f>'Inputs'!$B$13*E2259+(1-'Inputs'!$B$13)/'Inputs'!$B$14*SUM(E2204:E2259)</x:f>
        <x:v>996920.1538750238</x:v>
      </x:c>
      <x:c r="G2259" s="78" t="n">
        <x:f>F2259*'Inputs'!$F$50</x:f>
        <x:v>498460.0769375119</x:v>
      </x:c>
      <x:c r="H2259" s="78" t="n">
        <x:f>U2258</x:f>
        <x:v>30088095.60409126</x:v>
      </x:c>
      <x:c r="I2259" s="78" t="n">
        <x:f>V2258</x:f>
        <x:v>958.862818539773</x:v>
      </x:c>
      <x:c r="J2259" s="79" t="n">
        <x:f>IF(H2259&gt;0,I2259/H2259,0)</x:f>
        <x:v>0.000031868511425807574</x:v>
      </x:c>
      <x:c r="K2259" s="80" t="n">
        <x:f>(H2259*J2259+I2259)*'Inputs'!$D$50*(1+'Inputs'!$G$50)^(B2259/30)</x:f>
        <x:v>1917.725637079546</x:v>
      </x:c>
      <x:c r="L2259" s="80" t="n">
        <x:f>MAX(0,K2259*'Inputs'!$E$50)</x:f>
        <x:v>0</x:v>
      </x:c>
      <x:c r="M2259" s="80" t="n">
        <x:f>MAX(0,-K2259*'Inputs'!$E$50)</x:f>
        <x:v>0</x:v>
      </x:c>
      <x:c r="N2259" s="78" t="n">
        <x:f>H2259*(L2259*(1-'Inputs'!$B$15))/(I2259+L2259*(1-'Inputs'!$B$15))</x:f>
        <x:v>0</x:v>
      </x:c>
      <x:c r="O2259" s="78" t="n">
        <x:f>H2259-N2259</x:f>
        <x:v>30088095.60409126</x:v>
      </x:c>
      <x:c r="P2259" s="78" t="n">
        <x:f>I2259+L2259*(1-'Inputs'!$B$17)</x:f>
        <x:v>958.862818539773</x:v>
      </x:c>
      <x:c r="Q2259" s="78" t="n">
        <x:f>IF(J2259&gt;0,M2259/J2259,0)</x:f>
        <x:v>0</x:v>
      </x:c>
      <x:c r="R2259" s="78" t="n">
        <x:f>IF(B2259='Inputs'!$H$50,'Inputs'!$B$27*'Inputs'!$I$50,0)</x:f>
        <x:v>0</x:v>
      </x:c>
      <x:c r="S2259" s="78" t="n">
        <x:f>Q2259+G2259+R2259</x:f>
        <x:v>498460.0769375119</x:v>
      </x:c>
      <x:c r="T2259" s="78" t="n">
        <x:f>P2259*(S2259*(1-'Inputs'!$B$15))/(O2259+S2259*(1-'Inputs'!$B$15))</x:f>
        <x:v>15.472563025523367</x:v>
      </x:c>
      <x:c r="U2259" s="78" t="n">
        <x:f>O2259+S2259*(1-'Inputs'!$B$17)</x:f>
        <x:v>30584549.805467654</x:v>
      </x:c>
      <x:c r="V2259" s="78" t="n">
        <x:f>P2259-T2259</x:f>
        <x:v>943.3902555142496</x:v>
      </x:c>
      <x:c r="W2259" s="79" t="n">
        <x:f>IF(U2259&gt;0,V2259/U2259,0)</x:f>
        <x:v>0.00003084532097136176</x:v>
      </x:c>
      <x:c r="X2259" s="80" t="n">
        <x:f>W2259*('Inputs'!$B$6-AC2259)</x:f>
        <x:v>30713.434755957733</x:v>
      </x:c>
      <x:c r="Y2259" s="80" t="n">
        <x:f>2*V2259</x:f>
        <x:v>1886.7805110284992</x:v>
      </x:c>
      <x:c r="Z2259" s="80" t="n">
        <x:f>K2259*'Inputs'!$B$16+(G2259+R2259)*J2259*'Inputs'!$B$16</x:f>
        <x:v>11.601664906420428</x:v>
      </x:c>
      <x:c r="AA2259" s="80" t="n">
        <x:f>K2259*(1+'Inputs'!$E$50)/2*'Inputs'!$B$17</x:f>
        <x:v>3.8586028915081414</x:v>
      </x:c>
      <x:c r="AB2259" s="78" t="n">
        <x:f>(IF(J2259&gt;0,K2259*(1-'Inputs'!$E$50)/2/J2259,0)+G2259+R2259)*'Inputs'!$B$17</x:f>
        <x:v>123084.73111077977</x:v>
      </x:c>
      <x:c r="AC2259" s="78" t="n">
        <x:f>AC2258+AB2259</x:f>
        <x:v>4275728.416847359</x:v>
      </x:c>
      <x:c r="AD2259" s="80" t="n">
        <x:f>Z2259/(1+'Inputs'!$C$50)</x:f>
        <x:v>5.800832453210214</x:v>
      </x:c>
      <x:c r="AE2259" s="80" t="n">
        <x:f>Z2259-AD2259</x:f>
        <x:v>5.800832453210214</x:v>
      </x:c>
      <x:c r="AF2259" s="80" t="n">
        <x:f>D2259*W2259</x:f>
        <x:v>9.13054638200717</x:v>
      </x:c>
      <x:c r="AG2259" s="80" t="n">
        <x:f>C2259*W2259</x:f>
        <x:v>21.304608224683395</x:v>
      </x:c>
      <x:c r="AH2259" s="80" t="n">
        <x:f>2*'Inputs'!$B$8*'Inputs'!$C$50</x:f>
        <x:v>5000</x:v>
      </x:c>
      <x:c r="AI2259" s="81" t="n">
        <x:f>IF(AH2259&gt;0,(AE2259+AF2259)/AH2259*365,0)</x:f>
        <x:v>1.089990654970869</x:v>
      </x:c>
      <x:c r="AJ2259" s="81" t="n">
        <x:f>IF('Inputs'!$B$50&gt;0,AG2259/('Inputs'!$B$19*'Inputs'!$B$50)*365,0)</x:f>
        <x:v>0.7776182002009439</x:v>
      </x:c>
      <x:c r="AK2259" s="81" t="n">
        <x:f>W2259/MAX($W$2194:W2259)-1</x:f>
        <x:v>-0.9634007231826887</x:v>
      </x:c>
      <x:c r="AL2259" s="83" t="n">
        <x:f>'Inputs'!$B$50</x:f>
        <x:v>1</x:v>
      </x:c>
      <x:c r="AM2259" s="83" t="n">
        <x:f>'Inputs'!$C$50</x:f>
        <x:v>1</x:v>
      </x:c>
      <x:c r="AN2259" s="83" t="n">
        <x:f>'Inputs'!$D$50</x:f>
        <x:v>1</x:v>
      </x:c>
      <x:c r="AO2259" s="81" t="n">
        <x:f>'Inputs'!$E$50</x:f>
        <x:v>0</x:v>
      </x:c>
    </x:row>
    <x:row r="2260">
      <x:c r="A2260" s="59" t="str">
        <x:v>Whale exit</x:v>
      </x:c>
      <x:c r="B2260" s="59" t="n">
        <x:v>67</x:v>
      </x:c>
      <x:c r="C2260" s="78" t="n">
        <x:f>(('Inputs'!$B$29*(3*67*'Inputs'!$B$12-67^2)/(2*'Inputs'!$B$12^2))-('Inputs'!$B$29*(3*66*'Inputs'!$B$12-66^2)/(2*'Inputs'!$B$12^2)))*'Inputs'!$B$50</x:f>
        <x:v>690366.6260086298</x:v>
      </x:c>
      <x:c r="D2260" s="78" t="n">
        <x:f>IF('Inputs'!$C$50&gt;0,('Inputs'!$B$30*(3*67*'Inputs'!$B$12-67^2)/(2*'Inputs'!$B$12^2))-('Inputs'!$B$30*(3*66*'Inputs'!$B$12-66^2)/(2*'Inputs'!$B$12^2)),0)</x:f>
        <x:v>295871.4111465551</x:v>
      </x:c>
      <x:c r="E2260" s="78" t="n">
        <x:f>C2260+D2260</x:f>
        <x:v>986238.0371551849</x:v>
      </x:c>
      <x:c r="F2260" s="78" t="n">
        <x:f>'Inputs'!$B$13*E2260+(1-'Inputs'!$B$13)/'Inputs'!$B$14*SUM(E2205:E2260)</x:f>
        <x:v>996455.7140176386</x:v>
      </x:c>
      <x:c r="G2260" s="78" t="n">
        <x:f>F2260*'Inputs'!$F$50</x:f>
        <x:v>498227.8570088193</x:v>
      </x:c>
      <x:c r="H2260" s="78" t="n">
        <x:f>U2259</x:f>
        <x:v>30584549.805467654</x:v>
      </x:c>
      <x:c r="I2260" s="78" t="n">
        <x:f>V2259</x:f>
        <x:v>943.3902555142496</x:v>
      </x:c>
      <x:c r="J2260" s="79" t="n">
        <x:f>IF(H2260&gt;0,I2260/H2260,0)</x:f>
        <x:v>0.00003084532097136176</x:v>
      </x:c>
      <x:c r="K2260" s="80" t="n">
        <x:f>(H2260*J2260+I2260)*'Inputs'!$D$50*(1+'Inputs'!$G$50)^(B2260/30)</x:f>
        <x:v>1886.7805110284994</x:v>
      </x:c>
      <x:c r="L2260" s="80" t="n">
        <x:f>MAX(0,K2260*'Inputs'!$E$50)</x:f>
        <x:v>0</x:v>
      </x:c>
      <x:c r="M2260" s="80" t="n">
        <x:f>MAX(0,-K2260*'Inputs'!$E$50)</x:f>
        <x:v>0</x:v>
      </x:c>
      <x:c r="N2260" s="78" t="n">
        <x:f>H2260*(L2260*(1-'Inputs'!$B$15))/(I2260+L2260*(1-'Inputs'!$B$15))</x:f>
        <x:v>0</x:v>
      </x:c>
      <x:c r="O2260" s="78" t="n">
        <x:f>H2260-N2260</x:f>
        <x:v>30584549.805467654</x:v>
      </x:c>
      <x:c r="P2260" s="78" t="n">
        <x:f>I2260+L2260*(1-'Inputs'!$B$17)</x:f>
        <x:v>943.3902555142496</x:v>
      </x:c>
      <x:c r="Q2260" s="78" t="n">
        <x:f>IF(J2260&gt;0,M2260/J2260,0)</x:f>
        <x:v>0</x:v>
      </x:c>
      <x:c r="R2260" s="78" t="n">
        <x:f>IF(B2260='Inputs'!$H$50,'Inputs'!$B$27*'Inputs'!$I$50,0)</x:f>
        <x:v>0</x:v>
      </x:c>
      <x:c r="S2260" s="78" t="n">
        <x:f>Q2260+G2260+R2260</x:f>
        <x:v>498227.8570088193</x:v>
      </x:c>
      <x:c r="T2260" s="78" t="n">
        <x:f>P2260*(S2260*(1-'Inputs'!$B$15))/(O2260+S2260*(1-'Inputs'!$B$15))</x:f>
        <x:v>14.972846900058926</x:v>
      </x:c>
      <x:c r="U2260" s="78" t="n">
        <x:f>O2260+S2260*(1-'Inputs'!$B$17)</x:f>
        <x:v>31080772.72140199</x:v>
      </x:c>
      <x:c r="V2260" s="78" t="n">
        <x:f>P2260-T2260</x:f>
        <x:v>928.4174086141907</x:v>
      </x:c>
      <x:c r="W2260" s="79" t="n">
        <x:f>IF(U2260&gt;0,V2260/U2260,0)</x:f>
        <x:v>0.000029871117328266723</x:v>
      </x:c>
      <x:c r="X2260" s="80" t="n">
        <x:f>W2260*('Inputs'!$B$6-AC2260)</x:f>
        <x:v>29739.660215906555</x:v>
      </x:c>
      <x:c r="Y2260" s="80" t="n">
        <x:f>2*V2260</x:f>
        <x:v>1856.8348172283813</x:v>
      </x:c>
      <x:c r="Z2260" s="80" t="n">
        <x:f>K2260*'Inputs'!$B$16+(G2260+R2260)*J2260*'Inputs'!$B$16</x:f>
        <x:v>11.412891055168862</x:v>
      </x:c>
      <x:c r="AA2260" s="80" t="n">
        <x:f>K2260*(1+'Inputs'!$E$50)/2*'Inputs'!$B$17</x:f>
        <x:v>3.796339056395371</x:v>
      </x:c>
      <x:c r="AB2260" s="78" t="n">
        <x:f>(IF(J2260&gt;0,K2260*(1-'Inputs'!$E$50)/2/J2260,0)+G2260+R2260)*'Inputs'!$B$17</x:f>
        <x:v>125081.60025141439</x:v>
      </x:c>
      <x:c r="AC2260" s="78" t="n">
        <x:f>AC2259+AB2260</x:f>
        <x:v>4400810.017098774</x:v>
      </x:c>
      <x:c r="AD2260" s="80" t="n">
        <x:f>Z2260/(1+'Inputs'!$C$50)</x:f>
        <x:v>5.706445527584431</x:v>
      </x:c>
      <x:c r="AE2260" s="80" t="n">
        <x:f>Z2260-AD2260</x:f>
        <x:v>5.706445527584431</x:v>
      </x:c>
      <x:c r="AF2260" s="80" t="n">
        <x:f>D2260*W2260</x:f>
        <x:v>8.83800963643859</x:v>
      </x:c>
      <x:c r="AG2260" s="80" t="n">
        <x:f>C2260*W2260</x:f>
        <x:v>20.622022485023415</x:v>
      </x:c>
      <x:c r="AH2260" s="80" t="n">
        <x:f>2*'Inputs'!$B$8*'Inputs'!$C$50</x:f>
        <x:v>5000</x:v>
      </x:c>
      <x:c r="AI2260" s="81" t="n">
        <x:f>IF(AH2260&gt;0,(AE2260+AF2260)/AH2260*365,0)</x:f>
        <x:v>1.0617452269736805</x:v>
      </x:c>
      <x:c r="AJ2260" s="81" t="n">
        <x:f>IF('Inputs'!$B$50&gt;0,AG2260/('Inputs'!$B$19*'Inputs'!$B$50)*365,0)</x:f>
        <x:v>0.7527038207033546</x:v>
      </x:c>
      <x:c r="AK2260" s="81" t="n">
        <x:f>W2260/MAX($W$2194:W2260)-1</x:f>
        <x:v>-0.9645566569738517</x:v>
      </x:c>
      <x:c r="AL2260" s="83" t="n">
        <x:f>'Inputs'!$B$50</x:f>
        <x:v>1</x:v>
      </x:c>
      <x:c r="AM2260" s="83" t="n">
        <x:f>'Inputs'!$C$50</x:f>
        <x:v>1</x:v>
      </x:c>
      <x:c r="AN2260" s="83" t="n">
        <x:f>'Inputs'!$D$50</x:f>
        <x:v>1</x:v>
      </x:c>
      <x:c r="AO2260" s="81" t="n">
        <x:f>'Inputs'!$E$50</x:f>
        <x:v>0</x:v>
      </x:c>
    </x:row>
    <x:row r="2261">
      <x:c r="A2261" s="59" t="str">
        <x:v>Whale exit</x:v>
      </x:c>
      <x:c r="B2261" s="59" t="n">
        <x:v>68</x:v>
      </x:c>
      <x:c r="C2261" s="78" t="n">
        <x:f>(('Inputs'!$B$29*(3*68*'Inputs'!$B$12-68^2)/(2*'Inputs'!$B$12^2))-('Inputs'!$B$29*(3*67*'Inputs'!$B$12-67^2)/(2*'Inputs'!$B$12^2)))*'Inputs'!$B$50</x:f>
        <x:v>690041.5181084648</x:v>
      </x:c>
      <x:c r="D2261" s="78" t="n">
        <x:f>IF('Inputs'!$C$50&gt;0,('Inputs'!$B$30*(3*68*'Inputs'!$B$12-68^2)/(2*'Inputs'!$B$12^2))-('Inputs'!$B$30*(3*67*'Inputs'!$B$12-67^2)/(2*'Inputs'!$B$12^2)),0)</x:f>
        <x:v>295732.0791893415</x:v>
      </x:c>
      <x:c r="E2261" s="78" t="n">
        <x:f>C2261+D2261</x:f>
        <x:v>985773.5972978063</x:v>
      </x:c>
      <x:c r="F2261" s="78" t="n">
        <x:f>'Inputs'!$B$13*E2261+(1-'Inputs'!$B$13)/'Inputs'!$B$14*SUM(E2206:E2261)</x:f>
        <x:v>995991.2741602554</x:v>
      </x:c>
      <x:c r="G2261" s="78" t="n">
        <x:f>F2261*'Inputs'!$F$50</x:f>
        <x:v>497995.6370801277</x:v>
      </x:c>
      <x:c r="H2261" s="78" t="n">
        <x:f>U2260</x:f>
        <x:v>31080772.72140199</x:v>
      </x:c>
      <x:c r="I2261" s="78" t="n">
        <x:f>V2260</x:f>
        <x:v>928.4174086141907</x:v>
      </x:c>
      <x:c r="J2261" s="79" t="n">
        <x:f>IF(H2261&gt;0,I2261/H2261,0)</x:f>
        <x:v>0.000029871117328266723</x:v>
      </x:c>
      <x:c r="K2261" s="80" t="n">
        <x:f>(H2261*J2261+I2261)*'Inputs'!$D$50*(1+'Inputs'!$G$50)^(B2261/30)</x:f>
        <x:v>1856.8348172283813</x:v>
      </x:c>
      <x:c r="L2261" s="80" t="n">
        <x:f>MAX(0,K2261*'Inputs'!$E$50)</x:f>
        <x:v>0</x:v>
      </x:c>
      <x:c r="M2261" s="80" t="n">
        <x:f>MAX(0,-K2261*'Inputs'!$E$50)</x:f>
        <x:v>0</x:v>
      </x:c>
      <x:c r="N2261" s="78" t="n">
        <x:f>H2261*(L2261*(1-'Inputs'!$B$15))/(I2261+L2261*(1-'Inputs'!$B$15))</x:f>
        <x:v>0</x:v>
      </x:c>
      <x:c r="O2261" s="78" t="n">
        <x:f>H2261-N2261</x:f>
        <x:v>31080772.72140199</x:v>
      </x:c>
      <x:c r="P2261" s="78" t="n">
        <x:f>I2261+L2261*(1-'Inputs'!$B$17)</x:f>
        <x:v>928.4174086141907</x:v>
      </x:c>
      <x:c r="Q2261" s="78" t="n">
        <x:f>IF(J2261&gt;0,M2261/J2261,0)</x:f>
        <x:v>0</x:v>
      </x:c>
      <x:c r="R2261" s="78" t="n">
        <x:f>IF(B2261='Inputs'!$H$50,'Inputs'!$B$27*'Inputs'!$I$50,0)</x:f>
        <x:v>0</x:v>
      </x:c>
      <x:c r="S2261" s="78" t="n">
        <x:f>Q2261+G2261+R2261</x:f>
        <x:v>497995.6370801277</x:v>
      </x:c>
      <x:c r="T2261" s="78" t="n">
        <x:f>P2261*(S2261*(1-'Inputs'!$B$15))/(O2261+S2261*(1-'Inputs'!$B$15))</x:f>
        <x:v>14.496972452621696</x:v>
      </x:c>
      <x:c r="U2261" s="78" t="n">
        <x:f>O2261+S2261*(1-'Inputs'!$B$17)</x:f>
        <x:v>31576764.35189427</x:v>
      </x:c>
      <x:c r="V2261" s="78" t="n">
        <x:f>P2261-T2261</x:f>
        <x:v>913.920436161569</x:v>
      </x:c>
      <x:c r="W2261" s="79" t="n">
        <x:f>IF(U2261&gt;0,V2261/U2261,0)</x:f>
        <x:v>0.000028942814595465146</x:v>
      </x:c>
      <x:c r="X2261" s="80" t="n">
        <x:f>W2261*('Inputs'!$B$6-AC2261)</x:f>
        <x:v>28811.764785429536</x:v>
      </x:c>
      <x:c r="Y2261" s="80" t="n">
        <x:f>2*V2261</x:f>
        <x:v>1827.840872323138</x:v>
      </x:c>
      <x:c r="Z2261" s="80" t="n">
        <x:f>K2261*'Inputs'!$B$16+(G2261+R2261)*J2261*'Inputs'!$B$16</x:f>
        <x:v>11.2302630199954</x:v>
      </x:c>
      <x:c r="AA2261" s="80" t="n">
        <x:f>K2261*(1+'Inputs'!$E$50)/2*'Inputs'!$B$17</x:f>
        <x:v>3.736086151364953</x:v>
      </x:c>
      <x:c r="AB2261" s="78" t="n">
        <x:f>(IF(J2261&gt;0,K2261*(1-'Inputs'!$E$50)/2/J2261,0)+G2261+R2261)*'Inputs'!$B$17</x:f>
        <x:v>127077.53866592403</x:v>
      </x:c>
      <x:c r="AC2261" s="78" t="n">
        <x:f>AC2260+AB2261</x:f>
        <x:v>4527887.555764698</x:v>
      </x:c>
      <x:c r="AD2261" s="80" t="n">
        <x:f>Z2261/(1+'Inputs'!$C$50)</x:f>
        <x:v>5.6151315099977</x:v>
      </x:c>
      <x:c r="AE2261" s="80" t="n">
        <x:f>Z2261-AD2261</x:f>
        <x:v>5.6151315099977</x:v>
      </x:c>
      <x:c r="AF2261" s="80" t="n">
        <x:f>D2261*W2261</x:f>
        <x:v>8.559318737908528</x:v>
      </x:c>
      <x:c r="AG2261" s="80" t="n">
        <x:f>C2261*W2261</x:f>
        <x:v>19.971743721786602</x:v>
      </x:c>
      <x:c r="AH2261" s="80" t="n">
        <x:f>2*'Inputs'!$B$8*'Inputs'!$C$50</x:f>
        <x:v>5000</x:v>
      </x:c>
      <x:c r="AI2261" s="81" t="n">
        <x:f>IF(AH2261&gt;0,(AE2261+AF2261)/AH2261*365,0)</x:f>
        <x:v>1.0347348680971546</x:v>
      </x:c>
      <x:c r="AJ2261" s="81" t="n">
        <x:f>IF('Inputs'!$B$50&gt;0,AG2261/('Inputs'!$B$19*'Inputs'!$B$50)*365,0)</x:f>
        <x:v>0.728968645845211</x:v>
      </x:c>
      <x:c r="AK2261" s="81" t="n">
        <x:f>W2261/MAX($W$2194:W2261)-1</x:f>
        <x:v>-0.9656581273952365</x:v>
      </x:c>
      <x:c r="AL2261" s="83" t="n">
        <x:f>'Inputs'!$B$50</x:f>
        <x:v>1</x:v>
      </x:c>
      <x:c r="AM2261" s="83" t="n">
        <x:f>'Inputs'!$C$50</x:f>
        <x:v>1</x:v>
      </x:c>
      <x:c r="AN2261" s="83" t="n">
        <x:f>'Inputs'!$D$50</x:f>
        <x:v>1</x:v>
      </x:c>
      <x:c r="AO2261" s="81" t="n">
        <x:f>'Inputs'!$E$50</x:f>
        <x:v>0</x:v>
      </x:c>
    </x:row>
    <x:row r="2262">
      <x:c r="A2262" s="59" t="str">
        <x:v>Whale exit</x:v>
      </x:c>
      <x:c r="B2262" s="59" t="n">
        <x:v>69</x:v>
      </x:c>
      <x:c r="C2262" s="78" t="n">
        <x:f>(('Inputs'!$B$29*(3*69*'Inputs'!$B$12-69^2)/(2*'Inputs'!$B$12^2))-('Inputs'!$B$29*(3*68*'Inputs'!$B$12-68^2)/(2*'Inputs'!$B$12^2)))*'Inputs'!$B$50</x:f>
        <x:v>689716.4102082923</x:v>
      </x:c>
      <x:c r="D2262" s="78" t="n">
        <x:f>IF('Inputs'!$C$50&gt;0,('Inputs'!$B$30*(3*69*'Inputs'!$B$12-69^2)/(2*'Inputs'!$B$12^2))-('Inputs'!$B$30*(3*68*'Inputs'!$B$12-68^2)/(2*'Inputs'!$B$12^2)),0)</x:f>
        <x:v>295592.7472321242</x:v>
      </x:c>
      <x:c r="E2262" s="78" t="n">
        <x:f>C2262+D2262</x:f>
        <x:v>985309.1574404165</x:v>
      </x:c>
      <x:c r="F2262" s="78" t="n">
        <x:f>'Inputs'!$B$13*E2262+(1-'Inputs'!$B$13)/'Inputs'!$B$14*SUM(E2207:E2262)</x:f>
        <x:v>995526.8343028703</x:v>
      </x:c>
      <x:c r="G2262" s="78" t="n">
        <x:f>F2262*'Inputs'!$F$50</x:f>
        <x:v>497763.41715143516</x:v>
      </x:c>
      <x:c r="H2262" s="78" t="n">
        <x:f>U2261</x:f>
        <x:v>31576764.35189427</x:v>
      </x:c>
      <x:c r="I2262" s="78" t="n">
        <x:f>V2261</x:f>
        <x:v>913.920436161569</x:v>
      </x:c>
      <x:c r="J2262" s="79" t="n">
        <x:f>IF(H2262&gt;0,I2262/H2262,0)</x:f>
        <x:v>0.000028942814595465146</x:v>
      </x:c>
      <x:c r="K2262" s="80" t="n">
        <x:f>(H2262*J2262+I2262)*'Inputs'!$D$50*(1+'Inputs'!$G$50)^(B2262/30)</x:f>
        <x:v>1827.840872323138</x:v>
      </x:c>
      <x:c r="L2262" s="80" t="n">
        <x:f>MAX(0,K2262*'Inputs'!$E$50)</x:f>
        <x:v>0</x:v>
      </x:c>
      <x:c r="M2262" s="80" t="n">
        <x:f>MAX(0,-K2262*'Inputs'!$E$50)</x:f>
        <x:v>0</x:v>
      </x:c>
      <x:c r="N2262" s="78" t="n">
        <x:f>H2262*(L2262*(1-'Inputs'!$B$15))/(I2262+L2262*(1-'Inputs'!$B$15))</x:f>
        <x:v>0</x:v>
      </x:c>
      <x:c r="O2262" s="78" t="n">
        <x:f>H2262-N2262</x:f>
        <x:v>31576764.35189427</x:v>
      </x:c>
      <x:c r="P2262" s="78" t="n">
        <x:f>I2262+L2262*(1-'Inputs'!$B$17)</x:f>
        <x:v>913.920436161569</x:v>
      </x:c>
      <x:c r="Q2262" s="78" t="n">
        <x:f>IF(J2262&gt;0,M2262/J2262,0)</x:f>
        <x:v>0</x:v>
      </x:c>
      <x:c r="R2262" s="78" t="n">
        <x:f>IF(B2262='Inputs'!$H$50,'Inputs'!$B$27*'Inputs'!$I$50,0)</x:f>
        <x:v>0</x:v>
      </x:c>
      <x:c r="S2262" s="78" t="n">
        <x:f>Q2262+G2262+R2262</x:f>
        <x:v>497763.41715143516</x:v>
      </x:c>
      <x:c r="T2262" s="78" t="n">
        <x:f>P2262*(S2262*(1-'Inputs'!$B$15))/(O2262+S2262*(1-'Inputs'!$B$15))</x:f>
        <x:v>14.043446067098886</x:v>
      </x:c>
      <x:c r="U2262" s="78" t="n">
        <x:f>O2262+S2262*(1-'Inputs'!$B$17)</x:f>
        <x:v>32072524.696944494</x:v>
      </x:c>
      <x:c r="V2262" s="78" t="n">
        <x:f>P2262-T2262</x:f>
        <x:v>899.8769900944701</x:v>
      </x:c>
      <x:c r="W2262" s="79" t="n">
        <x:f>IF(U2262&gt;0,V2262/U2262,0)</x:f>
        <x:v>0.00002805756636240739</x:v>
      </x:c>
      <x:c r="X2262" s="80" t="n">
        <x:f>W2262*('Inputs'!$B$6-AC2262)</x:f>
        <x:v>27926.903395295103</x:v>
      </x:c>
      <x:c r="Y2262" s="80" t="n">
        <x:f>2*V2262</x:f>
        <x:v>1799.7539801889402</x:v>
      </x:c>
      <x:c r="Z2262" s="80" t="n">
        <x:f>K2262*'Inputs'!$B$16+(G2262+R2262)*J2262*'Inputs'!$B$16</x:f>
        <x:v>11.053485279708942</x:v>
      </x:c>
      <x:c r="AA2262" s="80" t="n">
        <x:f>K2262*(1+'Inputs'!$E$50)/2*'Inputs'!$B$17</x:f>
        <x:v>3.6777482340505796</x:v>
      </x:c>
      <x:c r="AB2262" s="78" t="n">
        <x:f>(IF(J2262&gt;0,K2262*(1-'Inputs'!$E$50)/2/J2262,0)+G2262+R2262)*'Inputs'!$B$17</x:f>
        <x:v>129072.5463543087</x:v>
      </x:c>
      <x:c r="AC2262" s="78" t="n">
        <x:f>AC2261+AB2262</x:f>
        <x:v>4656960.102119007</x:v>
      </x:c>
      <x:c r="AD2262" s="80" t="n">
        <x:f>Z2262/(1+'Inputs'!$C$50)</x:f>
        <x:v>5.526742639854471</x:v>
      </x:c>
      <x:c r="AE2262" s="80" t="n">
        <x:f>Z2262-AD2262</x:f>
        <x:v>5.526742639854471</x:v>
      </x:c>
      <x:c r="AF2262" s="80" t="n">
        <x:f>D2262*W2262</x:f>
        <x:v>8.293613121711639</x:v>
      </x:c>
      <x:c r="AG2262" s="80" t="n">
        <x:f>C2262*W2262</x:f>
        <x:v>19.35176395066056</x:v>
      </x:c>
      <x:c r="AH2262" s="80" t="n">
        <x:f>2*'Inputs'!$B$8*'Inputs'!$C$50</x:f>
        <x:v>5000</x:v>
      </x:c>
      <x:c r="AI2262" s="81" t="n">
        <x:f>IF(AH2262&gt;0,(AE2262+AF2262)/AH2262*365,0)</x:f>
        <x:v>1.008885970594326</x:v>
      </x:c>
      <x:c r="AJ2262" s="81" t="n">
        <x:f>IF('Inputs'!$B$50&gt;0,AG2262/('Inputs'!$B$19*'Inputs'!$B$50)*365,0)</x:f>
        <x:v>0.7063393841991104</x:v>
      </x:c>
      <x:c r="AK2262" s="81" t="n">
        <x:f>W2262/MAX($W$2194:W2262)-1</x:f>
        <x:v>-0.9667085118332457</x:v>
      </x:c>
      <x:c r="AL2262" s="83" t="n">
        <x:f>'Inputs'!$B$50</x:f>
        <x:v>1</x:v>
      </x:c>
      <x:c r="AM2262" s="83" t="n">
        <x:f>'Inputs'!$C$50</x:f>
        <x:v>1</x:v>
      </x:c>
      <x:c r="AN2262" s="83" t="n">
        <x:f>'Inputs'!$D$50</x:f>
        <x:v>1</x:v>
      </x:c>
      <x:c r="AO2262" s="81" t="n">
        <x:f>'Inputs'!$E$50</x:f>
        <x:v>0</x:v>
      </x:c>
    </x:row>
    <x:row r="2263">
      <x:c r="A2263" s="59" t="str">
        <x:v>Whale exit</x:v>
      </x:c>
      <x:c r="B2263" s="59" t="n">
        <x:v>70</x:v>
      </x:c>
      <x:c r="C2263" s="78" t="n">
        <x:f>(('Inputs'!$B$29*(3*70*'Inputs'!$B$12-70^2)/(2*'Inputs'!$B$12^2))-('Inputs'!$B$29*(3*69*'Inputs'!$B$12-69^2)/(2*'Inputs'!$B$12^2)))*'Inputs'!$B$50</x:f>
        <x:v>689391.3023081273</x:v>
      </x:c>
      <x:c r="D2263" s="78" t="n">
        <x:f>IF('Inputs'!$C$50&gt;0,('Inputs'!$B$30*(3*70*'Inputs'!$B$12-70^2)/(2*'Inputs'!$B$12^2))-('Inputs'!$B$30*(3*69*'Inputs'!$B$12-69^2)/(2*'Inputs'!$B$12^2)),0)</x:f>
        <x:v>295453.4152749106</x:v>
      </x:c>
      <x:c r="E2263" s="78" t="n">
        <x:f>C2263+D2263</x:f>
        <x:v>984844.7175830379</x:v>
      </x:c>
      <x:c r="F2263" s="78" t="n">
        <x:f>'Inputs'!$B$13*E2263+(1-'Inputs'!$B$13)/'Inputs'!$B$14*SUM(E2208:E2263)</x:f>
        <x:v>995062.3944454873</x:v>
      </x:c>
      <x:c r="G2263" s="78" t="n">
        <x:f>F2263*'Inputs'!$F$50</x:f>
        <x:v>497531.19722274365</x:v>
      </x:c>
      <x:c r="H2263" s="78" t="n">
        <x:f>U2262</x:f>
        <x:v>32072524.696944494</x:v>
      </x:c>
      <x:c r="I2263" s="78" t="n">
        <x:f>V2262</x:f>
        <x:v>899.8769900944701</x:v>
      </x:c>
      <x:c r="J2263" s="79" t="n">
        <x:f>IF(H2263&gt;0,I2263/H2263,0)</x:f>
        <x:v>0.00002805756636240739</x:v>
      </x:c>
      <x:c r="K2263" s="80" t="n">
        <x:f>(H2263*J2263+I2263)*'Inputs'!$D$50*(1+'Inputs'!$G$50)^(B2263/30)</x:f>
        <x:v>1799.7539801889402</x:v>
      </x:c>
      <x:c r="L2263" s="80" t="n">
        <x:f>MAX(0,K2263*'Inputs'!$E$50)</x:f>
        <x:v>0</x:v>
      </x:c>
      <x:c r="M2263" s="80" t="n">
        <x:f>MAX(0,-K2263*'Inputs'!$E$50)</x:f>
        <x:v>0</x:v>
      </x:c>
      <x:c r="N2263" s="78" t="n">
        <x:f>H2263*(L2263*(1-'Inputs'!$B$15))/(I2263+L2263*(1-'Inputs'!$B$15))</x:f>
        <x:v>0</x:v>
      </x:c>
      <x:c r="O2263" s="78" t="n">
        <x:f>H2263-N2263</x:f>
        <x:v>32072524.696944494</x:v>
      </x:c>
      <x:c r="P2263" s="78" t="n">
        <x:f>I2263+L2263*(1-'Inputs'!$B$17)</x:f>
        <x:v>899.8769900944701</x:v>
      </x:c>
      <x:c r="Q2263" s="78" t="n">
        <x:f>IF(J2263&gt;0,M2263/J2263,0)</x:f>
        <x:v>0</x:v>
      </x:c>
      <x:c r="R2263" s="78" t="n">
        <x:f>IF(B2263='Inputs'!$H$50,'Inputs'!$B$27*'Inputs'!$I$50,0)</x:f>
        <x:v>0</x:v>
      </x:c>
      <x:c r="S2263" s="78" t="n">
        <x:f>Q2263+G2263+R2263</x:f>
        <x:v>497531.19722274365</x:v>
      </x:c>
      <x:c r="T2263" s="78" t="n">
        <x:f>P2263*(S2263*(1-'Inputs'!$B$15))/(O2263+S2263*(1-'Inputs'!$B$15))</x:f>
        <x:v>13.6108893191222</x:v>
      </x:c>
      <x:c r="U2263" s="78" t="n">
        <x:f>O2263+S2263*(1-'Inputs'!$B$17)</x:f>
        <x:v>32568053.75655266</x:v>
      </x:c>
      <x:c r="V2263" s="78" t="n">
        <x:f>P2263-T2263</x:f>
        <x:v>886.2661007753479</x:v>
      </x:c>
      <x:c r="W2263" s="79" t="n">
        <x:f>IF(U2263&gt;0,V2263/U2263,0)</x:f>
        <x:v>0.00002721274373348245</x:v>
      </x:c>
      <x:c r="X2263" s="80" t="n">
        <x:f>W2263*('Inputs'!$B$6-AC2263)</x:f>
        <x:v>27082.448389214107</x:v>
      </x:c>
      <x:c r="Y2263" s="80" t="n">
        <x:f>2*V2263</x:f>
        <x:v>1772.5322015506958</x:v>
      </x:c>
      <x:c r="Z2263" s="80" t="n">
        <x:f>K2263*'Inputs'!$B$16+(G2263+R2263)*J2263*'Inputs'!$B$16</x:f>
        <x:v>10.882280968634312</x:v>
      </x:c>
      <x:c r="AA2263" s="80" t="n">
        <x:f>K2263*(1+'Inputs'!$E$50)/2*'Inputs'!$B$17</x:f>
        <x:v>3.621235372613562</x:v>
      </x:c>
      <x:c r="AB2263" s="78" t="n">
        <x:f>(IF(J2263&gt;0,K2263*(1-'Inputs'!$E$50)/2/J2263,0)+G2263+R2263)*'Inputs'!$B$17</x:f>
        <x:v>131066.62331656837</x:v>
      </x:c>
      <x:c r="AC2263" s="78" t="n">
        <x:f>AC2262+AB2263</x:f>
        <x:v>4788026.7254355755</x:v>
      </x:c>
      <x:c r="AD2263" s="80" t="n">
        <x:f>Z2263/(1+'Inputs'!$C$50)</x:f>
        <x:v>5.441140484317156</x:v>
      </x:c>
      <x:c r="AE2263" s="80" t="n">
        <x:f>Z2263-AD2263</x:f>
        <x:v>5.441140484317156</x:v>
      </x:c>
      <x:c r="AF2263" s="80" t="n">
        <x:f>D2263*W2263</x:f>
        <x:v>8.040098075058312</x:v>
      </x:c>
      <x:c r="AG2263" s="80" t="n">
        <x:f>C2263*W2263</x:f>
        <x:v>18.760228841802796</x:v>
      </x:c>
      <x:c r="AH2263" s="80" t="n">
        <x:f>2*'Inputs'!$B$8*'Inputs'!$C$50</x:f>
        <x:v>5000</x:v>
      </x:c>
      <x:c r="AI2263" s="81" t="n">
        <x:f>IF(AH2263&gt;0,(AE2263+AF2263)/AH2263*365,0)</x:f>
        <x:v>0.9841304148344092</x:v>
      </x:c>
      <x:c r="AJ2263" s="81" t="n">
        <x:f>IF('Inputs'!$B$50&gt;0,AG2263/('Inputs'!$B$19*'Inputs'!$B$50)*365,0)</x:f>
        <x:v>0.684748352725802</x:v>
      </x:c>
      <x:c r="AK2263" s="81" t="n">
        <x:f>W2263/MAX($W$2194:W2263)-1</x:f>
        <x:v>-0.9677109295836156</x:v>
      </x:c>
      <x:c r="AL2263" s="83" t="n">
        <x:f>'Inputs'!$B$50</x:f>
        <x:v>1</x:v>
      </x:c>
      <x:c r="AM2263" s="83" t="n">
        <x:f>'Inputs'!$C$50</x:f>
        <x:v>1</x:v>
      </x:c>
      <x:c r="AN2263" s="83" t="n">
        <x:f>'Inputs'!$D$50</x:f>
        <x:v>1</x:v>
      </x:c>
      <x:c r="AO2263" s="81" t="n">
        <x:f>'Inputs'!$E$50</x:f>
        <x:v>0</x:v>
      </x:c>
    </x:row>
    <x:row r="2264">
      <x:c r="A2264" s="59" t="str">
        <x:v>Whale exit</x:v>
      </x:c>
      <x:c r="B2264" s="59" t="n">
        <x:v>71</x:v>
      </x:c>
      <x:c r="C2264" s="78" t="n">
        <x:f>(('Inputs'!$B$29*(3*71*'Inputs'!$B$12-71^2)/(2*'Inputs'!$B$12^2))-('Inputs'!$B$29*(3*70*'Inputs'!$B$12-70^2)/(2*'Inputs'!$B$12^2)))*'Inputs'!$B$50</x:f>
        <x:v>689066.1944079548</x:v>
      </x:c>
      <x:c r="D2264" s="78" t="n">
        <x:f>IF('Inputs'!$C$50&gt;0,('Inputs'!$B$30*(3*71*'Inputs'!$B$12-71^2)/(2*'Inputs'!$B$12^2))-('Inputs'!$B$30*(3*70*'Inputs'!$B$12-70^2)/(2*'Inputs'!$B$12^2)),0)</x:f>
        <x:v>295314.08331769705</x:v>
      </x:c>
      <x:c r="E2264" s="78" t="n">
        <x:f>C2264+D2264</x:f>
        <x:v>984380.2777256519</x:v>
      </x:c>
      <x:c r="F2264" s="78" t="n">
        <x:f>'Inputs'!$B$13*E2264+(1-'Inputs'!$B$13)/'Inputs'!$B$14*SUM(E2209:E2264)</x:f>
        <x:v>994597.9545881028</x:v>
      </x:c>
      <x:c r="G2264" s="78" t="n">
        <x:f>F2264*'Inputs'!$F$50</x:f>
        <x:v>497298.9772940514</x:v>
      </x:c>
      <x:c r="H2264" s="78" t="n">
        <x:f>U2263</x:f>
        <x:v>32568053.75655266</x:v>
      </x:c>
      <x:c r="I2264" s="78" t="n">
        <x:f>V2263</x:f>
        <x:v>886.2661007753479</x:v>
      </x:c>
      <x:c r="J2264" s="79" t="n">
        <x:f>IF(H2264&gt;0,I2264/H2264,0)</x:f>
        <x:v>0.00002721274373348245</x:v>
      </x:c>
      <x:c r="K2264" s="80" t="n">
        <x:f>(H2264*J2264+I2264)*'Inputs'!$D$50*(1+'Inputs'!$G$50)^(B2264/30)</x:f>
        <x:v>1772.5322015506958</x:v>
      </x:c>
      <x:c r="L2264" s="80" t="n">
        <x:f>MAX(0,K2264*'Inputs'!$E$50)</x:f>
        <x:v>0</x:v>
      </x:c>
      <x:c r="M2264" s="80" t="n">
        <x:f>MAX(0,-K2264*'Inputs'!$E$50)</x:f>
        <x:v>0</x:v>
      </x:c>
      <x:c r="N2264" s="78" t="n">
        <x:f>H2264*(L2264*(1-'Inputs'!$B$15))/(I2264+L2264*(1-'Inputs'!$B$15))</x:f>
        <x:v>0</x:v>
      </x:c>
      <x:c r="O2264" s="78" t="n">
        <x:f>H2264-N2264</x:f>
        <x:v>32568053.75655266</x:v>
      </x:c>
      <x:c r="P2264" s="78" t="n">
        <x:f>I2264+L2264*(1-'Inputs'!$B$17)</x:f>
        <x:v>886.2661007753479</x:v>
      </x:c>
      <x:c r="Q2264" s="78" t="n">
        <x:f>IF(J2264&gt;0,M2264/J2264,0)</x:f>
        <x:v>0</x:v>
      </x:c>
      <x:c r="R2264" s="78" t="n">
        <x:f>IF(B2264='Inputs'!$H$50,'Inputs'!$B$27*'Inputs'!$I$50,0)</x:f>
        <x:v>0</x:v>
      </x:c>
      <x:c r="S2264" s="78" t="n">
        <x:f>Q2264+G2264+R2264</x:f>
        <x:v>497298.9772940514</x:v>
      </x:c>
      <x:c r="T2264" s="78" t="n">
        <x:f>P2264*(S2264*(1-'Inputs'!$B$15))/(O2264+S2264*(1-'Inputs'!$B$15))</x:f>
        <x:v>13.198028475426757</x:v>
      </x:c>
      <x:c r="U2264" s="78" t="n">
        <x:f>O2264+S2264*(1-'Inputs'!$B$17)</x:f>
        <x:v>33063351.530718766</x:v>
      </x:c>
      <x:c r="V2264" s="78" t="n">
        <x:f>P2264-T2264</x:f>
        <x:v>873.0680722999211</x:v>
      </x:c>
      <x:c r="W2264" s="79" t="n">
        <x:f>IF(U2264&gt;0,V2264/U2264,0)</x:f>
        <x:v>0.000026405915670368866</x:v>
      </x:c>
      <x:c r="X2264" s="80" t="n">
        <x:f>W2264*('Inputs'!$B$6-AC2264)</x:f>
        <x:v>26275.969875375613</x:v>
      </x:c>
      <x:c r="Y2264" s="80" t="n">
        <x:f>2*V2264</x:f>
        <x:v>1746.1361445998423</x:v>
      </x:c>
      <x:c r="Z2264" s="80" t="n">
        <x:f>K2264*'Inputs'!$B$16+(G2264+R2264)*J2264*'Inputs'!$B$16</x:f>
        <x:v>10.71639042707233</x:v>
      </x:c>
      <x:c r="AA2264" s="80" t="n">
        <x:f>K2264*(1+'Inputs'!$E$50)/2*'Inputs'!$B$17</x:f>
        <x:v>3.566463182194559</x:v>
      </x:c>
      <x:c r="AB2264" s="78" t="n">
        <x:f>(IF(J2264&gt;0,K2264*(1-'Inputs'!$E$50)/2/J2264,0)+G2264+R2264)*'Inputs'!$B$17</x:f>
        <x:v>133059.76955270307</x:v>
      </x:c>
      <x:c r="AC2264" s="78" t="n">
        <x:f>AC2263+AB2264</x:f>
        <x:v>4921086.4949882785</x:v>
      </x:c>
      <x:c r="AD2264" s="80" t="n">
        <x:f>Z2264/(1+'Inputs'!$C$50)</x:f>
        <x:v>5.358195213536165</x:v>
      </x:c>
      <x:c r="AE2264" s="80" t="n">
        <x:f>Z2264-AD2264</x:f>
        <x:v>5.358195213536165</x:v>
      </x:c>
      <x:c r="AF2264" s="80" t="n">
        <x:f>D2264*W2264</x:f>
        <x:v>7.798038780359393</x:v>
      </x:c>
      <x:c r="AG2264" s="80" t="n">
        <x:f>C2264*W2264</x:f>
        <x:v>18.195423820838453</x:v>
      </x:c>
      <x:c r="AH2264" s="80" t="n">
        <x:f>2*'Inputs'!$B$8*'Inputs'!$C$50</x:f>
        <x:v>5000</x:v>
      </x:c>
      <x:c r="AI2264" s="81" t="n">
        <x:f>IF(AH2264&gt;0,(AE2264+AF2264)/AH2264*365,0)</x:f>
        <x:v>0.9604050815543758</x:v>
      </x:c>
      <x:c r="AJ2264" s="81" t="n">
        <x:f>IF('Inputs'!$B$50&gt;0,AG2264/('Inputs'!$B$19*'Inputs'!$B$50)*365,0)</x:f>
        <x:v>0.6641329694606036</x:v>
      </x:c>
      <x:c r="AK2264" s="81" t="n">
        <x:f>W2264/MAX($W$2194:W2264)-1</x:f>
        <x:v>-0.9686682651760474</x:v>
      </x:c>
      <x:c r="AL2264" s="83" t="n">
        <x:f>'Inputs'!$B$50</x:f>
        <x:v>1</x:v>
      </x:c>
      <x:c r="AM2264" s="83" t="n">
        <x:f>'Inputs'!$C$50</x:f>
        <x:v>1</x:v>
      </x:c>
      <x:c r="AN2264" s="83" t="n">
        <x:f>'Inputs'!$D$50</x:f>
        <x:v>1</x:v>
      </x:c>
      <x:c r="AO2264" s="81" t="n">
        <x:f>'Inputs'!$E$50</x:f>
        <x:v>0</x:v>
      </x:c>
    </x:row>
    <x:row r="2265">
      <x:c r="A2265" s="59" t="str">
        <x:v>Whale exit</x:v>
      </x:c>
      <x:c r="B2265" s="59" t="n">
        <x:v>72</x:v>
      </x:c>
      <x:c r="C2265" s="78" t="n">
        <x:f>(('Inputs'!$B$29*(3*72*'Inputs'!$B$12-72^2)/(2*'Inputs'!$B$12^2))-('Inputs'!$B$29*(3*71*'Inputs'!$B$12-71^2)/(2*'Inputs'!$B$12^2)))*'Inputs'!$B$50</x:f>
        <x:v>688741.0865077898</x:v>
      </x:c>
      <x:c r="D2265" s="78" t="n">
        <x:f>IF('Inputs'!$C$50&gt;0,('Inputs'!$B$30*(3*72*'Inputs'!$B$12-72^2)/(2*'Inputs'!$B$12^2))-('Inputs'!$B$30*(3*71*'Inputs'!$B$12-71^2)/(2*'Inputs'!$B$12^2)),0)</x:f>
        <x:v>295174.75136047974</x:v>
      </x:c>
      <x:c r="E2265" s="78" t="n">
        <x:f>C2265+D2265</x:f>
        <x:v>983915.8378682695</x:v>
      </x:c>
      <x:c r="F2265" s="78" t="n">
        <x:f>'Inputs'!$B$13*E2265+(1-'Inputs'!$B$13)/'Inputs'!$B$14*SUM(E2210:E2265)</x:f>
        <x:v>994133.5147307189</x:v>
      </x:c>
      <x:c r="G2265" s="78" t="n">
        <x:f>F2265*'Inputs'!$F$50</x:f>
        <x:v>497066.75736535946</x:v>
      </x:c>
      <x:c r="H2265" s="78" t="n">
        <x:f>U2264</x:f>
        <x:v>33063351.530718766</x:v>
      </x:c>
      <x:c r="I2265" s="78" t="n">
        <x:f>V2264</x:f>
        <x:v>873.0680722999211</x:v>
      </x:c>
      <x:c r="J2265" s="79" t="n">
        <x:f>IF(H2265&gt;0,I2265/H2265,0)</x:f>
        <x:v>0.000026405915670368866</x:v>
      </x:c>
      <x:c r="K2265" s="80" t="n">
        <x:f>(H2265*J2265+I2265)*'Inputs'!$D$50*(1+'Inputs'!$G$50)^(B2265/30)</x:f>
        <x:v>1746.1361445998423</x:v>
      </x:c>
      <x:c r="L2265" s="80" t="n">
        <x:f>MAX(0,K2265*'Inputs'!$E$50)</x:f>
        <x:v>0</x:v>
      </x:c>
      <x:c r="M2265" s="80" t="n">
        <x:f>MAX(0,-K2265*'Inputs'!$E$50)</x:f>
        <x:v>0</x:v>
      </x:c>
      <x:c r="N2265" s="78" t="n">
        <x:f>H2265*(L2265*(1-'Inputs'!$B$15))/(I2265+L2265*(1-'Inputs'!$B$15))</x:f>
        <x:v>0</x:v>
      </x:c>
      <x:c r="O2265" s="78" t="n">
        <x:f>H2265-N2265</x:f>
        <x:v>33063351.530718766</x:v>
      </x:c>
      <x:c r="P2265" s="78" t="n">
        <x:f>I2265+L2265*(1-'Inputs'!$B$17)</x:f>
        <x:v>873.0680722999211</x:v>
      </x:c>
      <x:c r="Q2265" s="78" t="n">
        <x:f>IF(J2265&gt;0,M2265/J2265,0)</x:f>
        <x:v>0</x:v>
      </x:c>
      <x:c r="R2265" s="78" t="n">
        <x:f>IF(B2265='Inputs'!$H$50,'Inputs'!$B$27*'Inputs'!$I$50,0)</x:f>
        <x:v>0</x:v>
      </x:c>
      <x:c r="S2265" s="78" t="n">
        <x:f>Q2265+G2265+R2265</x:f>
        <x:v>497066.75736535946</x:v>
      </x:c>
      <x:c r="T2265" s="78" t="n">
        <x:f>P2265*(S2265*(1-'Inputs'!$B$15))/(O2265+S2265*(1-'Inputs'!$B$15))</x:f>
        <x:v>12.803685093390435</x:v>
      </x:c>
      <x:c r="U2265" s="78" t="n">
        <x:f>O2265+S2265*(1-'Inputs'!$B$17)</x:f>
        <x:v>33558418.01944282</x:v>
      </x:c>
      <x:c r="V2265" s="78" t="n">
        <x:f>P2265-T2265</x:f>
        <x:v>860.2643872065307</x:v>
      </x:c>
      <x:c r="W2265" s="79" t="n">
        <x:f>IF(U2265&gt;0,V2265/U2265,0)</x:f>
        <x:v>0.000025634831376977226</x:v>
      </x:c>
      <x:c r="X2265" s="80" t="n">
        <x:f>W2265*('Inputs'!$B$6-AC2265)</x:f>
        <x:v>25505.21811962247</x:v>
      </x:c>
      <x:c r="Y2265" s="80" t="n">
        <x:f>2*V2265</x:f>
        <x:v>1720.5287744130615</x:v>
      </x:c>
      <x:c r="Z2265" s="80" t="n">
        <x:f>K2265*'Inputs'!$B$16+(G2265+R2265)*J2265*'Inputs'!$B$16</x:f>
        <x:v>10.555569884864253</x:v>
      </x:c>
      <x:c r="AA2265" s="80" t="n">
        <x:f>K2265*(1+'Inputs'!$E$50)/2*'Inputs'!$B$17</x:f>
        <x:v>3.5133524036214134</x:v>
      </x:c>
      <x:c r="AB2265" s="78" t="n">
        <x:f>(IF(J2265&gt;0,K2265*(1-'Inputs'!$E$50)/2/J2265,0)+G2265+R2265)*'Inputs'!$B$17</x:f>
        <x:v>135051.9850627128</x:v>
      </x:c>
      <x:c r="AC2265" s="78" t="n">
        <x:f>AC2264+AB2265</x:f>
        <x:v>5056138.480050991</x:v>
      </x:c>
      <x:c r="AD2265" s="80" t="n">
        <x:f>Z2265/(1+'Inputs'!$C$50)</x:f>
        <x:v>5.277784942432127</x:v>
      </x:c>
      <x:c r="AE2265" s="80" t="n">
        <x:f>Z2265-AD2265</x:f>
        <x:v>5.277784942432127</x:v>
      </x:c>
      <x:c r="AF2265" s="80" t="n">
        <x:f>D2265*W2265</x:f>
        <x:v>7.5667549778670775</x:v>
      </x:c>
      <x:c r="AG2265" s="80" t="n">
        <x:f>C2265*W2265</x:f>
        <x:v>17.655761615023277</x:v>
      </x:c>
      <x:c r="AH2265" s="80" t="n">
        <x:f>2*'Inputs'!$B$8*'Inputs'!$C$50</x:f>
        <x:v>5000</x:v>
      </x:c>
      <x:c r="AI2265" s="81" t="n">
        <x:f>IF(AH2265&gt;0,(AE2265+AF2265)/AH2265*365,0)</x:f>
        <x:v>0.937651414181842</x:v>
      </x:c>
      <x:c r="AJ2265" s="81" t="n">
        <x:f>IF('Inputs'!$B$50&gt;0,AG2265/('Inputs'!$B$19*'Inputs'!$B$50)*365,0)</x:f>
        <x:v>0.6444352989483496</x:v>
      </x:c>
      <x:c r="AK2265" s="81" t="n">
        <x:f>W2265/MAX($W$2194:W2265)-1</x:f>
        <x:v>-0.9695831892752171</x:v>
      </x:c>
      <x:c r="AL2265" s="83" t="n">
        <x:f>'Inputs'!$B$50</x:f>
        <x:v>1</x:v>
      </x:c>
      <x:c r="AM2265" s="83" t="n">
        <x:f>'Inputs'!$C$50</x:f>
        <x:v>1</x:v>
      </x:c>
      <x:c r="AN2265" s="83" t="n">
        <x:f>'Inputs'!$D$50</x:f>
        <x:v>1</x:v>
      </x:c>
      <x:c r="AO2265" s="81" t="n">
        <x:f>'Inputs'!$E$50</x:f>
        <x:v>0</x:v>
      </x:c>
    </x:row>
    <x:row r="2266">
      <x:c r="A2266" s="59" t="str">
        <x:v>Whale exit</x:v>
      </x:c>
      <x:c r="B2266" s="59" t="n">
        <x:v>73</x:v>
      </x:c>
      <x:c r="C2266" s="78" t="n">
        <x:f>(('Inputs'!$B$29*(3*73*'Inputs'!$B$12-73^2)/(2*'Inputs'!$B$12^2))-('Inputs'!$B$29*(3*72*'Inputs'!$B$12-72^2)/(2*'Inputs'!$B$12^2)))*'Inputs'!$B$50</x:f>
        <x:v>688415.9786076173</x:v>
      </x:c>
      <x:c r="D2266" s="78" t="n">
        <x:f>IF('Inputs'!$C$50&gt;0,('Inputs'!$B$30*(3*73*'Inputs'!$B$12-73^2)/(2*'Inputs'!$B$12^2))-('Inputs'!$B$30*(3*72*'Inputs'!$B$12-72^2)/(2*'Inputs'!$B$12^2)),0)</x:f>
        <x:v>295035.41940326616</x:v>
      </x:c>
      <x:c r="E2266" s="78" t="n">
        <x:f>C2266+D2266</x:f>
        <x:v>983451.3980108835</x:v>
      </x:c>
      <x:c r="F2266" s="78" t="n">
        <x:f>'Inputs'!$B$13*E2266+(1-'Inputs'!$B$13)/'Inputs'!$B$14*SUM(E2211:E2266)</x:f>
        <x:v>993669.0748733344</x:v>
      </x:c>
      <x:c r="G2266" s="78" t="n">
        <x:f>F2266*'Inputs'!$F$50</x:f>
        <x:v>496834.5374366672</x:v>
      </x:c>
      <x:c r="H2266" s="78" t="n">
        <x:f>U2265</x:f>
        <x:v>33558418.01944282</x:v>
      </x:c>
      <x:c r="I2266" s="78" t="n">
        <x:f>V2265</x:f>
        <x:v>860.2643872065307</x:v>
      </x:c>
      <x:c r="J2266" s="79" t="n">
        <x:f>IF(H2266&gt;0,I2266/H2266,0)</x:f>
        <x:v>0.000025634831376977226</x:v>
      </x:c>
      <x:c r="K2266" s="80" t="n">
        <x:f>(H2266*J2266+I2266)*'Inputs'!$D$50*(1+'Inputs'!$G$50)^(B2266/30)</x:f>
        <x:v>1720.5287744130615</x:v>
      </x:c>
      <x:c r="L2266" s="80" t="n">
        <x:f>MAX(0,K2266*'Inputs'!$E$50)</x:f>
        <x:v>0</x:v>
      </x:c>
      <x:c r="M2266" s="80" t="n">
        <x:f>MAX(0,-K2266*'Inputs'!$E$50)</x:f>
        <x:v>0</x:v>
      </x:c>
      <x:c r="N2266" s="78" t="n">
        <x:f>H2266*(L2266*(1-'Inputs'!$B$15))/(I2266+L2266*(1-'Inputs'!$B$15))</x:f>
        <x:v>0</x:v>
      </x:c>
      <x:c r="O2266" s="78" t="n">
        <x:f>H2266-N2266</x:f>
        <x:v>33558418.01944282</x:v>
      </x:c>
      <x:c r="P2266" s="78" t="n">
        <x:f>I2266+L2266*(1-'Inputs'!$B$17)</x:f>
        <x:v>860.2643872065307</x:v>
      </x:c>
      <x:c r="Q2266" s="78" t="n">
        <x:f>IF(J2266&gt;0,M2266/J2266,0)</x:f>
        <x:v>0</x:v>
      </x:c>
      <x:c r="R2266" s="78" t="n">
        <x:f>IF(B2266='Inputs'!$H$50,'Inputs'!$B$27*'Inputs'!$I$50,0)</x:f>
        <x:v>0</x:v>
      </x:c>
      <x:c r="S2266" s="78" t="n">
        <x:f>Q2266+G2266+R2266</x:f>
        <x:v>496834.5374366672</x:v>
      </x:c>
      <x:c r="T2266" s="78" t="n">
        <x:f>P2266*(S2266*(1-'Inputs'!$B$15))/(O2266+S2266*(1-'Inputs'!$B$15))</x:f>
        <x:v>12.426767590947543</x:v>
      </x:c>
      <x:c r="U2266" s="78" t="n">
        <x:f>O2266+S2266*(1-'Inputs'!$B$17)</x:f>
        <x:v>34053253.22272481</x:v>
      </x:c>
      <x:c r="V2266" s="78" t="n">
        <x:f>P2266-T2266</x:f>
        <x:v>847.8376196155832</x:v>
      </x:c>
      <x:c r="W2266" s="79" t="n">
        <x:f>IF(U2266&gt;0,V2266/U2266,0)</x:f>
        <x:v>0.00002489740448791525</x:v>
      </x:c>
      <x:c r="X2266" s="80" t="n">
        <x:f>W2266*('Inputs'!$B$6-AC2266)</x:f>
        <x:v>24768.10774130879</x:v>
      </x:c>
      <x:c r="Y2266" s="80" t="n">
        <x:f>2*V2266</x:f>
        <x:v>1695.6752392311664</x:v>
      </x:c>
      <x:c r="Z2266" s="80" t="n">
        <x:f>K2266*'Inputs'!$B$16+(G2266+R2266)*J2266*'Inputs'!$B$16</x:f>
        <x:v>10.399590264015053</x:v>
      </x:c>
      <x:c r="AA2266" s="80" t="n">
        <x:f>K2266*(1+'Inputs'!$E$50)/2*'Inputs'!$B$17</x:f>
        <x:v>3.461828519945798</x:v>
      </x:c>
      <x:c r="AB2266" s="78" t="n">
        <x:f>(IF(J2266&gt;0,K2266*(1-'Inputs'!$E$50)/2/J2266,0)+G2266+R2266)*'Inputs'!$B$17</x:f>
        <x:v>137043.26984659754</x:v>
      </x:c>
      <x:c r="AC2266" s="78" t="n">
        <x:f>AC2265+AB2266</x:f>
        <x:v>5193181.749897589</x:v>
      </x:c>
      <x:c r="AD2266" s="80" t="n">
        <x:f>Z2266/(1+'Inputs'!$C$50)</x:f>
        <x:v>5.199795132007527</x:v>
      </x:c>
      <x:c r="AE2266" s="80" t="n">
        <x:f>Z2266-AD2266</x:f>
        <x:v>5.199795132007527</x:v>
      </x:c>
      <x:c r="AF2266" s="80" t="n">
        <x:f>D2266*W2266</x:f>
        <x:v>7.345616175144837</x:v>
      </x:c>
      <x:c r="AG2266" s="80" t="n">
        <x:f>C2266*W2266</x:f>
        <x:v>17.139771075337862</x:v>
      </x:c>
      <x:c r="AH2266" s="80" t="n">
        <x:f>2*'Inputs'!$B$8*'Inputs'!$C$50</x:f>
        <x:v>5000</x:v>
      </x:c>
      <x:c r="AI2266" s="81" t="n">
        <x:f>IF(AH2266&gt;0,(AE2266+AF2266)/AH2266*365,0)</x:f>
        <x:v>0.9158150254221226</x:v>
      </x:c>
      <x:c r="AJ2266" s="81" t="n">
        <x:f>IF('Inputs'!$B$50&gt;0,AG2266/('Inputs'!$B$19*'Inputs'!$B$50)*365,0)</x:f>
        <x:v>0.6256016442498319</x:v>
      </x:c>
      <x:c r="AK2266" s="81" t="n">
        <x:f>W2266/MAX($W$2194:W2266)-1</x:f>
        <x:v>-0.9704581774418297</x:v>
      </x:c>
      <x:c r="AL2266" s="83" t="n">
        <x:f>'Inputs'!$B$50</x:f>
        <x:v>1</x:v>
      </x:c>
      <x:c r="AM2266" s="83" t="n">
        <x:f>'Inputs'!$C$50</x:f>
        <x:v>1</x:v>
      </x:c>
      <x:c r="AN2266" s="83" t="n">
        <x:f>'Inputs'!$D$50</x:f>
        <x:v>1</x:v>
      </x:c>
      <x:c r="AO2266" s="81" t="n">
        <x:f>'Inputs'!$E$50</x:f>
        <x:v>0</x:v>
      </x:c>
    </x:row>
    <x:row r="2267">
      <x:c r="A2267" s="59" t="str">
        <x:v>Whale exit</x:v>
      </x:c>
      <x:c r="B2267" s="59" t="n">
        <x:v>74</x:v>
      </x:c>
      <x:c r="C2267" s="78" t="n">
        <x:f>(('Inputs'!$B$29*(3*74*'Inputs'!$B$12-74^2)/(2*'Inputs'!$B$12^2))-('Inputs'!$B$29*(3*73*'Inputs'!$B$12-73^2)/(2*'Inputs'!$B$12^2)))*'Inputs'!$B$50</x:f>
        <x:v>688090.8707074523</x:v>
      </x:c>
      <x:c r="D2267" s="78" t="n">
        <x:f>IF('Inputs'!$C$50&gt;0,('Inputs'!$B$30*(3*74*'Inputs'!$B$12-74^2)/(2*'Inputs'!$B$12^2))-('Inputs'!$B$30*(3*73*'Inputs'!$B$12-73^2)/(2*'Inputs'!$B$12^2)),0)</x:f>
        <x:v>294896.08744604886</x:v>
      </x:c>
      <x:c r="E2267" s="78" t="n">
        <x:f>C2267+D2267</x:f>
        <x:v>982986.9581535012</x:v>
      </x:c>
      <x:c r="F2267" s="78" t="n">
        <x:f>'Inputs'!$B$13*E2267+(1-'Inputs'!$B$13)/'Inputs'!$B$14*SUM(E2212:E2267)</x:f>
        <x:v>993204.6350159508</x:v>
      </x:c>
      <x:c r="G2267" s="78" t="n">
        <x:f>F2267*'Inputs'!$F$50</x:f>
        <x:v>496602.3175079754</x:v>
      </x:c>
      <x:c r="H2267" s="78" t="n">
        <x:f>U2266</x:f>
        <x:v>34053253.22272481</x:v>
      </x:c>
      <x:c r="I2267" s="78" t="n">
        <x:f>V2266</x:f>
        <x:v>847.8376196155832</x:v>
      </x:c>
      <x:c r="J2267" s="79" t="n">
        <x:f>IF(H2267&gt;0,I2267/H2267,0)</x:f>
        <x:v>0.00002489740448791525</x:v>
      </x:c>
      <x:c r="K2267" s="80" t="n">
        <x:f>(H2267*J2267+I2267)*'Inputs'!$D$50*(1+'Inputs'!$G$50)^(B2267/30)</x:f>
        <x:v>1695.6752392311664</x:v>
      </x:c>
      <x:c r="L2267" s="80" t="n">
        <x:f>MAX(0,K2267*'Inputs'!$E$50)</x:f>
        <x:v>0</x:v>
      </x:c>
      <x:c r="M2267" s="80" t="n">
        <x:f>MAX(0,-K2267*'Inputs'!$E$50)</x:f>
        <x:v>0</x:v>
      </x:c>
      <x:c r="N2267" s="78" t="n">
        <x:f>H2267*(L2267*(1-'Inputs'!$B$15))/(I2267+L2267*(1-'Inputs'!$B$15))</x:f>
        <x:v>0</x:v>
      </x:c>
      <x:c r="O2267" s="78" t="n">
        <x:f>H2267-N2267</x:f>
        <x:v>34053253.22272481</x:v>
      </x:c>
      <x:c r="P2267" s="78" t="n">
        <x:f>I2267+L2267*(1-'Inputs'!$B$17)</x:f>
        <x:v>847.8376196155832</x:v>
      </x:c>
      <x:c r="Q2267" s="78" t="n">
        <x:f>IF(J2267&gt;0,M2267/J2267,0)</x:f>
        <x:v>0</x:v>
      </x:c>
      <x:c r="R2267" s="78" t="n">
        <x:f>IF(B2267='Inputs'!$H$50,'Inputs'!$B$27*'Inputs'!$I$50,0)</x:f>
        <x:v>0</x:v>
      </x:c>
      <x:c r="S2267" s="78" t="n">
        <x:f>Q2267+G2267+R2267</x:f>
        <x:v>496602.3175079754</x:v>
      </x:c>
      <x:c r="T2267" s="78" t="n">
        <x:f>P2267*(S2267*(1-'Inputs'!$B$15))/(O2267+S2267*(1-'Inputs'!$B$15))</x:f>
        <x:v>12.066263674052443</x:v>
      </x:c>
      <x:c r="U2267" s="78" t="n">
        <x:f>O2267+S2267*(1-'Inputs'!$B$17)</x:f>
        <x:v>34547857.14056475</x:v>
      </x:c>
      <x:c r="V2267" s="78" t="n">
        <x:f>P2267-T2267</x:f>
        <x:v>835.7713559415307</x:v>
      </x:c>
      <x:c r="W2267" s="79" t="n">
        <x:f>IF(U2267&gt;0,V2267/U2267,0)</x:f>
        <x:v>0.00002419169885243622</x:v>
      </x:c>
      <x:c r="X2267" s="80" t="n">
        <x:f>W2267*('Inputs'!$B$6-AC2267)</x:f>
        <x:v>24062.70350389687</x:v>
      </x:c>
      <x:c r="Y2267" s="80" t="n">
        <x:f>2*V2267</x:f>
        <x:v>1671.5427118830614</x:v>
      </x:c>
      <x:c r="Z2267" s="80" t="n">
        <x:f>K2267*'Inputs'!$B$16+(G2267+R2267)*J2267*'Inputs'!$B$16</x:f>
        <x:v>10.24823608799879</x:v>
      </x:c>
      <x:c r="AA2267" s="80" t="n">
        <x:f>K2267*(1+'Inputs'!$E$50)/2*'Inputs'!$B$17</x:f>
        <x:v>3.411821406903756</x:v>
      </x:c>
      <x:c r="AB2267" s="78" t="n">
        <x:f>(IF(J2267&gt;0,K2267*(1-'Inputs'!$E$50)/2/J2267,0)+G2267+R2267)*'Inputs'!$B$17</x:f>
        <x:v>139033.6239043573</x:v>
      </x:c>
      <x:c r="AC2267" s="78" t="n">
        <x:f>AC2266+AB2267</x:f>
        <x:v>5332215.373801947</x:v>
      </x:c>
      <x:c r="AD2267" s="80" t="n">
        <x:f>Z2267/(1+'Inputs'!$C$50)</x:f>
        <x:v>5.124118043999395</x:v>
      </x:c>
      <x:c r="AE2267" s="80" t="n">
        <x:f>Z2267-AD2267</x:f>
        <x:v>5.124118043999395</x:v>
      </x:c>
      <x:c r="AF2267" s="80" t="n">
        <x:f>D2267*W2267</x:f>
        <x:v>7.134037340256511</x:v>
      </x:c>
      <x:c r="AG2267" s="80" t="n">
        <x:f>C2267*W2267</x:f>
        <x:v>16.646087127265314</x:v>
      </x:c>
      <x:c r="AH2267" s="80" t="n">
        <x:f>2*'Inputs'!$B$8*'Inputs'!$C$50</x:f>
        <x:v>5000</x:v>
      </x:c>
      <x:c r="AI2267" s="81" t="n">
        <x:f>IF(AH2267&gt;0,(AE2267+AF2267)/AH2267*365,0)</x:f>
        <x:v>0.8948453430506812</x:v>
      </x:c>
      <x:c r="AJ2267" s="81" t="n">
        <x:f>IF('Inputs'!$B$50&gt;0,AG2267/('Inputs'!$B$19*'Inputs'!$B$50)*365,0)</x:f>
        <x:v>0.607582180145184</x:v>
      </x:c>
      <x:c r="AK2267" s="81" t="n">
        <x:f>W2267/MAX($W$2194:W2267)-1</x:f>
        <x:v>-0.9712955270005654</x:v>
      </x:c>
      <x:c r="AL2267" s="83" t="n">
        <x:f>'Inputs'!$B$50</x:f>
        <x:v>1</x:v>
      </x:c>
      <x:c r="AM2267" s="83" t="n">
        <x:f>'Inputs'!$C$50</x:f>
        <x:v>1</x:v>
      </x:c>
      <x:c r="AN2267" s="83" t="n">
        <x:f>'Inputs'!$D$50</x:f>
        <x:v>1</x:v>
      </x:c>
      <x:c r="AO2267" s="81" t="n">
        <x:f>'Inputs'!$E$50</x:f>
        <x:v>0</x:v>
      </x:c>
    </x:row>
    <x:row r="2268">
      <x:c r="A2268" s="59" t="str">
        <x:v>Whale exit</x:v>
      </x:c>
      <x:c r="B2268" s="59" t="n">
        <x:v>75</x:v>
      </x:c>
      <x:c r="C2268" s="78" t="n">
        <x:f>(('Inputs'!$B$29*(3*75*'Inputs'!$B$12-75^2)/(2*'Inputs'!$B$12^2))-('Inputs'!$B$29*(3*74*'Inputs'!$B$12-74^2)/(2*'Inputs'!$B$12^2)))*'Inputs'!$B$50</x:f>
        <x:v>687765.7628072798</x:v>
      </x:c>
      <x:c r="D2268" s="78" t="n">
        <x:f>IF('Inputs'!$C$50&gt;0,('Inputs'!$B$30*(3*75*'Inputs'!$B$12-75^2)/(2*'Inputs'!$B$12^2))-('Inputs'!$B$30*(3*74*'Inputs'!$B$12-74^2)/(2*'Inputs'!$B$12^2)),0)</x:f>
        <x:v>294756.7554888353</x:v>
      </x:c>
      <x:c r="E2268" s="78" t="n">
        <x:f>C2268+D2268</x:f>
        <x:v>982522.5182961151</x:v>
      </x:c>
      <x:c r="F2268" s="78" t="n">
        <x:f>'Inputs'!$B$13*E2268+(1-'Inputs'!$B$13)/'Inputs'!$B$14*SUM(E2213:E2268)</x:f>
        <x:v>992740.1951585663</x:v>
      </x:c>
      <x:c r="G2268" s="78" t="n">
        <x:f>F2268*'Inputs'!$F$50</x:f>
        <x:v>496370.0975792832</x:v>
      </x:c>
      <x:c r="H2268" s="78" t="n">
        <x:f>U2267</x:f>
        <x:v>34547857.14056475</x:v>
      </x:c>
      <x:c r="I2268" s="78" t="n">
        <x:f>V2267</x:f>
        <x:v>835.7713559415307</x:v>
      </x:c>
      <x:c r="J2268" s="79" t="n">
        <x:f>IF(H2268&gt;0,I2268/H2268,0)</x:f>
        <x:v>0.00002419169885243622</x:v>
      </x:c>
      <x:c r="K2268" s="80" t="n">
        <x:f>(H2268*J2268+I2268)*'Inputs'!$D$50*(1+'Inputs'!$G$50)^(B2268/30)</x:f>
        <x:v>1671.5427118830614</x:v>
      </x:c>
      <x:c r="L2268" s="80" t="n">
        <x:f>MAX(0,K2268*'Inputs'!$E$50)</x:f>
        <x:v>0</x:v>
      </x:c>
      <x:c r="M2268" s="80" t="n">
        <x:f>MAX(0,-K2268*'Inputs'!$E$50)</x:f>
        <x:v>0</x:v>
      </x:c>
      <x:c r="N2268" s="78" t="n">
        <x:f>H2268*(L2268*(1-'Inputs'!$B$15))/(I2268+L2268*(1-'Inputs'!$B$15))</x:f>
        <x:v>0</x:v>
      </x:c>
      <x:c r="O2268" s="78" t="n">
        <x:f>H2268-N2268</x:f>
        <x:v>34547857.14056475</x:v>
      </x:c>
      <x:c r="P2268" s="78" t="n">
        <x:f>I2268+L2268*(1-'Inputs'!$B$17)</x:f>
        <x:v>835.7713559415307</x:v>
      </x:c>
      <x:c r="Q2268" s="78" t="n">
        <x:f>IF(J2268&gt;0,M2268/J2268,0)</x:f>
        <x:v>0</x:v>
      </x:c>
      <x:c r="R2268" s="78" t="n">
        <x:f>IF(B2268='Inputs'!$H$50,'Inputs'!$B$27*'Inputs'!$I$50,0)</x:f>
        <x:v>0</x:v>
      </x:c>
      <x:c r="S2268" s="78" t="n">
        <x:f>Q2268+G2268+R2268</x:f>
        <x:v>496370.0975792832</x:v>
      </x:c>
      <x:c r="T2268" s="78" t="n">
        <x:f>P2268*(S2268*(1-'Inputs'!$B$15))/(O2268+S2268*(1-'Inputs'!$B$15))</x:f>
        <x:v>11.72123352341533</x:v>
      </x:c>
      <x:c r="U2268" s="78" t="n">
        <x:f>O2268+S2268*(1-'Inputs'!$B$17)</x:f>
        <x:v>35042229.77296262</x:v>
      </x:c>
      <x:c r="V2268" s="78" t="n">
        <x:f>P2268-T2268</x:f>
        <x:v>824.0501224181154</x:v>
      </x:c>
      <x:c r="W2268" s="79" t="n">
        <x:f>IF(U2268&gt;0,V2268/U2268,0)</x:f>
        <x:v>0.000023515915732449312</x:v>
      </x:c>
      <x:c r="X2268" s="80" t="n">
        <x:f>W2268*('Inputs'!$B$6-AC2268)</x:f>
        <x:v>23387.20751895658</x:v>
      </x:c>
      <x:c r="Y2268" s="80" t="n">
        <x:f>2*V2268</x:f>
        <x:v>1648.1002448362308</x:v>
      </x:c>
      <x:c r="Z2268" s="80" t="n">
        <x:f>K2268*'Inputs'!$B$16+(G2268+R2268)*J2268*'Inputs'!$B$16</x:f>
        <x:v>10.101304486818323</x:v>
      </x:c>
      <x:c r="AA2268" s="80" t="n">
        <x:f>K2268*(1+'Inputs'!$E$50)/2*'Inputs'!$B$17</x:f>
        <x:v>3.3632650138492184</x:v>
      </x:c>
      <x:c r="AB2268" s="78" t="n">
        <x:f>(IF(J2268&gt;0,K2268*(1-'Inputs'!$E$50)/2/J2268,0)+G2268+R2268)*'Inputs'!$B$17</x:f>
        <x:v>141023.0472359921</x:v>
      </x:c>
      <x:c r="AC2268" s="78" t="n">
        <x:f>AC2267+AB2268</x:f>
        <x:v>5473238.421037938</x:v>
      </x:c>
      <x:c r="AD2268" s="80" t="n">
        <x:f>Z2268/(1+'Inputs'!$C$50)</x:f>
        <x:v>5.050652243409162</x:v>
      </x:c>
      <x:c r="AE2268" s="80" t="n">
        <x:f>Z2268-AD2268</x:f>
        <x:v>5.050652243409162</x:v>
      </x:c>
      <x:c r="AF2268" s="80" t="n">
        <x:f>D2268*W2268</x:f>
        <x:v>6.931475023645617</x:v>
      </x:c>
      <x:c r="AG2268" s="80" t="n">
        <x:f>C2268*W2268</x:f>
        <x:v>16.173441721839716</x:v>
      </x:c>
      <x:c r="AH2268" s="80" t="n">
        <x:f>2*'Inputs'!$B$8*'Inputs'!$C$50</x:f>
        <x:v>5000</x:v>
      </x:c>
      <x:c r="AI2268" s="81" t="n">
        <x:f>IF(AH2268&gt;0,(AE2268+AF2268)/AH2268*365,0)</x:f>
        <x:v>0.8746952904949988</x:v>
      </x:c>
      <x:c r="AJ2268" s="81" t="n">
        <x:f>IF('Inputs'!$B$50&gt;0,AG2268/('Inputs'!$B$19*'Inputs'!$B$50)*365,0)</x:f>
        <x:v>0.5903306228471495</x:v>
      </x:c>
      <x:c r="AK2268" s="81" t="n">
        <x:f>W2268/MAX($W$2194:W2268)-1</x:f>
        <x:v>-0.9720973722301817</x:v>
      </x:c>
      <x:c r="AL2268" s="83" t="n">
        <x:f>'Inputs'!$B$50</x:f>
        <x:v>1</x:v>
      </x:c>
      <x:c r="AM2268" s="83" t="n">
        <x:f>'Inputs'!$C$50</x:f>
        <x:v>1</x:v>
      </x:c>
      <x:c r="AN2268" s="83" t="n">
        <x:f>'Inputs'!$D$50</x:f>
        <x:v>1</x:v>
      </x:c>
      <x:c r="AO2268" s="81" t="n">
        <x:f>'Inputs'!$E$50</x:f>
        <x:v>0</x:v>
      </x:c>
    </x:row>
    <x:row r="2269">
      <x:c r="A2269" s="59" t="str">
        <x:v>Whale exit</x:v>
      </x:c>
      <x:c r="B2269" s="59" t="n">
        <x:v>76</x:v>
      </x:c>
      <x:c r="C2269" s="78" t="n">
        <x:f>(('Inputs'!$B$29*(3*76*'Inputs'!$B$12-76^2)/(2*'Inputs'!$B$12^2))-('Inputs'!$B$29*(3*75*'Inputs'!$B$12-75^2)/(2*'Inputs'!$B$12^2)))*'Inputs'!$B$50</x:f>
        <x:v>687440.6549071074</x:v>
      </x:c>
      <x:c r="D2269" s="78" t="n">
        <x:f>IF('Inputs'!$C$50&gt;0,('Inputs'!$B$30*(3*76*'Inputs'!$B$12-76^2)/(2*'Inputs'!$B$12^2))-('Inputs'!$B$30*(3*75*'Inputs'!$B$12-75^2)/(2*'Inputs'!$B$12^2)),0)</x:f>
        <x:v>294617.4235316217</x:v>
      </x:c>
      <x:c r="E2269" s="78" t="n">
        <x:f>C2269+D2269</x:f>
        <x:v>982058.078438729</x:v>
      </x:c>
      <x:c r="F2269" s="78" t="n">
        <x:f>'Inputs'!$B$13*E2269+(1-'Inputs'!$B$13)/'Inputs'!$B$14*SUM(E2214:E2269)</x:f>
        <x:v>992275.7553011818</x:v>
      </x:c>
      <x:c r="G2269" s="78" t="n">
        <x:f>F2269*'Inputs'!$F$50</x:f>
        <x:v>496137.8776505909</x:v>
      </x:c>
      <x:c r="H2269" s="78" t="n">
        <x:f>U2268</x:f>
        <x:v>35042229.77296262</x:v>
      </x:c>
      <x:c r="I2269" s="78" t="n">
        <x:f>V2268</x:f>
        <x:v>824.0501224181154</x:v>
      </x:c>
      <x:c r="J2269" s="79" t="n">
        <x:f>IF(H2269&gt;0,I2269/H2269,0)</x:f>
        <x:v>0.000023515915732449312</x:v>
      </x:c>
      <x:c r="K2269" s="80" t="n">
        <x:f>(H2269*J2269+I2269)*'Inputs'!$D$50*(1+'Inputs'!$G$50)^(B2269/30)</x:f>
        <x:v>1648.1002448362308</x:v>
      </x:c>
      <x:c r="L2269" s="80" t="n">
        <x:f>MAX(0,K2269*'Inputs'!$E$50)</x:f>
        <x:v>0</x:v>
      </x:c>
      <x:c r="M2269" s="80" t="n">
        <x:f>MAX(0,-K2269*'Inputs'!$E$50)</x:f>
        <x:v>0</x:v>
      </x:c>
      <x:c r="N2269" s="78" t="n">
        <x:f>H2269*(L2269*(1-'Inputs'!$B$15))/(I2269+L2269*(1-'Inputs'!$B$15))</x:f>
        <x:v>0</x:v>
      </x:c>
      <x:c r="O2269" s="78" t="n">
        <x:f>H2269-N2269</x:f>
        <x:v>35042229.77296262</x:v>
      </x:c>
      <x:c r="P2269" s="78" t="n">
        <x:f>I2269+L2269*(1-'Inputs'!$B$17)</x:f>
        <x:v>824.0501224181154</x:v>
      </x:c>
      <x:c r="Q2269" s="78" t="n">
        <x:f>IF(J2269&gt;0,M2269/J2269,0)</x:f>
        <x:v>0</x:v>
      </x:c>
      <x:c r="R2269" s="78" t="n">
        <x:f>IF(B2269='Inputs'!$H$50,'Inputs'!$B$27*'Inputs'!$I$50,0)</x:f>
        <x:v>0</x:v>
      </x:c>
      <x:c r="S2269" s="78" t="n">
        <x:f>Q2269+G2269+R2269</x:f>
        <x:v>496137.8776505909</x:v>
      </x:c>
      <x:c r="T2269" s="78" t="n">
        <x:f>P2269*(S2269*(1-'Inputs'!$B$15))/(O2269+S2269*(1-'Inputs'!$B$15))</x:f>
        <x:v>11.39080365472571</x:v>
      </x:c>
      <x:c r="U2269" s="78" t="n">
        <x:f>O2269+S2269*(1-'Inputs'!$B$17)</x:f>
        <x:v>35536371.11991844</x:v>
      </x:c>
      <x:c r="V2269" s="78" t="n">
        <x:f>P2269-T2269</x:f>
        <x:v>812.6593187633897</x:v>
      </x:c>
      <x:c r="W2269" s="79" t="n">
        <x:f>IF(U2269&gt;0,V2269/U2269,0)</x:f>
        <x:v>0.00002286838225605673</x:v>
      </x:c>
      <x:c r="X2269" s="80" t="n">
        <x:f>W2269*('Inputs'!$B$6-AC2269)</x:f>
        <x:v>22739.947705105773</x:v>
      </x:c>
      <x:c r="Y2269" s="80" t="n">
        <x:f>2*V2269</x:f>
        <x:v>1625.3186375267794</x:v>
      </x:c>
      <x:c r="Z2269" s="80" t="n">
        <x:f>K2269*'Inputs'!$B$16+(G2269+R2269)*J2269*'Inputs'!$B$16</x:f>
        <x:v>9.95860428815243</x:v>
      </x:c>
      <x:c r="AA2269" s="80" t="n">
        <x:f>K2269*(1+'Inputs'!$E$50)/2*'Inputs'!$B$17</x:f>
        <x:v>3.316097072105092</x:v>
      </x:c>
      <x:c r="AB2269" s="78" t="n">
        <x:f>(IF(J2269&gt;0,K2269*(1-'Inputs'!$E$50)/2/J2269,0)+G2269+R2269)*'Inputs'!$B$17</x:f>
        <x:v>143011.53984150186</x:v>
      </x:c>
      <x:c r="AC2269" s="78" t="n">
        <x:f>AC2268+AB2269</x:f>
        <x:v>5616249.96087944</x:v>
      </x:c>
      <x:c r="AD2269" s="80" t="n">
        <x:f>Z2269/(1+'Inputs'!$C$50)</x:f>
        <x:v>4.979302144076215</x:v>
      </x:c>
      <x:c r="AE2269" s="80" t="n">
        <x:f>Z2269-AD2269</x:f>
        <x:v>4.979302144076215</x:v>
      </x:c>
      <x:c r="AF2269" s="80" t="n">
        <x:f>D2269*W2269</x:f>
        <x:v>6.737423860615688</x:v>
      </x:c>
      <x:c r="AG2269" s="80" t="n">
        <x:f>C2269*W2269</x:f>
        <x:v>15.720655674769711</x:v>
      </x:c>
      <x:c r="AH2269" s="80" t="n">
        <x:f>2*'Inputs'!$B$8*'Inputs'!$C$50</x:f>
        <x:v>5000</x:v>
      </x:c>
      <x:c r="AI2269" s="81" t="n">
        <x:f>IF(AH2269&gt;0,(AE2269+AF2269)/AH2269*365,0)</x:f>
        <x:v>0.855320998342509</x:v>
      </x:c>
      <x:c r="AJ2269" s="81" t="n">
        <x:f>IF('Inputs'!$B$50&gt;0,AG2269/('Inputs'!$B$19*'Inputs'!$B$50)*365,0)</x:f>
        <x:v>0.5738039321290944</x:v>
      </x:c>
      <x:c r="AK2269" s="81" t="n">
        <x:f>W2269/MAX($W$2194:W2269)-1</x:f>
        <x:v>-0.9728656980638785</x:v>
      </x:c>
      <x:c r="AL2269" s="83" t="n">
        <x:f>'Inputs'!$B$50</x:f>
        <x:v>1</x:v>
      </x:c>
      <x:c r="AM2269" s="83" t="n">
        <x:f>'Inputs'!$C$50</x:f>
        <x:v>1</x:v>
      </x:c>
      <x:c r="AN2269" s="83" t="n">
        <x:f>'Inputs'!$D$50</x:f>
        <x:v>1</x:v>
      </x:c>
      <x:c r="AO2269" s="81" t="n">
        <x:f>'Inputs'!$E$50</x:f>
        <x:v>0</x:v>
      </x:c>
    </x:row>
    <x:row r="2270">
      <x:c r="A2270" s="59" t="str">
        <x:v>Whale exit</x:v>
      </x:c>
      <x:c r="B2270" s="59" t="n">
        <x:v>77</x:v>
      </x:c>
      <x:c r="C2270" s="78" t="n">
        <x:f>(('Inputs'!$B$29*(3*77*'Inputs'!$B$12-77^2)/(2*'Inputs'!$B$12^2))-('Inputs'!$B$29*(3*76*'Inputs'!$B$12-76^2)/(2*'Inputs'!$B$12^2)))*'Inputs'!$B$50</x:f>
        <x:v>687115.5470069498</x:v>
      </x:c>
      <x:c r="D2270" s="78" t="n">
        <x:f>IF('Inputs'!$C$50&gt;0,('Inputs'!$B$30*(3*77*'Inputs'!$B$12-77^2)/(2*'Inputs'!$B$12^2))-('Inputs'!$B$30*(3*76*'Inputs'!$B$12-76^2)/(2*'Inputs'!$B$12^2)),0)</x:f>
        <x:v>294478.09157440066</x:v>
      </x:c>
      <x:c r="E2270" s="78" t="n">
        <x:f>C2270+D2270</x:f>
        <x:v>981593.6385813504</x:v>
      </x:c>
      <x:c r="F2270" s="78" t="n">
        <x:f>'Inputs'!$B$13*E2270+(1-'Inputs'!$B$13)/'Inputs'!$B$14*SUM(E2215:E2270)</x:f>
        <x:v>991811.3154437987</x:v>
      </x:c>
      <x:c r="G2270" s="78" t="n">
        <x:f>F2270*'Inputs'!$F$50</x:f>
        <x:v>495905.65772189933</x:v>
      </x:c>
      <x:c r="H2270" s="78" t="n">
        <x:f>U2269</x:f>
        <x:v>35536371.11991844</x:v>
      </x:c>
      <x:c r="I2270" s="78" t="n">
        <x:f>V2269</x:f>
        <x:v>812.6593187633897</x:v>
      </x:c>
      <x:c r="J2270" s="79" t="n">
        <x:f>IF(H2270&gt;0,I2270/H2270,0)</x:f>
        <x:v>0.00002286838225605673</x:v>
      </x:c>
      <x:c r="K2270" s="80" t="n">
        <x:f>(H2270*J2270+I2270)*'Inputs'!$D$50*(1+'Inputs'!$G$50)^(B2270/30)</x:f>
        <x:v>1625.3186375267794</x:v>
      </x:c>
      <x:c r="L2270" s="80" t="n">
        <x:f>MAX(0,K2270*'Inputs'!$E$50)</x:f>
        <x:v>0</x:v>
      </x:c>
      <x:c r="M2270" s="80" t="n">
        <x:f>MAX(0,-K2270*'Inputs'!$E$50)</x:f>
        <x:v>0</x:v>
      </x:c>
      <x:c r="N2270" s="78" t="n">
        <x:f>H2270*(L2270*(1-'Inputs'!$B$15))/(I2270+L2270*(1-'Inputs'!$B$15))</x:f>
        <x:v>0</x:v>
      </x:c>
      <x:c r="O2270" s="78" t="n">
        <x:f>H2270-N2270</x:f>
        <x:v>35536371.11991844</x:v>
      </x:c>
      <x:c r="P2270" s="78" t="n">
        <x:f>I2270+L2270*(1-'Inputs'!$B$17)</x:f>
        <x:v>812.6593187633897</x:v>
      </x:c>
      <x:c r="Q2270" s="78" t="n">
        <x:f>IF(J2270&gt;0,M2270/J2270,0)</x:f>
        <x:v>0</x:v>
      </x:c>
      <x:c r="R2270" s="78" t="n">
        <x:f>IF(B2270='Inputs'!$H$50,'Inputs'!$B$27*'Inputs'!$I$50,0)</x:f>
        <x:v>0</x:v>
      </x:c>
      <x:c r="S2270" s="78" t="n">
        <x:f>Q2270+G2270+R2270</x:f>
        <x:v>495905.65772189933</x:v>
      </x:c>
      <x:c r="T2270" s="78" t="n">
        <x:f>P2270*(S2270*(1-'Inputs'!$B$15))/(O2270+S2270*(1-'Inputs'!$B$15))</x:f>
        <x:v>11.074161377331212</x:v>
      </x:c>
      <x:c r="U2270" s="78" t="n">
        <x:f>O2270+S2270*(1-'Inputs'!$B$17)</x:f>
        <x:v>36030281.1814322</x:v>
      </x:c>
      <x:c r="V2270" s="78" t="n">
        <x:f>P2270-T2270</x:f>
        <x:v>801.5851573860585</x:v>
      </x:c>
      <x:c r="W2270" s="79" t="n">
        <x:f>IF(U2270&gt;0,V2270/U2270,0)</x:f>
        <x:v>0.00002224754098780518</x:v>
      </x:c>
      <x:c r="X2270" s="80" t="n">
        <x:f>W2270*('Inputs'!$B$6-AC2270)</x:f>
        <x:v>22119.367363144025</x:v>
      </x:c>
      <x:c r="Y2270" s="80" t="n">
        <x:f>2*V2270</x:f>
        <x:v>1603.170314772117</x:v>
      </x:c>
      <x:c r="Z2270" s="80" t="n">
        <x:f>K2270*'Inputs'!$B$16+(G2270+R2270)*J2270*'Inputs'!$B$16</x:f>
        <x:v>9.819955186023032</x:v>
      </x:c>
      <x:c r="AA2270" s="80" t="n">
        <x:f>K2270*(1+'Inputs'!$E$50)/2*'Inputs'!$B$17</x:f>
        <x:v>3.270258828021689</x:v>
      </x:c>
      <x:c r="AB2270" s="78" t="n">
        <x:f>(IF(J2270&gt;0,K2270*(1-'Inputs'!$E$50)/2/J2270,0)+G2270+R2270)*'Inputs'!$B$17</x:f>
        <x:v>144999.1017208867</x:v>
      </x:c>
      <x:c r="AC2270" s="78" t="n">
        <x:f>AC2269+AB2270</x:f>
        <x:v>5761249.062600327</x:v>
      </x:c>
      <x:c r="AD2270" s="80" t="n">
        <x:f>Z2270/(1+'Inputs'!$C$50)</x:f>
        <x:v>4.909977593011516</x:v>
      </x:c>
      <x:c r="AE2270" s="80" t="n">
        <x:f>Z2270-AD2270</x:f>
        <x:v>4.909977593011516</x:v>
      </x:c>
      <x:c r="AF2270" s="80" t="n">
        <x:f>D2270*W2270</x:f>
        <x:v>6.551413412312126</x:v>
      </x:c>
      <x:c r="AG2270" s="80" t="n">
        <x:f>C2270*W2270</x:f>
        <x:v>15.286631295395292</x:v>
      </x:c>
      <x:c r="AH2270" s="80" t="n">
        <x:f>2*'Inputs'!$B$8*'Inputs'!$C$50</x:f>
        <x:v>5000</x:v>
      </x:c>
      <x:c r="AI2270" s="81" t="n">
        <x:f>IF(AH2270&gt;0,(AE2270+AF2270)/AH2270*365,0)</x:f>
        <x:v>0.8366815433886258</x:v>
      </x:c>
      <x:c r="AJ2270" s="81" t="n">
        <x:f>IF('Inputs'!$B$50&gt;0,AG2270/('Inputs'!$B$19*'Inputs'!$B$50)*365,0)</x:f>
        <x:v>0.5579620422819281</x:v>
      </x:c>
      <x:c r="AK2270" s="81" t="n">
        <x:f>W2270/MAX($W$2194:W2270)-1</x:f>
        <x:v>-0.9736023524646366</x:v>
      </x:c>
      <x:c r="AL2270" s="83" t="n">
        <x:f>'Inputs'!$B$50</x:f>
        <x:v>1</x:v>
      </x:c>
      <x:c r="AM2270" s="83" t="n">
        <x:f>'Inputs'!$C$50</x:f>
        <x:v>1</x:v>
      </x:c>
      <x:c r="AN2270" s="83" t="n">
        <x:f>'Inputs'!$D$50</x:f>
        <x:v>1</x:v>
      </x:c>
      <x:c r="AO2270" s="81" t="n">
        <x:f>'Inputs'!$E$50</x:f>
        <x:v>0</x:v>
      </x:c>
    </x:row>
    <x:row r="2271">
      <x:c r="A2271" s="59" t="str">
        <x:v>Whale exit</x:v>
      </x:c>
      <x:c r="B2271" s="59" t="n">
        <x:v>78</x:v>
      </x:c>
      <x:c r="C2271" s="78" t="n">
        <x:f>(('Inputs'!$B$29*(3*78*'Inputs'!$B$12-78^2)/(2*'Inputs'!$B$12^2))-('Inputs'!$B$29*(3*77*'Inputs'!$B$12-77^2)/(2*'Inputs'!$B$12^2)))*'Inputs'!$B$50</x:f>
        <x:v>686790.4391067699</x:v>
      </x:c>
      <x:c r="D2271" s="78" t="n">
        <x:f>IF('Inputs'!$C$50&gt;0,('Inputs'!$B$30*(3*78*'Inputs'!$B$12-78^2)/(2*'Inputs'!$B$12^2))-('Inputs'!$B$30*(3*77*'Inputs'!$B$12-77^2)/(2*'Inputs'!$B$12^2)),0)</x:f>
        <x:v>294338.7596171908</x:v>
      </x:c>
      <x:c r="E2271" s="78" t="n">
        <x:f>C2271+D2271</x:f>
        <x:v>981129.1987239607</x:v>
      </x:c>
      <x:c r="F2271" s="78" t="n">
        <x:f>'Inputs'!$B$13*E2271+(1-'Inputs'!$B$13)/'Inputs'!$B$14*SUM(E2216:E2271)</x:f>
        <x:v>991346.8755864135</x:v>
      </x:c>
      <x:c r="G2271" s="78" t="n">
        <x:f>F2271*'Inputs'!$F$50</x:f>
        <x:v>495673.4377932068</x:v>
      </x:c>
      <x:c r="H2271" s="78" t="n">
        <x:f>U2270</x:f>
        <x:v>36030281.1814322</x:v>
      </x:c>
      <x:c r="I2271" s="78" t="n">
        <x:f>V2270</x:f>
        <x:v>801.5851573860585</x:v>
      </x:c>
      <x:c r="J2271" s="79" t="n">
        <x:f>IF(H2271&gt;0,I2271/H2271,0)</x:f>
        <x:v>0.00002224754098780518</x:v>
      </x:c>
      <x:c r="K2271" s="80" t="n">
        <x:f>(H2271*J2271+I2271)*'Inputs'!$D$50*(1+'Inputs'!$G$50)^(B2271/30)</x:f>
        <x:v>1603.1703147721173</x:v>
      </x:c>
      <x:c r="L2271" s="80" t="n">
        <x:f>MAX(0,K2271*'Inputs'!$E$50)</x:f>
        <x:v>0</x:v>
      </x:c>
      <x:c r="M2271" s="80" t="n">
        <x:f>MAX(0,-K2271*'Inputs'!$E$50)</x:f>
        <x:v>0</x:v>
      </x:c>
      <x:c r="N2271" s="78" t="n">
        <x:f>H2271*(L2271*(1-'Inputs'!$B$15))/(I2271+L2271*(1-'Inputs'!$B$15))</x:f>
        <x:v>0</x:v>
      </x:c>
      <x:c r="O2271" s="78" t="n">
        <x:f>H2271-N2271</x:f>
        <x:v>36030281.1814322</x:v>
      </x:c>
      <x:c r="P2271" s="78" t="n">
        <x:f>I2271+L2271*(1-'Inputs'!$B$17)</x:f>
        <x:v>801.5851573860585</x:v>
      </x:c>
      <x:c r="Q2271" s="78" t="n">
        <x:f>IF(J2271&gt;0,M2271/J2271,0)</x:f>
        <x:v>0</x:v>
      </x:c>
      <x:c r="R2271" s="78" t="n">
        <x:f>IF(B2271='Inputs'!$H$50,'Inputs'!$B$27*'Inputs'!$I$50,0)</x:f>
        <x:v>0</x:v>
      </x:c>
      <x:c r="S2271" s="78" t="n">
        <x:f>Q2271+G2271+R2271</x:f>
        <x:v>495673.4377932068</x:v>
      </x:c>
      <x:c r="T2271" s="78" t="n">
        <x:f>P2271*(S2271*(1-'Inputs'!$B$15))/(O2271+S2271*(1-'Inputs'!$B$15))</x:f>
        <x:v>10.770549785615298</x:v>
      </x:c>
      <x:c r="U2271" s="78" t="n">
        <x:f>O2271+S2271*(1-'Inputs'!$B$17)</x:f>
        <x:v>36523959.95750391</x:v>
      </x:c>
      <x:c r="V2271" s="78" t="n">
        <x:f>P2271-T2271</x:f>
        <x:v>790.8146076004432</x:v>
      </x:c>
      <x:c r="W2271" s="79" t="n">
        <x:f>IF(U2271&gt;0,V2271/U2271,0)</x:f>
        <x:v>0.000021651940493872133</x:v>
      </x:c>
      <x:c r="X2271" s="80" t="n">
        <x:f>W2271*('Inputs'!$B$6-AC2271)</x:f>
        <x:v>21524.015745656692</x:v>
      </x:c>
      <x:c r="Y2271" s="80" t="n">
        <x:f>2*V2271</x:f>
        <x:v>1581.6292152008864</x:v>
      </x:c>
      <x:c r="Z2271" s="80" t="n">
        <x:f>K2271*'Inputs'!$B$16+(G2271+R2271)*J2271*'Inputs'!$B$16</x:f>
        <x:v>9.685186979375928</x:v>
      </x:c>
      <x:c r="AA2271" s="80" t="n">
        <x:f>K2271*(1+'Inputs'!$E$50)/2*'Inputs'!$B$17</x:f>
        <x:v>3.2256947983342403</x:v>
      </x:c>
      <x:c r="AB2271" s="78" t="n">
        <x:f>(IF(J2271&gt;0,K2271*(1-'Inputs'!$E$50)/2/J2271,0)+G2271+R2271)*'Inputs'!$B$17</x:f>
        <x:v>146985.73287414655</x:v>
      </x:c>
      <x:c r="AC2271" s="78" t="n">
        <x:f>AC2270+AB2271</x:f>
        <x:v>5908234.795474473</x:v>
      </x:c>
      <x:c r="AD2271" s="80" t="n">
        <x:f>Z2271/(1+'Inputs'!$C$50)</x:f>
        <x:v>4.842593489687964</x:v>
      </x:c>
      <x:c r="AE2271" s="80" t="n">
        <x:f>Z2271-AD2271</x:f>
        <x:v>4.842593489687964</x:v>
      </x:c>
      <x:c r="AF2271" s="80" t="n">
        <x:f>D2271*W2271</x:f>
        <x:v>6.37300530827155</x:v>
      </x:c>
      <x:c r="AG2271" s="80" t="n">
        <x:f>C2271*W2271</x:f>
        <x:v>14.870345719300094</x:v>
      </x:c>
      <x:c r="AH2271" s="80" t="n">
        <x:f>2*'Inputs'!$B$8*'Inputs'!$C$50</x:f>
        <x:v>5000</x:v>
      </x:c>
      <x:c r="AI2271" s="81" t="n">
        <x:f>IF(AH2271&gt;0,(AE2271+AF2271)/AH2271*365,0)</x:f>
        <x:v>0.8187387122510446</x:v>
      </x:c>
      <x:c r="AJ2271" s="81" t="n">
        <x:f>IF('Inputs'!$B$50&gt;0,AG2271/('Inputs'!$B$19*'Inputs'!$B$50)*365,0)</x:f>
        <x:v>0.5427676187544535</x:v>
      </x:c>
      <x:c r="AK2271" s="81" t="n">
        <x:f>W2271/MAX($W$2194:W2271)-1</x:f>
        <x:v>-0.9743090576200222</x:v>
      </x:c>
      <x:c r="AL2271" s="83" t="n">
        <x:f>'Inputs'!$B$50</x:f>
        <x:v>1</x:v>
      </x:c>
      <x:c r="AM2271" s="83" t="n">
        <x:f>'Inputs'!$C$50</x:f>
        <x:v>1</x:v>
      </x:c>
      <x:c r="AN2271" s="83" t="n">
        <x:f>'Inputs'!$D$50</x:f>
        <x:v>1</x:v>
      </x:c>
      <x:c r="AO2271" s="81" t="n">
        <x:f>'Inputs'!$E$50</x:f>
        <x:v>0</x:v>
      </x:c>
    </x:row>
    <x:row r="2272">
      <x:c r="A2272" s="59" t="str">
        <x:v>Whale exit</x:v>
      </x:c>
      <x:c r="B2272" s="59" t="n">
        <x:v>79</x:v>
      </x:c>
      <x:c r="C2272" s="78" t="n">
        <x:f>(('Inputs'!$B$29*(3*79*'Inputs'!$B$12-79^2)/(2*'Inputs'!$B$12^2))-('Inputs'!$B$29*(3*78*'Inputs'!$B$12-78^2)/(2*'Inputs'!$B$12^2)))*'Inputs'!$B$50</x:f>
        <x:v>686465.3312066048</x:v>
      </x:c>
      <x:c r="D2272" s="78" t="n">
        <x:f>IF('Inputs'!$C$50&gt;0,('Inputs'!$B$30*(3*79*'Inputs'!$B$12-79^2)/(2*'Inputs'!$B$12^2))-('Inputs'!$B$30*(3*78*'Inputs'!$B$12-78^2)/(2*'Inputs'!$B$12^2)),0)</x:f>
        <x:v>294199.4276599735</x:v>
      </x:c>
      <x:c r="E2272" s="78" t="n">
        <x:f>C2272+D2272</x:f>
        <x:v>980664.7588665783</x:v>
      </x:c>
      <x:c r="F2272" s="78" t="n">
        <x:f>'Inputs'!$B$13*E2272+(1-'Inputs'!$B$13)/'Inputs'!$B$14*SUM(E2217:E2272)</x:f>
        <x:v>990882.4357290296</x:v>
      </x:c>
      <x:c r="G2272" s="78" t="n">
        <x:f>F2272*'Inputs'!$F$50</x:f>
        <x:v>495441.2178645148</x:v>
      </x:c>
      <x:c r="H2272" s="78" t="n">
        <x:f>U2271</x:f>
        <x:v>36523959.95750391</x:v>
      </x:c>
      <x:c r="I2272" s="78" t="n">
        <x:f>V2271</x:f>
        <x:v>790.8146076004432</x:v>
      </x:c>
      <x:c r="J2272" s="79" t="n">
        <x:f>IF(H2272&gt;0,I2272/H2272,0)</x:f>
        <x:v>0.000021651940493872133</x:v>
      </x:c>
      <x:c r="K2272" s="80" t="n">
        <x:f>(H2272*J2272+I2272)*'Inputs'!$D$50*(1+'Inputs'!$G$50)^(B2272/30)</x:f>
        <x:v>1581.6292152008864</x:v>
      </x:c>
      <x:c r="L2272" s="80" t="n">
        <x:f>MAX(0,K2272*'Inputs'!$E$50)</x:f>
        <x:v>0</x:v>
      </x:c>
      <x:c r="M2272" s="80" t="n">
        <x:f>MAX(0,-K2272*'Inputs'!$E$50)</x:f>
        <x:v>0</x:v>
      </x:c>
      <x:c r="N2272" s="78" t="n">
        <x:f>H2272*(L2272*(1-'Inputs'!$B$15))/(I2272+L2272*(1-'Inputs'!$B$15))</x:f>
        <x:v>0</x:v>
      </x:c>
      <x:c r="O2272" s="78" t="n">
        <x:f>H2272-N2272</x:f>
        <x:v>36523959.95750391</x:v>
      </x:c>
      <x:c r="P2272" s="78" t="n">
        <x:f>I2272+L2272*(1-'Inputs'!$B$17)</x:f>
        <x:v>790.8146076004432</x:v>
      </x:c>
      <x:c r="Q2272" s="78" t="n">
        <x:f>IF(J2272&gt;0,M2272/J2272,0)</x:f>
        <x:v>0</x:v>
      </x:c>
      <x:c r="R2272" s="78" t="n">
        <x:f>IF(B2272='Inputs'!$H$50,'Inputs'!$B$27*'Inputs'!$I$50,0)</x:f>
        <x:v>0</x:v>
      </x:c>
      <x:c r="S2272" s="78" t="n">
        <x:f>Q2272+G2272+R2272</x:f>
        <x:v>495441.2178645148</x:v>
      </x:c>
      <x:c r="T2272" s="78" t="n">
        <x:f>P2272*(S2272*(1-'Inputs'!$B$15))/(O2272+S2272*(1-'Inputs'!$B$15))</x:f>
        <x:v>10.479263225336378</x:v>
      </x:c>
      <x:c r="U2272" s="78" t="n">
        <x:f>O2272+S2272*(1-'Inputs'!$B$17)</x:f>
        <x:v>37017407.44813356</x:v>
      </x:c>
      <x:c r="V2272" s="78" t="n">
        <x:f>P2272-T2272</x:f>
        <x:v>780.3353443751068</x:v>
      </x:c>
      <x:c r="W2272" s="79" t="n">
        <x:f>IF(U2272&gt;0,V2272/U2272,0)</x:f>
        <x:v>0.00002108022679514937</x:v>
      </x:c>
      <x:c r="X2272" s="80" t="n">
        <x:f>W2272*('Inputs'!$B$6-AC2272)</x:f>
        <x:v>20952.539514101787</x:v>
      </x:c>
      <x:c r="Y2272" s="80" t="n">
        <x:f>2*V2272</x:f>
        <x:v>1560.6706887502137</x:v>
      </x:c>
      <x:c r="Z2272" s="80" t="n">
        <x:f>K2272*'Inputs'!$B$16+(G2272+R2272)*J2272*'Inputs'!$B$16</x:f>
        <x:v>9.554138873809803</x:v>
      </x:c>
      <x:c r="AA2272" s="80" t="n">
        <x:f>K2272*(1+'Inputs'!$E$50)/2*'Inputs'!$B$17</x:f>
        <x:v>3.182352545675828</x:v>
      </x:c>
      <x:c r="AB2272" s="78" t="n">
        <x:f>(IF(J2272&gt;0,K2272*(1-'Inputs'!$E$50)/2/J2272,0)+G2272+R2272)*'Inputs'!$B$17</x:f>
        <x:v>148971.4333012814</x:v>
      </x:c>
      <x:c r="AC2272" s="78" t="n">
        <x:f>AC2271+AB2272</x:f>
        <x:v>6057206.228775755</x:v>
      </x:c>
      <x:c r="AD2272" s="80" t="n">
        <x:f>Z2272/(1+'Inputs'!$C$50)</x:f>
        <x:v>4.777069436904902</x:v>
      </x:c>
      <x:c r="AE2272" s="80" t="n">
        <x:f>Z2272-AD2272</x:f>
        <x:v>4.777069436904902</x:v>
      </x:c>
      <x:c r="AF2272" s="80" t="n">
        <x:f>D2272*W2272</x:f>
        <x:v>6.2017906580753825</x:v>
      </x:c>
      <x:c r="AG2272" s="80" t="n">
        <x:f>C2272*W2272</x:f>
        <x:v>14.470844868842558</x:v>
      </x:c>
      <x:c r="AH2272" s="80" t="n">
        <x:f>2*'Inputs'!$B$8*'Inputs'!$C$50</x:f>
        <x:v>5000</x:v>
      </x:c>
      <x:c r="AI2272" s="81" t="n">
        <x:f>IF(AH2272&gt;0,(AE2272+AF2272)/AH2272*365,0)</x:f>
        <x:v>0.8014567869335607</x:v>
      </x:c>
      <x:c r="AJ2272" s="81" t="n">
        <x:f>IF('Inputs'!$B$50&gt;0,AG2272/('Inputs'!$B$19*'Inputs'!$B$50)*365,0)</x:f>
        <x:v>0.5281858377127533</x:v>
      </x:c>
      <x:c r="AK2272" s="81" t="n">
        <x:f>W2272/MAX($W$2194:W2272)-1</x:f>
        <x:v>-0.9749874200834645</x:v>
      </x:c>
      <x:c r="AL2272" s="83" t="n">
        <x:f>'Inputs'!$B$50</x:f>
        <x:v>1</x:v>
      </x:c>
      <x:c r="AM2272" s="83" t="n">
        <x:f>'Inputs'!$C$50</x:f>
        <x:v>1</x:v>
      </x:c>
      <x:c r="AN2272" s="83" t="n">
        <x:f>'Inputs'!$D$50</x:f>
        <x:v>1</x:v>
      </x:c>
      <x:c r="AO2272" s="81" t="n">
        <x:f>'Inputs'!$E$50</x:f>
        <x:v>0</x:v>
      </x:c>
    </x:row>
    <x:row r="2273">
      <x:c r="A2273" s="59" t="str">
        <x:v>Whale exit</x:v>
      </x:c>
      <x:c r="B2273" s="59" t="n">
        <x:v>80</x:v>
      </x:c>
      <x:c r="C2273" s="78" t="n">
        <x:f>(('Inputs'!$B$29*(3*80*'Inputs'!$B$12-80^2)/(2*'Inputs'!$B$12^2))-('Inputs'!$B$29*(3*79*'Inputs'!$B$12-79^2)/(2*'Inputs'!$B$12^2)))*'Inputs'!$B$50</x:f>
        <x:v>686140.2233064398</x:v>
      </x:c>
      <x:c r="D2273" s="78" t="n">
        <x:f>IF('Inputs'!$C$50&gt;0,('Inputs'!$B$30*(3*80*'Inputs'!$B$12-80^2)/(2*'Inputs'!$B$12^2))-('Inputs'!$B$30*(3*79*'Inputs'!$B$12-79^2)/(2*'Inputs'!$B$12^2)),0)</x:f>
        <x:v>294060.0957027599</x:v>
      </x:c>
      <x:c r="E2273" s="78" t="n">
        <x:f>C2273+D2273</x:f>
        <x:v>980200.3190091997</x:v>
      </x:c>
      <x:c r="F2273" s="78" t="n">
        <x:f>'Inputs'!$B$13*E2273+(1-'Inputs'!$B$13)/'Inputs'!$B$14*SUM(E2218:E2273)</x:f>
        <x:v>990417.9958716466</x:v>
      </x:c>
      <x:c r="G2273" s="78" t="n">
        <x:f>F2273*'Inputs'!$F$50</x:f>
        <x:v>495208.9979358233</x:v>
      </x:c>
      <x:c r="H2273" s="78" t="n">
        <x:f>U2272</x:f>
        <x:v>37017407.44813356</x:v>
      </x:c>
      <x:c r="I2273" s="78" t="n">
        <x:f>V2272</x:f>
        <x:v>780.3353443751068</x:v>
      </x:c>
      <x:c r="J2273" s="79" t="n">
        <x:f>IF(H2273&gt;0,I2273/H2273,0)</x:f>
        <x:v>0.00002108022679514937</x:v>
      </x:c>
      <x:c r="K2273" s="80" t="n">
        <x:f>(H2273*J2273+I2273)*'Inputs'!$D$50*(1+'Inputs'!$G$50)^(B2273/30)</x:f>
        <x:v>1560.6706887502137</x:v>
      </x:c>
      <x:c r="L2273" s="80" t="n">
        <x:f>MAX(0,K2273*'Inputs'!$E$50)</x:f>
        <x:v>0</x:v>
      </x:c>
      <x:c r="M2273" s="80" t="n">
        <x:f>MAX(0,-K2273*'Inputs'!$E$50)</x:f>
        <x:v>0</x:v>
      </x:c>
      <x:c r="N2273" s="78" t="n">
        <x:f>H2273*(L2273*(1-'Inputs'!$B$15))/(I2273+L2273*(1-'Inputs'!$B$15))</x:f>
        <x:v>0</x:v>
      </x:c>
      <x:c r="O2273" s="78" t="n">
        <x:f>H2273-N2273</x:f>
        <x:v>37017407.44813356</x:v>
      </x:c>
      <x:c r="P2273" s="78" t="n">
        <x:f>I2273+L2273*(1-'Inputs'!$B$17)</x:f>
        <x:v>780.3353443751068</x:v>
      </x:c>
      <x:c r="Q2273" s="78" t="n">
        <x:f>IF(J2273&gt;0,M2273/J2273,0)</x:f>
        <x:v>0</x:v>
      </x:c>
      <x:c r="R2273" s="78" t="n">
        <x:f>IF(B2273='Inputs'!$H$50,'Inputs'!$B$27*'Inputs'!$I$50,0)</x:f>
        <x:v>0</x:v>
      </x:c>
      <x:c r="S2273" s="78" t="n">
        <x:f>Q2273+G2273+R2273</x:f>
        <x:v>495208.9979358233</x:v>
      </x:c>
      <x:c r="T2273" s="78" t="n">
        <x:f>P2273*(S2273*(1-'Inputs'!$B$15))/(O2273+S2273*(1-'Inputs'!$B$15))</x:f>
        <x:v>10.199643184136768</x:v>
      </x:c>
      <x:c r="U2273" s="78" t="n">
        <x:f>O2273+S2273*(1-'Inputs'!$B$17)</x:f>
        <x:v>37510623.65332115</x:v>
      </x:c>
      <x:c r="V2273" s="78" t="n">
        <x:f>P2273-T2273</x:f>
        <x:v>770.13570119097</x:v>
      </x:c>
      <x:c r="W2273" s="79" t="n">
        <x:f>IF(U2273&gt;0,V2273/U2273,0)</x:f>
        <x:v>0.00002053113561397114</x:v>
      </x:c>
      <x:c r="X2273" s="80" t="n">
        <x:f>W2273*('Inputs'!$B$6-AC2273)</x:f>
        <x:v>20403.674989170744</x:v>
      </x:c>
      <x:c r="Y2273" s="80" t="n">
        <x:f>2*V2273</x:f>
        <x:v>1540.27140238194</x:v>
      </x:c>
      <x:c r="Z2273" s="80" t="n">
        <x:f>K2273*'Inputs'!$B$16+(G2273+R2273)*J2273*'Inputs'!$B$16</x:f>
        <x:v>9.426658840426196</x:v>
      </x:c>
      <x:c r="AA2273" s="80" t="n">
        <x:f>K2273*(1+'Inputs'!$E$50)/2*'Inputs'!$B$17</x:f>
        <x:v>3.140182472334434</x:v>
      </x:c>
      <x:c r="AB2273" s="78" t="n">
        <x:f>(IF(J2273&gt;0,K2273*(1-'Inputs'!$E$50)/2/J2273,0)+G2273+R2273)*'Inputs'!$B$17</x:f>
        <x:v>150956.2030022913</x:v>
      </x:c>
      <x:c r="AC2273" s="78" t="n">
        <x:f>AC2272+AB2273</x:f>
        <x:v>6208162.431778046</x:v>
      </x:c>
      <x:c r="AD2273" s="80" t="n">
        <x:f>Z2273/(1+'Inputs'!$C$50)</x:f>
        <x:v>4.713329420213098</x:v>
      </x:c>
      <x:c r="AE2273" s="80" t="n">
        <x:f>Z2273-AD2273</x:f>
        <x:v>4.713329420213098</x:v>
      </x:c>
      <x:c r="AF2273" s="80" t="n">
        <x:f>D2273*W2273</x:f>
        <x:v>6.037387703530696</x:v>
      </x:c>
      <x:c r="AG2273" s="80" t="n">
        <x:f>C2273*W2273</x:f>
        <x:v>14.087237974904957</x:v>
      </x:c>
      <x:c r="AH2273" s="80" t="n">
        <x:f>2*'Inputs'!$B$8*'Inputs'!$C$50</x:f>
        <x:v>5000</x:v>
      </x:c>
      <x:c r="AI2273" s="81" t="n">
        <x:f>IF(AH2273&gt;0,(AE2273+AF2273)/AH2273*365,0)</x:f>
        <x:v>0.784802350033297</x:v>
      </x:c>
      <x:c r="AJ2273" s="81" t="n">
        <x:f>IF('Inputs'!$B$50&gt;0,AG2273/('Inputs'!$B$19*'Inputs'!$B$50)*365,0)</x:f>
        <x:v>0.5141841860840309</x:v>
      </x:c>
      <x:c r="AK2273" s="81" t="n">
        <x:f>W2273/MAX($W$2194:W2273)-1</x:f>
        <x:v>-0.9756389399738409</x:v>
      </x:c>
      <x:c r="AL2273" s="83" t="n">
        <x:f>'Inputs'!$B$50</x:f>
        <x:v>1</x:v>
      </x:c>
      <x:c r="AM2273" s="83" t="n">
        <x:f>'Inputs'!$C$50</x:f>
        <x:v>1</x:v>
      </x:c>
      <x:c r="AN2273" s="83" t="n">
        <x:f>'Inputs'!$D$50</x:f>
        <x:v>1</x:v>
      </x:c>
      <x:c r="AO2273" s="81" t="n">
        <x:f>'Inputs'!$E$50</x:f>
        <x:v>0</x:v>
      </x:c>
    </x:row>
    <x:row r="2274">
      <x:c r="A2274" s="59" t="str">
        <x:v>Whale exit</x:v>
      </x:c>
      <x:c r="B2274" s="59" t="n">
        <x:v>81</x:v>
      </x:c>
      <x:c r="C2274" s="78" t="n">
        <x:f>(('Inputs'!$B$29*(3*81*'Inputs'!$B$12-81^2)/(2*'Inputs'!$B$12^2))-('Inputs'!$B$29*(3*80*'Inputs'!$B$12-80^2)/(2*'Inputs'!$B$12^2)))*'Inputs'!$B$50</x:f>
        <x:v>685815.1154062673</x:v>
      </x:c>
      <x:c r="D2274" s="78" t="n">
        <x:f>IF('Inputs'!$C$50&gt;0,('Inputs'!$B$30*(3*81*'Inputs'!$B$12-81^2)/(2*'Inputs'!$B$12^2))-('Inputs'!$B$30*(3*80*'Inputs'!$B$12-80^2)/(2*'Inputs'!$B$12^2)),0)</x:f>
        <x:v>293920.7637455426</x:v>
      </x:c>
      <x:c r="E2274" s="78" t="n">
        <x:f>C2274+D2274</x:f>
        <x:v>979735.87915181</x:v>
      </x:c>
      <x:c r="F2274" s="78" t="n">
        <x:f>'Inputs'!$B$13*E2274+(1-'Inputs'!$B$13)/'Inputs'!$B$14*SUM(E2219:E2274)</x:f>
        <x:v>989953.5560142614</x:v>
      </x:c>
      <x:c r="G2274" s="78" t="n">
        <x:f>F2274*'Inputs'!$F$50</x:f>
        <x:v>494976.7780071307</x:v>
      </x:c>
      <x:c r="H2274" s="78" t="n">
        <x:f>U2273</x:f>
        <x:v>37510623.65332115</x:v>
      </x:c>
      <x:c r="I2274" s="78" t="n">
        <x:f>V2273</x:f>
        <x:v>770.13570119097</x:v>
      </x:c>
      <x:c r="J2274" s="79" t="n">
        <x:f>IF(H2274&gt;0,I2274/H2274,0)</x:f>
        <x:v>0.00002053113561397114</x:v>
      </x:c>
      <x:c r="K2274" s="80" t="n">
        <x:f>(H2274*J2274+I2274)*'Inputs'!$D$50*(1+'Inputs'!$G$50)^(B2274/30)</x:f>
        <x:v>1540.27140238194</x:v>
      </x:c>
      <x:c r="L2274" s="80" t="n">
        <x:f>MAX(0,K2274*'Inputs'!$E$50)</x:f>
        <x:v>0</x:v>
      </x:c>
      <x:c r="M2274" s="80" t="n">
        <x:f>MAX(0,-K2274*'Inputs'!$E$50)</x:f>
        <x:v>0</x:v>
      </x:c>
      <x:c r="N2274" s="78" t="n">
        <x:f>H2274*(L2274*(1-'Inputs'!$B$15))/(I2274+L2274*(1-'Inputs'!$B$15))</x:f>
        <x:v>0</x:v>
      </x:c>
      <x:c r="O2274" s="78" t="n">
        <x:f>H2274-N2274</x:f>
        <x:v>37510623.65332115</x:v>
      </x:c>
      <x:c r="P2274" s="78" t="n">
        <x:f>I2274+L2274*(1-'Inputs'!$B$17)</x:f>
        <x:v>770.13570119097</x:v>
      </x:c>
      <x:c r="Q2274" s="78" t="n">
        <x:f>IF(J2274&gt;0,M2274/J2274,0)</x:f>
        <x:v>0</x:v>
      </x:c>
      <x:c r="R2274" s="78" t="n">
        <x:f>IF(B2274='Inputs'!$H$50,'Inputs'!$B$27*'Inputs'!$I$50,0)</x:f>
        <x:v>0</x:v>
      </x:c>
      <x:c r="S2274" s="78" t="n">
        <x:f>Q2274+G2274+R2274</x:f>
        <x:v>494976.7780071307</x:v>
      </x:c>
      <x:c r="T2274" s="78" t="n">
        <x:f>P2274*(S2274*(1-'Inputs'!$B$15))/(O2274+S2274*(1-'Inputs'!$B$15))</x:f>
        <x:v>9.931074561461037</x:v>
      </x:c>
      <x:c r="U2274" s="78" t="n">
        <x:f>O2274+S2274*(1-'Inputs'!$B$17)</x:f>
        <x:v>38003608.57306668</x:v>
      </x:c>
      <x:c r="V2274" s="78" t="n">
        <x:f>P2274-T2274</x:f>
        <x:v>760.204626629509</x:v>
      </x:c>
      <x:c r="W2274" s="79" t="n">
        <x:f>IF(U2274&gt;0,V2274/U2274,0)</x:f>
        <x:v>0.000020003485331344803</x:v>
      </x:c>
      <x:c r="X2274" s="80" t="n">
        <x:f>W2274*('Inputs'!$B$6-AC2274)</x:f>
        <x:v>19876.241111319858</x:v>
      </x:c>
      <x:c r="Y2274" s="80" t="n">
        <x:f>2*V2274</x:f>
        <x:v>1520.409253259018</x:v>
      </x:c>
      <x:c r="Z2274" s="80" t="n">
        <x:f>K2274*'Inputs'!$B$16+(G2274+R2274)*J2274*'Inputs'!$B$16</x:f>
        <x:v>9.302603026421826</x:v>
      </x:c>
      <x:c r="AA2274" s="80" t="n">
        <x:f>K2274*(1+'Inputs'!$E$50)/2*'Inputs'!$B$17</x:f>
        <x:v>3.0991376305471636</x:v>
      </x:c>
      <x:c r="AB2274" s="78" t="n">
        <x:f>(IF(J2274&gt;0,K2274*(1-'Inputs'!$E$50)/2/J2274,0)+G2274+R2274)*'Inputs'!$B$17</x:f>
        <x:v>152940.04197717618</x:v>
      </x:c>
      <x:c r="AC2274" s="78" t="n">
        <x:f>AC2273+AB2274</x:f>
        <x:v>6361102.473755223</x:v>
      </x:c>
      <x:c r="AD2274" s="80" t="n">
        <x:f>Z2274/(1+'Inputs'!$C$50)</x:f>
        <x:v>4.651301513210913</x:v>
      </x:c>
      <x:c r="AE2274" s="80" t="n">
        <x:f>Z2274-AD2274</x:f>
        <x:v>4.651301513210913</x:v>
      </x:c>
      <x:c r="AF2274" s="80" t="n">
        <x:f>D2274*W2274</x:f>
        <x:v>5.879439686161623</x:v>
      </x:c>
      <x:c r="AG2274" s="80" t="n">
        <x:f>C2274*W2274</x:f>
        <x:v>13.718692601043811</x:v>
      </x:c>
      <x:c r="AH2274" s="80" t="n">
        <x:f>2*'Inputs'!$B$8*'Inputs'!$C$50</x:f>
        <x:v>5000</x:v>
      </x:c>
      <x:c r="AI2274" s="81" t="n">
        <x:f>IF(AH2274&gt;0,(AE2274+AF2274)/AH2274*365,0)</x:f>
        <x:v>0.768744107554195</x:v>
      </x:c>
      <x:c r="AJ2274" s="81" t="n">
        <x:f>IF('Inputs'!$B$50&gt;0,AG2274/('Inputs'!$B$19*'Inputs'!$B$50)*365,0)</x:f>
        <x:v>0.5007322799380991</x:v>
      </x:c>
      <x:c r="AK2274" s="81" t="n">
        <x:f>W2274/MAX($W$2194:W2274)-1</x:f>
        <x:v>-0.9762650193320198</x:v>
      </x:c>
      <x:c r="AL2274" s="83" t="n">
        <x:f>'Inputs'!$B$50</x:f>
        <x:v>1</x:v>
      </x:c>
      <x:c r="AM2274" s="83" t="n">
        <x:f>'Inputs'!$C$50</x:f>
        <x:v>1</x:v>
      </x:c>
      <x:c r="AN2274" s="83" t="n">
        <x:f>'Inputs'!$D$50</x:f>
        <x:v>1</x:v>
      </x:c>
      <x:c r="AO2274" s="81" t="n">
        <x:f>'Inputs'!$E$50</x:f>
        <x:v>0</x:v>
      </x:c>
    </x:row>
    <x:row r="2275">
      <x:c r="A2275" s="59" t="str">
        <x:v>Whale exit</x:v>
      </x:c>
      <x:c r="B2275" s="59" t="n">
        <x:v>82</x:v>
      </x:c>
      <x:c r="C2275" s="78" t="n">
        <x:f>(('Inputs'!$B$29*(3*82*'Inputs'!$B$12-82^2)/(2*'Inputs'!$B$12^2))-('Inputs'!$B$29*(3*81*'Inputs'!$B$12-81^2)/(2*'Inputs'!$B$12^2)))*'Inputs'!$B$50</x:f>
        <x:v>685490.0075060949</x:v>
      </x:c>
      <x:c r="D2275" s="78" t="n">
        <x:f>IF('Inputs'!$C$50&gt;0,('Inputs'!$B$30*(3*82*'Inputs'!$B$12-82^2)/(2*'Inputs'!$B$12^2))-('Inputs'!$B$30*(3*81*'Inputs'!$B$12-81^2)/(2*'Inputs'!$B$12^2)),0)</x:f>
        <x:v>293781.43178832904</x:v>
      </x:c>
      <x:c r="E2275" s="78" t="n">
        <x:f>C2275+D2275</x:f>
        <x:v>979271.4392944239</x:v>
      </x:c>
      <x:c r="F2275" s="78" t="n">
        <x:f>'Inputs'!$B$13*E2275+(1-'Inputs'!$B$13)/'Inputs'!$B$14*SUM(E2220:E2275)</x:f>
        <x:v>989489.1161568769</x:v>
      </x:c>
      <x:c r="G2275" s="78" t="n">
        <x:f>F2275*'Inputs'!$F$50</x:f>
        <x:v>494744.55807843845</x:v>
      </x:c>
      <x:c r="H2275" s="78" t="n">
        <x:f>U2274</x:f>
        <x:v>38003608.57306668</x:v>
      </x:c>
      <x:c r="I2275" s="78" t="n">
        <x:f>V2274</x:f>
        <x:v>760.204626629509</x:v>
      </x:c>
      <x:c r="J2275" s="79" t="n">
        <x:f>IF(H2275&gt;0,I2275/H2275,0)</x:f>
        <x:v>0.000020003485331344803</x:v>
      </x:c>
      <x:c r="K2275" s="80" t="n">
        <x:f>(H2275*J2275+I2275)*'Inputs'!$D$50*(1+'Inputs'!$G$50)^(B2275/30)</x:f>
        <x:v>1520.409253259018</x:v>
      </x:c>
      <x:c r="L2275" s="80" t="n">
        <x:f>MAX(0,K2275*'Inputs'!$E$50)</x:f>
        <x:v>0</x:v>
      </x:c>
      <x:c r="M2275" s="80" t="n">
        <x:f>MAX(0,-K2275*'Inputs'!$E$50)</x:f>
        <x:v>0</x:v>
      </x:c>
      <x:c r="N2275" s="78" t="n">
        <x:f>H2275*(L2275*(1-'Inputs'!$B$15))/(I2275+L2275*(1-'Inputs'!$B$15))</x:f>
        <x:v>0</x:v>
      </x:c>
      <x:c r="O2275" s="78" t="n">
        <x:f>H2275-N2275</x:f>
        <x:v>38003608.57306668</x:v>
      </x:c>
      <x:c r="P2275" s="78" t="n">
        <x:f>I2275+L2275*(1-'Inputs'!$B$17)</x:f>
        <x:v>760.204626629509</x:v>
      </x:c>
      <x:c r="Q2275" s="78" t="n">
        <x:f>IF(J2275&gt;0,M2275/J2275,0)</x:f>
        <x:v>0</x:v>
      </x:c>
      <x:c r="R2275" s="78" t="n">
        <x:f>IF(B2275='Inputs'!$H$50,'Inputs'!$B$27*'Inputs'!$I$50,0)</x:f>
        <x:v>0</x:v>
      </x:c>
      <x:c r="S2275" s="78" t="n">
        <x:f>Q2275+G2275+R2275</x:f>
        <x:v>494744.55807843845</x:v>
      </x:c>
      <x:c r="T2275" s="78" t="n">
        <x:f>P2275*(S2275*(1-'Inputs'!$B$15))/(O2275+S2275*(1-'Inputs'!$B$15))</x:f>
        <x:v>9.672982278367918</x:v>
      </x:c>
      <x:c r="U2275" s="78" t="n">
        <x:f>O2275+S2275*(1-'Inputs'!$B$17)</x:f>
        <x:v>38496362.207370155</x:v>
      </x:c>
      <x:c r="V2275" s="78" t="n">
        <x:f>P2275-T2275</x:f>
        <x:v>750.531644351141</x:v>
      </x:c>
      <x:c r="W2275" s="79" t="n">
        <x:f>IF(U2275&gt;0,V2275/U2275,0)</x:f>
        <x:v>0.000019496170581215366</x:v>
      </x:c>
      <x:c r="X2275" s="80" t="n">
        <x:f>W2275*('Inputs'!$B$6-AC2275)</x:f>
        <x:v>19369.133038037893</x:v>
      </x:c>
      <x:c r="Y2275" s="80" t="n">
        <x:f>2*V2275</x:f>
        <x:v>1501.063288702282</x:v>
      </x:c>
      <x:c r="Z2275" s="80" t="n">
        <x:f>K2275*'Inputs'!$B$16+(G2275+R2275)*J2275*'Inputs'!$B$16</x:f>
        <x:v>9.181835212615816</x:v>
      </x:c>
      <x:c r="AA2275" s="80" t="n">
        <x:f>K2275*(1+'Inputs'!$E$50)/2*'Inputs'!$B$17</x:f>
        <x:v>3.0591735478048654</x:v>
      </x:c>
      <x:c r="AB2275" s="78" t="n">
        <x:f>(IF(J2275&gt;0,K2275*(1-'Inputs'!$E$50)/2/J2275,0)+G2275+R2275)*'Inputs'!$B$17</x:f>
        <x:v>154922.9502259361</x:v>
      </x:c>
      <x:c r="AC2275" s="78" t="n">
        <x:f>AC2274+AB2275</x:f>
        <x:v>6516025.423981159</x:v>
      </x:c>
      <x:c r="AD2275" s="80" t="n">
        <x:f>Z2275/(1+'Inputs'!$C$50)</x:f>
        <x:v>4.590917606307908</x:v>
      </x:c>
      <x:c r="AE2275" s="80" t="n">
        <x:f>Z2275-AD2275</x:f>
        <x:v>4.590917606307908</x:v>
      </x:c>
      <x:c r="AF2275" s="80" t="n">
        <x:f>D2275*W2275</x:f>
        <x:v>5.7276129077389495</x:v>
      </x:c>
      <x:c r="AG2275" s="80" t="n">
        <x:f>C2275*W2275</x:f>
        <x:v>13.364430118057427</x:v>
      </x:c>
      <x:c r="AH2275" s="80" t="n">
        <x:f>2*'Inputs'!$B$8*'Inputs'!$C$50</x:f>
        <x:v>5000</x:v>
      </x:c>
      <x:c r="AI2275" s="81" t="n">
        <x:f>IF(AH2275&gt;0,(AE2275+AF2275)/AH2275*365,0)</x:f>
        <x:v>0.7532527275254206</x:v>
      </x:c>
      <x:c r="AJ2275" s="81" t="n">
        <x:f>IF('Inputs'!$B$50&gt;0,AG2275/('Inputs'!$B$19*'Inputs'!$B$50)*365,0)</x:f>
        <x:v>0.48780169930909606</x:v>
      </x:c>
      <x:c r="AK2275" s="81" t="n">
        <x:f>W2275/MAX($W$2194:W2275)-1</x:f>
        <x:v>-0.976866969721537</x:v>
      </x:c>
      <x:c r="AL2275" s="83" t="n">
        <x:f>'Inputs'!$B$50</x:f>
        <x:v>1</x:v>
      </x:c>
      <x:c r="AM2275" s="83" t="n">
        <x:f>'Inputs'!$C$50</x:f>
        <x:v>1</x:v>
      </x:c>
      <x:c r="AN2275" s="83" t="n">
        <x:f>'Inputs'!$D$50</x:f>
        <x:v>1</x:v>
      </x:c>
      <x:c r="AO2275" s="81" t="n">
        <x:f>'Inputs'!$E$50</x:f>
        <x:v>0</x:v>
      </x:c>
    </x:row>
    <x:row r="2276">
      <x:c r="A2276" s="59" t="str">
        <x:v>Whale exit</x:v>
      </x:c>
      <x:c r="B2276" s="59" t="n">
        <x:v>83</x:v>
      </x:c>
      <x:c r="C2276" s="78" t="n">
        <x:f>(('Inputs'!$B$29*(3*83*'Inputs'!$B$12-83^2)/(2*'Inputs'!$B$12^2))-('Inputs'!$B$29*(3*82*'Inputs'!$B$12-82^2)/(2*'Inputs'!$B$12^2)))*'Inputs'!$B$50</x:f>
        <x:v>685164.8996059299</x:v>
      </x:c>
      <x:c r="D2276" s="78" t="n">
        <x:f>IF('Inputs'!$C$50&gt;0,('Inputs'!$B$30*(3*83*'Inputs'!$B$12-83^2)/(2*'Inputs'!$B$12^2))-('Inputs'!$B$30*(3*82*'Inputs'!$B$12-82^2)/(2*'Inputs'!$B$12^2)),0)</x:f>
        <x:v>293642.09983111173</x:v>
      </x:c>
      <x:c r="E2276" s="78" t="n">
        <x:f>C2276+D2276</x:f>
        <x:v>978806.9994370416</x:v>
      </x:c>
      <x:c r="F2276" s="78" t="n">
        <x:f>'Inputs'!$B$13*E2276+(1-'Inputs'!$B$13)/'Inputs'!$B$14*SUM(E2221:E2276)</x:f>
        <x:v>989024.6762994933</x:v>
      </x:c>
      <x:c r="G2276" s="78" t="n">
        <x:f>F2276*'Inputs'!$F$50</x:f>
        <x:v>494512.33814974665</x:v>
      </x:c>
      <x:c r="H2276" s="78" t="n">
        <x:f>U2275</x:f>
        <x:v>38496362.207370155</x:v>
      </x:c>
      <x:c r="I2276" s="78" t="n">
        <x:f>V2275</x:f>
        <x:v>750.531644351141</x:v>
      </x:c>
      <x:c r="J2276" s="79" t="n">
        <x:f>IF(H2276&gt;0,I2276/H2276,0)</x:f>
        <x:v>0.000019496170581215366</x:v>
      </x:c>
      <x:c r="K2276" s="80" t="n">
        <x:f>(H2276*J2276+I2276)*'Inputs'!$D$50*(1+'Inputs'!$G$50)^(B2276/30)</x:f>
        <x:v>1501.063288702282</x:v>
      </x:c>
      <x:c r="L2276" s="80" t="n">
        <x:f>MAX(0,K2276*'Inputs'!$E$50)</x:f>
        <x:v>0</x:v>
      </x:c>
      <x:c r="M2276" s="80" t="n">
        <x:f>MAX(0,-K2276*'Inputs'!$E$50)</x:f>
        <x:v>0</x:v>
      </x:c>
      <x:c r="N2276" s="78" t="n">
        <x:f>H2276*(L2276*(1-'Inputs'!$B$15))/(I2276+L2276*(1-'Inputs'!$B$15))</x:f>
        <x:v>0</x:v>
      </x:c>
      <x:c r="O2276" s="78" t="n">
        <x:f>H2276-N2276</x:f>
        <x:v>38496362.207370155</x:v>
      </x:c>
      <x:c r="P2276" s="78" t="n">
        <x:f>I2276+L2276*(1-'Inputs'!$B$17)</x:f>
        <x:v>750.531644351141</x:v>
      </x:c>
      <x:c r="Q2276" s="78" t="n">
        <x:f>IF(J2276&gt;0,M2276/J2276,0)</x:f>
        <x:v>0</x:v>
      </x:c>
      <x:c r="R2276" s="78" t="n">
        <x:f>IF(B2276='Inputs'!$H$50,'Inputs'!$B$27*'Inputs'!$I$50,0)</x:f>
        <x:v>0</x:v>
      </x:c>
      <x:c r="S2276" s="78" t="n">
        <x:f>Q2276+G2276+R2276</x:f>
        <x:v>494512.33814974665</x:v>
      </x:c>
      <x:c r="T2276" s="78" t="n">
        <x:f>P2276*(S2276*(1-'Inputs'!$B$15))/(O2276+S2276*(1-'Inputs'!$B$15))</x:f>
        <x:v>9.424828192290617</x:v>
      </x:c>
      <x:c r="U2276" s="78" t="n">
        <x:f>O2276+S2276*(1-'Inputs'!$B$17)</x:f>
        <x:v>38988884.55623157</x:v>
      </x:c>
      <x:c r="V2276" s="78" t="n">
        <x:f>P2276-T2276</x:f>
        <x:v>741.1068161588504</x:v>
      </x:c>
      <x:c r="W2276" s="79" t="n">
        <x:f>IF(U2276&gt;0,V2276/U2276,0)</x:f>
        <x:v>0.00001900815641673441</x:v>
      </x:c>
      <x:c r="X2276" s="80" t="n">
        <x:f>W2276*('Inputs'!$B$6-AC2276)</x:f>
        <x:v>18881.31631285076</x:v>
      </x:c>
      <x:c r="Y2276" s="80" t="n">
        <x:f>2*V2276</x:f>
        <x:v>1482.2136323177008</x:v>
      </x:c>
      <x:c r="Z2276" s="80" t="n">
        <x:f>K2276*'Inputs'!$B$16+(G2276+R2276)*J2276*'Inputs'!$B$16</x:f>
        <x:v>9.064226313608192</x:v>
      </x:c>
      <x:c r="AA2276" s="80" t="n">
        <x:f>K2276*(1+'Inputs'!$E$50)/2*'Inputs'!$B$17</x:f>
        <x:v>3.0202480657993607</x:v>
      </x:c>
      <x:c r="AB2276" s="78" t="n">
        <x:f>(IF(J2276&gt;0,K2276*(1-'Inputs'!$E$50)/2/J2276,0)+G2276+R2276)*'Inputs'!$B$17</x:f>
        <x:v>156904.92774857106</x:v>
      </x:c>
      <x:c r="AC2276" s="78" t="n">
        <x:f>AC2275+AB2276</x:f>
        <x:v>6672930.35172973</x:v>
      </x:c>
      <x:c r="AD2276" s="80" t="n">
        <x:f>Z2276/(1+'Inputs'!$C$50)</x:f>
        <x:v>4.532113156804096</x:v>
      </x:c>
      <x:c r="AE2276" s="80" t="n">
        <x:f>Z2276-AD2276</x:f>
        <x:v>4.532113156804096</x:v>
      </x:c>
      <x:c r="AF2276" s="80" t="n">
        <x:f>D2276*W2276</x:f>
        <x:v>5.581594964128113</x:v>
      </x:c>
      <x:c r="AG2276" s="80" t="n">
        <x:f>C2276*W2276</x:f>
        <x:v>13.023721582965644</x:v>
      </x:c>
      <x:c r="AH2276" s="80" t="n">
        <x:f>2*'Inputs'!$B$8*'Inputs'!$C$50</x:f>
        <x:v>5000</x:v>
      </x:c>
      <x:c r="AI2276" s="81" t="n">
        <x:f>IF(AH2276&gt;0,(AE2276+AF2276)/AH2276*365,0)</x:f>
        <x:v>0.7383006928280513</x:v>
      </x:c>
      <x:c r="AJ2276" s="81" t="n">
        <x:f>IF('Inputs'!$B$50&gt;0,AG2276/('Inputs'!$B$19*'Inputs'!$B$50)*365,0)</x:f>
        <x:v>0.47536583777824604</x:v>
      </x:c>
      <x:c r="AK2276" s="81" t="n">
        <x:f>W2276/MAX($W$2194:W2276)-1</x:f>
        <x:v>-0.9774460191505635</x:v>
      </x:c>
      <x:c r="AL2276" s="83" t="n">
        <x:f>'Inputs'!$B$50</x:f>
        <x:v>1</x:v>
      </x:c>
      <x:c r="AM2276" s="83" t="n">
        <x:f>'Inputs'!$C$50</x:f>
        <x:v>1</x:v>
      </x:c>
      <x:c r="AN2276" s="83" t="n">
        <x:f>'Inputs'!$D$50</x:f>
        <x:v>1</x:v>
      </x:c>
      <x:c r="AO2276" s="81" t="n">
        <x:f>'Inputs'!$E$50</x:f>
        <x:v>0</x:v>
      </x:c>
    </x:row>
    <x:row r="2277">
      <x:c r="A2277" s="59" t="str">
        <x:v>Whale exit</x:v>
      </x:c>
      <x:c r="B2277" s="59" t="n">
        <x:v>84</x:v>
      </x:c>
      <x:c r="C2277" s="78" t="n">
        <x:f>(('Inputs'!$B$29*(3*84*'Inputs'!$B$12-84^2)/(2*'Inputs'!$B$12^2))-('Inputs'!$B$29*(3*83*'Inputs'!$B$12-83^2)/(2*'Inputs'!$B$12^2)))*'Inputs'!$B$50</x:f>
        <x:v>684839.7917057648</x:v>
      </x:c>
      <x:c r="D2277" s="78" t="n">
        <x:f>IF('Inputs'!$C$50&gt;0,('Inputs'!$B$30*(3*84*'Inputs'!$B$12-84^2)/(2*'Inputs'!$B$12^2))-('Inputs'!$B$30*(3*83*'Inputs'!$B$12-83^2)/(2*'Inputs'!$B$12^2)),0)</x:f>
        <x:v>293502.76787389815</x:v>
      </x:c>
      <x:c r="E2277" s="78" t="n">
        <x:f>C2277+D2277</x:f>
        <x:v>978342.559579663</x:v>
      </x:c>
      <x:c r="F2277" s="78" t="n">
        <x:f>'Inputs'!$B$13*E2277+(1-'Inputs'!$B$13)/'Inputs'!$B$14*SUM(E2222:E2277)</x:f>
        <x:v>988560.2364421103</x:v>
      </x:c>
      <x:c r="G2277" s="78" t="n">
        <x:f>F2277*'Inputs'!$F$50</x:f>
        <x:v>494280.11822105513</x:v>
      </x:c>
      <x:c r="H2277" s="78" t="n">
        <x:f>U2276</x:f>
        <x:v>38988884.55623157</x:v>
      </x:c>
      <x:c r="I2277" s="78" t="n">
        <x:f>V2276</x:f>
        <x:v>741.1068161588504</x:v>
      </x:c>
      <x:c r="J2277" s="79" t="n">
        <x:f>IF(H2277&gt;0,I2277/H2277,0)</x:f>
        <x:v>0.00001900815641673441</x:v>
      </x:c>
      <x:c r="K2277" s="80" t="n">
        <x:f>(H2277*J2277+I2277)*'Inputs'!$D$50*(1+'Inputs'!$G$50)^(B2277/30)</x:f>
        <x:v>1482.2136323177008</x:v>
      </x:c>
      <x:c r="L2277" s="80" t="n">
        <x:f>MAX(0,K2277*'Inputs'!$E$50)</x:f>
        <x:v>0</x:v>
      </x:c>
      <x:c r="M2277" s="80" t="n">
        <x:f>MAX(0,-K2277*'Inputs'!$E$50)</x:f>
        <x:v>0</x:v>
      </x:c>
      <x:c r="N2277" s="78" t="n">
        <x:f>H2277*(L2277*(1-'Inputs'!$B$15))/(I2277+L2277*(1-'Inputs'!$B$15))</x:f>
        <x:v>0</x:v>
      </x:c>
      <x:c r="O2277" s="78" t="n">
        <x:f>H2277-N2277</x:f>
        <x:v>38988884.55623157</x:v>
      </x:c>
      <x:c r="P2277" s="78" t="n">
        <x:f>I2277+L2277*(1-'Inputs'!$B$17)</x:f>
        <x:v>741.1068161588504</x:v>
      </x:c>
      <x:c r="Q2277" s="78" t="n">
        <x:f>IF(J2277&gt;0,M2277/J2277,0)</x:f>
        <x:v>0</x:v>
      </x:c>
      <x:c r="R2277" s="78" t="n">
        <x:f>IF(B2277='Inputs'!$H$50,'Inputs'!$B$27*'Inputs'!$I$50,0)</x:f>
        <x:v>0</x:v>
      </x:c>
      <x:c r="S2277" s="78" t="n">
        <x:f>Q2277+G2277+R2277</x:f>
        <x:v>494280.11822105513</x:v>
      </x:c>
      <x:c r="T2277" s="78" t="n">
        <x:f>P2277*(S2277*(1-'Inputs'!$B$15))/(O2277+S2277*(1-'Inputs'!$B$15))</x:f>
        <x:v>9.18610828579169</x:v>
      </x:c>
      <x:c r="U2277" s="78" t="n">
        <x:f>O2277+S2277*(1-'Inputs'!$B$17)</x:f>
        <x:v>39481175.61965094</x:v>
      </x:c>
      <x:c r="V2277" s="78" t="n">
        <x:f>P2277-T2277</x:f>
        <x:v>731.9207078730587</x:v>
      </x:c>
      <x:c r="W2277" s="79" t="n">
        <x:f>IF(U2277&gt;0,V2277/U2277,0)</x:f>
        <x:v>0.00001853847299087924</x:v>
      </x:c>
      <x:c r="X2277" s="80" t="n">
        <x:f>W2277*('Inputs'!$B$6-AC2277)</x:f>
        <x:v>18411.821548435946</x:v>
      </x:c>
      <x:c r="Y2277" s="80" t="n">
        <x:f>2*V2277</x:f>
        <x:v>1463.8414157461175</x:v>
      </x:c>
      <x:c r="Z2277" s="80" t="n">
        <x:f>K2277*'Inputs'!$B$16+(G2277+R2277)*J2277*'Inputs'!$B$16</x:f>
        <x:v>8.949653916711172</x:v>
      </x:c>
      <x:c r="AA2277" s="80" t="n">
        <x:f>K2277*(1+'Inputs'!$E$50)/2*'Inputs'!$B$17</x:f>
        <x:v>2.9823211917861183</x:v>
      </x:c>
      <x:c r="AB2277" s="78" t="n">
        <x:f>(IF(J2277&gt;0,K2277*(1-'Inputs'!$E$50)/2/J2277,0)+G2277+R2277)*'Inputs'!$B$17</x:f>
        <x:v>158885.974545081</x:v>
      </x:c>
      <x:c r="AC2277" s="78" t="n">
        <x:f>AC2276+AB2277</x:f>
        <x:v>6831816.326274811</x:v>
      </x:c>
      <x:c r="AD2277" s="80" t="n">
        <x:f>Z2277/(1+'Inputs'!$C$50)</x:f>
        <x:v>4.474826958355586</x:v>
      </x:c>
      <x:c r="AE2277" s="80" t="n">
        <x:f>Z2277-AD2277</x:f>
        <x:v>4.474826958355586</x:v>
      </x:c>
      <x:c r="AF2277" s="80" t="n">
        <x:f>D2277*W2277</x:f>
        <x:v>5.441093134978559</x:v>
      </x:c>
      <x:c r="AG2277" s="80" t="n">
        <x:f>C2277*W2277</x:f>
        <x:v>12.695883981616685</x:v>
      </x:c>
      <x:c r="AH2277" s="80" t="n">
        <x:f>2*'Inputs'!$B$8*'Inputs'!$C$50</x:f>
        <x:v>5000</x:v>
      </x:c>
      <x:c r="AI2277" s="81" t="n">
        <x:f>IF(AH2277&gt;0,(AE2277+AF2277)/AH2277*365,0)</x:f>
        <x:v>0.7238621668133927</x:v>
      </x:c>
      <x:c r="AJ2277" s="81" t="n">
        <x:f>IF('Inputs'!$B$50&gt;0,AG2277/('Inputs'!$B$19*'Inputs'!$B$50)*365,0)</x:f>
        <x:v>0.463399765329009</x:v>
      </x:c>
      <x:c r="AK2277" s="81" t="n">
        <x:f>W2277/MAX($W$2194:W2277)-1</x:f>
        <x:v>-0.9780033183835765</x:v>
      </x:c>
      <x:c r="AL2277" s="83" t="n">
        <x:f>'Inputs'!$B$50</x:f>
        <x:v>1</x:v>
      </x:c>
      <x:c r="AM2277" s="83" t="n">
        <x:f>'Inputs'!$C$50</x:f>
        <x:v>1</x:v>
      </x:c>
      <x:c r="AN2277" s="83" t="n">
        <x:f>'Inputs'!$D$50</x:f>
        <x:v>1</x:v>
      </x:c>
      <x:c r="AO2277" s="81" t="n">
        <x:f>'Inputs'!$E$50</x:f>
        <x:v>0</x:v>
      </x:c>
    </x:row>
    <x:row r="2278">
      <x:c r="A2278" s="59" t="str">
        <x:v>Whale exit</x:v>
      </x:c>
      <x:c r="B2278" s="59" t="n">
        <x:v>85</x:v>
      </x:c>
      <x:c r="C2278" s="78" t="n">
        <x:f>(('Inputs'!$B$29*(3*85*'Inputs'!$B$12-85^2)/(2*'Inputs'!$B$12^2))-('Inputs'!$B$29*(3*84*'Inputs'!$B$12-84^2)/(2*'Inputs'!$B$12^2)))*'Inputs'!$B$50</x:f>
        <x:v>684514.6838055924</x:v>
      </x:c>
      <x:c r="D2278" s="78" t="n">
        <x:f>IF('Inputs'!$C$50&gt;0,('Inputs'!$B$30*(3*85*'Inputs'!$B$12-85^2)/(2*'Inputs'!$B$12^2))-('Inputs'!$B$30*(3*84*'Inputs'!$B$12-84^2)/(2*'Inputs'!$B$12^2)),0)</x:f>
        <x:v>293363.43591668084</x:v>
      </x:c>
      <x:c r="E2278" s="78" t="n">
        <x:f>C2278+D2278</x:f>
        <x:v>977878.1197222732</x:v>
      </x:c>
      <x:c r="F2278" s="78" t="n">
        <x:f>'Inputs'!$B$13*E2278+(1-'Inputs'!$B$13)/'Inputs'!$B$14*SUM(E2223:E2278)</x:f>
        <x:v>988095.7965847249</x:v>
      </x:c>
      <x:c r="G2278" s="78" t="n">
        <x:f>F2278*'Inputs'!$F$50</x:f>
        <x:v>494047.89829236246</x:v>
      </x:c>
      <x:c r="H2278" s="78" t="n">
        <x:f>U2277</x:f>
        <x:v>39481175.61965094</x:v>
      </x:c>
      <x:c r="I2278" s="78" t="n">
        <x:f>V2277</x:f>
        <x:v>731.9207078730587</x:v>
      </x:c>
      <x:c r="J2278" s="79" t="n">
        <x:f>IF(H2278&gt;0,I2278/H2278,0)</x:f>
        <x:v>0.00001853847299087924</x:v>
      </x:c>
      <x:c r="K2278" s="80" t="n">
        <x:f>(H2278*J2278+I2278)*'Inputs'!$D$50*(1+'Inputs'!$G$50)^(B2278/30)</x:f>
        <x:v>1463.8414157461175</x:v>
      </x:c>
      <x:c r="L2278" s="80" t="n">
        <x:f>MAX(0,K2278*'Inputs'!$E$50)</x:f>
        <x:v>0</x:v>
      </x:c>
      <x:c r="M2278" s="80" t="n">
        <x:f>MAX(0,-K2278*'Inputs'!$E$50)</x:f>
        <x:v>0</x:v>
      </x:c>
      <x:c r="N2278" s="78" t="n">
        <x:f>H2278*(L2278*(1-'Inputs'!$B$15))/(I2278+L2278*(1-'Inputs'!$B$15))</x:f>
        <x:v>0</x:v>
      </x:c>
      <x:c r="O2278" s="78" t="n">
        <x:f>H2278-N2278</x:f>
        <x:v>39481175.61965094</x:v>
      </x:c>
      <x:c r="P2278" s="78" t="n">
        <x:f>I2278+L2278*(1-'Inputs'!$B$17)</x:f>
        <x:v>731.9207078730587</x:v>
      </x:c>
      <x:c r="Q2278" s="78" t="n">
        <x:f>IF(J2278&gt;0,M2278/J2278,0)</x:f>
        <x:v>0</x:v>
      </x:c>
      <x:c r="R2278" s="78" t="n">
        <x:f>IF(B2278='Inputs'!$H$50,'Inputs'!$B$27*'Inputs'!$I$50,0)</x:f>
        <x:v>0</x:v>
      </x:c>
      <x:c r="S2278" s="78" t="n">
        <x:f>Q2278+G2278+R2278</x:f>
        <x:v>494047.89829236246</x:v>
      </x:c>
      <x:c r="T2278" s="78" t="n">
        <x:f>P2278*(S2278*(1-'Inputs'!$B$15))/(O2278+S2278*(1-'Inputs'!$B$15))</x:f>
        <x:v>8.956350101849084</x:v>
      </x:c>
      <x:c r="U2278" s="78" t="n">
        <x:f>O2278+S2278*(1-'Inputs'!$B$17)</x:f>
        <x:v>39973235.39762824</x:v>
      </x:c>
      <x:c r="V2278" s="78" t="n">
        <x:f>P2278-T2278</x:f>
        <x:v>722.9643577712096</x:v>
      </x:c>
      <x:c r="W2278" s="79" t="n">
        <x:f>IF(U2278&gt;0,V2278/U2278,0)</x:f>
        <x:v>0.000018086210700225326</x:v>
      </x:c>
      <x:c r="X2278" s="80" t="n">
        <x:f>W2278*('Inputs'!$B$6-AC2278)</x:f>
        <x:v>17959.739572673687</x:v>
      </x:c>
      <x:c r="Y2278" s="80" t="n">
        <x:f>2*V2278</x:f>
        <x:v>1445.9287155424192</x:v>
      </x:c>
      <x:c r="Z2278" s="80" t="n">
        <x:f>K2278*'Inputs'!$B$16+(G2278+R2278)*J2278*'Inputs'!$B$16</x:f>
        <x:v>8.838001856188868</x:v>
      </x:c>
      <x:c r="AA2278" s="80" t="n">
        <x:f>K2278*(1+'Inputs'!$E$50)/2*'Inputs'!$B$17</x:f>
        <x:v>2.945354961259794</x:v>
      </x:c>
      <x:c r="AB2278" s="78" t="n">
        <x:f>(IF(J2278&gt;0,K2278*(1-'Inputs'!$E$50)/2/J2278,0)+G2278+R2278)*'Inputs'!$B$17</x:f>
        <x:v>160866.090615466</x:v>
      </x:c>
      <x:c r="AC2278" s="78" t="n">
        <x:f>AC2277+AB2278</x:f>
        <x:v>6992682.4168902775</x:v>
      </x:c>
      <x:c r="AD2278" s="80" t="n">
        <x:f>Z2278/(1+'Inputs'!$C$50)</x:f>
        <x:v>4.419000928094434</x:v>
      </x:c>
      <x:c r="AE2278" s="80" t="n">
        <x:f>Z2278-AD2278</x:f>
        <x:v>4.419000928094434</x:v>
      </x:c>
      <x:c r="AF2278" s="80" t="n">
        <x:f>D2278*W2278</x:f>
        <x:v>5.30583291373114</x:v>
      </x:c>
      <x:c r="AG2278" s="80" t="n">
        <x:f>C2278*W2278</x:f>
        <x:v>12.38027679870606</x:v>
      </x:c>
      <x:c r="AH2278" s="80" t="n">
        <x:f>2*'Inputs'!$B$8*'Inputs'!$C$50</x:f>
        <x:v>5000</x:v>
      </x:c>
      <x:c r="AI2278" s="81" t="n">
        <x:f>IF(AH2278&gt;0,(AE2278+AF2278)/AH2278*365,0)</x:f>
        <x:v>0.709912870453267</x:v>
      </x:c>
      <x:c r="AJ2278" s="81" t="n">
        <x:f>IF('Inputs'!$B$50&gt;0,AG2278/('Inputs'!$B$19*'Inputs'!$B$50)*365,0)</x:f>
        <x:v>0.4518801031527712</x:v>
      </x:c>
      <x:c r="AK2278" s="81" t="n">
        <x:f>W2278/MAX($W$2194:W2278)-1</x:f>
        <x:v>-0.9785399467034775</x:v>
      </x:c>
      <x:c r="AL2278" s="83" t="n">
        <x:f>'Inputs'!$B$50</x:f>
        <x:v>1</x:v>
      </x:c>
      <x:c r="AM2278" s="83" t="n">
        <x:f>'Inputs'!$C$50</x:f>
        <x:v>1</x:v>
      </x:c>
      <x:c r="AN2278" s="83" t="n">
        <x:f>'Inputs'!$D$50</x:f>
        <x:v>1</x:v>
      </x:c>
      <x:c r="AO2278" s="81" t="n">
        <x:f>'Inputs'!$E$50</x:f>
        <x:v>0</x:v>
      </x:c>
    </x:row>
    <x:row r="2279">
      <x:c r="A2279" s="59" t="str">
        <x:v>Whale exit</x:v>
      </x:c>
      <x:c r="B2279" s="59" t="n">
        <x:v>86</x:v>
      </x:c>
      <x:c r="C2279" s="78" t="n">
        <x:f>(('Inputs'!$B$29*(3*86*'Inputs'!$B$12-86^2)/(2*'Inputs'!$B$12^2))-('Inputs'!$B$29*(3*85*'Inputs'!$B$12-85^2)/(2*'Inputs'!$B$12^2)))*'Inputs'!$B$50</x:f>
        <x:v>684189.5759054199</x:v>
      </x:c>
      <x:c r="D2279" s="78" t="n">
        <x:f>IF('Inputs'!$C$50&gt;0,('Inputs'!$B$30*(3*86*'Inputs'!$B$12-86^2)/(2*'Inputs'!$B$12^2))-('Inputs'!$B$30*(3*85*'Inputs'!$B$12-85^2)/(2*'Inputs'!$B$12^2)),0)</x:f>
        <x:v>293224.10395946726</x:v>
      </x:c>
      <x:c r="E2279" s="78" t="n">
        <x:f>C2279+D2279</x:f>
        <x:v>977413.6798648871</x:v>
      </x:c>
      <x:c r="F2279" s="78" t="n">
        <x:f>'Inputs'!$B$13*E2279+(1-'Inputs'!$B$13)/'Inputs'!$B$14*SUM(E2224:E2279)</x:f>
        <x:v>987631.3567273404</x:v>
      </x:c>
      <x:c r="G2279" s="78" t="n">
        <x:f>F2279*'Inputs'!$F$50</x:f>
        <x:v>493815.6783636702</x:v>
      </x:c>
      <x:c r="H2279" s="78" t="n">
        <x:f>U2278</x:f>
        <x:v>39973235.39762824</x:v>
      </x:c>
      <x:c r="I2279" s="78" t="n">
        <x:f>V2278</x:f>
        <x:v>722.9643577712096</x:v>
      </x:c>
      <x:c r="J2279" s="79" t="n">
        <x:f>IF(H2279&gt;0,I2279/H2279,0)</x:f>
        <x:v>0.000018086210700225326</x:v>
      </x:c>
      <x:c r="K2279" s="80" t="n">
        <x:f>(H2279*J2279+I2279)*'Inputs'!$D$50*(1+'Inputs'!$G$50)^(B2279/30)</x:f>
        <x:v>1445.9287155424192</x:v>
      </x:c>
      <x:c r="L2279" s="80" t="n">
        <x:f>MAX(0,K2279*'Inputs'!$E$50)</x:f>
        <x:v>0</x:v>
      </x:c>
      <x:c r="M2279" s="80" t="n">
        <x:f>MAX(0,-K2279*'Inputs'!$E$50)</x:f>
        <x:v>0</x:v>
      </x:c>
      <x:c r="N2279" s="78" t="n">
        <x:f>H2279*(L2279*(1-'Inputs'!$B$15))/(I2279+L2279*(1-'Inputs'!$B$15))</x:f>
        <x:v>0</x:v>
      </x:c>
      <x:c r="O2279" s="78" t="n">
        <x:f>H2279-N2279</x:f>
        <x:v>39973235.39762824</x:v>
      </x:c>
      <x:c r="P2279" s="78" t="n">
        <x:f>I2279+L2279*(1-'Inputs'!$B$17)</x:f>
        <x:v>722.9643577712096</x:v>
      </x:c>
      <x:c r="Q2279" s="78" t="n">
        <x:f>IF(J2279&gt;0,M2279/J2279,0)</x:f>
        <x:v>0</x:v>
      </x:c>
      <x:c r="R2279" s="78" t="n">
        <x:f>IF(B2279='Inputs'!$H$50,'Inputs'!$B$27*'Inputs'!$I$50,0)</x:f>
        <x:v>0</x:v>
      </x:c>
      <x:c r="S2279" s="78" t="n">
        <x:f>Q2279+G2279+R2279</x:f>
        <x:v>493815.6783636702</x:v>
      </x:c>
      <x:c r="T2279" s="78" t="n">
        <x:f>P2279*(S2279*(1-'Inputs'!$B$15))/(O2279+S2279*(1-'Inputs'!$B$15))</x:f>
        <x:v>8.735110401268818</x:v>
      </x:c>
      <x:c r="U2279" s="78" t="n">
        <x:f>O2279+S2279*(1-'Inputs'!$B$17)</x:f>
        <x:v>40465063.89016349</x:v>
      </x:c>
      <x:c r="V2279" s="78" t="n">
        <x:f>P2279-T2279</x:f>
        <x:v>714.2292473699408</x:v>
      </x:c>
      <x:c r="W2279" s="79" t="n">
        <x:f>IF(U2279&gt;0,V2279/U2279,0)</x:f>
        <x:v>0.000017650515746338915</x:v>
      </x:c>
      <x:c r="X2279" s="80" t="n">
        <x:f>W2279*('Inputs'!$B$6-AC2279)</x:f>
        <x:v>17524.216992122903</x:v>
      </x:c>
      <x:c r="Y2279" s="80" t="n">
        <x:f>2*V2279</x:f>
        <x:v>1428.4584947398816</x:v>
      </x:c>
      <x:c r="Z2279" s="80" t="n">
        <x:f>K2279*'Inputs'!$B$16+(G2279+R2279)*J2279*'Inputs'!$B$16</x:f>
        <x:v>8.729159819690278</x:v>
      </x:c>
      <x:c r="AA2279" s="80" t="n">
        <x:f>K2279*(1+'Inputs'!$E$50)/2*'Inputs'!$B$17</x:f>
        <x:v>2.909313310950542</x:v>
      </x:c>
      <x:c r="AB2279" s="78" t="n">
        <x:f>(IF(J2279&gt;0,K2279*(1-'Inputs'!$E$50)/2/J2279,0)+G2279+R2279)*'Inputs'!$B$17</x:f>
        <x:v>162845.27595972602</x:v>
      </x:c>
      <x:c r="AC2279" s="78" t="n">
        <x:f>AC2278+AB2279</x:f>
        <x:v>7155527.692850004</x:v>
      </x:c>
      <x:c r="AD2279" s="80" t="n">
        <x:f>Z2279/(1+'Inputs'!$C$50)</x:f>
        <x:v>4.364579909845139</x:v>
      </x:c>
      <x:c r="AE2279" s="80" t="n">
        <x:f>Z2279-AD2279</x:f>
        <x:v>4.364579909845139</x:v>
      </x:c>
      <x:c r="AF2279" s="80" t="n">
        <x:f>D2279*W2279</x:f>
        <x:v>5.175556664142696</x:v>
      </x:c>
      <x:c r="AG2279" s="80" t="n">
        <x:f>C2279*W2279</x:f>
        <x:v>12.076298882999557</x:v>
      </x:c>
      <x:c r="AH2279" s="80" t="n">
        <x:f>2*'Inputs'!$B$8*'Inputs'!$C$50</x:f>
        <x:v>5000</x:v>
      </x:c>
      <x:c r="AI2279" s="81" t="n">
        <x:f>IF(AH2279&gt;0,(AE2279+AF2279)/AH2279*365,0)</x:f>
        <x:v>0.6964299699011118</x:v>
      </x:c>
      <x:c r="AJ2279" s="81" t="n">
        <x:f>IF('Inputs'!$B$50&gt;0,AG2279/('Inputs'!$B$19*'Inputs'!$B$50)*365,0)</x:f>
        <x:v>0.4407849092294838</x:v>
      </x:c>
      <x:c r="AK2279" s="81" t="n">
        <x:f>W2279/MAX($W$2194:W2279)-1</x:f>
        <x:v>-0.9790569171781891</x:v>
      </x:c>
      <x:c r="AL2279" s="83" t="n">
        <x:f>'Inputs'!$B$50</x:f>
        <x:v>1</x:v>
      </x:c>
      <x:c r="AM2279" s="83" t="n">
        <x:f>'Inputs'!$C$50</x:f>
        <x:v>1</x:v>
      </x:c>
      <x:c r="AN2279" s="83" t="n">
        <x:f>'Inputs'!$D$50</x:f>
        <x:v>1</x:v>
      </x:c>
      <x:c r="AO2279" s="81" t="n">
        <x:f>'Inputs'!$E$50</x:f>
        <x:v>0</x:v>
      </x:c>
    </x:row>
    <x:row r="2280">
      <x:c r="A2280" s="59" t="str">
        <x:v>Whale exit</x:v>
      </x:c>
      <x:c r="B2280" s="59" t="n">
        <x:v>87</x:v>
      </x:c>
      <x:c r="C2280" s="78" t="n">
        <x:f>(('Inputs'!$B$29*(3*87*'Inputs'!$B$12-87^2)/(2*'Inputs'!$B$12^2))-('Inputs'!$B$29*(3*86*'Inputs'!$B$12-86^2)/(2*'Inputs'!$B$12^2)))*'Inputs'!$B$50</x:f>
        <x:v>683864.4680052549</x:v>
      </x:c>
      <x:c r="D2280" s="78" t="n">
        <x:f>IF('Inputs'!$C$50&gt;0,('Inputs'!$B$30*(3*87*'Inputs'!$B$12-87^2)/(2*'Inputs'!$B$12^2))-('Inputs'!$B$30*(3*86*'Inputs'!$B$12-86^2)/(2*'Inputs'!$B$12^2)),0)</x:f>
        <x:v>293084.7720022537</x:v>
      </x:c>
      <x:c r="E2280" s="78" t="n">
        <x:f>C2280+D2280</x:f>
        <x:v>976949.2400075085</x:v>
      </x:c>
      <x:c r="F2280" s="78" t="n">
        <x:f>'Inputs'!$B$13*E2280+(1-'Inputs'!$B$13)/'Inputs'!$B$14*SUM(E2225:E2280)</x:f>
        <x:v>987166.9168699573</x:v>
      </x:c>
      <x:c r="G2280" s="78" t="n">
        <x:f>F2280*'Inputs'!$F$50</x:f>
        <x:v>493583.4584349787</x:v>
      </x:c>
      <x:c r="H2280" s="78" t="n">
        <x:f>U2279</x:f>
        <x:v>40465063.89016349</x:v>
      </x:c>
      <x:c r="I2280" s="78" t="n">
        <x:f>V2279</x:f>
        <x:v>714.2292473699408</x:v>
      </x:c>
      <x:c r="J2280" s="79" t="n">
        <x:f>IF(H2280&gt;0,I2280/H2280,0)</x:f>
        <x:v>0.000017650515746338915</x:v>
      </x:c>
      <x:c r="K2280" s="80" t="n">
        <x:f>(H2280*J2280+I2280)*'Inputs'!$D$50*(1+'Inputs'!$G$50)^(B2280/30)</x:f>
        <x:v>1428.4584947398816</x:v>
      </x:c>
      <x:c r="L2280" s="80" t="n">
        <x:f>MAX(0,K2280*'Inputs'!$E$50)</x:f>
        <x:v>0</x:v>
      </x:c>
      <x:c r="M2280" s="80" t="n">
        <x:f>MAX(0,-K2280*'Inputs'!$E$50)</x:f>
        <x:v>0</x:v>
      </x:c>
      <x:c r="N2280" s="78" t="n">
        <x:f>H2280*(L2280*(1-'Inputs'!$B$15))/(I2280+L2280*(1-'Inputs'!$B$15))</x:f>
        <x:v>0</x:v>
      </x:c>
      <x:c r="O2280" s="78" t="n">
        <x:f>H2280-N2280</x:f>
        <x:v>40465063.89016349</x:v>
      </x:c>
      <x:c r="P2280" s="78" t="n">
        <x:f>I2280+L2280*(1-'Inputs'!$B$17)</x:f>
        <x:v>714.2292473699408</x:v>
      </x:c>
      <x:c r="Q2280" s="78" t="n">
        <x:f>IF(J2280&gt;0,M2280/J2280,0)</x:f>
        <x:v>0</x:v>
      </x:c>
      <x:c r="R2280" s="78" t="n">
        <x:f>IF(B2280='Inputs'!$H$50,'Inputs'!$B$27*'Inputs'!$I$50,0)</x:f>
        <x:v>0</x:v>
      </x:c>
      <x:c r="S2280" s="78" t="n">
        <x:f>Q2280+G2280+R2280</x:f>
        <x:v>493583.4584349787</x:v>
      </x:c>
      <x:c r="T2280" s="78" t="n">
        <x:f>P2280*(S2280*(1-'Inputs'!$B$15))/(O2280+S2280*(1-'Inputs'!$B$15))</x:f>
        <x:v>8.5219730205043</x:v>
      </x:c>
      <x:c r="U2280" s="78" t="n">
        <x:f>O2280+S2280*(1-'Inputs'!$B$17)</x:f>
        <x:v>40956661.097256675</x:v>
      </x:c>
      <x:c r="V2280" s="78" t="n">
        <x:f>P2280-T2280</x:f>
        <x:v>705.7072743494365</x:v>
      </x:c>
      <x:c r="W2280" s="79" t="n">
        <x:f>IF(U2280&gt;0,V2280/U2280,0)</x:f>
        <x:v>0.00001723058607423215</x:v>
      </x:c>
      <x:c r="X2280" s="80" t="n">
        <x:f>W2280*('Inputs'!$B$6-AC2280)</x:f>
        <x:v>17104.452132383267</x:v>
      </x:c>
      <x:c r="Y2280" s="80" t="n">
        <x:f>2*V2280</x:f>
        <x:v>1411.414548698873</x:v>
      </x:c>
      <x:c r="Z2280" s="80" t="n">
        <x:f>K2280*'Inputs'!$B$16+(G2280+R2280)*J2280*'Inputs'!$B$16</x:f>
        <x:v>8.623022984070724</x:v>
      </x:c>
      <x:c r="AA2280" s="80" t="n">
        <x:f>K2280*(1+'Inputs'!$E$50)/2*'Inputs'!$B$17</x:f>
        <x:v>2.874161961247247</x:v>
      </x:c>
      <x:c r="AB2280" s="78" t="n">
        <x:f>(IF(J2280&gt;0,K2280*(1-'Inputs'!$E$50)/2/J2280,0)+G2280+R2280)*'Inputs'!$B$17</x:f>
        <x:v>164823.53057786103</x:v>
      </x:c>
      <x:c r="AC2280" s="78" t="n">
        <x:f>AC2279+AB2280</x:f>
        <x:v>7320351.223427865</x:v>
      </x:c>
      <x:c r="AD2280" s="80" t="n">
        <x:f>Z2280/(1+'Inputs'!$C$50)</x:f>
        <x:v>4.311511492035362</x:v>
      </x:c>
      <x:c r="AE2280" s="80" t="n">
        <x:f>Z2280-AD2280</x:f>
        <x:v>4.311511492035362</x:v>
      </x:c>
      <x:c r="AF2280" s="80" t="n">
        <x:f>D2280*W2280</x:f>
        <x:v>5.050022391031537</x:v>
      </x:c>
      <x:c r="AG2280" s="80" t="n">
        <x:f>C2280*W2280</x:f>
        <x:v>11.783385579073522</x:v>
      </x:c>
      <x:c r="AH2280" s="80" t="n">
        <x:f>2*'Inputs'!$B$8*'Inputs'!$C$50</x:f>
        <x:v>5000</x:v>
      </x:c>
      <x:c r="AI2280" s="81" t="n">
        <x:f>IF(AH2280&gt;0,(AE2280+AF2280)/AH2280*365,0)</x:f>
        <x:v>0.6833919734638837</x:v>
      </x:c>
      <x:c r="AJ2280" s="81" t="n">
        <x:f>IF('Inputs'!$B$50&gt;0,AG2280/('Inputs'!$B$19*'Inputs'!$B$50)*365,0)</x:f>
        <x:v>0.43009357363618356</x:v>
      </x:c>
      <x:c r="AK2280" s="81" t="n">
        <x:f>W2280/MAX($W$2194:W2280)-1</x:f>
        <x:v>-0.979555181479848</x:v>
      </x:c>
      <x:c r="AL2280" s="83" t="n">
        <x:f>'Inputs'!$B$50</x:f>
        <x:v>1</x:v>
      </x:c>
      <x:c r="AM2280" s="83" t="n">
        <x:f>'Inputs'!$C$50</x:f>
        <x:v>1</x:v>
      </x:c>
      <x:c r="AN2280" s="83" t="n">
        <x:f>'Inputs'!$D$50</x:f>
        <x:v>1</x:v>
      </x:c>
      <x:c r="AO2280" s="81" t="n">
        <x:f>'Inputs'!$E$50</x:f>
        <x:v>0</x:v>
      </x:c>
    </x:row>
    <x:row r="2281">
      <x:c r="A2281" s="59" t="str">
        <x:v>Whale exit</x:v>
      </x:c>
      <x:c r="B2281" s="59" t="n">
        <x:v>88</x:v>
      </x:c>
      <x:c r="C2281" s="78" t="n">
        <x:f>(('Inputs'!$B$29*(3*88*'Inputs'!$B$12-88^2)/(2*'Inputs'!$B$12^2))-('Inputs'!$B$29*(3*87*'Inputs'!$B$12-87^2)/(2*'Inputs'!$B$12^2)))*'Inputs'!$B$50</x:f>
        <x:v>683539.3601050824</x:v>
      </x:c>
      <x:c r="D2281" s="78" t="n">
        <x:f>IF('Inputs'!$C$50&gt;0,('Inputs'!$B$30*(3*88*'Inputs'!$B$12-88^2)/(2*'Inputs'!$B$12^2))-('Inputs'!$B$30*(3*87*'Inputs'!$B$12-87^2)/(2*'Inputs'!$B$12^2)),0)</x:f>
        <x:v>292945.4400450364</x:v>
      </x:c>
      <x:c r="E2281" s="78" t="n">
        <x:f>C2281+D2281</x:f>
        <x:v>976484.8001501188</x:v>
      </x:c>
      <x:c r="F2281" s="78" t="n">
        <x:f>'Inputs'!$B$13*E2281+(1-'Inputs'!$B$13)/'Inputs'!$B$14*SUM(E2226:E2281)</x:f>
        <x:v>986702.4770125719</x:v>
      </x:c>
      <x:c r="G2281" s="78" t="n">
        <x:f>F2281*'Inputs'!$F$50</x:f>
        <x:v>493351.23850628594</x:v>
      </x:c>
      <x:c r="H2281" s="78" t="n">
        <x:f>U2280</x:f>
        <x:v>40956661.097256675</x:v>
      </x:c>
      <x:c r="I2281" s="78" t="n">
        <x:f>V2280</x:f>
        <x:v>705.7072743494365</x:v>
      </x:c>
      <x:c r="J2281" s="79" t="n">
        <x:f>IF(H2281&gt;0,I2281/H2281,0)</x:f>
        <x:v>0.00001723058607423215</x:v>
      </x:c>
      <x:c r="K2281" s="80" t="n">
        <x:f>(H2281*J2281+I2281)*'Inputs'!$D$50*(1+'Inputs'!$G$50)^(B2281/30)</x:f>
        <x:v>1411.414548698873</x:v>
      </x:c>
      <x:c r="L2281" s="80" t="n">
        <x:f>MAX(0,K2281*'Inputs'!$E$50)</x:f>
        <x:v>0</x:v>
      </x:c>
      <x:c r="M2281" s="80" t="n">
        <x:f>MAX(0,-K2281*'Inputs'!$E$50)</x:f>
        <x:v>0</x:v>
      </x:c>
      <x:c r="N2281" s="78" t="n">
        <x:f>H2281*(L2281*(1-'Inputs'!$B$15))/(I2281+L2281*(1-'Inputs'!$B$15))</x:f>
        <x:v>0</x:v>
      </x:c>
      <x:c r="O2281" s="78" t="n">
        <x:f>H2281-N2281</x:f>
        <x:v>40956661.097256675</x:v>
      </x:c>
      <x:c r="P2281" s="78" t="n">
        <x:f>I2281+L2281*(1-'Inputs'!$B$17)</x:f>
        <x:v>705.7072743494365</x:v>
      </x:c>
      <x:c r="Q2281" s="78" t="n">
        <x:f>IF(J2281&gt;0,M2281/J2281,0)</x:f>
        <x:v>0</x:v>
      </x:c>
      <x:c r="R2281" s="78" t="n">
        <x:f>IF(B2281='Inputs'!$H$50,'Inputs'!$B$27*'Inputs'!$I$50,0)</x:f>
        <x:v>0</x:v>
      </x:c>
      <x:c r="S2281" s="78" t="n">
        <x:f>Q2281+G2281+R2281</x:f>
        <x:v>493351.23850628594</x:v>
      </x:c>
      <x:c r="T2281" s="78" t="n">
        <x:f>P2281*(S2281*(1-'Inputs'!$B$15))/(O2281+S2281*(1-'Inputs'!$B$15))</x:f>
        <x:v>8.316546910523295</x:v>
      </x:c>
      <x:c r="U2281" s="78" t="n">
        <x:f>O2281+S2281*(1-'Inputs'!$B$17)</x:f>
        <x:v>41448027.01890781</x:v>
      </x:c>
      <x:c r="V2281" s="78" t="n">
        <x:f>P2281-T2281</x:f>
        <x:v>697.3907274389132</x:v>
      </x:c>
      <x:c r="W2281" s="79" t="n">
        <x:f>IF(U2281&gt;0,V2281/U2281,0)</x:f>
        <x:v>0.000016825667651702135</x:v>
      </x:c>
      <x:c r="X2281" s="80" t="n">
        <x:f>W2281*('Inputs'!$B$6-AC2281)</x:f>
        <x:v>16699.691319181675</x:v>
      </x:c>
      <x:c r="Y2281" s="80" t="n">
        <x:f>2*V2281</x:f>
        <x:v>1394.7814548778265</x:v>
      </x:c>
      <x:c r="Z2281" s="80" t="n">
        <x:f>K2281*'Inputs'!$B$16+(G2281+R2281)*J2281*'Inputs'!$B$16</x:f>
        <x:v>8.519491678072708</x:v>
      </x:c>
      <x:c r="AA2281" s="80" t="n">
        <x:f>K2281*(1+'Inputs'!$E$50)/2*'Inputs'!$B$17</x:f>
        <x:v>2.8398683072411934</x:v>
      </x:c>
      <x:c r="AB2281" s="78" t="n">
        <x:f>(IF(J2281&gt;0,K2281*(1-'Inputs'!$E$50)/2/J2281,0)+G2281+R2281)*'Inputs'!$B$17</x:f>
        <x:v>166800.8544698711</x:v>
      </x:c>
      <x:c r="AC2281" s="78" t="n">
        <x:f>AC2280+AB2281</x:f>
        <x:v>7487152.077897736</x:v>
      </x:c>
      <x:c r="AD2281" s="80" t="n">
        <x:f>Z2281/(1+'Inputs'!$C$50)</x:f>
        <x:v>4.259745839036354</x:v>
      </x:c>
      <x:c r="AE2281" s="80" t="n">
        <x:f>Z2281-AD2281</x:f>
        <x:v>4.259745839036354</x:v>
      </x:c>
      <x:c r="AF2281" s="80" t="n">
        <x:f>D2281*W2281</x:f>
        <x:v>4.929002614279416</x:v>
      </x:c>
      <x:c r="AG2281" s="80" t="n">
        <x:f>C2281*W2281</x:f>
        <x:v>11.501006099985261</x:v>
      </x:c>
      <x:c r="AH2281" s="80" t="n">
        <x:f>2*'Inputs'!$B$8*'Inputs'!$C$50</x:f>
        <x:v>5000</x:v>
      </x:c>
      <x:c r="AI2281" s="81" t="n">
        <x:f>IF(AH2281&gt;0,(AE2281+AF2281)/AH2281*365,0)</x:f>
        <x:v>0.6707786370920512</x:v>
      </x:c>
      <x:c r="AJ2281" s="81" t="n">
        <x:f>IF('Inputs'!$B$50&gt;0,AG2281/('Inputs'!$B$19*'Inputs'!$B$50)*365,0)</x:f>
        <x:v>0.41978672264946204</x:v>
      </x:c>
      <x:c r="AK2281" s="81" t="n">
        <x:f>W2281/MAX($W$2194:W2281)-1</x:f>
        <x:v>-0.9800356342995272</x:v>
      </x:c>
      <x:c r="AL2281" s="83" t="n">
        <x:f>'Inputs'!$B$50</x:f>
        <x:v>1</x:v>
      </x:c>
      <x:c r="AM2281" s="83" t="n">
        <x:f>'Inputs'!$C$50</x:f>
        <x:v>1</x:v>
      </x:c>
      <x:c r="AN2281" s="83" t="n">
        <x:f>'Inputs'!$D$50</x:f>
        <x:v>1</x:v>
      </x:c>
      <x:c r="AO2281" s="81" t="n">
        <x:f>'Inputs'!$E$50</x:f>
        <x:v>0</x:v>
      </x:c>
    </x:row>
    <x:row r="2282">
      <x:c r="A2282" s="59" t="str">
        <x:v>Whale exit</x:v>
      </x:c>
      <x:c r="B2282" s="59" t="n">
        <x:v>89</x:v>
      </x:c>
      <x:c r="C2282" s="78" t="n">
        <x:f>(('Inputs'!$B$29*(3*89*'Inputs'!$B$12-89^2)/(2*'Inputs'!$B$12^2))-('Inputs'!$B$29*(3*88*'Inputs'!$B$12-88^2)/(2*'Inputs'!$B$12^2)))*'Inputs'!$B$50</x:f>
        <x:v>683214.2522049174</x:v>
      </x:c>
      <x:c r="D2282" s="78" t="n">
        <x:f>IF('Inputs'!$C$50&gt;0,('Inputs'!$B$30*(3*89*'Inputs'!$B$12-89^2)/(2*'Inputs'!$B$12^2))-('Inputs'!$B$30*(3*88*'Inputs'!$B$12-88^2)/(2*'Inputs'!$B$12^2)),0)</x:f>
        <x:v>292806.10808781907</x:v>
      </x:c>
      <x:c r="E2282" s="78" t="n">
        <x:f>C2282+D2282</x:f>
        <x:v>976020.3602927364</x:v>
      </x:c>
      <x:c r="F2282" s="78" t="n">
        <x:f>'Inputs'!$B$13*E2282+(1-'Inputs'!$B$13)/'Inputs'!$B$14*SUM(E2227:E2282)</x:f>
        <x:v>986238.0371551884</x:v>
      </x:c>
      <x:c r="G2282" s="78" t="n">
        <x:f>F2282*'Inputs'!$F$50</x:f>
        <x:v>493119.0185775942</x:v>
      </x:c>
      <x:c r="H2282" s="78" t="n">
        <x:f>U2281</x:f>
        <x:v>41448027.01890781</x:v>
      </x:c>
      <x:c r="I2282" s="78" t="n">
        <x:f>V2281</x:f>
        <x:v>697.3907274389132</x:v>
      </x:c>
      <x:c r="J2282" s="79" t="n">
        <x:f>IF(H2282&gt;0,I2282/H2282,0)</x:f>
        <x:v>0.000016825667651702135</x:v>
      </x:c>
      <x:c r="K2282" s="80" t="n">
        <x:f>(H2282*J2282+I2282)*'Inputs'!$D$50*(1+'Inputs'!$G$50)^(B2282/30)</x:f>
        <x:v>1394.7814548778265</x:v>
      </x:c>
      <x:c r="L2282" s="80" t="n">
        <x:f>MAX(0,K2282*'Inputs'!$E$50)</x:f>
        <x:v>0</x:v>
      </x:c>
      <x:c r="M2282" s="80" t="n">
        <x:f>MAX(0,-K2282*'Inputs'!$E$50)</x:f>
        <x:v>0</x:v>
      </x:c>
      <x:c r="N2282" s="78" t="n">
        <x:f>H2282*(L2282*(1-'Inputs'!$B$15))/(I2282+L2282*(1-'Inputs'!$B$15))</x:f>
        <x:v>0</x:v>
      </x:c>
      <x:c r="O2282" s="78" t="n">
        <x:f>H2282-N2282</x:f>
        <x:v>41448027.01890781</x:v>
      </x:c>
      <x:c r="P2282" s="78" t="n">
        <x:f>I2282+L2282*(1-'Inputs'!$B$17)</x:f>
        <x:v>697.3907274389132</x:v>
      </x:c>
      <x:c r="Q2282" s="78" t="n">
        <x:f>IF(J2282&gt;0,M2282/J2282,0)</x:f>
        <x:v>0</x:v>
      </x:c>
      <x:c r="R2282" s="78" t="n">
        <x:f>IF(B2282='Inputs'!$H$50,'Inputs'!$B$27*'Inputs'!$I$50,0)</x:f>
        <x:v>0</x:v>
      </x:c>
      <x:c r="S2282" s="78" t="n">
        <x:f>Q2282+G2282+R2282</x:f>
        <x:v>493119.0185775942</x:v>
      </x:c>
      <x:c r="T2282" s="78" t="n">
        <x:f>P2282*(S2282*(1-'Inputs'!$B$15))/(O2282+S2282*(1-'Inputs'!$B$15))</x:f>
        <x:v>8.118464339442317</x:v>
      </x:c>
      <x:c r="U2282" s="78" t="n">
        <x:f>O2282+S2282*(1-'Inputs'!$B$17)</x:f>
        <x:v>41939161.65511688</x:v>
      </x:c>
      <x:c r="V2282" s="78" t="n">
        <x:f>P2282-T2282</x:f>
        <x:v>689.2722630994709</x:v>
      </x:c>
      <x:c r="W2282" s="79" t="n">
        <x:f>IF(U2282&gt;0,V2282/U2282,0)</x:f>
        <x:v>0.000016435051057234827</x:v>
      </x:c>
      <x:c r="X2282" s="80" t="n">
        <x:f>W2282*('Inputs'!$B$6-AC2282)</x:f>
        <x:v>16309.225467879101</x:v>
      </x:c>
      <x:c r="Y2282" s="80" t="n">
        <x:f>2*V2282</x:f>
        <x:v>1378.5445261989419</x:v>
      </x:c>
      <x:c r="Z2282" s="80" t="n">
        <x:f>K2282*'Inputs'!$B$16+(G2282+R2282)*J2282*'Inputs'!$B$16</x:f>
        <x:v>8.41847106958288</x:v>
      </x:c>
      <x:c r="AA2282" s="80" t="n">
        <x:f>K2282*(1+'Inputs'!$E$50)/2*'Inputs'!$B$17</x:f>
        <x:v>2.806401317661623</x:v>
      </x:c>
      <x:c r="AB2282" s="78" t="n">
        <x:f>(IF(J2282&gt;0,K2282*(1-'Inputs'!$E$50)/2/J2282,0)+G2282+R2282)*'Inputs'!$B$17</x:f>
        <x:v>168777.24763575615</x:v>
      </x:c>
      <x:c r="AC2282" s="78" t="n">
        <x:f>AC2281+AB2282</x:f>
        <x:v>7655929.3255334925</x:v>
      </x:c>
      <x:c r="AD2282" s="80" t="n">
        <x:f>Z2282/(1+'Inputs'!$C$50)</x:f>
        <x:v>4.20923553479144</x:v>
      </x:c>
      <x:c r="AE2282" s="80" t="n">
        <x:f>Z2282-AD2282</x:f>
        <x:v>4.20923553479144</x:v>
      </x:c>
      <x:c r="AF2282" s="80" t="n">
        <x:f>D2282*W2282</x:f>
        <x:v>4.812283336293525</x:v>
      </x:c>
      <x:c r="AG2282" s="80" t="n">
        <x:f>C2282*W2282</x:f>
        <x:v>11.228661118018328</x:v>
      </x:c>
      <x:c r="AH2282" s="80" t="n">
        <x:f>2*'Inputs'!$B$8*'Inputs'!$C$50</x:f>
        <x:v>5000</x:v>
      </x:c>
      <x:c r="AI2282" s="81" t="n">
        <x:f>IF(AH2282&gt;0,(AE2282+AF2282)/AH2282*365,0)</x:f>
        <x:v>0.6585708775892024</x:v>
      </x:c>
      <x:c r="AJ2282" s="81" t="n">
        <x:f>IF('Inputs'!$B$50&gt;0,AG2282/('Inputs'!$B$19*'Inputs'!$B$50)*365,0)</x:f>
        <x:v>0.409846130807669</x:v>
      </x:c>
      <x:c r="AK2282" s="81" t="n">
        <x:f>W2282/MAX($W$2194:W2282)-1</x:f>
        <x:v>-0.9804991173958328</x:v>
      </x:c>
      <x:c r="AL2282" s="83" t="n">
        <x:f>'Inputs'!$B$50</x:f>
        <x:v>1</x:v>
      </x:c>
      <x:c r="AM2282" s="83" t="n">
        <x:f>'Inputs'!$C$50</x:f>
        <x:v>1</x:v>
      </x:c>
      <x:c r="AN2282" s="83" t="n">
        <x:f>'Inputs'!$D$50</x:f>
        <x:v>1</x:v>
      </x:c>
      <x:c r="AO2282" s="81" t="n">
        <x:f>'Inputs'!$E$50</x:f>
        <x:v>0</x:v>
      </x:c>
    </x:row>
    <x:row r="2283">
      <x:c r="A2283" s="59" t="str">
        <x:v>Whale exit</x:v>
      </x:c>
      <x:c r="B2283" s="59" t="n">
        <x:v>90</x:v>
      </x:c>
      <x:c r="C2283" s="78" t="n">
        <x:f>(('Inputs'!$B$29*(3*90*'Inputs'!$B$12-90^2)/(2*'Inputs'!$B$12^2))-('Inputs'!$B$29*(3*89*'Inputs'!$B$12-89^2)/(2*'Inputs'!$B$12^2)))*'Inputs'!$B$50</x:f>
        <x:v>682889.1443047523</x:v>
      </x:c>
      <x:c r="D2283" s="78" t="n">
        <x:f>IF('Inputs'!$C$50&gt;0,('Inputs'!$B$30*(3*90*'Inputs'!$B$12-90^2)/(2*'Inputs'!$B$12^2))-('Inputs'!$B$30*(3*89*'Inputs'!$B$12-89^2)/(2*'Inputs'!$B$12^2)),0)</x:f>
        <x:v>292666.7761306055</x:v>
      </x:c>
      <x:c r="E2283" s="78" t="n">
        <x:f>C2283+D2283</x:f>
        <x:v>975555.9204353578</x:v>
      </x:c>
      <x:c r="F2283" s="78" t="n">
        <x:f>'Inputs'!$B$13*E2283+(1-'Inputs'!$B$13)/'Inputs'!$B$14*SUM(E2228:E2283)</x:f>
        <x:v>985773.5972978052</x:v>
      </x:c>
      <x:c r="G2283" s="78" t="n">
        <x:f>F2283*'Inputs'!$F$50</x:f>
        <x:v>492886.7986489026</x:v>
      </x:c>
      <x:c r="H2283" s="78" t="n">
        <x:f>U2282</x:f>
        <x:v>41939161.65511688</x:v>
      </x:c>
      <x:c r="I2283" s="78" t="n">
        <x:f>V2282</x:f>
        <x:v>689.2722630994709</x:v>
      </x:c>
      <x:c r="J2283" s="79" t="n">
        <x:f>IF(H2283&gt;0,I2283/H2283,0)</x:f>
        <x:v>0.000016435051057234827</x:v>
      </x:c>
      <x:c r="K2283" s="80" t="n">
        <x:f>(H2283*J2283+I2283)*'Inputs'!$D$50*(1+'Inputs'!$G$50)^(B2283/30)</x:f>
        <x:v>1378.5445261989419</x:v>
      </x:c>
      <x:c r="L2283" s="80" t="n">
        <x:f>MAX(0,K2283*'Inputs'!$E$50)</x:f>
        <x:v>0</x:v>
      </x:c>
      <x:c r="M2283" s="80" t="n">
        <x:f>MAX(0,-K2283*'Inputs'!$E$50)</x:f>
        <x:v>0</x:v>
      </x:c>
      <x:c r="N2283" s="78" t="n">
        <x:f>H2283*(L2283*(1-'Inputs'!$B$15))/(I2283+L2283*(1-'Inputs'!$B$15))</x:f>
        <x:v>0</x:v>
      </x:c>
      <x:c r="O2283" s="78" t="n">
        <x:f>H2283-N2283</x:f>
        <x:v>41939161.65511688</x:v>
      </x:c>
      <x:c r="P2283" s="78" t="n">
        <x:f>I2283+L2283*(1-'Inputs'!$B$17)</x:f>
        <x:v>689.2722630994709</x:v>
      </x:c>
      <x:c r="Q2283" s="78" t="n">
        <x:f>IF(J2283&gt;0,M2283/J2283,0)</x:f>
        <x:v>0</x:v>
      </x:c>
      <x:c r="R2283" s="78" t="n">
        <x:f>IF(B2283='Inputs'!$H$50,'Inputs'!$B$27*'Inputs'!$I$50,0)</x:f>
        <x:v>0</x:v>
      </x:c>
      <x:c r="S2283" s="78" t="n">
        <x:f>Q2283+G2283+R2283</x:f>
        <x:v>492886.7986489026</x:v>
      </x:c>
      <x:c r="T2283" s="78" t="n">
        <x:f>P2283*(S2283*(1-'Inputs'!$B$15))/(O2283+S2283*(1-'Inputs'!$B$15))</x:f>
        <x:v>7.927379243481555</x:v>
      </x:c>
      <x:c r="U2283" s="78" t="n">
        <x:f>O2283+S2283*(1-'Inputs'!$B$17)</x:f>
        <x:v>42430065.005883895</x:v>
      </x:c>
      <x:c r="V2283" s="78" t="n">
        <x:f>P2283-T2283</x:f>
        <x:v>681.3448838559893</x:v>
      </x:c>
      <x:c r="W2283" s="79" t="n">
        <x:f>IF(U2283&gt;0,V2283/U2283,0)</x:f>
        <x:v>0.000016058068347562166</x:v>
      </x:c>
      <x:c r="X2283" s="80" t="n">
        <x:f>W2283*('Inputs'!$B$6-AC2283)</x:f>
        <x:v>15932.386952499719</x:v>
      </x:c>
      <x:c r="Y2283" s="80" t="n">
        <x:f>2*V2283</x:f>
        <x:v>1362.6897677119787</x:v>
      </x:c>
      <x:c r="Z2283" s="80" t="n">
        <x:f>K2283*'Inputs'!$B$16+(G2283+R2283)*J2283*'Inputs'!$B$16</x:f>
        <x:v>8.319870875401042</x:v>
      </x:c>
      <x:c r="AA2283" s="80" t="n">
        <x:f>K2283*(1+'Inputs'!$E$50)/2*'Inputs'!$B$17</x:f>
        <x:v>2.773731441044149</x:v>
      </x:c>
      <x:c r="AB2283" s="78" t="n">
        <x:f>(IF(J2283&gt;0,K2283*(1-'Inputs'!$E$50)/2/J2283,0)+G2283+R2283)*'Inputs'!$B$17</x:f>
        <x:v>170752.71007551622</x:v>
      </x:c>
      <x:c r="AC2283" s="78" t="n">
        <x:f>AC2282+AB2283</x:f>
        <x:v>7826682.035609009</x:v>
      </x:c>
      <x:c r="AD2283" s="80" t="n">
        <x:f>Z2283/(1+'Inputs'!$C$50)</x:f>
        <x:v>4.159935437700521</x:v>
      </x:c>
      <x:c r="AE2283" s="80" t="n">
        <x:f>Z2283-AD2283</x:f>
        <x:v>4.159935437700521</x:v>
      </x:c>
      <x:c r="AF2283" s="80" t="n">
        <x:f>D2283*W2283</x:f>
        <x:v>4.699663094165938</x:v>
      </x:c>
      <x:c r="AG2283" s="80" t="n">
        <x:f>C2283*W2283</x:f>
        <x:v>10.965880553053957</x:v>
      </x:c>
      <x:c r="AH2283" s="80" t="n">
        <x:f>2*'Inputs'!$B$8*'Inputs'!$C$50</x:f>
        <x:v>5000</x:v>
      </x:c>
      <x:c r="AI2283" s="81" t="n">
        <x:f>IF(AH2283&gt;0,(AE2283+AF2283)/AH2283*365,0)</x:f>
        <x:v>0.6467506928262516</x:v>
      </x:c>
      <x:c r="AJ2283" s="81" t="n">
        <x:f>IF('Inputs'!$B$50&gt;0,AG2283/('Inputs'!$B$19*'Inputs'!$B$50)*365,0)</x:f>
        <x:v>0.4002546401864694</x:v>
      </x:c>
      <x:c r="AK2283" s="81" t="n">
        <x:f>W2283/MAX($W$2194:W2283)-1</x:f>
        <x:v>-0.9809464233116785</x:v>
      </x:c>
      <x:c r="AL2283" s="83" t="n">
        <x:f>'Inputs'!$B$50</x:f>
        <x:v>1</x:v>
      </x:c>
      <x:c r="AM2283" s="83" t="n">
        <x:f>'Inputs'!$C$50</x:f>
        <x:v>1</x:v>
      </x:c>
      <x:c r="AN2283" s="83" t="n">
        <x:f>'Inputs'!$D$50</x:f>
        <x:v>1</x:v>
      </x:c>
      <x:c r="AO2283" s="81" t="n">
        <x:f>'Inputs'!$E$50</x:f>
        <x:v>0</x:v>
      </x:c>
    </x:row>
    <x:row r="2284">
      <x:c r="A2284" s="59" t="str">
        <x:v>Whale exit</x:v>
      </x:c>
      <x:c r="B2284" s="59" t="n">
        <x:v>91</x:v>
      </x:c>
      <x:c r="C2284" s="78" t="n">
        <x:f>(('Inputs'!$B$29*(3*91*'Inputs'!$B$12-91^2)/(2*'Inputs'!$B$12^2))-('Inputs'!$B$29*(3*90*'Inputs'!$B$12-90^2)/(2*'Inputs'!$B$12^2)))*'Inputs'!$B$50</x:f>
        <x:v>682564.0364045799</x:v>
      </x:c>
      <x:c r="D2284" s="78" t="n">
        <x:f>IF('Inputs'!$C$50&gt;0,('Inputs'!$B$30*(3*91*'Inputs'!$B$12-91^2)/(2*'Inputs'!$B$12^2))-('Inputs'!$B$30*(3*90*'Inputs'!$B$12-90^2)/(2*'Inputs'!$B$12^2)),0)</x:f>
        <x:v>292527.4441733919</x:v>
      </x:c>
      <x:c r="E2284" s="78" t="n">
        <x:f>C2284+D2284</x:f>
        <x:v>975091.4805779718</x:v>
      </x:c>
      <x:c r="F2284" s="78" t="n">
        <x:f>'Inputs'!$B$13*E2284+(1-'Inputs'!$B$13)/'Inputs'!$B$14*SUM(E2229:E2284)</x:f>
        <x:v>985309.1574404209</x:v>
      </x:c>
      <x:c r="G2284" s="78" t="n">
        <x:f>F2284*'Inputs'!$F$50</x:f>
        <x:v>492654.57872021047</x:v>
      </x:c>
      <x:c r="H2284" s="78" t="n">
        <x:f>U2283</x:f>
        <x:v>42430065.005883895</x:v>
      </x:c>
      <x:c r="I2284" s="78" t="n">
        <x:f>V2283</x:f>
        <x:v>681.3448838559893</x:v>
      </x:c>
      <x:c r="J2284" s="79" t="n">
        <x:f>IF(H2284&gt;0,I2284/H2284,0)</x:f>
        <x:v>0.000016058068347562166</x:v>
      </x:c>
      <x:c r="K2284" s="80" t="n">
        <x:f>(H2284*J2284+I2284)*'Inputs'!$D$50*(1+'Inputs'!$G$50)^(B2284/30)</x:f>
        <x:v>1362.6897677119787</x:v>
      </x:c>
      <x:c r="L2284" s="80" t="n">
        <x:f>MAX(0,K2284*'Inputs'!$E$50)</x:f>
        <x:v>0</x:v>
      </x:c>
      <x:c r="M2284" s="80" t="n">
        <x:f>MAX(0,-K2284*'Inputs'!$E$50)</x:f>
        <x:v>0</x:v>
      </x:c>
      <x:c r="N2284" s="78" t="n">
        <x:f>H2284*(L2284*(1-'Inputs'!$B$15))/(I2284+L2284*(1-'Inputs'!$B$15))</x:f>
        <x:v>0</x:v>
      </x:c>
      <x:c r="O2284" s="78" t="n">
        <x:f>H2284-N2284</x:f>
        <x:v>42430065.005883895</x:v>
      </x:c>
      <x:c r="P2284" s="78" t="n">
        <x:f>I2284+L2284*(1-'Inputs'!$B$17)</x:f>
        <x:v>681.3448838559893</x:v>
      </x:c>
      <x:c r="Q2284" s="78" t="n">
        <x:f>IF(J2284&gt;0,M2284/J2284,0)</x:f>
        <x:v>0</x:v>
      </x:c>
      <x:c r="R2284" s="78" t="n">
        <x:f>IF(B2284='Inputs'!$H$50,'Inputs'!$B$27*'Inputs'!$I$50,0)</x:f>
        <x:v>0</x:v>
      </x:c>
      <x:c r="S2284" s="78" t="n">
        <x:f>Q2284+G2284+R2284</x:f>
        <x:v>492654.57872021047</x:v>
      </x:c>
      <x:c r="T2284" s="78" t="n">
        <x:f>P2284*(S2284*(1-'Inputs'!$B$15))/(O2284+S2284*(1-'Inputs'!$B$15))</x:f>
        <x:v>7.742965712414259</x:v>
      </x:c>
      <x:c r="U2284" s="78" t="n">
        <x:f>O2284+S2284*(1-'Inputs'!$B$17)</x:f>
        <x:v>42920737.07120885</x:v>
      </x:c>
      <x:c r="V2284" s="78" t="n">
        <x:f>P2284-T2284</x:f>
        <x:v>673.6019181435751</x:v>
      </x:c>
      <x:c r="W2284" s="79" t="n">
        <x:f>IF(U2284&gt;0,V2284/U2284,0)</x:f>
        <x:v>0.000015694090178973788</x:v>
      </x:c>
      <x:c r="X2284" s="80" t="n">
        <x:f>W2284*('Inputs'!$B$6-AC2284)</x:f>
        <x:v>15568.546728395782</x:v>
      </x:c>
      <x:c r="Y2284" s="80" t="n">
        <x:f>2*V2284</x:f>
        <x:v>1347.2038362871501</x:v>
      </x:c>
      <x:c r="Z2284" s="80" t="n">
        <x:f>K2284*'Inputs'!$B$16+(G2284+R2284)*J2284*'Inputs'!$B$16</x:f>
        <x:v>8.223605091652843</x:v>
      </x:c>
      <x:c r="AA2284" s="80" t="n">
        <x:f>K2284*(1+'Inputs'!$E$50)/2*'Inputs'!$B$17</x:f>
        <x:v>2.741830518535169</x:v>
      </x:c>
      <x:c r="AB2284" s="78" t="n">
        <x:f>(IF(J2284&gt;0,K2284*(1-'Inputs'!$E$50)/2/J2284,0)+G2284+R2284)*'Inputs'!$B$17</x:f>
        <x:v>172727.2417891514</x:v>
      </x:c>
      <x:c r="AC2284" s="78" t="n">
        <x:f>AC2283+AB2284</x:f>
        <x:v>7999409.27739816</x:v>
      </x:c>
      <x:c r="AD2284" s="80" t="n">
        <x:f>Z2284/(1+'Inputs'!$C$50)</x:f>
        <x:v>4.111802545826421</x:v>
      </x:c>
      <x:c r="AE2284" s="80" t="n">
        <x:f>Z2284-AD2284</x:f>
        <x:v>4.111802545826421</x:v>
      </x:c>
      <x:c r="AF2284" s="80" t="n">
        <x:f>D2284*W2284</x:f>
        <x:v>4.590952088681933</x:v>
      </x:c>
      <x:c r="AG2284" s="80" t="n">
        <x:f>C2284*W2284</x:f>
        <x:v>10.712221540257824</x:v>
      </x:c>
      <x:c r="AH2284" s="80" t="n">
        <x:f>2*'Inputs'!$B$8*'Inputs'!$C$50</x:f>
        <x:v>5000</x:v>
      </x:c>
      <x:c r="AI2284" s="81" t="n">
        <x:f>IF(AH2284&gt;0,(AE2284+AF2284)/AH2284*365,0)</x:f>
        <x:v>0.6353010883191099</x:v>
      </x:c>
      <x:c r="AJ2284" s="81" t="n">
        <x:f>IF('Inputs'!$B$50&gt;0,AG2284/('Inputs'!$B$19*'Inputs'!$B$50)*365,0)</x:f>
        <x:v>0.3909960862194105</x:v>
      </x:c>
      <x:c r="AK2284" s="81" t="n">
        <x:f>W2284/MAX($W$2194:W2284)-1</x:f>
        <x:v>-0.9813782987899721</x:v>
      </x:c>
      <x:c r="AL2284" s="83" t="n">
        <x:f>'Inputs'!$B$50</x:f>
        <x:v>1</x:v>
      </x:c>
      <x:c r="AM2284" s="83" t="n">
        <x:f>'Inputs'!$C$50</x:f>
        <x:v>1</x:v>
      </x:c>
      <x:c r="AN2284" s="83" t="n">
        <x:f>'Inputs'!$D$50</x:f>
        <x:v>1</x:v>
      </x:c>
      <x:c r="AO2284" s="81" t="n">
        <x:f>'Inputs'!$E$50</x:f>
        <x:v>0</x:v>
      </x:c>
    </x:row>
    <x:row r="2285">
      <x:c r="A2285" s="59" t="str">
        <x:v>Whale exit</x:v>
      </x:c>
      <x:c r="B2285" s="59" t="n">
        <x:v>92</x:v>
      </x:c>
      <x:c r="C2285" s="78" t="n">
        <x:f>(('Inputs'!$B$29*(3*92*'Inputs'!$B$12-92^2)/(2*'Inputs'!$B$12^2))-('Inputs'!$B$29*(3*91*'Inputs'!$B$12-91^2)/(2*'Inputs'!$B$12^2)))*'Inputs'!$B$50</x:f>
        <x:v>682238.9285044074</x:v>
      </x:c>
      <x:c r="D2285" s="78" t="n">
        <x:f>IF('Inputs'!$C$50&gt;0,('Inputs'!$B$30*(3*92*'Inputs'!$B$12-92^2)/(2*'Inputs'!$B$12^2))-('Inputs'!$B$30*(3*91*'Inputs'!$B$12-91^2)/(2*'Inputs'!$B$12^2)),0)</x:f>
        <x:v>292388.1122161746</x:v>
      </x:c>
      <x:c r="E2285" s="78" t="n">
        <x:f>C2285+D2285</x:f>
        <x:v>974627.040720582</x:v>
      </x:c>
      <x:c r="F2285" s="78" t="n">
        <x:f>'Inputs'!$B$13*E2285+(1-'Inputs'!$B$13)/'Inputs'!$B$14*SUM(E2230:E2285)</x:f>
        <x:v>984844.7175830356</x:v>
      </x:c>
      <x:c r="G2285" s="78" t="n">
        <x:f>F2285*'Inputs'!$F$50</x:f>
        <x:v>492422.3587915178</x:v>
      </x:c>
      <x:c r="H2285" s="78" t="n">
        <x:f>U2284</x:f>
        <x:v>42920737.07120885</x:v>
      </x:c>
      <x:c r="I2285" s="78" t="n">
        <x:f>V2284</x:f>
        <x:v>673.6019181435751</x:v>
      </x:c>
      <x:c r="J2285" s="79" t="n">
        <x:f>IF(H2285&gt;0,I2285/H2285,0)</x:f>
        <x:v>0.000015694090178973788</x:v>
      </x:c>
      <x:c r="K2285" s="80" t="n">
        <x:f>(H2285*J2285+I2285)*'Inputs'!$D$50*(1+'Inputs'!$G$50)^(B2285/30)</x:f>
        <x:v>1347.20383628715</x:v>
      </x:c>
      <x:c r="L2285" s="80" t="n">
        <x:f>MAX(0,K2285*'Inputs'!$E$50)</x:f>
        <x:v>0</x:v>
      </x:c>
      <x:c r="M2285" s="80" t="n">
        <x:f>MAX(0,-K2285*'Inputs'!$E$50)</x:f>
        <x:v>0</x:v>
      </x:c>
      <x:c r="N2285" s="78" t="n">
        <x:f>H2285*(L2285*(1-'Inputs'!$B$15))/(I2285+L2285*(1-'Inputs'!$B$15))</x:f>
        <x:v>0</x:v>
      </x:c>
      <x:c r="O2285" s="78" t="n">
        <x:f>H2285-N2285</x:f>
        <x:v>42920737.07120885</x:v>
      </x:c>
      <x:c r="P2285" s="78" t="n">
        <x:f>I2285+L2285*(1-'Inputs'!$B$17)</x:f>
        <x:v>673.6019181435751</x:v>
      </x:c>
      <x:c r="Q2285" s="78" t="n">
        <x:f>IF(J2285&gt;0,M2285/J2285,0)</x:f>
        <x:v>0</x:v>
      </x:c>
      <x:c r="R2285" s="78" t="n">
        <x:f>IF(B2285='Inputs'!$H$50,'Inputs'!$B$27*'Inputs'!$I$50,0)</x:f>
        <x:v>0</x:v>
      </x:c>
      <x:c r="S2285" s="78" t="n">
        <x:f>Q2285+G2285+R2285</x:f>
        <x:v>492422.3587915178</x:v>
      </x:c>
      <x:c r="T2285" s="78" t="n">
        <x:f>P2285*(S2285*(1-'Inputs'!$B$15))/(O2285+S2285*(1-'Inputs'!$B$15))</x:f>
        <x:v>7.564916597117335</x:v>
      </x:c>
      <x:c r="U2285" s="78" t="n">
        <x:f>O2285+S2285*(1-'Inputs'!$B$17)</x:f>
        <x:v>43411177.85109175</x:v>
      </x:c>
      <x:c r="V2285" s="78" t="n">
        <x:f>P2285-T2285</x:f>
        <x:v>666.0370015464578</x:v>
      </x:c>
      <x:c r="W2285" s="79" t="n">
        <x:f>IF(U2285&gt;0,V2285/U2285,0)</x:f>
        <x:v>0.000015342523159152375</x:v>
      </x:c>
      <x:c r="X2285" s="80" t="n">
        <x:f>W2285*('Inputs'!$B$6-AC2285)</x:f>
        <x:v>15217.111685328133</x:v>
      </x:c>
      <x:c r="Y2285" s="80" t="n">
        <x:f>2*V2285</x:f>
        <x:v>1332.0740030929155</x:v>
      </x:c>
      <x:c r="Z2285" s="80" t="n">
        <x:f>K2285*'Inputs'!$B$16+(G2285+R2285)*J2285*'Inputs'!$B$16</x:f>
        <x:v>8.129591743153002</x:v>
      </x:c>
      <x:c r="AA2285" s="80" t="n">
        <x:f>K2285*(1+'Inputs'!$E$50)/2*'Inputs'!$B$17</x:f>
        <x:v>2.7106717027910463</x:v>
      </x:c>
      <x:c r="AB2285" s="78" t="n">
        <x:f>(IF(J2285&gt;0,K2285*(1-'Inputs'!$E$50)/2/J2285,0)+G2285+R2285)*'Inputs'!$B$17</x:f>
        <x:v>174700.84277666145</x:v>
      </x:c>
      <x:c r="AC2285" s="78" t="n">
        <x:f>AC2284+AB2285</x:f>
        <x:v>8174110.1201748215</x:v>
      </x:c>
      <x:c r="AD2285" s="80" t="n">
        <x:f>Z2285/(1+'Inputs'!$C$50)</x:f>
        <x:v>4.064795871576501</x:v>
      </x:c>
      <x:c r="AE2285" s="80" t="n">
        <x:f>Z2285-AD2285</x:f>
        <x:v>4.064795871576501</x:v>
      </x:c>
      <x:c r="AF2285" s="80" t="n">
        <x:f>D2285*W2285</x:f>
        <x:v>4.485971383137502</x:v>
      </x:c>
      <x:c r="AG2285" s="80" t="n">
        <x:f>C2285*W2285</x:f>
        <x:v>10.467266560654172</x:v>
      </x:c>
      <x:c r="AH2285" s="80" t="n">
        <x:f>2*'Inputs'!$B$8*'Inputs'!$C$50</x:f>
        <x:v>5000</x:v>
      </x:c>
      <x:c r="AI2285" s="81" t="n">
        <x:f>IF(AH2285&gt;0,(AE2285+AF2285)/AH2285*365,0)</x:f>
        <x:v>0.6242060095941223</x:v>
      </x:c>
      <x:c r="AJ2285" s="81" t="n">
        <x:f>IF('Inputs'!$B$50&gt;0,AG2285/('Inputs'!$B$19*'Inputs'!$B$50)*365,0)</x:f>
        <x:v>0.3820552294638773</x:v>
      </x:c>
      <x:c r="AK2285" s="81" t="n">
        <x:f>W2285/MAX($W$2194:W2285)-1</x:f>
        <x:v>-0.9817954479157739</x:v>
      </x:c>
      <x:c r="AL2285" s="83" t="n">
        <x:f>'Inputs'!$B$50</x:f>
        <x:v>1</x:v>
      </x:c>
      <x:c r="AM2285" s="83" t="n">
        <x:f>'Inputs'!$C$50</x:f>
        <x:v>1</x:v>
      </x:c>
      <x:c r="AN2285" s="83" t="n">
        <x:f>'Inputs'!$D$50</x:f>
        <x:v>1</x:v>
      </x:c>
      <x:c r="AO2285" s="81" t="n">
        <x:f>'Inputs'!$E$50</x:f>
        <x:v>0</x:v>
      </x:c>
    </x:row>
    <x:row r="2286">
      <x:c r="A2286" s="59" t="str">
        <x:v>Whale exit</x:v>
      </x:c>
      <x:c r="B2286" s="59" t="n">
        <x:v>93</x:v>
      </x:c>
      <x:c r="C2286" s="78" t="n">
        <x:f>(('Inputs'!$B$29*(3*93*'Inputs'!$B$12-93^2)/(2*'Inputs'!$B$12^2))-('Inputs'!$B$29*(3*92*'Inputs'!$B$12-92^2)/(2*'Inputs'!$B$12^2)))*'Inputs'!$B$50</x:f>
        <x:v>681913.8206042424</x:v>
      </x:c>
      <x:c r="D2286" s="78" t="n">
        <x:f>IF('Inputs'!$C$50&gt;0,('Inputs'!$B$30*(3*93*'Inputs'!$B$12-93^2)/(2*'Inputs'!$B$12^2))-('Inputs'!$B$30*(3*92*'Inputs'!$B$12-92^2)/(2*'Inputs'!$B$12^2)),0)</x:f>
        <x:v>292248.780258961</x:v>
      </x:c>
      <x:c r="E2286" s="78" t="n">
        <x:f>C2286+D2286</x:f>
        <x:v>974162.6008632034</x:v>
      </x:c>
      <x:c r="F2286" s="78" t="n">
        <x:f>'Inputs'!$B$13*E2286+(1-'Inputs'!$B$13)/'Inputs'!$B$14*SUM(E2231:E2286)</x:f>
        <x:v>984380.2777256526</x:v>
      </x:c>
      <x:c r="G2286" s="78" t="n">
        <x:f>F2286*'Inputs'!$F$50</x:f>
        <x:v>492190.1388628263</x:v>
      </x:c>
      <x:c r="H2286" s="78" t="n">
        <x:f>U2285</x:f>
        <x:v>43411177.85109175</x:v>
      </x:c>
      <x:c r="I2286" s="78" t="n">
        <x:f>V2285</x:f>
        <x:v>666.0370015464578</x:v>
      </x:c>
      <x:c r="J2286" s="79" t="n">
        <x:f>IF(H2286&gt;0,I2286/H2286,0)</x:f>
        <x:v>0.000015342523159152375</x:v>
      </x:c>
      <x:c r="K2286" s="80" t="n">
        <x:f>(H2286*J2286+I2286)*'Inputs'!$D$50*(1+'Inputs'!$G$50)^(B2286/30)</x:f>
        <x:v>1332.0740030929155</x:v>
      </x:c>
      <x:c r="L2286" s="80" t="n">
        <x:f>MAX(0,K2286*'Inputs'!$E$50)</x:f>
        <x:v>0</x:v>
      </x:c>
      <x:c r="M2286" s="80" t="n">
        <x:f>MAX(0,-K2286*'Inputs'!$E$50)</x:f>
        <x:v>0</x:v>
      </x:c>
      <x:c r="N2286" s="78" t="n">
        <x:f>H2286*(L2286*(1-'Inputs'!$B$15))/(I2286+L2286*(1-'Inputs'!$B$15))</x:f>
        <x:v>0</x:v>
      </x:c>
      <x:c r="O2286" s="78" t="n">
        <x:f>H2286-N2286</x:f>
        <x:v>43411177.85109175</x:v>
      </x:c>
      <x:c r="P2286" s="78" t="n">
        <x:f>I2286+L2286*(1-'Inputs'!$B$17)</x:f>
        <x:v>666.0370015464578</x:v>
      </x:c>
      <x:c r="Q2286" s="78" t="n">
        <x:f>IF(J2286&gt;0,M2286/J2286,0)</x:f>
        <x:v>0</x:v>
      </x:c>
      <x:c r="R2286" s="78" t="n">
        <x:f>IF(B2286='Inputs'!$H$50,'Inputs'!$B$27*'Inputs'!$I$50,0)</x:f>
        <x:v>0</x:v>
      </x:c>
      <x:c r="S2286" s="78" t="n">
        <x:f>Q2286+G2286+R2286</x:f>
        <x:v>492190.1388628263</x:v>
      </x:c>
      <x:c r="T2286" s="78" t="n">
        <x:f>P2286*(S2286*(1-'Inputs'!$B$15))/(O2286+S2286*(1-'Inputs'!$B$15))</x:f>
        <x:v>7.3929422281002655</x:v>
      </x:c>
      <x:c r="U2286" s="78" t="n">
        <x:f>O2286+S2286*(1-'Inputs'!$B$17)</x:f>
        <x:v>43901387.345532596</x:v>
      </x:c>
      <x:c r="V2286" s="78" t="n">
        <x:f>P2286-T2286</x:f>
        <x:v>658.6440593183574</x:v>
      </x:c>
      <x:c r="W2286" s="79" t="n">
        <x:f>IF(U2286&gt;0,V2286/U2286,0)</x:f>
        <x:v>0.000015002807408667941</x:v>
      </x:c>
      <x:c r="X2286" s="80" t="n">
        <x:f>W2286*('Inputs'!$B$6-AC2286)</x:f>
        <x:v>14877.52221010739</x:v>
      </x:c>
      <x:c r="Y2286" s="80" t="n">
        <x:f>2*V2286</x:f>
        <x:v>1317.288118636715</x:v>
      </x:c>
      <x:c r="Z2286" s="80" t="n">
        <x:f>K2286*'Inputs'!$B$16+(G2286+R2286)*J2286*'Inputs'!$B$16</x:f>
        <x:v>8.03775265018275</x:v>
      </x:c>
      <x:c r="AA2286" s="80" t="n">
        <x:f>K2286*(1+'Inputs'!$E$50)/2*'Inputs'!$B$17</x:f>
        <x:v>2.6802293824807157</x:v>
      </x:c>
      <x:c r="AB2286" s="78" t="n">
        <x:f>(IF(J2286&gt;0,K2286*(1-'Inputs'!$E$50)/2/J2286,0)+G2286+R2286)*'Inputs'!$B$17</x:f>
        <x:v>176673.5130380466</x:v>
      </x:c>
      <x:c r="AC2286" s="78" t="n">
        <x:f>AC2285+AB2286</x:f>
        <x:v>8350783.633212868</x:v>
      </x:c>
      <x:c r="AD2286" s="80" t="n">
        <x:f>Z2286/(1+'Inputs'!$C$50)</x:f>
        <x:v>4.018876325091375</x:v>
      </x:c>
      <x:c r="AE2286" s="80" t="n">
        <x:f>Z2286-AD2286</x:f>
        <x:v>4.018876325091375</x:v>
      </x:c>
      <x:c r="AF2286" s="80" t="n">
        <x:f>D2286*W2286</x:f>
        <x:v>4.384552165643309</x:v>
      </x:c>
      <x:c r="AG2286" s="80" t="n">
        <x:f>C2286*W2286</x:f>
        <x:v>10.230621719834389</x:v>
      </x:c>
      <x:c r="AH2286" s="80" t="n">
        <x:f>2*'Inputs'!$B$8*'Inputs'!$C$50</x:f>
        <x:v>5000</x:v>
      </x:c>
      <x:c r="AI2286" s="81" t="n">
        <x:f>IF(AH2286&gt;0,(AE2286+AF2286)/AH2286*365,0)</x:f>
        <x:v>0.6134502798236319</x:v>
      </x:c>
      <x:c r="AJ2286" s="81" t="n">
        <x:f>IF('Inputs'!$B$50&gt;0,AG2286/('Inputs'!$B$19*'Inputs'!$B$50)*365,0)</x:f>
        <x:v>0.3734176927739552</x:v>
      </x:c>
      <x:c r="AK2286" s="81" t="n">
        <x:f>W2286/MAX($W$2194:W2286)-1</x:f>
        <x:v>-0.9821985350096876</x:v>
      </x:c>
      <x:c r="AL2286" s="83" t="n">
        <x:f>'Inputs'!$B$50</x:f>
        <x:v>1</x:v>
      </x:c>
      <x:c r="AM2286" s="83" t="n">
        <x:f>'Inputs'!$C$50</x:f>
        <x:v>1</x:v>
      </x:c>
      <x:c r="AN2286" s="83" t="n">
        <x:f>'Inputs'!$D$50</x:f>
        <x:v>1</x:v>
      </x:c>
      <x:c r="AO2286" s="81" t="n">
        <x:f>'Inputs'!$E$50</x:f>
        <x:v>0</x:v>
      </x:c>
    </x:row>
    <x:row r="2287">
      <x:c r="A2287" s="59" t="str">
        <x:v>Whale exit</x:v>
      </x:c>
      <x:c r="B2287" s="59" t="n">
        <x:v>94</x:v>
      </x:c>
      <x:c r="C2287" s="78" t="n">
        <x:f>(('Inputs'!$B$29*(3*94*'Inputs'!$B$12-94^2)/(2*'Inputs'!$B$12^2))-('Inputs'!$B$29*(3*93*'Inputs'!$B$12-93^2)/(2*'Inputs'!$B$12^2)))*'Inputs'!$B$50</x:f>
        <x:v>681588.7127040699</x:v>
      </x:c>
      <x:c r="D2287" s="78" t="n">
        <x:f>IF('Inputs'!$C$50&gt;0,('Inputs'!$B$30*(3*94*'Inputs'!$B$12-94^2)/(2*'Inputs'!$B$12^2))-('Inputs'!$B$30*(3*93*'Inputs'!$B$12-93^2)/(2*'Inputs'!$B$12^2)),0)</x:f>
        <x:v>292109.44830174744</x:v>
      </x:c>
      <x:c r="E2287" s="78" t="n">
        <x:f>C2287+D2287</x:f>
        <x:v>973698.1610058174</x:v>
      </x:c>
      <x:c r="F2287" s="78" t="n">
        <x:f>'Inputs'!$B$13*E2287+(1-'Inputs'!$B$13)/'Inputs'!$B$14*SUM(E2232:E2287)</x:f>
        <x:v>983915.8378682681</x:v>
      </x:c>
      <x:c r="G2287" s="78" t="n">
        <x:f>F2287*'Inputs'!$F$50</x:f>
        <x:v>491957.91893413407</x:v>
      </x:c>
      <x:c r="H2287" s="78" t="n">
        <x:f>U2286</x:f>
        <x:v>43901387.345532596</x:v>
      </x:c>
      <x:c r="I2287" s="78" t="n">
        <x:f>V2286</x:f>
        <x:v>658.6440593183574</x:v>
      </x:c>
      <x:c r="J2287" s="79" t="n">
        <x:f>IF(H2287&gt;0,I2287/H2287,0)</x:f>
        <x:v>0.000015002807408667941</x:v>
      </x:c>
      <x:c r="K2287" s="80" t="n">
        <x:f>(H2287*J2287+I2287)*'Inputs'!$D$50*(1+'Inputs'!$G$50)^(B2287/30)</x:f>
        <x:v>1317.288118636715</x:v>
      </x:c>
      <x:c r="L2287" s="80" t="n">
        <x:f>MAX(0,K2287*'Inputs'!$E$50)</x:f>
        <x:v>0</x:v>
      </x:c>
      <x:c r="M2287" s="80" t="n">
        <x:f>MAX(0,-K2287*'Inputs'!$E$50)</x:f>
        <x:v>0</x:v>
      </x:c>
      <x:c r="N2287" s="78" t="n">
        <x:f>H2287*(L2287*(1-'Inputs'!$B$15))/(I2287+L2287*(1-'Inputs'!$B$15))</x:f>
        <x:v>0</x:v>
      </x:c>
      <x:c r="O2287" s="78" t="n">
        <x:f>H2287-N2287</x:f>
        <x:v>43901387.345532596</x:v>
      </x:c>
      <x:c r="P2287" s="78" t="n">
        <x:f>I2287+L2287*(1-'Inputs'!$B$17)</x:f>
        <x:v>658.6440593183574</x:v>
      </x:c>
      <x:c r="Q2287" s="78" t="n">
        <x:f>IF(J2287&gt;0,M2287/J2287,0)</x:f>
        <x:v>0</x:v>
      </x:c>
      <x:c r="R2287" s="78" t="n">
        <x:f>IF(B2287='Inputs'!$H$50,'Inputs'!$B$27*'Inputs'!$I$50,0)</x:f>
        <x:v>0</x:v>
      </x:c>
      <x:c r="S2287" s="78" t="n">
        <x:f>Q2287+G2287+R2287</x:f>
        <x:v>491957.91893413407</x:v>
      </x:c>
      <x:c r="T2287" s="78" t="n">
        <x:f>P2287*(S2287*(1-'Inputs'!$B$15))/(O2287+S2287*(1-'Inputs'!$B$15))</x:f>
        <x:v>7.226769235016608</x:v>
      </x:c>
      <x:c r="U2287" s="78" t="n">
        <x:f>O2287+S2287*(1-'Inputs'!$B$17)</x:f>
        <x:v>44391365.55453138</x:v>
      </x:c>
      <x:c r="V2287" s="78" t="n">
        <x:f>P2287-T2287</x:f>
        <x:v>651.4172900833408</x:v>
      </x:c>
      <x:c r="W2287" s="79" t="n">
        <x:f>IF(U2287&gt;0,V2287/U2287,0)</x:f>
        <x:v>0.000014674414313367423</x:v>
      </x:c>
      <x:c r="X2287" s="80" t="n">
        <x:f>W2287*('Inputs'!$B$6-AC2287)</x:f>
        <x:v>14549.249940040992</x:v>
      </x:c>
      <x:c r="Y2287" s="80" t="n">
        <x:f>2*V2287</x:f>
        <x:v>1302.8345801666817</x:v>
      </x:c>
      <x:c r="Z2287" s="80" t="n">
        <x:f>K2287*'Inputs'!$B$16+(G2287+R2287)*J2287*'Inputs'!$B$16</x:f>
        <x:v>7.948013211285917</x:v>
      </x:c>
      <x:c r="AA2287" s="80" t="n">
        <x:f>K2287*(1+'Inputs'!$E$50)/2*'Inputs'!$B$17</x:f>
        <x:v>2.6504791119451006</x:v>
      </x:c>
      <x:c r="AB2287" s="78" t="n">
        <x:f>(IF(J2287&gt;0,K2287*(1-'Inputs'!$E$50)/2/J2287,0)+G2287+R2287)*'Inputs'!$B$17</x:f>
        <x:v>178645.2525733068</x:v>
      </x:c>
      <x:c r="AC2287" s="78" t="n">
        <x:f>AC2286+AB2287</x:f>
        <x:v>8529428.885786176</x:v>
      </x:c>
      <x:c r="AD2287" s="80" t="n">
        <x:f>Z2287/(1+'Inputs'!$C$50)</x:f>
        <x:v>3.9740066056429586</x:v>
      </x:c>
      <x:c r="AE2287" s="80" t="n">
        <x:f>Z2287-AD2287</x:f>
        <x:v>3.9740066056429586</x:v>
      </x:c>
      <x:c r="AF2287" s="80" t="n">
        <x:f>D2287*W2287</x:f>
        <x:v>4.286535069229024</x:v>
      </x:c>
      <x:c r="AG2287" s="80" t="n">
        <x:f>C2287*W2287</x:f>
        <x:v>10.00191516153428</x:v>
      </x:c>
      <x:c r="AH2287" s="80" t="n">
        <x:f>2*'Inputs'!$B$8*'Inputs'!$C$50</x:f>
        <x:v>5000</x:v>
      </x:c>
      <x:c r="AI2287" s="81" t="n">
        <x:f>IF(AH2287&gt;0,(AE2287+AF2287)/AH2287*365,0)</x:f>
        <x:v>0.6030195422656547</x:v>
      </x:c>
      <x:c r="AJ2287" s="81" t="n">
        <x:f>IF('Inputs'!$B$50&gt;0,AG2287/('Inputs'!$B$19*'Inputs'!$B$50)*365,0)</x:f>
        <x:v>0.36506990339600126</x:v>
      </x:c>
      <x:c r="AK2287" s="81" t="n">
        <x:f>W2287/MAX($W$2194:W2287)-1</x:f>
        <x:v>-0.9825881872947442</x:v>
      </x:c>
      <x:c r="AL2287" s="83" t="n">
        <x:f>'Inputs'!$B$50</x:f>
        <x:v>1</x:v>
      </x:c>
      <x:c r="AM2287" s="83" t="n">
        <x:f>'Inputs'!$C$50</x:f>
        <x:v>1</x:v>
      </x:c>
      <x:c r="AN2287" s="83" t="n">
        <x:f>'Inputs'!$D$50</x:f>
        <x:v>1</x:v>
      </x:c>
      <x:c r="AO2287" s="81" t="n">
        <x:f>'Inputs'!$E$50</x:f>
        <x:v>0</x:v>
      </x:c>
    </x:row>
    <x:row r="2288">
      <x:c r="A2288" s="59" t="str">
        <x:v>Whale exit</x:v>
      </x:c>
      <x:c r="B2288" s="59" t="n">
        <x:v>95</x:v>
      </x:c>
      <x:c r="C2288" s="78" t="n">
        <x:f>(('Inputs'!$B$29*(3*95*'Inputs'!$B$12-95^2)/(2*'Inputs'!$B$12^2))-('Inputs'!$B$29*(3*94*'Inputs'!$B$12-94^2)/(2*'Inputs'!$B$12^2)))*'Inputs'!$B$50</x:f>
        <x:v>681263.6048039049</x:v>
      </x:c>
      <x:c r="D2288" s="78" t="n">
        <x:f>IF('Inputs'!$C$50&gt;0,('Inputs'!$B$30*(3*95*'Inputs'!$B$12-95^2)/(2*'Inputs'!$B$12^2))-('Inputs'!$B$30*(3*94*'Inputs'!$B$12-94^2)/(2*'Inputs'!$B$12^2)),0)</x:f>
        <x:v>291970.11634453014</x:v>
      </x:c>
      <x:c r="E2288" s="78" t="n">
        <x:f>C2288+D2288</x:f>
        <x:v>973233.721148435</x:v>
      </x:c>
      <x:c r="F2288" s="78" t="n">
        <x:f>'Inputs'!$B$13*E2288+(1-'Inputs'!$B$13)/'Inputs'!$B$14*SUM(E2233:E2288)</x:f>
        <x:v>983451.3980108844</x:v>
      </x:c>
      <x:c r="G2288" s="78" t="n">
        <x:f>F2288*'Inputs'!$F$50</x:f>
        <x:v>491725.6990054422</x:v>
      </x:c>
      <x:c r="H2288" s="78" t="n">
        <x:f>U2287</x:f>
        <x:v>44391365.55453138</x:v>
      </x:c>
      <x:c r="I2288" s="78" t="n">
        <x:f>V2287</x:f>
        <x:v>651.4172900833408</x:v>
      </x:c>
      <x:c r="J2288" s="79" t="n">
        <x:f>IF(H2288&gt;0,I2288/H2288,0)</x:f>
        <x:v>0.000014674414313367423</x:v>
      </x:c>
      <x:c r="K2288" s="80" t="n">
        <x:f>(H2288*J2288+I2288)*'Inputs'!$D$50*(1+'Inputs'!$G$50)^(B2288/30)</x:f>
        <x:v>1302.8345801666817</x:v>
      </x:c>
      <x:c r="L2288" s="80" t="n">
        <x:f>MAX(0,K2288*'Inputs'!$E$50)</x:f>
        <x:v>0</x:v>
      </x:c>
      <x:c r="M2288" s="80" t="n">
        <x:f>MAX(0,-K2288*'Inputs'!$E$50)</x:f>
        <x:v>0</x:v>
      </x:c>
      <x:c r="N2288" s="78" t="n">
        <x:f>H2288*(L2288*(1-'Inputs'!$B$15))/(I2288+L2288*(1-'Inputs'!$B$15))</x:f>
        <x:v>0</x:v>
      </x:c>
      <x:c r="O2288" s="78" t="n">
        <x:f>H2288-N2288</x:f>
        <x:v>44391365.55453138</x:v>
      </x:c>
      <x:c r="P2288" s="78" t="n">
        <x:f>I2288+L2288*(1-'Inputs'!$B$17)</x:f>
        <x:v>651.4172900833408</x:v>
      </x:c>
      <x:c r="Q2288" s="78" t="n">
        <x:f>IF(J2288&gt;0,M2288/J2288,0)</x:f>
        <x:v>0</x:v>
      </x:c>
      <x:c r="R2288" s="78" t="n">
        <x:f>IF(B2288='Inputs'!$H$50,'Inputs'!$B$27*'Inputs'!$I$50,0)</x:f>
        <x:v>0</x:v>
      </x:c>
      <x:c r="S2288" s="78" t="n">
        <x:f>Q2288+G2288+R2288</x:f>
        <x:v>491725.6990054422</x:v>
      </x:c>
      <x:c r="T2288" s="78" t="n">
        <x:f>P2288*(S2288*(1-'Inputs'!$B$15))/(O2288+S2288*(1-'Inputs'!$B$15))</x:f>
        <x:v>7.066139458164186</x:v>
      </x:c>
      <x:c r="U2288" s="78" t="n">
        <x:f>O2288+S2288*(1-'Inputs'!$B$17)</x:f>
        <x:v>44881112.47808811</x:v>
      </x:c>
      <x:c r="V2288" s="78" t="n">
        <x:f>P2288-T2288</x:f>
        <x:v>644.3511506251766</x:v>
      </x:c>
      <x:c r="W2288" s="79" t="n">
        <x:f>IF(U2288&gt;0,V2288/U2288,0)</x:f>
        <x:v>0.000014356844450764498</x:v>
      </x:c>
      <x:c r="X2288" s="80" t="n">
        <x:f>W2288*('Inputs'!$B$6-AC2288)</x:f>
        <x:v>14231.795690298832</x:v>
      </x:c>
      <x:c r="Y2288" s="80" t="n">
        <x:f>2*V2288</x:f>
        <x:v>1288.7023012503532</x:v>
      </x:c>
      <x:c r="Z2288" s="80" t="n">
        <x:f>K2288*'Inputs'!$B$16+(G2288+R2288)*J2288*'Inputs'!$B$16</x:f>
        <x:v>7.860302200814507</x:v>
      </x:c>
      <x:c r="AA2288" s="80" t="n">
        <x:f>K2288*(1+'Inputs'!$E$50)/2*'Inputs'!$B$17</x:f>
        <x:v>2.6213975456070058</x:v>
      </x:c>
      <x:c r="AB2288" s="78" t="n">
        <x:f>(IF(J2288&gt;0,K2288*(1-'Inputs'!$E$50)/2/J2288,0)+G2288+R2288)*'Inputs'!$B$17</x:f>
        <x:v>180616.06138244196</x:v>
      </x:c>
      <x:c r="AC2288" s="78" t="n">
        <x:f>AC2287+AB2288</x:f>
        <x:v>8710044.947168618</x:v>
      </x:c>
      <x:c r="AD2288" s="80" t="n">
        <x:f>Z2288/(1+'Inputs'!$C$50)</x:f>
        <x:v>3.9301511004072536</x:v>
      </x:c>
      <x:c r="AE2288" s="80" t="n">
        <x:f>Z2288-AD2288</x:f>
        <x:v>3.9301511004072536</x:v>
      </x:c>
      <x:c r="AF2288" s="80" t="n">
        <x:f>D2288*W2288</x:f>
        <x:v>4.1917695446300325</x:v>
      </x:c>
      <x:c r="AG2288" s="80" t="n">
        <x:f>C2288*W2288</x:f>
        <x:v>9.78079560413676</x:v>
      </x:c>
      <x:c r="AH2288" s="80" t="n">
        <x:f>2*'Inputs'!$B$8*'Inputs'!$C$50</x:f>
        <x:v>5000</x:v>
      </x:c>
      <x:c r="AI2288" s="81" t="n">
        <x:f>IF(AH2288&gt;0,(AE2288+AF2288)/AH2288*365,0)</x:f>
        <x:v>0.5929002070877218</x:v>
      </x:c>
      <x:c r="AJ2288" s="81" t="n">
        <x:f>IF('Inputs'!$B$50&gt;0,AG2288/('Inputs'!$B$19*'Inputs'!$B$50)*365,0)</x:f>
        <x:v>0.3569990395509917</x:v>
      </x:c>
      <x:c r="AK2288" s="81" t="n">
        <x:f>W2288/MAX($W$2194:W2288)-1</x:f>
        <x:v>-0.9829649973568289</x:v>
      </x:c>
      <x:c r="AL2288" s="83" t="n">
        <x:f>'Inputs'!$B$50</x:f>
        <x:v>1</x:v>
      </x:c>
      <x:c r="AM2288" s="83" t="n">
        <x:f>'Inputs'!$C$50</x:f>
        <x:v>1</x:v>
      </x:c>
      <x:c r="AN2288" s="83" t="n">
        <x:f>'Inputs'!$D$50</x:f>
        <x:v>1</x:v>
      </x:c>
      <x:c r="AO2288" s="81" t="n">
        <x:f>'Inputs'!$E$50</x:f>
        <x:v>0</x:v>
      </x:c>
    </x:row>
    <x:row r="2289">
      <x:c r="A2289" s="59" t="str">
        <x:v>Whale exit</x:v>
      </x:c>
      <x:c r="B2289" s="59" t="n">
        <x:v>96</x:v>
      </x:c>
      <x:c r="C2289" s="78" t="n">
        <x:f>(('Inputs'!$B$29*(3*96*'Inputs'!$B$12-96^2)/(2*'Inputs'!$B$12^2))-('Inputs'!$B$29*(3*95*'Inputs'!$B$12-95^2)/(2*'Inputs'!$B$12^2)))*'Inputs'!$B$50</x:f>
        <x:v>680938.4969037324</x:v>
      </x:c>
      <x:c r="D2289" s="78" t="n">
        <x:f>IF('Inputs'!$C$50&gt;0,('Inputs'!$B$30*(3*96*'Inputs'!$B$12-96^2)/(2*'Inputs'!$B$12^2))-('Inputs'!$B$30*(3*95*'Inputs'!$B$12-95^2)/(2*'Inputs'!$B$12^2)),0)</x:f>
        <x:v>291830.78438731283</x:v>
      </x:c>
      <x:c r="E2289" s="78" t="n">
        <x:f>C2289+D2289</x:f>
        <x:v>972769.2812910452</x:v>
      </x:c>
      <x:c r="F2289" s="78" t="n">
        <x:f>'Inputs'!$B$13*E2289+(1-'Inputs'!$B$13)/'Inputs'!$B$14*SUM(E2234:E2289)</x:f>
        <x:v>982986.9581534993</x:v>
      </x:c>
      <x:c r="G2289" s="78" t="n">
        <x:f>F2289*'Inputs'!$F$50</x:f>
        <x:v>491493.47907674965</x:v>
      </x:c>
      <x:c r="H2289" s="78" t="n">
        <x:f>U2288</x:f>
        <x:v>44881112.47808811</x:v>
      </x:c>
      <x:c r="I2289" s="78" t="n">
        <x:f>V2288</x:f>
        <x:v>644.3511506251766</x:v>
      </x:c>
      <x:c r="J2289" s="79" t="n">
        <x:f>IF(H2289&gt;0,I2289/H2289,0)</x:f>
        <x:v>0.000014356844450764498</x:v>
      </x:c>
      <x:c r="K2289" s="80" t="n">
        <x:f>(H2289*J2289+I2289)*'Inputs'!$D$50*(1+'Inputs'!$G$50)^(B2289/30)</x:f>
        <x:v>1288.7023012503532</x:v>
      </x:c>
      <x:c r="L2289" s="80" t="n">
        <x:f>MAX(0,K2289*'Inputs'!$E$50)</x:f>
        <x:v>0</x:v>
      </x:c>
      <x:c r="M2289" s="80" t="n">
        <x:f>MAX(0,-K2289*'Inputs'!$E$50)</x:f>
        <x:v>0</x:v>
      </x:c>
      <x:c r="N2289" s="78" t="n">
        <x:f>H2289*(L2289*(1-'Inputs'!$B$15))/(I2289+L2289*(1-'Inputs'!$B$15))</x:f>
        <x:v>0</x:v>
      </x:c>
      <x:c r="O2289" s="78" t="n">
        <x:f>H2289-N2289</x:f>
        <x:v>44881112.47808811</x:v>
      </x:c>
      <x:c r="P2289" s="78" t="n">
        <x:f>I2289+L2289*(1-'Inputs'!$B$17)</x:f>
        <x:v>644.3511506251766</x:v>
      </x:c>
      <x:c r="Q2289" s="78" t="n">
        <x:f>IF(J2289&gt;0,M2289/J2289,0)</x:f>
        <x:v>0</x:v>
      </x:c>
      <x:c r="R2289" s="78" t="n">
        <x:f>IF(B2289='Inputs'!$H$50,'Inputs'!$B$27*'Inputs'!$I$50,0)</x:f>
        <x:v>0</x:v>
      </x:c>
      <x:c r="S2289" s="78" t="n">
        <x:f>Q2289+G2289+R2289</x:f>
        <x:v>491493.47907674965</x:v>
      </x:c>
      <x:c r="T2289" s="78" t="n">
        <x:f>P2289*(S2289*(1-'Inputs'!$B$15))/(O2289+S2289*(1-'Inputs'!$B$15))</x:f>
        <x:v>6.9108089438709355</x:v>
      </x:c>
      <x:c r="U2289" s="78" t="n">
        <x:f>O2289+S2289*(1-'Inputs'!$B$17)</x:f>
        <x:v>45370628.11620278</x:v>
      </x:c>
      <x:c r="V2289" s="78" t="n">
        <x:f>P2289-T2289</x:f>
        <x:v>637.4403416813057</x:v>
      </x:c>
      <x:c r="W2289" s="79" t="n">
        <x:f>IF(U2289&gt;0,V2289/U2289,0)</x:f>
        <x:v>0.000014049625675198945</x:v>
      </x:c>
      <x:c r="X2289" s="80" t="n">
        <x:f>W2289*('Inputs'!$B$6-AC2289)</x:f>
        <x:v>13924.687539974022</x:v>
      </x:c>
      <x:c r="Y2289" s="80" t="n">
        <x:f>2*V2289</x:f>
        <x:v>1274.8806833626113</x:v>
      </x:c>
      <x:c r="Z2289" s="80" t="n">
        <x:f>K2289*'Inputs'!$B$16+(G2289+R2289)*J2289*'Inputs'!$B$16</x:f>
        <x:v>7.774551580068139</x:v>
      </x:c>
      <x:c r="AA2289" s="80" t="n">
        <x:f>K2289*(1+'Inputs'!$E$50)/2*'Inputs'!$B$17</x:f>
        <x:v>2.592962376761274</x:v>
      </x:c>
      <x:c r="AB2289" s="78" t="n">
        <x:f>(IF(J2289&gt;0,K2289*(1-'Inputs'!$E$50)/2/J2289,0)+G2289+R2289)*'Inputs'!$B$17</x:f>
        <x:v>182585.93946545216</x:v>
      </x:c>
      <x:c r="AC2289" s="78" t="n">
        <x:f>AC2288+AB2289</x:f>
        <x:v>8892630.88663407</x:v>
      </x:c>
      <x:c r="AD2289" s="80" t="n">
        <x:f>Z2289/(1+'Inputs'!$C$50)</x:f>
        <x:v>3.8872757900340695</x:v>
      </x:c>
      <x:c r="AE2289" s="80" t="n">
        <x:f>Z2289-AD2289</x:f>
        <x:v>3.8872757900340695</x:v>
      </x:c>
      <x:c r="AF2289" s="80" t="n">
        <x:f>D2289*W2289</x:f>
        <x:v>4.100113281141438</x:v>
      </x:c>
      <x:c r="AG2289" s="80" t="n">
        <x:f>C2289*W2289</x:f>
        <x:v>9.566930989330055</x:v>
      </x:c>
      <x:c r="AH2289" s="80" t="n">
        <x:f>2*'Inputs'!$B$8*'Inputs'!$C$50</x:f>
        <x:v>5000</x:v>
      </x:c>
      <x:c r="AI2289" s="81" t="n">
        <x:f>IF(AH2289&gt;0,(AE2289+AF2289)/AH2289*365,0)</x:f>
        <x:v>0.583079402195812</x:v>
      </x:c>
      <x:c r="AJ2289" s="81" t="n">
        <x:f>IF('Inputs'!$B$50&gt;0,AG2289/('Inputs'!$B$19*'Inputs'!$B$50)*365,0)</x:f>
        <x:v>0.34919298111054703</x:v>
      </x:c>
      <x:c r="AK2289" s="81" t="n">
        <x:f>W2289/MAX($W$2194:W2289)-1</x:f>
        <x:v>-0.9833295254167197</x:v>
      </x:c>
      <x:c r="AL2289" s="83" t="n">
        <x:f>'Inputs'!$B$50</x:f>
        <x:v>1</x:v>
      </x:c>
      <x:c r="AM2289" s="83" t="n">
        <x:f>'Inputs'!$C$50</x:f>
        <x:v>1</x:v>
      </x:c>
      <x:c r="AN2289" s="83" t="n">
        <x:f>'Inputs'!$D$50</x:f>
        <x:v>1</x:v>
      </x:c>
      <x:c r="AO2289" s="81" t="n">
        <x:f>'Inputs'!$E$50</x:f>
        <x:v>0</x:v>
      </x:c>
    </x:row>
    <x:row r="2290">
      <x:c r="A2290" s="59" t="str">
        <x:v>Whale exit</x:v>
      </x:c>
      <x:c r="B2290" s="59" t="n">
        <x:v>97</x:v>
      </x:c>
      <x:c r="C2290" s="78" t="n">
        <x:f>(('Inputs'!$B$29*(3*97*'Inputs'!$B$12-97^2)/(2*'Inputs'!$B$12^2))-('Inputs'!$B$29*(3*96*'Inputs'!$B$12-96^2)/(2*'Inputs'!$B$12^2)))*'Inputs'!$B$50</x:f>
        <x:v>680613.38900356</x:v>
      </x:c>
      <x:c r="D2290" s="78" t="n">
        <x:f>IF('Inputs'!$C$50&gt;0,('Inputs'!$B$30*(3*97*'Inputs'!$B$12-97^2)/(2*'Inputs'!$B$12^2))-('Inputs'!$B$30*(3*96*'Inputs'!$B$12-96^2)/(2*'Inputs'!$B$12^2)),0)</x:f>
        <x:v>291691.45243009925</x:v>
      </x:c>
      <x:c r="E2290" s="78" t="n">
        <x:f>C2290+D2290</x:f>
        <x:v>972304.8414336592</x:v>
      </x:c>
      <x:c r="F2290" s="78" t="n">
        <x:f>'Inputs'!$B$13*E2290+(1-'Inputs'!$B$13)/'Inputs'!$B$14*SUM(E2235:E2290)</x:f>
        <x:v>982522.5182961144</x:v>
      </x:c>
      <x:c r="G2290" s="78" t="n">
        <x:f>F2290*'Inputs'!$F$50</x:f>
        <x:v>491261.2591480572</x:v>
      </x:c>
      <x:c r="H2290" s="78" t="n">
        <x:f>U2289</x:f>
        <x:v>45370628.11620278</x:v>
      </x:c>
      <x:c r="I2290" s="78" t="n">
        <x:f>V2289</x:f>
        <x:v>637.4403416813057</x:v>
      </x:c>
      <x:c r="J2290" s="79" t="n">
        <x:f>IF(H2290&gt;0,I2290/H2290,0)</x:f>
        <x:v>0.000014049625675198945</x:v>
      </x:c>
      <x:c r="K2290" s="80" t="n">
        <x:f>(H2290*J2290+I2290)*'Inputs'!$D$50*(1+'Inputs'!$G$50)^(B2290/30)</x:f>
        <x:v>1274.8806833626113</x:v>
      </x:c>
      <x:c r="L2290" s="80" t="n">
        <x:f>MAX(0,K2290*'Inputs'!$E$50)</x:f>
        <x:v>0</x:v>
      </x:c>
      <x:c r="M2290" s="80" t="n">
        <x:f>MAX(0,-K2290*'Inputs'!$E$50)</x:f>
        <x:v>0</x:v>
      </x:c>
      <x:c r="N2290" s="78" t="n">
        <x:f>H2290*(L2290*(1-'Inputs'!$B$15))/(I2290+L2290*(1-'Inputs'!$B$15))</x:f>
        <x:v>0</x:v>
      </x:c>
      <x:c r="O2290" s="78" t="n">
        <x:f>H2290-N2290</x:f>
        <x:v>45370628.11620278</x:v>
      </x:c>
      <x:c r="P2290" s="78" t="n">
        <x:f>I2290+L2290*(1-'Inputs'!$B$17)</x:f>
        <x:v>637.4403416813057</x:v>
      </x:c>
      <x:c r="Q2290" s="78" t="n">
        <x:f>IF(J2290&gt;0,M2290/J2290,0)</x:f>
        <x:v>0</x:v>
      </x:c>
      <x:c r="R2290" s="78" t="n">
        <x:f>IF(B2290='Inputs'!$H$50,'Inputs'!$B$27*'Inputs'!$I$50,0)</x:f>
        <x:v>0</x:v>
      </x:c>
      <x:c r="S2290" s="78" t="n">
        <x:f>Q2290+G2290+R2290</x:f>
        <x:v>491261.2591480572</x:v>
      </x:c>
      <x:c r="T2290" s="78" t="n">
        <x:f>P2290*(S2290*(1-'Inputs'!$B$15))/(O2290+S2290*(1-'Inputs'!$B$15))</x:f>
        <x:v>6.760547016458177</x:v>
      </x:c>
      <x:c r="U2290" s="78" t="n">
        <x:f>O2290+S2290*(1-'Inputs'!$B$17)</x:f>
        <x:v>45859912.46887539</x:v>
      </x:c>
      <x:c r="V2290" s="78" t="n">
        <x:f>P2290-T2290</x:f>
        <x:v>630.6797946648475</x:v>
      </x:c>
      <x:c r="W2290" s="79" t="n">
        <x:f>IF(U2290&gt;0,V2290/U2290,0)</x:f>
        <x:v>0.00001375231134801844</x:v>
      </x:c>
      <x:c r="X2290" s="80" t="n">
        <x:f>W2290*('Inputs'!$B$6-AC2290)</x:f>
        <x:v>13627.479063098064</x:v>
      </x:c>
      <x:c r="Y2290" s="80" t="n">
        <x:f>2*V2290</x:f>
        <x:v>1261.359589329695</x:v>
      </x:c>
      <x:c r="Z2290" s="80" t="n">
        <x:f>K2290*'Inputs'!$B$16+(G2290+R2290)*J2290*'Inputs'!$B$16</x:f>
        <x:v>7.690696320974211</x:v>
      </x:c>
      <x:c r="AA2290" s="80" t="n">
        <x:f>K2290*(1+'Inputs'!$E$50)/2*'Inputs'!$B$17</x:f>
        <x:v>2.565152280407669</x:v>
      </x:c>
      <x:c r="AB2290" s="78" t="n">
        <x:f>(IF(J2290&gt;0,K2290*(1-'Inputs'!$E$50)/2/J2290,0)+G2290+R2290)*'Inputs'!$B$17</x:f>
        <x:v>184554.88682233737</x:v>
      </x:c>
      <x:c r="AC2290" s="78" t="n">
        <x:f>AC2289+AB2290</x:f>
        <x:v>9077185.773456408</x:v>
      </x:c>
      <x:c r="AD2290" s="80" t="n">
        <x:f>Z2290/(1+'Inputs'!$C$50)</x:f>
        <x:v>3.8453481604871054</x:v>
      </x:c>
      <x:c r="AE2290" s="80" t="n">
        <x:f>Z2290-AD2290</x:f>
        <x:v>3.8453481604871054</x:v>
      </x:c>
      <x:c r="AF2290" s="80" t="n">
        <x:f>D2290*W2290</x:f>
        <x:v>4.011431671374435</x:v>
      </x:c>
      <x:c r="AG2290" s="80" t="n">
        <x:f>C2290*W2290</x:f>
        <x:v>9.360007233206947</x:v>
      </x:c>
      <x:c r="AH2290" s="80" t="n">
        <x:f>2*'Inputs'!$B$8*'Inputs'!$C$50</x:f>
        <x:v>5000</x:v>
      </x:c>
      <x:c r="AI2290" s="81" t="n">
        <x:f>IF(AH2290&gt;0,(AE2290+AF2290)/AH2290*365,0)</x:f>
        <x:v>0.5735449277258925</x:v>
      </x:c>
      <x:c r="AJ2290" s="81" t="n">
        <x:f>IF('Inputs'!$B$50&gt;0,AG2290/('Inputs'!$B$19*'Inputs'!$B$50)*365,0)</x:f>
        <x:v>0.34164026401205355</x:v>
      </x:c>
      <x:c r="AK2290" s="81" t="n">
        <x:f>W2290/MAX($W$2194:W2290)-1</x:f>
        <x:v>-0.983682301430052</x:v>
      </x:c>
      <x:c r="AL2290" s="83" t="n">
        <x:f>'Inputs'!$B$50</x:f>
        <x:v>1</x:v>
      </x:c>
      <x:c r="AM2290" s="83" t="n">
        <x:f>'Inputs'!$C$50</x:f>
        <x:v>1</x:v>
      </x:c>
      <x:c r="AN2290" s="83" t="n">
        <x:f>'Inputs'!$D$50</x:f>
        <x:v>1</x:v>
      </x:c>
      <x:c r="AO2290" s="81" t="n">
        <x:f>'Inputs'!$E$50</x:f>
        <x:v>0</x:v>
      </x:c>
    </x:row>
    <x:row r="2291">
      <x:c r="A2291" s="59" t="str">
        <x:v>Whale exit</x:v>
      </x:c>
      <x:c r="B2291" s="59" t="n">
        <x:v>98</x:v>
      </x:c>
      <x:c r="C2291" s="78" t="n">
        <x:f>(('Inputs'!$B$29*(3*98*'Inputs'!$B$12-98^2)/(2*'Inputs'!$B$12^2))-('Inputs'!$B$29*(3*97*'Inputs'!$B$12-97^2)/(2*'Inputs'!$B$12^2)))*'Inputs'!$B$50</x:f>
        <x:v>680288.2811034024</x:v>
      </x:c>
      <x:c r="D2291" s="78" t="n">
        <x:f>IF('Inputs'!$C$50&gt;0,('Inputs'!$B$30*(3*98*'Inputs'!$B$12-98^2)/(2*'Inputs'!$B$12^2))-('Inputs'!$B$30*(3*97*'Inputs'!$B$12-97^2)/(2*'Inputs'!$B$12^2)),0)</x:f>
        <x:v>291552.12047288567</x:v>
      </x:c>
      <x:c r="E2291" s="78" t="n">
        <x:f>C2291+D2291</x:f>
        <x:v>971840.401576288</x:v>
      </x:c>
      <x:c r="F2291" s="78" t="n">
        <x:f>'Inputs'!$B$13*E2291+(1-'Inputs'!$B$13)/'Inputs'!$B$14*SUM(E2236:E2291)</x:f>
        <x:v>982058.078438733</x:v>
      </x:c>
      <x:c r="G2291" s="78" t="n">
        <x:f>F2291*'Inputs'!$F$50</x:f>
        <x:v>491029.0392193665</x:v>
      </x:c>
      <x:c r="H2291" s="78" t="n">
        <x:f>U2290</x:f>
        <x:v>45859912.46887539</x:v>
      </x:c>
      <x:c r="I2291" s="78" t="n">
        <x:f>V2290</x:f>
        <x:v>630.6797946648475</x:v>
      </x:c>
      <x:c r="J2291" s="79" t="n">
        <x:f>IF(H2291&gt;0,I2291/H2291,0)</x:f>
        <x:v>0.00001375231134801844</x:v>
      </x:c>
      <x:c r="K2291" s="80" t="n">
        <x:f>(H2291*J2291+I2291)*'Inputs'!$D$50*(1+'Inputs'!$G$50)^(B2291/30)</x:f>
        <x:v>1261.359589329695</x:v>
      </x:c>
      <x:c r="L2291" s="80" t="n">
        <x:f>MAX(0,K2291*'Inputs'!$E$50)</x:f>
        <x:v>0</x:v>
      </x:c>
      <x:c r="M2291" s="80" t="n">
        <x:f>MAX(0,-K2291*'Inputs'!$E$50)</x:f>
        <x:v>0</x:v>
      </x:c>
      <x:c r="N2291" s="78" t="n">
        <x:f>H2291*(L2291*(1-'Inputs'!$B$15))/(I2291+L2291*(1-'Inputs'!$B$15))</x:f>
        <x:v>0</x:v>
      </x:c>
      <x:c r="O2291" s="78" t="n">
        <x:f>H2291-N2291</x:f>
        <x:v>45859912.46887539</x:v>
      </x:c>
      <x:c r="P2291" s="78" t="n">
        <x:f>I2291+L2291*(1-'Inputs'!$B$17)</x:f>
        <x:v>630.6797946648475</x:v>
      </x:c>
      <x:c r="Q2291" s="78" t="n">
        <x:f>IF(J2291&gt;0,M2291/J2291,0)</x:f>
        <x:v>0</x:v>
      </x:c>
      <x:c r="R2291" s="78" t="n">
        <x:f>IF(B2291='Inputs'!$H$50,'Inputs'!$B$27*'Inputs'!$I$50,0)</x:f>
        <x:v>0</x:v>
      </x:c>
      <x:c r="S2291" s="78" t="n">
        <x:f>Q2291+G2291+R2291</x:f>
        <x:v>491029.0392193665</x:v>
      </x:c>
      <x:c r="T2291" s="78" t="n">
        <x:f>P2291*(S2291*(1-'Inputs'!$B$15))/(O2291+S2291*(1-'Inputs'!$B$15))</x:f>
        <x:v>6.615135420181331</x:v>
      </x:c>
      <x:c r="U2291" s="78" t="n">
        <x:f>O2291+S2291*(1-'Inputs'!$B$17)</x:f>
        <x:v>46348965.536105946</x:v>
      </x:c>
      <x:c r="V2291" s="78" t="n">
        <x:f>P2291-T2291</x:f>
        <x:v>624.0646592446661</x:v>
      </x:c>
      <x:c r="W2291" s="79" t="n">
        <x:f>IF(U2291&gt;0,V2291/U2291,0)</x:f>
        <x:v>0.000013464478700361033</x:v>
      </x:c>
      <x:c r="X2291" s="80" t="n">
        <x:f>W2291*('Inputs'!$B$6-AC2291)</x:f>
        <x:v>13339.747692194436</x:v>
      </x:c>
      <x:c r="Y2291" s="80" t="n">
        <x:f>2*V2291</x:f>
        <x:v>1248.1293184893323</x:v>
      </x:c>
      <x:c r="Z2291" s="80" t="n">
        <x:f>K2291*'Inputs'!$B$16+(G2291+R2291)*J2291*'Inputs'!$B$16</x:f>
        <x:v>7.608674241347748</x:v>
      </x:c>
      <x:c r="AA2291" s="80" t="n">
        <x:f>K2291*(1+'Inputs'!$E$50)/2*'Inputs'!$B$17</x:f>
        <x:v>2.5379468598183</x:v>
      </x:c>
      <x:c r="AB2291" s="78" t="n">
        <x:f>(IF(J2291&gt;0,K2291*(1-'Inputs'!$E$50)/2/J2291,0)+G2291+R2291)*'Inputs'!$B$17</x:f>
        <x:v>186522.90345309762</x:v>
      </x:c>
      <x:c r="AC2291" s="78" t="n">
        <x:f>AC2290+AB2291</x:f>
        <x:v>9263708.676909504</x:v>
      </x:c>
      <x:c r="AD2291" s="80" t="n">
        <x:f>Z2291/(1+'Inputs'!$C$50)</x:f>
        <x:v>3.804337120673874</x:v>
      </x:c>
      <x:c r="AE2291" s="80" t="n">
        <x:f>Z2291-AD2291</x:f>
        <x:v>3.804337120673874</x:v>
      </x:c>
      <x:c r="AF2291" s="80" t="n">
        <x:f>D2291*W2291</x:f>
        <x:v>3.925597316152263</x:v>
      </x:c>
      <x:c r="AG2291" s="80" t="n">
        <x:f>C2291*W2291</x:f>
        <x:v>9.15972707102198</x:v>
      </x:c>
      <x:c r="AH2291" s="80" t="n">
        <x:f>2*'Inputs'!$B$8*'Inputs'!$C$50</x:f>
        <x:v>5000</x:v>
      </x:c>
      <x:c r="AI2291" s="81" t="n">
        <x:f>IF(AH2291&gt;0,(AE2291+AF2291)/AH2291*365,0)</x:f>
        <x:v>0.5642852138883079</x:v>
      </x:c>
      <x:c r="AJ2291" s="81" t="n">
        <x:f>IF('Inputs'!$B$50&gt;0,AG2291/('Inputs'!$B$19*'Inputs'!$B$50)*365,0)</x:f>
        <x:v>0.3343300380923023</x:v>
      </x:c>
      <x:c r="AK2291" s="81" t="n">
        <x:f>W2291/MAX($W$2194:W2291)-1</x:f>
        <x:v>-0.9840238270299462</x:v>
      </x:c>
      <x:c r="AL2291" s="83" t="n">
        <x:f>'Inputs'!$B$50</x:f>
        <x:v>1</x:v>
      </x:c>
      <x:c r="AM2291" s="83" t="n">
        <x:f>'Inputs'!$C$50</x:f>
        <x:v>1</x:v>
      </x:c>
      <x:c r="AN2291" s="83" t="n">
        <x:f>'Inputs'!$D$50</x:f>
        <x:v>1</x:v>
      </x:c>
      <x:c r="AO2291" s="81" t="n">
        <x:f>'Inputs'!$E$50</x:f>
        <x:v>0</x:v>
      </x:c>
    </x:row>
    <x:row r="2292">
      <x:c r="A2292" s="59" t="str">
        <x:v>Whale exit</x:v>
      </x:c>
      <x:c r="B2292" s="59" t="n">
        <x:v>99</x:v>
      </x:c>
      <x:c r="C2292" s="78" t="n">
        <x:f>(('Inputs'!$B$29*(3*99*'Inputs'!$B$12-99^2)/(2*'Inputs'!$B$12^2))-('Inputs'!$B$29*(3*98*'Inputs'!$B$12-98^2)/(2*'Inputs'!$B$12^2)))*'Inputs'!$B$50</x:f>
        <x:v>679963.1732032299</x:v>
      </x:c>
      <x:c r="D2292" s="78" t="n">
        <x:f>IF('Inputs'!$C$50&gt;0,('Inputs'!$B$30*(3*99*'Inputs'!$B$12-99^2)/(2*'Inputs'!$B$12^2))-('Inputs'!$B$30*(3*98*'Inputs'!$B$12-98^2)/(2*'Inputs'!$B$12^2)),0)</x:f>
        <x:v>291412.78851566836</x:v>
      </x:c>
      <x:c r="E2292" s="78" t="n">
        <x:f>C2292+D2292</x:f>
        <x:v>971375.9617188983</x:v>
      </x:c>
      <x:c r="F2292" s="78" t="n">
        <x:f>'Inputs'!$B$13*E2292+(1-'Inputs'!$B$13)/'Inputs'!$B$14*SUM(E2237:E2292)</x:f>
        <x:v>981593.6385813479</x:v>
      </x:c>
      <x:c r="G2292" s="78" t="n">
        <x:f>F2292*'Inputs'!$F$50</x:f>
        <x:v>490796.81929067394</x:v>
      </x:c>
      <x:c r="H2292" s="78" t="n">
        <x:f>U2291</x:f>
        <x:v>46348965.536105946</x:v>
      </x:c>
      <x:c r="I2292" s="78" t="n">
        <x:f>V2291</x:f>
        <x:v>624.0646592446661</x:v>
      </x:c>
      <x:c r="J2292" s="79" t="n">
        <x:f>IF(H2292&gt;0,I2292/H2292,0)</x:f>
        <x:v>0.000013464478700361033</x:v>
      </x:c>
      <x:c r="K2292" s="80" t="n">
        <x:f>(H2292*J2292+I2292)*'Inputs'!$D$50*(1+'Inputs'!$G$50)^(B2292/30)</x:f>
        <x:v>1248.1293184893323</x:v>
      </x:c>
      <x:c r="L2292" s="80" t="n">
        <x:f>MAX(0,K2292*'Inputs'!$E$50)</x:f>
        <x:v>0</x:v>
      </x:c>
      <x:c r="M2292" s="80" t="n">
        <x:f>MAX(0,-K2292*'Inputs'!$E$50)</x:f>
        <x:v>0</x:v>
      </x:c>
      <x:c r="N2292" s="78" t="n">
        <x:f>H2292*(L2292*(1-'Inputs'!$B$15))/(I2292+L2292*(1-'Inputs'!$B$15))</x:f>
        <x:v>0</x:v>
      </x:c>
      <x:c r="O2292" s="78" t="n">
        <x:f>H2292-N2292</x:f>
        <x:v>46348965.536105946</x:v>
      </x:c>
      <x:c r="P2292" s="78" t="n">
        <x:f>I2292+L2292*(1-'Inputs'!$B$17)</x:f>
        <x:v>624.0646592446661</x:v>
      </x:c>
      <x:c r="Q2292" s="78" t="n">
        <x:f>IF(J2292&gt;0,M2292/J2292,0)</x:f>
        <x:v>0</x:v>
      </x:c>
      <x:c r="R2292" s="78" t="n">
        <x:f>IF(B2292='Inputs'!$H$50,'Inputs'!$B$27*'Inputs'!$I$50,0)</x:f>
        <x:v>0</x:v>
      </x:c>
      <x:c r="S2292" s="78" t="n">
        <x:f>Q2292+G2292+R2292</x:f>
        <x:v>490796.81929067394</x:v>
      </x:c>
      <x:c r="T2292" s="78" t="n">
        <x:f>P2292*(S2292*(1-'Inputs'!$B$15))/(O2292+S2292*(1-'Inputs'!$B$15))</x:f>
        <x:v>6.474367525181379</x:v>
      </x:c>
      <x:c r="U2292" s="78" t="n">
        <x:f>O2292+S2292*(1-'Inputs'!$B$17)</x:f>
        <x:v>46837787.317894444</x:v>
      </x:c>
      <x:c r="V2292" s="78" t="n">
        <x:f>P2292-T2292</x:f>
        <x:v>617.5902917194848</x:v>
      </x:c>
      <x:c r="W2292" s="79" t="n">
        <x:f>IF(U2292&gt;0,V2292/U2292,0)</x:f>
        <x:v>0.000013185727317300779</x:v>
      </x:c>
      <x:c r="X2292" s="80" t="n">
        <x:f>W2292*('Inputs'!$B$6-AC2292)</x:f>
        <x:v>13061.093203138424</x:v>
      </x:c>
      <x:c r="Y2292" s="80" t="n">
        <x:f>2*V2292</x:f>
        <x:v>1235.1805834389695</x:v>
      </x:c>
      <x:c r="Z2292" s="80" t="n">
        <x:f>K2292*'Inputs'!$B$16+(G2292+R2292)*J2292*'Inputs'!$B$16</x:f>
        <x:v>7.528425850853259</x:v>
      </x:c>
      <x:c r="AA2292" s="80" t="n">
        <x:f>K2292*(1+'Inputs'!$E$50)/2*'Inputs'!$B$17</x:f>
        <x:v>2.5113265965580127</x:v>
      </x:c>
      <x:c r="AB2292" s="78" t="n">
        <x:f>(IF(J2292&gt;0,K2292*(1-'Inputs'!$E$50)/2/J2292,0)+G2292+R2292)*'Inputs'!$B$17</x:f>
        <x:v>188489.9893577329</x:v>
      </x:c>
      <x:c r="AC2292" s="78" t="n">
        <x:f>AC2291+AB2292</x:f>
        <x:v>9452198.666267237</x:v>
      </x:c>
      <x:c r="AD2292" s="80" t="n">
        <x:f>Z2292/(1+'Inputs'!$C$50)</x:f>
        <x:v>3.7642129254266297</x:v>
      </x:c>
      <x:c r="AE2292" s="80" t="n">
        <x:f>Z2292-AD2292</x:f>
        <x:v>3.7642129254266297</x:v>
      </x:c>
      <x:c r="AF2292" s="80" t="n">
        <x:f>D2292*W2292</x:f>
        <x:v>3.842489566141843</x:v>
      </x:c>
      <x:c r="AG2292" s="80" t="n">
        <x:f>C2292*W2292</x:f>
        <x:v>8.96580898766435</x:v>
      </x:c>
      <x:c r="AH2292" s="80" t="n">
        <x:f>2*'Inputs'!$B$8*'Inputs'!$C$50</x:f>
        <x:v>5000</x:v>
      </x:c>
      <x:c r="AI2292" s="81" t="n">
        <x:f>IF(AH2292&gt;0,(AE2292+AF2292)/AH2292*365,0)</x:f>
        <x:v>0.5552892818844984</x:v>
      </x:c>
      <x:c r="AJ2292" s="81" t="n">
        <x:f>IF('Inputs'!$B$50&gt;0,AG2292/('Inputs'!$B$19*'Inputs'!$B$50)*365,0)</x:f>
        <x:v>0.3272520280497488</x:v>
      </x:c>
      <x:c r="AK2292" s="81" t="n">
        <x:f>W2292/MAX($W$2194:W2292)-1</x:f>
        <x:v>-0.9843545773256329</x:v>
      </x:c>
      <x:c r="AL2292" s="83" t="n">
        <x:f>'Inputs'!$B$50</x:f>
        <x:v>1</x:v>
      </x:c>
      <x:c r="AM2292" s="83" t="n">
        <x:f>'Inputs'!$C$50</x:f>
        <x:v>1</x:v>
      </x:c>
      <x:c r="AN2292" s="83" t="n">
        <x:f>'Inputs'!$D$50</x:f>
        <x:v>1</x:v>
      </x:c>
      <x:c r="AO2292" s="81" t="n">
        <x:f>'Inputs'!$E$50</x:f>
        <x:v>0</x:v>
      </x:c>
    </x:row>
    <x:row r="2293">
      <x:c r="A2293" s="59" t="str">
        <x:v>Whale exit</x:v>
      </x:c>
      <x:c r="B2293" s="59" t="n">
        <x:v>100</x:v>
      </x:c>
      <x:c r="C2293" s="78" t="n">
        <x:f>(('Inputs'!$B$29*(3*100*'Inputs'!$B$12-100^2)/(2*'Inputs'!$B$12^2))-('Inputs'!$B$29*(3*99*'Inputs'!$B$12-99^2)/(2*'Inputs'!$B$12^2)))*'Inputs'!$B$50</x:f>
        <x:v>679638.0653030574</x:v>
      </x:c>
      <x:c r="D2293" s="78" t="n">
        <x:f>IF('Inputs'!$C$50&gt;0,('Inputs'!$B$30*(3*100*'Inputs'!$B$12-100^2)/(2*'Inputs'!$B$12^2))-('Inputs'!$B$30*(3*99*'Inputs'!$B$12-99^2)/(2*'Inputs'!$B$12^2)),0)</x:f>
        <x:v>291273.4565584548</x:v>
      </x:c>
      <x:c r="E2293" s="78" t="n">
        <x:f>C2293+D2293</x:f>
        <x:v>970911.5218615122</x:v>
      </x:c>
      <x:c r="F2293" s="78" t="n">
        <x:f>'Inputs'!$B$13*E2293+(1-'Inputs'!$B$13)/'Inputs'!$B$14*SUM(E2238:E2293)</x:f>
        <x:v>981129.1987239633</x:v>
      </x:c>
      <x:c r="G2293" s="78" t="n">
        <x:f>F2293*'Inputs'!$F$50</x:f>
        <x:v>490564.5993619817</x:v>
      </x:c>
      <x:c r="H2293" s="78" t="n">
        <x:f>U2292</x:f>
        <x:v>46837787.317894444</x:v>
      </x:c>
      <x:c r="I2293" s="78" t="n">
        <x:f>V2292</x:f>
        <x:v>617.5902917194848</x:v>
      </x:c>
      <x:c r="J2293" s="79" t="n">
        <x:f>IF(H2293&gt;0,I2293/H2293,0)</x:f>
        <x:v>0.000013185727317300779</x:v>
      </x:c>
      <x:c r="K2293" s="80" t="n">
        <x:f>(H2293*J2293+I2293)*'Inputs'!$D$50*(1+'Inputs'!$G$50)^(B2293/30)</x:f>
        <x:v>1235.1805834389695</x:v>
      </x:c>
      <x:c r="L2293" s="80" t="n">
        <x:f>MAX(0,K2293*'Inputs'!$E$50)</x:f>
        <x:v>0</x:v>
      </x:c>
      <x:c r="M2293" s="80" t="n">
        <x:f>MAX(0,-K2293*'Inputs'!$E$50)</x:f>
        <x:v>0</x:v>
      </x:c>
      <x:c r="N2293" s="78" t="n">
        <x:f>H2293*(L2293*(1-'Inputs'!$B$15))/(I2293+L2293*(1-'Inputs'!$B$15))</x:f>
        <x:v>0</x:v>
      </x:c>
      <x:c r="O2293" s="78" t="n">
        <x:f>H2293-N2293</x:f>
        <x:v>46837787.317894444</x:v>
      </x:c>
      <x:c r="P2293" s="78" t="n">
        <x:f>I2293+L2293*(1-'Inputs'!$B$17)</x:f>
        <x:v>617.5902917194848</x:v>
      </x:c>
      <x:c r="Q2293" s="78" t="n">
        <x:f>IF(J2293&gt;0,M2293/J2293,0)</x:f>
        <x:v>0</x:v>
      </x:c>
      <x:c r="R2293" s="78" t="n">
        <x:f>IF(B2293='Inputs'!$H$50,'Inputs'!$B$27*'Inputs'!$I$50,0)</x:f>
        <x:v>0</x:v>
      </x:c>
      <x:c r="S2293" s="78" t="n">
        <x:f>Q2293+G2293+R2293</x:f>
        <x:v>490564.5993619817</x:v>
      </x:c>
      <x:c r="T2293" s="78" t="n">
        <x:f>P2293*(S2293*(1-'Inputs'!$B$15))/(O2293+S2293*(1-'Inputs'!$B$15))</x:f>
        <x:v>6.338047592047074</x:v>
      </x:c>
      <x:c r="U2293" s="78" t="n">
        <x:f>O2293+S2293*(1-'Inputs'!$B$17)</x:f>
        <x:v>47326377.81424089</x:v>
      </x:c>
      <x:c r="V2293" s="78" t="n">
        <x:f>P2293-T2293</x:f>
        <x:v>611.2522441274377</x:v>
      </x:c>
      <x:c r="W2293" s="79" t="n">
        <x:f>IF(U2293&gt;0,V2293/U2293,0)</x:f>
        <x:v>0.000012915677733179635</x:v>
      </x:c>
      <x:c r="X2293" s="80" t="n">
        <x:f>W2293*('Inputs'!$B$6-AC2293)</x:f>
        <x:v>12791.136311151002</x:v>
      </x:c>
      <x:c r="Y2293" s="80" t="n">
        <x:f>2*V2293</x:f>
        <x:v>1222.5044882548755</x:v>
      </x:c>
      <x:c r="Z2293" s="80" t="n">
        <x:f>K2293*'Inputs'!$B$16+(G2293+R2293)*J2293*'Inputs'!$B$16</x:f>
        <x:v>7.449894206866065</x:v>
      </x:c>
      <x:c r="AA2293" s="80" t="n">
        <x:f>K2293*(1+'Inputs'!$E$50)/2*'Inputs'!$B$17</x:f>
        <x:v>2.48527280370014</x:v>
      </x:c>
      <x:c r="AB2293" s="78" t="n">
        <x:f>(IF(J2293&gt;0,K2293*(1-'Inputs'!$E$50)/2/J2293,0)+G2293+R2293)*'Inputs'!$B$17</x:f>
        <x:v>190456.14453624317</x:v>
      </x:c>
      <x:c r="AC2293" s="78" t="n">
        <x:f>AC2292+AB2293</x:f>
        <x:v>9642654.81080348</x:v>
      </x:c>
      <x:c r="AD2293" s="80" t="n">
        <x:f>Z2293/(1+'Inputs'!$C$50)</x:f>
        <x:v>3.7249471034330326</x:v>
      </x:c>
      <x:c r="AE2293" s="80" t="n">
        <x:f>Z2293-AD2293</x:f>
        <x:v>3.7249471034330326</x:v>
      </x:c>
      <x:c r="AF2293" s="80" t="n">
        <x:f>D2293*W2293</x:f>
        <x:v>3.7619940971383</x:v>
      </x:c>
      <x:c r="AG2293" s="80" t="n">
        <x:f>C2293*W2293</x:f>
        <x:v>8.777986226655985</x:v>
      </x:c>
      <x:c r="AH2293" s="80" t="n">
        <x:f>2*'Inputs'!$B$8*'Inputs'!$C$50</x:f>
        <x:v>5000</x:v>
      </x:c>
      <x:c r="AI2293" s="81" t="n">
        <x:f>IF(AH2293&gt;0,(AE2293+AF2293)/AH2293*365,0)</x:f>
        <x:v>0.5465467076417072</x:v>
      </x:c>
      <x:c r="AJ2293" s="81" t="n">
        <x:f>IF('Inputs'!$B$50&gt;0,AG2293/('Inputs'!$B$19*'Inputs'!$B$50)*365,0)</x:f>
        <x:v>0.32039649727294345</x:v>
      </x:c>
      <x:c r="AK2293" s="81" t="n">
        <x:f>W2293/MAX($W$2194:W2293)-1</x:f>
        <x:v>-0.9846750025691512</x:v>
      </x:c>
      <x:c r="AL2293" s="83" t="n">
        <x:f>'Inputs'!$B$50</x:f>
        <x:v>1</x:v>
      </x:c>
      <x:c r="AM2293" s="83" t="n">
        <x:f>'Inputs'!$C$50</x:f>
        <x:v>1</x:v>
      </x:c>
      <x:c r="AN2293" s="83" t="n">
        <x:f>'Inputs'!$D$50</x:f>
        <x:v>1</x:v>
      </x:c>
      <x:c r="AO2293" s="81" t="n">
        <x:f>'Inputs'!$E$50</x:f>
        <x:v>0</x:v>
      </x:c>
    </x:row>
    <x:row r="2294">
      <x:c r="A2294" s="59" t="str">
        <x:v>Whale exit</x:v>
      </x:c>
      <x:c r="B2294" s="59" t="n">
        <x:v>101</x:v>
      </x:c>
      <x:c r="C2294" s="78" t="n">
        <x:f>(('Inputs'!$B$29*(3*101*'Inputs'!$B$12-101^2)/(2*'Inputs'!$B$12^2))-('Inputs'!$B$29*(3*100*'Inputs'!$B$12-100^2)/(2*'Inputs'!$B$12^2)))*'Inputs'!$B$50</x:f>
        <x:v>679312.957402885</x:v>
      </x:c>
      <x:c r="D2294" s="78" t="n">
        <x:f>IF('Inputs'!$C$50&gt;0,('Inputs'!$B$30*(3*101*'Inputs'!$B$12-101^2)/(2*'Inputs'!$B$12^2))-('Inputs'!$B$30*(3*100*'Inputs'!$B$12-100^2)/(2*'Inputs'!$B$12^2)),0)</x:f>
        <x:v>291134.1246012375</x:v>
      </x:c>
      <x:c r="E2294" s="78" t="n">
        <x:f>C2294+D2294</x:f>
        <x:v>970447.0820041224</x:v>
      </x:c>
      <x:c r="F2294" s="78" t="n">
        <x:f>'Inputs'!$B$13*E2294+(1-'Inputs'!$B$13)/'Inputs'!$B$14*SUM(E2239:E2294)</x:f>
        <x:v>980664.7588665781</x:v>
      </x:c>
      <x:c r="G2294" s="78" t="n">
        <x:f>F2294*'Inputs'!$F$50</x:f>
        <x:v>490332.37943328905</x:v>
      </x:c>
      <x:c r="H2294" s="78" t="n">
        <x:f>U2293</x:f>
        <x:v>47326377.81424089</x:v>
      </x:c>
      <x:c r="I2294" s="78" t="n">
        <x:f>V2293</x:f>
        <x:v>611.2522441274377</x:v>
      </x:c>
      <x:c r="J2294" s="79" t="n">
        <x:f>IF(H2294&gt;0,I2294/H2294,0)</x:f>
        <x:v>0.000012915677733179635</x:v>
      </x:c>
      <x:c r="K2294" s="80" t="n">
        <x:f>(H2294*J2294+I2294)*'Inputs'!$D$50*(1+'Inputs'!$G$50)^(B2294/30)</x:f>
        <x:v>1222.5044882548755</x:v>
      </x:c>
      <x:c r="L2294" s="80" t="n">
        <x:f>MAX(0,K2294*'Inputs'!$E$50)</x:f>
        <x:v>0</x:v>
      </x:c>
      <x:c r="M2294" s="80" t="n">
        <x:f>MAX(0,-K2294*'Inputs'!$E$50)</x:f>
        <x:v>0</x:v>
      </x:c>
      <x:c r="N2294" s="78" t="n">
        <x:f>H2294*(L2294*(1-'Inputs'!$B$15))/(I2294+L2294*(1-'Inputs'!$B$15))</x:f>
        <x:v>0</x:v>
      </x:c>
      <x:c r="O2294" s="78" t="n">
        <x:f>H2294-N2294</x:f>
        <x:v>47326377.81424089</x:v>
      </x:c>
      <x:c r="P2294" s="78" t="n">
        <x:f>I2294+L2294*(1-'Inputs'!$B$17)</x:f>
        <x:v>611.2522441274377</x:v>
      </x:c>
      <x:c r="Q2294" s="78" t="n">
        <x:f>IF(J2294&gt;0,M2294/J2294,0)</x:f>
        <x:v>0</x:v>
      </x:c>
      <x:c r="R2294" s="78" t="n">
        <x:f>IF(B2294='Inputs'!$H$50,'Inputs'!$B$27*'Inputs'!$I$50,0)</x:f>
        <x:v>0</x:v>
      </x:c>
      <x:c r="S2294" s="78" t="n">
        <x:f>Q2294+G2294+R2294</x:f>
        <x:v>490332.37943328905</x:v>
      </x:c>
      <x:c r="T2294" s="78" t="n">
        <x:f>P2294*(S2294*(1-'Inputs'!$B$15))/(O2294+S2294*(1-'Inputs'!$B$15))</x:f>
        <x:v>6.205990090094256</x:v>
      </x:c>
      <x:c r="U2294" s="78" t="n">
        <x:f>O2294+S2294*(1-'Inputs'!$B$17)</x:f>
        <x:v>47814737.02514527</x:v>
      </x:c>
      <x:c r="V2294" s="78" t="n">
        <x:f>P2294-T2294</x:f>
        <x:v>605.0462540373435</x:v>
      </x:c>
      <x:c r="W2294" s="79" t="n">
        <x:f>IF(U2294&gt;0,V2294/U2294,0)</x:f>
        <x:v>0.00001265397012889888</x:v>
      </x:c>
      <x:c r="X2294" s="80" t="n">
        <x:f>W2294*('Inputs'!$B$6-AC2294)</x:f>
        <x:v>12529.517368704344</x:v>
      </x:c>
      <x:c r="Y2294" s="80" t="n">
        <x:f>2*V2294</x:f>
        <x:v>1210.092508074687</x:v>
      </x:c>
      <x:c r="Z2294" s="80" t="n">
        <x:f>K2294*'Inputs'!$B$16+(G2294+R2294)*J2294*'Inputs'!$B$16</x:f>
        <x:v>7.373024779498674</x:v>
      </x:c>
      <x:c r="AA2294" s="80" t="n">
        <x:f>K2294*(1+'Inputs'!$E$50)/2*'Inputs'!$B$17</x:f>
        <x:v>2.4597675820017617</x:v>
      </x:c>
      <x:c r="AB2294" s="78" t="n">
        <x:f>(IF(J2294&gt;0,K2294*(1-'Inputs'!$E$50)/2/J2294,0)+G2294+R2294)*'Inputs'!$B$17</x:f>
        <x:v>192421.3689886285</x:v>
      </x:c>
      <x:c r="AC2294" s="78" t="n">
        <x:f>AC2293+AB2294</x:f>
        <x:v>9835076.17979211</x:v>
      </x:c>
      <x:c r="AD2294" s="80" t="n">
        <x:f>Z2294/(1+'Inputs'!$C$50)</x:f>
        <x:v>3.686512389749337</x:v>
      </x:c>
      <x:c r="AE2294" s="80" t="n">
        <x:f>Z2294-AD2294</x:f>
        <x:v>3.686512389749337</x:v>
      </x:c>
      <x:c r="AF2294" s="80" t="n">
        <x:f>D2294*W2294</x:f>
        <x:v>3.684002516207183</x:v>
      </x:c>
      <x:c r="AG2294" s="80" t="n">
        <x:f>C2294*W2294</x:f>
        <x:v>8.596005871150064</x:v>
      </x:c>
      <x:c r="AH2294" s="80" t="n">
        <x:f>2*'Inputs'!$B$8*'Inputs'!$C$50</x:f>
        <x:v>5000</x:v>
      </x:c>
      <x:c r="AI2294" s="81" t="n">
        <x:f>IF(AH2294&gt;0,(AE2294+AF2294)/AH2294*365,0)</x:f>
        <x:v>0.538047588134826</x:v>
      </x:c>
      <x:c r="AJ2294" s="81" t="n">
        <x:f>IF('Inputs'!$B$50&gt;0,AG2294/('Inputs'!$B$19*'Inputs'!$B$50)*365,0)</x:f>
        <x:v>0.31375421429697736</x:v>
      </x:c>
      <x:c r="AK2294" s="81" t="n">
        <x:f>W2294/MAX($W$2194:W2294)-1</x:f>
        <x:v>-0.9849855297010672</x:v>
      </x:c>
      <x:c r="AL2294" s="83" t="n">
        <x:f>'Inputs'!$B$50</x:f>
        <x:v>1</x:v>
      </x:c>
      <x:c r="AM2294" s="83" t="n">
        <x:f>'Inputs'!$C$50</x:f>
        <x:v>1</x:v>
      </x:c>
      <x:c r="AN2294" s="83" t="n">
        <x:f>'Inputs'!$D$50</x:f>
        <x:v>1</x:v>
      </x:c>
      <x:c r="AO2294" s="81" t="n">
        <x:f>'Inputs'!$E$50</x:f>
        <x:v>0</x:v>
      </x:c>
    </x:row>
    <x:row r="2295">
      <x:c r="A2295" s="59" t="str">
        <x:v>Whale exit</x:v>
      </x:c>
      <x:c r="B2295" s="59" t="n">
        <x:v>102</x:v>
      </x:c>
      <x:c r="C2295" s="78" t="n">
        <x:f>(('Inputs'!$B$29*(3*102*'Inputs'!$B$12-102^2)/(2*'Inputs'!$B$12^2))-('Inputs'!$B$29*(3*101*'Inputs'!$B$12-101^2)/(2*'Inputs'!$B$12^2)))*'Inputs'!$B$50</x:f>
        <x:v>678987.8495027274</x:v>
      </x:c>
      <x:c r="D2295" s="78" t="n">
        <x:f>IF('Inputs'!$C$50&gt;0,('Inputs'!$B$30*(3*102*'Inputs'!$B$12-102^2)/(2*'Inputs'!$B$12^2))-('Inputs'!$B$30*(3*101*'Inputs'!$B$12-101^2)/(2*'Inputs'!$B$12^2)),0)</x:f>
        <x:v>290994.7926440239</x:v>
      </x:c>
      <x:c r="E2295" s="78" t="n">
        <x:f>C2295+D2295</x:f>
        <x:v>969982.6421467513</x:v>
      </x:c>
      <x:c r="F2295" s="78" t="n">
        <x:f>'Inputs'!$B$13*E2295+(1-'Inputs'!$B$13)/'Inputs'!$B$14*SUM(E2240:E2295)</x:f>
        <x:v>980200.3190091965</x:v>
      </x:c>
      <x:c r="G2295" s="78" t="n">
        <x:f>F2295*'Inputs'!$F$50</x:f>
        <x:v>490100.15950459824</x:v>
      </x:c>
      <x:c r="H2295" s="78" t="n">
        <x:f>U2294</x:f>
        <x:v>47814737.02514527</x:v>
      </x:c>
      <x:c r="I2295" s="78" t="n">
        <x:f>V2294</x:f>
        <x:v>605.0462540373435</x:v>
      </x:c>
      <x:c r="J2295" s="79" t="n">
        <x:f>IF(H2295&gt;0,I2295/H2295,0)</x:f>
        <x:v>0.00001265397012889888</x:v>
      </x:c>
      <x:c r="K2295" s="80" t="n">
        <x:f>(H2295*J2295+I2295)*'Inputs'!$D$50*(1+'Inputs'!$G$50)^(B2295/30)</x:f>
        <x:v>1210.092508074687</x:v>
      </x:c>
      <x:c r="L2295" s="80" t="n">
        <x:f>MAX(0,K2295*'Inputs'!$E$50)</x:f>
        <x:v>0</x:v>
      </x:c>
      <x:c r="M2295" s="80" t="n">
        <x:f>MAX(0,-K2295*'Inputs'!$E$50)</x:f>
        <x:v>0</x:v>
      </x:c>
      <x:c r="N2295" s="78" t="n">
        <x:f>H2295*(L2295*(1-'Inputs'!$B$15))/(I2295+L2295*(1-'Inputs'!$B$15))</x:f>
        <x:v>0</x:v>
      </x:c>
      <x:c r="O2295" s="78" t="n">
        <x:f>H2295-N2295</x:f>
        <x:v>47814737.02514527</x:v>
      </x:c>
      <x:c r="P2295" s="78" t="n">
        <x:f>I2295+L2295*(1-'Inputs'!$B$17)</x:f>
        <x:v>605.0462540373435</x:v>
      </x:c>
      <x:c r="Q2295" s="78" t="n">
        <x:f>IF(J2295&gt;0,M2295/J2295,0)</x:f>
        <x:v>0</x:v>
      </x:c>
      <x:c r="R2295" s="78" t="n">
        <x:f>IF(B2295='Inputs'!$H$50,'Inputs'!$B$27*'Inputs'!$I$50,0)</x:f>
        <x:v>0</x:v>
      </x:c>
      <x:c r="S2295" s="78" t="n">
        <x:f>Q2295+G2295+R2295</x:f>
        <x:v>490100.15950459824</x:v>
      </x:c>
      <x:c r="T2295" s="78" t="n">
        <x:f>P2295*(S2295*(1-'Inputs'!$B$15))/(O2295+S2295*(1-'Inputs'!$B$15))</x:f>
        <x:v>6.078019064924588</x:v>
      </x:c>
      <x:c r="U2295" s="78" t="n">
        <x:f>O2295+S2295*(1-'Inputs'!$B$17)</x:f>
        <x:v>48302864.9506076</x:v>
      </x:c>
      <x:c r="V2295" s="78" t="n">
        <x:f>P2295-T2295</x:f>
        <x:v>598.9682349724189</x:v>
      </x:c>
      <x:c r="W2295" s="79" t="n">
        <x:f>IF(U2295&gt;0,V2295/U2295,0)</x:f>
        <x:v>0.000012400263122796085</x:v>
      </x:c>
      <x:c r="X2295" s="80" t="n">
        <x:f>W2295*('Inputs'!$B$6-AC2295)</x:f>
        <x:v>12275.895156968954</x:v>
      </x:c>
      <x:c r="Y2295" s="80" t="n">
        <x:f>2*V2295</x:f>
        <x:v>1197.9364699448379</x:v>
      </x:c>
      <x:c r="Z2295" s="80" t="n">
        <x:f>K2295*'Inputs'!$B$16+(G2295+R2295)*J2295*'Inputs'!$B$16</x:f>
        <x:v>7.297765325119361</x:v>
      </x:c>
      <x:c r="AA2295" s="80" t="n">
        <x:f>K2295*(1+'Inputs'!$E$50)/2*'Inputs'!$B$17</x:f>
        <x:v>2.434793778822308</x:v>
      </x:c>
      <x:c r="AB2295" s="78" t="n">
        <x:f>(IF(J2295&gt;0,K2295*(1-'Inputs'!$E$50)/2/J2295,0)+G2295+R2295)*'Inputs'!$B$17</x:f>
        <x:v>194385.66271488884</x:v>
      </x:c>
      <x:c r="AC2295" s="78" t="n">
        <x:f>AC2294+AB2295</x:f>
        <x:v>10029461.842507</x:v>
      </x:c>
      <x:c r="AD2295" s="80" t="n">
        <x:f>Z2295/(1+'Inputs'!$C$50)</x:f>
        <x:v>3.6488826625596804</x:v>
      </x:c>
      <x:c r="AE2295" s="80" t="n">
        <x:f>Z2295-AD2295</x:f>
        <x:v>3.6488826625596804</x:v>
      </x:c>
      <x:c r="AF2295" s="80" t="n">
        <x:f>D2295*W2295</x:f>
        <x:v>3.608411996149383</x:v>
      </x:c>
      <x:c r="AG2295" s="80" t="n">
        <x:f>C2295*W2295</x:f>
        <x:v>8.419627991015288</x:v>
      </x:c>
      <x:c r="AH2295" s="80" t="n">
        <x:f>2*'Inputs'!$B$8*'Inputs'!$C$50</x:f>
        <x:v>5000</x:v>
      </x:c>
      <x:c r="AI2295" s="81" t="n">
        <x:f>IF(AH2295&gt;0,(AE2295+AF2295)/AH2295*365,0)</x:f>
        <x:v>0.5297825100857616</x:v>
      </x:c>
      <x:c r="AJ2295" s="81" t="n">
        <x:f>IF('Inputs'!$B$50&gt;0,AG2295/('Inputs'!$B$19*'Inputs'!$B$50)*365,0)</x:f>
        <x:v>0.307316421672058</x:v>
      </x:c>
      <x:c r="AK2295" s="81" t="n">
        <x:f>W2295/MAX($W$2194:W2295)-1</x:f>
        <x:v>-0.9852865637851499</x:v>
      </x:c>
      <x:c r="AL2295" s="83" t="n">
        <x:f>'Inputs'!$B$50</x:f>
        <x:v>1</x:v>
      </x:c>
      <x:c r="AM2295" s="83" t="n">
        <x:f>'Inputs'!$C$50</x:f>
        <x:v>1</x:v>
      </x:c>
      <x:c r="AN2295" s="83" t="n">
        <x:f>'Inputs'!$D$50</x:f>
        <x:v>1</x:v>
      </x:c>
      <x:c r="AO2295" s="81" t="n">
        <x:f>'Inputs'!$E$50</x:f>
        <x:v>0</x:v>
      </x:c>
    </x:row>
    <x:row r="2296">
      <x:c r="A2296" s="59" t="str">
        <x:v>Whale exit</x:v>
      </x:c>
      <x:c r="B2296" s="59" t="n">
        <x:v>103</x:v>
      </x:c>
      <x:c r="C2296" s="78" t="n">
        <x:f>(('Inputs'!$B$29*(3*103*'Inputs'!$B$12-103^2)/(2*'Inputs'!$B$12^2))-('Inputs'!$B$29*(3*102*'Inputs'!$B$12-102^2)/(2*'Inputs'!$B$12^2)))*'Inputs'!$B$50</x:f>
        <x:v>678662.7416025549</x:v>
      </x:c>
      <x:c r="D2296" s="78" t="n">
        <x:f>IF('Inputs'!$C$50&gt;0,('Inputs'!$B$30*(3*103*'Inputs'!$B$12-103^2)/(2*'Inputs'!$B$12^2))-('Inputs'!$B$30*(3*102*'Inputs'!$B$12-102^2)/(2*'Inputs'!$B$12^2)),0)</x:f>
        <x:v>290855.4606868066</x:v>
      </x:c>
      <x:c r="E2296" s="78" t="n">
        <x:f>C2296+D2296</x:f>
        <x:v>969518.2022893615</x:v>
      </x:c>
      <x:c r="F2296" s="78" t="n">
        <x:f>'Inputs'!$B$13*E2296+(1-'Inputs'!$B$13)/'Inputs'!$B$14*SUM(E2241:E2296)</x:f>
        <x:v>979735.8791518115</x:v>
      </x:c>
      <x:c r="G2296" s="78" t="n">
        <x:f>F2296*'Inputs'!$F$50</x:f>
        <x:v>489867.93957590574</x:v>
      </x:c>
      <x:c r="H2296" s="78" t="n">
        <x:f>U2295</x:f>
        <x:v>48302864.9506076</x:v>
      </x:c>
      <x:c r="I2296" s="78" t="n">
        <x:f>V2295</x:f>
        <x:v>598.9682349724189</x:v>
      </x:c>
      <x:c r="J2296" s="79" t="n">
        <x:f>IF(H2296&gt;0,I2296/H2296,0)</x:f>
        <x:v>0.000012400263122796085</x:v>
      </x:c>
      <x:c r="K2296" s="80" t="n">
        <x:f>(H2296*J2296+I2296)*'Inputs'!$D$50*(1+'Inputs'!$G$50)^(B2296/30)</x:f>
        <x:v>1197.9364699448379</x:v>
      </x:c>
      <x:c r="L2296" s="80" t="n">
        <x:f>MAX(0,K2296*'Inputs'!$E$50)</x:f>
        <x:v>0</x:v>
      </x:c>
      <x:c r="M2296" s="80" t="n">
        <x:f>MAX(0,-K2296*'Inputs'!$E$50)</x:f>
        <x:v>0</x:v>
      </x:c>
      <x:c r="N2296" s="78" t="n">
        <x:f>H2296*(L2296*(1-'Inputs'!$B$15))/(I2296+L2296*(1-'Inputs'!$B$15))</x:f>
        <x:v>0</x:v>
      </x:c>
      <x:c r="O2296" s="78" t="n">
        <x:f>H2296-N2296</x:f>
        <x:v>48302864.9506076</x:v>
      </x:c>
      <x:c r="P2296" s="78" t="n">
        <x:f>I2296+L2296*(1-'Inputs'!$B$17)</x:f>
        <x:v>598.9682349724189</x:v>
      </x:c>
      <x:c r="Q2296" s="78" t="n">
        <x:f>IF(J2296&gt;0,M2296/J2296,0)</x:f>
        <x:v>0</x:v>
      </x:c>
      <x:c r="R2296" s="78" t="n">
        <x:f>IF(B2296='Inputs'!$H$50,'Inputs'!$B$27*'Inputs'!$I$50,0)</x:f>
        <x:v>0</x:v>
      </x:c>
      <x:c r="S2296" s="78" t="n">
        <x:f>Q2296+G2296+R2296</x:f>
        <x:v>489867.93957590574</x:v>
      </x:c>
      <x:c r="T2296" s="78" t="n">
        <x:f>P2296*(S2296*(1-'Inputs'!$B$15))/(O2296+S2296*(1-'Inputs'!$B$15))</x:f>
        <x:v>5.953967551233344</x:v>
      </x:c>
      <x:c r="U2296" s="78" t="n">
        <x:f>O2296+S2296*(1-'Inputs'!$B$17)</x:f>
        <x:v>48790761.590627864</x:v>
      </x:c>
      <x:c r="V2296" s="78" t="n">
        <x:f>P2296-T2296</x:f>
        <x:v>593.0142674211857</x:v>
      </x:c>
      <x:c r="W2296" s="79" t="n">
        <x:f>IF(U2296&gt;0,V2296/U2296,0)</x:f>
        <x:v>0.000012154232647499743</x:v>
      </x:c>
      <x:c r="X2296" s="80" t="n">
        <x:f>W2296*('Inputs'!$B$6-AC2296)</x:f>
        <x:v>12029.94576319804</x:v>
      </x:c>
      <x:c r="Y2296" s="80" t="n">
        <x:f>2*V2296</x:f>
        <x:v>1186.0285348423713</x:v>
      </x:c>
      <x:c r="Z2296" s="80" t="n">
        <x:f>K2296*'Inputs'!$B$16+(G2296+R2296)*J2296*'Inputs'!$B$16</x:f>
        <x:v>7.224065767746007</x:v>
      </x:c>
      <x:c r="AA2296" s="80" t="n">
        <x:f>K2296*(1+'Inputs'!$E$50)/2*'Inputs'!$B$17</x:f>
        <x:v>2.4103349495871993</x:v>
      </x:c>
      <x:c r="AB2296" s="78" t="n">
        <x:f>(IF(J2296&gt;0,K2296*(1-'Inputs'!$E$50)/2/J2296,0)+G2296+R2296)*'Inputs'!$B$17</x:f>
        <x:v>196349.02571502415</x:v>
      </x:c>
      <x:c r="AC2296" s="78" t="n">
        <x:f>AC2295+AB2296</x:f>
        <x:v>10225810.868222022</x:v>
      </x:c>
      <x:c r="AD2296" s="80" t="n">
        <x:f>Z2296/(1+'Inputs'!$C$50)</x:f>
        <x:v>3.6120328838730034</x:v>
      </x:c>
      <x:c r="AE2296" s="80" t="n">
        <x:f>Z2296-AD2296</x:f>
        <x:v>3.6120328838730034</x:v>
      </x:c>
      <x:c r="AF2296" s="80" t="n">
        <x:f>D2296*W2296</x:f>
        <x:v>3.5351249359831627</x:v>
      </x:c>
      <x:c r="AG2296" s="80" t="n">
        <x:f>C2296*W2296</x:f>
        <x:v>8.248624850627454</x:v>
      </x:c>
      <x:c r="AH2296" s="80" t="n">
        <x:f>2*'Inputs'!$B$8*'Inputs'!$C$50</x:f>
        <x:v>5000</x:v>
      </x:c>
      <x:c r="AI2296" s="81" t="n">
        <x:f>IF(AH2296&gt;0,(AE2296+AF2296)/AH2296*365,0)</x:f>
        <x:v>0.5217425208495001</x:v>
      </x:c>
      <x:c r="AJ2296" s="81" t="n">
        <x:f>IF('Inputs'!$B$50&gt;0,AG2296/('Inputs'!$B$19*'Inputs'!$B$50)*365,0)</x:f>
        <x:v>0.30107480704790207</x:v>
      </x:c>
      <x:c r="AK2296" s="81" t="n">
        <x:f>W2296/MAX($W$2194:W2296)-1</x:f>
        <x:v>-0.98557848934103</x:v>
      </x:c>
      <x:c r="AL2296" s="83" t="n">
        <x:f>'Inputs'!$B$50</x:f>
        <x:v>1</x:v>
      </x:c>
      <x:c r="AM2296" s="83" t="n">
        <x:f>'Inputs'!$C$50</x:f>
        <x:v>1</x:v>
      </x:c>
      <x:c r="AN2296" s="83" t="n">
        <x:f>'Inputs'!$D$50</x:f>
        <x:v>1</x:v>
      </x:c>
      <x:c r="AO2296" s="81" t="n">
        <x:f>'Inputs'!$E$50</x:f>
        <x:v>0</x:v>
      </x:c>
    </x:row>
    <x:row r="2297">
      <x:c r="A2297" s="59" t="str">
        <x:v>Whale exit</x:v>
      </x:c>
      <x:c r="B2297" s="59" t="n">
        <x:v>104</x:v>
      </x:c>
      <x:c r="C2297" s="78" t="n">
        <x:f>(('Inputs'!$B$29*(3*104*'Inputs'!$B$12-104^2)/(2*'Inputs'!$B$12^2))-('Inputs'!$B$29*(3*103*'Inputs'!$B$12-103^2)/(2*'Inputs'!$B$12^2)))*'Inputs'!$B$50</x:f>
        <x:v>678337.6337023824</x:v>
      </x:c>
      <x:c r="D2297" s="78" t="n">
        <x:f>IF('Inputs'!$C$50&gt;0,('Inputs'!$B$30*(3*104*'Inputs'!$B$12-104^2)/(2*'Inputs'!$B$12^2))-('Inputs'!$B$30*(3*103*'Inputs'!$B$12-103^2)/(2*'Inputs'!$B$12^2)),0)</x:f>
        <x:v>290716.128729593</x:v>
      </x:c>
      <x:c r="E2297" s="78" t="n">
        <x:f>C2297+D2297</x:f>
        <x:v>969053.7624319755</x:v>
      </x:c>
      <x:c r="F2297" s="78" t="n">
        <x:f>'Inputs'!$B$13*E2297+(1-'Inputs'!$B$13)/'Inputs'!$B$14*SUM(E2242:E2297)</x:f>
        <x:v>979271.4392944269</x:v>
      </x:c>
      <x:c r="G2297" s="78" t="n">
        <x:f>F2297*'Inputs'!$F$50</x:f>
        <x:v>489635.71964721347</x:v>
      </x:c>
      <x:c r="H2297" s="78" t="n">
        <x:f>U2296</x:f>
        <x:v>48790761.590627864</x:v>
      </x:c>
      <x:c r="I2297" s="78" t="n">
        <x:f>V2296</x:f>
        <x:v>593.0142674211857</x:v>
      </x:c>
      <x:c r="J2297" s="79" t="n">
        <x:f>IF(H2297&gt;0,I2297/H2297,0)</x:f>
        <x:v>0.000012154232647499743</x:v>
      </x:c>
      <x:c r="K2297" s="80" t="n">
        <x:f>(H2297*J2297+I2297)*'Inputs'!$D$50*(1+'Inputs'!$G$50)^(B2297/30)</x:f>
        <x:v>1186.0285348423713</x:v>
      </x:c>
      <x:c r="L2297" s="80" t="n">
        <x:f>MAX(0,K2297*'Inputs'!$E$50)</x:f>
        <x:v>0</x:v>
      </x:c>
      <x:c r="M2297" s="80" t="n">
        <x:f>MAX(0,-K2297*'Inputs'!$E$50)</x:f>
        <x:v>0</x:v>
      </x:c>
      <x:c r="N2297" s="78" t="n">
        <x:f>H2297*(L2297*(1-'Inputs'!$B$15))/(I2297+L2297*(1-'Inputs'!$B$15))</x:f>
        <x:v>0</x:v>
      </x:c>
      <x:c r="O2297" s="78" t="n">
        <x:f>H2297-N2297</x:f>
        <x:v>48790761.590627864</x:v>
      </x:c>
      <x:c r="P2297" s="78" t="n">
        <x:f>I2297+L2297*(1-'Inputs'!$B$17)</x:f>
        <x:v>593.0142674211857</x:v>
      </x:c>
      <x:c r="Q2297" s="78" t="n">
        <x:f>IF(J2297&gt;0,M2297/J2297,0)</x:f>
        <x:v>0</x:v>
      </x:c>
      <x:c r="R2297" s="78" t="n">
        <x:f>IF(B2297='Inputs'!$H$50,'Inputs'!$B$27*'Inputs'!$I$50,0)</x:f>
        <x:v>0</x:v>
      </x:c>
      <x:c r="S2297" s="78" t="n">
        <x:f>Q2297+G2297+R2297</x:f>
        <x:v>489635.71964721347</x:v>
      </x:c>
      <x:c r="T2297" s="78" t="n">
        <x:f>P2297*(S2297*(1-'Inputs'!$B$15))/(O2297+S2297*(1-'Inputs'!$B$15))</x:f>
        <x:v>5.833677027203908</x:v>
      </x:c>
      <x:c r="U2297" s="78" t="n">
        <x:f>O2297+S2297*(1-'Inputs'!$B$17)</x:f>
        <x:v>49278426.945206076</x:v>
      </x:c>
      <x:c r="V2297" s="78" t="n">
        <x:f>P2297-T2297</x:f>
        <x:v>587.1805903939818</x:v>
      </x:c>
      <x:c r="W2297" s="79" t="n">
        <x:f>IF(U2297&gt;0,V2297/U2297,0)</x:f>
        <x:v>0.000011915570905842483</x:v>
      </x:c>
      <x:c r="X2297" s="80" t="n">
        <x:f>W2297*('Inputs'!$B$6-AC2297)</x:f>
        <x:v>11791.36153713334</x:v>
      </x:c>
      <x:c r="Y2297" s="80" t="n">
        <x:f>2*V2297</x:f>
        <x:v>1174.3611807879636</x:v>
      </x:c>
      <x:c r="Z2297" s="80" t="n">
        <x:f>K2297*'Inputs'!$B$16+(G2297+R2297)*J2297*'Inputs'!$B$16</x:f>
        <x:v>7.151878087748937</x:v>
      </x:c>
      <x:c r="AA2297" s="80" t="n">
        <x:f>K2297*(1+'Inputs'!$E$50)/2*'Inputs'!$B$17</x:f>
        <x:v>2.3863753216144294</x:v>
      </x:c>
      <x:c r="AB2297" s="78" t="n">
        <x:f>(IF(J2297&gt;0,K2297*(1-'Inputs'!$E$50)/2/J2297,0)+G2297+R2297)*'Inputs'!$B$17</x:f>
        <x:v>198311.45798903453</x:v>
      </x:c>
      <x:c r="AC2297" s="78" t="n">
        <x:f>AC2296+AB2297</x:f>
        <x:v>10424122.326211058</x:v>
      </x:c>
      <x:c r="AD2297" s="80" t="n">
        <x:f>Z2297/(1+'Inputs'!$C$50)</x:f>
        <x:v>3.5759390438744685</x:v>
      </x:c>
      <x:c r="AE2297" s="80" t="n">
        <x:f>Z2297-AD2297</x:f>
        <x:v>3.5759390438744685</x:v>
      </x:c>
      <x:c r="AF2297" s="80" t="n">
        <x:f>D2297*W2297</x:f>
        <x:v>3.4640486453494965</x:v>
      </x:c>
      <x:c r="AG2297" s="80" t="n">
        <x:f>C2297*W2297</x:f>
        <x:v>8.082780172482144</x:v>
      </x:c>
      <x:c r="AH2297" s="80" t="n">
        <x:f>2*'Inputs'!$B$8*'Inputs'!$C$50</x:f>
        <x:v>5000</x:v>
      </x:c>
      <x:c r="AI2297" s="81" t="n">
        <x:f>IF(AH2297&gt;0,(AE2297+AF2297)/AH2297*365,0)</x:f>
        <x:v>0.5139191013133495</x:v>
      </x:c>
      <x:c r="AJ2297" s="81" t="n">
        <x:f>IF('Inputs'!$B$50&gt;0,AG2297/('Inputs'!$B$19*'Inputs'!$B$50)*365,0)</x:f>
        <x:v>0.2950214762955983</x:v>
      </x:c>
      <x:c r="AK2297" s="81" t="n">
        <x:f>W2297/MAX($W$2194:W2297)-1</x:f>
        <x:v>-0.9858616715830538</x:v>
      </x:c>
      <x:c r="AL2297" s="83" t="n">
        <x:f>'Inputs'!$B$50</x:f>
        <x:v>1</x:v>
      </x:c>
      <x:c r="AM2297" s="83" t="n">
        <x:f>'Inputs'!$C$50</x:f>
        <x:v>1</x:v>
      </x:c>
      <x:c r="AN2297" s="83" t="n">
        <x:f>'Inputs'!$D$50</x:f>
        <x:v>1</x:v>
      </x:c>
      <x:c r="AO2297" s="81" t="n">
        <x:f>'Inputs'!$E$50</x:f>
        <x:v>0</x:v>
      </x:c>
    </x:row>
    <x:row r="2298">
      <x:c r="A2298" s="59" t="str">
        <x:v>Whale exit</x:v>
      </x:c>
      <x:c r="B2298" s="59" t="n">
        <x:v>105</x:v>
      </x:c>
      <x:c r="C2298" s="78" t="n">
        <x:f>(('Inputs'!$B$29*(3*105*'Inputs'!$B$12-105^2)/(2*'Inputs'!$B$12^2))-('Inputs'!$B$29*(3*104*'Inputs'!$B$12-104^2)/(2*'Inputs'!$B$12^2)))*'Inputs'!$B$50</x:f>
        <x:v>678012.52580221</x:v>
      </x:c>
      <x:c r="D2298" s="78" t="n">
        <x:f>IF('Inputs'!$C$50&gt;0,('Inputs'!$B$30*(3*105*'Inputs'!$B$12-105^2)/(2*'Inputs'!$B$12^2))-('Inputs'!$B$30*(3*104*'Inputs'!$B$12-104^2)/(2*'Inputs'!$B$12^2)),0)</x:f>
        <x:v>290576.7967723794</x:v>
      </x:c>
      <x:c r="E2298" s="78" t="n">
        <x:f>C2298+D2298</x:f>
        <x:v>968589.3225745894</x:v>
      </x:c>
      <x:c r="F2298" s="78" t="n">
        <x:f>'Inputs'!$B$13*E2298+(1-'Inputs'!$B$13)/'Inputs'!$B$14*SUM(E2243:E2298)</x:f>
        <x:v>978806.9994370425</x:v>
      </x:c>
      <x:c r="G2298" s="78" t="n">
        <x:f>F2298*'Inputs'!$F$50</x:f>
        <x:v>489403.49971852126</x:v>
      </x:c>
      <x:c r="H2298" s="78" t="n">
        <x:f>U2297</x:f>
        <x:v>49278426.945206076</x:v>
      </x:c>
      <x:c r="I2298" s="78" t="n">
        <x:f>V2297</x:f>
        <x:v>587.1805903939818</x:v>
      </x:c>
      <x:c r="J2298" s="79" t="n">
        <x:f>IF(H2298&gt;0,I2298/H2298,0)</x:f>
        <x:v>0.000011915570905842483</x:v>
      </x:c>
      <x:c r="K2298" s="80" t="n">
        <x:f>(H2298*J2298+I2298)*'Inputs'!$D$50*(1+'Inputs'!$G$50)^(B2298/30)</x:f>
        <x:v>1174.3611807879636</x:v>
      </x:c>
      <x:c r="L2298" s="80" t="n">
        <x:f>MAX(0,K2298*'Inputs'!$E$50)</x:f>
        <x:v>0</x:v>
      </x:c>
      <x:c r="M2298" s="80" t="n">
        <x:f>MAX(0,-K2298*'Inputs'!$E$50)</x:f>
        <x:v>0</x:v>
      </x:c>
      <x:c r="N2298" s="78" t="n">
        <x:f>H2298*(L2298*(1-'Inputs'!$B$15))/(I2298+L2298*(1-'Inputs'!$B$15))</x:f>
        <x:v>0</x:v>
      </x:c>
      <x:c r="O2298" s="78" t="n">
        <x:f>H2298-N2298</x:f>
        <x:v>49278426.945206076</x:v>
      </x:c>
      <x:c r="P2298" s="78" t="n">
        <x:f>I2298+L2298*(1-'Inputs'!$B$17)</x:f>
        <x:v>587.1805903939818</x:v>
      </x:c>
      <x:c r="Q2298" s="78" t="n">
        <x:f>IF(J2298&gt;0,M2298/J2298,0)</x:f>
        <x:v>0</x:v>
      </x:c>
      <x:c r="R2298" s="78" t="n">
        <x:f>IF(B2298='Inputs'!$H$50,'Inputs'!$B$27*'Inputs'!$I$50,0)</x:f>
        <x:v>0</x:v>
      </x:c>
      <x:c r="S2298" s="78" t="n">
        <x:f>Q2298+G2298+R2298</x:f>
        <x:v>489403.49971852126</x:v>
      </x:c>
      <x:c r="T2298" s="78" t="n">
        <x:f>P2298*(S2298*(1-'Inputs'!$B$15))/(O2298+S2298*(1-'Inputs'!$B$15))</x:f>
        <x:v>5.716996907155808</x:v>
      </x:c>
      <x:c r="U2298" s="78" t="n">
        <x:f>O2298+S2298*(1-'Inputs'!$B$17)</x:f>
        <x:v>49765861.014342226</x:v>
      </x:c>
      <x:c r="V2298" s="78" t="n">
        <x:f>P2298-T2298</x:f>
        <x:v>581.463593486826</x:v>
      </x:c>
      <x:c r="W2298" s="79" t="n">
        <x:f>IF(U2298&gt;0,V2298/U2298,0)</x:f>
        <x:v>0.000011683985399534263</x:v>
      </x:c>
      <x:c r="X2298" s="80" t="n">
        <x:f>W2298*('Inputs'!$B$6-AC2298)</x:f>
        <x:v>11559.850120136703</x:v>
      </x:c>
      <x:c r="Y2298" s="80" t="n">
        <x:f>2*V2298</x:f>
        <x:v>1162.927186973652</x:v>
      </x:c>
      <x:c r="Z2298" s="80" t="n">
        <x:f>K2298*'Inputs'!$B$16+(G2298+R2298)*J2298*'Inputs'!$B$16</x:f>
        <x:v>7.081156217342563</x:v>
      </x:c>
      <x:c r="AA2298" s="80" t="n">
        <x:f>K2298*(1+'Inputs'!$E$50)/2*'Inputs'!$B$17</x:f>
        <x:v>2.362899760136748</x:v>
      </x:c>
      <x:c r="AB2298" s="78" t="n">
        <x:f>(IF(J2298&gt;0,K2298*(1-'Inputs'!$E$50)/2/J2298,0)+G2298+R2298)*'Inputs'!$B$17</x:f>
        <x:v>200272.95953691995</x:v>
      </x:c>
      <x:c r="AC2298" s="78" t="n">
        <x:f>AC2297+AB2298</x:f>
        <x:v>10624395.285747977</x:v>
      </x:c>
      <x:c r="AD2298" s="80" t="n">
        <x:f>Z2298/(1+'Inputs'!$C$50)</x:f>
        <x:v>3.5405781086712813</x:v>
      </x:c>
      <x:c r="AE2298" s="80" t="n">
        <x:f>Z2298-AD2298</x:f>
        <x:v>3.5405781086712813</x:v>
      </x:c>
      <x:c r="AF2298" s="80" t="n">
        <x:f>D2298*W2298</x:f>
        <x:v>3.395095050931916</x:v>
      </x:c>
      <x:c r="AG2298" s="80" t="n">
        <x:f>C2298*W2298</x:f>
        <x:v>7.921888452174369</x:v>
      </x:c>
      <x:c r="AH2298" s="80" t="n">
        <x:f>2*'Inputs'!$B$8*'Inputs'!$C$50</x:f>
        <x:v>5000</x:v>
      </x:c>
      <x:c r="AI2298" s="81" t="n">
        <x:f>IF(AH2298&gt;0,(AE2298+AF2298)/AH2298*365,0)</x:f>
        <x:v>0.5063041406510334</x:v>
      </x:c>
      <x:c r="AJ2298" s="81" t="n">
        <x:f>IF('Inputs'!$B$50&gt;0,AG2298/('Inputs'!$B$19*'Inputs'!$B$50)*365,0)</x:f>
        <x:v>0.28914892850436447</x:v>
      </x:c>
      <x:c r="AK2298" s="81" t="n">
        <x:f>W2298/MAX($W$2194:W2298)-1</x:f>
        <x:v>-0.9861364575728032</x:v>
      </x:c>
      <x:c r="AL2298" s="83" t="n">
        <x:f>'Inputs'!$B$50</x:f>
        <x:v>1</x:v>
      </x:c>
      <x:c r="AM2298" s="83" t="n">
        <x:f>'Inputs'!$C$50</x:f>
        <x:v>1</x:v>
      </x:c>
      <x:c r="AN2298" s="83" t="n">
        <x:f>'Inputs'!$D$50</x:f>
        <x:v>1</x:v>
      </x:c>
      <x:c r="AO2298" s="81" t="n">
        <x:f>'Inputs'!$E$50</x:f>
        <x:v>0</x:v>
      </x:c>
    </x:row>
    <x:row r="2299">
      <x:c r="A2299" s="59" t="str">
        <x:v>Whale exit</x:v>
      </x:c>
      <x:c r="B2299" s="59" t="n">
        <x:v>106</x:v>
      </x:c>
      <x:c r="C2299" s="78" t="n">
        <x:f>(('Inputs'!$B$29*(3*106*'Inputs'!$B$12-106^2)/(2*'Inputs'!$B$12^2))-('Inputs'!$B$29*(3*105*'Inputs'!$B$12-105^2)/(2*'Inputs'!$B$12^2)))*'Inputs'!$B$50</x:f>
        <x:v>677687.4179020375</x:v>
      </x:c>
      <x:c r="D2299" s="78" t="n">
        <x:f>IF('Inputs'!$C$50&gt;0,('Inputs'!$B$30*(3*106*'Inputs'!$B$12-106^2)/(2*'Inputs'!$B$12^2))-('Inputs'!$B$30*(3*105*'Inputs'!$B$12-105^2)/(2*'Inputs'!$B$12^2)),0)</x:f>
        <x:v>290437.4648151621</x:v>
      </x:c>
      <x:c r="E2299" s="78" t="n">
        <x:f>C2299+D2299</x:f>
        <x:v>968124.8827171996</x:v>
      </x:c>
      <x:c r="F2299" s="78" t="n">
        <x:f>'Inputs'!$B$13*E2299+(1-'Inputs'!$B$13)/'Inputs'!$B$14*SUM(E2244:E2299)</x:f>
        <x:v>978342.5595796569</x:v>
      </x:c>
      <x:c r="G2299" s="78" t="n">
        <x:f>F2299*'Inputs'!$F$50</x:f>
        <x:v>489171.27978982846</x:v>
      </x:c>
      <x:c r="H2299" s="78" t="n">
        <x:f>U2298</x:f>
        <x:v>49765861.014342226</x:v>
      </x:c>
      <x:c r="I2299" s="78" t="n">
        <x:f>V2298</x:f>
        <x:v>581.463593486826</x:v>
      </x:c>
      <x:c r="J2299" s="79" t="n">
        <x:f>IF(H2299&gt;0,I2299/H2299,0)</x:f>
        <x:v>0.000011683985399534263</x:v>
      </x:c>
      <x:c r="K2299" s="80" t="n">
        <x:f>(H2299*J2299+I2299)*'Inputs'!$D$50*(1+'Inputs'!$G$50)^(B2299/30)</x:f>
        <x:v>1162.927186973652</x:v>
      </x:c>
      <x:c r="L2299" s="80" t="n">
        <x:f>MAX(0,K2299*'Inputs'!$E$50)</x:f>
        <x:v>0</x:v>
      </x:c>
      <x:c r="M2299" s="80" t="n">
        <x:f>MAX(0,-K2299*'Inputs'!$E$50)</x:f>
        <x:v>0</x:v>
      </x:c>
      <x:c r="N2299" s="78" t="n">
        <x:f>H2299*(L2299*(1-'Inputs'!$B$15))/(I2299+L2299*(1-'Inputs'!$B$15))</x:f>
        <x:v>0</x:v>
      </x:c>
      <x:c r="O2299" s="78" t="n">
        <x:f>H2299-N2299</x:f>
        <x:v>49765861.014342226</x:v>
      </x:c>
      <x:c r="P2299" s="78" t="n">
        <x:f>I2299+L2299*(1-'Inputs'!$B$17)</x:f>
        <x:v>581.463593486826</x:v>
      </x:c>
      <x:c r="Q2299" s="78" t="n">
        <x:f>IF(J2299&gt;0,M2299/J2299,0)</x:f>
        <x:v>0</x:v>
      </x:c>
      <x:c r="R2299" s="78" t="n">
        <x:f>IF(B2299='Inputs'!$H$50,'Inputs'!$B$27*'Inputs'!$I$50,0)</x:f>
        <x:v>0</x:v>
      </x:c>
      <x:c r="S2299" s="78" t="n">
        <x:f>Q2299+G2299+R2299</x:f>
        <x:v>489171.27978982846</x:v>
      </x:c>
      <x:c r="T2299" s="78" t="n">
        <x:f>P2299*(S2299*(1-'Inputs'!$B$15))/(O2299+S2299*(1-'Inputs'!$B$15))</x:f>
        <x:v>5.603784069411562</x:v>
      </x:c>
      <x:c r="U2299" s="78" t="n">
        <x:f>O2299+S2299*(1-'Inputs'!$B$17)</x:f>
        <x:v>50253063.79803632</x:v>
      </x:c>
      <x:c r="V2299" s="78" t="n">
        <x:f>P2299-T2299</x:f>
        <x:v>575.8598094174145</x:v>
      </x:c>
      <x:c r="W2299" s="79" t="n">
        <x:f>IF(U2299&gt;0,V2299/U2299,0)</x:f>
        <x:v>0.000011459198024855882</x:v>
      </x:c>
      <x:c r="X2299" s="80" t="n">
        <x:f>W2299*('Inputs'!$B$6-AC2299)</x:f>
        <x:v>11335.133541310504</x:v>
      </x:c>
      <x:c r="Y2299" s="80" t="n">
        <x:f>2*V2299</x:f>
        <x:v>1151.719618834829</x:v>
      </x:c>
      <x:c r="Z2299" s="80" t="n">
        <x:f>K2299*'Inputs'!$B$16+(G2299+R2299)*J2299*'Inputs'!$B$16</x:f>
        <x:v>7.011855942387527</x:v>
      </x:c>
      <x:c r="AA2299" s="80" t="n">
        <x:f>K2299*(1+'Inputs'!$E$50)/2*'Inputs'!$B$17</x:f>
        <x:v>2.339893736365497</x:v>
      </x:c>
      <x:c r="AB2299" s="78" t="n">
        <x:f>(IF(J2299&gt;0,K2299*(1-'Inputs'!$E$50)/2/J2299,0)+G2299+R2299)*'Inputs'!$B$17</x:f>
        <x:v>202233.53035868032</x:v>
      </x:c>
      <x:c r="AC2299" s="78" t="n">
        <x:f>AC2298+AB2299</x:f>
        <x:v>10826628.816106657</x:v>
      </x:c>
      <x:c r="AD2299" s="80" t="n">
        <x:f>Z2299/(1+'Inputs'!$C$50)</x:f>
        <x:v>3.5059279711937634</x:v>
      </x:c>
      <x:c r="AE2299" s="80" t="n">
        <x:f>Z2299-AD2299</x:f>
        <x:v>3.5059279711937634</x:v>
      </x:c>
      <x:c r="AF2299" s="80" t="n">
        <x:f>D2299*W2299</x:f>
        <x:v>3.3281804231540555</x:v>
      </x:c>
      <x:c r="AG2299" s="80" t="n">
        <x:f>C2299*W2299</x:f>
        <x:v>7.765754320692711</x:v>
      </x:c>
      <x:c r="AH2299" s="80" t="n">
        <x:f>2*'Inputs'!$B$8*'Inputs'!$C$50</x:f>
        <x:v>5000</x:v>
      </x:c>
      <x:c r="AI2299" s="81" t="n">
        <x:f>IF(AH2299&gt;0,(AE2299+AF2299)/AH2299*365,0)</x:f>
        <x:v>0.49888991278739075</x:v>
      </x:c>
      <x:c r="AJ2299" s="81" t="n">
        <x:f>IF('Inputs'!$B$50&gt;0,AG2299/('Inputs'!$B$19*'Inputs'!$B$50)*365,0)</x:f>
        <x:v>0.2834500327052839</x:v>
      </x:c>
      <x:c r="AK2299" s="81" t="n">
        <x:f>W2299/MAX($W$2194:W2299)-1</x:f>
        <x:v>-0.9864031772920931</x:v>
      </x:c>
      <x:c r="AL2299" s="83" t="n">
        <x:f>'Inputs'!$B$50</x:f>
        <x:v>1</x:v>
      </x:c>
      <x:c r="AM2299" s="83" t="n">
        <x:f>'Inputs'!$C$50</x:f>
        <x:v>1</x:v>
      </x:c>
      <x:c r="AN2299" s="83" t="n">
        <x:f>'Inputs'!$D$50</x:f>
        <x:v>1</x:v>
      </x:c>
      <x:c r="AO2299" s="81" t="n">
        <x:f>'Inputs'!$E$50</x:f>
        <x:v>0</x:v>
      </x:c>
    </x:row>
    <x:row r="2300">
      <x:c r="A2300" s="59" t="str">
        <x:v>Whale exit</x:v>
      </x:c>
      <x:c r="B2300" s="59" t="n">
        <x:v>107</x:v>
      </x:c>
      <x:c r="C2300" s="78" t="n">
        <x:f>(('Inputs'!$B$29*(3*107*'Inputs'!$B$12-107^2)/(2*'Inputs'!$B$12^2))-('Inputs'!$B$29*(3*106*'Inputs'!$B$12-106^2)/(2*'Inputs'!$B$12^2)))*'Inputs'!$B$50</x:f>
        <x:v>677362.3100018799</x:v>
      </x:c>
      <x:c r="D2300" s="78" t="n">
        <x:f>IF('Inputs'!$C$50&gt;0,('Inputs'!$B$30*(3*107*'Inputs'!$B$12-107^2)/(2*'Inputs'!$B$12^2))-('Inputs'!$B$30*(3*106*'Inputs'!$B$12-106^2)/(2*'Inputs'!$B$12^2)),0)</x:f>
        <x:v>290298.1328579448</x:v>
      </x:c>
      <x:c r="E2300" s="78" t="n">
        <x:f>C2300+D2300</x:f>
        <x:v>967660.4428598247</x:v>
      </x:c>
      <x:c r="F2300" s="78" t="n">
        <x:f>'Inputs'!$B$13*E2300+(1-'Inputs'!$B$13)/'Inputs'!$B$14*SUM(E2245:E2300)</x:f>
        <x:v>977878.1197222748</x:v>
      </x:c>
      <x:c r="G2300" s="78" t="n">
        <x:f>F2300*'Inputs'!$F$50</x:f>
        <x:v>488939.0598611374</x:v>
      </x:c>
      <x:c r="H2300" s="78" t="n">
        <x:f>U2299</x:f>
        <x:v>50253063.79803632</x:v>
      </x:c>
      <x:c r="I2300" s="78" t="n">
        <x:f>V2299</x:f>
        <x:v>575.8598094174145</x:v>
      </x:c>
      <x:c r="J2300" s="79" t="n">
        <x:f>IF(H2300&gt;0,I2300/H2300,0)</x:f>
        <x:v>0.000011459198024855882</x:v>
      </x:c>
      <x:c r="K2300" s="80" t="n">
        <x:f>(H2300*J2300+I2300)*'Inputs'!$D$50*(1+'Inputs'!$G$50)^(B2300/30)</x:f>
        <x:v>1151.719618834829</x:v>
      </x:c>
      <x:c r="L2300" s="80" t="n">
        <x:f>MAX(0,K2300*'Inputs'!$E$50)</x:f>
        <x:v>0</x:v>
      </x:c>
      <x:c r="M2300" s="80" t="n">
        <x:f>MAX(0,-K2300*'Inputs'!$E$50)</x:f>
        <x:v>0</x:v>
      </x:c>
      <x:c r="N2300" s="78" t="n">
        <x:f>H2300*(L2300*(1-'Inputs'!$B$15))/(I2300+L2300*(1-'Inputs'!$B$15))</x:f>
        <x:v>0</x:v>
      </x:c>
      <x:c r="O2300" s="78" t="n">
        <x:f>H2300-N2300</x:f>
        <x:v>50253063.79803632</x:v>
      </x:c>
      <x:c r="P2300" s="78" t="n">
        <x:f>I2300+L2300*(1-'Inputs'!$B$17)</x:f>
        <x:v>575.8598094174145</x:v>
      </x:c>
      <x:c r="Q2300" s="78" t="n">
        <x:f>IF(J2300&gt;0,M2300/J2300,0)</x:f>
        <x:v>0</x:v>
      </x:c>
      <x:c r="R2300" s="78" t="n">
        <x:f>IF(B2300='Inputs'!$H$50,'Inputs'!$B$27*'Inputs'!$I$50,0)</x:f>
        <x:v>0</x:v>
      </x:c>
      <x:c r="S2300" s="78" t="n">
        <x:f>Q2300+G2300+R2300</x:f>
        <x:v>488939.0598611374</x:v>
      </x:c>
      <x:c r="T2300" s="78" t="n">
        <x:f>P2300*(S2300*(1-'Inputs'!$B$15))/(O2300+S2300*(1-'Inputs'!$B$15))</x:f>
        <x:v>5.493902416615357</x:v>
      </x:c>
      <x:c r="U2300" s="78" t="n">
        <x:f>O2300+S2300*(1-'Inputs'!$B$17)</x:f>
        <x:v>50740035.29628836</x:v>
      </x:c>
      <x:c r="V2300" s="78" t="n">
        <x:f>P2300-T2300</x:f>
        <x:v>570.3659070007991</x:v>
      </x:c>
      <x:c r="W2300" s="79" t="n">
        <x:f>IF(U2300&gt;0,V2300/U2300,0)</x:f>
        <x:v>0.000011240944230137762</x:v>
      </x:c>
      <x:c r="X2300" s="80" t="n">
        <x:f>W2300*('Inputs'!$B$6-AC2300)</x:f>
        <x:v>11116.947375374253</x:v>
      </x:c>
      <x:c r="Y2300" s="80" t="n">
        <x:f>2*V2300</x:f>
        <x:v>1140.7318140015982</x:v>
      </x:c>
      <x:c r="Z2300" s="80" t="n">
        <x:f>K2300*'Inputs'!$B$16+(G2300+R2300)*J2300*'Inputs'!$B$16</x:f>
        <x:v>6.943934810063188</x:v>
      </x:c>
      <x:c r="AA2300" s="80" t="n">
        <x:f>K2300*(1+'Inputs'!$E$50)/2*'Inputs'!$B$17</x:f>
        <x:v>2.3173432974543844</x:v>
      </x:c>
      <x:c r="AB2300" s="78" t="n">
        <x:f>(IF(J2300&gt;0,K2300*(1-'Inputs'!$E$50)/2/J2300,0)+G2300+R2300)*'Inputs'!$B$17</x:f>
        <x:v>204193.17045431575</x:v>
      </x:c>
      <x:c r="AC2300" s="78" t="n">
        <x:f>AC2299+AB2300</x:f>
        <x:v>11030821.986560972</x:v>
      </x:c>
      <x:c r="AD2300" s="80" t="n">
        <x:f>Z2300/(1+'Inputs'!$C$50)</x:f>
        <x:v>3.471967405031594</x:v>
      </x:c>
      <x:c r="AE2300" s="80" t="n">
        <x:f>Z2300-AD2300</x:f>
        <x:v>3.471967405031594</x:v>
      </x:c>
      <x:c r="AF2300" s="80" t="n">
        <x:f>D2300*W2300</x:f>
        <x:v>3.2632251215692802</x:v>
      </x:c>
      <x:c r="AG2300" s="80" t="n">
        <x:f>C2300*W2300</x:f>
        <x:v>7.614191950328419</x:v>
      </x:c>
      <x:c r="AH2300" s="80" t="n">
        <x:f>2*'Inputs'!$B$8*'Inputs'!$C$50</x:f>
        <x:v>5000</x:v>
      </x:c>
      <x:c r="AI2300" s="81" t="n">
        <x:f>IF(AH2300&gt;0,(AE2300+AF2300)/AH2300*365,0)</x:f>
        <x:v>0.4916690544418638</x:v>
      </x:c>
      <x:c r="AJ2300" s="81" t="n">
        <x:f>IF('Inputs'!$B$50&gt;0,AG2300/('Inputs'!$B$19*'Inputs'!$B$50)*365,0)</x:f>
        <x:v>0.27791800618698725</x:v>
      </x:c>
      <x:c r="AK2300" s="81" t="n">
        <x:f>W2300/MAX($W$2194:W2300)-1</x:f>
        <x:v>-0.9866621446426593</x:v>
      </x:c>
      <x:c r="AL2300" s="83" t="n">
        <x:f>'Inputs'!$B$50</x:f>
        <x:v>1</x:v>
      </x:c>
      <x:c r="AM2300" s="83" t="n">
        <x:f>'Inputs'!$C$50</x:f>
        <x:v>1</x:v>
      </x:c>
      <x:c r="AN2300" s="83" t="n">
        <x:f>'Inputs'!$D$50</x:f>
        <x:v>1</x:v>
      </x:c>
      <x:c r="AO2300" s="81" t="n">
        <x:f>'Inputs'!$E$50</x:f>
        <x:v>0</x:v>
      </x:c>
    </x:row>
    <x:row r="2301">
      <x:c r="A2301" s="59" t="str">
        <x:v>Whale exit</x:v>
      </x:c>
      <x:c r="B2301" s="59" t="n">
        <x:v>108</x:v>
      </x:c>
      <x:c r="C2301" s="78" t="n">
        <x:f>(('Inputs'!$B$29*(3*108*'Inputs'!$B$12-108^2)/(2*'Inputs'!$B$12^2))-('Inputs'!$B$29*(3*107*'Inputs'!$B$12-107^2)/(2*'Inputs'!$B$12^2)))*'Inputs'!$B$50</x:f>
        <x:v>677037.2021017075</x:v>
      </x:c>
      <x:c r="D2301" s="78" t="n">
        <x:f>IF('Inputs'!$C$50&gt;0,('Inputs'!$B$30*(3*108*'Inputs'!$B$12-108^2)/(2*'Inputs'!$B$12^2))-('Inputs'!$B$30*(3*107*'Inputs'!$B$12-107^2)/(2*'Inputs'!$B$12^2)),0)</x:f>
        <x:v>290158.80090073124</x:v>
      </x:c>
      <x:c r="E2301" s="78" t="n">
        <x:f>C2301+D2301</x:f>
        <x:v>967196.0030024387</x:v>
      </x:c>
      <x:c r="F2301" s="78" t="n">
        <x:f>'Inputs'!$B$13*E2301+(1-'Inputs'!$B$13)/'Inputs'!$B$14*SUM(E2246:E2301)</x:f>
        <x:v>977413.6798648901</x:v>
      </x:c>
      <x:c r="G2301" s="78" t="n">
        <x:f>F2301*'Inputs'!$F$50</x:f>
        <x:v>488706.83993244503</x:v>
      </x:c>
      <x:c r="H2301" s="78" t="n">
        <x:f>U2300</x:f>
        <x:v>50740035.29628836</x:v>
      </x:c>
      <x:c r="I2301" s="78" t="n">
        <x:f>V2300</x:f>
        <x:v>570.3659070007991</x:v>
      </x:c>
      <x:c r="J2301" s="79" t="n">
        <x:f>IF(H2301&gt;0,I2301/H2301,0)</x:f>
        <x:v>0.000011240944230137762</x:v>
      </x:c>
      <x:c r="K2301" s="80" t="n">
        <x:f>(H2301*J2301+I2301)*'Inputs'!$D$50*(1+'Inputs'!$G$50)^(B2301/30)</x:f>
        <x:v>1140.7318140015982</x:v>
      </x:c>
      <x:c r="L2301" s="80" t="n">
        <x:f>MAX(0,K2301*'Inputs'!$E$50)</x:f>
        <x:v>0</x:v>
      </x:c>
      <x:c r="M2301" s="80" t="n">
        <x:f>MAX(0,-K2301*'Inputs'!$E$50)</x:f>
        <x:v>0</x:v>
      </x:c>
      <x:c r="N2301" s="78" t="n">
        <x:f>H2301*(L2301*(1-'Inputs'!$B$15))/(I2301+L2301*(1-'Inputs'!$B$15))</x:f>
        <x:v>0</x:v>
      </x:c>
      <x:c r="O2301" s="78" t="n">
        <x:f>H2301-N2301</x:f>
        <x:v>50740035.29628836</x:v>
      </x:c>
      <x:c r="P2301" s="78" t="n">
        <x:f>I2301+L2301*(1-'Inputs'!$B$17)</x:f>
        <x:v>570.3659070007991</x:v>
      </x:c>
      <x:c r="Q2301" s="78" t="n">
        <x:f>IF(J2301&gt;0,M2301/J2301,0)</x:f>
        <x:v>0</x:v>
      </x:c>
      <x:c r="R2301" s="78" t="n">
        <x:f>IF(B2301='Inputs'!$H$50,'Inputs'!$B$27*'Inputs'!$I$50,0)</x:f>
        <x:v>0</x:v>
      </x:c>
      <x:c r="S2301" s="78" t="n">
        <x:f>Q2301+G2301+R2301</x:f>
        <x:v>488706.83993244503</x:v>
      </x:c>
      <x:c r="T2301" s="78" t="n">
        <x:f>P2301*(S2301*(1-'Inputs'!$B$15))/(O2301+S2301*(1-'Inputs'!$B$15))</x:f>
        <x:v>5.387222465978757</x:v>
      </x:c>
      <x:c r="U2301" s="78" t="n">
        <x:f>O2301+S2301*(1-'Inputs'!$B$17)</x:f>
        <x:v>51226775.50909834</x:v>
      </x:c>
      <x:c r="V2301" s="78" t="n">
        <x:f>P2301-T2301</x:f>
        <x:v>564.9786845348203</x:v>
      </x:c>
      <x:c r="W2301" s="79" t="n">
        <x:f>IF(U2301&gt;0,V2301/U2301,0)</x:f>
        <x:v>0.00001102897223024461</x:v>
      </x:c>
      <x:c r="X2301" s="80" t="n">
        <x:f>W2301*('Inputs'!$B$6-AC2301)</x:f>
        <x:v>10905.039957520268</x:v>
      </x:c>
      <x:c r="Y2301" s="80" t="n">
        <x:f>2*V2301</x:f>
        <x:v>1129.9573690696407</x:v>
      </x:c>
      <x:c r="Z2301" s="80" t="n">
        <x:f>K2301*'Inputs'!$B$16+(G2301+R2301)*J2301*'Inputs'!$B$16</x:f>
        <x:v>6.877352042004994</x:v>
      </x:c>
      <x:c r="AA2301" s="80" t="n">
        <x:f>K2301*(1+'Inputs'!$E$50)/2*'Inputs'!$B$17</x:f>
        <x:v>2.295235038232592</x:v>
      </x:c>
      <x:c r="AB2301" s="78" t="n">
        <x:f>(IF(J2301&gt;0,K2301*(1-'Inputs'!$E$50)/2/J2301,0)+G2301+R2301)*'Inputs'!$B$17</x:f>
        <x:v>206151.8798238262</x:v>
      </x:c>
      <x:c r="AC2301" s="78" t="n">
        <x:f>AC2300+AB2301</x:f>
        <x:v>11236973.866384799</x:v>
      </x:c>
      <x:c r="AD2301" s="80" t="n">
        <x:f>Z2301/(1+'Inputs'!$C$50)</x:f>
        <x:v>3.438676021002497</x:v>
      </x:c>
      <x:c r="AE2301" s="80" t="n">
        <x:f>Z2301-AD2301</x:f>
        <x:v>3.438676021002497</x:v>
      </x:c>
      <x:c r="AF2301" s="80" t="n">
        <x:f>D2301*W2301</x:f>
        <x:v>3.2001533574952394</x:v>
      </x:c>
      <x:c r="AG2301" s="80" t="n">
        <x:f>C2301*W2301</x:f>
        <x:v>7.467024500822239</x:v>
      </x:c>
      <x:c r="AH2301" s="80" t="n">
        <x:f>2*'Inputs'!$B$8*'Inputs'!$C$50</x:f>
        <x:v>5000</x:v>
      </x:c>
      <x:c r="AI2301" s="81" t="n">
        <x:f>IF(AH2301&gt;0,(AE2301+AF2301)/AH2301*365,0)</x:f>
        <x:v>0.48463454463033473</x:v>
      </x:c>
      <x:c r="AJ2301" s="81" t="n">
        <x:f>IF('Inputs'!$B$50&gt;0,AG2301/('Inputs'!$B$19*'Inputs'!$B$50)*365,0)</x:f>
        <x:v>0.2725463942800117</x:v>
      </x:c>
      <x:c r="AK2301" s="81" t="n">
        <x:f>W2301/MAX($W$2194:W2301)-1</x:f>
        <x:v>-0.9869136583782049</x:v>
      </x:c>
      <x:c r="AL2301" s="83" t="n">
        <x:f>'Inputs'!$B$50</x:f>
        <x:v>1</x:v>
      </x:c>
      <x:c r="AM2301" s="83" t="n">
        <x:f>'Inputs'!$C$50</x:f>
        <x:v>1</x:v>
      </x:c>
      <x:c r="AN2301" s="83" t="n">
        <x:f>'Inputs'!$D$50</x:f>
        <x:v>1</x:v>
      </x:c>
      <x:c r="AO2301" s="81" t="n">
        <x:f>'Inputs'!$E$50</x:f>
        <x:v>0</x:v>
      </x:c>
    </x:row>
    <x:row r="2302">
      <x:c r="A2302" s="59" t="str">
        <x:v>Whale exit</x:v>
      </x:c>
      <x:c r="B2302" s="59" t="n">
        <x:v>109</x:v>
      </x:c>
      <x:c r="C2302" s="78" t="n">
        <x:f>(('Inputs'!$B$29*(3*109*'Inputs'!$B$12-109^2)/(2*'Inputs'!$B$12^2))-('Inputs'!$B$29*(3*108*'Inputs'!$B$12-108^2)/(2*'Inputs'!$B$12^2)))*'Inputs'!$B$50</x:f>
        <x:v>676712.0942015499</x:v>
      </x:c>
      <x:c r="D2302" s="78" t="n">
        <x:f>IF('Inputs'!$C$50&gt;0,('Inputs'!$B$30*(3*109*'Inputs'!$B$12-109^2)/(2*'Inputs'!$B$12^2))-('Inputs'!$B$30*(3*108*'Inputs'!$B$12-108^2)/(2*'Inputs'!$B$12^2)),0)</x:f>
        <x:v>290019.46894351766</x:v>
      </x:c>
      <x:c r="E2302" s="78" t="n">
        <x:f>C2302+D2302</x:f>
        <x:v>966731.5631450675</x:v>
      </x:c>
      <x:c r="F2302" s="78" t="n">
        <x:f>'Inputs'!$B$13*E2302+(1-'Inputs'!$B$13)/'Inputs'!$B$14*SUM(E2247:E2302)</x:f>
        <x:v>976949.2400075087</x:v>
      </x:c>
      <x:c r="G2302" s="78" t="n">
        <x:f>F2302*'Inputs'!$F$50</x:f>
        <x:v>488474.62000375433</x:v>
      </x:c>
      <x:c r="H2302" s="78" t="n">
        <x:f>U2301</x:f>
        <x:v>51226775.50909834</x:v>
      </x:c>
      <x:c r="I2302" s="78" t="n">
        <x:f>V2301</x:f>
        <x:v>564.9786845348203</x:v>
      </x:c>
      <x:c r="J2302" s="79" t="n">
        <x:f>IF(H2302&gt;0,I2302/H2302,0)</x:f>
        <x:v>0.00001102897223024461</x:v>
      </x:c>
      <x:c r="K2302" s="80" t="n">
        <x:f>(H2302*J2302+I2302)*'Inputs'!$D$50*(1+'Inputs'!$G$50)^(B2302/30)</x:f>
        <x:v>1129.9573690696407</x:v>
      </x:c>
      <x:c r="L2302" s="80" t="n">
        <x:f>MAX(0,K2302*'Inputs'!$E$50)</x:f>
        <x:v>0</x:v>
      </x:c>
      <x:c r="M2302" s="80" t="n">
        <x:f>MAX(0,-K2302*'Inputs'!$E$50)</x:f>
        <x:v>0</x:v>
      </x:c>
      <x:c r="N2302" s="78" t="n">
        <x:f>H2302*(L2302*(1-'Inputs'!$B$15))/(I2302+L2302*(1-'Inputs'!$B$15))</x:f>
        <x:v>0</x:v>
      </x:c>
      <x:c r="O2302" s="78" t="n">
        <x:f>H2302-N2302</x:f>
        <x:v>51226775.50909834</x:v>
      </x:c>
      <x:c r="P2302" s="78" t="n">
        <x:f>I2302+L2302*(1-'Inputs'!$B$17)</x:f>
        <x:v>564.9786845348203</x:v>
      </x:c>
      <x:c r="Q2302" s="78" t="n">
        <x:f>IF(J2302&gt;0,M2302/J2302,0)</x:f>
        <x:v>0</x:v>
      </x:c>
      <x:c r="R2302" s="78" t="n">
        <x:f>IF(B2302='Inputs'!$H$50,'Inputs'!$B$27*'Inputs'!$I$50,0)</x:f>
        <x:v>0</x:v>
      </x:c>
      <x:c r="S2302" s="78" t="n">
        <x:f>Q2302+G2302+R2302</x:f>
        <x:v>488474.62000375433</x:v>
      </x:c>
      <x:c r="T2302" s="78" t="n">
        <x:f>P2302*(S2302*(1-'Inputs'!$B$15))/(O2302+S2302*(1-'Inputs'!$B$15))</x:f>
        <x:v>5.283620967147966</x:v>
      </x:c>
      <x:c r="U2302" s="78" t="n">
        <x:f>O2302+S2302*(1-'Inputs'!$B$17)</x:f>
        <x:v>51713284.43646627</x:v>
      </x:c>
      <x:c r="V2302" s="78" t="n">
        <x:f>P2302-T2302</x:f>
        <x:v>559.6950635676724</x:v>
      </x:c>
      <x:c r="W2302" s="79" t="n">
        <x:f>IF(U2302&gt;0,V2302/U2302,0)</x:f>
        <x:v>0.000010823042273698562</x:v>
      </x:c>
      <x:c r="X2302" s="80" t="n">
        <x:f>W2302*('Inputs'!$B$6-AC2302)</x:f>
        <x:v>10699.171650883078</x:v>
      </x:c>
      <x:c r="Y2302" s="80" t="n">
        <x:f>2*V2302</x:f>
        <x:v>1119.3901271353448</x:v>
      </x:c>
      <x:c r="Z2302" s="80" t="n">
        <x:f>K2302*'Inputs'!$B$16+(G2302+R2302)*J2302*'Inputs'!$B$16</x:f>
        <x:v>6.812068452533048</x:v>
      </x:c>
      <x:c r="AA2302" s="80" t="n">
        <x:f>K2302*(1+'Inputs'!$E$50)/2*'Inputs'!$B$17</x:f>
        <x:v>2.273556074586802</x:v>
      </x:c>
      <x:c r="AB2302" s="78" t="n">
        <x:f>(IF(J2302&gt;0,K2302*(1-'Inputs'!$E$50)/2/J2302,0)+G2302+R2302)*'Inputs'!$B$17</x:f>
        <x:v>208109.65846721167</x:v>
      </x:c>
      <x:c r="AC2302" s="78" t="n">
        <x:f>AC2301+AB2302</x:f>
        <x:v>11445083.52485201</x:v>
      </x:c>
      <x:c r="AD2302" s="80" t="n">
        <x:f>Z2302/(1+'Inputs'!$C$50)</x:f>
        <x:v>3.406034226266524</x:v>
      </x:c>
      <x:c r="AE2302" s="80" t="n">
        <x:f>Z2302-AD2302</x:f>
        <x:v>3.406034226266524</x:v>
      </x:c>
      <x:c r="AF2302" s="80" t="n">
        <x:f>D2302*W2302</x:f>
        <x:v>3.138892972571299</x:v>
      </x:c>
      <x:c r="AG2302" s="80" t="n">
        <x:f>C2302*W2302</x:f>
        <x:v>7.324083602666458</x:v>
      </x:c>
      <x:c r="AH2302" s="80" t="n">
        <x:f>2*'Inputs'!$B$8*'Inputs'!$C$50</x:f>
        <x:v>5000</x:v>
      </x:c>
      <x:c r="AI2302" s="81" t="n">
        <x:f>IF(AH2302&gt;0,(AE2302+AF2302)/AH2302*365,0)</x:f>
        <x:v>0.47777968551516103</x:v>
      </x:c>
      <x:c r="AJ2302" s="81" t="n">
        <x:f>IF('Inputs'!$B$50&gt;0,AG2302/('Inputs'!$B$19*'Inputs'!$B$50)*365,0)</x:f>
        <x:v>0.2673290514973257</x:v>
      </x:c>
      <x:c r="AK2302" s="81" t="n">
        <x:f>W2302/MAX($W$2194:W2302)-1</x:f>
        <x:v>-0.9871580029739898</x:v>
      </x:c>
      <x:c r="AL2302" s="83" t="n">
        <x:f>'Inputs'!$B$50</x:f>
        <x:v>1</x:v>
      </x:c>
      <x:c r="AM2302" s="83" t="n">
        <x:f>'Inputs'!$C$50</x:f>
        <x:v>1</x:v>
      </x:c>
      <x:c r="AN2302" s="83" t="n">
        <x:f>'Inputs'!$D$50</x:f>
        <x:v>1</x:v>
      </x:c>
      <x:c r="AO2302" s="81" t="n">
        <x:f>'Inputs'!$E$50</x:f>
        <x:v>0</x:v>
      </x:c>
    </x:row>
    <x:row r="2303">
      <x:c r="A2303" s="59" t="str">
        <x:v>Whale exit</x:v>
      </x:c>
      <x:c r="B2303" s="59" t="n">
        <x:v>110</x:v>
      </x:c>
      <x:c r="C2303" s="78" t="n">
        <x:f>(('Inputs'!$B$29*(3*110*'Inputs'!$B$12-110^2)/(2*'Inputs'!$B$12^2))-('Inputs'!$B$29*(3*109*'Inputs'!$B$12-109^2)/(2*'Inputs'!$B$12^2)))*'Inputs'!$B$50</x:f>
        <x:v>676386.9863013625</x:v>
      </x:c>
      <x:c r="D2303" s="78" t="n">
        <x:f>IF('Inputs'!$C$50&gt;0,('Inputs'!$B$30*(3*110*'Inputs'!$B$12-110^2)/(2*'Inputs'!$B$12^2))-('Inputs'!$B$30*(3*109*'Inputs'!$B$12-109^2)/(2*'Inputs'!$B$12^2)),0)</x:f>
        <x:v>289880.13698630035</x:v>
      </x:c>
      <x:c r="E2303" s="78" t="n">
        <x:f>C2303+D2303</x:f>
        <x:v>966267.1232876629</x:v>
      </x:c>
      <x:c r="F2303" s="78" t="n">
        <x:f>'Inputs'!$B$13*E2303+(1-'Inputs'!$B$13)/'Inputs'!$B$14*SUM(E2248:E2303)</x:f>
        <x:v>976484.8001501204</x:v>
      </x:c>
      <x:c r="G2303" s="78" t="n">
        <x:f>F2303*'Inputs'!$F$50</x:f>
        <x:v>488242.4000750602</x:v>
      </x:c>
      <x:c r="H2303" s="78" t="n">
        <x:f>U2302</x:f>
        <x:v>51713284.43646627</x:v>
      </x:c>
      <x:c r="I2303" s="78" t="n">
        <x:f>V2302</x:f>
        <x:v>559.6950635676724</x:v>
      </x:c>
      <x:c r="J2303" s="79" t="n">
        <x:f>IF(H2303&gt;0,I2303/H2303,0)</x:f>
        <x:v>0.000010823042273698562</x:v>
      </x:c>
      <x:c r="K2303" s="80" t="n">
        <x:f>(H2303*J2303+I2303)*'Inputs'!$D$50*(1+'Inputs'!$G$50)^(B2303/30)</x:f>
        <x:v>1119.3901271353448</x:v>
      </x:c>
      <x:c r="L2303" s="80" t="n">
        <x:f>MAX(0,K2303*'Inputs'!$E$50)</x:f>
        <x:v>0</x:v>
      </x:c>
      <x:c r="M2303" s="80" t="n">
        <x:f>MAX(0,-K2303*'Inputs'!$E$50)</x:f>
        <x:v>0</x:v>
      </x:c>
      <x:c r="N2303" s="78" t="n">
        <x:f>H2303*(L2303*(1-'Inputs'!$B$15))/(I2303+L2303*(1-'Inputs'!$B$15))</x:f>
        <x:v>0</x:v>
      </x:c>
      <x:c r="O2303" s="78" t="n">
        <x:f>H2303-N2303</x:f>
        <x:v>51713284.43646627</x:v>
      </x:c>
      <x:c r="P2303" s="78" t="n">
        <x:f>I2303+L2303*(1-'Inputs'!$B$17)</x:f>
        <x:v>559.6950635676724</x:v>
      </x:c>
      <x:c r="Q2303" s="78" t="n">
        <x:f>IF(J2303&gt;0,M2303/J2303,0)</x:f>
        <x:v>0</x:v>
      </x:c>
      <x:c r="R2303" s="78" t="n">
        <x:f>IF(B2303='Inputs'!$H$50,'Inputs'!$B$27*'Inputs'!$I$50,0)</x:f>
        <x:v>0</x:v>
      </x:c>
      <x:c r="S2303" s="78" t="n">
        <x:f>Q2303+G2303+R2303</x:f>
        <x:v>488242.4000750602</x:v>
      </x:c>
      <x:c r="T2303" s="78" t="n">
        <x:f>P2303*(S2303*(1-'Inputs'!$B$15))/(O2303+S2303*(1-'Inputs'!$B$15))</x:f>
        <x:v>5.182980545584302</x:v>
      </x:c>
      <x:c r="U2303" s="78" t="n">
        <x:f>O2303+S2303*(1-'Inputs'!$B$17)</x:f>
        <x:v>52199562.07839213</x:v>
      </x:c>
      <x:c r="V2303" s="78" t="n">
        <x:f>P2303-T2303</x:f>
        <x:v>554.5120830220881</x:v>
      </x:c>
      <x:c r="W2303" s="79" t="n">
        <x:f>IF(U2303&gt;0,V2303/U2303,0)</x:f>
        <x:v>0.000010622925958446438</x:v>
      </x:c>
      <x:c r="X2303" s="80" t="n">
        <x:f>W2303*('Inputs'!$B$6-AC2303)</x:f>
        <x:v>10499.114162630027</x:v>
      </x:c>
      <x:c r="Y2303" s="80" t="n">
        <x:f>2*V2303</x:f>
        <x:v>1109.0241660441761</x:v>
      </x:c>
      <x:c r="Z2303" s="80" t="n">
        <x:f>K2303*'Inputs'!$B$16+(G2303+R2303)*J2303*'Inputs'!$B$16</x:f>
        <x:v>6.748046371627015</x:v>
      </x:c>
      <x:c r="AA2303" s="80" t="n">
        <x:f>K2303*(1+'Inputs'!$E$50)/2*'Inputs'!$B$17</x:f>
        <x:v>2.2522940183809754</x:v>
      </x:c>
      <x:c r="AB2303" s="78" t="n">
        <x:f>(IF(J2303&gt;0,K2303*(1-'Inputs'!$E$50)/2/J2303,0)+G2303+R2303)*'Inputs'!$B$17</x:f>
        <x:v>210066.5063844722</x:v>
      </x:c>
      <x:c r="AC2303" s="78" t="n">
        <x:f>AC2302+AB2303</x:f>
        <x:v>11655150.03123648</x:v>
      </x:c>
      <x:c r="AD2303" s="80" t="n">
        <x:f>Z2303/(1+'Inputs'!$C$50)</x:f>
        <x:v>3.3740231858135075</x:v>
      </x:c>
      <x:c r="AE2303" s="80" t="n">
        <x:f>Z2303-AD2303</x:f>
        <x:v>3.3740231858135075</x:v>
      </x:c>
      <x:c r="AF2303" s="80" t="n">
        <x:f>D2303*W2303</x:f>
        <x:v>3.079375232029779</x:v>
      </x:c>
      <x:c r="AG2303" s="80" t="n">
        <x:f>C2303*W2303</x:f>
        <x:v>7.185208874736099</x:v>
      </x:c>
      <x:c r="AH2303" s="80" t="n">
        <x:f>2*'Inputs'!$B$8*'Inputs'!$C$50</x:f>
        <x:v>5000</x:v>
      </x:c>
      <x:c r="AI2303" s="81" t="n">
        <x:f>IF(AH2303&gt;0,(AE2303+AF2303)/AH2303*365,0)</x:f>
        <x:v>0.47109808450255997</x:v>
      </x:c>
      <x:c r="AJ2303" s="81" t="n">
        <x:f>IF('Inputs'!$B$50&gt;0,AG2303/('Inputs'!$B$19*'Inputs'!$B$50)*365,0)</x:f>
        <x:v>0.26226012392786757</x:v>
      </x:c>
      <x:c r="AK2303" s="81" t="n">
        <x:f>W2303/MAX($W$2194:W2303)-1</x:f>
        <x:v>-0.9873954494387024</x:v>
      </x:c>
      <x:c r="AL2303" s="83" t="n">
        <x:f>'Inputs'!$B$50</x:f>
        <x:v>1</x:v>
      </x:c>
      <x:c r="AM2303" s="83" t="n">
        <x:f>'Inputs'!$C$50</x:f>
        <x:v>1</x:v>
      </x:c>
      <x:c r="AN2303" s="83" t="n">
        <x:f>'Inputs'!$D$50</x:f>
        <x:v>1</x:v>
      </x:c>
      <x:c r="AO2303" s="81" t="n">
        <x:f>'Inputs'!$E$50</x:f>
        <x:v>0</x:v>
      </x:c>
    </x:row>
    <x:row r="2304">
      <x:c r="A2304" s="59" t="str">
        <x:v>Whale exit</x:v>
      </x:c>
      <x:c r="B2304" s="59" t="n">
        <x:v>111</x:v>
      </x:c>
      <x:c r="C2304" s="78" t="n">
        <x:f>(('Inputs'!$B$29*(3*111*'Inputs'!$B$12-111^2)/(2*'Inputs'!$B$12^2))-('Inputs'!$B$29*(3*110*'Inputs'!$B$12-110^2)/(2*'Inputs'!$B$12^2)))*'Inputs'!$B$50</x:f>
        <x:v>676061.878401205</x:v>
      </x:c>
      <x:c r="D2304" s="78" t="n">
        <x:f>IF('Inputs'!$C$50&gt;0,('Inputs'!$B$30*(3*111*'Inputs'!$B$12-111^2)/(2*'Inputs'!$B$12^2))-('Inputs'!$B$30*(3*110*'Inputs'!$B$12-110^2)/(2*'Inputs'!$B$12^2)),0)</x:f>
        <x:v>289740.80502908677</x:v>
      </x:c>
      <x:c r="E2304" s="78" t="n">
        <x:f>C2304+D2304</x:f>
        <x:v>965802.6834302917</x:v>
      </x:c>
      <x:c r="F2304" s="78" t="n">
        <x:f>'Inputs'!$B$13*E2304+(1-'Inputs'!$B$13)/'Inputs'!$B$14*SUM(E2249:E2304)</x:f>
        <x:v>976020.3602927391</x:v>
      </x:c>
      <x:c r="G2304" s="78" t="n">
        <x:f>F2304*'Inputs'!$F$50</x:f>
        <x:v>488010.18014636956</x:v>
      </x:c>
      <x:c r="H2304" s="78" t="n">
        <x:f>U2303</x:f>
        <x:v>52199562.07839213</x:v>
      </x:c>
      <x:c r="I2304" s="78" t="n">
        <x:f>V2303</x:f>
        <x:v>554.5120830220881</x:v>
      </x:c>
      <x:c r="J2304" s="79" t="n">
        <x:f>IF(H2304&gt;0,I2304/H2304,0)</x:f>
        <x:v>0.000010622925958446438</x:v>
      </x:c>
      <x:c r="K2304" s="80" t="n">
        <x:f>(H2304*J2304+I2304)*'Inputs'!$D$50*(1+'Inputs'!$G$50)^(B2304/30)</x:f>
        <x:v>1109.0241660441761</x:v>
      </x:c>
      <x:c r="L2304" s="80" t="n">
        <x:f>MAX(0,K2304*'Inputs'!$E$50)</x:f>
        <x:v>0</x:v>
      </x:c>
      <x:c r="M2304" s="80" t="n">
        <x:f>MAX(0,-K2304*'Inputs'!$E$50)</x:f>
        <x:v>0</x:v>
      </x:c>
      <x:c r="N2304" s="78" t="n">
        <x:f>H2304*(L2304*(1-'Inputs'!$B$15))/(I2304+L2304*(1-'Inputs'!$B$15))</x:f>
        <x:v>0</x:v>
      </x:c>
      <x:c r="O2304" s="78" t="n">
        <x:f>H2304-N2304</x:f>
        <x:v>52199562.07839213</x:v>
      </x:c>
      <x:c r="P2304" s="78" t="n">
        <x:f>I2304+L2304*(1-'Inputs'!$B$17)</x:f>
        <x:v>554.5120830220881</x:v>
      </x:c>
      <x:c r="Q2304" s="78" t="n">
        <x:f>IF(J2304&gt;0,M2304/J2304,0)</x:f>
        <x:v>0</x:v>
      </x:c>
      <x:c r="R2304" s="78" t="n">
        <x:f>IF(B2304='Inputs'!$H$50,'Inputs'!$B$27*'Inputs'!$I$50,0)</x:f>
        <x:v>0</x:v>
      </x:c>
      <x:c r="S2304" s="78" t="n">
        <x:f>Q2304+G2304+R2304</x:f>
        <x:v>488010.18014636956</x:v>
      </x:c>
      <x:c r="T2304" s="78" t="n">
        <x:f>P2304*(S2304*(1-'Inputs'!$B$15))/(O2304+S2304*(1-'Inputs'!$B$15))</x:f>
        <x:v>5.085189369529956</x:v>
      </x:c>
      <x:c r="U2304" s="78" t="n">
        <x:f>O2304+S2304*(1-'Inputs'!$B$17)</x:f>
        <x:v>52685608.43487594</x:v>
      </x:c>
      <x:c r="V2304" s="78" t="n">
        <x:f>P2304-T2304</x:f>
        <x:v>549.4268936525581</x:v>
      </x:c>
      <x:c r="W2304" s="79" t="n">
        <x:f>IF(U2304&gt;0,V2304/U2304,0)</x:f>
        <x:v>0.000010428405592614503</x:v>
      </x:c>
      <x:c r="X2304" s="80" t="n">
        <x:f>W2304*('Inputs'!$B$6-AC2304)</x:f>
        <x:v>10304.64990501822</x:v>
      </x:c>
      <x:c r="Y2304" s="80" t="n">
        <x:f>2*V2304</x:f>
        <x:v>1098.8537873051162</x:v>
      </x:c>
      <x:c r="Z2304" s="80" t="n">
        <x:f>K2304*'Inputs'!$B$16+(G2304+R2304)*J2304*'Inputs'!$B$16</x:f>
        <x:v>6.685249572329035</x:v>
      </x:c>
      <x:c r="AA2304" s="80" t="n">
        <x:f>K2304*(1+'Inputs'!$E$50)/2*'Inputs'!$B$17</x:f>
        <x:v>2.2314369538112198</x:v>
      </x:c>
      <x:c r="AB2304" s="78" t="n">
        <x:f>(IF(J2304&gt;0,K2304*(1-'Inputs'!$E$50)/2/J2304,0)+G2304+R2304)*'Inputs'!$B$17</x:f>
        <x:v>212022.42357560765</x:v>
      </x:c>
      <x:c r="AC2304" s="78" t="n">
        <x:f>AC2303+AB2304</x:f>
        <x:v>11867172.454812089</x:v>
      </x:c>
      <x:c r="AD2304" s="80" t="n">
        <x:f>Z2304/(1+'Inputs'!$C$50)</x:f>
        <x:v>3.3426247861645173</x:v>
      </x:c>
      <x:c r="AE2304" s="80" t="n">
        <x:f>Z2304-AD2304</x:f>
        <x:v>3.3426247861645173</x:v>
      </x:c>
      <x:c r="AF2304" s="80" t="n">
        <x:f>D2304*W2304</x:f>
        <x:v>3.0215346315739566</x:v>
      </x:c>
      <x:c r="AG2304" s="80" t="n">
        <x:f>C2304*W2304</x:f>
        <x:v>7.0502474736725915</x:v>
      </x:c>
      <x:c r="AH2304" s="80" t="n">
        <x:f>2*'Inputs'!$B$8*'Inputs'!$C$50</x:f>
        <x:v>5000</x:v>
      </x:c>
      <x:c r="AI2304" s="81" t="n">
        <x:f>IF(AH2304&gt;0,(AE2304+AF2304)/AH2304*365,0)</x:f>
        <x:v>0.46458363749490855</x:v>
      </x:c>
      <x:c r="AJ2304" s="81" t="n">
        <x:f>IF('Inputs'!$B$50&gt;0,AG2304/('Inputs'!$B$19*'Inputs'!$B$50)*365,0)</x:f>
        <x:v>0.2573340327890496</x:v>
      </x:c>
      <x:c r="AK2304" s="81" t="n">
        <x:f>W2304/MAX($W$2194:W2304)-1</x:f>
        <x:v>-0.98762625607295</x:v>
      </x:c>
      <x:c r="AL2304" s="83" t="n">
        <x:f>'Inputs'!$B$50</x:f>
        <x:v>1</x:v>
      </x:c>
      <x:c r="AM2304" s="83" t="n">
        <x:f>'Inputs'!$C$50</x:f>
        <x:v>1</x:v>
      </x:c>
      <x:c r="AN2304" s="83" t="n">
        <x:f>'Inputs'!$D$50</x:f>
        <x:v>1</x:v>
      </x:c>
      <x:c r="AO2304" s="81" t="n">
        <x:f>'Inputs'!$E$50</x:f>
        <x:v>0</x:v>
      </x:c>
    </x:row>
    <x:row r="2305">
      <x:c r="A2305" s="59" t="str">
        <x:v>Whale exit</x:v>
      </x:c>
      <x:c r="B2305" s="59" t="n">
        <x:v>112</x:v>
      </x:c>
      <x:c r="C2305" s="78" t="n">
        <x:f>(('Inputs'!$B$29*(3*112*'Inputs'!$B$12-112^2)/(2*'Inputs'!$B$12^2))-('Inputs'!$B$29*(3*111*'Inputs'!$B$12-111^2)/(2*'Inputs'!$B$12^2)))*'Inputs'!$B$50</x:f>
        <x:v>675736.7705010325</x:v>
      </x:c>
      <x:c r="D2305" s="78" t="n">
        <x:f>IF('Inputs'!$C$50&gt;0,('Inputs'!$B$30*(3*112*'Inputs'!$B$12-112^2)/(2*'Inputs'!$B$12^2))-('Inputs'!$B$30*(3*111*'Inputs'!$B$12-111^2)/(2*'Inputs'!$B$12^2)),0)</x:f>
        <x:v>289601.4730718732</x:v>
      </x:c>
      <x:c r="E2305" s="78" t="n">
        <x:f>C2305+D2305</x:f>
        <x:v>965338.2435729057</x:v>
      </x:c>
      <x:c r="F2305" s="78" t="n">
        <x:f>'Inputs'!$B$13*E2305+(1-'Inputs'!$B$13)/'Inputs'!$B$14*SUM(E2250:E2305)</x:f>
        <x:v>975555.9204353546</x:v>
      </x:c>
      <x:c r="G2305" s="78" t="n">
        <x:f>F2305*'Inputs'!$F$50</x:f>
        <x:v>487777.9602176773</x:v>
      </x:c>
      <x:c r="H2305" s="78" t="n">
        <x:f>U2304</x:f>
        <x:v>52685608.43487594</x:v>
      </x:c>
      <x:c r="I2305" s="78" t="n">
        <x:f>V2304</x:f>
        <x:v>549.4268936525581</x:v>
      </x:c>
      <x:c r="J2305" s="79" t="n">
        <x:f>IF(H2305&gt;0,I2305/H2305,0)</x:f>
        <x:v>0.000010428405592614503</x:v>
      </x:c>
      <x:c r="K2305" s="80" t="n">
        <x:f>(H2305*J2305+I2305)*'Inputs'!$D$50*(1+'Inputs'!$G$50)^(B2305/30)</x:f>
        <x:v>1098.8537873051162</x:v>
      </x:c>
      <x:c r="L2305" s="80" t="n">
        <x:f>MAX(0,K2305*'Inputs'!$E$50)</x:f>
        <x:v>0</x:v>
      </x:c>
      <x:c r="M2305" s="80" t="n">
        <x:f>MAX(0,-K2305*'Inputs'!$E$50)</x:f>
        <x:v>0</x:v>
      </x:c>
      <x:c r="N2305" s="78" t="n">
        <x:f>H2305*(L2305*(1-'Inputs'!$B$15))/(I2305+L2305*(1-'Inputs'!$B$15))</x:f>
        <x:v>0</x:v>
      </x:c>
      <x:c r="O2305" s="78" t="n">
        <x:f>H2305-N2305</x:f>
        <x:v>52685608.43487594</x:v>
      </x:c>
      <x:c r="P2305" s="78" t="n">
        <x:f>I2305+L2305*(1-'Inputs'!$B$17)</x:f>
        <x:v>549.4268936525581</x:v>
      </x:c>
      <x:c r="Q2305" s="78" t="n">
        <x:f>IF(J2305&gt;0,M2305/J2305,0)</x:f>
        <x:v>0</x:v>
      </x:c>
      <x:c r="R2305" s="78" t="n">
        <x:f>IF(B2305='Inputs'!$H$50,'Inputs'!$B$27*'Inputs'!$I$50,0)</x:f>
        <x:v>0</x:v>
      </x:c>
      <x:c r="S2305" s="78" t="n">
        <x:f>Q2305+G2305+R2305</x:f>
        <x:v>487777.9602176773</x:v>
      </x:c>
      <x:c r="T2305" s="78" t="n">
        <x:f>P2305*(S2305*(1-'Inputs'!$B$15))/(O2305+S2305*(1-'Inputs'!$B$15))</x:f>
        <x:v>4.9901408387921045</x:v>
      </x:c>
      <x:c r="U2305" s="78" t="n">
        <x:f>O2305+S2305*(1-'Inputs'!$B$17)</x:f>
        <x:v>53171423.50591769</x:v>
      </x:c>
      <x:c r="V2305" s="78" t="n">
        <x:f>P2305-T2305</x:f>
        <x:v>544.436752813766</x:v>
      </x:c>
      <x:c r="W2305" s="79" t="n">
        <x:f>IF(U2305&gt;0,V2305/U2305,0)</x:f>
        <x:v>0.000010239273596900658</x:v>
      </x:c>
      <x:c r="X2305" s="80" t="n">
        <x:f>W2305*('Inputs'!$B$6-AC2305)</x:f>
        <x:v>10115.571398069273</x:v>
      </x:c>
      <x:c r="Y2305" s="80" t="n">
        <x:f>2*V2305</x:f>
        <x:v>1088.873505627532</x:v>
      </x:c>
      <x:c r="Z2305" s="80" t="n">
        <x:f>K2305*'Inputs'!$B$16+(G2305+R2305)*J2305*'Inputs'!$B$16</x:f>
        <x:v>6.623643202280426</x:v>
      </x:c>
      <x:c r="AA2305" s="80" t="n">
        <x:f>K2305*(1+'Inputs'!$E$50)/2*'Inputs'!$B$17</x:f>
        <x:v>2.2109734151008373</x:v>
      </x:c>
      <x:c r="AB2305" s="78" t="n">
        <x:f>(IF(J2305&gt;0,K2305*(1-'Inputs'!$E$50)/2/J2305,0)+G2305+R2305)*'Inputs'!$B$17</x:f>
        <x:v>213977.4100406182</x:v>
      </x:c>
      <x:c r="AC2305" s="78" t="n">
        <x:f>AC2304+AB2305</x:f>
        <x:v>12081149.864852708</x:v>
      </x:c>
      <x:c r="AD2305" s="80" t="n">
        <x:f>Z2305/(1+'Inputs'!$C$50)</x:f>
        <x:v>3.311821601140213</x:v>
      </x:c>
      <x:c r="AE2305" s="80" t="n">
        <x:f>Z2305-AD2305</x:f>
        <x:v>3.311821601140213</x:v>
      </x:c>
      <x:c r="AF2305" s="80" t="n">
        <x:f>D2305*W2305</x:f>
        <x:v>2.965308716848368</x:v>
      </x:c>
      <x:c r="AG2305" s="80" t="n">
        <x:f>C2305*W2305</x:f>
        <x:v>6.919053672646141</x:v>
      </x:c>
      <x:c r="AH2305" s="80" t="n">
        <x:f>2*'Inputs'!$B$8*'Inputs'!$C$50</x:f>
        <x:v>5000</x:v>
      </x:c>
      <x:c r="AI2305" s="81" t="n">
        <x:f>IF(AH2305&gt;0,(AE2305+AF2305)/AH2305*365,0)</x:f>
        <x:v>0.4582305132131664</x:v>
      </x:c>
      <x:c r="AJ2305" s="81" t="n">
        <x:f>IF('Inputs'!$B$50&gt;0,AG2305/('Inputs'!$B$19*'Inputs'!$B$50)*365,0)</x:f>
        <x:v>0.25254545905158415</x:v>
      </x:c>
      <x:c r="AK2305" s="81" t="n">
        <x:f>W2305/MAX($W$2194:W2305)-1</x:f>
        <x:v>-0.9878506691783467</x:v>
      </x:c>
      <x:c r="AL2305" s="83" t="n">
        <x:f>'Inputs'!$B$50</x:f>
        <x:v>1</x:v>
      </x:c>
      <x:c r="AM2305" s="83" t="n">
        <x:f>'Inputs'!$C$50</x:f>
        <x:v>1</x:v>
      </x:c>
      <x:c r="AN2305" s="83" t="n">
        <x:f>'Inputs'!$D$50</x:f>
        <x:v>1</x:v>
      </x:c>
      <x:c r="AO2305" s="81" t="n">
        <x:f>'Inputs'!$E$50</x:f>
        <x:v>0</x:v>
      </x:c>
    </x:row>
    <x:row r="2306">
      <x:c r="A2306" s="59" t="str">
        <x:v>Whale exit</x:v>
      </x:c>
      <x:c r="B2306" s="59" t="n">
        <x:v>113</x:v>
      </x:c>
      <x:c r="C2306" s="78" t="n">
        <x:f>(('Inputs'!$B$29*(3*113*'Inputs'!$B$12-113^2)/(2*'Inputs'!$B$12^2))-('Inputs'!$B$29*(3*112*'Inputs'!$B$12-112^2)/(2*'Inputs'!$B$12^2)))*'Inputs'!$B$50</x:f>
        <x:v>675411.66260086</x:v>
      </x:c>
      <x:c r="D2306" s="78" t="n">
        <x:f>IF('Inputs'!$C$50&gt;0,('Inputs'!$B$30*(3*113*'Inputs'!$B$12-113^2)/(2*'Inputs'!$B$12^2))-('Inputs'!$B$30*(3*112*'Inputs'!$B$12-112^2)/(2*'Inputs'!$B$12^2)),0)</x:f>
        <x:v>289462.14111465216</x:v>
      </x:c>
      <x:c r="E2306" s="78" t="n">
        <x:f>C2306+D2306</x:f>
        <x:v>964873.8037155122</x:v>
      </x:c>
      <x:c r="F2306" s="78" t="n">
        <x:f>'Inputs'!$B$13*E2306+(1-'Inputs'!$B$13)/'Inputs'!$B$14*SUM(E2251:E2306)</x:f>
        <x:v>975091.4805779682</x:v>
      </x:c>
      <x:c r="G2306" s="78" t="n">
        <x:f>F2306*'Inputs'!$F$50</x:f>
        <x:v>487545.7402889841</x:v>
      </x:c>
      <x:c r="H2306" s="78" t="n">
        <x:f>U2305</x:f>
        <x:v>53171423.50591769</x:v>
      </x:c>
      <x:c r="I2306" s="78" t="n">
        <x:f>V2305</x:f>
        <x:v>544.436752813766</x:v>
      </x:c>
      <x:c r="J2306" s="79" t="n">
        <x:f>IF(H2306&gt;0,I2306/H2306,0)</x:f>
        <x:v>0.000010239273596900658</x:v>
      </x:c>
      <x:c r="K2306" s="80" t="n">
        <x:f>(H2306*J2306+I2306)*'Inputs'!$D$50*(1+'Inputs'!$G$50)^(B2306/30)</x:f>
        <x:v>1088.873505627532</x:v>
      </x:c>
      <x:c r="L2306" s="80" t="n">
        <x:f>MAX(0,K2306*'Inputs'!$E$50)</x:f>
        <x:v>0</x:v>
      </x:c>
      <x:c r="M2306" s="80" t="n">
        <x:f>MAX(0,-K2306*'Inputs'!$E$50)</x:f>
        <x:v>0</x:v>
      </x:c>
      <x:c r="N2306" s="78" t="n">
        <x:f>H2306*(L2306*(1-'Inputs'!$B$15))/(I2306+L2306*(1-'Inputs'!$B$15))</x:f>
        <x:v>0</x:v>
      </x:c>
      <x:c r="O2306" s="78" t="n">
        <x:f>H2306-N2306</x:f>
        <x:v>53171423.50591769</x:v>
      </x:c>
      <x:c r="P2306" s="78" t="n">
        <x:f>I2306+L2306*(1-'Inputs'!$B$17)</x:f>
        <x:v>544.436752813766</x:v>
      </x:c>
      <x:c r="Q2306" s="78" t="n">
        <x:f>IF(J2306&gt;0,M2306/J2306,0)</x:f>
        <x:v>0</x:v>
      </x:c>
      <x:c r="R2306" s="78" t="n">
        <x:f>IF(B2306='Inputs'!$H$50,'Inputs'!$B$27*'Inputs'!$I$50,0)</x:f>
        <x:v>0</x:v>
      </x:c>
      <x:c r="S2306" s="78" t="n">
        <x:f>Q2306+G2306+R2306</x:f>
        <x:v>487545.7402889841</x:v>
      </x:c>
      <x:c r="T2306" s="78" t="n">
        <x:f>P2306*(S2306*(1-'Inputs'!$B$15))/(O2306+S2306*(1-'Inputs'!$B$15))</x:f>
        <x:v>4.89773329372759</x:v>
      </x:c>
      <x:c r="U2306" s="78" t="n">
        <x:f>O2306+S2306*(1-'Inputs'!$B$17)</x:f>
        <x:v>53657007.291517384</x:v>
      </x:c>
      <x:c r="V2306" s="78" t="n">
        <x:f>P2306-T2306</x:f>
        <x:v>539.5390195200384</x:v>
      </x:c>
      <x:c r="W2306" s="79" t="n">
        <x:f>IF(U2306&gt;0,V2306/U2306,0)</x:f>
        <x:v>0.000010055331945532005</x:v>
      </x:c>
      <x:c r="X2306" s="80" t="n">
        <x:f>W2306*('Inputs'!$B$6-AC2306)</x:f>
        <x:v>9931.680710791294</x:v>
      </x:c>
      <x:c r="Y2306" s="80" t="n">
        <x:f>2*V2306</x:f>
        <x:v>1079.0780390400769</x:v>
      </x:c>
      <x:c r="Z2306" s="80" t="n">
        <x:f>K2306*'Inputs'!$B$16+(G2306+R2306)*J2306*'Inputs'!$B$16</x:f>
        <x:v>6.563193719120127</x:v>
      </x:c>
      <x:c r="AA2306" s="80" t="n">
        <x:f>K2306*(1+'Inputs'!$E$50)/2*'Inputs'!$B$17</x:f>
        <x:v>2.1908923654477506</x:v>
      </x:c>
      <x:c r="AB2306" s="78" t="n">
        <x:f>(IF(J2306&gt;0,K2306*(1-'Inputs'!$E$50)/2/J2306,0)+G2306+R2306)*'Inputs'!$B$17</x:f>
        <x:v>215931.46577950375</x:v>
      </x:c>
      <x:c r="AC2306" s="78" t="n">
        <x:f>AC2305+AB2306</x:f>
        <x:v>12297081.330632212</x:v>
      </x:c>
      <x:c r="AD2306" s="80" t="n">
        <x:f>Z2306/(1+'Inputs'!$C$50)</x:f>
        <x:v>3.2815968595600635</x:v>
      </x:c>
      <x:c r="AE2306" s="80" t="n">
        <x:f>Z2306-AD2306</x:f>
        <x:v>3.2815968595600635</x:v>
      </x:c>
      <x:c r="AF2306" s="80" t="n">
        <x:f>D2306*W2306</x:f>
        <x:v>2.910637914572255</x:v>
      </x:c>
      <x:c r="AG2306" s="80" t="n">
        <x:f>C2306*W2306</x:f>
        <x:v>6.791488467335311</x:v>
      </x:c>
      <x:c r="AH2306" s="80" t="n">
        <x:f>2*'Inputs'!$B$8*'Inputs'!$C$50</x:f>
        <x:v>5000</x:v>
      </x:c>
      <x:c r="AI2306" s="81" t="n">
        <x:f>IF(AH2306&gt;0,(AE2306+AF2306)/AH2306*365,0)</x:f>
        <x:v>0.4520331385116592</x:v>
      </x:c>
      <x:c r="AJ2306" s="81" t="n">
        <x:f>IF('Inputs'!$B$50&gt;0,AG2306/('Inputs'!$B$19*'Inputs'!$B$50)*365,0)</x:f>
        <x:v>0.24788932905773886</x:v>
      </x:c>
      <x:c r="AK2306" s="81" t="n">
        <x:f>W2306/MAX($W$2194:W2306)-1</x:f>
        <x:v>-0.9880689237208403</x:v>
      </x:c>
      <x:c r="AL2306" s="83" t="n">
        <x:f>'Inputs'!$B$50</x:f>
        <x:v>1</x:v>
      </x:c>
      <x:c r="AM2306" s="83" t="n">
        <x:f>'Inputs'!$C$50</x:f>
        <x:v>1</x:v>
      </x:c>
      <x:c r="AN2306" s="83" t="n">
        <x:f>'Inputs'!$D$50</x:f>
        <x:v>1</x:v>
      </x:c>
      <x:c r="AO2306" s="81" t="n">
        <x:f>'Inputs'!$E$50</x:f>
        <x:v>0</x:v>
      </x:c>
    </x:row>
    <x:row r="2307">
      <x:c r="A2307" s="59" t="str">
        <x:v>Whale exit</x:v>
      </x:c>
      <x:c r="B2307" s="59" t="n">
        <x:v>114</x:v>
      </x:c>
      <x:c r="C2307" s="78" t="n">
        <x:f>(('Inputs'!$B$29*(3*114*'Inputs'!$B$12-114^2)/(2*'Inputs'!$B$12^2))-('Inputs'!$B$29*(3*113*'Inputs'!$B$12-113^2)/(2*'Inputs'!$B$12^2)))*'Inputs'!$B$50</x:f>
        <x:v>675086.5547006875</x:v>
      </x:c>
      <x:c r="D2307" s="78" t="n">
        <x:f>IF('Inputs'!$C$50&gt;0,('Inputs'!$B$30*(3*114*'Inputs'!$B$12-114^2)/(2*'Inputs'!$B$12^2))-('Inputs'!$B$30*(3*113*'Inputs'!$B$12-113^2)/(2*'Inputs'!$B$12^2)),0)</x:f>
        <x:v>289322.8091574386</x:v>
      </x:c>
      <x:c r="E2307" s="78" t="n">
        <x:f>C2307+D2307</x:f>
        <x:v>964409.3638581261</x:v>
      </x:c>
      <x:c r="F2307" s="78" t="n">
        <x:f>'Inputs'!$B$13*E2307+(1-'Inputs'!$B$13)/'Inputs'!$B$14*SUM(E2252:E2307)</x:f>
        <x:v>974627.0407205839</x:v>
      </x:c>
      <x:c r="G2307" s="78" t="n">
        <x:f>F2307*'Inputs'!$F$50</x:f>
        <x:v>487313.52036029194</x:v>
      </x:c>
      <x:c r="H2307" s="78" t="n">
        <x:f>U2306</x:f>
        <x:v>53657007.291517384</x:v>
      </x:c>
      <x:c r="I2307" s="78" t="n">
        <x:f>V2306</x:f>
        <x:v>539.5390195200384</x:v>
      </x:c>
      <x:c r="J2307" s="79" t="n">
        <x:f>IF(H2307&gt;0,I2307/H2307,0)</x:f>
        <x:v>0.000010055331945532005</x:v>
      </x:c>
      <x:c r="K2307" s="80" t="n">
        <x:f>(H2307*J2307+I2307)*'Inputs'!$D$50*(1+'Inputs'!$G$50)^(B2307/30)</x:f>
        <x:v>1079.0780390400769</x:v>
      </x:c>
      <x:c r="L2307" s="80" t="n">
        <x:f>MAX(0,K2307*'Inputs'!$E$50)</x:f>
        <x:v>0</x:v>
      </x:c>
      <x:c r="M2307" s="80" t="n">
        <x:f>MAX(0,-K2307*'Inputs'!$E$50)</x:f>
        <x:v>0</x:v>
      </x:c>
      <x:c r="N2307" s="78" t="n">
        <x:f>H2307*(L2307*(1-'Inputs'!$B$15))/(I2307+L2307*(1-'Inputs'!$B$15))</x:f>
        <x:v>0</x:v>
      </x:c>
      <x:c r="O2307" s="78" t="n">
        <x:f>H2307-N2307</x:f>
        <x:v>53657007.291517384</x:v>
      </x:c>
      <x:c r="P2307" s="78" t="n">
        <x:f>I2307+L2307*(1-'Inputs'!$B$17)</x:f>
        <x:v>539.5390195200384</x:v>
      </x:c>
      <x:c r="Q2307" s="78" t="n">
        <x:f>IF(J2307&gt;0,M2307/J2307,0)</x:f>
        <x:v>0</x:v>
      </x:c>
      <x:c r="R2307" s="78" t="n">
        <x:f>IF(B2307='Inputs'!$H$50,'Inputs'!$B$27*'Inputs'!$I$50,0)</x:f>
        <x:v>0</x:v>
      </x:c>
      <x:c r="S2307" s="78" t="n">
        <x:f>Q2307+G2307+R2307</x:f>
        <x:v>487313.52036029194</x:v>
      </x:c>
      <x:c r="T2307" s="78" t="n">
        <x:f>P2307*(S2307*(1-'Inputs'!$B$15))/(O2307+S2307*(1-'Inputs'!$B$15))</x:f>
        <x:v>4.807869742942681</x:v>
      </x:c>
      <x:c r="U2307" s="78" t="n">
        <x:f>O2307+S2307*(1-'Inputs'!$B$17)</x:f>
        <x:v>54142359.79167502</x:v>
      </x:c>
      <x:c r="V2307" s="78" t="n">
        <x:f>P2307-T2307</x:f>
        <x:v>534.7311497770958</x:v>
      </x:c>
      <x:c r="W2307" s="79" t="n">
        <x:f>IF(U2307&gt;0,V2307/U2307,0)</x:f>
        <x:v>0.000009876391642968554</x:v>
      </x:c>
      <x:c r="X2307" s="80" t="n">
        <x:f>W2307*('Inputs'!$B$6-AC2307)</x:f>
        <x:v>9752.788938130161</x:v>
      </x:c>
      <x:c r="Y2307" s="80" t="n">
        <x:f>2*V2307</x:f>
        <x:v>1069.4622995541915</x:v>
      </x:c>
      <x:c r="Z2307" s="80" t="n">
        <x:f>K2307*'Inputs'!$B$16+(G2307+R2307)*J2307*'Inputs'!$B$16</x:f>
        <x:v>6.503868829493072</x:v>
      </x:c>
      <x:c r="AA2307" s="80" t="n">
        <x:f>K2307*(1+'Inputs'!$E$50)/2*'Inputs'!$B$17</x:f>
        <x:v>2.171183177143012</x:v>
      </x:c>
      <x:c r="AB2307" s="78" t="n">
        <x:f>(IF(J2307&gt;0,K2307*(1-'Inputs'!$E$50)/2/J2307,0)+G2307+R2307)*'Inputs'!$B$17</x:f>
        <x:v>217884.5907922643</x:v>
      </x:c>
      <x:c r="AC2307" s="78" t="n">
        <x:f>AC2306+AB2307</x:f>
        <x:v>12514965.921424476</x:v>
      </x:c>
      <x:c r="AD2307" s="80" t="n">
        <x:f>Z2307/(1+'Inputs'!$C$50)</x:f>
        <x:v>3.251934414746536</x:v>
      </x:c>
      <x:c r="AE2307" s="80" t="n">
        <x:f>Z2307-AD2307</x:f>
        <x:v>3.251934414746536</x:v>
      </x:c>
      <x:c r="AF2307" s="80" t="n">
        <x:f>D2307*W2307</x:f>
        <x:v>2.8574653744827123</x:v>
      </x:c>
      <x:c r="AG2307" s="80" t="n">
        <x:f>C2307*W2307</x:f>
        <x:v>6.667419207126304</x:v>
      </x:c>
      <x:c r="AH2307" s="80" t="n">
        <x:f>2*'Inputs'!$B$8*'Inputs'!$C$50</x:f>
        <x:v>5000</x:v>
      </x:c>
      <x:c r="AI2307" s="81" t="n">
        <x:f>IF(AH2307&gt;0,(AE2307+AF2307)/AH2307*365,0)</x:f>
        <x:v>0.4459861846137352</x:v>
      </x:c>
      <x:c r="AJ2307" s="81" t="n">
        <x:f>IF('Inputs'!$B$50&gt;0,AG2307/('Inputs'!$B$19*'Inputs'!$B$50)*365,0)</x:f>
        <x:v>0.24336080106011013</x:v>
      </x:c>
      <x:c r="AK2307" s="81" t="n">
        <x:f>W2307/MAX($W$2194:W2307)-1</x:f>
        <x:v>-0.9882812439516259</x:v>
      </x:c>
      <x:c r="AL2307" s="83" t="n">
        <x:f>'Inputs'!$B$50</x:f>
        <x:v>1</x:v>
      </x:c>
      <x:c r="AM2307" s="83" t="n">
        <x:f>'Inputs'!$C$50</x:f>
        <x:v>1</x:v>
      </x:c>
      <x:c r="AN2307" s="83" t="n">
        <x:f>'Inputs'!$D$50</x:f>
        <x:v>1</x:v>
      </x:c>
      <x:c r="AO2307" s="81" t="n">
        <x:f>'Inputs'!$E$50</x:f>
        <x:v>0</x:v>
      </x:c>
    </x:row>
    <x:row r="2308">
      <x:c r="A2308" s="59" t="str">
        <x:v>Whale exit</x:v>
      </x:c>
      <x:c r="B2308" s="59" t="n">
        <x:v>115</x:v>
      </x:c>
      <x:c r="C2308" s="78" t="n">
        <x:f>(('Inputs'!$B$29*(3*115*'Inputs'!$B$12-115^2)/(2*'Inputs'!$B$12^2))-('Inputs'!$B$29*(3*114*'Inputs'!$B$12-114^2)/(2*'Inputs'!$B$12^2)))*'Inputs'!$B$50</x:f>
        <x:v>674761.44680053</x:v>
      </x:c>
      <x:c r="D2308" s="78" t="n">
        <x:f>IF('Inputs'!$C$50&gt;0,('Inputs'!$B$30*(3*115*'Inputs'!$B$12-115^2)/(2*'Inputs'!$B$12^2))-('Inputs'!$B$30*(3*114*'Inputs'!$B$12-114^2)/(2*'Inputs'!$B$12^2)),0)</x:f>
        <x:v>289183.47720023245</x:v>
      </x:c>
      <x:c r="E2308" s="78" t="n">
        <x:f>C2308+D2308</x:f>
        <x:v>963944.9240007624</x:v>
      </x:c>
      <x:c r="F2308" s="78" t="n">
        <x:f>'Inputs'!$B$13*E2308+(1-'Inputs'!$B$13)/'Inputs'!$B$14*SUM(E2253:E2308)</x:f>
        <x:v>974162.6008632038</x:v>
      </x:c>
      <x:c r="G2308" s="78" t="n">
        <x:f>F2308*'Inputs'!$F$50</x:f>
        <x:v>487081.3004316019</x:v>
      </x:c>
      <x:c r="H2308" s="78" t="n">
        <x:f>U2307</x:f>
        <x:v>54142359.79167502</x:v>
      </x:c>
      <x:c r="I2308" s="78" t="n">
        <x:f>V2307</x:f>
        <x:v>534.7311497770958</x:v>
      </x:c>
      <x:c r="J2308" s="79" t="n">
        <x:f>IF(H2308&gt;0,I2308/H2308,0)</x:f>
        <x:v>0.000009876391642968554</x:v>
      </x:c>
      <x:c r="K2308" s="80" t="n">
        <x:f>(H2308*J2308+I2308)*'Inputs'!$D$50*(1+'Inputs'!$G$50)^(B2308/30)</x:f>
        <x:v>1069.4622995541915</x:v>
      </x:c>
      <x:c r="L2308" s="80" t="n">
        <x:f>MAX(0,K2308*'Inputs'!$E$50)</x:f>
        <x:v>0</x:v>
      </x:c>
      <x:c r="M2308" s="80" t="n">
        <x:f>MAX(0,-K2308*'Inputs'!$E$50)</x:f>
        <x:v>0</x:v>
      </x:c>
      <x:c r="N2308" s="78" t="n">
        <x:f>H2308*(L2308*(1-'Inputs'!$B$15))/(I2308+L2308*(1-'Inputs'!$B$15))</x:f>
        <x:v>0</x:v>
      </x:c>
      <x:c r="O2308" s="78" t="n">
        <x:f>H2308-N2308</x:f>
        <x:v>54142359.79167502</x:v>
      </x:c>
      <x:c r="P2308" s="78" t="n">
        <x:f>I2308+L2308*(1-'Inputs'!$B$17)</x:f>
        <x:v>534.7311497770958</x:v>
      </x:c>
      <x:c r="Q2308" s="78" t="n">
        <x:f>IF(J2308&gt;0,M2308/J2308,0)</x:f>
        <x:v>0</x:v>
      </x:c>
      <x:c r="R2308" s="78" t="n">
        <x:f>IF(B2308='Inputs'!$H$50,'Inputs'!$B$27*'Inputs'!$I$50,0)</x:f>
        <x:v>0</x:v>
      </x:c>
      <x:c r="S2308" s="78" t="n">
        <x:f>Q2308+G2308+R2308</x:f>
        <x:v>487081.3004316019</x:v>
      </x:c>
      <x:c r="T2308" s="78" t="n">
        <x:f>P2308*(S2308*(1-'Inputs'!$B$15))/(O2308+S2308*(1-'Inputs'!$B$15))</x:f>
        <x:v>4.720457608345032</x:v>
      </x:c>
      <x:c r="U2308" s="78" t="n">
        <x:f>O2308+S2308*(1-'Inputs'!$B$17)</x:f>
        <x:v>54627481.006390594</x:v>
      </x:c>
      <x:c r="V2308" s="78" t="n">
        <x:f>P2308-T2308</x:f>
        <x:v>530.0106921687508</x:v>
      </x:c>
      <x:c r="W2308" s="79" t="n">
        <x:f>IF(U2308&gt;0,V2308/U2308,0)</x:f>
        <x:v>0.000009702272233763579</x:v>
      </x:c>
      <x:c r="X2308" s="80" t="n">
        <x:f>W2308*('Inputs'!$B$6-AC2308)</x:f>
        <x:v>9578.715711061814</x:v>
      </x:c>
      <x:c r="Y2308" s="80" t="n">
        <x:f>2*V2308</x:f>
        <x:v>1060.0213843375016</x:v>
      </x:c>
      <x:c r="Z2308" s="80" t="n">
        <x:f>K2308*'Inputs'!$B$16+(G2308+R2308)*J2308*'Inputs'!$B$16</x:f>
        <x:v>6.445637431435323</x:v>
      </x:c>
      <x:c r="AA2308" s="80" t="n">
        <x:f>K2308*(1+'Inputs'!$E$50)/2*'Inputs'!$B$17</x:f>
        <x:v>2.151835612785094</x:v>
      </x:c>
      <x:c r="AB2308" s="78" t="n">
        <x:f>(IF(J2308&gt;0,K2308*(1-'Inputs'!$E$50)/2/J2308,0)+G2308+R2308)*'Inputs'!$B$17</x:f>
        <x:v>219836.78507889988</x:v>
      </x:c>
      <x:c r="AC2308" s="78" t="n">
        <x:f>AC2307+AB2308</x:f>
        <x:v>12734802.706503376</x:v>
      </x:c>
      <x:c r="AD2308" s="80" t="n">
        <x:f>Z2308/(1+'Inputs'!$C$50)</x:f>
        <x:v>3.2228187157176613</x:v>
      </x:c>
      <x:c r="AE2308" s="80" t="n">
        <x:f>Z2308-AD2308</x:f>
        <x:v>3.2228187157176613</x:v>
      </x:c>
      <x:c r="AF2308" s="80" t="n">
        <x:f>D2308*W2308</x:f>
        <x:v>2.805736821303018</x:v>
      </x:c>
      <x:c r="AG2308" s="80" t="n">
        <x:f>C2308*W2308</x:f>
        <x:v>6.546719249706922</x:v>
      </x:c>
      <x:c r="AH2308" s="80" t="n">
        <x:f>2*'Inputs'!$B$8*'Inputs'!$C$50</x:f>
        <x:v>5000</x:v>
      </x:c>
      <x:c r="AI2308" s="81" t="n">
        <x:f>IF(AH2308&gt;0,(AE2308+AF2308)/AH2308*365,0)</x:f>
        <x:v>0.4400845542025096</x:v>
      </x:c>
      <x:c r="AJ2308" s="81" t="n">
        <x:f>IF('Inputs'!$B$50&gt;0,AG2308/('Inputs'!$B$19*'Inputs'!$B$50)*365,0)</x:f>
        <x:v>0.23895525261430264</x:v>
      </x:c>
      <x:c r="AK2308" s="81" t="n">
        <x:f>W2308/MAX($W$2194:W2308)-1</x:f>
        <x:v>-0.9884878439887167</x:v>
      </x:c>
      <x:c r="AL2308" s="83" t="n">
        <x:f>'Inputs'!$B$50</x:f>
        <x:v>1</x:v>
      </x:c>
      <x:c r="AM2308" s="83" t="n">
        <x:f>'Inputs'!$C$50</x:f>
        <x:v>1</x:v>
      </x:c>
      <x:c r="AN2308" s="83" t="n">
        <x:f>'Inputs'!$D$50</x:f>
        <x:v>1</x:v>
      </x:c>
      <x:c r="AO2308" s="81" t="n">
        <x:f>'Inputs'!$E$50</x:f>
        <x:v>0</x:v>
      </x:c>
    </x:row>
    <x:row r="2309">
      <x:c r="A2309" s="59" t="str">
        <x:v>Whale exit</x:v>
      </x:c>
      <x:c r="B2309" s="59" t="n">
        <x:v>116</x:v>
      </x:c>
      <x:c r="C2309" s="78" t="n">
        <x:f>(('Inputs'!$B$29*(3*116*'Inputs'!$B$12-116^2)/(2*'Inputs'!$B$12^2))-('Inputs'!$B$29*(3*115*'Inputs'!$B$12-115^2)/(2*'Inputs'!$B$12^2)))*'Inputs'!$B$50</x:f>
        <x:v>674436.3389003575</x:v>
      </x:c>
      <x:c r="D2309" s="78" t="n">
        <x:f>IF('Inputs'!$C$50&gt;0,('Inputs'!$B$30*(3*116*'Inputs'!$B$12-116^2)/(2*'Inputs'!$B$12^2))-('Inputs'!$B$30*(3*115*'Inputs'!$B$12-115^2)/(2*'Inputs'!$B$12^2)),0)</x:f>
        <x:v>289044.14524300396</x:v>
      </x:c>
      <x:c r="E2309" s="78" t="n">
        <x:f>C2309+D2309</x:f>
        <x:v>963480.4841433614</x:v>
      </x:c>
      <x:c r="F2309" s="78" t="n">
        <x:f>'Inputs'!$B$13*E2309+(1-'Inputs'!$B$13)/'Inputs'!$B$14*SUM(E2254:E2309)</x:f>
        <x:v>973698.1610058163</x:v>
      </x:c>
      <x:c r="G2309" s="78" t="n">
        <x:f>F2309*'Inputs'!$F$50</x:f>
        <x:v>486849.08050290815</x:v>
      </x:c>
      <x:c r="H2309" s="78" t="n">
        <x:f>U2308</x:f>
        <x:v>54627481.006390594</x:v>
      </x:c>
      <x:c r="I2309" s="78" t="n">
        <x:f>V2308</x:f>
        <x:v>530.0106921687508</x:v>
      </x:c>
      <x:c r="J2309" s="79" t="n">
        <x:f>IF(H2309&gt;0,I2309/H2309,0)</x:f>
        <x:v>0.000009702272233763579</x:v>
      </x:c>
      <x:c r="K2309" s="80" t="n">
        <x:f>(H2309*J2309+I2309)*'Inputs'!$D$50*(1+'Inputs'!$G$50)^(B2309/30)</x:f>
        <x:v>1060.0213843375016</x:v>
      </x:c>
      <x:c r="L2309" s="80" t="n">
        <x:f>MAX(0,K2309*'Inputs'!$E$50)</x:f>
        <x:v>0</x:v>
      </x:c>
      <x:c r="M2309" s="80" t="n">
        <x:f>MAX(0,-K2309*'Inputs'!$E$50)</x:f>
        <x:v>0</x:v>
      </x:c>
      <x:c r="N2309" s="78" t="n">
        <x:f>H2309*(L2309*(1-'Inputs'!$B$15))/(I2309+L2309*(1-'Inputs'!$B$15))</x:f>
        <x:v>0</x:v>
      </x:c>
      <x:c r="O2309" s="78" t="n">
        <x:f>H2309-N2309</x:f>
        <x:v>54627481.006390594</x:v>
      </x:c>
      <x:c r="P2309" s="78" t="n">
        <x:f>I2309+L2309*(1-'Inputs'!$B$17)</x:f>
        <x:v>530.0106921687508</x:v>
      </x:c>
      <x:c r="Q2309" s="78" t="n">
        <x:f>IF(J2309&gt;0,M2309/J2309,0)</x:f>
        <x:v>0</x:v>
      </x:c>
      <x:c r="R2309" s="78" t="n">
        <x:f>IF(B2309='Inputs'!$H$50,'Inputs'!$B$27*'Inputs'!$I$50,0)</x:f>
        <x:v>0</x:v>
      </x:c>
      <x:c r="S2309" s="78" t="n">
        <x:f>Q2309+G2309+R2309</x:f>
        <x:v>486849.08050290815</x:v>
      </x:c>
      <x:c r="T2309" s="78" t="n">
        <x:f>P2309*(S2309*(1-'Inputs'!$B$15))/(O2309+S2309*(1-'Inputs'!$B$15))</x:f>
        <x:v>4.635408486295338</x:v>
      </x:c>
      <x:c r="U2309" s="78" t="n">
        <x:f>O2309+S2309*(1-'Inputs'!$B$17)</x:f>
        <x:v>55112370.93566412</x:v>
      </x:c>
      <x:c r="V2309" s="78" t="n">
        <x:f>P2309-T2309</x:f>
        <x:v>525.3752836824555</x:v>
      </x:c>
      <x:c r="W2309" s="79" t="n">
        <x:f>IF(U2309&gt;0,V2309/U2309,0)</x:f>
        <x:v>0.000009532801343200361</x:v>
      </x:c>
      <x:c r="X2309" s="80" t="n">
        <x:f>W2309*('Inputs'!$B$6-AC2309)</x:f>
        <x:v>9409.288737446439</x:v>
      </x:c>
      <x:c r="Y2309" s="80" t="n">
        <x:f>2*V2309</x:f>
        <x:v>1050.750567364911</x:v>
      </x:c>
      <x:c r="Z2309" s="80" t="n">
        <x:f>K2309*'Inputs'!$B$16+(G2309+R2309)*J2309*'Inputs'!$B$16</x:f>
        <x:v>6.388469559919789</x:v>
      </x:c>
      <x:c r="AA2309" s="80" t="n">
        <x:f>K2309*(1+'Inputs'!$E$50)/2*'Inputs'!$B$17</x:f>
        <x:v>2.1328398075201243</x:v>
      </x:c>
      <x:c r="AB2309" s="78" t="n">
        <x:f>(IF(J2309&gt;0,K2309*(1-'Inputs'!$E$50)/2/J2309,0)+G2309+R2309)*'Inputs'!$B$17</x:f>
        <x:v>221788.04863941047</x:v>
      </x:c>
      <x:c r="AC2309" s="78" t="n">
        <x:f>AC2308+AB2309</x:f>
        <x:v>12956590.755142787</x:v>
      </x:c>
      <x:c r="AD2309" s="80" t="n">
        <x:f>Z2309/(1+'Inputs'!$C$50)</x:f>
        <x:v>3.1942347799598947</x:v>
      </x:c>
      <x:c r="AE2309" s="80" t="n">
        <x:f>Z2309-AD2309</x:f>
        <x:v>3.1942347799598947</x:v>
      </x:c>
      <x:c r="AF2309" s="80" t="n">
        <x:f>D2309*W2309</x:f>
        <x:v>2.7554004160167085</x:v>
      </x:c>
      <x:c r="AG2309" s="80" t="n">
        <x:f>C2309*W2309</x:f>
        <x:v>6.429267637372462</x:v>
      </x:c>
      <x:c r="AH2309" s="80" t="n">
        <x:f>2*'Inputs'!$B$8*'Inputs'!$C$50</x:f>
        <x:v>5000</x:v>
      </x:c>
      <x:c r="AI2309" s="81" t="n">
        <x:f>IF(AH2309&gt;0,(AE2309+AF2309)/AH2309*365,0)</x:f>
        <x:v>0.434323369306292</x:v>
      </x:c>
      <x:c r="AJ2309" s="81" t="n">
        <x:f>IF('Inputs'!$B$50&gt;0,AG2309/('Inputs'!$B$19*'Inputs'!$B$50)*365,0)</x:f>
        <x:v>0.23466826876409483</x:v>
      </x:c>
      <x:c r="AK2309" s="81" t="n">
        <x:f>W2309/MAX($W$2194:W2309)-1</x:f>
        <x:v>-0.9886889283619984</x:v>
      </x:c>
      <x:c r="AL2309" s="83" t="n">
        <x:f>'Inputs'!$B$50</x:f>
        <x:v>1</x:v>
      </x:c>
      <x:c r="AM2309" s="83" t="n">
        <x:f>'Inputs'!$C$50</x:f>
        <x:v>1</x:v>
      </x:c>
      <x:c r="AN2309" s="83" t="n">
        <x:f>'Inputs'!$D$50</x:f>
        <x:v>1</x:v>
      </x:c>
      <x:c r="AO2309" s="81" t="n">
        <x:f>'Inputs'!$E$50</x:f>
        <x:v>0</x:v>
      </x:c>
    </x:row>
    <x:row r="2310">
      <x:c r="A2310" s="59" t="str">
        <x:v>Whale exit</x:v>
      </x:c>
      <x:c r="B2310" s="59" t="n">
        <x:v>117</x:v>
      </x:c>
      <x:c r="C2310" s="78" t="n">
        <x:f>(('Inputs'!$B$29*(3*117*'Inputs'!$B$12-117^2)/(2*'Inputs'!$B$12^2))-('Inputs'!$B$29*(3*116*'Inputs'!$B$12-116^2)/(2*'Inputs'!$B$12^2)))*'Inputs'!$B$50</x:f>
        <x:v>674111.231000185</x:v>
      </x:c>
      <x:c r="D2310" s="78" t="n">
        <x:f>IF('Inputs'!$C$50&gt;0,('Inputs'!$B$30*(3*117*'Inputs'!$B$12-117^2)/(2*'Inputs'!$B$12^2))-('Inputs'!$B$30*(3*116*'Inputs'!$B$12-116^2)/(2*'Inputs'!$B$12^2)),0)</x:f>
        <x:v>288904.81328579783</x:v>
      </x:c>
      <x:c r="E2310" s="78" t="n">
        <x:f>C2310+D2310</x:f>
        <x:v>963016.0442859828</x:v>
      </x:c>
      <x:c r="F2310" s="78" t="n">
        <x:f>'Inputs'!$B$13*E2310+(1-'Inputs'!$B$13)/'Inputs'!$B$14*SUM(E2255:E2310)</x:f>
        <x:v>973233.7211484333</x:v>
      </x:c>
      <x:c r="G2310" s="78" t="n">
        <x:f>F2310*'Inputs'!$F$50</x:f>
        <x:v>486616.86057421664</x:v>
      </x:c>
      <x:c r="H2310" s="78" t="n">
        <x:f>U2309</x:f>
        <x:v>55112370.93566412</x:v>
      </x:c>
      <x:c r="I2310" s="78" t="n">
        <x:f>V2309</x:f>
        <x:v>525.3752836824555</x:v>
      </x:c>
      <x:c r="J2310" s="79" t="n">
        <x:f>IF(H2310&gt;0,I2310/H2310,0)</x:f>
        <x:v>0.000009532801343200361</x:v>
      </x:c>
      <x:c r="K2310" s="80" t="n">
        <x:f>(H2310*J2310+I2310)*'Inputs'!$D$50*(1+'Inputs'!$G$50)^(B2310/30)</x:f>
        <x:v>1050.750567364911</x:v>
      </x:c>
      <x:c r="L2310" s="80" t="n">
        <x:f>MAX(0,K2310*'Inputs'!$E$50)</x:f>
        <x:v>0</x:v>
      </x:c>
      <x:c r="M2310" s="80" t="n">
        <x:f>MAX(0,-K2310*'Inputs'!$E$50)</x:f>
        <x:v>0</x:v>
      </x:c>
      <x:c r="N2310" s="78" t="n">
        <x:f>H2310*(L2310*(1-'Inputs'!$B$15))/(I2310+L2310*(1-'Inputs'!$B$15))</x:f>
        <x:v>0</x:v>
      </x:c>
      <x:c r="O2310" s="78" t="n">
        <x:f>H2310-N2310</x:f>
        <x:v>55112370.93566412</x:v>
      </x:c>
      <x:c r="P2310" s="78" t="n">
        <x:f>I2310+L2310*(1-'Inputs'!$B$17)</x:f>
        <x:v>525.3752836824555</x:v>
      </x:c>
      <x:c r="Q2310" s="78" t="n">
        <x:f>IF(J2310&gt;0,M2310/J2310,0)</x:f>
        <x:v>0</x:v>
      </x:c>
      <x:c r="R2310" s="78" t="n">
        <x:f>IF(B2310='Inputs'!$H$50,'Inputs'!$B$27*'Inputs'!$I$50,0)</x:f>
        <x:v>0</x:v>
      </x:c>
      <x:c r="S2310" s="78" t="n">
        <x:f>Q2310+G2310+R2310</x:f>
        <x:v>486616.86057421664</x:v>
      </x:c>
      <x:c r="T2310" s="78" t="n">
        <x:f>P2310*(S2310*(1-'Inputs'!$B$15))/(O2310+S2310*(1-'Inputs'!$B$15))</x:f>
        <x:v>4.552637923707303</x:v>
      </x:c>
      <x:c r="U2310" s="78" t="n">
        <x:f>O2310+S2310*(1-'Inputs'!$B$17)</x:f>
        <x:v>55597029.57949558</x:v>
      </x:c>
      <x:c r="V2310" s="78" t="n">
        <x:f>P2310-T2310</x:f>
        <x:v>520.8226457587482</x:v>
      </x:c>
      <x:c r="W2310" s="79" t="n">
        <x:f>IF(U2310&gt;0,V2310/U2310,0)</x:f>
        <x:v>0.000009367814246515606</x:v>
      </x:c>
      <x:c r="X2310" s="80" t="n">
        <x:f>W2310*('Inputs'!$B$6-AC2310)</x:f>
        <x:v>9244.343371455843</x:v>
      </x:c>
      <x:c r="Y2310" s="80" t="n">
        <x:f>2*V2310</x:f>
        <x:v>1041.6452915174964</x:v>
      </x:c>
      <x:c r="Z2310" s="80" t="n">
        <x:f>K2310*'Inputs'!$B$16+(G2310+R2310)*J2310*'Inputs'!$B$16</x:f>
        <x:v>6.3323363353621005</x:v>
      </x:c>
      <x:c r="AA2310" s="80" t="n">
        <x:f>K2310*(1+'Inputs'!$E$50)/2*'Inputs'!$B$17</x:f>
        <x:v>2.1141862522432815</x:v>
      </x:c>
      <x:c r="AB2310" s="78" t="n">
        <x:f>(IF(J2310&gt;0,K2310*(1-'Inputs'!$E$50)/2/J2310,0)+G2310+R2310)*'Inputs'!$B$17</x:f>
        <x:v>223738.38147379612</x:v>
      </x:c>
      <x:c r="AC2310" s="78" t="n">
        <x:f>AC2309+AB2310</x:f>
        <x:v>13180329.136616584</x:v>
      </x:c>
      <x:c r="AD2310" s="80" t="n">
        <x:f>Z2310/(1+'Inputs'!$C$50)</x:f>
        <x:v>3.1661681676810502</x:v>
      </x:c>
      <x:c r="AE2310" s="80" t="n">
        <x:f>Z2310-AD2310</x:f>
        <x:v>3.1661681676810502</x:v>
      </x:c>
      <x:c r="AF2310" s="80" t="n">
        <x:f>D2310*W2310</x:f>
        <x:v>2.706406625785628</x:v>
      </x:c>
      <x:c r="AG2310" s="80" t="n">
        <x:f>C2310*W2310</x:f>
        <x:v>6.314948793499705</x:v>
      </x:c>
      <x:c r="AH2310" s="80" t="n">
        <x:f>2*'Inputs'!$B$8*'Inputs'!$C$50</x:f>
        <x:v>5000</x:v>
      </x:c>
      <x:c r="AI2310" s="81" t="n">
        <x:f>IF(AH2310&gt;0,(AE2310+AF2310)/AH2310*365,0)</x:f>
        <x:v>0.42869795992306753</x:v>
      </x:c>
      <x:c r="AJ2310" s="81" t="n">
        <x:f>IF('Inputs'!$B$50&gt;0,AG2310/('Inputs'!$B$19*'Inputs'!$B$50)*365,0)</x:f>
        <x:v>0.23049563096273926</x:v>
      </x:c>
      <x:c r="AK2310" s="81" t="n">
        <x:f>W2310/MAX($W$2194:W2310)-1</x:f>
        <x:v>-0.9888846925243637</x:v>
      </x:c>
      <x:c r="AL2310" s="83" t="n">
        <x:f>'Inputs'!$B$50</x:f>
        <x:v>1</x:v>
      </x:c>
      <x:c r="AM2310" s="83" t="n">
        <x:f>'Inputs'!$C$50</x:f>
        <x:v>1</x:v>
      </x:c>
      <x:c r="AN2310" s="83" t="n">
        <x:f>'Inputs'!$D$50</x:f>
        <x:v>1</x:v>
      </x:c>
      <x:c r="AO2310" s="81" t="n">
        <x:f>'Inputs'!$E$50</x:f>
        <x:v>0</x:v>
      </x:c>
    </x:row>
    <x:row r="2311">
      <x:c r="A2311" s="59" t="str">
        <x:v>Whale exit</x:v>
      </x:c>
      <x:c r="B2311" s="59" t="n">
        <x:v>118</x:v>
      </x:c>
      <x:c r="C2311" s="78" t="n">
        <x:f>(('Inputs'!$B$29*(3*118*'Inputs'!$B$12-118^2)/(2*'Inputs'!$B$12^2))-('Inputs'!$B$29*(3*117*'Inputs'!$B$12-117^2)/(2*'Inputs'!$B$12^2)))*'Inputs'!$B$50</x:f>
        <x:v>673786.1231000274</x:v>
      </x:c>
      <x:c r="D2311" s="78" t="n">
        <x:f>IF('Inputs'!$C$50&gt;0,('Inputs'!$B$30*(3*118*'Inputs'!$B$12-118^2)/(2*'Inputs'!$B$12^2))-('Inputs'!$B$30*(3*117*'Inputs'!$B$12-117^2)/(2*'Inputs'!$B$12^2)),0)</x:f>
        <x:v>288765.4813285768</x:v>
      </x:c>
      <x:c r="E2311" s="78" t="n">
        <x:f>C2311+D2311</x:f>
        <x:v>962551.6044286042</x:v>
      </x:c>
      <x:c r="F2311" s="78" t="n">
        <x:f>'Inputs'!$B$13*E2311+(1-'Inputs'!$B$13)/'Inputs'!$B$14*SUM(E2256:E2311)</x:f>
        <x:v>972769.2812910504</x:v>
      </x:c>
      <x:c r="G2311" s="78" t="n">
        <x:f>F2311*'Inputs'!$F$50</x:f>
        <x:v>486384.6406455252</x:v>
      </x:c>
      <x:c r="H2311" s="78" t="n">
        <x:f>U2310</x:f>
        <x:v>55597029.57949558</x:v>
      </x:c>
      <x:c r="I2311" s="78" t="n">
        <x:f>V2310</x:f>
        <x:v>520.8226457587482</x:v>
      </x:c>
      <x:c r="J2311" s="79" t="n">
        <x:f>IF(H2311&gt;0,I2311/H2311,0)</x:f>
        <x:v>0.000009367814246515606</x:v>
      </x:c>
      <x:c r="K2311" s="80" t="n">
        <x:f>(H2311*J2311+I2311)*'Inputs'!$D$50*(1+'Inputs'!$G$50)^(B2311/30)</x:f>
        <x:v>1041.6452915174964</x:v>
      </x:c>
      <x:c r="L2311" s="80" t="n">
        <x:f>MAX(0,K2311*'Inputs'!$E$50)</x:f>
        <x:v>0</x:v>
      </x:c>
      <x:c r="M2311" s="80" t="n">
        <x:f>MAX(0,-K2311*'Inputs'!$E$50)</x:f>
        <x:v>0</x:v>
      </x:c>
      <x:c r="N2311" s="78" t="n">
        <x:f>H2311*(L2311*(1-'Inputs'!$B$15))/(I2311+L2311*(1-'Inputs'!$B$15))</x:f>
        <x:v>0</x:v>
      </x:c>
      <x:c r="O2311" s="78" t="n">
        <x:f>H2311-N2311</x:f>
        <x:v>55597029.57949558</x:v>
      </x:c>
      <x:c r="P2311" s="78" t="n">
        <x:f>I2311+L2311*(1-'Inputs'!$B$17)</x:f>
        <x:v>520.8226457587482</x:v>
      </x:c>
      <x:c r="Q2311" s="78" t="n">
        <x:f>IF(J2311&gt;0,M2311/J2311,0)</x:f>
        <x:v>0</x:v>
      </x:c>
      <x:c r="R2311" s="78" t="n">
        <x:f>IF(B2311='Inputs'!$H$50,'Inputs'!$B$27*'Inputs'!$I$50,0)</x:f>
        <x:v>0</x:v>
      </x:c>
      <x:c r="S2311" s="78" t="n">
        <x:f>Q2311+G2311+R2311</x:f>
        <x:v>486384.6406455252</x:v>
      </x:c>
      <x:c r="T2311" s="78" t="n">
        <x:f>P2311*(S2311*(1-'Inputs'!$B$15))/(O2311+S2311*(1-'Inputs'!$B$15))</x:f>
        <x:v>4.472065208035523</x:v>
      </x:c>
      <x:c r="U2311" s="78" t="n">
        <x:f>O2311+S2311*(1-'Inputs'!$B$17)</x:f>
        <x:v>56081456.93788499</x:v>
      </x:c>
      <x:c r="V2311" s="78" t="n">
        <x:f>P2311-T2311</x:f>
        <x:v>516.3505805507127</x:v>
      </x:c>
      <x:c r="W2311" s="79" t="n">
        <x:f>IF(U2311&gt;0,V2311/U2311,0)</x:f>
        <x:v>0.0000092071534646936</x:v>
      </x:c>
      <x:c r="X2311" s="80" t="n">
        <x:f>W2311*('Inputs'!$B$6-AC2311)</x:f>
        <x:v>9083.722209559051</x:v>
      </x:c>
      <x:c r="Y2311" s="80" t="n">
        <x:f>2*V2311</x:f>
        <x:v>1032.7011611014254</x:v>
      </x:c>
      <x:c r="Z2311" s="80" t="n">
        <x:f>K2311*'Inputs'!$B$16+(G2311+R2311)*J2311*'Inputs'!$B$16</x:f>
        <x:v>6.277209914900531</x:v>
      </x:c>
      <x:c r="AA2311" s="80" t="n">
        <x:f>K2311*(1+'Inputs'!$E$50)/2*'Inputs'!$B$17</x:f>
        <x:v>2.0958657777012</x:v>
      </x:c>
      <x:c r="AB2311" s="78" t="n">
        <x:f>(IF(J2311&gt;0,K2311*(1-'Inputs'!$E$50)/2/J2311,0)+G2311+R2311)*'Inputs'!$B$17</x:f>
        <x:v>225687.78358205679</x:v>
      </x:c>
      <x:c r="AC2311" s="78" t="n">
        <x:f>AC2310+AB2311</x:f>
        <x:v>13406016.92019864</x:v>
      </x:c>
      <x:c r="AD2311" s="80" t="n">
        <x:f>Z2311/(1+'Inputs'!$C$50)</x:f>
        <x:v>3.1386049574502657</x:v>
      </x:c>
      <x:c r="AE2311" s="80" t="n">
        <x:f>Z2311-AD2311</x:f>
        <x:v>3.1386049574502657</x:v>
      </x:c>
      <x:c r="AF2311" s="80" t="n">
        <x:f>D2311*W2311</x:f>
        <x:v>2.658708101898321</x:v>
      </x:c>
      <x:c r="AG2311" s="80" t="n">
        <x:f>C2311*W2311</x:f>
        <x:v>6.203652237762886</x:v>
      </x:c>
      <x:c r="AH2311" s="80" t="n">
        <x:f>2*'Inputs'!$B$8*'Inputs'!$C$50</x:f>
        <x:v>5000</x:v>
      </x:c>
      <x:c r="AI2311" s="81" t="n">
        <x:f>IF(AH2311&gt;0,(AE2311+AF2311)/AH2311*365,0)</x:f>
        <x:v>0.42320385333244687</x:v>
      </x:c>
      <x:c r="AJ2311" s="81" t="n">
        <x:f>IF('Inputs'!$B$50&gt;0,AG2311/('Inputs'!$B$19*'Inputs'!$B$50)*365,0)</x:f>
        <x:v>0.22643330667834535</x:v>
      </x:c>
      <x:c r="AK2311" s="81" t="n">
        <x:f>W2311/MAX($W$2194:W2311)-1</x:f>
        <x:v>-0.9890753233313198</x:v>
      </x:c>
      <x:c r="AL2311" s="83" t="n">
        <x:f>'Inputs'!$B$50</x:f>
        <x:v>1</x:v>
      </x:c>
      <x:c r="AM2311" s="83" t="n">
        <x:f>'Inputs'!$C$50</x:f>
        <x:v>1</x:v>
      </x:c>
      <x:c r="AN2311" s="83" t="n">
        <x:f>'Inputs'!$D$50</x:f>
        <x:v>1</x:v>
      </x:c>
      <x:c r="AO2311" s="81" t="n">
        <x:f>'Inputs'!$E$50</x:f>
        <x:v>0</x:v>
      </x:c>
    </x:row>
    <x:row r="2312">
      <x:c r="A2312" s="59" t="str">
        <x:v>Whale exit</x:v>
      </x:c>
      <x:c r="B2312" s="59" t="n">
        <x:v>119</x:v>
      </x:c>
      <x:c r="C2312" s="78" t="n">
        <x:f>(('Inputs'!$B$29*(3*119*'Inputs'!$B$12-119^2)/(2*'Inputs'!$B$12^2))-('Inputs'!$B$29*(3*118*'Inputs'!$B$12-118^2)/(2*'Inputs'!$B$12^2)))*'Inputs'!$B$50</x:f>
        <x:v>673461.0151998401</x:v>
      </x:c>
      <x:c r="D2312" s="78" t="n">
        <x:f>IF('Inputs'!$C$50&gt;0,('Inputs'!$B$30*(3*119*'Inputs'!$B$12-119^2)/(2*'Inputs'!$B$12^2))-('Inputs'!$B$30*(3*118*'Inputs'!$B$12-118^2)/(2*'Inputs'!$B$12^2)),0)</x:f>
        <x:v>288626.1493713632</x:v>
      </x:c>
      <x:c r="E2312" s="78" t="n">
        <x:f>C2312+D2312</x:f>
        <x:v>962087.1645712033</x:v>
      </x:c>
      <x:c r="F2312" s="78" t="n">
        <x:f>'Inputs'!$B$13*E2312+(1-'Inputs'!$B$13)/'Inputs'!$B$14*SUM(E2257:E2312)</x:f>
        <x:v>972304.8414336627</x:v>
      </x:c>
      <x:c r="G2312" s="78" t="n">
        <x:f>F2312*'Inputs'!$F$50</x:f>
        <x:v>486152.42071683134</x:v>
      </x:c>
      <x:c r="H2312" s="78" t="n">
        <x:f>U2311</x:f>
        <x:v>56081456.93788499</x:v>
      </x:c>
      <x:c r="I2312" s="78" t="n">
        <x:f>V2311</x:f>
        <x:v>516.3505805507127</x:v>
      </x:c>
      <x:c r="J2312" s="79" t="n">
        <x:f>IF(H2312&gt;0,I2312/H2312,0)</x:f>
        <x:v>0.0000092071534646936</x:v>
      </x:c>
      <x:c r="K2312" s="80" t="n">
        <x:f>(H2312*J2312+I2312)*'Inputs'!$D$50*(1+'Inputs'!$G$50)^(B2312/30)</x:f>
        <x:v>1032.7011611014254</x:v>
      </x:c>
      <x:c r="L2312" s="80" t="n">
        <x:f>MAX(0,K2312*'Inputs'!$E$50)</x:f>
        <x:v>0</x:v>
      </x:c>
      <x:c r="M2312" s="80" t="n">
        <x:f>MAX(0,-K2312*'Inputs'!$E$50)</x:f>
        <x:v>0</x:v>
      </x:c>
      <x:c r="N2312" s="78" t="n">
        <x:f>H2312*(L2312*(1-'Inputs'!$B$15))/(I2312+L2312*(1-'Inputs'!$B$15))</x:f>
        <x:v>0</x:v>
      </x:c>
      <x:c r="O2312" s="78" t="n">
        <x:f>H2312-N2312</x:f>
        <x:v>56081456.93788499</x:v>
      </x:c>
      <x:c r="P2312" s="78" t="n">
        <x:f>I2312+L2312*(1-'Inputs'!$B$17)</x:f>
        <x:v>516.3505805507127</x:v>
      </x:c>
      <x:c r="Q2312" s="78" t="n">
        <x:f>IF(J2312&gt;0,M2312/J2312,0)</x:f>
        <x:v>0</x:v>
      </x:c>
      <x:c r="R2312" s="78" t="n">
        <x:f>IF(B2312='Inputs'!$H$50,'Inputs'!$B$27*'Inputs'!$I$50,0)</x:f>
        <x:v>0</x:v>
      </x:c>
      <x:c r="S2312" s="78" t="n">
        <x:f>Q2312+G2312+R2312</x:f>
        <x:v>486152.42071683134</x:v>
      </x:c>
      <x:c r="T2312" s="78" t="n">
        <x:f>P2312*(S2312*(1-'Inputs'!$B$15))/(O2312+S2312*(1-'Inputs'!$B$15))</x:f>
        <x:v>4.393613170175949</x:v>
      </x:c>
      <x:c r="U2312" s="78" t="n">
        <x:f>O2312+S2312*(1-'Inputs'!$B$17)</x:f>
        <x:v>56565653.01083233</x:v>
      </x:c>
      <x:c r="V2312" s="78" t="n">
        <x:f>P2312-T2312</x:f>
        <x:v>511.95696738053675</x:v>
      </x:c>
      <x:c r="W2312" s="79" t="n">
        <x:f>IF(U2312&gt;0,V2312/U2312,0)</x:f>
        <x:v>0.000009050668384973775</x:v>
      </x:c>
      <x:c r="X2312" s="80" t="n">
        <x:f>W2312*('Inputs'!$B$6-AC2312)</x:f>
        <x:v>8927.274711209631</x:v>
      </x:c>
      <x:c r="Y2312" s="80" t="n">
        <x:f>2*V2312</x:f>
        <x:v>1023.9139347610735</x:v>
      </x:c>
      <x:c r="Z2312" s="80" t="n">
        <x:f>K2312*'Inputs'!$B$16+(G2312+R2312)*J2312*'Inputs'!$B$16</x:f>
        <x:v>6.223063446277186</x:v>
      </x:c>
      <x:c r="AA2312" s="80" t="n">
        <x:f>K2312*(1+'Inputs'!$E$50)/2*'Inputs'!$B$17</x:f>
        <x:v>2.077869539439488</x:v>
      </x:c>
      <x:c r="AB2312" s="78" t="n">
        <x:f>(IF(J2312&gt;0,K2312*(1-'Inputs'!$E$50)/2/J2312,0)+G2312+R2312)*'Inputs'!$B$17</x:f>
        <x:v>227636.25496419246</x:v>
      </x:c>
      <x:c r="AC2312" s="78" t="n">
        <x:f>AC2311+AB2312</x:f>
        <x:v>13633653.175162833</x:v>
      </x:c>
      <x:c r="AD2312" s="80" t="n">
        <x:f>Z2312/(1+'Inputs'!$C$50)</x:f>
        <x:v>3.111531723138593</x:v>
      </x:c>
      <x:c r="AE2312" s="80" t="n">
        <x:f>Z2312-AD2312</x:f>
        <x:v>3.111531723138593</x:v>
      </x:c>
      <x:c r="AF2312" s="80" t="n">
        <x:f>D2312*W2312</x:f>
        <x:v>2.612259565192115</x:v>
      </x:c>
      <x:c r="AG2312" s="80" t="n">
        <x:f>C2312*W2312</x:f>
        <x:v>6.095272318781535</x:v>
      </x:c>
      <x:c r="AH2312" s="80" t="n">
        <x:f>2*'Inputs'!$B$8*'Inputs'!$C$50</x:f>
        <x:v>5000</x:v>
      </x:c>
      <x:c r="AI2312" s="81" t="n">
        <x:f>IF(AH2312&gt;0,(AE2312+AF2312)/AH2312*365,0)</x:f>
        <x:v>0.41783676404814163</x:v>
      </x:c>
      <x:c r="AJ2312" s="81" t="n">
        <x:f>IF('Inputs'!$B$50&gt;0,AG2312/('Inputs'!$B$19*'Inputs'!$B$50)*365,0)</x:f>
        <x:v>0.22247743963552602</x:v>
      </x:c>
      <x:c r="AK2312" s="81" t="n">
        <x:f>W2312/MAX($W$2194:W2312)-1</x:f>
        <x:v>-0.9892609994912717</x:v>
      </x:c>
      <x:c r="AL2312" s="83" t="n">
        <x:f>'Inputs'!$B$50</x:f>
        <x:v>1</x:v>
      </x:c>
      <x:c r="AM2312" s="83" t="n">
        <x:f>'Inputs'!$C$50</x:f>
        <x:v>1</x:v>
      </x:c>
      <x:c r="AN2312" s="83" t="n">
        <x:f>'Inputs'!$D$50</x:f>
        <x:v>1</x:v>
      </x:c>
      <x:c r="AO2312" s="81" t="n">
        <x:f>'Inputs'!$E$50</x:f>
        <x:v>0</x:v>
      </x:c>
    </x:row>
    <x:row r="2313">
      <x:c r="A2313" s="59" t="str">
        <x:v>Whale exit</x:v>
      </x:c>
      <x:c r="B2313" s="59" t="n">
        <x:v>120</x:v>
      </x:c>
      <x:c r="C2313" s="78" t="n">
        <x:f>(('Inputs'!$B$29*(3*120*'Inputs'!$B$12-120^2)/(2*'Inputs'!$B$12^2))-('Inputs'!$B$29*(3*119*'Inputs'!$B$12-119^2)/(2*'Inputs'!$B$12^2)))*'Inputs'!$B$50</x:f>
        <x:v>673135.9072996825</x:v>
      </x:c>
      <x:c r="D2313" s="78" t="n">
        <x:f>IF('Inputs'!$C$50&gt;0,('Inputs'!$B$30*(3*120*'Inputs'!$B$12-120^2)/(2*'Inputs'!$B$12^2))-('Inputs'!$B$30*(3*119*'Inputs'!$B$12-119^2)/(2*'Inputs'!$B$12^2)),0)</x:f>
        <x:v>288486.81741414964</x:v>
      </x:c>
      <x:c r="E2313" s="78" t="n">
        <x:f>C2313+D2313</x:f>
        <x:v>961622.7247138321</x:v>
      </x:c>
      <x:c r="F2313" s="78" t="n">
        <x:f>'Inputs'!$B$13*E2313+(1-'Inputs'!$B$13)/'Inputs'!$B$14*SUM(E2258:E2313)</x:f>
        <x:v>971840.4015762811</x:v>
      </x:c>
      <x:c r="G2313" s="78" t="n">
        <x:f>F2313*'Inputs'!$F$50</x:f>
        <x:v>485920.20078814053</x:v>
      </x:c>
      <x:c r="H2313" s="78" t="n">
        <x:f>U2312</x:f>
        <x:v>56565653.01083233</x:v>
      </x:c>
      <x:c r="I2313" s="78" t="n">
        <x:f>V2312</x:f>
        <x:v>511.95696738053675</x:v>
      </x:c>
      <x:c r="J2313" s="79" t="n">
        <x:f>IF(H2313&gt;0,I2313/H2313,0)</x:f>
        <x:v>0.000009050668384973775</x:v>
      </x:c>
      <x:c r="K2313" s="80" t="n">
        <x:f>(H2313*J2313+I2313)*'Inputs'!$D$50*(1+'Inputs'!$G$50)^(B2313/30)</x:f>
        <x:v>1023.9139347610735</x:v>
      </x:c>
      <x:c r="L2313" s="80" t="n">
        <x:f>MAX(0,K2313*'Inputs'!$E$50)</x:f>
        <x:v>0</x:v>
      </x:c>
      <x:c r="M2313" s="80" t="n">
        <x:f>MAX(0,-K2313*'Inputs'!$E$50)</x:f>
        <x:v>0</x:v>
      </x:c>
      <x:c r="N2313" s="78" t="n">
        <x:f>H2313*(L2313*(1-'Inputs'!$B$15))/(I2313+L2313*(1-'Inputs'!$B$15))</x:f>
        <x:v>0</x:v>
      </x:c>
      <x:c r="O2313" s="78" t="n">
        <x:f>H2313-N2313</x:f>
        <x:v>56565653.01083233</x:v>
      </x:c>
      <x:c r="P2313" s="78" t="n">
        <x:f>I2313+L2313*(1-'Inputs'!$B$17)</x:f>
        <x:v>511.95696738053675</x:v>
      </x:c>
      <x:c r="Q2313" s="78" t="n">
        <x:f>IF(J2313&gt;0,M2313/J2313,0)</x:f>
        <x:v>0</x:v>
      </x:c>
      <x:c r="R2313" s="78" t="n">
        <x:f>IF(B2313='Inputs'!$H$50,'Inputs'!$B$27*'Inputs'!$I$50,0)</x:f>
        <x:v>0</x:v>
      </x:c>
      <x:c r="S2313" s="78" t="n">
        <x:f>Q2313+G2313+R2313</x:f>
        <x:v>485920.20078814053</x:v>
      </x:c>
      <x:c r="T2313" s="78" t="n">
        <x:f>P2313*(S2313*(1-'Inputs'!$B$15))/(O2313+S2313*(1-'Inputs'!$B$15))</x:f>
        <x:v>4.31720799937914</x:v>
      </x:c>
      <x:c r="U2313" s="78" t="n">
        <x:f>O2313+S2313*(1-'Inputs'!$B$17)</x:f>
        <x:v>57049617.79833762</x:v>
      </x:c>
      <x:c r="V2313" s="78" t="n">
        <x:f>P2313-T2313</x:f>
        <x:v>507.6397593811576</x:v>
      </x:c>
      <x:c r="W2313" s="79" t="n">
        <x:f>IF(U2313&gt;0,V2313/U2313,0)</x:f>
        <x:v>0.000008898214904359092</x:v>
      </x:c>
      <x:c r="X2313" s="80" t="n">
        <x:f>W2313*('Inputs'!$B$6-AC2313)</x:f>
        <x:v>8774.85684252301</x:v>
      </x:c>
      <x:c r="Y2313" s="80" t="n">
        <x:f>2*V2313</x:f>
        <x:v>1015.2795187623152</x:v>
      </x:c>
      <x:c r="Z2313" s="80" t="n">
        <x:f>K2313*'Inputs'!$B$16+(G2313+R2313)*J2313*'Inputs'!$B$16</x:f>
        <x:v>6.169871024159802</x:v>
      </x:c>
      <x:c r="AA2313" s="80" t="n">
        <x:f>K2313*(1+'Inputs'!$E$50)/2*'Inputs'!$B$17</x:f>
        <x:v>2.0601890035434076</x:v>
      </x:c>
      <x:c r="AB2313" s="78" t="n">
        <x:f>(IF(J2313&gt;0,K2313*(1-'Inputs'!$E$50)/2/J2313,0)+G2313+R2313)*'Inputs'!$B$17</x:f>
        <x:v>229583.7956202031</x:v>
      </x:c>
      <x:c r="AC2313" s="78" t="n">
        <x:f>AC2312+AB2313</x:f>
        <x:v>13863236.970783036</x:v>
      </x:c>
      <x:c r="AD2313" s="80" t="n">
        <x:f>Z2313/(1+'Inputs'!$C$50)</x:f>
        <x:v>3.084935512079901</x:v>
      </x:c>
      <x:c r="AE2313" s="80" t="n">
        <x:f>Z2313-AD2313</x:f>
        <x:v>3.084935512079901</x:v>
      </x:c>
      <x:c r="AF2313" s="80" t="n">
        <x:f>D2313*W2313</x:f>
        <x:v>2.5670176984257065</x:v>
      </x:c>
      <x:c r="AG2313" s="80" t="n">
        <x:f>C2313*W2313</x:f>
        <x:v>5.989707962993315</x:v>
      </x:c>
      <x:c r="AH2313" s="80" t="n">
        <x:f>2*'Inputs'!$B$8*'Inputs'!$C$50</x:f>
        <x:v>5000</x:v>
      </x:c>
      <x:c r="AI2313" s="81" t="n">
        <x:f>IF(AH2313&gt;0,(AE2313+AF2313)/AH2313*365,0)</x:f>
        <x:v>0.4125925843669093</x:v>
      </x:c>
      <x:c r="AJ2313" s="81" t="n">
        <x:f>IF('Inputs'!$B$50&gt;0,AG2313/('Inputs'!$B$19*'Inputs'!$B$50)*365,0)</x:f>
        <x:v>0.21862434064925604</x:v>
      </x:c>
      <x:c r="AK2313" s="81" t="n">
        <x:f>W2313/MAX($W$2194:W2313)-1</x:f>
        <x:v>-0.989441891988515</x:v>
      </x:c>
      <x:c r="AL2313" s="83" t="n">
        <x:f>'Inputs'!$B$50</x:f>
        <x:v>1</x:v>
      </x:c>
      <x:c r="AM2313" s="83" t="n">
        <x:f>'Inputs'!$C$50</x:f>
        <x:v>1</x:v>
      </x:c>
      <x:c r="AN2313" s="83" t="n">
        <x:f>'Inputs'!$D$50</x:f>
        <x:v>1</x:v>
      </x:c>
      <x:c r="AO2313" s="81" t="n">
        <x:f>'Inputs'!$E$50</x:f>
        <x:v>0</x:v>
      </x:c>
    </x:row>
    <x:row r="2314">
      <x:c r="A2314" s="59" t="str">
        <x:v>Whale exit</x:v>
      </x:c>
      <x:c r="B2314" s="59" t="n">
        <x:v>121</x:v>
      </x:c>
      <x:c r="C2314" s="78" t="n">
        <x:f>(('Inputs'!$B$29*(3*121*'Inputs'!$B$12-121^2)/(2*'Inputs'!$B$12^2))-('Inputs'!$B$29*(3*120*'Inputs'!$B$12-120^2)/(2*'Inputs'!$B$12^2)))*'Inputs'!$B$50</x:f>
        <x:v>672810.79939951</x:v>
      </x:c>
      <x:c r="D2314" s="78" t="n">
        <x:f>IF('Inputs'!$C$50&gt;0,('Inputs'!$B$30*(3*121*'Inputs'!$B$12-121^2)/(2*'Inputs'!$B$12^2))-('Inputs'!$B$30*(3*120*'Inputs'!$B$12-120^2)/(2*'Inputs'!$B$12^2)),0)</x:f>
        <x:v>288347.48545693606</x:v>
      </x:c>
      <x:c r="E2314" s="78" t="n">
        <x:f>C2314+D2314</x:f>
        <x:v>961158.2848564461</x:v>
      </x:c>
      <x:c r="F2314" s="78" t="n">
        <x:f>'Inputs'!$B$13*E2314+(1-'Inputs'!$B$13)/'Inputs'!$B$14*SUM(E2259:E2314)</x:f>
        <x:v>971375.9617188966</x:v>
      </x:c>
      <x:c r="G2314" s="78" t="n">
        <x:f>F2314*'Inputs'!$F$50</x:f>
        <x:v>485687.9808594483</x:v>
      </x:c>
      <x:c r="H2314" s="78" t="n">
        <x:f>U2313</x:f>
        <x:v>57049617.79833762</x:v>
      </x:c>
      <x:c r="I2314" s="78" t="n">
        <x:f>V2313</x:f>
        <x:v>507.6397593811576</x:v>
      </x:c>
      <x:c r="J2314" s="79" t="n">
        <x:f>IF(H2314&gt;0,I2314/H2314,0)</x:f>
        <x:v>0.000008898214904359092</x:v>
      </x:c>
      <x:c r="K2314" s="80" t="n">
        <x:f>(H2314*J2314+I2314)*'Inputs'!$D$50*(1+'Inputs'!$G$50)^(B2314/30)</x:f>
        <x:v>1015.2795187623152</x:v>
      </x:c>
      <x:c r="L2314" s="80" t="n">
        <x:f>MAX(0,K2314*'Inputs'!$E$50)</x:f>
        <x:v>0</x:v>
      </x:c>
      <x:c r="M2314" s="80" t="n">
        <x:f>MAX(0,-K2314*'Inputs'!$E$50)</x:f>
        <x:v>0</x:v>
      </x:c>
      <x:c r="N2314" s="78" t="n">
        <x:f>H2314*(L2314*(1-'Inputs'!$B$15))/(I2314+L2314*(1-'Inputs'!$B$15))</x:f>
        <x:v>0</x:v>
      </x:c>
      <x:c r="O2314" s="78" t="n">
        <x:f>H2314-N2314</x:f>
        <x:v>57049617.79833762</x:v>
      </x:c>
      <x:c r="P2314" s="78" t="n">
        <x:f>I2314+L2314*(1-'Inputs'!$B$17)</x:f>
        <x:v>507.6397593811576</x:v>
      </x:c>
      <x:c r="Q2314" s="78" t="n">
        <x:f>IF(J2314&gt;0,M2314/J2314,0)</x:f>
        <x:v>0</x:v>
      </x:c>
      <x:c r="R2314" s="78" t="n">
        <x:f>IF(B2314='Inputs'!$H$50,'Inputs'!$B$27*'Inputs'!$I$50,0)</x:f>
        <x:v>0</x:v>
      </x:c>
      <x:c r="S2314" s="78" t="n">
        <x:f>Q2314+G2314+R2314</x:f>
        <x:v>485687.9808594483</x:v>
      </x:c>
      <x:c r="T2314" s="78" t="n">
        <x:f>P2314*(S2314*(1-'Inputs'!$B$15))/(O2314+S2314*(1-'Inputs'!$B$15))</x:f>
        <x:v>4.2427790693464775</x:v>
      </x:c>
      <x:c r="U2314" s="78" t="n">
        <x:f>O2314+S2314*(1-'Inputs'!$B$17)</x:f>
        <x:v>57533351.30040085</x:v>
      </x:c>
      <x:c r="V2314" s="78" t="n">
        <x:f>P2314-T2314</x:f>
        <x:v>503.39698031181115</x:v>
      </x:c>
      <x:c r="W2314" s="79" t="n">
        <x:f>IF(U2314&gt;0,V2314/U2314,0)</x:f>
        <x:v>0.000008749655094545201</x:v>
      </x:c>
      <x:c r="X2314" s="80" t="n">
        <x:f>W2314*('Inputs'!$B$6-AC2314)</x:f>
        <x:v>8626.33074136444</x:v>
      </x:c>
      <x:c r="Y2314" s="80" t="n">
        <x:f>2*V2314</x:f>
        <x:v>1006.7939606236223</x:v>
      </x:c>
      <x:c r="Z2314" s="80" t="n">
        <x:f>K2314*'Inputs'!$B$16+(G2314+R2314)*J2314*'Inputs'!$B$16</x:f>
        <x:v>6.1176076487548015</x:v>
      </x:c>
      <x:c r="AA2314" s="80" t="n">
        <x:f>K2314*(1+'Inputs'!$E$50)/2*'Inputs'!$B$17</x:f>
        <x:v>2.0428159331233706</x:v>
      </x:c>
      <x:c r="AB2314" s="78" t="n">
        <x:f>(IF(J2314&gt;0,K2314*(1-'Inputs'!$E$50)/2/J2314,0)+G2314+R2314)*'Inputs'!$B$17</x:f>
        <x:v>231530.40555008885</x:v>
      </x:c>
      <x:c r="AC2314" s="78" t="n">
        <x:f>AC2313+AB2314</x:f>
        <x:v>14094767.376333125</x:v>
      </x:c>
      <x:c r="AD2314" s="80" t="n">
        <x:f>Z2314/(1+'Inputs'!$C$50)</x:f>
        <x:v>3.0588038243774007</x:v>
      </x:c>
      <x:c r="AE2314" s="80" t="n">
        <x:f>Z2314-AD2314</x:f>
        <x:v>3.0588038243774007</x:v>
      </x:c>
      <x:c r="AF2314" s="80" t="n">
        <x:f>D2314*W2314</x:f>
        <x:v>2.522941045127579</x:v>
      </x:c>
      <x:c r="AG2314" s="80" t="n">
        <x:f>C2314*W2314</x:f>
        <x:v>5.886862438630953</x:v>
      </x:c>
      <x:c r="AH2314" s="80" t="n">
        <x:f>2*'Inputs'!$B$8*'Inputs'!$C$50</x:f>
        <x:v>5000</x:v>
      </x:c>
      <x:c r="AI2314" s="81" t="n">
        <x:f>IF(AH2314&gt;0,(AE2314+AF2314)/AH2314*365,0)</x:f>
        <x:v>0.4074673754738635</x:v>
      </x:c>
      <x:c r="AJ2314" s="81" t="n">
        <x:f>IF('Inputs'!$B$50&gt;0,AG2314/('Inputs'!$B$19*'Inputs'!$B$50)*365,0)</x:f>
        <x:v>0.21487047901002976</x:v>
      </x:c>
      <x:c r="AK2314" s="81" t="n">
        <x:f>W2314/MAX($W$2194:W2314)-1</x:f>
        <x:v>-0.9896181644808113</x:v>
      </x:c>
      <x:c r="AL2314" s="83" t="n">
        <x:f>'Inputs'!$B$50</x:f>
        <x:v>1</x:v>
      </x:c>
      <x:c r="AM2314" s="83" t="n">
        <x:f>'Inputs'!$C$50</x:f>
        <x:v>1</x:v>
      </x:c>
      <x:c r="AN2314" s="83" t="n">
        <x:f>'Inputs'!$D$50</x:f>
        <x:v>1</x:v>
      </x:c>
      <x:c r="AO2314" s="81" t="n">
        <x:f>'Inputs'!$E$50</x:f>
        <x:v>0</x:v>
      </x:c>
    </x:row>
    <x:row r="2315">
      <x:c r="A2315" s="59" t="str">
        <x:v>Whale exit</x:v>
      </x:c>
      <x:c r="B2315" s="59" t="n">
        <x:v>122</x:v>
      </x:c>
      <x:c r="C2315" s="78" t="n">
        <x:f>(('Inputs'!$B$29*(3*122*'Inputs'!$B$12-122^2)/(2*'Inputs'!$B$12^2))-('Inputs'!$B$29*(3*121*'Inputs'!$B$12-121^2)/(2*'Inputs'!$B$12^2)))*'Inputs'!$B$50</x:f>
        <x:v>672485.6914993525</x:v>
      </x:c>
      <x:c r="D2315" s="78" t="n">
        <x:f>IF('Inputs'!$C$50&gt;0,('Inputs'!$B$30*(3*122*'Inputs'!$B$12-122^2)/(2*'Inputs'!$B$12^2))-('Inputs'!$B$30*(3*121*'Inputs'!$B$12-121^2)/(2*'Inputs'!$B$12^2)),0)</x:f>
        <x:v>288208.15349971503</x:v>
      </x:c>
      <x:c r="E2315" s="78" t="n">
        <x:f>C2315+D2315</x:f>
        <x:v>960693.8449990675</x:v>
      </x:c>
      <x:c r="F2315" s="78" t="n">
        <x:f>'Inputs'!$B$13*E2315+(1-'Inputs'!$B$13)/'Inputs'!$B$14*SUM(E2260:E2315)</x:f>
        <x:v>970911.5218615136</x:v>
      </x:c>
      <x:c r="G2315" s="78" t="n">
        <x:f>F2315*'Inputs'!$F$50</x:f>
        <x:v>485455.7609307568</x:v>
      </x:c>
      <x:c r="H2315" s="78" t="n">
        <x:f>U2314</x:f>
        <x:v>57533351.30040085</x:v>
      </x:c>
      <x:c r="I2315" s="78" t="n">
        <x:f>V2314</x:f>
        <x:v>503.39698031181115</x:v>
      </x:c>
      <x:c r="J2315" s="79" t="n">
        <x:f>IF(H2315&gt;0,I2315/H2315,0)</x:f>
        <x:v>0.000008749655094545201</x:v>
      </x:c>
      <x:c r="K2315" s="80" t="n">
        <x:f>(H2315*J2315+I2315)*'Inputs'!$D$50*(1+'Inputs'!$G$50)^(B2315/30)</x:f>
        <x:v>1006.7939606236223</x:v>
      </x:c>
      <x:c r="L2315" s="80" t="n">
        <x:f>MAX(0,K2315*'Inputs'!$E$50)</x:f>
        <x:v>0</x:v>
      </x:c>
      <x:c r="M2315" s="80" t="n">
        <x:f>MAX(0,-K2315*'Inputs'!$E$50)</x:f>
        <x:v>0</x:v>
      </x:c>
      <x:c r="N2315" s="78" t="n">
        <x:f>H2315*(L2315*(1-'Inputs'!$B$15))/(I2315+L2315*(1-'Inputs'!$B$15))</x:f>
        <x:v>0</x:v>
      </x:c>
      <x:c r="O2315" s="78" t="n">
        <x:f>H2315-N2315</x:f>
        <x:v>57533351.30040085</x:v>
      </x:c>
      <x:c r="P2315" s="78" t="n">
        <x:f>I2315+L2315*(1-'Inputs'!$B$17)</x:f>
        <x:v>503.39698031181115</x:v>
      </x:c>
      <x:c r="Q2315" s="78" t="n">
        <x:f>IF(J2315&gt;0,M2315/J2315,0)</x:f>
        <x:v>0</x:v>
      </x:c>
      <x:c r="R2315" s="78" t="n">
        <x:f>IF(B2315='Inputs'!$H$50,'Inputs'!$B$27*'Inputs'!$I$50,0)</x:f>
        <x:v>0</x:v>
      </x:c>
      <x:c r="S2315" s="78" t="n">
        <x:f>Q2315+G2315+R2315</x:f>
        <x:v>485455.7609307568</x:v>
      </x:c>
      <x:c r="T2315" s="78" t="n">
        <x:f>P2315*(S2315*(1-'Inputs'!$B$15))/(O2315+S2315*(1-'Inputs'!$B$15))</x:f>
        <x:v>4.170258774744185</x:v>
      </x:c>
      <x:c r="U2315" s="78" t="n">
        <x:f>O2315+S2315*(1-'Inputs'!$B$17)</x:f>
        <x:v>58016853.51702203</x:v>
      </x:c>
      <x:c r="V2315" s="78" t="n">
        <x:f>P2315-T2315</x:f>
        <x:v>499.22672153706696</x:v>
      </x:c>
      <x:c r="W2315" s="79" t="n">
        <x:f>IF(U2315&gt;0,V2315/U2315,0)</x:f>
        <x:v>0.000008604856886811259</x:v>
      </x:c>
      <x:c r="X2315" s="80" t="n">
        <x:f>W2315*('Inputs'!$B$6-AC2315)</x:f>
        <x:v>8481.564402389216</x:v>
      </x:c>
      <x:c r="Y2315" s="80" t="n">
        <x:f>2*V2315</x:f>
        <x:v>998.4534430741339</x:v>
      </x:c>
      <x:c r="Z2315" s="80" t="n">
        <x:f>K2315*'Inputs'!$B$16+(G2315+R2315)*J2315*'Inputs'!$B$16</x:f>
        <x:v>6.066249186572558</x:v>
      </x:c>
      <x:c r="AA2315" s="80" t="n">
        <x:f>K2315*(1+'Inputs'!$E$50)/2*'Inputs'!$B$17</x:f>
        <x:v>2.025742375500246</x:v>
      </x:c>
      <x:c r="AB2315" s="78" t="n">
        <x:f>(IF(J2315&gt;0,K2315*(1-'Inputs'!$E$50)/2/J2315,0)+G2315+R2315)*'Inputs'!$B$17</x:f>
        <x:v>233476.08475384957</x:v>
      </x:c>
      <x:c r="AC2315" s="78" t="n">
        <x:f>AC2314+AB2315</x:f>
        <x:v>14328243.461086975</x:v>
      </x:c>
      <x:c r="AD2315" s="80" t="n">
        <x:f>Z2315/(1+'Inputs'!$C$50)</x:f>
        <x:v>3.033124593286279</x:v>
      </x:c>
      <x:c r="AE2315" s="80" t="n">
        <x:f>Z2315-AD2315</x:f>
        <x:v>3.033124593286279</x:v>
      </x:c>
      <x:c r="AF2315" s="80" t="n">
        <x:f>D2315*W2315</x:f>
        <x:v>2.479989914477179</x:v>
      </x:c>
      <x:c r="AG2315" s="80" t="n">
        <x:f>C2315*W2315</x:f>
        <x:v>5.786643133780235</x:v>
      </x:c>
      <x:c r="AH2315" s="80" t="n">
        <x:f>2*'Inputs'!$B$8*'Inputs'!$C$50</x:f>
        <x:v>5000</x:v>
      </x:c>
      <x:c r="AI2315" s="81" t="n">
        <x:f>IF(AH2315&gt;0,(AE2315+AF2315)/AH2315*365,0)</x:f>
        <x:v>0.4024573590667324</x:v>
      </x:c>
      <x:c r="AJ2315" s="81" t="n">
        <x:f>IF('Inputs'!$B$50&gt;0,AG2315/('Inputs'!$B$19*'Inputs'!$B$50)*365,0)</x:f>
        <x:v>0.21121247438297858</x:v>
      </x:c>
      <x:c r="AK2315" s="81" t="n">
        <x:f>W2315/MAX($W$2194:W2315)-1</x:f>
        <x:v>-0.9897899736732794</x:v>
      </x:c>
      <x:c r="AL2315" s="83" t="n">
        <x:f>'Inputs'!$B$50</x:f>
        <x:v>1</x:v>
      </x:c>
      <x:c r="AM2315" s="83" t="n">
        <x:f>'Inputs'!$C$50</x:f>
        <x:v>1</x:v>
      </x:c>
      <x:c r="AN2315" s="83" t="n">
        <x:f>'Inputs'!$D$50</x:f>
        <x:v>1</x:v>
      </x:c>
      <x:c r="AO2315" s="81" t="n">
        <x:f>'Inputs'!$E$50</x:f>
        <x:v>0</x:v>
      </x:c>
    </x:row>
    <x:row r="2316">
      <x:c r="A2316" s="59" t="str">
        <x:v>Whale exit</x:v>
      </x:c>
      <x:c r="B2316" s="59" t="n">
        <x:v>123</x:v>
      </x:c>
      <x:c r="C2316" s="78" t="n">
        <x:f>(('Inputs'!$B$29*(3*123*'Inputs'!$B$12-123^2)/(2*'Inputs'!$B$12^2))-('Inputs'!$B$29*(3*122*'Inputs'!$B$12-122^2)/(2*'Inputs'!$B$12^2)))*'Inputs'!$B$50</x:f>
        <x:v>672160.5835991651</x:v>
      </x:c>
      <x:c r="D2316" s="78" t="n">
        <x:f>IF('Inputs'!$C$50&gt;0,('Inputs'!$B$30*(3*123*'Inputs'!$B$12-123^2)/(2*'Inputs'!$B$12^2))-('Inputs'!$B$30*(3*122*'Inputs'!$B$12-122^2)/(2*'Inputs'!$B$12^2)),0)</x:f>
        <x:v>288068.8215425089</x:v>
      </x:c>
      <x:c r="E2316" s="78" t="n">
        <x:f>C2316+D2316</x:f>
        <x:v>960229.405141674</x:v>
      </x:c>
      <x:c r="F2316" s="78" t="n">
        <x:f>'Inputs'!$B$13*E2316+(1-'Inputs'!$B$13)/'Inputs'!$B$14*SUM(E2261:E2316)</x:f>
        <x:v>970447.0820041276</x:v>
      </x:c>
      <x:c r="G2316" s="78" t="n">
        <x:f>F2316*'Inputs'!$F$50</x:f>
        <x:v>485223.5410020638</x:v>
      </x:c>
      <x:c r="H2316" s="78" t="n">
        <x:f>U2315</x:f>
        <x:v>58016853.51702203</x:v>
      </x:c>
      <x:c r="I2316" s="78" t="n">
        <x:f>V2315</x:f>
        <x:v>499.22672153706696</x:v>
      </x:c>
      <x:c r="J2316" s="79" t="n">
        <x:f>IF(H2316&gt;0,I2316/H2316,0)</x:f>
        <x:v>0.000008604856886811259</x:v>
      </x:c>
      <x:c r="K2316" s="80" t="n">
        <x:f>(H2316*J2316+I2316)*'Inputs'!$D$50*(1+'Inputs'!$G$50)^(B2316/30)</x:f>
        <x:v>998.4534430741339</x:v>
      </x:c>
      <x:c r="L2316" s="80" t="n">
        <x:f>MAX(0,K2316*'Inputs'!$E$50)</x:f>
        <x:v>0</x:v>
      </x:c>
      <x:c r="M2316" s="80" t="n">
        <x:f>MAX(0,-K2316*'Inputs'!$E$50)</x:f>
        <x:v>0</x:v>
      </x:c>
      <x:c r="N2316" s="78" t="n">
        <x:f>H2316*(L2316*(1-'Inputs'!$B$15))/(I2316+L2316*(1-'Inputs'!$B$15))</x:f>
        <x:v>0</x:v>
      </x:c>
      <x:c r="O2316" s="78" t="n">
        <x:f>H2316-N2316</x:f>
        <x:v>58016853.51702203</x:v>
      </x:c>
      <x:c r="P2316" s="78" t="n">
        <x:f>I2316+L2316*(1-'Inputs'!$B$17)</x:f>
        <x:v>499.22672153706696</x:v>
      </x:c>
      <x:c r="Q2316" s="78" t="n">
        <x:f>IF(J2316&gt;0,M2316/J2316,0)</x:f>
        <x:v>0</x:v>
      </x:c>
      <x:c r="R2316" s="78" t="n">
        <x:f>IF(B2316='Inputs'!$H$50,'Inputs'!$B$27*'Inputs'!$I$50,0)</x:f>
        <x:v>0</x:v>
      </x:c>
      <x:c r="S2316" s="78" t="n">
        <x:f>Q2316+G2316+R2316</x:f>
        <x:v>485223.5410020638</x:v>
      </x:c>
      <x:c r="T2316" s="78" t="n">
        <x:f>P2316*(S2316*(1-'Inputs'!$B$15))/(O2316+S2316*(1-'Inputs'!$B$15))</x:f>
        <x:v>4.099582377427382</x:v>
      </x:c>
      <x:c r="U2316" s="78" t="n">
        <x:f>O2316+S2316*(1-'Inputs'!$B$17)</x:f>
        <x:v>58500124.44820115</x:v>
      </x:c>
      <x:c r="V2316" s="78" t="n">
        <x:f>P2316-T2316</x:f>
        <x:v>495.12713915963957</x:v>
      </x:c>
      <x:c r="W2316" s="79" t="n">
        <x:f>IF(U2316&gt;0,V2316/U2316,0)</x:f>
        <x:v>0.000008463693775524345</x:v>
      </x:c>
      <x:c r="X2316" s="80" t="n">
        <x:f>W2316*('Inputs'!$B$6-AC2316)</x:f>
        <x:v>8340.431380687696</x:v>
      </x:c>
      <x:c r="Y2316" s="80" t="n">
        <x:f>2*V2316</x:f>
        <x:v>990.2542783192791</x:v>
      </x:c>
      <x:c r="Z2316" s="80" t="n">
        <x:f>K2316*'Inputs'!$B$16+(G2316+R2316)*J2316*'Inputs'!$B$16</x:f>
        <x:v>6.015772333215411</x:v>
      </x:c>
      <x:c r="AA2316" s="80" t="n">
        <x:f>K2316*(1+'Inputs'!$E$50)/2*'Inputs'!$B$17</x:f>
        <x:v>2.0089606500485595</x:v>
      </x:c>
      <x:c r="AB2316" s="78" t="n">
        <x:f>(IF(J2316&gt;0,K2316*(1-'Inputs'!$E$50)/2/J2316,0)+G2316+R2316)*'Inputs'!$B$17</x:f>
        <x:v>235420.8332314853</x:v>
      </x:c>
      <x:c r="AC2316" s="78" t="n">
        <x:f>AC2315+AB2316</x:f>
        <x:v>14563664.29431846</x:v>
      </x:c>
      <x:c r="AD2316" s="80" t="n">
        <x:f>Z2316/(1+'Inputs'!$C$50)</x:f>
        <x:v>3.0078861666077055</x:v>
      </x:c>
      <x:c r="AE2316" s="80" t="n">
        <x:f>Z2316-AD2316</x:f>
        <x:v>3.0078861666077055</x:v>
      </x:c>
      <x:c r="AF2316" s="80" t="n">
        <x:f>D2316*W2316</x:f>
        <x:v>2.4381262918119657</x:v>
      </x:c>
      <x:c r="AG2316" s="80" t="n">
        <x:f>C2316*W2316</x:f>
        <x:v>5.688961347561064</x:v>
      </x:c>
      <x:c r="AH2316" s="80" t="n">
        <x:f>2*'Inputs'!$B$8*'Inputs'!$C$50</x:f>
        <x:v>5000</x:v>
      </x:c>
      <x:c r="AI2316" s="81" t="n">
        <x:f>IF(AH2316&gt;0,(AE2316+AF2316)/AH2316*365,0)</x:f>
        <x:v>0.397558909464636</x:v>
      </x:c>
      <x:c r="AJ2316" s="81" t="n">
        <x:f>IF('Inputs'!$B$50&gt;0,AG2316/('Inputs'!$B$19*'Inputs'!$B$50)*365,0)</x:f>
        <x:v>0.20764708918597882</x:v>
      </x:c>
      <x:c r="AK2316" s="81" t="n">
        <x:f>W2316/MAX($W$2194:W2316)-1</x:f>
        <x:v>-0.9899574696701983</x:v>
      </x:c>
      <x:c r="AL2316" s="83" t="n">
        <x:f>'Inputs'!$B$50</x:f>
        <x:v>1</x:v>
      </x:c>
      <x:c r="AM2316" s="83" t="n">
        <x:f>'Inputs'!$C$50</x:f>
        <x:v>1</x:v>
      </x:c>
      <x:c r="AN2316" s="83" t="n">
        <x:f>'Inputs'!$D$50</x:f>
        <x:v>1</x:v>
      </x:c>
      <x:c r="AO2316" s="81" t="n">
        <x:f>'Inputs'!$E$50</x:f>
        <x:v>0</x:v>
      </x:c>
    </x:row>
    <x:row r="2317">
      <x:c r="A2317" s="59" t="str">
        <x:v>Whale exit</x:v>
      </x:c>
      <x:c r="B2317" s="59" t="n">
        <x:v>124</x:v>
      </x:c>
      <x:c r="C2317" s="78" t="n">
        <x:f>(('Inputs'!$B$29*(3*124*'Inputs'!$B$12-124^2)/(2*'Inputs'!$B$12^2))-('Inputs'!$B$29*(3*123*'Inputs'!$B$12-123^2)/(2*'Inputs'!$B$12^2)))*'Inputs'!$B$50</x:f>
        <x:v>671835.4756990075</x:v>
      </x:c>
      <x:c r="D2317" s="78" t="n">
        <x:f>IF('Inputs'!$C$50&gt;0,('Inputs'!$B$30*(3*124*'Inputs'!$B$12-124^2)/(2*'Inputs'!$B$12^2))-('Inputs'!$B$30*(3*123*'Inputs'!$B$12-123^2)/(2*'Inputs'!$B$12^2)),0)</x:f>
        <x:v>287929.48958528787</x:v>
      </x:c>
      <x:c r="E2317" s="78" t="n">
        <x:f>C2317+D2317</x:f>
        <x:v>959764.9652842954</x:v>
      </x:c>
      <x:c r="F2317" s="78" t="n">
        <x:f>'Inputs'!$B$13*E2317+(1-'Inputs'!$B$13)/'Inputs'!$B$14*SUM(E2262:E2317)</x:f>
        <x:v>969982.6421467445</x:v>
      </x:c>
      <x:c r="G2317" s="78" t="n">
        <x:f>F2317*'Inputs'!$F$50</x:f>
        <x:v>484991.32107337227</x:v>
      </x:c>
      <x:c r="H2317" s="78" t="n">
        <x:f>U2316</x:f>
        <x:v>58500124.44820115</x:v>
      </x:c>
      <x:c r="I2317" s="78" t="n">
        <x:f>V2316</x:f>
        <x:v>495.12713915963957</x:v>
      </x:c>
      <x:c r="J2317" s="79" t="n">
        <x:f>IF(H2317&gt;0,I2317/H2317,0)</x:f>
        <x:v>0.000008463693775524345</x:v>
      </x:c>
      <x:c r="K2317" s="80" t="n">
        <x:f>(H2317*J2317+I2317)*'Inputs'!$D$50*(1+'Inputs'!$G$50)^(B2317/30)</x:f>
        <x:v>990.2542783192791</x:v>
      </x:c>
      <x:c r="L2317" s="80" t="n">
        <x:f>MAX(0,K2317*'Inputs'!$E$50)</x:f>
        <x:v>0</x:v>
      </x:c>
      <x:c r="M2317" s="80" t="n">
        <x:f>MAX(0,-K2317*'Inputs'!$E$50)</x:f>
        <x:v>0</x:v>
      </x:c>
      <x:c r="N2317" s="78" t="n">
        <x:f>H2317*(L2317*(1-'Inputs'!$B$15))/(I2317+L2317*(1-'Inputs'!$B$15))</x:f>
        <x:v>0</x:v>
      </x:c>
      <x:c r="O2317" s="78" t="n">
        <x:f>H2317-N2317</x:f>
        <x:v>58500124.44820115</x:v>
      </x:c>
      <x:c r="P2317" s="78" t="n">
        <x:f>I2317+L2317*(1-'Inputs'!$B$17)</x:f>
        <x:v>495.12713915963957</x:v>
      </x:c>
      <x:c r="Q2317" s="78" t="n">
        <x:f>IF(J2317&gt;0,M2317/J2317,0)</x:f>
        <x:v>0</x:v>
      </x:c>
      <x:c r="R2317" s="78" t="n">
        <x:f>IF(B2317='Inputs'!$H$50,'Inputs'!$B$27*'Inputs'!$I$50,0)</x:f>
        <x:v>0</x:v>
      </x:c>
      <x:c r="S2317" s="78" t="n">
        <x:f>Q2317+G2317+R2317</x:f>
        <x:v>484991.32107337227</x:v>
      </x:c>
      <x:c r="T2317" s="78" t="n">
        <x:f>P2317*(S2317*(1-'Inputs'!$B$15))/(O2317+S2317*(1-'Inputs'!$B$15))</x:f>
        <x:v>4.030687861720932</x:v>
      </x:c>
      <x:c r="U2317" s="78" t="n">
        <x:f>O2317+S2317*(1-'Inputs'!$B$17)</x:f>
        <x:v>58983164.09393821</x:v>
      </x:c>
      <x:c r="V2317" s="78" t="n">
        <x:f>P2317-T2317</x:f>
        <x:v>491.09645129791863</x:v>
      </x:c>
      <x:c r="W2317" s="79" t="n">
        <x:f>IF(U2317&gt;0,V2317/U2317,0)</x:f>
        <x:v>0.00000832604453901091</x:v>
      </x:c>
      <x:c r="X2317" s="80" t="n">
        <x:f>W2317*('Inputs'!$B$6-AC2317)</x:f>
        <x:v>8202.810512789141</x:v>
      </x:c>
      <x:c r="Y2317" s="80" t="n">
        <x:f>2*V2317</x:f>
        <x:v>982.1929025958373</x:v>
      </x:c>
      <x:c r="Z2317" s="80" t="n">
        <x:f>K2317*'Inputs'!$B$16+(G2317+R2317)*J2317*'Inputs'!$B$16</x:f>
        <x:v>5.966154578067788</x:v>
      </x:c>
      <x:c r="AA2317" s="80" t="n">
        <x:f>K2317*(1+'Inputs'!$E$50)/2*'Inputs'!$B$17</x:f>
        <x:v>1.9924633366585096</x:v>
      </x:c>
      <x:c r="AB2317" s="78" t="n">
        <x:f>(IF(J2317&gt;0,K2317*(1-'Inputs'!$E$50)/2/J2317,0)+G2317+R2317)*'Inputs'!$B$17</x:f>
        <x:v>237364.65098299607</x:v>
      </x:c>
      <x:c r="AC2317" s="78" t="n">
        <x:f>AC2316+AB2317</x:f>
        <x:v>14801028.945301456</x:v>
      </x:c>
      <x:c r="AD2317" s="80" t="n">
        <x:f>Z2317/(1+'Inputs'!$C$50)</x:f>
        <x:v>2.983077289033894</x:v>
      </x:c>
      <x:c r="AE2317" s="80" t="n">
        <x:f>Z2317-AD2317</x:f>
        <x:v>2.983077289033894</x:v>
      </x:c>
      <x:c r="AF2317" s="80" t="n">
        <x:f>D2317*W2317</x:f>
        <x:v>2.3973137543817846</x:v>
      </x:c>
      <x:c r="AG2317" s="80" t="n">
        <x:f>C2317*W2317</x:f>
        <x:v>5.593732093557518</x:v>
      </x:c>
      <x:c r="AH2317" s="80" t="n">
        <x:f>2*'Inputs'!$B$8*'Inputs'!$C$50</x:f>
        <x:v>5000</x:v>
      </x:c>
      <x:c r="AI2317" s="81" t="n">
        <x:f>IF(AH2317&gt;0,(AE2317+AF2317)/AH2317*365,0)</x:f>
        <x:v>0.39276854616934453</x:v>
      </x:c>
      <x:c r="AJ2317" s="81" t="n">
        <x:f>IF('Inputs'!$B$50&gt;0,AG2317/('Inputs'!$B$19*'Inputs'!$B$50)*365,0)</x:f>
        <x:v>0.20417122141484942</x:v>
      </x:c>
      <x:c r="AK2317" s="81" t="n">
        <x:f>W2317/MAX($W$2194:W2317)-1</x:f>
        <x:v>-0.9901207963062065</x:v>
      </x:c>
      <x:c r="AL2317" s="83" t="n">
        <x:f>'Inputs'!$B$50</x:f>
        <x:v>1</x:v>
      </x:c>
      <x:c r="AM2317" s="83" t="n">
        <x:f>'Inputs'!$C$50</x:f>
        <x:v>1</x:v>
      </x:c>
      <x:c r="AN2317" s="83" t="n">
        <x:f>'Inputs'!$D$50</x:f>
        <x:v>1</x:v>
      </x:c>
      <x:c r="AO2317" s="81" t="n">
        <x:f>'Inputs'!$E$50</x:f>
        <x:v>0</x:v>
      </x:c>
    </x:row>
    <x:row r="2318">
      <x:c r="A2318" s="59" t="str">
        <x:v>Whale exit</x:v>
      </x:c>
      <x:c r="B2318" s="59" t="n">
        <x:v>125</x:v>
      </x:c>
      <x:c r="C2318" s="78" t="n">
        <x:f>(('Inputs'!$B$29*(3*125*'Inputs'!$B$12-125^2)/(2*'Inputs'!$B$12^2))-('Inputs'!$B$29*(3*124*'Inputs'!$B$12-124^2)/(2*'Inputs'!$B$12^2)))*'Inputs'!$B$50</x:f>
        <x:v>671510.367798835</x:v>
      </x:c>
      <x:c r="D2318" s="78" t="n">
        <x:f>IF('Inputs'!$C$50&gt;0,('Inputs'!$B$30*(3*125*'Inputs'!$B$12-125^2)/(2*'Inputs'!$B$12^2))-('Inputs'!$B$30*(3*124*'Inputs'!$B$12-124^2)/(2*'Inputs'!$B$12^2)),0)</x:f>
        <x:v>287790.1576280743</x:v>
      </x:c>
      <x:c r="E2318" s="78" t="n">
        <x:f>C2318+D2318</x:f>
        <x:v>959300.5254269093</x:v>
      </x:c>
      <x:c r="F2318" s="78" t="n">
        <x:f>'Inputs'!$B$13*E2318+(1-'Inputs'!$B$13)/'Inputs'!$B$14*SUM(E2263:E2318)</x:f>
        <x:v>969518.2022893602</x:v>
      </x:c>
      <x:c r="G2318" s="78" t="n">
        <x:f>F2318*'Inputs'!$F$50</x:f>
        <x:v>484759.1011446801</x:v>
      </x:c>
      <x:c r="H2318" s="78" t="n">
        <x:f>U2317</x:f>
        <x:v>58983164.09393821</x:v>
      </x:c>
      <x:c r="I2318" s="78" t="n">
        <x:f>V2317</x:f>
        <x:v>491.09645129791863</x:v>
      </x:c>
      <x:c r="J2318" s="79" t="n">
        <x:f>IF(H2318&gt;0,I2318/H2318,0)</x:f>
        <x:v>0.00000832604453901091</x:v>
      </x:c>
      <x:c r="K2318" s="80" t="n">
        <x:f>(H2318*J2318+I2318)*'Inputs'!$D$50*(1+'Inputs'!$G$50)^(B2318/30)</x:f>
        <x:v>982.1929025958373</x:v>
      </x:c>
      <x:c r="L2318" s="80" t="n">
        <x:f>MAX(0,K2318*'Inputs'!$E$50)</x:f>
        <x:v>0</x:v>
      </x:c>
      <x:c r="M2318" s="80" t="n">
        <x:f>MAX(0,-K2318*'Inputs'!$E$50)</x:f>
        <x:v>0</x:v>
      </x:c>
      <x:c r="N2318" s="78" t="n">
        <x:f>H2318*(L2318*(1-'Inputs'!$B$15))/(I2318+L2318*(1-'Inputs'!$B$15))</x:f>
        <x:v>0</x:v>
      </x:c>
      <x:c r="O2318" s="78" t="n">
        <x:f>H2318-N2318</x:f>
        <x:v>58983164.09393821</x:v>
      </x:c>
      <x:c r="P2318" s="78" t="n">
        <x:f>I2318+L2318*(1-'Inputs'!$B$17)</x:f>
        <x:v>491.09645129791863</x:v>
      </x:c>
      <x:c r="Q2318" s="78" t="n">
        <x:f>IF(J2318&gt;0,M2318/J2318,0)</x:f>
        <x:v>0</x:v>
      </x:c>
      <x:c r="R2318" s="78" t="n">
        <x:f>IF(B2318='Inputs'!$H$50,'Inputs'!$B$27*'Inputs'!$I$50,0)</x:f>
        <x:v>0</x:v>
      </x:c>
      <x:c r="S2318" s="78" t="n">
        <x:f>Q2318+G2318+R2318</x:f>
        <x:v>484759.1011446801</x:v>
      </x:c>
      <x:c r="T2318" s="78" t="n">
        <x:f>P2318*(S2318*(1-'Inputs'!$B$15))/(O2318+S2318*(1-'Inputs'!$B$15))</x:f>
        <x:v>3.9635157981522027</x:v>
      </x:c>
      <x:c r="U2318" s="78" t="n">
        <x:f>O2318+S2318*(1-'Inputs'!$B$17)</x:f>
        <x:v>59465972.454233214</x:v>
      </x:c>
      <x:c r="V2318" s="78" t="n">
        <x:f>P2318-T2318</x:f>
        <x:v>487.1329354997664</x:v>
      </x:c>
      <x:c r="W2318" s="79" t="n">
        <x:f>IF(U2318&gt;0,V2318/U2318,0)</x:f>
        <x:v>0.000008191792976641868</x:v>
      </x:c>
      <x:c r="X2318" s="80" t="n">
        <x:f>W2318*('Inputs'!$B$6-AC2318)</x:f>
        <x:v>8068.58565387156</x:v>
      </x:c>
      <x:c r="Y2318" s="80" t="n">
        <x:f>2*V2318</x:f>
        <x:v>974.2658709995328</x:v>
      </x:c>
      <x:c r="Z2318" s="80" t="n">
        <x:f>K2318*'Inputs'!$B$16+(G2318+R2318)*J2318*'Inputs'!$B$16</x:f>
        <x:v>5.917374170775953</x:v>
      </x:c>
      <x:c r="AA2318" s="80" t="n">
        <x:f>K2318*(1+'Inputs'!$E$50)/2*'Inputs'!$B$17</x:f>
        <x:v>1.976243264780357</x:v>
      </x:c>
      <x:c r="AB2318" s="78" t="n">
        <x:f>(IF(J2318&gt;0,K2318*(1-'Inputs'!$E$50)/2/J2318,0)+G2318+R2318)*'Inputs'!$B$17</x:f>
        <x:v>239307.53800838187</x:v>
      </x:c>
      <x:c r="AC2318" s="78" t="n">
        <x:f>AC2317+AB2318</x:f>
        <x:v>15040336.483309839</x:v>
      </x:c>
      <x:c r="AD2318" s="80" t="n">
        <x:f>Z2318/(1+'Inputs'!$C$50)</x:f>
        <x:v>2.9586870853879765</x:v>
      </x:c>
      <x:c r="AE2318" s="80" t="n">
        <x:f>Z2318-AD2318</x:f>
        <x:v>2.9586870853879765</x:v>
      </x:c>
      <x:c r="AF2318" s="80" t="n">
        <x:f>D2318*W2318</x:f>
        <x:v>2.357517392004315</x:v>
      </x:c>
      <x:c r="AG2318" s="80" t="n">
        <x:f>C2318*W2318</x:f>
        <x:v>5.500873914676695</x:v>
      </x:c>
      <x:c r="AH2318" s="80" t="n">
        <x:f>2*'Inputs'!$B$8*'Inputs'!$C$50</x:f>
        <x:v>5000</x:v>
      </x:c>
      <x:c r="AI2318" s="81" t="n">
        <x:f>IF(AH2318&gt;0,(AE2318+AF2318)/AH2318*365,0)</x:f>
        <x:v>0.3880829268496373</x:v>
      </x:c>
      <x:c r="AJ2318" s="81" t="n">
        <x:f>IF('Inputs'!$B$50&gt;0,AG2318/('Inputs'!$B$19*'Inputs'!$B$50)*365,0)</x:f>
        <x:v>0.20078189788569936</x:v>
      </x:c>
      <x:c r="AK2318" s="81" t="n">
        <x:f>W2318/MAX($W$2194:W2318)-1</x:f>
        <x:v>-0.9902800914582609</x:v>
      </x:c>
      <x:c r="AL2318" s="83" t="n">
        <x:f>'Inputs'!$B$50</x:f>
        <x:v>1</x:v>
      </x:c>
      <x:c r="AM2318" s="83" t="n">
        <x:f>'Inputs'!$C$50</x:f>
        <x:v>1</x:v>
      </x:c>
      <x:c r="AN2318" s="83" t="n">
        <x:f>'Inputs'!$D$50</x:f>
        <x:v>1</x:v>
      </x:c>
      <x:c r="AO2318" s="81" t="n">
        <x:f>'Inputs'!$E$50</x:f>
        <x:v>0</x:v>
      </x:c>
    </x:row>
    <x:row r="2319">
      <x:c r="A2319" s="59" t="str">
        <x:v>Whale exit</x:v>
      </x:c>
      <x:c r="B2319" s="59" t="n">
        <x:v>126</x:v>
      </x:c>
      <x:c r="C2319" s="78" t="n">
        <x:f>(('Inputs'!$B$29*(3*126*'Inputs'!$B$12-126^2)/(2*'Inputs'!$B$12^2))-('Inputs'!$B$29*(3*125*'Inputs'!$B$12-125^2)/(2*'Inputs'!$B$12^2)))*'Inputs'!$B$50</x:f>
        <x:v>671185.2598986775</x:v>
      </x:c>
      <x:c r="D2319" s="78" t="n">
        <x:f>IF('Inputs'!$C$50&gt;0,('Inputs'!$B$30*(3*126*'Inputs'!$B$12-126^2)/(2*'Inputs'!$B$12^2))-('Inputs'!$B$30*(3*125*'Inputs'!$B$12-125^2)/(2*'Inputs'!$B$12^2)),0)</x:f>
        <x:v>287650.82567085326</x:v>
      </x:c>
      <x:c r="E2319" s="78" t="n">
        <x:f>C2319+D2319</x:f>
        <x:v>958836.0855695307</x:v>
      </x:c>
      <x:c r="F2319" s="78" t="n">
        <x:f>'Inputs'!$B$13*E2319+(1-'Inputs'!$B$13)/'Inputs'!$B$14*SUM(E2264:E2319)</x:f>
        <x:v>969053.7624319772</x:v>
      </x:c>
      <x:c r="G2319" s="78" t="n">
        <x:f>F2319*'Inputs'!$F$50</x:f>
        <x:v>484526.8812159886</x:v>
      </x:c>
      <x:c r="H2319" s="78" t="n">
        <x:f>U2318</x:f>
        <x:v>59465972.454233214</x:v>
      </x:c>
      <x:c r="I2319" s="78" t="n">
        <x:f>V2318</x:f>
        <x:v>487.1329354997664</x:v>
      </x:c>
      <x:c r="J2319" s="79" t="n">
        <x:f>IF(H2319&gt;0,I2319/H2319,0)</x:f>
        <x:v>0.000008191792976641868</x:v>
      </x:c>
      <x:c r="K2319" s="80" t="n">
        <x:f>(H2319*J2319+I2319)*'Inputs'!$D$50*(1+'Inputs'!$G$50)^(B2319/30)</x:f>
        <x:v>974.2658709995328</x:v>
      </x:c>
      <x:c r="L2319" s="80" t="n">
        <x:f>MAX(0,K2319*'Inputs'!$E$50)</x:f>
        <x:v>0</x:v>
      </x:c>
      <x:c r="M2319" s="80" t="n">
        <x:f>MAX(0,-K2319*'Inputs'!$E$50)</x:f>
        <x:v>0</x:v>
      </x:c>
      <x:c r="N2319" s="78" t="n">
        <x:f>H2319*(L2319*(1-'Inputs'!$B$15))/(I2319+L2319*(1-'Inputs'!$B$15))</x:f>
        <x:v>0</x:v>
      </x:c>
      <x:c r="O2319" s="78" t="n">
        <x:f>H2319-N2319</x:f>
        <x:v>59465972.454233214</x:v>
      </x:c>
      <x:c r="P2319" s="78" t="n">
        <x:f>I2319+L2319*(1-'Inputs'!$B$17)</x:f>
        <x:v>487.1329354997664</x:v>
      </x:c>
      <x:c r="Q2319" s="78" t="n">
        <x:f>IF(J2319&gt;0,M2319/J2319,0)</x:f>
        <x:v>0</x:v>
      </x:c>
      <x:c r="R2319" s="78" t="n">
        <x:f>IF(B2319='Inputs'!$H$50,'Inputs'!$B$27*'Inputs'!$I$50,0)</x:f>
        <x:v>0</x:v>
      </x:c>
      <x:c r="S2319" s="78" t="n">
        <x:f>Q2319+G2319+R2319</x:f>
        <x:v>484526.8812159886</x:v>
      </x:c>
      <x:c r="T2319" s="78" t="n">
        <x:f>P2319*(S2319*(1-'Inputs'!$B$15))/(O2319+S2319*(1-'Inputs'!$B$15))</x:f>
        <x:v>3.898009215076483</x:v>
      </x:c>
      <x:c r="U2319" s="78" t="n">
        <x:f>O2319+S2319*(1-'Inputs'!$B$17)</x:f>
        <x:v>59948549.52908616</x:v>
      </x:c>
      <x:c r="V2319" s="78" t="n">
        <x:f>P2319-T2319</x:f>
        <x:v>483.23492628468995</x:v>
      </x:c>
      <x:c r="W2319" s="79" t="n">
        <x:f>IF(U2319&gt;0,V2319/U2319,0)</x:f>
        <x:v>0.00000806082766106345</x:v>
      </x:c>
      <x:c r="X2319" s="80" t="n">
        <x:f>W2319*('Inputs'!$B$6-AC2319)</x:f>
        <x:v>7937.645430110151</x:v>
      </x:c>
      <x:c r="Y2319" s="80" t="n">
        <x:f>2*V2319</x:f>
        <x:v>966.4698525693799</x:v>
      </x:c>
      <x:c r="Z2319" s="80" t="n">
        <x:f>K2319*'Inputs'!$B$16+(G2319+R2319)*J2319*'Inputs'!$B$16</x:f>
        <x:v>5.869410089412433</x:v>
      </x:c>
      <x:c r="AA2319" s="80" t="n">
        <x:f>K2319*(1+'Inputs'!$E$50)/2*'Inputs'!$B$17</x:f>
        <x:v>1.9602935030171689</x:v>
      </x:c>
      <x:c r="AB2319" s="78" t="n">
        <x:f>(IF(J2319&gt;0,K2319*(1-'Inputs'!$E$50)/2/J2319,0)+G2319+R2319)*'Inputs'!$B$17</x:f>
        <x:v>241249.4943076427</x:v>
      </x:c>
      <x:c r="AC2319" s="78" t="n">
        <x:f>AC2318+AB2319</x:f>
        <x:v>15281585.977617482</x:v>
      </x:c>
      <x:c r="AD2319" s="80" t="n">
        <x:f>Z2319/(1+'Inputs'!$C$50)</x:f>
        <x:v>2.9347050447062166</x:v>
      </x:c>
      <x:c r="AE2319" s="80" t="n">
        <x:f>Z2319-AD2319</x:f>
        <x:v>2.9347050447062166</x:v>
      </x:c>
      <x:c r="AF2319" s="80" t="n">
        <x:f>D2319*W2319</x:f>
        <x:v>2.3187037322953543</x:v>
      </x:c>
      <x:c r="AG2319" s="80" t="n">
        <x:f>C2319*W2319</x:f>
        <x:v>5.41030870868932</x:v>
      </x:c>
      <x:c r="AH2319" s="80" t="n">
        <x:f>2*'Inputs'!$B$8*'Inputs'!$C$50</x:f>
        <x:v>5000</x:v>
      </x:c>
      <x:c r="AI2319" s="81" t="n">
        <x:f>IF(AH2319&gt;0,(AE2319+AF2319)/AH2319*365,0)</x:f>
        <x:v>0.38349884072111473</x:v>
      </x:c>
      <x:c r="AJ2319" s="81" t="n">
        <x:f>IF('Inputs'!$B$50&gt;0,AG2319/('Inputs'!$B$19*'Inputs'!$B$50)*365,0)</x:f>
        <x:v>0.1974762678671602</x:v>
      </x:c>
      <x:c r="AK2319" s="81" t="n">
        <x:f>W2319/MAX($W$2194:W2319)-1</x:f>
        <x:v>-0.9904354873396256</x:v>
      </x:c>
      <x:c r="AL2319" s="83" t="n">
        <x:f>'Inputs'!$B$50</x:f>
        <x:v>1</x:v>
      </x:c>
      <x:c r="AM2319" s="83" t="n">
        <x:f>'Inputs'!$C$50</x:f>
        <x:v>1</x:v>
      </x:c>
      <x:c r="AN2319" s="83" t="n">
        <x:f>'Inputs'!$D$50</x:f>
        <x:v>1</x:v>
      </x:c>
      <x:c r="AO2319" s="81" t="n">
        <x:f>'Inputs'!$E$50</x:f>
        <x:v>0</x:v>
      </x:c>
    </x:row>
    <x:row r="2320">
      <x:c r="A2320" s="59" t="str">
        <x:v>Whale exit</x:v>
      </x:c>
      <x:c r="B2320" s="59" t="n">
        <x:v>127</x:v>
      </x:c>
      <x:c r="C2320" s="78" t="n">
        <x:f>(('Inputs'!$B$29*(3*127*'Inputs'!$B$12-127^2)/(2*'Inputs'!$B$12^2))-('Inputs'!$B$29*(3*126*'Inputs'!$B$12-126^2)/(2*'Inputs'!$B$12^2)))*'Inputs'!$B$50</x:f>
        <x:v>670860.1519984901</x:v>
      </x:c>
      <x:c r="D2320" s="78" t="n">
        <x:f>IF('Inputs'!$C$50&gt;0,('Inputs'!$B$30*(3*127*'Inputs'!$B$12-127^2)/(2*'Inputs'!$B$12^2))-('Inputs'!$B$30*(3*126*'Inputs'!$B$12-126^2)/(2*'Inputs'!$B$12^2)),0)</x:f>
        <x:v>287511.4937136397</x:v>
      </x:c>
      <x:c r="E2320" s="78" t="n">
        <x:f>C2320+D2320</x:f>
        <x:v>958371.6457121298</x:v>
      </x:c>
      <x:c r="F2320" s="78" t="n">
        <x:f>'Inputs'!$B$13*E2320+(1-'Inputs'!$B$13)/'Inputs'!$B$14*SUM(E2265:E2320)</x:f>
        <x:v>968589.3225745896</x:v>
      </x:c>
      <x:c r="G2320" s="78" t="n">
        <x:f>F2320*'Inputs'!$F$50</x:f>
        <x:v>484294.6612872948</x:v>
      </x:c>
      <x:c r="H2320" s="78" t="n">
        <x:f>U2319</x:f>
        <x:v>59948549.52908616</x:v>
      </x:c>
      <x:c r="I2320" s="78" t="n">
        <x:f>V2319</x:f>
        <x:v>483.23492628468995</x:v>
      </x:c>
      <x:c r="J2320" s="79" t="n">
        <x:f>IF(H2320&gt;0,I2320/H2320,0)</x:f>
        <x:v>0.00000806082766106345</x:v>
      </x:c>
      <x:c r="K2320" s="80" t="n">
        <x:f>(H2320*J2320+I2320)*'Inputs'!$D$50*(1+'Inputs'!$G$50)^(B2320/30)</x:f>
        <x:v>966.4698525693799</x:v>
      </x:c>
      <x:c r="L2320" s="80" t="n">
        <x:f>MAX(0,K2320*'Inputs'!$E$50)</x:f>
        <x:v>0</x:v>
      </x:c>
      <x:c r="M2320" s="80" t="n">
        <x:f>MAX(0,-K2320*'Inputs'!$E$50)</x:f>
        <x:v>0</x:v>
      </x:c>
      <x:c r="N2320" s="78" t="n">
        <x:f>H2320*(L2320*(1-'Inputs'!$B$15))/(I2320+L2320*(1-'Inputs'!$B$15))</x:f>
        <x:v>0</x:v>
      </x:c>
      <x:c r="O2320" s="78" t="n">
        <x:f>H2320-N2320</x:f>
        <x:v>59948549.52908616</x:v>
      </x:c>
      <x:c r="P2320" s="78" t="n">
        <x:f>I2320+L2320*(1-'Inputs'!$B$17)</x:f>
        <x:v>483.23492628468995</x:v>
      </x:c>
      <x:c r="Q2320" s="78" t="n">
        <x:f>IF(J2320&gt;0,M2320/J2320,0)</x:f>
        <x:v>0</x:v>
      </x:c>
      <x:c r="R2320" s="78" t="n">
        <x:f>IF(B2320='Inputs'!$H$50,'Inputs'!$B$27*'Inputs'!$I$50,0)</x:f>
        <x:v>0</x:v>
      </x:c>
      <x:c r="S2320" s="78" t="n">
        <x:f>Q2320+G2320+R2320</x:f>
        <x:v>484294.6612872948</x:v>
      </x:c>
      <x:c r="T2320" s="78" t="n">
        <x:f>P2320*(S2320*(1-'Inputs'!$B$15))/(O2320+S2320*(1-'Inputs'!$B$15))</x:f>
        <x:v>3.8341134776766275</x:v>
      </x:c>
      <x:c r="U2320" s="78" t="n">
        <x:f>O2320+S2320*(1-'Inputs'!$B$17)</x:f>
        <x:v>60430895.31849705</x:v>
      </x:c>
      <x:c r="V2320" s="78" t="n">
        <x:f>P2320-T2320</x:f>
        <x:v>479.4008128070133</x:v>
      </x:c>
      <x:c r="W2320" s="79" t="n">
        <x:f>IF(U2320&gt;0,V2320/U2320,0)</x:f>
        <x:v>0.000007933041704584434</x:v>
      </x:c>
      <x:c r="X2320" s="80" t="n">
        <x:f>W2320*('Inputs'!$B$6-AC2320)</x:f>
        <x:v>7809.883005175428</x:v>
      </x:c>
      <x:c r="Y2320" s="80" t="n">
        <x:f>2*V2320</x:f>
        <x:v>958.8016256140266</x:v>
      </x:c>
      <x:c r="Z2320" s="80" t="n">
        <x:f>K2320*'Inputs'!$B$16+(G2320+R2320)*J2320*'Inputs'!$B$16</x:f>
        <x:v>5.822242010227139</x:v>
      </x:c>
      <x:c r="AA2320" s="80" t="n">
        <x:f>K2320*(1+'Inputs'!$E$50)/2*'Inputs'!$B$17</x:f>
        <x:v>1.944607349234165</x:v>
      </x:c>
      <x:c r="AB2320" s="78" t="n">
        <x:f>(IF(J2320&gt;0,K2320*(1-'Inputs'!$E$50)/2/J2320,0)+G2320+R2320)*'Inputs'!$B$17</x:f>
        <x:v>243190.5198807785</x:v>
      </x:c>
      <x:c r="AC2320" s="78" t="n">
        <x:f>AC2319+AB2320</x:f>
        <x:v>15524776.49749826</x:v>
      </x:c>
      <x:c r="AD2320" s="80" t="n">
        <x:f>Z2320/(1+'Inputs'!$C$50)</x:f>
        <x:v>2.9111210051135696</x:v>
      </x:c>
      <x:c r="AE2320" s="80" t="n">
        <x:f>Z2320-AD2320</x:f>
        <x:v>2.9111210051135696</x:v>
      </x:c>
      <x:c r="AF2320" s="80" t="n">
        <x:f>D2320*W2320</x:f>
        <x:v>2.280840670177669</x:v>
      </x:c>
      <x:c r="AG2320" s="80" t="n">
        <x:f>C2320*W2320</x:f>
        <x:v>5.321961563747874</x:v>
      </x:c>
      <x:c r="AH2320" s="80" t="n">
        <x:f>2*'Inputs'!$B$8*'Inputs'!$C$50</x:f>
        <x:v>5000</x:v>
      </x:c>
      <x:c r="AI2320" s="81" t="n">
        <x:f>IF(AH2320&gt;0,(AE2320+AF2320)/AH2320*365,0)</x:f>
        <x:v>0.37901320229626045</x:v>
      </x:c>
      <x:c r="AJ2320" s="81" t="n">
        <x:f>IF('Inputs'!$B$50&gt;0,AG2320/('Inputs'!$B$19*'Inputs'!$B$50)*365,0)</x:f>
        <x:v>0.19425159707679743</x:v>
      </x:c>
      <x:c r="AK2320" s="81" t="n">
        <x:f>W2320/MAX($W$2194:W2320)-1</x:f>
        <x:v>-0.9905871107770631</x:v>
      </x:c>
      <x:c r="AL2320" s="83" t="n">
        <x:f>'Inputs'!$B$50</x:f>
        <x:v>1</x:v>
      </x:c>
      <x:c r="AM2320" s="83" t="n">
        <x:f>'Inputs'!$C$50</x:f>
        <x:v>1</x:v>
      </x:c>
      <x:c r="AN2320" s="83" t="n">
        <x:f>'Inputs'!$D$50</x:f>
        <x:v>1</x:v>
      </x:c>
      <x:c r="AO2320" s="81" t="n">
        <x:f>'Inputs'!$E$50</x:f>
        <x:v>0</x:v>
      </x:c>
    </x:row>
    <x:row r="2321">
      <x:c r="A2321" s="59" t="str">
        <x:v>Whale exit</x:v>
      </x:c>
      <x:c r="B2321" s="59" t="n">
        <x:v>128</x:v>
      </x:c>
      <x:c r="C2321" s="78" t="n">
        <x:f>(('Inputs'!$B$29*(3*128*'Inputs'!$B$12-128^2)/(2*'Inputs'!$B$12^2))-('Inputs'!$B$29*(3*127*'Inputs'!$B$12-127^2)/(2*'Inputs'!$B$12^2)))*'Inputs'!$B$50</x:f>
        <x:v>670535.0440983325</x:v>
      </x:c>
      <x:c r="D2321" s="78" t="n">
        <x:f>IF('Inputs'!$C$50&gt;0,('Inputs'!$B$30*(3*128*'Inputs'!$B$12-128^2)/(2*'Inputs'!$B$12^2))-('Inputs'!$B$30*(3*127*'Inputs'!$B$12-127^2)/(2*'Inputs'!$B$12^2)),0)</x:f>
        <x:v>287372.16175643355</x:v>
      </x:c>
      <x:c r="E2321" s="78" t="n">
        <x:f>C2321+D2321</x:f>
        <x:v>957907.2058547661</x:v>
      </x:c>
      <x:c r="F2321" s="78" t="n">
        <x:f>'Inputs'!$B$13*E2321+(1-'Inputs'!$B$13)/'Inputs'!$B$14*SUM(E2266:E2321)</x:f>
        <x:v>968124.8827172098</x:v>
      </x:c>
      <x:c r="G2321" s="78" t="n">
        <x:f>F2321*'Inputs'!$F$50</x:f>
        <x:v>484062.4413586049</x:v>
      </x:c>
      <x:c r="H2321" s="78" t="n">
        <x:f>U2320</x:f>
        <x:v>60430895.31849705</x:v>
      </x:c>
      <x:c r="I2321" s="78" t="n">
        <x:f>V2320</x:f>
        <x:v>479.4008128070133</x:v>
      </x:c>
      <x:c r="J2321" s="79" t="n">
        <x:f>IF(H2321&gt;0,I2321/H2321,0)</x:f>
        <x:v>0.000007933041704584434</x:v>
      </x:c>
      <x:c r="K2321" s="80" t="n">
        <x:f>(H2321*J2321+I2321)*'Inputs'!$D$50*(1+'Inputs'!$G$50)^(B2321/30)</x:f>
        <x:v>958.8016256140266</x:v>
      </x:c>
      <x:c r="L2321" s="80" t="n">
        <x:f>MAX(0,K2321*'Inputs'!$E$50)</x:f>
        <x:v>0</x:v>
      </x:c>
      <x:c r="M2321" s="80" t="n">
        <x:f>MAX(0,-K2321*'Inputs'!$E$50)</x:f>
        <x:v>0</x:v>
      </x:c>
      <x:c r="N2321" s="78" t="n">
        <x:f>H2321*(L2321*(1-'Inputs'!$B$15))/(I2321+L2321*(1-'Inputs'!$B$15))</x:f>
        <x:v>0</x:v>
      </x:c>
      <x:c r="O2321" s="78" t="n">
        <x:f>H2321-N2321</x:f>
        <x:v>60430895.31849705</x:v>
      </x:c>
      <x:c r="P2321" s="78" t="n">
        <x:f>I2321+L2321*(1-'Inputs'!$B$17)</x:f>
        <x:v>479.4008128070133</x:v>
      </x:c>
      <x:c r="Q2321" s="78" t="n">
        <x:f>IF(J2321&gt;0,M2321/J2321,0)</x:f>
        <x:v>0</x:v>
      </x:c>
      <x:c r="R2321" s="78" t="n">
        <x:f>IF(B2321='Inputs'!$H$50,'Inputs'!$B$27*'Inputs'!$I$50,0)</x:f>
        <x:v>0</x:v>
      </x:c>
      <x:c r="S2321" s="78" t="n">
        <x:f>Q2321+G2321+R2321</x:f>
        <x:v>484062.4413586049</x:v>
      </x:c>
      <x:c r="T2321" s="78" t="n">
        <x:f>P2321*(S2321*(1-'Inputs'!$B$15))/(O2321+S2321*(1-'Inputs'!$B$15))</x:f>
        <x:v>3.7717761738569413</x:v>
      </x:c>
      <x:c r="U2321" s="78" t="n">
        <x:f>O2321+S2321*(1-'Inputs'!$B$17)</x:f>
        <x:v>60913009.82246588</x:v>
      </x:c>
      <x:c r="V2321" s="78" t="n">
        <x:f>P2321-T2321</x:f>
        <x:v>475.6290366331564</x:v>
      </x:c>
      <x:c r="W2321" s="79" t="n">
        <x:f>IF(U2321&gt;0,V2321/U2321,0)</x:f>
        <x:v>0.000007808332538802496</x:v>
      </x:c>
      <x:c r="X2321" s="80" t="n">
        <x:f>W2321*('Inputs'!$B$6-AC2321)</x:f>
        <x:v>7685.195859964209</x:v>
      </x:c>
      <x:c r="Y2321" s="80" t="n">
        <x:f>2*V2321</x:f>
        <x:v>951.2580732663127</x:v>
      </x:c>
      <x:c r="Z2321" s="80" t="n">
        <x:f>K2321*'Inputs'!$B$16+(G2321+R2321)*J2321*'Inputs'!$B$16</x:f>
        <x:v>5.775850278893684</x:v>
      </x:c>
      <x:c r="AA2321" s="80" t="n">
        <x:f>K2321*(1+'Inputs'!$E$50)/2*'Inputs'!$B$17</x:f>
        <x:v>1.9291783211549833</x:v>
      </x:c>
      <x:c r="AB2321" s="78" t="n">
        <x:f>(IF(J2321&gt;0,K2321*(1-'Inputs'!$E$50)/2/J2321,0)+G2321+R2321)*'Inputs'!$B$17</x:f>
        <x:v>245130.61472778936</x:v>
      </x:c>
      <x:c r="AC2321" s="78" t="n">
        <x:f>AC2320+AB2321</x:f>
        <x:v>15769907.11222605</x:v>
      </x:c>
      <x:c r="AD2321" s="80" t="n">
        <x:f>Z2321/(1+'Inputs'!$C$50)</x:f>
        <x:v>2.887925139446842</x:v>
      </x:c>
      <x:c r="AE2321" s="80" t="n">
        <x:f>Z2321-AD2321</x:f>
        <x:v>2.887925139446842</x:v>
      </x:c>
      <x:c r="AF2321" s="80" t="n">
        <x:f>D2321*W2321</x:f>
        <x:v>2.2438974013887742</x:v>
      </x:c>
      <x:c r="AG2321" s="80" t="n">
        <x:f>C2321*W2321</x:f>
        <x:v>5.235760603240377</x:v>
      </x:c>
      <x:c r="AH2321" s="80" t="n">
        <x:f>2*'Inputs'!$B$8*'Inputs'!$C$50</x:f>
        <x:v>5000</x:v>
      </x:c>
      <x:c r="AI2321" s="81" t="n">
        <x:f>IF(AH2321&gt;0,(AE2321+AF2321)/AH2321*365,0)</x:f>
        <x:v>0.374623045481</x:v>
      </x:c>
      <x:c r="AJ2321" s="81" t="n">
        <x:f>IF('Inputs'!$B$50&gt;0,AG2321/('Inputs'!$B$19*'Inputs'!$B$50)*365,0)</x:f>
        <x:v>0.19110526201827374</x:v>
      </x:c>
      <x:c r="AK2321" s="81" t="n">
        <x:f>W2321/MAX($W$2194:W2321)-1</x:f>
        <x:v>-0.9907350834723172</x:v>
      </x:c>
      <x:c r="AL2321" s="83" t="n">
        <x:f>'Inputs'!$B$50</x:f>
        <x:v>1</x:v>
      </x:c>
      <x:c r="AM2321" s="83" t="n">
        <x:f>'Inputs'!$C$50</x:f>
        <x:v>1</x:v>
      </x:c>
      <x:c r="AN2321" s="83" t="n">
        <x:f>'Inputs'!$D$50</x:f>
        <x:v>1</x:v>
      </x:c>
      <x:c r="AO2321" s="81" t="n">
        <x:f>'Inputs'!$E$50</x:f>
        <x:v>0</x:v>
      </x:c>
    </x:row>
    <x:row r="2322">
      <x:c r="A2322" s="59" t="str">
        <x:v>Whale exit</x:v>
      </x:c>
      <x:c r="B2322" s="59" t="n">
        <x:v>129</x:v>
      </x:c>
      <x:c r="C2322" s="78" t="n">
        <x:f>(('Inputs'!$B$29*(3*129*'Inputs'!$B$12-129^2)/(2*'Inputs'!$B$12^2))-('Inputs'!$B$29*(3*128*'Inputs'!$B$12-128^2)/(2*'Inputs'!$B$12^2)))*'Inputs'!$B$50</x:f>
        <x:v>670209.93619816</x:v>
      </x:c>
      <x:c r="D2322" s="78" t="n">
        <x:f>IF('Inputs'!$C$50&gt;0,('Inputs'!$B$30*(3*129*'Inputs'!$B$12-129^2)/(2*'Inputs'!$B$12^2))-('Inputs'!$B$30*(3*128*'Inputs'!$B$12-128^2)/(2*'Inputs'!$B$12^2)),0)</x:f>
        <x:v>287232.8297992125</x:v>
      </x:c>
      <x:c r="E2322" s="78" t="n">
        <x:f>C2322+D2322</x:f>
        <x:v>957442.7659973726</x:v>
      </x:c>
      <x:c r="F2322" s="78" t="n">
        <x:f>'Inputs'!$B$13*E2322+(1-'Inputs'!$B$13)/'Inputs'!$B$14*SUM(E2267:E2322)</x:f>
        <x:v>967660.4428598238</x:v>
      </x:c>
      <x:c r="G2322" s="78" t="n">
        <x:f>F2322*'Inputs'!$F$50</x:f>
        <x:v>483830.2214299119</x:v>
      </x:c>
      <x:c r="H2322" s="78" t="n">
        <x:f>U2321</x:f>
        <x:v>60913009.82246588</x:v>
      </x:c>
      <x:c r="I2322" s="78" t="n">
        <x:f>V2321</x:f>
        <x:v>475.6290366331564</x:v>
      </x:c>
      <x:c r="J2322" s="79" t="n">
        <x:f>IF(H2322&gt;0,I2322/H2322,0)</x:f>
        <x:v>0.000007808332538802496</x:v>
      </x:c>
      <x:c r="K2322" s="80" t="n">
        <x:f>(H2322*J2322+I2322)*'Inputs'!$D$50*(1+'Inputs'!$G$50)^(B2322/30)</x:f>
        <x:v>951.2580732663127</x:v>
      </x:c>
      <x:c r="L2322" s="80" t="n">
        <x:f>MAX(0,K2322*'Inputs'!$E$50)</x:f>
        <x:v>0</x:v>
      </x:c>
      <x:c r="M2322" s="80" t="n">
        <x:f>MAX(0,-K2322*'Inputs'!$E$50)</x:f>
        <x:v>0</x:v>
      </x:c>
      <x:c r="N2322" s="78" t="n">
        <x:f>H2322*(L2322*(1-'Inputs'!$B$15))/(I2322+L2322*(1-'Inputs'!$B$15))</x:f>
        <x:v>0</x:v>
      </x:c>
      <x:c r="O2322" s="78" t="n">
        <x:f>H2322-N2322</x:f>
        <x:v>60913009.82246588</x:v>
      </x:c>
      <x:c r="P2322" s="78" t="n">
        <x:f>I2322+L2322*(1-'Inputs'!$B$17)</x:f>
        <x:v>475.6290366331564</x:v>
      </x:c>
      <x:c r="Q2322" s="78" t="n">
        <x:f>IF(J2322&gt;0,M2322/J2322,0)</x:f>
        <x:v>0</x:v>
      </x:c>
      <x:c r="R2322" s="78" t="n">
        <x:f>IF(B2322='Inputs'!$H$50,'Inputs'!$B$27*'Inputs'!$I$50,0)</x:f>
        <x:v>0</x:v>
      </x:c>
      <x:c r="S2322" s="78" t="n">
        <x:f>Q2322+G2322+R2322</x:f>
        <x:v>483830.2214299119</x:v>
      </x:c>
      <x:c r="T2322" s="78" t="n">
        <x:f>P2322*(S2322*(1-'Inputs'!$B$15))/(O2322+S2322*(1-'Inputs'!$B$15))</x:f>
        <x:v>3.7109470065855628</x:v>
      </x:c>
      <x:c r="U2322" s="78" t="n">
        <x:f>O2322+S2322*(1-'Inputs'!$B$17)</x:f>
        <x:v>61394893.040992655</x:v>
      </x:c>
      <x:c r="V2322" s="78" t="n">
        <x:f>P2322-T2322</x:f>
        <x:v>471.9180896265708</x:v>
      </x:c>
      <x:c r="W2322" s="79" t="n">
        <x:f>IF(U2322&gt;0,V2322/U2322,0)</x:f>
        <x:v>0.000007686601706618767</x:v>
      </x:c>
      <x:c r="X2322" s="80" t="n">
        <x:f>W2322*('Inputs'!$B$6-AC2322)</x:f>
        <x:v>7563.485584712958</x:v>
      </x:c>
      <x:c r="Y2322" s="80" t="n">
        <x:f>2*V2322</x:f>
        <x:v>943.8361792531416</x:v>
      </x:c>
      <x:c r="Z2322" s="80" t="n">
        <x:f>K2322*'Inputs'!$B$16+(G2322+R2322)*J2322*'Inputs'!$B$16</x:f>
        <x:v>5.73021588316536</x:v>
      </x:c>
      <x:c r="AA2322" s="80" t="n">
        <x:f>K2322*(1+'Inputs'!$E$50)/2*'Inputs'!$B$17</x:f>
        <x:v>1.9140001474171284</x:v>
      </x:c>
      <x:c r="AB2322" s="78" t="n">
        <x:f>(IF(J2322&gt;0,K2322*(1-'Inputs'!$E$50)/2/J2322,0)+G2322+R2322)*'Inputs'!$B$17</x:f>
        <x:v>247069.77884867523</x:v>
      </x:c>
      <x:c r="AC2322" s="78" t="n">
        <x:f>AC2321+AB2322</x:f>
        <x:v>16016976.891074726</x:v>
      </x:c>
      <x:c r="AD2322" s="80" t="n">
        <x:f>Z2322/(1+'Inputs'!$C$50)</x:f>
        <x:v>2.86510794158268</x:v>
      </x:c>
      <x:c r="AE2322" s="80" t="n">
        <x:f>Z2322-AD2322</x:f>
        <x:v>2.86510794158268</x:v>
      </x:c>
      <x:c r="AF2322" s="80" t="n">
        <x:f>D2322*W2322</x:f>
        <x:v>2.2078443597315647</x:v>
      </x:c>
      <x:c r="AG2322" s="80" t="n">
        <x:f>C2322*W2322</x:f>
        <x:v>5.151636839373632</x:v>
      </x:c>
      <x:c r="AH2322" s="80" t="n">
        <x:f>2*'Inputs'!$B$8*'Inputs'!$C$50</x:f>
        <x:v>5000</x:v>
      </x:c>
      <x:c r="AI2322" s="81" t="n">
        <x:f>IF(AH2322&gt;0,(AE2322+AF2322)/AH2322*365,0)</x:f>
        <x:v>0.3703255179959399</x:v>
      </x:c>
      <x:c r="AJ2322" s="81" t="n">
        <x:f>IF('Inputs'!$B$50&gt;0,AG2322/('Inputs'!$B$19*'Inputs'!$B$50)*365,0)</x:f>
        <x:v>0.18803474463713754</x:v>
      </x:c>
      <x:c r="AK2322" s="81" t="n">
        <x:f>W2322/MAX($W$2194:W2322)-1</x:f>
        <x:v>-0.9908795222488963</x:v>
      </x:c>
      <x:c r="AL2322" s="83" t="n">
        <x:f>'Inputs'!$B$50</x:f>
        <x:v>1</x:v>
      </x:c>
      <x:c r="AM2322" s="83" t="n">
        <x:f>'Inputs'!$C$50</x:f>
        <x:v>1</x:v>
      </x:c>
      <x:c r="AN2322" s="83" t="n">
        <x:f>'Inputs'!$D$50</x:f>
        <x:v>1</x:v>
      </x:c>
      <x:c r="AO2322" s="81" t="n">
        <x:f>'Inputs'!$E$50</x:f>
        <x:v>0</x:v>
      </x:c>
    </x:row>
    <x:row r="2323">
      <x:c r="A2323" s="59" t="str">
        <x:v>Whale exit</x:v>
      </x:c>
      <x:c r="B2323" s="59" t="n">
        <x:v>130</x:v>
      </x:c>
      <x:c r="C2323" s="78" t="n">
        <x:f>(('Inputs'!$B$29*(3*130*'Inputs'!$B$12-130^2)/(2*'Inputs'!$B$12^2))-('Inputs'!$B$29*(3*129*'Inputs'!$B$12-129^2)/(2*'Inputs'!$B$12^2)))*'Inputs'!$B$50</x:f>
        <x:v>669884.8282979876</x:v>
      </x:c>
      <x:c r="D2323" s="78" t="n">
        <x:f>IF('Inputs'!$C$50&gt;0,('Inputs'!$B$30*(3*130*'Inputs'!$B$12-130^2)/(2*'Inputs'!$B$12^2))-('Inputs'!$B$30*(3*129*'Inputs'!$B$12-129^2)/(2*'Inputs'!$B$12^2)),0)</x:f>
        <x:v>287093.4978419915</x:v>
      </x:c>
      <x:c r="E2323" s="78" t="n">
        <x:f>C2323+D2323</x:f>
        <x:v>956978.3261399791</x:v>
      </x:c>
      <x:c r="F2323" s="78" t="n">
        <x:f>'Inputs'!$B$13*E2323+(1-'Inputs'!$B$13)/'Inputs'!$B$14*SUM(E2268:E2323)</x:f>
        <x:v>967196.0030024375</x:v>
      </x:c>
      <x:c r="G2323" s="78" t="n">
        <x:f>F2323*'Inputs'!$F$50</x:f>
        <x:v>483598.00150121877</x:v>
      </x:c>
      <x:c r="H2323" s="78" t="n">
        <x:f>U2322</x:f>
        <x:v>61394893.040992655</x:v>
      </x:c>
      <x:c r="I2323" s="78" t="n">
        <x:f>V2322</x:f>
        <x:v>471.9180896265708</x:v>
      </x:c>
      <x:c r="J2323" s="79" t="n">
        <x:f>IF(H2323&gt;0,I2323/H2323,0)</x:f>
        <x:v>0.000007686601706618767</x:v>
      </x:c>
      <x:c r="K2323" s="80" t="n">
        <x:f>(H2323*J2323+I2323)*'Inputs'!$D$50*(1+'Inputs'!$G$50)^(B2323/30)</x:f>
        <x:v>943.8361792531416</x:v>
      </x:c>
      <x:c r="L2323" s="80" t="n">
        <x:f>MAX(0,K2323*'Inputs'!$E$50)</x:f>
        <x:v>0</x:v>
      </x:c>
      <x:c r="M2323" s="80" t="n">
        <x:f>MAX(0,-K2323*'Inputs'!$E$50)</x:f>
        <x:v>0</x:v>
      </x:c>
      <x:c r="N2323" s="78" t="n">
        <x:f>H2323*(L2323*(1-'Inputs'!$B$15))/(I2323+L2323*(1-'Inputs'!$B$15))</x:f>
        <x:v>0</x:v>
      </x:c>
      <x:c r="O2323" s="78" t="n">
        <x:f>H2323-N2323</x:f>
        <x:v>61394893.040992655</x:v>
      </x:c>
      <x:c r="P2323" s="78" t="n">
        <x:f>I2323+L2323*(1-'Inputs'!$B$17)</x:f>
        <x:v>471.9180896265708</x:v>
      </x:c>
      <x:c r="Q2323" s="78" t="n">
        <x:f>IF(J2323&gt;0,M2323/J2323,0)</x:f>
        <x:v>0</x:v>
      </x:c>
      <x:c r="R2323" s="78" t="n">
        <x:f>IF(B2323='Inputs'!$H$50,'Inputs'!$B$27*'Inputs'!$I$50,0)</x:f>
        <x:v>0</x:v>
      </x:c>
      <x:c r="S2323" s="78" t="n">
        <x:f>Q2323+G2323+R2323</x:f>
        <x:v>483598.00150121877</x:v>
      </x:c>
      <x:c r="T2323" s="78" t="n">
        <x:f>P2323*(S2323*(1-'Inputs'!$B$15))/(O2323+S2323*(1-'Inputs'!$B$15))</x:f>
        <x:v>3.651577692272736</x:v>
      </x:c>
      <x:c r="U2323" s="78" t="n">
        <x:f>O2323+S2323*(1-'Inputs'!$B$17)</x:f>
        <x:v>61876544.97407737</x:v>
      </x:c>
      <x:c r="V2323" s="78" t="n">
        <x:f>P2323-T2323</x:f>
        <x:v>468.2665119342981</x:v>
      </x:c>
      <x:c r="W2323" s="79" t="n">
        <x:f>IF(U2323&gt;0,V2323/U2323,0)</x:f>
        <x:v>0.000007567754665850755</x:v>
      </x:c>
      <x:c r="X2323" s="80" t="n">
        <x:f>W2323*('Inputs'!$B$6-AC2323)</x:f>
        <x:v>7444.657682704011</x:v>
      </x:c>
      <x:c r="Y2323" s="80" t="n">
        <x:f>2*V2323</x:f>
        <x:v>936.5330238685962</x:v>
      </x:c>
      <x:c r="Z2323" s="80" t="n">
        <x:f>K2323*'Inputs'!$B$16+(G2323+R2323)*J2323*'Inputs'!$B$16</x:f>
        <x:v>5.68532042686079</x:v>
      </x:c>
      <x:c r="AA2323" s="80" t="n">
        <x:f>K2323*(1+'Inputs'!$E$50)/2*'Inputs'!$B$17</x:f>
        <x:v>1.8990667590606474</x:v>
      </x:c>
      <x:c r="AB2323" s="78" t="n">
        <x:f>(IF(J2323&gt;0,K2323*(1-'Inputs'!$E$50)/2/J2323,0)+G2323+R2323)*'Inputs'!$B$17</x:f>
        <x:v>249008.01224343613</x:v>
      </x:c>
      <x:c r="AC2323" s="78" t="n">
        <x:f>AC2322+AB2323</x:f>
        <x:v>16265984.903318163</x:v>
      </x:c>
      <x:c r="AD2323" s="80" t="n">
        <x:f>Z2323/(1+'Inputs'!$C$50)</x:f>
        <x:v>2.842660213430395</x:v>
      </x:c>
      <x:c r="AE2323" s="80" t="n">
        <x:f>Z2323-AD2323</x:f>
        <x:v>2.842660213430395</x:v>
      </x:c>
      <x:c r="AF2323" s="80" t="n">
        <x:f>D2323*W2323</x:f>
        <x:v>2.172653157829145</x:v>
      </x:c>
      <x:c r="AG2323" s="80" t="n">
        <x:f>C2323*W2323</x:f>
        <x:v>5.0695240349347275</x:v>
      </x:c>
      <x:c r="AH2323" s="80" t="n">
        <x:f>2*'Inputs'!$B$8*'Inputs'!$C$50</x:f>
        <x:v>5000</x:v>
      </x:c>
      <x:c r="AI2323" s="81" t="n">
        <x:f>IF(AH2323&gt;0,(AE2323+AF2323)/AH2323*365,0)</x:f>
        <x:v>0.36611787610194635</x:v>
      </x:c>
      <x:c r="AJ2323" s="81" t="n">
        <x:f>IF('Inputs'!$B$50&gt;0,AG2323/('Inputs'!$B$19*'Inputs'!$B$50)*365,0)</x:f>
        <x:v>0.18503762727511755</x:v>
      </x:c>
      <x:c r="AK2323" s="81" t="n">
        <x:f>W2323/MAX($W$2194:W2323)-1</x:f>
        <x:v>-0.9910205392850953</x:v>
      </x:c>
      <x:c r="AL2323" s="83" t="n">
        <x:f>'Inputs'!$B$50</x:f>
        <x:v>1</x:v>
      </x:c>
      <x:c r="AM2323" s="83" t="n">
        <x:f>'Inputs'!$C$50</x:f>
        <x:v>1</x:v>
      </x:c>
      <x:c r="AN2323" s="83" t="n">
        <x:f>'Inputs'!$D$50</x:f>
        <x:v>1</x:v>
      </x:c>
      <x:c r="AO2323" s="81" t="n">
        <x:f>'Inputs'!$E$50</x:f>
        <x:v>0</x:v>
      </x:c>
    </x:row>
    <x:row r="2324">
      <x:c r="A2324" s="59" t="str">
        <x:v>Whale exit</x:v>
      </x:c>
      <x:c r="B2324" s="59" t="n">
        <x:v>131</x:v>
      </x:c>
      <x:c r="C2324" s="78" t="n">
        <x:f>(('Inputs'!$B$29*(3*131*'Inputs'!$B$12-131^2)/(2*'Inputs'!$B$12^2))-('Inputs'!$B$29*(3*130*'Inputs'!$B$12-130^2)/(2*'Inputs'!$B$12^2)))*'Inputs'!$B$50</x:f>
        <x:v>669559.72039783</x:v>
      </x:c>
      <x:c r="D2324" s="78" t="n">
        <x:f>IF('Inputs'!$C$50&gt;0,('Inputs'!$B$30*(3*131*'Inputs'!$B$12-131^2)/(2*'Inputs'!$B$12^2))-('Inputs'!$B$30*(3*130*'Inputs'!$B$12-130^2)/(2*'Inputs'!$B$12^2)),0)</x:f>
        <x:v>286954.16588478535</x:v>
      </x:c>
      <x:c r="E2324" s="78" t="n">
        <x:f>C2324+D2324</x:f>
        <x:v>956513.8862826154</x:v>
      </x:c>
      <x:c r="F2324" s="78" t="n">
        <x:f>'Inputs'!$B$13*E2324+(1-'Inputs'!$B$13)/'Inputs'!$B$14*SUM(E2269:E2324)</x:f>
        <x:v>966731.5631450575</x:v>
      </x:c>
      <x:c r="G2324" s="78" t="n">
        <x:f>F2324*'Inputs'!$F$50</x:f>
        <x:v>483365.78157252877</x:v>
      </x:c>
      <x:c r="H2324" s="78" t="n">
        <x:f>U2323</x:f>
        <x:v>61876544.97407737</x:v>
      </x:c>
      <x:c r="I2324" s="78" t="n">
        <x:f>V2323</x:f>
        <x:v>468.2665119342981</x:v>
      </x:c>
      <x:c r="J2324" s="79" t="n">
        <x:f>IF(H2324&gt;0,I2324/H2324,0)</x:f>
        <x:v>0.000007567754665850755</x:v>
      </x:c>
      <x:c r="K2324" s="80" t="n">
        <x:f>(H2324*J2324+I2324)*'Inputs'!$D$50*(1+'Inputs'!$G$50)^(B2324/30)</x:f>
        <x:v>936.5330238685962</x:v>
      </x:c>
      <x:c r="L2324" s="80" t="n">
        <x:f>MAX(0,K2324*'Inputs'!$E$50)</x:f>
        <x:v>0</x:v>
      </x:c>
      <x:c r="M2324" s="80" t="n">
        <x:f>MAX(0,-K2324*'Inputs'!$E$50)</x:f>
        <x:v>0</x:v>
      </x:c>
      <x:c r="N2324" s="78" t="n">
        <x:f>H2324*(L2324*(1-'Inputs'!$B$15))/(I2324+L2324*(1-'Inputs'!$B$15))</x:f>
        <x:v>0</x:v>
      </x:c>
      <x:c r="O2324" s="78" t="n">
        <x:f>H2324-N2324</x:f>
        <x:v>61876544.97407737</x:v>
      </x:c>
      <x:c r="P2324" s="78" t="n">
        <x:f>I2324+L2324*(1-'Inputs'!$B$17)</x:f>
        <x:v>468.2665119342981</x:v>
      </x:c>
      <x:c r="Q2324" s="78" t="n">
        <x:f>IF(J2324&gt;0,M2324/J2324,0)</x:f>
        <x:v>0</x:v>
      </x:c>
      <x:c r="R2324" s="78" t="n">
        <x:f>IF(B2324='Inputs'!$H$50,'Inputs'!$B$27*'Inputs'!$I$50,0)</x:f>
        <x:v>0</x:v>
      </x:c>
      <x:c r="S2324" s="78" t="n">
        <x:f>Q2324+G2324+R2324</x:f>
        <x:v>483365.78157252877</x:v>
      </x:c>
      <x:c r="T2324" s="78" t="n">
        <x:f>P2324*(S2324*(1-'Inputs'!$B$15))/(O2324+S2324*(1-'Inputs'!$B$15))</x:f>
        <x:v>3.5936218648006992</x:v>
      </x:c>
      <x:c r="U2324" s="78" t="n">
        <x:f>O2324+S2324*(1-'Inputs'!$B$17)</x:f>
        <x:v>62357965.62172002</x:v>
      </x:c>
      <x:c r="V2324" s="78" t="n">
        <x:f>P2324-T2324</x:f>
        <x:v>464.6728900694974</x:v>
      </x:c>
      <x:c r="W2324" s="79" t="n">
        <x:f>IF(U2324&gt;0,V2324/U2324,0)</x:f>
        <x:v>0.000007451700603709982</x:v>
      </x:c>
      <x:c r="X2324" s="80" t="n">
        <x:f>W2324*('Inputs'!$B$6-AC2324)</x:f>
        <x:v>7328.62138483136</x:v>
      </x:c>
      <x:c r="Y2324" s="80" t="n">
        <x:f>2*V2324</x:f>
        <x:v>929.3457801389948</x:v>
      </x:c>
      <x:c r="Z2324" s="80" t="n">
        <x:f>K2324*'Inputs'!$B$16+(G2324+R2324)*J2324*'Inputs'!$B$16</x:f>
        <x:v>5.641146105104426</x:v>
      </x:c>
      <x:c r="AA2324" s="80" t="n">
        <x:f>K2324*(1+'Inputs'!$E$50)/2*'Inputs'!$B$17</x:f>
        <x:v>1.8843722814257469</x:v>
      </x:c>
      <x:c r="AB2324" s="78" t="n">
        <x:f>(IF(J2324&gt;0,K2324*(1-'Inputs'!$E$50)/2/J2324,0)+G2324+R2324)*'Inputs'!$B$17</x:f>
        <x:v>250945.31491207203</x:v>
      </x:c>
      <x:c r="AC2324" s="78" t="n">
        <x:f>AC2323+AB2324</x:f>
        <x:v>16516930.218230234</x:v>
      </x:c>
      <x:c r="AD2324" s="80" t="n">
        <x:f>Z2324/(1+'Inputs'!$C$50)</x:f>
        <x:v>2.820573052552213</x:v>
      </x:c>
      <x:c r="AE2324" s="80" t="n">
        <x:f>Z2324-AD2324</x:f>
        <x:v>2.820573052552213</x:v>
      </x:c>
      <x:c r="AF2324" s="80" t="n">
        <x:f>D2324*W2324</x:f>
        <x:v>2.1382965311607496</x:v>
      </x:c>
      <x:c r="AG2324" s="80" t="n">
        <x:f>C2324*W2324</x:f>
        <x:v>4.9893585727083964</x:v>
      </x:c>
      <x:c r="AH2324" s="80" t="n">
        <x:f>2*'Inputs'!$B$8*'Inputs'!$C$50</x:f>
        <x:v>5000</x:v>
      </x:c>
      <x:c r="AI2324" s="81" t="n">
        <x:f>IF(AH2324&gt;0,(AE2324+AF2324)/AH2324*365,0)</x:f>
        <x:v>0.3619974796110463</x:v>
      </x:c>
      <x:c r="AJ2324" s="81" t="n">
        <x:f>IF('Inputs'!$B$50&gt;0,AG2324/('Inputs'!$B$19*'Inputs'!$B$50)*365,0)</x:f>
        <x:v>0.18211158790385648</x:v>
      </x:c>
      <x:c r="AK2324" s="81" t="n">
        <x:f>W2324/MAX($W$2194:W2324)-1</x:f>
        <x:v>-0.9911582423341252</x:v>
      </x:c>
      <x:c r="AL2324" s="83" t="n">
        <x:f>'Inputs'!$B$50</x:f>
        <x:v>1</x:v>
      </x:c>
      <x:c r="AM2324" s="83" t="n">
        <x:f>'Inputs'!$C$50</x:f>
        <x:v>1</x:v>
      </x:c>
      <x:c r="AN2324" s="83" t="n">
        <x:f>'Inputs'!$D$50</x:f>
        <x:v>1</x:v>
      </x:c>
      <x:c r="AO2324" s="81" t="n">
        <x:f>'Inputs'!$E$50</x:f>
        <x:v>0</x:v>
      </x:c>
    </x:row>
    <x:row r="2325">
      <x:c r="A2325" s="59" t="str">
        <x:v>Whale exit</x:v>
      </x:c>
      <x:c r="B2325" s="59" t="n">
        <x:v>132</x:v>
      </x:c>
      <x:c r="C2325" s="78" t="n">
        <x:f>(('Inputs'!$B$29*(3*132*'Inputs'!$B$12-132^2)/(2*'Inputs'!$B$12^2))-('Inputs'!$B$29*(3*131*'Inputs'!$B$12-131^2)/(2*'Inputs'!$B$12^2)))*'Inputs'!$B$50</x:f>
        <x:v>669234.6124976575</x:v>
      </x:c>
      <x:c r="D2325" s="78" t="n">
        <x:f>IF('Inputs'!$C$50&gt;0,('Inputs'!$B$30*(3*132*'Inputs'!$B$12-132^2)/(2*'Inputs'!$B$12^2))-('Inputs'!$B$30*(3*131*'Inputs'!$B$12-131^2)/(2*'Inputs'!$B$12^2)),0)</x:f>
        <x:v>286814.8339275643</x:v>
      </x:c>
      <x:c r="E2325" s="78" t="n">
        <x:f>C2325+D2325</x:f>
        <x:v>956049.4464252219</x:v>
      </x:c>
      <x:c r="F2325" s="78" t="n">
        <x:f>'Inputs'!$B$13*E2325+(1-'Inputs'!$B$13)/'Inputs'!$B$14*SUM(E2270:E2325)</x:f>
        <x:v>966267.1232876717</x:v>
      </x:c>
      <x:c r="G2325" s="78" t="n">
        <x:f>F2325*'Inputs'!$F$50</x:f>
        <x:v>483133.56164383586</x:v>
      </x:c>
      <x:c r="H2325" s="78" t="n">
        <x:f>U2324</x:f>
        <x:v>62357965.62172002</x:v>
      </x:c>
      <x:c r="I2325" s="78" t="n">
        <x:f>V2324</x:f>
        <x:v>464.6728900694974</x:v>
      </x:c>
      <x:c r="J2325" s="79" t="n">
        <x:f>IF(H2325&gt;0,I2325/H2325,0)</x:f>
        <x:v>0.000007451700603709982</x:v>
      </x:c>
      <x:c r="K2325" s="80" t="n">
        <x:f>(H2325*J2325+I2325)*'Inputs'!$D$50*(1+'Inputs'!$G$50)^(B2325/30)</x:f>
        <x:v>929.3457801389948</x:v>
      </x:c>
      <x:c r="L2325" s="80" t="n">
        <x:f>MAX(0,K2325*'Inputs'!$E$50)</x:f>
        <x:v>0</x:v>
      </x:c>
      <x:c r="M2325" s="80" t="n">
        <x:f>MAX(0,-K2325*'Inputs'!$E$50)</x:f>
        <x:v>0</x:v>
      </x:c>
      <x:c r="N2325" s="78" t="n">
        <x:f>H2325*(L2325*(1-'Inputs'!$B$15))/(I2325+L2325*(1-'Inputs'!$B$15))</x:f>
        <x:v>0</x:v>
      </x:c>
      <x:c r="O2325" s="78" t="n">
        <x:f>H2325-N2325</x:f>
        <x:v>62357965.62172002</x:v>
      </x:c>
      <x:c r="P2325" s="78" t="n">
        <x:f>I2325+L2325*(1-'Inputs'!$B$17)</x:f>
        <x:v>464.6728900694974</x:v>
      </x:c>
      <x:c r="Q2325" s="78" t="n">
        <x:f>IF(J2325&gt;0,M2325/J2325,0)</x:f>
        <x:v>0</x:v>
      </x:c>
      <x:c r="R2325" s="78" t="n">
        <x:f>IF(B2325='Inputs'!$H$50,'Inputs'!$B$27*'Inputs'!$I$50,0)</x:f>
        <x:v>0</x:v>
      </x:c>
      <x:c r="S2325" s="78" t="n">
        <x:f>Q2325+G2325+R2325</x:f>
        <x:v>483133.56164383586</x:v>
      </x:c>
      <x:c r="T2325" s="78" t="n">
        <x:f>P2325*(S2325*(1-'Inputs'!$B$15))/(O2325+S2325*(1-'Inputs'!$B$15))</x:f>
        <x:v>3.537034984848996</x:v>
      </x:c>
      <x:c r="U2325" s="78" t="n">
        <x:f>O2325+S2325*(1-'Inputs'!$B$17)</x:f>
        <x:v>62839154.98392063</x:v>
      </x:c>
      <x:c r="V2325" s="78" t="n">
        <x:f>P2325-T2325</x:f>
        <x:v>461.13585508464837</x:v>
      </x:c>
      <x:c r="W2325" s="79" t="n">
        <x:f>IF(U2325&gt;0,V2325/U2325,0)</x:f>
        <x:v>0.00000733835226146253</x:v>
      </x:c>
      <x:c r="X2325" s="80" t="n">
        <x:f>W2325*('Inputs'!$B$6-AC2325)</x:f>
        <x:v>7215.2894743445495</x:v>
      </x:c>
      <x:c r="Y2325" s="80" t="n">
        <x:f>2*V2325</x:f>
        <x:v>922.2717101692967</x:v>
      </x:c>
      <x:c r="Z2325" s="80" t="n">
        <x:f>K2325*'Inputs'!$B$16+(G2325+R2325)*J2325*'Inputs'!$B$16</x:f>
        <x:v>5.597675680751813</x:v>
      </x:c>
      <x:c r="AA2325" s="80" t="n">
        <x:f>K2325*(1+'Inputs'!$E$50)/2*'Inputs'!$B$17</x:f>
        <x:v>1.8699110264366094</x:v>
      </x:c>
      <x:c r="AB2325" s="78" t="n">
        <x:f>(IF(J2325&gt;0,K2325*(1-'Inputs'!$E$50)/2/J2325,0)+G2325+R2325)*'Inputs'!$B$17</x:f>
        <x:v>252881.68685458298</x:v>
      </x:c>
      <x:c r="AC2325" s="78" t="n">
        <x:f>AC2324+AB2325</x:f>
        <x:v>16769811.905084817</x:v>
      </x:c>
      <x:c r="AD2325" s="80" t="n">
        <x:f>Z2325/(1+'Inputs'!$C$50)</x:f>
        <x:v>2.7988378403759064</x:v>
      </x:c>
      <x:c r="AE2325" s="80" t="n">
        <x:f>Z2325-AD2325</x:f>
        <x:v>2.7988378403759064</x:v>
      </x:c>
      <x:c r="AF2325" s="80" t="n">
        <x:f>D2325*W2325</x:f>
        <x:v>2.1047482851733417</x:v>
      </x:c>
      <x:c r="AG2325" s="80" t="n">
        <x:f>C2325*W2325</x:f>
        <x:v>4.911079332071186</x:v>
      </x:c>
      <x:c r="AH2325" s="80" t="n">
        <x:f>2*'Inputs'!$B$8*'Inputs'!$C$50</x:f>
        <x:v>5000</x:v>
      </x:c>
      <x:c r="AI2325" s="81" t="n">
        <x:f>IF(AH2325&gt;0,(AE2325+AF2325)/AH2325*365,0)</x:f>
        <x:v>0.35796178716509514</x:v>
      </x:c>
      <x:c r="AJ2325" s="81" t="n">
        <x:f>IF('Inputs'!$B$50&gt;0,AG2325/('Inputs'!$B$19*'Inputs'!$B$50)*365,0)</x:f>
        <x:v>0.17925439562059825</x:v>
      </x:c>
      <x:c r="AK2325" s="81" t="n">
        <x:f>W2325/MAX($W$2194:W2325)-1</x:f>
        <x:v>-0.9912927349321613</x:v>
      </x:c>
      <x:c r="AL2325" s="83" t="n">
        <x:f>'Inputs'!$B$50</x:f>
        <x:v>1</x:v>
      </x:c>
      <x:c r="AM2325" s="83" t="n">
        <x:f>'Inputs'!$C$50</x:f>
        <x:v>1</x:v>
      </x:c>
      <x:c r="AN2325" s="83" t="n">
        <x:f>'Inputs'!$D$50</x:f>
        <x:v>1</x:v>
      </x:c>
      <x:c r="AO2325" s="81" t="n">
        <x:f>'Inputs'!$E$50</x:f>
        <x:v>0</x:v>
      </x:c>
    </x:row>
    <x:row r="2326">
      <x:c r="A2326" s="59" t="str">
        <x:v>Whale exit</x:v>
      </x:c>
      <x:c r="B2326" s="59" t="n">
        <x:v>133</x:v>
      </x:c>
      <x:c r="C2326" s="78" t="n">
        <x:f>(('Inputs'!$B$29*(3*133*'Inputs'!$B$12-133^2)/(2*'Inputs'!$B$12^2))-('Inputs'!$B$29*(3*132*'Inputs'!$B$12-132^2)/(2*'Inputs'!$B$12^2)))*'Inputs'!$B$50</x:f>
        <x:v>668909.5045974851</x:v>
      </x:c>
      <x:c r="D2326" s="78" t="n">
        <x:f>IF('Inputs'!$C$50&gt;0,('Inputs'!$B$30*(3*133*'Inputs'!$B$12-133^2)/(2*'Inputs'!$B$12^2))-('Inputs'!$B$30*(3*132*'Inputs'!$B$12-132^2)/(2*'Inputs'!$B$12^2)),0)</x:f>
        <x:v>286675.50197035074</x:v>
      </x:c>
      <x:c r="E2326" s="78" t="n">
        <x:f>C2326+D2326</x:f>
        <x:v>955585.0065678358</x:v>
      </x:c>
      <x:c r="F2326" s="78" t="n">
        <x:f>'Inputs'!$B$13*E2326+(1-'Inputs'!$B$13)/'Inputs'!$B$14*SUM(E2271:E2326)</x:f>
        <x:v>965802.683430287</x:v>
      </x:c>
      <x:c r="G2326" s="78" t="n">
        <x:f>F2326*'Inputs'!$F$50</x:f>
        <x:v>482901.3417151435</x:v>
      </x:c>
      <x:c r="H2326" s="78" t="n">
        <x:f>U2325</x:f>
        <x:v>62839154.98392063</x:v>
      </x:c>
      <x:c r="I2326" s="78" t="n">
        <x:f>V2325</x:f>
        <x:v>461.13585508464837</x:v>
      </x:c>
      <x:c r="J2326" s="79" t="n">
        <x:f>IF(H2326&gt;0,I2326/H2326,0)</x:f>
        <x:v>0.00000733835226146253</x:v>
      </x:c>
      <x:c r="K2326" s="80" t="n">
        <x:f>(H2326*J2326+I2326)*'Inputs'!$D$50*(1+'Inputs'!$G$50)^(B2326/30)</x:f>
        <x:v>922.2717101692967</x:v>
      </x:c>
      <x:c r="L2326" s="80" t="n">
        <x:f>MAX(0,K2326*'Inputs'!$E$50)</x:f>
        <x:v>0</x:v>
      </x:c>
      <x:c r="M2326" s="80" t="n">
        <x:f>MAX(0,-K2326*'Inputs'!$E$50)</x:f>
        <x:v>0</x:v>
      </x:c>
      <x:c r="N2326" s="78" t="n">
        <x:f>H2326*(L2326*(1-'Inputs'!$B$15))/(I2326+L2326*(1-'Inputs'!$B$15))</x:f>
        <x:v>0</x:v>
      </x:c>
      <x:c r="O2326" s="78" t="n">
        <x:f>H2326-N2326</x:f>
        <x:v>62839154.98392063</x:v>
      </x:c>
      <x:c r="P2326" s="78" t="n">
        <x:f>I2326+L2326*(1-'Inputs'!$B$17)</x:f>
        <x:v>461.13585508464837</x:v>
      </x:c>
      <x:c r="Q2326" s="78" t="n">
        <x:f>IF(J2326&gt;0,M2326/J2326,0)</x:f>
        <x:v>0</x:v>
      </x:c>
      <x:c r="R2326" s="78" t="n">
        <x:f>IF(B2326='Inputs'!$H$50,'Inputs'!$B$27*'Inputs'!$I$50,0)</x:f>
        <x:v>0</x:v>
      </x:c>
      <x:c r="S2326" s="78" t="n">
        <x:f>Q2326+G2326+R2326</x:f>
        <x:v>482901.3417151435</x:v>
      </x:c>
      <x:c r="T2326" s="78" t="n">
        <x:f>P2326*(S2326*(1-'Inputs'!$B$15))/(O2326+S2326*(1-'Inputs'!$B$15))</x:f>
        <x:v>3.4817742541840717</x:v>
      </x:c>
      <x:c r="U2326" s="78" t="n">
        <x:f>O2326+S2326*(1-'Inputs'!$B$17)</x:f>
        <x:v>63320113.06067917</x:v>
      </x:c>
      <x:c r="V2326" s="78" t="n">
        <x:f>P2326-T2326</x:f>
        <x:v>457.6540808304643</x:v>
      </x:c>
      <x:c r="W2326" s="79" t="n">
        <x:f>IF(U2326&gt;0,V2326/U2326,0)</x:f>
        <x:v>0.000007227625768638441</x:v>
      </x:c>
      <x:c r="X2326" s="80" t="n">
        <x:f>W2326*('Inputs'!$B$6-AC2326)</x:f>
        <x:v>7104.578121136894</x:v>
      </x:c>
      <x:c r="Y2326" s="80" t="n">
        <x:f>2*V2326</x:f>
        <x:v>915.3081616609286</x:v>
      </x:c>
      <x:c r="Z2326" s="80" t="n">
        <x:f>K2326*'Inputs'!$B$16+(G2326+R2326)*J2326*'Inputs'!$B$16</x:f>
        <x:v>5.554892461934012</x:v>
      </x:c>
      <x:c r="AA2326" s="80" t="n">
        <x:f>K2326*(1+'Inputs'!$E$50)/2*'Inputs'!$B$17</x:f>
        <x:v>1.8556774852500941</x:v>
      </x:c>
      <x:c r="AB2326" s="78" t="n">
        <x:f>(IF(J2326&gt;0,K2326*(1-'Inputs'!$E$50)/2/J2326,0)+G2326+R2326)*'Inputs'!$B$17</x:f>
        <x:v>254817.1280709689</x:v>
      </x:c>
      <x:c r="AC2326" s="78" t="n">
        <x:f>AC2325+AB2326</x:f>
        <x:v>17024629.033155784</x:v>
      </x:c>
      <x:c r="AD2326" s="80" t="n">
        <x:f>Z2326/(1+'Inputs'!$C$50)</x:f>
        <x:v>2.777446230967006</x:v>
      </x:c>
      <x:c r="AE2326" s="80" t="n">
        <x:f>Z2326-AD2326</x:f>
        <x:v>2.777446230967006</x:v>
      </x:c>
      <x:c r="AF2326" s="80" t="n">
        <x:f>D2326*W2326</x:f>
        <x:v>2.0719832452782674</x:v>
      </x:c>
      <x:c r="AG2326" s="80" t="n">
        <x:f>C2326*W2326</x:f>
        <x:v>4.834627572315957</x:v>
      </x:c>
      <x:c r="AH2326" s="80" t="n">
        <x:f>2*'Inputs'!$B$8*'Inputs'!$C$50</x:f>
        <x:v>5000</x:v>
      </x:c>
      <x:c r="AI2326" s="81" t="n">
        <x:f>IF(AH2326&gt;0,(AE2326+AF2326)/AH2326*365,0)</x:f>
        <x:v>0.35400835176590495</x:v>
      </x:c>
      <x:c r="AJ2326" s="81" t="n">
        <x:f>IF('Inputs'!$B$50&gt;0,AG2326/('Inputs'!$B$19*'Inputs'!$B$50)*365,0)</x:f>
        <x:v>0.1764639063895324</x:v>
      </x:c>
      <x:c r="AK2326" s="81" t="n">
        <x:f>W2326/MAX($W$2194:W2326)-1</x:f>
        <x:v>-0.9914241165950606</x:v>
      </x:c>
      <x:c r="AL2326" s="83" t="n">
        <x:f>'Inputs'!$B$50</x:f>
        <x:v>1</x:v>
      </x:c>
      <x:c r="AM2326" s="83" t="n">
        <x:f>'Inputs'!$C$50</x:f>
        <x:v>1</x:v>
      </x:c>
      <x:c r="AN2326" s="83" t="n">
        <x:f>'Inputs'!$D$50</x:f>
        <x:v>1</x:v>
      </x:c>
      <x:c r="AO2326" s="81" t="n">
        <x:f>'Inputs'!$E$50</x:f>
        <x:v>0</x:v>
      </x:c>
    </x:row>
    <x:row r="2327">
      <x:c r="A2327" s="59" t="str">
        <x:v>Whale exit</x:v>
      </x:c>
      <x:c r="B2327" s="59" t="n">
        <x:v>134</x:v>
      </x:c>
      <x:c r="C2327" s="78" t="n">
        <x:f>(('Inputs'!$B$29*(3*134*'Inputs'!$B$12-134^2)/(2*'Inputs'!$B$12^2))-('Inputs'!$B$29*(3*133*'Inputs'!$B$12-133^2)/(2*'Inputs'!$B$12^2)))*'Inputs'!$B$50</x:f>
        <x:v>668584.3966973126</x:v>
      </x:c>
      <x:c r="D2327" s="78" t="n">
        <x:f>IF('Inputs'!$C$50&gt;0,('Inputs'!$B$30*(3*134*'Inputs'!$B$12-134^2)/(2*'Inputs'!$B$12^2))-('Inputs'!$B$30*(3*133*'Inputs'!$B$12-133^2)/(2*'Inputs'!$B$12^2)),0)</x:f>
        <x:v>286536.17001313716</x:v>
      </x:c>
      <x:c r="E2327" s="78" t="n">
        <x:f>C2327+D2327</x:f>
        <x:v>955120.5667104498</x:v>
      </x:c>
      <x:c r="F2327" s="78" t="n">
        <x:f>'Inputs'!$B$13*E2327+(1-'Inputs'!$B$13)/'Inputs'!$B$14*SUM(E2272:E2327)</x:f>
        <x:v>965338.2435729025</x:v>
      </x:c>
      <x:c r="G2327" s="78" t="n">
        <x:f>F2327*'Inputs'!$F$50</x:f>
        <x:v>482669.12178645126</x:v>
      </x:c>
      <x:c r="H2327" s="78" t="n">
        <x:f>U2326</x:f>
        <x:v>63320113.06067917</x:v>
      </x:c>
      <x:c r="I2327" s="78" t="n">
        <x:f>V2326</x:f>
        <x:v>457.6540808304643</x:v>
      </x:c>
      <x:c r="J2327" s="79" t="n">
        <x:f>IF(H2327&gt;0,I2327/H2327,0)</x:f>
        <x:v>0.000007227625768638441</x:v>
      </x:c>
      <x:c r="K2327" s="80" t="n">
        <x:f>(H2327*J2327+I2327)*'Inputs'!$D$50*(1+'Inputs'!$G$50)^(B2327/30)</x:f>
        <x:v>915.3081616609286</x:v>
      </x:c>
      <x:c r="L2327" s="80" t="n">
        <x:f>MAX(0,K2327*'Inputs'!$E$50)</x:f>
        <x:v>0</x:v>
      </x:c>
      <x:c r="M2327" s="80" t="n">
        <x:f>MAX(0,-K2327*'Inputs'!$E$50)</x:f>
        <x:v>0</x:v>
      </x:c>
      <x:c r="N2327" s="78" t="n">
        <x:f>H2327*(L2327*(1-'Inputs'!$B$15))/(I2327+L2327*(1-'Inputs'!$B$15))</x:f>
        <x:v>0</x:v>
      </x:c>
      <x:c r="O2327" s="78" t="n">
        <x:f>H2327-N2327</x:f>
        <x:v>63320113.06067917</x:v>
      </x:c>
      <x:c r="P2327" s="78" t="n">
        <x:f>I2327+L2327*(1-'Inputs'!$B$17)</x:f>
        <x:v>457.6540808304643</x:v>
      </x:c>
      <x:c r="Q2327" s="78" t="n">
        <x:f>IF(J2327&gt;0,M2327/J2327,0)</x:f>
        <x:v>0</x:v>
      </x:c>
      <x:c r="R2327" s="78" t="n">
        <x:f>IF(B2327='Inputs'!$H$50,'Inputs'!$B$27*'Inputs'!$I$50,0)</x:f>
        <x:v>0</x:v>
      </x:c>
      <x:c r="S2327" s="78" t="n">
        <x:f>Q2327+G2327+R2327</x:f>
        <x:v>482669.12178645126</x:v>
      </x:c>
      <x:c r="T2327" s="78" t="n">
        <x:f>P2327*(S2327*(1-'Inputs'!$B$15))/(O2327+S2327*(1-'Inputs'!$B$15))</x:f>
        <x:v>3.42779853460449</x:v>
      </x:c>
      <x:c r="U2327" s="78" t="n">
        <x:f>O2327+S2327*(1-'Inputs'!$B$17)</x:f>
        <x:v>63800839.851995654</x:v>
      </x:c>
      <x:c r="V2327" s="78" t="n">
        <x:f>P2327-T2327</x:f>
        <x:v>454.2262822958598</x:v>
      </x:c>
      <x:c r="W2327" s="79" t="n">
        <x:f>IF(U2327&gt;0,V2327/U2327,0)</x:f>
        <x:v>0.000007119440486199993</x:v>
      </x:c>
      <x:c r="X2327" s="80" t="n">
        <x:f>W2327*('Inputs'!$B$6-AC2327)</x:f>
        <x:v>6996.4067249883365</x:v>
      </x:c>
      <x:c r="Y2327" s="80" t="n">
        <x:f>2*V2327</x:f>
        <x:v>908.4525645917196</x:v>
      </x:c>
      <x:c r="Z2327" s="80" t="n">
        <x:f>K2327*'Inputs'!$B$16+(G2327+R2327)*J2327*'Inputs'!$B$16</x:f>
        <x:v>5.512780280659671</x:v>
      </x:c>
      <x:c r="AA2327" s="80" t="n">
        <x:f>K2327*(1+'Inputs'!$E$50)/2*'Inputs'!$B$17</x:f>
        <x:v>1.8416663212493534</x:v>
      </x:c>
      <x:c r="AB2327" s="78" t="n">
        <x:f>(IF(J2327&gt;0,K2327*(1-'Inputs'!$E$50)/2/J2327,0)+G2327+R2327)*'Inputs'!$B$17</x:f>
        <x:v>256751.6385612299</x:v>
      </x:c>
      <x:c r="AC2327" s="78" t="n">
        <x:f>AC2326+AB2327</x:f>
        <x:v>17281380.671717014</x:v>
      </x:c>
      <x:c r="AD2327" s="80" t="n">
        <x:f>Z2327/(1+'Inputs'!$C$50)</x:f>
        <x:v>2.7563901403298354</x:v>
      </x:c>
      <x:c r="AE2327" s="80" t="n">
        <x:f>Z2327-AD2327</x:f>
        <x:v>2.7563901403298354</x:v>
      </x:c>
      <x:c r="AF2327" s="80" t="n">
        <x:f>D2327*W2327</x:f>
        <x:v>2.039977209552213</x:v>
      </x:c>
      <x:c r="AG2327" s="80" t="n">
        <x:f>C2327*W2327</x:f>
        <x:v>4.759946822288444</x:v>
      </x:c>
      <x:c r="AH2327" s="80" t="n">
        <x:f>2*'Inputs'!$B$8*'Inputs'!$C$50</x:f>
        <x:v>5000</x:v>
      </x:c>
      <x:c r="AI2327" s="81" t="n">
        <x:f>IF(AH2327&gt;0,(AE2327+AF2327)/AH2327*365,0)</x:f>
        <x:v>0.35013481654138956</x:v>
      </x:c>
      <x:c r="AJ2327" s="81" t="n">
        <x:f>IF('Inputs'!$B$50&gt;0,AG2327/('Inputs'!$B$19*'Inputs'!$B$50)*365,0)</x:f>
        <x:v>0.1737380590135282</x:v>
      </x:c>
      <x:c r="AK2327" s="81" t="n">
        <x:f>W2327/MAX($W$2194:W2327)-1</x:f>
        <x:v>-0.9915524830044489</x:v>
      </x:c>
      <x:c r="AL2327" s="83" t="n">
        <x:f>'Inputs'!$B$50</x:f>
        <x:v>1</x:v>
      </x:c>
      <x:c r="AM2327" s="83" t="n">
        <x:f>'Inputs'!$C$50</x:f>
        <x:v>1</x:v>
      </x:c>
      <x:c r="AN2327" s="83" t="n">
        <x:f>'Inputs'!$D$50</x:f>
        <x:v>1</x:v>
      </x:c>
      <x:c r="AO2327" s="81" t="n">
        <x:f>'Inputs'!$E$50</x:f>
        <x:v>0</x:v>
      </x:c>
    </x:row>
    <x:row r="2328">
      <x:c r="A2328" s="59" t="str">
        <x:v>Whale exit</x:v>
      </x:c>
      <x:c r="B2328" s="59" t="n">
        <x:v>135</x:v>
      </x:c>
      <x:c r="C2328" s="78" t="n">
        <x:f>(('Inputs'!$B$29*(3*135*'Inputs'!$B$12-135^2)/(2*'Inputs'!$B$12^2))-('Inputs'!$B$29*(3*134*'Inputs'!$B$12-134^2)/(2*'Inputs'!$B$12^2)))*'Inputs'!$B$50</x:f>
        <x:v>668259.288797155</x:v>
      </x:c>
      <x:c r="D2328" s="78" t="n">
        <x:f>IF('Inputs'!$C$50&gt;0,('Inputs'!$B$30*(3*135*'Inputs'!$B$12-135^2)/(2*'Inputs'!$B$12^2))-('Inputs'!$B$30*(3*134*'Inputs'!$B$12-134^2)/(2*'Inputs'!$B$12^2)),0)</x:f>
        <x:v>286396.83805591613</x:v>
      </x:c>
      <x:c r="E2328" s="78" t="n">
        <x:f>C2328+D2328</x:f>
        <x:v>954656.1268530712</x:v>
      </x:c>
      <x:c r="F2328" s="78" t="n">
        <x:f>'Inputs'!$B$13*E2328+(1-'Inputs'!$B$13)/'Inputs'!$B$14*SUM(E2273:E2328)</x:f>
        <x:v>964873.8037155196</x:v>
      </x:c>
      <x:c r="G2328" s="78" t="n">
        <x:f>F2328*'Inputs'!$F$50</x:f>
        <x:v>482436.9018577598</x:v>
      </x:c>
      <x:c r="H2328" s="78" t="n">
        <x:f>U2327</x:f>
        <x:v>63800839.851995654</x:v>
      </x:c>
      <x:c r="I2328" s="78" t="n">
        <x:f>V2327</x:f>
        <x:v>454.2262822958598</x:v>
      </x:c>
      <x:c r="J2328" s="79" t="n">
        <x:f>IF(H2328&gt;0,I2328/H2328,0)</x:f>
        <x:v>0.000007119440486199993</x:v>
      </x:c>
      <x:c r="K2328" s="80" t="n">
        <x:f>(H2328*J2328+I2328)*'Inputs'!$D$50*(1+'Inputs'!$G$50)^(B2328/30)</x:f>
        <x:v>908.4525645917196</x:v>
      </x:c>
      <x:c r="L2328" s="80" t="n">
        <x:f>MAX(0,K2328*'Inputs'!$E$50)</x:f>
        <x:v>0</x:v>
      </x:c>
      <x:c r="M2328" s="80" t="n">
        <x:f>MAX(0,-K2328*'Inputs'!$E$50)</x:f>
        <x:v>0</x:v>
      </x:c>
      <x:c r="N2328" s="78" t="n">
        <x:f>H2328*(L2328*(1-'Inputs'!$B$15))/(I2328+L2328*(1-'Inputs'!$B$15))</x:f>
        <x:v>0</x:v>
      </x:c>
      <x:c r="O2328" s="78" t="n">
        <x:f>H2328-N2328</x:f>
        <x:v>63800839.851995654</x:v>
      </x:c>
      <x:c r="P2328" s="78" t="n">
        <x:f>I2328+L2328*(1-'Inputs'!$B$17)</x:f>
        <x:v>454.2262822958598</x:v>
      </x:c>
      <x:c r="Q2328" s="78" t="n">
        <x:f>IF(J2328&gt;0,M2328/J2328,0)</x:f>
        <x:v>0</x:v>
      </x:c>
      <x:c r="R2328" s="78" t="n">
        <x:f>IF(B2328='Inputs'!$H$50,'Inputs'!$B$27*'Inputs'!$I$50,0)</x:f>
        <x:v>0</x:v>
      </x:c>
      <x:c r="S2328" s="78" t="n">
        <x:f>Q2328+G2328+R2328</x:f>
        <x:v>482436.9018577598</x:v>
      </x:c>
      <x:c r="T2328" s="78" t="n">
        <x:f>P2328*(S2328*(1-'Inputs'!$B$15))/(O2328+S2328*(1-'Inputs'!$B$15))</x:f>
        <x:v>3.3750682712553055</x:v>
      </x:c>
      <x:c r="U2328" s="78" t="n">
        <x:f>O2328+S2328*(1-'Inputs'!$B$17)</x:f>
        <x:v>64281335.35787008</x:v>
      </x:c>
      <x:c r="V2328" s="78" t="n">
        <x:f>P2328-T2328</x:f>
        <x:v>450.8512140246045</x:v>
      </x:c>
      <x:c r="W2328" s="79" t="n">
        <x:f>IF(U2328&gt;0,V2328/U2328,0)</x:f>
        <x:v>0.000007013718858119614</x:v>
      </x:c>
      <x:c r="X2328" s="80" t="n">
        <x:f>W2328*('Inputs'!$B$6-AC2328)</x:f>
        <x:v>6890.697767213963</x:v>
      </x:c>
      <x:c r="Y2328" s="80" t="n">
        <x:f>2*V2328</x:f>
        <x:v>901.702428049209</x:v>
      </x:c>
      <x:c r="Z2328" s="80" t="n">
        <x:f>K2328*'Inputs'!$B$16+(G2328+R2328)*J2328*'Inputs'!$B$16</x:f>
        <x:v>5.471323472417056</x:v>
      </x:c>
      <x:c r="AA2328" s="80" t="n">
        <x:f>K2328*(1+'Inputs'!$E$50)/2*'Inputs'!$B$17</x:f>
        <x:v>1.8278723633636211</x:v>
      </x:c>
      <x:c r="AB2328" s="78" t="n">
        <x:f>(IF(J2328&gt;0,K2328*(1-'Inputs'!$E$50)/2/J2328,0)+G2328+R2328)*'Inputs'!$B$17</x:f>
        <x:v>258685.21832536586</x:v>
      </x:c>
      <x:c r="AC2328" s="78" t="n">
        <x:f>AC2327+AB2328</x:f>
        <x:v>17540065.89004238</x:v>
      </x:c>
      <x:c r="AD2328" s="80" t="n">
        <x:f>Z2328/(1+'Inputs'!$C$50)</x:f>
        <x:v>2.735661736208528</x:v>
      </x:c>
      <x:c r="AE2328" s="80" t="n">
        <x:f>Z2328-AD2328</x:f>
        <x:v>2.735661736208528</x:v>
      </x:c>
      <x:c r="AF2328" s="80" t="n">
        <x:f>D2328*W2328</x:f>
        <x:v>2.008706903978608</x:v>
      </x:c>
      <x:c r="AG2328" s="80" t="n">
        <x:f>C2328*W2328</x:f>
        <x:v>4.686982775950208</x:v>
      </x:c>
      <x:c r="AH2328" s="80" t="n">
        <x:f>2*'Inputs'!$B$8*'Inputs'!$C$50</x:f>
        <x:v>5000</x:v>
      </x:c>
      <x:c r="AI2328" s="81" t="n">
        <x:f>IF(AH2328&gt;0,(AE2328+AF2328)/AH2328*365,0)</x:f>
        <x:v>0.3463389107336609</x:v>
      </x:c>
      <x:c r="AJ2328" s="81" t="n">
        <x:f>IF('Inputs'!$B$50&gt;0,AG2328/('Inputs'!$B$19*'Inputs'!$B$50)*365,0)</x:f>
        <x:v>0.17107487132218258</x:v>
      </x:c>
      <x:c r="AK2328" s="81" t="n">
        <x:f>W2328/MAX($W$2194:W2328)-1</x:f>
        <x:v>-0.9916779261838304</x:v>
      </x:c>
      <x:c r="AL2328" s="83" t="n">
        <x:f>'Inputs'!$B$50</x:f>
        <x:v>1</x:v>
      </x:c>
      <x:c r="AM2328" s="83" t="n">
        <x:f>'Inputs'!$C$50</x:f>
        <x:v>1</x:v>
      </x:c>
      <x:c r="AN2328" s="83" t="n">
        <x:f>'Inputs'!$D$50</x:f>
        <x:v>1</x:v>
      </x:c>
      <x:c r="AO2328" s="81" t="n">
        <x:f>'Inputs'!$E$50</x:f>
        <x:v>0</x:v>
      </x:c>
    </x:row>
    <x:row r="2329">
      <x:c r="A2329" s="59" t="str">
        <x:v>Whale exit</x:v>
      </x:c>
      <x:c r="B2329" s="59" t="n">
        <x:v>136</x:v>
      </x:c>
      <x:c r="C2329" s="78" t="n">
        <x:f>(('Inputs'!$B$29*(3*136*'Inputs'!$B$12-136^2)/(2*'Inputs'!$B$12^2))-('Inputs'!$B$29*(3*135*'Inputs'!$B$12-135^2)/(2*'Inputs'!$B$12^2)))*'Inputs'!$B$50</x:f>
        <x:v>667934.1808969676</x:v>
      </x:c>
      <x:c r="D2329" s="78" t="n">
        <x:f>IF('Inputs'!$C$50&gt;0,('Inputs'!$B$30*(3*136*'Inputs'!$B$12-136^2)/(2*'Inputs'!$B$12^2))-('Inputs'!$B$30*(3*135*'Inputs'!$B$12-135^2)/(2*'Inputs'!$B$12^2)),0)</x:f>
        <x:v>286257.50609871</x:v>
      </x:c>
      <x:c r="E2329" s="78" t="n">
        <x:f>C2329+D2329</x:f>
        <x:v>954191.6869956776</x:v>
      </x:c>
      <x:c r="F2329" s="78" t="n">
        <x:f>'Inputs'!$B$13*E2329+(1-'Inputs'!$B$13)/'Inputs'!$B$14*SUM(E2274:E2329)</x:f>
        <x:v>964409.3638581334</x:v>
      </x:c>
      <x:c r="G2329" s="78" t="n">
        <x:f>F2329*'Inputs'!$F$50</x:f>
        <x:v>482204.6819290667</x:v>
      </x:c>
      <x:c r="H2329" s="78" t="n">
        <x:f>U2328</x:f>
        <x:v>64281335.35787008</x:v>
      </x:c>
      <x:c r="I2329" s="78" t="n">
        <x:f>V2328</x:f>
        <x:v>450.8512140246045</x:v>
      </x:c>
      <x:c r="J2329" s="79" t="n">
        <x:f>IF(H2329&gt;0,I2329/H2329,0)</x:f>
        <x:v>0.000007013718858119614</x:v>
      </x:c>
      <x:c r="K2329" s="80" t="n">
        <x:f>(H2329*J2329+I2329)*'Inputs'!$D$50*(1+'Inputs'!$G$50)^(B2329/30)</x:f>
        <x:v>901.702428049209</x:v>
      </x:c>
      <x:c r="L2329" s="80" t="n">
        <x:f>MAX(0,K2329*'Inputs'!$E$50)</x:f>
        <x:v>0</x:v>
      </x:c>
      <x:c r="M2329" s="80" t="n">
        <x:f>MAX(0,-K2329*'Inputs'!$E$50)</x:f>
        <x:v>0</x:v>
      </x:c>
      <x:c r="N2329" s="78" t="n">
        <x:f>H2329*(L2329*(1-'Inputs'!$B$15))/(I2329+L2329*(1-'Inputs'!$B$15))</x:f>
        <x:v>0</x:v>
      </x:c>
      <x:c r="O2329" s="78" t="n">
        <x:f>H2329-N2329</x:f>
        <x:v>64281335.35787008</x:v>
      </x:c>
      <x:c r="P2329" s="78" t="n">
        <x:f>I2329+L2329*(1-'Inputs'!$B$17)</x:f>
        <x:v>450.8512140246045</x:v>
      </x:c>
      <x:c r="Q2329" s="78" t="n">
        <x:f>IF(J2329&gt;0,M2329/J2329,0)</x:f>
        <x:v>0</x:v>
      </x:c>
      <x:c r="R2329" s="78" t="n">
        <x:f>IF(B2329='Inputs'!$H$50,'Inputs'!$B$27*'Inputs'!$I$50,0)</x:f>
        <x:v>0</x:v>
      </x:c>
      <x:c r="S2329" s="78" t="n">
        <x:f>Q2329+G2329+R2329</x:f>
        <x:v>482204.6819290667</x:v>
      </x:c>
      <x:c r="T2329" s="78" t="n">
        <x:f>P2329*(S2329*(1-'Inputs'!$B$15))/(O2329+S2329*(1-'Inputs'!$B$15))</x:f>
        <x:v>3.32354542004428</x:v>
      </x:c>
      <x:c r="U2329" s="78" t="n">
        <x:f>O2329+S2329*(1-'Inputs'!$B$17)</x:f>
        <x:v>64761599.57830245</x:v>
      </x:c>
      <x:c r="V2329" s="78" t="n">
        <x:f>P2329-T2329</x:f>
        <x:v>447.5276686045602</x:v>
      </x:c>
      <x:c r="W2329" s="79" t="n">
        <x:f>IF(U2329&gt;0,V2329/U2329,0)</x:f>
        <x:v>0.000006910386270855771</x:v>
      </x:c>
      <x:c r="X2329" s="80" t="n">
        <x:f>W2329*('Inputs'!$B$6-AC2329)</x:f>
        <x:v>6787.37667020675</x:v>
      </x:c>
      <x:c r="Y2329" s="80" t="n">
        <x:f>2*V2329</x:f>
        <x:v>895.0553372091204</x:v>
      </x:c>
      <x:c r="Z2329" s="80" t="n">
        <x:f>K2329*'Inputs'!$B$16+(G2329+R2329)*J2329*'Inputs'!$B$16</x:f>
        <x:v>5.43050685672197</x:v>
      </x:c>
      <x:c r="AA2329" s="80" t="n">
        <x:f>K2329*(1+'Inputs'!$E$50)/2*'Inputs'!$B$17</x:f>
        <x:v>1.8142905996965977</x:v>
      </x:c>
      <x:c r="AB2329" s="78" t="n">
        <x:f>(IF(J2329&gt;0,K2329*(1-'Inputs'!$E$50)/2/J2329,0)+G2329+R2329)*'Inputs'!$B$17</x:f>
        <x:v>260617.86736337686</x:v>
      </x:c>
      <x:c r="AC2329" s="78" t="n">
        <x:f>AC2328+AB2329</x:f>
        <x:v>17800683.757405758</x:v>
      </x:c>
      <x:c r="AD2329" s="80" t="n">
        <x:f>Z2329/(1+'Inputs'!$C$50)</x:f>
        <x:v>2.715253428360985</x:v>
      </x:c>
      <x:c r="AE2329" s="80" t="n">
        <x:f>Z2329-AD2329</x:f>
        <x:v>2.715253428360985</x:v>
      </x:c>
      <x:c r="AF2329" s="80" t="n">
        <x:f>D2329*W2329</x:f>
        <x:v>1.9781499400739377</x:v>
      </x:c>
      <x:c r="AG2329" s="80" t="n">
        <x:f>C2329*W2329</x:f>
        <x:v>4.6156831935057</x:v>
      </x:c>
      <x:c r="AH2329" s="80" t="n">
        <x:f>2*'Inputs'!$B$8*'Inputs'!$C$50</x:f>
        <x:v>5000</x:v>
      </x:c>
      <x:c r="AI2329" s="81" t="n">
        <x:f>IF(AH2329&gt;0,(AE2329+AF2329)/AH2329*365,0)</x:f>
        <x:v>0.34261844589574936</x:v>
      </x:c>
      <x:c r="AJ2329" s="81" t="n">
        <x:f>IF('Inputs'!$B$50&gt;0,AG2329/('Inputs'!$B$19*'Inputs'!$B$50)*365,0)</x:f>
        <x:v>0.16847243656295804</x:v>
      </x:c>
      <x:c r="AK2329" s="81" t="n">
        <x:f>W2329/MAX($W$2194:W2329)-1</x:f>
        <x:v>-0.9918005346653253</x:v>
      </x:c>
      <x:c r="AL2329" s="83" t="n">
        <x:f>'Inputs'!$B$50</x:f>
        <x:v>1</x:v>
      </x:c>
      <x:c r="AM2329" s="83" t="n">
        <x:f>'Inputs'!$C$50</x:f>
        <x:v>1</x:v>
      </x:c>
      <x:c r="AN2329" s="83" t="n">
        <x:f>'Inputs'!$D$50</x:f>
        <x:v>1</x:v>
      </x:c>
      <x:c r="AO2329" s="81" t="n">
        <x:f>'Inputs'!$E$50</x:f>
        <x:v>0</x:v>
      </x:c>
    </x:row>
    <x:row r="2330">
      <x:c r="A2330" s="59" t="str">
        <x:v>Whale exit</x:v>
      </x:c>
      <x:c r="B2330" s="59" t="n">
        <x:v>137</x:v>
      </x:c>
      <x:c r="C2330" s="78" t="n">
        <x:f>(('Inputs'!$B$29*(3*137*'Inputs'!$B$12-137^2)/(2*'Inputs'!$B$12^2))-('Inputs'!$B$29*(3*136*'Inputs'!$B$12-136^2)/(2*'Inputs'!$B$12^2)))*'Inputs'!$B$50</x:f>
        <x:v>667609.0729968101</x:v>
      </x:c>
      <x:c r="D2330" s="78" t="n">
        <x:f>IF('Inputs'!$C$50&gt;0,('Inputs'!$B$30*(3*137*'Inputs'!$B$12-137^2)/(2*'Inputs'!$B$12^2))-('Inputs'!$B$30*(3*136*'Inputs'!$B$12-136^2)/(2*'Inputs'!$B$12^2)),0)</x:f>
        <x:v>286118.17414148897</x:v>
      </x:c>
      <x:c r="E2330" s="78" t="n">
        <x:f>C2330+D2330</x:f>
        <x:v>953727.247138299</x:v>
      </x:c>
      <x:c r="F2330" s="78" t="n">
        <x:f>'Inputs'!$B$13*E2330+(1-'Inputs'!$B$13)/'Inputs'!$B$14*SUM(E2275:E2330)</x:f>
        <x:v>963944.9240007505</x:v>
      </x:c>
      <x:c r="G2330" s="78" t="n">
        <x:f>F2330*'Inputs'!$F$50</x:f>
        <x:v>481972.46200037526</x:v>
      </x:c>
      <x:c r="H2330" s="78" t="n">
        <x:f>U2329</x:f>
        <x:v>64761599.57830245</x:v>
      </x:c>
      <x:c r="I2330" s="78" t="n">
        <x:f>V2329</x:f>
        <x:v>447.5276686045602</x:v>
      </x:c>
      <x:c r="J2330" s="79" t="n">
        <x:f>IF(H2330&gt;0,I2330/H2330,0)</x:f>
        <x:v>0.000006910386270855771</x:v>
      </x:c>
      <x:c r="K2330" s="80" t="n">
        <x:f>(H2330*J2330+I2330)*'Inputs'!$D$50*(1+'Inputs'!$G$50)^(B2330/30)</x:f>
        <x:v>895.0553372091204</x:v>
      </x:c>
      <x:c r="L2330" s="80" t="n">
        <x:f>MAX(0,K2330*'Inputs'!$E$50)</x:f>
        <x:v>0</x:v>
      </x:c>
      <x:c r="M2330" s="80" t="n">
        <x:f>MAX(0,-K2330*'Inputs'!$E$50)</x:f>
        <x:v>0</x:v>
      </x:c>
      <x:c r="N2330" s="78" t="n">
        <x:f>H2330*(L2330*(1-'Inputs'!$B$15))/(I2330+L2330*(1-'Inputs'!$B$15))</x:f>
        <x:v>0</x:v>
      </x:c>
      <x:c r="O2330" s="78" t="n">
        <x:f>H2330-N2330</x:f>
        <x:v>64761599.57830245</x:v>
      </x:c>
      <x:c r="P2330" s="78" t="n">
        <x:f>I2330+L2330*(1-'Inputs'!$B$17)</x:f>
        <x:v>447.5276686045602</x:v>
      </x:c>
      <x:c r="Q2330" s="78" t="n">
        <x:f>IF(J2330&gt;0,M2330/J2330,0)</x:f>
        <x:v>0</x:v>
      </x:c>
      <x:c r="R2330" s="78" t="n">
        <x:f>IF(B2330='Inputs'!$H$50,'Inputs'!$B$27*'Inputs'!$I$50,0)</x:f>
        <x:v>0</x:v>
      </x:c>
      <x:c r="S2330" s="78" t="n">
        <x:f>Q2330+G2330+R2330</x:f>
        <x:v>481972.46200037526</x:v>
      </x:c>
      <x:c r="T2330" s="78" t="n">
        <x:f>P2330*(S2330*(1-'Inputs'!$B$15))/(O2330+S2330*(1-'Inputs'!$B$15))</x:f>
        <x:v>3.2731933789112135</x:v>
      </x:c>
      <x:c r="U2330" s="78" t="n">
        <x:f>O2330+S2330*(1-'Inputs'!$B$17)</x:f>
        <x:v>65241632.51329277</x:v>
      </x:c>
      <x:c r="V2330" s="78" t="n">
        <x:f>P2330-T2330</x:f>
        <x:v>444.25447522564895</x:v>
      </x:c>
      <x:c r="W2330" s="79" t="n">
        <x:f>IF(U2330&gt;0,V2330/U2330,0)</x:f>
        <x:v>0.0000068093709202499424</x:v>
      </x:c>
      <x:c r="X2330" s="80" t="n">
        <x:f>W2330*('Inputs'!$B$6-AC2330)</x:f>
        <x:v>6686.371664397878</x:v>
      </x:c>
      <x:c r="Y2330" s="80" t="n">
        <x:f>2*V2330</x:f>
        <x:v>888.5089504512979</x:v>
      </x:c>
      <x:c r="Z2330" s="80" t="n">
        <x:f>K2330*'Inputs'!$B$16+(G2330+R2330)*J2330*'Inputs'!$B$16</x:f>
        <x:v>5.39031571856075</x:v>
      </x:c>
      <x:c r="AA2330" s="80" t="n">
        <x:f>K2330*(1+'Inputs'!$E$50)/2*'Inputs'!$B$17</x:f>
        <x:v>1.8009161714469224</x:v>
      </x:c>
      <x:c r="AB2330" s="78" t="n">
        <x:f>(IF(J2330&gt;0,K2330*(1-'Inputs'!$E$50)/2/J2330,0)+G2330+R2330)*'Inputs'!$B$17</x:f>
        <x:v>262549.5856752629</x:v>
      </x:c>
      <x:c r="AC2330" s="78" t="n">
        <x:f>AC2329+AB2330</x:f>
        <x:v>18063233.34308102</x:v>
      </x:c>
      <x:c r="AD2330" s="80" t="n">
        <x:f>Z2330/(1+'Inputs'!$C$50)</x:f>
        <x:v>2.695157859280375</x:v>
      </x:c>
      <x:c r="AE2330" s="80" t="n">
        <x:f>Z2330-AD2330</x:f>
        <x:v>2.695157859280375</x:v>
      </x:c>
      <x:c r="AF2330" s="80" t="n">
        <x:f>D2330*W2330</x:f>
        <x:v>1.948284774754064</x:v>
      </x:c>
      <x:c r="AG2330" s="80" t="n">
        <x:f>C2330*W2330</x:f>
        <x:v>4.5459978077595</x:v>
      </x:c>
      <x:c r="AH2330" s="80" t="n">
        <x:f>2*'Inputs'!$B$8*'Inputs'!$C$50</x:f>
        <x:v>5000</x:v>
      </x:c>
      <x:c r="AI2330" s="81" t="n">
        <x:f>IF(AH2330&gt;0,(AE2330+AF2330)/AH2330*365,0)</x:f>
        <x:v>0.338971312284514</x:v>
      </x:c>
      <x:c r="AJ2330" s="81" t="n">
        <x:f>IF('Inputs'!$B$50&gt;0,AG2330/('Inputs'!$B$19*'Inputs'!$B$50)*365,0)</x:f>
        <x:v>0.16592891998322176</x:v>
      </x:c>
      <x:c r="AK2330" s="81" t="n">
        <x:f>W2330/MAX($W$2194:W2330)-1</x:f>
        <x:v>-0.9919203936476018</x:v>
      </x:c>
      <x:c r="AL2330" s="83" t="n">
        <x:f>'Inputs'!$B$50</x:f>
        <x:v>1</x:v>
      </x:c>
      <x:c r="AM2330" s="83" t="n">
        <x:f>'Inputs'!$C$50</x:f>
        <x:v>1</x:v>
      </x:c>
      <x:c r="AN2330" s="83" t="n">
        <x:f>'Inputs'!$D$50</x:f>
        <x:v>1</x:v>
      </x:c>
      <x:c r="AO2330" s="81" t="n">
        <x:f>'Inputs'!$E$50</x:f>
        <x:v>0</x:v>
      </x:c>
    </x:row>
    <x:row r="2331">
      <x:c r="A2331" s="59" t="str">
        <x:v>Whale exit</x:v>
      </x:c>
      <x:c r="B2331" s="59" t="n">
        <x:v>138</x:v>
      </x:c>
      <x:c r="C2331" s="78" t="n">
        <x:f>(('Inputs'!$B$29*(3*138*'Inputs'!$B$12-138^2)/(2*'Inputs'!$B$12^2))-('Inputs'!$B$29*(3*137*'Inputs'!$B$12-137^2)/(2*'Inputs'!$B$12^2)))*'Inputs'!$B$50</x:f>
        <x:v>667283.9650966525</x:v>
      </x:c>
      <x:c r="D2331" s="78" t="n">
        <x:f>IF('Inputs'!$C$50&gt;0,('Inputs'!$B$30*(3*138*'Inputs'!$B$12-138^2)/(2*'Inputs'!$B$12^2))-('Inputs'!$B$30*(3*137*'Inputs'!$B$12-137^2)/(2*'Inputs'!$B$12^2)),0)</x:f>
        <x:v>285978.8421842754</x:v>
      </x:c>
      <x:c r="E2331" s="78" t="n">
        <x:f>C2331+D2331</x:f>
        <x:v>953262.8072809279</x:v>
      </x:c>
      <x:c r="F2331" s="78" t="n">
        <x:f>'Inputs'!$B$13*E2331+(1-'Inputs'!$B$13)/'Inputs'!$B$14*SUM(E2276:E2331)</x:f>
        <x:v>963480.4841433691</x:v>
      </x:c>
      <x:c r="G2331" s="78" t="n">
        <x:f>F2331*'Inputs'!$F$50</x:f>
        <x:v>481740.24207168457</x:v>
      </x:c>
      <x:c r="H2331" s="78" t="n">
        <x:f>U2330</x:f>
        <x:v>65241632.51329277</x:v>
      </x:c>
      <x:c r="I2331" s="78" t="n">
        <x:f>V2330</x:f>
        <x:v>444.25447522564895</x:v>
      </x:c>
      <x:c r="J2331" s="79" t="n">
        <x:f>IF(H2331&gt;0,I2331/H2331,0)</x:f>
        <x:v>0.0000068093709202499424</x:v>
      </x:c>
      <x:c r="K2331" s="80" t="n">
        <x:f>(H2331*J2331+I2331)*'Inputs'!$D$50*(1+'Inputs'!$G$50)^(B2331/30)</x:f>
        <x:v>888.5089504512979</x:v>
      </x:c>
      <x:c r="L2331" s="80" t="n">
        <x:f>MAX(0,K2331*'Inputs'!$E$50)</x:f>
        <x:v>0</x:v>
      </x:c>
      <x:c r="M2331" s="80" t="n">
        <x:f>MAX(0,-K2331*'Inputs'!$E$50)</x:f>
        <x:v>0</x:v>
      </x:c>
      <x:c r="N2331" s="78" t="n">
        <x:f>H2331*(L2331*(1-'Inputs'!$B$15))/(I2331+L2331*(1-'Inputs'!$B$15))</x:f>
        <x:v>0</x:v>
      </x:c>
      <x:c r="O2331" s="78" t="n">
        <x:f>H2331-N2331</x:f>
        <x:v>65241632.51329277</x:v>
      </x:c>
      <x:c r="P2331" s="78" t="n">
        <x:f>I2331+L2331*(1-'Inputs'!$B$17)</x:f>
        <x:v>444.25447522564895</x:v>
      </x:c>
      <x:c r="Q2331" s="78" t="n">
        <x:f>IF(J2331&gt;0,M2331/J2331,0)</x:f>
        <x:v>0</x:v>
      </x:c>
      <x:c r="R2331" s="78" t="n">
        <x:f>IF(B2331='Inputs'!$H$50,'Inputs'!$B$27*'Inputs'!$I$50,0)</x:f>
        <x:v>0</x:v>
      </x:c>
      <x:c r="S2331" s="78" t="n">
        <x:f>Q2331+G2331+R2331</x:f>
        <x:v>481740.24207168457</x:v>
      </x:c>
      <x:c r="T2331" s="78" t="n">
        <x:f>P2331*(S2331*(1-'Inputs'!$B$15))/(O2331+S2331*(1-'Inputs'!$B$15))</x:f>
        <x:v>3.2239769227181663</x:v>
      </x:c>
      <x:c r="U2331" s="78" t="n">
        <x:f>O2331+S2331*(1-'Inputs'!$B$17)</x:f>
        <x:v>65721434.16284102</x:v>
      </x:c>
      <x:c r="V2331" s="78" t="n">
        <x:f>P2331-T2331</x:f>
        <x:v>441.03049830293077</x:v>
      </x:c>
      <x:c r="W2331" s="79" t="n">
        <x:f>IF(U2331&gt;0,V2331/U2331,0)</x:f>
        <x:v>0.000006710603685399945</x:v>
      </x:c>
      <x:c r="X2331" s="80" t="n">
        <x:f>W2331*('Inputs'!$B$6-AC2331)</x:f>
        <x:v>6587.613662190104</x:v>
      </x:c>
      <x:c r="Y2331" s="80" t="n">
        <x:f>2*V2331</x:f>
        <x:v>882.0609966058615</x:v>
      </x:c>
      <x:c r="Z2331" s="80" t="n">
        <x:f>K2331*'Inputs'!$B$16+(G2331+R2331)*J2331*'Inputs'!$B$16</x:f>
        <x:v>5.35073579068065</x:v>
      </x:c>
      <x:c r="AA2331" s="80" t="n">
        <x:f>K2331*(1+'Inputs'!$E$50)/2*'Inputs'!$B$17</x:f>
        <x:v>1.7877443671052273</x:v>
      </x:c>
      <x:c r="AB2331" s="78" t="n">
        <x:f>(IF(J2331&gt;0,K2331*(1-'Inputs'!$E$50)/2/J2331,0)+G2331+R2331)*'Inputs'!$B$17</x:f>
        <x:v>264480.373261024</x:v>
      </x:c>
      <x:c r="AC2331" s="78" t="n">
        <x:f>AC2330+AB2331</x:f>
        <x:v>18327713.716342043</x:v>
      </x:c>
      <x:c r="AD2331" s="80" t="n">
        <x:f>Z2331/(1+'Inputs'!$C$50)</x:f>
        <x:v>2.675367895340325</x:v>
      </x:c>
      <x:c r="AE2331" s="80" t="n">
        <x:f>Z2331-AD2331</x:f>
        <x:v>2.675367895340325</x:v>
      </x:c>
      <x:c r="AF2331" s="80" t="n">
        <x:f>D2331*W2331</x:f>
        <x:v>1.9190906723082075</x:v>
      </x:c>
      <x:c r="AG2331" s="80" t="n">
        <x:f>C2331*W2331</x:f>
        <x:v>4.477878235385885</x:v>
      </x:c>
      <x:c r="AH2331" s="80" t="n">
        <x:f>2*'Inputs'!$B$8*'Inputs'!$C$50</x:f>
        <x:v>5000</x:v>
      </x:c>
      <x:c r="AI2331" s="81" t="n">
        <x:f>IF(AH2331&gt;0,(AE2331+AF2331)/AH2331*365,0)</x:f>
        <x:v>0.3353954754383428</x:v>
      </x:c>
      <x:c r="AJ2331" s="81" t="n">
        <x:f>IF('Inputs'!$B$50&gt;0,AG2331/('Inputs'!$B$19*'Inputs'!$B$50)*365,0)</x:f>
        <x:v>0.1634425555915848</x:v>
      </x:c>
      <x:c r="AK2331" s="81" t="n">
        <x:f>W2331/MAX($W$2194:W2331)-1</x:f>
        <x:v>-0.9920375851455314</x:v>
      </x:c>
      <x:c r="AL2331" s="83" t="n">
        <x:f>'Inputs'!$B$50</x:f>
        <x:v>1</x:v>
      </x:c>
      <x:c r="AM2331" s="83" t="n">
        <x:f>'Inputs'!$C$50</x:f>
        <x:v>1</x:v>
      </x:c>
      <x:c r="AN2331" s="83" t="n">
        <x:f>'Inputs'!$D$50</x:f>
        <x:v>1</x:v>
      </x:c>
      <x:c r="AO2331" s="81" t="n">
        <x:f>'Inputs'!$E$50</x:f>
        <x:v>0</x:v>
      </x:c>
    </x:row>
    <x:row r="2332">
      <x:c r="A2332" s="59" t="str">
        <x:v>Whale exit</x:v>
      </x:c>
      <x:c r="B2332" s="59" t="n">
        <x:v>139</x:v>
      </x:c>
      <x:c r="C2332" s="78" t="n">
        <x:f>(('Inputs'!$B$29*(3*139*'Inputs'!$B$12-139^2)/(2*'Inputs'!$B$12^2))-('Inputs'!$B$29*(3*138*'Inputs'!$B$12-138^2)/(2*'Inputs'!$B$12^2)))*'Inputs'!$B$50</x:f>
        <x:v>666958.8571964651</x:v>
      </x:c>
      <x:c r="D2332" s="78" t="n">
        <x:f>IF('Inputs'!$C$50&gt;0,('Inputs'!$B$30*(3*139*'Inputs'!$B$12-139^2)/(2*'Inputs'!$B$12^2))-('Inputs'!$B$30*(3*138*'Inputs'!$B$12-138^2)/(2*'Inputs'!$B$12^2)),0)</x:f>
        <x:v>285839.51022705436</x:v>
      </x:c>
      <x:c r="E2332" s="78" t="n">
        <x:f>C2332+D2332</x:f>
        <x:v>952798.3674235195</x:v>
      </x:c>
      <x:c r="F2332" s="78" t="n">
        <x:f>'Inputs'!$B$13*E2332+(1-'Inputs'!$B$13)/'Inputs'!$B$14*SUM(E2277:E2332)</x:f>
        <x:v>963016.04428598</x:v>
      </x:c>
      <x:c r="G2332" s="78" t="n">
        <x:f>F2332*'Inputs'!$F$50</x:f>
        <x:v>481508.02214299</x:v>
      </x:c>
      <x:c r="H2332" s="78" t="n">
        <x:f>U2331</x:f>
        <x:v>65721434.16284102</x:v>
      </x:c>
      <x:c r="I2332" s="78" t="n">
        <x:f>V2331</x:f>
        <x:v>441.03049830293077</x:v>
      </x:c>
      <x:c r="J2332" s="79" t="n">
        <x:f>IF(H2332&gt;0,I2332/H2332,0)</x:f>
        <x:v>0.000006710603685399945</x:v>
      </x:c>
      <x:c r="K2332" s="80" t="n">
        <x:f>(H2332*J2332+I2332)*'Inputs'!$D$50*(1+'Inputs'!$G$50)^(B2332/30)</x:f>
        <x:v>882.0609966058615</x:v>
      </x:c>
      <x:c r="L2332" s="80" t="n">
        <x:f>MAX(0,K2332*'Inputs'!$E$50)</x:f>
        <x:v>0</x:v>
      </x:c>
      <x:c r="M2332" s="80" t="n">
        <x:f>MAX(0,-K2332*'Inputs'!$E$50)</x:f>
        <x:v>0</x:v>
      </x:c>
      <x:c r="N2332" s="78" t="n">
        <x:f>H2332*(L2332*(1-'Inputs'!$B$15))/(I2332+L2332*(1-'Inputs'!$B$15))</x:f>
        <x:v>0</x:v>
      </x:c>
      <x:c r="O2332" s="78" t="n">
        <x:f>H2332-N2332</x:f>
        <x:v>65721434.16284102</x:v>
      </x:c>
      <x:c r="P2332" s="78" t="n">
        <x:f>I2332+L2332*(1-'Inputs'!$B$17)</x:f>
        <x:v>441.03049830293077</x:v>
      </x:c>
      <x:c r="Q2332" s="78" t="n">
        <x:f>IF(J2332&gt;0,M2332/J2332,0)</x:f>
        <x:v>0</x:v>
      </x:c>
      <x:c r="R2332" s="78" t="n">
        <x:f>IF(B2332='Inputs'!$H$50,'Inputs'!$B$27*'Inputs'!$I$50,0)</x:f>
        <x:v>0</x:v>
      </x:c>
      <x:c r="S2332" s="78" t="n">
        <x:f>Q2332+G2332+R2332</x:f>
        <x:v>481508.02214299</x:v>
      </x:c>
      <x:c r="T2332" s="78" t="n">
        <x:f>P2332*(S2332*(1-'Inputs'!$B$15))/(O2332+S2332*(1-'Inputs'!$B$15))</x:f>
        <x:v>3.1758621415443393</x:v>
      </x:c>
      <x:c r="U2332" s="78" t="n">
        <x:f>O2332+S2332*(1-'Inputs'!$B$17)</x:f>
        <x:v>66201004.52694722</x:v>
      </x:c>
      <x:c r="V2332" s="78" t="n">
        <x:f>P2332-T2332</x:f>
        <x:v>437.85463616138645</x:v>
      </x:c>
      <x:c r="W2332" s="79" t="n">
        <x:f>IF(U2332&gt;0,V2332/U2332,0)</x:f>
        <x:v>0.000006614018009094666</x:v>
      </x:c>
      <x:c r="X2332" s="80" t="n">
        <x:f>W2332*('Inputs'!$B$6-AC2332)</x:f>
        <x:v>6491.036138449424</x:v>
      </x:c>
      <x:c r="Y2332" s="80" t="n">
        <x:f>2*V2332</x:f>
        <x:v>875.7092723227729</x:v>
      </x:c>
      <x:c r="Z2332" s="80" t="n">
        <x:f>K2332*'Inputs'!$B$16+(G2332+R2332)*J2332*'Inputs'!$B$16</x:f>
        <x:v>5.311753236682824</x:v>
      </x:c>
      <x:c r="AA2332" s="80" t="n">
        <x:f>K2332*(1+'Inputs'!$E$50)/2*'Inputs'!$B$17</x:f>
        <x:v>1.7747706169132025</x:v>
      </x:c>
      <x:c r="AB2332" s="78" t="n">
        <x:f>(IF(J2332&gt;0,K2332*(1-'Inputs'!$E$50)/2/J2332,0)+G2332+R2332)*'Inputs'!$B$17</x:f>
        <x:v>266410.23012066</x:v>
      </x:c>
      <x:c r="AC2332" s="78" t="n">
        <x:f>AC2331+AB2332</x:f>
        <x:v>18594123.946462702</x:v>
      </x:c>
      <x:c r="AD2332" s="80" t="n">
        <x:f>Z2332/(1+'Inputs'!$C$50)</x:f>
        <x:v>2.655876618341412</x:v>
      </x:c>
      <x:c r="AE2332" s="80" t="n">
        <x:f>Z2332-AD2332</x:f>
        <x:v>2.655876618341412</x:v>
      </x:c>
      <x:c r="AF2332" s="80" t="n">
        <x:f>D2332*W2332</x:f>
        <x:v>1.8905476683525366</x:v>
      </x:c>
      <x:c r="AG2332" s="80" t="n">
        <x:f>C2332*W2332</x:f>
        <x:v>4.411277892822618</x:v>
      </x:c>
      <x:c r="AH2332" s="80" t="n">
        <x:f>2*'Inputs'!$B$8*'Inputs'!$C$50</x:f>
        <x:v>5000</x:v>
      </x:c>
      <x:c r="AI2332" s="81" t="n">
        <x:f>IF(AH2332&gt;0,(AE2332+AF2332)/AH2332*365,0)</x:f>
        <x:v>0.33188897292865827</x:v>
      </x:c>
      <x:c r="AJ2332" s="81" t="n">
        <x:f>IF('Inputs'!$B$50&gt;0,AG2332/('Inputs'!$B$19*'Inputs'!$B$50)*365,0)</x:f>
        <x:v>0.16101164308802554</x:v>
      </x:c>
      <x:c r="AK2332" s="81" t="n">
        <x:f>W2332/MAX($W$2194:W2332)-1</x:f>
        <x:v>-0.9921521881320579</x:v>
      </x:c>
      <x:c r="AL2332" s="83" t="n">
        <x:f>'Inputs'!$B$50</x:f>
        <x:v>1</x:v>
      </x:c>
      <x:c r="AM2332" s="83" t="n">
        <x:f>'Inputs'!$C$50</x:f>
        <x:v>1</x:v>
      </x:c>
      <x:c r="AN2332" s="83" t="n">
        <x:f>'Inputs'!$D$50</x:f>
        <x:v>1</x:v>
      </x:c>
      <x:c r="AO2332" s="81" t="n">
        <x:f>'Inputs'!$E$50</x:f>
        <x:v>0</x:v>
      </x:c>
    </x:row>
    <x:row r="2333">
      <x:c r="A2333" s="59" t="str">
        <x:v>Whale exit</x:v>
      </x:c>
      <x:c r="B2333" s="59" t="n">
        <x:v>140</x:v>
      </x:c>
      <x:c r="C2333" s="78" t="n">
        <x:f>(('Inputs'!$B$29*(3*140*'Inputs'!$B$12-140^2)/(2*'Inputs'!$B$12^2))-('Inputs'!$B$29*(3*139*'Inputs'!$B$12-139^2)/(2*'Inputs'!$B$12^2)))*'Inputs'!$B$50</x:f>
        <x:v>666633.7492963076</x:v>
      </x:c>
      <x:c r="D2333" s="78" t="n">
        <x:f>IF('Inputs'!$C$50&gt;0,('Inputs'!$B$30*(3*140*'Inputs'!$B$12-140^2)/(2*'Inputs'!$B$12^2))-('Inputs'!$B$30*(3*139*'Inputs'!$B$12-139^2)/(2*'Inputs'!$B$12^2)),0)</x:f>
        <x:v>285700.1782698482</x:v>
      </x:c>
      <x:c r="E2333" s="78" t="n">
        <x:f>C2333+D2333</x:f>
        <x:v>952333.9275661558</x:v>
      </x:c>
      <x:c r="F2333" s="78" t="n">
        <x:f>'Inputs'!$B$13*E2333+(1-'Inputs'!$B$13)/'Inputs'!$B$14*SUM(E2278:E2333)</x:f>
        <x:v>962551.6044286</x:v>
      </x:c>
      <x:c r="G2333" s="78" t="n">
        <x:f>F2333*'Inputs'!$F$50</x:f>
        <x:v>481275.8022143</x:v>
      </x:c>
      <x:c r="H2333" s="78" t="n">
        <x:f>U2332</x:f>
        <x:v>66201004.52694722</x:v>
      </x:c>
      <x:c r="I2333" s="78" t="n">
        <x:f>V2332</x:f>
        <x:v>437.85463616138645</x:v>
      </x:c>
      <x:c r="J2333" s="79" t="n">
        <x:f>IF(H2333&gt;0,I2333/H2333,0)</x:f>
        <x:v>0.000006614018009094666</x:v>
      </x:c>
      <x:c r="K2333" s="80" t="n">
        <x:f>(H2333*J2333+I2333)*'Inputs'!$D$50*(1+'Inputs'!$G$50)^(B2333/30)</x:f>
        <x:v>875.7092723227729</x:v>
      </x:c>
      <x:c r="L2333" s="80" t="n">
        <x:f>MAX(0,K2333*'Inputs'!$E$50)</x:f>
        <x:v>0</x:v>
      </x:c>
      <x:c r="M2333" s="80" t="n">
        <x:f>MAX(0,-K2333*'Inputs'!$E$50)</x:f>
        <x:v>0</x:v>
      </x:c>
      <x:c r="N2333" s="78" t="n">
        <x:f>H2333*(L2333*(1-'Inputs'!$B$15))/(I2333+L2333*(1-'Inputs'!$B$15))</x:f>
        <x:v>0</x:v>
      </x:c>
      <x:c r="O2333" s="78" t="n">
        <x:f>H2333-N2333</x:f>
        <x:v>66201004.52694722</x:v>
      </x:c>
      <x:c r="P2333" s="78" t="n">
        <x:f>I2333+L2333*(1-'Inputs'!$B$17)</x:f>
        <x:v>437.85463616138645</x:v>
      </x:c>
      <x:c r="Q2333" s="78" t="n">
        <x:f>IF(J2333&gt;0,M2333/J2333,0)</x:f>
        <x:v>0</x:v>
      </x:c>
      <x:c r="R2333" s="78" t="n">
        <x:f>IF(B2333='Inputs'!$H$50,'Inputs'!$B$27*'Inputs'!$I$50,0)</x:f>
        <x:v>0</x:v>
      </x:c>
      <x:c r="S2333" s="78" t="n">
        <x:f>Q2333+G2333+R2333</x:f>
        <x:v>481275.8022143</x:v>
      </x:c>
      <x:c r="T2333" s="78" t="n">
        <x:f>P2333*(S2333*(1-'Inputs'!$B$15))/(O2333+S2333*(1-'Inputs'!$B$15))</x:f>
        <x:v>3.1288163821837034</x:v>
      </x:c>
      <x:c r="U2333" s="78" t="n">
        <x:f>O2333+S2333*(1-'Inputs'!$B$17)</x:f>
        <x:v>66680343.60561136</x:v>
      </x:c>
      <x:c r="V2333" s="78" t="n">
        <x:f>P2333-T2333</x:f>
        <x:v>434.72581977920277</x:v>
      </x:c>
      <x:c r="W2333" s="79" t="n">
        <x:f>IF(U2333&gt;0,V2333/U2333,0)</x:f>
        <x:v>0.0000065195497844228145</x:v>
      </x:c>
      <x:c r="X2333" s="80" t="n">
        <x:f>W2333*('Inputs'!$B$6-AC2333)</x:f>
        <x:v>6396.575017167813</x:v>
      </x:c>
      <x:c r="Y2333" s="80" t="n">
        <x:f>2*V2333</x:f>
        <x:v>869.4516395584055</x:v>
      </x:c>
      <x:c r="Z2333" s="80" t="n">
        <x:f>K2333*'Inputs'!$B$16+(G2333+R2333)*J2333*'Inputs'!$B$16</x:f>
        <x:v>5.273354634875759</x:v>
      </x:c>
      <x:c r="AA2333" s="80" t="n">
        <x:f>K2333*(1+'Inputs'!$E$50)/2*'Inputs'!$B$17</x:f>
        <x:v>1.7619904875709718</x:v>
      </x:c>
      <x:c r="AB2333" s="78" t="n">
        <x:f>(IF(J2333&gt;0,K2333*(1-'Inputs'!$E$50)/2/J2333,0)+G2333+R2333)*'Inputs'!$B$17</x:f>
        <x:v>268339.15625417116</x:v>
      </x:c>
      <x:c r="AC2333" s="78" t="n">
        <x:f>AC2332+AB2333</x:f>
        <x:v>18862463.102716874</x:v>
      </x:c>
      <x:c r="AD2333" s="80" t="n">
        <x:f>Z2333/(1+'Inputs'!$C$50)</x:f>
        <x:v>2.6366773174378797</x:v>
      </x:c>
      <x:c r="AE2333" s="80" t="n">
        <x:f>Z2333-AD2333</x:f>
        <x:v>2.6366773174378797</x:v>
      </x:c>
      <x:c r="AF2333" s="80" t="n">
        <x:f>D2333*W2333</x:f>
        <x:v>1.8626365356487486</x:v>
      </x:c>
      <x:c r="AG2333" s="80" t="n">
        <x:f>C2333*W2333</x:f>
        <x:v>4.346151916513715</x:v>
      </x:c>
      <x:c r="AH2333" s="80" t="n">
        <x:f>2*'Inputs'!$B$8*'Inputs'!$C$50</x:f>
        <x:v>5000</x:v>
      </x:c>
      <x:c r="AI2333" s="81" t="n">
        <x:f>IF(AH2333&gt;0,(AE2333+AF2333)/AH2333*365,0)</x:f>
        <x:v>0.32844991127532386</x:v>
      </x:c>
      <x:c r="AJ2333" s="81" t="n">
        <x:f>IF('Inputs'!$B$50&gt;0,AG2333/('Inputs'!$B$19*'Inputs'!$B$50)*365,0)</x:f>
        <x:v>0.15863454495275056</x:v>
      </x:c>
      <x:c r="AK2333" s="81" t="n">
        <x:f>W2333/MAX($W$2194:W2333)-1</x:f>
        <x:v>-0.9922642786727404</x:v>
      </x:c>
      <x:c r="AL2333" s="83" t="n">
        <x:f>'Inputs'!$B$50</x:f>
        <x:v>1</x:v>
      </x:c>
      <x:c r="AM2333" s="83" t="n">
        <x:f>'Inputs'!$C$50</x:f>
        <x:v>1</x:v>
      </x:c>
      <x:c r="AN2333" s="83" t="n">
        <x:f>'Inputs'!$D$50</x:f>
        <x:v>1</x:v>
      </x:c>
      <x:c r="AO2333" s="81" t="n">
        <x:f>'Inputs'!$E$50</x:f>
        <x:v>0</x:v>
      </x:c>
    </x:row>
    <x:row r="2334">
      <x:c r="A2334" s="59" t="str">
        <x:v>Whale exit</x:v>
      </x:c>
      <x:c r="B2334" s="59" t="n">
        <x:v>141</x:v>
      </x:c>
      <x:c r="C2334" s="78" t="n">
        <x:f>(('Inputs'!$B$29*(3*141*'Inputs'!$B$12-141^2)/(2*'Inputs'!$B$12^2))-('Inputs'!$B$29*(3*140*'Inputs'!$B$12-140^2)/(2*'Inputs'!$B$12^2)))*'Inputs'!$B$50</x:f>
        <x:v>666308.6413961351</x:v>
      </x:c>
      <x:c r="D2334" s="78" t="n">
        <x:f>IF('Inputs'!$C$50&gt;0,('Inputs'!$B$30*(3*141*'Inputs'!$B$12-141^2)/(2*'Inputs'!$B$12^2))-('Inputs'!$B$30*(3*140*'Inputs'!$B$12-140^2)/(2*'Inputs'!$B$12^2)),0)</x:f>
        <x:v>285560.8463126272</x:v>
      </x:c>
      <x:c r="E2334" s="78" t="n">
        <x:f>C2334+D2334</x:f>
        <x:v>951869.4877087623</x:v>
      </x:c>
      <x:c r="F2334" s="78" t="n">
        <x:f>'Inputs'!$B$13*E2334+(1-'Inputs'!$B$13)/'Inputs'!$B$14*SUM(E2279:E2334)</x:f>
        <x:v>962087.164571214</x:v>
      </x:c>
      <x:c r="G2334" s="78" t="n">
        <x:f>F2334*'Inputs'!$F$50</x:f>
        <x:v>481043.582285607</x:v>
      </x:c>
      <x:c r="H2334" s="78" t="n">
        <x:f>U2333</x:f>
        <x:v>66680343.60561136</x:v>
      </x:c>
      <x:c r="I2334" s="78" t="n">
        <x:f>V2333</x:f>
        <x:v>434.72581977920277</x:v>
      </x:c>
      <x:c r="J2334" s="79" t="n">
        <x:f>IF(H2334&gt;0,I2334/H2334,0)</x:f>
        <x:v>0.0000065195497844228145</x:v>
      </x:c>
      <x:c r="K2334" s="80" t="n">
        <x:f>(H2334*J2334+I2334)*'Inputs'!$D$50*(1+'Inputs'!$G$50)^(B2334/30)</x:f>
        <x:v>869.4516395584055</x:v>
      </x:c>
      <x:c r="L2334" s="80" t="n">
        <x:f>MAX(0,K2334*'Inputs'!$E$50)</x:f>
        <x:v>0</x:v>
      </x:c>
      <x:c r="M2334" s="80" t="n">
        <x:f>MAX(0,-K2334*'Inputs'!$E$50)</x:f>
        <x:v>0</x:v>
      </x:c>
      <x:c r="N2334" s="78" t="n">
        <x:f>H2334*(L2334*(1-'Inputs'!$B$15))/(I2334+L2334*(1-'Inputs'!$B$15))</x:f>
        <x:v>0</x:v>
      </x:c>
      <x:c r="O2334" s="78" t="n">
        <x:f>H2334-N2334</x:f>
        <x:v>66680343.60561136</x:v>
      </x:c>
      <x:c r="P2334" s="78" t="n">
        <x:f>I2334+L2334*(1-'Inputs'!$B$17)</x:f>
        <x:v>434.72581977920277</x:v>
      </x:c>
      <x:c r="Q2334" s="78" t="n">
        <x:f>IF(J2334&gt;0,M2334/J2334,0)</x:f>
        <x:v>0</x:v>
      </x:c>
      <x:c r="R2334" s="78" t="n">
        <x:f>IF(B2334='Inputs'!$H$50,'Inputs'!$B$27*'Inputs'!$I$50,0)</x:f>
        <x:v>0</x:v>
      </x:c>
      <x:c r="S2334" s="78" t="n">
        <x:f>Q2334+G2334+R2334</x:f>
        <x:v>481043.582285607</x:v>
      </x:c>
      <x:c r="T2334" s="78" t="n">
        <x:f>P2334*(S2334*(1-'Inputs'!$B$15))/(O2334+S2334*(1-'Inputs'!$B$15))</x:f>
        <x:v>3.0828081926563424</x:v>
      </x:c>
      <x:c r="U2334" s="78" t="n">
        <x:f>O2334+S2334*(1-'Inputs'!$B$17)</x:f>
        <x:v>67159451.39883344</x:v>
      </x:c>
      <x:c r="V2334" s="78" t="n">
        <x:f>P2334-T2334</x:f>
        <x:v>431.64301158654644</x:v>
      </x:c>
      <x:c r="W2334" s="79" t="n">
        <x:f>IF(U2334&gt;0,V2334/U2334,0)</x:f>
        <x:v>0.000006427137247193834</x:v>
      </x:c>
      <x:c r="X2334" s="80" t="n">
        <x:f>W2334*('Inputs'!$B$6-AC2334)</x:f>
        <x:v>6304.168563935406</x:v>
      </x:c>
      <x:c r="Y2334" s="80" t="n">
        <x:f>2*V2334</x:f>
        <x:v>863.2860231730929</x:v>
      </x:c>
      <x:c r="Z2334" s="80" t="n">
        <x:f>K2334*'Inputs'!$B$16+(G2334+R2334)*J2334*'Inputs'!$B$16</x:f>
        <x:v>5.235526962849562</x:v>
      </x:c>
      <x:c r="AA2334" s="80" t="n">
        <x:f>K2334*(1+'Inputs'!$E$50)/2*'Inputs'!$B$17</x:f>
        <x:v>1.7493996771798905</x:v>
      </x:c>
      <x:c r="AB2334" s="78" t="n">
        <x:f>(IF(J2334&gt;0,K2334*(1-'Inputs'!$E$50)/2/J2334,0)+G2334+R2334)*'Inputs'!$B$17</x:f>
        <x:v>270267.15166155726</x:v>
      </x:c>
      <x:c r="AC2334" s="78" t="n">
        <x:f>AC2333+AB2334</x:f>
        <x:v>19132730.25437843</x:v>
      </x:c>
      <x:c r="AD2334" s="80" t="n">
        <x:f>Z2334/(1+'Inputs'!$C$50)</x:f>
        <x:v>2.617763481424781</x:v>
      </x:c>
      <x:c r="AE2334" s="80" t="n">
        <x:f>Z2334-AD2334</x:f>
        <x:v>2.617763481424781</x:v>
      </x:c>
      <x:c r="AF2334" s="80" t="n">
        <x:f>D2334*W2334</x:f>
        <x:v>1.8353387516760804</x:v>
      </x:c>
      <x:c r="AG2334" s="80" t="n">
        <x:f>C2334*W2334</x:f>
        <x:v>4.282457087244219</x:v>
      </x:c>
      <x:c r="AH2334" s="80" t="n">
        <x:f>2*'Inputs'!$B$8*'Inputs'!$C$50</x:f>
        <x:v>5000</x:v>
      </x:c>
      <x:c r="AI2334" s="81" t="n">
        <x:f>IF(AH2334&gt;0,(AE2334+AF2334)/AH2334*365,0)</x:f>
        <x:v>0.3250764630163629</x:v>
      </x:c>
      <x:c r="AJ2334" s="81" t="n">
        <x:f>IF('Inputs'!$B$50&gt;0,AG2334/('Inputs'!$B$19*'Inputs'!$B$50)*365,0)</x:f>
        <x:v>0.15630968368441397</x:v>
      </x:c>
      <x:c r="AK2334" s="81" t="n">
        <x:f>W2334/MAX($W$2194:W2334)-1</x:f>
        <x:v>-0.9923739300534011</x:v>
      </x:c>
      <x:c r="AL2334" s="83" t="n">
        <x:f>'Inputs'!$B$50</x:f>
        <x:v>1</x:v>
      </x:c>
      <x:c r="AM2334" s="83" t="n">
        <x:f>'Inputs'!$C$50</x:f>
        <x:v>1</x:v>
      </x:c>
      <x:c r="AN2334" s="83" t="n">
        <x:f>'Inputs'!$D$50</x:f>
        <x:v>1</x:v>
      </x:c>
      <x:c r="AO2334" s="81" t="n">
        <x:f>'Inputs'!$E$50</x:f>
        <x:v>0</x:v>
      </x:c>
    </x:row>
    <x:row r="2335">
      <x:c r="A2335" s="59" t="str">
        <x:v>Whale exit</x:v>
      </x:c>
      <x:c r="B2335" s="59" t="n">
        <x:v>142</x:v>
      </x:c>
      <x:c r="C2335" s="78" t="n">
        <x:f>(('Inputs'!$B$29*(3*142*'Inputs'!$B$12-142^2)/(2*'Inputs'!$B$12^2))-('Inputs'!$B$29*(3*141*'Inputs'!$B$12-141^2)/(2*'Inputs'!$B$12^2)))*'Inputs'!$B$50</x:f>
        <x:v>665983.5334959626</x:v>
      </x:c>
      <x:c r="D2335" s="78" t="n">
        <x:f>IF('Inputs'!$C$50&gt;0,('Inputs'!$B$30*(3*142*'Inputs'!$B$12-142^2)/(2*'Inputs'!$B$12^2))-('Inputs'!$B$30*(3*141*'Inputs'!$B$12-141^2)/(2*'Inputs'!$B$12^2)),0)</x:f>
        <x:v>285421.5143554136</x:v>
      </x:c>
      <x:c r="E2335" s="78" t="n">
        <x:f>C2335+D2335</x:f>
        <x:v>951405.0478513762</x:v>
      </x:c>
      <x:c r="F2335" s="78" t="n">
        <x:f>'Inputs'!$B$13*E2335+(1-'Inputs'!$B$13)/'Inputs'!$B$14*SUM(E2280:E2335)</x:f>
        <x:v>961622.7247138293</x:v>
      </x:c>
      <x:c r="G2335" s="78" t="n">
        <x:f>F2335*'Inputs'!$F$50</x:f>
        <x:v>480811.3623569147</x:v>
      </x:c>
      <x:c r="H2335" s="78" t="n">
        <x:f>U2334</x:f>
        <x:v>67159451.39883344</x:v>
      </x:c>
      <x:c r="I2335" s="78" t="n">
        <x:f>V2334</x:f>
        <x:v>431.64301158654644</x:v>
      </x:c>
      <x:c r="J2335" s="79" t="n">
        <x:f>IF(H2335&gt;0,I2335/H2335,0)</x:f>
        <x:v>0.000006427137247193834</x:v>
      </x:c>
      <x:c r="K2335" s="80" t="n">
        <x:f>(H2335*J2335+I2335)*'Inputs'!$D$50*(1+'Inputs'!$G$50)^(B2335/30)</x:f>
        <x:v>863.2860231730929</x:v>
      </x:c>
      <x:c r="L2335" s="80" t="n">
        <x:f>MAX(0,K2335*'Inputs'!$E$50)</x:f>
        <x:v>0</x:v>
      </x:c>
      <x:c r="M2335" s="80" t="n">
        <x:f>MAX(0,-K2335*'Inputs'!$E$50)</x:f>
        <x:v>0</x:v>
      </x:c>
      <x:c r="N2335" s="78" t="n">
        <x:f>H2335*(L2335*(1-'Inputs'!$B$15))/(I2335+L2335*(1-'Inputs'!$B$15))</x:f>
        <x:v>0</x:v>
      </x:c>
      <x:c r="O2335" s="78" t="n">
        <x:f>H2335-N2335</x:f>
        <x:v>67159451.39883344</x:v>
      </x:c>
      <x:c r="P2335" s="78" t="n">
        <x:f>I2335+L2335*(1-'Inputs'!$B$17)</x:f>
        <x:v>431.64301158654644</x:v>
      </x:c>
      <x:c r="Q2335" s="78" t="n">
        <x:f>IF(J2335&gt;0,M2335/J2335,0)</x:f>
        <x:v>0</x:v>
      </x:c>
      <x:c r="R2335" s="78" t="n">
        <x:f>IF(B2335='Inputs'!$H$50,'Inputs'!$B$27*'Inputs'!$I$50,0)</x:f>
        <x:v>0</x:v>
      </x:c>
      <x:c r="S2335" s="78" t="n">
        <x:f>Q2335+G2335+R2335</x:f>
        <x:v>480811.3623569147</x:v>
      </x:c>
      <x:c r="T2335" s="78" t="n">
        <x:f>P2335*(S2335*(1-'Inputs'!$B$15))/(O2335+S2335*(1-'Inputs'!$B$15))</x:f>
        <x:v>3.037807269558036</x:v>
      </x:c>
      <x:c r="U2335" s="78" t="n">
        <x:f>O2335+S2335*(1-'Inputs'!$B$17)</x:f>
        <x:v>67638327.90661347</x:v>
      </x:c>
      <x:c r="V2335" s="78" t="n">
        <x:f>P2335-T2335</x:f>
        <x:v>428.6052043169884</x:v>
      </x:c>
      <x:c r="W2335" s="79" t="n">
        <x:f>IF(U2335&gt;0,V2335/U2335,0)</x:f>
        <x:v>0.000006336720873832848</x:v>
      </x:c>
      <x:c r="X2335" s="80" t="n">
        <x:f>W2335*('Inputs'!$B$6-AC2335)</x:f>
        <x:v>6213.757283884079</x:v>
      </x:c>
      <x:c r="Y2335" s="80" t="n">
        <x:f>2*V2335</x:f>
        <x:v>857.2104086339768</x:v>
      </x:c>
      <x:c r="Z2335" s="80" t="n">
        <x:f>K2335*'Inputs'!$B$16+(G2335+R2335)*J2335*'Inputs'!$B$16</x:f>
        <x:v>5.198257582733826</x:v>
      </x:c>
      <x:c r="AA2335" s="80" t="n">
        <x:f>K2335*(1+'Inputs'!$E$50)/2*'Inputs'!$B$17</x:f>
        <x:v>1.7369940104086377</x:v>
      </x:c>
      <x:c r="AB2335" s="78" t="n">
        <x:f>(IF(J2335&gt;0,K2335*(1-'Inputs'!$E$50)/2/J2335,0)+G2335+R2335)*'Inputs'!$B$17</x:f>
        <x:v>272194.21634281834</x:v>
      </x:c>
      <x:c r="AC2335" s="78" t="n">
        <x:f>AC2334+AB2335</x:f>
        <x:v>19404924.47072125</x:v>
      </x:c>
      <x:c r="AD2335" s="80" t="n">
        <x:f>Z2335/(1+'Inputs'!$C$50)</x:f>
        <x:v>2.599128791366913</x:v>
      </x:c>
      <x:c r="AE2335" s="80" t="n">
        <x:f>Z2335-AD2335</x:f>
        <x:v>2.599128791366913</x:v>
      </x:c>
      <x:c r="AF2335" s="80" t="n">
        <x:f>D2335*W2335</x:f>
        <x:v>1.8086364678569313</x:v>
      </x:c>
      <x:c r="AG2335" s="80" t="n">
        <x:f>C2335*W2335</x:f>
        <x:v>4.2201517583328245</x:v>
      </x:c>
      <x:c r="AH2335" s="80" t="n">
        <x:f>2*'Inputs'!$B$8*'Inputs'!$C$50</x:f>
        <x:v>5000</x:v>
      </x:c>
      <x:c r="AI2335" s="81" t="n">
        <x:f>IF(AH2335&gt;0,(AE2335+AF2335)/AH2335*365,0)</x:f>
        <x:v>0.32176686392334064</x:v>
      </x:c>
      <x:c r="AJ2335" s="81" t="n">
        <x:f>IF('Inputs'!$B$50&gt;0,AG2335/('Inputs'!$B$19*'Inputs'!$B$50)*365,0)</x:f>
        <x:v>0.15403553917914808</x:v>
      </x:c>
      <x:c r="AK2335" s="81" t="n">
        <x:f>W2335/MAX($W$2194:W2335)-1</x:f>
        <x:v>-0.992481212901277</x:v>
      </x:c>
      <x:c r="AL2335" s="83" t="n">
        <x:f>'Inputs'!$B$50</x:f>
        <x:v>1</x:v>
      </x:c>
      <x:c r="AM2335" s="83" t="n">
        <x:f>'Inputs'!$C$50</x:f>
        <x:v>1</x:v>
      </x:c>
      <x:c r="AN2335" s="83" t="n">
        <x:f>'Inputs'!$D$50</x:f>
        <x:v>1</x:v>
      </x:c>
      <x:c r="AO2335" s="81" t="n">
        <x:f>'Inputs'!$E$50</x:f>
        <x:v>0</x:v>
      </x:c>
    </x:row>
    <x:row r="2336">
      <x:c r="A2336" s="59" t="str">
        <x:v>Whale exit</x:v>
      </x:c>
      <x:c r="B2336" s="59" t="n">
        <x:v>143</x:v>
      </x:c>
      <x:c r="C2336" s="78" t="n">
        <x:f>(('Inputs'!$B$29*(3*143*'Inputs'!$B$12-143^2)/(2*'Inputs'!$B$12^2))-('Inputs'!$B$29*(3*142*'Inputs'!$B$12-142^2)/(2*'Inputs'!$B$12^2)))*'Inputs'!$B$50</x:f>
        <x:v>665658.4255957901</x:v>
      </x:c>
      <x:c r="D2336" s="78" t="n">
        <x:f>IF('Inputs'!$C$50&gt;0,('Inputs'!$B$30*(3*143*'Inputs'!$B$12-143^2)/(2*'Inputs'!$B$12^2))-('Inputs'!$B$30*(3*142*'Inputs'!$B$12-142^2)/(2*'Inputs'!$B$12^2)),0)</x:f>
        <x:v>285282.18239820004</x:v>
      </x:c>
      <x:c r="E2336" s="78" t="n">
        <x:f>C2336+D2336</x:f>
        <x:v>950940.6079939902</x:v>
      </x:c>
      <x:c r="F2336" s="78" t="n">
        <x:f>'Inputs'!$B$13*E2336+(1-'Inputs'!$B$13)/'Inputs'!$B$14*SUM(E2281:E2336)</x:f>
        <x:v>961158.2848564449</x:v>
      </x:c>
      <x:c r="G2336" s="78" t="n">
        <x:f>F2336*'Inputs'!$F$50</x:f>
        <x:v>480579.14242822246</x:v>
      </x:c>
      <x:c r="H2336" s="78" t="n">
        <x:f>U2335</x:f>
        <x:v>67638327.90661347</x:v>
      </x:c>
      <x:c r="I2336" s="78" t="n">
        <x:f>V2335</x:f>
        <x:v>428.6052043169884</x:v>
      </x:c>
      <x:c r="J2336" s="79" t="n">
        <x:f>IF(H2336&gt;0,I2336/H2336,0)</x:f>
        <x:v>0.000006336720873832848</x:v>
      </x:c>
      <x:c r="K2336" s="80" t="n">
        <x:f>(H2336*J2336+I2336)*'Inputs'!$D$50*(1+'Inputs'!$G$50)^(B2336/30)</x:f>
        <x:v>857.2104086339768</x:v>
      </x:c>
      <x:c r="L2336" s="80" t="n">
        <x:f>MAX(0,K2336*'Inputs'!$E$50)</x:f>
        <x:v>0</x:v>
      </x:c>
      <x:c r="M2336" s="80" t="n">
        <x:f>MAX(0,-K2336*'Inputs'!$E$50)</x:f>
        <x:v>0</x:v>
      </x:c>
      <x:c r="N2336" s="78" t="n">
        <x:f>H2336*(L2336*(1-'Inputs'!$B$15))/(I2336+L2336*(1-'Inputs'!$B$15))</x:f>
        <x:v>0</x:v>
      </x:c>
      <x:c r="O2336" s="78" t="n">
        <x:f>H2336-N2336</x:f>
        <x:v>67638327.90661347</x:v>
      </x:c>
      <x:c r="P2336" s="78" t="n">
        <x:f>I2336+L2336*(1-'Inputs'!$B$17)</x:f>
        <x:v>428.6052043169884</x:v>
      </x:c>
      <x:c r="Q2336" s="78" t="n">
        <x:f>IF(J2336&gt;0,M2336/J2336,0)</x:f>
        <x:v>0</x:v>
      </x:c>
      <x:c r="R2336" s="78" t="n">
        <x:f>IF(B2336='Inputs'!$H$50,'Inputs'!$B$27*'Inputs'!$I$50,0)</x:f>
        <x:v>0</x:v>
      </x:c>
      <x:c r="S2336" s="78" t="n">
        <x:f>Q2336+G2336+R2336</x:f>
        <x:v>480579.14242822246</x:v>
      </x:c>
      <x:c r="T2336" s="78" t="n">
        <x:f>P2336*(S2336*(1-'Inputs'!$B$15))/(O2336+S2336*(1-'Inputs'!$B$15))</x:f>
        <x:v>2.9937844080827114</x:v>
      </x:c>
      <x:c r="U2336" s="78" t="n">
        <x:f>O2336+S2336*(1-'Inputs'!$B$17)</x:f>
        <x:v>68116973.12895143</x:v>
      </x:c>
      <x:c r="V2336" s="78" t="n">
        <x:f>P2336-T2336</x:f>
        <x:v>425.6114199089057</x:v>
      </x:c>
      <x:c r="W2336" s="79" t="n">
        <x:f>IF(U2336&gt;0,V2336/U2336,0)</x:f>
        <x:v>0.000006248243284433467</x:v>
      </x:c>
      <x:c r="X2336" s="80" t="n">
        <x:f>W2336*('Inputs'!$B$6-AC2336)</x:f>
        <x:v>6125.283824786468</x:v>
      </x:c>
      <x:c r="Y2336" s="80" t="n">
        <x:f>2*V2336</x:f>
        <x:v>851.2228398178114</x:v>
      </x:c>
      <x:c r="Z2336" s="80" t="n">
        <x:f>K2336*'Inputs'!$B$16+(G2336+R2336)*J2336*'Inputs'!$B$16</x:f>
        <x:v>5.161534227103982</x:v>
      </x:c>
      <x:c r="AA2336" s="80" t="n">
        <x:f>K2336*(1+'Inputs'!$E$50)/2*'Inputs'!$B$17</x:f>
        <x:v>1.724769433871181</x:v>
      </x:c>
      <x:c r="AB2336" s="78" t="n">
        <x:f>(IF(J2336&gt;0,K2336*(1-'Inputs'!$E$50)/2/J2336,0)+G2336+R2336)*'Inputs'!$B$17</x:f>
        <x:v>274120.3502979545</x:v>
      </x:c>
      <x:c r="AC2336" s="78" t="n">
        <x:f>AC2335+AB2336</x:f>
        <x:v>19679044.821019202</x:v>
      </x:c>
      <x:c r="AD2336" s="80" t="n">
        <x:f>Z2336/(1+'Inputs'!$C$50)</x:f>
        <x:v>2.580767113551991</x:v>
      </x:c>
      <x:c r="AE2336" s="80" t="n">
        <x:f>Z2336-AD2336</x:f>
        <x:v>2.580767113551991</x:v>
      </x:c>
      <x:c r="AF2336" s="80" t="n">
        <x:f>D2336*W2336</x:f>
        <x:v>1.7825124803380767</x:v>
      </x:c>
      <x:c r="AG2336" s="80" t="n">
        <x:f>C2336*W2336</x:f>
        <x:v>4.159195787455451</x:v>
      </x:c>
      <x:c r="AH2336" s="80" t="n">
        <x:f>2*'Inputs'!$B$8*'Inputs'!$C$50</x:f>
        <x:v>5000</x:v>
      </x:c>
      <x:c r="AI2336" s="81" t="n">
        <x:f>IF(AH2336&gt;0,(AE2336+AF2336)/AH2336*365,0)</x:f>
        <x:v>0.31851941035397496</x:v>
      </x:c>
      <x:c r="AJ2336" s="81" t="n">
        <x:f>IF('Inputs'!$B$50&gt;0,AG2336/('Inputs'!$B$19*'Inputs'!$B$50)*365,0)</x:f>
        <x:v>0.15181064624212395</x:v>
      </x:c>
      <x:c r="AK2336" s="81" t="n">
        <x:f>W2336/MAX($W$2194:W2336)-1</x:f>
        <x:v>-0.992586195300052</x:v>
      </x:c>
      <x:c r="AL2336" s="83" t="n">
        <x:f>'Inputs'!$B$50</x:f>
        <x:v>1</x:v>
      </x:c>
      <x:c r="AM2336" s="83" t="n">
        <x:f>'Inputs'!$C$50</x:f>
        <x:v>1</x:v>
      </x:c>
      <x:c r="AN2336" s="83" t="n">
        <x:f>'Inputs'!$D$50</x:f>
        <x:v>1</x:v>
      </x:c>
      <x:c r="AO2336" s="81" t="n">
        <x:f>'Inputs'!$E$50</x:f>
        <x:v>0</x:v>
      </x:c>
    </x:row>
    <x:row r="2337">
      <x:c r="A2337" s="59" t="str">
        <x:v>Whale exit</x:v>
      </x:c>
      <x:c r="B2337" s="59" t="n">
        <x:v>144</x:v>
      </x:c>
      <x:c r="C2337" s="78" t="n">
        <x:f>(('Inputs'!$B$29*(3*144*'Inputs'!$B$12-144^2)/(2*'Inputs'!$B$12^2))-('Inputs'!$B$29*(3*143*'Inputs'!$B$12-143^2)/(2*'Inputs'!$B$12^2)))*'Inputs'!$B$50</x:f>
        <x:v>665333.3176956326</x:v>
      </x:c>
      <x:c r="D2337" s="78" t="n">
        <x:f>IF('Inputs'!$C$50&gt;0,('Inputs'!$B$30*(3*144*'Inputs'!$B$12-144^2)/(2*'Inputs'!$B$12^2))-('Inputs'!$B$30*(3*143*'Inputs'!$B$12-143^2)/(2*'Inputs'!$B$12^2)),0)</x:f>
        <x:v>285142.85044098645</x:v>
      </x:c>
      <x:c r="E2337" s="78" t="n">
        <x:f>C2337+D2337</x:f>
        <x:v>950476.168136619</x:v>
      </x:c>
      <x:c r="F2337" s="78" t="n">
        <x:f>'Inputs'!$B$13*E2337+(1-'Inputs'!$B$13)/'Inputs'!$B$14*SUM(E2282:E2337)</x:f>
        <x:v>960693.8449990635</x:v>
      </x:c>
      <x:c r="G2337" s="78" t="n">
        <x:f>F2337*'Inputs'!$F$50</x:f>
        <x:v>480346.92249953176</x:v>
      </x:c>
      <x:c r="H2337" s="78" t="n">
        <x:f>U2336</x:f>
        <x:v>68116973.12895143</x:v>
      </x:c>
      <x:c r="I2337" s="78" t="n">
        <x:f>V2336</x:f>
        <x:v>425.6114199089057</x:v>
      </x:c>
      <x:c r="J2337" s="79" t="n">
        <x:f>IF(H2337&gt;0,I2337/H2337,0)</x:f>
        <x:v>0.000006248243284433467</x:v>
      </x:c>
      <x:c r="K2337" s="80" t="n">
        <x:f>(H2337*J2337+I2337)*'Inputs'!$D$50*(1+'Inputs'!$G$50)^(B2337/30)</x:f>
        <x:v>851.2228398178114</x:v>
      </x:c>
      <x:c r="L2337" s="80" t="n">
        <x:f>MAX(0,K2337*'Inputs'!$E$50)</x:f>
        <x:v>0</x:v>
      </x:c>
      <x:c r="M2337" s="80" t="n">
        <x:f>MAX(0,-K2337*'Inputs'!$E$50)</x:f>
        <x:v>0</x:v>
      </x:c>
      <x:c r="N2337" s="78" t="n">
        <x:f>H2337*(L2337*(1-'Inputs'!$B$15))/(I2337+L2337*(1-'Inputs'!$B$15))</x:f>
        <x:v>0</x:v>
      </x:c>
      <x:c r="O2337" s="78" t="n">
        <x:f>H2337-N2337</x:f>
        <x:v>68116973.12895143</x:v>
      </x:c>
      <x:c r="P2337" s="78" t="n">
        <x:f>I2337+L2337*(1-'Inputs'!$B$17)</x:f>
        <x:v>425.6114199089057</x:v>
      </x:c>
      <x:c r="Q2337" s="78" t="n">
        <x:f>IF(J2337&gt;0,M2337/J2337,0)</x:f>
        <x:v>0</x:v>
      </x:c>
      <x:c r="R2337" s="78" t="n">
        <x:f>IF(B2337='Inputs'!$H$50,'Inputs'!$B$27*'Inputs'!$I$50,0)</x:f>
        <x:v>0</x:v>
      </x:c>
      <x:c r="S2337" s="78" t="n">
        <x:f>Q2337+G2337+R2337</x:f>
        <x:v>480346.92249953176</x:v>
      </x:c>
      <x:c r="T2337" s="78" t="n">
        <x:f>P2337*(S2337*(1-'Inputs'!$B$15))/(O2337+S2337*(1-'Inputs'!$B$15))</x:f>
        <x:v>2.950711454564212</x:v>
      </x:c>
      <x:c r="U2337" s="78" t="n">
        <x:f>O2337+S2337*(1-'Inputs'!$B$17)</x:f>
        <x:v>68595387.06584734</x:v>
      </x:c>
      <x:c r="V2337" s="78" t="n">
        <x:f>P2337-T2337</x:f>
        <x:v>422.6607084543415</x:v>
      </x:c>
      <x:c r="W2337" s="79" t="n">
        <x:f>IF(U2337&gt;0,V2337/U2337,0)</x:f>
        <x:v>0.000006161649150672673</x:v>
      </x:c>
      <x:c r="X2337" s="80" t="n">
        <x:f>W2337*('Inputs'!$B$6-AC2337)</x:f>
        <x:v>6038.692885014754</x:v>
      </x:c>
      <x:c r="Y2337" s="80" t="n">
        <x:f>2*V2337</x:f>
        <x:v>845.321416908683</x:v>
      </x:c>
      <x:c r="Z2337" s="80" t="n">
        <x:f>K2337*'Inputs'!$B$16+(G2337+R2337)*J2337*'Inputs'!$B$16</x:f>
        <x:v>5.125344985503104</x:v>
      </x:c>
      <x:c r="AA2337" s="80" t="n">
        <x:f>K2337*(1+'Inputs'!$E$50)/2*'Inputs'!$B$17</x:f>
        <x:v>1.7127220117058581</x:v>
      </x:c>
      <x:c r="AB2337" s="78" t="n">
        <x:f>(IF(J2337&gt;0,K2337*(1-'Inputs'!$E$50)/2/J2337,0)+G2337+R2337)*'Inputs'!$B$17</x:f>
        <x:v>276045.55352696567</x:v>
      </x:c>
      <x:c r="AC2337" s="78" t="n">
        <x:f>AC2336+AB2337</x:f>
        <x:v>19955090.374546167</x:v>
      </x:c>
      <x:c r="AD2337" s="80" t="n">
        <x:f>Z2337/(1+'Inputs'!$C$50)</x:f>
        <x:v>2.562672492751552</x:v>
      </x:c>
      <x:c r="AE2337" s="80" t="n">
        <x:f>Z2337-AD2337</x:f>
        <x:v>2.562672492751552</x:v>
      </x:c>
      <x:c r="AF2337" s="80" t="n">
        <x:f>D2337*W2337</x:f>
        <x:v>1.7569502022400894</x:v>
      </x:c>
      <x:c r="AG2337" s="80" t="n">
        <x:f>C2337*W2337</x:f>
        <x:v>4.099550471893526</x:v>
      </x:c>
      <x:c r="AH2337" s="80" t="n">
        <x:f>2*'Inputs'!$B$8*'Inputs'!$C$50</x:f>
        <x:v>5000</x:v>
      </x:c>
      <x:c r="AI2337" s="81" t="n">
        <x:f>IF(AH2337&gt;0,(AE2337+AF2337)/AH2337*365,0)</x:f>
        <x:v>0.31533245673438987</x:v>
      </x:c>
      <x:c r="AJ2337" s="81" t="n">
        <x:f>IF('Inputs'!$B$50&gt;0,AG2337/('Inputs'!$B$19*'Inputs'!$B$50)*365,0)</x:f>
        <x:v>0.14963359222411368</x:v>
      </x:c>
      <x:c r="AK2337" s="81" t="n">
        <x:f>W2337/MAX($W$2194:W2337)-1</x:f>
        <x:v>-0.9926889428991192</x:v>
      </x:c>
      <x:c r="AL2337" s="83" t="n">
        <x:f>'Inputs'!$B$50</x:f>
        <x:v>1</x:v>
      </x:c>
      <x:c r="AM2337" s="83" t="n">
        <x:f>'Inputs'!$C$50</x:f>
        <x:v>1</x:v>
      </x:c>
      <x:c r="AN2337" s="83" t="n">
        <x:f>'Inputs'!$D$50</x:f>
        <x:v>1</x:v>
      </x:c>
      <x:c r="AO2337" s="81" t="n">
        <x:f>'Inputs'!$E$50</x:f>
        <x:v>0</x:v>
      </x:c>
    </x:row>
    <x:row r="2338">
      <x:c r="A2338" s="59" t="str">
        <x:v>Whale exit</x:v>
      </x:c>
      <x:c r="B2338" s="59" t="n">
        <x:v>145</x:v>
      </x:c>
      <x:c r="C2338" s="78" t="n">
        <x:f>(('Inputs'!$B$29*(3*145*'Inputs'!$B$12-145^2)/(2*'Inputs'!$B$12^2))-('Inputs'!$B$29*(3*144*'Inputs'!$B$12-144^2)/(2*'Inputs'!$B$12^2)))*'Inputs'!$B$50</x:f>
        <x:v>665008.2097954601</x:v>
      </x:c>
      <x:c r="D2338" s="78" t="n">
        <x:f>IF('Inputs'!$C$50&gt;0,('Inputs'!$B$30*(3*145*'Inputs'!$B$12-145^2)/(2*'Inputs'!$B$12^2))-('Inputs'!$B$30*(3*144*'Inputs'!$B$12-144^2)/(2*'Inputs'!$B$12^2)),0)</x:f>
        <x:v>285003.5184837654</x:v>
      </x:c>
      <x:c r="E2338" s="78" t="n">
        <x:f>C2338+D2338</x:f>
        <x:v>950011.7282792255</x:v>
      </x:c>
      <x:c r="F2338" s="78" t="n">
        <x:f>'Inputs'!$B$13*E2338+(1-'Inputs'!$B$13)/'Inputs'!$B$14*SUM(E2283:E2338)</x:f>
        <x:v>960229.4051416776</x:v>
      </x:c>
      <x:c r="G2338" s="78" t="n">
        <x:f>F2338*'Inputs'!$F$50</x:f>
        <x:v>480114.7025708388</x:v>
      </x:c>
      <x:c r="H2338" s="78" t="n">
        <x:f>U2337</x:f>
        <x:v>68595387.06584734</x:v>
      </x:c>
      <x:c r="I2338" s="78" t="n">
        <x:f>V2337</x:f>
        <x:v>422.6607084543415</x:v>
      </x:c>
      <x:c r="J2338" s="79" t="n">
        <x:f>IF(H2338&gt;0,I2338/H2338,0)</x:f>
        <x:v>0.000006161649150672673</x:v>
      </x:c>
      <x:c r="K2338" s="80" t="n">
        <x:f>(H2338*J2338+I2338)*'Inputs'!$D$50*(1+'Inputs'!$G$50)^(B2338/30)</x:f>
        <x:v>845.321416908683</x:v>
      </x:c>
      <x:c r="L2338" s="80" t="n">
        <x:f>MAX(0,K2338*'Inputs'!$E$50)</x:f>
        <x:v>0</x:v>
      </x:c>
      <x:c r="M2338" s="80" t="n">
        <x:f>MAX(0,-K2338*'Inputs'!$E$50)</x:f>
        <x:v>0</x:v>
      </x:c>
      <x:c r="N2338" s="78" t="n">
        <x:f>H2338*(L2338*(1-'Inputs'!$B$15))/(I2338+L2338*(1-'Inputs'!$B$15))</x:f>
        <x:v>0</x:v>
      </x:c>
      <x:c r="O2338" s="78" t="n">
        <x:f>H2338-N2338</x:f>
        <x:v>68595387.06584734</x:v>
      </x:c>
      <x:c r="P2338" s="78" t="n">
        <x:f>I2338+L2338*(1-'Inputs'!$B$17)</x:f>
        <x:v>422.6607084543415</x:v>
      </x:c>
      <x:c r="Q2338" s="78" t="n">
        <x:f>IF(J2338&gt;0,M2338/J2338,0)</x:f>
        <x:v>0</x:v>
      </x:c>
      <x:c r="R2338" s="78" t="n">
        <x:f>IF(B2338='Inputs'!$H$50,'Inputs'!$B$27*'Inputs'!$I$50,0)</x:f>
        <x:v>0</x:v>
      </x:c>
      <x:c r="S2338" s="78" t="n">
        <x:f>Q2338+G2338+R2338</x:f>
        <x:v>480114.7025708388</x:v>
      </x:c>
      <x:c r="T2338" s="78" t="n">
        <x:f>P2338*(S2338*(1-'Inputs'!$B$15))/(O2338+S2338*(1-'Inputs'!$B$15))</x:f>
        <x:v>2.908561261393018</x:v>
      </x:c>
      <x:c r="U2338" s="78" t="n">
        <x:f>O2338+S2338*(1-'Inputs'!$B$17)</x:f>
        <x:v>69073569.71730119</x:v>
      </x:c>
      <x:c r="V2338" s="78" t="n">
        <x:f>P2338-T2338</x:f>
        <x:v>419.7521471929485</x:v>
      </x:c>
      <x:c r="W2338" s="79" t="n">
        <x:f>IF(U2338&gt;0,V2338/U2338,0)</x:f>
        <x:v>0.000006076885108310989</x:v>
      </x:c>
      <x:c r="X2338" s="80" t="n">
        <x:f>W2338*('Inputs'!$B$6-AC2338)</x:f>
        <x:v>5953.931126082549</x:v>
      </x:c>
      <x:c r="Y2338" s="80" t="n">
        <x:f>2*V2338</x:f>
        <x:v>839.504294385897</x:v>
      </x:c>
      <x:c r="Z2338" s="80" t="n">
        <x:f>K2338*'Inputs'!$B$16+(G2338+R2338)*J2338*'Inputs'!$B$16</x:f>
        <x:v>5.089678291548025</x:v>
      </x:c>
      <x:c r="AA2338" s="80" t="n">
        <x:f>K2338*(1+'Inputs'!$E$50)/2*'Inputs'!$B$17</x:f>
        <x:v>1.7008479213454388</x:v>
      </x:c>
      <x:c r="AB2338" s="78" t="n">
        <x:f>(IF(J2338&gt;0,K2338*(1-'Inputs'!$E$50)/2/J2338,0)+G2338+R2338)*'Inputs'!$B$17</x:f>
        <x:v>277969.82602985186</x:v>
      </x:c>
      <x:c r="AC2338" s="78" t="n">
        <x:f>AC2337+AB2338</x:f>
        <x:v>20233060.20057602</x:v>
      </x:c>
      <x:c r="AD2338" s="80" t="n">
        <x:f>Z2338/(1+'Inputs'!$C$50)</x:f>
        <x:v>2.5448391457740125</x:v>
      </x:c>
      <x:c r="AE2338" s="80" t="n">
        <x:f>Z2338-AD2338</x:f>
        <x:v>2.5448391457740125</x:v>
      </x:c>
      <x:c r="AF2338" s="80" t="n">
        <x:f>D2338*W2338</x:f>
        <x:v>1.7319336372902299</x:v>
      </x:c>
      <x:c r="AG2338" s="80" t="n">
        <x:f>C2338*W2338</x:f>
        <x:v>4.041178487010582</x:v>
      </x:c>
      <x:c r="AH2338" s="80" t="n">
        <x:f>2*'Inputs'!$B$8*'Inputs'!$C$50</x:f>
        <x:v>5000</x:v>
      </x:c>
      <x:c r="AI2338" s="81" t="n">
        <x:f>IF(AH2338&gt;0,(AE2338+AF2338)/AH2338*365,0)</x:f>
        <x:v>0.31220441316368963</x:v>
      </x:c>
      <x:c r="AJ2338" s="81" t="n">
        <x:f>IF('Inputs'!$B$50&gt;0,AG2338/('Inputs'!$B$19*'Inputs'!$B$50)*365,0)</x:f>
        <x:v>0.14750301477588623</x:v>
      </x:c>
      <x:c r="AK2338" s="81" t="n">
        <x:f>W2338/MAX($W$2194:W2338)-1</x:f>
        <x:v>-0.9927895190174041</x:v>
      </x:c>
      <x:c r="AL2338" s="83" t="n">
        <x:f>'Inputs'!$B$50</x:f>
        <x:v>1</x:v>
      </x:c>
      <x:c r="AM2338" s="83" t="n">
        <x:f>'Inputs'!$C$50</x:f>
        <x:v>1</x:v>
      </x:c>
      <x:c r="AN2338" s="83" t="n">
        <x:f>'Inputs'!$D$50</x:f>
        <x:v>1</x:v>
      </x:c>
      <x:c r="AO2338" s="81" t="n">
        <x:f>'Inputs'!$E$50</x:f>
        <x:v>0</x:v>
      </x:c>
    </x:row>
    <x:row r="2339">
      <x:c r="A2339" s="59" t="str">
        <x:v>Whale exit</x:v>
      </x:c>
      <x:c r="B2339" s="59" t="n">
        <x:v>146</x:v>
      </x:c>
      <x:c r="C2339" s="78" t="n">
        <x:f>(('Inputs'!$B$29*(3*146*'Inputs'!$B$12-146^2)/(2*'Inputs'!$B$12^2))-('Inputs'!$B$29*(3*145*'Inputs'!$B$12-145^2)/(2*'Inputs'!$B$12^2)))*'Inputs'!$B$50</x:f>
        <x:v>664683.1018952876</x:v>
      </x:c>
      <x:c r="D2339" s="78" t="n">
        <x:f>IF('Inputs'!$C$50&gt;0,('Inputs'!$B$30*(3*146*'Inputs'!$B$12-146^2)/(2*'Inputs'!$B$12^2))-('Inputs'!$B$30*(3*145*'Inputs'!$B$12-145^2)/(2*'Inputs'!$B$12^2)),0)</x:f>
        <x:v>284864.18652655184</x:v>
      </x:c>
      <x:c r="E2339" s="78" t="n">
        <x:f>C2339+D2339</x:f>
        <x:v>949547.2884218395</x:v>
      </x:c>
      <x:c r="F2339" s="78" t="n">
        <x:f>'Inputs'!$B$13*E2339+(1-'Inputs'!$B$13)/'Inputs'!$B$14*SUM(E2284:E2339)</x:f>
        <x:v>959764.9652842929</x:v>
      </x:c>
      <x:c r="G2339" s="78" t="n">
        <x:f>F2339*'Inputs'!$F$50</x:f>
        <x:v>479882.48264214647</x:v>
      </x:c>
      <x:c r="H2339" s="78" t="n">
        <x:f>U2338</x:f>
        <x:v>69073569.71730119</x:v>
      </x:c>
      <x:c r="I2339" s="78" t="n">
        <x:f>V2338</x:f>
        <x:v>419.7521471929485</x:v>
      </x:c>
      <x:c r="J2339" s="79" t="n">
        <x:f>IF(H2339&gt;0,I2339/H2339,0)</x:f>
        <x:v>0.000006076885108310989</x:v>
      </x:c>
      <x:c r="K2339" s="80" t="n">
        <x:f>(H2339*J2339+I2339)*'Inputs'!$D$50*(1+'Inputs'!$G$50)^(B2339/30)</x:f>
        <x:v>839.504294385897</x:v>
      </x:c>
      <x:c r="L2339" s="80" t="n">
        <x:f>MAX(0,K2339*'Inputs'!$E$50)</x:f>
        <x:v>0</x:v>
      </x:c>
      <x:c r="M2339" s="80" t="n">
        <x:f>MAX(0,-K2339*'Inputs'!$E$50)</x:f>
        <x:v>0</x:v>
      </x:c>
      <x:c r="N2339" s="78" t="n">
        <x:f>H2339*(L2339*(1-'Inputs'!$B$15))/(I2339+L2339*(1-'Inputs'!$B$15))</x:f>
        <x:v>0</x:v>
      </x:c>
      <x:c r="O2339" s="78" t="n">
        <x:f>H2339-N2339</x:f>
        <x:v>69073569.71730119</x:v>
      </x:c>
      <x:c r="P2339" s="78" t="n">
        <x:f>I2339+L2339*(1-'Inputs'!$B$17)</x:f>
        <x:v>419.7521471929485</x:v>
      </x:c>
      <x:c r="Q2339" s="78" t="n">
        <x:f>IF(J2339&gt;0,M2339/J2339,0)</x:f>
        <x:v>0</x:v>
      </x:c>
      <x:c r="R2339" s="78" t="n">
        <x:f>IF(B2339='Inputs'!$H$50,'Inputs'!$B$27*'Inputs'!$I$50,0)</x:f>
        <x:v>0</x:v>
      </x:c>
      <x:c r="S2339" s="78" t="n">
        <x:f>Q2339+G2339+R2339</x:f>
        <x:v>479882.48264214647</x:v>
      </x:c>
      <x:c r="T2339" s="78" t="n">
        <x:f>P2339*(S2339*(1-'Inputs'!$B$15))/(O2339+S2339*(1-'Inputs'!$B$15))</x:f>
        <x:v>2.8673076441732808</x:v>
      </x:c>
      <x:c r="U2339" s="78" t="n">
        <x:f>O2339+S2339*(1-'Inputs'!$B$17)</x:f>
        <x:v>69551521.08331299</x:v>
      </x:c>
      <x:c r="V2339" s="78" t="n">
        <x:f>P2339-T2339</x:f>
        <x:v>416.8848395487752</x:v>
      </x:c>
      <x:c r="W2339" s="79" t="n">
        <x:f>IF(U2339&gt;0,V2339/U2339,0)</x:f>
        <x:v>0.00000599389967401871</x:v>
      </x:c>
      <x:c r="X2339" s="80" t="n">
        <x:f>W2339*('Inputs'!$B$6-AC2339)</x:f>
        <x:v>5870.9470895108</x:v>
      </x:c>
      <x:c r="Y2339" s="80" t="n">
        <x:f>2*V2339</x:f>
        <x:v>833.7696790975504</x:v>
      </x:c>
      <x:c r="Z2339" s="80" t="n">
        <x:f>K2339*'Inputs'!$B$16+(G2339+R2339)*J2339*'Inputs'!$B$16</x:f>
        <x:v>5.054522910590426</x:v>
      </x:c>
      <x:c r="AA2339" s="80" t="n">
        <x:f>K2339*(1+'Inputs'!$E$50)/2*'Inputs'!$B$17</x:f>
        <x:v>1.6891434494686057</x:v>
      </x:c>
      <x:c r="AB2339" s="78" t="n">
        <x:f>(IF(J2339&gt;0,K2339*(1-'Inputs'!$E$50)/2/J2339,0)+G2339+R2339)*'Inputs'!$B$17</x:f>
        <x:v>279893.167806613</x:v>
      </x:c>
      <x:c r="AC2339" s="78" t="n">
        <x:f>AC2338+AB2339</x:f>
        <x:v>20512953.368382633</x:v>
      </x:c>
      <x:c r="AD2339" s="80" t="n">
        <x:f>Z2339/(1+'Inputs'!$C$50)</x:f>
        <x:v>2.527261455295213</x:v>
      </x:c>
      <x:c r="AE2339" s="80" t="n">
        <x:f>Z2339-AD2339</x:f>
        <x:v>2.527261455295213</x:v>
      </x:c>
      <x:c r="AF2339" s="80" t="n">
        <x:f>D2339*W2339</x:f>
        <x:v>1.707447354761104</x:v>
      </x:c>
      <x:c r="AG2339" s="80" t="n">
        <x:f>C2339*W2339</x:f>
        <x:v>3.9840438277759094</x:v>
      </x:c>
      <x:c r="AH2339" s="80" t="n">
        <x:f>2*'Inputs'!$B$8*'Inputs'!$C$50</x:f>
        <x:v>5000</x:v>
      </x:c>
      <x:c r="AI2339" s="81" t="n">
        <x:f>IF(AH2339&gt;0,(AE2339+AF2339)/AH2339*365,0)</x:f>
        <x:v>0.3091337431341111</x:v>
      </x:c>
      <x:c r="AJ2339" s="81" t="n">
        <x:f>IF('Inputs'!$B$50&gt;0,AG2339/('Inputs'!$B$19*'Inputs'!$B$50)*365,0)</x:f>
        <x:v>0.14541759971382068</x:v>
      </x:c>
      <x:c r="AK2339" s="81" t="n">
        <x:f>W2339/MAX($W$2194:W2339)-1</x:f>
        <x:v>-0.9928879847420529</x:v>
      </x:c>
      <x:c r="AL2339" s="83" t="n">
        <x:f>'Inputs'!$B$50</x:f>
        <x:v>1</x:v>
      </x:c>
      <x:c r="AM2339" s="83" t="n">
        <x:f>'Inputs'!$C$50</x:f>
        <x:v>1</x:v>
      </x:c>
      <x:c r="AN2339" s="83" t="n">
        <x:f>'Inputs'!$D$50</x:f>
        <x:v>1</x:v>
      </x:c>
      <x:c r="AO2339" s="81" t="n">
        <x:f>'Inputs'!$E$50</x:f>
        <x:v>0</x:v>
      </x:c>
    </x:row>
    <x:row r="2340">
      <x:c r="A2340" s="59" t="str">
        <x:v>Whale exit</x:v>
      </x:c>
      <x:c r="B2340" s="59" t="n">
        <x:v>147</x:v>
      </x:c>
      <x:c r="C2340" s="78" t="n">
        <x:f>(('Inputs'!$B$29*(3*147*'Inputs'!$B$12-147^2)/(2*'Inputs'!$B$12^2))-('Inputs'!$B$29*(3*146*'Inputs'!$B$12-146^2)/(2*'Inputs'!$B$12^2)))*'Inputs'!$B$50</x:f>
        <x:v>664357.9939951152</x:v>
      </x:c>
      <x:c r="D2340" s="78" t="n">
        <x:f>IF('Inputs'!$C$50&gt;0,('Inputs'!$B$30*(3*147*'Inputs'!$B$12-147^2)/(2*'Inputs'!$B$12^2))-('Inputs'!$B$30*(3*146*'Inputs'!$B$12-146^2)/(2*'Inputs'!$B$12^2)),0)</x:f>
        <x:v>284724.85456933826</x:v>
      </x:c>
      <x:c r="E2340" s="78" t="n">
        <x:f>C2340+D2340</x:f>
        <x:v>949082.8485644534</x:v>
      </x:c>
      <x:c r="F2340" s="78" t="n">
        <x:f>'Inputs'!$B$13*E2340+(1-'Inputs'!$B$13)/'Inputs'!$B$14*SUM(E2285:E2340)</x:f>
        <x:v>959300.5254269083</x:v>
      </x:c>
      <x:c r="G2340" s="78" t="n">
        <x:f>F2340*'Inputs'!$F$50</x:f>
        <x:v>479650.26271345414</x:v>
      </x:c>
      <x:c r="H2340" s="78" t="n">
        <x:f>U2339</x:f>
        <x:v>69551521.08331299</x:v>
      </x:c>
      <x:c r="I2340" s="78" t="n">
        <x:f>V2339</x:f>
        <x:v>416.8848395487752</x:v>
      </x:c>
      <x:c r="J2340" s="79" t="n">
        <x:f>IF(H2340&gt;0,I2340/H2340,0)</x:f>
        <x:v>0.00000599389967401871</x:v>
      </x:c>
      <x:c r="K2340" s="80" t="n">
        <x:f>(H2340*J2340+I2340)*'Inputs'!$D$50*(1+'Inputs'!$G$50)^(B2340/30)</x:f>
        <x:v>833.7696790975504</x:v>
      </x:c>
      <x:c r="L2340" s="80" t="n">
        <x:f>MAX(0,K2340*'Inputs'!$E$50)</x:f>
        <x:v>0</x:v>
      </x:c>
      <x:c r="M2340" s="80" t="n">
        <x:f>MAX(0,-K2340*'Inputs'!$E$50)</x:f>
        <x:v>0</x:v>
      </x:c>
      <x:c r="N2340" s="78" t="n">
        <x:f>H2340*(L2340*(1-'Inputs'!$B$15))/(I2340+L2340*(1-'Inputs'!$B$15))</x:f>
        <x:v>0</x:v>
      </x:c>
      <x:c r="O2340" s="78" t="n">
        <x:f>H2340-N2340</x:f>
        <x:v>69551521.08331299</x:v>
      </x:c>
      <x:c r="P2340" s="78" t="n">
        <x:f>I2340+L2340*(1-'Inputs'!$B$17)</x:f>
        <x:v>416.8848395487752</x:v>
      </x:c>
      <x:c r="Q2340" s="78" t="n">
        <x:f>IF(J2340&gt;0,M2340/J2340,0)</x:f>
        <x:v>0</x:v>
      </x:c>
      <x:c r="R2340" s="78" t="n">
        <x:f>IF(B2340='Inputs'!$H$50,'Inputs'!$B$27*'Inputs'!$I$50,0)</x:f>
        <x:v>0</x:v>
      </x:c>
      <x:c r="S2340" s="78" t="n">
        <x:f>Q2340+G2340+R2340</x:f>
        <x:v>479650.26271345414</x:v>
      </x:c>
      <x:c r="T2340" s="78" t="n">
        <x:f>P2340*(S2340*(1-'Inputs'!$B$15))/(O2340+S2340*(1-'Inputs'!$B$15))</x:f>
        <x:v>2.8269253409935384</x:v>
      </x:c>
      <x:c r="U2340" s="78" t="n">
        <x:f>O2340+S2340*(1-'Inputs'!$B$17)</x:f>
        <x:v>70029241.16388273</x:v>
      </x:c>
      <x:c r="V2340" s="78" t="n">
        <x:f>P2340-T2340</x:f>
        <x:v>414.05791420778166</x:v>
      </x:c>
      <x:c r="W2340" s="79" t="n">
        <x:f>IF(U2340&gt;0,V2340/U2340,0)</x:f>
        <x:v>0.000005912643166285374</x:v>
      </x:c>
      <x:c r="X2340" s="80" t="n">
        <x:f>W2340*('Inputs'!$B$6-AC2340)</x:f>
        <x:v>5789.691117774993</x:v>
      </x:c>
      <x:c r="Y2340" s="80" t="n">
        <x:f>2*V2340</x:f>
        <x:v>828.1158284155633</x:v>
      </x:c>
      <x:c r="Z2340" s="80" t="n">
        <x:f>K2340*'Inputs'!$B$16+(G2340+R2340)*J2340*'Inputs'!$B$16</x:f>
        <x:v>5.01986792790523</x:v>
      </x:c>
      <x:c r="AA2340" s="80" t="n">
        <x:f>K2340*(1+'Inputs'!$E$50)/2*'Inputs'!$B$17</x:f>
        <x:v>1.677604988123844</x:v>
      </x:c>
      <x:c r="AB2340" s="78" t="n">
        <x:f>(IF(J2340&gt;0,K2340*(1-'Inputs'!$E$50)/2/J2340,0)+G2340+R2340)*'Inputs'!$B$17</x:f>
        <x:v>281815.5788572493</x:v>
      </x:c>
      <x:c r="AC2340" s="78" t="n">
        <x:f>AC2339+AB2340</x:f>
        <x:v>20794768.947239883</x:v>
      </x:c>
      <x:c r="AD2340" s="80" t="n">
        <x:f>Z2340/(1+'Inputs'!$C$50)</x:f>
        <x:v>2.509933963952615</x:v>
      </x:c>
      <x:c r="AE2340" s="80" t="n">
        <x:f>Z2340-AD2340</x:f>
        <x:v>2.509933963952615</x:v>
      </x:c>
      <x:c r="AF2340" s="80" t="n">
        <x:f>D2340*W2340</x:f>
        <x:v>1.6834764656409948</x:v>
      </x:c>
      <x:c r="AG2340" s="80" t="n">
        <x:f>C2340*W2340</x:f>
        <x:v>3.9281117531622773</x:v>
      </x:c>
      <x:c r="AH2340" s="80" t="n">
        <x:f>2*'Inputs'!$B$8*'Inputs'!$C$50</x:f>
        <x:v>5000</x:v>
      </x:c>
      <x:c r="AI2340" s="81" t="n">
        <x:f>IF(AH2340&gt;0,(AE2340+AF2340)/AH2340*365,0)</x:f>
        <x:v>0.3061189613603335</x:v>
      </x:c>
      <x:c r="AJ2340" s="81" t="n">
        <x:f>IF('Inputs'!$B$50&gt;0,AG2340/('Inputs'!$B$19*'Inputs'!$B$50)*365,0)</x:f>
        <x:v>0.14337607899042312</x:v>
      </x:c>
      <x:c r="AK2340" s="81" t="n">
        <x:f>W2340/MAX($W$2194:W2340)-1</x:f>
        <x:v>-0.9929843990222771</x:v>
      </x:c>
      <x:c r="AL2340" s="83" t="n">
        <x:f>'Inputs'!$B$50</x:f>
        <x:v>1</x:v>
      </x:c>
      <x:c r="AM2340" s="83" t="n">
        <x:f>'Inputs'!$C$50</x:f>
        <x:v>1</x:v>
      </x:c>
      <x:c r="AN2340" s="83" t="n">
        <x:f>'Inputs'!$D$50</x:f>
        <x:v>1</x:v>
      </x:c>
      <x:c r="AO2340" s="81" t="n">
        <x:f>'Inputs'!$E$50</x:f>
        <x:v>0</x:v>
      </x:c>
    </x:row>
    <x:row r="2341">
      <x:c r="A2341" s="59" t="str">
        <x:v>Whale exit</x:v>
      </x:c>
      <x:c r="B2341" s="59" t="n">
        <x:v>148</x:v>
      </x:c>
      <x:c r="C2341" s="78" t="n">
        <x:f>(('Inputs'!$B$29*(3*148*'Inputs'!$B$12-148^2)/(2*'Inputs'!$B$12^2))-('Inputs'!$B$29*(3*147*'Inputs'!$B$12-147^2)/(2*'Inputs'!$B$12^2)))*'Inputs'!$B$50</x:f>
        <x:v>664032.8860949576</x:v>
      </x:c>
      <x:c r="D2341" s="78" t="n">
        <x:f>IF('Inputs'!$C$50&gt;0,('Inputs'!$B$30*(3*148*'Inputs'!$B$12-148^2)/(2*'Inputs'!$B$12^2))-('Inputs'!$B$30*(3*147*'Inputs'!$B$12-147^2)/(2*'Inputs'!$B$12^2)),0)</x:f>
        <x:v>284585.5226121247</x:v>
      </x:c>
      <x:c r="E2341" s="78" t="n">
        <x:f>C2341+D2341</x:f>
        <x:v>948618.4087070823</x:v>
      </x:c>
      <x:c r="F2341" s="78" t="n">
        <x:f>'Inputs'!$B$13*E2341+(1-'Inputs'!$B$13)/'Inputs'!$B$14*SUM(E2286:E2341)</x:f>
        <x:v>958836.0855695269</x:v>
      </x:c>
      <x:c r="G2341" s="78" t="n">
        <x:f>F2341*'Inputs'!$F$50</x:f>
        <x:v>479418.04278476344</x:v>
      </x:c>
      <x:c r="H2341" s="78" t="n">
        <x:f>U2340</x:f>
        <x:v>70029241.16388273</x:v>
      </x:c>
      <x:c r="I2341" s="78" t="n">
        <x:f>V2340</x:f>
        <x:v>414.05791420778166</x:v>
      </x:c>
      <x:c r="J2341" s="79" t="n">
        <x:f>IF(H2341&gt;0,I2341/H2341,0)</x:f>
        <x:v>0.000005912643166285374</x:v>
      </x:c>
      <x:c r="K2341" s="80" t="n">
        <x:f>(H2341*J2341+I2341)*'Inputs'!$D$50*(1+'Inputs'!$G$50)^(B2341/30)</x:f>
        <x:v>828.1158284155633</x:v>
      </x:c>
      <x:c r="L2341" s="80" t="n">
        <x:f>MAX(0,K2341*'Inputs'!$E$50)</x:f>
        <x:v>0</x:v>
      </x:c>
      <x:c r="M2341" s="80" t="n">
        <x:f>MAX(0,-K2341*'Inputs'!$E$50)</x:f>
        <x:v>0</x:v>
      </x:c>
      <x:c r="N2341" s="78" t="n">
        <x:f>H2341*(L2341*(1-'Inputs'!$B$15))/(I2341+L2341*(1-'Inputs'!$B$15))</x:f>
        <x:v>0</x:v>
      </x:c>
      <x:c r="O2341" s="78" t="n">
        <x:f>H2341-N2341</x:f>
        <x:v>70029241.16388273</x:v>
      </x:c>
      <x:c r="P2341" s="78" t="n">
        <x:f>I2341+L2341*(1-'Inputs'!$B$17)</x:f>
        <x:v>414.05791420778166</x:v>
      </x:c>
      <x:c r="Q2341" s="78" t="n">
        <x:f>IF(J2341&gt;0,M2341/J2341,0)</x:f>
        <x:v>0</x:v>
      </x:c>
      <x:c r="R2341" s="78" t="n">
        <x:f>IF(B2341='Inputs'!$H$50,'Inputs'!$B$27*'Inputs'!$I$50,0)</x:f>
        <x:v>0</x:v>
      </x:c>
      <x:c r="S2341" s="78" t="n">
        <x:f>Q2341+G2341+R2341</x:f>
        <x:v>479418.04278476344</x:v>
      </x:c>
      <x:c r="T2341" s="78" t="n">
        <x:f>P2341*(S2341*(1-'Inputs'!$B$15))/(O2341+S2341*(1-'Inputs'!$B$15))</x:f>
        <x:v>2.7873899736930117</x:v>
      </x:c>
      <x:c r="U2341" s="78" t="n">
        <x:f>O2341+S2341*(1-'Inputs'!$B$17)</x:f>
        <x:v>70506729.9590104</x:v>
      </x:c>
      <x:c r="V2341" s="78" t="n">
        <x:f>P2341-T2341</x:f>
        <x:v>411.27052423408867</x:v>
      </x:c>
      <x:c r="W2341" s="79" t="n">
        <x:f>IF(U2341&gt;0,V2341/U2341,0)</x:f>
        <x:v>0.00000583306763018486</x:v>
      </x:c>
      <x:c r="X2341" s="80" t="n">
        <x:f>W2341*('Inputs'!$B$6-AC2341)</x:f>
        <x:v>5710.115279106144</x:v>
      </x:c>
      <x:c r="Y2341" s="80" t="n">
        <x:f>2*V2341</x:f>
        <x:v>822.5410484681773</x:v>
      </x:c>
      <x:c r="Z2341" s="80" t="n">
        <x:f>K2341*'Inputs'!$B$16+(G2341+R2341)*J2341*'Inputs'!$B$16</x:f>
        <x:v>4.985702737380172</x:v>
      </x:c>
      <x:c r="AA2341" s="80" t="n">
        <x:f>K2341*(1+'Inputs'!$E$50)/2*'Inputs'!$B$17</x:f>
        <x:v>1.66622903101723</x:v>
      </x:c>
      <x:c r="AB2341" s="78" t="n">
        <x:f>(IF(J2341&gt;0,K2341*(1-'Inputs'!$E$50)/2/J2341,0)+G2341+R2341)*'Inputs'!$B$17</x:f>
        <x:v>283737.0591817606</x:v>
      </x:c>
      <x:c r="AC2341" s="78" t="n">
        <x:f>AC2340+AB2341</x:f>
        <x:v>21078506.006421644</x:v>
      </x:c>
      <x:c r="AD2341" s="80" t="n">
        <x:f>Z2341/(1+'Inputs'!$C$50)</x:f>
        <x:v>2.492851368690086</x:v>
      </x:c>
      <x:c r="AE2341" s="80" t="n">
        <x:f>Z2341-AD2341</x:f>
        <x:v>2.492851368690086</x:v>
      </x:c>
      <x:c r="AF2341" s="80" t="n">
        <x:f>D2341*W2341</x:f>
        <x:v>1.6600065999680258</x:v>
      </x:c>
      <x:c r="AG2341" s="80" t="n">
        <x:f>C2341*W2341</x:f>
        <x:v>3.873348733258727</x:v>
      </x:c>
      <x:c r="AH2341" s="80" t="n">
        <x:f>2*'Inputs'!$B$8*'Inputs'!$C$50</x:f>
        <x:v>5000</x:v>
      </x:c>
      <x:c r="AI2341" s="81" t="n">
        <x:f>IF(AH2341&gt;0,(AE2341+AF2341)/AH2341*365,0)</x:f>
        <x:v>0.30315863171204216</x:v>
      </x:c>
      <x:c r="AJ2341" s="81" t="n">
        <x:f>IF('Inputs'!$B$50&gt;0,AG2341/('Inputs'!$B$19*'Inputs'!$B$50)*365,0)</x:f>
        <x:v>0.14137722876394354</x:v>
      </x:c>
      <x:c r="AK2341" s="81" t="n">
        <x:f>W2341/MAX($W$2194:W2341)-1</x:f>
        <x:v>-0.9930788187586232</x:v>
      </x:c>
      <x:c r="AL2341" s="83" t="n">
        <x:f>'Inputs'!$B$50</x:f>
        <x:v>1</x:v>
      </x:c>
      <x:c r="AM2341" s="83" t="n">
        <x:f>'Inputs'!$C$50</x:f>
        <x:v>1</x:v>
      </x:c>
      <x:c r="AN2341" s="83" t="n">
        <x:f>'Inputs'!$D$50</x:f>
        <x:v>1</x:v>
      </x:c>
      <x:c r="AO2341" s="81" t="n">
        <x:f>'Inputs'!$E$50</x:f>
        <x:v>0</x:v>
      </x:c>
    </x:row>
    <x:row r="2342">
      <x:c r="A2342" s="59" t="str">
        <x:v>Whale exit</x:v>
      </x:c>
      <x:c r="B2342" s="59" t="n">
        <x:v>149</x:v>
      </x:c>
      <x:c r="C2342" s="78" t="n">
        <x:f>(('Inputs'!$B$29*(3*149*'Inputs'!$B$12-149^2)/(2*'Inputs'!$B$12^2))-('Inputs'!$B$29*(3*148*'Inputs'!$B$12-148^2)/(2*'Inputs'!$B$12^2)))*'Inputs'!$B$50</x:f>
        <x:v>663707.7781947851</x:v>
      </x:c>
      <x:c r="D2342" s="78" t="n">
        <x:f>IF('Inputs'!$C$50&gt;0,('Inputs'!$B$30*(3*149*'Inputs'!$B$12-149^2)/(2*'Inputs'!$B$12^2))-('Inputs'!$B$30*(3*148*'Inputs'!$B$12-148^2)/(2*'Inputs'!$B$12^2)),0)</x:f>
        <x:v>284446.19065490365</x:v>
      </x:c>
      <x:c r="E2342" s="78" t="n">
        <x:f>C2342+D2342</x:f>
        <x:v>948153.9688496888</x:v>
      </x:c>
      <x:c r="F2342" s="78" t="n">
        <x:f>'Inputs'!$B$13*E2342+(1-'Inputs'!$B$13)/'Inputs'!$B$14*SUM(E2287:E2342)</x:f>
        <x:v>958371.645712141</x:v>
      </x:c>
      <x:c r="G2342" s="78" t="n">
        <x:f>F2342*'Inputs'!$F$50</x:f>
        <x:v>479185.8228560705</x:v>
      </x:c>
      <x:c r="H2342" s="78" t="n">
        <x:f>U2341</x:f>
        <x:v>70506729.9590104</x:v>
      </x:c>
      <x:c r="I2342" s="78" t="n">
        <x:f>V2341</x:f>
        <x:v>411.27052423408867</x:v>
      </x:c>
      <x:c r="J2342" s="79" t="n">
        <x:f>IF(H2342&gt;0,I2342/H2342,0)</x:f>
        <x:v>0.00000583306763018486</x:v>
      </x:c>
      <x:c r="K2342" s="80" t="n">
        <x:f>(H2342*J2342+I2342)*'Inputs'!$D$50*(1+'Inputs'!$G$50)^(B2342/30)</x:f>
        <x:v>822.5410484681773</x:v>
      </x:c>
      <x:c r="L2342" s="80" t="n">
        <x:f>MAX(0,K2342*'Inputs'!$E$50)</x:f>
        <x:v>0</x:v>
      </x:c>
      <x:c r="M2342" s="80" t="n">
        <x:f>MAX(0,-K2342*'Inputs'!$E$50)</x:f>
        <x:v>0</x:v>
      </x:c>
      <x:c r="N2342" s="78" t="n">
        <x:f>H2342*(L2342*(1-'Inputs'!$B$15))/(I2342+L2342*(1-'Inputs'!$B$15))</x:f>
        <x:v>0</x:v>
      </x:c>
      <x:c r="O2342" s="78" t="n">
        <x:f>H2342-N2342</x:f>
        <x:v>70506729.9590104</x:v>
      </x:c>
      <x:c r="P2342" s="78" t="n">
        <x:f>I2342+L2342*(1-'Inputs'!$B$17)</x:f>
        <x:v>411.27052423408867</x:v>
      </x:c>
      <x:c r="Q2342" s="78" t="n">
        <x:f>IF(J2342&gt;0,M2342/J2342,0)</x:f>
        <x:v>0</x:v>
      </x:c>
      <x:c r="R2342" s="78" t="n">
        <x:f>IF(B2342='Inputs'!$H$50,'Inputs'!$B$27*'Inputs'!$I$50,0)</x:f>
        <x:v>0</x:v>
      </x:c>
      <x:c r="S2342" s="78" t="n">
        <x:f>Q2342+G2342+R2342</x:f>
        <x:v>479185.8228560705</x:v>
      </x:c>
      <x:c r="T2342" s="78" t="n">
        <x:f>P2342*(S2342*(1-'Inputs'!$B$15))/(O2342+S2342*(1-'Inputs'!$B$15))</x:f>
        <x:v>2.748678011012314</x:v>
      </x:c>
      <x:c r="U2342" s="78" t="n">
        <x:f>O2342+S2342*(1-'Inputs'!$B$17)</x:f>
        <x:v>70983987.46869603</x:v>
      </x:c>
      <x:c r="V2342" s="78" t="n">
        <x:f>P2342-T2342</x:f>
        <x:v>408.52184622307635</x:v>
      </x:c>
      <x:c r="W2342" s="79" t="n">
        <x:f>IF(U2342&gt;0,V2342/U2342,0)</x:f>
        <x:v>0.000005755126765782701</x:v>
      </x:c>
      <x:c r="X2342" s="80" t="n">
        <x:f>W2342*('Inputs'!$B$6-AC2342)</x:f>
        <x:v>5632.173295932293</x:v>
      </x:c>
      <x:c r="Y2342" s="80" t="n">
        <x:f>2*V2342</x:f>
        <x:v>817.0436924461527</x:v>
      </x:c>
      <x:c r="Z2342" s="80" t="n">
        <x:f>K2342*'Inputs'!$B$16+(G2342+R2342)*J2342*'Inputs'!$B$16</x:f>
        <x:v>4.952017030681936</x:v>
      </x:c>
      <x:c r="AA2342" s="80" t="n">
        <x:f>K2342*(1+'Inputs'!$E$50)/2*'Inputs'!$B$17</x:f>
        <x:v>1.6550121699560914</x:v>
      </x:c>
      <x:c r="AB2342" s="78" t="n">
        <x:f>(IF(J2342&gt;0,K2342*(1-'Inputs'!$E$50)/2/J2342,0)+G2342+R2342)*'Inputs'!$B$17</x:f>
        <x:v>285657.6087801468</x:v>
      </x:c>
      <x:c r="AC2342" s="78" t="n">
        <x:f>AC2341+AB2342</x:f>
        <x:v>21364163.61520179</x:v>
      </x:c>
      <x:c r="AD2342" s="80" t="n">
        <x:f>Z2342/(1+'Inputs'!$C$50)</x:f>
        <x:v>2.476008515340968</x:v>
      </x:c>
      <x:c r="AE2342" s="80" t="n">
        <x:f>Z2342-AD2342</x:f>
        <x:v>2.476008515340968</x:v>
      </x:c>
      <x:c r="AF2342" s="80" t="n">
        <x:f>D2342*W2342</x:f>
        <x:v>1.6370238852629653</x:v>
      </x:c>
      <x:c r="AG2342" s="80" t="n">
        <x:f>C2342*W2342</x:f>
        <x:v>3.8197223989469764</x:v>
      </x:c>
      <x:c r="AH2342" s="80" t="n">
        <x:f>2*'Inputs'!$B$8*'Inputs'!$C$50</x:f>
        <x:v>5000</x:v>
      </x:c>
      <x:c r="AI2342" s="81" t="n">
        <x:f>IF(AH2342&gt;0,(AE2342+AF2342)/AH2342*365,0)</x:f>
        <x:v>0.3002513652440871</x:v>
      </x:c>
      <x:c r="AJ2342" s="81" t="n">
        <x:f>IF('Inputs'!$B$50&gt;0,AG2342/('Inputs'!$B$19*'Inputs'!$B$50)*365,0)</x:f>
        <x:v>0.13941986756156463</x:v>
      </x:c>
      <x:c r="AK2342" s="81" t="n">
        <x:f>W2342/MAX($W$2194:W2342)-1</x:f>
        <x:v>-0.9931712988879201</x:v>
      </x:c>
      <x:c r="AL2342" s="83" t="n">
        <x:f>'Inputs'!$B$50</x:f>
        <x:v>1</x:v>
      </x:c>
      <x:c r="AM2342" s="83" t="n">
        <x:f>'Inputs'!$C$50</x:f>
        <x:v>1</x:v>
      </x:c>
      <x:c r="AN2342" s="83" t="n">
        <x:f>'Inputs'!$D$50</x:f>
        <x:v>1</x:v>
      </x:c>
      <x:c r="AO2342" s="81" t="n">
        <x:f>'Inputs'!$E$50</x:f>
        <x:v>0</x:v>
      </x:c>
    </x:row>
    <x:row r="2343">
      <x:c r="A2343" s="59" t="str">
        <x:v>Whale exit</x:v>
      </x:c>
      <x:c r="B2343" s="59" t="n">
        <x:v>150</x:v>
      </x:c>
      <x:c r="C2343" s="78" t="n">
        <x:f>(('Inputs'!$B$29*(3*150*'Inputs'!$B$12-150^2)/(2*'Inputs'!$B$12^2))-('Inputs'!$B$29*(3*149*'Inputs'!$B$12-149^2)/(2*'Inputs'!$B$12^2)))*'Inputs'!$B$50</x:f>
        <x:v>663382.6702946126</x:v>
      </x:c>
      <x:c r="D2343" s="78" t="n">
        <x:f>IF('Inputs'!$C$50&gt;0,('Inputs'!$B$30*(3*150*'Inputs'!$B$12-150^2)/(2*'Inputs'!$B$12^2))-('Inputs'!$B$30*(3*149*'Inputs'!$B$12-149^2)/(2*'Inputs'!$B$12^2)),0)</x:f>
        <x:v>284306.85869769007</x:v>
      </x:c>
      <x:c r="E2343" s="78" t="n">
        <x:f>C2343+D2343</x:f>
        <x:v>947689.5289923027</x:v>
      </x:c>
      <x:c r="F2343" s="78" t="n">
        <x:f>'Inputs'!$B$13*E2343+(1-'Inputs'!$B$13)/'Inputs'!$B$14*SUM(E2288:E2343)</x:f>
        <x:v>957907.2058547564</x:v>
      </x:c>
      <x:c r="G2343" s="78" t="n">
        <x:f>F2343*'Inputs'!$F$50</x:f>
        <x:v>478953.6029273782</x:v>
      </x:c>
      <x:c r="H2343" s="78" t="n">
        <x:f>U2342</x:f>
        <x:v>70983987.46869603</x:v>
      </x:c>
      <x:c r="I2343" s="78" t="n">
        <x:f>V2342</x:f>
        <x:v>408.52184622307635</x:v>
      </x:c>
      <x:c r="J2343" s="79" t="n">
        <x:f>IF(H2343&gt;0,I2343/H2343,0)</x:f>
        <x:v>0.000005755126765782701</x:v>
      </x:c>
      <x:c r="K2343" s="80" t="n">
        <x:f>(H2343*J2343+I2343)*'Inputs'!$D$50*(1+'Inputs'!$G$50)^(B2343/30)</x:f>
        <x:v>817.0436924461527</x:v>
      </x:c>
      <x:c r="L2343" s="80" t="n">
        <x:f>MAX(0,K2343*'Inputs'!$E$50)</x:f>
        <x:v>0</x:v>
      </x:c>
      <x:c r="M2343" s="80" t="n">
        <x:f>MAX(0,-K2343*'Inputs'!$E$50)</x:f>
        <x:v>0</x:v>
      </x:c>
      <x:c r="N2343" s="78" t="n">
        <x:f>H2343*(L2343*(1-'Inputs'!$B$15))/(I2343+L2343*(1-'Inputs'!$B$15))</x:f>
        <x:v>0</x:v>
      </x:c>
      <x:c r="O2343" s="78" t="n">
        <x:f>H2343-N2343</x:f>
        <x:v>70983987.46869603</x:v>
      </x:c>
      <x:c r="P2343" s="78" t="n">
        <x:f>I2343+L2343*(1-'Inputs'!$B$17)</x:f>
        <x:v>408.52184622307635</x:v>
      </x:c>
      <x:c r="Q2343" s="78" t="n">
        <x:f>IF(J2343&gt;0,M2343/J2343,0)</x:f>
        <x:v>0</x:v>
      </x:c>
      <x:c r="R2343" s="78" t="n">
        <x:f>IF(B2343='Inputs'!$H$50,'Inputs'!$B$27*'Inputs'!$I$50,0)</x:f>
        <x:v>0</x:v>
      </x:c>
      <x:c r="S2343" s="78" t="n">
        <x:f>Q2343+G2343+R2343</x:f>
        <x:v>478953.6029273782</x:v>
      </x:c>
      <x:c r="T2343" s="78" t="n">
        <x:f>P2343*(S2343*(1-'Inputs'!$B$15))/(O2343+S2343*(1-'Inputs'!$B$15))</x:f>
        <x:v>2.7107667335247054</x:v>
      </x:c>
      <x:c r="U2343" s="78" t="n">
        <x:f>O2343+S2343*(1-'Inputs'!$B$17)</x:f>
        <x:v>71461013.6929396</x:v>
      </x:c>
      <x:c r="V2343" s="78" t="n">
        <x:f>P2343-T2343</x:f>
        <x:v>405.8110794895517</x:v>
      </x:c>
      <x:c r="W2343" s="79" t="n">
        <x:f>IF(U2343&gt;0,V2343/U2343,0)</x:f>
        <x:v>0.000005678775859985403</x:v>
      </x:c>
      <x:c r="X2343" s="80" t="n">
        <x:f>W2343*('Inputs'!$B$6-AC2343)</x:f>
        <x:v>5555.820476760343</x:v>
      </x:c>
      <x:c r="Y2343" s="80" t="n">
        <x:f>2*V2343</x:f>
        <x:v>811.6221589791033</x:v>
      </x:c>
      <x:c r="Z2343" s="80" t="n">
        <x:f>K2343*'Inputs'!$B$16+(G2343+R2343)*J2343*'Inputs'!$B$16</x:f>
        <x:v>4.918800786875568</x:v>
      </x:c>
      <x:c r="AA2343" s="80" t="n">
        <x:f>K2343*(1+'Inputs'!$E$50)/2*'Inputs'!$B$17</x:f>
        <x:v>1.6439510914409512</x:v>
      </x:c>
      <x:c r="AB2343" s="78" t="n">
        <x:f>(IF(J2343&gt;0,K2343*(1-'Inputs'!$E$50)/2/J2343,0)+G2343+R2343)*'Inputs'!$B$17</x:f>
        <x:v>287577.22765240807</x:v>
      </x:c>
      <x:c r="AC2343" s="78" t="n">
        <x:f>AC2342+AB2343</x:f>
        <x:v>21651740.842854198</x:v>
      </x:c>
      <x:c r="AD2343" s="80" t="n">
        <x:f>Z2343/(1+'Inputs'!$C$50)</x:f>
        <x:v>2.459400393437784</x:v>
      </x:c>
      <x:c r="AE2343" s="80" t="n">
        <x:f>Z2343-AD2343</x:f>
        <x:v>2.459400393437784</x:v>
      </x:c>
      <x:c r="AF2343" s="80" t="n">
        <x:f>D2343*W2343</x:f>
        <x:v>1.6145149260007234</x:v>
      </x:c>
      <x:c r="AG2343" s="80" t="n">
        <x:f>C2343*W2343</x:f>
        <x:v>3.767201494001702</x:v>
      </x:c>
      <x:c r="AH2343" s="80" t="n">
        <x:f>2*'Inputs'!$B$8*'Inputs'!$C$50</x:f>
        <x:v>5000</x:v>
      </x:c>
      <x:c r="AI2343" s="81" t="n">
        <x:f>IF(AH2343&gt;0,(AE2343+AF2343)/AH2343*365,0)</x:f>
        <x:v>0.297395818319011</x:v>
      </x:c>
      <x:c r="AJ2343" s="81" t="n">
        <x:f>IF('Inputs'!$B$50&gt;0,AG2343/('Inputs'!$B$19*'Inputs'!$B$50)*365,0)</x:f>
        <x:v>0.13750285453106212</x:v>
      </x:c>
      <x:c r="AK2343" s="81" t="n">
        <x:f>W2343/MAX($W$2194:W2343)-1</x:f>
        <x:v>-0.9932618924641426</x:v>
      </x:c>
      <x:c r="AL2343" s="83" t="n">
        <x:f>'Inputs'!$B$50</x:f>
        <x:v>1</x:v>
      </x:c>
      <x:c r="AM2343" s="83" t="n">
        <x:f>'Inputs'!$C$50</x:f>
        <x:v>1</x:v>
      </x:c>
      <x:c r="AN2343" s="83" t="n">
        <x:f>'Inputs'!$D$50</x:f>
        <x:v>1</x:v>
      </x:c>
      <x:c r="AO2343" s="81" t="n">
        <x:f>'Inputs'!$E$50</x:f>
        <x:v>0</x:v>
      </x:c>
    </x:row>
    <x:row r="2344">
      <x:c r="A2344" s="59" t="str">
        <x:v>Whale exit</x:v>
      </x:c>
      <x:c r="B2344" s="59" t="n">
        <x:v>151</x:v>
      </x:c>
      <x:c r="C2344" s="78" t="n">
        <x:f>(('Inputs'!$B$29*(3*151*'Inputs'!$B$12-151^2)/(2*'Inputs'!$B$12^2))-('Inputs'!$B$29*(3*150*'Inputs'!$B$12-150^2)/(2*'Inputs'!$B$12^2)))*'Inputs'!$B$50</x:f>
        <x:v>663057.5623944402</x:v>
      </x:c>
      <x:c r="D2344" s="78" t="n">
        <x:f>IF('Inputs'!$C$50&gt;0,('Inputs'!$B$30*(3*151*'Inputs'!$B$12-151^2)/(2*'Inputs'!$B$12^2))-('Inputs'!$B$30*(3*150*'Inputs'!$B$12-150^2)/(2*'Inputs'!$B$12^2)),0)</x:f>
        <x:v>284167.5267404765</x:v>
      </x:c>
      <x:c r="E2344" s="78" t="n">
        <x:f>C2344+D2344</x:f>
        <x:v>947225.0891349167</x:v>
      </x:c>
      <x:c r="F2344" s="78" t="n">
        <x:f>'Inputs'!$B$13*E2344+(1-'Inputs'!$B$13)/'Inputs'!$B$14*SUM(E2289:E2344)</x:f>
        <x:v>957442.7659973718</x:v>
      </x:c>
      <x:c r="G2344" s="78" t="n">
        <x:f>F2344*'Inputs'!$F$50</x:f>
        <x:v>478721.3829986859</x:v>
      </x:c>
      <x:c r="H2344" s="78" t="n">
        <x:f>U2343</x:f>
        <x:v>71461013.6929396</x:v>
      </x:c>
      <x:c r="I2344" s="78" t="n">
        <x:f>V2343</x:f>
        <x:v>405.8110794895517</x:v>
      </x:c>
      <x:c r="J2344" s="79" t="n">
        <x:f>IF(H2344&gt;0,I2344/H2344,0)</x:f>
        <x:v>0.000005678775859985403</x:v>
      </x:c>
      <x:c r="K2344" s="80" t="n">
        <x:f>(H2344*J2344+I2344)*'Inputs'!$D$50*(1+'Inputs'!$G$50)^(B2344/30)</x:f>
        <x:v>811.6221589791033</x:v>
      </x:c>
      <x:c r="L2344" s="80" t="n">
        <x:f>MAX(0,K2344*'Inputs'!$E$50)</x:f>
        <x:v>0</x:v>
      </x:c>
      <x:c r="M2344" s="80" t="n">
        <x:f>MAX(0,-K2344*'Inputs'!$E$50)</x:f>
        <x:v>0</x:v>
      </x:c>
      <x:c r="N2344" s="78" t="n">
        <x:f>H2344*(L2344*(1-'Inputs'!$B$15))/(I2344+L2344*(1-'Inputs'!$B$15))</x:f>
        <x:v>0</x:v>
      </x:c>
      <x:c r="O2344" s="78" t="n">
        <x:f>H2344-N2344</x:f>
        <x:v>71461013.6929396</x:v>
      </x:c>
      <x:c r="P2344" s="78" t="n">
        <x:f>I2344+L2344*(1-'Inputs'!$B$17)</x:f>
        <x:v>405.8110794895517</x:v>
      </x:c>
      <x:c r="Q2344" s="78" t="n">
        <x:f>IF(J2344&gt;0,M2344/J2344,0)</x:f>
        <x:v>0</x:v>
      </x:c>
      <x:c r="R2344" s="78" t="n">
        <x:f>IF(B2344='Inputs'!$H$50,'Inputs'!$B$27*'Inputs'!$I$50,0)</x:f>
        <x:v>0</x:v>
      </x:c>
      <x:c r="S2344" s="78" t="n">
        <x:f>Q2344+G2344+R2344</x:f>
        <x:v>478721.3829986859</x:v>
      </x:c>
      <x:c r="T2344" s="78" t="n">
        <x:f>P2344*(S2344*(1-'Inputs'!$B$15))/(O2344+S2344*(1-'Inputs'!$B$15))</x:f>
        <x:v>2.6736342002500026</x:v>
      </x:c>
      <x:c r="U2344" s="78" t="n">
        <x:f>O2344+S2344*(1-'Inputs'!$B$17)</x:f>
        <x:v>71937808.6317411</x:v>
      </x:c>
      <x:c r="V2344" s="78" t="n">
        <x:f>P2344-T2344</x:f>
        <x:v>403.1374452893017</x:v>
      </x:c>
      <x:c r="W2344" s="79" t="n">
        <x:f>IF(U2344&gt;0,V2344/U2344,0)</x:f>
        <x:v>0.000005603971721643817</x:v>
      </x:c>
      <x:c r="X2344" s="80" t="n">
        <x:f>W2344*('Inputs'!$B$6-AC2344)</x:f>
        <x:v>5481.013651310436</x:v>
      </x:c>
      <x:c r="Y2344" s="80" t="n">
        <x:f>2*V2344</x:f>
        <x:v>806.2748905786034</x:v>
      </x:c>
      <x:c r="Z2344" s="80" t="n">
        <x:f>K2344*'Inputs'!$B$16+(G2344+R2344)*J2344*'Inputs'!$B$16</x:f>
        <x:v>4.8860442624752105</x:v>
      </x:c>
      <x:c r="AA2344" s="80" t="n">
        <x:f>K2344*(1+'Inputs'!$E$50)/2*'Inputs'!$B$17</x:f>
        <x:v>1.6330425733985985</x:v>
      </x:c>
      <x:c r="AB2344" s="78" t="n">
        <x:f>(IF(J2344&gt;0,K2344*(1-'Inputs'!$E$50)/2/J2344,0)+G2344+R2344)*'Inputs'!$B$17</x:f>
        <x:v>289495.9157985444</x:v>
      </x:c>
      <x:c r="AC2344" s="78" t="n">
        <x:f>AC2343+AB2344</x:f>
        <x:v>21941236.758652743</x:v>
      </x:c>
      <x:c r="AD2344" s="80" t="n">
        <x:f>Z2344/(1+'Inputs'!$C$50)</x:f>
        <x:v>2.4430221312376053</x:v>
      </x:c>
      <x:c r="AE2344" s="80" t="n">
        <x:f>Z2344-AD2344</x:f>
        <x:v>2.4430221312376053</x:v>
      </x:c>
      <x:c r="AF2344" s="80" t="n">
        <x:f>D2344*W2344</x:f>
        <x:v>1.5924667840630935</x:v>
      </x:c>
      <x:c r="AG2344" s="80" t="n">
        <x:f>C2344*W2344</x:f>
        <x:v>3.7157558294805235</x:v>
      </x:c>
      <x:c r="AH2344" s="80" t="n">
        <x:f>2*'Inputs'!$B$8*'Inputs'!$C$50</x:f>
        <x:v>5000</x:v>
      </x:c>
      <x:c r="AI2344" s="81" t="n">
        <x:f>IF(AH2344&gt;0,(AE2344+AF2344)/AH2344*365,0)</x:f>
        <x:v>0.29459069081695094</x:v>
      </x:c>
      <x:c r="AJ2344" s="81" t="n">
        <x:f>IF('Inputs'!$B$50&gt;0,AG2344/('Inputs'!$B$19*'Inputs'!$B$50)*365,0)</x:f>
        <x:v>0.13562508777603913</x:v>
      </x:c>
      <x:c r="AK2344" s="81" t="n">
        <x:f>W2344/MAX($W$2194:W2344)-1</x:f>
        <x:v>-0.9933506507354145</x:v>
      </x:c>
      <x:c r="AL2344" s="83" t="n">
        <x:f>'Inputs'!$B$50</x:f>
        <x:v>1</x:v>
      </x:c>
      <x:c r="AM2344" s="83" t="n">
        <x:f>'Inputs'!$C$50</x:f>
        <x:v>1</x:v>
      </x:c>
      <x:c r="AN2344" s="83" t="n">
        <x:f>'Inputs'!$D$50</x:f>
        <x:v>1</x:v>
      </x:c>
      <x:c r="AO2344" s="81" t="n">
        <x:f>'Inputs'!$E$50</x:f>
        <x:v>0</x:v>
      </x:c>
    </x:row>
    <x:row r="2345">
      <x:c r="A2345" s="59" t="str">
        <x:v>Whale exit</x:v>
      </x:c>
      <x:c r="B2345" s="59" t="n">
        <x:v>152</x:v>
      </x:c>
      <x:c r="C2345" s="78" t="n">
        <x:f>(('Inputs'!$B$29*(3*152*'Inputs'!$B$12-152^2)/(2*'Inputs'!$B$12^2))-('Inputs'!$B$29*(3*151*'Inputs'!$B$12-151^2)/(2*'Inputs'!$B$12^2)))*'Inputs'!$B$50</x:f>
        <x:v>662732.4544942826</x:v>
      </x:c>
      <x:c r="D2345" s="78" t="n">
        <x:f>IF('Inputs'!$C$50&gt;0,('Inputs'!$B$30*(3*152*'Inputs'!$B$12-152^2)/(2*'Inputs'!$B$12^2))-('Inputs'!$B$30*(3*151*'Inputs'!$B$12-151^2)/(2*'Inputs'!$B$12^2)),0)</x:f>
        <x:v>284028.1947832629</x:v>
      </x:c>
      <x:c r="E2345" s="78" t="n">
        <x:f>C2345+D2345</x:f>
        <x:v>946760.6492775455</x:v>
      </x:c>
      <x:c r="F2345" s="78" t="n">
        <x:f>'Inputs'!$B$13*E2345+(1-'Inputs'!$B$13)/'Inputs'!$B$14*SUM(E2290:E2345)</x:f>
        <x:v>956978.3261399904</x:v>
      </x:c>
      <x:c r="G2345" s="78" t="n">
        <x:f>F2345*'Inputs'!$F$50</x:f>
        <x:v>478489.1630699952</x:v>
      </x:c>
      <x:c r="H2345" s="78" t="n">
        <x:f>U2344</x:f>
        <x:v>71937808.6317411</x:v>
      </x:c>
      <x:c r="I2345" s="78" t="n">
        <x:f>V2344</x:f>
        <x:v>403.1374452893017</x:v>
      </x:c>
      <x:c r="J2345" s="79" t="n">
        <x:f>IF(H2345&gt;0,I2345/H2345,0)</x:f>
        <x:v>0.000005603971721643817</x:v>
      </x:c>
      <x:c r="K2345" s="80" t="n">
        <x:f>(H2345*J2345+I2345)*'Inputs'!$D$50*(1+'Inputs'!$G$50)^(B2345/30)</x:f>
        <x:v>806.2748905786034</x:v>
      </x:c>
      <x:c r="L2345" s="80" t="n">
        <x:f>MAX(0,K2345*'Inputs'!$E$50)</x:f>
        <x:v>0</x:v>
      </x:c>
      <x:c r="M2345" s="80" t="n">
        <x:f>MAX(0,-K2345*'Inputs'!$E$50)</x:f>
        <x:v>0</x:v>
      </x:c>
      <x:c r="N2345" s="78" t="n">
        <x:f>H2345*(L2345*(1-'Inputs'!$B$15))/(I2345+L2345*(1-'Inputs'!$B$15))</x:f>
        <x:v>0</x:v>
      </x:c>
      <x:c r="O2345" s="78" t="n">
        <x:f>H2345-N2345</x:f>
        <x:v>71937808.6317411</x:v>
      </x:c>
      <x:c r="P2345" s="78" t="n">
        <x:f>I2345+L2345*(1-'Inputs'!$B$17)</x:f>
        <x:v>403.1374452893017</x:v>
      </x:c>
      <x:c r="Q2345" s="78" t="n">
        <x:f>IF(J2345&gt;0,M2345/J2345,0)</x:f>
        <x:v>0</x:v>
      </x:c>
      <x:c r="R2345" s="78" t="n">
        <x:f>IF(B2345='Inputs'!$H$50,'Inputs'!$B$27*'Inputs'!$I$50,0)</x:f>
        <x:v>0</x:v>
      </x:c>
      <x:c r="S2345" s="78" t="n">
        <x:f>Q2345+G2345+R2345</x:f>
        <x:v>478489.1630699952</x:v>
      </x:c>
      <x:c r="T2345" s="78" t="n">
        <x:f>P2345*(S2345*(1-'Inputs'!$B$15))/(O2345+S2345*(1-'Inputs'!$B$15))</x:f>
        <x:v>2.637259216859697</x:v>
      </x:c>
      <x:c r="U2345" s="78" t="n">
        <x:f>O2345+S2345*(1-'Inputs'!$B$17)</x:f>
        <x:v>72414372.28510056</x:v>
      </x:c>
      <x:c r="V2345" s="78" t="n">
        <x:f>P2345-T2345</x:f>
        <x:v>400.500186072442</x:v>
      </x:c>
      <x:c r="W2345" s="79" t="n">
        <x:f>IF(U2345&gt;0,V2345/U2345,0)</x:f>
        <x:v>0.000005530672619734161</x:v>
      </x:c>
      <x:c r="X2345" s="80" t="n">
        <x:f>W2345*('Inputs'!$B$6-AC2345)</x:f>
        <x:v>5407.711108726489</x:v>
      </x:c>
      <x:c r="Y2345" s="80" t="n">
        <x:f>2*V2345</x:f>
        <x:v>801.000372144884</x:v>
      </x:c>
      <x:c r="Z2345" s="80" t="n">
        <x:f>K2345*'Inputs'!$B$16+(G2345+R2345)*J2345*'Inputs'!$B$16</x:f>
        <x:v>4.853737981905365</x:v>
      </x:c>
      <x:c r="AA2345" s="80" t="n">
        <x:f>K2345*(1+'Inputs'!$E$50)/2*'Inputs'!$B$17</x:f>
        <x:v>1.622283482049504</x:v>
      </x:c>
      <x:c r="AB2345" s="78" t="n">
        <x:f>(IF(J2345&gt;0,K2345*(1-'Inputs'!$E$50)/2/J2345,0)+G2345+R2345)*'Inputs'!$B$17</x:f>
        <x:v>291413.67321855575</x:v>
      </x:c>
      <x:c r="AC2345" s="78" t="n">
        <x:f>AC2344+AB2345</x:f>
        <x:v>22232650.4318713</x:v>
      </x:c>
      <x:c r="AD2345" s="80" t="n">
        <x:f>Z2345/(1+'Inputs'!$C$50)</x:f>
        <x:v>2.4268689909526824</x:v>
      </x:c>
      <x:c r="AE2345" s="80" t="n">
        <x:f>Z2345-AD2345</x:f>
        <x:v>2.4268689909526824</x:v>
      </x:c>
      <x:c r="AF2345" s="80" t="n">
        <x:f>D2345*W2345</x:f>
        <x:v>1.5708669601203131</x:v>
      </x:c>
      <x:c r="AG2345" s="80" t="n">
        <x:f>C2345*W2345</x:f>
        <x:v>3.6653562402807447</x:v>
      </x:c>
      <x:c r="AH2345" s="80" t="n">
        <x:f>2*'Inputs'!$B$8*'Inputs'!$C$50</x:f>
        <x:v>5000</x:v>
      </x:c>
      <x:c r="AI2345" s="81" t="n">
        <x:f>IF(AH2345&gt;0,(AE2345+AF2345)/AH2345*365,0)</x:f>
        <x:v>0.2918347244283287</x:v>
      </x:c>
      <x:c r="AJ2345" s="81" t="n">
        <x:f>IF('Inputs'!$B$50&gt;0,AG2345/('Inputs'!$B$19*'Inputs'!$B$50)*365,0)</x:f>
        <x:v>0.13378550277024717</x:v>
      </x:c>
      <x:c r="AK2345" s="81" t="n">
        <x:f>W2345/MAX($W$2194:W2345)-1</x:f>
        <x:v>-0.993437623217359</x:v>
      </x:c>
      <x:c r="AL2345" s="83" t="n">
        <x:f>'Inputs'!$B$50</x:f>
        <x:v>1</x:v>
      </x:c>
      <x:c r="AM2345" s="83" t="n">
        <x:f>'Inputs'!$C$50</x:f>
        <x:v>1</x:v>
      </x:c>
      <x:c r="AN2345" s="83" t="n">
        <x:f>'Inputs'!$D$50</x:f>
        <x:v>1</x:v>
      </x:c>
      <x:c r="AO2345" s="81" t="n">
        <x:f>'Inputs'!$E$50</x:f>
        <x:v>0</x:v>
      </x:c>
    </x:row>
    <x:row r="2346">
      <x:c r="A2346" s="59" t="str">
        <x:v>Whale exit</x:v>
      </x:c>
      <x:c r="B2346" s="59" t="n">
        <x:v>153</x:v>
      </x:c>
      <x:c r="C2346" s="78" t="n">
        <x:f>(('Inputs'!$B$29*(3*153*'Inputs'!$B$12-153^2)/(2*'Inputs'!$B$12^2))-('Inputs'!$B$29*(3*152*'Inputs'!$B$12-152^2)/(2*'Inputs'!$B$12^2)))*'Inputs'!$B$50</x:f>
        <x:v>662407.3465941101</x:v>
      </x:c>
      <x:c r="D2346" s="78" t="n">
        <x:f>IF('Inputs'!$C$50&gt;0,('Inputs'!$B$30*(3*153*'Inputs'!$B$12-153^2)/(2*'Inputs'!$B$12^2))-('Inputs'!$B$30*(3*152*'Inputs'!$B$12-152^2)/(2*'Inputs'!$B$12^2)),0)</x:f>
        <x:v>283888.8628260493</x:v>
      </x:c>
      <x:c r="E2346" s="78" t="n">
        <x:f>C2346+D2346</x:f>
        <x:v>946296.2094201595</x:v>
      </x:c>
      <x:c r="F2346" s="78" t="n">
        <x:f>'Inputs'!$B$13*E2346+(1-'Inputs'!$B$13)/'Inputs'!$B$14*SUM(E2291:E2346)</x:f>
        <x:v>956513.8862826059</x:v>
      </x:c>
      <x:c r="G2346" s="78" t="n">
        <x:f>F2346*'Inputs'!$F$50</x:f>
        <x:v>478256.94314130297</x:v>
      </x:c>
      <x:c r="H2346" s="78" t="n">
        <x:f>U2345</x:f>
        <x:v>72414372.28510056</x:v>
      </x:c>
      <x:c r="I2346" s="78" t="n">
        <x:f>V2345</x:f>
        <x:v>400.500186072442</x:v>
      </x:c>
      <x:c r="J2346" s="79" t="n">
        <x:f>IF(H2346&gt;0,I2346/H2346,0)</x:f>
        <x:v>0.000005530672619734161</x:v>
      </x:c>
      <x:c r="K2346" s="80" t="n">
        <x:f>(H2346*J2346+I2346)*'Inputs'!$D$50*(1+'Inputs'!$G$50)^(B2346/30)</x:f>
        <x:v>801.000372144884</x:v>
      </x:c>
      <x:c r="L2346" s="80" t="n">
        <x:f>MAX(0,K2346*'Inputs'!$E$50)</x:f>
        <x:v>0</x:v>
      </x:c>
      <x:c r="M2346" s="80" t="n">
        <x:f>MAX(0,-K2346*'Inputs'!$E$50)</x:f>
        <x:v>0</x:v>
      </x:c>
      <x:c r="N2346" s="78" t="n">
        <x:f>H2346*(L2346*(1-'Inputs'!$B$15))/(I2346+L2346*(1-'Inputs'!$B$15))</x:f>
        <x:v>0</x:v>
      </x:c>
      <x:c r="O2346" s="78" t="n">
        <x:f>H2346-N2346</x:f>
        <x:v>72414372.28510056</x:v>
      </x:c>
      <x:c r="P2346" s="78" t="n">
        <x:f>I2346+L2346*(1-'Inputs'!$B$17)</x:f>
        <x:v>400.500186072442</x:v>
      </x:c>
      <x:c r="Q2346" s="78" t="n">
        <x:f>IF(J2346&gt;0,M2346/J2346,0)</x:f>
        <x:v>0</x:v>
      </x:c>
      <x:c r="R2346" s="78" t="n">
        <x:f>IF(B2346='Inputs'!$H$50,'Inputs'!$B$27*'Inputs'!$I$50,0)</x:f>
        <x:v>0</x:v>
      </x:c>
      <x:c r="S2346" s="78" t="n">
        <x:f>Q2346+G2346+R2346</x:f>
        <x:v>478256.94314130297</x:v>
      </x:c>
      <x:c r="T2346" s="78" t="n">
        <x:f>P2346*(S2346*(1-'Inputs'!$B$15))/(O2346+S2346*(1-'Inputs'!$B$15))</x:f>
        <x:v>2.6016213053870265</x:v>
      </x:c>
      <x:c r="U2346" s="78" t="n">
        <x:f>O2346+S2346*(1-'Inputs'!$B$17)</x:f>
        <x:v>72890704.65301795</x:v>
      </x:c>
      <x:c r="V2346" s="78" t="n">
        <x:f>P2346-T2346</x:f>
        <x:v>397.89856476705495</x:v>
      </x:c>
      <x:c r="W2346" s="79" t="n">
        <x:f>IF(U2346&gt;0,V2346/U2346,0)</x:f>
        <x:v>0.0000054588382244508925</x:v>
      </x:c>
      <x:c r="X2346" s="80" t="n">
        <x:f>W2346*('Inputs'!$B$6-AC2346)</x:f>
        <x:v>5335.872538697219</x:v>
      </x:c>
      <x:c r="Y2346" s="80" t="n">
        <x:f>2*V2346</x:f>
        <x:v>795.7971295341099</x:v>
      </x:c>
      <x:c r="Z2346" s="80" t="n">
        <x:f>K2346*'Inputs'!$B$16+(G2346+R2346)*J2346*'Inputs'!$B$16</x:f>
        <x:v>4.82187272835308</x:v>
      </x:c>
      <x:c r="AA2346" s="80" t="n">
        <x:f>K2346*(1+'Inputs'!$E$50)/2*'Inputs'!$B$17</x:f>
        <x:v>1.611670768903187</x:v>
      </x:c>
      <x:c r="AB2346" s="78" t="n">
        <x:f>(IF(J2346&gt;0,K2346*(1-'Inputs'!$E$50)/2/J2346,0)+G2346+R2346)*'Inputs'!$B$17</x:f>
        <x:v>293330.4999124421</x:v>
      </x:c>
      <x:c r="AC2346" s="78" t="n">
        <x:f>AC2345+AB2346</x:f>
        <x:v>22525980.93178374</x:v>
      </x:c>
      <x:c r="AD2346" s="80" t="n">
        <x:f>Z2346/(1+'Inputs'!$C$50)</x:f>
        <x:v>2.41093636417654</x:v>
      </x:c>
      <x:c r="AE2346" s="80" t="n">
        <x:f>Z2346-AD2346</x:f>
        <x:v>2.41093636417654</x:v>
      </x:c>
      <x:c r="AF2346" s="80" t="n">
        <x:f>D2346*W2346</x:f>
        <x:v>1.5497033758907341</x:v>
      </x:c>
      <x:c r="AG2346" s="80" t="n">
        <x:f>C2346*W2346</x:f>
        <x:v>3.6159745437450193</x:v>
      </x:c>
      <x:c r="AH2346" s="80" t="n">
        <x:f>2*'Inputs'!$B$8*'Inputs'!$C$50</x:f>
        <x:v>5000</x:v>
      </x:c>
      <x:c r="AI2346" s="81" t="n">
        <x:f>IF(AH2346&gt;0,(AE2346+AF2346)/AH2346*365,0)</x:f>
        <x:v>0.289126701024911</x:v>
      </x:c>
      <x:c r="AJ2346" s="81" t="n">
        <x:f>IF('Inputs'!$B$50&gt;0,AG2346/('Inputs'!$B$19*'Inputs'!$B$50)*365,0)</x:f>
        <x:v>0.1319830708466932</x:v>
      </x:c>
      <x:c r="AK2346" s="81" t="n">
        <x:f>W2346/MAX($W$2194:W2346)-1</x:f>
        <x:v>-0.9935228577629945</x:v>
      </x:c>
      <x:c r="AL2346" s="83" t="n">
        <x:f>'Inputs'!$B$50</x:f>
        <x:v>1</x:v>
      </x:c>
      <x:c r="AM2346" s="83" t="n">
        <x:f>'Inputs'!$C$50</x:f>
        <x:v>1</x:v>
      </x:c>
      <x:c r="AN2346" s="83" t="n">
        <x:f>'Inputs'!$D$50</x:f>
        <x:v>1</x:v>
      </x:c>
      <x:c r="AO2346" s="81" t="n">
        <x:f>'Inputs'!$E$50</x:f>
        <x:v>0</x:v>
      </x:c>
    </x:row>
    <x:row r="2347">
      <x:c r="A2347" s="59" t="str">
        <x:v>Whale exit</x:v>
      </x:c>
      <x:c r="B2347" s="59" t="n">
        <x:v>154</x:v>
      </x:c>
      <x:c r="C2347" s="78" t="n">
        <x:f>(('Inputs'!$B$29*(3*154*'Inputs'!$B$12-154^2)/(2*'Inputs'!$B$12^2))-('Inputs'!$B$29*(3*153*'Inputs'!$B$12-153^2)/(2*'Inputs'!$B$12^2)))*'Inputs'!$B$50</x:f>
        <x:v>662082.2386939377</x:v>
      </x:c>
      <x:c r="D2347" s="78" t="n">
        <x:f>IF('Inputs'!$C$50&gt;0,('Inputs'!$B$30*(3*154*'Inputs'!$B$12-154^2)/(2*'Inputs'!$B$12^2))-('Inputs'!$B$30*(3*153*'Inputs'!$B$12-153^2)/(2*'Inputs'!$B$12^2)),0)</x:f>
        <x:v>283749.5308688283</x:v>
      </x:c>
      <x:c r="E2347" s="78" t="n">
        <x:f>C2347+D2347</x:f>
        <x:v>945831.769562766</x:v>
      </x:c>
      <x:c r="F2347" s="78" t="n">
        <x:f>'Inputs'!$B$13*E2347+(1-'Inputs'!$B$13)/'Inputs'!$B$14*SUM(E2292:E2347)</x:f>
        <x:v>956049.4464252198</x:v>
      </x:c>
      <x:c r="G2347" s="78" t="n">
        <x:f>F2347*'Inputs'!$F$50</x:f>
        <x:v>478024.7232126099</x:v>
      </x:c>
      <x:c r="H2347" s="78" t="n">
        <x:f>U2346</x:f>
        <x:v>72890704.65301795</x:v>
      </x:c>
      <x:c r="I2347" s="78" t="n">
        <x:f>V2346</x:f>
        <x:v>397.89856476705495</x:v>
      </x:c>
      <x:c r="J2347" s="79" t="n">
        <x:f>IF(H2347&gt;0,I2347/H2347,0)</x:f>
        <x:v>0.0000054588382244508925</x:v>
      </x:c>
      <x:c r="K2347" s="80" t="n">
        <x:f>(H2347*J2347+I2347)*'Inputs'!$D$50*(1+'Inputs'!$G$50)^(B2347/30)</x:f>
        <x:v>795.7971295341099</x:v>
      </x:c>
      <x:c r="L2347" s="80" t="n">
        <x:f>MAX(0,K2347*'Inputs'!$E$50)</x:f>
        <x:v>0</x:v>
      </x:c>
      <x:c r="M2347" s="80" t="n">
        <x:f>MAX(0,-K2347*'Inputs'!$E$50)</x:f>
        <x:v>0</x:v>
      </x:c>
      <x:c r="N2347" s="78" t="n">
        <x:f>H2347*(L2347*(1-'Inputs'!$B$15))/(I2347+L2347*(1-'Inputs'!$B$15))</x:f>
        <x:v>0</x:v>
      </x:c>
      <x:c r="O2347" s="78" t="n">
        <x:f>H2347-N2347</x:f>
        <x:v>72890704.65301795</x:v>
      </x:c>
      <x:c r="P2347" s="78" t="n">
        <x:f>I2347+L2347*(1-'Inputs'!$B$17)</x:f>
        <x:v>397.89856476705495</x:v>
      </x:c>
      <x:c r="Q2347" s="78" t="n">
        <x:f>IF(J2347&gt;0,M2347/J2347,0)</x:f>
        <x:v>0</x:v>
      </x:c>
      <x:c r="R2347" s="78" t="n">
        <x:f>IF(B2347='Inputs'!$H$50,'Inputs'!$B$27*'Inputs'!$I$50,0)</x:f>
        <x:v>0</x:v>
      </x:c>
      <x:c r="S2347" s="78" t="n">
        <x:f>Q2347+G2347+R2347</x:f>
        <x:v>478024.7232126099</x:v>
      </x:c>
      <x:c r="T2347" s="78" t="n">
        <x:f>P2347*(S2347*(1-'Inputs'!$B$15))/(O2347+S2347*(1-'Inputs'!$B$15))</x:f>
        <x:v>2.566700675361288</x:v>
      </x:c>
      <x:c r="U2347" s="78" t="n">
        <x:f>O2347+S2347*(1-'Inputs'!$B$17)</x:f>
        <x:v>73366805.73549329</x:v>
      </x:c>
      <x:c r="V2347" s="78" t="n">
        <x:f>P2347-T2347</x:f>
        <x:v>395.33186409169366</x:v>
      </x:c>
      <x:c r="W2347" s="79" t="n">
        <x:f>IF(U2347&gt;0,V2347/U2347,0)</x:f>
        <x:v>0.000005388429551055684</x:v>
      </x:c>
      <x:c r="X2347" s="80" t="n">
        <x:f>W2347*('Inputs'!$B$6-AC2347)</x:f>
        <x:v>5265.458975331941</x:v>
      </x:c>
      <x:c r="Y2347" s="80" t="n">
        <x:f>2*V2347</x:f>
        <x:v>790.6637281833873</x:v>
      </x:c>
      <x:c r="Z2347" s="80" t="n">
        <x:f>K2347*'Inputs'!$B$16+(G2347+R2347)*J2347*'Inputs'!$B$16</x:f>
        <x:v>4.790439534992493</x:v>
      </x:c>
      <x:c r="AA2347" s="80" t="n">
        <x:f>K2347*(1+'Inputs'!$E$50)/2*'Inputs'!$B$17</x:f>
        <x:v>1.6012014678754727</x:v>
      </x:c>
      <x:c r="AB2347" s="78" t="n">
        <x:f>(IF(J2347&gt;0,K2347*(1-'Inputs'!$E$50)/2/J2347,0)+G2347+R2347)*'Inputs'!$B$17</x:f>
        <x:v>295246.3958802035</x:v>
      </x:c>
      <x:c r="AC2347" s="78" t="n">
        <x:f>AC2346+AB2347</x:f>
        <x:v>22821227.327663943</x:v>
      </x:c>
      <x:c r="AD2347" s="80" t="n">
        <x:f>Z2347/(1+'Inputs'!$C$50)</x:f>
        <x:v>2.3952197674962465</x:v>
      </x:c>
      <x:c r="AE2347" s="80" t="n">
        <x:f>Z2347-AD2347</x:f>
        <x:v>2.3952197674962465</x:v>
      </x:c>
      <x:c r="AF2347" s="80" t="n">
        <x:f>D2347*W2347</x:f>
        <x:v>1.5289643572317815</x:v>
      </x:c>
      <x:c r="AG2347" s="80" t="n">
        <x:f>C2347*W2347</x:f>
        <x:v>3.5675835002075167</x:v>
      </x:c>
      <x:c r="AH2347" s="80" t="n">
        <x:f>2*'Inputs'!$B$8*'Inputs'!$C$50</x:f>
        <x:v>5000</x:v>
      </x:c>
      <x:c r="AI2347" s="81" t="n">
        <x:f>IF(AH2347&gt;0,(AE2347+AF2347)/AH2347*365,0)</x:f>
        <x:v>0.28646544110514605</x:v>
      </x:c>
      <x:c r="AJ2347" s="81" t="n">
        <x:f>IF('Inputs'!$B$50&gt;0,AG2347/('Inputs'!$B$19*'Inputs'!$B$50)*365,0)</x:f>
        <x:v>0.13021679775757436</x:v>
      </x:c>
      <x:c r="AK2347" s="81" t="n">
        <x:f>W2347/MAX($W$2194:W2347)-1</x:f>
        <x:v>-0.9936064006293607</x:v>
      </x:c>
      <x:c r="AL2347" s="83" t="n">
        <x:f>'Inputs'!$B$50</x:f>
        <x:v>1</x:v>
      </x:c>
      <x:c r="AM2347" s="83" t="n">
        <x:f>'Inputs'!$C$50</x:f>
        <x:v>1</x:v>
      </x:c>
      <x:c r="AN2347" s="83" t="n">
        <x:f>'Inputs'!$D$50</x:f>
        <x:v>1</x:v>
      </x:c>
      <x:c r="AO2347" s="81" t="n">
        <x:f>'Inputs'!$E$50</x:f>
        <x:v>0</x:v>
      </x:c>
    </x:row>
    <x:row r="2348">
      <x:c r="A2348" s="59" t="str">
        <x:v>Whale exit</x:v>
      </x:c>
      <x:c r="B2348" s="59" t="n">
        <x:v>155</x:v>
      </x:c>
      <x:c r="C2348" s="78" t="n">
        <x:f>(('Inputs'!$B$29*(3*155*'Inputs'!$B$12-155^2)/(2*'Inputs'!$B$12^2))-('Inputs'!$B$29*(3*154*'Inputs'!$B$12-154^2)/(2*'Inputs'!$B$12^2)))*'Inputs'!$B$50</x:f>
        <x:v>661757.1307937652</x:v>
      </x:c>
      <x:c r="D2348" s="78" t="n">
        <x:f>IF('Inputs'!$C$50&gt;0,('Inputs'!$B$30*(3*155*'Inputs'!$B$12-155^2)/(2*'Inputs'!$B$12^2))-('Inputs'!$B$30*(3*154*'Inputs'!$B$12-154^2)/(2*'Inputs'!$B$12^2)),0)</x:f>
        <x:v>283610.1989116147</x:v>
      </x:c>
      <x:c r="E2348" s="78" t="n">
        <x:f>C2348+D2348</x:f>
        <x:v>945367.3297053799</x:v>
      </x:c>
      <x:c r="F2348" s="78" t="n">
        <x:f>'Inputs'!$B$13*E2348+(1-'Inputs'!$B$13)/'Inputs'!$B$14*SUM(E2293:E2348)</x:f>
        <x:v>955585.0065678353</x:v>
      </x:c>
      <x:c r="G2348" s="78" t="n">
        <x:f>F2348*'Inputs'!$F$50</x:f>
        <x:v>477792.5032839177</x:v>
      </x:c>
      <x:c r="H2348" s="78" t="n">
        <x:f>U2347</x:f>
        <x:v>73366805.73549329</x:v>
      </x:c>
      <x:c r="I2348" s="78" t="n">
        <x:f>V2347</x:f>
        <x:v>395.33186409169366</x:v>
      </x:c>
      <x:c r="J2348" s="79" t="n">
        <x:f>IF(H2348&gt;0,I2348/H2348,0)</x:f>
        <x:v>0.000005388429551055684</x:v>
      </x:c>
      <x:c r="K2348" s="80" t="n">
        <x:f>(H2348*J2348+I2348)*'Inputs'!$D$50*(1+'Inputs'!$G$50)^(B2348/30)</x:f>
        <x:v>790.6637281833873</x:v>
      </x:c>
      <x:c r="L2348" s="80" t="n">
        <x:f>MAX(0,K2348*'Inputs'!$E$50)</x:f>
        <x:v>0</x:v>
      </x:c>
      <x:c r="M2348" s="80" t="n">
        <x:f>MAX(0,-K2348*'Inputs'!$E$50)</x:f>
        <x:v>0</x:v>
      </x:c>
      <x:c r="N2348" s="78" t="n">
        <x:f>H2348*(L2348*(1-'Inputs'!$B$15))/(I2348+L2348*(1-'Inputs'!$B$15))</x:f>
        <x:v>0</x:v>
      </x:c>
      <x:c r="O2348" s="78" t="n">
        <x:f>H2348-N2348</x:f>
        <x:v>73366805.73549329</x:v>
      </x:c>
      <x:c r="P2348" s="78" t="n">
        <x:f>I2348+L2348*(1-'Inputs'!$B$17)</x:f>
        <x:v>395.33186409169366</x:v>
      </x:c>
      <x:c r="Q2348" s="78" t="n">
        <x:f>IF(J2348&gt;0,M2348/J2348,0)</x:f>
        <x:v>0</x:v>
      </x:c>
      <x:c r="R2348" s="78" t="n">
        <x:f>IF(B2348='Inputs'!$H$50,'Inputs'!$B$27*'Inputs'!$I$50,0)</x:f>
        <x:v>0</x:v>
      </x:c>
      <x:c r="S2348" s="78" t="n">
        <x:f>Q2348+G2348+R2348</x:f>
        <x:v>477792.5032839177</x:v>
      </x:c>
      <x:c r="T2348" s="78" t="n">
        <x:f>P2348*(S2348*(1-'Inputs'!$B$15))/(O2348+S2348*(1-'Inputs'!$B$15))</x:f>
        <x:v>2.5324781962902185</x:v>
      </x:c>
      <x:c r="U2348" s="78" t="n">
        <x:f>O2348+S2348*(1-'Inputs'!$B$17)</x:f>
        <x:v>73842675.53252657</x:v>
      </x:c>
      <x:c r="V2348" s="78" t="n">
        <x:f>P2348-T2348</x:f>
        <x:v>392.7993858954034</x:v>
      </x:c>
      <x:c r="W2348" s="79" t="n">
        <x:f>IF(U2348&gt;0,V2348/U2348,0)</x:f>
        <x:v>0.000005319408906336029</x:v>
      </x:c>
      <x:c r="X2348" s="80" t="n">
        <x:f>W2348*('Inputs'!$B$6-AC2348)</x:f>
        <x:v>5196.432743644764</x:v>
      </x:c>
      <x:c r="Y2348" s="80" t="n">
        <x:f>2*V2348</x:f>
        <x:v>785.5987717908068</x:v>
      </x:c>
      <x:c r="Z2348" s="80" t="n">
        <x:f>K2348*'Inputs'!$B$16+(G2348+R2348)*J2348*'Inputs'!$B$16</x:f>
        <x:v>4.759429676564132</x:v>
      </x:c>
      <x:c r="AA2348" s="80" t="n">
        <x:f>K2348*(1+'Inputs'!$E$50)/2*'Inputs'!$B$17</x:f>
        <x:v>1.590872692521906</x:v>
      </x:c>
      <x:c r="AB2348" s="78" t="n">
        <x:f>(IF(J2348&gt;0,K2348*(1-'Inputs'!$E$50)/2/J2348,0)+G2348+R2348)*'Inputs'!$B$17</x:f>
        <x:v>297161.3611218399</x:v>
      </x:c>
      <x:c r="AC2348" s="78" t="n">
        <x:f>AC2347+AB2348</x:f>
        <x:v>23118388.688785784</x:v>
      </x:c>
      <x:c r="AD2348" s="80" t="n">
        <x:f>Z2348/(1+'Inputs'!$C$50)</x:f>
        <x:v>2.379714838282066</x:v>
      </x:c>
      <x:c r="AE2348" s="80" t="n">
        <x:f>Z2348-AD2348</x:f>
        <x:v>2.379714838282066</x:v>
      </x:c>
      <x:c r="AF2348" s="80" t="n">
        <x:f>D2348*W2348</x:f>
        <x:v>1.5086386180181761</x:v>
      </x:c>
      <x:c r="AG2348" s="80" t="n">
        <x:f>C2348*W2348</x:f>
        <x:v>3.5201567753757312</x:v>
      </x:c>
      <x:c r="AH2348" s="80" t="n">
        <x:f>2*'Inputs'!$B$8*'Inputs'!$C$50</x:f>
        <x:v>5000</x:v>
      </x:c>
      <x:c r="AI2348" s="81" t="n">
        <x:f>IF(AH2348&gt;0,(AE2348+AF2348)/AH2348*365,0)</x:f>
        <x:v>0.2838498023099177</x:v>
      </x:c>
      <x:c r="AJ2348" s="81" t="n">
        <x:f>IF('Inputs'!$B$50&gt;0,AG2348/('Inputs'!$B$19*'Inputs'!$B$50)*365,0)</x:f>
        <x:v>0.1284857223012142</x:v>
      </x:c>
      <x:c r="AK2348" s="81" t="n">
        <x:f>W2348/MAX($W$2194:W2348)-1</x:f>
        <x:v>-0.9936882965410468</x:v>
      </x:c>
      <x:c r="AL2348" s="83" t="n">
        <x:f>'Inputs'!$B$50</x:f>
        <x:v>1</x:v>
      </x:c>
      <x:c r="AM2348" s="83" t="n">
        <x:f>'Inputs'!$C$50</x:f>
        <x:v>1</x:v>
      </x:c>
      <x:c r="AN2348" s="83" t="n">
        <x:f>'Inputs'!$D$50</x:f>
        <x:v>1</x:v>
      </x:c>
      <x:c r="AO2348" s="81" t="n">
        <x:f>'Inputs'!$E$50</x:f>
        <x:v>0</x:v>
      </x:c>
    </x:row>
    <x:row r="2349">
      <x:c r="A2349" s="59" t="str">
        <x:v>Whale exit</x:v>
      </x:c>
      <x:c r="B2349" s="59" t="n">
        <x:v>156</x:v>
      </x:c>
      <x:c r="C2349" s="78" t="n">
        <x:f>(('Inputs'!$B$29*(3*156*'Inputs'!$B$12-156^2)/(2*'Inputs'!$B$12^2))-('Inputs'!$B$29*(3*155*'Inputs'!$B$12-155^2)/(2*'Inputs'!$B$12^2)))*'Inputs'!$B$50</x:f>
        <x:v>661432.0228936076</x:v>
      </x:c>
      <x:c r="D2349" s="78" t="n">
        <x:f>IF('Inputs'!$C$50&gt;0,('Inputs'!$B$30*(3*156*'Inputs'!$B$12-156^2)/(2*'Inputs'!$B$12^2))-('Inputs'!$B$30*(3*155*'Inputs'!$B$12-155^2)/(2*'Inputs'!$B$12^2)),0)</x:f>
        <x:v>283470.86695440114</x:v>
      </x:c>
      <x:c r="E2349" s="78" t="n">
        <x:f>C2349+D2349</x:f>
        <x:v>944902.8898480088</x:v>
      </x:c>
      <x:c r="F2349" s="78" t="n">
        <x:f>'Inputs'!$B$13*E2349+(1-'Inputs'!$B$13)/'Inputs'!$B$14*SUM(E2294:E2349)</x:f>
        <x:v>955120.5667104537</x:v>
      </x:c>
      <x:c r="G2349" s="78" t="n">
        <x:f>F2349*'Inputs'!$F$50</x:f>
        <x:v>477560.28335522686</x:v>
      </x:c>
      <x:c r="H2349" s="78" t="n">
        <x:f>U2348</x:f>
        <x:v>73842675.53252657</x:v>
      </x:c>
      <x:c r="I2349" s="78" t="n">
        <x:f>V2348</x:f>
        <x:v>392.7993858954034</x:v>
      </x:c>
      <x:c r="J2349" s="79" t="n">
        <x:f>IF(H2349&gt;0,I2349/H2349,0)</x:f>
        <x:v>0.000005319408906336029</x:v>
      </x:c>
      <x:c r="K2349" s="80" t="n">
        <x:f>(H2349*J2349+I2349)*'Inputs'!$D$50*(1+'Inputs'!$G$50)^(B2349/30)</x:f>
        <x:v>785.5987717908068</x:v>
      </x:c>
      <x:c r="L2349" s="80" t="n">
        <x:f>MAX(0,K2349*'Inputs'!$E$50)</x:f>
        <x:v>0</x:v>
      </x:c>
      <x:c r="M2349" s="80" t="n">
        <x:f>MAX(0,-K2349*'Inputs'!$E$50)</x:f>
        <x:v>0</x:v>
      </x:c>
      <x:c r="N2349" s="78" t="n">
        <x:f>H2349*(L2349*(1-'Inputs'!$B$15))/(I2349+L2349*(1-'Inputs'!$B$15))</x:f>
        <x:v>0</x:v>
      </x:c>
      <x:c r="O2349" s="78" t="n">
        <x:f>H2349-N2349</x:f>
        <x:v>73842675.53252657</x:v>
      </x:c>
      <x:c r="P2349" s="78" t="n">
        <x:f>I2349+L2349*(1-'Inputs'!$B$17)</x:f>
        <x:v>392.7993858954034</x:v>
      </x:c>
      <x:c r="Q2349" s="78" t="n">
        <x:f>IF(J2349&gt;0,M2349/J2349,0)</x:f>
        <x:v>0</x:v>
      </x:c>
      <x:c r="R2349" s="78" t="n">
        <x:f>IF(B2349='Inputs'!$H$50,'Inputs'!$B$27*'Inputs'!$I$50,0)</x:f>
        <x:v>0</x:v>
      </x:c>
      <x:c r="S2349" s="78" t="n">
        <x:f>Q2349+G2349+R2349</x:f>
        <x:v>477560.28335522686</x:v>
      </x:c>
      <x:c r="T2349" s="78" t="n">
        <x:f>P2349*(S2349*(1-'Inputs'!$B$15))/(O2349+S2349*(1-'Inputs'!$B$15))</x:f>
        <x:v>2.4989353714190083</x:v>
      </x:c>
      <x:c r="U2349" s="78" t="n">
        <x:f>O2349+S2349*(1-'Inputs'!$B$17)</x:f>
        <x:v>74318314.0441178</x:v>
      </x:c>
      <x:c r="V2349" s="78" t="n">
        <x:f>P2349-T2349</x:f>
        <x:v>390.3004505239844</x:v>
      </x:c>
      <x:c r="W2349" s="79" t="n">
        <x:f>IF(U2349&gt;0,V2349/U2349,0)</x:f>
        <x:v>0.0000052517398375357285</x:v>
      </x:c>
      <x:c r="X2349" s="80" t="n">
        <x:f>W2349*('Inputs'!$B$6-AC2349)</x:f>
        <x:v>5128.757408509501</x:v>
      </x:c>
      <x:c r="Y2349" s="80" t="n">
        <x:f>2*V2349</x:f>
        <x:v>780.6009010479688</x:v>
      </x:c>
      <x:c r="Z2349" s="80" t="n">
        <x:f>K2349*'Inputs'!$B$16+(G2349+R2349)*J2349*'Inputs'!$B$16</x:f>
        <x:v>4.728834661292394</x:v>
      </x:c>
      <x:c r="AA2349" s="80" t="n">
        <x:f>K2349*(1+'Inputs'!$E$50)/2*'Inputs'!$B$17</x:f>
        <x:v>1.5806816333819051</x:v>
      </x:c>
      <x:c r="AB2349" s="78" t="n">
        <x:f>(IF(J2349&gt;0,K2349*(1-'Inputs'!$E$50)/2/J2349,0)+G2349+R2349)*'Inputs'!$B$17</x:f>
        <x:v>299075.39563735126</x:v>
      </x:c>
      <x:c r="AC2349" s="78" t="n">
        <x:f>AC2348+AB2349</x:f>
        <x:v>23417464.084423136</x:v>
      </x:c>
      <x:c r="AD2349" s="80" t="n">
        <x:f>Z2349/(1+'Inputs'!$C$50)</x:f>
        <x:v>2.364417330646197</x:v>
      </x:c>
      <x:c r="AE2349" s="80" t="n">
        <x:f>Z2349-AD2349</x:f>
        <x:v>2.364417330646197</x:v>
      </x:c>
      <x:c r="AF2349" s="80" t="n">
        <x:f>D2349*W2349</x:f>
        <x:v>1.4887152447652188</x:v>
      </x:c>
      <x:c r="AG2349" s="80" t="n">
        <x:f>C2349*W2349</x:f>
        <x:v>3.473668904452203</x:v>
      </x:c>
      <x:c r="AH2349" s="80" t="n">
        <x:f>2*'Inputs'!$B$8*'Inputs'!$C$50</x:f>
        <x:v>5000</x:v>
      </x:c>
      <x:c r="AI2349" s="81" t="n">
        <x:f>IF(AH2349&gt;0,(AE2349+AF2349)/AH2349*365,0)</x:f>
        <x:v>0.28127867800503337</x:v>
      </x:c>
      <x:c r="AJ2349" s="81" t="n">
        <x:f>IF('Inputs'!$B$50&gt;0,AG2349/('Inputs'!$B$19*'Inputs'!$B$50)*365,0)</x:f>
        <x:v>0.1267889150125054</x:v>
      </x:c>
      <x:c r="AK2349" s="81" t="n">
        <x:f>W2349/MAX($W$2194:W2349)-1</x:f>
        <x:v>-0.9937685887507889</x:v>
      </x:c>
      <x:c r="AL2349" s="83" t="n">
        <x:f>'Inputs'!$B$50</x:f>
        <x:v>1</x:v>
      </x:c>
      <x:c r="AM2349" s="83" t="n">
        <x:f>'Inputs'!$C$50</x:f>
        <x:v>1</x:v>
      </x:c>
      <x:c r="AN2349" s="83" t="n">
        <x:f>'Inputs'!$D$50</x:f>
        <x:v>1</x:v>
      </x:c>
      <x:c r="AO2349" s="81" t="n">
        <x:f>'Inputs'!$E$50</x:f>
        <x:v>0</x:v>
      </x:c>
    </x:row>
    <x:row r="2350">
      <x:c r="A2350" s="59" t="str">
        <x:v>Whale exit</x:v>
      </x:c>
      <x:c r="B2350" s="59" t="n">
        <x:v>157</x:v>
      </x:c>
      <x:c r="C2350" s="78" t="n">
        <x:f>(('Inputs'!$B$29*(3*157*'Inputs'!$B$12-157^2)/(2*'Inputs'!$B$12^2))-('Inputs'!$B$29*(3*156*'Inputs'!$B$12-156^2)/(2*'Inputs'!$B$12^2)))*'Inputs'!$B$50</x:f>
        <x:v>661106.9149934351</x:v>
      </x:c>
      <x:c r="D2350" s="78" t="n">
        <x:f>IF('Inputs'!$C$50&gt;0,('Inputs'!$B$30*(3*157*'Inputs'!$B$12-157^2)/(2*'Inputs'!$B$12^2))-('Inputs'!$B$30*(3*156*'Inputs'!$B$12-156^2)/(2*'Inputs'!$B$12^2)),0)</x:f>
        <x:v>283331.53499718755</x:v>
      </x:c>
      <x:c r="E2350" s="78" t="n">
        <x:f>C2350+D2350</x:f>
        <x:v>944438.4499906227</x:v>
      </x:c>
      <x:c r="F2350" s="78" t="n">
        <x:f>'Inputs'!$B$13*E2350+(1-'Inputs'!$B$13)/'Inputs'!$B$14*SUM(E2295:E2350)</x:f>
        <x:v>954656.1268530695</x:v>
      </x:c>
      <x:c r="G2350" s="78" t="n">
        <x:f>F2350*'Inputs'!$F$50</x:f>
        <x:v>477328.06342653476</x:v>
      </x:c>
      <x:c r="H2350" s="78" t="n">
        <x:f>U2349</x:f>
        <x:v>74318314.0441178</x:v>
      </x:c>
      <x:c r="I2350" s="78" t="n">
        <x:f>V2349</x:f>
        <x:v>390.3004505239844</x:v>
      </x:c>
      <x:c r="J2350" s="79" t="n">
        <x:f>IF(H2350&gt;0,I2350/H2350,0)</x:f>
        <x:v>0.0000052517398375357285</x:v>
      </x:c>
      <x:c r="K2350" s="80" t="n">
        <x:f>(H2350*J2350+I2350)*'Inputs'!$D$50*(1+'Inputs'!$G$50)^(B2350/30)</x:f>
        <x:v>780.6009010479688</x:v>
      </x:c>
      <x:c r="L2350" s="80" t="n">
        <x:f>MAX(0,K2350*'Inputs'!$E$50)</x:f>
        <x:v>0</x:v>
      </x:c>
      <x:c r="M2350" s="80" t="n">
        <x:f>MAX(0,-K2350*'Inputs'!$E$50)</x:f>
        <x:v>0</x:v>
      </x:c>
      <x:c r="N2350" s="78" t="n">
        <x:f>H2350*(L2350*(1-'Inputs'!$B$15))/(I2350+L2350*(1-'Inputs'!$B$15))</x:f>
        <x:v>0</x:v>
      </x:c>
      <x:c r="O2350" s="78" t="n">
        <x:f>H2350-N2350</x:f>
        <x:v>74318314.0441178</x:v>
      </x:c>
      <x:c r="P2350" s="78" t="n">
        <x:f>I2350+L2350*(1-'Inputs'!$B$17)</x:f>
        <x:v>390.3004505239844</x:v>
      </x:c>
      <x:c r="Q2350" s="78" t="n">
        <x:f>IF(J2350&gt;0,M2350/J2350,0)</x:f>
        <x:v>0</x:v>
      </x:c>
      <x:c r="R2350" s="78" t="n">
        <x:f>IF(B2350='Inputs'!$H$50,'Inputs'!$B$27*'Inputs'!$I$50,0)</x:f>
        <x:v>0</x:v>
      </x:c>
      <x:c r="S2350" s="78" t="n">
        <x:f>Q2350+G2350+R2350</x:f>
        <x:v>477328.06342653476</x:v>
      </x:c>
      <x:c r="T2350" s="78" t="n">
        <x:f>P2350*(S2350*(1-'Inputs'!$B$15))/(O2350+S2350*(1-'Inputs'!$B$15))</x:f>
        <x:v>2.466054312698727</x:v>
      </x:c>
      <x:c r="U2350" s="78" t="n">
        <x:f>O2350+S2350*(1-'Inputs'!$B$17)</x:f>
        <x:v>74793721.27026697</x:v>
      </x:c>
      <x:c r="V2350" s="78" t="n">
        <x:f>P2350-T2350</x:f>
        <x:v>387.8343962112857</x:v>
      </x:c>
      <x:c r="W2350" s="79" t="n">
        <x:f>IF(U2350&gt;0,V2350/U2350,0)</x:f>
        <x:v>0.000005185387083627607</x:v>
      </x:c>
      <x:c r="X2350" s="80" t="n">
        <x:f>W2350*('Inputs'!$B$6-AC2350)</x:f>
        <x:v>5062.397725955678</x:v>
      </x:c>
      <x:c r="Y2350" s="80" t="n">
        <x:f>2*V2350</x:f>
        <x:v>775.6687924225714</x:v>
      </x:c>
      <x:c r="Z2350" s="80" t="n">
        <x:f>K2350*'Inputs'!$B$16+(G2350+R2350)*J2350*'Inputs'!$B$16</x:f>
        <x:v>4.698646223125438</x:v>
      </x:c>
      <x:c r="AA2350" s="80" t="n">
        <x:f>K2350*(1+'Inputs'!$E$50)/2*'Inputs'!$B$17</x:f>
        <x:v>1.570625555428509</x:v>
      </x:c>
      <x:c r="AB2350" s="78" t="n">
        <x:f>(IF(J2350&gt;0,K2350*(1-'Inputs'!$E$50)/2/J2350,0)+G2350+R2350)*'Inputs'!$B$17</x:f>
        <x:v>300988.4994267378</x:v>
      </x:c>
      <x:c r="AC2350" s="78" t="n">
        <x:f>AC2349+AB2350</x:f>
        <x:v>23718452.583849873</x:v>
      </x:c>
      <x:c r="AD2350" s="80" t="n">
        <x:f>Z2350/(1+'Inputs'!$C$50)</x:f>
        <x:v>2.349323111562719</x:v>
      </x:c>
      <x:c r="AE2350" s="80" t="n">
        <x:f>Z2350-AD2350</x:f>
        <x:v>2.349323111562719</x:v>
      </x:c>
      <x:c r="AF2350" s="80" t="n">
        <x:f>D2350*W2350</x:f>
        <x:v>1.4691836819587996</x:v>
      </x:c>
      <x:c r="AG2350" s="80" t="n">
        <x:f>C2350*W2350</x:f>
        <x:v>3.428095257903853</x:v>
      </x:c>
      <x:c r="AH2350" s="80" t="n">
        <x:f>2*'Inputs'!$B$8*'Inputs'!$C$50</x:f>
        <x:v>5000</x:v>
      </x:c>
      <x:c r="AI2350" s="81" t="n">
        <x:f>IF(AH2350&gt;0,(AE2350+AF2350)/AH2350*365,0)</x:f>
        <x:v>0.27875099592707087</x:v>
      </x:c>
      <x:c r="AJ2350" s="81" t="n">
        <x:f>IF('Inputs'!$B$50&gt;0,AG2350/('Inputs'!$B$19*'Inputs'!$B$50)*365,0)</x:f>
        <x:v>0.12512547691349063</x:v>
      </x:c>
      <x:c r="AK2350" s="81" t="n">
        <x:f>W2350/MAX($W$2194:W2350)-1</x:f>
        <x:v>-0.9938473190972855</x:v>
      </x:c>
      <x:c r="AL2350" s="83" t="n">
        <x:f>'Inputs'!$B$50</x:f>
        <x:v>1</x:v>
      </x:c>
      <x:c r="AM2350" s="83" t="n">
        <x:f>'Inputs'!$C$50</x:f>
        <x:v>1</x:v>
      </x:c>
      <x:c r="AN2350" s="83" t="n">
        <x:f>'Inputs'!$D$50</x:f>
        <x:v>1</x:v>
      </x:c>
      <x:c r="AO2350" s="81" t="n">
        <x:f>'Inputs'!$E$50</x:f>
        <x:v>0</x:v>
      </x:c>
    </x:row>
    <x:row r="2351">
      <x:c r="A2351" s="59" t="str">
        <x:v>Whale exit</x:v>
      </x:c>
      <x:c r="B2351" s="59" t="n">
        <x:v>158</x:v>
      </x:c>
      <x:c r="C2351" s="78" t="n">
        <x:f>(('Inputs'!$B$29*(3*158*'Inputs'!$B$12-158^2)/(2*'Inputs'!$B$12^2))-('Inputs'!$B$29*(3*157*'Inputs'!$B$12-157^2)/(2*'Inputs'!$B$12^2)))*'Inputs'!$B$50</x:f>
        <x:v>660781.8070932627</x:v>
      </x:c>
      <x:c r="D2351" s="78" t="n">
        <x:f>IF('Inputs'!$C$50&gt;0,('Inputs'!$B$30*(3*158*'Inputs'!$B$12-158^2)/(2*'Inputs'!$B$12^2))-('Inputs'!$B$30*(3*157*'Inputs'!$B$12-157^2)/(2*'Inputs'!$B$12^2)),0)</x:f>
        <x:v>283192.2030399665</x:v>
      </x:c>
      <x:c r="E2351" s="78" t="n">
        <x:f>C2351+D2351</x:f>
        <x:v>943974.0101332292</x:v>
      </x:c>
      <x:c r="F2351" s="78" t="n">
        <x:f>'Inputs'!$B$13*E2351+(1-'Inputs'!$B$13)/'Inputs'!$B$14*SUM(E2296:E2351)</x:f>
        <x:v>954191.6869956832</x:v>
      </x:c>
      <x:c r="G2351" s="78" t="n">
        <x:f>F2351*'Inputs'!$F$50</x:f>
        <x:v>477095.8434978416</x:v>
      </x:c>
      <x:c r="H2351" s="78" t="n">
        <x:f>U2350</x:f>
        <x:v>74793721.27026697</x:v>
      </x:c>
      <x:c r="I2351" s="78" t="n">
        <x:f>V2350</x:f>
        <x:v>387.8343962112857</x:v>
      </x:c>
      <x:c r="J2351" s="79" t="n">
        <x:f>IF(H2351&gt;0,I2351/H2351,0)</x:f>
        <x:v>0.000005185387083627607</x:v>
      </x:c>
      <x:c r="K2351" s="80" t="n">
        <x:f>(H2351*J2351+I2351)*'Inputs'!$D$50*(1+'Inputs'!$G$50)^(B2351/30)</x:f>
        <x:v>775.6687924225714</x:v>
      </x:c>
      <x:c r="L2351" s="80" t="n">
        <x:f>MAX(0,K2351*'Inputs'!$E$50)</x:f>
        <x:v>0</x:v>
      </x:c>
      <x:c r="M2351" s="80" t="n">
        <x:f>MAX(0,-K2351*'Inputs'!$E$50)</x:f>
        <x:v>0</x:v>
      </x:c>
      <x:c r="N2351" s="78" t="n">
        <x:f>H2351*(L2351*(1-'Inputs'!$B$15))/(I2351+L2351*(1-'Inputs'!$B$15))</x:f>
        <x:v>0</x:v>
      </x:c>
      <x:c r="O2351" s="78" t="n">
        <x:f>H2351-N2351</x:f>
        <x:v>74793721.27026697</x:v>
      </x:c>
      <x:c r="P2351" s="78" t="n">
        <x:f>I2351+L2351*(1-'Inputs'!$B$17)</x:f>
        <x:v>387.8343962112857</x:v>
      </x:c>
      <x:c r="Q2351" s="78" t="n">
        <x:f>IF(J2351&gt;0,M2351/J2351,0)</x:f>
        <x:v>0</x:v>
      </x:c>
      <x:c r="R2351" s="78" t="n">
        <x:f>IF(B2351='Inputs'!$H$50,'Inputs'!$B$27*'Inputs'!$I$50,0)</x:f>
        <x:v>0</x:v>
      </x:c>
      <x:c r="S2351" s="78" t="n">
        <x:f>Q2351+G2351+R2351</x:f>
        <x:v>477095.8434978416</x:v>
      </x:c>
      <x:c r="T2351" s="78" t="n">
        <x:f>P2351*(S2351*(1-'Inputs'!$B$15))/(O2351+S2351*(1-'Inputs'!$B$15))</x:f>
        <x:v>2.4338177169008715</x:v>
      </x:c>
      <x:c r="U2351" s="78" t="n">
        <x:f>O2351+S2351*(1-'Inputs'!$B$17)</x:f>
        <x:v>75268897.21097407</x:v>
      </x:c>
      <x:c r="V2351" s="78" t="n">
        <x:f>P2351-T2351</x:f>
        <x:v>385.40057849438483</x:v>
      </x:c>
      <x:c r="W2351" s="79" t="n">
        <x:f>IF(U2351&gt;0,V2351/U2351,0)</x:f>
        <x:v>0.000005120316528806458</x:v>
      </x:c>
      <x:c r="X2351" s="80" t="n">
        <x:f>W2351*('Inputs'!$B$6-AC2351)</x:f>
        <x:v>4997.319596683722</x:v>
      </x:c>
      <x:c r="Y2351" s="80" t="n">
        <x:f>2*V2351</x:f>
        <x:v>770.8011569887697</x:v>
      </x:c>
      <x:c r="Z2351" s="80" t="n">
        <x:f>K2351*'Inputs'!$B$16+(G2351+R2351)*J2351*'Inputs'!$B$16</x:f>
        <x:v>4.668856314282586</x:v>
      </x:c>
      <x:c r="AA2351" s="80" t="n">
        <x:f>K2351*(1+'Inputs'!$E$50)/2*'Inputs'!$B$17</x:f>
        <x:v>1.560701795618856</x:v>
      </x:c>
      <x:c r="AB2351" s="78" t="n">
        <x:f>(IF(J2351&gt;0,K2351*(1-'Inputs'!$E$50)/2/J2351,0)+G2351+R2351)*'Inputs'!$B$17</x:f>
        <x:v>302900.67248999927</x:v>
      </x:c>
      <x:c r="AC2351" s="78" t="n">
        <x:f>AC2350+AB2351</x:f>
        <x:v>24021353.256339874</x:v>
      </x:c>
      <x:c r="AD2351" s="80" t="n">
        <x:f>Z2351/(1+'Inputs'!$C$50)</x:f>
        <x:v>2.334428157141293</x:v>
      </x:c>
      <x:c r="AE2351" s="80" t="n">
        <x:f>Z2351-AD2351</x:f>
        <x:v>2.334428157141293</x:v>
      </x:c>
      <x:c r="AF2351" s="80" t="n">
        <x:f>D2351*W2351</x:f>
        <x:v>1.450033718054655</x:v>
      </x:c>
      <x:c r="AG2351" s="80" t="n">
        <x:f>C2351*W2351</x:f>
        <x:v>3.383412008794233</x:v>
      </x:c>
      <x:c r="AH2351" s="80" t="n">
        <x:f>2*'Inputs'!$B$8*'Inputs'!$C$50</x:f>
        <x:v>5000</x:v>
      </x:c>
      <x:c r="AI2351" s="81" t="n">
        <x:f>IF(AH2351&gt;0,(AE2351+AF2351)/AH2351*365,0)</x:f>
        <x:v>0.2762657168893042</x:v>
      </x:c>
      <x:c r="AJ2351" s="81" t="n">
        <x:f>IF('Inputs'!$B$50&gt;0,AG2351/('Inputs'!$B$19*'Inputs'!$B$50)*365,0)</x:f>
        <x:v>0.12349453832098951</x:v>
      </x:c>
      <x:c r="AK2351" s="81" t="n">
        <x:f>W2351/MAX($W$2194:W2351)-1</x:f>
        <x:v>-0.9939245280603812</x:v>
      </x:c>
      <x:c r="AL2351" s="83" t="n">
        <x:f>'Inputs'!$B$50</x:f>
        <x:v>1</x:v>
      </x:c>
      <x:c r="AM2351" s="83" t="n">
        <x:f>'Inputs'!$C$50</x:f>
        <x:v>1</x:v>
      </x:c>
      <x:c r="AN2351" s="83" t="n">
        <x:f>'Inputs'!$D$50</x:f>
        <x:v>1</x:v>
      </x:c>
      <x:c r="AO2351" s="81" t="n">
        <x:f>'Inputs'!$E$50</x:f>
        <x:v>0</x:v>
      </x:c>
    </x:row>
    <x:row r="2352">
      <x:c r="A2352" s="59" t="str">
        <x:v>Whale exit</x:v>
      </x:c>
      <x:c r="B2352" s="59" t="n">
        <x:v>159</x:v>
      </x:c>
      <x:c r="C2352" s="78" t="n">
        <x:f>(('Inputs'!$B$29*(3*159*'Inputs'!$B$12-159^2)/(2*'Inputs'!$B$12^2))-('Inputs'!$B$29*(3*158*'Inputs'!$B$12-158^2)/(2*'Inputs'!$B$12^2)))*'Inputs'!$B$50</x:f>
        <x:v>660456.6991930902</x:v>
      </x:c>
      <x:c r="D2352" s="78" t="n">
        <x:f>IF('Inputs'!$C$50&gt;0,('Inputs'!$B$30*(3*159*'Inputs'!$B$12-159^2)/(2*'Inputs'!$B$12^2))-('Inputs'!$B$30*(3*158*'Inputs'!$B$12-158^2)/(2*'Inputs'!$B$12^2)),0)</x:f>
        <x:v>283052.87108275294</x:v>
      </x:c>
      <x:c r="E2352" s="78" t="n">
        <x:f>C2352+D2352</x:f>
        <x:v>943509.5702758431</x:v>
      </x:c>
      <x:c r="F2352" s="78" t="n">
        <x:f>'Inputs'!$B$13*E2352+(1-'Inputs'!$B$13)/'Inputs'!$B$14*SUM(E2297:E2352)</x:f>
        <x:v>953727.2471382986</x:v>
      </x:c>
      <x:c r="G2352" s="78" t="n">
        <x:f>F2352*'Inputs'!$F$50</x:f>
        <x:v>476863.6235691493</x:v>
      </x:c>
      <x:c r="H2352" s="78" t="n">
        <x:f>U2351</x:f>
        <x:v>75268897.21097407</x:v>
      </x:c>
      <x:c r="I2352" s="78" t="n">
        <x:f>V2351</x:f>
        <x:v>385.40057849438483</x:v>
      </x:c>
      <x:c r="J2352" s="79" t="n">
        <x:f>IF(H2352&gt;0,I2352/H2352,0)</x:f>
        <x:v>0.000005120316528806458</x:v>
      </x:c>
      <x:c r="K2352" s="80" t="n">
        <x:f>(H2352*J2352+I2352)*'Inputs'!$D$50*(1+'Inputs'!$G$50)^(B2352/30)</x:f>
        <x:v>770.8011569887697</x:v>
      </x:c>
      <x:c r="L2352" s="80" t="n">
        <x:f>MAX(0,K2352*'Inputs'!$E$50)</x:f>
        <x:v>0</x:v>
      </x:c>
      <x:c r="M2352" s="80" t="n">
        <x:f>MAX(0,-K2352*'Inputs'!$E$50)</x:f>
        <x:v>0</x:v>
      </x:c>
      <x:c r="N2352" s="78" t="n">
        <x:f>H2352*(L2352*(1-'Inputs'!$B$15))/(I2352+L2352*(1-'Inputs'!$B$15))</x:f>
        <x:v>0</x:v>
      </x:c>
      <x:c r="O2352" s="78" t="n">
        <x:f>H2352-N2352</x:f>
        <x:v>75268897.21097407</x:v>
      </x:c>
      <x:c r="P2352" s="78" t="n">
        <x:f>I2352+L2352*(1-'Inputs'!$B$17)</x:f>
        <x:v>385.40057849438483</x:v>
      </x:c>
      <x:c r="Q2352" s="78" t="n">
        <x:f>IF(J2352&gt;0,M2352/J2352,0)</x:f>
        <x:v>0</x:v>
      </x:c>
      <x:c r="R2352" s="78" t="n">
        <x:f>IF(B2352='Inputs'!$H$50,'Inputs'!$B$27*'Inputs'!$I$50,0)</x:f>
        <x:v>0</x:v>
      </x:c>
      <x:c r="S2352" s="78" t="n">
        <x:f>Q2352+G2352+R2352</x:f>
        <x:v>476863.6235691493</x:v>
      </x:c>
      <x:c r="T2352" s="78" t="n">
        <x:f>P2352*(S2352*(1-'Inputs'!$B$15))/(O2352+S2352*(1-'Inputs'!$B$15))</x:f>
        <x:v>2.4022088428184016</x:v>
      </x:c>
      <x:c r="U2352" s="78" t="n">
        <x:f>O2352+S2352*(1-'Inputs'!$B$17)</x:f>
        <x:v>75743841.86623912</x:v>
      </x:c>
      <x:c r="V2352" s="78" t="n">
        <x:f>P2352-T2352</x:f>
        <x:v>382.9983696515664</x:v>
      </x:c>
      <x:c r="W2352" s="79" t="n">
        <x:f>IF(U2352&gt;0,V2352/U2352,0)</x:f>
        <x:v>0.000005056495158087276</x:v>
      </x:c>
      <x:c r="X2352" s="80" t="n">
        <x:f>W2352*('Inputs'!$B$6-AC2352)</x:f>
        <x:v>4933.490021684439</x:v>
      </x:c>
      <x:c r="Y2352" s="80" t="n">
        <x:f>2*V2352</x:f>
        <x:v>765.9967393031328</x:v>
      </x:c>
      <x:c r="Z2352" s="80" t="n">
        <x:f>K2352*'Inputs'!$B$16+(G2352+R2352)*J2352*'Inputs'!$B$16</x:f>
        <x:v>4.639457098095104</x:v>
      </x:c>
      <x:c r="AA2352" s="80" t="n">
        <x:f>K2352*(1+'Inputs'!$E$50)/2*'Inputs'!$B$17</x:f>
        <x:v>1.5509077605407842</x:v>
      </x:c>
      <x:c r="AB2352" s="78" t="n">
        <x:f>(IF(J2352&gt;0,K2352*(1-'Inputs'!$E$50)/2/J2352,0)+G2352+R2352)*'Inputs'!$B$17</x:f>
        <x:v>304811.9148271357</x:v>
      </x:c>
      <x:c r="AC2352" s="78" t="n">
        <x:f>AC2351+AB2352</x:f>
        <x:v>24326165.17116701</x:v>
      </x:c>
      <x:c r="AD2352" s="80" t="n">
        <x:f>Z2352/(1+'Inputs'!$C$50)</x:f>
        <x:v>2.319728549047552</x:v>
      </x:c>
      <x:c r="AE2352" s="80" t="n">
        <x:f>Z2352-AD2352</x:f>
        <x:v>2.319728549047552</x:v>
      </x:c>
      <x:c r="AF2352" s="80" t="n">
        <x:f>D2352*W2352</x:f>
        <x:v>1.4312554721126423</x:v>
      </x:c>
      <x:c r="AG2352" s="80" t="n">
        <x:f>C2352*W2352</x:f>
        <x:v>3.339596101596165</x:v>
      </x:c>
      <x:c r="AH2352" s="80" t="n">
        <x:f>2*'Inputs'!$B$8*'Inputs'!$C$50</x:f>
        <x:v>5000</x:v>
      </x:c>
      <x:c r="AI2352" s="81" t="n">
        <x:f>IF(AH2352&gt;0,(AE2352+AF2352)/AH2352*365,0)</x:f>
        <x:v>0.2738218335446942</x:v>
      </x:c>
      <x:c r="AJ2352" s="81" t="n">
        <x:f>IF('Inputs'!$B$50&gt;0,AG2352/('Inputs'!$B$19*'Inputs'!$B$50)*365,0)</x:f>
        <x:v>0.12189525770826003</x:v>
      </x:c>
      <x:c r="AK2352" s="81" t="n">
        <x:f>W2352/MAX($W$2194:W2352)-1</x:f>
        <x:v>-0.9940002548137511</x:v>
      </x:c>
      <x:c r="AL2352" s="83" t="n">
        <x:f>'Inputs'!$B$50</x:f>
        <x:v>1</x:v>
      </x:c>
      <x:c r="AM2352" s="83" t="n">
        <x:f>'Inputs'!$C$50</x:f>
        <x:v>1</x:v>
      </x:c>
      <x:c r="AN2352" s="83" t="n">
        <x:f>'Inputs'!$D$50</x:f>
        <x:v>1</x:v>
      </x:c>
      <x:c r="AO2352" s="81" t="n">
        <x:f>'Inputs'!$E$50</x:f>
        <x:v>0</x:v>
      </x:c>
    </x:row>
    <x:row r="2353">
      <x:c r="A2353" s="59" t="str">
        <x:v>Whale exit</x:v>
      </x:c>
      <x:c r="B2353" s="59" t="n">
        <x:v>160</x:v>
      </x:c>
      <x:c r="C2353" s="78" t="n">
        <x:f>(('Inputs'!$B$29*(3*160*'Inputs'!$B$12-160^2)/(2*'Inputs'!$B$12^2))-('Inputs'!$B$29*(3*159*'Inputs'!$B$12-159^2)/(2*'Inputs'!$B$12^2)))*'Inputs'!$B$50</x:f>
        <x:v>660131.5912929177</x:v>
      </x:c>
      <x:c r="D2353" s="78" t="n">
        <x:f>IF('Inputs'!$C$50&gt;0,('Inputs'!$B$30*(3*160*'Inputs'!$B$12-160^2)/(2*'Inputs'!$B$12^2))-('Inputs'!$B$30*(3*159*'Inputs'!$B$12-159^2)/(2*'Inputs'!$B$12^2)),0)</x:f>
        <x:v>282913.53912553936</x:v>
      </x:c>
      <x:c r="E2353" s="78" t="n">
        <x:f>C2353+D2353</x:f>
        <x:v>943045.1304184571</x:v>
      </x:c>
      <x:c r="F2353" s="78" t="n">
        <x:f>'Inputs'!$B$13*E2353+(1-'Inputs'!$B$13)/'Inputs'!$B$14*SUM(E2298:E2353)</x:f>
        <x:v>953262.807280914</x:v>
      </x:c>
      <x:c r="G2353" s="78" t="n">
        <x:f>F2353*'Inputs'!$F$50</x:f>
        <x:v>476631.403640457</x:v>
      </x:c>
      <x:c r="H2353" s="78" t="n">
        <x:f>U2352</x:f>
        <x:v>75743841.86623912</x:v>
      </x:c>
      <x:c r="I2353" s="78" t="n">
        <x:f>V2352</x:f>
        <x:v>382.9983696515664</x:v>
      </x:c>
      <x:c r="J2353" s="79" t="n">
        <x:f>IF(H2353&gt;0,I2353/H2353,0)</x:f>
        <x:v>0.000005056495158087276</x:v>
      </x:c>
      <x:c r="K2353" s="80" t="n">
        <x:f>(H2353*J2353+I2353)*'Inputs'!$D$50*(1+'Inputs'!$G$50)^(B2353/30)</x:f>
        <x:v>765.9967393031328</x:v>
      </x:c>
      <x:c r="L2353" s="80" t="n">
        <x:f>MAX(0,K2353*'Inputs'!$E$50)</x:f>
        <x:v>0</x:v>
      </x:c>
      <x:c r="M2353" s="80" t="n">
        <x:f>MAX(0,-K2353*'Inputs'!$E$50)</x:f>
        <x:v>0</x:v>
      </x:c>
      <x:c r="N2353" s="78" t="n">
        <x:f>H2353*(L2353*(1-'Inputs'!$B$15))/(I2353+L2353*(1-'Inputs'!$B$15))</x:f>
        <x:v>0</x:v>
      </x:c>
      <x:c r="O2353" s="78" t="n">
        <x:f>H2353-N2353</x:f>
        <x:v>75743841.86623912</x:v>
      </x:c>
      <x:c r="P2353" s="78" t="n">
        <x:f>I2353+L2353*(1-'Inputs'!$B$17)</x:f>
        <x:v>382.9983696515664</x:v>
      </x:c>
      <x:c r="Q2353" s="78" t="n">
        <x:f>IF(J2353&gt;0,M2353/J2353,0)</x:f>
        <x:v>0</x:v>
      </x:c>
      <x:c r="R2353" s="78" t="n">
        <x:f>IF(B2353='Inputs'!$H$50,'Inputs'!$B$27*'Inputs'!$I$50,0)</x:f>
        <x:v>0</x:v>
      </x:c>
      <x:c r="S2353" s="78" t="n">
        <x:f>Q2353+G2353+R2353</x:f>
        <x:v>476631.403640457</x:v>
      </x:c>
      <x:c r="T2353" s="78" t="n">
        <x:f>P2353*(S2353*(1-'Inputs'!$B$15))/(O2353+S2353*(1-'Inputs'!$B$15))</x:f>
        <x:v>2.3712114894971394</x:v>
      </x:c>
      <x:c r="U2353" s="78" t="n">
        <x:f>O2353+S2353*(1-'Inputs'!$B$17)</x:f>
        <x:v>76218555.23606211</x:v>
      </x:c>
      <x:c r="V2353" s="78" t="n">
        <x:f>P2353-T2353</x:f>
        <x:v>380.6271581620693</x:v>
      </x:c>
      <x:c r="W2353" s="79" t="n">
        <x:f>IF(U2353&gt;0,V2353/U2353,0)</x:f>
        <x:v>0.000004993891014900517</x:v>
      </x:c>
      <x:c r="X2353" s="80" t="n">
        <x:f>W2353*('Inputs'!$B$6-AC2353)</x:f>
        <x:v>4870.87705985456</x:v>
      </x:c>
      <x:c r="Y2353" s="80" t="n">
        <x:f>2*V2353</x:f>
        <x:v>761.2543163241386</x:v>
      </x:c>
      <x:c r="Z2353" s="80" t="n">
        <x:f>K2353*'Inputs'!$B$16+(G2353+R2353)*J2353*'Inputs'!$B$16</x:f>
        <x:v>4.610440942126999</x:v>
      </x:c>
      <x:c r="AA2353" s="80" t="n">
        <x:f>K2353*(1+'Inputs'!$E$50)/2*'Inputs'!$B$17</x:f>
        <x:v>1.5412409241511729</x:v>
      </x:c>
      <x:c r="AB2353" s="78" t="n">
        <x:f>(IF(J2353&gt;0,K2353*(1-'Inputs'!$E$50)/2/J2353,0)+G2353+R2353)*'Inputs'!$B$17</x:f>
        <x:v>306722.22643814725</x:v>
      </x:c>
      <x:c r="AC2353" s="78" t="n">
        <x:f>AC2352+AB2353</x:f>
        <x:v>24632887.397605155</x:v>
      </x:c>
      <x:c r="AD2353" s="80" t="n">
        <x:f>Z2353/(1+'Inputs'!$C$50)</x:f>
        <x:v>2.3052204710634996</x:v>
      </x:c>
      <x:c r="AE2353" s="80" t="n">
        <x:f>Z2353-AD2353</x:f>
        <x:v>2.3052204710634996</x:v>
      </x:c>
      <x:c r="AF2353" s="80" t="n">
        <x:f>D2353*W2353</x:f>
        <x:v>1.4128393810327369</x:v>
      </x:c>
      <x:c r="AG2353" s="80" t="n">
        <x:f>C2353*W2353</x:f>
        <x:v>3.296625222409682</x:v>
      </x:c>
      <x:c r="AH2353" s="80" t="n">
        <x:f>2*'Inputs'!$B$8*'Inputs'!$C$50</x:f>
        <x:v>5000</x:v>
      </x:c>
      <x:c r="AI2353" s="81" t="n">
        <x:f>IF(AH2353&gt;0,(AE2353+AF2353)/AH2353*365,0)</x:f>
        <x:v>0.27141836920302526</x:v>
      </x:c>
      <x:c r="AJ2353" s="81" t="n">
        <x:f>IF('Inputs'!$B$50&gt;0,AG2353/('Inputs'!$B$19*'Inputs'!$B$50)*365,0)</x:f>
        <x:v>0.12032682061795338</x:v>
      </x:c>
      <x:c r="AK2353" s="81" t="n">
        <x:f>W2353/MAX($W$2194:W2353)-1</x:f>
        <x:v>-0.9940745372752152</x:v>
      </x:c>
      <x:c r="AL2353" s="83" t="n">
        <x:f>'Inputs'!$B$50</x:f>
        <x:v>1</x:v>
      </x:c>
      <x:c r="AM2353" s="83" t="n">
        <x:f>'Inputs'!$C$50</x:f>
        <x:v>1</x:v>
      </x:c>
      <x:c r="AN2353" s="83" t="n">
        <x:f>'Inputs'!$D$50</x:f>
        <x:v>1</x:v>
      </x:c>
      <x:c r="AO2353" s="81" t="n">
        <x:f>'Inputs'!$E$50</x:f>
        <x:v>0</x:v>
      </x:c>
    </x:row>
    <x:row r="2354">
      <x:c r="A2354" s="59" t="str">
        <x:v>Whale exit</x:v>
      </x:c>
      <x:c r="B2354" s="59" t="n">
        <x:v>161</x:v>
      </x:c>
      <x:c r="C2354" s="78" t="n">
        <x:f>(('Inputs'!$B$29*(3*161*'Inputs'!$B$12-161^2)/(2*'Inputs'!$B$12^2))-('Inputs'!$B$29*(3*160*'Inputs'!$B$12-160^2)/(2*'Inputs'!$B$12^2)))*'Inputs'!$B$50</x:f>
        <x:v>659806.4833927602</x:v>
      </x:c>
      <x:c r="D2354" s="78" t="n">
        <x:f>IF('Inputs'!$C$50&gt;0,('Inputs'!$B$30*(3*161*'Inputs'!$B$12-161^2)/(2*'Inputs'!$B$12^2))-('Inputs'!$B$30*(3*160*'Inputs'!$B$12-160^2)/(2*'Inputs'!$B$12^2)),0)</x:f>
        <x:v>282774.2071683258</x:v>
      </x:c>
      <x:c r="E2354" s="78" t="n">
        <x:f>C2354+D2354</x:f>
        <x:v>942580.6905610859</x:v>
      </x:c>
      <x:c r="F2354" s="78" t="n">
        <x:f>'Inputs'!$B$13*E2354+(1-'Inputs'!$B$13)/'Inputs'!$B$14*SUM(E2299:E2354)</x:f>
        <x:v>952798.3674235325</x:v>
      </x:c>
      <x:c r="G2354" s="78" t="n">
        <x:f>F2354*'Inputs'!$F$50</x:f>
        <x:v>476399.18371176627</x:v>
      </x:c>
      <x:c r="H2354" s="78" t="n">
        <x:f>U2353</x:f>
        <x:v>76218555.23606211</x:v>
      </x:c>
      <x:c r="I2354" s="78" t="n">
        <x:f>V2353</x:f>
        <x:v>380.6271581620693</x:v>
      </x:c>
      <x:c r="J2354" s="79" t="n">
        <x:f>IF(H2354&gt;0,I2354/H2354,0)</x:f>
        <x:v>0.000004993891014900517</x:v>
      </x:c>
      <x:c r="K2354" s="80" t="n">
        <x:f>(H2354*J2354+I2354)*'Inputs'!$D$50*(1+'Inputs'!$G$50)^(B2354/30)</x:f>
        <x:v>761.2543163241386</x:v>
      </x:c>
      <x:c r="L2354" s="80" t="n">
        <x:f>MAX(0,K2354*'Inputs'!$E$50)</x:f>
        <x:v>0</x:v>
      </x:c>
      <x:c r="M2354" s="80" t="n">
        <x:f>MAX(0,-K2354*'Inputs'!$E$50)</x:f>
        <x:v>0</x:v>
      </x:c>
      <x:c r="N2354" s="78" t="n">
        <x:f>H2354*(L2354*(1-'Inputs'!$B$15))/(I2354+L2354*(1-'Inputs'!$B$15))</x:f>
        <x:v>0</x:v>
      </x:c>
      <x:c r="O2354" s="78" t="n">
        <x:f>H2354-N2354</x:f>
        <x:v>76218555.23606211</x:v>
      </x:c>
      <x:c r="P2354" s="78" t="n">
        <x:f>I2354+L2354*(1-'Inputs'!$B$17)</x:f>
        <x:v>380.6271581620693</x:v>
      </x:c>
      <x:c r="Q2354" s="78" t="n">
        <x:f>IF(J2354&gt;0,M2354/J2354,0)</x:f>
        <x:v>0</x:v>
      </x:c>
      <x:c r="R2354" s="78" t="n">
        <x:f>IF(B2354='Inputs'!$H$50,'Inputs'!$B$27*'Inputs'!$I$50,0)</x:f>
        <x:v>0</x:v>
      </x:c>
      <x:c r="S2354" s="78" t="n">
        <x:f>Q2354+G2354+R2354</x:f>
        <x:v>476399.18371176627</x:v>
      </x:c>
      <x:c r="T2354" s="78" t="n">
        <x:f>P2354*(S2354*(1-'Inputs'!$B$15))/(O2354+S2354*(1-'Inputs'!$B$15))</x:f>
        <x:v>2.340809975444723</x:v>
      </x:c>
      <x:c r="U2354" s="78" t="n">
        <x:f>O2354+S2354*(1-'Inputs'!$B$17)</x:f>
        <x:v>76693037.32044305</x:v>
      </x:c>
      <x:c r="V2354" s="78" t="n">
        <x:f>P2354-T2354</x:f>
        <x:v>378.2863481866246</x:v>
      </x:c>
      <x:c r="W2354" s="79" t="n">
        <x:f>IF(U2354&gt;0,V2354/U2354,0)</x:f>
        <x:v>0.000004932473160582333</x:v>
      </x:c>
      <x:c r="X2354" s="80" t="n">
        <x:f>W2354*('Inputs'!$B$6-AC2354)</x:f>
        <x:v>4809.449787506371</x:v>
      </x:c>
      <x:c r="Y2354" s="80" t="n">
        <x:f>2*V2354</x:f>
        <x:v>756.5726963732492</x:v>
      </x:c>
      <x:c r="Z2354" s="80" t="n">
        <x:f>K2354*'Inputs'!$B$16+(G2354+R2354)*J2354*'Inputs'!$B$16</x:f>
        <x:v>4.581800411563096</x:v>
      </x:c>
      <x:c r="AA2354" s="80" t="n">
        <x:f>K2354*(1+'Inputs'!$E$50)/2*'Inputs'!$B$17</x:f>
        <x:v>1.5316988256018886</x:v>
      </x:c>
      <x:c r="AB2354" s="78" t="n">
        <x:f>(IF(J2354&gt;0,K2354*(1-'Inputs'!$E$50)/2/J2354,0)+G2354+R2354)*'Inputs'!$B$17</x:f>
        <x:v>308631.60732303374</x:v>
      </x:c>
      <x:c r="AC2354" s="78" t="n">
        <x:f>AC2353+AB2354</x:f>
        <x:v>24941519.004928187</x:v>
      </x:c>
      <x:c r="AD2354" s="80" t="n">
        <x:f>Z2354/(1+'Inputs'!$C$50)</x:f>
        <x:v>2.290900205781548</x:v>
      </x:c>
      <x:c r="AE2354" s="80" t="n">
        <x:f>Z2354-AD2354</x:f>
        <x:v>2.290900205781548</x:v>
      </x:c>
      <x:c r="AF2354" s="80" t="n">
        <x:f>D2354*W2354</x:f>
        <x:v>1.3947761873627154</x:v>
      </x:c>
      <x:c r="AG2354" s="80" t="n">
        <x:f>C2354*W2354</x:f>
        <x:v>3.2544777705130024</x:v>
      </x:c>
      <x:c r="AH2354" s="80" t="n">
        <x:f>2*'Inputs'!$B$8*'Inputs'!$C$50</x:f>
        <x:v>5000</x:v>
      </x:c>
      <x:c r="AI2354" s="81" t="n">
        <x:f>IF(AH2354&gt;0,(AE2354+AF2354)/AH2354*365,0)</x:f>
        <x:v>0.2690543766995312</x:v>
      </x:c>
      <x:c r="AJ2354" s="81" t="n">
        <x:f>IF('Inputs'!$B$50&gt;0,AG2354/('Inputs'!$B$19*'Inputs'!$B$50)*365,0)</x:f>
        <x:v>0.11878843862372458</x:v>
      </x:c>
      <x:c r="AK2354" s="81" t="n">
        <x:f>W2354/MAX($W$2194:W2354)-1</x:f>
        <x:v>-0.9941474121548056</x:v>
      </x:c>
      <x:c r="AL2354" s="83" t="n">
        <x:f>'Inputs'!$B$50</x:f>
        <x:v>1</x:v>
      </x:c>
      <x:c r="AM2354" s="83" t="n">
        <x:f>'Inputs'!$C$50</x:f>
        <x:v>1</x:v>
      </x:c>
      <x:c r="AN2354" s="83" t="n">
        <x:f>'Inputs'!$D$50</x:f>
        <x:v>1</x:v>
      </x:c>
      <x:c r="AO2354" s="81" t="n">
        <x:f>'Inputs'!$E$50</x:f>
        <x:v>0</x:v>
      </x:c>
    </x:row>
    <x:row r="2355">
      <x:c r="A2355" s="59" t="str">
        <x:v>Whale exit</x:v>
      </x:c>
      <x:c r="B2355" s="59" t="n">
        <x:v>162</x:v>
      </x:c>
      <x:c r="C2355" s="78" t="n">
        <x:f>(('Inputs'!$B$29*(3*162*'Inputs'!$B$12-162^2)/(2*'Inputs'!$B$12^2))-('Inputs'!$B$29*(3*161*'Inputs'!$B$12-161^2)/(2*'Inputs'!$B$12^2)))*'Inputs'!$B$50</x:f>
        <x:v>659481.3754925877</x:v>
      </x:c>
      <x:c r="D2355" s="78" t="n">
        <x:f>IF('Inputs'!$C$50&gt;0,('Inputs'!$B$30*(3*162*'Inputs'!$B$12-162^2)/(2*'Inputs'!$B$12^2))-('Inputs'!$B$30*(3*161*'Inputs'!$B$12-161^2)/(2*'Inputs'!$B$12^2)),0)</x:f>
        <x:v>282634.8752111122</x:v>
      </x:c>
      <x:c r="E2355" s="78" t="n">
        <x:f>C2355+D2355</x:f>
        <x:v>942116.2507036999</x:v>
      </x:c>
      <x:c r="F2355" s="78" t="n">
        <x:f>'Inputs'!$B$13*E2355+(1-'Inputs'!$B$13)/'Inputs'!$B$14*SUM(E2300:E2355)</x:f>
        <x:v>952333.9275661482</x:v>
      </x:c>
      <x:c r="G2355" s="78" t="n">
        <x:f>F2355*'Inputs'!$F$50</x:f>
        <x:v>476166.9637830741</x:v>
      </x:c>
      <x:c r="H2355" s="78" t="n">
        <x:f>U2354</x:f>
        <x:v>76693037.32044305</x:v>
      </x:c>
      <x:c r="I2355" s="78" t="n">
        <x:f>V2354</x:f>
        <x:v>378.2863481866246</x:v>
      </x:c>
      <x:c r="J2355" s="79" t="n">
        <x:f>IF(H2355&gt;0,I2355/H2355,0)</x:f>
        <x:v>0.000004932473160582333</x:v>
      </x:c>
      <x:c r="K2355" s="80" t="n">
        <x:f>(H2355*J2355+I2355)*'Inputs'!$D$50*(1+'Inputs'!$G$50)^(B2355/30)</x:f>
        <x:v>756.5726963732492</x:v>
      </x:c>
      <x:c r="L2355" s="80" t="n">
        <x:f>MAX(0,K2355*'Inputs'!$E$50)</x:f>
        <x:v>0</x:v>
      </x:c>
      <x:c r="M2355" s="80" t="n">
        <x:f>MAX(0,-K2355*'Inputs'!$E$50)</x:f>
        <x:v>0</x:v>
      </x:c>
      <x:c r="N2355" s="78" t="n">
        <x:f>H2355*(L2355*(1-'Inputs'!$B$15))/(I2355+L2355*(1-'Inputs'!$B$15))</x:f>
        <x:v>0</x:v>
      </x:c>
      <x:c r="O2355" s="78" t="n">
        <x:f>H2355-N2355</x:f>
        <x:v>76693037.32044305</x:v>
      </x:c>
      <x:c r="P2355" s="78" t="n">
        <x:f>I2355+L2355*(1-'Inputs'!$B$17)</x:f>
        <x:v>378.2863481866246</x:v>
      </x:c>
      <x:c r="Q2355" s="78" t="n">
        <x:f>IF(J2355&gt;0,M2355/J2355,0)</x:f>
        <x:v>0</x:v>
      </x:c>
      <x:c r="R2355" s="78" t="n">
        <x:f>IF(B2355='Inputs'!$H$50,'Inputs'!$B$27*'Inputs'!$I$50,0)</x:f>
        <x:v>0</x:v>
      </x:c>
      <x:c r="S2355" s="78" t="n">
        <x:f>Q2355+G2355+R2355</x:f>
        <x:v>476166.9637830741</x:v>
      </x:c>
      <x:c r="T2355" s="78" t="n">
        <x:f>P2355*(S2355*(1-'Inputs'!$B$15))/(O2355+S2355*(1-'Inputs'!$B$15))</x:f>
        <x:v>2.31098911876715</x:v>
      </x:c>
      <x:c r="U2355" s="78" t="n">
        <x:f>O2355+S2355*(1-'Inputs'!$B$17)</x:f>
        <x:v>77167288.11938192</x:v>
      </x:c>
      <x:c r="V2355" s="78" t="n">
        <x:f>P2355-T2355</x:f>
        <x:v>375.9753590678574</x:v>
      </x:c>
      <x:c r="W2355" s="79" t="n">
        <x:f>IF(U2355&gt;0,V2355/U2355,0)</x:f>
        <x:v>0.0000048722116356635915</x:v>
      </x:c>
      <x:c r="X2355" s="80" t="n">
        <x:f>W2355*('Inputs'!$B$6-AC2355)</x:f>
        <x:v>4749.178259675254</x:v>
      </x:c>
      <x:c r="Y2355" s="80" t="n">
        <x:f>2*V2355</x:f>
        <x:v>751.9507181357149</x:v>
      </x:c>
      <x:c r="Z2355" s="80" t="n">
        <x:f>K2355*'Inputs'!$B$16+(G2355+R2355)*J2355*'Inputs'!$B$16</x:f>
        <x:v>4.553528262852391</x:v>
      </x:c>
      <x:c r="AA2355" s="80" t="n">
        <x:f>K2355*(1+'Inputs'!$E$50)/2*'Inputs'!$B$17</x:f>
        <x:v>1.5222790671493949</x:v>
      </x:c>
      <x:c r="AB2355" s="78" t="n">
        <x:f>(IF(J2355&gt;0,K2355*(1-'Inputs'!$E$50)/2/J2355,0)+G2355+R2355)*'Inputs'!$B$17</x:f>
        <x:v>310540.05748179526</x:v>
      </x:c>
      <x:c r="AC2355" s="78" t="n">
        <x:f>AC2354+AB2355</x:f>
        <x:v>25252059.062409982</x:v>
      </x:c>
      <x:c r="AD2355" s="80" t="n">
        <x:f>Z2355/(1+'Inputs'!$C$50)</x:f>
        <x:v>2.2767641314261957</x:v>
      </x:c>
      <x:c r="AE2355" s="80" t="n">
        <x:f>Z2355-AD2355</x:f>
        <x:v>2.2767641314261957</x:v>
      </x:c>
      <x:c r="AF2355" s="80" t="n">
        <x:f>D2355*W2355</x:f>
        <x:v>1.377056927647908</x:v>
      </x:c>
      <x:c r="AG2355" s="80" t="n">
        <x:f>C2355*W2355</x:f>
        <x:v>3.2131328311784157</x:v>
      </x:c>
      <x:c r="AH2355" s="80" t="n">
        <x:f>2*'Inputs'!$B$8*'Inputs'!$C$50</x:f>
        <x:v>5000</x:v>
      </x:c>
      <x:c r="AI2355" s="81" t="n">
        <x:f>IF(AH2355&gt;0,(AE2355+AF2355)/AH2355*365,0)</x:f>
        <x:v>0.2667289373124096</x:v>
      </x:c>
      <x:c r="AJ2355" s="81" t="n">
        <x:f>IF('Inputs'!$B$50&gt;0,AG2355/('Inputs'!$B$19*'Inputs'!$B$50)*365,0)</x:f>
        <x:v>0.11727934833801217</x:v>
      </x:c>
      <x:c r="AK2355" s="81" t="n">
        <x:f>W2355/MAX($W$2194:W2355)-1</x:f>
        <x:v>-0.9942189150006986</x:v>
      </x:c>
      <x:c r="AL2355" s="83" t="n">
        <x:f>'Inputs'!$B$50</x:f>
        <x:v>1</x:v>
      </x:c>
      <x:c r="AM2355" s="83" t="n">
        <x:f>'Inputs'!$C$50</x:f>
        <x:v>1</x:v>
      </x:c>
      <x:c r="AN2355" s="83" t="n">
        <x:f>'Inputs'!$D$50</x:f>
        <x:v>1</x:v>
      </x:c>
      <x:c r="AO2355" s="81" t="n">
        <x:f>'Inputs'!$E$50</x:f>
        <x:v>0</x:v>
      </x:c>
    </x:row>
    <x:row r="2356">
      <x:c r="A2356" s="59" t="str">
        <x:v>Whale exit</x:v>
      </x:c>
      <x:c r="B2356" s="59" t="n">
        <x:v>163</x:v>
      </x:c>
      <x:c r="C2356" s="78" t="n">
        <x:f>(('Inputs'!$B$29*(3*163*'Inputs'!$B$12-163^2)/(2*'Inputs'!$B$12^2))-('Inputs'!$B$29*(3*162*'Inputs'!$B$12-162^2)/(2*'Inputs'!$B$12^2)))*'Inputs'!$B$50</x:f>
        <x:v>659156.2675924152</x:v>
      </x:c>
      <x:c r="D2356" s="78" t="n">
        <x:f>IF('Inputs'!$C$50&gt;0,('Inputs'!$B$30*(3*163*'Inputs'!$B$12-163^2)/(2*'Inputs'!$B$12^2))-('Inputs'!$B$30*(3*162*'Inputs'!$B$12-162^2)/(2*'Inputs'!$B$12^2)),0)</x:f>
        <x:v>282495.54325389117</x:v>
      </x:c>
      <x:c r="E2356" s="78" t="n">
        <x:f>C2356+D2356</x:f>
        <x:v>941651.8108463064</x:v>
      </x:c>
      <x:c r="F2356" s="78" t="n">
        <x:f>'Inputs'!$B$13*E2356+(1-'Inputs'!$B$13)/'Inputs'!$B$14*SUM(E2301:E2356)</x:f>
        <x:v>951869.4877087622</x:v>
      </x:c>
      <x:c r="G2356" s="78" t="n">
        <x:f>F2356*'Inputs'!$F$50</x:f>
        <x:v>475934.7438543811</x:v>
      </x:c>
      <x:c r="H2356" s="78" t="n">
        <x:f>U2355</x:f>
        <x:v>77167288.11938192</x:v>
      </x:c>
      <x:c r="I2356" s="78" t="n">
        <x:f>V2355</x:f>
        <x:v>375.9753590678574</x:v>
      </x:c>
      <x:c r="J2356" s="79" t="n">
        <x:f>IF(H2356&gt;0,I2356/H2356,0)</x:f>
        <x:v>0.0000048722116356635915</x:v>
      </x:c>
      <x:c r="K2356" s="80" t="n">
        <x:f>(H2356*J2356+I2356)*'Inputs'!$D$50*(1+'Inputs'!$G$50)^(B2356/30)</x:f>
        <x:v>751.9507181357149</x:v>
      </x:c>
      <x:c r="L2356" s="80" t="n">
        <x:f>MAX(0,K2356*'Inputs'!$E$50)</x:f>
        <x:v>0</x:v>
      </x:c>
      <x:c r="M2356" s="80" t="n">
        <x:f>MAX(0,-K2356*'Inputs'!$E$50)</x:f>
        <x:v>0</x:v>
      </x:c>
      <x:c r="N2356" s="78" t="n">
        <x:f>H2356*(L2356*(1-'Inputs'!$B$15))/(I2356+L2356*(1-'Inputs'!$B$15))</x:f>
        <x:v>0</x:v>
      </x:c>
      <x:c r="O2356" s="78" t="n">
        <x:f>H2356-N2356</x:f>
        <x:v>77167288.11938192</x:v>
      </x:c>
      <x:c r="P2356" s="78" t="n">
        <x:f>I2356+L2356*(1-'Inputs'!$B$17)</x:f>
        <x:v>375.9753590678574</x:v>
      </x:c>
      <x:c r="Q2356" s="78" t="n">
        <x:f>IF(J2356&gt;0,M2356/J2356,0)</x:f>
        <x:v>0</x:v>
      </x:c>
      <x:c r="R2356" s="78" t="n">
        <x:f>IF(B2356='Inputs'!$H$50,'Inputs'!$B$27*'Inputs'!$I$50,0)</x:f>
        <x:v>0</x:v>
      </x:c>
      <x:c r="S2356" s="78" t="n">
        <x:f>Q2356+G2356+R2356</x:f>
        <x:v>475934.7438543811</x:v>
      </x:c>
      <x:c r="T2356" s="78" t="n">
        <x:f>P2356*(S2356*(1-'Inputs'!$B$15))/(O2356+S2356*(1-'Inputs'!$B$15))</x:f>
        <x:v>2.2817342181860436</x:v>
      </x:c>
      <x:c r="U2356" s="78" t="n">
        <x:f>O2356+S2356*(1-'Inputs'!$B$17)</x:f>
        <x:v>77641307.63287874</x:v>
      </x:c>
      <x:c r="V2356" s="78" t="n">
        <x:f>P2356-T2356</x:f>
        <x:v>373.6936248496714</x:v>
      </x:c>
      <x:c r="W2356" s="79" t="n">
        <x:f>IF(U2356&gt;0,V2356/U2356,0)</x:f>
        <x:v>0.00000481307742286689</x:v>
      </x:c>
      <x:c r="X2356" s="80" t="n">
        <x:f>W2356*('Inputs'!$B$6-AC2356)</x:f>
        <x:v>4690.033473134427</x:v>
      </x:c>
      <x:c r="Y2356" s="80" t="n">
        <x:f>2*V2356</x:f>
        <x:v>747.3872496993428</x:v>
      </x:c>
      <x:c r="Z2356" s="80" t="n">
        <x:f>K2356*'Inputs'!$B$16+(G2356+R2356)*J2356*'Inputs'!$B$16</x:f>
        <x:v>4.525617437595233</x:v>
      </x:c>
      <x:c r="AA2356" s="80" t="n">
        <x:f>K2356*(1+'Inputs'!$E$50)/2*'Inputs'!$B$17</x:f>
        <x:v>1.5129793121442956</x:v>
      </x:c>
      <x:c r="AB2356" s="78" t="n">
        <x:f>(IF(J2356&gt;0,K2356*(1-'Inputs'!$E$50)/2/J2356,0)+G2356+R2356)*'Inputs'!$B$17</x:f>
        <x:v>312447.5769144318</x:v>
      </x:c>
      <x:c r="AC2356" s="78" t="n">
        <x:f>AC2355+AB2356</x:f>
        <x:v>25564506.639324415</x:v>
      </x:c>
      <x:c r="AD2356" s="80" t="n">
        <x:f>Z2356/(1+'Inputs'!$C$50)</x:f>
        <x:v>2.2628087187976167</x:v>
      </x:c>
      <x:c r="AE2356" s="80" t="n">
        <x:f>Z2356-AD2356</x:f>
        <x:v>2.2628087187976167</x:v>
      </x:c>
      <x:c r="AF2356" s="80" t="n">
        <x:f>D2356*W2356</x:f>
        <x:v>1.3596729212958205</x:v>
      </x:c>
      <x:c r="AG2356" s="80" t="n">
        <x:f>C2356*W2356</x:f>
        <x:v>3.17257014969026</x:v>
      </x:c>
      <x:c r="AH2356" s="80" t="n">
        <x:f>2*'Inputs'!$B$8*'Inputs'!$C$50</x:f>
        <x:v>5000</x:v>
      </x:c>
      <x:c r="AI2356" s="81" t="n">
        <x:f>IF(AH2356&gt;0,(AE2356+AF2356)/AH2356*365,0)</x:f>
        <x:v>0.2644411597268209</x:v>
      </x:c>
      <x:c r="AJ2356" s="81" t="n">
        <x:f>IF('Inputs'!$B$50&gt;0,AG2356/('Inputs'!$B$19*'Inputs'!$B$50)*365,0)</x:f>
        <x:v>0.11579881046369449</x:v>
      </x:c>
      <x:c r="AK2356" s="81" t="n">
        <x:f>W2356/MAX($W$2194:W2356)-1</x:f>
        <x:v>-0.9942890802431199</x:v>
      </x:c>
      <x:c r="AL2356" s="83" t="n">
        <x:f>'Inputs'!$B$50</x:f>
        <x:v>1</x:v>
      </x:c>
      <x:c r="AM2356" s="83" t="n">
        <x:f>'Inputs'!$C$50</x:f>
        <x:v>1</x:v>
      </x:c>
      <x:c r="AN2356" s="83" t="n">
        <x:f>'Inputs'!$D$50</x:f>
        <x:v>1</x:v>
      </x:c>
      <x:c r="AO2356" s="81" t="n">
        <x:f>'Inputs'!$E$50</x:f>
        <x:v>0</x:v>
      </x:c>
    </x:row>
    <x:row r="2357">
      <x:c r="A2357" s="59" t="str">
        <x:v>Whale exit</x:v>
      </x:c>
      <x:c r="B2357" s="59" t="n">
        <x:v>164</x:v>
      </x:c>
      <x:c r="C2357" s="78" t="n">
        <x:f>(('Inputs'!$B$29*(3*164*'Inputs'!$B$12-164^2)/(2*'Inputs'!$B$12^2))-('Inputs'!$B$29*(3*163*'Inputs'!$B$12-163^2)/(2*'Inputs'!$B$12^2)))*'Inputs'!$B$50</x:f>
        <x:v>658831.1596922576</x:v>
      </x:c>
      <x:c r="D2357" s="78" t="n">
        <x:f>IF('Inputs'!$C$50&gt;0,('Inputs'!$B$30*(3*164*'Inputs'!$B$12-164^2)/(2*'Inputs'!$B$12^2))-('Inputs'!$B$30*(3*163*'Inputs'!$B$12-163^2)/(2*'Inputs'!$B$12^2)),0)</x:f>
        <x:v>282356.2112966776</x:v>
      </x:c>
      <x:c r="E2357" s="78" t="n">
        <x:f>C2357+D2357</x:f>
        <x:v>941187.3709889352</x:v>
      </x:c>
      <x:c r="F2357" s="78" t="n">
        <x:f>'Inputs'!$B$13*E2357+(1-'Inputs'!$B$13)/'Inputs'!$B$14*SUM(E2302:E2357)</x:f>
        <x:v>951405.0478513807</x:v>
      </x:c>
      <x:c r="G2357" s="78" t="n">
        <x:f>F2357*'Inputs'!$F$50</x:f>
        <x:v>475702.52392569033</x:v>
      </x:c>
      <x:c r="H2357" s="78" t="n">
        <x:f>U2356</x:f>
        <x:v>77641307.63287874</x:v>
      </x:c>
      <x:c r="I2357" s="78" t="n">
        <x:f>V2356</x:f>
        <x:v>373.6936248496714</x:v>
      </x:c>
      <x:c r="J2357" s="79" t="n">
        <x:f>IF(H2357&gt;0,I2357/H2357,0)</x:f>
        <x:v>0.00000481307742286689</x:v>
      </x:c>
      <x:c r="K2357" s="80" t="n">
        <x:f>(H2357*J2357+I2357)*'Inputs'!$D$50*(1+'Inputs'!$G$50)^(B2357/30)</x:f>
        <x:v>747.3872496993428</x:v>
      </x:c>
      <x:c r="L2357" s="80" t="n">
        <x:f>MAX(0,K2357*'Inputs'!$E$50)</x:f>
        <x:v>0</x:v>
      </x:c>
      <x:c r="M2357" s="80" t="n">
        <x:f>MAX(0,-K2357*'Inputs'!$E$50)</x:f>
        <x:v>0</x:v>
      </x:c>
      <x:c r="N2357" s="78" t="n">
        <x:f>H2357*(L2357*(1-'Inputs'!$B$15))/(I2357+L2357*(1-'Inputs'!$B$15))</x:f>
        <x:v>0</x:v>
      </x:c>
      <x:c r="O2357" s="78" t="n">
        <x:f>H2357-N2357</x:f>
        <x:v>77641307.63287874</x:v>
      </x:c>
      <x:c r="P2357" s="78" t="n">
        <x:f>I2357+L2357*(1-'Inputs'!$B$17)</x:f>
        <x:v>373.6936248496714</x:v>
      </x:c>
      <x:c r="Q2357" s="78" t="n">
        <x:f>IF(J2357&gt;0,M2357/J2357,0)</x:f>
        <x:v>0</x:v>
      </x:c>
      <x:c r="R2357" s="78" t="n">
        <x:f>IF(B2357='Inputs'!$H$50,'Inputs'!$B$27*'Inputs'!$I$50,0)</x:f>
        <x:v>0</x:v>
      </x:c>
      <x:c r="S2357" s="78" t="n">
        <x:f>Q2357+G2357+R2357</x:f>
        <x:v>475702.52392569033</x:v>
      </x:c>
      <x:c r="T2357" s="78" t="n">
        <x:f>P2357*(S2357*(1-'Inputs'!$B$15))/(O2357+S2357*(1-'Inputs'!$B$15))</x:f>
        <x:v>2.2530310348921705</x:v>
      </x:c>
      <x:c r="U2357" s="78" t="n">
        <x:f>O2357+S2357*(1-'Inputs'!$B$17)</x:f>
        <x:v>78115095.8609335</x:v>
      </x:c>
      <x:c r="V2357" s="78" t="n">
        <x:f>P2357-T2357</x:f>
        <x:v>371.4405938147792</x:v>
      </x:c>
      <x:c r="W2357" s="79" t="n">
        <x:f>IF(U2357&gt;0,V2357/U2357,0)</x:f>
        <x:v>0.000004755042411725978</x:v>
      </x:c>
      <x:c r="X2357" s="80" t="n">
        <x:f>W2357*('Inputs'!$B$6-AC2357)</x:f>
        <x:v>4631.9873310313105</x:v>
      </x:c>
      <x:c r="Y2357" s="80" t="n">
        <x:f>2*V2357</x:f>
        <x:v>742.8811876295584</x:v>
      </x:c>
      <x:c r="Z2357" s="80" t="n">
        <x:f>K2357*'Inputs'!$B$16+(G2357+R2357)*J2357*'Inputs'!$B$16</x:f>
        <x:v>4.498061056663502</x:v>
      </x:c>
      <x:c r="AA2357" s="80" t="n">
        <x:f>K2357*(1+'Inputs'!$E$50)/2*'Inputs'!$B$17</x:f>
        <x:v>1.5037972830972692</x:v>
      </x:c>
      <x:c r="AB2357" s="78" t="n">
        <x:f>(IF(J2357&gt;0,K2357*(1-'Inputs'!$E$50)/2/J2357,0)+G2357+R2357)*'Inputs'!$B$17</x:f>
        <x:v>314354.1656209434</x:v>
      </x:c>
      <x:c r="AC2357" s="78" t="n">
        <x:f>AC2356+AB2357</x:f>
        <x:v>25878860.804945357</x:v>
      </x:c>
      <x:c r="AD2357" s="80" t="n">
        <x:f>Z2357/(1+'Inputs'!$C$50)</x:f>
        <x:v>2.249030528331751</x:v>
      </x:c>
      <x:c r="AE2357" s="80" t="n">
        <x:f>Z2357-AD2357</x:f>
        <x:v>2.249030528331751</x:v>
      </x:c>
      <x:c r="AF2357" s="80" t="n">
        <x:f>D2357*W2357</x:f>
        <x:v>1.3426157599299637</x:v>
      </x:c>
      <x:c r="AG2357" s="80" t="n">
        <x:f>C2357*W2357</x:f>
        <x:v>3.132770106503296</x:v>
      </x:c>
      <x:c r="AH2357" s="80" t="n">
        <x:f>2*'Inputs'!$B$8*'Inputs'!$C$50</x:f>
        <x:v>5000</x:v>
      </x:c>
      <x:c r="AI2357" s="81" t="n">
        <x:f>IF(AH2357&gt;0,(AE2357+AF2357)/AH2357*365,0)</x:f>
        <x:v>0.2621901790431052</x:v>
      </x:c>
      <x:c r="AJ2357" s="81" t="n">
        <x:f>IF('Inputs'!$B$50&gt;0,AG2357/('Inputs'!$B$19*'Inputs'!$B$50)*365,0)</x:f>
        <x:v>0.11434610888737029</x:v>
      </x:c>
      <x:c r="AK2357" s="81" t="n">
        <x:f>W2357/MAX($W$2194:W2357)-1</x:f>
        <x:v>-0.9943579412363258</x:v>
      </x:c>
      <x:c r="AL2357" s="83" t="n">
        <x:f>'Inputs'!$B$50</x:f>
        <x:v>1</x:v>
      </x:c>
      <x:c r="AM2357" s="83" t="n">
        <x:f>'Inputs'!$C$50</x:f>
        <x:v>1</x:v>
      </x:c>
      <x:c r="AN2357" s="83" t="n">
        <x:f>'Inputs'!$D$50</x:f>
        <x:v>1</x:v>
      </x:c>
      <x:c r="AO2357" s="81" t="n">
        <x:f>'Inputs'!$E$50</x:f>
        <x:v>0</x:v>
      </x:c>
    </x:row>
    <x:row r="2358">
      <x:c r="A2358" s="59" t="str">
        <x:v>Whale exit</x:v>
      </x:c>
      <x:c r="B2358" s="59" t="n">
        <x:v>165</x:v>
      </x:c>
      <x:c r="C2358" s="78" t="n">
        <x:f>(('Inputs'!$B$29*(3*165*'Inputs'!$B$12-165^2)/(2*'Inputs'!$B$12^2))-('Inputs'!$B$29*(3*164*'Inputs'!$B$12-164^2)/(2*'Inputs'!$B$12^2)))*'Inputs'!$B$50</x:f>
        <x:v>658506.0517920852</x:v>
      </x:c>
      <x:c r="D2358" s="78" t="n">
        <x:f>IF('Inputs'!$C$50&gt;0,('Inputs'!$B$30*(3*165*'Inputs'!$B$12-165^2)/(2*'Inputs'!$B$12^2))-('Inputs'!$B$30*(3*164*'Inputs'!$B$12-164^2)/(2*'Inputs'!$B$12^2)),0)</x:f>
        <x:v>282216.879339464</x:v>
      </x:c>
      <x:c r="E2358" s="78" t="n">
        <x:f>C2358+D2358</x:f>
        <x:v>940722.9311315492</x:v>
      </x:c>
      <x:c r="F2358" s="78" t="n">
        <x:f>'Inputs'!$B$13*E2358+(1-'Inputs'!$B$13)/'Inputs'!$B$14*SUM(E2303:E2358)</x:f>
        <x:v>950940.6079939961</x:v>
      </x:c>
      <x:c r="G2358" s="78" t="n">
        <x:f>F2358*'Inputs'!$F$50</x:f>
        <x:v>475470.30399699806</x:v>
      </x:c>
      <x:c r="H2358" s="78" t="n">
        <x:f>U2357</x:f>
        <x:v>78115095.8609335</x:v>
      </x:c>
      <x:c r="I2358" s="78" t="n">
        <x:f>V2357</x:f>
        <x:v>371.4405938147792</x:v>
      </x:c>
      <x:c r="J2358" s="79" t="n">
        <x:f>IF(H2358&gt;0,I2358/H2358,0)</x:f>
        <x:v>0.000004755042411725978</x:v>
      </x:c>
      <x:c r="K2358" s="80" t="n">
        <x:f>(H2358*J2358+I2358)*'Inputs'!$D$50*(1+'Inputs'!$G$50)^(B2358/30)</x:f>
        <x:v>742.8811876295584</x:v>
      </x:c>
      <x:c r="L2358" s="80" t="n">
        <x:f>MAX(0,K2358*'Inputs'!$E$50)</x:f>
        <x:v>0</x:v>
      </x:c>
      <x:c r="M2358" s="80" t="n">
        <x:f>MAX(0,-K2358*'Inputs'!$E$50)</x:f>
        <x:v>0</x:v>
      </x:c>
      <x:c r="N2358" s="78" t="n">
        <x:f>H2358*(L2358*(1-'Inputs'!$B$15))/(I2358+L2358*(1-'Inputs'!$B$15))</x:f>
        <x:v>0</x:v>
      </x:c>
      <x:c r="O2358" s="78" t="n">
        <x:f>H2358-N2358</x:f>
        <x:v>78115095.8609335</x:v>
      </x:c>
      <x:c r="P2358" s="78" t="n">
        <x:f>I2358+L2358*(1-'Inputs'!$B$17)</x:f>
        <x:v>371.4405938147792</x:v>
      </x:c>
      <x:c r="Q2358" s="78" t="n">
        <x:f>IF(J2358&gt;0,M2358/J2358,0)</x:f>
        <x:v>0</x:v>
      </x:c>
      <x:c r="R2358" s="78" t="n">
        <x:f>IF(B2358='Inputs'!$H$50,'Inputs'!$B$27*'Inputs'!$I$50,0)</x:f>
        <x:v>0</x:v>
      </x:c>
      <x:c r="S2358" s="78" t="n">
        <x:f>Q2358+G2358+R2358</x:f>
        <x:v>475470.30399699806</x:v>
      </x:c>
      <x:c r="T2358" s="78" t="n">
        <x:f>P2358*(S2358*(1-'Inputs'!$B$15))/(O2358+S2358*(1-'Inputs'!$B$15))</x:f>
        <x:v>2.2248657751933716</x:v>
      </x:c>
      <x:c r="U2358" s="78" t="n">
        <x:f>O2358+S2358*(1-'Inputs'!$B$17)</x:f>
        <x:v>78588652.8035462</x:v>
      </x:c>
      <x:c r="V2358" s="78" t="n">
        <x:f>P2358-T2358</x:f>
        <x:v>369.2157280395858</x:v>
      </x:c>
      <x:c r="W2358" s="79" t="n">
        <x:f>IF(U2358&gt;0,V2358/U2358,0)</x:f>
        <x:v>0.000004698079364746732</x:v>
      </x:c>
      <x:c r="X2358" s="80" t="n">
        <x:f>W2358*('Inputs'!$B$6-AC2358)</x:f>
        <x:v>4575.0126090647045</x:v>
      </x:c>
      <x:c r="Y2358" s="80" t="n">
        <x:f>2*V2358</x:f>
        <x:v>738.4314560791717</x:v>
      </x:c>
      <x:c r="Z2358" s="80" t="n">
        <x:f>K2358*'Inputs'!$B$16+(G2358+R2358)*J2358*'Inputs'!$B$16</x:f>
        <x:v>4.470852414543482</x:v>
      </x:c>
      <x:c r="AA2358" s="80" t="n">
        <x:f>K2358*(1+'Inputs'!$E$50)/2*'Inputs'!$B$17</x:f>
        <x:v>1.494730759818025</x:v>
      </x:c>
      <x:c r="AB2358" s="78" t="n">
        <x:f>(IF(J2358&gt;0,K2358*(1-'Inputs'!$E$50)/2/J2358,0)+G2358+R2358)*'Inputs'!$B$17</x:f>
        <x:v>316259.82360133</x:v>
      </x:c>
      <x:c r="AC2358" s="78" t="n">
        <x:f>AC2357+AB2358</x:f>
        <x:v>26195120.62854669</x:v>
      </x:c>
      <x:c r="AD2358" s="80" t="n">
        <x:f>Z2358/(1+'Inputs'!$C$50)</x:f>
        <x:v>2.235426207271741</x:v>
      </x:c>
      <x:c r="AE2358" s="80" t="n">
        <x:f>Z2358-AD2358</x:f>
        <x:v>2.235426207271741</x:v>
      </x:c>
      <x:c r="AF2358" s="80" t="n">
        <x:f>D2358*W2358</x:f>
        <x:v>1.325877297207954</x:v>
      </x:c>
      <x:c r="AG2358" s="80" t="n">
        <x:f>C2358*W2358</x:f>
        <x:v>3.093713693485238</x:v>
      </x:c>
      <x:c r="AH2358" s="80" t="n">
        <x:f>2*'Inputs'!$B$8*'Inputs'!$C$50</x:f>
        <x:v>5000</x:v>
      </x:c>
      <x:c r="AI2358" s="81" t="n">
        <x:f>IF(AH2358&gt;0,(AE2358+AF2358)/AH2358*365,0)</x:f>
        <x:v>0.25997515582701775</x:v>
      </x:c>
      <x:c r="AJ2358" s="81" t="n">
        <x:f>IF('Inputs'!$B$50&gt;0,AG2358/('Inputs'!$B$19*'Inputs'!$B$50)*365,0)</x:f>
        <x:v>0.11292054981221118</x:v>
      </x:c>
      <x:c r="AK2358" s="81" t="n">
        <x:f>W2358/MAX($W$2194:W2358)-1</x:f>
        <x:v>-0.994425530298754</x:v>
      </x:c>
      <x:c r="AL2358" s="83" t="n">
        <x:f>'Inputs'!$B$50</x:f>
        <x:v>1</x:v>
      </x:c>
      <x:c r="AM2358" s="83" t="n">
        <x:f>'Inputs'!$C$50</x:f>
        <x:v>1</x:v>
      </x:c>
      <x:c r="AN2358" s="83" t="n">
        <x:f>'Inputs'!$D$50</x:f>
        <x:v>1</x:v>
      </x:c>
      <x:c r="AO2358" s="81" t="n">
        <x:f>'Inputs'!$E$50</x:f>
        <x:v>0</x:v>
      </x:c>
    </x:row>
    <x:row r="2359">
      <x:c r="A2359" s="59" t="str">
        <x:v>Whale exit</x:v>
      </x:c>
      <x:c r="B2359" s="59" t="n">
        <x:v>166</x:v>
      </x:c>
      <x:c r="C2359" s="78" t="n">
        <x:f>(('Inputs'!$B$29*(3*166*'Inputs'!$B$12-166^2)/(2*'Inputs'!$B$12^2))-('Inputs'!$B$29*(3*165*'Inputs'!$B$12-165^2)/(2*'Inputs'!$B$12^2)))*'Inputs'!$B$50</x:f>
        <x:v>658180.9438919127</x:v>
      </x:c>
      <x:c r="D2359" s="78" t="n">
        <x:f>IF('Inputs'!$C$50&gt;0,('Inputs'!$B$30*(3*166*'Inputs'!$B$12-166^2)/(2*'Inputs'!$B$12^2))-('Inputs'!$B$30*(3*165*'Inputs'!$B$12-165^2)/(2*'Inputs'!$B$12^2)),0)</x:f>
        <x:v>282077.5473822504</x:v>
      </x:c>
      <x:c r="E2359" s="78" t="n">
        <x:f>C2359+D2359</x:f>
        <x:v>940258.4912741631</x:v>
      </x:c>
      <x:c r="F2359" s="78" t="n">
        <x:f>'Inputs'!$B$13*E2359+(1-'Inputs'!$B$13)/'Inputs'!$B$14*SUM(E2304:E2359)</x:f>
        <x:v>950476.1681366118</x:v>
      </x:c>
      <x:c r="G2359" s="78" t="n">
        <x:f>F2359*'Inputs'!$F$50</x:f>
        <x:v>475238.0840683059</x:v>
      </x:c>
      <x:c r="H2359" s="78" t="n">
        <x:f>U2358</x:f>
        <x:v>78588652.8035462</x:v>
      </x:c>
      <x:c r="I2359" s="78" t="n">
        <x:f>V2358</x:f>
        <x:v>369.2157280395858</x:v>
      </x:c>
      <x:c r="J2359" s="79" t="n">
        <x:f>IF(H2359&gt;0,I2359/H2359,0)</x:f>
        <x:v>0.000004698079364746732</x:v>
      </x:c>
      <x:c r="K2359" s="80" t="n">
        <x:f>(H2359*J2359+I2359)*'Inputs'!$D$50*(1+'Inputs'!$G$50)^(B2359/30)</x:f>
        <x:v>738.4314560791717</x:v>
      </x:c>
      <x:c r="L2359" s="80" t="n">
        <x:f>MAX(0,K2359*'Inputs'!$E$50)</x:f>
        <x:v>0</x:v>
      </x:c>
      <x:c r="M2359" s="80" t="n">
        <x:f>MAX(0,-K2359*'Inputs'!$E$50)</x:f>
        <x:v>0</x:v>
      </x:c>
      <x:c r="N2359" s="78" t="n">
        <x:f>H2359*(L2359*(1-'Inputs'!$B$15))/(I2359+L2359*(1-'Inputs'!$B$15))</x:f>
        <x:v>0</x:v>
      </x:c>
      <x:c r="O2359" s="78" t="n">
        <x:f>H2359-N2359</x:f>
        <x:v>78588652.8035462</x:v>
      </x:c>
      <x:c r="P2359" s="78" t="n">
        <x:f>I2359+L2359*(1-'Inputs'!$B$17)</x:f>
        <x:v>369.2157280395858</x:v>
      </x:c>
      <x:c r="Q2359" s="78" t="n">
        <x:f>IF(J2359&gt;0,M2359/J2359,0)</x:f>
        <x:v>0</x:v>
      </x:c>
      <x:c r="R2359" s="78" t="n">
        <x:f>IF(B2359='Inputs'!$H$50,'Inputs'!$B$27*'Inputs'!$I$50,0)</x:f>
        <x:v>0</x:v>
      </x:c>
      <x:c r="S2359" s="78" t="n">
        <x:f>Q2359+G2359+R2359</x:f>
        <x:v>475238.0840683059</x:v>
      </x:c>
      <x:c r="T2359" s="78" t="n">
        <x:f>P2359*(S2359*(1-'Inputs'!$B$15))/(O2359+S2359*(1-'Inputs'!$B$15))</x:f>
        <x:v>2.1972250739175414</x:v>
      </x:c>
      <x:c r="U2359" s="78" t="n">
        <x:f>O2359+S2359*(1-'Inputs'!$B$17)</x:f>
        <x:v>79061978.46071686</x:v>
      </x:c>
      <x:c r="V2359" s="78" t="n">
        <x:f>P2359-T2359</x:f>
        <x:v>367.0185029656683</x:v>
      </x:c>
      <x:c r="W2359" s="79" t="n">
        <x:f>IF(U2359&gt;0,V2359/U2359,0)</x:f>
        <x:v>0.00000464216188503336</x:v>
      </x:c>
      <x:c r="X2359" s="80" t="n">
        <x:f>W2359*('Inputs'!$B$6-AC2359)</x:f>
        <x:v>4519.08292312652</x:v>
      </x:c>
      <x:c r="Y2359" s="80" t="n">
        <x:f>2*V2359</x:f>
        <x:v>734.0370059313366</x:v>
      </x:c>
      <x:c r="Z2359" s="80" t="n">
        <x:f>K2359*'Inputs'!$B$16+(G2359+R2359)*J2359*'Inputs'!$B$16</x:f>
        <x:v>4.443984973891648</x:v>
      </x:c>
      <x:c r="AA2359" s="80" t="n">
        <x:f>K2359*(1+'Inputs'!$E$50)/2*'Inputs'!$B$17</x:f>
        <x:v>1.485777577624088</x:v>
      </x:c>
      <x:c r="AB2359" s="78" t="n">
        <x:f>(IF(J2359&gt;0,K2359*(1-'Inputs'!$E$50)/2/J2359,0)+G2359+R2359)*'Inputs'!$B$17</x:f>
        <x:v>318164.55085559166</x:v>
      </x:c>
      <x:c r="AC2359" s="78" t="n">
        <x:f>AC2358+AB2359</x:f>
        <x:v>26513285.17940228</x:v>
      </x:c>
      <x:c r="AD2359" s="80" t="n">
        <x:f>Z2359/(1+'Inputs'!$C$50)</x:f>
        <x:v>2.221992486945824</x:v>
      </x:c>
      <x:c r="AE2359" s="80" t="n">
        <x:f>Z2359-AD2359</x:f>
        <x:v>2.221992486945824</x:v>
      </x:c>
      <x:c r="AF2359" s="80" t="n">
        <x:f>D2359*W2359</x:f>
        <x:v>1.3094496390815746</x:v>
      </x:c>
      <x:c r="AG2359" s="80" t="n">
        <x:f>C2359*W2359</x:f>
        <x:v>3.055382491190318</x:v>
      </x:c>
      <x:c r="AH2359" s="80" t="n">
        <x:f>2*'Inputs'!$B$8*'Inputs'!$C$50</x:f>
        <x:v>5000</x:v>
      </x:c>
      <x:c r="AI2359" s="81" t="n">
        <x:f>IF(AH2359&gt;0,(AE2359+AF2359)/AH2359*365,0)</x:f>
        <x:v>0.25779527520000006</x:v>
      </x:c>
      <x:c r="AJ2359" s="81" t="n">
        <x:f>IF('Inputs'!$B$50&gt;0,AG2359/('Inputs'!$B$19*'Inputs'!$B$50)*365,0)</x:f>
        <x:v>0.11152146092844661</x:v>
      </x:c>
      <x:c r="AK2359" s="81" t="n">
        <x:f>W2359/MAX($W$2194:W2359)-1</x:f>
        <x:v>-0.9944918787514369</x:v>
      </x:c>
      <x:c r="AL2359" s="83" t="n">
        <x:f>'Inputs'!$B$50</x:f>
        <x:v>1</x:v>
      </x:c>
      <x:c r="AM2359" s="83" t="n">
        <x:f>'Inputs'!$C$50</x:f>
        <x:v>1</x:v>
      </x:c>
      <x:c r="AN2359" s="83" t="n">
        <x:f>'Inputs'!$D$50</x:f>
        <x:v>1</x:v>
      </x:c>
      <x:c r="AO2359" s="81" t="n">
        <x:f>'Inputs'!$E$50</x:f>
        <x:v>0</x:v>
      </x:c>
    </x:row>
    <x:row r="2360">
      <x:c r="A2360" s="59" t="str">
        <x:v>Whale exit</x:v>
      </x:c>
      <x:c r="B2360" s="59" t="n">
        <x:v>167</x:v>
      </x:c>
      <x:c r="C2360" s="78" t="n">
        <x:f>(('Inputs'!$B$29*(3*167*'Inputs'!$B$12-167^2)/(2*'Inputs'!$B$12^2))-('Inputs'!$B$29*(3*166*'Inputs'!$B$12-166^2)/(2*'Inputs'!$B$12^2)))*'Inputs'!$B$50</x:f>
        <x:v>657855.8359917402</x:v>
      </x:c>
      <x:c r="D2360" s="78" t="n">
        <x:f>IF('Inputs'!$C$50&gt;0,('Inputs'!$B$30*(3*167*'Inputs'!$B$12-167^2)/(2*'Inputs'!$B$12^2))-('Inputs'!$B$30*(3*166*'Inputs'!$B$12-166^2)/(2*'Inputs'!$B$12^2)),0)</x:f>
        <x:v>281938.2154250294</x:v>
      </x:c>
      <x:c r="E2360" s="78" t="n">
        <x:f>C2360+D2360</x:f>
        <x:v>939794.0514167696</x:v>
      </x:c>
      <x:c r="F2360" s="78" t="n">
        <x:f>'Inputs'!$B$13*E2360+(1-'Inputs'!$B$13)/'Inputs'!$B$14*SUM(E2305:E2360)</x:f>
        <x:v>950011.7282792255</x:v>
      </x:c>
      <x:c r="G2360" s="78" t="n">
        <x:f>F2360*'Inputs'!$F$50</x:f>
        <x:v>475005.86413961276</x:v>
      </x:c>
      <x:c r="H2360" s="78" t="n">
        <x:f>U2359</x:f>
        <x:v>79061978.46071686</x:v>
      </x:c>
      <x:c r="I2360" s="78" t="n">
        <x:f>V2359</x:f>
        <x:v>367.0185029656683</x:v>
      </x:c>
      <x:c r="J2360" s="79" t="n">
        <x:f>IF(H2360&gt;0,I2360/H2360,0)</x:f>
        <x:v>0.00000464216188503336</x:v>
      </x:c>
      <x:c r="K2360" s="80" t="n">
        <x:f>(H2360*J2360+I2360)*'Inputs'!$D$50*(1+'Inputs'!$G$50)^(B2360/30)</x:f>
        <x:v>734.0370059313366</x:v>
      </x:c>
      <x:c r="L2360" s="80" t="n">
        <x:f>MAX(0,K2360*'Inputs'!$E$50)</x:f>
        <x:v>0</x:v>
      </x:c>
      <x:c r="M2360" s="80" t="n">
        <x:f>MAX(0,-K2360*'Inputs'!$E$50)</x:f>
        <x:v>0</x:v>
      </x:c>
      <x:c r="N2360" s="78" t="n">
        <x:f>H2360*(L2360*(1-'Inputs'!$B$15))/(I2360+L2360*(1-'Inputs'!$B$15))</x:f>
        <x:v>0</x:v>
      </x:c>
      <x:c r="O2360" s="78" t="n">
        <x:f>H2360-N2360</x:f>
        <x:v>79061978.46071686</x:v>
      </x:c>
      <x:c r="P2360" s="78" t="n">
        <x:f>I2360+L2360*(1-'Inputs'!$B$17)</x:f>
        <x:v>367.0185029656683</x:v>
      </x:c>
      <x:c r="Q2360" s="78" t="n">
        <x:f>IF(J2360&gt;0,M2360/J2360,0)</x:f>
        <x:v>0</x:v>
      </x:c>
      <x:c r="R2360" s="78" t="n">
        <x:f>IF(B2360='Inputs'!$H$50,'Inputs'!$B$27*'Inputs'!$I$50,0)</x:f>
        <x:v>0</x:v>
      </x:c>
      <x:c r="S2360" s="78" t="n">
        <x:f>Q2360+G2360+R2360</x:f>
        <x:v>475005.86413961276</x:v>
      </x:c>
      <x:c r="T2360" s="78" t="n">
        <x:f>P2360*(S2360*(1-'Inputs'!$B$15))/(O2360+S2360*(1-'Inputs'!$B$15))</x:f>
        <x:v>2.170095978533153</x:v>
      </x:c>
      <x:c r="U2360" s="78" t="n">
        <x:f>O2360+S2360*(1-'Inputs'!$B$17)</x:f>
        <x:v>79535072.83244544</x:v>
      </x:c>
      <x:c r="V2360" s="78" t="n">
        <x:f>P2360-T2360</x:f>
        <x:v>364.84840698713515</x:v>
      </x:c>
      <x:c r="W2360" s="79" t="n">
        <x:f>IF(U2360&gt;0,V2360/U2360,0)</x:f>
        <x:v>0.0000045872643853077525</x:v>
      </x:c>
      <x:c r="X2360" s="80" t="n">
        <x:f>W2360*('Inputs'!$B$6-AC2360)</x:f>
        <x:v>4464.172698335955</x:v>
      </x:c>
      <x:c r="Y2360" s="80" t="n">
        <x:f>2*V2360</x:f>
        <x:v>729.6968139742703</x:v>
      </x:c>
      <x:c r="Z2360" s="80" t="n">
        <x:f>K2360*'Inputs'!$B$16+(G2360+R2360)*J2360*'Inputs'!$B$16</x:f>
        <x:v>4.417452360294077</x:v>
      </x:c>
      <x:c r="AA2360" s="80" t="n">
        <x:f>K2360*(1+'Inputs'!$E$50)/2*'Inputs'!$B$17</x:f>
        <x:v>1.4769356256163715</x:v>
      </x:c>
      <x:c r="AB2360" s="78" t="n">
        <x:f>(IF(J2360&gt;0,K2360*(1-'Inputs'!$E$50)/2/J2360,0)+G2360+R2360)*'Inputs'!$B$17</x:f>
        <x:v>320068.3473837283</x:v>
      </x:c>
      <x:c r="AC2360" s="78" t="n">
        <x:f>AC2359+AB2360</x:f>
        <x:v>26833353.52678601</x:v>
      </x:c>
      <x:c r="AD2360" s="80" t="n">
        <x:f>Z2360/(1+'Inputs'!$C$50)</x:f>
        <x:v>2.2087261801470386</x:v>
      </x:c>
      <x:c r="AE2360" s="80" t="n">
        <x:f>Z2360-AD2360</x:f>
        <x:v>2.2087261801470386</x:v>
      </x:c>
      <x:c r="AF2360" s="80" t="n">
        <x:f>D2360*W2360</x:f>
        <x:v>1.2933251344764622</x:v>
      </x:c>
      <x:c r="AG2360" s="80" t="n">
        <x:f>C2360*W2360</x:f>
        <x:v>3.017758647111768</x:v>
      </x:c>
      <x:c r="AH2360" s="80" t="n">
        <x:f>2*'Inputs'!$B$8*'Inputs'!$C$50</x:f>
        <x:v>5000</x:v>
      </x:c>
      <x:c r="AI2360" s="81" t="n">
        <x:f>IF(AH2360&gt;0,(AE2360+AF2360)/AH2360*365,0)</x:f>
        <x:v>0.25564974596751555</x:v>
      </x:c>
      <x:c r="AJ2360" s="81" t="n">
        <x:f>IF('Inputs'!$B$50&gt;0,AG2360/('Inputs'!$B$19*'Inputs'!$B$50)*365,0)</x:f>
        <x:v>0.11014819061957953</x:v>
      </x:c>
      <x:c r="AK2360" s="81" t="n">
        <x:f>W2360/MAX($W$2194:W2360)-1</x:f>
        <x:v>-0.9945570169547612</x:v>
      </x:c>
      <x:c r="AL2360" s="83" t="n">
        <x:f>'Inputs'!$B$50</x:f>
        <x:v>1</x:v>
      </x:c>
      <x:c r="AM2360" s="83" t="n">
        <x:f>'Inputs'!$C$50</x:f>
        <x:v>1</x:v>
      </x:c>
      <x:c r="AN2360" s="83" t="n">
        <x:f>'Inputs'!$D$50</x:f>
        <x:v>1</x:v>
      </x:c>
      <x:c r="AO2360" s="81" t="n">
        <x:f>'Inputs'!$E$50</x:f>
        <x:v>0</x:v>
      </x:c>
    </x:row>
    <x:row r="2361">
      <x:c r="A2361" s="59" t="str">
        <x:v>Whale exit</x:v>
      </x:c>
      <x:c r="B2361" s="59" t="n">
        <x:v>168</x:v>
      </x:c>
      <x:c r="C2361" s="78" t="n">
        <x:f>(('Inputs'!$B$29*(3*168*'Inputs'!$B$12-168^2)/(2*'Inputs'!$B$12^2))-('Inputs'!$B$29*(3*167*'Inputs'!$B$12-167^2)/(2*'Inputs'!$B$12^2)))*'Inputs'!$B$50</x:f>
        <x:v>657530.7280915678</x:v>
      </x:c>
      <x:c r="D2361" s="78" t="n">
        <x:f>IF('Inputs'!$C$50&gt;0,('Inputs'!$B$30*(3*168*'Inputs'!$B$12-168^2)/(2*'Inputs'!$B$12^2))-('Inputs'!$B$30*(3*167*'Inputs'!$B$12-167^2)/(2*'Inputs'!$B$12^2)),0)</x:f>
        <x:v>281798.88346782327</x:v>
      </x:c>
      <x:c r="E2361" s="78" t="n">
        <x:f>C2361+D2361</x:f>
        <x:v>939329.611559391</x:v>
      </x:c>
      <x:c r="F2361" s="78" t="n">
        <x:f>'Inputs'!$B$13*E2361+(1-'Inputs'!$B$13)/'Inputs'!$B$14*SUM(E2306:E2361)</x:f>
        <x:v>949547.2884218425</x:v>
      </x:c>
      <x:c r="G2361" s="78" t="n">
        <x:f>F2361*'Inputs'!$F$50</x:f>
        <x:v>474773.64421092125</x:v>
      </x:c>
      <x:c r="H2361" s="78" t="n">
        <x:f>U2360</x:f>
        <x:v>79535072.83244544</x:v>
      </x:c>
      <x:c r="I2361" s="78" t="n">
        <x:f>V2360</x:f>
        <x:v>364.84840698713515</x:v>
      </x:c>
      <x:c r="J2361" s="79" t="n">
        <x:f>IF(H2361&gt;0,I2361/H2361,0)</x:f>
        <x:v>0.0000045872643853077525</x:v>
      </x:c>
      <x:c r="K2361" s="80" t="n">
        <x:f>(H2361*J2361+I2361)*'Inputs'!$D$50*(1+'Inputs'!$G$50)^(B2361/30)</x:f>
        <x:v>729.6968139742703</x:v>
      </x:c>
      <x:c r="L2361" s="80" t="n">
        <x:f>MAX(0,K2361*'Inputs'!$E$50)</x:f>
        <x:v>0</x:v>
      </x:c>
      <x:c r="M2361" s="80" t="n">
        <x:f>MAX(0,-K2361*'Inputs'!$E$50)</x:f>
        <x:v>0</x:v>
      </x:c>
      <x:c r="N2361" s="78" t="n">
        <x:f>H2361*(L2361*(1-'Inputs'!$B$15))/(I2361+L2361*(1-'Inputs'!$B$15))</x:f>
        <x:v>0</x:v>
      </x:c>
      <x:c r="O2361" s="78" t="n">
        <x:f>H2361-N2361</x:f>
        <x:v>79535072.83244544</x:v>
      </x:c>
      <x:c r="P2361" s="78" t="n">
        <x:f>I2361+L2361*(1-'Inputs'!$B$17)</x:f>
        <x:v>364.84840698713515</x:v>
      </x:c>
      <x:c r="Q2361" s="78" t="n">
        <x:f>IF(J2361&gt;0,M2361/J2361,0)</x:f>
        <x:v>0</x:v>
      </x:c>
      <x:c r="R2361" s="78" t="n">
        <x:f>IF(B2361='Inputs'!$H$50,'Inputs'!$B$27*'Inputs'!$I$50,0)</x:f>
        <x:v>0</x:v>
      </x:c>
      <x:c r="S2361" s="78" t="n">
        <x:f>Q2361+G2361+R2361</x:f>
        <x:v>474773.64421092125</x:v>
      </x:c>
      <x:c r="T2361" s="78" t="n">
        <x:f>P2361*(S2361*(1-'Inputs'!$B$15))/(O2361+S2361*(1-'Inputs'!$B$15))</x:f>
        <x:v>2.143465933952223</x:v>
      </x:c>
      <x:c r="U2361" s="78" t="n">
        <x:f>O2361+S2361*(1-'Inputs'!$B$17)</x:f>
        <x:v>80007935.91873197</x:v>
      </x:c>
      <x:c r="V2361" s="78" t="n">
        <x:f>P2361-T2361</x:f>
        <x:v>362.70494105318295</x:v>
      </x:c>
      <x:c r="W2361" s="79" t="n">
        <x:f>IF(U2361&gt;0,V2361/U2361,0)</x:f>
        <x:v>0.000004533362058253825</x:v>
      </x:c>
      <x:c r="X2361" s="80" t="n">
        <x:f>W2361*('Inputs'!$B$6-AC2361)</x:f>
        <x:v>4410.257139398076</x:v>
      </x:c>
      <x:c r="Y2361" s="80" t="n">
        <x:f>2*V2361</x:f>
        <x:v>725.4098821063659</x:v>
      </x:c>
      <x:c r="Z2361" s="80" t="n">
        <x:f>K2361*'Inputs'!$B$16+(G2361+R2361)*J2361*'Inputs'!$B$16</x:f>
        <x:v>4.391248357220651</x:v>
      </x:c>
      <x:c r="AA2361" s="80" t="n">
        <x:f>K2361*(1+'Inputs'!$E$50)/2*'Inputs'!$B$17</x:f>
        <x:v>1.4682028450186526</x:v>
      </x:c>
      <x:c r="AB2361" s="78" t="n">
        <x:f>(IF(J2361&gt;0,K2361*(1-'Inputs'!$E$50)/2/J2361,0)+G2361+R2361)*'Inputs'!$B$17</x:f>
        <x:v>321971.21318573994</x:v>
      </x:c>
      <x:c r="AC2361" s="78" t="n">
        <x:f>AC2360+AB2361</x:f>
        <x:v>27155324.73997175</x:v>
      </x:c>
      <x:c r="AD2361" s="80" t="n">
        <x:f>Z2361/(1+'Inputs'!$C$50)</x:f>
        <x:v>2.1956241786103257</x:v>
      </x:c>
      <x:c r="AE2361" s="80" t="n">
        <x:f>Z2361-AD2361</x:f>
        <x:v>2.1956241786103257</x:v>
      </x:c>
      <x:c r="AF2361" s="80" t="n">
        <x:f>D2361*W2361</x:f>
        <x:v>1.277496366371321</x:v>
      </x:c>
      <x:c r="AG2361" s="80" t="n">
        <x:f>C2361*W2361</x:f>
        <x:v>2.980824854866326</x:v>
      </x:c>
      <x:c r="AH2361" s="80" t="n">
        <x:f>2*'Inputs'!$B$8*'Inputs'!$C$50</x:f>
        <x:v>5000</x:v>
      </x:c>
      <x:c r="AI2361" s="81" t="n">
        <x:f>IF(AH2361&gt;0,(AE2361+AF2361)/AH2361*365,0)</x:f>
        <x:v>0.2535377997836602</x:v>
      </x:c>
      <x:c r="AJ2361" s="81" t="n">
        <x:f>IF('Inputs'!$B$50&gt;0,AG2361/('Inputs'!$B$19*'Inputs'!$B$50)*365,0)</x:f>
        <x:v>0.10880010720262089</x:v>
      </x:c>
      <x:c r="AK2361" s="81" t="n">
        <x:f>W2361/MAX($W$2194:W2361)-1</x:f>
        <x:v>-0.9946209743436558</x:v>
      </x:c>
      <x:c r="AL2361" s="83" t="n">
        <x:f>'Inputs'!$B$50</x:f>
        <x:v>1</x:v>
      </x:c>
      <x:c r="AM2361" s="83" t="n">
        <x:f>'Inputs'!$C$50</x:f>
        <x:v>1</x:v>
      </x:c>
      <x:c r="AN2361" s="83" t="n">
        <x:f>'Inputs'!$D$50</x:f>
        <x:v>1</x:v>
      </x:c>
      <x:c r="AO2361" s="81" t="n">
        <x:f>'Inputs'!$E$50</x:f>
        <x:v>0</x:v>
      </x:c>
    </x:row>
    <x:row r="2362">
      <x:c r="A2362" s="59" t="str">
        <x:v>Whale exit</x:v>
      </x:c>
      <x:c r="B2362" s="59" t="n">
        <x:v>169</x:v>
      </x:c>
      <x:c r="C2362" s="78" t="n">
        <x:f>(('Inputs'!$B$29*(3*169*'Inputs'!$B$12-169^2)/(2*'Inputs'!$B$12^2))-('Inputs'!$B$29*(3*168*'Inputs'!$B$12-168^2)/(2*'Inputs'!$B$12^2)))*'Inputs'!$B$50</x:f>
        <x:v>657205.6201914102</x:v>
      </x:c>
      <x:c r="D2362" s="78" t="n">
        <x:f>IF('Inputs'!$C$50&gt;0,('Inputs'!$B$30*(3*169*'Inputs'!$B$12-169^2)/(2*'Inputs'!$B$12^2))-('Inputs'!$B$30*(3*168*'Inputs'!$B$12-168^2)/(2*'Inputs'!$B$12^2)),0)</x:f>
        <x:v>281659.55151060224</x:v>
      </x:c>
      <x:c r="E2362" s="78" t="n">
        <x:f>C2362+D2362</x:f>
        <x:v>938865.1717020124</x:v>
      </x:c>
      <x:c r="F2362" s="78" t="n">
        <x:f>'Inputs'!$B$13*E2362+(1-'Inputs'!$B$13)/'Inputs'!$B$14*SUM(E2307:E2362)</x:f>
        <x:v>949082.8485644596</x:v>
      </x:c>
      <x:c r="G2362" s="78" t="n">
        <x:f>F2362*'Inputs'!$F$50</x:f>
        <x:v>474541.4242822298</x:v>
      </x:c>
      <x:c r="H2362" s="78" t="n">
        <x:f>U2361</x:f>
        <x:v>80007935.91873197</x:v>
      </x:c>
      <x:c r="I2362" s="78" t="n">
        <x:f>V2361</x:f>
        <x:v>362.70494105318295</x:v>
      </x:c>
      <x:c r="J2362" s="79" t="n">
        <x:f>IF(H2362&gt;0,I2362/H2362,0)</x:f>
        <x:v>0.000004533362058253825</x:v>
      </x:c>
      <x:c r="K2362" s="80" t="n">
        <x:f>(H2362*J2362+I2362)*'Inputs'!$D$50*(1+'Inputs'!$G$50)^(B2362/30)</x:f>
        <x:v>725.4098821063659</x:v>
      </x:c>
      <x:c r="L2362" s="80" t="n">
        <x:f>MAX(0,K2362*'Inputs'!$E$50)</x:f>
        <x:v>0</x:v>
      </x:c>
      <x:c r="M2362" s="80" t="n">
        <x:f>MAX(0,-K2362*'Inputs'!$E$50)</x:f>
        <x:v>0</x:v>
      </x:c>
      <x:c r="N2362" s="78" t="n">
        <x:f>H2362*(L2362*(1-'Inputs'!$B$15))/(I2362+L2362*(1-'Inputs'!$B$15))</x:f>
        <x:v>0</x:v>
      </x:c>
      <x:c r="O2362" s="78" t="n">
        <x:f>H2362-N2362</x:f>
        <x:v>80007935.91873197</x:v>
      </x:c>
      <x:c r="P2362" s="78" t="n">
        <x:f>I2362+L2362*(1-'Inputs'!$B$17)</x:f>
        <x:v>362.70494105318295</x:v>
      </x:c>
      <x:c r="Q2362" s="78" t="n">
        <x:f>IF(J2362&gt;0,M2362/J2362,0)</x:f>
        <x:v>0</x:v>
      </x:c>
      <x:c r="R2362" s="78" t="n">
        <x:f>IF(B2362='Inputs'!$H$50,'Inputs'!$B$27*'Inputs'!$I$50,0)</x:f>
        <x:v>0</x:v>
      </x:c>
      <x:c r="S2362" s="78" t="n">
        <x:f>Q2362+G2362+R2362</x:f>
        <x:v>474541.4242822298</x:v>
      </x:c>
      <x:c r="T2362" s="78" t="n">
        <x:f>P2362*(S2362*(1-'Inputs'!$B$15))/(O2362+S2362*(1-'Inputs'!$B$15))</x:f>
        <x:v>2.117322767982301</x:v>
      </x:c>
      <x:c r="U2362" s="78" t="n">
        <x:f>O2362+S2362*(1-'Inputs'!$B$17)</x:f>
        <x:v>80480567.71957645</x:v>
      </x:c>
      <x:c r="V2362" s="78" t="n">
        <x:f>P2362-T2362</x:f>
        <x:v>360.5876182852007</x:v>
      </x:c>
      <x:c r="W2362" s="79" t="n">
        <x:f>IF(U2362&gt;0,V2362/U2362,0)</x:f>
        <x:v>0.000004480430848122481</x:v>
      </x:c>
      <x:c r="X2362" s="80" t="n">
        <x:f>W2362*('Inputs'!$B$6-AC2362)</x:f>
        <x:v>4357.312202222378</x:v>
      </x:c>
      <x:c r="Y2362" s="80" t="n">
        <x:f>2*V2362</x:f>
        <x:v>721.1752365704014</x:v>
      </x:c>
      <x:c r="Z2362" s="80" t="n">
        <x:f>K2362*'Inputs'!$B$16+(G2362+R2362)*J2362*'Inputs'!$B$16</x:f>
        <x:v>4.36536690116566</x:v>
      </x:c>
      <x:c r="AA2362" s="80" t="n">
        <x:f>K2362*(1+'Inputs'!$E$50)/2*'Inputs'!$B$17</x:f>
        <x:v>1.459577227578201</x:v>
      </x:c>
      <x:c r="AB2362" s="78" t="n">
        <x:f>(IF(J2362&gt;0,K2362*(1-'Inputs'!$E$50)/2/J2362,0)+G2362+R2362)*'Inputs'!$B$17</x:f>
        <x:v>323873.14826162654</x:v>
      </x:c>
      <x:c r="AC2362" s="78" t="n">
        <x:f>AC2361+AB2362</x:f>
        <x:v>27479197.888233375</x:v>
      </x:c>
      <x:c r="AD2362" s="80" t="n">
        <x:f>Z2362/(1+'Inputs'!$C$50)</x:f>
        <x:v>2.18268345058283</x:v>
      </x:c>
      <x:c r="AE2362" s="80" t="n">
        <x:f>Z2362-AD2362</x:f>
        <x:v>2.18268345058283</x:v>
      </x:c>
      <x:c r="AF2362" s="80" t="n">
        <x:f>D2362*W2362</x:f>
        <x:v>1.2619561432564452</x:v>
      </x:c>
      <x:c r="AG2362" s="80" t="n">
        <x:f>C2362*W2362</x:f>
        <x:v>2.944564334265061</x:v>
      </x:c>
      <x:c r="AH2362" s="80" t="n">
        <x:f>2*'Inputs'!$B$8*'Inputs'!$C$50</x:f>
        <x:v>5000</x:v>
      </x:c>
      <x:c r="AI2362" s="81" t="n">
        <x:f>IF(AH2362&gt;0,(AE2362+AF2362)/AH2362*365,0)</x:f>
        <x:v>0.2514586903502671</x:v>
      </x:c>
      <x:c r="AJ2362" s="81" t="n">
        <x:f>IF('Inputs'!$B$50&gt;0,AG2362/('Inputs'!$B$19*'Inputs'!$B$50)*365,0)</x:f>
        <x:v>0.10747659820067473</x:v>
      </x:c>
      <x:c r="AK2362" s="81" t="n">
        <x:f>W2362/MAX($W$2194:W2362)-1</x:f>
        <x:v>-0.9946837794612835</x:v>
      </x:c>
      <x:c r="AL2362" s="83" t="n">
        <x:f>'Inputs'!$B$50</x:f>
        <x:v>1</x:v>
      </x:c>
      <x:c r="AM2362" s="83" t="n">
        <x:f>'Inputs'!$C$50</x:f>
        <x:v>1</x:v>
      </x:c>
      <x:c r="AN2362" s="83" t="n">
        <x:f>'Inputs'!$D$50</x:f>
        <x:v>1</x:v>
      </x:c>
      <x:c r="AO2362" s="81" t="n">
        <x:f>'Inputs'!$E$50</x:f>
        <x:v>0</x:v>
      </x:c>
    </x:row>
    <x:row r="2363">
      <x:c r="A2363" s="59" t="str">
        <x:v>Whale exit</x:v>
      </x:c>
      <x:c r="B2363" s="59" t="n">
        <x:v>170</x:v>
      </x:c>
      <x:c r="C2363" s="78" t="n">
        <x:f>(('Inputs'!$B$29*(3*170*'Inputs'!$B$12-170^2)/(2*'Inputs'!$B$12^2))-('Inputs'!$B$29*(3*169*'Inputs'!$B$12-169^2)/(2*'Inputs'!$B$12^2)))*'Inputs'!$B$50</x:f>
        <x:v>656880.5122912377</x:v>
      </x:c>
      <x:c r="D2363" s="78" t="n">
        <x:f>IF('Inputs'!$C$50&gt;0,('Inputs'!$B$30*(3*170*'Inputs'!$B$12-170^2)/(2*'Inputs'!$B$12^2))-('Inputs'!$B$30*(3*169*'Inputs'!$B$12-169^2)/(2*'Inputs'!$B$12^2)),0)</x:f>
        <x:v>281520.2195533812</x:v>
      </x:c>
      <x:c r="E2363" s="78" t="n">
        <x:f>C2363+D2363</x:f>
        <x:v>938400.7318446189</x:v>
      </x:c>
      <x:c r="F2363" s="78" t="n">
        <x:f>'Inputs'!$B$13*E2363+(1-'Inputs'!$B$13)/'Inputs'!$B$14*SUM(E2308:E2363)</x:f>
        <x:v>948618.4087070738</x:v>
      </x:c>
      <x:c r="G2363" s="78" t="n">
        <x:f>F2363*'Inputs'!$F$50</x:f>
        <x:v>474309.2043535369</x:v>
      </x:c>
      <x:c r="H2363" s="78" t="n">
        <x:f>U2362</x:f>
        <x:v>80480567.71957645</x:v>
      </x:c>
      <x:c r="I2363" s="78" t="n">
        <x:f>V2362</x:f>
        <x:v>360.5876182852007</x:v>
      </x:c>
      <x:c r="J2363" s="79" t="n">
        <x:f>IF(H2363&gt;0,I2363/H2363,0)</x:f>
        <x:v>0.000004480430848122481</x:v>
      </x:c>
      <x:c r="K2363" s="80" t="n">
        <x:f>(H2363*J2363+I2363)*'Inputs'!$D$50*(1+'Inputs'!$G$50)^(B2363/30)</x:f>
        <x:v>721.1752365704014</x:v>
      </x:c>
      <x:c r="L2363" s="80" t="n">
        <x:f>MAX(0,K2363*'Inputs'!$E$50)</x:f>
        <x:v>0</x:v>
      </x:c>
      <x:c r="M2363" s="80" t="n">
        <x:f>MAX(0,-K2363*'Inputs'!$E$50)</x:f>
        <x:v>0</x:v>
      </x:c>
      <x:c r="N2363" s="78" t="n">
        <x:f>H2363*(L2363*(1-'Inputs'!$B$15))/(I2363+L2363*(1-'Inputs'!$B$15))</x:f>
        <x:v>0</x:v>
      </x:c>
      <x:c r="O2363" s="78" t="n">
        <x:f>H2363-N2363</x:f>
        <x:v>80480567.71957645</x:v>
      </x:c>
      <x:c r="P2363" s="78" t="n">
        <x:f>I2363+L2363*(1-'Inputs'!$B$17)</x:f>
        <x:v>360.5876182852007</x:v>
      </x:c>
      <x:c r="Q2363" s="78" t="n">
        <x:f>IF(J2363&gt;0,M2363/J2363,0)</x:f>
        <x:v>0</x:v>
      </x:c>
      <x:c r="R2363" s="78" t="n">
        <x:f>IF(B2363='Inputs'!$H$50,'Inputs'!$B$27*'Inputs'!$I$50,0)</x:f>
        <x:v>0</x:v>
      </x:c>
      <x:c r="S2363" s="78" t="n">
        <x:f>Q2363+G2363+R2363</x:f>
        <x:v>474309.2043535369</x:v>
      </x:c>
      <x:c r="T2363" s="78" t="n">
        <x:f>P2363*(S2363*(1-'Inputs'!$B$15))/(O2363+S2363*(1-'Inputs'!$B$15))</x:f>
        <x:v>2.0916546773960865</x:v>
      </x:c>
      <x:c r="U2363" s="78" t="n">
        <x:f>O2363+S2363*(1-'Inputs'!$B$17)</x:f>
        <x:v>80952968.23497887</x:v>
      </x:c>
      <x:c r="V2363" s="78" t="n">
        <x:f>P2363-T2363</x:f>
        <x:v>358.4959636078046</x:v>
      </x:c>
      <x:c r="W2363" s="79" t="n">
        <x:f>IF(U2363&gt;0,V2363/U2363,0)</x:f>
        <x:v>0.000004428447423536256</x:v>
      </x:c>
      <x:c r="X2363" s="80" t="n">
        <x:f>W2363*('Inputs'!$B$6-AC2363)</x:f>
        <x:v>4305.31456674048</x:v>
      </x:c>
      <x:c r="Y2363" s="80" t="n">
        <x:f>2*V2363</x:f>
        <x:v>716.9919272156092</x:v>
      </x:c>
      <x:c r="Z2363" s="80" t="n">
        <x:f>K2363*'Inputs'!$B$16+(G2363+R2363)*J2363*'Inputs'!$B$16</x:f>
        <x:v>4.339802076966812</x:v>
      </x:c>
      <x:c r="AA2363" s="80" t="n">
        <x:f>K2363*(1+'Inputs'!$E$50)/2*'Inputs'!$B$17</x:f>
        <x:v>1.4510568140249525</x:v>
      </x:c>
      <x:c r="AB2363" s="78" t="n">
        <x:f>(IF(J2363&gt;0,K2363*(1-'Inputs'!$E$50)/2/J2363,0)+G2363+R2363)*'Inputs'!$B$17</x:f>
        <x:v>325774.1526113883</x:v>
      </x:c>
      <x:c r="AC2363" s="78" t="n">
        <x:f>AC2362+AB2363</x:f>
        <x:v>27804972.040844765</x:v>
      </x:c>
      <x:c r="AD2363" s="80" t="n">
        <x:f>Z2363/(1+'Inputs'!$C$50)</x:f>
        <x:v>2.169901038483406</x:v>
      </x:c>
      <x:c r="AE2363" s="80" t="n">
        <x:f>Z2363-AD2363</x:f>
        <x:v>2.169901038483406</x:v>
      </x:c>
      <x:c r="AF2363" s="80" t="n">
        <x:f>D2363*W2363</x:f>
        <x:v>1.246697490954532</x:v>
      </x:c>
      <x:c r="AG2363" s="80" t="n">
        <x:f>C2363*W2363</x:f>
        <x:v>2.9089608122273076</x:v>
      </x:c>
      <x:c r="AH2363" s="80" t="n">
        <x:f>2*'Inputs'!$B$8*'Inputs'!$C$50</x:f>
        <x:v>5000</x:v>
      </x:c>
      <x:c r="AI2363" s="81" t="n">
        <x:f>IF(AH2363&gt;0,(AE2363+AF2363)/AH2363*365,0)</x:f>
        <x:v>0.2494116926489695</x:v>
      </x:c>
      <x:c r="AJ2363" s="81" t="n">
        <x:f>IF('Inputs'!$B$50&gt;0,AG2363/('Inputs'!$B$19*'Inputs'!$B$50)*365,0)</x:f>
        <x:v>0.10617706964629672</x:v>
      </x:c>
      <x:c r="AK2363" s="81" t="n">
        <x:f>W2363/MAX($W$2194:W2363)-1</x:f>
        <x:v>-0.9947454599913098</x:v>
      </x:c>
      <x:c r="AL2363" s="83" t="n">
        <x:f>'Inputs'!$B$50</x:f>
        <x:v>1</x:v>
      </x:c>
      <x:c r="AM2363" s="83" t="n">
        <x:f>'Inputs'!$C$50</x:f>
        <x:v>1</x:v>
      </x:c>
      <x:c r="AN2363" s="83" t="n">
        <x:f>'Inputs'!$D$50</x:f>
        <x:v>1</x:v>
      </x:c>
      <x:c r="AO2363" s="81" t="n">
        <x:f>'Inputs'!$E$50</x:f>
        <x:v>0</x:v>
      </x:c>
    </x:row>
    <x:row r="2364">
      <x:c r="A2364" s="59" t="str">
        <x:v>Whale exit</x:v>
      </x:c>
      <x:c r="B2364" s="59" t="n">
        <x:v>171</x:v>
      </x:c>
      <x:c r="C2364" s="78" t="n">
        <x:f>(('Inputs'!$B$29*(3*171*'Inputs'!$B$12-171^2)/(2*'Inputs'!$B$12^2))-('Inputs'!$B$29*(3*170*'Inputs'!$B$12-170^2)/(2*'Inputs'!$B$12^2)))*'Inputs'!$B$50</x:f>
        <x:v>656555.4043910652</x:v>
      </x:c>
      <x:c r="D2364" s="78" t="n">
        <x:f>IF('Inputs'!$C$50&gt;0,('Inputs'!$B$30*(3*171*'Inputs'!$B$12-171^2)/(2*'Inputs'!$B$12^2))-('Inputs'!$B$30*(3*170*'Inputs'!$B$12-170^2)/(2*'Inputs'!$B$12^2)),0)</x:f>
        <x:v>281380.8875961751</x:v>
      </x:c>
      <x:c r="E2364" s="78" t="n">
        <x:f>C2364+D2364</x:f>
        <x:v>937936.2919872403</x:v>
      </x:c>
      <x:c r="F2364" s="78" t="n">
        <x:f>'Inputs'!$B$13*E2364+(1-'Inputs'!$B$13)/'Inputs'!$B$14*SUM(E2309:E2364)</x:f>
        <x:v>948153.9688496906</x:v>
      </x:c>
      <x:c r="G2364" s="78" t="n">
        <x:f>F2364*'Inputs'!$F$50</x:f>
        <x:v>474076.9844248453</x:v>
      </x:c>
      <x:c r="H2364" s="78" t="n">
        <x:f>U2363</x:f>
        <x:v>80952968.23497887</x:v>
      </x:c>
      <x:c r="I2364" s="78" t="n">
        <x:f>V2363</x:f>
        <x:v>358.4959636078046</x:v>
      </x:c>
      <x:c r="J2364" s="79" t="n">
        <x:f>IF(H2364&gt;0,I2364/H2364,0)</x:f>
        <x:v>0.000004428447423536256</x:v>
      </x:c>
      <x:c r="K2364" s="80" t="n">
        <x:f>(H2364*J2364+I2364)*'Inputs'!$D$50*(1+'Inputs'!$G$50)^(B2364/30)</x:f>
        <x:v>716.9919272156092</x:v>
      </x:c>
      <x:c r="L2364" s="80" t="n">
        <x:f>MAX(0,K2364*'Inputs'!$E$50)</x:f>
        <x:v>0</x:v>
      </x:c>
      <x:c r="M2364" s="80" t="n">
        <x:f>MAX(0,-K2364*'Inputs'!$E$50)</x:f>
        <x:v>0</x:v>
      </x:c>
      <x:c r="N2364" s="78" t="n">
        <x:f>H2364*(L2364*(1-'Inputs'!$B$15))/(I2364+L2364*(1-'Inputs'!$B$15))</x:f>
        <x:v>0</x:v>
      </x:c>
      <x:c r="O2364" s="78" t="n">
        <x:f>H2364-N2364</x:f>
        <x:v>80952968.23497887</x:v>
      </x:c>
      <x:c r="P2364" s="78" t="n">
        <x:f>I2364+L2364*(1-'Inputs'!$B$17)</x:f>
        <x:v>358.4959636078046</x:v>
      </x:c>
      <x:c r="Q2364" s="78" t="n">
        <x:f>IF(J2364&gt;0,M2364/J2364,0)</x:f>
        <x:v>0</x:v>
      </x:c>
      <x:c r="R2364" s="78" t="n">
        <x:f>IF(B2364='Inputs'!$H$50,'Inputs'!$B$27*'Inputs'!$I$50,0)</x:f>
        <x:v>0</x:v>
      </x:c>
      <x:c r="S2364" s="78" t="n">
        <x:f>Q2364+G2364+R2364</x:f>
        <x:v>474076.9844248453</x:v>
      </x:c>
      <x:c r="T2364" s="78" t="n">
        <x:f>P2364*(S2364*(1-'Inputs'!$B$15))/(O2364+S2364*(1-'Inputs'!$B$15))</x:f>
        <x:v>2.0664502145888446</x:v>
      </x:c>
      <x:c r="U2364" s="78" t="n">
        <x:f>O2364+S2364*(1-'Inputs'!$B$17)</x:f>
        <x:v>81425137.46493922</x:v>
      </x:c>
      <x:c r="V2364" s="78" t="n">
        <x:f>P2364-T2364</x:f>
        <x:v>356.42951339321576</x:v>
      </x:c>
      <x:c r="W2364" s="79" t="n">
        <x:f>IF(U2364&gt;0,V2364/U2364,0)</x:f>
        <x:v>0.000004377389151436071</x:v>
      </x:c>
      <x:c r="X2364" s="80" t="n">
        <x:f>W2364*('Inputs'!$B$6-AC2364)</x:f>
        <x:v>4254.241610865367</x:v>
      </x:c>
      <x:c r="Y2364" s="80" t="n">
        <x:f>2*V2364</x:f>
        <x:v>712.8590267864315</x:v>
      </x:c>
      <x:c r="Z2364" s="80" t="n">
        <x:f>K2364*'Inputs'!$B$16+(G2364+R2364)*J2364*'Inputs'!$B$16</x:f>
        <x:v>4.31454811329506</x:v>
      </x:c>
      <x:c r="AA2364" s="80" t="n">
        <x:f>K2364*(1+'Inputs'!$E$50)/2*'Inputs'!$B$17</x:f>
        <x:v>1.4426396925867389</x:v>
      </x:c>
      <x:c r="AB2364" s="78" t="n">
        <x:f>(IF(J2364&gt;0,K2364*(1-'Inputs'!$E$50)/2/J2364,0)+G2364+R2364)*'Inputs'!$B$17</x:f>
        <x:v>327674.22623502504</x:v>
      </x:c>
      <x:c r="AC2364" s="78" t="n">
        <x:f>AC2363+AB2364</x:f>
        <x:v>28132646.26707979</x:v>
      </x:c>
      <x:c r="AD2364" s="80" t="n">
        <x:f>Z2364/(1+'Inputs'!$C$50)</x:f>
        <x:v>2.15727405664753</x:v>
      </x:c>
      <x:c r="AE2364" s="80" t="n">
        <x:f>Z2364-AD2364</x:f>
        <x:v>2.15727405664753</x:v>
      </x:c>
      <x:c r="AF2364" s="80" t="n">
        <x:f>D2364*W2364</x:f>
        <x:v>1.2317136447849493</x:v>
      </x:c>
      <x:c r="AG2364" s="80" t="n">
        <x:f>C2364*W2364</x:f>
        <x:v>2.8739985044981715</x:v>
      </x:c>
      <x:c r="AH2364" s="80" t="n">
        <x:f>2*'Inputs'!$B$8*'Inputs'!$C$50</x:f>
        <x:v>5000</x:v>
      </x:c>
      <x:c r="AI2364" s="81" t="n">
        <x:f>IF(AH2364&gt;0,(AE2364+AF2364)/AH2364*365,0)</x:f>
        <x:v>0.24739610220457098</x:v>
      </x:c>
      <x:c r="AJ2364" s="81" t="n">
        <x:f>IF('Inputs'!$B$50&gt;0,AG2364/('Inputs'!$B$19*'Inputs'!$B$50)*365,0)</x:f>
        <x:v>0.10490094541418327</x:v>
      </x:c>
      <x:c r="AK2364" s="81" t="n">
        <x:f>W2364/MAX($W$2194:W2364)-1</x:f>
        <x:v>-0.9948060427888156</x:v>
      </x:c>
      <x:c r="AL2364" s="83" t="n">
        <x:f>'Inputs'!$B$50</x:f>
        <x:v>1</x:v>
      </x:c>
      <x:c r="AM2364" s="83" t="n">
        <x:f>'Inputs'!$C$50</x:f>
        <x:v>1</x:v>
      </x:c>
      <x:c r="AN2364" s="83" t="n">
        <x:f>'Inputs'!$D$50</x:f>
        <x:v>1</x:v>
      </x:c>
      <x:c r="AO2364" s="81" t="n">
        <x:f>'Inputs'!$E$50</x:f>
        <x:v>0</x:v>
      </x:c>
    </x:row>
    <x:row r="2365">
      <x:c r="A2365" s="59" t="str">
        <x:v>Whale exit</x:v>
      </x:c>
      <x:c r="B2365" s="59" t="n">
        <x:v>172</x:v>
      </x:c>
      <x:c r="C2365" s="78" t="n">
        <x:f>(('Inputs'!$B$29*(3*172*'Inputs'!$B$12-172^2)/(2*'Inputs'!$B$12^2))-('Inputs'!$B$29*(3*171*'Inputs'!$B$12-171^2)/(2*'Inputs'!$B$12^2)))*'Inputs'!$B$50</x:f>
        <x:v>656230.2964908928</x:v>
      </x:c>
      <x:c r="D2365" s="78" t="n">
        <x:f>IF('Inputs'!$C$50&gt;0,('Inputs'!$B$30*(3*172*'Inputs'!$B$12-172^2)/(2*'Inputs'!$B$12^2))-('Inputs'!$B$30*(3*171*'Inputs'!$B$12-171^2)/(2*'Inputs'!$B$12^2)),0)</x:f>
        <x:v>281241.55563895404</x:v>
      </x:c>
      <x:c r="E2365" s="78" t="n">
        <x:f>C2365+D2365</x:f>
        <x:v>937471.8521298468</x:v>
      </x:c>
      <x:c r="F2365" s="78" t="n">
        <x:f>'Inputs'!$B$13*E2365+(1-'Inputs'!$B$13)/'Inputs'!$B$14*SUM(E2310:E2365)</x:f>
        <x:v>947689.5289923045</x:v>
      </x:c>
      <x:c r="G2365" s="78" t="n">
        <x:f>F2365*'Inputs'!$F$50</x:f>
        <x:v>473844.76449615223</x:v>
      </x:c>
      <x:c r="H2365" s="78" t="n">
        <x:f>U2364</x:f>
        <x:v>81425137.46493922</x:v>
      </x:c>
      <x:c r="I2365" s="78" t="n">
        <x:f>V2364</x:f>
        <x:v>356.42951339321576</x:v>
      </x:c>
      <x:c r="J2365" s="79" t="n">
        <x:f>IF(H2365&gt;0,I2365/H2365,0)</x:f>
        <x:v>0.000004377389151436071</x:v>
      </x:c>
      <x:c r="K2365" s="80" t="n">
        <x:f>(H2365*J2365+I2365)*'Inputs'!$D$50*(1+'Inputs'!$G$50)^(B2365/30)</x:f>
        <x:v>712.8590267864315</x:v>
      </x:c>
      <x:c r="L2365" s="80" t="n">
        <x:f>MAX(0,K2365*'Inputs'!$E$50)</x:f>
        <x:v>0</x:v>
      </x:c>
      <x:c r="M2365" s="80" t="n">
        <x:f>MAX(0,-K2365*'Inputs'!$E$50)</x:f>
        <x:v>0</x:v>
      </x:c>
      <x:c r="N2365" s="78" t="n">
        <x:f>H2365*(L2365*(1-'Inputs'!$B$15))/(I2365+L2365*(1-'Inputs'!$B$15))</x:f>
        <x:v>0</x:v>
      </x:c>
      <x:c r="O2365" s="78" t="n">
        <x:f>H2365-N2365</x:f>
        <x:v>81425137.46493922</x:v>
      </x:c>
      <x:c r="P2365" s="78" t="n">
        <x:f>I2365+L2365*(1-'Inputs'!$B$17)</x:f>
        <x:v>356.42951339321576</x:v>
      </x:c>
      <x:c r="Q2365" s="78" t="n">
        <x:f>IF(J2365&gt;0,M2365/J2365,0)</x:f>
        <x:v>0</x:v>
      </x:c>
      <x:c r="R2365" s="78" t="n">
        <x:f>IF(B2365='Inputs'!$H$50,'Inputs'!$B$27*'Inputs'!$I$50,0)</x:f>
        <x:v>0</x:v>
      </x:c>
      <x:c r="S2365" s="78" t="n">
        <x:f>Q2365+G2365+R2365</x:f>
        <x:v>473844.76449615223</x:v>
      </x:c>
      <x:c r="T2365" s="78" t="n">
        <x:f>P2365*(S2365*(1-'Inputs'!$B$15))/(O2365+S2365*(1-'Inputs'!$B$15))</x:f>
        <x:v>2.0416982747953782</x:v>
      </x:c>
      <x:c r="U2365" s="78" t="n">
        <x:f>O2365+S2365*(1-'Inputs'!$B$17)</x:f>
        <x:v>81897075.40945752</x:v>
      </x:c>
      <x:c r="V2365" s="78" t="n">
        <x:f>P2365-T2365</x:f>
        <x:v>354.3878151184204</x:v>
      </x:c>
      <x:c r="W2365" s="79" t="n">
        <x:f>IF(U2365&gt;0,V2365/U2365,0)</x:f>
        <x:v>0.000004327234072115541</x:v>
      </x:c>
      <x:c r="X2365" s="80" t="n">
        <x:f>W2365*('Inputs'!$B$6-AC2365)</x:f>
        <x:v>4204.071385537687</x:v>
      </x:c>
      <x:c r="Y2365" s="80" t="n">
        <x:f>2*V2365</x:f>
        <x:v>708.7756302368408</x:v>
      </x:c>
      <x:c r="Z2365" s="80" t="n">
        <x:f>K2365*'Inputs'!$B$16+(G2365+R2365)*J2365*'Inputs'!$B$16</x:f>
        <x:v>4.289599378308011</x:v>
      </x:c>
      <x:c r="AA2365" s="80" t="n">
        <x:f>K2365*(1+'Inputs'!$E$50)/2*'Inputs'!$B$17</x:f>
        <x:v>1.4343239975582125</x:v>
      </x:c>
      <x:c r="AB2365" s="78" t="n">
        <x:f>(IF(J2365&gt;0,K2365*(1-'Inputs'!$E$50)/2/J2365,0)+G2365+R2365)*'Inputs'!$B$17</x:f>
        <x:v>329573.36913253675</x:v>
      </x:c>
      <x:c r="AC2365" s="78" t="n">
        <x:f>AC2364+AB2365</x:f>
        <x:v>28462219.636212327</x:v>
      </x:c>
      <x:c r="AD2365" s="80" t="n">
        <x:f>Z2365/(1+'Inputs'!$C$50)</x:f>
        <x:v>2.1447996891540053</x:v>
      </x:c>
      <x:c r="AE2365" s="80" t="n">
        <x:f>Z2365-AD2365</x:f>
        <x:v>2.1447996891540053</x:v>
      </x:c>
      <x:c r="AF2365" s="80" t="n">
        <x:f>D2365*W2365</x:f>
        <x:v>1.2169980420556605</x:v>
      </x:c>
      <x:c r="AG2365" s="80" t="n">
        <x:f>C2365*W2365</x:f>
        <x:v>2.8396620981298746</x:v>
      </x:c>
      <x:c r="AH2365" s="80" t="n">
        <x:f>2*'Inputs'!$B$8*'Inputs'!$C$50</x:f>
        <x:v>5000</x:v>
      </x:c>
      <x:c r="AI2365" s="81" t="n">
        <x:f>IF(AH2365&gt;0,(AE2365+AF2365)/AH2365*365,0)</x:f>
        <x:v>0.24541123437830561</x:v>
      </x:c>
      <x:c r="AJ2365" s="81" t="n">
        <x:f>IF('Inputs'!$B$50&gt;0,AG2365/('Inputs'!$B$19*'Inputs'!$B$50)*365,0)</x:f>
        <x:v>0.10364766658174043</x:v>
      </x:c>
      <x:c r="AK2365" s="81" t="n">
        <x:f>W2365/MAX($W$2194:W2365)-1</x:f>
        <x:v>-0.9948655539099204</x:v>
      </x:c>
      <x:c r="AL2365" s="83" t="n">
        <x:f>'Inputs'!$B$50</x:f>
        <x:v>1</x:v>
      </x:c>
      <x:c r="AM2365" s="83" t="n">
        <x:f>'Inputs'!$C$50</x:f>
        <x:v>1</x:v>
      </x:c>
      <x:c r="AN2365" s="83" t="n">
        <x:f>'Inputs'!$D$50</x:f>
        <x:v>1</x:v>
      </x:c>
      <x:c r="AO2365" s="81" t="n">
        <x:f>'Inputs'!$E$50</x:f>
        <x:v>0</x:v>
      </x:c>
    </x:row>
    <x:row r="2366">
      <x:c r="A2366" s="59" t="str">
        <x:v>Whale exit</x:v>
      </x:c>
      <x:c r="B2366" s="59" t="n">
        <x:v>173</x:v>
      </x:c>
      <x:c r="C2366" s="78" t="n">
        <x:f>(('Inputs'!$B$29*(3*173*'Inputs'!$B$12-173^2)/(2*'Inputs'!$B$12^2))-('Inputs'!$B$29*(3*172*'Inputs'!$B$12-172^2)/(2*'Inputs'!$B$12^2)))*'Inputs'!$B$50</x:f>
        <x:v>655905.1885907352</x:v>
      </x:c>
      <x:c r="D2366" s="78" t="n">
        <x:f>IF('Inputs'!$C$50&gt;0,('Inputs'!$B$30*(3*173*'Inputs'!$B$12-173^2)/(2*'Inputs'!$B$12^2))-('Inputs'!$B$30*(3*172*'Inputs'!$B$12-172^2)/(2*'Inputs'!$B$12^2)),0)</x:f>
        <x:v>281102.2236817479</x:v>
      </x:c>
      <x:c r="E2366" s="78" t="n">
        <x:f>C2366+D2366</x:f>
        <x:v>937007.4122724831</x:v>
      </x:c>
      <x:c r="F2366" s="78" t="n">
        <x:f>'Inputs'!$B$13*E2366+(1-'Inputs'!$B$13)/'Inputs'!$B$14*SUM(E2311:E2366)</x:f>
        <x:v>947225.0891349247</x:v>
      </x:c>
      <x:c r="G2366" s="78" t="n">
        <x:f>F2366*'Inputs'!$F$50</x:f>
        <x:v>473612.54456746235</x:v>
      </x:c>
      <x:c r="H2366" s="78" t="n">
        <x:f>U2365</x:f>
        <x:v>81897075.40945752</x:v>
      </x:c>
      <x:c r="I2366" s="78" t="n">
        <x:f>V2365</x:f>
        <x:v>354.3878151184204</x:v>
      </x:c>
      <x:c r="J2366" s="79" t="n">
        <x:f>IF(H2366&gt;0,I2366/H2366,0)</x:f>
        <x:v>0.000004327234072115541</x:v>
      </x:c>
      <x:c r="K2366" s="80" t="n">
        <x:f>(H2366*J2366+I2366)*'Inputs'!$D$50*(1+'Inputs'!$G$50)^(B2366/30)</x:f>
        <x:v>708.7756302368408</x:v>
      </x:c>
      <x:c r="L2366" s="80" t="n">
        <x:f>MAX(0,K2366*'Inputs'!$E$50)</x:f>
        <x:v>0</x:v>
      </x:c>
      <x:c r="M2366" s="80" t="n">
        <x:f>MAX(0,-K2366*'Inputs'!$E$50)</x:f>
        <x:v>0</x:v>
      </x:c>
      <x:c r="N2366" s="78" t="n">
        <x:f>H2366*(L2366*(1-'Inputs'!$B$15))/(I2366+L2366*(1-'Inputs'!$B$15))</x:f>
        <x:v>0</x:v>
      </x:c>
      <x:c r="O2366" s="78" t="n">
        <x:f>H2366-N2366</x:f>
        <x:v>81897075.40945752</x:v>
      </x:c>
      <x:c r="P2366" s="78" t="n">
        <x:f>I2366+L2366*(1-'Inputs'!$B$17)</x:f>
        <x:v>354.3878151184204</x:v>
      </x:c>
      <x:c r="Q2366" s="78" t="n">
        <x:f>IF(J2366&gt;0,M2366/J2366,0)</x:f>
        <x:v>0</x:v>
      </x:c>
      <x:c r="R2366" s="78" t="n">
        <x:f>IF(B2366='Inputs'!$H$50,'Inputs'!$B$27*'Inputs'!$I$50,0)</x:f>
        <x:v>0</x:v>
      </x:c>
      <x:c r="S2366" s="78" t="n">
        <x:f>Q2366+G2366+R2366</x:f>
        <x:v>473612.54456746235</x:v>
      </x:c>
      <x:c r="T2366" s="78" t="n">
        <x:f>P2366*(S2366*(1-'Inputs'!$B$15))/(O2366+S2366*(1-'Inputs'!$B$15))</x:f>
        <x:v>2.0173880838400455</x:v>
      </x:c>
      <x:c r="U2366" s="78" t="n">
        <x:f>O2366+S2366*(1-'Inputs'!$B$17)</x:f>
        <x:v>82368782.06853376</x:v>
      </x:c>
      <x:c r="V2366" s="78" t="n">
        <x:f>P2366-T2366</x:f>
        <x:v>352.37042703458036</x:v>
      </x:c>
      <x:c r="W2366" s="79" t="n">
        <x:f>IF(U2366&gt;0,V2366/U2366,0)</x:f>
        <x:v>0.0000042779608752912675</x:v>
      </x:c>
      <x:c r="X2366" s="80" t="n">
        <x:f>W2366*('Inputs'!$B$6-AC2366)</x:f>
        <x:v>4154.782590807515</x:v>
      </x:c>
      <x:c r="Y2366" s="80" t="n">
        <x:f>2*V2366</x:f>
        <x:v>704.7408540691607</x:v>
      </x:c>
      <x:c r="Z2366" s="80" t="n">
        <x:f>K2366*'Inputs'!$B$16+(G2366+R2366)*J2366*'Inputs'!$B$16</x:f>
        <x:v>4.264950375460047</x:v>
      </x:c>
      <x:c r="AA2366" s="80" t="n">
        <x:f>K2366*(1+'Inputs'!$E$50)/2*'Inputs'!$B$17</x:f>
        <x:v>1.426107907921209</x:v>
      </x:c>
      <x:c r="AB2366" s="78" t="n">
        <x:f>(IF(J2366&gt;0,K2366*(1-'Inputs'!$E$50)/2/J2366,0)+G2366+R2366)*'Inputs'!$B$17</x:f>
        <x:v>331471.5813039235</x:v>
      </x:c>
      <x:c r="AC2366" s="78" t="n">
        <x:f>AC2365+AB2366</x:f>
        <x:v>28793691.21751625</x:v>
      </x:c>
      <x:c r="AD2366" s="80" t="n">
        <x:f>Z2366/(1+'Inputs'!$C$50)</x:f>
        <x:v>2.1324751877300234</x:v>
      </x:c>
      <x:c r="AE2366" s="80" t="n">
        <x:f>Z2366-AD2366</x:f>
        <x:v>2.1324751877300234</x:v>
      </x:c>
      <x:c r="AF2366" s="80" t="n">
        <x:f>D2366*W2366</x:f>
        <x:v>1.202544314867892</x:v>
      </x:c>
      <x:c r="AG2366" s="80" t="n">
        <x:f>C2366*W2366</x:f>
        <x:v>2.8059367346917052</x:v>
      </x:c>
      <x:c r="AH2366" s="80" t="n">
        <x:f>2*'Inputs'!$B$8*'Inputs'!$C$50</x:f>
        <x:v>5000</x:v>
      </x:c>
      <x:c r="AI2366" s="81" t="n">
        <x:f>IF(AH2366&gt;0,(AE2366+AF2366)/AH2366*365,0)</x:f>
        <x:v>0.24345642368964782</x:v>
      </x:c>
      <x:c r="AJ2366" s="81" t="n">
        <x:f>IF('Inputs'!$B$50&gt;0,AG2366/('Inputs'!$B$19*'Inputs'!$B$50)*365,0)</x:f>
        <x:v>0.10241669081624723</x:v>
      </x:c>
      <x:c r="AK2366" s="81" t="n">
        <x:f>W2366/MAX($W$2194:W2366)-1</x:f>
        <x:v>-0.9949240186401762</x:v>
      </x:c>
      <x:c r="AL2366" s="83" t="n">
        <x:f>'Inputs'!$B$50</x:f>
        <x:v>1</x:v>
      </x:c>
      <x:c r="AM2366" s="83" t="n">
        <x:f>'Inputs'!$C$50</x:f>
        <x:v>1</x:v>
      </x:c>
      <x:c r="AN2366" s="83" t="n">
        <x:f>'Inputs'!$D$50</x:f>
        <x:v>1</x:v>
      </x:c>
      <x:c r="AO2366" s="81" t="n">
        <x:f>'Inputs'!$E$50</x:f>
        <x:v>0</x:v>
      </x:c>
    </x:row>
    <x:row r="2367">
      <x:c r="A2367" s="59" t="str">
        <x:v>Whale exit</x:v>
      </x:c>
      <x:c r="B2367" s="59" t="n">
        <x:v>174</x:v>
      </x:c>
      <x:c r="C2367" s="78" t="n">
        <x:f>(('Inputs'!$B$29*(3*174*'Inputs'!$B$12-174^2)/(2*'Inputs'!$B$12^2))-('Inputs'!$B$29*(3*173*'Inputs'!$B$12-173^2)/(2*'Inputs'!$B$12^2)))*'Inputs'!$B$50</x:f>
        <x:v>655580.0806905627</x:v>
      </x:c>
      <x:c r="D2367" s="78" t="n">
        <x:f>IF('Inputs'!$C$50&gt;0,('Inputs'!$B$30*(3*174*'Inputs'!$B$12-174^2)/(2*'Inputs'!$B$12^2))-('Inputs'!$B$30*(3*173*'Inputs'!$B$12-173^2)/(2*'Inputs'!$B$12^2)),0)</x:f>
        <x:v>280962.89172451943</x:v>
      </x:c>
      <x:c r="E2367" s="78" t="n">
        <x:f>C2367+D2367</x:f>
        <x:v>936542.9724150822</x:v>
      </x:c>
      <x:c r="F2367" s="78" t="n">
        <x:f>'Inputs'!$B$13*E2367+(1-'Inputs'!$B$13)/'Inputs'!$B$14*SUM(E2312:E2367)</x:f>
        <x:v>946760.6492775369</x:v>
      </x:c>
      <x:c r="G2367" s="78" t="n">
        <x:f>F2367*'Inputs'!$F$50</x:f>
        <x:v>473380.32463876845</x:v>
      </x:c>
      <x:c r="H2367" s="78" t="n">
        <x:f>U2366</x:f>
        <x:v>82368782.06853376</x:v>
      </x:c>
      <x:c r="I2367" s="78" t="n">
        <x:f>V2366</x:f>
        <x:v>352.37042703458036</x:v>
      </x:c>
      <x:c r="J2367" s="79" t="n">
        <x:f>IF(H2367&gt;0,I2367/H2367,0)</x:f>
        <x:v>0.0000042779608752912675</x:v>
      </x:c>
      <x:c r="K2367" s="80" t="n">
        <x:f>(H2367*J2367+I2367)*'Inputs'!$D$50*(1+'Inputs'!$G$50)^(B2367/30)</x:f>
        <x:v>704.7408540691607</x:v>
      </x:c>
      <x:c r="L2367" s="80" t="n">
        <x:f>MAX(0,K2367*'Inputs'!$E$50)</x:f>
        <x:v>0</x:v>
      </x:c>
      <x:c r="M2367" s="80" t="n">
        <x:f>MAX(0,-K2367*'Inputs'!$E$50)</x:f>
        <x:v>0</x:v>
      </x:c>
      <x:c r="N2367" s="78" t="n">
        <x:f>H2367*(L2367*(1-'Inputs'!$B$15))/(I2367+L2367*(1-'Inputs'!$B$15))</x:f>
        <x:v>0</x:v>
      </x:c>
      <x:c r="O2367" s="78" t="n">
        <x:f>H2367-N2367</x:f>
        <x:v>82368782.06853376</x:v>
      </x:c>
      <x:c r="P2367" s="78" t="n">
        <x:f>I2367+L2367*(1-'Inputs'!$B$17)</x:f>
        <x:v>352.37042703458036</x:v>
      </x:c>
      <x:c r="Q2367" s="78" t="n">
        <x:f>IF(J2367&gt;0,M2367/J2367,0)</x:f>
        <x:v>0</x:v>
      </x:c>
      <x:c r="R2367" s="78" t="n">
        <x:f>IF(B2367='Inputs'!$H$50,'Inputs'!$B$27*'Inputs'!$I$50,0)</x:f>
        <x:v>0</x:v>
      </x:c>
      <x:c r="S2367" s="78" t="n">
        <x:f>Q2367+G2367+R2367</x:f>
        <x:v>473380.32463876845</x:v>
      </x:c>
      <x:c r="T2367" s="78" t="n">
        <x:f>P2367*(S2367*(1-'Inputs'!$B$15))/(O2367+S2367*(1-'Inputs'!$B$15))</x:f>
        <x:v>1.9935091863943508</x:v>
      </x:c>
      <x:c r="U2367" s="78" t="n">
        <x:f>O2367+S2367*(1-'Inputs'!$B$17)</x:f>
        <x:v>82840257.44216795</x:v>
      </x:c>
      <x:c r="V2367" s="78" t="n">
        <x:f>P2367-T2367</x:f>
        <x:v>350.376917848186</x:v>
      </x:c>
      <x:c r="W2367" s="79" t="n">
        <x:f>IF(U2367&gt;0,V2367/U2367,0)</x:f>
        <x:v>0.000004229548877160232</x:v>
      </x:c>
      <x:c r="X2367" s="80" t="n">
        <x:f>W2367*('Inputs'!$B$6-AC2367)</x:f>
        <x:v>4106.354552902766</x:v>
      </x:c>
      <x:c r="Y2367" s="80" t="n">
        <x:f>2*V2367</x:f>
        <x:v>700.753835696372</x:v>
      </x:c>
      <x:c r="Z2367" s="80" t="n">
        <x:f>K2367*'Inputs'!$B$16+(G2367+R2367)*J2367*'Inputs'!$B$16</x:f>
        <x:v>4.240595739462588</x:v>
      </x:c>
      <x:c r="AA2367" s="80" t="n">
        <x:f>K2367*(1+'Inputs'!$E$50)/2*'Inputs'!$B$17</x:f>
        <x:v>1.417989646014408</x:v>
      </x:c>
      <x:c r="AB2367" s="78" t="n">
        <x:f>(IF(J2367&gt;0,K2367*(1-'Inputs'!$E$50)/2/J2367,0)+G2367+R2367)*'Inputs'!$B$17</x:f>
        <x:v>333368.8627491853</x:v>
      </x:c>
      <x:c r="AC2367" s="78" t="n">
        <x:f>AC2366+AB2367</x:f>
        <x:v>29127060.080265436</x:v>
      </x:c>
      <x:c r="AD2367" s="80" t="n">
        <x:f>Z2367/(1+'Inputs'!$C$50)</x:f>
        <x:v>2.120297869731294</x:v>
      </x:c>
      <x:c r="AE2367" s="80" t="n">
        <x:f>Z2367-AD2367</x:f>
        <x:v>2.120297869731294</x:v>
      </x:c>
      <x:c r="AF2367" s="80" t="n">
        <x:f>D2367*W2367</x:f>
        <x:v>1.188346283217133</x:v>
      </x:c>
      <x:c r="AG2367" s="80" t="n">
        <x:f>C2367*W2367</x:f>
        <x:v>2.7728079941733834</x:v>
      </x:c>
      <x:c r="AH2367" s="80" t="n">
        <x:f>2*'Inputs'!$B$8*'Inputs'!$C$50</x:f>
        <x:v>5000</x:v>
      </x:c>
      <x:c r="AI2367" s="81" t="n">
        <x:f>IF(AH2367&gt;0,(AE2367+AF2367)/AH2367*365,0)</x:f>
        <x:v>0.24153102316523514</x:v>
      </x:c>
      <x:c r="AJ2367" s="81" t="n">
        <x:f>IF('Inputs'!$B$50&gt;0,AG2367/('Inputs'!$B$19*'Inputs'!$B$50)*365,0)</x:f>
        <x:v>0.10120749178732849</x:v>
      </x:c>
      <x:c r="AK2367" s="81" t="n">
        <x:f>W2367/MAX($W$2194:W2367)-1</x:f>
        <x:v>-0.9949814615217893</x:v>
      </x:c>
      <x:c r="AL2367" s="83" t="n">
        <x:f>'Inputs'!$B$50</x:f>
        <x:v>1</x:v>
      </x:c>
      <x:c r="AM2367" s="83" t="n">
        <x:f>'Inputs'!$C$50</x:f>
        <x:v>1</x:v>
      </x:c>
      <x:c r="AN2367" s="83" t="n">
        <x:f>'Inputs'!$D$50</x:f>
        <x:v>1</x:v>
      </x:c>
      <x:c r="AO2367" s="81" t="n">
        <x:f>'Inputs'!$E$50</x:f>
        <x:v>0</x:v>
      </x:c>
    </x:row>
    <x:row r="2368">
      <x:c r="A2368" s="59" t="str">
        <x:v>Whale exit</x:v>
      </x:c>
      <x:c r="B2368" s="59" t="n">
        <x:v>175</x:v>
      </x:c>
      <x:c r="C2368" s="78" t="n">
        <x:f>(('Inputs'!$B$29*(3*175*'Inputs'!$B$12-175^2)/(2*'Inputs'!$B$12^2))-('Inputs'!$B$29*(3*174*'Inputs'!$B$12-174^2)/(2*'Inputs'!$B$12^2)))*'Inputs'!$B$50</x:f>
        <x:v>655254.9727903903</x:v>
      </x:c>
      <x:c r="D2368" s="78" t="n">
        <x:f>IF('Inputs'!$C$50&gt;0,('Inputs'!$B$30*(3*175*'Inputs'!$B$12-175^2)/(2*'Inputs'!$B$12^2))-('Inputs'!$B$30*(3*174*'Inputs'!$B$12-174^2)/(2*'Inputs'!$B$12^2)),0)</x:f>
        <x:v>280823.5597673133</x:v>
      </x:c>
      <x:c r="E2368" s="78" t="n">
        <x:f>C2368+D2368</x:f>
        <x:v>936078.5325577036</x:v>
      </x:c>
      <x:c r="F2368" s="78" t="n">
        <x:f>'Inputs'!$B$13*E2368+(1-'Inputs'!$B$13)/'Inputs'!$B$14*SUM(E2313:E2368)</x:f>
        <x:v>946296.2094201541</x:v>
      </x:c>
      <x:c r="G2368" s="78" t="n">
        <x:f>F2368*'Inputs'!$F$50</x:f>
        <x:v>473148.10471007705</x:v>
      </x:c>
      <x:c r="H2368" s="78" t="n">
        <x:f>U2367</x:f>
        <x:v>82840257.44216795</x:v>
      </x:c>
      <x:c r="I2368" s="78" t="n">
        <x:f>V2367</x:f>
        <x:v>350.376917848186</x:v>
      </x:c>
      <x:c r="J2368" s="79" t="n">
        <x:f>IF(H2368&gt;0,I2368/H2368,0)</x:f>
        <x:v>0.000004229548877160232</x:v>
      </x:c>
      <x:c r="K2368" s="80" t="n">
        <x:f>(H2368*J2368+I2368)*'Inputs'!$D$50*(1+'Inputs'!$G$50)^(B2368/30)</x:f>
        <x:v>700.753835696372</x:v>
      </x:c>
      <x:c r="L2368" s="80" t="n">
        <x:f>MAX(0,K2368*'Inputs'!$E$50)</x:f>
        <x:v>0</x:v>
      </x:c>
      <x:c r="M2368" s="80" t="n">
        <x:f>MAX(0,-K2368*'Inputs'!$E$50)</x:f>
        <x:v>0</x:v>
      </x:c>
      <x:c r="N2368" s="78" t="n">
        <x:f>H2368*(L2368*(1-'Inputs'!$B$15))/(I2368+L2368*(1-'Inputs'!$B$15))</x:f>
        <x:v>0</x:v>
      </x:c>
      <x:c r="O2368" s="78" t="n">
        <x:f>H2368-N2368</x:f>
        <x:v>82840257.44216795</x:v>
      </x:c>
      <x:c r="P2368" s="78" t="n">
        <x:f>I2368+L2368*(1-'Inputs'!$B$17)</x:f>
        <x:v>350.376917848186</x:v>
      </x:c>
      <x:c r="Q2368" s="78" t="n">
        <x:f>IF(J2368&gt;0,M2368/J2368,0)</x:f>
        <x:v>0</x:v>
      </x:c>
      <x:c r="R2368" s="78" t="n">
        <x:f>IF(B2368='Inputs'!$H$50,'Inputs'!$B$27*'Inputs'!$I$50,0)</x:f>
        <x:v>0</x:v>
      </x:c>
      <x:c r="S2368" s="78" t="n">
        <x:f>Q2368+G2368+R2368</x:f>
        <x:v>473148.10471007705</x:v>
      </x:c>
      <x:c r="T2368" s="78" t="n">
        <x:f>P2368*(S2368*(1-'Inputs'!$B$15))/(O2368+S2368*(1-'Inputs'!$B$15))</x:f>
        <x:v>1.970051434718514</x:v>
      </x:c>
      <x:c r="U2368" s="78" t="n">
        <x:f>O2368+S2368*(1-'Inputs'!$B$17)</x:f>
        <x:v>83311501.53036009</x:v>
      </x:c>
      <x:c r="V2368" s="78" t="n">
        <x:f>P2368-T2368</x:f>
        <x:v>348.40686641346747</x:v>
      </x:c>
      <x:c r="W2368" s="79" t="n">
        <x:f>IF(U2368&gt;0,V2368/U2368,0)</x:f>
        <x:v>0.000004181977998398003</x:v>
      </x:c>
      <x:c r="X2368" s="80" t="n">
        <x:f>W2368*('Inputs'!$B$6-AC2368)</x:f>
        <x:v>4058.7672022379634</x:v>
      </x:c>
      <x:c r="Y2368" s="80" t="n">
        <x:f>2*V2368</x:f>
        <x:v>696.8137328269349</x:v>
      </x:c>
      <x:c r="Z2368" s="80" t="n">
        <x:f>K2368*'Inputs'!$B$16+(G2368+R2368)*J2368*'Inputs'!$B$16</x:f>
        <x:v>4.216530232388274</x:v>
      </x:c>
      <x:c r="AA2368" s="80" t="n">
        <x:f>K2368*(1+'Inputs'!$E$50)/2*'Inputs'!$B$17</x:f>
        <x:v>1.4099674762502457</x:v>
      </x:c>
      <x:c r="AB2368" s="78" t="n">
        <x:f>(IF(J2368&gt;0,K2368*(1-'Inputs'!$E$50)/2/J2368,0)+G2368+R2368)*'Inputs'!$B$17</x:f>
        <x:v>335265.21346832206</x:v>
      </x:c>
      <x:c r="AC2368" s="78" t="n">
        <x:f>AC2367+AB2368</x:f>
        <x:v>29462325.293733757</x:v>
      </x:c>
      <x:c r="AD2368" s="80" t="n">
        <x:f>Z2368/(1+'Inputs'!$C$50)</x:f>
        <x:v>2.108265116194137</x:v>
      </x:c>
      <x:c r="AE2368" s="80" t="n">
        <x:f>Z2368-AD2368</x:f>
        <x:v>2.108265116194137</x:v>
      </x:c>
      <x:c r="AF2368" s="80" t="n">
        <x:f>D2368*W2368</x:f>
        <x:v>1.1743979483787108</x:v>
      </x:c>
      <x:c r="AG2368" s="80" t="n">
        <x:f>C2368*W2368</x:f>
        <x:v>2.740261879550294</x:v>
      </x:c>
      <x:c r="AH2368" s="80" t="n">
        <x:f>2*'Inputs'!$B$8*'Inputs'!$C$50</x:f>
        <x:v>5000</x:v>
      </x:c>
      <x:c r="AI2368" s="81" t="n">
        <x:f>IF(AH2368&gt;0,(AE2368+AF2368)/AH2368*365,0)</x:f>
        <x:v>0.23963440371381792</x:v>
      </x:c>
      <x:c r="AJ2368" s="81" t="n">
        <x:f>IF('Inputs'!$B$50&gt;0,AG2368/('Inputs'!$B$19*'Inputs'!$B$50)*365,0)</x:f>
        <x:v>0.10001955860358575</x:v>
      </x:c>
      <x:c r="AK2368" s="81" t="n">
        <x:f>W2368/MAX($W$2194:W2368)-1</x:f>
        <x:v>-0.9950379063797268</x:v>
      </x:c>
      <x:c r="AL2368" s="83" t="n">
        <x:f>'Inputs'!$B$50</x:f>
        <x:v>1</x:v>
      </x:c>
      <x:c r="AM2368" s="83" t="n">
        <x:f>'Inputs'!$C$50</x:f>
        <x:v>1</x:v>
      </x:c>
      <x:c r="AN2368" s="83" t="n">
        <x:f>'Inputs'!$D$50</x:f>
        <x:v>1</x:v>
      </x:c>
      <x:c r="AO2368" s="81" t="n">
        <x:f>'Inputs'!$E$50</x:f>
        <x:v>0</x:v>
      </x:c>
    </x:row>
    <x:row r="2369">
      <x:c r="A2369" s="59" t="str">
        <x:v>Whale exit</x:v>
      </x:c>
      <x:c r="B2369" s="59" t="n">
        <x:v>176</x:v>
      </x:c>
      <x:c r="C2369" s="78" t="n">
        <x:f>(('Inputs'!$B$29*(3*176*'Inputs'!$B$12-176^2)/(2*'Inputs'!$B$12^2))-('Inputs'!$B$29*(3*175*'Inputs'!$B$12-175^2)/(2*'Inputs'!$B$12^2)))*'Inputs'!$B$50</x:f>
        <x:v>654929.8648902178</x:v>
      </x:c>
      <x:c r="D2369" s="78" t="n">
        <x:f>IF('Inputs'!$C$50&gt;0,('Inputs'!$B$30*(3*176*'Inputs'!$B$12-176^2)/(2*'Inputs'!$B$12^2))-('Inputs'!$B$30*(3*175*'Inputs'!$B$12-175^2)/(2*'Inputs'!$B$12^2)),0)</x:f>
        <x:v>280684.2278100997</x:v>
      </x:c>
      <x:c r="E2369" s="78" t="n">
        <x:f>C2369+D2369</x:f>
        <x:v>935614.0927003175</x:v>
      </x:c>
      <x:c r="F2369" s="78" t="n">
        <x:f>'Inputs'!$B$13*E2369+(1-'Inputs'!$B$13)/'Inputs'!$B$14*SUM(E2314:E2369)</x:f>
        <x:v>945831.7695627694</x:v>
      </x:c>
      <x:c r="G2369" s="78" t="n">
        <x:f>F2369*'Inputs'!$F$50</x:f>
        <x:v>472915.8847813847</x:v>
      </x:c>
      <x:c r="H2369" s="78" t="n">
        <x:f>U2368</x:f>
        <x:v>83311501.53036009</x:v>
      </x:c>
      <x:c r="I2369" s="78" t="n">
        <x:f>V2368</x:f>
        <x:v>348.40686641346747</x:v>
      </x:c>
      <x:c r="J2369" s="79" t="n">
        <x:f>IF(H2369&gt;0,I2369/H2369,0)</x:f>
        <x:v>0.000004181977998398003</x:v>
      </x:c>
      <x:c r="K2369" s="80" t="n">
        <x:f>(H2369*J2369+I2369)*'Inputs'!$D$50*(1+'Inputs'!$G$50)^(B2369/30)</x:f>
        <x:v>696.8137328269349</x:v>
      </x:c>
      <x:c r="L2369" s="80" t="n">
        <x:f>MAX(0,K2369*'Inputs'!$E$50)</x:f>
        <x:v>0</x:v>
      </x:c>
      <x:c r="M2369" s="80" t="n">
        <x:f>MAX(0,-K2369*'Inputs'!$E$50)</x:f>
        <x:v>0</x:v>
      </x:c>
      <x:c r="N2369" s="78" t="n">
        <x:f>H2369*(L2369*(1-'Inputs'!$B$15))/(I2369+L2369*(1-'Inputs'!$B$15))</x:f>
        <x:v>0</x:v>
      </x:c>
      <x:c r="O2369" s="78" t="n">
        <x:f>H2369-N2369</x:f>
        <x:v>83311501.53036009</x:v>
      </x:c>
      <x:c r="P2369" s="78" t="n">
        <x:f>I2369+L2369*(1-'Inputs'!$B$17)</x:f>
        <x:v>348.40686641346747</x:v>
      </x:c>
      <x:c r="Q2369" s="78" t="n">
        <x:f>IF(J2369&gt;0,M2369/J2369,0)</x:f>
        <x:v>0</x:v>
      </x:c>
      <x:c r="R2369" s="78" t="n">
        <x:f>IF(B2369='Inputs'!$H$50,'Inputs'!$B$27*'Inputs'!$I$50,0)</x:f>
        <x:v>0</x:v>
      </x:c>
      <x:c r="S2369" s="78" t="n">
        <x:f>Q2369+G2369+R2369</x:f>
        <x:v>472915.8847813847</x:v>
      </x:c>
      <x:c r="T2369" s="78" t="n">
        <x:f>P2369*(S2369*(1-'Inputs'!$B$15))/(O2369+S2369*(1-'Inputs'!$B$15))</x:f>
        <x:v>1.947004977863982</x:v>
      </x:c>
      <x:c r="U2369" s="78" t="n">
        <x:f>O2369+S2369*(1-'Inputs'!$B$17)</x:f>
        <x:v>83782514.33311015</x:v>
      </x:c>
      <x:c r="V2369" s="78" t="n">
        <x:f>P2369-T2369</x:f>
        <x:v>346.4598614356035</x:v>
      </x:c>
      <x:c r="W2369" s="79" t="n">
        <x:f>IF(U2369&gt;0,V2369/U2369,0)</x:f>
        <x:v>0.000004135228743053912</x:v>
      </x:c>
      <x:c r="X2369" s="80" t="n">
        <x:f>W2369*('Inputs'!$B$6-AC2369)</x:f>
        <x:v>4012.0010523195447</x:v>
      </x:c>
      <x:c r="Y2369" s="80" t="n">
        <x:f>2*V2369</x:f>
        <x:v>692.919722871207</x:v>
      </x:c>
      <x:c r="Z2369" s="80" t="n">
        <x:f>K2369*'Inputs'!$B$16+(G2369+R2369)*J2369*'Inputs'!$B$16</x:f>
        <x:v>4.192748739913102</x:v>
      </x:c>
      <x:c r="AA2369" s="80" t="n">
        <x:f>K2369*(1+'Inputs'!$E$50)/2*'Inputs'!$B$17</x:f>
        <x:v>1.4020397038771328</x:v>
      </x:c>
      <x:c r="AB2369" s="78" t="n">
        <x:f>(IF(J2369&gt;0,K2369*(1-'Inputs'!$E$50)/2/J2369,0)+G2369+R2369)*'Inputs'!$B$17</x:f>
        <x:v>337160.6334613339</x:v>
      </x:c>
      <x:c r="AC2369" s="78" t="n">
        <x:f>AC2368+AB2369</x:f>
        <x:v>29799485.92719509</x:v>
      </x:c>
      <x:c r="AD2369" s="80" t="n">
        <x:f>Z2369/(1+'Inputs'!$C$50)</x:f>
        <x:v>2.096374369956551</x:v>
      </x:c>
      <x:c r="AE2369" s="80" t="n">
        <x:f>Z2369-AD2369</x:f>
        <x:v>2.096374369956551</x:v>
      </x:c>
      <x:c r="AF2369" s="80" t="n">
        <x:f>D2369*W2369</x:f>
        <x:v>1.1606934865622167</x:v>
      </x:c>
      <x:c r="AG2369" s="80" t="n">
        <x:f>C2369*W2369</x:f>
        <x:v>2.708284801978444</x:v>
      </x:c>
      <x:c r="AH2369" s="80" t="n">
        <x:f>2*'Inputs'!$B$8*'Inputs'!$C$50</x:f>
        <x:v>5000</x:v>
      </x:c>
      <x:c r="AI2369" s="81" t="n">
        <x:f>IF(AH2369&gt;0,(AE2369+AF2369)/AH2369*365,0)</x:f>
        <x:v>0.23776595352587007</x:v>
      </x:c>
      <x:c r="AJ2369" s="81" t="n">
        <x:f>IF('Inputs'!$B$50&gt;0,AG2369/('Inputs'!$B$19*'Inputs'!$B$50)*365,0)</x:f>
        <x:v>0.0988523952722132</x:v>
      </x:c>
      <x:c r="AK2369" s="81" t="n">
        <x:f>W2369/MAX($W$2194:W2369)-1</x:f>
        <x:v>-0.9950933763467578</x:v>
      </x:c>
      <x:c r="AL2369" s="83" t="n">
        <x:f>'Inputs'!$B$50</x:f>
        <x:v>1</x:v>
      </x:c>
      <x:c r="AM2369" s="83" t="n">
        <x:f>'Inputs'!$C$50</x:f>
        <x:v>1</x:v>
      </x:c>
      <x:c r="AN2369" s="83" t="n">
        <x:f>'Inputs'!$D$50</x:f>
        <x:v>1</x:v>
      </x:c>
      <x:c r="AO2369" s="81" t="n">
        <x:f>'Inputs'!$E$50</x:f>
        <x:v>0</x:v>
      </x:c>
    </x:row>
    <x:row r="2370">
      <x:c r="A2370" s="59" t="str">
        <x:v>Whale exit</x:v>
      </x:c>
      <x:c r="B2370" s="59" t="n">
        <x:v>177</x:v>
      </x:c>
      <x:c r="C2370" s="78" t="n">
        <x:f>(('Inputs'!$B$29*(3*177*'Inputs'!$B$12-177^2)/(2*'Inputs'!$B$12^2))-('Inputs'!$B$29*(3*176*'Inputs'!$B$12-176^2)/(2*'Inputs'!$B$12^2)))*'Inputs'!$B$50</x:f>
        <x:v>654604.7569900602</x:v>
      </x:c>
      <x:c r="D2370" s="78" t="n">
        <x:f>IF('Inputs'!$C$50&gt;0,('Inputs'!$B$30*(3*177*'Inputs'!$B$12-177^2)/(2*'Inputs'!$B$12^2))-('Inputs'!$B$30*(3*176*'Inputs'!$B$12-176^2)/(2*'Inputs'!$B$12^2)),0)</x:f>
        <x:v>280544.8958528787</x:v>
      </x:c>
      <x:c r="E2370" s="78" t="n">
        <x:f>C2370+D2370</x:f>
        <x:v>935149.6528429389</x:v>
      </x:c>
      <x:c r="F2370" s="78" t="n">
        <x:f>'Inputs'!$B$13*E2370+(1-'Inputs'!$B$13)/'Inputs'!$B$14*SUM(E2315:E2370)</x:f>
        <x:v>945367.3297053867</x:v>
      </x:c>
      <x:c r="G2370" s="78" t="n">
        <x:f>F2370*'Inputs'!$F$50</x:f>
        <x:v>472683.6648526933</x:v>
      </x:c>
      <x:c r="H2370" s="78" t="n">
        <x:f>U2369</x:f>
        <x:v>83782514.33311015</x:v>
      </x:c>
      <x:c r="I2370" s="78" t="n">
        <x:f>V2369</x:f>
        <x:v>346.4598614356035</x:v>
      </x:c>
      <x:c r="J2370" s="79" t="n">
        <x:f>IF(H2370&gt;0,I2370/H2370,0)</x:f>
        <x:v>0.000004135228743053912</x:v>
      </x:c>
      <x:c r="K2370" s="80" t="n">
        <x:f>(H2370*J2370+I2370)*'Inputs'!$D$50*(1+'Inputs'!$G$50)^(B2370/30)</x:f>
        <x:v>692.919722871207</x:v>
      </x:c>
      <x:c r="L2370" s="80" t="n">
        <x:f>MAX(0,K2370*'Inputs'!$E$50)</x:f>
        <x:v>0</x:v>
      </x:c>
      <x:c r="M2370" s="80" t="n">
        <x:f>MAX(0,-K2370*'Inputs'!$E$50)</x:f>
        <x:v>0</x:v>
      </x:c>
      <x:c r="N2370" s="78" t="n">
        <x:f>H2370*(L2370*(1-'Inputs'!$B$15))/(I2370+L2370*(1-'Inputs'!$B$15))</x:f>
        <x:v>0</x:v>
      </x:c>
      <x:c r="O2370" s="78" t="n">
        <x:f>H2370-N2370</x:f>
        <x:v>83782514.33311015</x:v>
      </x:c>
      <x:c r="P2370" s="78" t="n">
        <x:f>I2370+L2370*(1-'Inputs'!$B$17)</x:f>
        <x:v>346.4598614356035</x:v>
      </x:c>
      <x:c r="Q2370" s="78" t="n">
        <x:f>IF(J2370&gt;0,M2370/J2370,0)</x:f>
        <x:v>0</x:v>
      </x:c>
      <x:c r="R2370" s="78" t="n">
        <x:f>IF(B2370='Inputs'!$H$50,'Inputs'!$B$27*'Inputs'!$I$50,0)</x:f>
        <x:v>0</x:v>
      </x:c>
      <x:c r="S2370" s="78" t="n">
        <x:f>Q2370+G2370+R2370</x:f>
        <x:v>472683.6648526933</x:v>
      </x:c>
      <x:c r="T2370" s="78" t="n">
        <x:f>P2370*(S2370*(1-'Inputs'!$B$15))/(O2370+S2370*(1-'Inputs'!$B$15))</x:f>
        <x:v>1.9243602513157834</x:v>
      </x:c>
      <x:c r="U2370" s="78" t="n">
        <x:f>O2370+S2370*(1-'Inputs'!$B$17)</x:f>
        <x:v>84253295.85041817</x:v>
      </x:c>
      <x:c r="V2370" s="78" t="n">
        <x:f>P2370-T2370</x:f>
        <x:v>344.53550118428774</x:v>
      </x:c>
      <x:c r="W2370" s="79" t="n">
        <x:f>IF(U2370&gt;0,V2370/U2370,0)</x:f>
        <x:v>0.000004089282178301607</x:v>
      </x:c>
      <x:c r="X2370" s="80" t="n">
        <x:f>W2370*('Inputs'!$B$6-AC2370)</x:f>
        <x:v>3966.037179506144</x:v>
      </x:c>
      <x:c r="Y2370" s="80" t="n">
        <x:f>2*V2370</x:f>
        <x:v>689.0710023685755</x:v>
      </x:c>
      <x:c r="Z2370" s="80" t="n">
        <x:f>K2370*'Inputs'!$B$16+(G2370+R2370)*J2370*'Inputs'!$B$16</x:f>
        <x:v>4.169246267690868</x:v>
      </x:c>
      <x:c r="AA2370" s="80" t="n">
        <x:f>K2370*(1+'Inputs'!$E$50)/2*'Inputs'!$B$17</x:f>
        <x:v>1.3942046737851248</x:v>
      </x:c>
      <x:c r="AB2370" s="78" t="n">
        <x:f>(IF(J2370&gt;0,K2370*(1-'Inputs'!$E$50)/2/J2370,0)+G2370+R2370)*'Inputs'!$B$17</x:f>
        <x:v>339055.12272822077</x:v>
      </x:c>
      <x:c r="AC2370" s="78" t="n">
        <x:f>AC2369+AB2370</x:f>
        <x:v>30138541.049923312</x:v>
      </x:c>
      <x:c r="AD2370" s="80" t="n">
        <x:f>Z2370/(1+'Inputs'!$C$50)</x:f>
        <x:v>2.084623133845434</x:v>
      </x:c>
      <x:c r="AE2370" s="80" t="n">
        <x:f>Z2370-AD2370</x:f>
        <x:v>2.084623133845434</x:v>
      </x:c>
      <x:c r="AF2370" s="80" t="n">
        <x:f>D2370*W2370</x:f>
        <x:v>1.1472272428246573</x:v>
      </x:c>
      <x:c r="AG2370" s="80" t="n">
        <x:f>C2370*W2370</x:f>
        <x:v>2.6768635665909075</x:v>
      </x:c>
      <x:c r="AH2370" s="80" t="n">
        <x:f>2*'Inputs'!$B$8*'Inputs'!$C$50</x:f>
        <x:v>5000</x:v>
      </x:c>
      <x:c r="AI2370" s="81" t="n">
        <x:f>IF(AH2370&gt;0,(AE2370+AF2370)/AH2370*365,0)</x:f>
        <x:v>0.23592507749691666</x:v>
      </x:c>
      <x:c r="AJ2370" s="81" t="n">
        <x:f>IF('Inputs'!$B$50&gt;0,AG2370/('Inputs'!$B$19*'Inputs'!$B$50)*365,0)</x:f>
        <x:v>0.09770552018056813</x:v>
      </x:c>
      <x:c r="AK2370" s="81" t="n">
        <x:f>W2370/MAX($W$2194:W2370)-1</x:f>
        <x:v>-0.9951478938874809</x:v>
      </x:c>
      <x:c r="AL2370" s="83" t="n">
        <x:f>'Inputs'!$B$50</x:f>
        <x:v>1</x:v>
      </x:c>
      <x:c r="AM2370" s="83" t="n">
        <x:f>'Inputs'!$C$50</x:f>
        <x:v>1</x:v>
      </x:c>
      <x:c r="AN2370" s="83" t="n">
        <x:f>'Inputs'!$D$50</x:f>
        <x:v>1</x:v>
      </x:c>
      <x:c r="AO2370" s="81" t="n">
        <x:f>'Inputs'!$E$50</x:f>
        <x:v>0</x:v>
      </x:c>
    </x:row>
    <x:row r="2371">
      <x:c r="A2371" s="59" t="str">
        <x:v>Whale exit</x:v>
      </x:c>
      <x:c r="B2371" s="59" t="n">
        <x:v>178</x:v>
      </x:c>
      <x:c r="C2371" s="78" t="n">
        <x:f>(('Inputs'!$B$29*(3*178*'Inputs'!$B$12-178^2)/(2*'Inputs'!$B$12^2))-('Inputs'!$B$29*(3*177*'Inputs'!$B$12-177^2)/(2*'Inputs'!$B$12^2)))*'Inputs'!$B$50</x:f>
        <x:v>654279.6490898877</x:v>
      </x:c>
      <x:c r="D2371" s="78" t="n">
        <x:f>IF('Inputs'!$C$50&gt;0,('Inputs'!$B$30*(3*178*'Inputs'!$B$12-178^2)/(2*'Inputs'!$B$12^2))-('Inputs'!$B$30*(3*177*'Inputs'!$B$12-177^2)/(2*'Inputs'!$B$12^2)),0)</x:f>
        <x:v>280405.5638956651</x:v>
      </x:c>
      <x:c r="E2371" s="78" t="n">
        <x:f>C2371+D2371</x:f>
        <x:v>934685.2129855528</x:v>
      </x:c>
      <x:c r="F2371" s="78" t="n">
        <x:f>'Inputs'!$B$13*E2371+(1-'Inputs'!$B$13)/'Inputs'!$B$14*SUM(E2316:E2371)</x:f>
        <x:v>944902.889848002</x:v>
      </x:c>
      <x:c r="G2371" s="78" t="n">
        <x:f>F2371*'Inputs'!$F$50</x:f>
        <x:v>472451.444924001</x:v>
      </x:c>
      <x:c r="H2371" s="78" t="n">
        <x:f>U2370</x:f>
        <x:v>84253295.85041817</x:v>
      </x:c>
      <x:c r="I2371" s="78" t="n">
        <x:f>V2370</x:f>
        <x:v>344.53550118428774</x:v>
      </x:c>
      <x:c r="J2371" s="79" t="n">
        <x:f>IF(H2371&gt;0,I2371/H2371,0)</x:f>
        <x:v>0.000004089282178301607</x:v>
      </x:c>
      <x:c r="K2371" s="80" t="n">
        <x:f>(H2371*J2371+I2371)*'Inputs'!$D$50*(1+'Inputs'!$G$50)^(B2371/30)</x:f>
        <x:v>689.0710023685755</x:v>
      </x:c>
      <x:c r="L2371" s="80" t="n">
        <x:f>MAX(0,K2371*'Inputs'!$E$50)</x:f>
        <x:v>0</x:v>
      </x:c>
      <x:c r="M2371" s="80" t="n">
        <x:f>MAX(0,-K2371*'Inputs'!$E$50)</x:f>
        <x:v>0</x:v>
      </x:c>
      <x:c r="N2371" s="78" t="n">
        <x:f>H2371*(L2371*(1-'Inputs'!$B$15))/(I2371+L2371*(1-'Inputs'!$B$15))</x:f>
        <x:v>0</x:v>
      </x:c>
      <x:c r="O2371" s="78" t="n">
        <x:f>H2371-N2371</x:f>
        <x:v>84253295.85041817</x:v>
      </x:c>
      <x:c r="P2371" s="78" t="n">
        <x:f>I2371+L2371*(1-'Inputs'!$B$17)</x:f>
        <x:v>344.53550118428774</x:v>
      </x:c>
      <x:c r="Q2371" s="78" t="n">
        <x:f>IF(J2371&gt;0,M2371/J2371,0)</x:f>
        <x:v>0</x:v>
      </x:c>
      <x:c r="R2371" s="78" t="n">
        <x:f>IF(B2371='Inputs'!$H$50,'Inputs'!$B$27*'Inputs'!$I$50,0)</x:f>
        <x:v>0</x:v>
      </x:c>
      <x:c r="S2371" s="78" t="n">
        <x:f>Q2371+G2371+R2371</x:f>
        <x:v>472451.444924001</x:v>
      </x:c>
      <x:c r="T2371" s="78" t="n">
        <x:f>P2371*(S2371*(1-'Inputs'!$B$15))/(O2371+S2371*(1-'Inputs'!$B$15))</x:f>
        <x:v>1.9021079670541232</x:v>
      </x:c>
      <x:c r="U2371" s="78" t="n">
        <x:f>O2371+S2371*(1-'Inputs'!$B$17)</x:f>
        <x:v>84723846.08228412</x:v>
      </x:c>
      <x:c r="V2371" s="78" t="n">
        <x:f>P2371-T2371</x:f>
        <x:v>342.6333932172336</x:v>
      </x:c>
      <x:c r="W2371" s="79" t="n">
        <x:f>IF(U2371&gt;0,V2371/U2371,0)</x:f>
        <x:v>0.000004044119915005591</x:v>
      </x:c>
      <x:c r="X2371" s="80" t="n">
        <x:f>W2371*('Inputs'!$B$6-AC2371)</x:f>
        <x:v>3920.8572035844672</x:v>
      </x:c>
      <x:c r="Y2371" s="80" t="n">
        <x:f>2*V2371</x:f>
        <x:v>685.2667864344672</x:v>
      </x:c>
      <x:c r="Z2371" s="80" t="n">
        <x:f>K2371*'Inputs'!$B$16+(G2371+R2371)*J2371*'Inputs'!$B$16</x:f>
        <x:v>4.146017937854496</x:v>
      </x:c>
      <x:c r="AA2371" s="80" t="n">
        <x:f>K2371*(1+'Inputs'!$E$50)/2*'Inputs'!$B$17</x:f>
        <x:v>1.3864607693532707</x:v>
      </x:c>
      <x:c r="AB2371" s="78" t="n">
        <x:f>(IF(J2371&gt;0,K2371*(1-'Inputs'!$E$50)/2/J2371,0)+G2371+R2371)*'Inputs'!$B$17</x:f>
        <x:v>340948.6812689826</x:v>
      </x:c>
      <x:c r="AC2371" s="78" t="n">
        <x:f>AC2370+AB2371</x:f>
        <x:v>30479489.731192295</x:v>
      </x:c>
      <x:c r="AD2371" s="80" t="n">
        <x:f>Z2371/(1+'Inputs'!$C$50)</x:f>
        <x:v>2.073008968927248</x:v>
      </x:c>
      <x:c r="AE2371" s="80" t="n">
        <x:f>Z2371-AD2371</x:f>
        <x:v>2.073008968927248</x:v>
      </x:c>
      <x:c r="AF2371" s="80" t="n">
        <x:f>D2371*W2371</x:f>
        <x:v>1.133993725228832</x:v>
      </x:c>
      <x:c r="AG2371" s="80" t="n">
        <x:f>C2371*W2371</x:f>
        <x:v>2.6459853588672844</x:v>
      </x:c>
      <x:c r="AH2371" s="80" t="n">
        <x:f>2*'Inputs'!$B$8*'Inputs'!$C$50</x:f>
        <x:v>5000</x:v>
      </x:c>
      <x:c r="AI2371" s="81" t="n">
        <x:f>IF(AH2371&gt;0,(AE2371+AF2371)/AH2371*365,0)</x:f>
        <x:v>0.23411119667339383</x:v>
      </x:c>
      <x:c r="AJ2371" s="81" t="n">
        <x:f>IF('Inputs'!$B$50&gt;0,AG2371/('Inputs'!$B$19*'Inputs'!$B$50)*365,0)</x:f>
        <x:v>0.09657846559865588</x:v>
      </x:c>
      <x:c r="AK2371" s="81" t="n">
        <x:f>W2371/MAX($W$2194:W2371)-1</x:f>
        <x:v>-0.9952014808213825</x:v>
      </x:c>
      <x:c r="AL2371" s="83" t="n">
        <x:f>'Inputs'!$B$50</x:f>
        <x:v>1</x:v>
      </x:c>
      <x:c r="AM2371" s="83" t="n">
        <x:f>'Inputs'!$C$50</x:f>
        <x:v>1</x:v>
      </x:c>
      <x:c r="AN2371" s="83" t="n">
        <x:f>'Inputs'!$D$50</x:f>
        <x:v>1</x:v>
      </x:c>
      <x:c r="AO2371" s="81" t="n">
        <x:f>'Inputs'!$E$50</x:f>
        <x:v>0</x:v>
      </x:c>
    </x:row>
    <x:row r="2372">
      <x:c r="A2372" s="59" t="str">
        <x:v>Whale exit</x:v>
      </x:c>
      <x:c r="B2372" s="59" t="n">
        <x:v>179</x:v>
      </x:c>
      <x:c r="C2372" s="78" t="n">
        <x:f>(('Inputs'!$B$29*(3*179*'Inputs'!$B$12-179^2)/(2*'Inputs'!$B$12^2))-('Inputs'!$B$29*(3*178*'Inputs'!$B$12-178^2)/(2*'Inputs'!$B$12^2)))*'Inputs'!$B$50</x:f>
        <x:v>653954.5411897153</x:v>
      </x:c>
      <x:c r="D2372" s="78" t="n">
        <x:f>IF('Inputs'!$C$50&gt;0,('Inputs'!$B$30*(3*179*'Inputs'!$B$12-179^2)/(2*'Inputs'!$B$12^2))-('Inputs'!$B$30*(3*178*'Inputs'!$B$12-178^2)/(2*'Inputs'!$B$12^2)),0)</x:f>
        <x:v>280266.2319384515</x:v>
      </x:c>
      <x:c r="E2372" s="78" t="n">
        <x:f>C2372+D2372</x:f>
        <x:v>934220.7731281668</x:v>
      </x:c>
      <x:c r="F2372" s="78" t="n">
        <x:f>'Inputs'!$B$13*E2372+(1-'Inputs'!$B$13)/'Inputs'!$B$14*SUM(E2317:E2372)</x:f>
        <x:v>944438.4499906176</x:v>
      </x:c>
      <x:c r="G2372" s="78" t="n">
        <x:f>F2372*'Inputs'!$F$50</x:f>
        <x:v>472219.2249953088</x:v>
      </x:c>
      <x:c r="H2372" s="78" t="n">
        <x:f>U2371</x:f>
        <x:v>84723846.08228412</x:v>
      </x:c>
      <x:c r="I2372" s="78" t="n">
        <x:f>V2371</x:f>
        <x:v>342.6333932172336</x:v>
      </x:c>
      <x:c r="J2372" s="79" t="n">
        <x:f>IF(H2372&gt;0,I2372/H2372,0)</x:f>
        <x:v>0.000004044119915005591</x:v>
      </x:c>
      <x:c r="K2372" s="80" t="n">
        <x:f>(H2372*J2372+I2372)*'Inputs'!$D$50*(1+'Inputs'!$G$50)^(B2372/30)</x:f>
        <x:v>685.2667864344672</x:v>
      </x:c>
      <x:c r="L2372" s="80" t="n">
        <x:f>MAX(0,K2372*'Inputs'!$E$50)</x:f>
        <x:v>0</x:v>
      </x:c>
      <x:c r="M2372" s="80" t="n">
        <x:f>MAX(0,-K2372*'Inputs'!$E$50)</x:f>
        <x:v>0</x:v>
      </x:c>
      <x:c r="N2372" s="78" t="n">
        <x:f>H2372*(L2372*(1-'Inputs'!$B$15))/(I2372+L2372*(1-'Inputs'!$B$15))</x:f>
        <x:v>0</x:v>
      </x:c>
      <x:c r="O2372" s="78" t="n">
        <x:f>H2372-N2372</x:f>
        <x:v>84723846.08228412</x:v>
      </x:c>
      <x:c r="P2372" s="78" t="n">
        <x:f>I2372+L2372*(1-'Inputs'!$B$17)</x:f>
        <x:v>342.6333932172336</x:v>
      </x:c>
      <x:c r="Q2372" s="78" t="n">
        <x:f>IF(J2372&gt;0,M2372/J2372,0)</x:f>
        <x:v>0</x:v>
      </x:c>
      <x:c r="R2372" s="78" t="n">
        <x:f>IF(B2372='Inputs'!$H$50,'Inputs'!$B$27*'Inputs'!$I$50,0)</x:f>
        <x:v>0</x:v>
      </x:c>
      <x:c r="S2372" s="78" t="n">
        <x:f>Q2372+G2372+R2372</x:f>
        <x:v>472219.2249953088</x:v>
      </x:c>
      <x:c r="T2372" s="78" t="n">
        <x:f>P2372*(S2372*(1-'Inputs'!$B$15))/(O2372+S2372*(1-'Inputs'!$B$15))</x:f>
        <x:v>1.8802391040160789</x:v>
      </x:c>
      <x:c r="U2372" s="78" t="n">
        <x:f>O2372+S2372*(1-'Inputs'!$B$17)</x:f>
        <x:v>85194165.02870803</x:v>
      </x:c>
      <x:c r="V2372" s="78" t="n">
        <x:f>P2372-T2372</x:f>
        <x:v>340.75315411321753</x:v>
      </x:c>
      <x:c r="W2372" s="79" t="n">
        <x:f>IF(U2372&gt;0,V2372/U2372,0)</x:f>
        <x:v>0.00000399972408906635</x:v>
      </x:c>
      <x:c r="X2372" s="80" t="n">
        <x:f>W2372*('Inputs'!$B$6-AC2372)</x:f>
        <x:v>3876.443269123381</x:v>
      </x:c>
      <x:c r="Y2372" s="80" t="n">
        <x:f>2*V2372</x:f>
        <x:v>681.5063082264351</x:v>
      </x:c>
      <x:c r="Z2372" s="80" t="n">
        <x:f>K2372*'Inputs'!$B$16+(G2372+R2372)*J2372*'Inputs'!$B$16</x:f>
        <x:v>4.1230589856391155</x:v>
      </x:c>
      <x:c r="AA2372" s="80" t="n">
        <x:f>K2372*(1+'Inputs'!$E$50)/2*'Inputs'!$B$17</x:f>
        <x:v>1.3788064113369563</x:v>
      </x:c>
      <x:c r="AB2372" s="78" t="n">
        <x:f>(IF(J2372&gt;0,K2372*(1-'Inputs'!$E$50)/2/J2372,0)+G2372+R2372)*'Inputs'!$B$17</x:f>
        <x:v>342841.3090836195</x:v>
      </x:c>
      <x:c r="AC2372" s="78" t="n">
        <x:f>AC2371+AB2372</x:f>
        <x:v>30822331.040275913</x:v>
      </x:c>
      <x:c r="AD2372" s="80" t="n">
        <x:f>Z2372/(1+'Inputs'!$C$50)</x:f>
        <x:v>2.0615294928195578</x:v>
      </x:c>
      <x:c r="AE2372" s="80" t="n">
        <x:f>Z2372-AD2372</x:f>
        <x:v>2.0615294928195578</x:v>
      </x:c>
      <x:c r="AF2372" s="80" t="n">
        <x:f>D2372*W2372</x:f>
        <x:v>1.1209875992360814</x:v>
      </x:c>
      <x:c r="AG2372" s="80" t="n">
        <x:f>C2372*W2372</x:f>
        <x:v>2.615637731550837</x:v>
      </x:c>
      <x:c r="AH2372" s="80" t="n">
        <x:f>2*'Inputs'!$B$8*'Inputs'!$C$50</x:f>
        <x:v>5000</x:v>
      </x:c>
      <x:c r="AI2372" s="81" t="n">
        <x:f>IF(AH2372&gt;0,(AE2372+AF2372)/AH2372*365,0)</x:f>
        <x:v>0.23232374772006167</x:v>
      </x:c>
      <x:c r="AJ2372" s="81" t="n">
        <x:f>IF('Inputs'!$B$50&gt;0,AG2372/('Inputs'!$B$19*'Inputs'!$B$50)*365,0)</x:f>
        <x:v>0.09547077720160553</x:v>
      </x:c>
      <x:c r="AK2372" s="81" t="n">
        <x:f>W2372/MAX($W$2194:W2372)-1</x:f>
        <x:v>-0.9952541583449717</x:v>
      </x:c>
      <x:c r="AL2372" s="83" t="n">
        <x:f>'Inputs'!$B$50</x:f>
        <x:v>1</x:v>
      </x:c>
      <x:c r="AM2372" s="83" t="n">
        <x:f>'Inputs'!$C$50</x:f>
        <x:v>1</x:v>
      </x:c>
      <x:c r="AN2372" s="83" t="n">
        <x:f>'Inputs'!$D$50</x:f>
        <x:v>1</x:v>
      </x:c>
      <x:c r="AO2372" s="81" t="n">
        <x:f>'Inputs'!$E$50</x:f>
        <x:v>0</x:v>
      </x:c>
    </x:row>
    <x:row r="2373">
      <x:c r="A2373" s="59" t="str">
        <x:v>Whale exit</x:v>
      </x:c>
      <x:c r="B2373" s="59" t="n">
        <x:v>180</x:v>
      </x:c>
      <x:c r="C2373" s="78" t="n">
        <x:f>(('Inputs'!$B$29*(3*180*'Inputs'!$B$12-180^2)/(2*'Inputs'!$B$12^2))-('Inputs'!$B$29*(3*179*'Inputs'!$B$12-179^2)/(2*'Inputs'!$B$12^2)))*'Inputs'!$B$50</x:f>
        <x:v>653629.4332895428</x:v>
      </x:c>
      <x:c r="D2373" s="78" t="n">
        <x:f>IF('Inputs'!$C$50&gt;0,('Inputs'!$B$30*(3*180*'Inputs'!$B$12-180^2)/(2*'Inputs'!$B$12^2))-('Inputs'!$B$30*(3*179*'Inputs'!$B$12-179^2)/(2*'Inputs'!$B$12^2)),0)</x:f>
        <x:v>280126.8999812305</x:v>
      </x:c>
      <x:c r="E2373" s="78" t="n">
        <x:f>C2373+D2373</x:f>
        <x:v>933756.3332707733</x:v>
      </x:c>
      <x:c r="F2373" s="78" t="n">
        <x:f>'Inputs'!$B$13*E2373+(1-'Inputs'!$B$13)/'Inputs'!$B$14*SUM(E2318:E2373)</x:f>
        <x:v>943974.0101332314</x:v>
      </x:c>
      <x:c r="G2373" s="78" t="n">
        <x:f>F2373*'Inputs'!$F$50</x:f>
        <x:v>471987.0050666157</x:v>
      </x:c>
      <x:c r="H2373" s="78" t="n">
        <x:f>U2372</x:f>
        <x:v>85194165.02870803</x:v>
      </x:c>
      <x:c r="I2373" s="78" t="n">
        <x:f>V2372</x:f>
        <x:v>340.75315411321753</x:v>
      </x:c>
      <x:c r="J2373" s="79" t="n">
        <x:f>IF(H2373&gt;0,I2373/H2373,0)</x:f>
        <x:v>0.00000399972408906635</x:v>
      </x:c>
      <x:c r="K2373" s="80" t="n">
        <x:f>(H2373*J2373+I2373)*'Inputs'!$D$50*(1+'Inputs'!$G$50)^(B2373/30)</x:f>
        <x:v>681.5063082264351</x:v>
      </x:c>
      <x:c r="L2373" s="80" t="n">
        <x:f>MAX(0,K2373*'Inputs'!$E$50)</x:f>
        <x:v>0</x:v>
      </x:c>
      <x:c r="M2373" s="80" t="n">
        <x:f>MAX(0,-K2373*'Inputs'!$E$50)</x:f>
        <x:v>0</x:v>
      </x:c>
      <x:c r="N2373" s="78" t="n">
        <x:f>H2373*(L2373*(1-'Inputs'!$B$15))/(I2373+L2373*(1-'Inputs'!$B$15))</x:f>
        <x:v>0</x:v>
      </x:c>
      <x:c r="O2373" s="78" t="n">
        <x:f>H2373-N2373</x:f>
        <x:v>85194165.02870803</x:v>
      </x:c>
      <x:c r="P2373" s="78" t="n">
        <x:f>I2373+L2373*(1-'Inputs'!$B$17)</x:f>
        <x:v>340.75315411321753</x:v>
      </x:c>
      <x:c r="Q2373" s="78" t="n">
        <x:f>IF(J2373&gt;0,M2373/J2373,0)</x:f>
        <x:v>0</x:v>
      </x:c>
      <x:c r="R2373" s="78" t="n">
        <x:f>IF(B2373='Inputs'!$H$50,'Inputs'!$B$27*'Inputs'!$I$50,0)</x:f>
        <x:v>0</x:v>
      </x:c>
      <x:c r="S2373" s="78" t="n">
        <x:f>Q2373+G2373+R2373</x:f>
        <x:v>471987.0050666157</x:v>
      </x:c>
      <x:c r="T2373" s="78" t="n">
        <x:f>P2373*(S2373*(1-'Inputs'!$B$15))/(O2373+S2373*(1-'Inputs'!$B$15))</x:f>
        <x:v>1.858744898939004</x:v>
      </x:c>
      <x:c r="U2373" s="78" t="n">
        <x:f>O2373+S2373*(1-'Inputs'!$B$17)</x:f>
        <x:v>85664252.68968986</x:v>
      </x:c>
      <x:c r="V2373" s="78" t="n">
        <x:f>P2373-T2373</x:f>
        <x:v>338.89440921427854</x:v>
      </x:c>
      <x:c r="W2373" s="79" t="n">
        <x:f>IF(U2373&gt;0,V2373/U2373,0)</x:f>
        <x:v>0.00000395607734350861</x:v>
      </x:c>
      <x:c r="X2373" s="80" t="n">
        <x:f>W2373*('Inputs'!$B$6-AC2373)</x:f>
        <x:v>3832.7780275707755</x:v>
      </x:c>
      <x:c r="Y2373" s="80" t="n">
        <x:f>2*V2373</x:f>
        <x:v>677.7888184285571</x:v>
      </x:c>
      <x:c r="Z2373" s="80" t="n">
        <x:f>K2373*'Inputs'!$B$16+(G2373+R2373)*J2373*'Inputs'!$B$16</x:f>
        <x:v>4.100364756121958</x:v>
      </x:c>
      <x:c r="AA2373" s="80" t="n">
        <x:f>K2373*(1+'Inputs'!$E$50)/2*'Inputs'!$B$17</x:f>
        <x:v>1.371240056793632</x:v>
      </x:c>
      <x:c r="AB2373" s="78" t="n">
        <x:f>(IF(J2373&gt;0,K2373*(1-'Inputs'!$E$50)/2/J2373,0)+G2373+R2373)*'Inputs'!$B$17</x:f>
        <x:v>344733.0061721314</x:v>
      </x:c>
      <x:c r="AC2373" s="78" t="n">
        <x:f>AC2372+AB2373</x:f>
        <x:v>31167064.046448044</x:v>
      </x:c>
      <x:c r="AD2373" s="80" t="n">
        <x:f>Z2373/(1+'Inputs'!$C$50)</x:f>
        <x:v>2.050182378060979</x:v>
      </x:c>
      <x:c r="AE2373" s="80" t="n">
        <x:f>Z2373-AD2373</x:f>
        <x:v>2.050182378060979</x:v>
      </x:c>
      <x:c r="AF2373" s="80" t="n">
        <x:f>D2373*W2373</x:f>
        <x:v>1.1082036823230486</x:v>
      </x:c>
      <x:c r="AG2373" s="80" t="n">
        <x:f>C2373*W2373</x:f>
        <x:v>2.5858085920871328</x:v>
      </x:c>
      <x:c r="AH2373" s="80" t="n">
        <x:f>2*'Inputs'!$B$8*'Inputs'!$C$50</x:f>
        <x:v>5000</x:v>
      </x:c>
      <x:c r="AI2373" s="81" t="n">
        <x:f>IF(AH2373&gt;0,(AE2373+AF2373)/AH2373*365,0)</x:f>
        <x:v>0.23056218240803403</x:v>
      </x:c>
      <x:c r="AJ2373" s="81" t="n">
        <x:f>IF('Inputs'!$B$50&gt;0,AG2373/('Inputs'!$B$19*'Inputs'!$B$50)*365,0)</x:f>
        <x:v>0.09438201361118036</x:v>
      </x:c>
      <x:c r="AK2373" s="81" t="n">
        <x:f>W2373/MAX($W$2194:W2373)-1</x:f>
        <x:v>-0.995305947053033</x:v>
      </x:c>
      <x:c r="AL2373" s="83" t="n">
        <x:f>'Inputs'!$B$50</x:f>
        <x:v>1</x:v>
      </x:c>
      <x:c r="AM2373" s="83" t="n">
        <x:f>'Inputs'!$C$50</x:f>
        <x:v>1</x:v>
      </x:c>
      <x:c r="AN2373" s="83" t="n">
        <x:f>'Inputs'!$D$50</x:f>
        <x:v>1</x:v>
      </x:c>
      <x:c r="AO2373" s="81" t="n">
        <x:f>'Inputs'!$E$50</x:f>
        <x:v>0</x:v>
      </x:c>
    </x:row>
    <x:row r="2374">
      <x:c r="A2374" s="59" t="str">
        <x:v>Whale exit</x:v>
      </x:c>
      <x:c r="B2374" s="59" t="n">
        <x:v>181</x:v>
      </x:c>
      <x:c r="C2374" s="78" t="n">
        <x:f>(('Inputs'!$B$29*(3*181*'Inputs'!$B$12-181^2)/(2*'Inputs'!$B$12^2))-('Inputs'!$B$29*(3*180*'Inputs'!$B$12-180^2)/(2*'Inputs'!$B$12^2)))*'Inputs'!$B$50</x:f>
        <x:v>653304.3253893852</x:v>
      </x:c>
      <x:c r="D2374" s="78" t="n">
        <x:f>IF('Inputs'!$C$50&gt;0,('Inputs'!$B$30*(3*181*'Inputs'!$B$12-181^2)/(2*'Inputs'!$B$12^2))-('Inputs'!$B$30*(3*180*'Inputs'!$B$12-180^2)/(2*'Inputs'!$B$12^2)),0)</x:f>
        <x:v>279987.56802402437</x:v>
      </x:c>
      <x:c r="E2374" s="78" t="n">
        <x:f>C2374+D2374</x:f>
        <x:v>933291.8934134096</x:v>
      </x:c>
      <x:c r="F2374" s="78" t="n">
        <x:f>'Inputs'!$B$13*E2374+(1-'Inputs'!$B$13)/'Inputs'!$B$14*SUM(E2319:E2374)</x:f>
        <x:v>943509.5702758515</x:v>
      </x:c>
      <x:c r="G2374" s="78" t="n">
        <x:f>F2374*'Inputs'!$F$50</x:f>
        <x:v>471754.78513792576</x:v>
      </x:c>
      <x:c r="H2374" s="78" t="n">
        <x:f>U2373</x:f>
        <x:v>85664252.68968986</x:v>
      </x:c>
      <x:c r="I2374" s="78" t="n">
        <x:f>V2373</x:f>
        <x:v>338.89440921427854</x:v>
      </x:c>
      <x:c r="J2374" s="79" t="n">
        <x:f>IF(H2374&gt;0,I2374/H2374,0)</x:f>
        <x:v>0.00000395607734350861</x:v>
      </x:c>
      <x:c r="K2374" s="80" t="n">
        <x:f>(H2374*J2374+I2374)*'Inputs'!$D$50*(1+'Inputs'!$G$50)^(B2374/30)</x:f>
        <x:v>677.7888184285571</x:v>
      </x:c>
      <x:c r="L2374" s="80" t="n">
        <x:f>MAX(0,K2374*'Inputs'!$E$50)</x:f>
        <x:v>0</x:v>
      </x:c>
      <x:c r="M2374" s="80" t="n">
        <x:f>MAX(0,-K2374*'Inputs'!$E$50)</x:f>
        <x:v>0</x:v>
      </x:c>
      <x:c r="N2374" s="78" t="n">
        <x:f>H2374*(L2374*(1-'Inputs'!$B$15))/(I2374+L2374*(1-'Inputs'!$B$15))</x:f>
        <x:v>0</x:v>
      </x:c>
      <x:c r="O2374" s="78" t="n">
        <x:f>H2374-N2374</x:f>
        <x:v>85664252.68968986</x:v>
      </x:c>
      <x:c r="P2374" s="78" t="n">
        <x:f>I2374+L2374*(1-'Inputs'!$B$17)</x:f>
        <x:v>338.89440921427854</x:v>
      </x:c>
      <x:c r="Q2374" s="78" t="n">
        <x:f>IF(J2374&gt;0,M2374/J2374,0)</x:f>
        <x:v>0</x:v>
      </x:c>
      <x:c r="R2374" s="78" t="n">
        <x:f>IF(B2374='Inputs'!$H$50,'Inputs'!$B$27*'Inputs'!$I$50,0)</x:f>
        <x:v>0</x:v>
      </x:c>
      <x:c r="S2374" s="78" t="n">
        <x:f>Q2374+G2374+R2374</x:f>
        <x:v>471754.78513792576</x:v>
      </x:c>
      <x:c r="T2374" s="78" t="n">
        <x:f>P2374*(S2374*(1-'Inputs'!$B$15))/(O2374+S2374*(1-'Inputs'!$B$15))</x:f>
        <x:v>1.837616837568349</x:v>
      </x:c>
      <x:c r="U2374" s="78" t="n">
        <x:f>O2374+S2374*(1-'Inputs'!$B$17)</x:f>
        <x:v>86134109.06522964</x:v>
      </x:c>
      <x:c r="V2374" s="78" t="n">
        <x:f>P2374-T2374</x:f>
        <x:v>337.0567923767102</x:v>
      </x:c>
      <x:c r="W2374" s="79" t="n">
        <x:f>IF(U2374&gt;0,V2374/U2374,0)</x:f>
        <x:v>0.000003913162811279048</x:v>
      </x:c>
      <x:c r="X2374" s="80" t="n">
        <x:f>W2374*('Inputs'!$B$6-AC2374)</x:f>
        <x:v>3789.844620059548</x:v>
      </x:c>
      <x:c r="Y2374" s="80" t="n">
        <x:f>2*V2374</x:f>
        <x:v>674.1135847534204</x:v>
      </x:c>
      <x:c r="Z2374" s="80" t="n">
        <x:f>K2374*'Inputs'!$B$16+(G2374+R2374)*J2374*'Inputs'!$B$16</x:f>
        <x:v>4.077930701074398</x:v>
      </x:c>
      <x:c r="AA2374" s="80" t="n">
        <x:f>K2374*(1+'Inputs'!$E$50)/2*'Inputs'!$B$17</x:f>
        <x:v>1.3637601980453866</x:v>
      </x:c>
      <x:c r="AB2374" s="78" t="n">
        <x:f>(IF(J2374&gt;0,K2374*(1-'Inputs'!$E$50)/2/J2374,0)+G2374+R2374)*'Inputs'!$B$17</x:f>
        <x:v>346623.77253451827</x:v>
      </x:c>
      <x:c r="AC2374" s="78" t="n">
        <x:f>AC2373+AB2374</x:f>
        <x:v>31513687.818982564</x:v>
      </x:c>
      <x:c r="AD2374" s="80" t="n">
        <x:f>Z2374/(1+'Inputs'!$C$50)</x:f>
        <x:v>2.038965350537199</x:v>
      </x:c>
      <x:c r="AE2374" s="80" t="n">
        <x:f>Z2374-AD2374</x:f>
        <x:v>2.038965350537199</x:v>
      </x:c>
      <x:c r="AF2374" s="80" t="n">
        <x:f>D2374*W2374</x:f>
        <x:v>1.095636938812075</x:v>
      </x:c>
      <x:c r="AG2374" s="80" t="n">
        <x:f>C2374*W2374</x:f>
        <x:v>2.556486190561489</x:v>
      </x:c>
      <x:c r="AH2374" s="80" t="n">
        <x:f>2*'Inputs'!$B$8*'Inputs'!$C$50</x:f>
        <x:v>5000</x:v>
      </x:c>
      <x:c r="AI2374" s="81" t="n">
        <x:f>IF(AH2374&gt;0,(AE2374+AF2374)/AH2374*365,0)</x:f>
        <x:v>0.22882596712249698</x:v>
      </x:c>
      <x:c r="AJ2374" s="81" t="n">
        <x:f>IF('Inputs'!$B$50&gt;0,AG2374/('Inputs'!$B$19*'Inputs'!$B$50)*365,0)</x:f>
        <x:v>0.09331174595549434</x:v>
      </x:c>
      <x:c r="AK2374" s="81" t="n">
        <x:f>W2374/MAX($W$2194:W2374)-1</x:f>
        <x:v>-0.9953568669590379</x:v>
      </x:c>
      <x:c r="AL2374" s="83" t="n">
        <x:f>'Inputs'!$B$50</x:f>
        <x:v>1</x:v>
      </x:c>
      <x:c r="AM2374" s="83" t="n">
        <x:f>'Inputs'!$C$50</x:f>
        <x:v>1</x:v>
      </x:c>
      <x:c r="AN2374" s="83" t="n">
        <x:f>'Inputs'!$D$50</x:f>
        <x:v>1</x:v>
      </x:c>
      <x:c r="AO2374" s="81" t="n">
        <x:f>'Inputs'!$E$50</x:f>
        <x:v>0</x:v>
      </x:c>
    </x:row>
    <x:row r="2375">
      <x:c r="A2375" s="59" t="str">
        <x:v>Whale exit</x:v>
      </x:c>
      <x:c r="B2375" s="59" t="n">
        <x:v>182</x:v>
      </x:c>
      <x:c r="C2375" s="78" t="n">
        <x:f>(('Inputs'!$B$29*(3*182*'Inputs'!$B$12-182^2)/(2*'Inputs'!$B$12^2))-('Inputs'!$B$29*(3*181*'Inputs'!$B$12-181^2)/(2*'Inputs'!$B$12^2)))*'Inputs'!$B$50</x:f>
        <x:v>652979.2174892128</x:v>
      </x:c>
      <x:c r="D2375" s="78" t="n">
        <x:f>IF('Inputs'!$C$50&gt;0,('Inputs'!$B$30*(3*182*'Inputs'!$B$12-182^2)/(2*'Inputs'!$B$12^2))-('Inputs'!$B$30*(3*181*'Inputs'!$B$12-181^2)/(2*'Inputs'!$B$12^2)),0)</x:f>
        <x:v>279848.23606680334</x:v>
      </x:c>
      <x:c r="E2375" s="78" t="n">
        <x:f>C2375+D2375</x:f>
        <x:v>932827.4535560161</x:v>
      </x:c>
      <x:c r="F2375" s="78" t="n">
        <x:f>'Inputs'!$B$13*E2375+(1-'Inputs'!$B$13)/'Inputs'!$B$14*SUM(E2320:E2375)</x:f>
        <x:v>943045.1304184655</x:v>
      </x:c>
      <x:c r="G2375" s="78" t="n">
        <x:f>F2375*'Inputs'!$F$50</x:f>
        <x:v>471522.56520923274</x:v>
      </x:c>
      <x:c r="H2375" s="78" t="n">
        <x:f>U2374</x:f>
        <x:v>86134109.06522964</x:v>
      </x:c>
      <x:c r="I2375" s="78" t="n">
        <x:f>V2374</x:f>
        <x:v>337.0567923767102</x:v>
      </x:c>
      <x:c r="J2375" s="79" t="n">
        <x:f>IF(H2375&gt;0,I2375/H2375,0)</x:f>
        <x:v>0.000003913162811279048</x:v>
      </x:c>
      <x:c r="K2375" s="80" t="n">
        <x:f>(H2375*J2375+I2375)*'Inputs'!$D$50*(1+'Inputs'!$G$50)^(B2375/30)</x:f>
        <x:v>674.1135847534204</x:v>
      </x:c>
      <x:c r="L2375" s="80" t="n">
        <x:f>MAX(0,K2375*'Inputs'!$E$50)</x:f>
        <x:v>0</x:v>
      </x:c>
      <x:c r="M2375" s="80" t="n">
        <x:f>MAX(0,-K2375*'Inputs'!$E$50)</x:f>
        <x:v>0</x:v>
      </x:c>
      <x:c r="N2375" s="78" t="n">
        <x:f>H2375*(L2375*(1-'Inputs'!$B$15))/(I2375+L2375*(1-'Inputs'!$B$15))</x:f>
        <x:v>0</x:v>
      </x:c>
      <x:c r="O2375" s="78" t="n">
        <x:f>H2375-N2375</x:f>
        <x:v>86134109.06522964</x:v>
      </x:c>
      <x:c r="P2375" s="78" t="n">
        <x:f>I2375+L2375*(1-'Inputs'!$B$17)</x:f>
        <x:v>337.0567923767102</x:v>
      </x:c>
      <x:c r="Q2375" s="78" t="n">
        <x:f>IF(J2375&gt;0,M2375/J2375,0)</x:f>
        <x:v>0</x:v>
      </x:c>
      <x:c r="R2375" s="78" t="n">
        <x:f>IF(B2375='Inputs'!$H$50,'Inputs'!$B$27*'Inputs'!$I$50,0)</x:f>
        <x:v>0</x:v>
      </x:c>
      <x:c r="S2375" s="78" t="n">
        <x:f>Q2375+G2375+R2375</x:f>
        <x:v>471522.56520923274</x:v>
      </x:c>
      <x:c r="T2375" s="78" t="n">
        <x:f>P2375*(S2375*(1-'Inputs'!$B$15))/(O2375+S2375*(1-'Inputs'!$B$15))</x:f>
        <x:v>1.8168466462133037</x:v>
      </x:c>
      <x:c r="U2375" s="78" t="n">
        <x:f>O2375+S2375*(1-'Inputs'!$B$17)</x:f>
        <x:v>86603734.15532736</x:v>
      </x:c>
      <x:c r="V2375" s="78" t="n">
        <x:f>P2375-T2375</x:f>
        <x:v>335.23994573049686</x:v>
      </x:c>
      <x:c r="W2375" s="79" t="n">
        <x:f>IF(U2375&gt;0,V2375/U2375,0)</x:f>
        <x:v>0.000003870964098721542</x:v>
      </x:c>
      <x:c r="X2375" s="80" t="n">
        <x:f>W2375*('Inputs'!$B$6-AC2375)</x:f>
        <x:v>3747.626660890797</x:v>
      </x:c>
      <x:c r="Y2375" s="80" t="n">
        <x:f>2*V2375</x:f>
        <x:v>670.4798914609937</x:v>
      </x:c>
      <x:c r="Z2375" s="80" t="n">
        <x:f>K2375*'Inputs'!$B$16+(G2375+R2375)*J2375*'Inputs'!$B$16</x:f>
        <x:v>4.0557523759216565</x:v>
      </x:c>
      <x:c r="AA2375" s="80" t="n">
        <x:f>K2375*(1+'Inputs'!$E$50)/2*'Inputs'!$B$17</x:f>
        <x:v>1.3563653616769022</x:v>
      </x:c>
      <x:c r="AB2375" s="78" t="n">
        <x:f>(IF(J2375&gt;0,K2375*(1-'Inputs'!$E$50)/2/J2375,0)+G2375+R2375)*'Inputs'!$B$17</x:f>
        <x:v>348513.60817078024</x:v>
      </x:c>
      <x:c r="AC2375" s="78" t="n">
        <x:f>AC2374+AB2375</x:f>
        <x:v>31862201.427153345</x:v>
      </x:c>
      <x:c r="AD2375" s="80" t="n">
        <x:f>Z2375/(1+'Inputs'!$C$50)</x:f>
        <x:v>2.0278761879608282</x:v>
      </x:c>
      <x:c r="AE2375" s="80" t="n">
        <x:f>Z2375-AD2375</x:f>
        <x:v>2.0278761879608282</x:v>
      </x:c>
      <x:c r="AF2375" s="80" t="n">
        <x:f>D2375*W2375</x:f>
        <x:v>1.0832824749051468</x:v>
      </x:c>
      <x:c r="AG2375" s="80" t="n">
        <x:f>C2375*W2375</x:f>
        <x:v>2.5276591081120285</x:v>
      </x:c>
      <x:c r="AH2375" s="80" t="n">
        <x:f>2*'Inputs'!$B$8*'Inputs'!$C$50</x:f>
        <x:v>5000</x:v>
      </x:c>
      <x:c r="AI2375" s="81" t="n">
        <x:f>IF(AH2375&gt;0,(AE2375+AF2375)/AH2375*365,0)</x:f>
        <x:v>0.2271145823892162</x:v>
      </x:c>
      <x:c r="AJ2375" s="81" t="n">
        <x:f>IF('Inputs'!$B$50&gt;0,AG2375/('Inputs'!$B$19*'Inputs'!$B$50)*365,0)</x:f>
        <x:v>0.09225955744608903</x:v>
      </x:c>
      <x:c r="AK2375" s="81" t="n">
        <x:f>W2375/MAX($W$2194:W2375)-1</x:f>
        <x:v>-0.9954069375147524</x:v>
      </x:c>
      <x:c r="AL2375" s="83" t="n">
        <x:f>'Inputs'!$B$50</x:f>
        <x:v>1</x:v>
      </x:c>
      <x:c r="AM2375" s="83" t="n">
        <x:f>'Inputs'!$C$50</x:f>
        <x:v>1</x:v>
      </x:c>
      <x:c r="AN2375" s="83" t="n">
        <x:f>'Inputs'!$D$50</x:f>
        <x:v>1</x:v>
      </x:c>
      <x:c r="AO2375" s="81" t="n">
        <x:f>'Inputs'!$E$50</x:f>
        <x:v>0</x:v>
      </x:c>
    </x:row>
    <x:row r="2376">
      <x:c r="A2376" s="59" t="str">
        <x:v>Whale exit</x:v>
      </x:c>
      <x:c r="B2376" s="59" t="n">
        <x:v>183</x:v>
      </x:c>
      <x:c r="C2376" s="78" t="n">
        <x:f>(('Inputs'!$B$29*(3*183*'Inputs'!$B$12-183^2)/(2*'Inputs'!$B$12^2))-('Inputs'!$B$29*(3*182*'Inputs'!$B$12-182^2)/(2*'Inputs'!$B$12^2)))*'Inputs'!$B$50</x:f>
        <x:v>652654.1095890403</x:v>
      </x:c>
      <x:c r="D2376" s="78" t="n">
        <x:f>IF('Inputs'!$C$50&gt;0,('Inputs'!$B$30*(3*183*'Inputs'!$B$12-183^2)/(2*'Inputs'!$B$12^2))-('Inputs'!$B$30*(3*182*'Inputs'!$B$12-182^2)/(2*'Inputs'!$B$12^2)),0)</x:f>
        <x:v>279708.90410958976</x:v>
      </x:c>
      <x:c r="E2376" s="78" t="n">
        <x:f>C2376+D2376</x:f>
        <x:v>932363.01369863</x:v>
      </x:c>
      <x:c r="F2376" s="78" t="n">
        <x:f>'Inputs'!$B$13*E2376+(1-'Inputs'!$B$13)/'Inputs'!$B$14*SUM(E2321:E2376)</x:f>
        <x:v>942580.690561081</x:v>
      </x:c>
      <x:c r="G2376" s="78" t="n">
        <x:f>F2376*'Inputs'!$F$50</x:f>
        <x:v>471290.3452805405</x:v>
      </x:c>
      <x:c r="H2376" s="78" t="n">
        <x:f>U2375</x:f>
        <x:v>86603734.15532736</x:v>
      </x:c>
      <x:c r="I2376" s="78" t="n">
        <x:f>V2375</x:f>
        <x:v>335.23994573049686</x:v>
      </x:c>
      <x:c r="J2376" s="79" t="n">
        <x:f>IF(H2376&gt;0,I2376/H2376,0)</x:f>
        <x:v>0.000003870964098721542</x:v>
      </x:c>
      <x:c r="K2376" s="80" t="n">
        <x:f>(H2376*J2376+I2376)*'Inputs'!$D$50*(1+'Inputs'!$G$50)^(B2376/30)</x:f>
        <x:v>670.4798914609937</x:v>
      </x:c>
      <x:c r="L2376" s="80" t="n">
        <x:f>MAX(0,K2376*'Inputs'!$E$50)</x:f>
        <x:v>0</x:v>
      </x:c>
      <x:c r="M2376" s="80" t="n">
        <x:f>MAX(0,-K2376*'Inputs'!$E$50)</x:f>
        <x:v>0</x:v>
      </x:c>
      <x:c r="N2376" s="78" t="n">
        <x:f>H2376*(L2376*(1-'Inputs'!$B$15))/(I2376+L2376*(1-'Inputs'!$B$15))</x:f>
        <x:v>0</x:v>
      </x:c>
      <x:c r="O2376" s="78" t="n">
        <x:f>H2376-N2376</x:f>
        <x:v>86603734.15532736</x:v>
      </x:c>
      <x:c r="P2376" s="78" t="n">
        <x:f>I2376+L2376*(1-'Inputs'!$B$17)</x:f>
        <x:v>335.23994573049686</x:v>
      </x:c>
      <x:c r="Q2376" s="78" t="n">
        <x:f>IF(J2376&gt;0,M2376/J2376,0)</x:f>
        <x:v>0</x:v>
      </x:c>
      <x:c r="R2376" s="78" t="n">
        <x:f>IF(B2376='Inputs'!$H$50,'Inputs'!$B$27*'Inputs'!$I$50,0)</x:f>
        <x:v>0</x:v>
      </x:c>
      <x:c r="S2376" s="78" t="n">
        <x:f>Q2376+G2376+R2376</x:f>
        <x:v>471290.3452805405</x:v>
      </x:c>
      <x:c r="T2376" s="78" t="n">
        <x:f>P2376*(S2376*(1-'Inputs'!$B$15))/(O2376+S2376*(1-'Inputs'!$B$15))</x:f>
        <x:v>1.7964262836348301</x:v>
      </x:c>
      <x:c r="U2376" s="78" t="n">
        <x:f>O2376+S2376*(1-'Inputs'!$B$17)</x:f>
        <x:v>87073127.95998304</x:v>
      </x:c>
      <x:c r="V2376" s="78" t="n">
        <x:f>P2376-T2376</x:f>
        <x:v>333.443519446862</x:v>
      </x:c>
      <x:c r="W2376" s="79" t="n">
        <x:f>IF(U2376&gt;0,V2376/U2376,0)</x:f>
        <x:v>0.000003829465269699574</x:v>
      </x:c>
      <x:c r="X2376" s="80" t="n">
        <x:f>W2376*('Inputs'!$B$6-AC2376)</x:f>
        <x:v>3706.1082216638592</x:v>
      </x:c>
      <x:c r="Y2376" s="80" t="n">
        <x:f>2*V2376</x:f>
        <x:v>666.887038893724</x:v>
      </x:c>
      <x:c r="Z2376" s="80" t="n">
        <x:f>K2376*'Inputs'!$B$16+(G2376+R2376)*J2376*'Inputs'!$B$16</x:f>
        <x:v>4.033825436805893</x:v>
      </x:c>
      <x:c r="AA2376" s="80" t="n">
        <x:f>K2376*(1+'Inputs'!$E$50)/2*'Inputs'!$B$17</x:f>
        <x:v>1.3490541075673919</x:v>
      </x:c>
      <x:c r="AB2376" s="78" t="n">
        <x:f>(IF(J2376&gt;0,K2376*(1-'Inputs'!$E$50)/2/J2376,0)+G2376+R2376)*'Inputs'!$B$17</x:f>
        <x:v>350402.5130809172</x:v>
      </x:c>
      <x:c r="AC2376" s="78" t="n">
        <x:f>AC2375+AB2376</x:f>
        <x:v>32212603.940234262</x:v>
      </x:c>
      <x:c r="AD2376" s="80" t="n">
        <x:f>Z2376/(1+'Inputs'!$C$50)</x:f>
        <x:v>2.0169127184029465</x:v>
      </x:c>
      <x:c r="AE2376" s="80" t="n">
        <x:f>Z2376-AD2376</x:f>
        <x:v>2.0169127184029465</x:v>
      </x:c>
      <x:c r="AF2376" s="80" t="n">
        <x:f>D2376*W2376</x:f>
        <x:v>1.0711355339134025</x:v>
      </x:c>
      <x:c r="AG2376" s="80" t="n">
        <x:f>C2376*W2376</x:f>
        <x:v>2.4993162457979294</x:v>
      </x:c>
      <x:c r="AH2376" s="80" t="n">
        <x:f>2*'Inputs'!$B$8*'Inputs'!$C$50</x:f>
        <x:v>5000</x:v>
      </x:c>
      <x:c r="AI2376" s="81" t="n">
        <x:f>IF(AH2376&gt;0,(AE2376+AF2376)/AH2376*365,0)</x:f>
        <x:v>0.22542752241909347</x:v>
      </x:c>
      <x:c r="AJ2376" s="81" t="n">
        <x:f>IF('Inputs'!$B$50&gt;0,AG2376/('Inputs'!$B$19*'Inputs'!$B$50)*365,0)</x:f>
        <x:v>0.09122504297162443</x:v>
      </x:c>
      <x:c r="AK2376" s="81" t="n">
        <x:f>W2376/MAX($W$2194:W2376)-1</x:f>
        <x:v>-0.9954561776290757</x:v>
      </x:c>
      <x:c r="AL2376" s="83" t="n">
        <x:f>'Inputs'!$B$50</x:f>
        <x:v>1</x:v>
      </x:c>
      <x:c r="AM2376" s="83" t="n">
        <x:f>'Inputs'!$C$50</x:f>
        <x:v>1</x:v>
      </x:c>
      <x:c r="AN2376" s="83" t="n">
        <x:f>'Inputs'!$D$50</x:f>
        <x:v>1</x:v>
      </x:c>
      <x:c r="AO2376" s="81" t="n">
        <x:f>'Inputs'!$E$50</x:f>
        <x:v>0</x:v>
      </x:c>
    </x:row>
    <x:row r="2377">
      <x:c r="A2377" s="59" t="str">
        <x:v>Whale exit</x:v>
      </x:c>
      <x:c r="B2377" s="59" t="n">
        <x:v>184</x:v>
      </x:c>
      <x:c r="C2377" s="78" t="n">
        <x:f>(('Inputs'!$B$29*(3*184*'Inputs'!$B$12-184^2)/(2*'Inputs'!$B$12^2))-('Inputs'!$B$29*(3*183*'Inputs'!$B$12-183^2)/(2*'Inputs'!$B$12^2)))*'Inputs'!$B$50</x:f>
        <x:v>652329.0016888678</x:v>
      </x:c>
      <x:c r="D2377" s="78" t="n">
        <x:f>IF('Inputs'!$C$50&gt;0,('Inputs'!$B$30*(3*184*'Inputs'!$B$12-184^2)/(2*'Inputs'!$B$12^2))-('Inputs'!$B$30*(3*183*'Inputs'!$B$12-183^2)/(2*'Inputs'!$B$12^2)),0)</x:f>
        <x:v>279569.5721523687</x:v>
      </x:c>
      <x:c r="E2377" s="78" t="n">
        <x:f>C2377+D2377</x:f>
        <x:v>931898.5738412365</x:v>
      </x:c>
      <x:c r="F2377" s="78" t="n">
        <x:f>'Inputs'!$B$13*E2377+(1-'Inputs'!$B$13)/'Inputs'!$B$14*SUM(E2322:E2377)</x:f>
        <x:v>942116.2507036949</x:v>
      </x:c>
      <x:c r="G2377" s="78" t="n">
        <x:f>F2377*'Inputs'!$F$50</x:f>
        <x:v>471058.12535184744</x:v>
      </x:c>
      <x:c r="H2377" s="78" t="n">
        <x:f>U2376</x:f>
        <x:v>87073127.95998304</x:v>
      </x:c>
      <x:c r="I2377" s="78" t="n">
        <x:f>V2376</x:f>
        <x:v>333.443519446862</x:v>
      </x:c>
      <x:c r="J2377" s="79" t="n">
        <x:f>IF(H2377&gt;0,I2377/H2377,0)</x:f>
        <x:v>0.000003829465269699574</x:v>
      </x:c>
      <x:c r="K2377" s="80" t="n">
        <x:f>(H2377*J2377+I2377)*'Inputs'!$D$50*(1+'Inputs'!$G$50)^(B2377/30)</x:f>
        <x:v>666.8870388937239</x:v>
      </x:c>
      <x:c r="L2377" s="80" t="n">
        <x:f>MAX(0,K2377*'Inputs'!$E$50)</x:f>
        <x:v>0</x:v>
      </x:c>
      <x:c r="M2377" s="80" t="n">
        <x:f>MAX(0,-K2377*'Inputs'!$E$50)</x:f>
        <x:v>0</x:v>
      </x:c>
      <x:c r="N2377" s="78" t="n">
        <x:f>H2377*(L2377*(1-'Inputs'!$B$15))/(I2377+L2377*(1-'Inputs'!$B$15))</x:f>
        <x:v>0</x:v>
      </x:c>
      <x:c r="O2377" s="78" t="n">
        <x:f>H2377-N2377</x:f>
        <x:v>87073127.95998304</x:v>
      </x:c>
      <x:c r="P2377" s="78" t="n">
        <x:f>I2377+L2377*(1-'Inputs'!$B$17)</x:f>
        <x:v>333.443519446862</x:v>
      </x:c>
      <x:c r="Q2377" s="78" t="n">
        <x:f>IF(J2377&gt;0,M2377/J2377,0)</x:f>
        <x:v>0</x:v>
      </x:c>
      <x:c r="R2377" s="78" t="n">
        <x:f>IF(B2377='Inputs'!$H$50,'Inputs'!$B$27*'Inputs'!$I$50,0)</x:f>
        <x:v>0</x:v>
      </x:c>
      <x:c r="S2377" s="78" t="n">
        <x:f>Q2377+G2377+R2377</x:f>
        <x:v>471058.12535184744</x:v>
      </x:c>
      <x:c r="T2377" s="78" t="n">
        <x:f>P2377*(S2377*(1-'Inputs'!$B$15))/(O2377+S2377*(1-'Inputs'!$B$15))</x:f>
        <x:v>1.7763479332509544</x:v>
      </x:c>
      <x:c r="U2377" s="78" t="n">
        <x:f>O2377+S2377*(1-'Inputs'!$B$17)</x:f>
        <x:v>87542290.47919665</x:v>
      </x:c>
      <x:c r="V2377" s="78" t="n">
        <x:f>P2377-T2377</x:f>
        <x:v>331.66717151361104</x:v>
      </x:c>
      <x:c r="W2377" s="79" t="n">
        <x:f>IF(U2377&gt;0,V2377/U2377,0)</x:f>
        <x:v>0.0000037886508303369975</x:v>
      </x:c>
      <x:c r="X2377" s="80" t="n">
        <x:f>W2377*('Inputs'!$B$6-AC2377)</x:f>
        <x:v>3665.273816024416</x:v>
      </x:c>
      <x:c r="Y2377" s="80" t="n">
        <x:f>2*V2377</x:f>
        <x:v>663.3343430272221</x:v>
      </x:c>
      <x:c r="Z2377" s="80" t="n">
        <x:f>K2377*'Inputs'!$B$16+(G2377+R2377)*J2377*'Inputs'!$B$16</x:f>
        <x:v>4.0121456377486115</x:v>
      </x:c>
      <x:c r="AA2377" s="80" t="n">
        <x:f>K2377*(1+'Inputs'!$E$50)/2*'Inputs'!$B$17</x:f>
        <x:v>1.341825027955179</x:v>
      </x:c>
      <x:c r="AB2377" s="78" t="n">
        <x:f>(IF(J2377&gt;0,K2377*(1-'Inputs'!$E$50)/2/J2377,0)+G2377+R2377)*'Inputs'!$B$17</x:f>
        <x:v>352290.4872649291</x:v>
      </x:c>
      <x:c r="AC2377" s="78" t="n">
        <x:f>AC2376+AB2377</x:f>
        <x:v>32564894.42749919</x:v>
      </x:c>
      <x:c r="AD2377" s="80" t="n">
        <x:f>Z2377/(1+'Inputs'!$C$50)</x:f>
        <x:v>2.0060728188743058</x:v>
      </x:c>
      <x:c r="AE2377" s="80" t="n">
        <x:f>Z2377-AD2377</x:f>
        <x:v>2.0060728188743058</x:v>
      </x:c>
      <x:c r="AF2377" s="80" t="n">
        <x:f>D2377*W2377</x:f>
        <x:v>1.0591914916720309</x:v>
      </x:c>
      <x:c r="AG2377" s="80" t="n">
        <x:f>C2377*W2377</x:f>
        <x:v>2.4714468139014336</x:v>
      </x:c>
      <x:c r="AH2377" s="80" t="n">
        <x:f>2*'Inputs'!$B$8*'Inputs'!$C$50</x:f>
        <x:v>5000</x:v>
      </x:c>
      <x:c r="AI2377" s="81" t="n">
        <x:f>IF(AH2377&gt;0,(AE2377+AF2377)/AH2377*365,0)</x:f>
        <x:v>0.22376429466988257</x:v>
      </x:c>
      <x:c r="AJ2377" s="81" t="n">
        <x:f>IF('Inputs'!$B$50&gt;0,AG2377/('Inputs'!$B$19*'Inputs'!$B$50)*365,0)</x:f>
        <x:v>0.09020780870740232</x:v>
      </x:c>
      <x:c r="AK2377" s="81" t="n">
        <x:f>W2377/MAX($W$2194:W2377)-1</x:f>
        <x:v>-0.9955046056861467</x:v>
      </x:c>
      <x:c r="AL2377" s="83" t="n">
        <x:f>'Inputs'!$B$50</x:f>
        <x:v>1</x:v>
      </x:c>
      <x:c r="AM2377" s="83" t="n">
        <x:f>'Inputs'!$C$50</x:f>
        <x:v>1</x:v>
      </x:c>
      <x:c r="AN2377" s="83" t="n">
        <x:f>'Inputs'!$D$50</x:f>
        <x:v>1</x:v>
      </x:c>
      <x:c r="AO2377" s="81" t="n">
        <x:f>'Inputs'!$E$50</x:f>
        <x:v>0</x:v>
      </x:c>
    </x:row>
    <x:row r="2378">
      <x:c r="A2378" s="59" t="str">
        <x:v>Whale exit</x:v>
      </x:c>
      <x:c r="B2378" s="59" t="n">
        <x:v>185</x:v>
      </x:c>
      <x:c r="C2378" s="78" t="n">
        <x:f>(('Inputs'!$B$29*(3*185*'Inputs'!$B$12-185^2)/(2*'Inputs'!$B$12^2))-('Inputs'!$B$29*(3*184*'Inputs'!$B$12-184^2)/(2*'Inputs'!$B$12^2)))*'Inputs'!$B$50</x:f>
        <x:v>652003.8937887102</x:v>
      </x:c>
      <x:c r="D2378" s="78" t="n">
        <x:f>IF('Inputs'!$C$50&gt;0,('Inputs'!$B$30*(3*185*'Inputs'!$B$12-185^2)/(2*'Inputs'!$B$12^2))-('Inputs'!$B$30*(3*184*'Inputs'!$B$12-184^2)/(2*'Inputs'!$B$12^2)),0)</x:f>
        <x:v>279430.2401951626</x:v>
      </x:c>
      <x:c r="E2378" s="78" t="n">
        <x:f>C2378+D2378</x:f>
        <x:v>931434.1339838728</x:v>
      </x:c>
      <x:c r="F2378" s="78" t="n">
        <x:f>'Inputs'!$B$13*E2378+(1-'Inputs'!$B$13)/'Inputs'!$B$14*SUM(E2323:E2378)</x:f>
        <x:v>941651.810846315</x:v>
      </x:c>
      <x:c r="G2378" s="78" t="n">
        <x:f>F2378*'Inputs'!$F$50</x:f>
        <x:v>470825.9054231575</x:v>
      </x:c>
      <x:c r="H2378" s="78" t="n">
        <x:f>U2377</x:f>
        <x:v>87542290.47919665</x:v>
      </x:c>
      <x:c r="I2378" s="78" t="n">
        <x:f>V2377</x:f>
        <x:v>331.66717151361104</x:v>
      </x:c>
      <x:c r="J2378" s="79" t="n">
        <x:f>IF(H2378&gt;0,I2378/H2378,0)</x:f>
        <x:v>0.0000037886508303369975</x:v>
      </x:c>
      <x:c r="K2378" s="80" t="n">
        <x:f>(H2378*J2378+I2378)*'Inputs'!$D$50*(1+'Inputs'!$G$50)^(B2378/30)</x:f>
        <x:v>663.3343430272221</x:v>
      </x:c>
      <x:c r="L2378" s="80" t="n">
        <x:f>MAX(0,K2378*'Inputs'!$E$50)</x:f>
        <x:v>0</x:v>
      </x:c>
      <x:c r="M2378" s="80" t="n">
        <x:f>MAX(0,-K2378*'Inputs'!$E$50)</x:f>
        <x:v>0</x:v>
      </x:c>
      <x:c r="N2378" s="78" t="n">
        <x:f>H2378*(L2378*(1-'Inputs'!$B$15))/(I2378+L2378*(1-'Inputs'!$B$15))</x:f>
        <x:v>0</x:v>
      </x:c>
      <x:c r="O2378" s="78" t="n">
        <x:f>H2378-N2378</x:f>
        <x:v>87542290.47919665</x:v>
      </x:c>
      <x:c r="P2378" s="78" t="n">
        <x:f>I2378+L2378*(1-'Inputs'!$B$17)</x:f>
        <x:v>331.66717151361104</x:v>
      </x:c>
      <x:c r="Q2378" s="78" t="n">
        <x:f>IF(J2378&gt;0,M2378/J2378,0)</x:f>
        <x:v>0</x:v>
      </x:c>
      <x:c r="R2378" s="78" t="n">
        <x:f>IF(B2378='Inputs'!$H$50,'Inputs'!$B$27*'Inputs'!$I$50,0)</x:f>
        <x:v>0</x:v>
      </x:c>
      <x:c r="S2378" s="78" t="n">
        <x:f>Q2378+G2378+R2378</x:f>
        <x:v>470825.9054231575</x:v>
      </x:c>
      <x:c r="T2378" s="78" t="n">
        <x:f>P2378*(S2378*(1-'Inputs'!$B$15))/(O2378+S2378*(1-'Inputs'!$B$15))</x:f>
        <x:v>1.7566039956454418</x:v>
      </x:c>
      <x:c r="U2378" s="78" t="n">
        <x:f>O2378+S2378*(1-'Inputs'!$B$17)</x:f>
        <x:v>88011221.71296822</x:v>
      </x:c>
      <x:c r="V2378" s="78" t="n">
        <x:f>P2378-T2378</x:f>
        <x:v>329.9105675179656</x:v>
      </x:c>
      <x:c r="W2378" s="79" t="n">
        <x:f>IF(U2378&gt;0,V2378/U2378,0)</x:f>
        <x:v>0.0000037485057143497665</x:v>
      </x:c>
      <x:c r="X2378" s="80" t="n">
        <x:f>W2378*('Inputs'!$B$6-AC2378)</x:f>
        <x:v>3625.10838500328</x:v>
      </x:c>
      <x:c r="Y2378" s="80" t="n">
        <x:f>2*V2378</x:f>
        <x:v>659.8211350359312</x:v>
      </x:c>
      <x:c r="Z2378" s="80" t="n">
        <x:f>K2378*'Inputs'!$B$16+(G2378+R2378)*J2378*'Inputs'!$B$16</x:f>
        <x:v>3.9907088279084864</x:v>
      </x:c>
      <x:c r="AA2378" s="80" t="n">
        <x:f>K2378*(1+'Inputs'!$E$50)/2*'Inputs'!$B$17</x:f>
        <x:v>1.3346767465336462</x:v>
      </x:c>
      <x:c r="AB2378" s="78" t="n">
        <x:f>(IF(J2378&gt;0,K2378*(1-'Inputs'!$E$50)/2/J2378,0)+G2378+R2378)*'Inputs'!$B$17</x:f>
        <x:v>354177.5307228162</x:v>
      </x:c>
      <x:c r="AC2378" s="78" t="n">
        <x:f>AC2377+AB2378</x:f>
        <x:v>32919071.958222006</x:v>
      </x:c>
      <x:c r="AD2378" s="80" t="n">
        <x:f>Z2378/(1+'Inputs'!$C$50)</x:f>
        <x:v>1.9953544139542432</x:v>
      </x:c>
      <x:c r="AE2378" s="80" t="n">
        <x:f>Z2378-AD2378</x:f>
        <x:v>1.9953544139542432</x:v>
      </x:c>
      <x:c r="AF2378" s="80" t="n">
        <x:f>D2378*W2378</x:f>
        <x:v>1.047445852133695</x:v>
      </x:c>
      <x:c r="AG2378" s="80" t="n">
        <x:f>C2378*W2378</x:f>
        <x:v>2.4440403216452786</x:v>
      </x:c>
      <x:c r="AH2378" s="80" t="n">
        <x:f>2*'Inputs'!$B$8*'Inputs'!$C$50</x:f>
        <x:v>5000</x:v>
      </x:c>
      <x:c r="AI2378" s="81" t="n">
        <x:f>IF(AH2378&gt;0,(AE2378+AF2378)/AH2378*365,0)</x:f>
        <x:v>0.2221244194244195</x:v>
      </x:c>
      <x:c r="AJ2378" s="81" t="n">
        <x:f>IF('Inputs'!$B$50&gt;0,AG2378/('Inputs'!$B$19*'Inputs'!$B$50)*365,0)</x:f>
        <x:v>0.08920747174005267</x:v>
      </x:c>
      <x:c r="AK2378" s="81" t="n">
        <x:f>W2378/MAX($W$2194:W2378)-1</x:f>
        <x:v>-0.9955522395627481</x:v>
      </x:c>
      <x:c r="AL2378" s="83" t="n">
        <x:f>'Inputs'!$B$50</x:f>
        <x:v>1</x:v>
      </x:c>
      <x:c r="AM2378" s="83" t="n">
        <x:f>'Inputs'!$C$50</x:f>
        <x:v>1</x:v>
      </x:c>
      <x:c r="AN2378" s="83" t="n">
        <x:f>'Inputs'!$D$50</x:f>
        <x:v>1</x:v>
      </x:c>
      <x:c r="AO2378" s="81" t="n">
        <x:f>'Inputs'!$E$50</x:f>
        <x:v>0</x:v>
      </x:c>
    </x:row>
    <x:row r="2379">
      <x:c r="A2379" s="59" t="str">
        <x:v>Whale exit</x:v>
      </x:c>
      <x:c r="B2379" s="59" t="n">
        <x:v>186</x:v>
      </x:c>
      <x:c r="C2379" s="78" t="n">
        <x:f>(('Inputs'!$B$29*(3*186*'Inputs'!$B$12-186^2)/(2*'Inputs'!$B$12^2))-('Inputs'!$B$29*(3*185*'Inputs'!$B$12-185^2)/(2*'Inputs'!$B$12^2)))*'Inputs'!$B$50</x:f>
        <x:v>651678.7858885229</x:v>
      </x:c>
      <x:c r="D2379" s="78" t="n">
        <x:f>IF('Inputs'!$C$50&gt;0,('Inputs'!$B$30*(3*186*'Inputs'!$B$12-186^2)/(2*'Inputs'!$B$12^2))-('Inputs'!$B$30*(3*185*'Inputs'!$B$12-185^2)/(2*'Inputs'!$B$12^2)),0)</x:f>
        <x:v>279290.90823794156</x:v>
      </x:c>
      <x:c r="E2379" s="78" t="n">
        <x:f>C2379+D2379</x:f>
        <x:v>930969.6941264644</x:v>
      </x:c>
      <x:c r="F2379" s="78" t="n">
        <x:f>'Inputs'!$B$13*E2379+(1-'Inputs'!$B$13)/'Inputs'!$B$14*SUM(E2324:E2379)</x:f>
        <x:v>941187.3709889259</x:v>
      </x:c>
      <x:c r="G2379" s="78" t="n">
        <x:f>F2379*'Inputs'!$F$50</x:f>
        <x:v>470593.68549446296</x:v>
      </x:c>
      <x:c r="H2379" s="78" t="n">
        <x:f>U2378</x:f>
        <x:v>88011221.71296822</x:v>
      </x:c>
      <x:c r="I2379" s="78" t="n">
        <x:f>V2378</x:f>
        <x:v>329.9105675179656</x:v>
      </x:c>
      <x:c r="J2379" s="79" t="n">
        <x:f>IF(H2379&gt;0,I2379/H2379,0)</x:f>
        <x:v>0.0000037485057143497665</x:v>
      </x:c>
      <x:c r="K2379" s="80" t="n">
        <x:f>(H2379*J2379+I2379)*'Inputs'!$D$50*(1+'Inputs'!$G$50)^(B2379/30)</x:f>
        <x:v>659.8211350359312</x:v>
      </x:c>
      <x:c r="L2379" s="80" t="n">
        <x:f>MAX(0,K2379*'Inputs'!$E$50)</x:f>
        <x:v>0</x:v>
      </x:c>
      <x:c r="M2379" s="80" t="n">
        <x:f>MAX(0,-K2379*'Inputs'!$E$50)</x:f>
        <x:v>0</x:v>
      </x:c>
      <x:c r="N2379" s="78" t="n">
        <x:f>H2379*(L2379*(1-'Inputs'!$B$15))/(I2379+L2379*(1-'Inputs'!$B$15))</x:f>
        <x:v>0</x:v>
      </x:c>
      <x:c r="O2379" s="78" t="n">
        <x:f>H2379-N2379</x:f>
        <x:v>88011221.71296822</x:v>
      </x:c>
      <x:c r="P2379" s="78" t="n">
        <x:f>I2379+L2379*(1-'Inputs'!$B$17)</x:f>
        <x:v>329.9105675179656</x:v>
      </x:c>
      <x:c r="Q2379" s="78" t="n">
        <x:f>IF(J2379&gt;0,M2379/J2379,0)</x:f>
        <x:v>0</x:v>
      </x:c>
      <x:c r="R2379" s="78" t="n">
        <x:f>IF(B2379='Inputs'!$H$50,'Inputs'!$B$27*'Inputs'!$I$50,0)</x:f>
        <x:v>0</x:v>
      </x:c>
      <x:c r="S2379" s="78" t="n">
        <x:f>Q2379+G2379+R2379</x:f>
        <x:v>470593.68549446296</x:v>
      </x:c>
      <x:c r="T2379" s="78" t="n">
        <x:f>P2379*(S2379*(1-'Inputs'!$B$15))/(O2379+S2379*(1-'Inputs'!$B$15))</x:f>
        <x:v>1.73718708136623</x:v>
      </x:c>
      <x:c r="U2379" s="78" t="n">
        <x:f>O2379+S2379*(1-'Inputs'!$B$17)</x:f>
        <x:v>88479921.66129771</x:v>
      </x:c>
      <x:c r="V2379" s="78" t="n">
        <x:f>P2379-T2379</x:f>
        <x:v>328.17338043659936</x:v>
      </x:c>
      <x:c r="W2379" s="79" t="n">
        <x:f>IF(U2379&gt;0,V2379/U2379,0)</x:f>
        <x:v>0.000003709015268942612</x:v>
      </x:c>
      <x:c r="X2379" s="80" t="n">
        <x:f>W2379*('Inputs'!$B$6-AC2379)</x:f>
        <x:v>3585.5972829198577</x:v>
      </x:c>
      <x:c r="Y2379" s="80" t="n">
        <x:f>2*V2379</x:f>
        <x:v>656.3467608731987</x:v>
      </x:c>
      <x:c r="Z2379" s="80" t="n">
        <x:f>K2379*'Inputs'!$B$16+(G2379+R2379)*J2379*'Inputs'!$B$16</x:f>
        <x:v>3.969510948930865</x:v>
      </x:c>
      <x:c r="AA2379" s="80" t="n">
        <x:f>K2379*(1+'Inputs'!$E$50)/2*'Inputs'!$B$17</x:f>
        <x:v>1.3276079175773265</x:v>
      </x:c>
      <x:c r="AB2379" s="78" t="n">
        <x:f>(IF(J2379&gt;0,K2379*(1-'Inputs'!$E$50)/2/J2379,0)+G2379+R2379)*'Inputs'!$B$17</x:f>
        <x:v>356063.64345457824</x:v>
      </x:c>
      <x:c r="AC2379" s="78" t="n">
        <x:f>AC2378+AB2379</x:f>
        <x:v>33275135.601676583</x:v>
      </x:c>
      <x:c r="AD2379" s="80" t="n">
        <x:f>Z2379/(1+'Inputs'!$C$50)</x:f>
        <x:v>1.9847554744654325</x:v>
      </x:c>
      <x:c r="AE2379" s="80" t="n">
        <x:f>Z2379-AD2379</x:f>
        <x:v>1.9847554744654325</x:v>
      </x:c>
      <x:c r="AF2379" s="80" t="n">
        <x:f>D2379*W2379</x:f>
        <x:v>1.0358942431313751</x:v>
      </x:c>
      <x:c r="AG2379" s="80" t="n">
        <x:f>C2379*W2379</x:f>
        <x:v>2.4170865673065145</x:v>
      </x:c>
      <x:c r="AH2379" s="80" t="n">
        <x:f>2*'Inputs'!$B$8*'Inputs'!$C$50</x:f>
        <x:v>5000</x:v>
      </x:c>
      <x:c r="AI2379" s="81" t="n">
        <x:f>IF(AH2379&gt;0,(AE2379+AF2379)/AH2379*365,0)</x:f>
        <x:v>0.22050742938456694</x:v>
      </x:c>
      <x:c r="AJ2379" s="81" t="n">
        <x:f>IF('Inputs'!$B$50&gt;0,AG2379/('Inputs'!$B$19*'Inputs'!$B$50)*365,0)</x:f>
        <x:v>0.08822365970668777</x:v>
      </x:c>
      <x:c r="AK2379" s="81" t="n">
        <x:f>W2379/MAX($W$2194:W2379)-1</x:f>
        <x:v>-0.9955990966450406</x:v>
      </x:c>
      <x:c r="AL2379" s="83" t="n">
        <x:f>'Inputs'!$B$50</x:f>
        <x:v>1</x:v>
      </x:c>
      <x:c r="AM2379" s="83" t="n">
        <x:f>'Inputs'!$C$50</x:f>
        <x:v>1</x:v>
      </x:c>
      <x:c r="AN2379" s="83" t="n">
        <x:f>'Inputs'!$D$50</x:f>
        <x:v>1</x:v>
      </x:c>
      <x:c r="AO2379" s="81" t="n">
        <x:f>'Inputs'!$E$50</x:f>
        <x:v>0</x:v>
      </x:c>
    </x:row>
    <x:row r="2380">
      <x:c r="A2380" s="59" t="str">
        <x:v>Whale exit</x:v>
      </x:c>
      <x:c r="B2380" s="59" t="n">
        <x:v>187</x:v>
      </x:c>
      <x:c r="C2380" s="78" t="n">
        <x:f>(('Inputs'!$B$29*(3*187*'Inputs'!$B$12-187^2)/(2*'Inputs'!$B$12^2))-('Inputs'!$B$29*(3*186*'Inputs'!$B$12-186^2)/(2*'Inputs'!$B$12^2)))*'Inputs'!$B$50</x:f>
        <x:v>651353.6779883653</x:v>
      </x:c>
      <x:c r="D2380" s="78" t="n">
        <x:f>IF('Inputs'!$C$50&gt;0,('Inputs'!$B$30*(3*187*'Inputs'!$B$12-187^2)/(2*'Inputs'!$B$12^2))-('Inputs'!$B$30*(3*186*'Inputs'!$B$12-186^2)/(2*'Inputs'!$B$12^2)),0)</x:f>
        <x:v>279151.576280728</x:v>
      </x:c>
      <x:c r="E2380" s="78" t="n">
        <x:f>C2380+D2380</x:f>
        <x:v>930505.2542690933</x:v>
      </x:c>
      <x:c r="F2380" s="78" t="n">
        <x:f>'Inputs'!$B$13*E2380+(1-'Inputs'!$B$13)/'Inputs'!$B$14*SUM(E2325:E2380)</x:f>
        <x:v>940722.9311315443</x:v>
      </x:c>
      <x:c r="G2380" s="78" t="n">
        <x:f>F2380*'Inputs'!$F$50</x:f>
        <x:v>470361.46556577215</x:v>
      </x:c>
      <x:c r="H2380" s="78" t="n">
        <x:f>U2379</x:f>
        <x:v>88479921.66129771</x:v>
      </x:c>
      <x:c r="I2380" s="78" t="n">
        <x:f>V2379</x:f>
        <x:v>328.17338043659936</x:v>
      </x:c>
      <x:c r="J2380" s="79" t="n">
        <x:f>IF(H2380&gt;0,I2380/H2380,0)</x:f>
        <x:v>0.000003709015268942612</x:v>
      </x:c>
      <x:c r="K2380" s="80" t="n">
        <x:f>(H2380*J2380+I2380)*'Inputs'!$D$50*(1+'Inputs'!$G$50)^(B2380/30)</x:f>
        <x:v>656.3467608731987</x:v>
      </x:c>
      <x:c r="L2380" s="80" t="n">
        <x:f>MAX(0,K2380*'Inputs'!$E$50)</x:f>
        <x:v>0</x:v>
      </x:c>
      <x:c r="M2380" s="80" t="n">
        <x:f>MAX(0,-K2380*'Inputs'!$E$50)</x:f>
        <x:v>0</x:v>
      </x:c>
      <x:c r="N2380" s="78" t="n">
        <x:f>H2380*(L2380*(1-'Inputs'!$B$15))/(I2380+L2380*(1-'Inputs'!$B$15))</x:f>
        <x:v>0</x:v>
      </x:c>
      <x:c r="O2380" s="78" t="n">
        <x:f>H2380-N2380</x:f>
        <x:v>88479921.66129771</x:v>
      </x:c>
      <x:c r="P2380" s="78" t="n">
        <x:f>I2380+L2380*(1-'Inputs'!$B$17)</x:f>
        <x:v>328.17338043659936</x:v>
      </x:c>
      <x:c r="Q2380" s="78" t="n">
        <x:f>IF(J2380&gt;0,M2380/J2380,0)</x:f>
        <x:v>0</x:v>
      </x:c>
      <x:c r="R2380" s="78" t="n">
        <x:f>IF(B2380='Inputs'!$H$50,'Inputs'!$B$27*'Inputs'!$I$50,0)</x:f>
        <x:v>0</x:v>
      </x:c>
      <x:c r="S2380" s="78" t="n">
        <x:f>Q2380+G2380+R2380</x:f>
        <x:v>470361.46556577215</x:v>
      </x:c>
      <x:c r="T2380" s="78" t="n">
        <x:f>P2380*(S2380*(1-'Inputs'!$B$15))/(O2380+S2380*(1-'Inputs'!$B$15))</x:f>
        <x:v>1.7180900040011557</x:v>
      </x:c>
      <x:c r="U2380" s="78" t="n">
        <x:f>O2380+S2380*(1-'Inputs'!$B$17)</x:f>
        <x:v>88948390.32418515</x:v>
      </x:c>
      <x:c r="V2380" s="78" t="n">
        <x:f>P2380-T2380</x:f>
        <x:v>326.4552904325982</x:v>
      </x:c>
      <x:c r="W2380" s="79" t="n">
        <x:f>IF(U2380&gt;0,V2380/U2380,0)</x:f>
        <x:v>0.000003670165241245908</x:v>
      </x:c>
      <x:c r="X2380" s="80" t="n">
        <x:f>W2380*('Inputs'!$B$6-AC2380)</x:f>
        <x:v>3546.7262638255415</x:v>
      </x:c>
      <x:c r="Y2380" s="80" t="n">
        <x:f>2*V2380</x:f>
        <x:v>652.9105808651964</x:v>
      </x:c>
      <x:c r="Z2380" s="80" t="n">
        <x:f>K2380*'Inputs'!$B$16+(G2380+R2380)*J2380*'Inputs'!$B$16</x:f>
        <x:v>3.9485480323854265</x:v>
      </x:c>
      <x:c r="AA2380" s="80" t="n">
        <x:f>K2380*(1+'Inputs'!$E$50)/2*'Inputs'!$B$17</x:f>
        <x:v>1.3206172250969794</x:v>
      </x:c>
      <x:c r="AB2380" s="78" t="n">
        <x:f>(IF(J2380&gt;0,K2380*(1-'Inputs'!$E$50)/2/J2380,0)+G2380+R2380)*'Inputs'!$B$17</x:f>
        <x:v>357948.8254602152</x:v>
      </x:c>
      <x:c r="AC2380" s="78" t="n">
        <x:f>AC2379+AB2380</x:f>
        <x:v>33633084.4271368</x:v>
      </x:c>
      <x:c r="AD2380" s="80" t="n">
        <x:f>Z2380/(1+'Inputs'!$C$50)</x:f>
        <x:v>1.9742740161927133</x:v>
      </x:c>
      <x:c r="AE2380" s="80" t="n">
        <x:f>Z2380-AD2380</x:f>
        <x:v>1.9742740161927133</x:v>
      </x:c>
      <x:c r="AF2380" s="80" t="n">
        <x:f>D2380*W2380</x:f>
        <x:v>1.0245324123045336</x:v>
      </x:c>
      <x:c r="AG2380" s="80" t="n">
        <x:f>C2380*W2380</x:f>
        <x:v>2.3905756287105784</x:v>
      </x:c>
      <x:c r="AH2380" s="80" t="n">
        <x:f>2*'Inputs'!$B$8*'Inputs'!$C$50</x:f>
        <x:v>5000</x:v>
      </x:c>
      <x:c r="AI2380" s="81" t="n">
        <x:f>IF(AH2380&gt;0,(AE2380+AF2380)/AH2380*365,0)</x:f>
        <x:v>0.218912869280299</x:v>
      </x:c>
      <x:c r="AJ2380" s="81" t="n">
        <x:f>IF('Inputs'!$B$50&gt;0,AG2380/('Inputs'!$B$19*'Inputs'!$B$50)*365,0)</x:f>
        <x:v>0.0872560104479361</x:v>
      </x:c>
      <x:c r="AK2380" s="81" t="n">
        <x:f>W2380/MAX($W$2194:W2380)-1</x:f>
        <x:v>-0.9956451938446564</x:v>
      </x:c>
      <x:c r="AL2380" s="83" t="n">
        <x:f>'Inputs'!$B$50</x:f>
        <x:v>1</x:v>
      </x:c>
      <x:c r="AM2380" s="83" t="n">
        <x:f>'Inputs'!$C$50</x:f>
        <x:v>1</x:v>
      </x:c>
      <x:c r="AN2380" s="83" t="n">
        <x:f>'Inputs'!$D$50</x:f>
        <x:v>1</x:v>
      </x:c>
      <x:c r="AO2380" s="81" t="n">
        <x:f>'Inputs'!$E$50</x:f>
        <x:v>0</x:v>
      </x:c>
    </x:row>
    <x:row r="2381">
      <x:c r="A2381" s="59" t="str">
        <x:v>Whale exit</x:v>
      </x:c>
      <x:c r="B2381" s="59" t="n">
        <x:v>188</x:v>
      </x:c>
      <x:c r="C2381" s="78" t="n">
        <x:f>(('Inputs'!$B$29*(3*188*'Inputs'!$B$12-188^2)/(2*'Inputs'!$B$12^2))-('Inputs'!$B$29*(3*187*'Inputs'!$B$12-187^2)/(2*'Inputs'!$B$12^2)))*'Inputs'!$B$50</x:f>
        <x:v>651028.5700882077</x:v>
      </x:c>
      <x:c r="D2381" s="78" t="n">
        <x:f>IF('Inputs'!$C$50&gt;0,('Inputs'!$B$30*(3*188*'Inputs'!$B$12-188^2)/(2*'Inputs'!$B$12^2))-('Inputs'!$B$30*(3*187*'Inputs'!$B$12-187^2)/(2*'Inputs'!$B$12^2)),0)</x:f>
        <x:v>279012.2443235144</x:v>
      </x:c>
      <x:c r="E2381" s="78" t="n">
        <x:f>C2381+D2381</x:f>
        <x:v>930040.8144117221</x:v>
      </x:c>
      <x:c r="F2381" s="78" t="n">
        <x:f>'Inputs'!$B$13*E2381+(1-'Inputs'!$B$13)/'Inputs'!$B$14*SUM(E2326:E2381)</x:f>
        <x:v>940258.4912741629</x:v>
      </x:c>
      <x:c r="G2381" s="78" t="n">
        <x:f>F2381*'Inputs'!$F$50</x:f>
        <x:v>470129.24563708145</x:v>
      </x:c>
      <x:c r="H2381" s="78" t="n">
        <x:f>U2380</x:f>
        <x:v>88948390.32418515</x:v>
      </x:c>
      <x:c r="I2381" s="78" t="n">
        <x:f>V2380</x:f>
        <x:v>326.4552904325982</x:v>
      </x:c>
      <x:c r="J2381" s="79" t="n">
        <x:f>IF(H2381&gt;0,I2381/H2381,0)</x:f>
        <x:v>0.000003670165241245908</x:v>
      </x:c>
      <x:c r="K2381" s="80" t="n">
        <x:f>(H2381*J2381+I2381)*'Inputs'!$D$50*(1+'Inputs'!$G$50)^(B2381/30)</x:f>
        <x:v>652.9105808651964</x:v>
      </x:c>
      <x:c r="L2381" s="80" t="n">
        <x:f>MAX(0,K2381*'Inputs'!$E$50)</x:f>
        <x:v>0</x:v>
      </x:c>
      <x:c r="M2381" s="80" t="n">
        <x:f>MAX(0,-K2381*'Inputs'!$E$50)</x:f>
        <x:v>0</x:v>
      </x:c>
      <x:c r="N2381" s="78" t="n">
        <x:f>H2381*(L2381*(1-'Inputs'!$B$15))/(I2381+L2381*(1-'Inputs'!$B$15))</x:f>
        <x:v>0</x:v>
      </x:c>
      <x:c r="O2381" s="78" t="n">
        <x:f>H2381-N2381</x:f>
        <x:v>88948390.32418515</x:v>
      </x:c>
      <x:c r="P2381" s="78" t="n">
        <x:f>I2381+L2381*(1-'Inputs'!$B$17)</x:f>
        <x:v>326.4552904325982</x:v>
      </x:c>
      <x:c r="Q2381" s="78" t="n">
        <x:f>IF(J2381&gt;0,M2381/J2381,0)</x:f>
        <x:v>0</x:v>
      </x:c>
      <x:c r="R2381" s="78" t="n">
        <x:f>IF(B2381='Inputs'!$H$50,'Inputs'!$B$27*'Inputs'!$I$50,0)</x:f>
        <x:v>0</x:v>
      </x:c>
      <x:c r="S2381" s="78" t="n">
        <x:f>Q2381+G2381+R2381</x:f>
        <x:v>470129.24563708145</x:v>
      </x:c>
      <x:c r="T2381" s="78" t="n">
        <x:f>P2381*(S2381*(1-'Inputs'!$B$15))/(O2381+S2381*(1-'Inputs'!$B$15))</x:f>
        <x:v>1.6993057735184642</x:v>
      </x:c>
      <x:c r="U2381" s="78" t="n">
        <x:f>O2381+S2381*(1-'Inputs'!$B$17)</x:f>
        <x:v>89416627.70163053</x:v>
      </x:c>
      <x:c r="V2381" s="78" t="n">
        <x:f>P2381-T2381</x:f>
        <x:v>324.75598465907973</x:v>
      </x:c>
      <x:c r="W2381" s="79" t="n">
        <x:f>IF(U2381&gt;0,V2381/U2381,0)</x:f>
        <x:v>0.00000363194176526921</x:v>
      </x:c>
      <x:c r="X2381" s="80" t="n">
        <x:f>W2381*('Inputs'!$B$6-AC2381)</x:f>
        <x:v>3508.48146846353</x:v>
      </x:c>
      <x:c r="Y2381" s="80" t="n">
        <x:f>2*V2381</x:f>
        <x:v>649.5119693181595</x:v>
      </x:c>
      <x:c r="Z2381" s="80" t="n">
        <x:f>K2381*'Inputs'!$B$16+(G2381+R2381)*J2381*'Inputs'!$B$16</x:f>
        <x:v>3.9278161972885606</x:v>
      </x:c>
      <x:c r="AA2381" s="80" t="n">
        <x:f>K2381*(1+'Inputs'!$E$50)/2*'Inputs'!$B$17</x:f>
        <x:v>1.3137033820225281</x:v>
      </x:c>
      <x:c r="AB2381" s="78" t="n">
        <x:f>(IF(J2381&gt;0,K2381*(1-'Inputs'!$E$50)/2/J2381,0)+G2381+R2381)*'Inputs'!$B$17</x:f>
        <x:v>359833.0767397273</x:v>
      </x:c>
      <x:c r="AC2381" s="78" t="n">
        <x:f>AC2380+AB2381</x:f>
        <x:v>33992917.50387653</x:v>
      </x:c>
      <x:c r="AD2381" s="80" t="n">
        <x:f>Z2381/(1+'Inputs'!$C$50)</x:f>
        <x:v>1.9639080986442803</x:v>
      </x:c>
      <x:c r="AE2381" s="80" t="n">
        <x:f>Z2381-AD2381</x:f>
        <x:v>1.9639080986442803</x:v>
      </x:c>
      <x:c r="AF2381" s="80" t="n">
        <x:f>D2381*W2381</x:f>
        <x:v>1.013356223180069</x:v>
      </x:c>
      <x:c r="AG2381" s="80" t="n">
        <x:f>C2381*W2381</x:f>
        <x:v>2.3644978540868546</x:v>
      </x:c>
      <x:c r="AH2381" s="80" t="n">
        <x:f>2*'Inputs'!$B$8*'Inputs'!$C$50</x:f>
        <x:v>5000</x:v>
      </x:c>
      <x:c r="AI2381" s="81" t="n">
        <x:f>IF(AH2381&gt;0,(AE2381+AF2381)/AH2381*365,0)</x:f>
        <x:v>0.2173402954931775</x:v>
      </x:c>
      <x:c r="AJ2381" s="81" t="n">
        <x:f>IF('Inputs'!$B$50&gt;0,AG2381/('Inputs'!$B$19*'Inputs'!$B$50)*365,0)</x:f>
        <x:v>0.0863041716741702</x:v>
      </x:c>
      <x:c r="AK2381" s="81" t="n">
        <x:f>W2381/MAX($W$2194:W2381)-1</x:f>
        <x:v>-0.9956905476141792</x:v>
      </x:c>
      <x:c r="AL2381" s="83" t="n">
        <x:f>'Inputs'!$B$50</x:f>
        <x:v>1</x:v>
      </x:c>
      <x:c r="AM2381" s="83" t="n">
        <x:f>'Inputs'!$C$50</x:f>
        <x:v>1</x:v>
      </x:c>
      <x:c r="AN2381" s="83" t="n">
        <x:f>'Inputs'!$D$50</x:f>
        <x:v>1</x:v>
      </x:c>
      <x:c r="AO2381" s="81" t="n">
        <x:f>'Inputs'!$E$50</x:f>
        <x:v>0</x:v>
      </x:c>
    </x:row>
    <x:row r="2382">
      <x:c r="A2382" s="59" t="str">
        <x:v>Whale exit</x:v>
      </x:c>
      <x:c r="B2382" s="59" t="n">
        <x:v>189</x:v>
      </x:c>
      <x:c r="C2382" s="78" t="n">
        <x:f>(('Inputs'!$B$29*(3*189*'Inputs'!$B$12-189^2)/(2*'Inputs'!$B$12^2))-('Inputs'!$B$29*(3*188*'Inputs'!$B$12-188^2)/(2*'Inputs'!$B$12^2)))*'Inputs'!$B$50</x:f>
        <x:v>650703.4621880203</x:v>
      </x:c>
      <x:c r="D2382" s="78" t="n">
        <x:f>IF('Inputs'!$C$50&gt;0,('Inputs'!$B$30*(3*189*'Inputs'!$B$12-189^2)/(2*'Inputs'!$B$12^2))-('Inputs'!$B$30*(3*188*'Inputs'!$B$12-188^2)/(2*'Inputs'!$B$12^2)),0)</x:f>
        <x:v>278872.91236629337</x:v>
      </x:c>
      <x:c r="E2382" s="78" t="n">
        <x:f>C2382+D2382</x:f>
        <x:v>929576.3745543137</x:v>
      </x:c>
      <x:c r="F2382" s="78" t="n">
        <x:f>'Inputs'!$B$13*E2382+(1-'Inputs'!$B$13)/'Inputs'!$B$14*SUM(E2327:E2382)</x:f>
        <x:v>939794.0514167738</x:v>
      </x:c>
      <x:c r="G2382" s="78" t="n">
        <x:f>F2382*'Inputs'!$F$50</x:f>
        <x:v>469897.0257083869</x:v>
      </x:c>
      <x:c r="H2382" s="78" t="n">
        <x:f>U2381</x:f>
        <x:v>89416627.70163053</x:v>
      </x:c>
      <x:c r="I2382" s="78" t="n">
        <x:f>V2381</x:f>
        <x:v>324.75598465907973</x:v>
      </x:c>
      <x:c r="J2382" s="79" t="n">
        <x:f>IF(H2382&gt;0,I2382/H2382,0)</x:f>
        <x:v>0.00000363194176526921</x:v>
      </x:c>
      <x:c r="K2382" s="80" t="n">
        <x:f>(H2382*J2382+I2382)*'Inputs'!$D$50*(1+'Inputs'!$G$50)^(B2382/30)</x:f>
        <x:v>649.5119693181595</x:v>
      </x:c>
      <x:c r="L2382" s="80" t="n">
        <x:f>MAX(0,K2382*'Inputs'!$E$50)</x:f>
        <x:v>0</x:v>
      </x:c>
      <x:c r="M2382" s="80" t="n">
        <x:f>MAX(0,-K2382*'Inputs'!$E$50)</x:f>
        <x:v>0</x:v>
      </x:c>
      <x:c r="N2382" s="78" t="n">
        <x:f>H2382*(L2382*(1-'Inputs'!$B$15))/(I2382+L2382*(1-'Inputs'!$B$15))</x:f>
        <x:v>0</x:v>
      </x:c>
      <x:c r="O2382" s="78" t="n">
        <x:f>H2382-N2382</x:f>
        <x:v>89416627.70163053</x:v>
      </x:c>
      <x:c r="P2382" s="78" t="n">
        <x:f>I2382+L2382*(1-'Inputs'!$B$17)</x:f>
        <x:v>324.75598465907973</x:v>
      </x:c>
      <x:c r="Q2382" s="78" t="n">
        <x:f>IF(J2382&gt;0,M2382/J2382,0)</x:f>
        <x:v>0</x:v>
      </x:c>
      <x:c r="R2382" s="78" t="n">
        <x:f>IF(B2382='Inputs'!$H$50,'Inputs'!$B$27*'Inputs'!$I$50,0)</x:f>
        <x:v>0</x:v>
      </x:c>
      <x:c r="S2382" s="78" t="n">
        <x:f>Q2382+G2382+R2382</x:f>
        <x:v>469897.0257083869</x:v>
      </x:c>
      <x:c r="T2382" s="78" t="n">
        <x:f>P2382*(S2382*(1-'Inputs'!$B$15))/(O2382+S2382*(1-'Inputs'!$B$15))</x:f>
        <x:v>1.6808275898609428</x:v>
      </x:c>
      <x:c r="U2382" s="78" t="n">
        <x:f>O2382+S2382*(1-'Inputs'!$B$17)</x:f>
        <x:v>89884633.79363385</x:v>
      </x:c>
      <x:c r="V2382" s="78" t="n">
        <x:f>P2382-T2382</x:f>
        <x:v>323.0751570692188</x:v>
      </x:c>
      <x:c r="W2382" s="79" t="n">
        <x:f>IF(U2382&gt;0,V2382/U2382,0)</x:f>
        <x:v>0.000003594331349349068</x:v>
      </x:c>
      <x:c r="X2382" s="80" t="n">
        <x:f>W2382*('Inputs'!$B$6-AC2382)</x:f>
        <x:v>3470.8494117226837</x:v>
      </x:c>
      <x:c r="Y2382" s="80" t="n">
        <x:f>2*V2382</x:f>
        <x:v>646.1503141384376</x:v>
      </x:c>
      <x:c r="Z2382" s="80" t="n">
        <x:f>K2382*'Inputs'!$B$16+(G2382+R2382)*J2382*'Inputs'!$B$16</x:f>
        <x:v>3.907311647707233</x:v>
      </x:c>
      <x:c r="AA2382" s="80" t="n">
        <x:f>K2382*(1+'Inputs'!$E$50)/2*'Inputs'!$B$17</x:f>
        <x:v>1.3068651294127958</x:v>
      </x:c>
      <x:c r="AB2382" s="78" t="n">
        <x:f>(IF(J2382&gt;0,K2382*(1-'Inputs'!$E$50)/2/J2382,0)+G2382+R2382)*'Inputs'!$B$17</x:f>
        <x:v>361716.3972931144</x:v>
      </x:c>
      <x:c r="AC2382" s="78" t="n">
        <x:f>AC2381+AB2382</x:f>
        <x:v>34354633.90116964</x:v>
      </x:c>
      <x:c r="AD2382" s="80" t="n">
        <x:f>Z2382/(1+'Inputs'!$C$50)</x:f>
        <x:v>1.9536558238536166</x:v>
      </x:c>
      <x:c r="AE2382" s="80" t="n">
        <x:f>Z2382-AD2382</x:f>
        <x:v>1.9536558238536166</x:v>
      </x:c>
      <x:c r="AF2382" s="80" t="n">
        <x:f>D2382*W2382</x:f>
        <x:v>1.0023616514024436</x:v>
      </x:c>
      <x:c r="AG2382" s="80" t="n">
        <x:f>C2382*W2382</x:f>
        <x:v>2.3388438532723774</x:v>
      </x:c>
      <x:c r="AH2382" s="80" t="n">
        <x:f>2*'Inputs'!$B$8*'Inputs'!$C$50</x:f>
        <x:v>5000</x:v>
      </x:c>
      <x:c r="AI2382" s="81" t="n">
        <x:f>IF(AH2382&gt;0,(AE2382+AF2382)/AH2382*365,0)</x:f>
        <x:v>0.21578927569369238</x:v>
      </x:c>
      <x:c r="AJ2382" s="81" t="n">
        <x:f>IF('Inputs'!$B$50&gt;0,AG2382/('Inputs'!$B$19*'Inputs'!$B$50)*365,0)</x:f>
        <x:v>0.08536780064444177</x:v>
      </x:c>
      <x:c r="AK2382" s="81" t="n">
        <x:f>W2382/MAX($W$2194:W2382)-1</x:f>
        <x:v>-0.9957351739620377</x:v>
      </x:c>
      <x:c r="AL2382" s="83" t="n">
        <x:f>'Inputs'!$B$50</x:f>
        <x:v>1</x:v>
      </x:c>
      <x:c r="AM2382" s="83" t="n">
        <x:f>'Inputs'!$C$50</x:f>
        <x:v>1</x:v>
      </x:c>
      <x:c r="AN2382" s="83" t="n">
        <x:f>'Inputs'!$D$50</x:f>
        <x:v>1</x:v>
      </x:c>
      <x:c r="AO2382" s="81" t="n">
        <x:f>'Inputs'!$E$50</x:f>
        <x:v>0</x:v>
      </x:c>
    </x:row>
    <x:row r="2383">
      <x:c r="A2383" s="59" t="str">
        <x:v>Whale exit</x:v>
      </x:c>
      <x:c r="B2383" s="59" t="n">
        <x:v>190</x:v>
      </x:c>
      <x:c r="C2383" s="78" t="n">
        <x:f>(('Inputs'!$B$29*(3*190*'Inputs'!$B$12-190^2)/(2*'Inputs'!$B$12^2))-('Inputs'!$B$29*(3*189*'Inputs'!$B$12-189^2)/(2*'Inputs'!$B$12^2)))*'Inputs'!$B$50</x:f>
        <x:v>650378.3542878628</x:v>
      </x:c>
      <x:c r="D2383" s="78" t="n">
        <x:f>IF('Inputs'!$C$50&gt;0,('Inputs'!$B$30*(3*190*'Inputs'!$B$12-190^2)/(2*'Inputs'!$B$12^2))-('Inputs'!$B$30*(3*189*'Inputs'!$B$12-189^2)/(2*'Inputs'!$B$12^2)),0)</x:f>
        <x:v>278733.58040908724</x:v>
      </x:c>
      <x:c r="E2383" s="78" t="n">
        <x:f>C2383+D2383</x:f>
        <x:v>929111.93469695</x:v>
      </x:c>
      <x:c r="F2383" s="78" t="n">
        <x:f>'Inputs'!$B$13*E2383+(1-'Inputs'!$B$13)/'Inputs'!$B$14*SUM(E2328:E2383)</x:f>
        <x:v>939329.6115593938</x:v>
      </x:c>
      <x:c r="G2383" s="78" t="n">
        <x:f>F2383*'Inputs'!$F$50</x:f>
        <x:v>469664.8057796969</x:v>
      </x:c>
      <x:c r="H2383" s="78" t="n">
        <x:f>U2382</x:f>
        <x:v>89884633.79363385</x:v>
      </x:c>
      <x:c r="I2383" s="78" t="n">
        <x:f>V2382</x:f>
        <x:v>323.0751570692188</x:v>
      </x:c>
      <x:c r="J2383" s="79" t="n">
        <x:f>IF(H2383&gt;0,I2383/H2383,0)</x:f>
        <x:v>0.000003594331349349068</x:v>
      </x:c>
      <x:c r="K2383" s="80" t="n">
        <x:f>(H2383*J2383+I2383)*'Inputs'!$D$50*(1+'Inputs'!$G$50)^(B2383/30)</x:f>
        <x:v>646.1503141384376</x:v>
      </x:c>
      <x:c r="L2383" s="80" t="n">
        <x:f>MAX(0,K2383*'Inputs'!$E$50)</x:f>
        <x:v>0</x:v>
      </x:c>
      <x:c r="M2383" s="80" t="n">
        <x:f>MAX(0,-K2383*'Inputs'!$E$50)</x:f>
        <x:v>0</x:v>
      </x:c>
      <x:c r="N2383" s="78" t="n">
        <x:f>H2383*(L2383*(1-'Inputs'!$B$15))/(I2383+L2383*(1-'Inputs'!$B$15))</x:f>
        <x:v>0</x:v>
      </x:c>
      <x:c r="O2383" s="78" t="n">
        <x:f>H2383-N2383</x:f>
        <x:v>89884633.79363385</x:v>
      </x:c>
      <x:c r="P2383" s="78" t="n">
        <x:f>I2383+L2383*(1-'Inputs'!$B$17)</x:f>
        <x:v>323.0751570692188</x:v>
      </x:c>
      <x:c r="Q2383" s="78" t="n">
        <x:f>IF(J2383&gt;0,M2383/J2383,0)</x:f>
        <x:v>0</x:v>
      </x:c>
      <x:c r="R2383" s="78" t="n">
        <x:f>IF(B2383='Inputs'!$H$50,'Inputs'!$B$27*'Inputs'!$I$50,0)</x:f>
        <x:v>0</x:v>
      </x:c>
      <x:c r="S2383" s="78" t="n">
        <x:f>Q2383+G2383+R2383</x:f>
        <x:v>469664.8057796969</x:v>
      </x:c>
      <x:c r="T2383" s="78" t="n">
        <x:f>P2383*(S2383*(1-'Inputs'!$B$15))/(O2383+S2383*(1-'Inputs'!$B$15))</x:f>
        <x:v>1.6626488367825507</x:v>
      </x:c>
      <x:c r="U2383" s="78" t="n">
        <x:f>O2383+S2383*(1-'Inputs'!$B$17)</x:f>
        <x:v>90352408.60019511</x:v>
      </x:c>
      <x:c r="V2383" s="78" t="n">
        <x:f>P2383-T2383</x:f>
        <x:v>321.41250823243627</x:v>
      </x:c>
      <x:c r="W2383" s="79" t="n">
        <x:f>IF(U2383&gt;0,V2383/U2383,0)</x:f>
        <x:v>0.0000035573208640698287</x:v>
      </x:c>
      <x:c r="X2383" s="80" t="n">
        <x:f>W2383*('Inputs'!$B$6-AC2383)</x:f>
        <x:v>3433.8169705641435</x:v>
      </x:c>
      <x:c r="Y2383" s="80" t="n">
        <x:f>2*V2383</x:f>
        <x:v>642.8250164648725</x:v>
      </x:c>
      <x:c r="Z2383" s="80" t="n">
        <x:f>K2383*'Inputs'!$B$16+(G2383+R2383)*J2383*'Inputs'!$B$16</x:f>
        <x:v>3.887030670441225</x:v>
      </x:c>
      <x:c r="AA2383" s="80" t="n">
        <x:f>K2383*(1+'Inputs'!$E$50)/2*'Inputs'!$B$17</x:f>
        <x:v>1.3001012356910213</x:v>
      </x:c>
      <x:c r="AB2383" s="78" t="n">
        <x:f>(IF(J2383&gt;0,K2383*(1-'Inputs'!$E$50)/2/J2383,0)+G2383+R2383)*'Inputs'!$B$17</x:f>
        <x:v>363598.7871203765</x:v>
      </x:c>
      <x:c r="AC2383" s="78" t="n">
        <x:f>AC2382+AB2383</x:f>
        <x:v>34718232.68829002</x:v>
      </x:c>
      <x:c r="AD2383" s="80" t="n">
        <x:f>Z2383/(1+'Inputs'!$C$50)</x:f>
        <x:v>1.9435153352206125</x:v>
      </x:c>
      <x:c r="AE2383" s="80" t="n">
        <x:f>Z2383-AD2383</x:f>
        <x:v>1.9435153352206125</x:v>
      </x:c>
      <x:c r="AF2383" s="80" t="n">
        <x:f>D2383*W2383</x:f>
        <x:v>0.9915447811061313</x:v>
      </x:c>
      <x:c r="AG2383" s="80" t="n">
        <x:f>C2383*W2383</x:f>
        <x:v>2.3136044892476133</x:v>
      </x:c>
      <x:c r="AH2383" s="80" t="n">
        <x:f>2*'Inputs'!$B$8*'Inputs'!$C$50</x:f>
        <x:v>5000</x:v>
      </x:c>
      <x:c r="AI2383" s="81" t="n">
        <x:f>IF(AH2383&gt;0,(AE2383+AF2383)/AH2383*365,0)</x:f>
        <x:v>0.2142593884918523</x:v>
      </x:c>
      <x:c r="AJ2383" s="81" t="n">
        <x:f>IF('Inputs'!$B$50&gt;0,AG2383/('Inputs'!$B$19*'Inputs'!$B$50)*365,0)</x:f>
        <x:v>0.08444656385753789</x:v>
      </x:c>
      <x:c r="AK2383" s="81" t="n">
        <x:f>W2383/MAX($W$2194:W2383)-1</x:f>
        <x:v>-0.9957790884668385</x:v>
      </x:c>
      <x:c r="AL2383" s="83" t="n">
        <x:f>'Inputs'!$B$50</x:f>
        <x:v>1</x:v>
      </x:c>
      <x:c r="AM2383" s="83" t="n">
        <x:f>'Inputs'!$C$50</x:f>
        <x:v>1</x:v>
      </x:c>
      <x:c r="AN2383" s="83" t="n">
        <x:f>'Inputs'!$D$50</x:f>
        <x:v>1</x:v>
      </x:c>
      <x:c r="AO2383" s="81" t="n">
        <x:f>'Inputs'!$E$50</x:f>
        <x:v>0</x:v>
      </x:c>
    </x:row>
    <x:row r="2384">
      <x:c r="A2384" s="59" t="str">
        <x:v>Whale exit</x:v>
      </x:c>
      <x:c r="B2384" s="59" t="n">
        <x:v>191</x:v>
      </x:c>
      <x:c r="C2384" s="78" t="n">
        <x:f>(('Inputs'!$B$29*(3*191*'Inputs'!$B$12-191^2)/(2*'Inputs'!$B$12^2))-('Inputs'!$B$29*(3*190*'Inputs'!$B$12-190^2)/(2*'Inputs'!$B$12^2)))*'Inputs'!$B$50</x:f>
        <x:v>650053.2463876903</x:v>
      </x:c>
      <x:c r="D2384" s="78" t="n">
        <x:f>IF('Inputs'!$C$50&gt;0,('Inputs'!$B$30*(3*191*'Inputs'!$B$12-191^2)/(2*'Inputs'!$B$12^2))-('Inputs'!$B$30*(3*190*'Inputs'!$B$12-190^2)/(2*'Inputs'!$B$12^2)),0)</x:f>
        <x:v>278594.2484518662</x:v>
      </x:c>
      <x:c r="E2384" s="78" t="n">
        <x:f>C2384+D2384</x:f>
        <x:v>928647.4948395565</x:v>
      </x:c>
      <x:c r="F2384" s="78" t="n">
        <x:f>'Inputs'!$B$13*E2384+(1-'Inputs'!$B$13)/'Inputs'!$B$14*SUM(E2329:E2384)</x:f>
        <x:v>938865.1717020079</x:v>
      </x:c>
      <x:c r="G2384" s="78" t="n">
        <x:f>F2384*'Inputs'!$F$50</x:f>
        <x:v>469432.58585100394</x:v>
      </x:c>
      <x:c r="H2384" s="78" t="n">
        <x:f>U2383</x:f>
        <x:v>90352408.60019511</x:v>
      </x:c>
      <x:c r="I2384" s="78" t="n">
        <x:f>V2383</x:f>
        <x:v>321.41250823243627</x:v>
      </x:c>
      <x:c r="J2384" s="79" t="n">
        <x:f>IF(H2384&gt;0,I2384/H2384,0)</x:f>
        <x:v>0.0000035573208640698287</x:v>
      </x:c>
      <x:c r="K2384" s="80" t="n">
        <x:f>(H2384*J2384+I2384)*'Inputs'!$D$50*(1+'Inputs'!$G$50)^(B2384/30)</x:f>
        <x:v>642.8250164648725</x:v>
      </x:c>
      <x:c r="L2384" s="80" t="n">
        <x:f>MAX(0,K2384*'Inputs'!$E$50)</x:f>
        <x:v>0</x:v>
      </x:c>
      <x:c r="M2384" s="80" t="n">
        <x:f>MAX(0,-K2384*'Inputs'!$E$50)</x:f>
        <x:v>0</x:v>
      </x:c>
      <x:c r="N2384" s="78" t="n">
        <x:f>H2384*(L2384*(1-'Inputs'!$B$15))/(I2384+L2384*(1-'Inputs'!$B$15))</x:f>
        <x:v>0</x:v>
      </x:c>
      <x:c r="O2384" s="78" t="n">
        <x:f>H2384-N2384</x:f>
        <x:v>90352408.60019511</x:v>
      </x:c>
      <x:c r="P2384" s="78" t="n">
        <x:f>I2384+L2384*(1-'Inputs'!$B$17)</x:f>
        <x:v>321.41250823243627</x:v>
      </x:c>
      <x:c r="Q2384" s="78" t="n">
        <x:f>IF(J2384&gt;0,M2384/J2384,0)</x:f>
        <x:v>0</x:v>
      </x:c>
      <x:c r="R2384" s="78" t="n">
        <x:f>IF(B2384='Inputs'!$H$50,'Inputs'!$B$27*'Inputs'!$I$50,0)</x:f>
        <x:v>0</x:v>
      </x:c>
      <x:c r="S2384" s="78" t="n">
        <x:f>Q2384+G2384+R2384</x:f>
        <x:v>469432.58585100394</x:v>
      </x:c>
      <x:c r="T2384" s="78" t="n">
        <x:f>P2384*(S2384*(1-'Inputs'!$B$15))/(O2384+S2384*(1-'Inputs'!$B$15))</x:f>
        <x:v>1.6447630759169722</x:v>
      </x:c>
      <x:c r="U2384" s="78" t="n">
        <x:f>O2384+S2384*(1-'Inputs'!$B$17)</x:f>
        <x:v>90819952.12131432</x:v>
      </x:c>
      <x:c r="V2384" s="78" t="n">
        <x:f>P2384-T2384</x:f>
        <x:v>319.7677451565193</x:v>
      </x:c>
      <x:c r="W2384" s="79" t="n">
        <x:f>IF(U2384&gt;0,V2384/U2384,0)</x:f>
        <x:v>0.000003520897530637145</x:v>
      </x:c>
      <x:c r="X2384" s="80" t="n">
        <x:f>W2384*('Inputs'!$B$6-AC2384)</x:f>
        <x:v>3397.371372400441</x:v>
      </x:c>
      <x:c r="Y2384" s="80" t="n">
        <x:f>2*V2384</x:f>
        <x:v>639.5354903130386</x:v>
      </x:c>
      <x:c r="Z2384" s="80" t="n">
        <x:f>K2384*'Inputs'!$B$16+(G2384+R2384)*J2384*'Inputs'!$B$16</x:f>
        <x:v>3.8669696327807674</x:v>
      </x:c>
      <x:c r="AA2384" s="80" t="n">
        <x:f>K2384*(1+'Inputs'!$E$50)/2*'Inputs'!$B$17</x:f>
        <x:v>1.2934104959051762</x:v>
      </x:c>
      <x:c r="AB2384" s="78" t="n">
        <x:f>(IF(J2384&gt;0,K2384*(1-'Inputs'!$E$50)/2/J2384,0)+G2384+R2384)*'Inputs'!$B$17</x:f>
        <x:v>365480.24622151355</x:v>
      </x:c>
      <x:c r="AC2384" s="78" t="n">
        <x:f>AC2383+AB2384</x:f>
        <x:v>35083712.934511535</x:v>
      </x:c>
      <x:c r="AD2384" s="80" t="n">
        <x:f>Z2384/(1+'Inputs'!$C$50)</x:f>
        <x:v>1.9334848163903837</x:v>
      </x:c>
      <x:c r="AE2384" s="80" t="n">
        <x:f>Z2384-AD2384</x:f>
        <x:v>1.9334848163903837</x:v>
      </x:c>
      <x:c r="AF2384" s="80" t="n">
        <x:f>D2384*W2384</x:f>
        <x:v>0.980901801423887</x:v>
      </x:c>
      <x:c r="AG2384" s="80" t="n">
        <x:f>C2384*W2384</x:f>
        <x:v>2.2887708699890785</x:v>
      </x:c>
      <x:c r="AH2384" s="80" t="n">
        <x:f>2*'Inputs'!$B$8*'Inputs'!$C$50</x:f>
        <x:v>5000</x:v>
      </x:c>
      <x:c r="AI2384" s="81" t="n">
        <x:f>IF(AH2384&gt;0,(AE2384+AF2384)/AH2384*365,0)</x:f>
        <x:v>0.21275022310044175</x:v>
      </x:c>
      <x:c r="AJ2384" s="81" t="n">
        <x:f>IF('Inputs'!$B$50&gt;0,AG2384/('Inputs'!$B$19*'Inputs'!$B$50)*365,0)</x:f>
        <x:v>0.08354013675460137</x:v>
      </x:c>
      <x:c r="AK2384" s="81" t="n">
        <x:f>W2384/MAX($W$2194:W2384)-1</x:f>
        <x:v>-0.9958223062911611</x:v>
      </x:c>
      <x:c r="AL2384" s="83" t="n">
        <x:f>'Inputs'!$B$50</x:f>
        <x:v>1</x:v>
      </x:c>
      <x:c r="AM2384" s="83" t="n">
        <x:f>'Inputs'!$C$50</x:f>
        <x:v>1</x:v>
      </x:c>
      <x:c r="AN2384" s="83" t="n">
        <x:f>'Inputs'!$D$50</x:f>
        <x:v>1</x:v>
      </x:c>
      <x:c r="AO2384" s="81" t="n">
        <x:f>'Inputs'!$E$50</x:f>
        <x:v>0</x:v>
      </x:c>
    </x:row>
    <x:row r="2385">
      <x:c r="A2385" s="59" t="str">
        <x:v>Whale exit</x:v>
      </x:c>
      <x:c r="B2385" s="59" t="n">
        <x:v>192</x:v>
      </x:c>
      <x:c r="C2385" s="78" t="n">
        <x:f>(('Inputs'!$B$29*(3*192*'Inputs'!$B$12-192^2)/(2*'Inputs'!$B$12^2))-('Inputs'!$B$29*(3*191*'Inputs'!$B$12-191^2)/(2*'Inputs'!$B$12^2)))*'Inputs'!$B$50</x:f>
        <x:v>649728.1384875178</x:v>
      </x:c>
      <x:c r="D2385" s="78" t="n">
        <x:f>IF('Inputs'!$C$50&gt;0,('Inputs'!$B$30*(3*192*'Inputs'!$B$12-192^2)/(2*'Inputs'!$B$12^2))-('Inputs'!$B$30*(3*191*'Inputs'!$B$12-191^2)/(2*'Inputs'!$B$12^2)),0)</x:f>
        <x:v>278454.9164946526</x:v>
      </x:c>
      <x:c r="E2385" s="78" t="n">
        <x:f>C2385+D2385</x:f>
        <x:v>928183.0549821705</x:v>
      </x:c>
      <x:c r="F2385" s="78" t="n">
        <x:f>'Inputs'!$B$13*E2385+(1-'Inputs'!$B$13)/'Inputs'!$B$14*SUM(E2330:E2385)</x:f>
        <x:v>938400.7318446233</x:v>
      </x:c>
      <x:c r="G2385" s="78" t="n">
        <x:f>F2385*'Inputs'!$F$50</x:f>
        <x:v>469200.36592231167</x:v>
      </x:c>
      <x:c r="H2385" s="78" t="n">
        <x:f>U2384</x:f>
        <x:v>90819952.12131432</x:v>
      </x:c>
      <x:c r="I2385" s="78" t="n">
        <x:f>V2384</x:f>
        <x:v>319.7677451565193</x:v>
      </x:c>
      <x:c r="J2385" s="79" t="n">
        <x:f>IF(H2385&gt;0,I2385/H2385,0)</x:f>
        <x:v>0.000003520897530637145</x:v>
      </x:c>
      <x:c r="K2385" s="80" t="n">
        <x:f>(H2385*J2385+I2385)*'Inputs'!$D$50*(1+'Inputs'!$G$50)^(B2385/30)</x:f>
        <x:v>639.5354903130386</x:v>
      </x:c>
      <x:c r="L2385" s="80" t="n">
        <x:f>MAX(0,K2385*'Inputs'!$E$50)</x:f>
        <x:v>0</x:v>
      </x:c>
      <x:c r="M2385" s="80" t="n">
        <x:f>MAX(0,-K2385*'Inputs'!$E$50)</x:f>
        <x:v>0</x:v>
      </x:c>
      <x:c r="N2385" s="78" t="n">
        <x:f>H2385*(L2385*(1-'Inputs'!$B$15))/(I2385+L2385*(1-'Inputs'!$B$15))</x:f>
        <x:v>0</x:v>
      </x:c>
      <x:c r="O2385" s="78" t="n">
        <x:f>H2385-N2385</x:f>
        <x:v>90819952.12131432</x:v>
      </x:c>
      <x:c r="P2385" s="78" t="n">
        <x:f>I2385+L2385*(1-'Inputs'!$B$17)</x:f>
        <x:v>319.7677451565193</x:v>
      </x:c>
      <x:c r="Q2385" s="78" t="n">
        <x:f>IF(J2385&gt;0,M2385/J2385,0)</x:f>
        <x:v>0</x:v>
      </x:c>
      <x:c r="R2385" s="78" t="n">
        <x:f>IF(B2385='Inputs'!$H$50,'Inputs'!$B$27*'Inputs'!$I$50,0)</x:f>
        <x:v>0</x:v>
      </x:c>
      <x:c r="S2385" s="78" t="n">
        <x:f>Q2385+G2385+R2385</x:f>
        <x:v>469200.36592231167</x:v>
      </x:c>
      <x:c r="T2385" s="78" t="n">
        <x:f>P2385*(S2385*(1-'Inputs'!$B$15))/(O2385+S2385*(1-'Inputs'!$B$15))</x:f>
        <x:v>1.6271640410684982</x:v>
      </x:c>
      <x:c r="U2385" s="78" t="n">
        <x:f>O2385+S2385*(1-'Inputs'!$B$17)</x:f>
        <x:v>91287264.35699147</x:v>
      </x:c>
      <x:c r="V2385" s="78" t="n">
        <x:f>P2385-T2385</x:f>
        <x:v>318.1405811154508</x:v>
      </x:c>
      <x:c r="W2385" s="79" t="n">
        <x:f>IF(U2385&gt;0,V2385/U2385,0)</x:f>
        <x:v>0.000003485048909684905</x:v>
      </x:c>
      <x:c r="X2385" s="80" t="n">
        <x:f>W2385*('Inputs'!$B$6-AC2385)</x:f>
        <x:v>3361.5001839078186</x:v>
      </x:c>
      <x:c r="Y2385" s="80" t="n">
        <x:f>2*V2385</x:f>
        <x:v>636.2811622309016</x:v>
      </x:c>
      <x:c r="Z2385" s="80" t="n">
        <x:f>K2385*'Inputs'!$B$16+(G2385+R2385)*J2385*'Inputs'!$B$16</x:f>
        <x:v>3.8471249803367313</x:v>
      </x:c>
      <x:c r="AA2385" s="80" t="n">
        <x:f>K2385*(1+'Inputs'!$E$50)/2*'Inputs'!$B$17</x:f>
        <x:v>1.2867917310121502</x:v>
      </x:c>
      <x:c r="AB2385" s="78" t="n">
        <x:f>(IF(J2385&gt;0,K2385*(1-'Inputs'!$E$50)/2/J2385,0)+G2385+R2385)*'Inputs'!$B$17</x:f>
        <x:v>367360.7745965257</x:v>
      </x:c>
      <x:c r="AC2385" s="78" t="n">
        <x:f>AC2384+AB2385</x:f>
        <x:v>35451073.70910806</x:v>
      </x:c>
      <x:c r="AD2385" s="80" t="n">
        <x:f>Z2385/(1+'Inputs'!$C$50)</x:f>
        <x:v>1.9235624901683657</x:v>
      </x:c>
      <x:c r="AE2385" s="80" t="n">
        <x:f>Z2385-AD2385</x:f>
        <x:v>1.9235624901683657</x:v>
      </x:c>
      <x:c r="AF2385" s="80" t="n">
        <x:f>D2385*W2385</x:f>
        <x:v>0.9704290031260904</x:v>
      </x:c>
      <x:c r="AG2385" s="80" t="n">
        <x:f>C2385*W2385</x:f>
        <x:v>2.264334340627527</x:v>
      </x:c>
      <x:c r="AH2385" s="80" t="n">
        <x:f>2*'Inputs'!$B$8*'Inputs'!$C$50</x:f>
        <x:v>5000</x:v>
      </x:c>
      <x:c r="AI2385" s="81" t="n">
        <x:f>IF(AH2385&gt;0,(AE2385+AF2385)/AH2385*365,0)</x:f>
        <x:v>0.21126137901049527</x:v>
      </x:c>
      <x:c r="AJ2385" s="81" t="n">
        <x:f>IF('Inputs'!$B$50&gt;0,AG2385/('Inputs'!$B$19*'Inputs'!$B$50)*365,0)</x:f>
        <x:v>0.08264820343290473</x:v>
      </x:c>
      <x:c r="AK2385" s="81" t="n">
        <x:f>W2385/MAX($W$2194:W2385)-1</x:f>
        <x:v>-0.9958648421948388</x:v>
      </x:c>
      <x:c r="AL2385" s="83" t="n">
        <x:f>'Inputs'!$B$50</x:f>
        <x:v>1</x:v>
      </x:c>
      <x:c r="AM2385" s="83" t="n">
        <x:f>'Inputs'!$C$50</x:f>
        <x:v>1</x:v>
      </x:c>
      <x:c r="AN2385" s="83" t="n">
        <x:f>'Inputs'!$D$50</x:f>
        <x:v>1</x:v>
      </x:c>
      <x:c r="AO2385" s="81" t="n">
        <x:f>'Inputs'!$E$50</x:f>
        <x:v>0</x:v>
      </x:c>
    </x:row>
    <x:row r="2386">
      <x:c r="A2386" s="59" t="str">
        <x:v>Whale exit</x:v>
      </x:c>
      <x:c r="B2386" s="59" t="n">
        <x:v>193</x:v>
      </x:c>
      <x:c r="C2386" s="78" t="n">
        <x:f>(('Inputs'!$B$29*(3*193*'Inputs'!$B$12-193^2)/(2*'Inputs'!$B$12^2))-('Inputs'!$B$29*(3*192*'Inputs'!$B$12-192^2)/(2*'Inputs'!$B$12^2)))*'Inputs'!$B$50</x:f>
        <x:v>649403.0305873603</x:v>
      </x:c>
      <x:c r="D2386" s="78" t="n">
        <x:f>IF('Inputs'!$C$50&gt;0,('Inputs'!$B$30*(3*193*'Inputs'!$B$12-193^2)/(2*'Inputs'!$B$12^2))-('Inputs'!$B$30*(3*192*'Inputs'!$B$12-192^2)/(2*'Inputs'!$B$12^2)),0)</x:f>
        <x:v>278315.5845374316</x:v>
      </x:c>
      <x:c r="E2386" s="78" t="n">
        <x:f>C2386+D2386</x:f>
        <x:v>927718.6151247919</x:v>
      </x:c>
      <x:c r="F2386" s="78" t="n">
        <x:f>'Inputs'!$B$13*E2386+(1-'Inputs'!$B$13)/'Inputs'!$B$14*SUM(E2331:E2386)</x:f>
        <x:v>937936.2919872404</x:v>
      </x:c>
      <x:c r="G2386" s="78" t="n">
        <x:f>F2386*'Inputs'!$F$50</x:f>
        <x:v>468968.1459936202</x:v>
      </x:c>
      <x:c r="H2386" s="78" t="n">
        <x:f>U2385</x:f>
        <x:v>91287264.35699147</x:v>
      </x:c>
      <x:c r="I2386" s="78" t="n">
        <x:f>V2385</x:f>
        <x:v>318.1405811154508</x:v>
      </x:c>
      <x:c r="J2386" s="79" t="n">
        <x:f>IF(H2386&gt;0,I2386/H2386,0)</x:f>
        <x:v>0.000003485048909684905</x:v>
      </x:c>
      <x:c r="K2386" s="80" t="n">
        <x:f>(H2386*J2386+I2386)*'Inputs'!$D$50*(1+'Inputs'!$G$50)^(B2386/30)</x:f>
        <x:v>636.2811622309016</x:v>
      </x:c>
      <x:c r="L2386" s="80" t="n">
        <x:f>MAX(0,K2386*'Inputs'!$E$50)</x:f>
        <x:v>0</x:v>
      </x:c>
      <x:c r="M2386" s="80" t="n">
        <x:f>MAX(0,-K2386*'Inputs'!$E$50)</x:f>
        <x:v>0</x:v>
      </x:c>
      <x:c r="N2386" s="78" t="n">
        <x:f>H2386*(L2386*(1-'Inputs'!$B$15))/(I2386+L2386*(1-'Inputs'!$B$15))</x:f>
        <x:v>0</x:v>
      </x:c>
      <x:c r="O2386" s="78" t="n">
        <x:f>H2386-N2386</x:f>
        <x:v>91287264.35699147</x:v>
      </x:c>
      <x:c r="P2386" s="78" t="n">
        <x:f>I2386+L2386*(1-'Inputs'!$B$17)</x:f>
        <x:v>318.1405811154508</x:v>
      </x:c>
      <x:c r="Q2386" s="78" t="n">
        <x:f>IF(J2386&gt;0,M2386/J2386,0)</x:f>
        <x:v>0</x:v>
      </x:c>
      <x:c r="R2386" s="78" t="n">
        <x:f>IF(B2386='Inputs'!$H$50,'Inputs'!$B$27*'Inputs'!$I$50,0)</x:f>
        <x:v>0</x:v>
      </x:c>
      <x:c r="S2386" s="78" t="n">
        <x:f>Q2386+G2386+R2386</x:f>
        <x:v>468968.1459936202</x:v>
      </x:c>
      <x:c r="T2386" s="78" t="n">
        <x:f>P2386*(S2386*(1-'Inputs'!$B$15))/(O2386+S2386*(1-'Inputs'!$B$15))</x:f>
        <x:v>1.6098456327154342</x:v>
      </x:c>
      <x:c r="U2386" s="78" t="n">
        <x:f>O2386+S2386*(1-'Inputs'!$B$17)</x:f>
        <x:v>91754345.30722657</x:v>
      </x:c>
      <x:c r="V2386" s="78" t="n">
        <x:f>P2386-T2386</x:f>
        <x:v>316.53073548273534</x:v>
      </x:c>
      <x:c r="W2386" s="79" t="n">
        <x:f>IF(U2386&gt;0,V2386/U2386,0)</x:f>
        <x:v>0.0000034497628904971912</x:v>
      </x:c>
      <x:c r="X2386" s="80" t="n">
        <x:f>W2386*('Inputs'!$B$6-AC2386)</x:f>
        <x:v>3326.1913002533843</x:v>
      </x:c>
      <x:c r="Y2386" s="80" t="n">
        <x:f>2*V2386</x:f>
        <x:v>633.0614709654707</x:v>
      </x:c>
      <x:c r="Z2386" s="80" t="n">
        <x:f>K2386*'Inputs'!$B$16+(G2386+R2386)*J2386*'Inputs'!$B$16</x:f>
        <x:v>3.8274932349406416</x:v>
      </x:c>
      <x:c r="AA2386" s="80" t="n">
        <x:f>K2386*(1+'Inputs'!$E$50)/2*'Inputs'!$B$17</x:f>
        <x:v>1.2802437871849128</x:v>
      </x:c>
      <x:c r="AB2386" s="78" t="n">
        <x:f>(IF(J2386&gt;0,K2386*(1-'Inputs'!$E$50)/2/J2386,0)+G2386+R2386)*'Inputs'!$B$17</x:f>
        <x:v>369240.37224541284</x:v>
      </x:c>
      <x:c r="AC2386" s="78" t="n">
        <x:f>AC2385+AB2386</x:f>
        <x:v>35820314.08135348</x:v>
      </x:c>
      <x:c r="AD2386" s="80" t="n">
        <x:f>Z2386/(1+'Inputs'!$C$50)</x:f>
        <x:v>1.9137466174703208</x:v>
      </x:c>
      <x:c r="AE2386" s="80" t="n">
        <x:f>Z2386-AD2386</x:f>
        <x:v>1.9137466174703208</x:v>
      </x:c>
      <x:c r="AF2386" s="80" t="n">
        <x:f>D2386*W2386</x:f>
        <x:v>0.9601227753842654</x:v>
      </x:c>
      <x:c r="AG2386" s="80" t="n">
        <x:f>C2386*W2386</x:f>
        <x:v>2.2402864758966876</x:v>
      </x:c>
      <x:c r="AH2386" s="80" t="n">
        <x:f>2*'Inputs'!$B$8*'Inputs'!$C$50</x:f>
        <x:v>5000</x:v>
      </x:c>
      <x:c r="AI2386" s="81" t="n">
        <x:f>IF(AH2386&gt;0,(AE2386+AF2386)/AH2386*365,0)</x:f>
        <x:v>0.2097924656783848</x:v>
      </x:c>
      <x:c r="AJ2386" s="81" t="n">
        <x:f>IF('Inputs'!$B$50&gt;0,AG2386/('Inputs'!$B$19*'Inputs'!$B$50)*365,0)</x:f>
        <x:v>0.0817704563702291</x:v>
      </x:c>
      <x:c r="AK2386" s="81" t="n">
        <x:f>W2386/MAX($W$2194:W2386)-1</x:f>
        <x:v>-0.9959067105477483</x:v>
      </x:c>
      <x:c r="AL2386" s="83" t="n">
        <x:f>'Inputs'!$B$50</x:f>
        <x:v>1</x:v>
      </x:c>
      <x:c r="AM2386" s="83" t="n">
        <x:f>'Inputs'!$C$50</x:f>
        <x:v>1</x:v>
      </x:c>
      <x:c r="AN2386" s="83" t="n">
        <x:f>'Inputs'!$D$50</x:f>
        <x:v>1</x:v>
      </x:c>
      <x:c r="AO2386" s="81" t="n">
        <x:f>'Inputs'!$E$50</x:f>
        <x:v>0</x:v>
      </x:c>
    </x:row>
    <x:row r="2387">
      <x:c r="A2387" s="59" t="str">
        <x:v>Whale exit</x:v>
      </x:c>
      <x:c r="B2387" s="59" t="n">
        <x:v>194</x:v>
      </x:c>
      <x:c r="C2387" s="78" t="n">
        <x:f>(('Inputs'!$B$29*(3*194*'Inputs'!$B$12-194^2)/(2*'Inputs'!$B$12^2))-('Inputs'!$B$29*(3*193*'Inputs'!$B$12-193^2)/(2*'Inputs'!$B$12^2)))*'Inputs'!$B$50</x:f>
        <x:v>649077.9226871729</x:v>
      </x:c>
      <x:c r="D2387" s="78" t="n">
        <x:f>IF('Inputs'!$C$50&gt;0,('Inputs'!$B$30*(3*194*'Inputs'!$B$12-194^2)/(2*'Inputs'!$B$12^2))-('Inputs'!$B$30*(3*193*'Inputs'!$B$12-193^2)/(2*'Inputs'!$B$12^2)),0)</x:f>
        <x:v>278176.25258022547</x:v>
      </x:c>
      <x:c r="E2387" s="78" t="n">
        <x:f>C2387+D2387</x:f>
        <x:v>927254.1752673984</x:v>
      </x:c>
      <x:c r="F2387" s="78" t="n">
        <x:f>'Inputs'!$B$13*E2387+(1-'Inputs'!$B$13)/'Inputs'!$B$14*SUM(E2332:E2387)</x:f>
        <x:v>937471.8521298541</x:v>
      </x:c>
      <x:c r="G2387" s="78" t="n">
        <x:f>F2387*'Inputs'!$F$50</x:f>
        <x:v>468735.9260649271</x:v>
      </x:c>
      <x:c r="H2387" s="78" t="n">
        <x:f>U2386</x:f>
        <x:v>91754345.30722657</x:v>
      </x:c>
      <x:c r="I2387" s="78" t="n">
        <x:f>V2386</x:f>
        <x:v>316.53073548273534</x:v>
      </x:c>
      <x:c r="J2387" s="79" t="n">
        <x:f>IF(H2387&gt;0,I2387/H2387,0)</x:f>
        <x:v>0.0000034497628904971912</x:v>
      </x:c>
      <x:c r="K2387" s="80" t="n">
        <x:f>(H2387*J2387+I2387)*'Inputs'!$D$50*(1+'Inputs'!$G$50)^(B2387/30)</x:f>
        <x:v>633.0614709654707</x:v>
      </x:c>
      <x:c r="L2387" s="80" t="n">
        <x:f>MAX(0,K2387*'Inputs'!$E$50)</x:f>
        <x:v>0</x:v>
      </x:c>
      <x:c r="M2387" s="80" t="n">
        <x:f>MAX(0,-K2387*'Inputs'!$E$50)</x:f>
        <x:v>0</x:v>
      </x:c>
      <x:c r="N2387" s="78" t="n">
        <x:f>H2387*(L2387*(1-'Inputs'!$B$15))/(I2387+L2387*(1-'Inputs'!$B$15))</x:f>
        <x:v>0</x:v>
      </x:c>
      <x:c r="O2387" s="78" t="n">
        <x:f>H2387-N2387</x:f>
        <x:v>91754345.30722657</x:v>
      </x:c>
      <x:c r="P2387" s="78" t="n">
        <x:f>I2387+L2387*(1-'Inputs'!$B$17)</x:f>
        <x:v>316.53073548273534</x:v>
      </x:c>
      <x:c r="Q2387" s="78" t="n">
        <x:f>IF(J2387&gt;0,M2387/J2387,0)</x:f>
        <x:v>0</x:v>
      </x:c>
      <x:c r="R2387" s="78" t="n">
        <x:f>IF(B2387='Inputs'!$H$50,'Inputs'!$B$27*'Inputs'!$I$50,0)</x:f>
        <x:v>0</x:v>
      </x:c>
      <x:c r="S2387" s="78" t="n">
        <x:f>Q2387+G2387+R2387</x:f>
        <x:v>468735.9260649271</x:v>
      </x:c>
      <x:c r="T2387" s="78" t="n">
        <x:f>P2387*(S2387*(1-'Inputs'!$B$15))/(O2387+S2387*(1-'Inputs'!$B$15))</x:f>
        <x:v>1.5928019127172306</x:v>
      </x:c>
      <x:c r="U2387" s="78" t="n">
        <x:f>O2387+S2387*(1-'Inputs'!$B$17)</x:f>
        <x:v>92221194.9720196</x:v>
      </x:c>
      <x:c r="V2387" s="78" t="n">
        <x:f>P2387-T2387</x:f>
        <x:v>314.9379335700181</x:v>
      </x:c>
      <x:c r="W2387" s="79" t="n">
        <x:f>IF(U2387&gt;0,V2387/U2387,0)</x:f>
        <x:v>0.000003415027680627777</x:v>
      </x:c>
      <x:c r="X2387" s="80" t="n">
        <x:f>W2387*('Inputs'!$B$6-AC2387)</x:f>
        <x:v>3291.4329347196067</x:v>
      </x:c>
      <x:c r="Y2387" s="80" t="n">
        <x:f>2*V2387</x:f>
        <x:v>629.8758671400362</x:v>
      </x:c>
      <x:c r="Z2387" s="80" t="n">
        <x:f>K2387*'Inputs'!$B$16+(G2387+R2387)*J2387*'Inputs'!$B$16</x:f>
        <x:v>3.808070992611914</x:v>
      </x:c>
      <x:c r="AA2387" s="80" t="n">
        <x:f>K2387*(1+'Inputs'!$E$50)/2*'Inputs'!$B$17</x:f>
        <x:v>1.2737655351417922</x:v>
      </x:c>
      <x:c r="AB2387" s="78" t="n">
        <x:f>(IF(J2387&gt;0,K2387*(1-'Inputs'!$E$50)/2/J2387,0)+G2387+R2387)*'Inputs'!$B$17</x:f>
        <x:v>371119.0391681751</x:v>
      </x:c>
      <x:c r="AC2387" s="78" t="n">
        <x:f>AC2386+AB2387</x:f>
        <x:v>36191433.12052165</x:v>
      </x:c>
      <x:c r="AD2387" s="80" t="n">
        <x:f>Z2387/(1+'Inputs'!$C$50)</x:f>
        <x:v>1.904035496305957</x:v>
      </x:c>
      <x:c r="AE2387" s="80" t="n">
        <x:f>Z2387-AD2387</x:f>
        <x:v>1.904035496305957</x:v>
      </x:c>
      <x:c r="AF2387" s="80" t="n">
        <x:f>D2387*W2387</x:f>
        <x:v>0.9499796026547741</x:v>
      </x:c>
      <x:c r="AG2387" s="80" t="n">
        <x:f>C2387*W2387</x:f>
        <x:v>2.2166190728610715</x:v>
      </x:c>
      <x:c r="AH2387" s="80" t="n">
        <x:f>2*'Inputs'!$B$8*'Inputs'!$C$50</x:f>
        <x:v>5000</x:v>
      </x:c>
      <x:c r="AI2387" s="81" t="n">
        <x:f>IF(AH2387&gt;0,(AE2387+AF2387)/AH2387*365,0)</x:f>
        <x:v>0.20834310222413338</x:v>
      </x:c>
      <x:c r="AJ2387" s="81" t="n">
        <x:f>IF('Inputs'!$B$50&gt;0,AG2387/('Inputs'!$B$19*'Inputs'!$B$50)*365,0)</x:f>
        <x:v>0.0809065961594291</x:v>
      </x:c>
      <x:c r="AK2387" s="81" t="n">
        <x:f>W2387/MAX($W$2194:W2387)-1</x:f>
        <x:v>-0.995947925342125</x:v>
      </x:c>
      <x:c r="AL2387" s="83" t="n">
        <x:f>'Inputs'!$B$50</x:f>
        <x:v>1</x:v>
      </x:c>
      <x:c r="AM2387" s="83" t="n">
        <x:f>'Inputs'!$C$50</x:f>
        <x:v>1</x:v>
      </x:c>
      <x:c r="AN2387" s="83" t="n">
        <x:f>'Inputs'!$D$50</x:f>
        <x:v>1</x:v>
      </x:c>
      <x:c r="AO2387" s="81" t="n">
        <x:f>'Inputs'!$E$50</x:f>
        <x:v>0</x:v>
      </x:c>
    </x:row>
    <x:row r="2388">
      <x:c r="A2388" s="59" t="str">
        <x:v>Whale exit</x:v>
      </x:c>
      <x:c r="B2388" s="59" t="n">
        <x:v>195</x:v>
      </x:c>
      <x:c r="C2388" s="78" t="n">
        <x:f>(('Inputs'!$B$29*(3*195*'Inputs'!$B$12-195^2)/(2*'Inputs'!$B$12^2))-('Inputs'!$B$29*(3*194*'Inputs'!$B$12-194^2)/(2*'Inputs'!$B$12^2)))*'Inputs'!$B$50</x:f>
        <x:v>648752.8147870153</x:v>
      </x:c>
      <x:c r="D2388" s="78" t="n">
        <x:f>IF('Inputs'!$C$50&gt;0,('Inputs'!$B$30*(3*195*'Inputs'!$B$12-195^2)/(2*'Inputs'!$B$12^2))-('Inputs'!$B$30*(3*194*'Inputs'!$B$12-194^2)/(2*'Inputs'!$B$12^2)),0)</x:f>
        <x:v>278036.92062300444</x:v>
      </x:c>
      <x:c r="E2388" s="78" t="n">
        <x:f>C2388+D2388</x:f>
        <x:v>926789.7354100198</x:v>
      </x:c>
      <x:c r="F2388" s="78" t="n">
        <x:f>'Inputs'!$B$13*E2388+(1-'Inputs'!$B$13)/'Inputs'!$B$14*SUM(E2333:E2388)</x:f>
        <x:v>937007.4122724712</x:v>
      </x:c>
      <x:c r="G2388" s="78" t="n">
        <x:f>F2388*'Inputs'!$F$50</x:f>
        <x:v>468503.7061362356</x:v>
      </x:c>
      <x:c r="H2388" s="78" t="n">
        <x:f>U2387</x:f>
        <x:v>92221194.9720196</x:v>
      </x:c>
      <x:c r="I2388" s="78" t="n">
        <x:f>V2387</x:f>
        <x:v>314.9379335700181</x:v>
      </x:c>
      <x:c r="J2388" s="79" t="n">
        <x:f>IF(H2388&gt;0,I2388/H2388,0)</x:f>
        <x:v>0.000003415027680627777</x:v>
      </x:c>
      <x:c r="K2388" s="80" t="n">
        <x:f>(H2388*J2388+I2388)*'Inputs'!$D$50*(1+'Inputs'!$G$50)^(B2388/30)</x:f>
        <x:v>629.8758671400362</x:v>
      </x:c>
      <x:c r="L2388" s="80" t="n">
        <x:f>MAX(0,K2388*'Inputs'!$E$50)</x:f>
        <x:v>0</x:v>
      </x:c>
      <x:c r="M2388" s="80" t="n">
        <x:f>MAX(0,-K2388*'Inputs'!$E$50)</x:f>
        <x:v>0</x:v>
      </x:c>
      <x:c r="N2388" s="78" t="n">
        <x:f>H2388*(L2388*(1-'Inputs'!$B$15))/(I2388+L2388*(1-'Inputs'!$B$15))</x:f>
        <x:v>0</x:v>
      </x:c>
      <x:c r="O2388" s="78" t="n">
        <x:f>H2388-N2388</x:f>
        <x:v>92221194.9720196</x:v>
      </x:c>
      <x:c r="P2388" s="78" t="n">
        <x:f>I2388+L2388*(1-'Inputs'!$B$17)</x:f>
        <x:v>314.9379335700181</x:v>
      </x:c>
      <x:c r="Q2388" s="78" t="n">
        <x:f>IF(J2388&gt;0,M2388/J2388,0)</x:f>
        <x:v>0</x:v>
      </x:c>
      <x:c r="R2388" s="78" t="n">
        <x:f>IF(B2388='Inputs'!$H$50,'Inputs'!$B$27*'Inputs'!$I$50,0)</x:f>
        <x:v>0</x:v>
      </x:c>
      <x:c r="S2388" s="78" t="n">
        <x:f>Q2388+G2388+R2388</x:f>
        <x:v>468503.7061362356</x:v>
      </x:c>
      <x:c r="T2388" s="78" t="n">
        <x:f>P2388*(S2388*(1-'Inputs'!$B$15))/(O2388+S2388*(1-'Inputs'!$B$15))</x:f>
        <x:v>1.5760270992167242</x:v>
      </x:c>
      <x:c r="U2388" s="78" t="n">
        <x:f>O2388+S2388*(1-'Inputs'!$B$17)</x:f>
        <x:v>92687813.35137057</x:v>
      </x:c>
      <x:c r="V2388" s="78" t="n">
        <x:f>P2388-T2388</x:f>
        <x:v>313.3619064708014</x:v>
      </x:c>
      <x:c r="W2388" s="79" t="n">
        <x:f>IF(U2388&gt;0,V2388/U2388,0)</x:f>
        <x:v>0.000003380831795900466</x:v>
      </x:c>
      <x:c r="X2388" s="80" t="n">
        <x:f>W2388*('Inputs'!$B$6-AC2388)</x:f>
        <x:v>3257.2136087094796</x:v>
      </x:c>
      <x:c r="Y2388" s="80" t="n">
        <x:f>2*V2388</x:f>
        <x:v>626.7238129416028</x:v>
      </x:c>
      <x:c r="Z2388" s="80" t="n">
        <x:f>K2388*'Inputs'!$B$16+(G2388+R2388)*J2388*'Inputs'!$B$16</x:f>
        <x:v>3.788854921589809</x:v>
      </x:c>
      <x:c r="AA2388" s="80" t="n">
        <x:f>K2388*(1+'Inputs'!$E$50)/2*'Inputs'!$B$17</x:f>
        <x:v>1.2673558694970548</x:v>
      </x:c>
      <x:c r="AB2388" s="78" t="n">
        <x:f>(IF(J2388&gt;0,K2388*(1-'Inputs'!$E$50)/2/J2388,0)+G2388+R2388)*'Inputs'!$B$17</x:f>
        <x:v>372996.7753648123</x:v>
      </x:c>
      <x:c r="AC2388" s="78" t="n">
        <x:f>AC2387+AB2388</x:f>
        <x:v>36564429.89588646</x:v>
      </x:c>
      <x:c r="AD2388" s="80" t="n">
        <x:f>Z2388/(1+'Inputs'!$C$50)</x:f>
        <x:v>1.8944274607949045</x:v>
      </x:c>
      <x:c r="AE2388" s="80" t="n">
        <x:f>Z2388-AD2388</x:f>
        <x:v>1.8944274607949045</x:v>
      </x:c>
      <x:c r="AF2388" s="80" t="n">
        <x:f>D2388*W2388</x:f>
        <x:v>0.9399960616765074</x:v>
      </x:c>
      <x:c r="AG2388" s="80" t="n">
        <x:f>C2388*W2388</x:f>
        <x:v>2.1933241439118674</x:v>
      </x:c>
      <x:c r="AH2388" s="80" t="n">
        <x:f>2*'Inputs'!$B$8*'Inputs'!$C$50</x:f>
        <x:v>5000</x:v>
      </x:c>
      <x:c r="AI2388" s="81" t="n">
        <x:f>IF(AH2388&gt;0,(AE2388+AF2388)/AH2388*365,0)</x:f>
        <x:v>0.20691291714041307</x:v>
      </x:c>
      <x:c r="AJ2388" s="81" t="n">
        <x:f>IF('Inputs'!$B$50&gt;0,AG2388/('Inputs'!$B$19*'Inputs'!$B$50)*365,0)</x:f>
        <x:v>0.08005633125278316</x:v>
      </x:c>
      <x:c r="AK2388" s="81" t="n">
        <x:f>W2388/MAX($W$2194:W2388)-1</x:f>
        <x:v>-0.9959885002044293</x:v>
      </x:c>
      <x:c r="AL2388" s="83" t="n">
        <x:f>'Inputs'!$B$50</x:f>
        <x:v>1</x:v>
      </x:c>
      <x:c r="AM2388" s="83" t="n">
        <x:f>'Inputs'!$C$50</x:f>
        <x:v>1</x:v>
      </x:c>
      <x:c r="AN2388" s="83" t="n">
        <x:f>'Inputs'!$D$50</x:f>
        <x:v>1</x:v>
      </x:c>
      <x:c r="AO2388" s="81" t="n">
        <x:f>'Inputs'!$E$50</x:f>
        <x:v>0</x:v>
      </x:c>
    </x:row>
    <x:row r="2389">
      <x:c r="A2389" s="59" t="str">
        <x:v>Whale exit</x:v>
      </x:c>
      <x:c r="B2389" s="59" t="n">
        <x:v>196</x:v>
      </x:c>
      <x:c r="C2389" s="78" t="n">
        <x:f>(('Inputs'!$B$29*(3*196*'Inputs'!$B$12-196^2)/(2*'Inputs'!$B$12^2))-('Inputs'!$B$29*(3*195*'Inputs'!$B$12-195^2)/(2*'Inputs'!$B$12^2)))*'Inputs'!$B$50</x:f>
        <x:v>648427.7068868428</x:v>
      </x:c>
      <x:c r="D2389" s="78" t="n">
        <x:f>IF('Inputs'!$C$50&gt;0,('Inputs'!$B$30*(3*196*'Inputs'!$B$12-196^2)/(2*'Inputs'!$B$12^2))-('Inputs'!$B$30*(3*195*'Inputs'!$B$12-195^2)/(2*'Inputs'!$B$12^2)),0)</x:f>
        <x:v>277897.58866579086</x:v>
      </x:c>
      <x:c r="E2389" s="78" t="n">
        <x:f>C2389+D2389</x:f>
        <x:v>926325.2955526337</x:v>
      </x:c>
      <x:c r="F2389" s="78" t="n">
        <x:f>'Inputs'!$B$13*E2389+(1-'Inputs'!$B$13)/'Inputs'!$B$14*SUM(E2334:E2389)</x:f>
        <x:v>936542.9724150866</x:v>
      </x:c>
      <x:c r="G2389" s="78" t="n">
        <x:f>F2389*'Inputs'!$F$50</x:f>
        <x:v>468271.4862075433</x:v>
      </x:c>
      <x:c r="H2389" s="78" t="n">
        <x:f>U2388</x:f>
        <x:v>92687813.35137057</x:v>
      </x:c>
      <x:c r="I2389" s="78" t="n">
        <x:f>V2388</x:f>
        <x:v>313.3619064708014</x:v>
      </x:c>
      <x:c r="J2389" s="79" t="n">
        <x:f>IF(H2389&gt;0,I2389/H2389,0)</x:f>
        <x:v>0.000003380831795900466</x:v>
      </x:c>
      <x:c r="K2389" s="80" t="n">
        <x:f>(H2389*J2389+I2389)*'Inputs'!$D$50*(1+'Inputs'!$G$50)^(B2389/30)</x:f>
        <x:v>626.7238129416028</x:v>
      </x:c>
      <x:c r="L2389" s="80" t="n">
        <x:f>MAX(0,K2389*'Inputs'!$E$50)</x:f>
        <x:v>0</x:v>
      </x:c>
      <x:c r="M2389" s="80" t="n">
        <x:f>MAX(0,-K2389*'Inputs'!$E$50)</x:f>
        <x:v>0</x:v>
      </x:c>
      <x:c r="N2389" s="78" t="n">
        <x:f>H2389*(L2389*(1-'Inputs'!$B$15))/(I2389+L2389*(1-'Inputs'!$B$15))</x:f>
        <x:v>0</x:v>
      </x:c>
      <x:c r="O2389" s="78" t="n">
        <x:f>H2389-N2389</x:f>
        <x:v>92687813.35137057</x:v>
      </x:c>
      <x:c r="P2389" s="78" t="n">
        <x:f>I2389+L2389*(1-'Inputs'!$B$17)</x:f>
        <x:v>313.3619064708014</x:v>
      </x:c>
      <x:c r="Q2389" s="78" t="n">
        <x:f>IF(J2389&gt;0,M2389/J2389,0)</x:f>
        <x:v>0</x:v>
      </x:c>
      <x:c r="R2389" s="78" t="n">
        <x:f>IF(B2389='Inputs'!$H$50,'Inputs'!$B$27*'Inputs'!$I$50,0)</x:f>
        <x:v>0</x:v>
      </x:c>
      <x:c r="S2389" s="78" t="n">
        <x:f>Q2389+G2389+R2389</x:f>
        <x:v>468271.4862075433</x:v>
      </x:c>
      <x:c r="T2389" s="78" t="n">
        <x:f>P2389*(S2389*(1-'Inputs'!$B$15))/(O2389+S2389*(1-'Inputs'!$B$15))</x:f>
        <x:v>1.559515561729223</x:v>
      </x:c>
      <x:c r="U2389" s="78" t="n">
        <x:f>O2389+S2389*(1-'Inputs'!$B$17)</x:f>
        <x:v>93154200.4452795</x:v>
      </x:c>
      <x:c r="V2389" s="78" t="n">
        <x:f>P2389-T2389</x:f>
        <x:v>311.8023909090722</x:v>
      </x:c>
      <x:c r="W2389" s="79" t="n">
        <x:f>IF(U2389&gt;0,V2389/U2389,0)</x:f>
        <x:v>0.0000033471640507744004</x:v>
      </x:c>
      <x:c r="X2389" s="80" t="n">
        <x:f>W2389*('Inputs'!$B$6-AC2389)</x:f>
        <x:v>3223.5221421164715</x:v>
      </x:c>
      <x:c r="Y2389" s="80" t="n">
        <x:f>2*V2389</x:f>
        <x:v>623.6047818181444</x:v>
      </x:c>
      <x:c r="Z2389" s="80" t="n">
        <x:f>K2389*'Inputs'!$B$16+(G2389+R2389)*J2389*'Inputs'!$B$16</x:f>
        <x:v>3.769841760427721</x:v>
      </x:c>
      <x:c r="AA2389" s="80" t="n">
        <x:f>K2389*(1+'Inputs'!$E$50)/2*'Inputs'!$B$17</x:f>
        <x:v>1.2610137081319976</x:v>
      </x:c>
      <x:c r="AB2389" s="78" t="n">
        <x:f>(IF(J2389&gt;0,K2389*(1-'Inputs'!$E$50)/2/J2389,0)+G2389+R2389)*'Inputs'!$B$17</x:f>
        <x:v>374873.5808353244</x:v>
      </x:c>
      <x:c r="AC2389" s="78" t="n">
        <x:f>AC2388+AB2389</x:f>
        <x:v>36939303.476721786</x:v>
      </x:c>
      <x:c r="AD2389" s="80" t="n">
        <x:f>Z2389/(1+'Inputs'!$C$50)</x:f>
        <x:v>1.8849208802138604</x:v>
      </x:c>
      <x:c r="AE2389" s="80" t="n">
        <x:f>Z2389-AD2389</x:f>
        <x:v>1.8849208802138604</x:v>
      </x:c>
      <x:c r="AF2389" s="80" t="n">
        <x:f>D2389*W2389</x:f>
        <x:v>0.9301688185790267</x:v>
      </x:c>
      <x:c r="AG2389" s="80" t="n">
        <x:f>C2389*W2389</x:f>
        <x:v>2.1703939100177205</x:v>
      </x:c>
      <x:c r="AH2389" s="80" t="n">
        <x:f>2*'Inputs'!$B$8*'Inputs'!$C$50</x:f>
        <x:v>5000</x:v>
      </x:c>
      <x:c r="AI2389" s="81" t="n">
        <x:f>IF(AH2389&gt;0,(AE2389+AF2389)/AH2389*365,0)</x:f>
        <x:v>0.20550154801188078</x:v>
      </x:c>
      <x:c r="AJ2389" s="81" t="n">
        <x:f>IF('Inputs'!$B$50&gt;0,AG2389/('Inputs'!$B$19*'Inputs'!$B$50)*365,0)</x:f>
        <x:v>0.0792193777156468</x:v>
      </x:c>
      <x:c r="AK2389" s="81" t="n">
        <x:f>W2389/MAX($W$2194:W2389)-1</x:f>
        <x:v>-0.9960284484067783</x:v>
      </x:c>
      <x:c r="AL2389" s="83" t="n">
        <x:f>'Inputs'!$B$50</x:f>
        <x:v>1</x:v>
      </x:c>
      <x:c r="AM2389" s="83" t="n">
        <x:f>'Inputs'!$C$50</x:f>
        <x:v>1</x:v>
      </x:c>
      <x:c r="AN2389" s="83" t="n">
        <x:f>'Inputs'!$D$50</x:f>
        <x:v>1</x:v>
      </x:c>
      <x:c r="AO2389" s="81" t="n">
        <x:f>'Inputs'!$E$50</x:f>
        <x:v>0</x:v>
      </x:c>
    </x:row>
    <x:row r="2390">
      <x:c r="A2390" s="59" t="str">
        <x:v>Whale exit</x:v>
      </x:c>
      <x:c r="B2390" s="59" t="n">
        <x:v>197</x:v>
      </x:c>
      <x:c r="C2390" s="78" t="n">
        <x:f>(('Inputs'!$B$29*(3*197*'Inputs'!$B$12-197^2)/(2*'Inputs'!$B$12^2))-('Inputs'!$B$29*(3*196*'Inputs'!$B$12-196^2)/(2*'Inputs'!$B$12^2)))*'Inputs'!$B$50</x:f>
        <x:v>648102.5989866853</x:v>
      </x:c>
      <x:c r="D2390" s="78" t="n">
        <x:f>IF('Inputs'!$C$50&gt;0,('Inputs'!$B$30*(3*197*'Inputs'!$B$12-197^2)/(2*'Inputs'!$B$12^2))-('Inputs'!$B$30*(3*196*'Inputs'!$B$12-196^2)/(2*'Inputs'!$B$12^2)),0)</x:f>
        <x:v>277758.2567085773</x:v>
      </x:c>
      <x:c r="E2390" s="78" t="n">
        <x:f>C2390+D2390</x:f>
        <x:v>925860.8556952626</x:v>
      </x:c>
      <x:c r="F2390" s="78" t="n">
        <x:f>'Inputs'!$B$13*E2390+(1-'Inputs'!$B$13)/'Inputs'!$B$14*SUM(E2335:E2390)</x:f>
        <x:v>936078.5325577052</x:v>
      </x:c>
      <x:c r="G2390" s="78" t="n">
        <x:f>F2390*'Inputs'!$F$50</x:f>
        <x:v>468039.2662788526</x:v>
      </x:c>
      <x:c r="H2390" s="78" t="n">
        <x:f>U2389</x:f>
        <x:v>93154200.4452795</x:v>
      </x:c>
      <x:c r="I2390" s="78" t="n">
        <x:f>V2389</x:f>
        <x:v>311.8023909090722</x:v>
      </x:c>
      <x:c r="J2390" s="79" t="n">
        <x:f>IF(H2390&gt;0,I2390/H2390,0)</x:f>
        <x:v>0.0000033471640507744004</x:v>
      </x:c>
      <x:c r="K2390" s="80" t="n">
        <x:f>(H2390*J2390+I2390)*'Inputs'!$D$50*(1+'Inputs'!$G$50)^(B2390/30)</x:f>
        <x:v>623.6047818181444</x:v>
      </x:c>
      <x:c r="L2390" s="80" t="n">
        <x:f>MAX(0,K2390*'Inputs'!$E$50)</x:f>
        <x:v>0</x:v>
      </x:c>
      <x:c r="M2390" s="80" t="n">
        <x:f>MAX(0,-K2390*'Inputs'!$E$50)</x:f>
        <x:v>0</x:v>
      </x:c>
      <x:c r="N2390" s="78" t="n">
        <x:f>H2390*(L2390*(1-'Inputs'!$B$15))/(I2390+L2390*(1-'Inputs'!$B$15))</x:f>
        <x:v>0</x:v>
      </x:c>
      <x:c r="O2390" s="78" t="n">
        <x:f>H2390-N2390</x:f>
        <x:v>93154200.4452795</x:v>
      </x:c>
      <x:c r="P2390" s="78" t="n">
        <x:f>I2390+L2390*(1-'Inputs'!$B$17)</x:f>
        <x:v>311.8023909090722</x:v>
      </x:c>
      <x:c r="Q2390" s="78" t="n">
        <x:f>IF(J2390&gt;0,M2390/J2390,0)</x:f>
        <x:v>0</x:v>
      </x:c>
      <x:c r="R2390" s="78" t="n">
        <x:f>IF(B2390='Inputs'!$H$50,'Inputs'!$B$27*'Inputs'!$I$50,0)</x:f>
        <x:v>0</x:v>
      </x:c>
      <x:c r="S2390" s="78" t="n">
        <x:f>Q2390+G2390+R2390</x:f>
        <x:v>468039.2662788526</x:v>
      </x:c>
      <x:c r="T2390" s="78" t="n">
        <x:f>P2390*(S2390*(1-'Inputs'!$B$15))/(O2390+S2390*(1-'Inputs'!$B$15))</x:f>
        <x:v>1.5432618164107872</x:v>
      </x:c>
      <x:c r="U2390" s="78" t="n">
        <x:f>O2390+S2390*(1-'Inputs'!$B$17)</x:f>
        <x:v>93620356.25374636</x:v>
      </x:c>
      <x:c r="V2390" s="78" t="n">
        <x:f>P2390-T2390</x:f>
        <x:v>310.2591290926614</x:v>
      </x:c>
      <x:c r="W2390" s="79" t="n">
        <x:f>IF(U2390&gt;0,V2390/U2390,0)</x:f>
        <x:v>0.000003314013549059165</x:v>
      </x:c>
      <x:c r="X2390" s="80" t="n">
        <x:f>W2390*('Inputs'!$B$6-AC2390)</x:f>
        <x:v>3190.347644044109</x:v>
      </x:c>
      <x:c r="Y2390" s="80" t="n">
        <x:f>2*V2390</x:f>
        <x:v>620.5182581853228</x:v>
      </x:c>
      <x:c r="Z2390" s="80" t="n">
        <x:f>K2390*'Inputs'!$B$16+(G2390+R2390)*J2390*'Inputs'!$B$16</x:f>
        <x:v>3.751028316147503</x:v>
      </x:c>
      <x:c r="AA2390" s="80" t="n">
        <x:f>K2390*(1+'Inputs'!$E$50)/2*'Inputs'!$B$17</x:f>
        <x:v>1.2547379915858037</x:v>
      </x:c>
      <x:c r="AB2390" s="78" t="n">
        <x:f>(IF(J2390&gt;0,K2390*(1-'Inputs'!$E$50)/2/J2390,0)+G2390+R2390)*'Inputs'!$B$17</x:f>
        <x:v>376749.45557971165</x:v>
      </x:c>
      <x:c r="AC2390" s="78" t="n">
        <x:f>AC2389+AB2390</x:f>
        <x:v>37316052.9323015</x:v>
      </x:c>
      <x:c r="AD2390" s="80" t="n">
        <x:f>Z2390/(1+'Inputs'!$C$50)</x:f>
        <x:v>1.8755141580737515</x:v>
      </x:c>
      <x:c r="AE2390" s="80" t="n">
        <x:f>Z2390-AD2390</x:f>
        <x:v>1.8755141580737515</x:v>
      </x:c>
      <x:c r="AF2390" s="80" t="n">
        <x:f>D2390*W2390</x:f>
        <x:v>0.9204946260952789</x:v>
      </x:c>
      <x:c r="AG2390" s="80" t="n">
        <x:f>C2390*W2390</x:f>
        <x:v>2.147820794222334</x:v>
      </x:c>
      <x:c r="AH2390" s="80" t="n">
        <x:f>2*'Inputs'!$B$8*'Inputs'!$C$50</x:f>
        <x:v>5000</x:v>
      </x:c>
      <x:c r="AI2390" s="81" t="n">
        <x:f>IF(AH2390&gt;0,(AE2390+AF2390)/AH2390*365,0)</x:f>
        <x:v>0.20410864124433922</x:v>
      </x:c>
      <x:c r="AJ2390" s="81" t="n">
        <x:f>IF('Inputs'!$B$50&gt;0,AG2390/('Inputs'!$B$19*'Inputs'!$B$50)*365,0)</x:f>
        <x:v>0.0783954589891152</x:v>
      </x:c>
      <x:c r="AK2390" s="81" t="n">
        <x:f>W2390/MAX($W$2194:W2390)-1</x:f>
        <x:v>-0.9960677828779623</x:v>
      </x:c>
      <x:c r="AL2390" s="83" t="n">
        <x:f>'Inputs'!$B$50</x:f>
        <x:v>1</x:v>
      </x:c>
      <x:c r="AM2390" s="83" t="n">
        <x:f>'Inputs'!$C$50</x:f>
        <x:v>1</x:v>
      </x:c>
      <x:c r="AN2390" s="83" t="n">
        <x:f>'Inputs'!$D$50</x:f>
        <x:v>1</x:v>
      </x:c>
      <x:c r="AO2390" s="81" t="n">
        <x:f>'Inputs'!$E$50</x:f>
        <x:v>0</x:v>
      </x:c>
    </x:row>
    <x:row r="2391">
      <x:c r="A2391" s="59" t="str">
        <x:v>Whale exit</x:v>
      </x:c>
      <x:c r="B2391" s="59" t="n">
        <x:v>198</x:v>
      </x:c>
      <x:c r="C2391" s="78" t="n">
        <x:f>(('Inputs'!$B$29*(3*198*'Inputs'!$B$12-198^2)/(2*'Inputs'!$B$12^2))-('Inputs'!$B$29*(3*197*'Inputs'!$B$12-197^2)/(2*'Inputs'!$B$12^2)))*'Inputs'!$B$50</x:f>
        <x:v>647777.4910865128</x:v>
      </x:c>
      <x:c r="D2391" s="78" t="n">
        <x:f>IF('Inputs'!$C$50&gt;0,('Inputs'!$B$30*(3*198*'Inputs'!$B$12-198^2)/(2*'Inputs'!$B$12^2))-('Inputs'!$B$30*(3*197*'Inputs'!$B$12-197^2)/(2*'Inputs'!$B$12^2)),0)</x:f>
        <x:v>277618.92475135624</x:v>
      </x:c>
      <x:c r="E2391" s="78" t="n">
        <x:f>C2391+D2391</x:f>
        <x:v>925396.415837869</x:v>
      </x:c>
      <x:c r="F2391" s="78" t="n">
        <x:f>'Inputs'!$B$13*E2391+(1-'Inputs'!$B$13)/'Inputs'!$B$14*SUM(E2336:E2391)</x:f>
        <x:v>935614.0927003194</x:v>
      </x:c>
      <x:c r="G2391" s="78" t="n">
        <x:f>F2391*'Inputs'!$F$50</x:f>
        <x:v>467807.0463501597</x:v>
      </x:c>
      <x:c r="H2391" s="78" t="n">
        <x:f>U2390</x:f>
        <x:v>93620356.25374636</x:v>
      </x:c>
      <x:c r="I2391" s="78" t="n">
        <x:f>V2390</x:f>
        <x:v>310.2591290926614</x:v>
      </x:c>
      <x:c r="J2391" s="79" t="n">
        <x:f>IF(H2391&gt;0,I2391/H2391,0)</x:f>
        <x:v>0.000003314013549059165</x:v>
      </x:c>
      <x:c r="K2391" s="80" t="n">
        <x:f>(H2391*J2391+I2391)*'Inputs'!$D$50*(1+'Inputs'!$G$50)^(B2391/30)</x:f>
        <x:v>620.5182581853228</x:v>
      </x:c>
      <x:c r="L2391" s="80" t="n">
        <x:f>MAX(0,K2391*'Inputs'!$E$50)</x:f>
        <x:v>0</x:v>
      </x:c>
      <x:c r="M2391" s="80" t="n">
        <x:f>MAX(0,-K2391*'Inputs'!$E$50)</x:f>
        <x:v>0</x:v>
      </x:c>
      <x:c r="N2391" s="78" t="n">
        <x:f>H2391*(L2391*(1-'Inputs'!$B$15))/(I2391+L2391*(1-'Inputs'!$B$15))</x:f>
        <x:v>0</x:v>
      </x:c>
      <x:c r="O2391" s="78" t="n">
        <x:f>H2391-N2391</x:f>
        <x:v>93620356.25374636</x:v>
      </x:c>
      <x:c r="P2391" s="78" t="n">
        <x:f>I2391+L2391*(1-'Inputs'!$B$17)</x:f>
        <x:v>310.2591290926614</x:v>
      </x:c>
      <x:c r="Q2391" s="78" t="n">
        <x:f>IF(J2391&gt;0,M2391/J2391,0)</x:f>
        <x:v>0</x:v>
      </x:c>
      <x:c r="R2391" s="78" t="n">
        <x:f>IF(B2391='Inputs'!$H$50,'Inputs'!$B$27*'Inputs'!$I$50,0)</x:f>
        <x:v>0</x:v>
      </x:c>
      <x:c r="S2391" s="78" t="n">
        <x:f>Q2391+G2391+R2391</x:f>
        <x:v>467807.0463501597</x:v>
      </x:c>
      <x:c r="T2391" s="78" t="n">
        <x:f>P2391*(S2391*(1-'Inputs'!$B$15))/(O2391+S2391*(1-'Inputs'!$B$15))</x:f>
        <x:v>1.5272605214981274</x:v>
      </x:c>
      <x:c r="U2391" s="78" t="n">
        <x:f>O2391+S2391*(1-'Inputs'!$B$17)</x:f>
        <x:v>94086280.77677117</x:v>
      </x:c>
      <x:c r="V2391" s="78" t="n">
        <x:f>P2391-T2391</x:f>
        <x:v>308.73186857116326</x:v>
      </x:c>
      <x:c r="W2391" s="79" t="n">
        <x:f>IF(U2391&gt;0,V2391/U2391,0)</x:f>
        <x:v>0.000003281369674965254</x:v>
      </x:c>
      <x:c r="X2391" s="80" t="n">
        <x:f>W2391*('Inputs'!$B$6-AC2391)</x:f>
        <x:v>3157.679503860759</x:v>
      </x:c>
      <x:c r="Y2391" s="80" t="n">
        <x:f>2*V2391</x:f>
        <x:v>617.4637371423265</x:v>
      </x:c>
      <x:c r="Z2391" s="80" t="n">
        <x:f>K2391*'Inputs'!$B$16+(G2391+R2391)*J2391*'Inputs'!$B$16</x:f>
        <x:v>3.7324114624516356</x:v>
      </x:c>
      <x:c r="AA2391" s="80" t="n">
        <x:f>K2391*(1+'Inputs'!$E$50)/2*'Inputs'!$B$17</x:f>
        <x:v>1.2485276824654383</x:v>
      </x:c>
      <x:c r="AB2391" s="78" t="n">
        <x:f>(IF(J2391&gt;0,K2391*(1-'Inputs'!$E$50)/2/J2391,0)+G2391+R2391)*'Inputs'!$B$17</x:f>
        <x:v>378624.39959797397</x:v>
      </x:c>
      <x:c r="AC2391" s="78" t="n">
        <x:f>AC2390+AB2391</x:f>
        <x:v>37694677.33189947</x:v>
      </x:c>
      <x:c r="AD2391" s="80" t="n">
        <x:f>Z2391/(1+'Inputs'!$C$50)</x:f>
        <x:v>1.8662057312258178</x:v>
      </x:c>
      <x:c r="AE2391" s="80" t="n">
        <x:f>Z2391-AD2391</x:f>
        <x:v>1.8662057312258178</x:v>
      </x:c>
      <x:c r="AF2391" s="80" t="n">
        <x:f>D2391*W2391</x:f>
        <x:v>0.9109703208755612</x:v>
      </x:c>
      <x:c r="AG2391" s="80" t="n">
        <x:f>C2391*W2391</x:f>
        <x:v>2.125597415376358</x:v>
      </x:c>
      <x:c r="AH2391" s="80" t="n">
        <x:f>2*'Inputs'!$B$8*'Inputs'!$C$50</x:f>
        <x:v>5000</x:v>
      </x:c>
      <x:c r="AI2391" s="81" t="n">
        <x:f>IF(AH2391&gt;0,(AE2391+AF2391)/AH2391*365,0)</x:f>
        <x:v>0.20273385180340067</x:v>
      </x:c>
      <x:c r="AJ2391" s="81" t="n">
        <x:f>IF('Inputs'!$B$50&gt;0,AG2391/('Inputs'!$B$19*'Inputs'!$B$50)*365,0)</x:f>
        <x:v>0.07758430566123707</x:v>
      </x:c>
      <x:c r="AK2391" s="81" t="n">
        <x:f>W2391/MAX($W$2194:W2391)-1</x:f>
        <x:v>-0.9961065162140641</x:v>
      </x:c>
      <x:c r="AL2391" s="83" t="n">
        <x:f>'Inputs'!$B$50</x:f>
        <x:v>1</x:v>
      </x:c>
      <x:c r="AM2391" s="83" t="n">
        <x:f>'Inputs'!$C$50</x:f>
        <x:v>1</x:v>
      </x:c>
      <x:c r="AN2391" s="83" t="n">
        <x:f>'Inputs'!$D$50</x:f>
        <x:v>1</x:v>
      </x:c>
      <x:c r="AO2391" s="81" t="n">
        <x:f>'Inputs'!$E$50</x:f>
        <x:v>0</x:v>
      </x:c>
    </x:row>
    <x:row r="2392">
      <x:c r="A2392" s="59" t="str">
        <x:v>Whale exit</x:v>
      </x:c>
      <x:c r="B2392" s="59" t="n">
        <x:v>199</x:v>
      </x:c>
      <x:c r="C2392" s="78" t="n">
        <x:f>(('Inputs'!$B$29*(3*199*'Inputs'!$B$12-199^2)/(2*'Inputs'!$B$12^2))-('Inputs'!$B$29*(3*198*'Inputs'!$B$12-198^2)/(2*'Inputs'!$B$12^2)))*'Inputs'!$B$50</x:f>
        <x:v>647452.3831863403</x:v>
      </x:c>
      <x:c r="D2392" s="78" t="n">
        <x:f>IF('Inputs'!$C$50&gt;0,('Inputs'!$B$30*(3*199*'Inputs'!$B$12-199^2)/(2*'Inputs'!$B$12^2))-('Inputs'!$B$30*(3*198*'Inputs'!$B$12-198^2)/(2*'Inputs'!$B$12^2)),0)</x:f>
        <x:v>277479.5927941501</x:v>
      </x:c>
      <x:c r="E2392" s="78" t="n">
        <x:f>C2392+D2392</x:f>
        <x:v>924931.9759804904</x:v>
      </x:c>
      <x:c r="F2392" s="78" t="n">
        <x:f>'Inputs'!$B$13*E2392+(1-'Inputs'!$B$13)/'Inputs'!$B$14*SUM(E2337:E2392)</x:f>
        <x:v>935149.6528429365</x:v>
      </x:c>
      <x:c r="G2392" s="78" t="n">
        <x:f>F2392*'Inputs'!$F$50</x:f>
        <x:v>467574.8264214682</x:v>
      </x:c>
      <x:c r="H2392" s="78" t="n">
        <x:f>U2391</x:f>
        <x:v>94086280.77677117</x:v>
      </x:c>
      <x:c r="I2392" s="78" t="n">
        <x:f>V2391</x:f>
        <x:v>308.73186857116326</x:v>
      </x:c>
      <x:c r="J2392" s="79" t="n">
        <x:f>IF(H2392&gt;0,I2392/H2392,0)</x:f>
        <x:v>0.000003281369674965254</x:v>
      </x:c>
      <x:c r="K2392" s="80" t="n">
        <x:f>(H2392*J2392+I2392)*'Inputs'!$D$50*(1+'Inputs'!$G$50)^(B2392/30)</x:f>
        <x:v>617.4637371423265</x:v>
      </x:c>
      <x:c r="L2392" s="80" t="n">
        <x:f>MAX(0,K2392*'Inputs'!$E$50)</x:f>
        <x:v>0</x:v>
      </x:c>
      <x:c r="M2392" s="80" t="n">
        <x:f>MAX(0,-K2392*'Inputs'!$E$50)</x:f>
        <x:v>0</x:v>
      </x:c>
      <x:c r="N2392" s="78" t="n">
        <x:f>H2392*(L2392*(1-'Inputs'!$B$15))/(I2392+L2392*(1-'Inputs'!$B$15))</x:f>
        <x:v>0</x:v>
      </x:c>
      <x:c r="O2392" s="78" t="n">
        <x:f>H2392-N2392</x:f>
        <x:v>94086280.77677117</x:v>
      </x:c>
      <x:c r="P2392" s="78" t="n">
        <x:f>I2392+L2392*(1-'Inputs'!$B$17)</x:f>
        <x:v>308.73186857116326</x:v>
      </x:c>
      <x:c r="Q2392" s="78" t="n">
        <x:f>IF(J2392&gt;0,M2392/J2392,0)</x:f>
        <x:v>0</x:v>
      </x:c>
      <x:c r="R2392" s="78" t="n">
        <x:f>IF(B2392='Inputs'!$H$50,'Inputs'!$B$27*'Inputs'!$I$50,0)</x:f>
        <x:v>0</x:v>
      </x:c>
      <x:c r="S2392" s="78" t="n">
        <x:f>Q2392+G2392+R2392</x:f>
        <x:v>467574.8264214682</x:v>
      </x:c>
      <x:c r="T2392" s="78" t="n">
        <x:f>P2392*(S2392*(1-'Inputs'!$B$15))/(O2392+S2392*(1-'Inputs'!$B$15))</x:f>
        <x:v>1.5115064729131913</x:v>
      </x:c>
      <x:c r="U2392" s="78" t="n">
        <x:f>O2392+S2392*(1-'Inputs'!$B$17)</x:f>
        <x:v>94551974.01435392</x:v>
      </x:c>
      <x:c r="V2392" s="78" t="n">
        <x:f>P2392-T2392</x:f>
        <x:v>307.22036209825006</x:v>
      </x:c>
      <x:c r="W2392" s="79" t="n">
        <x:f>IF(U2392&gt;0,V2392/U2392,0)</x:f>
        <x:v>0.0000032492220844761107</x:v>
      </x:c>
      <x:c r="X2392" s="80" t="n">
        <x:f>W2392*('Inputs'!$B$6-AC2392)</x:f>
        <x:v>3125.5073825758313</x:v>
      </x:c>
      <x:c r="Y2392" s="80" t="n">
        <x:f>2*V2392</x:f>
        <x:v>614.4407241965001</x:v>
      </x:c>
      <x:c r="Z2392" s="80" t="n">
        <x:f>K2392*'Inputs'!$B$16+(G2392+R2392)*J2392*'Inputs'!$B$16</x:f>
        <x:v>3.7139881379911386</x:v>
      </x:c>
      <x:c r="AA2392" s="80" t="n">
        <x:f>K2392*(1+'Inputs'!$E$50)/2*'Inputs'!$B$17</x:f>
        <x:v>1.2423817648738966</x:v>
      </x:c>
      <x:c r="AB2392" s="78" t="n">
        <x:f>(IF(J2392&gt;0,K2392*(1-'Inputs'!$E$50)/2/J2392,0)+G2392+R2392)*'Inputs'!$B$17</x:f>
        <x:v>380498.41289011127</x:v>
      </x:c>
      <x:c r="AC2392" s="78" t="n">
        <x:f>AC2391+AB2392</x:f>
        <x:v>38075175.744789585</x:v>
      </x:c>
      <x:c r="AD2392" s="80" t="n">
        <x:f>Z2392/(1+'Inputs'!$C$50)</x:f>
        <x:v>1.8569940689955693</x:v>
      </x:c>
      <x:c r="AE2392" s="80" t="n">
        <x:f>Z2392-AD2392</x:f>
        <x:v>1.8569940689955693</x:v>
      </x:c>
      <x:c r="AF2392" s="80" t="n">
        <x:f>D2392*W2392</x:f>
        <x:v>0.9015928208981908</x:v>
      </x:c>
      <x:c r="AG2392" s="80" t="n">
        <x:f>C2392*W2392</x:f>
        <x:v>2.103716582095746</x:v>
      </x:c>
      <x:c r="AH2392" s="80" t="n">
        <x:f>2*'Inputs'!$B$8*'Inputs'!$C$50</x:f>
        <x:v>5000</x:v>
      </x:c>
      <x:c r="AI2392" s="81" t="n">
        <x:f>IF(AH2392&gt;0,(AE2392+AF2392)/AH2392*365,0)</x:f>
        <x:v>0.20137684296224448</x:v>
      </x:c>
      <x:c r="AJ2392" s="81" t="n">
        <x:f>IF('Inputs'!$B$50&gt;0,AG2392/('Inputs'!$B$19*'Inputs'!$B$50)*365,0)</x:f>
        <x:v>0.07678565524649474</x:v>
      </x:c>
      <x:c r="AK2392" s="81" t="n">
        <x:f>W2392/MAX($W$2194:W2392)-1</x:f>
        <x:v>-0.9961446606886966</x:v>
      </x:c>
      <x:c r="AL2392" s="83" t="n">
        <x:f>'Inputs'!$B$50</x:f>
        <x:v>1</x:v>
      </x:c>
      <x:c r="AM2392" s="83" t="n">
        <x:f>'Inputs'!$C$50</x:f>
        <x:v>1</x:v>
      </x:c>
      <x:c r="AN2392" s="83" t="n">
        <x:f>'Inputs'!$D$50</x:f>
        <x:v>1</x:v>
      </x:c>
      <x:c r="AO2392" s="81" t="n">
        <x:f>'Inputs'!$E$50</x:f>
        <x:v>0</x:v>
      </x:c>
    </x:row>
    <x:row r="2393">
      <x:c r="A2393" s="59" t="str">
        <x:v>Whale exit</x:v>
      </x:c>
      <x:c r="B2393" s="59" t="n">
        <x:v>200</x:v>
      </x:c>
      <x:c r="C2393" s="78" t="n">
        <x:f>(('Inputs'!$B$29*(3*200*'Inputs'!$B$12-200^2)/(2*'Inputs'!$B$12^2))-('Inputs'!$B$29*(3*199*'Inputs'!$B$12-199^2)/(2*'Inputs'!$B$12^2)))*'Inputs'!$B$50</x:f>
        <x:v>647127.2752861679</x:v>
      </x:c>
      <x:c r="D2393" s="78" t="n">
        <x:f>IF('Inputs'!$C$50&gt;0,('Inputs'!$B$30*(3*200*'Inputs'!$B$12-200^2)/(2*'Inputs'!$B$12^2))-('Inputs'!$B$30*(3*199*'Inputs'!$B$12-199^2)/(2*'Inputs'!$B$12^2)),0)</x:f>
        <x:v>277340.2608369291</x:v>
      </x:c>
      <x:c r="E2393" s="78" t="n">
        <x:f>C2393+D2393</x:f>
        <x:v>924467.536123097</x:v>
      </x:c>
      <x:c r="F2393" s="78" t="n">
        <x:f>'Inputs'!$B$13*E2393+(1-'Inputs'!$B$13)/'Inputs'!$B$14*SUM(E2338:E2393)</x:f>
        <x:v>934685.2129855503</x:v>
      </x:c>
      <x:c r="G2393" s="78" t="n">
        <x:f>F2393*'Inputs'!$F$50</x:f>
        <x:v>467342.60649277514</x:v>
      </x:c>
      <x:c r="H2393" s="78" t="n">
        <x:f>U2392</x:f>
        <x:v>94551974.01435392</x:v>
      </x:c>
      <x:c r="I2393" s="78" t="n">
        <x:f>V2392</x:f>
        <x:v>307.22036209825006</x:v>
      </x:c>
      <x:c r="J2393" s="79" t="n">
        <x:f>IF(H2393&gt;0,I2393/H2393,0)</x:f>
        <x:v>0.0000032492220844761107</x:v>
      </x:c>
      <x:c r="K2393" s="80" t="n">
        <x:f>(H2393*J2393+I2393)*'Inputs'!$D$50*(1+'Inputs'!$G$50)^(B2393/30)</x:f>
        <x:v>614.4407241965001</x:v>
      </x:c>
      <x:c r="L2393" s="80" t="n">
        <x:f>MAX(0,K2393*'Inputs'!$E$50)</x:f>
        <x:v>0</x:v>
      </x:c>
      <x:c r="M2393" s="80" t="n">
        <x:f>MAX(0,-K2393*'Inputs'!$E$50)</x:f>
        <x:v>0</x:v>
      </x:c>
      <x:c r="N2393" s="78" t="n">
        <x:f>H2393*(L2393*(1-'Inputs'!$B$15))/(I2393+L2393*(1-'Inputs'!$B$15))</x:f>
        <x:v>0</x:v>
      </x:c>
      <x:c r="O2393" s="78" t="n">
        <x:f>H2393-N2393</x:f>
        <x:v>94551974.01435392</x:v>
      </x:c>
      <x:c r="P2393" s="78" t="n">
        <x:f>I2393+L2393*(1-'Inputs'!$B$17)</x:f>
        <x:v>307.22036209825006</x:v>
      </x:c>
      <x:c r="Q2393" s="78" t="n">
        <x:f>IF(J2393&gt;0,M2393/J2393,0)</x:f>
        <x:v>0</x:v>
      </x:c>
      <x:c r="R2393" s="78" t="n">
        <x:f>IF(B2393='Inputs'!$H$50,'Inputs'!$B$27*'Inputs'!$I$50,0)</x:f>
        <x:v>0</x:v>
      </x:c>
      <x:c r="S2393" s="78" t="n">
        <x:f>Q2393+G2393+R2393</x:f>
        <x:v>467342.60649277514</x:v>
      </x:c>
      <x:c r="T2393" s="78" t="n">
        <x:f>P2393*(S2393*(1-'Inputs'!$B$15))/(O2393+S2393*(1-'Inputs'!$B$15))</x:f>
        <x:v>1.4959946000255075</x:v>
      </x:c>
      <x:c r="U2393" s="78" t="n">
        <x:f>O2393+S2393*(1-'Inputs'!$B$17)</x:f>
        <x:v>95017435.9664946</x:v>
      </x:c>
      <x:c r="V2393" s="78" t="n">
        <x:f>P2393-T2393</x:f>
        <x:v>305.7243674982246</x:v>
      </x:c>
      <x:c r="W2393" s="79" t="n">
        <x:f>IF(U2393&gt;0,V2393/U2393,0)</x:f>
        <x:v>0.0000032175606970285983</x:v>
      </x:c>
      <x:c r="X2393" s="80" t="n">
        <x:f>W2393*('Inputs'!$B$6-AC2393)</x:f>
        <x:v>3093.821204524263</x:v>
      </x:c>
      <x:c r="Y2393" s="80" t="n">
        <x:f>2*V2393</x:f>
        <x:v>611.4487349964492</x:v>
      </x:c>
      <x:c r="Z2393" s="80" t="n">
        <x:f>K2393*'Inputs'!$B$16+(G2393+R2393)*J2393*'Inputs'!$B$16</x:f>
        <x:v>3.6957553446871985</x:v>
      </x:c>
      <x:c r="AA2393" s="80" t="n">
        <x:f>K2393*(1+'Inputs'!$E$50)/2*'Inputs'!$B$17</x:f>
        <x:v>1.236299243856137</x:v>
      </x:c>
      <x:c r="AB2393" s="78" t="n">
        <x:f>(IF(J2393&gt;0,K2393*(1-'Inputs'!$E$50)/2/J2393,0)+G2393+R2393)*'Inputs'!$B$17</x:f>
        <x:v>382371.49545612355</x:v>
      </x:c>
      <x:c r="AC2393" s="78" t="n">
        <x:f>AC2392+AB2393</x:f>
        <x:v>38457547.24024571</x:v>
      </x:c>
      <x:c r="AD2393" s="80" t="n">
        <x:f>Z2393/(1+'Inputs'!$C$50)</x:f>
        <x:v>1.8478776723435992</x:v>
      </x:c>
      <x:c r="AE2393" s="80" t="n">
        <x:f>Z2393-AD2393</x:f>
        <x:v>1.8478776723435992</x:v>
      </x:c>
      <x:c r="AF2393" s="80" t="n">
        <x:f>D2393*W2393</x:f>
        <x:v>0.8923591229725628</x:v>
      </x:c>
      <x:c r="AG2393" s="80" t="n">
        <x:f>C2393*W2393</x:f>
        <x:v>2.08217128693598</x:v>
      </x:c>
      <x:c r="AH2393" s="80" t="n">
        <x:f>2*'Inputs'!$B$8*'Inputs'!$C$50</x:f>
        <x:v>5000</x:v>
      </x:c>
      <x:c r="AI2393" s="81" t="n">
        <x:f>IF(AH2393&gt;0,(AE2393+AF2393)/AH2393*365,0)</x:f>
        <x:v>0.20003728605807986</x:v>
      </x:c>
      <x:c r="AJ2393" s="81" t="n">
        <x:f>IF('Inputs'!$B$50&gt;0,AG2393/('Inputs'!$B$19*'Inputs'!$B$50)*365,0)</x:f>
        <x:v>0.07599925197316328</x:v>
      </x:c>
      <x:c r="AK2393" s="81" t="n">
        <x:f>W2393/MAX($W$2194:W2393)-1</x:f>
        <x:v>-0.9961822282628738</x:v>
      </x:c>
      <x:c r="AL2393" s="83" t="n">
        <x:f>'Inputs'!$B$50</x:f>
        <x:v>1</x:v>
      </x:c>
      <x:c r="AM2393" s="83" t="n">
        <x:f>'Inputs'!$C$50</x:f>
        <x:v>1</x:v>
      </x:c>
      <x:c r="AN2393" s="83" t="n">
        <x:f>'Inputs'!$D$50</x:f>
        <x:v>1</x:v>
      </x:c>
      <x:c r="AO2393" s="81" t="n">
        <x:f>'Inputs'!$E$50</x:f>
        <x:v>0</x:v>
      </x:c>
    </x:row>
    <x:row r="2394">
      <x:c r="A2394" s="59" t="str">
        <x:v>Whale exit</x:v>
      </x:c>
      <x:c r="B2394" s="59" t="n">
        <x:v>201</x:v>
      </x:c>
      <x:c r="C2394" s="78" t="n">
        <x:f>(('Inputs'!$B$29*(3*201*'Inputs'!$B$12-201^2)/(2*'Inputs'!$B$12^2))-('Inputs'!$B$29*(3*200*'Inputs'!$B$12-200^2)/(2*'Inputs'!$B$12^2)))*'Inputs'!$B$50</x:f>
        <x:v>646802.1673859954</x:v>
      </x:c>
      <x:c r="D2394" s="78" t="n">
        <x:f>IF('Inputs'!$C$50&gt;0,('Inputs'!$B$30*(3*201*'Inputs'!$B$12-201^2)/(2*'Inputs'!$B$12^2))-('Inputs'!$B$30*(3*200*'Inputs'!$B$12-200^2)/(2*'Inputs'!$B$12^2)),0)</x:f>
        <x:v>277200.9288797155</x:v>
      </x:c>
      <x:c r="E2394" s="78" t="n">
        <x:f>C2394+D2394</x:f>
        <x:v>924003.0962657109</x:v>
      </x:c>
      <x:c r="F2394" s="78" t="n">
        <x:f>'Inputs'!$B$13*E2394+(1-'Inputs'!$B$13)/'Inputs'!$B$14*SUM(E2339:E2394)</x:f>
        <x:v>934220.7731281656</x:v>
      </x:c>
      <x:c r="G2394" s="78" t="n">
        <x:f>F2394*'Inputs'!$F$50</x:f>
        <x:v>467110.3865640828</x:v>
      </x:c>
      <x:c r="H2394" s="78" t="n">
        <x:f>U2393</x:f>
        <x:v>95017435.9664946</x:v>
      </x:c>
      <x:c r="I2394" s="78" t="n">
        <x:f>V2393</x:f>
        <x:v>305.7243674982246</x:v>
      </x:c>
      <x:c r="J2394" s="79" t="n">
        <x:f>IF(H2394&gt;0,I2394/H2394,0)</x:f>
        <x:v>0.0000032175606970285983</x:v>
      </x:c>
      <x:c r="K2394" s="80" t="n">
        <x:f>(H2394*J2394+I2394)*'Inputs'!$D$50*(1+'Inputs'!$G$50)^(B2394/30)</x:f>
        <x:v>611.4487349964492</x:v>
      </x:c>
      <x:c r="L2394" s="80" t="n">
        <x:f>MAX(0,K2394*'Inputs'!$E$50)</x:f>
        <x:v>0</x:v>
      </x:c>
      <x:c r="M2394" s="80" t="n">
        <x:f>MAX(0,-K2394*'Inputs'!$E$50)</x:f>
        <x:v>0</x:v>
      </x:c>
      <x:c r="N2394" s="78" t="n">
        <x:f>H2394*(L2394*(1-'Inputs'!$B$15))/(I2394+L2394*(1-'Inputs'!$B$15))</x:f>
        <x:v>0</x:v>
      </x:c>
      <x:c r="O2394" s="78" t="n">
        <x:f>H2394-N2394</x:f>
        <x:v>95017435.9664946</x:v>
      </x:c>
      <x:c r="P2394" s="78" t="n">
        <x:f>I2394+L2394*(1-'Inputs'!$B$17)</x:f>
        <x:v>305.7243674982246</x:v>
      </x:c>
      <x:c r="Q2394" s="78" t="n">
        <x:f>IF(J2394&gt;0,M2394/J2394,0)</x:f>
        <x:v>0</x:v>
      </x:c>
      <x:c r="R2394" s="78" t="n">
        <x:f>IF(B2394='Inputs'!$H$50,'Inputs'!$B$27*'Inputs'!$I$50,0)</x:f>
        <x:v>0</x:v>
      </x:c>
      <x:c r="S2394" s="78" t="n">
        <x:f>Q2394+G2394+R2394</x:f>
        <x:v>467110.3865640828</x:v>
      </x:c>
      <x:c r="T2394" s="78" t="n">
        <x:f>P2394*(S2394*(1-'Inputs'!$B$15))/(O2394+S2394*(1-'Inputs'!$B$15))</x:f>
        <x:v>1.4807199615660236</x:v>
      </x:c>
      <x:c r="U2394" s="78" t="n">
        <x:f>O2394+S2394*(1-'Inputs'!$B$17)</x:f>
        <x:v>95482666.63319324</x:v>
      </x:c>
      <x:c r="V2394" s="78" t="n">
        <x:f>P2394-T2394</x:f>
        <x:v>304.24364753665856</x:v>
      </x:c>
      <x:c r="W2394" s="79" t="n">
        <x:f>IF(U2394&gt;0,V2394/U2394,0)</x:f>
        <x:v>0.0000031863756874893607</x:v>
      </x:c>
      <x:c r="X2394" s="80" t="n">
        <x:f>W2394*('Inputs'!$B$6-AC2394)</x:f>
        <x:v>3062.611149346752</x:v>
      </x:c>
      <x:c r="Y2394" s="80" t="n">
        <x:f>2*V2394</x:f>
        <x:v>608.4872950733171</x:v>
      </x:c>
      <x:c r="Z2394" s="80" t="n">
        <x:f>K2394*'Inputs'!$B$16+(G2394+R2394)*J2394*'Inputs'!$B$16</x:f>
        <x:v>3.6777101461045896</x:v>
      </x:c>
      <x:c r="AA2394" s="80" t="n">
        <x:f>K2394*(1+'Inputs'!$E$50)/2*'Inputs'!$B$17</x:f>
        <x:v>1.230279144862071</x:v>
      </x:c>
      <x:c r="AB2394" s="78" t="n">
        <x:f>(IF(J2394&gt;0,K2394*(1-'Inputs'!$E$50)/2/J2394,0)+G2394+R2394)*'Inputs'!$B$17</x:f>
        <x:v>384243.6472960108</x:v>
      </x:c>
      <x:c r="AC2394" s="78" t="n">
        <x:f>AC2393+AB2394</x:f>
        <x:v>38841790.88754172</x:v>
      </x:c>
      <x:c r="AD2394" s="80" t="n">
        <x:f>Z2394/(1+'Inputs'!$C$50)</x:f>
        <x:v>1.8388550730522948</x:v>
      </x:c>
      <x:c r="AE2394" s="80" t="n">
        <x:f>Z2394-AD2394</x:f>
        <x:v>1.8388550730522948</x:v>
      </x:c>
      <x:c r="AF2394" s="80" t="n">
        <x:f>D2394*W2394</x:f>
        <x:v>0.8832663003317929</x:v>
      </x:c>
      <x:c r="AG2394" s="80" t="n">
        <x:f>C2394*W2394</x:f>
        <x:v>2.0609547007741598</x:v>
      </x:c>
      <x:c r="AH2394" s="80" t="n">
        <x:f>2*'Inputs'!$B$8*'Inputs'!$C$50</x:f>
        <x:v>5000</x:v>
      </x:c>
      <x:c r="AI2394" s="81" t="n">
        <x:f>IF(AH2394&gt;0,(AE2394+AF2394)/AH2394*365,0)</x:f>
        <x:v>0.19871486025703838</x:v>
      </x:c>
      <x:c r="AJ2394" s="81" t="n">
        <x:f>IF('Inputs'!$B$50&gt;0,AG2394/('Inputs'!$B$19*'Inputs'!$B$50)*365,0)</x:f>
        <x:v>0.07522484657825683</x:v>
      </x:c>
      <x:c r="AK2394" s="81" t="n">
        <x:f>W2394/MAX($W$2194:W2394)-1</x:f>
        <x:v>-0.9962192305945318</x:v>
      </x:c>
      <x:c r="AL2394" s="83" t="n">
        <x:f>'Inputs'!$B$50</x:f>
        <x:v>1</x:v>
      </x:c>
      <x:c r="AM2394" s="83" t="n">
        <x:f>'Inputs'!$C$50</x:f>
        <x:v>1</x:v>
      </x:c>
      <x:c r="AN2394" s="83" t="n">
        <x:f>'Inputs'!$D$50</x:f>
        <x:v>1</x:v>
      </x:c>
      <x:c r="AO2394" s="81" t="n">
        <x:f>'Inputs'!$E$50</x:f>
        <x:v>0</x:v>
      </x:c>
    </x:row>
    <x:row r="2395">
      <x:c r="A2395" s="59" t="str">
        <x:v>Whale exit</x:v>
      </x:c>
      <x:c r="B2395" s="59" t="n">
        <x:v>202</x:v>
      </x:c>
      <x:c r="C2395" s="78" t="n">
        <x:f>(('Inputs'!$B$29*(3*202*'Inputs'!$B$12-202^2)/(2*'Inputs'!$B$12^2))-('Inputs'!$B$29*(3*201*'Inputs'!$B$12-201^2)/(2*'Inputs'!$B$12^2)))*'Inputs'!$B$50</x:f>
        <x:v>646477.0594858229</x:v>
      </x:c>
      <x:c r="D2395" s="78" t="n">
        <x:f>IF('Inputs'!$C$50&gt;0,('Inputs'!$B$30*(3*202*'Inputs'!$B$12-202^2)/(2*'Inputs'!$B$12^2))-('Inputs'!$B$30*(3*201*'Inputs'!$B$12-201^2)/(2*'Inputs'!$B$12^2)),0)</x:f>
        <x:v>277061.5969224945</x:v>
      </x:c>
      <x:c r="E2395" s="78" t="n">
        <x:f>C2395+D2395</x:f>
        <x:v>923538.6564083174</x:v>
      </x:c>
      <x:c r="F2395" s="78" t="n">
        <x:f>'Inputs'!$B$13*E2395+(1-'Inputs'!$B$13)/'Inputs'!$B$14*SUM(E2340:E2395)</x:f>
        <x:v>933756.3332707796</x:v>
      </x:c>
      <x:c r="G2395" s="78" t="n">
        <x:f>F2395*'Inputs'!$F$50</x:f>
        <x:v>466878.1666353898</x:v>
      </x:c>
      <x:c r="H2395" s="78" t="n">
        <x:f>U2394</x:f>
        <x:v>95482666.63319324</x:v>
      </x:c>
      <x:c r="I2395" s="78" t="n">
        <x:f>V2394</x:f>
        <x:v>304.24364753665856</x:v>
      </x:c>
      <x:c r="J2395" s="79" t="n">
        <x:f>IF(H2395&gt;0,I2395/H2395,0)</x:f>
        <x:v>0.0000031863756874893607</x:v>
      </x:c>
      <x:c r="K2395" s="80" t="n">
        <x:f>(H2395*J2395+I2395)*'Inputs'!$D$50*(1+'Inputs'!$G$50)^(B2395/30)</x:f>
        <x:v>608.4872950733171</x:v>
      </x:c>
      <x:c r="L2395" s="80" t="n">
        <x:f>MAX(0,K2395*'Inputs'!$E$50)</x:f>
        <x:v>0</x:v>
      </x:c>
      <x:c r="M2395" s="80" t="n">
        <x:f>MAX(0,-K2395*'Inputs'!$E$50)</x:f>
        <x:v>0</x:v>
      </x:c>
      <x:c r="N2395" s="78" t="n">
        <x:f>H2395*(L2395*(1-'Inputs'!$B$15))/(I2395+L2395*(1-'Inputs'!$B$15))</x:f>
        <x:v>0</x:v>
      </x:c>
      <x:c r="O2395" s="78" t="n">
        <x:f>H2395-N2395</x:f>
        <x:v>95482666.63319324</x:v>
      </x:c>
      <x:c r="P2395" s="78" t="n">
        <x:f>I2395+L2395*(1-'Inputs'!$B$17)</x:f>
        <x:v>304.24364753665856</x:v>
      </x:c>
      <x:c r="Q2395" s="78" t="n">
        <x:f>IF(J2395&gt;0,M2395/J2395,0)</x:f>
        <x:v>0</x:v>
      </x:c>
      <x:c r="R2395" s="78" t="n">
        <x:f>IF(B2395='Inputs'!$H$50,'Inputs'!$B$27*'Inputs'!$I$50,0)</x:f>
        <x:v>0</x:v>
      </x:c>
      <x:c r="S2395" s="78" t="n">
        <x:f>Q2395+G2395+R2395</x:f>
        <x:v>466878.1666353898</x:v>
      </x:c>
      <x:c r="T2395" s="78" t="n">
        <x:f>P2395*(S2395*(1-'Inputs'!$B$15))/(O2395+S2395*(1-'Inputs'!$B$15))</x:f>
        <x:v>1.4656777416861224</x:v>
      </x:c>
      <x:c r="U2395" s="78" t="n">
        <x:f>O2395+S2395*(1-'Inputs'!$B$17)</x:f>
        <x:v>95947666.01444982</x:v>
      </x:c>
      <x:c r="V2395" s="78" t="n">
        <x:f>P2395-T2395</x:f>
        <x:v>302.7779697949724</x:v>
      </x:c>
      <x:c r="W2395" s="79" t="n">
        <x:f>IF(U2395&gt;0,V2395/U2395,0)</x:f>
        <x:v>0.000003155657478415095</x:v>
      </x:c>
      <x:c r="X2395" s="80" t="n">
        <x:f>W2395*('Inputs'!$B$6-AC2395)</x:f>
        <x:v>3031.867644253764</x:v>
      </x:c>
      <x:c r="Y2395" s="80" t="n">
        <x:f>2*V2395</x:f>
        <x:v>605.5559395899448</x:v>
      </x:c>
      <x:c r="Z2395" s="80" t="n">
        <x:f>K2395*'Inputs'!$B$16+(G2395+R2395)*J2395*'Inputs'!$B$16</x:f>
        <x:v>3.659849665875022</x:v>
      </x:c>
      <x:c r="AA2395" s="80" t="n">
        <x:f>K2395*(1+'Inputs'!$E$50)/2*'Inputs'!$B$17</x:f>
        <x:v>1.2243205132259902</x:v>
      </x:c>
      <x:c r="AB2395" s="78" t="n">
        <x:f>(IF(J2395&gt;0,K2395*(1-'Inputs'!$E$50)/2/J2395,0)+G2395+R2395)*'Inputs'!$B$17</x:f>
        <x:v>386114.8684097732</x:v>
      </x:c>
      <x:c r="AC2395" s="78" t="n">
        <x:f>AC2394+AB2395</x:f>
        <x:v>39227905.755951494</x:v>
      </x:c>
      <x:c r="AD2395" s="80" t="n">
        <x:f>Z2395/(1+'Inputs'!$C$50)</x:f>
        <x:v>1.829924832937511</x:v>
      </x:c>
      <x:c r="AE2395" s="80" t="n">
        <x:f>Z2395-AD2395</x:f>
        <x:v>1.829924832937511</x:v>
      </x:c>
      <x:c r="AF2395" s="80" t="n">
        <x:f>D2395*W2395</x:f>
        <x:v>0.8743115003100984</x:v>
      </x:c>
      <x:c r="AG2395" s="80" t="n">
        <x:f>C2395*W2395</x:f>
        <x:v>2.040060167390237</x:v>
      </x:c>
      <x:c r="AH2395" s="80" t="n">
        <x:f>2*'Inputs'!$B$8*'Inputs'!$C$50</x:f>
        <x:v>5000</x:v>
      </x:c>
      <x:c r="AI2395" s="81" t="n">
        <x:f>IF(AH2395&gt;0,(AE2395+AF2395)/AH2395*365,0)</x:f>
        <x:v>0.19740925232707549</x:v>
      </x:c>
      <x:c r="AJ2395" s="81" t="n">
        <x:f>IF('Inputs'!$B$50&gt;0,AG2395/('Inputs'!$B$19*'Inputs'!$B$50)*365,0)</x:f>
        <x:v>0.07446219610974365</x:v>
      </x:c>
      <x:c r="AK2395" s="81" t="n">
        <x:f>W2395/MAX($W$2194:W2395)-1</x:f>
        <x:v>-0.9962556790477115</x:v>
      </x:c>
      <x:c r="AL2395" s="83" t="n">
        <x:f>'Inputs'!$B$50</x:f>
        <x:v>1</x:v>
      </x:c>
      <x:c r="AM2395" s="83" t="n">
        <x:f>'Inputs'!$C$50</x:f>
        <x:v>1</x:v>
      </x:c>
      <x:c r="AN2395" s="83" t="n">
        <x:f>'Inputs'!$D$50</x:f>
        <x:v>1</x:v>
      </x:c>
      <x:c r="AO2395" s="81" t="n">
        <x:f>'Inputs'!$E$50</x:f>
        <x:v>0</x:v>
      </x:c>
    </x:row>
    <x:row r="2396">
      <x:c r="A2396" s="59" t="str">
        <x:v>Whale exit</x:v>
      </x:c>
      <x:c r="B2396" s="59" t="n">
        <x:v>203</x:v>
      </x:c>
      <x:c r="C2396" s="78" t="n">
        <x:f>(('Inputs'!$B$29*(3*203*'Inputs'!$B$12-203^2)/(2*'Inputs'!$B$12^2))-('Inputs'!$B$29*(3*202*'Inputs'!$B$12-202^2)/(2*'Inputs'!$B$12^2)))*'Inputs'!$B$50</x:f>
        <x:v>646151.9515856802</x:v>
      </x:c>
      <x:c r="D2396" s="78" t="n">
        <x:f>IF('Inputs'!$C$50&gt;0,('Inputs'!$B$30*(3*203*'Inputs'!$B$12-203^2)/(2*'Inputs'!$B$12^2))-('Inputs'!$B$30*(3*202*'Inputs'!$B$12-202^2)/(2*'Inputs'!$B$12^2)),0)</x:f>
        <x:v>276922.26496528834</x:v>
      </x:c>
      <x:c r="E2396" s="78" t="n">
        <x:f>C2396+D2396</x:f>
        <x:v>923074.2165509686</x:v>
      </x:c>
      <x:c r="F2396" s="78" t="n">
        <x:f>'Inputs'!$B$13*E2396+(1-'Inputs'!$B$13)/'Inputs'!$B$14*SUM(E2341:E2396)</x:f>
        <x:v>933291.8934134028</x:v>
      </x:c>
      <x:c r="G2396" s="78" t="n">
        <x:f>F2396*'Inputs'!$F$50</x:f>
        <x:v>466645.9467067014</x:v>
      </x:c>
      <x:c r="H2396" s="78" t="n">
        <x:f>U2395</x:f>
        <x:v>95947666.01444982</x:v>
      </x:c>
      <x:c r="I2396" s="78" t="n">
        <x:f>V2395</x:f>
        <x:v>302.7779697949724</x:v>
      </x:c>
      <x:c r="J2396" s="79" t="n">
        <x:f>IF(H2396&gt;0,I2396/H2396,0)</x:f>
        <x:v>0.000003155657478415095</x:v>
      </x:c>
      <x:c r="K2396" s="80" t="n">
        <x:f>(H2396*J2396+I2396)*'Inputs'!$D$50*(1+'Inputs'!$G$50)^(B2396/30)</x:f>
        <x:v>605.5559395899448</x:v>
      </x:c>
      <x:c r="L2396" s="80" t="n">
        <x:f>MAX(0,K2396*'Inputs'!$E$50)</x:f>
        <x:v>0</x:v>
      </x:c>
      <x:c r="M2396" s="80" t="n">
        <x:f>MAX(0,-K2396*'Inputs'!$E$50)</x:f>
        <x:v>0</x:v>
      </x:c>
      <x:c r="N2396" s="78" t="n">
        <x:f>H2396*(L2396*(1-'Inputs'!$B$15))/(I2396+L2396*(1-'Inputs'!$B$15))</x:f>
        <x:v>0</x:v>
      </x:c>
      <x:c r="O2396" s="78" t="n">
        <x:f>H2396-N2396</x:f>
        <x:v>95947666.01444982</x:v>
      </x:c>
      <x:c r="P2396" s="78" t="n">
        <x:f>I2396+L2396*(1-'Inputs'!$B$17)</x:f>
        <x:v>302.7779697949724</x:v>
      </x:c>
      <x:c r="Q2396" s="78" t="n">
        <x:f>IF(J2396&gt;0,M2396/J2396,0)</x:f>
        <x:v>0</x:v>
      </x:c>
      <x:c r="R2396" s="78" t="n">
        <x:f>IF(B2396='Inputs'!$H$50,'Inputs'!$B$27*'Inputs'!$I$50,0)</x:f>
        <x:v>0</x:v>
      </x:c>
      <x:c r="S2396" s="78" t="n">
        <x:f>Q2396+G2396+R2396</x:f>
        <x:v>466645.9467067014</x:v>
      </x:c>
      <x:c r="T2396" s="78" t="n">
        <x:f>P2396*(S2396*(1-'Inputs'!$B$15))/(O2396+S2396*(1-'Inputs'!$B$15))</x:f>
        <x:v>1.4508632461560882</x:v>
      </x:c>
      <x:c r="U2396" s="78" t="n">
        <x:f>O2396+S2396*(1-'Inputs'!$B$17)</x:f>
        <x:v>96412434.11026435</x:v>
      </x:c>
      <x:c r="V2396" s="78" t="n">
        <x:f>P2396-T2396</x:f>
        <x:v>301.32710654881635</x:v>
      </x:c>
      <x:c r="W2396" s="79" t="n">
        <x:f>IF(U2396&gt;0,V2396/U2396,0)</x:f>
        <x:v>0.0000031253967325853067</x:v>
      </x:c>
      <x:c r="X2396" s="80" t="n">
        <x:f>W2396*('Inputs'!$B$6-AC2396)</x:f>
        <x:v>3001.5813565618946</x:v>
      </x:c>
      <x:c r="Y2396" s="80" t="n">
        <x:f>2*V2396</x:f>
        <x:v>602.6542130976327</x:v>
      </x:c>
      <x:c r="Z2396" s="80" t="n">
        <x:f>K2396*'Inputs'!$B$16+(G2396+R2396)*J2396*'Inputs'!$B$16</x:f>
        <x:v>3.642171086168652</x:v>
      </x:c>
      <x:c r="AA2396" s="80" t="n">
        <x:f>K2396*(1+'Inputs'!$E$50)/2*'Inputs'!$B$17</x:f>
        <x:v>1.2184224136618609</x:v>
      </x:c>
      <x:c r="AB2396" s="78" t="n">
        <x:f>(IF(J2396&gt;0,K2396*(1-'Inputs'!$E$50)/2/J2396,0)+G2396+R2396)*'Inputs'!$B$17</x:f>
        <x:v>387985.15879741055</x:v>
      </x:c>
      <x:c r="AC2396" s="78" t="n">
        <x:f>AC2395+AB2396</x:f>
        <x:v>39615890.91474891</x:v>
      </x:c>
      <x:c r="AD2396" s="80" t="n">
        <x:f>Z2396/(1+'Inputs'!$C$50)</x:f>
        <x:v>1.821085543084326</x:v>
      </x:c>
      <x:c r="AE2396" s="80" t="n">
        <x:f>Z2396-AD2396</x:f>
        <x:v>1.821085543084326</x:v>
      </x:c>
      <x:c r="AF2396" s="80" t="n">
        <x:f>D2396*W2396</x:f>
        <x:v>0.8654919421026347</x:v>
      </x:c>
      <x:c r="AG2396" s="80" t="n">
        <x:f>C2396*W2396</x:f>
        <x:v>2.0194811982395042</x:v>
      </x:c>
      <x:c r="AH2396" s="80" t="n">
        <x:f>2*'Inputs'!$B$8*'Inputs'!$C$50</x:f>
        <x:v>5000</x:v>
      </x:c>
      <x:c r="AI2396" s="81" t="n">
        <x:f>IF(AH2396&gt;0,(AE2396+AF2396)/AH2396*365,0)</x:f>
        <x:v>0.19612015641864813</x:v>
      </x:c>
      <x:c r="AJ2396" s="81" t="n">
        <x:f>IF('Inputs'!$B$50&gt;0,AG2396/('Inputs'!$B$19*'Inputs'!$B$50)*365,0)</x:f>
        <x:v>0.0737110637357419</x:v>
      </x:c>
      <x:c r="AK2396" s="81" t="n">
        <x:f>W2396/MAX($W$2194:W2396)-1</x:f>
        <x:v>-0.99629158470142</x:v>
      </x:c>
      <x:c r="AL2396" s="83" t="n">
        <x:f>'Inputs'!$B$50</x:f>
        <x:v>1</x:v>
      </x:c>
      <x:c r="AM2396" s="83" t="n">
        <x:f>'Inputs'!$C$50</x:f>
        <x:v>1</x:v>
      </x:c>
      <x:c r="AN2396" s="83" t="n">
        <x:f>'Inputs'!$D$50</x:f>
        <x:v>1</x:v>
      </x:c>
      <x:c r="AO2396" s="81" t="n">
        <x:f>'Inputs'!$E$50</x:f>
        <x:v>0</x:v>
      </x:c>
    </x:row>
    <x:row r="2397">
      <x:c r="A2397" s="59" t="str">
        <x:v>Whale exit</x:v>
      </x:c>
      <x:c r="B2397" s="59" t="n">
        <x:v>204</x:v>
      </x:c>
      <x:c r="C2397" s="78" t="n">
        <x:f>(('Inputs'!$B$29*(3*204*'Inputs'!$B$12-204^2)/(2*'Inputs'!$B$12^2))-('Inputs'!$B$29*(3*203*'Inputs'!$B$12-203^2)/(2*'Inputs'!$B$12^2)))*'Inputs'!$B$50</x:f>
        <x:v>645826.843685478</x:v>
      </x:c>
      <x:c r="D2397" s="78" t="n">
        <x:f>IF('Inputs'!$C$50&gt;0,('Inputs'!$B$30*(3*204*'Inputs'!$B$12-204^2)/(2*'Inputs'!$B$12^2))-('Inputs'!$B$30*(3*203*'Inputs'!$B$12-203^2)/(2*'Inputs'!$B$12^2)),0)</x:f>
        <x:v>276782.9330080673</x:v>
      </x:c>
      <x:c r="E2397" s="78" t="n">
        <x:f>C2397+D2397</x:f>
        <x:v>922609.7766935453</x:v>
      </x:c>
      <x:c r="F2397" s="78" t="n">
        <x:f>'Inputs'!$B$13*E2397+(1-'Inputs'!$B$13)/'Inputs'!$B$14*SUM(E2342:E2397)</x:f>
        <x:v>932827.4535560105</x:v>
      </x:c>
      <x:c r="G2397" s="78" t="n">
        <x:f>F2397*'Inputs'!$F$50</x:f>
        <x:v>466413.72677800525</x:v>
      </x:c>
      <x:c r="H2397" s="78" t="n">
        <x:f>U2396</x:f>
        <x:v>96412434.11026435</x:v>
      </x:c>
      <x:c r="I2397" s="78" t="n">
        <x:f>V2396</x:f>
        <x:v>301.32710654881635</x:v>
      </x:c>
      <x:c r="J2397" s="79" t="n">
        <x:f>IF(H2397&gt;0,I2397/H2397,0)</x:f>
        <x:v>0.0000031253967325853067</x:v>
      </x:c>
      <x:c r="K2397" s="80" t="n">
        <x:f>(H2397*J2397+I2397)*'Inputs'!$D$50*(1+'Inputs'!$G$50)^(B2397/30)</x:f>
        <x:v>602.6542130976327</x:v>
      </x:c>
      <x:c r="L2397" s="80" t="n">
        <x:f>MAX(0,K2397*'Inputs'!$E$50)</x:f>
        <x:v>0</x:v>
      </x:c>
      <x:c r="M2397" s="80" t="n">
        <x:f>MAX(0,-K2397*'Inputs'!$E$50)</x:f>
        <x:v>0</x:v>
      </x:c>
      <x:c r="N2397" s="78" t="n">
        <x:f>H2397*(L2397*(1-'Inputs'!$B$15))/(I2397+L2397*(1-'Inputs'!$B$15))</x:f>
        <x:v>0</x:v>
      </x:c>
      <x:c r="O2397" s="78" t="n">
        <x:f>H2397-N2397</x:f>
        <x:v>96412434.11026435</x:v>
      </x:c>
      <x:c r="P2397" s="78" t="n">
        <x:f>I2397+L2397*(1-'Inputs'!$B$17)</x:f>
        <x:v>301.32710654881635</x:v>
      </x:c>
      <x:c r="Q2397" s="78" t="n">
        <x:f>IF(J2397&gt;0,M2397/J2397,0)</x:f>
        <x:v>0</x:v>
      </x:c>
      <x:c r="R2397" s="78" t="n">
        <x:f>IF(B2397='Inputs'!$H$50,'Inputs'!$B$27*'Inputs'!$I$50,0)</x:f>
        <x:v>0</x:v>
      </x:c>
      <x:c r="S2397" s="78" t="n">
        <x:f>Q2397+G2397+R2397</x:f>
        <x:v>466413.72677800525</x:v>
      </x:c>
      <x:c r="T2397" s="78" t="n">
        <x:f>P2397*(S2397*(1-'Inputs'!$B$15))/(O2397+S2397*(1-'Inputs'!$B$15))</x:f>
        <x:v>1.4362718986972336</x:v>
      </x:c>
      <x:c r="U2397" s="78" t="n">
        <x:f>O2397+S2397*(1-'Inputs'!$B$17)</x:f>
        <x:v>96876970.9206368</x:v>
      </x:c>
      <x:c r="V2397" s="78" t="n">
        <x:f>P2397-T2397</x:f>
        <x:v>299.89083465011913</x:v>
      </x:c>
      <x:c r="W2397" s="79" t="n">
        <x:f>IF(U2397&gt;0,V2397/U2397,0)</x:f>
        <x:v>0.0000030955843457966352</x:v>
      </x:c>
      <x:c r="X2397" s="80" t="n">
        <x:f>W2397*('Inputs'!$B$6-AC2397)</x:f>
        <x:v>2971.7431864916716</x:v>
      </x:c>
      <x:c r="Y2397" s="80" t="n">
        <x:f>2*V2397</x:f>
        <x:v>599.7816693002383</x:v>
      </x:c>
      <x:c r="Z2397" s="80" t="n">
        <x:f>K2397*'Inputs'!$B$16+(G2397+R2397)*J2397*'Inputs'!$B$16</x:f>
        <x:v>3.6246716462120254</x:v>
      </x:c>
      <x:c r="AA2397" s="80" t="n">
        <x:f>K2397*(1+'Inputs'!$E$50)/2*'Inputs'!$B$17</x:f>
        <x:v>1.212583929773909</x:v>
      </x:c>
      <x:c r="AB2397" s="78" t="n">
        <x:f>(IF(J2397&gt;0,K2397*(1-'Inputs'!$E$50)/2/J2397,0)+G2397+R2397)*'Inputs'!$B$17</x:f>
        <x:v>389854.518458923</x:v>
      </x:c>
      <x:c r="AC2397" s="78" t="n">
        <x:f>AC2396+AB2397</x:f>
        <x:v>40005745.43320783</x:v>
      </x:c>
      <x:c r="AD2397" s="80" t="n">
        <x:f>Z2397/(1+'Inputs'!$C$50)</x:f>
        <x:v>1.8123358231060127</x:v>
      </x:c>
      <x:c r="AE2397" s="80" t="n">
        <x:f>Z2397-AD2397</x:f>
        <x:v>1.8123358231060127</x:v>
      </x:c>
      <x:c r="AF2397" s="80" t="n">
        <x:f>D2397*W2397</x:f>
        <x:v>0.856804914603452</x:v>
      </x:c>
      <x:c r="AG2397" s="80" t="n">
        <x:f>C2397*W2397</x:f>
        <x:v>1.9992114674080161</x:v>
      </x:c>
      <x:c r="AH2397" s="80" t="n">
        <x:f>2*'Inputs'!$B$8*'Inputs'!$C$50</x:f>
        <x:v>5000</x:v>
      </x:c>
      <x:c r="AI2397" s="81" t="n">
        <x:f>IF(AH2397&gt;0,(AE2397+AF2397)/AH2397*365,0)</x:f>
        <x:v>0.19484727385279094</x:v>
      </x:c>
      <x:c r="AJ2397" s="81" t="n">
        <x:f>IF('Inputs'!$B$50&gt;0,AG2397/('Inputs'!$B$19*'Inputs'!$B$50)*365,0)</x:f>
        <x:v>0.0729712185603926</x:v>
      </x:c>
      <x:c r="AK2397" s="81" t="n">
        <x:f>W2397/MAX($W$2194:W2397)-1</x:f>
        <x:v>-0.996326958358179</x:v>
      </x:c>
      <x:c r="AL2397" s="83" t="n">
        <x:f>'Inputs'!$B$50</x:f>
        <x:v>1</x:v>
      </x:c>
      <x:c r="AM2397" s="83" t="n">
        <x:f>'Inputs'!$C$50</x:f>
        <x:v>1</x:v>
      </x:c>
      <x:c r="AN2397" s="83" t="n">
        <x:f>'Inputs'!$D$50</x:f>
        <x:v>1</x:v>
      </x:c>
      <x:c r="AO2397" s="81" t="n">
        <x:f>'Inputs'!$E$50</x:f>
        <x:v>0</x:v>
      </x:c>
    </x:row>
    <x:row r="2398">
      <x:c r="A2398" s="59" t="str">
        <x:v>Whale exit</x:v>
      </x:c>
      <x:c r="B2398" s="59" t="n">
        <x:v>205</x:v>
      </x:c>
      <x:c r="C2398" s="78" t="n">
        <x:f>(('Inputs'!$B$29*(3*205*'Inputs'!$B$12-205^2)/(2*'Inputs'!$B$12^2))-('Inputs'!$B$29*(3*204*'Inputs'!$B$12-204^2)/(2*'Inputs'!$B$12^2)))*'Inputs'!$B$50</x:f>
        <x:v>645501.7357853353</x:v>
      </x:c>
      <x:c r="D2398" s="78" t="n">
        <x:f>IF('Inputs'!$C$50&gt;0,('Inputs'!$B$30*(3*205*'Inputs'!$B$12-205^2)/(2*'Inputs'!$B$12^2))-('Inputs'!$B$30*(3*204*'Inputs'!$B$12-204^2)/(2*'Inputs'!$B$12^2)),0)</x:f>
        <x:v>276643.60105085373</x:v>
      </x:c>
      <x:c r="E2398" s="78" t="n">
        <x:f>C2398+D2398</x:f>
        <x:v>922145.336836189</x:v>
      </x:c>
      <x:c r="F2398" s="78" t="n">
        <x:f>'Inputs'!$B$13*E2398+(1-'Inputs'!$B$13)/'Inputs'!$B$14*SUM(E2343:E2398)</x:f>
        <x:v>932363.0136986321</x:v>
      </x:c>
      <x:c r="G2398" s="78" t="n">
        <x:f>F2398*'Inputs'!$F$50</x:f>
        <x:v>466181.50684931607</x:v>
      </x:c>
      <x:c r="H2398" s="78" t="n">
        <x:f>U2397</x:f>
        <x:v>96876970.9206368</x:v>
      </x:c>
      <x:c r="I2398" s="78" t="n">
        <x:f>V2397</x:f>
        <x:v>299.89083465011913</x:v>
      </x:c>
      <x:c r="J2398" s="79" t="n">
        <x:f>IF(H2398&gt;0,I2398/H2398,0)</x:f>
        <x:v>0.0000030955843457966352</x:v>
      </x:c>
      <x:c r="K2398" s="80" t="n">
        <x:f>(H2398*J2398+I2398)*'Inputs'!$D$50*(1+'Inputs'!$G$50)^(B2398/30)</x:f>
        <x:v>599.7816693002383</x:v>
      </x:c>
      <x:c r="L2398" s="80" t="n">
        <x:f>MAX(0,K2398*'Inputs'!$E$50)</x:f>
        <x:v>0</x:v>
      </x:c>
      <x:c r="M2398" s="80" t="n">
        <x:f>MAX(0,-K2398*'Inputs'!$E$50)</x:f>
        <x:v>0</x:v>
      </x:c>
      <x:c r="N2398" s="78" t="n">
        <x:f>H2398*(L2398*(1-'Inputs'!$B$15))/(I2398+L2398*(1-'Inputs'!$B$15))</x:f>
        <x:v>0</x:v>
      </x:c>
      <x:c r="O2398" s="78" t="n">
        <x:f>H2398-N2398</x:f>
        <x:v>96876970.9206368</x:v>
      </x:c>
      <x:c r="P2398" s="78" t="n">
        <x:f>I2398+L2398*(1-'Inputs'!$B$17)</x:f>
        <x:v>299.89083465011913</x:v>
      </x:c>
      <x:c r="Q2398" s="78" t="n">
        <x:f>IF(J2398&gt;0,M2398/J2398,0)</x:f>
        <x:v>0</x:v>
      </x:c>
      <x:c r="R2398" s="78" t="n">
        <x:f>IF(B2398='Inputs'!$H$50,'Inputs'!$B$27*'Inputs'!$I$50,0)</x:f>
        <x:v>0</x:v>
      </x:c>
      <x:c r="S2398" s="78" t="n">
        <x:f>Q2398+G2398+R2398</x:f>
        <x:v>466181.50684931607</x:v>
      </x:c>
      <x:c r="T2398" s="78" t="n">
        <x:f>P2398*(S2398*(1-'Inputs'!$B$15))/(O2398+S2398*(1-'Inputs'!$B$15))</x:f>
        <x:v>1.4218992374426656</x:v>
      </x:c>
      <x:c r="U2398" s="78" t="n">
        <x:f>O2398+S2398*(1-'Inputs'!$B$17)</x:f>
        <x:v>97341276.4455672</x:v>
      </x:c>
      <x:c r="V2398" s="78" t="n">
        <x:f>P2398-T2398</x:f>
        <x:v>298.46893541267644</x:v>
      </x:c>
      <x:c r="W2398" s="79" t="n">
        <x:f>IF(U2398&gt;0,V2398/U2398,0)</x:f>
        <x:v>0.00000306621143990832</x:v>
      </x:c>
      <x:c r="X2398" s="80" t="n">
        <x:f>W2398*('Inputs'!$B$6-AC2398)</x:f>
        <x:v>2942.344260216383</x:v>
      </x:c>
      <x:c r="Y2398" s="80" t="n">
        <x:f>2*V2398</x:f>
        <x:v>596.9378708253529</x:v>
      </x:c>
      <x:c r="Z2398" s="80" t="n">
        <x:f>K2398*'Inputs'!$B$16+(G2398+R2398)*J2398*'Inputs'!$B$16</x:f>
        <x:v>3.6073486408508453</x:v>
      </x:c>
      <x:c r="AA2398" s="80" t="n">
        <x:f>K2398*(1+'Inputs'!$E$50)/2*'Inputs'!$B$17</x:f>
        <x:v>1.2068041635819684</x:v>
      </x:c>
      <x:c r="AB2398" s="78" t="n">
        <x:f>(IF(J2398&gt;0,K2398*(1-'Inputs'!$E$50)/2/J2398,0)+G2398+R2398)*'Inputs'!$B$17</x:f>
        <x:v>391722.9473943104</x:v>
      </x:c>
      <x:c r="AC2398" s="78" t="n">
        <x:f>AC2397+AB2398</x:f>
        <x:v>40397468.38060214</x:v>
      </x:c>
      <x:c r="AD2398" s="80" t="n">
        <x:f>Z2398/(1+'Inputs'!$C$50)</x:f>
        <x:v>1.8036743204254226</x:v>
      </x:c>
      <x:c r="AE2398" s="80" t="n">
        <x:f>Z2398-AD2398</x:f>
        <x:v>1.8036743204254226</x:v>
      </x:c>
      <x:c r="AF2398" s="80" t="n">
        <x:f>D2398*W2398</x:f>
        <x:v>0.8482477743195611</x:v>
      </x:c>
      <x:c r="AG2398" s="80" t="n">
        <x:f>C2398*W2398</x:f>
        <x:v>1.979244806745673</x:v>
      </x:c>
      <x:c r="AH2398" s="80" t="n">
        <x:f>2*'Inputs'!$B$8*'Inputs'!$C$50</x:f>
        <x:v>5000</x:v>
      </x:c>
      <x:c r="AI2398" s="81" t="n">
        <x:f>IF(AH2398&gt;0,(AE2398+AF2398)/AH2398*365,0)</x:f>
        <x:v>0.19359031291638382</x:v>
      </x:c>
      <x:c r="AJ2398" s="81" t="n">
        <x:f>IF('Inputs'!$B$50&gt;0,AG2398/('Inputs'!$B$19*'Inputs'!$B$50)*365,0)</x:f>
        <x:v>0.07224243544621707</x:v>
      </x:c>
      <x:c r="AK2398" s="81" t="n">
        <x:f>W2398/MAX($W$2194:W2398)-1</x:f>
        <x:v>-0.9963618105522778</x:v>
      </x:c>
      <x:c r="AL2398" s="83" t="n">
        <x:f>'Inputs'!$B$50</x:f>
        <x:v>1</x:v>
      </x:c>
      <x:c r="AM2398" s="83" t="n">
        <x:f>'Inputs'!$C$50</x:f>
        <x:v>1</x:v>
      </x:c>
      <x:c r="AN2398" s="83" t="n">
        <x:f>'Inputs'!$D$50</x:f>
        <x:v>1</x:v>
      </x:c>
      <x:c r="AO2398" s="81" t="n">
        <x:f>'Inputs'!$E$50</x:f>
        <x:v>0</x:v>
      </x:c>
    </x:row>
    <x:row r="2399">
      <x:c r="A2399" s="59" t="str">
        <x:v>Whale exit</x:v>
      </x:c>
      <x:c r="B2399" s="59" t="n">
        <x:v>206</x:v>
      </x:c>
      <x:c r="C2399" s="78" t="n">
        <x:f>(('Inputs'!$B$29*(3*206*'Inputs'!$B$12-206^2)/(2*'Inputs'!$B$12^2))-('Inputs'!$B$29*(3*205*'Inputs'!$B$12-205^2)/(2*'Inputs'!$B$12^2)))*'Inputs'!$B$50</x:f>
        <x:v>645176.6278851628</x:v>
      </x:c>
      <x:c r="D2399" s="78" t="n">
        <x:f>IF('Inputs'!$C$50&gt;0,('Inputs'!$B$30*(3*206*'Inputs'!$B$12-206^2)/(2*'Inputs'!$B$12^2))-('Inputs'!$B$30*(3*205*'Inputs'!$B$12-205^2)/(2*'Inputs'!$B$12^2)),0)</x:f>
        <x:v>276504.26909364015</x:v>
      </x:c>
      <x:c r="E2399" s="78" t="n">
        <x:f>C2399+D2399</x:f>
        <x:v>921680.896978803</x:v>
      </x:c>
      <x:c r="F2399" s="78" t="n">
        <x:f>'Inputs'!$B$13*E2399+(1-'Inputs'!$B$13)/'Inputs'!$B$14*SUM(E2344:E2399)</x:f>
        <x:v>931898.5738412478</x:v>
      </x:c>
      <x:c r="G2399" s="78" t="n">
        <x:f>F2399*'Inputs'!$F$50</x:f>
        <x:v>465949.2869206239</x:v>
      </x:c>
      <x:c r="H2399" s="78" t="n">
        <x:f>U2398</x:f>
        <x:v>97341276.4455672</x:v>
      </x:c>
      <x:c r="I2399" s="78" t="n">
        <x:f>V2398</x:f>
        <x:v>298.46893541267644</x:v>
      </x:c>
      <x:c r="J2399" s="79" t="n">
        <x:f>IF(H2399&gt;0,I2399/H2399,0)</x:f>
        <x:v>0.00000306621143990832</x:v>
      </x:c>
      <x:c r="K2399" s="80" t="n">
        <x:f>(H2399*J2399+I2399)*'Inputs'!$D$50*(1+'Inputs'!$G$50)^(B2399/30)</x:f>
        <x:v>596.9378708253529</x:v>
      </x:c>
      <x:c r="L2399" s="80" t="n">
        <x:f>MAX(0,K2399*'Inputs'!$E$50)</x:f>
        <x:v>0</x:v>
      </x:c>
      <x:c r="M2399" s="80" t="n">
        <x:f>MAX(0,-K2399*'Inputs'!$E$50)</x:f>
        <x:v>0</x:v>
      </x:c>
      <x:c r="N2399" s="78" t="n">
        <x:f>H2399*(L2399*(1-'Inputs'!$B$15))/(I2399+L2399*(1-'Inputs'!$B$15))</x:f>
        <x:v>0</x:v>
      </x:c>
      <x:c r="O2399" s="78" t="n">
        <x:f>H2399-N2399</x:f>
        <x:v>97341276.4455672</x:v>
      </x:c>
      <x:c r="P2399" s="78" t="n">
        <x:f>I2399+L2399*(1-'Inputs'!$B$17)</x:f>
        <x:v>298.46893541267644</x:v>
      </x:c>
      <x:c r="Q2399" s="78" t="n">
        <x:f>IF(J2399&gt;0,M2399/J2399,0)</x:f>
        <x:v>0</x:v>
      </x:c>
      <x:c r="R2399" s="78" t="n">
        <x:f>IF(B2399='Inputs'!$H$50,'Inputs'!$B$27*'Inputs'!$I$50,0)</x:f>
        <x:v>0</x:v>
      </x:c>
      <x:c r="S2399" s="78" t="n">
        <x:f>Q2399+G2399+R2399</x:f>
        <x:v>465949.2869206239</x:v>
      </x:c>
      <x:c r="T2399" s="78" t="n">
        <x:f>P2399*(S2399*(1-'Inputs'!$B$15))/(O2399+S2399*(1-'Inputs'!$B$15))</x:f>
        <x:v>1.4077409115210582</x:v>
      </x:c>
      <x:c r="U2399" s="78" t="n">
        <x:f>O2399+S2399*(1-'Inputs'!$B$17)</x:f>
        <x:v>97805350.68505555</x:v>
      </x:c>
      <x:c r="V2399" s="78" t="n">
        <x:f>P2399-T2399</x:f>
        <x:v>297.0611945011554</x:v>
      </x:c>
      <x:c r="W2399" s="79" t="n">
        <x:f>IF(U2399&gt;0,V2399/U2399,0)</x:f>
        <x:v>0.0000030372693561288535</x:v>
      </x:c>
      <x:c r="X2399" s="80" t="n">
        <x:f>W2399*('Inputs'!$B$6-AC2399)</x:f>
        <x:v>2913.3759231519693</x:v>
      </x:c>
      <x:c r="Y2399" s="80" t="n">
        <x:f>2*V2399</x:f>
        <x:v>594.1223890023108</x:v>
      </x:c>
      <x:c r="Z2399" s="80" t="n">
        <x:f>K2399*'Inputs'!$B$16+(G2399+R2399)*J2399*'Inputs'!$B$16</x:f>
        <x:v>3.5901994191559563</x:v>
      </x:c>
      <x:c r="AA2399" s="80" t="n">
        <x:f>K2399*(1+'Inputs'!$E$50)/2*'Inputs'!$B$17</x:f>
        <x:v>1.2010822350610724</x:v>
      </x:c>
      <x:c r="AB2399" s="78" t="n">
        <x:f>(IF(J2399&gt;0,K2399*(1-'Inputs'!$E$50)/2/J2399,0)+G2399+R2399)*'Inputs'!$B$17</x:f>
        <x:v>393590.44560357276</x:v>
      </x:c>
      <x:c r="AC2399" s="78" t="n">
        <x:f>AC2398+AB2399</x:f>
        <x:v>40791058.826205716</x:v>
      </x:c>
      <x:c r="AD2399" s="80" t="n">
        <x:f>Z2399/(1+'Inputs'!$C$50)</x:f>
        <x:v>1.7950997095779782</x:v>
      </x:c>
      <x:c r="AE2399" s="80" t="n">
        <x:f>Z2399-AD2399</x:f>
        <x:v>1.7950997095779782</x:v>
      </x:c>
      <x:c r="AF2399" s="80" t="n">
        <x:f>D2399*W2399</x:f>
        <x:v>0.8398179433569197</x:v>
      </x:c>
      <x:c r="AG2399" s="80" t="n">
        <x:f>C2399*W2399</x:f>
        <x:v>1.9595752011661534</x:v>
      </x:c>
      <x:c r="AH2399" s="80" t="n">
        <x:f>2*'Inputs'!$B$8*'Inputs'!$C$50</x:f>
        <x:v>5000</x:v>
      </x:c>
      <x:c r="AI2399" s="81" t="n">
        <x:f>IF(AH2399&gt;0,(AE2399+AF2399)/AH2399*365,0)</x:f>
        <x:v>0.19234898866424754</x:v>
      </x:c>
      <x:c r="AJ2399" s="81" t="n">
        <x:f>IF('Inputs'!$B$50&gt;0,AG2399/('Inputs'!$B$19*'Inputs'!$B$50)*365,0)</x:f>
        <x:v>0.0715244948425646</x:v>
      </x:c>
      <x:c r="AK2399" s="81" t="n">
        <x:f>W2399/MAX($W$2194:W2399)-1</x:f>
        <x:v>-0.9963961515577385</x:v>
      </x:c>
      <x:c r="AL2399" s="83" t="n">
        <x:f>'Inputs'!$B$50</x:f>
        <x:v>1</x:v>
      </x:c>
      <x:c r="AM2399" s="83" t="n">
        <x:f>'Inputs'!$C$50</x:f>
        <x:v>1</x:v>
      </x:c>
      <x:c r="AN2399" s="83" t="n">
        <x:f>'Inputs'!$D$50</x:f>
        <x:v>1</x:v>
      </x:c>
      <x:c r="AO2399" s="81" t="n">
        <x:f>'Inputs'!$E$50</x:f>
        <x:v>0</x:v>
      </x:c>
    </x:row>
    <x:row r="2400">
      <x:c r="A2400" s="59" t="str">
        <x:v>Whale exit</x:v>
      </x:c>
      <x:c r="B2400" s="59" t="n">
        <x:v>207</x:v>
      </x:c>
      <x:c r="C2400" s="78" t="n">
        <x:f>(('Inputs'!$B$29*(3*207*'Inputs'!$B$12-207^2)/(2*'Inputs'!$B$12^2))-('Inputs'!$B$29*(3*206*'Inputs'!$B$12-206^2)/(2*'Inputs'!$B$12^2)))*'Inputs'!$B$50</x:f>
        <x:v>644851.5199849904</x:v>
      </x:c>
      <x:c r="D2400" s="78" t="n">
        <x:f>IF('Inputs'!$C$50&gt;0,('Inputs'!$B$30*(3*207*'Inputs'!$B$12-207^2)/(2*'Inputs'!$B$12^2))-('Inputs'!$B$30*(3*206*'Inputs'!$B$12-206^2)/(2*'Inputs'!$B$12^2)),0)</x:f>
        <x:v>276364.93713642657</x:v>
      </x:c>
      <x:c r="E2400" s="78" t="n">
        <x:f>C2400+D2400</x:f>
        <x:v>921216.4571214169</x:v>
      </x:c>
      <x:c r="F2400" s="78" t="n">
        <x:f>'Inputs'!$B$13*E2400+(1-'Inputs'!$B$13)/'Inputs'!$B$14*SUM(E2345:E2400)</x:f>
        <x:v>931434.1339838634</x:v>
      </x:c>
      <x:c r="G2400" s="78" t="n">
        <x:f>F2400*'Inputs'!$F$50</x:f>
        <x:v>465717.0669919317</x:v>
      </x:c>
      <x:c r="H2400" s="78" t="n">
        <x:f>U2399</x:f>
        <x:v>97805350.68505555</x:v>
      </x:c>
      <x:c r="I2400" s="78" t="n">
        <x:f>V2399</x:f>
        <x:v>297.0611945011554</x:v>
      </x:c>
      <x:c r="J2400" s="79" t="n">
        <x:f>IF(H2400&gt;0,I2400/H2400,0)</x:f>
        <x:v>0.0000030372693561288535</x:v>
      </x:c>
      <x:c r="K2400" s="80" t="n">
        <x:f>(H2400*J2400+I2400)*'Inputs'!$D$50*(1+'Inputs'!$G$50)^(B2400/30)</x:f>
        <x:v>594.1223890023108</x:v>
      </x:c>
      <x:c r="L2400" s="80" t="n">
        <x:f>MAX(0,K2400*'Inputs'!$E$50)</x:f>
        <x:v>0</x:v>
      </x:c>
      <x:c r="M2400" s="80" t="n">
        <x:f>MAX(0,-K2400*'Inputs'!$E$50)</x:f>
        <x:v>0</x:v>
      </x:c>
      <x:c r="N2400" s="78" t="n">
        <x:f>H2400*(L2400*(1-'Inputs'!$B$15))/(I2400+L2400*(1-'Inputs'!$B$15))</x:f>
        <x:v>0</x:v>
      </x:c>
      <x:c r="O2400" s="78" t="n">
        <x:f>H2400-N2400</x:f>
        <x:v>97805350.68505555</x:v>
      </x:c>
      <x:c r="P2400" s="78" t="n">
        <x:f>I2400+L2400*(1-'Inputs'!$B$17)</x:f>
        <x:v>297.0611945011554</x:v>
      </x:c>
      <x:c r="Q2400" s="78" t="n">
        <x:f>IF(J2400&gt;0,M2400/J2400,0)</x:f>
        <x:v>0</x:v>
      </x:c>
      <x:c r="R2400" s="78" t="n">
        <x:f>IF(B2400='Inputs'!$H$50,'Inputs'!$B$27*'Inputs'!$I$50,0)</x:f>
        <x:v>0</x:v>
      </x:c>
      <x:c r="S2400" s="78" t="n">
        <x:f>Q2400+G2400+R2400</x:f>
        <x:v>465717.0669919317</x:v>
      </x:c>
      <x:c r="T2400" s="78" t="n">
        <x:f>P2400*(S2400*(1-'Inputs'!$B$15))/(O2400+S2400*(1-'Inputs'!$B$15))</x:f>
        <x:v>1.393792677759125</x:v>
      </x:c>
      <x:c r="U2400" s="78" t="n">
        <x:f>O2400+S2400*(1-'Inputs'!$B$17)</x:f>
        <x:v>98269193.63910185</x:v>
      </x:c>
      <x:c r="V2400" s="78" t="n">
        <x:f>P2400-T2400</x:f>
        <x:v>295.6674018233963</x:v>
      </x:c>
      <x:c r="W2400" s="79" t="n">
        <x:f>IF(U2400&gt;0,V2400/U2400,0)</x:f>
        <x:v>0.0000030087496485342955</x:v>
      </x:c>
      <x:c r="X2400" s="80" t="n">
        <x:f>W2400*('Inputs'!$B$6-AC2400)</x:f>
        <x:v>2884.829733478472</x:v>
      </x:c>
      <x:c r="Y2400" s="80" t="n">
        <x:f>2*V2400</x:f>
        <x:v>591.3348036467926</x:v>
      </x:c>
      <x:c r="Z2400" s="80" t="n">
        <x:f>K2400*'Inputs'!$B$16+(G2400+R2400)*J2400*'Inputs'!$B$16</x:f>
        <x:v>3.5732213830710693</x:v>
      </x:c>
      <x:c r="AA2400" s="80" t="n">
        <x:f>K2400*(1+'Inputs'!$E$50)/2*'Inputs'!$B$17</x:f>
        <x:v>1.1954172816947903</x:v>
      </x:c>
      <x:c r="AB2400" s="78" t="n">
        <x:f>(IF(J2400&gt;0,K2400*(1-'Inputs'!$E$50)/2/J2400,0)+G2400+R2400)*'Inputs'!$B$17</x:f>
        <x:v>395457.0130867102</x:v>
      </x:c>
      <x:c r="AC2400" s="78" t="n">
        <x:f>AC2399+AB2400</x:f>
        <x:v>41186515.83929243</x:v>
      </x:c>
      <x:c r="AD2400" s="80" t="n">
        <x:f>Z2400/(1+'Inputs'!$C$50)</x:f>
        <x:v>1.7866106915355346</x:v>
      </x:c>
      <x:c r="AE2400" s="80" t="n">
        <x:f>Z2400-AD2400</x:f>
        <x:v>1.7866106915355346</x:v>
      </x:c>
      <x:c r="AF2400" s="80" t="n">
        <x:f>D2400*W2400</x:f>
        <x:v>0.8315129074764261</x:v>
      </x:c>
      <x:c r="AG2400" s="80" t="n">
        <x:f>C2400*W2400</x:f>
        <x:v>1.9401967841116459</x:v>
      </x:c>
      <x:c r="AH2400" s="80" t="n">
        <x:f>2*'Inputs'!$B$8*'Inputs'!$C$50</x:f>
        <x:v>5000</x:v>
      </x:c>
      <x:c r="AI2400" s="81" t="n">
        <x:f>IF(AH2400&gt;0,(AE2400+AF2400)/AH2400*365,0)</x:f>
        <x:v>0.19112302272787313</x:v>
      </x:c>
      <x:c r="AJ2400" s="81" t="n">
        <x:f>IF('Inputs'!$B$50&gt;0,AG2400/('Inputs'!$B$19*'Inputs'!$B$50)*365,0)</x:f>
        <x:v>0.07081718262007508</x:v>
      </x:c>
      <x:c r="AK2400" s="81" t="n">
        <x:f>W2400/MAX($W$2194:W2400)-1</x:f>
        <x:v>-0.9964299913960067</x:v>
      </x:c>
      <x:c r="AL2400" s="83" t="n">
        <x:f>'Inputs'!$B$50</x:f>
        <x:v>1</x:v>
      </x:c>
      <x:c r="AM2400" s="83" t="n">
        <x:f>'Inputs'!$C$50</x:f>
        <x:v>1</x:v>
      </x:c>
      <x:c r="AN2400" s="83" t="n">
        <x:f>'Inputs'!$D$50</x:f>
        <x:v>1</x:v>
      </x:c>
      <x:c r="AO2400" s="81" t="n">
        <x:f>'Inputs'!$E$50</x:f>
        <x:v>0</x:v>
      </x:c>
    </x:row>
    <x:row r="2401">
      <x:c r="A2401" s="59" t="str">
        <x:v>Whale exit</x:v>
      </x:c>
      <x:c r="B2401" s="59" t="n">
        <x:v>208</x:v>
      </x:c>
      <x:c r="C2401" s="78" t="n">
        <x:f>(('Inputs'!$B$29*(3*208*'Inputs'!$B$12-208^2)/(2*'Inputs'!$B$12^2))-('Inputs'!$B$29*(3*207*'Inputs'!$B$12-207^2)/(2*'Inputs'!$B$12^2)))*'Inputs'!$B$50</x:f>
        <x:v>644526.4120848179</x:v>
      </x:c>
      <x:c r="D2401" s="78" t="n">
        <x:f>IF('Inputs'!$C$50&gt;0,('Inputs'!$B$30*(3*208*'Inputs'!$B$12-208^2)/(2*'Inputs'!$B$12^2))-('Inputs'!$B$30*(3*207*'Inputs'!$B$12-207^2)/(2*'Inputs'!$B$12^2)),0)</x:f>
        <x:v>276225.60517920554</x:v>
      </x:c>
      <x:c r="E2401" s="78" t="n">
        <x:f>C2401+D2401</x:f>
        <x:v>920752.0172640234</x:v>
      </x:c>
      <x:c r="F2401" s="78" t="n">
        <x:f>'Inputs'!$B$13*E2401+(1-'Inputs'!$B$13)/'Inputs'!$B$14*SUM(E2346:E2401)</x:f>
        <x:v>930969.6941264772</x:v>
      </x:c>
      <x:c r="G2401" s="78" t="n">
        <x:f>F2401*'Inputs'!$F$50</x:f>
        <x:v>465484.8470632386</x:v>
      </x:c>
      <x:c r="H2401" s="78" t="n">
        <x:f>U2400</x:f>
        <x:v>98269193.63910185</x:v>
      </x:c>
      <x:c r="I2401" s="78" t="n">
        <x:f>V2400</x:f>
        <x:v>295.6674018233963</x:v>
      </x:c>
      <x:c r="J2401" s="79" t="n">
        <x:f>IF(H2401&gt;0,I2401/H2401,0)</x:f>
        <x:v>0.0000030087496485342955</x:v>
      </x:c>
      <x:c r="K2401" s="80" t="n">
        <x:f>(H2401*J2401+I2401)*'Inputs'!$D$50*(1+'Inputs'!$G$50)^(B2401/30)</x:f>
        <x:v>591.3348036467926</x:v>
      </x:c>
      <x:c r="L2401" s="80" t="n">
        <x:f>MAX(0,K2401*'Inputs'!$E$50)</x:f>
        <x:v>0</x:v>
      </x:c>
      <x:c r="M2401" s="80" t="n">
        <x:f>MAX(0,-K2401*'Inputs'!$E$50)</x:f>
        <x:v>0</x:v>
      </x:c>
      <x:c r="N2401" s="78" t="n">
        <x:f>H2401*(L2401*(1-'Inputs'!$B$15))/(I2401+L2401*(1-'Inputs'!$B$15))</x:f>
        <x:v>0</x:v>
      </x:c>
      <x:c r="O2401" s="78" t="n">
        <x:f>H2401-N2401</x:f>
        <x:v>98269193.63910185</x:v>
      </x:c>
      <x:c r="P2401" s="78" t="n">
        <x:f>I2401+L2401*(1-'Inputs'!$B$17)</x:f>
        <x:v>295.6674018233963</x:v>
      </x:c>
      <x:c r="Q2401" s="78" t="n">
        <x:f>IF(J2401&gt;0,M2401/J2401,0)</x:f>
        <x:v>0</x:v>
      </x:c>
      <x:c r="R2401" s="78" t="n">
        <x:f>IF(B2401='Inputs'!$H$50,'Inputs'!$B$27*'Inputs'!$I$50,0)</x:f>
        <x:v>0</x:v>
      </x:c>
      <x:c r="S2401" s="78" t="n">
        <x:f>Q2401+G2401+R2401</x:f>
        <x:v>465484.8470632386</x:v>
      </x:c>
      <x:c r="T2401" s="78" t="n">
        <x:f>P2401*(S2401*(1-'Inputs'!$B$15))/(O2401+S2401*(1-'Inputs'!$B$15))</x:f>
        <x:v>1.3800503974976768</x:v>
      </x:c>
      <x:c r="U2401" s="78" t="n">
        <x:f>O2401+S2401*(1-'Inputs'!$B$17)</x:f>
        <x:v>98732805.30770607</x:v>
      </x:c>
      <x:c r="V2401" s="78" t="n">
        <x:f>P2401-T2401</x:f>
        <x:v>294.28735142589863</x:v>
      </x:c>
      <x:c r="W2401" s="79" t="n">
        <x:f>IF(U2401&gt;0,V2401/U2401,0)</x:f>
        <x:v>0.0000029806440778091575</x:v>
      </x:c>
      <x:c r="X2401" s="80" t="n">
        <x:f>W2401*('Inputs'!$B$6-AC2401)</x:f>
        <x:v>2856.6974558839415</x:v>
      </x:c>
      <x:c r="Y2401" s="80" t="n">
        <x:f>2*V2401</x:f>
        <x:v>588.5747028517973</x:v>
      </x:c>
      <x:c r="Z2401" s="80" t="n">
        <x:f>K2401*'Inputs'!$B$16+(G2401+R2401)*J2401*'Inputs'!$B$16</x:f>
        <x:v>3.5564119861007533</x:v>
      </x:c>
      <x:c r="AA2401" s="80" t="n">
        <x:f>K2401*(1+'Inputs'!$E$50)/2*'Inputs'!$B$17</x:f>
        <x:v>1.1898084580418362</x:v>
      </x:c>
      <x:c r="AB2401" s="78" t="n">
        <x:f>(IF(J2401&gt;0,K2401*(1-'Inputs'!$E$50)/2/J2401,0)+G2401+R2401)*'Inputs'!$B$17</x:f>
        <x:v>397322.64984372276</x:v>
      </x:c>
      <x:c r="AC2401" s="78" t="n">
        <x:f>AC2400+AB2401</x:f>
        <x:v>41583838.48913615</x:v>
      </x:c>
      <x:c r="AD2401" s="80" t="n">
        <x:f>Z2401/(1+'Inputs'!$C$50)</x:f>
        <x:v>1.7782059930503766</x:v>
      </x:c>
      <x:c r="AE2401" s="80" t="n">
        <x:f>Z2401-AD2401</x:f>
        <x:v>1.7782059930503766</x:v>
      </x:c>
      <x:c r="AF2401" s="80" t="n">
        <x:f>D2401*W2401</x:f>
        <x:v>0.8233302142166495</x:v>
      </x:c>
      <x:c r="AG2401" s="80" t="n">
        <x:f>C2401*W2401</x:f>
        <x:v>1.921103833172197</x:v>
      </x:c>
      <x:c r="AH2401" s="80" t="n">
        <x:f>2*'Inputs'!$B$8*'Inputs'!$C$50</x:f>
        <x:v>5000</x:v>
      </x:c>
      <x:c r="AI2401" s="81" t="n">
        <x:f>IF(AH2401&gt;0,(AE2401+AF2401)/AH2401*365,0)</x:f>
        <x:v>0.18991214313049293</x:v>
      </x:c>
      <x:c r="AJ2401" s="81" t="n">
        <x:f>IF('Inputs'!$B$50&gt;0,AG2401/('Inputs'!$B$19*'Inputs'!$B$50)*365,0)</x:f>
        <x:v>0.0701202899107852</x:v>
      </x:c>
      <x:c r="AK2401" s="81" t="n">
        <x:f>W2401/MAX($W$2194:W2401)-1</x:f>
        <x:v>-0.9964633398433785</x:v>
      </x:c>
      <x:c r="AL2401" s="83" t="n">
        <x:f>'Inputs'!$B$50</x:f>
        <x:v>1</x:v>
      </x:c>
      <x:c r="AM2401" s="83" t="n">
        <x:f>'Inputs'!$C$50</x:f>
        <x:v>1</x:v>
      </x:c>
      <x:c r="AN2401" s="83" t="n">
        <x:f>'Inputs'!$D$50</x:f>
        <x:v>1</x:v>
      </x:c>
      <x:c r="AO2401" s="81" t="n">
        <x:f>'Inputs'!$E$50</x:f>
        <x:v>0</x:v>
      </x:c>
    </x:row>
    <x:row r="2402">
      <x:c r="A2402" s="59" t="str">
        <x:v>Whale exit</x:v>
      </x:c>
      <x:c r="B2402" s="59" t="n">
        <x:v>209</x:v>
      </x:c>
      <x:c r="C2402" s="78" t="n">
        <x:f>(('Inputs'!$B$29*(3*209*'Inputs'!$B$12-209^2)/(2*'Inputs'!$B$12^2))-('Inputs'!$B$29*(3*208*'Inputs'!$B$12-208^2)/(2*'Inputs'!$B$12^2)))*'Inputs'!$B$50</x:f>
        <x:v>644201.3041846454</x:v>
      </x:c>
      <x:c r="D2402" s="78" t="n">
        <x:f>IF('Inputs'!$C$50&gt;0,('Inputs'!$B$30*(3*209*'Inputs'!$B$12-209^2)/(2*'Inputs'!$B$12^2))-('Inputs'!$B$30*(3*208*'Inputs'!$B$12-208^2)/(2*'Inputs'!$B$12^2)),0)</x:f>
        <x:v>276086.27322199196</x:v>
      </x:c>
      <x:c r="E2402" s="78" t="n">
        <x:f>C2402+D2402</x:f>
        <x:v>920287.5774066374</x:v>
      </x:c>
      <x:c r="F2402" s="78" t="n">
        <x:f>'Inputs'!$B$13*E2402+(1-'Inputs'!$B$13)/'Inputs'!$B$14*SUM(E2347:E2402)</x:f>
        <x:v>930505.2542690926</x:v>
      </x:c>
      <x:c r="G2402" s="78" t="n">
        <x:f>F2402*'Inputs'!$F$50</x:f>
        <x:v>465252.6271345463</x:v>
      </x:c>
      <x:c r="H2402" s="78" t="n">
        <x:f>U2401</x:f>
        <x:v>98732805.30770607</x:v>
      </x:c>
      <x:c r="I2402" s="78" t="n">
        <x:f>V2401</x:f>
        <x:v>294.28735142589863</x:v>
      </x:c>
      <x:c r="J2402" s="79" t="n">
        <x:f>IF(H2402&gt;0,I2402/H2402,0)</x:f>
        <x:v>0.0000029806440778091575</x:v>
      </x:c>
      <x:c r="K2402" s="80" t="n">
        <x:f>(H2402*J2402+I2402)*'Inputs'!$D$50*(1+'Inputs'!$G$50)^(B2402/30)</x:f>
        <x:v>588.5747028517973</x:v>
      </x:c>
      <x:c r="L2402" s="80" t="n">
        <x:f>MAX(0,K2402*'Inputs'!$E$50)</x:f>
        <x:v>0</x:v>
      </x:c>
      <x:c r="M2402" s="80" t="n">
        <x:f>MAX(0,-K2402*'Inputs'!$E$50)</x:f>
        <x:v>0</x:v>
      </x:c>
      <x:c r="N2402" s="78" t="n">
        <x:f>H2402*(L2402*(1-'Inputs'!$B$15))/(I2402+L2402*(1-'Inputs'!$B$15))</x:f>
        <x:v>0</x:v>
      </x:c>
      <x:c r="O2402" s="78" t="n">
        <x:f>H2402-N2402</x:f>
        <x:v>98732805.30770607</x:v>
      </x:c>
      <x:c r="P2402" s="78" t="n">
        <x:f>I2402+L2402*(1-'Inputs'!$B$17)</x:f>
        <x:v>294.28735142589863</x:v>
      </x:c>
      <x:c r="Q2402" s="78" t="n">
        <x:f>IF(J2402&gt;0,M2402/J2402,0)</x:f>
        <x:v>0</x:v>
      </x:c>
      <x:c r="R2402" s="78" t="n">
        <x:f>IF(B2402='Inputs'!$H$50,'Inputs'!$B$27*'Inputs'!$I$50,0)</x:f>
        <x:v>0</x:v>
      </x:c>
      <x:c r="S2402" s="78" t="n">
        <x:f>Q2402+G2402+R2402</x:f>
        <x:v>465252.6271345463</x:v>
      </x:c>
      <x:c r="T2402" s="78" t="n">
        <x:f>P2402*(S2402*(1-'Inputs'!$B$15))/(O2402+S2402*(1-'Inputs'!$B$15))</x:f>
        <x:v>1.3665100335170381</x:v>
      </x:c>
      <x:c r="U2402" s="78" t="n">
        <x:f>O2402+S2402*(1-'Inputs'!$B$17)</x:f>
        <x:v>99196185.69086824</x:v>
      </x:c>
      <x:c r="V2402" s="78" t="n">
        <x:f>P2402-T2402</x:f>
        <x:v>292.9208413923816</x:v>
      </x:c>
      <x:c r="W2402" s="79" t="n">
        <x:f>IF(U2402&gt;0,V2402/U2402,0)</x:f>
        <x:v>0.0000029529446052011572</x:v>
      </x:c>
      <x:c r="X2402" s="80" t="n">
        <x:f>W2402*('Inputs'!$B$6-AC2402)</x:f>
        <x:v>2828.971055522112</x:v>
      </x:c>
      <x:c r="Y2402" s="80" t="n">
        <x:f>2*V2402</x:f>
        <x:v>585.8416827847632</x:v>
      </x:c>
      <x:c r="Z2402" s="80" t="n">
        <x:f>K2402*'Inputs'!$B$16+(G2402+R2402)*J2402*'Inputs'!$B$16</x:f>
        <x:v>3.5397687320373064</x:v>
      </x:c>
      <x:c r="AA2402" s="80" t="n">
        <x:f>K2402*(1+'Inputs'!$E$50)/2*'Inputs'!$B$17</x:f>
        <x:v>1.1842549353154876</x:v>
      </x:c>
      <x:c r="AB2402" s="78" t="n">
        <x:f>(IF(J2402&gt;0,K2402*(1-'Inputs'!$E$50)/2/J2402,0)+G2402+R2402)*'Inputs'!$B$17</x:f>
        <x:v>399187.3558746102</x:v>
      </x:c>
      <x:c r="AC2402" s="78" t="n">
        <x:f>AC2401+AB2402</x:f>
        <x:v>41983025.845010765</x:v>
      </x:c>
      <x:c r="AD2402" s="80" t="n">
        <x:f>Z2402/(1+'Inputs'!$C$50)</x:f>
        <x:v>1.7698843660186532</x:v>
      </x:c>
      <x:c r="AE2402" s="80" t="n">
        <x:f>Z2402-AD2402</x:f>
        <x:v>1.7698843660186532</x:v>
      </x:c>
      <x:c r="AF2402" s="80" t="n">
        <x:f>D2402*W2402</x:f>
        <x:v>0.8152674710809739</x:v>
      </x:c>
      <x:c r="AG2402" s="80" t="n">
        <x:f>C2402*W2402</x:f>
        <x:v>1.9022907658555983</x:v>
      </x:c>
      <x:c r="AH2402" s="80" t="n">
        <x:f>2*'Inputs'!$B$8*'Inputs'!$C$50</x:f>
        <x:v>5000</x:v>
      </x:c>
      <x:c r="AI2402" s="81" t="n">
        <x:f>IF(AH2402&gt;0,(AE2402+AF2402)/AH2402*365,0)</x:f>
        <x:v>0.18871608410827279</x:v>
      </x:c>
      <x:c r="AJ2402" s="81" t="n">
        <x:f>IF('Inputs'!$B$50&gt;0,AG2402/('Inputs'!$B$19*'Inputs'!$B$50)*365,0)</x:f>
        <x:v>0.06943361295372934</x:v>
      </x:c>
      <x:c r="AK2402" s="81" t="n">
        <x:f>W2402/MAX($W$2194:W2402)-1</x:f>
        <x:v>-0.996496206438173</x:v>
      </x:c>
      <x:c r="AL2402" s="83" t="n">
        <x:f>'Inputs'!$B$50</x:f>
        <x:v>1</x:v>
      </x:c>
      <x:c r="AM2402" s="83" t="n">
        <x:f>'Inputs'!$C$50</x:f>
        <x:v>1</x:v>
      </x:c>
      <x:c r="AN2402" s="83" t="n">
        <x:f>'Inputs'!$D$50</x:f>
        <x:v>1</x:v>
      </x:c>
      <x:c r="AO2402" s="81" t="n">
        <x:f>'Inputs'!$E$50</x:f>
        <x:v>0</x:v>
      </x:c>
    </x:row>
    <x:row r="2403">
      <x:c r="A2403" s="59" t="str">
        <x:v>Whale exit</x:v>
      </x:c>
      <x:c r="B2403" s="59" t="n">
        <x:v>210</x:v>
      </x:c>
      <x:c r="C2403" s="78" t="n">
        <x:f>(('Inputs'!$B$29*(3*210*'Inputs'!$B$12-210^2)/(2*'Inputs'!$B$12^2))-('Inputs'!$B$29*(3*209*'Inputs'!$B$12-209^2)/(2*'Inputs'!$B$12^2)))*'Inputs'!$B$50</x:f>
        <x:v>643876.196284473</x:v>
      </x:c>
      <x:c r="D2403" s="78" t="n">
        <x:f>IF('Inputs'!$C$50&gt;0,('Inputs'!$B$30*(3*210*'Inputs'!$B$12-210^2)/(2*'Inputs'!$B$12^2))-('Inputs'!$B$30*(3*209*'Inputs'!$B$12-209^2)/(2*'Inputs'!$B$12^2)),0)</x:f>
        <x:v>275946.9412647784</x:v>
      </x:c>
      <x:c r="E2403" s="78" t="n">
        <x:f>C2403+D2403</x:f>
        <x:v>919823.1375492513</x:v>
      </x:c>
      <x:c r="F2403" s="78" t="n">
        <x:f>'Inputs'!$B$13*E2403+(1-'Inputs'!$B$13)/'Inputs'!$B$14*SUM(E2348:E2403)</x:f>
        <x:v>930040.814411708</x:v>
      </x:c>
      <x:c r="G2403" s="78" t="n">
        <x:f>F2403*'Inputs'!$F$50</x:f>
        <x:v>465020.407205854</x:v>
      </x:c>
      <x:c r="H2403" s="78" t="n">
        <x:f>U2402</x:f>
        <x:v>99196185.69086824</x:v>
      </x:c>
      <x:c r="I2403" s="78" t="n">
        <x:f>V2402</x:f>
        <x:v>292.9208413923816</x:v>
      </x:c>
      <x:c r="J2403" s="79" t="n">
        <x:f>IF(H2403&gt;0,I2403/H2403,0)</x:f>
        <x:v>0.0000029529446052011572</x:v>
      </x:c>
      <x:c r="K2403" s="80" t="n">
        <x:f>(H2403*J2403+I2403)*'Inputs'!$D$50*(1+'Inputs'!$G$50)^(B2403/30)</x:f>
        <x:v>585.8416827847632</x:v>
      </x:c>
      <x:c r="L2403" s="80" t="n">
        <x:f>MAX(0,K2403*'Inputs'!$E$50)</x:f>
        <x:v>0</x:v>
      </x:c>
      <x:c r="M2403" s="80" t="n">
        <x:f>MAX(0,-K2403*'Inputs'!$E$50)</x:f>
        <x:v>0</x:v>
      </x:c>
      <x:c r="N2403" s="78" t="n">
        <x:f>H2403*(L2403*(1-'Inputs'!$B$15))/(I2403+L2403*(1-'Inputs'!$B$15))</x:f>
        <x:v>0</x:v>
      </x:c>
      <x:c r="O2403" s="78" t="n">
        <x:f>H2403-N2403</x:f>
        <x:v>99196185.69086824</x:v>
      </x:c>
      <x:c r="P2403" s="78" t="n">
        <x:f>I2403+L2403*(1-'Inputs'!$B$17)</x:f>
        <x:v>292.9208413923816</x:v>
      </x:c>
      <x:c r="Q2403" s="78" t="n">
        <x:f>IF(J2403&gt;0,M2403/J2403,0)</x:f>
        <x:v>0</x:v>
      </x:c>
      <x:c r="R2403" s="78" t="n">
        <x:f>IF(B2403='Inputs'!$H$50,'Inputs'!$B$27*'Inputs'!$I$50,0)</x:f>
        <x:v>0</x:v>
      </x:c>
      <x:c r="S2403" s="78" t="n">
        <x:f>Q2403+G2403+R2403</x:f>
        <x:v>465020.407205854</x:v>
      </x:c>
      <x:c r="T2403" s="78" t="n">
        <x:f>P2403*(S2403*(1-'Inputs'!$B$15))/(O2403+S2403*(1-'Inputs'!$B$15))</x:f>
        <x:v>1.3531676470674543</x:v>
      </x:c>
      <x:c r="U2403" s="78" t="n">
        <x:f>O2403+S2403*(1-'Inputs'!$B$17)</x:f>
        <x:v>99659334.78858836</x:v>
      </x:c>
      <x:c r="V2403" s="78" t="n">
        <x:f>P2403-T2403</x:f>
        <x:v>291.56767374531415</x:v>
      </x:c>
      <x:c r="W2403" s="79" t="n">
        <x:f>IF(U2403&gt;0,V2403/U2403,0)</x:f>
        <x:v>0.000002925643386681531</x:v>
      </x:c>
      <x:c r="X2403" s="80" t="n">
        <x:f>W2403*('Inputs'!$B$6-AC2403)</x:f>
        <x:v>2801.642692175539</x:v>
      </x:c>
      <x:c r="Y2403" s="80" t="n">
        <x:f>2*V2403</x:f>
        <x:v>583.1353474906283</x:v>
      </x:c>
      <x:c r="Z2403" s="80" t="n">
        <x:f>K2403*'Inputs'!$B$16+(G2403+R2403)*J2403*'Inputs'!$B$16</x:f>
        <x:v>3.5232891737251806</x:v>
      </x:c>
      <x:c r="AA2403" s="80" t="n">
        <x:f>K2403*(1+'Inputs'!$E$50)/2*'Inputs'!$B$17</x:f>
        <x:v>1.1787559009753787</x:v>
      </x:c>
      <x:c r="AB2403" s="78" t="n">
        <x:f>(IF(J2403&gt;0,K2403*(1-'Inputs'!$E$50)/2/J2403,0)+G2403+R2403)*'Inputs'!$B$17</x:f>
        <x:v>401051.13117937266</x:v>
      </x:c>
      <x:c r="AC2403" s="78" t="n">
        <x:f>AC2402+AB2403</x:f>
        <x:v>42384076.976190135</x:v>
      </x:c>
      <x:c r="AD2403" s="80" t="n">
        <x:f>Z2403/(1+'Inputs'!$C$50)</x:f>
        <x:v>1.7616445868625903</x:v>
      </x:c>
      <x:c r="AE2403" s="80" t="n">
        <x:f>Z2403-AD2403</x:f>
        <x:v>1.7616445868625903</x:v>
      </x:c>
      <x:c r="AF2403" s="80" t="n">
        <x:f>D2403*W2403</x:f>
        <x:v>0.8073223437862956</x:v>
      </x:c>
      <x:c r="AG2403" s="80" t="n">
        <x:f>C2403*W2403</x:f>
        <x:v>1.8837521355013276</x:v>
      </x:c>
      <x:c r="AH2403" s="80" t="n">
        <x:f>2*'Inputs'!$B$8*'Inputs'!$C$50</x:f>
        <x:v>5000</x:v>
      </x:c>
      <x:c r="AI2403" s="81" t="n">
        <x:f>IF(AH2403&gt;0,(AE2403+AF2403)/AH2403*365,0)</x:f>
        <x:v>0.1875345859373687</x:v>
      </x:c>
      <x:c r="AJ2403" s="81" t="n">
        <x:f>IF('Inputs'!$B$50&gt;0,AG2403/('Inputs'!$B$19*'Inputs'!$B$50)*365,0)</x:f>
        <x:v>0.06875695294579845</x:v>
      </x:c>
      <x:c r="AK2403" s="81" t="n">
        <x:f>W2403/MAX($W$2194:W2403)-1</x:f>
        <x:v>-0.996528600487662</x:v>
      </x:c>
      <x:c r="AL2403" s="83" t="n">
        <x:f>'Inputs'!$B$50</x:f>
        <x:v>1</x:v>
      </x:c>
      <x:c r="AM2403" s="83" t="n">
        <x:f>'Inputs'!$C$50</x:f>
        <x:v>1</x:v>
      </x:c>
      <x:c r="AN2403" s="83" t="n">
        <x:f>'Inputs'!$D$50</x:f>
        <x:v>1</x:v>
      </x:c>
      <x:c r="AO2403" s="81" t="n">
        <x:f>'Inputs'!$E$50</x:f>
        <x:v>0</x:v>
      </x:c>
    </x:row>
    <x:row r="2404">
      <x:c r="A2404" s="59" t="str">
        <x:v>Whale exit</x:v>
      </x:c>
      <x:c r="B2404" s="59" t="n">
        <x:v>211</x:v>
      </x:c>
      <x:c r="C2404" s="78" t="n">
        <x:f>(('Inputs'!$B$29*(3*211*'Inputs'!$B$12-211^2)/(2*'Inputs'!$B$12^2))-('Inputs'!$B$29*(3*210*'Inputs'!$B$12-210^2)/(2*'Inputs'!$B$12^2)))*'Inputs'!$B$50</x:f>
        <x:v>643551.0883843303</x:v>
      </x:c>
      <x:c r="D2404" s="78" t="n">
        <x:f>IF('Inputs'!$C$50&gt;0,('Inputs'!$B$30*(3*211*'Inputs'!$B$12-211^2)/(2*'Inputs'!$B$12^2))-('Inputs'!$B$30*(3*210*'Inputs'!$B$12-210^2)/(2*'Inputs'!$B$12^2)),0)</x:f>
        <x:v>275807.6093075648</x:v>
      </x:c>
      <x:c r="E2404" s="78" t="n">
        <x:f>C2404+D2404</x:f>
        <x:v>919358.6976918951</x:v>
      </x:c>
      <x:c r="F2404" s="78" t="n">
        <x:f>'Inputs'!$B$13*E2404+(1-'Inputs'!$B$13)/'Inputs'!$B$14*SUM(E2349:E2404)</x:f>
        <x:v>929576.3745543299</x:v>
      </x:c>
      <x:c r="G2404" s="78" t="n">
        <x:f>F2404*'Inputs'!$F$50</x:f>
        <x:v>464788.18727716495</x:v>
      </x:c>
      <x:c r="H2404" s="78" t="n">
        <x:f>U2403</x:f>
        <x:v>99659334.78858836</x:v>
      </x:c>
      <x:c r="I2404" s="78" t="n">
        <x:f>V2403</x:f>
        <x:v>291.56767374531415</x:v>
      </x:c>
      <x:c r="J2404" s="79" t="n">
        <x:f>IF(H2404&gt;0,I2404/H2404,0)</x:f>
        <x:v>0.000002925643386681531</x:v>
      </x:c>
      <x:c r="K2404" s="80" t="n">
        <x:f>(H2404*J2404+I2404)*'Inputs'!$D$50*(1+'Inputs'!$G$50)^(B2404/30)</x:f>
        <x:v>583.1353474906283</x:v>
      </x:c>
      <x:c r="L2404" s="80" t="n">
        <x:f>MAX(0,K2404*'Inputs'!$E$50)</x:f>
        <x:v>0</x:v>
      </x:c>
      <x:c r="M2404" s="80" t="n">
        <x:f>MAX(0,-K2404*'Inputs'!$E$50)</x:f>
        <x:v>0</x:v>
      </x:c>
      <x:c r="N2404" s="78" t="n">
        <x:f>H2404*(L2404*(1-'Inputs'!$B$15))/(I2404+L2404*(1-'Inputs'!$B$15))</x:f>
        <x:v>0</x:v>
      </x:c>
      <x:c r="O2404" s="78" t="n">
        <x:f>H2404-N2404</x:f>
        <x:v>99659334.78858836</x:v>
      </x:c>
      <x:c r="P2404" s="78" t="n">
        <x:f>I2404+L2404*(1-'Inputs'!$B$17)</x:f>
        <x:v>291.56767374531415</x:v>
      </x:c>
      <x:c r="Q2404" s="78" t="n">
        <x:f>IF(J2404&gt;0,M2404/J2404,0)</x:f>
        <x:v>0</x:v>
      </x:c>
      <x:c r="R2404" s="78" t="n">
        <x:f>IF(B2404='Inputs'!$H$50,'Inputs'!$B$27*'Inputs'!$I$50,0)</x:f>
        <x:v>0</x:v>
      </x:c>
      <x:c r="S2404" s="78" t="n">
        <x:f>Q2404+G2404+R2404</x:f>
        <x:v>464788.18727716495</x:v>
      </x:c>
      <x:c r="T2404" s="78" t="n">
        <x:f>P2404*(S2404*(1-'Inputs'!$B$15))/(O2404+S2404*(1-'Inputs'!$B$15))</x:f>
        <x:v>1.3400193950004755</x:v>
      </x:c>
      <x:c r="U2404" s="78" t="n">
        <x:f>O2404+S2404*(1-'Inputs'!$B$17)</x:f>
        <x:v>100122252.60086642</x:v>
      </x:c>
      <x:c r="V2404" s="78" t="n">
        <x:f>P2404-T2404</x:f>
        <x:v>290.2276543503137</x:v>
      </x:c>
      <x:c r="W2404" s="79" t="n">
        <x:f>IF(U2404&gt;0,V2404/U2404,0)</x:f>
        <x:v>0.0000028987327673029416</x:v>
      </x:c>
      <x:c r="X2404" s="80" t="n">
        <x:f>W2404*('Inputs'!$B$6-AC2404)</x:f>
        <x:v>2774.704714616235</x:v>
      </x:c>
      <x:c r="Y2404" s="80" t="n">
        <x:f>2*V2404</x:f>
        <x:v>580.4553087006274</x:v>
      </x:c>
      <x:c r="Z2404" s="80" t="n">
        <x:f>K2404*'Inputs'!$B$16+(G2404+R2404)*J2404*'Inputs'!$B$16</x:f>
        <x:v>3.5069709118616608</x:v>
      </x:c>
      <x:c r="AA2404" s="80" t="n">
        <x:f>K2404*(1+'Inputs'!$E$50)/2*'Inputs'!$B$17</x:f>
        <x:v>1.1733105583312442</x:v>
      </x:c>
      <x:c r="AB2404" s="78" t="n">
        <x:f>(IF(J2404&gt;0,K2404*(1-'Inputs'!$E$50)/2/J2404,0)+G2404+R2404)*'Inputs'!$B$17</x:f>
        <x:v>402913.97575801023</x:v>
      </x:c>
      <x:c r="AC2404" s="78" t="n">
        <x:f>AC2403+AB2404</x:f>
        <x:v>42786990.95194814</x:v>
      </x:c>
      <x:c r="AD2404" s="80" t="n">
        <x:f>Z2404/(1+'Inputs'!$C$50)</x:f>
        <x:v>1.7534854559308304</x:v>
      </x:c>
      <x:c r="AE2404" s="80" t="n">
        <x:f>Z2404-AD2404</x:f>
        <x:v>1.7534854559308304</x:v>
      </x:c>
      <x:c r="AF2404" s="80" t="n">
        <x:f>D2404*W2404</x:f>
        <x:v>0.7994925545713258</x:v>
      </x:c>
      <x:c r="AG2404" s="80" t="n">
        <x:f>C2404*W2404</x:f>
        <x:v>1.8654826273331298</x:v>
      </x:c>
      <x:c r="AH2404" s="80" t="n">
        <x:f>2*'Inputs'!$B$8*'Inputs'!$C$50</x:f>
        <x:v>5000</x:v>
      </x:c>
      <x:c r="AI2404" s="81" t="n">
        <x:f>IF(AH2404&gt;0,(AE2404+AF2404)/AH2404*365,0)</x:f>
        <x:v>0.1863673947666574</x:v>
      </x:c>
      <x:c r="AJ2404" s="81" t="n">
        <x:f>IF('Inputs'!$B$50&gt;0,AG2404/('Inputs'!$B$19*'Inputs'!$B$50)*365,0)</x:f>
        <x:v>0.06809011589765923</x:v>
      </x:c>
      <x:c r="AK2404" s="81" t="n">
        <x:f>W2404/MAX($W$2194:W2404)-1</x:f>
        <x:v>-0.9965605310747639</x:v>
      </x:c>
      <x:c r="AL2404" s="83" t="n">
        <x:f>'Inputs'!$B$50</x:f>
        <x:v>1</x:v>
      </x:c>
      <x:c r="AM2404" s="83" t="n">
        <x:f>'Inputs'!$C$50</x:f>
        <x:v>1</x:v>
      </x:c>
      <x:c r="AN2404" s="83" t="n">
        <x:f>'Inputs'!$D$50</x:f>
        <x:v>1</x:v>
      </x:c>
      <x:c r="AO2404" s="81" t="n">
        <x:f>'Inputs'!$E$50</x:f>
        <x:v>0</x:v>
      </x:c>
    </x:row>
    <x:row r="2405">
      <x:c r="A2405" s="59" t="str">
        <x:v>Whale exit</x:v>
      </x:c>
      <x:c r="B2405" s="59" t="n">
        <x:v>212</x:v>
      </x:c>
      <x:c r="C2405" s="78" t="n">
        <x:f>(('Inputs'!$B$29*(3*212*'Inputs'!$B$12-212^2)/(2*'Inputs'!$B$12^2))-('Inputs'!$B$29*(3*211*'Inputs'!$B$12-211^2)/(2*'Inputs'!$B$12^2)))*'Inputs'!$B$50</x:f>
        <x:v>643225.980484128</x:v>
      </x:c>
      <x:c r="D2405" s="78" t="n">
        <x:f>IF('Inputs'!$C$50&gt;0,('Inputs'!$B$30*(3*212*'Inputs'!$B$12-212^2)/(2*'Inputs'!$B$12^2))-('Inputs'!$B$30*(3*211*'Inputs'!$B$12-211^2)/(2*'Inputs'!$B$12^2)),0)</x:f>
        <x:v>275668.27735034376</x:v>
      </x:c>
      <x:c r="E2405" s="78" t="n">
        <x:f>C2405+D2405</x:f>
        <x:v>918894.2578344718</x:v>
      </x:c>
      <x:c r="F2405" s="78" t="n">
        <x:f>'Inputs'!$B$13*E2405+(1-'Inputs'!$B$13)/'Inputs'!$B$14*SUM(E2350:E2405)</x:f>
        <x:v>929111.9346969374</x:v>
      </x:c>
      <x:c r="G2405" s="78" t="n">
        <x:f>F2405*'Inputs'!$F$50</x:f>
        <x:v>464555.9673484687</x:v>
      </x:c>
      <x:c r="H2405" s="78" t="n">
        <x:f>U2404</x:f>
        <x:v>100122252.60086642</x:v>
      </x:c>
      <x:c r="I2405" s="78" t="n">
        <x:f>V2404</x:f>
        <x:v>290.2276543503137</x:v>
      </x:c>
      <x:c r="J2405" s="79" t="n">
        <x:f>IF(H2405&gt;0,I2405/H2405,0)</x:f>
        <x:v>0.0000028987327673029416</x:v>
      </x:c>
      <x:c r="K2405" s="80" t="n">
        <x:f>(H2405*J2405+I2405)*'Inputs'!$D$50*(1+'Inputs'!$G$50)^(B2405/30)</x:f>
        <x:v>580.4553087006274</x:v>
      </x:c>
      <x:c r="L2405" s="80" t="n">
        <x:f>MAX(0,K2405*'Inputs'!$E$50)</x:f>
        <x:v>0</x:v>
      </x:c>
      <x:c r="M2405" s="80" t="n">
        <x:f>MAX(0,-K2405*'Inputs'!$E$50)</x:f>
        <x:v>0</x:v>
      </x:c>
      <x:c r="N2405" s="78" t="n">
        <x:f>H2405*(L2405*(1-'Inputs'!$B$15))/(I2405+L2405*(1-'Inputs'!$B$15))</x:f>
        <x:v>0</x:v>
      </x:c>
      <x:c r="O2405" s="78" t="n">
        <x:f>H2405-N2405</x:f>
        <x:v>100122252.60086642</x:v>
      </x:c>
      <x:c r="P2405" s="78" t="n">
        <x:f>I2405+L2405*(1-'Inputs'!$B$17)</x:f>
        <x:v>290.2276543503137</x:v>
      </x:c>
      <x:c r="Q2405" s="78" t="n">
        <x:f>IF(J2405&gt;0,M2405/J2405,0)</x:f>
        <x:v>0</x:v>
      </x:c>
      <x:c r="R2405" s="78" t="n">
        <x:f>IF(B2405='Inputs'!$H$50,'Inputs'!$B$27*'Inputs'!$I$50,0)</x:f>
        <x:v>0</x:v>
      </x:c>
      <x:c r="S2405" s="78" t="n">
        <x:f>Q2405+G2405+R2405</x:f>
        <x:v>464555.9673484687</x:v>
      </x:c>
      <x:c r="T2405" s="78" t="n">
        <x:f>P2405*(S2405*(1-'Inputs'!$B$15))/(O2405+S2405*(1-'Inputs'!$B$15))</x:f>
        <x:v>1.327061526997308</x:v>
      </x:c>
      <x:c r="U2405" s="78" t="n">
        <x:f>O2405+S2405*(1-'Inputs'!$B$17)</x:f>
        <x:v>100584939.12770241</x:v>
      </x:c>
      <x:c r="V2405" s="78" t="n">
        <x:f>P2405-T2405</x:f>
        <x:v>288.9005928233164</x:v>
      </x:c>
      <x:c r="W2405" s="79" t="n">
        <x:f>IF(U2405&gt;0,V2405/U2405,0)</x:f>
        <x:v>0.0000028722052757473846</x:v>
      </x:c>
      <x:c r="X2405" s="80" t="n">
        <x:f>W2405*('Inputs'!$B$6-AC2405)</x:f>
        <x:v>2748.1496551562086</x:v>
      </x:c>
      <x:c r="Y2405" s="80" t="n">
        <x:f>2*V2405</x:f>
        <x:v>577.8011856466328</x:v>
      </x:c>
      <x:c r="Z2405" s="80" t="n">
        <x:f>K2405*'Inputs'!$B$16+(G2405+R2405)*J2405*'Inputs'!$B$16</x:f>
        <x:v>3.490811593832559</x:v>
      </x:c>
      <x:c r="AA2405" s="80" t="n">
        <x:f>K2405*(1+'Inputs'!$E$50)/2*'Inputs'!$B$17</x:f>
        <x:v>1.1679181261582041</x:v>
      </x:c>
      <x:c r="AB2405" s="78" t="n">
        <x:f>(IF(J2405&gt;0,K2405*(1-'Inputs'!$E$50)/2/J2405,0)+G2405+R2405)*'Inputs'!$B$17</x:f>
        <x:v>404775.8896105227</x:v>
      </x:c>
      <x:c r="AC2405" s="78" t="n">
        <x:f>AC2404+AB2405</x:f>
        <x:v>43191766.841558665</x:v>
      </x:c>
      <x:c r="AD2405" s="80" t="n">
        <x:f>Z2405/(1+'Inputs'!$C$50)</x:f>
        <x:v>1.7454057969162795</x:v>
      </x:c>
      <x:c r="AE2405" s="80" t="n">
        <x:f>Z2405-AD2405</x:f>
        <x:v>1.7454057969162795</x:v>
      </x:c>
      <x:c r="AF2405" s="80" t="n">
        <x:f>D2405*W2405</x:f>
        <x:v>0.7917758805618506</x:v>
      </x:c>
      <x:c r="AG2405" s="80" t="n">
        <x:f>C2405*W2405</x:f>
        <x:v>1.8474770546442967</x:v>
      </x:c>
      <x:c r="AH2405" s="80" t="n">
        <x:f>2*'Inputs'!$B$8*'Inputs'!$C$50</x:f>
        <x:v>5000</x:v>
      </x:c>
      <x:c r="AI2405" s="81" t="n">
        <x:f>IF(AH2405&gt;0,(AE2405+AF2405)/AH2405*365,0)</x:f>
        <x:v>0.18521426245590347</x:v>
      </x:c>
      <x:c r="AJ2405" s="81" t="n">
        <x:f>IF('Inputs'!$B$50&gt;0,AG2405/('Inputs'!$B$19*'Inputs'!$B$50)*365,0)</x:f>
        <x:v>0.06743291249451683</x:v>
      </x:c>
      <x:c r="AK2405" s="81" t="n">
        <x:f>W2405/MAX($W$2194:W2405)-1</x:f>
        <x:v>-0.9965920070645133</x:v>
      </x:c>
      <x:c r="AL2405" s="83" t="n">
        <x:f>'Inputs'!$B$50</x:f>
        <x:v>1</x:v>
      </x:c>
      <x:c r="AM2405" s="83" t="n">
        <x:f>'Inputs'!$C$50</x:f>
        <x:v>1</x:v>
      </x:c>
      <x:c r="AN2405" s="83" t="n">
        <x:f>'Inputs'!$D$50</x:f>
        <x:v>1</x:v>
      </x:c>
      <x:c r="AO2405" s="81" t="n">
        <x:f>'Inputs'!$E$50</x:f>
        <x:v>0</x:v>
      </x:c>
    </x:row>
    <x:row r="2406">
      <x:c r="A2406" s="59" t="str">
        <x:v>Whale exit</x:v>
      </x:c>
      <x:c r="B2406" s="59" t="n">
        <x:v>213</x:v>
      </x:c>
      <x:c r="C2406" s="78" t="n">
        <x:f>(('Inputs'!$B$29*(3*213*'Inputs'!$B$12-213^2)/(2*'Inputs'!$B$12^2))-('Inputs'!$B$29*(3*212*'Inputs'!$B$12-212^2)/(2*'Inputs'!$B$12^2)))*'Inputs'!$B$50</x:f>
        <x:v>642900.8725839853</x:v>
      </x:c>
      <x:c r="D2406" s="78" t="n">
        <x:f>IF('Inputs'!$C$50&gt;0,('Inputs'!$B$30*(3*213*'Inputs'!$B$12-213^2)/(2*'Inputs'!$B$12^2))-('Inputs'!$B$30*(3*212*'Inputs'!$B$12-212^2)/(2*'Inputs'!$B$12^2)),0)</x:f>
        <x:v>275528.9453931302</x:v>
      </x:c>
      <x:c r="E2406" s="78" t="n">
        <x:f>C2406+D2406</x:f>
        <x:v>918429.8179771155</x:v>
      </x:c>
      <x:c r="F2406" s="78" t="n">
        <x:f>'Inputs'!$B$13*E2406+(1-'Inputs'!$B$13)/'Inputs'!$B$14*SUM(E2351:E2406)</x:f>
        <x:v>928647.4948395591</x:v>
      </x:c>
      <x:c r="G2406" s="78" t="n">
        <x:f>F2406*'Inputs'!$F$50</x:f>
        <x:v>464323.74741977954</x:v>
      </x:c>
      <x:c r="H2406" s="78" t="n">
        <x:f>U2405</x:f>
        <x:v>100584939.12770241</x:v>
      </x:c>
      <x:c r="I2406" s="78" t="n">
        <x:f>V2405</x:f>
        <x:v>288.9005928233164</x:v>
      </x:c>
      <x:c r="J2406" s="79" t="n">
        <x:f>IF(H2406&gt;0,I2406/H2406,0)</x:f>
        <x:v>0.0000028722052757473846</x:v>
      </x:c>
      <x:c r="K2406" s="80" t="n">
        <x:f>(H2406*J2406+I2406)*'Inputs'!$D$50*(1+'Inputs'!$G$50)^(B2406/30)</x:f>
        <x:v>577.8011856466328</x:v>
      </x:c>
      <x:c r="L2406" s="80" t="n">
        <x:f>MAX(0,K2406*'Inputs'!$E$50)</x:f>
        <x:v>0</x:v>
      </x:c>
      <x:c r="M2406" s="80" t="n">
        <x:f>MAX(0,-K2406*'Inputs'!$E$50)</x:f>
        <x:v>0</x:v>
      </x:c>
      <x:c r="N2406" s="78" t="n">
        <x:f>H2406*(L2406*(1-'Inputs'!$B$15))/(I2406+L2406*(1-'Inputs'!$B$15))</x:f>
        <x:v>0</x:v>
      </x:c>
      <x:c r="O2406" s="78" t="n">
        <x:f>H2406-N2406</x:f>
        <x:v>100584939.12770241</x:v>
      </x:c>
      <x:c r="P2406" s="78" t="n">
        <x:f>I2406+L2406*(1-'Inputs'!$B$17)</x:f>
        <x:v>288.9005928233164</x:v>
      </x:c>
      <x:c r="Q2406" s="78" t="n">
        <x:f>IF(J2406&gt;0,M2406/J2406,0)</x:f>
        <x:v>0</x:v>
      </x:c>
      <x:c r="R2406" s="78" t="n">
        <x:f>IF(B2406='Inputs'!$H$50,'Inputs'!$B$27*'Inputs'!$I$50,0)</x:f>
        <x:v>0</x:v>
      </x:c>
      <x:c r="S2406" s="78" t="n">
        <x:f>Q2406+G2406+R2406</x:f>
        <x:v>464323.74741977954</x:v>
      </x:c>
      <x:c r="T2406" s="78" t="n">
        <x:f>P2406*(S2406*(1-'Inputs'!$B$15))/(O2406+S2406*(1-'Inputs'!$B$15))</x:f>
        <x:v>1.3142903828906347</x:v>
      </x:c>
      <x:c r="U2406" s="78" t="n">
        <x:f>O2406+S2406*(1-'Inputs'!$B$17)</x:f>
        <x:v>101047394.36909635</x:v>
      </x:c>
      <x:c r="V2406" s="78" t="n">
        <x:f>P2406-T2406</x:f>
        <x:v>287.58630244042575</x:v>
      </x:c>
      <x:c r="W2406" s="79" t="n">
        <x:f>IF(U2406&gt;0,V2406/U2406,0)</x:f>
        <x:v>0.0000028460536190567937</x:v>
      </x:c>
      <x:c r="X2406" s="80" t="n">
        <x:f>W2406*('Inputs'!$B$6-AC2406)</x:f>
        <x:v>2721.9702243806237</x:v>
      </x:c>
      <x:c r="Y2406" s="80" t="n">
        <x:f>2*V2406</x:f>
        <x:v>575.1726048808515</x:v>
      </x:c>
      <x:c r="Z2406" s="80" t="n">
        <x:f>K2406*'Inputs'!$B$16+(G2406+R2406)*J2406*'Inputs'!$B$16</x:f>
        <x:v>3.4748089125817603</x:v>
      </x:c>
      <x:c r="AA2406" s="80" t="n">
        <x:f>K2406*(1+'Inputs'!$E$50)/2*'Inputs'!$B$17</x:f>
        <x:v>1.1625778383232048</x:v>
      </x:c>
      <x:c r="AB2406" s="78" t="n">
        <x:f>(IF(J2406&gt;0,K2406*(1-'Inputs'!$E$50)/2/J2406,0)+G2406+R2406)*'Inputs'!$B$17</x:f>
        <x:v>406636.87273691024</x:v>
      </x:c>
      <x:c r="AC2406" s="78" t="n">
        <x:f>AC2405+AB2406</x:f>
        <x:v>43598403.71429557</x:v>
      </x:c>
      <x:c r="AD2406" s="80" t="n">
        <x:f>Z2406/(1+'Inputs'!$C$50)</x:f>
        <x:v>1.7374044562908801</x:v>
      </x:c>
      <x:c r="AE2406" s="80" t="n">
        <x:f>Z2406-AD2406</x:f>
        <x:v>1.7374044562908801</x:v>
      </x:c>
      <x:c r="AF2406" s="80" t="n">
        <x:f>D2406*W2406</x:f>
        <x:v>0.7841701521910198</x:v>
      </x:c>
      <x:c r="AG2406" s="80" t="n">
        <x:f>C2406*W2406</x:f>
        <x:v>1.829730355112422</x:v>
      </x:c>
      <x:c r="AH2406" s="80" t="n">
        <x:f>2*'Inputs'!$B$8*'Inputs'!$C$50</x:f>
        <x:v>5000</x:v>
      </x:c>
      <x:c r="AI2406" s="81" t="n">
        <x:f>IF(AH2406&gt;0,(AE2406+AF2406)/AH2406*365,0)</x:f>
        <x:v>0.18407494641917868</x:v>
      </x:c>
      <x:c r="AJ2406" s="81" t="n">
        <x:f>IF('Inputs'!$B$50&gt;0,AG2406/('Inputs'!$B$19*'Inputs'!$B$50)*365,0)</x:f>
        <x:v>0.0667851579616034</x:v>
      </x:c>
      <x:c r="AK2406" s="81" t="n">
        <x:f>W2406/MAX($W$2194:W2406)-1</x:f>
        <x:v>-0.9966230371103131</x:v>
      </x:c>
      <x:c r="AL2406" s="83" t="n">
        <x:f>'Inputs'!$B$50</x:f>
        <x:v>1</x:v>
      </x:c>
      <x:c r="AM2406" s="83" t="n">
        <x:f>'Inputs'!$C$50</x:f>
        <x:v>1</x:v>
      </x:c>
      <x:c r="AN2406" s="83" t="n">
        <x:f>'Inputs'!$D$50</x:f>
        <x:v>1</x:v>
      </x:c>
      <x:c r="AO2406" s="81" t="n">
        <x:f>'Inputs'!$E$50</x:f>
        <x:v>0</x:v>
      </x:c>
    </x:row>
    <x:row r="2407">
      <x:c r="A2407" s="59" t="str">
        <x:v>Whale exit</x:v>
      </x:c>
      <x:c r="B2407" s="59" t="n">
        <x:v>214</x:v>
      </x:c>
      <x:c r="C2407" s="78" t="n">
        <x:f>(('Inputs'!$B$29*(3*214*'Inputs'!$B$12-214^2)/(2*'Inputs'!$B$12^2))-('Inputs'!$B$29*(3*213*'Inputs'!$B$12-213^2)/(2*'Inputs'!$B$12^2)))*'Inputs'!$B$50</x:f>
        <x:v>642575.764683783</x:v>
      </x:c>
      <x:c r="D2407" s="78" t="n">
        <x:f>IF('Inputs'!$C$50&gt;0,('Inputs'!$B$30*(3*214*'Inputs'!$B$12-214^2)/(2*'Inputs'!$B$12^2))-('Inputs'!$B$30*(3*213*'Inputs'!$B$12-213^2)/(2*'Inputs'!$B$12^2)),0)</x:f>
        <x:v>275389.6134359166</x:v>
      </x:c>
      <x:c r="E2407" s="78" t="n">
        <x:f>C2407+D2407</x:f>
        <x:v>917965.3781196997</x:v>
      </x:c>
      <x:c r="F2407" s="78" t="n">
        <x:f>'Inputs'!$B$13*E2407+(1-'Inputs'!$B$13)/'Inputs'!$B$14*SUM(E2352:E2407)</x:f>
        <x:v>928183.0549821684</x:v>
      </x:c>
      <x:c r="G2407" s="78" t="n">
        <x:f>F2407*'Inputs'!$F$50</x:f>
        <x:v>464091.5274910842</x:v>
      </x:c>
      <x:c r="H2407" s="78" t="n">
        <x:f>U2406</x:f>
        <x:v>101047394.36909635</x:v>
      </x:c>
      <x:c r="I2407" s="78" t="n">
        <x:f>V2406</x:f>
        <x:v>287.58630244042575</x:v>
      </x:c>
      <x:c r="J2407" s="79" t="n">
        <x:f>IF(H2407&gt;0,I2407/H2407,0)</x:f>
        <x:v>0.0000028460536190567937</x:v>
      </x:c>
      <x:c r="K2407" s="80" t="n">
        <x:f>(H2407*J2407+I2407)*'Inputs'!$D$50*(1+'Inputs'!$G$50)^(B2407/30)</x:f>
        <x:v>575.1726048808515</x:v>
      </x:c>
      <x:c r="L2407" s="80" t="n">
        <x:f>MAX(0,K2407*'Inputs'!$E$50)</x:f>
        <x:v>0</x:v>
      </x:c>
      <x:c r="M2407" s="80" t="n">
        <x:f>MAX(0,-K2407*'Inputs'!$E$50)</x:f>
        <x:v>0</x:v>
      </x:c>
      <x:c r="N2407" s="78" t="n">
        <x:f>H2407*(L2407*(1-'Inputs'!$B$15))/(I2407+L2407*(1-'Inputs'!$B$15))</x:f>
        <x:v>0</x:v>
      </x:c>
      <x:c r="O2407" s="78" t="n">
        <x:f>H2407-N2407</x:f>
        <x:v>101047394.36909635</x:v>
      </x:c>
      <x:c r="P2407" s="78" t="n">
        <x:f>I2407+L2407*(1-'Inputs'!$B$17)</x:f>
        <x:v>287.58630244042575</x:v>
      </x:c>
      <x:c r="Q2407" s="78" t="n">
        <x:f>IF(J2407&gt;0,M2407/J2407,0)</x:f>
        <x:v>0</x:v>
      </x:c>
      <x:c r="R2407" s="78" t="n">
        <x:f>IF(B2407='Inputs'!$H$50,'Inputs'!$B$27*'Inputs'!$I$50,0)</x:f>
        <x:v>0</x:v>
      </x:c>
      <x:c r="S2407" s="78" t="n">
        <x:f>Q2407+G2407+R2407</x:f>
        <x:v>464091.5274910842</x:v>
      </x:c>
      <x:c r="T2407" s="78" t="n">
        <x:f>P2407*(S2407*(1-'Inputs'!$B$15))/(O2407+S2407*(1-'Inputs'!$B$15))</x:f>
        <x:v>1.301702390075908</x:v>
      </x:c>
      <x:c r="U2407" s="78" t="n">
        <x:f>O2407+S2407*(1-'Inputs'!$B$17)</x:f>
        <x:v>101509618.32504824</x:v>
      </x:c>
      <x:c r="V2407" s="78" t="n">
        <x:f>P2407-T2407</x:f>
        <x:v>286.28460005034987</x:v>
      </x:c>
      <x:c r="W2407" s="79" t="n">
        <x:f>IF(U2407&gt;0,V2407/U2407,0)</x:f>
        <x:v>0.0000028202706775394018</x:v>
      </x:c>
      <x:c r="X2407" s="80" t="n">
        <x:f>W2407*('Inputs'!$B$6-AC2407)</x:f>
        <x:v>2696.1593060566197</x:v>
      </x:c>
      <x:c r="Y2407" s="80" t="n">
        <x:f>2*V2407</x:f>
        <x:v>572.5692001006997</x:v>
      </x:c>
      <x:c r="Z2407" s="80" t="n">
        <x:f>K2407*'Inputs'!$B$16+(G2407+R2407)*J2407*'Inputs'!$B$16</x:f>
        <x:v>3.4589606055134468</x:v>
      </x:c>
      <x:c r="AA2407" s="80" t="n">
        <x:f>K2407*(1+'Inputs'!$E$50)/2*'Inputs'!$B$17</x:f>
        <x:v>1.1572889434222364</x:v>
      </x:c>
      <x:c r="AB2407" s="78" t="n">
        <x:f>(IF(J2407&gt;0,K2407*(1-'Inputs'!$E$50)/2/J2407,0)+G2407+R2407)*'Inputs'!$B$17</x:f>
        <x:v>408496.9251371728</x:v>
      </x:c>
      <x:c r="AC2407" s="78" t="n">
        <x:f>AC2406+AB2407</x:f>
        <x:v>44006900.63943274</x:v>
      </x:c>
      <x:c r="AD2407" s="80" t="n">
        <x:f>Z2407/(1+'Inputs'!$C$50)</x:f>
        <x:v>1.7294803027567234</x:v>
      </x:c>
      <x:c r="AE2407" s="80" t="n">
        <x:f>Z2407-AD2407</x:f>
        <x:v>1.7294803027567234</x:v>
      </x:c>
      <x:c r="AF2407" s="80" t="n">
        <x:f>D2407*W2407</x:f>
        <x:v>0.7766732516722265</x:v>
      </x:c>
      <x:c r="AG2407" s="80" t="n">
        <x:f>C2407*W2407</x:f>
        <x:v>1.812237587235132</x:v>
      </x:c>
      <x:c r="AH2407" s="80" t="n">
        <x:f>2*'Inputs'!$B$8*'Inputs'!$C$50</x:f>
        <x:v>5000</x:v>
      </x:c>
      <x:c r="AI2407" s="81" t="n">
        <x:f>IF(AH2407&gt;0,(AE2407+AF2407)/AH2407*365,0)</x:f>
        <x:v>0.18294920947331333</x:v>
      </x:c>
      <x:c r="AJ2407" s="81" t="n">
        <x:f>IF('Inputs'!$B$50&gt;0,AG2407/('Inputs'!$B$19*'Inputs'!$B$50)*365,0)</x:f>
        <x:v>0.06614667193408232</x:v>
      </x:c>
      <x:c r="AK2407" s="81" t="n">
        <x:f>W2407/MAX($W$2194:W2407)-1</x:f>
        <x:v>-0.9966536296599784</x:v>
      </x:c>
      <x:c r="AL2407" s="83" t="n">
        <x:f>'Inputs'!$B$50</x:f>
        <x:v>1</x:v>
      </x:c>
      <x:c r="AM2407" s="83" t="n">
        <x:f>'Inputs'!$C$50</x:f>
        <x:v>1</x:v>
      </x:c>
      <x:c r="AN2407" s="83" t="n">
        <x:f>'Inputs'!$D$50</x:f>
        <x:v>1</x:v>
      </x:c>
      <x:c r="AO2407" s="81" t="n">
        <x:f>'Inputs'!$E$50</x:f>
        <x:v>0</x:v>
      </x:c>
    </x:row>
    <x:row r="2408">
      <x:c r="A2408" s="59" t="str">
        <x:v>Whale exit</x:v>
      </x:c>
      <x:c r="B2408" s="59" t="n">
        <x:v>215</x:v>
      </x:c>
      <x:c r="C2408" s="78" t="n">
        <x:f>(('Inputs'!$B$29*(3*215*'Inputs'!$B$12-215^2)/(2*'Inputs'!$B$12^2))-('Inputs'!$B$29*(3*214*'Inputs'!$B$12-214^2)/(2*'Inputs'!$B$12^2)))*'Inputs'!$B$50</x:f>
        <x:v>642250.6567836404</x:v>
      </x:c>
      <x:c r="D2408" s="78" t="n">
        <x:f>IF('Inputs'!$C$50&gt;0,('Inputs'!$B$30*(3*215*'Inputs'!$B$12-215^2)/(2*'Inputs'!$B$12^2))-('Inputs'!$B$30*(3*214*'Inputs'!$B$12-214^2)/(2*'Inputs'!$B$12^2)),0)</x:f>
        <x:v>275250.281478703</x:v>
      </x:c>
      <x:c r="E2408" s="78" t="n">
        <x:f>C2408+D2408</x:f>
        <x:v>917500.9382623434</x:v>
      </x:c>
      <x:c r="F2408" s="78" t="n">
        <x:f>'Inputs'!$B$13*E2408+(1-'Inputs'!$B$13)/'Inputs'!$B$14*SUM(E2353:E2408)</x:f>
        <x:v>927718.6151247899</x:v>
      </x:c>
      <x:c r="G2408" s="78" t="n">
        <x:f>F2408*'Inputs'!$F$50</x:f>
        <x:v>463859.30756239494</x:v>
      </x:c>
      <x:c r="H2408" s="78" t="n">
        <x:f>U2407</x:f>
        <x:v>101509618.32504824</x:v>
      </x:c>
      <x:c r="I2408" s="78" t="n">
        <x:f>V2407</x:f>
        <x:v>286.28460005034987</x:v>
      </x:c>
      <x:c r="J2408" s="79" t="n">
        <x:f>IF(H2408&gt;0,I2408/H2408,0)</x:f>
        <x:v>0.0000028202706775394018</x:v>
      </x:c>
      <x:c r="K2408" s="80" t="n">
        <x:f>(H2408*J2408+I2408)*'Inputs'!$D$50*(1+'Inputs'!$G$50)^(B2408/30)</x:f>
        <x:v>572.5692001006997</x:v>
      </x:c>
      <x:c r="L2408" s="80" t="n">
        <x:f>MAX(0,K2408*'Inputs'!$E$50)</x:f>
        <x:v>0</x:v>
      </x:c>
      <x:c r="M2408" s="80" t="n">
        <x:f>MAX(0,-K2408*'Inputs'!$E$50)</x:f>
        <x:v>0</x:v>
      </x:c>
      <x:c r="N2408" s="78" t="n">
        <x:f>H2408*(L2408*(1-'Inputs'!$B$15))/(I2408+L2408*(1-'Inputs'!$B$15))</x:f>
        <x:v>0</x:v>
      </x:c>
      <x:c r="O2408" s="78" t="n">
        <x:f>H2408-N2408</x:f>
        <x:v>101509618.32504824</x:v>
      </x:c>
      <x:c r="P2408" s="78" t="n">
        <x:f>I2408+L2408*(1-'Inputs'!$B$17)</x:f>
        <x:v>286.28460005034987</x:v>
      </x:c>
      <x:c r="Q2408" s="78" t="n">
        <x:f>IF(J2408&gt;0,M2408/J2408,0)</x:f>
        <x:v>0</x:v>
      </x:c>
      <x:c r="R2408" s="78" t="n">
        <x:f>IF(B2408='Inputs'!$H$50,'Inputs'!$B$27*'Inputs'!$I$50,0)</x:f>
        <x:v>0</x:v>
      </x:c>
      <x:c r="S2408" s="78" t="n">
        <x:f>Q2408+G2408+R2408</x:f>
        <x:v>463859.30756239494</x:v>
      </x:c>
      <x:c r="T2408" s="78" t="n">
        <x:f>P2408*(S2408*(1-'Inputs'!$B$15))/(O2408+S2408*(1-'Inputs'!$B$15))</x:f>
        <x:v>1.2892940610092547</x:v>
      </x:c>
      <x:c r="U2408" s="78" t="n">
        <x:f>O2408+S2408*(1-'Inputs'!$B$17)</x:f>
        <x:v>101971610.99555807</x:v>
      </x:c>
      <x:c r="V2408" s="78" t="n">
        <x:f>P2408-T2408</x:f>
        <x:v>284.99530598934064</x:v>
      </x:c>
      <x:c r="W2408" s="79" t="n">
        <x:f>IF(U2408&gt;0,V2408/U2408,0)</x:f>
        <x:v>0.0000027948494998451597</x:v>
      </x:c>
      <x:c r="X2408" s="80" t="n">
        <x:f>W2408*('Inputs'!$B$6-AC2408)</x:f>
        <x:v>2670.7099522111166</x:v>
      </x:c>
      <x:c r="Y2408" s="80" t="n">
        <x:f>2*V2408</x:f>
        <x:v>569.9906119786813</x:v>
      </x:c>
      <x:c r="Z2408" s="80" t="n">
        <x:f>K2408*'Inputs'!$B$16+(G2408+R2408)*J2408*'Inputs'!$B$16</x:f>
        <x:v>3.4432644534259302</x:v>
      </x:c>
      <x:c r="AA2408" s="80" t="n">
        <x:f>K2408*(1+'Inputs'!$E$50)/2*'Inputs'!$B$17</x:f>
        <x:v>1.1520507044279673</x:v>
      </x:c>
      <x:c r="AB2408" s="78" t="n">
        <x:f>(IF(J2408&gt;0,K2408*(1-'Inputs'!$E$50)/2/J2408,0)+G2408+R2408)*'Inputs'!$B$17</x:f>
        <x:v>410356.04681131046</x:v>
      </x:c>
      <x:c r="AC2408" s="78" t="n">
        <x:f>AC2407+AB2408</x:f>
        <x:v>44417256.686244056</x:v>
      </x:c>
      <x:c r="AD2408" s="80" t="n">
        <x:f>Z2408/(1+'Inputs'!$C$50)</x:f>
        <x:v>1.7216322267129651</x:v>
      </x:c>
      <x:c r="AE2408" s="80" t="n">
        <x:f>Z2408-AD2408</x:f>
        <x:v>1.7216322267129651</x:v>
      </x:c>
      <x:c r="AF2408" s="80" t="n">
        <x:f>D2408*W2408</x:f>
        <x:v>0.7692831115229926</x:v>
      </x:c>
      <x:c r="AG2408" s="80" t="n">
        <x:f>C2408*W2408</x:f>
        <x:v>1.7949939268869828</x:v>
      </x:c>
      <x:c r="AH2408" s="80" t="n">
        <x:f>2*'Inputs'!$B$8*'Inputs'!$C$50</x:f>
        <x:v>5000</x:v>
      </x:c>
      <x:c r="AI2408" s="81" t="n">
        <x:f>IF(AH2408&gt;0,(AE2408+AF2408)/AH2408*365,0)</x:f>
        <x:v>0.18183681969122492</x:v>
      </x:c>
      <x:c r="AJ2408" s="81" t="n">
        <x:f>IF('Inputs'!$B$50&gt;0,AG2408/('Inputs'!$B$19*'Inputs'!$B$50)*365,0)</x:f>
        <x:v>0.06551727833137487</x:v>
      </x:c>
      <x:c r="AK2408" s="81" t="n">
        <x:f>W2408/MAX($W$2194:W2408)-1</x:f>
        <x:v>-0.9966837929615799</x:v>
      </x:c>
      <x:c r="AL2408" s="83" t="n">
        <x:f>'Inputs'!$B$50</x:f>
        <x:v>1</x:v>
      </x:c>
      <x:c r="AM2408" s="83" t="n">
        <x:f>'Inputs'!$C$50</x:f>
        <x:v>1</x:v>
      </x:c>
      <x:c r="AN2408" s="83" t="n">
        <x:f>'Inputs'!$D$50</x:f>
        <x:v>1</x:v>
      </x:c>
      <x:c r="AO2408" s="81" t="n">
        <x:f>'Inputs'!$E$50</x:f>
        <x:v>0</x:v>
      </x:c>
    </x:row>
    <x:row r="2409">
      <x:c r="A2409" s="59" t="str">
        <x:v>Whale exit</x:v>
      </x:c>
      <x:c r="B2409" s="59" t="n">
        <x:v>216</x:v>
      </x:c>
      <x:c r="C2409" s="78" t="n">
        <x:f>(('Inputs'!$B$29*(3*216*'Inputs'!$B$12-216^2)/(2*'Inputs'!$B$12^2))-('Inputs'!$B$29*(3*215*'Inputs'!$B$12-215^2)/(2*'Inputs'!$B$12^2)))*'Inputs'!$B$50</x:f>
        <x:v>641925.5488834679</x:v>
      </x:c>
      <x:c r="D2409" s="78" t="n">
        <x:f>IF('Inputs'!$C$50&gt;0,('Inputs'!$B$30*(3*216*'Inputs'!$B$12-216^2)/(2*'Inputs'!$B$12^2))-('Inputs'!$B$30*(3*215*'Inputs'!$B$12-215^2)/(2*'Inputs'!$B$12^2)),0)</x:f>
        <x:v>275110.94952148944</x:v>
      </x:c>
      <x:c r="E2409" s="78" t="n">
        <x:f>C2409+D2409</x:f>
        <x:v>917036.4984049574</x:v>
      </x:c>
      <x:c r="F2409" s="78" t="n">
        <x:f>'Inputs'!$B$13*E2409+(1-'Inputs'!$B$13)/'Inputs'!$B$14*SUM(E2354:E2409)</x:f>
        <x:v>927254.1752674056</x:v>
      </x:c>
      <x:c r="G2409" s="78" t="n">
        <x:f>F2409*'Inputs'!$F$50</x:f>
        <x:v>463627.0876337028</x:v>
      </x:c>
      <x:c r="H2409" s="78" t="n">
        <x:f>U2408</x:f>
        <x:v>101971610.99555807</x:v>
      </x:c>
      <x:c r="I2409" s="78" t="n">
        <x:f>V2408</x:f>
        <x:v>284.99530598934064</x:v>
      </x:c>
      <x:c r="J2409" s="79" t="n">
        <x:f>IF(H2409&gt;0,I2409/H2409,0)</x:f>
        <x:v>0.0000027948494998451597</x:v>
      </x:c>
      <x:c r="K2409" s="80" t="n">
        <x:f>(H2409*J2409+I2409)*'Inputs'!$D$50*(1+'Inputs'!$G$50)^(B2409/30)</x:f>
        <x:v>569.9906119786813</x:v>
      </x:c>
      <x:c r="L2409" s="80" t="n">
        <x:f>MAX(0,K2409*'Inputs'!$E$50)</x:f>
        <x:v>0</x:v>
      </x:c>
      <x:c r="M2409" s="80" t="n">
        <x:f>MAX(0,-K2409*'Inputs'!$E$50)</x:f>
        <x:v>0</x:v>
      </x:c>
      <x:c r="N2409" s="78" t="n">
        <x:f>H2409*(L2409*(1-'Inputs'!$B$15))/(I2409+L2409*(1-'Inputs'!$B$15))</x:f>
        <x:v>0</x:v>
      </x:c>
      <x:c r="O2409" s="78" t="n">
        <x:f>H2409-N2409</x:f>
        <x:v>101971610.99555807</x:v>
      </x:c>
      <x:c r="P2409" s="78" t="n">
        <x:f>I2409+L2409*(1-'Inputs'!$B$17)</x:f>
        <x:v>284.99530598934064</x:v>
      </x:c>
      <x:c r="Q2409" s="78" t="n">
        <x:f>IF(J2409&gt;0,M2409/J2409,0)</x:f>
        <x:v>0</x:v>
      </x:c>
      <x:c r="R2409" s="78" t="n">
        <x:f>IF(B2409='Inputs'!$H$50,'Inputs'!$B$27*'Inputs'!$I$50,0)</x:f>
        <x:v>0</x:v>
      </x:c>
      <x:c r="S2409" s="78" t="n">
        <x:f>Q2409+G2409+R2409</x:f>
        <x:v>463627.0876337028</x:v>
      </x:c>
      <x:c r="T2409" s="78" t="n">
        <x:f>P2409*(S2409*(1-'Inputs'!$B$15))/(O2409+S2409*(1-'Inputs'!$B$15))</x:f>
        <x:v>1.2770619907881402</x:v>
      </x:c>
      <x:c r="U2409" s="78" t="n">
        <x:f>O2409+S2409*(1-'Inputs'!$B$17)</x:f>
        <x:v>102433372.38062584</x:v>
      </x:c>
      <x:c r="V2409" s="78" t="n">
        <x:f>P2409-T2409</x:f>
        <x:v>283.7182439985525</x:v>
      </x:c>
      <x:c r="W2409" s="79" t="n">
        <x:f>IF(U2409&gt;0,V2409/U2409,0)</x:f>
        <x:v>0.000002769783298203845</x:v>
      </x:c>
      <x:c r="X2409" s="80" t="n">
        <x:f>W2409*('Inputs'!$B$6-AC2409)</x:f>
        <x:v>2645.6153783712257</x:v>
      </x:c>
      <x:c r="Y2409" s="80" t="n">
        <x:f>2*V2409</x:f>
        <x:v>567.436487997105</x:v>
      </x:c>
      <x:c r="Z2409" s="80" t="n">
        <x:f>K2409*'Inputs'!$B$16+(G2409+R2409)*J2409*'Inputs'!$B$16</x:f>
        <x:v>3.427718279476014</x:v>
      </x:c>
      <x:c r="AA2409" s="80" t="n">
        <x:f>K2409*(1+'Inputs'!$E$50)/2*'Inputs'!$B$17</x:f>
        <x:v>1.1468623983474473</x:v>
      </x:c>
      <x:c r="AB2409" s="78" t="n">
        <x:f>(IF(J2409&gt;0,K2409*(1-'Inputs'!$E$50)/2/J2409,0)+G2409+R2409)*'Inputs'!$B$17</x:f>
        <x:v>412214.237759323</x:v>
      </x:c>
      <x:c r="AC2409" s="78" t="n">
        <x:f>AC2408+AB2409</x:f>
        <x:v>44829470.92400338</x:v>
      </x:c>
      <x:c r="AD2409" s="80" t="n">
        <x:f>Z2409/(1+'Inputs'!$C$50)</x:f>
        <x:v>1.713859139738007</x:v>
      </x:c>
      <x:c r="AE2409" s="80" t="n">
        <x:f>Z2409-AD2409</x:f>
        <x:v>1.713859139738007</x:v>
      </x:c>
      <x:c r="AF2409" s="80" t="n">
        <x:f>D2409*W2409</x:f>
        <x:v>0.7619977131376225</x:v>
      </x:c>
      <x:c r="AG2409" s="80" t="n">
        <x:f>C2409*W2409</x:f>
        <x:v>1.7779946639877653</x:v>
      </x:c>
      <x:c r="AH2409" s="80" t="n">
        <x:f>2*'Inputs'!$B$8*'Inputs'!$C$50</x:f>
        <x:v>5000</x:v>
      </x:c>
      <x:c r="AI2409" s="81" t="n">
        <x:f>IF(AH2409&gt;0,(AE2409+AF2409)/AH2409*365,0)</x:f>
        <x:v>0.18073755025992094</x:v>
      </x:c>
      <x:c r="AJ2409" s="81" t="n">
        <x:f>IF('Inputs'!$B$50&gt;0,AG2409/('Inputs'!$B$19*'Inputs'!$B$50)*365,0)</x:f>
        <x:v>0.06489680523555344</x:v>
      </x:c>
      <x:c r="AK2409" s="81" t="n">
        <x:f>W2409/MAX($W$2194:W2409)-1</x:f>
        <x:v>-0.9967135350690938</x:v>
      </x:c>
      <x:c r="AL2409" s="83" t="n">
        <x:f>'Inputs'!$B$50</x:f>
        <x:v>1</x:v>
      </x:c>
      <x:c r="AM2409" s="83" t="n">
        <x:f>'Inputs'!$C$50</x:f>
        <x:v>1</x:v>
      </x:c>
      <x:c r="AN2409" s="83" t="n">
        <x:f>'Inputs'!$D$50</x:f>
        <x:v>1</x:v>
      </x:c>
      <x:c r="AO2409" s="81" t="n">
        <x:f>'Inputs'!$E$50</x:f>
        <x:v>0</x:v>
      </x:c>
    </x:row>
    <x:row r="2410">
      <x:c r="A2410" s="59" t="str">
        <x:v>Whale exit</x:v>
      </x:c>
      <x:c r="B2410" s="59" t="n">
        <x:v>217</x:v>
      </x:c>
      <x:c r="C2410" s="78" t="n">
        <x:f>(('Inputs'!$B$29*(3*217*'Inputs'!$B$12-217^2)/(2*'Inputs'!$B$12^2))-('Inputs'!$B$29*(3*216*'Inputs'!$B$12-216^2)/(2*'Inputs'!$B$12^2)))*'Inputs'!$B$50</x:f>
        <x:v>641600.4409832954</x:v>
      </x:c>
      <x:c r="D2410" s="78" t="n">
        <x:f>IF('Inputs'!$C$50&gt;0,('Inputs'!$B$30*(3*217*'Inputs'!$B$12-217^2)/(2*'Inputs'!$B$12^2))-('Inputs'!$B$30*(3*216*'Inputs'!$B$12-216^2)/(2*'Inputs'!$B$12^2)),0)</x:f>
        <x:v>274971.6175642684</x:v>
      </x:c>
      <x:c r="E2410" s="78" t="n">
        <x:f>C2410+D2410</x:f>
        <x:v>916572.0585475639</x:v>
      </x:c>
      <x:c r="F2410" s="78" t="n">
        <x:f>'Inputs'!$B$13*E2410+(1-'Inputs'!$B$13)/'Inputs'!$B$14*SUM(E2355:E2410)</x:f>
        <x:v>926789.7354100194</x:v>
      </x:c>
      <x:c r="G2410" s="78" t="n">
        <x:f>F2410*'Inputs'!$F$50</x:f>
        <x:v>463394.8677050097</x:v>
      </x:c>
      <x:c r="H2410" s="78" t="n">
        <x:f>U2409</x:f>
        <x:v>102433372.38062584</x:v>
      </x:c>
      <x:c r="I2410" s="78" t="n">
        <x:f>V2409</x:f>
        <x:v>283.7182439985525</x:v>
      </x:c>
      <x:c r="J2410" s="79" t="n">
        <x:f>IF(H2410&gt;0,I2410/H2410,0)</x:f>
        <x:v>0.000002769783298203845</x:v>
      </x:c>
      <x:c r="K2410" s="80" t="n">
        <x:f>(H2410*J2410+I2410)*'Inputs'!$D$50*(1+'Inputs'!$G$50)^(B2410/30)</x:f>
        <x:v>567.436487997105</x:v>
      </x:c>
      <x:c r="L2410" s="80" t="n">
        <x:f>MAX(0,K2410*'Inputs'!$E$50)</x:f>
        <x:v>0</x:v>
      </x:c>
      <x:c r="M2410" s="80" t="n">
        <x:f>MAX(0,-K2410*'Inputs'!$E$50)</x:f>
        <x:v>0</x:v>
      </x:c>
      <x:c r="N2410" s="78" t="n">
        <x:f>H2410*(L2410*(1-'Inputs'!$B$15))/(I2410+L2410*(1-'Inputs'!$B$15))</x:f>
        <x:v>0</x:v>
      </x:c>
      <x:c r="O2410" s="78" t="n">
        <x:f>H2410-N2410</x:f>
        <x:v>102433372.38062584</x:v>
      </x:c>
      <x:c r="P2410" s="78" t="n">
        <x:f>I2410+L2410*(1-'Inputs'!$B$17)</x:f>
        <x:v>283.7182439985525</x:v>
      </x:c>
      <x:c r="Q2410" s="78" t="n">
        <x:f>IF(J2410&gt;0,M2410/J2410,0)</x:f>
        <x:v>0</x:v>
      </x:c>
      <x:c r="R2410" s="78" t="n">
        <x:f>IF(B2410='Inputs'!$H$50,'Inputs'!$B$27*'Inputs'!$I$50,0)</x:f>
        <x:v>0</x:v>
      </x:c>
      <x:c r="S2410" s="78" t="n">
        <x:f>Q2410+G2410+R2410</x:f>
        <x:v>463394.8677050097</x:v>
      </x:c>
      <x:c r="T2410" s="78" t="n">
        <x:f>P2410*(S2410*(1-'Inputs'!$B$15))/(O2410+S2410*(1-'Inputs'!$B$15))</x:f>
        <x:v>1.2650028548121548</x:v>
      </x:c>
      <x:c r="U2410" s="78" t="n">
        <x:f>O2410+S2410*(1-'Inputs'!$B$17)</x:f>
        <x:v>102894902.48025155</x:v>
      </x:c>
      <x:c r="V2410" s="78" t="n">
        <x:f>P2410-T2410</x:f>
        <x:v>282.45324114374034</x:v>
      </x:c>
      <x:c r="W2410" s="79" t="n">
        <x:f>IF(U2410&gt;0,V2410/U2410,0)</x:f>
        <x:v>0.0000027450654438197376</x:v>
      </x:c>
      <x:c r="X2410" s="80" t="n">
        <x:f>W2410*('Inputs'!$B$6-AC2410)</x:f>
        <x:v>2620.8689589611554</x:v>
      </x:c>
      <x:c r="Y2410" s="80" t="n">
        <x:f>2*V2410</x:f>
        <x:v>564.9064822874807</x:v>
      </x:c>
      <x:c r="Z2410" s="80" t="n">
        <x:f>K2410*'Inputs'!$B$16+(G2410+R2410)*J2410*'Inputs'!$B$16</x:f>
        <x:v>3.412319948172886</x:v>
      </x:c>
      <x:c r="AA2410" s="80" t="n">
        <x:f>K2410*(1+'Inputs'!$E$50)/2*'Inputs'!$B$17</x:f>
        <x:v>1.1417233158895475</x:v>
      </x:c>
      <x:c r="AB2410" s="78" t="n">
        <x:f>(IF(J2410&gt;0,K2410*(1-'Inputs'!$E$50)/2/J2410,0)+G2410+R2410)*'Inputs'!$B$17</x:f>
        <x:v>414071.4979812107</x:v>
      </x:c>
      <x:c r="AC2410" s="78" t="n">
        <x:f>AC2409+AB2410</x:f>
        <x:v>45243542.42198459</x:v>
      </x:c>
      <x:c r="AD2410" s="80" t="n">
        <x:f>Z2410/(1+'Inputs'!$C$50)</x:f>
        <x:v>1.706159974086443</x:v>
      </x:c>
      <x:c r="AE2410" s="80" t="n">
        <x:f>Z2410-AD2410</x:f>
        <x:v>1.706159974086443</x:v>
      </x:c>
      <x:c r="AF2410" s="80" t="n">
        <x:f>D2410*W2410</x:f>
        <x:v>0.7548150854068896</x:v>
      </x:c>
      <x:c r="AG2410" s="80" t="n">
        <x:f>C2410*W2410</x:f>
        <x:v>1.7612351992827493</x:v>
      </x:c>
      <x:c r="AH2410" s="80" t="n">
        <x:f>2*'Inputs'!$B$8*'Inputs'!$C$50</x:f>
        <x:v>5000</x:v>
      </x:c>
      <x:c r="AI2410" s="81" t="n">
        <x:f>IF(AH2410&gt;0,(AE2410+AF2410)/AH2410*365,0)</x:f>
        <x:v>0.17965117934301325</x:v>
      </x:c>
      <x:c r="AJ2410" s="81" t="n">
        <x:f>IF('Inputs'!$B$50&gt;0,AG2410/('Inputs'!$B$19*'Inputs'!$B$50)*365,0)</x:f>
        <x:v>0.06428508477382035</x:v>
      </x:c>
      <x:c r="AK2410" s="81" t="n">
        <x:f>W2410/MAX($W$2194:W2410)-1</x:f>
        <x:v>-0.9967428638478661</x:v>
      </x:c>
      <x:c r="AL2410" s="83" t="n">
        <x:f>'Inputs'!$B$50</x:f>
        <x:v>1</x:v>
      </x:c>
      <x:c r="AM2410" s="83" t="n">
        <x:f>'Inputs'!$C$50</x:f>
        <x:v>1</x:v>
      </x:c>
      <x:c r="AN2410" s="83" t="n">
        <x:f>'Inputs'!$D$50</x:f>
        <x:v>1</x:v>
      </x:c>
      <x:c r="AO2410" s="81" t="n">
        <x:f>'Inputs'!$E$50</x:f>
        <x:v>0</x:v>
      </x:c>
    </x:row>
    <x:row r="2411">
      <x:c r="A2411" s="59" t="str">
        <x:v>Whale exit</x:v>
      </x:c>
      <x:c r="B2411" s="59" t="n">
        <x:v>218</x:v>
      </x:c>
      <x:c r="C2411" s="78" t="n">
        <x:f>(('Inputs'!$B$29*(3*218*'Inputs'!$B$12-218^2)/(2*'Inputs'!$B$12^2))-('Inputs'!$B$29*(3*217*'Inputs'!$B$12-217^2)/(2*'Inputs'!$B$12^2)))*'Inputs'!$B$50</x:f>
        <x:v>641275.3330831528</x:v>
      </x:c>
      <x:c r="D2411" s="78" t="n">
        <x:f>IF('Inputs'!$C$50&gt;0,('Inputs'!$B$30*(3*218*'Inputs'!$B$12-218^2)/(2*'Inputs'!$B$12^2))-('Inputs'!$B$30*(3*217*'Inputs'!$B$12-217^2)/(2*'Inputs'!$B$12^2)),0)</x:f>
        <x:v>274832.28560705483</x:v>
      </x:c>
      <x:c r="E2411" s="78" t="n">
        <x:f>C2411+D2411</x:f>
        <x:v>916107.6186902076</x:v>
      </x:c>
      <x:c r="F2411" s="78" t="n">
        <x:f>'Inputs'!$B$13*E2411+(1-'Inputs'!$B$13)/'Inputs'!$B$14*SUM(E2356:E2411)</x:f>
        <x:v>926325.2955526412</x:v>
      </x:c>
      <x:c r="G2411" s="78" t="n">
        <x:f>F2411*'Inputs'!$F$50</x:f>
        <x:v>463162.6477763206</x:v>
      </x:c>
      <x:c r="H2411" s="78" t="n">
        <x:f>U2410</x:f>
        <x:v>102894902.48025155</x:v>
      </x:c>
      <x:c r="I2411" s="78" t="n">
        <x:f>V2410</x:f>
        <x:v>282.45324114374034</x:v>
      </x:c>
      <x:c r="J2411" s="79" t="n">
        <x:f>IF(H2411&gt;0,I2411/H2411,0)</x:f>
        <x:v>0.0000027450654438197376</x:v>
      </x:c>
      <x:c r="K2411" s="80" t="n">
        <x:f>(H2411*J2411+I2411)*'Inputs'!$D$50*(1+'Inputs'!$G$50)^(B2411/30)</x:f>
        <x:v>564.9064822874807</x:v>
      </x:c>
      <x:c r="L2411" s="80" t="n">
        <x:f>MAX(0,K2411*'Inputs'!$E$50)</x:f>
        <x:v>0</x:v>
      </x:c>
      <x:c r="M2411" s="80" t="n">
        <x:f>MAX(0,-K2411*'Inputs'!$E$50)</x:f>
        <x:v>0</x:v>
      </x:c>
      <x:c r="N2411" s="78" t="n">
        <x:f>H2411*(L2411*(1-'Inputs'!$B$15))/(I2411+L2411*(1-'Inputs'!$B$15))</x:f>
        <x:v>0</x:v>
      </x:c>
      <x:c r="O2411" s="78" t="n">
        <x:f>H2411-N2411</x:f>
        <x:v>102894902.48025155</x:v>
      </x:c>
      <x:c r="P2411" s="78" t="n">
        <x:f>I2411+L2411*(1-'Inputs'!$B$17)</x:f>
        <x:v>282.45324114374034</x:v>
      </x:c>
      <x:c r="Q2411" s="78" t="n">
        <x:f>IF(J2411&gt;0,M2411/J2411,0)</x:f>
        <x:v>0</x:v>
      </x:c>
      <x:c r="R2411" s="78" t="n">
        <x:f>IF(B2411='Inputs'!$H$50,'Inputs'!$B$27*'Inputs'!$I$50,0)</x:f>
        <x:v>0</x:v>
      </x:c>
      <x:c r="S2411" s="78" t="n">
        <x:f>Q2411+G2411+R2411</x:f>
        <x:v>463162.6477763206</x:v>
      </x:c>
      <x:c r="T2411" s="78" t="n">
        <x:f>P2411*(S2411*(1-'Inputs'!$B$15))/(O2411+S2411*(1-'Inputs'!$B$15))</x:f>
        <x:v>1.2531134065205922</x:v>
      </x:c>
      <x:c r="U2411" s="78" t="n">
        <x:f>O2411+S2411*(1-'Inputs'!$B$17)</x:f>
        <x:v>103356201.2944352</x:v>
      </x:c>
      <x:c r="V2411" s="78" t="n">
        <x:f>P2411-T2411</x:f>
        <x:v>281.20012773721976</x:v>
      </x:c>
      <x:c r="W2411" s="79" t="n">
        <x:f>IF(U2411&gt;0,V2411/U2411,0)</x:f>
        <x:v>0.000002720689462416996</x:v>
      </x:c>
      <x:c r="X2411" s="80" t="n">
        <x:f>W2411*('Inputs'!$B$6-AC2411)</x:f>
        <x:v>2596.4642228497437</x:v>
      </x:c>
      <x:c r="Y2411" s="80" t="n">
        <x:f>2*V2411</x:f>
        <x:v>562.4002554744395</x:v>
      </x:c>
      <x:c r="Z2411" s="80" t="n">
        <x:f>K2411*'Inputs'!$B$16+(G2411+R2411)*J2411*'Inputs'!$B$16</x:f>
        <x:v>3.397067364400557</x:v>
      </x:c>
      <x:c r="AA2411" s="80" t="n">
        <x:f>K2411*(1+'Inputs'!$E$50)/2*'Inputs'!$B$17</x:f>
        <x:v>1.1366327611418123</x:v>
      </x:c>
      <x:c r="AB2411" s="78" t="n">
        <x:f>(IF(J2411&gt;0,K2411*(1-'Inputs'!$E$50)/2/J2411,0)+G2411+R2411)*'Inputs'!$B$17</x:f>
        <x:v>415927.82747697335</x:v>
      </x:c>
      <x:c r="AC2411" s="78" t="n">
        <x:f>AC2410+AB2411</x:f>
        <x:v>45659470.24946156</x:v>
      </x:c>
      <x:c r="AD2411" s="80" t="n">
        <x:f>Z2411/(1+'Inputs'!$C$50)</x:f>
        <x:v>1.6985336822002786</x:v>
      </x:c>
      <x:c r="AE2411" s="80" t="n">
        <x:f>Z2411-AD2411</x:f>
        <x:v>1.6985336822002786</x:v>
      </x:c>
      <x:c r="AF2411" s="80" t="n">
        <x:f>D2411*W2411</x:f>
        <x:v>0.7477333033830924</x:v>
      </x:c>
      <x:c r="AG2411" s="80" t="n">
        <x:f>C2411*W2411</x:f>
        <x:v>1.744711041227283</x:v>
      </x:c>
      <x:c r="AH2411" s="80" t="n">
        <x:f>2*'Inputs'!$B$8*'Inputs'!$C$50</x:f>
        <x:v>5000</x:v>
      </x:c>
      <x:c r="AI2411" s="81" t="n">
        <x:f>IF(AH2411&gt;0,(AE2411+AF2411)/AH2411*365,0)</x:f>
        <x:v>0.1785774899475861</x:v>
      </x:c>
      <x:c r="AJ2411" s="81" t="n">
        <x:f>IF('Inputs'!$B$50&gt;0,AG2411/('Inputs'!$B$19*'Inputs'!$B$50)*365,0)</x:f>
        <x:v>0.06368195300479583</x:v>
      </x:c>
      <x:c r="AK2411" s="81" t="n">
        <x:f>W2411/MAX($W$2194:W2411)-1</x:f>
        <x:v>-0.9967717869798991</x:v>
      </x:c>
      <x:c r="AL2411" s="83" t="n">
        <x:f>'Inputs'!$B$50</x:f>
        <x:v>1</x:v>
      </x:c>
      <x:c r="AM2411" s="83" t="n">
        <x:f>'Inputs'!$C$50</x:f>
        <x:v>1</x:v>
      </x:c>
      <x:c r="AN2411" s="83" t="n">
        <x:f>'Inputs'!$D$50</x:f>
        <x:v>1</x:v>
      </x:c>
      <x:c r="AO2411" s="81" t="n">
        <x:f>'Inputs'!$E$50</x:f>
        <x:v>0</x:v>
      </x:c>
    </x:row>
    <x:row r="2412">
      <x:c r="A2412" s="59" t="str">
        <x:v>Whale exit</x:v>
      </x:c>
      <x:c r="B2412" s="59" t="n">
        <x:v>219</x:v>
      </x:c>
      <x:c r="C2412" s="78" t="n">
        <x:f>(('Inputs'!$B$29*(3*219*'Inputs'!$B$12-219^2)/(2*'Inputs'!$B$12^2))-('Inputs'!$B$29*(3*218*'Inputs'!$B$12-218^2)/(2*'Inputs'!$B$12^2)))*'Inputs'!$B$50</x:f>
        <x:v>640950.2251829505</x:v>
      </x:c>
      <x:c r="D2412" s="78" t="n">
        <x:f>IF('Inputs'!$C$50&gt;0,('Inputs'!$B$30*(3*219*'Inputs'!$B$12-219^2)/(2*'Inputs'!$B$12^2))-('Inputs'!$B$30*(3*218*'Inputs'!$B$12-218^2)/(2*'Inputs'!$B$12^2)),0)</x:f>
        <x:v>274692.95364984125</x:v>
      </x:c>
      <x:c r="E2412" s="78" t="n">
        <x:f>C2412+D2412</x:f>
        <x:v>915643.1788327917</x:v>
      </x:c>
      <x:c r="F2412" s="78" t="n">
        <x:f>'Inputs'!$B$13*E2412+(1-'Inputs'!$B$13)/'Inputs'!$B$14*SUM(E2357:E2412)</x:f>
        <x:v>925860.8556952506</x:v>
      </x:c>
      <x:c r="G2412" s="78" t="n">
        <x:f>F2412*'Inputs'!$F$50</x:f>
        <x:v>462930.4278476253</x:v>
      </x:c>
      <x:c r="H2412" s="78" t="n">
        <x:f>U2411</x:f>
        <x:v>103356201.2944352</x:v>
      </x:c>
      <x:c r="I2412" s="78" t="n">
        <x:f>V2411</x:f>
        <x:v>281.20012773721976</x:v>
      </x:c>
      <x:c r="J2412" s="79" t="n">
        <x:f>IF(H2412&gt;0,I2412/H2412,0)</x:f>
        <x:v>0.000002720689462416996</x:v>
      </x:c>
      <x:c r="K2412" s="80" t="n">
        <x:f>(H2412*J2412+I2412)*'Inputs'!$D$50*(1+'Inputs'!$G$50)^(B2412/30)</x:f>
        <x:v>562.4002554744395</x:v>
      </x:c>
      <x:c r="L2412" s="80" t="n">
        <x:f>MAX(0,K2412*'Inputs'!$E$50)</x:f>
        <x:v>0</x:v>
      </x:c>
      <x:c r="M2412" s="80" t="n">
        <x:f>MAX(0,-K2412*'Inputs'!$E$50)</x:f>
        <x:v>0</x:v>
      </x:c>
      <x:c r="N2412" s="78" t="n">
        <x:f>H2412*(L2412*(1-'Inputs'!$B$15))/(I2412+L2412*(1-'Inputs'!$B$15))</x:f>
        <x:v>0</x:v>
      </x:c>
      <x:c r="O2412" s="78" t="n">
        <x:f>H2412-N2412</x:f>
        <x:v>103356201.2944352</x:v>
      </x:c>
      <x:c r="P2412" s="78" t="n">
        <x:f>I2412+L2412*(1-'Inputs'!$B$17)</x:f>
        <x:v>281.20012773721976</x:v>
      </x:c>
      <x:c r="Q2412" s="78" t="n">
        <x:f>IF(J2412&gt;0,M2412/J2412,0)</x:f>
        <x:v>0</x:v>
      </x:c>
      <x:c r="R2412" s="78" t="n">
        <x:f>IF(B2412='Inputs'!$H$50,'Inputs'!$B$27*'Inputs'!$I$50,0)</x:f>
        <x:v>0</x:v>
      </x:c>
      <x:c r="S2412" s="78" t="n">
        <x:f>Q2412+G2412+R2412</x:f>
        <x:v>462930.4278476253</x:v>
      </x:c>
      <x:c r="T2412" s="78" t="n">
        <x:f>P2412*(S2412*(1-'Inputs'!$B$15))/(O2412+S2412*(1-'Inputs'!$B$15))</x:f>
        <x:v>1.241390475204027</x:v>
      </x:c>
      <x:c r="U2412" s="78" t="n">
        <x:f>O2412+S2412*(1-'Inputs'!$B$17)</x:f>
        <x:v>103817268.8231768</x:v>
      </x:c>
      <x:c r="V2412" s="78" t="n">
        <x:f>P2412-T2412</x:f>
        <x:v>279.95873726201575</x:v>
      </x:c>
      <x:c r="W2412" s="79" t="n">
        <x:f>IF(U2412&gt;0,V2412/U2412,0)</x:f>
        <x:v>0.000002696649029930135</x:v>
      </x:c>
      <x:c r="X2412" s="80" t="n">
        <x:f>W2412*('Inputs'!$B$6-AC2412)</x:f>
        <x:v>2572.3948490430216</x:v>
      </x:c>
      <x:c r="Y2412" s="80" t="n">
        <x:f>2*V2412</x:f>
        <x:v>559.9174745240315</x:v>
      </x:c>
      <x:c r="Z2412" s="80" t="n">
        <x:f>K2412*'Inputs'!$B$16+(G2412+R2412)*J2412*'Inputs'!$B$16</x:f>
        <x:v>3.3819584724679004</x:v>
      </x:c>
      <x:c r="AA2412" s="80" t="n">
        <x:f>K2412*(1+'Inputs'!$E$50)/2*'Inputs'!$B$17</x:f>
        <x:v>1.1315900512564177</x:v>
      </x:c>
      <x:c r="AB2412" s="78" t="n">
        <x:f>(IF(J2412&gt;0,K2412*(1-'Inputs'!$E$50)/2/J2412,0)+G2412+R2412)*'Inputs'!$B$17</x:f>
        <x:v>417783.226246611</x:v>
      </x:c>
      <x:c r="AC2412" s="78" t="n">
        <x:f>AC2411+AB2412</x:f>
        <x:v>46077253.47570817</x:v>
      </x:c>
      <x:c r="AD2412" s="80" t="n">
        <x:f>Z2412/(1+'Inputs'!$C$50)</x:f>
        <x:v>1.6909792362339502</x:v>
      </x:c>
      <x:c r="AE2412" s="80" t="n">
        <x:f>Z2412-AD2412</x:f>
        <x:v>1.6909792362339502</x:v>
      </x:c>
      <x:c r="AF2412" s="80" t="n">
        <x:f>D2412*W2412</x:f>
        <x:v>0.7407504869884879</x:v>
      </x:c>
      <x:c r="AG2412" s="80" t="n">
        <x:f>C2412*W2412</x:f>
        <x:v>1.728417802973105</x:v>
      </x:c>
      <x:c r="AH2412" s="80" t="n">
        <x:f>2*'Inputs'!$B$8*'Inputs'!$C$50</x:f>
        <x:v>5000</x:v>
      </x:c>
      <x:c r="AI2412" s="81" t="n">
        <x:f>IF(AH2412&gt;0,(AE2412+AF2412)/AH2412*365,0)</x:f>
        <x:v>0.177516269795238</x:v>
      </x:c>
      <x:c r="AJ2412" s="81" t="n">
        <x:f>IF('Inputs'!$B$50&gt;0,AG2412/('Inputs'!$B$19*'Inputs'!$B$50)*365,0)</x:f>
        <x:v>0.06308724980851833</x:v>
      </x:c>
      <x:c r="AK2412" s="81" t="n">
        <x:f>W2412/MAX($W$2194:W2412)-1</x:f>
        <x:v>-0.9968003119689635</x:v>
      </x:c>
      <x:c r="AL2412" s="83" t="n">
        <x:f>'Inputs'!$B$50</x:f>
        <x:v>1</x:v>
      </x:c>
      <x:c r="AM2412" s="83" t="n">
        <x:f>'Inputs'!$C$50</x:f>
        <x:v>1</x:v>
      </x:c>
      <x:c r="AN2412" s="83" t="n">
        <x:f>'Inputs'!$D$50</x:f>
        <x:v>1</x:v>
      </x:c>
      <x:c r="AO2412" s="81" t="n">
        <x:f>'Inputs'!$E$50</x:f>
        <x:v>0</x:v>
      </x:c>
    </x:row>
    <x:row r="2413">
      <x:c r="A2413" s="59" t="str">
        <x:v>Whale exit</x:v>
      </x:c>
      <x:c r="B2413" s="59" t="n">
        <x:v>220</x:v>
      </x:c>
      <x:c r="C2413" s="78" t="n">
        <x:f>(('Inputs'!$B$29*(3*220*'Inputs'!$B$12-220^2)/(2*'Inputs'!$B$12^2))-('Inputs'!$B$29*(3*219*'Inputs'!$B$12-219^2)/(2*'Inputs'!$B$12^2)))*'Inputs'!$B$50</x:f>
        <x:v>640625.117282778</x:v>
      </x:c>
      <x:c r="D2413" s="78" t="n">
        <x:f>IF('Inputs'!$C$50&gt;0,('Inputs'!$B$30*(3*220*'Inputs'!$B$12-220^2)/(2*'Inputs'!$B$12^2))-('Inputs'!$B$30*(3*219*'Inputs'!$B$12-219^2)/(2*'Inputs'!$B$12^2)),0)</x:f>
        <x:v>274553.62169262767</x:v>
      </x:c>
      <x:c r="E2413" s="78" t="n">
        <x:f>C2413+D2413</x:f>
        <x:v>915178.7389754057</x:v>
      </x:c>
      <x:c r="F2413" s="78" t="n">
        <x:f>'Inputs'!$B$13*E2413+(1-'Inputs'!$B$13)/'Inputs'!$B$14*SUM(E2358:E2413)</x:f>
        <x:v>925396.4158378658</x:v>
      </x:c>
      <x:c r="G2413" s="78" t="n">
        <x:f>F2413*'Inputs'!$F$50</x:f>
        <x:v>462698.2079189329</x:v>
      </x:c>
      <x:c r="H2413" s="78" t="n">
        <x:f>U2412</x:f>
        <x:v>103817268.8231768</x:v>
      </x:c>
      <x:c r="I2413" s="78" t="n">
        <x:f>V2412</x:f>
        <x:v>279.95873726201575</x:v>
      </x:c>
      <x:c r="J2413" s="79" t="n">
        <x:f>IF(H2413&gt;0,I2413/H2413,0)</x:f>
        <x:v>0.000002696649029930135</x:v>
      </x:c>
      <x:c r="K2413" s="80" t="n">
        <x:f>(H2413*J2413+I2413)*'Inputs'!$D$50*(1+'Inputs'!$G$50)^(B2413/30)</x:f>
        <x:v>559.9174745240315</x:v>
      </x:c>
      <x:c r="L2413" s="80" t="n">
        <x:f>MAX(0,K2413*'Inputs'!$E$50)</x:f>
        <x:v>0</x:v>
      </x:c>
      <x:c r="M2413" s="80" t="n">
        <x:f>MAX(0,-K2413*'Inputs'!$E$50)</x:f>
        <x:v>0</x:v>
      </x:c>
      <x:c r="N2413" s="78" t="n">
        <x:f>H2413*(L2413*(1-'Inputs'!$B$15))/(I2413+L2413*(1-'Inputs'!$B$15))</x:f>
        <x:v>0</x:v>
      </x:c>
      <x:c r="O2413" s="78" t="n">
        <x:f>H2413-N2413</x:f>
        <x:v>103817268.8231768</x:v>
      </x:c>
      <x:c r="P2413" s="78" t="n">
        <x:f>I2413+L2413*(1-'Inputs'!$B$17)</x:f>
        <x:v>279.95873726201575</x:v>
      </x:c>
      <x:c r="Q2413" s="78" t="n">
        <x:f>IF(J2413&gt;0,M2413/J2413,0)</x:f>
        <x:v>0</x:v>
      </x:c>
      <x:c r="R2413" s="78" t="n">
        <x:f>IF(B2413='Inputs'!$H$50,'Inputs'!$B$27*'Inputs'!$I$50,0)</x:f>
        <x:v>0</x:v>
      </x:c>
      <x:c r="S2413" s="78" t="n">
        <x:f>Q2413+G2413+R2413</x:f>
        <x:v>462698.2079189329</x:v>
      </x:c>
      <x:c r="T2413" s="78" t="n">
        <x:f>P2413*(S2413*(1-'Inputs'!$B$15))/(O2413+S2413*(1-'Inputs'!$B$15))</x:f>
        <x:v>1.2298309638873024</x:v>
      </x:c>
      <x:c r="U2413" s="78" t="n">
        <x:f>O2413+S2413*(1-'Inputs'!$B$17)</x:f>
        <x:v>104278105.06647635</x:v>
      </x:c>
      <x:c r="V2413" s="78" t="n">
        <x:f>P2413-T2413</x:f>
        <x:v>278.72890629812844</x:v>
      </x:c>
      <x:c r="W2413" s="79" t="n">
        <x:f>IF(U2413&gt;0,V2413/U2413,0)</x:f>
        <x:v>0.0000026729379683342086</x:v>
      </x:c>
      <x:c r="X2413" s="80" t="n">
        <x:f>W2413*('Inputs'!$B$6-AC2413)</x:f>
        <x:v>2548.6546625164165</x:v>
      </x:c>
      <x:c r="Y2413" s="80" t="n">
        <x:f>2*V2413</x:f>
        <x:v>557.4578125962569</x:v>
      </x:c>
      <x:c r="Z2413" s="80" t="n">
        <x:f>K2413*'Inputs'!$B$16+(G2413+R2413)*J2413*'Inputs'!$B$16</x:f>
        <x:v>3.3669912551853987</x:v>
      </x:c>
      <x:c r="AA2413" s="80" t="n">
        <x:f>K2413*(1+'Inputs'!$E$50)/2*'Inputs'!$B$17</x:f>
        <x:v>1.1265945161449327</x:v>
      </x:c>
      <x:c r="AB2413" s="78" t="n">
        <x:f>(IF(J2413&gt;0,K2413*(1-'Inputs'!$E$50)/2/J2413,0)+G2413+R2413)*'Inputs'!$B$17</x:f>
        <x:v>419637.6942901237</x:v>
      </x:c>
      <x:c r="AC2413" s="78" t="n">
        <x:f>AC2412+AB2413</x:f>
        <x:v>46496891.169998296</x:v>
      </x:c>
      <x:c r="AD2413" s="80" t="n">
        <x:f>Z2413/(1+'Inputs'!$C$50)</x:f>
        <x:v>1.6834956275926993</x:v>
      </x:c>
      <x:c r="AE2413" s="80" t="n">
        <x:f>Z2413-AD2413</x:f>
        <x:v>1.6834956275926993</x:v>
      </x:c>
      <x:c r="AF2413" s="80" t="n">
        <x:f>D2413*W2413</x:f>
        <x:v>0.7338647997658911</x:v>
      </x:c>
      <x:c r="AG2413" s="80" t="n">
        <x:f>C2413*W2413</x:f>
        <x:v>1.7123511994536929</x:v>
      </x:c>
      <x:c r="AH2413" s="80" t="n">
        <x:f>2*'Inputs'!$B$8*'Inputs'!$C$50</x:f>
        <x:v>5000</x:v>
      </x:c>
      <x:c r="AI2413" s="81" t="n">
        <x:f>IF(AH2413&gt;0,(AE2413+AF2413)/AH2413*365,0)</x:f>
        <x:v>0.17646731119717712</x:v>
      </x:c>
      <x:c r="AJ2413" s="81" t="n">
        <x:f>IF('Inputs'!$B$50&gt;0,AG2413/('Inputs'!$B$19*'Inputs'!$B$50)*365,0)</x:f>
        <x:v>0.06250081878005978</x:v>
      </x:c>
      <x:c r="AK2413" s="81" t="n">
        <x:f>W2413/MAX($W$2194:W2413)-1</x:f>
        <x:v>-0.9968284461455469</x:v>
      </x:c>
      <x:c r="AL2413" s="83" t="n">
        <x:f>'Inputs'!$B$50</x:f>
        <x:v>1</x:v>
      </x:c>
      <x:c r="AM2413" s="83" t="n">
        <x:f>'Inputs'!$C$50</x:f>
        <x:v>1</x:v>
      </x:c>
      <x:c r="AN2413" s="83" t="n">
        <x:f>'Inputs'!$D$50</x:f>
        <x:v>1</x:v>
      </x:c>
      <x:c r="AO2413" s="81" t="n">
        <x:f>'Inputs'!$E$50</x:f>
        <x:v>0</x:v>
      </x:c>
    </x:row>
    <x:row r="2414">
      <x:c r="A2414" s="59" t="str">
        <x:v>Whale exit</x:v>
      </x:c>
      <x:c r="B2414" s="59" t="n">
        <x:v>221</x:v>
      </x:c>
      <x:c r="C2414" s="78" t="n">
        <x:f>(('Inputs'!$B$29*(3*221*'Inputs'!$B$12-221^2)/(2*'Inputs'!$B$12^2))-('Inputs'!$B$29*(3*220*'Inputs'!$B$12-220^2)/(2*'Inputs'!$B$12^2)))*'Inputs'!$B$50</x:f>
        <x:v>640300.0093826354</x:v>
      </x:c>
      <x:c r="D2414" s="78" t="n">
        <x:f>IF('Inputs'!$C$50&gt;0,('Inputs'!$B$30*(3*221*'Inputs'!$B$12-221^2)/(2*'Inputs'!$B$12^2))-('Inputs'!$B$30*(3*220*'Inputs'!$B$12-220^2)/(2*'Inputs'!$B$12^2)),0)</x:f>
        <x:v>274414.28973540664</x:v>
      </x:c>
      <x:c r="E2414" s="78" t="n">
        <x:f>C2414+D2414</x:f>
        <x:v>914714.299118042</x:v>
      </x:c>
      <x:c r="F2414" s="78" t="n">
        <x:f>'Inputs'!$B$13*E2414+(1-'Inputs'!$B$13)/'Inputs'!$B$14*SUM(E2359:E2414)</x:f>
        <x:v>924931.9759804859</x:v>
      </x:c>
      <x:c r="G2414" s="78" t="n">
        <x:f>F2414*'Inputs'!$F$50</x:f>
        <x:v>462465.98799024295</x:v>
      </x:c>
      <x:c r="H2414" s="78" t="n">
        <x:f>U2413</x:f>
        <x:v>104278105.06647635</x:v>
      </x:c>
      <x:c r="I2414" s="78" t="n">
        <x:f>V2413</x:f>
        <x:v>278.72890629812844</x:v>
      </x:c>
      <x:c r="J2414" s="79" t="n">
        <x:f>IF(H2414&gt;0,I2414/H2414,0)</x:f>
        <x:v>0.0000026729379683342086</x:v>
      </x:c>
      <x:c r="K2414" s="80" t="n">
        <x:f>(H2414*J2414+I2414)*'Inputs'!$D$50*(1+'Inputs'!$G$50)^(B2414/30)</x:f>
        <x:v>557.4578125962569</x:v>
      </x:c>
      <x:c r="L2414" s="80" t="n">
        <x:f>MAX(0,K2414*'Inputs'!$E$50)</x:f>
        <x:v>0</x:v>
      </x:c>
      <x:c r="M2414" s="80" t="n">
        <x:f>MAX(0,-K2414*'Inputs'!$E$50)</x:f>
        <x:v>0</x:v>
      </x:c>
      <x:c r="N2414" s="78" t="n">
        <x:f>H2414*(L2414*(1-'Inputs'!$B$15))/(I2414+L2414*(1-'Inputs'!$B$15))</x:f>
        <x:v>0</x:v>
      </x:c>
      <x:c r="O2414" s="78" t="n">
        <x:f>H2414-N2414</x:f>
        <x:v>104278105.06647635</x:v>
      </x:c>
      <x:c r="P2414" s="78" t="n">
        <x:f>I2414+L2414*(1-'Inputs'!$B$17)</x:f>
        <x:v>278.72890629812844</x:v>
      </x:c>
      <x:c r="Q2414" s="78" t="n">
        <x:f>IF(J2414&gt;0,M2414/J2414,0)</x:f>
        <x:v>0</x:v>
      </x:c>
      <x:c r="R2414" s="78" t="n">
        <x:f>IF(B2414='Inputs'!$H$50,'Inputs'!$B$27*'Inputs'!$I$50,0)</x:f>
        <x:v>0</x:v>
      </x:c>
      <x:c r="S2414" s="78" t="n">
        <x:f>Q2414+G2414+R2414</x:f>
        <x:v>462465.98799024295</x:v>
      </x:c>
      <x:c r="T2414" s="78" t="n">
        <x:f>P2414*(S2414*(1-'Inputs'!$B$15))/(O2414+S2414*(1-'Inputs'!$B$15))</x:f>
        <x:v>1.2184318472809783</x:v>
      </x:c>
      <x:c r="U2414" s="78" t="n">
        <x:f>O2414+S2414*(1-'Inputs'!$B$17)</x:f>
        <x:v>104738710.02433383</x:v>
      </x:c>
      <x:c r="V2414" s="78" t="n">
        <x:f>P2414-T2414</x:f>
        <x:v>277.5104744508475</x:v>
      </x:c>
      <x:c r="W2414" s="79" t="n">
        <x:f>IF(U2414&gt;0,V2414/U2414,0)</x:f>
        <x:v>0.000002649550241609561</x:v>
      </x:c>
      <x:c r="X2414" s="80" t="n">
        <x:f>W2414*('Inputs'!$B$6-AC2414)</x:f>
        <x:v>2525.2376301814566</x:v>
      </x:c>
      <x:c r="Y2414" s="80" t="n">
        <x:f>2*V2414</x:f>
        <x:v>555.020948901695</x:v>
      </x:c>
      <x:c r="Z2414" s="80" t="n">
        <x:f>K2414*'Inputs'!$B$16+(G2414+R2414)*J2414*'Inputs'!$B$16</x:f>
        <x:v>3.3521637329677154</x:v>
      </x:c>
      <x:c r="AA2414" s="80" t="n">
        <x:f>K2414*(1+'Inputs'!$E$50)/2*'Inputs'!$B$17</x:f>
        <x:v>1.1216454981816035</x:v>
      </x:c>
      <x:c r="AB2414" s="78" t="n">
        <x:f>(IF(J2414&gt;0,K2414*(1-'Inputs'!$E$50)/2/J2414,0)+G2414+R2414)*'Inputs'!$B$17</x:f>
        <x:v>421491.23160751146</x:v>
      </x:c>
      <x:c r="AC2414" s="78" t="n">
        <x:f>AC2413+AB2414</x:f>
        <x:v>46918382.40160581</x:v>
      </x:c>
      <x:c r="AD2414" s="80" t="n">
        <x:f>Z2414/(1+'Inputs'!$C$50)</x:f>
        <x:v>1.6760818664838577</x:v>
      </x:c>
      <x:c r="AE2414" s="80" t="n">
        <x:f>Z2414-AD2414</x:f>
        <x:v>1.6760818664838577</x:v>
      </x:c>
      <x:c r="AF2414" s="80" t="n">
        <x:f>D2414*W2414</x:f>
        <x:v>0.7270744476695628</x:v>
      </x:c>
      <x:c r="AG2414" s="80" t="n">
        <x:f>C2414*W2414</x:f>
        <x:v>1.6965070445623658</x:v>
      </x:c>
      <x:c r="AH2414" s="80" t="n">
        <x:f>2*'Inputs'!$B$8*'Inputs'!$C$50</x:f>
        <x:v>5000</x:v>
      </x:c>
      <x:c r="AI2414" s="81" t="n">
        <x:f>IF(AH2414&gt;0,(AE2414+AF2414)/AH2414*365,0)</x:f>
        <x:v>0.1754304109331997</x:v>
      </x:c>
      <x:c r="AJ2414" s="81" t="n">
        <x:f>IF('Inputs'!$B$50&gt;0,AG2414/('Inputs'!$B$19*'Inputs'!$B$50)*365,0)</x:f>
        <x:v>0.06192250712652635</x:v>
      </x:c>
      <x:c r="AK2414" s="81" t="n">
        <x:f>W2414/MAX($W$2194:W2414)-1</x:f>
        <x:v>-0.9968561966716418</x:v>
      </x:c>
      <x:c r="AL2414" s="83" t="n">
        <x:f>'Inputs'!$B$50</x:f>
        <x:v>1</x:v>
      </x:c>
      <x:c r="AM2414" s="83" t="n">
        <x:f>'Inputs'!$C$50</x:f>
        <x:v>1</x:v>
      </x:c>
      <x:c r="AN2414" s="83" t="n">
        <x:f>'Inputs'!$D$50</x:f>
        <x:v>1</x:v>
      </x:c>
      <x:c r="AO2414" s="81" t="n">
        <x:f>'Inputs'!$E$50</x:f>
        <x:v>0</x:v>
      </x:c>
    </x:row>
    <x:row r="2415">
      <x:c r="A2415" s="59" t="str">
        <x:v>Whale exit</x:v>
      </x:c>
      <x:c r="B2415" s="59" t="n">
        <x:v>222</x:v>
      </x:c>
      <x:c r="C2415" s="78" t="n">
        <x:f>(('Inputs'!$B$29*(3*222*'Inputs'!$B$12-222^2)/(2*'Inputs'!$B$12^2))-('Inputs'!$B$29*(3*221*'Inputs'!$B$12-221^2)/(2*'Inputs'!$B$12^2)))*'Inputs'!$B$50</x:f>
        <x:v>639974.9014824629</x:v>
      </x:c>
      <x:c r="D2415" s="78" t="n">
        <x:f>IF('Inputs'!$C$50&gt;0,('Inputs'!$B$30*(3*222*'Inputs'!$B$12-222^2)/(2*'Inputs'!$B$12^2))-('Inputs'!$B$30*(3*221*'Inputs'!$B$12-221^2)/(2*'Inputs'!$B$12^2)),0)</x:f>
        <x:v>274274.95777819306</x:v>
      </x:c>
      <x:c r="E2415" s="78" t="n">
        <x:f>C2415+D2415</x:f>
        <x:v>914249.8592606559</x:v>
      </x:c>
      <x:c r="F2415" s="78" t="n">
        <x:f>'Inputs'!$B$13*E2415+(1-'Inputs'!$B$13)/'Inputs'!$B$14*SUM(E2360:E2415)</x:f>
        <x:v>924467.5361231014</x:v>
      </x:c>
      <x:c r="G2415" s="78" t="n">
        <x:f>F2415*'Inputs'!$F$50</x:f>
        <x:v>462233.7680615507</x:v>
      </x:c>
      <x:c r="H2415" s="78" t="n">
        <x:f>U2414</x:f>
        <x:v>104738710.02433383</x:v>
      </x:c>
      <x:c r="I2415" s="78" t="n">
        <x:f>V2414</x:f>
        <x:v>277.5104744508475</x:v>
      </x:c>
      <x:c r="J2415" s="79" t="n">
        <x:f>IF(H2415&gt;0,I2415/H2415,0)</x:f>
        <x:v>0.000002649550241609561</x:v>
      </x:c>
      <x:c r="K2415" s="80" t="n">
        <x:f>(H2415*J2415+I2415)*'Inputs'!$D$50*(1+'Inputs'!$G$50)^(B2415/30)</x:f>
        <x:v>555.020948901695</x:v>
      </x:c>
      <x:c r="L2415" s="80" t="n">
        <x:f>MAX(0,K2415*'Inputs'!$E$50)</x:f>
        <x:v>0</x:v>
      </x:c>
      <x:c r="M2415" s="80" t="n">
        <x:f>MAX(0,-K2415*'Inputs'!$E$50)</x:f>
        <x:v>0</x:v>
      </x:c>
      <x:c r="N2415" s="78" t="n">
        <x:f>H2415*(L2415*(1-'Inputs'!$B$15))/(I2415+L2415*(1-'Inputs'!$B$15))</x:f>
        <x:v>0</x:v>
      </x:c>
      <x:c r="O2415" s="78" t="n">
        <x:f>H2415-N2415</x:f>
        <x:v>104738710.02433383</x:v>
      </x:c>
      <x:c r="P2415" s="78" t="n">
        <x:f>I2415+L2415*(1-'Inputs'!$B$17)</x:f>
        <x:v>277.5104744508475</x:v>
      </x:c>
      <x:c r="Q2415" s="78" t="n">
        <x:f>IF(J2415&gt;0,M2415/J2415,0)</x:f>
        <x:v>0</x:v>
      </x:c>
      <x:c r="R2415" s="78" t="n">
        <x:f>IF(B2415='Inputs'!$H$50,'Inputs'!$B$27*'Inputs'!$I$50,0)</x:f>
        <x:v>0</x:v>
      </x:c>
      <x:c r="S2415" s="78" t="n">
        <x:f>Q2415+G2415+R2415</x:f>
        <x:v>462233.7680615507</x:v>
      </x:c>
      <x:c r="T2415" s="78" t="n">
        <x:f>P2415*(S2415*(1-'Inputs'!$B$15))/(O2415+S2415*(1-'Inputs'!$B$15))</x:f>
        <x:v>1.207190169798971</x:v>
      </x:c>
      <x:c r="U2415" s="78" t="n">
        <x:f>O2415+S2415*(1-'Inputs'!$B$17)</x:f>
        <x:v>105199083.69674926</x:v>
      </x:c>
      <x:c r="V2415" s="78" t="n">
        <x:f>P2415-T2415</x:f>
        <x:v>276.3032842810485</x:v>
      </x:c>
      <x:c r="W2415" s="79" t="n">
        <x:f>IF(U2415&gt;0,V2415/U2415,0)</x:f>
        <x:v>0.0000026264799518361824</x:v>
      </x:c>
      <x:c r="X2415" s="80" t="n">
        <x:f>W2415*('Inputs'!$B$6-AC2415)</x:f>
        <x:v>2502.1378569820185</x:v>
      </x:c>
      <x:c r="Y2415" s="80" t="n">
        <x:f>2*V2415</x:f>
        <x:v>552.606568562097</x:v>
      </x:c>
      <x:c r="Z2415" s="80" t="n">
        <x:f>K2415*'Inputs'!$B$16+(G2415+R2415)*J2415*'Inputs'!$B$16</x:f>
        <x:v>3.3374739629612553</x:v>
      </x:c>
      <x:c r="AA2415" s="80" t="n">
        <x:f>K2415*(1+'Inputs'!$E$50)/2*'Inputs'!$B$17</x:f>
        <x:v>1.1167423519148794</x:v>
      </x:c>
      <x:c r="AB2415" s="78" t="n">
        <x:f>(IF(J2415&gt;0,K2415*(1-'Inputs'!$E$50)/2/J2415,0)+G2415+R2415)*'Inputs'!$B$17</x:f>
        <x:v>423343.8381987742</x:v>
      </x:c>
      <x:c r="AC2415" s="78" t="n">
        <x:f>AC2414+AB2415</x:f>
        <x:v>47341726.23980458</x:v>
      </x:c>
      <x:c r="AD2415" s="80" t="n">
        <x:f>Z2415/(1+'Inputs'!$C$50)</x:f>
        <x:v>1.6687369814806277</x:v>
      </x:c>
      <x:c r="AE2415" s="80" t="n">
        <x:f>Z2415-AD2415</x:f>
        <x:v>1.6687369814806277</x:v>
      </x:c>
      <x:c r="AF2415" s="80" t="n">
        <x:f>D2415*W2415</x:f>
        <x:v>0.7203776778951395</x:v>
      </x:c>
      <x:c r="AG2415" s="80" t="n">
        <x:f>C2415*W2415</x:f>
        <x:v>1.6808812484220248</x:v>
      </x:c>
      <x:c r="AH2415" s="80" t="n">
        <x:f>2*'Inputs'!$B$8*'Inputs'!$C$50</x:f>
        <x:v>5000</x:v>
      </x:c>
      <x:c r="AI2415" s="81" t="n">
        <x:f>IF(AH2415&gt;0,(AE2415+AF2415)/AH2415*365,0)</x:f>
        <x:v>0.174405370134431</x:v>
      </x:c>
      <x:c r="AJ2415" s="81" t="n">
        <x:f>IF('Inputs'!$B$50&gt;0,AG2415/('Inputs'!$B$19*'Inputs'!$B$50)*365,0)</x:f>
        <x:v>0.06135216556740391</x:v>
      </x:c>
      <x:c r="AK2415" s="81" t="n">
        <x:f>W2415/MAX($W$2194:W2415)-1</x:f>
        <x:v>-0.9968835705453797</x:v>
      </x:c>
      <x:c r="AL2415" s="83" t="n">
        <x:f>'Inputs'!$B$50</x:f>
        <x:v>1</x:v>
      </x:c>
      <x:c r="AM2415" s="83" t="n">
        <x:f>'Inputs'!$C$50</x:f>
        <x:v>1</x:v>
      </x:c>
      <x:c r="AN2415" s="83" t="n">
        <x:f>'Inputs'!$D$50</x:f>
        <x:v>1</x:v>
      </x:c>
      <x:c r="AO2415" s="81" t="n">
        <x:f>'Inputs'!$E$50</x:f>
        <x:v>0</x:v>
      </x:c>
    </x:row>
    <x:row r="2416">
      <x:c r="A2416" s="59" t="str">
        <x:v>Whale exit</x:v>
      </x:c>
      <x:c r="B2416" s="59" t="n">
        <x:v>223</x:v>
      </x:c>
      <x:c r="C2416" s="78" t="n">
        <x:f>(('Inputs'!$B$29*(3*223*'Inputs'!$B$12-223^2)/(2*'Inputs'!$B$12^2))-('Inputs'!$B$29*(3*222*'Inputs'!$B$12-222^2)/(2*'Inputs'!$B$12^2)))*'Inputs'!$B$50</x:f>
        <x:v>639649.7935822904</x:v>
      </x:c>
      <x:c r="D2416" s="78" t="n">
        <x:f>IF('Inputs'!$C$50&gt;0,('Inputs'!$B$30*(3*223*'Inputs'!$B$12-223^2)/(2*'Inputs'!$B$12^2))-('Inputs'!$B$30*(3*222*'Inputs'!$B$12-222^2)/(2*'Inputs'!$B$12^2)),0)</x:f>
        <x:v>274135.6258209795</x:v>
      </x:c>
      <x:c r="E2416" s="78" t="n">
        <x:f>C2416+D2416</x:f>
        <x:v>913785.4194032699</x:v>
      </x:c>
      <x:c r="F2416" s="78" t="n">
        <x:f>'Inputs'!$B$13*E2416+(1-'Inputs'!$B$13)/'Inputs'!$B$14*SUM(E2361:E2416)</x:f>
        <x:v>924003.096265717</x:v>
      </x:c>
      <x:c r="G2416" s="78" t="n">
        <x:f>F2416*'Inputs'!$F$50</x:f>
        <x:v>462001.5481328585</x:v>
      </x:c>
      <x:c r="H2416" s="78" t="n">
        <x:f>U2415</x:f>
        <x:v>105199083.69674926</x:v>
      </x:c>
      <x:c r="I2416" s="78" t="n">
        <x:f>V2415</x:f>
        <x:v>276.3032842810485</x:v>
      </x:c>
      <x:c r="J2416" s="79" t="n">
        <x:f>IF(H2416&gt;0,I2416/H2416,0)</x:f>
        <x:v>0.0000026264799518361824</x:v>
      </x:c>
      <x:c r="K2416" s="80" t="n">
        <x:f>(H2416*J2416+I2416)*'Inputs'!$D$50*(1+'Inputs'!$G$50)^(B2416/30)</x:f>
        <x:v>552.606568562097</x:v>
      </x:c>
      <x:c r="L2416" s="80" t="n">
        <x:f>MAX(0,K2416*'Inputs'!$E$50)</x:f>
        <x:v>0</x:v>
      </x:c>
      <x:c r="M2416" s="80" t="n">
        <x:f>MAX(0,-K2416*'Inputs'!$E$50)</x:f>
        <x:v>0</x:v>
      </x:c>
      <x:c r="N2416" s="78" t="n">
        <x:f>H2416*(L2416*(1-'Inputs'!$B$15))/(I2416+L2416*(1-'Inputs'!$B$15))</x:f>
        <x:v>0</x:v>
      </x:c>
      <x:c r="O2416" s="78" t="n">
        <x:f>H2416-N2416</x:f>
        <x:v>105199083.69674926</x:v>
      </x:c>
      <x:c r="P2416" s="78" t="n">
        <x:f>I2416+L2416*(1-'Inputs'!$B$17)</x:f>
        <x:v>276.3032842810485</x:v>
      </x:c>
      <x:c r="Q2416" s="78" t="n">
        <x:f>IF(J2416&gt;0,M2416/J2416,0)</x:f>
        <x:v>0</x:v>
      </x:c>
      <x:c r="R2416" s="78" t="n">
        <x:f>IF(B2416='Inputs'!$H$50,'Inputs'!$B$27*'Inputs'!$I$50,0)</x:f>
        <x:v>0</x:v>
      </x:c>
      <x:c r="S2416" s="78" t="n">
        <x:f>Q2416+G2416+R2416</x:f>
        <x:v>462001.5481328585</x:v>
      </x:c>
      <x:c r="T2416" s="78" t="n">
        <x:f>P2416*(S2416*(1-'Inputs'!$B$15))/(O2416+S2416*(1-'Inputs'!$B$15))</x:f>
        <x:v>1.196103043639879</x:v>
      </x:c>
      <x:c r="U2416" s="78" t="n">
        <x:f>O2416+S2416*(1-'Inputs'!$B$17)</x:f>
        <x:v>105659226.08372262</x:v>
      </x:c>
      <x:c r="V2416" s="78" t="n">
        <x:f>P2416-T2416</x:f>
        <x:v>275.1071812374086</x:v>
      </x:c>
      <x:c r="W2416" s="79" t="n">
        <x:f>IF(U2416&gt;0,V2416/U2416,0)</x:f>
        <x:v>0.0000026037213354129457</x:v>
      </x:c>
      <x:c r="X2416" s="80" t="n">
        <x:f>W2416*('Inputs'!$B$6-AC2416)</x:f>
        <x:v>2479.3495821153974</x:v>
      </x:c>
      <x:c r="Y2416" s="80" t="n">
        <x:f>2*V2416</x:f>
        <x:v>550.2143624748172</x:v>
      </x:c>
      <x:c r="Z2416" s="80" t="n">
        <x:f>K2416*'Inputs'!$B$16+(G2416+R2416)*J2416*'Inputs'!$B$16</x:f>
        <x:v>3.322920038195911</x:v>
      </x:c>
      <x:c r="AA2416" s="80" t="n">
        <x:f>K2416*(1+'Inputs'!$E$50)/2*'Inputs'!$B$17</x:f>
        <x:v>1.1118844437869155</x:v>
      </x:c>
      <x:c r="AB2416" s="78" t="n">
        <x:f>(IF(J2416&gt;0,K2416*(1-'Inputs'!$E$50)/2/J2416,0)+G2416+R2416)*'Inputs'!$B$17</x:f>
        <x:v>425195.5140639119</x:v>
      </x:c>
      <x:c r="AC2416" s="78" t="n">
        <x:f>AC2415+AB2416</x:f>
        <x:v>47766921.75386849</x:v>
      </x:c>
      <x:c r="AD2416" s="80" t="n">
        <x:f>Z2416/(1+'Inputs'!$C$50)</x:f>
        <x:v>1.6614600190979556</x:v>
      </x:c>
      <x:c r="AE2416" s="80" t="n">
        <x:f>Z2416-AD2416</x:f>
        <x:v>1.6614600190979556</x:v>
      </x:c>
      <x:c r="AF2416" s="80" t="n">
        <x:f>D2416*W2416</x:f>
        <x:v>0.7137727777468643</x:v>
      </x:c>
      <x:c r="AG2416" s="80" t="n">
        <x:f>C2416*W2416</x:f>
        <x:v>1.6654698147426963</x:v>
      </x:c>
      <x:c r="AH2416" s="80" t="n">
        <x:f>2*'Inputs'!$B$8*'Inputs'!$C$50</x:f>
        <x:v>5000</x:v>
      </x:c>
      <x:c r="AI2416" s="81" t="n">
        <x:f>IF(AH2416&gt;0,(AE2416+AF2416)/AH2416*365,0)</x:f>
        <x:v>0.17339199416967185</x:v>
      </x:c>
      <x:c r="AJ2416" s="81" t="n">
        <x:f>IF('Inputs'!$B$50&gt;0,AG2416/('Inputs'!$B$19*'Inputs'!$B$50)*365,0)</x:f>
        <x:v>0.06078964823810842</x:v>
      </x:c>
      <x:c r="AK2416" s="81" t="n">
        <x:f>W2416/MAX($W$2194:W2416)-1</x:f>
        <x:v>-0.9969105746055166</x:v>
      </x:c>
      <x:c r="AL2416" s="83" t="n">
        <x:f>'Inputs'!$B$50</x:f>
        <x:v>1</x:v>
      </x:c>
      <x:c r="AM2416" s="83" t="n">
        <x:f>'Inputs'!$C$50</x:f>
        <x:v>1</x:v>
      </x:c>
      <x:c r="AN2416" s="83" t="n">
        <x:f>'Inputs'!$D$50</x:f>
        <x:v>1</x:v>
      </x:c>
      <x:c r="AO2416" s="81" t="n">
        <x:f>'Inputs'!$E$50</x:f>
        <x:v>0</x:v>
      </x:c>
    </x:row>
    <x:row r="2417">
      <x:c r="A2417" s="59" t="str">
        <x:v>Whale exit</x:v>
      </x:c>
      <x:c r="B2417" s="59" t="n">
        <x:v>224</x:v>
      </x:c>
      <x:c r="C2417" s="78" t="n">
        <x:f>(('Inputs'!$B$29*(3*224*'Inputs'!$B$12-224^2)/(2*'Inputs'!$B$12^2))-('Inputs'!$B$29*(3*223*'Inputs'!$B$12-223^2)/(2*'Inputs'!$B$12^2)))*'Inputs'!$B$50</x:f>
        <x:v>639324.6856821179</x:v>
      </x:c>
      <x:c r="D2417" s="78" t="n">
        <x:f>IF('Inputs'!$C$50&gt;0,('Inputs'!$B$30*(3*224*'Inputs'!$B$12-224^2)/(2*'Inputs'!$B$12^2))-('Inputs'!$B$30*(3*223*'Inputs'!$B$12-223^2)/(2*'Inputs'!$B$12^2)),0)</x:f>
        <x:v>273996.2938637659</x:v>
      </x:c>
      <x:c r="E2417" s="78" t="n">
        <x:f>C2417+D2417</x:f>
        <x:v>913320.9795458838</x:v>
      </x:c>
      <x:c r="F2417" s="78" t="n">
        <x:f>'Inputs'!$B$13*E2417+(1-'Inputs'!$B$13)/'Inputs'!$B$14*SUM(E2362:E2417)</x:f>
        <x:v>923538.6564083325</x:v>
      </x:c>
      <x:c r="G2417" s="78" t="n">
        <x:f>F2417*'Inputs'!$F$50</x:f>
        <x:v>461769.32820416626</x:v>
      </x:c>
      <x:c r="H2417" s="78" t="n">
        <x:f>U2416</x:f>
        <x:v>105659226.08372262</x:v>
      </x:c>
      <x:c r="I2417" s="78" t="n">
        <x:f>V2416</x:f>
        <x:v>275.1071812374086</x:v>
      </x:c>
      <x:c r="J2417" s="79" t="n">
        <x:f>IF(H2417&gt;0,I2417/H2417,0)</x:f>
        <x:v>0.0000026037213354129457</x:v>
      </x:c>
      <x:c r="K2417" s="80" t="n">
        <x:f>(H2417*J2417+I2417)*'Inputs'!$D$50*(1+'Inputs'!$G$50)^(B2417/30)</x:f>
        <x:v>550.2143624748172</x:v>
      </x:c>
      <x:c r="L2417" s="80" t="n">
        <x:f>MAX(0,K2417*'Inputs'!$E$50)</x:f>
        <x:v>0</x:v>
      </x:c>
      <x:c r="M2417" s="80" t="n">
        <x:f>MAX(0,-K2417*'Inputs'!$E$50)</x:f>
        <x:v>0</x:v>
      </x:c>
      <x:c r="N2417" s="78" t="n">
        <x:f>H2417*(L2417*(1-'Inputs'!$B$15))/(I2417+L2417*(1-'Inputs'!$B$15))</x:f>
        <x:v>0</x:v>
      </x:c>
      <x:c r="O2417" s="78" t="n">
        <x:f>H2417-N2417</x:f>
        <x:v>105659226.08372262</x:v>
      </x:c>
      <x:c r="P2417" s="78" t="n">
        <x:f>I2417+L2417*(1-'Inputs'!$B$17)</x:f>
        <x:v>275.1071812374086</x:v>
      </x:c>
      <x:c r="Q2417" s="78" t="n">
        <x:f>IF(J2417&gt;0,M2417/J2417,0)</x:f>
        <x:v>0</x:v>
      </x:c>
      <x:c r="R2417" s="78" t="n">
        <x:f>IF(B2417='Inputs'!$H$50,'Inputs'!$B$27*'Inputs'!$I$50,0)</x:f>
        <x:v>0</x:v>
      </x:c>
      <x:c r="S2417" s="78" t="n">
        <x:f>Q2417+G2417+R2417</x:f>
        <x:v>461769.32820416626</x:v>
      </x:c>
      <x:c r="T2417" s="78" t="n">
        <x:f>P2417*(S2417*(1-'Inputs'!$B$15))/(O2417+S2417*(1-'Inputs'!$B$15))</x:f>
        <x:v>1.1851676469295978</x:v>
      </x:c>
      <x:c r="U2417" s="78" t="n">
        <x:f>O2417+S2417*(1-'Inputs'!$B$17)</x:f>
        <x:v>106119137.18525393</x:v>
      </x:c>
      <x:c r="V2417" s="78" t="n">
        <x:f>P2417-T2417</x:f>
        <x:v>273.922013590479</x:v>
      </x:c>
      <x:c r="W2417" s="79" t="n">
        <x:f>IF(U2417&gt;0,V2417/U2417,0)</x:f>
        <x:v>0.000002581268759397175</x:v>
      </x:c>
      <x:c r="X2417" s="80" t="n">
        <x:f>W2417*('Inputs'!$B$6-AC2417)</x:f>
        <x:v>2456.867175373647</x:v>
      </x:c>
      <x:c r="Y2417" s="80" t="n">
        <x:f>2*V2417</x:f>
        <x:v>547.844027180958</x:v>
      </x:c>
      <x:c r="Z2417" s="80" t="n">
        <x:f>K2417*'Inputs'!$B$16+(G2417+R2417)*J2417*'Inputs'!$B$16</x:f>
        <x:v>3.3085000867602106</x:v>
      </x:c>
      <x:c r="AA2417" s="80" t="n">
        <x:f>K2417*(1+'Inputs'!$E$50)/2*'Inputs'!$B$17</x:f>
        <x:v>1.1070711518607994</x:v>
      </x:c>
      <x:c r="AB2417" s="78" t="n">
        <x:f>(IF(J2417&gt;0,K2417*(1-'Inputs'!$E$50)/2/J2417,0)+G2417+R2417)*'Inputs'!$B$17</x:f>
        <x:v>427046.25920292473</x:v>
      </x:c>
      <x:c r="AC2417" s="78" t="n">
        <x:f>AC2416+AB2417</x:f>
        <x:v>48193968.01307142</x:v>
      </x:c>
      <x:c r="AD2417" s="80" t="n">
        <x:f>Z2417/(1+'Inputs'!$C$50)</x:f>
        <x:v>1.6542500433801053</x:v>
      </x:c>
      <x:c r="AE2417" s="80" t="n">
        <x:f>Z2417-AD2417</x:f>
        <x:v>1.6542500433801053</x:v>
      </x:c>
      <x:c r="AF2417" s="80" t="n">
        <x:f>D2417*W2417</x:f>
        <x:v>0.7072580735411468</x:v>
      </x:c>
      <x:c r="AG2417" s="80" t="n">
        <x:f>C2417*W2417</x:f>
        <x:v>1.6502688382626693</x:v>
      </x:c>
      <x:c r="AH2417" s="80" t="n">
        <x:f>2*'Inputs'!$B$8*'Inputs'!$C$50</x:f>
        <x:v>5000</x:v>
      </x:c>
      <x:c r="AI2417" s="81" t="n">
        <x:f>IF(AH2417&gt;0,(AE2417+AF2417)/AH2417*365,0)</x:f>
        <x:v>0.1723900925352514</x:v>
      </x:c>
      <x:c r="AJ2417" s="81" t="n">
        <x:f>IF('Inputs'!$B$50&gt;0,AG2417/('Inputs'!$B$19*'Inputs'!$B$50)*365,0)</x:f>
        <x:v>0.060234812596587424</x:v>
      </x:c>
      <x:c r="AK2417" s="81" t="n">
        <x:f>W2417/MAX($W$2194:W2417)-1</x:f>
        <x:v>-0.9969372155357771</x:v>
      </x:c>
      <x:c r="AL2417" s="83" t="n">
        <x:f>'Inputs'!$B$50</x:f>
        <x:v>1</x:v>
      </x:c>
      <x:c r="AM2417" s="83" t="n">
        <x:f>'Inputs'!$C$50</x:f>
        <x:v>1</x:v>
      </x:c>
      <x:c r="AN2417" s="83" t="n">
        <x:f>'Inputs'!$D$50</x:f>
        <x:v>1</x:v>
      </x:c>
      <x:c r="AO2417" s="81" t="n">
        <x:f>'Inputs'!$E$50</x:f>
        <x:v>0</x:v>
      </x:c>
    </x:row>
    <x:row r="2418">
      <x:c r="A2418" s="59" t="str">
        <x:v>Whale exit</x:v>
      </x:c>
      <x:c r="B2418" s="59" t="n">
        <x:v>225</x:v>
      </x:c>
      <x:c r="C2418" s="78" t="n">
        <x:f>(('Inputs'!$B$29*(3*225*'Inputs'!$B$12-225^2)/(2*'Inputs'!$B$12^2))-('Inputs'!$B$29*(3*224*'Inputs'!$B$12-224^2)/(2*'Inputs'!$B$12^2)))*'Inputs'!$B$50</x:f>
        <x:v>638999.5777819455</x:v>
      </x:c>
      <x:c r="D2418" s="78" t="n">
        <x:f>IF('Inputs'!$C$50&gt;0,('Inputs'!$B$30*(3*225*'Inputs'!$B$12-225^2)/(2*'Inputs'!$B$12^2))-('Inputs'!$B$30*(3*224*'Inputs'!$B$12-224^2)/(2*'Inputs'!$B$12^2)),0)</x:f>
        <x:v>273856.9619065523</x:v>
      </x:c>
      <x:c r="E2418" s="78" t="n">
        <x:f>C2418+D2418</x:f>
        <x:v>912856.5396884978</x:v>
      </x:c>
      <x:c r="F2418" s="78" t="n">
        <x:f>'Inputs'!$B$13*E2418+(1-'Inputs'!$B$13)/'Inputs'!$B$14*SUM(E2363:E2418)</x:f>
        <x:v>923074.2165509481</x:v>
      </x:c>
      <x:c r="G2418" s="78" t="n">
        <x:f>F2418*'Inputs'!$F$50</x:f>
        <x:v>461537.10827547405</x:v>
      </x:c>
      <x:c r="H2418" s="78" t="n">
        <x:f>U2417</x:f>
        <x:v>106119137.18525393</x:v>
      </x:c>
      <x:c r="I2418" s="78" t="n">
        <x:f>V2417</x:f>
        <x:v>273.922013590479</x:v>
      </x:c>
      <x:c r="J2418" s="79" t="n">
        <x:f>IF(H2418&gt;0,I2418/H2418,0)</x:f>
        <x:v>0.000002581268759397175</x:v>
      </x:c>
      <x:c r="K2418" s="80" t="n">
        <x:f>(H2418*J2418+I2418)*'Inputs'!$D$50*(1+'Inputs'!$G$50)^(B2418/30)</x:f>
        <x:v>547.844027180958</x:v>
      </x:c>
      <x:c r="L2418" s="80" t="n">
        <x:f>MAX(0,K2418*'Inputs'!$E$50)</x:f>
        <x:v>0</x:v>
      </x:c>
      <x:c r="M2418" s="80" t="n">
        <x:f>MAX(0,-K2418*'Inputs'!$E$50)</x:f>
        <x:v>0</x:v>
      </x:c>
      <x:c r="N2418" s="78" t="n">
        <x:f>H2418*(L2418*(1-'Inputs'!$B$15))/(I2418+L2418*(1-'Inputs'!$B$15))</x:f>
        <x:v>0</x:v>
      </x:c>
      <x:c r="O2418" s="78" t="n">
        <x:f>H2418-N2418</x:f>
        <x:v>106119137.18525393</x:v>
      </x:c>
      <x:c r="P2418" s="78" t="n">
        <x:f>I2418+L2418*(1-'Inputs'!$B$17)</x:f>
        <x:v>273.922013590479</x:v>
      </x:c>
      <x:c r="Q2418" s="78" t="n">
        <x:f>IF(J2418&gt;0,M2418/J2418,0)</x:f>
        <x:v>0</x:v>
      </x:c>
      <x:c r="R2418" s="78" t="n">
        <x:f>IF(B2418='Inputs'!$H$50,'Inputs'!$B$27*'Inputs'!$I$50,0)</x:f>
        <x:v>0</x:v>
      </x:c>
      <x:c r="S2418" s="78" t="n">
        <x:f>Q2418+G2418+R2418</x:f>
        <x:v>461537.10827547405</x:v>
      </x:c>
      <x:c r="T2418" s="78" t="n">
        <x:f>P2418*(S2418*(1-'Inputs'!$B$15))/(O2418+S2418*(1-'Inputs'!$B$15))</x:f>
        <x:v>1.1743812219230825</x:v>
      </x:c>
      <x:c r="U2418" s="78" t="n">
        <x:f>O2418+S2418*(1-'Inputs'!$B$17)</x:f>
        <x:v>106578817.00134319</x:v>
      </x:c>
      <x:c r="V2418" s="78" t="n">
        <x:f>P2418-T2418</x:f>
        <x:v>272.74763236855597</x:v>
      </x:c>
      <x:c r="W2418" s="79" t="n">
        <x:f>IF(U2418&gt;0,V2418/U2418,0)</x:f>
        <x:v>0.0000025591167179601794</x:v>
      </x:c>
      <x:c r="X2418" s="80" t="n">
        <x:f>W2418*('Inputs'!$B$6-AC2418)</x:f>
        <x:v>2434.6851336008326</x:v>
      </x:c>
      <x:c r="Y2418" s="80" t="n">
        <x:f>2*V2418</x:f>
        <x:v>545.4952647371119</x:v>
      </x:c>
      <x:c r="Z2418" s="80" t="n">
        <x:f>K2418*'Inputs'!$B$16+(G2418+R2418)*J2418*'Inputs'!$B$16</x:f>
        <x:v>3.2942122709991124</x:v>
      </x:c>
      <x:c r="AA2418" s="80" t="n">
        <x:f>K2418*(1+'Inputs'!$E$50)/2*'Inputs'!$B$17</x:f>
        <x:v>1.1023018655552477</x:v>
      </x:c>
      <x:c r="AB2418" s="78" t="n">
        <x:f>(IF(J2418&gt;0,K2418*(1-'Inputs'!$E$50)/2/J2418,0)+G2418+R2418)*'Inputs'!$B$17</x:f>
        <x:v>428896.07361581246</x:v>
      </x:c>
      <x:c r="AC2418" s="78" t="n">
        <x:f>AC2417+AB2418</x:f>
        <x:v>48622864.08668723</x:v>
      </x:c>
      <x:c r="AD2418" s="80" t="n">
        <x:f>Z2418/(1+'Inputs'!$C$50)</x:f>
        <x:v>1.6471061354995562</x:v>
      </x:c>
      <x:c r="AE2418" s="80" t="n">
        <x:f>Z2418-AD2418</x:f>
        <x:v>1.6471061354995562</x:v>
      </x:c>
      <x:c r="AF2418" s="80" t="n">
        <x:f>D2418*W2418</x:f>
        <x:v>0.700831929544842</x:v>
      </x:c>
      <x:c r="AG2418" s="80" t="n">
        <x:f>C2418*W2418</x:f>
        <x:v>1.6352745022712727</x:v>
      </x:c>
      <x:c r="AH2418" s="80" t="n">
        <x:f>2*'Inputs'!$B$8*'Inputs'!$C$50</x:f>
        <x:v>5000</x:v>
      </x:c>
      <x:c r="AI2418" s="81" t="n">
        <x:f>IF(AH2418&gt;0,(AE2418+AF2418)/AH2418*365,0)</x:f>
        <x:v>0.1713994787482411</x:v>
      </x:c>
      <x:c r="AJ2418" s="81" t="n">
        <x:f>IF('Inputs'!$B$50&gt;0,AG2418/('Inputs'!$B$19*'Inputs'!$B$50)*365,0)</x:f>
        <x:v>0.05968751933290145</x:v>
      </x:c>
      <x:c r="AK2418" s="81" t="n">
        <x:f>W2418/MAX($W$2194:W2418)-1</x:f>
        <x:v>-0.9969634998690597</x:v>
      </x:c>
      <x:c r="AL2418" s="83" t="n">
        <x:f>'Inputs'!$B$50</x:f>
        <x:v>1</x:v>
      </x:c>
      <x:c r="AM2418" s="83" t="n">
        <x:f>'Inputs'!$C$50</x:f>
        <x:v>1</x:v>
      </x:c>
      <x:c r="AN2418" s="83" t="n">
        <x:f>'Inputs'!$D$50</x:f>
        <x:v>1</x:v>
      </x:c>
      <x:c r="AO2418" s="81" t="n">
        <x:f>'Inputs'!$E$50</x:f>
        <x:v>0</x:v>
      </x:c>
    </x:row>
    <x:row r="2419">
      <x:c r="A2419" s="59" t="str">
        <x:v>Whale exit</x:v>
      </x:c>
      <x:c r="B2419" s="59" t="n">
        <x:v>226</x:v>
      </x:c>
      <x:c r="C2419" s="78" t="n">
        <x:f>(('Inputs'!$B$29*(3*226*'Inputs'!$B$12-226^2)/(2*'Inputs'!$B$12^2))-('Inputs'!$B$29*(3*225*'Inputs'!$B$12-225^2)/(2*'Inputs'!$B$12^2)))*'Inputs'!$B$50</x:f>
        <x:v>638674.469881773</x:v>
      </x:c>
      <x:c r="D2419" s="78" t="n">
        <x:f>IF('Inputs'!$C$50&gt;0,('Inputs'!$B$30*(3*226*'Inputs'!$B$12-226^2)/(2*'Inputs'!$B$12^2))-('Inputs'!$B$30*(3*225*'Inputs'!$B$12-225^2)/(2*'Inputs'!$B$12^2)),0)</x:f>
        <x:v>273717.6299493313</x:v>
      </x:c>
      <x:c r="E2419" s="78" t="n">
        <x:f>C2419+D2419</x:f>
        <x:v>912392.0998311043</x:v>
      </x:c>
      <x:c r="F2419" s="78" t="n">
        <x:f>'Inputs'!$B$13*E2419+(1-'Inputs'!$B$13)/'Inputs'!$B$14*SUM(E2364:E2419)</x:f>
        <x:v>922609.7766935619</x:v>
      </x:c>
      <x:c r="G2419" s="78" t="n">
        <x:f>F2419*'Inputs'!$F$50</x:f>
        <x:v>461304.88834678096</x:v>
      </x:c>
      <x:c r="H2419" s="78" t="n">
        <x:f>U2418</x:f>
        <x:v>106578817.00134319</x:v>
      </x:c>
      <x:c r="I2419" s="78" t="n">
        <x:f>V2418</x:f>
        <x:v>272.74763236855597</x:v>
      </x:c>
      <x:c r="J2419" s="79" t="n">
        <x:f>IF(H2419&gt;0,I2419/H2419,0)</x:f>
        <x:v>0.0000025591167179601794</x:v>
      </x:c>
      <x:c r="K2419" s="80" t="n">
        <x:f>(H2419*J2419+I2419)*'Inputs'!$D$50*(1+'Inputs'!$G$50)^(B2419/30)</x:f>
        <x:v>545.4952647371119</x:v>
      </x:c>
      <x:c r="L2419" s="80" t="n">
        <x:f>MAX(0,K2419*'Inputs'!$E$50)</x:f>
        <x:v>0</x:v>
      </x:c>
      <x:c r="M2419" s="80" t="n">
        <x:f>MAX(0,-K2419*'Inputs'!$E$50)</x:f>
        <x:v>0</x:v>
      </x:c>
      <x:c r="N2419" s="78" t="n">
        <x:f>H2419*(L2419*(1-'Inputs'!$B$15))/(I2419+L2419*(1-'Inputs'!$B$15))</x:f>
        <x:v>0</x:v>
      </x:c>
      <x:c r="O2419" s="78" t="n">
        <x:f>H2419-N2419</x:f>
        <x:v>106578817.00134319</x:v>
      </x:c>
      <x:c r="P2419" s="78" t="n">
        <x:f>I2419+L2419*(1-'Inputs'!$B$17)</x:f>
        <x:v>272.74763236855597</x:v>
      </x:c>
      <x:c r="Q2419" s="78" t="n">
        <x:f>IF(J2419&gt;0,M2419/J2419,0)</x:f>
        <x:v>0</x:v>
      </x:c>
      <x:c r="R2419" s="78" t="n">
        <x:f>IF(B2419='Inputs'!$H$50,'Inputs'!$B$27*'Inputs'!$I$50,0)</x:f>
        <x:v>0</x:v>
      </x:c>
      <x:c r="S2419" s="78" t="n">
        <x:f>Q2419+G2419+R2419</x:f>
        <x:v>461304.88834678096</x:v>
      </x:c>
      <x:c r="T2419" s="78" t="n">
        <x:f>P2419*(S2419*(1-'Inputs'!$B$15))/(O2419+S2419*(1-'Inputs'!$B$15))</x:f>
        <x:v>1.1637410732630733</x:v>
      </x:c>
      <x:c r="U2419" s="78" t="n">
        <x:f>O2419+S2419*(1-'Inputs'!$B$17)</x:f>
        <x:v>107038265.5319904</x:v>
      </x:c>
      <x:c r="V2419" s="78" t="n">
        <x:f>P2419-T2419</x:f>
        <x:v>271.5838912952929</x:v>
      </x:c>
      <x:c r="W2419" s="79" t="n">
        <x:f>IF(U2419&gt;0,V2419/U2419,0)</x:f>
        <x:v>0.0000025372598289545805</x:v>
      </x:c>
      <x:c r="X2419" s="80" t="n">
        <x:f>W2419*('Inputs'!$B$6-AC2419)</x:f>
        <x:v>2412.798077262022</x:v>
      </x:c>
      <x:c r="Y2419" s="80" t="n">
        <x:f>2*V2419</x:f>
        <x:v>543.1677825905858</x:v>
      </x:c>
      <x:c r="Z2419" s="80" t="n">
        <x:f>K2419*'Inputs'!$B$16+(G2419+R2419)*J2419*'Inputs'!$B$16</x:f>
        <x:v>3.2800547867337415</x:v>
      </x:c>
      <x:c r="AA2419" s="80" t="n">
        <x:f>K2419*(1+'Inputs'!$E$50)/2*'Inputs'!$B$17</x:f>
        <x:v>1.0975759853865432</x:v>
      </x:c>
      <x:c r="AB2419" s="78" t="n">
        <x:f>(IF(J2419&gt;0,K2419*(1-'Inputs'!$E$50)/2/J2419,0)+G2419+R2419)*'Inputs'!$B$17</x:f>
        <x:v>430744.95730257535</x:v>
      </x:c>
      <x:c r="AC2419" s="78" t="n">
        <x:f>AC2418+AB2419</x:f>
        <x:v>49053609.04398981</x:v>
      </x:c>
      <x:c r="AD2419" s="80" t="n">
        <x:f>Z2419/(1+'Inputs'!$C$50)</x:f>
        <x:v>1.6400273933668708</x:v>
      </x:c>
      <x:c r="AE2419" s="80" t="n">
        <x:f>Z2419-AD2419</x:f>
        <x:v>1.6400273933668708</x:v>
      </x:c>
      <x:c r="AF2419" s="80" t="n">
        <x:f>D2419*W2419</x:f>
        <x:v>0.6944927469470935</x:v>
      </x:c>
      <x:c r="AG2419" s="80" t="n">
        <x:f>C2419*W2419</x:f>
        <x:v>1.6204830762098847</x:v>
      </x:c>
      <x:c r="AH2419" s="80" t="n">
        <x:f>2*'Inputs'!$B$8*'Inputs'!$C$50</x:f>
        <x:v>5000</x:v>
      </x:c>
      <x:c r="AI2419" s="81" t="n">
        <x:f>IF(AH2419&gt;0,(AE2419+AF2419)/AH2419*365,0)</x:f>
        <x:v>0.1704199702429194</x:v>
      </x:c>
      <x:c r="AJ2419" s="81" t="n">
        <x:f>IF('Inputs'!$B$50&gt;0,AG2419/('Inputs'!$B$19*'Inputs'!$B$50)*365,0)</x:f>
        <x:v>0.05914763228166079</x:v>
      </x:c>
      <x:c r="AK2419" s="81" t="n">
        <x:f>W2419/MAX($W$2194:W2419)-1</x:f>
        <x:v>-0.9969894339915097</x:v>
      </x:c>
      <x:c r="AL2419" s="83" t="n">
        <x:f>'Inputs'!$B$50</x:f>
        <x:v>1</x:v>
      </x:c>
      <x:c r="AM2419" s="83" t="n">
        <x:f>'Inputs'!$C$50</x:f>
        <x:v>1</x:v>
      </x:c>
      <x:c r="AN2419" s="83" t="n">
        <x:f>'Inputs'!$D$50</x:f>
        <x:v>1</x:v>
      </x:c>
      <x:c r="AO2419" s="81" t="n">
        <x:f>'Inputs'!$E$50</x:f>
        <x:v>0</x:v>
      </x:c>
    </x:row>
    <x:row r="2420">
      <x:c r="A2420" s="59" t="str">
        <x:v>Whale exit</x:v>
      </x:c>
      <x:c r="B2420" s="59" t="n">
        <x:v>227</x:v>
      </x:c>
      <x:c r="C2420" s="78" t="n">
        <x:f>(('Inputs'!$B$29*(3*227*'Inputs'!$B$12-227^2)/(2*'Inputs'!$B$12^2))-('Inputs'!$B$29*(3*226*'Inputs'!$B$12-226^2)/(2*'Inputs'!$B$12^2)))*'Inputs'!$B$50</x:f>
        <x:v>638349.3619816005</x:v>
      </x:c>
      <x:c r="D2420" s="78" t="n">
        <x:f>IF('Inputs'!$C$50&gt;0,('Inputs'!$B$30*(3*227*'Inputs'!$B$12-227^2)/(2*'Inputs'!$B$12^2))-('Inputs'!$B$30*(3*226*'Inputs'!$B$12-226^2)/(2*'Inputs'!$B$12^2)),0)</x:f>
        <x:v>273578.2979921177</x:v>
      </x:c>
      <x:c r="E2420" s="78" t="n">
        <x:f>C2420+D2420</x:f>
        <x:v>911927.6599737182</x:v>
      </x:c>
      <x:c r="F2420" s="78" t="n">
        <x:f>'Inputs'!$B$13*E2420+(1-'Inputs'!$B$13)/'Inputs'!$B$14*SUM(E2365:E2420)</x:f>
        <x:v>922145.3368361773</x:v>
      </x:c>
      <x:c r="G2420" s="78" t="n">
        <x:f>F2420*'Inputs'!$F$50</x:f>
        <x:v>461072.66841808864</x:v>
      </x:c>
      <x:c r="H2420" s="78" t="n">
        <x:f>U2419</x:f>
        <x:v>107038265.5319904</x:v>
      </x:c>
      <x:c r="I2420" s="78" t="n">
        <x:f>V2419</x:f>
        <x:v>271.5838912952929</x:v>
      </x:c>
      <x:c r="J2420" s="79" t="n">
        <x:f>IF(H2420&gt;0,I2420/H2420,0)</x:f>
        <x:v>0.0000025372598289545805</x:v>
      </x:c>
      <x:c r="K2420" s="80" t="n">
        <x:f>(H2420*J2420+I2420)*'Inputs'!$D$50*(1+'Inputs'!$G$50)^(B2420/30)</x:f>
        <x:v>543.1677825905858</x:v>
      </x:c>
      <x:c r="L2420" s="80" t="n">
        <x:f>MAX(0,K2420*'Inputs'!$E$50)</x:f>
        <x:v>0</x:v>
      </x:c>
      <x:c r="M2420" s="80" t="n">
        <x:f>MAX(0,-K2420*'Inputs'!$E$50)</x:f>
        <x:v>0</x:v>
      </x:c>
      <x:c r="N2420" s="78" t="n">
        <x:f>H2420*(L2420*(1-'Inputs'!$B$15))/(I2420+L2420*(1-'Inputs'!$B$15))</x:f>
        <x:v>0</x:v>
      </x:c>
      <x:c r="O2420" s="78" t="n">
        <x:f>H2420-N2420</x:f>
        <x:v>107038265.5319904</x:v>
      </x:c>
      <x:c r="P2420" s="78" t="n">
        <x:f>I2420+L2420*(1-'Inputs'!$B$17)</x:f>
        <x:v>271.5838912952929</x:v>
      </x:c>
      <x:c r="Q2420" s="78" t="n">
        <x:f>IF(J2420&gt;0,M2420/J2420,0)</x:f>
        <x:v>0</x:v>
      </x:c>
      <x:c r="R2420" s="78" t="n">
        <x:f>IF(B2420='Inputs'!$H$50,'Inputs'!$B$27*'Inputs'!$I$50,0)</x:f>
        <x:v>0</x:v>
      </x:c>
      <x:c r="S2420" s="78" t="n">
        <x:f>Q2420+G2420+R2420</x:f>
        <x:v>461072.66841808864</x:v>
      </x:c>
      <x:c r="T2420" s="78" t="n">
        <x:f>P2420*(S2420*(1-'Inputs'!$B$15))/(O2420+S2420*(1-'Inputs'!$B$15))</x:f>
        <x:v>1.153244566293749</x:v>
      </x:c>
      <x:c r="U2420" s="78" t="n">
        <x:f>O2420+S2420*(1-'Inputs'!$B$17)</x:f>
        <x:v>107497482.77719553</x:v>
      </x:c>
      <x:c r="V2420" s="78" t="n">
        <x:f>P2420-T2420</x:f>
        <x:v>270.4306467289992</x:v>
      </x:c>
      <x:c r="W2420" s="79" t="n">
        <x:f>IF(U2420&gt;0,V2420/U2420,0)</x:f>
        <x:v>0.0000025156928305894082</x:v>
      </x:c>
      <x:c r="X2420" s="80" t="n">
        <x:f>W2420*('Inputs'!$B$6-AC2420)</x:f>
        <x:v>2391.2007471199945</x:v>
      </x:c>
      <x:c r="Y2420" s="80" t="n">
        <x:f>2*V2420</x:f>
        <x:v>540.8612934579984</x:v>
      </x:c>
      <x:c r="Z2420" s="80" t="n">
        <x:f>K2420*'Inputs'!$B$16+(G2420+R2420)*J2420*'Inputs'!$B$16</x:f>
        <x:v>3.2660258625023517</x:v>
      </x:c>
      <x:c r="AA2420" s="80" t="n">
        <x:f>K2420*(1+'Inputs'!$E$50)/2*'Inputs'!$B$17</x:f>
        <x:v>1.0928929227174766</x:v>
      </x:c>
      <x:c r="AB2420" s="78" t="n">
        <x:f>(IF(J2420&gt;0,K2420*(1-'Inputs'!$E$50)/2/J2420,0)+G2420+R2420)*'Inputs'!$B$17</x:f>
        <x:v>432592.91026321327</x:v>
      </x:c>
      <x:c r="AC2420" s="78" t="n">
        <x:f>AC2419+AB2420</x:f>
        <x:v>49486201.95425302</x:v>
      </x:c>
      <x:c r="AD2420" s="80" t="n">
        <x:f>Z2420/(1+'Inputs'!$C$50)</x:f>
        <x:v>1.6330129312511759</x:v>
      </x:c>
      <x:c r="AE2420" s="80" t="n">
        <x:f>Z2420-AD2420</x:f>
        <x:v>1.6330129312511759</x:v>
      </x:c>
      <x:c r="AF2420" s="80" t="n">
        <x:f>D2420*W2420</x:f>
        <x:v>0.6882389628636232</x:v>
      </x:c>
      <x:c r="AG2420" s="80" t="n">
        <x:f>C2420*W2420</x:f>
        <x:v>1.6058909133484354</x:v>
      </x:c>
      <x:c r="AH2420" s="80" t="n">
        <x:f>2*'Inputs'!$B$8*'Inputs'!$C$50</x:f>
        <x:v>5000</x:v>
      </x:c>
      <x:c r="AI2420" s="81" t="n">
        <x:f>IF(AH2420&gt;0,(AE2420+AF2420)/AH2420*365,0)</x:f>
        <x:v>0.16945138827038034</x:v>
      </x:c>
      <x:c r="AJ2420" s="81" t="n">
        <x:f>IF('Inputs'!$B$50&gt;0,AG2420/('Inputs'!$B$19*'Inputs'!$B$50)*365,0)</x:f>
        <x:v>0.05861501833721789</x:v>
      </x:c>
      <x:c r="AK2420" s="81" t="n">
        <x:f>W2420/MAX($W$2194:W2420)-1</x:f>
        <x:v>-0.9970150241464645</x:v>
      </x:c>
      <x:c r="AL2420" s="83" t="n">
        <x:f>'Inputs'!$B$50</x:f>
        <x:v>1</x:v>
      </x:c>
      <x:c r="AM2420" s="83" t="n">
        <x:f>'Inputs'!$C$50</x:f>
        <x:v>1</x:v>
      </x:c>
      <x:c r="AN2420" s="83" t="n">
        <x:f>'Inputs'!$D$50</x:f>
        <x:v>1</x:v>
      </x:c>
      <x:c r="AO2420" s="81" t="n">
        <x:f>'Inputs'!$E$50</x:f>
        <x:v>0</x:v>
      </x:c>
    </x:row>
    <x:row r="2421">
      <x:c r="A2421" s="59" t="str">
        <x:v>Whale exit</x:v>
      </x:c>
      <x:c r="B2421" s="59" t="n">
        <x:v>228</x:v>
      </x:c>
      <x:c r="C2421" s="78" t="n">
        <x:f>(('Inputs'!$B$29*(3*228*'Inputs'!$B$12-228^2)/(2*'Inputs'!$B$12^2))-('Inputs'!$B$29*(3*227*'Inputs'!$B$12-227^2)/(2*'Inputs'!$B$12^2)))*'Inputs'!$B$50</x:f>
        <x:v>638024.2540814579</x:v>
      </x:c>
      <x:c r="D2421" s="78" t="n">
        <x:f>IF('Inputs'!$C$50&gt;0,('Inputs'!$B$30*(3*228*'Inputs'!$B$12-228^2)/(2*'Inputs'!$B$12^2))-('Inputs'!$B$30*(3*227*'Inputs'!$B$12-227^2)/(2*'Inputs'!$B$12^2)),0)</x:f>
        <x:v>273438.9660349041</x:v>
      </x:c>
      <x:c r="E2421" s="78" t="n">
        <x:f>C2421+D2421</x:f>
        <x:v>911463.220116362</x:v>
      </x:c>
      <x:c r="F2421" s="78" t="n">
        <x:f>'Inputs'!$B$13*E2421+(1-'Inputs'!$B$13)/'Inputs'!$B$14*SUM(E2366:E2421)</x:f>
        <x:v>921680.8969787991</x:v>
      </x:c>
      <x:c r="G2421" s="78" t="n">
        <x:f>F2421*'Inputs'!$F$50</x:f>
        <x:v>460840.44848939957</x:v>
      </x:c>
      <x:c r="H2421" s="78" t="n">
        <x:f>U2420</x:f>
        <x:v>107497482.77719553</x:v>
      </x:c>
      <x:c r="I2421" s="78" t="n">
        <x:f>V2420</x:f>
        <x:v>270.4306467289992</x:v>
      </x:c>
      <x:c r="J2421" s="79" t="n">
        <x:f>IF(H2421&gt;0,I2421/H2421,0)</x:f>
        <x:v>0.0000025156928305894082</x:v>
      </x:c>
      <x:c r="K2421" s="80" t="n">
        <x:f>(H2421*J2421+I2421)*'Inputs'!$D$50*(1+'Inputs'!$G$50)^(B2421/30)</x:f>
        <x:v>540.8612934579984</x:v>
      </x:c>
      <x:c r="L2421" s="80" t="n">
        <x:f>MAX(0,K2421*'Inputs'!$E$50)</x:f>
        <x:v>0</x:v>
      </x:c>
      <x:c r="M2421" s="80" t="n">
        <x:f>MAX(0,-K2421*'Inputs'!$E$50)</x:f>
        <x:v>0</x:v>
      </x:c>
      <x:c r="N2421" s="78" t="n">
        <x:f>H2421*(L2421*(1-'Inputs'!$B$15))/(I2421+L2421*(1-'Inputs'!$B$15))</x:f>
        <x:v>0</x:v>
      </x:c>
      <x:c r="O2421" s="78" t="n">
        <x:f>H2421-N2421</x:f>
        <x:v>107497482.77719553</x:v>
      </x:c>
      <x:c r="P2421" s="78" t="n">
        <x:f>I2421+L2421*(1-'Inputs'!$B$17)</x:f>
        <x:v>270.4306467289992</x:v>
      </x:c>
      <x:c r="Q2421" s="78" t="n">
        <x:f>IF(J2421&gt;0,M2421/J2421,0)</x:f>
        <x:v>0</x:v>
      </x:c>
      <x:c r="R2421" s="78" t="n">
        <x:f>IF(B2421='Inputs'!$H$50,'Inputs'!$B$27*'Inputs'!$I$50,0)</x:f>
        <x:v>0</x:v>
      </x:c>
      <x:c r="S2421" s="78" t="n">
        <x:f>Q2421+G2421+R2421</x:f>
        <x:v>460840.44848939957</x:v>
      </x:c>
      <x:c r="T2421" s="78" t="n">
        <x:f>P2421*(S2421*(1-'Inputs'!$B$15))/(O2421+S2421*(1-'Inputs'!$B$15))</x:f>
        <x:v>1.1428891254273204</x:v>
      </x:c>
      <x:c r="U2421" s="78" t="n">
        <x:f>O2421+S2421*(1-'Inputs'!$B$17)</x:f>
        <x:v>107956468.73695861</x:v>
      </x:c>
      <x:c r="V2421" s="78" t="n">
        <x:f>P2421-T2421</x:f>
        <x:v>269.2877576035719</x:v>
      </x:c>
      <x:c r="W2421" s="79" t="n">
        <x:f>IF(U2421&gt;0,V2421/U2421,0)</x:f>
        <x:v>0.0000024944105782091217</x:v>
      </x:c>
      <x:c r="X2421" s="80" t="n">
        <x:f>W2421*('Inputs'!$B$6-AC2421)</x:f>
        <x:v>2369.8880010158214</x:v>
      </x:c>
      <x:c r="Y2421" s="80" t="n">
        <x:f>2*V2421</x:f>
        <x:v>538.5755152071438</x:v>
      </x:c>
      <x:c r="Z2421" s="80" t="n">
        <x:f>K2421*'Inputs'!$B$16+(G2421+R2421)*J2421*'Inputs'!$B$16</x:f>
        <x:v>3.2521237588218526</x:v>
      </x:c>
      <x:c r="AA2421" s="80" t="n">
        <x:f>K2421*(1+'Inputs'!$E$50)/2*'Inputs'!$B$17</x:f>
        <x:v>1.0882520995130753</x:v>
      </x:c>
      <x:c r="AB2421" s="78" t="n">
        <x:f>(IF(J2421&gt;0,K2421*(1-'Inputs'!$E$50)/2/J2421,0)+G2421+R2421)*'Inputs'!$B$17</x:f>
        <x:v>434439.9324977261</x:v>
      </x:c>
      <x:c r="AC2421" s="78" t="n">
        <x:f>AC2420+AB2421</x:f>
        <x:v>49920641.88675074</x:v>
      </x:c>
      <x:c r="AD2421" s="80" t="n">
        <x:f>Z2421/(1+'Inputs'!$C$50)</x:f>
        <x:v>1.6260618794109263</x:v>
      </x:c>
      <x:c r="AE2421" s="80" t="n">
        <x:f>Z2421-AD2421</x:f>
        <x:v>1.6260618794109263</x:v>
      </x:c>
      <x:c r="AF2421" s="80" t="n">
        <x:f>D2421*W2421</x:f>
        <x:v>0.6820690493720296</x:v>
      </x:c>
      <x:c r="AG2421" s="80" t="n">
        <x:f>C2421*W2421</x:f>
        <x:v>1.5914944485347728</x:v>
      </x:c>
      <x:c r="AH2421" s="80" t="n">
        <x:f>2*'Inputs'!$B$8*'Inputs'!$C$50</x:f>
        <x:v>5000</x:v>
      </x:c>
      <x:c r="AI2421" s="81" t="n">
        <x:f>IF(AH2421&gt;0,(AE2421+AF2421)/AH2421*365,0)</x:f>
        <x:v>0.16849355780115577</x:v>
      </x:c>
      <x:c r="AJ2421" s="81" t="n">
        <x:f>IF('Inputs'!$B$50&gt;0,AG2421/('Inputs'!$B$19*'Inputs'!$B$50)*365,0)</x:f>
        <x:v>0.0580895473715192</x:v>
      </x:c>
      <x:c r="AK2421" s="81" t="n">
        <x:f>W2421/MAX($W$2194:W2421)-1</x:f>
        <x:v>-0.9970402764382752</x:v>
      </x:c>
      <x:c r="AL2421" s="83" t="n">
        <x:f>'Inputs'!$B$50</x:f>
        <x:v>1</x:v>
      </x:c>
      <x:c r="AM2421" s="83" t="n">
        <x:f>'Inputs'!$C$50</x:f>
        <x:v>1</x:v>
      </x:c>
      <x:c r="AN2421" s="83" t="n">
        <x:f>'Inputs'!$D$50</x:f>
        <x:v>1</x:v>
      </x:c>
      <x:c r="AO2421" s="81" t="n">
        <x:f>'Inputs'!$E$50</x:f>
        <x:v>0</x:v>
      </x:c>
    </x:row>
    <x:row r="2422">
      <x:c r="A2422" s="59" t="str">
        <x:v>Whale exit</x:v>
      </x:c>
      <x:c r="B2422" s="59" t="n">
        <x:v>229</x:v>
      </x:c>
      <x:c r="C2422" s="78" t="n">
        <x:f>(('Inputs'!$B$29*(3*229*'Inputs'!$B$12-229^2)/(2*'Inputs'!$B$12^2))-('Inputs'!$B$29*(3*228*'Inputs'!$B$12-228^2)/(2*'Inputs'!$B$12^2)))*'Inputs'!$B$50</x:f>
        <x:v>637699.1461812556</x:v>
      </x:c>
      <x:c r="D2422" s="78" t="n">
        <x:f>IF('Inputs'!$C$50&gt;0,('Inputs'!$B$30*(3*229*'Inputs'!$B$12-229^2)/(2*'Inputs'!$B$12^2))-('Inputs'!$B$30*(3*228*'Inputs'!$B$12-228^2)/(2*'Inputs'!$B$12^2)),0)</x:f>
        <x:v>273299.63407769054</x:v>
      </x:c>
      <x:c r="E2422" s="78" t="n">
        <x:f>C2422+D2422</x:f>
        <x:v>910998.7802589461</x:v>
      </x:c>
      <x:c r="F2422" s="78" t="n">
        <x:f>'Inputs'!$B$13*E2422+(1-'Inputs'!$B$13)/'Inputs'!$B$14*SUM(E2367:E2422)</x:f>
        <x:v>921216.4571214083</x:v>
      </x:c>
      <x:c r="G2422" s="78" t="n">
        <x:f>F2422*'Inputs'!$F$50</x:f>
        <x:v>460608.22856070416</x:v>
      </x:c>
      <x:c r="H2422" s="78" t="n">
        <x:f>U2421</x:f>
        <x:v>107956468.73695861</x:v>
      </x:c>
      <x:c r="I2422" s="78" t="n">
        <x:f>V2421</x:f>
        <x:v>269.2877576035719</x:v>
      </x:c>
      <x:c r="J2422" s="79" t="n">
        <x:f>IF(H2422&gt;0,I2422/H2422,0)</x:f>
        <x:v>0.0000024944105782091217</x:v>
      </x:c>
      <x:c r="K2422" s="80" t="n">
        <x:f>(H2422*J2422+I2422)*'Inputs'!$D$50*(1+'Inputs'!$G$50)^(B2422/30)</x:f>
        <x:v>538.5755152071438</x:v>
      </x:c>
      <x:c r="L2422" s="80" t="n">
        <x:f>MAX(0,K2422*'Inputs'!$E$50)</x:f>
        <x:v>0</x:v>
      </x:c>
      <x:c r="M2422" s="80" t="n">
        <x:f>MAX(0,-K2422*'Inputs'!$E$50)</x:f>
        <x:v>0</x:v>
      </x:c>
      <x:c r="N2422" s="78" t="n">
        <x:f>H2422*(L2422*(1-'Inputs'!$B$15))/(I2422+L2422*(1-'Inputs'!$B$15))</x:f>
        <x:v>0</x:v>
      </x:c>
      <x:c r="O2422" s="78" t="n">
        <x:f>H2422-N2422</x:f>
        <x:v>107956468.73695861</x:v>
      </x:c>
      <x:c r="P2422" s="78" t="n">
        <x:f>I2422+L2422*(1-'Inputs'!$B$17)</x:f>
        <x:v>269.2877576035719</x:v>
      </x:c>
      <x:c r="Q2422" s="78" t="n">
        <x:f>IF(J2422&gt;0,M2422/J2422,0)</x:f>
        <x:v>0</x:v>
      </x:c>
      <x:c r="R2422" s="78" t="n">
        <x:f>IF(B2422='Inputs'!$H$50,'Inputs'!$B$27*'Inputs'!$I$50,0)</x:f>
        <x:v>0</x:v>
      </x:c>
      <x:c r="S2422" s="78" t="n">
        <x:f>Q2422+G2422+R2422</x:f>
        <x:v>460608.22856070416</x:v>
      </x:c>
      <x:c r="T2422" s="78" t="n">
        <x:f>P2422*(S2422*(1-'Inputs'!$B$15))/(O2422+S2422*(1-'Inputs'!$B$15))</x:f>
        <x:v>1.132672232561647</x:v>
      </x:c>
      <x:c r="U2422" s="78" t="n">
        <x:f>O2422+S2422*(1-'Inputs'!$B$17)</x:f>
        <x:v>108415223.41127963</x:v>
      </x:c>
      <x:c r="V2422" s="78" t="n">
        <x:f>P2422-T2422</x:f>
        <x:v>268.1550853710102</x:v>
      </x:c>
      <x:c r="W2422" s="79" t="n">
        <x:f>IF(U2422&gt;0,V2422/U2422,0)</x:f>
        <x:v>0.0000024734080411728512</x:v>
      </x:c>
      <x:c r="X2422" s="80" t="n">
        <x:f>W2422*('Inputs'!$B$6-AC2422)</x:f>
        <x:v>2348.8548107496235</x:v>
      </x:c>
      <x:c r="Y2422" s="80" t="n">
        <x:f>2*V2422</x:f>
        <x:v>536.3101707420204</x:v>
      </x:c>
      <x:c r="Z2422" s="80" t="n">
        <x:f>K2422*'Inputs'!$B$16+(G2422+R2422)*J2422*'Inputs'!$B$16</x:f>
        <x:v>3.2383467674692548</x:v>
      </x:c>
      <x:c r="AA2422" s="80" t="n">
        <x:f>K2422*(1+'Inputs'!$E$50)/2*'Inputs'!$B$17</x:f>
        <x:v>1.0836529481029051</x:v>
      </x:c>
      <x:c r="AB2422" s="78" t="n">
        <x:f>(IF(J2422&gt;0,K2422*(1-'Inputs'!$E$50)/2/J2422,0)+G2422+R2422)*'Inputs'!$B$17</x:f>
        <x:v>436286.02400611393</x:v>
      </x:c>
      <x:c r="AC2422" s="78" t="n">
        <x:f>AC2421+AB2422</x:f>
        <x:v>50356927.910756856</x:v>
      </x:c>
      <x:c r="AD2422" s="80" t="n">
        <x:f>Z2422/(1+'Inputs'!$C$50)</x:f>
        <x:v>1.6191733837346274</x:v>
      </x:c>
      <x:c r="AE2422" s="80" t="n">
        <x:f>Z2422-AD2422</x:f>
        <x:v>1.6191733837346274</x:v>
      </x:c>
      <x:c r="AF2422" s="80" t="n">
        <x:f>D2422*W2422</x:f>
        <x:v>0.6759815125773576</x:v>
      </x:c>
      <x:c r="AG2422" s="80" t="n">
        <x:f>C2422*W2422</x:f>
        <x:v>1.577290196013779</x:v>
      </x:c>
      <x:c r="AH2422" s="80" t="n">
        <x:f>2*'Inputs'!$B$8*'Inputs'!$C$50</x:f>
        <x:v>5000</x:v>
      </x:c>
      <x:c r="AI2422" s="81" t="n">
        <x:f>IF(AH2422&gt;0,(AE2422+AF2422)/AH2422*365,0)</x:f>
        <x:v>0.1675463074307749</x:v>
      </x:c>
      <x:c r="AJ2422" s="81" t="n">
        <x:f>IF('Inputs'!$B$50&gt;0,AG2422/('Inputs'!$B$19*'Inputs'!$B$50)*365,0)</x:f>
        <x:v>0.057571092154502936</x:v>
      </x:c>
      <x:c r="AK2422" s="81" t="n">
        <x:f>W2422/MAX($W$2194:W2422)-1</x:f>
        <x:v>-0.9970651968360097</x:v>
      </x:c>
      <x:c r="AL2422" s="83" t="n">
        <x:f>'Inputs'!$B$50</x:f>
        <x:v>1</x:v>
      </x:c>
      <x:c r="AM2422" s="83" t="n">
        <x:f>'Inputs'!$C$50</x:f>
        <x:v>1</x:v>
      </x:c>
      <x:c r="AN2422" s="83" t="n">
        <x:f>'Inputs'!$D$50</x:f>
        <x:v>1</x:v>
      </x:c>
      <x:c r="AO2422" s="81" t="n">
        <x:f>'Inputs'!$E$50</x:f>
        <x:v>0</x:v>
      </x:c>
    </x:row>
    <x:row r="2423">
      <x:c r="A2423" s="59" t="str">
        <x:v>Whale exit</x:v>
      </x:c>
      <x:c r="B2423" s="59" t="n">
        <x:v>230</x:v>
      </x:c>
      <x:c r="C2423" s="78" t="n">
        <x:f>(('Inputs'!$B$29*(3*230*'Inputs'!$B$12-230^2)/(2*'Inputs'!$B$12^2))-('Inputs'!$B$29*(3*229*'Inputs'!$B$12-229^2)/(2*'Inputs'!$B$12^2)))*'Inputs'!$B$50</x:f>
        <x:v>637374.0382811129</x:v>
      </x:c>
      <x:c r="D2423" s="78" t="n">
        <x:f>IF('Inputs'!$C$50&gt;0,('Inputs'!$B$30*(3*230*'Inputs'!$B$12-230^2)/(2*'Inputs'!$B$12^2))-('Inputs'!$B$30*(3*229*'Inputs'!$B$12-229^2)/(2*'Inputs'!$B$12^2)),0)</x:f>
        <x:v>273160.3021204695</x:v>
      </x:c>
      <x:c r="E2423" s="78" t="n">
        <x:f>C2423+D2423</x:f>
        <x:v>910534.3404015824</x:v>
      </x:c>
      <x:c r="F2423" s="78" t="n">
        <x:f>'Inputs'!$B$13*E2423+(1-'Inputs'!$B$13)/'Inputs'!$B$14*SUM(E2368:E2423)</x:f>
        <x:v>920752.0172640283</x:v>
      </x:c>
      <x:c r="G2423" s="78" t="n">
        <x:f>F2423*'Inputs'!$F$50</x:f>
        <x:v>460376.00863201416</x:v>
      </x:c>
      <x:c r="H2423" s="78" t="n">
        <x:f>U2422</x:f>
        <x:v>108415223.41127963</x:v>
      </x:c>
      <x:c r="I2423" s="78" t="n">
        <x:f>V2422</x:f>
        <x:v>268.1550853710102</x:v>
      </x:c>
      <x:c r="J2423" s="79" t="n">
        <x:f>IF(H2423&gt;0,I2423/H2423,0)</x:f>
        <x:v>0.0000024734080411728512</x:v>
      </x:c>
      <x:c r="K2423" s="80" t="n">
        <x:f>(H2423*J2423+I2423)*'Inputs'!$D$50*(1+'Inputs'!$G$50)^(B2423/30)</x:f>
        <x:v>536.3101707420204</x:v>
      </x:c>
      <x:c r="L2423" s="80" t="n">
        <x:f>MAX(0,K2423*'Inputs'!$E$50)</x:f>
        <x:v>0</x:v>
      </x:c>
      <x:c r="M2423" s="80" t="n">
        <x:f>MAX(0,-K2423*'Inputs'!$E$50)</x:f>
        <x:v>0</x:v>
      </x:c>
      <x:c r="N2423" s="78" t="n">
        <x:f>H2423*(L2423*(1-'Inputs'!$B$15))/(I2423+L2423*(1-'Inputs'!$B$15))</x:f>
        <x:v>0</x:v>
      </x:c>
      <x:c r="O2423" s="78" t="n">
        <x:f>H2423-N2423</x:f>
        <x:v>108415223.41127963</x:v>
      </x:c>
      <x:c r="P2423" s="78" t="n">
        <x:f>I2423+L2423*(1-'Inputs'!$B$17)</x:f>
        <x:v>268.1550853710102</x:v>
      </x:c>
      <x:c r="Q2423" s="78" t="n">
        <x:f>IF(J2423&gt;0,M2423/J2423,0)</x:f>
        <x:v>0</x:v>
      </x:c>
      <x:c r="R2423" s="78" t="n">
        <x:f>IF(B2423='Inputs'!$H$50,'Inputs'!$B$27*'Inputs'!$I$50,0)</x:f>
        <x:v>0</x:v>
      </x:c>
      <x:c r="S2423" s="78" t="n">
        <x:f>Q2423+G2423+R2423</x:f>
        <x:v>460376.00863201416</x:v>
      </x:c>
      <x:c r="T2423" s="78" t="n">
        <x:f>P2423*(S2423*(1-'Inputs'!$B$15))/(O2423+S2423*(1-'Inputs'!$B$15))</x:f>
        <x:v>1.122591425547214</x:v>
      </x:c>
      <x:c r="U2423" s="78" t="n">
        <x:f>O2423+S2423*(1-'Inputs'!$B$17)</x:f>
        <x:v>108873746.8001586</x:v>
      </x:c>
      <x:c r="V2423" s="78" t="n">
        <x:f>P2423-T2423</x:f>
        <x:v>267.032493945463</x:v>
      </x:c>
      <x:c r="W2423" s="79" t="n">
        <x:f>IF(U2423&gt;0,V2423/U2423,0)</x:f>
        <x:v>0.000002452680299830317</x:v>
      </x:c>
      <x:c r="X2423" s="80" t="n">
        <x:f>W2423*('Inputs'!$B$6-AC2423)</x:f>
        <x:v>2328.096259057956</x:v>
      </x:c>
      <x:c r="Y2423" s="80" t="n">
        <x:f>2*V2423</x:f>
        <x:v>534.064987890926</x:v>
      </x:c>
      <x:c r="Z2423" s="80" t="n">
        <x:f>K2423*'Inputs'!$B$16+(G2423+R2423)*J2423*'Inputs'!$B$16</x:f>
        <x:v>3.2246932107824033</x:v>
      </x:c>
      <x:c r="AA2423" s="80" t="n">
        <x:f>K2423*(1+'Inputs'!$E$50)/2*'Inputs'!$B$17</x:f>
        <x:v>1.0790949109497394</x:v>
      </x:c>
      <x:c r="AB2423" s="78" t="n">
        <x:f>(IF(J2423&gt;0,K2423*(1-'Inputs'!$E$50)/2/J2423,0)+G2423+R2423)*'Inputs'!$B$17</x:f>
        <x:v>438131.1847883769</x:v>
      </x:c>
      <x:c r="AC2423" s="78" t="n">
        <x:f>AC2422+AB2423</x:f>
        <x:v>50795059.09554523</x:v>
      </x:c>
      <x:c r="AD2423" s="80" t="n">
        <x:f>Z2423/(1+'Inputs'!$C$50)</x:f>
        <x:v>1.6123466053912017</x:v>
      </x:c>
      <x:c r="AE2423" s="80" t="n">
        <x:f>Z2423-AD2423</x:f>
        <x:v>1.6123466053912017</x:v>
      </x:c>
      <x:c r="AF2423" s="80" t="n">
        <x:f>D2423*W2423</x:f>
        <x:v>0.6699748917065731</x:v>
      </x:c>
      <x:c r="AG2423" s="80" t="n">
        <x:f>C2423*W2423</x:f>
        <x:v>1.5632747473153799</x:v>
      </x:c>
      <x:c r="AH2423" s="80" t="n">
        <x:f>2*'Inputs'!$B$8*'Inputs'!$C$50</x:f>
        <x:v>5000</x:v>
      </x:c>
      <x:c r="AI2423" s="81" t="n">
        <x:f>IF(AH2423&gt;0,(AE2423+AF2423)/AH2423*365,0)</x:f>
        <x:v>0.16660946928813755</x:v>
      </x:c>
      <x:c r="AJ2423" s="81" t="n">
        <x:f>IF('Inputs'!$B$50&gt;0,AG2423/('Inputs'!$B$19*'Inputs'!$B$50)*365,0)</x:f>
        <x:v>0.057059528277011363</x:v>
      </x:c>
      <x:c r="AK2423" s="81" t="n">
        <x:f>W2423/MAX($W$2194:W2423)-1</x:f>
        <x:v>-0.9970897911770411</x:v>
      </x:c>
      <x:c r="AL2423" s="83" t="n">
        <x:f>'Inputs'!$B$50</x:f>
        <x:v>1</x:v>
      </x:c>
      <x:c r="AM2423" s="83" t="n">
        <x:f>'Inputs'!$C$50</x:f>
        <x:v>1</x:v>
      </x:c>
      <x:c r="AN2423" s="83" t="n">
        <x:f>'Inputs'!$D$50</x:f>
        <x:v>1</x:v>
      </x:c>
      <x:c r="AO2423" s="81" t="n">
        <x:f>'Inputs'!$E$50</x:f>
        <x:v>0</x:v>
      </x:c>
    </x:row>
    <x:row r="2424">
      <x:c r="A2424" s="59" t="str">
        <x:v>Whale exit</x:v>
      </x:c>
      <x:c r="B2424" s="59" t="n">
        <x:v>231</x:v>
      </x:c>
      <x:c r="C2424" s="78" t="n">
        <x:f>(('Inputs'!$B$29*(3*231*'Inputs'!$B$12-231^2)/(2*'Inputs'!$B$12^2))-('Inputs'!$B$29*(3*230*'Inputs'!$B$12-230^2)/(2*'Inputs'!$B$12^2)))*'Inputs'!$B$50</x:f>
        <x:v>637048.9303809404</x:v>
      </x:c>
      <x:c r="D2424" s="78" t="n">
        <x:f>IF('Inputs'!$C$50&gt;0,('Inputs'!$B$30*(3*231*'Inputs'!$B$12-231^2)/(2*'Inputs'!$B$12^2))-('Inputs'!$B$30*(3*230*'Inputs'!$B$12-230^2)/(2*'Inputs'!$B$12^2)),0)</x:f>
        <x:v>273020.97016325593</x:v>
      </x:c>
      <x:c r="E2424" s="78" t="n">
        <x:f>C2424+D2424</x:f>
        <x:v>910069.9005441964</x:v>
      </x:c>
      <x:c r="F2424" s="78" t="n">
        <x:f>'Inputs'!$B$13*E2424+(1-'Inputs'!$B$13)/'Inputs'!$B$14*SUM(E2369:E2424)</x:f>
        <x:v>920287.5774066439</x:v>
      </x:c>
      <x:c r="G2424" s="78" t="n">
        <x:f>F2424*'Inputs'!$F$50</x:f>
        <x:v>460143.78870332194</x:v>
      </x:c>
      <x:c r="H2424" s="78" t="n">
        <x:f>U2423</x:f>
        <x:v>108873746.8001586</x:v>
      </x:c>
      <x:c r="I2424" s="78" t="n">
        <x:f>V2423</x:f>
        <x:v>267.032493945463</x:v>
      </x:c>
      <x:c r="J2424" s="79" t="n">
        <x:f>IF(H2424&gt;0,I2424/H2424,0)</x:f>
        <x:v>0.000002452680299830317</x:v>
      </x:c>
      <x:c r="K2424" s="80" t="n">
        <x:f>(H2424*J2424+I2424)*'Inputs'!$D$50*(1+'Inputs'!$G$50)^(B2424/30)</x:f>
        <x:v>534.064987890926</x:v>
      </x:c>
      <x:c r="L2424" s="80" t="n">
        <x:f>MAX(0,K2424*'Inputs'!$E$50)</x:f>
        <x:v>0</x:v>
      </x:c>
      <x:c r="M2424" s="80" t="n">
        <x:f>MAX(0,-K2424*'Inputs'!$E$50)</x:f>
        <x:v>0</x:v>
      </x:c>
      <x:c r="N2424" s="78" t="n">
        <x:f>H2424*(L2424*(1-'Inputs'!$B$15))/(I2424+L2424*(1-'Inputs'!$B$15))</x:f>
        <x:v>0</x:v>
      </x:c>
      <x:c r="O2424" s="78" t="n">
        <x:f>H2424-N2424</x:f>
        <x:v>108873746.8001586</x:v>
      </x:c>
      <x:c r="P2424" s="78" t="n">
        <x:f>I2424+L2424*(1-'Inputs'!$B$17)</x:f>
        <x:v>267.032493945463</x:v>
      </x:c>
      <x:c r="Q2424" s="78" t="n">
        <x:f>IF(J2424&gt;0,M2424/J2424,0)</x:f>
        <x:v>0</x:v>
      </x:c>
      <x:c r="R2424" s="78" t="n">
        <x:f>IF(B2424='Inputs'!$H$50,'Inputs'!$B$27*'Inputs'!$I$50,0)</x:f>
        <x:v>0</x:v>
      </x:c>
      <x:c r="S2424" s="78" t="n">
        <x:f>Q2424+G2424+R2424</x:f>
        <x:v>460143.78870332194</x:v>
      </x:c>
      <x:c r="T2424" s="78" t="n">
        <x:f>P2424*(S2424*(1-'Inputs'!$B$15))/(O2424+S2424*(1-'Inputs'!$B$15))</x:f>
        <x:v>1.1126442967014196</x:v>
      </x:c>
      <x:c r="U2424" s="78" t="n">
        <x:f>O2424+S2424*(1-'Inputs'!$B$17)</x:f>
        <x:v>109332038.90359552</x:v>
      </x:c>
      <x:c r="V2424" s="78" t="n">
        <x:f>P2424-T2424</x:f>
        <x:v>265.91984964876156</x:v>
      </x:c>
      <x:c r="W2424" s="79" t="n">
        <x:f>IF(U2424&gt;0,V2424/U2424,0)</x:f>
        <x:v>0.000002432222542591003</x:v>
      </x:c>
      <x:c r="X2424" s="80" t="n">
        <x:f>W2424*('Inputs'!$B$6-AC2424)</x:f>
        <x:v>2307.6075366844047</x:v>
      </x:c>
      <x:c r="Y2424" s="80" t="n">
        <x:f>2*V2424</x:f>
        <x:v>531.8396992975231</x:v>
      </x:c>
      <x:c r="Z2424" s="80" t="n">
        <x:f>K2424*'Inputs'!$B$16+(G2424+R2424)*J2424*'Inputs'!$B$16</x:f>
        <x:v>3.2111614409794074</x:v>
      </x:c>
      <x:c r="AA2424" s="80" t="n">
        <x:f>K2424*(1+'Inputs'!$E$50)/2*'Inputs'!$B$17</x:f>
        <x:v>1.0745774404243984</x:v>
      </x:c>
      <x:c r="AB2424" s="78" t="n">
        <x:f>(IF(J2424&gt;0,K2424*(1-'Inputs'!$E$50)/2/J2424,0)+G2424+R2424)*'Inputs'!$B$17</x:f>
        <x:v>439975.41484451486</x:v>
      </x:c>
      <x:c r="AC2424" s="78" t="n">
        <x:f>AC2423+AB2424</x:f>
        <x:v>51235034.510389745</x:v>
      </x:c>
      <x:c r="AD2424" s="80" t="n">
        <x:f>Z2424/(1+'Inputs'!$C$50)</x:f>
        <x:v>1.6055807204897037</x:v>
      </x:c>
      <x:c r="AE2424" s="80" t="n">
        <x:f>Z2424-AD2424</x:f>
        <x:v>1.6055807204897037</x:v>
      </x:c>
      <x:c r="AF2424" s="80" t="n">
        <x:f>D2424*W2424</x:f>
        <x:v>0.6640477582311367</x:v>
      </x:c>
      <x:c r="AG2424" s="80" t="n">
        <x:f>C2424*W2424</x:f>
        <x:v>1.5494447692060098</x:v>
      </x:c>
      <x:c r="AH2424" s="80" t="n">
        <x:f>2*'Inputs'!$B$8*'Inputs'!$C$50</x:f>
        <x:v>5000</x:v>
      </x:c>
      <x:c r="AI2424" s="81" t="n">
        <x:f>IF(AH2424&gt;0,(AE2424+AF2424)/AH2424*365,0)</x:f>
        <x:v>0.16568287894662134</x:v>
      </x:c>
      <x:c r="AJ2424" s="81" t="n">
        <x:f>IF('Inputs'!$B$50&gt;0,AG2424/('Inputs'!$B$19*'Inputs'!$B$50)*365,0)</x:f>
        <x:v>0.05655473407601936</x:v>
      </x:c>
      <x:c r="AK2424" s="81" t="n">
        <x:f>W2424/MAX($W$2194:W2424)-1</x:f>
        <x:v>-0.9971140651705248</x:v>
      </x:c>
      <x:c r="AL2424" s="83" t="n">
        <x:f>'Inputs'!$B$50</x:f>
        <x:v>1</x:v>
      </x:c>
      <x:c r="AM2424" s="83" t="n">
        <x:f>'Inputs'!$C$50</x:f>
        <x:v>1</x:v>
      </x:c>
      <x:c r="AN2424" s="83" t="n">
        <x:f>'Inputs'!$D$50</x:f>
        <x:v>1</x:v>
      </x:c>
      <x:c r="AO2424" s="81" t="n">
        <x:f>'Inputs'!$E$50</x:f>
        <x:v>0</x:v>
      </x:c>
    </x:row>
    <x:row r="2425">
      <x:c r="A2425" s="59" t="str">
        <x:v>Whale exit</x:v>
      </x:c>
      <x:c r="B2425" s="59" t="n">
        <x:v>232</x:v>
      </x:c>
      <x:c r="C2425" s="78" t="n">
        <x:f>(('Inputs'!$B$29*(3*232*'Inputs'!$B$12-232^2)/(2*'Inputs'!$B$12^2))-('Inputs'!$B$29*(3*231*'Inputs'!$B$12-231^2)/(2*'Inputs'!$B$12^2)))*'Inputs'!$B$50</x:f>
        <x:v>636723.822480768</x:v>
      </x:c>
      <x:c r="D2425" s="78" t="n">
        <x:f>IF('Inputs'!$C$50&gt;0,('Inputs'!$B$30*(3*232*'Inputs'!$B$12-232^2)/(2*'Inputs'!$B$12^2))-('Inputs'!$B$30*(3*231*'Inputs'!$B$12-231^2)/(2*'Inputs'!$B$12^2)),0)</x:f>
        <x:v>272881.63820604235</x:v>
      </x:c>
      <x:c r="E2425" s="78" t="n">
        <x:f>C2425+D2425</x:f>
        <x:v>909605.4606868103</x:v>
      </x:c>
      <x:c r="F2425" s="78" t="n">
        <x:f>'Inputs'!$B$13*E2425+(1-'Inputs'!$B$13)/'Inputs'!$B$14*SUM(E2370:E2425)</x:f>
        <x:v>919823.1375492595</x:v>
      </x:c>
      <x:c r="G2425" s="78" t="n">
        <x:f>F2425*'Inputs'!$F$50</x:f>
        <x:v>459911.56877462973</x:v>
      </x:c>
      <x:c r="H2425" s="78" t="n">
        <x:f>U2424</x:f>
        <x:v>109332038.90359552</x:v>
      </x:c>
      <x:c r="I2425" s="78" t="n">
        <x:f>V2424</x:f>
        <x:v>265.91984964876156</x:v>
      </x:c>
      <x:c r="J2425" s="79" t="n">
        <x:f>IF(H2425&gt;0,I2425/H2425,0)</x:f>
        <x:v>0.000002432222542591003</x:v>
      </x:c>
      <x:c r="K2425" s="80" t="n">
        <x:f>(H2425*J2425+I2425)*'Inputs'!$D$50*(1+'Inputs'!$G$50)^(B2425/30)</x:f>
        <x:v>531.8396992975231</x:v>
      </x:c>
      <x:c r="L2425" s="80" t="n">
        <x:f>MAX(0,K2425*'Inputs'!$E$50)</x:f>
        <x:v>0</x:v>
      </x:c>
      <x:c r="M2425" s="80" t="n">
        <x:f>MAX(0,-K2425*'Inputs'!$E$50)</x:f>
        <x:v>0</x:v>
      </x:c>
      <x:c r="N2425" s="78" t="n">
        <x:f>H2425*(L2425*(1-'Inputs'!$B$15))/(I2425+L2425*(1-'Inputs'!$B$15))</x:f>
        <x:v>0</x:v>
      </x:c>
      <x:c r="O2425" s="78" t="n">
        <x:f>H2425-N2425</x:f>
        <x:v>109332038.90359552</x:v>
      </x:c>
      <x:c r="P2425" s="78" t="n">
        <x:f>I2425+L2425*(1-'Inputs'!$B$17)</x:f>
        <x:v>265.91984964876156</x:v>
      </x:c>
      <x:c r="Q2425" s="78" t="n">
        <x:f>IF(J2425&gt;0,M2425/J2425,0)</x:f>
        <x:v>0</x:v>
      </x:c>
      <x:c r="R2425" s="78" t="n">
        <x:f>IF(B2425='Inputs'!$H$50,'Inputs'!$B$27*'Inputs'!$I$50,0)</x:f>
        <x:v>0</x:v>
      </x:c>
      <x:c r="S2425" s="78" t="n">
        <x:f>Q2425+G2425+R2425</x:f>
        <x:v>459911.56877462973</x:v>
      </x:c>
      <x:c r="T2425" s="78" t="n">
        <x:f>P2425*(S2425*(1-'Inputs'!$B$15))/(O2425+S2425*(1-'Inputs'!$B$15))</x:f>
        <x:v>1.1028284913688584</x:v>
      </x:c>
      <x:c r="U2425" s="78" t="n">
        <x:f>O2425+S2425*(1-'Inputs'!$B$17)</x:f>
        <x:v>109790099.72159037</x:v>
      </x:c>
      <x:c r="V2425" s="78" t="n">
        <x:f>P2425-T2425</x:f>
        <x:v>264.8170211573927</x:v>
      </x:c>
      <x:c r="W2425" s="79" t="n">
        <x:f>IF(U2425&gt;0,V2425/U2425,0)</x:f>
        <x:v>0.0000024120300630833297</x:v>
      </x:c>
      <x:c r="X2425" s="80" t="n">
        <x:f>W2425*('Inputs'!$B$6-AC2425)</x:f>
        <x:v>2287.383939540136</x:v>
      </x:c>
      <x:c r="Y2425" s="80" t="n">
        <x:f>2*V2425</x:f>
        <x:v>529.6340423147853</x:v>
      </x:c>
      <x:c r="Z2425" s="80" t="n">
        <x:f>K2425*'Inputs'!$B$16+(G2425+R2425)*J2425*'Inputs'!$B$16</x:f>
        <x:v>3.1977498394961708</x:v>
      </x:c>
      <x:c r="AA2425" s="80" t="n">
        <x:f>K2425*(1+'Inputs'!$E$50)/2*'Inputs'!$B$17</x:f>
        <x:v>1.0700999985865658</x:v>
      </x:c>
      <x:c r="AB2425" s="78" t="n">
        <x:f>(IF(J2425&gt;0,K2425*(1-'Inputs'!$E$50)/2/J2425,0)+G2425+R2425)*'Inputs'!$B$17</x:f>
        <x:v>441818.7141745278</x:v>
      </x:c>
      <x:c r="AC2425" s="78" t="n">
        <x:f>AC2424+AB2425</x:f>
        <x:v>51676853.22456428</x:v>
      </x:c>
      <x:c r="AD2425" s="80" t="n">
        <x:f>Z2425/(1+'Inputs'!$C$50)</x:f>
        <x:v>1.5988749197480854</x:v>
      </x:c>
      <x:c r="AE2425" s="80" t="n">
        <x:f>Z2425-AD2425</x:f>
        <x:v>1.5988749197480854</x:v>
      </x:c>
      <x:c r="AF2425" s="80" t="n">
        <x:f>D2425*W2425</x:f>
        <x:v>0.6581987150164027</x:v>
      </x:c>
      <x:c r="AG2425" s="80" t="n">
        <x:f>C2425*W2425</x:f>
        <x:v>1.5357970017049456</x:v>
      </x:c>
      <x:c r="AH2425" s="80" t="n">
        <x:f>2*'Inputs'!$B$8*'Inputs'!$C$50</x:f>
        <x:v>5000</x:v>
      </x:c>
      <x:c r="AI2425" s="81" t="n">
        <x:f>IF(AH2425&gt;0,(AE2425+AF2425)/AH2425*365,0)</x:f>
        <x:v>0.16476637533780764</x:v>
      </x:c>
      <x:c r="AJ2425" s="81" t="n">
        <x:f>IF('Inputs'!$B$50&gt;0,AG2425/('Inputs'!$B$19*'Inputs'!$B$50)*365,0)</x:f>
        <x:v>0.056056590562230516</x:v>
      </x:c>
      <x:c r="AK2425" s="81" t="n">
        <x:f>W2425/MAX($W$2194:W2425)-1</x:f>
        <x:v>-0.9971380244007697</x:v>
      </x:c>
      <x:c r="AL2425" s="83" t="n">
        <x:f>'Inputs'!$B$50</x:f>
        <x:v>1</x:v>
      </x:c>
      <x:c r="AM2425" s="83" t="n">
        <x:f>'Inputs'!$C$50</x:f>
        <x:v>1</x:v>
      </x:c>
      <x:c r="AN2425" s="83" t="n">
        <x:f>'Inputs'!$D$50</x:f>
        <x:v>1</x:v>
      </x:c>
      <x:c r="AO2425" s="81" t="n">
        <x:f>'Inputs'!$E$50</x:f>
        <x:v>0</x:v>
      </x:c>
    </x:row>
    <x:row r="2426">
      <x:c r="A2426" s="59" t="str">
        <x:v>Whale exit</x:v>
      </x:c>
      <x:c r="B2426" s="59" t="n">
        <x:v>233</x:v>
      </x:c>
      <x:c r="C2426" s="78" t="n">
        <x:f>(('Inputs'!$B$29*(3*233*'Inputs'!$B$12-233^2)/(2*'Inputs'!$B$12^2))-('Inputs'!$B$29*(3*232*'Inputs'!$B$12-232^2)/(2*'Inputs'!$B$12^2)))*'Inputs'!$B$50</x:f>
        <x:v>636398.7145805955</x:v>
      </x:c>
      <x:c r="D2426" s="78" t="n">
        <x:f>IF('Inputs'!$C$50&gt;0,('Inputs'!$B$30*(3*233*'Inputs'!$B$12-233^2)/(2*'Inputs'!$B$12^2))-('Inputs'!$B$30*(3*232*'Inputs'!$B$12-232^2)/(2*'Inputs'!$B$12^2)),0)</x:f>
        <x:v>272742.30624882877</x:v>
      </x:c>
      <x:c r="E2426" s="78" t="n">
        <x:f>C2426+D2426</x:f>
        <x:v>909141.0208294243</x:v>
      </x:c>
      <x:c r="F2426" s="78" t="n">
        <x:f>'Inputs'!$B$13*E2426+(1-'Inputs'!$B$13)/'Inputs'!$B$14*SUM(E2371:E2426)</x:f>
        <x:v>919358.6976918749</x:v>
      </x:c>
      <x:c r="G2426" s="78" t="n">
        <x:f>F2426*'Inputs'!$F$50</x:f>
        <x:v>459679.34884593746</x:v>
      </x:c>
      <x:c r="H2426" s="78" t="n">
        <x:f>U2425</x:f>
        <x:v>109790099.72159037</x:v>
      </x:c>
      <x:c r="I2426" s="78" t="n">
        <x:f>V2425</x:f>
        <x:v>264.8170211573927</x:v>
      </x:c>
      <x:c r="J2426" s="79" t="n">
        <x:f>IF(H2426&gt;0,I2426/H2426,0)</x:f>
        <x:v>0.0000024120300630833297</x:v>
      </x:c>
      <x:c r="K2426" s="80" t="n">
        <x:f>(H2426*J2426+I2426)*'Inputs'!$D$50*(1+'Inputs'!$G$50)^(B2426/30)</x:f>
        <x:v>529.6340423147853</x:v>
      </x:c>
      <x:c r="L2426" s="80" t="n">
        <x:f>MAX(0,K2426*'Inputs'!$E$50)</x:f>
        <x:v>0</x:v>
      </x:c>
      <x:c r="M2426" s="80" t="n">
        <x:f>MAX(0,-K2426*'Inputs'!$E$50)</x:f>
        <x:v>0</x:v>
      </x:c>
      <x:c r="N2426" s="78" t="n">
        <x:f>H2426*(L2426*(1-'Inputs'!$B$15))/(I2426+L2426*(1-'Inputs'!$B$15))</x:f>
        <x:v>0</x:v>
      </x:c>
      <x:c r="O2426" s="78" t="n">
        <x:f>H2426-N2426</x:f>
        <x:v>109790099.72159037</x:v>
      </x:c>
      <x:c r="P2426" s="78" t="n">
        <x:f>I2426+L2426*(1-'Inputs'!$B$17)</x:f>
        <x:v>264.8170211573927</x:v>
      </x:c>
      <x:c r="Q2426" s="78" t="n">
        <x:f>IF(J2426&gt;0,M2426/J2426,0)</x:f>
        <x:v>0</x:v>
      </x:c>
      <x:c r="R2426" s="78" t="n">
        <x:f>IF(B2426='Inputs'!$H$50,'Inputs'!$B$27*'Inputs'!$I$50,0)</x:f>
        <x:v>0</x:v>
      </x:c>
      <x:c r="S2426" s="78" t="n">
        <x:f>Q2426+G2426+R2426</x:f>
        <x:v>459679.34884593746</x:v>
      </x:c>
      <x:c r="T2426" s="78" t="n">
        <x:f>P2426*(S2426*(1-'Inputs'!$B$15))/(O2426+S2426*(1-'Inputs'!$B$15))</x:f>
        <x:v>1.093141706525718</x:v>
      </x:c>
      <x:c r="U2426" s="78" t="n">
        <x:f>O2426+S2426*(1-'Inputs'!$B$17)</x:f>
        <x:v>110247929.25414316</x:v>
      </x:c>
      <x:c r="V2426" s="78" t="n">
        <x:f>P2426-T2426</x:f>
        <x:v>263.72387945086695</x:v>
      </x:c>
      <x:c r="W2426" s="79" t="n">
        <x:f>IF(U2426&gt;0,V2426/U2426,0)</x:f>
        <x:v>0.0000023920982574006587</x:v>
      </x:c>
      <x:c r="X2426" s="80" t="n">
        <x:f>W2426*('Inputs'!$B$6-AC2426)</x:f>
        <x:v>2267.4208659512383</x:v>
      </x:c>
      <x:c r="Y2426" s="80" t="n">
        <x:f>2*V2426</x:f>
        <x:v>527.4477589017339</x:v>
      </x:c>
      <x:c r="Z2426" s="80" t="n">
        <x:f>K2426*'Inputs'!$B$16+(G2426+R2426)*J2426*'Inputs'!$B$16</x:f>
        <x:v>3.1844568163414824</x:v>
      </x:c>
      <x:c r="AA2426" s="80" t="n">
        <x:f>K2426*(1+'Inputs'!$E$50)/2*'Inputs'!$B$17</x:f>
        <x:v>1.0656620569713993</x:v>
      </x:c>
      <x:c r="AB2426" s="78" t="n">
        <x:f>(IF(J2426&gt;0,K2426*(1-'Inputs'!$E$50)/2/J2426,0)+G2426+R2426)*'Inputs'!$B$17</x:f>
        <x:v>443661.08277841576</x:v>
      </x:c>
      <x:c r="AC2426" s="78" t="n">
        <x:f>AC2425+AB2426</x:f>
        <x:v>52120514.30734269</x:v>
      </x:c>
      <x:c r="AD2426" s="80" t="n">
        <x:f>Z2426/(1+'Inputs'!$C$50)</x:f>
        <x:v>1.5922284081707412</x:v>
      </x:c>
      <x:c r="AE2426" s="80" t="n">
        <x:f>Z2426-AD2426</x:f>
        <x:v>1.5922284081707412</x:v>
      </x:c>
      <x:c r="AF2426" s="80" t="n">
        <x:f>D2426*W2426</x:f>
        <x:v>0.6524263954972601</x:v>
      </x:c>
      <x:c r="AG2426" s="80" t="n">
        <x:f>C2426*W2426</x:f>
        <x:v>1.5223282561602616</x:v>
      </x:c>
      <x:c r="AH2426" s="80" t="n">
        <x:f>2*'Inputs'!$B$8*'Inputs'!$C$50</x:f>
        <x:v>5000</x:v>
      </x:c>
      <x:c r="AI2426" s="81" t="n">
        <x:f>IF(AH2426&gt;0,(AE2426+AF2426)/AH2426*365,0)</x:f>
        <x:v>0.1638598006677641</x:v>
      </x:c>
      <x:c r="AJ2426" s="81" t="n">
        <x:f>IF('Inputs'!$B$50&gt;0,AG2426/('Inputs'!$B$19*'Inputs'!$B$50)*365,0)</x:f>
        <x:v>0.055564981349849545</x:v>
      </x:c>
      <x:c r="AK2426" s="81" t="n">
        <x:f>W2426/MAX($W$2194:W2426)-1</x:f>
        <x:v>-0.9971616743305054</x:v>
      </x:c>
      <x:c r="AL2426" s="83" t="n">
        <x:f>'Inputs'!$B$50</x:f>
        <x:v>1</x:v>
      </x:c>
      <x:c r="AM2426" s="83" t="n">
        <x:f>'Inputs'!$C$50</x:f>
        <x:v>1</x:v>
      </x:c>
      <x:c r="AN2426" s="83" t="n">
        <x:f>'Inputs'!$D$50</x:f>
        <x:v>1</x:v>
      </x:c>
      <x:c r="AO2426" s="81" t="n">
        <x:f>'Inputs'!$E$50</x:f>
        <x:v>0</x:v>
      </x:c>
    </x:row>
    <x:row r="2427">
      <x:c r="A2427" s="59" t="str">
        <x:v>Whale exit</x:v>
      </x:c>
      <x:c r="B2427" s="59" t="n">
        <x:v>234</x:v>
      </x:c>
      <x:c r="C2427" s="78" t="n">
        <x:f>(('Inputs'!$B$29*(3*234*'Inputs'!$B$12-234^2)/(2*'Inputs'!$B$12^2))-('Inputs'!$B$29*(3*233*'Inputs'!$B$12-233^2)/(2*'Inputs'!$B$12^2)))*'Inputs'!$B$50</x:f>
        <x:v>636073.606680423</x:v>
      </x:c>
      <x:c r="D2427" s="78" t="n">
        <x:f>IF('Inputs'!$C$50&gt;0,('Inputs'!$B$30*(3*234*'Inputs'!$B$12-234^2)/(2*'Inputs'!$B$12^2))-('Inputs'!$B$30*(3*233*'Inputs'!$B$12-233^2)/(2*'Inputs'!$B$12^2)),0)</x:f>
        <x:v>272602.97429160774</x:v>
      </x:c>
      <x:c r="E2427" s="78" t="n">
        <x:f>C2427+D2427</x:f>
        <x:v>908676.5809720308</x:v>
      </x:c>
      <x:c r="F2427" s="78" t="n">
        <x:f>'Inputs'!$B$13*E2427+(1-'Inputs'!$B$13)/'Inputs'!$B$14*SUM(E2372:E2427)</x:f>
        <x:v>918894.2578344888</x:v>
      </x:c>
      <x:c r="G2427" s="78" t="n">
        <x:f>F2427*'Inputs'!$F$50</x:f>
        <x:v>459447.1289172444</x:v>
      </x:c>
      <x:c r="H2427" s="78" t="n">
        <x:f>U2426</x:f>
        <x:v>110247929.25414316</x:v>
      </x:c>
      <x:c r="I2427" s="78" t="n">
        <x:f>V2426</x:f>
        <x:v>263.72387945086695</x:v>
      </x:c>
      <x:c r="J2427" s="79" t="n">
        <x:f>IF(H2427&gt;0,I2427/H2427,0)</x:f>
        <x:v>0.0000023920982574006587</x:v>
      </x:c>
      <x:c r="K2427" s="80" t="n">
        <x:f>(H2427*J2427+I2427)*'Inputs'!$D$50*(1+'Inputs'!$G$50)^(B2427/30)</x:f>
        <x:v>527.4477589017339</x:v>
      </x:c>
      <x:c r="L2427" s="80" t="n">
        <x:f>MAX(0,K2427*'Inputs'!$E$50)</x:f>
        <x:v>0</x:v>
      </x:c>
      <x:c r="M2427" s="80" t="n">
        <x:f>MAX(0,-K2427*'Inputs'!$E$50)</x:f>
        <x:v>0</x:v>
      </x:c>
      <x:c r="N2427" s="78" t="n">
        <x:f>H2427*(L2427*(1-'Inputs'!$B$15))/(I2427+L2427*(1-'Inputs'!$B$15))</x:f>
        <x:v>0</x:v>
      </x:c>
      <x:c r="O2427" s="78" t="n">
        <x:f>H2427-N2427</x:f>
        <x:v>110247929.25414316</x:v>
      </x:c>
      <x:c r="P2427" s="78" t="n">
        <x:f>I2427+L2427*(1-'Inputs'!$B$17)</x:f>
        <x:v>263.72387945086695</x:v>
      </x:c>
      <x:c r="Q2427" s="78" t="n">
        <x:f>IF(J2427&gt;0,M2427/J2427,0)</x:f>
        <x:v>0</x:v>
      </x:c>
      <x:c r="R2427" s="78" t="n">
        <x:f>IF(B2427='Inputs'!$H$50,'Inputs'!$B$27*'Inputs'!$I$50,0)</x:f>
        <x:v>0</x:v>
      </x:c>
      <x:c r="S2427" s="78" t="n">
        <x:f>Q2427+G2427+R2427</x:f>
        <x:v>459447.1289172444</x:v>
      </x:c>
      <x:c r="T2427" s="78" t="n">
        <x:f>P2427*(S2427*(1-'Inputs'!$B$15))/(O2427+S2427*(1-'Inputs'!$B$15))</x:f>
        <x:v>1.0835816894268762</x:v>
      </x:c>
      <x:c r="U2427" s="78" t="n">
        <x:f>O2427+S2427*(1-'Inputs'!$B$17)</x:f>
        <x:v>110705527.5012539</x:v>
      </x:c>
      <x:c r="V2427" s="78" t="n">
        <x:f>P2427-T2427</x:f>
        <x:v>262.6402977614401</x:v>
      </x:c>
      <x:c r="W2427" s="79" t="n">
        <x:f>IF(U2427&gt;0,V2427/U2427,0)</x:f>
        <x:v>0.000002372422621431123</x:v>
      </x:c>
      <x:c r="X2427" s="80" t="n">
        <x:f>W2427*('Inputs'!$B$6-AC2427)</x:f>
        <x:v>2247.7138139898493</x:v>
      </x:c>
      <x:c r="Y2427" s="80" t="n">
        <x:f>2*V2427</x:f>
        <x:v>525.2805955228802</x:v>
      </x:c>
      <x:c r="Z2427" s="80" t="n">
        <x:f>K2427*'Inputs'!$B$16+(G2427+R2427)*J2427*'Inputs'!$B$16</x:f>
        <x:v>3.1712808094691076</x:v>
      </x:c>
      <x:c r="AA2427" s="80" t="n">
        <x:f>K2427*(1+'Inputs'!$E$50)/2*'Inputs'!$B$17</x:f>
        <x:v>1.0612630963817584</x:v>
      </x:c>
      <x:c r="AB2427" s="78" t="n">
        <x:f>(IF(J2427&gt;0,K2427*(1-'Inputs'!$E$50)/2/J2427,0)+G2427+R2427)*'Inputs'!$B$17</x:f>
        <x:v>445502.5206561787</x:v>
      </x:c>
      <x:c r="AC2427" s="78" t="n">
        <x:f>AC2426+AB2427</x:f>
        <x:v>52566016.82799887</x:v>
      </x:c>
      <x:c r="AD2427" s="80" t="n">
        <x:f>Z2427/(1+'Inputs'!$C$50)</x:f>
        <x:v>1.5856404047345538</x:v>
      </x:c>
      <x:c r="AE2427" s="80" t="n">
        <x:f>Z2427-AD2427</x:f>
        <x:v>1.5856404047345538</x:v>
      </x:c>
      <x:c r="AF2427" s="80" t="n">
        <x:f>D2427*W2427</x:f>
        <x:v>0.646729462878817</x:v>
      </x:c>
      <x:c r="AG2427" s="80" t="n">
        <x:f>C2427*W2427</x:f>
        <x:v>1.5090354133839183</x:v>
      </x:c>
      <x:c r="AH2427" s="80" t="n">
        <x:f>2*'Inputs'!$B$8*'Inputs'!$C$50</x:f>
        <x:v>5000</x:v>
      </x:c>
      <x:c r="AI2427" s="81" t="n">
        <x:f>IF(AH2427&gt;0,(AE2427+AF2427)/AH2427*365,0)</x:f>
        <x:v>0.16296300033577607</x:v>
      </x:c>
      <x:c r="AJ2427" s="81" t="n">
        <x:f>IF('Inputs'!$B$50&gt;0,AG2427/('Inputs'!$B$19*'Inputs'!$B$50)*365,0)</x:f>
        <x:v>0.05507979258851302</x:v>
      </x:c>
      <x:c r="AK2427" s="81" t="n">
        <x:f>W2427/MAX($W$2194:W2427)-1</x:f>
        <x:v>-0.9971850203040511</x:v>
      </x:c>
      <x:c r="AL2427" s="83" t="n">
        <x:f>'Inputs'!$B$50</x:f>
        <x:v>1</x:v>
      </x:c>
      <x:c r="AM2427" s="83" t="n">
        <x:f>'Inputs'!$C$50</x:f>
        <x:v>1</x:v>
      </x:c>
      <x:c r="AN2427" s="83" t="n">
        <x:f>'Inputs'!$D$50</x:f>
        <x:v>1</x:v>
      </x:c>
      <x:c r="AO2427" s="81" t="n">
        <x:f>'Inputs'!$E$50</x:f>
        <x:v>0</x:v>
      </x:c>
    </x:row>
    <x:row r="2428">
      <x:c r="A2428" s="59" t="str">
        <x:v>Whale exit</x:v>
      </x:c>
      <x:c r="B2428" s="59" t="n">
        <x:v>235</x:v>
      </x:c>
      <x:c r="C2428" s="78" t="n">
        <x:f>(('Inputs'!$B$29*(3*235*'Inputs'!$B$12-235^2)/(2*'Inputs'!$B$12^2))-('Inputs'!$B$29*(3*234*'Inputs'!$B$12-234^2)/(2*'Inputs'!$B$12^2)))*'Inputs'!$B$50</x:f>
        <x:v>635748.4987802505</x:v>
      </x:c>
      <x:c r="D2428" s="78" t="n">
        <x:f>IF('Inputs'!$C$50&gt;0,('Inputs'!$B$30*(3*235*'Inputs'!$B$12-235^2)/(2*'Inputs'!$B$12^2))-('Inputs'!$B$30*(3*234*'Inputs'!$B$12-234^2)/(2*'Inputs'!$B$12^2)),0)</x:f>
        <x:v>272463.6423344016</x:v>
      </x:c>
      <x:c r="E2428" s="78" t="n">
        <x:f>C2428+D2428</x:f>
        <x:v>908212.1411146522</x:v>
      </x:c>
      <x:c r="F2428" s="78" t="n">
        <x:f>'Inputs'!$B$13*E2428+(1-'Inputs'!$B$13)/'Inputs'!$B$14*SUM(E2373:E2428)</x:f>
        <x:v>918429.8179771056</x:v>
      </x:c>
      <x:c r="G2428" s="78" t="n">
        <x:f>F2428*'Inputs'!$F$50</x:f>
        <x:v>459214.9089885528</x:v>
      </x:c>
      <x:c r="H2428" s="78" t="n">
        <x:f>U2427</x:f>
        <x:v>110705527.5012539</x:v>
      </x:c>
      <x:c r="I2428" s="78" t="n">
        <x:f>V2427</x:f>
        <x:v>262.6402977614401</x:v>
      </x:c>
      <x:c r="J2428" s="79" t="n">
        <x:f>IF(H2428&gt;0,I2428/H2428,0)</x:f>
        <x:v>0.000002372422621431123</x:v>
      </x:c>
      <x:c r="K2428" s="80" t="n">
        <x:f>(H2428*J2428+I2428)*'Inputs'!$D$50*(1+'Inputs'!$G$50)^(B2428/30)</x:f>
        <x:v>525.2805955228802</x:v>
      </x:c>
      <x:c r="L2428" s="80" t="n">
        <x:f>MAX(0,K2428*'Inputs'!$E$50)</x:f>
        <x:v>0</x:v>
      </x:c>
      <x:c r="M2428" s="80" t="n">
        <x:f>MAX(0,-K2428*'Inputs'!$E$50)</x:f>
        <x:v>0</x:v>
      </x:c>
      <x:c r="N2428" s="78" t="n">
        <x:f>H2428*(L2428*(1-'Inputs'!$B$15))/(I2428+L2428*(1-'Inputs'!$B$15))</x:f>
        <x:v>0</x:v>
      </x:c>
      <x:c r="O2428" s="78" t="n">
        <x:f>H2428-N2428</x:f>
        <x:v>110705527.5012539</x:v>
      </x:c>
      <x:c r="P2428" s="78" t="n">
        <x:f>I2428+L2428*(1-'Inputs'!$B$17)</x:f>
        <x:v>262.6402977614401</x:v>
      </x:c>
      <x:c r="Q2428" s="78" t="n">
        <x:f>IF(J2428&gt;0,M2428/J2428,0)</x:f>
        <x:v>0</x:v>
      </x:c>
      <x:c r="R2428" s="78" t="n">
        <x:f>IF(B2428='Inputs'!$H$50,'Inputs'!$B$27*'Inputs'!$I$50,0)</x:f>
        <x:v>0</x:v>
      </x:c>
      <x:c r="S2428" s="78" t="n">
        <x:f>Q2428+G2428+R2428</x:f>
        <x:v>459214.9089885528</x:v>
      </x:c>
      <x:c r="T2428" s="78" t="n">
        <x:f>P2428*(S2428*(1-'Inputs'!$B$15))/(O2428+S2428*(1-'Inputs'!$B$15))</x:f>
        <x:v>1.07414623629419</x:v>
      </x:c>
      <x:c r="U2428" s="78" t="n">
        <x:f>O2428+S2428*(1-'Inputs'!$B$17)</x:f>
        <x:v>111162894.46292259</x:v>
      </x:c>
      <x:c r="V2428" s="78" t="n">
        <x:f>P2428-T2428</x:f>
        <x:v>261.56615152514587</x:v>
      </x:c>
      <x:c r="W2428" s="79" t="n">
        <x:f>IF(U2428&gt;0,V2428/U2428,0)</x:f>
        <x:v>0.000002352998748268371</x:v>
      </x:c>
      <x:c r="X2428" s="80" t="n">
        <x:f>W2428*('Inputs'!$B$6-AC2428)</x:f>
        <x:v>2228.258378886157</x:v>
      </x:c>
      <x:c r="Y2428" s="80" t="n">
        <x:f>2*V2428</x:f>
        <x:v>523.1323030502917</x:v>
      </x:c>
      <x:c r="Z2428" s="80" t="n">
        <x:f>K2428*'Inputs'!$B$16+(G2428+R2428)*J2428*'Inputs'!$B$16</x:f>
        <x:v>3.1582202841663785</x:v>
      </x:c>
      <x:c r="AA2428" s="80" t="n">
        <x:f>K2428*(1+'Inputs'!$E$50)/2*'Inputs'!$B$17</x:f>
        <x:v>1.0569026066858758</x:v>
      </x:c>
      <x:c r="AB2428" s="78" t="n">
        <x:f>(IF(J2428&gt;0,K2428*(1-'Inputs'!$E$50)/2/J2428,0)+G2428+R2428)*'Inputs'!$B$17</x:f>
        <x:v>447343.0278078168</x:v>
      </x:c>
      <x:c r="AC2428" s="78" t="n">
        <x:f>AC2427+AB2428</x:f>
        <x:v>53013359.855806686</x:v>
      </x:c>
      <x:c r="AD2428" s="80" t="n">
        <x:f>Z2428/(1+'Inputs'!$C$50)</x:f>
        <x:v>1.5791101420831892</x:v>
      </x:c>
      <x:c r="AE2428" s="80" t="n">
        <x:f>Z2428-AD2428</x:f>
        <x:v>1.5791101420831892</x:v>
      </x:c>
      <x:c r="AF2428" s="80" t="n">
        <x:f>D2428*W2428</x:f>
        <x:v>0.6411066093614881</x:v>
      </x:c>
      <x:c r="AG2428" s="80" t="n">
        <x:f>C2428*W2428</x:f>
        <x:v>1.4959154218434254</x:v>
      </x:c>
      <x:c r="AH2428" s="80" t="n">
        <x:f>2*'Inputs'!$B$8*'Inputs'!$C$50</x:f>
        <x:v>5000</x:v>
      </x:c>
      <x:c r="AI2428" s="81" t="n">
        <x:f>IF(AH2428&gt;0,(AE2428+AF2428)/AH2428*365,0)</x:f>
        <x:v>0.16207582285546146</x:v>
      </x:c>
      <x:c r="AJ2428" s="81" t="n">
        <x:f>IF('Inputs'!$B$50&gt;0,AG2428/('Inputs'!$B$19*'Inputs'!$B$50)*365,0)</x:f>
        <x:v>0.054600912897285026</x:v>
      </x:c>
      <x:c r="AK2428" s="81" t="n">
        <x:f>W2428/MAX($W$2194:W2428)-1</x:f>
        <x:v>-0.9972080675503874</x:v>
      </x:c>
      <x:c r="AL2428" s="83" t="n">
        <x:f>'Inputs'!$B$50</x:f>
        <x:v>1</x:v>
      </x:c>
      <x:c r="AM2428" s="83" t="n">
        <x:f>'Inputs'!$C$50</x:f>
        <x:v>1</x:v>
      </x:c>
      <x:c r="AN2428" s="83" t="n">
        <x:f>'Inputs'!$D$50</x:f>
        <x:v>1</x:v>
      </x:c>
      <x:c r="AO2428" s="81" t="n">
        <x:f>'Inputs'!$E$50</x:f>
        <x:v>0</x:v>
      </x:c>
    </x:row>
    <x:row r="2429">
      <x:c r="A2429" s="59" t="str">
        <x:v>Whale exit</x:v>
      </x:c>
      <x:c r="B2429" s="59" t="n">
        <x:v>236</x:v>
      </x:c>
      <x:c r="C2429" s="78" t="n">
        <x:f>(('Inputs'!$B$29*(3*236*'Inputs'!$B$12-236^2)/(2*'Inputs'!$B$12^2))-('Inputs'!$B$29*(3*235*'Inputs'!$B$12-235^2)/(2*'Inputs'!$B$12^2)))*'Inputs'!$B$50</x:f>
        <x:v>635423.3908800781</x:v>
      </x:c>
      <x:c r="D2429" s="78" t="n">
        <x:f>IF('Inputs'!$C$50&gt;0,('Inputs'!$B$30*(3*236*'Inputs'!$B$12-236^2)/(2*'Inputs'!$B$12^2))-('Inputs'!$B$30*(3*235*'Inputs'!$B$12-235^2)/(2*'Inputs'!$B$12^2)),0)</x:f>
        <x:v>272324.3103771806</x:v>
      </x:c>
      <x:c r="E2429" s="78" t="n">
        <x:f>C2429+D2429</x:f>
        <x:v>907747.7012572587</x:v>
      </x:c>
      <x:c r="F2429" s="78" t="n">
        <x:f>'Inputs'!$B$13*E2429+(1-'Inputs'!$B$13)/'Inputs'!$B$14*SUM(E2374:E2429)</x:f>
        <x:v>917965.3781197197</x:v>
      </x:c>
      <x:c r="G2429" s="78" t="n">
        <x:f>F2429*'Inputs'!$F$50</x:f>
        <x:v>458982.68905985984</x:v>
      </x:c>
      <x:c r="H2429" s="78" t="n">
        <x:f>U2428</x:f>
        <x:v>111162894.46292259</x:v>
      </x:c>
      <x:c r="I2429" s="78" t="n">
        <x:f>V2428</x:f>
        <x:v>261.56615152514587</x:v>
      </x:c>
      <x:c r="J2429" s="79" t="n">
        <x:f>IF(H2429&gt;0,I2429/H2429,0)</x:f>
        <x:v>0.000002352998748268371</x:v>
      </x:c>
      <x:c r="K2429" s="80" t="n">
        <x:f>(H2429*J2429+I2429)*'Inputs'!$D$50*(1+'Inputs'!$G$50)^(B2429/30)</x:f>
        <x:v>523.1323030502917</x:v>
      </x:c>
      <x:c r="L2429" s="80" t="n">
        <x:f>MAX(0,K2429*'Inputs'!$E$50)</x:f>
        <x:v>0</x:v>
      </x:c>
      <x:c r="M2429" s="80" t="n">
        <x:f>MAX(0,-K2429*'Inputs'!$E$50)</x:f>
        <x:v>0</x:v>
      </x:c>
      <x:c r="N2429" s="78" t="n">
        <x:f>H2429*(L2429*(1-'Inputs'!$B$15))/(I2429+L2429*(1-'Inputs'!$B$15))</x:f>
        <x:v>0</x:v>
      </x:c>
      <x:c r="O2429" s="78" t="n">
        <x:f>H2429-N2429</x:f>
        <x:v>111162894.46292259</x:v>
      </x:c>
      <x:c r="P2429" s="78" t="n">
        <x:f>I2429+L2429*(1-'Inputs'!$B$17)</x:f>
        <x:v>261.56615152514587</x:v>
      </x:c>
      <x:c r="Q2429" s="78" t="n">
        <x:f>IF(J2429&gt;0,M2429/J2429,0)</x:f>
        <x:v>0</x:v>
      </x:c>
      <x:c r="R2429" s="78" t="n">
        <x:f>IF(B2429='Inputs'!$H$50,'Inputs'!$B$27*'Inputs'!$I$50,0)</x:f>
        <x:v>0</x:v>
      </x:c>
      <x:c r="S2429" s="78" t="n">
        <x:f>Q2429+G2429+R2429</x:f>
        <x:v>458982.68905985984</x:v>
      </x:c>
      <x:c r="T2429" s="78" t="n">
        <x:f>P2429*(S2429*(1-'Inputs'!$B$15))/(O2429+S2429*(1-'Inputs'!$B$15))</x:f>
        <x:v>1.064833191044512</x:v>
      </x:c>
      <x:c r="U2429" s="78" t="n">
        <x:f>O2429+S2429*(1-'Inputs'!$B$17)</x:f>
        <x:v>111620030.1391492</x:v>
      </x:c>
      <x:c r="V2429" s="78" t="n">
        <x:f>P2429-T2429</x:f>
        <x:v>260.50131833410137</x:v>
      </x:c>
      <x:c r="W2429" s="79" t="n">
        <x:f>IF(U2429&gt;0,V2429/U2429,0)</x:f>
        <x:v>0.0000023338223257004306</x:v>
      </x:c>
      <x:c r="X2429" s="80" t="n">
        <x:f>W2429*('Inputs'!$B$6-AC2429)</x:f>
        <x:v>2209.0502505184822</x:v>
      </x:c>
      <x:c r="Y2429" s="80" t="n">
        <x:f>2*V2429</x:f>
        <x:v>521.0026366682027</x:v>
      </x:c>
      <x:c r="Z2429" s="80" t="n">
        <x:f>K2429*'Inputs'!$B$16+(G2429+R2429)*J2429*'Inputs'!$B$16</x:f>
        <x:v>3.1452737324587585</x:v>
      </x:c>
      <x:c r="AA2429" s="80" t="n">
        <x:f>K2429*(1+'Inputs'!$E$50)/2*'Inputs'!$B$17</x:f>
        <x:v>1.0525800866203054</x:v>
      </x:c>
      <x:c r="AB2429" s="78" t="n">
        <x:f>(IF(J2429&gt;0,K2429*(1-'Inputs'!$E$50)/2/J2429,0)+G2429+R2429)*'Inputs'!$B$17</x:f>
        <x:v>449182.60423332977</x:v>
      </x:c>
      <x:c r="AC2429" s="78" t="n">
        <x:f>AC2428+AB2429</x:f>
        <x:v>53462542.46004002</x:v>
      </x:c>
      <x:c r="AD2429" s="80" t="n">
        <x:f>Z2429/(1+'Inputs'!$C$50)</x:f>
        <x:v>1.5726368662293793</x:v>
      </x:c>
      <x:c r="AE2429" s="80" t="n">
        <x:f>Z2429-AD2429</x:f>
        <x:v>1.5726368662293793</x:v>
      </x:c>
      <x:c r="AF2429" s="80" t="n">
        <x:f>D2429*W2429</x:f>
        <x:v>0.6355565553892375</x:v>
      </x:c>
      <x:c r="AG2429" s="80" t="n">
        <x:f>C2429*W2429</x:f>
        <x:v>1.4829652959081976</x:v>
      </x:c>
      <x:c r="AH2429" s="80" t="n">
        <x:f>2*'Inputs'!$B$8*'Inputs'!$C$50</x:f>
        <x:v>5000</x:v>
      </x:c>
      <x:c r="AI2429" s="81" t="n">
        <x:f>IF(AH2429&gt;0,(AE2429+AF2429)/AH2429*365,0)</x:f>
        <x:v>0.16119811977815904</x:v>
      </x:c>
      <x:c r="AJ2429" s="81" t="n">
        <x:f>IF('Inputs'!$B$50&gt;0,AG2429/('Inputs'!$B$19*'Inputs'!$B$50)*365,0)</x:f>
        <x:v>0.05412823330064921</x:v>
      </x:c>
      <x:c r="AK2429" s="81" t="n">
        <x:f>W2429/MAX($W$2194:W2429)-1</x:f>
        <x:v>-0.9972308211861359</x:v>
      </x:c>
      <x:c r="AL2429" s="83" t="n">
        <x:f>'Inputs'!$B$50</x:f>
        <x:v>1</x:v>
      </x:c>
      <x:c r="AM2429" s="83" t="n">
        <x:f>'Inputs'!$C$50</x:f>
        <x:v>1</x:v>
      </x:c>
      <x:c r="AN2429" s="83" t="n">
        <x:f>'Inputs'!$D$50</x:f>
        <x:v>1</x:v>
      </x:c>
      <x:c r="AO2429" s="81" t="n">
        <x:f>'Inputs'!$E$50</x:f>
        <x:v>0</x:v>
      </x:c>
    </x:row>
    <x:row r="2430">
      <x:c r="A2430" s="59" t="str">
        <x:v>Whale exit</x:v>
      </x:c>
      <x:c r="B2430" s="59" t="n">
        <x:v>237</x:v>
      </x:c>
      <x:c r="C2430" s="78" t="n">
        <x:f>(('Inputs'!$B$29*(3*237*'Inputs'!$B$12-237^2)/(2*'Inputs'!$B$12^2))-('Inputs'!$B$29*(3*236*'Inputs'!$B$12-236^2)/(2*'Inputs'!$B$12^2)))*'Inputs'!$B$50</x:f>
        <x:v>635098.2829799354</x:v>
      </x:c>
      <x:c r="D2430" s="78" t="n">
        <x:f>IF('Inputs'!$C$50&gt;0,('Inputs'!$B$30*(3*237*'Inputs'!$B$12-237^2)/(2*'Inputs'!$B$12^2))-('Inputs'!$B$30*(3*236*'Inputs'!$B$12-236^2)/(2*'Inputs'!$B$12^2)),0)</x:f>
        <x:v>272184.97841997445</x:v>
      </x:c>
      <x:c r="E2430" s="78" t="n">
        <x:f>C2430+D2430</x:f>
        <x:v>907283.2613999099</x:v>
      </x:c>
      <x:c r="F2430" s="78" t="n">
        <x:f>'Inputs'!$B$13*E2430+(1-'Inputs'!$B$13)/'Inputs'!$B$14*SUM(E2375:E2430)</x:f>
        <x:v>917500.9382623427</x:v>
      </x:c>
      <x:c r="G2430" s="78" t="n">
        <x:f>F2430*'Inputs'!$F$50</x:f>
        <x:v>458750.46913117135</x:v>
      </x:c>
      <x:c r="H2430" s="78" t="n">
        <x:f>U2429</x:f>
        <x:v>111620030.1391492</x:v>
      </x:c>
      <x:c r="I2430" s="78" t="n">
        <x:f>V2429</x:f>
        <x:v>260.50131833410137</x:v>
      </x:c>
      <x:c r="J2430" s="79" t="n">
        <x:f>IF(H2430&gt;0,I2430/H2430,0)</x:f>
        <x:v>0.0000023338223257004306</x:v>
      </x:c>
      <x:c r="K2430" s="80" t="n">
        <x:f>(H2430*J2430+I2430)*'Inputs'!$D$50*(1+'Inputs'!$G$50)^(B2430/30)</x:f>
        <x:v>521.0026366682027</x:v>
      </x:c>
      <x:c r="L2430" s="80" t="n">
        <x:f>MAX(0,K2430*'Inputs'!$E$50)</x:f>
        <x:v>0</x:v>
      </x:c>
      <x:c r="M2430" s="80" t="n">
        <x:f>MAX(0,-K2430*'Inputs'!$E$50)</x:f>
        <x:v>0</x:v>
      </x:c>
      <x:c r="N2430" s="78" t="n">
        <x:f>H2430*(L2430*(1-'Inputs'!$B$15))/(I2430+L2430*(1-'Inputs'!$B$15))</x:f>
        <x:v>0</x:v>
      </x:c>
      <x:c r="O2430" s="78" t="n">
        <x:f>H2430-N2430</x:f>
        <x:v>111620030.1391492</x:v>
      </x:c>
      <x:c r="P2430" s="78" t="n">
        <x:f>I2430+L2430*(1-'Inputs'!$B$17)</x:f>
        <x:v>260.50131833410137</x:v>
      </x:c>
      <x:c r="Q2430" s="78" t="n">
        <x:f>IF(J2430&gt;0,M2430/J2430,0)</x:f>
        <x:v>0</x:v>
      </x:c>
      <x:c r="R2430" s="78" t="n">
        <x:f>IF(B2430='Inputs'!$H$50,'Inputs'!$B$27*'Inputs'!$I$50,0)</x:f>
        <x:v>0</x:v>
      </x:c>
      <x:c r="S2430" s="78" t="n">
        <x:f>Q2430+G2430+R2430</x:f>
        <x:v>458750.46913117135</x:v>
      </x:c>
      <x:c r="T2430" s="78" t="n">
        <x:f>P2430*(S2430*(1-'Inputs'!$B$15))/(O2430+S2430*(1-'Inputs'!$B$15))</x:f>
        <x:v>1.0556404440561462</x:v>
      </x:c>
      <x:c r="U2430" s="78" t="n">
        <x:f>O2430+S2430*(1-'Inputs'!$B$17)</x:f>
        <x:v>112076934.52993377</x:v>
      </x:c>
      <x:c r="V2430" s="78" t="n">
        <x:f>P2430-T2430</x:f>
        <x:v>259.4456778900452</x:v>
      </x:c>
      <x:c r="W2430" s="79" t="n">
        <x:f>IF(U2430&gt;0,V2430/U2430,0)</x:f>
        <x:v>0.0000023148891337740135</x:v>
      </x:c>
      <x:c r="X2430" s="80" t="n">
        <x:f>W2430*('Inputs'!$B$6-AC2430)</x:f>
        <x:v>2190.0852109787647</x:v>
      </x:c>
      <x:c r="Y2430" s="80" t="n">
        <x:f>2*V2430</x:f>
        <x:v>518.8913557800904</x:v>
      </x:c>
      <x:c r="Z2430" s="80" t="n">
        <x:f>K2430*'Inputs'!$B$16+(G2430+R2430)*J2430*'Inputs'!$B$16</x:f>
        <x:v>3.1324396725299195</x:v>
      </x:c>
      <x:c r="AA2430" s="80" t="n">
        <x:f>K2430*(1+'Inputs'!$E$50)/2*'Inputs'!$B$17</x:f>
        <x:v>1.0482950435979936</x:v>
      </x:c>
      <x:c r="AB2430" s="78" t="n">
        <x:f>(IF(J2430&gt;0,K2430*(1-'Inputs'!$E$50)/2/J2430,0)+G2430+R2430)*'Inputs'!$B$17</x:f>
        <x:v>451021.2499327179</x:v>
      </x:c>
      <x:c r="AC2430" s="78" t="n">
        <x:f>AC2429+AB2430</x:f>
        <x:v>53913563.70997274</x:v>
      </x:c>
      <x:c r="AD2430" s="80" t="n">
        <x:f>Z2430/(1+'Inputs'!$C$50)</x:f>
        <x:v>1.5662198362649598</x:v>
      </x:c>
      <x:c r="AE2430" s="80" t="n">
        <x:f>Z2430-AD2430</x:f>
        <x:v>1.5662198362649598</x:v>
      </x:c>
      <x:c r="AF2430" s="80" t="n">
        <x:f>D2430*W2430</x:f>
        <x:v>0.6300780489209132</x:v>
      </x:c>
      <x:c r="AG2430" s="80" t="n">
        <x:f>C2430*W2430</x:f>
        <x:v>1.470182114148786</x:v>
      </x:c>
      <x:c r="AH2430" s="80" t="n">
        <x:f>2*'Inputs'!$B$8*'Inputs'!$C$50</x:f>
        <x:v>5000</x:v>
      </x:c>
      <x:c r="AI2430" s="81" t="n">
        <x:f>IF(AH2430&gt;0,(AE2430+AF2430)/AH2430*365,0)</x:f>
        <x:v>0.16032974561856872</x:v>
      </x:c>
      <x:c r="AJ2430" s="81" t="n">
        <x:f>IF('Inputs'!$B$50&gt;0,AG2430/('Inputs'!$B$19*'Inputs'!$B$50)*365,0)</x:f>
        <x:v>0.053661647166430695</x:v>
      </x:c>
      <x:c r="AK2430" s="81" t="n">
        <x:f>W2430/MAX($W$2194:W2430)-1</x:f>
        <x:v>-0.9972532862184498</x:v>
      </x:c>
      <x:c r="AL2430" s="83" t="n">
        <x:f>'Inputs'!$B$50</x:f>
        <x:v>1</x:v>
      </x:c>
      <x:c r="AM2430" s="83" t="n">
        <x:f>'Inputs'!$C$50</x:f>
        <x:v>1</x:v>
      </x:c>
      <x:c r="AN2430" s="83" t="n">
        <x:f>'Inputs'!$D$50</x:f>
        <x:v>1</x:v>
      </x:c>
      <x:c r="AO2430" s="81" t="n">
        <x:f>'Inputs'!$E$50</x:f>
        <x:v>0</x:v>
      </x:c>
    </x:row>
    <x:row r="2431">
      <x:c r="A2431" s="59" t="str">
        <x:v>Whale exit</x:v>
      </x:c>
      <x:c r="B2431" s="59" t="n">
        <x:v>238</x:v>
      </x:c>
      <x:c r="C2431" s="78" t="n">
        <x:f>(('Inputs'!$B$29*(3*238*'Inputs'!$B$12-238^2)/(2*'Inputs'!$B$12^2))-('Inputs'!$B$29*(3*237*'Inputs'!$B$12-237^2)/(2*'Inputs'!$B$12^2)))*'Inputs'!$B$50</x:f>
        <x:v>634773.1750797629</x:v>
      </x:c>
      <x:c r="D2431" s="78" t="n">
        <x:f>IF('Inputs'!$C$50&gt;0,('Inputs'!$B$30*(3*238*'Inputs'!$B$12-238^2)/(2*'Inputs'!$B$12^2))-('Inputs'!$B$30*(3*237*'Inputs'!$B$12-237^2)/(2*'Inputs'!$B$12^2)),0)</x:f>
        <x:v>272045.6464627385</x:v>
      </x:c>
      <x:c r="E2431" s="78" t="n">
        <x:f>C2431+D2431</x:f>
        <x:v>906818.8215425014</x:v>
      </x:c>
      <x:c r="F2431" s="78" t="n">
        <x:f>'Inputs'!$B$13*E2431+(1-'Inputs'!$B$13)/'Inputs'!$B$14*SUM(E2376:E2431)</x:f>
        <x:v>917036.4984049537</x:v>
      </x:c>
      <x:c r="G2431" s="78" t="n">
        <x:f>F2431*'Inputs'!$F$50</x:f>
        <x:v>458518.2492024769</x:v>
      </x:c>
      <x:c r="H2431" s="78" t="n">
        <x:f>U2430</x:f>
        <x:v>112076934.52993377</x:v>
      </x:c>
      <x:c r="I2431" s="78" t="n">
        <x:f>V2430</x:f>
        <x:v>259.4456778900452</x:v>
      </x:c>
      <x:c r="J2431" s="79" t="n">
        <x:f>IF(H2431&gt;0,I2431/H2431,0)</x:f>
        <x:v>0.0000023148891337740135</x:v>
      </x:c>
      <x:c r="K2431" s="80" t="n">
        <x:f>(H2431*J2431+I2431)*'Inputs'!$D$50*(1+'Inputs'!$G$50)^(B2431/30)</x:f>
        <x:v>518.8913557800904</x:v>
      </x:c>
      <x:c r="L2431" s="80" t="n">
        <x:f>MAX(0,K2431*'Inputs'!$E$50)</x:f>
        <x:v>0</x:v>
      </x:c>
      <x:c r="M2431" s="80" t="n">
        <x:f>MAX(0,-K2431*'Inputs'!$E$50)</x:f>
        <x:v>0</x:v>
      </x:c>
      <x:c r="N2431" s="78" t="n">
        <x:f>H2431*(L2431*(1-'Inputs'!$B$15))/(I2431+L2431*(1-'Inputs'!$B$15))</x:f>
        <x:v>0</x:v>
      </x:c>
      <x:c r="O2431" s="78" t="n">
        <x:f>H2431-N2431</x:f>
        <x:v>112076934.52993377</x:v>
      </x:c>
      <x:c r="P2431" s="78" t="n">
        <x:f>I2431+L2431*(1-'Inputs'!$B$17)</x:f>
        <x:v>259.4456778900452</x:v>
      </x:c>
      <x:c r="Q2431" s="78" t="n">
        <x:f>IF(J2431&gt;0,M2431/J2431,0)</x:f>
        <x:v>0</x:v>
      </x:c>
      <x:c r="R2431" s="78" t="n">
        <x:f>IF(B2431='Inputs'!$H$50,'Inputs'!$B$27*'Inputs'!$I$50,0)</x:f>
        <x:v>0</x:v>
      </x:c>
      <x:c r="S2431" s="78" t="n">
        <x:f>Q2431+G2431+R2431</x:f>
        <x:v>458518.2492024769</x:v>
      </x:c>
      <x:c r="T2431" s="78" t="n">
        <x:f>P2431*(S2431*(1-'Inputs'!$B$15))/(O2431+S2431*(1-'Inputs'!$B$15))</x:f>
        <x:v>1.0465659309722801</x:v>
      </x:c>
      <x:c r="U2431" s="78" t="n">
        <x:f>O2431+S2431*(1-'Inputs'!$B$17)</x:f>
        <x:v>112533607.63527627</x:v>
      </x:c>
      <x:c r="V2431" s="78" t="n">
        <x:f>P2431-T2431</x:f>
        <x:v>258.3991119590729</x:v>
      </x:c>
      <x:c r="W2431" s="79" t="n">
        <x:f>IF(U2431&gt;0,V2431/U2431,0)</x:f>
        <x:v>0.0000022961950424316774</x:v>
      </x:c>
      <x:c r="X2431" s="80" t="n">
        <x:f>W2431*('Inputs'!$B$6-AC2431)</x:f>
        <x:v>2171.359132210876</x:v>
      </x:c>
      <x:c r="Y2431" s="80" t="n">
        <x:f>2*V2431</x:f>
        <x:v>516.7982239181458</x:v>
      </x:c>
      <x:c r="Z2431" s="80" t="n">
        <x:f>K2431*'Inputs'!$B$16+(G2431+R2431)*J2431*'Inputs'!$B$16</x:f>
        <x:v>3.119716648156838</x:v>
      </x:c>
      <x:c r="AA2431" s="80" t="n">
        <x:f>K2431*(1+'Inputs'!$E$50)/2*'Inputs'!$B$17</x:f>
        <x:v>1.0440469935213088</x:v>
      </x:c>
      <x:c r="AB2431" s="78" t="n">
        <x:f>(IF(J2431&gt;0,K2431*(1-'Inputs'!$E$50)/2/J2431,0)+G2431+R2431)*'Inputs'!$B$17</x:f>
        <x:v>452858.96490598086</x:v>
      </x:c>
      <x:c r="AC2431" s="78" t="n">
        <x:f>AC2430+AB2431</x:f>
        <x:v>54366422.67487872</x:v>
      </x:c>
      <x:c r="AD2431" s="80" t="n">
        <x:f>Z2431/(1+'Inputs'!$C$50)</x:f>
        <x:v>1.559858324078419</x:v>
      </x:c>
      <x:c r="AE2431" s="80" t="n">
        <x:f>Z2431-AD2431</x:f>
        <x:v>1.559858324078419</x:v>
      </x:c>
      <x:c r="AF2431" s="80" t="n">
        <x:f>D2431*W2431</x:f>
        <x:v>0.624669864722861</x:v>
      </x:c>
      <x:c r="AG2431" s="80" t="n">
        <x:f>C2431*W2431</x:f>
        <x:v>1.4575630176867669</x:v>
      </x:c>
      <x:c r="AH2431" s="80" t="n">
        <x:f>2*'Inputs'!$B$8*'Inputs'!$C$50</x:f>
        <x:v>5000</x:v>
      </x:c>
      <x:c r="AI2431" s="81" t="n">
        <x:f>IF(AH2431&gt;0,(AE2431+AF2431)/AH2431*365,0)</x:f>
        <x:v>0.15947055778249344</x:v>
      </x:c>
      <x:c r="AJ2431" s="81" t="n">
        <x:f>IF('Inputs'!$B$50&gt;0,AG2431/('Inputs'!$B$19*'Inputs'!$B$50)*365,0)</x:f>
        <x:v>0.05320105014556699</x:v>
      </x:c>
      <x:c r="AK2431" s="81" t="n">
        <x:f>W2431/MAX($W$2194:W2431)-1</x:f>
        <x:v>-0.9972754675478164</x:v>
      </x:c>
      <x:c r="AL2431" s="83" t="n">
        <x:f>'Inputs'!$B$50</x:f>
        <x:v>1</x:v>
      </x:c>
      <x:c r="AM2431" s="83" t="n">
        <x:f>'Inputs'!$C$50</x:f>
        <x:v>1</x:v>
      </x:c>
      <x:c r="AN2431" s="83" t="n">
        <x:f>'Inputs'!$D$50</x:f>
        <x:v>1</x:v>
      </x:c>
      <x:c r="AO2431" s="81" t="n">
        <x:f>'Inputs'!$E$50</x:f>
        <x:v>0</x:v>
      </x:c>
    </x:row>
    <x:row r="2432">
      <x:c r="A2432" s="59" t="str">
        <x:v>Whale exit</x:v>
      </x:c>
      <x:c r="B2432" s="59" t="n">
        <x:v>239</x:v>
      </x:c>
      <x:c r="C2432" s="78" t="n">
        <x:f>(('Inputs'!$B$29*(3*239*'Inputs'!$B$12-239^2)/(2*'Inputs'!$B$12^2))-('Inputs'!$B$29*(3*238*'Inputs'!$B$12-238^2)/(2*'Inputs'!$B$12^2)))*'Inputs'!$B$50</x:f>
        <x:v>634448.0671795607</x:v>
      </x:c>
      <x:c r="D2432" s="78" t="n">
        <x:f>IF('Inputs'!$C$50&gt;0,('Inputs'!$B$30*(3*239*'Inputs'!$B$12-239^2)/(2*'Inputs'!$B$12^2))-('Inputs'!$B$30*(3*238*'Inputs'!$B$12-238^2)/(2*'Inputs'!$B$12^2)),0)</x:f>
        <x:v>271906.3145055473</x:v>
      </x:c>
      <x:c r="E2432" s="78" t="n">
        <x:f>C2432+D2432</x:f>
        <x:v>906354.381685108</x:v>
      </x:c>
      <x:c r="F2432" s="78" t="n">
        <x:f>'Inputs'!$B$13*E2432+(1-'Inputs'!$B$13)/'Inputs'!$B$14*SUM(E2377:E2432)</x:f>
        <x:v>916572.0585475676</x:v>
      </x:c>
      <x:c r="G2432" s="78" t="n">
        <x:f>F2432*'Inputs'!$F$50</x:f>
        <x:v>458286.0292737838</x:v>
      </x:c>
      <x:c r="H2432" s="78" t="n">
        <x:f>U2431</x:f>
        <x:v>112533607.63527627</x:v>
      </x:c>
      <x:c r="I2432" s="78" t="n">
        <x:f>V2431</x:f>
        <x:v>258.3991119590729</x:v>
      </x:c>
      <x:c r="J2432" s="79" t="n">
        <x:f>IF(H2432&gt;0,I2432/H2432,0)</x:f>
        <x:v>0.0000022961950424316774</x:v>
      </x:c>
      <x:c r="K2432" s="80" t="n">
        <x:f>(H2432*J2432+I2432)*'Inputs'!$D$50*(1+'Inputs'!$G$50)^(B2432/30)</x:f>
        <x:v>516.7982239181458</x:v>
      </x:c>
      <x:c r="L2432" s="80" t="n">
        <x:f>MAX(0,K2432*'Inputs'!$E$50)</x:f>
        <x:v>0</x:v>
      </x:c>
      <x:c r="M2432" s="80" t="n">
        <x:f>MAX(0,-K2432*'Inputs'!$E$50)</x:f>
        <x:v>0</x:v>
      </x:c>
      <x:c r="N2432" s="78" t="n">
        <x:f>H2432*(L2432*(1-'Inputs'!$B$15))/(I2432+L2432*(1-'Inputs'!$B$15))</x:f>
        <x:v>0</x:v>
      </x:c>
      <x:c r="O2432" s="78" t="n">
        <x:f>H2432-N2432</x:f>
        <x:v>112533607.63527627</x:v>
      </x:c>
      <x:c r="P2432" s="78" t="n">
        <x:f>I2432+L2432*(1-'Inputs'!$B$17)</x:f>
        <x:v>258.3991119590729</x:v>
      </x:c>
      <x:c r="Q2432" s="78" t="n">
        <x:f>IF(J2432&gt;0,M2432/J2432,0)</x:f>
        <x:v>0</x:v>
      </x:c>
      <x:c r="R2432" s="78" t="n">
        <x:f>IF(B2432='Inputs'!$H$50,'Inputs'!$B$27*'Inputs'!$I$50,0)</x:f>
        <x:v>0</x:v>
      </x:c>
      <x:c r="S2432" s="78" t="n">
        <x:f>Q2432+G2432+R2432</x:f>
        <x:v>458286.0292737838</x:v>
      </x:c>
      <x:c r="T2432" s="78" t="n">
        <x:f>P2432*(S2432*(1-'Inputs'!$B$15))/(O2432+S2432*(1-'Inputs'!$B$15))</x:f>
        <x:v>1.0376076315403557</x:v>
      </x:c>
      <x:c r="U2432" s="78" t="n">
        <x:f>O2432+S2432*(1-'Inputs'!$B$17)</x:f>
        <x:v>112990049.45517673</x:v>
      </x:c>
      <x:c r="V2432" s="78" t="n">
        <x:f>P2432-T2432</x:f>
        <x:v>257.36150432753254</x:v>
      </x:c>
      <x:c r="W2432" s="79" t="n">
        <x:f>IF(U2432&gt;0,V2432/U2432,0)</x:f>
        <x:v>0.0000022777360092193615</x:v>
      </x:c>
      <x:c r="X2432" s="80" t="n">
        <x:f>W2432*('Inputs'!$B$6-AC2432)</x:f>
        <x:v>2152.867973719265</x:v>
      </x:c>
      <x:c r="Y2432" s="80" t="n">
        <x:f>2*V2432</x:f>
        <x:v>514.7230086550651</x:v>
      </x:c>
      <x:c r="Z2432" s="80" t="n">
        <x:f>K2432*'Inputs'!$B$16+(G2432+R2432)*J2432*'Inputs'!$B$16</x:f>
        <x:v>3.1071032281594797</x:v>
      </x:c>
      <x:c r="AA2432" s="80" t="n">
        <x:f>K2432*(1+'Inputs'!$E$50)/2*'Inputs'!$B$17</x:f>
        <x:v>1.0398354605998912</x:v>
      </x:c>
      <x:c r="AB2432" s="78" t="n">
        <x:f>(IF(J2432&gt;0,K2432*(1-'Inputs'!$E$50)/2/J2432,0)+G2432+R2432)*'Inputs'!$B$17</x:f>
        <x:v>454695.7491531189</x:v>
      </x:c>
      <x:c r="AC2432" s="78" t="n">
        <x:f>AC2431+AB2432</x:f>
        <x:v>54821118.42403184</x:v>
      </x:c>
      <x:c r="AD2432" s="80" t="n">
        <x:f>Z2432/(1+'Inputs'!$C$50)</x:f>
        <x:v>1.5535516140797399</x:v>
      </x:c>
      <x:c r="AE2432" s="80" t="n">
        <x:f>Z2432-AD2432</x:f>
        <x:v>1.5535516140797399</x:v>
      </x:c>
      <x:c r="AF2432" s="80" t="n">
        <x:f>D2432*W2432</x:f>
        <x:v>0.6193308036834099</x:v>
      </x:c>
      <x:c r="AG2432" s="80" t="n">
        <x:f>C2432*W2432</x:f>
        <x:v>1.44510520859451</x:v>
      </x:c>
      <x:c r="AH2432" s="80" t="n">
        <x:f>2*'Inputs'!$B$8*'Inputs'!$C$50</x:f>
        <x:v>5000</x:v>
      </x:c>
      <x:c r="AI2432" s="81" t="n">
        <x:f>IF(AH2432&gt;0,(AE2432+AF2432)/AH2432*365,0)</x:f>
        <x:v>0.15862041649670994</x:v>
      </x:c>
      <x:c r="AJ2432" s="81" t="n">
        <x:f>IF('Inputs'!$B$50&gt;0,AG2432/('Inputs'!$B$19*'Inputs'!$B$50)*365,0)</x:f>
        <x:v>0.05274634011369961</x:v>
      </x:c>
      <x:c r="AK2432" s="81" t="n">
        <x:f>W2432/MAX($W$2194:W2432)-1</x:f>
        <x:v>-0.9972973699707786</x:v>
      </x:c>
      <x:c r="AL2432" s="83" t="n">
        <x:f>'Inputs'!$B$50</x:f>
        <x:v>1</x:v>
      </x:c>
      <x:c r="AM2432" s="83" t="n">
        <x:f>'Inputs'!$C$50</x:f>
        <x:v>1</x:v>
      </x:c>
      <x:c r="AN2432" s="83" t="n">
        <x:f>'Inputs'!$D$50</x:f>
        <x:v>1</x:v>
      </x:c>
      <x:c r="AO2432" s="81" t="n">
        <x:f>'Inputs'!$E$50</x:f>
        <x:v>0</x:v>
      </x:c>
    </x:row>
    <x:row r="2433">
      <x:c r="A2433" s="59" t="str">
        <x:v>Whale exit</x:v>
      </x:c>
      <x:c r="B2433" s="59" t="n">
        <x:v>240</x:v>
      </x:c>
      <x:c r="C2433" s="78" t="n">
        <x:f>(('Inputs'!$B$29*(3*240*'Inputs'!$B$12-240^2)/(2*'Inputs'!$B$12^2))-('Inputs'!$B$29*(3*239*'Inputs'!$B$12-239^2)/(2*'Inputs'!$B$12^2)))*'Inputs'!$B$50</x:f>
        <x:v>634122.959279418</x:v>
      </x:c>
      <x:c r="D2433" s="78" t="n">
        <x:f>IF('Inputs'!$C$50&gt;0,('Inputs'!$B$30*(3*240*'Inputs'!$B$12-240^2)/(2*'Inputs'!$B$12^2))-('Inputs'!$B$30*(3*239*'Inputs'!$B$12-239^2)/(2*'Inputs'!$B$12^2)),0)</x:f>
        <x:v>271766.98254831135</x:v>
      </x:c>
      <x:c r="E2433" s="78" t="n">
        <x:f>C2433+D2433</x:f>
        <x:v>905889.9418277293</x:v>
      </x:c>
      <x:c r="F2433" s="78" t="n">
        <x:f>'Inputs'!$B$13*E2433+(1-'Inputs'!$B$13)/'Inputs'!$B$14*SUM(E2378:E2433)</x:f>
        <x:v>916107.6186901846</x:v>
      </x:c>
      <x:c r="G2433" s="78" t="n">
        <x:f>F2433*'Inputs'!$F$50</x:f>
        <x:v>458053.8093450923</x:v>
      </x:c>
      <x:c r="H2433" s="78" t="n">
        <x:f>U2432</x:f>
        <x:v>112990049.45517673</x:v>
      </x:c>
      <x:c r="I2433" s="78" t="n">
        <x:f>V2432</x:f>
        <x:v>257.36150432753254</x:v>
      </x:c>
      <x:c r="J2433" s="79" t="n">
        <x:f>IF(H2433&gt;0,I2433/H2433,0)</x:f>
        <x:v>0.0000022777360092193615</x:v>
      </x:c>
      <x:c r="K2433" s="80" t="n">
        <x:f>(H2433*J2433+I2433)*'Inputs'!$D$50*(1+'Inputs'!$G$50)^(B2433/30)</x:f>
        <x:v>514.7230086550651</x:v>
      </x:c>
      <x:c r="L2433" s="80" t="n">
        <x:f>MAX(0,K2433*'Inputs'!$E$50)</x:f>
        <x:v>0</x:v>
      </x:c>
      <x:c r="M2433" s="80" t="n">
        <x:f>MAX(0,-K2433*'Inputs'!$E$50)</x:f>
        <x:v>0</x:v>
      </x:c>
      <x:c r="N2433" s="78" t="n">
        <x:f>H2433*(L2433*(1-'Inputs'!$B$15))/(I2433+L2433*(1-'Inputs'!$B$15))</x:f>
        <x:v>0</x:v>
      </x:c>
      <x:c r="O2433" s="78" t="n">
        <x:f>H2433-N2433</x:f>
        <x:v>112990049.45517673</x:v>
      </x:c>
      <x:c r="P2433" s="78" t="n">
        <x:f>I2433+L2433*(1-'Inputs'!$B$17)</x:f>
        <x:v>257.36150432753254</x:v>
      </x:c>
      <x:c r="Q2433" s="78" t="n">
        <x:f>IF(J2433&gt;0,M2433/J2433,0)</x:f>
        <x:v>0</x:v>
      </x:c>
      <x:c r="R2433" s="78" t="n">
        <x:f>IF(B2433='Inputs'!$H$50,'Inputs'!$B$27*'Inputs'!$I$50,0)</x:f>
        <x:v>0</x:v>
      </x:c>
      <x:c r="S2433" s="78" t="n">
        <x:f>Q2433+G2433+R2433</x:f>
        <x:v>458053.8093450923</x:v>
      </x:c>
      <x:c r="T2433" s="78" t="n">
        <x:f>P2433*(S2433*(1-'Inputs'!$B$15))/(O2433+S2433*(1-'Inputs'!$B$15))</x:f>
        <x:v>1.0287635684858814</x:v>
      </x:c>
      <x:c r="U2433" s="78" t="n">
        <x:f>O2433+S2433*(1-'Inputs'!$B$17)</x:f>
        <x:v>113446259.98963512</x:v>
      </x:c>
      <x:c r="V2433" s="78" t="n">
        <x:f>P2433-T2433</x:f>
        <x:v>256.33274075904666</x:v>
      </x:c>
      <x:c r="W2433" s="79" t="n">
        <x:f>IF(U2433&gt;0,V2433/U2433,0)</x:f>
        <x:v>0.000002259508077061916</x:v>
      </x:c>
      <x:c r="X2433" s="80" t="n">
        <x:f>W2433*('Inputs'!$B$6-AC2433)</x:f>
        <x:v>2134.607780345572</x:v>
      </x:c>
      <x:c r="Y2433" s="80" t="n">
        <x:f>2*V2433</x:f>
        <x:v>512.6654815180933</x:v>
      </x:c>
      <x:c r="Z2433" s="80" t="n">
        <x:f>K2433*'Inputs'!$B$16+(G2433+R2433)*J2433*'Inputs'!$B$16</x:f>
        <x:v>3.094598005864623</x:v>
      </x:c>
      <x:c r="AA2433" s="80" t="n">
        <x:f>K2433*(1+'Inputs'!$E$50)/2*'Inputs'!$B$17</x:f>
        <x:v>1.0356599771731694</x:v>
      </x:c>
      <x:c r="AB2433" s="78" t="n">
        <x:f>(IF(J2433&gt;0,K2433*(1-'Inputs'!$E$50)/2/J2433,0)+G2433+R2433)*'Inputs'!$B$17</x:f>
        <x:v>456531.6026741321</x:v>
      </x:c>
      <x:c r="AC2433" s="78" t="n">
        <x:f>AC2432+AB2433</x:f>
        <x:v>55277650.02670597</x:v>
      </x:c>
      <x:c r="AD2433" s="80" t="n">
        <x:f>Z2433/(1+'Inputs'!$C$50)</x:f>
        <x:v>1.5472990029323115</x:v>
      </x:c>
      <x:c r="AE2433" s="80" t="n">
        <x:f>Z2433-AD2433</x:f>
        <x:v>1.5472990029323115</x:v>
      </x:c>
      <x:c r="AF2433" s="80" t="n">
        <x:f>D2433*W2433</x:f>
        <x:v>0.6140596921466543</x:v>
      </x:c>
      <x:c r="AG2433" s="80" t="n">
        <x:f>C2433*W2433</x:f>
        <x:v>1.4328059483422495</x:v>
      </x:c>
      <x:c r="AH2433" s="80" t="n">
        <x:f>2*'Inputs'!$B$8*'Inputs'!$C$50</x:f>
        <x:v>5000</x:v>
      </x:c>
      <x:c r="AI2433" s="81" t="n">
        <x:f>IF(AH2433&gt;0,(AE2433+AF2433)/AH2433*365,0)</x:f>
        <x:v>0.15777918474076452</x:v>
      </x:c>
      <x:c r="AJ2433" s="81" t="n">
        <x:f>IF('Inputs'!$B$50&gt;0,AG2433/('Inputs'!$B$19*'Inputs'!$B$50)*365,0)</x:f>
        <x:v>0.05229741711449211</x:v>
      </x:c>
      <x:c r="AK2433" s="81" t="n">
        <x:f>W2433/MAX($W$2194:W2433)-1</x:f>
        <x:v>-0.997318998182573</x:v>
      </x:c>
      <x:c r="AL2433" s="83" t="n">
        <x:f>'Inputs'!$B$50</x:f>
        <x:v>1</x:v>
      </x:c>
      <x:c r="AM2433" s="83" t="n">
        <x:f>'Inputs'!$C$50</x:f>
        <x:v>1</x:v>
      </x:c>
      <x:c r="AN2433" s="83" t="n">
        <x:f>'Inputs'!$D$50</x:f>
        <x:v>1</x:v>
      </x:c>
      <x:c r="AO2433" s="81" t="n">
        <x:f>'Inputs'!$E$50</x:f>
        <x:v>0</x:v>
      </x:c>
    </x:row>
    <x:row r="2434">
      <x:c r="A2434" s="59" t="str">
        <x:v>Whale exit</x:v>
      </x:c>
      <x:c r="B2434" s="59" t="n">
        <x:v>241</x:v>
      </x:c>
      <x:c r="C2434" s="78" t="n">
        <x:f>(('Inputs'!$B$29*(3*241*'Inputs'!$B$12-241^2)/(2*'Inputs'!$B$12^2))-('Inputs'!$B$29*(3*240*'Inputs'!$B$12-240^2)/(2*'Inputs'!$B$12^2)))*'Inputs'!$B$50</x:f>
        <x:v>633797.8513792455</x:v>
      </x:c>
      <x:c r="D2434" s="78" t="n">
        <x:f>IF('Inputs'!$C$50&gt;0,('Inputs'!$B$30*(3*241*'Inputs'!$B$12-241^2)/(2*'Inputs'!$B$12^2))-('Inputs'!$B$30*(3*240*'Inputs'!$B$12-240^2)/(2*'Inputs'!$B$12^2)),0)</x:f>
        <x:v>271627.6505911052</x:v>
      </x:c>
      <x:c r="E2434" s="78" t="n">
        <x:f>C2434+D2434</x:f>
        <x:v>905425.5019703507</x:v>
      </x:c>
      <x:c r="F2434" s="78" t="n">
        <x:f>'Inputs'!$B$13*E2434+(1-'Inputs'!$B$13)/'Inputs'!$B$14*SUM(E2379:E2434)</x:f>
        <x:v>915643.1788328014</x:v>
      </x:c>
      <x:c r="G2434" s="78" t="n">
        <x:f>F2434*'Inputs'!$F$50</x:f>
        <x:v>457821.5894164007</x:v>
      </x:c>
      <x:c r="H2434" s="78" t="n">
        <x:f>U2433</x:f>
        <x:v>113446259.98963512</x:v>
      </x:c>
      <x:c r="I2434" s="78" t="n">
        <x:f>V2433</x:f>
        <x:v>256.33274075904666</x:v>
      </x:c>
      <x:c r="J2434" s="79" t="n">
        <x:f>IF(H2434&gt;0,I2434/H2434,0)</x:f>
        <x:v>0.000002259508077061916</x:v>
      </x:c>
      <x:c r="K2434" s="80" t="n">
        <x:f>(H2434*J2434+I2434)*'Inputs'!$D$50*(1+'Inputs'!$G$50)^(B2434/30)</x:f>
        <x:v>512.6654815180933</x:v>
      </x:c>
      <x:c r="L2434" s="80" t="n">
        <x:f>MAX(0,K2434*'Inputs'!$E$50)</x:f>
        <x:v>0</x:v>
      </x:c>
      <x:c r="M2434" s="80" t="n">
        <x:f>MAX(0,-K2434*'Inputs'!$E$50)</x:f>
        <x:v>0</x:v>
      </x:c>
      <x:c r="N2434" s="78" t="n">
        <x:f>H2434*(L2434*(1-'Inputs'!$B$15))/(I2434+L2434*(1-'Inputs'!$B$15))</x:f>
        <x:v>0</x:v>
      </x:c>
      <x:c r="O2434" s="78" t="n">
        <x:f>H2434-N2434</x:f>
        <x:v>113446259.98963512</x:v>
      </x:c>
      <x:c r="P2434" s="78" t="n">
        <x:f>I2434+L2434*(1-'Inputs'!$B$17)</x:f>
        <x:v>256.33274075904666</x:v>
      </x:c>
      <x:c r="Q2434" s="78" t="n">
        <x:f>IF(J2434&gt;0,M2434/J2434,0)</x:f>
        <x:v>0</x:v>
      </x:c>
      <x:c r="R2434" s="78" t="n">
        <x:f>IF(B2434='Inputs'!$H$50,'Inputs'!$B$27*'Inputs'!$I$50,0)</x:f>
        <x:v>0</x:v>
      </x:c>
      <x:c r="S2434" s="78" t="n">
        <x:f>Q2434+G2434+R2434</x:f>
        <x:v>457821.5894164007</x:v>
      </x:c>
      <x:c r="T2434" s="78" t="n">
        <x:f>P2434*(S2434*(1-'Inputs'!$B$15))/(O2434+S2434*(1-'Inputs'!$B$15))</x:f>
        <x:v>1.0200318064197278</x:v>
      </x:c>
      <x:c r="U2434" s="78" t="n">
        <x:f>O2434+S2434*(1-'Inputs'!$B$17)</x:f>
        <x:v>113902239.23865145</x:v>
      </x:c>
      <x:c r="V2434" s="78" t="n">
        <x:f>P2434-T2434</x:f>
        <x:v>255.31270895262693</x:v>
      </x:c>
      <x:c r="W2434" s="79" t="n">
        <x:f>IF(U2434&gt;0,V2434/U2434,0)</x:f>
        <x:v>0.0000022415073721043177</x:v>
      </x:c>
      <x:c r="X2434" s="80" t="n">
        <x:f>W2434*('Inputs'!$B$6-AC2434)</x:f>
        <x:v>2116.574680110889</x:v>
      </x:c>
      <x:c r="Y2434" s="80" t="n">
        <x:f>2*V2434</x:f>
        <x:v>510.62541790525387</x:v>
      </x:c>
      <x:c r="Z2434" s="80" t="n">
        <x:f>K2434*'Inputs'!$B$16+(G2434+R2434)*J2434*'Inputs'!$B$16</x:f>
        <x:v>3.082199598583398</x:v>
      </x:c>
      <x:c r="AA2434" s="80" t="n">
        <x:f>K2434*(1+'Inputs'!$E$50)/2*'Inputs'!$B$17</x:f>
        <x:v>1.0315200835374112</x:v>
      </x:c>
      <x:c r="AB2434" s="78" t="n">
        <x:f>(IF(J2434&gt;0,K2434*(1-'Inputs'!$E$50)/2/J2434,0)+G2434+R2434)*'Inputs'!$B$17</x:f>
        <x:v>458366.52546902024</x:v>
      </x:c>
      <x:c r="AC2434" s="78" t="n">
        <x:f>AC2433+AB2434</x:f>
        <x:v>55736016.55217499</x:v>
      </x:c>
      <x:c r="AD2434" s="80" t="n">
        <x:f>Z2434/(1+'Inputs'!$C$50)</x:f>
        <x:v>1.541099799291699</x:v>
      </x:c>
      <x:c r="AE2434" s="80" t="n">
        <x:f>Z2434-AD2434</x:f>
        <x:v>1.541099799291699</x:v>
      </x:c>
      <x:c r="AF2434" s="80" t="n">
        <x:f>D2434*W2434</x:f>
        <x:v>0.6088553812673381</x:v>
      </x:c>
      <x:c r="AG2434" s="80" t="n">
        <x:f>C2434*W2434</x:f>
        <x:v>1.4206625562904556</x:v>
      </x:c>
      <x:c r="AH2434" s="80" t="n">
        <x:f>2*'Inputs'!$B$8*'Inputs'!$C$50</x:f>
        <x:v>5000</x:v>
      </x:c>
      <x:c r="AI2434" s="81" t="n">
        <x:f>IF(AH2434&gt;0,(AE2434+AF2434)/AH2434*365,0)</x:f>
        <x:v>0.1569467281808097</x:v>
      </x:c>
      <x:c r="AJ2434" s="81" t="n">
        <x:f>IF('Inputs'!$B$50&gt;0,AG2434/('Inputs'!$B$19*'Inputs'!$B$50)*365,0)</x:f>
        <x:v>0.051854183304601634</x:v>
      </x:c>
      <x:c r="AK2434" s="81" t="n">
        <x:f>W2434/MAX($W$2194:W2434)-1</x:f>
        <x:v>-0.9973403567796926</x:v>
      </x:c>
      <x:c r="AL2434" s="83" t="n">
        <x:f>'Inputs'!$B$50</x:f>
        <x:v>1</x:v>
      </x:c>
      <x:c r="AM2434" s="83" t="n">
        <x:f>'Inputs'!$C$50</x:f>
        <x:v>1</x:v>
      </x:c>
      <x:c r="AN2434" s="83" t="n">
        <x:f>'Inputs'!$D$50</x:f>
        <x:v>1</x:v>
      </x:c>
      <x:c r="AO2434" s="81" t="n">
        <x:f>'Inputs'!$E$50</x:f>
        <x:v>0</x:v>
      </x:c>
    </x:row>
    <x:row r="2435">
      <x:c r="A2435" s="59" t="str">
        <x:v>Whale exit</x:v>
      </x:c>
      <x:c r="B2435" s="59" t="n">
        <x:v>242</x:v>
      </x:c>
      <x:c r="C2435" s="78" t="n">
        <x:f>(('Inputs'!$B$29*(3*242*'Inputs'!$B$12-242^2)/(2*'Inputs'!$B$12^2))-('Inputs'!$B$29*(3*241*'Inputs'!$B$12-241^2)/(2*'Inputs'!$B$12^2)))*'Inputs'!$B$50</x:f>
        <x:v>633472.743479073</x:v>
      </x:c>
      <x:c r="D2435" s="78" t="n">
        <x:f>IF('Inputs'!$C$50&gt;0,('Inputs'!$B$30*(3*242*'Inputs'!$B$12-242^2)/(2*'Inputs'!$B$12^2))-('Inputs'!$B$30*(3*241*'Inputs'!$B$12-241^2)/(2*'Inputs'!$B$12^2)),0)</x:f>
        <x:v>271488.3186338991</x:v>
      </x:c>
      <x:c r="E2435" s="78" t="n">
        <x:f>C2435+D2435</x:f>
        <x:v>904961.0621129721</x:v>
      </x:c>
      <x:c r="F2435" s="78" t="n">
        <x:f>'Inputs'!$B$13*E2435+(1-'Inputs'!$B$13)/'Inputs'!$B$14*SUM(E2380:E2435)</x:f>
        <x:v>915178.7389754186</x:v>
      </x:c>
      <x:c r="G2435" s="78" t="n">
        <x:f>F2435*'Inputs'!$F$50</x:f>
        <x:v>457589.3694877093</x:v>
      </x:c>
      <x:c r="H2435" s="78" t="n">
        <x:f>U2434</x:f>
        <x:v>113902239.23865145</x:v>
      </x:c>
      <x:c r="I2435" s="78" t="n">
        <x:f>V2434</x:f>
        <x:v>255.31270895262693</x:v>
      </x:c>
      <x:c r="J2435" s="79" t="n">
        <x:f>IF(H2435&gt;0,I2435/H2435,0)</x:f>
        <x:v>0.0000022415073721043177</x:v>
      </x:c>
      <x:c r="K2435" s="80" t="n">
        <x:f>(H2435*J2435+I2435)*'Inputs'!$D$50*(1+'Inputs'!$G$50)^(B2435/30)</x:f>
        <x:v>510.62541790525387</x:v>
      </x:c>
      <x:c r="L2435" s="80" t="n">
        <x:f>MAX(0,K2435*'Inputs'!$E$50)</x:f>
        <x:v>0</x:v>
      </x:c>
      <x:c r="M2435" s="80" t="n">
        <x:f>MAX(0,-K2435*'Inputs'!$E$50)</x:f>
        <x:v>0</x:v>
      </x:c>
      <x:c r="N2435" s="78" t="n">
        <x:f>H2435*(L2435*(1-'Inputs'!$B$15))/(I2435+L2435*(1-'Inputs'!$B$15))</x:f>
        <x:v>0</x:v>
      </x:c>
      <x:c r="O2435" s="78" t="n">
        <x:f>H2435-N2435</x:f>
        <x:v>113902239.23865145</x:v>
      </x:c>
      <x:c r="P2435" s="78" t="n">
        <x:f>I2435+L2435*(1-'Inputs'!$B$17)</x:f>
        <x:v>255.31270895262693</x:v>
      </x:c>
      <x:c r="Q2435" s="78" t="n">
        <x:f>IF(J2435&gt;0,M2435/J2435,0)</x:f>
        <x:v>0</x:v>
      </x:c>
      <x:c r="R2435" s="78" t="n">
        <x:f>IF(B2435='Inputs'!$H$50,'Inputs'!$B$27*'Inputs'!$I$50,0)</x:f>
        <x:v>0</x:v>
      </x:c>
      <x:c r="S2435" s="78" t="n">
        <x:f>Q2435+G2435+R2435</x:f>
        <x:v>457589.3694877093</x:v>
      </x:c>
      <x:c r="T2435" s="78" t="n">
        <x:f>P2435*(S2435*(1-'Inputs'!$B$15))/(O2435+S2435*(1-'Inputs'!$B$15))</x:f>
        <x:v>1.0114104507776946</x:v>
      </x:c>
      <x:c r="U2435" s="78" t="n">
        <x:f>O2435+S2435*(1-'Inputs'!$B$17)</x:f>
        <x:v>114357987.20222573</x:v>
      </x:c>
      <x:c r="V2435" s="78" t="n">
        <x:f>P2435-T2435</x:f>
        <x:v>254.30129850184923</x:v>
      </x:c>
      <x:c r="W2435" s="79" t="n">
        <x:f>IF(U2435&gt;0,V2435/U2435,0)</x:f>
        <x:v>0.0000022237301016163726</x:v>
      </x:c>
      <x:c r="X2435" s="80" t="n">
        <x:f>W2435*('Inputs'!$B$6-AC2435)</x:f>
        <x:v>2098.7648821214843</x:v>
      </x:c>
      <x:c r="Y2435" s="80" t="n">
        <x:f>2*V2435</x:f>
        <x:v>508.60259700369846</x:v>
      </x:c>
      <x:c r="Z2435" s="80" t="n">
        <x:f>K2435*'Inputs'!$B$16+(G2435+R2435)*J2435*'Inputs'!$B$16</x:f>
        <x:v>3.069906647102143</x:v>
      </x:c>
      <x:c r="AA2435" s="80" t="n">
        <x:f>K2435*(1+'Inputs'!$E$50)/2*'Inputs'!$B$17</x:f>
        <x:v>1.027415327777171</x:v>
      </x:c>
      <x:c r="AB2435" s="78" t="n">
        <x:f>(IF(J2435&gt;0,K2435*(1-'Inputs'!$E$50)/2/J2435,0)+G2435+R2435)*'Inputs'!$B$17</x:f>
        <x:v>460200.51753778337</x:v>
      </x:c>
      <x:c r="AC2435" s="78" t="n">
        <x:f>AC2434+AB2435</x:f>
        <x:v>56196217.06971277</x:v>
      </x:c>
      <x:c r="AD2435" s="80" t="n">
        <x:f>Z2435/(1+'Inputs'!$C$50)</x:f>
        <x:v>1.5349533235510715</x:v>
      </x:c>
      <x:c r="AE2435" s="80" t="n">
        <x:f>Z2435-AD2435</x:f>
        <x:v>1.5349533235510715</x:v>
      </x:c>
      <x:c r="AF2435" s="80" t="n">
        <x:f>D2435*W2435</x:f>
        <x:v>0.6037167463834185</x:v>
      </x:c>
      <x:c r="AG2435" s="80" t="n">
        <x:f>C2435*W2435</x:f>
        <x:v>1.4086724082279214</x:v>
      </x:c>
      <x:c r="AH2435" s="80" t="n">
        <x:f>2*'Inputs'!$B$8*'Inputs'!$C$50</x:f>
        <x:v>5000</x:v>
      </x:c>
      <x:c r="AI2435" s="81" t="n">
        <x:f>IF(AH2435&gt;0,(AE2435+AF2435)/AH2435*365,0)</x:f>
        <x:v>0.15612291510521778</x:v>
      </x:c>
      <x:c r="AJ2435" s="81" t="n">
        <x:f>IF('Inputs'!$B$50&gt;0,AG2435/('Inputs'!$B$19*'Inputs'!$B$50)*365,0)</x:f>
        <x:v>0.05141654290031913</x:v>
      </x:c>
      <x:c r="AK2435" s="81" t="n">
        <x:f>W2435/MAX($W$2194:W2435)-1</x:f>
        <x:v>-0.9973614502623718</x:v>
      </x:c>
      <x:c r="AL2435" s="83" t="n">
        <x:f>'Inputs'!$B$50</x:f>
        <x:v>1</x:v>
      </x:c>
      <x:c r="AM2435" s="83" t="n">
        <x:f>'Inputs'!$C$50</x:f>
        <x:v>1</x:v>
      </x:c>
      <x:c r="AN2435" s="83" t="n">
        <x:f>'Inputs'!$D$50</x:f>
        <x:v>1</x:v>
      </x:c>
      <x:c r="AO2435" s="81" t="n">
        <x:f>'Inputs'!$E$50</x:f>
        <x:v>0</x:v>
      </x:c>
    </x:row>
    <x:row r="2436">
      <x:c r="A2436" s="59" t="str">
        <x:v>Whale exit</x:v>
      </x:c>
      <x:c r="B2436" s="59" t="n">
        <x:v>243</x:v>
      </x:c>
      <x:c r="C2436" s="78" t="n">
        <x:f>(('Inputs'!$B$29*(3*243*'Inputs'!$B$12-243^2)/(2*'Inputs'!$B$12^2))-('Inputs'!$B$29*(3*242*'Inputs'!$B$12-242^2)/(2*'Inputs'!$B$12^2)))*'Inputs'!$B$50</x:f>
        <x:v>633147.6355789304</x:v>
      </x:c>
      <x:c r="D2436" s="78" t="n">
        <x:f>IF('Inputs'!$C$50&gt;0,('Inputs'!$B$30*(3*243*'Inputs'!$B$12-243^2)/(2*'Inputs'!$B$12^2))-('Inputs'!$B$30*(3*242*'Inputs'!$B$12-242^2)/(2*'Inputs'!$B$12^2)),0)</x:f>
        <x:v>271348.98667666316</x:v>
      </x:c>
      <x:c r="E2436" s="78" t="n">
        <x:f>C2436+D2436</x:f>
        <x:v>904496.6222555935</x:v>
      </x:c>
      <x:c r="F2436" s="78" t="n">
        <x:f>'Inputs'!$B$13*E2436+(1-'Inputs'!$B$13)/'Inputs'!$B$14*SUM(E2381:E2436)</x:f>
        <x:v>914714.2991180358</x:v>
      </x:c>
      <x:c r="G2436" s="78" t="n">
        <x:f>F2436*'Inputs'!$F$50</x:f>
        <x:v>457357.1495590179</x:v>
      </x:c>
      <x:c r="H2436" s="78" t="n">
        <x:f>U2435</x:f>
        <x:v>114357987.20222573</x:v>
      </x:c>
      <x:c r="I2436" s="78" t="n">
        <x:f>V2435</x:f>
        <x:v>254.30129850184923</x:v>
      </x:c>
      <x:c r="J2436" s="79" t="n">
        <x:f>IF(H2436&gt;0,I2436/H2436,0)</x:f>
        <x:v>0.0000022237301016163726</x:v>
      </x:c>
      <x:c r="K2436" s="80" t="n">
        <x:f>(H2436*J2436+I2436)*'Inputs'!$D$50*(1+'Inputs'!$G$50)^(B2436/30)</x:f>
        <x:v>508.6025970036985</x:v>
      </x:c>
      <x:c r="L2436" s="80" t="n">
        <x:f>MAX(0,K2436*'Inputs'!$E$50)</x:f>
        <x:v>0</x:v>
      </x:c>
      <x:c r="M2436" s="80" t="n">
        <x:f>MAX(0,-K2436*'Inputs'!$E$50)</x:f>
        <x:v>0</x:v>
      </x:c>
      <x:c r="N2436" s="78" t="n">
        <x:f>H2436*(L2436*(1-'Inputs'!$B$15))/(I2436+L2436*(1-'Inputs'!$B$15))</x:f>
        <x:v>0</x:v>
      </x:c>
      <x:c r="O2436" s="78" t="n">
        <x:f>H2436-N2436</x:f>
        <x:v>114357987.20222573</x:v>
      </x:c>
      <x:c r="P2436" s="78" t="n">
        <x:f>I2436+L2436*(1-'Inputs'!$B$17)</x:f>
        <x:v>254.30129850184923</x:v>
      </x:c>
      <x:c r="Q2436" s="78" t="n">
        <x:f>IF(J2436&gt;0,M2436/J2436,0)</x:f>
        <x:v>0</x:v>
      </x:c>
      <x:c r="R2436" s="78" t="n">
        <x:f>IF(B2436='Inputs'!$H$50,'Inputs'!$B$27*'Inputs'!$I$50,0)</x:f>
        <x:v>0</x:v>
      </x:c>
      <x:c r="S2436" s="78" t="n">
        <x:f>Q2436+G2436+R2436</x:f>
        <x:v>457357.1495590179</x:v>
      </x:c>
      <x:c r="T2436" s="78" t="n">
        <x:f>P2436*(S2436*(1-'Inputs'!$B$15))/(O2436+S2436*(1-'Inputs'!$B$15))</x:f>
        <x:v>1.002897646791263</x:v>
      </x:c>
      <x:c r="U2436" s="78" t="n">
        <x:f>O2436+S2436*(1-'Inputs'!$B$17)</x:f>
        <x:v>114813503.88035795</x:v>
      </x:c>
      <x:c r="V2436" s="78" t="n">
        <x:f>P2436-T2436</x:f>
        <x:v>253.29840085505796</x:v>
      </x:c>
      <x:c r="W2436" s="79" t="n">
        <x:f>IF(U2436&gt;0,V2436/U2436,0)</x:f>
        <x:v>0.0000022061725519587746</x:v>
      </x:c>
      <x:c r="X2436" s="80" t="n">
        <x:f>W2436*('Inputs'!$B$6-AC2436)</x:f>
        <x:v>2081.1746745358478</x:v>
      </x:c>
      <x:c r="Y2436" s="80" t="n">
        <x:f>2*V2436</x:f>
        <x:v>506.5968017101159</x:v>
      </x:c>
      <x:c r="Z2436" s="80" t="n">
        <x:f>K2436*'Inputs'!$B$16+(G2436+R2436)*J2436*'Inputs'!$B$16</x:f>
        <x:v>3.0577178151861744</x:v>
      </x:c>
      <x:c r="AA2436" s="80" t="n">
        <x:f>K2436*(1+'Inputs'!$E$50)/2*'Inputs'!$B$17</x:f>
        <x:v>1.0233452656010031</x:v>
      </x:c>
      <x:c r="AB2436" s="78" t="n">
        <x:f>(IF(J2436&gt;0,K2436*(1-'Inputs'!$E$50)/2/J2436,0)+G2436+R2436)*'Inputs'!$B$17</x:f>
        <x:v>462033.5788804216</x:v>
      </x:c>
      <x:c r="AC2436" s="78" t="n">
        <x:f>AC2435+AB2436</x:f>
        <x:v>56658250.648593195</x:v>
      </x:c>
      <x:c r="AD2436" s="80" t="n">
        <x:f>Z2436/(1+'Inputs'!$C$50)</x:f>
        <x:v>1.5288589075930872</x:v>
      </x:c>
      <x:c r="AE2436" s="80" t="n">
        <x:f>Z2436-AD2436</x:f>
        <x:v>1.5288589075930872</x:v>
      </x:c>
      <x:c r="AF2436" s="80" t="n">
        <x:f>D2436*W2436</x:f>
        <x:v>0.5986426864078815</x:v>
      </x:c>
      <x:c r="AG2436" s="80" t="n">
        <x:f>C2436*W2436</x:f>
        <x:v>1.3968329349518331</x:v>
      </x:c>
      <x:c r="AH2436" s="80" t="n">
        <x:f>2*'Inputs'!$B$8*'Inputs'!$C$50</x:f>
        <x:v>5000</x:v>
      </x:c>
      <x:c r="AI2436" s="81" t="n">
        <x:f>IF(AH2436&gt;0,(AE2436+AF2436)/AH2436*365,0)</x:f>
        <x:v>0.15530761636207074</x:v>
      </x:c>
      <x:c r="AJ2436" s="81" t="n">
        <x:f>IF('Inputs'!$B$50&gt;0,AG2436/('Inputs'!$B$19*'Inputs'!$B$50)*365,0)</x:f>
        <x:v>0.050984402125741915</x:v>
      </x:c>
      <x:c r="AK2436" s="81" t="n">
        <x:f>W2436/MAX($W$2194:W2436)-1</x:f>
        <x:v>-0.9973822830370006</x:v>
      </x:c>
      <x:c r="AL2436" s="83" t="n">
        <x:f>'Inputs'!$B$50</x:f>
        <x:v>1</x:v>
      </x:c>
      <x:c r="AM2436" s="83" t="n">
        <x:f>'Inputs'!$C$50</x:f>
        <x:v>1</x:v>
      </x:c>
      <x:c r="AN2436" s="83" t="n">
        <x:f>'Inputs'!$D$50</x:f>
        <x:v>1</x:v>
      </x:c>
      <x:c r="AO2436" s="81" t="n">
        <x:f>'Inputs'!$E$50</x:f>
        <x:v>0</x:v>
      </x:c>
    </x:row>
    <x:row r="2437">
      <x:c r="A2437" s="59" t="str">
        <x:v>Whale exit</x:v>
      </x:c>
      <x:c r="B2437" s="59" t="n">
        <x:v>244</x:v>
      </x:c>
      <x:c r="C2437" s="78" t="n">
        <x:f>(('Inputs'!$B$29*(3*244*'Inputs'!$B$12-244^2)/(2*'Inputs'!$B$12^2))-('Inputs'!$B$29*(3*243*'Inputs'!$B$12-243^2)/(2*'Inputs'!$B$12^2)))*'Inputs'!$B$50</x:f>
        <x:v>632822.5276787281</x:v>
      </x:c>
      <x:c r="D2437" s="78" t="n">
        <x:f>IF('Inputs'!$C$50&gt;0,('Inputs'!$B$30*(3*244*'Inputs'!$B$12-244^2)/(2*'Inputs'!$B$12^2))-('Inputs'!$B$30*(3*243*'Inputs'!$B$12-243^2)/(2*'Inputs'!$B$12^2)),0)</x:f>
        <x:v>271209.65471947193</x:v>
      </x:c>
      <x:c r="E2437" s="78" t="n">
        <x:f>C2437+D2437</x:f>
        <x:v>904032.1823982</x:v>
      </x:c>
      <x:c r="F2437" s="78" t="n">
        <x:f>'Inputs'!$B$13*E2437+(1-'Inputs'!$B$13)/'Inputs'!$B$14*SUM(E2382:E2437)</x:f>
        <x:v>914249.8592606497</x:v>
      </x:c>
      <x:c r="G2437" s="78" t="n">
        <x:f>F2437*'Inputs'!$F$50</x:f>
        <x:v>457124.9296303248</x:v>
      </x:c>
      <x:c r="H2437" s="78" t="n">
        <x:f>U2436</x:f>
        <x:v>114813503.88035795</x:v>
      </x:c>
      <x:c r="I2437" s="78" t="n">
        <x:f>V2436</x:f>
        <x:v>253.29840085505796</x:v>
      </x:c>
      <x:c r="J2437" s="79" t="n">
        <x:f>IF(H2437&gt;0,I2437/H2437,0)</x:f>
        <x:v>0.0000022061725519587746</x:v>
      </x:c>
      <x:c r="K2437" s="80" t="n">
        <x:f>(H2437*J2437+I2437)*'Inputs'!$D$50*(1+'Inputs'!$G$50)^(B2437/30)</x:f>
        <x:v>506.5968017101159</x:v>
      </x:c>
      <x:c r="L2437" s="80" t="n">
        <x:f>MAX(0,K2437*'Inputs'!$E$50)</x:f>
        <x:v>0</x:v>
      </x:c>
      <x:c r="M2437" s="80" t="n">
        <x:f>MAX(0,-K2437*'Inputs'!$E$50)</x:f>
        <x:v>0</x:v>
      </x:c>
      <x:c r="N2437" s="78" t="n">
        <x:f>H2437*(L2437*(1-'Inputs'!$B$15))/(I2437+L2437*(1-'Inputs'!$B$15))</x:f>
        <x:v>0</x:v>
      </x:c>
      <x:c r="O2437" s="78" t="n">
        <x:f>H2437-N2437</x:f>
        <x:v>114813503.88035795</x:v>
      </x:c>
      <x:c r="P2437" s="78" t="n">
        <x:f>I2437+L2437*(1-'Inputs'!$B$17)</x:f>
        <x:v>253.29840085505796</x:v>
      </x:c>
      <x:c r="Q2437" s="78" t="n">
        <x:f>IF(J2437&gt;0,M2437/J2437,0)</x:f>
        <x:v>0</x:v>
      </x:c>
      <x:c r="R2437" s="78" t="n">
        <x:f>IF(B2437='Inputs'!$H$50,'Inputs'!$B$27*'Inputs'!$I$50,0)</x:f>
        <x:v>0</x:v>
      </x:c>
      <x:c r="S2437" s="78" t="n">
        <x:f>Q2437+G2437+R2437</x:f>
        <x:v>457124.9296303248</x:v>
      </x:c>
      <x:c r="T2437" s="78" t="n">
        <x:f>P2437*(S2437*(1-'Inputs'!$B$15))/(O2437+S2437*(1-'Inputs'!$B$15))</x:f>
        <x:v>0.9944915784884992</x:v>
      </x:c>
      <x:c r="U2437" s="78" t="n">
        <x:f>O2437+S2437*(1-'Inputs'!$B$17)</x:f>
        <x:v>115268789.27304812</x:v>
      </x:c>
      <x:c r="V2437" s="78" t="n">
        <x:f>P2437-T2437</x:f>
        <x:v>252.30390927656947</x:v>
      </x:c>
      <x:c r="W2437" s="79" t="n">
        <x:f>IF(U2437&gt;0,V2437/U2437,0)</x:f>
        <x:v>0.000002188831086608477</x:v>
      </x:c>
      <x:c r="X2437" s="80" t="n">
        <x:f>W2437*('Inputs'!$B$6-AC2437)</x:f>
        <x:v>2063.8004225910227</x:v>
      </x:c>
      <x:c r="Y2437" s="80" t="n">
        <x:f>2*V2437</x:f>
        <x:v>504.60781855313894</x:v>
      </x:c>
      <x:c r="Z2437" s="80" t="n">
        <x:f>K2437*'Inputs'!$B$16+(G2437+R2437)*J2437*'Inputs'!$B$16</x:f>
        <x:v>3.045631789096095</x:v>
      </x:c>
      <x:c r="AA2437" s="80" t="n">
        <x:f>K2437*(1+'Inputs'!$E$50)/2*'Inputs'!$B$17</x:f>
        <x:v>1.01930946018132</x:v>
      </x:c>
      <x:c r="AB2437" s="78" t="n">
        <x:f>(IF(J2437&gt;0,K2437*(1-'Inputs'!$E$50)/2/J2437,0)+G2437+R2437)*'Inputs'!$B$17</x:f>
        <x:v>463865.7094969347</x:v>
      </x:c>
      <x:c r="AC2437" s="78" t="n">
        <x:f>AC2436+AB2437</x:f>
        <x:v>57122116.35809013</x:v>
      </x:c>
      <x:c r="AD2437" s="80" t="n">
        <x:f>Z2437/(1+'Inputs'!$C$50)</x:f>
        <x:v>1.5228158945480474</x:v>
      </x:c>
      <x:c r="AE2437" s="80" t="n">
        <x:f>Z2437-AD2437</x:f>
        <x:v>1.5228158945480474</x:v>
      </x:c>
      <x:c r="AF2437" s="80" t="n">
        <x:f>D2437*W2437</x:f>
        <x:v>0.5936321232383317</x:v>
      </x:c>
      <x:c r="AG2437" s="80" t="n">
        <x:f>C2437*W2437</x:f>
        <x:v>1.3851416208893534</x:v>
      </x:c>
      <x:c r="AH2437" s="80" t="n">
        <x:f>2*'Inputs'!$B$8*'Inputs'!$C$50</x:f>
        <x:v>5000</x:v>
      </x:c>
      <x:c r="AI2437" s="81" t="n">
        <x:f>IF(AH2437&gt;0,(AE2437+AF2437)/AH2437*365,0)</x:f>
        <x:v>0.15450070529840568</x:v>
      </x:c>
      <x:c r="AJ2437" s="81" t="n">
        <x:f>IF('Inputs'!$B$50&gt;0,AG2437/('Inputs'!$B$19*'Inputs'!$B$50)*365,0)</x:f>
        <x:v>0.050557669162461405</x:v>
      </x:c>
      <x:c r="AK2437" s="81" t="n">
        <x:f>W2437/MAX($W$2194:W2437)-1</x:f>
        <x:v>-0.9974028594184675</x:v>
      </x:c>
      <x:c r="AL2437" s="83" t="n">
        <x:f>'Inputs'!$B$50</x:f>
        <x:v>1</x:v>
      </x:c>
      <x:c r="AM2437" s="83" t="n">
        <x:f>'Inputs'!$C$50</x:f>
        <x:v>1</x:v>
      </x:c>
      <x:c r="AN2437" s="83" t="n">
        <x:f>'Inputs'!$D$50</x:f>
        <x:v>1</x:v>
      </x:c>
      <x:c r="AO2437" s="81" t="n">
        <x:f>'Inputs'!$E$50</x:f>
        <x:v>0</x:v>
      </x:c>
    </x:row>
    <x:row r="2438">
      <x:c r="A2438" s="59" t="str">
        <x:v>Whale exit</x:v>
      </x:c>
      <x:c r="B2438" s="59" t="n">
        <x:v>245</x:v>
      </x:c>
      <x:c r="C2438" s="78" t="n">
        <x:f>(('Inputs'!$B$29*(3*245*'Inputs'!$B$12-245^2)/(2*'Inputs'!$B$12^2))-('Inputs'!$B$29*(3*244*'Inputs'!$B$12-244^2)/(2*'Inputs'!$B$12^2)))*'Inputs'!$B$50</x:f>
        <x:v>632497.4197785854</x:v>
      </x:c>
      <x:c r="D2438" s="78" t="n">
        <x:f>IF('Inputs'!$C$50&gt;0,('Inputs'!$B$30*(3*245*'Inputs'!$B$12-245^2)/(2*'Inputs'!$B$12^2))-('Inputs'!$B$30*(3*244*'Inputs'!$B$12-244^2)/(2*'Inputs'!$B$12^2)),0)</x:f>
        <x:v>271070.322762236</x:v>
      </x:c>
      <x:c r="E2438" s="78" t="n">
        <x:f>C2438+D2438</x:f>
        <x:v>903567.7425408214</x:v>
      </x:c>
      <x:c r="F2438" s="78" t="n">
        <x:f>'Inputs'!$B$13*E2438+(1-'Inputs'!$B$13)/'Inputs'!$B$14*SUM(E2383:E2438)</x:f>
        <x:v>913785.4194032669</x:v>
      </x:c>
      <x:c r="G2438" s="78" t="n">
        <x:f>F2438*'Inputs'!$F$50</x:f>
        <x:v>456892.70970163343</x:v>
      </x:c>
      <x:c r="H2438" s="78" t="n">
        <x:f>U2437</x:f>
        <x:v>115268789.27304812</x:v>
      </x:c>
      <x:c r="I2438" s="78" t="n">
        <x:f>V2437</x:f>
        <x:v>252.30390927656947</x:v>
      </x:c>
      <x:c r="J2438" s="79" t="n">
        <x:f>IF(H2438&gt;0,I2438/H2438,0)</x:f>
        <x:v>0.000002188831086608477</x:v>
      </x:c>
      <x:c r="K2438" s="80" t="n">
        <x:f>(H2438*J2438+I2438)*'Inputs'!$D$50*(1+'Inputs'!$G$50)^(B2438/30)</x:f>
        <x:v>504.60781855313894</x:v>
      </x:c>
      <x:c r="L2438" s="80" t="n">
        <x:f>MAX(0,K2438*'Inputs'!$E$50)</x:f>
        <x:v>0</x:v>
      </x:c>
      <x:c r="M2438" s="80" t="n">
        <x:f>MAX(0,-K2438*'Inputs'!$E$50)</x:f>
        <x:v>0</x:v>
      </x:c>
      <x:c r="N2438" s="78" t="n">
        <x:f>H2438*(L2438*(1-'Inputs'!$B$15))/(I2438+L2438*(1-'Inputs'!$B$15))</x:f>
        <x:v>0</x:v>
      </x:c>
      <x:c r="O2438" s="78" t="n">
        <x:f>H2438-N2438</x:f>
        <x:v>115268789.27304812</x:v>
      </x:c>
      <x:c r="P2438" s="78" t="n">
        <x:f>I2438+L2438*(1-'Inputs'!$B$17)</x:f>
        <x:v>252.30390927656947</x:v>
      </x:c>
      <x:c r="Q2438" s="78" t="n">
        <x:f>IF(J2438&gt;0,M2438/J2438,0)</x:f>
        <x:v>0</x:v>
      </x:c>
      <x:c r="R2438" s="78" t="n">
        <x:f>IF(B2438='Inputs'!$H$50,'Inputs'!$B$27*'Inputs'!$I$50,0)</x:f>
        <x:v>0</x:v>
      </x:c>
      <x:c r="S2438" s="78" t="n">
        <x:f>Q2438+G2438+R2438</x:f>
        <x:v>456892.70970163343</x:v>
      </x:c>
      <x:c r="T2438" s="78" t="n">
        <x:f>P2438*(S2438*(1-'Inputs'!$B$15))/(O2438+S2438*(1-'Inputs'!$B$15))</x:f>
        <x:v>0.9861904677241209</x:v>
      </x:c>
      <x:c r="U2438" s="78" t="n">
        <x:f>O2438+S2438*(1-'Inputs'!$B$17)</x:f>
        <x:v>115723843.38029623</x:v>
      </x:c>
      <x:c r="V2438" s="78" t="n">
        <x:f>P2438-T2438</x:f>
        <x:v>251.31771880884534</x:v>
      </x:c>
      <x:c r="W2438" s="79" t="n">
        <x:f>IF(U2438&gt;0,V2438/U2438,0)</x:f>
        <x:v>0.0000021717021442414006</x:v>
      </x:c>
      <x:c r="X2438" s="80" t="n">
        <x:f>W2438*('Inputs'!$B$6-AC2438)</x:f>
        <x:v>2046.6385666862463</x:v>
      </x:c>
      <x:c r="Y2438" s="80" t="n">
        <x:f>2*V2438</x:f>
        <x:v>502.6354376176907</x:v>
      </x:c>
      <x:c r="Z2438" s="80" t="n">
        <x:f>K2438*'Inputs'!$B$16+(G2438+R2438)*J2438*'Inputs'!$B$16</x:f>
        <x:v>3.033647277116272</x:v>
      </x:c>
      <x:c r="AA2438" s="80" t="n">
        <x:f>K2438*(1+'Inputs'!$E$50)/2*'Inputs'!$B$17</x:f>
        <x:v>1.0153074819982675</x:v>
      </x:c>
      <x:c r="AB2438" s="78" t="n">
        <x:f>(IF(J2438&gt;0,K2438*(1-'Inputs'!$E$50)/2/J2438,0)+G2438+R2438)*'Inputs'!$B$17</x:f>
        <x:v>465696.90938732296</x:v>
      </x:c>
      <x:c r="AC2438" s="78" t="n">
        <x:f>AC2437+AB2438</x:f>
        <x:v>57587813.26747745</x:v>
      </x:c>
      <x:c r="AD2438" s="80" t="n">
        <x:f>Z2438/(1+'Inputs'!$C$50)</x:f>
        <x:v>1.516823638558136</x:v>
      </x:c>
      <x:c r="AE2438" s="80" t="n">
        <x:f>Z2438-AD2438</x:f>
        <x:v>1.516823638558136</x:v>
      </x:c>
      <x:c r="AF2438" s="80" t="n">
        <x:f>D2438*W2438</x:f>
        <x:v>0.5886840011829565</x:v>
      </x:c>
      <x:c r="AG2438" s="80" t="n">
        <x:f>C2438*W2438</x:f>
        <x:v>1.3735960027603074</x:v>
      </x:c>
      <x:c r="AH2438" s="80" t="n">
        <x:f>2*'Inputs'!$B$8*'Inputs'!$C$50</x:f>
        <x:v>5000</x:v>
      </x:c>
      <x:c r="AI2438" s="81" t="n">
        <x:f>IF(AH2438&gt;0,(AE2438+AF2438)/AH2438*365,0)</x:f>
        <x:v>0.15370205770109974</x:v>
      </x:c>
      <x:c r="AJ2438" s="81" t="n">
        <x:f>IF('Inputs'!$B$50&gt;0,AG2438/('Inputs'!$B$19*'Inputs'!$B$50)*365,0)</x:f>
        <x:v>0.05013625410075122</x:v>
      </x:c>
      <x:c r="AK2438" s="81" t="n">
        <x:f>W2438/MAX($W$2194:W2438)-1</x:f>
        <x:v>-0.9974231836324338</x:v>
      </x:c>
      <x:c r="AL2438" s="83" t="n">
        <x:f>'Inputs'!$B$50</x:f>
        <x:v>1</x:v>
      </x:c>
      <x:c r="AM2438" s="83" t="n">
        <x:f>'Inputs'!$C$50</x:f>
        <x:v>1</x:v>
      </x:c>
      <x:c r="AN2438" s="83" t="n">
        <x:f>'Inputs'!$D$50</x:f>
        <x:v>1</x:v>
      </x:c>
      <x:c r="AO2438" s="81" t="n">
        <x:f>'Inputs'!$E$50</x:f>
        <x:v>0</x:v>
      </x:c>
    </x:row>
    <x:row r="2439">
      <x:c r="A2439" s="59" t="str">
        <x:v>Whale exit</x:v>
      </x:c>
      <x:c r="B2439" s="59" t="n">
        <x:v>246</x:v>
      </x:c>
      <x:c r="C2439" s="78" t="n">
        <x:f>(('Inputs'!$B$29*(3*246*'Inputs'!$B$12-246^2)/(2*'Inputs'!$B$12^2))-('Inputs'!$B$29*(3*245*'Inputs'!$B$12-245^2)/(2*'Inputs'!$B$12^2)))*'Inputs'!$B$50</x:f>
        <x:v>632172.3118783832</x:v>
      </x:c>
      <x:c r="D2439" s="78" t="n">
        <x:f>IF('Inputs'!$C$50&gt;0,('Inputs'!$B$30*(3*246*'Inputs'!$B$12-246^2)/(2*'Inputs'!$B$12^2))-('Inputs'!$B$30*(3*245*'Inputs'!$B$12-245^2)/(2*'Inputs'!$B$12^2)),0)</x:f>
        <x:v>270930.99080502987</x:v>
      </x:c>
      <x:c r="E2439" s="78" t="n">
        <x:f>C2439+D2439</x:f>
        <x:v>903103.302683413</x:v>
      </x:c>
      <x:c r="F2439" s="78" t="n">
        <x:f>'Inputs'!$B$13*E2439+(1-'Inputs'!$B$13)/'Inputs'!$B$14*SUM(E2384:E2439)</x:f>
        <x:v>913320.9795458775</x:v>
      </x:c>
      <x:c r="G2439" s="78" t="n">
        <x:f>F2439*'Inputs'!$F$50</x:f>
        <x:v>456660.4897729388</x:v>
      </x:c>
      <x:c r="H2439" s="78" t="n">
        <x:f>U2438</x:f>
        <x:v>115723843.38029623</x:v>
      </x:c>
      <x:c r="I2439" s="78" t="n">
        <x:f>V2438</x:f>
        <x:v>251.31771880884534</x:v>
      </x:c>
      <x:c r="J2439" s="79" t="n">
        <x:f>IF(H2439&gt;0,I2439/H2439,0)</x:f>
        <x:v>0.0000021717021442414006</x:v>
      </x:c>
      <x:c r="K2439" s="80" t="n">
        <x:f>(H2439*J2439+I2439)*'Inputs'!$D$50*(1+'Inputs'!$G$50)^(B2439/30)</x:f>
        <x:v>502.6354376176907</x:v>
      </x:c>
      <x:c r="L2439" s="80" t="n">
        <x:f>MAX(0,K2439*'Inputs'!$E$50)</x:f>
        <x:v>0</x:v>
      </x:c>
      <x:c r="M2439" s="80" t="n">
        <x:f>MAX(0,-K2439*'Inputs'!$E$50)</x:f>
        <x:v>0</x:v>
      </x:c>
      <x:c r="N2439" s="78" t="n">
        <x:f>H2439*(L2439*(1-'Inputs'!$B$15))/(I2439+L2439*(1-'Inputs'!$B$15))</x:f>
        <x:v>0</x:v>
      </x:c>
      <x:c r="O2439" s="78" t="n">
        <x:f>H2439-N2439</x:f>
        <x:v>115723843.38029623</x:v>
      </x:c>
      <x:c r="P2439" s="78" t="n">
        <x:f>I2439+L2439*(1-'Inputs'!$B$17)</x:f>
        <x:v>251.31771880884534</x:v>
      </x:c>
      <x:c r="Q2439" s="78" t="n">
        <x:f>IF(J2439&gt;0,M2439/J2439,0)</x:f>
        <x:v>0</x:v>
      </x:c>
      <x:c r="R2439" s="78" t="n">
        <x:f>IF(B2439='Inputs'!$H$50,'Inputs'!$B$27*'Inputs'!$I$50,0)</x:f>
        <x:v>0</x:v>
      </x:c>
      <x:c r="S2439" s="78" t="n">
        <x:f>Q2439+G2439+R2439</x:f>
        <x:v>456660.4897729388</x:v>
      </x:c>
      <x:c r="T2439" s="78" t="n">
        <x:f>P2439*(S2439*(1-'Inputs'!$B$15))/(O2439+S2439*(1-'Inputs'!$B$15))</x:f>
        <x:v>0.9779925732376978</x:v>
      </x:c>
      <x:c r="U2439" s="78" t="n">
        <x:f>O2439+S2439*(1-'Inputs'!$B$17)</x:f>
        <x:v>116178666.20210227</x:v>
      </x:c>
      <x:c r="V2439" s="78" t="n">
        <x:f>P2439-T2439</x:f>
        <x:v>250.33972623560766</x:v>
      </x:c>
      <x:c r="W2439" s="79" t="n">
        <x:f>IF(U2439&gt;0,V2439/U2439,0)</x:f>
        <x:v>0.000002154782236870591</x:v>
      </x:c>
      <x:c r="X2439" s="80" t="n">
        <x:f>W2439*('Inputs'!$B$6-AC2439)</x:f>
        <x:v>2029.6856205220129</x:v>
      </x:c>
      <x:c r="Y2439" s="80" t="n">
        <x:f>2*V2439</x:f>
        <x:v>500.6794524712153</x:v>
      </x:c>
      <x:c r="Z2439" s="80" t="n">
        <x:f>K2439*'Inputs'!$B$16+(G2439+R2439)*J2439*'Inputs'!$B$16</x:f>
        <x:v>3.0217630090951255</x:v>
      </x:c>
      <x:c r="AA2439" s="80" t="n">
        <x:f>K2439*(1+'Inputs'!$E$50)/2*'Inputs'!$B$17</x:f>
        <x:v>1.0113389086875064</x:v>
      </x:c>
      <x:c r="AB2439" s="78" t="n">
        <x:f>(IF(J2439&gt;0,K2439*(1-'Inputs'!$E$50)/2/J2439,0)+G2439+R2439)*'Inputs'!$B$17</x:f>
        <x:v>467527.1785515863</x:v>
      </x:c>
      <x:c r="AC2439" s="78" t="n">
        <x:f>AC2438+AB2439</x:f>
        <x:v>58055340.44602904</x:v>
      </x:c>
      <x:c r="AD2439" s="80" t="n">
        <x:f>Z2439/(1+'Inputs'!$C$50)</x:f>
        <x:v>1.5108815045475628</x:v>
      </x:c>
      <x:c r="AE2439" s="80" t="n">
        <x:f>Z2439-AD2439</x:f>
        <x:v>1.5108815045475628</x:v>
      </x:c>
      <x:c r="AF2439" s="80" t="n">
        <x:f>D2439*W2439</x:f>
        <x:v>0.5837972864044279</x:v>
      </x:c>
      <x:c r="AG2439" s="80" t="n">
        <x:f>C2439*W2439</x:f>
        <x:v>1.3621936682769553</x:v>
      </x:c>
      <x:c r="AH2439" s="80" t="n">
        <x:f>2*'Inputs'!$B$8*'Inputs'!$C$50</x:f>
        <x:v>5000</x:v>
      </x:c>
      <x:c r="AI2439" s="81" t="n">
        <x:f>IF(AH2439&gt;0,(AE2439+AF2439)/AH2439*365,0)</x:f>
        <x:v>0.1529115517394953</x:v>
      </x:c>
      <x:c r="AJ2439" s="81" t="n">
        <x:f>IF('Inputs'!$B$50&gt;0,AG2439/('Inputs'!$B$19*'Inputs'!$B$50)*365,0)</x:f>
        <x:v>0.049720068892108865</x:v>
      </x:c>
      <x:c r="AK2439" s="81" t="n">
        <x:f>W2439/MAX($W$2194:W2439)-1</x:f>
        <x:v>-0.9974432598175434</x:v>
      </x:c>
      <x:c r="AL2439" s="83" t="n">
        <x:f>'Inputs'!$B$50</x:f>
        <x:v>1</x:v>
      </x:c>
      <x:c r="AM2439" s="83" t="n">
        <x:f>'Inputs'!$C$50</x:f>
        <x:v>1</x:v>
      </x:c>
      <x:c r="AN2439" s="83" t="n">
        <x:f>'Inputs'!$D$50</x:f>
        <x:v>1</x:v>
      </x:c>
      <x:c r="AO2439" s="81" t="n">
        <x:f>'Inputs'!$E$50</x:f>
        <x:v>0</x:v>
      </x:c>
    </x:row>
    <x:row r="2440">
      <x:c r="A2440" s="59" t="str">
        <x:v>Whale exit</x:v>
      </x:c>
      <x:c r="B2440" s="59" t="n">
        <x:v>247</x:v>
      </x:c>
      <x:c r="C2440" s="78" t="n">
        <x:f>(('Inputs'!$B$29*(3*247*'Inputs'!$B$12-247^2)/(2*'Inputs'!$B$12^2))-('Inputs'!$B$29*(3*246*'Inputs'!$B$12-246^2)/(2*'Inputs'!$B$12^2)))*'Inputs'!$B$50</x:f>
        <x:v>631847.2039782405</x:v>
      </x:c>
      <x:c r="D2440" s="78" t="n">
        <x:f>IF('Inputs'!$C$50&gt;0,('Inputs'!$B$30*(3*247*'Inputs'!$B$12-247^2)/(2*'Inputs'!$B$12^2))-('Inputs'!$B$30*(3*246*'Inputs'!$B$12-246^2)/(2*'Inputs'!$B$12^2)),0)</x:f>
        <x:v>270791.65884780884</x:v>
      </x:c>
      <x:c r="E2440" s="78" t="n">
        <x:f>C2440+D2440</x:f>
        <x:v>902638.8628260493</x:v>
      </x:c>
      <x:c r="F2440" s="78" t="n">
        <x:f>'Inputs'!$B$13*E2440+(1-'Inputs'!$B$13)/'Inputs'!$B$14*SUM(E2385:E2440)</x:f>
        <x:v>912856.5396884975</x:v>
      </x:c>
      <x:c r="G2440" s="78" t="n">
        <x:f>F2440*'Inputs'!$F$50</x:f>
        <x:v>456428.2698442488</x:v>
      </x:c>
      <x:c r="H2440" s="78" t="n">
        <x:f>U2439</x:f>
        <x:v>116178666.20210227</x:v>
      </x:c>
      <x:c r="I2440" s="78" t="n">
        <x:f>V2439</x:f>
        <x:v>250.33972623560766</x:v>
      </x:c>
      <x:c r="J2440" s="79" t="n">
        <x:f>IF(H2440&gt;0,I2440/H2440,0)</x:f>
        <x:v>0.000002154782236870591</x:v>
      </x:c>
      <x:c r="K2440" s="80" t="n">
        <x:f>(H2440*J2440+I2440)*'Inputs'!$D$50*(1+'Inputs'!$G$50)^(B2440/30)</x:f>
        <x:v>500.6794524712153</x:v>
      </x:c>
      <x:c r="L2440" s="80" t="n">
        <x:f>MAX(0,K2440*'Inputs'!$E$50)</x:f>
        <x:v>0</x:v>
      </x:c>
      <x:c r="M2440" s="80" t="n">
        <x:f>MAX(0,-K2440*'Inputs'!$E$50)</x:f>
        <x:v>0</x:v>
      </x:c>
      <x:c r="N2440" s="78" t="n">
        <x:f>H2440*(L2440*(1-'Inputs'!$B$15))/(I2440+L2440*(1-'Inputs'!$B$15))</x:f>
        <x:v>0</x:v>
      </x:c>
      <x:c r="O2440" s="78" t="n">
        <x:f>H2440-N2440</x:f>
        <x:v>116178666.20210227</x:v>
      </x:c>
      <x:c r="P2440" s="78" t="n">
        <x:f>I2440+L2440*(1-'Inputs'!$B$17)</x:f>
        <x:v>250.33972623560766</x:v>
      </x:c>
      <x:c r="Q2440" s="78" t="n">
        <x:f>IF(J2440&gt;0,M2440/J2440,0)</x:f>
        <x:v>0</x:v>
      </x:c>
      <x:c r="R2440" s="78" t="n">
        <x:f>IF(B2440='Inputs'!$H$50,'Inputs'!$B$27*'Inputs'!$I$50,0)</x:f>
        <x:v>0</x:v>
      </x:c>
      <x:c r="S2440" s="78" t="n">
        <x:f>Q2440+G2440+R2440</x:f>
        <x:v>456428.2698442488</x:v>
      </x:c>
      <x:c r="T2440" s="78" t="n">
        <x:f>P2440*(S2440*(1-'Inputs'!$B$15))/(O2440+S2440*(1-'Inputs'!$B$15))</x:f>
        <x:v>0.9698961897391728</x:v>
      </x:c>
      <x:c r="U2440" s="78" t="n">
        <x:f>O2440+S2440*(1-'Inputs'!$B$17)</x:f>
        <x:v>116633257.73846626</x:v>
      </x:c>
      <x:c r="V2440" s="78" t="n">
        <x:f>P2440-T2440</x:f>
        <x:v>249.3698300458685</x:v>
      </x:c>
      <x:c r="W2440" s="79" t="n">
        <x:f>IF(U2440&gt;0,V2440/U2440,0)</x:f>
        <x:v>0.000002138067948037989</x:v>
      </x:c>
      <x:c r="X2440" s="80" t="n">
        <x:f>W2440*('Inputs'!$B$6-AC2440)</x:f>
        <x:v>2012.9381692927225</x:v>
      </x:c>
      <x:c r="Y2440" s="80" t="n">
        <x:f>2*V2440</x:f>
        <x:v>498.739660091737</x:v>
      </x:c>
      <x:c r="Z2440" s="80" t="n">
        <x:f>K2440*'Inputs'!$B$16+(G2440+R2440)*J2440*'Inputs'!$B$16</x:f>
        <x:v>3.0099777359968876</x:v>
      </x:c>
      <x:c r="AA2440" s="80" t="n">
        <x:f>K2440*(1+'Inputs'!$E$50)/2*'Inputs'!$B$17</x:f>
        <x:v>1.0074033248917813</x:v>
      </x:c>
      <x:c r="AB2440" s="78" t="n">
        <x:f>(IF(J2440&gt;0,K2440*(1-'Inputs'!$E$50)/2/J2440,0)+G2440+R2440)*'Inputs'!$B$17</x:f>
        <x:v>469356.5169897244</x:v>
      </x:c>
      <x:c r="AC2440" s="78" t="n">
        <x:f>AC2439+AB2440</x:f>
        <x:v>58524696.96301876</x:v>
      </x:c>
      <x:c r="AD2440" s="80" t="n">
        <x:f>Z2440/(1+'Inputs'!$C$50)</x:f>
        <x:v>1.5049888679984438</x:v>
      </x:c>
      <x:c r="AE2440" s="80" t="n">
        <x:f>Z2440-AD2440</x:f>
        <x:v>1.5049888679984438</x:v>
      </x:c>
      <x:c r="AF2440" s="80" t="n">
        <x:f>D2440*W2440</x:f>
        <x:v>0.5789709663785378</x:v>
      </x:c>
      <x:c r="AG2440" s="80" t="n">
        <x:f>C2440*W2440</x:f>
        <x:v>1.3509322548832974</x:v>
      </x:c>
      <x:c r="AH2440" s="80" t="n">
        <x:f>2*'Inputs'!$B$8*'Inputs'!$C$50</x:f>
        <x:v>5000</x:v>
      </x:c>
      <x:c r="AI2440" s="81" t="n">
        <x:f>IF(AH2440&gt;0,(AE2440+AF2440)/AH2440*365,0)</x:f>
        <x:v>0.1521290679095197</x:v>
      </x:c>
      <x:c r="AJ2440" s="81" t="n">
        <x:f>IF('Inputs'!$B$50&gt;0,AG2440/('Inputs'!$B$19*'Inputs'!$B$50)*365,0)</x:f>
        <x:v>0.04930902730324035</x:v>
      </x:c>
      <x:c r="AK2440" s="81" t="n">
        <x:f>W2440/MAX($W$2194:W2440)-1</x:f>
        <x:v>-0.9974630920275682</x:v>
      </x:c>
      <x:c r="AL2440" s="83" t="n">
        <x:f>'Inputs'!$B$50</x:f>
        <x:v>1</x:v>
      </x:c>
      <x:c r="AM2440" s="83" t="n">
        <x:f>'Inputs'!$C$50</x:f>
        <x:v>1</x:v>
      </x:c>
      <x:c r="AN2440" s="83" t="n">
        <x:f>'Inputs'!$D$50</x:f>
        <x:v>1</x:v>
      </x:c>
      <x:c r="AO2440" s="81" t="n">
        <x:f>'Inputs'!$E$50</x:f>
        <x:v>0</x:v>
      </x:c>
    </x:row>
    <x:row r="2441">
      <x:c r="A2441" s="59" t="str">
        <x:v>Whale exit</x:v>
      </x:c>
      <x:c r="B2441" s="59" t="n">
        <x:v>248</x:v>
      </x:c>
      <x:c r="C2441" s="78" t="n">
        <x:f>(('Inputs'!$B$29*(3*248*'Inputs'!$B$12-248^2)/(2*'Inputs'!$B$12^2))-('Inputs'!$B$29*(3*247*'Inputs'!$B$12-247^2)/(2*'Inputs'!$B$12^2)))*'Inputs'!$B$50</x:f>
        <x:v>631522.096078068</x:v>
      </x:c>
      <x:c r="D2441" s="78" t="n">
        <x:f>IF('Inputs'!$C$50&gt;0,('Inputs'!$B$30*(3*248*'Inputs'!$B$12-248^2)/(2*'Inputs'!$B$12^2))-('Inputs'!$B$30*(3*247*'Inputs'!$B$12-247^2)/(2*'Inputs'!$B$12^2)),0)</x:f>
        <x:v>270652.3268906027</x:v>
      </x:c>
      <x:c r="E2441" s="78" t="n">
        <x:f>C2441+D2441</x:f>
        <x:v>902174.4229686707</x:v>
      </x:c>
      <x:c r="F2441" s="78" t="n">
        <x:f>'Inputs'!$B$13*E2441+(1-'Inputs'!$B$13)/'Inputs'!$B$14*SUM(E2386:E2441)</x:f>
        <x:v>912392.0998311146</x:v>
      </x:c>
      <x:c r="G2441" s="78" t="n">
        <x:f>F2441*'Inputs'!$F$50</x:f>
        <x:v>456196.0499155573</x:v>
      </x:c>
      <x:c r="H2441" s="78" t="n">
        <x:f>U2440</x:f>
        <x:v>116633257.73846626</x:v>
      </x:c>
      <x:c r="I2441" s="78" t="n">
        <x:f>V2440</x:f>
        <x:v>249.3698300458685</x:v>
      </x:c>
      <x:c r="J2441" s="79" t="n">
        <x:f>IF(H2441&gt;0,I2441/H2441,0)</x:f>
        <x:v>0.000002138067948037989</x:v>
      </x:c>
      <x:c r="K2441" s="80" t="n">
        <x:f>(H2441*J2441+I2441)*'Inputs'!$D$50*(1+'Inputs'!$G$50)^(B2441/30)</x:f>
        <x:v>498.73966009173694</x:v>
      </x:c>
      <x:c r="L2441" s="80" t="n">
        <x:f>MAX(0,K2441*'Inputs'!$E$50)</x:f>
        <x:v>0</x:v>
      </x:c>
      <x:c r="M2441" s="80" t="n">
        <x:f>MAX(0,-K2441*'Inputs'!$E$50)</x:f>
        <x:v>0</x:v>
      </x:c>
      <x:c r="N2441" s="78" t="n">
        <x:f>H2441*(L2441*(1-'Inputs'!$B$15))/(I2441+L2441*(1-'Inputs'!$B$15))</x:f>
        <x:v>0</x:v>
      </x:c>
      <x:c r="O2441" s="78" t="n">
        <x:f>H2441-N2441</x:f>
        <x:v>116633257.73846626</x:v>
      </x:c>
      <x:c r="P2441" s="78" t="n">
        <x:f>I2441+L2441*(1-'Inputs'!$B$17)</x:f>
        <x:v>249.3698300458685</x:v>
      </x:c>
      <x:c r="Q2441" s="78" t="n">
        <x:f>IF(J2441&gt;0,M2441/J2441,0)</x:f>
        <x:v>0</x:v>
      </x:c>
      <x:c r="R2441" s="78" t="n">
        <x:f>IF(B2441='Inputs'!$H$50,'Inputs'!$B$27*'Inputs'!$I$50,0)</x:f>
        <x:v>0</x:v>
      </x:c>
      <x:c r="S2441" s="78" t="n">
        <x:f>Q2441+G2441+R2441</x:f>
        <x:v>456196.0499155573</x:v>
      </x:c>
      <x:c r="T2441" s="78" t="n">
        <x:f>P2441*(S2441*(1-'Inputs'!$B$15))/(O2441+S2441*(1-'Inputs'!$B$15))</x:f>
        <x:v>0.9618996470206275</x:v>
      </x:c>
      <x:c r="U2441" s="78" t="n">
        <x:f>O2441+S2441*(1-'Inputs'!$B$17)</x:f>
        <x:v>117087617.9893882</x:v>
      </x:c>
      <x:c r="V2441" s="78" t="n">
        <x:f>P2441-T2441</x:f>
        <x:v>248.40793039884787</x:v>
      </x:c>
      <x:c r="W2441" s="79" t="n">
        <x:f>IF(U2441&gt;0,V2441/U2441,0)</x:f>
        <x:v>0.000002121555931058068</x:v>
      </x:c>
      <x:c r="X2441" s="80" t="n">
        <x:f>W2441*('Inputs'!$B$6-AC2441)</x:f>
        <x:v>1996.3928679311734</x:v>
      </x:c>
      <x:c r="Y2441" s="80" t="n">
        <x:f>2*V2441</x:f>
        <x:v>496.81586079769573</x:v>
      </x:c>
      <x:c r="Z2441" s="80" t="n">
        <x:f>K2441*'Inputs'!$B$16+(G2441+R2441)*J2441*'Inputs'!$B$16</x:f>
        <x:v>2.9982902294644975</x:v>
      </x:c>
      <x:c r="AA2441" s="80" t="n">
        <x:f>K2441*(1+'Inputs'!$E$50)/2*'Inputs'!$B$17</x:f>
        <x:v>1.003500322116171</x:v>
      </x:c>
      <x:c r="AB2441" s="78" t="n">
        <x:f>(IF(J2441&gt;0,K2441*(1-'Inputs'!$E$50)/2/J2441,0)+G2441+R2441)*'Inputs'!$B$17</x:f>
        <x:v>471184.9247017377</x:v>
      </x:c>
      <x:c r="AC2441" s="78" t="n">
        <x:f>AC2440+AB2441</x:f>
        <x:v>58995881.887720495</x:v>
      </x:c>
      <x:c r="AD2441" s="80" t="n">
        <x:f>Z2441/(1+'Inputs'!$C$50)</x:f>
        <x:v>1.4991451147322488</x:v>
      </x:c>
      <x:c r="AE2441" s="80" t="n">
        <x:f>Z2441-AD2441</x:f>
        <x:v>1.4991451147322488</x:v>
      </x:c>
      <x:c r="AF2441" s="80" t="n">
        <x:f>D2441*W2441</x:f>
        <x:v>0.5742040493694252</x:v>
      </x:c>
      <x:c r="AG2441" s="80" t="n">
        <x:f>C2441*W2441</x:f>
        <x:v>1.3398094485286483</x:v>
      </x:c>
      <x:c r="AH2441" s="80" t="n">
        <x:f>2*'Inputs'!$B$8*'Inputs'!$C$50</x:f>
        <x:v>5000</x:v>
      </x:c>
      <x:c r="AI2441" s="81" t="n">
        <x:f>IF(AH2441&gt;0,(AE2441+AF2441)/AH2441*365,0)</x:f>
        <x:v>0.1513544889794222</x:v>
      </x:c>
      <x:c r="AJ2441" s="81" t="n">
        <x:f>IF('Inputs'!$B$50&gt;0,AG2441/('Inputs'!$B$19*'Inputs'!$B$50)*365,0)</x:f>
        <x:v>0.04890304487129566</x:v>
      </x:c>
      <x:c r="AK2441" s="81" t="n">
        <x:f>W2441/MAX($W$2194:W2441)-1</x:f>
        <x:v>-0.9974826842334922</x:v>
      </x:c>
      <x:c r="AL2441" s="83" t="n">
        <x:f>'Inputs'!$B$50</x:f>
        <x:v>1</x:v>
      </x:c>
      <x:c r="AM2441" s="83" t="n">
        <x:f>'Inputs'!$C$50</x:f>
        <x:v>1</x:v>
      </x:c>
      <x:c r="AN2441" s="83" t="n">
        <x:f>'Inputs'!$D$50</x:f>
        <x:v>1</x:v>
      </x:c>
      <x:c r="AO2441" s="81" t="n">
        <x:f>'Inputs'!$E$50</x:f>
        <x:v>0</x:v>
      </x:c>
    </x:row>
    <x:row r="2442">
      <x:c r="A2442" s="59" t="str">
        <x:v>Whale exit</x:v>
      </x:c>
      <x:c r="B2442" s="59" t="n">
        <x:v>249</x:v>
      </x:c>
      <x:c r="C2442" s="78" t="n">
        <x:f>(('Inputs'!$B$29*(3*249*'Inputs'!$B$12-249^2)/(2*'Inputs'!$B$12^2))-('Inputs'!$B$29*(3*248*'Inputs'!$B$12-248^2)/(2*'Inputs'!$B$12^2)))*'Inputs'!$B$50</x:f>
        <x:v>631196.9881778955</x:v>
      </x:c>
      <x:c r="D2442" s="78" t="n">
        <x:f>IF('Inputs'!$C$50&gt;0,('Inputs'!$B$30*(3*249*'Inputs'!$B$12-249^2)/(2*'Inputs'!$B$12^2))-('Inputs'!$B$30*(3*248*'Inputs'!$B$12-248^2)/(2*'Inputs'!$B$12^2)),0)</x:f>
        <x:v>270512.9949333817</x:v>
      </x:c>
      <x:c r="E2442" s="78" t="n">
        <x:f>C2442+D2442</x:f>
        <x:v>901709.9831112772</x:v>
      </x:c>
      <x:c r="F2442" s="78" t="n">
        <x:f>'Inputs'!$B$13*E2442+(1-'Inputs'!$B$13)/'Inputs'!$B$14*SUM(E2387:E2442)</x:f>
        <x:v>911927.6599737286</x:v>
      </x:c>
      <x:c r="G2442" s="78" t="n">
        <x:f>F2442*'Inputs'!$F$50</x:f>
        <x:v>455963.8299868643</x:v>
      </x:c>
      <x:c r="H2442" s="78" t="n">
        <x:f>U2441</x:f>
        <x:v>117087617.9893882</x:v>
      </x:c>
      <x:c r="I2442" s="78" t="n">
        <x:f>V2441</x:f>
        <x:v>248.40793039884787</x:v>
      </x:c>
      <x:c r="J2442" s="79" t="n">
        <x:f>IF(H2442&gt;0,I2442/H2442,0)</x:f>
        <x:v>0.000002121555931058068</x:v>
      </x:c>
      <x:c r="K2442" s="80" t="n">
        <x:f>(H2442*J2442+I2442)*'Inputs'!$D$50*(1+'Inputs'!$G$50)^(B2442/30)</x:f>
        <x:v>496.81586079769573</x:v>
      </x:c>
      <x:c r="L2442" s="80" t="n">
        <x:f>MAX(0,K2442*'Inputs'!$E$50)</x:f>
        <x:v>0</x:v>
      </x:c>
      <x:c r="M2442" s="80" t="n">
        <x:f>MAX(0,-K2442*'Inputs'!$E$50)</x:f>
        <x:v>0</x:v>
      </x:c>
      <x:c r="N2442" s="78" t="n">
        <x:f>H2442*(L2442*(1-'Inputs'!$B$15))/(I2442+L2442*(1-'Inputs'!$B$15))</x:f>
        <x:v>0</x:v>
      </x:c>
      <x:c r="O2442" s="78" t="n">
        <x:f>H2442-N2442</x:f>
        <x:v>117087617.9893882</x:v>
      </x:c>
      <x:c r="P2442" s="78" t="n">
        <x:f>I2442+L2442*(1-'Inputs'!$B$17)</x:f>
        <x:v>248.40793039884787</x:v>
      </x:c>
      <x:c r="Q2442" s="78" t="n">
        <x:f>IF(J2442&gt;0,M2442/J2442,0)</x:f>
        <x:v>0</x:v>
      </x:c>
      <x:c r="R2442" s="78" t="n">
        <x:f>IF(B2442='Inputs'!$H$50,'Inputs'!$B$27*'Inputs'!$I$50,0)</x:f>
        <x:v>0</x:v>
      </x:c>
      <x:c r="S2442" s="78" t="n">
        <x:f>Q2442+G2442+R2442</x:f>
        <x:v>455963.8299868643</x:v>
      </x:c>
      <x:c r="T2442" s="78" t="n">
        <x:f>P2442*(S2442*(1-'Inputs'!$B$15))/(O2442+S2442*(1-'Inputs'!$B$15))</x:f>
        <x:v>0.9540013090936337</x:v>
      </x:c>
      <x:c r="U2442" s="78" t="n">
        <x:f>O2442+S2442*(1-'Inputs'!$B$17)</x:f>
        <x:v>117541746.95486808</x:v>
      </x:c>
      <x:c r="V2442" s="78" t="n">
        <x:f>P2442-T2442</x:f>
        <x:v>247.45392908975424</x:v>
      </x:c>
      <x:c r="W2442" s="79" t="n">
        <x:f>IF(U2442&gt;0,V2442/U2442,0)</x:f>
        <x:v>0.0000021052429073116286</x:v>
      </x:c>
      <x:c r="X2442" s="80" t="n">
        <x:f>W2442*('Inputs'!$B$6-AC2442)</x:f>
        <x:v>1980.0464394031872</x:v>
      </x:c>
      <x:c r="Y2442" s="80" t="n">
        <x:f>2*V2442</x:f>
        <x:v>494.9078581795085</x:v>
      </x:c>
      <x:c r="Z2442" s="80" t="n">
        <x:f>K2442*'Inputs'!$B$16+(G2442+R2442)*J2442*'Inputs'!$B$16</x:f>
        <x:v>2.9866992813933138</x:v>
      </x:c>
      <x:c r="AA2442" s="80" t="n">
        <x:f>K2442*(1+'Inputs'!$E$50)/2*'Inputs'!$B$17</x:f>
        <x:v>0.9996294985869131</x:v>
      </x:c>
      <x:c r="AB2442" s="78" t="n">
        <x:f>(IF(J2442&gt;0,K2442*(1-'Inputs'!$E$50)/2/J2442,0)+G2442+R2442)*'Inputs'!$B$17</x:f>
        <x:v>473012.4016876261</x:v>
      </x:c>
      <x:c r="AC2442" s="78" t="n">
        <x:f>AC2441+AB2442</x:f>
        <x:v>59468894.289408125</x:v>
      </x:c>
      <x:c r="AD2442" s="80" t="n">
        <x:f>Z2442/(1+'Inputs'!$C$50)</x:f>
        <x:v>1.4933496406966569</x:v>
      </x:c>
      <x:c r="AE2442" s="80" t="n">
        <x:f>Z2442-AD2442</x:f>
        <x:v>1.4933496406966569</x:v>
      </x:c>
      <x:c r="AF2442" s="80" t="n">
        <x:f>D2442*W2442</x:f>
        <x:v>0.5694955639191283</x:v>
      </x:c>
      <x:c r="AG2442" s="80" t="n">
        <x:f>C2442*W2442</x:f>
        <x:v>1.3288229824779765</x:v>
      </x:c>
      <x:c r="AH2442" s="80" t="n">
        <x:f>2*'Inputs'!$B$8*'Inputs'!$C$50</x:f>
        <x:v>5000</x:v>
      </x:c>
      <x:c r="AI2442" s="81" t="n">
        <x:f>IF(AH2442&gt;0,(AE2442+AF2442)/AH2442*365,0)</x:f>
        <x:v>0.1505876999369523</x:v>
      </x:c>
      <x:c r="AJ2442" s="81" t="n">
        <x:f>IF('Inputs'!$B$50&gt;0,AG2442/('Inputs'!$B$19*'Inputs'!$B$50)*365,0)</x:f>
        <x:v>0.04850203886044614</x:v>
      </x:c>
      <x:c r="AK2442" s="81" t="n">
        <x:f>W2442/MAX($W$2194:W2442)-1</x:f>
        <x:v>-0.9975020403255354</x:v>
      </x:c>
      <x:c r="AL2442" s="83" t="n">
        <x:f>'Inputs'!$B$50</x:f>
        <x:v>1</x:v>
      </x:c>
      <x:c r="AM2442" s="83" t="n">
        <x:f>'Inputs'!$C$50</x:f>
        <x:v>1</x:v>
      </x:c>
      <x:c r="AN2442" s="83" t="n">
        <x:f>'Inputs'!$D$50</x:f>
        <x:v>1</x:v>
      </x:c>
      <x:c r="AO2442" s="81" t="n">
        <x:f>'Inputs'!$E$50</x:f>
        <x:v>0</x:v>
      </x:c>
    </x:row>
    <x:row r="2443">
      <x:c r="A2443" s="59" t="str">
        <x:v>Whale exit</x:v>
      </x:c>
      <x:c r="B2443" s="59" t="n">
        <x:v>250</x:v>
      </x:c>
      <x:c r="C2443" s="78" t="n">
        <x:f>(('Inputs'!$B$29*(3*250*'Inputs'!$B$12-250^2)/(2*'Inputs'!$B$12^2))-('Inputs'!$B$29*(3*249*'Inputs'!$B$12-249^2)/(2*'Inputs'!$B$12^2)))*'Inputs'!$B$50</x:f>
        <x:v>630871.8802777231</x:v>
      </x:c>
      <x:c r="D2443" s="78" t="n">
        <x:f>IF('Inputs'!$C$50&gt;0,('Inputs'!$B$30*(3*250*'Inputs'!$B$12-250^2)/(2*'Inputs'!$B$12^2))-('Inputs'!$B$30*(3*249*'Inputs'!$B$12-249^2)/(2*'Inputs'!$B$12^2)),0)</x:f>
        <x:v>270373.66297617555</x:v>
      </x:c>
      <x:c r="E2443" s="78" t="n">
        <x:f>C2443+D2443</x:f>
        <x:v>901245.5432538986</x:v>
      </x:c>
      <x:c r="F2443" s="78" t="n">
        <x:f>'Inputs'!$B$13*E2443+(1-'Inputs'!$B$13)/'Inputs'!$B$14*SUM(E2388:E2443)</x:f>
        <x:v>911463.2201163457</x:v>
      </x:c>
      <x:c r="G2443" s="78" t="n">
        <x:f>F2443*'Inputs'!$F$50</x:f>
        <x:v>455731.61005817284</x:v>
      </x:c>
      <x:c r="H2443" s="78" t="n">
        <x:f>U2442</x:f>
        <x:v>117541746.95486808</x:v>
      </x:c>
      <x:c r="I2443" s="78" t="n">
        <x:f>V2442</x:f>
        <x:v>247.45392908975424</x:v>
      </x:c>
      <x:c r="J2443" s="79" t="n">
        <x:f>IF(H2443&gt;0,I2443/H2443,0)</x:f>
        <x:v>0.0000021052429073116286</x:v>
      </x:c>
      <x:c r="K2443" s="80" t="n">
        <x:f>(H2443*J2443+I2443)*'Inputs'!$D$50*(1+'Inputs'!$G$50)^(B2443/30)</x:f>
        <x:v>494.9078581795085</x:v>
      </x:c>
      <x:c r="L2443" s="80" t="n">
        <x:f>MAX(0,K2443*'Inputs'!$E$50)</x:f>
        <x:v>0</x:v>
      </x:c>
      <x:c r="M2443" s="80" t="n">
        <x:f>MAX(0,-K2443*'Inputs'!$E$50)</x:f>
        <x:v>0</x:v>
      </x:c>
      <x:c r="N2443" s="78" t="n">
        <x:f>H2443*(L2443*(1-'Inputs'!$B$15))/(I2443+L2443*(1-'Inputs'!$B$15))</x:f>
        <x:v>0</x:v>
      </x:c>
      <x:c r="O2443" s="78" t="n">
        <x:f>H2443-N2443</x:f>
        <x:v>117541746.95486808</x:v>
      </x:c>
      <x:c r="P2443" s="78" t="n">
        <x:f>I2443+L2443*(1-'Inputs'!$B$17)</x:f>
        <x:v>247.45392908975424</x:v>
      </x:c>
      <x:c r="Q2443" s="78" t="n">
        <x:f>IF(J2443&gt;0,M2443/J2443,0)</x:f>
        <x:v>0</x:v>
      </x:c>
      <x:c r="R2443" s="78" t="n">
        <x:f>IF(B2443='Inputs'!$H$50,'Inputs'!$B$27*'Inputs'!$I$50,0)</x:f>
        <x:v>0</x:v>
      </x:c>
      <x:c r="S2443" s="78" t="n">
        <x:f>Q2443+G2443+R2443</x:f>
        <x:v>455731.61005817284</x:v>
      </x:c>
      <x:c r="T2443" s="78" t="n">
        <x:f>P2443*(S2443*(1-'Inputs'!$B$15))/(O2443+S2443*(1-'Inputs'!$B$15))</x:f>
        <x:v>0.9461995733512093</x:v>
      </x:c>
      <x:c r="U2443" s="78" t="n">
        <x:f>O2443+S2443*(1-'Inputs'!$B$17)</x:f>
        <x:v>117995644.63490589</x:v>
      </x:c>
      <x:c r="V2443" s="78" t="n">
        <x:f>P2443-T2443</x:f>
        <x:v>246.50772951640303</x:v>
      </x:c>
      <x:c r="W2443" s="79" t="n">
        <x:f>IF(U2443&gt;0,V2443/U2443,0)</x:f>
        <x:v>0.000002089125664588134</x:v>
      </x:c>
      <x:c r="X2443" s="80" t="n">
        <x:f>W2443*('Inputs'!$B$6-AC2443)</x:f>
        <x:v>1963.8956730507498</x:v>
      </x:c>
      <x:c r="Y2443" s="80" t="n">
        <x:f>2*V2443</x:f>
        <x:v>493.01545903280606</x:v>
      </x:c>
      <x:c r="Z2443" s="80" t="n">
        <x:f>K2443*'Inputs'!$B$16+(G2443+R2443)*J2443*'Inputs'!$B$16</x:f>
        <x:v>2.975203703515327</x:v>
      </x:c>
      <x:c r="AA2443" s="80" t="n">
        <x:f>K2443*(1+'Inputs'!$E$50)/2*'Inputs'!$B$17</x:f>
        <x:v>0.9957904591136992</x:v>
      </x:c>
      <x:c r="AB2443" s="78" t="n">
        <x:f>(IF(J2443&gt;0,K2443*(1-'Inputs'!$E$50)/2/J2443,0)+G2443+R2443)*'Inputs'!$B$17</x:f>
        <x:v>474838.9479473894</x:v>
      </x:c>
      <x:c r="AC2443" s="78" t="n">
        <x:f>AC2442+AB2443</x:f>
        <x:v>59943733.237355515</x:v>
      </x:c>
      <x:c r="AD2443" s="80" t="n">
        <x:f>Z2443/(1+'Inputs'!$C$50)</x:f>
        <x:v>1.4876018517576635</x:v>
      </x:c>
      <x:c r="AE2443" s="80" t="n">
        <x:f>Z2443-AD2443</x:f>
        <x:v>1.4876018517576635</x:v>
      </x:c>
      <x:c r="AF2443" s="80" t="n">
        <x:f>D2443*W2443</x:f>
        <x:v>0.5648445583522309</x:v>
      </x:c>
      <x:c r="AG2443" s="80" t="n">
        <x:f>C2443*W2443</x:f>
        <x:v>1.317970636155164</x:v>
      </x:c>
      <x:c r="AH2443" s="80" t="n">
        <x:f>2*'Inputs'!$B$8*'Inputs'!$C$50</x:f>
        <x:v>5000</x:v>
      </x:c>
      <x:c r="AI2443" s="81" t="n">
        <x:f>IF(AH2443&gt;0,(AE2443+AF2443)/AH2443*365,0)</x:f>
        <x:v>0.14982858793802228</x:v>
      </x:c>
      <x:c r="AJ2443" s="81" t="n">
        <x:f>IF('Inputs'!$B$50&gt;0,AG2443/('Inputs'!$B$19*'Inputs'!$B$50)*365,0)</x:f>
        <x:v>0.04810592821966349</x:v>
      </x:c>
      <x:c r="AK2443" s="81" t="n">
        <x:f>W2443/MAX($W$2194:W2443)-1</x:f>
        <x:v>-0.9975211641151214</x:v>
      </x:c>
      <x:c r="AL2443" s="83" t="n">
        <x:f>'Inputs'!$B$50</x:f>
        <x:v>1</x:v>
      </x:c>
      <x:c r="AM2443" s="83" t="n">
        <x:f>'Inputs'!$C$50</x:f>
        <x:v>1</x:v>
      </x:c>
      <x:c r="AN2443" s="83" t="n">
        <x:f>'Inputs'!$D$50</x:f>
        <x:v>1</x:v>
      </x:c>
      <x:c r="AO2443" s="81" t="n">
        <x:f>'Inputs'!$E$50</x:f>
        <x:v>0</x:v>
      </x:c>
    </x:row>
    <x:row r="2444">
      <x:c r="A2444" s="59" t="str">
        <x:v>Whale exit</x:v>
      </x:c>
      <x:c r="B2444" s="59" t="n">
        <x:v>251</x:v>
      </x:c>
      <x:c r="C2444" s="78" t="n">
        <x:f>(('Inputs'!$B$29*(3*251*'Inputs'!$B$12-251^2)/(2*'Inputs'!$B$12^2))-('Inputs'!$B$29*(3*250*'Inputs'!$B$12-250^2)/(2*'Inputs'!$B$12^2)))*'Inputs'!$B$50</x:f>
        <x:v>630546.7723775506</x:v>
      </x:c>
      <x:c r="D2444" s="78" t="n">
        <x:f>IF('Inputs'!$C$50&gt;0,('Inputs'!$B$30*(3*251*'Inputs'!$B$12-251^2)/(2*'Inputs'!$B$12^2))-('Inputs'!$B$30*(3*250*'Inputs'!$B$12-250^2)/(2*'Inputs'!$B$12^2)),0)</x:f>
        <x:v>270234.3310189545</x:v>
      </x:c>
      <x:c r="E2444" s="78" t="n">
        <x:f>C2444+D2444</x:f>
        <x:v>900781.1033965051</x:v>
      </x:c>
      <x:c r="F2444" s="78" t="n">
        <x:f>'Inputs'!$B$13*E2444+(1-'Inputs'!$B$13)/'Inputs'!$B$14*SUM(E2389:E2444)</x:f>
        <x:v>910998.7802589597</x:v>
      </x:c>
      <x:c r="G2444" s="78" t="n">
        <x:f>F2444*'Inputs'!$F$50</x:f>
        <x:v>455499.39012947987</x:v>
      </x:c>
      <x:c r="H2444" s="78" t="n">
        <x:f>U2443</x:f>
        <x:v>117995644.63490589</x:v>
      </x:c>
      <x:c r="I2444" s="78" t="n">
        <x:f>V2443</x:f>
        <x:v>246.50772951640303</x:v>
      </x:c>
      <x:c r="J2444" s="79" t="n">
        <x:f>IF(H2444&gt;0,I2444/H2444,0)</x:f>
        <x:v>0.000002089125664588134</x:v>
      </x:c>
      <x:c r="K2444" s="80" t="n">
        <x:f>(H2444*J2444+I2444)*'Inputs'!$D$50*(1+'Inputs'!$G$50)^(B2444/30)</x:f>
        <x:v>493.01545903280606</x:v>
      </x:c>
      <x:c r="L2444" s="80" t="n">
        <x:f>MAX(0,K2444*'Inputs'!$E$50)</x:f>
        <x:v>0</x:v>
      </x:c>
      <x:c r="M2444" s="80" t="n">
        <x:f>MAX(0,-K2444*'Inputs'!$E$50)</x:f>
        <x:v>0</x:v>
      </x:c>
      <x:c r="N2444" s="78" t="n">
        <x:f>H2444*(L2444*(1-'Inputs'!$B$15))/(I2444+L2444*(1-'Inputs'!$B$15))</x:f>
        <x:v>0</x:v>
      </x:c>
      <x:c r="O2444" s="78" t="n">
        <x:f>H2444-N2444</x:f>
        <x:v>117995644.63490589</x:v>
      </x:c>
      <x:c r="P2444" s="78" t="n">
        <x:f>I2444+L2444*(1-'Inputs'!$B$17)</x:f>
        <x:v>246.50772951640303</x:v>
      </x:c>
      <x:c r="Q2444" s="78" t="n">
        <x:f>IF(J2444&gt;0,M2444/J2444,0)</x:f>
        <x:v>0</x:v>
      </x:c>
      <x:c r="R2444" s="78" t="n">
        <x:f>IF(B2444='Inputs'!$H$50,'Inputs'!$B$27*'Inputs'!$I$50,0)</x:f>
        <x:v>0</x:v>
      </x:c>
      <x:c r="S2444" s="78" t="n">
        <x:f>Q2444+G2444+R2444</x:f>
        <x:v>455499.39012947987</x:v>
      </x:c>
      <x:c r="T2444" s="78" t="n">
        <x:f>P2444*(S2444*(1-'Inputs'!$B$15))/(O2444+S2444*(1-'Inputs'!$B$15))</x:f>
        <x:v>0.9384928697536069</x:v>
      </x:c>
      <x:c r="U2444" s="78" t="n">
        <x:f>O2444+S2444*(1-'Inputs'!$B$17)</x:f>
        <x:v>118449311.02950165</x:v>
      </x:c>
      <x:c r="V2444" s="78" t="n">
        <x:f>P2444-T2444</x:f>
        <x:v>245.56923664664941</x:v>
      </x:c>
      <x:c r="W2444" s="79" t="n">
        <x:f>IF(U2444&gt;0,V2444/U2444,0)</x:f>
        <x:v>0.0000020732010554750004</x:v>
      </x:c>
      <x:c r="X2444" s="80" t="n">
        <x:f>W2444*('Inputs'!$B$6-AC2444)</x:f>
        <x:v>1947.9374229820867</x:v>
      </x:c>
      <x:c r="Y2444" s="80" t="n">
        <x:f>2*V2444</x:f>
        <x:v>491.13847329329883</x:v>
      </x:c>
      <x:c r="Z2444" s="80" t="n">
        <x:f>K2444*'Inputs'!$B$16+(G2444+R2444)*J2444*'Inputs'!$B$16</x:f>
        <x:v>2.9638023269935787</x:v>
      </x:c>
      <x:c r="AA2444" s="80" t="n">
        <x:f>K2444*(1+'Inputs'!$E$50)/2*'Inputs'!$B$17</x:f>
        <x:v>0.9919828149553442</x:v>
      </x:c>
      <x:c r="AB2444" s="78" t="n">
        <x:f>(IF(J2444&gt;0,K2444*(1-'Inputs'!$E$50)/2/J2444,0)+G2444+R2444)*'Inputs'!$B$17</x:f>
        <x:v>476664.56348102767</x:v>
      </x:c>
      <x:c r="AC2444" s="78" t="n">
        <x:f>AC2443+AB2444</x:f>
        <x:v>60420397.80083654</x:v>
      </x:c>
      <x:c r="AD2444" s="80" t="n">
        <x:f>Z2444/(1+'Inputs'!$C$50)</x:f>
        <x:v>1.4819011634967894</x:v>
      </x:c>
      <x:c r="AE2444" s="80" t="n">
        <x:f>Z2444-AD2444</x:f>
        <x:v>1.4819011634967894</x:v>
      </x:c>
      <x:c r="AF2444" s="80" t="n">
        <x:f>D2444*W2444</x:f>
        <x:v>0.5602501002940772</x:v>
      </x:c>
      <x:c r="AG2444" s="80" t="n">
        <x:f>C2444*W2444</x:f>
        <x:v>1.3072502340194927</x:v>
      </x:c>
      <x:c r="AH2444" s="80" t="n">
        <x:f>2*'Inputs'!$B$8*'Inputs'!$C$50</x:f>
        <x:v>5000</x:v>
      </x:c>
      <x:c r="AI2444" s="81" t="n">
        <x:f>IF(AH2444&gt;0,(AE2444+AF2444)/AH2444*365,0)</x:f>
        <x:v>0.14907704225673327</x:v>
      </x:c>
      <x:c r="AJ2444" s="81" t="n">
        <x:f>IF('Inputs'!$B$50&gt;0,AG2444/('Inputs'!$B$19*'Inputs'!$B$50)*365,0)</x:f>
        <x:v>0.04771463354171148</x:v>
      </x:c>
      <x:c r="AK2444" s="81" t="n">
        <x:f>W2444/MAX($W$2194:W2444)-1</x:f>
        <x:v>-0.9975400593367882</x:v>
      </x:c>
      <x:c r="AL2444" s="83" t="n">
        <x:f>'Inputs'!$B$50</x:f>
        <x:v>1</x:v>
      </x:c>
      <x:c r="AM2444" s="83" t="n">
        <x:f>'Inputs'!$C$50</x:f>
        <x:v>1</x:v>
      </x:c>
      <x:c r="AN2444" s="83" t="n">
        <x:f>'Inputs'!$D$50</x:f>
        <x:v>1</x:v>
      </x:c>
      <x:c r="AO2444" s="81" t="n">
        <x:f>'Inputs'!$E$50</x:f>
        <x:v>0</x:v>
      </x:c>
    </x:row>
    <x:row r="2445">
      <x:c r="A2445" s="59" t="str">
        <x:v>Whale exit</x:v>
      </x:c>
      <x:c r="B2445" s="59" t="n">
        <x:v>252</x:v>
      </x:c>
      <x:c r="C2445" s="78" t="n">
        <x:f>(('Inputs'!$B$29*(3*252*'Inputs'!$B$12-252^2)/(2*'Inputs'!$B$12^2))-('Inputs'!$B$29*(3*251*'Inputs'!$B$12-251^2)/(2*'Inputs'!$B$12^2)))*'Inputs'!$B$50</x:f>
        <x:v>630221.6644773781</x:v>
      </x:c>
      <x:c r="D2445" s="78" t="n">
        <x:f>IF('Inputs'!$C$50&gt;0,('Inputs'!$B$30*(3*252*'Inputs'!$B$12-252^2)/(2*'Inputs'!$B$12^2))-('Inputs'!$B$30*(3*251*'Inputs'!$B$12-251^2)/(2*'Inputs'!$B$12^2)),0)</x:f>
        <x:v>270094.9990617335</x:v>
      </x:c>
      <x:c r="E2445" s="78" t="n">
        <x:f>C2445+D2445</x:f>
        <x:v>900316.6635391116</x:v>
      </x:c>
      <x:c r="F2445" s="78" t="n">
        <x:f>'Inputs'!$B$13*E2445+(1-'Inputs'!$B$13)/'Inputs'!$B$14*SUM(E2390:E2445)</x:f>
        <x:v>910534.3404015736</x:v>
      </x:c>
      <x:c r="G2445" s="78" t="n">
        <x:f>F2445*'Inputs'!$F$50</x:f>
        <x:v>455267.1702007868</x:v>
      </x:c>
      <x:c r="H2445" s="78" t="n">
        <x:f>U2444</x:f>
        <x:v>118449311.02950165</x:v>
      </x:c>
      <x:c r="I2445" s="78" t="n">
        <x:f>V2444</x:f>
        <x:v>245.56923664664941</x:v>
      </x:c>
      <x:c r="J2445" s="79" t="n">
        <x:f>IF(H2445&gt;0,I2445/H2445,0)</x:f>
        <x:v>0.0000020732010554750004</x:v>
      </x:c>
      <x:c r="K2445" s="80" t="n">
        <x:f>(H2445*J2445+I2445)*'Inputs'!$D$50*(1+'Inputs'!$G$50)^(B2445/30)</x:f>
        <x:v>491.13847329329883</x:v>
      </x:c>
      <x:c r="L2445" s="80" t="n">
        <x:f>MAX(0,K2445*'Inputs'!$E$50)</x:f>
        <x:v>0</x:v>
      </x:c>
      <x:c r="M2445" s="80" t="n">
        <x:f>MAX(0,-K2445*'Inputs'!$E$50)</x:f>
        <x:v>0</x:v>
      </x:c>
      <x:c r="N2445" s="78" t="n">
        <x:f>H2445*(L2445*(1-'Inputs'!$B$15))/(I2445+L2445*(1-'Inputs'!$B$15))</x:f>
        <x:v>0</x:v>
      </x:c>
      <x:c r="O2445" s="78" t="n">
        <x:f>H2445-N2445</x:f>
        <x:v>118449311.02950165</x:v>
      </x:c>
      <x:c r="P2445" s="78" t="n">
        <x:f>I2445+L2445*(1-'Inputs'!$B$17)</x:f>
        <x:v>245.56923664664941</x:v>
      </x:c>
      <x:c r="Q2445" s="78" t="n">
        <x:f>IF(J2445&gt;0,M2445/J2445,0)</x:f>
        <x:v>0</x:v>
      </x:c>
      <x:c r="R2445" s="78" t="n">
        <x:f>IF(B2445='Inputs'!$H$50,'Inputs'!$B$27*'Inputs'!$I$50,0)</x:f>
        <x:v>0</x:v>
      </x:c>
      <x:c r="S2445" s="78" t="n">
        <x:f>Q2445+G2445+R2445</x:f>
        <x:v>455267.1702007868</x:v>
      </x:c>
      <x:c r="T2445" s="78" t="n">
        <x:f>P2445*(S2445*(1-'Inputs'!$B$15))/(O2445+S2445*(1-'Inputs'!$B$15))</x:f>
        <x:v>0.9308796600372261</x:v>
      </x:c>
      <x:c r="U2445" s="78" t="n">
        <x:f>O2445+S2445*(1-'Inputs'!$B$17)</x:f>
        <x:v>118902746.13865535</x:v>
      </x:c>
      <x:c r="V2445" s="78" t="n">
        <x:f>P2445-T2445</x:f>
        <x:v>244.6383569866122</x:v>
      </x:c>
      <x:c r="W2445" s="79" t="n">
        <x:f>IF(U2445&gt;0,V2445/U2445,0)</x:f>
        <x:v>0.000002057465995792339</x:v>
      </x:c>
      <x:c r="X2445" s="80" t="n">
        <x:f>W2445*('Inputs'!$B$6-AC2445)</x:f>
        <x:v>1932.1686065071656</x:v>
      </x:c>
      <x:c r="Y2445" s="80" t="n">
        <x:f>2*V2445</x:f>
        <x:v>489.2767139732244</x:v>
      </x:c>
      <x:c r="Z2445" s="80" t="n">
        <x:f>K2445*'Inputs'!$B$16+(G2445+R2445)*J2445*'Inputs'!$B$16</x:f>
        <x:v>2.9524940020264934</x:v>
      </x:c>
      <x:c r="AA2445" s="80" t="n">
        <x:f>K2445*(1+'Inputs'!$E$50)/2*'Inputs'!$B$17</x:f>
        <x:v>0.9882061836887301</x:v>
      </x:c>
      <x:c r="AB2445" s="78" t="n">
        <x:f>(IF(J2445&gt;0,K2445*(1-'Inputs'!$E$50)/2/J2445,0)+G2445+R2445)*'Inputs'!$B$17</x:f>
        <x:v>478489.248288541</x:v>
      </x:c>
      <x:c r="AC2445" s="78" t="n">
        <x:f>AC2444+AB2445</x:f>
        <x:v>60898887.04912508</x:v>
      </x:c>
      <x:c r="AD2445" s="80" t="n">
        <x:f>Z2445/(1+'Inputs'!$C$50)</x:f>
        <x:v>1.4762470010132467</x:v>
      </x:c>
      <x:c r="AE2445" s="80" t="n">
        <x:f>Z2445-AD2445</x:f>
        <x:v>1.4762470010132467</x:v>
      </x:c>
      <x:c r="AF2445" s="80" t="n">
        <x:f>D2445*W2445</x:f>
        <x:v>0.5557112762030804</x:v>
      </x:c>
      <x:c r="AG2445" s="80" t="n">
        <x:f>C2445*W2445</x:f>
        <x:v>1.296659644473854</x:v>
      </x:c>
      <x:c r="AH2445" s="80" t="n">
        <x:f>2*'Inputs'!$B$8*'Inputs'!$C$50</x:f>
        <x:v>5000</x:v>
      </x:c>
      <x:c r="AI2445" s="81" t="n">
        <x:f>IF(AH2445&gt;0,(AE2445+AF2445)/AH2445*365,0)</x:f>
        <x:v>0.14833295423679188</x:v>
      </x:c>
      <x:c r="AJ2445" s="81" t="n">
        <x:f>IF('Inputs'!$B$50&gt;0,AG2445/('Inputs'!$B$19*'Inputs'!$B$50)*365,0)</x:f>
        <x:v>0.04732807702329567</x:v>
      </x:c>
      <x:c r="AK2445" s="81" t="n">
        <x:f>W2445/MAX($W$2194:W2445)-1</x:f>
        <x:v>-0.9975587296500457</x:v>
      </x:c>
      <x:c r="AL2445" s="83" t="n">
        <x:f>'Inputs'!$B$50</x:f>
        <x:v>1</x:v>
      </x:c>
      <x:c r="AM2445" s="83" t="n">
        <x:f>'Inputs'!$C$50</x:f>
        <x:v>1</x:v>
      </x:c>
      <x:c r="AN2445" s="83" t="n">
        <x:f>'Inputs'!$D$50</x:f>
        <x:v>1</x:v>
      </x:c>
      <x:c r="AO2445" s="81" t="n">
        <x:f>'Inputs'!$E$50</x:f>
        <x:v>0</x:v>
      </x:c>
    </x:row>
    <x:row r="2446">
      <x:c r="A2446" s="59" t="str">
        <x:v>Whale exit</x:v>
      </x:c>
      <x:c r="B2446" s="59" t="n">
        <x:v>253</x:v>
      </x:c>
      <x:c r="C2446" s="78" t="n">
        <x:f>(('Inputs'!$B$29*(3*253*'Inputs'!$B$12-253^2)/(2*'Inputs'!$B$12^2))-('Inputs'!$B$29*(3*252*'Inputs'!$B$12-252^2)/(2*'Inputs'!$B$12^2)))*'Inputs'!$B$50</x:f>
        <x:v>629896.5565772355</x:v>
      </x:c>
      <x:c r="D2446" s="78" t="n">
        <x:f>IF('Inputs'!$C$50&gt;0,('Inputs'!$B$30*(3*253*'Inputs'!$B$12-253^2)/(2*'Inputs'!$B$12^2))-('Inputs'!$B$30*(3*252*'Inputs'!$B$12-252^2)/(2*'Inputs'!$B$12^2)),0)</x:f>
        <x:v>269955.66710452735</x:v>
      </x:c>
      <x:c r="E2446" s="78" t="n">
        <x:f>C2446+D2446</x:f>
        <x:v>899852.2236817628</x:v>
      </x:c>
      <x:c r="F2446" s="78" t="n">
        <x:f>'Inputs'!$B$13*E2446+(1-'Inputs'!$B$13)/'Inputs'!$B$14*SUM(E2391:E2446)</x:f>
        <x:v>910069.9005441966</x:v>
      </x:c>
      <x:c r="G2446" s="78" t="n">
        <x:f>F2446*'Inputs'!$F$50</x:f>
        <x:v>455034.9502720983</x:v>
      </x:c>
      <x:c r="H2446" s="78" t="n">
        <x:f>U2445</x:f>
        <x:v>118902746.13865535</x:v>
      </x:c>
      <x:c r="I2446" s="78" t="n">
        <x:f>V2445</x:f>
        <x:v>244.6383569866122</x:v>
      </x:c>
      <x:c r="J2446" s="79" t="n">
        <x:f>IF(H2446&gt;0,I2446/H2446,0)</x:f>
        <x:v>0.000002057465995792339</x:v>
      </x:c>
      <x:c r="K2446" s="80" t="n">
        <x:f>(H2446*J2446+I2446)*'Inputs'!$D$50*(1+'Inputs'!$G$50)^(B2446/30)</x:f>
        <x:v>489.27671397322445</x:v>
      </x:c>
      <x:c r="L2446" s="80" t="n">
        <x:f>MAX(0,K2446*'Inputs'!$E$50)</x:f>
        <x:v>0</x:v>
      </x:c>
      <x:c r="M2446" s="80" t="n">
        <x:f>MAX(0,-K2446*'Inputs'!$E$50)</x:f>
        <x:v>0</x:v>
      </x:c>
      <x:c r="N2446" s="78" t="n">
        <x:f>H2446*(L2446*(1-'Inputs'!$B$15))/(I2446+L2446*(1-'Inputs'!$B$15))</x:f>
        <x:v>0</x:v>
      </x:c>
      <x:c r="O2446" s="78" t="n">
        <x:f>H2446-N2446</x:f>
        <x:v>118902746.13865535</x:v>
      </x:c>
      <x:c r="P2446" s="78" t="n">
        <x:f>I2446+L2446*(1-'Inputs'!$B$17)</x:f>
        <x:v>244.6383569866122</x:v>
      </x:c>
      <x:c r="Q2446" s="78" t="n">
        <x:f>IF(J2446&gt;0,M2446/J2446,0)</x:f>
        <x:v>0</x:v>
      </x:c>
      <x:c r="R2446" s="78" t="n">
        <x:f>IF(B2446='Inputs'!$H$50,'Inputs'!$B$27*'Inputs'!$I$50,0)</x:f>
        <x:v>0</x:v>
      </x:c>
      <x:c r="S2446" s="78" t="n">
        <x:f>Q2446+G2446+R2446</x:f>
        <x:v>455034.9502720983</x:v>
      </x:c>
      <x:c r="T2446" s="78" t="n">
        <x:f>P2446*(S2446*(1-'Inputs'!$B$15))/(O2446+S2446*(1-'Inputs'!$B$15))</x:f>
        <x:v>0.9233584369458316</x:v>
      </x:c>
      <x:c r="U2446" s="78" t="n">
        <x:f>O2446+S2446*(1-'Inputs'!$B$17)</x:f>
        <x:v>119355949.962367</x:v>
      </x:c>
      <x:c r="V2446" s="78" t="n">
        <x:f>P2446-T2446</x:f>
        <x:v>243.71499854966638</x:v>
      </x:c>
      <x:c r="W2446" s="79" t="n">
        <x:f>IF(U2446&gt;0,V2446/U2446,0)</x:f>
        <x:v>0.0000020419174630716766</x:v>
      </x:c>
      <x:c r="X2446" s="80" t="n">
        <x:f>W2446*('Inputs'!$B$6-AC2446)</x:f>
        <x:v>1916.5862026171587</x:v>
      </x:c>
      <x:c r="Y2446" s="80" t="n">
        <x:f>2*V2446</x:f>
        <x:v>487.42999709933275</x:v>
      </x:c>
      <x:c r="Z2446" s="80" t="n">
        <x:f>K2446*'Inputs'!$B$16+(G2446+R2446)*J2446*'Inputs'!$B$16</x:f>
        <x:v>2.941277597461838</x:v>
      </x:c>
      <x:c r="AA2446" s="80" t="n">
        <x:f>K2446*(1+'Inputs'!$E$50)/2*'Inputs'!$B$17</x:f>
        <x:v>0.9844601890809346</x:v>
      </x:c>
      <x:c r="AB2446" s="78" t="n">
        <x:f>(IF(J2446&gt;0,K2446*(1-'Inputs'!$E$50)/2/J2446,0)+G2446+R2446)*'Inputs'!$B$17</x:f>
        <x:v>480313.0023699294</x:v>
      </x:c>
      <x:c r="AC2446" s="78" t="n">
        <x:f>AC2445+AB2446</x:f>
        <x:v>61379200.051495016</x:v>
      </x:c>
      <x:c r="AD2446" s="80" t="n">
        <x:f>Z2446/(1+'Inputs'!$C$50)</x:f>
        <x:v>1.470638798730919</x:v>
      </x:c>
      <x:c r="AE2446" s="80" t="n">
        <x:f>Z2446-AD2446</x:f>
        <x:v>1.470638798730919</x:v>
      </x:c>
      <x:c r="AF2446" s="80" t="n">
        <x:f>D2446*W2446</x:f>
        <x:v>0.5512271909158986</x:v>
      </x:c>
      <x:c r="AG2446" s="80" t="n">
        <x:f>C2446*W2446</x:f>
        <x:v>1.2861967788037734</x:v>
      </x:c>
      <x:c r="AH2446" s="80" t="n">
        <x:f>2*'Inputs'!$B$8*'Inputs'!$C$50</x:f>
        <x:v>5000</x:v>
      </x:c>
      <x:c r="AI2446" s="81" t="n">
        <x:f>IF(AH2446&gt;0,(AE2446+AF2446)/AH2446*365,0)</x:f>
        <x:v>0.1475962172442177</x:v>
      </x:c>
      <x:c r="AJ2446" s="81" t="n">
        <x:f>IF('Inputs'!$B$50&gt;0,AG2446/('Inputs'!$B$19*'Inputs'!$B$50)*365,0)</x:f>
        <x:v>0.046946182426337725</x:v>
      </x:c>
      <x:c r="AK2446" s="81" t="n">
        <x:f>W2446/MAX($W$2194:W2446)-1</x:f>
        <x:v>-0.9975771786411803</x:v>
      </x:c>
      <x:c r="AL2446" s="83" t="n">
        <x:f>'Inputs'!$B$50</x:f>
        <x:v>1</x:v>
      </x:c>
      <x:c r="AM2446" s="83" t="n">
        <x:f>'Inputs'!$C$50</x:f>
        <x:v>1</x:v>
      </x:c>
      <x:c r="AN2446" s="83" t="n">
        <x:f>'Inputs'!$D$50</x:f>
        <x:v>1</x:v>
      </x:c>
      <x:c r="AO2446" s="81" t="n">
        <x:f>'Inputs'!$E$50</x:f>
        <x:v>0</x:v>
      </x:c>
    </x:row>
    <x:row r="2447">
      <x:c r="A2447" s="59" t="str">
        <x:v>Whale exit</x:v>
      </x:c>
      <x:c r="B2447" s="59" t="n">
        <x:v>254</x:v>
      </x:c>
      <x:c r="C2447" s="78" t="n">
        <x:f>(('Inputs'!$B$29*(3*254*'Inputs'!$B$12-254^2)/(2*'Inputs'!$B$12^2))-('Inputs'!$B$29*(3*253*'Inputs'!$B$12-253^2)/(2*'Inputs'!$B$12^2)))*'Inputs'!$B$50</x:f>
        <x:v>629571.4486770332</x:v>
      </x:c>
      <x:c r="D2447" s="78" t="n">
        <x:f>IF('Inputs'!$C$50&gt;0,('Inputs'!$B$30*(3*254*'Inputs'!$B$12-254^2)/(2*'Inputs'!$B$12^2))-('Inputs'!$B$30*(3*253*'Inputs'!$B$12-253^2)/(2*'Inputs'!$B$12^2)),0)</x:f>
        <x:v>269816.3351473063</x:v>
      </x:c>
      <x:c r="E2447" s="78" t="n">
        <x:f>C2447+D2447</x:f>
        <x:v>899387.7838243395</x:v>
      </x:c>
      <x:c r="F2447" s="78" t="n">
        <x:f>'Inputs'!$B$13*E2447+(1-'Inputs'!$B$13)/'Inputs'!$B$14*SUM(E2392:E2447)</x:f>
        <x:v>909605.4606868045</x:v>
      </x:c>
      <x:c r="G2447" s="78" t="n">
        <x:f>F2447*'Inputs'!$F$50</x:f>
        <x:v>454802.73034340225</x:v>
      </x:c>
      <x:c r="H2447" s="78" t="n">
        <x:f>U2446</x:f>
        <x:v>119355949.962367</x:v>
      </x:c>
      <x:c r="I2447" s="78" t="n">
        <x:f>V2446</x:f>
        <x:v>243.71499854966638</x:v>
      </x:c>
      <x:c r="J2447" s="79" t="n">
        <x:f>IF(H2447&gt;0,I2447/H2447,0)</x:f>
        <x:v>0.0000020419174630716766</x:v>
      </x:c>
      <x:c r="K2447" s="80" t="n">
        <x:f>(H2447*J2447+I2447)*'Inputs'!$D$50*(1+'Inputs'!$G$50)^(B2447/30)</x:f>
        <x:v>487.4299970993328</x:v>
      </x:c>
      <x:c r="L2447" s="80" t="n">
        <x:f>MAX(0,K2447*'Inputs'!$E$50)</x:f>
        <x:v>0</x:v>
      </x:c>
      <x:c r="M2447" s="80" t="n">
        <x:f>MAX(0,-K2447*'Inputs'!$E$50)</x:f>
        <x:v>0</x:v>
      </x:c>
      <x:c r="N2447" s="78" t="n">
        <x:f>H2447*(L2447*(1-'Inputs'!$B$15))/(I2447+L2447*(1-'Inputs'!$B$15))</x:f>
        <x:v>0</x:v>
      </x:c>
      <x:c r="O2447" s="78" t="n">
        <x:f>H2447-N2447</x:f>
        <x:v>119355949.962367</x:v>
      </x:c>
      <x:c r="P2447" s="78" t="n">
        <x:f>I2447+L2447*(1-'Inputs'!$B$17)</x:f>
        <x:v>243.71499854966638</x:v>
      </x:c>
      <x:c r="Q2447" s="78" t="n">
        <x:f>IF(J2447&gt;0,M2447/J2447,0)</x:f>
        <x:v>0</x:v>
      </x:c>
      <x:c r="R2447" s="78" t="n">
        <x:f>IF(B2447='Inputs'!$H$50,'Inputs'!$B$27*'Inputs'!$I$50,0)</x:f>
        <x:v>0</x:v>
      </x:c>
      <x:c r="S2447" s="78" t="n">
        <x:f>Q2447+G2447+R2447</x:f>
        <x:v>454802.73034340225</x:v>
      </x:c>
      <x:c r="T2447" s="78" t="n">
        <x:f>P2447*(S2447*(1-'Inputs'!$B$15))/(O2447+S2447*(1-'Inputs'!$B$15))</x:f>
        <x:v>0.9159277234833484</x:v>
      </x:c>
      <x:c r="U2447" s="78" t="n">
        <x:f>O2447+S2447*(1-'Inputs'!$B$17)</x:f>
        <x:v>119808922.50063658</x:v>
      </x:c>
      <x:c r="V2447" s="78" t="n">
        <x:f>P2447-T2447</x:f>
        <x:v>242.79907082618303</x:v>
      </x:c>
      <x:c r="W2447" s="79" t="n">
        <x:f>IF(U2447&gt;0,V2447/U2447,0)</x:f>
        <x:v>0.000002026552495077259</x:v>
      </x:c>
      <x:c r="X2447" s="80" t="n">
        <x:f>W2447*('Inputs'!$B$6-AC2447)</x:f>
        <x:v>1901.1872505064662</x:v>
      </x:c>
      <x:c r="Y2447" s="80" t="n">
        <x:f>2*V2447</x:f>
        <x:v>485.59814165236605</x:v>
      </x:c>
      <x:c r="Z2447" s="80" t="n">
        <x:f>K2447*'Inputs'!$B$16+(G2447+R2447)*J2447*'Inputs'!$B$16</x:f>
        <x:v>2.9301520004200423</x:v>
      </x:c>
      <x:c r="AA2447" s="80" t="n">
        <x:f>K2447*(1+'Inputs'!$E$50)/2*'Inputs'!$B$17</x:f>
        <x:v>0.9807444609644524</x:v>
      </x:c>
      <x:c r="AB2447" s="78" t="n">
        <x:f>(IF(J2447&gt;0,K2447*(1-'Inputs'!$E$50)/2/J2447,0)+G2447+R2447)*'Inputs'!$B$17</x:f>
        <x:v>482135.8257251928</x:v>
      </x:c>
      <x:c r="AC2447" s="78" t="n">
        <x:f>AC2446+AB2447</x:f>
        <x:v>61861335.877220206</x:v>
      </x:c>
      <x:c r="AD2447" s="80" t="n">
        <x:f>Z2447/(1+'Inputs'!$C$50)</x:f>
        <x:v>1.4650760002100212</x:v>
      </x:c>
      <x:c r="AE2447" s="80" t="n">
        <x:f>Z2447-AD2447</x:f>
        <x:v>1.4650760002100212</x:v>
      </x:c>
      <x:c r="AF2447" s="80" t="n">
        <x:f>D2447*W2447</x:f>
        <x:v>0.5467969672053756</x:v>
      </x:c>
      <x:c r="AG2447" s="80" t="n">
        <x:f>C2447*W2447</x:f>
        <x:v>1.2758595901458463</x:v>
      </x:c>
      <x:c r="AH2447" s="80" t="n">
        <x:f>2*'Inputs'!$B$8*'Inputs'!$C$50</x:f>
        <x:v>5000</x:v>
      </x:c>
      <x:c r="AI2447" s="81" t="n">
        <x:f>IF(AH2447&gt;0,(AE2447+AF2447)/AH2447*365,0)</x:f>
        <x:v>0.146866726621324</x:v>
      </x:c>
      <x:c r="AJ2447" s="81" t="n">
        <x:f>IF('Inputs'!$B$50&gt;0,AG2447/('Inputs'!$B$19*'Inputs'!$B$50)*365,0)</x:f>
        <x:v>0.046568875040323386</x:v>
      </x:c>
      <x:c r="AK2447" s="81" t="n">
        <x:f>W2447/MAX($W$2194:W2447)-1</x:f>
        <x:v>-0.9975954098250102</x:v>
      </x:c>
      <x:c r="AL2447" s="83" t="n">
        <x:f>'Inputs'!$B$50</x:f>
        <x:v>1</x:v>
      </x:c>
      <x:c r="AM2447" s="83" t="n">
        <x:f>'Inputs'!$C$50</x:f>
        <x:v>1</x:v>
      </x:c>
      <x:c r="AN2447" s="83" t="n">
        <x:f>'Inputs'!$D$50</x:f>
        <x:v>1</x:v>
      </x:c>
      <x:c r="AO2447" s="81" t="n">
        <x:f>'Inputs'!$E$50</x:f>
        <x:v>0</x:v>
      </x:c>
    </x:row>
    <x:row r="2448">
      <x:c r="A2448" s="59" t="str">
        <x:v>Whale exit</x:v>
      </x:c>
      <x:c r="B2448" s="59" t="n">
        <x:v>255</x:v>
      </x:c>
      <x:c r="C2448" s="78" t="n">
        <x:f>(('Inputs'!$B$29*(3*255*'Inputs'!$B$12-255^2)/(2*'Inputs'!$B$12^2))-('Inputs'!$B$29*(3*254*'Inputs'!$B$12-254^2)/(2*'Inputs'!$B$12^2)))*'Inputs'!$B$50</x:f>
        <x:v>629246.3407768905</x:v>
      </x:c>
      <x:c r="D2448" s="78" t="n">
        <x:f>IF('Inputs'!$C$50&gt;0,('Inputs'!$B$30*(3*255*'Inputs'!$B$12-255^2)/(2*'Inputs'!$B$12^2))-('Inputs'!$B$30*(3*254*'Inputs'!$B$12-254^2)/(2*'Inputs'!$B$12^2)),0)</x:f>
        <x:v>269677.0031900853</x:v>
      </x:c>
      <x:c r="E2448" s="78" t="n">
        <x:f>C2448+D2448</x:f>
        <x:v>898923.3439669758</x:v>
      </x:c>
      <x:c r="F2448" s="78" t="n">
        <x:f>'Inputs'!$B$13*E2448+(1-'Inputs'!$B$13)/'Inputs'!$B$14*SUM(E2393:E2448)</x:f>
        <x:v>909141.0208294244</x:v>
      </x:c>
      <x:c r="G2448" s="78" t="n">
        <x:f>F2448*'Inputs'!$F$50</x:f>
        <x:v>454570.5104147122</x:v>
      </x:c>
      <x:c r="H2448" s="78" t="n">
        <x:f>U2447</x:f>
        <x:v>119808922.50063658</x:v>
      </x:c>
      <x:c r="I2448" s="78" t="n">
        <x:f>V2447</x:f>
        <x:v>242.79907082618303</x:v>
      </x:c>
      <x:c r="J2448" s="79" t="n">
        <x:f>IF(H2448&gt;0,I2448/H2448,0)</x:f>
        <x:v>0.000002026552495077259</x:v>
      </x:c>
      <x:c r="K2448" s="80" t="n">
        <x:f>(H2448*J2448+I2448)*'Inputs'!$D$50*(1+'Inputs'!$G$50)^(B2448/30)</x:f>
        <x:v>485.59814165236605</x:v>
      </x:c>
      <x:c r="L2448" s="80" t="n">
        <x:f>MAX(0,K2448*'Inputs'!$E$50)</x:f>
        <x:v>0</x:v>
      </x:c>
      <x:c r="M2448" s="80" t="n">
        <x:f>MAX(0,-K2448*'Inputs'!$E$50)</x:f>
        <x:v>0</x:v>
      </x:c>
      <x:c r="N2448" s="78" t="n">
        <x:f>H2448*(L2448*(1-'Inputs'!$B$15))/(I2448+L2448*(1-'Inputs'!$B$15))</x:f>
        <x:v>0</x:v>
      </x:c>
      <x:c r="O2448" s="78" t="n">
        <x:f>H2448-N2448</x:f>
        <x:v>119808922.50063658</x:v>
      </x:c>
      <x:c r="P2448" s="78" t="n">
        <x:f>I2448+L2448*(1-'Inputs'!$B$17)</x:f>
        <x:v>242.79907082618303</x:v>
      </x:c>
      <x:c r="Q2448" s="78" t="n">
        <x:f>IF(J2448&gt;0,M2448/J2448,0)</x:f>
        <x:v>0</x:v>
      </x:c>
      <x:c r="R2448" s="78" t="n">
        <x:f>IF(B2448='Inputs'!$H$50,'Inputs'!$B$27*'Inputs'!$I$50,0)</x:f>
        <x:v>0</x:v>
      </x:c>
      <x:c r="S2448" s="78" t="n">
        <x:f>Q2448+G2448+R2448</x:f>
        <x:v>454570.5104147122</x:v>
      </x:c>
      <x:c r="T2448" s="78" t="n">
        <x:f>P2448*(S2448*(1-'Inputs'!$B$15))/(O2448+S2448*(1-'Inputs'!$B$15))</x:f>
        <x:v>0.9085860721877084</x:v>
      </x:c>
      <x:c r="U2448" s="78" t="n">
        <x:f>O2448+S2448*(1-'Inputs'!$B$17)</x:f>
        <x:v>120261663.7534641</x:v>
      </x:c>
      <x:c r="V2448" s="78" t="n">
        <x:f>P2448-T2448</x:f>
        <x:v>241.8904847539953</x:v>
      </x:c>
      <x:c r="W2448" s="79" t="n">
        <x:f>IF(U2448&gt;0,V2448/U2448,0)</x:f>
        <x:v>0.000002011368188368571</x:v>
      </x:c>
      <x:c r="X2448" s="80" t="n">
        <x:f>W2448*('Inputs'!$B$6-AC2448)</x:f>
        <x:v>1885.9688481359335</x:v>
      </x:c>
      <x:c r="Y2448" s="80" t="n">
        <x:f>2*V2448</x:f>
        <x:v>483.7809695079906</x:v>
      </x:c>
      <x:c r="Z2448" s="80" t="n">
        <x:f>K2448*'Inputs'!$B$16+(G2448+R2448)*J2448*'Inputs'!$B$16</x:f>
        <x:v>2.919116115926613</x:v>
      </x:c>
      <x:c r="AA2448" s="80" t="n">
        <x:f>K2448*(1+'Inputs'!$E$50)/2*'Inputs'!$B$17</x:f>
        <x:v>0.9770586351154248</x:v>
      </x:c>
      <x:c r="AB2448" s="78" t="n">
        <x:f>(IF(J2448&gt;0,K2448*(1-'Inputs'!$E$50)/2/J2448,0)+G2448+R2448)*'Inputs'!$B$17</x:f>
        <x:v>483957.7183543312</x:v>
      </x:c>
      <x:c r="AC2448" s="78" t="n">
        <x:f>AC2447+AB2448</x:f>
        <x:v>62345293.595574535</x:v>
      </x:c>
      <x:c r="AD2448" s="80" t="n">
        <x:f>Z2448/(1+'Inputs'!$C$50)</x:f>
        <x:v>1.4595580579633065</x:v>
      </x:c>
      <x:c r="AE2448" s="80" t="n">
        <x:f>Z2448-AD2448</x:f>
        <x:v>1.4595580579633065</x:v>
      </x:c>
      <x:c r="AF2448" s="80" t="n">
        <x:f>D2448*W2448</x:f>
        <x:v>0.5424197453511072</x:v>
      </x:c>
      <x:c r="AG2448" s="80" t="n">
        <x:f>C2448*W2448</x:f>
        <x:v>1.2656460724859666</x:v>
      </x:c>
      <x:c r="AH2448" s="80" t="n">
        <x:f>2*'Inputs'!$B$8*'Inputs'!$C$50</x:f>
        <x:v>5000</x:v>
      </x:c>
      <x:c r="AI2448" s="81" t="n">
        <x:f>IF(AH2448&gt;0,(AE2448+AF2448)/AH2448*365,0)</x:f>
        <x:v>0.1461443796419522</x:v>
      </x:c>
      <x:c r="AJ2448" s="81" t="n">
        <x:f>IF('Inputs'!$B$50&gt;0,AG2448/('Inputs'!$B$19*'Inputs'!$B$50)*365,0)</x:f>
        <x:v>0.04619608164573778</x:v>
      </x:c>
      <x:c r="AK2448" s="81" t="n">
        <x:f>W2448/MAX($W$2194:W2448)-1</x:f>
        <x:v>-0.9976134266465898</x:v>
      </x:c>
      <x:c r="AL2448" s="83" t="n">
        <x:f>'Inputs'!$B$50</x:f>
        <x:v>1</x:v>
      </x:c>
      <x:c r="AM2448" s="83" t="n">
        <x:f>'Inputs'!$C$50</x:f>
        <x:v>1</x:v>
      </x:c>
      <x:c r="AN2448" s="83" t="n">
        <x:f>'Inputs'!$D$50</x:f>
        <x:v>1</x:v>
      </x:c>
      <x:c r="AO2448" s="81" t="n">
        <x:f>'Inputs'!$E$50</x:f>
        <x:v>0</x:v>
      </x:c>
    </x:row>
    <x:row r="2449">
      <x:c r="A2449" s="59" t="str">
        <x:v>Whale exit</x:v>
      </x:c>
      <x:c r="B2449" s="59" t="n">
        <x:v>256</x:v>
      </x:c>
      <x:c r="C2449" s="78" t="n">
        <x:f>(('Inputs'!$B$29*(3*256*'Inputs'!$B$12-256^2)/(2*'Inputs'!$B$12^2))-('Inputs'!$B$29*(3*255*'Inputs'!$B$12-255^2)/(2*'Inputs'!$B$12^2)))*'Inputs'!$B$50</x:f>
        <x:v>628921.232876718</x:v>
      </x:c>
      <x:c r="D2449" s="78" t="n">
        <x:f>IF('Inputs'!$C$50&gt;0,('Inputs'!$B$30*(3*256*'Inputs'!$B$12-256^2)/(2*'Inputs'!$B$12^2))-('Inputs'!$B$30*(3*255*'Inputs'!$B$12-255^2)/(2*'Inputs'!$B$12^2)),0)</x:f>
        <x:v>269537.67123287916</x:v>
      </x:c>
      <x:c r="E2449" s="78" t="n">
        <x:f>C2449+D2449</x:f>
        <x:v>898458.9041095972</x:v>
      </x:c>
      <x:c r="F2449" s="78" t="n">
        <x:f>'Inputs'!$B$13*E2449+(1-'Inputs'!$B$13)/'Inputs'!$B$14*SUM(E2394:E2449)</x:f>
        <x:v>908676.5809720415</x:v>
      </x:c>
      <x:c r="G2449" s="78" t="n">
        <x:f>F2449*'Inputs'!$F$50</x:f>
        <x:v>454338.29048602073</x:v>
      </x:c>
      <x:c r="H2449" s="78" t="n">
        <x:f>U2448</x:f>
        <x:v>120261663.7534641</x:v>
      </x:c>
      <x:c r="I2449" s="78" t="n">
        <x:f>V2448</x:f>
        <x:v>241.8904847539953</x:v>
      </x:c>
      <x:c r="J2449" s="79" t="n">
        <x:f>IF(H2449&gt;0,I2449/H2449,0)</x:f>
        <x:v>0.000002011368188368571</x:v>
      </x:c>
      <x:c r="K2449" s="80" t="n">
        <x:f>(H2449*J2449+I2449)*'Inputs'!$D$50*(1+'Inputs'!$G$50)^(B2449/30)</x:f>
        <x:v>483.7809695079906</x:v>
      </x:c>
      <x:c r="L2449" s="80" t="n">
        <x:f>MAX(0,K2449*'Inputs'!$E$50)</x:f>
        <x:v>0</x:v>
      </x:c>
      <x:c r="M2449" s="80" t="n">
        <x:f>MAX(0,-K2449*'Inputs'!$E$50)</x:f>
        <x:v>0</x:v>
      </x:c>
      <x:c r="N2449" s="78" t="n">
        <x:f>H2449*(L2449*(1-'Inputs'!$B$15))/(I2449+L2449*(1-'Inputs'!$B$15))</x:f>
        <x:v>0</x:v>
      </x:c>
      <x:c r="O2449" s="78" t="n">
        <x:f>H2449-N2449</x:f>
        <x:v>120261663.7534641</x:v>
      </x:c>
      <x:c r="P2449" s="78" t="n">
        <x:f>I2449+L2449*(1-'Inputs'!$B$17)</x:f>
        <x:v>241.8904847539953</x:v>
      </x:c>
      <x:c r="Q2449" s="78" t="n">
        <x:f>IF(J2449&gt;0,M2449/J2449,0)</x:f>
        <x:v>0</x:v>
      </x:c>
      <x:c r="R2449" s="78" t="n">
        <x:f>IF(B2449='Inputs'!$H$50,'Inputs'!$B$27*'Inputs'!$I$50,0)</x:f>
        <x:v>0</x:v>
      </x:c>
      <x:c r="S2449" s="78" t="n">
        <x:f>Q2449+G2449+R2449</x:f>
        <x:v>454338.29048602073</x:v>
      </x:c>
      <x:c r="T2449" s="78" t="n">
        <x:f>P2449*(S2449*(1-'Inputs'!$B$15))/(O2449+S2449*(1-'Inputs'!$B$15))</x:f>
        <x:v>0.901332064424772</x:v>
      </x:c>
      <x:c r="U2449" s="78" t="n">
        <x:f>O2449+S2449*(1-'Inputs'!$B$17)</x:f>
        <x:v>120714173.72084957</x:v>
      </x:c>
      <x:c r="V2449" s="78" t="n">
        <x:f>P2449-T2449</x:f>
        <x:v>240.98915268957055</x:v>
      </x:c>
      <x:c r="W2449" s="79" t="n">
        <x:f>IF(U2449&gt;0,V2449/U2449,0)</x:f>
        <x:v>0.000001996361696902766</x:v>
      </x:c>
      <x:c r="X2449" s="80" t="n">
        <x:f>W2449*('Inputs'!$B$6-AC2449)</x:f>
        <x:v>1870.9281508359659</x:v>
      </x:c>
      <x:c r="Y2449" s="80" t="n">
        <x:f>2*V2449</x:f>
        <x:v>481.9783053791411</x:v>
      </x:c>
      <x:c r="Z2449" s="80" t="n">
        <x:f>K2449*'Inputs'!$B$16+(G2449+R2449)*J2449*'Inputs'!$B$16</x:f>
        <x:v>2.908168866553392</x:v>
      </x:c>
      <x:c r="AA2449" s="80" t="n">
        <x:f>K2449*(1+'Inputs'!$E$50)/2*'Inputs'!$B$17</x:f>
        <x:v>0.9734023531347901</x:v>
      </x:c>
      <x:c r="AB2449" s="78" t="n">
        <x:f>(IF(J2449&gt;0,K2449*(1-'Inputs'!$E$50)/2/J2449,0)+G2449+R2449)*'Inputs'!$B$17</x:f>
        <x:v>485778.6802573446</x:v>
      </x:c>
      <x:c r="AC2449" s="78" t="n">
        <x:f>AC2448+AB2449</x:f>
        <x:v>62831072.27583188</x:v>
      </x:c>
      <x:c r="AD2449" s="80" t="n">
        <x:f>Z2449/(1+'Inputs'!$C$50)</x:f>
        <x:v>1.454084433276696</x:v>
      </x:c>
      <x:c r="AE2449" s="80" t="n">
        <x:f>Z2449-AD2449</x:f>
        <x:v>1.454084433276696</x:v>
      </x:c>
      <x:c r="AF2449" s="80" t="n">
        <x:f>D2449*W2449</x:f>
        <x:v>0.5380946827216905</x:v>
      </x:c>
      <x:c r="AG2449" s="80" t="n">
        <x:f>C2449*W2449</x:f>
        <x:v>1.2555542596839446</x:v>
      </x:c>
      <x:c r="AH2449" s="80" t="n">
        <x:f>2*'Inputs'!$B$8*'Inputs'!$C$50</x:f>
        <x:v>5000</x:v>
      </x:c>
      <x:c r="AI2449" s="81" t="n">
        <x:f>IF(AH2449&gt;0,(AE2449+AF2449)/AH2449*365,0)</x:f>
        <x:v>0.14542907546788222</x:v>
      </x:c>
      <x:c r="AJ2449" s="81" t="n">
        <x:f>IF('Inputs'!$B$50&gt;0,AG2449/('Inputs'!$B$19*'Inputs'!$B$50)*365,0)</x:f>
        <x:v>0.04582773047846398</x:v>
      </x:c>
      <x:c r="AK2449" s="81" t="n">
        <x:f>W2449/MAX($W$2194:W2449)-1</x:f>
        <x:v>-0.9976312324828697</x:v>
      </x:c>
      <x:c r="AL2449" s="83" t="n">
        <x:f>'Inputs'!$B$50</x:f>
        <x:v>1</x:v>
      </x:c>
      <x:c r="AM2449" s="83" t="n">
        <x:f>'Inputs'!$C$50</x:f>
        <x:v>1</x:v>
      </x:c>
      <x:c r="AN2449" s="83" t="n">
        <x:f>'Inputs'!$D$50</x:f>
        <x:v>1</x:v>
      </x:c>
      <x:c r="AO2449" s="81" t="n">
        <x:f>'Inputs'!$E$50</x:f>
        <x:v>0</x:v>
      </x:c>
    </x:row>
    <x:row r="2450">
      <x:c r="A2450" s="59" t="str">
        <x:v>Whale exit</x:v>
      </x:c>
      <x:c r="B2450" s="59" t="n">
        <x:v>257</x:v>
      </x:c>
      <x:c r="C2450" s="78" t="n">
        <x:f>(('Inputs'!$B$29*(3*257*'Inputs'!$B$12-257^2)/(2*'Inputs'!$B$12^2))-('Inputs'!$B$29*(3*256*'Inputs'!$B$12-256^2)/(2*'Inputs'!$B$12^2)))*'Inputs'!$B$50</x:f>
        <x:v>628596.1249765456</x:v>
      </x:c>
      <x:c r="D2450" s="78" t="n">
        <x:f>IF('Inputs'!$C$50&gt;0,('Inputs'!$B$30*(3*257*'Inputs'!$B$12-257^2)/(2*'Inputs'!$B$12^2))-('Inputs'!$B$30*(3*256*'Inputs'!$B$12-256^2)/(2*'Inputs'!$B$12^2)),0)</x:f>
        <x:v>269398.33927565813</x:v>
      </x:c>
      <x:c r="E2450" s="78" t="n">
        <x:f>C2450+D2450</x:f>
        <x:v>897994.4642522037</x:v>
      </x:c>
      <x:c r="F2450" s="78" t="n">
        <x:f>'Inputs'!$B$13*E2450+(1-'Inputs'!$B$13)/'Inputs'!$B$14*SUM(E2395:E2450)</x:f>
        <x:v>908212.1411146556</x:v>
      </x:c>
      <x:c r="G2450" s="78" t="n">
        <x:f>F2450*'Inputs'!$F$50</x:f>
        <x:v>454106.0705573278</x:v>
      </x:c>
      <x:c r="H2450" s="78" t="n">
        <x:f>U2449</x:f>
        <x:v>120714173.72084957</x:v>
      </x:c>
      <x:c r="I2450" s="78" t="n">
        <x:f>V2449</x:f>
        <x:v>240.98915268957055</x:v>
      </x:c>
      <x:c r="J2450" s="79" t="n">
        <x:f>IF(H2450&gt;0,I2450/H2450,0)</x:f>
        <x:v>0.000001996361696902766</x:v>
      </x:c>
      <x:c r="K2450" s="80" t="n">
        <x:f>(H2450*J2450+I2450)*'Inputs'!$D$50*(1+'Inputs'!$G$50)^(B2450/30)</x:f>
        <x:v>481.9783053791411</x:v>
      </x:c>
      <x:c r="L2450" s="80" t="n">
        <x:f>MAX(0,K2450*'Inputs'!$E$50)</x:f>
        <x:v>0</x:v>
      </x:c>
      <x:c r="M2450" s="80" t="n">
        <x:f>MAX(0,-K2450*'Inputs'!$E$50)</x:f>
        <x:v>0</x:v>
      </x:c>
      <x:c r="N2450" s="78" t="n">
        <x:f>H2450*(L2450*(1-'Inputs'!$B$15))/(I2450+L2450*(1-'Inputs'!$B$15))</x:f>
        <x:v>0</x:v>
      </x:c>
      <x:c r="O2450" s="78" t="n">
        <x:f>H2450-N2450</x:f>
        <x:v>120714173.72084957</x:v>
      </x:c>
      <x:c r="P2450" s="78" t="n">
        <x:f>I2450+L2450*(1-'Inputs'!$B$17)</x:f>
        <x:v>240.98915268957055</x:v>
      </x:c>
      <x:c r="Q2450" s="78" t="n">
        <x:f>IF(J2450&gt;0,M2450/J2450,0)</x:f>
        <x:v>0</x:v>
      </x:c>
      <x:c r="R2450" s="78" t="n">
        <x:f>IF(B2450='Inputs'!$H$50,'Inputs'!$B$27*'Inputs'!$I$50,0)</x:f>
        <x:v>0</x:v>
      </x:c>
      <x:c r="S2450" s="78" t="n">
        <x:f>Q2450+G2450+R2450</x:f>
        <x:v>454106.0705573278</x:v>
      </x:c>
      <x:c r="T2450" s="78" t="n">
        <x:f>P2450*(S2450*(1-'Inputs'!$B$15))/(O2450+S2450*(1-'Inputs'!$B$15))</x:f>
        <x:v>0.8941643097020142</x:v>
      </x:c>
      <x:c r="U2450" s="78" t="n">
        <x:f>O2450+S2450*(1-'Inputs'!$B$17)</x:f>
        <x:v>121166452.40279299</x:v>
      </x:c>
      <x:c r="V2450" s="78" t="n">
        <x:f>P2450-T2450</x:f>
        <x:v>240.09498837986854</x:v>
      </x:c>
      <x:c r="W2450" s="79" t="n">
        <x:f>IF(U2450&gt;0,V2450/U2450,0)</x:f>
        <x:v>0.0000019815302306757487</x:v>
      </x:c>
      <x:c r="X2450" s="80" t="n">
        <x:f>W2450*('Inputs'!$B$6-AC2450)</x:f>
        <x:v>1856.0623699482694</x:v>
      </x:c>
      <x:c r="Y2450" s="80" t="n">
        <x:f>2*V2450</x:f>
        <x:v>480.1899767597371</x:v>
      </x:c>
      <x:c r="Z2450" s="80" t="n">
        <x:f>K2450*'Inputs'!$B$16+(G2450+R2450)*J2450*'Inputs'!$B$16</x:f>
        <x:v>2.8973091920683967</x:v>
      </x:c>
      <x:c r="AA2450" s="80" t="n">
        <x:f>K2450*(1+'Inputs'!$E$50)/2*'Inputs'!$B$17</x:f>
        <x:v>0.969775262332276</x:v>
      </x:c>
      <x:c r="AB2450" s="78" t="n">
        <x:f>(IF(J2450&gt;0,K2450*(1-'Inputs'!$E$50)/2/J2450,0)+G2450+R2450)*'Inputs'!$B$17</x:f>
        <x:v>487598.71143423306</x:v>
      </x:c>
      <x:c r="AC2450" s="78" t="n">
        <x:f>AC2449+AB2450</x:f>
        <x:v>63318670.98726611</x:v>
      </x:c>
      <x:c r="AD2450" s="80" t="n">
        <x:f>Z2450/(1+'Inputs'!$C$50)</x:f>
        <x:v>1.4486545960341983</x:v>
      </x:c>
      <x:c r="AE2450" s="80" t="n">
        <x:f>Z2450-AD2450</x:f>
        <x:v>1.4486545960341983</x:v>
      </x:c>
      <x:c r="AF2450" s="80" t="n">
        <x:f>D2450*W2450</x:f>
        <x:v>0.5338209533685585</x:v>
      </x:c>
      <x:c r="AG2450" s="80" t="n">
        <x:f>C2450*W2450</x:f>
        <x:v>1.2455822245266561</x:v>
      </x:c>
      <x:c r="AH2450" s="80" t="n">
        <x:f>2*'Inputs'!$B$8*'Inputs'!$C$50</x:f>
        <x:v>5000</x:v>
      </x:c>
      <x:c r="AI2450" s="81" t="n">
        <x:f>IF(AH2450&gt;0,(AE2450+AF2450)/AH2450*365,0)</x:f>
        <x:v>0.14472071510640125</x:v>
      </x:c>
      <x:c r="AJ2450" s="81" t="n">
        <x:f>IF('Inputs'!$B$50&gt;0,AG2450/('Inputs'!$B$19*'Inputs'!$B$50)*365,0)</x:f>
        <x:v>0.04546375119522295</x:v>
      </x:c>
      <x:c r="AK2450" s="81" t="n">
        <x:f>W2450/MAX($W$2194:W2450)-1</x:f>
        <x:v>-0.9976488306443072</x:v>
      </x:c>
      <x:c r="AL2450" s="83" t="n">
        <x:f>'Inputs'!$B$50</x:f>
        <x:v>1</x:v>
      </x:c>
      <x:c r="AM2450" s="83" t="n">
        <x:f>'Inputs'!$C$50</x:f>
        <x:v>1</x:v>
      </x:c>
      <x:c r="AN2450" s="83" t="n">
        <x:f>'Inputs'!$D$50</x:f>
        <x:v>1</x:v>
      </x:c>
      <x:c r="AO2450" s="81" t="n">
        <x:f>'Inputs'!$E$50</x:f>
        <x:v>0</x:v>
      </x:c>
    </x:row>
    <x:row r="2451">
      <x:c r="A2451" s="59" t="str">
        <x:v>Whale exit</x:v>
      </x:c>
      <x:c r="B2451" s="59" t="n">
        <x:v>258</x:v>
      </x:c>
      <x:c r="C2451" s="78" t="n">
        <x:f>(('Inputs'!$B$29*(3*258*'Inputs'!$B$12-258^2)/(2*'Inputs'!$B$12^2))-('Inputs'!$B$29*(3*257*'Inputs'!$B$12-257^2)/(2*'Inputs'!$B$12^2)))*'Inputs'!$B$50</x:f>
        <x:v>628271.0170763731</x:v>
      </x:c>
      <x:c r="D2451" s="78" t="n">
        <x:f>IF('Inputs'!$C$50&gt;0,('Inputs'!$B$30*(3*258*'Inputs'!$B$12-258^2)/(2*'Inputs'!$B$12^2))-('Inputs'!$B$30*(3*257*'Inputs'!$B$12-257^2)/(2*'Inputs'!$B$12^2)),0)</x:f>
        <x:v>269259.007318452</x:v>
      </x:c>
      <x:c r="E2451" s="78" t="n">
        <x:f>C2451+D2451</x:f>
        <x:v>897530.0243948251</x:v>
      </x:c>
      <x:c r="F2451" s="78" t="n">
        <x:f>'Inputs'!$B$13*E2451+(1-'Inputs'!$B$13)/'Inputs'!$B$14*SUM(E2396:E2451)</x:f>
        <x:v>907747.7012572729</x:v>
      </x:c>
      <x:c r="G2451" s="78" t="n">
        <x:f>F2451*'Inputs'!$F$50</x:f>
        <x:v>453873.8506286364</x:v>
      </x:c>
      <x:c r="H2451" s="78" t="n">
        <x:f>U2450</x:f>
        <x:v>121166452.40279299</x:v>
      </x:c>
      <x:c r="I2451" s="78" t="n">
        <x:f>V2450</x:f>
        <x:v>240.09498837986854</x:v>
      </x:c>
      <x:c r="J2451" s="79" t="n">
        <x:f>IF(H2451&gt;0,I2451/H2451,0)</x:f>
        <x:v>0.0000019815302306757487</x:v>
      </x:c>
      <x:c r="K2451" s="80" t="n">
        <x:f>(H2451*J2451+I2451)*'Inputs'!$D$50*(1+'Inputs'!$G$50)^(B2451/30)</x:f>
        <x:v>480.1899767597371</x:v>
      </x:c>
      <x:c r="L2451" s="80" t="n">
        <x:f>MAX(0,K2451*'Inputs'!$E$50)</x:f>
        <x:v>0</x:v>
      </x:c>
      <x:c r="M2451" s="80" t="n">
        <x:f>MAX(0,-K2451*'Inputs'!$E$50)</x:f>
        <x:v>0</x:v>
      </x:c>
      <x:c r="N2451" s="78" t="n">
        <x:f>H2451*(L2451*(1-'Inputs'!$B$15))/(I2451+L2451*(1-'Inputs'!$B$15))</x:f>
        <x:v>0</x:v>
      </x:c>
      <x:c r="O2451" s="78" t="n">
        <x:f>H2451-N2451</x:f>
        <x:v>121166452.40279299</x:v>
      </x:c>
      <x:c r="P2451" s="78" t="n">
        <x:f>I2451+L2451*(1-'Inputs'!$B$17)</x:f>
        <x:v>240.09498837986854</x:v>
      </x:c>
      <x:c r="Q2451" s="78" t="n">
        <x:f>IF(J2451&gt;0,M2451/J2451,0)</x:f>
        <x:v>0</x:v>
      </x:c>
      <x:c r="R2451" s="78" t="n">
        <x:f>IF(B2451='Inputs'!$H$50,'Inputs'!$B$27*'Inputs'!$I$50,0)</x:f>
        <x:v>0</x:v>
      </x:c>
      <x:c r="S2451" s="78" t="n">
        <x:f>Q2451+G2451+R2451</x:f>
        <x:v>453873.8506286364</x:v>
      </x:c>
      <x:c r="T2451" s="78" t="n">
        <x:f>P2451*(S2451*(1-'Inputs'!$B$15))/(O2451+S2451*(1-'Inputs'!$B$15))</x:f>
        <x:v>0.8870814450011388</x:v>
      </x:c>
      <x:c r="U2451" s="78" t="n">
        <x:f>O2451+S2451*(1-'Inputs'!$B$17)</x:f>
        <x:v>121618499.79929435</x:v>
      </x:c>
      <x:c r="V2451" s="78" t="n">
        <x:f>P2451-T2451</x:f>
        <x:v>239.2079069348674</x:v>
      </x:c>
      <x:c r="W2451" s="79" t="n">
        <x:f>IF(U2451&gt;0,V2451/U2451,0)</x:f>
        <x:v>0.0000019668710544006834</x:v>
      </x:c>
      <x:c r="X2451" s="80" t="n">
        <x:f>W2451*('Inputs'!$B$6-AC2451)</x:f>
        <x:v>1841.3687715050048</x:v>
      </x:c>
      <x:c r="Y2451" s="80" t="n">
        <x:f>2*V2451</x:f>
        <x:v>478.4158138697348</x:v>
      </x:c>
      <x:c r="Z2451" s="80" t="n">
        <x:f>K2451*'Inputs'!$B$16+(G2451+R2451)*J2451*'Inputs'!$B$16</x:f>
        <x:v>2.8865360490940257</x:v>
      </x:c>
      <x:c r="AA2451" s="80" t="n">
        <x:f>K2451*(1+'Inputs'!$E$50)/2*'Inputs'!$B$17</x:f>
        <x:v>0.9661770156131532</x:v>
      </x:c>
      <x:c r="AB2451" s="78" t="n">
        <x:f>(IF(J2451&gt;0,K2451*(1-'Inputs'!$E$50)/2/J2451,0)+G2451+R2451)*'Inputs'!$B$17</x:f>
        <x:v>489417.81188499654</x:v>
      </x:c>
      <x:c r="AC2451" s="78" t="n">
        <x:f>AC2450+AB2451</x:f>
        <x:v>63808088.79915111</x:v>
      </x:c>
      <x:c r="AD2451" s="80" t="n">
        <x:f>Z2451/(1+'Inputs'!$C$50)</x:f>
        <x:v>1.4432680245470129</x:v>
      </x:c>
      <x:c r="AE2451" s="80" t="n">
        <x:f>Z2451-AD2451</x:f>
        <x:v>1.4432680245470129</x:v>
      </x:c>
      <x:c r="AF2451" s="80" t="n">
        <x:f>D2451*W2451</x:f>
        <x:v>0.529597747631325</x:v>
      </x:c>
      <x:c r="AG2451" s="80" t="n">
        <x:f>C2451*W2451</x:f>
        <x:v>1.2357280778063957</x:v>
      </x:c>
      <x:c r="AH2451" s="80" t="n">
        <x:f>2*'Inputs'!$B$8*'Inputs'!$C$50</x:f>
        <x:v>5000</x:v>
      </x:c>
      <x:c r="AI2451" s="81" t="n">
        <x:f>IF(AH2451&gt;0,(AE2451+AF2451)/AH2451*365,0)</x:f>
        <x:v>0.14401920136901866</x:v>
      </x:c>
      <x:c r="AJ2451" s="81" t="n">
        <x:f>IF('Inputs'!$B$50&gt;0,AG2451/('Inputs'!$B$19*'Inputs'!$B$50)*365,0)</x:f>
        <x:v>0.04510407483993344</x:v>
      </x:c>
      <x:c r="AK2451" s="81" t="n">
        <x:f>W2451/MAX($W$2194:W2451)-1</x:f>
        <x:v>-0.9976662243764362</x:v>
      </x:c>
      <x:c r="AL2451" s="83" t="n">
        <x:f>'Inputs'!$B$50</x:f>
        <x:v>1</x:v>
      </x:c>
      <x:c r="AM2451" s="83" t="n">
        <x:f>'Inputs'!$C$50</x:f>
        <x:v>1</x:v>
      </x:c>
      <x:c r="AN2451" s="83" t="n">
        <x:f>'Inputs'!$D$50</x:f>
        <x:v>1</x:v>
      </x:c>
      <x:c r="AO2451" s="81" t="n">
        <x:f>'Inputs'!$E$50</x:f>
        <x:v>0</x:v>
      </x:c>
    </x:row>
    <x:row r="2452">
      <x:c r="A2452" s="59" t="str">
        <x:v>Whale exit</x:v>
      </x:c>
      <x:c r="B2452" s="59" t="n">
        <x:v>259</x:v>
      </x:c>
      <x:c r="C2452" s="78" t="n">
        <x:f>(('Inputs'!$B$29*(3*259*'Inputs'!$B$12-259^2)/(2*'Inputs'!$B$12^2))-('Inputs'!$B$29*(3*258*'Inputs'!$B$12-258^2)/(2*'Inputs'!$B$12^2)))*'Inputs'!$B$50</x:f>
        <x:v>627945.9091762006</x:v>
      </x:c>
      <x:c r="D2452" s="78" t="n">
        <x:f>IF('Inputs'!$C$50&gt;0,('Inputs'!$B$30*(3*259*'Inputs'!$B$12-259^2)/(2*'Inputs'!$B$12^2))-('Inputs'!$B$30*(3*258*'Inputs'!$B$12-258^2)/(2*'Inputs'!$B$12^2)),0)</x:f>
        <x:v>269119.67536123097</x:v>
      </x:c>
      <x:c r="E2452" s="78" t="n">
        <x:f>C2452+D2452</x:f>
        <x:v>897065.5845374316</x:v>
      </x:c>
      <x:c r="F2452" s="78" t="n">
        <x:f>'Inputs'!$B$13*E2452+(1-'Inputs'!$B$13)/'Inputs'!$B$14*SUM(E2397:E2452)</x:f>
        <x:v>907283.2613998865</x:v>
      </x:c>
      <x:c r="G2452" s="78" t="n">
        <x:f>F2452*'Inputs'!$F$50</x:f>
        <x:v>453641.6306999432</x:v>
      </x:c>
      <x:c r="H2452" s="78" t="n">
        <x:f>U2451</x:f>
        <x:v>121618499.79929435</x:v>
      </x:c>
      <x:c r="I2452" s="78" t="n">
        <x:f>V2451</x:f>
        <x:v>239.2079069348674</x:v>
      </x:c>
      <x:c r="J2452" s="79" t="n">
        <x:f>IF(H2452&gt;0,I2452/H2452,0)</x:f>
        <x:v>0.0000019668710544006834</x:v>
      </x:c>
      <x:c r="K2452" s="80" t="n">
        <x:f>(H2452*J2452+I2452)*'Inputs'!$D$50*(1+'Inputs'!$G$50)^(B2452/30)</x:f>
        <x:v>478.4158138697348</x:v>
      </x:c>
      <x:c r="L2452" s="80" t="n">
        <x:f>MAX(0,K2452*'Inputs'!$E$50)</x:f>
        <x:v>0</x:v>
      </x:c>
      <x:c r="M2452" s="80" t="n">
        <x:f>MAX(0,-K2452*'Inputs'!$E$50)</x:f>
        <x:v>0</x:v>
      </x:c>
      <x:c r="N2452" s="78" t="n">
        <x:f>H2452*(L2452*(1-'Inputs'!$B$15))/(I2452+L2452*(1-'Inputs'!$B$15))</x:f>
        <x:v>0</x:v>
      </x:c>
      <x:c r="O2452" s="78" t="n">
        <x:f>H2452-N2452</x:f>
        <x:v>121618499.79929435</x:v>
      </x:c>
      <x:c r="P2452" s="78" t="n">
        <x:f>I2452+L2452*(1-'Inputs'!$B$17)</x:f>
        <x:v>239.2079069348674</x:v>
      </x:c>
      <x:c r="Q2452" s="78" t="n">
        <x:f>IF(J2452&gt;0,M2452/J2452,0)</x:f>
        <x:v>0</x:v>
      </x:c>
      <x:c r="R2452" s="78" t="n">
        <x:f>IF(B2452='Inputs'!$H$50,'Inputs'!$B$27*'Inputs'!$I$50,0)</x:f>
        <x:v>0</x:v>
      </x:c>
      <x:c r="S2452" s="78" t="n">
        <x:f>Q2452+G2452+R2452</x:f>
        <x:v>453641.6306999432</x:v>
      </x:c>
      <x:c r="T2452" s="78" t="n">
        <x:f>P2452*(S2452*(1-'Inputs'!$B$15))/(O2452+S2452*(1-'Inputs'!$B$15))</x:f>
        <x:v>0.8800821341290755</x:v>
      </x:c>
      <x:c r="U2452" s="78" t="n">
        <x:f>O2452+S2452*(1-'Inputs'!$B$17)</x:f>
        <x:v>122070315.91035365</x:v>
      </x:c>
      <x:c r="V2452" s="78" t="n">
        <x:f>P2452-T2452</x:f>
        <x:v>238.3278248007383</x:v>
      </x:c>
      <x:c r="W2452" s="79" t="n">
        <x:f>IF(U2452&gt;0,V2452/U2452,0)</x:f>
        <x:v>0.0000019523814862227617</x:v>
      </x:c>
      <x:c r="X2452" s="80" t="n">
        <x:f>W2452*('Inputs'!$B$6-AC2452)</x:f>
        <x:v>1826.84467494418</x:v>
      </x:c>
      <x:c r="Y2452" s="80" t="n">
        <x:f>2*V2452</x:f>
        <x:v>476.6556496014766</x:v>
      </x:c>
      <x:c r="Z2452" s="80" t="n">
        <x:f>K2452*'Inputs'!$B$16+(G2452+R2452)*J2452*'Inputs'!$B$16</x:f>
        <x:v>2.875848410773378</x:v>
      </x:c>
      <x:c r="AA2452" s="80" t="n">
        <x:f>K2452*(1+'Inputs'!$E$50)/2*'Inputs'!$B$17</x:f>
        <x:v>0.9626072713676758</x:v>
      </x:c>
      <x:c r="AB2452" s="78" t="n">
        <x:f>(IF(J2452&gt;0,K2452*(1-'Inputs'!$E$50)/2/J2452,0)+G2452+R2452)*'Inputs'!$B$17</x:f>
        <x:v>491235.98160963506</x:v>
      </x:c>
      <x:c r="AC2452" s="78" t="n">
        <x:f>AC2451+AB2452</x:f>
        <x:v>64299324.78076074</x:v>
      </x:c>
      <x:c r="AD2452" s="80" t="n">
        <x:f>Z2452/(1+'Inputs'!$C$50)</x:f>
        <x:v>1.437924205386689</x:v>
      </x:c>
      <x:c r="AE2452" s="80" t="n">
        <x:f>Z2452-AD2452</x:f>
        <x:v>1.437924205386689</x:v>
      </x:c>
      <x:c r="AF2452" s="80" t="n">
        <x:f>D2452*W2452</x:f>
        <x:v>0.5254242717535472</x:v>
      </x:c>
      <x:c r="AG2452" s="80" t="n">
        <x:f>C2452*W2452</x:f>
        <x:v>1.225989967424934</x:v>
      </x:c>
      <x:c r="AH2452" s="80" t="n">
        <x:f>2*'Inputs'!$B$8*'Inputs'!$C$50</x:f>
        <x:v>5000</x:v>
      </x:c>
      <x:c r="AI2452" s="81" t="n">
        <x:f>IF(AH2452&gt;0,(AE2452+AF2452)/AH2452*365,0)</x:f>
        <x:v>0.14332443883123724</x:v>
      </x:c>
      <x:c r="AJ2452" s="81" t="n">
        <x:f>IF('Inputs'!$B$50&gt;0,AG2452/('Inputs'!$B$19*'Inputs'!$B$50)*365,0)</x:f>
        <x:v>0.04474863381101009</x:v>
      </x:c>
      <x:c r="AK2452" s="81" t="n">
        <x:f>W2452/MAX($W$2194:W2452)-1</x:f>
        <x:v>-0.9976834168613903</x:v>
      </x:c>
      <x:c r="AL2452" s="83" t="n">
        <x:f>'Inputs'!$B$50</x:f>
        <x:v>1</x:v>
      </x:c>
      <x:c r="AM2452" s="83" t="n">
        <x:f>'Inputs'!$C$50</x:f>
        <x:v>1</x:v>
      </x:c>
      <x:c r="AN2452" s="83" t="n">
        <x:f>'Inputs'!$D$50</x:f>
        <x:v>1</x:v>
      </x:c>
      <x:c r="AO2452" s="81" t="n">
        <x:f>'Inputs'!$E$50</x:f>
        <x:v>0</x:v>
      </x:c>
    </x:row>
    <x:row r="2453">
      <x:c r="A2453" s="59" t="str">
        <x:v>Whale exit</x:v>
      </x:c>
      <x:c r="B2453" s="59" t="n">
        <x:v>260</x:v>
      </x:c>
      <x:c r="C2453" s="78" t="n">
        <x:f>(('Inputs'!$B$29*(3*260*'Inputs'!$B$12-260^2)/(2*'Inputs'!$B$12^2))-('Inputs'!$B$29*(3*259*'Inputs'!$B$12-259^2)/(2*'Inputs'!$B$12^2)))*'Inputs'!$B$50</x:f>
        <x:v>627620.8012760282</x:v>
      </x:c>
      <x:c r="D2453" s="78" t="n">
        <x:f>IF('Inputs'!$C$50&gt;0,('Inputs'!$B$30*(3*260*'Inputs'!$B$12-260^2)/(2*'Inputs'!$B$12^2))-('Inputs'!$B$30*(3*259*'Inputs'!$B$12-259^2)/(2*'Inputs'!$B$12^2)),0)</x:f>
        <x:v>268980.34340400994</x:v>
      </x:c>
      <x:c r="E2453" s="78" t="n">
        <x:f>C2453+D2453</x:f>
        <x:v>896601.1446800381</x:v>
      </x:c>
      <x:c r="F2453" s="78" t="n">
        <x:f>'Inputs'!$B$13*E2453+(1-'Inputs'!$B$13)/'Inputs'!$B$14*SUM(E2398:E2453)</x:f>
        <x:v>906818.8215425004</x:v>
      </x:c>
      <x:c r="G2453" s="78" t="n">
        <x:f>F2453*'Inputs'!$F$50</x:f>
        <x:v>453409.4107712502</x:v>
      </x:c>
      <x:c r="H2453" s="78" t="n">
        <x:f>U2452</x:f>
        <x:v>122070315.91035365</x:v>
      </x:c>
      <x:c r="I2453" s="78" t="n">
        <x:f>V2452</x:f>
        <x:v>238.3278248007383</x:v>
      </x:c>
      <x:c r="J2453" s="79" t="n">
        <x:f>IF(H2453&gt;0,I2453/H2453,0)</x:f>
        <x:v>0.0000019523814862227617</x:v>
      </x:c>
      <x:c r="K2453" s="80" t="n">
        <x:f>(H2453*J2453+I2453)*'Inputs'!$D$50*(1+'Inputs'!$G$50)^(B2453/30)</x:f>
        <x:v>476.6556496014766</x:v>
      </x:c>
      <x:c r="L2453" s="80" t="n">
        <x:f>MAX(0,K2453*'Inputs'!$E$50)</x:f>
        <x:v>0</x:v>
      </x:c>
      <x:c r="M2453" s="80" t="n">
        <x:f>MAX(0,-K2453*'Inputs'!$E$50)</x:f>
        <x:v>0</x:v>
      </x:c>
      <x:c r="N2453" s="78" t="n">
        <x:f>H2453*(L2453*(1-'Inputs'!$B$15))/(I2453+L2453*(1-'Inputs'!$B$15))</x:f>
        <x:v>0</x:v>
      </x:c>
      <x:c r="O2453" s="78" t="n">
        <x:f>H2453-N2453</x:f>
        <x:v>122070315.91035365</x:v>
      </x:c>
      <x:c r="P2453" s="78" t="n">
        <x:f>I2453+L2453*(1-'Inputs'!$B$17)</x:f>
        <x:v>238.3278248007383</x:v>
      </x:c>
      <x:c r="Q2453" s="78" t="n">
        <x:f>IF(J2453&gt;0,M2453/J2453,0)</x:f>
        <x:v>0</x:v>
      </x:c>
      <x:c r="R2453" s="78" t="n">
        <x:f>IF(B2453='Inputs'!$H$50,'Inputs'!$B$27*'Inputs'!$I$50,0)</x:f>
        <x:v>0</x:v>
      </x:c>
      <x:c r="S2453" s="78" t="n">
        <x:f>Q2453+G2453+R2453</x:f>
        <x:v>453409.4107712502</x:v>
      </x:c>
      <x:c r="T2453" s="78" t="n">
        <x:f>P2453*(S2453*(1-'Inputs'!$B$15))/(O2453+S2453*(1-'Inputs'!$B$15))</x:f>
        <x:v>0.8731650670868376</x:v>
      </x:c>
      <x:c r="U2453" s="78" t="n">
        <x:f>O2453+S2453*(1-'Inputs'!$B$17)</x:f>
        <x:v>122521900.73597088</x:v>
      </x:c>
      <x:c r="V2453" s="78" t="n">
        <x:f>P2453-T2453</x:f>
        <x:v>237.45465973365148</x:v>
      </x:c>
      <x:c r="W2453" s="79" t="n">
        <x:f>IF(U2453&gt;0,V2453/U2453,0)</x:f>
        <x:v>0.000001938058896469093</x:v>
      </x:c>
      <x:c r="X2453" s="80" t="n">
        <x:f>W2453*('Inputs'!$B$6-AC2453)</x:f>
        <x:v>1812.4874518601516</x:v>
      </x:c>
      <x:c r="Y2453" s="80" t="n">
        <x:f>2*V2453</x:f>
        <x:v>474.90931946730296</x:v>
      </x:c>
      <x:c r="Z2453" s="80" t="n">
        <x:f>K2453*'Inputs'!$B$16+(G2453+R2453)*J2453*'Inputs'!$B$16</x:f>
        <x:v>2.865245266444474</x:v>
      </x:c>
      <x:c r="AA2453" s="80" t="n">
        <x:f>K2453*(1+'Inputs'!$E$50)/2*'Inputs'!$B$17</x:f>
        <x:v>0.9590656933631321</x:v>
      </x:c>
      <x:c r="AB2453" s="78" t="n">
        <x:f>(IF(J2453&gt;0,K2453*(1-'Inputs'!$E$50)/2/J2453,0)+G2453+R2453)*'Inputs'!$B$17</x:f>
        <x:v>493053.22060814855</x:v>
      </x:c>
      <x:c r="AC2453" s="78" t="n">
        <x:f>AC2452+AB2453</x:f>
        <x:v>64792378.00136889</x:v>
      </x:c>
      <x:c r="AD2453" s="80" t="n">
        <x:f>Z2453/(1+'Inputs'!$C$50)</x:f>
        <x:v>1.432622633222237</x:v>
      </x:c>
      <x:c r="AE2453" s="80" t="n">
        <x:f>Z2453-AD2453</x:f>
        <x:v>1.432622633222237</x:v>
      </x:c>
      <x:c r="AF2453" s="80" t="n">
        <x:f>D2453*W2453</x:f>
        <x:v>0.5212997475094532</x:v>
      </x:c>
      <x:c r="AG2453" s="80" t="n">
        <x:f>C2453*W2453</x:f>
        <x:v>1.216366077522067</x:v>
      </x:c>
      <x:c r="AH2453" s="80" t="n">
        <x:f>2*'Inputs'!$B$8*'Inputs'!$C$50</x:f>
        <x:v>5000</x:v>
      </x:c>
      <x:c r="AI2453" s="81" t="n">
        <x:f>IF(AH2453&gt;0,(AE2453+AF2453)/AH2453*365,0)</x:f>
        <x:v>0.1426363337934134</x:v>
      </x:c>
      <x:c r="AJ2453" s="81" t="n">
        <x:f>IF('Inputs'!$B$50&gt;0,AG2453/('Inputs'!$B$19*'Inputs'!$B$50)*365,0)</x:f>
        <x:v>0.04439736182955545</x:v>
      </x:c>
      <x:c r="AK2453" s="81" t="n">
        <x:f>W2453/MAX($W$2194:W2453)-1</x:f>
        <x:v>-0.9977004112193878</x:v>
      </x:c>
      <x:c r="AL2453" s="83" t="n">
        <x:f>'Inputs'!$B$50</x:f>
        <x:v>1</x:v>
      </x:c>
      <x:c r="AM2453" s="83" t="n">
        <x:f>'Inputs'!$C$50</x:f>
        <x:v>1</x:v>
      </x:c>
      <x:c r="AN2453" s="83" t="n">
        <x:f>'Inputs'!$D$50</x:f>
        <x:v>1</x:v>
      </x:c>
      <x:c r="AO2453" s="81" t="n">
        <x:f>'Inputs'!$E$50</x:f>
        <x:v>0</x:v>
      </x:c>
    </x:row>
    <x:row r="2454">
      <x:c r="A2454" s="59" t="str">
        <x:v>Whale exit</x:v>
      </x:c>
      <x:c r="B2454" s="59" t="n">
        <x:v>261</x:v>
      </x:c>
      <x:c r="C2454" s="78" t="n">
        <x:f>(('Inputs'!$B$29*(3*261*'Inputs'!$B$12-261^2)/(2*'Inputs'!$B$12^2))-('Inputs'!$B$29*(3*260*'Inputs'!$B$12-260^2)/(2*'Inputs'!$B$12^2)))*'Inputs'!$B$50</x:f>
        <x:v>627295.6933758855</x:v>
      </x:c>
      <x:c r="D2454" s="78" t="n">
        <x:f>IF('Inputs'!$C$50&gt;0,('Inputs'!$B$30*(3*261*'Inputs'!$B$12-261^2)/(2*'Inputs'!$B$12^2))-('Inputs'!$B$30*(3*260*'Inputs'!$B$12-260^2)/(2*'Inputs'!$B$12^2)),0)</x:f>
        <x:v>268841.0114468038</x:v>
      </x:c>
      <x:c r="E2454" s="78" t="n">
        <x:f>C2454+D2454</x:f>
        <x:v>896136.7048226893</x:v>
      </x:c>
      <x:c r="F2454" s="78" t="n">
        <x:f>'Inputs'!$B$13*E2454+(1-'Inputs'!$B$13)/'Inputs'!$B$14*SUM(E2399:E2454)</x:f>
        <x:v>906354.3816851235</x:v>
      </x:c>
      <x:c r="G2454" s="78" t="n">
        <x:f>F2454*'Inputs'!$F$50</x:f>
        <x:v>453177.1908425618</x:v>
      </x:c>
      <x:c r="H2454" s="78" t="n">
        <x:f>U2453</x:f>
        <x:v>122521900.73597088</x:v>
      </x:c>
      <x:c r="I2454" s="78" t="n">
        <x:f>V2453</x:f>
        <x:v>237.45465973365148</x:v>
      </x:c>
      <x:c r="J2454" s="79" t="n">
        <x:f>IF(H2454&gt;0,I2454/H2454,0)</x:f>
        <x:v>0.000001938058896469093</x:v>
      </x:c>
      <x:c r="K2454" s="80" t="n">
        <x:f>(H2454*J2454+I2454)*'Inputs'!$D$50*(1+'Inputs'!$G$50)^(B2454/30)</x:f>
        <x:v>474.90931946730296</x:v>
      </x:c>
      <x:c r="L2454" s="80" t="n">
        <x:f>MAX(0,K2454*'Inputs'!$E$50)</x:f>
        <x:v>0</x:v>
      </x:c>
      <x:c r="M2454" s="80" t="n">
        <x:f>MAX(0,-K2454*'Inputs'!$E$50)</x:f>
        <x:v>0</x:v>
      </x:c>
      <x:c r="N2454" s="78" t="n">
        <x:f>H2454*(L2454*(1-'Inputs'!$B$15))/(I2454+L2454*(1-'Inputs'!$B$15))</x:f>
        <x:v>0</x:v>
      </x:c>
      <x:c r="O2454" s="78" t="n">
        <x:f>H2454-N2454</x:f>
        <x:v>122521900.73597088</x:v>
      </x:c>
      <x:c r="P2454" s="78" t="n">
        <x:f>I2454+L2454*(1-'Inputs'!$B$17)</x:f>
        <x:v>237.45465973365148</x:v>
      </x:c>
      <x:c r="Q2454" s="78" t="n">
        <x:f>IF(J2454&gt;0,M2454/J2454,0)</x:f>
        <x:v>0</x:v>
      </x:c>
      <x:c r="R2454" s="78" t="n">
        <x:f>IF(B2454='Inputs'!$H$50,'Inputs'!$B$27*'Inputs'!$I$50,0)</x:f>
        <x:v>0</x:v>
      </x:c>
      <x:c r="S2454" s="78" t="n">
        <x:f>Q2454+G2454+R2454</x:f>
        <x:v>453177.1908425618</x:v>
      </x:c>
      <x:c r="T2454" s="78" t="n">
        <x:f>P2454*(S2454*(1-'Inputs'!$B$15))/(O2454+S2454*(1-'Inputs'!$B$15))</x:f>
        <x:v>0.8663289594556091</x:v>
      </x:c>
      <x:c r="U2454" s="78" t="n">
        <x:f>O2454+S2454*(1-'Inputs'!$B$17)</x:f>
        <x:v>122973254.27614607</x:v>
      </x:c>
      <x:c r="V2454" s="78" t="n">
        <x:f>P2454-T2454</x:f>
        <x:v>236.58833077419587</x:v>
      </x:c>
      <x:c r="W2454" s="79" t="n">
        <x:f>IF(U2454&gt;0,V2454/U2454,0)</x:f>
        <x:v>0.000001923900706432622</x:v>
      </x:c>
      <x:c r="X2454" s="80" t="n">
        <x:f>W2454*('Inputs'!$B$6-AC2454)</x:f>
        <x:v>1798.2945247881335</x:v>
      </x:c>
      <x:c r="Y2454" s="80" t="n">
        <x:f>2*V2454</x:f>
        <x:v>473.17666154839173</x:v>
      </x:c>
      <x:c r="Z2454" s="80" t="n">
        <x:f>K2454*'Inputs'!$B$16+(G2454+R2454)*J2454*'Inputs'!$B$16</x:f>
        <x:v>2.854725621322154</x:v>
      </x:c>
      <x:c r="AA2454" s="80" t="n">
        <x:f>K2454*(1+'Inputs'!$E$50)/2*'Inputs'!$B$17</x:f>
        <x:v>0.9555519506384367</x:v>
      </x:c>
      <x:c r="AB2454" s="78" t="n">
        <x:f>(IF(J2454&gt;0,K2454*(1-'Inputs'!$E$50)/2/J2454,0)+G2454+R2454)*'Inputs'!$B$17</x:f>
        <x:v>494869.5288805371</x:v>
      </x:c>
      <x:c r="AC2454" s="78" t="n">
        <x:f>AC2453+AB2454</x:f>
        <x:v>65287247.530249424</x:v>
      </x:c>
      <x:c r="AD2454" s="80" t="n">
        <x:f>Z2454/(1+'Inputs'!$C$50)</x:f>
        <x:v>1.427362810661077</x:v>
      </x:c>
      <x:c r="AE2454" s="80" t="n">
        <x:f>Z2454-AD2454</x:f>
        <x:v>1.427362810661077</x:v>
      </x:c>
      <x:c r="AF2454" s="80" t="n">
        <x:f>D2454*W2454</x:f>
        <x:v>0.5172234118405664</x:v>
      </x:c>
      <x:c r="AG2454" s="80" t="n">
        <x:f>C2454*W2454</x:f>
        <x:v>1.2068546276280074</x:v>
      </x:c>
      <x:c r="AH2454" s="80" t="n">
        <x:f>2*'Inputs'!$B$8*'Inputs'!$C$50</x:f>
        <x:v>5000</x:v>
      </x:c>
      <x:c r="AI2454" s="81" t="n">
        <x:f>IF(AH2454&gt;0,(AE2454+AF2454)/AH2454*365,0)</x:f>
        <x:v>0.14195479424261997</x:v>
      </x:c>
      <x:c r="AJ2454" s="81" t="n">
        <x:f>IF('Inputs'!$B$50&gt;0,AG2454/('Inputs'!$B$19*'Inputs'!$B$50)*365,0)</x:f>
        <x:v>0.044050193908422276</x:v>
      </x:c>
      <x:c r="AK2454" s="81" t="n">
        <x:f>W2454/MAX($W$2194:W2454)-1</x:f>
        <x:v>-0.9977172105101736</x:v>
      </x:c>
      <x:c r="AL2454" s="83" t="n">
        <x:f>'Inputs'!$B$50</x:f>
        <x:v>1</x:v>
      </x:c>
      <x:c r="AM2454" s="83" t="n">
        <x:f>'Inputs'!$C$50</x:f>
        <x:v>1</x:v>
      </x:c>
      <x:c r="AN2454" s="83" t="n">
        <x:f>'Inputs'!$D$50</x:f>
        <x:v>1</x:v>
      </x:c>
      <x:c r="AO2454" s="81" t="n">
        <x:f>'Inputs'!$E$50</x:f>
        <x:v>0</x:v>
      </x:c>
    </x:row>
    <x:row r="2455">
      <x:c r="A2455" s="59" t="str">
        <x:v>Whale exit</x:v>
      </x:c>
      <x:c r="B2455" s="59" t="n">
        <x:v>262</x:v>
      </x:c>
      <x:c r="C2455" s="78" t="n">
        <x:f>(('Inputs'!$B$29*(3*262*'Inputs'!$B$12-262^2)/(2*'Inputs'!$B$12^2))-('Inputs'!$B$29*(3*261*'Inputs'!$B$12-261^2)/(2*'Inputs'!$B$12^2)))*'Inputs'!$B$50</x:f>
        <x:v>626970.5854756832</x:v>
      </x:c>
      <x:c r="D2455" s="78" t="n">
        <x:f>IF('Inputs'!$C$50&gt;0,('Inputs'!$B$30*(3*262*'Inputs'!$B$12-262^2)/(2*'Inputs'!$B$12^2))-('Inputs'!$B$30*(3*261*'Inputs'!$B$12-261^2)/(2*'Inputs'!$B$12^2)),0)</x:f>
        <x:v>268701.6794895828</x:v>
      </x:c>
      <x:c r="E2455" s="78" t="n">
        <x:f>C2455+D2455</x:f>
        <x:v>895672.264965266</x:v>
      </x:c>
      <x:c r="F2455" s="78" t="n">
        <x:f>'Inputs'!$B$13*E2455+(1-'Inputs'!$B$13)/'Inputs'!$B$14*SUM(E2400:E2455)</x:f>
        <x:v>905889.9418277313</x:v>
      </x:c>
      <x:c r="G2455" s="78" t="n">
        <x:f>F2455*'Inputs'!$F$50</x:f>
        <x:v>452944.97091386566</x:v>
      </x:c>
      <x:c r="H2455" s="78" t="n">
        <x:f>U2454</x:f>
        <x:v>122973254.27614607</x:v>
      </x:c>
      <x:c r="I2455" s="78" t="n">
        <x:f>V2454</x:f>
        <x:v>236.58833077419587</x:v>
      </x:c>
      <x:c r="J2455" s="79" t="n">
        <x:f>IF(H2455&gt;0,I2455/H2455,0)</x:f>
        <x:v>0.000001923900706432622</x:v>
      </x:c>
      <x:c r="K2455" s="80" t="n">
        <x:f>(H2455*J2455+I2455)*'Inputs'!$D$50*(1+'Inputs'!$G$50)^(B2455/30)</x:f>
        <x:v>473.17666154839173</x:v>
      </x:c>
      <x:c r="L2455" s="80" t="n">
        <x:f>MAX(0,K2455*'Inputs'!$E$50)</x:f>
        <x:v>0</x:v>
      </x:c>
      <x:c r="M2455" s="80" t="n">
        <x:f>MAX(0,-K2455*'Inputs'!$E$50)</x:f>
        <x:v>0</x:v>
      </x:c>
      <x:c r="N2455" s="78" t="n">
        <x:f>H2455*(L2455*(1-'Inputs'!$B$15))/(I2455+L2455*(1-'Inputs'!$B$15))</x:f>
        <x:v>0</x:v>
      </x:c>
      <x:c r="O2455" s="78" t="n">
        <x:f>H2455-N2455</x:f>
        <x:v>122973254.27614607</x:v>
      </x:c>
      <x:c r="P2455" s="78" t="n">
        <x:f>I2455+L2455*(1-'Inputs'!$B$17)</x:f>
        <x:v>236.58833077419587</x:v>
      </x:c>
      <x:c r="Q2455" s="78" t="n">
        <x:f>IF(J2455&gt;0,M2455/J2455,0)</x:f>
        <x:v>0</x:v>
      </x:c>
      <x:c r="R2455" s="78" t="n">
        <x:f>IF(B2455='Inputs'!$H$50,'Inputs'!$B$27*'Inputs'!$I$50,0)</x:f>
        <x:v>0</x:v>
      </x:c>
      <x:c r="S2455" s="78" t="n">
        <x:f>Q2455+G2455+R2455</x:f>
        <x:v>452944.97091386566</x:v>
      </x:c>
      <x:c r="T2455" s="78" t="n">
        <x:f>P2455*(S2455*(1-'Inputs'!$B$15))/(O2455+S2455*(1-'Inputs'!$B$15))</x:f>
        <x:v>0.8595725517995267</x:v>
      </x:c>
      <x:c r="U2455" s="78" t="n">
        <x:f>O2455+S2455*(1-'Inputs'!$B$17)</x:f>
        <x:v>123424376.5308792</x:v>
      </x:c>
      <x:c r="V2455" s="78" t="n">
        <x:f>P2455-T2455</x:f>
        <x:v>235.72875822239635</x:v>
      </x:c>
      <x:c r="W2455" s="79" t="n">
        <x:f>IF(U2455&gt;0,V2455/U2455,0)</x:f>
        <x:v>0.000001909904387189025</x:v>
      </x:c>
      <x:c r="X2455" s="80" t="n">
        <x:f>W2455*('Inputs'!$B$6-AC2455)</x:f>
        <x:v>1784.263366021671</x:v>
      </x:c>
      <x:c r="Y2455" s="80" t="n">
        <x:f>2*V2455</x:f>
        <x:v>471.4575164447927</x:v>
      </x:c>
      <x:c r="Z2455" s="80" t="n">
        <x:f>K2455*'Inputs'!$B$16+(G2455+R2455)*J2455*'Inputs'!$B$16</x:f>
        <x:v>2.844288496187448</x:v>
      </x:c>
      <x:c r="AA2455" s="80" t="n">
        <x:f>K2455*(1+'Inputs'!$E$50)/2*'Inputs'!$B$17</x:f>
        <x:v>0.9520657174011907</x:v>
      </x:c>
      <x:c r="AB2455" s="78" t="n">
        <x:f>(IF(J2455&gt;0,K2455*(1-'Inputs'!$E$50)/2/J2455,0)+G2455+R2455)*'Inputs'!$B$17</x:f>
        <x:v>496684.90642680065</x:v>
      </x:c>
      <x:c r="AC2455" s="78" t="n">
        <x:f>AC2454+AB2455</x:f>
        <x:v>65783932.43667623</x:v>
      </x:c>
      <x:c r="AD2455" s="80" t="n">
        <x:f>Z2455/(1+'Inputs'!$C$50)</x:f>
        <x:v>1.422144248093724</x:v>
      </x:c>
      <x:c r="AE2455" s="80" t="n">
        <x:f>Z2455-AD2455</x:f>
        <x:v>1.422144248093724</x:v>
      </x:c>
      <x:c r="AF2455" s="80" t="n">
        <x:f>D2455*W2455</x:f>
        <x:v>0.5131945165022135</x:v>
      </x:c>
      <x:c r="AG2455" s="80" t="n">
        <x:f>C2455*W2455</x:f>
        <x:v>1.197453871838479</x:v>
      </x:c>
      <x:c r="AH2455" s="80" t="n">
        <x:f>2*'Inputs'!$B$8*'Inputs'!$C$50</x:f>
        <x:v>5000</x:v>
      </x:c>
      <x:c r="AI2455" s="81" t="n">
        <x:f>IF(AH2455&gt;0,(AE2455+AF2455)/AH2455*365,0)</x:f>
        <x:v>0.14127972981550344</x:v>
      </x:c>
      <x:c r="AJ2455" s="81" t="n">
        <x:f>IF('Inputs'!$B$50&gt;0,AG2455/('Inputs'!$B$19*'Inputs'!$B$50)*365,0)</x:f>
        <x:v>0.043707066322104485</x:v>
      </x:c>
      <x:c r="AK2455" s="81" t="n">
        <x:f>W2455/MAX($W$2194:W2455)-1</x:f>
        <x:v>-0.997733817734423</x:v>
      </x:c>
      <x:c r="AL2455" s="83" t="n">
        <x:f>'Inputs'!$B$50</x:f>
        <x:v>1</x:v>
      </x:c>
      <x:c r="AM2455" s="83" t="n">
        <x:f>'Inputs'!$C$50</x:f>
        <x:v>1</x:v>
      </x:c>
      <x:c r="AN2455" s="83" t="n">
        <x:f>'Inputs'!$D$50</x:f>
        <x:v>1</x:v>
      </x:c>
      <x:c r="AO2455" s="81" t="n">
        <x:f>'Inputs'!$E$50</x:f>
        <x:v>0</x:v>
      </x:c>
    </x:row>
    <x:row r="2456">
      <x:c r="A2456" s="59" t="str">
        <x:v>Whale exit</x:v>
      </x:c>
      <x:c r="B2456" s="59" t="n">
        <x:v>263</x:v>
      </x:c>
      <x:c r="C2456" s="78" t="n">
        <x:f>(('Inputs'!$B$29*(3*263*'Inputs'!$B$12-263^2)/(2*'Inputs'!$B$12^2))-('Inputs'!$B$29*(3*262*'Inputs'!$B$12-262^2)/(2*'Inputs'!$B$12^2)))*'Inputs'!$B$50</x:f>
        <x:v>626645.4775755405</x:v>
      </x:c>
      <x:c r="D2456" s="78" t="n">
        <x:f>IF('Inputs'!$C$50&gt;0,('Inputs'!$B$30*(3*263*'Inputs'!$B$12-263^2)/(2*'Inputs'!$B$12^2))-('Inputs'!$B$30*(3*262*'Inputs'!$B$12-262^2)/(2*'Inputs'!$B$12^2)),0)</x:f>
        <x:v>268562.34753237665</x:v>
      </x:c>
      <x:c r="E2456" s="78" t="n">
        <x:f>C2456+D2456</x:f>
        <x:v>895207.8251079172</x:v>
      </x:c>
      <x:c r="F2456" s="78" t="n">
        <x:f>'Inputs'!$B$13*E2456+(1-'Inputs'!$B$13)/'Inputs'!$B$14*SUM(E2401:E2456)</x:f>
        <x:v>905425.5019703544</x:v>
      </x:c>
      <x:c r="G2456" s="78" t="n">
        <x:f>F2456*'Inputs'!$F$50</x:f>
        <x:v>452712.7509851772</x:v>
      </x:c>
      <x:c r="H2456" s="78" t="n">
        <x:f>U2455</x:f>
        <x:v>123424376.5308792</x:v>
      </x:c>
      <x:c r="I2456" s="78" t="n">
        <x:f>V2455</x:f>
        <x:v>235.72875822239635</x:v>
      </x:c>
      <x:c r="J2456" s="79" t="n">
        <x:f>IF(H2456&gt;0,I2456/H2456,0)</x:f>
        <x:v>0.000001909904387189025</x:v>
      </x:c>
      <x:c r="K2456" s="80" t="n">
        <x:f>(H2456*J2456+I2456)*'Inputs'!$D$50*(1+'Inputs'!$G$50)^(B2456/30)</x:f>
        <x:v>471.4575164447927</x:v>
      </x:c>
      <x:c r="L2456" s="80" t="n">
        <x:f>MAX(0,K2456*'Inputs'!$E$50)</x:f>
        <x:v>0</x:v>
      </x:c>
      <x:c r="M2456" s="80" t="n">
        <x:f>MAX(0,-K2456*'Inputs'!$E$50)</x:f>
        <x:v>0</x:v>
      </x:c>
      <x:c r="N2456" s="78" t="n">
        <x:f>H2456*(L2456*(1-'Inputs'!$B$15))/(I2456+L2456*(1-'Inputs'!$B$15))</x:f>
        <x:v>0</x:v>
      </x:c>
      <x:c r="O2456" s="78" t="n">
        <x:f>H2456-N2456</x:f>
        <x:v>123424376.5308792</x:v>
      </x:c>
      <x:c r="P2456" s="78" t="n">
        <x:f>I2456+L2456*(1-'Inputs'!$B$17)</x:f>
        <x:v>235.72875822239635</x:v>
      </x:c>
      <x:c r="Q2456" s="78" t="n">
        <x:f>IF(J2456&gt;0,M2456/J2456,0)</x:f>
        <x:v>0</x:v>
      </x:c>
      <x:c r="R2456" s="78" t="n">
        <x:f>IF(B2456='Inputs'!$H$50,'Inputs'!$B$27*'Inputs'!$I$50,0)</x:f>
        <x:v>0</x:v>
      </x:c>
      <x:c r="S2456" s="78" t="n">
        <x:f>Q2456+G2456+R2456</x:f>
        <x:v>452712.7509851772</x:v>
      </x:c>
      <x:c r="T2456" s="78" t="n">
        <x:f>P2456*(S2456*(1-'Inputs'!$B$15))/(O2456+S2456*(1-'Inputs'!$B$15))</x:f>
        <x:v>0.8528946090847851</x:v>
      </x:c>
      <x:c r="U2456" s="78" t="n">
        <x:f>O2456+S2456*(1-'Inputs'!$B$17)</x:f>
        <x:v>123875267.50017028</x:v>
      </x:c>
      <x:c r="V2456" s="78" t="n">
        <x:f>P2456-T2456</x:f>
        <x:v>234.87586361331157</x:v>
      </x:c>
      <x:c r="W2456" s="79" t="n">
        <x:f>IF(U2456&gt;0,V2456/U2456,0)</x:f>
        <x:v>0.0000018960674584455587</x:v>
      </x:c>
      <x:c r="X2456" s="80" t="n">
        <x:f>W2456*('Inputs'!$B$6-AC2456)</x:f>
        <x:v>1770.3914964620478</x:v>
      </x:c>
      <x:c r="Y2456" s="80" t="n">
        <x:f>2*V2456</x:f>
        <x:v>469.75172722662313</x:v>
      </x:c>
      <x:c r="Z2456" s="80" t="n">
        <x:f>K2456*'Inputs'!$B$16+(G2456+R2456)*J2456*'Inputs'!$B$16</x:f>
        <x:v>2.833932927084214</x:v>
      </x:c>
      <x:c r="AA2456" s="80" t="n">
        <x:f>K2456*(1+'Inputs'!$E$50)/2*'Inputs'!$B$17</x:f>
        <x:v>0.9486066729271484</x:v>
      </x:c>
      <x:c r="AB2456" s="78" t="n">
        <x:f>(IF(J2456&gt;0,K2456*(1-'Inputs'!$E$50)/2/J2456,0)+G2456+R2456)*'Inputs'!$B$17</x:f>
        <x:v>498499.3532469392</x:v>
      </x:c>
      <x:c r="AC2456" s="78" t="n">
        <x:f>AC2455+AB2456</x:f>
        <x:v>66282431.78992317</x:v>
      </x:c>
      <x:c r="AD2456" s="80" t="n">
        <x:f>Z2456/(1+'Inputs'!$C$50)</x:f>
        <x:v>1.416966463542107</x:v>
      </x:c>
      <x:c r="AE2456" s="80" t="n">
        <x:f>Z2456-AD2456</x:f>
        <x:v>1.416966463542107</x:v>
      </x:c>
      <x:c r="AF2456" s="80" t="n">
        <x:f>D2456*W2456</x:f>
        <x:v>0.5092123277198862</x:v>
      </x:c>
      <x:c r="AG2456" s="80" t="n">
        <x:f>C2456*W2456</x:f>
        <x:v>1.1881620980130585</x:v>
      </x:c>
      <x:c r="AH2456" s="80" t="n">
        <x:f>2*'Inputs'!$B$8*'Inputs'!$C$50</x:f>
        <x:v>5000</x:v>
      </x:c>
      <x:c r="AI2456" s="81" t="n">
        <x:f>IF(AH2456&gt;0,(AE2456+AF2456)/AH2456*365,0)</x:f>
        <x:v>0.14061105176212552</x:v>
      </x:c>
      <x:c r="AJ2456" s="81" t="n">
        <x:f>IF('Inputs'!$B$50&gt;0,AG2456/('Inputs'!$B$19*'Inputs'!$B$50)*365,0)</x:f>
        <x:v>0.043367916577476635</x:v>
      </x:c>
      <x:c r="AK2456" s="81" t="n">
        <x:f>W2456/MAX($W$2194:W2456)-1</x:f>
        <x:v>-0.9977502358351086</x:v>
      </x:c>
      <x:c r="AL2456" s="83" t="n">
        <x:f>'Inputs'!$B$50</x:f>
        <x:v>1</x:v>
      </x:c>
      <x:c r="AM2456" s="83" t="n">
        <x:f>'Inputs'!$C$50</x:f>
        <x:v>1</x:v>
      </x:c>
      <x:c r="AN2456" s="83" t="n">
        <x:f>'Inputs'!$D$50</x:f>
        <x:v>1</x:v>
      </x:c>
      <x:c r="AO2456" s="81" t="n">
        <x:f>'Inputs'!$E$50</x:f>
        <x:v>0</x:v>
      </x:c>
    </x:row>
    <x:row r="2457">
      <x:c r="A2457" s="59" t="str">
        <x:v>Whale exit</x:v>
      </x:c>
      <x:c r="B2457" s="59" t="n">
        <x:v>264</x:v>
      </x:c>
      <x:c r="C2457" s="78" t="n">
        <x:f>(('Inputs'!$B$29*(3*264*'Inputs'!$B$12-264^2)/(2*'Inputs'!$B$12^2))-('Inputs'!$B$29*(3*263*'Inputs'!$B$12-263^2)/(2*'Inputs'!$B$12^2)))*'Inputs'!$B$50</x:f>
        <x:v>626320.3696753681</x:v>
      </x:c>
      <x:c r="D2457" s="78" t="n">
        <x:f>IF('Inputs'!$C$50&gt;0,('Inputs'!$B$30*(3*264*'Inputs'!$B$12-264^2)/(2*'Inputs'!$B$12^2))-('Inputs'!$B$30*(3*263*'Inputs'!$B$12-263^2)/(2*'Inputs'!$B$12^2)),0)</x:f>
        <x:v>268423.0155751556</x:v>
      </x:c>
      <x:c r="E2457" s="78" t="n">
        <x:f>C2457+D2457</x:f>
        <x:v>894743.3852505237</x:v>
      </x:c>
      <x:c r="F2457" s="78" t="n">
        <x:f>'Inputs'!$B$13*E2457+(1-'Inputs'!$B$13)/'Inputs'!$B$14*SUM(E2402:E2457)</x:f>
        <x:v>904961.0621129684</x:v>
      </x:c>
      <x:c r="G2457" s="78" t="n">
        <x:f>F2457*'Inputs'!$F$50</x:f>
        <x:v>452480.5310564842</x:v>
      </x:c>
      <x:c r="H2457" s="78" t="n">
        <x:f>U2456</x:f>
        <x:v>123875267.50017028</x:v>
      </x:c>
      <x:c r="I2457" s="78" t="n">
        <x:f>V2456</x:f>
        <x:v>234.87586361331157</x:v>
      </x:c>
      <x:c r="J2457" s="79" t="n">
        <x:f>IF(H2457&gt;0,I2457/H2457,0)</x:f>
        <x:v>0.0000018960674584455587</x:v>
      </x:c>
      <x:c r="K2457" s="80" t="n">
        <x:f>(H2457*J2457+I2457)*'Inputs'!$D$50*(1+'Inputs'!$G$50)^(B2457/30)</x:f>
        <x:v>469.75172722662313</x:v>
      </x:c>
      <x:c r="L2457" s="80" t="n">
        <x:f>MAX(0,K2457*'Inputs'!$E$50)</x:f>
        <x:v>0</x:v>
      </x:c>
      <x:c r="M2457" s="80" t="n">
        <x:f>MAX(0,-K2457*'Inputs'!$E$50)</x:f>
        <x:v>0</x:v>
      </x:c>
      <x:c r="N2457" s="78" t="n">
        <x:f>H2457*(L2457*(1-'Inputs'!$B$15))/(I2457+L2457*(1-'Inputs'!$B$15))</x:f>
        <x:v>0</x:v>
      </x:c>
      <x:c r="O2457" s="78" t="n">
        <x:f>H2457-N2457</x:f>
        <x:v>123875267.50017028</x:v>
      </x:c>
      <x:c r="P2457" s="78" t="n">
        <x:f>I2457+L2457*(1-'Inputs'!$B$17)</x:f>
        <x:v>234.87586361331157</x:v>
      </x:c>
      <x:c r="Q2457" s="78" t="n">
        <x:f>IF(J2457&gt;0,M2457/J2457,0)</x:f>
        <x:v>0</x:v>
      </x:c>
      <x:c r="R2457" s="78" t="n">
        <x:f>IF(B2457='Inputs'!$H$50,'Inputs'!$B$27*'Inputs'!$I$50,0)</x:f>
        <x:v>0</x:v>
      </x:c>
      <x:c r="S2457" s="78" t="n">
        <x:f>Q2457+G2457+R2457</x:f>
        <x:v>452480.5310564842</x:v>
      </x:c>
      <x:c r="T2457" s="78" t="n">
        <x:f>P2457*(S2457*(1-'Inputs'!$B$15))/(O2457+S2457*(1-'Inputs'!$B$15))</x:f>
        <x:v>0.8462939201142577</x:v>
      </x:c>
      <x:c r="U2457" s="78" t="n">
        <x:f>O2457+S2457*(1-'Inputs'!$B$17)</x:f>
        <x:v>124325927.18401928</x:v>
      </x:c>
      <x:c r="V2457" s="78" t="n">
        <x:f>P2457-T2457</x:f>
        <x:v>234.02956969319732</x:v>
      </x:c>
      <x:c r="W2457" s="79" t="n">
        <x:f>IF(U2457&gt;0,V2457/U2457,0)</x:f>
        <x:v>0.0000018823874874208799</x:v>
      </x:c>
      <x:c r="X2457" s="80" t="n">
        <x:f>W2457*('Inputs'!$B$6-AC2457)</x:f>
        <x:v>1756.6764844986576</x:v>
      </x:c>
      <x:c r="Y2457" s="80" t="n">
        <x:f>2*V2457</x:f>
        <x:v>468.05913938639463</x:v>
      </x:c>
      <x:c r="Z2457" s="80" t="n">
        <x:f>K2457*'Inputs'!$B$16+(G2457+R2457)*J2457*'Inputs'!$B$16</x:f>
        <x:v>2.823657965022837</x:v>
      </x:c>
      <x:c r="AA2457" s="80" t="n">
        <x:f>K2457*(1+'Inputs'!$E$50)/2*'Inputs'!$B$17</x:f>
        <x:v>0.9451745014620184</x:v>
      </x:c>
      <x:c r="AB2457" s="78" t="n">
        <x:f>(IF(J2457&gt;0,K2457*(1-'Inputs'!$E$50)/2/J2457,0)+G2457+R2457)*'Inputs'!$B$17</x:f>
        <x:v>500312.8693409528</x:v>
      </x:c>
      <x:c r="AC2457" s="78" t="n">
        <x:f>AC2456+AB2457</x:f>
        <x:v>66782744.659264125</x:v>
      </x:c>
      <x:c r="AD2457" s="80" t="n">
        <x:f>Z2457/(1+'Inputs'!$C$50)</x:f>
        <x:v>1.4118289825114185</x:v>
      </x:c>
      <x:c r="AE2457" s="80" t="n">
        <x:f>Z2457-AD2457</x:f>
        <x:v>1.4118289825114185</x:v>
      </x:c>
      <x:c r="AF2457" s="80" t="n">
        <x:f>D2457*W2457</x:f>
        <x:v>0.5052761258544529</x:v>
      </x:c>
      <x:c r="AG2457" s="80" t="n">
        <x:f>C2457*W2457</x:f>
        <x:v>1.1789776269937327</x:v>
      </x:c>
      <x:c r="AH2457" s="80" t="n">
        <x:f>2*'Inputs'!$B$8*'Inputs'!$C$50</x:f>
        <x:v>5000</x:v>
      </x:c>
      <x:c r="AI2457" s="81" t="n">
        <x:f>IF(AH2457&gt;0,(AE2457+AF2457)/AH2457*365,0)</x:f>
        <x:v>0.13994867291070862</x:v>
      </x:c>
      <x:c r="AJ2457" s="81" t="n">
        <x:f>IF('Inputs'!$B$50&gt;0,AG2457/('Inputs'!$B$19*'Inputs'!$B$50)*365,0)</x:f>
        <x:v>0.04303268338527124</x:v>
      </x:c>
      <x:c r="AK2457" s="81" t="n">
        <x:f>W2457/MAX($W$2194:W2457)-1</x:f>
        <x:v>-0.9977664676988278</x:v>
      </x:c>
      <x:c r="AL2457" s="83" t="n">
        <x:f>'Inputs'!$B$50</x:f>
        <x:v>1</x:v>
      </x:c>
      <x:c r="AM2457" s="83" t="n">
        <x:f>'Inputs'!$C$50</x:f>
        <x:v>1</x:v>
      </x:c>
      <x:c r="AN2457" s="83" t="n">
        <x:f>'Inputs'!$D$50</x:f>
        <x:v>1</x:v>
      </x:c>
      <x:c r="AO2457" s="81" t="n">
        <x:f>'Inputs'!$E$50</x:f>
        <x:v>0</x:v>
      </x:c>
    </x:row>
    <x:row r="2458">
      <x:c r="A2458" s="59" t="str">
        <x:v>Whale exit</x:v>
      </x:c>
      <x:c r="B2458" s="59" t="n">
        <x:v>265</x:v>
      </x:c>
      <x:c r="C2458" s="78" t="n">
        <x:f>(('Inputs'!$B$29*(3*265*'Inputs'!$B$12-265^2)/(2*'Inputs'!$B$12^2))-('Inputs'!$B$29*(3*264*'Inputs'!$B$12-264^2)/(2*'Inputs'!$B$12^2)))*'Inputs'!$B$50</x:f>
        <x:v>625995.2617751658</x:v>
      </x:c>
      <x:c r="D2458" s="78" t="n">
        <x:f>IF('Inputs'!$C$50&gt;0,('Inputs'!$B$30*(3*265*'Inputs'!$B$12-265^2)/(2*'Inputs'!$B$12^2))-('Inputs'!$B$30*(3*264*'Inputs'!$B$12-264^2)/(2*'Inputs'!$B$12^2)),0)</x:f>
        <x:v>268283.6836179346</x:v>
      </x:c>
      <x:c r="E2458" s="78" t="n">
        <x:f>C2458+D2458</x:f>
        <x:v>894278.9453931004</x:v>
      </x:c>
      <x:c r="F2458" s="78" t="n">
        <x:f>'Inputs'!$B$13*E2458+(1-'Inputs'!$B$13)/'Inputs'!$B$14*SUM(E2403:E2458)</x:f>
        <x:v>904496.6222555761</x:v>
      </x:c>
      <x:c r="G2458" s="78" t="n">
        <x:f>F2458*'Inputs'!$F$50</x:f>
        <x:v>452248.31112778804</x:v>
      </x:c>
      <x:c r="H2458" s="78" t="n">
        <x:f>U2457</x:f>
        <x:v>124325927.18401928</x:v>
      </x:c>
      <x:c r="I2458" s="78" t="n">
        <x:f>V2457</x:f>
        <x:v>234.02956969319732</x:v>
      </x:c>
      <x:c r="J2458" s="79" t="n">
        <x:f>IF(H2458&gt;0,I2458/H2458,0)</x:f>
        <x:v>0.0000018823874874208799</x:v>
      </x:c>
      <x:c r="K2458" s="80" t="n">
        <x:f>(H2458*J2458+I2458)*'Inputs'!$D$50*(1+'Inputs'!$G$50)^(B2458/30)</x:f>
        <x:v>468.05913938639463</x:v>
      </x:c>
      <x:c r="L2458" s="80" t="n">
        <x:f>MAX(0,K2458*'Inputs'!$E$50)</x:f>
        <x:v>0</x:v>
      </x:c>
      <x:c r="M2458" s="80" t="n">
        <x:f>MAX(0,-K2458*'Inputs'!$E$50)</x:f>
        <x:v>0</x:v>
      </x:c>
      <x:c r="N2458" s="78" t="n">
        <x:f>H2458*(L2458*(1-'Inputs'!$B$15))/(I2458+L2458*(1-'Inputs'!$B$15))</x:f>
        <x:v>0</x:v>
      </x:c>
      <x:c r="O2458" s="78" t="n">
        <x:f>H2458-N2458</x:f>
        <x:v>124325927.18401928</x:v>
      </x:c>
      <x:c r="P2458" s="78" t="n">
        <x:f>I2458+L2458*(1-'Inputs'!$B$17)</x:f>
        <x:v>234.02956969319732</x:v>
      </x:c>
      <x:c r="Q2458" s="78" t="n">
        <x:f>IF(J2458&gt;0,M2458/J2458,0)</x:f>
        <x:v>0</x:v>
      </x:c>
      <x:c r="R2458" s="78" t="n">
        <x:f>IF(B2458='Inputs'!$H$50,'Inputs'!$B$27*'Inputs'!$I$50,0)</x:f>
        <x:v>0</x:v>
      </x:c>
      <x:c r="S2458" s="78" t="n">
        <x:f>Q2458+G2458+R2458</x:f>
        <x:v>452248.31112778804</x:v>
      </x:c>
      <x:c r="T2458" s="78" t="n">
        <x:f>P2458*(S2458*(1-'Inputs'!$B$15))/(O2458+S2458*(1-'Inputs'!$B$15))</x:f>
        <x:v>0.8397692969775202</x:v>
      </x:c>
      <x:c r="U2458" s="78" t="n">
        <x:f>O2458+S2458*(1-'Inputs'!$B$17)</x:f>
        <x:v>124776355.58242624</x:v>
      </x:c>
      <x:c r="V2458" s="78" t="n">
        <x:f>P2458-T2458</x:f>
        <x:v>233.1898003962198</x:v>
      </x:c>
      <x:c r="W2458" s="79" t="n">
        <x:f>IF(U2458&gt;0,V2458/U2458,0)</x:f>
        <x:v>0.0000018688620877548915</x:v>
      </x:c>
      <x:c r="X2458" s="80" t="n">
        <x:f>W2458*('Inputs'!$B$6-AC2458)</x:f>
        <x:v>1743.1159449193754</x:v>
      </x:c>
      <x:c r="Y2458" s="80" t="n">
        <x:f>2*V2458</x:f>
        <x:v>466.3796007924396</x:v>
      </x:c>
      <x:c r="Z2458" s="80" t="n">
        <x:f>K2458*'Inputs'!$B$16+(G2458+R2458)*J2458*'Inputs'!$B$16</x:f>
        <x:v>2.813462675690813</x:v>
      </x:c>
      <x:c r="AA2458" s="80" t="n">
        <x:f>K2458*(1+'Inputs'!$E$50)/2*'Inputs'!$B$17</x:f>
        <x:v>0.9417688921255426</x:v>
      </x:c>
      <x:c r="AB2458" s="78" t="n">
        <x:f>(IF(J2458&gt;0,K2458*(1-'Inputs'!$E$50)/2/J2458,0)+G2458+R2458)*'Inputs'!$B$17</x:f>
        <x:v>502125.45470884134</x:v>
      </x:c>
      <x:c r="AC2458" s="78" t="n">
        <x:f>AC2457+AB2458</x:f>
        <x:v>67284870.11397296</x:v>
      </x:c>
      <x:c r="AD2458" s="80" t="n">
        <x:f>Z2458/(1+'Inputs'!$C$50)</x:f>
        <x:v>1.4067313378454065</x:v>
      </x:c>
      <x:c r="AE2458" s="80" t="n">
        <x:f>Z2458-AD2458</x:f>
        <x:v>1.4067313378454065</x:v>
      </x:c>
      <x:c r="AF2458" s="80" t="n">
        <x:f>D2458*W2458</x:f>
        <x:v>0.501385205076786</x:v>
      </x:c>
      <x:c r="AG2458" s="80" t="n">
        <x:f>C2458*W2458</x:f>
        <x:v>1.1698988118458062</x:v>
      </x:c>
      <x:c r="AH2458" s="80" t="n">
        <x:f>2*'Inputs'!$B$8*'Inputs'!$C$50</x:f>
        <x:v>5000</x:v>
      </x:c>
      <x:c r="AI2458" s="81" t="n">
        <x:f>IF(AH2458&gt;0,(AE2458+AF2458)/AH2458*365,0)</x:f>
        <x:v>0.13929250763332005</x:v>
      </x:c>
      <x:c r="AJ2458" s="81" t="n">
        <x:f>IF('Inputs'!$B$50&gt;0,AG2458/('Inputs'!$B$19*'Inputs'!$B$50)*365,0)</x:f>
        <x:v>0.04270130663237193</x:v>
      </x:c>
      <x:c r="AK2458" s="81" t="n">
        <x:f>W2458/MAX($W$2194:W2458)-1</x:f>
        <x:v>-0.997782516157098</x:v>
      </x:c>
      <x:c r="AL2458" s="83" t="n">
        <x:f>'Inputs'!$B$50</x:f>
        <x:v>1</x:v>
      </x:c>
      <x:c r="AM2458" s="83" t="n">
        <x:f>'Inputs'!$C$50</x:f>
        <x:v>1</x:v>
      </x:c>
      <x:c r="AN2458" s="83" t="n">
        <x:f>'Inputs'!$D$50</x:f>
        <x:v>1</x:v>
      </x:c>
      <x:c r="AO2458" s="81" t="n">
        <x:f>'Inputs'!$E$50</x:f>
        <x:v>0</x:v>
      </x:c>
    </x:row>
    <x:row r="2459">
      <x:c r="A2459" s="59" t="str">
        <x:v>Whale exit</x:v>
      </x:c>
      <x:c r="B2459" s="59" t="n">
        <x:v>266</x:v>
      </x:c>
      <x:c r="C2459" s="78" t="n">
        <x:f>(('Inputs'!$B$29*(3*266*'Inputs'!$B$12-266^2)/(2*'Inputs'!$B$12^2))-('Inputs'!$B$29*(3*265*'Inputs'!$B$12-265^2)/(2*'Inputs'!$B$12^2)))*'Inputs'!$B$50</x:f>
        <x:v>625670.1538750231</x:v>
      </x:c>
      <x:c r="D2459" s="78" t="n">
        <x:f>IF('Inputs'!$C$50&gt;0,('Inputs'!$B$30*(3*266*'Inputs'!$B$12-266^2)/(2*'Inputs'!$B$12^2))-('Inputs'!$B$30*(3*265*'Inputs'!$B$12-265^2)/(2*'Inputs'!$B$12^2)),0)</x:f>
        <x:v>268144.35166072845</x:v>
      </x:c>
      <x:c r="E2459" s="78" t="n">
        <x:f>C2459+D2459</x:f>
        <x:v>893814.5055357516</x:v>
      </x:c>
      <x:c r="F2459" s="78" t="n">
        <x:f>'Inputs'!$B$13*E2459+(1-'Inputs'!$B$13)/'Inputs'!$B$14*SUM(E2404:E2459)</x:f>
        <x:v>904032.1823981993</x:v>
      </x:c>
      <x:c r="G2459" s="78" t="n">
        <x:f>F2459*'Inputs'!$F$50</x:f>
        <x:v>452016.09119909967</x:v>
      </x:c>
      <x:c r="H2459" s="78" t="n">
        <x:f>U2458</x:f>
        <x:v>124776355.58242624</x:v>
      </x:c>
      <x:c r="I2459" s="78" t="n">
        <x:f>V2458</x:f>
        <x:v>233.1898003962198</x:v>
      </x:c>
      <x:c r="J2459" s="79" t="n">
        <x:f>IF(H2459&gt;0,I2459/H2459,0)</x:f>
        <x:v>0.0000018688620877548915</x:v>
      </x:c>
      <x:c r="K2459" s="80" t="n">
        <x:f>(H2459*J2459+I2459)*'Inputs'!$D$50*(1+'Inputs'!$G$50)^(B2459/30)</x:f>
        <x:v>466.3796007924396</x:v>
      </x:c>
      <x:c r="L2459" s="80" t="n">
        <x:f>MAX(0,K2459*'Inputs'!$E$50)</x:f>
        <x:v>0</x:v>
      </x:c>
      <x:c r="M2459" s="80" t="n">
        <x:f>MAX(0,-K2459*'Inputs'!$E$50)</x:f>
        <x:v>0</x:v>
      </x:c>
      <x:c r="N2459" s="78" t="n">
        <x:f>H2459*(L2459*(1-'Inputs'!$B$15))/(I2459+L2459*(1-'Inputs'!$B$15))</x:f>
        <x:v>0</x:v>
      </x:c>
      <x:c r="O2459" s="78" t="n">
        <x:f>H2459-N2459</x:f>
        <x:v>124776355.58242624</x:v>
      </x:c>
      <x:c r="P2459" s="78" t="n">
        <x:f>I2459+L2459*(1-'Inputs'!$B$17)</x:f>
        <x:v>233.1898003962198</x:v>
      </x:c>
      <x:c r="Q2459" s="78" t="n">
        <x:f>IF(J2459&gt;0,M2459/J2459,0)</x:f>
        <x:v>0</x:v>
      </x:c>
      <x:c r="R2459" s="78" t="n">
        <x:f>IF(B2459='Inputs'!$H$50,'Inputs'!$B$27*'Inputs'!$I$50,0)</x:f>
        <x:v>0</x:v>
      </x:c>
      <x:c r="S2459" s="78" t="n">
        <x:f>Q2459+G2459+R2459</x:f>
        <x:v>452016.09119909967</x:v>
      </x:c>
      <x:c r="T2459" s="78" t="n">
        <x:f>P2459*(S2459*(1-'Inputs'!$B$15))/(O2459+S2459*(1-'Inputs'!$B$15))</x:f>
        <x:v>0.8333195745155408</x:v>
      </x:c>
      <x:c r="U2459" s="78" t="n">
        <x:f>O2459+S2459*(1-'Inputs'!$B$17)</x:f>
        <x:v>125226552.69539113</x:v>
      </x:c>
      <x:c r="V2459" s="78" t="n">
        <x:f>P2459-T2459</x:f>
        <x:v>232.35648082170425</x:v>
      </x:c>
      <x:c r="W2459" s="79" t="n">
        <x:f>IF(U2459&gt;0,V2459/U2459,0)</x:f>
        <x:v>0.0000018554889184476924</x:v>
      </x:c>
      <x:c r="X2459" s="80" t="n">
        <x:f>W2459*('Inputs'!$B$6-AC2459)</x:f>
        <x:v>1729.7075378500285</x:v>
      </x:c>
      <x:c r="Y2459" s="80" t="n">
        <x:f>2*V2459</x:f>
        <x:v>464.7129616434085</x:v>
      </x:c>
      <x:c r="Z2459" s="80" t="n">
        <x:f>K2459*'Inputs'!$B$16+(G2459+R2459)*J2459*'Inputs'!$B$16</x:f>
        <x:v>2.8033461391700207</x:v>
      </x:c>
      <x:c r="AA2459" s="80" t="n">
        <x:f>K2459*(1+'Inputs'!$E$50)/2*'Inputs'!$B$17</x:f>
        <x:v>0.938389538817786</x:v>
      </x:c>
      <x:c r="AB2459" s="78" t="n">
        <x:f>(IF(J2459&gt;0,K2459*(1-'Inputs'!$E$50)/2/J2459,0)+G2459+R2459)*'Inputs'!$B$17</x:f>
        <x:v>503937.109350605</x:v>
      </x:c>
      <x:c r="AC2459" s="78" t="n">
        <x:f>AC2458+AB2459</x:f>
        <x:v>67788807.22332357</x:v>
      </x:c>
      <x:c r="AD2459" s="80" t="n">
        <x:f>Z2459/(1+'Inputs'!$C$50)</x:f>
        <x:v>1.4016730695850104</x:v>
      </x:c>
      <x:c r="AE2459" s="80" t="n">
        <x:f>Z2459-AD2459</x:f>
        <x:v>1.4016730695850104</x:v>
      </x:c>
      <x:c r="AF2459" s="80" t="n">
        <x:f>D2459*W2459</x:f>
        <x:v>0.4975388730508227</x:v>
      </x:c>
      <x:c r="AG2459" s="80" t="n">
        <x:f>C2459*W2459</x:f>
        <x:v>1.1609240371185678</x:v>
      </x:c>
      <x:c r="AH2459" s="80" t="n">
        <x:f>2*'Inputs'!$B$8*'Inputs'!$C$50</x:f>
        <x:v>5000</x:v>
      </x:c>
      <x:c r="AI2459" s="81" t="n">
        <x:f>IF(AH2459&gt;0,(AE2459+AF2459)/AH2459*365,0)</x:f>
        <x:v>0.13864247181241582</x:v>
      </x:c>
      <x:c r="AJ2459" s="81" t="n">
        <x:f>IF('Inputs'!$B$50&gt;0,AG2459/('Inputs'!$B$19*'Inputs'!$B$50)*365,0)</x:f>
        <x:v>0.04237372735482773</x:v>
      </x:c>
      <x:c r="AK2459" s="81" t="n">
        <x:f>W2459/MAX($W$2194:W2459)-1</x:f>
        <x:v>-0.9977983839876144</x:v>
      </x:c>
      <x:c r="AL2459" s="83" t="n">
        <x:f>'Inputs'!$B$50</x:f>
        <x:v>1</x:v>
      </x:c>
      <x:c r="AM2459" s="83" t="n">
        <x:f>'Inputs'!$C$50</x:f>
        <x:v>1</x:v>
      </x:c>
      <x:c r="AN2459" s="83" t="n">
        <x:f>'Inputs'!$D$50</x:f>
        <x:v>1</x:v>
      </x:c>
      <x:c r="AO2459" s="81" t="n">
        <x:f>'Inputs'!$E$50</x:f>
        <x:v>0</x:v>
      </x:c>
    </x:row>
    <x:row r="2460">
      <x:c r="A2460" s="59" t="str">
        <x:v>Whale exit</x:v>
      </x:c>
      <x:c r="B2460" s="59" t="n">
        <x:v>267</x:v>
      </x:c>
      <x:c r="C2460" s="78" t="n">
        <x:f>(('Inputs'!$B$29*(3*267*'Inputs'!$B$12-267^2)/(2*'Inputs'!$B$12^2))-('Inputs'!$B$29*(3*266*'Inputs'!$B$12-266^2)/(2*'Inputs'!$B$12^2)))*'Inputs'!$B$50</x:f>
        <x:v>625345.0459748805</x:v>
      </x:c>
      <x:c r="D2460" s="78" t="n">
        <x:f>IF('Inputs'!$C$50&gt;0,('Inputs'!$B$30*(3*267*'Inputs'!$B$12-267^2)/(2*'Inputs'!$B$12^2))-('Inputs'!$B$30*(3*266*'Inputs'!$B$12-266^2)/(2*'Inputs'!$B$12^2)),0)</x:f>
        <x:v>268005.0197035074</x:v>
      </x:c>
      <x:c r="E2460" s="78" t="n">
        <x:f>C2460+D2460</x:f>
        <x:v>893350.0656783879</x:v>
      </x:c>
      <x:c r="F2460" s="78" t="n">
        <x:f>'Inputs'!$B$13*E2460+(1-'Inputs'!$B$13)/'Inputs'!$B$14*SUM(E2405:E2460)</x:f>
        <x:v>903567.7425408192</x:v>
      </x:c>
      <x:c r="G2460" s="78" t="n">
        <x:f>F2460*'Inputs'!$F$50</x:f>
        <x:v>451783.8712704096</x:v>
      </x:c>
      <x:c r="H2460" s="78" t="n">
        <x:f>U2459</x:f>
        <x:v>125226552.69539113</x:v>
      </x:c>
      <x:c r="I2460" s="78" t="n">
        <x:f>V2459</x:f>
        <x:v>232.35648082170425</x:v>
      </x:c>
      <x:c r="J2460" s="79" t="n">
        <x:f>IF(H2460&gt;0,I2460/H2460,0)</x:f>
        <x:v>0.0000018554889184476924</x:v>
      </x:c>
      <x:c r="K2460" s="80" t="n">
        <x:f>(H2460*J2460+I2460)*'Inputs'!$D$50*(1+'Inputs'!$G$50)^(B2460/30)</x:f>
        <x:v>464.7129616434085</x:v>
      </x:c>
      <x:c r="L2460" s="80" t="n">
        <x:f>MAX(0,K2460*'Inputs'!$E$50)</x:f>
        <x:v>0</x:v>
      </x:c>
      <x:c r="M2460" s="80" t="n">
        <x:f>MAX(0,-K2460*'Inputs'!$E$50)</x:f>
        <x:v>0</x:v>
      </x:c>
      <x:c r="N2460" s="78" t="n">
        <x:f>H2460*(L2460*(1-'Inputs'!$B$15))/(I2460+L2460*(1-'Inputs'!$B$15))</x:f>
        <x:v>0</x:v>
      </x:c>
      <x:c r="O2460" s="78" t="n">
        <x:f>H2460-N2460</x:f>
        <x:v>125226552.69539113</x:v>
      </x:c>
      <x:c r="P2460" s="78" t="n">
        <x:f>I2460+L2460*(1-'Inputs'!$B$17)</x:f>
        <x:v>232.35648082170425</x:v>
      </x:c>
      <x:c r="Q2460" s="78" t="n">
        <x:f>IF(J2460&gt;0,M2460/J2460,0)</x:f>
        <x:v>0</x:v>
      </x:c>
      <x:c r="R2460" s="78" t="n">
        <x:f>IF(B2460='Inputs'!$H$50,'Inputs'!$B$27*'Inputs'!$I$50,0)</x:f>
        <x:v>0</x:v>
      </x:c>
      <x:c r="S2460" s="78" t="n">
        <x:f>Q2460+G2460+R2460</x:f>
        <x:v>451783.8712704096</x:v>
      </x:c>
      <x:c r="T2460" s="78" t="n">
        <x:f>P2460*(S2460*(1-'Inputs'!$B$15))/(O2460+S2460*(1-'Inputs'!$B$15))</x:f>
        <x:v>0.8269436097996291</x:v>
      </x:c>
      <x:c r="U2460" s="78" t="n">
        <x:f>O2460+S2460*(1-'Inputs'!$B$17)</x:f>
        <x:v>125676518.52291398</x:v>
      </x:c>
      <x:c r="V2460" s="78" t="n">
        <x:f>P2460-T2460</x:f>
        <x:v>231.52953721190462</x:v>
      </x:c>
      <x:c r="W2460" s="79" t="n">
        <x:f>IF(U2460&gt;0,V2460/U2460,0)</x:f>
        <x:v>0.0000018422656828267486</x:v>
      </x:c>
      <x:c r="X2460" s="80" t="n">
        <x:f>W2460*('Inputs'!$B$6-AC2460)</x:f>
        <x:v>1716.448967722071</x:v>
      </x:c>
      <x:c r="Y2460" s="80" t="n">
        <x:f>2*V2460</x:f>
        <x:v>463.05907442380925</x:v>
      </x:c>
      <x:c r="Z2460" s="80" t="n">
        <x:f>K2460*'Inputs'!$B$16+(G2460+R2460)*J2460*'Inputs'!$B$16</x:f>
        <x:v>2.7933074496605053</x:v>
      </x:c>
      <x:c r="AA2460" s="80" t="n">
        <x:f>K2460*(1+'Inputs'!$E$50)/2*'Inputs'!$B$17</x:f>
        <x:v>0.9350361401275826</x:v>
      </x:c>
      <x:c r="AB2460" s="78" t="n">
        <x:f>(IF(J2460&gt;0,K2460*(1-'Inputs'!$E$50)/2/J2460,0)+G2460+R2460)*'Inputs'!$B$17</x:f>
        <x:v>505747.83326624363</x:v>
      </x:c>
      <x:c r="AC2460" s="78" t="n">
        <x:f>AC2459+AB2460</x:f>
        <x:v>68294555.05658981</x:v>
      </x:c>
      <x:c r="AD2460" s="80" t="n">
        <x:f>Z2460/(1+'Inputs'!$C$50)</x:f>
        <x:v>1.3966537248302526</x:v>
      </x:c>
      <x:c r="AE2460" s="80" t="n">
        <x:f>Z2460-AD2460</x:f>
        <x:v>1.3966537248302526</x:v>
      </x:c>
      <x:c r="AF2460" s="80" t="n">
        <x:f>D2460*W2460</x:f>
        <x:v>0.4937364506250783</x:v>
      </x:c>
      <x:c r="AG2460" s="80" t="n">
        <x:f>C2460*W2460</x:f>
        <x:v>1.1520517181252377</x:v>
      </x:c>
      <x:c r="AH2460" s="80" t="n">
        <x:f>2*'Inputs'!$B$8*'Inputs'!$C$50</x:f>
        <x:v>5000</x:v>
      </x:c>
      <x:c r="AI2460" s="81" t="n">
        <x:f>IF(AH2460&gt;0,(AE2460+AF2460)/AH2460*365,0)</x:f>
        <x:v>0.13799848280823915</x:v>
      </x:c>
      <x:c r="AJ2460" s="81" t="n">
        <x:f>IF('Inputs'!$B$50&gt;0,AG2460/('Inputs'!$B$19*'Inputs'!$B$50)*365,0)</x:f>
        <x:v>0.04204988771157118</x:v>
      </x:c>
      <x:c r="AK2460" s="81" t="n">
        <x:f>W2460/MAX($W$2194:W2460)-1</x:f>
        <x:v>-0.9978140739154762</x:v>
      </x:c>
      <x:c r="AL2460" s="83" t="n">
        <x:f>'Inputs'!$B$50</x:f>
        <x:v>1</x:v>
      </x:c>
      <x:c r="AM2460" s="83" t="n">
        <x:f>'Inputs'!$C$50</x:f>
        <x:v>1</x:v>
      </x:c>
      <x:c r="AN2460" s="83" t="n">
        <x:f>'Inputs'!$D$50</x:f>
        <x:v>1</x:v>
      </x:c>
      <x:c r="AO2460" s="81" t="n">
        <x:f>'Inputs'!$E$50</x:f>
        <x:v>0</x:v>
      </x:c>
    </x:row>
    <x:row r="2461">
      <x:c r="A2461" s="59" t="str">
        <x:v>Whale exit</x:v>
      </x:c>
      <x:c r="B2461" s="59" t="n">
        <x:v>268</x:v>
      </x:c>
      <x:c r="C2461" s="78" t="n">
        <x:f>(('Inputs'!$B$29*(3*268*'Inputs'!$B$12-268^2)/(2*'Inputs'!$B$12^2))-('Inputs'!$B$29*(3*267*'Inputs'!$B$12-267^2)/(2*'Inputs'!$B$12^2)))*'Inputs'!$B$50</x:f>
        <x:v>625019.9380746782</x:v>
      </x:c>
      <x:c r="D2461" s="78" t="n">
        <x:f>IF('Inputs'!$C$50&gt;0,('Inputs'!$B$30*(3*268*'Inputs'!$B$12-268^2)/(2*'Inputs'!$B$12^2))-('Inputs'!$B$30*(3*267*'Inputs'!$B$12-267^2)/(2*'Inputs'!$B$12^2)),0)</x:f>
        <x:v>267865.6877462864</x:v>
      </x:c>
      <x:c r="E2461" s="78" t="n">
        <x:f>C2461+D2461</x:f>
        <x:v>892885.6258209646</x:v>
      </x:c>
      <x:c r="F2461" s="78" t="n">
        <x:f>'Inputs'!$B$13*E2461+(1-'Inputs'!$B$13)/'Inputs'!$B$14*SUM(E2406:E2461)</x:f>
        <x:v>903103.3026834275</x:v>
      </x:c>
      <x:c r="G2461" s="78" t="n">
        <x:f>F2461*'Inputs'!$F$50</x:f>
        <x:v>451551.65134171373</x:v>
      </x:c>
      <x:c r="H2461" s="78" t="n">
        <x:f>U2460</x:f>
        <x:v>125676518.52291398</x:v>
      </x:c>
      <x:c r="I2461" s="78" t="n">
        <x:f>V2460</x:f>
        <x:v>231.52953721190462</x:v>
      </x:c>
      <x:c r="J2461" s="79" t="n">
        <x:f>IF(H2461&gt;0,I2461/H2461,0)</x:f>
        <x:v>0.0000018422656828267486</x:v>
      </x:c>
      <x:c r="K2461" s="80" t="n">
        <x:f>(H2461*J2461+I2461)*'Inputs'!$D$50*(1+'Inputs'!$G$50)^(B2461/30)</x:f>
        <x:v>463.05907442380925</x:v>
      </x:c>
      <x:c r="L2461" s="80" t="n">
        <x:f>MAX(0,K2461*'Inputs'!$E$50)</x:f>
        <x:v>0</x:v>
      </x:c>
      <x:c r="M2461" s="80" t="n">
        <x:f>MAX(0,-K2461*'Inputs'!$E$50)</x:f>
        <x:v>0</x:v>
      </x:c>
      <x:c r="N2461" s="78" t="n">
        <x:f>H2461*(L2461*(1-'Inputs'!$B$15))/(I2461+L2461*(1-'Inputs'!$B$15))</x:f>
        <x:v>0</x:v>
      </x:c>
      <x:c r="O2461" s="78" t="n">
        <x:f>H2461-N2461</x:f>
        <x:v>125676518.52291398</x:v>
      </x:c>
      <x:c r="P2461" s="78" t="n">
        <x:f>I2461+L2461*(1-'Inputs'!$B$17)</x:f>
        <x:v>231.52953721190462</x:v>
      </x:c>
      <x:c r="Q2461" s="78" t="n">
        <x:f>IF(J2461&gt;0,M2461/J2461,0)</x:f>
        <x:v>0</x:v>
      </x:c>
      <x:c r="R2461" s="78" t="n">
        <x:f>IF(B2461='Inputs'!$H$50,'Inputs'!$B$27*'Inputs'!$I$50,0)</x:f>
        <x:v>0</x:v>
      </x:c>
      <x:c r="S2461" s="78" t="n">
        <x:f>Q2461+G2461+R2461</x:f>
        <x:v>451551.65134171373</x:v>
      </x:c>
      <x:c r="T2461" s="78" t="n">
        <x:f>P2461*(S2461*(1-'Inputs'!$B$15))/(O2461+S2461*(1-'Inputs'!$B$15))</x:f>
        <x:v>0.8206402816243531</x:v>
      </x:c>
      <x:c r="U2461" s="78" t="n">
        <x:f>O2461+S2461*(1-'Inputs'!$B$17)</x:f>
        <x:v>126126253.06499475</x:v>
      </x:c>
      <x:c r="V2461" s="78" t="n">
        <x:f>P2461-T2461</x:f>
        <x:v>230.70889693028028</x:v>
      </x:c>
      <x:c r="W2461" s="79" t="n">
        <x:f>IF(U2461&gt;0,V2461/U2461,0)</x:f>
        <x:v>0.0000018291901275414288</x:v>
      </x:c>
      <x:c r="X2461" s="80" t="n">
        <x:f>W2461*('Inputs'!$B$6-AC2461)</x:f>
        <x:v>1703.3379822676088</x:v>
      </x:c>
      <x:c r="Y2461" s="80" t="n">
        <x:f>2*V2461</x:f>
        <x:v>461.41779386056055</x:v>
      </x:c>
      <x:c r="Z2461" s="80" t="n">
        <x:f>K2461*'Inputs'!$B$16+(G2461+R2461)*J2461*'Inputs'!$B$16</x:f>
        <x:v>2.783345715210599</x:v>
      </x:c>
      <x:c r="AA2461" s="80" t="n">
        <x:f>K2461*(1+'Inputs'!$E$50)/2*'Inputs'!$B$17</x:f>
        <x:v>0.931708399243077</x:v>
      </x:c>
      <x:c r="AB2461" s="78" t="n">
        <x:f>(IF(J2461&gt;0,K2461*(1-'Inputs'!$E$50)/2/J2461,0)+G2461+R2461)*'Inputs'!$B$17</x:f>
        <x:v>507557.6264557573</x:v>
      </x:c>
      <x:c r="AC2461" s="78" t="n">
        <x:f>AC2460+AB2461</x:f>
        <x:v>68802112.68304557</x:v>
      </x:c>
      <x:c r="AD2461" s="80" t="n">
        <x:f>Z2461/(1+'Inputs'!$C$50)</x:f>
        <x:v>1.3916728576052995</x:v>
      </x:c>
      <x:c r="AE2461" s="80" t="n">
        <x:f>Z2461-AD2461</x:f>
        <x:v>1.3916728576052995</x:v>
      </x:c>
      <x:c r="AF2461" s="80" t="n">
        <x:f>D2461*W2461</x:f>
        <x:v>0.4899772715326022</x:v>
      </x:c>
      <x:c r="AG2461" s="80" t="n">
        <x:f>C2461*W2461</x:f>
        <x:v>1.1432803002427565</x:v>
      </x:c>
      <x:c r="AH2461" s="80" t="n">
        <x:f>2*'Inputs'!$B$8*'Inputs'!$C$50</x:f>
        <x:v>5000</x:v>
      </x:c>
      <x:c r="AI2461" s="81" t="n">
        <x:f>IF(AH2461&gt;0,(AE2461+AF2461)/AH2461*365,0)</x:f>
        <x:v>0.13736045942706682</x:v>
      </x:c>
      <x:c r="AJ2461" s="81" t="n">
        <x:f>IF('Inputs'!$B$50&gt;0,AG2461/('Inputs'!$B$19*'Inputs'!$B$50)*365,0)</x:f>
        <x:v>0.04172973095886061</x:v>
      </x:c>
      <x:c r="AK2461" s="81" t="n">
        <x:f>W2461/MAX($W$2194:W2461)-1</x:f>
        <x:v>-0.9978295886143789</x:v>
      </x:c>
      <x:c r="AL2461" s="83" t="n">
        <x:f>'Inputs'!$B$50</x:f>
        <x:v>1</x:v>
      </x:c>
      <x:c r="AM2461" s="83" t="n">
        <x:f>'Inputs'!$C$50</x:f>
        <x:v>1</x:v>
      </x:c>
      <x:c r="AN2461" s="83" t="n">
        <x:f>'Inputs'!$D$50</x:f>
        <x:v>1</x:v>
      </x:c>
      <x:c r="AO2461" s="81" t="n">
        <x:f>'Inputs'!$E$50</x:f>
        <x:v>0</x:v>
      </x:c>
    </x:row>
    <x:row r="2462">
      <x:c r="A2462" s="59" t="str">
        <x:v>Whale exit</x:v>
      </x:c>
      <x:c r="B2462" s="59" t="n">
        <x:v>269</x:v>
      </x:c>
      <x:c r="C2462" s="78" t="n">
        <x:f>(('Inputs'!$B$29*(3*269*'Inputs'!$B$12-269^2)/(2*'Inputs'!$B$12^2))-('Inputs'!$B$29*(3*268*'Inputs'!$B$12-268^2)/(2*'Inputs'!$B$12^2)))*'Inputs'!$B$50</x:f>
        <x:v>624694.8301745057</x:v>
      </x:c>
      <x:c r="D2462" s="78" t="n">
        <x:f>IF('Inputs'!$C$50&gt;0,('Inputs'!$B$30*(3*269*'Inputs'!$B$12-269^2)/(2*'Inputs'!$B$12^2))-('Inputs'!$B$30*(3*268*'Inputs'!$B$12-268^2)/(2*'Inputs'!$B$12^2)),0)</x:f>
        <x:v>267726.35578908026</x:v>
      </x:c>
      <x:c r="E2462" s="78" t="n">
        <x:f>C2462+D2462</x:f>
        <x:v>892421.185963586</x:v>
      </x:c>
      <x:c r="F2462" s="78" t="n">
        <x:f>'Inputs'!$B$13*E2462+(1-'Inputs'!$B$13)/'Inputs'!$B$14*SUM(E2407:E2462)</x:f>
        <x:v>902638.862826044</x:v>
      </x:c>
      <x:c r="G2462" s="78" t="n">
        <x:f>F2462*'Inputs'!$F$50</x:f>
        <x:v>451319.431413022</x:v>
      </x:c>
      <x:c r="H2462" s="78" t="n">
        <x:f>U2461</x:f>
        <x:v>126126253.06499475</x:v>
      </x:c>
      <x:c r="I2462" s="78" t="n">
        <x:f>V2461</x:f>
        <x:v>230.70889693028028</x:v>
      </x:c>
      <x:c r="J2462" s="79" t="n">
        <x:f>IF(H2462&gt;0,I2462/H2462,0)</x:f>
        <x:v>0.0000018291901275414288</x:v>
      </x:c>
      <x:c r="K2462" s="80" t="n">
        <x:f>(H2462*J2462+I2462)*'Inputs'!$D$50*(1+'Inputs'!$G$50)^(B2462/30)</x:f>
        <x:v>461.41779386056055</x:v>
      </x:c>
      <x:c r="L2462" s="80" t="n">
        <x:f>MAX(0,K2462*'Inputs'!$E$50)</x:f>
        <x:v>0</x:v>
      </x:c>
      <x:c r="M2462" s="80" t="n">
        <x:f>MAX(0,-K2462*'Inputs'!$E$50)</x:f>
        <x:v>0</x:v>
      </x:c>
      <x:c r="N2462" s="78" t="n">
        <x:f>H2462*(L2462*(1-'Inputs'!$B$15))/(I2462+L2462*(1-'Inputs'!$B$15))</x:f>
        <x:v>0</x:v>
      </x:c>
      <x:c r="O2462" s="78" t="n">
        <x:f>H2462-N2462</x:f>
        <x:v>126126253.06499475</x:v>
      </x:c>
      <x:c r="P2462" s="78" t="n">
        <x:f>I2462+L2462*(1-'Inputs'!$B$17)</x:f>
        <x:v>230.70889693028028</x:v>
      </x:c>
      <x:c r="Q2462" s="78" t="n">
        <x:f>IF(J2462&gt;0,M2462/J2462,0)</x:f>
        <x:v>0</x:v>
      </x:c>
      <x:c r="R2462" s="78" t="n">
        <x:f>IF(B2462='Inputs'!$H$50,'Inputs'!$B$27*'Inputs'!$I$50,0)</x:f>
        <x:v>0</x:v>
      </x:c>
      <x:c r="S2462" s="78" t="n">
        <x:f>Q2462+G2462+R2462</x:f>
        <x:v>451319.431413022</x:v>
      </x:c>
      <x:c r="T2462" s="78" t="n">
        <x:f>P2462*(S2462*(1-'Inputs'!$B$15))/(O2462+S2462*(1-'Inputs'!$B$15))</x:f>
        <x:v>0.8144084900138738</x:v>
      </x:c>
      <x:c r="U2462" s="78" t="n">
        <x:f>O2462+S2462*(1-'Inputs'!$B$17)</x:f>
        <x:v>126575756.32163347</x:v>
      </x:c>
      <x:c r="V2462" s="78" t="n">
        <x:f>P2462-T2462</x:f>
        <x:v>229.8944884402664</x:v>
      </x:c>
      <x:c r="W2462" s="79" t="n">
        <x:f>IF(U2462&gt;0,V2462/U2462,0)</x:f>
        <x:v>0.0000018162600415840801</x:v>
      </x:c>
      <x:c r="X2462" s="80" t="n">
        <x:f>W2462*('Inputs'!$B$6-AC2462)</x:f>
        <x:v>1690.3723715409535</x:v>
      </x:c>
      <x:c r="Y2462" s="80" t="n">
        <x:f>2*V2462</x:f>
        <x:v>459.7889768805328</x:v>
      </x:c>
      <x:c r="Z2462" s="80" t="n">
        <x:f>K2462*'Inputs'!$B$16+(G2462+R2462)*J2462*'Inputs'!$B$16</x:f>
        <x:v>2.7734600574532133</x:v>
      </x:c>
      <x:c r="AA2462" s="80" t="n">
        <x:f>K2462*(1+'Inputs'!$E$50)/2*'Inputs'!$B$17</x:f>
        <x:v>0.928406023864307</x:v>
      </x:c>
      <x:c r="AB2462" s="78" t="n">
        <x:f>(IF(J2462&gt;0,K2462*(1-'Inputs'!$E$50)/2/J2462,0)+G2462+R2462)*'Inputs'!$B$17</x:f>
        <x:v>509366.488919146</x:v>
      </x:c>
      <x:c r="AC2462" s="78" t="n">
        <x:f>AC2461+AB2462</x:f>
        <x:v>69311479.1719647</x:v>
      </x:c>
      <x:c r="AD2462" s="80" t="n">
        <x:f>Z2462/(1+'Inputs'!$C$50)</x:f>
        <x:v>1.3867300287266067</x:v>
      </x:c>
      <x:c r="AE2462" s="80" t="n">
        <x:f>Z2462-AD2462</x:f>
        <x:v>1.3867300287266067</x:v>
      </x:c>
      <x:c r="AF2462" s="80" t="n">
        <x:f>D2462*W2462</x:f>
        <x:v>0.48626068209862916</x:v>
      </x:c>
      <x:c r="AG2462" s="80" t="n">
        <x:f>C2462*W2462</x:f>
        <x:v>1.1346082582301076</x:v>
      </x:c>
      <x:c r="AH2462" s="80" t="n">
        <x:f>2*'Inputs'!$B$8*'Inputs'!$C$50</x:f>
        <x:v>5000</x:v>
      </x:c>
      <x:c r="AI2462" s="81" t="n">
        <x:f>IF(AH2462&gt;0,(AE2462+AF2462)/AH2462*365,0)</x:f>
        <x:v>0.1367283218902422</x:v>
      </x:c>
      <x:c r="AJ2462" s="81" t="n">
        <x:f>IF('Inputs'!$B$50&gt;0,AG2462/('Inputs'!$B$19*'Inputs'!$B$50)*365,0)</x:f>
        <x:v>0.04141320142539892</x:v>
      </x:c>
      <x:c r="AK2462" s="81" t="n">
        <x:f>W2462/MAX($W$2194:W2462)-1</x:f>
        <x:v>-0.9978449307077766</x:v>
      </x:c>
      <x:c r="AL2462" s="83" t="n">
        <x:f>'Inputs'!$B$50</x:f>
        <x:v>1</x:v>
      </x:c>
      <x:c r="AM2462" s="83" t="n">
        <x:f>'Inputs'!$C$50</x:f>
        <x:v>1</x:v>
      </x:c>
      <x:c r="AN2462" s="83" t="n">
        <x:f>'Inputs'!$D$50</x:f>
        <x:v>1</x:v>
      </x:c>
      <x:c r="AO2462" s="81" t="n">
        <x:f>'Inputs'!$E$50</x:f>
        <x:v>0</x:v>
      </x:c>
    </x:row>
    <x:row r="2463">
      <x:c r="A2463" s="59" t="str">
        <x:v>Whale exit</x:v>
      </x:c>
      <x:c r="B2463" s="59" t="n">
        <x:v>270</x:v>
      </x:c>
      <x:c r="C2463" s="78" t="n">
        <x:f>(('Inputs'!$B$29*(3*270*'Inputs'!$B$12-270^2)/(2*'Inputs'!$B$12^2))-('Inputs'!$B$29*(3*269*'Inputs'!$B$12-269^2)/(2*'Inputs'!$B$12^2)))*'Inputs'!$B$50</x:f>
        <x:v>624369.722274363</x:v>
      </x:c>
      <x:c r="D2463" s="78" t="n">
        <x:f>IF('Inputs'!$C$50&gt;0,('Inputs'!$B$30*(3*270*'Inputs'!$B$12-270^2)/(2*'Inputs'!$B$12^2))-('Inputs'!$B$30*(3*269*'Inputs'!$B$12-269^2)/(2*'Inputs'!$B$12^2)),0)</x:f>
        <x:v>267587.02383185923</x:v>
      </x:c>
      <x:c r="E2463" s="78" t="n">
        <x:f>C2463+D2463</x:f>
        <x:v>891956.7461062223</x:v>
      </x:c>
      <x:c r="F2463" s="78" t="n">
        <x:f>'Inputs'!$B$13*E2463+(1-'Inputs'!$B$13)/'Inputs'!$B$14*SUM(E2408:E2463)</x:f>
        <x:v>902174.4229686646</x:v>
      </x:c>
      <x:c r="G2463" s="78" t="n">
        <x:f>F2463*'Inputs'!$F$50</x:f>
        <x:v>451087.2114843323</x:v>
      </x:c>
      <x:c r="H2463" s="78" t="n">
        <x:f>U2462</x:f>
        <x:v>126575756.32163347</x:v>
      </x:c>
      <x:c r="I2463" s="78" t="n">
        <x:f>V2462</x:f>
        <x:v>229.8944884402664</x:v>
      </x:c>
      <x:c r="J2463" s="79" t="n">
        <x:f>IF(H2463&gt;0,I2463/H2463,0)</x:f>
        <x:v>0.0000018162600415840801</x:v>
      </x:c>
      <x:c r="K2463" s="80" t="n">
        <x:f>(H2463*J2463+I2463)*'Inputs'!$D$50*(1+'Inputs'!$G$50)^(B2463/30)</x:f>
        <x:v>459.7889768805328</x:v>
      </x:c>
      <x:c r="L2463" s="80" t="n">
        <x:f>MAX(0,K2463*'Inputs'!$E$50)</x:f>
        <x:v>0</x:v>
      </x:c>
      <x:c r="M2463" s="80" t="n">
        <x:f>MAX(0,-K2463*'Inputs'!$E$50)</x:f>
        <x:v>0</x:v>
      </x:c>
      <x:c r="N2463" s="78" t="n">
        <x:f>H2463*(L2463*(1-'Inputs'!$B$15))/(I2463+L2463*(1-'Inputs'!$B$15))</x:f>
        <x:v>0</x:v>
      </x:c>
      <x:c r="O2463" s="78" t="n">
        <x:f>H2463-N2463</x:f>
        <x:v>126575756.32163347</x:v>
      </x:c>
      <x:c r="P2463" s="78" t="n">
        <x:f>I2463+L2463*(1-'Inputs'!$B$17)</x:f>
        <x:v>229.8944884402664</x:v>
      </x:c>
      <x:c r="Q2463" s="78" t="n">
        <x:f>IF(J2463&gt;0,M2463/J2463,0)</x:f>
        <x:v>0</x:v>
      </x:c>
      <x:c r="R2463" s="78" t="n">
        <x:f>IF(B2463='Inputs'!$H$50,'Inputs'!$B$27*'Inputs'!$I$50,0)</x:f>
        <x:v>0</x:v>
      </x:c>
      <x:c r="S2463" s="78" t="n">
        <x:f>Q2463+G2463+R2463</x:f>
        <x:v>451087.2114843323</x:v>
      </x:c>
      <x:c r="T2463" s="78" t="n">
        <x:f>P2463*(S2463*(1-'Inputs'!$B$15))/(O2463+S2463*(1-'Inputs'!$B$15))</x:f>
        <x:v>0.8082471557412573</x:v>
      </x:c>
      <x:c r="U2463" s="78" t="n">
        <x:f>O2463+S2463*(1-'Inputs'!$B$17)</x:f>
        <x:v>127025028.29283014</x:v>
      </x:c>
      <x:c r="V2463" s="78" t="n">
        <x:f>P2463-T2463</x:f>
        <x:v>229.08624128452513</x:v>
      </x:c>
      <x:c r="W2463" s="79" t="n">
        <x:f>IF(U2463&gt;0,V2463/U2463,0)</x:f>
        <x:v>0.0000018034732553368443</x:v>
      </x:c>
      <x:c r="X2463" s="80" t="n">
        <x:f>W2463*('Inputs'!$B$6-AC2463)</x:f>
        <x:v>1677.5499669659032</x:v>
      </x:c>
      <x:c r="Y2463" s="80" t="n">
        <x:f>2*V2463</x:f>
        <x:v>458.17248256905026</x:v>
      </x:c>
      <x:c r="Z2463" s="80" t="n">
        <x:f>K2463*'Inputs'!$B$16+(G2463+R2463)*J2463*'Inputs'!$B$16</x:f>
        <x:v>2.763649611348128</x:v>
      </x:c>
      <x:c r="AA2463" s="80" t="n">
        <x:f>K2463*(1+'Inputs'!$E$50)/2*'Inputs'!$B$17</x:f>
        <x:v>0.9251287261177723</x:v>
      </x:c>
      <x:c r="AB2463" s="78" t="n">
        <x:f>(IF(J2463&gt;0,K2463*(1-'Inputs'!$E$50)/2/J2463,0)+G2463+R2463)*'Inputs'!$B$17</x:f>
        <x:v>511174.4206564097</x:v>
      </x:c>
      <x:c r="AC2463" s="78" t="n">
        <x:f>AC2462+AB2463</x:f>
        <x:v>69822653.59262112</x:v>
      </x:c>
      <x:c r="AD2463" s="80" t="n">
        <x:f>Z2463/(1+'Inputs'!$C$50)</x:f>
        <x:v>1.381824805674064</x:v>
      </x:c>
      <x:c r="AE2463" s="80" t="n">
        <x:f>Z2463-AD2463</x:f>
        <x:v>1.381824805674064</x:v>
      </x:c>
      <x:c r="AF2463" s="80" t="n">
        <x:f>D2463*W2463</x:f>
        <x:v>0.4825860409559409</x:v>
      </x:c>
      <x:c r="AG2463" s="80" t="n">
        <x:f>C2463*W2463</x:f>
        <x:v>1.126034095563907</x:v>
      </x:c>
      <x:c r="AH2463" s="80" t="n">
        <x:f>2*'Inputs'!$B$8*'Inputs'!$C$50</x:f>
        <x:v>5000</x:v>
      </x:c>
      <x:c r="AI2463" s="81" t="n">
        <x:f>IF(AH2463&gt;0,(AE2463+AF2463)/AH2463*365,0)</x:f>
        <x:v>0.13610199180399035</x:v>
      </x:c>
      <x:c r="AJ2463" s="81" t="n">
        <x:f>IF('Inputs'!$B$50&gt;0,AG2463/('Inputs'!$B$19*'Inputs'!$B$50)*365,0)</x:f>
        <x:v>0.0411002444880826</x:v>
      </x:c>
      <x:c r="AK2463" s="81" t="n">
        <x:f>W2463/MAX($W$2194:W2463)-1</x:f>
        <x:v>-0.9978601027700126</x:v>
      </x:c>
      <x:c r="AL2463" s="83" t="n">
        <x:f>'Inputs'!$B$50</x:f>
        <x:v>1</x:v>
      </x:c>
      <x:c r="AM2463" s="83" t="n">
        <x:f>'Inputs'!$C$50</x:f>
        <x:v>1</x:v>
      </x:c>
      <x:c r="AN2463" s="83" t="n">
        <x:f>'Inputs'!$D$50</x:f>
        <x:v>1</x:v>
      </x:c>
      <x:c r="AO2463" s="81" t="n">
        <x:f>'Inputs'!$E$50</x:f>
        <x:v>0</x:v>
      </x:c>
    </x:row>
    <x:row r="2464">
      <x:c r="A2464" s="59" t="str">
        <x:v>Whale exit</x:v>
      </x:c>
      <x:c r="B2464" s="59" t="n">
        <x:v>271</x:v>
      </x:c>
      <x:c r="C2464" s="78" t="n">
        <x:f>(('Inputs'!$B$29*(3*271*'Inputs'!$B$12-271^2)/(2*'Inputs'!$B$12^2))-('Inputs'!$B$29*(3*270*'Inputs'!$B$12-270^2)/(2*'Inputs'!$B$12^2)))*'Inputs'!$B$50</x:f>
        <x:v>624044.6143741608</x:v>
      </x:c>
      <x:c r="D2464" s="78" t="n">
        <x:f>IF('Inputs'!$C$50&gt;0,('Inputs'!$B$30*(3*271*'Inputs'!$B$12-271^2)/(2*'Inputs'!$B$12^2))-('Inputs'!$B$30*(3*270*'Inputs'!$B$12-270^2)/(2*'Inputs'!$B$12^2)),0)</x:f>
        <x:v>267447.6918746531</x:v>
      </x:c>
      <x:c r="E2464" s="78" t="n">
        <x:f>C2464+D2464</x:f>
        <x:v>891492.3062488139</x:v>
      </x:c>
      <x:c r="F2464" s="78" t="n">
        <x:f>'Inputs'!$B$13*E2464+(1-'Inputs'!$B$13)/'Inputs'!$B$14*SUM(E2409:E2464)</x:f>
        <x:v>901709.9831112752</x:v>
      </x:c>
      <x:c r="G2464" s="78" t="n">
        <x:f>F2464*'Inputs'!$F$50</x:f>
        <x:v>450854.9915556376</x:v>
      </x:c>
      <x:c r="H2464" s="78" t="n">
        <x:f>U2463</x:f>
        <x:v>127025028.29283014</x:v>
      </x:c>
      <x:c r="I2464" s="78" t="n">
        <x:f>V2463</x:f>
        <x:v>229.08624128452513</x:v>
      </x:c>
      <x:c r="J2464" s="79" t="n">
        <x:f>IF(H2464&gt;0,I2464/H2464,0)</x:f>
        <x:v>0.0000018034732553368443</x:v>
      </x:c>
      <x:c r="K2464" s="80" t="n">
        <x:f>(H2464*J2464+I2464)*'Inputs'!$D$50*(1+'Inputs'!$G$50)^(B2464/30)</x:f>
        <x:v>458.17248256905026</x:v>
      </x:c>
      <x:c r="L2464" s="80" t="n">
        <x:f>MAX(0,K2464*'Inputs'!$E$50)</x:f>
        <x:v>0</x:v>
      </x:c>
      <x:c r="M2464" s="80" t="n">
        <x:f>MAX(0,-K2464*'Inputs'!$E$50)</x:f>
        <x:v>0</x:v>
      </x:c>
      <x:c r="N2464" s="78" t="n">
        <x:f>H2464*(L2464*(1-'Inputs'!$B$15))/(I2464+L2464*(1-'Inputs'!$B$15))</x:f>
        <x:v>0</x:v>
      </x:c>
      <x:c r="O2464" s="78" t="n">
        <x:f>H2464-N2464</x:f>
        <x:v>127025028.29283014</x:v>
      </x:c>
      <x:c r="P2464" s="78" t="n">
        <x:f>I2464+L2464*(1-'Inputs'!$B$17)</x:f>
        <x:v>229.08624128452513</x:v>
      </x:c>
      <x:c r="Q2464" s="78" t="n">
        <x:f>IF(J2464&gt;0,M2464/J2464,0)</x:f>
        <x:v>0</x:v>
      </x:c>
      <x:c r="R2464" s="78" t="n">
        <x:f>IF(B2464='Inputs'!$H$50,'Inputs'!$B$27*'Inputs'!$I$50,0)</x:f>
        <x:v>0</x:v>
      </x:c>
      <x:c r="S2464" s="78" t="n">
        <x:f>Q2464+G2464+R2464</x:f>
        <x:v>450854.9915556376</x:v>
      </x:c>
      <x:c r="T2464" s="78" t="n">
        <x:f>P2464*(S2464*(1-'Inputs'!$B$15))/(O2464+S2464*(1-'Inputs'!$B$15))</x:f>
        <x:v>0.8021552198604978</x:v>
      </x:c>
      <x:c r="U2464" s="78" t="n">
        <x:f>O2464+S2464*(1-'Inputs'!$B$17)</x:f>
        <x:v>127474068.97858475</x:v>
      </x:c>
      <x:c r="V2464" s="78" t="n">
        <x:f>P2464-T2464</x:f>
        <x:v>228.28408606466462</x:v>
      </x:c>
      <x:c r="W2464" s="79" t="n">
        <x:f>IF(U2464&gt;0,V2464/U2464,0)</x:f>
        <x:v>0.000001790827639643445</x:v>
      </x:c>
      <x:c r="X2464" s="80" t="n">
        <x:f>W2464*('Inputs'!$B$6-AC2464)</x:f>
        <x:v>1664.8686404079835</x:v>
      </x:c>
      <x:c r="Y2464" s="80" t="n">
        <x:f>2*V2464</x:f>
        <x:v>456.56817212932924</x:v>
      </x:c>
      <x:c r="Z2464" s="80" t="n">
        <x:f>K2464*'Inputs'!$B$16+(G2464+R2464)*J2464*'Inputs'!$B$16</x:f>
        <x:v>2.753913524930136</x:v>
      </x:c>
      <x:c r="AA2464" s="80" t="n">
        <x:f>K2464*(1+'Inputs'!$E$50)/2*'Inputs'!$B$17</x:f>
        <x:v>0.9218762224729382</x:v>
      </x:c>
      <x:c r="AB2464" s="78" t="n">
        <x:f>(IF(J2464&gt;0,K2464*(1-'Inputs'!$E$50)/2/J2464,0)+G2464+R2464)*'Inputs'!$B$17</x:f>
        <x:v>512981.4216675484</x:v>
      </x:c>
      <x:c r="AC2464" s="78" t="n">
        <x:f>AC2463+AB2464</x:f>
        <x:v>70335635.01428866</x:v>
      </x:c>
      <x:c r="AD2464" s="80" t="n">
        <x:f>Z2464/(1+'Inputs'!$C$50)</x:f>
        <x:v>1.376956762465068</x:v>
      </x:c>
      <x:c r="AE2464" s="80" t="n">
        <x:f>Z2464-AD2464</x:f>
        <x:v>1.376956762465068</x:v>
      </x:c>
      <x:c r="AF2464" s="80" t="n">
        <x:f>D2464*W2464</x:f>
        <x:v>0.4789527187679724</x:v>
      </x:c>
      <x:c r="AG2464" s="80" t="n">
        <x:f>C2464*W2464</x:f>
        <x:v>1.1175563437918823</x:v>
      </x:c>
      <x:c r="AH2464" s="80" t="n">
        <x:f>2*'Inputs'!$B$8*'Inputs'!$C$50</x:f>
        <x:v>5000</x:v>
      </x:c>
      <x:c r="AI2464" s="81" t="n">
        <x:f>IF(AH2464&gt;0,(AE2464+AF2464)/AH2464*365,0)</x:f>
        <x:v>0.13548139213001195</x:v>
      </x:c>
      <x:c r="AJ2464" s="81" t="n">
        <x:f>IF('Inputs'!$B$50&gt;0,AG2464/('Inputs'!$B$19*'Inputs'!$B$50)*365,0)</x:f>
        <x:v>0.0407908065484037</x:v>
      </x:c>
      <x:c r="AK2464" s="81" t="n">
        <x:f>W2464/MAX($W$2194:W2464)-1</x:f>
        <x:v>-0.9978751073274207</x:v>
      </x:c>
      <x:c r="AL2464" s="83" t="n">
        <x:f>'Inputs'!$B$50</x:f>
        <x:v>1</x:v>
      </x:c>
      <x:c r="AM2464" s="83" t="n">
        <x:f>'Inputs'!$C$50</x:f>
        <x:v>1</x:v>
      </x:c>
      <x:c r="AN2464" s="83" t="n">
        <x:f>'Inputs'!$D$50</x:f>
        <x:v>1</x:v>
      </x:c>
      <x:c r="AO2464" s="81" t="n">
        <x:f>'Inputs'!$E$50</x:f>
        <x:v>0</x:v>
      </x:c>
    </x:row>
    <x:row r="2465">
      <x:c r="A2465" s="59" t="str">
        <x:v>Whale exit</x:v>
      </x:c>
      <x:c r="B2465" s="59" t="n">
        <x:v>272</x:v>
      </x:c>
      <x:c r="C2465" s="78" t="n">
        <x:f>(('Inputs'!$B$29*(3*272*'Inputs'!$B$12-272^2)/(2*'Inputs'!$B$12^2))-('Inputs'!$B$29*(3*271*'Inputs'!$B$12-271^2)/(2*'Inputs'!$B$12^2)))*'Inputs'!$B$50</x:f>
        <x:v>623719.5064740181</x:v>
      </x:c>
      <x:c r="D2465" s="78" t="n">
        <x:f>IF('Inputs'!$C$50&gt;0,('Inputs'!$B$30*(3*272*'Inputs'!$B$12-272^2)/(2*'Inputs'!$B$12^2))-('Inputs'!$B$30*(3*271*'Inputs'!$B$12-271^2)/(2*'Inputs'!$B$12^2)),0)</x:f>
        <x:v>267308.35991743207</x:v>
      </x:c>
      <x:c r="E2465" s="78" t="n">
        <x:f>C2465+D2465</x:f>
        <x:v>891027.8663914502</x:v>
      </x:c>
      <x:c r="F2465" s="78" t="n">
        <x:f>'Inputs'!$B$13*E2465+(1-'Inputs'!$B$13)/'Inputs'!$B$14*SUM(E2410:E2465)</x:f>
        <x:v>901245.5432538954</x:v>
      </x:c>
      <x:c r="G2465" s="78" t="n">
        <x:f>F2465*'Inputs'!$F$50</x:f>
        <x:v>450622.7716269477</x:v>
      </x:c>
      <x:c r="H2465" s="78" t="n">
        <x:f>U2464</x:f>
        <x:v>127474068.97858475</x:v>
      </x:c>
      <x:c r="I2465" s="78" t="n">
        <x:f>V2464</x:f>
        <x:v>228.28408606466462</x:v>
      </x:c>
      <x:c r="J2465" s="79" t="n">
        <x:f>IF(H2465&gt;0,I2465/H2465,0)</x:f>
        <x:v>0.000001790827639643445</x:v>
      </x:c>
      <x:c r="K2465" s="80" t="n">
        <x:f>(H2465*J2465+I2465)*'Inputs'!$D$50*(1+'Inputs'!$G$50)^(B2465/30)</x:f>
        <x:v>456.56817212932924</x:v>
      </x:c>
      <x:c r="L2465" s="80" t="n">
        <x:f>MAX(0,K2465*'Inputs'!$E$50)</x:f>
        <x:v>0</x:v>
      </x:c>
      <x:c r="M2465" s="80" t="n">
        <x:f>MAX(0,-K2465*'Inputs'!$E$50)</x:f>
        <x:v>0</x:v>
      </x:c>
      <x:c r="N2465" s="78" t="n">
        <x:f>H2465*(L2465*(1-'Inputs'!$B$15))/(I2465+L2465*(1-'Inputs'!$B$15))</x:f>
        <x:v>0</x:v>
      </x:c>
      <x:c r="O2465" s="78" t="n">
        <x:f>H2465-N2465</x:f>
        <x:v>127474068.97858475</x:v>
      </x:c>
      <x:c r="P2465" s="78" t="n">
        <x:f>I2465+L2465*(1-'Inputs'!$B$17)</x:f>
        <x:v>228.28408606466462</x:v>
      </x:c>
      <x:c r="Q2465" s="78" t="n">
        <x:f>IF(J2465&gt;0,M2465/J2465,0)</x:f>
        <x:v>0</x:v>
      </x:c>
      <x:c r="R2465" s="78" t="n">
        <x:f>IF(B2465='Inputs'!$H$50,'Inputs'!$B$27*'Inputs'!$I$50,0)</x:f>
        <x:v>0</x:v>
      </x:c>
      <x:c r="S2465" s="78" t="n">
        <x:f>Q2465+G2465+R2465</x:f>
        <x:v>450622.7716269477</x:v>
      </x:c>
      <x:c r="T2465" s="78" t="n">
        <x:f>P2465*(S2465*(1-'Inputs'!$B$15))/(O2465+S2465*(1-'Inputs'!$B$15))</x:f>
        <x:v>0.7961316432508352</x:v>
      </x:c>
      <x:c r="U2465" s="78" t="n">
        <x:f>O2465+S2465*(1-'Inputs'!$B$17)</x:f>
        <x:v>127922878.37889731</x:v>
      </x:c>
      <x:c r="V2465" s="78" t="n">
        <x:f>P2465-T2465</x:f>
        <x:v>227.48795442141378</x:v>
      </x:c>
      <x:c r="W2465" s="79" t="n">
        <x:f>IF(U2465&gt;0,V2465/U2465,0)</x:f>
        <x:v>0.0000017783211049051969</x:v>
      </x:c>
      <x:c r="X2465" s="80" t="n">
        <x:f>W2465*('Inputs'!$B$6-AC2465)</x:f>
        <x:v>1652.326303270898</x:v>
      </x:c>
      <x:c r="Y2465" s="80" t="n">
        <x:f>2*V2465</x:f>
        <x:v>454.97590884282755</x:v>
      </x:c>
      <x:c r="Z2465" s="80" t="n">
        <x:f>K2465*'Inputs'!$B$16+(G2465+R2465)*J2465*'Inputs'!$B$16</x:f>
        <x:v>2.744250959062869</x:v>
      </x:c>
      <x:c r="AA2465" s="80" t="n">
        <x:f>K2465*(1+'Inputs'!$E$50)/2*'Inputs'!$B$17</x:f>
        <x:v>0.9186482336606223</x:v>
      </x:c>
      <x:c r="AB2465" s="78" t="n">
        <x:f>(IF(J2465&gt;0,K2465*(1-'Inputs'!$E$50)/2/J2465,0)+G2465+R2465)*'Inputs'!$B$17</x:f>
        <x:v>514787.49195256224</x:v>
      </x:c>
      <x:c r="AC2465" s="78" t="n">
        <x:f>AC2464+AB2465</x:f>
        <x:v>70850422.50624123</x:v>
      </x:c>
      <x:c r="AD2465" s="80" t="n">
        <x:f>Z2465/(1+'Inputs'!$C$50)</x:f>
        <x:v>1.3721254795314346</x:v>
      </x:c>
      <x:c r="AE2465" s="80" t="n">
        <x:f>Z2465-AD2465</x:f>
        <x:v>1.3721254795314346</x:v>
      </x:c>
      <x:c r="AF2465" s="80" t="n">
        <x:f>D2465*W2465</x:f>
        <x:v>0.4753600979587638</x:v>
      </x:c>
      <x:c r="AG2465" s="80" t="n">
        <x:f>C2465*W2465</x:f>
        <x:v>1.1091735619038</x:v>
      </x:c>
      <x:c r="AH2465" s="80" t="n">
        <x:f>2*'Inputs'!$B$8*'Inputs'!$C$50</x:f>
        <x:v>5000</x:v>
      </x:c>
      <x:c r="AI2465" s="81" t="n">
        <x:f>IF(AH2465&gt;0,(AE2465+AF2465)/AH2465*365,0)</x:f>
        <x:v>0.13486644715678447</x:v>
      </x:c>
      <x:c r="AJ2465" s="81" t="n">
        <x:f>IF('Inputs'!$B$50&gt;0,AG2465/('Inputs'!$B$19*'Inputs'!$B$50)*365,0)</x:f>
        <x:v>0.0404848350094887</x:v>
      </x:c>
      <x:c r="AK2465" s="81" t="n">
        <x:f>W2465/MAX($W$2194:W2465)-1</x:f>
        <x:v>-0.9978899468593982</x:v>
      </x:c>
      <x:c r="AL2465" s="83" t="n">
        <x:f>'Inputs'!$B$50</x:f>
        <x:v>1</x:v>
      </x:c>
      <x:c r="AM2465" s="83" t="n">
        <x:f>'Inputs'!$C$50</x:f>
        <x:v>1</x:v>
      </x:c>
      <x:c r="AN2465" s="83" t="n">
        <x:f>'Inputs'!$D$50</x:f>
        <x:v>1</x:v>
      </x:c>
      <x:c r="AO2465" s="81" t="n">
        <x:f>'Inputs'!$E$50</x:f>
        <x:v>0</x:v>
      </x:c>
    </x:row>
    <x:row r="2466">
      <x:c r="A2466" s="59" t="str">
        <x:v>Whale exit</x:v>
      </x:c>
      <x:c r="B2466" s="59" t="n">
        <x:v>273</x:v>
      </x:c>
      <x:c r="C2466" s="78" t="n">
        <x:f>(('Inputs'!$B$29*(3*273*'Inputs'!$B$12-273^2)/(2*'Inputs'!$B$12^2))-('Inputs'!$B$29*(3*272*'Inputs'!$B$12-272^2)/(2*'Inputs'!$B$12^2)))*'Inputs'!$B$50</x:f>
        <x:v>623394.3985738456</x:v>
      </x:c>
      <x:c r="D2466" s="78" t="n">
        <x:f>IF('Inputs'!$C$50&gt;0,('Inputs'!$B$30*(3*273*'Inputs'!$B$12-273^2)/(2*'Inputs'!$B$12^2))-('Inputs'!$B$30*(3*272*'Inputs'!$B$12-272^2)/(2*'Inputs'!$B$12^2)),0)</x:f>
        <x:v>267169.02796022594</x:v>
      </x:c>
      <x:c r="E2466" s="78" t="n">
        <x:f>C2466+D2466</x:f>
        <x:v>890563.4265340716</x:v>
      </x:c>
      <x:c r="F2466" s="78" t="n">
        <x:f>'Inputs'!$B$13*E2466+(1-'Inputs'!$B$13)/'Inputs'!$B$14*SUM(E2411:E2466)</x:f>
        <x:v>900781.1033965126</x:v>
      </x:c>
      <x:c r="G2466" s="78" t="n">
        <x:f>F2466*'Inputs'!$F$50</x:f>
        <x:v>450390.5516982563</x:v>
      </x:c>
      <x:c r="H2466" s="78" t="n">
        <x:f>U2465</x:f>
        <x:v>127922878.37889731</x:v>
      </x:c>
      <x:c r="I2466" s="78" t="n">
        <x:f>V2465</x:f>
        <x:v>227.48795442141378</x:v>
      </x:c>
      <x:c r="J2466" s="79" t="n">
        <x:f>IF(H2466&gt;0,I2466/H2466,0)</x:f>
        <x:v>0.0000017783211049051969</x:v>
      </x:c>
      <x:c r="K2466" s="80" t="n">
        <x:f>(H2466*J2466+I2466)*'Inputs'!$D$50*(1+'Inputs'!$G$50)^(B2466/30)</x:f>
        <x:v>454.97590884282755</x:v>
      </x:c>
      <x:c r="L2466" s="80" t="n">
        <x:f>MAX(0,K2466*'Inputs'!$E$50)</x:f>
        <x:v>0</x:v>
      </x:c>
      <x:c r="M2466" s="80" t="n">
        <x:f>MAX(0,-K2466*'Inputs'!$E$50)</x:f>
        <x:v>0</x:v>
      </x:c>
      <x:c r="N2466" s="78" t="n">
        <x:f>H2466*(L2466*(1-'Inputs'!$B$15))/(I2466+L2466*(1-'Inputs'!$B$15))</x:f>
        <x:v>0</x:v>
      </x:c>
      <x:c r="O2466" s="78" t="n">
        <x:f>H2466-N2466</x:f>
        <x:v>127922878.37889731</x:v>
      </x:c>
      <x:c r="P2466" s="78" t="n">
        <x:f>I2466+L2466*(1-'Inputs'!$B$17)</x:f>
        <x:v>227.48795442141378</x:v>
      </x:c>
      <x:c r="Q2466" s="78" t="n">
        <x:f>IF(J2466&gt;0,M2466/J2466,0)</x:f>
        <x:v>0</x:v>
      </x:c>
      <x:c r="R2466" s="78" t="n">
        <x:f>IF(B2466='Inputs'!$H$50,'Inputs'!$B$27*'Inputs'!$I$50,0)</x:f>
        <x:v>0</x:v>
      </x:c>
      <x:c r="S2466" s="78" t="n">
        <x:f>Q2466+G2466+R2466</x:f>
        <x:v>450390.5516982563</x:v>
      </x:c>
      <x:c r="T2466" s="78" t="n">
        <x:f>P2466*(S2466*(1-'Inputs'!$B$15))/(O2466+S2466*(1-'Inputs'!$B$15))</x:f>
        <x:v>0.7901754061728814</x:v>
      </x:c>
      <x:c r="U2466" s="78" t="n">
        <x:f>O2466+S2466*(1-'Inputs'!$B$17)</x:f>
        <x:v>128371456.49376781</x:v>
      </x:c>
      <x:c r="V2466" s="78" t="n">
        <x:f>P2466-T2466</x:f>
        <x:v>226.69777901524088</x:v>
      </x:c>
      <x:c r="W2466" s="79" t="n">
        <x:f>IF(U2466&gt;0,V2466/U2466,0)</x:f>
        <x:v>0.0000017659516002005214</x:v>
      </x:c>
      <x:c r="X2466" s="80" t="n">
        <x:f>W2466*('Inputs'!$B$6-AC2466)</x:f>
        <x:v>1639.9209056164723</x:v>
      </x:c>
      <x:c r="Y2466" s="80" t="n">
        <x:f>2*V2466</x:f>
        <x:v>453.39555803048177</x:v>
      </x:c>
      <x:c r="Z2466" s="80" t="n">
        <x:f>K2466*'Inputs'!$B$16+(G2466+R2466)*J2466*'Inputs'!$B$16</x:f>
        <x:v>2.734661087198175</x:v>
      </x:c>
      <x:c r="AA2466" s="80" t="n">
        <x:f>K2466*(1+'Inputs'!$E$50)/2*'Inputs'!$B$17</x:f>
        <x:v>0.9154444845932145</x:v>
      </x:c>
      <x:c r="AB2466" s="78" t="n">
        <x:f>(IF(J2466&gt;0,K2466*(1-'Inputs'!$E$50)/2/J2466,0)+G2466+R2466)*'Inputs'!$B$17</x:f>
        <x:v>516592.631511451</x:v>
      </x:c>
      <x:c r="AC2466" s="78" t="n">
        <x:f>AC2465+AB2466</x:f>
        <x:v>71367015.13775268</x:v>
      </x:c>
      <x:c r="AD2466" s="80" t="n">
        <x:f>Z2466/(1+'Inputs'!$C$50)</x:f>
        <x:v>1.3673305435990875</x:v>
      </x:c>
      <x:c r="AE2466" s="80" t="n">
        <x:f>Z2466-AD2466</x:f>
        <x:v>1.3673305435990875</x:v>
      </x:c>
      <x:c r="AF2466" s="80" t="n">
        <x:f>D2466*W2466</x:f>
        <x:v>0.47180757245037885</x:v>
      </x:c>
      <x:c r="AG2466" s="80" t="n">
        <x:f>C2466*W2466</x:f>
        <x:v>1.1008843357175242</x:v>
      </x:c>
      <x:c r="AH2466" s="80" t="n">
        <x:f>2*'Inputs'!$B$8*'Inputs'!$C$50</x:f>
        <x:v>5000</x:v>
      </x:c>
      <x:c r="AI2466" s="81" t="n">
        <x:f>IF(AH2466&gt;0,(AE2466+AF2466)/AH2466*365,0)</x:f>
        <x:v>0.13425708247161103</x:v>
      </x:c>
      <x:c r="AJ2466" s="81" t="n">
        <x:f>IF('Inputs'!$B$50&gt;0,AG2466/('Inputs'!$B$19*'Inputs'!$B$50)*365,0)</x:f>
        <x:v>0.040182278253689634</x:v>
      </x:c>
      <x:c r="AK2466" s="81" t="n">
        <x:f>W2466/MAX($W$2194:W2466)-1</x:f>
        <x:v>-0.9979046237994501</x:v>
      </x:c>
      <x:c r="AL2466" s="83" t="n">
        <x:f>'Inputs'!$B$50</x:f>
        <x:v>1</x:v>
      </x:c>
      <x:c r="AM2466" s="83" t="n">
        <x:f>'Inputs'!$C$50</x:f>
        <x:v>1</x:v>
      </x:c>
      <x:c r="AN2466" s="83" t="n">
        <x:f>'Inputs'!$D$50</x:f>
        <x:v>1</x:v>
      </x:c>
      <x:c r="AO2466" s="81" t="n">
        <x:f>'Inputs'!$E$50</x:f>
        <x:v>0</x:v>
      </x:c>
    </x:row>
    <x:row r="2467">
      <x:c r="A2467" s="59" t="str">
        <x:v>Whale exit</x:v>
      </x:c>
      <x:c r="B2467" s="59" t="n">
        <x:v>274</x:v>
      </x:c>
      <x:c r="C2467" s="78" t="n">
        <x:f>(('Inputs'!$B$29*(3*274*'Inputs'!$B$12-274^2)/(2*'Inputs'!$B$12^2))-('Inputs'!$B$29*(3*273*'Inputs'!$B$12-273^2)/(2*'Inputs'!$B$12^2)))*'Inputs'!$B$50</x:f>
        <x:v>623069.2906736732</x:v>
      </x:c>
      <x:c r="D2467" s="78" t="n">
        <x:f>IF('Inputs'!$C$50&gt;0,('Inputs'!$B$30*(3*274*'Inputs'!$B$12-274^2)/(2*'Inputs'!$B$12^2))-('Inputs'!$B$30*(3*273*'Inputs'!$B$12-273^2)/(2*'Inputs'!$B$12^2)),0)</x:f>
        <x:v>267029.69600299</x:v>
      </x:c>
      <x:c r="E2467" s="78" t="n">
        <x:f>C2467+D2467</x:f>
        <x:v>890098.9866766632</x:v>
      </x:c>
      <x:c r="F2467" s="78" t="n">
        <x:f>'Inputs'!$B$13*E2467+(1-'Inputs'!$B$13)/'Inputs'!$B$14*SUM(E2412:E2467)</x:f>
        <x:v>900316.663539123</x:v>
      </x:c>
      <x:c r="G2467" s="78" t="n">
        <x:f>F2467*'Inputs'!$F$50</x:f>
        <x:v>450158.3317695615</x:v>
      </x:c>
      <x:c r="H2467" s="78" t="n">
        <x:f>U2466</x:f>
        <x:v>128371456.49376781</x:v>
      </x:c>
      <x:c r="I2467" s="78" t="n">
        <x:f>V2466</x:f>
        <x:v>226.69777901524088</x:v>
      </x:c>
      <x:c r="J2467" s="79" t="n">
        <x:f>IF(H2467&gt;0,I2467/H2467,0)</x:f>
        <x:v>0.0000017659516002005214</x:v>
      </x:c>
      <x:c r="K2467" s="80" t="n">
        <x:f>(H2467*J2467+I2467)*'Inputs'!$D$50*(1+'Inputs'!$G$50)^(B2467/30)</x:f>
        <x:v>453.39555803048177</x:v>
      </x:c>
      <x:c r="L2467" s="80" t="n">
        <x:f>MAX(0,K2467*'Inputs'!$E$50)</x:f>
        <x:v>0</x:v>
      </x:c>
      <x:c r="M2467" s="80" t="n">
        <x:f>MAX(0,-K2467*'Inputs'!$E$50)</x:f>
        <x:v>0</x:v>
      </x:c>
      <x:c r="N2467" s="78" t="n">
        <x:f>H2467*(L2467*(1-'Inputs'!$B$15))/(I2467+L2467*(1-'Inputs'!$B$15))</x:f>
        <x:v>0</x:v>
      </x:c>
      <x:c r="O2467" s="78" t="n">
        <x:f>H2467-N2467</x:f>
        <x:v>128371456.49376781</x:v>
      </x:c>
      <x:c r="P2467" s="78" t="n">
        <x:f>I2467+L2467*(1-'Inputs'!$B$17)</x:f>
        <x:v>226.69777901524088</x:v>
      </x:c>
      <x:c r="Q2467" s="78" t="n">
        <x:f>IF(J2467&gt;0,M2467/J2467,0)</x:f>
        <x:v>0</x:v>
      </x:c>
      <x:c r="R2467" s="78" t="n">
        <x:f>IF(B2467='Inputs'!$H$50,'Inputs'!$B$27*'Inputs'!$I$50,0)</x:f>
        <x:v>0</x:v>
      </x:c>
      <x:c r="S2467" s="78" t="n">
        <x:f>Q2467+G2467+R2467</x:f>
        <x:v>450158.3317695615</x:v>
      </x:c>
      <x:c r="T2467" s="78" t="n">
        <x:f>P2467*(S2467*(1-'Inputs'!$B$15))/(O2467+S2467*(1-'Inputs'!$B$15))</x:f>
        <x:v>0.7842855078363891</x:v>
      </x:c>
      <x:c r="U2467" s="78" t="n">
        <x:f>O2467+S2467*(1-'Inputs'!$B$17)</x:f>
        <x:v>128819803.32319625</x:v>
      </x:c>
      <x:c r="V2467" s="78" t="n">
        <x:f>P2467-T2467</x:f>
        <x:v>225.9134935074045</x:v>
      </x:c>
      <x:c r="W2467" s="79" t="n">
        <x:f>IF(U2467&gt;0,V2467/U2467,0)</x:f>
        <x:v>0.0000017537171124272695</x:v>
      </x:c>
      <x:c r="X2467" s="80" t="n">
        <x:f>W2467*('Inputs'!$B$6-AC2467)</x:f>
        <x:v>1627.6504353073967</x:v>
      </x:c>
      <x:c r="Y2467" s="80" t="n">
        <x:f>2*V2467</x:f>
        <x:v>451.826987014809</x:v>
      </x:c>
      <x:c r="Z2467" s="80" t="n">
        <x:f>K2467*'Inputs'!$B$16+(G2467+R2467)*J2467*'Inputs'!$B$16</x:f>
        <x:v>2.725143095140883</x:v>
      </x:c>
      <x:c r="AA2467" s="80" t="n">
        <x:f>K2467*(1+'Inputs'!$E$50)/2*'Inputs'!$B$17</x:f>
        <x:v>0.9122647042866837</x:v>
      </x:c>
      <x:c r="AB2467" s="78" t="n">
        <x:f>(IF(J2467&gt;0,K2467*(1-'Inputs'!$E$50)/2/J2467,0)+G2467+R2467)*'Inputs'!$B$17</x:f>
        <x:v>518396.8403442148</x:v>
      </x:c>
      <x:c r="AC2467" s="78" t="n">
        <x:f>AC2466+AB2467</x:f>
        <x:v>71885411.9780969</x:v>
      </x:c>
      <x:c r="AD2467" s="80" t="n">
        <x:f>Z2467/(1+'Inputs'!$C$50)</x:f>
        <x:v>1.3625715475704414</x:v>
      </x:c>
      <x:c r="AE2467" s="80" t="n">
        <x:f>Z2467-AD2467</x:f>
        <x:v>1.3625715475704414</x:v>
      </x:c>
      <x:c r="AF2467" s="80" t="n">
        <x:f>D2467*W2467</x:f>
        <x:v>0.46829454740669524</x:v>
      </x:c>
      <x:c r="AG2467" s="80" t="n">
        <x:f>C2467*W2467</x:f>
        <x:v>1.092687277282341</x:v>
      </x:c>
      <x:c r="AH2467" s="80" t="n">
        <x:f>2*'Inputs'!$B$8*'Inputs'!$C$50</x:f>
        <x:v>5000</x:v>
      </x:c>
      <x:c r="AI2467" s="81" t="n">
        <x:f>IF(AH2467&gt;0,(AE2467+AF2467)/AH2467*365,0)</x:f>
        <x:v>0.13365322493333098</x:v>
      </x:c>
      <x:c r="AJ2467" s="81" t="n">
        <x:f>IF('Inputs'!$B$50&gt;0,AG2467/('Inputs'!$B$19*'Inputs'!$B$50)*365,0)</x:f>
        <x:v>0.03988308562080545</x:v>
      </x:c>
      <x:c r="AK2467" s="81" t="n">
        <x:f>W2467/MAX($W$2194:W2467)-1</x:f>
        <x:v>-0.9979191405362073</x:v>
      </x:c>
      <x:c r="AL2467" s="83" t="n">
        <x:f>'Inputs'!$B$50</x:f>
        <x:v>1</x:v>
      </x:c>
      <x:c r="AM2467" s="83" t="n">
        <x:f>'Inputs'!$C$50</x:f>
        <x:v>1</x:v>
      </x:c>
      <x:c r="AN2467" s="83" t="n">
        <x:f>'Inputs'!$D$50</x:f>
        <x:v>1</x:v>
      </x:c>
      <x:c r="AO2467" s="81" t="n">
        <x:f>'Inputs'!$E$50</x:f>
        <x:v>0</x:v>
      </x:c>
    </x:row>
    <x:row r="2468">
      <x:c r="A2468" s="59" t="str">
        <x:v>Whale exit</x:v>
      </x:c>
      <x:c r="B2468" s="59" t="n">
        <x:v>275</x:v>
      </x:c>
      <x:c r="C2468" s="78" t="n">
        <x:f>(('Inputs'!$B$29*(3*275*'Inputs'!$B$12-275^2)/(2*'Inputs'!$B$12^2))-('Inputs'!$B$29*(3*274*'Inputs'!$B$12-274^2)/(2*'Inputs'!$B$12^2)))*'Inputs'!$B$50</x:f>
        <x:v>622744.1827735007</x:v>
      </x:c>
      <x:c r="D2468" s="78" t="n">
        <x:f>IF('Inputs'!$C$50&gt;0,('Inputs'!$B$30*(3*275*'Inputs'!$B$12-275^2)/(2*'Inputs'!$B$12^2))-('Inputs'!$B$30*(3*274*'Inputs'!$B$12-274^2)/(2*'Inputs'!$B$12^2)),0)</x:f>
        <x:v>266890.3640457988</x:v>
      </x:c>
      <x:c r="E2468" s="78" t="n">
        <x:f>C2468+D2468</x:f>
        <x:v>889634.5468192995</x:v>
      </x:c>
      <x:c r="F2468" s="78" t="n">
        <x:f>'Inputs'!$B$13*E2468+(1-'Inputs'!$B$13)/'Inputs'!$B$14*SUM(E2413:E2468)</x:f>
        <x:v>899852.2236817434</x:v>
      </x:c>
      <x:c r="G2468" s="78" t="n">
        <x:f>F2468*'Inputs'!$F$50</x:f>
        <x:v>449926.1118408717</x:v>
      </x:c>
      <x:c r="H2468" s="78" t="n">
        <x:f>U2467</x:f>
        <x:v>128819803.32319625</x:v>
      </x:c>
      <x:c r="I2468" s="78" t="n">
        <x:f>V2467</x:f>
        <x:v>225.9134935074045</x:v>
      </x:c>
      <x:c r="J2468" s="79" t="n">
        <x:f>IF(H2468&gt;0,I2468/H2468,0)</x:f>
        <x:v>0.0000017537171124272695</x:v>
      </x:c>
      <x:c r="K2468" s="80" t="n">
        <x:f>(H2468*J2468+I2468)*'Inputs'!$D$50*(1+'Inputs'!$G$50)^(B2468/30)</x:f>
        <x:v>451.826987014809</x:v>
      </x:c>
      <x:c r="L2468" s="80" t="n">
        <x:f>MAX(0,K2468*'Inputs'!$E$50)</x:f>
        <x:v>0</x:v>
      </x:c>
      <x:c r="M2468" s="80" t="n">
        <x:f>MAX(0,-K2468*'Inputs'!$E$50)</x:f>
        <x:v>0</x:v>
      </x:c>
      <x:c r="N2468" s="78" t="n">
        <x:f>H2468*(L2468*(1-'Inputs'!$B$15))/(I2468+L2468*(1-'Inputs'!$B$15))</x:f>
        <x:v>0</x:v>
      </x:c>
      <x:c r="O2468" s="78" t="n">
        <x:f>H2468-N2468</x:f>
        <x:v>128819803.32319625</x:v>
      </x:c>
      <x:c r="P2468" s="78" t="n">
        <x:f>I2468+L2468*(1-'Inputs'!$B$17)</x:f>
        <x:v>225.9134935074045</x:v>
      </x:c>
      <x:c r="Q2468" s="78" t="n">
        <x:f>IF(J2468&gt;0,M2468/J2468,0)</x:f>
        <x:v>0</x:v>
      </x:c>
      <x:c r="R2468" s="78" t="n">
        <x:f>IF(B2468='Inputs'!$H$50,'Inputs'!$B$27*'Inputs'!$I$50,0)</x:f>
        <x:v>0</x:v>
      </x:c>
      <x:c r="S2468" s="78" t="n">
        <x:f>Q2468+G2468+R2468</x:f>
        <x:v>449926.1118408717</x:v>
      </x:c>
      <x:c r="T2468" s="78" t="n">
        <x:f>P2468*(S2468*(1-'Inputs'!$B$15))/(O2468+S2468*(1-'Inputs'!$B$15))</x:f>
        <x:v>0.7784609659792029</x:v>
      </x:c>
      <x:c r="U2468" s="78" t="n">
        <x:f>O2468+S2468*(1-'Inputs'!$B$17)</x:f>
        <x:v>129267918.86718263</x:v>
      </x:c>
      <x:c r="V2468" s="78" t="n">
        <x:f>P2468-T2468</x:f>
        <x:v>225.1350325414253</x:v>
      </x:c>
      <x:c r="W2468" s="79" t="n">
        <x:f>IF(U2468&gt;0,V2468/U2468,0)</x:f>
        <x:v>0.0000017416156654671767</x:v>
      </x:c>
      <x:c r="X2468" s="80" t="n">
        <x:f>W2468*('Inputs'!$B$6-AC2468)</x:f>
        <x:v>1615.5129171720896</x:v>
      </x:c>
      <x:c r="Y2468" s="80" t="n">
        <x:f>2*V2468</x:f>
        <x:v>450.2700650828506</x:v>
      </x:c>
      <x:c r="Z2468" s="80" t="n">
        <x:f>K2468*'Inputs'!$B$16+(G2468+R2468)*J2468*'Inputs'!$B$16</x:f>
        <x:v>2.715696180818833</x:v>
      </x:c>
      <x:c r="AA2468" s="80" t="n">
        <x:f>K2468*(1+'Inputs'!$E$50)/2*'Inputs'!$B$17</x:f>
        <x:v>0.909108625784324</x:v>
      </x:c>
      <x:c r="AB2468" s="78" t="n">
        <x:f>(IF(J2468&gt;0,K2468*(1-'Inputs'!$E$50)/2/J2468,0)+G2468+R2468)*'Inputs'!$B$17</x:f>
        <x:v>520200.1184508536</x:v>
      </x:c>
      <x:c r="AC2468" s="78" t="n">
        <x:f>AC2467+AB2468</x:f>
        <x:v>72405612.09654775</x:v>
      </x:c>
      <x:c r="AD2468" s="80" t="n">
        <x:f>Z2468/(1+'Inputs'!$C$50)</x:f>
        <x:v>1.3578480904094166</x:v>
      </x:c>
      <x:c r="AE2468" s="80" t="n">
        <x:f>Z2468-AD2468</x:f>
        <x:v>1.3578480904094166</x:v>
      </x:c>
      <x:c r="AF2468" s="80" t="n">
        <x:f>D2468*W2468</x:f>
        <x:v>0.4648204389844009</x:v>
      </x:c>
      <x:c r="AG2468" s="80" t="n">
        <x:f>C2468*W2468</x:f>
        <x:v>1.0845810242968836</x:v>
      </x:c>
      <x:c r="AH2468" s="80" t="n">
        <x:f>2*'Inputs'!$B$8*'Inputs'!$C$50</x:f>
        <x:v>5000</x:v>
      </x:c>
      <x:c r="AI2468" s="81" t="n">
        <x:f>IF(AH2468&gt;0,(AE2468+AF2468)/AH2468*365,0)</x:f>
        <x:v>0.13305480264574868</x:v>
      </x:c>
      <x:c r="AJ2468" s="81" t="n">
        <x:f>IF('Inputs'!$B$50&gt;0,AG2468/('Inputs'!$B$19*'Inputs'!$B$50)*365,0)</x:f>
        <x:v>0.03958720738683625</x:v>
      </x:c>
      <x:c r="AK2468" s="81" t="n">
        <x:f>W2468/MAX($W$2194:W2468)-1</x:f>
        <x:v>-0.9979334994144176</x:v>
      </x:c>
      <x:c r="AL2468" s="83" t="n">
        <x:f>'Inputs'!$B$50</x:f>
        <x:v>1</x:v>
      </x:c>
      <x:c r="AM2468" s="83" t="n">
        <x:f>'Inputs'!$C$50</x:f>
        <x:v>1</x:v>
      </x:c>
      <x:c r="AN2468" s="83" t="n">
        <x:f>'Inputs'!$D$50</x:f>
        <x:v>1</x:v>
      </x:c>
      <x:c r="AO2468" s="81" t="n">
        <x:f>'Inputs'!$E$50</x:f>
        <x:v>0</x:v>
      </x:c>
    </x:row>
    <x:row r="2469">
      <x:c r="A2469" s="59" t="str">
        <x:v>Whale exit</x:v>
      </x:c>
      <x:c r="B2469" s="59" t="n">
        <x:v>276</x:v>
      </x:c>
      <x:c r="C2469" s="78" t="n">
        <x:f>(('Inputs'!$B$29*(3*276*'Inputs'!$B$12-276^2)/(2*'Inputs'!$B$12^2))-('Inputs'!$B$29*(3*275*'Inputs'!$B$12-275^2)/(2*'Inputs'!$B$12^2)))*'Inputs'!$B$50</x:f>
        <x:v>622419.0748733282</x:v>
      </x:c>
      <x:c r="D2469" s="78" t="n">
        <x:f>IF('Inputs'!$C$50&gt;0,('Inputs'!$B$30*(3*276*'Inputs'!$B$12-276^2)/(2*'Inputs'!$B$12^2))-('Inputs'!$B$30*(3*275*'Inputs'!$B$12-275^2)/(2*'Inputs'!$B$12^2)),0)</x:f>
        <x:v>266751.03208856285</x:v>
      </x:c>
      <x:c r="E2469" s="78" t="n">
        <x:f>C2469+D2469</x:f>
        <x:v>889170.106961891</x:v>
      </x:c>
      <x:c r="F2469" s="78" t="n">
        <x:f>'Inputs'!$B$13*E2469+(1-'Inputs'!$B$13)/'Inputs'!$B$14*SUM(E2414:E2469)</x:f>
        <x:v>899387.7838243543</x:v>
      </x:c>
      <x:c r="G2469" s="78" t="n">
        <x:f>F2469*'Inputs'!$F$50</x:f>
        <x:v>449693.89191217715</x:v>
      </x:c>
      <x:c r="H2469" s="78" t="n">
        <x:f>U2468</x:f>
        <x:v>129267918.86718263</x:v>
      </x:c>
      <x:c r="I2469" s="78" t="n">
        <x:f>V2468</x:f>
        <x:v>225.1350325414253</x:v>
      </x:c>
      <x:c r="J2469" s="79" t="n">
        <x:f>IF(H2469&gt;0,I2469/H2469,0)</x:f>
        <x:v>0.0000017416156654671767</x:v>
      </x:c>
      <x:c r="K2469" s="80" t="n">
        <x:f>(H2469*J2469+I2469)*'Inputs'!$D$50*(1+'Inputs'!$G$50)^(B2469/30)</x:f>
        <x:v>450.2700650828506</x:v>
      </x:c>
      <x:c r="L2469" s="80" t="n">
        <x:f>MAX(0,K2469*'Inputs'!$E$50)</x:f>
        <x:v>0</x:v>
      </x:c>
      <x:c r="M2469" s="80" t="n">
        <x:f>MAX(0,-K2469*'Inputs'!$E$50)</x:f>
        <x:v>0</x:v>
      </x:c>
      <x:c r="N2469" s="78" t="n">
        <x:f>H2469*(L2469*(1-'Inputs'!$B$15))/(I2469+L2469*(1-'Inputs'!$B$15))</x:f>
        <x:v>0</x:v>
      </x:c>
      <x:c r="O2469" s="78" t="n">
        <x:f>H2469-N2469</x:f>
        <x:v>129267918.86718263</x:v>
      </x:c>
      <x:c r="P2469" s="78" t="n">
        <x:f>I2469+L2469*(1-'Inputs'!$B$17)</x:f>
        <x:v>225.1350325414253</x:v>
      </x:c>
      <x:c r="Q2469" s="78" t="n">
        <x:f>IF(J2469&gt;0,M2469/J2469,0)</x:f>
        <x:v>0</x:v>
      </x:c>
      <x:c r="R2469" s="78" t="n">
        <x:f>IF(B2469='Inputs'!$H$50,'Inputs'!$B$27*'Inputs'!$I$50,0)</x:f>
        <x:v>0</x:v>
      </x:c>
      <x:c r="S2469" s="78" t="n">
        <x:f>Q2469+G2469+R2469</x:f>
        <x:v>449693.89191217715</x:v>
      </x:c>
      <x:c r="T2469" s="78" t="n">
        <x:f>P2469*(S2469*(1-'Inputs'!$B$15))/(O2469+S2469*(1-'Inputs'!$B$15))</x:f>
        <x:v>0.772700816457029</x:v>
      </x:c>
      <x:c r="U2469" s="78" t="n">
        <x:f>O2469+S2469*(1-'Inputs'!$B$17)</x:f>
        <x:v>129715803.12572695</x:v>
      </x:c>
      <x:c r="V2469" s="78" t="n">
        <x:f>P2469-T2469</x:f>
        <x:v>224.36233172496827</x:v>
      </x:c>
      <x:c r="W2469" s="79" t="n">
        <x:f>IF(U2469&gt;0,V2469/U2469,0)</x:f>
        <x:v>0.0000017296453193718056</x:v>
      </x:c>
      <x:c r="X2469" s="80" t="n">
        <x:f>W2469*('Inputs'!$B$6-AC2469)</x:f>
        <x:v>1603.5064121910355</x:v>
      </x:c>
      <x:c r="Y2469" s="80" t="n">
        <x:f>2*V2469</x:f>
        <x:v>448.72466344993654</x:v>
      </x:c>
      <x:c r="Z2469" s="80" t="n">
        <x:f>K2469*'Inputs'!$B$16+(G2469+R2469)*J2469*'Inputs'!$B$16</x:f>
        <x:v>2.7063195540580187</x:v>
      </x:c>
      <x:c r="AA2469" s="80" t="n">
        <x:f>K2469*(1+'Inputs'!$E$50)/2*'Inputs'!$B$17</x:f>
        <x:v>0.9059759860821944</x:v>
      </x:c>
      <x:c r="AB2469" s="78" t="n">
        <x:f>(IF(J2469&gt;0,K2469*(1-'Inputs'!$E$50)/2/J2469,0)+G2469+R2469)*'Inputs'!$B$17</x:f>
        <x:v>522002.4658313675</x:v>
      </x:c>
      <x:c r="AC2469" s="78" t="n">
        <x:f>AC2468+AB2469</x:f>
        <x:v>72927614.56237912</x:v>
      </x:c>
      <x:c r="AD2469" s="80" t="n">
        <x:f>Z2469/(1+'Inputs'!$C$50)</x:f>
        <x:v>1.3531597770290094</x:v>
      </x:c>
      <x:c r="AE2469" s="80" t="n">
        <x:f>Z2469-AD2469</x:f>
        <x:v>1.3531597770290094</x:v>
      </x:c>
      <x:c r="AF2469" s="80" t="n">
        <x:f>D2469*W2469</x:f>
        <x:v>0.46138467408958106</x:v>
      </x:c>
      <x:c r="AG2469" s="80" t="n">
        <x:f>C2469*W2469</x:f>
        <x:v>1.0765642395423816</x:v>
      </x:c>
      <x:c r="AH2469" s="80" t="n">
        <x:f>2*'Inputs'!$B$8*'Inputs'!$C$50</x:f>
        <x:v>5000</x:v>
      </x:c>
      <x:c r="AI2469" s="81" t="n">
        <x:f>IF(AH2469&gt;0,(AE2469+AF2469)/AH2469*365,0)</x:f>
        <x:v>0.1324617449316571</x:v>
      </x:c>
      <x:c r="AJ2469" s="81" t="n">
        <x:f>IF('Inputs'!$B$50&gt;0,AG2469/('Inputs'!$B$19*'Inputs'!$B$50)*365,0)</x:f>
        <x:v>0.039294594743296926</x:v>
      </x:c>
      <x:c r="AK2469" s="81" t="n">
        <x:f>W2469/MAX($W$2194:W2469)-1</x:f>
        <x:v>-0.9979477027359116</x:v>
      </x:c>
      <x:c r="AL2469" s="83" t="n">
        <x:f>'Inputs'!$B$50</x:f>
        <x:v>1</x:v>
      </x:c>
      <x:c r="AM2469" s="83" t="n">
        <x:f>'Inputs'!$C$50</x:f>
        <x:v>1</x:v>
      </x:c>
      <x:c r="AN2469" s="83" t="n">
        <x:f>'Inputs'!$D$50</x:f>
        <x:v>1</x:v>
      </x:c>
      <x:c r="AO2469" s="81" t="n">
        <x:f>'Inputs'!$E$50</x:f>
        <x:v>0</x:v>
      </x:c>
    </x:row>
    <x:row r="2470">
      <x:c r="A2470" s="59" t="str">
        <x:v>Whale exit</x:v>
      </x:c>
      <x:c r="B2470" s="59" t="n">
        <x:v>277</x:v>
      </x:c>
      <x:c r="C2470" s="78" t="n">
        <x:f>(('Inputs'!$B$29*(3*277*'Inputs'!$B$12-277^2)/(2*'Inputs'!$B$12^2))-('Inputs'!$B$29*(3*276*'Inputs'!$B$12-276^2)/(2*'Inputs'!$B$12^2)))*'Inputs'!$B$50</x:f>
        <x:v>622093.9669731855</x:v>
      </x:c>
      <x:c r="D2470" s="78" t="n">
        <x:f>IF('Inputs'!$C$50&gt;0,('Inputs'!$B$30*(3*277*'Inputs'!$B$12-277^2)/(2*'Inputs'!$B$12^2))-('Inputs'!$B$30*(3*276*'Inputs'!$B$12-276^2)/(2*'Inputs'!$B$12^2)),0)</x:f>
        <x:v>266611.7001313567</x:v>
      </x:c>
      <x:c r="E2470" s="78" t="n">
        <x:f>C2470+D2470</x:f>
        <x:v>888705.6671045423</x:v>
      </x:c>
      <x:c r="F2470" s="78" t="n">
        <x:f>'Inputs'!$B$13*E2470+(1-'Inputs'!$B$13)/'Inputs'!$B$14*SUM(E2415:E2470)</x:f>
        <x:v>898923.3439669774</x:v>
      </x:c>
      <x:c r="G2470" s="78" t="n">
        <x:f>F2470*'Inputs'!$F$50</x:f>
        <x:v>449461.6719834887</x:v>
      </x:c>
      <x:c r="H2470" s="78" t="n">
        <x:f>U2469</x:f>
        <x:v>129715803.12572695</x:v>
      </x:c>
      <x:c r="I2470" s="78" t="n">
        <x:f>V2469</x:f>
        <x:v>224.36233172496827</x:v>
      </x:c>
      <x:c r="J2470" s="79" t="n">
        <x:f>IF(H2470&gt;0,I2470/H2470,0)</x:f>
        <x:v>0.0000017296453193718056</x:v>
      </x:c>
      <x:c r="K2470" s="80" t="n">
        <x:f>(H2470*J2470+I2470)*'Inputs'!$D$50*(1+'Inputs'!$G$50)^(B2470/30)</x:f>
        <x:v>448.72466344993654</x:v>
      </x:c>
      <x:c r="L2470" s="80" t="n">
        <x:f>MAX(0,K2470*'Inputs'!$E$50)</x:f>
        <x:v>0</x:v>
      </x:c>
      <x:c r="M2470" s="80" t="n">
        <x:f>MAX(0,-K2470*'Inputs'!$E$50)</x:f>
        <x:v>0</x:v>
      </x:c>
      <x:c r="N2470" s="78" t="n">
        <x:f>H2470*(L2470*(1-'Inputs'!$B$15))/(I2470+L2470*(1-'Inputs'!$B$15))</x:f>
        <x:v>0</x:v>
      </x:c>
      <x:c r="O2470" s="78" t="n">
        <x:f>H2470-N2470</x:f>
        <x:v>129715803.12572695</x:v>
      </x:c>
      <x:c r="P2470" s="78" t="n">
        <x:f>I2470+L2470*(1-'Inputs'!$B$17)</x:f>
        <x:v>224.36233172496827</x:v>
      </x:c>
      <x:c r="Q2470" s="78" t="n">
        <x:f>IF(J2470&gt;0,M2470/J2470,0)</x:f>
        <x:v>0</x:v>
      </x:c>
      <x:c r="R2470" s="78" t="n">
        <x:f>IF(B2470='Inputs'!$H$50,'Inputs'!$B$27*'Inputs'!$I$50,0)</x:f>
        <x:v>0</x:v>
      </x:c>
      <x:c r="S2470" s="78" t="n">
        <x:f>Q2470+G2470+R2470</x:f>
        <x:v>449461.6719834887</x:v>
      </x:c>
      <x:c r="T2470" s="78" t="n">
        <x:f>P2470*(S2470*(1-'Inputs'!$B$15))/(O2470+S2470*(1-'Inputs'!$B$15))</x:f>
        <x:v>0.7670041128438749</x:v>
      </x:c>
      <x:c r="U2470" s="78" t="n">
        <x:f>O2470+S2470*(1-'Inputs'!$B$17)</x:f>
        <x:v>130163456.09882922</x:v>
      </x:c>
      <x:c r="V2470" s="78" t="n">
        <x:f>P2470-T2470</x:f>
        <x:v>223.5953276121244</x:v>
      </x:c>
      <x:c r="W2470" s="79" t="n">
        <x:f>IF(U2470&gt;0,V2470/U2470,0)</x:f>
        <x:v>0.0000017178041695693386</x:v>
      </x:c>
      <x:c r="X2470" s="80" t="n">
        <x:f>W2470*('Inputs'!$B$6-AC2470)</x:f>
        <x:v>1591.6290167039674</x:v>
      </x:c>
      <x:c r="Y2470" s="80" t="n">
        <x:f>2*V2470</x:f>
        <x:v>447.1906552242488</x:v>
      </x:c>
      <x:c r="Z2470" s="80" t="n">
        <x:f>K2470*'Inputs'!$B$16+(G2470+R2470)*J2470*'Inputs'!$B$16</x:f>
        <x:v>2.697012436362719</x:v>
      </x:c>
      <x:c r="AA2470" s="80" t="n">
        <x:f>K2470*(1+'Inputs'!$E$50)/2*'Inputs'!$B$17</x:f>
        <x:v>0.9028665260562104</x:v>
      </x:c>
      <x:c r="AB2470" s="78" t="n">
        <x:f>(IF(J2470&gt;0,K2470*(1-'Inputs'!$E$50)/2/J2470,0)+G2470+R2470)*'Inputs'!$B$17</x:f>
        <x:v>523803.88248575636</x:v>
      </x:c>
      <x:c r="AC2470" s="78" t="n">
        <x:f>AC2469+AB2470</x:f>
        <x:v>73451418.44486488</x:v>
      </x:c>
      <x:c r="AD2470" s="80" t="n">
        <x:f>Z2470/(1+'Inputs'!$C$50)</x:f>
        <x:v>1.3485062181813594</x:v>
      </x:c>
      <x:c r="AE2470" s="80" t="n">
        <x:f>Z2470-AD2470</x:f>
        <x:v>1.3485062181813594</x:v>
      </x:c>
      <x:c r="AF2470" s="80" t="n">
        <x:f>D2470*W2470</x:f>
        <x:v>0.45798669014161475</x:v>
      </x:c>
      <x:c r="AG2470" s="80" t="n">
        <x:f>C2470*W2470</x:f>
        <x:v>1.0686356103304686</x:v>
      </x:c>
      <x:c r="AH2470" s="80" t="n">
        <x:f>2*'Inputs'!$B$8*'Inputs'!$C$50</x:f>
        <x:v>5000</x:v>
      </x:c>
      <x:c r="AI2470" s="81" t="n">
        <x:f>IF(AH2470&gt;0,(AE2470+AF2470)/AH2470*365,0)</x:f>
        <x:v>0.1318739823075771</x:v>
      </x:c>
      <x:c r="AJ2470" s="81" t="n">
        <x:f>IF('Inputs'!$B$50&gt;0,AG2470/('Inputs'!$B$19*'Inputs'!$B$50)*365,0)</x:f>
        <x:v>0.039005199777062106</x:v>
      </x:c>
      <x:c r="AK2470" s="81" t="n">
        <x:f>W2470/MAX($W$2194:W2470)-1</x:f>
        <x:v>-0.9979617527605444</x:v>
      </x:c>
      <x:c r="AL2470" s="83" t="n">
        <x:f>'Inputs'!$B$50</x:f>
        <x:v>1</x:v>
      </x:c>
      <x:c r="AM2470" s="83" t="n">
        <x:f>'Inputs'!$C$50</x:f>
        <x:v>1</x:v>
      </x:c>
      <x:c r="AN2470" s="83" t="n">
        <x:f>'Inputs'!$D$50</x:f>
        <x:v>1</x:v>
      </x:c>
      <x:c r="AO2470" s="81" t="n">
        <x:f>'Inputs'!$E$50</x:f>
        <x:v>0</x:v>
      </x:c>
    </x:row>
    <x:row r="2471">
      <x:c r="A2471" s="59" t="str">
        <x:v>Whale exit</x:v>
      </x:c>
      <x:c r="B2471" s="59" t="n">
        <x:v>278</x:v>
      </x:c>
      <x:c r="C2471" s="78" t="n">
        <x:f>(('Inputs'!$B$29*(3*278*'Inputs'!$B$12-278^2)/(2*'Inputs'!$B$12^2))-('Inputs'!$B$29*(3*277*'Inputs'!$B$12-277^2)/(2*'Inputs'!$B$12^2)))*'Inputs'!$B$50</x:f>
        <x:v>621768.8590729833</x:v>
      </x:c>
      <x:c r="D2471" s="78" t="n">
        <x:f>IF('Inputs'!$C$50&gt;0,('Inputs'!$B$30*(3*278*'Inputs'!$B$12-278^2)/(2*'Inputs'!$B$12^2))-('Inputs'!$B$30*(3*277*'Inputs'!$B$12-277^2)/(2*'Inputs'!$B$12^2)),0)</x:f>
        <x:v>266472.3681741506</x:v>
      </x:c>
      <x:c r="E2471" s="78" t="n">
        <x:f>C2471+D2471</x:f>
        <x:v>888241.2272471339</x:v>
      </x:c>
      <x:c r="F2471" s="78" t="n">
        <x:f>'Inputs'!$B$13*E2471+(1-'Inputs'!$B$13)/'Inputs'!$B$14*SUM(E2416:E2471)</x:f>
        <x:v>898458.9041095882</x:v>
      </x:c>
      <x:c r="G2471" s="78" t="n">
        <x:f>F2471*'Inputs'!$F$50</x:f>
        <x:v>449229.4520547941</x:v>
      </x:c>
      <x:c r="H2471" s="78" t="n">
        <x:f>U2470</x:f>
        <x:v>130163456.09882922</x:v>
      </x:c>
      <x:c r="I2471" s="78" t="n">
        <x:f>V2470</x:f>
        <x:v>223.5953276121244</x:v>
      </x:c>
      <x:c r="J2471" s="79" t="n">
        <x:f>IF(H2471&gt;0,I2471/H2471,0)</x:f>
        <x:v>0.0000017178041695693386</x:v>
      </x:c>
      <x:c r="K2471" s="80" t="n">
        <x:f>(H2471*J2471+I2471)*'Inputs'!$D$50*(1+'Inputs'!$G$50)^(B2471/30)</x:f>
        <x:v>447.1906552242488</x:v>
      </x:c>
      <x:c r="L2471" s="80" t="n">
        <x:f>MAX(0,K2471*'Inputs'!$E$50)</x:f>
        <x:v>0</x:v>
      </x:c>
      <x:c r="M2471" s="80" t="n">
        <x:f>MAX(0,-K2471*'Inputs'!$E$50)</x:f>
        <x:v>0</x:v>
      </x:c>
      <x:c r="N2471" s="78" t="n">
        <x:f>H2471*(L2471*(1-'Inputs'!$B$15))/(I2471+L2471*(1-'Inputs'!$B$15))</x:f>
        <x:v>0</x:v>
      </x:c>
      <x:c r="O2471" s="78" t="n">
        <x:f>H2471-N2471</x:f>
        <x:v>130163456.09882922</x:v>
      </x:c>
      <x:c r="P2471" s="78" t="n">
        <x:f>I2471+L2471*(1-'Inputs'!$B$17)</x:f>
        <x:v>223.5953276121244</x:v>
      </x:c>
      <x:c r="Q2471" s="78" t="n">
        <x:f>IF(J2471&gt;0,M2471/J2471,0)</x:f>
        <x:v>0</x:v>
      </x:c>
      <x:c r="R2471" s="78" t="n">
        <x:f>IF(B2471='Inputs'!$H$50,'Inputs'!$B$27*'Inputs'!$I$50,0)</x:f>
        <x:v>0</x:v>
      </x:c>
      <x:c r="S2471" s="78" t="n">
        <x:f>Q2471+G2471+R2471</x:f>
        <x:v>449229.4520547941</x:v>
      </x:c>
      <x:c r="T2471" s="78" t="n">
        <x:f>P2471*(S2471*(1-'Inputs'!$B$15))/(O2471+S2471*(1-'Inputs'!$B$15))</x:f>
        <x:v>0.7613699260425976</x:v>
      </x:c>
      <x:c r="U2471" s="78" t="n">
        <x:f>O2471+S2471*(1-'Inputs'!$B$17)</x:f>
        <x:v>130610877.78648943</x:v>
      </x:c>
      <x:c r="V2471" s="78" t="n">
        <x:f>P2471-T2471</x:f>
        <x:v>222.83395768608182</x:v>
      </x:c>
      <x:c r="W2471" s="79" t="n">
        <x:f>IF(U2471&gt;0,V2471/U2471,0)</x:f>
        <x:v>0.0000017060903460916185</x:v>
      </x:c>
      <x:c r="X2471" s="80" t="n">
        <x:f>W2471*('Inputs'!$B$6-AC2471)</x:f>
        <x:v>1579.878861637284</x:v>
      </x:c>
      <x:c r="Y2471" s="80" t="n">
        <x:f>2*V2471</x:f>
        <x:v>445.66791537216363</x:v>
      </x:c>
      <x:c r="Z2471" s="80" t="n">
        <x:f>K2471*'Inputs'!$B$16+(G2471+R2471)*J2471*'Inputs'!$B$16</x:f>
        <x:v>2.6877740607004914</x:v>
      </x:c>
      <x:c r="AA2471" s="80" t="n">
        <x:f>K2471*(1+'Inputs'!$E$50)/2*'Inputs'!$B$17</x:f>
        <x:v>0.8997799903908428</x:v>
      </x:c>
      <x:c r="AB2471" s="78" t="n">
        <x:f>(IF(J2471&gt;0,K2471*(1-'Inputs'!$E$50)/2/J2471,0)+G2471+R2471)*'Inputs'!$B$17</x:f>
        <x:v>525604.3684140203</x:v>
      </x:c>
      <x:c r="AC2471" s="78" t="n">
        <x:f>AC2470+AB2471</x:f>
        <x:v>73977022.8132789</x:v>
      </x:c>
      <x:c r="AD2471" s="80" t="n">
        <x:f>Z2471/(1+'Inputs'!$C$50)</x:f>
        <x:v>1.3438870303502457</x:v>
      </x:c>
      <x:c r="AE2471" s="80" t="n">
        <x:f>Z2471-AD2471</x:f>
        <x:v>1.3438870303502457</x:v>
      </x:c>
      <x:c r="AF2471" s="80" t="n">
        <x:f>D2471*W2471</x:f>
        <x:v>0.45462593484208974</x:v>
      </x:c>
      <x:c r="AG2471" s="80" t="n">
        <x:f>C2471*W2471</x:f>
        <x:v>1.0607938479648167</x:v>
      </x:c>
      <x:c r="AH2471" s="80" t="n">
        <x:f>2*'Inputs'!$B$8*'Inputs'!$C$50</x:f>
        <x:v>5000</x:v>
      </x:c>
      <x:c r="AI2471" s="81" t="n">
        <x:f>IF(AH2471&gt;0,(AE2471+AF2471)/AH2471*365,0)</x:f>
        <x:v>0.1312914464590405</x:v>
      </x:c>
      <x:c r="AJ2471" s="81" t="n">
        <x:f>IF('Inputs'!$B$50&gt;0,AG2471/('Inputs'!$B$19*'Inputs'!$B$50)*365,0)</x:f>
        <x:v>0.03871897545071581</x:v>
      </x:c>
      <x:c r="AK2471" s="81" t="n">
        <x:f>W2471/MAX($W$2194:W2471)-1</x:f>
        <x:v>-0.9979756517071123</x:v>
      </x:c>
      <x:c r="AL2471" s="83" t="n">
        <x:f>'Inputs'!$B$50</x:f>
        <x:v>1</x:v>
      </x:c>
      <x:c r="AM2471" s="83" t="n">
        <x:f>'Inputs'!$C$50</x:f>
        <x:v>1</x:v>
      </x:c>
      <x:c r="AN2471" s="83" t="n">
        <x:f>'Inputs'!$D$50</x:f>
        <x:v>1</x:v>
      </x:c>
      <x:c r="AO2471" s="81" t="n">
        <x:f>'Inputs'!$E$50</x:f>
        <x:v>0</x:v>
      </x:c>
    </x:row>
    <x:row r="2472">
      <x:c r="A2472" s="59" t="str">
        <x:v>Whale exit</x:v>
      </x:c>
      <x:c r="B2472" s="59" t="n">
        <x:v>279</x:v>
      </x:c>
      <x:c r="C2472" s="78" t="n">
        <x:f>(('Inputs'!$B$29*(3*279*'Inputs'!$B$12-279^2)/(2*'Inputs'!$B$12^2))-('Inputs'!$B$29*(3*278*'Inputs'!$B$12-278^2)/(2*'Inputs'!$B$12^2)))*'Inputs'!$B$50</x:f>
        <x:v>621443.7511728406</x:v>
      </x:c>
      <x:c r="D2472" s="78" t="n">
        <x:f>IF('Inputs'!$C$50&gt;0,('Inputs'!$B$30*(3*279*'Inputs'!$B$12-279^2)/(2*'Inputs'!$B$12^2))-('Inputs'!$B$30*(3*278*'Inputs'!$B$12-278^2)/(2*'Inputs'!$B$12^2)),0)</x:f>
        <x:v>266333.03621691465</x:v>
      </x:c>
      <x:c r="E2472" s="78" t="n">
        <x:f>C2472+D2472</x:f>
        <x:v>887776.7873897552</x:v>
      </x:c>
      <x:c r="F2472" s="78" t="n">
        <x:f>'Inputs'!$B$13*E2472+(1-'Inputs'!$B$13)/'Inputs'!$B$14*SUM(E2417:E2472)</x:f>
        <x:v>897994.4642522052</x:v>
      </x:c>
      <x:c r="G2472" s="78" t="n">
        <x:f>F2472*'Inputs'!$F$50</x:f>
        <x:v>448997.2321261026</x:v>
      </x:c>
      <x:c r="H2472" s="78" t="n">
        <x:f>U2471</x:f>
        <x:v>130610877.78648943</x:v>
      </x:c>
      <x:c r="I2472" s="78" t="n">
        <x:f>V2471</x:f>
        <x:v>222.83395768608182</x:v>
      </x:c>
      <x:c r="J2472" s="79" t="n">
        <x:f>IF(H2472&gt;0,I2472/H2472,0)</x:f>
        <x:v>0.0000017060903460916185</x:v>
      </x:c>
      <x:c r="K2472" s="80" t="n">
        <x:f>(H2472*J2472+I2472)*'Inputs'!$D$50*(1+'Inputs'!$G$50)^(B2472/30)</x:f>
        <x:v>445.66791537216363</x:v>
      </x:c>
      <x:c r="L2472" s="80" t="n">
        <x:f>MAX(0,K2472*'Inputs'!$E$50)</x:f>
        <x:v>0</x:v>
      </x:c>
      <x:c r="M2472" s="80" t="n">
        <x:f>MAX(0,-K2472*'Inputs'!$E$50)</x:f>
        <x:v>0</x:v>
      </x:c>
      <x:c r="N2472" s="78" t="n">
        <x:f>H2472*(L2472*(1-'Inputs'!$B$15))/(I2472+L2472*(1-'Inputs'!$B$15))</x:f>
        <x:v>0</x:v>
      </x:c>
      <x:c r="O2472" s="78" t="n">
        <x:f>H2472-N2472</x:f>
        <x:v>130610877.78648943</x:v>
      </x:c>
      <x:c r="P2472" s="78" t="n">
        <x:f>I2472+L2472*(1-'Inputs'!$B$17)</x:f>
        <x:v>222.83395768608182</x:v>
      </x:c>
      <x:c r="Q2472" s="78" t="n">
        <x:f>IF(J2472&gt;0,M2472/J2472,0)</x:f>
        <x:v>0</x:v>
      </x:c>
      <x:c r="R2472" s="78" t="n">
        <x:f>IF(B2472='Inputs'!$H$50,'Inputs'!$B$27*'Inputs'!$I$50,0)</x:f>
        <x:v>0</x:v>
      </x:c>
      <x:c r="S2472" s="78" t="n">
        <x:f>Q2472+G2472+R2472</x:f>
        <x:v>448997.2321261026</x:v>
      </x:c>
      <x:c r="T2472" s="78" t="n">
        <x:f>P2472*(S2472*(1-'Inputs'!$B$15))/(O2472+S2472*(1-'Inputs'!$B$15))</x:f>
        <x:v>0.7557973439055493</x:v>
      </x:c>
      <x:c r="U2472" s="78" t="n">
        <x:f>O2472+S2472*(1-'Inputs'!$B$17)</x:f>
        <x:v>131058068.18870758</x:v>
      </x:c>
      <x:c r="V2472" s="78" t="n">
        <x:f>P2472-T2472</x:f>
        <x:v>222.07816034217626</x:v>
      </x:c>
      <x:c r="W2472" s="79" t="n">
        <x:f>IF(U2472&gt;0,V2472/U2472,0)</x:f>
        <x:v>0.0000016945020128208428</x:v>
      </x:c>
      <x:c r="X2472" s="80" t="n">
        <x:f>W2472*('Inputs'!$B$6-AC2472)</x:f>
        <x:v>1568.2541117511112</x:v>
      </x:c>
      <x:c r="Y2472" s="80" t="n">
        <x:f>2*V2472</x:f>
        <x:v>444.1563206843525</x:v>
      </x:c>
      <x:c r="Z2472" s="80" t="n">
        <x:f>K2472*'Inputs'!$B$16+(G2472+R2472)*J2472*'Inputs'!$B$16</x:f>
        <x:v>2.6786036712918952</x:v>
      </x:c>
      <x:c r="AA2472" s="80" t="n">
        <x:f>K2472*(1+'Inputs'!$E$50)/2*'Inputs'!$B$17</x:f>
        <x:v>0.8967161275093837</x:v>
      </x:c>
      <x:c r="AB2472" s="78" t="n">
        <x:f>(IF(J2472&gt;0,K2472*(1-'Inputs'!$E$50)/2/J2472,0)+G2472+R2472)*'Inputs'!$B$17</x:f>
        <x:v>527403.9236161591</x:v>
      </x:c>
      <x:c r="AC2472" s="78" t="n">
        <x:f>AC2471+AB2472</x:f>
        <x:v>74504426.73689505</x:v>
      </x:c>
      <x:c r="AD2472" s="80" t="n">
        <x:f>Z2472/(1+'Inputs'!$C$50)</x:f>
        <x:v>1.3393018356459476</x:v>
      </x:c>
      <x:c r="AE2472" s="80" t="n">
        <x:f>Z2472-AD2472</x:f>
        <x:v>1.3393018356459476</x:v>
      </x:c>
      <x:c r="AF2472" s="80" t="n">
        <x:f>D2472*W2472</x:f>
        <x:v>0.4513018659502483</x:v>
      </x:c>
      <x:c r="AG2472" s="80" t="n">
        <x:f>C2472*W2472</x:f>
        <x:v>1.0530376872173135</x:v>
      </x:c>
      <x:c r="AH2472" s="80" t="n">
        <x:f>2*'Inputs'!$B$8*'Inputs'!$C$50</x:f>
        <x:v>5000</x:v>
      </x:c>
      <x:c r="AI2472" s="81" t="n">
        <x:f>IF(AH2472&gt;0,(AE2472+AF2472)/AH2472*365,0)</x:f>
        <x:v>0.13071407021652232</x:v>
      </x:c>
      <x:c r="AJ2472" s="81" t="n">
        <x:f>IF('Inputs'!$B$50&gt;0,AG2472/('Inputs'!$B$19*'Inputs'!$B$50)*365,0)</x:f>
        <x:v>0.03843587558343194</x:v>
      </x:c>
      <x:c r="AK2472" s="81" t="n">
        <x:f>W2472/MAX($W$2194:W2472)-1</x:f>
        <x:v>-0.9979894017542466</x:v>
      </x:c>
      <x:c r="AL2472" s="83" t="n">
        <x:f>'Inputs'!$B$50</x:f>
        <x:v>1</x:v>
      </x:c>
      <x:c r="AM2472" s="83" t="n">
        <x:f>'Inputs'!$C$50</x:f>
        <x:v>1</x:v>
      </x:c>
      <x:c r="AN2472" s="83" t="n">
        <x:f>'Inputs'!$D$50</x:f>
        <x:v>1</x:v>
      </x:c>
      <x:c r="AO2472" s="81" t="n">
        <x:f>'Inputs'!$E$50</x:f>
        <x:v>0</x:v>
      </x:c>
    </x:row>
    <x:row r="2473">
      <x:c r="A2473" s="59" t="str">
        <x:v>Whale exit</x:v>
      </x:c>
      <x:c r="B2473" s="59" t="n">
        <x:v>280</x:v>
      </x:c>
      <x:c r="C2473" s="78" t="n">
        <x:f>(('Inputs'!$B$29*(3*280*'Inputs'!$B$12-280^2)/(2*'Inputs'!$B$12^2))-('Inputs'!$B$29*(3*279*'Inputs'!$B$12-279^2)/(2*'Inputs'!$B$12^2)))*'Inputs'!$B$50</x:f>
        <x:v>621118.6432726383</x:v>
      </x:c>
      <x:c r="D2473" s="78" t="n">
        <x:f>IF('Inputs'!$C$50&gt;0,('Inputs'!$B$30*(3*280*'Inputs'!$B$12-280^2)/(2*'Inputs'!$B$12^2))-('Inputs'!$B$30*(3*279*'Inputs'!$B$12-279^2)/(2*'Inputs'!$B$12^2)),0)</x:f>
        <x:v>266193.7042597234</x:v>
      </x:c>
      <x:c r="E2473" s="78" t="n">
        <x:f>C2473+D2473</x:f>
        <x:v>887312.3475323617</x:v>
      </x:c>
      <x:c r="F2473" s="78" t="n">
        <x:f>'Inputs'!$B$13*E2473+(1-'Inputs'!$B$13)/'Inputs'!$B$14*SUM(E2418:E2473)</x:f>
        <x:v>897530.024394819</x:v>
      </x:c>
      <x:c r="G2473" s="78" t="n">
        <x:f>F2473*'Inputs'!$F$50</x:f>
        <x:v>448765.0121974095</x:v>
      </x:c>
      <x:c r="H2473" s="78" t="n">
        <x:f>U2472</x:f>
        <x:v>131058068.18870758</x:v>
      </x:c>
      <x:c r="I2473" s="78" t="n">
        <x:f>V2472</x:f>
        <x:v>222.07816034217626</x:v>
      </x:c>
      <x:c r="J2473" s="79" t="n">
        <x:f>IF(H2473&gt;0,I2473/H2473,0)</x:f>
        <x:v>0.0000016945020128208428</x:v>
      </x:c>
      <x:c r="K2473" s="80" t="n">
        <x:f>(H2473*J2473+I2473)*'Inputs'!$D$50*(1+'Inputs'!$G$50)^(B2473/30)</x:f>
        <x:v>444.1563206843525</x:v>
      </x:c>
      <x:c r="L2473" s="80" t="n">
        <x:f>MAX(0,K2473*'Inputs'!$E$50)</x:f>
        <x:v>0</x:v>
      </x:c>
      <x:c r="M2473" s="80" t="n">
        <x:f>MAX(0,-K2473*'Inputs'!$E$50)</x:f>
        <x:v>0</x:v>
      </x:c>
      <x:c r="N2473" s="78" t="n">
        <x:f>H2473*(L2473*(1-'Inputs'!$B$15))/(I2473+L2473*(1-'Inputs'!$B$15))</x:f>
        <x:v>0</x:v>
      </x:c>
      <x:c r="O2473" s="78" t="n">
        <x:f>H2473-N2473</x:f>
        <x:v>131058068.18870758</x:v>
      </x:c>
      <x:c r="P2473" s="78" t="n">
        <x:f>I2473+L2473*(1-'Inputs'!$B$17)</x:f>
        <x:v>222.07816034217626</x:v>
      </x:c>
      <x:c r="Q2473" s="78" t="n">
        <x:f>IF(J2473&gt;0,M2473/J2473,0)</x:f>
        <x:v>0</x:v>
      </x:c>
      <x:c r="R2473" s="78" t="n">
        <x:f>IF(B2473='Inputs'!$H$50,'Inputs'!$B$27*'Inputs'!$I$50,0)</x:f>
        <x:v>0</x:v>
      </x:c>
      <x:c r="S2473" s="78" t="n">
        <x:f>Q2473+G2473+R2473</x:f>
        <x:v>448765.0121974095</x:v>
      </x:c>
      <x:c r="T2473" s="78" t="n">
        <x:f>P2473*(S2473*(1-'Inputs'!$B$15))/(O2473+S2473*(1-'Inputs'!$B$15))</x:f>
        <x:v>0.7502854708647451</x:v>
      </x:c>
      <x:c r="U2473" s="78" t="n">
        <x:f>O2473+S2473*(1-'Inputs'!$B$17)</x:f>
        <x:v>131505027.30548367</x:v>
      </x:c>
      <x:c r="V2473" s="78" t="n">
        <x:f>P2473-T2473</x:f>
        <x:v>221.3278748713115</x:v>
      </x:c>
      <x:c r="W2473" s="79" t="n">
        <x:f>IF(U2473&gt;0,V2473/U2473,0)</x:f>
        <x:v>0.000001683037366755349</x:v>
      </x:c>
      <x:c r="X2473" s="80" t="n">
        <x:f>W2473*('Inputs'!$B$6-AC2473)</x:f>
        <x:v>1556.7529649054472</x:v>
      </x:c>
      <x:c r="Y2473" s="80" t="n">
        <x:f>2*V2473</x:f>
        <x:v>442.655749742623</x:v>
      </x:c>
      <x:c r="Z2473" s="80" t="n">
        <x:f>K2473*'Inputs'!$B$16+(G2473+R2473)*J2473*'Inputs'!$B$16</x:f>
        <x:v>2.6695005234048277</x:v>
      </x:c>
      <x:c r="AA2473" s="80" t="n">
        <x:f>K2473*(1+'Inputs'!$E$50)/2*'Inputs'!$B$17</x:f>
        <x:v>0.8936746895057396</x:v>
      </x:c>
      <x:c r="AB2473" s="78" t="n">
        <x:f>(IF(J2473&gt;0,K2473*(1-'Inputs'!$E$50)/2/J2473,0)+G2473+R2473)*'Inputs'!$B$17</x:f>
        <x:v>529202.548092173</x:v>
      </x:c>
      <x:c r="AC2473" s="78" t="n">
        <x:f>AC2472+AB2473</x:f>
        <x:v>75033629.28498723</x:v>
      </x:c>
      <x:c r="AD2473" s="80" t="n">
        <x:f>Z2473/(1+'Inputs'!$C$50)</x:f>
        <x:v>1.3347502617024138</x:v>
      </x:c>
      <x:c r="AE2473" s="80" t="n">
        <x:f>Z2473-AD2473</x:f>
        <x:v>1.3347502617024138</x:v>
      </x:c>
      <x:c r="AF2473" s="80" t="n">
        <x:f>D2473*W2473</x:f>
        <x:v>0.44801395106413705</x:v>
      </x:c>
      <x:c r="AG2473" s="80" t="n">
        <x:f>C2473*W2473</x:f>
        <x:v>1.0453658858162362</x:v>
      </x:c>
      <x:c r="AH2473" s="80" t="n">
        <x:f>2*'Inputs'!$B$8*'Inputs'!$C$50</x:f>
        <x:v>5000</x:v>
      </x:c>
      <x:c r="AI2473" s="81" t="n">
        <x:f>IF(AH2473&gt;0,(AE2473+AF2473)/AH2473*365,0)</x:f>
        <x:v>0.1301417875319582</x:v>
      </x:c>
      <x:c r="AJ2473" s="81" t="n">
        <x:f>IF('Inputs'!$B$50&gt;0,AG2473/('Inputs'!$B$19*'Inputs'!$B$50)*365,0)</x:f>
        <x:v>0.03815585483229263</x:v>
      </x:c>
      <x:c r="AK2473" s="81" t="n">
        <x:f>W2473/MAX($W$2194:W2473)-1</x:f>
        <x:v>-0.9980030050412849</x:v>
      </x:c>
      <x:c r="AL2473" s="83" t="n">
        <x:f>'Inputs'!$B$50</x:f>
        <x:v>1</x:v>
      </x:c>
      <x:c r="AM2473" s="83" t="n">
        <x:f>'Inputs'!$C$50</x:f>
        <x:v>1</x:v>
      </x:c>
      <x:c r="AN2473" s="83" t="n">
        <x:f>'Inputs'!$D$50</x:f>
        <x:v>1</x:v>
      </x:c>
      <x:c r="AO2473" s="81" t="n">
        <x:f>'Inputs'!$E$50</x:f>
        <x:v>0</x:v>
      </x:c>
    </x:row>
    <x:row r="2474">
      <x:c r="A2474" s="59" t="str">
        <x:v>Whale exit</x:v>
      </x:c>
      <x:c r="B2474" s="59" t="n">
        <x:v>281</x:v>
      </x:c>
      <x:c r="C2474" s="78" t="n">
        <x:f>(('Inputs'!$B$29*(3*281*'Inputs'!$B$12-281^2)/(2*'Inputs'!$B$12^2))-('Inputs'!$B$29*(3*280*'Inputs'!$B$12-280^2)/(2*'Inputs'!$B$12^2)))*'Inputs'!$B$50</x:f>
        <x:v>620793.5353724957</x:v>
      </x:c>
      <x:c r="D2474" s="78" t="n">
        <x:f>IF('Inputs'!$C$50&gt;0,('Inputs'!$B$30*(3*281*'Inputs'!$B$12-281^2)/(2*'Inputs'!$B$12^2))-('Inputs'!$B$30*(3*280*'Inputs'!$B$12-280^2)/(2*'Inputs'!$B$12^2)),0)</x:f>
        <x:v>266054.3723024875</x:v>
      </x:c>
      <x:c r="E2474" s="78" t="n">
        <x:f>C2474+D2474</x:f>
        <x:v>886847.9076749831</x:v>
      </x:c>
      <x:c r="F2474" s="78" t="n">
        <x:f>'Inputs'!$B$13*E2474+(1-'Inputs'!$B$13)/'Inputs'!$B$14*SUM(E2419:E2474)</x:f>
        <x:v>897065.5845374359</x:v>
      </x:c>
      <x:c r="G2474" s="78" t="n">
        <x:f>F2474*'Inputs'!$F$50</x:f>
        <x:v>448532.79226871795</x:v>
      </x:c>
      <x:c r="H2474" s="78" t="n">
        <x:f>U2473</x:f>
        <x:v>131505027.30548367</x:v>
      </x:c>
      <x:c r="I2474" s="78" t="n">
        <x:f>V2473</x:f>
        <x:v>221.3278748713115</x:v>
      </x:c>
      <x:c r="J2474" s="79" t="n">
        <x:f>IF(H2474&gt;0,I2474/H2474,0)</x:f>
        <x:v>0.000001683037366755349</x:v>
      </x:c>
      <x:c r="K2474" s="80" t="n">
        <x:f>(H2474*J2474+I2474)*'Inputs'!$D$50*(1+'Inputs'!$G$50)^(B2474/30)</x:f>
        <x:v>442.655749742623</x:v>
      </x:c>
      <x:c r="L2474" s="80" t="n">
        <x:f>MAX(0,K2474*'Inputs'!$E$50)</x:f>
        <x:v>0</x:v>
      </x:c>
      <x:c r="M2474" s="80" t="n">
        <x:f>MAX(0,-K2474*'Inputs'!$E$50)</x:f>
        <x:v>0</x:v>
      </x:c>
      <x:c r="N2474" s="78" t="n">
        <x:f>H2474*(L2474*(1-'Inputs'!$B$15))/(I2474+L2474*(1-'Inputs'!$B$15))</x:f>
        <x:v>0</x:v>
      </x:c>
      <x:c r="O2474" s="78" t="n">
        <x:f>H2474-N2474</x:f>
        <x:v>131505027.30548367</x:v>
      </x:c>
      <x:c r="P2474" s="78" t="n">
        <x:f>I2474+L2474*(1-'Inputs'!$B$17)</x:f>
        <x:v>221.3278748713115</x:v>
      </x:c>
      <x:c r="Q2474" s="78" t="n">
        <x:f>IF(J2474&gt;0,M2474/J2474,0)</x:f>
        <x:v>0</x:v>
      </x:c>
      <x:c r="R2474" s="78" t="n">
        <x:f>IF(B2474='Inputs'!$H$50,'Inputs'!$B$27*'Inputs'!$I$50,0)</x:f>
        <x:v>0</x:v>
      </x:c>
      <x:c r="S2474" s="78" t="n">
        <x:f>Q2474+G2474+R2474</x:f>
        <x:v>448532.79226871795</x:v>
      </x:c>
      <x:c r="T2474" s="78" t="n">
        <x:f>P2474*(S2474*(1-'Inputs'!$B$15))/(O2474+S2474*(1-'Inputs'!$B$15))</x:f>
        <x:v>0.744833427571508</x:v>
      </x:c>
      <x:c r="U2474" s="78" t="n">
        <x:f>O2474+S2474*(1-'Inputs'!$B$17)</x:f>
        <x:v>131951755.13681771</x:v>
      </x:c>
      <x:c r="V2474" s="78" t="n">
        <x:f>P2474-T2474</x:f>
        <x:v>220.58304144374</x:v>
      </x:c>
      <x:c r="W2474" s="79" t="n">
        <x:f>IF(U2474&gt;0,V2474/U2474,0)</x:f>
        <x:v>0.0000016716946372939303</x:v>
      </x:c>
      <x:c r="X2474" s="80" t="n">
        <x:f>W2474*('Inputs'!$B$6-AC2474)</x:f>
        <x:v>1545.3736513448273</x:v>
      </x:c>
      <x:c r="Y2474" s="80" t="n">
        <x:f>2*V2474</x:f>
        <x:v>441.16608288748</x:v>
      </x:c>
      <x:c r="Z2474" s="80" t="n">
        <x:f>K2474*'Inputs'!$B$16+(G2474+R2474)*J2474*'Inputs'!$B$16</x:f>
        <x:v>2.6604638831533585</x:v>
      </x:c>
      <x:c r="AA2474" s="80" t="n">
        <x:f>K2474*(1+'Inputs'!$E$50)/2*'Inputs'!$B$17</x:f>
        <x:v>0.8906554320777124</x:v>
      </x:c>
      <x:c r="AB2474" s="78" t="n">
        <x:f>(IF(J2474&gt;0,K2474*(1-'Inputs'!$E$50)/2/J2474,0)+G2474+R2474)*'Inputs'!$B$17</x:f>
        <x:v>531000.241842062</x:v>
      </x:c>
      <x:c r="AC2474" s="78" t="n">
        <x:f>AC2473+AB2474</x:f>
        <x:v>75564629.52682929</x:v>
      </x:c>
      <x:c r="AD2474" s="80" t="n">
        <x:f>Z2474/(1+'Inputs'!$C$50)</x:f>
        <x:v>1.3302319415766792</x:v>
      </x:c>
      <x:c r="AE2474" s="80" t="n">
        <x:f>Z2474-AD2474</x:f>
        <x:v>1.3302319415766792</x:v>
      </x:c>
      <x:c r="AF2474" s="80" t="n">
        <x:f>D2474*W2474</x:f>
        <x:v>0.4447616674066711</x:v>
      </x:c>
      <x:c r="AG2474" s="80" t="n">
        <x:f>C2474*W2474</x:f>
        <x:v>1.037777223948941</x:v>
      </x:c>
      <x:c r="AH2474" s="80" t="n">
        <x:f>2*'Inputs'!$B$8*'Inputs'!$C$50</x:f>
        <x:v>5000</x:v>
      </x:c>
      <x:c r="AI2474" s="81" t="n">
        <x:f>IF(AH2474&gt;0,(AE2474+AF2474)/AH2474*365,0)</x:f>
        <x:v>0.12957453345578457</x:v>
      </x:c>
      <x:c r="AJ2474" s="81" t="n">
        <x:f>IF('Inputs'!$B$50&gt;0,AG2474/('Inputs'!$B$19*'Inputs'!$B$50)*365,0)</x:f>
        <x:v>0.03787886867413634</x:v>
      </x:c>
      <x:c r="AK2474" s="81" t="n">
        <x:f>W2474/MAX($W$2194:W2474)-1</x:f>
        <x:v>-0.9980164636691204</x:v>
      </x:c>
      <x:c r="AL2474" s="83" t="n">
        <x:f>'Inputs'!$B$50</x:f>
        <x:v>1</x:v>
      </x:c>
      <x:c r="AM2474" s="83" t="n">
        <x:f>'Inputs'!$C$50</x:f>
        <x:v>1</x:v>
      </x:c>
      <x:c r="AN2474" s="83" t="n">
        <x:f>'Inputs'!$D$50</x:f>
        <x:v>1</x:v>
      </x:c>
      <x:c r="AO2474" s="81" t="n">
        <x:f>'Inputs'!$E$50</x:f>
        <x:v>0</x:v>
      </x:c>
    </x:row>
    <x:row r="2475">
      <x:c r="A2475" s="59" t="str">
        <x:v>Whale exit</x:v>
      </x:c>
      <x:c r="B2475" s="59" t="n">
        <x:v>282</x:v>
      </x:c>
      <x:c r="C2475" s="78" t="n">
        <x:f>(('Inputs'!$B$29*(3*282*'Inputs'!$B$12-282^2)/(2*'Inputs'!$B$12^2))-('Inputs'!$B$29*(3*281*'Inputs'!$B$12-281^2)/(2*'Inputs'!$B$12^2)))*'Inputs'!$B$50</x:f>
        <x:v>620468.4274723232</x:v>
      </x:c>
      <x:c r="D2475" s="78" t="n">
        <x:f>IF('Inputs'!$C$50&gt;0,('Inputs'!$B$30*(3*282*'Inputs'!$B$12-282^2)/(2*'Inputs'!$B$12^2))-('Inputs'!$B$30*(3*281*'Inputs'!$B$12-281^2)/(2*'Inputs'!$B$12^2)),0)</x:f>
        <x:v>265915.04034528136</x:v>
      </x:c>
      <x:c r="E2475" s="78" t="n">
        <x:f>C2475+D2475</x:f>
        <x:v>886383.4678176045</x:v>
      </x:c>
      <x:c r="F2475" s="78" t="n">
        <x:f>'Inputs'!$B$13*E2475+(1-'Inputs'!$B$13)/'Inputs'!$B$14*SUM(E2420:E2475)</x:f>
        <x:v>896601.1446800531</x:v>
      </x:c>
      <x:c r="G2475" s="78" t="n">
        <x:f>F2475*'Inputs'!$F$50</x:f>
        <x:v>448300.57234002656</x:v>
      </x:c>
      <x:c r="H2475" s="78" t="n">
        <x:f>U2474</x:f>
        <x:v>131951755.13681771</x:v>
      </x:c>
      <x:c r="I2475" s="78" t="n">
        <x:f>V2474</x:f>
        <x:v>220.58304144374</x:v>
      </x:c>
      <x:c r="J2475" s="79" t="n">
        <x:f>IF(H2475&gt;0,I2475/H2475,0)</x:f>
        <x:v>0.0000016716946372939303</x:v>
      </x:c>
      <x:c r="K2475" s="80" t="n">
        <x:f>(H2475*J2475+I2475)*'Inputs'!$D$50*(1+'Inputs'!$G$50)^(B2475/30)</x:f>
        <x:v>441.16608288748</x:v>
      </x:c>
      <x:c r="L2475" s="80" t="n">
        <x:f>MAX(0,K2475*'Inputs'!$E$50)</x:f>
        <x:v>0</x:v>
      </x:c>
      <x:c r="M2475" s="80" t="n">
        <x:f>MAX(0,-K2475*'Inputs'!$E$50)</x:f>
        <x:v>0</x:v>
      </x:c>
      <x:c r="N2475" s="78" t="n">
        <x:f>H2475*(L2475*(1-'Inputs'!$B$15))/(I2475+L2475*(1-'Inputs'!$B$15))</x:f>
        <x:v>0</x:v>
      </x:c>
      <x:c r="O2475" s="78" t="n">
        <x:f>H2475-N2475</x:f>
        <x:v>131951755.13681771</x:v>
      </x:c>
      <x:c r="P2475" s="78" t="n">
        <x:f>I2475+L2475*(1-'Inputs'!$B$17)</x:f>
        <x:v>220.58304144374</x:v>
      </x:c>
      <x:c r="Q2475" s="78" t="n">
        <x:f>IF(J2475&gt;0,M2475/J2475,0)</x:f>
        <x:v>0</x:v>
      </x:c>
      <x:c r="R2475" s="78" t="n">
        <x:f>IF(B2475='Inputs'!$H$50,'Inputs'!$B$27*'Inputs'!$I$50,0)</x:f>
        <x:v>0</x:v>
      </x:c>
      <x:c r="S2475" s="78" t="n">
        <x:f>Q2475+G2475+R2475</x:f>
        <x:v>448300.57234002656</x:v>
      </x:c>
      <x:c r="T2475" s="78" t="n">
        <x:f>P2475*(S2475*(1-'Inputs'!$B$15))/(O2475+S2475*(1-'Inputs'!$B$15))</x:f>
        <x:v>0.7394403505451631</x:v>
      </x:c>
      <x:c r="U2475" s="78" t="n">
        <x:f>O2475+S2475*(1-'Inputs'!$B$17)</x:f>
        <x:v>132398251.6827097</x:v>
      </x:c>
      <x:c r="V2475" s="78" t="n">
        <x:f>P2475-T2475</x:f>
        <x:v>219.84360109319485</x:v>
      </x:c>
      <x:c r="W2475" s="79" t="n">
        <x:f>IF(U2475&gt;0,V2475/U2475,0)</x:f>
        <x:v>0.0000016604720855381576</x:v>
      </x:c>
      <x:c r="X2475" s="80" t="n">
        <x:f>W2475*('Inputs'!$B$6-AC2475)</x:f>
        <x:v>1534.114433000987</x:v>
      </x:c>
      <x:c r="Y2475" s="80" t="n">
        <x:f>2*V2475</x:f>
        <x:v>439.6872021863897</x:v>
      </x:c>
      <x:c r="Z2475" s="80" t="n">
        <x:f>K2475*'Inputs'!$B$16+(G2475+R2475)*J2475*'Inputs'!$B$16</x:f>
        <x:v>2.6514930273009396</x:v>
      </x:c>
      <x:c r="AA2475" s="80" t="n">
        <x:f>K2475*(1+'Inputs'!$E$50)/2*'Inputs'!$B$17</x:f>
        <x:v>0.8876581144617305</x:v>
      </x:c>
      <x:c r="AB2475" s="78" t="n">
        <x:f>(IF(J2475&gt;0,K2475*(1-'Inputs'!$E$50)/2/J2475,0)+G2475+R2475)*'Inputs'!$B$17</x:f>
        <x:v>532797.004865826</x:v>
      </x:c>
      <x:c r="AC2475" s="78" t="n">
        <x:f>AC2474+AB2475</x:f>
        <x:v>76097426.53169511</x:v>
      </x:c>
      <x:c r="AD2475" s="80" t="n">
        <x:f>Z2475/(1+'Inputs'!$C$50)</x:f>
        <x:v>1.3257465136504698</x:v>
      </x:c>
      <x:c r="AE2475" s="80" t="n">
        <x:f>Z2475-AD2475</x:f>
        <x:v>1.3257465136504698</x:v>
      </x:c>
      <x:c r="AF2475" s="80" t="n">
        <x:f>D2475*W2475</x:f>
        <x:v>0.44154450161809267</x:v>
      </x:c>
      <x:c r="AG2475" s="80" t="n">
        <x:f>C2475*W2475</x:f>
        <x:v>1.0302705037755495</x:v>
      </x:c>
      <x:c r="AH2475" s="80" t="n">
        <x:f>2*'Inputs'!$B$8*'Inputs'!$C$50</x:f>
        <x:v>5000</x:v>
      </x:c>
      <x:c r="AI2475" s="81" t="n">
        <x:f>IF(AH2475&gt;0,(AE2475+AF2475)/AH2475*365,0)</x:f>
        <x:v>0.12901224411460507</x:v>
      </x:c>
      <x:c r="AJ2475" s="81" t="n">
        <x:f>IF('Inputs'!$B$50&gt;0,AG2475/('Inputs'!$B$19*'Inputs'!$B$50)*365,0)</x:f>
        <x:v>0.03760487338780756</x:v>
      </x:c>
      <x:c r="AK2475" s="81" t="n">
        <x:f>W2475/MAX($W$2194:W2475)-1</x:f>
        <x:v>-0.9980297797010298</x:v>
      </x:c>
      <x:c r="AL2475" s="83" t="n">
        <x:f>'Inputs'!$B$50</x:f>
        <x:v>1</x:v>
      </x:c>
      <x:c r="AM2475" s="83" t="n">
        <x:f>'Inputs'!$C$50</x:f>
        <x:v>1</x:v>
      </x:c>
      <x:c r="AN2475" s="83" t="n">
        <x:f>'Inputs'!$D$50</x:f>
        <x:v>1</x:v>
      </x:c>
      <x:c r="AO2475" s="81" t="n">
        <x:f>'Inputs'!$E$50</x:f>
        <x:v>0</x:v>
      </x:c>
    </x:row>
    <x:row r="2476">
      <x:c r="A2476" s="59" t="str">
        <x:v>Whale exit</x:v>
      </x:c>
      <x:c r="B2476" s="59" t="n">
        <x:v>283</x:v>
      </x:c>
      <x:c r="C2476" s="78" t="n">
        <x:f>(('Inputs'!$B$29*(3*283*'Inputs'!$B$12-283^2)/(2*'Inputs'!$B$12^2))-('Inputs'!$B$29*(3*282*'Inputs'!$B$12-282^2)/(2*'Inputs'!$B$12^2)))*'Inputs'!$B$50</x:f>
        <x:v>620143.3195721507</x:v>
      </x:c>
      <x:c r="D2476" s="78" t="n">
        <x:f>IF('Inputs'!$C$50&gt;0,('Inputs'!$B$30*(3*283*'Inputs'!$B$12-283^2)/(2*'Inputs'!$B$12^2))-('Inputs'!$B$30*(3*282*'Inputs'!$B$12-282^2)/(2*'Inputs'!$B$12^2)),0)</x:f>
        <x:v>265775.70838807523</x:v>
      </x:c>
      <x:c r="E2476" s="78" t="n">
        <x:f>C2476+D2476</x:f>
        <x:v>885919.0279602259</x:v>
      </x:c>
      <x:c r="F2476" s="78" t="n">
        <x:f>'Inputs'!$B$13*E2476+(1-'Inputs'!$B$13)/'Inputs'!$B$14*SUM(E2421:E2476)</x:f>
        <x:v>896136.7048226703</x:v>
      </x:c>
      <x:c r="G2476" s="78" t="n">
        <x:f>F2476*'Inputs'!$F$50</x:f>
        <x:v>448068.35241133516</x:v>
      </x:c>
      <x:c r="H2476" s="78" t="n">
        <x:f>U2475</x:f>
        <x:v>132398251.6827097</x:v>
      </x:c>
      <x:c r="I2476" s="78" t="n">
        <x:f>V2475</x:f>
        <x:v>219.84360109319485</x:v>
      </x:c>
      <x:c r="J2476" s="79" t="n">
        <x:f>IF(H2476&gt;0,I2476/H2476,0)</x:f>
        <x:v>0.0000016604720855381576</x:v>
      </x:c>
      <x:c r="K2476" s="80" t="n">
        <x:f>(H2476*J2476+I2476)*'Inputs'!$D$50*(1+'Inputs'!$G$50)^(B2476/30)</x:f>
        <x:v>439.6872021863897</x:v>
      </x:c>
      <x:c r="L2476" s="80" t="n">
        <x:f>MAX(0,K2476*'Inputs'!$E$50)</x:f>
        <x:v>0</x:v>
      </x:c>
      <x:c r="M2476" s="80" t="n">
        <x:f>MAX(0,-K2476*'Inputs'!$E$50)</x:f>
        <x:v>0</x:v>
      </x:c>
      <x:c r="N2476" s="78" t="n">
        <x:f>H2476*(L2476*(1-'Inputs'!$B$15))/(I2476+L2476*(1-'Inputs'!$B$15))</x:f>
        <x:v>0</x:v>
      </x:c>
      <x:c r="O2476" s="78" t="n">
        <x:f>H2476-N2476</x:f>
        <x:v>132398251.6827097</x:v>
      </x:c>
      <x:c r="P2476" s="78" t="n">
        <x:f>I2476+L2476*(1-'Inputs'!$B$17)</x:f>
        <x:v>219.84360109319485</x:v>
      </x:c>
      <x:c r="Q2476" s="78" t="n">
        <x:f>IF(J2476&gt;0,M2476/J2476,0)</x:f>
        <x:v>0</x:v>
      </x:c>
      <x:c r="R2476" s="78" t="n">
        <x:f>IF(B2476='Inputs'!$H$50,'Inputs'!$B$27*'Inputs'!$I$50,0)</x:f>
        <x:v>0</x:v>
      </x:c>
      <x:c r="S2476" s="78" t="n">
        <x:f>Q2476+G2476+R2476</x:f>
        <x:v>448068.35241133516</x:v>
      </x:c>
      <x:c r="T2476" s="78" t="n">
        <x:f>P2476*(S2476*(1-'Inputs'!$B$15))/(O2476+S2476*(1-'Inputs'!$B$15))</x:f>
        <x:v>0.7341053918306069</x:v>
      </x:c>
      <x:c r="U2476" s="78" t="n">
        <x:f>O2476+S2476*(1-'Inputs'!$B$17)</x:f>
        <x:v>132844516.94315961</x:v>
      </x:c>
      <x:c r="V2476" s="78" t="n">
        <x:f>P2476-T2476</x:f>
        <x:v>219.10949570136424</x:v>
      </x:c>
      <x:c r="W2476" s="79" t="n">
        <x:f>IF(U2476&gt;0,V2476/U2476,0)</x:f>
        <x:v>0.000001649368003612185</x:v>
      </x:c>
      <x:c r="X2476" s="80" t="n">
        <x:f>W2476*('Inputs'!$B$6-AC2476)</x:f>
        <x:v>1522.9736028130003</x:v>
      </x:c>
      <x:c r="Y2476" s="80" t="n">
        <x:f>2*V2476</x:f>
        <x:v>438.2189914027285</x:v>
      </x:c>
      <x:c r="Z2476" s="80" t="n">
        <x:f>K2476*'Inputs'!$B$16+(G2476+R2476)*J2476*'Inputs'!$B$16</x:f>
        <x:v>2.642587243067891</x:v>
      </x:c>
      <x:c r="AA2476" s="80" t="n">
        <x:f>K2476*(1+'Inputs'!$E$50)/2*'Inputs'!$B$17</x:f>
        <x:v>0.8846824993689935</x:v>
      </x:c>
      <x:c r="AB2476" s="78" t="n">
        <x:f>(IF(J2476&gt;0,K2476*(1-'Inputs'!$E$50)/2/J2476,0)+G2476+R2476)*'Inputs'!$B$17</x:f>
        <x:v>534592.837163465</x:v>
      </x:c>
      <x:c r="AC2476" s="78" t="n">
        <x:f>AC2475+AB2476</x:f>
        <x:v>76632019.36885858</x:v>
      </x:c>
      <x:c r="AD2476" s="80" t="n">
        <x:f>Z2476/(1+'Inputs'!$C$50)</x:f>
        <x:v>1.3212936215339455</x:v>
      </x:c>
      <x:c r="AE2476" s="80" t="n">
        <x:f>Z2476-AD2476</x:f>
        <x:v>1.3212936215339455</x:v>
      </x:c>
      <x:c r="AF2476" s="80" t="n">
        <x:f>D2476*W2476</x:f>
        <x:v>0.4383619495526539</x:v>
      </x:c>
      <x:c r="AG2476" s="80" t="n">
        <x:f>C2476*W2476</x:f>
        <x:v>1.0228445489561515</x:v>
      </x:c>
      <x:c r="AH2476" s="80" t="n">
        <x:f>2*'Inputs'!$B$8*'Inputs'!$C$50</x:f>
        <x:v>5000</x:v>
      </x:c>
      <x:c r="AI2476" s="81" t="n">
        <x:f>IF(AH2476&gt;0,(AE2476+AF2476)/AH2476*365,0)</x:f>
        <x:v>0.12845485668932174</x:v>
      </x:c>
      <x:c r="AJ2476" s="81" t="n">
        <x:f>IF('Inputs'!$B$50&gt;0,AG2476/('Inputs'!$B$19*'Inputs'!$B$50)*365,0)</x:f>
        <x:v>0.03733382603689953</x:v>
      </x:c>
      <x:c r="AK2476" s="81" t="n">
        <x:f>W2476/MAX($W$2194:W2476)-1</x:f>
        <x:v>-0.9980429551634796</x:v>
      </x:c>
      <x:c r="AL2476" s="83" t="n">
        <x:f>'Inputs'!$B$50</x:f>
        <x:v>1</x:v>
      </x:c>
      <x:c r="AM2476" s="83" t="n">
        <x:f>'Inputs'!$C$50</x:f>
        <x:v>1</x:v>
      </x:c>
      <x:c r="AN2476" s="83" t="n">
        <x:f>'Inputs'!$D$50</x:f>
        <x:v>1</x:v>
      </x:c>
      <x:c r="AO2476" s="81" t="n">
        <x:f>'Inputs'!$E$50</x:f>
        <x:v>0</x:v>
      </x:c>
    </x:row>
    <x:row r="2477">
      <x:c r="A2477" s="59" t="str">
        <x:v>Whale exit</x:v>
      </x:c>
      <x:c r="B2477" s="59" t="n">
        <x:v>284</x:v>
      </x:c>
      <x:c r="C2477" s="78" t="n">
        <x:f>(('Inputs'!$B$29*(3*284*'Inputs'!$B$12-284^2)/(2*'Inputs'!$B$12^2))-('Inputs'!$B$29*(3*283*'Inputs'!$B$12-283^2)/(2*'Inputs'!$B$12^2)))*'Inputs'!$B$50</x:f>
        <x:v>619818.2116719782</x:v>
      </x:c>
      <x:c r="D2477" s="78" t="n">
        <x:f>IF('Inputs'!$C$50&gt;0,('Inputs'!$B$30*(3*284*'Inputs'!$B$12-284^2)/(2*'Inputs'!$B$12^2))-('Inputs'!$B$30*(3*283*'Inputs'!$B$12-283^2)/(2*'Inputs'!$B$12^2)),0)</x:f>
        <x:v>265636.3764308393</x:v>
      </x:c>
      <x:c r="E2477" s="78" t="n">
        <x:f>C2477+D2477</x:f>
        <x:v>885454.5881028175</x:v>
      </x:c>
      <x:c r="F2477" s="78" t="n">
        <x:f>'Inputs'!$B$13*E2477+(1-'Inputs'!$B$13)/'Inputs'!$B$14*SUM(E2422:E2477)</x:f>
        <x:v>895672.2649652809</x:v>
      </x:c>
      <x:c r="G2477" s="78" t="n">
        <x:f>F2477*'Inputs'!$F$50</x:f>
        <x:v>447836.13248264045</x:v>
      </x:c>
      <x:c r="H2477" s="78" t="n">
        <x:f>U2476</x:f>
        <x:v>132844516.94315961</x:v>
      </x:c>
      <x:c r="I2477" s="78" t="n">
        <x:f>V2476</x:f>
        <x:v>219.10949570136424</x:v>
      </x:c>
      <x:c r="J2477" s="79" t="n">
        <x:f>IF(H2477&gt;0,I2477/H2477,0)</x:f>
        <x:v>0.000001649368003612185</x:v>
      </x:c>
      <x:c r="K2477" s="80" t="n">
        <x:f>(H2477*J2477+I2477)*'Inputs'!$D$50*(1+'Inputs'!$G$50)^(B2477/30)</x:f>
        <x:v>438.2189914027285</x:v>
      </x:c>
      <x:c r="L2477" s="80" t="n">
        <x:f>MAX(0,K2477*'Inputs'!$E$50)</x:f>
        <x:v>0</x:v>
      </x:c>
      <x:c r="M2477" s="80" t="n">
        <x:f>MAX(0,-K2477*'Inputs'!$E$50)</x:f>
        <x:v>0</x:v>
      </x:c>
      <x:c r="N2477" s="78" t="n">
        <x:f>H2477*(L2477*(1-'Inputs'!$B$15))/(I2477+L2477*(1-'Inputs'!$B$15))</x:f>
        <x:v>0</x:v>
      </x:c>
      <x:c r="O2477" s="78" t="n">
        <x:f>H2477-N2477</x:f>
        <x:v>132844516.94315961</x:v>
      </x:c>
      <x:c r="P2477" s="78" t="n">
        <x:f>I2477+L2477*(1-'Inputs'!$B$17)</x:f>
        <x:v>219.10949570136424</x:v>
      </x:c>
      <x:c r="Q2477" s="78" t="n">
        <x:f>IF(J2477&gt;0,M2477/J2477,0)</x:f>
        <x:v>0</x:v>
      </x:c>
      <x:c r="R2477" s="78" t="n">
        <x:f>IF(B2477='Inputs'!$H$50,'Inputs'!$B$27*'Inputs'!$I$50,0)</x:f>
        <x:v>0</x:v>
      </x:c>
      <x:c r="S2477" s="78" t="n">
        <x:f>Q2477+G2477+R2477</x:f>
        <x:v>447836.13248264045</x:v>
      </x:c>
      <x:c r="T2477" s="78" t="n">
        <x:f>P2477*(S2477*(1-'Inputs'!$B$15))/(O2477+S2477*(1-'Inputs'!$B$15))</x:f>
        <x:v>0.7288277186644536</x:v>
      </x:c>
      <x:c r="U2477" s="78" t="n">
        <x:f>O2477+S2477*(1-'Inputs'!$B$17)</x:f>
        <x:v>133290550.91816747</x:v>
      </x:c>
      <x:c r="V2477" s="78" t="n">
        <x:f>P2477-T2477</x:f>
        <x:v>218.38066798269978</x:v>
      </x:c>
      <x:c r="W2477" s="79" t="n">
        <x:f>IF(U2477&gt;0,V2477/U2477,0)</x:f>
        <x:v>0.0000016383807139995439</x:v>
      </x:c>
      <x:c r="X2477" s="80" t="n">
        <x:f>W2477*('Inputs'!$B$6-AC2477)</x:f>
        <x:v>1511.9494840643972</x:v>
      </x:c>
      <x:c r="Y2477" s="80" t="n">
        <x:f>2*V2477</x:f>
        <x:v>436.76133596539955</x:v>
      </x:c>
      <x:c r="Z2477" s="80" t="n">
        <x:f>K2477*'Inputs'!$B$16+(G2477+R2477)*J2477*'Inputs'!$B$16</x:f>
        <x:v>2.6337458279430406</x:v>
      </x:c>
      <x:c r="AA2477" s="80" t="n">
        <x:f>K2477*(1+'Inputs'!$E$50)/2*'Inputs'!$B$17</x:f>
        <x:v>0.881728352922995</x:v>
      </x:c>
      <x:c r="AB2477" s="78" t="n">
        <x:f>(IF(J2477&gt;0,K2477*(1-'Inputs'!$E$50)/2/J2477,0)+G2477+R2477)*'Inputs'!$B$17</x:f>
        <x:v>536387.738734979</x:v>
      </x:c>
      <x:c r="AC2477" s="78" t="n">
        <x:f>AC2476+AB2477</x:f>
        <x:v>77168407.10759355</x:v>
      </x:c>
      <x:c r="AD2477" s="80" t="n">
        <x:f>Z2477/(1+'Inputs'!$C$50)</x:f>
        <x:v>1.3168729139715203</x:v>
      </x:c>
      <x:c r="AE2477" s="80" t="n">
        <x:f>Z2477-AD2477</x:f>
        <x:v>1.3168729139715203</x:v>
      </x:c>
      <x:c r="AF2477" s="80" t="n">
        <x:f>D2477*W2477</x:f>
        <x:v>0.4352135160810101</x:v>
      </x:c>
      <x:c r="AG2477" s="80" t="n">
        <x:f>C2477*W2477</x:f>
        <x:v>1.0154982041890561</x:v>
      </x:c>
      <x:c r="AH2477" s="80" t="n">
        <x:f>2*'Inputs'!$B$8*'Inputs'!$C$50</x:f>
        <x:v>5000</x:v>
      </x:c>
      <x:c r="AI2477" s="81" t="n">
        <x:f>IF(AH2477&gt;0,(AE2477+AF2477)/AH2477*365,0)</x:f>
        <x:v>0.1279023093938347</x:v>
      </x:c>
      <x:c r="AJ2477" s="81" t="n">
        <x:f>IF('Inputs'!$B$50&gt;0,AG2477/('Inputs'!$B$19*'Inputs'!$B$50)*365,0)</x:f>
        <x:v>0.037065684452900545</x:v>
      </x:c>
      <x:c r="AK2477" s="81" t="n">
        <x:f>W2477/MAX($W$2194:W2477)-1</x:f>
        <x:v>-0.9980559920469141</x:v>
      </x:c>
      <x:c r="AL2477" s="83" t="n">
        <x:f>'Inputs'!$B$50</x:f>
        <x:v>1</x:v>
      </x:c>
      <x:c r="AM2477" s="83" t="n">
        <x:f>'Inputs'!$C$50</x:f>
        <x:v>1</x:v>
      </x:c>
      <x:c r="AN2477" s="83" t="n">
        <x:f>'Inputs'!$D$50</x:f>
        <x:v>1</x:v>
      </x:c>
      <x:c r="AO2477" s="81" t="n">
        <x:f>'Inputs'!$E$50</x:f>
        <x:v>0</x:v>
      </x:c>
    </x:row>
    <x:row r="2478">
      <x:c r="A2478" s="59" t="str">
        <x:v>Whale exit</x:v>
      </x:c>
      <x:c r="B2478" s="59" t="n">
        <x:v>285</x:v>
      </x:c>
      <x:c r="C2478" s="78" t="n">
        <x:f>(('Inputs'!$B$29*(3*285*'Inputs'!$B$12-285^2)/(2*'Inputs'!$B$12^2))-('Inputs'!$B$29*(3*284*'Inputs'!$B$12-284^2)/(2*'Inputs'!$B$12^2)))*'Inputs'!$B$50</x:f>
        <x:v>619493.1037718356</x:v>
      </x:c>
      <x:c r="D2478" s="78" t="n">
        <x:f>IF('Inputs'!$C$50&gt;0,('Inputs'!$B$30*(3*285*'Inputs'!$B$12-285^2)/(2*'Inputs'!$B$12^2))-('Inputs'!$B$30*(3*284*'Inputs'!$B$12-284^2)/(2*'Inputs'!$B$12^2)),0)</x:f>
        <x:v>265497.04447363317</x:v>
      </x:c>
      <x:c r="E2478" s="78" t="n">
        <x:f>C2478+D2478</x:f>
        <x:v>884990.1482454687</x:v>
      </x:c>
      <x:c r="F2478" s="78" t="n">
        <x:f>'Inputs'!$B$13*E2478+(1-'Inputs'!$B$13)/'Inputs'!$B$14*SUM(E2423:E2478)</x:f>
        <x:v>895207.8251079043</x:v>
      </x:c>
      <x:c r="G2478" s="78" t="n">
        <x:f>F2478*'Inputs'!$F$50</x:f>
        <x:v>447603.91255395213</x:v>
      </x:c>
      <x:c r="H2478" s="78" t="n">
        <x:f>U2477</x:f>
        <x:v>133290550.91816747</x:v>
      </x:c>
      <x:c r="I2478" s="78" t="n">
        <x:f>V2477</x:f>
        <x:v>218.38066798269978</x:v>
      </x:c>
      <x:c r="J2478" s="79" t="n">
        <x:f>IF(H2478&gt;0,I2478/H2478,0)</x:f>
        <x:v>0.0000016383807139995439</x:v>
      </x:c>
      <x:c r="K2478" s="80" t="n">
        <x:f>(H2478*J2478+I2478)*'Inputs'!$D$50*(1+'Inputs'!$G$50)^(B2478/30)</x:f>
        <x:v>436.76133596539955</x:v>
      </x:c>
      <x:c r="L2478" s="80" t="n">
        <x:f>MAX(0,K2478*'Inputs'!$E$50)</x:f>
        <x:v>0</x:v>
      </x:c>
      <x:c r="M2478" s="80" t="n">
        <x:f>MAX(0,-K2478*'Inputs'!$E$50)</x:f>
        <x:v>0</x:v>
      </x:c>
      <x:c r="N2478" s="78" t="n">
        <x:f>H2478*(L2478*(1-'Inputs'!$B$15))/(I2478+L2478*(1-'Inputs'!$B$15))</x:f>
        <x:v>0</x:v>
      </x:c>
      <x:c r="O2478" s="78" t="n">
        <x:f>H2478-N2478</x:f>
        <x:v>133290550.91816747</x:v>
      </x:c>
      <x:c r="P2478" s="78" t="n">
        <x:f>I2478+L2478*(1-'Inputs'!$B$17)</x:f>
        <x:v>218.38066798269978</x:v>
      </x:c>
      <x:c r="Q2478" s="78" t="n">
        <x:f>IF(J2478&gt;0,M2478/J2478,0)</x:f>
        <x:v>0</x:v>
      </x:c>
      <x:c r="R2478" s="78" t="n">
        <x:f>IF(B2478='Inputs'!$H$50,'Inputs'!$B$27*'Inputs'!$I$50,0)</x:f>
        <x:v>0</x:v>
      </x:c>
      <x:c r="S2478" s="78" t="n">
        <x:f>Q2478+G2478+R2478</x:f>
        <x:v>447603.91255395213</x:v>
      </x:c>
      <x:c r="T2478" s="78" t="n">
        <x:f>P2478*(S2478*(1-'Inputs'!$B$15))/(O2478+S2478*(1-'Inputs'!$B$15))</x:f>
        <x:v>0.7236065131495601</x:v>
      </x:c>
      <x:c r="U2478" s="78" t="n">
        <x:f>O2478+S2478*(1-'Inputs'!$B$17)</x:f>
        <x:v>133736353.60773328</x:v>
      </x:c>
      <x:c r="V2478" s="78" t="n">
        <x:f>P2478-T2478</x:f>
        <x:v>217.65706146955023</x:v>
      </x:c>
      <x:c r="W2478" s="79" t="n">
        <x:f>IF(U2478&gt;0,V2478/U2478,0)</x:f>
        <x:v>0.00000162750856889644</x:v>
      </x:c>
      <x:c r="X2478" s="80" t="n">
        <x:f>W2478*('Inputs'!$B$6-AC2478)</x:f>
        <x:v>1501.040429736777</x:v>
      </x:c>
      <x:c r="Y2478" s="80" t="n">
        <x:f>2*V2478</x:f>
        <x:v>435.31412293910046</x:v>
      </x:c>
      <x:c r="Z2478" s="80" t="n">
        <x:f>K2478*'Inputs'!$B$16+(G2478+R2478)*J2478*'Inputs'!$B$16</x:f>
        <x:v>2.624968089499432</x:v>
      </x:c>
      <x:c r="AA2478" s="80" t="n">
        <x:f>K2478*(1+'Inputs'!$E$50)/2*'Inputs'!$B$17</x:f>
        <x:v>0.8787954445983895</x:v>
      </x:c>
      <x:c r="AB2478" s="78" t="n">
        <x:f>(IF(J2478&gt;0,K2478*(1-'Inputs'!$E$50)/2/J2478,0)+G2478+R2478)*'Inputs'!$B$17</x:f>
        <x:v>538181.7095803679</x:v>
      </x:c>
      <x:c r="AC2478" s="78" t="n">
        <x:f>AC2477+AB2478</x:f>
        <x:v>77706588.81717391</x:v>
      </x:c>
      <x:c r="AD2478" s="80" t="n">
        <x:f>Z2478/(1+'Inputs'!$C$50)</x:f>
        <x:v>1.312484044749716</x:v>
      </x:c>
      <x:c r="AE2478" s="80" t="n">
        <x:f>Z2478-AD2478</x:f>
        <x:v>1.312484044749716</x:v>
      </x:c>
      <x:c r="AF2478" s="80" t="n">
        <x:f>D2478*W2478</x:f>
        <x:v>0.4320987148975172</x:v>
      </x:c>
      <x:c r="AG2478" s="80" t="n">
        <x:f>C2478*W2478</x:f>
        <x:v>1.0082303347609138</x:v>
      </x:c>
      <x:c r="AH2478" s="80" t="n">
        <x:f>2*'Inputs'!$B$8*'Inputs'!$C$50</x:f>
        <x:v>5000</x:v>
      </x:c>
      <x:c r="AI2478" s="81" t="n">
        <x:f>IF(AH2478&gt;0,(AE2478+AF2478)/AH2478*365,0)</x:f>
        <x:v>0.12735454145424802</x:v>
      </x:c>
      <x:c r="AJ2478" s="81" t="n">
        <x:f>IF('Inputs'!$B$50&gt;0,AG2478/('Inputs'!$B$19*'Inputs'!$B$50)*365,0)</x:f>
        <x:v>0.036800407218773354</x:v>
      </x:c>
      <x:c r="AK2478" s="81" t="n">
        <x:f>W2478/MAX($W$2194:W2478)-1</x:f>
        <x:v>-0.9980688923065223</x:v>
      </x:c>
      <x:c r="AL2478" s="83" t="n">
        <x:f>'Inputs'!$B$50</x:f>
        <x:v>1</x:v>
      </x:c>
      <x:c r="AM2478" s="83" t="n">
        <x:f>'Inputs'!$C$50</x:f>
        <x:v>1</x:v>
      </x:c>
      <x:c r="AN2478" s="83" t="n">
        <x:f>'Inputs'!$D$50</x:f>
        <x:v>1</x:v>
      </x:c>
      <x:c r="AO2478" s="81" t="n">
        <x:f>'Inputs'!$E$50</x:f>
        <x:v>0</x:v>
      </x:c>
    </x:row>
    <x:row r="2479">
      <x:c r="A2479" s="59" t="str">
        <x:v>Whale exit</x:v>
      </x:c>
      <x:c r="B2479" s="59" t="n">
        <x:v>286</x:v>
      </x:c>
      <x:c r="C2479" s="78" t="n">
        <x:f>(('Inputs'!$B$29*(3*286*'Inputs'!$B$12-286^2)/(2*'Inputs'!$B$12^2))-('Inputs'!$B$29*(3*285*'Inputs'!$B$12-285^2)/(2*'Inputs'!$B$12^2)))*'Inputs'!$B$50</x:f>
        <x:v>619167.9958716333</x:v>
      </x:c>
      <x:c r="D2479" s="78" t="n">
        <x:f>IF('Inputs'!$C$50&gt;0,('Inputs'!$B$30*(3*286*'Inputs'!$B$12-286^2)/(2*'Inputs'!$B$12^2))-('Inputs'!$B$30*(3*285*'Inputs'!$B$12-285^2)/(2*'Inputs'!$B$12^2)),0)</x:f>
        <x:v>265357.71251642704</x:v>
      </x:c>
      <x:c r="E2479" s="78" t="n">
        <x:f>C2479+D2479</x:f>
        <x:v>884525.7083880603</x:v>
      </x:c>
      <x:c r="F2479" s="78" t="n">
        <x:f>'Inputs'!$B$13*E2479+(1-'Inputs'!$B$13)/'Inputs'!$B$14*SUM(E2424:E2479)</x:f>
        <x:v>894743.3852505152</x:v>
      </x:c>
      <x:c r="G2479" s="78" t="n">
        <x:f>F2479*'Inputs'!$F$50</x:f>
        <x:v>447371.6926252576</x:v>
      </x:c>
      <x:c r="H2479" s="78" t="n">
        <x:f>U2478</x:f>
        <x:v>133736353.60773328</x:v>
      </x:c>
      <x:c r="I2479" s="78" t="n">
        <x:f>V2478</x:f>
        <x:v>217.65706146955023</x:v>
      </x:c>
      <x:c r="J2479" s="79" t="n">
        <x:f>IF(H2479&gt;0,I2479/H2479,0)</x:f>
        <x:v>0.00000162750856889644</x:v>
      </x:c>
      <x:c r="K2479" s="80" t="n">
        <x:f>(H2479*J2479+I2479)*'Inputs'!$D$50*(1+'Inputs'!$G$50)^(B2479/30)</x:f>
        <x:v>435.31412293910046</x:v>
      </x:c>
      <x:c r="L2479" s="80" t="n">
        <x:f>MAX(0,K2479*'Inputs'!$E$50)</x:f>
        <x:v>0</x:v>
      </x:c>
      <x:c r="M2479" s="80" t="n">
        <x:f>MAX(0,-K2479*'Inputs'!$E$50)</x:f>
        <x:v>0</x:v>
      </x:c>
      <x:c r="N2479" s="78" t="n">
        <x:f>H2479*(L2479*(1-'Inputs'!$B$15))/(I2479+L2479*(1-'Inputs'!$B$15))</x:f>
        <x:v>0</x:v>
      </x:c>
      <x:c r="O2479" s="78" t="n">
        <x:f>H2479-N2479</x:f>
        <x:v>133736353.60773328</x:v>
      </x:c>
      <x:c r="P2479" s="78" t="n">
        <x:f>I2479+L2479*(1-'Inputs'!$B$17)</x:f>
        <x:v>217.65706146955023</x:v>
      </x:c>
      <x:c r="Q2479" s="78" t="n">
        <x:f>IF(J2479&gt;0,M2479/J2479,0)</x:f>
        <x:v>0</x:v>
      </x:c>
      <x:c r="R2479" s="78" t="n">
        <x:f>IF(B2479='Inputs'!$H$50,'Inputs'!$B$27*'Inputs'!$I$50,0)</x:f>
        <x:v>0</x:v>
      </x:c>
      <x:c r="S2479" s="78" t="n">
        <x:f>Q2479+G2479+R2479</x:f>
        <x:v>447371.6926252576</x:v>
      </x:c>
      <x:c r="T2479" s="78" t="n">
        <x:f>P2479*(S2479*(1-'Inputs'!$B$15))/(O2479+S2479*(1-'Inputs'!$B$15))</x:f>
        <x:v>0.7184409719375765</x:v>
      </x:c>
      <x:c r="U2479" s="78" t="n">
        <x:f>O2479+S2479*(1-'Inputs'!$B$17)</x:f>
        <x:v>134181925.01185703</x:v>
      </x:c>
      <x:c r="V2479" s="78" t="n">
        <x:f>P2479-T2479</x:f>
        <x:v>216.93862049761265</x:v>
      </x:c>
      <x:c r="W2479" s="79" t="n">
        <x:f>IF(U2479&gt;0,V2479/U2479,0)</x:f>
        <x:v>0.000001616749949581084</x:v>
      </x:c>
      <x:c r="X2479" s="80" t="n">
        <x:f>W2479*('Inputs'!$B$6-AC2479)</x:f>
        <x:v>1490.2448218794482</x:v>
      </x:c>
      <x:c r="Y2479" s="80" t="n">
        <x:f>2*V2479</x:f>
        <x:v>433.8772409952253</x:v>
      </x:c>
      <x:c r="Z2479" s="80" t="n">
        <x:f>K2479*'Inputs'!$B$16+(G2479+R2479)*J2479*'Inputs'!$B$16</x:f>
        <x:v>2.6162533452139787</x:v>
      </x:c>
      <x:c r="AA2479" s="80" t="n">
        <x:f>K2479*(1+'Inputs'!$E$50)/2*'Inputs'!$B$17</x:f>
        <x:v>0.875883547161168</x:v>
      </x:c>
      <x:c r="AB2479" s="78" t="n">
        <x:f>(IF(J2479&gt;0,K2479*(1-'Inputs'!$E$50)/2/J2479,0)+G2479+R2479)*'Inputs'!$B$17</x:f>
        <x:v>539974.7496996319</x:v>
      </x:c>
      <x:c r="AC2479" s="78" t="n">
        <x:f>AC2478+AB2479</x:f>
        <x:v>78246563.56687355</x:v>
      </x:c>
      <x:c r="AD2479" s="80" t="n">
        <x:f>Z2479/(1+'Inputs'!$C$50)</x:f>
        <x:v>1.3081266726069893</x:v>
      </x:c>
      <x:c r="AE2479" s="80" t="n">
        <x:f>Z2479-AD2479</x:f>
        <x:v>1.3081266726069893</x:v>
      </x:c>
      <x:c r="AF2479" s="80" t="n">
        <x:f>D2479*W2479</x:f>
        <x:v>0.4290170683318852</x:v>
      </x:c>
      <x:c r="AG2479" s="80" t="n">
        <x:f>C2479*W2479</x:f>
        <x:v>1.001039826107684</x:v>
      </x:c>
      <x:c r="AH2479" s="80" t="n">
        <x:f>2*'Inputs'!$B$8*'Inputs'!$C$50</x:f>
        <x:v>5000</x:v>
      </x:c>
      <x:c r="AI2479" s="81" t="n">
        <x:f>IF(AH2479&gt;0,(AE2479+AF2479)/AH2479*365,0)</x:f>
        <x:v>0.12681149308853784</x:v>
      </x:c>
      <x:c r="AJ2479" s="81" t="n">
        <x:f>IF('Inputs'!$B$50&gt;0,AG2479/('Inputs'!$B$19*'Inputs'!$B$50)*365,0)</x:f>
        <x:v>0.036537953652930465</x:v>
      </x:c>
      <x:c r="AK2479" s="81" t="n">
        <x:f>W2479/MAX($W$2194:W2479)-1</x:f>
        <x:v>-0.9980816578629857</x:v>
      </x:c>
      <x:c r="AL2479" s="83" t="n">
        <x:f>'Inputs'!$B$50</x:f>
        <x:v>1</x:v>
      </x:c>
      <x:c r="AM2479" s="83" t="n">
        <x:f>'Inputs'!$C$50</x:f>
        <x:v>1</x:v>
      </x:c>
      <x:c r="AN2479" s="83" t="n">
        <x:f>'Inputs'!$D$50</x:f>
        <x:v>1</x:v>
      </x:c>
      <x:c r="AO2479" s="81" t="n">
        <x:f>'Inputs'!$E$50</x:f>
        <x:v>0</x:v>
      </x:c>
    </x:row>
    <x:row r="2480">
      <x:c r="A2480" s="59" t="str">
        <x:v>Whale exit</x:v>
      </x:c>
      <x:c r="B2480" s="59" t="n">
        <x:v>287</x:v>
      </x:c>
      <x:c r="C2480" s="78" t="n">
        <x:f>(('Inputs'!$B$29*(3*287*'Inputs'!$B$12-287^2)/(2*'Inputs'!$B$12^2))-('Inputs'!$B$29*(3*286*'Inputs'!$B$12-286^2)/(2*'Inputs'!$B$12^2)))*'Inputs'!$B$50</x:f>
        <x:v>618842.8879714906</x:v>
      </x:c>
      <x:c r="D2480" s="78" t="n">
        <x:f>IF('Inputs'!$C$50&gt;0,('Inputs'!$B$30*(3*287*'Inputs'!$B$12-287^2)/(2*'Inputs'!$B$12^2))-('Inputs'!$B$30*(3*286*'Inputs'!$B$12-286^2)/(2*'Inputs'!$B$12^2)),0)</x:f>
        <x:v>265218.380559206</x:v>
      </x:c>
      <x:c r="E2480" s="78" t="n">
        <x:f>C2480+D2480</x:f>
        <x:v>884061.2685306966</x:v>
      </x:c>
      <x:c r="F2480" s="78" t="n">
        <x:f>'Inputs'!$B$13*E2480+(1-'Inputs'!$B$13)/'Inputs'!$B$14*SUM(E2425:E2480)</x:f>
        <x:v>894278.9453931353</x:v>
      </x:c>
      <x:c r="G2480" s="78" t="n">
        <x:f>F2480*'Inputs'!$F$50</x:f>
        <x:v>447139.47269656765</x:v>
      </x:c>
      <x:c r="H2480" s="78" t="n">
        <x:f>U2479</x:f>
        <x:v>134181925.01185703</x:v>
      </x:c>
      <x:c r="I2480" s="78" t="n">
        <x:f>V2479</x:f>
        <x:v>216.93862049761265</x:v>
      </x:c>
      <x:c r="J2480" s="79" t="n">
        <x:f>IF(H2480&gt;0,I2480/H2480,0)</x:f>
        <x:v>0.000001616749949581084</x:v>
      </x:c>
      <x:c r="K2480" s="80" t="n">
        <x:f>(H2480*J2480+I2480)*'Inputs'!$D$50*(1+'Inputs'!$G$50)^(B2480/30)</x:f>
        <x:v>433.8772409952253</x:v>
      </x:c>
      <x:c r="L2480" s="80" t="n">
        <x:f>MAX(0,K2480*'Inputs'!$E$50)</x:f>
        <x:v>0</x:v>
      </x:c>
      <x:c r="M2480" s="80" t="n">
        <x:f>MAX(0,-K2480*'Inputs'!$E$50)</x:f>
        <x:v>0</x:v>
      </x:c>
      <x:c r="N2480" s="78" t="n">
        <x:f>H2480*(L2480*(1-'Inputs'!$B$15))/(I2480+L2480*(1-'Inputs'!$B$15))</x:f>
        <x:v>0</x:v>
      </x:c>
      <x:c r="O2480" s="78" t="n">
        <x:f>H2480-N2480</x:f>
        <x:v>134181925.01185703</x:v>
      </x:c>
      <x:c r="P2480" s="78" t="n">
        <x:f>I2480+L2480*(1-'Inputs'!$B$17)</x:f>
        <x:v>216.93862049761265</x:v>
      </x:c>
      <x:c r="Q2480" s="78" t="n">
        <x:f>IF(J2480&gt;0,M2480/J2480,0)</x:f>
        <x:v>0</x:v>
      </x:c>
      <x:c r="R2480" s="78" t="n">
        <x:f>IF(B2480='Inputs'!$H$50,'Inputs'!$B$27*'Inputs'!$I$50,0)</x:f>
        <x:v>0</x:v>
      </x:c>
      <x:c r="S2480" s="78" t="n">
        <x:f>Q2480+G2480+R2480</x:f>
        <x:v>447139.47269656765</x:v>
      </x:c>
      <x:c r="T2480" s="78" t="n">
        <x:f>P2480*(S2480*(1-'Inputs'!$B$15))/(O2480+S2480*(1-'Inputs'!$B$15))</x:f>
        <x:v>0.7133303059195062</x:v>
      </x:c>
      <x:c r="U2480" s="78" t="n">
        <x:f>O2480+S2480*(1-'Inputs'!$B$17)</x:f>
        <x:v>134627265.13053873</x:v>
      </x:c>
      <x:c r="V2480" s="78" t="n">
        <x:f>P2480-T2480</x:f>
        <x:v>216.22529019169315</x:v>
      </x:c>
      <x:c r="W2480" s="79" t="n">
        <x:f>IF(U2480&gt;0,V2480/U2480,0)</x:f>
        <x:v>0.0000016061032657986066</x:v>
      </x:c>
      <x:c r="X2480" s="80" t="n">
        <x:f>W2480*('Inputs'!$B$6-AC2480)</x:f>
        <x:v>1479.5610709946425</x:v>
      </x:c>
      <x:c r="Y2480" s="80" t="n">
        <x:f>2*V2480</x:f>
        <x:v>432.4505803833863</x:v>
      </x:c>
      <x:c r="Z2480" s="80" t="n">
        <x:f>K2480*'Inputs'!$B$16+(G2480+R2480)*J2480*'Inputs'!$B$16</x:f>
        <x:v>2.6076009222909793</x:v>
      </x:c>
      <x:c r="AA2480" s="80" t="n">
        <x:f>K2480*(1+'Inputs'!$E$50)/2*'Inputs'!$B$17</x:f>
        <x:v>0.8729924366101113</x:v>
      </x:c>
      <x:c r="AB2480" s="78" t="n">
        <x:f>(IF(J2480&gt;0,K2480*(1-'Inputs'!$E$50)/2/J2480,0)+G2480+R2480)*'Inputs'!$B$17</x:f>
        <x:v>541766.8590927711</x:v>
      </x:c>
      <x:c r="AC2480" s="78" t="n">
        <x:f>AC2479+AB2480</x:f>
        <x:v>78788330.42596632</x:v>
      </x:c>
      <x:c r="AD2480" s="80" t="n">
        <x:f>Z2480/(1+'Inputs'!$C$50)</x:f>
        <x:v>1.3038004611454896</x:v>
      </x:c>
      <x:c r="AE2480" s="80" t="n">
        <x:f>Z2480-AD2480</x:f>
        <x:v>1.3038004611454896</x:v>
      </x:c>
      <x:c r="AF2480" s="80" t="n">
        <x:f>D2480*W2480</x:f>
        <x:v>0.42596810716595845</x:v>
      </x:c>
      <x:c r="AG2480" s="80" t="n">
        <x:f>C2480*W2480</x:f>
        <x:v>0.9939255833872523</x:v>
      </x:c>
      <x:c r="AH2480" s="80" t="n">
        <x:f>2*'Inputs'!$B$8*'Inputs'!$C$50</x:f>
        <x:v>5000</x:v>
      </x:c>
      <x:c r="AI2480" s="81" t="n">
        <x:f>IF(AH2480&gt;0,(AE2480+AF2480)/AH2480*365,0)</x:f>
        <x:v>0.1262731054867357</x:v>
      </x:c>
      <x:c r="AJ2480" s="81" t="n">
        <x:f>IF('Inputs'!$B$50&gt;0,AG2480/('Inputs'!$B$19*'Inputs'!$B$50)*365,0)</x:f>
        <x:v>0.03627828379363471</x:v>
      </x:c>
      <x:c r="AK2480" s="81" t="n">
        <x:f>W2480/MAX($W$2194:W2480)-1</x:f>
        <x:v>-0.9980942906032092</x:v>
      </x:c>
      <x:c r="AL2480" s="83" t="n">
        <x:f>'Inputs'!$B$50</x:f>
        <x:v>1</x:v>
      </x:c>
      <x:c r="AM2480" s="83" t="n">
        <x:f>'Inputs'!$C$50</x:f>
        <x:v>1</x:v>
      </x:c>
      <x:c r="AN2480" s="83" t="n">
        <x:f>'Inputs'!$D$50</x:f>
        <x:v>1</x:v>
      </x:c>
      <x:c r="AO2480" s="81" t="n">
        <x:f>'Inputs'!$E$50</x:f>
        <x:v>0</x:v>
      </x:c>
    </x:row>
    <x:row r="2481">
      <x:c r="A2481" s="59" t="str">
        <x:v>Whale exit</x:v>
      </x:c>
      <x:c r="B2481" s="59" t="n">
        <x:v>288</x:v>
      </x:c>
      <x:c r="C2481" s="78" t="n">
        <x:f>(('Inputs'!$B$29*(3*288*'Inputs'!$B$12-288^2)/(2*'Inputs'!$B$12^2))-('Inputs'!$B$29*(3*287*'Inputs'!$B$12-287^2)/(2*'Inputs'!$B$12^2)))*'Inputs'!$B$50</x:f>
        <x:v>618517.7800712883</x:v>
      </x:c>
      <x:c r="D2481" s="78" t="n">
        <x:f>IF('Inputs'!$C$50&gt;0,('Inputs'!$B$30*(3*288*'Inputs'!$B$12-288^2)/(2*'Inputs'!$B$12^2))-('Inputs'!$B$30*(3*287*'Inputs'!$B$12-287^2)/(2*'Inputs'!$B$12^2)),0)</x:f>
        <x:v>265079.048601985</x:v>
      </x:c>
      <x:c r="E2481" s="78" t="n">
        <x:f>C2481+D2481</x:f>
        <x:v>883596.8286732733</x:v>
      </x:c>
      <x:c r="F2481" s="78" t="n">
        <x:f>'Inputs'!$B$13*E2481+(1-'Inputs'!$B$13)/'Inputs'!$B$14*SUM(E2426:E2481)</x:f>
        <x:v>893814.505535743</x:v>
      </x:c>
      <x:c r="G2481" s="78" t="n">
        <x:f>F2481*'Inputs'!$F$50</x:f>
        <x:v>446907.2527678715</x:v>
      </x:c>
      <x:c r="H2481" s="78" t="n">
        <x:f>U2480</x:f>
        <x:v>134627265.13053873</x:v>
      </x:c>
      <x:c r="I2481" s="78" t="n">
        <x:f>V2480</x:f>
        <x:v>216.22529019169315</x:v>
      </x:c>
      <x:c r="J2481" s="79" t="n">
        <x:f>IF(H2481&gt;0,I2481/H2481,0)</x:f>
        <x:v>0.0000016061032657986066</x:v>
      </x:c>
      <x:c r="K2481" s="80" t="n">
        <x:f>(H2481*J2481+I2481)*'Inputs'!$D$50*(1+'Inputs'!$G$50)^(B2481/30)</x:f>
        <x:v>432.4505803833863</x:v>
      </x:c>
      <x:c r="L2481" s="80" t="n">
        <x:f>MAX(0,K2481*'Inputs'!$E$50)</x:f>
        <x:v>0</x:v>
      </x:c>
      <x:c r="M2481" s="80" t="n">
        <x:f>MAX(0,-K2481*'Inputs'!$E$50)</x:f>
        <x:v>0</x:v>
      </x:c>
      <x:c r="N2481" s="78" t="n">
        <x:f>H2481*(L2481*(1-'Inputs'!$B$15))/(I2481+L2481*(1-'Inputs'!$B$15))</x:f>
        <x:v>0</x:v>
      </x:c>
      <x:c r="O2481" s="78" t="n">
        <x:f>H2481-N2481</x:f>
        <x:v>134627265.13053873</x:v>
      </x:c>
      <x:c r="P2481" s="78" t="n">
        <x:f>I2481+L2481*(1-'Inputs'!$B$17)</x:f>
        <x:v>216.22529019169315</x:v>
      </x:c>
      <x:c r="Q2481" s="78" t="n">
        <x:f>IF(J2481&gt;0,M2481/J2481,0)</x:f>
        <x:v>0</x:v>
      </x:c>
      <x:c r="R2481" s="78" t="n">
        <x:f>IF(B2481='Inputs'!$H$50,'Inputs'!$B$27*'Inputs'!$I$50,0)</x:f>
        <x:v>0</x:v>
      </x:c>
      <x:c r="S2481" s="78" t="n">
        <x:f>Q2481+G2481+R2481</x:f>
        <x:v>446907.2527678715</x:v>
      </x:c>
      <x:c r="T2481" s="78" t="n">
        <x:f>P2481*(S2481*(1-'Inputs'!$B$15))/(O2481+S2481*(1-'Inputs'!$B$15))</x:f>
        <x:v>0.7082737399237768</x:v>
      </x:c>
      <x:c r="U2481" s="78" t="n">
        <x:f>O2481+S2481*(1-'Inputs'!$B$17)</x:f>
        <x:v>135072373.96377838</x:v>
      </x:c>
      <x:c r="V2481" s="78" t="n">
        <x:f>P2481-T2481</x:f>
        <x:v>215.51701645176936</x:v>
      </x:c>
      <x:c r="W2481" s="79" t="n">
        <x:f>IF(U2481&gt;0,V2481/U2481,0)</x:f>
        <x:v>0.0000015955669551611153</x:v>
      </x:c>
      <x:c r="X2481" s="80" t="n">
        <x:f>W2481*('Inputs'!$B$6-AC2481)</x:f>
        <x:v>1468.9876154378667</x:v>
      </x:c>
      <x:c r="Y2481" s="80" t="n">
        <x:f>2*V2481</x:f>
        <x:v>431.03403290353873</x:v>
      </x:c>
      <x:c r="Z2481" s="80" t="n">
        <x:f>K2481*'Inputs'!$B$16+(G2481+R2481)*J2481*'Inputs'!$B$16</x:f>
        <x:v>2.599010157489395</x:v>
      </x:c>
      <x:c r="AA2481" s="80" t="n">
        <x:f>K2481*(1+'Inputs'!$E$50)/2*'Inputs'!$B$17</x:f>
        <x:v>0.8701218921194896</x:v>
      </x:c>
      <x:c r="AB2481" s="78" t="n">
        <x:f>(IF(J2481&gt;0,K2481*(1-'Inputs'!$E$50)/2/J2481,0)+G2481+R2481)*'Inputs'!$B$17</x:f>
        <x:v>543558.0377597851</x:v>
      </x:c>
      <x:c r="AC2481" s="78" t="n">
        <x:f>AC2480+AB2481</x:f>
        <x:v>79331888.4637261</x:v>
      </x:c>
      <x:c r="AD2481" s="80" t="n">
        <x:f>Z2481/(1+'Inputs'!$C$50)</x:f>
        <x:v>1.2995050787446976</x:v>
      </x:c>
      <x:c r="AE2481" s="80" t="n">
        <x:f>Z2481-AD2481</x:f>
        <x:v>1.2995050787446976</x:v>
      </x:c>
      <x:c r="AF2481" s="80" t="n">
        <x:f>D2481*W2481</x:f>
        <x:v>0.42295137045487446</x:v>
      </x:c>
      <x:c r="AG2481" s="80" t="n">
        <x:f>C2481*W2481</x:f>
        <x:v>0.9868865310613579</x:v>
      </x:c>
      <x:c r="AH2481" s="80" t="n">
        <x:f>2*'Inputs'!$B$8*'Inputs'!$C$50</x:f>
        <x:v>5000</x:v>
      </x:c>
      <x:c r="AI2481" s="81" t="n">
        <x:f>IF(AH2481&gt;0,(AE2481+AF2481)/AH2481*365,0)</x:f>
        <x:v>0.12573932079156874</x:v>
      </x:c>
      <x:c r="AJ2481" s="81" t="n">
        <x:f>IF('Inputs'!$B$50&gt;0,AG2481/('Inputs'!$B$19*'Inputs'!$B$50)*365,0)</x:f>
        <x:v>0.036021358383739564</x:v>
      </x:c>
      <x:c r="AK2481" s="81" t="n">
        <x:f>W2481/MAX($W$2194:W2481)-1</x:f>
        <x:v>-0.998106792381032</x:v>
      </x:c>
      <x:c r="AL2481" s="83" t="n">
        <x:f>'Inputs'!$B$50</x:f>
        <x:v>1</x:v>
      </x:c>
      <x:c r="AM2481" s="83" t="n">
        <x:f>'Inputs'!$C$50</x:f>
        <x:v>1</x:v>
      </x:c>
      <x:c r="AN2481" s="83" t="n">
        <x:f>'Inputs'!$D$50</x:f>
        <x:v>1</x:v>
      </x:c>
      <x:c r="AO2481" s="81" t="n">
        <x:f>'Inputs'!$E$50</x:f>
        <x:v>0</x:v>
      </x:c>
    </x:row>
    <x:row r="2482">
      <x:c r="A2482" s="59" t="str">
        <x:v>Whale exit</x:v>
      </x:c>
      <x:c r="B2482" s="59" t="n">
        <x:v>289</x:v>
      </x:c>
      <x:c r="C2482" s="78" t="n">
        <x:f>(('Inputs'!$B$29*(3*289*'Inputs'!$B$12-289^2)/(2*'Inputs'!$B$12^2))-('Inputs'!$B$29*(3*288*'Inputs'!$B$12-288^2)/(2*'Inputs'!$B$12^2)))*'Inputs'!$B$50</x:f>
        <x:v>618192.6721711457</x:v>
      </x:c>
      <x:c r="D2482" s="78" t="n">
        <x:f>IF('Inputs'!$C$50&gt;0,('Inputs'!$B$30*(3*289*'Inputs'!$B$12-289^2)/(2*'Inputs'!$B$12^2))-('Inputs'!$B$30*(3*288*'Inputs'!$B$12-288^2)/(2*'Inputs'!$B$12^2)),0)</x:f>
        <x:v>264939.71664477885</x:v>
      </x:c>
      <x:c r="E2482" s="78" t="n">
        <x:f>C2482+D2482</x:f>
        <x:v>883132.3888159245</x:v>
      </x:c>
      <x:c r="F2482" s="78" t="n">
        <x:f>'Inputs'!$B$13*E2482+(1-'Inputs'!$B$13)/'Inputs'!$B$14*SUM(E2427:E2482)</x:f>
        <x:v>893350.065678366</x:v>
      </x:c>
      <x:c r="G2482" s="78" t="n">
        <x:f>F2482*'Inputs'!$F$50</x:f>
        <x:v>446675.032839183</x:v>
      </x:c>
      <x:c r="H2482" s="78" t="n">
        <x:f>U2481</x:f>
        <x:v>135072373.96377838</x:v>
      </x:c>
      <x:c r="I2482" s="78" t="n">
        <x:f>V2481</x:f>
        <x:v>215.51701645176936</x:v>
      </x:c>
      <x:c r="J2482" s="79" t="n">
        <x:f>IF(H2482&gt;0,I2482/H2482,0)</x:f>
        <x:v>0.0000015955669551611153</x:v>
      </x:c>
      <x:c r="K2482" s="80" t="n">
        <x:f>(H2482*J2482+I2482)*'Inputs'!$D$50*(1+'Inputs'!$G$50)^(B2482/30)</x:f>
        <x:v>431.03403290353873</x:v>
      </x:c>
      <x:c r="L2482" s="80" t="n">
        <x:f>MAX(0,K2482*'Inputs'!$E$50)</x:f>
        <x:v>0</x:v>
      </x:c>
      <x:c r="M2482" s="80" t="n">
        <x:f>MAX(0,-K2482*'Inputs'!$E$50)</x:f>
        <x:v>0</x:v>
      </x:c>
      <x:c r="N2482" s="78" t="n">
        <x:f>H2482*(L2482*(1-'Inputs'!$B$15))/(I2482+L2482*(1-'Inputs'!$B$15))</x:f>
        <x:v>0</x:v>
      </x:c>
      <x:c r="O2482" s="78" t="n">
        <x:f>H2482-N2482</x:f>
        <x:v>135072373.96377838</x:v>
      </x:c>
      <x:c r="P2482" s="78" t="n">
        <x:f>I2482+L2482*(1-'Inputs'!$B$17)</x:f>
        <x:v>215.51701645176936</x:v>
      </x:c>
      <x:c r="Q2482" s="78" t="n">
        <x:f>IF(J2482&gt;0,M2482/J2482,0)</x:f>
        <x:v>0</x:v>
      </x:c>
      <x:c r="R2482" s="78" t="n">
        <x:f>IF(B2482='Inputs'!$H$50,'Inputs'!$B$27*'Inputs'!$I$50,0)</x:f>
        <x:v>0</x:v>
      </x:c>
      <x:c r="S2482" s="78" t="n">
        <x:f>Q2482+G2482+R2482</x:f>
        <x:v>446675.032839183</x:v>
      </x:c>
      <x:c r="T2482" s="78" t="n">
        <x:f>P2482*(S2482*(1-'Inputs'!$B$15))/(O2482+S2482*(1-'Inputs'!$B$15))</x:f>
        <x:v>0.7032705124218953</x:v>
      </x:c>
      <x:c r="U2482" s="78" t="n">
        <x:f>O2482+S2482*(1-'Inputs'!$B$17)</x:f>
        <x:v>135517251.51157597</x:v>
      </x:c>
      <x:c r="V2482" s="78" t="n">
        <x:f>P2482-T2482</x:f>
        <x:v>214.81374593934746</x:v>
      </x:c>
      <x:c r="W2482" s="79" t="n">
        <x:f>IF(U2482&gt;0,V2482/U2482,0)</x:f>
        <x:v>0.0000015851394825624688</x:v>
      </x:c>
      <x:c r="X2482" s="80" t="n">
        <x:f>W2482*('Inputs'!$B$6-AC2482)</x:f>
        <x:v>1458.5229208329624</x:v>
      </x:c>
      <x:c r="Y2482" s="80" t="n">
        <x:f>2*V2482</x:f>
        <x:v>429.6274918786949</x:v>
      </x:c>
      <x:c r="Z2482" s="80" t="n">
        <x:f>K2482*'Inputs'!$B$16+(G2482+R2482)*J2482*'Inputs'!$B$16</x:f>
        <x:v>2.590480396953795</x:v>
      </x:c>
      <x:c r="AA2482" s="80" t="n">
        <x:f>K2482*(1+'Inputs'!$E$50)/2*'Inputs'!$B$17</x:f>
        <x:v>0.8672716959829754</x:v>
      </x:c>
      <x:c r="AB2482" s="78" t="n">
        <x:f>(IF(J2482&gt;0,K2482*(1-'Inputs'!$E$50)/2/J2482,0)+G2482+R2482)*'Inputs'!$B$17</x:f>
        <x:v>545348.2857006743</x:v>
      </x:c>
      <x:c r="AC2482" s="78" t="n">
        <x:f>AC2481+AB2482</x:f>
        <x:v>79877236.74942678</x:v>
      </x:c>
      <x:c r="AD2482" s="80" t="n">
        <x:f>Z2482/(1+'Inputs'!$C$50)</x:f>
        <x:v>1.2952401984768975</x:v>
      </x:c>
      <x:c r="AE2482" s="80" t="n">
        <x:f>Z2482-AD2482</x:f>
        <x:v>1.2952401984768975</x:v>
      </x:c>
      <x:c r="AF2482" s="80" t="n">
        <x:f>D2482*W2482</x:f>
        <x:v>0.41996640535255186</x:v>
      </x:c>
      <x:c r="AG2482" s="80" t="n">
        <x:f>C2482*W2482</x:f>
        <x:v>0.9799216124892798</x:v>
      </x:c>
      <x:c r="AH2482" s="80" t="n">
        <x:f>2*'Inputs'!$B$8*'Inputs'!$C$50</x:f>
        <x:v>5000</x:v>
      </x:c>
      <x:c r="AI2482" s="81" t="n">
        <x:f>IF(AH2482&gt;0,(AE2482+AF2482)/AH2482*365,0)</x:f>
        <x:v>0.12521008207954978</x:v>
      </x:c>
      <x:c r="AJ2482" s="81" t="n">
        <x:f>IF('Inputs'!$B$50&gt;0,AG2482/('Inputs'!$B$19*'Inputs'!$B$50)*365,0)</x:f>
        <x:v>0.035767138855858714</x:v>
      </x:c>
      <x:c r="AK2482" s="81" t="n">
        <x:f>W2482/MAX($W$2194:W2482)-1</x:f>
        <x:v>-0.9981191650179223</x:v>
      </x:c>
      <x:c r="AL2482" s="83" t="n">
        <x:f>'Inputs'!$B$50</x:f>
        <x:v>1</x:v>
      </x:c>
      <x:c r="AM2482" s="83" t="n">
        <x:f>'Inputs'!$C$50</x:f>
        <x:v>1</x:v>
      </x:c>
      <x:c r="AN2482" s="83" t="n">
        <x:f>'Inputs'!$D$50</x:f>
        <x:v>1</x:v>
      </x:c>
      <x:c r="AO2482" s="81" t="n">
        <x:f>'Inputs'!$E$50</x:f>
        <x:v>0</x:v>
      </x:c>
    </x:row>
    <x:row r="2483">
      <x:c r="A2483" s="59" t="str">
        <x:v>Whale exit</x:v>
      </x:c>
      <x:c r="B2483" s="59" t="n">
        <x:v>290</x:v>
      </x:c>
      <x:c r="C2483" s="78" t="n">
        <x:f>(('Inputs'!$B$29*(3*290*'Inputs'!$B$12-290^2)/(2*'Inputs'!$B$12^2))-('Inputs'!$B$29*(3*289*'Inputs'!$B$12-289^2)/(2*'Inputs'!$B$12^2)))*'Inputs'!$B$50</x:f>
        <x:v>617867.5642709732</x:v>
      </x:c>
      <x:c r="D2483" s="78" t="n">
        <x:f>IF('Inputs'!$C$50&gt;0,('Inputs'!$B$30*(3*290*'Inputs'!$B$12-290^2)/(2*'Inputs'!$B$12^2))-('Inputs'!$B$30*(3*289*'Inputs'!$B$12-289^2)/(2*'Inputs'!$B$12^2)),0)</x:f>
        <x:v>264800.3846875578</x:v>
      </x:c>
      <x:c r="E2483" s="78" t="n">
        <x:f>C2483+D2483</x:f>
        <x:v>882667.948958531</x:v>
      </x:c>
      <x:c r="F2483" s="78" t="n">
        <x:f>'Inputs'!$B$13*E2483+(1-'Inputs'!$B$13)/'Inputs'!$B$14*SUM(E2428:E2483)</x:f>
        <x:v>892885.6258209802</x:v>
      </x:c>
      <x:c r="G2483" s="78" t="n">
        <x:f>F2483*'Inputs'!$F$50</x:f>
        <x:v>446442.8129104901</x:v>
      </x:c>
      <x:c r="H2483" s="78" t="n">
        <x:f>U2482</x:f>
        <x:v>135517251.51157597</x:v>
      </x:c>
      <x:c r="I2483" s="78" t="n">
        <x:f>V2482</x:f>
        <x:v>214.81374593934746</x:v>
      </x:c>
      <x:c r="J2483" s="79" t="n">
        <x:f>IF(H2483&gt;0,I2483/H2483,0)</x:f>
        <x:v>0.0000015851394825624688</x:v>
      </x:c>
      <x:c r="K2483" s="80" t="n">
        <x:f>(H2483*J2483+I2483)*'Inputs'!$D$50*(1+'Inputs'!$G$50)^(B2483/30)</x:f>
        <x:v>429.6274918786949</x:v>
      </x:c>
      <x:c r="L2483" s="80" t="n">
        <x:f>MAX(0,K2483*'Inputs'!$E$50)</x:f>
        <x:v>0</x:v>
      </x:c>
      <x:c r="M2483" s="80" t="n">
        <x:f>MAX(0,-K2483*'Inputs'!$E$50)</x:f>
        <x:v>0</x:v>
      </x:c>
      <x:c r="N2483" s="78" t="n">
        <x:f>H2483*(L2483*(1-'Inputs'!$B$15))/(I2483+L2483*(1-'Inputs'!$B$15))</x:f>
        <x:v>0</x:v>
      </x:c>
      <x:c r="O2483" s="78" t="n">
        <x:f>H2483-N2483</x:f>
        <x:v>135517251.51157597</x:v>
      </x:c>
      <x:c r="P2483" s="78" t="n">
        <x:f>I2483+L2483*(1-'Inputs'!$B$17)</x:f>
        <x:v>214.81374593934746</x:v>
      </x:c>
      <x:c r="Q2483" s="78" t="n">
        <x:f>IF(J2483&gt;0,M2483/J2483,0)</x:f>
        <x:v>0</x:v>
      </x:c>
      <x:c r="R2483" s="78" t="n">
        <x:f>IF(B2483='Inputs'!$H$50,'Inputs'!$B$27*'Inputs'!$I$50,0)</x:f>
        <x:v>0</x:v>
      </x:c>
      <x:c r="S2483" s="78" t="n">
        <x:f>Q2483+G2483+R2483</x:f>
        <x:v>446442.8129104901</x:v>
      </x:c>
      <x:c r="T2483" s="78" t="n">
        <x:f>P2483*(S2483*(1-'Inputs'!$B$15))/(O2483+S2483*(1-'Inputs'!$B$15))</x:f>
        <x:v>0.6983198752411833</x:v>
      </x:c>
      <x:c r="U2483" s="78" t="n">
        <x:f>O2483+S2483*(1-'Inputs'!$B$17)</x:f>
        <x:v>135961897.77393147</x:v>
      </x:c>
      <x:c r="V2483" s="78" t="n">
        <x:f>P2483-T2483</x:f>
        <x:v>214.11542606410626</x:v>
      </x:c>
      <x:c r="W2483" s="79" t="n">
        <x:f>IF(U2483&gt;0,V2483/U2483,0)</x:f>
        <x:v>0.0000015748193396073608</x:v>
      </x:c>
      <x:c r="X2483" s="80" t="n">
        <x:f>W2483*('Inputs'!$B$6-AC2483)</x:f>
        <x:v>1448.1654795014701</x:v>
      </x:c>
      <x:c r="Y2483" s="80" t="n">
        <x:f>2*V2483</x:f>
        <x:v>428.2308521282125</x:v>
      </x:c>
      <x:c r="Z2483" s="80" t="n">
        <x:f>K2483*'Inputs'!$B$16+(G2483+R2483)*J2483*'Inputs'!$B$16</x:f>
        <x:v>2.5820109960488735</x:v>
      </x:c>
      <x:c r="AA2483" s="80" t="n">
        <x:f>K2483*(1+'Inputs'!$E$50)/2*'Inputs'!$B$17</x:f>
        <x:v>0.8644416335587424</x:v>
      </x:c>
      <x:c r="AB2483" s="78" t="n">
        <x:f>(IF(J2483&gt;0,K2483*(1-'Inputs'!$E$50)/2/J2483,0)+G2483+R2483)*'Inputs'!$B$17</x:f>
        <x:v>547137.6029154386</x:v>
      </x:c>
      <x:c r="AC2483" s="78" t="n">
        <x:f>AC2482+AB2483</x:f>
        <x:v>80424374.35234222</x:v>
      </x:c>
      <x:c r="AD2483" s="80" t="n">
        <x:f>Z2483/(1+'Inputs'!$C$50)</x:f>
        <x:v>1.2910054980244368</x:v>
      </x:c>
      <x:c r="AE2483" s="80" t="n">
        <x:f>Z2483-AD2483</x:f>
        <x:v>1.2910054980244368</x:v>
      </x:c>
      <x:c r="AF2483" s="80" t="n">
        <x:f>D2483*W2483</x:f>
        <x:v>0.4170127669414349</x:v>
      </x:c>
      <x:c r="AG2483" s="80" t="n">
        <x:f>C2483*W2483</x:f>
        <x:v>0.9730297895300226</x:v>
      </x:c>
      <x:c r="AH2483" s="80" t="n">
        <x:f>2*'Inputs'!$B$8*'Inputs'!$C$50</x:f>
        <x:v>5000</x:v>
      </x:c>
      <x:c r="AI2483" s="81" t="n">
        <x:f>IF(AH2483&gt;0,(AE2483+AF2483)/AH2483*365,0)</x:f>
        <x:v>0.12468533334250864</x:v>
      </x:c>
      <x:c r="AJ2483" s="81" t="n">
        <x:f>IF('Inputs'!$B$50&gt;0,AG2483/('Inputs'!$B$19*'Inputs'!$B$50)*365,0)</x:f>
        <x:v>0.03551558731784583</x:v>
      </x:c>
      <x:c r="AK2483" s="81" t="n">
        <x:f>W2483/MAX($W$2194:W2483)-1</x:f>
        <x:v>-0.9981314103036548</x:v>
      </x:c>
      <x:c r="AL2483" s="83" t="n">
        <x:f>'Inputs'!$B$50</x:f>
        <x:v>1</x:v>
      </x:c>
      <x:c r="AM2483" s="83" t="n">
        <x:f>'Inputs'!$C$50</x:f>
        <x:v>1</x:v>
      </x:c>
      <x:c r="AN2483" s="83" t="n">
        <x:f>'Inputs'!$D$50</x:f>
        <x:v>1</x:v>
      </x:c>
      <x:c r="AO2483" s="81" t="n">
        <x:f>'Inputs'!$E$50</x:f>
        <x:v>0</x:v>
      </x:c>
    </x:row>
    <x:row r="2484">
      <x:c r="A2484" s="59" t="str">
        <x:v>Whale exit</x:v>
      </x:c>
      <x:c r="B2484" s="59" t="n">
        <x:v>291</x:v>
      </x:c>
      <x:c r="C2484" s="78" t="n">
        <x:f>(('Inputs'!$B$29*(3*291*'Inputs'!$B$12-291^2)/(2*'Inputs'!$B$12^2))-('Inputs'!$B$29*(3*290*'Inputs'!$B$12-290^2)/(2*'Inputs'!$B$12^2)))*'Inputs'!$B$50</x:f>
        <x:v>617542.4563708007</x:v>
      </x:c>
      <x:c r="D2484" s="78" t="n">
        <x:f>IF('Inputs'!$C$50&gt;0,('Inputs'!$B$30*(3*291*'Inputs'!$B$12-291^2)/(2*'Inputs'!$B$12^2))-('Inputs'!$B$30*(3*290*'Inputs'!$B$12-290^2)/(2*'Inputs'!$B$12^2)),0)</x:f>
        <x:v>264661.0527303368</x:v>
      </x:c>
      <x:c r="E2484" s="78" t="n">
        <x:f>C2484+D2484</x:f>
        <x:v>882203.5091011375</x:v>
      </x:c>
      <x:c r="F2484" s="78" t="n">
        <x:f>'Inputs'!$B$13*E2484+(1-'Inputs'!$B$13)/'Inputs'!$B$14*SUM(E2429:E2484)</x:f>
        <x:v>892421.1859635941</x:v>
      </x:c>
      <x:c r="G2484" s="78" t="n">
        <x:f>F2484*'Inputs'!$F$50</x:f>
        <x:v>446210.59298179706</x:v>
      </x:c>
      <x:c r="H2484" s="78" t="n">
        <x:f>U2483</x:f>
        <x:v>135961897.77393147</x:v>
      </x:c>
      <x:c r="I2484" s="78" t="n">
        <x:f>V2483</x:f>
        <x:v>214.11542606410626</x:v>
      </x:c>
      <x:c r="J2484" s="79" t="n">
        <x:f>IF(H2484&gt;0,I2484/H2484,0)</x:f>
        <x:v>0.0000015748193396073608</x:v>
      </x:c>
      <x:c r="K2484" s="80" t="n">
        <x:f>(H2484*J2484+I2484)*'Inputs'!$D$50*(1+'Inputs'!$G$50)^(B2484/30)</x:f>
        <x:v>428.2308521282125</x:v>
      </x:c>
      <x:c r="L2484" s="80" t="n">
        <x:f>MAX(0,K2484*'Inputs'!$E$50)</x:f>
        <x:v>0</x:v>
      </x:c>
      <x:c r="M2484" s="80" t="n">
        <x:f>MAX(0,-K2484*'Inputs'!$E$50)</x:f>
        <x:v>0</x:v>
      </x:c>
      <x:c r="N2484" s="78" t="n">
        <x:f>H2484*(L2484*(1-'Inputs'!$B$15))/(I2484+L2484*(1-'Inputs'!$B$15))</x:f>
        <x:v>0</x:v>
      </x:c>
      <x:c r="O2484" s="78" t="n">
        <x:f>H2484-N2484</x:f>
        <x:v>135961897.77393147</x:v>
      </x:c>
      <x:c r="P2484" s="78" t="n">
        <x:f>I2484+L2484*(1-'Inputs'!$B$17)</x:f>
        <x:v>214.11542606410626</x:v>
      </x:c>
      <x:c r="Q2484" s="78" t="n">
        <x:f>IF(J2484&gt;0,M2484/J2484,0)</x:f>
        <x:v>0</x:v>
      </x:c>
      <x:c r="R2484" s="78" t="n">
        <x:f>IF(B2484='Inputs'!$H$50,'Inputs'!$B$27*'Inputs'!$I$50,0)</x:f>
        <x:v>0</x:v>
      </x:c>
      <x:c r="S2484" s="78" t="n">
        <x:f>Q2484+G2484+R2484</x:f>
        <x:v>446210.59298179706</x:v>
      </x:c>
      <x:c r="T2484" s="78" t="n">
        <x:f>P2484*(S2484*(1-'Inputs'!$B$15))/(O2484+S2484*(1-'Inputs'!$B$15))</x:f>
        <x:v>0.6934210932846868</x:v>
      </x:c>
      <x:c r="U2484" s="78" t="n">
        <x:f>O2484+S2484*(1-'Inputs'!$B$17)</x:f>
        <x:v>136406312.75084493</x:v>
      </x:c>
      <x:c r="V2484" s="78" t="n">
        <x:f>P2484-T2484</x:f>
        <x:v>213.42200497082158</x:v>
      </x:c>
      <x:c r="W2484" s="79" t="n">
        <x:f>IF(U2484&gt;0,V2484/U2484,0)</x:f>
        <x:v>0.000001564605044054309</x:v>
      </x:c>
      <x:c r="X2484" s="80" t="n">
        <x:f>W2484*('Inputs'!$B$6-AC2484)</x:f>
        <x:v>1437.913809905888</x:v>
      </x:c>
      <x:c r="Y2484" s="80" t="n">
        <x:f>2*V2484</x:f>
        <x:v>426.84400994164315</x:v>
      </x:c>
      <x:c r="Z2484" s="80" t="n">
        <x:f>K2484*'Inputs'!$B$16+(G2484+R2484)*J2484*'Inputs'!$B$16</x:f>
        <x:v>2.5736013191974676</x:v>
      </x:c>
      <x:c r="AA2484" s="80" t="n">
        <x:f>K2484*(1+'Inputs'!$E$50)/2*'Inputs'!$B$17</x:f>
        <x:v>0.8616314932157194</x:v>
      </x:c>
      <x:c r="AB2484" s="78" t="n">
        <x:f>(IF(J2484&gt;0,K2484*(1-'Inputs'!$E$50)/2/J2484,0)+G2484+R2484)*'Inputs'!$B$17</x:f>
        <x:v>548925.9894040775</x:v>
      </x:c>
      <x:c r="AC2484" s="78" t="n">
        <x:f>AC2483+AB2484</x:f>
        <x:v>80973300.3417463</x:v>
      </x:c>
      <x:c r="AD2484" s="80" t="n">
        <x:f>Z2484/(1+'Inputs'!$C$50)</x:f>
        <x:v>1.2868006595987338</x:v>
      </x:c>
      <x:c r="AE2484" s="80" t="n">
        <x:f>Z2484-AD2484</x:f>
        <x:v>1.2868006595987338</x:v>
      </x:c>
      <x:c r="AF2484" s="80" t="n">
        <x:f>D2484*W2484</x:f>
        <x:v>0.41409001806660833</x:v>
      </x:c>
      <x:c r="AG2484" s="80" t="n">
        <x:f>C2484*W2484</x:f>
        <x:v>0.9662100421554428</x:v>
      </x:c>
      <x:c r="AH2484" s="80" t="n">
        <x:f>2*'Inputs'!$B$8*'Inputs'!$C$50</x:f>
        <x:v>5000</x:v>
      </x:c>
      <x:c r="AI2484" s="81" t="n">
        <x:f>IF(AH2484&gt;0,(AE2484+AF2484)/AH2484*365,0)</x:f>
        <x:v>0.12416501946956997</x:v>
      </x:c>
      <x:c r="AJ2484" s="81" t="n">
        <x:f>IF('Inputs'!$B$50&gt;0,AG2484/('Inputs'!$B$19*'Inputs'!$B$50)*365,0)</x:f>
        <x:v>0.03526666653867366</x:v>
      </x:c>
      <x:c r="AK2484" s="81" t="n">
        <x:f>W2484/MAX($W$2194:W2484)-1</x:f>
        <x:v>-0.998143529996972</x:v>
      </x:c>
      <x:c r="AL2484" s="83" t="n">
        <x:f>'Inputs'!$B$50</x:f>
        <x:v>1</x:v>
      </x:c>
      <x:c r="AM2484" s="83" t="n">
        <x:f>'Inputs'!$C$50</x:f>
        <x:v>1</x:v>
      </x:c>
      <x:c r="AN2484" s="83" t="n">
        <x:f>'Inputs'!$D$50</x:f>
        <x:v>1</x:v>
      </x:c>
      <x:c r="AO2484" s="81" t="n">
        <x:f>'Inputs'!$E$50</x:f>
        <x:v>0</x:v>
      </x:c>
    </x:row>
    <x:row r="2485">
      <x:c r="A2485" s="59" t="str">
        <x:v>Whale exit</x:v>
      </x:c>
      <x:c r="B2485" s="59" t="n">
        <x:v>292</x:v>
      </x:c>
      <x:c r="C2485" s="78" t="n">
        <x:f>(('Inputs'!$B$29*(3*292*'Inputs'!$B$12-292^2)/(2*'Inputs'!$B$12^2))-('Inputs'!$B$29*(3*291*'Inputs'!$B$12-291^2)/(2*'Inputs'!$B$12^2)))*'Inputs'!$B$50</x:f>
        <x:v>617217.3484706283</x:v>
      </x:c>
      <x:c r="D2485" s="78" t="n">
        <x:f>IF('Inputs'!$C$50&gt;0,('Inputs'!$B$30*(3*292*'Inputs'!$B$12-292^2)/(2*'Inputs'!$B$12^2))-('Inputs'!$B$30*(3*291*'Inputs'!$B$12-291^2)/(2*'Inputs'!$B$12^2)),0)</x:f>
        <x:v>264521.72077313066</x:v>
      </x:c>
      <x:c r="E2485" s="78" t="n">
        <x:f>C2485+D2485</x:f>
        <x:v>881739.0692437589</x:v>
      </x:c>
      <x:c r="F2485" s="78" t="n">
        <x:f>'Inputs'!$B$13*E2485+(1-'Inputs'!$B$13)/'Inputs'!$B$14*SUM(E2430:E2485)</x:f>
        <x:v>891956.7461062113</x:v>
      </x:c>
      <x:c r="G2485" s="78" t="n">
        <x:f>F2485*'Inputs'!$F$50</x:f>
        <x:v>445978.37305310566</x:v>
      </x:c>
      <x:c r="H2485" s="78" t="n">
        <x:f>U2484</x:f>
        <x:v>136406312.75084493</x:v>
      </x:c>
      <x:c r="I2485" s="78" t="n">
        <x:f>V2484</x:f>
        <x:v>213.42200497082158</x:v>
      </x:c>
      <x:c r="J2485" s="79" t="n">
        <x:f>IF(H2485&gt;0,I2485/H2485,0)</x:f>
        <x:v>0.000001564605044054309</x:v>
      </x:c>
      <x:c r="K2485" s="80" t="n">
        <x:f>(H2485*J2485+I2485)*'Inputs'!$D$50*(1+'Inputs'!$G$50)^(B2485/30)</x:f>
        <x:v>426.84400994164315</x:v>
      </x:c>
      <x:c r="L2485" s="80" t="n">
        <x:f>MAX(0,K2485*'Inputs'!$E$50)</x:f>
        <x:v>0</x:v>
      </x:c>
      <x:c r="M2485" s="80" t="n">
        <x:f>MAX(0,-K2485*'Inputs'!$E$50)</x:f>
        <x:v>0</x:v>
      </x:c>
      <x:c r="N2485" s="78" t="n">
        <x:f>H2485*(L2485*(1-'Inputs'!$B$15))/(I2485+L2485*(1-'Inputs'!$B$15))</x:f>
        <x:v>0</x:v>
      </x:c>
      <x:c r="O2485" s="78" t="n">
        <x:f>H2485-N2485</x:f>
        <x:v>136406312.75084493</x:v>
      </x:c>
      <x:c r="P2485" s="78" t="n">
        <x:f>I2485+L2485*(1-'Inputs'!$B$17)</x:f>
        <x:v>213.42200497082158</x:v>
      </x:c>
      <x:c r="Q2485" s="78" t="n">
        <x:f>IF(J2485&gt;0,M2485/J2485,0)</x:f>
        <x:v>0</x:v>
      </x:c>
      <x:c r="R2485" s="78" t="n">
        <x:f>IF(B2485='Inputs'!$H$50,'Inputs'!$B$27*'Inputs'!$I$50,0)</x:f>
        <x:v>0</x:v>
      </x:c>
      <x:c r="S2485" s="78" t="n">
        <x:f>Q2485+G2485+R2485</x:f>
        <x:v>445978.37305310566</x:v>
      </x:c>
      <x:c r="T2485" s="78" t="n">
        <x:f>P2485*(S2485*(1-'Inputs'!$B$15))/(O2485+S2485*(1-'Inputs'!$B$15))</x:f>
        <x:v>0.6885734442578221</x:v>
      </x:c>
      <x:c r="U2485" s="78" t="n">
        <x:f>O2485+S2485*(1-'Inputs'!$B$17)</x:f>
        <x:v>136850496.44231632</x:v>
      </x:c>
      <x:c r="V2485" s="78" t="n">
        <x:f>P2485-T2485</x:f>
        <x:v>212.73343152656375</x:v>
      </x:c>
      <x:c r="W2485" s="79" t="n">
        <x:f>IF(U2485&gt;0,V2485/U2485,0)</x:f>
        <x:v>0.0000015544951392721673</x:v>
      </x:c>
      <x:c r="X2485" s="80" t="n">
        <x:f>W2485*('Inputs'!$B$6-AC2485)</x:f>
        <x:v>1427.766456106454</x:v>
      </x:c>
      <x:c r="Y2485" s="80" t="n">
        <x:f>2*V2485</x:f>
        <x:v>425.4668630531275</x:v>
      </x:c>
      <x:c r="Z2485" s="80" t="n">
        <x:f>K2485*'Inputs'!$B$16+(G2485+R2485)*J2485*'Inputs'!$B$16</x:f>
        <x:v>2.565250739721967</x:v>
      </x:c>
      <x:c r="AA2485" s="80" t="n">
        <x:f>K2485*(1+'Inputs'!$E$50)/2*'Inputs'!$B$17</x:f>
        <x:v>0.8588410662809722</x:v>
      </x:c>
      <x:c r="AB2485" s="78" t="n">
        <x:f>(IF(J2485&gt;0,K2485*(1-'Inputs'!$E$50)/2/J2485,0)+G2485+R2485)*'Inputs'!$B$17</x:f>
        <x:v>550713.4451665917</x:v>
      </x:c>
      <x:c r="AC2485" s="78" t="n">
        <x:f>AC2484+AB2485</x:f>
        <x:v>81524013.78691289</x:v>
      </x:c>
      <x:c r="AD2485" s="80" t="n">
        <x:f>Z2485/(1+'Inputs'!$C$50)</x:f>
        <x:v>1.2826253698609835</x:v>
      </x:c>
      <x:c r="AE2485" s="80" t="n">
        <x:f>Z2485-AD2485</x:f>
        <x:v>1.2826253698609835</x:v>
      </x:c>
      <x:c r="AF2485" s="80" t="n">
        <x:f>D2485*W2485</x:f>
        <x:v>0.4111977291737411</x:v>
      </x:c>
      <x:c r="AG2485" s="80" t="n">
        <x:f>C2485*W2485</x:f>
        <x:v>0.9594613680720471</x:v>
      </x:c>
      <x:c r="AH2485" s="80" t="n">
        <x:f>2*'Inputs'!$B$8*'Inputs'!$C$50</x:f>
        <x:v>5000</x:v>
      </x:c>
      <x:c r="AI2485" s="81" t="n">
        <x:f>IF(AH2485&gt;0,(AE2485+AF2485)/AH2485*365,0)</x:f>
        <x:v>0.12364908622953488</x:v>
      </x:c>
      <x:c r="AJ2485" s="81" t="n">
        <x:f>IF('Inputs'!$B$50&gt;0,AG2485/('Inputs'!$B$19*'Inputs'!$B$50)*365,0)</x:f>
        <x:v>0.03502033993462972</x:v>
      </x:c>
      <x:c r="AK2485" s="81" t="n">
        <x:f>W2485/MAX($W$2194:W2485)-1</x:f>
        <x:v>-0.9981555258262279</x:v>
      </x:c>
      <x:c r="AL2485" s="83" t="n">
        <x:f>'Inputs'!$B$50</x:f>
        <x:v>1</x:v>
      </x:c>
      <x:c r="AM2485" s="83" t="n">
        <x:f>'Inputs'!$C$50</x:f>
        <x:v>1</x:v>
      </x:c>
      <x:c r="AN2485" s="83" t="n">
        <x:f>'Inputs'!$D$50</x:f>
        <x:v>1</x:v>
      </x:c>
      <x:c r="AO2485" s="81" t="n">
        <x:f>'Inputs'!$E$50</x:f>
        <x:v>0</x:v>
      </x:c>
    </x:row>
    <x:row r="2486">
      <x:c r="A2486" s="59" t="str">
        <x:v>Whale exit</x:v>
      </x:c>
      <x:c r="B2486" s="59" t="n">
        <x:v>293</x:v>
      </x:c>
      <x:c r="C2486" s="78" t="n">
        <x:f>(('Inputs'!$B$29*(3*293*'Inputs'!$B$12-293^2)/(2*'Inputs'!$B$12^2))-('Inputs'!$B$29*(3*292*'Inputs'!$B$12-292^2)/(2*'Inputs'!$B$12^2)))*'Inputs'!$B$50</x:f>
        <x:v>616892.2405704558</x:v>
      </x:c>
      <x:c r="D2486" s="78" t="n">
        <x:f>IF('Inputs'!$C$50&gt;0,('Inputs'!$B$30*(3*293*'Inputs'!$B$12-293^2)/(2*'Inputs'!$B$12^2))-('Inputs'!$B$30*(3*292*'Inputs'!$B$12-292^2)/(2*'Inputs'!$B$12^2)),0)</x:f>
        <x:v>264382.3888159096</x:v>
      </x:c>
      <x:c r="E2486" s="78" t="n">
        <x:f>C2486+D2486</x:f>
        <x:v>881274.6293863654</x:v>
      </x:c>
      <x:c r="F2486" s="78" t="n">
        <x:f>'Inputs'!$B$13*E2486+(1-'Inputs'!$B$13)/'Inputs'!$B$14*SUM(E2431:E2486)</x:f>
        <x:v>891492.3062488248</x:v>
      </x:c>
      <x:c r="G2486" s="78" t="n">
        <x:f>F2486*'Inputs'!$F$50</x:f>
        <x:v>445746.1531244124</x:v>
      </x:c>
      <x:c r="H2486" s="78" t="n">
        <x:f>U2485</x:f>
        <x:v>136850496.44231632</x:v>
      </x:c>
      <x:c r="I2486" s="78" t="n">
        <x:f>V2485</x:f>
        <x:v>212.73343152656375</x:v>
      </x:c>
      <x:c r="J2486" s="79" t="n">
        <x:f>IF(H2486&gt;0,I2486/H2486,0)</x:f>
        <x:v>0.0000015544951392721673</x:v>
      </x:c>
      <x:c r="K2486" s="80" t="n">
        <x:f>(H2486*J2486+I2486)*'Inputs'!$D$50*(1+'Inputs'!$G$50)^(B2486/30)</x:f>
        <x:v>425.4668630531275</x:v>
      </x:c>
      <x:c r="L2486" s="80" t="n">
        <x:f>MAX(0,K2486*'Inputs'!$E$50)</x:f>
        <x:v>0</x:v>
      </x:c>
      <x:c r="M2486" s="80" t="n">
        <x:f>MAX(0,-K2486*'Inputs'!$E$50)</x:f>
        <x:v>0</x:v>
      </x:c>
      <x:c r="N2486" s="78" t="n">
        <x:f>H2486*(L2486*(1-'Inputs'!$B$15))/(I2486+L2486*(1-'Inputs'!$B$15))</x:f>
        <x:v>0</x:v>
      </x:c>
      <x:c r="O2486" s="78" t="n">
        <x:f>H2486-N2486</x:f>
        <x:v>136850496.44231632</x:v>
      </x:c>
      <x:c r="P2486" s="78" t="n">
        <x:f>I2486+L2486*(1-'Inputs'!$B$17)</x:f>
        <x:v>212.73343152656375</x:v>
      </x:c>
      <x:c r="Q2486" s="78" t="n">
        <x:f>IF(J2486&gt;0,M2486/J2486,0)</x:f>
        <x:v>0</x:v>
      </x:c>
      <x:c r="R2486" s="78" t="n">
        <x:f>IF(B2486='Inputs'!$H$50,'Inputs'!$B$27*'Inputs'!$I$50,0)</x:f>
        <x:v>0</x:v>
      </x:c>
      <x:c r="S2486" s="78" t="n">
        <x:f>Q2486+G2486+R2486</x:f>
        <x:v>445746.1531244124</x:v>
      </x:c>
      <x:c r="T2486" s="78" t="n">
        <x:f>P2486*(S2486*(1-'Inputs'!$B$15))/(O2486+S2486*(1-'Inputs'!$B$15))</x:f>
        <x:v>0.6837762184016913</x:v>
      </x:c>
      <x:c r="U2486" s="78" t="n">
        <x:f>O2486+S2486*(1-'Inputs'!$B$17)</x:f>
        <x:v>137294448.84834567</x:v>
      </x:c>
      <x:c r="V2486" s="78" t="n">
        <x:f>P2486-T2486</x:f>
        <x:v>212.04965530816204</x:v>
      </x:c>
      <x:c r="W2486" s="79" t="n">
        <x:f>IF(U2486&gt;0,V2486/U2486,0)</x:f>
        <x:v>0.0000015444881937097863</x:v>
      </x:c>
      <x:c r="X2486" s="80" t="n">
        <x:f>W2486*('Inputs'!$B$6-AC2486)</x:f>
        <x:v>1417.721987231062</x:v>
      </x:c>
      <x:c r="Y2486" s="80" t="n">
        <x:f>2*V2486</x:f>
        <x:v>424.0993106163241</x:v>
      </x:c>
      <x:c r="Z2486" s="80" t="n">
        <x:f>K2486*'Inputs'!$B$16+(G2486+R2486)*J2486*'Inputs'!$B$16</x:f>
        <x:v>2.5569586396890522</x:v>
      </x:c>
      <x:c r="AA2486" s="80" t="n">
        <x:f>K2486*(1+'Inputs'!$E$50)/2*'Inputs'!$B$17</x:f>
        <x:v>0.8560701469881842</x:v>
      </x:c>
      <x:c r="AB2486" s="78" t="n">
        <x:f>(IF(J2486&gt;0,K2486*(1-'Inputs'!$E$50)/2/J2486,0)+G2486+R2486)*'Inputs'!$B$17</x:f>
        <x:v>552499.9702029809</x:v>
      </x:c>
      <x:c r="AC2486" s="78" t="n">
        <x:f>AC2485+AB2486</x:f>
        <x:v>82076513.75711587</x:v>
      </x:c>
      <x:c r="AD2486" s="80" t="n">
        <x:f>Z2486/(1+'Inputs'!$C$50)</x:f>
        <x:v>1.2784793198445261</x:v>
      </x:c>
      <x:c r="AE2486" s="80" t="n">
        <x:f>Z2486-AD2486</x:f>
        <x:v>1.2784793198445261</x:v>
      </x:c>
      <x:c r="AF2486" s="80" t="n">
        <x:f>D2486*W2486</x:f>
        <x:v>0.40833547815096266</x:v>
      </x:c>
      <x:c r="AG2486" s="80" t="n">
        <x:f>C2486*W2486</x:f>
        <x:v>0.9527827823522462</x:v>
      </x:c>
      <x:c r="AH2486" s="80" t="n">
        <x:f>2*'Inputs'!$B$8*'Inputs'!$C$50</x:f>
        <x:v>5000</x:v>
      </x:c>
      <x:c r="AI2486" s="81" t="n">
        <x:f>IF(AH2486&gt;0,(AE2486+AF2486)/AH2486*365,0)</x:f>
        <x:v>0.12313748025367069</x:v>
      </x:c>
      <x:c r="AJ2486" s="81" t="n">
        <x:f>IF('Inputs'!$B$50&gt;0,AG2486/('Inputs'!$B$19*'Inputs'!$B$50)*365,0)</x:f>
        <x:v>0.034776571555856985</x:v>
      </x:c>
      <x:c r="AK2486" s="81" t="n">
        <x:f>W2486/MAX($W$2194:W2486)-1</x:f>
        <x:v>-0.9981673994900188</x:v>
      </x:c>
      <x:c r="AL2486" s="83" t="n">
        <x:f>'Inputs'!$B$50</x:f>
        <x:v>1</x:v>
      </x:c>
      <x:c r="AM2486" s="83" t="n">
        <x:f>'Inputs'!$C$50</x:f>
        <x:v>1</x:v>
      </x:c>
      <x:c r="AN2486" s="83" t="n">
        <x:f>'Inputs'!$D$50</x:f>
        <x:v>1</x:v>
      </x:c>
      <x:c r="AO2486" s="81" t="n">
        <x:f>'Inputs'!$E$50</x:f>
        <x:v>0</x:v>
      </x:c>
    </x:row>
    <x:row r="2487">
      <x:c r="A2487" s="59" t="str">
        <x:v>Whale exit</x:v>
      </x:c>
      <x:c r="B2487" s="59" t="n">
        <x:v>294</x:v>
      </x:c>
      <x:c r="C2487" s="78" t="n">
        <x:f>(('Inputs'!$B$29*(3*294*'Inputs'!$B$12-294^2)/(2*'Inputs'!$B$12^2))-('Inputs'!$B$29*(3*293*'Inputs'!$B$12-293^2)/(2*'Inputs'!$B$12^2)))*'Inputs'!$B$50</x:f>
        <x:v>616567.1326703131</x:v>
      </x:c>
      <x:c r="D2487" s="78" t="n">
        <x:f>IF('Inputs'!$C$50&gt;0,('Inputs'!$B$30*(3*294*'Inputs'!$B$12-294^2)/(2*'Inputs'!$B$12^2))-('Inputs'!$B$30*(3*293*'Inputs'!$B$12-293^2)/(2*'Inputs'!$B$12^2)),0)</x:f>
        <x:v>264243.0568587035</x:v>
      </x:c>
      <x:c r="E2487" s="78" t="n">
        <x:f>C2487+D2487</x:f>
        <x:v>880810.1895290166</x:v>
      </x:c>
      <x:c r="F2487" s="78" t="n">
        <x:f>'Inputs'!$B$13*E2487+(1-'Inputs'!$B$13)/'Inputs'!$B$14*SUM(E2432:E2487)</x:f>
        <x:v>891027.8663914481</x:v>
      </x:c>
      <x:c r="G2487" s="78" t="n">
        <x:f>F2487*'Inputs'!$F$50</x:f>
        <x:v>445513.93319572404</x:v>
      </x:c>
      <x:c r="H2487" s="78" t="n">
        <x:f>U2486</x:f>
        <x:v>137294448.84834567</x:v>
      </x:c>
      <x:c r="I2487" s="78" t="n">
        <x:f>V2486</x:f>
        <x:v>212.04965530816204</x:v>
      </x:c>
      <x:c r="J2487" s="79" t="n">
        <x:f>IF(H2487&gt;0,I2487/H2487,0)</x:f>
        <x:v>0.0000015444881937097863</x:v>
      </x:c>
      <x:c r="K2487" s="80" t="n">
        <x:f>(H2487*J2487+I2487)*'Inputs'!$D$50*(1+'Inputs'!$G$50)^(B2487/30)</x:f>
        <x:v>424.0993106163241</x:v>
      </x:c>
      <x:c r="L2487" s="80" t="n">
        <x:f>MAX(0,K2487*'Inputs'!$E$50)</x:f>
        <x:v>0</x:v>
      </x:c>
      <x:c r="M2487" s="80" t="n">
        <x:f>MAX(0,-K2487*'Inputs'!$E$50)</x:f>
        <x:v>0</x:v>
      </x:c>
      <x:c r="N2487" s="78" t="n">
        <x:f>H2487*(L2487*(1-'Inputs'!$B$15))/(I2487+L2487*(1-'Inputs'!$B$15))</x:f>
        <x:v>0</x:v>
      </x:c>
      <x:c r="O2487" s="78" t="n">
        <x:f>H2487-N2487</x:f>
        <x:v>137294448.84834567</x:v>
      </x:c>
      <x:c r="P2487" s="78" t="n">
        <x:f>I2487+L2487*(1-'Inputs'!$B$17)</x:f>
        <x:v>212.04965530816204</x:v>
      </x:c>
      <x:c r="Q2487" s="78" t="n">
        <x:f>IF(J2487&gt;0,M2487/J2487,0)</x:f>
        <x:v>0</x:v>
      </x:c>
      <x:c r="R2487" s="78" t="n">
        <x:f>IF(B2487='Inputs'!$H$50,'Inputs'!$B$27*'Inputs'!$I$50,0)</x:f>
        <x:v>0</x:v>
      </x:c>
      <x:c r="S2487" s="78" t="n">
        <x:f>Q2487+G2487+R2487</x:f>
        <x:v>445513.93319572404</x:v>
      </x:c>
      <x:c r="T2487" s="78" t="n">
        <x:f>P2487*(S2487*(1-'Inputs'!$B$15))/(O2487+S2487*(1-'Inputs'!$B$15))</x:f>
        <x:v>0.6790287182328867</x:v>
      </x:c>
      <x:c r="U2487" s="78" t="n">
        <x:f>O2487+S2487*(1-'Inputs'!$B$17)</x:f>
        <x:v>137738169.96893296</x:v>
      </x:c>
      <x:c r="V2487" s="78" t="n">
        <x:f>P2487-T2487</x:f>
        <x:v>211.37062658992915</x:v>
      </x:c>
      <x:c r="W2487" s="79" t="n">
        <x:f>IF(U2487&gt;0,V2487/U2487,0)</x:f>
        <x:v>0.0000015345828003784579</x:v>
      </x:c>
      <x:c r="X2487" s="80" t="n">
        <x:f>W2487*('Inputs'!$B$6-AC2487)</x:f>
        <x:v>1407.778996957962</x:v>
      </x:c>
      <x:c r="Y2487" s="80" t="n">
        <x:f>2*V2487</x:f>
        <x:v>422.7412531798583</x:v>
      </x:c>
      <x:c r="Z2487" s="80" t="n">
        <x:f>K2487*'Inputs'!$B$16+(G2487+R2487)*J2487*'Inputs'!$B$16</x:f>
        <x:v>2.5487244097576687</x:v>
      </x:c>
      <x:c r="AA2487" s="80" t="n">
        <x:f>K2487*(1+'Inputs'!$E$50)/2*'Inputs'!$B$17</x:f>
        <x:v>0.8533185324272116</x:v>
      </x:c>
      <x:c r="AB2487" s="78" t="n">
        <x:f>(IF(J2487&gt;0,K2487*(1-'Inputs'!$E$50)/2/J2487,0)+G2487+R2487)*'Inputs'!$B$17</x:f>
        <x:v>554285.564513245</x:v>
      </x:c>
      <x:c r="AC2487" s="78" t="n">
        <x:f>AC2486+AB2487</x:f>
        <x:v>82630799.32162912</x:v>
      </x:c>
      <x:c r="AD2487" s="80" t="n">
        <x:f>Z2487/(1+'Inputs'!$C$50)</x:f>
        <x:v>1.2743622048788343</x:v>
      </x:c>
      <x:c r="AE2487" s="80" t="n">
        <x:f>Z2487-AD2487</x:f>
        <x:v>1.2743622048788343</x:v>
      </x:c>
      <x:c r="AF2487" s="80" t="n">
        <x:f>D2487*W2487</x:f>
        <x:v>0.40550285017479326</x:v>
      </x:c>
      <x:c r="AG2487" s="80" t="n">
        <x:f>C2487*W2487</x:f>
        <x:v>0.9461733170745252</x:v>
      </x:c>
      <x:c r="AH2487" s="80" t="n">
        <x:f>2*'Inputs'!$B$8*'Inputs'!$C$50</x:f>
        <x:v>5000</x:v>
      </x:c>
      <x:c r="AI2487" s="81" t="n">
        <x:f>IF(AH2487&gt;0,(AE2487+AF2487)/AH2487*365,0)</x:f>
        <x:v>0.12263014901891482</x:v>
      </x:c>
      <x:c r="AJ2487" s="81" t="n">
        <x:f>IF('Inputs'!$B$50&gt;0,AG2487/('Inputs'!$B$19*'Inputs'!$B$50)*365,0)</x:f>
        <x:v>0.03453532607322017</x:v>
      </x:c>
      <x:c r="AK2487" s="81" t="n">
        <x:f>W2487/MAX($W$2194:W2487)-1</x:f>
        <x:v>-0.9981791526577959</x:v>
      </x:c>
      <x:c r="AL2487" s="83" t="n">
        <x:f>'Inputs'!$B$50</x:f>
        <x:v>1</x:v>
      </x:c>
      <x:c r="AM2487" s="83" t="n">
        <x:f>'Inputs'!$C$50</x:f>
        <x:v>1</x:v>
      </x:c>
      <x:c r="AN2487" s="83" t="n">
        <x:f>'Inputs'!$D$50</x:f>
        <x:v>1</x:v>
      </x:c>
      <x:c r="AO2487" s="81" t="n">
        <x:f>'Inputs'!$E$50</x:f>
        <x:v>0</x:v>
      </x:c>
    </x:row>
    <x:row r="2488">
      <x:c r="A2488" s="59" t="str">
        <x:v>Whale exit</x:v>
      </x:c>
      <x:c r="B2488" s="59" t="n">
        <x:v>295</x:v>
      </x:c>
      <x:c r="C2488" s="78" t="n">
        <x:f>(('Inputs'!$B$29*(3*295*'Inputs'!$B$12-295^2)/(2*'Inputs'!$B$12^2))-('Inputs'!$B$29*(3*294*'Inputs'!$B$12-294^2)/(2*'Inputs'!$B$12^2)))*'Inputs'!$B$50</x:f>
        <x:v>616242.0247701108</x:v>
      </x:c>
      <x:c r="D2488" s="78" t="n">
        <x:f>IF('Inputs'!$C$50&gt;0,('Inputs'!$B$30*(3*295*'Inputs'!$B$12-295^2)/(2*'Inputs'!$B$12^2))-('Inputs'!$B$30*(3*294*'Inputs'!$B$12-294^2)/(2*'Inputs'!$B$12^2)),0)</x:f>
        <x:v>264103.72490148246</x:v>
      </x:c>
      <x:c r="E2488" s="78" t="n">
        <x:f>C2488+D2488</x:f>
        <x:v>880345.7496715933</x:v>
      </x:c>
      <x:c r="F2488" s="78" t="n">
        <x:f>'Inputs'!$B$13*E2488+(1-'Inputs'!$B$13)/'Inputs'!$B$14*SUM(E2433:E2488)</x:f>
        <x:v>890563.4265340562</x:v>
      </x:c>
      <x:c r="G2488" s="78" t="n">
        <x:f>F2488*'Inputs'!$F$50</x:f>
        <x:v>445281.7132670281</x:v>
      </x:c>
      <x:c r="H2488" s="78" t="n">
        <x:f>U2487</x:f>
        <x:v>137738169.96893296</x:v>
      </x:c>
      <x:c r="I2488" s="78" t="n">
        <x:f>V2487</x:f>
        <x:v>211.37062658992915</x:v>
      </x:c>
      <x:c r="J2488" s="79" t="n">
        <x:f>IF(H2488&gt;0,I2488/H2488,0)</x:f>
        <x:v>0.0000015345828003784579</x:v>
      </x:c>
      <x:c r="K2488" s="80" t="n">
        <x:f>(H2488*J2488+I2488)*'Inputs'!$D$50*(1+'Inputs'!$G$50)^(B2488/30)</x:f>
        <x:v>422.7412531798583</x:v>
      </x:c>
      <x:c r="L2488" s="80" t="n">
        <x:f>MAX(0,K2488*'Inputs'!$E$50)</x:f>
        <x:v>0</x:v>
      </x:c>
      <x:c r="M2488" s="80" t="n">
        <x:f>MAX(0,-K2488*'Inputs'!$E$50)</x:f>
        <x:v>0</x:v>
      </x:c>
      <x:c r="N2488" s="78" t="n">
        <x:f>H2488*(L2488*(1-'Inputs'!$B$15))/(I2488+L2488*(1-'Inputs'!$B$15))</x:f>
        <x:v>0</x:v>
      </x:c>
      <x:c r="O2488" s="78" t="n">
        <x:f>H2488-N2488</x:f>
        <x:v>137738169.96893296</x:v>
      </x:c>
      <x:c r="P2488" s="78" t="n">
        <x:f>I2488+L2488*(1-'Inputs'!$B$17)</x:f>
        <x:v>211.37062658992915</x:v>
      </x:c>
      <x:c r="Q2488" s="78" t="n">
        <x:f>IF(J2488&gt;0,M2488/J2488,0)</x:f>
        <x:v>0</x:v>
      </x:c>
      <x:c r="R2488" s="78" t="n">
        <x:f>IF(B2488='Inputs'!$H$50,'Inputs'!$B$27*'Inputs'!$I$50,0)</x:f>
        <x:v>0</x:v>
      </x:c>
      <x:c r="S2488" s="78" t="n">
        <x:f>Q2488+G2488+R2488</x:f>
        <x:v>445281.7132670281</x:v>
      </x:c>
      <x:c r="T2488" s="78" t="n">
        <x:f>P2488*(S2488*(1-'Inputs'!$B$15))/(O2488+S2488*(1-'Inputs'!$B$15))</x:f>
        <x:v>0.6743302582895048</x:v>
      </x:c>
      <x:c r="U2488" s="78" t="n">
        <x:f>O2488+S2488*(1-'Inputs'!$B$17)</x:f>
        <x:v>138181659.8040782</x:v>
      </x:c>
      <x:c r="V2488" s="78" t="n">
        <x:f>P2488-T2488</x:f>
        <x:v>210.69629633163964</x:v>
      </x:c>
      <x:c r="W2488" s="79" t="n">
        <x:f>IF(U2488&gt;0,V2488/U2488,0)</x:f>
        <x:v>0.0000015247775763467947</x:v>
      </x:c>
      <x:c r="X2488" s="80" t="n">
        <x:f>W2488*('Inputs'!$B$6-AC2488)</x:f>
        <x:v>1397.9361030108857</x:v>
      </x:c>
      <x:c r="Y2488" s="80" t="n">
        <x:f>2*V2488</x:f>
        <x:v>421.3925926632793</x:v>
      </x:c>
      <x:c r="Z2488" s="80" t="n">
        <x:f>K2488*'Inputs'!$B$16+(G2488+R2488)*J2488*'Inputs'!$B$16</x:f>
        <x:v>2.5405474490301656</x:v>
      </x:c>
      <x:c r="AA2488" s="80" t="n">
        <x:f>K2488*(1+'Inputs'!$E$50)/2*'Inputs'!$B$17</x:f>
        <x:v>0.8505860224946847</x:v>
      </x:c>
      <x:c r="AB2488" s="78" t="n">
        <x:f>(IF(J2488&gt;0,K2488*(1-'Inputs'!$E$50)/2/J2488,0)+G2488+R2488)*'Inputs'!$B$17</x:f>
        <x:v>556070.2280973843</x:v>
      </x:c>
      <x:c r="AC2488" s="78" t="n">
        <x:f>AC2487+AB2488</x:f>
        <x:v>83186869.5497265</x:v>
      </x:c>
      <x:c r="AD2488" s="80" t="n">
        <x:f>Z2488/(1+'Inputs'!$C$50)</x:f>
        <x:v>1.2702737245150828</x:v>
      </x:c>
      <x:c r="AE2488" s="80" t="n">
        <x:f>Z2488-AD2488</x:f>
        <x:v>1.2702737245150828</x:v>
      </x:c>
      <x:c r="AF2488" s="80" t="n">
        <x:f>D2488*W2488</x:f>
        <x:v>0.40269943755944304</x:v>
      </x:c>
      <x:c r="AG2488" s="80" t="n">
        <x:f>C2488*W2488</x:f>
        <x:v>0.939632020972011</x:v>
      </x:c>
      <x:c r="AH2488" s="80" t="n">
        <x:f>2*'Inputs'!$B$8*'Inputs'!$C$50</x:f>
        <x:v>5000</x:v>
      </x:c>
      <x:c r="AI2488" s="81" t="n">
        <x:f>IF(AH2488&gt;0,(AE2488+AF2488)/AH2488*365,0)</x:f>
        <x:v>0.1221270408314404</x:v>
      </x:c>
      <x:c r="AJ2488" s="81" t="n">
        <x:f>IF('Inputs'!$B$50&gt;0,AG2488/('Inputs'!$B$19*'Inputs'!$B$50)*365,0)</x:f>
        <x:v>0.0342965687654784</x:v>
      </x:c>
      <x:c r="AK2488" s="81" t="n">
        <x:f>W2488/MAX($W$2194:W2488)-1</x:f>
        <x:v>-0.998190786970466</x:v>
      </x:c>
      <x:c r="AL2488" s="83" t="n">
        <x:f>'Inputs'!$B$50</x:f>
        <x:v>1</x:v>
      </x:c>
      <x:c r="AM2488" s="83" t="n">
        <x:f>'Inputs'!$C$50</x:f>
        <x:v>1</x:v>
      </x:c>
      <x:c r="AN2488" s="83" t="n">
        <x:f>'Inputs'!$D$50</x:f>
        <x:v>1</x:v>
      </x:c>
      <x:c r="AO2488" s="81" t="n">
        <x:f>'Inputs'!$E$50</x:f>
        <x:v>0</x:v>
      </x:c>
    </x:row>
    <x:row r="2489">
      <x:c r="A2489" s="59" t="str">
        <x:v>Whale exit</x:v>
      </x:c>
      <x:c r="B2489" s="59" t="n">
        <x:v>296</x:v>
      </x:c>
      <x:c r="C2489" s="78" t="n">
        <x:f>(('Inputs'!$B$29*(3*296*'Inputs'!$B$12-296^2)/(2*'Inputs'!$B$12^2))-('Inputs'!$B$29*(3*295*'Inputs'!$B$12-295^2)/(2*'Inputs'!$B$12^2)))*'Inputs'!$B$50</x:f>
        <x:v>615916.9168699682</x:v>
      </x:c>
      <x:c r="D2489" s="78" t="n">
        <x:f>IF('Inputs'!$C$50&gt;0,('Inputs'!$B$30*(3*296*'Inputs'!$B$12-296^2)/(2*'Inputs'!$B$12^2))-('Inputs'!$B$30*(3*295*'Inputs'!$B$12-295^2)/(2*'Inputs'!$B$12^2)),0)</x:f>
        <x:v>263964.39294426143</x:v>
      </x:c>
      <x:c r="E2489" s="78" t="n">
        <x:f>C2489+D2489</x:f>
        <x:v>879881.3098142296</x:v>
      </x:c>
      <x:c r="F2489" s="78" t="n">
        <x:f>'Inputs'!$B$13*E2489+(1-'Inputs'!$B$13)/'Inputs'!$B$14*SUM(E2434:E2489)</x:f>
        <x:v>890098.9866766762</x:v>
      </x:c>
      <x:c r="G2489" s="78" t="n">
        <x:f>F2489*'Inputs'!$F$50</x:f>
        <x:v>445049.4933383381</x:v>
      </x:c>
      <x:c r="H2489" s="78" t="n">
        <x:f>U2488</x:f>
        <x:v>138181659.8040782</x:v>
      </x:c>
      <x:c r="I2489" s="78" t="n">
        <x:f>V2488</x:f>
        <x:v>210.69629633163964</x:v>
      </x:c>
      <x:c r="J2489" s="79" t="n">
        <x:f>IF(H2489&gt;0,I2489/H2489,0)</x:f>
        <x:v>0.0000015247775763467947</x:v>
      </x:c>
      <x:c r="K2489" s="80" t="n">
        <x:f>(H2489*J2489+I2489)*'Inputs'!$D$50*(1+'Inputs'!$G$50)^(B2489/30)</x:f>
        <x:v>421.3925926632793</x:v>
      </x:c>
      <x:c r="L2489" s="80" t="n">
        <x:f>MAX(0,K2489*'Inputs'!$E$50)</x:f>
        <x:v>0</x:v>
      </x:c>
      <x:c r="M2489" s="80" t="n">
        <x:f>MAX(0,-K2489*'Inputs'!$E$50)</x:f>
        <x:v>0</x:v>
      </x:c>
      <x:c r="N2489" s="78" t="n">
        <x:f>H2489*(L2489*(1-'Inputs'!$B$15))/(I2489+L2489*(1-'Inputs'!$B$15))</x:f>
        <x:v>0</x:v>
      </x:c>
      <x:c r="O2489" s="78" t="n">
        <x:f>H2489-N2489</x:f>
        <x:v>138181659.8040782</x:v>
      </x:c>
      <x:c r="P2489" s="78" t="n">
        <x:f>I2489+L2489*(1-'Inputs'!$B$17)</x:f>
        <x:v>210.69629633163964</x:v>
      </x:c>
      <x:c r="Q2489" s="78" t="n">
        <x:f>IF(J2489&gt;0,M2489/J2489,0)</x:f>
        <x:v>0</x:v>
      </x:c>
      <x:c r="R2489" s="78" t="n">
        <x:f>IF(B2489='Inputs'!$H$50,'Inputs'!$B$27*'Inputs'!$I$50,0)</x:f>
        <x:v>0</x:v>
      </x:c>
      <x:c r="S2489" s="78" t="n">
        <x:f>Q2489+G2489+R2489</x:f>
        <x:v>445049.4933383381</x:v>
      </x:c>
      <x:c r="T2489" s="78" t="n">
        <x:f>P2489*(S2489*(1-'Inputs'!$B$15))/(O2489+S2489*(1-'Inputs'!$B$15))</x:f>
        <x:v>0.6696801648833834</x:v>
      </x:c>
      <x:c r="U2489" s="78" t="n">
        <x:f>O2489+S2489*(1-'Inputs'!$B$17)</x:f>
        <x:v>138624918.35378137</x:v>
      </x:c>
      <x:c r="V2489" s="78" t="n">
        <x:f>P2489-T2489</x:f>
        <x:v>210.02661616675627</x:v>
      </x:c>
      <x:c r="W2489" s="79" t="n">
        <x:f>IF(U2489&gt;0,V2489/U2489,0)</x:f>
        <x:v>0.0000015150711622477016</x:v>
      </x:c>
      <x:c r="X2489" s="80" t="n">
        <x:f>W2489*('Inputs'!$B$6-AC2489)</x:f>
        <x:v>1388.1919466662603</x:v>
      </x:c>
      <x:c r="Y2489" s="80" t="n">
        <x:f>2*V2489</x:f>
        <x:v>420.05323233351254</x:v>
      </x:c>
      <x:c r="Z2489" s="80" t="n">
        <x:f>K2489*'Inputs'!$B$16+(G2489+R2489)*J2489*'Inputs'!$B$16</x:f>
        <x:v>2.5324271649065166</x:v>
      </x:c>
      <x:c r="AA2489" s="80" t="n">
        <x:f>K2489*(1+'Inputs'!$E$50)/2*'Inputs'!$B$17</x:f>
        <x:v>0.8478724198456324</x:v>
      </x:c>
      <x:c r="AB2489" s="78" t="n">
        <x:f>(IF(J2489&gt;0,K2489*(1-'Inputs'!$E$50)/2/J2489,0)+G2489+R2489)*'Inputs'!$B$17</x:f>
        <x:v>557853.9609553986</x:v>
      </x:c>
      <x:c r="AC2489" s="78" t="n">
        <x:f>AC2488+AB2489</x:f>
        <x:v>83744723.5106819</x:v>
      </x:c>
      <x:c r="AD2489" s="80" t="n">
        <x:f>Z2489/(1+'Inputs'!$C$50)</x:f>
        <x:v>1.2662135824532583</x:v>
      </x:c>
      <x:c r="AE2489" s="80" t="n">
        <x:f>Z2489-AD2489</x:f>
        <x:v>1.2662135824532583</x:v>
      </x:c>
      <x:c r="AF2489" s="80" t="n">
        <x:f>D2489*W2489</x:f>
        <x:v>0.39992483961007114</x:v>
      </x:c>
      <x:c r="AG2489" s="80" t="n">
        <x:f>C2489*W2489</x:f>
        <x:v>0.9331579590902037</x:v>
      </x:c>
      <x:c r="AH2489" s="80" t="n">
        <x:f>2*'Inputs'!$B$8*'Inputs'!$C$50</x:f>
        <x:v>5000</x:v>
      </x:c>
      <x:c r="AI2489" s="81" t="n">
        <x:f>IF(AH2489&gt;0,(AE2489+AF2489)/AH2489*365,0)</x:f>
        <x:v>0.12162810481062304</x:v>
      </x:c>
      <x:c r="AJ2489" s="81" t="n">
        <x:f>IF('Inputs'!$B$50&gt;0,AG2489/('Inputs'!$B$19*'Inputs'!$B$50)*365,0)</x:f>
        <x:v>0.034060265506792434</x:v>
      </x:c>
      <x:c r="AK2489" s="81" t="n">
        <x:f>W2489/MAX($W$2194:W2489)-1</x:f>
        <x:v>-0.9982023040409755</x:v>
      </x:c>
      <x:c r="AL2489" s="83" t="n">
        <x:f>'Inputs'!$B$50</x:f>
        <x:v>1</x:v>
      </x:c>
      <x:c r="AM2489" s="83" t="n">
        <x:f>'Inputs'!$C$50</x:f>
        <x:v>1</x:v>
      </x:c>
      <x:c r="AN2489" s="83" t="n">
        <x:f>'Inputs'!$D$50</x:f>
        <x:v>1</x:v>
      </x:c>
      <x:c r="AO2489" s="81" t="n">
        <x:f>'Inputs'!$E$50</x:f>
        <x:v>0</x:v>
      </x:c>
    </x:row>
    <x:row r="2490">
      <x:c r="A2490" s="59" t="str">
        <x:v>Whale exit</x:v>
      </x:c>
      <x:c r="B2490" s="59" t="n">
        <x:v>297</x:v>
      </x:c>
      <x:c r="C2490" s="78" t="n">
        <x:f>(('Inputs'!$B$29*(3*297*'Inputs'!$B$12-297^2)/(2*'Inputs'!$B$12^2))-('Inputs'!$B$29*(3*296*'Inputs'!$B$12-296^2)/(2*'Inputs'!$B$12^2)))*'Inputs'!$B$50</x:f>
        <x:v>615591.8089697659</x:v>
      </x:c>
      <x:c r="D2490" s="78" t="n">
        <x:f>IF('Inputs'!$C$50&gt;0,('Inputs'!$B$30*(3*297*'Inputs'!$B$12-297^2)/(2*'Inputs'!$B$12^2))-('Inputs'!$B$30*(3*296*'Inputs'!$B$12-296^2)/(2*'Inputs'!$B$12^2)),0)</x:f>
        <x:v>263825.0609870553</x:v>
      </x:c>
      <x:c r="E2490" s="78" t="n">
        <x:f>C2490+D2490</x:f>
        <x:v>879416.8699568212</x:v>
      </x:c>
      <x:c r="F2490" s="78" t="n">
        <x:f>'Inputs'!$B$13*E2490+(1-'Inputs'!$B$13)/'Inputs'!$B$14*SUM(E2435:E2490)</x:f>
        <x:v>889634.546819287</x:v>
      </x:c>
      <x:c r="G2490" s="78" t="n">
        <x:f>F2490*'Inputs'!$F$50</x:f>
        <x:v>444817.2734096435</x:v>
      </x:c>
      <x:c r="H2490" s="78" t="n">
        <x:f>U2489</x:f>
        <x:v>138624918.35378137</x:v>
      </x:c>
      <x:c r="I2490" s="78" t="n">
        <x:f>V2489</x:f>
        <x:v>210.02661616675627</x:v>
      </x:c>
      <x:c r="J2490" s="79" t="n">
        <x:f>IF(H2490&gt;0,I2490/H2490,0)</x:f>
        <x:v>0.0000015150711622477016</x:v>
      </x:c>
      <x:c r="K2490" s="80" t="n">
        <x:f>(H2490*J2490+I2490)*'Inputs'!$D$50*(1+'Inputs'!$G$50)^(B2490/30)</x:f>
        <x:v>420.05323233351254</x:v>
      </x:c>
      <x:c r="L2490" s="80" t="n">
        <x:f>MAX(0,K2490*'Inputs'!$E$50)</x:f>
        <x:v>0</x:v>
      </x:c>
      <x:c r="M2490" s="80" t="n">
        <x:f>MAX(0,-K2490*'Inputs'!$E$50)</x:f>
        <x:v>0</x:v>
      </x:c>
      <x:c r="N2490" s="78" t="n">
        <x:f>H2490*(L2490*(1-'Inputs'!$B$15))/(I2490+L2490*(1-'Inputs'!$B$15))</x:f>
        <x:v>0</x:v>
      </x:c>
      <x:c r="O2490" s="78" t="n">
        <x:f>H2490-N2490</x:f>
        <x:v>138624918.35378137</x:v>
      </x:c>
      <x:c r="P2490" s="78" t="n">
        <x:f>I2490+L2490*(1-'Inputs'!$B$17)</x:f>
        <x:v>210.02661616675627</x:v>
      </x:c>
      <x:c r="Q2490" s="78" t="n">
        <x:f>IF(J2490&gt;0,M2490/J2490,0)</x:f>
        <x:v>0</x:v>
      </x:c>
      <x:c r="R2490" s="78" t="n">
        <x:f>IF(B2490='Inputs'!$H$50,'Inputs'!$B$27*'Inputs'!$I$50,0)</x:f>
        <x:v>0</x:v>
      </x:c>
      <x:c r="S2490" s="78" t="n">
        <x:f>Q2490+G2490+R2490</x:f>
        <x:v>444817.2734096435</x:v>
      </x:c>
      <x:c r="T2490" s="78" t="n">
        <x:f>P2490*(S2490*(1-'Inputs'!$B$15))/(O2490+S2490*(1-'Inputs'!$B$15))</x:f>
        <x:v>0.6650777758581375</x:v>
      </x:c>
      <x:c r="U2490" s="78" t="n">
        <x:f>O2490+S2490*(1-'Inputs'!$B$17)</x:f>
        <x:v>139067945.6180425</x:v>
      </x:c>
      <x:c r="V2490" s="78" t="n">
        <x:f>P2490-T2490</x:f>
        <x:v>209.36153839089812</x:v>
      </x:c>
      <x:c r="W2490" s="79" t="n">
        <x:f>IF(U2490&gt;0,V2490/U2490,0)</x:f>
        <x:v>0.0000015054622217971115</x:v>
      </x:c>
      <x:c r="X2490" s="80" t="n">
        <x:f>W2490*('Inputs'!$B$6-AC2490)</x:f>
        <x:v>1378.5451922721788</x:v>
      </x:c>
      <x:c r="Y2490" s="80" t="n">
        <x:f>2*V2490</x:f>
        <x:v>418.72307678179624</x:v>
      </x:c>
      <x:c r="Z2490" s="80" t="n">
        <x:f>K2490*'Inputs'!$B$16+(G2490+R2490)*J2490*'Inputs'!$B$16</x:f>
        <x:v>2.524362972941551</x:v>
      </x:c>
      <x:c r="AA2490" s="80" t="n">
        <x:f>K2490*(1+'Inputs'!$E$50)/2*'Inputs'!$B$17</x:f>
        <x:v>0.8451775298461017</x:v>
      </x:c>
      <x:c r="AB2490" s="78" t="n">
        <x:f>(IF(J2490&gt;0,K2490*(1-'Inputs'!$E$50)/2/J2490,0)+G2490+R2490)*'Inputs'!$B$17</x:f>
        <x:v>559636.7630872878</x:v>
      </x:c>
      <x:c r="AC2490" s="78" t="n">
        <x:f>AC2489+AB2490</x:f>
        <x:v>84304360.27376918</x:v>
      </x:c>
      <x:c r="AD2490" s="80" t="n">
        <x:f>Z2490/(1+'Inputs'!$C$50)</x:f>
        <x:v>1.2621814864707754</x:v>
      </x:c>
      <x:c r="AE2490" s="80" t="n">
        <x:f>Z2490-AD2490</x:f>
        <x:v>1.2621814864707754</x:v>
      </x:c>
      <x:c r="AF2490" s="80" t="n">
        <x:f>D2490*W2490</x:f>
        <x:v>0.3971786624793307</x:v>
      </x:c>
      <x:c r="AG2490" s="80" t="n">
        <x:f>C2490*W2490</x:f>
        <x:v>0.9267502124517267</x:v>
      </x:c>
      <x:c r="AH2490" s="80" t="n">
        <x:f>2*'Inputs'!$B$8*'Inputs'!$C$50</x:f>
        <x:v>5000</x:v>
      </x:c>
      <x:c r="AI2490" s="81" t="n">
        <x:f>IF(AH2490&gt;0,(AE2490+AF2490)/AH2490*365,0)</x:f>
        <x:v>0.12113329087335775</x:v>
      </x:c>
      <x:c r="AJ2490" s="81" t="n">
        <x:f>IF('Inputs'!$B$50&gt;0,AG2490/('Inputs'!$B$19*'Inputs'!$B$50)*365,0)</x:f>
        <x:v>0.03382638275448802</x:v>
      </x:c>
      <x:c r="AK2490" s="81" t="n">
        <x:f>W2490/MAX($W$2194:W2490)-1</x:f>
        <x:v>-0.998213705454882</x:v>
      </x:c>
      <x:c r="AL2490" s="83" t="n">
        <x:f>'Inputs'!$B$50</x:f>
        <x:v>1</x:v>
      </x:c>
      <x:c r="AM2490" s="83" t="n">
        <x:f>'Inputs'!$C$50</x:f>
        <x:v>1</x:v>
      </x:c>
      <x:c r="AN2490" s="83" t="n">
        <x:f>'Inputs'!$D$50</x:f>
        <x:v>1</x:v>
      </x:c>
      <x:c r="AO2490" s="81" t="n">
        <x:f>'Inputs'!$E$50</x:f>
        <x:v>0</x:v>
      </x:c>
    </x:row>
    <x:row r="2491">
      <x:c r="A2491" s="59" t="str">
        <x:v>Whale exit</x:v>
      </x:c>
      <x:c r="B2491" s="59" t="n">
        <x:v>298</x:v>
      </x:c>
      <x:c r="C2491" s="78" t="n">
        <x:f>(('Inputs'!$B$29*(3*298*'Inputs'!$B$12-298^2)/(2*'Inputs'!$B$12^2))-('Inputs'!$B$29*(3*297*'Inputs'!$B$12-297^2)/(2*'Inputs'!$B$12^2)))*'Inputs'!$B$50</x:f>
        <x:v>615266.7010696232</x:v>
      </x:c>
      <x:c r="D2491" s="78" t="n">
        <x:f>IF('Inputs'!$C$50&gt;0,('Inputs'!$B$30*(3*298*'Inputs'!$B$12-298^2)/(2*'Inputs'!$B$12^2))-('Inputs'!$B$30*(3*297*'Inputs'!$B$12-297^2)/(2*'Inputs'!$B$12^2)),0)</x:f>
        <x:v>263685.72902983427</x:v>
      </x:c>
      <x:c r="E2491" s="78" t="n">
        <x:f>C2491+D2491</x:f>
        <x:v>878952.4300994575</x:v>
      </x:c>
      <x:c r="F2491" s="78" t="n">
        <x:f>'Inputs'!$B$13*E2491+(1-'Inputs'!$B$13)/'Inputs'!$B$14*SUM(E2436:E2491)</x:f>
        <x:v>889170.1069619069</x:v>
      </x:c>
      <x:c r="G2491" s="78" t="n">
        <x:f>F2491*'Inputs'!$F$50</x:f>
        <x:v>444585.05348095344</x:v>
      </x:c>
      <x:c r="H2491" s="78" t="n">
        <x:f>U2490</x:f>
        <x:v>139067945.6180425</x:v>
      </x:c>
      <x:c r="I2491" s="78" t="n">
        <x:f>V2490</x:f>
        <x:v>209.36153839089812</x:v>
      </x:c>
      <x:c r="J2491" s="79" t="n">
        <x:f>IF(H2491&gt;0,I2491/H2491,0)</x:f>
        <x:v>0.0000015054622217971115</x:v>
      </x:c>
      <x:c r="K2491" s="80" t="n">
        <x:f>(H2491*J2491+I2491)*'Inputs'!$D$50*(1+'Inputs'!$G$50)^(B2491/30)</x:f>
        <x:v>418.72307678179624</x:v>
      </x:c>
      <x:c r="L2491" s="80" t="n">
        <x:f>MAX(0,K2491*'Inputs'!$E$50)</x:f>
        <x:v>0</x:v>
      </x:c>
      <x:c r="M2491" s="80" t="n">
        <x:f>MAX(0,-K2491*'Inputs'!$E$50)</x:f>
        <x:v>0</x:v>
      </x:c>
      <x:c r="N2491" s="78" t="n">
        <x:f>H2491*(L2491*(1-'Inputs'!$B$15))/(I2491+L2491*(1-'Inputs'!$B$15))</x:f>
        <x:v>0</x:v>
      </x:c>
      <x:c r="O2491" s="78" t="n">
        <x:f>H2491-N2491</x:f>
        <x:v>139067945.6180425</x:v>
      </x:c>
      <x:c r="P2491" s="78" t="n">
        <x:f>I2491+L2491*(1-'Inputs'!$B$17)</x:f>
        <x:v>209.36153839089812</x:v>
      </x:c>
      <x:c r="Q2491" s="78" t="n">
        <x:f>IF(J2491&gt;0,M2491/J2491,0)</x:f>
        <x:v>0</x:v>
      </x:c>
      <x:c r="R2491" s="78" t="n">
        <x:f>IF(B2491='Inputs'!$H$50,'Inputs'!$B$27*'Inputs'!$I$50,0)</x:f>
        <x:v>0</x:v>
      </x:c>
      <x:c r="S2491" s="78" t="n">
        <x:f>Q2491+G2491+R2491</x:f>
        <x:v>444585.05348095344</x:v>
      </x:c>
      <x:c r="T2491" s="78" t="n">
        <x:f>P2491*(S2491*(1-'Inputs'!$B$15))/(O2491+S2491*(1-'Inputs'!$B$15))</x:f>
        <x:v>0.6605224403531123</x:v>
      </x:c>
      <x:c r="U2491" s="78" t="n">
        <x:f>O2491+S2491*(1-'Inputs'!$B$17)</x:f>
        <x:v>139510741.59686157</x:v>
      </x:c>
      <x:c r="V2491" s="78" t="n">
        <x:f>P2491-T2491</x:f>
        <x:v>208.701015950545</x:v>
      </x:c>
      <x:c r="W2491" s="79" t="n">
        <x:f>IF(U2491&gt;0,V2491/U2491,0)</x:f>
        <x:v>0.000001495949441324165</x:v>
      </x:c>
      <x:c r="X2491" s="80" t="n">
        <x:f>W2491*('Inputs'!$B$6-AC2491)</x:f>
        <x:v>1368.99452677881</x:v>
      </x:c>
      <x:c r="Y2491" s="80" t="n">
        <x:f>2*V2491</x:f>
        <x:v>417.40203190109</x:v>
      </x:c>
      <x:c r="Z2491" s="80" t="n">
        <x:f>K2491*'Inputs'!$B$16+(G2491+R2491)*J2491*'Inputs'!$B$16</x:f>
        <x:v>2.5163542967051247</x:v>
      </x:c>
      <x:c r="AA2491" s="80" t="n">
        <x:f>K2491*(1+'Inputs'!$E$50)/2*'Inputs'!$B$17</x:f>
        <x:v>0.8425011605267531</x:v>
      </x:c>
      <x:c r="AB2491" s="78" t="n">
        <x:f>(IF(J2491&gt;0,K2491*(1-'Inputs'!$E$50)/2/J2491,0)+G2491+R2491)*'Inputs'!$B$17</x:f>
        <x:v>561418.6344930521</x:v>
      </x:c>
      <x:c r="AC2491" s="78" t="n">
        <x:f>AC2490+AB2491</x:f>
        <x:v>84865778.90826224</x:v>
      </x:c>
      <x:c r="AD2491" s="80" t="n">
        <x:f>Z2491/(1+'Inputs'!$C$50)</x:f>
        <x:v>1.2581771483525623</x:v>
      </x:c>
      <x:c r="AE2491" s="80" t="n">
        <x:f>Z2491-AD2491</x:f>
        <x:v>1.2581771483525623</x:v>
      </x:c>
      <x:c r="AF2491" s="80" t="n">
        <x:f>D2491*W2491</x:f>
        <x:v>0.39446051902733575</x:v>
      </x:c>
      <x:c r="AG2491" s="80" t="n">
        <x:f>C2491*W2491</x:f>
        <x:v>0.920407877730465</x:v>
      </x:c>
      <x:c r="AH2491" s="80" t="n">
        <x:f>2*'Inputs'!$B$8*'Inputs'!$C$50</x:f>
        <x:v>5000</x:v>
      </x:c>
      <x:c r="AI2491" s="81" t="n">
        <x:f>IF(AH2491&gt;0,(AE2491+AF2491)/AH2491*365,0)</x:f>
        <x:v>0.12064254971873258</x:v>
      </x:c>
      <x:c r="AJ2491" s="81" t="n">
        <x:f>IF('Inputs'!$B$50&gt;0,AG2491/('Inputs'!$B$19*'Inputs'!$B$50)*365,0)</x:f>
        <x:v>0.03359488753716197</x:v>
      </x:c>
      <x:c r="AK2491" s="81" t="n">
        <x:f>W2491/MAX($W$2194:W2491)-1</x:f>
        <x:v>-0.9982249927709114</x:v>
      </x:c>
      <x:c r="AL2491" s="83" t="n">
        <x:f>'Inputs'!$B$50</x:f>
        <x:v>1</x:v>
      </x:c>
      <x:c r="AM2491" s="83" t="n">
        <x:f>'Inputs'!$C$50</x:f>
        <x:v>1</x:v>
      </x:c>
      <x:c r="AN2491" s="83" t="n">
        <x:f>'Inputs'!$D$50</x:f>
        <x:v>1</x:v>
      </x:c>
      <x:c r="AO2491" s="81" t="n">
        <x:f>'Inputs'!$E$50</x:f>
        <x:v>0</x:v>
      </x:c>
    </x:row>
    <x:row r="2492">
      <x:c r="A2492" s="59" t="str">
        <x:v>Whale exit</x:v>
      </x:c>
      <x:c r="B2492" s="59" t="n">
        <x:v>299</x:v>
      </x:c>
      <x:c r="C2492" s="78" t="n">
        <x:f>(('Inputs'!$B$29*(3*299*'Inputs'!$B$12-299^2)/(2*'Inputs'!$B$12^2))-('Inputs'!$B$29*(3*298*'Inputs'!$B$12-298^2)/(2*'Inputs'!$B$12^2)))*'Inputs'!$B$50</x:f>
        <x:v>614941.5931694508</x:v>
      </x:c>
      <x:c r="D2492" s="78" t="n">
        <x:f>IF('Inputs'!$C$50&gt;0,('Inputs'!$B$30*(3*299*'Inputs'!$B$12-299^2)/(2*'Inputs'!$B$12^2))-('Inputs'!$B$30*(3*298*'Inputs'!$B$12-298^2)/(2*'Inputs'!$B$12^2)),0)</x:f>
        <x:v>263546.39707262814</x:v>
      </x:c>
      <x:c r="E2492" s="78" t="n">
        <x:f>C2492+D2492</x:f>
        <x:v>878487.9902420789</x:v>
      </x:c>
      <x:c r="F2492" s="78" t="n">
        <x:f>'Inputs'!$B$13*E2492+(1-'Inputs'!$B$13)/'Inputs'!$B$14*SUM(E2437:E2492)</x:f>
        <x:v>888705.6671045239</x:v>
      </x:c>
      <x:c r="G2492" s="78" t="n">
        <x:f>F2492*'Inputs'!$F$50</x:f>
        <x:v>444352.83355226193</x:v>
      </x:c>
      <x:c r="H2492" s="78" t="n">
        <x:f>U2491</x:f>
        <x:v>139510741.59686157</x:v>
      </x:c>
      <x:c r="I2492" s="78" t="n">
        <x:f>V2491</x:f>
        <x:v>208.701015950545</x:v>
      </x:c>
      <x:c r="J2492" s="79" t="n">
        <x:f>IF(H2492&gt;0,I2492/H2492,0)</x:f>
        <x:v>0.000001495949441324165</x:v>
      </x:c>
      <x:c r="K2492" s="80" t="n">
        <x:f>(H2492*J2492+I2492)*'Inputs'!$D$50*(1+'Inputs'!$G$50)^(B2492/30)</x:f>
        <x:v>417.40203190109</x:v>
      </x:c>
      <x:c r="L2492" s="80" t="n">
        <x:f>MAX(0,K2492*'Inputs'!$E$50)</x:f>
        <x:v>0</x:v>
      </x:c>
      <x:c r="M2492" s="80" t="n">
        <x:f>MAX(0,-K2492*'Inputs'!$E$50)</x:f>
        <x:v>0</x:v>
      </x:c>
      <x:c r="N2492" s="78" t="n">
        <x:f>H2492*(L2492*(1-'Inputs'!$B$15))/(I2492+L2492*(1-'Inputs'!$B$15))</x:f>
        <x:v>0</x:v>
      </x:c>
      <x:c r="O2492" s="78" t="n">
        <x:f>H2492-N2492</x:f>
        <x:v>139510741.59686157</x:v>
      </x:c>
      <x:c r="P2492" s="78" t="n">
        <x:f>I2492+L2492*(1-'Inputs'!$B$17)</x:f>
        <x:v>208.701015950545</x:v>
      </x:c>
      <x:c r="Q2492" s="78" t="n">
        <x:f>IF(J2492&gt;0,M2492/J2492,0)</x:f>
        <x:v>0</x:v>
      </x:c>
      <x:c r="R2492" s="78" t="n">
        <x:f>IF(B2492='Inputs'!$H$50,'Inputs'!$B$27*'Inputs'!$I$50,0)</x:f>
        <x:v>0</x:v>
      </x:c>
      <x:c r="S2492" s="78" t="n">
        <x:f>Q2492+G2492+R2492</x:f>
        <x:v>444352.83355226193</x:v>
      </x:c>
      <x:c r="T2492" s="78" t="n">
        <x:f>P2492*(S2492*(1-'Inputs'!$B$15))/(O2492+S2492*(1-'Inputs'!$B$15))</x:f>
        <x:v>0.6560135185728421</x:v>
      </x:c>
      <x:c r="U2492" s="78" t="n">
        <x:f>O2492+S2492*(1-'Inputs'!$B$17)</x:f>
        <x:v>139953306.29023856</x:v>
      </x:c>
      <x:c r="V2492" s="78" t="n">
        <x:f>P2492-T2492</x:f>
        <x:v>208.04500243197216</x:v>
      </x:c>
      <x:c r="W2492" s="79" t="n">
        <x:f>IF(U2492&gt;0,V2492/U2492,0)</x:f>
        <x:v>0.0000014865315293125223</x:v>
      </x:c>
      <x:c r="X2492" s="80" t="n">
        <x:f>W2492*('Inputs'!$B$6-AC2492)</x:f>
        <x:v>1359.5386592799352</x:v>
      </x:c>
      <x:c r="Y2492" s="80" t="n">
        <x:f>2*V2492</x:f>
        <x:v>416.09000486394433</x:v>
      </x:c>
      <x:c r="Z2492" s="80" t="n">
        <x:f>K2492*'Inputs'!$B$16+(G2492+R2492)*J2492*'Inputs'!$B$16</x:f>
        <x:v>2.50840056764516</x:v>
      </x:c>
      <x:c r="AA2492" s="80" t="n">
        <x:f>K2492*(1+'Inputs'!$E$50)/2*'Inputs'!$B$17</x:f>
        <x:v>0.8398431225374046</x:v>
      </x:c>
      <x:c r="AB2492" s="78" t="n">
        <x:f>(IF(J2492&gt;0,K2492*(1-'Inputs'!$E$50)/2/J2492,0)+G2492+R2492)*'Inputs'!$B$17</x:f>
        <x:v>563199.5751726916</x:v>
      </x:c>
      <x:c r="AC2492" s="78" t="n">
        <x:f>AC2491+AB2492</x:f>
        <x:v>85428978.48343493</x:v>
      </x:c>
      <x:c r="AD2492" s="80" t="n">
        <x:f>Z2492/(1+'Inputs'!$C$50)</x:f>
        <x:v>1.25420028382258</x:v>
      </x:c>
      <x:c r="AE2492" s="80" t="n">
        <x:f>Z2492-AD2492</x:f>
        <x:v>1.25420028382258</x:v>
      </x:c>
      <x:c r="AF2492" s="80" t="n">
        <x:f>D2492*W2492</x:f>
        <x:v>0.3917700286851792</x:v>
      </x:c>
      <x:c r="AG2492" s="80" t="n">
        <x:f>C2492*W2492</x:f>
        <x:v>0.9141300669320626</x:v>
      </x:c>
      <x:c r="AH2492" s="80" t="n">
        <x:f>2*'Inputs'!$B$8*'Inputs'!$C$50</x:f>
        <x:v>5000</x:v>
      </x:c>
      <x:c r="AI2492" s="81" t="n">
        <x:f>IF(AH2492&gt;0,(AE2492+AF2492)/AH2492*365,0)</x:f>
        <x:v>0.12015583281306644</x:v>
      </x:c>
      <x:c r="AJ2492" s="81" t="n">
        <x:f>IF('Inputs'!$B$50&gt;0,AG2492/('Inputs'!$B$19*'Inputs'!$B$50)*365,0)</x:f>
        <x:v>0.03336574744302028</x:v>
      </x:c>
      <x:c r="AK2492" s="81" t="n">
        <x:f>W2492/MAX($W$2194:W2492)-1</x:f>
        <x:v>-0.9982361675215025</x:v>
      </x:c>
      <x:c r="AL2492" s="83" t="n">
        <x:f>'Inputs'!$B$50</x:f>
        <x:v>1</x:v>
      </x:c>
      <x:c r="AM2492" s="83" t="n">
        <x:f>'Inputs'!$C$50</x:f>
        <x:v>1</x:v>
      </x:c>
      <x:c r="AN2492" s="83" t="n">
        <x:f>'Inputs'!$D$50</x:f>
        <x:v>1</x:v>
      </x:c>
      <x:c r="AO2492" s="81" t="n">
        <x:f>'Inputs'!$E$50</x:f>
        <x:v>0</x:v>
      </x:c>
    </x:row>
    <x:row r="2493">
      <x:c r="A2493" s="59" t="str">
        <x:v>Whale exit</x:v>
      </x:c>
      <x:c r="B2493" s="59" t="n">
        <x:v>300</x:v>
      </x:c>
      <x:c r="C2493" s="78" t="n">
        <x:f>(('Inputs'!$B$29*(3*300*'Inputs'!$B$12-300^2)/(2*'Inputs'!$B$12^2))-('Inputs'!$B$29*(3*299*'Inputs'!$B$12-299^2)/(2*'Inputs'!$B$12^2)))*'Inputs'!$B$50</x:f>
        <x:v>614616.4852692783</x:v>
      </x:c>
      <x:c r="D2493" s="78" t="n">
        <x:f>IF('Inputs'!$C$50&gt;0,('Inputs'!$B$30*(3*300*'Inputs'!$B$12-300^2)/(2*'Inputs'!$B$12^2))-('Inputs'!$B$30*(3*299*'Inputs'!$B$12-299^2)/(2*'Inputs'!$B$12^2)),0)</x:f>
        <x:v>263407.0651154071</x:v>
      </x:c>
      <x:c r="E2493" s="78" t="n">
        <x:f>C2493+D2493</x:f>
        <x:v>878023.5503846854</x:v>
      </x:c>
      <x:c r="F2493" s="78" t="n">
        <x:f>'Inputs'!$B$13*E2493+(1-'Inputs'!$B$13)/'Inputs'!$B$14*SUM(E2438:E2493)</x:f>
        <x:v>888241.2272471378</x:v>
      </x:c>
      <x:c r="G2493" s="78" t="n">
        <x:f>F2493*'Inputs'!$F$50</x:f>
        <x:v>444120.6136235689</x:v>
      </x:c>
      <x:c r="H2493" s="78" t="n">
        <x:f>U2492</x:f>
        <x:v>139953306.29023856</x:v>
      </x:c>
      <x:c r="I2493" s="78" t="n">
        <x:f>V2492</x:f>
        <x:v>208.04500243197216</x:v>
      </x:c>
      <x:c r="J2493" s="79" t="n">
        <x:f>IF(H2493&gt;0,I2493/H2493,0)</x:f>
        <x:v>0.0000014865315293125223</x:v>
      </x:c>
      <x:c r="K2493" s="80" t="n">
        <x:f>(H2493*J2493+I2493)*'Inputs'!$D$50*(1+'Inputs'!$G$50)^(B2493/30)</x:f>
        <x:v>416.09000486394433</x:v>
      </x:c>
      <x:c r="L2493" s="80" t="n">
        <x:f>MAX(0,K2493*'Inputs'!$E$50)</x:f>
        <x:v>0</x:v>
      </x:c>
      <x:c r="M2493" s="80" t="n">
        <x:f>MAX(0,-K2493*'Inputs'!$E$50)</x:f>
        <x:v>0</x:v>
      </x:c>
      <x:c r="N2493" s="78" t="n">
        <x:f>H2493*(L2493*(1-'Inputs'!$B$15))/(I2493+L2493*(1-'Inputs'!$B$15))</x:f>
        <x:v>0</x:v>
      </x:c>
      <x:c r="O2493" s="78" t="n">
        <x:f>H2493-N2493</x:f>
        <x:v>139953306.29023856</x:v>
      </x:c>
      <x:c r="P2493" s="78" t="n">
        <x:f>I2493+L2493*(1-'Inputs'!$B$17)</x:f>
        <x:v>208.04500243197216</x:v>
      </x:c>
      <x:c r="Q2493" s="78" t="n">
        <x:f>IF(J2493&gt;0,M2493/J2493,0)</x:f>
        <x:v>0</x:v>
      </x:c>
      <x:c r="R2493" s="78" t="n">
        <x:f>IF(B2493='Inputs'!$H$50,'Inputs'!$B$27*'Inputs'!$I$50,0)</x:f>
        <x:v>0</x:v>
      </x:c>
      <x:c r="S2493" s="78" t="n">
        <x:f>Q2493+G2493+R2493</x:f>
        <x:v>444120.6136235689</x:v>
      </x:c>
      <x:c r="T2493" s="78" t="n">
        <x:f>P2493*(S2493*(1-'Inputs'!$B$15))/(O2493+S2493*(1-'Inputs'!$B$15))</x:f>
        <x:v>0.6515503815620614</x:v>
      </x:c>
      <x:c r="U2493" s="78" t="n">
        <x:f>O2493+S2493*(1-'Inputs'!$B$17)</x:f>
        <x:v>140395639.6981735</x:v>
      </x:c>
      <x:c r="V2493" s="78" t="n">
        <x:f>P2493-T2493</x:f>
        <x:v>207.3934520504101</x:v>
      </x:c>
      <x:c r="W2493" s="79" t="n">
        <x:f>IF(U2493&gt;0,V2493/U2493,0)</x:f>
        <x:v>0.0000014772072159525068</x:v>
      </x:c>
      <x:c r="X2493" s="80" t="n">
        <x:f>W2493*('Inputs'!$B$6-AC2493)</x:f>
        <x:v>1350.176320565311</x:v>
      </x:c>
      <x:c r="Y2493" s="80" t="n">
        <x:f>2*V2493</x:f>
        <x:v>414.7869041008202</x:v>
      </x:c>
      <x:c r="Z2493" s="80" t="n">
        <x:f>K2493*'Inputs'!$B$16+(G2493+R2493)*J2493*'Inputs'!$B$16</x:f>
        <x:v>2.5005012249534806</x:v>
      </x:c>
      <x:c r="AA2493" s="80" t="n">
        <x:f>K2493*(1+'Inputs'!$E$50)/2*'Inputs'!$B$17</x:f>
        <x:v>0.8372032291025038</x:v>
      </x:c>
      <x:c r="AB2493" s="78" t="n">
        <x:f>(IF(J2493&gt;0,K2493*(1-'Inputs'!$E$50)/2/J2493,0)+G2493+R2493)*'Inputs'!$B$17</x:f>
        <x:v>564979.5851262058</x:v>
      </x:c>
      <x:c r="AC2493" s="78" t="n">
        <x:f>AC2492+AB2493</x:f>
        <x:v>85993958.06856114</x:v>
      </x:c>
      <x:c r="AD2493" s="80" t="n">
        <x:f>Z2493/(1+'Inputs'!$C$50)</x:f>
        <x:v>1.2502506124767403</x:v>
      </x:c>
      <x:c r="AE2493" s="80" t="n">
        <x:f>Z2493-AD2493</x:f>
        <x:v>1.2502506124767403</x:v>
      </x:c>
      <x:c r="AF2493" s="80" t="n">
        <x:f>D2493*W2493</x:f>
        <x:v>0.3891068173213512</x:v>
      </x:c>
      <x:c r="AG2493" s="80" t="n">
        <x:f>C2493*W2493</x:f>
        <x:v>0.9079159070831455</x:v>
      </x:c>
      <x:c r="AH2493" s="80" t="n">
        <x:f>2*'Inputs'!$B$8*'Inputs'!$C$50</x:f>
        <x:v>5000</x:v>
      </x:c>
      <x:c r="AI2493" s="81" t="n">
        <x:f>IF(AH2493&gt;0,(AE2493+AF2493)/AH2493*365,0)</x:f>
        <x:v>0.11967309237526068</x:v>
      </x:c>
      <x:c r="AJ2493" s="81" t="n">
        <x:f>IF('Inputs'!$B$50&gt;0,AG2493/('Inputs'!$B$19*'Inputs'!$B$50)*365,0)</x:f>
        <x:v>0.03313893060853482</x:v>
      </x:c>
      <x:c r="AK2493" s="81" t="n">
        <x:f>W2493/MAX($W$2194:W2493)-1</x:f>
        <x:v>-0.9982472312133379</x:v>
      </x:c>
      <x:c r="AL2493" s="83" t="n">
        <x:f>'Inputs'!$B$50</x:f>
        <x:v>1</x:v>
      </x:c>
      <x:c r="AM2493" s="83" t="n">
        <x:f>'Inputs'!$C$50</x:f>
        <x:v>1</x:v>
      </x:c>
      <x:c r="AN2493" s="83" t="n">
        <x:f>'Inputs'!$D$50</x:f>
        <x:v>1</x:v>
      </x:c>
      <x:c r="AO2493" s="81" t="n">
        <x:f>'Inputs'!$E$50</x:f>
        <x:v>0</x:v>
      </x:c>
    </x:row>
    <x:row r="2494">
      <x:c r="A2494" s="59" t="str">
        <x:v>Whale exit</x:v>
      </x:c>
      <x:c r="B2494" s="59" t="n">
        <x:v>301</x:v>
      </x:c>
      <x:c r="C2494" s="78" t="n">
        <x:f>(('Inputs'!$B$29*(3*301*'Inputs'!$B$12-301^2)/(2*'Inputs'!$B$12^2))-('Inputs'!$B$29*(3*300*'Inputs'!$B$12-300^2)/(2*'Inputs'!$B$12^2)))*'Inputs'!$B$50</x:f>
        <x:v>614291.3773691356</x:v>
      </x:c>
      <x:c r="D2494" s="78" t="n">
        <x:f>IF('Inputs'!$C$50&gt;0,('Inputs'!$B$30*(3*301*'Inputs'!$B$12-301^2)/(2*'Inputs'!$B$12^2))-('Inputs'!$B$30*(3*300*'Inputs'!$B$12-300^2)/(2*'Inputs'!$B$12^2)),0)</x:f>
        <x:v>263267.7331581861</x:v>
      </x:c>
      <x:c r="E2494" s="78" t="n">
        <x:f>C2494+D2494</x:f>
        <x:v>877559.1105273217</x:v>
      </x:c>
      <x:c r="F2494" s="78" t="n">
        <x:f>'Inputs'!$B$13*E2494+(1-'Inputs'!$B$13)/'Inputs'!$B$14*SUM(E2439:E2494)</x:f>
        <x:v>887776.7873897578</x:v>
      </x:c>
      <x:c r="G2494" s="78" t="n">
        <x:f>F2494*'Inputs'!$F$50</x:f>
        <x:v>443888.3936948789</x:v>
      </x:c>
      <x:c r="H2494" s="78" t="n">
        <x:f>U2493</x:f>
        <x:v>140395639.6981735</x:v>
      </x:c>
      <x:c r="I2494" s="78" t="n">
        <x:f>V2493</x:f>
        <x:v>207.3934520504101</x:v>
      </x:c>
      <x:c r="J2494" s="79" t="n">
        <x:f>IF(H2494&gt;0,I2494/H2494,0)</x:f>
        <x:v>0.0000014772072159525068</x:v>
      </x:c>
      <x:c r="K2494" s="80" t="n">
        <x:f>(H2494*J2494+I2494)*'Inputs'!$D$50*(1+'Inputs'!$G$50)^(B2494/30)</x:f>
        <x:v>414.7869041008202</x:v>
      </x:c>
      <x:c r="L2494" s="80" t="n">
        <x:f>MAX(0,K2494*'Inputs'!$E$50)</x:f>
        <x:v>0</x:v>
      </x:c>
      <x:c r="M2494" s="80" t="n">
        <x:f>MAX(0,-K2494*'Inputs'!$E$50)</x:f>
        <x:v>0</x:v>
      </x:c>
      <x:c r="N2494" s="78" t="n">
        <x:f>H2494*(L2494*(1-'Inputs'!$B$15))/(I2494+L2494*(1-'Inputs'!$B$15))</x:f>
        <x:v>0</x:v>
      </x:c>
      <x:c r="O2494" s="78" t="n">
        <x:f>H2494-N2494</x:f>
        <x:v>140395639.6981735</x:v>
      </x:c>
      <x:c r="P2494" s="78" t="n">
        <x:f>I2494+L2494*(1-'Inputs'!$B$17)</x:f>
        <x:v>207.3934520504101</x:v>
      </x:c>
      <x:c r="Q2494" s="78" t="n">
        <x:f>IF(J2494&gt;0,M2494/J2494,0)</x:f>
        <x:v>0</x:v>
      </x:c>
      <x:c r="R2494" s="78" t="n">
        <x:f>IF(B2494='Inputs'!$H$50,'Inputs'!$B$27*'Inputs'!$I$50,0)</x:f>
        <x:v>0</x:v>
      </x:c>
      <x:c r="S2494" s="78" t="n">
        <x:f>Q2494+G2494+R2494</x:f>
        <x:v>443888.3936948789</x:v>
      </x:c>
      <x:c r="T2494" s="78" t="n">
        <x:f>P2494*(S2494*(1-'Inputs'!$B$15))/(O2494+S2494*(1-'Inputs'!$B$15))</x:f>
        <x:v>0.6471324109860033</x:v>
      </x:c>
      <x:c r="U2494" s="78" t="n">
        <x:f>O2494+S2494*(1-'Inputs'!$B$17)</x:f>
        <x:v>140837741.82066637</x:v>
      </x:c>
      <x:c r="V2494" s="78" t="n">
        <x:f>P2494-T2494</x:f>
        <x:v>206.74631963942412</x:v>
      </x:c>
      <x:c r="W2494" s="79" t="n">
        <x:f>IF(U2494&gt;0,V2494/U2494,0)</x:f>
        <x:v>0.0000014679752527037918</x:v>
      </x:c>
      <x:c r="X2494" s="80" t="n">
        <x:f>W2494*('Inputs'!$B$6-AC2494)</x:f>
        <x:v>1340.90626268357</x:v>
      </x:c>
      <x:c r="Y2494" s="80" t="n">
        <x:f>2*V2494</x:f>
        <x:v>413.49263927884823</x:v>
      </x:c>
      <x:c r="Z2494" s="80" t="n">
        <x:f>K2494*'Inputs'!$B$16+(G2494+R2494)*J2494*'Inputs'!$B$16</x:f>
        <x:v>2.4926557154343834</x:v>
      </x:c>
      <x:c r="AA2494" s="80" t="n">
        <x:f>K2494*(1+'Inputs'!$E$50)/2*'Inputs'!$B$17</x:f>
        <x:v>0.8345812959775055</x:v>
      </x:c>
      <x:c r="AB2494" s="78" t="n">
        <x:f>(IF(J2494&gt;0,K2494*(1-'Inputs'!$E$50)/2/J2494,0)+G2494+R2494)*'Inputs'!$B$17</x:f>
        <x:v>566758.6643535951</x:v>
      </x:c>
      <x:c r="AC2494" s="78" t="n">
        <x:f>AC2493+AB2494</x:f>
        <x:v>86560716.73291473</x:v>
      </x:c>
      <x:c r="AD2494" s="80" t="n">
        <x:f>Z2494/(1+'Inputs'!$C$50)</x:f>
        <x:v>1.2463278577171917</x:v>
      </x:c>
      <x:c r="AE2494" s="80" t="n">
        <x:f>Z2494-AD2494</x:f>
        <x:v>1.2463278577171917</x:v>
      </x:c>
      <x:c r="AF2494" s="80" t="n">
        <x:f>D2494*W2494</x:f>
        <x:v>0.38647051711164265</x:v>
      </x:c>
      <x:c r="AG2494" s="80" t="n">
        <x:f>C2494*W2494</x:f>
        <x:v>0.9017645399272172</x:v>
      </x:c>
      <x:c r="AH2494" s="80" t="n">
        <x:f>2*'Inputs'!$B$8*'Inputs'!$C$50</x:f>
        <x:v>5000</x:v>
      </x:c>
      <x:c r="AI2494" s="81" t="n">
        <x:f>IF(AH2494&gt;0,(AE2494+AF2494)/AH2494*365,0)</x:f>
        <x:v>0.11919428136250491</x:v>
      </x:c>
      <x:c r="AJ2494" s="81" t="n">
        <x:f>IF('Inputs'!$B$50&gt;0,AG2494/('Inputs'!$B$19*'Inputs'!$B$50)*365,0)</x:f>
        <x:v>0.03291440570734343</x:v>
      </x:c>
      <x:c r="AK2494" s="81" t="n">
        <x:f>W2494/MAX($W$2194:W2494)-1</x:f>
        <x:v>-0.9982581853278638</x:v>
      </x:c>
      <x:c r="AL2494" s="83" t="n">
        <x:f>'Inputs'!$B$50</x:f>
        <x:v>1</x:v>
      </x:c>
      <x:c r="AM2494" s="83" t="n">
        <x:f>'Inputs'!$C$50</x:f>
        <x:v>1</x:v>
      </x:c>
      <x:c r="AN2494" s="83" t="n">
        <x:f>'Inputs'!$D$50</x:f>
        <x:v>1</x:v>
      </x:c>
      <x:c r="AO2494" s="81" t="n">
        <x:f>'Inputs'!$E$50</x:f>
        <x:v>0</x:v>
      </x:c>
    </x:row>
    <x:row r="2495">
      <x:c r="A2495" s="59" t="str">
        <x:v>Whale exit</x:v>
      </x:c>
      <x:c r="B2495" s="59" t="n">
        <x:v>302</x:v>
      </x:c>
      <x:c r="C2495" s="78" t="n">
        <x:f>(('Inputs'!$B$29*(3*302*'Inputs'!$B$12-302^2)/(2*'Inputs'!$B$12^2))-('Inputs'!$B$29*(3*301*'Inputs'!$B$12-301^2)/(2*'Inputs'!$B$12^2)))*'Inputs'!$B$50</x:f>
        <x:v>613966.2694689333</x:v>
      </x:c>
      <x:c r="D2495" s="78" t="n">
        <x:f>IF('Inputs'!$C$50&gt;0,('Inputs'!$B$30*(3*302*'Inputs'!$B$12-302^2)/(2*'Inputs'!$B$12^2))-('Inputs'!$B$30*(3*301*'Inputs'!$B$12-301^2)/(2*'Inputs'!$B$12^2)),0)</x:f>
        <x:v>263128.40120097995</x:v>
      </x:c>
      <x:c r="E2495" s="78" t="n">
        <x:f>C2495+D2495</x:f>
        <x:v>877094.6706699133</x:v>
      </x:c>
      <x:c r="F2495" s="78" t="n">
        <x:f>'Inputs'!$B$13*E2495+(1-'Inputs'!$B$13)/'Inputs'!$B$14*SUM(E2440:E2495)</x:f>
        <x:v>887312.3475323691</x:v>
      </x:c>
      <x:c r="G2495" s="78" t="n">
        <x:f>F2495*'Inputs'!$F$50</x:f>
        <x:v>443656.17376618454</x:v>
      </x:c>
      <x:c r="H2495" s="78" t="n">
        <x:f>U2494</x:f>
        <x:v>140837741.82066637</x:v>
      </x:c>
      <x:c r="I2495" s="78" t="n">
        <x:f>V2494</x:f>
        <x:v>206.74631963942412</x:v>
      </x:c>
      <x:c r="J2495" s="79" t="n">
        <x:f>IF(H2495&gt;0,I2495/H2495,0)</x:f>
        <x:v>0.0000014679752527037918</x:v>
      </x:c>
      <x:c r="K2495" s="80" t="n">
        <x:f>(H2495*J2495+I2495)*'Inputs'!$D$50*(1+'Inputs'!$G$50)^(B2495/30)</x:f>
        <x:v>413.49263927884823</x:v>
      </x:c>
      <x:c r="L2495" s="80" t="n">
        <x:f>MAX(0,K2495*'Inputs'!$E$50)</x:f>
        <x:v>0</x:v>
      </x:c>
      <x:c r="M2495" s="80" t="n">
        <x:f>MAX(0,-K2495*'Inputs'!$E$50)</x:f>
        <x:v>0</x:v>
      </x:c>
      <x:c r="N2495" s="78" t="n">
        <x:f>H2495*(L2495*(1-'Inputs'!$B$15))/(I2495+L2495*(1-'Inputs'!$B$15))</x:f>
        <x:v>0</x:v>
      </x:c>
      <x:c r="O2495" s="78" t="n">
        <x:f>H2495-N2495</x:f>
        <x:v>140837741.82066637</x:v>
      </x:c>
      <x:c r="P2495" s="78" t="n">
        <x:f>I2495+L2495*(1-'Inputs'!$B$17)</x:f>
        <x:v>206.74631963942412</x:v>
      </x:c>
      <x:c r="Q2495" s="78" t="n">
        <x:f>IF(J2495&gt;0,M2495/J2495,0)</x:f>
        <x:v>0</x:v>
      </x:c>
      <x:c r="R2495" s="78" t="n">
        <x:f>IF(B2495='Inputs'!$H$50,'Inputs'!$B$27*'Inputs'!$I$50,0)</x:f>
        <x:v>0</x:v>
      </x:c>
      <x:c r="S2495" s="78" t="n">
        <x:f>Q2495+G2495+R2495</x:f>
        <x:v>443656.17376618454</x:v>
      </x:c>
      <x:c r="T2495" s="78" t="n">
        <x:f>P2495*(S2495*(1-'Inputs'!$B$15))/(O2495+S2495*(1-'Inputs'!$B$15))</x:f>
        <x:v>0.642758998915855</x:v>
      </x:c>
      <x:c r="U2495" s="78" t="n">
        <x:f>O2495+S2495*(1-'Inputs'!$B$17)</x:f>
        <x:v>141279612.6577172</x:v>
      </x:c>
      <x:c r="V2495" s="78" t="n">
        <x:f>P2495-T2495</x:f>
        <x:v>206.10356064050825</x:v>
      </x:c>
      <x:c r="W2495" s="79" t="n">
        <x:f>IF(U2495&gt;0,V2495/U2495,0)</x:f>
        <x:v>0.0000014588344118683436</x:v>
      </x:c>
      <x:c r="X2495" s="80" t="n">
        <x:f>W2495*('Inputs'!$B$6-AC2495)</x:f>
        <x:v>1331.727258515373</x:v>
      </x:c>
      <x:c r="Y2495" s="80" t="n">
        <x:f>2*V2495</x:f>
        <x:v>412.2071212810165</x:v>
      </x:c>
      <x:c r="Z2495" s="80" t="n">
        <x:f>K2495*'Inputs'!$B$16+(G2495+R2495)*J2495*'Inputs'!$B$16</x:f>
        <x:v>2.4848634933758778</x:v>
      </x:c>
      <x:c r="AA2495" s="80" t="n">
        <x:f>K2495*(1+'Inputs'!$E$50)/2*'Inputs'!$B$17</x:f>
        <x:v>0.8319771414061333</x:v>
      </x:c>
      <x:c r="AB2495" s="78" t="n">
        <x:f>(IF(J2495&gt;0,K2495*(1-'Inputs'!$E$50)/2/J2495,0)+G2495+R2495)*'Inputs'!$B$17</x:f>
        <x:v>568536.8128548595</x:v>
      </x:c>
      <x:c r="AC2495" s="78" t="n">
        <x:f>AC2494+AB2495</x:f>
        <x:v>87129253.54576959</x:v>
      </x:c>
      <x:c r="AD2495" s="80" t="n">
        <x:f>Z2495/(1+'Inputs'!$C$50)</x:f>
        <x:v>1.2424317466879389</x:v>
      </x:c>
      <x:c r="AE2495" s="80" t="n">
        <x:f>Z2495-AD2495</x:f>
        <x:v>1.2424317466879389</x:v>
      </x:c>
      <x:c r="AF2495" s="80" t="n">
        <x:f>D2495*W2495</x:f>
        <x:v>0.38386076641188915</x:v>
      </x:c>
      <x:c r="AG2495" s="80" t="n">
        <x:f>C2495*W2495</x:f>
        <x:v>0.8956751216277123</x:v>
      </x:c>
      <x:c r="AH2495" s="80" t="n">
        <x:f>2*'Inputs'!$B$8*'Inputs'!$C$50</x:f>
        <x:v>5000</x:v>
      </x:c>
      <x:c r="AI2495" s="81" t="n">
        <x:f>IF(AH2495&gt;0,(AE2495+AF2495)/AH2495*365,0)</x:f>
        <x:v>0.11871935345628744</x:v>
      </x:c>
      <x:c r="AJ2495" s="81" t="n">
        <x:f>IF('Inputs'!$B$50&gt;0,AG2495/('Inputs'!$B$19*'Inputs'!$B$50)*365,0)</x:f>
        <x:v>0.0326921419394115</x:v>
      </x:c>
      <x:c r="AK2495" s="81" t="n">
        <x:f>W2495/MAX($W$2194:W2495)-1</x:f>
        <x:v>-0.9982690313217956</x:v>
      </x:c>
      <x:c r="AL2495" s="83" t="n">
        <x:f>'Inputs'!$B$50</x:f>
        <x:v>1</x:v>
      </x:c>
      <x:c r="AM2495" s="83" t="n">
        <x:f>'Inputs'!$C$50</x:f>
        <x:v>1</x:v>
      </x:c>
      <x:c r="AN2495" s="83" t="n">
        <x:f>'Inputs'!$D$50</x:f>
        <x:v>1</x:v>
      </x:c>
      <x:c r="AO2495" s="81" t="n">
        <x:f>'Inputs'!$E$50</x:f>
        <x:v>0</x:v>
      </x:c>
    </x:row>
    <x:row r="2496">
      <x:c r="A2496" s="59" t="str">
        <x:v>Whale exit</x:v>
      </x:c>
      <x:c r="B2496" s="59" t="n">
        <x:v>303</x:v>
      </x:c>
      <x:c r="C2496" s="78" t="n">
        <x:f>(('Inputs'!$B$29*(3*303*'Inputs'!$B$12-303^2)/(2*'Inputs'!$B$12^2))-('Inputs'!$B$29*(3*302*'Inputs'!$B$12-302^2)/(2*'Inputs'!$B$12^2)))*'Inputs'!$B$50</x:f>
        <x:v>613641.1615687609</x:v>
      </x:c>
      <x:c r="D2496" s="78" t="n">
        <x:f>IF('Inputs'!$C$50&gt;0,('Inputs'!$B$30*(3*303*'Inputs'!$B$12-303^2)/(2*'Inputs'!$B$12^2))-('Inputs'!$B$30*(3*302*'Inputs'!$B$12-302^2)/(2*'Inputs'!$B$12^2)),0)</x:f>
        <x:v>262989.0692437589</x:v>
      </x:c>
      <x:c r="E2496" s="78" t="n">
        <x:f>C2496+D2496</x:f>
        <x:v>876630.2308125198</x:v>
      </x:c>
      <x:c r="F2496" s="78" t="n">
        <x:f>'Inputs'!$B$13*E2496+(1-'Inputs'!$B$13)/'Inputs'!$B$14*SUM(E2441:E2496)</x:f>
        <x:v>886847.9076749828</x:v>
      </x:c>
      <x:c r="G2496" s="78" t="n">
        <x:f>F2496*'Inputs'!$F$50</x:f>
        <x:v>443423.9538374914</x:v>
      </x:c>
      <x:c r="H2496" s="78" t="n">
        <x:f>U2495</x:f>
        <x:v>141279612.6577172</x:v>
      </x:c>
      <x:c r="I2496" s="78" t="n">
        <x:f>V2495</x:f>
        <x:v>206.10356064050825</x:v>
      </x:c>
      <x:c r="J2496" s="79" t="n">
        <x:f>IF(H2496&gt;0,I2496/H2496,0)</x:f>
        <x:v>0.0000014588344118683436</x:v>
      </x:c>
      <x:c r="K2496" s="80" t="n">
        <x:f>(H2496*J2496+I2496)*'Inputs'!$D$50*(1+'Inputs'!$G$50)^(B2496/30)</x:f>
        <x:v>412.2071212810165</x:v>
      </x:c>
      <x:c r="L2496" s="80" t="n">
        <x:f>MAX(0,K2496*'Inputs'!$E$50)</x:f>
        <x:v>0</x:v>
      </x:c>
      <x:c r="M2496" s="80" t="n">
        <x:f>MAX(0,-K2496*'Inputs'!$E$50)</x:f>
        <x:v>0</x:v>
      </x:c>
      <x:c r="N2496" s="78" t="n">
        <x:f>H2496*(L2496*(1-'Inputs'!$B$15))/(I2496+L2496*(1-'Inputs'!$B$15))</x:f>
        <x:v>0</x:v>
      </x:c>
      <x:c r="O2496" s="78" t="n">
        <x:f>H2496-N2496</x:f>
        <x:v>141279612.6577172</x:v>
      </x:c>
      <x:c r="P2496" s="78" t="n">
        <x:f>I2496+L2496*(1-'Inputs'!$B$17)</x:f>
        <x:v>206.10356064050825</x:v>
      </x:c>
      <x:c r="Q2496" s="78" t="n">
        <x:f>IF(J2496&gt;0,M2496/J2496,0)</x:f>
        <x:v>0</x:v>
      </x:c>
      <x:c r="R2496" s="78" t="n">
        <x:f>IF(B2496='Inputs'!$H$50,'Inputs'!$B$27*'Inputs'!$I$50,0)</x:f>
        <x:v>0</x:v>
      </x:c>
      <x:c r="S2496" s="78" t="n">
        <x:f>Q2496+G2496+R2496</x:f>
        <x:v>443423.9538374914</x:v>
      </x:c>
      <x:c r="T2496" s="78" t="n">
        <x:f>P2496*(S2496*(1-'Inputs'!$B$15))/(O2496+S2496*(1-'Inputs'!$B$15))</x:f>
        <x:v>0.6384295476193107</x:v>
      </x:c>
      <x:c r="U2496" s="78" t="n">
        <x:f>O2496+S2496*(1-'Inputs'!$B$17)</x:f>
        <x:v>141721252.20932597</x:v>
      </x:c>
      <x:c r="V2496" s="78" t="n">
        <x:f>P2496-T2496</x:f>
        <x:v>205.46513109288892</x:v>
      </x:c>
      <x:c r="W2496" s="79" t="n">
        <x:f>IF(U2496&gt;0,V2496/U2496,0)</x:f>
        <x:v>0.0000014497834861733481</x:v>
      </x:c>
      <x:c r="X2496" s="80" t="n">
        <x:f>W2496*('Inputs'!$B$6-AC2496)</x:f>
        <x:v>1322.6381013565403</x:v>
      </x:c>
      <x:c r="Y2496" s="80" t="n">
        <x:f>2*V2496</x:f>
        <x:v>410.93026218577785</x:v>
      </x:c>
      <x:c r="Z2496" s="80" t="n">
        <x:f>K2496*'Inputs'!$B$16+(G2496+R2496)*J2496*'Inputs'!$B$16</x:f>
        <x:v>2.477124020423528</x:v>
      </x:c>
      <x:c r="AA2496" s="80" t="n">
        <x:f>K2496*(1+'Inputs'!$E$50)/2*'Inputs'!$B$17</x:f>
        <x:v>0.8293905860785041</x:v>
      </x:c>
      <x:c r="AB2496" s="78" t="n">
        <x:f>(IF(J2496&gt;0,K2496*(1-'Inputs'!$E$50)/2/J2496,0)+G2496+R2496)*'Inputs'!$B$17</x:f>
        <x:v>570314.0306299988</x:v>
      </x:c>
      <x:c r="AC2496" s="78" t="n">
        <x:f>AC2495+AB2496</x:f>
        <x:v>87699567.57639958</x:v>
      </x:c>
      <x:c r="AD2496" s="80" t="n">
        <x:f>Z2496/(1+'Inputs'!$C$50)</x:f>
        <x:v>1.238562010211764</x:v>
      </x:c>
      <x:c r="AE2496" s="80" t="n">
        <x:f>Z2496-AD2496</x:f>
        <x:v>1.238562010211764</x:v>
      </x:c>
      <x:c r="AF2496" s="80" t="n">
        <x:f>D2496*W2496</x:f>
        <x:v>0.3812772096337009</x:v>
      </x:c>
      <x:c r="AG2496" s="80" t="n">
        <x:f>C2496*W2496</x:f>
        <x:v>0.8896468224786209</x:v>
      </x:c>
      <x:c r="AH2496" s="80" t="n">
        <x:f>2*'Inputs'!$B$8*'Inputs'!$C$50</x:f>
        <x:v>5000</x:v>
      </x:c>
      <x:c r="AI2496" s="81" t="n">
        <x:f>IF(AH2496&gt;0,(AE2496+AF2496)/AH2496*365,0)</x:f>
        <x:v>0.11824826304871895</x:v>
      </x:c>
      <x:c r="AJ2496" s="81" t="n">
        <x:f>IF('Inputs'!$B$50&gt;0,AG2496/('Inputs'!$B$19*'Inputs'!$B$50)*365,0)</x:f>
        <x:v>0.03247210902046967</x:v>
      </x:c>
      <x:c r="AK2496" s="81" t="n">
        <x:f>W2496/MAX($W$2194:W2496)-1</x:f>
        <x:v>-0.9982797706276135</x:v>
      </x:c>
      <x:c r="AL2496" s="83" t="n">
        <x:f>'Inputs'!$B$50</x:f>
        <x:v>1</x:v>
      </x:c>
      <x:c r="AM2496" s="83" t="n">
        <x:f>'Inputs'!$C$50</x:f>
        <x:v>1</x:v>
      </x:c>
      <x:c r="AN2496" s="83" t="n">
        <x:f>'Inputs'!$D$50</x:f>
        <x:v>1</x:v>
      </x:c>
      <x:c r="AO2496" s="81" t="n">
        <x:f>'Inputs'!$E$50</x:f>
        <x:v>0</x:v>
      </x:c>
    </x:row>
    <x:row r="2497">
      <x:c r="A2497" s="59" t="str">
        <x:v>Whale exit</x:v>
      </x:c>
      <x:c r="B2497" s="59" t="n">
        <x:v>304</x:v>
      </x:c>
      <x:c r="C2497" s="78" t="n">
        <x:f>(('Inputs'!$B$29*(3*304*'Inputs'!$B$12-304^2)/(2*'Inputs'!$B$12^2))-('Inputs'!$B$29*(3*303*'Inputs'!$B$12-303^2)/(2*'Inputs'!$B$12^2)))*'Inputs'!$B$50</x:f>
        <x:v>613316.0536686182</x:v>
      </x:c>
      <x:c r="D2497" s="78" t="n">
        <x:f>IF('Inputs'!$C$50&gt;0,('Inputs'!$B$30*(3*304*'Inputs'!$B$12-304^2)/(2*'Inputs'!$B$12^2))-('Inputs'!$B$30*(3*303*'Inputs'!$B$12-303^2)/(2*'Inputs'!$B$12^2)),0)</x:f>
        <x:v>262849.7372865379</x:v>
      </x:c>
      <x:c r="E2497" s="78" t="n">
        <x:f>C2497+D2497</x:f>
        <x:v>876165.7909551561</x:v>
      </x:c>
      <x:c r="F2497" s="78" t="n">
        <x:f>'Inputs'!$B$13*E2497+(1-'Inputs'!$B$13)/'Inputs'!$B$14*SUM(E2442:E2497)</x:f>
        <x:v>886383.4678176027</x:v>
      </x:c>
      <x:c r="G2497" s="78" t="n">
        <x:f>F2497*'Inputs'!$F$50</x:f>
        <x:v>443191.73390880134</x:v>
      </x:c>
      <x:c r="H2497" s="78" t="n">
        <x:f>U2496</x:f>
        <x:v>141721252.20932597</x:v>
      </x:c>
      <x:c r="I2497" s="78" t="n">
        <x:f>V2496</x:f>
        <x:v>205.46513109288892</x:v>
      </x:c>
      <x:c r="J2497" s="79" t="n">
        <x:f>IF(H2497&gt;0,I2497/H2497,0)</x:f>
        <x:v>0.0000014497834861733481</x:v>
      </x:c>
      <x:c r="K2497" s="80" t="n">
        <x:f>(H2497*J2497+I2497)*'Inputs'!$D$50*(1+'Inputs'!$G$50)^(B2497/30)</x:f>
        <x:v>410.93026218577785</x:v>
      </x:c>
      <x:c r="L2497" s="80" t="n">
        <x:f>MAX(0,K2497*'Inputs'!$E$50)</x:f>
        <x:v>0</x:v>
      </x:c>
      <x:c r="M2497" s="80" t="n">
        <x:f>MAX(0,-K2497*'Inputs'!$E$50)</x:f>
        <x:v>0</x:v>
      </x:c>
      <x:c r="N2497" s="78" t="n">
        <x:f>H2497*(L2497*(1-'Inputs'!$B$15))/(I2497+L2497*(1-'Inputs'!$B$15))</x:f>
        <x:v>0</x:v>
      </x:c>
      <x:c r="O2497" s="78" t="n">
        <x:f>H2497-N2497</x:f>
        <x:v>141721252.20932597</x:v>
      </x:c>
      <x:c r="P2497" s="78" t="n">
        <x:f>I2497+L2497*(1-'Inputs'!$B$17)</x:f>
        <x:v>205.46513109288892</x:v>
      </x:c>
      <x:c r="Q2497" s="78" t="n">
        <x:f>IF(J2497&gt;0,M2497/J2497,0)</x:f>
        <x:v>0</x:v>
      </x:c>
      <x:c r="R2497" s="78" t="n">
        <x:f>IF(B2497='Inputs'!$H$50,'Inputs'!$B$27*'Inputs'!$I$50,0)</x:f>
        <x:v>0</x:v>
      </x:c>
      <x:c r="S2497" s="78" t="n">
        <x:f>Q2497+G2497+R2497</x:f>
        <x:v>443191.73390880134</x:v>
      </x:c>
      <x:c r="T2497" s="78" t="n">
        <x:f>P2497*(S2497*(1-'Inputs'!$B$15))/(O2497+S2497*(1-'Inputs'!$B$15))</x:f>
        <x:v>0.6341434693559709</x:v>
      </x:c>
      <x:c r="U2497" s="78" t="n">
        <x:f>O2497+S2497*(1-'Inputs'!$B$17)</x:f>
        <x:v>142162660.4754927</x:v>
      </x:c>
      <x:c r="V2497" s="78" t="n">
        <x:f>P2497-T2497</x:f>
        <x:v>204.83098762353296</x:v>
      </x:c>
      <x:c r="W2497" s="79" t="n">
        <x:f>IF(U2497&gt;0,V2497/U2497,0)</x:f>
        <x:v>0.0000014408212883638572</x:v>
      </x:c>
      <x:c r="X2497" s="80" t="n">
        <x:f>W2497*('Inputs'!$B$6-AC2497)</x:f>
        <x:v>1313.637604510897</x:v>
      </x:c>
      <x:c r="Y2497" s="80" t="n">
        <x:f>2*V2497</x:f>
        <x:v>409.6619752470659</x:v>
      </x:c>
      <x:c r="Z2497" s="80" t="n">
        <x:f>K2497*'Inputs'!$B$16+(G2497+R2497)*J2497*'Inputs'!$B$16</x:f>
        <x:v>2.469436765456844</x:v>
      </x:c>
      <x:c r="AA2497" s="80" t="n">
        <x:f>K2497*(1+'Inputs'!$E$50)/2*'Inputs'!$B$17</x:f>
        <x:v>0.8268214530900964</x:v>
      </x:c>
      <x:c r="AB2497" s="78" t="n">
        <x:f>(IF(J2497&gt;0,K2497*(1-'Inputs'!$E$50)/2/J2497,0)+G2497+R2497)*'Inputs'!$B$17</x:f>
        <x:v>572090.3176790132</x:v>
      </x:c>
      <x:c r="AC2497" s="78" t="n">
        <x:f>AC2496+AB2497</x:f>
        <x:v>88271657.8940786</x:v>
      </x:c>
      <x:c r="AD2497" s="80" t="n">
        <x:f>Z2497/(1+'Inputs'!$C$50)</x:f>
        <x:v>1.234718382728422</x:v>
      </x:c>
      <x:c r="AE2497" s="80" t="n">
        <x:f>Z2497-AD2497</x:f>
        <x:v>1.234718382728422</x:v>
      </x:c>
      <x:c r="AF2497" s="80" t="n">
        <x:f>D2497*W2497</x:f>
        <x:v>0.3787194971232909</x:v>
      </x:c>
      <x:c r="AG2497" s="80" t="n">
        <x:f>C2497*W2497</x:f>
        <x:v>0.883678826621055</x:v>
      </x:c>
      <x:c r="AH2497" s="80" t="n">
        <x:f>2*'Inputs'!$B$8*'Inputs'!$C$50</x:f>
        <x:v>5000</x:v>
      </x:c>
      <x:c r="AI2497" s="81" t="n">
        <x:f>IF(AH2497&gt;0,(AE2497+AF2497)/AH2497*365,0)</x:f>
        <x:v>0.11778096522917504</x:v>
      </x:c>
      <x:c r="AJ2497" s="81" t="n">
        <x:f>IF('Inputs'!$B$50&gt;0,AG2497/('Inputs'!$B$19*'Inputs'!$B$50)*365,0)</x:f>
        <x:v>0.03225427717166851</x:v>
      </x:c>
      <x:c r="AK2497" s="81" t="n">
        <x:f>W2497/MAX($W$2194:W2497)-1</x:f>
        <x:v>-0.9982904046540458</x:v>
      </x:c>
      <x:c r="AL2497" s="83" t="n">
        <x:f>'Inputs'!$B$50</x:f>
        <x:v>1</x:v>
      </x:c>
      <x:c r="AM2497" s="83" t="n">
        <x:f>'Inputs'!$C$50</x:f>
        <x:v>1</x:v>
      </x:c>
      <x:c r="AN2497" s="83" t="n">
        <x:f>'Inputs'!$D$50</x:f>
        <x:v>1</x:v>
      </x:c>
      <x:c r="AO2497" s="81" t="n">
        <x:f>'Inputs'!$E$50</x:f>
        <x:v>0</x:v>
      </x:c>
    </x:row>
    <x:row r="2498">
      <x:c r="A2498" s="59" t="str">
        <x:v>Whale exit</x:v>
      </x:c>
      <x:c r="B2498" s="59" t="n">
        <x:v>305</x:v>
      </x:c>
      <x:c r="C2498" s="78" t="n">
        <x:f>(('Inputs'!$B$29*(3*305*'Inputs'!$B$12-305^2)/(2*'Inputs'!$B$12^2))-('Inputs'!$B$29*(3*304*'Inputs'!$B$12-304^2)/(2*'Inputs'!$B$12^2)))*'Inputs'!$B$50</x:f>
        <x:v>612990.9457684457</x:v>
      </x:c>
      <x:c r="D2498" s="78" t="n">
        <x:f>IF('Inputs'!$C$50&gt;0,('Inputs'!$B$30*(3*305*'Inputs'!$B$12-305^2)/(2*'Inputs'!$B$12^2))-('Inputs'!$B$30*(3*304*'Inputs'!$B$12-304^2)/(2*'Inputs'!$B$12^2)),0)</x:f>
        <x:v>262710.40532933176</x:v>
      </x:c>
      <x:c r="E2498" s="78" t="n">
        <x:f>C2498+D2498</x:f>
        <x:v>875701.3510977775</x:v>
      </x:c>
      <x:c r="F2498" s="78" t="n">
        <x:f>'Inputs'!$B$13*E2498+(1-'Inputs'!$B$13)/'Inputs'!$B$14*SUM(E2443:E2498)</x:f>
        <x:v>885919.0279602198</x:v>
      </x:c>
      <x:c r="G2498" s="78" t="n">
        <x:f>F2498*'Inputs'!$F$50</x:f>
        <x:v>442959.5139801099</x:v>
      </x:c>
      <x:c r="H2498" s="78" t="n">
        <x:f>U2497</x:f>
        <x:v>142162660.4754927</x:v>
      </x:c>
      <x:c r="I2498" s="78" t="n">
        <x:f>V2497</x:f>
        <x:v>204.83098762353296</x:v>
      </x:c>
      <x:c r="J2498" s="79" t="n">
        <x:f>IF(H2498&gt;0,I2498/H2498,0)</x:f>
        <x:v>0.0000014408212883638572</x:v>
      </x:c>
      <x:c r="K2498" s="80" t="n">
        <x:f>(H2498*J2498+I2498)*'Inputs'!$D$50*(1+'Inputs'!$G$50)^(B2498/30)</x:f>
        <x:v>409.6619752470659</x:v>
      </x:c>
      <x:c r="L2498" s="80" t="n">
        <x:f>MAX(0,K2498*'Inputs'!$E$50)</x:f>
        <x:v>0</x:v>
      </x:c>
      <x:c r="M2498" s="80" t="n">
        <x:f>MAX(0,-K2498*'Inputs'!$E$50)</x:f>
        <x:v>0</x:v>
      </x:c>
      <x:c r="N2498" s="78" t="n">
        <x:f>H2498*(L2498*(1-'Inputs'!$B$15))/(I2498+L2498*(1-'Inputs'!$B$15))</x:f>
        <x:v>0</x:v>
      </x:c>
      <x:c r="O2498" s="78" t="n">
        <x:f>H2498-N2498</x:f>
        <x:v>142162660.4754927</x:v>
      </x:c>
      <x:c r="P2498" s="78" t="n">
        <x:f>I2498+L2498*(1-'Inputs'!$B$17)</x:f>
        <x:v>204.83098762353296</x:v>
      </x:c>
      <x:c r="Q2498" s="78" t="n">
        <x:f>IF(J2498&gt;0,M2498/J2498,0)</x:f>
        <x:v>0</x:v>
      </x:c>
      <x:c r="R2498" s="78" t="n">
        <x:f>IF(B2498='Inputs'!$H$50,'Inputs'!$B$27*'Inputs'!$I$50,0)</x:f>
        <x:v>0</x:v>
      </x:c>
      <x:c r="S2498" s="78" t="n">
        <x:f>Q2498+G2498+R2498</x:f>
        <x:v>442959.5139801099</x:v>
      </x:c>
      <x:c r="T2498" s="78" t="n">
        <x:f>P2498*(S2498*(1-'Inputs'!$B$15))/(O2498+S2498*(1-'Inputs'!$B$15))</x:f>
        <x:v>0.6299001861775331</x:v>
      </x:c>
      <x:c r="U2498" s="78" t="n">
        <x:f>O2498+S2498*(1-'Inputs'!$B$17)</x:f>
        <x:v>142603837.45621735</x:v>
      </x:c>
      <x:c r="V2498" s="78" t="n">
        <x:f>P2498-T2498</x:f>
        <x:v>204.20108743735543</x:v>
      </x:c>
      <x:c r="W2498" s="79" t="n">
        <x:f>IF(U2498&gt;0,V2498/U2498,0)</x:f>
        <x:v>0.0000014319466508048905</x:v>
      </x:c>
      <x:c r="X2498" s="80" t="n">
        <x:f>W2498*('Inputs'!$B$6-AC2498)</x:f>
        <x:v>1304.7246008925706</x:v>
      </x:c>
      <x:c r="Y2498" s="80" t="n">
        <x:f>2*V2498</x:f>
        <x:v>408.40217487471085</x:v>
      </x:c>
      <x:c r="Z2498" s="80" t="n">
        <x:f>K2498*'Inputs'!$B$16+(G2498+R2498)*J2498*'Inputs'!$B$16</x:f>
        <x:v>2.4618012044681503</x:v>
      </x:c>
      <x:c r="AA2498" s="80" t="n">
        <x:f>K2498*(1+'Inputs'!$E$50)/2*'Inputs'!$B$17</x:f>
        <x:v>0.8242695679015412</x:v>
      </x:c>
      <x:c r="AB2498" s="78" t="n">
        <x:f>(IF(J2498&gt;0,K2498*(1-'Inputs'!$E$50)/2/J2498,0)+G2498+R2498)*'Inputs'!$B$17</x:f>
        <x:v>573865.6740019027</x:v>
      </x:c>
      <x:c r="AC2498" s="78" t="n">
        <x:f>AC2497+AB2498</x:f>
        <x:v>88845523.5680805</x:v>
      </x:c>
      <x:c r="AD2498" s="80" t="n">
        <x:f>Z2498/(1+'Inputs'!$C$50)</x:f>
        <x:v>1.2309006022340752</x:v>
      </x:c>
      <x:c r="AE2498" s="80" t="n">
        <x:f>Z2498-AD2498</x:f>
        <x:v>1.2309006022340752</x:v>
      </x:c>
      <x:c r="AF2498" s="80" t="n">
        <x:f>D2498*W2498</x:f>
        <x:v>0.37618728504293186</x:v>
      </x:c>
      <x:c r="AG2498" s="80" t="n">
        <x:f>C2498*W2498</x:f>
        <x:v>0.8777703317668482</x:v>
      </x:c>
      <x:c r="AH2498" s="80" t="n">
        <x:f>2*'Inputs'!$B$8*'Inputs'!$C$50</x:f>
        <x:v>5000</x:v>
      </x:c>
      <x:c r="AI2498" s="81" t="n">
        <x:f>IF(AH2498&gt;0,(AE2498+AF2498)/AH2498*365,0)</x:f>
        <x:v>0.1173174157712215</x:v>
      </x:c>
      <x:c r="AJ2498" s="81" t="n">
        <x:f>IF('Inputs'!$B$50&gt;0,AG2498/('Inputs'!$B$19*'Inputs'!$B$50)*365,0)</x:f>
        <x:v>0.03203861710948996</x:v>
      </x:c>
      <x:c r="AK2498" s="81" t="n">
        <x:f>W2498/MAX($W$2194:W2498)-1</x:f>
        <x:v>-0.9983009347865406</x:v>
      </x:c>
      <x:c r="AL2498" s="83" t="n">
        <x:f>'Inputs'!$B$50</x:f>
        <x:v>1</x:v>
      </x:c>
      <x:c r="AM2498" s="83" t="n">
        <x:f>'Inputs'!$C$50</x:f>
        <x:v>1</x:v>
      </x:c>
      <x:c r="AN2498" s="83" t="n">
        <x:f>'Inputs'!$D$50</x:f>
        <x:v>1</x:v>
      </x:c>
      <x:c r="AO2498" s="81" t="n">
        <x:f>'Inputs'!$E$50</x:f>
        <x:v>0</x:v>
      </x:c>
    </x:row>
    <x:row r="2499">
      <x:c r="A2499" s="59" t="str">
        <x:v>Whale exit</x:v>
      </x:c>
      <x:c r="B2499" s="59" t="n">
        <x:v>306</x:v>
      </x:c>
      <x:c r="C2499" s="78" t="n">
        <x:f>(('Inputs'!$B$29*(3*306*'Inputs'!$B$12-306^2)/(2*'Inputs'!$B$12^2))-('Inputs'!$B$29*(3*305*'Inputs'!$B$12-305^2)/(2*'Inputs'!$B$12^2)))*'Inputs'!$B$50</x:f>
        <x:v>612665.8378682733</x:v>
      </x:c>
      <x:c r="D2499" s="78" t="n">
        <x:f>IF('Inputs'!$C$50&gt;0,('Inputs'!$B$30*(3*306*'Inputs'!$B$12-306^2)/(2*'Inputs'!$B$12^2))-('Inputs'!$B$30*(3*305*'Inputs'!$B$12-305^2)/(2*'Inputs'!$B$12^2)),0)</x:f>
        <x:v>262571.0733721107</x:v>
      </x:c>
      <x:c r="E2499" s="78" t="n">
        <x:f>C2499+D2499</x:f>
        <x:v>875236.911240384</x:v>
      </x:c>
      <x:c r="F2499" s="78" t="n">
        <x:f>'Inputs'!$B$13*E2499+(1-'Inputs'!$B$13)/'Inputs'!$B$14*SUM(E2444:E2499)</x:f>
        <x:v>885454.5881028338</x:v>
      </x:c>
      <x:c r="G2499" s="78" t="n">
        <x:f>F2499*'Inputs'!$F$50</x:f>
        <x:v>442727.2940514169</x:v>
      </x:c>
      <x:c r="H2499" s="78" t="n">
        <x:f>U2498</x:f>
        <x:v>142603837.45621735</x:v>
      </x:c>
      <x:c r="I2499" s="78" t="n">
        <x:f>V2498</x:f>
        <x:v>204.20108743735543</x:v>
      </x:c>
      <x:c r="J2499" s="79" t="n">
        <x:f>IF(H2499&gt;0,I2499/H2499,0)</x:f>
        <x:v>0.0000014319466508048905</x:v>
      </x:c>
      <x:c r="K2499" s="80" t="n">
        <x:f>(H2499*J2499+I2499)*'Inputs'!$D$50*(1+'Inputs'!$G$50)^(B2499/30)</x:f>
        <x:v>408.40217487471085</x:v>
      </x:c>
      <x:c r="L2499" s="80" t="n">
        <x:f>MAX(0,K2499*'Inputs'!$E$50)</x:f>
        <x:v>0</x:v>
      </x:c>
      <x:c r="M2499" s="80" t="n">
        <x:f>MAX(0,-K2499*'Inputs'!$E$50)</x:f>
        <x:v>0</x:v>
      </x:c>
      <x:c r="N2499" s="78" t="n">
        <x:f>H2499*(L2499*(1-'Inputs'!$B$15))/(I2499+L2499*(1-'Inputs'!$B$15))</x:f>
        <x:v>0</x:v>
      </x:c>
      <x:c r="O2499" s="78" t="n">
        <x:f>H2499-N2499</x:f>
        <x:v>142603837.45621735</x:v>
      </x:c>
      <x:c r="P2499" s="78" t="n">
        <x:f>I2499+L2499*(1-'Inputs'!$B$17)</x:f>
        <x:v>204.20108743735543</x:v>
      </x:c>
      <x:c r="Q2499" s="78" t="n">
        <x:f>IF(J2499&gt;0,M2499/J2499,0)</x:f>
        <x:v>0</x:v>
      </x:c>
      <x:c r="R2499" s="78" t="n">
        <x:f>IF(B2499='Inputs'!$H$50,'Inputs'!$B$27*'Inputs'!$I$50,0)</x:f>
        <x:v>0</x:v>
      </x:c>
      <x:c r="S2499" s="78" t="n">
        <x:f>Q2499+G2499+R2499</x:f>
        <x:v>442727.2940514169</x:v>
      </x:c>
      <x:c r="T2499" s="78" t="n">
        <x:f>P2499*(S2499*(1-'Inputs'!$B$15))/(O2499+S2499*(1-'Inputs'!$B$15))</x:f>
        <x:v>0.6256991297326487</x:v>
      </x:c>
      <x:c r="U2499" s="78" t="n">
        <x:f>O2499+S2499*(1-'Inputs'!$B$17)</x:f>
        <x:v>143044783.15149996</x:v>
      </x:c>
      <x:c r="V2499" s="78" t="n">
        <x:f>P2499-T2499</x:f>
        <x:v>203.57538830762277</x:v>
      </x:c>
      <x:c r="W2499" s="79" t="n">
        <x:f>IF(U2499&gt;0,V2499/U2499,0)</x:f>
        <x:v>0.000001423158425092751</x:v>
      </x:c>
      <x:c r="X2499" s="80" t="n">
        <x:f>W2499*('Inputs'!$B$6-AC2499)</x:f>
        <x:v>1295.8979426374956</x:v>
      </x:c>
      <x:c r="Y2499" s="80" t="n">
        <x:f>2*V2499</x:f>
        <x:v>407.15077661524555</x:v>
      </x:c>
      <x:c r="Z2499" s="80" t="n">
        <x:f>K2499*'Inputs'!$B$16+(G2499+R2499)*J2499*'Inputs'!$B$16</x:f>
        <x:v>2.4542168204438863</x:v>
      </x:c>
      <x:c r="AA2499" s="80" t="n">
        <x:f>K2499*(1+'Inputs'!$E$50)/2*'Inputs'!$B$17</x:f>
        <x:v>0.821734758299217</x:v>
      </x:c>
      <x:c r="AB2499" s="78" t="n">
        <x:f>(IF(J2499&gt;0,K2499*(1-'Inputs'!$E$50)/2/J2499,0)+G2499+R2499)*'Inputs'!$B$17</x:f>
        <x:v>575640.0995986671</x:v>
      </x:c>
      <x:c r="AC2499" s="78" t="n">
        <x:f>AC2498+AB2499</x:f>
        <x:v>89421163.66767916</x:v>
      </x:c>
      <x:c r="AD2499" s="80" t="n">
        <x:f>Z2499/(1+'Inputs'!$C$50)</x:f>
        <x:v>1.2271084102219432</x:v>
      </x:c>
      <x:c r="AE2499" s="80" t="n">
        <x:f>Z2499-AD2499</x:f>
        <x:v>1.2271084102219432</x:v>
      </x:c>
      <x:c r="AF2499" s="80" t="n">
        <x:f>D2499*W2499</x:f>
        <x:v>0.37368023525516625</x:v>
      </x:c>
      <x:c r="AG2499" s="80" t="n">
        <x:f>C2499*W2499</x:f>
        <x:v>0.8719205489287425</x:v>
      </x:c>
      <x:c r="AH2499" s="80" t="n">
        <x:f>2*'Inputs'!$B$8*'Inputs'!$C$50</x:f>
        <x:v>5000</x:v>
      </x:c>
      <x:c r="AI2499" s="81" t="n">
        <x:f>IF(AH2499&gt;0,(AE2499+AF2499)/AH2499*365,0)</x:f>
        <x:v>0.11685757111982899</x:v>
      </x:c>
      <x:c r="AJ2499" s="81" t="n">
        <x:f>IF('Inputs'!$B$50&gt;0,AG2499/('Inputs'!$B$19*'Inputs'!$B$50)*365,0)</x:f>
        <x:v>0.0318251000358991</x:v>
      </x:c>
      <x:c r="AK2499" s="81" t="n">
        <x:f>W2499/MAX($W$2194:W2499)-1</x:f>
        <x:v>-0.9983113623877276</x:v>
      </x:c>
      <x:c r="AL2499" s="83" t="n">
        <x:f>'Inputs'!$B$50</x:f>
        <x:v>1</x:v>
      </x:c>
      <x:c r="AM2499" s="83" t="n">
        <x:f>'Inputs'!$C$50</x:f>
        <x:v>1</x:v>
      </x:c>
      <x:c r="AN2499" s="83" t="n">
        <x:f>'Inputs'!$D$50</x:f>
        <x:v>1</x:v>
      </x:c>
      <x:c r="AO2499" s="81" t="n">
        <x:f>'Inputs'!$E$50</x:f>
        <x:v>0</x:v>
      </x:c>
    </x:row>
    <x:row r="2500">
      <x:c r="A2500" s="59" t="str">
        <x:v>Whale exit</x:v>
      </x:c>
      <x:c r="B2500" s="59" t="n">
        <x:v>307</x:v>
      </x:c>
      <x:c r="C2500" s="78" t="n">
        <x:f>(('Inputs'!$B$29*(3*307*'Inputs'!$B$12-307^2)/(2*'Inputs'!$B$12^2))-('Inputs'!$B$29*(3*306*'Inputs'!$B$12-306^2)/(2*'Inputs'!$B$12^2)))*'Inputs'!$B$50</x:f>
        <x:v>612340.7299681008</x:v>
      </x:c>
      <x:c r="D2500" s="78" t="n">
        <x:f>IF('Inputs'!$C$50&gt;0,('Inputs'!$B$30*(3*307*'Inputs'!$B$12-307^2)/(2*'Inputs'!$B$12^2))-('Inputs'!$B$30*(3*306*'Inputs'!$B$12-306^2)/(2*'Inputs'!$B$12^2)),0)</x:f>
        <x:v>262431.7414149046</x:v>
      </x:c>
      <x:c r="E2500" s="78" t="n">
        <x:f>C2500+D2500</x:f>
        <x:v>874772.4713830054</x:v>
      </x:c>
      <x:c r="F2500" s="78" t="n">
        <x:f>'Inputs'!$B$13*E2500+(1-'Inputs'!$B$13)/'Inputs'!$B$14*SUM(E2445:E2500)</x:f>
        <x:v>884990.1482454509</x:v>
      </x:c>
      <x:c r="G2500" s="78" t="n">
        <x:f>F2500*'Inputs'!$F$50</x:f>
        <x:v>442495.07412272546</x:v>
      </x:c>
      <x:c r="H2500" s="78" t="n">
        <x:f>U2499</x:f>
        <x:v>143044783.15149996</x:v>
      </x:c>
      <x:c r="I2500" s="78" t="n">
        <x:f>V2499</x:f>
        <x:v>203.57538830762277</x:v>
      </x:c>
      <x:c r="J2500" s="79" t="n">
        <x:f>IF(H2500&gt;0,I2500/H2500,0)</x:f>
        <x:v>0.000001423158425092751</x:v>
      </x:c>
      <x:c r="K2500" s="80" t="n">
        <x:f>(H2500*J2500+I2500)*'Inputs'!$D$50*(1+'Inputs'!$G$50)^(B2500/30)</x:f>
        <x:v>407.15077661524555</x:v>
      </x:c>
      <x:c r="L2500" s="80" t="n">
        <x:f>MAX(0,K2500*'Inputs'!$E$50)</x:f>
        <x:v>0</x:v>
      </x:c>
      <x:c r="M2500" s="80" t="n">
        <x:f>MAX(0,-K2500*'Inputs'!$E$50)</x:f>
        <x:v>0</x:v>
      </x:c>
      <x:c r="N2500" s="78" t="n">
        <x:f>H2500*(L2500*(1-'Inputs'!$B$15))/(I2500+L2500*(1-'Inputs'!$B$15))</x:f>
        <x:v>0</x:v>
      </x:c>
      <x:c r="O2500" s="78" t="n">
        <x:f>H2500-N2500</x:f>
        <x:v>143044783.15149996</x:v>
      </x:c>
      <x:c r="P2500" s="78" t="n">
        <x:f>I2500+L2500*(1-'Inputs'!$B$17)</x:f>
        <x:v>203.57538830762277</x:v>
      </x:c>
      <x:c r="Q2500" s="78" t="n">
        <x:f>IF(J2500&gt;0,M2500/J2500,0)</x:f>
        <x:v>0</x:v>
      </x:c>
      <x:c r="R2500" s="78" t="n">
        <x:f>IF(B2500='Inputs'!$H$50,'Inputs'!$B$27*'Inputs'!$I$50,0)</x:f>
        <x:v>0</x:v>
      </x:c>
      <x:c r="S2500" s="78" t="n">
        <x:f>Q2500+G2500+R2500</x:f>
        <x:v>442495.07412272546</x:v>
      </x:c>
      <x:c r="T2500" s="78" t="n">
        <x:f>P2500*(S2500*(1-'Inputs'!$B$15))/(O2500+S2500*(1-'Inputs'!$B$15))</x:f>
        <x:v>0.6215397410762872</x:v>
      </x:c>
      <x:c r="U2500" s="78" t="n">
        <x:f>O2500+S2500*(1-'Inputs'!$B$17)</x:f>
        <x:v>143485497.5613405</x:v>
      </x:c>
      <x:c r="V2500" s="78" t="n">
        <x:f>P2500-T2500</x:f>
        <x:v>202.9538485665465</x:v>
      </x:c>
      <x:c r="W2500" s="79" t="n">
        <x:f>IF(U2500&gt;0,V2500/U2500,0)</x:f>
        <x:v>0.0000014144554816753037</x:v>
      </x:c>
      <x:c r="X2500" s="80" t="n">
        <x:f>W2500*('Inputs'!$B$6-AC2500)</x:f>
        <x:v>1287.1565007238794</x:v>
      </x:c>
      <x:c r="Y2500" s="80" t="n">
        <x:f>2*V2500</x:f>
        <x:v>405.907697133093</x:v>
      </x:c>
      <x:c r="Z2500" s="80" t="n">
        <x:f>K2500*'Inputs'!$B$16+(G2500+R2500)*J2500*'Inputs'!$B$16</x:f>
        <x:v>2.4466831032482723</x:v>
      </x:c>
      <x:c r="AA2500" s="80" t="n">
        <x:f>K2500*(1+'Inputs'!$E$50)/2*'Inputs'!$B$17</x:f>
        <x:v>0.8192168543566309</x:v>
      </x:c>
      <x:c r="AB2500" s="78" t="n">
        <x:f>(IF(J2500&gt;0,K2500*(1-'Inputs'!$E$50)/2/J2500,0)+G2500+R2500)*'Inputs'!$B$17</x:f>
        <x:v>577413.5944693066</x:v>
      </x:c>
      <x:c r="AC2500" s="78" t="n">
        <x:f>AC2499+AB2500</x:f>
        <x:v>89998577.26214847</x:v>
      </x:c>
      <x:c r="AD2500" s="80" t="n">
        <x:f>Z2500/(1+'Inputs'!$C$50)</x:f>
        <x:v>1.2233415516241362</x:v>
      </x:c>
      <x:c r="AE2500" s="80" t="n">
        <x:f>Z2500-AD2500</x:f>
        <x:v>1.2233415516241362</x:v>
      </x:c>
      <x:c r="AF2500" s="80" t="n">
        <x:f>D2500*W2500</x:f>
        <x:v>0.37119801520990764</x:v>
      </x:c>
      <x:c r="AG2500" s="80" t="n">
        <x:f>C2500*W2500</x:f>
        <x:v>0.8661287021564371</x:v>
      </x:c>
      <x:c r="AH2500" s="80" t="n">
        <x:f>2*'Inputs'!$B$8*'Inputs'!$C$50</x:f>
        <x:v>5000</x:v>
      </x:c>
      <x:c r="AI2500" s="81" t="n">
        <x:f>IF(AH2500&gt;0,(AE2500+AF2500)/AH2500*365,0)</x:f>
        <x:v>0.11640138837888521</x:v>
      </x:c>
      <x:c r="AJ2500" s="81" t="n">
        <x:f>IF('Inputs'!$B$50&gt;0,AG2500/('Inputs'!$B$19*'Inputs'!$B$50)*365,0)</x:f>
        <x:v>0.031613697628709955</x:v>
      </x:c>
      <x:c r="AK2500" s="81" t="n">
        <x:f>W2500/MAX($W$2194:W2500)-1</x:f>
        <x:v>-0.9983216887978679</x:v>
      </x:c>
      <x:c r="AL2500" s="83" t="n">
        <x:f>'Inputs'!$B$50</x:f>
        <x:v>1</x:v>
      </x:c>
      <x:c r="AM2500" s="83" t="n">
        <x:f>'Inputs'!$C$50</x:f>
        <x:v>1</x:v>
      </x:c>
      <x:c r="AN2500" s="83" t="n">
        <x:f>'Inputs'!$D$50</x:f>
        <x:v>1</x:v>
      </x:c>
      <x:c r="AO2500" s="81" t="n">
        <x:f>'Inputs'!$E$50</x:f>
        <x:v>0</x:v>
      </x:c>
    </x:row>
    <x:row r="2501">
      <x:c r="A2501" s="59" t="str">
        <x:v>Whale exit</x:v>
      </x:c>
      <x:c r="B2501" s="59" t="n">
        <x:v>308</x:v>
      </x:c>
      <x:c r="C2501" s="78" t="n">
        <x:f>(('Inputs'!$B$29*(3*308*'Inputs'!$B$12-308^2)/(2*'Inputs'!$B$12^2))-('Inputs'!$B$29*(3*307*'Inputs'!$B$12-307^2)/(2*'Inputs'!$B$12^2)))*'Inputs'!$B$50</x:f>
        <x:v>612015.6220679283</x:v>
      </x:c>
      <x:c r="D2501" s="78" t="n">
        <x:f>IF('Inputs'!$C$50&gt;0,('Inputs'!$B$30*(3*308*'Inputs'!$B$12-308^2)/(2*'Inputs'!$B$12^2))-('Inputs'!$B$30*(3*307*'Inputs'!$B$12-307^2)/(2*'Inputs'!$B$12^2)),0)</x:f>
        <x:v>262292.40945768356</x:v>
      </x:c>
      <x:c r="E2501" s="78" t="n">
        <x:f>C2501+D2501</x:f>
        <x:v>874308.0315256119</x:v>
      </x:c>
      <x:c r="F2501" s="78" t="n">
        <x:f>'Inputs'!$B$13*E2501+(1-'Inputs'!$B$13)/'Inputs'!$B$14*SUM(E2446:E2501)</x:f>
        <x:v>884525.7083880651</x:v>
      </x:c>
      <x:c r="G2501" s="78" t="n">
        <x:f>F2501*'Inputs'!$F$50</x:f>
        <x:v>442262.85419403255</x:v>
      </x:c>
      <x:c r="H2501" s="78" t="n">
        <x:f>U2500</x:f>
        <x:v>143485497.5613405</x:v>
      </x:c>
      <x:c r="I2501" s="78" t="n">
        <x:f>V2500</x:f>
        <x:v>202.9538485665465</x:v>
      </x:c>
      <x:c r="J2501" s="79" t="n">
        <x:f>IF(H2501&gt;0,I2501/H2501,0)</x:f>
        <x:v>0.0000014144554816753037</x:v>
      </x:c>
      <x:c r="K2501" s="80" t="n">
        <x:f>(H2501*J2501+I2501)*'Inputs'!$D$50*(1+'Inputs'!$G$50)^(B2501/30)</x:f>
        <x:v>405.907697133093</x:v>
      </x:c>
      <x:c r="L2501" s="80" t="n">
        <x:f>MAX(0,K2501*'Inputs'!$E$50)</x:f>
        <x:v>0</x:v>
      </x:c>
      <x:c r="M2501" s="80" t="n">
        <x:f>MAX(0,-K2501*'Inputs'!$E$50)</x:f>
        <x:v>0</x:v>
      </x:c>
      <x:c r="N2501" s="78" t="n">
        <x:f>H2501*(L2501*(1-'Inputs'!$B$15))/(I2501+L2501*(1-'Inputs'!$B$15))</x:f>
        <x:v>0</x:v>
      </x:c>
      <x:c r="O2501" s="78" t="n">
        <x:f>H2501-N2501</x:f>
        <x:v>143485497.5613405</x:v>
      </x:c>
      <x:c r="P2501" s="78" t="n">
        <x:f>I2501+L2501*(1-'Inputs'!$B$17)</x:f>
        <x:v>202.9538485665465</x:v>
      </x:c>
      <x:c r="Q2501" s="78" t="n">
        <x:f>IF(J2501&gt;0,M2501/J2501,0)</x:f>
        <x:v>0</x:v>
      </x:c>
      <x:c r="R2501" s="78" t="n">
        <x:f>IF(B2501='Inputs'!$H$50,'Inputs'!$B$27*'Inputs'!$I$50,0)</x:f>
        <x:v>0</x:v>
      </x:c>
      <x:c r="S2501" s="78" t="n">
        <x:f>Q2501+G2501+R2501</x:f>
        <x:v>442262.85419403255</x:v>
      </x:c>
      <x:c r="T2501" s="78" t="n">
        <x:f>P2501*(S2501*(1-'Inputs'!$B$15))/(O2501+S2501*(1-'Inputs'!$B$15))</x:f>
        <x:v>0.6174214704834917</x:v>
      </x:c>
      <x:c r="U2501" s="78" t="n">
        <x:f>O2501+S2501*(1-'Inputs'!$B$17)</x:f>
        <x:v>143925980.68573898</x:v>
      </x:c>
      <x:c r="V2501" s="78" t="n">
        <x:f>P2501-T2501</x:f>
        <x:v>202.336427096063</x:v>
      </x:c>
      <x:c r="W2501" s="79" t="n">
        <x:f>IF(U2501&gt;0,V2501/U2501,0)</x:f>
        <x:v>0.0000014058367094809845</x:v>
      </x:c>
      <x:c r="X2501" s="80" t="n">
        <x:f>W2501*('Inputs'!$B$6-AC2501)</x:f>
        <x:v>1278.499164601393</x:v>
      </x:c>
      <x:c r="Y2501" s="80" t="n">
        <x:f>2*V2501</x:f>
        <x:v>404.672854192126</x:v>
      </x:c>
      <x:c r="Z2501" s="80" t="n">
        <x:f>K2501*'Inputs'!$B$16+(G2501+R2501)*J2501*'Inputs'!$B$16</x:f>
        <x:v>2.4391995495092944</x:v>
      </x:c>
      <x:c r="AA2501" s="80" t="n">
        <x:f>K2501*(1+'Inputs'!$E$50)/2*'Inputs'!$B$17</x:f>
        <x:v>0.8167156883965655</x:v>
      </x:c>
      <x:c r="AB2501" s="78" t="n">
        <x:f>(IF(J2501&gt;0,K2501*(1-'Inputs'!$E$50)/2/J2501,0)+G2501+R2501)*'Inputs'!$B$17</x:f>
        <x:v>579186.1586138211</x:v>
      </x:c>
      <x:c r="AC2501" s="78" t="n">
        <x:f>AC2500+AB2501</x:f>
        <x:v>90577763.42076229</x:v>
      </x:c>
      <x:c r="AD2501" s="80" t="n">
        <x:f>Z2501/(1+'Inputs'!$C$50)</x:f>
        <x:v>1.2195997747546472</x:v>
      </x:c>
      <x:c r="AE2501" s="80" t="n">
        <x:f>Z2501-AD2501</x:f>
        <x:v>1.2195997747546472</x:v>
      </x:c>
      <x:c r="AF2501" s="80" t="n">
        <x:f>D2501*W2501</x:f>
        <x:v>0.36874029783382894</x:v>
      </x:c>
      <x:c r="AG2501" s="80" t="n">
        <x:f>C2501*W2501</x:f>
        <x:v>0.8603940282789342</x:v>
      </x:c>
      <x:c r="AH2501" s="80" t="n">
        <x:f>2*'Inputs'!$B$8*'Inputs'!$C$50</x:f>
        <x:v>5000</x:v>
      </x:c>
      <x:c r="AI2501" s="81" t="n">
        <x:f>IF(AH2501&gt;0,(AE2501+AF2501)/AH2501*365,0)</x:f>
        <x:v>0.11594882529895875</x:v>
      </x:c>
      <x:c r="AJ2501" s="81" t="n">
        <x:f>IF('Inputs'!$B$50&gt;0,AG2501/('Inputs'!$B$19*'Inputs'!$B$50)*365,0)</x:f>
        <x:v>0.0314043820321811</x:v>
      </x:c>
      <x:c r="AK2501" s="81" t="n">
        <x:f>W2501/MAX($W$2194:W2501)-1</x:f>
        <x:v>-0.998331915335295</x:v>
      </x:c>
      <x:c r="AL2501" s="83" t="n">
        <x:f>'Inputs'!$B$50</x:f>
        <x:v>1</x:v>
      </x:c>
      <x:c r="AM2501" s="83" t="n">
        <x:f>'Inputs'!$C$50</x:f>
        <x:v>1</x:v>
      </x:c>
      <x:c r="AN2501" s="83" t="n">
        <x:f>'Inputs'!$D$50</x:f>
        <x:v>1</x:v>
      </x:c>
      <x:c r="AO2501" s="81" t="n">
        <x:f>'Inputs'!$E$50</x:f>
        <x:v>0</x:v>
      </x:c>
    </x:row>
    <x:row r="2502">
      <x:c r="A2502" s="59" t="str">
        <x:v>Whale exit</x:v>
      </x:c>
      <x:c r="B2502" s="59" t="n">
        <x:v>309</x:v>
      </x:c>
      <x:c r="C2502" s="78" t="n">
        <x:f>(('Inputs'!$B$29*(3*309*'Inputs'!$B$12-309^2)/(2*'Inputs'!$B$12^2))-('Inputs'!$B$29*(3*308*'Inputs'!$B$12-308^2)/(2*'Inputs'!$B$12^2)))*'Inputs'!$B$50</x:f>
        <x:v>611690.5141677558</x:v>
      </x:c>
      <x:c r="D2502" s="78" t="n">
        <x:f>IF('Inputs'!$C$50&gt;0,('Inputs'!$B$30*(3*309*'Inputs'!$B$12-309^2)/(2*'Inputs'!$B$12^2))-('Inputs'!$B$30*(3*308*'Inputs'!$B$12-308^2)/(2*'Inputs'!$B$12^2)),0)</x:f>
        <x:v>262153.07750047743</x:v>
      </x:c>
      <x:c r="E2502" s="78" t="n">
        <x:f>C2502+D2502</x:f>
        <x:v>873843.5916682333</x:v>
      </x:c>
      <x:c r="F2502" s="78" t="n">
        <x:f>'Inputs'!$B$13*E2502+(1-'Inputs'!$B$13)/'Inputs'!$B$14*SUM(E2447:E2502)</x:f>
        <x:v>884061.2685306818</x:v>
      </x:c>
      <x:c r="G2502" s="78" t="n">
        <x:f>F2502*'Inputs'!$F$50</x:f>
        <x:v>442030.6342653409</x:v>
      </x:c>
      <x:c r="H2502" s="78" t="n">
        <x:f>U2501</x:f>
        <x:v>143925980.68573898</x:v>
      </x:c>
      <x:c r="I2502" s="78" t="n">
        <x:f>V2501</x:f>
        <x:v>202.336427096063</x:v>
      </x:c>
      <x:c r="J2502" s="79" t="n">
        <x:f>IF(H2502&gt;0,I2502/H2502,0)</x:f>
        <x:v>0.0000014058367094809845</x:v>
      </x:c>
      <x:c r="K2502" s="80" t="n">
        <x:f>(H2502*J2502+I2502)*'Inputs'!$D$50*(1+'Inputs'!$G$50)^(B2502/30)</x:f>
        <x:v>404.672854192126</x:v>
      </x:c>
      <x:c r="L2502" s="80" t="n">
        <x:f>MAX(0,K2502*'Inputs'!$E$50)</x:f>
        <x:v>0</x:v>
      </x:c>
      <x:c r="M2502" s="80" t="n">
        <x:f>MAX(0,-K2502*'Inputs'!$E$50)</x:f>
        <x:v>0</x:v>
      </x:c>
      <x:c r="N2502" s="78" t="n">
        <x:f>H2502*(L2502*(1-'Inputs'!$B$15))/(I2502+L2502*(1-'Inputs'!$B$15))</x:f>
        <x:v>0</x:v>
      </x:c>
      <x:c r="O2502" s="78" t="n">
        <x:f>H2502-N2502</x:f>
        <x:v>143925980.68573898</x:v>
      </x:c>
      <x:c r="P2502" s="78" t="n">
        <x:f>I2502+L2502*(1-'Inputs'!$B$17)</x:f>
        <x:v>202.336427096063</x:v>
      </x:c>
      <x:c r="Q2502" s="78" t="n">
        <x:f>IF(J2502&gt;0,M2502/J2502,0)</x:f>
        <x:v>0</x:v>
      </x:c>
      <x:c r="R2502" s="78" t="n">
        <x:f>IF(B2502='Inputs'!$H$50,'Inputs'!$B$27*'Inputs'!$I$50,0)</x:f>
        <x:v>0</x:v>
      </x:c>
      <x:c r="S2502" s="78" t="n">
        <x:f>Q2502+G2502+R2502</x:f>
        <x:v>442030.6342653409</x:v>
      </x:c>
      <x:c r="T2502" s="78" t="n">
        <x:f>P2502*(S2502*(1-'Inputs'!$B$15))/(O2502+S2502*(1-'Inputs'!$B$15))</x:f>
        <x:v>0.6133437772674536</x:v>
      </x:c>
      <x:c r="U2502" s="78" t="n">
        <x:f>O2502+S2502*(1-'Inputs'!$B$17)</x:f>
        <x:v>144366232.5246954</x:v>
      </x:c>
      <x:c r="V2502" s="78" t="n">
        <x:f>P2502-T2502</x:f>
        <x:v>201.72308331879555</x:v>
      </x:c>
      <x:c r="W2502" s="79" t="n">
        <x:f>IF(U2502&gt;0,V2502/U2502,0)</x:f>
        <x:v>0.0000013973010155563119</x:v>
      </x:c>
      <x:c r="X2502" s="80" t="n">
        <x:f>W2502*('Inputs'!$B$6-AC2502)</x:f>
        <x:v>1269.9248418288594</x:v>
      </x:c>
      <x:c r="Y2502" s="80" t="n">
        <x:f>2*V2502</x:f>
        <x:v>403.4461666375911</x:v>
      </x:c>
      <x:c r="Z2502" s="80" t="n">
        <x:f>K2502*'Inputs'!$B$16+(G2502+R2502)*J2502*'Inputs'!$B$16</x:f>
        <x:v>2.4317656625069484</x:v>
      </x:c>
      <x:c r="AA2502" s="80" t="n">
        <x:f>K2502*(1+'Inputs'!$E$50)/2*'Inputs'!$B$17</x:f>
        <x:v>0.8142310949539759</x:v>
      </x:c>
      <x:c r="AB2502" s="78" t="n">
        <x:f>(IF(J2502&gt;0,K2502*(1-'Inputs'!$E$50)/2/J2502,0)+G2502+R2502)*'Inputs'!$B$17</x:f>
        <x:v>580957.7920322106</x:v>
      </x:c>
      <x:c r="AC2502" s="78" t="n">
        <x:f>AC2501+AB2502</x:f>
        <x:v>91158721.2127945</x:v>
      </x:c>
      <x:c r="AD2502" s="80" t="n">
        <x:f>Z2502/(1+'Inputs'!$C$50)</x:f>
        <x:v>1.2158828312534742</x:v>
      </x:c>
      <x:c r="AE2502" s="80" t="n">
        <x:f>Z2502-AD2502</x:f>
        <x:v>1.2158828312534742</x:v>
      </x:c>
      <x:c r="AF2502" s="80" t="n">
        <x:f>D2502*W2502</x:f>
        <x:v>0.36630676142262963</x:v>
      </x:c>
      <x:c r="AG2502" s="80" t="n">
        <x:f>C2502*W2502</x:f>
        <x:v>0.8547157766527679</x:v>
      </x:c>
      <x:c r="AH2502" s="80" t="n">
        <x:f>2*'Inputs'!$B$8*'Inputs'!$C$50</x:f>
        <x:v>5000</x:v>
      </x:c>
      <x:c r="AI2502" s="81" t="n">
        <x:f>IF(AH2502&gt;0,(AE2502+AF2502)/AH2502*365,0)</x:f>
        <x:v>0.11549984026535556</x:v>
      </x:c>
      <x:c r="AJ2502" s="81" t="n">
        <x:f>IF('Inputs'!$B$50&gt;0,AG2502/('Inputs'!$B$19*'Inputs'!$B$50)*365,0)</x:f>
        <x:v>0.031197125847826027</x:v>
      </x:c>
      <x:c r="AK2502" s="81" t="n">
        <x:f>W2502/MAX($W$2194:W2502)-1</x:f>
        <x:v>-0.9983420432968444</x:v>
      </x:c>
      <x:c r="AL2502" s="83" t="n">
        <x:f>'Inputs'!$B$50</x:f>
        <x:v>1</x:v>
      </x:c>
      <x:c r="AM2502" s="83" t="n">
        <x:f>'Inputs'!$C$50</x:f>
        <x:v>1</x:v>
      </x:c>
      <x:c r="AN2502" s="83" t="n">
        <x:f>'Inputs'!$D$50</x:f>
        <x:v>1</x:v>
      </x:c>
      <x:c r="AO2502" s="81" t="n">
        <x:f>'Inputs'!$E$50</x:f>
        <x:v>0</x:v>
      </x:c>
    </x:row>
    <x:row r="2503">
      <x:c r="A2503" s="59" t="str">
        <x:v>Whale exit</x:v>
      </x:c>
      <x:c r="B2503" s="59" t="n">
        <x:v>310</x:v>
      </x:c>
      <x:c r="C2503" s="78" t="n">
        <x:f>(('Inputs'!$B$29*(3*310*'Inputs'!$B$12-310^2)/(2*'Inputs'!$B$12^2))-('Inputs'!$B$29*(3*309*'Inputs'!$B$12-309^2)/(2*'Inputs'!$B$12^2)))*'Inputs'!$B$50</x:f>
        <x:v>611365.4062675834</x:v>
      </x:c>
      <x:c r="D2503" s="78" t="n">
        <x:f>IF('Inputs'!$C$50&gt;0,('Inputs'!$B$30*(3*310*'Inputs'!$B$12-310^2)/(2*'Inputs'!$B$12^2))-('Inputs'!$B$30*(3*309*'Inputs'!$B$12-309^2)/(2*'Inputs'!$B$12^2)),0)</x:f>
        <x:v>262013.7455432415</x:v>
      </x:c>
      <x:c r="E2503" s="78" t="n">
        <x:f>C2503+D2503</x:f>
        <x:v>873379.1518108249</x:v>
      </x:c>
      <x:c r="F2503" s="78" t="n">
        <x:f>'Inputs'!$B$13*E2503+(1-'Inputs'!$B$13)/'Inputs'!$B$14*SUM(E2448:E2503)</x:f>
        <x:v>883596.8286732928</x:v>
      </x:c>
      <x:c r="G2503" s="78" t="n">
        <x:f>F2503*'Inputs'!$F$50</x:f>
        <x:v>441798.4143366464</x:v>
      </x:c>
      <x:c r="H2503" s="78" t="n">
        <x:f>U2502</x:f>
        <x:v>144366232.5246954</x:v>
      </x:c>
      <x:c r="I2503" s="78" t="n">
        <x:f>V2502</x:f>
        <x:v>201.72308331879555</x:v>
      </x:c>
      <x:c r="J2503" s="79" t="n">
        <x:f>IF(H2503&gt;0,I2503/H2503,0)</x:f>
        <x:v>0.0000013973010155563119</x:v>
      </x:c>
      <x:c r="K2503" s="80" t="n">
        <x:f>(H2503*J2503+I2503)*'Inputs'!$D$50*(1+'Inputs'!$G$50)^(B2503/30)</x:f>
        <x:v>403.4461666375911</x:v>
      </x:c>
      <x:c r="L2503" s="80" t="n">
        <x:f>MAX(0,K2503*'Inputs'!$E$50)</x:f>
        <x:v>0</x:v>
      </x:c>
      <x:c r="M2503" s="80" t="n">
        <x:f>MAX(0,-K2503*'Inputs'!$E$50)</x:f>
        <x:v>0</x:v>
      </x:c>
      <x:c r="N2503" s="78" t="n">
        <x:f>H2503*(L2503*(1-'Inputs'!$B$15))/(I2503+L2503*(1-'Inputs'!$B$15))</x:f>
        <x:v>0</x:v>
      </x:c>
      <x:c r="O2503" s="78" t="n">
        <x:f>H2503-N2503</x:f>
        <x:v>144366232.5246954</x:v>
      </x:c>
      <x:c r="P2503" s="78" t="n">
        <x:f>I2503+L2503*(1-'Inputs'!$B$17)</x:f>
        <x:v>201.72308331879555</x:v>
      </x:c>
      <x:c r="Q2503" s="78" t="n">
        <x:f>IF(J2503&gt;0,M2503/J2503,0)</x:f>
        <x:v>0</x:v>
      </x:c>
      <x:c r="R2503" s="78" t="n">
        <x:f>IF(B2503='Inputs'!$H$50,'Inputs'!$B$27*'Inputs'!$I$50,0)</x:f>
        <x:v>0</x:v>
      </x:c>
      <x:c r="S2503" s="78" t="n">
        <x:f>Q2503+G2503+R2503</x:f>
        <x:v>441798.4143366464</x:v>
      </x:c>
      <x:c r="T2503" s="78" t="n">
        <x:f>P2503*(S2503*(1-'Inputs'!$B$15))/(O2503+S2503*(1-'Inputs'!$B$15))</x:f>
        <x:v>0.6093061296017265</x:v>
      </x:c>
      <x:c r="U2503" s="78" t="n">
        <x:f>O2503+S2503*(1-'Inputs'!$B$17)</x:f>
        <x:v>144806253.07820976</x:v>
      </x:c>
      <x:c r="V2503" s="78" t="n">
        <x:f>P2503-T2503</x:f>
        <x:v>201.11377718919383</x:v>
      </x:c>
      <x:c r="W2503" s="79" t="n">
        <x:f>IF(U2503&gt;0,V2503/U2503,0)</x:f>
        <x:v>0.000001388847324711678</x:v>
      </x:c>
      <x:c r="X2503" s="80" t="n">
        <x:f>W2503*('Inputs'!$B$6-AC2503)</x:f>
        <x:v>1261.4324577202194</x:v>
      </x:c>
      <x:c r="Y2503" s="80" t="n">
        <x:f>2*V2503</x:f>
        <x:v>402.22755437838765</x:v>
      </x:c>
      <x:c r="Z2503" s="80" t="n">
        <x:f>K2503*'Inputs'!$B$16+(G2503+R2503)*J2503*'Inputs'!$B$16</x:f>
        <x:v>2.4243809520636894</x:v>
      </x:c>
      <x:c r="AA2503" s="80" t="n">
        <x:f>K2503*(1+'Inputs'!$E$50)/2*'Inputs'!$B$17</x:f>
        <x:v>0.8117629107396199</x:v>
      </x:c>
      <x:c r="AB2503" s="78" t="n">
        <x:f>(IF(J2503&gt;0,K2503*(1-'Inputs'!$E$50)/2/J2503,0)+G2503+R2503)*'Inputs'!$B$17</x:f>
        <x:v>582728.4947244751</x:v>
      </x:c>
      <x:c r="AC2503" s="78" t="n">
        <x:f>AC2502+AB2503</x:f>
        <x:v>91741449.70751898</x:v>
      </x:c>
      <x:c r="AD2503" s="80" t="n">
        <x:f>Z2503/(1+'Inputs'!$C$50)</x:f>
        <x:v>1.2121904760318447</x:v>
      </x:c>
      <x:c r="AE2503" s="80" t="n">
        <x:f>Z2503-AD2503</x:f>
        <x:v>1.2121904760318447</x:v>
      </x:c>
      <x:c r="AF2503" s="80" t="n">
        <x:f>D2503*W2503</x:f>
        <x:v>0.36389708953541733</x:v>
      </x:c>
      <x:c r="AG2503" s="80" t="n">
        <x:f>C2503*W2503</x:f>
        <x:v>0.8490932089160013</x:v>
      </x:c>
      <x:c r="AH2503" s="80" t="n">
        <x:f>2*'Inputs'!$B$8*'Inputs'!$C$50</x:f>
        <x:v>5000</x:v>
      </x:c>
      <x:c r="AI2503" s="81" t="n">
        <x:f>IF(AH2503&gt;0,(AE2503+AF2503)/AH2503*365,0)</x:f>
        <x:v>0.11505439228641012</x:v>
      </x:c>
      <x:c r="AJ2503" s="81" t="n">
        <x:f>IF('Inputs'!$B$50&gt;0,AG2503/('Inputs'!$B$19*'Inputs'!$B$50)*365,0)</x:f>
        <x:v>0.030991902125434047</x:v>
      </x:c>
      <x:c r="AK2503" s="81" t="n">
        <x:f>W2503/MAX($W$2194:W2503)-1</x:f>
        <x:v>-0.998352073958274</x:v>
      </x:c>
      <x:c r="AL2503" s="83" t="n">
        <x:f>'Inputs'!$B$50</x:f>
        <x:v>1</x:v>
      </x:c>
      <x:c r="AM2503" s="83" t="n">
        <x:f>'Inputs'!$C$50</x:f>
        <x:v>1</x:v>
      </x:c>
      <x:c r="AN2503" s="83" t="n">
        <x:f>'Inputs'!$D$50</x:f>
        <x:v>1</x:v>
      </x:c>
      <x:c r="AO2503" s="81" t="n">
        <x:f>'Inputs'!$E$50</x:f>
        <x:v>0</x:v>
      </x:c>
    </x:row>
    <x:row r="2504">
      <x:c r="A2504" s="59" t="str">
        <x:v>Whale exit</x:v>
      </x:c>
      <x:c r="B2504" s="59" t="n">
        <x:v>311</x:v>
      </x:c>
      <x:c r="C2504" s="78" t="n">
        <x:f>(('Inputs'!$B$29*(3*311*'Inputs'!$B$12-311^2)/(2*'Inputs'!$B$12^2))-('Inputs'!$B$29*(3*310*'Inputs'!$B$12-310^2)/(2*'Inputs'!$B$12^2)))*'Inputs'!$B$50</x:f>
        <x:v>611040.2983674109</x:v>
      </x:c>
      <x:c r="D2504" s="78" t="n">
        <x:f>IF('Inputs'!$C$50&gt;0,('Inputs'!$B$30*(3*311*'Inputs'!$B$12-311^2)/(2*'Inputs'!$B$12^2))-('Inputs'!$B$30*(3*310*'Inputs'!$B$12-310^2)/(2*'Inputs'!$B$12^2)),0)</x:f>
        <x:v>261874.41358605027</x:v>
      </x:c>
      <x:c r="E2504" s="78" t="n">
        <x:f>C2504+D2504</x:f>
        <x:v>872914.7119534612</x:v>
      </x:c>
      <x:c r="F2504" s="78" t="n">
        <x:f>'Inputs'!$B$13*E2504+(1-'Inputs'!$B$13)/'Inputs'!$B$14*SUM(E2449:E2504)</x:f>
        <x:v>883132.3888159127</x:v>
      </x:c>
      <x:c r="G2504" s="78" t="n">
        <x:f>F2504*'Inputs'!$F$50</x:f>
        <x:v>441566.1944079563</x:v>
      </x:c>
      <x:c r="H2504" s="78" t="n">
        <x:f>U2503</x:f>
        <x:v>144806253.07820976</x:v>
      </x:c>
      <x:c r="I2504" s="78" t="n">
        <x:f>V2503</x:f>
        <x:v>201.11377718919383</x:v>
      </x:c>
      <x:c r="J2504" s="79" t="n">
        <x:f>IF(H2504&gt;0,I2504/H2504,0)</x:f>
        <x:v>0.000001388847324711678</x:v>
      </x:c>
      <x:c r="K2504" s="80" t="n">
        <x:f>(H2504*J2504+I2504)*'Inputs'!$D$50*(1+'Inputs'!$G$50)^(B2504/30)</x:f>
        <x:v>402.22755437838765</x:v>
      </x:c>
      <x:c r="L2504" s="80" t="n">
        <x:f>MAX(0,K2504*'Inputs'!$E$50)</x:f>
        <x:v>0</x:v>
      </x:c>
      <x:c r="M2504" s="80" t="n">
        <x:f>MAX(0,-K2504*'Inputs'!$E$50)</x:f>
        <x:v>0</x:v>
      </x:c>
      <x:c r="N2504" s="78" t="n">
        <x:f>H2504*(L2504*(1-'Inputs'!$B$15))/(I2504+L2504*(1-'Inputs'!$B$15))</x:f>
        <x:v>0</x:v>
      </x:c>
      <x:c r="O2504" s="78" t="n">
        <x:f>H2504-N2504</x:f>
        <x:v>144806253.07820976</x:v>
      </x:c>
      <x:c r="P2504" s="78" t="n">
        <x:f>I2504+L2504*(1-'Inputs'!$B$17)</x:f>
        <x:v>201.11377718919383</x:v>
      </x:c>
      <x:c r="Q2504" s="78" t="n">
        <x:f>IF(J2504&gt;0,M2504/J2504,0)</x:f>
        <x:v>0</x:v>
      </x:c>
      <x:c r="R2504" s="78" t="n">
        <x:f>IF(B2504='Inputs'!$H$50,'Inputs'!$B$27*'Inputs'!$I$50,0)</x:f>
        <x:v>0</x:v>
      </x:c>
      <x:c r="S2504" s="78" t="n">
        <x:f>Q2504+G2504+R2504</x:f>
        <x:v>441566.1944079563</x:v>
      </x:c>
      <x:c r="T2504" s="78" t="n">
        <x:f>P2504*(S2504*(1-'Inputs'!$B$15))/(O2504+S2504*(1-'Inputs'!$B$15))</x:f>
        <x:v>0.6053080043465514</x:v>
      </x:c>
      <x:c r="U2504" s="78" t="n">
        <x:f>O2504+S2504*(1-'Inputs'!$B$17)</x:f>
        <x:v>145246042.34628206</x:v>
      </x:c>
      <x:c r="V2504" s="78" t="n">
        <x:f>P2504-T2504</x:f>
        <x:v>200.50846918484729</x:v>
      </x:c>
      <x:c r="W2504" s="79" t="n">
        <x:f>IF(U2504&gt;0,V2504/U2504,0)</x:f>
        <x:v>0.000001380474579175202</x:v>
      </x:c>
      <x:c r="X2504" s="80" t="n">
        <x:f>W2504*('Inputs'!$B$6-AC2504)</x:f>
        <x:v>1253.0209549985534</x:v>
      </x:c>
      <x:c r="Y2504" s="80" t="n">
        <x:f>2*V2504</x:f>
        <x:v>401.01693836969457</x:v>
      </x:c>
      <x:c r="Z2504" s="80" t="n">
        <x:f>K2504*'Inputs'!$B$16+(G2504+R2504)*J2504*'Inputs'!$B$16</x:f>
        <x:v>2.4170449344370457</x:v>
      </x:c>
      <x:c r="AA2504" s="80" t="n">
        <x:f>K2504*(1+'Inputs'!$E$50)/2*'Inputs'!$B$17</x:f>
        <x:v>0.8093109746044018</x:v>
      </x:c>
      <x:c r="AB2504" s="78" t="n">
        <x:f>(IF(J2504&gt;0,K2504*(1-'Inputs'!$E$50)/2/J2504,0)+G2504+R2504)*'Inputs'!$B$17</x:f>
        <x:v>584498.2666906146</x:v>
      </x:c>
      <x:c r="AC2504" s="78" t="n">
        <x:f>AC2503+AB2504</x:f>
        <x:v>92325947.97420959</x:v>
      </x:c>
      <x:c r="AD2504" s="80" t="n">
        <x:f>Z2504/(1+'Inputs'!$C$50)</x:f>
        <x:v>1.2085224672185229</x:v>
      </x:c>
      <x:c r="AE2504" s="80" t="n">
        <x:f>Z2504-AD2504</x:f>
        <x:v>1.2085224672185229</x:v>
      </x:c>
      <x:c r="AF2504" s="80" t="n">
        <x:f>D2504*W2504</x:f>
        <x:v>0.36151097089195555</x:v>
      </x:c>
      <x:c r="AG2504" s="80" t="n">
        <x:f>C2504*W2504</x:f>
        <x:v>0.8435255987478414</x:v>
      </x:c>
      <x:c r="AH2504" s="80" t="n">
        <x:f>2*'Inputs'!$B$8*'Inputs'!$C$50</x:f>
        <x:v>5000</x:v>
      </x:c>
      <x:c r="AI2504" s="81" t="n">
        <x:f>IF(AH2504&gt;0,(AE2504+AF2504)/AH2504*365,0)</x:f>
        <x:v>0.11461244098206493</x:v>
      </x:c>
      <x:c r="AJ2504" s="81" t="n">
        <x:f>IF('Inputs'!$B$50&gt;0,AG2504/('Inputs'!$B$19*'Inputs'!$B$50)*365,0)</x:f>
        <x:v>0.03078868435429621</x:v>
      </x:c>
      <x:c r="AK2504" s="81" t="n">
        <x:f>W2504/MAX($W$2194:W2504)-1</x:f>
        <x:v>-0.9983620085746748</x:v>
      </x:c>
      <x:c r="AL2504" s="83" t="n">
        <x:f>'Inputs'!$B$50</x:f>
        <x:v>1</x:v>
      </x:c>
      <x:c r="AM2504" s="83" t="n">
        <x:f>'Inputs'!$C$50</x:f>
        <x:v>1</x:v>
      </x:c>
      <x:c r="AN2504" s="83" t="n">
        <x:f>'Inputs'!$D$50</x:f>
        <x:v>1</x:v>
      </x:c>
      <x:c r="AO2504" s="81" t="n">
        <x:f>'Inputs'!$E$50</x:f>
        <x:v>0</x:v>
      </x:c>
    </x:row>
    <x:row r="2505">
      <x:c r="A2505" s="59" t="str">
        <x:v>Whale exit</x:v>
      </x:c>
      <x:c r="B2505" s="59" t="n">
        <x:v>312</x:v>
      </x:c>
      <x:c r="C2505" s="78" t="n">
        <x:f>(('Inputs'!$B$29*(3*312*'Inputs'!$B$12-312^2)/(2*'Inputs'!$B$12^2))-('Inputs'!$B$29*(3*311*'Inputs'!$B$12-311^2)/(2*'Inputs'!$B$12^2)))*'Inputs'!$B$50</x:f>
        <x:v>610715.1904672682</x:v>
      </x:c>
      <x:c r="D2505" s="78" t="n">
        <x:f>IF('Inputs'!$C$50&gt;0,('Inputs'!$B$30*(3*312*'Inputs'!$B$12-312^2)/(2*'Inputs'!$B$12^2))-('Inputs'!$B$30*(3*311*'Inputs'!$B$12-311^2)/(2*'Inputs'!$B$12^2)),0)</x:f>
        <x:v>261735.08162881434</x:v>
      </x:c>
      <x:c r="E2505" s="78" t="n">
        <x:f>C2505+D2505</x:f>
        <x:v>872450.2720960826</x:v>
      </x:c>
      <x:c r="F2505" s="78" t="n">
        <x:f>'Inputs'!$B$13*E2505+(1-'Inputs'!$B$13)/'Inputs'!$B$14*SUM(E2450:E2505)</x:f>
        <x:v>882667.9489585296</x:v>
      </x:c>
      <x:c r="G2505" s="78" t="n">
        <x:f>F2505*'Inputs'!$F$50</x:f>
        <x:v>441333.9744792648</x:v>
      </x:c>
      <x:c r="H2505" s="78" t="n">
        <x:f>U2504</x:f>
        <x:v>145246042.34628206</x:v>
      </x:c>
      <x:c r="I2505" s="78" t="n">
        <x:f>V2504</x:f>
        <x:v>200.50846918484729</x:v>
      </x:c>
      <x:c r="J2505" s="79" t="n">
        <x:f>IF(H2505&gt;0,I2505/H2505,0)</x:f>
        <x:v>0.000001380474579175202</x:v>
      </x:c>
      <x:c r="K2505" s="80" t="n">
        <x:f>(H2505*J2505+I2505)*'Inputs'!$D$50*(1+'Inputs'!$G$50)^(B2505/30)</x:f>
        <x:v>401.01693836969457</x:v>
      </x:c>
      <x:c r="L2505" s="80" t="n">
        <x:f>MAX(0,K2505*'Inputs'!$E$50)</x:f>
        <x:v>0</x:v>
      </x:c>
      <x:c r="M2505" s="80" t="n">
        <x:f>MAX(0,-K2505*'Inputs'!$E$50)</x:f>
        <x:v>0</x:v>
      </x:c>
      <x:c r="N2505" s="78" t="n">
        <x:f>H2505*(L2505*(1-'Inputs'!$B$15))/(I2505+L2505*(1-'Inputs'!$B$15))</x:f>
        <x:v>0</x:v>
      </x:c>
      <x:c r="O2505" s="78" t="n">
        <x:f>H2505-N2505</x:f>
        <x:v>145246042.34628206</x:v>
      </x:c>
      <x:c r="P2505" s="78" t="n">
        <x:f>I2505+L2505*(1-'Inputs'!$B$17)</x:f>
        <x:v>200.50846918484729</x:v>
      </x:c>
      <x:c r="Q2505" s="78" t="n">
        <x:f>IF(J2505&gt;0,M2505/J2505,0)</x:f>
        <x:v>0</x:v>
      </x:c>
      <x:c r="R2505" s="78" t="n">
        <x:f>IF(B2505='Inputs'!$H$50,'Inputs'!$B$27*'Inputs'!$I$50,0)</x:f>
        <x:v>0</x:v>
      </x:c>
      <x:c r="S2505" s="78" t="n">
        <x:f>Q2505+G2505+R2505</x:f>
        <x:v>441333.9744792648</x:v>
      </x:c>
      <x:c r="T2505" s="78" t="n">
        <x:f>P2505*(S2505*(1-'Inputs'!$B$15))/(O2505+S2505*(1-'Inputs'!$B$15))</x:f>
        <x:v>0.6013488868790821</x:v>
      </x:c>
      <x:c r="U2505" s="78" t="n">
        <x:f>O2505+S2505*(1-'Inputs'!$B$17)</x:f>
        <x:v>145685600.32891232</x:v>
      </x:c>
      <x:c r="V2505" s="78" t="n">
        <x:f>P2505-T2505</x:f>
        <x:v>199.9071202979682</x:v>
      </x:c>
      <x:c r="W2505" s="79" t="n">
        <x:f>IF(U2505&gt;0,V2505/U2505,0)</x:f>
        <x:v>0.0000013721817382544377</x:v>
      </x:c>
      <x:c r="X2505" s="80" t="n">
        <x:f>W2505*('Inputs'!$B$6-AC2505)</x:f>
        <x:v>1244.6892934579564</x:v>
      </x:c>
      <x:c r="Y2505" s="80" t="n">
        <x:f>2*V2505</x:f>
        <x:v>399.8142405959364</x:v>
      </x:c>
      <x:c r="Z2505" s="80" t="n">
        <x:f>K2505*'Inputs'!$B$16+(G2505+R2505)*J2505*'Inputs'!$B$16</x:f>
        <x:v>2.409757132214337</x:v>
      </x:c>
      <x:c r="AA2505" s="80" t="n">
        <x:f>K2505*(1+'Inputs'!$E$50)/2*'Inputs'!$B$17</x:f>
        <x:v>0.8068751275044157</x:v>
      </x:c>
      <x:c r="AB2505" s="78" t="n">
        <x:f>(IF(J2505&gt;0,K2505*(1-'Inputs'!$E$50)/2/J2505,0)+G2505+R2505)*'Inputs'!$B$17</x:f>
        <x:v>586267.1079306292</x:v>
      </x:c>
      <x:c r="AC2505" s="78" t="n">
        <x:f>AC2504+AB2505</x:f>
        <x:v>92912215.08214022</x:v>
      </x:c>
      <x:c r="AD2505" s="80" t="n">
        <x:f>Z2505/(1+'Inputs'!$C$50)</x:f>
        <x:v>1.2048785661071686</x:v>
      </x:c>
      <x:c r="AE2505" s="80" t="n">
        <x:f>Z2505-AD2505</x:f>
        <x:v>1.2048785661071686</x:v>
      </x:c>
      <x:c r="AF2505" s="80" t="n">
        <x:f>D2505*W2505</x:f>
        <x:v>0.3591480992715936</x:v>
      </x:c>
      <x:c r="AG2505" s="80" t="n">
        <x:f>C2505*W2505</x:f>
        <x:v>0.8380122316337661</x:v>
      </x:c>
      <x:c r="AH2505" s="80" t="n">
        <x:f>2*'Inputs'!$B$8*'Inputs'!$C$50</x:f>
        <x:v>5000</x:v>
      </x:c>
      <x:c r="AI2505" s="81" t="n">
        <x:f>IF(AH2505&gt;0,(AE2505+AF2505)/AH2505*365,0)</x:f>
        <x:v>0.11417394657264965</x:v>
      </x:c>
      <x:c r="AJ2505" s="81" t="n">
        <x:f>IF('Inputs'!$B$50&gt;0,AG2505/('Inputs'!$B$19*'Inputs'!$B$50)*365,0)</x:f>
        <x:v>0.030587446454632464</x:v>
      </x:c>
      <x:c r="AK2505" s="81" t="n">
        <x:f>W2505/MAX($W$2194:W2505)-1</x:f>
        <x:v>-0.9983718483808723</x:v>
      </x:c>
      <x:c r="AL2505" s="83" t="n">
        <x:f>'Inputs'!$B$50</x:f>
        <x:v>1</x:v>
      </x:c>
      <x:c r="AM2505" s="83" t="n">
        <x:f>'Inputs'!$C$50</x:f>
        <x:v>1</x:v>
      </x:c>
      <x:c r="AN2505" s="83" t="n">
        <x:f>'Inputs'!$D$50</x:f>
        <x:v>1</x:v>
      </x:c>
      <x:c r="AO2505" s="81" t="n">
        <x:f>'Inputs'!$E$50</x:f>
        <x:v>0</x:v>
      </x:c>
    </x:row>
    <x:row r="2506">
      <x:c r="A2506" s="59" t="str">
        <x:v>Whale exit</x:v>
      </x:c>
      <x:c r="B2506" s="59" t="n">
        <x:v>313</x:v>
      </x:c>
      <x:c r="C2506" s="78" t="n">
        <x:f>(('Inputs'!$B$29*(3*313*'Inputs'!$B$12-313^2)/(2*'Inputs'!$B$12^2))-('Inputs'!$B$29*(3*312*'Inputs'!$B$12-312^2)/(2*'Inputs'!$B$12^2)))*'Inputs'!$B$50</x:f>
        <x:v>610390.0825670958</x:v>
      </x:c>
      <x:c r="D2506" s="78" t="n">
        <x:f>IF('Inputs'!$C$50&gt;0,('Inputs'!$B$30*(3*313*'Inputs'!$B$12-313^2)/(2*'Inputs'!$B$12^2))-('Inputs'!$B$30*(3*312*'Inputs'!$B$12-312^2)/(2*'Inputs'!$B$12^2)),0)</x:f>
        <x:v>261595.7496716082</x:v>
      </x:c>
      <x:c r="E2506" s="78" t="n">
        <x:f>C2506+D2506</x:f>
        <x:v>871985.832238704</x:v>
      </x:c>
      <x:c r="F2506" s="78" t="n">
        <x:f>'Inputs'!$B$13*E2506+(1-'Inputs'!$B$13)/'Inputs'!$B$14*SUM(E2451:E2506)</x:f>
        <x:v>882203.5091011468</x:v>
      </x:c>
      <x:c r="G2506" s="78" t="n">
        <x:f>F2506*'Inputs'!$F$50</x:f>
        <x:v>441101.7545505734</x:v>
      </x:c>
      <x:c r="H2506" s="78" t="n">
        <x:f>U2505</x:f>
        <x:v>145685600.32891232</x:v>
      </x:c>
      <x:c r="I2506" s="78" t="n">
        <x:f>V2505</x:f>
        <x:v>199.9071202979682</x:v>
      </x:c>
      <x:c r="J2506" s="79" t="n">
        <x:f>IF(H2506&gt;0,I2506/H2506,0)</x:f>
        <x:v>0.0000013721817382544377</x:v>
      </x:c>
      <x:c r="K2506" s="80" t="n">
        <x:f>(H2506*J2506+I2506)*'Inputs'!$D$50*(1+'Inputs'!$G$50)^(B2506/30)</x:f>
        <x:v>399.8142405959364</x:v>
      </x:c>
      <x:c r="L2506" s="80" t="n">
        <x:f>MAX(0,K2506*'Inputs'!$E$50)</x:f>
        <x:v>0</x:v>
      </x:c>
      <x:c r="M2506" s="80" t="n">
        <x:f>MAX(0,-K2506*'Inputs'!$E$50)</x:f>
        <x:v>0</x:v>
      </x:c>
      <x:c r="N2506" s="78" t="n">
        <x:f>H2506*(L2506*(1-'Inputs'!$B$15))/(I2506+L2506*(1-'Inputs'!$B$15))</x:f>
        <x:v>0</x:v>
      </x:c>
      <x:c r="O2506" s="78" t="n">
        <x:f>H2506-N2506</x:f>
        <x:v>145685600.32891232</x:v>
      </x:c>
      <x:c r="P2506" s="78" t="n">
        <x:f>I2506+L2506*(1-'Inputs'!$B$17)</x:f>
        <x:v>199.9071202979682</x:v>
      </x:c>
      <x:c r="Q2506" s="78" t="n">
        <x:f>IF(J2506&gt;0,M2506/J2506,0)</x:f>
        <x:v>0</x:v>
      </x:c>
      <x:c r="R2506" s="78" t="n">
        <x:f>IF(B2506='Inputs'!$H$50,'Inputs'!$B$27*'Inputs'!$I$50,0)</x:f>
        <x:v>0</x:v>
      </x:c>
      <x:c r="S2506" s="78" t="n">
        <x:f>Q2506+G2506+R2506</x:f>
        <x:v>441101.7545505734</x:v>
      </x:c>
      <x:c r="T2506" s="78" t="n">
        <x:f>P2506*(S2506*(1-'Inputs'!$B$15))/(O2506+S2506*(1-'Inputs'!$B$15))</x:f>
        <x:v>0.5974282709275311</x:v>
      </x:c>
      <x:c r="U2506" s="78" t="n">
        <x:f>O2506+S2506*(1-'Inputs'!$B$17)</x:f>
        <x:v>146124927.02610052</x:v>
      </x:c>
      <x:c r="V2506" s="78" t="n">
        <x:f>P2506-T2506</x:f>
        <x:v>199.30969202704065</x:v>
      </x:c>
      <x:c r="W2506" s="79" t="n">
        <x:f>IF(U2506&gt;0,V2506/U2506,0)</x:f>
        <x:v>0.000001363967778005736</x:v>
      </x:c>
      <x:c r="X2506" s="80" t="n">
        <x:f>W2506*('Inputs'!$B$6-AC2506)</x:f>
        <x:v>1236.4364496330609</x:v>
      </x:c>
      <x:c r="Y2506" s="80" t="n">
        <x:f>2*V2506</x:f>
        <x:v>398.6193840540813</x:v>
      </x:c>
      <x:c r="Z2506" s="80" t="n">
        <x:f>K2506*'Inputs'!$B$16+(G2506+R2506)*J2506*'Inputs'!$B$16</x:f>
        <x:v>2.402517074209456</x:v>
      </x:c>
      <x:c r="AA2506" s="80" t="n">
        <x:f>K2506*(1+'Inputs'!$E$50)/2*'Inputs'!$B$17</x:f>
        <x:v>0.8044552124666728</x:v>
      </x:c>
      <x:c r="AB2506" s="78" t="n">
        <x:f>(IF(J2506&gt;0,K2506*(1-'Inputs'!$E$50)/2/J2506,0)+G2506+R2506)*'Inputs'!$B$17</x:f>
        <x:v>588035.0184445188</x:v>
      </x:c>
      <x:c r="AC2506" s="78" t="n">
        <x:f>AC2505+AB2506</x:f>
        <x:v>93500250.10058475</x:v>
      </x:c>
      <x:c r="AD2506" s="80" t="n">
        <x:f>Z2506/(1+'Inputs'!$C$50)</x:f>
        <x:v>1.201258537104728</x:v>
      </x:c>
      <x:c r="AE2506" s="80" t="n">
        <x:f>Z2506-AD2506</x:f>
        <x:v>1.201258537104728</x:v>
      </x:c>
      <x:c r="AF2506" s="80" t="n">
        <x:f>D2506*W2506</x:f>
        <x:v>0.3568081734153282</x:v>
      </x:c>
      <x:c r="AG2506" s="80" t="n">
        <x:f>C2506*W2506</x:f>
        <x:v>0.8325524046357794</x:v>
      </x:c>
      <x:c r="AH2506" s="80" t="n">
        <x:f>2*'Inputs'!$B$8*'Inputs'!$C$50</x:f>
        <x:v>5000</x:v>
      </x:c>
      <x:c r="AI2506" s="81" t="n">
        <x:f>IF(AH2506&gt;0,(AE2506+AF2506)/AH2506*365,0)</x:f>
        <x:v>0.11373886986796411</x:v>
      </x:c>
      <x:c r="AJ2506" s="81" t="n">
        <x:f>IF('Inputs'!$B$50&gt;0,AG2506/('Inputs'!$B$19*'Inputs'!$B$50)*365,0)</x:f>
        <x:v>0.03038816276920595</x:v>
      </x:c>
      <x:c r="AK2506" s="81" t="n">
        <x:f>W2506/MAX($W$2194:W2506)-1</x:f>
        <x:v>-0.9983815945918192</x:v>
      </x:c>
      <x:c r="AL2506" s="83" t="n">
        <x:f>'Inputs'!$B$50</x:f>
        <x:v>1</x:v>
      </x:c>
      <x:c r="AM2506" s="83" t="n">
        <x:f>'Inputs'!$C$50</x:f>
        <x:v>1</x:v>
      </x:c>
      <x:c r="AN2506" s="83" t="n">
        <x:f>'Inputs'!$D$50</x:f>
        <x:v>1</x:v>
      </x:c>
      <x:c r="AO2506" s="81" t="n">
        <x:f>'Inputs'!$E$50</x:f>
        <x:v>0</x:v>
      </x:c>
    </x:row>
    <x:row r="2507">
      <x:c r="A2507" s="59" t="str">
        <x:v>Whale exit</x:v>
      </x:c>
      <x:c r="B2507" s="59" t="n">
        <x:v>314</x:v>
      </x:c>
      <x:c r="C2507" s="78" t="n">
        <x:f>(('Inputs'!$B$29*(3*314*'Inputs'!$B$12-314^2)/(2*'Inputs'!$B$12^2))-('Inputs'!$B$29*(3*313*'Inputs'!$B$12-313^2)/(2*'Inputs'!$B$12^2)))*'Inputs'!$B$50</x:f>
        <x:v>610064.9746668935</x:v>
      </x:c>
      <x:c r="D2507" s="78" t="n">
        <x:f>IF('Inputs'!$C$50&gt;0,('Inputs'!$B$30*(3*314*'Inputs'!$B$12-314^2)/(2*'Inputs'!$B$12^2))-('Inputs'!$B$30*(3*313*'Inputs'!$B$12-313^2)/(2*'Inputs'!$B$12^2)),0)</x:f>
        <x:v>261456.41771440208</x:v>
      </x:c>
      <x:c r="E2507" s="78" t="n">
        <x:f>C2507+D2507</x:f>
        <x:v>871521.3923812956</x:v>
      </x:c>
      <x:c r="F2507" s="78" t="n">
        <x:f>'Inputs'!$B$13*E2507+(1-'Inputs'!$B$13)/'Inputs'!$B$14*SUM(E2452:E2507)</x:f>
        <x:v>881739.0692437575</x:v>
      </x:c>
      <x:c r="G2507" s="78" t="n">
        <x:f>F2507*'Inputs'!$F$50</x:f>
        <x:v>440869.53462187876</x:v>
      </x:c>
      <x:c r="H2507" s="78" t="n">
        <x:f>U2506</x:f>
        <x:v>146124927.02610052</x:v>
      </x:c>
      <x:c r="I2507" s="78" t="n">
        <x:f>V2506</x:f>
        <x:v>199.30969202704065</x:v>
      </x:c>
      <x:c r="J2507" s="79" t="n">
        <x:f>IF(H2507&gt;0,I2507/H2507,0)</x:f>
        <x:v>0.000001363967778005736</x:v>
      </x:c>
      <x:c r="K2507" s="80" t="n">
        <x:f>(H2507*J2507+I2507)*'Inputs'!$D$50*(1+'Inputs'!$G$50)^(B2507/30)</x:f>
        <x:v>398.6193840540813</x:v>
      </x:c>
      <x:c r="L2507" s="80" t="n">
        <x:f>MAX(0,K2507*'Inputs'!$E$50)</x:f>
        <x:v>0</x:v>
      </x:c>
      <x:c r="M2507" s="80" t="n">
        <x:f>MAX(0,-K2507*'Inputs'!$E$50)</x:f>
        <x:v>0</x:v>
      </x:c>
      <x:c r="N2507" s="78" t="n">
        <x:f>H2507*(L2507*(1-'Inputs'!$B$15))/(I2507+L2507*(1-'Inputs'!$B$15))</x:f>
        <x:v>0</x:v>
      </x:c>
      <x:c r="O2507" s="78" t="n">
        <x:f>H2507-N2507</x:f>
        <x:v>146124927.02610052</x:v>
      </x:c>
      <x:c r="P2507" s="78" t="n">
        <x:f>I2507+L2507*(1-'Inputs'!$B$17)</x:f>
        <x:v>199.30969202704065</x:v>
      </x:c>
      <x:c r="Q2507" s="78" t="n">
        <x:f>IF(J2507&gt;0,M2507/J2507,0)</x:f>
        <x:v>0</x:v>
      </x:c>
      <x:c r="R2507" s="78" t="n">
        <x:f>IF(B2507='Inputs'!$H$50,'Inputs'!$B$27*'Inputs'!$I$50,0)</x:f>
        <x:v>0</x:v>
      </x:c>
      <x:c r="S2507" s="78" t="n">
        <x:f>Q2507+G2507+R2507</x:f>
        <x:v>440869.53462187876</x:v>
      </x:c>
      <x:c r="T2507" s="78" t="n">
        <x:f>P2507*(S2507*(1-'Inputs'!$B$15))/(O2507+S2507*(1-'Inputs'!$B$15))</x:f>
        <x:v>0.5935456584090271</x:v>
      </x:c>
      <x:c r="U2507" s="78" t="n">
        <x:f>O2507+S2507*(1-'Inputs'!$B$17)</x:f>
        <x:v>146564022.43784666</x:v>
      </x:c>
      <x:c r="V2507" s="78" t="n">
        <x:f>P2507-T2507</x:f>
        <x:v>198.71614636863163</x:v>
      </x:c>
      <x:c r="W2507" s="79" t="n">
        <x:f>IF(U2507&gt;0,V2507/U2507,0)</x:f>
        <x:v>0.0000013558316909110563</x:v>
      </x:c>
      <x:c r="X2507" s="80" t="n">
        <x:f>W2507*('Inputs'!$B$6-AC2507)</x:f>
        <x:v>1228.261416476008</x:v>
      </x:c>
      <x:c r="Y2507" s="80" t="n">
        <x:f>2*V2507</x:f>
        <x:v>397.43229273726325</x:v>
      </x:c>
      <x:c r="Z2507" s="80" t="n">
        <x:f>K2507*'Inputs'!$B$16+(G2507+R2507)*J2507*'Inputs'!$B$16</x:f>
        <x:v>2.3953242953616596</x:v>
      </x:c>
      <x:c r="AA2507" s="80" t="n">
        <x:f>K2507*(1+'Inputs'!$E$50)/2*'Inputs'!$B$17</x:f>
        <x:v>0.8020510745554956</x:v>
      </x:c>
      <x:c r="AB2507" s="78" t="n">
        <x:f>(IF(J2507&gt;0,K2507*(1-'Inputs'!$E$50)/2/J2507,0)+G2507+R2507)*'Inputs'!$B$17</x:f>
        <x:v>589801.9982322833</x:v>
      </x:c>
      <x:c r="AC2507" s="78" t="n">
        <x:f>AC2506+AB2507</x:f>
        <x:v>94090052.09881704</x:v>
      </x:c>
      <x:c r="AD2507" s="80" t="n">
        <x:f>Z2507/(1+'Inputs'!$C$50)</x:f>
        <x:v>1.1976621476808298</x:v>
      </x:c>
      <x:c r="AE2507" s="80" t="n">
        <x:f>Z2507-AD2507</x:f>
        <x:v>1.1976621476808298</x:v>
      </x:c>
      <x:c r="AF2507" s="80" t="n">
        <x:f>D2507*W2507</x:f>
        <x:v>0.3544908969292652</x:v>
      </x:c>
      <x:c r="AG2507" s="80" t="n">
        <x:f>C2507*W2507</x:f>
        <x:v>0.827145426168225</x:v>
      </x:c>
      <x:c r="AH2507" s="80" t="n">
        <x:f>2*'Inputs'!$B$8*'Inputs'!$C$50</x:f>
        <x:v>5000</x:v>
      </x:c>
      <x:c r="AI2507" s="81" t="n">
        <x:f>IF(AH2507&gt;0,(AE2507+AF2507)/AH2507*365,0)</x:f>
        <x:v>0.11330717225653694</x:v>
      </x:c>
      <x:c r="AJ2507" s="81" t="n">
        <x:f>IF('Inputs'!$B$50&gt;0,AG2507/('Inputs'!$B$19*'Inputs'!$B$50)*365,0)</x:f>
        <x:v>0.03019080805514021</x:v>
      </x:c>
      <x:c r="AK2507" s="81" t="n">
        <x:f>W2507/MAX($W$2194:W2507)-1</x:f>
        <x:v>-0.9983912484029779</x:v>
      </x:c>
      <x:c r="AL2507" s="83" t="n">
        <x:f>'Inputs'!$B$50</x:f>
        <x:v>1</x:v>
      </x:c>
      <x:c r="AM2507" s="83" t="n">
        <x:f>'Inputs'!$C$50</x:f>
        <x:v>1</x:v>
      </x:c>
      <x:c r="AN2507" s="83" t="n">
        <x:f>'Inputs'!$D$50</x:f>
        <x:v>1</x:v>
      </x:c>
      <x:c r="AO2507" s="81" t="n">
        <x:f>'Inputs'!$E$50</x:f>
        <x:v>0</x:v>
      </x:c>
    </x:row>
    <x:row r="2508">
      <x:c r="A2508" s="59" t="str">
        <x:v>Whale exit</x:v>
      </x:c>
      <x:c r="B2508" s="59" t="n">
        <x:v>315</x:v>
      </x:c>
      <x:c r="C2508" s="78" t="n">
        <x:f>(('Inputs'!$B$29*(3*315*'Inputs'!$B$12-315^2)/(2*'Inputs'!$B$12^2))-('Inputs'!$B$29*(3*314*'Inputs'!$B$12-314^2)/(2*'Inputs'!$B$12^2)))*'Inputs'!$B$50</x:f>
        <x:v>609739.8667667508</x:v>
      </x:c>
      <x:c r="D2508" s="78" t="n">
        <x:f>IF('Inputs'!$C$50&gt;0,('Inputs'!$B$30*(3*315*'Inputs'!$B$12-315^2)/(2*'Inputs'!$B$12^2))-('Inputs'!$B$30*(3*314*'Inputs'!$B$12-314^2)/(2*'Inputs'!$B$12^2)),0)</x:f>
        <x:v>261317.08575716615</x:v>
      </x:c>
      <x:c r="E2508" s="78" t="n">
        <x:f>C2508+D2508</x:f>
        <x:v>871056.952523917</x:v>
      </x:c>
      <x:c r="F2508" s="78" t="n">
        <x:f>'Inputs'!$B$13*E2508+(1-'Inputs'!$B$13)/'Inputs'!$B$14*SUM(E2453:E2508)</x:f>
        <x:v>881274.6293863744</x:v>
      </x:c>
      <x:c r="G2508" s="78" t="n">
        <x:f>F2508*'Inputs'!$F$50</x:f>
        <x:v>440637.3146931872</x:v>
      </x:c>
      <x:c r="H2508" s="78" t="n">
        <x:f>U2507</x:f>
        <x:v>146564022.43784666</x:v>
      </x:c>
      <x:c r="I2508" s="78" t="n">
        <x:f>V2507</x:f>
        <x:v>198.71614636863163</x:v>
      </x:c>
      <x:c r="J2508" s="79" t="n">
        <x:f>IF(H2508&gt;0,I2508/H2508,0)</x:f>
        <x:v>0.0000013558316909110563</x:v>
      </x:c>
      <x:c r="K2508" s="80" t="n">
        <x:f>(H2508*J2508+I2508)*'Inputs'!$D$50*(1+'Inputs'!$G$50)^(B2508/30)</x:f>
        <x:v>397.43229273726325</x:v>
      </x:c>
      <x:c r="L2508" s="80" t="n">
        <x:f>MAX(0,K2508*'Inputs'!$E$50)</x:f>
        <x:v>0</x:v>
      </x:c>
      <x:c r="M2508" s="80" t="n">
        <x:f>MAX(0,-K2508*'Inputs'!$E$50)</x:f>
        <x:v>0</x:v>
      </x:c>
      <x:c r="N2508" s="78" t="n">
        <x:f>H2508*(L2508*(1-'Inputs'!$B$15))/(I2508+L2508*(1-'Inputs'!$B$15))</x:f>
        <x:v>0</x:v>
      </x:c>
      <x:c r="O2508" s="78" t="n">
        <x:f>H2508-N2508</x:f>
        <x:v>146564022.43784666</x:v>
      </x:c>
      <x:c r="P2508" s="78" t="n">
        <x:f>I2508+L2508*(1-'Inputs'!$B$17)</x:f>
        <x:v>198.71614636863163</x:v>
      </x:c>
      <x:c r="Q2508" s="78" t="n">
        <x:f>IF(J2508&gt;0,M2508/J2508,0)</x:f>
        <x:v>0</x:v>
      </x:c>
      <x:c r="R2508" s="78" t="n">
        <x:f>IF(B2508='Inputs'!$H$50,'Inputs'!$B$27*'Inputs'!$I$50,0)</x:f>
        <x:v>0</x:v>
      </x:c>
      <x:c r="S2508" s="78" t="n">
        <x:f>Q2508+G2508+R2508</x:f>
        <x:v>440637.3146931872</x:v>
      </x:c>
      <x:c r="T2508" s="78" t="n">
        <x:f>P2508*(S2508*(1-'Inputs'!$B$15))/(O2508+S2508*(1-'Inputs'!$B$15))</x:f>
        <x:v>0.5897005592711697</x:v>
      </x:c>
      <x:c r="U2508" s="78" t="n">
        <x:f>O2508+S2508*(1-'Inputs'!$B$17)</x:f>
        <x:v>147002886.56415075</x:v>
      </x:c>
      <x:c r="V2508" s="78" t="n">
        <x:f>P2508-T2508</x:f>
        <x:v>198.12644580936046</x:v>
      </x:c>
      <x:c r="W2508" s="79" t="n">
        <x:f>IF(U2508&gt;0,V2508/U2508,0)</x:f>
        <x:v>0.0000013477724855620426</x:v>
      </x:c>
      <x:c r="X2508" s="80" t="n">
        <x:f>W2508*('Inputs'!$B$6-AC2508)</x:f>
        <x:v>1220.1632030406774</x:v>
      </x:c>
      <x:c r="Y2508" s="80" t="n">
        <x:f>2*V2508</x:f>
        <x:v>396.2528916187209</x:v>
      </x:c>
      <x:c r="Z2508" s="80" t="n">
        <x:f>K2508*'Inputs'!$B$16+(G2508+R2508)*J2508*'Inputs'!$B$16</x:f>
        <x:v>2.3881783366363334</x:v>
      </x:c>
      <x:c r="AA2508" s="80" t="n">
        <x:f>K2508*(1+'Inputs'!$E$50)/2*'Inputs'!$B$17</x:f>
        <x:v>0.799662560839564</x:v>
      </x:c>
      <x:c r="AB2508" s="78" t="n">
        <x:f>(IF(J2508&gt;0,K2508*(1-'Inputs'!$E$50)/2/J2508,0)+G2508+R2508)*'Inputs'!$B$17</x:f>
        <x:v>591568.047293923</x:v>
      </x:c>
      <x:c r="AC2508" s="78" t="n">
        <x:f>AC2507+AB2508</x:f>
        <x:v>94681620.14611095</x:v>
      </x:c>
      <x:c r="AD2508" s="80" t="n">
        <x:f>Z2508/(1+'Inputs'!$C$50)</x:f>
        <x:v>1.1940891683181667</x:v>
      </x:c>
      <x:c r="AE2508" s="80" t="n">
        <x:f>Z2508-AD2508</x:f>
        <x:v>1.1940891683181667</x:v>
      </x:c>
      <x:c r="AF2508" s="80" t="n">
        <x:f>D2508*W2508</x:f>
        <x:v>0.35219597819076526</x:v>
      </x:c>
      <x:c r="AG2508" s="80" t="n">
        <x:f>C2508*W2508</x:f>
        <x:v>0.8217906157784924</x:v>
      </x:c>
      <x:c r="AH2508" s="80" t="n">
        <x:f>2*'Inputs'!$B$8*'Inputs'!$C$50</x:f>
        <x:v>5000</x:v>
      </x:c>
      <x:c r="AI2508" s="81" t="n">
        <x:f>IF(AH2508&gt;0,(AE2508+AF2508)/AH2508*365,0)</x:f>
        <x:v>0.11287881569515203</x:v>
      </x:c>
      <x:c r="AJ2508" s="81" t="n">
        <x:f>IF('Inputs'!$B$50&gt;0,AG2508/('Inputs'!$B$19*'Inputs'!$B$50)*365,0)</x:f>
        <x:v>0.02999535747591497</x:v>
      </x:c>
      <x:c r="AK2508" s="81" t="n">
        <x:f>W2508/MAX($W$2194:W2508)-1</x:f>
        <x:v>-0.9984008109906964</x:v>
      </x:c>
      <x:c r="AL2508" s="83" t="n">
        <x:f>'Inputs'!$B$50</x:f>
        <x:v>1</x:v>
      </x:c>
      <x:c r="AM2508" s="83" t="n">
        <x:f>'Inputs'!$C$50</x:f>
        <x:v>1</x:v>
      </x:c>
      <x:c r="AN2508" s="83" t="n">
        <x:f>'Inputs'!$D$50</x:f>
        <x:v>1</x:v>
      </x:c>
      <x:c r="AO2508" s="81" t="n">
        <x:f>'Inputs'!$E$50</x:f>
        <x:v>0</x:v>
      </x:c>
    </x:row>
    <x:row r="2509">
      <x:c r="A2509" s="59" t="str">
        <x:v>Whale exit</x:v>
      </x:c>
      <x:c r="B2509" s="59" t="n">
        <x:v>316</x:v>
      </x:c>
      <x:c r="C2509" s="78" t="n">
        <x:f>(('Inputs'!$B$29*(3*316*'Inputs'!$B$12-316^2)/(2*'Inputs'!$B$12^2))-('Inputs'!$B$29*(3*315*'Inputs'!$B$12-315^2)/(2*'Inputs'!$B$12^2)))*'Inputs'!$B$50</x:f>
        <x:v>609414.7588665783</x:v>
      </x:c>
      <x:c r="D2509" s="78" t="n">
        <x:f>IF('Inputs'!$C$50&gt;0,('Inputs'!$B$30*(3*316*'Inputs'!$B$12-316^2)/(2*'Inputs'!$B$12^2))-('Inputs'!$B$30*(3*315*'Inputs'!$B$12-315^2)/(2*'Inputs'!$B$12^2)),0)</x:f>
        <x:v>261177.75379997492</x:v>
      </x:c>
      <x:c r="E2509" s="78" t="n">
        <x:f>C2509+D2509</x:f>
        <x:v>870592.5126665533</x:v>
      </x:c>
      <x:c r="F2509" s="78" t="n">
        <x:f>'Inputs'!$B$13*E2509+(1-'Inputs'!$B$13)/'Inputs'!$B$14*SUM(E2454:E2509)</x:f>
        <x:v>880810.1895289947</x:v>
      </x:c>
      <x:c r="G2509" s="78" t="n">
        <x:f>F2509*'Inputs'!$F$50</x:f>
        <x:v>440405.09476449736</x:v>
      </x:c>
      <x:c r="H2509" s="78" t="n">
        <x:f>U2508</x:f>
        <x:v>147002886.56415075</x:v>
      </x:c>
      <x:c r="I2509" s="78" t="n">
        <x:f>V2508</x:f>
        <x:v>198.12644580936046</x:v>
      </x:c>
      <x:c r="J2509" s="79" t="n">
        <x:f>IF(H2509&gt;0,I2509/H2509,0)</x:f>
        <x:v>0.0000013477724855620426</x:v>
      </x:c>
      <x:c r="K2509" s="80" t="n">
        <x:f>(H2509*J2509+I2509)*'Inputs'!$D$50*(1+'Inputs'!$G$50)^(B2509/30)</x:f>
        <x:v>396.2528916187209</x:v>
      </x:c>
      <x:c r="L2509" s="80" t="n">
        <x:f>MAX(0,K2509*'Inputs'!$E$50)</x:f>
        <x:v>0</x:v>
      </x:c>
      <x:c r="M2509" s="80" t="n">
        <x:f>MAX(0,-K2509*'Inputs'!$E$50)</x:f>
        <x:v>0</x:v>
      </x:c>
      <x:c r="N2509" s="78" t="n">
        <x:f>H2509*(L2509*(1-'Inputs'!$B$15))/(I2509+L2509*(1-'Inputs'!$B$15))</x:f>
        <x:v>0</x:v>
      </x:c>
      <x:c r="O2509" s="78" t="n">
        <x:f>H2509-N2509</x:f>
        <x:v>147002886.56415075</x:v>
      </x:c>
      <x:c r="P2509" s="78" t="n">
        <x:f>I2509+L2509*(1-'Inputs'!$B$17)</x:f>
        <x:v>198.12644580936046</x:v>
      </x:c>
      <x:c r="Q2509" s="78" t="n">
        <x:f>IF(J2509&gt;0,M2509/J2509,0)</x:f>
        <x:v>0</x:v>
      </x:c>
      <x:c r="R2509" s="78" t="n">
        <x:f>IF(B2509='Inputs'!$H$50,'Inputs'!$B$27*'Inputs'!$I$50,0)</x:f>
        <x:v>0</x:v>
      </x:c>
      <x:c r="S2509" s="78" t="n">
        <x:f>Q2509+G2509+R2509</x:f>
        <x:v>440405.09476449736</x:v>
      </x:c>
      <x:c r="T2509" s="78" t="n">
        <x:f>P2509*(S2509*(1-'Inputs'!$B$15))/(O2509+S2509*(1-'Inputs'!$B$15))</x:f>
        <x:v>0.5858924913371093</x:v>
      </x:c>
      <x:c r="U2509" s="78" t="n">
        <x:f>O2509+S2509*(1-'Inputs'!$B$17)</x:f>
        <x:v>147441519.4050128</x:v>
      </x:c>
      <x:c r="V2509" s="78" t="n">
        <x:f>P2509-T2509</x:f>
        <x:v>197.54055331802334</x:v>
      </x:c>
      <x:c r="W2509" s="79" t="n">
        <x:f>IF(U2509&gt;0,V2509/U2509,0)</x:f>
        <x:v>0.000001339789186351177</x:v>
      </x:c>
      <x:c r="X2509" s="80" t="n">
        <x:f>W2509*('Inputs'!$B$6-AC2509)</x:f>
        <x:v>1212.1408341739939</x:v>
      </x:c>
      <x:c r="Y2509" s="80" t="n">
        <x:f>2*V2509</x:f>
        <x:v>395.0811066360467</x:v>
      </x:c>
      <x:c r="Z2509" s="80" t="n">
        <x:f>K2509*'Inputs'!$B$16+(G2509+R2509)*J2509*'Inputs'!$B$16</x:f>
        <x:v>2.381078744927675</x:v>
      </x:c>
      <x:c r="AA2509" s="80" t="n">
        <x:f>K2509*(1+'Inputs'!$E$50)/2*'Inputs'!$B$17</x:f>
        <x:v>0.7972895203595995</x:v>
      </x:c>
      <x:c r="AB2509" s="78" t="n">
        <x:f>(IF(J2509&gt;0,K2509*(1-'Inputs'!$E$50)/2/J2509,0)+G2509+R2509)*'Inputs'!$B$17</x:f>
        <x:v>593333.1656294377</x:v>
      </x:c>
      <x:c r="AC2509" s="78" t="n">
        <x:f>AC2508+AB2509</x:f>
        <x:v>95274953.31174038</x:v>
      </x:c>
      <x:c r="AD2509" s="80" t="n">
        <x:f>Z2509/(1+'Inputs'!$C$50)</x:f>
        <x:v>1.1905393724638376</x:v>
      </x:c>
      <x:c r="AE2509" s="80" t="n">
        <x:f>Z2509-AD2509</x:f>
        <x:v>1.1905393724638376</x:v>
      </x:c>
      <x:c r="AF2509" s="80" t="n">
        <x:f>D2509*W2509</x:f>
        <x:v>0.3499231302566964</x:v>
      </x:c>
      <x:c r="AG2509" s="80" t="n">
        <x:f>C2509*W2509</x:f>
        <x:v>0.8164873039322517</x:v>
      </x:c>
      <x:c r="AH2509" s="80" t="n">
        <x:f>2*'Inputs'!$B$8*'Inputs'!$C$50</x:f>
        <x:v>5000</x:v>
      </x:c>
      <x:c r="AI2509" s="81" t="n">
        <x:f>IF(AH2509&gt;0,(AE2509+AF2509)/AH2509*365,0)</x:f>
        <x:v>0.11245376269859897</x:v>
      </x:c>
      <x:c r="AJ2509" s="81" t="n">
        <x:f>IF('Inputs'!$B$50&gt;0,AG2509/('Inputs'!$B$19*'Inputs'!$B$50)*365,0)</x:f>
        <x:v>0.029801786593527186</x:v>
      </x:c>
      <x:c r="AK2509" s="81" t="n">
        <x:f>W2509/MAX($W$2194:W2509)-1</x:f>
        <x:v>-0.9984102835125744</x:v>
      </x:c>
      <x:c r="AL2509" s="83" t="n">
        <x:f>'Inputs'!$B$50</x:f>
        <x:v>1</x:v>
      </x:c>
      <x:c r="AM2509" s="83" t="n">
        <x:f>'Inputs'!$C$50</x:f>
        <x:v>1</x:v>
      </x:c>
      <x:c r="AN2509" s="83" t="n">
        <x:f>'Inputs'!$D$50</x:f>
        <x:v>1</x:v>
      </x:c>
      <x:c r="AO2509" s="81" t="n">
        <x:f>'Inputs'!$E$50</x:f>
        <x:v>0</x:v>
      </x:c>
    </x:row>
    <x:row r="2510">
      <x:c r="A2510" s="59" t="str">
        <x:v>Whale exit</x:v>
      </x:c>
      <x:c r="B2510" s="59" t="n">
        <x:v>317</x:v>
      </x:c>
      <x:c r="C2510" s="78" t="n">
        <x:f>(('Inputs'!$B$29*(3*317*'Inputs'!$B$12-317^2)/(2*'Inputs'!$B$12^2))-('Inputs'!$B$29*(3*316*'Inputs'!$B$12-316^2)/(2*'Inputs'!$B$12^2)))*'Inputs'!$B$50</x:f>
        <x:v>609089.6509664357</x:v>
      </x:c>
      <x:c r="D2510" s="78" t="n">
        <x:f>IF('Inputs'!$C$50&gt;0,('Inputs'!$B$30*(3*317*'Inputs'!$B$12-317^2)/(2*'Inputs'!$B$12^2))-('Inputs'!$B$30*(3*316*'Inputs'!$B$12-316^2)/(2*'Inputs'!$B$12^2)),0)</x:f>
        <x:v>261038.421842739</x:v>
      </x:c>
      <x:c r="E2510" s="78" t="n">
        <x:f>C2510+D2510</x:f>
        <x:v>870128.0728091747</x:v>
      </x:c>
      <x:c r="F2510" s="78" t="n">
        <x:f>'Inputs'!$B$13*E2510+(1-'Inputs'!$B$13)/'Inputs'!$B$14*SUM(E2455:E2510)</x:f>
        <x:v>880345.7496716117</x:v>
      </x:c>
      <x:c r="G2510" s="78" t="n">
        <x:f>F2510*'Inputs'!$F$50</x:f>
        <x:v>440172.87483580585</x:v>
      </x:c>
      <x:c r="H2510" s="78" t="n">
        <x:f>U2509</x:f>
        <x:v>147441519.4050128</x:v>
      </x:c>
      <x:c r="I2510" s="78" t="n">
        <x:f>V2509</x:f>
        <x:v>197.54055331802334</x:v>
      </x:c>
      <x:c r="J2510" s="79" t="n">
        <x:f>IF(H2510&gt;0,I2510/H2510,0)</x:f>
        <x:v>0.000001339789186351177</x:v>
      </x:c>
      <x:c r="K2510" s="80" t="n">
        <x:f>(H2510*J2510+I2510)*'Inputs'!$D$50*(1+'Inputs'!$G$50)^(B2510/30)</x:f>
        <x:v>395.0811066360467</x:v>
      </x:c>
      <x:c r="L2510" s="80" t="n">
        <x:f>MAX(0,K2510*'Inputs'!$E$50)</x:f>
        <x:v>0</x:v>
      </x:c>
      <x:c r="M2510" s="80" t="n">
        <x:f>MAX(0,-K2510*'Inputs'!$E$50)</x:f>
        <x:v>0</x:v>
      </x:c>
      <x:c r="N2510" s="78" t="n">
        <x:f>H2510*(L2510*(1-'Inputs'!$B$15))/(I2510+L2510*(1-'Inputs'!$B$15))</x:f>
        <x:v>0</x:v>
      </x:c>
      <x:c r="O2510" s="78" t="n">
        <x:f>H2510-N2510</x:f>
        <x:v>147441519.4050128</x:v>
      </x:c>
      <x:c r="P2510" s="78" t="n">
        <x:f>I2510+L2510*(1-'Inputs'!$B$17)</x:f>
        <x:v>197.54055331802334</x:v>
      </x:c>
      <x:c r="Q2510" s="78" t="n">
        <x:f>IF(J2510&gt;0,M2510/J2510,0)</x:f>
        <x:v>0</x:v>
      </x:c>
      <x:c r="R2510" s="78" t="n">
        <x:f>IF(B2510='Inputs'!$H$50,'Inputs'!$B$27*'Inputs'!$I$50,0)</x:f>
        <x:v>0</x:v>
      </x:c>
      <x:c r="S2510" s="78" t="n">
        <x:f>Q2510+G2510+R2510</x:f>
        <x:v>440172.87483580585</x:v>
      </x:c>
      <x:c r="T2510" s="78" t="n">
        <x:f>P2510*(S2510*(1-'Inputs'!$B$15))/(O2510+S2510*(1-'Inputs'!$B$15))</x:f>
        <x:v>0.5821209801541306</x:v>
      </x:c>
      <x:c r="U2510" s="78" t="n">
        <x:f>O2510+S2510*(1-'Inputs'!$B$17)</x:f>
        <x:v>147879920.96043277</x:v>
      </x:c>
      <x:c r="V2510" s="78" t="n">
        <x:f>P2510-T2510</x:f>
        <x:v>196.9584323378692</x:v>
      </x:c>
      <x:c r="W2510" s="79" t="n">
        <x:f>IF(U2510&gt;0,V2510/U2510,0)</x:f>
        <x:v>0.000001331880833169826</x:v>
      </x:c>
      <x:c r="X2510" s="80" t="n">
        <x:f>W2510*('Inputs'!$B$6-AC2510)</x:f>
        <x:v>1204.19335021412</x:v>
      </x:c>
      <x:c r="Y2510" s="80" t="n">
        <x:f>2*V2510</x:f>
        <x:v>393.9168646757384</x:v>
      </x:c>
      <x:c r="Z2510" s="80" t="n">
        <x:f>K2510*'Inputs'!$B$16+(G2510+R2510)*J2510*'Inputs'!$B$16</x:f>
        <x:v>2.374025072963261</x:v>
      </x:c>
      <x:c r="AA2510" s="80" t="n">
        <x:f>K2510*(1+'Inputs'!$E$50)/2*'Inputs'!$B$17</x:f>
        <x:v>0.7949318040966735</x:v>
      </x:c>
      <x:c r="AB2510" s="78" t="n">
        <x:f>(IF(J2510&gt;0,K2510*(1-'Inputs'!$E$50)/2/J2510,0)+G2510+R2510)*'Inputs'!$B$17</x:f>
        <x:v>595097.3532388274</x:v>
      </x:c>
      <x:c r="AC2510" s="78" t="n">
        <x:f>AC2509+AB2510</x:f>
        <x:v>95870050.6649792</x:v>
      </x:c>
      <x:c r="AD2510" s="80" t="n">
        <x:f>Z2510/(1+'Inputs'!$C$50)</x:f>
        <x:v>1.1870125364816304</x:v>
      </x:c>
      <x:c r="AE2510" s="80" t="n">
        <x:f>Z2510-AD2510</x:f>
        <x:v>1.1870125364816304</x:v>
      </x:c>
      <x:c r="AF2510" s="80" t="n">
        <x:f>D2510*W2510</x:f>
        <x:v>0.3476720707732437</x:v>
      </x:c>
      <x:c r="AG2510" s="80" t="n">
        <x:f>C2510*W2510</x:f>
        <x:v>0.8112348318042949</x:v>
      </x:c>
      <x:c r="AH2510" s="80" t="n">
        <x:f>2*'Inputs'!$B$8*'Inputs'!$C$50</x:f>
        <x:v>5000</x:v>
      </x:c>
      <x:c r="AI2510" s="81" t="n">
        <x:f>IF(AH2510&gt;0,(AE2510+AF2510)/AH2510*365,0)</x:f>
        <x:v>0.1120319763296058</x:v>
      </x:c>
      <x:c r="AJ2510" s="81" t="n">
        <x:f>IF('Inputs'!$B$50&gt;0,AG2510/('Inputs'!$B$19*'Inputs'!$B$50)*365,0)</x:f>
        <x:v>0.029610071360856766</x:v>
      </x:c>
      <x:c r="AK2510" s="81" t="n">
        <x:f>W2510/MAX($W$2194:W2510)-1</x:f>
        <x:v>-0.9984196671078213</x:v>
      </x:c>
      <x:c r="AL2510" s="83" t="n">
        <x:f>'Inputs'!$B$50</x:f>
        <x:v>1</x:v>
      </x:c>
      <x:c r="AM2510" s="83" t="n">
        <x:f>'Inputs'!$C$50</x:f>
        <x:v>1</x:v>
      </x:c>
      <x:c r="AN2510" s="83" t="n">
        <x:f>'Inputs'!$D$50</x:f>
        <x:v>1</x:v>
      </x:c>
      <x:c r="AO2510" s="81" t="n">
        <x:f>'Inputs'!$E$50</x:f>
        <x:v>0</x:v>
      </x:c>
    </x:row>
    <x:row r="2511">
      <x:c r="A2511" s="59" t="str">
        <x:v>Whale exit</x:v>
      </x:c>
      <x:c r="B2511" s="59" t="n">
        <x:v>318</x:v>
      </x:c>
      <x:c r="C2511" s="78" t="n">
        <x:f>(('Inputs'!$B$29*(3*318*'Inputs'!$B$12-318^2)/(2*'Inputs'!$B$12^2))-('Inputs'!$B$29*(3*317*'Inputs'!$B$12-317^2)/(2*'Inputs'!$B$12^2)))*'Inputs'!$B$50</x:f>
        <x:v>608764.5430662334</x:v>
      </x:c>
      <x:c r="D2511" s="78" t="n">
        <x:f>IF('Inputs'!$C$50&gt;0,('Inputs'!$B$30*(3*318*'Inputs'!$B$12-318^2)/(2*'Inputs'!$B$12^2))-('Inputs'!$B$30*(3*317*'Inputs'!$B$12-317^2)/(2*'Inputs'!$B$12^2)),0)</x:f>
        <x:v>260899.08988553286</x:v>
      </x:c>
      <x:c r="E2511" s="78" t="n">
        <x:f>C2511+D2511</x:f>
        <x:v>869663.6329517663</x:v>
      </x:c>
      <x:c r="F2511" s="78" t="n">
        <x:f>'Inputs'!$B$13*E2511+(1-'Inputs'!$B$13)/'Inputs'!$B$14*SUM(E2456:E2511)</x:f>
        <x:v>879881.3098142229</x:v>
      </x:c>
      <x:c r="G2511" s="78" t="n">
        <x:f>F2511*'Inputs'!$F$50</x:f>
        <x:v>439940.6549071114</x:v>
      </x:c>
      <x:c r="H2511" s="78" t="n">
        <x:f>U2510</x:f>
        <x:v>147879920.96043277</x:v>
      </x:c>
      <x:c r="I2511" s="78" t="n">
        <x:f>V2510</x:f>
        <x:v>196.9584323378692</x:v>
      </x:c>
      <x:c r="J2511" s="79" t="n">
        <x:f>IF(H2511&gt;0,I2511/H2511,0)</x:f>
        <x:v>0.000001331880833169826</x:v>
      </x:c>
      <x:c r="K2511" s="80" t="n">
        <x:f>(H2511*J2511+I2511)*'Inputs'!$D$50*(1+'Inputs'!$G$50)^(B2511/30)</x:f>
        <x:v>393.91686467573845</x:v>
      </x:c>
      <x:c r="L2511" s="80" t="n">
        <x:f>MAX(0,K2511*'Inputs'!$E$50)</x:f>
        <x:v>0</x:v>
      </x:c>
      <x:c r="M2511" s="80" t="n">
        <x:f>MAX(0,-K2511*'Inputs'!$E$50)</x:f>
        <x:v>0</x:v>
      </x:c>
      <x:c r="N2511" s="78" t="n">
        <x:f>H2511*(L2511*(1-'Inputs'!$B$15))/(I2511+L2511*(1-'Inputs'!$B$15))</x:f>
        <x:v>0</x:v>
      </x:c>
      <x:c r="O2511" s="78" t="n">
        <x:f>H2511-N2511</x:f>
        <x:v>147879920.96043277</x:v>
      </x:c>
      <x:c r="P2511" s="78" t="n">
        <x:f>I2511+L2511*(1-'Inputs'!$B$17)</x:f>
        <x:v>196.9584323378692</x:v>
      </x:c>
      <x:c r="Q2511" s="78" t="n">
        <x:f>IF(J2511&gt;0,M2511/J2511,0)</x:f>
        <x:v>0</x:v>
      </x:c>
      <x:c r="R2511" s="78" t="n">
        <x:f>IF(B2511='Inputs'!$H$50,'Inputs'!$B$27*'Inputs'!$I$50,0)</x:f>
        <x:v>0</x:v>
      </x:c>
      <x:c r="S2511" s="78" t="n">
        <x:f>Q2511+G2511+R2511</x:f>
        <x:v>439940.6549071114</x:v>
      </x:c>
      <x:c r="T2511" s="78" t="n">
        <x:f>P2511*(S2511*(1-'Inputs'!$B$15))/(O2511+S2511*(1-'Inputs'!$B$15))</x:f>
        <x:v>0.5783855588456217</x:v>
      </x:c>
      <x:c r="U2511" s="78" t="n">
        <x:f>O2511+S2511*(1-'Inputs'!$B$17)</x:f>
        <x:v>148318091.23041067</x:v>
      </x:c>
      <x:c r="V2511" s="78" t="n">
        <x:f>P2511-T2511</x:f>
        <x:v>196.3800467790236</x:v>
      </x:c>
      <x:c r="W2511" s="79" t="n">
        <x:f>IF(U2511&gt;0,V2511/U2511,0)</x:f>
        <x:v>0.0000013240464811130098</x:v>
      </x:c>
      <x:c r="X2511" s="80" t="n">
        <x:f>W2511*('Inputs'!$B$6-AC2511)</x:f>
        <x:v>1196.319806695371</x:v>
      </x:c>
      <x:c r="Y2511" s="80" t="n">
        <x:f>2*V2511</x:f>
        <x:v>392.7600935580472</x:v>
      </x:c>
      <x:c r="Z2511" s="80" t="n">
        <x:f>K2511*'Inputs'!$B$16+(G2511+R2511)*J2511*'Inputs'!$B$16</x:f>
        <x:v>2.3670168792104485</x:v>
      </x:c>
      <x:c r="AA2511" s="80" t="n">
        <x:f>K2511*(1+'Inputs'!$E$50)/2*'Inputs'!$B$17</x:f>
        <x:v>0.7925892649411237</x:v>
      </x:c>
      <x:c r="AB2511" s="78" t="n">
        <x:f>(IF(J2511&gt;0,K2511*(1-'Inputs'!$E$50)/2/J2511,0)+G2511+R2511)*'Inputs'!$B$17</x:f>
        <x:v>596860.6101220921</x:v>
      </x:c>
      <x:c r="AC2511" s="78" t="n">
        <x:f>AC2510+AB2511</x:f>
        <x:v>96466911.2751013</x:v>
      </x:c>
      <x:c r="AD2511" s="80" t="n">
        <x:f>Z2511/(1+'Inputs'!$C$50)</x:f>
        <x:v>1.1835084396052242</x:v>
      </x:c>
      <x:c r="AE2511" s="80" t="n">
        <x:f>Z2511-AD2511</x:f>
        <x:v>1.1835084396052242</x:v>
      </x:c>
      <x:c r="AF2511" s="80" t="n">
        <x:f>D2511*W2511</x:f>
        <x:v>0.3454425218885266</x:v>
      </x:c>
      <x:c r="AG2511" s="80" t="n">
        <x:f>C2511*W2511</x:f>
        <x:v>0.8060325510732156</x:v>
      </x:c>
      <x:c r="AH2511" s="80" t="n">
        <x:f>2*'Inputs'!$B$8*'Inputs'!$C$50</x:f>
        <x:v>5000</x:v>
      </x:c>
      <x:c r="AI2511" s="81" t="n">
        <x:f>IF(AH2511&gt;0,(AE2511+AF2511)/AH2511*365,0)</x:f>
        <x:v>0.11161342018904381</x:v>
      </x:c>
      <x:c r="AJ2511" s="81" t="n">
        <x:f>IF('Inputs'!$B$50&gt;0,AG2511/('Inputs'!$B$19*'Inputs'!$B$50)*365,0)</x:f>
        <x:v>0.029420188114172366</x:v>
      </x:c>
      <x:c r="AK2511" s="81" t="n">
        <x:f>W2511/MAX($W$2194:W2511)-1</x:f>
        <x:v>-0.9984289628976066</x:v>
      </x:c>
      <x:c r="AL2511" s="83" t="n">
        <x:f>'Inputs'!$B$50</x:f>
        <x:v>1</x:v>
      </x:c>
      <x:c r="AM2511" s="83" t="n">
        <x:f>'Inputs'!$C$50</x:f>
        <x:v>1</x:v>
      </x:c>
      <x:c r="AN2511" s="83" t="n">
        <x:f>'Inputs'!$D$50</x:f>
        <x:v>1</x:v>
      </x:c>
      <x:c r="AO2511" s="81" t="n">
        <x:f>'Inputs'!$E$50</x:f>
        <x:v>0</x:v>
      </x:c>
    </x:row>
    <x:row r="2512">
      <x:c r="A2512" s="59" t="str">
        <x:v>Whale exit</x:v>
      </x:c>
      <x:c r="B2512" s="59" t="n">
        <x:v>319</x:v>
      </x:c>
      <x:c r="C2512" s="78" t="n">
        <x:f>(('Inputs'!$B$29*(3*319*'Inputs'!$B$12-319^2)/(2*'Inputs'!$B$12^2))-('Inputs'!$B$29*(3*318*'Inputs'!$B$12-318^2)/(2*'Inputs'!$B$12^2)))*'Inputs'!$B$50</x:f>
        <x:v>608439.4351660609</x:v>
      </x:c>
      <x:c r="D2512" s="78" t="n">
        <x:f>IF('Inputs'!$C$50&gt;0,('Inputs'!$B$30*(3*319*'Inputs'!$B$12-319^2)/(2*'Inputs'!$B$12^2))-('Inputs'!$B$30*(3*318*'Inputs'!$B$12-318^2)/(2*'Inputs'!$B$12^2)),0)</x:f>
        <x:v>260759.75792831182</x:v>
      </x:c>
      <x:c r="E2512" s="78" t="n">
        <x:f>C2512+D2512</x:f>
        <x:v>869199.1930943727</x:v>
      </x:c>
      <x:c r="F2512" s="78" t="n">
        <x:f>'Inputs'!$B$13*E2512+(1-'Inputs'!$B$13)/'Inputs'!$B$14*SUM(E2457:E2512)</x:f>
        <x:v>879416.8699568363</x:v>
      </x:c>
      <x:c r="G2512" s="78" t="n">
        <x:f>F2512*'Inputs'!$F$50</x:f>
        <x:v>439708.43497841817</x:v>
      </x:c>
      <x:c r="H2512" s="78" t="n">
        <x:f>U2511</x:f>
        <x:v>148318091.23041067</x:v>
      </x:c>
      <x:c r="I2512" s="78" t="n">
        <x:f>V2511</x:f>
        <x:v>196.3800467790236</x:v>
      </x:c>
      <x:c r="J2512" s="79" t="n">
        <x:f>IF(H2512&gt;0,I2512/H2512,0)</x:f>
        <x:v>0.0000013240464811130098</x:v>
      </x:c>
      <x:c r="K2512" s="80" t="n">
        <x:f>(H2512*J2512+I2512)*'Inputs'!$D$50*(1+'Inputs'!$G$50)^(B2512/30)</x:f>
        <x:v>392.7600935580472</x:v>
      </x:c>
      <x:c r="L2512" s="80" t="n">
        <x:f>MAX(0,K2512*'Inputs'!$E$50)</x:f>
        <x:v>0</x:v>
      </x:c>
      <x:c r="M2512" s="80" t="n">
        <x:f>MAX(0,-K2512*'Inputs'!$E$50)</x:f>
        <x:v>0</x:v>
      </x:c>
      <x:c r="N2512" s="78" t="n">
        <x:f>H2512*(L2512*(1-'Inputs'!$B$15))/(I2512+L2512*(1-'Inputs'!$B$15))</x:f>
        <x:v>0</x:v>
      </x:c>
      <x:c r="O2512" s="78" t="n">
        <x:f>H2512-N2512</x:f>
        <x:v>148318091.23041067</x:v>
      </x:c>
      <x:c r="P2512" s="78" t="n">
        <x:f>I2512+L2512*(1-'Inputs'!$B$17)</x:f>
        <x:v>196.3800467790236</x:v>
      </x:c>
      <x:c r="Q2512" s="78" t="n">
        <x:f>IF(J2512&gt;0,M2512/J2512,0)</x:f>
        <x:v>0</x:v>
      </x:c>
      <x:c r="R2512" s="78" t="n">
        <x:f>IF(B2512='Inputs'!$H$50,'Inputs'!$B$27*'Inputs'!$I$50,0)</x:f>
        <x:v>0</x:v>
      </x:c>
      <x:c r="S2512" s="78" t="n">
        <x:f>Q2512+G2512+R2512</x:f>
        <x:v>439708.43497841817</x:v>
      </x:c>
      <x:c r="T2512" s="78" t="n">
        <x:f>P2512*(S2512*(1-'Inputs'!$B$15))/(O2512+S2512*(1-'Inputs'!$B$15))</x:f>
        <x:v>0.5746857679663424</x:v>
      </x:c>
      <x:c r="U2512" s="78" t="n">
        <x:f>O2512+S2512*(1-'Inputs'!$B$17)</x:f>
        <x:v>148756030.2149465</x:v>
      </x:c>
      <x:c r="V2512" s="78" t="n">
        <x:f>P2512-T2512</x:f>
        <x:v>195.80536101105724</x:v>
      </x:c>
      <x:c r="W2512" s="79" t="n">
        <x:f>IF(U2512&gt;0,V2512/U2512,0)</x:f>
        <x:v>0.0000013162852001907172</x:v>
      </x:c>
      <x:c r="X2512" s="80" t="n">
        <x:f>W2512*('Inputs'!$B$6-AC2512)</x:f>
        <x:v>1188.5192740596713</x:v>
      </x:c>
      <x:c r="Y2512" s="80" t="n">
        <x:f>2*V2512</x:f>
        <x:v>391.6107220221145</x:v>
      </x:c>
      <x:c r="Z2512" s="80" t="n">
        <x:f>K2512*'Inputs'!$B$16+(G2512+R2512)*J2512*'Inputs'!$B$16</x:f>
        <x:v>2.3600537277845763</x:v>
      </x:c>
      <x:c r="AA2512" s="80" t="n">
        <x:f>K2512*(1+'Inputs'!$E$50)/2*'Inputs'!$B$17</x:f>
        <x:v>0.7902617576620669</x:v>
      </x:c>
      <x:c r="AB2512" s="78" t="n">
        <x:f>(IF(J2512&gt;0,K2512*(1-'Inputs'!$E$50)/2/J2512,0)+G2512+R2512)*'Inputs'!$B$17</x:f>
        <x:v>598622.9362792318</x:v>
      </x:c>
      <x:c r="AC2512" s="78" t="n">
        <x:f>AC2511+AB2512</x:f>
        <x:v>97065534.21138054</x:v>
      </x:c>
      <x:c r="AD2512" s="80" t="n">
        <x:f>Z2512/(1+'Inputs'!$C$50)</x:f>
        <x:v>1.1800268638922882</x:v>
      </x:c>
      <x:c r="AE2512" s="80" t="n">
        <x:f>Z2512-AD2512</x:f>
        <x:v>1.1800268638922882</x:v>
      </x:c>
      <x:c r="AF2512" s="80" t="n">
        <x:f>D2512*W2512</x:f>
        <x:v>0.34323421016635086</x:v>
      </x:c>
      <x:c r="AG2512" s="80" t="n">
        <x:f>C2512*W2512</x:f>
        <x:v>0.8008798237214854</x:v>
      </x:c>
      <x:c r="AH2512" s="80" t="n">
        <x:f>2*'Inputs'!$B$8*'Inputs'!$C$50</x:f>
        <x:v>5000</x:v>
      </x:c>
      <x:c r="AI2512" s="81" t="n">
        <x:f>IF(AH2512&gt;0,(AE2512+AF2512)/AH2512*365,0)</x:f>
        <x:v>0.11119805840628065</x:v>
      </x:c>
      <x:c r="AJ2512" s="81" t="n">
        <x:f>IF('Inputs'!$B$50&gt;0,AG2512/('Inputs'!$B$19*'Inputs'!$B$50)*365,0)</x:f>
        <x:v>0.029232113565834213</x:v>
      </x:c>
      <x:c r="AK2512" s="81" t="n">
        <x:f>W2512/MAX($W$2194:W2512)-1</x:f>
        <x:v>-0.998438171985403</x:v>
      </x:c>
      <x:c r="AL2512" s="83" t="n">
        <x:f>'Inputs'!$B$50</x:f>
        <x:v>1</x:v>
      </x:c>
      <x:c r="AM2512" s="83" t="n">
        <x:f>'Inputs'!$C$50</x:f>
        <x:v>1</x:v>
      </x:c>
      <x:c r="AN2512" s="83" t="n">
        <x:f>'Inputs'!$D$50</x:f>
        <x:v>1</x:v>
      </x:c>
      <x:c r="AO2512" s="81" t="n">
        <x:f>'Inputs'!$E$50</x:f>
        <x:v>0</x:v>
      </x:c>
    </x:row>
    <x:row r="2513">
      <x:c r="A2513" s="59" t="str">
        <x:v>Whale exit</x:v>
      </x:c>
      <x:c r="B2513" s="59" t="n">
        <x:v>320</x:v>
      </x:c>
      <x:c r="C2513" s="78" t="n">
        <x:f>(('Inputs'!$B$29*(3*320*'Inputs'!$B$12-320^2)/(2*'Inputs'!$B$12^2))-('Inputs'!$B$29*(3*319*'Inputs'!$B$12-319^2)/(2*'Inputs'!$B$12^2)))*'Inputs'!$B$50</x:f>
        <x:v>608114.3272659183</x:v>
      </x:c>
      <x:c r="D2513" s="78" t="n">
        <x:f>IF('Inputs'!$C$50&gt;0,('Inputs'!$B$30*(3*320*'Inputs'!$B$12-320^2)/(2*'Inputs'!$B$12^2))-('Inputs'!$B$30*(3*319*'Inputs'!$B$12-319^2)/(2*'Inputs'!$B$12^2)),0)</x:f>
        <x:v>260620.4259711057</x:v>
      </x:c>
      <x:c r="E2513" s="78" t="n">
        <x:f>C2513+D2513</x:f>
        <x:v>868734.753237024</x:v>
      </x:c>
      <x:c r="F2513" s="78" t="n">
        <x:f>'Inputs'!$B$13*E2513+(1-'Inputs'!$B$13)/'Inputs'!$B$14*SUM(E2458:E2513)</x:f>
        <x:v>878952.4300994595</x:v>
      </x:c>
      <x:c r="G2513" s="78" t="n">
        <x:f>F2513*'Inputs'!$F$50</x:f>
        <x:v>439476.21504972974</x:v>
      </x:c>
      <x:c r="H2513" s="78" t="n">
        <x:f>U2512</x:f>
        <x:v>148756030.2149465</x:v>
      </x:c>
      <x:c r="I2513" s="78" t="n">
        <x:f>V2512</x:f>
        <x:v>195.80536101105724</x:v>
      </x:c>
      <x:c r="J2513" s="79" t="n">
        <x:f>IF(H2513&gt;0,I2513/H2513,0)</x:f>
        <x:v>0.0000013162852001907172</x:v>
      </x:c>
      <x:c r="K2513" s="80" t="n">
        <x:f>(H2513*J2513+I2513)*'Inputs'!$D$50*(1+'Inputs'!$G$50)^(B2513/30)</x:f>
        <x:v>391.6107220221145</x:v>
      </x:c>
      <x:c r="L2513" s="80" t="n">
        <x:f>MAX(0,K2513*'Inputs'!$E$50)</x:f>
        <x:v>0</x:v>
      </x:c>
      <x:c r="M2513" s="80" t="n">
        <x:f>MAX(0,-K2513*'Inputs'!$E$50)</x:f>
        <x:v>0</x:v>
      </x:c>
      <x:c r="N2513" s="78" t="n">
        <x:f>H2513*(L2513*(1-'Inputs'!$B$15))/(I2513+L2513*(1-'Inputs'!$B$15))</x:f>
        <x:v>0</x:v>
      </x:c>
      <x:c r="O2513" s="78" t="n">
        <x:f>H2513-N2513</x:f>
        <x:v>148756030.2149465</x:v>
      </x:c>
      <x:c r="P2513" s="78" t="n">
        <x:f>I2513+L2513*(1-'Inputs'!$B$17)</x:f>
        <x:v>195.80536101105724</x:v>
      </x:c>
      <x:c r="Q2513" s="78" t="n">
        <x:f>IF(J2513&gt;0,M2513/J2513,0)</x:f>
        <x:v>0</x:v>
      </x:c>
      <x:c r="R2513" s="78" t="n">
        <x:f>IF(B2513='Inputs'!$H$50,'Inputs'!$B$27*'Inputs'!$I$50,0)</x:f>
        <x:v>0</x:v>
      </x:c>
      <x:c r="S2513" s="78" t="n">
        <x:f>Q2513+G2513+R2513</x:f>
        <x:v>439476.21504972974</x:v>
      </x:c>
      <x:c r="T2513" s="78" t="n">
        <x:f>P2513*(S2513*(1-'Inputs'!$B$15))/(O2513+S2513*(1-'Inputs'!$B$15))</x:f>
        <x:v>0.5710211553608946</x:v>
      </x:c>
      <x:c r="U2513" s="78" t="n">
        <x:f>O2513+S2513*(1-'Inputs'!$B$17)</x:f>
        <x:v>149193737.9140403</x:v>
      </x:c>
      <x:c r="V2513" s="78" t="n">
        <x:f>P2513-T2513</x:f>
        <x:v>195.23433985569636</x:v>
      </x:c>
      <x:c r="W2513" s="79" t="n">
        <x:f>IF(U2513&gt;0,V2513/U2513,0)</x:f>
        <x:v>0.0000013085960750456088</x:v>
      </x:c>
      <x:c r="X2513" s="80" t="n">
        <x:f>W2513*('Inputs'!$B$6-AC2513)</x:f>
        <x:v>1180.790837374396</x:v>
      </x:c>
      <x:c r="Y2513" s="80" t="n">
        <x:f>2*V2513</x:f>
        <x:v>390.4686797113927</x:v>
      </x:c>
      <x:c r="Z2513" s="80" t="n">
        <x:f>K2513*'Inputs'!$B$16+(G2513+R2513)*J2513*'Inputs'!$B$16</x:f>
        <x:v>2.3531351883589218</x:v>
      </x:c>
      <x:c r="AA2513" s="80" t="n">
        <x:f>K2513*(1+'Inputs'!$E$50)/2*'Inputs'!$B$17</x:f>
        <x:v>0.787949138877494</x:v>
      </x:c>
      <x:c r="AB2513" s="78" t="n">
        <x:f>(IF(J2513&gt;0,K2513*(1-'Inputs'!$E$50)/2/J2513,0)+G2513+R2513)*'Inputs'!$B$17</x:f>
        <x:v>600384.3317102465</x:v>
      </x:c>
      <x:c r="AC2513" s="78" t="n">
        <x:f>AC2512+AB2513</x:f>
        <x:v>97665918.54309079</x:v>
      </x:c>
      <x:c r="AD2513" s="80" t="n">
        <x:f>Z2513/(1+'Inputs'!$C$50)</x:f>
        <x:v>1.1765675941794609</x:v>
      </x:c>
      <x:c r="AE2513" s="80" t="n">
        <x:f>Z2513-AD2513</x:f>
        <x:v>1.1765675941794609</x:v>
      </x:c>
      <x:c r="AF2513" s="80" t="n">
        <x:f>D2513*W2513</x:f>
        <x:v>0.34104686650250354</x:v>
      </x:c>
      <x:c r="AG2513" s="80" t="n">
        <x:f>C2513*W2513</x:f>
        <x:v>0.7957760218391815</x:v>
      </x:c>
      <x:c r="AH2513" s="80" t="n">
        <x:f>2*'Inputs'!$B$8*'Inputs'!$C$50</x:f>
        <x:v>5000</x:v>
      </x:c>
      <x:c r="AI2513" s="81" t="n">
        <x:f>IF(AH2513&gt;0,(AE2513+AF2513)/AH2513*365,0)</x:f>
        <x:v>0.11078585562978341</x:v>
      </x:c>
      <x:c r="AJ2513" s="81" t="n">
        <x:f>IF('Inputs'!$B$50&gt;0,AG2513/('Inputs'!$B$19*'Inputs'!$B$50)*365,0)</x:f>
        <x:v>0.029045824797130127</x:v>
      </x:c>
      <x:c r="AK2513" s="81" t="n">
        <x:f>W2513/MAX($W$2194:W2513)-1</x:f>
        <x:v>-0.9984472954573205</x:v>
      </x:c>
      <x:c r="AL2513" s="83" t="n">
        <x:f>'Inputs'!$B$50</x:f>
        <x:v>1</x:v>
      </x:c>
      <x:c r="AM2513" s="83" t="n">
        <x:f>'Inputs'!$C$50</x:f>
        <x:v>1</x:v>
      </x:c>
      <x:c r="AN2513" s="83" t="n">
        <x:f>'Inputs'!$D$50</x:f>
        <x:v>1</x:v>
      </x:c>
      <x:c r="AO2513" s="81" t="n">
        <x:f>'Inputs'!$E$50</x:f>
        <x:v>0</x:v>
      </x:c>
    </x:row>
    <x:row r="2514">
      <x:c r="A2514" s="59" t="str">
        <x:v>Whale exit</x:v>
      </x:c>
      <x:c r="B2514" s="59" t="n">
        <x:v>321</x:v>
      </x:c>
      <x:c r="C2514" s="78" t="n">
        <x:f>(('Inputs'!$B$29*(3*321*'Inputs'!$B$12-321^2)/(2*'Inputs'!$B$12^2))-('Inputs'!$B$29*(3*320*'Inputs'!$B$12-320^2)/(2*'Inputs'!$B$12^2)))*'Inputs'!$B$50</x:f>
        <x:v>607789.219365716</x:v>
      </x:c>
      <x:c r="D2514" s="78" t="n">
        <x:f>IF('Inputs'!$C$50&gt;0,('Inputs'!$B$30*(3*321*'Inputs'!$B$12-321^2)/(2*'Inputs'!$B$12^2))-('Inputs'!$B$30*(3*320*'Inputs'!$B$12-320^2)/(2*'Inputs'!$B$12^2)),0)</x:f>
        <x:v>260481.09401388466</x:v>
      </x:c>
      <x:c r="E2514" s="78" t="n">
        <x:f>C2514+D2514</x:f>
        <x:v>868270.3133796006</x:v>
      </x:c>
      <x:c r="F2514" s="78" t="n">
        <x:f>'Inputs'!$B$13*E2514+(1-'Inputs'!$B$13)/'Inputs'!$B$14*SUM(E2459:E2514)</x:f>
        <x:v>878487.9902420677</x:v>
      </x:c>
      <x:c r="G2514" s="78" t="n">
        <x:f>F2514*'Inputs'!$F$50</x:f>
        <x:v>439243.99512103386</x:v>
      </x:c>
      <x:c r="H2514" s="78" t="n">
        <x:f>U2513</x:f>
        <x:v>149193737.9140403</x:v>
      </x:c>
      <x:c r="I2514" s="78" t="n">
        <x:f>V2513</x:f>
        <x:v>195.23433985569636</x:v>
      </x:c>
      <x:c r="J2514" s="79" t="n">
        <x:f>IF(H2514&gt;0,I2514/H2514,0)</x:f>
        <x:v>0.0000013085960750456088</x:v>
      </x:c>
      <x:c r="K2514" s="80" t="n">
        <x:f>(H2514*J2514+I2514)*'Inputs'!$D$50*(1+'Inputs'!$G$50)^(B2514/30)</x:f>
        <x:v>390.4686797113927</x:v>
      </x:c>
      <x:c r="L2514" s="80" t="n">
        <x:f>MAX(0,K2514*'Inputs'!$E$50)</x:f>
        <x:v>0</x:v>
      </x:c>
      <x:c r="M2514" s="80" t="n">
        <x:f>MAX(0,-K2514*'Inputs'!$E$50)</x:f>
        <x:v>0</x:v>
      </x:c>
      <x:c r="N2514" s="78" t="n">
        <x:f>H2514*(L2514*(1-'Inputs'!$B$15))/(I2514+L2514*(1-'Inputs'!$B$15))</x:f>
        <x:v>0</x:v>
      </x:c>
      <x:c r="O2514" s="78" t="n">
        <x:f>H2514-N2514</x:f>
        <x:v>149193737.9140403</x:v>
      </x:c>
      <x:c r="P2514" s="78" t="n">
        <x:f>I2514+L2514*(1-'Inputs'!$B$17)</x:f>
        <x:v>195.23433985569636</x:v>
      </x:c>
      <x:c r="Q2514" s="78" t="n">
        <x:f>IF(J2514&gt;0,M2514/J2514,0)</x:f>
        <x:v>0</x:v>
      </x:c>
      <x:c r="R2514" s="78" t="n">
        <x:f>IF(B2514='Inputs'!$H$50,'Inputs'!$B$27*'Inputs'!$I$50,0)</x:f>
        <x:v>0</x:v>
      </x:c>
      <x:c r="S2514" s="78" t="n">
        <x:f>Q2514+G2514+R2514</x:f>
        <x:v>439243.99512103386</x:v>
      </x:c>
      <x:c r="T2514" s="78" t="n">
        <x:f>P2514*(S2514*(1-'Inputs'!$B$15))/(O2514+S2514*(1-'Inputs'!$B$15))</x:f>
        <x:v>0.5673912760253169</x:v>
      </x:c>
      <x:c r="U2514" s="78" t="n">
        <x:f>O2514+S2514*(1-'Inputs'!$B$17)</x:f>
        <x:v>149631214.32769203</x:v>
      </x:c>
      <x:c r="V2514" s="78" t="n">
        <x:f>P2514-T2514</x:f>
        <x:v>194.66694857967104</x:v>
      </x:c>
      <x:c r="W2514" s="79" t="n">
        <x:f>IF(U2514&gt;0,V2514/U2514,0)</x:f>
        <x:v>0.000001300978204676939</x:v>
      </x:c>
      <x:c r="X2514" s="80" t="n">
        <x:f>W2514*('Inputs'!$B$6-AC2514)</x:f>
        <x:v>1173.1335960564288</x:v>
      </x:c>
      <x:c r="Y2514" s="80" t="n">
        <x:f>2*V2514</x:f>
        <x:v>389.3338971593421</x:v>
      </x:c>
      <x:c r="Z2514" s="80" t="n">
        <x:f>K2514*'Inputs'!$B$16+(G2514+R2514)*J2514*'Inputs'!$B$16</x:f>
        <x:v>2.346260836076373</x:v>
      </x:c>
      <x:c r="AA2514" s="80" t="n">
        <x:f>K2514*(1+'Inputs'!$E$50)/2*'Inputs'!$B$17</x:f>
        <x:v>0.7856512670249352</x:v>
      </x:c>
      <x:c r="AB2514" s="78" t="n">
        <x:f>(IF(J2514&gt;0,K2514*(1-'Inputs'!$E$50)/2/J2514,0)+G2514+R2514)*'Inputs'!$B$17</x:f>
        <x:v>602144.7964151362</x:v>
      </x:c>
      <x:c r="AC2514" s="78" t="n">
        <x:f>AC2513+AB2514</x:f>
        <x:v>98268063.33950593</x:v>
      </x:c>
      <x:c r="AD2514" s="80" t="n">
        <x:f>Z2514/(1+'Inputs'!$C$50)</x:f>
        <x:v>1.1731304180381865</x:v>
      </x:c>
      <x:c r="AE2514" s="80" t="n">
        <x:f>Z2514-AD2514</x:f>
        <x:v>1.1731304180381865</x:v>
      </x:c>
      <x:c r="AF2514" s="80" t="n">
        <x:f>D2514*W2514</x:f>
        <x:v>0.33888022604246865</x:v>
      </x:c>
      <x:c r="AG2514" s="80" t="n">
        <x:f>C2514*W2514</x:f>
        <x:v>0.7907205274324074</x:v>
      </x:c>
      <x:c r="AH2514" s="80" t="n">
        <x:f>2*'Inputs'!$B$8*'Inputs'!$C$50</x:f>
        <x:v>5000</x:v>
      </x:c>
      <x:c r="AI2514" s="81" t="n">
        <x:f>IF(AH2514&gt;0,(AE2514+AF2514)/AH2514*365,0)</x:f>
        <x:v>0.11037677701788781</x:v>
      </x:c>
      <x:c r="AJ2514" s="81" t="n">
        <x:f>IF('Inputs'!$B$50&gt;0,AG2514/('Inputs'!$B$19*'Inputs'!$B$50)*365,0)</x:f>
        <x:v>0.02886129925128287</x:v>
      </x:c>
      <x:c r="AK2514" s="81" t="n">
        <x:f>W2514/MAX($W$2194:W2514)-1</x:f>
        <x:v>-0.9984563343824346</x:v>
      </x:c>
      <x:c r="AL2514" s="83" t="n">
        <x:f>'Inputs'!$B$50</x:f>
        <x:v>1</x:v>
      </x:c>
      <x:c r="AM2514" s="83" t="n">
        <x:f>'Inputs'!$C$50</x:f>
        <x:v>1</x:v>
      </x:c>
      <x:c r="AN2514" s="83" t="n">
        <x:f>'Inputs'!$D$50</x:f>
        <x:v>1</x:v>
      </x:c>
      <x:c r="AO2514" s="81" t="n">
        <x:f>'Inputs'!$E$50</x:f>
        <x:v>0</x:v>
      </x:c>
    </x:row>
    <x:row r="2515">
      <x:c r="A2515" s="59" t="str">
        <x:v>Whale exit</x:v>
      </x:c>
      <x:c r="B2515" s="59" t="n">
        <x:v>322</x:v>
      </x:c>
      <x:c r="C2515" s="78" t="n">
        <x:f>(('Inputs'!$B$29*(3*322*'Inputs'!$B$12-322^2)/(2*'Inputs'!$B$12^2))-('Inputs'!$B$29*(3*321*'Inputs'!$B$12-321^2)/(2*'Inputs'!$B$12^2)))*'Inputs'!$B$50</x:f>
        <x:v>607464.1114655733</x:v>
      </x:c>
      <x:c r="D2515" s="78" t="n">
        <x:f>IF('Inputs'!$C$50&gt;0,('Inputs'!$B$30*(3*322*'Inputs'!$B$12-322^2)/(2*'Inputs'!$B$12^2))-('Inputs'!$B$30*(3*321*'Inputs'!$B$12-321^2)/(2*'Inputs'!$B$12^2)),0)</x:f>
        <x:v>260341.76205667853</x:v>
      </x:c>
      <x:c r="E2515" s="78" t="n">
        <x:f>C2515+D2515</x:f>
        <x:v>867805.8735222518</x:v>
      </x:c>
      <x:c r="F2515" s="78" t="n">
        <x:f>'Inputs'!$B$13*E2515+(1-'Inputs'!$B$13)/'Inputs'!$B$14*SUM(E2460:E2515)</x:f>
        <x:v>878023.5503846909</x:v>
      </x:c>
      <x:c r="G2515" s="78" t="n">
        <x:f>F2515*'Inputs'!$F$50</x:f>
        <x:v>439011.77519234543</x:v>
      </x:c>
      <x:c r="H2515" s="78" t="n">
        <x:f>U2514</x:f>
        <x:v>149631214.32769203</x:v>
      </x:c>
      <x:c r="I2515" s="78" t="n">
        <x:f>V2514</x:f>
        <x:v>194.66694857967104</x:v>
      </x:c>
      <x:c r="J2515" s="79" t="n">
        <x:f>IF(H2515&gt;0,I2515/H2515,0)</x:f>
        <x:v>0.000001300978204676939</x:v>
      </x:c>
      <x:c r="K2515" s="80" t="n">
        <x:f>(H2515*J2515+I2515)*'Inputs'!$D$50*(1+'Inputs'!$G$50)^(B2515/30)</x:f>
        <x:v>389.3338971593421</x:v>
      </x:c>
      <x:c r="L2515" s="80" t="n">
        <x:f>MAX(0,K2515*'Inputs'!$E$50)</x:f>
        <x:v>0</x:v>
      </x:c>
      <x:c r="M2515" s="80" t="n">
        <x:f>MAX(0,-K2515*'Inputs'!$E$50)</x:f>
        <x:v>0</x:v>
      </x:c>
      <x:c r="N2515" s="78" t="n">
        <x:f>H2515*(L2515*(1-'Inputs'!$B$15))/(I2515+L2515*(1-'Inputs'!$B$15))</x:f>
        <x:v>0</x:v>
      </x:c>
      <x:c r="O2515" s="78" t="n">
        <x:f>H2515-N2515</x:f>
        <x:v>149631214.32769203</x:v>
      </x:c>
      <x:c r="P2515" s="78" t="n">
        <x:f>I2515+L2515*(1-'Inputs'!$B$17)</x:f>
        <x:v>194.66694857967104</x:v>
      </x:c>
      <x:c r="Q2515" s="78" t="n">
        <x:f>IF(J2515&gt;0,M2515/J2515,0)</x:f>
        <x:v>0</x:v>
      </x:c>
      <x:c r="R2515" s="78" t="n">
        <x:f>IF(B2515='Inputs'!$H$50,'Inputs'!$B$27*'Inputs'!$I$50,0)</x:f>
        <x:v>0</x:v>
      </x:c>
      <x:c r="S2515" s="78" t="n">
        <x:f>Q2515+G2515+R2515</x:f>
        <x:v>439011.77519234543</x:v>
      </x:c>
      <x:c r="T2515" s="78" t="n">
        <x:f>P2515*(S2515*(1-'Inputs'!$B$15))/(O2515+S2515*(1-'Inputs'!$B$15))</x:f>
        <x:v>0.5637956919718108</x:v>
      </x:c>
      <x:c r="U2515" s="78" t="n">
        <x:f>O2515+S2515*(1-'Inputs'!$B$17)</x:f>
        <x:v>150068459.4559017</x:v>
      </x:c>
      <x:c r="V2515" s="78" t="n">
        <x:f>P2515-T2515</x:f>
        <x:v>194.10315288769922</x:v>
      </x:c>
      <x:c r="W2515" s="79" t="n">
        <x:f>IF(U2515&gt;0,V2515/U2515,0)</x:f>
        <x:v>0.000001293430702170547</x:v>
      </x:c>
      <x:c r="X2515" s="80" t="n">
        <x:f>W2515*('Inputs'!$B$6-AC2515)</x:f>
        <x:v>1165.546663602285</x:v>
      </x:c>
      <x:c r="Y2515" s="80" t="n">
        <x:f>2*V2515</x:f>
        <x:v>388.20630577539845</x:v>
      </x:c>
      <x:c r="Z2515" s="80" t="n">
        <x:f>K2515*'Inputs'!$B$16+(G2515+R2515)*J2515*'Inputs'!$B$16</x:f>
        <x:v>2.339430251462783</x:v>
      </x:c>
      <x:c r="AA2515" s="80" t="n">
        <x:f>K2515*(1+'Inputs'!$E$50)/2*'Inputs'!$B$17</x:f>
        <x:v>0.7833680023326803</x:v>
      </x:c>
      <x:c r="AB2515" s="78" t="n">
        <x:f>(IF(J2515&gt;0,K2515*(1-'Inputs'!$E$50)/2/J2515,0)+G2515+R2515)*'Inputs'!$B$17</x:f>
        <x:v>603904.330393901</x:v>
      </x:c>
      <x:c r="AC2515" s="78" t="n">
        <x:f>AC2514+AB2515</x:f>
        <x:v>98871967.66989982</x:v>
      </x:c>
      <x:c r="AD2515" s="80" t="n">
        <x:f>Z2515/(1+'Inputs'!$C$50)</x:f>
        <x:v>1.1697151257313916</x:v>
      </x:c>
      <x:c r="AE2515" s="80" t="n">
        <x:f>Z2515-AD2515</x:f>
        <x:v>1.1697151257313916</x:v>
      </x:c>
      <x:c r="AF2515" s="80" t="n">
        <x:f>D2515*W2515</x:f>
        <x:v>0.3367340281012872</x:v>
      </x:c>
      <x:c r="AG2515" s="80" t="n">
        <x:f>C2515*W2515</x:f>
        <x:v>0.785712732236324</x:v>
      </x:c>
      <x:c r="AH2515" s="80" t="n">
        <x:f>2*'Inputs'!$B$8*'Inputs'!$C$50</x:f>
        <x:v>5000</x:v>
      </x:c>
      <x:c r="AI2515" s="81" t="n">
        <x:f>IF(AH2515&gt;0,(AE2515+AF2515)/AH2515*365,0)</x:f>
        <x:v>0.10997078822978555</x:v>
      </x:c>
      <x:c r="AJ2515" s="81" t="n">
        <x:f>IF('Inputs'!$B$50&gt;0,AG2515/('Inputs'!$B$19*'Inputs'!$B$50)*365,0)</x:f>
        <x:v>0.028678514726625828</x:v>
      </x:c>
      <x:c r="AK2515" s="81" t="n">
        <x:f>W2515/MAX($W$2194:W2515)-1</x:f>
        <x:v>-0.9984652898131064</x:v>
      </x:c>
      <x:c r="AL2515" s="83" t="n">
        <x:f>'Inputs'!$B$50</x:f>
        <x:v>1</x:v>
      </x:c>
      <x:c r="AM2515" s="83" t="n">
        <x:f>'Inputs'!$C$50</x:f>
        <x:v>1</x:v>
      </x:c>
      <x:c r="AN2515" s="83" t="n">
        <x:f>'Inputs'!$D$50</x:f>
        <x:v>1</x:v>
      </x:c>
      <x:c r="AO2515" s="81" t="n">
        <x:f>'Inputs'!$E$50</x:f>
        <x:v>0</x:v>
      </x:c>
    </x:row>
    <x:row r="2516">
      <x:c r="A2516" s="59" t="str">
        <x:v>Whale exit</x:v>
      </x:c>
      <x:c r="B2516" s="59" t="n">
        <x:v>323</x:v>
      </x:c>
      <x:c r="C2516" s="78" t="n">
        <x:f>(('Inputs'!$B$29*(3*323*'Inputs'!$B$12-323^2)/(2*'Inputs'!$B$12^2))-('Inputs'!$B$29*(3*322*'Inputs'!$B$12-322^2)/(2*'Inputs'!$B$12^2)))*'Inputs'!$B$50</x:f>
        <x:v>607139.0035654008</x:v>
      </x:c>
      <x:c r="D2516" s="78" t="n">
        <x:f>IF('Inputs'!$C$50&gt;0,('Inputs'!$B$30*(3*323*'Inputs'!$B$12-323^2)/(2*'Inputs'!$B$12^2))-('Inputs'!$B$30*(3*322*'Inputs'!$B$12-322^2)/(2*'Inputs'!$B$12^2)),0)</x:f>
        <x:v>260202.4300994575</x:v>
      </x:c>
      <x:c r="E2516" s="78" t="n">
        <x:f>C2516+D2516</x:f>
        <x:v>867341.4336648583</x:v>
      </x:c>
      <x:c r="F2516" s="78" t="n">
        <x:f>'Inputs'!$B$13*E2516+(1-'Inputs'!$B$13)/'Inputs'!$B$14*SUM(E2461:E2516)</x:f>
        <x:v>877559.1105273045</x:v>
      </x:c>
      <x:c r="G2516" s="78" t="n">
        <x:f>F2516*'Inputs'!$F$50</x:f>
        <x:v>438779.55526365223</x:v>
      </x:c>
      <x:c r="H2516" s="78" t="n">
        <x:f>U2515</x:f>
        <x:v>150068459.4559017</x:v>
      </x:c>
      <x:c r="I2516" s="78" t="n">
        <x:f>V2515</x:f>
        <x:v>194.10315288769922</x:v>
      </x:c>
      <x:c r="J2516" s="79" t="n">
        <x:f>IF(H2516&gt;0,I2516/H2516,0)</x:f>
        <x:v>0.000001293430702170547</x:v>
      </x:c>
      <x:c r="K2516" s="80" t="n">
        <x:f>(H2516*J2516+I2516)*'Inputs'!$D$50*(1+'Inputs'!$G$50)^(B2516/30)</x:f>
        <x:v>388.20630577539845</x:v>
      </x:c>
      <x:c r="L2516" s="80" t="n">
        <x:f>MAX(0,K2516*'Inputs'!$E$50)</x:f>
        <x:v>0</x:v>
      </x:c>
      <x:c r="M2516" s="80" t="n">
        <x:f>MAX(0,-K2516*'Inputs'!$E$50)</x:f>
        <x:v>0</x:v>
      </x:c>
      <x:c r="N2516" s="78" t="n">
        <x:f>H2516*(L2516*(1-'Inputs'!$B$15))/(I2516+L2516*(1-'Inputs'!$B$15))</x:f>
        <x:v>0</x:v>
      </x:c>
      <x:c r="O2516" s="78" t="n">
        <x:f>H2516-N2516</x:f>
        <x:v>150068459.4559017</x:v>
      </x:c>
      <x:c r="P2516" s="78" t="n">
        <x:f>I2516+L2516*(1-'Inputs'!$B$17)</x:f>
        <x:v>194.10315288769922</x:v>
      </x:c>
      <x:c r="Q2516" s="78" t="n">
        <x:f>IF(J2516&gt;0,M2516/J2516,0)</x:f>
        <x:v>0</x:v>
      </x:c>
      <x:c r="R2516" s="78" t="n">
        <x:f>IF(B2516='Inputs'!$H$50,'Inputs'!$B$27*'Inputs'!$I$50,0)</x:f>
        <x:v>0</x:v>
      </x:c>
      <x:c r="S2516" s="78" t="n">
        <x:f>Q2516+G2516+R2516</x:f>
        <x:v>438779.55526365223</x:v>
      </x:c>
      <x:c r="T2516" s="78" t="n">
        <x:f>P2516*(S2516*(1-'Inputs'!$B$15))/(O2516+S2516*(1-'Inputs'!$B$15))</x:f>
        <x:v>0.5602339720963186</x:v>
      </x:c>
      <x:c r="U2516" s="78" t="n">
        <x:f>O2516+S2516*(1-'Inputs'!$B$17)</x:f>
        <x:v>150505473.29866934</x:v>
      </x:c>
      <x:c r="V2516" s="78" t="n">
        <x:f>P2516-T2516</x:f>
        <x:v>193.5429189156029</x:v>
      </x:c>
      <x:c r="W2516" s="79" t="n">
        <x:f>IF(U2516&gt;0,V2516/U2516,0)</x:f>
        <x:v>0.0000012859526944347617</x:v>
      </x:c>
      <x:c r="X2516" s="80" t="n">
        <x:f>W2516*('Inputs'!$B$6-AC2516)</x:f>
        <x:v>1158.0291673241452</x:v>
      </x:c>
      <x:c r="Y2516" s="80" t="n">
        <x:f>2*V2516</x:f>
        <x:v>387.0858378312058</x:v>
      </x:c>
      <x:c r="Z2516" s="80" t="n">
        <x:f>K2516*'Inputs'!$B$16+(G2516+R2516)*J2516*'Inputs'!$B$16</x:f>
        <x:v>2.3326430203419672</x:v>
      </x:c>
      <x:c r="AA2516" s="80" t="n">
        <x:f>K2516*(1+'Inputs'!$E$50)/2*'Inputs'!$B$17</x:f>
        <x:v>0.7810992067915462</x:v>
      </x:c>
      <x:c r="AB2516" s="78" t="n">
        <x:f>(IF(J2516&gt;0,K2516*(1-'Inputs'!$E$50)/2/J2516,0)+G2516+R2516)*'Inputs'!$B$17</x:f>
        <x:v>605662.9336465407</x:v>
      </x:c>
      <x:c r="AC2516" s="78" t="n">
        <x:f>AC2515+AB2516</x:f>
        <x:v>99477630.60354637</x:v>
      </x:c>
      <x:c r="AD2516" s="80" t="n">
        <x:f>Z2516/(1+'Inputs'!$C$50)</x:f>
        <x:v>1.1663215101709836</x:v>
      </x:c>
      <x:c r="AE2516" s="80" t="n">
        <x:f>Z2516-AD2516</x:f>
        <x:v>1.1663215101709836</x:v>
      </x:c>
      <x:c r="AF2516" s="80" t="n">
        <x:f>D2516*W2516</x:f>
        <x:v>0.3346080160848701</x:v>
      </x:c>
      <x:c r="AG2516" s="80" t="n">
        <x:f>C2516*W2516</x:f>
        <x:v>0.7807520375313636</x:v>
      </x:c>
      <x:c r="AH2516" s="80" t="n">
        <x:f>2*'Inputs'!$B$8*'Inputs'!$C$50</x:f>
        <x:v>5000</x:v>
      </x:c>
      <x:c r="AI2516" s="81" t="n">
        <x:f>IF(AH2516&gt;0,(AE2516+AF2516)/AH2516*365,0)</x:f>
        <x:v>0.10956785541667732</x:v>
      </x:c>
      <x:c r="AJ2516" s="81" t="n">
        <x:f>IF('Inputs'!$B$50&gt;0,AG2516/('Inputs'!$B$19*'Inputs'!$B$50)*365,0)</x:f>
        <x:v>0.02849744936989477</x:v>
      </x:c>
      <x:c r="AK2516" s="81" t="n">
        <x:f>W2516/MAX($W$2194:W2516)-1</x:f>
        <x:v>-0.9984741627852962</x:v>
      </x:c>
      <x:c r="AL2516" s="83" t="n">
        <x:f>'Inputs'!$B$50</x:f>
        <x:v>1</x:v>
      </x:c>
      <x:c r="AM2516" s="83" t="n">
        <x:f>'Inputs'!$C$50</x:f>
        <x:v>1</x:v>
      </x:c>
      <x:c r="AN2516" s="83" t="n">
        <x:f>'Inputs'!$D$50</x:f>
        <x:v>1</x:v>
      </x:c>
      <x:c r="AO2516" s="81" t="n">
        <x:f>'Inputs'!$E$50</x:f>
        <x:v>0</x:v>
      </x:c>
    </x:row>
    <x:row r="2517">
      <x:c r="A2517" s="59" t="str">
        <x:v>Whale exit</x:v>
      </x:c>
      <x:c r="B2517" s="59" t="n">
        <x:v>324</x:v>
      </x:c>
      <x:c r="C2517" s="78" t="n">
        <x:f>(('Inputs'!$B$29*(3*324*'Inputs'!$B$12-324^2)/(2*'Inputs'!$B$12^2))-('Inputs'!$B$29*(3*323*'Inputs'!$B$12-323^2)/(2*'Inputs'!$B$12^2)))*'Inputs'!$B$50</x:f>
        <x:v>606813.8956652284</x:v>
      </x:c>
      <x:c r="D2517" s="78" t="n">
        <x:f>IF('Inputs'!$C$50&gt;0,('Inputs'!$B$30*(3*324*'Inputs'!$B$12-324^2)/(2*'Inputs'!$B$12^2))-('Inputs'!$B$30*(3*323*'Inputs'!$B$12-323^2)/(2*'Inputs'!$B$12^2)),0)</x:f>
        <x:v>260063.09814223647</x:v>
      </x:c>
      <x:c r="E2517" s="78" t="n">
        <x:f>C2517+D2517</x:f>
        <x:v>866876.9938074648</x:v>
      </x:c>
      <x:c r="F2517" s="78" t="n">
        <x:f>'Inputs'!$B$13*E2517+(1-'Inputs'!$B$13)/'Inputs'!$B$14*SUM(E2462:E2517)</x:f>
        <x:v>877094.6706699186</x:v>
      </x:c>
      <x:c r="G2517" s="78" t="n">
        <x:f>F2517*'Inputs'!$F$50</x:f>
        <x:v>438547.3353349593</x:v>
      </x:c>
      <x:c r="H2517" s="78" t="n">
        <x:f>U2516</x:f>
        <x:v>150505473.29866934</x:v>
      </x:c>
      <x:c r="I2517" s="78" t="n">
        <x:f>V2516</x:f>
        <x:v>193.5429189156029</x:v>
      </x:c>
      <x:c r="J2517" s="79" t="n">
        <x:f>IF(H2517&gt;0,I2517/H2517,0)</x:f>
        <x:v>0.0000012859526944347617</x:v>
      </x:c>
      <x:c r="K2517" s="80" t="n">
        <x:f>(H2517*J2517+I2517)*'Inputs'!$D$50*(1+'Inputs'!$G$50)^(B2517/30)</x:f>
        <x:v>387.0858378312058</x:v>
      </x:c>
      <x:c r="L2517" s="80" t="n">
        <x:f>MAX(0,K2517*'Inputs'!$E$50)</x:f>
        <x:v>0</x:v>
      </x:c>
      <x:c r="M2517" s="80" t="n">
        <x:f>MAX(0,-K2517*'Inputs'!$E$50)</x:f>
        <x:v>0</x:v>
      </x:c>
      <x:c r="N2517" s="78" t="n">
        <x:f>H2517*(L2517*(1-'Inputs'!$B$15))/(I2517+L2517*(1-'Inputs'!$B$15))</x:f>
        <x:v>0</x:v>
      </x:c>
      <x:c r="O2517" s="78" t="n">
        <x:f>H2517-N2517</x:f>
        <x:v>150505473.29866934</x:v>
      </x:c>
      <x:c r="P2517" s="78" t="n">
        <x:f>I2517+L2517*(1-'Inputs'!$B$17)</x:f>
        <x:v>193.5429189156029</x:v>
      </x:c>
      <x:c r="Q2517" s="78" t="n">
        <x:f>IF(J2517&gt;0,M2517/J2517,0)</x:f>
        <x:v>0</x:v>
      </x:c>
      <x:c r="R2517" s="78" t="n">
        <x:f>IF(B2517='Inputs'!$H$50,'Inputs'!$B$27*'Inputs'!$I$50,0)</x:f>
        <x:v>0</x:v>
      </x:c>
      <x:c r="S2517" s="78" t="n">
        <x:f>Q2517+G2517+R2517</x:f>
        <x:v>438547.3353349593</x:v>
      </x:c>
      <x:c r="T2517" s="78" t="n">
        <x:f>P2517*(S2517*(1-'Inputs'!$B$15))/(O2517+S2517*(1-'Inputs'!$B$15))</x:f>
        <x:v>0.5567056920491333</x:v>
      </x:c>
      <x:c r="U2517" s="78" t="n">
        <x:f>O2517+S2517*(1-'Inputs'!$B$17)</x:f>
        <x:v>150942255.8559949</x:v>
      </x:c>
      <x:c r="V2517" s="78" t="n">
        <x:f>P2517-T2517</x:f>
        <x:v>192.9862132235538</x:v>
      </x:c>
      <x:c r="W2517" s="79" t="n">
        <x:f>IF(U2517&gt;0,V2517/U2517,0)</x:f>
        <x:v>0.0000012785433219420714</x:v>
      </x:c>
      <x:c r="X2517" s="80" t="n">
        <x:f>W2517*('Inputs'!$B$6-AC2517)</x:f>
        <x:v>1150.5802480916543</x:v>
      </x:c>
      <x:c r="Y2517" s="80" t="n">
        <x:f>2*V2517</x:f>
        <x:v>385.9724264471076</x:v>
      </x:c>
      <x:c r="Z2517" s="80" t="n">
        <x:f>K2517*'Inputs'!$B$16+(G2517+R2517)*J2517*'Inputs'!$B$16</x:f>
        <x:v>2.325898733752302</x:v>
      </x:c>
      <x:c r="AA2517" s="80" t="n">
        <x:f>K2517*(1+'Inputs'!$E$50)/2*'Inputs'!$B$17</x:f>
        <x:v>0.7788447441271747</x:v>
      </x:c>
      <x:c r="AB2517" s="78" t="n">
        <x:f>(IF(J2517&gt;0,K2517*(1-'Inputs'!$E$50)/2/J2517,0)+G2517+R2517)*'Inputs'!$B$17</x:f>
        <x:v>607420.6061730556</x:v>
      </x:c>
      <x:c r="AC2517" s="78" t="n">
        <x:f>AC2516+AB2517</x:f>
        <x:v>100085051.20971942</x:v>
      </x:c>
      <x:c r="AD2517" s="80" t="n">
        <x:f>Z2517/(1+'Inputs'!$C$50)</x:f>
        <x:v>1.162949366876151</x:v>
      </x:c>
      <x:c r="AE2517" s="80" t="n">
        <x:f>Z2517-AD2517</x:f>
        <x:v>1.162949366876151</x:v>
      </x:c>
      <x:c r="AF2517" s="80" t="n">
        <x:f>D2517*W2517</x:f>
        <x:v>0.33250193741332196</x:v>
      </x:c>
      <x:c r="AG2517" s="80" t="n">
        <x:f>C2517*W2517</x:f>
        <x:v>0.7758378539644306</x:v>
      </x:c>
      <x:c r="AH2517" s="80" t="n">
        <x:f>2*'Inputs'!$B$8*'Inputs'!$C$50</x:f>
        <x:v>5000</x:v>
      </x:c>
      <x:c r="AI2517" s="81" t="n">
        <x:f>IF(AH2517&gt;0,(AE2517+AF2517)/AH2517*365,0)</x:f>
        <x:v>0.10916794521313153</x:v>
      </x:c>
      <x:c r="AJ2517" s="81" t="n">
        <x:f>IF('Inputs'!$B$50&gt;0,AG2517/('Inputs'!$B$19*'Inputs'!$B$50)*365,0)</x:f>
        <x:v>0.02831808166970172</x:v>
      </x:c>
      <x:c r="AK2517" s="81" t="n">
        <x:f>W2517/MAX($W$2194:W2517)-1</x:f>
        <x:v>-0.9984829543188697</x:v>
      </x:c>
      <x:c r="AL2517" s="83" t="n">
        <x:f>'Inputs'!$B$50</x:f>
        <x:v>1</x:v>
      </x:c>
      <x:c r="AM2517" s="83" t="n">
        <x:f>'Inputs'!$C$50</x:f>
        <x:v>1</x:v>
      </x:c>
      <x:c r="AN2517" s="83" t="n">
        <x:f>'Inputs'!$D$50</x:f>
        <x:v>1</x:v>
      </x:c>
      <x:c r="AO2517" s="81" t="n">
        <x:f>'Inputs'!$E$50</x:f>
        <x:v>0</x:v>
      </x:c>
    </x:row>
    <x:row r="2518">
      <x:c r="A2518" s="59" t="str">
        <x:v>Whale exit</x:v>
      </x:c>
      <x:c r="B2518" s="59" t="n">
        <x:v>325</x:v>
      </x:c>
      <x:c r="C2518" s="78" t="n">
        <x:f>(('Inputs'!$B$29*(3*325*'Inputs'!$B$12-325^2)/(2*'Inputs'!$B$12^2))-('Inputs'!$B$29*(3*324*'Inputs'!$B$12-324^2)/(2*'Inputs'!$B$12^2)))*'Inputs'!$B$50</x:f>
        <x:v>606488.7877650559</x:v>
      </x:c>
      <x:c r="D2518" s="78" t="n">
        <x:f>IF('Inputs'!$C$50&gt;0,('Inputs'!$B$30*(3*325*'Inputs'!$B$12-325^2)/(2*'Inputs'!$B$12^2))-('Inputs'!$B$30*(3*324*'Inputs'!$B$12-324^2)/(2*'Inputs'!$B$12^2)),0)</x:f>
        <x:v>259923.76618503034</x:v>
      </x:c>
      <x:c r="E2518" s="78" t="n">
        <x:f>C2518+D2518</x:f>
        <x:v>866412.5539500862</x:v>
      </x:c>
      <x:c r="F2518" s="78" t="n">
        <x:f>'Inputs'!$B$13*E2518+(1-'Inputs'!$B$13)/'Inputs'!$B$14*SUM(E2463:E2518)</x:f>
        <x:v>876630.2308125359</x:v>
      </x:c>
      <x:c r="G2518" s="78" t="n">
        <x:f>F2518*'Inputs'!$F$50</x:f>
        <x:v>438315.1154062679</x:v>
      </x:c>
      <x:c r="H2518" s="78" t="n">
        <x:f>U2517</x:f>
        <x:v>150942255.8559949</x:v>
      </x:c>
      <x:c r="I2518" s="78" t="n">
        <x:f>V2517</x:f>
        <x:v>192.9862132235538</x:v>
      </x:c>
      <x:c r="J2518" s="79" t="n">
        <x:f>IF(H2518&gt;0,I2518/H2518,0)</x:f>
        <x:v>0.0000012785433219420714</x:v>
      </x:c>
      <x:c r="K2518" s="80" t="n">
        <x:f>(H2518*J2518+I2518)*'Inputs'!$D$50*(1+'Inputs'!$G$50)^(B2518/30)</x:f>
        <x:v>385.97242644710764</x:v>
      </x:c>
      <x:c r="L2518" s="80" t="n">
        <x:f>MAX(0,K2518*'Inputs'!$E$50)</x:f>
        <x:v>0</x:v>
      </x:c>
      <x:c r="M2518" s="80" t="n">
        <x:f>MAX(0,-K2518*'Inputs'!$E$50)</x:f>
        <x:v>0</x:v>
      </x:c>
      <x:c r="N2518" s="78" t="n">
        <x:f>H2518*(L2518*(1-'Inputs'!$B$15))/(I2518+L2518*(1-'Inputs'!$B$15))</x:f>
        <x:v>0</x:v>
      </x:c>
      <x:c r="O2518" s="78" t="n">
        <x:f>H2518-N2518</x:f>
        <x:v>150942255.8559949</x:v>
      </x:c>
      <x:c r="P2518" s="78" t="n">
        <x:f>I2518+L2518*(1-'Inputs'!$B$17)</x:f>
        <x:v>192.9862132235538</x:v>
      </x:c>
      <x:c r="Q2518" s="78" t="n">
        <x:f>IF(J2518&gt;0,M2518/J2518,0)</x:f>
        <x:v>0</x:v>
      </x:c>
      <x:c r="R2518" s="78" t="n">
        <x:f>IF(B2518='Inputs'!$H$50,'Inputs'!$B$27*'Inputs'!$I$50,0)</x:f>
        <x:v>0</x:v>
      </x:c>
      <x:c r="S2518" s="78" t="n">
        <x:f>Q2518+G2518+R2518</x:f>
        <x:v>438315.1154062679</x:v>
      </x:c>
      <x:c r="T2518" s="78" t="n">
        <x:f>P2518*(S2518*(1-'Inputs'!$B$15))/(O2518+S2518*(1-'Inputs'!$B$15))</x:f>
        <x:v>0.5532104341082547</x:v>
      </x:c>
      <x:c r="U2518" s="78" t="n">
        <x:f>O2518+S2518*(1-'Inputs'!$B$17)</x:f>
        <x:v>151378807.12787843</x:v>
      </x:c>
      <x:c r="V2518" s="78" t="n">
        <x:f>P2518-T2518</x:f>
        <x:v>192.43300278944554</x:v>
      </x:c>
      <x:c r="W2518" s="79" t="n">
        <x:f>IF(U2518&gt;0,V2518/U2518,0)</x:f>
        <x:v>0.0000012712017384764187</x:v>
      </x:c>
      <x:c r="X2518" s="80" t="n">
        <x:f>W2518*('Inputs'!$B$6-AC2518)</x:f>
        <x:v>1143.1990600793376</x:v>
      </x:c>
      <x:c r="Y2518" s="80" t="n">
        <x:f>2*V2518</x:f>
        <x:v>384.8660055788911</x:v>
      </x:c>
      <x:c r="Z2518" s="80" t="n">
        <x:f>K2518*'Inputs'!$B$16+(G2518+R2518)*J2518*'Inputs'!$B$16</x:f>
        <x:v>2.3191969878648995</x:v>
      </x:c>
      <x:c r="AA2518" s="80" t="n">
        <x:f>K2518*(1+'Inputs'!$E$50)/2*'Inputs'!$B$17</x:f>
        <x:v>0.7766044797728524</x:v>
      </x:c>
      <x:c r="AB2518" s="78" t="n">
        <x:f>(IF(J2518&gt;0,K2518*(1-'Inputs'!$E$50)/2/J2518,0)+G2518+R2518)*'Inputs'!$B$17</x:f>
        <x:v>609177.3479734454</x:v>
      </x:c>
      <x:c r="AC2518" s="78" t="n">
        <x:f>AC2517+AB2518</x:f>
        <x:v>100694228.55769287</x:v>
      </x:c>
      <x:c r="AD2518" s="80" t="n">
        <x:f>Z2518/(1+'Inputs'!$C$50)</x:f>
        <x:v>1.1595984939324497</x:v>
      </x:c>
      <x:c r="AE2518" s="80" t="n">
        <x:f>Z2518-AD2518</x:f>
        <x:v>1.1595984939324497</x:v>
      </x:c>
      <x:c r="AF2518" s="80" t="n">
        <x:f>D2518*W2518</x:f>
        <x:v>0.33041554344574875</x:v>
      </x:c>
      <x:c r="AG2518" s="80" t="n">
        <x:f>C2518*W2518</x:f>
        <x:v>0.7709696013733948</x:v>
      </x:c>
      <x:c r="AH2518" s="80" t="n">
        <x:f>2*'Inputs'!$B$8*'Inputs'!$C$50</x:f>
        <x:v>5000</x:v>
      </x:c>
      <x:c r="AI2518" s="81" t="n">
        <x:f>IF(AH2518&gt;0,(AE2518+AF2518)/AH2518*365,0)</x:f>
        <x:v>0.10877102472860849</x:v>
      </x:c>
      <x:c r="AJ2518" s="81" t="n">
        <x:f>IF('Inputs'!$B$50&gt;0,AG2518/('Inputs'!$B$19*'Inputs'!$B$50)*365,0)</x:f>
        <x:v>0.028140390450128908</x:v>
      </x:c>
      <x:c r="AK2518" s="81" t="n">
        <x:f>W2518/MAX($W$2194:W2518)-1</x:f>
        <x:v>-0.9984916654178978</x:v>
      </x:c>
      <x:c r="AL2518" s="83" t="n">
        <x:f>'Inputs'!$B$50</x:f>
        <x:v>1</x:v>
      </x:c>
      <x:c r="AM2518" s="83" t="n">
        <x:f>'Inputs'!$C$50</x:f>
        <x:v>1</x:v>
      </x:c>
      <x:c r="AN2518" s="83" t="n">
        <x:f>'Inputs'!$D$50</x:f>
        <x:v>1</x:v>
      </x:c>
      <x:c r="AO2518" s="81" t="n">
        <x:f>'Inputs'!$E$50</x:f>
        <x:v>0</x:v>
      </x:c>
    </x:row>
    <x:row r="2519">
      <x:c r="A2519" s="59" t="str">
        <x:v>Whale exit</x:v>
      </x:c>
      <x:c r="B2519" s="59" t="n">
        <x:v>326</x:v>
      </x:c>
      <x:c r="C2519" s="78" t="n">
        <x:f>(('Inputs'!$B$29*(3*326*'Inputs'!$B$12-326^2)/(2*'Inputs'!$B$12^2))-('Inputs'!$B$29*(3*325*'Inputs'!$B$12-325^2)/(2*'Inputs'!$B$12^2)))*'Inputs'!$B$50</x:f>
        <x:v>606163.6798648834</x:v>
      </x:c>
      <x:c r="D2519" s="78" t="n">
        <x:f>IF('Inputs'!$C$50&gt;0,('Inputs'!$B$30*(3*326*'Inputs'!$B$12-326^2)/(2*'Inputs'!$B$12^2))-('Inputs'!$B$30*(3*325*'Inputs'!$B$12-325^2)/(2*'Inputs'!$B$12^2)),0)</x:f>
        <x:v>259784.4342278093</x:v>
      </x:c>
      <x:c r="E2519" s="78" t="n">
        <x:f>C2519+D2519</x:f>
        <x:v>865948.1140926927</x:v>
      </x:c>
      <x:c r="F2519" s="78" t="n">
        <x:f>'Inputs'!$B$13*E2519+(1-'Inputs'!$B$13)/'Inputs'!$B$14*SUM(E2464:E2519)</x:f>
        <x:v>876165.7909551496</x:v>
      </x:c>
      <x:c r="G2519" s="78" t="n">
        <x:f>F2519*'Inputs'!$F$50</x:f>
        <x:v>438082.8954775748</x:v>
      </x:c>
      <x:c r="H2519" s="78" t="n">
        <x:f>U2518</x:f>
        <x:v>151378807.12787843</x:v>
      </x:c>
      <x:c r="I2519" s="78" t="n">
        <x:f>V2518</x:f>
        <x:v>192.43300278944554</x:v>
      </x:c>
      <x:c r="J2519" s="79" t="n">
        <x:f>IF(H2519&gt;0,I2519/H2519,0)</x:f>
        <x:v>0.0000012712017384764187</x:v>
      </x:c>
      <x:c r="K2519" s="80" t="n">
        <x:f>(H2519*J2519+I2519)*'Inputs'!$D$50*(1+'Inputs'!$G$50)^(B2519/30)</x:f>
        <x:v>384.8660055788911</x:v>
      </x:c>
      <x:c r="L2519" s="80" t="n">
        <x:f>MAX(0,K2519*'Inputs'!$E$50)</x:f>
        <x:v>0</x:v>
      </x:c>
      <x:c r="M2519" s="80" t="n">
        <x:f>MAX(0,-K2519*'Inputs'!$E$50)</x:f>
        <x:v>0</x:v>
      </x:c>
      <x:c r="N2519" s="78" t="n">
        <x:f>H2519*(L2519*(1-'Inputs'!$B$15))/(I2519+L2519*(1-'Inputs'!$B$15))</x:f>
        <x:v>0</x:v>
      </x:c>
      <x:c r="O2519" s="78" t="n">
        <x:f>H2519-N2519</x:f>
        <x:v>151378807.12787843</x:v>
      </x:c>
      <x:c r="P2519" s="78" t="n">
        <x:f>I2519+L2519*(1-'Inputs'!$B$17)</x:f>
        <x:v>192.43300278944554</x:v>
      </x:c>
      <x:c r="Q2519" s="78" t="n">
        <x:f>IF(J2519&gt;0,M2519/J2519,0)</x:f>
        <x:v>0</x:v>
      </x:c>
      <x:c r="R2519" s="78" t="n">
        <x:f>IF(B2519='Inputs'!$H$50,'Inputs'!$B$27*'Inputs'!$I$50,0)</x:f>
        <x:v>0</x:v>
      </x:c>
      <x:c r="S2519" s="78" t="n">
        <x:f>Q2519+G2519+R2519</x:f>
        <x:v>438082.8954775748</x:v>
      </x:c>
      <x:c r="T2519" s="78" t="n">
        <x:f>P2519*(S2519*(1-'Inputs'!$B$15))/(O2519+S2519*(1-'Inputs'!$B$15))</x:f>
        <x:v>0.5497477870555346</x:v>
      </x:c>
      <x:c r="U2519" s="78" t="n">
        <x:f>O2519+S2519*(1-'Inputs'!$B$17)</x:f>
        <x:v>151815127.11431986</x:v>
      </x:c>
      <x:c r="V2519" s="78" t="n">
        <x:f>P2519-T2519</x:f>
        <x:v>191.88325500239</x:v>
      </x:c>
      <x:c r="W2519" s="79" t="n">
        <x:f>IF(U2519&gt;0,V2519/U2519,0)</x:f>
        <x:v>0.0000012639271108859793</x:v>
      </x:c>
      <x:c r="X2519" s="80" t="n">
        <x:f>W2519*('Inputs'!$B$6-AC2519)</x:f>
        <x:v>1135.8847705195024</x:v>
      </x:c>
      <x:c r="Y2519" s="80" t="n">
        <x:f>2*V2519</x:f>
        <x:v>383.76651000478</x:v>
      </x:c>
      <x:c r="Z2519" s="80" t="n">
        <x:f>K2519*'Inputs'!$B$16+(G2519+R2519)*J2519*'Inputs'!$B$16</x:f>
        <x:v>2.3125373839033134</x:v>
      </x:c>
      <x:c r="AA2519" s="80" t="n">
        <x:f>K2519*(1+'Inputs'!$E$50)/2*'Inputs'!$B$17</x:f>
        <x:v>0.7743782808428392</x:v>
      </x:c>
      <x:c r="AB2519" s="78" t="n">
        <x:f>(IF(J2519&gt;0,K2519*(1-'Inputs'!$E$50)/2/J2519,0)+G2519+R2519)*'Inputs'!$B$17</x:f>
        <x:v>610933.1590477102</x:v>
      </x:c>
      <x:c r="AC2519" s="78" t="n">
        <x:f>AC2518+AB2519</x:f>
        <x:v>101305161.71674058</x:v>
      </x:c>
      <x:c r="AD2519" s="80" t="n">
        <x:f>Z2519/(1+'Inputs'!$C$50)</x:f>
        <x:v>1.1562686919516567</x:v>
      </x:c>
      <x:c r="AE2519" s="80" t="n">
        <x:f>Z2519-AD2519</x:f>
        <x:v>1.1562686919516567</x:v>
      </x:c>
      <x:c r="AF2519" s="80" t="n">
        <x:f>D2519*W2519</x:f>
        <x:v>0.32834858940670375</x:v>
      </x:c>
      <x:c r="AG2519" s="80" t="n">
        <x:f>C2519*W2519</x:f>
        <x:v>0.7661467086156357</x:v>
      </x:c>
      <x:c r="AH2519" s="80" t="n">
        <x:f>2*'Inputs'!$B$8*'Inputs'!$C$50</x:f>
        <x:v>5000</x:v>
      </x:c>
      <x:c r="AI2519" s="81" t="n">
        <x:f>IF(AH2519&gt;0,(AE2519+AF2519)/AH2519*365,0)</x:f>
        <x:v>0.10837706153916031</x:v>
      </x:c>
      <x:c r="AJ2519" s="81" t="n">
        <x:f>IF('Inputs'!$B$50&gt;0,AG2519/('Inputs'!$B$19*'Inputs'!$B$50)*365,0)</x:f>
        <x:v>0.027964354864470704</x:v>
      </x:c>
      <x:c r="AK2519" s="81" t="n">
        <x:f>W2519/MAX($W$2194:W2519)-1</x:f>
        <x:v>-0.9985002970709506</x:v>
      </x:c>
      <x:c r="AL2519" s="83" t="n">
        <x:f>'Inputs'!$B$50</x:f>
        <x:v>1</x:v>
      </x:c>
      <x:c r="AM2519" s="83" t="n">
        <x:f>'Inputs'!$C$50</x:f>
        <x:v>1</x:v>
      </x:c>
      <x:c r="AN2519" s="83" t="n">
        <x:f>'Inputs'!$D$50</x:f>
        <x:v>1</x:v>
      </x:c>
      <x:c r="AO2519" s="81" t="n">
        <x:f>'Inputs'!$E$50</x:f>
        <x:v>0</x:v>
      </x:c>
    </x:row>
    <x:row r="2520">
      <x:c r="A2520" s="59" t="str">
        <x:v>Whale exit</x:v>
      </x:c>
      <x:c r="B2520" s="59" t="n">
        <x:v>327</x:v>
      </x:c>
      <x:c r="C2520" s="78" t="n">
        <x:f>(('Inputs'!$B$29*(3*327*'Inputs'!$B$12-327^2)/(2*'Inputs'!$B$12^2))-('Inputs'!$B$29*(3*326*'Inputs'!$B$12-326^2)/(2*'Inputs'!$B$12^2)))*'Inputs'!$B$50</x:f>
        <x:v>605838.5719647408</x:v>
      </x:c>
      <x:c r="D2520" s="78" t="n">
        <x:f>IF('Inputs'!$C$50&gt;0,('Inputs'!$B$30*(3*327*'Inputs'!$B$12-327^2)/(2*'Inputs'!$B$12^2))-('Inputs'!$B$30*(3*326*'Inputs'!$B$12-326^2)/(2*'Inputs'!$B$12^2)),0)</x:f>
        <x:v>259645.10227058828</x:v>
      </x:c>
      <x:c r="E2520" s="78" t="n">
        <x:f>C2520+D2520</x:f>
        <x:v>865483.674235329</x:v>
      </x:c>
      <x:c r="F2520" s="78" t="n">
        <x:f>'Inputs'!$B$13*E2520+(1-'Inputs'!$B$13)/'Inputs'!$B$14*SUM(E2465:E2520)</x:f>
        <x:v>875701.3510977698</x:v>
      </x:c>
      <x:c r="G2520" s="78" t="n">
        <x:f>F2520*'Inputs'!$F$50</x:f>
        <x:v>437850.6755488849</x:v>
      </x:c>
      <x:c r="H2520" s="78" t="n">
        <x:f>U2519</x:f>
        <x:v>151815127.11431986</x:v>
      </x:c>
      <x:c r="I2520" s="78" t="n">
        <x:f>V2519</x:f>
        <x:v>191.88325500239</x:v>
      </x:c>
      <x:c r="J2520" s="79" t="n">
        <x:f>IF(H2520&gt;0,I2520/H2520,0)</x:f>
        <x:v>0.0000012639271108859793</x:v>
      </x:c>
      <x:c r="K2520" s="80" t="n">
        <x:f>(H2520*J2520+I2520)*'Inputs'!$D$50*(1+'Inputs'!$G$50)^(B2520/30)</x:f>
        <x:v>383.76651000478</x:v>
      </x:c>
      <x:c r="L2520" s="80" t="n">
        <x:f>MAX(0,K2520*'Inputs'!$E$50)</x:f>
        <x:v>0</x:v>
      </x:c>
      <x:c r="M2520" s="80" t="n">
        <x:f>MAX(0,-K2520*'Inputs'!$E$50)</x:f>
        <x:v>0</x:v>
      </x:c>
      <x:c r="N2520" s="78" t="n">
        <x:f>H2520*(L2520*(1-'Inputs'!$B$15))/(I2520+L2520*(1-'Inputs'!$B$15))</x:f>
        <x:v>0</x:v>
      </x:c>
      <x:c r="O2520" s="78" t="n">
        <x:f>H2520-N2520</x:f>
        <x:v>151815127.11431986</x:v>
      </x:c>
      <x:c r="P2520" s="78" t="n">
        <x:f>I2520+L2520*(1-'Inputs'!$B$17)</x:f>
        <x:v>191.88325500239</x:v>
      </x:c>
      <x:c r="Q2520" s="78" t="n">
        <x:f>IF(J2520&gt;0,M2520/J2520,0)</x:f>
        <x:v>0</x:v>
      </x:c>
      <x:c r="R2520" s="78" t="n">
        <x:f>IF(B2520='Inputs'!$H$50,'Inputs'!$B$27*'Inputs'!$I$50,0)</x:f>
        <x:v>0</x:v>
      </x:c>
      <x:c r="S2520" s="78" t="n">
        <x:f>Q2520+G2520+R2520</x:f>
        <x:v>437850.6755488849</x:v>
      </x:c>
      <x:c r="T2520" s="78" t="n">
        <x:f>P2520*(S2520*(1-'Inputs'!$B$15))/(O2520+S2520*(1-'Inputs'!$B$15))</x:f>
        <x:v>0.5463173460555296</x:v>
      </x:c>
      <x:c r="U2520" s="78" t="n">
        <x:f>O2520+S2520*(1-'Inputs'!$B$17)</x:f>
        <x:v>152251215.81531924</x:v>
      </x:c>
      <x:c r="V2520" s="78" t="n">
        <x:f>P2520-T2520</x:f>
        <x:v>191.33693765633447</x:v>
      </x:c>
      <x:c r="W2520" s="79" t="n">
        <x:f>IF(U2520&gt;0,V2520/U2520,0)</x:f>
        <x:v>0.0000012567186188412854</x:v>
      </x:c>
      <x:c r="X2520" s="80" t="n">
        <x:f>W2520*('Inputs'!$B$6-AC2520)</x:f>
        <x:v>1128.63655946048</x:v>
      </x:c>
      <x:c r="Y2520" s="80" t="n">
        <x:f>2*V2520</x:f>
        <x:v>382.67387531266894</x:v>
      </x:c>
      <x:c r="Z2520" s="80" t="n">
        <x:f>K2520*'Inputs'!$B$16+(G2520+R2520)*J2520*'Inputs'!$B$16</x:f>
        <x:v>2.3059195280647558</x:v>
      </x:c>
      <x:c r="AA2520" s="80" t="n">
        <x:f>K2520*(1+'Inputs'!$E$50)/2*'Inputs'!$B$17</x:f>
        <x:v>0.7721660161061973</x:v>
      </x:c>
      <x:c r="AB2520" s="78" t="n">
        <x:f>(IF(J2520&gt;0,K2520*(1-'Inputs'!$E$50)/2/J2520,0)+G2520+R2520)*'Inputs'!$B$17</x:f>
        <x:v>612688.0393958502</x:v>
      </x:c>
      <x:c r="AC2520" s="78" t="n">
        <x:f>AC2519+AB2520</x:f>
        <x:v>101917849.75613643</x:v>
      </x:c>
      <x:c r="AD2520" s="80" t="n">
        <x:f>Z2520/(1+'Inputs'!$C$50)</x:f>
        <x:v>1.1529597640323779</x:v>
      </x:c>
      <x:c r="AE2520" s="80" t="n">
        <x:f>Z2520-AD2520</x:f>
        <x:v>1.1529597640323779</x:v>
      </x:c>
      <x:c r="AF2520" s="80" t="n">
        <x:f>D2520*W2520</x:f>
        <x:v>0.326300834314398</x:v>
      </x:c>
      <x:c r="AG2520" s="80" t="n">
        <x:f>C2520*W2520</x:f>
        <x:v>0.7613686134003057</x:v>
      </x:c>
      <x:c r="AH2520" s="80" t="n">
        <x:f>2*'Inputs'!$B$8*'Inputs'!$C$50</x:f>
        <x:v>5000</x:v>
      </x:c>
      <x:c r="AI2520" s="81" t="n">
        <x:f>IF(AH2520&gt;0,(AE2520+AF2520)/AH2520*365,0)</x:f>
        <x:v>0.10798602367931465</x:v>
      </x:c>
      <x:c r="AJ2520" s="81" t="n">
        <x:f>IF('Inputs'!$B$50&gt;0,AG2520/('Inputs'!$B$19*'Inputs'!$B$50)*365,0)</x:f>
        <x:v>0.02778995438911116</x:v>
      </x:c>
      <x:c r="AK2520" s="81" t="n">
        <x:f>W2520/MAX($W$2194:W2520)-1</x:f>
        <x:v>-0.9985088502513835</x:v>
      </x:c>
      <x:c r="AL2520" s="83" t="n">
        <x:f>'Inputs'!$B$50</x:f>
        <x:v>1</x:v>
      </x:c>
      <x:c r="AM2520" s="83" t="n">
        <x:f>'Inputs'!$C$50</x:f>
        <x:v>1</x:v>
      </x:c>
      <x:c r="AN2520" s="83" t="n">
        <x:f>'Inputs'!$D$50</x:f>
        <x:v>1</x:v>
      </x:c>
      <x:c r="AO2520" s="81" t="n">
        <x:f>'Inputs'!$E$50</x:f>
        <x:v>0</x:v>
      </x:c>
    </x:row>
    <x:row r="2521">
      <x:c r="A2521" s="59" t="str">
        <x:v>Whale exit</x:v>
      </x:c>
      <x:c r="B2521" s="59" t="n">
        <x:v>328</x:v>
      </x:c>
      <x:c r="C2521" s="78" t="n">
        <x:f>(('Inputs'!$B$29*(3*328*'Inputs'!$B$12-328^2)/(2*'Inputs'!$B$12^2))-('Inputs'!$B$29*(3*327*'Inputs'!$B$12-327^2)/(2*'Inputs'!$B$12^2)))*'Inputs'!$B$50</x:f>
        <x:v>605513.4640645385</x:v>
      </x:c>
      <x:c r="D2521" s="78" t="n">
        <x:f>IF('Inputs'!$C$50&gt;0,('Inputs'!$B$30*(3*328*'Inputs'!$B$12-328^2)/(2*'Inputs'!$B$12^2))-('Inputs'!$B$30*(3*327*'Inputs'!$B$12-327^2)/(2*'Inputs'!$B$12^2)),0)</x:f>
        <x:v>259505.77031338215</x:v>
      </x:c>
      <x:c r="E2521" s="78" t="n">
        <x:f>C2521+D2521</x:f>
        <x:v>865019.2343779206</x:v>
      </x:c>
      <x:c r="F2521" s="78" t="n">
        <x:f>'Inputs'!$B$13*E2521+(1-'Inputs'!$B$13)/'Inputs'!$B$14*SUM(E2466:E2521)</x:f>
        <x:v>875236.9112403806</x:v>
      </x:c>
      <x:c r="G2521" s="78" t="n">
        <x:f>F2521*'Inputs'!$F$50</x:f>
        <x:v>437618.4556201903</x:v>
      </x:c>
      <x:c r="H2521" s="78" t="n">
        <x:f>U2520</x:f>
        <x:v>152251215.81531924</x:v>
      </x:c>
      <x:c r="I2521" s="78" t="n">
        <x:f>V2520</x:f>
        <x:v>191.33693765633447</x:v>
      </x:c>
      <x:c r="J2521" s="79" t="n">
        <x:f>IF(H2521&gt;0,I2521/H2521,0)</x:f>
        <x:v>0.0000012567186188412854</x:v>
      </x:c>
      <x:c r="K2521" s="80" t="n">
        <x:f>(H2521*J2521+I2521)*'Inputs'!$D$50*(1+'Inputs'!$G$50)^(B2521/30)</x:f>
        <x:v>382.67387531266894</x:v>
      </x:c>
      <x:c r="L2521" s="80" t="n">
        <x:f>MAX(0,K2521*'Inputs'!$E$50)</x:f>
        <x:v>0</x:v>
      </x:c>
      <x:c r="M2521" s="80" t="n">
        <x:f>MAX(0,-K2521*'Inputs'!$E$50)</x:f>
        <x:v>0</x:v>
      </x:c>
      <x:c r="N2521" s="78" t="n">
        <x:f>H2521*(L2521*(1-'Inputs'!$B$15))/(I2521+L2521*(1-'Inputs'!$B$15))</x:f>
        <x:v>0</x:v>
      </x:c>
      <x:c r="O2521" s="78" t="n">
        <x:f>H2521-N2521</x:f>
        <x:v>152251215.81531924</x:v>
      </x:c>
      <x:c r="P2521" s="78" t="n">
        <x:f>I2521+L2521*(1-'Inputs'!$B$17)</x:f>
        <x:v>191.33693765633447</x:v>
      </x:c>
      <x:c r="Q2521" s="78" t="n">
        <x:f>IF(J2521&gt;0,M2521/J2521,0)</x:f>
        <x:v>0</x:v>
      </x:c>
      <x:c r="R2521" s="78" t="n">
        <x:f>IF(B2521='Inputs'!$H$50,'Inputs'!$B$27*'Inputs'!$I$50,0)</x:f>
        <x:v>0</x:v>
      </x:c>
      <x:c r="S2521" s="78" t="n">
        <x:f>Q2521+G2521+R2521</x:f>
        <x:v>437618.4556201903</x:v>
      </x:c>
      <x:c r="T2521" s="78" t="n">
        <x:f>P2521*(S2521*(1-'Inputs'!$B$15))/(O2521+S2521*(1-'Inputs'!$B$15))</x:f>
        <x:v>0.542918712536937</x:v>
      </x:c>
      <x:c r="U2521" s="78" t="n">
        <x:f>O2521+S2521*(1-'Inputs'!$B$17)</x:f>
        <x:v>152687073.23087656</x:v>
      </x:c>
      <x:c r="V2521" s="78" t="n">
        <x:f>P2521-T2521</x:f>
        <x:v>190.79401894379754</x:v>
      </x:c>
      <x:c r="W2521" s="79" t="n">
        <x:f>IF(U2521&gt;0,V2521/U2521,0)</x:f>
        <x:v>0.0000012495754545985687</x:v>
      </x:c>
      <x:c r="X2521" s="80" t="n">
        <x:f>W2521*('Inputs'!$B$6-AC2521)</x:f>
        <x:v>1121.4536195300846</x:v>
      </x:c>
      <x:c r="Y2521" s="80" t="n">
        <x:f>2*V2521</x:f>
        <x:v>381.5880378875951</x:v>
      </x:c>
      <x:c r="Z2521" s="80" t="n">
        <x:f>K2521*'Inputs'!$B$16+(G2521+R2521)*J2521*'Inputs'!$B$16</x:f>
        <x:v>2.2993430314427727</x:v>
      </x:c>
      <x:c r="AA2521" s="80" t="n">
        <x:f>K2521*(1+'Inputs'!$E$50)/2*'Inputs'!$B$17</x:f>
        <x:v>0.7699675559611046</x:v>
      </x:c>
      <x:c r="AB2521" s="78" t="n">
        <x:f>(IF(J2521&gt;0,K2521*(1-'Inputs'!$E$50)/2/J2521,0)+G2521+R2521)*'Inputs'!$B$17</x:f>
        <x:v>614441.989017865</x:v>
      </x:c>
      <x:c r="AC2521" s="78" t="n">
        <x:f>AC2520+AB2521</x:f>
        <x:v>102532291.74515429</x:v>
      </x:c>
      <x:c r="AD2521" s="80" t="n">
        <x:f>Z2521/(1+'Inputs'!$C$50)</x:f>
        <x:v>1.1496715157213864</x:v>
      </x:c>
      <x:c r="AE2521" s="80" t="n">
        <x:f>Z2521-AD2521</x:f>
        <x:v>1.1496715157213864</x:v>
      </x:c>
      <x:c r="AF2521" s="80" t="n">
        <x:f>D2521*W2521</x:f>
        <x:v>0.32427204091029627</x:v>
      </x:c>
      <x:c r="AG2521" s="80" t="n">
        <x:f>C2521*W2521</x:f>
        <x:v>0.7566347621239998</x:v>
      </x:c>
      <x:c r="AH2521" s="80" t="n">
        <x:f>2*'Inputs'!$B$8*'Inputs'!$C$50</x:f>
        <x:v>5000</x:v>
      </x:c>
      <x:c r="AI2521" s="81" t="n">
        <x:f>IF(AH2521&gt;0,(AE2521+AF2521)/AH2521*365,0)</x:f>
        <x:v>0.10759787963411285</x:v>
      </x:c>
      <x:c r="AJ2521" s="81" t="n">
        <x:f>IF('Inputs'!$B$50&gt;0,AG2521/('Inputs'!$B$19*'Inputs'!$B$50)*365,0)</x:f>
        <x:v>0.027617168817525992</x:v>
      </x:c>
      <x:c r="AK2521" s="81" t="n">
        <x:f>W2521/MAX($W$2194:W2521)-1</x:f>
        <x:v>-0.9985173259176187</x:v>
      </x:c>
      <x:c r="AL2521" s="83" t="n">
        <x:f>'Inputs'!$B$50</x:f>
        <x:v>1</x:v>
      </x:c>
      <x:c r="AM2521" s="83" t="n">
        <x:f>'Inputs'!$C$50</x:f>
        <x:v>1</x:v>
      </x:c>
      <x:c r="AN2521" s="83" t="n">
        <x:f>'Inputs'!$D$50</x:f>
        <x:v>1</x:v>
      </x:c>
      <x:c r="AO2521" s="81" t="n">
        <x:f>'Inputs'!$E$50</x:f>
        <x:v>0</x:v>
      </x:c>
    </x:row>
    <x:row r="2522">
      <x:c r="A2522" s="59" t="str">
        <x:v>Whale exit</x:v>
      </x:c>
      <x:c r="B2522" s="59" t="n">
        <x:v>329</x:v>
      </x:c>
      <x:c r="C2522" s="78" t="n">
        <x:f>(('Inputs'!$B$29*(3*329*'Inputs'!$B$12-329^2)/(2*'Inputs'!$B$12^2))-('Inputs'!$B$29*(3*328*'Inputs'!$B$12-328^2)/(2*'Inputs'!$B$12^2)))*'Inputs'!$B$50</x:f>
        <x:v>605188.3561643958</x:v>
      </x:c>
      <x:c r="D2522" s="78" t="n">
        <x:f>IF('Inputs'!$C$50&gt;0,('Inputs'!$B$30*(3*329*'Inputs'!$B$12-329^2)/(2*'Inputs'!$B$12^2))-('Inputs'!$B$30*(3*328*'Inputs'!$B$12-328^2)/(2*'Inputs'!$B$12^2)),0)</x:f>
        <x:v>259366.43835616112</x:v>
      </x:c>
      <x:c r="E2522" s="78" t="n">
        <x:f>C2522+D2522</x:f>
        <x:v>864554.7945205569</x:v>
      </x:c>
      <x:c r="F2522" s="78" t="n">
        <x:f>'Inputs'!$B$13*E2522+(1-'Inputs'!$B$13)/'Inputs'!$B$14*SUM(E2467:E2522)</x:f>
        <x:v>874772.4713830006</x:v>
      </x:c>
      <x:c r="G2522" s="78" t="n">
        <x:f>F2522*'Inputs'!$F$50</x:f>
        <x:v>437386.2356915003</x:v>
      </x:c>
      <x:c r="H2522" s="78" t="n">
        <x:f>U2521</x:f>
        <x:v>152687073.23087656</x:v>
      </x:c>
      <x:c r="I2522" s="78" t="n">
        <x:f>V2521</x:f>
        <x:v>190.79401894379754</x:v>
      </x:c>
      <x:c r="J2522" s="79" t="n">
        <x:f>IF(H2522&gt;0,I2522/H2522,0)</x:f>
        <x:v>0.0000012495754545985687</x:v>
      </x:c>
      <x:c r="K2522" s="80" t="n">
        <x:f>(H2522*J2522+I2522)*'Inputs'!$D$50*(1+'Inputs'!$G$50)^(B2522/30)</x:f>
        <x:v>381.5880378875951</x:v>
      </x:c>
      <x:c r="L2522" s="80" t="n">
        <x:f>MAX(0,K2522*'Inputs'!$E$50)</x:f>
        <x:v>0</x:v>
      </x:c>
      <x:c r="M2522" s="80" t="n">
        <x:f>MAX(0,-K2522*'Inputs'!$E$50)</x:f>
        <x:v>0</x:v>
      </x:c>
      <x:c r="N2522" s="78" t="n">
        <x:f>H2522*(L2522*(1-'Inputs'!$B$15))/(I2522+L2522*(1-'Inputs'!$B$15))</x:f>
        <x:v>0</x:v>
      </x:c>
      <x:c r="O2522" s="78" t="n">
        <x:f>H2522-N2522</x:f>
        <x:v>152687073.23087656</x:v>
      </x:c>
      <x:c r="P2522" s="78" t="n">
        <x:f>I2522+L2522*(1-'Inputs'!$B$17)</x:f>
        <x:v>190.79401894379754</x:v>
      </x:c>
      <x:c r="Q2522" s="78" t="n">
        <x:f>IF(J2522&gt;0,M2522/J2522,0)</x:f>
        <x:v>0</x:v>
      </x:c>
      <x:c r="R2522" s="78" t="n">
        <x:f>IF(B2522='Inputs'!$H$50,'Inputs'!$B$27*'Inputs'!$I$50,0)</x:f>
        <x:v>0</x:v>
      </x:c>
      <x:c r="S2522" s="78" t="n">
        <x:f>Q2522+G2522+R2522</x:f>
        <x:v>437386.2356915003</x:v>
      </x:c>
      <x:c r="T2522" s="78" t="n">
        <x:f>P2522*(S2522*(1-'Inputs'!$B$15))/(O2522+S2522*(1-'Inputs'!$B$15))</x:f>
        <x:v>0.539551494076656</x:v>
      </x:c>
      <x:c r="U2522" s="78" t="n">
        <x:f>O2522+S2522*(1-'Inputs'!$B$17)</x:f>
        <x:v>153122699.36099184</x:v>
      </x:c>
      <x:c r="V2522" s="78" t="n">
        <x:f>P2522-T2522</x:f>
        <x:v>190.2544674497209</x:v>
      </x:c>
      <x:c r="W2522" s="79" t="n">
        <x:f>IF(U2522&gt;0,V2522/U2522,0)</x:f>
        <x:v>0.0000012424968227681887</x:v>
      </x:c>
      <x:c r="X2522" s="80" t="n">
        <x:f>W2522*('Inputs'!$B$6-AC2522)</x:f>
        <x:v>1114.3351557041549</x:v>
      </x:c>
      <x:c r="Y2522" s="80" t="n">
        <x:f>2*V2522</x:f>
        <x:v>380.5089348994418</x:v>
      </x:c>
      <x:c r="Z2522" s="80" t="n">
        <x:f>K2522*'Inputs'!$B$16+(G2522+R2522)*J2522*'Inputs'!$B$16</x:f>
        <x:v>2.2928075099513667</x:v>
      </x:c>
      <x:c r="AA2522" s="80" t="n">
        <x:f>K2522*(1+'Inputs'!$E$50)/2*'Inputs'!$B$17</x:f>
        <x:v>0.7677827724096481</x:v>
      </x:c>
      <x:c r="AB2522" s="78" t="n">
        <x:f>(IF(J2522&gt;0,K2522*(1-'Inputs'!$E$50)/2/J2522,0)+G2522+R2522)*'Inputs'!$B$17</x:f>
        <x:v>616195.0079137548</x:v>
      </x:c>
      <x:c r="AC2522" s="78" t="n">
        <x:f>AC2521+AB2522</x:f>
        <x:v>103148486.75306804</x:v>
      </x:c>
      <x:c r="AD2522" s="80" t="n">
        <x:f>Z2522/(1+'Inputs'!$C$50)</x:f>
        <x:v>1.1464037549756834</x:v>
      </x:c>
      <x:c r="AE2522" s="80" t="n">
        <x:f>Z2522-AD2522</x:f>
        <x:v>1.1464037549756834</x:v>
      </x:c>
      <x:c r="AF2522" s="80" t="n">
        <x:f>D2522*W2522</x:f>
        <x:v>0.32226197559023145</x:v>
      </x:c>
      <x:c r="AG2522" s="80" t="n">
        <x:f>C2522*W2522</x:f>
        <x:v>0.7519446097105648</x:v>
      </x:c>
      <x:c r="AH2522" s="80" t="n">
        <x:f>2*'Inputs'!$B$8*'Inputs'!$C$50</x:f>
        <x:v>5000</x:v>
      </x:c>
      <x:c r="AI2522" s="81" t="n">
        <x:f>IF(AH2522&gt;0,(AE2522+AF2522)/AH2522*365,0)</x:f>
        <x:v>0.10721259833131176</x:v>
      </x:c>
      <x:c r="AJ2522" s="81" t="n">
        <x:f>IF('Inputs'!$B$50&gt;0,AG2522/('Inputs'!$B$19*'Inputs'!$B$50)*365,0)</x:f>
        <x:v>0.027445978254435614</x:v>
      </x:c>
      <x:c r="AK2522" s="81" t="n">
        <x:f>W2522/MAX($W$2194:W2522)-1</x:f>
        <x:v>-0.9985257250134196</x:v>
      </x:c>
      <x:c r="AL2522" s="83" t="n">
        <x:f>'Inputs'!$B$50</x:f>
        <x:v>1</x:v>
      </x:c>
      <x:c r="AM2522" s="83" t="n">
        <x:f>'Inputs'!$C$50</x:f>
        <x:v>1</x:v>
      </x:c>
      <x:c r="AN2522" s="83" t="n">
        <x:f>'Inputs'!$D$50</x:f>
        <x:v>1</x:v>
      </x:c>
      <x:c r="AO2522" s="81" t="n">
        <x:f>'Inputs'!$E$50</x:f>
        <x:v>0</x:v>
      </x:c>
    </x:row>
    <x:row r="2523">
      <x:c r="A2523" s="59" t="str">
        <x:v>Whale exit</x:v>
      </x:c>
      <x:c r="B2523" s="59" t="n">
        <x:v>330</x:v>
      </x:c>
      <x:c r="C2523" s="78" t="n">
        <x:f>(('Inputs'!$B$29*(3*330*'Inputs'!$B$12-330^2)/(2*'Inputs'!$B$12^2))-('Inputs'!$B$29*(3*329*'Inputs'!$B$12-329^2)/(2*'Inputs'!$B$12^2)))*'Inputs'!$B$50</x:f>
        <x:v>604863.2482641935</x:v>
      </x:c>
      <x:c r="D2523" s="78" t="n">
        <x:f>IF('Inputs'!$C$50&gt;0,('Inputs'!$B$30*(3*330*'Inputs'!$B$12-330^2)/(2*'Inputs'!$B$12^2))-('Inputs'!$B$30*(3*329*'Inputs'!$B$12-329^2)/(2*'Inputs'!$B$12^2)),0)</x:f>
        <x:v>259227.106398955</x:v>
      </x:c>
      <x:c r="E2523" s="78" t="n">
        <x:f>C2523+D2523</x:f>
        <x:v>864090.3546631485</x:v>
      </x:c>
      <x:c r="F2523" s="78" t="n">
        <x:f>'Inputs'!$B$13*E2523+(1-'Inputs'!$B$13)/'Inputs'!$B$14*SUM(E2468:E2523)</x:f>
        <x:v>874308.0315256115</x:v>
      </x:c>
      <x:c r="G2523" s="78" t="n">
        <x:f>F2523*'Inputs'!$F$50</x:f>
        <x:v>437154.01576280576</x:v>
      </x:c>
      <x:c r="H2523" s="78" t="n">
        <x:f>U2522</x:f>
        <x:v>153122699.36099184</x:v>
      </x:c>
      <x:c r="I2523" s="78" t="n">
        <x:f>V2522</x:f>
        <x:v>190.2544674497209</x:v>
      </x:c>
      <x:c r="J2523" s="79" t="n">
        <x:f>IF(H2523&gt;0,I2523/H2523,0)</x:f>
        <x:v>0.0000012424968227681887</x:v>
      </x:c>
      <x:c r="K2523" s="80" t="n">
        <x:f>(H2523*J2523+I2523)*'Inputs'!$D$50*(1+'Inputs'!$G$50)^(B2523/30)</x:f>
        <x:v>380.5089348994418</x:v>
      </x:c>
      <x:c r="L2523" s="80" t="n">
        <x:f>MAX(0,K2523*'Inputs'!$E$50)</x:f>
        <x:v>0</x:v>
      </x:c>
      <x:c r="M2523" s="80" t="n">
        <x:f>MAX(0,-K2523*'Inputs'!$E$50)</x:f>
        <x:v>0</x:v>
      </x:c>
      <x:c r="N2523" s="78" t="n">
        <x:f>H2523*(L2523*(1-'Inputs'!$B$15))/(I2523+L2523*(1-'Inputs'!$B$15))</x:f>
        <x:v>0</x:v>
      </x:c>
      <x:c r="O2523" s="78" t="n">
        <x:f>H2523-N2523</x:f>
        <x:v>153122699.36099184</x:v>
      </x:c>
      <x:c r="P2523" s="78" t="n">
        <x:f>I2523+L2523*(1-'Inputs'!$B$17)</x:f>
        <x:v>190.2544674497209</x:v>
      </x:c>
      <x:c r="Q2523" s="78" t="n">
        <x:f>IF(J2523&gt;0,M2523/J2523,0)</x:f>
        <x:v>0</x:v>
      </x:c>
      <x:c r="R2523" s="78" t="n">
        <x:f>IF(B2523='Inputs'!$H$50,'Inputs'!$B$27*'Inputs'!$I$50,0)</x:f>
        <x:v>0</x:v>
      </x:c>
      <x:c r="S2523" s="78" t="n">
        <x:f>Q2523+G2523+R2523</x:f>
        <x:v>437154.01576280576</x:v>
      </x:c>
      <x:c r="T2523" s="78" t="n">
        <x:f>P2523*(S2523*(1-'Inputs'!$B$15))/(O2523+S2523*(1-'Inputs'!$B$15))</x:f>
        <x:v>0.536215304286265</x:v>
      </x:c>
      <x:c r="U2523" s="78" t="n">
        <x:f>O2523+S2523*(1-'Inputs'!$B$17)</x:f>
        <x:v>153558094.20566505</x:v>
      </x:c>
      <x:c r="V2523" s="78" t="n">
        <x:f>P2523-T2523</x:f>
        <x:v>189.71825214543463</x:v>
      </x:c>
      <x:c r="W2523" s="79" t="n">
        <x:f>IF(U2523&gt;0,V2523/U2523,0)</x:f>
        <x:v>0.000001235481940088024</x:v>
      </x:c>
      <x:c r="X2523" s="80" t="n">
        <x:f>W2523*('Inputs'!$B$6-AC2523)</x:f>
        <x:v>1107.2803850800585</x:v>
      </x:c>
      <x:c r="Y2523" s="80" t="n">
        <x:f>2*V2523</x:f>
        <x:v>379.43650429086927</x:v>
      </x:c>
      <x:c r="Z2523" s="80" t="n">
        <x:f>K2523*'Inputs'!$B$16+(G2523+R2523)*J2523*'Inputs'!$B$16</x:f>
        <x:v>2.2863125842505245</x:v>
      </x:c>
      <x:c r="AA2523" s="80" t="n">
        <x:f>K2523*(1+'Inputs'!$E$50)/2*'Inputs'!$B$17</x:f>
        <x:v>0.7656115390330821</x:v>
      </x:c>
      <x:c r="AB2523" s="78" t="n">
        <x:f>(IF(J2523&gt;0,K2523*(1-'Inputs'!$E$50)/2/J2523,0)+G2523+R2523)*'Inputs'!$B$17</x:f>
        <x:v>617947.0960835197</x:v>
      </x:c>
      <x:c r="AC2523" s="78" t="n">
        <x:f>AC2522+AB2523</x:f>
        <x:v>103766433.84915157</x:v>
      </x:c>
      <x:c r="AD2523" s="80" t="n">
        <x:f>Z2523/(1+'Inputs'!$C$50)</x:f>
        <x:v>1.1431562921252623</x:v>
      </x:c>
      <x:c r="AE2523" s="80" t="n">
        <x:f>Z2523-AD2523</x:f>
        <x:v>1.1431562921252623</x:v>
      </x:c>
      <x:c r="AF2523" s="80" t="n">
        <x:f>D2523*W2523</x:f>
        <x:v>0.32027040833718556</x:v>
      </x:c>
      <x:c r="AG2523" s="80" t="n">
        <x:f>C2523*W2523</x:f>
        <x:v>0.74729761945339</x:v>
      </x:c>
      <x:c r="AH2523" s="80" t="n">
        <x:f>2*'Inputs'!$B$8*'Inputs'!$C$50</x:f>
        <x:v>5000</x:v>
      </x:c>
      <x:c r="AI2523" s="81" t="n">
        <x:f>IF(AH2523&gt;0,(AE2523+AF2523)/AH2523*365,0)</x:f>
        <x:v>0.10683014913375868</x:v>
      </x:c>
      <x:c r="AJ2523" s="81" t="n">
        <x:f>IF('Inputs'!$B$50&gt;0,AG2523/('Inputs'!$B$19*'Inputs'!$B$50)*365,0)</x:f>
        <x:v>0.027276363110048735</x:v>
      </x:c>
      <x:c r="AK2523" s="81" t="n">
        <x:f>W2523/MAX($W$2194:W2523)-1</x:f>
        <x:v>-0.9985340484681599</x:v>
      </x:c>
      <x:c r="AL2523" s="83" t="n">
        <x:f>'Inputs'!$B$50</x:f>
        <x:v>1</x:v>
      </x:c>
      <x:c r="AM2523" s="83" t="n">
        <x:f>'Inputs'!$C$50</x:f>
        <x:v>1</x:v>
      </x:c>
      <x:c r="AN2523" s="83" t="n">
        <x:f>'Inputs'!$D$50</x:f>
        <x:v>1</x:v>
      </x:c>
      <x:c r="AO2523" s="81" t="n">
        <x:f>'Inputs'!$E$50</x:f>
        <x:v>0</x:v>
      </x:c>
    </x:row>
    <x:row r="2524">
      <x:c r="A2524" s="59" t="str">
        <x:v>Whale exit</x:v>
      </x:c>
      <x:c r="B2524" s="59" t="n">
        <x:v>331</x:v>
      </x:c>
      <x:c r="C2524" s="78" t="n">
        <x:f>(('Inputs'!$B$29*(3*331*'Inputs'!$B$12-331^2)/(2*'Inputs'!$B$12^2))-('Inputs'!$B$29*(3*330*'Inputs'!$B$12-330^2)/(2*'Inputs'!$B$12^2)))*'Inputs'!$B$50</x:f>
        <x:v>604538.1403640509</x:v>
      </x:c>
      <x:c r="D2524" s="78" t="n">
        <x:f>IF('Inputs'!$C$50&gt;0,('Inputs'!$B$30*(3*331*'Inputs'!$B$12-331^2)/(2*'Inputs'!$B$12^2))-('Inputs'!$B$30*(3*330*'Inputs'!$B$12-330^2)/(2*'Inputs'!$B$12^2)),0)</x:f>
        <x:v>259087.77444173396</x:v>
      </x:c>
      <x:c r="E2524" s="78" t="n">
        <x:f>C2524+D2524</x:f>
        <x:v>863625.9148057848</x:v>
      </x:c>
      <x:c r="F2524" s="78" t="n">
        <x:f>'Inputs'!$B$13*E2524+(1-'Inputs'!$B$13)/'Inputs'!$B$14*SUM(E2469:E2524)</x:f>
        <x:v>873843.5916682314</x:v>
      </x:c>
      <x:c r="G2524" s="78" t="n">
        <x:f>F2524*'Inputs'!$F$50</x:f>
        <x:v>436921.7958341157</x:v>
      </x:c>
      <x:c r="H2524" s="78" t="n">
        <x:f>U2523</x:f>
        <x:v>153558094.20566505</x:v>
      </x:c>
      <x:c r="I2524" s="78" t="n">
        <x:f>V2523</x:f>
        <x:v>189.71825214543463</x:v>
      </x:c>
      <x:c r="J2524" s="79" t="n">
        <x:f>IF(H2524&gt;0,I2524/H2524,0)</x:f>
        <x:v>0.000001235481940088024</x:v>
      </x:c>
      <x:c r="K2524" s="80" t="n">
        <x:f>(H2524*J2524+I2524)*'Inputs'!$D$50*(1+'Inputs'!$G$50)^(B2524/30)</x:f>
        <x:v>379.43650429086927</x:v>
      </x:c>
      <x:c r="L2524" s="80" t="n">
        <x:f>MAX(0,K2524*'Inputs'!$E$50)</x:f>
        <x:v>0</x:v>
      </x:c>
      <x:c r="M2524" s="80" t="n">
        <x:f>MAX(0,-K2524*'Inputs'!$E$50)</x:f>
        <x:v>0</x:v>
      </x:c>
      <x:c r="N2524" s="78" t="n">
        <x:f>H2524*(L2524*(1-'Inputs'!$B$15))/(I2524+L2524*(1-'Inputs'!$B$15))</x:f>
        <x:v>0</x:v>
      </x:c>
      <x:c r="O2524" s="78" t="n">
        <x:f>H2524-N2524</x:f>
        <x:v>153558094.20566505</x:v>
      </x:c>
      <x:c r="P2524" s="78" t="n">
        <x:f>I2524+L2524*(1-'Inputs'!$B$17)</x:f>
        <x:v>189.71825214543463</x:v>
      </x:c>
      <x:c r="Q2524" s="78" t="n">
        <x:f>IF(J2524&gt;0,M2524/J2524,0)</x:f>
        <x:v>0</x:v>
      </x:c>
      <x:c r="R2524" s="78" t="n">
        <x:f>IF(B2524='Inputs'!$H$50,'Inputs'!$B$27*'Inputs'!$I$50,0)</x:f>
        <x:v>0</x:v>
      </x:c>
      <x:c r="S2524" s="78" t="n">
        <x:f>Q2524+G2524+R2524</x:f>
        <x:v>436921.7958341157</x:v>
      </x:c>
      <x:c r="T2524" s="78" t="n">
        <x:f>P2524*(S2524*(1-'Inputs'!$B$15))/(O2524+S2524*(1-'Inputs'!$B$15))</x:f>
        <x:v>0.532909762701024</x:v>
      </x:c>
      <x:c r="U2524" s="78" t="n">
        <x:f>O2524+S2524*(1-'Inputs'!$B$17)</x:f>
        <x:v>153993257.7648962</x:v>
      </x:c>
      <x:c r="V2524" s="78" t="n">
        <x:f>P2524-T2524</x:f>
        <x:v>189.1853423827336</x:v>
      </x:c>
      <x:c r="W2524" s="79" t="n">
        <x:f>IF(U2524&gt;0,V2524/U2524,0)</x:f>
        <x:v>0.0000012285300352017077</x:v>
      </x:c>
      <x:c r="X2524" s="80" t="n">
        <x:f>W2524*('Inputs'!$B$6-AC2524)</x:f>
        <x:v>1100.2885366550336</x:v>
      </x:c>
      <x:c r="Y2524" s="80" t="n">
        <x:f>2*V2524</x:f>
        <x:v>378.3706847654672</x:v>
      </x:c>
      <x:c r="Z2524" s="80" t="n">
        <x:f>K2524*'Inputs'!$B$16+(G2524+R2524)*J2524*'Inputs'!$B$16</x:f>
        <x:v>2.2798578796731186</x:v>
      </x:c>
      <x:c r="AA2524" s="80" t="n">
        <x:f>K2524*(1+'Inputs'!$E$50)/2*'Inputs'!$B$17</x:f>
        <x:v>0.7634537309675439</x:v>
      </x:c>
      <x:c r="AB2524" s="78" t="n">
        <x:f>(IF(J2524&gt;0,K2524*(1-'Inputs'!$E$50)/2/J2524,0)+G2524+R2524)*'Inputs'!$B$17</x:f>
        <x:v>619698.2535271597</x:v>
      </x:c>
      <x:c r="AC2524" s="78" t="n">
        <x:f>AC2523+AB2524</x:f>
        <x:v>104386132.10267873</x:v>
      </x:c>
      <x:c r="AD2524" s="80" t="n">
        <x:f>Z2524/(1+'Inputs'!$C$50)</x:f>
        <x:v>1.1399289398365593</x:v>
      </x:c>
      <x:c r="AE2524" s="80" t="n">
        <x:f>Z2524-AD2524</x:f>
        <x:v>1.1399289398365593</x:v>
      </x:c>
      <x:c r="AF2524" s="80" t="n">
        <x:f>D2524*W2524</x:f>
        <x:v>0.3182971126552355</x:v>
      </x:c>
      <x:c r="AG2524" s="80" t="n">
        <x:f>C2524*W2524</x:f>
        <x:v>0.7426932628622224</x:v>
      </x:c>
      <x:c r="AH2524" s="80" t="n">
        <x:f>2*'Inputs'!$B$8*'Inputs'!$C$50</x:f>
        <x:v>5000</x:v>
      </x:c>
      <x:c r="AI2524" s="81" t="n">
        <x:f>IF(AH2524&gt;0,(AE2524+AF2524)/AH2524*365,0)</x:f>
        <x:v>0.10645050183190102</x:v>
      </x:c>
      <x:c r="AJ2524" s="81" t="n">
        <x:f>IF('Inputs'!$B$50&gt;0,AG2524/('Inputs'!$B$19*'Inputs'!$B$50)*365,0)</x:f>
        <x:v>0.027108304094471115</x:v>
      </x:c>
      <x:c r="AK2524" s="81" t="n">
        <x:f>W2524/MAX($W$2194:W2524)-1</x:f>
        <x:v>-0.9985422971970862</x:v>
      </x:c>
      <x:c r="AL2524" s="83" t="n">
        <x:f>'Inputs'!$B$50</x:f>
        <x:v>1</x:v>
      </x:c>
      <x:c r="AM2524" s="83" t="n">
        <x:f>'Inputs'!$C$50</x:f>
        <x:v>1</x:v>
      </x:c>
      <x:c r="AN2524" s="83" t="n">
        <x:f>'Inputs'!$D$50</x:f>
        <x:v>1</x:v>
      </x:c>
      <x:c r="AO2524" s="81" t="n">
        <x:f>'Inputs'!$E$50</x:f>
        <x:v>0</x:v>
      </x:c>
    </x:row>
    <x:row r="2525">
      <x:c r="A2525" s="59" t="str">
        <x:v>Whale exit</x:v>
      </x:c>
      <x:c r="B2525" s="59" t="n">
        <x:v>332</x:v>
      </x:c>
      <x:c r="C2525" s="78" t="n">
        <x:f>(('Inputs'!$B$29*(3*332*'Inputs'!$B$12-332^2)/(2*'Inputs'!$B$12^2))-('Inputs'!$B$29*(3*331*'Inputs'!$B$12-331^2)/(2*'Inputs'!$B$12^2)))*'Inputs'!$B$50</x:f>
        <x:v>604213.0324638784</x:v>
      </x:c>
      <x:c r="D2525" s="78" t="n">
        <x:f>IF('Inputs'!$C$50&gt;0,('Inputs'!$B$30*(3*332*'Inputs'!$B$12-332^2)/(2*'Inputs'!$B$12^2))-('Inputs'!$B$30*(3*331*'Inputs'!$B$12-331^2)/(2*'Inputs'!$B$12^2)),0)</x:f>
        <x:v>258948.44248451293</x:v>
      </x:c>
      <x:c r="E2525" s="78" t="n">
        <x:f>C2525+D2525</x:f>
        <x:v>863161.4749483913</x:v>
      </x:c>
      <x:c r="F2525" s="78" t="n">
        <x:f>'Inputs'!$B$13*E2525+(1-'Inputs'!$B$13)/'Inputs'!$B$14*SUM(E2470:E2525)</x:f>
        <x:v>873379.1518108456</x:v>
      </x:c>
      <x:c r="G2525" s="78" t="n">
        <x:f>F2525*'Inputs'!$F$50</x:f>
        <x:v>436689.5759054228</x:v>
      </x:c>
      <x:c r="H2525" s="78" t="n">
        <x:f>U2524</x:f>
        <x:v>153993257.7648962</x:v>
      </x:c>
      <x:c r="I2525" s="78" t="n">
        <x:f>V2524</x:f>
        <x:v>189.1853423827336</x:v>
      </x:c>
      <x:c r="J2525" s="79" t="n">
        <x:f>IF(H2525&gt;0,I2525/H2525,0)</x:f>
        <x:v>0.0000012285300352017077</x:v>
      </x:c>
      <x:c r="K2525" s="80" t="n">
        <x:f>(H2525*J2525+I2525)*'Inputs'!$D$50*(1+'Inputs'!$G$50)^(B2525/30)</x:f>
        <x:v>378.3706847654672</x:v>
      </x:c>
      <x:c r="L2525" s="80" t="n">
        <x:f>MAX(0,K2525*'Inputs'!$E$50)</x:f>
        <x:v>0</x:v>
      </x:c>
      <x:c r="M2525" s="80" t="n">
        <x:f>MAX(0,-K2525*'Inputs'!$E$50)</x:f>
        <x:v>0</x:v>
      </x:c>
      <x:c r="N2525" s="78" t="n">
        <x:f>H2525*(L2525*(1-'Inputs'!$B$15))/(I2525+L2525*(1-'Inputs'!$B$15))</x:f>
        <x:v>0</x:v>
      </x:c>
      <x:c r="O2525" s="78" t="n">
        <x:f>H2525-N2525</x:f>
        <x:v>153993257.7648962</x:v>
      </x:c>
      <x:c r="P2525" s="78" t="n">
        <x:f>I2525+L2525*(1-'Inputs'!$B$17)</x:f>
        <x:v>189.1853423827336</x:v>
      </x:c>
      <x:c r="Q2525" s="78" t="n">
        <x:f>IF(J2525&gt;0,M2525/J2525,0)</x:f>
        <x:v>0</x:v>
      </x:c>
      <x:c r="R2525" s="78" t="n">
        <x:f>IF(B2525='Inputs'!$H$50,'Inputs'!$B$27*'Inputs'!$I$50,0)</x:f>
        <x:v>0</x:v>
      </x:c>
      <x:c r="S2525" s="78" t="n">
        <x:f>Q2525+G2525+R2525</x:f>
        <x:v>436689.5759054228</x:v>
      </x:c>
      <x:c r="T2525" s="78" t="n">
        <x:f>P2525*(S2525*(1-'Inputs'!$B$15))/(O2525+S2525*(1-'Inputs'!$B$15))</x:f>
        <x:v>0.529634494671167</x:v>
      </x:c>
      <x:c r="U2525" s="78" t="n">
        <x:f>O2525+S2525*(1-'Inputs'!$B$17)</x:f>
        <x:v>154428190.03868532</x:v>
      </x:c>
      <x:c r="V2525" s="78" t="n">
        <x:f>P2525-T2525</x:f>
        <x:v>188.65570788806244</x:v>
      </x:c>
      <x:c r="W2525" s="79" t="n">
        <x:f>IF(U2525&gt;0,V2525/U2525,0)</x:f>
        <x:v>0.0000012216403484415823</x:v>
      </x:c>
      <x:c r="X2525" s="80" t="n">
        <x:f>W2525*('Inputs'!$B$6-AC2525)</x:f>
        <x:v>1093.3588511092523</x:v>
      </x:c>
      <x:c r="Y2525" s="80" t="n">
        <x:f>2*V2525</x:f>
        <x:v>377.3114157761249</x:v>
      </x:c>
      <x:c r="Z2525" s="80" t="n">
        <x:f>K2525*'Inputs'!$B$16+(G2525+R2525)*J2525*'Inputs'!$B$16</x:f>
        <x:v>2.273443026153159</x:v>
      </x:c>
      <x:c r="AA2525" s="80" t="n">
        <x:f>K2525*(1+'Inputs'!$E$50)/2*'Inputs'!$B$17</x:f>
        <x:v>0.7613092248802158</x:v>
      </x:c>
      <x:c r="AB2525" s="78" t="n">
        <x:f>(IF(J2525&gt;0,K2525*(1-'Inputs'!$E$50)/2/J2525,0)+G2525+R2525)*'Inputs'!$B$17</x:f>
        <x:v>621448.4802446746</x:v>
      </x:c>
      <x:c r="AC2525" s="78" t="n">
        <x:f>AC2524+AB2525</x:f>
        <x:v>105007580.58292341</x:v>
      </x:c>
      <x:c r="AD2525" s="80" t="n">
        <x:f>Z2525/(1+'Inputs'!$C$50)</x:f>
        <x:v>1.1367215130765795</x:v>
      </x:c>
      <x:c r="AE2525" s="80" t="n">
        <x:f>Z2525-AD2525</x:f>
        <x:v>1.1367215130765795</x:v>
      </x:c>
      <x:c r="AF2525" s="80" t="n">
        <x:f>D2525*W2525</x:f>
        <x:v>0.3163418655051854</x:v>
      </x:c>
      <x:c r="AG2525" s="80" t="n">
        <x:f>C2525*W2525</x:f>
        <x:v>0.7381310195121175</x:v>
      </x:c>
      <x:c r="AH2525" s="80" t="n">
        <x:f>2*'Inputs'!$B$8*'Inputs'!$C$50</x:f>
        <x:v>5000</x:v>
      </x:c>
      <x:c r="AI2525" s="81" t="n">
        <x:f>IF(AH2525&gt;0,(AE2525+AF2525)/AH2525*365,0)</x:f>
        <x:v>0.10607362663646884</x:v>
      </x:c>
      <x:c r="AJ2525" s="81" t="n">
        <x:f>IF('Inputs'!$B$50&gt;0,AG2525/('Inputs'!$B$19*'Inputs'!$B$50)*365,0)</x:f>
        <x:v>0.02694178221219229</x:v>
      </x:c>
      <x:c r="AK2525" s="81" t="n">
        <x:f>W2525/MAX($W$2194:W2525)-1</x:f>
        <x:v>-0.9985504721015767</x:v>
      </x:c>
      <x:c r="AL2525" s="83" t="n">
        <x:f>'Inputs'!$B$50</x:f>
        <x:v>1</x:v>
      </x:c>
      <x:c r="AM2525" s="83" t="n">
        <x:f>'Inputs'!$C$50</x:f>
        <x:v>1</x:v>
      </x:c>
      <x:c r="AN2525" s="83" t="n">
        <x:f>'Inputs'!$D$50</x:f>
        <x:v>1</x:v>
      </x:c>
      <x:c r="AO2525" s="81" t="n">
        <x:f>'Inputs'!$E$50</x:f>
        <x:v>0</x:v>
      </x:c>
    </x:row>
    <x:row r="2526">
      <x:c r="A2526" s="59" t="str">
        <x:v>Whale exit</x:v>
      </x:c>
      <x:c r="B2526" s="59" t="n">
        <x:v>333</x:v>
      </x:c>
      <x:c r="C2526" s="78" t="n">
        <x:f>(('Inputs'!$B$29*(3*333*'Inputs'!$B$12-333^2)/(2*'Inputs'!$B$12^2))-('Inputs'!$B$29*(3*332*'Inputs'!$B$12-332^2)/(2*'Inputs'!$B$12^2)))*'Inputs'!$B$50</x:f>
        <x:v>603887.9245637059</x:v>
      </x:c>
      <x:c r="D2526" s="78" t="n">
        <x:f>IF('Inputs'!$C$50&gt;0,('Inputs'!$B$30*(3*333*'Inputs'!$B$12-333^2)/(2*'Inputs'!$B$12^2))-('Inputs'!$B$30*(3*332*'Inputs'!$B$12-332^2)/(2*'Inputs'!$B$12^2)),0)</x:f>
        <x:v>258809.1105273068</x:v>
      </x:c>
      <x:c r="E2526" s="78" t="n">
        <x:f>C2526+D2526</x:f>
        <x:v>862697.0350910127</x:v>
      </x:c>
      <x:c r="F2526" s="78" t="n">
        <x:f>'Inputs'!$B$13*E2526+(1-'Inputs'!$B$13)/'Inputs'!$B$14*SUM(E2471:E2526)</x:f>
        <x:v>872914.7119534623</x:v>
      </x:c>
      <x:c r="G2526" s="78" t="n">
        <x:f>F2526*'Inputs'!$F$50</x:f>
        <x:v>436457.35597673117</x:v>
      </x:c>
      <x:c r="H2526" s="78" t="n">
        <x:f>U2525</x:f>
        <x:v>154428190.03868532</x:v>
      </x:c>
      <x:c r="I2526" s="78" t="n">
        <x:f>V2525</x:f>
        <x:v>188.65570788806244</x:v>
      </x:c>
      <x:c r="J2526" s="79" t="n">
        <x:f>IF(H2526&gt;0,I2526/H2526,0)</x:f>
        <x:v>0.0000012216403484415823</x:v>
      </x:c>
      <x:c r="K2526" s="80" t="n">
        <x:f>(H2526*J2526+I2526)*'Inputs'!$D$50*(1+'Inputs'!$G$50)^(B2526/30)</x:f>
        <x:v>377.3114157761249</x:v>
      </x:c>
      <x:c r="L2526" s="80" t="n">
        <x:f>MAX(0,K2526*'Inputs'!$E$50)</x:f>
        <x:v>0</x:v>
      </x:c>
      <x:c r="M2526" s="80" t="n">
        <x:f>MAX(0,-K2526*'Inputs'!$E$50)</x:f>
        <x:v>0</x:v>
      </x:c>
      <x:c r="N2526" s="78" t="n">
        <x:f>H2526*(L2526*(1-'Inputs'!$B$15))/(I2526+L2526*(1-'Inputs'!$B$15))</x:f>
        <x:v>0</x:v>
      </x:c>
      <x:c r="O2526" s="78" t="n">
        <x:f>H2526-N2526</x:f>
        <x:v>154428190.03868532</x:v>
      </x:c>
      <x:c r="P2526" s="78" t="n">
        <x:f>I2526+L2526*(1-'Inputs'!$B$17)</x:f>
        <x:v>188.65570788806244</x:v>
      </x:c>
      <x:c r="Q2526" s="78" t="n">
        <x:f>IF(J2526&gt;0,M2526/J2526,0)</x:f>
        <x:v>0</x:v>
      </x:c>
      <x:c r="R2526" s="78" t="n">
        <x:f>IF(B2526='Inputs'!$H$50,'Inputs'!$B$27*'Inputs'!$I$50,0)</x:f>
        <x:v>0</x:v>
      </x:c>
      <x:c r="S2526" s="78" t="n">
        <x:f>Q2526+G2526+R2526</x:f>
        <x:v>436457.35597673117</x:v>
      </x:c>
      <x:c r="T2526" s="78" t="n">
        <x:f>P2526*(S2526*(1-'Inputs'!$B$15))/(O2526+S2526*(1-'Inputs'!$B$15))</x:f>
        <x:v>0.5263891312555891</x:v>
      </x:c>
      <x:c r="U2526" s="78" t="n">
        <x:f>O2526+S2526*(1-'Inputs'!$B$17)</x:f>
        <x:v>154862891.02703238</x:v>
      </x:c>
      <x:c r="V2526" s="78" t="n">
        <x:f>P2526-T2526</x:f>
        <x:v>188.12931875680684</x:v>
      </x:c>
      <x:c r="W2526" s="79" t="n">
        <x:f>IF(U2526&gt;0,V2526/U2526,0)</x:f>
        <x:v>0.0000012148121316162667</x:v>
      </x:c>
      <x:c r="X2526" s="80" t="n">
        <x:f>W2526*('Inputs'!$B$6-AC2526)</x:f>
        <x:v>1086.4905805934907</x:v>
      </x:c>
      <x:c r="Y2526" s="80" t="n">
        <x:f>2*V2526</x:f>
        <x:v>376.2586375136137</x:v>
      </x:c>
      <x:c r="Z2526" s="80" t="n">
        <x:f>K2526*'Inputs'!$B$16+(G2526+R2526)*J2526*'Inputs'!$B$16</x:f>
        <x:v>2.2670676581553613</x:v>
      </x:c>
      <x:c r="AA2526" s="80" t="n">
        <x:f>K2526*(1+'Inputs'!$E$50)/2*'Inputs'!$B$17</x:f>
        <x:v>0.7591778989459254</x:v>
      </x:c>
      <x:c r="AB2526" s="78" t="n">
        <x:f>(IF(J2526&gt;0,K2526*(1-'Inputs'!$E$50)/2/J2526,0)+G2526+R2526)*'Inputs'!$B$17</x:f>
        <x:v>623197.7762360646</x:v>
      </x:c>
      <x:c r="AC2526" s="78" t="n">
        <x:f>AC2525+AB2526</x:f>
        <x:v>105630778.35915947</x:v>
      </x:c>
      <x:c r="AD2526" s="80" t="n">
        <x:f>Z2526/(1+'Inputs'!$C$50)</x:f>
        <x:v>1.1335338290776806</x:v>
      </x:c>
      <x:c r="AE2526" s="80" t="n">
        <x:f>Z2526-AD2526</x:f>
        <x:v>1.1335338290776806</x:v>
      </x:c>
      <x:c r="AF2526" s="80" t="n">
        <x:f>D2526*W2526</x:f>
        <x:v>0.31440444724138755</x:v>
      </x:c>
      <x:c r="AG2526" s="80" t="n">
        <x:f>C2526*W2526</x:f>
        <x:v>0.7336103768965588</x:v>
      </x:c>
      <x:c r="AH2526" s="80" t="n">
        <x:f>2*'Inputs'!$B$8*'Inputs'!$C$50</x:f>
        <x:v>5000</x:v>
      </x:c>
      <x:c r="AI2526" s="81" t="n">
        <x:f>IF(AH2526&gt;0,(AE2526+AF2526)/AH2526*365,0)</x:f>
        <x:v>0.10569949417129199</x:v>
      </x:c>
      <x:c r="AJ2526" s="81" t="n">
        <x:f>IF('Inputs'!$B$50&gt;0,AG2526/('Inputs'!$B$19*'Inputs'!$B$50)*365,0)</x:f>
        <x:v>0.0267767787567244</x:v>
      </x:c>
      <x:c r="AK2526" s="81" t="n">
        <x:f>W2526/MAX($W$2194:W2526)-1</x:f>
        <x:v>-0.9985585740693919</x:v>
      </x:c>
      <x:c r="AL2526" s="83" t="n">
        <x:f>'Inputs'!$B$50</x:f>
        <x:v>1</x:v>
      </x:c>
      <x:c r="AM2526" s="83" t="n">
        <x:f>'Inputs'!$C$50</x:f>
        <x:v>1</x:v>
      </x:c>
      <x:c r="AN2526" s="83" t="n">
        <x:f>'Inputs'!$D$50</x:f>
        <x:v>1</x:v>
      </x:c>
      <x:c r="AO2526" s="81" t="n">
        <x:f>'Inputs'!$E$50</x:f>
        <x:v>0</x:v>
      </x:c>
    </x:row>
    <x:row r="2527">
      <x:c r="A2527" s="59" t="str">
        <x:v>Whale exit</x:v>
      </x:c>
      <x:c r="B2527" s="59" t="n">
        <x:v>334</x:v>
      </x:c>
      <x:c r="C2527" s="78" t="n">
        <x:f>(('Inputs'!$B$29*(3*334*'Inputs'!$B$12-334^2)/(2*'Inputs'!$B$12^2))-('Inputs'!$B$29*(3*333*'Inputs'!$B$12-333^2)/(2*'Inputs'!$B$12^2)))*'Inputs'!$B$50</x:f>
        <x:v>603562.8166635334</x:v>
      </x:c>
      <x:c r="D2527" s="78" t="n">
        <x:f>IF('Inputs'!$C$50&gt;0,('Inputs'!$B$30*(3*334*'Inputs'!$B$12-334^2)/(2*'Inputs'!$B$12^2))-('Inputs'!$B$30*(3*333*'Inputs'!$B$12-333^2)/(2*'Inputs'!$B$12^2)),0)</x:f>
        <x:v>258669.77857008576</x:v>
      </x:c>
      <x:c r="E2527" s="78" t="n">
        <x:f>C2527+D2527</x:f>
        <x:v>862232.5952336192</x:v>
      </x:c>
      <x:c r="F2527" s="78" t="n">
        <x:f>'Inputs'!$B$13*E2527+(1-'Inputs'!$B$13)/'Inputs'!$B$14*SUM(E2472:E2527)</x:f>
        <x:v>872450.2720960763</x:v>
      </x:c>
      <x:c r="G2527" s="78" t="n">
        <x:f>F2527*'Inputs'!$F$50</x:f>
        <x:v>436225.13604803814</x:v>
      </x:c>
      <x:c r="H2527" s="78" t="n">
        <x:f>U2526</x:f>
        <x:v>154862891.02703238</x:v>
      </x:c>
      <x:c r="I2527" s="78" t="n">
        <x:f>V2526</x:f>
        <x:v>188.12931875680684</x:v>
      </x:c>
      <x:c r="J2527" s="79" t="n">
        <x:f>IF(H2527&gt;0,I2527/H2527,0)</x:f>
        <x:v>0.0000012148121316162667</x:v>
      </x:c>
      <x:c r="K2527" s="80" t="n">
        <x:f>(H2527*J2527+I2527)*'Inputs'!$D$50*(1+'Inputs'!$G$50)^(B2527/30)</x:f>
        <x:v>376.2586375136136</x:v>
      </x:c>
      <x:c r="L2527" s="80" t="n">
        <x:f>MAX(0,K2527*'Inputs'!$E$50)</x:f>
        <x:v>0</x:v>
      </x:c>
      <x:c r="M2527" s="80" t="n">
        <x:f>MAX(0,-K2527*'Inputs'!$E$50)</x:f>
        <x:v>0</x:v>
      </x:c>
      <x:c r="N2527" s="78" t="n">
        <x:f>H2527*(L2527*(1-'Inputs'!$B$15))/(I2527+L2527*(1-'Inputs'!$B$15))</x:f>
        <x:v>0</x:v>
      </x:c>
      <x:c r="O2527" s="78" t="n">
        <x:f>H2527-N2527</x:f>
        <x:v>154862891.02703238</x:v>
      </x:c>
      <x:c r="P2527" s="78" t="n">
        <x:f>I2527+L2527*(1-'Inputs'!$B$17)</x:f>
        <x:v>188.12931875680684</x:v>
      </x:c>
      <x:c r="Q2527" s="78" t="n">
        <x:f>IF(J2527&gt;0,M2527/J2527,0)</x:f>
        <x:v>0</x:v>
      </x:c>
      <x:c r="R2527" s="78" t="n">
        <x:f>IF(B2527='Inputs'!$H$50,'Inputs'!$B$27*'Inputs'!$I$50,0)</x:f>
        <x:v>0</x:v>
      </x:c>
      <x:c r="S2527" s="78" t="n">
        <x:f>Q2527+G2527+R2527</x:f>
        <x:v>436225.13604803814</x:v>
      </x:c>
      <x:c r="T2527" s="78" t="n">
        <x:f>P2527*(S2527*(1-'Inputs'!$B$15))/(O2527+S2527*(1-'Inputs'!$B$15))</x:f>
        <x:v>0.5231733091177404</x:v>
      </x:c>
      <x:c r="U2527" s="78" t="n">
        <x:f>O2527+S2527*(1-'Inputs'!$B$17)</x:f>
        <x:v>155297360.72993737</x:v>
      </x:c>
      <x:c r="V2527" s="78" t="n">
        <x:f>P2527-T2527</x:f>
        <x:v>187.6061454476891</x:v>
      </x:c>
      <x:c r="W2527" s="79" t="n">
        <x:f>IF(U2527&gt;0,V2527/U2527,0)</x:f>
        <x:v>0.0000012080446478027196</x:v>
      </x:c>
      <x:c r="X2527" s="80" t="n">
        <x:f>W2527*('Inputs'!$B$6-AC2527)</x:f>
        <x:v>1079.682988521296</x:v>
      </x:c>
      <x:c r="Y2527" s="80" t="n">
        <x:f>2*V2527</x:f>
        <x:v>375.2122908953782</x:v>
      </x:c>
      <x:c r="Z2527" s="80" t="n">
        <x:f>K2527*'Inputs'!$B$16+(G2527+R2527)*J2527*'Inputs'!$B$16</x:f>
        <x:v>2.2607314146060045</x:v>
      </x:c>
      <x:c r="AA2527" s="80" t="n">
        <x:f>K2527*(1+'Inputs'!$E$50)/2*'Inputs'!$B$17</x:f>
        <x:v>0.7570596328241723</x:v>
      </x:c>
      <x:c r="AB2527" s="78" t="n">
        <x:f>(IF(J2527&gt;0,K2527*(1-'Inputs'!$E$50)/2/J2527,0)+G2527+R2527)*'Inputs'!$B$17</x:f>
        <x:v>624946.1415013297</x:v>
      </x:c>
      <x:c r="AC2527" s="78" t="n">
        <x:f>AC2526+AB2527</x:f>
        <x:v>106255724.50066079</x:v>
      </x:c>
      <x:c r="AD2527" s="80" t="n">
        <x:f>Z2527/(1+'Inputs'!$C$50)</x:f>
        <x:v>1.1303657073030022</x:v>
      </x:c>
      <x:c r="AE2527" s="80" t="n">
        <x:f>Z2527-AD2527</x:f>
        <x:v>1.1303657073030022</x:v>
      </x:c>
      <x:c r="AF2527" s="80" t="n">
        <x:f>D2527*W2527</x:f>
        <x:v>0.3124846415499067</x:v>
      </x:c>
      <x:c r="AG2527" s="80" t="n">
        <x:f>C2527*W2527</x:f>
        <x:v>0.7291308302831156</x:v>
      </x:c>
      <x:c r="AH2527" s="80" t="n">
        <x:f>2*'Inputs'!$B$8*'Inputs'!$C$50</x:f>
        <x:v>5000</x:v>
      </x:c>
      <x:c r="AI2527" s="81" t="n">
        <x:f>IF(AH2527&gt;0,(AE2527+AF2527)/AH2527*365,0)</x:f>
        <x:v>0.10532807546626237</x:v>
      </x:c>
      <x:c r="AJ2527" s="81" t="n">
        <x:f>IF('Inputs'!$B$50&gt;0,AG2527/('Inputs'!$B$19*'Inputs'!$B$50)*365,0)</x:f>
        <x:v>0.02661327530533372</x:v>
      </x:c>
      <x:c r="AK2527" s="81" t="n">
        <x:f>W2527/MAX($W$2194:W2527)-1</x:f>
        <x:v>-0.998566603974922</x:v>
      </x:c>
      <x:c r="AL2527" s="83" t="n">
        <x:f>'Inputs'!$B$50</x:f>
        <x:v>1</x:v>
      </x:c>
      <x:c r="AM2527" s="83" t="n">
        <x:f>'Inputs'!$C$50</x:f>
        <x:v>1</x:v>
      </x:c>
      <x:c r="AN2527" s="83" t="n">
        <x:f>'Inputs'!$D$50</x:f>
        <x:v>1</x:v>
      </x:c>
      <x:c r="AO2527" s="81" t="n">
        <x:f>'Inputs'!$E$50</x:f>
        <x:v>0</x:v>
      </x:c>
    </x:row>
    <x:row r="2528">
      <x:c r="A2528" s="59" t="str">
        <x:v>Whale exit</x:v>
      </x:c>
      <x:c r="B2528" s="59" t="n">
        <x:v>335</x:v>
      </x:c>
      <x:c r="C2528" s="78" t="n">
        <x:f>(('Inputs'!$B$29*(3*335*'Inputs'!$B$12-335^2)/(2*'Inputs'!$B$12^2))-('Inputs'!$B$29*(3*334*'Inputs'!$B$12-334^2)/(2*'Inputs'!$B$12^2)))*'Inputs'!$B$50</x:f>
        <x:v>603237.7087633908</x:v>
      </x:c>
      <x:c r="D2528" s="78" t="n">
        <x:f>IF('Inputs'!$C$50&gt;0,('Inputs'!$B$30*(3*335*'Inputs'!$B$12-335^2)/(2*'Inputs'!$B$12^2))-('Inputs'!$B$30*(3*334*'Inputs'!$B$12-334^2)/(2*'Inputs'!$B$12^2)),0)</x:f>
        <x:v>258530.44661287963</x:v>
      </x:c>
      <x:c r="E2528" s="78" t="n">
        <x:f>C2528+D2528</x:f>
        <x:v>861768.1553762704</x:v>
      </x:c>
      <x:c r="F2528" s="78" t="n">
        <x:f>'Inputs'!$B$13*E2528+(1-'Inputs'!$B$13)/'Inputs'!$B$14*SUM(E2473:E2528)</x:f>
        <x:v>871985.8322386995</x:v>
      </x:c>
      <x:c r="G2528" s="78" t="n">
        <x:f>F2528*'Inputs'!$F$50</x:f>
        <x:v>435992.9161193498</x:v>
      </x:c>
      <x:c r="H2528" s="78" t="n">
        <x:f>U2527</x:f>
        <x:v>155297360.72993737</x:v>
      </x:c>
      <x:c r="I2528" s="78" t="n">
        <x:f>V2527</x:f>
        <x:v>187.6061454476891</x:v>
      </x:c>
      <x:c r="J2528" s="79" t="n">
        <x:f>IF(H2528&gt;0,I2528/H2528,0)</x:f>
        <x:v>0.0000012080446478027196</x:v>
      </x:c>
      <x:c r="K2528" s="80" t="n">
        <x:f>(H2528*J2528+I2528)*'Inputs'!$D$50*(1+'Inputs'!$G$50)^(B2528/30)</x:f>
        <x:v>375.21229089537815</x:v>
      </x:c>
      <x:c r="L2528" s="80" t="n">
        <x:f>MAX(0,K2528*'Inputs'!$E$50)</x:f>
        <x:v>0</x:v>
      </x:c>
      <x:c r="M2528" s="80" t="n">
        <x:f>MAX(0,-K2528*'Inputs'!$E$50)</x:f>
        <x:v>0</x:v>
      </x:c>
      <x:c r="N2528" s="78" t="n">
        <x:f>H2528*(L2528*(1-'Inputs'!$B$15))/(I2528+L2528*(1-'Inputs'!$B$15))</x:f>
        <x:v>0</x:v>
      </x:c>
      <x:c r="O2528" s="78" t="n">
        <x:f>H2528-N2528</x:f>
        <x:v>155297360.72993737</x:v>
      </x:c>
      <x:c r="P2528" s="78" t="n">
        <x:f>I2528+L2528*(1-'Inputs'!$B$17)</x:f>
        <x:v>187.6061454476891</x:v>
      </x:c>
      <x:c r="Q2528" s="78" t="n">
        <x:f>IF(J2528&gt;0,M2528/J2528,0)</x:f>
        <x:v>0</x:v>
      </x:c>
      <x:c r="R2528" s="78" t="n">
        <x:f>IF(B2528='Inputs'!$H$50,'Inputs'!$B$27*'Inputs'!$I$50,0)</x:f>
        <x:v>0</x:v>
      </x:c>
      <x:c r="S2528" s="78" t="n">
        <x:f>Q2528+G2528+R2528</x:f>
        <x:v>435992.9161193498</x:v>
      </x:c>
      <x:c r="T2528" s="78" t="n">
        <x:f>P2528*(S2528*(1-'Inputs'!$B$15))/(O2528+S2528*(1-'Inputs'!$B$15))</x:f>
        <x:v>0.5199866704237678</x:v>
      </x:c>
      <x:c r="U2528" s="78" t="n">
        <x:f>O2528+S2528*(1-'Inputs'!$B$17)</x:f>
        <x:v>155731599.14740032</x:v>
      </x:c>
      <x:c r="V2528" s="78" t="n">
        <x:f>P2528-T2528</x:f>
        <x:v>187.08615877726533</x:v>
      </x:c>
      <x:c r="W2528" s="79" t="n">
        <x:f>IF(U2528&gt;0,V2528/U2528,0)</x:f>
        <x:v>0.0000012013371711426904</x:v>
      </x:c>
      <x:c r="X2528" s="80" t="n">
        <x:f>W2528*('Inputs'!$B$6-AC2528)</x:f>
        <x:v>1072.9353493655358</x:v>
      </x:c>
      <x:c r="Y2528" s="80" t="n">
        <x:f>2*V2528</x:f>
        <x:v>374.17231755453065</x:v>
      </x:c>
      <x:c r="Z2528" s="80" t="n">
        <x:f>K2528*'Inputs'!$B$16+(G2528+R2528)*J2528*'Inputs'!$B$16</x:f>
        <x:v>2.2544339388250565</x:v>
      </x:c>
      <x:c r="AA2528" s="80" t="n">
        <x:f>K2528*(1+'Inputs'!$E$50)/2*'Inputs'!$B$17</x:f>
        <x:v>0.7549543076365758</x:v>
      </x:c>
      <x:c r="AB2528" s="78" t="n">
        <x:f>(IF(J2528&gt;0,K2528*(1-'Inputs'!$E$50)/2/J2528,0)+G2528+R2528)*'Inputs'!$B$17</x:f>
        <x:v>626693.5760404697</x:v>
      </x:c>
      <x:c r="AC2528" s="78" t="n">
        <x:f>AC2527+AB2528</x:f>
        <x:v>106882418.07670127</x:v>
      </x:c>
      <x:c r="AD2528" s="80" t="n">
        <x:f>Z2528/(1+'Inputs'!$C$50)</x:f>
        <x:v>1.1272169694125282</x:v>
      </x:c>
      <x:c r="AE2528" s="80" t="n">
        <x:f>Z2528-AD2528</x:f>
        <x:v>1.1272169694125282</x:v>
      </x:c>
      <x:c r="AF2528" s="80" t="n">
        <x:f>D2528*W2528</x:f>
        <x:v>0.31058223538817314</x:v>
      </x:c>
      <x:c r="AG2528" s="80" t="n">
        <x:f>C2528*W2528</x:f>
        <x:v>0.72469188257241</x:v>
      </x:c>
      <x:c r="AH2528" s="80" t="n">
        <x:f>2*'Inputs'!$B$8*'Inputs'!$C$50</x:f>
        <x:v>5000</x:v>
      </x:c>
      <x:c r="AI2528" s="81" t="n">
        <x:f>IF(AH2528&gt;0,(AE2528+AF2528)/AH2528*365,0)</x:f>
        <x:v>0.1049593419504512</x:v>
      </x:c>
      <x:c r="AJ2528" s="81" t="n">
        <x:f>IF('Inputs'!$B$50&gt;0,AG2528/('Inputs'!$B$19*'Inputs'!$B$50)*365,0)</x:f>
        <x:v>0.026451253713892967</x:v>
      </x:c>
      <x:c r="AK2528" s="81" t="n">
        <x:f>W2528/MAX($W$2194:W2528)-1</x:f>
        <x:v>-0.9985745626794288</x:v>
      </x:c>
      <x:c r="AL2528" s="83" t="n">
        <x:f>'Inputs'!$B$50</x:f>
        <x:v>1</x:v>
      </x:c>
      <x:c r="AM2528" s="83" t="n">
        <x:f>'Inputs'!$C$50</x:f>
        <x:v>1</x:v>
      </x:c>
      <x:c r="AN2528" s="83" t="n">
        <x:f>'Inputs'!$D$50</x:f>
        <x:v>1</x:v>
      </x:c>
      <x:c r="AO2528" s="81" t="n">
        <x:f>'Inputs'!$E$50</x:f>
        <x:v>0</x:v>
      </x:c>
    </x:row>
    <x:row r="2529">
      <x:c r="A2529" s="59" t="str">
        <x:v>Whale exit</x:v>
      </x:c>
      <x:c r="B2529" s="59" t="n">
        <x:v>336</x:v>
      </x:c>
      <x:c r="C2529" s="78" t="n">
        <x:f>(('Inputs'!$B$29*(3*336*'Inputs'!$B$12-336^2)/(2*'Inputs'!$B$12^2))-('Inputs'!$B$29*(3*335*'Inputs'!$B$12-335^2)/(2*'Inputs'!$B$12^2)))*'Inputs'!$B$50</x:f>
        <x:v>602912.6008631885</x:v>
      </x:c>
      <x:c r="D2529" s="78" t="n">
        <x:f>IF('Inputs'!$C$50&gt;0,('Inputs'!$B$30*(3*336*'Inputs'!$B$12-336^2)/(2*'Inputs'!$B$12^2))-('Inputs'!$B$30*(3*335*'Inputs'!$B$12-335^2)/(2*'Inputs'!$B$12^2)),0)</x:f>
        <x:v>258391.1146556586</x:v>
      </x:c>
      <x:c r="E2529" s="78" t="n">
        <x:f>C2529+D2529</x:f>
        <x:v>861303.7155188471</x:v>
      </x:c>
      <x:c r="F2529" s="78" t="n">
        <x:f>'Inputs'!$B$13*E2529+(1-'Inputs'!$B$13)/'Inputs'!$B$14*SUM(E2474:E2529)</x:f>
        <x:v>871521.3923813077</x:v>
      </x:c>
      <x:c r="G2529" s="78" t="n">
        <x:f>F2529*'Inputs'!$F$50</x:f>
        <x:v>435760.69619065383</x:v>
      </x:c>
      <x:c r="H2529" s="78" t="n">
        <x:f>U2528</x:f>
        <x:v>155731599.14740032</x:v>
      </x:c>
      <x:c r="I2529" s="78" t="n">
        <x:f>V2528</x:f>
        <x:v>187.08615877726533</x:v>
      </x:c>
      <x:c r="J2529" s="79" t="n">
        <x:f>IF(H2529&gt;0,I2529/H2529,0)</x:f>
        <x:v>0.0000012013371711426904</x:v>
      </x:c>
      <x:c r="K2529" s="80" t="n">
        <x:f>(H2529*J2529+I2529)*'Inputs'!$D$50*(1+'Inputs'!$G$50)^(B2529/30)</x:f>
        <x:v>374.17231755453065</x:v>
      </x:c>
      <x:c r="L2529" s="80" t="n">
        <x:f>MAX(0,K2529*'Inputs'!$E$50)</x:f>
        <x:v>0</x:v>
      </x:c>
      <x:c r="M2529" s="80" t="n">
        <x:f>MAX(0,-K2529*'Inputs'!$E$50)</x:f>
        <x:v>0</x:v>
      </x:c>
      <x:c r="N2529" s="78" t="n">
        <x:f>H2529*(L2529*(1-'Inputs'!$B$15))/(I2529+L2529*(1-'Inputs'!$B$15))</x:f>
        <x:v>0</x:v>
      </x:c>
      <x:c r="O2529" s="78" t="n">
        <x:f>H2529-N2529</x:f>
        <x:v>155731599.14740032</x:v>
      </x:c>
      <x:c r="P2529" s="78" t="n">
        <x:f>I2529+L2529*(1-'Inputs'!$B$17)</x:f>
        <x:v>187.08615877726533</x:v>
      </x:c>
      <x:c r="Q2529" s="78" t="n">
        <x:f>IF(J2529&gt;0,M2529/J2529,0)</x:f>
        <x:v>0</x:v>
      </x:c>
      <x:c r="R2529" s="78" t="n">
        <x:f>IF(B2529='Inputs'!$H$50,'Inputs'!$B$27*'Inputs'!$I$50,0)</x:f>
        <x:v>0</x:v>
      </x:c>
      <x:c r="S2529" s="78" t="n">
        <x:f>Q2529+G2529+R2529</x:f>
        <x:v>435760.69619065383</x:v>
      </x:c>
      <x:c r="T2529" s="78" t="n">
        <x:f>P2529*(S2529*(1-'Inputs'!$B$15))/(O2529+S2529*(1-'Inputs'!$B$15))</x:f>
        <x:v>0.5168288627427606</x:v>
      </x:c>
      <x:c r="U2529" s="78" t="n">
        <x:f>O2529+S2529*(1-'Inputs'!$B$17)</x:f>
        <x:v>156165606.27942118</x:v>
      </x:c>
      <x:c r="V2529" s="78" t="n">
        <x:f>P2529-T2529</x:f>
        <x:v>186.56932991452257</x:v>
      </x:c>
      <x:c r="W2529" s="79" t="n">
        <x:f>IF(U2529&gt;0,V2529/U2529,0)</x:f>
        <x:v>0.0000011946889866434556</x:v>
      </x:c>
      <x:c r="X2529" s="80" t="n">
        <x:f>W2529*('Inputs'!$B$6-AC2529)</x:f>
        <x:v>1066.246948459233</x:v>
      </x:c>
      <x:c r="Y2529" s="80" t="n">
        <x:f>2*V2529</x:f>
        <x:v>373.13865982904514</x:v>
      </x:c>
      <x:c r="Z2529" s="80" t="n">
        <x:f>K2529*'Inputs'!$B$16+(G2529+R2529)*J2529*'Inputs'!$B$16</x:f>
        <x:v>2.2481748784595252</x:v>
      </x:c>
      <x:c r="AA2529" s="80" t="n">
        <x:f>K2529*(1+'Inputs'!$E$50)/2*'Inputs'!$B$17</x:f>
        <x:v>0.7528618059447297</x:v>
      </x:c>
      <x:c r="AB2529" s="78" t="n">
        <x:f>(IF(J2529&gt;0,K2529*(1-'Inputs'!$E$50)/2/J2529,0)+G2529+R2529)*'Inputs'!$B$17</x:f>
        <x:v>628440.0798534849</x:v>
      </x:c>
      <x:c r="AC2529" s="78" t="n">
        <x:f>AC2528+AB2529</x:f>
        <x:v>107510858.15655476</x:v>
      </x:c>
      <x:c r="AD2529" s="80" t="n">
        <x:f>Z2529/(1+'Inputs'!$C$50)</x:f>
        <x:v>1.1240874392297626</x:v>
      </x:c>
      <x:c r="AE2529" s="80" t="n">
        <x:f>Z2529-AD2529</x:f>
        <x:v>1.1240874392297626</x:v>
      </x:c>
      <x:c r="AF2529" s="80" t="n">
        <x:f>D2529*W2529</x:f>
        <x:v>0.3086970189256417</x:v>
      </x:c>
      <x:c r="AG2529" s="80" t="n">
        <x:f>C2529*W2529</x:f>
        <x:v>0.7202930441598129</x:v>
      </x:c>
      <x:c r="AH2529" s="80" t="n">
        <x:f>2*'Inputs'!$B$8*'Inputs'!$C$50</x:f>
        <x:v>5000</x:v>
      </x:c>
      <x:c r="AI2529" s="81" t="n">
        <x:f>IF(AH2529&gt;0,(AE2529+AF2529)/AH2529*365,0)</x:f>
        <x:v>0.10459326544534452</x:v>
      </x:c>
      <x:c r="AJ2529" s="81" t="n">
        <x:f>IF('Inputs'!$B$50&gt;0,AG2529/('Inputs'!$B$19*'Inputs'!$B$50)*365,0)</x:f>
        <x:v>0.02629069611183317</x:v>
      </x:c>
      <x:c r="AK2529" s="81" t="n">
        <x:f>W2529/MAX($W$2194:W2529)-1</x:f>
        <x:v>-0.9985824510312811</x:v>
      </x:c>
      <x:c r="AL2529" s="83" t="n">
        <x:f>'Inputs'!$B$50</x:f>
        <x:v>1</x:v>
      </x:c>
      <x:c r="AM2529" s="83" t="n">
        <x:f>'Inputs'!$C$50</x:f>
        <x:v>1</x:v>
      </x:c>
      <x:c r="AN2529" s="83" t="n">
        <x:f>'Inputs'!$D$50</x:f>
        <x:v>1</x:v>
      </x:c>
      <x:c r="AO2529" s="81" t="n">
        <x:f>'Inputs'!$E$50</x:f>
        <x:v>0</x:v>
      </x:c>
    </x:row>
    <x:row r="2530">
      <x:c r="A2530" s="59" t="str">
        <x:v>Whale exit</x:v>
      </x:c>
      <x:c r="B2530" s="59" t="n">
        <x:v>337</x:v>
      </x:c>
      <x:c r="C2530" s="78" t="n">
        <x:f>(('Inputs'!$B$29*(3*337*'Inputs'!$B$12-337^2)/(2*'Inputs'!$B$12^2))-('Inputs'!$B$29*(3*336*'Inputs'!$B$12-336^2)/(2*'Inputs'!$B$12^2)))*'Inputs'!$B$50</x:f>
        <x:v>602587.4929630458</x:v>
      </x:c>
      <x:c r="D2530" s="78" t="n">
        <x:f>IF('Inputs'!$C$50&gt;0,('Inputs'!$B$30*(3*337*'Inputs'!$B$12-337^2)/(2*'Inputs'!$B$12^2))-('Inputs'!$B$30*(3*336*'Inputs'!$B$12-336^2)/(2*'Inputs'!$B$12^2)),0)</x:f>
        <x:v>258251.78269843757</x:v>
      </x:c>
      <x:c r="E2530" s="78" t="n">
        <x:f>C2530+D2530</x:f>
        <x:v>860839.2756614834</x:v>
      </x:c>
      <x:c r="F2530" s="78" t="n">
        <x:f>'Inputs'!$B$13*E2530+(1-'Inputs'!$B$13)/'Inputs'!$B$14*SUM(E2475:E2530)</x:f>
        <x:v>871056.9525239277</x:v>
      </x:c>
      <x:c r="G2530" s="78" t="n">
        <x:f>F2530*'Inputs'!$F$50</x:f>
        <x:v>435528.47626196383</x:v>
      </x:c>
      <x:c r="H2530" s="78" t="n">
        <x:f>U2529</x:f>
        <x:v>156165606.27942118</x:v>
      </x:c>
      <x:c r="I2530" s="78" t="n">
        <x:f>V2529</x:f>
        <x:v>186.56932991452257</x:v>
      </x:c>
      <x:c r="J2530" s="79" t="n">
        <x:f>IF(H2530&gt;0,I2530/H2530,0)</x:f>
        <x:v>0.0000011946889866434556</x:v>
      </x:c>
      <x:c r="K2530" s="80" t="n">
        <x:f>(H2530*J2530+I2530)*'Inputs'!$D$50*(1+'Inputs'!$G$50)^(B2530/30)</x:f>
        <x:v>373.13865982904514</x:v>
      </x:c>
      <x:c r="L2530" s="80" t="n">
        <x:f>MAX(0,K2530*'Inputs'!$E$50)</x:f>
        <x:v>0</x:v>
      </x:c>
      <x:c r="M2530" s="80" t="n">
        <x:f>MAX(0,-K2530*'Inputs'!$E$50)</x:f>
        <x:v>0</x:v>
      </x:c>
      <x:c r="N2530" s="78" t="n">
        <x:f>H2530*(L2530*(1-'Inputs'!$B$15))/(I2530+L2530*(1-'Inputs'!$B$15))</x:f>
        <x:v>0</x:v>
      </x:c>
      <x:c r="O2530" s="78" t="n">
        <x:f>H2530-N2530</x:f>
        <x:v>156165606.27942118</x:v>
      </x:c>
      <x:c r="P2530" s="78" t="n">
        <x:f>I2530+L2530*(1-'Inputs'!$B$17)</x:f>
        <x:v>186.56932991452257</x:v>
      </x:c>
      <x:c r="Q2530" s="78" t="n">
        <x:f>IF(J2530&gt;0,M2530/J2530,0)</x:f>
        <x:v>0</x:v>
      </x:c>
      <x:c r="R2530" s="78" t="n">
        <x:f>IF(B2530='Inputs'!$H$50,'Inputs'!$B$27*'Inputs'!$I$50,0)</x:f>
        <x:v>0</x:v>
      </x:c>
      <x:c r="S2530" s="78" t="n">
        <x:f>Q2530+G2530+R2530</x:f>
        <x:v>435528.47626196383</x:v>
      </x:c>
      <x:c r="T2530" s="78" t="n">
        <x:f>P2530*(S2530*(1-'Inputs'!$B$15))/(O2530+S2530*(1-'Inputs'!$B$15))</x:f>
        <x:v>0.513699538949183</x:v>
      </x:c>
      <x:c r="U2530" s="78" t="n">
        <x:f>O2530+S2530*(1-'Inputs'!$B$17)</x:f>
        <x:v>156599382.126</x:v>
      </x:c>
      <x:c r="V2530" s="78" t="n">
        <x:f>P2530-T2530</x:f>
        <x:v>186.0556303755734</x:v>
      </x:c>
      <x:c r="W2530" s="79" t="n">
        <x:f>IF(U2530&gt;0,V2530/U2530,0)</x:f>
        <x:v>0.0000011880993899827324</x:v>
      </x:c>
      <x:c r="X2530" s="80" t="n">
        <x:f>W2530*('Inputs'!$B$6-AC2530)</x:f>
        <x:v>1059.6170818005753</x:v>
      </x:c>
      <x:c r="Y2530" s="80" t="n">
        <x:f>2*V2530</x:f>
        <x:v>372.1112607511468</x:v>
      </x:c>
      <x:c r="Z2530" s="80" t="n">
        <x:f>K2530*'Inputs'!$B$16+(G2530+R2530)*J2530*'Inputs'!$B$16</x:f>
        <x:v>2.2419538854180296</x:v>
      </x:c>
      <x:c r="AA2530" s="80" t="n">
        <x:f>K2530*(1+'Inputs'!$E$50)/2*'Inputs'!$B$17</x:f>
        <x:v>0.7507820117284612</x:v>
      </x:c>
      <x:c r="AB2530" s="78" t="n">
        <x:f>(IF(J2530&gt;0,K2530*(1-'Inputs'!$E$50)/2/J2530,0)+G2530+R2530)*'Inputs'!$B$17</x:f>
        <x:v>630185.6529403749</x:v>
      </x:c>
      <x:c r="AC2530" s="78" t="n">
        <x:f>AC2529+AB2530</x:f>
        <x:v>108141043.80949514</x:v>
      </x:c>
      <x:c r="AD2530" s="80" t="n">
        <x:f>Z2530/(1+'Inputs'!$C$50)</x:f>
        <x:v>1.1209769427090148</x:v>
      </x:c>
      <x:c r="AE2530" s="80" t="n">
        <x:f>Z2530-AD2530</x:f>
        <x:v>1.1209769427090148</x:v>
      </x:c>
      <x:c r="AF2530" s="80" t="n">
        <x:f>D2530*W2530</x:f>
        <x:v>0.30682878548596687</x:v>
      </x:c>
      <x:c r="AG2530" s="80" t="n">
        <x:f>C2530*W2530</x:f>
        <x:v>0.7159338328006188</x:v>
      </x:c>
      <x:c r="AH2530" s="80" t="n">
        <x:f>2*'Inputs'!$B$8*'Inputs'!$C$50</x:f>
        <x:v>5000</x:v>
      </x:c>
      <x:c r="AI2530" s="81" t="n">
        <x:f>IF(AH2530&gt;0,(AE2530+AF2530)/AH2530*365,0)</x:f>
        <x:v>0.10422981815823366</x:v>
      </x:c>
      <x:c r="AJ2530" s="81" t="n">
        <x:f>IF('Inputs'!$B$50&gt;0,AG2530/('Inputs'!$B$19*'Inputs'!$B$50)*365,0)</x:f>
        <x:v>0.026131584897222587</x:v>
      </x:c>
      <x:c r="AK2530" s="81" t="n">
        <x:f>W2530/MAX($W$2194:W2530)-1</x:f>
        <x:v>-0.9985902698661872</x:v>
      </x:c>
      <x:c r="AL2530" s="83" t="n">
        <x:f>'Inputs'!$B$50</x:f>
        <x:v>1</x:v>
      </x:c>
      <x:c r="AM2530" s="83" t="n">
        <x:f>'Inputs'!$C$50</x:f>
        <x:v>1</x:v>
      </x:c>
      <x:c r="AN2530" s="83" t="n">
        <x:f>'Inputs'!$D$50</x:f>
        <x:v>1</x:v>
      </x:c>
      <x:c r="AO2530" s="81" t="n">
        <x:f>'Inputs'!$E$50</x:f>
        <x:v>0</x:v>
      </x:c>
    </x:row>
    <x:row r="2531">
      <x:c r="A2531" s="59" t="str">
        <x:v>Whale exit</x:v>
      </x:c>
      <x:c r="B2531" s="59" t="n">
        <x:v>338</x:v>
      </x:c>
      <x:c r="C2531" s="78" t="n">
        <x:f>(('Inputs'!$B$29*(3*338*'Inputs'!$B$12-338^2)/(2*'Inputs'!$B$12^2))-('Inputs'!$B$29*(3*337*'Inputs'!$B$12-337^2)/(2*'Inputs'!$B$12^2)))*'Inputs'!$B$50</x:f>
        <x:v>602262.3850628436</x:v>
      </x:c>
      <x:c r="D2531" s="78" t="n">
        <x:f>IF('Inputs'!$C$50&gt;0,('Inputs'!$B$30*(3*338*'Inputs'!$B$12-338^2)/(2*'Inputs'!$B$12^2))-('Inputs'!$B$30*(3*337*'Inputs'!$B$12-337^2)/(2*'Inputs'!$B$12^2)),0)</x:f>
        <x:v>258112.45074123144</x:v>
      </x:c>
      <x:c r="E2531" s="78" t="n">
        <x:f>C2531+D2531</x:f>
        <x:v>860374.835804075</x:v>
      </x:c>
      <x:c r="F2531" s="78" t="n">
        <x:f>'Inputs'!$B$13*E2531+(1-'Inputs'!$B$13)/'Inputs'!$B$14*SUM(E2476:E2531)</x:f>
        <x:v>870592.5126665385</x:v>
      </x:c>
      <x:c r="G2531" s="78" t="n">
        <x:f>F2531*'Inputs'!$F$50</x:f>
        <x:v>435296.25633326924</x:v>
      </x:c>
      <x:c r="H2531" s="78" t="n">
        <x:f>U2530</x:f>
        <x:v>156599382.126</x:v>
      </x:c>
      <x:c r="I2531" s="78" t="n">
        <x:f>V2530</x:f>
        <x:v>186.0556303755734</x:v>
      </x:c>
      <x:c r="J2531" s="79" t="n">
        <x:f>IF(H2531&gt;0,I2531/H2531,0)</x:f>
        <x:v>0.0000011880993899827324</x:v>
      </x:c>
      <x:c r="K2531" s="80" t="n">
        <x:f>(H2531*J2531+I2531)*'Inputs'!$D$50*(1+'Inputs'!$G$50)^(B2531/30)</x:f>
        <x:v>372.1112607511468</x:v>
      </x:c>
      <x:c r="L2531" s="80" t="n">
        <x:f>MAX(0,K2531*'Inputs'!$E$50)</x:f>
        <x:v>0</x:v>
      </x:c>
      <x:c r="M2531" s="80" t="n">
        <x:f>MAX(0,-K2531*'Inputs'!$E$50)</x:f>
        <x:v>0</x:v>
      </x:c>
      <x:c r="N2531" s="78" t="n">
        <x:f>H2531*(L2531*(1-'Inputs'!$B$15))/(I2531+L2531*(1-'Inputs'!$B$15))</x:f>
        <x:v>0</x:v>
      </x:c>
      <x:c r="O2531" s="78" t="n">
        <x:f>H2531-N2531</x:f>
        <x:v>156599382.126</x:v>
      </x:c>
      <x:c r="P2531" s="78" t="n">
        <x:f>I2531+L2531*(1-'Inputs'!$B$17)</x:f>
        <x:v>186.0556303755734</x:v>
      </x:c>
      <x:c r="Q2531" s="78" t="n">
        <x:f>IF(J2531&gt;0,M2531/J2531,0)</x:f>
        <x:v>0</x:v>
      </x:c>
      <x:c r="R2531" s="78" t="n">
        <x:f>IF(B2531='Inputs'!$H$50,'Inputs'!$B$27*'Inputs'!$I$50,0)</x:f>
        <x:v>0</x:v>
      </x:c>
      <x:c r="S2531" s="78" t="n">
        <x:f>Q2531+G2531+R2531</x:f>
        <x:v>435296.25633326924</x:v>
      </x:c>
      <x:c r="T2531" s="78" t="n">
        <x:f>P2531*(S2531*(1-'Inputs'!$B$15))/(O2531+S2531*(1-'Inputs'!$B$15))</x:f>
        <x:v>0.5105983571272468</x:v>
      </x:c>
      <x:c r="U2531" s="78" t="n">
        <x:f>O2531+S2531*(1-'Inputs'!$B$17)</x:f>
        <x:v>157032926.68713674</x:v>
      </x:c>
      <x:c r="V2531" s="78" t="n">
        <x:f>P2531-T2531</x:f>
        <x:v>185.54503201844616</x:v>
      </x:c>
      <x:c r="W2531" s="79" t="n">
        <x:f>IF(U2531&gt;0,V2531/U2531,0)</x:f>
        <x:v>0.000001181567687317675</x:v>
      </x:c>
      <x:c r="X2531" s="80" t="n">
        <x:f>W2531*('Inputs'!$B$6-AC2531)</x:f>
        <x:v>1053.0450558620055</x:v>
      </x:c>
      <x:c r="Y2531" s="80" t="n">
        <x:f>2*V2531</x:f>
        <x:v>371.09006403689233</x:v>
      </x:c>
      <x:c r="Z2531" s="80" t="n">
        <x:f>K2531*'Inputs'!$B$16+(G2531+R2531)*J2531*'Inputs'!$B$16</x:f>
        <x:v>2.235770615806549</x:v>
      </x:c>
      <x:c r="AA2531" s="80" t="n">
        <x:f>K2531*(1+'Inputs'!$E$50)/2*'Inputs'!$B$17</x:f>
        <x:v>0.7487148103644805</x:v>
      </x:c>
      <x:c r="AB2531" s="78" t="n">
        <x:f>(IF(J2531&gt;0,K2531*(1-'Inputs'!$E$50)/2/J2531,0)+G2531+R2531)*'Inputs'!$B$17</x:f>
        <x:v>631930.2953011399</x:v>
      </x:c>
      <x:c r="AC2531" s="78" t="n">
        <x:f>AC2530+AB2531</x:f>
        <x:v>108772974.10479628</x:v>
      </x:c>
      <x:c r="AD2531" s="80" t="n">
        <x:f>Z2531/(1+'Inputs'!$C$50)</x:f>
        <x:v>1.1178853079032744</x:v>
      </x:c>
      <x:c r="AE2531" s="80" t="n">
        <x:f>Z2531-AD2531</x:f>
        <x:v>1.1178853079032744</x:v>
      </x:c>
      <x:c r="AF2531" s="80" t="n">
        <x:f>D2531*W2531</x:f>
        <x:v>0.30497733149021417</x:v>
      </x:c>
      <x:c r="AG2531" s="80" t="n">
        <x:f>C2531*W2531</x:f>
        <x:v>0.7116137734771312</x:v>
      </x:c>
      <x:c r="AH2531" s="80" t="n">
        <x:f>2*'Inputs'!$B$8*'Inputs'!$C$50</x:f>
        <x:v>5000</x:v>
      </x:c>
      <x:c r="AI2531" s="81" t="n">
        <x:f>IF(AH2531&gt;0,(AE2531+AF2531)/AH2531*365,0)</x:f>
        <x:v>0.10386897267572467</x:v>
      </x:c>
      <x:c r="AJ2531" s="81" t="n">
        <x:f>IF('Inputs'!$B$50&gt;0,AG2531/('Inputs'!$B$19*'Inputs'!$B$50)*365,0)</x:f>
        <x:v>0.025973902731915285</x:v>
      </x:c>
      <x:c r="AK2531" s="81" t="n">
        <x:f>W2531/MAX($W$2194:W2531)-1</x:f>
        <x:v>-0.9985980200074209</x:v>
      </x:c>
      <x:c r="AL2531" s="83" t="n">
        <x:f>'Inputs'!$B$50</x:f>
        <x:v>1</x:v>
      </x:c>
      <x:c r="AM2531" s="83" t="n">
        <x:f>'Inputs'!$C$50</x:f>
        <x:v>1</x:v>
      </x:c>
      <x:c r="AN2531" s="83" t="n">
        <x:f>'Inputs'!$D$50</x:f>
        <x:v>1</x:v>
      </x:c>
      <x:c r="AO2531" s="81" t="n">
        <x:f>'Inputs'!$E$50</x:f>
        <x:v>0</x:v>
      </x:c>
    </x:row>
    <x:row r="2532">
      <x:c r="A2532" s="59" t="str">
        <x:v>Whale exit</x:v>
      </x:c>
      <x:c r="B2532" s="59" t="n">
        <x:v>339</x:v>
      </x:c>
      <x:c r="C2532" s="78" t="n">
        <x:f>(('Inputs'!$B$29*(3*339*'Inputs'!$B$12-339^2)/(2*'Inputs'!$B$12^2))-('Inputs'!$B$29*(3*338*'Inputs'!$B$12-338^2)/(2*'Inputs'!$B$12^2)))*'Inputs'!$B$50</x:f>
        <x:v>601937.2771627009</x:v>
      </x:c>
      <x:c r="D2532" s="78" t="n">
        <x:f>IF('Inputs'!$C$50&gt;0,('Inputs'!$B$30*(3*339*'Inputs'!$B$12-339^2)/(2*'Inputs'!$B$12^2))-('Inputs'!$B$30*(3*338*'Inputs'!$B$12-338^2)/(2*'Inputs'!$B$12^2)),0)</x:f>
        <x:v>257973.1187840104</x:v>
      </x:c>
      <x:c r="E2532" s="78" t="n">
        <x:f>C2532+D2532</x:f>
        <x:v>859910.3959467113</x:v>
      </x:c>
      <x:c r="F2532" s="78" t="n">
        <x:f>'Inputs'!$B$13*E2532+(1-'Inputs'!$B$13)/'Inputs'!$B$14*SUM(E2477:E2532)</x:f>
        <x:v>870128.0728091584</x:v>
      </x:c>
      <x:c r="G2532" s="78" t="n">
        <x:f>F2532*'Inputs'!$F$50</x:f>
        <x:v>435064.0364045792</x:v>
      </x:c>
      <x:c r="H2532" s="78" t="n">
        <x:f>U2531</x:f>
        <x:v>157032926.68713674</x:v>
      </x:c>
      <x:c r="I2532" s="78" t="n">
        <x:f>V2531</x:f>
        <x:v>185.54503201844616</x:v>
      </x:c>
      <x:c r="J2532" s="79" t="n">
        <x:f>IF(H2532&gt;0,I2532/H2532,0)</x:f>
        <x:v>0.000001181567687317675</x:v>
      </x:c>
      <x:c r="K2532" s="80" t="n">
        <x:f>(H2532*J2532+I2532)*'Inputs'!$D$50*(1+'Inputs'!$G$50)^(B2532/30)</x:f>
        <x:v>371.09006403689233</x:v>
      </x:c>
      <x:c r="L2532" s="80" t="n">
        <x:f>MAX(0,K2532*'Inputs'!$E$50)</x:f>
        <x:v>0</x:v>
      </x:c>
      <x:c r="M2532" s="80" t="n">
        <x:f>MAX(0,-K2532*'Inputs'!$E$50)</x:f>
        <x:v>0</x:v>
      </x:c>
      <x:c r="N2532" s="78" t="n">
        <x:f>H2532*(L2532*(1-'Inputs'!$B$15))/(I2532+L2532*(1-'Inputs'!$B$15))</x:f>
        <x:v>0</x:v>
      </x:c>
      <x:c r="O2532" s="78" t="n">
        <x:f>H2532-N2532</x:f>
        <x:v>157032926.68713674</x:v>
      </x:c>
      <x:c r="P2532" s="78" t="n">
        <x:f>I2532+L2532*(1-'Inputs'!$B$17)</x:f>
        <x:v>185.54503201844616</x:v>
      </x:c>
      <x:c r="Q2532" s="78" t="n">
        <x:f>IF(J2532&gt;0,M2532/J2532,0)</x:f>
        <x:v>0</x:v>
      </x:c>
      <x:c r="R2532" s="78" t="n">
        <x:f>IF(B2532='Inputs'!$H$50,'Inputs'!$B$27*'Inputs'!$I$50,0)</x:f>
        <x:v>0</x:v>
      </x:c>
      <x:c r="S2532" s="78" t="n">
        <x:f>Q2532+G2532+R2532</x:f>
        <x:v>435064.0364045792</x:v>
      </x:c>
      <x:c r="T2532" s="78" t="n">
        <x:f>P2532*(S2532*(1-'Inputs'!$B$15))/(O2532+S2532*(1-'Inputs'!$B$15))</x:f>
        <x:v>0.5075249804773972</x:v>
      </x:c>
      <x:c r="U2532" s="78" t="n">
        <x:f>O2532+S2532*(1-'Inputs'!$B$17)</x:f>
        <x:v>157466239.96283144</x:v>
      </x:c>
      <x:c r="V2532" s="78" t="n">
        <x:f>P2532-T2532</x:f>
        <x:v>185.03750703796877</x:v>
      </x:c>
      <x:c r="W2532" s="79" t="n">
        <x:f>IF(U2532&gt;0,V2532/U2532,0)</x:f>
        <x:v>0.0000011750931950978526</x:v>
      </x:c>
      <x:c r="X2532" s="80" t="n">
        <x:f>W2532*('Inputs'!$B$6-AC2532)</x:f>
        <x:v>1046.530187403291</x:v>
      </x:c>
      <x:c r="Y2532" s="80" t="n">
        <x:f>2*V2532</x:f>
        <x:v>370.07501407593753</x:v>
      </x:c>
      <x:c r="Z2532" s="80" t="n">
        <x:f>K2532*'Inputs'!$B$16+(G2532+R2532)*J2532*'Inputs'!$B$16</x:f>
        <x:v>2.2296247298653316</x:v>
      </x:c>
      <x:c r="AA2532" s="80" t="n">
        <x:f>K2532*(1+'Inputs'!$E$50)/2*'Inputs'!$B$17</x:f>
        <x:v>0.7466600886054172</x:v>
      </x:c>
      <x:c r="AB2532" s="78" t="n">
        <x:f>(IF(J2532&gt;0,K2532*(1-'Inputs'!$E$50)/2/J2532,0)+G2532+R2532)*'Inputs'!$B$17</x:f>
        <x:v>633674.00693578</x:v>
      </x:c>
      <x:c r="AC2532" s="78" t="n">
        <x:f>AC2531+AB2532</x:f>
        <x:v>109406648.11173205</x:v>
      </x:c>
      <x:c r="AD2532" s="80" t="n">
        <x:f>Z2532/(1+'Inputs'!$C$50)</x:f>
        <x:v>1.1148123649326658</x:v>
      </x:c>
      <x:c r="AE2532" s="80" t="n">
        <x:f>Z2532-AD2532</x:f>
        <x:v>1.1148123649326658</x:v>
      </x:c>
      <x:c r="AF2532" s="80" t="n">
        <x:f>D2532*W2532</x:f>
        <x:v>0.30314245640126064</x:v>
      </x:c>
      <x:c r="AG2532" s="80" t="n">
        <x:f>C2532*W2532</x:f>
        <x:v>0.7073323982696198</x:v>
      </x:c>
      <x:c r="AH2532" s="80" t="n">
        <x:f>2*'Inputs'!$B$8*'Inputs'!$C$50</x:f>
        <x:v>5000</x:v>
      </x:c>
      <x:c r="AI2532" s="81" t="n">
        <x:f>IF(AH2532&gt;0,(AE2532+AF2532)/AH2532*365,0)</x:f>
        <x:v>0.10351070195737662</x:v>
      </x:c>
      <x:c r="AJ2532" s="81" t="n">
        <x:f>IF('Inputs'!$B$50&gt;0,AG2532/('Inputs'!$B$19*'Inputs'!$B$50)*365,0)</x:f>
        <x:v>0.02581763253684112</x:v>
      </x:c>
      <x:c r="AK2532" s="81" t="n">
        <x:f>W2532/MAX($W$2194:W2532)-1</x:f>
        <x:v>-0.9986057022660437</x:v>
      </x:c>
      <x:c r="AL2532" s="83" t="n">
        <x:f>'Inputs'!$B$50</x:f>
        <x:v>1</x:v>
      </x:c>
      <x:c r="AM2532" s="83" t="n">
        <x:f>'Inputs'!$C$50</x:f>
        <x:v>1</x:v>
      </x:c>
      <x:c r="AN2532" s="83" t="n">
        <x:f>'Inputs'!$D$50</x:f>
        <x:v>1</x:v>
      </x:c>
      <x:c r="AO2532" s="81" t="n">
        <x:f>'Inputs'!$E$50</x:f>
        <x:v>0</x:v>
      </x:c>
    </x:row>
    <x:row r="2533">
      <x:c r="A2533" s="59" t="str">
        <x:v>Whale exit</x:v>
      </x:c>
      <x:c r="B2533" s="59" t="n">
        <x:v>340</x:v>
      </x:c>
      <x:c r="C2533" s="78" t="n">
        <x:f>(('Inputs'!$B$29*(3*340*'Inputs'!$B$12-340^2)/(2*'Inputs'!$B$12^2))-('Inputs'!$B$29*(3*339*'Inputs'!$B$12-339^2)/(2*'Inputs'!$B$12^2)))*'Inputs'!$B$50</x:f>
        <x:v>601612.1692625284</x:v>
      </x:c>
      <x:c r="D2533" s="78" t="n">
        <x:f>IF('Inputs'!$C$50&gt;0,('Inputs'!$B$30*(3*340*'Inputs'!$B$12-340^2)/(2*'Inputs'!$B$12^2))-('Inputs'!$B$30*(3*339*'Inputs'!$B$12-339^2)/(2*'Inputs'!$B$12^2)),0)</x:f>
        <x:v>257833.78682678938</x:v>
      </x:c>
      <x:c r="E2533" s="78" t="n">
        <x:f>C2533+D2533</x:f>
        <x:v>859445.9560893178</x:v>
      </x:c>
      <x:c r="F2533" s="78" t="n">
        <x:f>'Inputs'!$B$13*E2533+(1-'Inputs'!$B$13)/'Inputs'!$B$14*SUM(E2478:E2533)</x:f>
        <x:v>869663.6329517725</x:v>
      </x:c>
      <x:c r="G2533" s="78" t="n">
        <x:f>F2533*'Inputs'!$F$50</x:f>
        <x:v>434831.81647588627</x:v>
      </x:c>
      <x:c r="H2533" s="78" t="n">
        <x:f>U2532</x:f>
        <x:v>157466239.96283144</x:v>
      </x:c>
      <x:c r="I2533" s="78" t="n">
        <x:f>V2532</x:f>
        <x:v>185.03750703796877</x:v>
      </x:c>
      <x:c r="J2533" s="79" t="n">
        <x:f>IF(H2533&gt;0,I2533/H2533,0)</x:f>
        <x:v>0.0000011750931950978526</x:v>
      </x:c>
      <x:c r="K2533" s="80" t="n">
        <x:f>(H2533*J2533+I2533)*'Inputs'!$D$50*(1+'Inputs'!$G$50)^(B2533/30)</x:f>
        <x:v>370.07501407593753</x:v>
      </x:c>
      <x:c r="L2533" s="80" t="n">
        <x:f>MAX(0,K2533*'Inputs'!$E$50)</x:f>
        <x:v>0</x:v>
      </x:c>
      <x:c r="M2533" s="80" t="n">
        <x:f>MAX(0,-K2533*'Inputs'!$E$50)</x:f>
        <x:v>0</x:v>
      </x:c>
      <x:c r="N2533" s="78" t="n">
        <x:f>H2533*(L2533*(1-'Inputs'!$B$15))/(I2533+L2533*(1-'Inputs'!$B$15))</x:f>
        <x:v>0</x:v>
      </x:c>
      <x:c r="O2533" s="78" t="n">
        <x:f>H2533-N2533</x:f>
        <x:v>157466239.96283144</x:v>
      </x:c>
      <x:c r="P2533" s="78" t="n">
        <x:f>I2533+L2533*(1-'Inputs'!$B$17)</x:f>
        <x:v>185.03750703796877</x:v>
      </x:c>
      <x:c r="Q2533" s="78" t="n">
        <x:f>IF(J2533&gt;0,M2533/J2533,0)</x:f>
        <x:v>0</x:v>
      </x:c>
      <x:c r="R2533" s="78" t="n">
        <x:f>IF(B2533='Inputs'!$H$50,'Inputs'!$B$27*'Inputs'!$I$50,0)</x:f>
        <x:v>0</x:v>
      </x:c>
      <x:c r="S2533" s="78" t="n">
        <x:f>Q2533+G2533+R2533</x:f>
        <x:v>434831.81647588627</x:v>
      </x:c>
      <x:c r="T2533" s="78" t="n">
        <x:f>P2533*(S2533*(1-'Inputs'!$B$15))/(O2533+S2533*(1-'Inputs'!$B$15))</x:f>
        <x:v>0.5044790772246608</x:v>
      </x:c>
      <x:c r="U2533" s="78" t="n">
        <x:f>O2533+S2533*(1-'Inputs'!$B$17)</x:f>
        <x:v>157899321.95308408</x:v>
      </x:c>
      <x:c r="V2533" s="78" t="n">
        <x:f>P2533-T2533</x:f>
        <x:v>184.5330279607441</x:v>
      </x:c>
      <x:c r="W2533" s="79" t="n">
        <x:f>IF(U2533&gt;0,V2533/U2533,0)</x:f>
        <x:v>0.0000011686752398821166</x:v>
      </x:c>
      <x:c r="X2533" s="80" t="n">
        <x:f>W2533*('Inputs'!$B$6-AC2533)</x:f>
        <x:v>1040.0718032884809</x:v>
      </x:c>
      <x:c r="Y2533" s="80" t="n">
        <x:f>2*V2533</x:f>
        <x:v>369.0660559214882</x:v>
      </x:c>
      <x:c r="Z2533" s="80" t="n">
        <x:f>K2533*'Inputs'!$B$16+(G2533+R2533)*J2533*'Inputs'!$B$16</x:f>
        <x:v>2.2235158919069424</x:v>
      </x:c>
      <x:c r="AA2533" s="80" t="n">
        <x:f>K2533*(1+'Inputs'!$E$50)/2*'Inputs'!$B$17</x:f>
        <x:v>0.7446177345592305</x:v>
      </x:c>
      <x:c r="AB2533" s="78" t="n">
        <x:f>(IF(J2533&gt;0,K2533*(1-'Inputs'!$E$50)/2/J2533,0)+G2533+R2533)*'Inputs'!$B$17</x:f>
        <x:v>635416.7878442951</x:v>
      </x:c>
      <x:c r="AC2533" s="78" t="n">
        <x:f>AC2532+AB2533</x:f>
        <x:v>110042064.89957635</x:v>
      </x:c>
      <x:c r="AD2533" s="80" t="n">
        <x:f>Z2533/(1+'Inputs'!$C$50)</x:f>
        <x:v>1.1117579459534712</x:v>
      </x:c>
      <x:c r="AE2533" s="80" t="n">
        <x:f>Z2533-AD2533</x:f>
        <x:v>1.1117579459534712</x:v>
      </x:c>
      <x:c r="AF2533" s="80" t="n">
        <x:f>D2533*W2533</x:f>
        <x:v>0.3013239626695126</x:v>
      </x:c>
      <x:c r="AG2533" s="80" t="n">
        <x:f>C2533*W2533</x:f>
        <x:v>0.7030892462288859</x:v>
      </x:c>
      <x:c r="AH2533" s="80" t="n">
        <x:f>2*'Inputs'!$B$8*'Inputs'!$C$50</x:f>
        <x:v>5000</x:v>
      </x:c>
      <x:c r="AI2533" s="81" t="n">
        <x:f>IF(AH2533&gt;0,(AE2533+AF2533)/AH2533*365,0)</x:f>
        <x:v>0.10315497932947783</x:v>
      </x:c>
      <x:c r="AJ2533" s="81" t="n">
        <x:f>IF('Inputs'!$B$50&gt;0,AG2533/('Inputs'!$B$19*'Inputs'!$B$50)*365,0)</x:f>
        <x:v>0.025662757487354335</x:v>
      </x:c>
      <x:c r="AK2533" s="81" t="n">
        <x:f>W2533/MAX($W$2194:W2533)-1</x:f>
        <x:v>-0.9986133174411219</x:v>
      </x:c>
      <x:c r="AL2533" s="83" t="n">
        <x:f>'Inputs'!$B$50</x:f>
        <x:v>1</x:v>
      </x:c>
      <x:c r="AM2533" s="83" t="n">
        <x:f>'Inputs'!$C$50</x:f>
        <x:v>1</x:v>
      </x:c>
      <x:c r="AN2533" s="83" t="n">
        <x:f>'Inputs'!$D$50</x:f>
        <x:v>1</x:v>
      </x:c>
      <x:c r="AO2533" s="81" t="n">
        <x:f>'Inputs'!$E$50</x:f>
        <x:v>0</x:v>
      </x:c>
    </x:row>
    <x:row r="2534">
      <x:c r="A2534" s="59" t="str">
        <x:v>Whale exit</x:v>
      </x:c>
      <x:c r="B2534" s="59" t="n">
        <x:v>341</x:v>
      </x:c>
      <x:c r="C2534" s="78" t="n">
        <x:f>(('Inputs'!$B$29*(3*341*'Inputs'!$B$12-341^2)/(2*'Inputs'!$B$12^2))-('Inputs'!$B$29*(3*340*'Inputs'!$B$12-340^2)/(2*'Inputs'!$B$12^2)))*'Inputs'!$B$50</x:f>
        <x:v>601287.061362356</x:v>
      </x:c>
      <x:c r="D2534" s="78" t="n">
        <x:f>IF('Inputs'!$C$50&gt;0,('Inputs'!$B$30*(3*341*'Inputs'!$B$12-341^2)/(2*'Inputs'!$B$12^2))-('Inputs'!$B$30*(3*340*'Inputs'!$B$12-340^2)/(2*'Inputs'!$B$12^2)),0)</x:f>
        <x:v>257694.45486958325</x:v>
      </x:c>
      <x:c r="E2534" s="78" t="n">
        <x:f>C2534+D2534</x:f>
        <x:v>858981.5162319392</x:v>
      </x:c>
      <x:c r="F2534" s="78" t="n">
        <x:f>'Inputs'!$B$13*E2534+(1-'Inputs'!$B$13)/'Inputs'!$B$14*SUM(E2479:E2534)</x:f>
        <x:v>869199.1930943893</x:v>
      </x:c>
      <x:c r="G2534" s="78" t="n">
        <x:f>F2534*'Inputs'!$F$50</x:f>
        <x:v>434599.59654719464</x:v>
      </x:c>
      <x:c r="H2534" s="78" t="n">
        <x:f>U2533</x:f>
        <x:v>157899321.95308408</x:v>
      </x:c>
      <x:c r="I2534" s="78" t="n">
        <x:f>V2533</x:f>
        <x:v>184.5330279607441</x:v>
      </x:c>
      <x:c r="J2534" s="79" t="n">
        <x:f>IF(H2534&gt;0,I2534/H2534,0)</x:f>
        <x:v>0.0000011686752398821166</x:v>
      </x:c>
      <x:c r="K2534" s="80" t="n">
        <x:f>(H2534*J2534+I2534)*'Inputs'!$D$50*(1+'Inputs'!$G$50)^(B2534/30)</x:f>
        <x:v>369.0660559214882</x:v>
      </x:c>
      <x:c r="L2534" s="80" t="n">
        <x:f>MAX(0,K2534*'Inputs'!$E$50)</x:f>
        <x:v>0</x:v>
      </x:c>
      <x:c r="M2534" s="80" t="n">
        <x:f>MAX(0,-K2534*'Inputs'!$E$50)</x:f>
        <x:v>0</x:v>
      </x:c>
      <x:c r="N2534" s="78" t="n">
        <x:f>H2534*(L2534*(1-'Inputs'!$B$15))/(I2534+L2534*(1-'Inputs'!$B$15))</x:f>
        <x:v>0</x:v>
      </x:c>
      <x:c r="O2534" s="78" t="n">
        <x:f>H2534-N2534</x:f>
        <x:v>157899321.95308408</x:v>
      </x:c>
      <x:c r="P2534" s="78" t="n">
        <x:f>I2534+L2534*(1-'Inputs'!$B$17)</x:f>
        <x:v>184.5330279607441</x:v>
      </x:c>
      <x:c r="Q2534" s="78" t="n">
        <x:f>IF(J2534&gt;0,M2534/J2534,0)</x:f>
        <x:v>0</x:v>
      </x:c>
      <x:c r="R2534" s="78" t="n">
        <x:f>IF(B2534='Inputs'!$H$50,'Inputs'!$B$27*'Inputs'!$I$50,0)</x:f>
        <x:v>0</x:v>
      </x:c>
      <x:c r="S2534" s="78" t="n">
        <x:f>Q2534+G2534+R2534</x:f>
        <x:v>434599.59654719464</x:v>
      </x:c>
      <x:c r="T2534" s="78" t="n">
        <x:f>P2534*(S2534*(1-'Inputs'!$B$15))/(O2534+S2534*(1-'Inputs'!$B$15))</x:f>
        <x:v>0.5014603205289752</x:v>
      </x:c>
      <x:c r="U2534" s="78" t="n">
        <x:f>O2534+S2534*(1-'Inputs'!$B$17)</x:f>
        <x:v>158332172.65789467</x:v>
      </x:c>
      <x:c r="V2534" s="78" t="n">
        <x:f>P2534-T2534</x:f>
        <x:v>184.03156764021514</x:v>
      </x:c>
      <x:c r="W2534" s="79" t="n">
        <x:f>IF(U2534&gt;0,V2534/U2534,0)</x:f>
        <x:v>0.0000011623131581592623</x:v>
      </x:c>
      <x:c r="X2534" s="80" t="n">
        <x:f>W2534*('Inputs'!$B$6-AC2534)</x:f>
        <x:v>1033.6692403066559</x:v>
      </x:c>
      <x:c r="Y2534" s="80" t="n">
        <x:f>2*V2534</x:f>
        <x:v>368.0631352804303</x:v>
      </x:c>
      <x:c r="Z2534" s="80" t="n">
        <x:f>K2534*'Inputs'!$B$16+(G2534+R2534)*J2534*'Inputs'!$B$16</x:f>
        <x:v>2.217443770255414</x:v>
      </x:c>
      <x:c r="AA2534" s="80" t="n">
        <x:f>K2534*(1+'Inputs'!$E$50)/2*'Inputs'!$B$17</x:f>
        <x:v>0.7425876376689904</x:v>
      </x:c>
      <x:c r="AB2534" s="78" t="n">
        <x:f>(IF(J2534&gt;0,K2534*(1-'Inputs'!$E$50)/2/J2534,0)+G2534+R2534)*'Inputs'!$B$17</x:f>
        <x:v>637158.6380266852</x:v>
      </x:c>
      <x:c r="AC2534" s="78" t="n">
        <x:f>AC2533+AB2534</x:f>
        <x:v>110679223.53760304</x:v>
      </x:c>
      <x:c r="AD2534" s="80" t="n">
        <x:f>Z2534/(1+'Inputs'!$C$50)</x:f>
        <x:v>1.108721885127707</x:v>
      </x:c>
      <x:c r="AE2534" s="80" t="n">
        <x:f>Z2534-AD2534</x:f>
        <x:v>1.108721885127707</x:v>
      </x:c>
      <x:c r="AF2534" s="80" t="n">
        <x:f>D2534*W2534</x:f>
        <x:v>0.29952165567959477</x:v>
      </x:c>
      <x:c r="AG2534" s="80" t="n">
        <x:f>C2534*W2534</x:f>
        <x:v>0.698883863252382</x:v>
      </x:c>
      <x:c r="AH2534" s="80" t="n">
        <x:f>2*'Inputs'!$B$8*'Inputs'!$C$50</x:f>
        <x:v>5000</x:v>
      </x:c>
      <x:c r="AI2534" s="81" t="n">
        <x:f>IF(AH2534&gt;0,(AE2534+AF2534)/AH2534*365,0)</x:f>
        <x:v>0.10280177847893303</x:v>
      </x:c>
      <x:c r="AJ2534" s="81" t="n">
        <x:f>IF('Inputs'!$B$50&gt;0,AG2534/('Inputs'!$B$19*'Inputs'!$B$50)*365,0)</x:f>
        <x:v>0.025509261008711943</x:v>
      </x:c>
      <x:c r="AK2534" s="81" t="n">
        <x:f>W2534/MAX($W$2194:W2534)-1</x:f>
        <x:v>-0.9986208663199397</x:v>
      </x:c>
      <x:c r="AL2534" s="83" t="n">
        <x:f>'Inputs'!$B$50</x:f>
        <x:v>1</x:v>
      </x:c>
      <x:c r="AM2534" s="83" t="n">
        <x:f>'Inputs'!$C$50</x:f>
        <x:v>1</x:v>
      </x:c>
      <x:c r="AN2534" s="83" t="n">
        <x:f>'Inputs'!$D$50</x:f>
        <x:v>1</x:v>
      </x:c>
      <x:c r="AO2534" s="81" t="n">
        <x:f>'Inputs'!$E$50</x:f>
        <x:v>0</x:v>
      </x:c>
    </x:row>
    <x:row r="2535">
      <x:c r="A2535" s="59" t="str">
        <x:v>Whale exit</x:v>
      </x:c>
      <x:c r="B2535" s="59" t="n">
        <x:v>342</x:v>
      </x:c>
      <x:c r="C2535" s="78" t="n">
        <x:f>(('Inputs'!$B$29*(3*342*'Inputs'!$B$12-342^2)/(2*'Inputs'!$B$12^2))-('Inputs'!$B$29*(3*341*'Inputs'!$B$12-341^2)/(2*'Inputs'!$B$12^2)))*'Inputs'!$B$50</x:f>
        <x:v>600961.9534621835</x:v>
      </x:c>
      <x:c r="D2535" s="78" t="n">
        <x:f>IF('Inputs'!$C$50&gt;0,('Inputs'!$B$30*(3*342*'Inputs'!$B$12-342^2)/(2*'Inputs'!$B$12^2))-('Inputs'!$B$30*(3*341*'Inputs'!$B$12-341^2)/(2*'Inputs'!$B$12^2)),0)</x:f>
        <x:v>257555.12291236222</x:v>
      </x:c>
      <x:c r="E2535" s="78" t="n">
        <x:f>C2535+D2535</x:f>
        <x:v>858517.0763745457</x:v>
      </x:c>
      <x:c r="F2535" s="78" t="n">
        <x:f>'Inputs'!$B$13*E2535+(1-'Inputs'!$B$13)/'Inputs'!$B$14*SUM(E2480:E2535)</x:f>
        <x:v>868734.7532370031</x:v>
      </x:c>
      <x:c r="G2535" s="78" t="n">
        <x:f>F2535*'Inputs'!$F$50</x:f>
        <x:v>434367.37661850156</x:v>
      </x:c>
      <x:c r="H2535" s="78" t="n">
        <x:f>U2534</x:f>
        <x:v>158332172.65789467</x:v>
      </x:c>
      <x:c r="I2535" s="78" t="n">
        <x:f>V2534</x:f>
        <x:v>184.03156764021514</x:v>
      </x:c>
      <x:c r="J2535" s="79" t="n">
        <x:f>IF(H2535&gt;0,I2535/H2535,0)</x:f>
        <x:v>0.0000011623131581592623</x:v>
      </x:c>
      <x:c r="K2535" s="80" t="n">
        <x:f>(H2535*J2535+I2535)*'Inputs'!$D$50*(1+'Inputs'!$G$50)^(B2535/30)</x:f>
        <x:v>368.0631352804303</x:v>
      </x:c>
      <x:c r="L2535" s="80" t="n">
        <x:f>MAX(0,K2535*'Inputs'!$E$50)</x:f>
        <x:v>0</x:v>
      </x:c>
      <x:c r="M2535" s="80" t="n">
        <x:f>MAX(0,-K2535*'Inputs'!$E$50)</x:f>
        <x:v>0</x:v>
      </x:c>
      <x:c r="N2535" s="78" t="n">
        <x:f>H2535*(L2535*(1-'Inputs'!$B$15))/(I2535+L2535*(1-'Inputs'!$B$15))</x:f>
        <x:v>0</x:v>
      </x:c>
      <x:c r="O2535" s="78" t="n">
        <x:f>H2535-N2535</x:f>
        <x:v>158332172.65789467</x:v>
      </x:c>
      <x:c r="P2535" s="78" t="n">
        <x:f>I2535+L2535*(1-'Inputs'!$B$17)</x:f>
        <x:v>184.03156764021514</x:v>
      </x:c>
      <x:c r="Q2535" s="78" t="n">
        <x:f>IF(J2535&gt;0,M2535/J2535,0)</x:f>
        <x:v>0</x:v>
      </x:c>
      <x:c r="R2535" s="78" t="n">
        <x:f>IF(B2535='Inputs'!$H$50,'Inputs'!$B$27*'Inputs'!$I$50,0)</x:f>
        <x:v>0</x:v>
      </x:c>
      <x:c r="S2535" s="78" t="n">
        <x:f>Q2535+G2535+R2535</x:f>
        <x:v>434367.37661850156</x:v>
      </x:c>
      <x:c r="T2535" s="78" t="n">
        <x:f>P2535*(S2535*(1-'Inputs'!$B$15))/(O2535+S2535*(1-'Inputs'!$B$15))</x:f>
        <x:v>0.4984683883973292</x:v>
      </x:c>
      <x:c r="U2535" s="78" t="n">
        <x:f>O2535+S2535*(1-'Inputs'!$B$17)</x:f>
        <x:v>158764792.0772632</x:v>
      </x:c>
      <x:c r="V2535" s="78" t="n">
        <x:f>P2535-T2535</x:f>
        <x:v>183.53309925181782</x:v>
      </x:c>
      <x:c r="W2535" s="79" t="n">
        <x:f>IF(U2535&gt;0,V2535/U2535,0)</x:f>
        <x:v>0.0000011560062961723975</x:v>
      </x:c>
      <x:c r="X2535" s="80" t="n">
        <x:f>W2535*('Inputs'!$B$6-AC2535)</x:f>
        <x:v>1027.321844996384</x:v>
      </x:c>
      <x:c r="Y2535" s="80" t="n">
        <x:f>2*V2535</x:f>
        <x:v>367.06619850363563</x:v>
      </x:c>
      <x:c r="Z2535" s="80" t="n">
        <x:f>K2535*'Inputs'!$B$16+(G2535+R2535)*J2535*'Inputs'!$B$16</x:f>
        <x:v>2.211408037186495</x:v>
      </x:c>
      <x:c r="AA2535" s="80" t="n">
        <x:f>K2535*(1+'Inputs'!$E$50)/2*'Inputs'!$B$17</x:f>
        <x:v>0.7405696886930188</x:v>
      </x:c>
      <x:c r="AB2535" s="78" t="n">
        <x:f>(IF(J2535&gt;0,K2535*(1-'Inputs'!$E$50)/2/J2535,0)+G2535+R2535)*'Inputs'!$B$17</x:f>
        <x:v>638899.5574829505</x:v>
      </x:c>
      <x:c r="AC2535" s="78" t="n">
        <x:f>AC2534+AB2535</x:f>
        <x:v>111318123.095086</x:v>
      </x:c>
      <x:c r="AD2535" s="80" t="n">
        <x:f>Z2535/(1+'Inputs'!$C$50)</x:f>
        <x:v>1.1057040185932474</x:v>
      </x:c>
      <x:c r="AE2535" s="80" t="n">
        <x:f>Z2535-AD2535</x:f>
        <x:v>1.1057040185932474</x:v>
      </x:c>
      <x:c r="AF2535" s="80" t="n">
        <x:f>D2535*W2535</x:f>
        <x:v>0.2977353436981464</x:v>
      </x:c>
      <x:c r="AG2535" s="80" t="n">
        <x:f>C2535*W2535</x:f>
        <x:v>0.6947158019623474</x:v>
      </x:c>
      <x:c r="AH2535" s="80" t="n">
        <x:f>2*'Inputs'!$B$8*'Inputs'!$C$50</x:f>
        <x:v>5000</x:v>
      </x:c>
      <x:c r="AI2535" s="81" t="n">
        <x:f>IF(AH2535&gt;0,(AE2535+AF2535)/AH2535*365,0)</x:f>
        <x:v>0.10245107344727174</x:v>
      </x:c>
      <x:c r="AJ2535" s="81" t="n">
        <x:f>IF('Inputs'!$B$50&gt;0,AG2535/('Inputs'!$B$19*'Inputs'!$B$50)*365,0)</x:f>
        <x:v>0.02535712677162568</x:v>
      </x:c>
      <x:c r="AK2535" s="81" t="n">
        <x:f>W2535/MAX($W$2194:W2535)-1</x:f>
        <x:v>-0.9986283496782072</x:v>
      </x:c>
      <x:c r="AL2535" s="83" t="n">
        <x:f>'Inputs'!$B$50</x:f>
        <x:v>1</x:v>
      </x:c>
      <x:c r="AM2535" s="83" t="n">
        <x:f>'Inputs'!$C$50</x:f>
        <x:v>1</x:v>
      </x:c>
      <x:c r="AN2535" s="83" t="n">
        <x:f>'Inputs'!$D$50</x:f>
        <x:v>1</x:v>
      </x:c>
      <x:c r="AO2535" s="81" t="n">
        <x:f>'Inputs'!$E$50</x:f>
        <x:v>0</x:v>
      </x:c>
    </x:row>
    <x:row r="2536">
      <x:c r="A2536" s="59" t="str">
        <x:v>Whale exit</x:v>
      </x:c>
      <x:c r="B2536" s="59" t="n">
        <x:v>343</x:v>
      </x:c>
      <x:c r="C2536" s="78" t="n">
        <x:f>(('Inputs'!$B$29*(3*343*'Inputs'!$B$12-343^2)/(2*'Inputs'!$B$12^2))-('Inputs'!$B$29*(3*342*'Inputs'!$B$12-342^2)/(2*'Inputs'!$B$12^2)))*'Inputs'!$B$50</x:f>
        <x:v>600636.8455620408</x:v>
      </x:c>
      <x:c r="D2536" s="78" t="n">
        <x:f>IF('Inputs'!$C$50&gt;0,('Inputs'!$B$30*(3*343*'Inputs'!$B$12-343^2)/(2*'Inputs'!$B$12^2))-('Inputs'!$B$30*(3*342*'Inputs'!$B$12-342^2)/(2*'Inputs'!$B$12^2)),0)</x:f>
        <x:v>257415.7909551561</x:v>
      </x:c>
      <x:c r="E2536" s="78" t="n">
        <x:f>C2536+D2536</x:f>
        <x:v>858052.6365171969</x:v>
      </x:c>
      <x:c r="F2536" s="78" t="n">
        <x:f>'Inputs'!$B$13*E2536+(1-'Inputs'!$B$13)/'Inputs'!$B$14*SUM(E2481:E2536)</x:f>
        <x:v>868270.3133796263</x:v>
      </x:c>
      <x:c r="G2536" s="78" t="n">
        <x:f>F2536*'Inputs'!$F$50</x:f>
        <x:v>434135.1566898131</x:v>
      </x:c>
      <x:c r="H2536" s="78" t="n">
        <x:f>U2535</x:f>
        <x:v>158764792.0772632</x:v>
      </x:c>
      <x:c r="I2536" s="78" t="n">
        <x:f>V2535</x:f>
        <x:v>183.53309925181782</x:v>
      </x:c>
      <x:c r="J2536" s="79" t="n">
        <x:f>IF(H2536&gt;0,I2536/H2536,0)</x:f>
        <x:v>0.0000011560062961723975</x:v>
      </x:c>
      <x:c r="K2536" s="80" t="n">
        <x:f>(H2536*J2536+I2536)*'Inputs'!$D$50*(1+'Inputs'!$G$50)^(B2536/30)</x:f>
        <x:v>367.06619850363563</x:v>
      </x:c>
      <x:c r="L2536" s="80" t="n">
        <x:f>MAX(0,K2536*'Inputs'!$E$50)</x:f>
        <x:v>0</x:v>
      </x:c>
      <x:c r="M2536" s="80" t="n">
        <x:f>MAX(0,-K2536*'Inputs'!$E$50)</x:f>
        <x:v>0</x:v>
      </x:c>
      <x:c r="N2536" s="78" t="n">
        <x:f>H2536*(L2536*(1-'Inputs'!$B$15))/(I2536+L2536*(1-'Inputs'!$B$15))</x:f>
        <x:v>0</x:v>
      </x:c>
      <x:c r="O2536" s="78" t="n">
        <x:f>H2536-N2536</x:f>
        <x:v>158764792.0772632</x:v>
      </x:c>
      <x:c r="P2536" s="78" t="n">
        <x:f>I2536+L2536*(1-'Inputs'!$B$17)</x:f>
        <x:v>183.53309925181782</x:v>
      </x:c>
      <x:c r="Q2536" s="78" t="n">
        <x:f>IF(J2536&gt;0,M2536/J2536,0)</x:f>
        <x:v>0</x:v>
      </x:c>
      <x:c r="R2536" s="78" t="n">
        <x:f>IF(B2536='Inputs'!$H$50,'Inputs'!$B$27*'Inputs'!$I$50,0)</x:f>
        <x:v>0</x:v>
      </x:c>
      <x:c r="S2536" s="78" t="n">
        <x:f>Q2536+G2536+R2536</x:f>
        <x:v>434135.1566898131</x:v>
      </x:c>
      <x:c r="T2536" s="78" t="n">
        <x:f>P2536*(S2536*(1-'Inputs'!$B$15))/(O2536+S2536*(1-'Inputs'!$B$15))</x:f>
        <x:v>0.4955029635977598</x:v>
      </x:c>
      <x:c r="U2536" s="78" t="n">
        <x:f>O2536+S2536*(1-'Inputs'!$B$17)</x:f>
        <x:v>159197180.2111897</x:v>
      </x:c>
      <x:c r="V2536" s="78" t="n">
        <x:f>P2536-T2536</x:f>
        <x:v>183.03759628822004</x:v>
      </x:c>
      <x:c r="W2536" s="79" t="n">
        <x:f>IF(U2536&gt;0,V2536/U2536,0)</x:f>
        <x:v>0.0000011497540097469305</x:v>
      </x:c>
      <x:c r="X2536" s="80" t="n">
        <x:f>W2536*('Inputs'!$B$6-AC2536)</x:f>
        <x:v>1021.028973473792</x:v>
      </x:c>
      <x:c r="Y2536" s="80" t="n">
        <x:f>2*V2536</x:f>
        <x:v>366.0751925764401</x:v>
      </x:c>
      <x:c r="Z2536" s="80" t="n">
        <x:f>K2536*'Inputs'!$B$16+(G2536+R2536)*J2536*'Inputs'!$B$16</x:f>
        <x:v>2.205408368868953</x:v>
      </x:c>
      <x:c r="AA2536" s="80" t="n">
        <x:f>K2536*(1+'Inputs'!$E$50)/2*'Inputs'!$B$17</x:f>
        <x:v>0.7385637796853837</x:v>
      </x:c>
      <x:c r="AB2536" s="78" t="n">
        <x:f>(IF(J2536&gt;0,K2536*(1-'Inputs'!$E$50)/2/J2536,0)+G2536+R2536)*'Inputs'!$B$17</x:f>
        <x:v>640639.5462130908</x:v>
      </x:c>
      <x:c r="AC2536" s="78" t="n">
        <x:f>AC2535+AB2536</x:f>
        <x:v>111958762.64129908</x:v>
      </x:c>
      <x:c r="AD2536" s="80" t="n">
        <x:f>Z2536/(1+'Inputs'!$C$50)</x:f>
        <x:v>1.1027041844344765</x:v>
      </x:c>
      <x:c r="AE2536" s="80" t="n">
        <x:f>Z2536-AD2536</x:f>
        <x:v>1.1027041844344765</x:v>
      </x:c>
      <x:c r="AF2536" s="80" t="n">
        <x:f>D2536*W2536</x:f>
        <x:v>0.29596483782286837</x:v>
      </x:c>
      <x:c r="AG2536" s="80" t="n">
        <x:f>C2536*W2536</x:f>
        <x:v>0.6905846215867043</x:v>
      </x:c>
      <x:c r="AH2536" s="80" t="n">
        <x:f>2*'Inputs'!$B$8*'Inputs'!$C$50</x:f>
        <x:v>5000</x:v>
      </x:c>
      <x:c r="AI2536" s="81" t="n">
        <x:f>IF(AH2536&gt;0,(AE2536+AF2536)/AH2536*365,0)</x:f>
        <x:v>0.10210283862478618</x:v>
      </x:c>
      <x:c r="AJ2536" s="81" t="n">
        <x:f>IF('Inputs'!$B$50&gt;0,AG2536/('Inputs'!$B$19*'Inputs'!$B$50)*365,0)</x:f>
        <x:v>0.025206338687914706</x:v>
      </x:c>
      <x:c r="AK2536" s="81" t="n">
        <x:f>W2536/MAX($W$2194:W2536)-1</x:f>
        <x:v>-0.9986357682802649</x:v>
      </x:c>
      <x:c r="AL2536" s="83" t="n">
        <x:f>'Inputs'!$B$50</x:f>
        <x:v>1</x:v>
      </x:c>
      <x:c r="AM2536" s="83" t="n">
        <x:f>'Inputs'!$C$50</x:f>
        <x:v>1</x:v>
      </x:c>
      <x:c r="AN2536" s="83" t="n">
        <x:f>'Inputs'!$D$50</x:f>
        <x:v>1</x:v>
      </x:c>
      <x:c r="AO2536" s="81" t="n">
        <x:f>'Inputs'!$E$50</x:f>
        <x:v>0</x:v>
      </x:c>
    </x:row>
    <x:row r="2537">
      <x:c r="A2537" s="59" t="str">
        <x:v>Whale exit</x:v>
      </x:c>
      <x:c r="B2537" s="59" t="n">
        <x:v>344</x:v>
      </x:c>
      <x:c r="C2537" s="78" t="n">
        <x:f>(('Inputs'!$B$29*(3*344*'Inputs'!$B$12-344^2)/(2*'Inputs'!$B$12^2))-('Inputs'!$B$29*(3*343*'Inputs'!$B$12-343^2)/(2*'Inputs'!$B$12^2)))*'Inputs'!$B$50</x:f>
        <x:v>600311.7376618385</x:v>
      </x:c>
      <x:c r="D2537" s="78" t="n">
        <x:f>IF('Inputs'!$C$50&gt;0,('Inputs'!$B$30*(3*344*'Inputs'!$B$12-344^2)/(2*'Inputs'!$B$12^2))-('Inputs'!$B$30*(3*343*'Inputs'!$B$12-343^2)/(2*'Inputs'!$B$12^2)),0)</x:f>
        <x:v>257276.45899793506</x:v>
      </x:c>
      <x:c r="E2537" s="78" t="n">
        <x:f>C2537+D2537</x:f>
        <x:v>857588.1966597736</x:v>
      </x:c>
      <x:c r="F2537" s="78" t="n">
        <x:f>'Inputs'!$B$13*E2537+(1-'Inputs'!$B$13)/'Inputs'!$B$14*SUM(E2482:E2537)</x:f>
        <x:v>867805.8735222345</x:v>
      </x:c>
      <x:c r="G2537" s="78" t="n">
        <x:f>F2537*'Inputs'!$F$50</x:f>
        <x:v>433902.93676111725</x:v>
      </x:c>
      <x:c r="H2537" s="78" t="n">
        <x:f>U2536</x:f>
        <x:v>159197180.2111897</x:v>
      </x:c>
      <x:c r="I2537" s="78" t="n">
        <x:f>V2536</x:f>
        <x:v>183.03759628822004</x:v>
      </x:c>
      <x:c r="J2537" s="79" t="n">
        <x:f>IF(H2537&gt;0,I2537/H2537,0)</x:f>
        <x:v>0.0000011497540097469305</x:v>
      </x:c>
      <x:c r="K2537" s="80" t="n">
        <x:f>(H2537*J2537+I2537)*'Inputs'!$D$50*(1+'Inputs'!$G$50)^(B2537/30)</x:f>
        <x:v>366.0751925764401</x:v>
      </x:c>
      <x:c r="L2537" s="80" t="n">
        <x:f>MAX(0,K2537*'Inputs'!$E$50)</x:f>
        <x:v>0</x:v>
      </x:c>
      <x:c r="M2537" s="80" t="n">
        <x:f>MAX(0,-K2537*'Inputs'!$E$50)</x:f>
        <x:v>0</x:v>
      </x:c>
      <x:c r="N2537" s="78" t="n">
        <x:f>H2537*(L2537*(1-'Inputs'!$B$15))/(I2537+L2537*(1-'Inputs'!$B$15))</x:f>
        <x:v>0</x:v>
      </x:c>
      <x:c r="O2537" s="78" t="n">
        <x:f>H2537-N2537</x:f>
        <x:v>159197180.2111897</x:v>
      </x:c>
      <x:c r="P2537" s="78" t="n">
        <x:f>I2537+L2537*(1-'Inputs'!$B$17)</x:f>
        <x:v>183.03759628822004</x:v>
      </x:c>
      <x:c r="Q2537" s="78" t="n">
        <x:f>IF(J2537&gt;0,M2537/J2537,0)</x:f>
        <x:v>0</x:v>
      </x:c>
      <x:c r="R2537" s="78" t="n">
        <x:f>IF(B2537='Inputs'!$H$50,'Inputs'!$B$27*'Inputs'!$I$50,0)</x:f>
        <x:v>0</x:v>
      </x:c>
      <x:c r="S2537" s="78" t="n">
        <x:f>Q2537+G2537+R2537</x:f>
        <x:v>433902.93676111725</x:v>
      </x:c>
      <x:c r="T2537" s="78" t="n">
        <x:f>P2537*(S2537*(1-'Inputs'!$B$15))/(O2537+S2537*(1-'Inputs'!$B$15))</x:f>
        <x:v>0.49256373357507766</x:v>
      </x:c>
      <x:c r="U2537" s="78" t="n">
        <x:f>O2537+S2537*(1-'Inputs'!$B$17)</x:f>
        <x:v>159629337.0596741</x:v>
      </x:c>
      <x:c r="V2537" s="78" t="n">
        <x:f>P2537-T2537</x:f>
        <x:v>182.54503255464496</x:v>
      </x:c>
      <x:c r="W2537" s="79" t="n">
        <x:f>IF(U2537&gt;0,V2537/U2537,0)</x:f>
        <x:v>0.0000011435556641220924</x:v>
      </x:c>
      <x:c r="X2537" s="80" t="n">
        <x:f>W2537*('Inputs'!$B$6-AC2537)</x:f>
        <x:v>1014.7899912641707</x:v>
      </x:c>
      <x:c r="Y2537" s="80" t="n">
        <x:f>2*V2537</x:f>
        <x:v>365.0900651092899</x:v>
      </x:c>
      <x:c r="Z2537" s="80" t="n">
        <x:f>K2537*'Inputs'!$B$16+(G2537+R2537)*J2537*'Inputs'!$B$16</x:f>
        <x:v>2.1994444453069333</x:v>
      </x:c>
      <x:c r="AA2537" s="80" t="n">
        <x:f>K2537*(1+'Inputs'!$E$50)/2*'Inputs'!$B$17</x:f>
        <x:v>0.7365698039767407</x:v>
      </x:c>
      <x:c r="AB2537" s="78" t="n">
        <x:f>(IF(J2537&gt;0,K2537*(1-'Inputs'!$E$50)/2/J2537,0)+G2537+R2537)*'Inputs'!$B$17</x:f>
        <x:v>642378.6042171059</x:v>
      </x:c>
      <x:c r="AC2537" s="78" t="n">
        <x:f>AC2536+AB2537</x:f>
        <x:v>112601141.2455162</x:v>
      </x:c>
      <x:c r="AD2537" s="80" t="n">
        <x:f>Z2537/(1+'Inputs'!$C$50)</x:f>
        <x:v>1.0997222226534666</x:v>
      </x:c>
      <x:c r="AE2537" s="80" t="n">
        <x:f>Z2537-AD2537</x:f>
        <x:v>1.0997222226534666</x:v>
      </x:c>
      <x:c r="AF2537" s="80" t="n">
        <x:f>D2537*W2537</x:f>
        <x:v>0.29420995193236393</x:v>
      </x:c>
      <x:c r="AG2537" s="80" t="n">
        <x:f>C2537*W2537</x:f>
        <x:v>0.6864898878421711</x:v>
      </x:c>
      <x:c r="AH2537" s="80" t="n">
        <x:f>2*'Inputs'!$B$8*'Inputs'!$C$50</x:f>
        <x:v>5000</x:v>
      </x:c>
      <x:c r="AI2537" s="81" t="n">
        <x:f>IF(AH2537&gt;0,(AE2537+AF2537)/AH2537*365,0)</x:f>
        <x:v>0.10175704874476564</x:v>
      </x:c>
      <x:c r="AJ2537" s="81" t="n">
        <x:f>IF('Inputs'!$B$50&gt;0,AG2537/('Inputs'!$B$19*'Inputs'!$B$50)*365,0)</x:f>
        <x:v>0.025056880906239247</x:v>
      </x:c>
      <x:c r="AK2537" s="81" t="n">
        <x:f>W2537/MAX($W$2194:W2537)-1</x:f>
        <x:v>-0.9986431228792831</x:v>
      </x:c>
      <x:c r="AL2537" s="83" t="n">
        <x:f>'Inputs'!$B$50</x:f>
        <x:v>1</x:v>
      </x:c>
      <x:c r="AM2537" s="83" t="n">
        <x:f>'Inputs'!$C$50</x:f>
        <x:v>1</x:v>
      </x:c>
      <x:c r="AN2537" s="83" t="n">
        <x:f>'Inputs'!$D$50</x:f>
        <x:v>1</x:v>
      </x:c>
      <x:c r="AO2537" s="81" t="n">
        <x:f>'Inputs'!$E$50</x:f>
        <x:v>0</x:v>
      </x:c>
    </x:row>
    <x:row r="2538">
      <x:c r="A2538" s="59" t="str">
        <x:v>Whale exit</x:v>
      </x:c>
      <x:c r="B2538" s="59" t="n">
        <x:v>345</x:v>
      </x:c>
      <x:c r="C2538" s="78" t="n">
        <x:f>(('Inputs'!$B$29*(3*345*'Inputs'!$B$12-345^2)/(2*'Inputs'!$B$12^2))-('Inputs'!$B$29*(3*344*'Inputs'!$B$12-344^2)/(2*'Inputs'!$B$12^2)))*'Inputs'!$B$50</x:f>
        <x:v>599986.6297616661</x:v>
      </x:c>
      <x:c r="D2538" s="78" t="n">
        <x:f>IF('Inputs'!$C$50&gt;0,('Inputs'!$B$30*(3*345*'Inputs'!$B$12-345^2)/(2*'Inputs'!$B$12^2))-('Inputs'!$B$30*(3*344*'Inputs'!$B$12-344^2)/(2*'Inputs'!$B$12^2)),0)</x:f>
        <x:v>257137.12704072893</x:v>
      </x:c>
      <x:c r="E2538" s="78" t="n">
        <x:f>C2538+D2538</x:f>
        <x:v>857123.756802395</x:v>
      </x:c>
      <x:c r="F2538" s="78" t="n">
        <x:f>'Inputs'!$B$13*E2538+(1-'Inputs'!$B$13)/'Inputs'!$B$14*SUM(E2483:E2538)</x:f>
        <x:v>867341.4336648512</x:v>
      </x:c>
      <x:c r="G2538" s="78" t="n">
        <x:f>F2538*'Inputs'!$F$50</x:f>
        <x:v>433670.7168324256</x:v>
      </x:c>
      <x:c r="H2538" s="78" t="n">
        <x:f>U2537</x:f>
        <x:v>159629337.0596741</x:v>
      </x:c>
      <x:c r="I2538" s="78" t="n">
        <x:f>V2537</x:f>
        <x:v>182.54503255464496</x:v>
      </x:c>
      <x:c r="J2538" s="79" t="n">
        <x:f>IF(H2538&gt;0,I2538/H2538,0)</x:f>
        <x:v>0.0000011435556641220924</x:v>
      </x:c>
      <x:c r="K2538" s="80" t="n">
        <x:f>(H2538*J2538+I2538)*'Inputs'!$D$50*(1+'Inputs'!$G$50)^(B2538/30)</x:f>
        <x:v>365.0900651092899</x:v>
      </x:c>
      <x:c r="L2538" s="80" t="n">
        <x:f>MAX(0,K2538*'Inputs'!$E$50)</x:f>
        <x:v>0</x:v>
      </x:c>
      <x:c r="M2538" s="80" t="n">
        <x:f>MAX(0,-K2538*'Inputs'!$E$50)</x:f>
        <x:v>0</x:v>
      </x:c>
      <x:c r="N2538" s="78" t="n">
        <x:f>H2538*(L2538*(1-'Inputs'!$B$15))/(I2538+L2538*(1-'Inputs'!$B$15))</x:f>
        <x:v>0</x:v>
      </x:c>
      <x:c r="O2538" s="78" t="n">
        <x:f>H2538-N2538</x:f>
        <x:v>159629337.0596741</x:v>
      </x:c>
      <x:c r="P2538" s="78" t="n">
        <x:f>I2538+L2538*(1-'Inputs'!$B$17)</x:f>
        <x:v>182.54503255464496</x:v>
      </x:c>
      <x:c r="Q2538" s="78" t="n">
        <x:f>IF(J2538&gt;0,M2538/J2538,0)</x:f>
        <x:v>0</x:v>
      </x:c>
      <x:c r="R2538" s="78" t="n">
        <x:f>IF(B2538='Inputs'!$H$50,'Inputs'!$B$27*'Inputs'!$I$50,0)</x:f>
        <x:v>0</x:v>
      </x:c>
      <x:c r="S2538" s="78" t="n">
        <x:f>Q2538+G2538+R2538</x:f>
        <x:v>433670.7168324256</x:v>
      </x:c>
      <x:c r="T2538" s="78" t="n">
        <x:f>P2538*(S2538*(1-'Inputs'!$B$15))/(O2538+S2538*(1-'Inputs'!$B$15))</x:f>
        <x:v>0.4896503903684053</x:v>
      </x:c>
      <x:c r="U2538" s="78" t="n">
        <x:f>O2538+S2538*(1-'Inputs'!$B$17)</x:f>
        <x:v>160061262.62271646</x:v>
      </x:c>
      <x:c r="V2538" s="78" t="n">
        <x:f>P2538-T2538</x:f>
        <x:v>182.05538216427655</x:v>
      </x:c>
      <x:c r="W2538" s="79" t="n">
        <x:f>IF(U2538&gt;0,V2538/U2538,0)</x:f>
        <x:v>0.0000011374106337859077</x:v>
      </x:c>
      <x:c r="X2538" s="80" t="n">
        <x:f>W2538*('Inputs'!$B$6-AC2538)</x:f>
        <x:v>1008.6042731370268</x:v>
      </x:c>
      <x:c r="Y2538" s="80" t="n">
        <x:f>2*V2538</x:f>
        <x:v>364.1107643285531</x:v>
      </x:c>
      <x:c r="Z2538" s="80" t="n">
        <x:f>K2538*'Inputs'!$B$16+(G2538+R2538)*J2538*'Inputs'!$B$16</x:f>
        <x:v>2.1935159502833255</x:v>
      </x:c>
      <x:c r="AA2538" s="80" t="n">
        <x:f>K2538*(1+'Inputs'!$E$50)/2*'Inputs'!$B$17</x:f>
        <x:v>0.734587656155513</x:v>
      </x:c>
      <x:c r="AB2538" s="78" t="n">
        <x:f>(IF(J2538&gt;0,K2538*(1-'Inputs'!$E$50)/2/J2538,0)+G2538+R2538)*'Inputs'!$B$17</x:f>
        <x:v>644116.7314949962</x:v>
      </x:c>
      <x:c r="AC2538" s="78" t="n">
        <x:f>AC2537+AB2538</x:f>
        <x:v>113245257.97701119</x:v>
      </x:c>
      <x:c r="AD2538" s="80" t="n">
        <x:f>Z2538/(1+'Inputs'!$C$50)</x:f>
        <x:v>1.0967579751416627</x:v>
      </x:c>
      <x:c r="AE2538" s="80" t="n">
        <x:f>Z2538-AD2538</x:f>
        <x:v>1.0967579751416627</x:v>
      </x:c>
      <x:c r="AF2538" s="80" t="n">
        <x:f>D2538*W2538</x:f>
        <x:v>0.29247050263728297</x:v>
      </x:c>
      <x:c r="AG2538" s="80" t="n">
        <x:f>C2538*W2538</x:f>
        <x:v>0.6824311728202873</x:v>
      </x:c>
      <x:c r="AH2538" s="80" t="n">
        <x:f>2*'Inputs'!$B$8*'Inputs'!$C$50</x:f>
        <x:v>5000</x:v>
      </x:c>
      <x:c r="AI2538" s="81" t="n">
        <x:f>IF(AH2538&gt;0,(AE2538+AF2538)/AH2538*365,0)</x:f>
        <x:v>0.10141367887786303</x:v>
      </x:c>
      <x:c r="AJ2538" s="81" t="n">
        <x:f>IF('Inputs'!$B$50&gt;0,AG2538/('Inputs'!$B$19*'Inputs'!$B$50)*365,0)</x:f>
        <x:v>0.02490873780794049</x:v>
      </x:c>
      <x:c r="AK2538" s="81" t="n">
        <x:f>W2538/MAX($W$2194:W2538)-1</x:f>
        <x:v>-0.9986504142174584</x:v>
      </x:c>
      <x:c r="AL2538" s="83" t="n">
        <x:f>'Inputs'!$B$50</x:f>
        <x:v>1</x:v>
      </x:c>
      <x:c r="AM2538" s="83" t="n">
        <x:f>'Inputs'!$C$50</x:f>
        <x:v>1</x:v>
      </x:c>
      <x:c r="AN2538" s="83" t="n">
        <x:f>'Inputs'!$D$50</x:f>
        <x:v>1</x:v>
      </x:c>
      <x:c r="AO2538" s="81" t="n">
        <x:f>'Inputs'!$E$50</x:f>
        <x:v>0</x:v>
      </x:c>
    </x:row>
    <x:row r="2539">
      <x:c r="A2539" s="59" t="str">
        <x:v>Whale exit</x:v>
      </x:c>
      <x:c r="B2539" s="59" t="n">
        <x:v>346</x:v>
      </x:c>
      <x:c r="C2539" s="78" t="n">
        <x:f>(('Inputs'!$B$29*(3*346*'Inputs'!$B$12-346^2)/(2*'Inputs'!$B$12^2))-('Inputs'!$B$29*(3*345*'Inputs'!$B$12-345^2)/(2*'Inputs'!$B$12^2)))*'Inputs'!$B$50</x:f>
        <x:v>599661.5218615234</x:v>
      </x:c>
      <x:c r="D2539" s="78" t="n">
        <x:f>IF('Inputs'!$C$50&gt;0,('Inputs'!$B$30*(3*346*'Inputs'!$B$12-346^2)/(2*'Inputs'!$B$12^2))-('Inputs'!$B$30*(3*345*'Inputs'!$B$12-345^2)/(2*'Inputs'!$B$12^2)),0)</x:f>
        <x:v>256997.795083493</x:v>
      </x:c>
      <x:c r="E2539" s="78" t="n">
        <x:f>C2539+D2539</x:f>
        <x:v>856659.3169450164</x:v>
      </x:c>
      <x:c r="F2539" s="78" t="n">
        <x:f>'Inputs'!$B$13*E2539+(1-'Inputs'!$B$13)/'Inputs'!$B$14*SUM(E2484:E2539)</x:f>
        <x:v>866876.9938074681</x:v>
      </x:c>
      <x:c r="G2539" s="78" t="n">
        <x:f>F2539*'Inputs'!$F$50</x:f>
        <x:v>433438.49690373405</x:v>
      </x:c>
      <x:c r="H2539" s="78" t="n">
        <x:f>U2538</x:f>
        <x:v>160061262.62271646</x:v>
      </x:c>
      <x:c r="I2539" s="78" t="n">
        <x:f>V2538</x:f>
        <x:v>182.05538216427655</x:v>
      </x:c>
      <x:c r="J2539" s="79" t="n">
        <x:f>IF(H2539&gt;0,I2539/H2539,0)</x:f>
        <x:v>0.0000011374106337859077</x:v>
      </x:c>
      <x:c r="K2539" s="80" t="n">
        <x:f>(H2539*J2539+I2539)*'Inputs'!$D$50*(1+'Inputs'!$G$50)^(B2539/30)</x:f>
        <x:v>364.1107643285531</x:v>
      </x:c>
      <x:c r="L2539" s="80" t="n">
        <x:f>MAX(0,K2539*'Inputs'!$E$50)</x:f>
        <x:v>0</x:v>
      </x:c>
      <x:c r="M2539" s="80" t="n">
        <x:f>MAX(0,-K2539*'Inputs'!$E$50)</x:f>
        <x:v>0</x:v>
      </x:c>
      <x:c r="N2539" s="78" t="n">
        <x:f>H2539*(L2539*(1-'Inputs'!$B$15))/(I2539+L2539*(1-'Inputs'!$B$15))</x:f>
        <x:v>0</x:v>
      </x:c>
      <x:c r="O2539" s="78" t="n">
        <x:f>H2539-N2539</x:f>
        <x:v>160061262.62271646</x:v>
      </x:c>
      <x:c r="P2539" s="78" t="n">
        <x:f>I2539+L2539*(1-'Inputs'!$B$17)</x:f>
        <x:v>182.05538216427655</x:v>
      </x:c>
      <x:c r="Q2539" s="78" t="n">
        <x:f>IF(J2539&gt;0,M2539/J2539,0)</x:f>
        <x:v>0</x:v>
      </x:c>
      <x:c r="R2539" s="78" t="n">
        <x:f>IF(B2539='Inputs'!$H$50,'Inputs'!$B$27*'Inputs'!$I$50,0)</x:f>
        <x:v>0</x:v>
      </x:c>
      <x:c r="S2539" s="78" t="n">
        <x:f>Q2539+G2539+R2539</x:f>
        <x:v>433438.49690373405</x:v>
      </x:c>
      <x:c r="T2539" s="78" t="n">
        <x:f>P2539*(S2539*(1-'Inputs'!$B$15))/(O2539+S2539*(1-'Inputs'!$B$15))</x:f>
        <x:v>0.4867626305303147</x:v>
      </x:c>
      <x:c r="U2539" s="78" t="n">
        <x:f>O2539+S2539*(1-'Inputs'!$B$17)</x:f>
        <x:v>160492956.90031675</x:v>
      </x:c>
      <x:c r="V2539" s="78" t="n">
        <x:f>P2539-T2539</x:f>
        <x:v>181.56861953374624</x:v>
      </x:c>
      <x:c r="W2539" s="79" t="n">
        <x:f>IF(U2539&gt;0,V2539/U2539,0)</x:f>
        <x:v>0.0000011313183023135385</x:v>
      </x:c>
      <x:c r="X2539" s="80" t="n">
        <x:f>W2539*('Inputs'!$B$6-AC2539)</x:f>
        <x:v>1002.4712029445072</x:v>
      </x:c>
      <x:c r="Y2539" s="80" t="n">
        <x:f>2*V2539</x:f>
        <x:v>363.1372390674925</x:v>
      </x:c>
      <x:c r="Z2539" s="80" t="n">
        <x:f>K2539*'Inputs'!$B$16+(G2539+R2539)*J2539*'Inputs'!$B$16</x:f>
        <x:v>2.1876225713041415</x:v>
      </x:c>
      <x:c r="AA2539" s="80" t="n">
        <x:f>K2539*(1+'Inputs'!$E$50)/2*'Inputs'!$B$17</x:f>
        <x:v>0.7326172320494027</x:v>
      </x:c>
      <x:c r="AB2539" s="78" t="n">
        <x:f>(IF(J2539&gt;0,K2539*(1-'Inputs'!$E$50)/2/J2539,0)+G2539+R2539)*'Inputs'!$B$17</x:f>
        <x:v>645853.9280467614</x:v>
      </x:c>
      <x:c r="AC2539" s="78" t="n">
        <x:f>AC2538+AB2539</x:f>
        <x:v>113891111.90505795</x:v>
      </x:c>
      <x:c r="AD2539" s="80" t="n">
        <x:f>Z2539/(1+'Inputs'!$C$50)</x:f>
        <x:v>1.0938112856520708</x:v>
      </x:c>
      <x:c r="AE2539" s="80" t="n">
        <x:f>Z2539-AD2539</x:f>
        <x:v>1.0938112856520708</x:v>
      </x:c>
      <x:c r="AF2539" s="80" t="n">
        <x:f>D2539*W2539</x:f>
        <x:v>0.29074630923218</x:v>
      </x:c>
      <x:c r="AG2539" s="80" t="n">
        <x:f>C2539*W2539</x:f>
        <x:v>0.6784080548751316</x:v>
      </x:c>
      <x:c r="AH2539" s="80" t="n">
        <x:f>2*'Inputs'!$B$8*'Inputs'!$C$50</x:f>
        <x:v>5000</x:v>
      </x:c>
      <x:c r="AI2539" s="81" t="n">
        <x:f>IF(AH2539&gt;0,(AE2539+AF2539)/AH2539*365,0)</x:f>
        <x:v>0.10107270442655031</x:v>
      </x:c>
      <x:c r="AJ2539" s="81" t="n">
        <x:f>IF('Inputs'!$B$50&gt;0,AG2539/('Inputs'!$B$19*'Inputs'!$B$50)*365,0)</x:f>
        <x:v>0.024761894002942302</x:v>
      </x:c>
      <x:c r="AK2539" s="81" t="n">
        <x:f>W2539/MAX($W$2194:W2539)-1</x:f>
        <x:v>-0.9986576430262046</x:v>
      </x:c>
      <x:c r="AL2539" s="83" t="n">
        <x:f>'Inputs'!$B$50</x:f>
        <x:v>1</x:v>
      </x:c>
      <x:c r="AM2539" s="83" t="n">
        <x:f>'Inputs'!$C$50</x:f>
        <x:v>1</x:v>
      </x:c>
      <x:c r="AN2539" s="83" t="n">
        <x:f>'Inputs'!$D$50</x:f>
        <x:v>1</x:v>
      </x:c>
      <x:c r="AO2539" s="81" t="n">
        <x:f>'Inputs'!$E$50</x:f>
        <x:v>0</x:v>
      </x:c>
    </x:row>
    <x:row r="2540">
      <x:c r="A2540" s="59" t="str">
        <x:v>Whale exit</x:v>
      </x:c>
      <x:c r="B2540" s="59" t="n">
        <x:v>347</x:v>
      </x:c>
      <x:c r="C2540" s="78" t="n">
        <x:f>(('Inputs'!$B$29*(3*347*'Inputs'!$B$12-347^2)/(2*'Inputs'!$B$12^2))-('Inputs'!$B$29*(3*346*'Inputs'!$B$12-346^2)/(2*'Inputs'!$B$12^2)))*'Inputs'!$B$50</x:f>
        <x:v>599336.4139613509</x:v>
      </x:c>
      <x:c r="D2540" s="78" t="n">
        <x:f>IF('Inputs'!$C$50&gt;0,('Inputs'!$B$30*(3*347*'Inputs'!$B$12-347^2)/(2*'Inputs'!$B$12^2))-('Inputs'!$B$30*(3*346*'Inputs'!$B$12-346^2)/(2*'Inputs'!$B$12^2)),0)</x:f>
        <x:v>256858.46312630177</x:v>
      </x:c>
      <x:c r="E2540" s="78" t="n">
        <x:f>C2540+D2540</x:f>
        <x:v>856194.8770876527</x:v>
      </x:c>
      <x:c r="F2540" s="78" t="n">
        <x:f>'Inputs'!$B$13*E2540+(1-'Inputs'!$B$13)/'Inputs'!$B$14*SUM(E2485:E2540)</x:f>
        <x:v>866412.5539500884</x:v>
      </x:c>
      <x:c r="G2540" s="78" t="n">
        <x:f>F2540*'Inputs'!$F$50</x:f>
        <x:v>433206.2769750442</x:v>
      </x:c>
      <x:c r="H2540" s="78" t="n">
        <x:f>U2539</x:f>
        <x:v>160492956.90031675</x:v>
      </x:c>
      <x:c r="I2540" s="78" t="n">
        <x:f>V2539</x:f>
        <x:v>181.56861953374624</x:v>
      </x:c>
      <x:c r="J2540" s="79" t="n">
        <x:f>IF(H2540&gt;0,I2540/H2540,0)</x:f>
        <x:v>0.0000011313183023135385</x:v>
      </x:c>
      <x:c r="K2540" s="80" t="n">
        <x:f>(H2540*J2540+I2540)*'Inputs'!$D$50*(1+'Inputs'!$G$50)^(B2540/30)</x:f>
        <x:v>363.1372390674925</x:v>
      </x:c>
      <x:c r="L2540" s="80" t="n">
        <x:f>MAX(0,K2540*'Inputs'!$E$50)</x:f>
        <x:v>0</x:v>
      </x:c>
      <x:c r="M2540" s="80" t="n">
        <x:f>MAX(0,-K2540*'Inputs'!$E$50)</x:f>
        <x:v>0</x:v>
      </x:c>
      <x:c r="N2540" s="78" t="n">
        <x:f>H2540*(L2540*(1-'Inputs'!$B$15))/(I2540+L2540*(1-'Inputs'!$B$15))</x:f>
        <x:v>0</x:v>
      </x:c>
      <x:c r="O2540" s="78" t="n">
        <x:f>H2540-N2540</x:f>
        <x:v>160492956.90031675</x:v>
      </x:c>
      <x:c r="P2540" s="78" t="n">
        <x:f>I2540+L2540*(1-'Inputs'!$B$17)</x:f>
        <x:v>181.56861953374624</x:v>
      </x:c>
      <x:c r="Q2540" s="78" t="n">
        <x:f>IF(J2540&gt;0,M2540/J2540,0)</x:f>
        <x:v>0</x:v>
      </x:c>
      <x:c r="R2540" s="78" t="n">
        <x:f>IF(B2540='Inputs'!$H$50,'Inputs'!$B$27*'Inputs'!$I$50,0)</x:f>
        <x:v>0</x:v>
      </x:c>
      <x:c r="S2540" s="78" t="n">
        <x:f>Q2540+G2540+R2540</x:f>
        <x:v>433206.2769750442</x:v>
      </x:c>
      <x:c r="T2540" s="78" t="n">
        <x:f>P2540*(S2540*(1-'Inputs'!$B$15))/(O2540+S2540*(1-'Inputs'!$B$15))</x:f>
        <x:v>0.48390015504768985</x:v>
      </x:c>
      <x:c r="U2540" s="78" t="n">
        <x:f>O2540+S2540*(1-'Inputs'!$B$17)</x:f>
        <x:v>160924419.89247498</x:v>
      </x:c>
      <x:c r="V2540" s="78" t="n">
        <x:f>P2540-T2540</x:f>
        <x:v>181.08471937869857</x:v>
      </x:c>
      <x:c r="W2540" s="79" t="n">
        <x:f>IF(U2540&gt;0,V2540/U2540,0)</x:f>
        <x:v>0.0000011252780622089184</x:v>
      </x:c>
      <x:c r="X2540" s="80" t="n">
        <x:f>W2540*('Inputs'!$B$6-AC2540)</x:f>
        <x:v>996.3901734631095</x:v>
      </x:c>
      <x:c r="Y2540" s="80" t="n">
        <x:f>2*V2540</x:f>
        <x:v>362.16943875739713</x:v>
      </x:c>
      <x:c r="Z2540" s="80" t="n">
        <x:f>K2540*'Inputs'!$B$16+(G2540+R2540)*J2540*'Inputs'!$B$16</x:f>
        <x:v>2.181763999543869</x:v>
      </x:c>
      <x:c r="AA2540" s="80" t="n">
        <x:f>K2540*(1+'Inputs'!$E$50)/2*'Inputs'!$B$17</x:f>
        <x:v>0.7306584287072284</x:v>
      </x:c>
      <x:c r="AB2540" s="78" t="n">
        <x:f>(IF(J2540&gt;0,K2540*(1-'Inputs'!$E$50)/2/J2540,0)+G2540+R2540)*'Inputs'!$B$17</x:f>
        <x:v>647590.1938724016</x:v>
      </x:c>
      <x:c r="AC2540" s="78" t="n">
        <x:f>AC2539+AB2540</x:f>
        <x:v>114538702.09893036</x:v>
      </x:c>
      <x:c r="AD2540" s="80" t="n">
        <x:f>Z2540/(1+'Inputs'!$C$50)</x:f>
        <x:v>1.0908819997719346</x:v>
      </x:c>
      <x:c r="AE2540" s="80" t="n">
        <x:f>Z2540-AD2540</x:f>
        <x:v>1.0908819997719346</x:v>
      </x:c>
      <x:c r="AF2540" s="80" t="n">
        <x:f>D2540*W2540</x:f>
        <x:v>0.28903719364872577</x:v>
      </x:c>
      <x:c r="AG2540" s="80" t="n">
        <x:f>C2540*W2540</x:f>
        <x:v>0.6744201185136711</x:v>
      </x:c>
      <x:c r="AH2540" s="80" t="n">
        <x:f>2*'Inputs'!$B$8*'Inputs'!$C$50</x:f>
        <x:v>5000</x:v>
      </x:c>
      <x:c r="AI2540" s="81" t="n">
        <x:f>IF(AH2540&gt;0,(AE2540+AF2540)/AH2540*365,0)</x:f>
        <x:v>0.10073410111970821</x:v>
      </x:c>
      <x:c r="AJ2540" s="81" t="n">
        <x:f>IF('Inputs'!$B$50&gt;0,AG2540/('Inputs'!$B$19*'Inputs'!$B$50)*365,0)</x:f>
        <x:v>0.024616334325748994</x:v>
      </x:c>
      <x:c r="AK2540" s="81" t="n">
        <x:f>W2540/MAX($W$2194:W2540)-1</x:f>
        <x:v>-0.9986648100263418</x:v>
      </x:c>
      <x:c r="AL2540" s="83" t="n">
        <x:f>'Inputs'!$B$50</x:f>
        <x:v>1</x:v>
      </x:c>
      <x:c r="AM2540" s="83" t="n">
        <x:f>'Inputs'!$C$50</x:f>
        <x:v>1</x:v>
      </x:c>
      <x:c r="AN2540" s="83" t="n">
        <x:f>'Inputs'!$D$50</x:f>
        <x:v>1</x:v>
      </x:c>
      <x:c r="AO2540" s="81" t="n">
        <x:f>'Inputs'!$E$50</x:f>
        <x:v>0</x:v>
      </x:c>
    </x:row>
    <x:row r="2541">
      <x:c r="A2541" s="59" t="str">
        <x:v>Whale exit</x:v>
      </x:c>
      <x:c r="B2541" s="59" t="n">
        <x:v>348</x:v>
      </x:c>
      <x:c r="C2541" s="78" t="n">
        <x:f>(('Inputs'!$B$29*(3*348*'Inputs'!$B$12-348^2)/(2*'Inputs'!$B$12^2))-('Inputs'!$B$29*(3*347*'Inputs'!$B$12-347^2)/(2*'Inputs'!$B$12^2)))*'Inputs'!$B$50</x:f>
        <x:v>599011.3060611784</x:v>
      </x:c>
      <x:c r="D2541" s="78" t="n">
        <x:f>IF('Inputs'!$C$50&gt;0,('Inputs'!$B$30*(3*348*'Inputs'!$B$12-348^2)/(2*'Inputs'!$B$12^2))-('Inputs'!$B$30*(3*347*'Inputs'!$B$12-347^2)/(2*'Inputs'!$B$12^2)),0)</x:f>
        <x:v>256719.13116906583</x:v>
      </x:c>
      <x:c r="E2541" s="78" t="n">
        <x:f>C2541+D2541</x:f>
        <x:v>855730.4372302443</x:v>
      </x:c>
      <x:c r="F2541" s="78" t="n">
        <x:f>'Inputs'!$B$13*E2541+(1-'Inputs'!$B$13)/'Inputs'!$B$14*SUM(E2486:E2541)</x:f>
        <x:v>865948.1140926994</x:v>
      </x:c>
      <x:c r="G2541" s="78" t="n">
        <x:f>F2541*'Inputs'!$F$50</x:f>
        <x:v>432974.0570463497</x:v>
      </x:c>
      <x:c r="H2541" s="78" t="n">
        <x:f>U2540</x:f>
        <x:v>160924419.89247498</x:v>
      </x:c>
      <x:c r="I2541" s="78" t="n">
        <x:f>V2540</x:f>
        <x:v>181.08471937869857</x:v>
      </x:c>
      <x:c r="J2541" s="79" t="n">
        <x:f>IF(H2541&gt;0,I2541/H2541,0)</x:f>
        <x:v>0.0000011252780622089184</x:v>
      </x:c>
      <x:c r="K2541" s="80" t="n">
        <x:f>(H2541*J2541+I2541)*'Inputs'!$D$50*(1+'Inputs'!$G$50)^(B2541/30)</x:f>
        <x:v>362.16943875739713</x:v>
      </x:c>
      <x:c r="L2541" s="80" t="n">
        <x:f>MAX(0,K2541*'Inputs'!$E$50)</x:f>
        <x:v>0</x:v>
      </x:c>
      <x:c r="M2541" s="80" t="n">
        <x:f>MAX(0,-K2541*'Inputs'!$E$50)</x:f>
        <x:v>0</x:v>
      </x:c>
      <x:c r="N2541" s="78" t="n">
        <x:f>H2541*(L2541*(1-'Inputs'!$B$15))/(I2541+L2541*(1-'Inputs'!$B$15))</x:f>
        <x:v>0</x:v>
      </x:c>
      <x:c r="O2541" s="78" t="n">
        <x:f>H2541-N2541</x:f>
        <x:v>160924419.89247498</x:v>
      </x:c>
      <x:c r="P2541" s="78" t="n">
        <x:f>I2541+L2541*(1-'Inputs'!$B$17)</x:f>
        <x:v>181.08471937869857</x:v>
      </x:c>
      <x:c r="Q2541" s="78" t="n">
        <x:f>IF(J2541&gt;0,M2541/J2541,0)</x:f>
        <x:v>0</x:v>
      </x:c>
      <x:c r="R2541" s="78" t="n">
        <x:f>IF(B2541='Inputs'!$H$50,'Inputs'!$B$27*'Inputs'!$I$50,0)</x:f>
        <x:v>0</x:v>
      </x:c>
      <x:c r="S2541" s="78" t="n">
        <x:f>Q2541+G2541+R2541</x:f>
        <x:v>432974.0570463497</x:v>
      </x:c>
      <x:c r="T2541" s="78" t="n">
        <x:f>P2541*(S2541*(1-'Inputs'!$B$15))/(O2541+S2541*(1-'Inputs'!$B$15))</x:f>
        <x:v>0.48106266926416374</x:v>
      </x:c>
      <x:c r="U2541" s="78" t="n">
        <x:f>O2541+S2541*(1-'Inputs'!$B$17)</x:f>
        <x:v>161355651.59919116</x:v>
      </x:c>
      <x:c r="V2541" s="78" t="n">
        <x:f>P2541-T2541</x:f>
        <x:v>180.6036567094344</x:v>
      </x:c>
      <x:c r="W2541" s="79" t="n">
        <x:f>IF(U2541&gt;0,V2541/U2541,0)</x:f>
        <x:v>0.0000011192893147496032</x:v>
      </x:c>
      <x:c r="X2541" s="80" t="n">
        <x:f>W2541*('Inputs'!$B$6-AC2541)</x:f>
        <x:v>990.3605862386102</x:v>
      </x:c>
      <x:c r="Y2541" s="80" t="n">
        <x:f>2*V2541</x:f>
        <x:v>361.2073134188688</x:v>
      </x:c>
      <x:c r="Z2541" s="80" t="n">
        <x:f>K2541*'Inputs'!$B$16+(G2541+R2541)*J2541*'Inputs'!$B$16</x:f>
        <x:v>2.175939929791782</x:v>
      </x:c>
      <x:c r="AA2541" s="80" t="n">
        <x:f>K2541*(1+'Inputs'!$E$50)/2*'Inputs'!$B$17</x:f>
        <x:v>0.7287111443810808</x:v>
      </x:c>
      <x:c r="AB2541" s="78" t="n">
        <x:f>(IF(J2541&gt;0,K2541*(1-'Inputs'!$E$50)/2/J2541,0)+G2541+R2541)*'Inputs'!$B$17</x:f>
        <x:v>649325.5289719169</x:v>
      </x:c>
      <x:c r="AC2541" s="78" t="n">
        <x:f>AC2540+AB2541</x:f>
        <x:v>115188027.62790227</x:v>
      </x:c>
      <x:c r="AD2541" s="80" t="n">
        <x:f>Z2541/(1+'Inputs'!$C$50)</x:f>
        <x:v>1.087969964895891</x:v>
      </x:c>
      <x:c r="AE2541" s="80" t="n">
        <x:f>Z2541-AD2541</x:f>
        <x:v>1.087969964895891</x:v>
      </x:c>
      <x:c r="AF2541" s="80" t="n">
        <x:f>D2541*W2541</x:f>
        <x:v>0.2873429804093372</x:v>
      </x:c>
      <x:c r="AG2541" s="80" t="n">
        <x:f>C2541*W2541</x:f>
        <x:v>0.6704669542884812</x:v>
      </x:c>
      <x:c r="AH2541" s="80" t="n">
        <x:f>2*'Inputs'!$B$8*'Inputs'!$C$50</x:f>
        <x:v>5000</x:v>
      </x:c>
      <x:c r="AI2541" s="81" t="n">
        <x:f>IF(AH2541&gt;0,(AE2541+AF2541)/AH2541*365,0)</x:f>
        <x:v>0.10039784500728165</x:v>
      </x:c>
      <x:c r="AJ2541" s="81" t="n">
        <x:f>IF('Inputs'!$B$50&gt;0,AG2541/('Inputs'!$B$19*'Inputs'!$B$50)*365,0)</x:f>
        <x:v>0.024472043831529566</x:v>
      </x:c>
      <x:c r="AK2541" s="81" t="n">
        <x:f>W2541/MAX($W$2194:W2541)-1</x:f>
        <x:v>-0.9986719159282793</x:v>
      </x:c>
      <x:c r="AL2541" s="83" t="n">
        <x:f>'Inputs'!$B$50</x:f>
        <x:v>1</x:v>
      </x:c>
      <x:c r="AM2541" s="83" t="n">
        <x:f>'Inputs'!$C$50</x:f>
        <x:v>1</x:v>
      </x:c>
      <x:c r="AN2541" s="83" t="n">
        <x:f>'Inputs'!$D$50</x:f>
        <x:v>1</x:v>
      </x:c>
      <x:c r="AO2541" s="81" t="n">
        <x:f>'Inputs'!$E$50</x:f>
        <x:v>0</x:v>
      </x:c>
    </x:row>
    <x:row r="2542">
      <x:c r="A2542" s="59" t="str">
        <x:v>Whale exit</x:v>
      </x:c>
      <x:c r="B2542" s="59" t="n">
        <x:v>349</x:v>
      </x:c>
      <x:c r="C2542" s="78" t="n">
        <x:f>(('Inputs'!$B$29*(3*349*'Inputs'!$B$12-349^2)/(2*'Inputs'!$B$12^2))-('Inputs'!$B$29*(3*348*'Inputs'!$B$12-348^2)/(2*'Inputs'!$B$12^2)))*'Inputs'!$B$50</x:f>
        <x:v>598686.198161006</x:v>
      </x:c>
      <x:c r="D2542" s="78" t="n">
        <x:f>IF('Inputs'!$C$50&gt;0,('Inputs'!$B$30*(3*349*'Inputs'!$B$12-349^2)/(2*'Inputs'!$B$12^2))-('Inputs'!$B$30*(3*348*'Inputs'!$B$12-348^2)/(2*'Inputs'!$B$12^2)),0)</x:f>
        <x:v>256579.7992118597</x:v>
      </x:c>
      <x:c r="E2542" s="78" t="n">
        <x:f>C2542+D2542</x:f>
        <x:v>855265.9973728657</x:v>
      </x:c>
      <x:c r="F2542" s="78" t="n">
        <x:f>'Inputs'!$B$13*E2542+(1-'Inputs'!$B$13)/'Inputs'!$B$14*SUM(E2487:E2542)</x:f>
        <x:v>865483.6742353166</x:v>
      </x:c>
      <x:c r="G2542" s="78" t="n">
        <x:f>F2542*'Inputs'!$F$50</x:f>
        <x:v>432741.8371176583</x:v>
      </x:c>
      <x:c r="H2542" s="78" t="n">
        <x:f>U2541</x:f>
        <x:v>161355651.59919116</x:v>
      </x:c>
      <x:c r="I2542" s="78" t="n">
        <x:f>V2541</x:f>
        <x:v>180.6036567094344</x:v>
      </x:c>
      <x:c r="J2542" s="79" t="n">
        <x:f>IF(H2542&gt;0,I2542/H2542,0)</x:f>
        <x:v>0.0000011192893147496032</x:v>
      </x:c>
      <x:c r="K2542" s="80" t="n">
        <x:f>(H2542*J2542+I2542)*'Inputs'!$D$50*(1+'Inputs'!$G$50)^(B2542/30)</x:f>
        <x:v>361.2073134188688</x:v>
      </x:c>
      <x:c r="L2542" s="80" t="n">
        <x:f>MAX(0,K2542*'Inputs'!$E$50)</x:f>
        <x:v>0</x:v>
      </x:c>
      <x:c r="M2542" s="80" t="n">
        <x:f>MAX(0,-K2542*'Inputs'!$E$50)</x:f>
        <x:v>0</x:v>
      </x:c>
      <x:c r="N2542" s="78" t="n">
        <x:f>H2542*(L2542*(1-'Inputs'!$B$15))/(I2542+L2542*(1-'Inputs'!$B$15))</x:f>
        <x:v>0</x:v>
      </x:c>
      <x:c r="O2542" s="78" t="n">
        <x:f>H2542-N2542</x:f>
        <x:v>161355651.59919116</x:v>
      </x:c>
      <x:c r="P2542" s="78" t="n">
        <x:f>I2542+L2542*(1-'Inputs'!$B$17)</x:f>
        <x:v>180.6036567094344</x:v>
      </x:c>
      <x:c r="Q2542" s="78" t="n">
        <x:f>IF(J2542&gt;0,M2542/J2542,0)</x:f>
        <x:v>0</x:v>
      </x:c>
      <x:c r="R2542" s="78" t="n">
        <x:f>IF(B2542='Inputs'!$H$50,'Inputs'!$B$27*'Inputs'!$I$50,0)</x:f>
        <x:v>0</x:v>
      </x:c>
      <x:c r="S2542" s="78" t="n">
        <x:f>Q2542+G2542+R2542</x:f>
        <x:v>432741.8371176583</x:v>
      </x:c>
      <x:c r="T2542" s="78" t="n">
        <x:f>P2542*(S2542*(1-'Inputs'!$B$15))/(O2542+S2542*(1-'Inputs'!$B$15))</x:f>
        <x:v>0.4782498828041743</x:v>
      </x:c>
      <x:c r="U2542" s="78" t="n">
        <x:f>O2542+S2542*(1-'Inputs'!$B$17)</x:f>
        <x:v>161786652.02046528</x:v>
      </x:c>
      <x:c r="V2542" s="78" t="n">
        <x:f>P2542-T2542</x:f>
        <x:v>180.12540682663024</x:v>
      </x:c>
      <x:c r="W2542" s="79" t="n">
        <x:f>IF(U2542&gt;0,V2542/U2542,0)</x:f>
        <x:v>0.0000011133514698347622</x:v>
      </x:c>
      <x:c r="X2542" s="80" t="n">
        <x:f>W2542*('Inputs'!$B$6-AC2542)</x:f>
        <x:v>984.3818514341295</x:v>
      </x:c>
      <x:c r="Y2542" s="80" t="n">
        <x:f>2*V2542</x:f>
        <x:v>360.2508136532605</x:v>
      </x:c>
      <x:c r="Z2542" s="80" t="n">
        <x:f>K2542*'Inputs'!$B$16+(G2542+R2542)*J2542*'Inputs'!$B$16</x:f>
        <x:v>2.1701500603991986</x:v>
      </x:c>
      <x:c r="AA2542" s="80" t="n">
        <x:f>K2542*(1+'Inputs'!$E$50)/2*'Inputs'!$B$17</x:f>
        <x:v>0.7267752785087904</x:v>
      </x:c>
      <x:c r="AB2542" s="78" t="n">
        <x:f>(IF(J2542&gt;0,K2542*(1-'Inputs'!$E$50)/2/J2542,0)+G2542+R2542)*'Inputs'!$B$17</x:f>
        <x:v>651059.9333453072</x:v>
      </x:c>
      <x:c r="AC2542" s="78" t="n">
        <x:f>AC2541+AB2542</x:f>
        <x:v>115839087.56124757</x:v>
      </x:c>
      <x:c r="AD2542" s="80" t="n">
        <x:f>Z2542/(1+'Inputs'!$C$50)</x:f>
        <x:v>1.0850750301995993</x:v>
      </x:c>
      <x:c r="AE2542" s="80" t="n">
        <x:f>Z2542-AD2542</x:f>
        <x:v>1.0850750301995993</x:v>
      </x:c>
      <x:c r="AF2542" s="80" t="n">
        <x:f>D2542*W2542</x:f>
        <x:v>0.2856634965824322</x:v>
      </x:c>
      <x:c r="AG2542" s="80" t="n">
        <x:f>C2542*W2542</x:f>
        <x:v>0.6665481586923417</x:v>
      </x:c>
      <x:c r="AH2542" s="80" t="n">
        <x:f>2*'Inputs'!$B$8*'Inputs'!$C$50</x:f>
        <x:v>5000</x:v>
      </x:c>
      <x:c r="AI2542" s="81" t="n">
        <x:f>IF(AH2542&gt;0,(AE2542+AF2542)/AH2542*365,0)</x:f>
        <x:v>0.10006391245508829</x:v>
      </x:c>
      <x:c r="AJ2542" s="81" t="n">
        <x:f>IF('Inputs'!$B$50&gt;0,AG2542/('Inputs'!$B$19*'Inputs'!$B$50)*365,0)</x:f>
        <x:v>0.024329007792270475</x:v>
      </x:c>
      <x:c r="AK2542" s="81" t="n">
        <x:f>W2542/MAX($W$2194:W2542)-1</x:f>
        <x:v>-0.9986789614321966</x:v>
      </x:c>
      <x:c r="AL2542" s="83" t="n">
        <x:f>'Inputs'!$B$50</x:f>
        <x:v>1</x:v>
      </x:c>
      <x:c r="AM2542" s="83" t="n">
        <x:f>'Inputs'!$C$50</x:f>
        <x:v>1</x:v>
      </x:c>
      <x:c r="AN2542" s="83" t="n">
        <x:f>'Inputs'!$D$50</x:f>
        <x:v>1</x:v>
      </x:c>
      <x:c r="AO2542" s="81" t="n">
        <x:f>'Inputs'!$E$50</x:f>
        <x:v>0</x:v>
      </x:c>
    </x:row>
    <x:row r="2543">
      <x:c r="A2543" s="59" t="str">
        <x:v>Whale exit</x:v>
      </x:c>
      <x:c r="B2543" s="59" t="n">
        <x:v>350</x:v>
      </x:c>
      <x:c r="C2543" s="78" t="n">
        <x:f>(('Inputs'!$B$29*(3*350*'Inputs'!$B$12-350^2)/(2*'Inputs'!$B$12^2))-('Inputs'!$B$29*(3*349*'Inputs'!$B$12-349^2)/(2*'Inputs'!$B$12^2)))*'Inputs'!$B$50</x:f>
        <x:v>598361.0902608335</x:v>
      </x:c>
      <x:c r="D2543" s="78" t="n">
        <x:f>IF('Inputs'!$C$50&gt;0,('Inputs'!$B$30*(3*350*'Inputs'!$B$12-350^2)/(2*'Inputs'!$B$12^2))-('Inputs'!$B$30*(3*349*'Inputs'!$B$12-349^2)/(2*'Inputs'!$B$12^2)),0)</x:f>
        <x:v>256440.46725465357</x:v>
      </x:c>
      <x:c r="E2543" s="78" t="n">
        <x:f>C2543+D2543</x:f>
        <x:v>854801.5575154871</x:v>
      </x:c>
      <x:c r="F2543" s="78" t="n">
        <x:f>'Inputs'!$B$13*E2543+(1-'Inputs'!$B$13)/'Inputs'!$B$14*SUM(E2488:E2543)</x:f>
        <x:v>865019.2343779332</x:v>
      </x:c>
      <x:c r="G2543" s="78" t="n">
        <x:f>F2543*'Inputs'!$F$50</x:f>
        <x:v>432509.6171889666</x:v>
      </x:c>
      <x:c r="H2543" s="78" t="n">
        <x:f>U2542</x:f>
        <x:v>161786652.02046528</x:v>
      </x:c>
      <x:c r="I2543" s="78" t="n">
        <x:f>V2542</x:f>
        <x:v>180.12540682663024</x:v>
      </x:c>
      <x:c r="J2543" s="79" t="n">
        <x:f>IF(H2543&gt;0,I2543/H2543,0)</x:f>
        <x:v>0.0000011133514698347622</x:v>
      </x:c>
      <x:c r="K2543" s="80" t="n">
        <x:f>(H2543*J2543+I2543)*'Inputs'!$D$50*(1+'Inputs'!$G$50)^(B2543/30)</x:f>
        <x:v>360.2508136532605</x:v>
      </x:c>
      <x:c r="L2543" s="80" t="n">
        <x:f>MAX(0,K2543*'Inputs'!$E$50)</x:f>
        <x:v>0</x:v>
      </x:c>
      <x:c r="M2543" s="80" t="n">
        <x:f>MAX(0,-K2543*'Inputs'!$E$50)</x:f>
        <x:v>0</x:v>
      </x:c>
      <x:c r="N2543" s="78" t="n">
        <x:f>H2543*(L2543*(1-'Inputs'!$B$15))/(I2543+L2543*(1-'Inputs'!$B$15))</x:f>
        <x:v>0</x:v>
      </x:c>
      <x:c r="O2543" s="78" t="n">
        <x:f>H2543-N2543</x:f>
        <x:v>161786652.02046528</x:v>
      </x:c>
      <x:c r="P2543" s="78" t="n">
        <x:f>I2543+L2543*(1-'Inputs'!$B$17)</x:f>
        <x:v>180.12540682663024</x:v>
      </x:c>
      <x:c r="Q2543" s="78" t="n">
        <x:f>IF(J2543&gt;0,M2543/J2543,0)</x:f>
        <x:v>0</x:v>
      </x:c>
      <x:c r="R2543" s="78" t="n">
        <x:f>IF(B2543='Inputs'!$H$50,'Inputs'!$B$27*'Inputs'!$I$50,0)</x:f>
        <x:v>0</x:v>
      </x:c>
      <x:c r="S2543" s="78" t="n">
        <x:f>Q2543+G2543+R2543</x:f>
        <x:v>432509.6171889666</x:v>
      </x:c>
      <x:c r="T2543" s="78" t="n">
        <x:f>P2543*(S2543*(1-'Inputs'!$B$15))/(O2543+S2543*(1-'Inputs'!$B$15))</x:f>
        <x:v>0.4754615094985071</x:v>
      </x:c>
      <x:c r="U2543" s="78" t="n">
        <x:f>O2543+S2543*(1-'Inputs'!$B$17)</x:f>
        <x:v>162217421.15629736</x:v>
      </x:c>
      <x:c r="V2543" s="78" t="n">
        <x:f>P2543-T2543</x:f>
        <x:v>179.64994531713174</x:v>
      </x:c>
      <x:c r="W2543" s="79" t="n">
        <x:f>IF(U2543&gt;0,V2543/U2543,0)</x:f>
        <x:v>0.000001107463945836237</x:v>
      </x:c>
      <x:c r="X2543" s="80" t="n">
        <x:f>W2543*('Inputs'!$B$6-AC2543)</x:f>
        <x:v>978.4533876812645</x:v>
      </x:c>
      <x:c r="Y2543" s="80" t="n">
        <x:f>2*V2543</x:f>
        <x:v>359.2998906342635</x:v>
      </x:c>
      <x:c r="Z2543" s="80" t="n">
        <x:f>K2543*'Inputs'!$B$16+(G2543+R2543)*J2543*'Inputs'!$B$16</x:f>
        <x:v>2.164394093227653</x:v>
      </x:c>
      <x:c r="AA2543" s="80" t="n">
        <x:f>K2543*(1+'Inputs'!$E$50)/2*'Inputs'!$B$17</x:f>
        <x:v>0.7248507316967012</x:v>
      </x:c>
      <x:c r="AB2543" s="78" t="n">
        <x:f>(IF(J2543&gt;0,K2543*(1-'Inputs'!$E$50)/2/J2543,0)+G2543+R2543)*'Inputs'!$B$17</x:f>
        <x:v>652793.4069925725</x:v>
      </x:c>
      <x:c r="AC2543" s="78" t="n">
        <x:f>AC2542+AB2543</x:f>
        <x:v>116491880.96824014</x:v>
      </x:c>
      <x:c r="AD2543" s="80" t="n">
        <x:f>Z2543/(1+'Inputs'!$C$50)</x:f>
        <x:v>1.0821970466138264</x:v>
      </x:c>
      <x:c r="AE2543" s="80" t="n">
        <x:f>Z2543-AD2543</x:f>
        <x:v>1.0821970466138264</x:v>
      </x:c>
      <x:c r="AF2543" s="80" t="n">
        <x:f>D2543*W2543</x:f>
        <x:v>0.283998571737927</x:v>
      </x:c>
      <x:c r="AG2543" s="80" t="n">
        <x:f>C2543*W2543</x:f>
        <x:v>0.6626633340551354</x:v>
      </x:c>
      <x:c r="AH2543" s="80" t="n">
        <x:f>2*'Inputs'!$B$8*'Inputs'!$C$50</x:f>
        <x:v>5000</x:v>
      </x:c>
      <x:c r="AI2543" s="81" t="n">
        <x:f>IF(AH2543&gt;0,(AE2543+AF2543)/AH2543*365,0)</x:f>
        <x:v>0.099732280139678</x:v>
      </x:c>
      <x:c r="AJ2543" s="81" t="n">
        <x:f>IF('Inputs'!$B$50&gt;0,AG2543/('Inputs'!$B$19*'Inputs'!$B$50)*365,0)</x:f>
        <x:v>0.024187211693012443</x:v>
      </x:c>
      <x:c r="AK2543" s="81" t="n">
        <x:f>W2543/MAX($W$2194:W2543)-1</x:f>
        <x:v>-0.9986859472282203</x:v>
      </x:c>
      <x:c r="AL2543" s="83" t="n">
        <x:f>'Inputs'!$B$50</x:f>
        <x:v>1</x:v>
      </x:c>
      <x:c r="AM2543" s="83" t="n">
        <x:f>'Inputs'!$C$50</x:f>
        <x:v>1</x:v>
      </x:c>
      <x:c r="AN2543" s="83" t="n">
        <x:f>'Inputs'!$D$50</x:f>
        <x:v>1</x:v>
      </x:c>
      <x:c r="AO2543" s="81" t="n">
        <x:f>'Inputs'!$E$50</x:f>
        <x:v>0</x:v>
      </x:c>
    </x:row>
    <x:row r="2544">
      <x:c r="A2544" s="59" t="str">
        <x:v>Whale exit</x:v>
      </x:c>
      <x:c r="B2544" s="59" t="n">
        <x:v>351</x:v>
      </x:c>
      <x:c r="C2544" s="78" t="n">
        <x:f>(('Inputs'!$B$29*(3*351*'Inputs'!$B$12-351^2)/(2*'Inputs'!$B$12^2))-('Inputs'!$B$29*(3*350*'Inputs'!$B$12-350^2)/(2*'Inputs'!$B$12^2)))*'Inputs'!$B$50</x:f>
        <x:v>598035.982360661</x:v>
      </x:c>
      <x:c r="D2544" s="78" t="n">
        <x:f>IF('Inputs'!$C$50&gt;0,('Inputs'!$B$30*(3*351*'Inputs'!$B$12-351^2)/(2*'Inputs'!$B$12^2))-('Inputs'!$B$30*(3*350*'Inputs'!$B$12-350^2)/(2*'Inputs'!$B$12^2)),0)</x:f>
        <x:v>256301.13529741764</x:v>
      </x:c>
      <x:c r="E2544" s="78" t="n">
        <x:f>C2544+D2544</x:f>
        <x:v>854337.1176580787</x:v>
      </x:c>
      <x:c r="F2544" s="78" t="n">
        <x:f>'Inputs'!$B$13*E2544+(1-'Inputs'!$B$13)/'Inputs'!$B$14*SUM(E2489:E2544)</x:f>
        <x:v>864554.7945205442</x:v>
      </x:c>
      <x:c r="G2544" s="78" t="n">
        <x:f>F2544*'Inputs'!$F$50</x:f>
        <x:v>432277.3972602721</x:v>
      </x:c>
      <x:c r="H2544" s="78" t="n">
        <x:f>U2543</x:f>
        <x:v>162217421.15629736</x:v>
      </x:c>
      <x:c r="I2544" s="78" t="n">
        <x:f>V2543</x:f>
        <x:v>179.64994531713174</x:v>
      </x:c>
      <x:c r="J2544" s="79" t="n">
        <x:f>IF(H2544&gt;0,I2544/H2544,0)</x:f>
        <x:v>0.000001107463945836237</x:v>
      </x:c>
      <x:c r="K2544" s="80" t="n">
        <x:f>(H2544*J2544+I2544)*'Inputs'!$D$50*(1+'Inputs'!$G$50)^(B2544/30)</x:f>
        <x:v>359.2998906342635</x:v>
      </x:c>
      <x:c r="L2544" s="80" t="n">
        <x:f>MAX(0,K2544*'Inputs'!$E$50)</x:f>
        <x:v>0</x:v>
      </x:c>
      <x:c r="M2544" s="80" t="n">
        <x:f>MAX(0,-K2544*'Inputs'!$E$50)</x:f>
        <x:v>0</x:v>
      </x:c>
      <x:c r="N2544" s="78" t="n">
        <x:f>H2544*(L2544*(1-'Inputs'!$B$15))/(I2544+L2544*(1-'Inputs'!$B$15))</x:f>
        <x:v>0</x:v>
      </x:c>
      <x:c r="O2544" s="78" t="n">
        <x:f>H2544-N2544</x:f>
        <x:v>162217421.15629736</x:v>
      </x:c>
      <x:c r="P2544" s="78" t="n">
        <x:f>I2544+L2544*(1-'Inputs'!$B$17)</x:f>
        <x:v>179.64994531713174</x:v>
      </x:c>
      <x:c r="Q2544" s="78" t="n">
        <x:f>IF(J2544&gt;0,M2544/J2544,0)</x:f>
        <x:v>0</x:v>
      </x:c>
      <x:c r="R2544" s="78" t="n">
        <x:f>IF(B2544='Inputs'!$H$50,'Inputs'!$B$27*'Inputs'!$I$50,0)</x:f>
        <x:v>0</x:v>
      </x:c>
      <x:c r="S2544" s="78" t="n">
        <x:f>Q2544+G2544+R2544</x:f>
        <x:v>432277.3972602721</x:v>
      </x:c>
      <x:c r="T2544" s="78" t="n">
        <x:f>P2544*(S2544*(1-'Inputs'!$B$15))/(O2544+S2544*(1-'Inputs'!$B$15))</x:f>
        <x:v>0.4726972673113871</x:v>
      </x:c>
      <x:c r="U2544" s="78" t="n">
        <x:f>O2544+S2544*(1-'Inputs'!$B$17)</x:f>
        <x:v>162647959.00668737</x:v>
      </x:c>
      <x:c r="V2544" s="78" t="n">
        <x:f>P2544-T2544</x:f>
        <x:v>179.17724804982035</x:v>
      </x:c>
      <x:c r="W2544" s="79" t="n">
        <x:f>IF(U2544&gt;0,V2544/U2544,0)</x:f>
        <x:v>0.0000011016261694525988</x:v>
      </x:c>
      <x:c r="X2544" s="80" t="n">
        <x:f>W2544*('Inputs'!$B$6-AC2544)</x:f>
        <x:v>972.5746219342176</x:v>
      </x:c>
      <x:c r="Y2544" s="80" t="n">
        <x:f>2*V2544</x:f>
        <x:v>358.3544960996407</x:v>
      </x:c>
      <x:c r="Z2544" s="80" t="n">
        <x:f>K2544*'Inputs'!$B$16+(G2544+R2544)*J2544*'Inputs'!$B$16</x:f>
        <x:v>2.158671733597975</x:v>
      </x:c>
      <x:c r="AA2544" s="80" t="n">
        <x:f>K2544*(1+'Inputs'!$E$50)/2*'Inputs'!$B$17</x:f>
        <x:v>0.7229374057027435</x:v>
      </x:c>
      <x:c r="AB2544" s="78" t="n">
        <x:f>(IF(J2544&gt;0,K2544*(1-'Inputs'!$E$50)/2/J2544,0)+G2544+R2544)*'Inputs'!$B$17</x:f>
        <x:v>654525.9499137129</x:v>
      </x:c>
      <x:c r="AC2544" s="78" t="n">
        <x:f>AC2543+AB2544</x:f>
        <x:v>117146406.91815385</x:v>
      </x:c>
      <x:c r="AD2544" s="80" t="n">
        <x:f>Z2544/(1+'Inputs'!$C$50)</x:f>
        <x:v>1.0793358667989874</x:v>
      </x:c>
      <x:c r="AE2544" s="80" t="n">
        <x:f>Z2544-AD2544</x:f>
        <x:v>1.0793358667989874</x:v>
      </x:c>
      <x:c r="AF2544" s="80" t="n">
        <x:f>D2544*W2544</x:f>
        <x:v>0.28234803790404644</x:v>
      </x:c>
      <x:c r="AG2544" s="80" t="n">
        <x:f>C2544*W2544</x:f>
        <x:v>0.6588120884427969</x:v>
      </x:c>
      <x:c r="AH2544" s="80" t="n">
        <x:f>2*'Inputs'!$B$8*'Inputs'!$C$50</x:f>
        <x:v>5000</x:v>
      </x:c>
      <x:c r="AI2544" s="81" t="n">
        <x:f>IF(AH2544&gt;0,(AE2544+AF2544)/AH2544*365,0)</x:f>
        <x:v>0.09940292504332146</x:v>
      </x:c>
      <x:c r="AJ2544" s="81" t="n">
        <x:f>IF('Inputs'!$B$50&gt;0,AG2544/('Inputs'!$B$19*'Inputs'!$B$50)*365,0)</x:f>
        <x:v>0.024046641228162087</x:v>
      </x:c>
      <x:c r="AK2544" s="81" t="n">
        <x:f>W2544/MAX($W$2194:W2544)-1</x:f>
        <x:v>-0.9986928739965967</x:v>
      </x:c>
      <x:c r="AL2544" s="83" t="n">
        <x:f>'Inputs'!$B$50</x:f>
        <x:v>1</x:v>
      </x:c>
      <x:c r="AM2544" s="83" t="n">
        <x:f>'Inputs'!$C$50</x:f>
        <x:v>1</x:v>
      </x:c>
      <x:c r="AN2544" s="83" t="n">
        <x:f>'Inputs'!$D$50</x:f>
        <x:v>1</x:v>
      </x:c>
      <x:c r="AO2544" s="81" t="n">
        <x:f>'Inputs'!$E$50</x:f>
        <x:v>0</x:v>
      </x:c>
    </x:row>
    <x:row r="2545">
      <x:c r="A2545" s="59" t="str">
        <x:v>Whale exit</x:v>
      </x:c>
      <x:c r="B2545" s="59" t="n">
        <x:v>352</x:v>
      </x:c>
      <x:c r="C2545" s="78" t="n">
        <x:f>(('Inputs'!$B$29*(3*352*'Inputs'!$B$12-352^2)/(2*'Inputs'!$B$12^2))-('Inputs'!$B$29*(3*351*'Inputs'!$B$12-351^2)/(2*'Inputs'!$B$12^2)))*'Inputs'!$B$50</x:f>
        <x:v>597710.8744604886</x:v>
      </x:c>
      <x:c r="D2545" s="78" t="n">
        <x:f>IF('Inputs'!$C$50&gt;0,('Inputs'!$B$30*(3*352*'Inputs'!$B$12-352^2)/(2*'Inputs'!$B$12^2))-('Inputs'!$B$30*(3*351*'Inputs'!$B$12-351^2)/(2*'Inputs'!$B$12^2)),0)</x:f>
        <x:v>256161.8033402264</x:v>
      </x:c>
      <x:c r="E2545" s="78" t="n">
        <x:f>C2545+D2545</x:f>
        <x:v>853872.677800715</x:v>
      </x:c>
      <x:c r="F2545" s="78" t="n">
        <x:f>'Inputs'!$B$13*E2545+(1-'Inputs'!$B$13)/'Inputs'!$B$14*SUM(E2490:E2545)</x:f>
        <x:v>864090.3546631641</x:v>
      </x:c>
      <x:c r="G2545" s="78" t="n">
        <x:f>F2545*'Inputs'!$F$50</x:f>
        <x:v>432045.17733158206</x:v>
      </x:c>
      <x:c r="H2545" s="78" t="n">
        <x:f>U2544</x:f>
        <x:v>162647959.00668737</x:v>
      </x:c>
      <x:c r="I2545" s="78" t="n">
        <x:f>V2544</x:f>
        <x:v>179.17724804982035</x:v>
      </x:c>
      <x:c r="J2545" s="79" t="n">
        <x:f>IF(H2545&gt;0,I2545/H2545,0)</x:f>
        <x:v>0.0000011016261694525988</x:v>
      </x:c>
      <x:c r="K2545" s="80" t="n">
        <x:f>(H2545*J2545+I2545)*'Inputs'!$D$50*(1+'Inputs'!$G$50)^(B2545/30)</x:f>
        <x:v>358.35449609964064</x:v>
      </x:c>
      <x:c r="L2545" s="80" t="n">
        <x:f>MAX(0,K2545*'Inputs'!$E$50)</x:f>
        <x:v>0</x:v>
      </x:c>
      <x:c r="M2545" s="80" t="n">
        <x:f>MAX(0,-K2545*'Inputs'!$E$50)</x:f>
        <x:v>0</x:v>
      </x:c>
      <x:c r="N2545" s="78" t="n">
        <x:f>H2545*(L2545*(1-'Inputs'!$B$15))/(I2545+L2545*(1-'Inputs'!$B$15))</x:f>
        <x:v>0</x:v>
      </x:c>
      <x:c r="O2545" s="78" t="n">
        <x:f>H2545-N2545</x:f>
        <x:v>162647959.00668737</x:v>
      </x:c>
      <x:c r="P2545" s="78" t="n">
        <x:f>I2545+L2545*(1-'Inputs'!$B$17)</x:f>
        <x:v>179.17724804982035</x:v>
      </x:c>
      <x:c r="Q2545" s="78" t="n">
        <x:f>IF(J2545&gt;0,M2545/J2545,0)</x:f>
        <x:v>0</x:v>
      </x:c>
      <x:c r="R2545" s="78" t="n">
        <x:f>IF(B2545='Inputs'!$H$50,'Inputs'!$B$27*'Inputs'!$I$50,0)</x:f>
        <x:v>0</x:v>
      </x:c>
      <x:c r="S2545" s="78" t="n">
        <x:f>Q2545+G2545+R2545</x:f>
        <x:v>432045.17733158206</x:v>
      </x:c>
      <x:c r="T2545" s="78" t="n">
        <x:f>P2545*(S2545*(1-'Inputs'!$B$15))/(O2545+S2545*(1-'Inputs'!$B$15))</x:f>
        <x:v>0.4699568782690361</x:v>
      </x:c>
      <x:c r="U2545" s="78" t="n">
        <x:f>O2545+S2545*(1-'Inputs'!$B$17)</x:f>
        <x:v>163078265.57163534</x:v>
      </x:c>
      <x:c r="V2545" s="78" t="n">
        <x:f>P2545-T2545</x:f>
        <x:v>178.7072911715513</x:v>
      </x:c>
      <x:c r="W2545" s="79" t="n">
        <x:f>IF(U2545&gt;0,V2545/U2545,0)</x:f>
        <x:v>0.0000010958375755661358</x:v>
      </x:c>
      <x:c r="X2545" s="80" t="n">
        <x:f>W2545*('Inputs'!$B$6-AC2545)</x:f>
        <x:v>966.744989326854</x:v>
      </x:c>
      <x:c r="Y2545" s="80" t="n">
        <x:f>2*V2545</x:f>
        <x:v>357.4145823431026</x:v>
      </x:c>
      <x:c r="Z2545" s="80" t="n">
        <x:f>K2545*'Inputs'!$B$16+(G2545+R2545)*J2545*'Inputs'!$B$16</x:f>
        <x:v>2.152982690240249</x:v>
      </x:c>
      <x:c r="AA2545" s="80" t="n">
        <x:f>K2545*(1+'Inputs'!$E$50)/2*'Inputs'!$B$17</x:f>
        <x:v>0.7210352034198001</x:v>
      </x:c>
      <x:c r="AB2545" s="78" t="n">
        <x:f>(IF(J2545&gt;0,K2545*(1-'Inputs'!$E$50)/2/J2545,0)+G2545+R2545)*'Inputs'!$B$17</x:f>
        <x:v>656257.5621087283</x:v>
      </x:c>
      <x:c r="AC2545" s="78" t="n">
        <x:f>AC2544+AB2545</x:f>
        <x:v>117802664.48026258</x:v>
      </x:c>
      <x:c r="AD2545" s="80" t="n">
        <x:f>Z2545/(1+'Inputs'!$C$50)</x:f>
        <x:v>1.0764913451201246</x:v>
      </x:c>
      <x:c r="AE2545" s="80" t="n">
        <x:f>Z2545-AD2545</x:f>
        <x:v>1.0764913451201246</x:v>
      </x:c>
      <x:c r="AF2545" s="80" t="n">
        <x:f>D2545*W2545</x:f>
        <x:v>0.280711729525003</x:v>
      </x:c>
      <x:c r="AG2545" s="80" t="n">
        <x:f>C2545*W2545</x:f>
        <x:v>0.6549940355582967</x:v>
      </x:c>
      <x:c r="AH2545" s="80" t="n">
        <x:f>2*'Inputs'!$B$8*'Inputs'!$C$50</x:f>
        <x:v>5000</x:v>
      </x:c>
      <x:c r="AI2545" s="81" t="n">
        <x:f>IF(AH2545&gt;0,(AE2545+AF2545)/AH2545*365,0)</x:f>
        <x:v>0.09907582444909431</x:v>
      </x:c>
      <x:c r="AJ2545" s="81" t="n">
        <x:f>IF('Inputs'!$B$50&gt;0,AG2545/('Inputs'!$B$19*'Inputs'!$B$50)*365,0)</x:f>
        <x:v>0.02390728229787783</x:v>
      </x:c>
      <x:c r="AK2545" s="81" t="n">
        <x:f>W2545/MAX($W$2194:W2545)-1</x:f>
        <x:v>-0.9986997424078616</x:v>
      </x:c>
      <x:c r="AL2545" s="83" t="n">
        <x:f>'Inputs'!$B$50</x:f>
        <x:v>1</x:v>
      </x:c>
      <x:c r="AM2545" s="83" t="n">
        <x:f>'Inputs'!$C$50</x:f>
        <x:v>1</x:v>
      </x:c>
      <x:c r="AN2545" s="83" t="n">
        <x:f>'Inputs'!$D$50</x:f>
        <x:v>1</x:v>
      </x:c>
      <x:c r="AO2545" s="81" t="n">
        <x:f>'Inputs'!$E$50</x:f>
        <x:v>0</x:v>
      </x:c>
    </x:row>
    <x:row r="2546">
      <x:c r="A2546" s="59" t="str">
        <x:v>Whale exit</x:v>
      </x:c>
      <x:c r="B2546" s="59" t="n">
        <x:v>353</x:v>
      </x:c>
      <x:c r="C2546" s="78" t="n">
        <x:f>(('Inputs'!$B$29*(3*353*'Inputs'!$B$12-353^2)/(2*'Inputs'!$B$12^2))-('Inputs'!$B$29*(3*352*'Inputs'!$B$12-352^2)/(2*'Inputs'!$B$12^2)))*'Inputs'!$B$50</x:f>
        <x:v>597385.7665603459</x:v>
      </x:c>
      <x:c r="D2546" s="78" t="n">
        <x:f>IF('Inputs'!$C$50&gt;0,('Inputs'!$B$30*(3*353*'Inputs'!$B$12-353^2)/(2*'Inputs'!$B$12^2))-('Inputs'!$B$30*(3*352*'Inputs'!$B$12-352^2)/(2*'Inputs'!$B$12^2)),0)</x:f>
        <x:v>256022.47138299048</x:v>
      </x:c>
      <x:c r="E2546" s="78" t="n">
        <x:f>C2546+D2546</x:f>
        <x:v>853408.2379433364</x:v>
      </x:c>
      <x:c r="F2546" s="78" t="n">
        <x:f>'Inputs'!$B$13*E2546+(1-'Inputs'!$B$13)/'Inputs'!$B$14*SUM(E2491:E2546)</x:f>
        <x:v>863625.9148057816</x:v>
      </x:c>
      <x:c r="G2546" s="78" t="n">
        <x:f>F2546*'Inputs'!$F$50</x:f>
        <x:v>431812.9574028908</x:v>
      </x:c>
      <x:c r="H2546" s="78" t="n">
        <x:f>U2545</x:f>
        <x:v>163078265.57163534</x:v>
      </x:c>
      <x:c r="I2546" s="78" t="n">
        <x:f>V2545</x:f>
        <x:v>178.7072911715513</x:v>
      </x:c>
      <x:c r="J2546" s="79" t="n">
        <x:f>IF(H2546&gt;0,I2546/H2546,0)</x:f>
        <x:v>0.0000010958375755661358</x:v>
      </x:c>
      <x:c r="K2546" s="80" t="n">
        <x:f>(H2546*J2546+I2546)*'Inputs'!$D$50*(1+'Inputs'!$G$50)^(B2546/30)</x:f>
        <x:v>357.4145823431026</x:v>
      </x:c>
      <x:c r="L2546" s="80" t="n">
        <x:f>MAX(0,K2546*'Inputs'!$E$50)</x:f>
        <x:v>0</x:v>
      </x:c>
      <x:c r="M2546" s="80" t="n">
        <x:f>MAX(0,-K2546*'Inputs'!$E$50)</x:f>
        <x:v>0</x:v>
      </x:c>
      <x:c r="N2546" s="78" t="n">
        <x:f>H2546*(L2546*(1-'Inputs'!$B$15))/(I2546+L2546*(1-'Inputs'!$B$15))</x:f>
        <x:v>0</x:v>
      </x:c>
      <x:c r="O2546" s="78" t="n">
        <x:f>H2546-N2546</x:f>
        <x:v>163078265.57163534</x:v>
      </x:c>
      <x:c r="P2546" s="78" t="n">
        <x:f>I2546+L2546*(1-'Inputs'!$B$17)</x:f>
        <x:v>178.7072911715513</x:v>
      </x:c>
      <x:c r="Q2546" s="78" t="n">
        <x:f>IF(J2546&gt;0,M2546/J2546,0)</x:f>
        <x:v>0</x:v>
      </x:c>
      <x:c r="R2546" s="78" t="n">
        <x:f>IF(B2546='Inputs'!$H$50,'Inputs'!$B$27*'Inputs'!$I$50,0)</x:f>
        <x:v>0</x:v>
      </x:c>
      <x:c r="S2546" s="78" t="n">
        <x:f>Q2546+G2546+R2546</x:f>
        <x:v>431812.9574028908</x:v>
      </x:c>
      <x:c r="T2546" s="78" t="n">
        <x:f>P2546*(S2546*(1-'Inputs'!$B$15))/(O2546+S2546*(1-'Inputs'!$B$15))</x:f>
        <x:v>0.46724006838963317</x:v>
      </x:c>
      <x:c r="U2546" s="78" t="n">
        <x:f>O2546+S2546*(1-'Inputs'!$B$17)</x:f>
        <x:v>163508340.85114124</x:v>
      </x:c>
      <x:c r="V2546" s="78" t="n">
        <x:f>P2546-T2546</x:f>
        <x:v>178.24005110316168</x:v>
      </x:c>
      <x:c r="W2546" s="79" t="n">
        <x:f>IF(U2546&gt;0,V2546/U2546,0)</x:f>
        <x:v>0.0000010900976071026998</x:v>
      </x:c>
      <x:c r="X2546" s="80" t="n">
        <x:f>W2546*('Inputs'!$B$6-AC2546)</x:f>
        <x:v>960.9639330326177</x:v>
      </x:c>
      <x:c r="Y2546" s="80" t="n">
        <x:f>2*V2546</x:f>
        <x:v>356.48010220632335</x:v>
      </x:c>
      <x:c r="Z2546" s="80" t="n">
        <x:f>K2546*'Inputs'!$B$16+(G2546+R2546)*J2546*'Inputs'!$B$16</x:f>
        <x:v>2.147326675244646</x:v>
      </x:c>
      <x:c r="AA2546" s="80" t="n">
        <x:f>K2546*(1+'Inputs'!$E$50)/2*'Inputs'!$B$17</x:f>
        <x:v>0.7191440288593615</x:v>
      </x:c>
      <x:c r="AB2546" s="78" t="n">
        <x:f>(IF(J2546&gt;0,K2546*(1-'Inputs'!$E$50)/2/J2546,0)+G2546+R2546)*'Inputs'!$B$17</x:f>
        <x:v>657988.2435776186</x:v>
      </x:c>
      <x:c r="AC2546" s="78" t="n">
        <x:f>AC2545+AB2546</x:f>
        <x:v>118460652.72384019</x:v>
      </x:c>
      <x:c r="AD2546" s="80" t="n">
        <x:f>Z2546/(1+'Inputs'!$C$50)</x:f>
        <x:v>1.073663337622323</x:v>
      </x:c>
      <x:c r="AE2546" s="80" t="n">
        <x:f>Z2546-AD2546</x:f>
        <x:v>1.073663337622323</x:v>
      </x:c>
      <x:c r="AF2546" s="80" t="n">
        <x:f>D2546*W2546</x:f>
        <x:v>0.2790894834191174</x:v>
      </x:c>
      <x:c r="AG2546" s="80" t="n">
        <x:f>C2546*W2546</x:f>
        <x:v>0.6512087946446451</x:v>
      </x:c>
      <x:c r="AH2546" s="80" t="n">
        <x:f>2*'Inputs'!$B$8*'Inputs'!$C$50</x:f>
        <x:v>5000</x:v>
      </x:c>
      <x:c r="AI2546" s="81" t="n">
        <x:f>IF(AH2546&gt;0,(AE2546+AF2546)/AH2546*365,0)</x:f>
        <x:v>0.09875095593602513</x:v>
      </x:c>
      <x:c r="AJ2546" s="81" t="n">
        <x:f>IF('Inputs'!$B$50&gt;0,AG2546/('Inputs'!$B$19*'Inputs'!$B$50)*365,0)</x:f>
        <x:v>0.023769121004529548</x:v>
      </x:c>
      <x:c r="AK2546" s="81" t="n">
        <x:f>W2546/MAX($W$2194:W2546)-1</x:f>
        <x:v>-0.9987065531230075</x:v>
      </x:c>
      <x:c r="AL2546" s="83" t="n">
        <x:f>'Inputs'!$B$50</x:f>
        <x:v>1</x:v>
      </x:c>
      <x:c r="AM2546" s="83" t="n">
        <x:f>'Inputs'!$C$50</x:f>
        <x:v>1</x:v>
      </x:c>
      <x:c r="AN2546" s="83" t="n">
        <x:f>'Inputs'!$D$50</x:f>
        <x:v>1</x:v>
      </x:c>
      <x:c r="AO2546" s="81" t="n">
        <x:f>'Inputs'!$E$50</x:f>
        <x:v>0</x:v>
      </x:c>
    </x:row>
    <x:row r="2547">
      <x:c r="A2547" s="59" t="str">
        <x:v>Whale exit</x:v>
      </x:c>
      <x:c r="B2547" s="59" t="n">
        <x:v>354</x:v>
      </x:c>
      <x:c r="C2547" s="78" t="n">
        <x:f>(('Inputs'!$B$29*(3*354*'Inputs'!$B$12-354^2)/(2*'Inputs'!$B$12^2))-('Inputs'!$B$29*(3*353*'Inputs'!$B$12-353^2)/(2*'Inputs'!$B$12^2)))*'Inputs'!$B$50</x:f>
        <x:v>597060.6586601734</x:v>
      </x:c>
      <x:c r="D2547" s="78" t="n">
        <x:f>IF('Inputs'!$C$50&gt;0,('Inputs'!$B$30*(3*354*'Inputs'!$B$12-354^2)/(2*'Inputs'!$B$12^2))-('Inputs'!$B$30*(3*353*'Inputs'!$B$12-353^2)/(2*'Inputs'!$B$12^2)),0)</x:f>
        <x:v>255883.13942578435</x:v>
      </x:c>
      <x:c r="E2547" s="78" t="n">
        <x:f>C2547+D2547</x:f>
        <x:v>852943.7980859578</x:v>
      </x:c>
      <x:c r="F2547" s="78" t="n">
        <x:f>'Inputs'!$B$13*E2547+(1-'Inputs'!$B$13)/'Inputs'!$B$14*SUM(E2492:E2547)</x:f>
        <x:v>863161.4749483985</x:v>
      </x:c>
      <x:c r="G2547" s="78" t="n">
        <x:f>F2547*'Inputs'!$F$50</x:f>
        <x:v>431580.73747419927</x:v>
      </x:c>
      <x:c r="H2547" s="78" t="n">
        <x:f>U2546</x:f>
        <x:v>163508340.85114124</x:v>
      </x:c>
      <x:c r="I2547" s="78" t="n">
        <x:f>V2546</x:f>
        <x:v>178.24005110316168</x:v>
      </x:c>
      <x:c r="J2547" s="79" t="n">
        <x:f>IF(H2547&gt;0,I2547/H2547,0)</x:f>
        <x:v>0.0000010900976071026998</x:v>
      </x:c>
      <x:c r="K2547" s="80" t="n">
        <x:f>(H2547*J2547+I2547)*'Inputs'!$D$50*(1+'Inputs'!$G$50)^(B2547/30)</x:f>
        <x:v>356.4801022063234</x:v>
      </x:c>
      <x:c r="L2547" s="80" t="n">
        <x:f>MAX(0,K2547*'Inputs'!$E$50)</x:f>
        <x:v>0</x:v>
      </x:c>
      <x:c r="M2547" s="80" t="n">
        <x:f>MAX(0,-K2547*'Inputs'!$E$50)</x:f>
        <x:v>0</x:v>
      </x:c>
      <x:c r="N2547" s="78" t="n">
        <x:f>H2547*(L2547*(1-'Inputs'!$B$15))/(I2547+L2547*(1-'Inputs'!$B$15))</x:f>
        <x:v>0</x:v>
      </x:c>
      <x:c r="O2547" s="78" t="n">
        <x:f>H2547-N2547</x:f>
        <x:v>163508340.85114124</x:v>
      </x:c>
      <x:c r="P2547" s="78" t="n">
        <x:f>I2547+L2547*(1-'Inputs'!$B$17)</x:f>
        <x:v>178.24005110316168</x:v>
      </x:c>
      <x:c r="Q2547" s="78" t="n">
        <x:f>IF(J2547&gt;0,M2547/J2547,0)</x:f>
        <x:v>0</x:v>
      </x:c>
      <x:c r="R2547" s="78" t="n">
        <x:f>IF(B2547='Inputs'!$H$50,'Inputs'!$B$27*'Inputs'!$I$50,0)</x:f>
        <x:v>0</x:v>
      </x:c>
      <x:c r="S2547" s="78" t="n">
        <x:f>Q2547+G2547+R2547</x:f>
        <x:v>431580.73747419927</x:v>
      </x:c>
      <x:c r="T2547" s="78" t="n">
        <x:f>P2547*(S2547*(1-'Inputs'!$B$15))/(O2547+S2547*(1-'Inputs'!$B$15))</x:f>
        <x:v>0.4645465676147252</x:v>
      </x:c>
      <x:c r="U2547" s="78" t="n">
        <x:f>O2547+S2547*(1-'Inputs'!$B$17)</x:f>
        <x:v>163938184.8452051</x:v>
      </x:c>
      <x:c r="V2547" s="78" t="n">
        <x:f>P2547-T2547</x:f>
        <x:v>177.77550453554696</x:v>
      </x:c>
      <x:c r="W2547" s="79" t="n">
        <x:f>IF(U2547&gt;0,V2547/U2547,0)</x:f>
        <x:v>0.0000010844057148943513</x:v>
      </x:c>
      <x:c r="X2547" s="80" t="n">
        <x:f>W2547*('Inputs'!$B$6-AC2547)</x:f>
        <x:v>955.2309041272442</x:v>
      </x:c>
      <x:c r="Y2547" s="80" t="n">
        <x:f>2*V2547</x:f>
        <x:v>355.5510090710939</x:v>
      </x:c>
      <x:c r="Z2547" s="80" t="n">
        <x:f>K2547*'Inputs'!$B$16+(G2547+R2547)*J2547*'Inputs'!$B$16</x:f>
        <x:v>2.141703404013094</x:v>
      </x:c>
      <x:c r="AA2547" s="80" t="n">
        <x:f>K2547*(1+'Inputs'!$E$50)/2*'Inputs'!$B$17</x:f>
        <x:v>0.7172637871354597</x:v>
      </x:c>
      <x:c r="AB2547" s="78" t="n">
        <x:f>(IF(J2547&gt;0,K2547*(1-'Inputs'!$E$50)/2/J2547,0)+G2547+R2547)*'Inputs'!$B$17</x:f>
        <x:v>659717.9943203841</x:v>
      </x:c>
      <x:c r="AC2547" s="78" t="n">
        <x:f>AC2546+AB2547</x:f>
        <x:v>119120370.71816057</x:v>
      </x:c>
      <x:c r="AD2547" s="80" t="n">
        <x:f>Z2547/(1+'Inputs'!$C$50)</x:f>
        <x:v>1.070851702006547</x:v>
      </x:c>
      <x:c r="AE2547" s="80" t="n">
        <x:f>Z2547-AD2547</x:f>
        <x:v>1.070851702006547</x:v>
      </x:c>
      <x:c r="AF2547" s="80" t="n">
        <x:f>D2547*W2547</x:f>
        <x:v>0.27748113873842867</x:v>
      </x:c>
      <x:c r="AG2547" s="80" t="n">
        <x:f>C2547*W2547</x:f>
        <x:v>0.6474559903896776</x:v>
      </x:c>
      <x:c r="AH2547" s="80" t="n">
        <x:f>2*'Inputs'!$B$8*'Inputs'!$C$50</x:f>
        <x:v>5000</x:v>
      </x:c>
      <x:c r="AI2547" s="81" t="n">
        <x:f>IF(AH2547&gt;0,(AE2547+AF2547)/AH2547*365,0)</x:f>
        <x:v>0.0984282973743832</x:v>
      </x:c>
      <x:c r="AJ2547" s="81" t="n">
        <x:f>IF('Inputs'!$B$50&gt;0,AG2547/('Inputs'!$B$19*'Inputs'!$B$50)*365,0)</x:f>
        <x:v>0.023632143649223235</x:v>
      </x:c>
      <x:c r="AK2547" s="81" t="n">
        <x:f>W2547/MAX($W$2194:W2547)-1</x:f>
        <x:v>-0.9987133067936449</x:v>
      </x:c>
      <x:c r="AL2547" s="83" t="n">
        <x:f>'Inputs'!$B$50</x:f>
        <x:v>1</x:v>
      </x:c>
      <x:c r="AM2547" s="83" t="n">
        <x:f>'Inputs'!$C$50</x:f>
        <x:v>1</x:v>
      </x:c>
      <x:c r="AN2547" s="83" t="n">
        <x:f>'Inputs'!$D$50</x:f>
        <x:v>1</x:v>
      </x:c>
      <x:c r="AO2547" s="81" t="n">
        <x:f>'Inputs'!$E$50</x:f>
        <x:v>0</x:v>
      </x:c>
    </x:row>
    <x:row r="2548">
      <x:c r="A2548" s="59" t="str">
        <x:v>Whale exit</x:v>
      </x:c>
      <x:c r="B2548" s="59" t="n">
        <x:v>355</x:v>
      </x:c>
      <x:c r="C2548" s="78" t="n">
        <x:f>(('Inputs'!$B$29*(3*355*'Inputs'!$B$12-355^2)/(2*'Inputs'!$B$12^2))-('Inputs'!$B$29*(3*354*'Inputs'!$B$12-354^2)/(2*'Inputs'!$B$12^2)))*'Inputs'!$B$50</x:f>
        <x:v>596735.5507599711</x:v>
      </x:c>
      <x:c r="D2548" s="78" t="n">
        <x:f>IF('Inputs'!$C$50&gt;0,('Inputs'!$B$30*(3*355*'Inputs'!$B$12-355^2)/(2*'Inputs'!$B$12^2))-('Inputs'!$B$30*(3*354*'Inputs'!$B$12-354^2)/(2*'Inputs'!$B$12^2)),0)</x:f>
        <x:v>255743.80746856332</x:v>
      </x:c>
      <x:c r="E2548" s="78" t="n">
        <x:f>C2548+D2548</x:f>
        <x:v>852479.3582285345</x:v>
      </x:c>
      <x:c r="F2548" s="78" t="n">
        <x:f>'Inputs'!$B$13*E2548+(1-'Inputs'!$B$13)/'Inputs'!$B$14*SUM(E2493:E2548)</x:f>
        <x:v>862697.0350910062</x:v>
      </x:c>
      <x:c r="G2548" s="78" t="n">
        <x:f>F2548*'Inputs'!$F$50</x:f>
        <x:v>431348.5175455031</x:v>
      </x:c>
      <x:c r="H2548" s="78" t="n">
        <x:f>U2547</x:f>
        <x:v>163938184.8452051</x:v>
      </x:c>
      <x:c r="I2548" s="78" t="n">
        <x:f>V2547</x:f>
        <x:v>177.77550453554696</x:v>
      </x:c>
      <x:c r="J2548" s="79" t="n">
        <x:f>IF(H2548&gt;0,I2548/H2548,0)</x:f>
        <x:v>0.0000010844057148943513</x:v>
      </x:c>
      <x:c r="K2548" s="80" t="n">
        <x:f>(H2548*J2548+I2548)*'Inputs'!$D$50*(1+'Inputs'!$G$50)^(B2548/30)</x:f>
        <x:v>355.55100907109386</x:v>
      </x:c>
      <x:c r="L2548" s="80" t="n">
        <x:f>MAX(0,K2548*'Inputs'!$E$50)</x:f>
        <x:v>0</x:v>
      </x:c>
      <x:c r="M2548" s="80" t="n">
        <x:f>MAX(0,-K2548*'Inputs'!$E$50)</x:f>
        <x:v>0</x:v>
      </x:c>
      <x:c r="N2548" s="78" t="n">
        <x:f>H2548*(L2548*(1-'Inputs'!$B$15))/(I2548+L2548*(1-'Inputs'!$B$15))</x:f>
        <x:v>0</x:v>
      </x:c>
      <x:c r="O2548" s="78" t="n">
        <x:f>H2548-N2548</x:f>
        <x:v>163938184.8452051</x:v>
      </x:c>
      <x:c r="P2548" s="78" t="n">
        <x:f>I2548+L2548*(1-'Inputs'!$B$17)</x:f>
        <x:v>177.77550453554696</x:v>
      </x:c>
      <x:c r="Q2548" s="78" t="n">
        <x:f>IF(J2548&gt;0,M2548/J2548,0)</x:f>
        <x:v>0</x:v>
      </x:c>
      <x:c r="R2548" s="78" t="n">
        <x:f>IF(B2548='Inputs'!$H$50,'Inputs'!$B$27*'Inputs'!$I$50,0)</x:f>
        <x:v>0</x:v>
      </x:c>
      <x:c r="S2548" s="78" t="n">
        <x:f>Q2548+G2548+R2548</x:f>
        <x:v>431348.5175455031</x:v>
      </x:c>
      <x:c r="T2548" s="78" t="n">
        <x:f>P2548*(S2548*(1-'Inputs'!$B$15))/(O2548+S2548*(1-'Inputs'!$B$15))</x:f>
        <x:v>0.46187610974197607</x:v>
      </x:c>
      <x:c r="U2548" s="78" t="n">
        <x:f>O2548+S2548*(1-'Inputs'!$B$17)</x:f>
        <x:v>164367797.55382687</x:v>
      </x:c>
      <x:c r="V2548" s="78" t="n">
        <x:f>P2548-T2548</x:f>
        <x:v>177.31362842580498</x:v>
      </x:c>
      <x:c r="W2548" s="79" t="n">
        <x:f>IF(U2548&gt;0,V2548/U2548,0)</x:f>
        <x:v>0.0000010787613575447382</x:v>
      </x:c>
      <x:c r="X2548" s="80" t="n">
        <x:f>W2548*('Inputs'!$B$6-AC2548)</x:f>
        <x:v>949.5453614542049</x:v>
      </x:c>
      <x:c r="Y2548" s="80" t="n">
        <x:f>2*V2548</x:f>
        <x:v>354.62725685160996</x:v>
      </x:c>
      <x:c r="Z2548" s="80" t="n">
        <x:f>K2548*'Inputs'!$B$16+(G2548+R2548)*J2548*'Inputs'!$B$16</x:f>
        <x:v>2.1361125952117885</x:v>
      </x:c>
      <x:c r="AA2548" s="80" t="n">
        <x:f>K2548*(1+'Inputs'!$E$50)/2*'Inputs'!$B$17</x:f>
        <x:v>0.715394384448881</x:v>
      </x:c>
      <x:c r="AB2548" s="78" t="n">
        <x:f>(IF(J2548&gt;0,K2548*(1-'Inputs'!$E$50)/2/J2548,0)+G2548+R2548)*'Inputs'!$B$17</x:f>
        <x:v>661446.8143370246</x:v>
      </x:c>
      <x:c r="AC2548" s="78" t="n">
        <x:f>AC2547+AB2548</x:f>
        <x:v>119781817.5324976</x:v>
      </x:c>
      <x:c r="AD2548" s="80" t="n">
        <x:f>Z2548/(1+'Inputs'!$C$50)</x:f>
        <x:v>1.0680562976058943</x:v>
      </x:c>
      <x:c r="AE2548" s="80" t="n">
        <x:f>Z2548-AD2548</x:f>
        <x:v>1.0680562976058943</x:v>
      </x:c>
      <x:c r="AF2548" s="80" t="n">
        <x:f>D2548*W2548</x:f>
        <x:v>0.2758865369284475</x:v>
      </x:c>
      <x:c r="AG2548" s="80" t="n">
        <x:f>C2548*W2548</x:f>
        <x:v>0.6437352528330335</x:v>
      </x:c>
      <x:c r="AH2548" s="80" t="n">
        <x:f>2*'Inputs'!$B$8*'Inputs'!$C$50</x:f>
        <x:v>5000</x:v>
      </x:c>
      <x:c r="AI2548" s="81" t="n">
        <x:f>IF(AH2548&gt;0,(AE2548+AF2548)/AH2548*365,0)</x:f>
        <x:v>0.09810782692100695</x:v>
      </x:c>
      <x:c r="AJ2548" s="81" t="n">
        <x:f>IF('Inputs'!$B$50&gt;0,AG2548/('Inputs'!$B$19*'Inputs'!$B$50)*365,0)</x:f>
        <x:v>0.02349633672840572</x:v>
      </x:c>
      <x:c r="AK2548" s="81" t="n">
        <x:f>W2548/MAX($W$2194:W2548)-1</x:f>
        <x:v>-0.9987200040621638</x:v>
      </x:c>
      <x:c r="AL2548" s="83" t="n">
        <x:f>'Inputs'!$B$50</x:f>
        <x:v>1</x:v>
      </x:c>
      <x:c r="AM2548" s="83" t="n">
        <x:f>'Inputs'!$C$50</x:f>
        <x:v>1</x:v>
      </x:c>
      <x:c r="AN2548" s="83" t="n">
        <x:f>'Inputs'!$D$50</x:f>
        <x:v>1</x:v>
      </x:c>
      <x:c r="AO2548" s="81" t="n">
        <x:f>'Inputs'!$E$50</x:f>
        <x:v>0</x:v>
      </x:c>
    </x:row>
    <x:row r="2549">
      <x:c r="A2549" s="59" t="str">
        <x:v>Whale exit</x:v>
      </x:c>
      <x:c r="B2549" s="59" t="n">
        <x:v>356</x:v>
      </x:c>
      <x:c r="C2549" s="78" t="n">
        <x:f>(('Inputs'!$B$29*(3*356*'Inputs'!$B$12-356^2)/(2*'Inputs'!$B$12^2))-('Inputs'!$B$29*(3*355*'Inputs'!$B$12-355^2)/(2*'Inputs'!$B$12^2)))*'Inputs'!$B$50</x:f>
        <x:v>596410.4428598285</x:v>
      </x:c>
      <x:c r="D2549" s="78" t="n">
        <x:f>IF('Inputs'!$C$50&gt;0,('Inputs'!$B$30*(3*356*'Inputs'!$B$12-356^2)/(2*'Inputs'!$B$12^2))-('Inputs'!$B$30*(3*355*'Inputs'!$B$12-355^2)/(2*'Inputs'!$B$12^2)),0)</x:f>
        <x:v>255604.4755113572</x:v>
      </x:c>
      <x:c r="E2549" s="78" t="n">
        <x:f>C2549+D2549</x:f>
        <x:v>852014.9183711857</x:v>
      </x:c>
      <x:c r="F2549" s="78" t="n">
        <x:f>'Inputs'!$B$13*E2549+(1-'Inputs'!$B$13)/'Inputs'!$B$14*SUM(E2494:E2549)</x:f>
        <x:v>862232.5952336293</x:v>
      </x:c>
      <x:c r="G2549" s="78" t="n">
        <x:f>F2549*'Inputs'!$F$50</x:f>
        <x:v>431116.29761681467</x:v>
      </x:c>
      <x:c r="H2549" s="78" t="n">
        <x:f>U2548</x:f>
        <x:v>164367797.55382687</x:v>
      </x:c>
      <x:c r="I2549" s="78" t="n">
        <x:f>V2548</x:f>
        <x:v>177.31362842580498</x:v>
      </x:c>
      <x:c r="J2549" s="79" t="n">
        <x:f>IF(H2549&gt;0,I2549/H2549,0)</x:f>
        <x:v>0.0000010787613575447382</x:v>
      </x:c>
      <x:c r="K2549" s="80" t="n">
        <x:f>(H2549*J2549+I2549)*'Inputs'!$D$50*(1+'Inputs'!$G$50)^(B2549/30)</x:f>
        <x:v>354.62725685160996</x:v>
      </x:c>
      <x:c r="L2549" s="80" t="n">
        <x:f>MAX(0,K2549*'Inputs'!$E$50)</x:f>
        <x:v>0</x:v>
      </x:c>
      <x:c r="M2549" s="80" t="n">
        <x:f>MAX(0,-K2549*'Inputs'!$E$50)</x:f>
        <x:v>0</x:v>
      </x:c>
      <x:c r="N2549" s="78" t="n">
        <x:f>H2549*(L2549*(1-'Inputs'!$B$15))/(I2549+L2549*(1-'Inputs'!$B$15))</x:f>
        <x:v>0</x:v>
      </x:c>
      <x:c r="O2549" s="78" t="n">
        <x:f>H2549-N2549</x:f>
        <x:v>164367797.55382687</x:v>
      </x:c>
      <x:c r="P2549" s="78" t="n">
        <x:f>I2549+L2549*(1-'Inputs'!$B$17)</x:f>
        <x:v>177.31362842580498</x:v>
      </x:c>
      <x:c r="Q2549" s="78" t="n">
        <x:f>IF(J2549&gt;0,M2549/J2549,0)</x:f>
        <x:v>0</x:v>
      </x:c>
      <x:c r="R2549" s="78" t="n">
        <x:f>IF(B2549='Inputs'!$H$50,'Inputs'!$B$27*'Inputs'!$I$50,0)</x:f>
        <x:v>0</x:v>
      </x:c>
      <x:c r="S2549" s="78" t="n">
        <x:f>Q2549+G2549+R2549</x:f>
        <x:v>431116.29761681467</x:v>
      </x:c>
      <x:c r="T2549" s="78" t="n">
        <x:f>P2549*(S2549*(1-'Inputs'!$B$15))/(O2549+S2549*(1-'Inputs'!$B$15))</x:f>
        <x:v>0.4592284323592918</x:v>
      </x:c>
      <x:c r="U2549" s="78" t="n">
        <x:f>O2549+S2549*(1-'Inputs'!$B$17)</x:f>
        <x:v>164797178.97700658</x:v>
      </x:c>
      <x:c r="V2549" s="78" t="n">
        <x:f>P2549-T2549</x:f>
        <x:v>176.8543999934457</x:v>
      </x:c>
      <x:c r="W2549" s="79" t="n">
        <x:f>IF(U2549&gt;0,V2549/U2549,0)</x:f>
        <x:v>0.0000010731640012971425</x:v>
      </x:c>
      <x:c r="X2549" s="80" t="n">
        <x:f>W2549*('Inputs'!$B$6-AC2549)</x:f>
        <x:v>943.9067714928192</x:v>
      </x:c>
      <x:c r="Y2549" s="80" t="n">
        <x:f>2*V2549</x:f>
        <x:v>353.7087999868914</x:v>
      </x:c>
      <x:c r="Z2549" s="80" t="n">
        <x:f>K2549*'Inputs'!$B$16+(G2549+R2549)*J2549*'Inputs'!$B$16</x:f>
        <x:v>2.1305539707245202</x:v>
      </x:c>
      <x:c r="AA2549" s="80" t="n">
        <x:f>K2549*(1+'Inputs'!$E$50)/2*'Inputs'!$B$17</x:f>
        <x:v>0.7135357280716499</x:v>
      </x:c>
      <x:c r="AB2549" s="78" t="n">
        <x:f>(IF(J2549&gt;0,K2549*(1-'Inputs'!$E$50)/2/J2549,0)+G2549+R2549)*'Inputs'!$B$17</x:f>
        <x:v>663174.70362754</x:v>
      </x:c>
      <x:c r="AC2549" s="78" t="n">
        <x:f>AC2548+AB2549</x:f>
        <x:v>120444992.23612514</x:v>
      </x:c>
      <x:c r="AD2549" s="80" t="n">
        <x:f>Z2549/(1+'Inputs'!$C$50)</x:f>
        <x:v>1.0652769853622601</x:v>
      </x:c>
      <x:c r="AE2549" s="80" t="n">
        <x:f>Z2549-AD2549</x:f>
        <x:v>1.0652769853622601</x:v>
      </x:c>
      <x:c r="AF2549" s="80" t="n">
        <x:f>D2549*W2549</x:f>
        <x:v>0.27430552168922556</x:v>
      </x:c>
      <x:c r="AG2549" s="80" t="n">
        <x:f>C2549*W2549</x:f>
        <x:v>0.6400462172748542</x:v>
      </x:c>
      <x:c r="AH2549" s="80" t="n">
        <x:f>2*'Inputs'!$B$8*'Inputs'!$C$50</x:f>
        <x:v>5000</x:v>
      </x:c>
      <x:c r="AI2549" s="81" t="n">
        <x:f>IF(AH2549&gt;0,(AE2549+AF2549)/AH2549*365,0)</x:f>
        <x:v>0.09778952301475846</x:v>
      </x:c>
      <x:c r="AJ2549" s="81" t="n">
        <x:f>IF('Inputs'!$B$50&gt;0,AG2549/('Inputs'!$B$19*'Inputs'!$B$50)*365,0)</x:f>
        <x:v>0.02336168693053218</x:v>
      </x:c>
      <x:c r="AK2549" s="81" t="n">
        <x:f>W2549/MAX($W$2194:W2549)-1</x:f>
        <x:v>-0.9987266455618888</x:v>
      </x:c>
      <x:c r="AL2549" s="83" t="n">
        <x:f>'Inputs'!$B$50</x:f>
        <x:v>1</x:v>
      </x:c>
      <x:c r="AM2549" s="83" t="n">
        <x:f>'Inputs'!$C$50</x:f>
        <x:v>1</x:v>
      </x:c>
      <x:c r="AN2549" s="83" t="n">
        <x:f>'Inputs'!$D$50</x:f>
        <x:v>1</x:v>
      </x:c>
      <x:c r="AO2549" s="81" t="n">
        <x:f>'Inputs'!$E$50</x:f>
        <x:v>0</x:v>
      </x:c>
    </x:row>
    <x:row r="2550">
      <x:c r="A2550" s="59" t="str">
        <x:v>Whale exit</x:v>
      </x:c>
      <x:c r="B2550" s="59" t="n">
        <x:v>357</x:v>
      </x:c>
      <x:c r="C2550" s="78" t="n">
        <x:f>(('Inputs'!$B$29*(3*357*'Inputs'!$B$12-357^2)/(2*'Inputs'!$B$12^2))-('Inputs'!$B$29*(3*356*'Inputs'!$B$12-356^2)/(2*'Inputs'!$B$12^2)))*'Inputs'!$B$50</x:f>
        <x:v>596085.334959656</x:v>
      </x:c>
      <x:c r="D2550" s="78" t="n">
        <x:f>IF('Inputs'!$C$50&gt;0,('Inputs'!$B$30*(3*357*'Inputs'!$B$12-357^2)/(2*'Inputs'!$B$12^2))-('Inputs'!$B$30*(3*356*'Inputs'!$B$12-356^2)/(2*'Inputs'!$B$12^2)),0)</x:f>
        <x:v>255465.14355413616</x:v>
      </x:c>
      <x:c r="E2550" s="78" t="n">
        <x:f>C2550+D2550</x:f>
        <x:v>851550.4785137922</x:v>
      </x:c>
      <x:c r="F2550" s="78" t="n">
        <x:f>'Inputs'!$B$13*E2550+(1-'Inputs'!$B$13)/'Inputs'!$B$14*SUM(E2495:E2550)</x:f>
        <x:v>861768.1553762429</x:v>
      </x:c>
      <x:c r="G2550" s="78" t="n">
        <x:f>F2550*'Inputs'!$F$50</x:f>
        <x:v>430884.07768812147</x:v>
      </x:c>
      <x:c r="H2550" s="78" t="n">
        <x:f>U2549</x:f>
        <x:v>164797178.97700658</x:v>
      </x:c>
      <x:c r="I2550" s="78" t="n">
        <x:f>V2549</x:f>
        <x:v>176.8543999934457</x:v>
      </x:c>
      <x:c r="J2550" s="79" t="n">
        <x:f>IF(H2550&gt;0,I2550/H2550,0)</x:f>
        <x:v>0.0000010731640012971425</x:v>
      </x:c>
      <x:c r="K2550" s="80" t="n">
        <x:f>(H2550*J2550+I2550)*'Inputs'!$D$50*(1+'Inputs'!$G$50)^(B2550/30)</x:f>
        <x:v>353.70879998689145</x:v>
      </x:c>
      <x:c r="L2550" s="80" t="n">
        <x:f>MAX(0,K2550*'Inputs'!$E$50)</x:f>
        <x:v>0</x:v>
      </x:c>
      <x:c r="M2550" s="80" t="n">
        <x:f>MAX(0,-K2550*'Inputs'!$E$50)</x:f>
        <x:v>0</x:v>
      </x:c>
      <x:c r="N2550" s="78" t="n">
        <x:f>H2550*(L2550*(1-'Inputs'!$B$15))/(I2550+L2550*(1-'Inputs'!$B$15))</x:f>
        <x:v>0</x:v>
      </x:c>
      <x:c r="O2550" s="78" t="n">
        <x:f>H2550-N2550</x:f>
        <x:v>164797178.97700658</x:v>
      </x:c>
      <x:c r="P2550" s="78" t="n">
        <x:f>I2550+L2550*(1-'Inputs'!$B$17)</x:f>
        <x:v>176.8543999934457</x:v>
      </x:c>
      <x:c r="Q2550" s="78" t="n">
        <x:f>IF(J2550&gt;0,M2550/J2550,0)</x:f>
        <x:v>0</x:v>
      </x:c>
      <x:c r="R2550" s="78" t="n">
        <x:f>IF(B2550='Inputs'!$H$50,'Inputs'!$B$27*'Inputs'!$I$50,0)</x:f>
        <x:v>0</x:v>
      </x:c>
      <x:c r="S2550" s="78" t="n">
        <x:f>Q2550+G2550+R2550</x:f>
        <x:v>430884.07768812147</x:v>
      </x:c>
      <x:c r="T2550" s="78" t="n">
        <x:f>P2550*(S2550*(1-'Inputs'!$B$15))/(O2550+S2550*(1-'Inputs'!$B$15))</x:f>
        <x:v>0.45660327678018847</x:v>
      </x:c>
      <x:c r="U2550" s="78" t="n">
        <x:f>O2550+S2550*(1-'Inputs'!$B$17)</x:f>
        <x:v>165226329.11474425</x:v>
      </x:c>
      <x:c r="V2550" s="78" t="n">
        <x:f>P2550-T2550</x:f>
        <x:v>176.3977967166655</x:v>
      </x:c>
      <x:c r="W2550" s="79" t="n">
        <x:f>IF(U2550&gt;0,V2550/U2550,0)</x:f>
        <x:v>0.0000010676131199051396</x:v>
      </x:c>
      <x:c r="X2550" s="80" t="n">
        <x:f>W2550*('Inputs'!$B$6-AC2550)</x:f>
        <x:v>938.3146082289769</x:v>
      </x:c>
      <x:c r="Y2550" s="80" t="n">
        <x:f>2*V2550</x:f>
        <x:v>352.795593433331</x:v>
      </x:c>
      <x:c r="Z2550" s="80" t="n">
        <x:f>K2550*'Inputs'!$B$16+(G2550+R2550)*J2550*'Inputs'!$B$16</x:f>
        <x:v>2.1250272556067906</x:v>
      </x:c>
      <x:c r="AA2550" s="80" t="n">
        <x:f>K2550*(1+'Inputs'!$E$50)/2*'Inputs'!$B$17</x:f>
        <x:v>0.7116877263317736</x:v>
      </x:c>
      <x:c r="AB2550" s="78" t="n">
        <x:f>(IF(J2550&gt;0,K2550*(1-'Inputs'!$E$50)/2/J2550,0)+G2550+R2550)*'Inputs'!$B$17</x:f>
        <x:v>664901.6621919305</x:v>
      </x:c>
      <x:c r="AC2550" s="78" t="n">
        <x:f>AC2549+AB2550</x:f>
        <x:v>121109893.89831707</x:v>
      </x:c>
      <x:c r="AD2550" s="80" t="n">
        <x:f>Z2550/(1+'Inputs'!$C$50)</x:f>
        <x:v>1.0625136278033953</x:v>
      </x:c>
      <x:c r="AE2550" s="80" t="n">
        <x:f>Z2550-AD2550</x:f>
        <x:v>1.0625136278033953</x:v>
      </x:c>
      <x:c r="AF2550" s="80" t="n">
        <x:f>D2550*W2550</x:f>
        <x:v>0.27273793893684567</x:v>
      </x:c>
      <x:c r="AG2550" s="80" t="n">
        <x:f>C2550*W2550</x:f>
        <x:v>0.6363885241859786</x:v>
      </x:c>
      <x:c r="AH2550" s="80" t="n">
        <x:f>2*'Inputs'!$B$8*'Inputs'!$C$50</x:f>
        <x:v>5000</x:v>
      </x:c>
      <x:c r="AI2550" s="81" t="n">
        <x:f>IF(AH2550&gt;0,(AE2550+AF2550)/AH2550*365,0)</x:f>
        <x:v>0.09747336437203759</x:v>
      </x:c>
      <x:c r="AJ2550" s="81" t="n">
        <x:f>IF('Inputs'!$B$50&gt;0,AG2550/('Inputs'!$B$19*'Inputs'!$B$50)*365,0)</x:f>
        <x:v>0.02322818113278822</x:v>
      </x:c>
      <x:c r="AK2550" s="81" t="n">
        <x:f>W2550/MAX($W$2194:W2550)-1</x:f>
        <x:v>-0.9987332319172337</x:v>
      </x:c>
      <x:c r="AL2550" s="83" t="n">
        <x:f>'Inputs'!$B$50</x:f>
        <x:v>1</x:v>
      </x:c>
      <x:c r="AM2550" s="83" t="n">
        <x:f>'Inputs'!$C$50</x:f>
        <x:v>1</x:v>
      </x:c>
      <x:c r="AN2550" s="83" t="n">
        <x:f>'Inputs'!$D$50</x:f>
        <x:v>1</x:v>
      </x:c>
      <x:c r="AO2550" s="81" t="n">
        <x:f>'Inputs'!$E$50</x:f>
        <x:v>0</x:v>
      </x:c>
    </x:row>
    <x:row r="2551">
      <x:c r="A2551" s="59" t="str">
        <x:v>Whale exit</x:v>
      </x:c>
      <x:c r="B2551" s="59" t="n">
        <x:v>358</x:v>
      </x:c>
      <x:c r="C2551" s="78" t="n">
        <x:f>(('Inputs'!$B$29*(3*358*'Inputs'!$B$12-358^2)/(2*'Inputs'!$B$12^2))-('Inputs'!$B$29*(3*357*'Inputs'!$B$12-357^2)/(2*'Inputs'!$B$12^2)))*'Inputs'!$B$50</x:f>
        <x:v>595760.2270594835</x:v>
      </x:c>
      <x:c r="D2551" s="78" t="n">
        <x:f>IF('Inputs'!$C$50&gt;0,('Inputs'!$B$30*(3*358*'Inputs'!$B$12-358^2)/(2*'Inputs'!$B$12^2))-('Inputs'!$B$30*(3*357*'Inputs'!$B$12-357^2)/(2*'Inputs'!$B$12^2)),0)</x:f>
        <x:v>255325.81159693003</x:v>
      </x:c>
      <x:c r="E2551" s="78" t="n">
        <x:f>C2551+D2551</x:f>
        <x:v>851086.0386564136</x:v>
      </x:c>
      <x:c r="F2551" s="78" t="n">
        <x:f>'Inputs'!$B$13*E2551+(1-'Inputs'!$B$13)/'Inputs'!$B$14*SUM(E2496:E2551)</x:f>
        <x:v>861303.7155188601</x:v>
      </x:c>
      <x:c r="G2551" s="78" t="n">
        <x:f>F2551*'Inputs'!$F$50</x:f>
        <x:v>430651.8577594301</x:v>
      </x:c>
      <x:c r="H2551" s="78" t="n">
        <x:f>U2550</x:f>
        <x:v>165226329.11474425</x:v>
      </x:c>
      <x:c r="I2551" s="78" t="n">
        <x:f>V2550</x:f>
        <x:v>176.3977967166655</x:v>
      </x:c>
      <x:c r="J2551" s="79" t="n">
        <x:f>IF(H2551&gt;0,I2551/H2551,0)</x:f>
        <x:v>0.0000010676131199051396</x:v>
      </x:c>
      <x:c r="K2551" s="80" t="n">
        <x:f>(H2551*J2551+I2551)*'Inputs'!$D$50*(1+'Inputs'!$G$50)^(B2551/30)</x:f>
        <x:v>352.795593433331</x:v>
      </x:c>
      <x:c r="L2551" s="80" t="n">
        <x:f>MAX(0,K2551*'Inputs'!$E$50)</x:f>
        <x:v>0</x:v>
      </x:c>
      <x:c r="M2551" s="80" t="n">
        <x:f>MAX(0,-K2551*'Inputs'!$E$50)</x:f>
        <x:v>0</x:v>
      </x:c>
      <x:c r="N2551" s="78" t="n">
        <x:f>H2551*(L2551*(1-'Inputs'!$B$15))/(I2551+L2551*(1-'Inputs'!$B$15))</x:f>
        <x:v>0</x:v>
      </x:c>
      <x:c r="O2551" s="78" t="n">
        <x:f>H2551-N2551</x:f>
        <x:v>165226329.11474425</x:v>
      </x:c>
      <x:c r="P2551" s="78" t="n">
        <x:f>I2551+L2551*(1-'Inputs'!$B$17)</x:f>
        <x:v>176.3977967166655</x:v>
      </x:c>
      <x:c r="Q2551" s="78" t="n">
        <x:f>IF(J2551&gt;0,M2551/J2551,0)</x:f>
        <x:v>0</x:v>
      </x:c>
      <x:c r="R2551" s="78" t="n">
        <x:f>IF(B2551='Inputs'!$H$50,'Inputs'!$B$27*'Inputs'!$I$50,0)</x:f>
        <x:v>0</x:v>
      </x:c>
      <x:c r="S2551" s="78" t="n">
        <x:f>Q2551+G2551+R2551</x:f>
        <x:v>430651.8577594301</x:v>
      </x:c>
      <x:c r="T2551" s="78" t="n">
        <x:f>P2551*(S2551*(1-'Inputs'!$B$15))/(O2551+S2551*(1-'Inputs'!$B$15))</x:f>
        <x:v>0.4540003879805324</x:v>
      </x:c>
      <x:c r="U2551" s="78" t="n">
        <x:f>O2551+S2551*(1-'Inputs'!$B$17)</x:f>
        <x:v>165655247.96703985</x:v>
      </x:c>
      <x:c r="V2551" s="78" t="n">
        <x:f>P2551-T2551</x:f>
        <x:v>175.94379632868498</x:v>
      </x:c>
      <x:c r="W2551" s="79" t="n">
        <x:f>IF(U2551&gt;0,V2551/U2551,0)</x:f>
        <x:v>0.0000010621081945058102</x:v>
      </x:c>
      <x:c r="X2551" s="80" t="n">
        <x:f>W2551*('Inputs'!$B$6-AC2551)</x:f>
        <x:v>932.7683530284128</x:v>
      </x:c>
      <x:c r="Y2551" s="80" t="n">
        <x:f>2*V2551</x:f>
        <x:v>351.88759265736996</x:v>
      </x:c>
      <x:c r="Z2551" s="80" t="n">
        <x:f>K2551*'Inputs'!$B$16+(G2551+R2551)*J2551*'Inputs'!$B$16</x:f>
        <x:v>2.119532178040719</x:v>
      </x:c>
      <x:c r="AA2551" s="80" t="n">
        <x:f>K2551*(1+'Inputs'!$E$50)/2*'Inputs'!$B$17</x:f>
        <x:v>0.7098502885982516</x:v>
      </x:c>
      <x:c r="AB2551" s="78" t="n">
        <x:f>(IF(J2551&gt;0,K2551*(1-'Inputs'!$E$50)/2/J2551,0)+G2551+R2551)*'Inputs'!$B$17</x:f>
        <x:v>666627.6900301959</x:v>
      </x:c>
      <x:c r="AC2551" s="78" t="n">
        <x:f>AC2550+AB2551</x:f>
        <x:v>121776521.58834727</x:v>
      </x:c>
      <x:c r="AD2551" s="80" t="n">
        <x:f>Z2551/(1+'Inputs'!$C$50)</x:f>
        <x:v>1.0597660890203595</x:v>
      </x:c>
      <x:c r="AE2551" s="80" t="n">
        <x:f>Z2551-AD2551</x:f>
        <x:v>1.0597660890203595</x:v>
      </x:c>
      <x:c r="AF2551" s="80" t="n">
        <x:f>D2551*W2551</x:f>
        <x:v>0.27118363676594603</x:v>
      </x:c>
      <x:c r="AG2551" s="80" t="n">
        <x:f>C2551*W2551</x:f>
        <x:v>0.6327618191205195</x:v>
      </x:c>
      <x:c r="AH2551" s="80" t="n">
        <x:f>2*'Inputs'!$B$8*'Inputs'!$C$50</x:f>
        <x:v>5000</x:v>
      </x:c>
      <x:c r="AI2551" s="81" t="n">
        <x:f>IF(AH2551&gt;0,(AE2551+AF2551)/AH2551*365,0)</x:f>
        <x:v>0.0971593299824003</x:v>
      </x:c>
      <x:c r="AJ2551" s="81" t="n">
        <x:f>IF('Inputs'!$B$50&gt;0,AG2551/('Inputs'!$B$19*'Inputs'!$B$50)*365,0)</x:f>
        <x:v>0.023095806397898964</x:v>
      </x:c>
      <x:c r="AK2551" s="81" t="n">
        <x:f>W2551/MAX($W$2194:W2551)-1</x:f>
        <x:v>-0.9987397637438513</x:v>
      </x:c>
      <x:c r="AL2551" s="83" t="n">
        <x:f>'Inputs'!$B$50</x:f>
        <x:v>1</x:v>
      </x:c>
      <x:c r="AM2551" s="83" t="n">
        <x:f>'Inputs'!$C$50</x:f>
        <x:v>1</x:v>
      </x:c>
      <x:c r="AN2551" s="83" t="n">
        <x:f>'Inputs'!$D$50</x:f>
        <x:v>1</x:v>
      </x:c>
      <x:c r="AO2551" s="81" t="n">
        <x:f>'Inputs'!$E$50</x:f>
        <x:v>0</x:v>
      </x:c>
    </x:row>
    <x:row r="2552">
      <x:c r="A2552" s="59" t="str">
        <x:v>Whale exit</x:v>
      </x:c>
      <x:c r="B2552" s="59" t="n">
        <x:v>359</x:v>
      </x:c>
      <x:c r="C2552" s="78" t="n">
        <x:f>(('Inputs'!$B$29*(3*359*'Inputs'!$B$12-359^2)/(2*'Inputs'!$B$12^2))-('Inputs'!$B$29*(3*358*'Inputs'!$B$12-358^2)/(2*'Inputs'!$B$12^2)))*'Inputs'!$B$50</x:f>
        <x:v>595435.119159311</x:v>
      </x:c>
      <x:c r="D2552" s="78" t="n">
        <x:f>IF('Inputs'!$C$50&gt;0,('Inputs'!$B$30*(3*359*'Inputs'!$B$12-359^2)/(2*'Inputs'!$B$12^2))-('Inputs'!$B$30*(3*358*'Inputs'!$B$12-358^2)/(2*'Inputs'!$B$12^2)),0)</x:f>
        <x:v>255186.479639709</x:v>
      </x:c>
      <x:c r="E2552" s="78" t="n">
        <x:f>C2552+D2552</x:f>
        <x:v>850621.59879902</x:v>
      </x:c>
      <x:c r="F2552" s="78" t="n">
        <x:f>'Inputs'!$B$13*E2552+(1-'Inputs'!$B$13)/'Inputs'!$B$14*SUM(E2497:E2552)</x:f>
        <x:v>860839.2756614743</x:v>
      </x:c>
      <x:c r="G2552" s="78" t="n">
        <x:f>F2552*'Inputs'!$F$50</x:f>
        <x:v>430419.63783073716</x:v>
      </x:c>
      <x:c r="H2552" s="78" t="n">
        <x:f>U2551</x:f>
        <x:v>165655247.96703985</x:v>
      </x:c>
      <x:c r="I2552" s="78" t="n">
        <x:f>V2551</x:f>
        <x:v>175.94379632868498</x:v>
      </x:c>
      <x:c r="J2552" s="79" t="n">
        <x:f>IF(H2552&gt;0,I2552/H2552,0)</x:f>
        <x:v>0.0000010621081945058102</x:v>
      </x:c>
      <x:c r="K2552" s="80" t="n">
        <x:f>(H2552*J2552+I2552)*'Inputs'!$D$50*(1+'Inputs'!$G$50)^(B2552/30)</x:f>
        <x:v>351.88759265736996</x:v>
      </x:c>
      <x:c r="L2552" s="80" t="n">
        <x:f>MAX(0,K2552*'Inputs'!$E$50)</x:f>
        <x:v>0</x:v>
      </x:c>
      <x:c r="M2552" s="80" t="n">
        <x:f>MAX(0,-K2552*'Inputs'!$E$50)</x:f>
        <x:v>0</x:v>
      </x:c>
      <x:c r="N2552" s="78" t="n">
        <x:f>H2552*(L2552*(1-'Inputs'!$B$15))/(I2552+L2552*(1-'Inputs'!$B$15))</x:f>
        <x:v>0</x:v>
      </x:c>
      <x:c r="O2552" s="78" t="n">
        <x:f>H2552-N2552</x:f>
        <x:v>165655247.96703985</x:v>
      </x:c>
      <x:c r="P2552" s="78" t="n">
        <x:f>I2552+L2552*(1-'Inputs'!$B$17)</x:f>
        <x:v>175.94379632868498</x:v>
      </x:c>
      <x:c r="Q2552" s="78" t="n">
        <x:f>IF(J2552&gt;0,M2552/J2552,0)</x:f>
        <x:v>0</x:v>
      </x:c>
      <x:c r="R2552" s="78" t="n">
        <x:f>IF(B2552='Inputs'!$H$50,'Inputs'!$B$27*'Inputs'!$I$50,0)</x:f>
        <x:v>0</x:v>
      </x:c>
      <x:c r="S2552" s="78" t="n">
        <x:f>Q2552+G2552+R2552</x:f>
        <x:v>430419.63783073716</x:v>
      </x:c>
      <x:c r="T2552" s="78" t="n">
        <x:f>P2552*(S2552*(1-'Inputs'!$B$15))/(O2552+S2552*(1-'Inputs'!$B$15))</x:f>
        <x:v>0.45141951453645407</x:v>
      </x:c>
      <x:c r="U2552" s="78" t="n">
        <x:f>O2552+S2552*(1-'Inputs'!$B$17)</x:f>
        <x:v>166083935.5338934</x:v>
      </x:c>
      <x:c r="V2552" s="78" t="n">
        <x:f>P2552-T2552</x:f>
        <x:v>175.4923768141485</x:v>
      </x:c>
      <x:c r="W2552" s="79" t="n">
        <x:f>IF(U2552&gt;0,V2552/U2552,0)</x:f>
        <x:v>0.0000010566487134954427</x:v>
      </x:c>
      <x:c r="X2552" s="80" t="n">
        <x:f>W2552*('Inputs'!$B$6-AC2552)</x:f>
        <x:v>927.2674945124705</x:v>
      </x:c>
      <x:c r="Y2552" s="80" t="n">
        <x:f>2*V2552</x:f>
        <x:v>350.984753628297</x:v>
      </x:c>
      <x:c r="Z2552" s="80" t="n">
        <x:f>K2552*'Inputs'!$B$16+(G2552+R2552)*J2552*'Inputs'!$B$16</x:f>
        <x:v>2.1140684692907175</x:v>
      </x:c>
      <x:c r="AA2552" s="80" t="n">
        <x:f>K2552*(1+'Inputs'!$E$50)/2*'Inputs'!$B$17</x:f>
        <x:v>0.708023325266338</x:v>
      </x:c>
      <x:c r="AB2552" s="78" t="n">
        <x:f>(IF(J2552&gt;0,K2552*(1-'Inputs'!$E$50)/2/J2552,0)+G2552+R2552)*'Inputs'!$B$17</x:f>
        <x:v>668352.7871423364</x:v>
      </x:c>
      <x:c r="AC2552" s="78" t="n">
        <x:f>AC2551+AB2552</x:f>
        <x:v>122444874.37548961</x:v>
      </x:c>
      <x:c r="AD2552" s="80" t="n">
        <x:f>Z2552/(1+'Inputs'!$C$50)</x:f>
        <x:v>1.0570342346453587</x:v>
      </x:c>
      <x:c r="AE2552" s="80" t="n">
        <x:f>Z2552-AD2552</x:f>
        <x:v>1.0570342346453587</x:v>
      </x:c>
      <x:c r="AF2552" s="80" t="n">
        <x:f>D2552*W2552</x:f>
        <x:v>0.26964246541272946</x:v>
      </x:c>
      <x:c r="AG2552" s="80" t="n">
        <x:f>C2552*W2552</x:f>
        <x:v>0.6291657526296917</x:v>
      </x:c>
      <x:c r="AH2552" s="80" t="n">
        <x:f>2*'Inputs'!$B$8*'Inputs'!$C$50</x:f>
        <x:v>5000</x:v>
      </x:c>
      <x:c r="AI2552" s="81" t="n">
        <x:f>IF(AH2552&gt;0,(AE2552+AF2552)/AH2552*365,0)</x:f>
        <x:v>0.09684739910424042</x:v>
      </x:c>
      <x:c r="AJ2552" s="81" t="n">
        <x:f>IF('Inputs'!$B$50&gt;0,AG2552/('Inputs'!$B$19*'Inputs'!$B$50)*365,0)</x:f>
        <x:v>0.022964549970983746</x:v>
      </x:c>
      <x:c r="AK2552" s="81" t="n">
        <x:f>W2552/MAX($W$2194:W2552)-1</x:f>
        <x:v>-0.998746241648781</x:v>
      </x:c>
      <x:c r="AL2552" s="83" t="n">
        <x:f>'Inputs'!$B$50</x:f>
        <x:v>1</x:v>
      </x:c>
      <x:c r="AM2552" s="83" t="n">
        <x:f>'Inputs'!$C$50</x:f>
        <x:v>1</x:v>
      </x:c>
      <x:c r="AN2552" s="83" t="n">
        <x:f>'Inputs'!$D$50</x:f>
        <x:v>1</x:v>
      </x:c>
      <x:c r="AO2552" s="81" t="n">
        <x:f>'Inputs'!$E$50</x:f>
        <x:v>0</x:v>
      </x:c>
    </x:row>
    <x:row r="2553">
      <x:c r="A2553" s="59" t="str">
        <x:v>Whale exit</x:v>
      </x:c>
      <x:c r="B2553" s="59" t="n">
        <x:v>360</x:v>
      </x:c>
      <x:c r="C2553" s="78" t="n">
        <x:f>(('Inputs'!$B$29*(3*360*'Inputs'!$B$12-360^2)/(2*'Inputs'!$B$12^2))-('Inputs'!$B$29*(3*359*'Inputs'!$B$12-359^2)/(2*'Inputs'!$B$12^2)))*'Inputs'!$B$50</x:f>
        <x:v>595110.0112591684</x:v>
      </x:c>
      <x:c r="D2553" s="78" t="n">
        <x:f>IF('Inputs'!$C$50&gt;0,('Inputs'!$B$30*(3*360*'Inputs'!$B$12-360^2)/(2*'Inputs'!$B$12^2))-('Inputs'!$B$30*(3*359*'Inputs'!$B$12-359^2)/(2*'Inputs'!$B$12^2)),0)</x:f>
        <x:v>255047.14768248796</x:v>
      </x:c>
      <x:c r="E2553" s="78" t="n">
        <x:f>C2553+D2553</x:f>
        <x:v>850157.1589416564</x:v>
      </x:c>
      <x:c r="F2553" s="78" t="n">
        <x:f>'Inputs'!$B$13*E2553+(1-'Inputs'!$B$13)/'Inputs'!$B$14*SUM(E2498:E2553)</x:f>
        <x:v>860374.8358040944</x:v>
      </x:c>
      <x:c r="G2553" s="78" t="n">
        <x:f>F2553*'Inputs'!$F$50</x:f>
        <x:v>430187.4179020472</x:v>
      </x:c>
      <x:c r="H2553" s="78" t="n">
        <x:f>U2552</x:f>
        <x:v>166083935.5338934</x:v>
      </x:c>
      <x:c r="I2553" s="78" t="n">
        <x:f>V2552</x:f>
        <x:v>175.4923768141485</x:v>
      </x:c>
      <x:c r="J2553" s="79" t="n">
        <x:f>IF(H2553&gt;0,I2553/H2553,0)</x:f>
        <x:v>0.0000010566487134954427</x:v>
      </x:c>
      <x:c r="K2553" s="80" t="n">
        <x:f>(H2553*J2553+I2553)*'Inputs'!$D$50*(1+'Inputs'!$G$50)^(B2553/30)</x:f>
        <x:v>350.984753628297</x:v>
      </x:c>
      <x:c r="L2553" s="80" t="n">
        <x:f>MAX(0,K2553*'Inputs'!$E$50)</x:f>
        <x:v>0</x:v>
      </x:c>
      <x:c r="M2553" s="80" t="n">
        <x:f>MAX(0,-K2553*'Inputs'!$E$50)</x:f>
        <x:v>0</x:v>
      </x:c>
      <x:c r="N2553" s="78" t="n">
        <x:f>H2553*(L2553*(1-'Inputs'!$B$15))/(I2553+L2553*(1-'Inputs'!$B$15))</x:f>
        <x:v>0</x:v>
      </x:c>
      <x:c r="O2553" s="78" t="n">
        <x:f>H2553-N2553</x:f>
        <x:v>166083935.5338934</x:v>
      </x:c>
      <x:c r="P2553" s="78" t="n">
        <x:f>I2553+L2553*(1-'Inputs'!$B$17)</x:f>
        <x:v>175.4923768141485</x:v>
      </x:c>
      <x:c r="Q2553" s="78" t="n">
        <x:f>IF(J2553&gt;0,M2553/J2553,0)</x:f>
        <x:v>0</x:v>
      </x:c>
      <x:c r="R2553" s="78" t="n">
        <x:f>IF(B2553='Inputs'!$H$50,'Inputs'!$B$27*'Inputs'!$I$50,0)</x:f>
        <x:v>0</x:v>
      </x:c>
      <x:c r="S2553" s="78" t="n">
        <x:f>Q2553+G2553+R2553</x:f>
        <x:v>430187.4179020472</x:v>
      </x:c>
      <x:c r="T2553" s="78" t="n">
        <x:f>P2553*(S2553*(1-'Inputs'!$B$15))/(O2553+S2553*(1-'Inputs'!$B$15))</x:f>
        <x:v>0.4488604085635345</x:v>
      </x:c>
      <x:c r="U2553" s="78" t="n">
        <x:f>O2553+S2553*(1-'Inputs'!$B$17)</x:f>
        <x:v>166512391.8153049</x:v>
      </x:c>
      <x:c r="V2553" s="78" t="n">
        <x:f>P2553-T2553</x:f>
        <x:v>175.04351640558497</x:v>
      </x:c>
      <x:c r="W2553" s="79" t="n">
        <x:f>IF(U2553&gt;0,V2553/U2553,0)</x:f>
        <x:v>0.0000010512341724076775</x:v>
      </x:c>
      <x:c r="X2553" s="80" t="n">
        <x:f>W2553*('Inputs'!$B$6-AC2553)</x:f>
        <x:v>921.8115284363057</x:v>
      </x:c>
      <x:c r="Y2553" s="80" t="n">
        <x:f>2*V2553</x:f>
        <x:v>350.08703281116993</x:v>
      </x:c>
      <x:c r="Z2553" s="80" t="n">
        <x:f>K2553*'Inputs'!$B$16+(G2553+R2553)*J2553*'Inputs'!$B$16</x:f>
        <x:v>2.108635863659911</x:v>
      </x:c>
      <x:c r="AA2553" s="80" t="n">
        <x:f>K2553*(1+'Inputs'!$E$50)/2*'Inputs'!$B$17</x:f>
        <x:v>0.7062067477430525</x:v>
      </x:c>
      <x:c r="AB2553" s="78" t="n">
        <x:f>(IF(J2553&gt;0,K2553*(1-'Inputs'!$E$50)/2/J2553,0)+G2553+R2553)*'Inputs'!$B$17</x:f>
        <x:v>670076.953528352</x:v>
      </x:c>
      <x:c r="AC2553" s="78" t="n">
        <x:f>AC2552+AB2553</x:f>
        <x:v>123114951.32901795</x:v>
      </x:c>
      <x:c r="AD2553" s="80" t="n">
        <x:f>Z2553/(1+'Inputs'!$C$50)</x:f>
        <x:v>1.0543179318299556</x:v>
      </x:c>
      <x:c r="AE2553" s="80" t="n">
        <x:f>Z2553-AD2553</x:f>
        <x:v>1.0543179318299556</x:v>
      </x:c>
      <x:c r="AF2553" s="80" t="n">
        <x:f>D2553*W2553</x:f>
        <x:v>0.26811427721893893</x:v>
      </x:c>
      <x:c r="AG2553" s="80" t="n">
        <x:f>C2553*W2553</x:f>
        <x:v>0.6255999801775555</x:v>
      </x:c>
      <x:c r="AH2553" s="80" t="n">
        <x:f>2*'Inputs'!$B$8*'Inputs'!$C$50</x:f>
        <x:v>5000</x:v>
      </x:c>
      <x:c r="AI2553" s="81" t="n">
        <x:f>IF(AH2553&gt;0,(AE2553+AF2553)/AH2553*365,0)</x:f>
        <x:v>0.0965375512605693</x:v>
      </x:c>
      <x:c r="AJ2553" s="81" t="n">
        <x:f>IF('Inputs'!$B$50&gt;0,AG2553/('Inputs'!$B$19*'Inputs'!$B$50)*365,0)</x:f>
        <x:v>0.022834399276480778</x:v>
      </x:c>
      <x:c r="AK2553" s="81" t="n">
        <x:f>W2553/MAX($W$2194:W2553)-1</x:f>
        <x:v>-0.9987526662305933</x:v>
      </x:c>
      <x:c r="AL2553" s="83" t="n">
        <x:f>'Inputs'!$B$50</x:f>
        <x:v>1</x:v>
      </x:c>
      <x:c r="AM2553" s="83" t="n">
        <x:f>'Inputs'!$C$50</x:f>
        <x:v>1</x:v>
      </x:c>
      <x:c r="AN2553" s="83" t="n">
        <x:f>'Inputs'!$D$50</x:f>
        <x:v>1</x:v>
      </x:c>
      <x:c r="AO2553" s="81" t="n">
        <x:f>'Inputs'!$E$50</x:f>
        <x:v>0</x:v>
      </x:c>
    </x:row>
    <x:row r="2554">
      <x:c r="A2554" s="59" t="str">
        <x:v>Whale exit</x:v>
      </x:c>
      <x:c r="B2554" s="59" t="n">
        <x:v>361</x:v>
      </x:c>
      <x:c r="C2554" s="78" t="n">
        <x:f>(('Inputs'!$B$29*(3*361*'Inputs'!$B$12-361^2)/(2*'Inputs'!$B$12^2))-('Inputs'!$B$29*(3*360*'Inputs'!$B$12-360^2)/(2*'Inputs'!$B$12^2)))*'Inputs'!$B$50</x:f>
        <x:v>594784.9033589661</x:v>
      </x:c>
      <x:c r="D2554" s="78" t="n">
        <x:f>IF('Inputs'!$C$50&gt;0,('Inputs'!$B$30*(3*361*'Inputs'!$B$12-361^2)/(2*'Inputs'!$B$12^2))-('Inputs'!$B$30*(3*360*'Inputs'!$B$12-360^2)/(2*'Inputs'!$B$12^2)),0)</x:f>
        <x:v>254907.81572526693</x:v>
      </x:c>
      <x:c r="E2554" s="78" t="n">
        <x:f>C2554+D2554</x:f>
        <x:v>849692.719084233</x:v>
      </x:c>
      <x:c r="F2554" s="78" t="n">
        <x:f>'Inputs'!$B$13*E2554+(1-'Inputs'!$B$13)/'Inputs'!$B$14*SUM(E2499:E2554)</x:f>
        <x:v>859910.395946702</x:v>
      </x:c>
      <x:c r="G2554" s="78" t="n">
        <x:f>F2554*'Inputs'!$F$50</x:f>
        <x:v>429955.197973351</x:v>
      </x:c>
      <x:c r="H2554" s="78" t="n">
        <x:f>U2553</x:f>
        <x:v>166512391.8153049</x:v>
      </x:c>
      <x:c r="I2554" s="78" t="n">
        <x:f>V2553</x:f>
        <x:v>175.04351640558497</x:v>
      </x:c>
      <x:c r="J2554" s="79" t="n">
        <x:f>IF(H2554&gt;0,I2554/H2554,0)</x:f>
        <x:v>0.0000010512341724076775</x:v>
      </x:c>
      <x:c r="K2554" s="80" t="n">
        <x:f>(H2554*J2554+I2554)*'Inputs'!$D$50*(1+'Inputs'!$G$50)^(B2554/30)</x:f>
        <x:v>350.08703281116993</x:v>
      </x:c>
      <x:c r="L2554" s="80" t="n">
        <x:f>MAX(0,K2554*'Inputs'!$E$50)</x:f>
        <x:v>0</x:v>
      </x:c>
      <x:c r="M2554" s="80" t="n">
        <x:f>MAX(0,-K2554*'Inputs'!$E$50)</x:f>
        <x:v>0</x:v>
      </x:c>
      <x:c r="N2554" s="78" t="n">
        <x:f>H2554*(L2554*(1-'Inputs'!$B$15))/(I2554+L2554*(1-'Inputs'!$B$15))</x:f>
        <x:v>0</x:v>
      </x:c>
      <x:c r="O2554" s="78" t="n">
        <x:f>H2554-N2554</x:f>
        <x:v>166512391.8153049</x:v>
      </x:c>
      <x:c r="P2554" s="78" t="n">
        <x:f>I2554+L2554*(1-'Inputs'!$B$17)</x:f>
        <x:v>175.04351640558497</x:v>
      </x:c>
      <x:c r="Q2554" s="78" t="n">
        <x:f>IF(J2554&gt;0,M2554/J2554,0)</x:f>
        <x:v>0</x:v>
      </x:c>
      <x:c r="R2554" s="78" t="n">
        <x:f>IF(B2554='Inputs'!$H$50,'Inputs'!$B$27*'Inputs'!$I$50,0)</x:f>
        <x:v>0</x:v>
      </x:c>
      <x:c r="S2554" s="78" t="n">
        <x:f>Q2554+G2554+R2554</x:f>
        <x:v>429955.197973351</x:v>
      </x:c>
      <x:c r="T2554" s="78" t="n">
        <x:f>P2554*(S2554*(1-'Inputs'!$B$15))/(O2554+S2554*(1-'Inputs'!$B$15))</x:f>
        <x:v>0.4463228256571468</x:v>
      </x:c>
      <x:c r="U2554" s="78" t="n">
        <x:f>O2554+S2554*(1-'Inputs'!$B$17)</x:f>
        <x:v>166940616.81127435</x:v>
      </x:c>
      <x:c r="V2554" s="78" t="n">
        <x:f>P2554-T2554</x:f>
        <x:v>174.59719357992782</x:v>
      </x:c>
      <x:c r="W2554" s="79" t="n">
        <x:f>IF(U2554&gt;0,V2554/U2554,0)</x:f>
        <x:v>0.0000010458640737940318</x:v>
      </x:c>
      <x:c r="X2554" s="80" t="n">
        <x:f>W2554*('Inputs'!$B$6-AC2554)</x:f>
        <x:v>916.3999575694711</x:v>
      </x:c>
      <x:c r="Y2554" s="80" t="n">
        <x:f>2*V2554</x:f>
        <x:v>349.19438715985564</x:v>
      </x:c>
      <x:c r="Z2554" s="80" t="n">
        <x:f>K2554*'Inputs'!$B$16+(G2554+R2554)*J2554*'Inputs'!$B$16</x:f>
        <x:v>2.1032340984473032</x:v>
      </x:c>
      <x:c r="AA2554" s="80" t="n">
        <x:f>K2554*(1+'Inputs'!$E$50)/2*'Inputs'!$B$17</x:f>
        <x:v>0.7044004684329376</x:v>
      </x:c>
      <x:c r="AB2554" s="78" t="n">
        <x:f>(IF(J2554&gt;0,K2554*(1-'Inputs'!$E$50)/2/J2554,0)+G2554+R2554)*'Inputs'!$B$17</x:f>
        <x:v>671800.1891882425</x:v>
      </x:c>
      <x:c r="AC2554" s="78" t="n">
        <x:f>AC2553+AB2554</x:f>
        <x:v>123786751.5182062</x:v>
      </x:c>
      <x:c r="AD2554" s="80" t="n">
        <x:f>Z2554/(1+'Inputs'!$C$50)</x:f>
        <x:v>1.0516170492236516</x:v>
      </x:c>
      <x:c r="AE2554" s="80" t="n">
        <x:f>Z2554-AD2554</x:f>
        <x:v>1.0516170492236516</x:v>
      </x:c>
      <x:c r="AF2554" s="80" t="n">
        <x:f>D2554*W2554</x:f>
        <x:v>0.266598926596366</x:v>
      </x:c>
      <x:c r="AG2554" s="80" t="n">
        <x:f>C2554*W2554</x:f>
        <x:v>0.6220641620581978</x:v>
      </x:c>
      <x:c r="AH2554" s="80" t="n">
        <x:f>2*'Inputs'!$B$8*'Inputs'!$C$50</x:f>
        <x:v>5000</x:v>
      </x:c>
      <x:c r="AI2554" s="81" t="n">
        <x:f>IF(AH2554&gt;0,(AE2554+AF2554)/AH2554*365,0)</x:f>
        <x:v>0.09622976623486129</x:v>
      </x:c>
      <x:c r="AJ2554" s="81" t="n">
        <x:f>IF('Inputs'!$B$50&gt;0,AG2554/('Inputs'!$B$19*'Inputs'!$B$50)*365,0)</x:f>
        <x:v>0.022705341915124216</x:v>
      </x:c>
      <x:c r="AK2554" s="81" t="n">
        <x:f>W2554/MAX($W$2194:W2554)-1</x:f>
        <x:v>-0.9987590380795321</x:v>
      </x:c>
      <x:c r="AL2554" s="83" t="n">
        <x:f>'Inputs'!$B$50</x:f>
        <x:v>1</x:v>
      </x:c>
      <x:c r="AM2554" s="83" t="n">
        <x:f>'Inputs'!$C$50</x:f>
        <x:v>1</x:v>
      </x:c>
      <x:c r="AN2554" s="83" t="n">
        <x:f>'Inputs'!$D$50</x:f>
        <x:v>1</x:v>
      </x:c>
      <x:c r="AO2554" s="81" t="n">
        <x:f>'Inputs'!$E$50</x:f>
        <x:v>0</x:v>
      </x:c>
    </x:row>
    <x:row r="2555">
      <x:c r="A2555" s="59" t="str">
        <x:v>Whale exit</x:v>
      </x:c>
      <x:c r="B2555" s="59" t="n">
        <x:v>362</x:v>
      </x:c>
      <x:c r="C2555" s="78" t="n">
        <x:f>(('Inputs'!$B$29*(3*362*'Inputs'!$B$12-362^2)/(2*'Inputs'!$B$12^2))-('Inputs'!$B$29*(3*361*'Inputs'!$B$12-361^2)/(2*'Inputs'!$B$12^2)))*'Inputs'!$B$50</x:f>
        <x:v>594459.7954588234</x:v>
      </x:c>
      <x:c r="D2555" s="78" t="n">
        <x:f>IF('Inputs'!$C$50&gt;0,('Inputs'!$B$30*(3*362*'Inputs'!$B$12-362^2)/(2*'Inputs'!$B$12^2))-('Inputs'!$B$30*(3*361*'Inputs'!$B$12-361^2)/(2*'Inputs'!$B$12^2)),0)</x:f>
        <x:v>254768.4837680757</x:v>
      </x:c>
      <x:c r="E2555" s="78" t="n">
        <x:f>C2555+D2555</x:f>
        <x:v>849228.2792268991</x:v>
      </x:c>
      <x:c r="F2555" s="78" t="n">
        <x:f>'Inputs'!$B$13*E2555+(1-'Inputs'!$B$13)/'Inputs'!$B$14*SUM(E2500:E2555)</x:f>
        <x:v>859445.9560893283</x:v>
      </x:c>
      <x:c r="G2555" s="78" t="n">
        <x:f>F2555*'Inputs'!$F$50</x:f>
        <x:v>429722.97804466414</x:v>
      </x:c>
      <x:c r="H2555" s="78" t="n">
        <x:f>U2554</x:f>
        <x:v>166940616.81127435</x:v>
      </x:c>
      <x:c r="I2555" s="78" t="n">
        <x:f>V2554</x:f>
        <x:v>174.59719357992782</x:v>
      </x:c>
      <x:c r="J2555" s="79" t="n">
        <x:f>IF(H2555&gt;0,I2555/H2555,0)</x:f>
        <x:v>0.0000010458640737940318</x:v>
      </x:c>
      <x:c r="K2555" s="80" t="n">
        <x:f>(H2555*J2555+I2555)*'Inputs'!$D$50*(1+'Inputs'!$G$50)^(B2555/30)</x:f>
        <x:v>349.19438715985564</x:v>
      </x:c>
      <x:c r="L2555" s="80" t="n">
        <x:f>MAX(0,K2555*'Inputs'!$E$50)</x:f>
        <x:v>0</x:v>
      </x:c>
      <x:c r="M2555" s="80" t="n">
        <x:f>MAX(0,-K2555*'Inputs'!$E$50)</x:f>
        <x:v>0</x:v>
      </x:c>
      <x:c r="N2555" s="78" t="n">
        <x:f>H2555*(L2555*(1-'Inputs'!$B$15))/(I2555+L2555*(1-'Inputs'!$B$15))</x:f>
        <x:v>0</x:v>
      </x:c>
      <x:c r="O2555" s="78" t="n">
        <x:f>H2555-N2555</x:f>
        <x:v>166940616.81127435</x:v>
      </x:c>
      <x:c r="P2555" s="78" t="n">
        <x:f>I2555+L2555*(1-'Inputs'!$B$17)</x:f>
        <x:v>174.59719357992782</x:v>
      </x:c>
      <x:c r="Q2555" s="78" t="n">
        <x:f>IF(J2555&gt;0,M2555/J2555,0)</x:f>
        <x:v>0</x:v>
      </x:c>
      <x:c r="R2555" s="78" t="n">
        <x:f>IF(B2555='Inputs'!$H$50,'Inputs'!$B$27*'Inputs'!$I$50,0)</x:f>
        <x:v>0</x:v>
      </x:c>
      <x:c r="S2555" s="78" t="n">
        <x:f>Q2555+G2555+R2555</x:f>
        <x:v>429722.97804466414</x:v>
      </x:c>
      <x:c r="T2555" s="78" t="n">
        <x:f>P2555*(S2555*(1-'Inputs'!$B$15))/(O2555+S2555*(1-'Inputs'!$B$15))</x:f>
        <x:v>0.44380652483403027</x:v>
      </x:c>
      <x:c r="U2555" s="78" t="n">
        <x:f>O2555+S2555*(1-'Inputs'!$B$17)</x:f>
        <x:v>167368610.52180174</x:v>
      </x:c>
      <x:c r="V2555" s="78" t="n">
        <x:f>P2555-T2555</x:f>
        <x:v>174.1533870550938</x:v>
      </x:c>
      <x:c r="W2555" s="79" t="n">
        <x:f>IF(U2555&gt;0,V2555/U2555,0)</x:f>
        <x:v>0.0000010405379271067574</x:v>
      </x:c>
      <x:c r="X2555" s="80" t="n">
        <x:f>W2555*('Inputs'!$B$6-AC2555)</x:f>
        <x:v>911.0322915788304</x:v>
      </x:c>
      <x:c r="Y2555" s="80" t="n">
        <x:f>2*V2555</x:f>
        <x:v>348.3067741101876</x:v>
      </x:c>
      <x:c r="Z2555" s="80" t="n">
        <x:f>K2555*'Inputs'!$B$16+(G2555+R2555)*J2555*'Inputs'!$B$16</x:f>
        <x:v>2.097862913905658</x:v>
      </x:c>
      <x:c r="AA2555" s="80" t="n">
        <x:f>K2555*(1+'Inputs'!$E$50)/2*'Inputs'!$B$17</x:f>
        <x:v>0.7026044007240557</x:v>
      </x:c>
      <x:c r="AB2555" s="78" t="n">
        <x:f>(IF(J2555&gt;0,K2555*(1-'Inputs'!$E$50)/2/J2555,0)+G2555+R2555)*'Inputs'!$B$17</x:f>
        <x:v>673522.4941220081</x:v>
      </x:c>
      <x:c r="AC2555" s="78" t="n">
        <x:f>AC2554+AB2555</x:f>
        <x:v>124460274.01232821</x:v>
      </x:c>
      <x:c r="AD2555" s="80" t="n">
        <x:f>Z2555/(1+'Inputs'!$C$50)</x:f>
        <x:v>1.048931456952829</x:v>
      </x:c>
      <x:c r="AE2555" s="80" t="n">
        <x:f>Z2555-AD2555</x:f>
        <x:v>1.048931456952829</x:v>
      </x:c>
      <x:c r="AF2555" s="80" t="n">
        <x:f>D2555*W2555</x:f>
        <x:v>0.26509626999216507</x:v>
      </x:c>
      <x:c r="AG2555" s="80" t="n">
        <x:f>C2555*W2555</x:f>
        <x:v>0.6185579633150311</x:v>
      </x:c>
      <x:c r="AH2555" s="80" t="n">
        <x:f>2*'Inputs'!$B$8*'Inputs'!$C$50</x:f>
        <x:v>5000</x:v>
      </x:c>
      <x:c r="AI2555" s="81" t="n">
        <x:f>IF(AH2555&gt;0,(AE2555+AF2555)/AH2555*365,0)</x:f>
        <x:v>0.09592402406698455</x:v>
      </x:c>
      <x:c r="AJ2555" s="81" t="n">
        <x:f>IF('Inputs'!$B$50&gt;0,AG2555/('Inputs'!$B$19*'Inputs'!$B$50)*365,0)</x:f>
        <x:v>0.022577365660998636</x:v>
      </x:c>
      <x:c r="AK2555" s="81" t="n">
        <x:f>W2555/MAX($W$2194:W2555)-1</x:f>
        <x:v>-0.9987653577776529</x:v>
      </x:c>
      <x:c r="AL2555" s="83" t="n">
        <x:f>'Inputs'!$B$50</x:f>
        <x:v>1</x:v>
      </x:c>
      <x:c r="AM2555" s="83" t="n">
        <x:f>'Inputs'!$C$50</x:f>
        <x:v>1</x:v>
      </x:c>
      <x:c r="AN2555" s="83" t="n">
        <x:f>'Inputs'!$D$50</x:f>
        <x:v>1</x:v>
      </x:c>
      <x:c r="AO2555" s="81" t="n">
        <x:f>'Inputs'!$E$50</x:f>
        <x:v>0</x:v>
      </x:c>
    </x:row>
    <x:row r="2556">
      <x:c r="A2556" s="59" t="str">
        <x:v>Whale exit</x:v>
      </x:c>
      <x:c r="B2556" s="59" t="n">
        <x:v>363</x:v>
      </x:c>
      <x:c r="C2556" s="78" t="n">
        <x:f>(('Inputs'!$B$29*(3*363*'Inputs'!$B$12-363^2)/(2*'Inputs'!$B$12^2))-('Inputs'!$B$29*(3*362*'Inputs'!$B$12-362^2)/(2*'Inputs'!$B$12^2)))*'Inputs'!$B$50</x:f>
        <x:v>594134.6875586212</x:v>
      </x:c>
      <x:c r="D2556" s="78" t="n">
        <x:f>IF('Inputs'!$C$50&gt;0,('Inputs'!$B$30*(3*363*'Inputs'!$B$12-363^2)/(2*'Inputs'!$B$12^2))-('Inputs'!$B$30*(3*362*'Inputs'!$B$12-362^2)/(2*'Inputs'!$B$12^2)),0)</x:f>
        <x:v>254629.15181083977</x:v>
      </x:c>
      <x:c r="E2556" s="78" t="n">
        <x:f>C2556+D2556</x:f>
        <x:v>848763.8393694609</x:v>
      </x:c>
      <x:c r="F2556" s="78" t="n">
        <x:f>'Inputs'!$B$13*E2556+(1-'Inputs'!$B$13)/'Inputs'!$B$14*SUM(E2501:E2556)</x:f>
        <x:v>858981.5162319329</x:v>
      </x:c>
      <x:c r="G2556" s="78" t="n">
        <x:f>F2556*'Inputs'!$F$50</x:f>
        <x:v>429490.75811596646</x:v>
      </x:c>
      <x:c r="H2556" s="78" t="n">
        <x:f>U2555</x:f>
        <x:v>167368610.52180174</x:v>
      </x:c>
      <x:c r="I2556" s="78" t="n">
        <x:f>V2555</x:f>
        <x:v>174.1533870550938</x:v>
      </x:c>
      <x:c r="J2556" s="79" t="n">
        <x:f>IF(H2556&gt;0,I2556/H2556,0)</x:f>
        <x:v>0.0000010405379271067574</x:v>
      </x:c>
      <x:c r="K2556" s="80" t="n">
        <x:f>(H2556*J2556+I2556)*'Inputs'!$D$50*(1+'Inputs'!$G$50)^(B2556/30)</x:f>
        <x:v>348.3067741101876</x:v>
      </x:c>
      <x:c r="L2556" s="80" t="n">
        <x:f>MAX(0,K2556*'Inputs'!$E$50)</x:f>
        <x:v>0</x:v>
      </x:c>
      <x:c r="M2556" s="80" t="n">
        <x:f>MAX(0,-K2556*'Inputs'!$E$50)</x:f>
        <x:v>0</x:v>
      </x:c>
      <x:c r="N2556" s="78" t="n">
        <x:f>H2556*(L2556*(1-'Inputs'!$B$15))/(I2556+L2556*(1-'Inputs'!$B$15))</x:f>
        <x:v>0</x:v>
      </x:c>
      <x:c r="O2556" s="78" t="n">
        <x:f>H2556-N2556</x:f>
        <x:v>167368610.52180174</x:v>
      </x:c>
      <x:c r="P2556" s="78" t="n">
        <x:f>I2556+L2556*(1-'Inputs'!$B$17)</x:f>
        <x:v>174.1533870550938</x:v>
      </x:c>
      <x:c r="Q2556" s="78" t="n">
        <x:f>IF(J2556&gt;0,M2556/J2556,0)</x:f>
        <x:v>0</x:v>
      </x:c>
      <x:c r="R2556" s="78" t="n">
        <x:f>IF(B2556='Inputs'!$H$50,'Inputs'!$B$27*'Inputs'!$I$50,0)</x:f>
        <x:v>0</x:v>
      </x:c>
      <x:c r="S2556" s="78" t="n">
        <x:f>Q2556+G2556+R2556</x:f>
        <x:v>429490.75811596646</x:v>
      </x:c>
      <x:c r="T2556" s="78" t="n">
        <x:f>P2556*(S2556*(1-'Inputs'!$B$15))/(O2556+S2556*(1-'Inputs'!$B$15))</x:f>
        <x:v>0.4413112684749025</x:v>
      </x:c>
      <x:c r="U2556" s="78" t="n">
        <x:f>O2556+S2556*(1-'Inputs'!$B$17)</x:f>
        <x:v>167796372.94688705</x:v>
      </x:c>
      <x:c r="V2556" s="78" t="n">
        <x:f>P2556-T2556</x:f>
        <x:v>173.7120757866189</x:v>
      </x:c>
      <x:c r="W2556" s="79" t="n">
        <x:f>IF(U2556&gt;0,V2556/U2556,0)</x:f>
        <x:v>0.0000010352552485839747</x:v>
      </x:c>
      <x:c r="X2556" s="80" t="n">
        <x:f>W2556*('Inputs'!$B$6-AC2556)</x:f>
        <x:v>905.7080469137499</x:v>
      </x:c>
      <x:c r="Y2556" s="80" t="n">
        <x:f>2*V2556</x:f>
        <x:v>347.4241515732378</x:v>
      </x:c>
      <x:c r="Z2556" s="80" t="n">
        <x:f>K2556*'Inputs'!$B$16+(G2556+R2556)*J2556*'Inputs'!$B$16</x:f>
        <x:v>2.0925220532000943</x:v>
      </x:c>
      <x:c r="AA2556" s="80" t="n">
        <x:f>K2556*(1+'Inputs'!$E$50)/2*'Inputs'!$B$17</x:f>
        <x:v>0.7008184589742206</x:v>
      </x:c>
      <x:c r="AB2556" s="78" t="n">
        <x:f>(IF(J2556&gt;0,K2556*(1-'Inputs'!$E$50)/2/J2556,0)+G2556+R2556)*'Inputs'!$B$17</x:f>
        <x:v>675243.8683296489</x:v>
      </x:c>
      <x:c r="AC2556" s="78" t="n">
        <x:f>AC2555+AB2556</x:f>
        <x:v>125135517.88065785</x:v>
      </x:c>
      <x:c r="AD2556" s="80" t="n">
        <x:f>Z2556/(1+'Inputs'!$C$50)</x:f>
        <x:v>1.0462610266000472</x:v>
      </x:c>
      <x:c r="AE2556" s="80" t="n">
        <x:f>Z2556-AD2556</x:f>
        <x:v>1.0462610266000472</x:v>
      </x:c>
      <x:c r="AF2556" s="80" t="n">
        <x:f>D2556*W2556</x:f>
        <x:v>0.26360616585465757</x:v>
      </x:c>
      <x:c r="AG2556" s="80" t="n">
        <x:f>C2556*W2556</x:f>
        <x:v>0.6150810536608625</x:v>
      </x:c>
      <x:c r="AH2556" s="80" t="n">
        <x:f>2*'Inputs'!$B$8*'Inputs'!$C$50</x:f>
        <x:v>5000</x:v>
      </x:c>
      <x:c r="AI2556" s="81" t="n">
        <x:f>IF(AH2556&gt;0,(AE2556+AF2556)/AH2556*365,0)</x:f>
        <x:v>0.09562030504919346</x:v>
      </x:c>
      <x:c r="AJ2556" s="81" t="n">
        <x:f>IF('Inputs'!$B$50&gt;0,AG2556/('Inputs'!$B$19*'Inputs'!$B$50)*365,0)</x:f>
        <x:v>0.02245045845862148</x:v>
      </x:c>
      <x:c r="AK2556" s="81" t="n">
        <x:f>W2556/MAX($W$2194:W2556)-1</x:f>
        <x:v>-0.9987716258989596</x:v>
      </x:c>
      <x:c r="AL2556" s="83" t="n">
        <x:f>'Inputs'!$B$50</x:f>
        <x:v>1</x:v>
      </x:c>
      <x:c r="AM2556" s="83" t="n">
        <x:f>'Inputs'!$C$50</x:f>
        <x:v>1</x:v>
      </x:c>
      <x:c r="AN2556" s="83" t="n">
        <x:f>'Inputs'!$D$50</x:f>
        <x:v>1</x:v>
      </x:c>
      <x:c r="AO2556" s="81" t="n">
        <x:f>'Inputs'!$E$50</x:f>
        <x:v>0</x:v>
      </x:c>
    </x:row>
    <x:row r="2557">
      <x:c r="A2557" s="59" t="str">
        <x:v>Whale exit</x:v>
      </x:c>
      <x:c r="B2557" s="59" t="n">
        <x:v>364</x:v>
      </x:c>
      <x:c r="C2557" s="78" t="n">
        <x:f>(('Inputs'!$B$29*(3*364*'Inputs'!$B$12-364^2)/(2*'Inputs'!$B$12^2))-('Inputs'!$B$29*(3*363*'Inputs'!$B$12-363^2)/(2*'Inputs'!$B$12^2)))*'Inputs'!$B$50</x:f>
        <x:v>593809.5796584785</x:v>
      </x:c>
      <x:c r="D2557" s="78" t="n">
        <x:f>IF('Inputs'!$C$50&gt;0,('Inputs'!$B$30*(3*364*'Inputs'!$B$12-364^2)/(2*'Inputs'!$B$12^2))-('Inputs'!$B$30*(3*363*'Inputs'!$B$12-363^2)/(2*'Inputs'!$B$12^2)),0)</x:f>
        <x:v>254489.81985363364</x:v>
      </x:c>
      <x:c r="E2557" s="78" t="n">
        <x:f>C2557+D2557</x:f>
        <x:v>848299.3995121121</x:v>
      </x:c>
      <x:c r="F2557" s="78" t="n">
        <x:f>'Inputs'!$B$13*E2557+(1-'Inputs'!$B$13)/'Inputs'!$B$14*SUM(E2502:E2557)</x:f>
        <x:v>858517.0763745559</x:v>
      </x:c>
      <x:c r="G2557" s="78" t="n">
        <x:f>F2557*'Inputs'!$F$50</x:f>
        <x:v>429258.53818727797</x:v>
      </x:c>
      <x:c r="H2557" s="78" t="n">
        <x:f>U2556</x:f>
        <x:v>167796372.94688705</x:v>
      </x:c>
      <x:c r="I2557" s="78" t="n">
        <x:f>V2556</x:f>
        <x:v>173.7120757866189</x:v>
      </x:c>
      <x:c r="J2557" s="79" t="n">
        <x:f>IF(H2557&gt;0,I2557/H2557,0)</x:f>
        <x:v>0.0000010352552485839747</x:v>
      </x:c>
      <x:c r="K2557" s="80" t="n">
        <x:f>(H2557*J2557+I2557)*'Inputs'!$D$50*(1+'Inputs'!$G$50)^(B2557/30)</x:f>
        <x:v>347.42415157323774</x:v>
      </x:c>
      <x:c r="L2557" s="80" t="n">
        <x:f>MAX(0,K2557*'Inputs'!$E$50)</x:f>
        <x:v>0</x:v>
      </x:c>
      <x:c r="M2557" s="80" t="n">
        <x:f>MAX(0,-K2557*'Inputs'!$E$50)</x:f>
        <x:v>0</x:v>
      </x:c>
      <x:c r="N2557" s="78" t="n">
        <x:f>H2557*(L2557*(1-'Inputs'!$B$15))/(I2557+L2557*(1-'Inputs'!$B$15))</x:f>
        <x:v>0</x:v>
      </x:c>
      <x:c r="O2557" s="78" t="n">
        <x:f>H2557-N2557</x:f>
        <x:v>167796372.94688705</x:v>
      </x:c>
      <x:c r="P2557" s="78" t="n">
        <x:f>I2557+L2557*(1-'Inputs'!$B$17)</x:f>
        <x:v>173.7120757866189</x:v>
      </x:c>
      <x:c r="Q2557" s="78" t="n">
        <x:f>IF(J2557&gt;0,M2557/J2557,0)</x:f>
        <x:v>0</x:v>
      </x:c>
      <x:c r="R2557" s="78" t="n">
        <x:f>IF(B2557='Inputs'!$H$50,'Inputs'!$B$27*'Inputs'!$I$50,0)</x:f>
        <x:v>0</x:v>
      </x:c>
      <x:c r="S2557" s="78" t="n">
        <x:f>Q2557+G2557+R2557</x:f>
        <x:v>429258.53818727797</x:v>
      </x:c>
      <x:c r="T2557" s="78" t="n">
        <x:f>P2557*(S2557*(1-'Inputs'!$B$15))/(O2557+S2557*(1-'Inputs'!$B$15))</x:f>
        <x:v>0.4388368222683325</x:v>
      </x:c>
      <x:c r="U2557" s="78" t="n">
        <x:f>O2557+S2557*(1-'Inputs'!$B$17)</x:f>
        <x:v>168223904.0865303</x:v>
      </x:c>
      <x:c r="V2557" s="78" t="n">
        <x:f>P2557-T2557</x:f>
        <x:v>173.27323896435055</x:v>
      </x:c>
      <x:c r="W2557" s="79" t="n">
        <x:f>IF(U2557&gt;0,V2557/U2557,0)</x:f>
        <x:v>0.0000010300155611370367</x:v>
      </x:c>
      <x:c r="X2557" s="80" t="n">
        <x:f>W2557*('Inputs'!$B$6-AC2557)</x:f>
        <x:v>900.4267466935173</x:v>
      </x:c>
      <x:c r="Y2557" s="80" t="n">
        <x:f>2*V2557</x:f>
        <x:v>346.5464779287011</x:v>
      </x:c>
      <x:c r="Z2557" s="80" t="n">
        <x:f>K2557*'Inputs'!$B$16+(G2557+R2557)*J2557*'Inputs'!$B$16</x:f>
        <x:v>2.087211262367374</x:v>
      </x:c>
      <x:c r="AA2557" s="80" t="n">
        <x:f>K2557*(1+'Inputs'!$E$50)/2*'Inputs'!$B$17</x:f>
        <x:v>0.6990425584974603</x:v>
      </x:c>
      <x:c r="AB2557" s="78" t="n">
        <x:f>(IF(J2557&gt;0,K2557*(1-'Inputs'!$E$50)/2/J2557,0)+G2557+R2557)*'Inputs'!$B$17</x:f>
        <x:v>676964.3118111643</x:v>
      </x:c>
      <x:c r="AC2557" s="78" t="n">
        <x:f>AC2556+AB2557</x:f>
        <x:v>125812482.19246902</x:v>
      </x:c>
      <x:c r="AD2557" s="80" t="n">
        <x:f>Z2557/(1+'Inputs'!$C$50)</x:f>
        <x:v>1.043605631183687</x:v>
      </x:c>
      <x:c r="AE2557" s="80" t="n">
        <x:f>Z2557-AD2557</x:f>
        <x:v>1.043605631183687</x:v>
      </x:c>
      <x:c r="AF2557" s="80" t="n">
        <x:f>D2557*W2557</x:f>
        <x:v>0.26212847460020383</x:v>
      </x:c>
      <x:c r="AG2557" s="80" t="n">
        <x:f>C2557*W2557</x:f>
        <x:v>0.6116331074004756</x:v>
      </x:c>
      <x:c r="AH2557" s="80" t="n">
        <x:f>2*'Inputs'!$B$8*'Inputs'!$C$50</x:f>
        <x:v>5000</x:v>
      </x:c>
      <x:c r="AI2557" s="81" t="n">
        <x:f>IF(AH2557&gt;0,(AE2557+AF2557)/AH2557*365,0)</x:f>
        <x:v>0.09531858972222401</x:v>
      </x:c>
      <x:c r="AJ2557" s="81" t="n">
        <x:f>IF('Inputs'!$B$50&gt;0,AG2557/('Inputs'!$B$19*'Inputs'!$B$50)*365,0)</x:f>
        <x:v>0.022324608420117357</x:v>
      </x:c>
      <x:c r="AK2557" s="81" t="n">
        <x:f>W2557/MAX($W$2194:W2557)-1</x:f>
        <x:v>-0.9987778430095381</x:v>
      </x:c>
      <x:c r="AL2557" s="83" t="n">
        <x:f>'Inputs'!$B$50</x:f>
        <x:v>1</x:v>
      </x:c>
      <x:c r="AM2557" s="83" t="n">
        <x:f>'Inputs'!$C$50</x:f>
        <x:v>1</x:v>
      </x:c>
      <x:c r="AN2557" s="83" t="n">
        <x:f>'Inputs'!$D$50</x:f>
        <x:v>1</x:v>
      </x:c>
      <x:c r="AO2557" s="81" t="n">
        <x:f>'Inputs'!$E$50</x:f>
        <x:v>0</x:v>
      </x:c>
    </x:row>
    <x:row r="2558">
      <x:c r="A2558" s="59" t="str">
        <x:v>Whale exit</x:v>
      </x:c>
      <x:c r="B2558" s="59" t="n">
        <x:v>365</x:v>
      </x:c>
      <x:c r="C2558" s="78" t="n">
        <x:f>(('Inputs'!$B$29*(3*365*'Inputs'!$B$12-365^2)/(2*'Inputs'!$B$12^2))-('Inputs'!$B$29*(3*364*'Inputs'!$B$12-364^2)/(2*'Inputs'!$B$12^2)))*'Inputs'!$B$50</x:f>
        <x:v>593484.471758306</x:v>
      </x:c>
      <x:c r="D2558" s="78" t="n">
        <x:f>IF('Inputs'!$C$50&gt;0,('Inputs'!$B$30*(3*365*'Inputs'!$B$12-365^2)/(2*'Inputs'!$B$12^2))-('Inputs'!$B$30*(3*364*'Inputs'!$B$12-364^2)/(2*'Inputs'!$B$12^2)),0)</x:f>
        <x:v>254350.4878964126</x:v>
      </x:c>
      <x:c r="E2558" s="78" t="n">
        <x:f>C2558+D2558</x:f>
        <x:v>847834.9596547186</x:v>
      </x:c>
      <x:c r="F2558" s="78" t="n">
        <x:f>'Inputs'!$B$13*E2558+(1-'Inputs'!$B$13)/'Inputs'!$B$14*SUM(E2503:E2558)</x:f>
        <x:v>858052.6365171699</x:v>
      </x:c>
      <x:c r="G2558" s="78" t="n">
        <x:f>F2558*'Inputs'!$F$50</x:f>
        <x:v>429026.31825858494</x:v>
      </x:c>
      <x:c r="H2558" s="78" t="n">
        <x:f>U2557</x:f>
        <x:v>168223904.0865303</x:v>
      </x:c>
      <x:c r="I2558" s="78" t="n">
        <x:f>V2557</x:f>
        <x:v>173.27323896435055</x:v>
      </x:c>
      <x:c r="J2558" s="79" t="n">
        <x:f>IF(H2558&gt;0,I2558/H2558,0)</x:f>
        <x:v>0.0000010300155611370367</x:v>
      </x:c>
      <x:c r="K2558" s="80" t="n">
        <x:f>(H2558*J2558+I2558)*'Inputs'!$D$50*(1+'Inputs'!$G$50)^(B2558/30)</x:f>
        <x:v>346.5464779287011</x:v>
      </x:c>
      <x:c r="L2558" s="80" t="n">
        <x:f>MAX(0,K2558*'Inputs'!$E$50)</x:f>
        <x:v>0</x:v>
      </x:c>
      <x:c r="M2558" s="80" t="n">
        <x:f>MAX(0,-K2558*'Inputs'!$E$50)</x:f>
        <x:v>0</x:v>
      </x:c>
      <x:c r="N2558" s="78" t="n">
        <x:f>H2558*(L2558*(1-'Inputs'!$B$15))/(I2558+L2558*(1-'Inputs'!$B$15))</x:f>
        <x:v>0</x:v>
      </x:c>
      <x:c r="O2558" s="78" t="n">
        <x:f>H2558-N2558</x:f>
        <x:v>168223904.0865303</x:v>
      </x:c>
      <x:c r="P2558" s="78" t="n">
        <x:f>I2558+L2558*(1-'Inputs'!$B$17)</x:f>
        <x:v>173.27323896435055</x:v>
      </x:c>
      <x:c r="Q2558" s="78" t="n">
        <x:f>IF(J2558&gt;0,M2558/J2558,0)</x:f>
        <x:v>0</x:v>
      </x:c>
      <x:c r="R2558" s="78" t="n">
        <x:f>IF(B2558='Inputs'!$H$50,'Inputs'!$B$27*'Inputs'!$I$50,0)</x:f>
        <x:v>0</x:v>
      </x:c>
      <x:c r="S2558" s="78" t="n">
        <x:f>Q2558+G2558+R2558</x:f>
        <x:v>429026.31825858494</x:v>
      </x:c>
      <x:c r="T2558" s="78" t="n">
        <x:f>P2558*(S2558*(1-'Inputs'!$B$15))/(O2558+S2558*(1-'Inputs'!$B$15))</x:f>
        <x:v>0.4363829551555505</x:v>
      </x:c>
      <x:c r="U2558" s="78" t="n">
        <x:f>O2558+S2558*(1-'Inputs'!$B$17)</x:f>
        <x:v>168651203.9407315</x:v>
      </x:c>
      <x:c r="V2558" s="78" t="n">
        <x:f>P2558-T2558</x:f>
        <x:v>172.836856009195</x:v>
      </x:c>
      <x:c r="W2558" s="79" t="n">
        <x:f>IF(U2558&gt;0,V2558/U2558,0)</x:f>
        <x:v>0.0000010248183942400698</x:v>
      </x:c>
      <x:c r="X2558" s="80" t="n">
        <x:f>W2558*('Inputs'!$B$6-AC2558)</x:f>
        <x:v>895.1879205969373</x:v>
      </x:c>
      <x:c r="Y2558" s="80" t="n">
        <x:f>2*V2558</x:f>
        <x:v>345.67371201839</x:v>
      </x:c>
      <x:c r="Z2558" s="80" t="n">
        <x:f>K2558*'Inputs'!$B$16+(G2558+R2558)*J2558*'Inputs'!$B$16</x:f>
        <x:v>2.0819302902758685</x:v>
      </x:c>
      <x:c r="AA2558" s="80" t="n">
        <x:f>K2558*(1+'Inputs'!$E$50)/2*'Inputs'!$B$17</x:f>
        <x:v>0.6972766155507065</x:v>
      </x:c>
      <x:c r="AB2558" s="78" t="n">
        <x:f>(IF(J2558&gt;0,K2558*(1-'Inputs'!$E$50)/2/J2558,0)+G2558+R2558)*'Inputs'!$B$17</x:f>
        <x:v>678683.8245665549</x:v>
      </x:c>
      <x:c r="AC2558" s="78" t="n">
        <x:f>AC2557+AB2558</x:f>
        <x:v>126491166.01703557</x:v>
      </x:c>
      <x:c r="AD2558" s="80" t="n">
        <x:f>Z2558/(1+'Inputs'!$C$50)</x:f>
        <x:v>1.0409651451379343</x:v>
      </x:c>
      <x:c r="AE2558" s="80" t="n">
        <x:f>Z2558-AD2558</x:f>
        <x:v>1.0409651451379343</x:v>
      </x:c>
      <x:c r="AF2558" s="80" t="n">
        <x:f>D2558*W2558</x:f>
        <x:v>0.2606630585801799</x:v>
      </x:c>
      <x:c r="AG2558" s="80" t="n">
        <x:f>C2558*W2558</x:f>
        <x:v>0.6082138033537633</x:v>
      </x:c>
      <x:c r="AH2558" s="80" t="n">
        <x:f>2*'Inputs'!$B$8*'Inputs'!$C$50</x:f>
        <x:v>5000</x:v>
      </x:c>
      <x:c r="AI2558" s="81" t="n">
        <x:f>IF(AH2558&gt;0,(AE2558+AF2558)/AH2558*365,0)</x:f>
        <x:v>0.09501885887142233</x:v>
      </x:c>
      <x:c r="AJ2558" s="81" t="n">
        <x:f>IF('Inputs'!$B$50&gt;0,AG2558/('Inputs'!$B$19*'Inputs'!$B$50)*365,0)</x:f>
        <x:v>0.02219980382241236</x:v>
      </x:c>
      <x:c r="AK2558" s="81" t="n">
        <x:f>W2558/MAX($W$2194:W2558)-1</x:f>
        <x:v>-0.9987840096676871</x:v>
      </x:c>
      <x:c r="AL2558" s="83" t="n">
        <x:f>'Inputs'!$B$50</x:f>
        <x:v>1</x:v>
      </x:c>
      <x:c r="AM2558" s="83" t="n">
        <x:f>'Inputs'!$C$50</x:f>
        <x:v>1</x:v>
      </x:c>
      <x:c r="AN2558" s="83" t="n">
        <x:f>'Inputs'!$D$50</x:f>
        <x:v>1</x:v>
      </x:c>
      <x:c r="AO2558" s="81" t="n">
        <x:f>'Inputs'!$E$50</x:f>
        <x:v>0</x:v>
      </x:c>
    </x:row>
    <x:row r="2559">
      <x:c r="A2559" s="59" t="str">
        <x:v>High demand</x:v>
      </x:c>
      <x:c r="B2559" s="59" t="n">
        <x:v>1</x:v>
      </x:c>
      <x:c r="C2559" s="78" t="n">
        <x:f>(('Inputs'!$B$29*(3*1*'Inputs'!$B$12-1^2)/(2*'Inputs'!$B$12^2))-('Inputs'!$B$29*(3*0*'Inputs'!$B$12-0^2)/(2*'Inputs'!$B$12^2)))*'Inputs'!$B$51</x:f>
        <x:v>711823.7474197786</x:v>
      </x:c>
      <x:c r="D2559" s="78" t="n">
        <x:f>IF('Inputs'!$C$51&gt;0,('Inputs'!$B$30*(3*1*'Inputs'!$B$12-1^2)/(2*'Inputs'!$B$12^2))-('Inputs'!$B$30*(3*0*'Inputs'!$B$12-0^2)/(2*'Inputs'!$B$12^2)),0)</x:f>
        <x:v>305067.32032276224</x:v>
      </x:c>
      <x:c r="E2559" s="78" t="n">
        <x:f>C2559+D2559</x:f>
        <x:v>1016891.0677425409</x:v>
      </x:c>
      <x:c r="F2559" s="78" t="n">
        <x:f>'Inputs'!$B$13*E2559+(1-'Inputs'!$B$13)/'Inputs'!$B$14*SUM(E2559:E2559)</x:f>
        <x:v>217905.22880197305</x:v>
      </x:c>
      <x:c r="G2559" s="78" t="n">
        <x:f>F2559*'Inputs'!$F$51</x:f>
        <x:v>54476.30720049326</x:v>
      </x:c>
      <x:c r="H2559" s="78" t="n">
        <x:f>'Inputs'!$B$26*(1+'Inputs'!$C$51)</x:f>
        <x:v>8571428.57142857</x:v>
      </x:c>
      <x:c r="I2559" s="78" t="n">
        <x:f>'Inputs'!$B$8*(1+'Inputs'!$C$51)</x:f>
        <x:v>7500</x:v>
      </x:c>
      <x:c r="J2559" s="79" t="n">
        <x:f>IF(H2559&gt;0,I2559/H2559,0)</x:f>
        <x:v>0.000875</x:v>
      </x:c>
      <x:c r="K2559" s="80" t="n">
        <x:f>(H2559*J2559+I2559)*'Inputs'!$D$51*(1+'Inputs'!$G$51)^(B2559/30)</x:f>
        <x:v>45073.244790532495</x:v>
      </x:c>
      <x:c r="L2559" s="80" t="n">
        <x:f>MAX(0,K2559*'Inputs'!$E$51)</x:f>
        <x:v>4507.32447905325</x:v>
      </x:c>
      <x:c r="M2559" s="80" t="n">
        <x:f>MAX(0,-K2559*'Inputs'!$E$51)</x:f>
        <x:v>0</x:v>
      </x:c>
      <x:c r="N2559" s="78" t="n">
        <x:f>H2559*(L2559*(1-'Inputs'!$B$15))/(I2559+L2559*(1-'Inputs'!$B$15))</x:f>
        <x:v>3197380.407184637</x:v>
      </x:c>
      <x:c r="O2559" s="78" t="n">
        <x:f>H2559-N2559</x:f>
        <x:v>5374048.164243934</x:v>
      </x:c>
      <x:c r="P2559" s="78" t="n">
        <x:f>I2559+L2559*(1-'Inputs'!$B$17)</x:f>
        <x:v>11989.186352376979</x:v>
      </x:c>
      <x:c r="Q2559" s="78" t="n">
        <x:f>IF(J2559&gt;0,M2559/J2559,0)</x:f>
        <x:v>0</x:v>
      </x:c>
      <x:c r="R2559" s="78" t="n">
        <x:f>IF(B2559='Inputs'!$H$51,'Inputs'!$B$27*'Inputs'!$I$51,0)</x:f>
        <x:v>0</x:v>
      </x:c>
      <x:c r="S2559" s="78" t="n">
        <x:f>Q2559+G2559+R2559</x:f>
        <x:v>54476.30720049326</x:v>
      </x:c>
      <x:c r="T2559" s="78" t="n">
        <x:f>P2559*(S2559*(1-'Inputs'!$B$15))/(O2559+S2559*(1-'Inputs'!$B$15))</x:f>
        <x:v>119.12265107228458</x:v>
      </x:c>
      <x:c r="U2559" s="78" t="n">
        <x:f>O2559+S2559*(1-'Inputs'!$B$17)</x:f>
        <x:v>5428305.250892312</x:v>
      </x:c>
      <x:c r="V2559" s="78" t="n">
        <x:f>P2559-T2559</x:f>
        <x:v>11870.063701304694</x:v>
      </x:c>
      <x:c r="W2559" s="79" t="n">
        <x:f>IF(U2559&gt;0,V2559/U2559,0)</x:f>
        <x:v>0.0021866979015878808</x:v>
      </x:c>
      <x:c r="X2559" s="80" t="n">
        <x:f>W2559*('Inputs'!$B$6-AC2559)</x:f>
        <x:v>2186493.4431148306</x:v>
      </x:c>
      <x:c r="Y2559" s="80" t="n">
        <x:f>2*V2559</x:f>
        <x:v>23740.12740260939</x:v>
      </x:c>
      <x:c r="Z2559" s="80" t="n">
        <x:f>K2559*'Inputs'!$B$16+(G2559+R2559)*J2559*'Inputs'!$B$16</x:f>
        <x:v>270.7254693559976</x:v>
      </x:c>
      <x:c r="AA2559" s="80" t="n">
        <x:f>K2559*(1+'Inputs'!$E$51)/2*'Inputs'!$B$17</x:f>
        <x:v>99.75969671948845</x:v>
      </x:c>
      <x:c r="AB2559" s="78" t="n">
        <x:f>(IF(J2559&gt;0,K2559*(1-'Inputs'!$E$51)/2/J2559,0)+G2559+R2559)*'Inputs'!$B$17</x:f>
        <x:v>93501.01488722072</x:v>
      </x:c>
      <x:c r="AC2559" s="78" t="n">
        <x:f>AB2559</x:f>
        <x:v>93501.01488722072</x:v>
      </x:c>
      <x:c r="AD2559" s="80" t="n">
        <x:f>Z2559/(1+'Inputs'!$C$51)</x:f>
        <x:v>90.24182311866586</x:v>
      </x:c>
      <x:c r="AE2559" s="80" t="n">
        <x:f>Z2559-AD2559</x:f>
        <x:v>180.4836462373317</x:v>
      </x:c>
      <x:c r="AF2559" s="80" t="n">
        <x:f>D2559*W2559</x:f>
        <x:v>667.090069192822</x:v>
      </x:c>
      <x:c r="AG2559" s="80" t="n">
        <x:f>C2559*W2559</x:f>
        <x:v>1556.5434947832516</x:v>
      </x:c>
      <x:c r="AH2559" s="80" t="n">
        <x:f>2*'Inputs'!$B$8*'Inputs'!$C$51</x:f>
        <x:v>10000</x:v>
      </x:c>
      <x:c r="AI2559" s="81" t="n">
        <x:f>IF(AH2559&gt;0,(AE2559+AF2559)/AH2559*365,0)</x:f>
        <x:v>30.93644061320061</x:v>
      </x:c>
      <x:c r="AJ2559" s="81" t="n">
        <x:f>IF('Inputs'!$B$51&gt;0,AG2559/('Inputs'!$B$19*'Inputs'!$B$51)*365,0)</x:f>
        <x:v>56.813837559588684</x:v>
      </x:c>
      <x:c r="AK2559" s="81" t="n">
        <x:f>W2559/MAX($W$2559:W2559)-1</x:f>
        <x:v>0</x:v>
      </x:c>
      <x:c r="AL2559" s="83" t="n">
        <x:f>'Inputs'!$B$51</x:f>
        <x:v>1</x:v>
      </x:c>
      <x:c r="AM2559" s="83" t="n">
        <x:f>'Inputs'!$C$51</x:f>
        <x:v>2</x:v>
      </x:c>
      <x:c r="AN2559" s="83" t="n">
        <x:f>'Inputs'!$D$51</x:f>
        <x:v>3</x:v>
      </x:c>
      <x:c r="AO2559" s="81" t="n">
        <x:f>'Inputs'!$E$51</x:f>
        <x:v>0.1</x:v>
      </x:c>
    </x:row>
    <x:row r="2560">
      <x:c r="A2560" s="59" t="str">
        <x:v>High demand</x:v>
      </x:c>
      <x:c r="B2560" s="59" t="n">
        <x:v>2</x:v>
      </x:c>
      <x:c r="C2560" s="78" t="n">
        <x:f>(('Inputs'!$B$29*(3*2*'Inputs'!$B$12-2^2)/(2*'Inputs'!$B$12^2))-('Inputs'!$B$29*(3*1*'Inputs'!$B$12-1^2)/(2*'Inputs'!$B$12^2)))*'Inputs'!$B$51</x:f>
        <x:v>711498.6395196096</x:v>
      </x:c>
      <x:c r="D2560" s="78" t="n">
        <x:f>IF('Inputs'!$C$51&gt;0,('Inputs'!$B$30*(3*2*'Inputs'!$B$12-2^2)/(2*'Inputs'!$B$12^2))-('Inputs'!$B$30*(3*1*'Inputs'!$B$12-1^2)/(2*'Inputs'!$B$12^2)),0)</x:f>
        <x:v>304927.98836554703</x:v>
      </x:c>
      <x:c r="E2560" s="78" t="n">
        <x:f>C2560+D2560</x:f>
        <x:v>1016426.6278851567</x:v>
      </x:c>
      <x:c r="F2560" s="78" t="n">
        <x:f>'Inputs'!$B$13*E2560+(1-'Inputs'!$B$13)/'Inputs'!$B$14*SUM(E2559:E2560)</x:f>
        <x:v>232332.7212288556</x:v>
      </x:c>
      <x:c r="G2560" s="78" t="n">
        <x:f>F2560*'Inputs'!$F$51</x:f>
        <x:v>58083.1803072139</x:v>
      </x:c>
      <x:c r="H2560" s="78" t="n">
        <x:f>U2559</x:f>
        <x:v>5428305.250892312</x:v>
      </x:c>
      <x:c r="I2560" s="78" t="n">
        <x:f>V2559</x:f>
        <x:v>11870.063701304694</x:v>
      </x:c>
      <x:c r="J2560" s="79" t="n">
        <x:f>IF(H2560&gt;0,I2560/H2560,0)</x:f>
        <x:v>0.0021866979015878808</x:v>
      </x:c>
      <x:c r="K2560" s="80" t="n">
        <x:f>(H2560*J2560+I2560)*'Inputs'!$D$51*(1+'Inputs'!$G$51)^(B2560/30)</x:f>
        <x:v>71452.41631199632</x:v>
      </x:c>
      <x:c r="L2560" s="80" t="n">
        <x:f>MAX(0,K2560*'Inputs'!$E$51)</x:f>
        <x:v>7145.241631199632</x:v>
      </x:c>
      <x:c r="M2560" s="80" t="n">
        <x:f>MAX(0,-K2560*'Inputs'!$E$51)</x:f>
        <x:v>0</x:v>
      </x:c>
      <x:c r="N2560" s="78" t="n">
        <x:f>H2560*(L2560*(1-'Inputs'!$B$15))/(I2560+L2560*(1-'Inputs'!$B$15))</x:f>
        <x:v>2026973.462513454</x:v>
      </x:c>
      <x:c r="O2560" s="78" t="n">
        <x:f>H2560-N2560</x:f>
        <x:v>3401331.788378858</x:v>
      </x:c>
      <x:c r="P2560" s="78" t="n">
        <x:f>I2560+L2560*(1-'Inputs'!$B$17)</x:f>
        <x:v>18986.55184505483</x:v>
      </x:c>
      <x:c r="Q2560" s="78" t="n">
        <x:f>IF(J2560&gt;0,M2560/J2560,0)</x:f>
        <x:v>0</x:v>
      </x:c>
      <x:c r="R2560" s="78" t="n">
        <x:f>IF(B2560='Inputs'!$H$51,'Inputs'!$B$27*'Inputs'!$I$51,0)</x:f>
        <x:v>0</x:v>
      </x:c>
      <x:c r="S2560" s="78" t="n">
        <x:f>Q2560+G2560+R2560</x:f>
        <x:v>58083.1803072139</x:v>
      </x:c>
      <x:c r="T2560" s="78" t="n">
        <x:f>P2560*(S2560*(1-'Inputs'!$B$15))/(O2560+S2560*(1-'Inputs'!$B$15))</x:f>
        <x:v>315.64720303997314</x:v>
      </x:c>
      <x:c r="U2560" s="78" t="n">
        <x:f>O2560+S2560*(1-'Inputs'!$B$17)</x:f>
        <x:v>3459181.233554051</x:v>
      </x:c>
      <x:c r="V2560" s="78" t="n">
        <x:f>P2560-T2560</x:f>
        <x:v>18670.904642014855</x:v>
      </x:c>
      <x:c r="W2560" s="79" t="n">
        <x:f>IF(U2560&gt;0,V2560/U2560,0)</x:f>
        <x:v>0.0053974924646639265</x:v>
      </x:c>
      <x:c r="X2560" s="80" t="n">
        <x:f>W2560*('Inputs'!$B$6-AC2560)</x:f>
        <x:v>5396667.153100843</x:v>
      </x:c>
      <x:c r="Y2560" s="80" t="n">
        <x:f>2*V2560</x:f>
        <x:v>37341.80928402971</x:v>
      </x:c>
      <x:c r="Z2560" s="80" t="n">
        <x:f>K2560*'Inputs'!$B$16+(G2560+R2560)*J2560*'Inputs'!$B$16</x:f>
        <x:v>429.47656008294996</x:v>
      </x:c>
      <x:c r="AA2560" s="80" t="n">
        <x:f>K2560*(1+'Inputs'!$E$51)/2*'Inputs'!$B$17</x:f>
        <x:v>158.14418097222529</x:v>
      </x:c>
      <x:c r="AB2560" s="78" t="n">
        <x:f>(IF(J2560&gt;0,K2560*(1-'Inputs'!$E$51)/2/J2560,0)+G2560+R2560)*'Inputs'!$B$17</x:f>
        <x:v>59405.4631648563</x:v>
      </x:c>
      <x:c r="AC2560" s="78" t="n">
        <x:f>AC2559+AB2560</x:f>
        <x:v>152906.47805207703</x:v>
      </x:c>
      <x:c r="AD2560" s="80" t="n">
        <x:f>Z2560/(1+'Inputs'!$C$51)</x:f>
        <x:v>143.15885336098333</x:v>
      </x:c>
      <x:c r="AE2560" s="80" t="n">
        <x:f>Z2560-AD2560</x:f>
        <x:v>286.3177067219666</x:v>
      </x:c>
      <x:c r="AF2560" s="80" t="n">
        <x:f>D2560*W2560</x:f>
        <x:v>1645.8465194681696</x:v>
      </x:c>
      <x:c r="AG2560" s="80" t="n">
        <x:f>C2560*W2560</x:f>
        <x:v>3840.3085454257284</x:v>
      </x:c>
      <x:c r="AH2560" s="80" t="n">
        <x:f>2*'Inputs'!$B$8*'Inputs'!$C$51</x:f>
        <x:v>10000</x:v>
      </x:c>
      <x:c r="AI2560" s="81" t="n">
        <x:f>IF(AH2560&gt;0,(AE2560+AF2560)/AH2560*365,0)</x:f>
        <x:v>70.52399425593997</x:v>
      </x:c>
      <x:c r="AJ2560" s="81" t="n">
        <x:f>IF('Inputs'!$B$51&gt;0,AG2560/('Inputs'!$B$19*'Inputs'!$B$51)*365,0)</x:f>
        <x:v>140.1712619080391</x:v>
      </x:c>
      <x:c r="AK2560" s="81" t="n">
        <x:f>W2560/MAX($W$2559:W2560)-1</x:f>
        <x:v>0</x:v>
      </x:c>
      <x:c r="AL2560" s="83" t="n">
        <x:f>'Inputs'!$B$51</x:f>
        <x:v>1</x:v>
      </x:c>
      <x:c r="AM2560" s="83" t="n">
        <x:f>'Inputs'!$C$51</x:f>
        <x:v>2</x:v>
      </x:c>
      <x:c r="AN2560" s="83" t="n">
        <x:f>'Inputs'!$D$51</x:f>
        <x:v>3</x:v>
      </x:c>
      <x:c r="AO2560" s="81" t="n">
        <x:f>'Inputs'!$E$51</x:f>
        <x:v>0.1</x:v>
      </x:c>
    </x:row>
    <x:row r="2561">
      <x:c r="A2561" s="59" t="str">
        <x:v>High demand</x:v>
      </x:c>
      <x:c r="B2561" s="59" t="n">
        <x:v>3</x:v>
      </x:c>
      <x:c r="C2561" s="78" t="n">
        <x:f>(('Inputs'!$B$29*(3*3*'Inputs'!$B$12-3^2)/(2*'Inputs'!$B$12^2))-('Inputs'!$B$29*(3*2*'Inputs'!$B$12-2^2)/(2*'Inputs'!$B$12^2)))*'Inputs'!$B$51</x:f>
        <x:v>711173.5316194408</x:v>
      </x:c>
      <x:c r="D2561" s="78" t="n">
        <x:f>IF('Inputs'!$C$51&gt;0,('Inputs'!$B$30*(3*3*'Inputs'!$B$12-3^2)/(2*'Inputs'!$B$12^2))-('Inputs'!$B$30*(3*2*'Inputs'!$B$12-2^2)/(2*'Inputs'!$B$12^2)),0)</x:f>
        <x:v>304788.6564083317</x:v>
      </x:c>
      <x:c r="E2561" s="78" t="n">
        <x:f>C2561+D2561</x:f>
        <x:v>1015962.1880277725</x:v>
      </x:c>
      <x:c r="F2561" s="78" t="n">
        <x:f>'Inputs'!$B$13*E2561+(1-'Inputs'!$B$13)/'Inputs'!$B$14*SUM(E2559:E2561)</x:f>
        <x:v>246753.57880063265</x:v>
      </x:c>
      <x:c r="G2561" s="78" t="n">
        <x:f>F2561*'Inputs'!$F$51</x:f>
        <x:v>61688.39470015816</x:v>
      </x:c>
      <x:c r="H2561" s="78" t="n">
        <x:f>U2560</x:f>
        <x:v>3459181.233554051</x:v>
      </x:c>
      <x:c r="I2561" s="78" t="n">
        <x:f>V2560</x:f>
        <x:v>18670.904642014855</x:v>
      </x:c>
      <x:c r="J2561" s="79" t="n">
        <x:f>IF(H2561&gt;0,I2561/H2561,0)</x:f>
        <x:v>0.0053974924646639265</x:v>
      </x:c>
      <x:c r="K2561" s="80" t="n">
        <x:f>(H2561*J2561+I2561)*'Inputs'!$D$51*(1+'Inputs'!$G$51)^(B2561/30)</x:f>
        <x:v>112573.33729637555</x:v>
      </x:c>
      <x:c r="L2561" s="80" t="n">
        <x:f>MAX(0,K2561*'Inputs'!$E$51)</x:f>
        <x:v>11257.333729637556</x:v>
      </x:c>
      <x:c r="M2561" s="80" t="n">
        <x:f>MAX(0,-K2561*'Inputs'!$E$51)</x:f>
        <x:v>0</x:v>
      </x:c>
      <x:c r="N2561" s="78" t="n">
        <x:f>H2561*(L2561*(1-'Inputs'!$B$15))/(I2561+L2561*(1-'Inputs'!$B$15))</x:f>
        <x:v>1293003.0558506956</x:v>
      </x:c>
      <x:c r="O2561" s="78" t="n">
        <x:f>H2561-N2561</x:f>
        <x:v>2166178.1777033554</x:v>
      </x:c>
      <x:c r="P2561" s="78" t="n">
        <x:f>I2561+L2561*(1-'Inputs'!$B$17)</x:f>
        <x:v>29882.937229883246</x:v>
      </x:c>
      <x:c r="Q2561" s="78" t="n">
        <x:f>IF(J2561&gt;0,M2561/J2561,0)</x:f>
        <x:v>0</x:v>
      </x:c>
      <x:c r="R2561" s="78" t="n">
        <x:f>IF(B2561='Inputs'!$H$51,'Inputs'!$B$27*'Inputs'!$I$51,0)</x:f>
        <x:v>0</x:v>
      </x:c>
      <x:c r="S2561" s="78" t="n">
        <x:f>Q2561+G2561+R2561</x:f>
        <x:v>61688.39470015816</x:v>
      </x:c>
      <x:c r="T2561" s="78" t="n">
        <x:f>P2561*(S2561*(1-'Inputs'!$B$15))/(O2561+S2561*(1-'Inputs'!$B$15))</x:f>
        <x:v>819.3944899080639</x:v>
      </x:c>
      <x:c r="U2561" s="78" t="n">
        <x:f>O2561+S2561*(1-'Inputs'!$B$17)</x:f>
        <x:v>2227618.3293664907</x:v>
      </x:c>
      <x:c r="V2561" s="78" t="n">
        <x:f>P2561-T2561</x:f>
        <x:v>29063.542739975182</x:v>
      </x:c>
      <x:c r="W2561" s="79" t="n">
        <x:f>IF(U2561&gt;0,V2561/U2561,0)</x:f>
        <x:v>0.01304691308956886</x:v>
      </x:c>
      <x:c r="X2561" s="80" t="n">
        <x:f>W2561*('Inputs'!$B$6-AC2561)</x:f>
        <x:v>13044422.131032355</x:v>
      </x:c>
      <x:c r="Y2561" s="80" t="n">
        <x:f>2*V2561</x:f>
        <x:v>58127.085479950365</x:v>
      </x:c>
      <x:c r="Z2561" s="80" t="n">
        <x:f>K2561*'Inputs'!$B$16+(G2561+R2561)*J2561*'Inputs'!$B$16</x:f>
        <x:v>677.4377996515612</x:v>
      </x:c>
      <x:c r="AA2561" s="80" t="n">
        <x:f>K2561*(1+'Inputs'!$E$51)/2*'Inputs'!$B$17</x:f>
        <x:v>249.15627973040873</x:v>
      </x:c>
      <x:c r="AB2561" s="78" t="n">
        <x:f>(IF(J2561&gt;0,K2561*(1-'Inputs'!$E$51)/2/J2561,0)+G2561+R2561)*'Inputs'!$B$17</x:f>
        <x:v>38016.73262655598</x:v>
      </x:c>
      <x:c r="AC2561" s="78" t="n">
        <x:f>AC2560+AB2561</x:f>
        <x:v>190923.210678633</x:v>
      </x:c>
      <x:c r="AD2561" s="80" t="n">
        <x:f>Z2561/(1+'Inputs'!$C$51)</x:f>
        <x:v>225.81259988385375</x:v>
      </x:c>
      <x:c r="AE2561" s="80" t="n">
        <x:f>Z2561-AD2561</x:f>
        <x:v>451.6251997677075</x:v>
      </x:c>
      <x:c r="AF2561" s="80" t="n">
        <x:f>D2561*W2561</x:f>
        <x:v>3976.5511108459687</x:v>
      </x:c>
      <x:c r="AG2561" s="80" t="n">
        <x:f>C2561*W2561</x:f>
        <x:v>9278.619258640594</x:v>
      </x:c>
      <x:c r="AH2561" s="80" t="n">
        <x:f>2*'Inputs'!$B$8*'Inputs'!$C$51</x:f>
        <x:v>10000</x:v>
      </x:c>
      <x:c r="AI2561" s="81" t="n">
        <x:f>IF(AH2561&gt;0,(AE2561+AF2561)/AH2561*365,0)</x:f>
        <x:v>161.62843533739917</x:v>
      </x:c>
      <x:c r="AJ2561" s="81" t="n">
        <x:f>IF('Inputs'!$B$51&gt;0,AG2561/('Inputs'!$B$19*'Inputs'!$B$51)*365,0)</x:f>
        <x:v>338.6696029403817</x:v>
      </x:c>
      <x:c r="AK2561" s="81" t="n">
        <x:f>W2561/MAX($W$2559:W2561)-1</x:f>
        <x:v>0</x:v>
      </x:c>
      <x:c r="AL2561" s="83" t="n">
        <x:f>'Inputs'!$B$51</x:f>
        <x:v>1</x:v>
      </x:c>
      <x:c r="AM2561" s="83" t="n">
        <x:f>'Inputs'!$C$51</x:f>
        <x:v>2</x:v>
      </x:c>
      <x:c r="AN2561" s="83" t="n">
        <x:f>'Inputs'!$D$51</x:f>
        <x:v>3</x:v>
      </x:c>
      <x:c r="AO2561" s="81" t="n">
        <x:f>'Inputs'!$E$51</x:f>
        <x:v>0.1</x:v>
      </x:c>
    </x:row>
    <x:row r="2562">
      <x:c r="A2562" s="59" t="str">
        <x:v>High demand</x:v>
      </x:c>
      <x:c r="B2562" s="59" t="n">
        <x:v>4</x:v>
      </x:c>
      <x:c r="C2562" s="78" t="n">
        <x:f>(('Inputs'!$B$29*(3*4*'Inputs'!$B$12-4^2)/(2*'Inputs'!$B$12^2))-('Inputs'!$B$29*(3*3*'Inputs'!$B$12-3^2)/(2*'Inputs'!$B$12^2)))*'Inputs'!$B$51</x:f>
        <x:v>710848.423719272</x:v>
      </x:c>
      <x:c r="D2562" s="78" t="n">
        <x:f>IF('Inputs'!$C$51&gt;0,('Inputs'!$B$30*(3*4*'Inputs'!$B$12-4^2)/(2*'Inputs'!$B$12^2))-('Inputs'!$B$30*(3*3*'Inputs'!$B$12-3^2)/(2*'Inputs'!$B$12^2)),0)</x:f>
        <x:v>304649.3244511165</x:v>
      </x:c>
      <x:c r="E2562" s="78" t="n">
        <x:f>C2562+D2562</x:f>
        <x:v>1015497.7481703885</x:v>
      </x:c>
      <x:c r="F2562" s="78" t="n">
        <x:f>'Inputs'!$B$13*E2562+(1-'Inputs'!$B$13)/'Inputs'!$B$14*SUM(E2559:E2562)</x:f>
        <x:v>261167.80151730427</x:v>
      </x:c>
      <x:c r="G2562" s="78" t="n">
        <x:f>F2562*'Inputs'!$F$51</x:f>
        <x:v>65291.95037932607</x:v>
      </x:c>
      <x:c r="H2562" s="78" t="n">
        <x:f>U2561</x:f>
        <x:v>2227618.3293664907</x:v>
      </x:c>
      <x:c r="I2562" s="78" t="n">
        <x:f>V2561</x:f>
        <x:v>29063.542739975182</x:v>
      </x:c>
      <x:c r="J2562" s="79" t="n">
        <x:f>IF(H2562&gt;0,I2562/H2562,0)</x:f>
        <x:v>0.01304691308956886</x:v>
      </x:c>
      <x:c r="K2562" s="80" t="n">
        <x:f>(H2562*J2562+I2562)*'Inputs'!$D$51*(1+'Inputs'!$G$51)^(B2562/30)</x:f>
        <x:v>175519.3663480738</x:v>
      </x:c>
      <x:c r="L2562" s="80" t="n">
        <x:f>MAX(0,K2562*'Inputs'!$E$51)</x:f>
        <x:v>17551.936634807378</x:v>
      </x:c>
      <x:c r="M2562" s="80" t="n">
        <x:f>MAX(0,-K2562*'Inputs'!$E$51)</x:f>
        <x:v>0</x:v>
      </x:c>
      <x:c r="N2562" s="78" t="n">
        <x:f>H2562*(L2562*(1-'Inputs'!$B$15))/(I2562+L2562*(1-'Inputs'!$B$15))</x:f>
        <x:v>833506.8677688385</x:v>
      </x:c>
      <x:c r="O2562" s="78" t="n">
        <x:f>H2562-N2562</x:f>
        <x:v>1394111.4615976522</x:v>
      </x:c>
      <x:c r="P2562" s="78" t="n">
        <x:f>I2562+L2562*(1-'Inputs'!$B$17)</x:f>
        <x:v>46544.84783902881</x:v>
      </x:c>
      <x:c r="Q2562" s="78" t="n">
        <x:f>IF(J2562&gt;0,M2562/J2562,0)</x:f>
        <x:v>0</x:v>
      </x:c>
      <x:c r="R2562" s="78" t="n">
        <x:f>IF(B2562='Inputs'!$H$51,'Inputs'!$B$27*'Inputs'!$I$51,0)</x:f>
        <x:v>0</x:v>
      </x:c>
      <x:c r="S2562" s="78" t="n">
        <x:f>Q2562+G2562+R2562</x:f>
        <x:v>65291.95037932607</x:v>
      </x:c>
      <x:c r="T2562" s="78" t="n">
        <x:f>P2562*(S2562*(1-'Inputs'!$B$15))/(O2562+S2562*(1-'Inputs'!$B$15))</x:f>
        <x:v>2062.459531008017</x:v>
      </x:c>
      <x:c r="U2562" s="78" t="n">
        <x:f>O2562+S2562*(1-'Inputs'!$B$17)</x:f>
        <x:v>1459140.6677098582</x:v>
      </x:c>
      <x:c r="V2562" s="78" t="n">
        <x:f>P2562-T2562</x:f>
        <x:v>44482.38830802079</x:v>
      </x:c>
      <x:c r="W2562" s="79" t="n">
        <x:f>IF(U2562&gt;0,V2562/U2562,0)</x:f>
        <x:v>0.030485332423663115</x:v>
      </x:c>
      <x:c r="X2562" s="80" t="n">
        <x:f>W2562*('Inputs'!$B$6-AC2562)</x:f>
        <x:v>30478761.38892632</x:v>
      </x:c>
      <x:c r="Y2562" s="80" t="n">
        <x:f>2*V2562</x:f>
        <x:v>88964.77661604158</x:v>
      </x:c>
      <x:c r="Z2562" s="80" t="n">
        <x:f>K2562*'Inputs'!$B$16+(G2562+R2562)*J2562*'Inputs'!$B$16</x:f>
        <x:v>1058.2273485007279</x:v>
      </x:c>
      <x:c r="AA2562" s="80" t="n">
        <x:f>K2562*(1+'Inputs'!$E$51)/2*'Inputs'!$B$17</x:f>
        <x:v>388.4734466456362</x:v>
      </x:c>
      <x:c r="AB2562" s="78" t="n">
        <x:f>(IF(J2562&gt;0,K2562*(1-'Inputs'!$E$51)/2/J2562,0)+G2562+R2562)*'Inputs'!$B$17</x:f>
        <x:v>24624.208830412164</x:v>
      </x:c>
      <x:c r="AC2562" s="78" t="n">
        <x:f>AC2561+AB2562</x:f>
        <x:v>215547.41950904517</x:v>
      </x:c>
      <x:c r="AD2562" s="80" t="n">
        <x:f>Z2562/(1+'Inputs'!$C$51)</x:f>
        <x:v>352.7424495002426</x:v>
      </x:c>
      <x:c r="AE2562" s="80" t="n">
        <x:f>Z2562-AD2562</x:f>
        <x:v>705.4848990004853</x:v>
      </x:c>
      <x:c r="AF2562" s="80" t="n">
        <x:f>D2562*W2562</x:f>
        <x:v>9287.335928536686</x:v>
      </x:c>
      <x:c r="AG2562" s="80" t="n">
        <x:f>C2562*W2562</x:f>
        <x:v>21670.45049991894</x:v>
      </x:c>
      <x:c r="AH2562" s="80" t="n">
        <x:f>2*'Inputs'!$B$8*'Inputs'!$C$51</x:f>
        <x:v>10000</x:v>
      </x:c>
      <x:c r="AI2562" s="81" t="n">
        <x:f>IF(AH2562&gt;0,(AE2562+AF2562)/AH2562*365,0)</x:f>
        <x:v>364.73796020510673</x:v>
      </x:c>
      <x:c r="AJ2562" s="81" t="n">
        <x:f>IF('Inputs'!$B$51&gt;0,AG2562/('Inputs'!$B$19*'Inputs'!$B$51)*365,0)</x:f>
        <x:v>790.9714432470413</x:v>
      </x:c>
      <x:c r="AK2562" s="81" t="n">
        <x:f>W2562/MAX($W$2559:W2562)-1</x:f>
        <x:v>0</x:v>
      </x:c>
      <x:c r="AL2562" s="83" t="n">
        <x:f>'Inputs'!$B$51</x:f>
        <x:v>1</x:v>
      </x:c>
      <x:c r="AM2562" s="83" t="n">
        <x:f>'Inputs'!$C$51</x:f>
        <x:v>2</x:v>
      </x:c>
      <x:c r="AN2562" s="83" t="n">
        <x:f>'Inputs'!$D$51</x:f>
        <x:v>3</x:v>
      </x:c>
      <x:c r="AO2562" s="81" t="n">
        <x:f>'Inputs'!$E$51</x:f>
        <x:v>0.1</x:v>
      </x:c>
    </x:row>
    <x:row r="2563">
      <x:c r="A2563" s="59" t="str">
        <x:v>High demand</x:v>
      </x:c>
      <x:c r="B2563" s="59" t="n">
        <x:v>5</x:v>
      </x:c>
      <x:c r="C2563" s="78" t="n">
        <x:f>(('Inputs'!$B$29*(3*5*'Inputs'!$B$12-5^2)/(2*'Inputs'!$B$12^2))-('Inputs'!$B$29*(3*4*'Inputs'!$B$12-4^2)/(2*'Inputs'!$B$12^2)))*'Inputs'!$B$51</x:f>
        <x:v>710523.3158191028</x:v>
      </x:c>
      <x:c r="D2563" s="78" t="n">
        <x:f>IF('Inputs'!$C$51&gt;0,('Inputs'!$B$30*(3*5*'Inputs'!$B$12-5^2)/(2*'Inputs'!$B$12^2))-('Inputs'!$B$30*(3*4*'Inputs'!$B$12-4^2)/(2*'Inputs'!$B$12^2)),0)</x:f>
        <x:v>304509.9924939014</x:v>
      </x:c>
      <x:c r="E2563" s="78" t="n">
        <x:f>C2563+D2563</x:f>
        <x:v>1015033.3083130042</x:v>
      </x:c>
      <x:c r="F2563" s="78" t="n">
        <x:f>'Inputs'!$B$13*E2563+(1-'Inputs'!$B$13)/'Inputs'!$B$14*SUM(E2559:E2563)</x:f>
        <x:v>275575.3893788703</x:v>
      </x:c>
      <x:c r="G2563" s="78" t="n">
        <x:f>F2563*'Inputs'!$F$51</x:f>
        <x:v>68893.84734471758</x:v>
      </x:c>
      <x:c r="H2563" s="78" t="n">
        <x:f>U2562</x:f>
        <x:v>1459140.6677098582</x:v>
      </x:c>
      <x:c r="I2563" s="78" t="n">
        <x:f>V2562</x:f>
        <x:v>44482.38830802079</x:v>
      </x:c>
      <x:c r="J2563" s="79" t="n">
        <x:f>IF(H2563&gt;0,I2563/H2563,0)</x:f>
        <x:v>0.030485332423663115</x:v>
      </x:c>
      <x:c r="K2563" s="80" t="n">
        <x:f>(H2563*J2563+I2563)*'Inputs'!$D$51*(1+'Inputs'!$G$51)^(B2563/30)</x:f>
        <x:v>269073.48096346</x:v>
      </x:c>
      <x:c r="L2563" s="80" t="n">
        <x:f>MAX(0,K2563*'Inputs'!$E$51)</x:f>
        <x:v>26907.348096346002</x:v>
      </x:c>
      <x:c r="M2563" s="80" t="n">
        <x:f>MAX(0,-K2563*'Inputs'!$E$51)</x:f>
        <x:v>0</x:v>
      </x:c>
      <x:c r="N2563" s="78" t="n">
        <x:f>H2563*(L2563*(1-'Inputs'!$B$15))/(I2563+L2563*(1-'Inputs'!$B$15))</x:f>
        <x:v>546521.7590953785</x:v>
      </x:c>
      <x:c r="O2563" s="78" t="n">
        <x:f>H2563-N2563</x:f>
        <x:v>912618.9086144797</x:v>
      </x:c>
      <x:c r="P2563" s="78" t="n">
        <x:f>I2563+L2563*(1-'Inputs'!$B$17)</x:f>
        <x:v>71281.4573375807</x:v>
      </x:c>
      <x:c r="Q2563" s="78" t="n">
        <x:f>IF(J2563&gt;0,M2563/J2563,0)</x:f>
        <x:v>0</x:v>
      </x:c>
      <x:c r="R2563" s="78" t="n">
        <x:f>IF(B2563='Inputs'!$H$51,'Inputs'!$B$27*'Inputs'!$I$51,0)</x:f>
        <x:v>0</x:v>
      </x:c>
      <x:c r="S2563" s="78" t="n">
        <x:f>Q2563+G2563+R2563</x:f>
        <x:v>68893.84734471758</x:v>
      </x:c>
      <x:c r="T2563" s="78" t="n">
        <x:f>P2563*(S2563*(1-'Inputs'!$B$15))/(O2563+S2563*(1-'Inputs'!$B$15))</x:f>
        <x:v>4956.797760461882</x:v>
      </x:c>
      <x:c r="U2563" s="78" t="n">
        <x:f>O2563+S2563*(1-'Inputs'!$B$17)</x:f>
        <x:v>981235.5171368845</x:v>
      </x:c>
      <x:c r="V2563" s="78" t="n">
        <x:f>P2563-T2563</x:f>
        <x:v>66324.65957711881</x:v>
      </x:c>
      <x:c r="W2563" s="79" t="n">
        <x:f>IF(U2563&gt;0,V2563/U2563,0)</x:f>
        <x:v>0.06759300740626002</x:v>
      </x:c>
      <x:c r="X2563" s="80" t="n">
        <x:f>W2563*('Inputs'!$B$6-AC2563)</x:f>
        <x:v>67577338.81013183</x:v>
      </x:c>
      <x:c r="Y2563" s="80" t="n">
        <x:f>2*V2563</x:f>
        <x:v>132649.31915423763</x:v>
      </x:c>
      <x:c r="Z2563" s="80" t="n">
        <x:f>K2563*'Inputs'!$B$16+(G2563+R2563)*J2563*'Inputs'!$B$16</x:f>
        <x:v>1627.042396810253</x:v>
      </x:c>
      <x:c r="AA2563" s="80" t="n">
        <x:f>K2563*(1+'Inputs'!$E$51)/2*'Inputs'!$B$17</x:f>
        <x:v>595.5348673235534</x:v>
      </x:c>
      <x:c r="AB2563" s="78" t="n">
        <x:f>(IF(J2563&gt;0,K2563*(1-'Inputs'!$E$51)/2/J2563,0)+G2563+R2563)*'Inputs'!$B$17</x:f>
        <x:v>16260.52526859202</x:v>
      </x:c>
      <x:c r="AC2563" s="78" t="n">
        <x:f>AC2562+AB2563</x:f>
        <x:v>231807.9447776372</x:v>
      </x:c>
      <x:c r="AD2563" s="80" t="n">
        <x:f>Z2563/(1+'Inputs'!$C$51)</x:f>
        <x:v>542.3474656034176</x:v>
      </x:c>
      <x:c r="AE2563" s="80" t="n">
        <x:f>Z2563-AD2563</x:f>
        <x:v>1084.6949312068355</x:v>
      </x:c>
      <x:c r="AF2563" s="80" t="n">
        <x:f>D2563*W2563</x:f>
        <x:v>20582.74617792046</x:v>
      </x:c>
      <x:c r="AG2563" s="80" t="n">
        <x:f>C2563*W2563</x:f>
        <x:v>48026.40774848105</x:v>
      </x:c>
      <x:c r="AH2563" s="80" t="n">
        <x:f>2*'Inputs'!$B$8*'Inputs'!$C$51</x:f>
        <x:v>10000</x:v>
      </x:c>
      <x:c r="AI2563" s="81" t="n">
        <x:f>IF(AH2563&gt;0,(AE2563+AF2563)/AH2563*365,0)</x:f>
        <x:v>790.8616004831463</x:v>
      </x:c>
      <x:c r="AJ2563" s="81" t="n">
        <x:f>IF('Inputs'!$B$51&gt;0,AG2563/('Inputs'!$B$19*'Inputs'!$B$51)*365,0)</x:f>
        <x:v>1752.9638828195584</x:v>
      </x:c>
      <x:c r="AK2563" s="81" t="n">
        <x:f>W2563/MAX($W$2559:W2563)-1</x:f>
        <x:v>0</x:v>
      </x:c>
      <x:c r="AL2563" s="83" t="n">
        <x:f>'Inputs'!$B$51</x:f>
        <x:v>1</x:v>
      </x:c>
      <x:c r="AM2563" s="83" t="n">
        <x:f>'Inputs'!$C$51</x:f>
        <x:v>2</x:v>
      </x:c>
      <x:c r="AN2563" s="83" t="n">
        <x:f>'Inputs'!$D$51</x:f>
        <x:v>3</x:v>
      </x:c>
      <x:c r="AO2563" s="81" t="n">
        <x:f>'Inputs'!$E$51</x:f>
        <x:v>0.1</x:v>
      </x:c>
    </x:row>
    <x:row r="2564">
      <x:c r="A2564" s="59" t="str">
        <x:v>High demand</x:v>
      </x:c>
      <x:c r="B2564" s="59" t="n">
        <x:v>6</x:v>
      </x:c>
      <x:c r="C2564" s="78" t="n">
        <x:f>(('Inputs'!$B$29*(3*6*'Inputs'!$B$12-6^2)/(2*'Inputs'!$B$12^2))-('Inputs'!$B$29*(3*5*'Inputs'!$B$12-5^2)/(2*'Inputs'!$B$12^2)))*'Inputs'!$B$51</x:f>
        <x:v>710198.2079189345</x:v>
      </x:c>
      <x:c r="D2564" s="78" t="n">
        <x:f>IF('Inputs'!$C$51&gt;0,('Inputs'!$B$30*(3*6*'Inputs'!$B$12-6^2)/(2*'Inputs'!$B$12^2))-('Inputs'!$B$30*(3*5*'Inputs'!$B$12-5^2)/(2*'Inputs'!$B$12^2)),0)</x:f>
        <x:v>304370.66053668596</x:v>
      </x:c>
      <x:c r="E2564" s="78" t="n">
        <x:f>C2564+D2564</x:f>
        <x:v>1014568.8684556205</x:v>
      </x:c>
      <x:c r="F2564" s="78" t="n">
        <x:f>'Inputs'!$B$13*E2564+(1-'Inputs'!$B$13)/'Inputs'!$B$14*SUM(E2559:E2564)</x:f>
        <x:v>289976.342385331</x:v>
      </x:c>
      <x:c r="G2564" s="78" t="n">
        <x:f>F2564*'Inputs'!$F$51</x:f>
        <x:v>72494.08559633275</x:v>
      </x:c>
      <x:c r="H2564" s="78" t="n">
        <x:f>U2563</x:f>
        <x:v>981235.5171368845</x:v>
      </x:c>
      <x:c r="I2564" s="78" t="n">
        <x:f>V2563</x:f>
        <x:v>66324.65957711881</x:v>
      </x:c>
      <x:c r="J2564" s="79" t="n">
        <x:f>IF(H2564&gt;0,I2564/H2564,0)</x:f>
        <x:v>0.06759300740626002</x:v>
      </x:c>
      <x:c r="K2564" s="80" t="n">
        <x:f>(H2564*J2564+I2564)*'Inputs'!$D$51*(1+'Inputs'!$G$51)^(B2564/30)</x:f>
        <x:v>401850.154618169</x:v>
      </x:c>
      <x:c r="L2564" s="80" t="n">
        <x:f>MAX(0,K2564*'Inputs'!$E$51)</x:f>
        <x:v>40185.0154618169</x:v>
      </x:c>
      <x:c r="M2564" s="80" t="n">
        <x:f>MAX(0,-K2564*'Inputs'!$E$51)</x:f>
        <x:v>0</x:v>
      </x:c>
      <x:c r="N2564" s="78" t="n">
        <x:f>H2564*(L2564*(1-'Inputs'!$B$15))/(I2564+L2564*(1-'Inputs'!$B$15))</x:f>
        <x:v>367896.0983896374</x:v>
      </x:c>
      <x:c r="O2564" s="78" t="n">
        <x:f>H2564-N2564</x:f>
        <x:v>613339.4187472471</x:v>
      </x:c>
      <x:c r="P2564" s="78" t="n">
        <x:f>I2564+L2564*(1-'Inputs'!$B$17)</x:f>
        <x:v>106347.9647151457</x:v>
      </x:c>
      <x:c r="Q2564" s="78" t="n">
        <x:f>IF(J2564&gt;0,M2564/J2564,0)</x:f>
        <x:v>0</x:v>
      </x:c>
      <x:c r="R2564" s="78" t="n">
        <x:f>IF(B2564='Inputs'!$H$51,'Inputs'!$B$27*'Inputs'!$I$51,0)</x:f>
        <x:v>0</x:v>
      </x:c>
      <x:c r="S2564" s="78" t="n">
        <x:f>Q2564+G2564+R2564</x:f>
        <x:v>72494.08559633275</x:v>
      </x:c>
      <x:c r="T2564" s="78" t="n">
        <x:f>P2564*(S2564*(1-'Inputs'!$B$15))/(O2564+S2564*(1-'Inputs'!$B$15))</x:f>
        <x:v>11140.57374152637</x:v>
      </x:c>
      <x:c r="U2564" s="78" t="n">
        <x:f>O2564+S2564*(1-'Inputs'!$B$17)</x:f>
        <x:v>685541.7776409789</x:v>
      </x:c>
      <x:c r="V2564" s="78" t="n">
        <x:f>P2564-T2564</x:f>
        <x:v>95207.39097361933</x:v>
      </x:c>
      <x:c r="W2564" s="79" t="n">
        <x:f>IF(U2564&gt;0,V2564/U2564,0)</x:f>
        <x:v>0.13887905023270491</x:v>
      </x:c>
      <x:c r="X2564" s="80" t="n">
        <x:f>W2564*('Inputs'!$B$6-AC2564)</x:f>
        <x:v>138845321.2991757</x:v>
      </x:c>
      <x:c r="Y2564" s="80" t="n">
        <x:f>2*V2564</x:f>
        <x:v>190414.78194723866</x:v>
      </x:c>
      <x:c r="Z2564" s="80" t="n">
        <x:f>K2564*'Inputs'!$B$16+(G2564+R2564)*J2564*'Inputs'!$B$16</x:f>
        <x:v>2440.501487296752</x:v>
      </x:c>
      <x:c r="AA2564" s="80" t="n">
        <x:f>K2564*(1+'Inputs'!$E$51)/2*'Inputs'!$B$17</x:f>
        <x:v>889.4067808450421</x:v>
      </x:c>
      <x:c r="AB2564" s="78" t="n">
        <x:f>(IF(J2564&gt;0,K2564*(1-'Inputs'!$E$51)/2/J2564,0)+G2564+R2564)*'Inputs'!$B$17</x:f>
        <x:v>11057.580819452083</x:v>
      </x:c>
      <x:c r="AC2564" s="78" t="n">
        <x:f>AC2563+AB2564</x:f>
        <x:v>242865.5255970893</x:v>
      </x:c>
      <x:c r="AD2564" s="80" t="n">
        <x:f>Z2564/(1+'Inputs'!$C$51)</x:f>
        <x:v>813.5004957655841</x:v>
      </x:c>
      <x:c r="AE2564" s="80" t="n">
        <x:f>Z2564-AD2564</x:f>
        <x:v>1627.000991531168</x:v>
      </x:c>
      <x:c r="AF2564" s="80" t="n">
        <x:f>D2564*W2564</x:f>
        <x:v>42270.708254035984</x:v>
      </x:c>
      <x:c r="AG2564" s="80" t="n">
        <x:f>C2564*W2564</x:f>
        <x:v>98631.65259275072</x:v>
      </x:c>
      <x:c r="AH2564" s="80" t="n">
        <x:f>2*'Inputs'!$B$8*'Inputs'!$C$51</x:f>
        <x:v>10000</x:v>
      </x:c>
      <x:c r="AI2564" s="81" t="n">
        <x:f>IF(AH2564&gt;0,(AE2564+AF2564)/AH2564*365,0)</x:f>
        <x:v>1602.266387463201</x:v>
      </x:c>
      <x:c r="AJ2564" s="81" t="n">
        <x:f>IF('Inputs'!$B$51&gt;0,AG2564/('Inputs'!$B$19*'Inputs'!$B$51)*365,0)</x:f>
        <x:v>3600.055319635401</x:v>
      </x:c>
      <x:c r="AK2564" s="81" t="n">
        <x:f>W2564/MAX($W$2559:W2564)-1</x:f>
        <x:v>0</x:v>
      </x:c>
      <x:c r="AL2564" s="83" t="n">
        <x:f>'Inputs'!$B$51</x:f>
        <x:v>1</x:v>
      </x:c>
      <x:c r="AM2564" s="83" t="n">
        <x:f>'Inputs'!$C$51</x:f>
        <x:v>2</x:v>
      </x:c>
      <x:c r="AN2564" s="83" t="n">
        <x:f>'Inputs'!$D$51</x:f>
        <x:v>3</x:v>
      </x:c>
      <x:c r="AO2564" s="81" t="n">
        <x:f>'Inputs'!$E$51</x:f>
        <x:v>0.1</x:v>
      </x:c>
    </x:row>
    <x:row r="2565">
      <x:c r="A2565" s="59" t="str">
        <x:v>High demand</x:v>
      </x:c>
      <x:c r="B2565" s="59" t="n">
        <x:v>7</x:v>
      </x:c>
      <x:c r="C2565" s="78" t="n">
        <x:f>(('Inputs'!$B$29*(3*7*'Inputs'!$B$12-7^2)/(2*'Inputs'!$B$12^2))-('Inputs'!$B$29*(3*6*'Inputs'!$B$12-6^2)/(2*'Inputs'!$B$12^2)))*'Inputs'!$B$51</x:f>
        <x:v>709873.1000187648</x:v>
      </x:c>
      <x:c r="D2565" s="78" t="n">
        <x:f>IF('Inputs'!$C$51&gt;0,('Inputs'!$B$30*(3*7*'Inputs'!$B$12-7^2)/(2*'Inputs'!$B$12^2))-('Inputs'!$B$30*(3*6*'Inputs'!$B$12-6^2)/(2*'Inputs'!$B$12^2)),0)</x:f>
        <x:v>304231.32857947075</x:v>
      </x:c>
      <x:c r="E2565" s="78" t="n">
        <x:f>C2565+D2565</x:f>
        <x:v>1014104.4285982356</x:v>
      </x:c>
      <x:c r="F2565" s="78" t="n">
        <x:f>'Inputs'!$B$13*E2565+(1-'Inputs'!$B$13)/'Inputs'!$B$14*SUM(E2559:E2565)</x:f>
        <x:v>304370.66053668596</x:v>
      </x:c>
      <x:c r="G2565" s="78" t="n">
        <x:f>F2565*'Inputs'!$F$51</x:f>
        <x:v>76092.66513417149</x:v>
      </x:c>
      <x:c r="H2565" s="78" t="n">
        <x:f>U2564</x:f>
        <x:v>685541.7776409789</x:v>
      </x:c>
      <x:c r="I2565" s="78" t="n">
        <x:f>V2564</x:f>
        <x:v>95207.39097361933</x:v>
      </x:c>
      <x:c r="J2565" s="79" t="n">
        <x:f>IF(H2565&gt;0,I2565/H2565,0)</x:f>
        <x:v>0.13887905023270491</x:v>
      </x:c>
      <x:c r="K2565" s="80" t="n">
        <x:f>(H2565*J2565+I2565)*'Inputs'!$D$51*(1+'Inputs'!$G$51)^(B2565/30)</x:f>
        <x:v>577784.7623996658</x:v>
      </x:c>
      <x:c r="L2565" s="80" t="n">
        <x:f>MAX(0,K2565*'Inputs'!$E$51)</x:f>
        <x:v>57778.47623996658</x:v>
      </x:c>
      <x:c r="M2565" s="80" t="n">
        <x:f>MAX(0,-K2565*'Inputs'!$E$51)</x:f>
        <x:v>0</x:v>
      </x:c>
      <x:c r="N2565" s="78" t="n">
        <x:f>H2565*(L2565*(1-'Inputs'!$B$15))/(I2565+L2565*(1-'Inputs'!$B$15))</x:f>
        <x:v>257292.54700375767</x:v>
      </x:c>
      <x:c r="O2565" s="78" t="n">
        <x:f>H2565-N2565</x:f>
        <x:v>428249.23063722125</x:v>
      </x:c>
      <x:c r="P2565" s="78" t="n">
        <x:f>I2565+L2565*(1-'Inputs'!$B$17)</x:f>
        <x:v>152753.35825487378</x:v>
      </x:c>
      <x:c r="Q2565" s="78" t="n">
        <x:f>IF(J2565&gt;0,M2565/J2565,0)</x:f>
        <x:v>0</x:v>
      </x:c>
      <x:c r="R2565" s="78" t="n">
        <x:f>IF(B2565='Inputs'!$H$51,'Inputs'!$B$27*'Inputs'!$I$51,0)</x:f>
        <x:v>0</x:v>
      </x:c>
      <x:c r="S2565" s="78" t="n">
        <x:f>Q2565+G2565+R2565</x:f>
        <x:v>76092.66513417149</x:v>
      </x:c>
      <x:c r="T2565" s="78" t="n">
        <x:f>P2565*(S2565*(1-'Inputs'!$B$15))/(O2565+S2565*(1-'Inputs'!$B$15))</x:f>
        <x:v>22850.69679368068</x:v>
      </x:c>
      <x:c r="U2565" s="78" t="n">
        <x:f>O2565+S2565*(1-'Inputs'!$B$17)</x:f>
        <x:v>504035.6878634081</x:v>
      </x:c>
      <x:c r="V2565" s="78" t="n">
        <x:f>P2565-T2565</x:f>
        <x:v>129902.6614611931</x:v>
      </x:c>
      <x:c r="W2565" s="79" t="n">
        <x:f>IF(U2565&gt;0,V2565/U2565,0)</x:f>
        <x:v>0.25772512659142555</x:v>
      </x:c>
      <x:c r="X2565" s="80" t="n">
        <x:f>W2565*('Inputs'!$B$6-AC2565)</x:f>
        <x:v>257660513.46989438</x:v>
      </x:c>
      <x:c r="Y2565" s="80" t="n">
        <x:f>2*V2565</x:f>
        <x:v>259805.3229223862</x:v>
      </x:c>
      <x:c r="Z2565" s="80" t="n">
        <x:f>K2565*'Inputs'!$B$16+(G2565+R2565)*J2565*'Inputs'!$B$16</x:f>
        <x:v>3530.114636779049</x:v>
      </x:c>
      <x:c r="AA2565" s="80" t="n">
        <x:f>K2565*(1+'Inputs'!$E$51)/2*'Inputs'!$B$17</x:f>
        <x:v>1278.7992729167654</x:v>
      </x:c>
      <x:c r="AB2565" s="78" t="n">
        <x:f>(IF(J2565&gt;0,K2565*(1-'Inputs'!$E$51)/2/J2565,0)+G2565+R2565)*'Inputs'!$B$17</x:f>
        <x:v>7840.031853723482</x:v>
      </x:c>
      <x:c r="AC2565" s="78" t="n">
        <x:f>AC2564+AB2565</x:f>
        <x:v>250705.55745081278</x:v>
      </x:c>
      <x:c r="AD2565" s="80" t="n">
        <x:f>Z2565/(1+'Inputs'!$C$51)</x:f>
        <x:v>1176.7048789263497</x:v>
      </x:c>
      <x:c r="AE2565" s="80" t="n">
        <x:f>Z2565-AD2565</x:f>
        <x:v>2353.409757852699</x:v>
      </x:c>
      <x:c r="AF2565" s="80" t="n">
        <x:f>D2565*W2565</x:f>
        <x:v>78408.05767122169</x:v>
      </x:c>
      <x:c r="AG2565" s="80" t="n">
        <x:f>C2565*W2565</x:f>
        <x:v>182952.13456618387</x:v>
      </x:c>
      <x:c r="AH2565" s="80" t="n">
        <x:f>2*'Inputs'!$B$8*'Inputs'!$C$51</x:f>
        <x:v>10000</x:v>
      </x:c>
      <x:c r="AI2565" s="81" t="n">
        <x:f>IF(AH2565&gt;0,(AE2565+AF2565)/AH2565*365,0)</x:f>
        <x:v>2947.793561161215</x:v>
      </x:c>
      <x:c r="AJ2565" s="81" t="n">
        <x:f>IF('Inputs'!$B$51&gt;0,AG2565/('Inputs'!$B$19*'Inputs'!$B$51)*365,0)</x:f>
        <x:v>6677.7529116657115</x:v>
      </x:c>
      <x:c r="AK2565" s="81" t="n">
        <x:f>W2565/MAX($W$2559:W2565)-1</x:f>
        <x:v>0</x:v>
      </x:c>
      <x:c r="AL2565" s="83" t="n">
        <x:f>'Inputs'!$B$51</x:f>
        <x:v>1</x:v>
      </x:c>
      <x:c r="AM2565" s="83" t="n">
        <x:f>'Inputs'!$C$51</x:f>
        <x:v>2</x:v>
      </x:c>
      <x:c r="AN2565" s="83" t="n">
        <x:f>'Inputs'!$D$51</x:f>
        <x:v>3</x:v>
      </x:c>
      <x:c r="AO2565" s="81" t="n">
        <x:f>'Inputs'!$E$51</x:f>
        <x:v>0.1</x:v>
      </x:c>
    </x:row>
    <x:row r="2566">
      <x:c r="A2566" s="59" t="str">
        <x:v>High demand</x:v>
      </x:c>
      <x:c r="B2566" s="59" t="n">
        <x:v>8</x:v>
      </x:c>
      <x:c r="C2566" s="78" t="n">
        <x:f>(('Inputs'!$B$29*(3*8*'Inputs'!$B$12-8^2)/(2*'Inputs'!$B$12^2))-('Inputs'!$B$29*(3*7*'Inputs'!$B$12-7^2)/(2*'Inputs'!$B$12^2)))*'Inputs'!$B$51</x:f>
        <x:v>709547.9921185961</x:v>
      </x:c>
      <x:c r="D2566" s="78" t="n">
        <x:f>IF('Inputs'!$C$51&gt;0,('Inputs'!$B$30*(3*8*'Inputs'!$B$12-8^2)/(2*'Inputs'!$B$12^2))-('Inputs'!$B$30*(3*7*'Inputs'!$B$12-7^2)/(2*'Inputs'!$B$12^2)),0)</x:f>
        <x:v>304091.99662225554</x:v>
      </x:c>
      <x:c r="E2566" s="78" t="n">
        <x:f>C2566+D2566</x:f>
        <x:v>1013639.9887408516</x:v>
      </x:c>
      <x:c r="F2566" s="78" t="n">
        <x:f>'Inputs'!$B$13*E2566+(1-'Inputs'!$B$13)/'Inputs'!$B$14*SUM(E2559:E2566)</x:f>
        <x:v>318758.3438329357</x:v>
      </x:c>
      <x:c r="G2566" s="78" t="n">
        <x:f>F2566*'Inputs'!$F$51</x:f>
        <x:v>79689.58595823392</x:v>
      </x:c>
      <x:c r="H2566" s="78" t="n">
        <x:f>U2565</x:f>
        <x:v>504035.6878634081</x:v>
      </x:c>
      <x:c r="I2566" s="78" t="n">
        <x:f>V2565</x:f>
        <x:v>129902.6614611931</x:v>
      </x:c>
      <x:c r="J2566" s="79" t="n">
        <x:f>IF(H2566&gt;0,I2566/H2566,0)</x:f>
        <x:v>0.25772512659142555</x:v>
      </x:c>
      <x:c r="K2566" s="80" t="n">
        <x:f>(H2566*J2566+I2566)*'Inputs'!$D$51*(1+'Inputs'!$G$51)^(B2566/30)</x:f>
        <x:v>789622.980504951</x:v>
      </x:c>
      <x:c r="L2566" s="80" t="n">
        <x:f>MAX(0,K2566*'Inputs'!$E$51)</x:f>
        <x:v>78962.2980504951</x:v>
      </x:c>
      <x:c r="M2566" s="80" t="n">
        <x:f>MAX(0,-K2566*'Inputs'!$E$51)</x:f>
        <x:v>0</x:v>
      </x:c>
      <x:c r="N2566" s="78" t="n">
        <x:f>H2566*(L2566*(1-'Inputs'!$B$15))/(I2566+L2566*(1-'Inputs'!$B$15))</x:f>
        <x:v>189363.2311637291</x:v>
      </x:c>
      <x:c r="O2566" s="78" t="n">
        <x:f>H2566-N2566</x:f>
        <x:v>314672.456699679</x:v>
      </x:c>
      <x:c r="P2566" s="78" t="n">
        <x:f>I2566+L2566*(1-'Inputs'!$B$17)</x:f>
        <x:v>208547.20378512685</x:v>
      </x:c>
      <x:c r="Q2566" s="78" t="n">
        <x:f>IF(J2566&gt;0,M2566/J2566,0)</x:f>
        <x:v>0</x:v>
      </x:c>
      <x:c r="R2566" s="78" t="n">
        <x:f>IF(B2566='Inputs'!$H$51,'Inputs'!$B$27*'Inputs'!$I$51,0)</x:f>
        <x:v>0</x:v>
      </x:c>
      <x:c r="S2566" s="78" t="n">
        <x:f>Q2566+G2566+R2566</x:f>
        <x:v>79689.58595823392</x:v>
      </x:c>
      <x:c r="T2566" s="78" t="n">
        <x:f>P2566*(S2566*(1-'Inputs'!$B$15))/(O2566+S2566*(1-'Inputs'!$B$15))</x:f>
        <x:v>41804.641627961704</x:v>
      </x:c>
      <x:c r="U2566" s="78" t="n">
        <x:f>O2566+S2566*(1-'Inputs'!$B$17)</x:f>
        <x:v>394041.3602194492</x:v>
      </x:c>
      <x:c r="V2566" s="78" t="n">
        <x:f>P2566-T2566</x:f>
        <x:v>166742.56215716514</x:v>
      </x:c>
      <x:c r="W2566" s="79" t="n">
        <x:f>IF(U2566&gt;0,V2566/U2566,0)</x:f>
        <x:v>0.4231600511791529</x:v>
      </x:c>
      <x:c r="X2566" s="80" t="n">
        <x:f>W2566*('Inputs'!$B$6-AC2566)</x:f>
        <x:v>423051479.14209235</x:v>
      </x:c>
      <x:c r="Y2566" s="80" t="n">
        <x:f>2*V2566</x:f>
        <x:v>333485.1243143303</x:v>
      </x:c>
      <x:c r="Z2566" s="80" t="n">
        <x:f>K2566*'Inputs'!$B$16+(G2566+R2566)*J2566*'Inputs'!$B$16</x:f>
        <x:v>4860.965934804331</x:v>
      </x:c>
      <x:c r="AA2566" s="80" t="n">
        <x:f>K2566*(1+'Inputs'!$E$51)/2*'Inputs'!$B$17</x:f>
        <x:v>1747.656496087417</x:v>
      </x:c>
      <x:c r="AB2566" s="78" t="n">
        <x:f>(IF(J2566&gt;0,K2566*(1-'Inputs'!$E$51)/2/J2566,0)+G2566+R2566)*'Inputs'!$B$17</x:f>
        <x:v>5868.844499483503</x:v>
      </x:c>
      <x:c r="AC2566" s="78" t="n">
        <x:f>AC2565+AB2566</x:f>
        <x:v>256574.40195029628</x:v>
      </x:c>
      <x:c r="AD2566" s="80" t="n">
        <x:f>Z2566/(1+'Inputs'!$C$51)</x:f>
        <x:v>1620.3219782681101</x:v>
      </x:c>
      <x:c r="AE2566" s="80" t="n">
        <x:f>Z2566-AD2566</x:f>
        <x:v>3240.6439565362207</x:v>
      </x:c>
      <x:c r="AF2566" s="80" t="n">
        <x:f>D2566*W2566</x:f>
        <x:v>128679.58485384444</x:v>
      </x:c>
      <x:c r="AG2566" s="80" t="n">
        <x:f>C2566*W2566</x:f>
        <x:v>300252.3646589703</x:v>
      </x:c>
      <x:c r="AH2566" s="80" t="n">
        <x:f>2*'Inputs'!$B$8*'Inputs'!$C$51</x:f>
        <x:v>10000</x:v>
      </x:c>
      <x:c r="AI2566" s="81" t="n">
        <x:f>IF(AH2566&gt;0,(AE2566+AF2566)/AH2566*365,0)</x:f>
        <x:v>4815.088351578894</x:v>
      </x:c>
      <x:c r="AJ2566" s="81" t="n">
        <x:f>IF('Inputs'!$B$51&gt;0,AG2566/('Inputs'!$B$19*'Inputs'!$B$51)*365,0)</x:f>
        <x:v>10959.211310052418</x:v>
      </x:c>
      <x:c r="AK2566" s="81" t="n">
        <x:f>W2566/MAX($W$2559:W2566)-1</x:f>
        <x:v>0</x:v>
      </x:c>
      <x:c r="AL2566" s="83" t="n">
        <x:f>'Inputs'!$B$51</x:f>
        <x:v>1</x:v>
      </x:c>
      <x:c r="AM2566" s="83" t="n">
        <x:f>'Inputs'!$C$51</x:f>
        <x:v>2</x:v>
      </x:c>
      <x:c r="AN2566" s="83" t="n">
        <x:f>'Inputs'!$D$51</x:f>
        <x:v>3</x:v>
      </x:c>
      <x:c r="AO2566" s="81" t="n">
        <x:f>'Inputs'!$E$51</x:f>
        <x:v>0.1</x:v>
      </x:c>
    </x:row>
    <x:row r="2567">
      <x:c r="A2567" s="59" t="str">
        <x:v>High demand</x:v>
      </x:c>
      <x:c r="B2567" s="59" t="n">
        <x:v>9</x:v>
      </x:c>
      <x:c r="C2567" s="78" t="n">
        <x:f>(('Inputs'!$B$29*(3*9*'Inputs'!$B$12-9^2)/(2*'Inputs'!$B$12^2))-('Inputs'!$B$29*(3*8*'Inputs'!$B$12-8^2)/(2*'Inputs'!$B$12^2)))*'Inputs'!$B$51</x:f>
        <x:v>709222.8842184283</x:v>
      </x:c>
      <x:c r="D2567" s="78" t="n">
        <x:f>IF('Inputs'!$C$51&gt;0,('Inputs'!$B$30*(3*9*'Inputs'!$B$12-9^2)/(2*'Inputs'!$B$12^2))-('Inputs'!$B$30*(3*8*'Inputs'!$B$12-8^2)/(2*'Inputs'!$B$12^2)),0)</x:f>
        <x:v>303952.66466504056</x:v>
      </x:c>
      <x:c r="E2567" s="78" t="n">
        <x:f>C2567+D2567</x:f>
        <x:v>1013175.5488834688</x:v>
      </x:c>
      <x:c r="F2567" s="78" t="n">
        <x:f>'Inputs'!$B$13*E2567+(1-'Inputs'!$B$13)/'Inputs'!$B$14*SUM(E2559:E2567)</x:f>
        <x:v>333139.3922740801</x:v>
      </x:c>
      <x:c r="G2567" s="78" t="n">
        <x:f>F2567*'Inputs'!$F$51</x:f>
        <x:v>83284.84806852002</x:v>
      </x:c>
      <x:c r="H2567" s="78" t="n">
        <x:f>U2566</x:f>
        <x:v>394041.3602194492</x:v>
      </x:c>
      <x:c r="I2567" s="78" t="n">
        <x:f>V2566</x:f>
        <x:v>166742.56215716514</x:v>
      </x:c>
      <x:c r="J2567" s="79" t="n">
        <x:f>IF(H2567&gt;0,I2567/H2567,0)</x:f>
        <x:v>0.4231600511791529</x:v>
      </x:c>
      <x:c r="K2567" s="80" t="n">
        <x:f>(H2567*J2567+I2567)*'Inputs'!$D$51*(1+'Inputs'!$G$51)^(B2567/30)</x:f>
        <x:v>1015206.7827007442</x:v>
      </x:c>
      <x:c r="L2567" s="80" t="n">
        <x:f>MAX(0,K2567*'Inputs'!$E$51)</x:f>
        <x:v>101520.67827007442</x:v>
      </x:c>
      <x:c r="M2567" s="80" t="n">
        <x:f>MAX(0,-K2567*'Inputs'!$E$51)</x:f>
        <x:v>0</x:v>
      </x:c>
      <x:c r="N2567" s="78" t="n">
        <x:f>H2567*(L2567*(1-'Inputs'!$B$15))/(I2567+L2567*(1-'Inputs'!$B$15))</x:f>
        <x:v>148189.35112187712</x:v>
      </x:c>
      <x:c r="O2567" s="78" t="n">
        <x:f>H2567-N2567</x:f>
        <x:v>245852.0090975721</x:v>
      </x:c>
      <x:c r="P2567" s="78" t="n">
        <x:f>I2567+L2567*(1-'Inputs'!$B$17)</x:f>
        <x:v>267854.7065106598</x:v>
      </x:c>
      <x:c r="Q2567" s="78" t="n">
        <x:f>IF(J2567&gt;0,M2567/J2567,0)</x:f>
        <x:v>0</x:v>
      </x:c>
      <x:c r="R2567" s="78" t="n">
        <x:f>IF(B2567='Inputs'!$H$51,'Inputs'!$B$27*'Inputs'!$I$51,0)</x:f>
        <x:v>0</x:v>
      </x:c>
      <x:c r="S2567" s="78" t="n">
        <x:f>Q2567+G2567+R2567</x:f>
        <x:v>83284.84806852002</x:v>
      </x:c>
      <x:c r="T2567" s="78" t="n">
        <x:f>P2567*(S2567*(1-'Inputs'!$B$15))/(O2567+S2567*(1-'Inputs'!$B$15))</x:f>
        <x:v>67270.44314582023</x:v>
      </x:c>
      <x:c r="U2567" s="78" t="n">
        <x:f>O2567+S2567*(1-'Inputs'!$B$17)</x:f>
        <x:v>328801.7068720538</x:v>
      </x:c>
      <x:c r="V2567" s="78" t="n">
        <x:f>P2567-T2567</x:f>
        <x:v>200584.26336483954</x:v>
      </x:c>
      <x:c r="W2567" s="79" t="n">
        <x:f>IF(U2567&gt;0,V2567/U2567,0)</x:f>
        <x:v>0.6100462959059171</x:v>
      </x:c>
      <x:c r="X2567" s="80" t="n">
        <x:f>W2567*('Inputs'!$B$6-AC2567)</x:f>
        <x:v>609886918.8624352</x:v>
      </x:c>
      <x:c r="Y2567" s="80" t="n">
        <x:f>2*V2567</x:f>
        <x:v>401168.5267296791</x:v>
      </x:c>
      <x:c r="Z2567" s="80" t="n">
        <x:f>K2567*'Inputs'!$B$16+(G2567+R2567)*J2567*'Inputs'!$B$16</x:f>
        <x:v>6302.6976196312025</x:v>
      </x:c>
      <x:c r="AA2567" s="80" t="n">
        <x:f>K2567*(1+'Inputs'!$E$51)/2*'Inputs'!$B$17</x:f>
        <x:v>2246.93654118877</x:v>
      </x:c>
      <x:c r="AB2567" s="78" t="n">
        <x:f>(IF(J2567&gt;0,K2567*(1-'Inputs'!$E$51)/2/J2567,0)+G2567+R2567)*'Inputs'!$B$17</x:f>
        <x:v>4679.611968731394</x:v>
      </x:c>
      <x:c r="AC2567" s="78" t="n">
        <x:f>AC2566+AB2567</x:f>
        <x:v>261254.01391902767</x:v>
      </x:c>
      <x:c r="AD2567" s="80" t="n">
        <x:f>Z2567/(1+'Inputs'!$C$51)</x:f>
        <x:v>2100.899206543734</x:v>
      </x:c>
      <x:c r="AE2567" s="80" t="n">
        <x:f>Z2567-AD2567</x:f>
        <x:v>4201.798413087468</x:v>
      </x:c>
      <x:c r="AF2567" s="80" t="n">
        <x:f>D2567*W2567</x:f>
        <x:v>185425.1972096413</x:v>
      </x:c>
      <x:c r="AG2567" s="80" t="n">
        <x:f>C2567*W2567</x:f>
        <x:v>432658.7934891633</x:v>
      </x:c>
      <x:c r="AH2567" s="80" t="n">
        <x:f>2*'Inputs'!$B$8*'Inputs'!$C$51</x:f>
        <x:v>10000</x:v>
      </x:c>
      <x:c r="AI2567" s="81" t="n">
        <x:f>IF(AH2567&gt;0,(AE2567+AF2567)/AH2567*365,0)</x:f>
        <x:v>6921.385340229601</x:v>
      </x:c>
      <x:c r="AJ2567" s="81" t="n">
        <x:f>IF('Inputs'!$B$51&gt;0,AG2567/('Inputs'!$B$19*'Inputs'!$B$51)*365,0)</x:f>
        <x:v>15792.04596235446</x:v>
      </x:c>
      <x:c r="AK2567" s="81" t="n">
        <x:f>W2567/MAX($W$2559:W2567)-1</x:f>
        <x:v>0</x:v>
      </x:c>
      <x:c r="AL2567" s="83" t="n">
        <x:f>'Inputs'!$B$51</x:f>
        <x:v>1</x:v>
      </x:c>
      <x:c r="AM2567" s="83" t="n">
        <x:f>'Inputs'!$C$51</x:f>
        <x:v>2</x:v>
      </x:c>
      <x:c r="AN2567" s="83" t="n">
        <x:f>'Inputs'!$D$51</x:f>
        <x:v>3</x:v>
      </x:c>
      <x:c r="AO2567" s="81" t="n">
        <x:f>'Inputs'!$E$51</x:f>
        <x:v>0.1</x:v>
      </x:c>
    </x:row>
    <x:row r="2568">
      <x:c r="A2568" s="59" t="str">
        <x:v>High demand</x:v>
      </x:c>
      <x:c r="B2568" s="59" t="n">
        <x:v>10</x:v>
      </x:c>
      <x:c r="C2568" s="78" t="n">
        <x:f>(('Inputs'!$B$29*(3*10*'Inputs'!$B$12-10^2)/(2*'Inputs'!$B$12^2))-('Inputs'!$B$29*(3*9*'Inputs'!$B$12-9^2)/(2*'Inputs'!$B$12^2)))*'Inputs'!$B$51</x:f>
        <x:v>708897.7763182586</x:v>
      </x:c>
      <x:c r="D2568" s="78" t="n">
        <x:f>IF('Inputs'!$C$51&gt;0,('Inputs'!$B$30*(3*10*'Inputs'!$B$12-10^2)/(2*'Inputs'!$B$12^2))-('Inputs'!$B$30*(3*9*'Inputs'!$B$12-9^2)/(2*'Inputs'!$B$12^2)),0)</x:f>
        <x:v>303813.3327078251</x:v>
      </x:c>
      <x:c r="E2568" s="78" t="n">
        <x:f>C2568+D2568</x:f>
        <x:v>1012711.1090260837</x:v>
      </x:c>
      <x:c r="F2568" s="78" t="n">
        <x:f>'Inputs'!$B$13*E2568+(1-'Inputs'!$B$13)/'Inputs'!$B$14*SUM(E2559:E2568)</x:f>
        <x:v>347513.8058601185</x:v>
      </x:c>
      <x:c r="G2568" s="78" t="n">
        <x:f>F2568*'Inputs'!$F$51</x:f>
        <x:v>86878.45146502962</x:v>
      </x:c>
      <x:c r="H2568" s="78" t="n">
        <x:f>U2567</x:f>
        <x:v>328801.7068720538</x:v>
      </x:c>
      <x:c r="I2568" s="78" t="n">
        <x:f>V2567</x:f>
        <x:v>200584.26336483954</x:v>
      </x:c>
      <x:c r="J2568" s="79" t="n">
        <x:f>IF(H2568&gt;0,I2568/H2568,0)</x:f>
        <x:v>0.6100462959059171</x:v>
      </x:c>
      <x:c r="K2568" s="80" t="n">
        <x:f>(H2568*J2568+I2568)*'Inputs'!$D$51*(1+'Inputs'!$G$51)^(B2568/30)</x:f>
        <x:v>1223238.6871104839</x:v>
      </x:c>
      <x:c r="L2568" s="80" t="n">
        <x:f>MAX(0,K2568*'Inputs'!$E$51)</x:f>
        <x:v>122323.86871104839</x:v>
      </x:c>
      <x:c r="M2568" s="80" t="n">
        <x:f>MAX(0,-K2568*'Inputs'!$E$51)</x:f>
        <x:v>0</x:v>
      </x:c>
      <x:c r="N2568" s="78" t="n">
        <x:f>H2568*(L2568*(1-'Inputs'!$B$15))/(I2568+L2568*(1-'Inputs'!$B$15))</x:f>
        <x:v>123779.80649227776</x:v>
      </x:c>
      <x:c r="O2568" s="78" t="n">
        <x:f>H2568-N2568</x:f>
        <x:v>205021.90037977602</x:v>
      </x:c>
      <x:c r="P2568" s="78" t="n">
        <x:f>I2568+L2568*(1-'Inputs'!$B$17)</x:f>
        <x:v>322415.8831072318</x:v>
      </x:c>
      <x:c r="Q2568" s="78" t="n">
        <x:f>IF(J2568&gt;0,M2568/J2568,0)</x:f>
        <x:v>0</x:v>
      </x:c>
      <x:c r="R2568" s="78" t="n">
        <x:f>IF(B2568='Inputs'!$H$51,'Inputs'!$B$27*'Inputs'!$I$51,0)</x:f>
        <x:v>0</x:v>
      </x:c>
      <x:c r="S2568" s="78" t="n">
        <x:f>Q2568+G2568+R2568</x:f>
        <x:v>86878.45146502962</x:v>
      </x:c>
      <x:c r="T2568" s="78" t="n">
        <x:f>P2568*(S2568*(1-'Inputs'!$B$15))/(O2568+S2568*(1-'Inputs'!$B$15))</x:f>
        <x:v>95284.79326129821</x:v>
      </x:c>
      <x:c r="U2568" s="78" t="n">
        <x:f>O2568+S2568*(1-'Inputs'!$B$17)</x:f>
        <x:v>291550.7403700973</x:v>
      </x:c>
      <x:c r="V2568" s="78" t="n">
        <x:f>P2568-T2568</x:f>
        <x:v>227131.0898459336</x:v>
      </x:c>
      <x:c r="W2568" s="79" t="n">
        <x:f>IF(U2568&gt;0,V2568/U2568,0)</x:f>
        <x:v>0.7790448055717891</x:v>
      </x:c>
      <x:c r="X2568" s="80" t="n">
        <x:f>W2568*('Inputs'!$B$6-AC2568)</x:f>
        <x:v>778838175.8606532</x:v>
      </x:c>
      <x:c r="Y2568" s="80" t="n">
        <x:f>2*V2568</x:f>
        <x:v>454262.1796918672</x:v>
      </x:c>
      <x:c r="Z2568" s="80" t="n">
        <x:f>K2568*'Inputs'!$B$16+(G2568+R2568)*J2568*'Inputs'!$B$16</x:f>
        <x:v>7657.431387724603</x:v>
      </x:c>
      <x:c r="AA2568" s="80" t="n">
        <x:f>K2568*(1+'Inputs'!$E$51)/2*'Inputs'!$B$17</x:f>
        <x:v>2707.3693276087174</x:v>
      </x:c>
      <x:c r="AB2568" s="78" t="n">
        <x:f>(IF(J2568&gt;0,K2568*(1-'Inputs'!$E$51)/2/J2568,0)+G2568+R2568)*'Inputs'!$B$17</x:f>
        <x:v>3980.6807457103987</x:v>
      </x:c>
      <x:c r="AC2568" s="78" t="n">
        <x:f>AC2567+AB2568</x:f>
        <x:v>265234.6946647381</x:v>
      </x:c>
      <x:c r="AD2568" s="80" t="n">
        <x:f>Z2568/(1+'Inputs'!$C$51)</x:f>
        <x:v>2552.4771292415344</x:v>
      </x:c>
      <x:c r="AE2568" s="80" t="n">
        <x:f>Z2568-AD2568</x:f>
        <x:v>5104.954258483069</x:v>
      </x:c>
      <x:c r="AF2568" s="80" t="n">
        <x:f>D2568*W2568</x:f>
        <x:v>236684.1987094849</x:v>
      </x:c>
      <x:c r="AG2568" s="80" t="n">
        <x:f>C2568*W2568</x:f>
        <x:v>552263.1303221314</x:v>
      </x:c>
      <x:c r="AH2568" s="80" t="n">
        <x:f>2*'Inputs'!$B$8*'Inputs'!$C$51</x:f>
        <x:v>10000</x:v>
      </x:c>
      <x:c r="AI2568" s="81" t="n">
        <x:f>IF(AH2568&gt;0,(AE2568+AF2568)/AH2568*365,0)</x:f>
        <x:v>8825.30408333083</x:v>
      </x:c>
      <x:c r="AJ2568" s="81" t="n">
        <x:f>IF('Inputs'!$B$51&gt;0,AG2568/('Inputs'!$B$19*'Inputs'!$B$51)*365,0)</x:f>
        <x:v>20157.604256757797</x:v>
      </x:c>
      <x:c r="AK2568" s="81" t="n">
        <x:f>W2568/MAX($W$2559:W2568)-1</x:f>
        <x:v>0</x:v>
      </x:c>
      <x:c r="AL2568" s="83" t="n">
        <x:f>'Inputs'!$B$51</x:f>
        <x:v>1</x:v>
      </x:c>
      <x:c r="AM2568" s="83" t="n">
        <x:f>'Inputs'!$C$51</x:f>
        <x:v>2</x:v>
      </x:c>
      <x:c r="AN2568" s="83" t="n">
        <x:f>'Inputs'!$D$51</x:f>
        <x:v>3</x:v>
      </x:c>
      <x:c r="AO2568" s="81" t="n">
        <x:f>'Inputs'!$E$51</x:f>
        <x:v>0.1</x:v>
      </x:c>
    </x:row>
    <x:row r="2569">
      <x:c r="A2569" s="59" t="str">
        <x:v>High demand</x:v>
      </x:c>
      <x:c r="B2569" s="59" t="n">
        <x:v>11</x:v>
      </x:c>
      <x:c r="C2569" s="78" t="n">
        <x:f>(('Inputs'!$B$29*(3*11*'Inputs'!$B$12-11^2)/(2*'Inputs'!$B$12^2))-('Inputs'!$B$29*(3*10*'Inputs'!$B$12-10^2)/(2*'Inputs'!$B$12^2)))*'Inputs'!$B$51</x:f>
        <x:v>708572.6684180889</x:v>
      </x:c>
      <x:c r="D2569" s="78" t="n">
        <x:f>IF('Inputs'!$C$51&gt;0,('Inputs'!$B$30*(3*11*'Inputs'!$B$12-11^2)/(2*'Inputs'!$B$12^2))-('Inputs'!$B$30*(3*10*'Inputs'!$B$12-10^2)/(2*'Inputs'!$B$12^2)),0)</x:f>
        <x:v>303674.0007506097</x:v>
      </x:c>
      <x:c r="E2569" s="78" t="n">
        <x:f>C2569+D2569</x:f>
        <x:v>1012246.6691686986</x:v>
      </x:c>
      <x:c r="F2569" s="78" t="n">
        <x:f>'Inputs'!$B$13*E2569+(1-'Inputs'!$B$13)/'Inputs'!$B$14*SUM(E2559:E2569)</x:f>
        <x:v>361881.58459105145</x:v>
      </x:c>
      <x:c r="G2569" s="78" t="n">
        <x:f>F2569*'Inputs'!$F$51</x:f>
        <x:v>90470.39614776286</x:v>
      </x:c>
      <x:c r="H2569" s="78" t="n">
        <x:f>U2568</x:f>
        <x:v>291550.7403700973</x:v>
      </x:c>
      <x:c r="I2569" s="78" t="n">
        <x:f>V2568</x:f>
        <x:v>227131.0898459336</x:v>
      </x:c>
      <x:c r="J2569" s="79" t="n">
        <x:f>IF(H2569&gt;0,I2569/H2569,0)</x:f>
        <x:v>0.7790448055717891</x:v>
      </x:c>
      <x:c r="K2569" s="80" t="n">
        <x:f>(H2569*J2569+I2569)*'Inputs'!$D$51*(1+'Inputs'!$G$51)^(B2569/30)</x:f>
        <x:v>1387385.7989879327</x:v>
      </x:c>
      <x:c r="L2569" s="80" t="n">
        <x:f>MAX(0,K2569*'Inputs'!$E$51)</x:f>
        <x:v>138738.57989879328</x:v>
      </x:c>
      <x:c r="M2569" s="80" t="n">
        <x:f>MAX(0,-K2569*'Inputs'!$E$51)</x:f>
        <x:v>0</x:v>
      </x:c>
      <x:c r="N2569" s="78" t="n">
        <x:f>H2569*(L2569*(1-'Inputs'!$B$15))/(I2569+L2569*(1-'Inputs'!$B$15))</x:f>
        <x:v>109867.73320504303</x:v>
      </x:c>
      <x:c r="O2569" s="78" t="n">
        <x:f>H2569-N2569</x:f>
        <x:v>181683.00716505427</x:v>
      </x:c>
      <x:c r="P2569" s="78" t="n">
        <x:f>I2569+L2569*(1-'Inputs'!$B$17)</x:f>
        <x:v>365311.3656002649</x:v>
      </x:c>
      <x:c r="Q2569" s="78" t="n">
        <x:f>IF(J2569&gt;0,M2569/J2569,0)</x:f>
        <x:v>0</x:v>
      </x:c>
      <x:c r="R2569" s="78" t="n">
        <x:f>IF(B2569='Inputs'!$H$51,'Inputs'!$B$27*'Inputs'!$I$51,0)</x:f>
        <x:v>0</x:v>
      </x:c>
      <x:c r="S2569" s="78" t="n">
        <x:f>Q2569+G2569+R2569</x:f>
        <x:v>90470.39614776286</x:v>
      </x:c>
      <x:c r="T2569" s="78" t="n">
        <x:f>P2569*(S2569*(1-'Inputs'!$B$15))/(O2569+S2569*(1-'Inputs'!$B$15))</x:f>
        <x:v>120624.96668831773</x:v>
      </x:c>
      <x:c r="U2569" s="78" t="n">
        <x:f>O2569+S2569*(1-'Inputs'!$B$17)</x:f>
        <x:v>271789.3373323432</x:v>
      </x:c>
      <x:c r="V2569" s="78" t="n">
        <x:f>P2569-T2569</x:f>
        <x:v>244686.3989119472</x:v>
      </x:c>
      <x:c r="W2569" s="79" t="n">
        <x:f>IF(U2569&gt;0,V2569/U2569,0)</x:f>
        <x:v>0.9002796110899133</x:v>
      </x:c>
      <x:c r="X2569" s="80" t="n">
        <x:f>W2569*('Inputs'!$B$6-AC2569)</x:f>
        <x:v>900037594.5979887</x:v>
      </x:c>
      <x:c r="Y2569" s="80" t="n">
        <x:f>2*V2569</x:f>
        <x:v>489372.7978238944</x:v>
      </x:c>
      <x:c r="Z2569" s="80" t="n">
        <x:f>K2569*'Inputs'!$B$16+(G2569+R2569)*J2569*'Inputs'!$B$16</x:f>
        <x:v>8747.197746989217</x:v>
      </x:c>
      <x:c r="AA2569" s="80" t="n">
        <x:f>K2569*(1+'Inputs'!$E$51)/2*'Inputs'!$B$17</x:f>
        <x:v>3070.672794540697</x:v>
      </x:c>
      <x:c r="AB2569" s="78" t="n">
        <x:f>(IF(J2569&gt;0,K2569*(1-'Inputs'!$E$51)/2/J2569,0)+G2569+R2569)*'Inputs'!$B$17</x:f>
        <x:v>3589.0007109413796</x:v>
      </x:c>
      <x:c r="AC2569" s="78" t="n">
        <x:f>AC2568+AB2569</x:f>
        <x:v>268823.69537567947</x:v>
      </x:c>
      <x:c r="AD2569" s="80" t="n">
        <x:f>Z2569/(1+'Inputs'!$C$51)</x:f>
        <x:v>2915.732582329739</x:v>
      </x:c>
      <x:c r="AE2569" s="80" t="n">
        <x:f>Z2569-AD2569</x:f>
        <x:v>5831.4651646594775</x:v>
      </x:c>
      <x:c r="AF2569" s="80" t="n">
        <x:f>D2569*W2569</x:f>
        <x:v>273391.5112938769</x:v>
      </x:c>
      <x:c r="AG2569" s="80" t="n">
        <x:f>C2569*W2569</x:f>
        <x:v>637913.5263523791</x:v>
      </x:c>
      <x:c r="AH2569" s="80" t="n">
        <x:f>2*'Inputs'!$B$8*'Inputs'!$C$51</x:f>
        <x:v>10000</x:v>
      </x:c>
      <x:c r="AI2569" s="81" t="n">
        <x:f>IF(AH2569&gt;0,(AE2569+AF2569)/AH2569*365,0)</x:f>
        <x:v>10191.638640736579</x:v>
      </x:c>
      <x:c r="AJ2569" s="81" t="n">
        <x:f>IF('Inputs'!$B$51&gt;0,AG2569/('Inputs'!$B$19*'Inputs'!$B$51)*365,0)</x:f>
        <x:v>23283.84371186184</x:v>
      </x:c>
      <x:c r="AK2569" s="81" t="n">
        <x:f>W2569/MAX($W$2559:W2569)-1</x:f>
        <x:v>0</x:v>
      </x:c>
      <x:c r="AL2569" s="83" t="n">
        <x:f>'Inputs'!$B$51</x:f>
        <x:v>1</x:v>
      </x:c>
      <x:c r="AM2569" s="83" t="n">
        <x:f>'Inputs'!$C$51</x:f>
        <x:v>2</x:v>
      </x:c>
      <x:c r="AN2569" s="83" t="n">
        <x:f>'Inputs'!$D$51</x:f>
        <x:v>3</x:v>
      </x:c>
      <x:c r="AO2569" s="81" t="n">
        <x:f>'Inputs'!$E$51</x:f>
        <x:v>0.1</x:v>
      </x:c>
    </x:row>
    <x:row r="2570">
      <x:c r="A2570" s="59" t="str">
        <x:v>High demand</x:v>
      </x:c>
      <x:c r="B2570" s="59" t="n">
        <x:v>12</x:v>
      </x:c>
      <x:c r="C2570" s="78" t="n">
        <x:f>(('Inputs'!$B$29*(3*12*'Inputs'!$B$12-12^2)/(2*'Inputs'!$B$12^2))-('Inputs'!$B$29*(3*11*'Inputs'!$B$12-11^2)/(2*'Inputs'!$B$12^2)))*'Inputs'!$B$51</x:f>
        <x:v>708247.5605179211</x:v>
      </x:c>
      <x:c r="D2570" s="78" t="n">
        <x:f>IF('Inputs'!$C$51&gt;0,('Inputs'!$B$30*(3*12*'Inputs'!$B$12-12^2)/(2*'Inputs'!$B$12^2))-('Inputs'!$B$30*(3*11*'Inputs'!$B$12-11^2)/(2*'Inputs'!$B$12^2)),0)</x:f>
        <x:v>303534.6687933947</x:v>
      </x:c>
      <x:c r="E2570" s="78" t="n">
        <x:f>C2570+D2570</x:f>
        <x:v>1011782.2293113158</x:v>
      </x:c>
      <x:c r="F2570" s="78" t="n">
        <x:f>'Inputs'!$B$13*E2570+(1-'Inputs'!$B$13)/'Inputs'!$B$14*SUM(E2559:E2570)</x:f>
        <x:v>376242.7284668794</x:v>
      </x:c>
      <x:c r="G2570" s="78" t="n">
        <x:f>F2570*'Inputs'!$F$51</x:f>
        <x:v>94060.68211671985</x:v>
      </x:c>
      <x:c r="H2570" s="78" t="n">
        <x:f>U2569</x:f>
        <x:v>271789.3373323432</x:v>
      </x:c>
      <x:c r="I2570" s="78" t="n">
        <x:f>V2569</x:f>
        <x:v>244686.3989119472</x:v>
      </x:c>
      <x:c r="J2570" s="79" t="n">
        <x:f>IF(H2570&gt;0,I2570/H2570,0)</x:f>
        <x:v>0.9002796110899133</x:v>
      </x:c>
      <x:c r="K2570" s="80" t="n">
        <x:f>(H2570*J2570+I2570)*'Inputs'!$D$51*(1+'Inputs'!$G$51)^(B2570/30)</x:f>
        <x:v>1497051.7022945047</x:v>
      </x:c>
      <x:c r="L2570" s="80" t="n">
        <x:f>MAX(0,K2570*'Inputs'!$E$51)</x:f>
        <x:v>149705.17022945048</x:v>
      </x:c>
      <x:c r="M2570" s="80" t="n">
        <x:f>MAX(0,-K2570*'Inputs'!$E$51)</x:f>
        <x:v>0</x:v>
      </x:c>
      <x:c r="N2570" s="78" t="n">
        <x:f>H2570*(L2570*(1-'Inputs'!$B$15))/(I2570+L2570*(1-'Inputs'!$B$15))</x:f>
        <x:v>102524.6841934172</x:v>
      </x:c>
      <x:c r="O2570" s="78" t="n">
        <x:f>H2570-N2570</x:f>
        <x:v>169264.65313892602</x:v>
      </x:c>
      <x:c r="P2570" s="78" t="n">
        <x:f>I2570+L2570*(1-'Inputs'!$B$17)</x:f>
        <x:v>393789.13384872384</x:v>
      </x:c>
      <x:c r="Q2570" s="78" t="n">
        <x:f>IF(J2570&gt;0,M2570/J2570,0)</x:f>
        <x:v>0</x:v>
      </x:c>
      <x:c r="R2570" s="78" t="n">
        <x:f>IF(B2570='Inputs'!$H$51,'Inputs'!$B$27*'Inputs'!$I$51,0)</x:f>
        <x:v>0</x:v>
      </x:c>
      <x:c r="S2570" s="78" t="n">
        <x:f>Q2570+G2570+R2570</x:f>
        <x:v>94060.68211671985</x:v>
      </x:c>
      <x:c r="T2570" s="78" t="n">
        <x:f>P2570*(S2570*(1-'Inputs'!$B$15))/(O2570+S2570*(1-'Inputs'!$B$15))</x:f>
        <x:v>139755.3661501324</x:v>
      </x:c>
      <x:c r="U2570" s="78" t="n">
        <x:f>O2570+S2570*(1-'Inputs'!$B$17)</x:f>
        <x:v>262946.82144431095</x:v>
      </x:c>
      <x:c r="V2570" s="78" t="n">
        <x:f>P2570-T2570</x:f>
        <x:v>254033.76769859143</x:v>
      </x:c>
      <x:c r="W2570" s="79" t="n">
        <x:f>IF(U2570&gt;0,V2570/U2570,0)</x:f>
        <x:v>0.9661032078776918</x:v>
      </x:c>
      <x:c r="X2570" s="80" t="n">
        <x:f>W2570*('Inputs'!$B$6-AC2570)</x:f>
        <x:v>965840221.5903023</x:v>
      </x:c>
      <x:c r="Y2570" s="80" t="n">
        <x:f>2*V2570</x:f>
        <x:v>508067.53539718286</x:v>
      </x:c>
      <x:c r="Z2570" s="80" t="n">
        <x:f>K2570*'Inputs'!$B$16+(G2570+R2570)*J2570*'Inputs'!$B$16</x:f>
        <x:v>9490.395699656383</x:v>
      </x:c>
      <x:c r="AA2570" s="80" t="n">
        <x:f>K2570*(1+'Inputs'!$E$51)/2*'Inputs'!$B$17</x:f>
        <x:v>3313.394109706148</x:v>
      </x:c>
      <x:c r="AB2570" s="78" t="n">
        <x:f>(IF(J2570&gt;0,K2570*(1-'Inputs'!$E$51)/2/J2570,0)+G2570+R2570)*'Inputs'!$B$17</x:f>
        <x:v>3389.7547454157034</x:v>
      </x:c>
      <x:c r="AC2570" s="78" t="n">
        <x:f>AC2569+AB2570</x:f>
        <x:v>272213.4501210952</x:v>
      </x:c>
      <x:c r="AD2570" s="80" t="n">
        <x:f>Z2570/(1+'Inputs'!$C$51)</x:f>
        <x:v>3163.4652332187943</x:v>
      </x:c>
      <x:c r="AE2570" s="80" t="n">
        <x:f>Z2570-AD2570</x:f>
        <x:v>6326.930466437589</x:v>
      </x:c>
      <x:c r="AF2570" s="80" t="n">
        <x:f>D2570*W2570</x:f>
        <x:v>293245.8172233913</x:v>
      </x:c>
      <x:c r="AG2570" s="80" t="n">
        <x:f>C2570*W2570</x:f>
        <x:v>684240.2401879132</x:v>
      </x:c>
      <x:c r="AH2570" s="80" t="n">
        <x:f>2*'Inputs'!$B$8*'Inputs'!$C$51</x:f>
        <x:v>10000</x:v>
      </x:c>
      <x:c r="AI2570" s="81" t="n">
        <x:f>IF(AH2570&gt;0,(AE2570+AF2570)/AH2570*365,0)</x:f>
        <x:v>10934.405290678755</x:v>
      </x:c>
      <x:c r="AJ2570" s="81" t="n">
        <x:f>IF('Inputs'!$B$51&gt;0,AG2570/('Inputs'!$B$19*'Inputs'!$B$51)*365,0)</x:f>
        <x:v>24974.76876685883</x:v>
      </x:c>
      <x:c r="AK2570" s="81" t="n">
        <x:f>W2570/MAX($W$2559:W2570)-1</x:f>
        <x:v>0</x:v>
      </x:c>
      <x:c r="AL2570" s="83" t="n">
        <x:f>'Inputs'!$B$51</x:f>
        <x:v>1</x:v>
      </x:c>
      <x:c r="AM2570" s="83" t="n">
        <x:f>'Inputs'!$C$51</x:f>
        <x:v>2</x:v>
      </x:c>
      <x:c r="AN2570" s="83" t="n">
        <x:f>'Inputs'!$D$51</x:f>
        <x:v>3</x:v>
      </x:c>
      <x:c r="AO2570" s="81" t="n">
        <x:f>'Inputs'!$E$51</x:f>
        <x:v>0.1</x:v>
      </x:c>
    </x:row>
    <x:row r="2571">
      <x:c r="A2571" s="59" t="str">
        <x:v>High demand</x:v>
      </x:c>
      <x:c r="B2571" s="59" t="n">
        <x:v>13</x:v>
      </x:c>
      <x:c r="C2571" s="78" t="n">
        <x:f>(('Inputs'!$B$29*(3*13*'Inputs'!$B$12-13^2)/(2*'Inputs'!$B$12^2))-('Inputs'!$B$29*(3*12*'Inputs'!$B$12-12^2)/(2*'Inputs'!$B$12^2)))*'Inputs'!$B$51</x:f>
        <x:v>707922.4526177514</x:v>
      </x:c>
      <x:c r="D2571" s="78" t="n">
        <x:f>IF('Inputs'!$C$51&gt;0,('Inputs'!$B$30*(3*13*'Inputs'!$B$12-13^2)/(2*'Inputs'!$B$12^2))-('Inputs'!$B$30*(3*12*'Inputs'!$B$12-12^2)/(2*'Inputs'!$B$12^2)),0)</x:f>
        <x:v>303395.3368361797</x:v>
      </x:c>
      <x:c r="E2571" s="78" t="n">
        <x:f>C2571+D2571</x:f>
        <x:v>1011317.7894539312</x:v>
      </x:c>
      <x:c r="F2571" s="78" t="n">
        <x:f>'Inputs'!$B$13*E2571+(1-'Inputs'!$B$13)/'Inputs'!$B$14*SUM(E2559:E2571)</x:f>
        <x:v>390597.23748760147</x:v>
      </x:c>
      <x:c r="G2571" s="78" t="n">
        <x:f>F2571*'Inputs'!$F$51</x:f>
        <x:v>97649.30937190037</x:v>
      </x:c>
      <x:c r="H2571" s="78" t="n">
        <x:f>U2570</x:f>
        <x:v>262946.82144431095</x:v>
      </x:c>
      <x:c r="I2571" s="78" t="n">
        <x:f>V2570</x:f>
        <x:v>254033.76769859143</x:v>
      </x:c>
      <x:c r="J2571" s="79" t="n">
        <x:f>IF(H2571&gt;0,I2571/H2571,0)</x:f>
        <x:v>0.9661032078776918</x:v>
      </x:c>
      <x:c r="K2571" s="80" t="n">
        <x:f>(H2571*J2571+I2571)*'Inputs'!$D$51*(1+'Inputs'!$G$51)^(B2571/30)</x:f>
        <x:v>1556770.9879748235</x:v>
      </x:c>
      <x:c r="L2571" s="80" t="n">
        <x:f>MAX(0,K2571*'Inputs'!$E$51)</x:f>
        <x:v>155677.09879748235</x:v>
      </x:c>
      <x:c r="M2571" s="80" t="n">
        <x:f>MAX(0,-K2571*'Inputs'!$E$51)</x:f>
        <x:v>0</x:v>
      </x:c>
      <x:c r="N2571" s="78" t="n">
        <x:f>H2571*(L2571*(1-'Inputs'!$B$15))/(I2571+L2571*(1-'Inputs'!$B$15))</x:f>
        <x:v>99289.58391809426</x:v>
      </x:c>
      <x:c r="O2571" s="78" t="n">
        <x:f>H2571-N2571</x:f>
        <x:v>163657.2375262167</x:v>
      </x:c>
      <x:c r="P2571" s="78" t="n">
        <x:f>I2571+L2571*(1-'Inputs'!$B$17)</x:f>
        <x:v>409084.39929769357</x:v>
      </x:c>
      <x:c r="Q2571" s="78" t="n">
        <x:f>IF(J2571&gt;0,M2571/J2571,0)</x:f>
        <x:v>0</x:v>
      </x:c>
      <x:c r="R2571" s="78" t="n">
        <x:f>IF(B2571='Inputs'!$H$51,'Inputs'!$B$27*'Inputs'!$I$51,0)</x:f>
        <x:v>0</x:v>
      </x:c>
      <x:c r="S2571" s="78" t="n">
        <x:f>Q2571+G2571+R2571</x:f>
        <x:v>97649.30937190037</x:v>
      </x:c>
      <x:c r="T2571" s="78" t="n">
        <x:f>P2571*(S2571*(1-'Inputs'!$B$15))/(O2571+S2571*(1-'Inputs'!$B$15))</x:f>
        <x:v>151912.31437800283</x:v>
      </x:c>
      <x:c r="U2571" s="78" t="n">
        <x:f>O2571+S2571*(1-'Inputs'!$B$17)</x:f>
        <x:v>260913.5919308257</x:v>
      </x:c>
      <x:c r="V2571" s="78" t="n">
        <x:f>P2571-T2571</x:f>
        <x:v>257172.08491969074</x:v>
      </x:c>
      <x:c r="W2571" s="79" t="n">
        <x:f>IF(U2571&gt;0,V2571/U2571,0)</x:f>
        <x:v>0.9856599766097011</x:v>
      </x:c>
      <x:c r="X2571" s="80" t="n">
        <x:f>W2571*('Inputs'!$B$6-AC2571)</x:f>
        <x:v>985388403.2175263</x:v>
      </x:c>
      <x:c r="Y2571" s="80" t="n">
        <x:f>2*V2571</x:f>
        <x:v>514344.1698393815</x:v>
      </x:c>
      <x:c r="Z2571" s="80" t="n">
        <x:f>K2571*'Inputs'!$B$16+(G2571+R2571)*J2571*'Inputs'!$B$16</x:f>
        <x:v>9906.661794036347</x:v>
      </x:c>
      <x:c r="AA2571" s="80" t="n">
        <x:f>K2571*(1+'Inputs'!$E$51)/2*'Inputs'!$B$17</x:f>
        <x:v>3445.569591091159</x:v>
      </x:c>
      <x:c r="AB2571" s="78" t="n">
        <x:f>(IF(J2571&gt;0,K2571*(1-'Inputs'!$E$51)/2/J2571,0)+G2571+R2571)*'Inputs'!$B$17</x:f>
        <x:v>3310.9686636787915</x:v>
      </x:c>
      <x:c r="AC2571" s="78" t="n">
        <x:f>AC2570+AB2571</x:f>
        <x:v>275524.41878477397</x:v>
      </x:c>
      <x:c r="AD2571" s="80" t="n">
        <x:f>Z2571/(1+'Inputs'!$C$51)</x:f>
        <x:v>3302.2205980121157</x:v>
      </x:c>
      <x:c r="AE2571" s="80" t="n">
        <x:f>Z2571-AD2571</x:f>
        <x:v>6604.4411960242305</x:v>
      </x:c>
      <x:c r="AF2571" s="80" t="n">
        <x:f>D2571*W2571</x:f>
        <x:v>299044.64060944127</x:v>
      </x:c>
      <x:c r="AG2571" s="80" t="n">
        <x:f>C2571*W2571</x:f>
        <x:v>697770.8280886951</x:v>
      </x:c>
      <x:c r="AH2571" s="80" t="n">
        <x:f>2*'Inputs'!$B$8*'Inputs'!$C$51</x:f>
        <x:v>10000</x:v>
      </x:c>
      <x:c r="AI2571" s="81" t="n">
        <x:f>IF(AH2571&gt;0,(AE2571+AF2571)/AH2571*365,0)</x:f>
        <x:v>11156.191485899491</x:v>
      </x:c>
      <x:c r="AJ2571" s="81" t="n">
        <x:f>IF('Inputs'!$B$51&gt;0,AG2571/('Inputs'!$B$19*'Inputs'!$B$51)*365,0)</x:f>
        <x:v>25468.63522523737</x:v>
      </x:c>
      <x:c r="AK2571" s="81" t="n">
        <x:f>W2571/MAX($W$2559:W2571)-1</x:f>
        <x:v>0</x:v>
      </x:c>
      <x:c r="AL2571" s="83" t="n">
        <x:f>'Inputs'!$B$51</x:f>
        <x:v>1</x:v>
      </x:c>
      <x:c r="AM2571" s="83" t="n">
        <x:f>'Inputs'!$C$51</x:f>
        <x:v>2</x:v>
      </x:c>
      <x:c r="AN2571" s="83" t="n">
        <x:f>'Inputs'!$D$51</x:f>
        <x:v>3</x:v>
      </x:c>
      <x:c r="AO2571" s="81" t="n">
        <x:f>'Inputs'!$E$51</x:f>
        <x:v>0.1</x:v>
      </x:c>
    </x:row>
    <x:row r="2572">
      <x:c r="A2572" s="59" t="str">
        <x:v>High demand</x:v>
      </x:c>
      <x:c r="B2572" s="59" t="n">
        <x:v>14</x:v>
      </x:c>
      <x:c r="C2572" s="78" t="n">
        <x:f>(('Inputs'!$B$29*(3*14*'Inputs'!$B$12-14^2)/(2*'Inputs'!$B$12^2))-('Inputs'!$B$29*(3*13*'Inputs'!$B$12-13^2)/(2*'Inputs'!$B$12^2)))*'Inputs'!$B$51</x:f>
        <x:v>707597.3447175827</x:v>
      </x:c>
      <x:c r="D2572" s="78" t="n">
        <x:f>IF('Inputs'!$C$51&gt;0,('Inputs'!$B$30*(3*14*'Inputs'!$B$12-14^2)/(2*'Inputs'!$B$12^2))-('Inputs'!$B$30*(3*13*'Inputs'!$B$12-13^2)/(2*'Inputs'!$B$12^2)),0)</x:f>
        <x:v>303256.0048789638</x:v>
      </x:c>
      <x:c r="E2572" s="78" t="n">
        <x:f>C2572+D2572</x:f>
        <x:v>1010853.3495965465</x:v>
      </x:c>
      <x:c r="F2572" s="78" t="n">
        <x:f>'Inputs'!$B$13*E2572+(1-'Inputs'!$B$13)/'Inputs'!$B$14*SUM(E2559:E2572)</x:f>
        <x:v>404945.1116532181</x:v>
      </x:c>
      <x:c r="G2572" s="78" t="n">
        <x:f>F2572*'Inputs'!$F$51</x:f>
        <x:v>101236.27791330453</x:v>
      </x:c>
      <x:c r="H2572" s="78" t="n">
        <x:f>U2571</x:f>
        <x:v>260913.5919308257</x:v>
      </x:c>
      <x:c r="I2572" s="78" t="n">
        <x:f>V2571</x:f>
        <x:v>257172.08491969074</x:v>
      </x:c>
      <x:c r="J2572" s="79" t="n">
        <x:f>IF(H2572&gt;0,I2572/H2572,0)</x:f>
        <x:v>0.9856599766097011</x:v>
      </x:c>
      <x:c r="K2572" s="80" t="n">
        <x:f>(H2572*J2572+I2572)*'Inputs'!$D$51*(1+'Inputs'!$G$51)^(B2572/30)</x:f>
        <x:v>1578568.4396484569</x:v>
      </x:c>
      <x:c r="L2572" s="80" t="n">
        <x:f>MAX(0,K2572*'Inputs'!$E$51)</x:f>
        <x:v>157856.8439648457</x:v>
      </x:c>
      <x:c r="M2572" s="80" t="n">
        <x:f>MAX(0,-K2572*'Inputs'!$E$51)</x:f>
        <x:v>0</x:v>
      </x:c>
      <x:c r="N2572" s="78" t="n">
        <x:f>H2572*(L2572*(1-'Inputs'!$B$15))/(I2572+L2572*(1-'Inputs'!$B$15))</x:f>
        <x:v>98621.5761528395</x:v>
      </x:c>
      <x:c r="O2572" s="78" t="n">
        <x:f>H2572-N2572</x:f>
        <x:v>162292.0157779862</x:v>
      </x:c>
      <x:c r="P2572" s="78" t="n">
        <x:f>I2572+L2572*(1-'Inputs'!$B$17)</x:f>
        <x:v>414393.69007582474</x:v>
      </x:c>
      <x:c r="Q2572" s="78" t="n">
        <x:f>IF(J2572&gt;0,M2572/J2572,0)</x:f>
        <x:v>0</x:v>
      </x:c>
      <x:c r="R2572" s="78" t="n">
        <x:f>IF(B2572='Inputs'!$H$51,'Inputs'!$B$27*'Inputs'!$I$51,0)</x:f>
        <x:v>0</x:v>
      </x:c>
      <x:c r="S2572" s="78" t="n">
        <x:f>Q2572+G2572+R2572</x:f>
        <x:v>101236.27791330453</x:v>
      </x:c>
      <x:c r="T2572" s="78" t="n">
        <x:f>P2572*(S2572*(1-'Inputs'!$B$15))/(O2572+S2572*(1-'Inputs'!$B$15))</x:f>
        <x:v>158208.1433381389</x:v>
      </x:c>
      <x:c r="U2572" s="78" t="n">
        <x:f>O2572+S2572*(1-'Inputs'!$B$17)</x:f>
        <x:v>263120.90424294746</x:v>
      </x:c>
      <x:c r="V2572" s="78" t="n">
        <x:f>P2572-T2572</x:f>
        <x:v>256185.54673768583</x:v>
      </x:c>
      <x:c r="W2572" s="79" t="n">
        <x:f>IF(U2572&gt;0,V2572/U2572,0)</x:f>
        <x:v>0.9736419364884137</x:v>
      </x:c>
      <x:c r="X2572" s="80" t="n">
        <x:f>W2572*('Inputs'!$B$6-AC2572)</x:f>
        <x:v>973370453.9879435</x:v>
      </x:c>
      <x:c r="Y2572" s="80" t="n">
        <x:f>2*V2572</x:f>
        <x:v>512371.09347537166</x:v>
      </x:c>
      <x:c r="Z2572" s="80" t="n">
        <x:f>K2572*'Inputs'!$B$16+(G2572+R2572)*J2572*'Inputs'!$B$16</x:f>
        <x:v>10070.117921811227</x:v>
      </x:c>
      <x:c r="AA2572" s="80" t="n">
        <x:f>K2572*(1+'Inputs'!$E$51)/2*'Inputs'!$B$17</x:f>
        <x:v>3493.8134479140904</x:v>
      </x:c>
      <x:c r="AB2572" s="78" t="n">
        <x:f>(IF(J2572&gt;0,K2572*(1-'Inputs'!$E$51)/2/J2572,0)+G2572+R2572)*'Inputs'!$B$17</x:f>
        <x:v>3307.5524934482005</x:v>
      </x:c>
      <x:c r="AC2572" s="78" t="n">
        <x:f>AC2571+AB2572</x:f>
        <x:v>278831.97127822216</x:v>
      </x:c>
      <x:c r="AD2572" s="80" t="n">
        <x:f>Z2572/(1+'Inputs'!$C$51)</x:f>
        <x:v>3356.7059739370757</x:v>
      </x:c>
      <x:c r="AE2572" s="80" t="n">
        <x:f>Z2572-AD2572</x:f>
        <x:v>6713.41194787415</x:v>
      </x:c>
      <x:c r="AF2572" s="80" t="n">
        <x:f>D2572*W2572</x:f>
        <x:v>295262.76384209417</x:v>
      </x:c>
      <x:c r="AG2572" s="80" t="n">
        <x:f>C2572*W2572</x:f>
        <x:v>688946.4489648868</x:v>
      </x:c>
      <x:c r="AH2572" s="80" t="n">
        <x:f>2*'Inputs'!$B$8*'Inputs'!$C$51</x:f>
        <x:v>10000</x:v>
      </x:c>
      <x:c r="AI2572" s="81" t="n">
        <x:f>IF(AH2572&gt;0,(AE2572+AF2572)/AH2572*365,0)</x:f>
        <x:v>11022.130416333845</x:v>
      </x:c>
      <x:c r="AJ2572" s="81" t="n">
        <x:f>IF('Inputs'!$B$51&gt;0,AG2572/('Inputs'!$B$19*'Inputs'!$B$51)*365,0)</x:f>
        <x:v>25146.54538721837</x:v>
      </x:c>
      <x:c r="AK2572" s="81" t="n">
        <x:f>W2572/MAX($W$2559:W2572)-1</x:f>
        <x:v>-0.012192886397421665</x:v>
      </x:c>
      <x:c r="AL2572" s="83" t="n">
        <x:f>'Inputs'!$B$51</x:f>
        <x:v>1</x:v>
      </x:c>
      <x:c r="AM2572" s="83" t="n">
        <x:f>'Inputs'!$C$51</x:f>
        <x:v>2</x:v>
      </x:c>
      <x:c r="AN2572" s="83" t="n">
        <x:f>'Inputs'!$D$51</x:f>
        <x:v>3</x:v>
      </x:c>
      <x:c r="AO2572" s="81" t="n">
        <x:f>'Inputs'!$E$51</x:f>
        <x:v>0.1</x:v>
      </x:c>
    </x:row>
    <x:row r="2573">
      <x:c r="A2573" s="59" t="str">
        <x:v>High demand</x:v>
      </x:c>
      <x:c r="B2573" s="59" t="n">
        <x:v>15</x:v>
      </x:c>
      <x:c r="C2573" s="78" t="n">
        <x:f>(('Inputs'!$B$29*(3*15*'Inputs'!$B$12-15^2)/(2*'Inputs'!$B$12^2))-('Inputs'!$B$29*(3*14*'Inputs'!$B$12-14^2)/(2*'Inputs'!$B$12^2)))*'Inputs'!$B$51</x:f>
        <x:v>707272.2368174158</x:v>
      </x:c>
      <x:c r="D2573" s="78" t="n">
        <x:f>IF('Inputs'!$C$51&gt;0,('Inputs'!$B$30*(3*15*'Inputs'!$B$12-15^2)/(2*'Inputs'!$B$12^2))-('Inputs'!$B$30*(3*14*'Inputs'!$B$12-14^2)/(2*'Inputs'!$B$12^2)),0)</x:f>
        <x:v>303116.67292174883</x:v>
      </x:c>
      <x:c r="E2573" s="78" t="n">
        <x:f>C2573+D2573</x:f>
        <x:v>1010388.9097391646</x:v>
      </x:c>
      <x:c r="F2573" s="78" t="n">
        <x:f>'Inputs'!$B$13*E2573+(1-'Inputs'!$B$13)/'Inputs'!$B$14*SUM(E2559:E2573)</x:f>
        <x:v>419286.3509637298</x:v>
      </x:c>
      <x:c r="G2573" s="78" t="n">
        <x:f>F2573*'Inputs'!$F$51</x:f>
        <x:v>104821.58774093245</x:v>
      </x:c>
      <x:c r="H2573" s="78" t="n">
        <x:f>U2572</x:f>
        <x:v>263120.90424294746</x:v>
      </x:c>
      <x:c r="I2573" s="78" t="n">
        <x:f>V2572</x:f>
        <x:v>256185.54673768583</x:v>
      </x:c>
      <x:c r="J2573" s="79" t="n">
        <x:f>IF(H2573&gt;0,I2573/H2573,0)</x:f>
        <x:v>0.9736419364884137</x:v>
      </x:c>
      <x:c r="K2573" s="80" t="n">
        <x:f>(H2573*J2573+I2573)*'Inputs'!$D$51*(1+'Inputs'!$G$51)^(B2573/30)</x:f>
        <x:v>1575072.4106229052</x:v>
      </x:c>
      <x:c r="L2573" s="80" t="n">
        <x:f>MAX(0,K2573*'Inputs'!$E$51)</x:f>
        <x:v>157507.24106229053</x:v>
      </x:c>
      <x:c r="M2573" s="80" t="n">
        <x:f>MAX(0,-K2573*'Inputs'!$E$51)</x:f>
        <x:v>0</x:v>
      </x:c>
      <x:c r="N2573" s="78" t="n">
        <x:f>H2573*(L2573*(1-'Inputs'!$B$15))/(I2573+L2573*(1-'Inputs'!$B$15))</x:f>
        <x:v>99556.53854245963</x:v>
      </x:c>
      <x:c r="O2573" s="78" t="n">
        <x:f>H2573-N2573</x:f>
        <x:v>163564.36570048783</x:v>
      </x:c>
      <x:c r="P2573" s="78" t="n">
        <x:f>I2573+L2573*(1-'Inputs'!$B$17)</x:f>
        <x:v>413058.95584399125</x:v>
      </x:c>
      <x:c r="Q2573" s="78" t="n">
        <x:f>IF(J2573&gt;0,M2573/J2573,0)</x:f>
        <x:v>0</x:v>
      </x:c>
      <x:c r="R2573" s="78" t="n">
        <x:f>IF(B2573='Inputs'!$H$51,'Inputs'!$B$27*'Inputs'!$I$51,0)</x:f>
        <x:v>0</x:v>
      </x:c>
      <x:c r="S2573" s="78" t="n">
        <x:f>Q2573+G2573+R2573</x:f>
        <x:v>104821.58774093245</x:v>
      </x:c>
      <x:c r="T2573" s="78" t="n">
        <x:f>P2573*(S2573*(1-'Inputs'!$B$15))/(O2573+S2573*(1-'Inputs'!$B$15))</x:f>
        <x:v>160338.45807531627</x:v>
      </x:c>
      <x:c r="U2573" s="78" t="n">
        <x:f>O2573+S2573*(1-'Inputs'!$B$17)</x:f>
        <x:v>267964.1361869296</x:v>
      </x:c>
      <x:c r="V2573" s="78" t="n">
        <x:f>P2573-T2573</x:f>
        <x:v>252720.49776867498</x:v>
      </x:c>
      <x:c r="W2573" s="79" t="n">
        <x:f>IF(U2573&gt;0,V2573/U2573,0)</x:f>
        <x:v>0.9431131395597626</x:v>
      </x:c>
      <x:c r="X2573" s="80" t="n">
        <x:f>W2573*('Inputs'!$B$6-AC2573)</x:f>
        <x:v>942847008.8315722</x:v>
      </x:c>
      <x:c r="Y2573" s="80" t="n">
        <x:f>2*V2573</x:f>
        <x:v>505440.99553734995</x:v>
      </x:c>
      <x:c r="Z2573" s="80" t="n">
        <x:f>K2573*'Inputs'!$B$16+(G2573+R2573)*J2573*'Inputs'!$B$16</x:f>
        <x:v>10062.786625780662</x:v>
      </x:c>
      <x:c r="AA2573" s="80" t="n">
        <x:f>K2573*(1+'Inputs'!$E$51)/2*'Inputs'!$B$17</x:f>
        <x:v>3486.0757579179</x:v>
      </x:c>
      <x:c r="AB2573" s="78" t="n">
        <x:f>(IF(J2573&gt;0,K2573*(1-'Inputs'!$E$51)/2/J2573,0)+G2573+R2573)*'Inputs'!$B$17</x:f>
        <x:v>3351.2759138206875</x:v>
      </x:c>
      <x:c r="AC2573" s="78" t="n">
        <x:f>AC2572+AB2573</x:f>
        <x:v>282183.2471920428</x:v>
      </x:c>
      <x:c r="AD2573" s="80" t="n">
        <x:f>Z2573/(1+'Inputs'!$C$51)</x:f>
        <x:v>3354.262208593554</x:v>
      </x:c>
      <x:c r="AE2573" s="80" t="n">
        <x:f>Z2573-AD2573</x:f>
        <x:v>6708.524417187107</x:v>
      </x:c>
      <x:c r="AF2573" s="80" t="n">
        <x:f>D2573*W2573</x:f>
        <x:v>285873.31705214025</x:v>
      </x:c>
      <x:c r="AG2573" s="80" t="n">
        <x:f>C2573*W2573</x:f>
        <x:v>667037.739788329</x:v>
      </x:c>
      <x:c r="AH2573" s="80" t="n">
        <x:f>2*'Inputs'!$B$8*'Inputs'!$C$51</x:f>
        <x:v>10000</x:v>
      </x:c>
      <x:c r="AI2573" s="81" t="n">
        <x:f>IF(AH2573&gt;0,(AE2573+AF2573)/AH2573*365,0)</x:f>
        <x:v>10679.237213630448</x:v>
      </x:c>
      <x:c r="AJ2573" s="81" t="n">
        <x:f>IF('Inputs'!$B$51&gt;0,AG2573/('Inputs'!$B$19*'Inputs'!$B$51)*365,0)</x:f>
        <x:v>24346.87750227401</x:v>
      </x:c>
      <x:c r="AK2573" s="81" t="n">
        <x:f>W2573/MAX($W$2559:W2573)-1</x:f>
        <x:v>-0.043165836149991144</x:v>
      </x:c>
      <x:c r="AL2573" s="83" t="n">
        <x:f>'Inputs'!$B$51</x:f>
        <x:v>1</x:v>
      </x:c>
      <x:c r="AM2573" s="83" t="n">
        <x:f>'Inputs'!$C$51</x:f>
        <x:v>2</x:v>
      </x:c>
      <x:c r="AN2573" s="83" t="n">
        <x:f>'Inputs'!$D$51</x:f>
        <x:v>3</x:v>
      </x:c>
      <x:c r="AO2573" s="81" t="n">
        <x:f>'Inputs'!$E$51</x:f>
        <x:v>0.1</x:v>
      </x:c>
    </x:row>
    <x:row r="2574">
      <x:c r="A2574" s="59" t="str">
        <x:v>High demand</x:v>
      </x:c>
      <x:c r="B2574" s="59" t="n">
        <x:v>16</x:v>
      </x:c>
      <x:c r="C2574" s="78" t="n">
        <x:f>(('Inputs'!$B$29*(3*16*'Inputs'!$B$12-16^2)/(2*'Inputs'!$B$12^2))-('Inputs'!$B$29*(3*15*'Inputs'!$B$12-15^2)/(2*'Inputs'!$B$12^2)))*'Inputs'!$B$51</x:f>
        <x:v>706947.1289172452</x:v>
      </x:c>
      <x:c r="D2574" s="78" t="n">
        <x:f>IF('Inputs'!$C$51&gt;0,('Inputs'!$B$30*(3*16*'Inputs'!$B$12-16^2)/(2*'Inputs'!$B$12^2))-('Inputs'!$B$30*(3*15*'Inputs'!$B$12-15^2)/(2*'Inputs'!$B$12^2)),0)</x:f>
        <x:v>302977.3409645343</x:v>
      </x:c>
      <x:c r="E2574" s="78" t="n">
        <x:f>C2574+D2574</x:f>
        <x:v>1009924.4698817795</x:v>
      </x:c>
      <x:c r="F2574" s="78" t="n">
        <x:f>'Inputs'!$B$13*E2574+(1-'Inputs'!$B$13)/'Inputs'!$B$14*SUM(E2559:E2574)</x:f>
        <x:v>433620.9554191353</x:v>
      </x:c>
      <x:c r="G2574" s="78" t="n">
        <x:f>F2574*'Inputs'!$F$51</x:f>
        <x:v>108405.23885478382</x:v>
      </x:c>
      <x:c r="H2574" s="78" t="n">
        <x:f>U2573</x:f>
        <x:v>267964.1361869296</x:v>
      </x:c>
      <x:c r="I2574" s="78" t="n">
        <x:f>V2573</x:f>
        <x:v>252720.49776867498</x:v>
      </x:c>
      <x:c r="J2574" s="79" t="n">
        <x:f>IF(H2574&gt;0,I2574/H2574,0)</x:f>
        <x:v>0.9431131395597626</x:v>
      </x:c>
      <x:c r="K2574" s="80" t="n">
        <x:f>(H2574*J2574+I2574)*'Inputs'!$D$51*(1+'Inputs'!$G$51)^(B2574/30)</x:f>
        <x:v>1556297.7091970413</x:v>
      </x:c>
      <x:c r="L2574" s="80" t="n">
        <x:f>MAX(0,K2574*'Inputs'!$E$51)</x:f>
        <x:v>155629.77091970414</x:v>
      </x:c>
      <x:c r="M2574" s="80" t="n">
        <x:f>MAX(0,-K2574*'Inputs'!$E$51)</x:f>
        <x:v>0</x:v>
      </x:c>
      <x:c r="N2574" s="78" t="n">
        <x:f>H2574*(L2574*(1-'Inputs'!$B$15))/(I2574+L2574*(1-'Inputs'!$B$15))</x:f>
        <x:v>101491.58567614667</x:v>
      </x:c>
      <x:c r="O2574" s="78" t="n">
        <x:f>H2574-N2574</x:f>
        <x:v>166472.55051078292</x:v>
      </x:c>
      <x:c r="P2574" s="78" t="n">
        <x:f>I2574+L2574*(1-'Inputs'!$B$17)</x:f>
        <x:v>407723.9919442354</x:v>
      </x:c>
      <x:c r="Q2574" s="78" t="n">
        <x:f>IF(J2574&gt;0,M2574/J2574,0)</x:f>
        <x:v>0</x:v>
      </x:c>
      <x:c r="R2574" s="78" t="n">
        <x:f>IF(B2574='Inputs'!$H$51,'Inputs'!$B$27*'Inputs'!$I$51,0)</x:f>
        <x:v>0</x:v>
      </x:c>
      <x:c r="S2574" s="78" t="n">
        <x:f>Q2574+G2574+R2574</x:f>
        <x:v>108405.23885478382</x:v>
      </x:c>
      <x:c r="T2574" s="78" t="n">
        <x:f>P2574*(S2574*(1-'Inputs'!$B$15))/(O2574+S2574*(1-'Inputs'!$B$15))</x:f>
        <x:v>159818.93175985324</x:v>
      </x:c>
      <x:c r="U2574" s="78" t="n">
        <x:f>O2574+S2574*(1-'Inputs'!$B$17)</x:f>
        <x:v>274441.55097983324</x:v>
      </x:c>
      <x:c r="V2574" s="78" t="n">
        <x:f>P2574-T2574</x:f>
        <x:v>247905.06018438216</x:v>
      </x:c>
      <x:c r="W2574" s="79" t="n">
        <x:f>IF(U2574&gt;0,V2574/U2574,0)</x:f>
        <x:v>0.903307313704108</x:v>
      </x:c>
      <x:c r="X2574" s="80" t="n">
        <x:f>W2574*('Inputs'!$B$6-AC2574)</x:f>
        <x:v>903049322.1596736</x:v>
      </x:c>
      <x:c r="Y2574" s="80" t="n">
        <x:f>2*V2574</x:f>
        <x:v>495810.1203687643</x:v>
      </x:c>
      <x:c r="Z2574" s="80" t="n">
        <x:f>K2574*'Inputs'!$B$16+(G2574+R2574)*J2574*'Inputs'!$B$16</x:f>
        <x:v>9951.216686148617</x:v>
      </x:c>
      <x:c r="AA2574" s="80" t="n">
        <x:f>K2574*(1+'Inputs'!$E$51)/2*'Inputs'!$B$17</x:f>
        <x:v>3444.5220927902333</x:v>
      </x:c>
      <x:c r="AB2574" s="78" t="n">
        <x:f>(IF(J2574&gt;0,K2574*(1-'Inputs'!$E$51)/2/J2574,0)+G2574+R2574)*'Inputs'!$B$17</x:f>
        <x:v>3424.4751416778845</x:v>
      </x:c>
      <x:c r="AC2574" s="78" t="n">
        <x:f>AC2573+AB2574</x:f>
        <x:v>285607.7223337207</x:v>
      </x:c>
      <x:c r="AD2574" s="80" t="n">
        <x:f>Z2574/(1+'Inputs'!$C$51)</x:f>
        <x:v>3317.0722287162057</x:v>
      </x:c>
      <x:c r="AE2574" s="80" t="n">
        <x:f>Z2574-AD2574</x:f>
        <x:v>6634.1444574324105</x:v>
      </x:c>
      <x:c r="AF2574" s="80" t="n">
        <x:f>D2574*W2574</x:f>
        <x:v>273681.6479798871</x:v>
      </x:c>
      <x:c r="AG2574" s="80" t="n">
        <x:f>C2574*W2574</x:f>
        <x:v>638590.5119530684</x:v>
      </x:c>
      <x:c r="AH2574" s="80" t="n">
        <x:f>2*'Inputs'!$B$8*'Inputs'!$C$51</x:f>
        <x:v>10000</x:v>
      </x:c>
      <x:c r="AI2574" s="81" t="n">
        <x:f>IF(AH2574&gt;0,(AE2574+AF2574)/AH2574*365,0)</x:f>
        <x:v>10231.526423962161</x:v>
      </x:c>
      <x:c r="AJ2574" s="81" t="n">
        <x:f>IF('Inputs'!$B$51&gt;0,AG2574/('Inputs'!$B$19*'Inputs'!$B$51)*365,0)</x:f>
        <x:v>23308.553686286996</x:v>
      </x:c>
      <x:c r="AK2574" s="81" t="n">
        <x:f>W2574/MAX($W$2559:W2574)-1</x:f>
        <x:v>-0.08355078308937247</x:v>
      </x:c>
      <x:c r="AL2574" s="83" t="n">
        <x:f>'Inputs'!$B$51</x:f>
        <x:v>1</x:v>
      </x:c>
      <x:c r="AM2574" s="83" t="n">
        <x:f>'Inputs'!$C$51</x:f>
        <x:v>2</x:v>
      </x:c>
      <x:c r="AN2574" s="83" t="n">
        <x:f>'Inputs'!$D$51</x:f>
        <x:v>3</x:v>
      </x:c>
      <x:c r="AO2574" s="81" t="n">
        <x:f>'Inputs'!$E$51</x:f>
        <x:v>0.1</x:v>
      </x:c>
    </x:row>
    <x:row r="2575">
      <x:c r="A2575" s="59" t="str">
        <x:v>High demand</x:v>
      </x:c>
      <x:c r="B2575" s="59" t="n">
        <x:v>17</x:v>
      </x:c>
      <x:c r="C2575" s="78" t="n">
        <x:f>(('Inputs'!$B$29*(3*17*'Inputs'!$B$12-17^2)/(2*'Inputs'!$B$12^2))-('Inputs'!$B$29*(3*16*'Inputs'!$B$12-16^2)/(2*'Inputs'!$B$12^2)))*'Inputs'!$B$51</x:f>
        <x:v>706622.0210170764</x:v>
      </x:c>
      <x:c r="D2575" s="78" t="n">
        <x:f>IF('Inputs'!$C$51&gt;0,('Inputs'!$B$30*(3*17*'Inputs'!$B$12-17^2)/(2*'Inputs'!$B$12^2))-('Inputs'!$B$30*(3*16*'Inputs'!$B$12-16^2)/(2*'Inputs'!$B$12^2)),0)</x:f>
        <x:v>302838.00900731795</x:v>
      </x:c>
      <x:c r="E2575" s="78" t="n">
        <x:f>C2575+D2575</x:f>
        <x:v>1009460.0300243944</x:v>
      </x:c>
      <x:c r="F2575" s="78" t="n">
        <x:f>'Inputs'!$B$13*E2575+(1-'Inputs'!$B$13)/'Inputs'!$B$14*SUM(E2559:E2575)</x:f>
        <x:v>447948.92501943535</x:v>
      </x:c>
      <x:c r="G2575" s="78" t="n">
        <x:f>F2575*'Inputs'!$F$51</x:f>
        <x:v>111987.23125485884</x:v>
      </x:c>
      <x:c r="H2575" s="78" t="n">
        <x:f>U2574</x:f>
        <x:v>274441.55097983324</x:v>
      </x:c>
      <x:c r="I2575" s="78" t="n">
        <x:f>V2574</x:f>
        <x:v>247905.06018438216</x:v>
      </x:c>
      <x:c r="J2575" s="79" t="n">
        <x:f>IF(H2575&gt;0,I2575/H2575,0)</x:f>
        <x:v>0.903307313704108</x:v>
      </x:c>
      <x:c r="K2575" s="80" t="n">
        <x:f>(H2575*J2575+I2575)*'Inputs'!$D$51*(1+'Inputs'!$G$51)^(B2575/30)</x:f>
        <x:v>1529128.2487668497</x:v>
      </x:c>
      <x:c r="L2575" s="80" t="n">
        <x:f>MAX(0,K2575*'Inputs'!$E$51)</x:f>
        <x:v>152912.824876685</x:v>
      </x:c>
      <x:c r="M2575" s="80" t="n">
        <x:f>MAX(0,-K2575*'Inputs'!$E$51)</x:f>
        <x:v>0</x:v>
      </x:c>
      <x:c r="N2575" s="78" t="n">
        <x:f>H2575*(L2575*(1-'Inputs'!$B$15))/(I2575+L2575*(1-'Inputs'!$B$15))</x:f>
        <x:v>104049.95329021134</x:v>
      </x:c>
      <x:c r="O2575" s="78" t="n">
        <x:f>H2575-N2575</x:f>
        <x:v>170391.5976896219</x:v>
      </x:c>
      <x:c r="P2575" s="78" t="n">
        <x:f>I2575+L2575*(1-'Inputs'!$B$17)</x:f>
        <x:v>400202.5417014024</x:v>
      </x:c>
      <x:c r="Q2575" s="78" t="n">
        <x:f>IF(J2575&gt;0,M2575/J2575,0)</x:f>
        <x:v>0</x:v>
      </x:c>
      <x:c r="R2575" s="78" t="n">
        <x:f>IF(B2575='Inputs'!$H$51,'Inputs'!$B$27*'Inputs'!$I$51,0)</x:f>
        <x:v>0</x:v>
      </x:c>
      <x:c r="S2575" s="78" t="n">
        <x:f>Q2575+G2575+R2575</x:f>
        <x:v>111987.23125485884</x:v>
      </x:c>
      <x:c r="T2575" s="78" t="n">
        <x:f>P2575*(S2575*(1-'Inputs'!$B$15))/(O2575+S2575*(1-'Inputs'!$B$15))</x:f>
        <x:v>157752.83877803048</x:v>
      </x:c>
      <x:c r="U2575" s="78" t="n">
        <x:f>O2575+S2575*(1-'Inputs'!$B$17)</x:f>
        <x:v>281928.1761024089</x:v>
      </x:c>
      <x:c r="V2575" s="78" t="n">
        <x:f>P2575-T2575</x:f>
        <x:v>242449.70292337192</x:v>
      </x:c>
      <x:c r="W2575" s="79" t="n">
        <x:f>IF(U2575&gt;0,V2575/U2575,0)</x:f>
        <x:v>0.8599697492999188</x:v>
      </x:c>
      <x:c r="X2575" s="80" t="n">
        <x:f>W2575*('Inputs'!$B$6-AC2575)</x:f>
        <x:v>859721111.5548341</x:v>
      </x:c>
      <x:c r="Y2575" s="80" t="n">
        <x:f>2*V2575</x:f>
        <x:v>484899.40584674384</x:v>
      </x:c>
      <x:c r="Z2575" s="80" t="n">
        <x:f>K2575*'Inputs'!$B$16+(G2575+R2575)*J2575*'Inputs'!$B$16</x:f>
        <x:v>9781.722802805023</x:v>
      </x:c>
      <x:c r="AA2575" s="80" t="n">
        <x:f>K2575*(1+'Inputs'!$E$51)/2*'Inputs'!$B$17</x:f>
        <x:v>3384.388478156006</x:v>
      </x:c>
      <x:c r="AB2575" s="78" t="n">
        <x:f>(IF(J2575&gt;0,K2575*(1-'Inputs'!$E$51)/2/J2575,0)+G2575+R2575)*'Inputs'!$B$17</x:f>
        <x:v>3516.104739208083</x:v>
      </x:c>
      <x:c r="AC2575" s="78" t="n">
        <x:f>AC2574+AB2575</x:f>
        <x:v>289123.8270729288</x:v>
      </x:c>
      <x:c r="AD2575" s="80" t="n">
        <x:f>Z2575/(1+'Inputs'!$C$51)</x:f>
        <x:v>3260.5742676016744</x:v>
      </x:c>
      <x:c r="AE2575" s="80" t="n">
        <x:f>Z2575-AD2575</x:f>
        <x:v>6521.148535203349</x:v>
      </x:c>
      <x:c r="AF2575" s="80" t="n">
        <x:f>D2575*W2575</x:f>
        <x:v>260431.52668450976</x:v>
      </x:c>
      <x:c r="AG2575" s="80" t="n">
        <x:f>C2575*W2575</x:f>
        <x:v>607673.5622638571</x:v>
      </x:c>
      <x:c r="AH2575" s="80" t="n">
        <x:f>2*'Inputs'!$B$8*'Inputs'!$C$51</x:f>
        <x:v>10000</x:v>
      </x:c>
      <x:c r="AI2575" s="81" t="n">
        <x:f>IF(AH2575&gt;0,(AE2575+AF2575)/AH2575*365,0)</x:f>
        <x:v>9743.77264551953</x:v>
      </x:c>
      <x:c r="AJ2575" s="81" t="n">
        <x:f>IF('Inputs'!$B$51&gt;0,AG2575/('Inputs'!$B$19*'Inputs'!$B$51)*365,0)</x:f>
        <x:v>22180.085022630785</x:v>
      </x:c>
      <x:c r="AK2575" s="81" t="n">
        <x:f>W2575/MAX($W$2559:W2575)-1</x:f>
        <x:v>-0.12751885061023716</x:v>
      </x:c>
      <x:c r="AL2575" s="83" t="n">
        <x:f>'Inputs'!$B$51</x:f>
        <x:v>1</x:v>
      </x:c>
      <x:c r="AM2575" s="83" t="n">
        <x:f>'Inputs'!$C$51</x:f>
        <x:v>2</x:v>
      </x:c>
      <x:c r="AN2575" s="83" t="n">
        <x:f>'Inputs'!$D$51</x:f>
        <x:v>3</x:v>
      </x:c>
      <x:c r="AO2575" s="81" t="n">
        <x:f>'Inputs'!$E$51</x:f>
        <x:v>0.1</x:v>
      </x:c>
    </x:row>
    <x:row r="2576">
      <x:c r="A2576" s="59" t="str">
        <x:v>High demand</x:v>
      </x:c>
      <x:c r="B2576" s="59" t="n">
        <x:v>18</x:v>
      </x:c>
      <x:c r="C2576" s="78" t="n">
        <x:f>(('Inputs'!$B$29*(3*18*'Inputs'!$B$12-18^2)/(2*'Inputs'!$B$12^2))-('Inputs'!$B$29*(3*17*'Inputs'!$B$12-17^2)/(2*'Inputs'!$B$12^2)))*'Inputs'!$B$51</x:f>
        <x:v>706296.9131169058</x:v>
      </x:c>
      <x:c r="D2576" s="78" t="n">
        <x:f>IF('Inputs'!$C$51&gt;0,('Inputs'!$B$30*(3*18*'Inputs'!$B$12-18^2)/(2*'Inputs'!$B$12^2))-('Inputs'!$B$30*(3*17*'Inputs'!$B$12-17^2)/(2*'Inputs'!$B$12^2)),0)</x:f>
        <x:v>302698.67705010343</x:v>
      </x:c>
      <x:c r="E2576" s="78" t="n">
        <x:f>C2576+D2576</x:f>
        <x:v>1008995.5901670093</x:v>
      </x:c>
      <x:c r="F2576" s="78" t="n">
        <x:f>'Inputs'!$B$13*E2576+(1-'Inputs'!$B$13)/'Inputs'!$B$14*SUM(E2559:E2576)</x:f>
        <x:v>462270.2597646299</x:v>
      </x:c>
      <x:c r="G2576" s="78" t="n">
        <x:f>F2576*'Inputs'!$F$51</x:f>
        <x:v>115567.56494115747</x:v>
      </x:c>
      <x:c r="H2576" s="78" t="n">
        <x:f>U2575</x:f>
        <x:v>281928.1761024089</x:v>
      </x:c>
      <x:c r="I2576" s="78" t="n">
        <x:f>V2575</x:f>
        <x:v>242449.70292337192</x:v>
      </x:c>
      <x:c r="J2576" s="79" t="n">
        <x:f>IF(H2576&gt;0,I2576/H2576,0)</x:f>
        <x:v>0.8599697492999188</x:v>
      </x:c>
      <x:c r="K2576" s="80" t="n">
        <x:f>(H2576*J2576+I2576)*'Inputs'!$D$51*(1+'Inputs'!$G$51)^(B2576/30)</x:f>
        <x:v>1497912.642021904</x:v>
      </x:c>
      <x:c r="L2576" s="80" t="n">
        <x:f>MAX(0,K2576*'Inputs'!$E$51)</x:f>
        <x:v>149791.26420219042</x:v>
      </x:c>
      <x:c r="M2576" s="80" t="n">
        <x:f>MAX(0,-K2576*'Inputs'!$E$51)</x:f>
        <x:v>0</x:v>
      </x:c>
      <x:c r="N2576" s="78" t="n">
        <x:f>H2576*(L2576*(1-'Inputs'!$B$15))/(I2576+L2576*(1-'Inputs'!$B$15))</x:f>
        <x:v>106996.33340567218</x:v>
      </x:c>
      <x:c r="O2576" s="78" t="n">
        <x:f>H2576-N2576</x:f>
        <x:v>174931.84269673674</x:v>
      </x:c>
      <x:c r="P2576" s="78" t="n">
        <x:f>I2576+L2576*(1-'Inputs'!$B$17)</x:f>
        <x:v>391638.1853782698</x:v>
      </x:c>
      <x:c r="Q2576" s="78" t="n">
        <x:f>IF(J2576&gt;0,M2576/J2576,0)</x:f>
        <x:v>0</x:v>
      </x:c>
      <x:c r="R2576" s="78" t="n">
        <x:f>IF(B2576='Inputs'!$H$51,'Inputs'!$B$27*'Inputs'!$I$51,0)</x:f>
        <x:v>0</x:v>
      </x:c>
      <x:c r="S2576" s="78" t="n">
        <x:f>Q2576+G2576+R2576</x:f>
        <x:v>115567.56494115747</x:v>
      </x:c>
      <x:c r="T2576" s="78" t="n">
        <x:f>P2576*(S2576*(1-'Inputs'!$B$15))/(O2576+S2576*(1-'Inputs'!$B$15))</x:f>
        <x:v>154861.01737881245</x:v>
      </x:c>
      <x:c r="U2576" s="78" t="n">
        <x:f>O2576+S2576*(1-'Inputs'!$B$17)</x:f>
        <x:v>290034.34701438854</x:v>
      </x:c>
      <x:c r="V2576" s="78" t="n">
        <x:f>P2576-T2576</x:f>
        <x:v>236777.16799945736</x:v>
      </x:c>
      <x:c r="W2576" s="79" t="n">
        <x:f>IF(U2576&gt;0,V2576/U2576,0)</x:f>
        <x:v>0.8163763031407825</x:v>
      </x:c>
      <x:c r="X2576" s="80" t="n">
        <x:f>W2576*('Inputs'!$B$6-AC2576)</x:f>
        <x:v>816137314.6198641</x:v>
      </x:c>
      <x:c r="Y2576" s="80" t="n">
        <x:f>2*V2576</x:f>
        <x:v>473554.3359989147</x:v>
      </x:c>
      <x:c r="Z2576" s="80" t="n">
        <x:f>K2576*'Inputs'!$B$16+(G2576+R2576)*J2576*'Inputs'!$B$16</x:f>
        <x:v>9583.78351122932</x:v>
      </x:c>
      <x:c r="AA2576" s="80" t="n">
        <x:f>K2576*(1+'Inputs'!$E$51)/2*'Inputs'!$B$17</x:f>
        <x:v>3315.2996101088424</x:v>
      </x:c>
      <x:c r="AB2576" s="78" t="n">
        <x:f>(IF(J2576&gt;0,K2576*(1-'Inputs'!$E$51)/2/J2576,0)+G2576+R2576)*'Inputs'!$B$17</x:f>
        <x:v>3619.2621114353533</x:v>
      </x:c>
      <x:c r="AC2576" s="78" t="n">
        <x:f>AC2575+AB2576</x:f>
        <x:v>292743.08918436413</x:v>
      </x:c>
      <x:c r="AD2576" s="80" t="n">
        <x:f>Z2576/(1+'Inputs'!$C$51)</x:f>
        <x:v>3194.5945037431065</x:v>
      </x:c>
      <x:c r="AE2576" s="80" t="n">
        <x:f>Z2576-AD2576</x:f>
        <x:v>6389.189007486213</x:v>
      </x:c>
      <x:c r="AF2576" s="80" t="n">
        <x:f>D2576*W2576</x:f>
        <x:v>247116.02693576904</x:v>
      </x:c>
      <x:c r="AG2576" s="80" t="n">
        <x:f>C2576*W2576</x:f>
        <x:v>576604.0628501261</x:v>
      </x:c>
      <x:c r="AH2576" s="80" t="n">
        <x:f>2*'Inputs'!$B$8*'Inputs'!$C$51</x:f>
        <x:v>10000</x:v>
      </x:c>
      <x:c r="AI2576" s="81" t="n">
        <x:f>IF(AH2576&gt;0,(AE2576+AF2576)/AH2576*365,0)</x:f>
        <x:v>9252.940381928816</x:v>
      </x:c>
      <x:c r="AJ2576" s="81" t="n">
        <x:f>IF('Inputs'!$B$51&gt;0,AG2576/('Inputs'!$B$19*'Inputs'!$B$51)*365,0)</x:f>
        <x:v>21046.048294029602</x:v>
      </x:c>
      <x:c r="AK2576" s="81" t="n">
        <x:f>W2576/MAX($W$2559:W2576)-1</x:f>
        <x:v>-0.17174652262049905</x:v>
      </x:c>
      <x:c r="AL2576" s="83" t="n">
        <x:f>'Inputs'!$B$51</x:f>
        <x:v>1</x:v>
      </x:c>
      <x:c r="AM2576" s="83" t="n">
        <x:f>'Inputs'!$C$51</x:f>
        <x:v>2</x:v>
      </x:c>
      <x:c r="AN2576" s="83" t="n">
        <x:f>'Inputs'!$D$51</x:f>
        <x:v>3</x:v>
      </x:c>
      <x:c r="AO2576" s="81" t="n">
        <x:f>'Inputs'!$E$51</x:f>
        <x:v>0.1</x:v>
      </x:c>
    </x:row>
    <x:row r="2577">
      <x:c r="A2577" s="59" t="str">
        <x:v>High demand</x:v>
      </x:c>
      <x:c r="B2577" s="59" t="n">
        <x:v>19</x:v>
      </x:c>
      <x:c r="C2577" s="78" t="n">
        <x:f>(('Inputs'!$B$29*(3*19*'Inputs'!$B$12-19^2)/(2*'Inputs'!$B$12^2))-('Inputs'!$B$29*(3*18*'Inputs'!$B$12-18^2)/(2*'Inputs'!$B$12^2)))*'Inputs'!$B$51</x:f>
        <x:v>705971.805216739</x:v>
      </x:c>
      <x:c r="D2577" s="78" t="n">
        <x:f>IF('Inputs'!$C$51&gt;0,('Inputs'!$B$30*(3*19*'Inputs'!$B$12-19^2)/(2*'Inputs'!$B$12^2))-('Inputs'!$B$30*(3*18*'Inputs'!$B$12-18^2)/(2*'Inputs'!$B$12^2)),0)</x:f>
        <x:v>302559.345092888</x:v>
      </x:c>
      <x:c r="E2577" s="78" t="n">
        <x:f>C2577+D2577</x:f>
        <x:v>1008531.150309627</x:v>
      </x:c>
      <x:c r="F2577" s="78" t="n">
        <x:f>'Inputs'!$B$13*E2577+(1-'Inputs'!$B$13)/'Inputs'!$B$14*SUM(E2559:E2577)</x:f>
        <x:v>476584.95965471945</x:v>
      </x:c>
      <x:c r="G2577" s="78" t="n">
        <x:f>F2577*'Inputs'!$F$51</x:f>
        <x:v>119146.23991367986</x:v>
      </x:c>
      <x:c r="H2577" s="78" t="n">
        <x:f>U2576</x:f>
        <x:v>290034.34701438854</x:v>
      </x:c>
      <x:c r="I2577" s="78" t="n">
        <x:f>V2576</x:f>
        <x:v>236777.16799945736</x:v>
      </x:c>
      <x:c r="J2577" s="79" t="n">
        <x:f>IF(H2577&gt;0,I2577/H2577,0)</x:f>
        <x:v>0.8163763031407825</x:v>
      </x:c>
      <x:c r="K2577" s="80" t="n">
        <x:f>(H2577*J2577+I2577)*'Inputs'!$D$51*(1+'Inputs'!$G$51)^(B2577/30)</x:f>
        <x:v>1465247.4074165788</x:v>
      </x:c>
      <x:c r="L2577" s="80" t="n">
        <x:f>MAX(0,K2577*'Inputs'!$E$51)</x:f>
        <x:v>146524.74074165788</x:v>
      </x:c>
      <x:c r="M2577" s="80" t="n">
        <x:f>MAX(0,-K2577*'Inputs'!$E$51)</x:f>
        <x:v>0</x:v>
      </x:c>
      <x:c r="N2577" s="78" t="n">
        <x:f>H2577*(L2577*(1-'Inputs'!$B$15))/(I2577+L2577*(1-'Inputs'!$B$15))</x:f>
        <x:v>110183.85526544953</x:v>
      </x:c>
      <x:c r="O2577" s="78" t="n">
        <x:f>H2577-N2577</x:f>
        <x:v>179850.491748939</x:v>
      </x:c>
      <x:c r="P2577" s="78" t="n">
        <x:f>I2577+L2577*(1-'Inputs'!$B$17)</x:f>
        <x:v>382712.2719574466</x:v>
      </x:c>
      <x:c r="Q2577" s="78" t="n">
        <x:f>IF(J2577&gt;0,M2577/J2577,0)</x:f>
        <x:v>0</x:v>
      </x:c>
      <x:c r="R2577" s="78" t="n">
        <x:f>IF(B2577='Inputs'!$H$51,'Inputs'!$B$27*'Inputs'!$I$51,0)</x:f>
        <x:v>0</x:v>
      </x:c>
      <x:c r="S2577" s="78" t="n">
        <x:f>Q2577+G2577+R2577</x:f>
        <x:v>119146.23991367986</x:v>
      </x:c>
      <x:c r="T2577" s="78" t="n">
        <x:f>P2577*(S2577*(1-'Inputs'!$B$15))/(O2577+S2577*(1-'Inputs'!$B$15))</x:f>
        <x:v>151584.76209125112</x:v>
      </x:c>
      <x:c r="U2577" s="78" t="n">
        <x:f>O2577+S2577*(1-'Inputs'!$B$17)</x:f>
        <x:v>298517.2699325839</x:v>
      </x:c>
      <x:c r="V2577" s="78" t="n">
        <x:f>P2577-T2577</x:f>
        <x:v>231127.50986619547</x:v>
      </x:c>
      <x:c r="W2577" s="79" t="n">
        <x:f>IF(U2577&gt;0,V2577/U2577,0)</x:f>
        <x:v>0.7742517205734613</x:v>
      </x:c>
      <x:c r="X2577" s="80" t="n">
        <x:f>W2577*('Inputs'!$B$6-AC2577)</x:f>
        <x:v>774022176.0556267</x:v>
      </x:c>
      <x:c r="Y2577" s="80" t="n">
        <x:f>2*V2577</x:f>
        <x:v>462255.01973239094</x:v>
      </x:c>
      <x:c r="Z2577" s="80" t="n">
        <x:f>K2577*'Inputs'!$B$16+(G2577+R2577)*J2577*'Inputs'!$B$16</x:f>
        <x:v>9375.093445742601</x:v>
      </x:c>
      <x:c r="AA2577" s="80" t="n">
        <x:f>K2577*(1+'Inputs'!$E$51)/2*'Inputs'!$B$17</x:f>
        <x:v>3243.002310177539</x:v>
      </x:c>
      <x:c r="AB2577" s="78" t="n">
        <x:f>(IF(J2577&gt;0,K2577*(1-'Inputs'!$E$51)/2/J2577,0)+G2577+R2577)*'Inputs'!$B$17</x:f>
        <x:v>3729.63633248334</x:v>
      </x:c>
      <x:c r="AC2577" s="78" t="n">
        <x:f>AC2576+AB2577</x:f>
        <x:v>296472.72551684745</x:v>
      </x:c>
      <x:c r="AD2577" s="80" t="n">
        <x:f>Z2577/(1+'Inputs'!$C$51)</x:f>
        <x:v>3125.031148580867</x:v>
      </x:c>
      <x:c r="AE2577" s="80" t="n">
        <x:f>Z2577-AD2577</x:f>
        <x:v>6250.062297161734</x:v>
      </x:c>
      <x:c r="AF2577" s="80" t="n">
        <x:f>D2577*W2577</x:f>
        <x:v>234257.09351374814</x:v>
      </x:c>
      <x:c r="AG2577" s="80" t="n">
        <x:f>C2577*W2577</x:f>
        <x:v>546599.8848654126</x:v>
      </x:c>
      <x:c r="AH2577" s="80" t="n">
        <x:f>2*'Inputs'!$B$8*'Inputs'!$C$51</x:f>
        <x:v>10000</x:v>
      </x:c>
      <x:c r="AI2577" s="81" t="n">
        <x:f>IF(AH2577&gt;0,(AE2577+AF2577)/AH2577*365,0)</x:f>
        <x:v>8778.511187098211</x:v>
      </x:c>
      <x:c r="AJ2577" s="81" t="n">
        <x:f>IF('Inputs'!$B$51&gt;0,AG2577/('Inputs'!$B$19*'Inputs'!$B$51)*365,0)</x:f>
        <x:v>19950.89579758756</x:v>
      </x:c>
      <x:c r="AK2577" s="81" t="n">
        <x:f>W2577/MAX($W$2559:W2577)-1</x:f>
        <x:v>-0.21448396105460688</x:v>
      </x:c>
      <x:c r="AL2577" s="83" t="n">
        <x:f>'Inputs'!$B$51</x:f>
        <x:v>1</x:v>
      </x:c>
      <x:c r="AM2577" s="83" t="n">
        <x:f>'Inputs'!$C$51</x:f>
        <x:v>2</x:v>
      </x:c>
      <x:c r="AN2577" s="83" t="n">
        <x:f>'Inputs'!$D$51</x:f>
        <x:v>3</x:v>
      </x:c>
      <x:c r="AO2577" s="81" t="n">
        <x:f>'Inputs'!$E$51</x:f>
        <x:v>0.1</x:v>
      </x:c>
    </x:row>
    <x:row r="2578">
      <x:c r="A2578" s="59" t="str">
        <x:v>High demand</x:v>
      </x:c>
      <x:c r="B2578" s="59" t="n">
        <x:v>20</x:v>
      </x:c>
      <x:c r="C2578" s="78" t="n">
        <x:f>(('Inputs'!$B$29*(3*20*'Inputs'!$B$12-20^2)/(2*'Inputs'!$B$12^2))-('Inputs'!$B$29*(3*19*'Inputs'!$B$12-19^2)/(2*'Inputs'!$B$12^2)))*'Inputs'!$B$51</x:f>
        <x:v>705646.6973165702</x:v>
      </x:c>
      <x:c r="D2578" s="78" t="n">
        <x:f>IF('Inputs'!$C$51&gt;0,('Inputs'!$B$30*(3*20*'Inputs'!$B$12-20^2)/(2*'Inputs'!$B$12^2))-('Inputs'!$B$30*(3*19*'Inputs'!$B$12-19^2)/(2*'Inputs'!$B$12^2)),0)</x:f>
        <x:v>302420.01313567255</x:v>
      </x:c>
      <x:c r="E2578" s="78" t="n">
        <x:f>C2578+D2578</x:f>
        <x:v>1008066.7104522428</x:v>
      </x:c>
      <x:c r="F2578" s="78" t="n">
        <x:f>'Inputs'!$B$13*E2578+(1-'Inputs'!$B$13)/'Inputs'!$B$14*SUM(E2559:E2578)</x:f>
        <x:v>490893.02468970325</x:v>
      </x:c>
      <x:c r="G2578" s="78" t="n">
        <x:f>F2578*'Inputs'!$F$51</x:f>
        <x:v>122723.25617242581</x:v>
      </x:c>
      <x:c r="H2578" s="78" t="n">
        <x:f>U2577</x:f>
        <x:v>298517.2699325839</x:v>
      </x:c>
      <x:c r="I2578" s="78" t="n">
        <x:f>V2577</x:f>
        <x:v>231127.50986619547</x:v>
      </x:c>
      <x:c r="J2578" s="79" t="n">
        <x:f>IF(H2578&gt;0,I2578/H2578,0)</x:f>
        <x:v>0.7742517205734613</x:v>
      </x:c>
      <x:c r="K2578" s="80" t="n">
        <x:f>(H2578*J2578+I2578)*'Inputs'!$D$51*(1+'Inputs'!$G$51)^(B2578/30)</x:f>
        <x:v>1432613.6672903039</x:v>
      </x:c>
      <x:c r="L2578" s="80" t="n">
        <x:f>MAX(0,K2578*'Inputs'!$E$51)</x:f>
        <x:v>143261.3667290304</x:v>
      </x:c>
      <x:c r="M2578" s="80" t="n">
        <x:f>MAX(0,-K2578*'Inputs'!$E$51)</x:f>
        <x:v>0</x:v>
      </x:c>
      <x:c r="N2578" s="78" t="n">
        <x:f>H2578*(L2578*(1-'Inputs'!$B$15))/(I2578+L2578*(1-'Inputs'!$B$15))</x:f>
        <x:v>113520.904112325</x:v>
      </x:c>
      <x:c r="O2578" s="78" t="n">
        <x:f>H2578-N2578</x:f>
        <x:v>184996.3658202589</x:v>
      </x:c>
      <x:c r="P2578" s="78" t="n">
        <x:f>I2578+L2578*(1-'Inputs'!$B$17)</x:f>
        <x:v>373812.3721013465</x:v>
      </x:c>
      <x:c r="Q2578" s="78" t="n">
        <x:f>IF(J2578&gt;0,M2578/J2578,0)</x:f>
        <x:v>0</x:v>
      </x:c>
      <x:c r="R2578" s="78" t="n">
        <x:f>IF(B2578='Inputs'!$H$51,'Inputs'!$B$27*'Inputs'!$I$51,0)</x:f>
        <x:v>0</x:v>
      </x:c>
      <x:c r="S2578" s="78" t="n">
        <x:f>Q2578+G2578+R2578</x:f>
        <x:v>122723.25617242581</x:v>
      </x:c>
      <x:c r="T2578" s="78" t="n">
        <x:f>P2578*(S2578*(1-'Inputs'!$B$15))/(O2578+S2578*(1-'Inputs'!$B$15))</x:f>
        <x:v>148182.20077542245</x:v>
      </x:c>
      <x:c r="U2578" s="78" t="n">
        <x:f>O2578+S2578*(1-'Inputs'!$B$17)</x:f>
        <x:v>307225.7658310251</x:v>
      </x:c>
      <x:c r="V2578" s="78" t="n">
        <x:f>P2578-T2578</x:f>
        <x:v>225630.17132592405</x:v>
      </x:c>
      <x:c r="W2578" s="79" t="n">
        <x:f>IF(U2578&gt;0,V2578/U2578,0)</x:f>
        <x:v>0.7344116165374658</x:v>
      </x:c>
      <x:c r="X2578" s="80" t="n">
        <x:f>W2578*('Inputs'!$B$6-AC2578)</x:f>
        <x:v>734191060.0513991</x:v>
      </x:c>
      <x:c r="Y2578" s="80" t="n">
        <x:f>2*V2578</x:f>
        <x:v>451260.3426518481</x:v>
      </x:c>
      <x:c r="Z2578" s="80" t="n">
        <x:f>K2578*'Inputs'!$B$16+(G2578+R2578)*J2578*'Inputs'!$B$16</x:f>
        <x:v>9165.794157217093</x:v>
      </x:c>
      <x:c r="AA2578" s="80" t="n">
        <x:f>K2578*(1+'Inputs'!$E$51)/2*'Inputs'!$B$17</x:f>
        <x:v>3170.7747163366894</x:v>
      </x:c>
      <x:c r="AB2578" s="78" t="n">
        <x:f>(IF(J2578&gt;0,K2578*(1-'Inputs'!$E$51)/2/J2578,0)+G2578+R2578)*'Inputs'!$B$17</x:f>
        <x:v>3844.536765295654</x:v>
      </x:c>
      <x:c r="AC2578" s="78" t="n">
        <x:f>AC2577+AB2578</x:f>
        <x:v>300317.2622821431</x:v>
      </x:c>
      <x:c r="AD2578" s="80" t="n">
        <x:f>Z2578/(1+'Inputs'!$C$51)</x:f>
        <x:v>3055.264719072364</x:v>
      </x:c>
      <x:c r="AE2578" s="80" t="n">
        <x:f>Z2578-AD2578</x:f>
        <x:v>6110.529438144729</x:v>
      </x:c>
      <x:c r="AF2578" s="80" t="n">
        <x:f>D2578*W2578</x:f>
        <x:v>222100.7707202509</x:v>
      </x:c>
      <x:c r="AG2578" s="80" t="n">
        <x:f>C2578*W2578</x:f>
        <x:v>518235.13168058614</x:v>
      </x:c>
      <x:c r="AH2578" s="80" t="n">
        <x:f>2*'Inputs'!$B$8*'Inputs'!$C$51</x:f>
        <x:v>10000</x:v>
      </x:c>
      <x:c r="AI2578" s="81" t="n">
        <x:f>IF(AH2578&gt;0,(AE2578+AF2578)/AH2578*365,0)</x:f>
        <x:v>8329.71245578144</x:v>
      </x:c>
      <x:c r="AJ2578" s="81" t="n">
        <x:f>IF('Inputs'!$B$51&gt;0,AG2578/('Inputs'!$B$19*'Inputs'!$B$51)*365,0)</x:f>
        <x:v>18915.58230634139</x:v>
      </x:c>
      <x:c r="AK2578" s="81" t="n">
        <x:f>W2578/MAX($W$2559:W2578)-1</x:f>
        <x:v>-0.2549036848756251</x:v>
      </x:c>
      <x:c r="AL2578" s="83" t="n">
        <x:f>'Inputs'!$B$51</x:f>
        <x:v>1</x:v>
      </x:c>
      <x:c r="AM2578" s="83" t="n">
        <x:f>'Inputs'!$C$51</x:f>
        <x:v>2</x:v>
      </x:c>
      <x:c r="AN2578" s="83" t="n">
        <x:f>'Inputs'!$D$51</x:f>
        <x:v>3</x:v>
      </x:c>
      <x:c r="AO2578" s="81" t="n">
        <x:f>'Inputs'!$E$51</x:f>
        <x:v>0.1</x:v>
      </x:c>
    </x:row>
    <x:row r="2579">
      <x:c r="A2579" s="59" t="str">
        <x:v>High demand</x:v>
      </x:c>
      <x:c r="B2579" s="59" t="n">
        <x:v>21</x:v>
      </x:c>
      <x:c r="C2579" s="78" t="n">
        <x:f>(('Inputs'!$B$29*(3*21*'Inputs'!$B$12-21^2)/(2*'Inputs'!$B$12^2))-('Inputs'!$B$29*(3*20*'Inputs'!$B$12-20^2)/(2*'Inputs'!$B$12^2)))*'Inputs'!$B$51</x:f>
        <x:v>705321.5894164015</x:v>
      </x:c>
      <x:c r="D2579" s="78" t="n">
        <x:f>IF('Inputs'!$C$51&gt;0,('Inputs'!$B$30*(3*21*'Inputs'!$B$12-21^2)/(2*'Inputs'!$B$12^2))-('Inputs'!$B$30*(3*20*'Inputs'!$B$12-20^2)/(2*'Inputs'!$B$12^2)),0)</x:f>
        <x:v>302280.6811784571</x:v>
      </x:c>
      <x:c r="E2579" s="78" t="n">
        <x:f>C2579+D2579</x:f>
        <x:v>1007602.2705948586</x:v>
      </x:c>
      <x:c r="F2579" s="78" t="n">
        <x:f>'Inputs'!$B$13*E2579+(1-'Inputs'!$B$13)/'Inputs'!$B$14*SUM(E2559:E2579)</x:f>
        <x:v>505194.45486958156</x:v>
      </x:c>
      <x:c r="G2579" s="78" t="n">
        <x:f>F2579*'Inputs'!$F$51</x:f>
        <x:v>126298.61371739539</x:v>
      </x:c>
      <x:c r="H2579" s="78" t="n">
        <x:f>U2578</x:f>
        <x:v>307225.7658310251</x:v>
      </x:c>
      <x:c r="I2579" s="78" t="n">
        <x:f>V2578</x:f>
        <x:v>225630.17132592405</x:v>
      </x:c>
      <x:c r="J2579" s="79" t="n">
        <x:f>IF(H2579&gt;0,I2579/H2579,0)</x:f>
        <x:v>0.7344116165374658</x:v>
      </x:c>
      <x:c r="K2579" s="80" t="n">
        <x:f>(H2579*J2579+I2579)*'Inputs'!$D$51*(1+'Inputs'!$G$51)^(B2579/30)</x:f>
        <x:v>1400815.4817321906</x:v>
      </x:c>
      <x:c r="L2579" s="80" t="n">
        <x:f>MAX(0,K2579*'Inputs'!$E$51)</x:f>
        <x:v>140081.54817321905</x:v>
      </x:c>
      <x:c r="M2579" s="80" t="n">
        <x:f>MAX(0,-K2579*'Inputs'!$E$51)</x:f>
        <x:v>0</x:v>
      </x:c>
      <x:c r="N2579" s="78" t="n">
        <x:f>H2579*(L2579*(1-'Inputs'!$B$15))/(I2579+L2579*(1-'Inputs'!$B$15))</x:f>
        <x:v>116950.36804364635</x:v>
      </x:c>
      <x:c r="O2579" s="78" t="n">
        <x:f>H2579-N2579</x:f>
        <x:v>190275.39778737875</x:v>
      </x:c>
      <x:c r="P2579" s="78" t="n">
        <x:f>I2579+L2579*(1-'Inputs'!$B$17)</x:f>
        <x:v>365148.0110557901</x:v>
      </x:c>
      <x:c r="Q2579" s="78" t="n">
        <x:f>IF(J2579&gt;0,M2579/J2579,0)</x:f>
        <x:v>0</x:v>
      </x:c>
      <x:c r="R2579" s="78" t="n">
        <x:f>IF(B2579='Inputs'!$H$51,'Inputs'!$B$27*'Inputs'!$I$51,0)</x:f>
        <x:v>0</x:v>
      </x:c>
      <x:c r="S2579" s="78" t="n">
        <x:f>Q2579+G2579+R2579</x:f>
        <x:v>126298.61371739539</x:v>
      </x:c>
      <x:c r="T2579" s="78" t="n">
        <x:f>P2579*(S2579*(1-'Inputs'!$B$15))/(O2579+S2579*(1-'Inputs'!$B$15))</x:f>
        <x:v>144798.3325949432</x:v>
      </x:c>
      <x:c r="U2579" s="78" t="n">
        <x:f>O2579+S2579*(1-'Inputs'!$B$17)</x:f>
        <x:v>316065.7675863943</x:v>
      </x:c>
      <x:c r="V2579" s="78" t="n">
        <x:f>P2579-T2579</x:f>
        <x:v>220349.67846084692</x:v>
      </x:c>
      <x:c r="W2579" s="79" t="n">
        <x:f>IF(U2579&gt;0,V2579/U2579,0)</x:f>
        <x:v>0.6971640116027938</x:v>
      </x:c>
      <x:c r="X2579" s="80" t="n">
        <x:f>W2579*('Inputs'!$B$6-AC2579)</x:f>
        <x:v>696951878.8528663</x:v>
      </x:c>
      <x:c r="Y2579" s="80" t="n">
        <x:f>2*V2579</x:f>
        <x:v>440699.35692169383</x:v>
      </x:c>
      <x:c r="Z2579" s="80" t="n">
        <x:f>K2579*'Inputs'!$B$16+(G2579+R2579)*J2579*'Inputs'!$B$16</x:f>
        <x:v>8961.423904792942</x:v>
      </x:c>
      <x:c r="AA2579" s="80" t="n">
        <x:f>K2579*(1+'Inputs'!$E$51)/2*'Inputs'!$B$17</x:f>
        <x:v>3100.3964384414685</x:v>
      </x:c>
      <x:c r="AB2579" s="78" t="n">
        <x:f>(IF(J2579&gt;0,K2579*(1-'Inputs'!$E$51)/2/J2579,0)+G2579+R2579)*'Inputs'!$B$17</x:f>
        <x:v>3962.2851371833026</x:v>
      </x:c>
      <x:c r="AC2579" s="78" t="n">
        <x:f>AC2578+AB2579</x:f>
        <x:v>304279.54741932644</x:v>
      </x:c>
      <x:c r="AD2579" s="80" t="n">
        <x:f>Z2579/(1+'Inputs'!$C$51)</x:f>
        <x:v>2987.1413015976473</x:v>
      </x:c>
      <x:c r="AE2579" s="80" t="n">
        <x:f>Z2579-AD2579</x:f>
        <x:v>5974.282603195295</x:v>
      </x:c>
      <x:c r="AF2579" s="80" t="n">
        <x:f>D2579*W2579</x:f>
        <x:v>210739.2123203983</x:v>
      </x:c>
      <x:c r="AG2579" s="80" t="n">
        <x:f>C2579*W2579</x:f>
        <x:v>491724.8287475971</x:v>
      </x:c>
      <x:c r="AH2579" s="80" t="n">
        <x:f>2*'Inputs'!$B$8*'Inputs'!$C$51</x:f>
        <x:v>10000</x:v>
      </x:c>
      <x:c r="AI2579" s="81" t="n">
        <x:f>IF(AH2579&gt;0,(AE2579+AF2579)/AH2579*365,0)</x:f>
        <x:v>7910.042564711166</x:v>
      </x:c>
      <x:c r="AJ2579" s="81" t="n">
        <x:f>IF('Inputs'!$B$51&gt;0,AG2579/('Inputs'!$B$19*'Inputs'!$B$51)*365,0)</x:f>
        <x:v>17947.956249287294</x:v>
      </x:c>
      <x:c r="AK2579" s="81" t="n">
        <x:f>W2579/MAX($W$2559:W2579)-1</x:f>
        <x:v>-0.29269319222966184</x:v>
      </x:c>
      <x:c r="AL2579" s="83" t="n">
        <x:f>'Inputs'!$B$51</x:f>
        <x:v>1</x:v>
      </x:c>
      <x:c r="AM2579" s="83" t="n">
        <x:f>'Inputs'!$C$51</x:f>
        <x:v>2</x:v>
      </x:c>
      <x:c r="AN2579" s="83" t="n">
        <x:f>'Inputs'!$D$51</x:f>
        <x:v>3</x:v>
      </x:c>
      <x:c r="AO2579" s="81" t="n">
        <x:f>'Inputs'!$E$51</x:f>
        <x:v>0.1</x:v>
      </x:c>
    </x:row>
    <x:row r="2580">
      <x:c r="A2580" s="59" t="str">
        <x:v>High demand</x:v>
      </x:c>
      <x:c r="B2580" s="59" t="n">
        <x:v>22</x:v>
      </x:c>
      <x:c r="C2580" s="78" t="n">
        <x:f>(('Inputs'!$B$29*(3*22*'Inputs'!$B$12-22^2)/(2*'Inputs'!$B$12^2))-('Inputs'!$B$29*(3*21*'Inputs'!$B$12-21^2)/(2*'Inputs'!$B$12^2)))*'Inputs'!$B$51</x:f>
        <x:v>704996.4815162309</x:v>
      </x:c>
      <x:c r="D2580" s="78" t="n">
        <x:f>IF('Inputs'!$C$51&gt;0,('Inputs'!$B$30*(3*22*'Inputs'!$B$12-22^2)/(2*'Inputs'!$B$12^2))-('Inputs'!$B$30*(3*21*'Inputs'!$B$12-21^2)/(2*'Inputs'!$B$12^2)),0)</x:f>
        <x:v>302141.3492212426</x:v>
      </x:c>
      <x:c r="E2580" s="78" t="n">
        <x:f>C2580+D2580</x:f>
        <x:v>1007137.8307374734</x:v>
      </x:c>
      <x:c r="F2580" s="78" t="n">
        <x:f>'Inputs'!$B$13*E2580+(1-'Inputs'!$B$13)/'Inputs'!$B$14*SUM(E2559:E2580)</x:f>
        <x:v>519489.25019435416</x:v>
      </x:c>
      <x:c r="G2580" s="78" t="n">
        <x:f>F2580*'Inputs'!$F$51</x:f>
        <x:v>129872.31254858854</x:v>
      </x:c>
      <x:c r="H2580" s="78" t="n">
        <x:f>U2579</x:f>
        <x:v>316065.7675863943</x:v>
      </x:c>
      <x:c r="I2580" s="78" t="n">
        <x:f>V2579</x:f>
        <x:v>220349.67846084692</x:v>
      </x:c>
      <x:c r="J2580" s="79" t="n">
        <x:f>IF(H2580&gt;0,I2580/H2580,0)</x:f>
        <x:v>0.6971640116027938</x:v>
      </x:c>
      <x:c r="K2580" s="80" t="n">
        <x:f>(H2580*J2580+I2580)*'Inputs'!$D$51*(1+'Inputs'!$G$51)^(B2580/30)</x:f>
        <x:v>1370258.455966127</x:v>
      </x:c>
      <x:c r="L2580" s="80" t="n">
        <x:f>MAX(0,K2580*'Inputs'!$E$51)</x:f>
        <x:v>137025.84559661272</x:v>
      </x:c>
      <x:c r="M2580" s="80" t="n">
        <x:f>MAX(0,-K2580*'Inputs'!$E$51)</x:f>
        <x:v>0</x:v>
      </x:c>
      <x:c r="N2580" s="78" t="n">
        <x:f>H2580*(L2580*(1-'Inputs'!$B$15))/(I2580+L2580*(1-'Inputs'!$B$15))</x:f>
        <x:v>120436.6660266937</x:v>
      </x:c>
      <x:c r="O2580" s="78" t="n">
        <x:f>H2580-N2580</x:f>
        <x:v>195629.10155970056</x:v>
      </x:c>
      <x:c r="P2580" s="78" t="n">
        <x:f>I2580+L2580*(1-'Inputs'!$B$17)</x:f>
        <x:v>356824.11220395216</x:v>
      </x:c>
      <x:c r="Q2580" s="78" t="n">
        <x:f>IF(J2580&gt;0,M2580/J2580,0)</x:f>
        <x:v>0</x:v>
      </x:c>
      <x:c r="R2580" s="78" t="n">
        <x:f>IF(B2580='Inputs'!$H$51,'Inputs'!$B$27*'Inputs'!$I$51,0)</x:f>
        <x:v>0</x:v>
      </x:c>
      <x:c r="S2580" s="78" t="n">
        <x:f>Q2580+G2580+R2580</x:f>
        <x:v>129872.31254858854</x:v>
      </x:c>
      <x:c r="T2580" s="78" t="n">
        <x:f>P2580*(S2580*(1-'Inputs'!$B$15))/(O2580+S2580*(1-'Inputs'!$B$15))</x:f>
        <x:v>141510.72207234573</x:v>
      </x:c>
      <x:c r="U2580" s="78" t="n">
        <x:f>O2580+S2580*(1-'Inputs'!$B$17)</x:f>
        <x:v>324978.7891080936</x:v>
      </x:c>
      <x:c r="V2580" s="78" t="n">
        <x:f>P2580-T2580</x:f>
        <x:v>215313.39013160643</x:v>
      </x:c>
      <x:c r="W2580" s="79" t="n">
        <x:f>IF(U2580&gt;0,V2580/U2580,0)</x:f>
        <x:v>0.6625459794546451</x:v>
      </x:c>
      <x:c r="X2580" s="80" t="n">
        <x:f>W2580*('Inputs'!$B$6-AC2580)</x:f>
        <x:v>662341675.8602958</x:v>
      </x:c>
      <x:c r="Y2580" s="80" t="n">
        <x:f>2*V2580</x:f>
        <x:v>430626.78026321286</x:v>
      </x:c>
      <x:c r="Z2580" s="80" t="n">
        <x:f>K2580*'Inputs'!$B$16+(G2580+R2580)*J2580*'Inputs'!$B$16</x:f>
        <x:v>8764.804550271798</x:v>
      </x:c>
      <x:c r="AA2580" s="80" t="n">
        <x:f>K2580*(1+'Inputs'!$E$51)/2*'Inputs'!$B$17</x:f>
        <x:v>3032.7651942912275</x:v>
      </x:c>
      <x:c r="AB2580" s="78" t="n">
        <x:f>(IF(J2580&gt;0,K2580*(1-'Inputs'!$E$51)/2/J2580,0)+G2580+R2580)*'Inputs'!$B$17</x:f>
        <x:v>4081.835314392686</x:v>
      </x:c>
      <x:c r="AC2580" s="78" t="n">
        <x:f>AC2579+AB2580</x:f>
        <x:v>308361.38273371913</x:v>
      </x:c>
      <x:c r="AD2580" s="80" t="n">
        <x:f>Z2580/(1+'Inputs'!$C$51)</x:f>
        <x:v>2921.601516757266</x:v>
      </x:c>
      <x:c r="AE2580" s="80" t="n">
        <x:f>Z2580-AD2580</x:f>
        <x:v>5843.203033514532</x:v>
      </x:c>
      <x:c r="AF2580" s="80" t="n">
        <x:f>D2580*W2580</x:f>
        <x:v>200182.53615353614</x:v>
      </x:c>
      <x:c r="AG2580" s="80" t="n">
        <x:f>C2580*W2580</x:f>
        <x:v>467092.5843582498</x:v>
      </x:c>
      <x:c r="AH2580" s="80" t="n">
        <x:f>2*'Inputs'!$B$8*'Inputs'!$C$51</x:f>
        <x:v>10000</x:v>
      </x:c>
      <x:c r="AI2580" s="81" t="n">
        <x:f>IF(AH2580&gt;0,(AE2580+AF2580)/AH2580*365,0)</x:f>
        <x:v>7519.939480327349</x:v>
      </x:c>
      <x:c r="AJ2580" s="81" t="n">
        <x:f>IF('Inputs'!$B$51&gt;0,AG2580/('Inputs'!$B$19*'Inputs'!$B$51)*365,0)</x:f>
        <x:v>17048.879329076117</x:v>
      </x:c>
      <x:c r="AK2580" s="81" t="n">
        <x:f>W2580/MAX($W$2559:W2580)-1</x:f>
        <x:v>-0.32781487005939547</x:v>
      </x:c>
      <x:c r="AL2580" s="83" t="n">
        <x:f>'Inputs'!$B$51</x:f>
        <x:v>1</x:v>
      </x:c>
      <x:c r="AM2580" s="83" t="n">
        <x:f>'Inputs'!$C$51</x:f>
        <x:v>2</x:v>
      </x:c>
      <x:c r="AN2580" s="83" t="n">
        <x:f>'Inputs'!$D$51</x:f>
        <x:v>3</x:v>
      </x:c>
      <x:c r="AO2580" s="81" t="n">
        <x:f>'Inputs'!$E$51</x:f>
        <x:v>0.1</x:v>
      </x:c>
    </x:row>
    <x:row r="2581">
      <x:c r="A2581" s="59" t="str">
        <x:v>High demand</x:v>
      </x:c>
      <x:c r="B2581" s="59" t="n">
        <x:v>23</x:v>
      </x:c>
      <x:c r="C2581" s="78" t="n">
        <x:f>(('Inputs'!$B$29*(3*23*'Inputs'!$B$12-23^2)/(2*'Inputs'!$B$12^2))-('Inputs'!$B$29*(3*22*'Inputs'!$B$12-22^2)/(2*'Inputs'!$B$12^2)))*'Inputs'!$B$51</x:f>
        <x:v>704671.373616064</x:v>
      </x:c>
      <x:c r="D2581" s="78" t="n">
        <x:f>IF('Inputs'!$C$51&gt;0,('Inputs'!$B$30*(3*23*'Inputs'!$B$12-23^2)/(2*'Inputs'!$B$12^2))-('Inputs'!$B$30*(3*22*'Inputs'!$B$12-22^2)/(2*'Inputs'!$B$12^2)),0)</x:f>
        <x:v>302002.01726402715</x:v>
      </x:c>
      <x:c r="E2581" s="78" t="n">
        <x:f>C2581+D2581</x:f>
        <x:v>1006673.3908800911</x:v>
      </x:c>
      <x:c r="F2581" s="78" t="n">
        <x:f>'Inputs'!$B$13*E2581+(1-'Inputs'!$B$13)/'Inputs'!$B$14*SUM(E2559:E2581)</x:f>
        <x:v>533777.4106640219</x:v>
      </x:c>
      <x:c r="G2581" s="78" t="n">
        <x:f>F2581*'Inputs'!$F$51</x:f>
        <x:v>133444.35266600546</x:v>
      </x:c>
      <x:c r="H2581" s="78" t="n">
        <x:f>U2580</x:f>
        <x:v>324978.7891080936</x:v>
      </x:c>
      <x:c r="I2581" s="78" t="n">
        <x:f>V2580</x:f>
        <x:v>215313.39013160643</x:v>
      </x:c>
      <x:c r="J2581" s="79" t="n">
        <x:f>IF(H2581&gt;0,I2581/H2581,0)</x:f>
        <x:v>0.6625459794546451</x:v>
      </x:c>
      <x:c r="K2581" s="80" t="n">
        <x:f>(H2581*J2581+I2581)*'Inputs'!$D$51*(1+'Inputs'!$G$51)^(B2581/30)</x:f>
        <x:v>1341119.3191923576</x:v>
      </x:c>
      <x:c r="L2581" s="80" t="n">
        <x:f>MAX(0,K2581*'Inputs'!$E$51)</x:f>
        <x:v>134111.93191923577</x:v>
      </x:c>
      <x:c r="M2581" s="80" t="n">
        <x:f>MAX(0,-K2581*'Inputs'!$E$51)</x:f>
        <x:v>0</x:v>
      </x:c>
      <x:c r="N2581" s="78" t="n">
        <x:f>H2581*(L2581*(1-'Inputs'!$B$15))/(I2581+L2581*(1-'Inputs'!$B$15))</x:f>
        <x:v>123957.64464187354</x:v>
      </x:c>
      <x:c r="O2581" s="78" t="n">
        <x:f>H2581-N2581</x:f>
        <x:v>201021.14446622005</x:v>
      </x:c>
      <x:c r="P2581" s="78" t="n">
        <x:f>I2581+L2581*(1-'Inputs'!$B$17)</x:f>
        <x:v>348885.63620810886</x:v>
      </x:c>
      <x:c r="Q2581" s="78" t="n">
        <x:f>IF(J2581&gt;0,M2581/J2581,0)</x:f>
        <x:v>0</x:v>
      </x:c>
      <x:c r="R2581" s="78" t="n">
        <x:f>IF(B2581='Inputs'!$H$51,'Inputs'!$B$27*'Inputs'!$I$51,0)</x:f>
        <x:v>0</x:v>
      </x:c>
      <x:c r="S2581" s="78" t="n">
        <x:f>Q2581+G2581+R2581</x:f>
        <x:v>133444.35266600546</x:v>
      </x:c>
      <x:c r="T2581" s="78" t="n">
        <x:f>P2581*(S2581*(1-'Inputs'!$B$15))/(O2581+S2581*(1-'Inputs'!$B$15))</x:f>
        <x:v>138357.70997815483</x:v>
      </x:c>
      <x:c r="U2581" s="78" t="n">
        <x:f>O2581+S2581*(1-'Inputs'!$B$17)</x:f>
        <x:v>333928.4977251189</x:v>
      </x:c>
      <x:c r="V2581" s="78" t="n">
        <x:f>P2581-T2581</x:f>
        <x:v>210527.92622995403</x:v>
      </x:c>
      <x:c r="W2581" s="79" t="n">
        <x:f>IF(U2581&gt;0,V2581/U2581,0)</x:f>
        <x:v>0.6304581000548658</x:v>
      </x:c>
      <x:c r="X2581" s="80" t="n">
        <x:f>W2581*('Inputs'!$B$6-AC2581)</x:f>
        <x:v>630261041.6007435</x:v>
      </x:c>
      <x:c r="Y2581" s="80" t="n">
        <x:f>2*V2581</x:f>
        <x:v>421055.85245990806</x:v>
      </x:c>
      <x:c r="Z2581" s="80" t="n">
        <x:f>K2581*'Inputs'!$B$16+(G2581+R2581)*J2581*'Inputs'!$B$16</x:f>
        <x:v>8577.194031192883</x:v>
      </x:c>
      <x:c r="AA2581" s="80" t="n">
        <x:f>K2581*(1+'Inputs'!$E$51)/2*'Inputs'!$B$17</x:f>
        <x:v>2968.2721350333877</x:v>
      </x:c>
      <x:c r="AB2581" s="78" t="n">
        <x:f>(IF(J2581&gt;0,K2581*(1-'Inputs'!$E$51)/2/J2581,0)+G2581+R2581)*'Inputs'!$B$17</x:f>
        <x:v>4202.5356379642735</x:v>
      </x:c>
      <x:c r="AC2581" s="78" t="n">
        <x:f>AC2580+AB2581</x:f>
        <x:v>312563.9183716834</x:v>
      </x:c>
      <x:c r="AD2581" s="80" t="n">
        <x:f>Z2581/(1+'Inputs'!$C$51)</x:f>
        <x:v>2859.0646770642943</x:v>
      </x:c>
      <x:c r="AE2581" s="80" t="n">
        <x:f>Z2581-AD2581</x:f>
        <x:v>5718.129354128589</x:v>
      </x:c>
      <x:c r="AF2581" s="80" t="n">
        <x:f>D2581*W2581</x:f>
        <x:v>190399.61801701534</x:v>
      </x:c>
      <x:c r="AG2581" s="80" t="n">
        <x:f>C2581*W2581</x:f>
        <x:v>444265.77537303616</x:v>
      </x:c>
      <x:c r="AH2581" s="80" t="n">
        <x:f>2*'Inputs'!$B$8*'Inputs'!$C$51</x:f>
        <x:v>10000</x:v>
      </x:c>
      <x:c r="AI2581" s="81" t="n">
        <x:f>IF(AH2581&gt;0,(AE2581+AF2581)/AH2581*365,0)</x:f>
        <x:v>7158.297779046753</x:v>
      </x:c>
      <x:c r="AJ2581" s="81" t="n">
        <x:f>IF('Inputs'!$B$51&gt;0,AG2581/('Inputs'!$B$19*'Inputs'!$B$51)*365,0)</x:f>
        <x:v>16215.70080111582</x:v>
      </x:c>
      <x:c r="AK2581" s="81" t="n">
        <x:f>W2581/MAX($W$2559:W2581)-1</x:f>
        <x:v>-0.36036958483045634</x:v>
      </x:c>
      <x:c r="AL2581" s="83" t="n">
        <x:f>'Inputs'!$B$51</x:f>
        <x:v>1</x:v>
      </x:c>
      <x:c r="AM2581" s="83" t="n">
        <x:f>'Inputs'!$C$51</x:f>
        <x:v>2</x:v>
      </x:c>
      <x:c r="AN2581" s="83" t="n">
        <x:f>'Inputs'!$D$51</x:f>
        <x:v>3</x:v>
      </x:c>
      <x:c r="AO2581" s="81" t="n">
        <x:f>'Inputs'!$E$51</x:f>
        <x:v>0.1</x:v>
      </x:c>
    </x:row>
    <x:row r="2582">
      <x:c r="A2582" s="59" t="str">
        <x:v>High demand</x:v>
      </x:c>
      <x:c r="B2582" s="59" t="n">
        <x:v>24</x:v>
      </x:c>
      <x:c r="C2582" s="78" t="n">
        <x:f>(('Inputs'!$B$29*(3*24*'Inputs'!$B$12-24^2)/(2*'Inputs'!$B$12^2))-('Inputs'!$B$29*(3*23*'Inputs'!$B$12-23^2)/(2*'Inputs'!$B$12^2)))*'Inputs'!$B$51</x:f>
        <x:v>704346.2657158952</x:v>
      </x:c>
      <x:c r="D2582" s="78" t="n">
        <x:f>IF('Inputs'!$C$51&gt;0,('Inputs'!$B$30*(3*24*'Inputs'!$B$12-24^2)/(2*'Inputs'!$B$12^2))-('Inputs'!$B$30*(3*23*'Inputs'!$B$12-23^2)/(2*'Inputs'!$B$12^2)),0)</x:f>
        <x:v>301862.6853068117</x:v>
      </x:c>
      <x:c r="E2582" s="78" t="n">
        <x:f>C2582+D2582</x:f>
        <x:v>1006208.9510227069</x:v>
      </x:c>
      <x:c r="F2582" s="78" t="n">
        <x:f>'Inputs'!$B$13*E2582+(1-'Inputs'!$B$13)/'Inputs'!$B$14*SUM(E2559:E2582)</x:f>
        <x:v>548058.9362785837</x:v>
      </x:c>
      <x:c r="G2582" s="78" t="n">
        <x:f>F2582*'Inputs'!$F$51</x:f>
        <x:v>137014.73406964593</x:v>
      </x:c>
      <x:c r="H2582" s="78" t="n">
        <x:f>U2581</x:f>
        <x:v>333928.4977251189</x:v>
      </x:c>
      <x:c r="I2582" s="78" t="n">
        <x:f>V2581</x:f>
        <x:v>210527.92622995403</x:v>
      </x:c>
      <x:c r="J2582" s="79" t="n">
        <x:f>IF(H2582&gt;0,I2582/H2582,0)</x:f>
        <x:v>0.6304581000548658</x:v>
      </x:c>
      <x:c r="K2582" s="80" t="n">
        <x:f>(H2582*J2582+I2582)*'Inputs'!$D$51*(1+'Inputs'!$G$51)^(B2582/30)</x:f>
        <x:v>1313446.5441815278</x:v>
      </x:c>
      <x:c r="L2582" s="80" t="n">
        <x:f>MAX(0,K2582*'Inputs'!$E$51)</x:f>
        <x:v>131344.6544181528</x:v>
      </x:c>
      <x:c r="M2582" s="80" t="n">
        <x:f>MAX(0,-K2582*'Inputs'!$E$51)</x:f>
        <x:v>0</x:v>
      </x:c>
      <x:c r="N2582" s="78" t="n">
        <x:f>H2582*(L2582*(1-'Inputs'!$B$15))/(I2582+L2582*(1-'Inputs'!$B$15))</x:f>
        <x:v>127499.51933307255</x:v>
      </x:c>
      <x:c r="O2582" s="78" t="n">
        <x:f>H2582-N2582</x:f>
        <x:v>206428.97839204635</x:v>
      </x:c>
      <x:c r="P2582" s="78" t="n">
        <x:f>I2582+L2582*(1-'Inputs'!$B$17)</x:f>
        <x:v>341344.03073093115</x:v>
      </x:c>
      <x:c r="Q2582" s="78" t="n">
        <x:f>IF(J2582&gt;0,M2582/J2582,0)</x:f>
        <x:v>0</x:v>
      </x:c>
      <x:c r="R2582" s="78" t="n">
        <x:f>IF(B2582='Inputs'!$H$51,'Inputs'!$B$27*'Inputs'!$I$51,0)</x:f>
        <x:v>0</x:v>
      </x:c>
      <x:c r="S2582" s="78" t="n">
        <x:f>Q2582+G2582+R2582</x:f>
        <x:v>137014.73406964593</x:v>
      </x:c>
      <x:c r="T2582" s="78" t="n">
        <x:f>P2582*(S2582*(1-'Inputs'!$B$15))/(O2582+S2582*(1-'Inputs'!$B$15))</x:f>
        <x:v>135355.2998592965</x:v>
      </x:c>
      <x:c r="U2582" s="78" t="n">
        <x:f>O2582+S2582*(1-'Inputs'!$B$17)</x:f>
        <x:v>342892.345322579</x:v>
      </x:c>
      <x:c r="V2582" s="78" t="n">
        <x:f>P2582-T2582</x:f>
        <x:v>205988.73087163465</x:v>
      </x:c>
      <x:c r="W2582" s="79" t="n">
        <x:f>IF(U2582&gt;0,V2582/U2582,0)</x:f>
        <x:v>0.6007387848738616</x:v>
      </x:c>
      <x:c r="X2582" s="80" t="n">
        <x:f>W2582*('Inputs'!$B$6-AC2582)</x:f>
        <x:v>600548418.0225755</x:v>
      </x:c>
      <x:c r="Y2582" s="80" t="n">
        <x:f>2*V2582</x:f>
        <x:v>411977.4617432693</x:v>
      </x:c>
      <x:c r="Z2582" s="80" t="n">
        <x:f>K2582*'Inputs'!$B$16+(G2582+R2582)*J2582*'Inputs'!$B$16</x:f>
        <x:v>8398.971558615596</x:v>
      </x:c>
      <x:c r="AA2582" s="80" t="n">
        <x:f>K2582*(1+'Inputs'!$E$51)/2*'Inputs'!$B$17</x:f>
        <x:v>2907.0245444661587</x:v>
      </x:c>
      <x:c r="AB2582" s="78" t="n">
        <x:f>(IF(J2582&gt;0,K2582*(1-'Inputs'!$E$51)/2/J2582,0)+G2582+R2582)*'Inputs'!$B$17</x:f>
        <x:v>4323.980461209539</x:v>
      </x:c>
      <x:c r="AC2582" s="78" t="n">
        <x:f>AC2581+AB2582</x:f>
        <x:v>316887.89883289294</x:v>
      </x:c>
      <x:c r="AD2582" s="80" t="n">
        <x:f>Z2582/(1+'Inputs'!$C$51)</x:f>
        <x:v>2799.6571862051987</x:v>
      </x:c>
      <x:c r="AE2582" s="80" t="n">
        <x:f>Z2582-AD2582</x:f>
        <x:v>5599.3143724103975</x:v>
      </x:c>
      <x:c r="AF2582" s="80" t="n">
        <x:f>D2582*W2582</x:f>
        <x:v>181340.62276997493</x:v>
      </x:c>
      <x:c r="AG2582" s="80" t="n">
        <x:f>C2582*W2582</x:f>
        <x:v>423128.1197966089</x:v>
      </x:c>
      <x:c r="AH2582" s="80" t="n">
        <x:f>2*'Inputs'!$B$8*'Inputs'!$C$51</x:f>
        <x:v>10000</x:v>
      </x:c>
      <x:c r="AI2582" s="81" t="n">
        <x:f>IF(AH2582&gt;0,(AE2582+AF2582)/AH2582*365,0)</x:f>
        <x:v>6823.307705697063</x:v>
      </x:c>
      <x:c r="AJ2582" s="81" t="n">
        <x:f>IF('Inputs'!$B$51&gt;0,AG2582/('Inputs'!$B$19*'Inputs'!$B$51)*365,0)</x:f>
        <x:v>15444.176372576227</x:v>
      </x:c>
      <x:c r="AK2582" s="81" t="n">
        <x:f>W2582/MAX($W$2559:W2582)-1</x:f>
        <x:v>-0.39052127596762465</x:v>
      </x:c>
      <x:c r="AL2582" s="83" t="n">
        <x:f>'Inputs'!$B$51</x:f>
        <x:v>1</x:v>
      </x:c>
      <x:c r="AM2582" s="83" t="n">
        <x:f>'Inputs'!$C$51</x:f>
        <x:v>2</x:v>
      </x:c>
      <x:c r="AN2582" s="83" t="n">
        <x:f>'Inputs'!$D$51</x:f>
        <x:v>3</x:v>
      </x:c>
      <x:c r="AO2582" s="81" t="n">
        <x:f>'Inputs'!$E$51</x:f>
        <x:v>0.1</x:v>
      </x:c>
    </x:row>
    <x:row r="2583">
      <x:c r="A2583" s="59" t="str">
        <x:v>High demand</x:v>
      </x:c>
      <x:c r="B2583" s="59" t="n">
        <x:v>25</x:v>
      </x:c>
      <x:c r="C2583" s="78" t="n">
        <x:f>(('Inputs'!$B$29*(3*25*'Inputs'!$B$12-25^2)/(2*'Inputs'!$B$12^2))-('Inputs'!$B$29*(3*24*'Inputs'!$B$12-24^2)/(2*'Inputs'!$B$12^2)))*'Inputs'!$B$51</x:f>
        <x:v>704021.1578157246</x:v>
      </x:c>
      <x:c r="D2583" s="78" t="n">
        <x:f>IF('Inputs'!$C$51&gt;0,('Inputs'!$B$30*(3*25*'Inputs'!$B$12-25^2)/(2*'Inputs'!$B$12^2))-('Inputs'!$B$30*(3*24*'Inputs'!$B$12-24^2)/(2*'Inputs'!$B$12^2)),0)</x:f>
        <x:v>301723.35334959626</x:v>
      </x:c>
      <x:c r="E2583" s="78" t="n">
        <x:f>C2583+D2583</x:f>
        <x:v>1005744.5111653209</x:v>
      </x:c>
      <x:c r="F2583" s="78" t="n">
        <x:f>'Inputs'!$B$13*E2583+(1-'Inputs'!$B$13)/'Inputs'!$B$14*SUM(E2559:E2583)</x:f>
        <x:v>562333.8270380397</x:v>
      </x:c>
      <x:c r="G2583" s="78" t="n">
        <x:f>F2583*'Inputs'!$F$51</x:f>
        <x:v>140583.45675950992</x:v>
      </x:c>
      <x:c r="H2583" s="78" t="n">
        <x:f>U2582</x:f>
        <x:v>342892.345322579</x:v>
      </x:c>
      <x:c r="I2583" s="78" t="n">
        <x:f>V2582</x:f>
        <x:v>205988.73087163465</x:v>
      </x:c>
      <x:c r="J2583" s="79" t="n">
        <x:f>IF(H2583&gt;0,I2583/H2583,0)</x:f>
        <x:v>0.6007387848738616</x:v>
      </x:c>
      <x:c r="K2583" s="80" t="n">
        <x:f>(H2583*J2583+I2583)*'Inputs'!$D$51*(1+'Inputs'!$G$51)^(B2583/30)</x:f>
        <x:v>1287219.0590391706</x:v>
      </x:c>
      <x:c r="L2583" s="80" t="n">
        <x:f>MAX(0,K2583*'Inputs'!$E$51)</x:f>
        <x:v>128721.90590391707</x:v>
      </x:c>
      <x:c r="M2583" s="80" t="n">
        <x:f>MAX(0,-K2583*'Inputs'!$E$51)</x:f>
        <x:v>0</x:v>
      </x:c>
      <x:c r="N2583" s="78" t="n">
        <x:f>H2583*(L2583*(1-'Inputs'!$B$15))/(I2583+L2583*(1-'Inputs'!$B$15))</x:f>
        <x:v>131053.71826294658</x:v>
      </x:c>
      <x:c r="O2583" s="78" t="n">
        <x:f>H2583-N2583</x:f>
        <x:v>211838.62705963245</x:v>
      </x:c>
      <x:c r="P2583" s="78" t="n">
        <x:f>I2583+L2583*(1-'Inputs'!$B$17)</x:f>
        <x:v>334192.6411783529</x:v>
      </x:c>
      <x:c r="Q2583" s="78" t="n">
        <x:f>IF(J2583&gt;0,M2583/J2583,0)</x:f>
        <x:v>0</x:v>
      </x:c>
      <x:c r="R2583" s="78" t="n">
        <x:f>IF(B2583='Inputs'!$H$51,'Inputs'!$B$27*'Inputs'!$I$51,0)</x:f>
        <x:v>0</x:v>
      </x:c>
      <x:c r="S2583" s="78" t="n">
        <x:f>Q2583+G2583+R2583</x:f>
        <x:v>140583.45675950992</x:v>
      </x:c>
      <x:c r="T2583" s="78" t="n">
        <x:f>P2583*(S2583*(1-'Inputs'!$B$15))/(O2583+S2583*(1-'Inputs'!$B$15))</x:f>
        <x:v>132507.07695844347</x:v>
      </x:c>
      <x:c r="U2583" s="78" t="n">
        <x:f>O2583+S2583*(1-'Inputs'!$B$17)</x:f>
        <x:v>351856.3556229271</x:v>
      </x:c>
      <x:c r="V2583" s="78" t="n">
        <x:f>P2583-T2583</x:f>
        <x:v>201685.5642199094</x:v>
      </x:c>
      <x:c r="W2583" s="79" t="n">
        <x:f>IF(U2583&gt;0,V2583/U2583,0)</x:f>
        <x:v>0.5732042664480081</x:v>
      </x:c>
      <x:c r="X2583" s="80" t="n">
        <x:f>W2583*('Inputs'!$B$6-AC2583)</x:f>
        <x:v>573020076.5335512</x:v>
      </x:c>
      <x:c r="Y2583" s="80" t="n">
        <x:f>2*V2583</x:f>
        <x:v>403371.1284398188</x:v>
      </x:c>
      <x:c r="Z2583" s="80" t="n">
        <x:f>K2583*'Inputs'!$B$16+(G2583+R2583)*J2583*'Inputs'!$B$16</x:f>
        <x:v>8230.037964157475</x:v>
      </x:c>
      <x:c r="AA2583" s="80" t="n">
        <x:f>K2583*(1+'Inputs'!$E$51)/2*'Inputs'!$B$17</x:f>
        <x:v>2848.9757845937384</x:v>
      </x:c>
      <x:c r="AB2583" s="78" t="n">
        <x:f>(IF(J2583&gt;0,K2583*(1-'Inputs'!$E$51)/2/J2583,0)+G2583+R2583)*'Inputs'!$B$17</x:f>
        <x:v>4445.9174666389445</x:v>
      </x:c>
      <x:c r="AC2583" s="78" t="n">
        <x:f>AC2582+AB2583</x:f>
        <x:v>321333.8162995319</x:v>
      </x:c>
      <x:c r="AD2583" s="80" t="n">
        <x:f>Z2583/(1+'Inputs'!$C$51)</x:f>
        <x:v>2743.3459880524915</x:v>
      </x:c>
      <x:c r="AE2583" s="80" t="n">
        <x:f>Z2583-AD2583</x:f>
        <x:v>5486.691976104983</x:v>
      </x:c>
      <x:c r="AF2583" s="80" t="n">
        <x:f>D2583*W2583</x:f>
        <x:v>172949.11342698848</x:v>
      </x:c>
      <x:c r="AG2583" s="80" t="n">
        <x:f>C2583*W2583</x:f>
        <x:v>403547.9313296398</x:v>
      </x:c>
      <x:c r="AH2583" s="80" t="n">
        <x:f>2*'Inputs'!$B$8*'Inputs'!$C$51</x:f>
        <x:v>10000</x:v>
      </x:c>
      <x:c r="AI2583" s="81" t="n">
        <x:f>IF(AH2583&gt;0,(AE2583+AF2583)/AH2583*365,0)</x:f>
        <x:v>6512.906897212912</x:v>
      </x:c>
      <x:c r="AJ2583" s="81" t="n">
        <x:f>IF('Inputs'!$B$51&gt;0,AG2583/('Inputs'!$B$19*'Inputs'!$B$51)*365,0)</x:f>
        <x:v>14729.499493531854</x:v>
      </x:c>
      <x:c r="AK2583" s="81" t="n">
        <x:f>W2583/MAX($W$2559:W2583)-1</x:f>
        <x:v>-0.41845638450329004</x:v>
      </x:c>
      <x:c r="AL2583" s="83" t="n">
        <x:f>'Inputs'!$B$51</x:f>
        <x:v>1</x:v>
      </x:c>
      <x:c r="AM2583" s="83" t="n">
        <x:f>'Inputs'!$C$51</x:f>
        <x:v>2</x:v>
      </x:c>
      <x:c r="AN2583" s="83" t="n">
        <x:f>'Inputs'!$D$51</x:f>
        <x:v>3</x:v>
      </x:c>
      <x:c r="AO2583" s="81" t="n">
        <x:f>'Inputs'!$E$51</x:f>
        <x:v>0.1</x:v>
      </x:c>
    </x:row>
    <x:row r="2584">
      <x:c r="A2584" s="59" t="str">
        <x:v>High demand</x:v>
      </x:c>
      <x:c r="B2584" s="59" t="n">
        <x:v>26</x:v>
      </x:c>
      <x:c r="C2584" s="78" t="n">
        <x:f>(('Inputs'!$B$29*(3*26*'Inputs'!$B$12-26^2)/(2*'Inputs'!$B$12^2))-('Inputs'!$B$29*(3*25*'Inputs'!$B$12-25^2)/(2*'Inputs'!$B$12^2)))*'Inputs'!$B$51</x:f>
        <x:v>703696.0499155559</x:v>
      </x:c>
      <x:c r="D2584" s="78" t="n">
        <x:f>IF('Inputs'!$C$51&gt;0,('Inputs'!$B$30*(3*26*'Inputs'!$B$12-26^2)/(2*'Inputs'!$B$12^2))-('Inputs'!$B$30*(3*25*'Inputs'!$B$12-25^2)/(2*'Inputs'!$B$12^2)),0)</x:f>
        <x:v>301584.02139238175</x:v>
      </x:c>
      <x:c r="E2584" s="78" t="n">
        <x:f>C2584+D2584</x:f>
        <x:v>1005280.0713079376</x:v>
      </x:c>
      <x:c r="F2584" s="78" t="n">
        <x:f>'Inputs'!$B$13*E2584+(1-'Inputs'!$B$13)/'Inputs'!$B$14*SUM(E2559:E2584)</x:f>
        <x:v>576602.0829423906</x:v>
      </x:c>
      <x:c r="G2584" s="78" t="n">
        <x:f>F2584*'Inputs'!$F$51</x:f>
        <x:v>144150.52073559765</x:v>
      </x:c>
      <x:c r="H2584" s="78" t="n">
        <x:f>U2583</x:f>
        <x:v>351856.3556229271</x:v>
      </x:c>
      <x:c r="I2584" s="78" t="n">
        <x:f>V2583</x:f>
        <x:v>201685.5642199094</x:v>
      </x:c>
      <x:c r="J2584" s="79" t="n">
        <x:f>IF(H2584&gt;0,I2584/H2584,0)</x:f>
        <x:v>0.5732042664480081</x:v>
      </x:c>
      <x:c r="K2584" s="80" t="n">
        <x:f>(H2584*J2584+I2584)*'Inputs'!$D$51*(1+'Inputs'!$G$51)^(B2584/30)</x:f>
        <x:v>1262380.0541509562</x:v>
      </x:c>
      <x:c r="L2584" s="80" t="n">
        <x:f>MAX(0,K2584*'Inputs'!$E$51)</x:f>
        <x:v>126238.00541509563</x:v>
      </x:c>
      <x:c r="M2584" s="80" t="n">
        <x:f>MAX(0,-K2584*'Inputs'!$E$51)</x:f>
        <x:v>0</x:v>
      </x:c>
      <x:c r="N2584" s="78" t="n">
        <x:f>H2584*(L2584*(1-'Inputs'!$B$15))/(I2584+L2584*(1-'Inputs'!$B$15))</x:f>
        <x:v>134614.91442439656</x:v>
      </x:c>
      <x:c r="O2584" s="78" t="n">
        <x:f>H2584-N2584</x:f>
        <x:v>217241.44119853052</x:v>
      </x:c>
      <x:c r="P2584" s="78" t="n">
        <x:f>I2584+L2584*(1-'Inputs'!$B$17)</x:f>
        <x:v>327415.5696132139</x:v>
      </x:c>
      <x:c r="Q2584" s="78" t="n">
        <x:f>IF(J2584&gt;0,M2584/J2584,0)</x:f>
        <x:v>0</x:v>
      </x:c>
      <x:c r="R2584" s="78" t="n">
        <x:f>IF(B2584='Inputs'!$H$51,'Inputs'!$B$27*'Inputs'!$I$51,0)</x:f>
        <x:v>0</x:v>
      </x:c>
      <x:c r="S2584" s="78" t="n">
        <x:f>Q2584+G2584+R2584</x:f>
        <x:v>144150.52073559765</x:v>
      </x:c>
      <x:c r="T2584" s="78" t="n">
        <x:f>P2584*(S2584*(1-'Inputs'!$B$15))/(O2584+S2584*(1-'Inputs'!$B$15))</x:f>
        <x:v>129809.95782869063</x:v>
      </x:c>
      <x:c r="U2584" s="78" t="n">
        <x:f>O2584+S2584*(1-'Inputs'!$B$17)</x:f>
        <x:v>360811.8793557153</x:v>
      </x:c>
      <x:c r="V2584" s="78" t="n">
        <x:f>P2584-T2584</x:f>
        <x:v>197605.61178452324</x:v>
      </x:c>
      <x:c r="W2584" s="79" t="n">
        <x:f>IF(U2584&gt;0,V2584/U2584,0)</x:f>
        <x:v>0.5476693620436728</x:v>
      </x:c>
      <x:c r="X2584" s="80" t="n">
        <x:f>W2584*('Inputs'!$B$6-AC2584)</x:f>
        <x:v>547490875.4998809</x:v>
      </x:c>
      <x:c r="Y2584" s="80" t="n">
        <x:f>2*V2584</x:f>
        <x:v>395211.2235690465</x:v>
      </x:c>
      <x:c r="Z2584" s="80" t="n">
        <x:f>K2584*'Inputs'!$B$16+(G2584+R2584)*J2584*'Inputs'!$B$16</x:f>
        <x:v>8070.046485883818</x:v>
      </x:c>
      <x:c r="AA2584" s="80" t="n">
        <x:f>K2584*(1+'Inputs'!$E$51)/2*'Inputs'!$B$17</x:f>
        <x:v>2794.0001198512114</x:v>
      </x:c>
      <x:c r="AB2584" s="78" t="n">
        <x:f>(IF(J2584&gt;0,K2584*(1-'Inputs'!$E$51)/2/J2584,0)+G2584+R2584)*'Inputs'!$B$17</x:f>
        <x:v>4568.189841161987</x:v>
      </x:c>
      <x:c r="AC2584" s="78" t="n">
        <x:f>AC2583+AB2584</x:f>
        <x:v>325902.0061406939</x:v>
      </x:c>
      <x:c r="AD2584" s="80" t="n">
        <x:f>Z2584/(1+'Inputs'!$C$51)</x:f>
        <x:v>2690.015495294606</x:v>
      </x:c>
      <x:c r="AE2584" s="80" t="n">
        <x:f>Z2584-AD2584</x:f>
        <x:v>5380.030990589212</x:v>
      </x:c>
      <x:c r="AF2584" s="80" t="n">
        <x:f>D2584*W2584</x:f>
        <x:v>165168.32859853108</x:v>
      </x:c>
      <x:c r="AG2584" s="80" t="n">
        <x:f>C2584*W2584</x:f>
        <x:v>385392.766729905</x:v>
      </x:c>
      <x:c r="AH2584" s="80" t="n">
        <x:f>2*'Inputs'!$B$8*'Inputs'!$C$51</x:f>
        <x:v>10000</x:v>
      </x:c>
      <x:c r="AI2584" s="81" t="n">
        <x:f>IF(AH2584&gt;0,(AE2584+AF2584)/AH2584*365,0)</x:f>
        <x:v>6225.015125002891</x:v>
      </x:c>
      <x:c r="AJ2584" s="81" t="n">
        <x:f>IF('Inputs'!$B$51&gt;0,AG2584/('Inputs'!$B$19*'Inputs'!$B$51)*365,0)</x:f>
        <x:v>14066.835985641532</x:v>
      </x:c>
      <x:c r="AK2584" s="81" t="n">
        <x:f>W2584/MAX($W$2559:W2584)-1</x:f>
        <x:v>-0.4443627873301207</x:v>
      </x:c>
      <x:c r="AL2584" s="83" t="n">
        <x:f>'Inputs'!$B$51</x:f>
        <x:v>1</x:v>
      </x:c>
      <x:c r="AM2584" s="83" t="n">
        <x:f>'Inputs'!$C$51</x:f>
        <x:v>2</x:v>
      </x:c>
      <x:c r="AN2584" s="83" t="n">
        <x:f>'Inputs'!$D$51</x:f>
        <x:v>3</x:v>
      </x:c>
      <x:c r="AO2584" s="81" t="n">
        <x:f>'Inputs'!$E$51</x:f>
        <x:v>0.1</x:v>
      </x:c>
    </x:row>
    <x:row r="2585">
      <x:c r="A2585" s="59" t="str">
        <x:v>High demand</x:v>
      </x:c>
      <x:c r="B2585" s="59" t="n">
        <x:v>27</x:v>
      </x:c>
      <x:c r="C2585" s="78" t="n">
        <x:f>(('Inputs'!$B$29*(3*27*'Inputs'!$B$12-27^2)/(2*'Inputs'!$B$12^2))-('Inputs'!$B$29*(3*26*'Inputs'!$B$12-26^2)/(2*'Inputs'!$B$12^2)))*'Inputs'!$B$51</x:f>
        <x:v>703370.9420153871</x:v>
      </x:c>
      <x:c r="D2585" s="78" t="n">
        <x:f>IF('Inputs'!$C$51&gt;0,('Inputs'!$B$30*(3*27*'Inputs'!$B$12-27^2)/(2*'Inputs'!$B$12^2))-('Inputs'!$B$30*(3*26*'Inputs'!$B$12-26^2)/(2*'Inputs'!$B$12^2)),0)</x:f>
        <x:v>301444.6894351663</x:v>
      </x:c>
      <x:c r="E2585" s="78" t="n">
        <x:f>C2585+D2585</x:f>
        <x:v>1004815.6314505534</x:v>
      </x:c>
      <x:c r="F2585" s="78" t="n">
        <x:f>'Inputs'!$B$13*E2585+(1-'Inputs'!$B$13)/'Inputs'!$B$14*SUM(E2559:E2585)</x:f>
        <x:v>590863.7039916359</x:v>
      </x:c>
      <x:c r="G2585" s="78" t="n">
        <x:f>F2585*'Inputs'!$F$51</x:f>
        <x:v>147715.92599790898</x:v>
      </x:c>
      <x:c r="H2585" s="78" t="n">
        <x:f>U2584</x:f>
        <x:v>360811.8793557153</x:v>
      </x:c>
      <x:c r="I2585" s="78" t="n">
        <x:f>V2584</x:f>
        <x:v>197605.61178452324</x:v>
      </x:c>
      <x:c r="J2585" s="79" t="n">
        <x:f>IF(H2585&gt;0,I2585/H2585,0)</x:f>
        <x:v>0.5476693620436728</x:v>
      </x:c>
      <x:c r="K2585" s="80" t="n">
        <x:f>(H2585*J2585+I2585)*'Inputs'!$D$51*(1+'Inputs'!$G$51)^(B2585/30)</x:f>
        <x:v>1238856.1852038202</x:v>
      </x:c>
      <x:c r="L2585" s="80" t="n">
        <x:f>MAX(0,K2585*'Inputs'!$E$51)</x:f>
        <x:v>123885.61852038204</x:v>
      </x:c>
      <x:c r="M2585" s="80" t="n">
        <x:f>MAX(0,-K2585*'Inputs'!$E$51)</x:f>
        <x:v>0</x:v>
      </x:c>
      <x:c r="N2585" s="78" t="n">
        <x:f>H2585*(L2585*(1-'Inputs'!$B$15))/(I2585+L2585*(1-'Inputs'!$B$15))</x:f>
        <x:v>138179.79940566837</x:v>
      </x:c>
      <x:c r="O2585" s="78" t="n">
        <x:f>H2585-N2585</x:f>
        <x:v>222632.07995004693</x:v>
      </x:c>
      <x:c r="P2585" s="78" t="n">
        <x:f>I2585+L2585*(1-'Inputs'!$B$17)</x:f>
        <x:v>320992.6966287669</x:v>
      </x:c>
      <x:c r="Q2585" s="78" t="n">
        <x:f>IF(J2585&gt;0,M2585/J2585,0)</x:f>
        <x:v>0</x:v>
      </x:c>
      <x:c r="R2585" s="78" t="n">
        <x:f>IF(B2585='Inputs'!$H$51,'Inputs'!$B$27*'Inputs'!$I$51,0)</x:f>
        <x:v>0</x:v>
      </x:c>
      <x:c r="S2585" s="78" t="n">
        <x:f>Q2585+G2585+R2585</x:f>
        <x:v>147715.92599790898</x:v>
      </x:c>
      <x:c r="T2585" s="78" t="n">
        <x:f>P2585*(S2585*(1-'Inputs'!$B$15))/(O2585+S2585*(1-'Inputs'!$B$15))</x:f>
        <x:v>127257.48458668684</x:v>
      </x:c>
      <x:c r="U2585" s="78" t="n">
        <x:f>O2585+S2585*(1-'Inputs'!$B$17)</x:f>
        <x:v>369753.57566225005</x:v>
      </x:c>
      <x:c r="V2585" s="78" t="n">
        <x:f>P2585-T2585</x:f>
        <x:v>193735.21204208006</x:v>
      </x:c>
      <x:c r="W2585" s="79" t="n">
        <x:f>IF(U2585&gt;0,V2585/U2585,0)</x:f>
        <x:v>0.5239576431278293</x:v>
      </x:c>
      <x:c r="X2585" s="80" t="n">
        <x:f>W2585*('Inputs'!$B$6-AC2585)</x:f>
        <x:v>523784426.5525684</x:v>
      </x:c>
      <x:c r="Y2585" s="80" t="n">
        <x:f>2*V2585</x:f>
        <x:v>387470.4240841601</x:v>
      </x:c>
      <x:c r="Z2585" s="80" t="n">
        <x:f>K2585*'Inputs'!$B$16+(G2585+R2585)*J2585*'Inputs'!$B$16</x:f>
        <x:v>7918.534032952713</x:v>
      </x:c>
      <x:c r="AA2585" s="80" t="n">
        <x:f>K2585*(1+'Inputs'!$E$51)/2*'Inputs'!$B$17</x:f>
        <x:v>2741.9352187609707</x:v>
      </x:c>
      <x:c r="AB2585" s="78" t="n">
        <x:f>(IF(J2585&gt;0,K2585*(1-'Inputs'!$E$51)/2/J2585,0)+G2585+R2585)*'Inputs'!$B$17</x:f>
        <x:v>4690.700221732924</x:v>
      </x:c>
      <x:c r="AC2585" s="78" t="n">
        <x:f>AC2584+AB2585</x:f>
        <x:v>330592.7063624268</x:v>
      </x:c>
      <x:c r="AD2585" s="80" t="n">
        <x:f>Z2585/(1+'Inputs'!$C$51)</x:f>
        <x:v>2639.511344317571</x:v>
      </x:c>
      <x:c r="AE2585" s="80" t="n">
        <x:f>Z2585-AD2585</x:f>
        <x:v>5279.022688635141</x:v>
      </x:c>
      <x:c r="AF2585" s="80" t="n">
        <x:f>D2585*W2585</x:f>
        <x:v>157944.2490098502</x:v>
      </x:c>
      <x:c r="AG2585" s="80" t="n">
        <x:f>C2585*W2585</x:f>
        <x:v>368536.58102298336</x:v>
      </x:c>
      <x:c r="AH2585" s="80" t="n">
        <x:f>2*'Inputs'!$B$8*'Inputs'!$C$51</x:f>
        <x:v>10000</x:v>
      </x:c>
      <x:c r="AI2585" s="81" t="n">
        <x:f>IF(AH2585&gt;0,(AE2585+AF2585)/AH2585*365,0)</x:f>
        <x:v>5957.6494169947155</x:v>
      </x:c>
      <x:c r="AJ2585" s="81" t="n">
        <x:f>IF('Inputs'!$B$51&gt;0,AG2585/('Inputs'!$B$19*'Inputs'!$B$51)*365,0)</x:f>
        <x:v>13451.58520733889</x:v>
      </x:c>
      <x:c r="AK2585" s="81" t="n">
        <x:f>W2585/MAX($W$2559:W2585)-1</x:f>
        <x:v>-0.4684194797783652</x:v>
      </x:c>
      <x:c r="AL2585" s="83" t="n">
        <x:f>'Inputs'!$B$51</x:f>
        <x:v>1</x:v>
      </x:c>
      <x:c r="AM2585" s="83" t="n">
        <x:f>'Inputs'!$C$51</x:f>
        <x:v>2</x:v>
      </x:c>
      <x:c r="AN2585" s="83" t="n">
        <x:f>'Inputs'!$D$51</x:f>
        <x:v>3</x:v>
      </x:c>
      <x:c r="AO2585" s="81" t="n">
        <x:f>'Inputs'!$E$51</x:f>
        <x:v>0.1</x:v>
      </x:c>
    </x:row>
    <x:row r="2586">
      <x:c r="A2586" s="59" t="str">
        <x:v>High demand</x:v>
      </x:c>
      <x:c r="B2586" s="59" t="n">
        <x:v>28</x:v>
      </x:c>
      <x:c r="C2586" s="78" t="n">
        <x:f>(('Inputs'!$B$29*(3*28*'Inputs'!$B$12-28^2)/(2*'Inputs'!$B$12^2))-('Inputs'!$B$29*(3*27*'Inputs'!$B$12-27^2)/(2*'Inputs'!$B$12^2)))*'Inputs'!$B$51</x:f>
        <x:v>703045.8341152184</x:v>
      </x:c>
      <x:c r="D2586" s="78" t="n">
        <x:f>IF('Inputs'!$C$51&gt;0,('Inputs'!$B$30*(3*28*'Inputs'!$B$12-28^2)/(2*'Inputs'!$B$12^2))-('Inputs'!$B$30*(3*27*'Inputs'!$B$12-27^2)/(2*'Inputs'!$B$12^2)),0)</x:f>
        <x:v>301305.35747795086</x:v>
      </x:c>
      <x:c r="E2586" s="78" t="n">
        <x:f>C2586+D2586</x:f>
        <x:v>1004351.1915931692</x:v>
      </x:c>
      <x:c r="F2586" s="78" t="n">
        <x:f>'Inputs'!$B$13*E2586+(1-'Inputs'!$B$13)/'Inputs'!$B$14*SUM(E2559:E2586)</x:f>
        <x:v>605118.690185776</x:v>
      </x:c>
      <x:c r="G2586" s="78" t="n">
        <x:f>F2586*'Inputs'!$F$51</x:f>
        <x:v>151279.672546444</x:v>
      </x:c>
      <x:c r="H2586" s="78" t="n">
        <x:f>U2585</x:f>
        <x:v>369753.57566225005</x:v>
      </x:c>
      <x:c r="I2586" s="78" t="n">
        <x:f>V2585</x:f>
        <x:v>193735.21204208006</x:v>
      </x:c>
      <x:c r="J2586" s="79" t="n">
        <x:f>IF(H2586&gt;0,I2586/H2586,0)</x:f>
        <x:v>0.5239576431278293</x:v>
      </x:c>
      <x:c r="K2586" s="80" t="n">
        <x:f>(H2586*J2586+I2586)*'Inputs'!$D$51*(1+'Inputs'!$G$51)^(B2586/30)</x:f>
        <x:v>1216568.2888535233</x:v>
      </x:c>
      <x:c r="L2586" s="80" t="n">
        <x:f>MAX(0,K2586*'Inputs'!$E$51)</x:f>
        <x:v>121656.82888535234</x:v>
      </x:c>
      <x:c r="M2586" s="80" t="n">
        <x:f>MAX(0,-K2586*'Inputs'!$E$51)</x:f>
        <x:v>0</x:v>
      </x:c>
      <x:c r="N2586" s="78" t="n">
        <x:f>H2586*(L2586*(1-'Inputs'!$B$15))/(I2586+L2586*(1-'Inputs'!$B$15))</x:f>
        <x:v>141746.31977232278</x:v>
      </x:c>
      <x:c r="O2586" s="78" t="n">
        <x:f>H2586-N2586</x:f>
        <x:v>228007.25588992727</x:v>
      </x:c>
      <x:c r="P2586" s="78" t="n">
        <x:f>I2586+L2586*(1-'Inputs'!$B$17)</x:f>
        <x:v>314902.47622366843</x:v>
      </x:c>
      <x:c r="Q2586" s="78" t="n">
        <x:f>IF(J2586&gt;0,M2586/J2586,0)</x:f>
        <x:v>0</x:v>
      </x:c>
      <x:c r="R2586" s="78" t="n">
        <x:f>IF(B2586='Inputs'!$H$51,'Inputs'!$B$27*'Inputs'!$I$51,0)</x:f>
        <x:v>0</x:v>
      </x:c>
      <x:c r="S2586" s="78" t="n">
        <x:f>Q2586+G2586+R2586</x:f>
        <x:v>151279.672546444</x:v>
      </x:c>
      <x:c r="T2586" s="78" t="n">
        <x:f>P2586*(S2586*(1-'Inputs'!$B$15))/(O2586+S2586*(1-'Inputs'!$B$15))</x:f>
        <x:v>124841.68738266069</x:v>
      </x:c>
      <x:c r="U2586" s="78" t="n">
        <x:f>O2586+S2586*(1-'Inputs'!$B$17)</x:f>
        <x:v>378678.1571182769</x:v>
      </x:c>
      <x:c r="V2586" s="78" t="n">
        <x:f>P2586-T2586</x:f>
        <x:v>190060.78884100774</x:v>
      </x:c>
      <x:c r="W2586" s="79" t="n">
        <x:f>IF(U2586&gt;0,V2586/U2586,0)</x:f>
        <x:v>0.5019058672075555</x:v>
      </x:c>
      <x:c r="X2586" s="80" t="n">
        <x:f>W2586*('Inputs'!$B$6-AC2586)</x:f>
        <x:v>501737524.9207828</x:v>
      </x:c>
      <x:c r="Y2586" s="80" t="n">
        <x:f>2*V2586</x:f>
        <x:v>380121.5776820155</x:v>
      </x:c>
      <x:c r="Z2586" s="80" t="n">
        <x:f>K2586*'Inputs'!$B$16+(G2586+R2586)*J2586*'Inputs'!$B$16</x:f>
        <x:v>7774.994577204647</x:v>
      </x:c>
      <x:c r="AA2586" s="80" t="n">
        <x:f>K2586*(1+'Inputs'!$E$51)/2*'Inputs'!$B$17</x:f>
        <x:v>2692.605870701964</x:v>
      </x:c>
      <x:c r="AB2586" s="78" t="n">
        <x:f>(IF(J2586&gt;0,K2586*(1-'Inputs'!$E$51)/2/J2586,0)+G2586+R2586)*'Inputs'!$B$17</x:f>
        <x:v>4813.388229084791</x:v>
      </x:c>
      <x:c r="AC2586" s="78" t="n">
        <x:f>AC2585+AB2586</x:f>
        <x:v>335406.0945915116</x:v>
      </x:c>
      <x:c r="AD2586" s="80" t="n">
        <x:f>Z2586/(1+'Inputs'!$C$51)</x:f>
        <x:v>2591.6648590682157</x:v>
      </x:c>
      <x:c r="AE2586" s="80" t="n">
        <x:f>Z2586-AD2586</x:f>
        <x:v>5183.3297181364305</x:v>
      </x:c>
      <x:c r="AF2586" s="80" t="n">
        <x:f>D2586*W2586</x:f>
        <x:v>151226.92673925345</x:v>
      </x:c>
      <x:c r="AG2586" s="80" t="n">
        <x:f>C2586*W2586</x:f>
        <x:v>352862.82905825786</x:v>
      </x:c>
      <x:c r="AH2586" s="80" t="n">
        <x:f>2*'Inputs'!$B$8*'Inputs'!$C$51</x:f>
        <x:v>10000</x:v>
      </x:c>
      <x:c r="AI2586" s="81" t="n">
        <x:f>IF(AH2586&gt;0,(AE2586+AF2586)/AH2586*365,0)</x:f>
        <x:v>5708.97436069473</x:v>
      </x:c>
      <x:c r="AJ2586" s="81" t="n">
        <x:f>IF('Inputs'!$B$51&gt;0,AG2586/('Inputs'!$B$19*'Inputs'!$B$51)*365,0)</x:f>
        <x:v>12879.493260626412</x:v>
      </x:c>
      <x:c r="AK2586" s="81" t="n">
        <x:f>W2586/MAX($W$2559:W2586)-1</x:f>
        <x:v>-0.49079207929906765</x:v>
      </x:c>
      <x:c r="AL2586" s="83" t="n">
        <x:f>'Inputs'!$B$51</x:f>
        <x:v>1</x:v>
      </x:c>
      <x:c r="AM2586" s="83" t="n">
        <x:f>'Inputs'!$C$51</x:f>
        <x:v>2</x:v>
      </x:c>
      <x:c r="AN2586" s="83" t="n">
        <x:f>'Inputs'!$D$51</x:f>
        <x:v>3</x:v>
      </x:c>
      <x:c r="AO2586" s="81" t="n">
        <x:f>'Inputs'!$E$51</x:f>
        <x:v>0.1</x:v>
      </x:c>
    </x:row>
    <x:row r="2587">
      <x:c r="A2587" s="59" t="str">
        <x:v>High demand</x:v>
      </x:c>
      <x:c r="B2587" s="59" t="n">
        <x:v>29</x:v>
      </x:c>
      <x:c r="C2587" s="78" t="n">
        <x:f>(('Inputs'!$B$29*(3*29*'Inputs'!$B$12-29^2)/(2*'Inputs'!$B$12^2))-('Inputs'!$B$29*(3*28*'Inputs'!$B$12-28^2)/(2*'Inputs'!$B$12^2)))*'Inputs'!$B$51</x:f>
        <x:v>702720.7262150496</x:v>
      </x:c>
      <x:c r="D2587" s="78" t="n">
        <x:f>IF('Inputs'!$C$51&gt;0,('Inputs'!$B$30*(3*29*'Inputs'!$B$12-29^2)/(2*'Inputs'!$B$12^2))-('Inputs'!$B$30*(3*28*'Inputs'!$B$12-28^2)/(2*'Inputs'!$B$12^2)),0)</x:f>
        <x:v>301166.0255207345</x:v>
      </x:c>
      <x:c r="E2587" s="78" t="n">
        <x:f>C2587+D2587</x:f>
        <x:v>1003886.7517357841</x:v>
      </x:c>
      <x:c r="F2587" s="78" t="n">
        <x:f>'Inputs'!$B$13*E2587+(1-'Inputs'!$B$13)/'Inputs'!$B$14*SUM(E2559:E2587)</x:f>
        <x:v>619367.0415248101</x:v>
      </x:c>
      <x:c r="G2587" s="78" t="n">
        <x:f>F2587*'Inputs'!$F$51</x:f>
        <x:v>154841.76038120253</x:v>
      </x:c>
      <x:c r="H2587" s="78" t="n">
        <x:f>U2586</x:f>
        <x:v>378678.1571182769</x:v>
      </x:c>
      <x:c r="I2587" s="78" t="n">
        <x:f>V2586</x:f>
        <x:v>190060.78884100774</x:v>
      </x:c>
      <x:c r="J2587" s="79" t="n">
        <x:f>IF(H2587&gt;0,I2587/H2587,0)</x:f>
        <x:v>0.5019058672075555</x:v>
      </x:c>
      <x:c r="K2587" s="80" t="n">
        <x:f>(H2587*J2587+I2587)*'Inputs'!$D$51*(1+'Inputs'!$G$51)^(B2587/30)</x:f>
        <x:v>1195437.2019771584</x:v>
      </x:c>
      <x:c r="L2587" s="80" t="n">
        <x:f>MAX(0,K2587*'Inputs'!$E$51)</x:f>
        <x:v>119543.72019771585</x:v>
      </x:c>
      <x:c r="M2587" s="80" t="n">
        <x:f>MAX(0,-K2587*'Inputs'!$E$51)</x:f>
        <x:v>0</x:v>
      </x:c>
      <x:c r="N2587" s="78" t="n">
        <x:f>H2587*(L2587*(1-'Inputs'!$B$15))/(I2587+L2587*(1-'Inputs'!$B$15))</x:f>
        <x:v>145313.2018329913</x:v>
      </x:c>
      <x:c r="O2587" s="78" t="n">
        <x:f>H2587-N2587</x:f>
        <x:v>233364.95528528563</x:v>
      </x:c>
      <x:c r="P2587" s="78" t="n">
        <x:f>I2587+L2587*(1-'Inputs'!$B$17)</x:f>
        <x:v>309123.4477904431</x:v>
      </x:c>
      <x:c r="Q2587" s="78" t="n">
        <x:f>IF(J2587&gt;0,M2587/J2587,0)</x:f>
        <x:v>0</x:v>
      </x:c>
      <x:c r="R2587" s="78" t="n">
        <x:f>IF(B2587='Inputs'!$H$51,'Inputs'!$B$27*'Inputs'!$I$51,0)</x:f>
        <x:v>0</x:v>
      </x:c>
      <x:c r="S2587" s="78" t="n">
        <x:f>Q2587+G2587+R2587</x:f>
        <x:v>154841.76038120253</x:v>
      </x:c>
      <x:c r="T2587" s="78" t="n">
        <x:f>P2587*(S2587*(1-'Inputs'!$B$15))/(O2587+S2587*(1-'Inputs'!$B$15))</x:f>
        <x:v>122554.1178867651</x:v>
      </x:c>
      <x:c r="U2587" s="78" t="n">
        <x:f>O2587+S2587*(1-'Inputs'!$B$17)</x:f>
        <x:v>387583.60999090987</x:v>
      </x:c>
      <x:c r="V2587" s="78" t="n">
        <x:f>P2587-T2587</x:f>
        <x:v>186569.32990367798</x:v>
      </x:c>
      <x:c r="W2587" s="79" t="n">
        <x:f>IF(U2587&gt;0,V2587/U2587,0)</x:f>
        <x:v>0.48136537535231083</x:v>
      </x:c>
      <x:c r="X2587" s="80" t="n">
        <x:f>W2587*('Inputs'!$B$6-AC2587)</x:f>
        <x:v>481201546.3479949</x:v>
      </x:c>
      <x:c r="Y2587" s="80" t="n">
        <x:f>2*V2587</x:f>
        <x:v>373138.65980735596</x:v>
      </x:c>
      <x:c r="Z2587" s="80" t="n">
        <x:f>K2587*'Inputs'!$B$16+(G2587+R2587)*J2587*'Inputs'!$B$16</x:f>
        <x:v>7638.919140007382</x:v>
      </x:c>
      <x:c r="AA2587" s="80" t="n">
        <x:f>K2587*(1+'Inputs'!$E$51)/2*'Inputs'!$B$17</x:f>
        <x:v>2645.836865543007</x:v>
      </x:c>
      <x:c r="AB2587" s="78" t="n">
        <x:f>(IF(J2587&gt;0,K2587*(1-'Inputs'!$E$51)/2/J2587,0)+G2587+R2587)*'Inputs'!$B$17</x:f>
        <x:v>4936.216477224379</x:v>
      </x:c>
      <x:c r="AC2587" s="78" t="n">
        <x:f>AC2586+AB2587</x:f>
        <x:v>340342.31106873596</x:v>
      </x:c>
      <x:c r="AD2587" s="80" t="n">
        <x:f>Z2587/(1+'Inputs'!$C$51)</x:f>
        <x:v>2546.3063800024606</x:v>
      </x:c>
      <x:c r="AE2587" s="80" t="n">
        <x:f>Z2587-AD2587</x:f>
        <x:v>5092.612760004922</x:v>
      </x:c>
      <x:c r="AF2587" s="80" t="n">
        <x:f>D2587*W2587</x:f>
        <x:v>144970.896918152</x:v>
      </x:c>
      <x:c r="AG2587" s="80" t="n">
        <x:f>C2587*W2587</x:f>
        <x:v>338265.42614235583</x:v>
      </x:c>
      <x:c r="AH2587" s="80" t="n">
        <x:f>2*'Inputs'!$B$8*'Inputs'!$C$51</x:f>
        <x:v>10000</x:v>
      </x:c>
      <x:c r="AI2587" s="81" t="n">
        <x:f>IF(AH2587&gt;0,(AE2587+AF2587)/AH2587*365,0)</x:f>
        <x:v>5477.318103252728</x:v>
      </x:c>
      <x:c r="AJ2587" s="81" t="n">
        <x:f>IF('Inputs'!$B$51&gt;0,AG2587/('Inputs'!$B$19*'Inputs'!$B$51)*365,0)</x:f>
        <x:v>12346.688054195989</x:v>
      </x:c>
      <x:c r="AK2587" s="81" t="n">
        <x:f>W2587/MAX($W$2559:W2587)-1</x:f>
        <x:v>-0.5116314076097253</x:v>
      </x:c>
      <x:c r="AL2587" s="83" t="n">
        <x:f>'Inputs'!$B$51</x:f>
        <x:v>1</x:v>
      </x:c>
      <x:c r="AM2587" s="83" t="n">
        <x:f>'Inputs'!$C$51</x:f>
        <x:v>2</x:v>
      </x:c>
      <x:c r="AN2587" s="83" t="n">
        <x:f>'Inputs'!$D$51</x:f>
        <x:v>3</x:v>
      </x:c>
      <x:c r="AO2587" s="81" t="n">
        <x:f>'Inputs'!$E$51</x:f>
        <x:v>0.1</x:v>
      </x:c>
    </x:row>
    <x:row r="2588">
      <x:c r="A2588" s="59" t="str">
        <x:v>High demand</x:v>
      </x:c>
      <x:c r="B2588" s="59" t="n">
        <x:v>30</x:v>
      </x:c>
      <x:c r="C2588" s="78" t="n">
        <x:f>(('Inputs'!$B$29*(3*30*'Inputs'!$B$12-30^2)/(2*'Inputs'!$B$12^2))-('Inputs'!$B$29*(3*29*'Inputs'!$B$12-29^2)/(2*'Inputs'!$B$12^2)))*'Inputs'!$B$51</x:f>
        <x:v>702395.6183148809</x:v>
      </x:c>
      <x:c r="D2588" s="78" t="n">
        <x:f>IF('Inputs'!$C$51&gt;0,('Inputs'!$B$30*(3*30*'Inputs'!$B$12-30^2)/(2*'Inputs'!$B$12^2))-('Inputs'!$B$30*(3*29*'Inputs'!$B$12-29^2)/(2*'Inputs'!$B$12^2)),0)</x:f>
        <x:v>301026.6935635209</x:v>
      </x:c>
      <x:c r="E2588" s="78" t="n">
        <x:f>C2588+D2588</x:f>
        <x:v>1003422.3118784018</x:v>
      </x:c>
      <x:c r="F2588" s="78" t="n">
        <x:f>'Inputs'!$B$13*E2588+(1-'Inputs'!$B$13)/'Inputs'!$B$14*SUM(E2559:E2588)</x:f>
        <x:v>633608.7580087393</x:v>
      </x:c>
      <x:c r="G2588" s="78" t="n">
        <x:f>F2588*'Inputs'!$F$51</x:f>
        <x:v>158402.18950218483</x:v>
      </x:c>
      <x:c r="H2588" s="78" t="n">
        <x:f>U2587</x:f>
        <x:v>387583.60999090987</x:v>
      </x:c>
      <x:c r="I2588" s="78" t="n">
        <x:f>V2587</x:f>
        <x:v>186569.32990367798</x:v>
      </x:c>
      <x:c r="J2588" s="79" t="n">
        <x:f>IF(H2588&gt;0,I2588/H2588,0)</x:f>
        <x:v>0.48136537535231083</x:v>
      </x:c>
      <x:c r="K2588" s="80" t="n">
        <x:f>(H2588*J2588+I2588)*'Inputs'!$D$51*(1+'Inputs'!$G$51)^(B2588/30)</x:f>
        <x:v>1175386.7783931713</x:v>
      </x:c>
      <x:c r="L2588" s="80" t="n">
        <x:f>MAX(0,K2588*'Inputs'!$E$51)</x:f>
        <x:v>117538.67783931713</x:v>
      </x:c>
      <x:c r="M2588" s="80" t="n">
        <x:f>MAX(0,-K2588*'Inputs'!$E$51)</x:f>
        <x:v>0</x:v>
      </x:c>
      <x:c r="N2588" s="78" t="n">
        <x:f>H2588*(L2588*(1-'Inputs'!$B$15))/(I2588+L2588*(1-'Inputs'!$B$15))</x:f>
        <x:v>148879.65606413162</x:v>
      </x:c>
      <x:c r="O2588" s="78" t="n">
        <x:f>H2588-N2588</x:f>
        <x:v>238703.95392677825</x:v>
      </x:c>
      <x:c r="P2588" s="78" t="n">
        <x:f>I2588+L2588*(1-'Inputs'!$B$17)</x:f>
        <x:v>303635.01507563365</x:v>
      </x:c>
      <x:c r="Q2588" s="78" t="n">
        <x:f>IF(J2588&gt;0,M2588/J2588,0)</x:f>
        <x:v>0</x:v>
      </x:c>
      <x:c r="R2588" s="78" t="n">
        <x:f>IF(B2588='Inputs'!$H$51,'Inputs'!$B$27*'Inputs'!$I$51,0)</x:f>
        <x:v>0</x:v>
      </x:c>
      <x:c r="S2588" s="78" t="n">
        <x:f>Q2588+G2588+R2588</x:f>
        <x:v>158402.18950218483</x:v>
      </x:c>
      <x:c r="T2588" s="78" t="n">
        <x:f>P2588*(S2588*(1-'Inputs'!$B$15))/(O2588+S2588*(1-'Inputs'!$B$15))</x:f>
        <x:v>120386.40595086946</x:v>
      </x:c>
      <x:c r="U2588" s="78" t="n">
        <x:f>O2588+S2588*(1-'Inputs'!$B$17)</x:f>
        <x:v>396468.7100708054</x:v>
      </x:c>
      <x:c r="V2588" s="78" t="n">
        <x:f>P2588-T2588</x:f>
        <x:v>183248.6091247642</x:v>
      </x:c>
      <x:c r="W2588" s="79" t="n">
        <x:f>IF(U2588&gt;0,V2588/U2588,0)</x:f>
        <x:v>0.4622019455004098</x:v>
      </x:c>
      <x:c r="X2588" s="80" t="n">
        <x:f>W2588*('Inputs'!$B$6-AC2588)</x:f>
        <x:v>462042300.2676405</x:v>
      </x:c>
      <x:c r="Y2588" s="80" t="n">
        <x:f>2*V2588</x:f>
        <x:v>366497.2182495284</x:v>
      </x:c>
      <x:c r="Z2588" s="80" t="n">
        <x:f>K2588*'Inputs'!$B$16+(G2588+R2588)*J2588*'Inputs'!$B$16</x:f>
        <x:v>7509.8166467971105</x:v>
      </x:c>
      <x:c r="AA2588" s="80" t="n">
        <x:f>K2588*(1+'Inputs'!$E$51)/2*'Inputs'!$B$17</x:f>
        <x:v>2601.4596704879045</x:v>
      </x:c>
      <x:c r="AB2588" s="78" t="n">
        <x:f>(IF(J2588&gt;0,K2588*(1-'Inputs'!$E$51)/2/J2588,0)+G2588+R2588)*'Inputs'!$B$17</x:f>
        <x:v>5059.161866504685</x:v>
      </x:c>
      <x:c r="AC2588" s="78" t="n">
        <x:f>AC2587+AB2588</x:f>
        <x:v>345401.47293524066</x:v>
      </x:c>
      <x:c r="AD2588" s="80" t="n">
        <x:f>Z2588/(1+'Inputs'!$C$51)</x:f>
        <x:v>2503.272215599037</x:v>
      </x:c>
      <x:c r="AE2588" s="80" t="n">
        <x:f>Z2588-AD2588</x:f>
        <x:v>5006.544431198074</x:v>
      </x:c>
      <x:c r="AF2588" s="80" t="n">
        <x:f>D2588*W2588</x:f>
        <x:v>139135.12341261507</x:v>
      </x:c>
      <x:c r="AG2588" s="80" t="n">
        <x:f>C2588*W2588</x:f>
        <x:v>324648.62129610125</x:v>
      </x:c>
      <x:c r="AH2588" s="80" t="n">
        <x:f>2*'Inputs'!$B$8*'Inputs'!$C$51</x:f>
        <x:v>10000</x:v>
      </x:c>
      <x:c r="AI2588" s="81" t="n">
        <x:f>IF(AH2588&gt;0,(AE2588+AF2588)/AH2588*365,0)</x:f>
        <x:v>5261.170876299179</x:v>
      </x:c>
      <x:c r="AJ2588" s="81" t="n">
        <x:f>IF('Inputs'!$B$51&gt;0,AG2588/('Inputs'!$B$19*'Inputs'!$B$51)*365,0)</x:f>
        <x:v>11849.674677307696</x:v>
      </x:c>
      <x:c r="AK2588" s="81" t="n">
        <x:f>W2588/MAX($W$2559:W2588)-1</x:f>
        <x:v>-0.531073639522008</x:v>
      </x:c>
      <x:c r="AL2588" s="83" t="n">
        <x:f>'Inputs'!$B$51</x:f>
        <x:v>1</x:v>
      </x:c>
      <x:c r="AM2588" s="83" t="n">
        <x:f>'Inputs'!$C$51</x:f>
        <x:v>2</x:v>
      </x:c>
      <x:c r="AN2588" s="83" t="n">
        <x:f>'Inputs'!$D$51</x:f>
        <x:v>3</x:v>
      </x:c>
      <x:c r="AO2588" s="81" t="n">
        <x:f>'Inputs'!$E$51</x:f>
        <x:v>0.1</x:v>
      </x:c>
    </x:row>
    <x:row r="2589">
      <x:c r="A2589" s="59" t="str">
        <x:v>High demand</x:v>
      </x:c>
      <x:c r="B2589" s="59" t="n">
        <x:v>31</x:v>
      </x:c>
      <x:c r="C2589" s="78" t="n">
        <x:f>(('Inputs'!$B$29*(3*31*'Inputs'!$B$12-31^2)/(2*'Inputs'!$B$12^2))-('Inputs'!$B$29*(3*30*'Inputs'!$B$12-30^2)/(2*'Inputs'!$B$12^2)))*'Inputs'!$B$51</x:f>
        <x:v>702070.5104147121</x:v>
      </x:c>
      <x:c r="D2589" s="78" t="n">
        <x:f>IF('Inputs'!$C$51&gt;0,('Inputs'!$B$30*(3*31*'Inputs'!$B$12-31^2)/(2*'Inputs'!$B$12^2))-('Inputs'!$B$30*(3*30*'Inputs'!$B$12-30^2)/(2*'Inputs'!$B$12^2)),0)</x:f>
        <x:v>300887.36160630547</x:v>
      </x:c>
      <x:c r="E2589" s="78" t="n">
        <x:f>C2589+D2589</x:f>
        <x:v>1002957.8720210176</x:v>
      </x:c>
      <x:c r="F2589" s="78" t="n">
        <x:f>'Inputs'!$B$13*E2589+(1-'Inputs'!$B$13)/'Inputs'!$B$14*SUM(E2559:E2589)</x:f>
        <x:v>647843.8396375627</x:v>
      </x:c>
      <x:c r="G2589" s="78" t="n">
        <x:f>F2589*'Inputs'!$F$51</x:f>
        <x:v>161960.9599093907</x:v>
      </x:c>
      <x:c r="H2589" s="78" t="n">
        <x:f>U2588</x:f>
        <x:v>396468.7100708054</x:v>
      </x:c>
      <x:c r="I2589" s="78" t="n">
        <x:f>V2588</x:f>
        <x:v>183248.6091247642</x:v>
      </x:c>
      <x:c r="J2589" s="79" t="n">
        <x:f>IF(H2589&gt;0,I2589/H2589,0)</x:f>
        <x:v>0.4622019455004098</x:v>
      </x:c>
      <x:c r="K2589" s="80" t="n">
        <x:f>(H2589*J2589+I2589)*'Inputs'!$D$51*(1+'Inputs'!$G$51)^(B2589/30)</x:f>
        <x:v>1156345.3183247142</x:v>
      </x:c>
      <x:c r="L2589" s="80" t="n">
        <x:f>MAX(0,K2589*'Inputs'!$E$51)</x:f>
        <x:v>115634.53183247143</x:v>
      </x:c>
      <x:c r="M2589" s="80" t="n">
        <x:f>MAX(0,-K2589*'Inputs'!$E$51)</x:f>
        <x:v>0</x:v>
      </x:c>
      <x:c r="N2589" s="78" t="n">
        <x:f>H2589*(L2589*(1-'Inputs'!$B$15))/(I2589+L2589*(1-'Inputs'!$B$15))</x:f>
        <x:v>152445.1933898322</x:v>
      </x:c>
      <x:c r="O2589" s="78" t="n">
        <x:f>H2589-N2589</x:f>
        <x:v>244023.5166809732</x:v>
      </x:c>
      <x:c r="P2589" s="78" t="n">
        <x:f>I2589+L2589*(1-'Inputs'!$B$17)</x:f>
        <x:v>298417.81084925786</x:v>
      </x:c>
      <x:c r="Q2589" s="78" t="n">
        <x:f>IF(J2589&gt;0,M2589/J2589,0)</x:f>
        <x:v>0</x:v>
      </x:c>
      <x:c r="R2589" s="78" t="n">
        <x:f>IF(B2589='Inputs'!$H$51,'Inputs'!$B$27*'Inputs'!$I$51,0)</x:f>
        <x:v>0</x:v>
      </x:c>
      <x:c r="S2589" s="78" t="n">
        <x:f>Q2589+G2589+R2589</x:f>
        <x:v>161960.9599093907</x:v>
      </x:c>
      <x:c r="T2589" s="78" t="n">
        <x:f>P2589*(S2589*(1-'Inputs'!$B$15))/(O2589+S2589*(1-'Inputs'!$B$15))</x:f>
        <x:v>118330.54415492968</x:v>
      </x:c>
      <x:c r="U2589" s="78" t="n">
        <x:f>O2589+S2589*(1-'Inputs'!$B$17)</x:f>
        <x:v>405332.72222453135</x:v>
      </x:c>
      <x:c r="V2589" s="78" t="n">
        <x:f>P2589-T2589</x:f>
        <x:v>180087.26669432817</x:v>
      </x:c>
      <x:c r="W2589" s="79" t="n">
        <x:f>IF(U2589&gt;0,V2589/U2589,0)</x:f>
        <x:v>0.4442949133392937</x:v>
      </x:c>
      <x:c r="X2589" s="80" t="n">
        <x:f>W2589*('Inputs'!$B$6-AC2589)</x:f>
        <x:v>444139150.792191</x:v>
      </x:c>
      <x:c r="Y2589" s="80" t="n">
        <x:f>2*V2589</x:f>
        <x:v>360174.53338865633</x:v>
      </x:c>
      <x:c r="Z2589" s="80" t="n">
        <x:f>K2589*'Inputs'!$B$16+(G2589+R2589)*J2589*'Inputs'!$B$16</x:f>
        <x:v>7387.223934539691</x:v>
      </x:c>
      <x:c r="AA2589" s="80" t="n">
        <x:f>K2589*(1+'Inputs'!$E$51)/2*'Inputs'!$B$17</x:f>
        <x:v>2559.3155938776376</x:v>
      </x:c>
      <x:c r="AB2589" s="78" t="n">
        <x:f>(IF(J2589&gt;0,K2589*(1-'Inputs'!$E$51)/2/J2589,0)+G2589+R2589)*'Inputs'!$B$17</x:f>
        <x:v>5182.210168290941</x:v>
      </x:c>
      <x:c r="AC2589" s="78" t="n">
        <x:f>AC2588+AB2589</x:f>
        <x:v>350583.6831035316</x:v>
      </x:c>
      <x:c r="AD2589" s="80" t="n">
        <x:f>Z2589/(1+'Inputs'!$C$51)</x:f>
        <x:v>2462.407978179897</x:v>
      </x:c>
      <x:c r="AE2589" s="80" t="n">
        <x:f>Z2589-AD2589</x:f>
        <x:v>4924.815956359795</x:v>
      </x:c>
      <x:c r="AF2589" s="80" t="n">
        <x:f>D2589*W2589</x:f>
        <x:v>133682.72424976222</x:v>
      </x:c>
      <x:c r="AG2589" s="80" t="n">
        <x:f>C2589*W2589</x:f>
        <x:v>311926.3565827782</x:v>
      </x:c>
      <x:c r="AH2589" s="80" t="n">
        <x:f>2*'Inputs'!$B$8*'Inputs'!$C$51</x:f>
        <x:v>10000</x:v>
      </x:c>
      <x:c r="AI2589" s="81" t="n">
        <x:f>IF(AH2589&gt;0,(AE2589+AF2589)/AH2589*365,0)</x:f>
        <x:v>5059.175217523453</x:v>
      </x:c>
      <x:c r="AJ2589" s="81" t="n">
        <x:f>IF('Inputs'!$B$51&gt;0,AG2589/('Inputs'!$B$19*'Inputs'!$B$51)*365,0)</x:f>
        <x:v>11385.312015271405</x:v>
      </x:c>
      <x:c r="AK2589" s="81" t="n">
        <x:f>W2589/MAX($W$2559:W2589)-1</x:f>
        <x:v>-0.5492411948514935</x:v>
      </x:c>
      <x:c r="AL2589" s="83" t="n">
        <x:f>'Inputs'!$B$51</x:f>
        <x:v>1</x:v>
      </x:c>
      <x:c r="AM2589" s="83" t="n">
        <x:f>'Inputs'!$C$51</x:f>
        <x:v>2</x:v>
      </x:c>
      <x:c r="AN2589" s="83" t="n">
        <x:f>'Inputs'!$D$51</x:f>
        <x:v>3</x:v>
      </x:c>
      <x:c r="AO2589" s="81" t="n">
        <x:f>'Inputs'!$E$51</x:f>
        <x:v>0.1</x:v>
      </x:c>
    </x:row>
    <x:row r="2590">
      <x:c r="A2590" s="59" t="str">
        <x:v>High demand</x:v>
      </x:c>
      <x:c r="B2590" s="59" t="n">
        <x:v>32</x:v>
      </x:c>
      <x:c r="C2590" s="78" t="n">
        <x:f>(('Inputs'!$B$29*(3*32*'Inputs'!$B$12-32^2)/(2*'Inputs'!$B$12^2))-('Inputs'!$B$29*(3*31*'Inputs'!$B$12-31^2)/(2*'Inputs'!$B$12^2)))*'Inputs'!$B$51</x:f>
        <x:v>701745.4025145434</x:v>
      </x:c>
      <x:c r="D2590" s="78" t="n">
        <x:f>IF('Inputs'!$C$51&gt;0,('Inputs'!$B$30*(3*32*'Inputs'!$B$12-32^2)/(2*'Inputs'!$B$12^2))-('Inputs'!$B$30*(3*31*'Inputs'!$B$12-31^2)/(2*'Inputs'!$B$12^2)),0)</x:f>
        <x:v>300748.02964909</x:v>
      </x:c>
      <x:c r="E2590" s="78" t="n">
        <x:f>C2590+D2590</x:f>
        <x:v>1002493.4321636334</x:v>
      </x:c>
      <x:c r="F2590" s="78" t="n">
        <x:f>'Inputs'!$B$13*E2590+(1-'Inputs'!$B$13)/'Inputs'!$B$14*SUM(E2559:E2590)</x:f>
        <x:v>662072.2864112806</x:v>
      </x:c>
      <x:c r="G2590" s="78" t="n">
        <x:f>F2590*'Inputs'!$F$51</x:f>
        <x:v>165518.07160282016</x:v>
      </x:c>
      <x:c r="H2590" s="78" t="n">
        <x:f>U2589</x:f>
        <x:v>405332.72222453135</x:v>
      </x:c>
      <x:c r="I2590" s="78" t="n">
        <x:f>V2589</x:f>
        <x:v>180087.26669432817</x:v>
      </x:c>
      <x:c r="J2590" s="79" t="n">
        <x:f>IF(H2590&gt;0,I2590/H2590,0)</x:f>
        <x:v>0.4442949133392937</x:v>
      </x:c>
      <x:c r="K2590" s="80" t="n">
        <x:f>(H2590*J2590+I2590)*'Inputs'!$D$51*(1+'Inputs'!$G$51)^(B2590/30)</x:f>
        <x:v>1138246.113073868</x:v>
      </x:c>
      <x:c r="L2590" s="80" t="n">
        <x:f>MAX(0,K2590*'Inputs'!$E$51)</x:f>
        <x:v>113824.6113073868</x:v>
      </x:c>
      <x:c r="M2590" s="80" t="n">
        <x:f>MAX(0,-K2590*'Inputs'!$E$51)</x:f>
        <x:v>0</x:v>
      </x:c>
      <x:c r="N2590" s="78" t="n">
        <x:f>H2590*(L2590*(1-'Inputs'!$B$15))/(I2590+L2590*(1-'Inputs'!$B$15))</x:f>
        <x:v>156009.5110586038</x:v>
      </x:c>
      <x:c r="O2590" s="78" t="n">
        <x:f>H2590-N2590</x:f>
        <x:v>249323.21116592755</x:v>
      </x:c>
      <x:c r="P2590" s="78" t="n">
        <x:f>I2590+L2590*(1-'Inputs'!$B$17)</x:f>
        <x:v>293453.8312761319</x:v>
      </x:c>
      <x:c r="Q2590" s="78" t="n">
        <x:f>IF(J2590&gt;0,M2590/J2590,0)</x:f>
        <x:v>0</x:v>
      </x:c>
      <x:c r="R2590" s="78" t="n">
        <x:f>IF(B2590='Inputs'!$H$51,'Inputs'!$B$27*'Inputs'!$I$51,0)</x:f>
        <x:v>0</x:v>
      </x:c>
      <x:c r="S2590" s="78" t="n">
        <x:f>Q2590+G2590+R2590</x:f>
        <x:v>165518.07160282016</x:v>
      </x:c>
      <x:c r="T2590" s="78" t="n">
        <x:f>P2590*(S2590*(1-'Inputs'!$B$15))/(O2590+S2590*(1-'Inputs'!$B$15))</x:f>
        <x:v>116379.01879036681</x:v>
      </x:c>
      <x:c r="U2590" s="78" t="n">
        <x:f>O2590+S2590*(1-'Inputs'!$B$17)</x:f>
        <x:v>414175.2140701448</x:v>
      </x:c>
      <x:c r="V2590" s="78" t="n">
        <x:f>P2590-T2590</x:f>
        <x:v>177074.81248576508</x:v>
      </x:c>
      <x:c r="W2590" s="79" t="n">
        <x:f>IF(U2590&gt;0,V2590/U2590,0)</x:f>
        <x:v>0.42753599556485206</x:v>
      </x:c>
      <x:c r="X2590" s="80" t="n">
        <x:f>W2590*('Inputs'!$B$6-AC2590)</x:f>
        <x:v>427383840.1916367</x:v>
      </x:c>
      <x:c r="Y2590" s="80" t="n">
        <x:f>2*V2590</x:f>
        <x:v>354149.62497153017</x:v>
      </x:c>
      <x:c r="Z2590" s="80" t="n">
        <x:f>K2590*'Inputs'!$B$16+(G2590+R2590)*J2590*'Inputs'!$B$16</x:f>
        <x:v>7270.70970211638</x:v>
      </x:c>
      <x:c r="AA2590" s="80" t="n">
        <x:f>K2590*(1+'Inputs'!$E$51)/2*'Inputs'!$B$17</x:f>
        <x:v>2519.256990706751</x:v>
      </x:c>
      <x:c r="AB2590" s="78" t="n">
        <x:f>(IF(J2590&gt;0,K2590*(1-'Inputs'!$E$51)/2/J2590,0)+G2590+R2590)*'Inputs'!$B$17</x:f>
        <x:v>5305.352658961059</x:v>
      </x:c>
      <x:c r="AC2590" s="78" t="n">
        <x:f>AC2589+AB2590</x:f>
        <x:v>355889.0357624927</x:v>
      </x:c>
      <x:c r="AD2590" s="80" t="n">
        <x:f>Z2590/(1+'Inputs'!$C$51)</x:f>
        <x:v>2423.56990070546</x:v>
      </x:c>
      <x:c r="AE2590" s="80" t="n">
        <x:f>Z2590-AD2590</x:f>
        <x:v>4847.13980141092</x:v>
      </x:c>
      <x:c r="AF2590" s="80" t="n">
        <x:f>D2590*W2590</x:f>
        <x:v>128580.60827019134</x:v>
      </x:c>
      <x:c r="AG2590" s="80" t="n">
        <x:f>C2590*W2590</x:f>
        <x:v>300021.41929711314</x:v>
      </x:c>
      <x:c r="AH2590" s="80" t="n">
        <x:f>2*'Inputs'!$B$8*'Inputs'!$C$51</x:f>
        <x:v>10000</x:v>
      </x:c>
      <x:c r="AI2590" s="81" t="n">
        <x:f>IF(AH2590&gt;0,(AE2590+AF2590)/AH2590*365,0)</x:f>
        <x:v>4870.112804613482</x:v>
      </x:c>
      <x:c r="AJ2590" s="81" t="n">
        <x:f>IF('Inputs'!$B$51&gt;0,AG2590/('Inputs'!$B$19*'Inputs'!$B$51)*365,0)</x:f>
        <x:v>10950.78180434463</x:v>
      </x:c>
      <x:c r="AK2590" s="81" t="n">
        <x:f>W2590/MAX($W$2559:W2590)-1</x:f>
        <x:v>-0.5662439322783352</x:v>
      </x:c>
      <x:c r="AL2590" s="83" t="n">
        <x:f>'Inputs'!$B$51</x:f>
        <x:v>1</x:v>
      </x:c>
      <x:c r="AM2590" s="83" t="n">
        <x:f>'Inputs'!$C$51</x:f>
        <x:v>2</x:v>
      </x:c>
      <x:c r="AN2590" s="83" t="n">
        <x:f>'Inputs'!$D$51</x:f>
        <x:v>3</x:v>
      </x:c>
      <x:c r="AO2590" s="81" t="n">
        <x:f>'Inputs'!$E$51</x:f>
        <x:v>0.1</x:v>
      </x:c>
    </x:row>
    <x:row r="2591">
      <x:c r="A2591" s="59" t="str">
        <x:v>High demand</x:v>
      </x:c>
      <x:c r="B2591" s="59" t="n">
        <x:v>33</x:v>
      </x:c>
      <x:c r="C2591" s="78" t="n">
        <x:f>(('Inputs'!$B$29*(3*33*'Inputs'!$B$12-33^2)/(2*'Inputs'!$B$12^2))-('Inputs'!$B$29*(3*32*'Inputs'!$B$12-32^2)/(2*'Inputs'!$B$12^2)))*'Inputs'!$B$51</x:f>
        <x:v>701420.2946143746</x:v>
      </x:c>
      <x:c r="D2591" s="78" t="n">
        <x:f>IF('Inputs'!$C$51&gt;0,('Inputs'!$B$30*(3*33*'Inputs'!$B$12-33^2)/(2*'Inputs'!$B$12^2))-('Inputs'!$B$30*(3*32*'Inputs'!$B$12-32^2)/(2*'Inputs'!$B$12^2)),0)</x:f>
        <x:v>300608.6976918746</x:v>
      </x:c>
      <x:c r="E2591" s="78" t="n">
        <x:f>C2591+D2591</x:f>
        <x:v>1002028.9923062492</x:v>
      </x:c>
      <x:c r="F2591" s="78" t="n">
        <x:f>'Inputs'!$B$13*E2591+(1-'Inputs'!$B$13)/'Inputs'!$B$14*SUM(E2559:E2591)</x:f>
        <x:v>676294.0983298931</x:v>
      </x:c>
      <x:c r="G2591" s="78" t="n">
        <x:f>F2591*'Inputs'!$F$51</x:f>
        <x:v>169073.52458247327</x:v>
      </x:c>
      <x:c r="H2591" s="78" t="n">
        <x:f>U2590</x:f>
        <x:v>414175.2140701448</x:v>
      </x:c>
      <x:c r="I2591" s="78" t="n">
        <x:f>V2590</x:f>
        <x:v>177074.81248576508</x:v>
      </x:c>
      <x:c r="J2591" s="79" t="n">
        <x:f>IF(H2591&gt;0,I2591/H2591,0)</x:f>
        <x:v>0.42753599556485206</x:v>
      </x:c>
      <x:c r="K2591" s="80" t="n">
        <x:f>(H2591*J2591+I2591)*'Inputs'!$D$51*(1+'Inputs'!$G$51)^(B2591/30)</x:f>
        <x:v>1121027.5090359203</x:v>
      </x:c>
      <x:c r="L2591" s="80" t="n">
        <x:f>MAX(0,K2591*'Inputs'!$E$51)</x:f>
        <x:v>112102.75090359204</x:v>
      </x:c>
      <x:c r="M2591" s="80" t="n">
        <x:f>MAX(0,-K2591*'Inputs'!$E$51)</x:f>
        <x:v>0</x:v>
      </x:c>
      <x:c r="N2591" s="78" t="n">
        <x:f>H2591*(L2591*(1-'Inputs'!$B$15))/(I2591+L2591*(1-'Inputs'!$B$15))</x:f>
        <x:v>159572.42179677993</x:v>
      </x:c>
      <x:c r="O2591" s="78" t="n">
        <x:f>H2591-N2591</x:f>
        <x:v>254602.79227336487</x:v>
      </x:c>
      <x:c r="P2591" s="78" t="n">
        <x:f>I2591+L2591*(1-'Inputs'!$B$17)</x:f>
        <x:v>288726.4456794835</x:v>
      </x:c>
      <x:c r="Q2591" s="78" t="n">
        <x:f>IF(J2591&gt;0,M2591/J2591,0)</x:f>
        <x:v>0</x:v>
      </x:c>
      <x:c r="R2591" s="78" t="n">
        <x:f>IF(B2591='Inputs'!$H$51,'Inputs'!$B$27*'Inputs'!$I$51,0)</x:f>
        <x:v>0</x:v>
      </x:c>
      <x:c r="S2591" s="78" t="n">
        <x:f>Q2591+G2591+R2591</x:f>
        <x:v>169073.52458247327</x:v>
      </x:c>
      <x:c r="T2591" s="78" t="n">
        <x:f>P2591*(S2591*(1-'Inputs'!$B$15))/(O2591+S2591*(1-'Inputs'!$B$15))</x:f>
        <x:v>114524.85568038069</x:v>
      </x:c>
      <x:c r="U2591" s="78" t="n">
        <x:f>O2591+S2591*(1-'Inputs'!$B$17)</x:f>
        <x:v>422995.9404993694</x:v>
      </x:c>
      <x:c r="V2591" s="78" t="n">
        <x:f>P2591-T2591</x:f>
        <x:v>174201.58999910284</x:v>
      </x:c>
      <x:c r="W2591" s="79" t="n">
        <x:f>IF(U2591&gt;0,V2591/U2591,0)</x:f>
        <x:v>0.41182804211654733</x:v>
      </x:c>
      <x:c r="X2591" s="80" t="n">
        <x:f>W2591*('Inputs'!$B$6-AC2591)</x:f>
        <x:v>411679241.38860637</x:v>
      </x:c>
      <x:c r="Y2591" s="80" t="n">
        <x:f>2*V2591</x:f>
        <x:v>348403.1799982057</x:v>
      </x:c>
      <x:c r="Z2591" s="80" t="n">
        <x:f>K2591*'Inputs'!$B$16+(G2591+R2591)*J2591*'Inputs'!$B$16</x:f>
        <x:v>7159.87516015168</x:v>
      </x:c>
      <x:c r="AA2591" s="80" t="n">
        <x:f>K2591*(1+'Inputs'!$E$51)/2*'Inputs'!$B$17</x:f>
        <x:v>2481.1474043048543</x:v>
      </x:c>
      <x:c r="AB2591" s="78" t="n">
        <x:f>(IF(J2591&gt;0,K2591*(1-'Inputs'!$E$51)/2/J2591,0)+G2591+R2591)*'Inputs'!$B$17</x:f>
        <x:v>5428.584029016159</x:v>
      </x:c>
      <x:c r="AC2591" s="78" t="n">
        <x:f>AC2590+AB2591</x:f>
        <x:v>361317.6197915088</x:v>
      </x:c>
      <x:c r="AD2591" s="80" t="n">
        <x:f>Z2591/(1+'Inputs'!$C$51)</x:f>
        <x:v>2386.6250533838934</x:v>
      </x:c>
      <x:c r="AE2591" s="80" t="n">
        <x:f>Z2591-AD2591</x:f>
        <x:v>4773.250106767786</x:v>
      </x:c>
      <x:c r="AF2591" s="80" t="n">
        <x:f>D2591*W2591</x:f>
        <x:v>123799.09141364977</x:v>
      </x:c>
      <x:c r="AG2591" s="80" t="n">
        <x:f>C2591*W2591</x:f>
        <x:v>288864.5466318497</x:v>
      </x:c>
      <x:c r="AH2591" s="80" t="n">
        <x:f>2*'Inputs'!$B$8*'Inputs'!$C$51</x:f>
        <x:v>10000</x:v>
      </x:c>
      <x:c r="AI2591" s="81" t="n">
        <x:f>IF(AH2591&gt;0,(AE2591+AF2591)/AH2591*365,0)</x:f>
        <x:v>4692.89046549524</x:v>
      </x:c>
      <x:c r="AJ2591" s="81" t="n">
        <x:f>IF('Inputs'!$B$51&gt;0,AG2591/('Inputs'!$B$19*'Inputs'!$B$51)*365,0)</x:f>
        <x:v>10543.555952062514</x:v>
      </x:c>
      <x:c r="AK2591" s="81" t="n">
        <x:f>W2591/MAX($W$2559:W2591)-1</x:f>
        <x:v>-0.582180415265434</x:v>
      </x:c>
      <x:c r="AL2591" s="83" t="n">
        <x:f>'Inputs'!$B$51</x:f>
        <x:v>1</x:v>
      </x:c>
      <x:c r="AM2591" s="83" t="n">
        <x:f>'Inputs'!$C$51</x:f>
        <x:v>2</x:v>
      </x:c>
      <x:c r="AN2591" s="83" t="n">
        <x:f>'Inputs'!$D$51</x:f>
        <x:v>3</x:v>
      </x:c>
      <x:c r="AO2591" s="81" t="n">
        <x:f>'Inputs'!$E$51</x:f>
        <x:v>0.1</x:v>
      </x:c>
    </x:row>
    <x:row r="2592">
      <x:c r="A2592" s="59" t="str">
        <x:v>High demand</x:v>
      </x:c>
      <x:c r="B2592" s="59" t="n">
        <x:v>34</x:v>
      </x:c>
      <x:c r="C2592" s="78" t="n">
        <x:f>(('Inputs'!$B$29*(3*34*'Inputs'!$B$12-34^2)/(2*'Inputs'!$B$12^2))-('Inputs'!$B$29*(3*33*'Inputs'!$B$12-33^2)/(2*'Inputs'!$B$12^2)))*'Inputs'!$B$51</x:f>
        <x:v>701095.1867142059</x:v>
      </x:c>
      <x:c r="D2592" s="78" t="n">
        <x:f>IF('Inputs'!$C$51&gt;0,('Inputs'!$B$30*(3*34*'Inputs'!$B$12-34^2)/(2*'Inputs'!$B$12^2))-('Inputs'!$B$30*(3*33*'Inputs'!$B$12-33^2)/(2*'Inputs'!$B$12^2)),0)</x:f>
        <x:v>300469.36573465914</x:v>
      </x:c>
      <x:c r="E2592" s="78" t="n">
        <x:f>C2592+D2592</x:f>
        <x:v>1001564.552448865</x:v>
      </x:c>
      <x:c r="F2592" s="78" t="n">
        <x:f>'Inputs'!$B$13*E2592+(1-'Inputs'!$B$13)/'Inputs'!$B$14*SUM(E2559:E2592)</x:f>
        <x:v>690509.2753934</x:v>
      </x:c>
      <x:c r="G2592" s="78" t="n">
        <x:f>F2592*'Inputs'!$F$51</x:f>
        <x:v>172627.31884835</x:v>
      </x:c>
      <x:c r="H2592" s="78" t="n">
        <x:f>U2591</x:f>
        <x:v>422995.9404993694</x:v>
      </x:c>
      <x:c r="I2592" s="78" t="n">
        <x:f>V2591</x:f>
        <x:v>174201.58999910284</x:v>
      </x:c>
      <x:c r="J2592" s="79" t="n">
        <x:f>IF(H2592&gt;0,I2592/H2592,0)</x:f>
        <x:v>0.41182804211654733</x:v>
      </x:c>
      <x:c r="K2592" s="80" t="n">
        <x:f>(H2592*J2592+I2592)*'Inputs'!$D$51*(1+'Inputs'!$G$51)^(B2592/30)</x:f>
        <x:v>1104632.722011039</x:v>
      </x:c>
      <x:c r="L2592" s="80" t="n">
        <x:f>MAX(0,K2592*'Inputs'!$E$51)</x:f>
        <x:v>110463.27220110391</x:v>
      </x:c>
      <x:c r="M2592" s="80" t="n">
        <x:f>MAX(0,-K2592*'Inputs'!$E$51)</x:f>
        <x:v>0</x:v>
      </x:c>
      <x:c r="N2592" s="78" t="n">
        <x:f>H2592*(L2592*(1-'Inputs'!$B$15))/(I2592+L2592*(1-'Inputs'!$B$15))</x:f>
        <x:v>163133.80985519118</x:v>
      </x:c>
      <x:c r="O2592" s="78" t="n">
        <x:f>H2592-N2592</x:f>
        <x:v>259862.13064417822</x:v>
      </x:c>
      <x:c r="P2592" s="78" t="n">
        <x:f>I2592+L2592*(1-'Inputs'!$B$17)</x:f>
        <x:v>284220.34199014195</x:v>
      </x:c>
      <x:c r="Q2592" s="78" t="n">
        <x:f>IF(J2592&gt;0,M2592/J2592,0)</x:f>
        <x:v>0</x:v>
      </x:c>
      <x:c r="R2592" s="78" t="n">
        <x:f>IF(B2592='Inputs'!$H$51,'Inputs'!$B$27*'Inputs'!$I$51,0)</x:f>
        <x:v>0</x:v>
      </x:c>
      <x:c r="S2592" s="78" t="n">
        <x:f>Q2592+G2592+R2592</x:f>
        <x:v>172627.31884835</x:v>
      </x:c>
      <x:c r="T2592" s="78" t="n">
        <x:f>P2592*(S2592*(1-'Inputs'!$B$15))/(O2592+S2592*(1-'Inputs'!$B$15))</x:f>
        <x:v>112761.62011034004</x:v>
      </x:c>
      <x:c r="U2592" s="78" t="n">
        <x:f>O2592+S2592*(1-'Inputs'!$B$17)</x:f>
        <x:v>431794.77215309825</x:v>
      </x:c>
      <x:c r="V2592" s="78" t="n">
        <x:f>P2592-T2592</x:f>
        <x:v>171458.72187980192</x:v>
      </x:c>
      <x:c r="W2592" s="79" t="n">
        <x:f>IF(U2592&gt;0,V2592/U2592,0)</x:f>
        <x:v>0.3970838299519964</x:v>
      </x:c>
      <x:c r="X2592" s="80" t="n">
        <x:f>W2592*('Inputs'!$B$6-AC2592)</x:f>
        <x:v>396938151.9975541</x:v>
      </x:c>
      <x:c r="Y2592" s="80" t="n">
        <x:f>2*V2592</x:f>
        <x:v>342917.44375960383</x:v>
      </x:c>
      <x:c r="Z2592" s="80" t="n">
        <x:f>K2592*'Inputs'!$B$16+(G2592+R2592)*J2592*'Inputs'!$B$16</x:f>
        <x:v>7054.352956489104</x:v>
      </x:c>
      <x:c r="AA2592" s="80" t="n">
        <x:f>K2592*(1+'Inputs'!$E$51)/2*'Inputs'!$B$17</x:f>
        <x:v>2444.861155356425</x:v>
      </x:c>
      <x:c r="AB2592" s="78" t="n">
        <x:f>(IF(J2592&gt;0,K2592*(1-'Inputs'!$E$51)/2/J2592,0)+G2592+R2592)*'Inputs'!$B$17</x:f>
        <x:v>5551.901085076528</x:v>
      </x:c>
      <x:c r="AC2592" s="78" t="n">
        <x:f>AC2591+AB2592</x:f>
        <x:v>366869.52087658533</x:v>
      </x:c>
      <x:c r="AD2592" s="80" t="n">
        <x:f>Z2592/(1+'Inputs'!$C$51)</x:f>
        <x:v>2351.450985496368</x:v>
      </x:c>
      <x:c r="AE2592" s="80" t="n">
        <x:f>Z2592-AD2592</x:f>
        <x:v>4702.901970992736</x:v>
      </x:c>
      <x:c r="AF2592" s="80" t="n">
        <x:f>D2592*W2592</x:f>
        <x:v>119311.52652916561</x:v>
      </x:c>
      <x:c r="AG2592" s="80" t="n">
        <x:f>C2592*W2592</x:f>
        <x:v>278393.56190138694</x:v>
      </x:c>
      <x:c r="AH2592" s="80" t="n">
        <x:f>2*'Inputs'!$B$8*'Inputs'!$C$51</x:f>
        <x:v>10000</x:v>
      </x:c>
      <x:c r="AI2592" s="81" t="n">
        <x:f>IF(AH2592&gt;0,(AE2592+AF2592)/AH2592*365,0)</x:f>
        <x:v>4526.52664025578</x:v>
      </x:c>
      <x:c r="AJ2592" s="81" t="n">
        <x:f>IF('Inputs'!$B$51&gt;0,AG2592/('Inputs'!$B$19*'Inputs'!$B$51)*365,0)</x:f>
        <x:v>10161.365009400624</x:v>
      </x:c>
      <x:c r="AK2592" s="81" t="n">
        <x:f>W2592/MAX($W$2559:W2592)-1</x:f>
        <x:v>-0.59713913583281</x:v>
      </x:c>
      <x:c r="AL2592" s="83" t="n">
        <x:f>'Inputs'!$B$51</x:f>
        <x:v>1</x:v>
      </x:c>
      <x:c r="AM2592" s="83" t="n">
        <x:f>'Inputs'!$C$51</x:f>
        <x:v>2</x:v>
      </x:c>
      <x:c r="AN2592" s="83" t="n">
        <x:f>'Inputs'!$D$51</x:f>
        <x:v>3</x:v>
      </x:c>
      <x:c r="AO2592" s="81" t="n">
        <x:f>'Inputs'!$E$51</x:f>
        <x:v>0.1</x:v>
      </x:c>
    </x:row>
    <x:row r="2593">
      <x:c r="A2593" s="59" t="str">
        <x:v>High demand</x:v>
      </x:c>
      <x:c r="B2593" s="59" t="n">
        <x:v>35</x:v>
      </x:c>
      <x:c r="C2593" s="78" t="n">
        <x:f>(('Inputs'!$B$29*(3*35*'Inputs'!$B$12-35^2)/(2*'Inputs'!$B$12^2))-('Inputs'!$B$29*(3*34*'Inputs'!$B$12-34^2)/(2*'Inputs'!$B$12^2)))*'Inputs'!$B$51</x:f>
        <x:v>700770.0788140334</x:v>
      </x:c>
      <x:c r="D2593" s="78" t="n">
        <x:f>IF('Inputs'!$C$51&gt;0,('Inputs'!$B$30*(3*35*'Inputs'!$B$12-35^2)/(2*'Inputs'!$B$12^2))-('Inputs'!$B$30*(3*34*'Inputs'!$B$12-34^2)/(2*'Inputs'!$B$12^2)),0)</x:f>
        <x:v>300330.0337774437</x:v>
      </x:c>
      <x:c r="E2593" s="78" t="n">
        <x:f>C2593+D2593</x:f>
        <x:v>1001100.1125914771</x:v>
      </x:c>
      <x:c r="F2593" s="78" t="n">
        <x:f>'Inputs'!$B$13*E2593+(1-'Inputs'!$B$13)/'Inputs'!$B$14*SUM(E2559:E2593)</x:f>
        <x:v>704717.8176018007</x:v>
      </x:c>
      <x:c r="G2593" s="78" t="n">
        <x:f>F2593*'Inputs'!$F$51</x:f>
        <x:v>176179.45440045017</x:v>
      </x:c>
      <x:c r="H2593" s="78" t="n">
        <x:f>U2592</x:f>
        <x:v>431794.77215309825</x:v>
      </x:c>
      <x:c r="I2593" s="78" t="n">
        <x:f>V2592</x:f>
        <x:v>171458.72187980192</x:v>
      </x:c>
      <x:c r="J2593" s="79" t="n">
        <x:f>IF(H2593&gt;0,I2593/H2593,0)</x:f>
        <x:v>0.3970838299519964</x:v>
      </x:c>
      <x:c r="K2593" s="80" t="n">
        <x:f>(H2593*J2593+I2593)*'Inputs'!$D$51*(1+'Inputs'!$G$51)^(B2593/30)</x:f>
        <x:v>1089009.5324736992</x:v>
      </x:c>
      <x:c r="L2593" s="80" t="n">
        <x:f>MAX(0,K2593*'Inputs'!$E$51)</x:f>
        <x:v>108900.95324736992</x:v>
      </x:c>
      <x:c r="M2593" s="80" t="n">
        <x:f>MAX(0,-K2593*'Inputs'!$E$51)</x:f>
        <x:v>0</x:v>
      </x:c>
      <x:c r="N2593" s="78" t="n">
        <x:f>H2593*(L2593*(1-'Inputs'!$B$15))/(I2593+L2593*(1-'Inputs'!$B$15))</x:f>
        <x:v>166693.6037575729</x:v>
      </x:c>
      <x:c r="O2593" s="78" t="n">
        <x:f>H2593-N2593</x:f>
        <x:v>265101.1683955253</x:v>
      </x:c>
      <x:c r="P2593" s="78" t="n">
        <x:f>I2593+L2593*(1-'Inputs'!$B$17)</x:f>
        <x:v>279921.44191490876</x:v>
      </x:c>
      <x:c r="Q2593" s="78" t="n">
        <x:f>IF(J2593&gt;0,M2593/J2593,0)</x:f>
        <x:v>0</x:v>
      </x:c>
      <x:c r="R2593" s="78" t="n">
        <x:f>IF(B2593='Inputs'!$H$51,'Inputs'!$B$27*'Inputs'!$I$51,0)</x:f>
        <x:v>0</x:v>
      </x:c>
      <x:c r="S2593" s="78" t="n">
        <x:f>Q2593+G2593+R2593</x:f>
        <x:v>176179.45440045017</x:v>
      </x:c>
      <x:c r="T2593" s="78" t="n">
        <x:f>P2593*(S2593*(1-'Inputs'!$B$15))/(O2593+S2593*(1-'Inputs'!$B$15))</x:f>
        <x:v>111083.39325670613</x:v>
      </x:c>
      <x:c r="U2593" s="78" t="n">
        <x:f>O2593+S2593*(1-'Inputs'!$B$17)</x:f>
        <x:v>440571.65114848875</x:v>
      </x:c>
      <x:c r="V2593" s="78" t="n">
        <x:f>P2593-T2593</x:f>
        <x:v>168838.04865820264</x:v>
      </x:c>
      <x:c r="W2593" s="79" t="n">
        <x:f>IF(U2593&gt;0,V2593/U2593,0)</x:f>
        <x:v>0.38322494926324263</x:v>
      </x:c>
      <x:c r="X2593" s="80" t="n">
        <x:f>W2593*('Inputs'!$B$6-AC2593)</x:f>
        <x:v>383082180.7924187</x:v>
      </x:c>
      <x:c r="Y2593" s="80" t="n">
        <x:f>2*V2593</x:f>
        <x:v>337676.09731640527</x:v>
      </x:c>
      <x:c r="Z2593" s="80" t="n">
        <x:f>K2593*'Inputs'!$B$16+(G2593+R2593)*J2593*'Inputs'!$B$16</x:f>
        <x:v>6953.805269915299</x:v>
      </x:c>
      <x:c r="AA2593" s="80" t="n">
        <x:f>K2593*(1+'Inputs'!$E$51)/2*'Inputs'!$B$17</x:f>
        <x:v>2410.2826674468192</x:v>
      </x:c>
      <x:c r="AB2593" s="78" t="n">
        <x:f>(IF(J2593&gt;0,K2593*(1-'Inputs'!$E$51)/2/J2593,0)+G2593+R2593)*'Inputs'!$B$17</x:f>
        <x:v>5675.301944598449</x:v>
      </x:c>
      <x:c r="AC2593" s="78" t="n">
        <x:f>AC2592+AB2593</x:f>
        <x:v>372544.82282118377</x:v>
      </x:c>
      <x:c r="AD2593" s="80" t="n">
        <x:f>Z2593/(1+'Inputs'!$C$51)</x:f>
        <x:v>2317.935089971766</x:v>
      </x:c>
      <x:c r="AE2593" s="80" t="n">
        <x:f>Z2593-AD2593</x:f>
        <x:v>4635.870179943533</x:v>
      </x:c>
      <x:c r="AF2593" s="80" t="n">
        <x:f>D2593*W2593</x:f>
        <x:v>115093.9619565888</x:v>
      </x:c>
      <x:c r="AG2593" s="80" t="n">
        <x:f>C2593*W2593</x:f>
        <x:v>268552.5778987065</x:v>
      </x:c>
      <x:c r="AH2593" s="80" t="n">
        <x:f>2*'Inputs'!$B$8*'Inputs'!$C$51</x:f>
        <x:v>10000</x:v>
      </x:c>
      <x:c r="AI2593" s="81" t="n">
        <x:f>IF(AH2593&gt;0,(AE2593+AF2593)/AH2593*365,0)</x:f>
        <x:v>4370.13887298343</x:v>
      </x:c>
      <x:c r="AJ2593" s="81" t="n">
        <x:f>IF('Inputs'!$B$51&gt;0,AG2593/('Inputs'!$B$19*'Inputs'!$B$51)*365,0)</x:f>
        <x:v>9802.169093302788</x:v>
      </x:c>
      <x:c r="AK2593" s="81" t="n">
        <x:f>W2593/MAX($W$2559:W2593)-1</x:f>
        <x:v>-0.6111996445453816</x:v>
      </x:c>
      <x:c r="AL2593" s="83" t="n">
        <x:f>'Inputs'!$B$51</x:f>
        <x:v>1</x:v>
      </x:c>
      <x:c r="AM2593" s="83" t="n">
        <x:f>'Inputs'!$C$51</x:f>
        <x:v>2</x:v>
      </x:c>
      <x:c r="AN2593" s="83" t="n">
        <x:f>'Inputs'!$D$51</x:f>
        <x:v>3</x:v>
      </x:c>
      <x:c r="AO2593" s="81" t="n">
        <x:f>'Inputs'!$E$51</x:f>
        <x:v>0.1</x:v>
      </x:c>
    </x:row>
    <x:row r="2594">
      <x:c r="A2594" s="59" t="str">
        <x:v>High demand</x:v>
      </x:c>
      <x:c r="B2594" s="59" t="n">
        <x:v>36</x:v>
      </x:c>
      <x:c r="C2594" s="78" t="n">
        <x:f>(('Inputs'!$B$29*(3*36*'Inputs'!$B$12-36^2)/(2*'Inputs'!$B$12^2))-('Inputs'!$B$29*(3*35*'Inputs'!$B$12-35^2)/(2*'Inputs'!$B$12^2)))*'Inputs'!$B$51</x:f>
        <x:v>700444.9709138684</x:v>
      </x:c>
      <x:c r="D2594" s="78" t="n">
        <x:f>IF('Inputs'!$C$51&gt;0,('Inputs'!$B$30*(3*36*'Inputs'!$B$12-36^2)/(2*'Inputs'!$B$12^2))-('Inputs'!$B$30*(3*35*'Inputs'!$B$12-35^2)/(2*'Inputs'!$B$12^2)),0)</x:f>
        <x:v>300190.7018202301</x:v>
      </x:c>
      <x:c r="E2594" s="78" t="n">
        <x:f>C2594+D2594</x:f>
        <x:v>1000635.6727340985</x:v>
      </x:c>
      <x:c r="F2594" s="78" t="n">
        <x:f>'Inputs'!$B$13*E2594+(1-'Inputs'!$B$13)/'Inputs'!$B$14*SUM(E2559:E2594)</x:f>
        <x:v>718919.7249550978</x:v>
      </x:c>
      <x:c r="G2594" s="78" t="n">
        <x:f>F2594*'Inputs'!$F$51</x:f>
        <x:v>179729.93123877444</x:v>
      </x:c>
      <x:c r="H2594" s="78" t="n">
        <x:f>U2593</x:f>
        <x:v>440571.65114848875</x:v>
      </x:c>
      <x:c r="I2594" s="78" t="n">
        <x:f>V2593</x:f>
        <x:v>168838.04865820264</x:v>
      </x:c>
      <x:c r="J2594" s="79" t="n">
        <x:f>IF(H2594&gt;0,I2594/H2594,0)</x:f>
        <x:v>0.38322494926324263</x:v>
      </x:c>
      <x:c r="K2594" s="80" t="n">
        <x:f>(H2594*J2594+I2594)*'Inputs'!$D$51*(1+'Inputs'!$G$51)^(B2594/30)</x:f>
        <x:v>1074109.9345384657</x:v>
      </x:c>
      <x:c r="L2594" s="80" t="n">
        <x:f>MAX(0,K2594*'Inputs'!$E$51)</x:f>
        <x:v>107410.99345384657</x:v>
      </x:c>
      <x:c r="M2594" s="80" t="n">
        <x:f>MAX(0,-K2594*'Inputs'!$E$51)</x:f>
        <x:v>0</x:v>
      </x:c>
      <x:c r="N2594" s="78" t="n">
        <x:f>H2594*(L2594*(1-'Inputs'!$B$15))/(I2594+L2594*(1-'Inputs'!$B$15))</x:f>
        <x:v>170251.7594148604</x:v>
      </x:c>
      <x:c r="O2594" s="78" t="n">
        <x:f>H2594-N2594</x:f>
        <x:v>270319.89173362835</x:v>
      </x:c>
      <x:c r="P2594" s="78" t="n">
        <x:f>I2594+L2594*(1-'Inputs'!$B$17)</x:f>
        <x:v>275816.8047138446</x:v>
      </x:c>
      <x:c r="Q2594" s="78" t="n">
        <x:f>IF(J2594&gt;0,M2594/J2594,0)</x:f>
        <x:v>0</x:v>
      </x:c>
      <x:c r="R2594" s="78" t="n">
        <x:f>IF(B2594='Inputs'!$H$51,'Inputs'!$B$27*'Inputs'!$I$51,0)</x:f>
        <x:v>0</x:v>
      </x:c>
      <x:c r="S2594" s="78" t="n">
        <x:f>Q2594+G2594+R2594</x:f>
        <x:v>179729.93123877444</x:v>
      </x:c>
      <x:c r="T2594" s="78" t="n">
        <x:f>P2594*(S2594*(1-'Inputs'!$B$15))/(O2594+S2594*(1-'Inputs'!$B$15))</x:f>
        <x:v>109484.73773565133</x:v>
      </x:c>
      <x:c r="U2594" s="78" t="n">
        <x:f>O2594+S2594*(1-'Inputs'!$B$17)</x:f>
        <x:v>449326.56369176385</x:v>
      </x:c>
      <x:c r="V2594" s="78" t="n">
        <x:f>P2594-T2594</x:f>
        <x:v>166332.0669781933</x:v>
      </x:c>
      <x:c r="W2594" s="79" t="n">
        <x:f>IF(U2594&gt;0,V2594/U2594,0)</x:f>
        <x:v>0.3701808003772873</x:v>
      </x:c>
      <x:c r="X2594" s="80" t="n">
        <x:f>W2594*('Inputs'!$B$6-AC2594)</x:f>
        <x:v>370040744.83752775</x:v>
      </x:c>
      <x:c r="Y2594" s="80" t="n">
        <x:f>2*V2594</x:f>
        <x:v>332664.1339563866</x:v>
      </x:c>
      <x:c r="Z2594" s="80" t="n">
        <x:f>K2594*'Inputs'!$B$16+(G2594+R2594)*J2594*'Inputs'!$B$16</x:f>
        <x:v>6857.921569911186</x:v>
      </x:c>
      <x:c r="AA2594" s="80" t="n">
        <x:f>K2594*(1+'Inputs'!$E$51)/2*'Inputs'!$B$17</x:f>
        <x:v>2377.3056901253776</x:v>
      </x:c>
      <x:c r="AB2594" s="78" t="n">
        <x:f>(IF(J2594&gt;0,K2594*(1-'Inputs'!$E$51)/2/J2594,0)+G2594+R2594)*'Inputs'!$B$17</x:f>
        <x:v>5798.78553658911</x:v>
      </x:c>
      <x:c r="AC2594" s="78" t="n">
        <x:f>AC2593+AB2594</x:f>
        <x:v>378343.6083577729</x:v>
      </x:c>
      <x:c r="AD2594" s="80" t="n">
        <x:f>Z2594/(1+'Inputs'!$C$51)</x:f>
        <x:v>2285.973856637062</x:v>
      </x:c>
      <x:c r="AE2594" s="80" t="n">
        <x:f>Z2594-AD2594</x:f>
        <x:v>4571.947713274125</x:v>
      </x:c>
      <x:c r="AF2594" s="80" t="n">
        <x:f>D2594*W2594</x:f>
        <x:v>111124.83426563238</x:v>
      </x:c>
      <x:c r="AG2594" s="80" t="n">
        <x:f>C2594*W2594</x:f>
        <x:v>259291.27995314152</x:v>
      </x:c>
      <x:c r="AH2594" s="80" t="n">
        <x:f>2*'Inputs'!$B$8*'Inputs'!$C$51</x:f>
        <x:v>10000</x:v>
      </x:c>
      <x:c r="AI2594" s="81" t="n">
        <x:f>IF(AH2594&gt;0,(AE2594+AF2594)/AH2594*365,0)</x:f>
        <x:v>4222.932542230088</x:v>
      </x:c>
      <x:c r="AJ2594" s="81" t="n">
        <x:f>IF('Inputs'!$B$51&gt;0,AG2594/('Inputs'!$B$19*'Inputs'!$B$51)*365,0)</x:f>
        <x:v>9464.131718289666</x:v>
      </x:c>
      <x:c r="AK2594" s="81" t="n">
        <x:f>W2594/MAX($W$2559:W2594)-1</x:f>
        <x:v>-0.6244335682061781</x:v>
      </x:c>
      <x:c r="AL2594" s="83" t="n">
        <x:f>'Inputs'!$B$51</x:f>
        <x:v>1</x:v>
      </x:c>
      <x:c r="AM2594" s="83" t="n">
        <x:f>'Inputs'!$C$51</x:f>
        <x:v>2</x:v>
      </x:c>
      <x:c r="AN2594" s="83" t="n">
        <x:f>'Inputs'!$D$51</x:f>
        <x:v>3</x:v>
      </x:c>
      <x:c r="AO2594" s="81" t="n">
        <x:f>'Inputs'!$E$51</x:f>
        <x:v>0.1</x:v>
      </x:c>
    </x:row>
    <x:row r="2595">
      <x:c r="A2595" s="59" t="str">
        <x:v>High demand</x:v>
      </x:c>
      <x:c r="B2595" s="59" t="n">
        <x:v>37</x:v>
      </x:c>
      <x:c r="C2595" s="78" t="n">
        <x:f>(('Inputs'!$B$29*(3*37*'Inputs'!$B$12-37^2)/(2*'Inputs'!$B$12^2))-('Inputs'!$B$29*(3*36*'Inputs'!$B$12-36^2)/(2*'Inputs'!$B$12^2)))*'Inputs'!$B$51</x:f>
        <x:v>700119.8630136997</x:v>
      </x:c>
      <x:c r="D2595" s="78" t="n">
        <x:f>IF('Inputs'!$C$51&gt;0,('Inputs'!$B$30*(3*37*'Inputs'!$B$12-37^2)/(2*'Inputs'!$B$12^2))-('Inputs'!$B$30*(3*36*'Inputs'!$B$12-36^2)/(2*'Inputs'!$B$12^2)),0)</x:f>
        <x:v>300051.3698630128</x:v>
      </x:c>
      <x:c r="E2595" s="78" t="n">
        <x:f>C2595+D2595</x:f>
        <x:v>1000171.2328767125</x:v>
      </x:c>
      <x:c r="F2595" s="78" t="n">
        <x:f>'Inputs'!$B$13*E2595+(1-'Inputs'!$B$13)/'Inputs'!$B$14*SUM(E2559:E2595)</x:f>
        <x:v>733114.9974532878</x:v>
      </x:c>
      <x:c r="G2595" s="78" t="n">
        <x:f>F2595*'Inputs'!$F$51</x:f>
        <x:v>183278.74936332196</x:v>
      </x:c>
      <x:c r="H2595" s="78" t="n">
        <x:f>U2594</x:f>
        <x:v>449326.56369176385</x:v>
      </x:c>
      <x:c r="I2595" s="78" t="n">
        <x:f>V2594</x:f>
        <x:v>166332.0669781933</x:v>
      </x:c>
      <x:c r="J2595" s="79" t="n">
        <x:f>IF(H2595&gt;0,I2595/H2595,0)</x:f>
        <x:v>0.3701808003772873</x:v>
      </x:c>
      <x:c r="K2595" s="80" t="n">
        <x:f>(H2595*J2595+I2595)*'Inputs'!$D$51*(1+'Inputs'!$G$51)^(B2595/30)</x:f>
        <x:v>1059889.7780564465</x:v>
      </x:c>
      <x:c r="L2595" s="80" t="n">
        <x:f>MAX(0,K2595*'Inputs'!$E$51)</x:f>
        <x:v>105988.97780564465</x:v>
      </x:c>
      <x:c r="M2595" s="80" t="n">
        <x:f>MAX(0,-K2595*'Inputs'!$E$51)</x:f>
        <x:v>0</x:v>
      </x:c>
      <x:c r="N2595" s="78" t="n">
        <x:f>H2595*(L2595*(1-'Inputs'!$B$15))/(I2595+L2595*(1-'Inputs'!$B$15))</x:f>
        <x:v>173808.2496690023</x:v>
      </x:c>
      <x:c r="O2595" s="78" t="n">
        <x:f>H2595-N2595</x:f>
        <x:v>275518.31402276154</x:v>
      </x:c>
      <x:c r="P2595" s="78" t="n">
        <x:f>I2595+L2595*(1-'Inputs'!$B$17)</x:f>
        <x:v>271894.529782608</x:v>
      </x:c>
      <x:c r="Q2595" s="78" t="n">
        <x:f>IF(J2595&gt;0,M2595/J2595,0)</x:f>
        <x:v>0</x:v>
      </x:c>
      <x:c r="R2595" s="78" t="n">
        <x:f>IF(B2595='Inputs'!$H$51,'Inputs'!$B$27*'Inputs'!$I$51,0)</x:f>
        <x:v>0</x:v>
      </x:c>
      <x:c r="S2595" s="78" t="n">
        <x:f>Q2595+G2595+R2595</x:f>
        <x:v>183278.74936332196</x:v>
      </x:c>
      <x:c r="T2595" s="78" t="n">
        <x:f>P2595*(S2595*(1-'Inputs'!$B$15))/(O2595+S2595*(1-'Inputs'!$B$15))</x:f>
        <x:v>107960.6592597693</x:v>
      </x:c>
      <x:c r="U2595" s="78" t="n">
        <x:f>O2595+S2595*(1-'Inputs'!$B$17)</x:f>
        <x:v>458059.52314719686</x:v>
      </x:c>
      <x:c r="V2595" s="78" t="n">
        <x:f>P2595-T2595</x:f>
        <x:v>163933.87052283867</x:v>
      </x:c>
      <x:c r="W2595" s="79" t="n">
        <x:f>IF(U2595&gt;0,V2595/U2595,0)</x:f>
        <x:v>0.35788770288301314</x:v>
      </x:c>
      <x:c r="X2595" s="80" t="n">
        <x:f>W2595*('Inputs'!$B$6-AC2595)</x:f>
        <x:v>357750178.82141787</x:v>
      </x:c>
      <x:c r="Y2595" s="80" t="n">
        <x:f>2*V2595</x:f>
        <x:v>327867.74104567734</x:v>
      </x:c>
      <x:c r="Z2595" s="80" t="n">
        <x:f>K2595*'Inputs'!$B$16+(G2595+R2595)*J2595*'Inputs'!$B$16</x:f>
        <x:v>6766.416313127455</x:v>
      </x:c>
      <x:c r="AA2595" s="80" t="n">
        <x:f>K2595*(1+'Inputs'!$E$51)/2*'Inputs'!$B$17</x:f>
        <x:v>2345.832506764771</x:v>
      </x:c>
      <x:c r="AB2595" s="78" t="n">
        <x:f>(IF(J2595&gt;0,K2595*(1-'Inputs'!$E$51)/2/J2595,0)+G2595+R2595)*'Inputs'!$B$17</x:f>
        <x:v>5922.351292238509</x:v>
      </x:c>
      <x:c r="AC2595" s="78" t="n">
        <x:f>AC2594+AB2595</x:f>
        <x:v>384265.9596500114</x:v>
      </x:c>
      <x:c r="AD2595" s="80" t="n">
        <x:f>Z2595/(1+'Inputs'!$C$51)</x:f>
        <x:v>2255.4721043758186</x:v>
      </x:c>
      <x:c r="AE2595" s="80" t="n">
        <x:f>Z2595-AD2595</x:f>
        <x:v>4510.944208751636</x:v>
      </x:c>
      <x:c r="AF2595" s="80" t="n">
        <x:f>D2595*W2595</x:f>
        <x:v>107384.69550717501</x:v>
      </x:c>
      <x:c r="AG2595" s="80" t="n">
        <x:f>C2595*W2595</x:f>
        <x:v>250564.2895167428</x:v>
      </x:c>
      <x:c r="AH2595" s="80" t="n">
        <x:f>2*'Inputs'!$B$8*'Inputs'!$C$51</x:f>
        <x:v>10000</x:v>
      </x:c>
      <x:c r="AI2595" s="81" t="n">
        <x:f>IF(AH2595&gt;0,(AE2595+AF2595)/AH2595*365,0)</x:f>
        <x:v>4084.190849631323</x:v>
      </x:c>
      <x:c r="AJ2595" s="81" t="n">
        <x:f>IF('Inputs'!$B$51&gt;0,AG2595/('Inputs'!$B$19*'Inputs'!$B$51)*365,0)</x:f>
        <x:v>9145.596567361112</x:v>
      </x:c>
      <x:c r="AK2595" s="81" t="n">
        <x:f>W2595/MAX($W$2559:W2595)-1</x:f>
        <x:v>-0.6369055136904189</x:v>
      </x:c>
      <x:c r="AL2595" s="83" t="n">
        <x:f>'Inputs'!$B$51</x:f>
        <x:v>1</x:v>
      </x:c>
      <x:c r="AM2595" s="83" t="n">
        <x:f>'Inputs'!$C$51</x:f>
        <x:v>2</x:v>
      </x:c>
      <x:c r="AN2595" s="83" t="n">
        <x:f>'Inputs'!$D$51</x:f>
        <x:v>3</x:v>
      </x:c>
      <x:c r="AO2595" s="81" t="n">
        <x:f>'Inputs'!$E$51</x:f>
        <x:v>0.1</x:v>
      </x:c>
    </x:row>
    <x:row r="2596">
      <x:c r="A2596" s="59" t="str">
        <x:v>High demand</x:v>
      </x:c>
      <x:c r="B2596" s="59" t="n">
        <x:v>38</x:v>
      </x:c>
      <x:c r="C2596" s="78" t="n">
        <x:f>(('Inputs'!$B$29*(3*38*'Inputs'!$B$12-38^2)/(2*'Inputs'!$B$12^2))-('Inputs'!$B$29*(3*37*'Inputs'!$B$12-37^2)/(2*'Inputs'!$B$12^2)))*'Inputs'!$B$51</x:f>
        <x:v>699794.7551135309</x:v>
      </x:c>
      <x:c r="D2596" s="78" t="n">
        <x:f>IF('Inputs'!$C$51&gt;0,('Inputs'!$B$30*(3*38*'Inputs'!$B$12-38^2)/(2*'Inputs'!$B$12^2))-('Inputs'!$B$30*(3*37*'Inputs'!$B$12-37^2)/(2*'Inputs'!$B$12^2)),0)</x:f>
        <x:v>299912.0379057992</x:v>
      </x:c>
      <x:c r="E2596" s="78" t="n">
        <x:f>C2596+D2596</x:f>
        <x:v>999706.7930193301</x:v>
      </x:c>
      <x:c r="F2596" s="78" t="n">
        <x:f>'Inputs'!$B$13*E2596+(1-'Inputs'!$B$13)/'Inputs'!$B$14*SUM(E2559:E2596)</x:f>
        <x:v>747303.6350963733</x:v>
      </x:c>
      <x:c r="G2596" s="78" t="n">
        <x:f>F2596*'Inputs'!$F$51</x:f>
        <x:v>186825.90877409332</x:v>
      </x:c>
      <x:c r="H2596" s="78" t="n">
        <x:f>U2595</x:f>
        <x:v>458059.52314719686</x:v>
      </x:c>
      <x:c r="I2596" s="78" t="n">
        <x:f>V2595</x:f>
        <x:v>163933.87052283867</x:v>
      </x:c>
      <x:c r="J2596" s="79" t="n">
        <x:f>IF(H2596&gt;0,I2596/H2596,0)</x:f>
        <x:v>0.35788770288301314</x:v>
      </x:c>
      <x:c r="K2596" s="80" t="n">
        <x:f>(H2596*J2596+I2596)*'Inputs'!$D$51*(1+'Inputs'!$G$51)^(B2596/30)</x:f>
        <x:v>1046308.4242577925</x:v>
      </x:c>
      <x:c r="L2596" s="80" t="n">
        <x:f>MAX(0,K2596*'Inputs'!$E$51)</x:f>
        <x:v>104630.84242577926</x:v>
      </x:c>
      <x:c r="M2596" s="80" t="n">
        <x:f>MAX(0,-K2596*'Inputs'!$E$51)</x:f>
        <x:v>0</x:v>
      </x:c>
      <x:c r="N2596" s="78" t="n">
        <x:f>H2596*(L2596*(1-'Inputs'!$B$15))/(I2596+L2596*(1-'Inputs'!$B$15))</x:f>
        <x:v>177363.05782221776</x:v>
      </x:c>
      <x:c r="O2596" s="78" t="n">
        <x:f>H2596-N2596</x:f>
        <x:v>280696.4653249791</x:v>
      </x:c>
      <x:c r="P2596" s="78" t="n">
        <x:f>I2596+L2596*(1-'Inputs'!$B$17)</x:f>
        <x:v>268143.66328090854</x:v>
      </x:c>
      <x:c r="Q2596" s="78" t="n">
        <x:f>IF(J2596&gt;0,M2596/J2596,0)</x:f>
        <x:v>0</x:v>
      </x:c>
      <x:c r="R2596" s="78" t="n">
        <x:f>IF(B2596='Inputs'!$H$51,'Inputs'!$B$27*'Inputs'!$I$51,0)</x:f>
        <x:v>0</x:v>
      </x:c>
      <x:c r="S2596" s="78" t="n">
        <x:f>Q2596+G2596+R2596</x:f>
        <x:v>186825.90877409332</x:v>
      </x:c>
      <x:c r="T2596" s="78" t="n">
        <x:f>P2596*(S2596*(1-'Inputs'!$B$15))/(O2596+S2596*(1-'Inputs'!$B$15))</x:f>
        <x:v>106506.56815846807</x:v>
      </x:c>
      <x:c r="U2596" s="78" t="n">
        <x:f>O2596+S2596*(1-'Inputs'!$B$17)</x:f>
        <x:v>466770.5595768427</x:v>
      </x:c>
      <x:c r="V2596" s="78" t="n">
        <x:f>P2596-T2596</x:f>
        <x:v>161637.09512244049</x:v>
      </x:c>
      <x:c r="W2596" s="79" t="n">
        <x:f>IF(U2596&gt;0,V2596/U2596,0)</x:f>
        <x:v>0.34628811052045533</x:v>
      </x:c>
      <x:c r="X2596" s="80" t="n">
        <x:f>W2596*('Inputs'!$B$6-AC2596)</x:f>
        <x:v>346152950.12979704</x:v>
      </x:c>
      <x:c r="Y2596" s="80" t="n">
        <x:f>2*V2596</x:f>
        <x:v>323274.19024488097</x:v>
      </x:c>
      <x:c r="Z2596" s="80" t="n">
        <x:f>K2596*'Inputs'!$B$16+(G2596+R2596)*J2596*'Inputs'!$B$16</x:f>
        <x:v>6679.026717527906</x:v>
      </x:c>
      <x:c r="AA2596" s="80" t="n">
        <x:f>K2596*(1+'Inputs'!$E$51)/2*'Inputs'!$B$17</x:f>
        <x:v>2315.7731724015534</x:v>
      </x:c>
      <x:c r="AB2596" s="78" t="n">
        <x:f>(IF(J2596&gt;0,K2596*(1-'Inputs'!$E$51)/2/J2596,0)+G2596+R2596)*'Inputs'!$B$17</x:f>
        <x:v>6045.998953348721</x:v>
      </x:c>
      <x:c r="AC2596" s="78" t="n">
        <x:f>AC2595+AB2596</x:f>
        <x:v>390311.9586033601</x:v>
      </x:c>
      <x:c r="AD2596" s="80" t="n">
        <x:f>Z2596/(1+'Inputs'!$C$51)</x:f>
        <x:v>2226.3422391759686</x:v>
      </x:c>
      <x:c r="AE2596" s="80" t="n">
        <x:f>Z2596-AD2596</x:f>
        <x:v>4452.684478351937</x:v>
      </x:c>
      <x:c r="AF2596" s="80" t="n">
        <x:f>D2596*W2596</x:f>
        <x:v>103855.9729287384</x:v>
      </x:c>
      <x:c r="AG2596" s="80" t="n">
        <x:f>C2596*W2596</x:f>
        <x:v>242330.60350038935</x:v>
      </x:c>
      <x:c r="AH2596" s="80" t="n">
        <x:f>2*'Inputs'!$B$8*'Inputs'!$C$51</x:f>
        <x:v>10000</x:v>
      </x:c>
      <x:c r="AI2596" s="81" t="n">
        <x:f>IF(AH2596&gt;0,(AE2596+AF2596)/AH2596*365,0)</x:f>
        <x:v>3953.265995358797</x:v>
      </x:c>
      <x:c r="AJ2596" s="81" t="n">
        <x:f>IF('Inputs'!$B$51&gt;0,AG2596/('Inputs'!$B$19*'Inputs'!$B$51)*365,0)</x:f>
        <x:v>8845.067027764211</x:v>
      </x:c>
      <x:c r="AK2596" s="81" t="n">
        <x:f>W2596/MAX($W$2559:W2596)-1</x:f>
        <x:v>-0.6486738644785437</x:v>
      </x:c>
      <x:c r="AL2596" s="83" t="n">
        <x:f>'Inputs'!$B$51</x:f>
        <x:v>1</x:v>
      </x:c>
      <x:c r="AM2596" s="83" t="n">
        <x:f>'Inputs'!$C$51</x:f>
        <x:v>2</x:v>
      </x:c>
      <x:c r="AN2596" s="83" t="n">
        <x:f>'Inputs'!$D$51</x:f>
        <x:v>3</x:v>
      </x:c>
      <x:c r="AO2596" s="81" t="n">
        <x:f>'Inputs'!$E$51</x:f>
        <x:v>0.1</x:v>
      </x:c>
    </x:row>
    <x:row r="2597">
      <x:c r="A2597" s="59" t="str">
        <x:v>High demand</x:v>
      </x:c>
      <x:c r="B2597" s="59" t="n">
        <x:v>39</x:v>
      </x:c>
      <x:c r="C2597" s="78" t="n">
        <x:f>(('Inputs'!$B$29*(3*39*'Inputs'!$B$12-39^2)/(2*'Inputs'!$B$12^2))-('Inputs'!$B$29*(3*38*'Inputs'!$B$12-38^2)/(2*'Inputs'!$B$12^2)))*'Inputs'!$B$51</x:f>
        <x:v>699469.6472133584</x:v>
      </x:c>
      <x:c r="D2597" s="78" t="n">
        <x:f>IF('Inputs'!$C$51&gt;0,('Inputs'!$B$30*(3*39*'Inputs'!$B$12-39^2)/(2*'Inputs'!$B$12^2))-('Inputs'!$B$30*(3*38*'Inputs'!$B$12-38^2)/(2*'Inputs'!$B$12^2)),0)</x:f>
        <x:v>299772.7059485819</x:v>
      </x:c>
      <x:c r="E2597" s="78" t="n">
        <x:f>C2597+D2597</x:f>
        <x:v>999242.3531619404</x:v>
      </x:c>
      <x:c r="F2597" s="78" t="n">
        <x:f>'Inputs'!$B$13*E2597+(1-'Inputs'!$B$13)/'Inputs'!$B$14*SUM(E2559:E2597)</x:f>
        <x:v>761485.6378843514</x:v>
      </x:c>
      <x:c r="G2597" s="78" t="n">
        <x:f>F2597*'Inputs'!$F$51</x:f>
        <x:v>190371.40947108786</x:v>
      </x:c>
      <x:c r="H2597" s="78" t="n">
        <x:f>U2596</x:f>
        <x:v>466770.5595768427</x:v>
      </x:c>
      <x:c r="I2597" s="78" t="n">
        <x:f>V2596</x:f>
        <x:v>161637.09512244049</x:v>
      </x:c>
      <x:c r="J2597" s="79" t="n">
        <x:f>IF(H2597&gt;0,I2597/H2597,0)</x:f>
        <x:v>0.34628811052045533</x:v>
      </x:c>
      <x:c r="K2597" s="80" t="n">
        <x:f>(H2597*J2597+I2597)*'Inputs'!$D$51*(1+'Inputs'!$G$51)^(B2597/30)</x:f>
        <x:v>1033328.4246115944</x:v>
      </x:c>
      <x:c r="L2597" s="80" t="n">
        <x:f>MAX(0,K2597*'Inputs'!$E$51)</x:f>
        <x:v>103332.84246115945</x:v>
      </x:c>
      <x:c r="M2597" s="80" t="n">
        <x:f>MAX(0,-K2597*'Inputs'!$E$51)</x:f>
        <x:v>0</x:v>
      </x:c>
      <x:c r="N2597" s="78" t="n">
        <x:f>H2597*(L2597*(1-'Inputs'!$B$15))/(I2597+L2597*(1-'Inputs'!$B$15))</x:f>
        <x:v>180916.1736351434</x:v>
      </x:c>
      <x:c r="O2597" s="78" t="n">
        <x:f>H2597-N2597</x:f>
        <x:v>285854.38594169926</x:v>
      </x:c>
      <x:c r="P2597" s="78" t="n">
        <x:f>I2597+L2597*(1-'Inputs'!$B$17)</x:f>
        <x:v>264554.1112557884</x:v>
      </x:c>
      <x:c r="Q2597" s="78" t="n">
        <x:f>IF(J2597&gt;0,M2597/J2597,0)</x:f>
        <x:v>0</x:v>
      </x:c>
      <x:c r="R2597" s="78" t="n">
        <x:f>IF(B2597='Inputs'!$H$51,'Inputs'!$B$27*'Inputs'!$I$51,0)</x:f>
        <x:v>0</x:v>
      </x:c>
      <x:c r="S2597" s="78" t="n">
        <x:f>Q2597+G2597+R2597</x:f>
        <x:v>190371.40947108786</x:v>
      </x:c>
      <x:c r="T2597" s="78" t="n">
        <x:f>P2597*(S2597*(1-'Inputs'!$B$15))/(O2597+S2597*(1-'Inputs'!$B$15))</x:f>
        <x:v>105118.24267630598</x:v>
      </x:c>
      <x:c r="U2597" s="78" t="n">
        <x:f>O2597+S2597*(1-'Inputs'!$B$17)</x:f>
        <x:v>475459.7132821188</x:v>
      </x:c>
      <x:c r="V2597" s="78" t="n">
        <x:f>P2597-T2597</x:f>
        <x:v>159435.86857948243</x:v>
      </x:c>
      <x:c r="W2597" s="79" t="n">
        <x:f>IF(U2597&gt;0,V2597/U2597,0)</x:f>
        <x:v>0.33532992202197276</x:v>
      </x:c>
      <x:c r="X2597" s="80" t="n">
        <x:f>W2597*('Inputs'!$B$6-AC2597)</x:f>
        <x:v>335196969.8487688</x:v>
      </x:c>
      <x:c r="Y2597" s="80" t="n">
        <x:f>2*V2597</x:f>
        <x:v>318871.73715896485</x:v>
      </x:c>
      <x:c r="Z2597" s="80" t="n">
        <x:f>K2597*'Inputs'!$B$16+(G2597+R2597)*J2597*'Inputs'!$B$16</x:f>
        <x:v>6595.51068176672</x:v>
      </x:c>
      <x:c r="AA2597" s="80" t="n">
        <x:f>K2597*(1+'Inputs'!$E$51)/2*'Inputs'!$B$17</x:f>
        <x:v>2287.044802963288</x:v>
      </x:c>
      <x:c r="AB2597" s="78" t="n">
        <x:f>(IF(J2597&gt;0,K2597*(1-'Inputs'!$E$51)/2/J2597,0)+G2597+R2597)*'Inputs'!$B$17</x:f>
        <x:v>6169.728453781865</x:v>
      </x:c>
      <x:c r="AC2597" s="78" t="n">
        <x:f>AC2596+AB2597</x:f>
        <x:v>396481.687057142</x:v>
      </x:c>
      <x:c r="AD2597" s="80" t="n">
        <x:f>Z2597/(1+'Inputs'!$C$51)</x:f>
        <x:v>2198.5035605889066</x:v>
      </x:c>
      <x:c r="AE2597" s="80" t="n">
        <x:f>Z2597-AD2597</x:f>
        <x:v>4397.007121177814</x:v>
      </x:c>
      <x:c r="AF2597" s="80" t="n">
        <x:f>D2597*W2597</x:f>
        <x:v>100522.75811005375</x:v>
      </x:c>
      <x:c r="AG2597" s="80" t="n">
        <x:f>C2597*W2597</x:f>
        <x:v>234553.10225679228</x:v>
      </x:c>
      <x:c r="AH2597" s="80" t="n">
        <x:f>2*'Inputs'!$B$8*'Inputs'!$C$51</x:f>
        <x:v>10000</x:v>
      </x:c>
      <x:c r="AI2597" s="81" t="n">
        <x:f>IF(AH2597&gt;0,(AE2597+AF2597)/AH2597*365,0)</x:f>
        <x:v>3829.5714309399523</x:v>
      </x:c>
      <x:c r="AJ2597" s="81" t="n">
        <x:f>IF('Inputs'!$B$51&gt;0,AG2597/('Inputs'!$B$19*'Inputs'!$B$51)*365,0)</x:f>
        <x:v>8561.188232372919</x:v>
      </x:c>
      <x:c r="AK2597" s="81" t="n">
        <x:f>W2597/MAX($W$2559:W2597)-1</x:f>
        <x:v>-0.6597914798413735</x:v>
      </x:c>
      <x:c r="AL2597" s="83" t="n">
        <x:f>'Inputs'!$B$51</x:f>
        <x:v>1</x:v>
      </x:c>
      <x:c r="AM2597" s="83" t="n">
        <x:f>'Inputs'!$C$51</x:f>
        <x:v>2</x:v>
      </x:c>
      <x:c r="AN2597" s="83" t="n">
        <x:f>'Inputs'!$D$51</x:f>
        <x:v>3</x:v>
      </x:c>
      <x:c r="AO2597" s="81" t="n">
        <x:f>'Inputs'!$E$51</x:f>
        <x:v>0.1</x:v>
      </x:c>
    </x:row>
    <x:row r="2598">
      <x:c r="A2598" s="59" t="str">
        <x:v>High demand</x:v>
      </x:c>
      <x:c r="B2598" s="59" t="n">
        <x:v>40</x:v>
      </x:c>
      <x:c r="C2598" s="78" t="n">
        <x:f>(('Inputs'!$B$29*(3*40*'Inputs'!$B$12-40^2)/(2*'Inputs'!$B$12^2))-('Inputs'!$B$29*(3*39*'Inputs'!$B$12-39^2)/(2*'Inputs'!$B$12^2)))*'Inputs'!$B$51</x:f>
        <x:v>699144.5393131934</x:v>
      </x:c>
      <x:c r="D2598" s="78" t="n">
        <x:f>IF('Inputs'!$C$51&gt;0,('Inputs'!$B$30*(3*40*'Inputs'!$B$12-40^2)/(2*'Inputs'!$B$12^2))-('Inputs'!$B$30*(3*39*'Inputs'!$B$12-39^2)/(2*'Inputs'!$B$12^2)),0)</x:f>
        <x:v>299633.37399136834</x:v>
      </x:c>
      <x:c r="E2598" s="78" t="n">
        <x:f>C2598+D2598</x:f>
        <x:v>998777.9133045617</x:v>
      </x:c>
      <x:c r="F2598" s="78" t="n">
        <x:f>'Inputs'!$B$13*E2598+(1-'Inputs'!$B$13)/'Inputs'!$B$14*SUM(E2559:E2598)</x:f>
        <x:v>775661.0058172266</x:v>
      </x:c>
      <x:c r="G2598" s="78" t="n">
        <x:f>F2598*'Inputs'!$F$51</x:f>
        <x:v>193915.25145430665</x:v>
      </x:c>
      <x:c r="H2598" s="78" t="n">
        <x:f>U2597</x:f>
        <x:v>475459.7132821188</x:v>
      </x:c>
      <x:c r="I2598" s="78" t="n">
        <x:f>V2597</x:f>
        <x:v>159435.86857948243</x:v>
      </x:c>
      <x:c r="J2598" s="79" t="n">
        <x:f>IF(H2598&gt;0,I2598/H2598,0)</x:f>
        <x:v>0.33532992202197276</x:v>
      </x:c>
      <x:c r="K2598" s="80" t="n">
        <x:f>(H2598*J2598+I2598)*'Inputs'!$D$51*(1+'Inputs'!$G$51)^(B2598/30)</x:f>
        <x:v>1020915.2266097255</x:v>
      </x:c>
      <x:c r="L2598" s="80" t="n">
        <x:f>MAX(0,K2598*'Inputs'!$E$51)</x:f>
        <x:v>102091.52266097255</x:v>
      </x:c>
      <x:c r="M2598" s="80" t="n">
        <x:f>MAX(0,-K2598*'Inputs'!$E$51)</x:f>
        <x:v>0</x:v>
      </x:c>
      <x:c r="N2598" s="78" t="n">
        <x:f>H2598*(L2598*(1-'Inputs'!$B$15))/(I2598+L2598*(1-'Inputs'!$B$15))</x:f>
        <x:v>184467.59085343327</x:v>
      </x:c>
      <x:c r="O2598" s="78" t="n">
        <x:f>H2598-N2598</x:f>
        <x:v>290992.12242868554</x:v>
      </x:c>
      <x:c r="P2598" s="78" t="n">
        <x:f>I2598+L2598*(1-'Inputs'!$B$17)</x:f>
        <x:v>261116.56016334845</x:v>
      </x:c>
      <x:c r="Q2598" s="78" t="n">
        <x:f>IF(J2598&gt;0,M2598/J2598,0)</x:f>
        <x:v>0</x:v>
      </x:c>
      <x:c r="R2598" s="78" t="n">
        <x:f>IF(B2598='Inputs'!$H$51,'Inputs'!$B$27*'Inputs'!$I$51,0)</x:f>
        <x:v>0</x:v>
      </x:c>
      <x:c r="S2598" s="78" t="n">
        <x:f>Q2598+G2598+R2598</x:f>
        <x:v>193915.25145430665</x:v>
      </x:c>
      <x:c r="T2598" s="78" t="n">
        <x:f>P2598*(S2598*(1-'Inputs'!$B$15))/(O2598+S2598*(1-'Inputs'!$B$15))</x:f>
        <x:v>103791.79492740934</x:v>
      </x:c>
      <x:c r="U2598" s="78" t="n">
        <x:f>O2598+S2598*(1-'Inputs'!$B$17)</x:f>
        <x:v>484127.03081878973</x:v>
      </x:c>
      <x:c r="V2598" s="78" t="n">
        <x:f>P2598-T2598</x:f>
        <x:v>157324.76523593912</x:v>
      </x:c>
      <x:c r="W2598" s="79" t="n">
        <x:f>IF(U2598&gt;0,V2598/U2598,0)</x:f>
        <x:v>0.32496587717868264</x:v>
      </x:c>
      <x:c r="X2598" s="80" t="n">
        <x:f>W2598*('Inputs'!$B$6-AC2598)</x:f>
        <x:v>324834988.97376615</x:v>
      </x:c>
      <x:c r="Y2598" s="80" t="n">
        <x:f>2*V2598</x:f>
        <x:v>314649.53047187824</x:v>
      </x:c>
      <x:c r="Z2598" s="80" t="n">
        <x:f>K2598*'Inputs'!$B$16+(G2598+R2598)*J2598*'Inputs'!$B$16</x:f>
        <x:v>6515.644876552617</x:v>
      </x:c>
      <x:c r="AA2598" s="80" t="n">
        <x:f>K2598*(1+'Inputs'!$E$51)/2*'Inputs'!$B$17</x:f>
        <x:v>2259.570924085912</x:v>
      </x:c>
      <x:c r="AB2598" s="78" t="n">
        <x:f>(IF(J2598&gt;0,K2598*(1-'Inputs'!$E$51)/2/J2598,0)+G2598+R2598)*'Inputs'!$B$17</x:f>
        <x:v>6293.5398461414</x:v>
      </x:c>
      <x:c r="AC2598" s="78" t="n">
        <x:f>AC2597+AB2598</x:f>
        <x:v>402775.2269032834</x:v>
      </x:c>
      <x:c r="AD2598" s="80" t="n">
        <x:f>Z2598/(1+'Inputs'!$C$51)</x:f>
        <x:v>2171.881625517539</x:v>
      </x:c>
      <x:c r="AE2598" s="80" t="n">
        <x:f>Z2598-AD2598</x:f>
        <x:v>4343.763251035078</x:v>
      </x:c>
      <x:c r="AF2598" s="80" t="n">
        <x:f>D2598*W2598</x:f>
        <x:v>97370.62221111328</x:v>
      </x:c>
      <x:c r="AG2598" s="80" t="n">
        <x:f>C2598*W2598</x:f>
        <x:v>227198.11849259786</x:v>
      </x:c>
      <x:c r="AH2598" s="80" t="n">
        <x:f>2*'Inputs'!$B$8*'Inputs'!$C$51</x:f>
        <x:v>10000</x:v>
      </x:c>
      <x:c r="AI2598" s="81" t="n">
        <x:f>IF(AH2598&gt;0,(AE2598+AF2598)/AH2598*365,0)</x:f>
        <x:v>3712.5750693684154</x:v>
      </x:c>
      <x:c r="AJ2598" s="81" t="n">
        <x:f>IF('Inputs'!$B$51&gt;0,AG2598/('Inputs'!$B$19*'Inputs'!$B$51)*365,0)</x:f>
        <x:v>8292.73132497982</x:v>
      </x:c>
      <x:c r="AK2598" s="81" t="n">
        <x:f>W2598/MAX($W$2559:W2598)-1</x:f>
        <x:v>-0.6703063075600951</x:v>
      </x:c>
      <x:c r="AL2598" s="83" t="n">
        <x:f>'Inputs'!$B$51</x:f>
        <x:v>1</x:v>
      </x:c>
      <x:c r="AM2598" s="83" t="n">
        <x:f>'Inputs'!$C$51</x:f>
        <x:v>2</x:v>
      </x:c>
      <x:c r="AN2598" s="83" t="n">
        <x:f>'Inputs'!$D$51</x:f>
        <x:v>3</x:v>
      </x:c>
      <x:c r="AO2598" s="81" t="n">
        <x:f>'Inputs'!$E$51</x:f>
        <x:v>0.1</x:v>
      </x:c>
    </x:row>
    <x:row r="2599">
      <x:c r="A2599" s="59" t="str">
        <x:v>High demand</x:v>
      </x:c>
      <x:c r="B2599" s="59" t="n">
        <x:v>41</x:v>
      </x:c>
      <x:c r="C2599" s="78" t="n">
        <x:f>(('Inputs'!$B$29*(3*41*'Inputs'!$B$12-41^2)/(2*'Inputs'!$B$12^2))-('Inputs'!$B$29*(3*40*'Inputs'!$B$12-40^2)/(2*'Inputs'!$B$12^2)))*'Inputs'!$B$51</x:f>
        <x:v>698819.4314130247</x:v>
      </x:c>
      <x:c r="D2599" s="78" t="n">
        <x:f>IF('Inputs'!$C$51&gt;0,('Inputs'!$B$30*(3*41*'Inputs'!$B$12-41^2)/(2*'Inputs'!$B$12^2))-('Inputs'!$B$30*(3*40*'Inputs'!$B$12-40^2)/(2*'Inputs'!$B$12^2)),0)</x:f>
        <x:v>299494.0420341529</x:v>
      </x:c>
      <x:c r="E2599" s="78" t="n">
        <x:f>C2599+D2599</x:f>
        <x:v>998313.4734471776</x:v>
      </x:c>
      <x:c r="F2599" s="78" t="n">
        <x:f>'Inputs'!$B$13*E2599+(1-'Inputs'!$B$13)/'Inputs'!$B$14*SUM(E2559:E2599)</x:f>
        <x:v>789829.7388949952</x:v>
      </x:c>
      <x:c r="G2599" s="78" t="n">
        <x:f>F2599*'Inputs'!$F$51</x:f>
        <x:v>197457.4347237488</x:v>
      </x:c>
      <x:c r="H2599" s="78" t="n">
        <x:f>U2598</x:f>
        <x:v>484127.03081878973</x:v>
      </x:c>
      <x:c r="I2599" s="78" t="n">
        <x:f>V2598</x:f>
        <x:v>157324.76523593912</x:v>
      </x:c>
      <x:c r="J2599" s="79" t="n">
        <x:f>IF(H2599&gt;0,I2599/H2599,0)</x:f>
        <x:v>0.32496587717868264</x:v>
      </x:c>
      <x:c r="K2599" s="80" t="n">
        <x:f>(H2599*J2599+I2599)*'Inputs'!$D$51*(1+'Inputs'!$G$51)^(B2599/30)</x:f>
        <x:v>1009036.9069632152</x:v>
      </x:c>
      <x:c r="L2599" s="80" t="n">
        <x:f>MAX(0,K2599*'Inputs'!$E$51)</x:f>
        <x:v>100903.69069632153</x:v>
      </x:c>
      <x:c r="M2599" s="80" t="n">
        <x:f>MAX(0,-K2599*'Inputs'!$E$51)</x:f>
        <x:v>0</x:v>
      </x:c>
      <x:c r="N2599" s="78" t="n">
        <x:f>H2599*(L2599*(1-'Inputs'!$B$15))/(I2599+L2599*(1-'Inputs'!$B$15))</x:f>
        <x:v>188017.3056800064</x:v>
      </x:c>
      <x:c r="O2599" s="78" t="n">
        <x:f>H2599-N2599</x:f>
        <x:v>296109.72513878334</x:v>
      </x:c>
      <x:c r="P2599" s="78" t="n">
        <x:f>I2599+L2599*(1-'Inputs'!$B$17)</x:f>
        <x:v>257822.40486306016</x:v>
      </x:c>
      <x:c r="Q2599" s="78" t="n">
        <x:f>IF(J2599&gt;0,M2599/J2599,0)</x:f>
        <x:v>0</x:v>
      </x:c>
      <x:c r="R2599" s="78" t="n">
        <x:f>IF(B2599='Inputs'!$H$51,'Inputs'!$B$27*'Inputs'!$I$51,0)</x:f>
        <x:v>0</x:v>
      </x:c>
      <x:c r="S2599" s="78" t="n">
        <x:f>Q2599+G2599+R2599</x:f>
        <x:v>197457.4347237488</x:v>
      </x:c>
      <x:c r="T2599" s="78" t="n">
        <x:f>P2599*(S2599*(1-'Inputs'!$B$15))/(O2599+S2599*(1-'Inputs'!$B$15))</x:f>
        <x:v>102523.6398123297</x:v>
      </x:c>
      <x:c r="U2599" s="78" t="n">
        <x:f>O2599+S2599*(1-'Inputs'!$B$17)</x:f>
        <x:v>492772.5625397002</x:v>
      </x:c>
      <x:c r="V2599" s="78" t="n">
        <x:f>P2599-T2599</x:f>
        <x:v>155298.76505073046</x:v>
      </x:c>
      <x:c r="W2599" s="79" t="n">
        <x:f>IF(U2599&gt;0,V2599/U2599,0)</x:f>
        <x:v>0.31515302769767917</x:v>
      </x:c>
      <x:c r="X2599" s="80" t="n">
        <x:f>W2599*('Inputs'!$B$6-AC2599)</x:f>
        <x:v>315024069.3919182</x:v>
      </x:c>
      <x:c r="Y2599" s="80" t="n">
        <x:f>2*V2599</x:f>
        <x:v>310597.5301014609</x:v>
      </x:c>
      <x:c r="Z2599" s="80" t="n">
        <x:f>K2599*'Inputs'!$B$16+(G2599+R2599)*J2599*'Inputs'!$B$16</x:f>
        <x:v>6439.223012662024</x:v>
      </x:c>
      <x:c r="AA2599" s="80" t="n">
        <x:f>K2599*(1+'Inputs'!$E$51)/2*'Inputs'!$B$17</x:f>
        <x:v>2233.28088060269</x:v>
      </x:c>
      <x:c r="AB2599" s="78" t="n">
        <x:f>(IF(J2599&gt;0,K2599*(1-'Inputs'!$E$51)/2/J2599,0)+G2599+R2599)*'Inputs'!$B$17</x:f>
        <x:v>6417.433256456789</x:v>
      </x:c>
      <x:c r="AC2599" s="78" t="n">
        <x:f>AC2598+AB2599</x:f>
        <x:v>409192.6601597402</x:v>
      </x:c>
      <x:c r="AD2599" s="80" t="n">
        <x:f>Z2599/(1+'Inputs'!$C$51)</x:f>
        <x:v>2146.4076708873413</x:v>
      </x:c>
      <x:c r="AE2599" s="80" t="n">
        <x:f>Z2599-AD2599</x:f>
        <x:v>4292.8153417746835</x:v>
      </x:c>
      <x:c r="AF2599" s="80" t="n">
        <x:f>D2599*W2599</x:f>
        <x:v>94386.45412447928</x:v>
      </x:c>
      <x:c r="AG2599" s="80" t="n">
        <x:f>C2599*W2599</x:f>
        <x:v>220235.05962378538</x:v>
      </x:c>
      <x:c r="AH2599" s="80" t="n">
        <x:f>2*'Inputs'!$B$8*'Inputs'!$C$51</x:f>
        <x:v>10000</x:v>
      </x:c>
      <x:c r="AI2599" s="81" t="n">
        <x:f>IF(AH2599&gt;0,(AE2599+AF2599)/AH2599*365,0)</x:f>
        <x:v>3601.7933355182695</x:v>
      </x:c>
      <x:c r="AJ2599" s="81" t="n">
        <x:f>IF('Inputs'!$B$51&gt;0,AG2599/('Inputs'!$B$19*'Inputs'!$B$51)*365,0)</x:f>
        <x:v>8038.579676268166</x:v>
      </x:c>
      <x:c r="AK2599" s="81" t="n">
        <x:f>W2599/MAX($W$2559:W2599)-1</x:f>
        <x:v>-0.6802619207673555</x:v>
      </x:c>
      <x:c r="AL2599" s="83" t="n">
        <x:f>'Inputs'!$B$51</x:f>
        <x:v>1</x:v>
      </x:c>
      <x:c r="AM2599" s="83" t="n">
        <x:f>'Inputs'!$C$51</x:f>
        <x:v>2</x:v>
      </x:c>
      <x:c r="AN2599" s="83" t="n">
        <x:f>'Inputs'!$D$51</x:f>
        <x:v>3</x:v>
      </x:c>
      <x:c r="AO2599" s="81" t="n">
        <x:f>'Inputs'!$E$51</x:f>
        <x:v>0.1</x:v>
      </x:c>
    </x:row>
    <x:row r="2600">
      <x:c r="A2600" s="59" t="str">
        <x:v>High demand</x:v>
      </x:c>
      <x:c r="B2600" s="59" t="n">
        <x:v>42</x:v>
      </x:c>
      <x:c r="C2600" s="78" t="n">
        <x:f>(('Inputs'!$B$29*(3*42*'Inputs'!$B$12-42^2)/(2*'Inputs'!$B$12^2))-('Inputs'!$B$29*(3*41*'Inputs'!$B$12-41^2)/(2*'Inputs'!$B$12^2)))*'Inputs'!$B$51</x:f>
        <x:v>698494.3235128522</x:v>
      </x:c>
      <x:c r="D2600" s="78" t="n">
        <x:f>IF('Inputs'!$C$51&gt;0,('Inputs'!$B$30*(3*42*'Inputs'!$B$12-42^2)/(2*'Inputs'!$B$12^2))-('Inputs'!$B$30*(3*41*'Inputs'!$B$12-41^2)/(2*'Inputs'!$B$12^2)),0)</x:f>
        <x:v>299354.71007693745</x:v>
      </x:c>
      <x:c r="E2600" s="78" t="n">
        <x:f>C2600+D2600</x:f>
        <x:v>997849.0335897896</x:v>
      </x:c>
      <x:c r="F2600" s="78" t="n">
        <x:f>'Inputs'!$B$13*E2600+(1-'Inputs'!$B$13)/'Inputs'!$B$14*SUM(E2559:E2600)</x:f>
        <x:v>803991.8371176574</x:v>
      </x:c>
      <x:c r="G2600" s="78" t="n">
        <x:f>F2600*'Inputs'!$F$51</x:f>
        <x:v>200997.95927941435</x:v>
      </x:c>
      <x:c r="H2600" s="78" t="n">
        <x:f>U2599</x:f>
        <x:v>492772.5625397002</x:v>
      </x:c>
      <x:c r="I2600" s="78" t="n">
        <x:f>V2599</x:f>
        <x:v>155298.76505073046</x:v>
      </x:c>
      <x:c r="J2600" s="79" t="n">
        <x:f>IF(H2600&gt;0,I2600/H2600,0)</x:f>
        <x:v>0.31515302769767917</x:v>
      </x:c>
      <x:c r="K2600" s="80" t="n">
        <x:f>(H2600*J2600+I2600)*'Inputs'!$D$51*(1+'Inputs'!$G$51)^(B2600/30)</x:f>
        <x:v>997663.9310485297</x:v>
      </x:c>
      <x:c r="L2600" s="80" t="n">
        <x:f>MAX(0,K2600*'Inputs'!$E$51)</x:f>
        <x:v>99766.39310485298</x:v>
      </x:c>
      <x:c r="M2600" s="80" t="n">
        <x:f>MAX(0,-K2600*'Inputs'!$E$51)</x:f>
        <x:v>0</x:v>
      </x:c>
      <x:c r="N2600" s="78" t="n">
        <x:f>H2600*(L2600*(1-'Inputs'!$B$15))/(I2600+L2600*(1-'Inputs'!$B$15))</x:f>
        <x:v>191565.31583198975</x:v>
      </x:c>
      <x:c r="O2600" s="78" t="n">
        <x:f>H2600-N2600</x:f>
        <x:v>301207.24670771044</x:v>
      </x:c>
      <x:c r="P2600" s="78" t="n">
        <x:f>I2600+L2600*(1-'Inputs'!$B$17)</x:f>
        <x:v>254663.68373665045</x:v>
      </x:c>
      <x:c r="Q2600" s="78" t="n">
        <x:f>IF(J2600&gt;0,M2600/J2600,0)</x:f>
        <x:v>0</x:v>
      </x:c>
      <x:c r="R2600" s="78" t="n">
        <x:f>IF(B2600='Inputs'!$H$51,'Inputs'!$B$27*'Inputs'!$I$51,0)</x:f>
        <x:v>0</x:v>
      </x:c>
      <x:c r="S2600" s="78" t="n">
        <x:f>Q2600+G2600+R2600</x:f>
        <x:v>200997.95927941435</x:v>
      </x:c>
      <x:c r="T2600" s="78" t="n">
        <x:f>P2600*(S2600*(1-'Inputs'!$B$15))/(O2600+S2600*(1-'Inputs'!$B$15))</x:f>
        <x:v>101310.46689829593</x:v>
      </x:c>
      <x:c r="U2600" s="78" t="n">
        <x:f>O2600+S2600*(1-'Inputs'!$B$17)</x:f>
        <x:v>501396.3610805678</x:v>
      </x:c>
      <x:c r="V2600" s="78" t="n">
        <x:f>P2600-T2600</x:f>
        <x:v>153353.21683835454</x:v>
      </x:c>
      <x:c r="W2600" s="79" t="n">
        <x:f>IF(U2600&gt;0,V2600/U2600,0)</x:f>
        <x:v>0.3058522732551557</x:v>
      </x:c>
      <x:c r="X2600" s="80" t="n">
        <x:f>W2600*('Inputs'!$B$6-AC2600)</x:f>
        <x:v>305725120.0450775</x:v>
      </x:c>
      <x:c r="Y2600" s="80" t="n">
        <x:f>2*V2600</x:f>
        <x:v>306706.4336767091</x:v>
      </x:c>
      <x:c r="Z2600" s="80" t="n">
        <x:f>K2600*'Inputs'!$B$16+(G2600+R2600)*J2600*'Inputs'!$B$16</x:f>
        <x:v>6366.054278858952</x:v>
      </x:c>
      <x:c r="AA2600" s="80" t="n">
        <x:f>K2600*(1+'Inputs'!$E$51)/2*'Inputs'!$B$17</x:f>
        <x:v>2208.1093041315553</x:v>
      </x:c>
      <x:c r="AB2600" s="78" t="n">
        <x:f>(IF(J2600&gt;0,K2600*(1-'Inputs'!$E$51)/2/J2600,0)+G2600+R2600)*'Inputs'!$B$17</x:f>
        <x:v>6541.408856193612</x:v>
      </x:c>
      <x:c r="AC2600" s="78" t="n">
        <x:f>AC2599+AB2600</x:f>
        <x:v>415734.0690159338</x:v>
      </x:c>
      <x:c r="AD2600" s="80" t="n">
        <x:f>Z2600/(1+'Inputs'!$C$51)</x:f>
        <x:v>2122.018092952984</x:v>
      </x:c>
      <x:c r="AE2600" s="80" t="n">
        <x:f>Z2600-AD2600</x:f>
        <x:v>4244.0361859059685</x:v>
      </x:c>
      <x:c r="AF2600" s="80" t="n">
        <x:f>D2600*W2600</x:f>
        <x:v>91558.31858666938</x:v>
      </x:c>
      <x:c r="AG2600" s="80" t="n">
        <x:f>C2600*W2600</x:f>
        <x:v>213636.076702228</x:v>
      </x:c>
      <x:c r="AH2600" s="80" t="n">
        <x:f>2*'Inputs'!$B$8*'Inputs'!$C$51</x:f>
        <x:v>10000</x:v>
      </x:c>
      <x:c r="AI2600" s="81" t="n">
        <x:f>IF(AH2600&gt;0,(AE2600+AF2600)/AH2600*365,0)</x:f>
        <x:v>3496.7859491990002</x:v>
      </x:c>
      <x:c r="AJ2600" s="81" t="n">
        <x:f>IF('Inputs'!$B$51&gt;0,AG2600/('Inputs'!$B$19*'Inputs'!$B$51)*365,0)</x:f>
        <x:v>7797.716799631321</x:v>
      </x:c>
      <x:c r="AK2600" s="81" t="n">
        <x:f>W2600/MAX($W$2559:W2600)-1</x:f>
        <x:v>-0.6896979886439416</x:v>
      </x:c>
      <x:c r="AL2600" s="83" t="n">
        <x:f>'Inputs'!$B$51</x:f>
        <x:v>1</x:v>
      </x:c>
      <x:c r="AM2600" s="83" t="n">
        <x:f>'Inputs'!$C$51</x:f>
        <x:v>2</x:v>
      </x:c>
      <x:c r="AN2600" s="83" t="n">
        <x:f>'Inputs'!$D$51</x:f>
        <x:v>3</x:v>
      </x:c>
      <x:c r="AO2600" s="81" t="n">
        <x:f>'Inputs'!$E$51</x:f>
        <x:v>0.1</x:v>
      </x:c>
    </x:row>
    <x:row r="2601">
      <x:c r="A2601" s="59" t="str">
        <x:v>High demand</x:v>
      </x:c>
      <x:c r="B2601" s="59" t="n">
        <x:v>43</x:v>
      </x:c>
      <x:c r="C2601" s="78" t="n">
        <x:f>(('Inputs'!$B$29*(3*43*'Inputs'!$B$12-43^2)/(2*'Inputs'!$B$12^2))-('Inputs'!$B$29*(3*42*'Inputs'!$B$12-42^2)/(2*'Inputs'!$B$12^2)))*'Inputs'!$B$51</x:f>
        <x:v>698169.2156126872</x:v>
      </x:c>
      <x:c r="D2601" s="78" t="n">
        <x:f>IF('Inputs'!$C$51&gt;0,('Inputs'!$B$30*(3*43*'Inputs'!$B$12-43^2)/(2*'Inputs'!$B$12^2))-('Inputs'!$B$30*(3*42*'Inputs'!$B$12-42^2)/(2*'Inputs'!$B$12^2)),0)</x:f>
        <x:v>299215.378119722</x:v>
      </x:c>
      <x:c r="E2601" s="78" t="n">
        <x:f>C2601+D2601</x:f>
        <x:v>997384.5937324092</x:v>
      </x:c>
      <x:c r="F2601" s="78" t="n">
        <x:f>'Inputs'!$B$13*E2601+(1-'Inputs'!$B$13)/'Inputs'!$B$14*SUM(E2559:E2601)</x:f>
        <x:v>818147.3004852157</x:v>
      </x:c>
      <x:c r="G2601" s="78" t="n">
        <x:f>F2601*'Inputs'!$F$51</x:f>
        <x:v>204536.82512130393</x:v>
      </x:c>
      <x:c r="H2601" s="78" t="n">
        <x:f>U2600</x:f>
        <x:v>501396.3610805678</x:v>
      </x:c>
      <x:c r="I2601" s="78" t="n">
        <x:f>V2600</x:f>
        <x:v>153353.21683835454</x:v>
      </x:c>
      <x:c r="J2601" s="79" t="n">
        <x:f>IF(H2601&gt;0,I2601/H2601,0)</x:f>
        <x:v>0.3058522732551557</x:v>
      </x:c>
      <x:c r="K2601" s="80" t="n">
        <x:f>(H2601*J2601+I2601)*'Inputs'!$D$51*(1+'Inputs'!$G$51)^(B2601/30)</x:f>
        <x:v>986768.9366726682</x:v>
      </x:c>
      <x:c r="L2601" s="80" t="n">
        <x:f>MAX(0,K2601*'Inputs'!$E$51)</x:f>
        <x:v>98676.89366726682</x:v>
      </x:c>
      <x:c r="M2601" s="80" t="n">
        <x:f>MAX(0,-K2601*'Inputs'!$E$51)</x:f>
        <x:v>0</x:v>
      </x:c>
      <x:c r="N2601" s="78" t="n">
        <x:f>H2601*(L2601*(1-'Inputs'!$B$15))/(I2601+L2601*(1-'Inputs'!$B$15))</x:f>
        <x:v>195111.61995895437</x:v>
      </x:c>
      <x:c r="O2601" s="78" t="n">
        <x:f>H2601-N2601</x:f>
        <x:v>306284.7411216134</x:v>
      </x:c>
      <x:c r="P2601" s="78" t="n">
        <x:f>I2601+L2601*(1-'Inputs'!$B$17)</x:f>
        <x:v>251633.02039026012</x:v>
      </x:c>
      <x:c r="Q2601" s="78" t="n">
        <x:f>IF(J2601&gt;0,M2601/J2601,0)</x:f>
        <x:v>0</x:v>
      </x:c>
      <x:c r="R2601" s="78" t="n">
        <x:f>IF(B2601='Inputs'!$H$51,'Inputs'!$B$27*'Inputs'!$I$51,0)</x:f>
        <x:v>0</x:v>
      </x:c>
      <x:c r="S2601" s="78" t="n">
        <x:f>Q2601+G2601+R2601</x:f>
        <x:v>204536.82512130393</x:v>
      </x:c>
      <x:c r="T2601" s="78" t="n">
        <x:f>P2601*(S2601*(1-'Inputs'!$B$15))/(O2601+S2601*(1-'Inputs'!$B$15))</x:f>
        <x:v>100149.21510985438</x:v>
      </x:c>
      <x:c r="U2601" s="78" t="n">
        <x:f>O2601+S2601*(1-'Inputs'!$B$17)</x:f>
        <x:v>509998.4804275399</x:v>
      </x:c>
      <x:c r="V2601" s="78" t="n">
        <x:f>P2601-T2601</x:f>
        <x:v>151483.80528040574</x:v>
      </x:c>
      <x:c r="W2601" s="79" t="n">
        <x:f>IF(U2601&gt;0,V2601/U2601,0)</x:f>
        <x:v>0.2970279541880486</x:v>
      </x:c>
      <x:c r="X2601" s="80" t="n">
        <x:f>W2601*('Inputs'!$B$6-AC2601)</x:f>
        <x:v>296902489.71806186</x:v>
      </x:c>
      <x:c r="Y2601" s="80" t="n">
        <x:f>2*V2601</x:f>
        <x:v>302967.6105608115</x:v>
      </x:c>
      <x:c r="Z2601" s="80" t="n">
        <x:f>K2601*'Inputs'!$B$16+(G2601+R2601)*J2601*'Inputs'!$B$16</x:f>
        <x:v>6295.9619376024675</x:v>
      </x:c>
      <x:c r="AA2601" s="80" t="n">
        <x:f>K2601*(1+'Inputs'!$E$51)/2*'Inputs'!$B$17</x:f>
        <x:v>2183.995634486791</x:v>
      </x:c>
      <x:c r="AB2601" s="78" t="n">
        <x:f>(IF(J2601&gt;0,K2601*(1-'Inputs'!$E$51)/2/J2601,0)+G2601+R2601)*'Inputs'!$B$17</x:f>
        <x:v>6665.466844976171</x:v>
      </x:c>
      <x:c r="AC2601" s="78" t="n">
        <x:f>AC2600+AB2601</x:f>
        <x:v>422399.53586090996</x:v>
      </x:c>
      <x:c r="AD2601" s="80" t="n">
        <x:f>Z2601/(1+'Inputs'!$C$51)</x:f>
        <x:v>2098.6539792008225</x:v>
      </x:c>
      <x:c r="AE2601" s="80" t="n">
        <x:f>Z2601-AD2601</x:f>
        <x:v>4197.307958401645</x:v>
      </x:c>
      <x:c r="AF2601" s="80" t="n">
        <x:f>D2601*W2601</x:f>
        <x:v>88875.33162450443</x:v>
      </x:c>
      <x:c r="AG2601" s="80" t="n">
        <x:f>C2601*W2601</x:f>
        <x:v>207375.77379051107</x:v>
      </x:c>
      <x:c r="AH2601" s="80" t="n">
        <x:f>2*'Inputs'!$B$8*'Inputs'!$C$51</x:f>
        <x:v>10000</x:v>
      </x:c>
      <x:c r="AI2601" s="81" t="n">
        <x:f>IF(AH2601&gt;0,(AE2601+AF2601)/AH2601*365,0)</x:f>
        <x:v>3397.1513447760713</x:v>
      </x:c>
      <x:c r="AJ2601" s="81" t="n">
        <x:f>IF('Inputs'!$B$51&gt;0,AG2601/('Inputs'!$B$19*'Inputs'!$B$51)*365,0)</x:f>
        <x:v>7569.215743353654</x:v>
      </x:c>
      <x:c r="AK2601" s="81" t="n">
        <x:f>W2601/MAX($W$2559:W2601)-1</x:f>
        <x:v>-0.6986506896529239</x:v>
      </x:c>
      <x:c r="AL2601" s="83" t="n">
        <x:f>'Inputs'!$B$51</x:f>
        <x:v>1</x:v>
      </x:c>
      <x:c r="AM2601" s="83" t="n">
        <x:f>'Inputs'!$C$51</x:f>
        <x:v>2</x:v>
      </x:c>
      <x:c r="AN2601" s="83" t="n">
        <x:f>'Inputs'!$D$51</x:f>
        <x:v>3</x:v>
      </x:c>
      <x:c r="AO2601" s="81" t="n">
        <x:f>'Inputs'!$E$51</x:f>
        <x:v>0.1</x:v>
      </x:c>
    </x:row>
    <x:row r="2602">
      <x:c r="A2602" s="59" t="str">
        <x:v>High demand</x:v>
      </x:c>
      <x:c r="B2602" s="59" t="n">
        <x:v>44</x:v>
      </x:c>
      <x:c r="C2602" s="78" t="n">
        <x:f>(('Inputs'!$B$29*(3*44*'Inputs'!$B$12-44^2)/(2*'Inputs'!$B$12^2))-('Inputs'!$B$29*(3*43*'Inputs'!$B$12-43^2)/(2*'Inputs'!$B$12^2)))*'Inputs'!$B$51</x:f>
        <x:v>697844.1077125147</x:v>
      </x:c>
      <x:c r="D2602" s="78" t="n">
        <x:f>IF('Inputs'!$C$51&gt;0,('Inputs'!$B$30*(3*44*'Inputs'!$B$12-44^2)/(2*'Inputs'!$B$12^2))-('Inputs'!$B$30*(3*43*'Inputs'!$B$12-43^2)/(2*'Inputs'!$B$12^2)),0)</x:f>
        <x:v>299076.0461625084</x:v>
      </x:c>
      <x:c r="E2602" s="78" t="n">
        <x:f>C2602+D2602</x:f>
        <x:v>996920.1538750231</x:v>
      </x:c>
      <x:c r="F2602" s="78" t="n">
        <x:f>'Inputs'!$B$13*E2602+(1-'Inputs'!$B$13)/'Inputs'!$B$14*SUM(E2559:E2602)</x:f>
        <x:v>832296.1289976675</x:v>
      </x:c>
      <x:c r="G2602" s="78" t="n">
        <x:f>F2602*'Inputs'!$F$51</x:f>
        <x:v>208074.03224941686</x:v>
      </x:c>
      <x:c r="H2602" s="78" t="n">
        <x:f>U2601</x:f>
        <x:v>509998.4804275399</x:v>
      </x:c>
      <x:c r="I2602" s="78" t="n">
        <x:f>V2601</x:f>
        <x:v>151483.80528040574</x:v>
      </x:c>
      <x:c r="J2602" s="79" t="n">
        <x:f>IF(H2602&gt;0,I2602/H2602,0)</x:f>
        <x:v>0.2970279541880486</x:v>
      </x:c>
      <x:c r="K2602" s="80" t="n">
        <x:f>(H2602*J2602+I2602)*'Inputs'!$D$51*(1+'Inputs'!$G$51)^(B2602/30)</x:f>
        <x:v>976326.5399453592</x:v>
      </x:c>
      <x:c r="L2602" s="80" t="n">
        <x:f>MAX(0,K2602*'Inputs'!$E$51)</x:f>
        <x:v>97632.65399453593</x:v>
      </x:c>
      <x:c r="M2602" s="80" t="n">
        <x:f>MAX(0,-K2602*'Inputs'!$E$51)</x:f>
        <x:v>0</x:v>
      </x:c>
      <x:c r="N2602" s="78" t="n">
        <x:f>H2602*(L2602*(1-'Inputs'!$B$15))/(I2602+L2602*(1-'Inputs'!$B$15))</x:f>
        <x:v>198656.21728425738</x:v>
      </x:c>
      <x:c r="O2602" s="78" t="n">
        <x:f>H2602-N2602</x:f>
        <x:v>311342.2631432825</x:v>
      </x:c>
      <x:c r="P2602" s="78" t="n">
        <x:f>I2602+L2602*(1-'Inputs'!$B$17)</x:f>
        <x:v>248723.57133130167</x:v>
      </x:c>
      <x:c r="Q2602" s="78" t="n">
        <x:f>IF(J2602&gt;0,M2602/J2602,0)</x:f>
        <x:v>0</x:v>
      </x:c>
      <x:c r="R2602" s="78" t="n">
        <x:f>IF(B2602='Inputs'!$H$51,'Inputs'!$B$27*'Inputs'!$I$51,0)</x:f>
        <x:v>0</x:v>
      </x:c>
      <x:c r="S2602" s="78" t="n">
        <x:f>Q2602+G2602+R2602</x:f>
        <x:v>208074.03224941686</x:v>
      </x:c>
      <x:c r="T2602" s="78" t="n">
        <x:f>P2602*(S2602*(1-'Inputs'!$B$15))/(O2602+S2602*(1-'Inputs'!$B$15))</x:f>
        <x:v>99037.05000790578</x:v>
      </x:c>
      <x:c r="U2602" s="78" t="n">
        <x:f>O2602+S2602*(1-'Inputs'!$B$17)</x:f>
        <x:v>518578.97534340597</x:v>
      </x:c>
      <x:c r="V2602" s="78" t="n">
        <x:f>P2602-T2602</x:f>
        <x:v>149686.5213233959</x:v>
      </x:c>
      <x:c r="W2602" s="79" t="n">
        <x:f>IF(U2602&gt;0,V2602/U2602,0)</x:f>
        <x:v>0.2886474933239872</x:v>
      </x:c>
      <x:c r="X2602" s="80" t="n">
        <x:f>W2602*('Inputs'!$B$6-AC2602)</x:f>
        <x:v>288523608.95361155</x:v>
      </x:c>
      <x:c r="Y2602" s="80" t="n">
        <x:f>2*V2602</x:f>
        <x:v>299373.0426467918</x:v>
      </x:c>
      <x:c r="Z2602" s="80" t="n">
        <x:f>K2602*'Inputs'!$B$16+(G2602+R2602)*J2602*'Inputs'!$B$16</x:f>
        <x:v>6228.78206438437</x:v>
      </x:c>
      <x:c r="AA2602" s="80" t="n">
        <x:f>K2602*(1+'Inputs'!$E$51)/2*'Inputs'!$B$17</x:f>
        <x:v>2160.88369001991</x:v>
      </x:c>
      <x:c r="AB2602" s="78" t="n">
        <x:f>(IF(J2602&gt;0,K2602*(1-'Inputs'!$E$51)/2/J2602,0)+G2602+R2602)*'Inputs'!$B$17</x:f>
        <x:v>6789.607439929418</x:v>
      </x:c>
      <x:c r="AC2602" s="78" t="n">
        <x:f>AC2601+AB2602</x:f>
        <x:v>429189.1433008394</x:v>
      </x:c>
      <x:c r="AD2602" s="80" t="n">
        <x:f>Z2602/(1+'Inputs'!$C$51)</x:f>
        <x:v>2076.260688128123</x:v>
      </x:c>
      <x:c r="AE2602" s="80" t="n">
        <x:f>Z2602-AD2602</x:f>
        <x:v>4152.521376256247</x:v>
      </x:c>
      <x:c r="AF2602" s="80" t="n">
        <x:f>D2602*W2602</x:f>
        <x:v>86327.55103805714</x:v>
      </x:c>
      <x:c r="AG2602" s="80" t="n">
        <x:f>C2602*W2602</x:f>
        <x:v>201430.9524221319</x:v>
      </x:c>
      <x:c r="AH2602" s="80" t="n">
        <x:f>2*'Inputs'!$B$8*'Inputs'!$C$51</x:f>
        <x:v>10000</x:v>
      </x:c>
      <x:c r="AI2602" s="81" t="n">
        <x:f>IF(AH2602&gt;0,(AE2602+AF2602)/AH2602*365,0)</x:f>
        <x:v>3302.5226431224387</x:v>
      </x:c>
      <x:c r="AJ2602" s="81" t="n">
        <x:f>IF('Inputs'!$B$51&gt;0,AG2602/('Inputs'!$B$19*'Inputs'!$B$51)*365,0)</x:f>
        <x:v>7352.229763407814</x:v>
      </x:c>
      <x:c r="AK2602" s="81" t="n">
        <x:f>W2602/MAX($W$2559:W2602)-1</x:f>
        <x:v>-0.707153074920597</x:v>
      </x:c>
      <x:c r="AL2602" s="83" t="n">
        <x:f>'Inputs'!$B$51</x:f>
        <x:v>1</x:v>
      </x:c>
      <x:c r="AM2602" s="83" t="n">
        <x:f>'Inputs'!$C$51</x:f>
        <x:v>2</x:v>
      </x:c>
      <x:c r="AN2602" s="83" t="n">
        <x:f>'Inputs'!$D$51</x:f>
        <x:v>3</x:v>
      </x:c>
      <x:c r="AO2602" s="81" t="n">
        <x:f>'Inputs'!$E$51</x:f>
        <x:v>0.1</x:v>
      </x:c>
    </x:row>
    <x:row r="2603">
      <x:c r="A2603" s="59" t="str">
        <x:v>High demand</x:v>
      </x:c>
      <x:c r="B2603" s="59" t="n">
        <x:v>45</x:v>
      </x:c>
      <x:c r="C2603" s="78" t="n">
        <x:f>(('Inputs'!$B$29*(3*45*'Inputs'!$B$12-45^2)/(2*'Inputs'!$B$12^2))-('Inputs'!$B$29*(3*44*'Inputs'!$B$12-44^2)/(2*'Inputs'!$B$12^2)))*'Inputs'!$B$51</x:f>
        <x:v>697518.999812346</x:v>
      </x:c>
      <x:c r="D2603" s="78" t="n">
        <x:f>IF('Inputs'!$C$51&gt;0,('Inputs'!$B$30*(3*45*'Inputs'!$B$12-45^2)/(2*'Inputs'!$B$12^2))-('Inputs'!$B$30*(3*44*'Inputs'!$B$12-44^2)/(2*'Inputs'!$B$12^2)),0)</x:f>
        <x:v>298936.7142052911</x:v>
      </x:c>
      <x:c r="E2603" s="78" t="n">
        <x:f>C2603+D2603</x:f>
        <x:v>996455.7140176371</x:v>
      </x:c>
      <x:c r="F2603" s="78" t="n">
        <x:f>'Inputs'!$B$13*E2603+(1-'Inputs'!$B$13)/'Inputs'!$B$14*SUM(E2559:E2603)</x:f>
        <x:v>846438.3226550135</x:v>
      </x:c>
      <x:c r="G2603" s="78" t="n">
        <x:f>F2603*'Inputs'!$F$51</x:f>
        <x:v>211609.58066375338</x:v>
      </x:c>
      <x:c r="H2603" s="78" t="n">
        <x:f>U2602</x:f>
        <x:v>518578.97534340597</x:v>
      </x:c>
      <x:c r="I2603" s="78" t="n">
        <x:f>V2602</x:f>
        <x:v>149686.5213233959</x:v>
      </x:c>
      <x:c r="J2603" s="79" t="n">
        <x:f>IF(H2603&gt;0,I2603/H2603,0)</x:f>
        <x:v>0.2886474933239872</x:v>
      </x:c>
      <x:c r="K2603" s="80" t="n">
        <x:f>(H2603*J2603+I2603)*'Inputs'!$D$51*(1+'Inputs'!$G$51)^(B2603/30)</x:f>
        <x:v>966313.1610270176</x:v>
      </x:c>
      <x:c r="L2603" s="80" t="n">
        <x:f>MAX(0,K2603*'Inputs'!$E$51)</x:f>
        <x:v>96631.31610270176</x:v>
      </x:c>
      <x:c r="M2603" s="80" t="n">
        <x:f>MAX(0,-K2603*'Inputs'!$E$51)</x:f>
        <x:v>0</x:v>
      </x:c>
      <x:c r="N2603" s="78" t="n">
        <x:f>H2603*(L2603*(1-'Inputs'!$B$15))/(I2603+L2603*(1-'Inputs'!$B$15))</x:f>
        <x:v>202199.1073840673</x:v>
      </x:c>
      <x:c r="O2603" s="78" t="n">
        <x:f>H2603-N2603</x:f>
        <x:v>316379.8679593387</x:v>
      </x:c>
      <x:c r="P2603" s="78" t="n">
        <x:f>I2603+L2603*(1-'Inputs'!$B$17)</x:f>
        <x:v>245928.97901119746</x:v>
      </x:c>
      <x:c r="Q2603" s="78" t="n">
        <x:f>IF(J2603&gt;0,M2603/J2603,0)</x:f>
        <x:v>0</x:v>
      </x:c>
      <x:c r="R2603" s="78" t="n">
        <x:f>IF(B2603='Inputs'!$H$51,'Inputs'!$B$27*'Inputs'!$I$51,0)</x:f>
        <x:v>0</x:v>
      </x:c>
      <x:c r="S2603" s="78" t="n">
        <x:f>Q2603+G2603+R2603</x:f>
        <x:v>211609.58066375338</x:v>
      </x:c>
      <x:c r="T2603" s="78" t="n">
        <x:f>P2603*(S2603*(1-'Inputs'!$B$15))/(O2603+S2603*(1-'Inputs'!$B$15))</x:f>
        <x:v>97971.343412775</x:v>
      </x:c>
      <x:c r="U2603" s="78" t="n">
        <x:f>O2603+S2603*(1-'Inputs'!$B$17)</x:f>
        <x:v>527137.9010147873</x:v>
      </x:c>
      <x:c r="V2603" s="78" t="n">
        <x:f>P2603-T2603</x:f>
        <x:v>147957.63559842246</x:v>
      </x:c>
      <x:c r="W2603" s="79" t="n">
        <x:f>IF(U2603&gt;0,V2603/U2603,0)</x:f>
        <x:v>0.2806810804413625</x:v>
      </x:c>
      <x:c r="X2603" s="80" t="n">
        <x:f>W2603*('Inputs'!$B$6-AC2603)</x:f>
        <x:v>280558674.58738875</x:v>
      </x:c>
      <x:c r="Y2603" s="80" t="n">
        <x:f>2*V2603</x:f>
        <x:v>295915.27119684493</x:v>
      </x:c>
      <x:c r="Z2603" s="80" t="n">
        <x:f>K2603*'Inputs'!$B$16+(G2603+R2603)*J2603*'Inputs'!$B$16</x:f>
        <x:v>6164.3624162937</x:v>
      </x:c>
      <x:c r="AA2603" s="80" t="n">
        <x:f>K2603*(1+'Inputs'!$E$51)/2*'Inputs'!$B$17</x:f>
        <x:v>2138.721281951146</x:v>
      </x:c>
      <x:c r="AB2603" s="78" t="n">
        <x:f>(IF(J2603&gt;0,K2603*(1-'Inputs'!$E$51)/2/J2603,0)+G2603+R2603)*'Inputs'!$B$17</x:f>
        <x:v>6913.830869108481</x:v>
      </x:c>
      <x:c r="AC2603" s="78" t="n">
        <x:f>AC2602+AB2603</x:f>
        <x:v>436102.9741699479</x:v>
      </x:c>
      <x:c r="AD2603" s="80" t="n">
        <x:f>Z2603/(1+'Inputs'!$C$51)</x:f>
        <x:v>2054.7874720979003</x:v>
      </x:c>
      <x:c r="AE2603" s="80" t="n">
        <x:f>Z2603-AD2603</x:f>
        <x:v>4109.5749441958</x:v>
      </x:c>
      <x:c r="AF2603" s="80" t="n">
        <x:f>D2603*W2603</x:f>
        <x:v>83905.8799267319</x:v>
      </x:c>
      <x:c r="AG2603" s="80" t="n">
        <x:f>C2603*W2603</x:f>
        <x:v>195780.38649570776</x:v>
      </x:c>
      <x:c r="AH2603" s="80" t="n">
        <x:f>2*'Inputs'!$B$8*'Inputs'!$C$51</x:f>
        <x:v>10000</x:v>
      </x:c>
      <x:c r="AI2603" s="81" t="n">
        <x:f>IF(AH2603&gt;0,(AE2603+AF2603)/AH2603*365,0)</x:f>
        <x:v>3212.5641027888614</x:v>
      </x:c>
      <x:c r="AJ2603" s="81" t="n">
        <x:f>IF('Inputs'!$B$51&gt;0,AG2603/('Inputs'!$B$19*'Inputs'!$B$51)*365,0)</x:f>
        <x:v>7145.984107093333</x:v>
      </x:c>
      <x:c r="AK2603" s="81" t="n">
        <x:f>W2603/MAX($W$2559:W2603)-1</x:f>
        <x:v>-0.7152353883670922</x:v>
      </x:c>
      <x:c r="AL2603" s="83" t="n">
        <x:f>'Inputs'!$B$51</x:f>
        <x:v>1</x:v>
      </x:c>
      <x:c r="AM2603" s="83" t="n">
        <x:f>'Inputs'!$C$51</x:f>
        <x:v>2</x:v>
      </x:c>
      <x:c r="AN2603" s="83" t="n">
        <x:f>'Inputs'!$D$51</x:f>
        <x:v>3</x:v>
      </x:c>
      <x:c r="AO2603" s="81" t="n">
        <x:f>'Inputs'!$E$51</x:f>
        <x:v>0.1</x:v>
      </x:c>
    </x:row>
    <x:row r="2604">
      <x:c r="A2604" s="59" t="str">
        <x:v>High demand</x:v>
      </x:c>
      <x:c r="B2604" s="59" t="n">
        <x:v>46</x:v>
      </x:c>
      <x:c r="C2604" s="78" t="n">
        <x:f>(('Inputs'!$B$29*(3*46*'Inputs'!$B$12-46^2)/(2*'Inputs'!$B$12^2))-('Inputs'!$B$29*(3*45*'Inputs'!$B$12-45^2)/(2*'Inputs'!$B$12^2)))*'Inputs'!$B$51</x:f>
        <x:v>697193.8919121809</x:v>
      </x:c>
      <x:c r="D2604" s="78" t="n">
        <x:f>IF('Inputs'!$C$51&gt;0,('Inputs'!$B$30*(3*46*'Inputs'!$B$12-46^2)/(2*'Inputs'!$B$12^2))-('Inputs'!$B$30*(3*45*'Inputs'!$B$12-45^2)/(2*'Inputs'!$B$12^2)),0)</x:f>
        <x:v>298797.3822480757</x:v>
      </x:c>
      <x:c r="E2604" s="78" t="n">
        <x:f>C2604+D2604</x:f>
        <x:v>995991.2741602566</x:v>
      </x:c>
      <x:c r="F2604" s="78" t="n">
        <x:f>'Inputs'!$B$13*E2604+(1-'Inputs'!$B$13)/'Inputs'!$B$14*SUM(E2559:E2604)</x:f>
        <x:v>860573.8814572555</x:v>
      </x:c>
      <x:c r="G2604" s="78" t="n">
        <x:f>F2604*'Inputs'!$F$51</x:f>
        <x:v>215143.47036431386</x:v>
      </x:c>
      <x:c r="H2604" s="78" t="n">
        <x:f>U2603</x:f>
        <x:v>527137.9010147873</x:v>
      </x:c>
      <x:c r="I2604" s="78" t="n">
        <x:f>V2603</x:f>
        <x:v>147957.63559842246</x:v>
      </x:c>
      <x:c r="J2604" s="79" t="n">
        <x:f>IF(H2604&gt;0,I2604/H2604,0)</x:f>
        <x:v>0.2806810804413625</x:v>
      </x:c>
      <x:c r="K2604" s="80" t="n">
        <x:f>(H2604*J2604+I2604)*'Inputs'!$D$51*(1+'Inputs'!$G$51)^(B2604/30)</x:f>
        <x:v>956706.8676334575</x:v>
      </x:c>
      <x:c r="L2604" s="80" t="n">
        <x:f>MAX(0,K2604*'Inputs'!$E$51)</x:f>
        <x:v>95670.68676334576</x:v>
      </x:c>
      <x:c r="M2604" s="80" t="n">
        <x:f>MAX(0,-K2604*'Inputs'!$E$51)</x:f>
        <x:v>0</x:v>
      </x:c>
      <x:c r="N2604" s="78" t="n">
        <x:f>H2604*(L2604*(1-'Inputs'!$B$15))/(I2604+L2604*(1-'Inputs'!$B$15))</x:f>
        <x:v>205740.29005130703</x:v>
      </x:c>
      <x:c r="O2604" s="78" t="n">
        <x:f>H2604-N2604</x:f>
        <x:v>321397.6109634802</x:v>
      </x:c>
      <x:c r="P2604" s="78" t="n">
        <x:f>I2604+L2604*(1-'Inputs'!$B$17)</x:f>
        <x:v>243243.3296584952</x:v>
      </x:c>
      <x:c r="Q2604" s="78" t="n">
        <x:f>IF(J2604&gt;0,M2604/J2604,0)</x:f>
        <x:v>0</x:v>
      </x:c>
      <x:c r="R2604" s="78" t="n">
        <x:f>IF(B2604='Inputs'!$H$51,'Inputs'!$B$27*'Inputs'!$I$51,0)</x:f>
        <x:v>0</x:v>
      </x:c>
      <x:c r="S2604" s="78" t="n">
        <x:f>Q2604+G2604+R2604</x:f>
        <x:v>215143.47036431386</x:v>
      </x:c>
      <x:c r="T2604" s="78" t="n">
        <x:f>P2604*(S2604*(1-'Inputs'!$B$15))/(O2604+S2604*(1-'Inputs'!$B$15))</x:f>
        <x:v>96949.65512922994</x:v>
      </x:c>
      <x:c r="U2604" s="78" t="n">
        <x:f>O2604+S2604*(1-'Inputs'!$B$17)</x:f>
        <x:v>535675.3128353823</x:v>
      </x:c>
      <x:c r="V2604" s="78" t="n">
        <x:f>P2604-T2604</x:f>
        <x:v>146293.67452926526</x:v>
      </x:c>
      <x:c r="W2604" s="79" t="n">
        <x:f>IF(U2604&gt;0,V2604/U2604,0)</x:f>
        <x:v>0.2731013937433824</x:v>
      </x:c>
      <x:c r="X2604" s="80" t="n">
        <x:f>W2604*('Inputs'!$B$6-AC2604)</x:f>
        <x:v>272980371.2881965</x:v>
      </x:c>
      <x:c r="Y2604" s="80" t="n">
        <x:f>2*V2604</x:f>
        <x:v>292587.3490585305</x:v>
      </x:c>
      <x:c r="Z2604" s="80" t="n">
        <x:f>K2604*'Inputs'!$B$16+(G2604+R2604)*J2604*'Inputs'!$B$16</x:f>
        <x:v>6102.561416071304</x:v>
      </x:c>
      <x:c r="AA2604" s="80" t="n">
        <x:f>K2604*(1+'Inputs'!$E$51)/2*'Inputs'!$B$17</x:f>
        <x:v>2117.4598680016165</x:v>
      </x:c>
      <x:c r="AB2604" s="78" t="n">
        <x:f>(IF(J2604&gt;0,K2604*(1-'Inputs'!$E$51)/2/J2604,0)+G2604+R2604)*'Inputs'!$B$17</x:f>
        <x:v>7038.137367450768</x:v>
      </x:c>
      <x:c r="AC2604" s="78" t="n">
        <x:f>AC2603+AB2604</x:f>
        <x:v>443141.11153739865</x:v>
      </x:c>
      <x:c r="AD2604" s="80" t="n">
        <x:f>Z2604/(1+'Inputs'!$C$51)</x:f>
        <x:v>2034.1871386904347</x:v>
      </x:c>
      <x:c r="AE2604" s="80" t="n">
        <x:f>Z2604-AD2604</x:f>
        <x:v>4068.374277380869</x:v>
      </x:c>
      <x:c r="AF2604" s="80" t="n">
        <x:f>D2604*W2604</x:f>
        <x:v>81601.98153882365</x:v>
      </x:c>
      <x:c r="AG2604" s="80" t="n">
        <x:f>C2604*W2604</x:f>
        <x:v>190404.6235905897</x:v>
      </x:c>
      <x:c r="AH2604" s="80" t="n">
        <x:f>2*'Inputs'!$B$8*'Inputs'!$C$51</x:f>
        <x:v>10000</x:v>
      </x:c>
      <x:c r="AI2604" s="81" t="n">
        <x:f>IF(AH2604&gt;0,(AE2604+AF2604)/AH2604*365,0)</x:f>
        <x:v>3126.9679872914644</x:v>
      </x:c>
      <x:c r="AJ2604" s="81" t="n">
        <x:f>IF('Inputs'!$B$51&gt;0,AG2604/('Inputs'!$B$19*'Inputs'!$B$51)*365,0)</x:f>
        <x:v>6949.768761056524</x:v>
      </x:c>
      <x:c r="AK2604" s="81" t="n">
        <x:f>W2604/MAX($W$2559:W2604)-1</x:f>
        <x:v>-0.7229253492844985</x:v>
      </x:c>
      <x:c r="AL2604" s="83" t="n">
        <x:f>'Inputs'!$B$51</x:f>
        <x:v>1</x:v>
      </x:c>
      <x:c r="AM2604" s="83" t="n">
        <x:f>'Inputs'!$C$51</x:f>
        <x:v>2</x:v>
      </x:c>
      <x:c r="AN2604" s="83" t="n">
        <x:f>'Inputs'!$D$51</x:f>
        <x:v>3</x:v>
      </x:c>
      <x:c r="AO2604" s="81" t="n">
        <x:f>'Inputs'!$E$51</x:f>
        <x:v>0.1</x:v>
      </x:c>
    </x:row>
    <x:row r="2605">
      <x:c r="A2605" s="59" t="str">
        <x:v>High demand</x:v>
      </x:c>
      <x:c r="B2605" s="59" t="n">
        <x:v>47</x:v>
      </x:c>
      <x:c r="C2605" s="78" t="n">
        <x:f>(('Inputs'!$B$29*(3*47*'Inputs'!$B$12-47^2)/(2*'Inputs'!$B$12^2))-('Inputs'!$B$29*(3*46*'Inputs'!$B$12-46^2)/(2*'Inputs'!$B$12^2)))*'Inputs'!$B$51</x:f>
        <x:v>696868.7840120085</x:v>
      </x:c>
      <x:c r="D2605" s="78" t="n">
        <x:f>IF('Inputs'!$C$51&gt;0,('Inputs'!$B$30*(3*47*'Inputs'!$B$12-47^2)/(2*'Inputs'!$B$12^2))-('Inputs'!$B$30*(3*46*'Inputs'!$B$12-46^2)/(2*'Inputs'!$B$12^2)),0)</x:f>
        <x:v>298658.0502908621</x:v>
      </x:c>
      <x:c r="E2605" s="78" t="n">
        <x:f>C2605+D2605</x:f>
        <x:v>995526.8343028706</x:v>
      </x:c>
      <x:c r="F2605" s="78" t="n">
        <x:f>'Inputs'!$B$13*E2605+(1-'Inputs'!$B$13)/'Inputs'!$B$14*SUM(E2559:E2605)</x:f>
        <x:v>874702.8054043907</x:v>
      </x:c>
      <x:c r="G2605" s="78" t="n">
        <x:f>F2605*'Inputs'!$F$51</x:f>
        <x:v>218675.70135109767</x:v>
      </x:c>
      <x:c r="H2605" s="78" t="n">
        <x:f>U2604</x:f>
        <x:v>535675.3128353823</x:v>
      </x:c>
      <x:c r="I2605" s="78" t="n">
        <x:f>V2604</x:f>
        <x:v>146293.67452926526</x:v>
      </x:c>
      <x:c r="J2605" s="79" t="n">
        <x:f>IF(H2605&gt;0,I2605/H2605,0)</x:f>
        <x:v>0.2731013937433824</x:v>
      </x:c>
      <x:c r="K2605" s="80" t="n">
        <x:f>(H2605*J2605+I2605)*'Inputs'!$D$51*(1+'Inputs'!$G$51)^(B2605/30)</x:f>
        <x:v>947487.234350252</x:v>
      </x:c>
      <x:c r="L2605" s="80" t="n">
        <x:f>MAX(0,K2605*'Inputs'!$E$51)</x:f>
        <x:v>94748.7234350252</x:v>
      </x:c>
      <x:c r="M2605" s="80" t="n">
        <x:f>MAX(0,-K2605*'Inputs'!$E$51)</x:f>
        <x:v>0</x:v>
      </x:c>
      <x:c r="N2605" s="78" t="n">
        <x:f>H2605*(L2605*(1-'Inputs'!$B$15))/(I2605+L2605*(1-'Inputs'!$B$15))</x:f>
        <x:v>209279.76521193396</x:v>
      </x:c>
      <x:c r="O2605" s="78" t="n">
        <x:f>H2605-N2605</x:f>
        <x:v>326395.5476234483</x:v>
      </x:c>
      <x:c r="P2605" s="78" t="n">
        <x:f>I2605+L2605*(1-'Inputs'!$B$17)</x:f>
        <x:v>240661.11537501472</x:v>
      </x:c>
      <x:c r="Q2605" s="78" t="n">
        <x:f>IF(J2605&gt;0,M2605/J2605,0)</x:f>
        <x:v>0</x:v>
      </x:c>
      <x:c r="R2605" s="78" t="n">
        <x:f>IF(B2605='Inputs'!$H$51,'Inputs'!$B$27*'Inputs'!$I$51,0)</x:f>
        <x:v>0</x:v>
      </x:c>
      <x:c r="S2605" s="78" t="n">
        <x:f>Q2605+G2605+R2605</x:f>
        <x:v>218675.70135109767</x:v>
      </x:c>
      <x:c r="T2605" s="78" t="n">
        <x:f>P2605*(S2605*(1-'Inputs'!$B$15))/(O2605+S2605*(1-'Inputs'!$B$15))</x:f>
        <x:v>95969.71654585881</x:v>
      </x:c>
      <x:c r="U2605" s="78" t="n">
        <x:f>O2605+S2605*(1-'Inputs'!$B$17)</x:f>
        <x:v>544191.2662729318</x:v>
      </x:c>
      <x:c r="V2605" s="78" t="n">
        <x:f>P2605-T2605</x:f>
        <x:v>144691.3988291559</x:v>
      </x:c>
      <x:c r="W2605" s="79" t="n">
        <x:f>IF(U2605&gt;0,V2605/U2605,0)</x:f>
        <x:v>0.265883353513042</x:v>
      </x:c>
      <x:c r="X2605" s="80" t="n">
        <x:f>W2605*('Inputs'!$B$6-AC2605)</x:f>
        <x:v>265763625.2714822</x:v>
      </x:c>
      <x:c r="Y2605" s="80" t="n">
        <x:f>2*V2605</x:f>
        <x:v>289382.7976583118</x:v>
      </x:c>
      <x:c r="Z2605" s="80" t="n">
        <x:f>K2605*'Inputs'!$B$16+(G2605+R2605)*J2605*'Inputs'!$B$16</x:f>
        <x:v>6043.24723900229</x:v>
      </x:c>
      <x:c r="AA2605" s="80" t="n">
        <x:f>K2605*(1+'Inputs'!$E$51)/2*'Inputs'!$B$17</x:f>
        <x:v>2097.0542410166545</x:v>
      </x:c>
      <x:c r="AB2605" s="78" t="n">
        <x:f>(IF(J2605&gt;0,K2605*(1-'Inputs'!$E$51)/2/J2605,0)+G2605+R2605)*'Inputs'!$B$17</x:f>
        <x:v>7162.52717428385</x:v>
      </x:c>
      <x:c r="AC2605" s="78" t="n">
        <x:f>AC2604+AB2605</x:f>
        <x:v>450303.6387116825</x:v>
      </x:c>
      <x:c r="AD2605" s="80" t="n">
        <x:f>Z2605/(1+'Inputs'!$C$51)</x:f>
        <x:v>2014.4157463340969</x:v>
      </x:c>
      <x:c r="AE2605" s="80" t="n">
        <x:f>Z2605-AD2605</x:f>
        <x:v>4028.8314926681933</x:v>
      </x:c>
      <x:c r="AF2605" s="80" t="n">
        <x:f>D2605*W2605</x:f>
        <x:v>79408.20396500116</x:v>
      </x:c>
      <x:c r="AG2605" s="80" t="n">
        <x:f>C2605*W2605</x:f>
        <x:v>185285.80925166854</x:v>
      </x:c>
      <x:c r="AH2605" s="80" t="n">
        <x:f>2*'Inputs'!$B$8*'Inputs'!$C$51</x:f>
        <x:v>10000</x:v>
      </x:c>
      <x:c r="AI2605" s="81" t="n">
        <x:f>IF(AH2605&gt;0,(AE2605+AF2605)/AH2605*365,0)</x:f>
        <x:v>3045.4517942049315</x:v>
      </x:c>
      <x:c r="AJ2605" s="81" t="n">
        <x:f>IF('Inputs'!$B$51&gt;0,AG2605/('Inputs'!$B$19*'Inputs'!$B$51)*365,0)</x:f>
        <x:v>6762.932037685901</x:v>
      </x:c>
      <x:c r="AK2605" s="81" t="n">
        <x:f>W2605/MAX($W$2559:W2605)-1</x:f>
        <x:v>-0.7302484022658802</x:v>
      </x:c>
      <x:c r="AL2605" s="83" t="n">
        <x:f>'Inputs'!$B$51</x:f>
        <x:v>1</x:v>
      </x:c>
      <x:c r="AM2605" s="83" t="n">
        <x:f>'Inputs'!$C$51</x:f>
        <x:v>2</x:v>
      </x:c>
      <x:c r="AN2605" s="83" t="n">
        <x:f>'Inputs'!$D$51</x:f>
        <x:v>3</x:v>
      </x:c>
      <x:c r="AO2605" s="81" t="n">
        <x:f>'Inputs'!$E$51</x:f>
        <x:v>0.1</x:v>
      </x:c>
    </x:row>
    <x:row r="2606">
      <x:c r="A2606" s="59" t="str">
        <x:v>High demand</x:v>
      </x:c>
      <x:c r="B2606" s="59" t="n">
        <x:v>48</x:v>
      </x:c>
      <x:c r="C2606" s="78" t="n">
        <x:f>(('Inputs'!$B$29*(3*48*'Inputs'!$B$12-48^2)/(2*'Inputs'!$B$12^2))-('Inputs'!$B$29*(3*47*'Inputs'!$B$12-47^2)/(2*'Inputs'!$B$12^2)))*'Inputs'!$B$51</x:f>
        <x:v>696543.6761118434</x:v>
      </x:c>
      <x:c r="D2606" s="78" t="n">
        <x:f>IF('Inputs'!$C$51&gt;0,('Inputs'!$B$30*(3*48*'Inputs'!$B$12-48^2)/(2*'Inputs'!$B$12^2))-('Inputs'!$B$30*(3*47*'Inputs'!$B$12-47^2)/(2*'Inputs'!$B$12^2)),0)</x:f>
        <x:v>298518.71833364666</x:v>
      </x:c>
      <x:c r="E2606" s="78" t="n">
        <x:f>C2606+D2606</x:f>
        <x:v>995062.3944454901</x:v>
      </x:c>
      <x:c r="F2606" s="78" t="n">
        <x:f>'Inputs'!$B$13*E2606+(1-'Inputs'!$B$13)/'Inputs'!$B$14*SUM(E2559:E2606)</x:f>
        <x:v>888825.0944964217</x:v>
      </x:c>
      <x:c r="G2606" s="78" t="n">
        <x:f>F2606*'Inputs'!$F$51</x:f>
        <x:v>222206.27362410544</x:v>
      </x:c>
      <x:c r="H2606" s="78" t="n">
        <x:f>U2605</x:f>
        <x:v>544191.2662729318</x:v>
      </x:c>
      <x:c r="I2606" s="78" t="n">
        <x:f>V2605</x:f>
        <x:v>144691.3988291559</x:v>
      </x:c>
      <x:c r="J2606" s="79" t="n">
        <x:f>IF(H2606&gt;0,I2606/H2606,0)</x:f>
        <x:v>0.265883353513042</x:v>
      </x:c>
      <x:c r="K2606" s="80" t="n">
        <x:f>(H2606*J2606+I2606)*'Inputs'!$D$51*(1+'Inputs'!$G$51)^(B2606/30)</x:f>
        <x:v>938635.2160012877</x:v>
      </x:c>
      <x:c r="L2606" s="80" t="n">
        <x:f>MAX(0,K2606*'Inputs'!$E$51)</x:f>
        <x:v>93863.52160012878</x:v>
      </x:c>
      <x:c r="M2606" s="80" t="n">
        <x:f>MAX(0,-K2606*'Inputs'!$E$51)</x:f>
        <x:v>0</x:v>
      </x:c>
      <x:c r="N2606" s="78" t="n">
        <x:f>H2606*(L2606*(1-'Inputs'!$B$15))/(I2606+L2606*(1-'Inputs'!$B$15))</x:f>
        <x:v>212817.53287345695</x:v>
      </x:c>
      <x:c r="O2606" s="78" t="n">
        <x:f>H2606-N2606</x:f>
        <x:v>331373.7333994749</x:v>
      </x:c>
      <x:c r="P2606" s="78" t="n">
        <x:f>I2606+L2606*(1-'Inputs'!$B$17)</x:f>
        <x:v>238177.20002043102</x:v>
      </x:c>
      <x:c r="Q2606" s="78" t="n">
        <x:f>IF(J2606&gt;0,M2606/J2606,0)</x:f>
        <x:v>0</x:v>
      </x:c>
      <x:c r="R2606" s="78" t="n">
        <x:f>IF(B2606='Inputs'!$H$51,'Inputs'!$B$27*'Inputs'!$I$51,0)</x:f>
        <x:v>0</x:v>
      </x:c>
      <x:c r="S2606" s="78" t="n">
        <x:f>Q2606+G2606+R2606</x:f>
        <x:v>222206.27362410544</x:v>
      </x:c>
      <x:c r="T2606" s="78" t="n">
        <x:f>P2606*(S2606*(1-'Inputs'!$B$15))/(O2606+S2606*(1-'Inputs'!$B$15))</x:f>
        <x:v>95029.41590095214</x:v>
      </x:c>
      <x:c r="U2606" s="78" t="n">
        <x:f>O2606+S2606*(1-'Inputs'!$B$17)</x:f>
        <x:v>552685.8167876684</x:v>
      </x:c>
      <x:c r="V2606" s="78" t="n">
        <x:f>P2606-T2606</x:f>
        <x:v>143147.7841194789</x:v>
      </x:c>
      <x:c r="W2606" s="79" t="n">
        <x:f>IF(U2606&gt;0,V2606/U2606,0)</x:f>
        <x:v>0.2590039037938142</x:v>
      </x:c>
      <x:c r="X2606" s="80" t="n">
        <x:f>W2606*('Inputs'!$B$6-AC2606)</x:f>
        <x:v>258885386.03191066</x:v>
      </x:c>
      <x:c r="Y2606" s="80" t="n">
        <x:f>2*V2606</x:f>
        <x:v>286295.5682389578</x:v>
      </x:c>
      <x:c r="Z2606" s="80" t="n">
        <x:f>K2606*'Inputs'!$B$16+(G2606+R2606)*J2606*'Inputs'!$B$16</x:f>
        <x:v>5986.296991224609</x:v>
      </x:c>
      <x:c r="AA2606" s="80" t="n">
        <x:f>K2606*(1+'Inputs'!$E$51)/2*'Inputs'!$B$17</x:f>
        <x:v>2077.4622486950034</x:v>
      </x:c>
      <x:c r="AB2606" s="78" t="n">
        <x:f>(IF(J2606&gt;0,K2606*(1-'Inputs'!$E$51)/2/J2606,0)+G2606+R2606)*'Inputs'!$B$17</x:f>
        <x:v>7287.00053179223</x:v>
      </x:c>
      <x:c r="AC2606" s="78" t="n">
        <x:f>AC2605+AB2606</x:f>
        <x:v>457590.63924347475</x:v>
      </x:c>
      <x:c r="AD2606" s="80" t="n">
        <x:f>Z2606/(1+'Inputs'!$C$51)</x:f>
        <x:v>1995.432330408203</x:v>
      </x:c>
      <x:c r="AE2606" s="80" t="n">
        <x:f>Z2606-AD2606</x:f>
        <x:v>3990.8646608164063</x:v>
      </x:c>
      <x:c r="AF2606" s="80" t="n">
        <x:f>D2606*W2606</x:f>
        <x:v>77317.51340394054</x:v>
      </x:c>
      <x:c r="AG2606" s="80" t="n">
        <x:f>C2606*W2606</x:f>
        <x:v>180407.53127586158</x:v>
      </x:c>
      <x:c r="AH2606" s="80" t="n">
        <x:f>2*'Inputs'!$B$8*'Inputs'!$C$51</x:f>
        <x:v>10000</x:v>
      </x:c>
      <x:c r="AI2606" s="81" t="n">
        <x:f>IF(AH2606&gt;0,(AE2606+AF2606)/AH2606*365,0)</x:f>
        <x:v>2967.7557993636287</x:v>
      </x:c>
      <x:c r="AJ2606" s="81" t="n">
        <x:f>IF('Inputs'!$B$51&gt;0,AG2606/('Inputs'!$B$19*'Inputs'!$B$51)*365,0)</x:f>
        <x:v>6584.8748915689475</x:v>
      </x:c>
      <x:c r="AK2606" s="81" t="n">
        <x:f>W2606/MAX($W$2559:W2606)-1</x:f>
        <x:v>-0.7372279387008387</x:v>
      </x:c>
      <x:c r="AL2606" s="83" t="n">
        <x:f>'Inputs'!$B$51</x:f>
        <x:v>1</x:v>
      </x:c>
      <x:c r="AM2606" s="83" t="n">
        <x:f>'Inputs'!$C$51</x:f>
        <x:v>2</x:v>
      </x:c>
      <x:c r="AN2606" s="83" t="n">
        <x:f>'Inputs'!$D$51</x:f>
        <x:v>3</x:v>
      </x:c>
      <x:c r="AO2606" s="81" t="n">
        <x:f>'Inputs'!$E$51</x:f>
        <x:v>0.1</x:v>
      </x:c>
    </x:row>
    <x:row r="2607">
      <x:c r="A2607" s="59" t="str">
        <x:v>High demand</x:v>
      </x:c>
      <x:c r="B2607" s="59" t="n">
        <x:v>49</x:v>
      </x:c>
      <x:c r="C2607" s="78" t="n">
        <x:f>(('Inputs'!$B$29*(3*49*'Inputs'!$B$12-49^2)/(2*'Inputs'!$B$12^2))-('Inputs'!$B$29*(3*48*'Inputs'!$B$12-48^2)/(2*'Inputs'!$B$12^2)))*'Inputs'!$B$51</x:f>
        <x:v>696218.5682116672</x:v>
      </x:c>
      <x:c r="D2607" s="78" t="n">
        <x:f>IF('Inputs'!$C$51&gt;0,('Inputs'!$B$30*(3*49*'Inputs'!$B$12-49^2)/(2*'Inputs'!$B$12^2))-('Inputs'!$B$30*(3*48*'Inputs'!$B$12-48^2)/(2*'Inputs'!$B$12^2)),0)</x:f>
        <x:v>298379.3863764312</x:v>
      </x:c>
      <x:c r="E2607" s="78" t="n">
        <x:f>C2607+D2607</x:f>
        <x:v>994597.9545880985</x:v>
      </x:c>
      <x:c r="F2607" s="78" t="n">
        <x:f>'Inputs'!$B$13*E2607+(1-'Inputs'!$B$13)/'Inputs'!$B$14*SUM(E2559:E2607)</x:f>
        <x:v>902940.7487333447</x:v>
      </x:c>
      <x:c r="G2607" s="78" t="n">
        <x:f>F2607*'Inputs'!$F$51</x:f>
        <x:v>225735.18718333618</x:v>
      </x:c>
      <x:c r="H2607" s="78" t="n">
        <x:f>U2606</x:f>
        <x:v>552685.8167876684</x:v>
      </x:c>
      <x:c r="I2607" s="78" t="n">
        <x:f>V2606</x:f>
        <x:v>143147.7841194789</x:v>
      </x:c>
      <x:c r="J2607" s="79" t="n">
        <x:f>IF(H2607&gt;0,I2607/H2607,0)</x:f>
        <x:v>0.2590039037938142</x:v>
      </x:c>
      <x:c r="K2607" s="80" t="n">
        <x:f>(H2607*J2607+I2607)*'Inputs'!$D$51*(1+'Inputs'!$G$51)^(B2607/30)</x:f>
        <x:v>930133.0335065247</x:v>
      </x:c>
      <x:c r="L2607" s="80" t="n">
        <x:f>MAX(0,K2607*'Inputs'!$E$51)</x:f>
        <x:v>93013.30335065248</x:v>
      </x:c>
      <x:c r="M2607" s="80" t="n">
        <x:f>MAX(0,-K2607*'Inputs'!$E$51)</x:f>
        <x:v>0</x:v>
      </x:c>
      <x:c r="N2607" s="78" t="n">
        <x:f>H2607*(L2607*(1-'Inputs'!$B$15))/(I2607+L2607*(1-'Inputs'!$B$15))</x:f>
        <x:v>216353.5930932986</x:v>
      </x:c>
      <x:c r="O2607" s="78" t="n">
        <x:f>H2607-N2607</x:f>
        <x:v>336332.2236943698</x:v>
      </x:c>
      <x:c r="P2607" s="78" t="n">
        <x:f>I2607+L2607*(1-'Inputs'!$B$17)</x:f>
        <x:v>235786.78846268408</x:v>
      </x:c>
      <x:c r="Q2607" s="78" t="n">
        <x:f>IF(J2607&gt;0,M2607/J2607,0)</x:f>
        <x:v>0</x:v>
      </x:c>
      <x:c r="R2607" s="78" t="n">
        <x:f>IF(B2607='Inputs'!$H$51,'Inputs'!$B$27*'Inputs'!$I$51,0)</x:f>
        <x:v>0</x:v>
      </x:c>
      <x:c r="S2607" s="78" t="n">
        <x:f>Q2607+G2607+R2607</x:f>
        <x:v>225735.18718333618</x:v>
      </x:c>
      <x:c r="T2607" s="78" t="n">
        <x:f>P2607*(S2607*(1-'Inputs'!$B$15))/(O2607+S2607*(1-'Inputs'!$B$15))</x:f>
        <x:v>94126.78502823957</x:v>
      </x:c>
      <x:c r="U2607" s="78" t="n">
        <x:f>O2607+S2607*(1-'Inputs'!$B$17)</x:f>
        <x:v>561159.0197824008</x:v>
      </x:c>
      <x:c r="V2607" s="78" t="n">
        <x:f>P2607-T2607</x:f>
        <x:v>141660.00343444452</x:v>
      </x:c>
      <x:c r="W2607" s="79" t="n">
        <x:f>IF(U2607&gt;0,V2607/U2607,0)</x:f>
        <x:v>0.2524418185229842</x:v>
      </x:c>
      <x:c r="X2607" s="80" t="n">
        <x:f>W2607*('Inputs'!$B$6-AC2607)</x:f>
        <x:v>252324432.52277464</x:v>
      </x:c>
      <x:c r="Y2607" s="80" t="n">
        <x:f>2*V2607</x:f>
        <x:v>283320.00686888903</x:v>
      </x:c>
      <x:c r="Z2607" s="80" t="n">
        <x:f>K2607*'Inputs'!$B$16+(G2607+R2607)*J2607*'Inputs'!$B$16</x:f>
        <x:v>5931.595969263817</x:v>
      </x:c>
      <x:c r="AA2607" s="80" t="n">
        <x:f>K2607*(1+'Inputs'!$E$51)/2*'Inputs'!$B$17</x:f>
        <x:v>2058.6445409601156</x:v>
      </x:c>
      <x:c r="AB2607" s="78" t="n">
        <x:f>(IF(J2607&gt;0,K2607*(1-'Inputs'!$E$51)/2/J2607,0)+G2607+R2607)*'Inputs'!$B$17</x:f>
        <x:v>7411.55768407475</x:v>
      </x:c>
      <x:c r="AC2607" s="78" t="n">
        <x:f>AC2606+AB2607</x:f>
        <x:v>465002.1969275495</x:v>
      </x:c>
      <x:c r="AD2607" s="80" t="n">
        <x:f>Z2607/(1+'Inputs'!$C$51)</x:f>
        <x:v>1977.1986564212723</x:v>
      </x:c>
      <x:c r="AE2607" s="80" t="n">
        <x:f>Z2607-AD2607</x:f>
        <x:v>3954.397312842545</x:v>
      </x:c>
      <x:c r="AF2607" s="80" t="n">
        <x:f>D2607*W2607</x:f>
        <x:v>75323.43490663843</x:v>
      </x:c>
      <x:c r="AG2607" s="80" t="n">
        <x:f>C2607*W2607</x:f>
        <x:v>175754.6814488216</x:v>
      </x:c>
      <x:c r="AH2607" s="80" t="n">
        <x:f>2*'Inputs'!$B$8*'Inputs'!$C$51</x:f>
        <x:v>10000</x:v>
      </x:c>
      <x:c r="AI2607" s="81" t="n">
        <x:f>IF(AH2607&gt;0,(AE2607+AF2607)/AH2607*365,0)</x:f>
        <x:v>2893.6408760110553</x:v>
      </x:c>
      <x:c r="AJ2607" s="81" t="n">
        <x:f>IF('Inputs'!$B$51&gt;0,AG2607/('Inputs'!$B$19*'Inputs'!$B$51)*365,0)</x:f>
        <x:v>6415.045872881988</x:v>
      </x:c>
      <x:c r="AK2607" s="81" t="n">
        <x:f>W2607/MAX($W$2559:W2607)-1</x:f>
        <x:v>-0.7438854934626757</x:v>
      </x:c>
      <x:c r="AL2607" s="83" t="n">
        <x:f>'Inputs'!$B$51</x:f>
        <x:v>1</x:v>
      </x:c>
      <x:c r="AM2607" s="83" t="n">
        <x:f>'Inputs'!$C$51</x:f>
        <x:v>2</x:v>
      </x:c>
      <x:c r="AN2607" s="83" t="n">
        <x:f>'Inputs'!$D$51</x:f>
        <x:v>3</x:v>
      </x:c>
      <x:c r="AO2607" s="81" t="n">
        <x:f>'Inputs'!$E$51</x:f>
        <x:v>0.1</x:v>
      </x:c>
    </x:row>
    <x:row r="2608">
      <x:c r="A2608" s="59" t="str">
        <x:v>High demand</x:v>
      </x:c>
      <x:c r="B2608" s="59" t="n">
        <x:v>50</x:v>
      </x:c>
      <x:c r="C2608" s="78" t="n">
        <x:f>(('Inputs'!$B$29*(3*50*'Inputs'!$B$12-50^2)/(2*'Inputs'!$B$12^2))-('Inputs'!$B$29*(3*49*'Inputs'!$B$12-49^2)/(2*'Inputs'!$B$12^2)))*'Inputs'!$B$51</x:f>
        <x:v>695893.4603115022</x:v>
      </x:c>
      <x:c r="D2608" s="78" t="n">
        <x:f>IF('Inputs'!$C$51&gt;0,('Inputs'!$B$30*(3*50*'Inputs'!$B$12-50^2)/(2*'Inputs'!$B$12^2))-('Inputs'!$B$30*(3*49*'Inputs'!$B$12-49^2)/(2*'Inputs'!$B$12^2)),0)</x:f>
        <x:v>298240.0544192139</x:v>
      </x:c>
      <x:c r="E2608" s="78" t="n">
        <x:f>C2608+D2608</x:f>
        <x:v>994133.5147307161</x:v>
      </x:c>
      <x:c r="F2608" s="78" t="n">
        <x:f>'Inputs'!$B$13*E2608+(1-'Inputs'!$B$13)/'Inputs'!$B$14*SUM(E2559:E2608)</x:f>
        <x:v>917049.7681151642</x:v>
      </x:c>
      <x:c r="G2608" s="78" t="n">
        <x:f>F2608*'Inputs'!$F$51</x:f>
        <x:v>229262.44202879106</x:v>
      </x:c>
      <x:c r="H2608" s="78" t="n">
        <x:f>U2607</x:f>
        <x:v>561159.0197824008</x:v>
      </x:c>
      <x:c r="I2608" s="78" t="n">
        <x:f>V2607</x:f>
        <x:v>141660.00343444452</x:v>
      </x:c>
      <x:c r="J2608" s="79" t="n">
        <x:f>IF(H2608&gt;0,I2608/H2608,0)</x:f>
        <x:v>0.2524418185229842</x:v>
      </x:c>
      <x:c r="K2608" s="80" t="n">
        <x:f>(H2608*J2608+I2608)*'Inputs'!$D$51*(1+'Inputs'!$G$51)^(B2608/30)</x:f>
        <x:v>921964.0708428365</x:v>
      </x:c>
      <x:c r="L2608" s="80" t="n">
        <x:f>MAX(0,K2608*'Inputs'!$E$51)</x:f>
        <x:v>92196.40708428365</x:v>
      </x:c>
      <x:c r="M2608" s="80" t="n">
        <x:f>MAX(0,-K2608*'Inputs'!$E$51)</x:f>
        <x:v>0</x:v>
      </x:c>
      <x:c r="N2608" s="78" t="n">
        <x:f>H2608*(L2608*(1-'Inputs'!$B$15))/(I2608+L2608*(1-'Inputs'!$B$15))</x:f>
        <x:v>219887.9459593643</x:v>
      </x:c>
      <x:c r="O2608" s="78" t="n">
        <x:f>H2608-N2608</x:f>
        <x:v>341271.0738230365</x:v>
      </x:c>
      <x:c r="P2608" s="78" t="n">
        <x:f>I2608+L2608*(1-'Inputs'!$B$17)</x:f>
        <x:v>233485.39882019986</x:v>
      </x:c>
      <x:c r="Q2608" s="78" t="n">
        <x:f>IF(J2608&gt;0,M2608/J2608,0)</x:f>
        <x:v>0</x:v>
      </x:c>
      <x:c r="R2608" s="78" t="n">
        <x:f>IF(B2608='Inputs'!$H$51,'Inputs'!$B$27*'Inputs'!$I$51,0)</x:f>
        <x:v>0</x:v>
      </x:c>
      <x:c r="S2608" s="78" t="n">
        <x:f>Q2608+G2608+R2608</x:f>
        <x:v>229262.44202879106</x:v>
      </x:c>
      <x:c r="T2608" s="78" t="n">
        <x:f>P2608*(S2608*(1-'Inputs'!$B$15))/(O2608+S2608*(1-'Inputs'!$B$15))</x:f>
        <x:v>93259.98741654091</x:v>
      </x:c>
      <x:c r="U2608" s="78" t="n">
        <x:f>O2608+S2608*(1-'Inputs'!$B$17)</x:f>
        <x:v>569610.9305720336</x:v>
      </x:c>
      <x:c r="V2608" s="78" t="n">
        <x:f>P2608-T2608</x:f>
        <x:v>140225.41140365895</x:v>
      </x:c>
      <x:c r="W2608" s="79" t="n">
        <x:f>IF(U2608&gt;0,V2608/U2608,0)</x:f>
        <x:v>0.2461775290422133</x:v>
      </x:c>
      <x:c r="X2608" s="80" t="n">
        <x:f>W2608*('Inputs'!$B$6-AC2608)</x:f>
        <x:v>246061200.70755666</x:v>
      </x:c>
      <x:c r="Y2608" s="80" t="n">
        <x:f>2*V2608</x:f>
        <x:v>280450.8228073179</x:v>
      </x:c>
      <x:c r="Z2608" s="80" t="n">
        <x:f>K2608*'Inputs'!$B$16+(G2608+R2608)*J2608*'Inputs'!$B$16</x:f>
        <x:v>5879.036991765628</x:v>
      </x:c>
      <x:c r="AA2608" s="80" t="n">
        <x:f>K2608*(1+'Inputs'!$E$51)/2*'Inputs'!$B$17</x:f>
        <x:v>2040.5643419056748</x:v>
      </x:c>
      <x:c r="AB2608" s="78" t="n">
        <x:f>(IF(J2608&gt;0,K2608*(1-'Inputs'!$E$51)/2/J2608,0)+G2608+R2608)*'Inputs'!$B$17</x:f>
        <x:v>7536.19887656558</x:v>
      </x:c>
      <x:c r="AC2608" s="78" t="n">
        <x:f>AC2607+AB2608</x:f>
        <x:v>472538.39580411505</x:v>
      </x:c>
      <x:c r="AD2608" s="80" t="n">
        <x:f>Z2608/(1+'Inputs'!$C$51)</x:f>
        <x:v>1959.6789972552094</x:v>
      </x:c>
      <x:c r="AE2608" s="80" t="n">
        <x:f>Z2608-AD2608</x:f>
        <x:v>3919.3579945104184</x:v>
      </x:c>
      <x:c r="AF2608" s="80" t="n">
        <x:f>D2608*W2608</x:f>
        <x:v>73419.9996583373</x:v>
      </x:c>
      <x:c r="AG2608" s="80" t="n">
        <x:f>C2608*W2608</x:f>
        <x:v>171313.33253612113</x:v>
      </x:c>
      <x:c r="AH2608" s="80" t="n">
        <x:f>2*'Inputs'!$B$8*'Inputs'!$C$51</x:f>
        <x:v>10000</x:v>
      </x:c>
      <x:c r="AI2608" s="81" t="n">
        <x:f>IF(AH2608&gt;0,(AE2608+AF2608)/AH2608*365,0)</x:f>
        <x:v>2822.8865543289417</x:v>
      </x:c>
      <x:c r="AJ2608" s="81" t="n">
        <x:f>IF('Inputs'!$B$51&gt;0,AG2608/('Inputs'!$B$19*'Inputs'!$B$51)*365,0)</x:f>
        <x:v>6252.936637568421</x:v>
      </x:c>
      <x:c r="AK2608" s="81" t="n">
        <x:f>W2608/MAX($W$2559:W2608)-1</x:f>
        <x:v>-0.7502409199073181</x:v>
      </x:c>
      <x:c r="AL2608" s="83" t="n">
        <x:f>'Inputs'!$B$51</x:f>
        <x:v>1</x:v>
      </x:c>
      <x:c r="AM2608" s="83" t="n">
        <x:f>'Inputs'!$C$51</x:f>
        <x:v>2</x:v>
      </x:c>
      <x:c r="AN2608" s="83" t="n">
        <x:f>'Inputs'!$D$51</x:f>
        <x:v>3</x:v>
      </x:c>
      <x:c r="AO2608" s="81" t="n">
        <x:f>'Inputs'!$E$51</x:f>
        <x:v>0.1</x:v>
      </x:c>
    </x:row>
    <x:row r="2609">
      <x:c r="A2609" s="59" t="str">
        <x:v>High demand</x:v>
      </x:c>
      <x:c r="B2609" s="59" t="n">
        <x:v>51</x:v>
      </x:c>
      <x:c r="C2609" s="78" t="n">
        <x:f>(('Inputs'!$B$29*(3*51*'Inputs'!$B$12-51^2)/(2*'Inputs'!$B$12^2))-('Inputs'!$B$29*(3*50*'Inputs'!$B$12-50^2)/(2*'Inputs'!$B$12^2)))*'Inputs'!$B$51</x:f>
        <x:v>695568.3524113372</x:v>
      </x:c>
      <x:c r="D2609" s="78" t="n">
        <x:f>IF('Inputs'!$C$51&gt;0,('Inputs'!$B$30*(3*51*'Inputs'!$B$12-51^2)/(2*'Inputs'!$B$12^2))-('Inputs'!$B$30*(3*50*'Inputs'!$B$12-50^2)/(2*'Inputs'!$B$12^2)),0)</x:f>
        <x:v>298100.7224620003</x:v>
      </x:c>
      <x:c r="E2609" s="78" t="n">
        <x:f>C2609+D2609</x:f>
        <x:v>993669.0748733375</x:v>
      </x:c>
      <x:c r="F2609" s="78" t="n">
        <x:f>'Inputs'!$B$13*E2609+(1-'Inputs'!$B$13)/'Inputs'!$B$14*SUM(E2559:E2609)</x:f>
        <x:v>931152.152641879</x:v>
      </x:c>
      <x:c r="G2609" s="78" t="n">
        <x:f>F2609*'Inputs'!$F$51</x:f>
        <x:v>232788.03816046976</x:v>
      </x:c>
      <x:c r="H2609" s="78" t="n">
        <x:f>U2608</x:f>
        <x:v>569610.9305720336</x:v>
      </x:c>
      <x:c r="I2609" s="78" t="n">
        <x:f>V2608</x:f>
        <x:v>140225.41140365895</x:v>
      </x:c>
      <x:c r="J2609" s="79" t="n">
        <x:f>IF(H2609&gt;0,I2609/H2609,0)</x:f>
        <x:v>0.2461775290422133</x:v>
      </x:c>
      <x:c r="K2609" s="80" t="n">
        <x:f>(H2609*J2609+I2609)*'Inputs'!$D$51*(1+'Inputs'!$G$51)^(B2609/30)</x:f>
        <x:v>914112.7818845883</x:v>
      </x:c>
      <x:c r="L2609" s="80" t="n">
        <x:f>MAX(0,K2609*'Inputs'!$E$51)</x:f>
        <x:v>91411.27818845883</x:v>
      </x:c>
      <x:c r="M2609" s="80" t="n">
        <x:f>MAX(0,-K2609*'Inputs'!$E$51)</x:f>
        <x:v>0</x:v>
      </x:c>
      <x:c r="N2609" s="78" t="n">
        <x:f>H2609*(L2609*(1-'Inputs'!$B$15))/(I2609+L2609*(1-'Inputs'!$B$15))</x:f>
        <x:v>223420.59157811775</x:v>
      </x:c>
      <x:c r="O2609" s="78" t="n">
        <x:f>H2609-N2609</x:f>
        <x:v>346190.3389939159</x:v>
      </x:c>
      <x:c r="P2609" s="78" t="n">
        <x:f>I2609+L2609*(1-'Inputs'!$B$17)</x:f>
        <x:v>231268.83736600727</x:v>
      </x:c>
      <x:c r="Q2609" s="78" t="n">
        <x:f>IF(J2609&gt;0,M2609/J2609,0)</x:f>
        <x:v>0</x:v>
      </x:c>
      <x:c r="R2609" s="78" t="n">
        <x:f>IF(B2609='Inputs'!$H$51,'Inputs'!$B$27*'Inputs'!$I$51,0)</x:f>
        <x:v>0</x:v>
      </x:c>
      <x:c r="S2609" s="78" t="n">
        <x:f>Q2609+G2609+R2609</x:f>
        <x:v>232788.03816046976</x:v>
      </x:c>
      <x:c r="T2609" s="78" t="n">
        <x:f>P2609*(S2609*(1-'Inputs'!$B$15))/(O2609+S2609*(1-'Inputs'!$B$15))</x:f>
        <x:v>92427.30743663256</x:v>
      </x:c>
      <x:c r="U2609" s="78" t="n">
        <x:f>O2609+S2609*(1-'Inputs'!$B$17)</x:f>
        <x:v>578041.6043650075</x:v>
      </x:c>
      <x:c r="V2609" s="78" t="n">
        <x:f>P2609-T2609</x:f>
        <x:v>138841.5299293747</x:v>
      </x:c>
      <x:c r="W2609" s="79" t="n">
        <x:f>IF(U2609&gt;0,V2609/U2609,0)</x:f>
        <x:v>0.24019297033454093</x:v>
      </x:c>
      <x:c r="X2609" s="80" t="n">
        <x:f>W2609*('Inputs'!$B$6-AC2609)</x:f>
        <x:v>240077629.8334791</x:v>
      </x:c>
      <x:c r="Y2609" s="80" t="n">
        <x:f>2*V2609</x:f>
        <x:v>277683.0598587494</x:v>
      </x:c>
      <x:c r="Z2609" s="80" t="n">
        <x:f>K2609*'Inputs'!$B$16+(G2609+R2609)*J2609*'Inputs'!$B$16</x:f>
        <x:v>5828.519795457103</x:v>
      </x:c>
      <x:c r="AA2609" s="80" t="n">
        <x:f>K2609*(1+'Inputs'!$E$51)/2*'Inputs'!$B$17</x:f>
        <x:v>2023.187243607741</x:v>
      </x:c>
      <x:c r="AB2609" s="78" t="n">
        <x:f>(IF(J2609&gt;0,K2609*(1-'Inputs'!$E$51)/2/J2609,0)+G2609+R2609)*'Inputs'!$B$17</x:f>
        <x:v>7660.9243556788815</x:v>
      </x:c>
      <x:c r="AC2609" s="78" t="n">
        <x:f>AC2608+AB2609</x:f>
        <x:v>480199.32015979395</x:v>
      </x:c>
      <x:c r="AD2609" s="80" t="n">
        <x:f>Z2609/(1+'Inputs'!$C$51)</x:f>
        <x:v>1942.8399318190343</x:v>
      </x:c>
      <x:c r="AE2609" s="80" t="n">
        <x:f>Z2609-AD2609</x:f>
        <x:v>3885.679863638069</x:v>
      </x:c>
      <x:c r="AF2609" s="80" t="n">
        <x:f>D2609*W2609</x:f>
        <x:v>71601.69798702047</x:v>
      </x:c>
      <x:c r="AG2609" s="80" t="n">
        <x:f>C2609*W2609</x:f>
        <x:v>167070.62863638182</x:v>
      </x:c>
      <x:c r="AH2609" s="80" t="n">
        <x:f>2*'Inputs'!$B$8*'Inputs'!$C$51</x:f>
        <x:v>10000</x:v>
      </x:c>
      <x:c r="AI2609" s="81" t="n">
        <x:f>IF(AH2609&gt;0,(AE2609+AF2609)/AH2609*365,0)</x:f>
        <x:v>2755.2892915490365</x:v>
      </x:c>
      <x:c r="AJ2609" s="81" t="n">
        <x:f>IF('Inputs'!$B$51&gt;0,AG2609/('Inputs'!$B$19*'Inputs'!$B$51)*365,0)</x:f>
        <x:v>6098.077945227937</x:v>
      </x:c>
      <x:c r="AK2609" s="81" t="n">
        <x:f>W2609/MAX($W$2559:W2609)-1</x:f>
        <x:v>-0.7563125458733606</x:v>
      </x:c>
      <x:c r="AL2609" s="83" t="n">
        <x:f>'Inputs'!$B$51</x:f>
        <x:v>1</x:v>
      </x:c>
      <x:c r="AM2609" s="83" t="n">
        <x:f>'Inputs'!$C$51</x:f>
        <x:v>2</x:v>
      </x:c>
      <x:c r="AN2609" s="83" t="n">
        <x:f>'Inputs'!$D$51</x:f>
        <x:v>3</x:v>
      </x:c>
      <x:c r="AO2609" s="81" t="n">
        <x:f>'Inputs'!$E$51</x:f>
        <x:v>0.1</x:v>
      </x:c>
    </x:row>
    <x:row r="2610">
      <x:c r="A2610" s="59" t="str">
        <x:v>High demand</x:v>
      </x:c>
      <x:c r="B2610" s="59" t="n">
        <x:v>52</x:v>
      </x:c>
      <x:c r="C2610" s="78" t="n">
        <x:f>(('Inputs'!$B$29*(3*52*'Inputs'!$B$12-52^2)/(2*'Inputs'!$B$12^2))-('Inputs'!$B$29*(3*51*'Inputs'!$B$12-51^2)/(2*'Inputs'!$B$12^2)))*'Inputs'!$B$51</x:f>
        <x:v>695243.2445111647</x:v>
      </x:c>
      <x:c r="D2610" s="78" t="n">
        <x:f>IF('Inputs'!$C$51&gt;0,('Inputs'!$B$30*(3*52*'Inputs'!$B$12-52^2)/(2*'Inputs'!$B$12^2))-('Inputs'!$B$30*(3*51*'Inputs'!$B$12-51^2)/(2*'Inputs'!$B$12^2)),0)</x:f>
        <x:v>297961.39050478674</x:v>
      </x:c>
      <x:c r="E2610" s="78" t="n">
        <x:f>C2610+D2610</x:f>
        <x:v>993204.6350159515</x:v>
      </x:c>
      <x:c r="F2610" s="78" t="n">
        <x:f>'Inputs'!$B$13*E2610+(1-'Inputs'!$B$13)/'Inputs'!$B$14*SUM(E2559:E2610)</x:f>
        <x:v>945247.9023134868</x:v>
      </x:c>
      <x:c r="G2610" s="78" t="n">
        <x:f>F2610*'Inputs'!$F$51</x:f>
        <x:v>236311.9755783717</x:v>
      </x:c>
      <x:c r="H2610" s="78" t="n">
        <x:f>U2609</x:f>
        <x:v>578041.6043650075</x:v>
      </x:c>
      <x:c r="I2610" s="78" t="n">
        <x:f>V2609</x:f>
        <x:v>138841.5299293747</x:v>
      </x:c>
      <x:c r="J2610" s="79" t="n">
        <x:f>IF(H2610&gt;0,I2610/H2610,0)</x:f>
        <x:v>0.24019297033454093</x:v>
      </x:c>
      <x:c r="K2610" s="80" t="n">
        <x:f>(H2610*J2610+I2610)*'Inputs'!$D$51*(1+'Inputs'!$G$51)^(B2610/30)</x:f>
        <x:v>906564.606046133</x:v>
      </x:c>
      <x:c r="L2610" s="80" t="n">
        <x:f>MAX(0,K2610*'Inputs'!$E$51)</x:f>
        <x:v>90656.4606046133</x:v>
      </x:c>
      <x:c r="M2610" s="80" t="n">
        <x:f>MAX(0,-K2610*'Inputs'!$E$51)</x:f>
        <x:v>0</x:v>
      </x:c>
      <x:c r="N2610" s="78" t="n">
        <x:f>H2610*(L2610*(1-'Inputs'!$B$15))/(I2610+L2610*(1-'Inputs'!$B$15))</x:f>
        <x:v>226951.53006726524</x:v>
      </x:c>
      <x:c r="O2610" s="78" t="n">
        <x:f>H2610-N2610</x:f>
        <x:v>351090.0742977422</x:v>
      </x:c>
      <x:c r="P2610" s="78" t="n">
        <x:f>I2610+L2610*(1-'Inputs'!$B$17)</x:f>
        <x:v>229133.1758031847</x:v>
      </x:c>
      <x:c r="Q2610" s="78" t="n">
        <x:f>IF(J2610&gt;0,M2610/J2610,0)</x:f>
        <x:v>0</x:v>
      </x:c>
      <x:c r="R2610" s="78" t="n">
        <x:f>IF(B2610='Inputs'!$H$51,'Inputs'!$B$27*'Inputs'!$I$51,0)</x:f>
        <x:v>0</x:v>
      </x:c>
      <x:c r="S2610" s="78" t="n">
        <x:f>Q2610+G2610+R2610</x:f>
        <x:v>236311.9755783717</x:v>
      </x:c>
      <x:c r="T2610" s="78" t="n">
        <x:f>P2610*(S2610*(1-'Inputs'!$B$15))/(O2610+S2610*(1-'Inputs'!$B$15))</x:f>
        <x:v>91627.14060605412</x:v>
      </x:c>
      <x:c r="U2610" s="78" t="n">
        <x:f>O2610+S2610*(1-'Inputs'!$B$17)</x:f>
        <x:v>586451.0962520561</x:v>
      </x:c>
      <x:c r="V2610" s="78" t="n">
        <x:f>P2610-T2610</x:f>
        <x:v>137506.03519713058</x:v>
      </x:c>
      <x:c r="W2610" s="79" t="n">
        <x:f>IF(U2610&gt;0,V2610/U2610,0)</x:f>
        <x:v>0.2344714436990849</x:v>
      </x:c>
      <x:c r="X2610" s="80" t="n">
        <x:f>W2610*('Inputs'!$B$6-AC2610)</x:f>
        <x:v>234357025.13884607</x:v>
      </x:c>
      <x:c r="Y2610" s="80" t="n">
        <x:f>2*V2610</x:f>
        <x:v>275012.07039426116</x:v>
      </x:c>
      <x:c r="Z2610" s="80" t="n">
        <x:f>K2610*'Inputs'!$B$16+(G2610+R2610)*J2610*'Inputs'!$B$16</x:f>
        <x:v>5779.950488315553</x:v>
      </x:c>
      <x:c r="AA2610" s="80" t="n">
        <x:f>K2610*(1+'Inputs'!$E$51)/2*'Inputs'!$B$17</x:f>
        <x:v>2006.4810194180009</x:v>
      </x:c>
      <x:c r="AB2610" s="78" t="n">
        <x:f>(IF(J2610&gt;0,K2610*(1-'Inputs'!$E$51)/2/J2610,0)+G2610+R2610)*'Inputs'!$B$17</x:f>
        <x:v>7785.734368590923</x:v>
      </x:c>
      <x:c r="AC2610" s="78" t="n">
        <x:f>AC2609+AB2610</x:f>
        <x:v>487985.0545283849</x:v>
      </x:c>
      <x:c r="AD2610" s="80" t="n">
        <x:f>Z2610/(1+'Inputs'!$C$51)</x:f>
        <x:v>1926.650162771851</x:v>
      </x:c>
      <x:c r="AE2610" s="80" t="n">
        <x:f>Z2610-AD2610</x:f>
        <x:v>3853.3003255437025</x:v>
      </x:c>
      <x:c r="AF2610" s="80" t="n">
        <x:f>D2610*W2610</x:f>
        <x:v>69863.43739824416</x:v>
      </x:c>
      <x:c r="AG2610" s="80" t="n">
        <x:f>C2610*W2610</x:f>
        <x:v>163014.68726256868</x:v>
      </x:c>
      <x:c r="AH2610" s="80" t="n">
        <x:f>2*'Inputs'!$B$8*'Inputs'!$C$51</x:f>
        <x:v>10000</x:v>
      </x:c>
      <x:c r="AI2610" s="81" t="n">
        <x:f>IF(AH2610&gt;0,(AE2610+AF2610)/AH2610*365,0)</x:f>
        <x:v>2690.6609269182572</x:v>
      </x:c>
      <x:c r="AJ2610" s="81" t="n">
        <x:f>IF('Inputs'!$B$51&gt;0,AG2610/('Inputs'!$B$19*'Inputs'!$B$51)*365,0)</x:f>
        <x:v>5950.036085083757</x:v>
      </x:c>
      <x:c r="AK2610" s="81" t="n">
        <x:f>W2610/MAX($W$2559:W2610)-1</x:f>
        <x:v>-0.7621173130052634</x:v>
      </x:c>
      <x:c r="AL2610" s="83" t="n">
        <x:f>'Inputs'!$B$51</x:f>
        <x:v>1</x:v>
      </x:c>
      <x:c r="AM2610" s="83" t="n">
        <x:f>'Inputs'!$C$51</x:f>
        <x:v>2</x:v>
      </x:c>
      <x:c r="AN2610" s="83" t="n">
        <x:f>'Inputs'!$D$51</x:f>
        <x:v>3</x:v>
      </x:c>
      <x:c r="AO2610" s="81" t="n">
        <x:f>'Inputs'!$E$51</x:f>
        <x:v>0.1</x:v>
      </x:c>
    </x:row>
    <x:row r="2611">
      <x:c r="A2611" s="59" t="str">
        <x:v>High demand</x:v>
      </x:c>
      <x:c r="B2611" s="59" t="n">
        <x:v>53</x:v>
      </x:c>
      <x:c r="C2611" s="78" t="n">
        <x:f>(('Inputs'!$B$29*(3*53*'Inputs'!$B$12-53^2)/(2*'Inputs'!$B$12^2))-('Inputs'!$B$29*(3*52*'Inputs'!$B$12-52^2)/(2*'Inputs'!$B$12^2)))*'Inputs'!$B$51</x:f>
        <x:v>694918.1366109997</x:v>
      </x:c>
      <x:c r="D2611" s="78" t="n">
        <x:f>IF('Inputs'!$C$51&gt;0,('Inputs'!$B$30*(3*53*'Inputs'!$B$12-53^2)/(2*'Inputs'!$B$12^2))-('Inputs'!$B$30*(3*52*'Inputs'!$B$12-52^2)/(2*'Inputs'!$B$12^2)),0)</x:f>
        <x:v>297822.05854756944</x:v>
      </x:c>
      <x:c r="E2611" s="78" t="n">
        <x:f>C2611+D2611</x:f>
        <x:v>992740.1951585691</x:v>
      </x:c>
      <x:c r="F2611" s="78" t="n">
        <x:f>'Inputs'!$B$13*E2611+(1-'Inputs'!$B$13)/'Inputs'!$B$14*SUM(E2559:E2611)</x:f>
        <x:v>959337.0171299899</x:v>
      </x:c>
      <x:c r="G2611" s="78" t="n">
        <x:f>F2611*'Inputs'!$F$51</x:f>
        <x:v>239834.25428249748</x:v>
      </x:c>
      <x:c r="H2611" s="78" t="n">
        <x:f>U2610</x:f>
        <x:v>586451.0962520561</x:v>
      </x:c>
      <x:c r="I2611" s="78" t="n">
        <x:f>V2610</x:f>
        <x:v>137506.03519713058</x:v>
      </x:c>
      <x:c r="J2611" s="79" t="n">
        <x:f>IF(H2611&gt;0,I2611/H2611,0)</x:f>
        <x:v>0.2344714436990849</x:v>
      </x:c>
      <x:c r="K2611" s="80" t="n">
        <x:f>(H2611*J2611+I2611)*'Inputs'!$D$51*(1+'Inputs'!$G$51)^(B2611/30)</x:f>
        <x:v>899305.8917770162</x:v>
      </x:c>
      <x:c r="L2611" s="80" t="n">
        <x:f>MAX(0,K2611*'Inputs'!$E$51)</x:f>
        <x:v>89930.58917770162</x:v>
      </x:c>
      <x:c r="M2611" s="80" t="n">
        <x:f>MAX(0,-K2611*'Inputs'!$E$51)</x:f>
        <x:v>0</x:v>
      </x:c>
      <x:c r="N2611" s="78" t="n">
        <x:f>H2611*(L2611*(1-'Inputs'!$B$15))/(I2611+L2611*(1-'Inputs'!$B$15))</x:f>
        <x:v>230480.76155127306</x:v>
      </x:c>
      <x:c r="O2611" s="78" t="n">
        <x:f>H2611-N2611</x:f>
        <x:v>355970.334700783</x:v>
      </x:c>
      <x:c r="P2611" s="78" t="n">
        <x:f>I2611+L2611*(1-'Inputs'!$B$17)</x:f>
        <x:v>227074.73065580725</x:v>
      </x:c>
      <x:c r="Q2611" s="78" t="n">
        <x:f>IF(J2611&gt;0,M2611/J2611,0)</x:f>
        <x:v>0</x:v>
      </x:c>
      <x:c r="R2611" s="78" t="n">
        <x:f>IF(B2611='Inputs'!$H$51,'Inputs'!$B$27*'Inputs'!$I$51,0)</x:f>
        <x:v>0</x:v>
      </x:c>
      <x:c r="S2611" s="78" t="n">
        <x:f>Q2611+G2611+R2611</x:f>
        <x:v>239834.25428249748</x:v>
      </x:c>
      <x:c r="T2611" s="78" t="n">
        <x:f>P2611*(S2611*(1-'Inputs'!$B$15))/(O2611+S2611*(1-'Inputs'!$B$15))</x:f>
        <x:v>90857.98477807605</x:v>
      </x:c>
      <x:c r="U2611" s="78" t="n">
        <x:f>O2611+S2611*(1-'Inputs'!$B$17)</x:f>
        <x:v>594839.4611994475</x:v>
      </x:c>
      <x:c r="V2611" s="78" t="n">
        <x:f>P2611-T2611</x:f>
        <x:v>136216.74587773118</x:v>
      </x:c>
      <x:c r="W2611" s="79" t="n">
        <x:f>IF(U2611&gt;0,V2611/U2611,0)</x:f>
        <x:v>0.2289974938835778</x:v>
      </x:c>
      <x:c r="X2611" s="80" t="n">
        <x:f>W2611*('Inputs'!$B$6-AC2611)</x:f>
        <x:v>228883935.01478475</x:v>
      </x:c>
      <x:c r="Y2611" s="80" t="n">
        <x:f>2*V2611</x:f>
        <x:v>272433.49175546237</x:v>
      </x:c>
      <x:c r="Z2611" s="80" t="n">
        <x:f>K2611*'Inputs'!$B$16+(G2611+R2611)*J2611*'Inputs'!$B$16</x:f>
        <x:v>5733.241053762762</x:v>
      </x:c>
      <x:c r="AA2611" s="80" t="n">
        <x:f>K2611*(1+'Inputs'!$E$51)/2*'Inputs'!$B$17</x:f>
        <x:v>1990.4154546372597</x:v>
      </x:c>
      <x:c r="AB2611" s="78" t="n">
        <x:f>(IF(J2611&gt;0,K2611*(1-'Inputs'!$E$51)/2/J2611,0)+G2611+R2611)*'Inputs'!$B$17</x:f>
        <x:v>7910.629163106745</x:v>
      </x:c>
      <x:c r="AC2611" s="78" t="n">
        <x:f>AC2610+AB2611</x:f>
        <x:v>495895.6836914916</x:v>
      </x:c>
      <x:c r="AD2611" s="80" t="n">
        <x:f>Z2611/(1+'Inputs'!$C$51)</x:f>
        <x:v>1911.080351254254</x:v>
      </x:c>
      <x:c r="AE2611" s="80" t="n">
        <x:f>Z2611-AD2611</x:f>
        <x:v>3822.1607025085077</x:v>
      </x:c>
      <x:c r="AF2611" s="80" t="n">
        <x:f>D2611*W2611</x:f>
        <x:v>68200.50503064158</x:v>
      </x:c>
      <x:c r="AG2611" s="80" t="n">
        <x:f>C2611*W2611</x:f>
        <x:v>159134.51173816467</x:v>
      </x:c>
      <x:c r="AH2611" s="80" t="n">
        <x:f>2*'Inputs'!$B$8*'Inputs'!$C$51</x:f>
        <x:v>10000</x:v>
      </x:c>
      <x:c r="AI2611" s="81" t="n">
        <x:f>IF(AH2611&gt;0,(AE2611+AF2611)/AH2611*365,0)</x:f>
        <x:v>2628.827299259978</x:v>
      </x:c>
      <x:c r="AJ2611" s="81" t="n">
        <x:f>IF('Inputs'!$B$51&gt;0,AG2611/('Inputs'!$B$19*'Inputs'!$B$51)*365,0)</x:f>
        <x:v>5808.40967844301</x:v>
      </x:c>
      <x:c r="AK2611" s="81" t="n">
        <x:f>W2611/MAX($W$2559:W2611)-1</x:f>
        <x:v>-0.7676709014083711</x:v>
      </x:c>
      <x:c r="AL2611" s="83" t="n">
        <x:f>'Inputs'!$B$51</x:f>
        <x:v>1</x:v>
      </x:c>
      <x:c r="AM2611" s="83" t="n">
        <x:f>'Inputs'!$C$51</x:f>
        <x:v>2</x:v>
      </x:c>
      <x:c r="AN2611" s="83" t="n">
        <x:f>'Inputs'!$D$51</x:f>
        <x:v>3</x:v>
      </x:c>
      <x:c r="AO2611" s="81" t="n">
        <x:f>'Inputs'!$E$51</x:f>
        <x:v>0.1</x:v>
      </x:c>
    </x:row>
    <x:row r="2612">
      <x:c r="A2612" s="59" t="str">
        <x:v>High demand</x:v>
      </x:c>
      <x:c r="B2612" s="59" t="n">
        <x:v>54</x:v>
      </x:c>
      <x:c r="C2612" s="78" t="n">
        <x:f>(('Inputs'!$B$29*(3*54*'Inputs'!$B$12-54^2)/(2*'Inputs'!$B$12^2))-('Inputs'!$B$29*(3*53*'Inputs'!$B$12-53^2)/(2*'Inputs'!$B$12^2)))*'Inputs'!$B$51</x:f>
        <x:v>694593.0287108272</x:v>
      </x:c>
      <x:c r="D2612" s="78" t="n">
        <x:f>IF('Inputs'!$C$51&gt;0,('Inputs'!$B$30*(3*54*'Inputs'!$B$12-54^2)/(2*'Inputs'!$B$12^2))-('Inputs'!$B$30*(3*53*'Inputs'!$B$12-53^2)/(2*'Inputs'!$B$12^2)),0)</x:f>
        <x:v>297682.726590354</x:v>
      </x:c>
      <x:c r="E2612" s="78" t="n">
        <x:f>C2612+D2612</x:f>
        <x:v>992275.7553011812</x:v>
      </x:c>
      <x:c r="F2612" s="78" t="n">
        <x:f>'Inputs'!$B$13*E2612+(1-'Inputs'!$B$13)/'Inputs'!$B$14*SUM(E2559:E2612)</x:f>
        <x:v>973419.4970913864</x:v>
      </x:c>
      <x:c r="G2612" s="78" t="n">
        <x:f>F2612*'Inputs'!$F$51</x:f>
        <x:v>243354.8742728466</x:v>
      </x:c>
      <x:c r="H2612" s="78" t="n">
        <x:f>U2611</x:f>
        <x:v>594839.4611994475</x:v>
      </x:c>
      <x:c r="I2612" s="78" t="n">
        <x:f>V2611</x:f>
        <x:v>136216.74587773118</x:v>
      </x:c>
      <x:c r="J2612" s="79" t="n">
        <x:f>IF(H2612&gt;0,I2612/H2612,0)</x:f>
        <x:v>0.2289974938835778</x:v>
      </x:c>
      <x:c r="K2612" s="80" t="n">
        <x:f>(H2612*J2612+I2612)*'Inputs'!$D$51*(1+'Inputs'!$G$51)^(B2612/30)</x:f>
        <x:v>892323.8270736772</x:v>
      </x:c>
      <x:c r="L2612" s="80" t="n">
        <x:f>MAX(0,K2612*'Inputs'!$E$51)</x:f>
        <x:v>89232.38270736772</x:v>
      </x:c>
      <x:c r="M2612" s="80" t="n">
        <x:f>MAX(0,-K2612*'Inputs'!$E$51)</x:f>
        <x:v>0</x:v>
      </x:c>
      <x:c r="N2612" s="78" t="n">
        <x:f>H2612*(L2612*(1-'Inputs'!$B$15))/(I2612+L2612*(1-'Inputs'!$B$15))</x:f>
        <x:v>234008.28615862114</x:v>
      </x:c>
      <x:c r="O2612" s="78" t="n">
        <x:f>H2612-N2612</x:f>
        <x:v>360831.1750408264</x:v>
      </x:c>
      <x:c r="P2612" s="78" t="n">
        <x:f>I2612+L2612*(1-'Inputs'!$B$17)</x:f>
        <x:v>225090.0445500592</x:v>
      </x:c>
      <x:c r="Q2612" s="78" t="n">
        <x:f>IF(J2612&gt;0,M2612/J2612,0)</x:f>
        <x:v>0</x:v>
      </x:c>
      <x:c r="R2612" s="78" t="n">
        <x:f>IF(B2612='Inputs'!$H$51,'Inputs'!$B$27*'Inputs'!$I$51,0)</x:f>
        <x:v>0</x:v>
      </x:c>
      <x:c r="S2612" s="78" t="n">
        <x:f>Q2612+G2612+R2612</x:f>
        <x:v>243354.8742728466</x:v>
      </x:c>
      <x:c r="T2612" s="78" t="n">
        <x:f>P2612*(S2612*(1-'Inputs'!$B$15))/(O2612+S2612*(1-'Inputs'!$B$15))</x:f>
        <x:v>90118.43215471639</x:v>
      </x:c>
      <x:c r="U2612" s="78" t="n">
        <x:f>O2612+S2612*(1-'Inputs'!$B$17)</x:f>
        <x:v>603206.7540449693</x:v>
      </x:c>
      <x:c r="V2612" s="78" t="n">
        <x:f>P2612-T2612</x:f>
        <x:v>134971.6123953428</x:v>
      </x:c>
      <x:c r="W2612" s="79" t="n">
        <x:f>IF(U2612&gt;0,V2612/U2612,0)</x:f>
        <x:v>0.22375679895865455</x:v>
      </x:c>
      <x:c r="X2612" s="80" t="n">
        <x:f>W2612*('Inputs'!$B$6-AC2612)</x:f>
        <x:v>223644040.9057096</x:v>
      </x:c>
      <x:c r="Y2612" s="80" t="n">
        <x:f>2*V2612</x:f>
        <x:v>269943.2247906856</x:v>
      </x:c>
      <x:c r="Z2612" s="80" t="n">
        <x:f>K2612*'Inputs'!$B$16+(G2612+R2612)*J2612*'Inputs'!$B$16</x:f>
        <x:v>5688.308900439074</x:v>
      </x:c>
      <x:c r="AA2612" s="80" t="n">
        <x:f>K2612*(1+'Inputs'!$E$51)/2*'Inputs'!$B$17</x:f>
        <x:v>1974.9621927184005</x:v>
      </x:c>
      <x:c r="AB2612" s="78" t="n">
        <x:f>(IF(J2612&gt;0,K2612*(1-'Inputs'!$E$51)/2/J2612,0)+G2612+R2612)*'Inputs'!$B$17</x:f>
        <x:v>8035.608987578641</x:v>
      </x:c>
      <x:c r="AC2612" s="78" t="n">
        <x:f>AC2611+AB2612</x:f>
        <x:v>503931.29267907026</x:v>
      </x:c>
      <x:c r="AD2612" s="80" t="n">
        <x:f>Z2612/(1+'Inputs'!$C$51)</x:f>
        <x:v>1896.1029668130248</x:v>
      </x:c>
      <x:c r="AE2612" s="80" t="n">
        <x:f>Z2612-AD2612</x:f>
        <x:v>3792.205933626049</x:v>
      </x:c>
      <x:c r="AF2612" s="80" t="n">
        <x:f>D2612*W2612</x:f>
        <x:v>66608.53400714196</x:v>
      </x:c>
      <x:c r="AG2612" s="80" t="n">
        <x:f>C2612*W2612</x:f>
        <x:v>155419.91268333152</x:v>
      </x:c>
      <x:c r="AH2612" s="80" t="n">
        <x:f>2*'Inputs'!$B$8*'Inputs'!$C$51</x:f>
        <x:v>10000</x:v>
      </x:c>
      <x:c r="AI2612" s="81" t="n">
        <x:f>IF(AH2612&gt;0,(AE2612+AF2612)/AH2612*365,0)</x:f>
        <x:v>2569.627007838032</x:v>
      </x:c>
      <x:c r="AJ2612" s="81" t="n">
        <x:f>IF('Inputs'!$B$51&gt;0,AG2612/('Inputs'!$B$19*'Inputs'!$B$51)*365,0)</x:f>
        <x:v>5672.826812941601</x:v>
      </x:c>
      <x:c r="AK2612" s="81" t="n">
        <x:f>W2612/MAX($W$2559:W2612)-1</x:f>
        <x:v>-0.7729878413768065</x:v>
      </x:c>
      <x:c r="AL2612" s="83" t="n">
        <x:f>'Inputs'!$B$51</x:f>
        <x:v>1</x:v>
      </x:c>
      <x:c r="AM2612" s="83" t="n">
        <x:f>'Inputs'!$C$51</x:f>
        <x:v>2</x:v>
      </x:c>
      <x:c r="AN2612" s="83" t="n">
        <x:f>'Inputs'!$D$51</x:f>
        <x:v>3</x:v>
      </x:c>
      <x:c r="AO2612" s="81" t="n">
        <x:f>'Inputs'!$E$51</x:f>
        <x:v>0.1</x:v>
      </x:c>
    </x:row>
    <x:row r="2613">
      <x:c r="A2613" s="59" t="str">
        <x:v>High demand</x:v>
      </x:c>
      <x:c r="B2613" s="59" t="n">
        <x:v>55</x:v>
      </x:c>
      <x:c r="C2613" s="78" t="n">
        <x:f>(('Inputs'!$B$29*(3*55*'Inputs'!$B$12-55^2)/(2*'Inputs'!$B$12^2))-('Inputs'!$B$29*(3*54*'Inputs'!$B$12-54^2)/(2*'Inputs'!$B$12^2)))*'Inputs'!$B$51</x:f>
        <x:v>694267.9208106548</x:v>
      </x:c>
      <x:c r="D2613" s="78" t="n">
        <x:f>IF('Inputs'!$C$51&gt;0,('Inputs'!$B$30*(3*55*'Inputs'!$B$12-55^2)/(2*'Inputs'!$B$12^2))-('Inputs'!$B$30*(3*54*'Inputs'!$B$12-54^2)/(2*'Inputs'!$B$12^2)),0)</x:f>
        <x:v>297543.3946331404</x:v>
      </x:c>
      <x:c r="E2613" s="78" t="n">
        <x:f>C2613+D2613</x:f>
        <x:v>991811.3154437952</x:v>
      </x:c>
      <x:c r="F2613" s="78" t="n">
        <x:f>'Inputs'!$B$13*E2613+(1-'Inputs'!$B$13)/'Inputs'!$B$14*SUM(E2559:E2613)</x:f>
        <x:v>987495.3421976777</x:v>
      </x:c>
      <x:c r="G2613" s="78" t="n">
        <x:f>F2613*'Inputs'!$F$51</x:f>
        <x:v>246873.83554941943</x:v>
      </x:c>
      <x:c r="H2613" s="78" t="n">
        <x:f>U2612</x:f>
        <x:v>603206.7540449693</x:v>
      </x:c>
      <x:c r="I2613" s="78" t="n">
        <x:f>V2612</x:f>
        <x:v>134971.6123953428</x:v>
      </x:c>
      <x:c r="J2613" s="79" t="n">
        <x:f>IF(H2613&gt;0,I2613/H2613,0)</x:f>
        <x:v>0.22375679895865455</x:v>
      </x:c>
      <x:c r="K2613" s="80" t="n">
        <x:f>(H2613*J2613+I2613)*'Inputs'!$D$51*(1+'Inputs'!$G$51)^(B2613/30)</x:f>
        <x:v>885606.3762703631</x:v>
      </x:c>
      <x:c r="L2613" s="80" t="n">
        <x:f>MAX(0,K2613*'Inputs'!$E$51)</x:f>
        <x:v>88560.63762703631</x:v>
      </x:c>
      <x:c r="M2613" s="80" t="n">
        <x:f>MAX(0,-K2613*'Inputs'!$E$51)</x:f>
        <x:v>0</x:v>
      </x:c>
      <x:c r="N2613" s="78" t="n">
        <x:f>H2613*(L2613*(1-'Inputs'!$B$15))/(I2613+L2613*(1-'Inputs'!$B$15))</x:f>
        <x:v>237534.10402012174</x:v>
      </x:c>
      <x:c r="O2613" s="78" t="n">
        <x:f>H2613-N2613</x:f>
        <x:v>365672.6500248476</x:v>
      </x:c>
      <x:c r="P2613" s="78" t="n">
        <x:f>I2613+L2613*(1-'Inputs'!$B$17)</x:f>
        <x:v>223175.86918685783</x:v>
      </x:c>
      <x:c r="Q2613" s="78" t="n">
        <x:f>IF(J2613&gt;0,M2613/J2613,0)</x:f>
        <x:v>0</x:v>
      </x:c>
      <x:c r="R2613" s="78" t="n">
        <x:f>IF(B2613='Inputs'!$H$51,'Inputs'!$B$27*'Inputs'!$I$51,0)</x:f>
        <x:v>0</x:v>
      </x:c>
      <x:c r="S2613" s="78" t="n">
        <x:f>Q2613+G2613+R2613</x:f>
        <x:v>246873.83554941943</x:v>
      </x:c>
      <x:c r="T2613" s="78" t="n">
        <x:f>P2613*(S2613*(1-'Inputs'!$B$15))/(O2613+S2613*(1-'Inputs'!$B$15))</x:f>
        <x:v>89407.16203568212</x:v>
      </x:c>
      <x:c r="U2613" s="78" t="n">
        <x:f>O2613+S2613*(1-'Inputs'!$B$17)</x:f>
        <x:v>611553.0294955974</x:v>
      </x:c>
      <x:c r="V2613" s="78" t="n">
        <x:f>P2613-T2613</x:f>
        <x:v>133768.7071511757</x:v>
      </x:c>
      <x:c r="W2613" s="79" t="n">
        <x:f>IF(U2613&gt;0,V2613/U2613,0)</x:f>
        <x:v>0.2187360714433984</x:v>
      </x:c>
      <x:c r="X2613" s="80" t="n">
        <x:f>W2613*('Inputs'!$B$6-AC2613)</x:f>
        <x:v>218624058.45836943</x:v>
      </x:c>
      <x:c r="Y2613" s="80" t="n">
        <x:f>2*V2613</x:f>
        <x:v>267537.4143023514</x:v>
      </x:c>
      <x:c r="Z2613" s="80" t="n">
        <x:f>K2613*'Inputs'!$B$16+(G2613+R2613)*J2613*'Inputs'!$B$16</x:f>
        <x:v>5645.076452757279</x:v>
      </x:c>
      <x:c r="AA2613" s="80" t="n">
        <x:f>K2613*(1+'Inputs'!$E$51)/2*'Inputs'!$B$17</x:f>
        <x:v>1960.0945953670011</x:v>
      </x:c>
      <x:c r="AB2613" s="78" t="n">
        <x:f>(IF(J2613&gt;0,K2613*(1-'Inputs'!$E$51)/2/J2613,0)+G2613+R2613)*'Inputs'!$B$17</x:f>
        <x:v>8160.67409085649</x:v>
      </x:c>
      <x:c r="AC2613" s="78" t="n">
        <x:f>AC2612+AB2613</x:f>
        <x:v>512091.9667699268</x:v>
      </x:c>
      <x:c r="AD2613" s="80" t="n">
        <x:f>Z2613/(1+'Inputs'!$C$51)</x:f>
        <x:v>1881.6921509190931</x:v>
      </x:c>
      <x:c r="AE2613" s="80" t="n">
        <x:f>Z2613-AD2613</x:f>
        <x:v>3763.384301838186</x:v>
      </x:c>
      <x:c r="AF2613" s="80" t="n">
        <x:f>D2613*W2613</x:f>
        <x:v>65083.47322598589</x:v>
      </x:c>
      <x:c r="AG2613" s="80" t="n">
        <x:f>C2613*W2613</x:f>
        <x:v>151861.43752729904</x:v>
      </x:c>
      <x:c r="AH2613" s="80" t="n">
        <x:f>2*'Inputs'!$B$8*'Inputs'!$C$51</x:f>
        <x:v>10000</x:v>
      </x:c>
      <x:c r="AI2613" s="81" t="n">
        <x:f>IF(AH2613&gt;0,(AE2613+AF2613)/AH2613*365,0)</x:f>
        <x:v>2512.9102997655787</x:v>
      </x:c>
      <x:c r="AJ2613" s="81" t="n">
        <x:f>IF('Inputs'!$B$51&gt;0,AG2613/('Inputs'!$B$19*'Inputs'!$B$51)*365,0)</x:f>
        <x:v>5542.942469746416</x:v>
      </x:c>
      <x:c r="AK2613" s="81" t="n">
        <x:f>W2613/MAX($W$2559:W2613)-1</x:f>
        <x:v>-0.7780816137064142</x:v>
      </x:c>
      <x:c r="AL2613" s="83" t="n">
        <x:f>'Inputs'!$B$51</x:f>
        <x:v>1</x:v>
      </x:c>
      <x:c r="AM2613" s="83" t="n">
        <x:f>'Inputs'!$C$51</x:f>
        <x:v>2</x:v>
      </x:c>
      <x:c r="AN2613" s="83" t="n">
        <x:f>'Inputs'!$D$51</x:f>
        <x:v>3</x:v>
      </x:c>
      <x:c r="AO2613" s="81" t="n">
        <x:f>'Inputs'!$E$51</x:f>
        <x:v>0.1</x:v>
      </x:c>
    </x:row>
    <x:row r="2614">
      <x:c r="A2614" s="59" t="str">
        <x:v>High demand</x:v>
      </x:c>
      <x:c r="B2614" s="59" t="n">
        <x:v>56</x:v>
      </x:c>
      <x:c r="C2614" s="78" t="n">
        <x:f>(('Inputs'!$B$29*(3*56*'Inputs'!$B$12-56^2)/(2*'Inputs'!$B$12^2))-('Inputs'!$B$29*(3*55*'Inputs'!$B$12-55^2)/(2*'Inputs'!$B$12^2)))*'Inputs'!$B$51</x:f>
        <x:v>693942.8129104897</x:v>
      </x:c>
      <x:c r="D2614" s="78" t="n">
        <x:f>IF('Inputs'!$C$51&gt;0,('Inputs'!$B$30*(3*56*'Inputs'!$B$12-56^2)/(2*'Inputs'!$B$12^2))-('Inputs'!$B$30*(3*55*'Inputs'!$B$12-55^2)/(2*'Inputs'!$B$12^2)),0)</x:f>
        <x:v>297404.0626759231</x:v>
      </x:c>
      <x:c r="E2614" s="78" t="n">
        <x:f>C2614+D2614</x:f>
        <x:v>991346.8755864128</x:v>
      </x:c>
      <x:c r="F2614" s="78" t="n">
        <x:f>'Inputs'!$B$13*E2614+(1-'Inputs'!$B$13)/'Inputs'!$B$14*SUM(E2559:E2614)</x:f>
        <x:v>1001564.5524488643</x:v>
      </x:c>
      <x:c r="G2614" s="78" t="n">
        <x:f>F2614*'Inputs'!$F$51</x:f>
        <x:v>250391.13811221608</x:v>
      </x:c>
      <x:c r="H2614" s="78" t="n">
        <x:f>U2613</x:f>
        <x:v>611553.0294955974</x:v>
      </x:c>
      <x:c r="I2614" s="78" t="n">
        <x:f>V2613</x:f>
        <x:v>133768.7071511757</x:v>
      </x:c>
      <x:c r="J2614" s="79" t="n">
        <x:f>IF(H2614&gt;0,I2614/H2614,0)</x:f>
        <x:v>0.2187360714433984</x:v>
      </x:c>
      <x:c r="K2614" s="80" t="n">
        <x:f>(H2614*J2614+I2614)*'Inputs'!$D$51*(1+'Inputs'!$G$51)^(B2614/30)</x:f>
        <x:v>879142.2224583866</x:v>
      </x:c>
      <x:c r="L2614" s="80" t="n">
        <x:f>MAX(0,K2614*'Inputs'!$E$51)</x:f>
        <x:v>87914.22224583867</x:v>
      </x:c>
      <x:c r="M2614" s="80" t="n">
        <x:f>MAX(0,-K2614*'Inputs'!$E$51)</x:f>
        <x:v>0</x:v>
      </x:c>
      <x:c r="N2614" s="78" t="n">
        <x:f>H2614*(L2614*(1-'Inputs'!$B$15))/(I2614+L2614*(1-'Inputs'!$B$15))</x:f>
        <x:v>241058.21526789214</x:v>
      </x:c>
      <x:c r="O2614" s="78" t="n">
        <x:f>H2614-N2614</x:f>
        <x:v>370494.81422770524</x:v>
      </x:c>
      <x:c r="P2614" s="78" t="n">
        <x:f>I2614+L2614*(1-'Inputs'!$B$17)</x:f>
        <x:v>221329.14983063273</x:v>
      </x:c>
      <x:c r="Q2614" s="78" t="n">
        <x:f>IF(J2614&gt;0,M2614/J2614,0)</x:f>
        <x:v>0</x:v>
      </x:c>
      <x:c r="R2614" s="78" t="n">
        <x:f>IF(B2614='Inputs'!$H$51,'Inputs'!$B$27*'Inputs'!$I$51,0)</x:f>
        <x:v>0</x:v>
      </x:c>
      <x:c r="S2614" s="78" t="n">
        <x:f>Q2614+G2614+R2614</x:f>
        <x:v>250391.13811221608</x:v>
      </x:c>
      <x:c r="T2614" s="78" t="n">
        <x:f>P2614*(S2614*(1-'Inputs'!$B$15))/(O2614+S2614*(1-'Inputs'!$B$15))</x:f>
        <x:v>88722.93422557815</x:v>
      </x:c>
      <x:c r="U2614" s="78" t="n">
        <x:f>O2614+S2614*(1-'Inputs'!$B$17)</x:f>
        <x:v>619878.3421261901</x:v>
      </x:c>
      <x:c r="V2614" s="78" t="n">
        <x:f>P2614-T2614</x:f>
        <x:v>132606.21560505457</x:v>
      </x:c>
      <x:c r="W2614" s="79" t="n">
        <x:f>IF(U2614&gt;0,V2614/U2614,0)</x:f>
        <x:v>0.2139229693849501</x:v>
      </x:c>
      <x:c r="X2614" s="80" t="n">
        <x:f>W2614*('Inputs'!$B$6-AC2614)</x:f>
        <x:v>213811648.6225921</x:v>
      </x:c>
      <x:c r="Y2614" s="80" t="n">
        <x:f>2*V2614</x:f>
        <x:v>265212.43121010915</x:v>
      </x:c>
      <x:c r="Z2614" s="80" t="n">
        <x:f>K2614*'Inputs'!$B$16+(G2614+R2614)*J2614*'Inputs'!$B$16</x:f>
        <x:v>5603.470777999765</x:v>
      </x:c>
      <x:c r="AA2614" s="80" t="n">
        <x:f>K2614*(1+'Inputs'!$E$51)/2*'Inputs'!$B$17</x:f>
        <x:v>1945.787615099045</x:v>
      </x:c>
      <x:c r="AB2614" s="78" t="n">
        <x:f>(IF(J2614&gt;0,K2614*(1-'Inputs'!$E$51)/2/J2614,0)+G2614+R2614)*'Inputs'!$B$17</x:f>
        <x:v>8285.82472225761</x:v>
      </x:c>
      <x:c r="AC2614" s="78" t="n">
        <x:f>AC2613+AB2614</x:f>
        <x:v>520377.7914921844</x:v>
      </x:c>
      <x:c r="AD2614" s="80" t="n">
        <x:f>Z2614/(1+'Inputs'!$C$51)</x:f>
        <x:v>1867.8235926665884</x:v>
      </x:c>
      <x:c r="AE2614" s="80" t="n">
        <x:f>Z2614-AD2614</x:f>
        <x:v>3735.647185333177</x:v>
      </x:c>
      <x:c r="AF2614" s="80" t="n">
        <x:f>D2614*W2614</x:f>
        <x:v>63621.560194781276</x:v>
      </x:c>
      <x:c r="AG2614" s="80" t="n">
        <x:f>C2614*W2614</x:f>
        <x:v>148450.30712115683</x:v>
      </x:c>
      <x:c r="AH2614" s="80" t="n">
        <x:f>2*'Inputs'!$B$8*'Inputs'!$C$51</x:f>
        <x:v>10000</x:v>
      </x:c>
      <x:c r="AI2614" s="81" t="n">
        <x:f>IF(AH2614&gt;0,(AE2614+AF2614)/AH2614*365,0)</x:f>
        <x:v>2458.5380693741777</x:v>
      </x:c>
      <x:c r="AJ2614" s="81" t="n">
        <x:f>IF('Inputs'!$B$51&gt;0,AG2614/('Inputs'!$B$19*'Inputs'!$B$51)*365,0)</x:f>
        <x:v>5418.436209922224</x:v>
      </x:c>
      <x:c r="AK2614" s="81" t="n">
        <x:f>W2614/MAX($W$2559:W2614)-1</x:f>
        <x:v>-0.7829647399088229</x:v>
      </x:c>
      <x:c r="AL2614" s="83" t="n">
        <x:f>'Inputs'!$B$51</x:f>
        <x:v>1</x:v>
      </x:c>
      <x:c r="AM2614" s="83" t="n">
        <x:f>'Inputs'!$C$51</x:f>
        <x:v>2</x:v>
      </x:c>
      <x:c r="AN2614" s="83" t="n">
        <x:f>'Inputs'!$D$51</x:f>
        <x:v>3</x:v>
      </x:c>
      <x:c r="AO2614" s="81" t="n">
        <x:f>'Inputs'!$E$51</x:f>
        <x:v>0.1</x:v>
      </x:c>
    </x:row>
    <x:row r="2615">
      <x:c r="A2615" s="59" t="str">
        <x:v>High demand</x:v>
      </x:c>
      <x:c r="B2615" s="59" t="n">
        <x:v>57</x:v>
      </x:c>
      <x:c r="C2615" s="78" t="n">
        <x:f>(('Inputs'!$B$29*(3*57*'Inputs'!$B$12-57^2)/(2*'Inputs'!$B$12^2))-('Inputs'!$B$29*(3*56*'Inputs'!$B$12-56^2)/(2*'Inputs'!$B$12^2)))*'Inputs'!$B$51</x:f>
        <x:v>693617.7050103247</x:v>
      </x:c>
      <x:c r="D2615" s="78" t="n">
        <x:f>IF('Inputs'!$C$51&gt;0,('Inputs'!$B$30*(3*57*'Inputs'!$B$12-57^2)/(2*'Inputs'!$B$12^2))-('Inputs'!$B$30*(3*56*'Inputs'!$B$12-56^2)/(2*'Inputs'!$B$12^2)),0)</x:f>
        <x:v>297264.7307187095</x:v>
      </x:c>
      <x:c r="E2615" s="78" t="n">
        <x:f>C2615+D2615</x:f>
        <x:v>990882.4357290342</x:v>
      </x:c>
      <x:c r="F2615" s="78" t="n">
        <x:f>'Inputs'!$B$13*E2615+(1-'Inputs'!$B$13)/'Inputs'!$B$14*SUM(E2560:E2615)</x:f>
        <x:v>1001100.1125914815</x:v>
      </x:c>
      <x:c r="G2615" s="78" t="n">
        <x:f>F2615*'Inputs'!$F$51</x:f>
        <x:v>250275.02814787038</x:v>
      </x:c>
      <x:c r="H2615" s="78" t="n">
        <x:f>U2614</x:f>
        <x:v>619878.3421261901</x:v>
      </x:c>
      <x:c r="I2615" s="78" t="n">
        <x:f>V2614</x:f>
        <x:v>132606.21560505457</x:v>
      </x:c>
      <x:c r="J2615" s="79" t="n">
        <x:f>IF(H2615&gt;0,I2615/H2615,0)</x:f>
        <x:v>0.2139229693849501</x:v>
      </x:c>
      <x:c r="K2615" s="80" t="n">
        <x:f>(H2615*J2615+I2615)*'Inputs'!$D$51*(1+'Inputs'!$G$51)^(B2615/30)</x:f>
        <x:v>872920.7149583739</x:v>
      </x:c>
      <x:c r="L2615" s="80" t="n">
        <x:f>MAX(0,K2615*'Inputs'!$E$51)</x:f>
        <x:v>87292.0714958374</x:v>
      </x:c>
      <x:c r="M2615" s="80" t="n">
        <x:f>MAX(0,-K2615*'Inputs'!$E$51)</x:f>
        <x:v>0</x:v>
      </x:c>
      <x:c r="N2615" s="78" t="n">
        <x:f>H2615*(L2615*(1-'Inputs'!$B$15))/(I2615+L2615*(1-'Inputs'!$B$15))</x:f>
        <x:v>244580.62003472535</x:v>
      </x:c>
      <x:c r="O2615" s="78" t="n">
        <x:f>H2615-N2615</x:f>
        <x:v>375297.72209146473</x:v>
      </x:c>
      <x:c r="P2615" s="78" t="n">
        <x:f>I2615+L2615*(1-'Inputs'!$B$17)</x:f>
        <x:v>219547.01115925884</x:v>
      </x:c>
      <x:c r="Q2615" s="78" t="n">
        <x:f>IF(J2615&gt;0,M2615/J2615,0)</x:f>
        <x:v>0</x:v>
      </x:c>
      <x:c r="R2615" s="78" t="n">
        <x:f>IF(B2615='Inputs'!$H$51,'Inputs'!$B$27*'Inputs'!$I$51,0)</x:f>
        <x:v>0</x:v>
      </x:c>
      <x:c r="S2615" s="78" t="n">
        <x:f>Q2615+G2615+R2615</x:f>
        <x:v>250275.02814787038</x:v>
      </x:c>
      <x:c r="T2615" s="78" t="n">
        <x:f>P2615*(S2615*(1-'Inputs'!$B$15))/(O2615+S2615*(1-'Inputs'!$B$15))</x:f>
        <x:v>87305.86139176507</x:v>
      </x:c>
      <x:c r="U2615" s="78" t="n">
        <x:f>O2615+S2615*(1-'Inputs'!$B$17)</x:f>
        <x:v>624565.6072689211</x:v>
      </x:c>
      <x:c r="V2615" s="78" t="n">
        <x:f>P2615-T2615</x:f>
        <x:v>132241.14976749377</x:v>
      </x:c>
      <x:c r="W2615" s="79" t="n">
        <x:f>IF(U2615&gt;0,V2615/U2615,0)</x:f>
        <x:v>0.21173300006984583</x:v>
      </x:c>
      <x:c r="X2615" s="80" t="n">
        <x:f>W2615*('Inputs'!$B$6-AC2615)</x:f>
        <x:v>211621041.1140913</x:v>
      </x:c>
      <x:c r="Y2615" s="80" t="n">
        <x:f>2*V2615</x:f>
        <x:v>264482.29953498754</x:v>
      </x:c>
      <x:c r="Z2615" s="80" t="n">
        <x:f>K2615*'Inputs'!$B$16+(G2615+R2615)*J2615*'Inputs'!$B$16</x:f>
        <x:v>5558.76175285601</x:v>
      </x:c>
      <x:c r="AA2615" s="80" t="n">
        <x:f>K2615*(1+'Inputs'!$E$51)/2*'Inputs'!$B$17</x:f>
        <x:v>1932.0176789823167</x:v>
      </x:c>
      <x:c r="AB2615" s="78" t="n">
        <x:f>(IF(J2615&gt;0,K2615*(1-'Inputs'!$E$51)/2/J2615,0)+G2615+R2615)*'Inputs'!$B$17</x:f>
        <x:v>8396.446428074256</x:v>
      </x:c>
      <x:c r="AC2615" s="78" t="n">
        <x:f>AC2614+AB2615</x:f>
        <x:v>528774.2379202587</x:v>
      </x:c>
      <x:c r="AD2615" s="80" t="n">
        <x:f>Z2615/(1+'Inputs'!$C$51)</x:f>
        <x:v>1852.9205842853369</x:v>
      </x:c>
      <x:c r="AE2615" s="80" t="n">
        <x:f>Z2615-AD2615</x:f>
        <x:v>3705.8411685706733</x:v>
      </x:c>
      <x:c r="AF2615" s="80" t="n">
        <x:f>D2615*W2615</x:f>
        <x:v>62940.75325002723</x:v>
      </x:c>
      <x:c r="AG2615" s="80" t="n">
        <x:f>C2615*W2615</x:f>
        <x:v>146861.75758339738</x:v>
      </x:c>
      <x:c r="AH2615" s="80" t="n">
        <x:f>2*'Inputs'!$B$8*'Inputs'!$C$51</x:f>
        <x:v>10000</x:v>
      </x:c>
      <x:c r="AI2615" s="81" t="n">
        <x:f>IF(AH2615&gt;0,(AE2615+AF2615)/AH2615*365,0)</x:f>
        <x:v>2432.6006962788233</x:v>
      </x:c>
      <x:c r="AJ2615" s="81" t="n">
        <x:f>IF('Inputs'!$B$51&gt;0,AG2615/('Inputs'!$B$19*'Inputs'!$B$51)*365,0)</x:f>
        <x:v>5360.454151794004</x:v>
      </x:c>
      <x:c r="AK2615" s="81" t="n">
        <x:f>W2615/MAX($W$2559:W2615)-1</x:f>
        <x:v>-0.7851865703240507</x:v>
      </x:c>
      <x:c r="AL2615" s="83" t="n">
        <x:f>'Inputs'!$B$51</x:f>
        <x:v>1</x:v>
      </x:c>
      <x:c r="AM2615" s="83" t="n">
        <x:f>'Inputs'!$C$51</x:f>
        <x:v>2</x:v>
      </x:c>
      <x:c r="AN2615" s="83" t="n">
        <x:f>'Inputs'!$D$51</x:f>
        <x:v>3</x:v>
      </x:c>
      <x:c r="AO2615" s="81" t="n">
        <x:f>'Inputs'!$E$51</x:f>
        <x:v>0.1</x:v>
      </x:c>
    </x:row>
    <x:row r="2616">
      <x:c r="A2616" s="59" t="str">
        <x:v>High demand</x:v>
      </x:c>
      <x:c r="B2616" s="59" t="n">
        <x:v>58</x:v>
      </x:c>
      <x:c r="C2616" s="78" t="n">
        <x:f>(('Inputs'!$B$29*(3*58*'Inputs'!$B$12-58^2)/(2*'Inputs'!$B$12^2))-('Inputs'!$B$29*(3*57*'Inputs'!$B$12-57^2)/(2*'Inputs'!$B$12^2)))*'Inputs'!$B$51</x:f>
        <x:v>693292.5971101522</x:v>
      </x:c>
      <x:c r="D2616" s="78" t="n">
        <x:f>IF('Inputs'!$C$51&gt;0,('Inputs'!$B$30*(3*58*'Inputs'!$B$12-58^2)/(2*'Inputs'!$B$12^2))-('Inputs'!$B$30*(3*57*'Inputs'!$B$12-57^2)/(2*'Inputs'!$B$12^2)),0)</x:f>
        <x:v>297125.3987614922</x:v>
      </x:c>
      <x:c r="E2616" s="78" t="n">
        <x:f>C2616+D2616</x:f>
        <x:v>990417.9958716445</x:v>
      </x:c>
      <x:c r="F2616" s="78" t="n">
        <x:f>'Inputs'!$B$13*E2616+(1-'Inputs'!$B$13)/'Inputs'!$B$14*SUM(E2561:E2616)</x:f>
        <x:v>1000635.6727340964</x:v>
      </x:c>
      <x:c r="G2616" s="78" t="n">
        <x:f>F2616*'Inputs'!$F$51</x:f>
        <x:v>250158.9181835241</x:v>
      </x:c>
      <x:c r="H2616" s="78" t="n">
        <x:f>U2615</x:f>
        <x:v>624565.6072689211</x:v>
      </x:c>
      <x:c r="I2616" s="78" t="n">
        <x:f>V2615</x:f>
        <x:v>132241.14976749377</x:v>
      </x:c>
      <x:c r="J2616" s="79" t="n">
        <x:f>IF(H2616&gt;0,I2616/H2616,0)</x:f>
        <x:v>0.21173300006984583</x:v>
      </x:c>
      <x:c r="K2616" s="80" t="n">
        <x:f>(H2616*J2616+I2616)*'Inputs'!$D$51*(1+'Inputs'!$G$51)^(B2616/30)</x:f>
        <x:v>871934.4664944255</x:v>
      </x:c>
      <x:c r="L2616" s="80" t="n">
        <x:f>MAX(0,K2616*'Inputs'!$E$51)</x:f>
        <x:v>87193.44664944256</x:v>
      </x:c>
      <x:c r="M2616" s="80" t="n">
        <x:f>MAX(0,-K2616*'Inputs'!$E$51)</x:f>
        <x:v>0</x:v>
      </x:c>
      <x:c r="N2616" s="78" t="n">
        <x:f>H2616*(L2616*(1-'Inputs'!$B$15))/(I2616+L2616*(1-'Inputs'!$B$15))</x:f>
        <x:v>246672.72623692334</x:v>
      </x:c>
      <x:c r="O2616" s="78" t="n">
        <x:f>H2616-N2616</x:f>
        <x:v>377892.88103199773</x:v>
      </x:c>
      <x:c r="P2616" s="78" t="n">
        <x:f>I2616+L2616*(1-'Inputs'!$B$17)</x:f>
        <x:v>219083.7173559728</x:v>
      </x:c>
      <x:c r="Q2616" s="78" t="n">
        <x:f>IF(J2616&gt;0,M2616/J2616,0)</x:f>
        <x:v>0</x:v>
      </x:c>
      <x:c r="R2616" s="78" t="n">
        <x:f>IF(B2616='Inputs'!$H$51,'Inputs'!$B$27*'Inputs'!$I$51,0)</x:f>
        <x:v>0</x:v>
      </x:c>
      <x:c r="S2616" s="78" t="n">
        <x:f>Q2616+G2616+R2616</x:f>
        <x:v>250158.9181835241</x:v>
      </x:c>
      <x:c r="T2616" s="78" t="n">
        <x:f>P2616*(S2616*(1-'Inputs'!$B$15))/(O2616+S2616*(1-'Inputs'!$B$15))</x:f>
        <x:v>86735.94444995762</x:v>
      </x:c>
      <x:c r="U2616" s="78" t="n">
        <x:f>O2616+S2616*(1-'Inputs'!$B$17)</x:f>
        <x:v>627045.1234884252</x:v>
      </x:c>
      <x:c r="V2616" s="78" t="n">
        <x:f>P2616-T2616</x:f>
        <x:v>132347.77290601516</x:v>
      </x:c>
      <x:c r="W2616" s="79" t="n">
        <x:f>IF(U2616&gt;0,V2616/U2616,0)</x:f>
        <x:v>0.2110657876896131</x:v>
      </x:c>
      <x:c r="X2616" s="80" t="n">
        <x:f>W2616*('Inputs'!$B$6-AC2616)</x:f>
        <x:v>210952395.08359745</x:v>
      </x:c>
      <x:c r="Y2616" s="80" t="n">
        <x:f>2*V2616</x:f>
        <x:v>264695.5458120303</x:v>
      </x:c>
      <x:c r="Z2616" s="80" t="n">
        <x:f>K2616*'Inputs'!$B$16+(G2616+R2616)*J2616*'Inputs'!$B$16</x:f>
        <x:v>5549.408188413901</x:v>
      </x:c>
      <x:c r="AA2616" s="80" t="n">
        <x:f>K2616*(1+'Inputs'!$E$51)/2*'Inputs'!$B$17</x:f>
        <x:v>1929.8348352995338</x:v>
      </x:c>
      <x:c r="AB2616" s="78" t="n">
        <x:f>(IF(J2616&gt;0,K2616*(1-'Inputs'!$E$51)/2/J2616,0)+G2616+R2616)*'Inputs'!$B$17</x:f>
        <x:v>8463.972293126162</x:v>
      </x:c>
      <x:c r="AC2616" s="78" t="n">
        <x:f>AC2615+AB2616</x:f>
        <x:v>537238.2102133848</x:v>
      </x:c>
      <x:c r="AD2616" s="80" t="n">
        <x:f>Z2616/(1+'Inputs'!$C$51)</x:f>
        <x:v>1849.8027294713004</x:v>
      </x:c>
      <x:c r="AE2616" s="80" t="n">
        <x:f>Z2616-AD2616</x:f>
        <x:v>3699.605458942601</x:v>
      </x:c>
      <x:c r="AF2616" s="80" t="n">
        <x:f>D2616*W2616</x:f>
        <x:v>62713.00633218475</x:v>
      </x:c>
      <x:c r="AG2616" s="80" t="n">
        <x:f>C2616*W2616</x:f>
        <x:v>146330.34810843185</x:v>
      </x:c>
      <x:c r="AH2616" s="80" t="n">
        <x:f>2*'Inputs'!$B$8*'Inputs'!$C$51</x:f>
        <x:v>10000</x:v>
      </x:c>
      <x:c r="AI2616" s="81" t="n">
        <x:f>IF(AH2616&gt;0,(AE2616+AF2616)/AH2616*365,0)</x:f>
        <x:v>2424.060330376148</x:v>
      </x:c>
      <x:c r="AJ2616" s="81" t="n">
        <x:f>IF('Inputs'!$B$51&gt;0,AG2616/('Inputs'!$B$19*'Inputs'!$B$51)*365,0)</x:f>
        <x:v>5341.057705957763</x:v>
      </x:c>
      <x:c r="AK2616" s="81" t="n">
        <x:f>W2616/MAX($W$2559:W2616)-1</x:f>
        <x:v>-0.7858634897446076</x:v>
      </x:c>
      <x:c r="AL2616" s="83" t="n">
        <x:f>'Inputs'!$B$51</x:f>
        <x:v>1</x:v>
      </x:c>
      <x:c r="AM2616" s="83" t="n">
        <x:f>'Inputs'!$C$51</x:f>
        <x:v>2</x:v>
      </x:c>
      <x:c r="AN2616" s="83" t="n">
        <x:f>'Inputs'!$D$51</x:f>
        <x:v>3</x:v>
      </x:c>
      <x:c r="AO2616" s="81" t="n">
        <x:f>'Inputs'!$E$51</x:f>
        <x:v>0.1</x:v>
      </x:c>
    </x:row>
    <x:row r="2617">
      <x:c r="A2617" s="59" t="str">
        <x:v>High demand</x:v>
      </x:c>
      <x:c r="B2617" s="59" t="n">
        <x:v>59</x:v>
      </x:c>
      <x:c r="C2617" s="78" t="n">
        <x:f>(('Inputs'!$B$29*(3*59*'Inputs'!$B$12-59^2)/(2*'Inputs'!$B$12^2))-('Inputs'!$B$29*(3*58*'Inputs'!$B$12-58^2)/(2*'Inputs'!$B$12^2)))*'Inputs'!$B$51</x:f>
        <x:v>692967.4892099798</x:v>
      </x:c>
      <x:c r="D2617" s="78" t="n">
        <x:f>IF('Inputs'!$C$51&gt;0,('Inputs'!$B$30*(3*59*'Inputs'!$B$12-59^2)/(2*'Inputs'!$B$12^2))-('Inputs'!$B$30*(3*58*'Inputs'!$B$12-58^2)/(2*'Inputs'!$B$12^2)),0)</x:f>
        <x:v>296986.06680427864</x:v>
      </x:c>
      <x:c r="E2617" s="78" t="n">
        <x:f>C2617+D2617</x:f>
        <x:v>989953.5560142584</x:v>
      </x:c>
      <x:c r="F2617" s="78" t="n">
        <x:f>'Inputs'!$B$13*E2617+(1-'Inputs'!$B$13)/'Inputs'!$B$14*SUM(E2562:E2617)</x:f>
        <x:v>1000171.2328767116</x:v>
      </x:c>
      <x:c r="G2617" s="78" t="n">
        <x:f>F2617*'Inputs'!$F$51</x:f>
        <x:v>250042.8082191779</x:v>
      </x:c>
      <x:c r="H2617" s="78" t="n">
        <x:f>U2616</x:f>
        <x:v>627045.1234884252</x:v>
      </x:c>
      <x:c r="I2617" s="78" t="n">
        <x:f>V2616</x:f>
        <x:v>132347.77290601516</x:v>
      </x:c>
      <x:c r="J2617" s="79" t="n">
        <x:f>IF(H2617&gt;0,I2617/H2617,0)</x:f>
        <x:v>0.2110657876896131</x:v>
      </x:c>
      <x:c r="K2617" s="80" t="n">
        <x:f>(H2617*J2617+I2617)*'Inputs'!$D$51*(1+'Inputs'!$G$51)^(B2617/30)</x:f>
        <x:v>874057.847019552</x:v>
      </x:c>
      <x:c r="L2617" s="80" t="n">
        <x:f>MAX(0,K2617*'Inputs'!$E$51)</x:f>
        <x:v>87405.78470195521</x:v>
      </x:c>
      <x:c r="M2617" s="80" t="n">
        <x:f>MAX(0,-K2617*'Inputs'!$E$51)</x:f>
        <x:v>0</x:v>
      </x:c>
      <x:c r="N2617" s="78" t="n">
        <x:f>H2617*(L2617*(1-'Inputs'!$B$15))/(I2617+L2617*(1-'Inputs'!$B$15))</x:f>
        <x:v>247895.74816590443</x:v>
      </x:c>
      <x:c r="O2617" s="78" t="n">
        <x:f>H2617-N2617</x:f>
        <x:v>379149.37532252073</x:v>
      </x:c>
      <x:c r="P2617" s="78" t="n">
        <x:f>I2617+L2617*(1-'Inputs'!$B$17)</x:f>
        <x:v>219401.82406792225</x:v>
      </x:c>
      <x:c r="Q2617" s="78" t="n">
        <x:f>IF(J2617&gt;0,M2617/J2617,0)</x:f>
        <x:v>0</x:v>
      </x:c>
      <x:c r="R2617" s="78" t="n">
        <x:f>IF(B2617='Inputs'!$H$51,'Inputs'!$B$27*'Inputs'!$I$51,0)</x:f>
        <x:v>0</x:v>
      </x:c>
      <x:c r="S2617" s="78" t="n">
        <x:f>Q2617+G2617+R2617</x:f>
        <x:v>250042.8082191779</x:v>
      </x:c>
      <x:c r="T2617" s="78" t="n">
        <x:f>P2617*(S2617*(1-'Inputs'!$B$15))/(O2617+S2617*(1-'Inputs'!$B$15))</x:f>
        <x:v>86663.4182802474</x:v>
      </x:c>
      <x:c r="U2617" s="78" t="n">
        <x:f>O2617+S2617*(1-'Inputs'!$B$17)</x:f>
        <x:v>628185.9750579193</x:v>
      </x:c>
      <x:c r="V2617" s="78" t="n">
        <x:f>P2617-T2617</x:f>
        <x:v>132738.40578767486</x:v>
      </x:c>
      <x:c r="W2617" s="79" t="n">
        <x:f>IF(U2617&gt;0,V2617/U2617,0)</x:f>
        <x:v>0.21130431282779955</x:v>
      </x:c>
      <x:c r="X2617" s="80" t="n">
        <x:f>W2617*('Inputs'!$B$6-AC2617)</x:f>
        <x:v>211188994.8711221</x:v>
      </x:c>
      <x:c r="Y2617" s="80" t="n">
        <x:f>2*V2617</x:f>
        <x:v>265476.8115753497</x:v>
      </x:c>
      <x:c r="Z2617" s="80" t="n">
        <x:f>K2617*'Inputs'!$B$16+(G2617+R2617)*J2617*'Inputs'!$B$16</x:f>
        <x:v>5560.999975754734</x:v>
      </x:c>
      <x:c r="AA2617" s="80" t="n">
        <x:f>K2617*(1+'Inputs'!$E$51)/2*'Inputs'!$B$17</x:f>
        <x:v>1934.5344702646023</x:v>
      </x:c>
      <x:c r="AB2617" s="78" t="n">
        <x:f>(IF(J2617&gt;0,K2617*(1-'Inputs'!$E$51)/2/J2617,0)+G2617+R2617)*'Inputs'!$B$17</x:f>
        <x:v>8505.296552680975</x:v>
      </x:c>
      <x:c r="AC2617" s="78" t="n">
        <x:f>AC2616+AB2617</x:f>
        <x:v>545743.5067660658</x:v>
      </x:c>
      <x:c r="AD2617" s="80" t="n">
        <x:f>Z2617/(1+'Inputs'!$C$51)</x:f>
        <x:v>1853.6666585849114</x:v>
      </x:c>
      <x:c r="AE2617" s="80" t="n">
        <x:f>Z2617-AD2617</x:f>
        <x:v>3707.3333171698223</x:v>
      </x:c>
      <x:c r="AF2617" s="80" t="n">
        <x:f>D2617*W2617</x:f>
        <x:v>62754.43676550907</x:v>
      </x:c>
      <x:c r="AG2617" s="80" t="n">
        <x:f>C2617*W2617</x:f>
        <x:v>146427.01911952038</x:v>
      </x:c>
      <x:c r="AH2617" s="80" t="n">
        <x:f>2*'Inputs'!$B$8*'Inputs'!$C$51</x:f>
        <x:v>10000</x:v>
      </x:c>
      <x:c r="AI2617" s="81" t="n">
        <x:f>IF(AH2617&gt;0,(AE2617+AF2617)/AH2617*365,0)</x:f>
        <x:v>2425.8546080177794</x:v>
      </x:c>
      <x:c r="AJ2617" s="81" t="n">
        <x:f>IF('Inputs'!$B$51&gt;0,AG2617/('Inputs'!$B$19*'Inputs'!$B$51)*365,0)</x:f>
        <x:v>5344.5861978624935</x:v>
      </x:c>
      <x:c r="AK2617" s="81" t="n">
        <x:f>W2617/MAX($W$2559:W2617)-1</x:f>
        <x:v>-0.7856214943873375</x:v>
      </x:c>
      <x:c r="AL2617" s="83" t="n">
        <x:f>'Inputs'!$B$51</x:f>
        <x:v>1</x:v>
      </x:c>
      <x:c r="AM2617" s="83" t="n">
        <x:f>'Inputs'!$C$51</x:f>
        <x:v>2</x:v>
      </x:c>
      <x:c r="AN2617" s="83" t="n">
        <x:f>'Inputs'!$D$51</x:f>
        <x:v>3</x:v>
      </x:c>
      <x:c r="AO2617" s="81" t="n">
        <x:f>'Inputs'!$E$51</x:f>
        <x:v>0.1</x:v>
      </x:c>
    </x:row>
    <x:row r="2618">
      <x:c r="A2618" s="59" t="str">
        <x:v>High demand</x:v>
      </x:c>
      <x:c r="B2618" s="59" t="n">
        <x:v>60</x:v>
      </x:c>
      <x:c r="C2618" s="78" t="n">
        <x:f>(('Inputs'!$B$29*(3*60*'Inputs'!$B$12-60^2)/(2*'Inputs'!$B$12^2))-('Inputs'!$B$29*(3*59*'Inputs'!$B$12-59^2)/(2*'Inputs'!$B$12^2)))*'Inputs'!$B$51</x:f>
        <x:v>692642.3813098148</x:v>
      </x:c>
      <x:c r="D2618" s="78" t="n">
        <x:f>IF('Inputs'!$C$51&gt;0,('Inputs'!$B$30*(3*60*'Inputs'!$B$12-60^2)/(2*'Inputs'!$B$12^2))-('Inputs'!$B$30*(3*59*'Inputs'!$B$12-59^2)/(2*'Inputs'!$B$12^2)),0)</x:f>
        <x:v>296846.73484706506</x:v>
      </x:c>
      <x:c r="E2618" s="78" t="n">
        <x:f>C2618+D2618</x:f>
        <x:v>989489.1161568798</x:v>
      </x:c>
      <x:c r="F2618" s="78" t="n">
        <x:f>'Inputs'!$B$13*E2618+(1-'Inputs'!$B$13)/'Inputs'!$B$14*SUM(E2563:E2618)</x:f>
        <x:v>999706.7930193288</x:v>
      </x:c>
      <x:c r="G2618" s="78" t="n">
        <x:f>F2618*'Inputs'!$F$51</x:f>
        <x:v>249926.6982548322</x:v>
      </x:c>
      <x:c r="H2618" s="78" t="n">
        <x:f>U2617</x:f>
        <x:v>628185.9750579193</x:v>
      </x:c>
      <x:c r="I2618" s="78" t="n">
        <x:f>V2617</x:f>
        <x:v>132738.40578767486</x:v>
      </x:c>
      <x:c r="J2618" s="79" t="n">
        <x:f>IF(H2618&gt;0,I2618/H2618,0)</x:f>
        <x:v>0.21130431282779955</x:v>
      </x:c>
      <x:c r="K2618" s="80" t="n">
        <x:f>(H2618*J2618+I2618)*'Inputs'!$D$51*(1+'Inputs'!$G$51)^(B2618/30)</x:f>
        <x:v>878064.5542854692</x:v>
      </x:c>
      <x:c r="L2618" s="80" t="n">
        <x:f>MAX(0,K2618*'Inputs'!$E$51)</x:f>
        <x:v>87806.45542854693</x:v>
      </x:c>
      <x:c r="M2618" s="80" t="n">
        <x:f>MAX(0,-K2618*'Inputs'!$E$51)</x:f>
        <x:v>0</x:v>
      </x:c>
      <x:c r="N2618" s="78" t="n">
        <x:f>H2618*(L2618*(1-'Inputs'!$B$15))/(I2618+L2618*(1-'Inputs'!$B$15))</x:f>
        <x:v>248591.0333804497</x:v>
      </x:c>
      <x:c r="O2618" s="78" t="n">
        <x:f>H2618-N2618</x:f>
        <x:v>379594.9416774696</x:v>
      </x:c>
      <x:c r="P2618" s="78" t="n">
        <x:f>I2618+L2618*(1-'Inputs'!$B$17)</x:f>
        <x:v>220191.51531912503</x:v>
      </x:c>
      <x:c r="Q2618" s="78" t="n">
        <x:f>IF(J2618&gt;0,M2618/J2618,0)</x:f>
        <x:v>0</x:v>
      </x:c>
      <x:c r="R2618" s="78" t="n">
        <x:f>IF(B2618='Inputs'!$H$51,'Inputs'!$B$27*'Inputs'!$I$51,0)</x:f>
        <x:v>0</x:v>
      </x:c>
      <x:c r="S2618" s="78" t="n">
        <x:f>Q2618+G2618+R2618</x:f>
        <x:v>249926.6982548322</x:v>
      </x:c>
      <x:c r="T2618" s="78" t="n">
        <x:f>P2618*(S2618*(1-'Inputs'!$B$15))/(O2618+S2618*(1-'Inputs'!$B$15))</x:f>
        <x:v>86889.11811401781</x:v>
      </x:c>
      <x:c r="U2618" s="78" t="n">
        <x:f>O2618+S2618*(1-'Inputs'!$B$17)</x:f>
        <x:v>628515.8986918397</x:v>
      </x:c>
      <x:c r="V2618" s="78" t="n">
        <x:f>P2618-T2618</x:f>
        <x:v>133302.3972051072</x:v>
      </x:c>
      <x:c r="W2618" s="79" t="n">
        <x:f>IF(U2618&gt;0,V2618/U2618,0)</x:f>
        <x:v>0.21209073228307493</x:v>
      </x:c>
      <x:c r="X2618" s="80" t="n">
        <x:f>W2618*('Inputs'!$B$6-AC2618)</x:f>
        <x:v>211973175.860378</x:v>
      </x:c>
      <x:c r="Y2618" s="80" t="n">
        <x:f>2*V2618</x:f>
        <x:v>266604.7944102144</x:v>
      </x:c>
      <x:c r="Z2618" s="80" t="n">
        <x:f>K2618*'Inputs'!$B$16+(G2618+R2618)*J2618*'Inputs'!$B$16</x:f>
        <x:v>5585.250861105164</x:v>
      </x:c>
      <x:c r="AA2618" s="80" t="n">
        <x:f>K2618*(1+'Inputs'!$E$51)/2*'Inputs'!$B$17</x:f>
        <x:v>1943.402434032226</x:v>
      </x:c>
      <x:c r="AB2618" s="78" t="n">
        <x:f>(IF(J2618&gt;0,K2618*(1-'Inputs'!$E$51)/2/J2618,0)+G2618+R2618)*'Inputs'!$B$17</x:f>
        <x:v>8530.701406472812</x:v>
      </x:c>
      <x:c r="AC2618" s="78" t="n">
        <x:f>AC2617+AB2618</x:f>
        <x:v>554274.2081725387</x:v>
      </x:c>
      <x:c r="AD2618" s="80" t="n">
        <x:f>Z2618/(1+'Inputs'!$C$51)</x:f>
        <x:v>1861.7502870350547</x:v>
      </x:c>
      <x:c r="AE2618" s="80" t="n">
        <x:f>Z2618-AD2618</x:f>
        <x:v>3723.50057407011</x:v>
      </x:c>
      <x:c r="AF2618" s="80" t="n">
        <x:f>D2618*W2618</x:f>
        <x:v>62958.4413695538</x:v>
      </x:c>
      <x:c r="AG2618" s="80" t="n">
        <x:f>C2618*W2618</x:f>
        <x:v>146903.0298622914</x:v>
      </x:c>
      <x:c r="AH2618" s="80" t="n">
        <x:f>2*'Inputs'!$B$8*'Inputs'!$C$51</x:f>
        <x:v>10000</x:v>
      </x:c>
      <x:c r="AI2618" s="81" t="n">
        <x:f>IF(AH2618&gt;0,(AE2618+AF2618)/AH2618*365,0)</x:f>
        <x:v>2433.890880942273</x:v>
      </x:c>
      <x:c r="AJ2618" s="81" t="n">
        <x:f>IF('Inputs'!$B$51&gt;0,AG2618/('Inputs'!$B$19*'Inputs'!$B$51)*365,0)</x:f>
        <x:v>5361.960589973637</x:v>
      </x:c>
      <x:c r="AK2618" s="81" t="n">
        <x:f>W2618/MAX($W$2559:W2618)-1</x:f>
        <x:v>-0.7848236335895598</x:v>
      </x:c>
      <x:c r="AL2618" s="83" t="n">
        <x:f>'Inputs'!$B$51</x:f>
        <x:v>1</x:v>
      </x:c>
      <x:c r="AM2618" s="83" t="n">
        <x:f>'Inputs'!$C$51</x:f>
        <x:v>2</x:v>
      </x:c>
      <x:c r="AN2618" s="83" t="n">
        <x:f>'Inputs'!$D$51</x:f>
        <x:v>3</x:v>
      </x:c>
      <x:c r="AO2618" s="81" t="n">
        <x:f>'Inputs'!$E$51</x:f>
        <x:v>0.1</x:v>
      </x:c>
    </x:row>
    <x:row r="2619">
      <x:c r="A2619" s="59" t="str">
        <x:v>High demand</x:v>
      </x:c>
      <x:c r="B2619" s="59" t="n">
        <x:v>61</x:v>
      </x:c>
      <x:c r="C2619" s="78" t="n">
        <x:f>(('Inputs'!$B$29*(3*61*'Inputs'!$B$12-61^2)/(2*'Inputs'!$B$12^2))-('Inputs'!$B$29*(3*60*'Inputs'!$B$12-60^2)/(2*'Inputs'!$B$12^2)))*'Inputs'!$B$51</x:f>
        <x:v>692317.2734096497</x:v>
      </x:c>
      <x:c r="D2619" s="78" t="n">
        <x:f>IF('Inputs'!$C$51&gt;0,('Inputs'!$B$30*(3*61*'Inputs'!$B$12-61^2)/(2*'Inputs'!$B$12^2))-('Inputs'!$B$30*(3*60*'Inputs'!$B$12-60^2)/(2*'Inputs'!$B$12^2)),0)</x:f>
        <x:v>296707.40288984776</x:v>
      </x:c>
      <x:c r="E2619" s="78" t="n">
        <x:f>C2619+D2619</x:f>
        <x:v>989024.6762994975</x:v>
      </x:c>
      <x:c r="F2619" s="78" t="n">
        <x:f>'Inputs'!$B$13*E2619+(1-'Inputs'!$B$13)/'Inputs'!$B$14*SUM(E2564:E2619)</x:f>
        <x:v>999242.3531619449</x:v>
      </x:c>
      <x:c r="G2619" s="78" t="n">
        <x:f>F2619*'Inputs'!$F$51</x:f>
        <x:v>249810.58829048622</x:v>
      </x:c>
      <x:c r="H2619" s="78" t="n">
        <x:f>U2618</x:f>
        <x:v>628515.8986918397</x:v>
      </x:c>
      <x:c r="I2619" s="78" t="n">
        <x:f>V2618</x:f>
        <x:v>133302.3972051072</x:v>
      </x:c>
      <x:c r="J2619" s="79" t="n">
        <x:f>IF(H2619&gt;0,I2619/H2619,0)</x:f>
        <x:v>0.21209073228307493</x:v>
      </x:c>
      <x:c r="K2619" s="80" t="n">
        <x:f>(H2619*J2619+I2619)*'Inputs'!$D$51*(1+'Inputs'!$G$51)^(B2619/30)</x:f>
        <x:v>883230.6223174168</x:v>
      </x:c>
      <x:c r="L2619" s="80" t="n">
        <x:f>MAX(0,K2619*'Inputs'!$E$51)</x:f>
        <x:v>88323.06223174169</x:v>
      </x:c>
      <x:c r="M2619" s="80" t="n">
        <x:f>MAX(0,-K2619*'Inputs'!$E$51)</x:f>
        <x:v>0</x:v>
      </x:c>
      <x:c r="N2619" s="78" t="n">
        <x:f>H2619*(L2619*(1-'Inputs'!$B$15))/(I2619+L2619*(1-'Inputs'!$B$15))</x:f>
        <x:v>248966.06616958548</x:v>
      </x:c>
      <x:c r="O2619" s="78" t="n">
        <x:f>H2619-N2619</x:f>
        <x:v>379549.8325222542</x:v>
      </x:c>
      <x:c r="P2619" s="78" t="n">
        <x:f>I2619+L2619*(1-'Inputs'!$B$17)</x:f>
        <x:v>221270.03463913564</x:v>
      </x:c>
      <x:c r="Q2619" s="78" t="n">
        <x:f>IF(J2619&gt;0,M2619/J2619,0)</x:f>
        <x:v>0</x:v>
      </x:c>
      <x:c r="R2619" s="78" t="n">
        <x:f>IF(B2619='Inputs'!$H$51,'Inputs'!$B$27*'Inputs'!$I$51,0)</x:f>
        <x:v>0</x:v>
      </x:c>
      <x:c r="S2619" s="78" t="n">
        <x:f>Q2619+G2619+R2619</x:f>
        <x:v>249810.58829048622</x:v>
      </x:c>
      <x:c r="T2619" s="78" t="n">
        <x:f>P2619*(S2619*(1-'Inputs'!$B$15))/(O2619+S2619*(1-'Inputs'!$B$15))</x:f>
        <x:v>87296.42896963947</x:v>
      </x:c>
      <x:c r="U2619" s="78" t="n">
        <x:f>O2619+S2619*(1-'Inputs'!$B$17)</x:f>
        <x:v>628355.1468155956</x:v>
      </x:c>
      <x:c r="V2619" s="78" t="n">
        <x:f>P2619-T2619</x:f>
        <x:v>133973.60566949617</x:v>
      </x:c>
      <x:c r="W2619" s="79" t="n">
        <x:f>IF(U2619&gt;0,V2619/U2619,0)</x:f>
        <x:v>0.21321319057932955</x:v>
      </x:c>
      <x:c r="X2619" s="80" t="n">
        <x:f>W2619*('Inputs'!$B$6-AC2619)</x:f>
        <x:v>213093189.79303798</x:v>
      </x:c>
      <x:c r="Y2619" s="80" t="n">
        <x:f>2*V2619</x:f>
        <x:v>267947.21133899235</x:v>
      </x:c>
      <x:c r="Z2619" s="80" t="n">
        <x:f>K2619*'Inputs'!$B$16+(G2619+R2619)*J2619*'Inputs'!$B$16</x:f>
        <x:v>5617.278797520071</x:v>
      </x:c>
      <x:c r="AA2619" s="80" t="n">
        <x:f>K2619*(1+'Inputs'!$E$51)/2*'Inputs'!$B$17</x:f>
        <x:v>1954.8363874228544</x:v>
      </x:c>
      <x:c r="AB2619" s="78" t="n">
        <x:f>(IF(J2619&gt;0,K2619*(1-'Inputs'!$E$51)/2/J2619,0)+G2619+R2619)*'Inputs'!$B$17</x:f>
        <x:v>8546.440801052553</x:v>
      </x:c>
      <x:c r="AC2619" s="78" t="n">
        <x:f>AC2618+AB2619</x:f>
        <x:v>562820.6489735913</x:v>
      </x:c>
      <x:c r="AD2619" s="80" t="n">
        <x:f>Z2619/(1+'Inputs'!$C$51)</x:f>
        <x:v>1872.4262658400237</x:v>
      </x:c>
      <x:c r="AE2619" s="80" t="n">
        <x:f>Z2619-AD2619</x:f>
        <x:v>3744.852531680047</x:v>
      </x:c>
      <x:c r="AF2619" s="80" t="n">
        <x:f>D2619*W2619</x:f>
        <x:v>63261.93203865102</x:v>
      </x:c>
      <x:c r="AG2619" s="80" t="n">
        <x:f>C2619*W2619</x:f>
        <x:v>147611.17475685346</x:v>
      </x:c>
      <x:c r="AH2619" s="80" t="n">
        <x:f>2*'Inputs'!$B$8*'Inputs'!$C$51</x:f>
        <x:v>10000</x:v>
      </x:c>
      <x:c r="AI2619" s="81" t="n">
        <x:f>IF(AH2619&gt;0,(AE2619+AF2619)/AH2619*365,0)</x:f>
        <x:v>2445.747636817084</x:v>
      </x:c>
      <x:c r="AJ2619" s="81" t="n">
        <x:f>IF('Inputs'!$B$51&gt;0,AG2619/('Inputs'!$B$19*'Inputs'!$B$51)*365,0)</x:f>
        <x:v>5387.807878625151</x:v>
      </x:c>
      <x:c r="AK2619" s="81" t="n">
        <x:f>W2619/MAX($W$2559:W2619)-1</x:f>
        <x:v>-0.7836848450388514</x:v>
      </x:c>
      <x:c r="AL2619" s="83" t="n">
        <x:f>'Inputs'!$B$51</x:f>
        <x:v>1</x:v>
      </x:c>
      <x:c r="AM2619" s="83" t="n">
        <x:f>'Inputs'!$C$51</x:f>
        <x:v>2</x:v>
      </x:c>
      <x:c r="AN2619" s="83" t="n">
        <x:f>'Inputs'!$D$51</x:f>
        <x:v>3</x:v>
      </x:c>
      <x:c r="AO2619" s="81" t="n">
        <x:f>'Inputs'!$E$51</x:f>
        <x:v>0.1</x:v>
      </x:c>
    </x:row>
    <x:row r="2620">
      <x:c r="A2620" s="59" t="str">
        <x:v>High demand</x:v>
      </x:c>
      <x:c r="B2620" s="59" t="n">
        <x:v>62</x:v>
      </x:c>
      <x:c r="C2620" s="78" t="n">
        <x:f>(('Inputs'!$B$29*(3*62*'Inputs'!$B$12-62^2)/(2*'Inputs'!$B$12^2))-('Inputs'!$B$29*(3*61*'Inputs'!$B$12-61^2)/(2*'Inputs'!$B$12^2)))*'Inputs'!$B$51</x:f>
        <x:v>691992.1655094698</x:v>
      </x:c>
      <x:c r="D2620" s="78" t="n">
        <x:f>IF('Inputs'!$C$51&gt;0,('Inputs'!$B$30*(3*62*'Inputs'!$B$12-62^2)/(2*'Inputs'!$B$12^2))-('Inputs'!$B$30*(3*61*'Inputs'!$B$12-61^2)/(2*'Inputs'!$B$12^2)),0)</x:f>
        <x:v>296568.0709326342</x:v>
      </x:c>
      <x:c r="E2620" s="78" t="n">
        <x:f>C2620+D2620</x:f>
        <x:v>988560.236442104</x:v>
      </x:c>
      <x:c r="F2620" s="78" t="n">
        <x:f>'Inputs'!$B$13*E2620+(1-'Inputs'!$B$13)/'Inputs'!$B$14*SUM(E2565:E2620)</x:f>
        <x:v>998777.913304559</x:v>
      </x:c>
      <x:c r="G2620" s="78" t="n">
        <x:f>F2620*'Inputs'!$F$51</x:f>
        <x:v>249694.47832613974</x:v>
      </x:c>
      <x:c r="H2620" s="78" t="n">
        <x:f>U2619</x:f>
        <x:v>628355.1468155956</x:v>
      </x:c>
      <x:c r="I2620" s="78" t="n">
        <x:f>V2619</x:f>
        <x:v>133973.60566949617</x:v>
      </x:c>
      <x:c r="J2620" s="79" t="n">
        <x:f>IF(H2620&gt;0,I2620/H2620,0)</x:f>
        <x:v>0.21321319057932955</x:v>
      </x:c>
      <x:c r="K2620" s="80" t="n">
        <x:f>(H2620*J2620+I2620)*'Inputs'!$D$51*(1+'Inputs'!$G$51)^(B2620/30)</x:f>
        <x:v>889122.7327857926</x:v>
      </x:c>
      <x:c r="L2620" s="80" t="n">
        <x:f>MAX(0,K2620*'Inputs'!$E$51)</x:f>
        <x:v>88912.27327857926</x:v>
      </x:c>
      <x:c r="M2620" s="80" t="n">
        <x:f>MAX(0,-K2620*'Inputs'!$E$51)</x:f>
        <x:v>0</x:v>
      </x:c>
      <x:c r="N2620" s="78" t="n">
        <x:f>H2620*(L2620*(1-'Inputs'!$B$15))/(I2620+L2620*(1-'Inputs'!$B$15))</x:f>
        <x:v>249146.88226675973</x:v>
      </x:c>
      <x:c r="O2620" s="78" t="n">
        <x:f>H2620-N2620</x:f>
        <x:v>379208.2645488358</x:v>
      </x:c>
      <x:c r="P2620" s="78" t="n">
        <x:f>I2620+L2620*(1-'Inputs'!$B$17)</x:f>
        <x:v>222528.08307975117</x:v>
      </x:c>
      <x:c r="Q2620" s="78" t="n">
        <x:f>IF(J2620&gt;0,M2620/J2620,0)</x:f>
        <x:v>0</x:v>
      </x:c>
      <x:c r="R2620" s="78" t="n">
        <x:f>IF(B2620='Inputs'!$H$51,'Inputs'!$B$27*'Inputs'!$I$51,0)</x:f>
        <x:v>0</x:v>
      </x:c>
      <x:c r="S2620" s="78" t="n">
        <x:f>Q2620+G2620+R2620</x:f>
        <x:v>249694.47832613974</x:v>
      </x:c>
      <x:c r="T2620" s="78" t="n">
        <x:f>P2620*(S2620*(1-'Inputs'!$B$15))/(O2620+S2620*(1-'Inputs'!$B$15))</x:f>
        <x:v>87815.90695507139</x:v>
      </x:c>
      <x:c r="U2620" s="78" t="n">
        <x:f>O2620+S2620*(1-'Inputs'!$B$17)</x:f>
        <x:v>627897.936121148</x:v>
      </x:c>
      <x:c r="V2620" s="78" t="n">
        <x:f>P2620-T2620</x:f>
        <x:v>134712.1761246798</x:v>
      </x:c>
      <x:c r="W2620" s="79" t="n">
        <x:f>IF(U2620&gt;0,V2620/U2620,0)</x:f>
        <x:v>0.21454470284910782</x:v>
      </x:c>
      <x:c r="X2620" s="80" t="n">
        <x:f>W2620*('Inputs'!$B$6-AC2620)</x:f>
        <x:v>214422116.94791517</x:v>
      </x:c>
      <x:c r="Y2620" s="80" t="n">
        <x:f>2*V2620</x:f>
        <x:v>269424.3522493596</x:v>
      </x:c>
      <x:c r="Z2620" s="80" t="n">
        <x:f>K2620*'Inputs'!$B$16+(G2620+R2620)*J2620*'Inputs'!$B$16</x:f>
        <x:v>5654.165335078501</x:v>
      </x:c>
      <x:c r="AA2620" s="80" t="n">
        <x:f>K2620*(1+'Inputs'!$E$51)/2*'Inputs'!$B$17</x:f>
        <x:v>1967.8772757834447</x:v>
      </x:c>
      <x:c r="AB2620" s="78" t="n">
        <x:f>(IF(J2620&gt;0,K2620*(1-'Inputs'!$E$51)/2/J2620,0)+G2620+R2620)*'Inputs'!$B$17</x:f>
        <x:v>8556.316128479108</x:v>
      </x:c>
      <x:c r="AC2620" s="78" t="n">
        <x:f>AC2619+AB2620</x:f>
        <x:v>571376.9651020704</x:v>
      </x:c>
      <x:c r="AD2620" s="80" t="n">
        <x:f>Z2620/(1+'Inputs'!$C$51)</x:f>
        <x:v>1884.7217783595004</x:v>
      </x:c>
      <x:c r="AE2620" s="80" t="n">
        <x:f>Z2620-AD2620</x:f>
        <x:v>3769.4435567190003</x:v>
      </x:c>
      <x:c r="AF2620" s="80" t="n">
        <x:f>D2620*W2620</x:f>
        <x:v>63627.108652775125</x:v>
      </x:c>
      <x:c r="AG2620" s="80" t="n">
        <x:f>C2620*W2620</x:f>
        <x:v>148463.25352313984</x:v>
      </x:c>
      <x:c r="AH2620" s="80" t="n">
        <x:f>2*'Inputs'!$B$8*'Inputs'!$C$51</x:f>
        <x:v>10000</x:v>
      </x:c>
      <x:c r="AI2620" s="81" t="n">
        <x:f>IF(AH2620&gt;0,(AE2620+AF2620)/AH2620*365,0)</x:f>
        <x:v>2459.9741556465356</x:v>
      </x:c>
      <x:c r="AJ2620" s="81" t="n">
        <x:f>IF('Inputs'!$B$51&gt;0,AG2620/('Inputs'!$B$19*'Inputs'!$B$51)*365,0)</x:f>
        <x:v>5418.908753594605</x:v>
      </x:c>
      <x:c r="AK2620" s="81" t="n">
        <x:f>W2620/MAX($W$2559:W2620)-1</x:f>
        <x:v>-0.7823339610612365</x:v>
      </x:c>
      <x:c r="AL2620" s="83" t="n">
        <x:f>'Inputs'!$B$51</x:f>
        <x:v>1</x:v>
      </x:c>
      <x:c r="AM2620" s="83" t="n">
        <x:f>'Inputs'!$C$51</x:f>
        <x:v>2</x:v>
      </x:c>
      <x:c r="AN2620" s="83" t="n">
        <x:f>'Inputs'!$D$51</x:f>
        <x:v>3</x:v>
      </x:c>
      <x:c r="AO2620" s="81" t="n">
        <x:f>'Inputs'!$E$51</x:f>
        <x:v>0.1</x:v>
      </x:c>
    </x:row>
    <x:row r="2621">
      <x:c r="A2621" s="59" t="str">
        <x:v>High demand</x:v>
      </x:c>
      <x:c r="B2621" s="59" t="n">
        <x:v>63</x:v>
      </x:c>
      <x:c r="C2621" s="78" t="n">
        <x:f>(('Inputs'!$B$29*(3*63*'Inputs'!$B$12-63^2)/(2*'Inputs'!$B$12^2))-('Inputs'!$B$29*(3*62*'Inputs'!$B$12-62^2)/(2*'Inputs'!$B$12^2)))*'Inputs'!$B$51</x:f>
        <x:v>691667.0576093122</x:v>
      </x:c>
      <x:c r="D2621" s="78" t="n">
        <x:f>IF('Inputs'!$C$51&gt;0,('Inputs'!$B$30*(3*63*'Inputs'!$B$12-63^2)/(2*'Inputs'!$B$12^2))-('Inputs'!$B$30*(3*62*'Inputs'!$B$12-62^2)/(2*'Inputs'!$B$12^2)),0)</x:f>
        <x:v>296428.73897541687</x:v>
      </x:c>
      <x:c r="E2621" s="78" t="n">
        <x:f>C2621+D2621</x:f>
        <x:v>988095.7965847291</x:v>
      </x:c>
      <x:c r="F2621" s="78" t="n">
        <x:f>'Inputs'!$B$13*E2621+(1-'Inputs'!$B$13)/'Inputs'!$B$14*SUM(E2566:E2621)</x:f>
        <x:v>998313.4734471765</x:v>
      </x:c>
      <x:c r="G2621" s="78" t="n">
        <x:f>F2621*'Inputs'!$F$51</x:f>
        <x:v>249578.36836179413</x:v>
      </x:c>
      <x:c r="H2621" s="78" t="n">
        <x:f>U2620</x:f>
        <x:v>627897.936121148</x:v>
      </x:c>
      <x:c r="I2621" s="78" t="n">
        <x:f>V2620</x:f>
        <x:v>134712.1761246798</x:v>
      </x:c>
      <x:c r="J2621" s="79" t="n">
        <x:f>IF(H2621&gt;0,I2621/H2621,0)</x:f>
        <x:v>0.21454470284910782</x:v>
      </x:c>
      <x:c r="K2621" s="80" t="n">
        <x:f>(H2621*J2621+I2621)*'Inputs'!$D$51*(1+'Inputs'!$G$51)^(B2621/30)</x:f>
        <x:v>895479.463023562</x:v>
      </x:c>
      <x:c r="L2621" s="80" t="n">
        <x:f>MAX(0,K2621*'Inputs'!$E$51)</x:f>
        <x:v>89547.9463023562</x:v>
      </x:c>
      <x:c r="M2621" s="80" t="n">
        <x:f>MAX(0,-K2621*'Inputs'!$E$51)</x:f>
        <x:v>0</x:v>
      </x:c>
      <x:c r="N2621" s="78" t="n">
        <x:f>H2621*(L2621*(1-'Inputs'!$B$15))/(I2621+L2621*(1-'Inputs'!$B$15))</x:f>
        <x:v>249209.99233273434</x:v>
      </x:c>
      <x:c r="O2621" s="78" t="n">
        <x:f>H2621-N2621</x:f>
        <x:v>378687.9437884137</x:v>
      </x:c>
      <x:c r="P2621" s="78" t="n">
        <x:f>I2621+L2621*(1-'Inputs'!$B$17)</x:f>
        <x:v>223899.7685183746</x:v>
      </x:c>
      <x:c r="Q2621" s="78" t="n">
        <x:f>IF(J2621&gt;0,M2621/J2621,0)</x:f>
        <x:v>0</x:v>
      </x:c>
      <x:c r="R2621" s="78" t="n">
        <x:f>IF(B2621='Inputs'!$H$51,'Inputs'!$B$27*'Inputs'!$I$51,0)</x:f>
        <x:v>0</x:v>
      </x:c>
      <x:c r="S2621" s="78" t="n">
        <x:f>Q2621+G2621+R2621</x:f>
        <x:v>249578.36836179413</x:v>
      </x:c>
      <x:c r="T2621" s="78" t="n">
        <x:f>P2621*(S2621*(1-'Inputs'!$B$15))/(O2621+S2621*(1-'Inputs'!$B$15))</x:f>
        <x:v>88405.78294718938</x:v>
      </x:c>
      <x:c r="U2621" s="78" t="n">
        <x:f>O2621+S2621*(1-'Inputs'!$B$17)</x:f>
        <x:v>627261.9726396976</x:v>
      </x:c>
      <x:c r="V2621" s="78" t="n">
        <x:f>P2621-T2621</x:f>
        <x:v>135493.9855711852</x:v>
      </x:c>
      <x:c r="W2621" s="79" t="n">
        <x:f>IF(U2621&gt;0,V2621/U2621,0)</x:f>
        <x:v>0.21600860801586266</x:v>
      </x:c>
      <x:c r="X2621" s="80" t="n">
        <x:f>W2621*('Inputs'!$B$6-AC2621)</x:f>
        <x:v>215883336.06977996</x:v>
      </x:c>
      <x:c r="Y2621" s="80" t="n">
        <x:f>2*V2621</x:f>
        <x:v>270987.9711423704</x:v>
      </x:c>
      <x:c r="Z2621" s="80" t="n">
        <x:f>K2621*'Inputs'!$B$16+(G2621+R2621)*J2621*'Inputs'!$B$16</x:f>
        <x:v>5694.1510794078495</x:v>
      </x:c>
      <x:c r="AA2621" s="80" t="n">
        <x:f>K2621*(1+'Inputs'!$E$51)/2*'Inputs'!$B$17</x:f>
        <x:v>1981.9464976376628</x:v>
      </x:c>
      <x:c r="AB2621" s="78" t="n">
        <x:f>(IF(J2621&gt;0,K2621*(1-'Inputs'!$E$51)/2/J2621,0)+G2621+R2621)*'Inputs'!$B$17</x:f>
        <x:v>8562.636534122874</x:v>
      </x:c>
      <x:c r="AC2621" s="78" t="n">
        <x:f>AC2620+AB2621</x:f>
        <x:v>579939.6016361932</x:v>
      </x:c>
      <x:c r="AD2621" s="80" t="n">
        <x:f>Z2621/(1+'Inputs'!$C$51)</x:f>
        <x:v>1898.0503598026164</x:v>
      </x:c>
      <x:c r="AE2621" s="80" t="n">
        <x:f>Z2621-AD2621</x:f>
        <x:v>3796.1007196052333</x:v>
      </x:c>
      <x:c r="AF2621" s="80" t="n">
        <x:f>D2621*W2621</x:f>
        <x:v>64031.15928197729</x:v>
      </x:c>
      <x:c r="AG2621" s="80" t="n">
        <x:f>C2621*W2621</x:f>
        <x:v>149406.03832461502</x:v>
      </x:c>
      <x:c r="AH2621" s="80" t="n">
        <x:f>2*'Inputs'!$B$8*'Inputs'!$C$51</x:f>
        <x:v>10000</x:v>
      </x:c>
      <x:c r="AI2621" s="81" t="n">
        <x:f>IF(AH2621&gt;0,(AE2621+AF2621)/AH2621*365,0)</x:f>
        <x:v>2475.6949900577624</x:v>
      </x:c>
      <x:c r="AJ2621" s="81" t="n">
        <x:f>IF('Inputs'!$B$51&gt;0,AG2621/('Inputs'!$B$19*'Inputs'!$B$51)*365,0)</x:f>
        <x:v>5453.320398848448</x:v>
      </x:c>
      <x:c r="AK2621" s="81" t="n">
        <x:f>W2621/MAX($W$2559:W2621)-1</x:f>
        <x:v>-0.7808487580485404</x:v>
      </x:c>
      <x:c r="AL2621" s="83" t="n">
        <x:f>'Inputs'!$B$51</x:f>
        <x:v>1</x:v>
      </x:c>
      <x:c r="AM2621" s="83" t="n">
        <x:f>'Inputs'!$C$51</x:f>
        <x:v>2</x:v>
      </x:c>
      <x:c r="AN2621" s="83" t="n">
        <x:f>'Inputs'!$D$51</x:f>
        <x:v>3</x:v>
      </x:c>
      <x:c r="AO2621" s="81" t="n">
        <x:f>'Inputs'!$E$51</x:f>
        <x:v>0.1</x:v>
      </x:c>
    </x:row>
    <x:row r="2622">
      <x:c r="A2622" s="59" t="str">
        <x:v>High demand</x:v>
      </x:c>
      <x:c r="B2622" s="59" t="n">
        <x:v>64</x:v>
      </x:c>
      <x:c r="C2622" s="78" t="n">
        <x:f>(('Inputs'!$B$29*(3*64*'Inputs'!$B$12-64^2)/(2*'Inputs'!$B$12^2))-('Inputs'!$B$29*(3*63*'Inputs'!$B$12-63^2)/(2*'Inputs'!$B$12^2)))*'Inputs'!$B$51</x:f>
        <x:v>691341.9497091398</x:v>
      </x:c>
      <x:c r="D2622" s="78" t="n">
        <x:f>IF('Inputs'!$C$51&gt;0,('Inputs'!$B$30*(3*64*'Inputs'!$B$12-64^2)/(2*'Inputs'!$B$12^2))-('Inputs'!$B$30*(3*63*'Inputs'!$B$12-63^2)/(2*'Inputs'!$B$12^2)),0)</x:f>
        <x:v>296289.40701819956</x:v>
      </x:c>
      <x:c r="E2622" s="78" t="n">
        <x:f>C2622+D2622</x:f>
        <x:v>987631.3567273393</x:v>
      </x:c>
      <x:c r="F2622" s="78" t="n">
        <x:f>'Inputs'!$B$13*E2622+(1-'Inputs'!$B$13)/'Inputs'!$B$14*SUM(E2567:E2622)</x:f>
        <x:v>997849.0335897914</x:v>
      </x:c>
      <x:c r="G2622" s="78" t="n">
        <x:f>F2622*'Inputs'!$F$51</x:f>
        <x:v>249462.25839744785</x:v>
      </x:c>
      <x:c r="H2622" s="78" t="n">
        <x:f>U2621</x:f>
        <x:v>627261.9726396976</x:v>
      </x:c>
      <x:c r="I2622" s="78" t="n">
        <x:f>V2621</x:f>
        <x:v>135493.9855711852</x:v>
      </x:c>
      <x:c r="J2622" s="79" t="n">
        <x:f>IF(H2622&gt;0,I2622/H2622,0)</x:f>
        <x:v>0.21600860801586266</x:v>
      </x:c>
      <x:c r="K2622" s="80" t="n">
        <x:f>(H2622*J2622+I2622)*'Inputs'!$D$51*(1+'Inputs'!$G$51)^(B2622/30)</x:f>
        <x:v>902142.4236329489</x:v>
      </x:c>
      <x:c r="L2622" s="80" t="n">
        <x:f>MAX(0,K2622*'Inputs'!$E$51)</x:f>
        <x:v>90214.24236329489</x:v>
      </x:c>
      <x:c r="M2622" s="80" t="n">
        <x:f>MAX(0,-K2622*'Inputs'!$E$51)</x:f>
        <x:v>0</x:v>
      </x:c>
      <x:c r="N2622" s="78" t="n">
        <x:f>H2622*(L2622*(1-'Inputs'!$B$15))/(I2622+L2622*(1-'Inputs'!$B$15))</x:f>
        <x:v>249201.81258190644</x:v>
      </x:c>
      <x:c r="O2622" s="78" t="n">
        <x:f>H2622-N2622</x:f>
        <x:v>378060.16005779116</x:v>
      </x:c>
      <x:c r="P2622" s="78" t="n">
        <x:f>I2622+L2622*(1-'Inputs'!$B$17)</x:f>
        <x:v>225345.1927539437</x:v>
      </x:c>
      <x:c r="Q2622" s="78" t="n">
        <x:f>IF(J2622&gt;0,M2622/J2622,0)</x:f>
        <x:v>0</x:v>
      </x:c>
      <x:c r="R2622" s="78" t="n">
        <x:f>IF(B2622='Inputs'!$H$51,'Inputs'!$B$27*'Inputs'!$I$51,0)</x:f>
        <x:v>0</x:v>
      </x:c>
      <x:c r="S2622" s="78" t="n">
        <x:f>Q2622+G2622+R2622</x:f>
        <x:v>249462.25839744785</x:v>
      </x:c>
      <x:c r="T2622" s="78" t="n">
        <x:f>P2622*(S2622*(1-'Inputs'!$B$15))/(O2622+S2622*(1-'Inputs'!$B$15))</x:f>
        <x:v>89040.79124800337</x:v>
      </x:c>
      <x:c r="U2622" s="78" t="n">
        <x:f>O2622+S2622*(1-'Inputs'!$B$17)</x:f>
        <x:v>626518.546188046</x:v>
      </x:c>
      <x:c r="V2622" s="78" t="n">
        <x:f>P2622-T2622</x:f>
        <x:v>136304.40150594033</x:v>
      </x:c>
      <x:c r="W2622" s="79" t="n">
        <x:f>IF(U2622&gt;0,V2622/U2622,0)</x:f>
        <x:v>0.2175584463305406</x:v>
      </x:c>
      <x:c r="X2622" s="80" t="n">
        <x:f>W2622*('Inputs'!$B$6-AC2622)</x:f>
        <x:v>217430411.79131883</x:v>
      </x:c>
      <x:c r="Y2622" s="80" t="n">
        <x:f>2*V2622</x:f>
        <x:v>272608.80301188066</x:v>
      </x:c>
      <x:c r="Z2622" s="80" t="n">
        <x:f>K2622*'Inputs'!$B$16+(G2622+R2622)*J2622*'Inputs'!$B$16</x:f>
        <x:v>5736.17051293125</x:v>
      </x:c>
      <x:c r="AA2622" s="80" t="n">
        <x:f>K2622*(1+'Inputs'!$E$51)/2*'Inputs'!$B$17</x:f>
        <x:v>1996.693492950189</x:v>
      </x:c>
      <x:c r="AB2622" s="78" t="n">
        <x:f>(IF(J2622&gt;0,K2622*(1-'Inputs'!$E$51)/2/J2622,0)+G2622+R2622)*'Inputs'!$B$17</x:f>
        <x:v>8566.803797652248</x:v>
      </x:c>
      <x:c r="AC2622" s="78" t="n">
        <x:f>AC2621+AB2622</x:f>
        <x:v>588506.4054338455</x:v>
      </x:c>
      <x:c r="AD2622" s="80" t="n">
        <x:f>Z2622/(1+'Inputs'!$C$51)</x:f>
        <x:v>1912.0568376437502</x:v>
      </x:c>
      <x:c r="AE2622" s="80" t="n">
        <x:f>Z2622-AD2622</x:f>
        <x:v>3824.1136752875</x:v>
      </x:c>
      <x:c r="AF2622" s="80" t="n">
        <x:f>D2622*W2622</x:f>
        <x:v>64460.26305507667</x:v>
      </x:c>
      <x:c r="AG2622" s="80" t="n">
        <x:f>C2622*W2622</x:f>
        <x:v>150407.2804618472</x:v>
      </x:c>
      <x:c r="AH2622" s="80" t="n">
        <x:f>2*'Inputs'!$B$8*'Inputs'!$C$51</x:f>
        <x:v>10000</x:v>
      </x:c>
      <x:c r="AI2622" s="81" t="n">
        <x:f>IF(AH2622&gt;0,(AE2622+AF2622)/AH2622*365,0)</x:f>
        <x:v>2492.3797506582923</x:v>
      </x:c>
      <x:c r="AJ2622" s="81" t="n">
        <x:f>IF('Inputs'!$B$51&gt;0,AG2622/('Inputs'!$B$19*'Inputs'!$B$51)*365,0)</x:f>
        <x:v>5489.865736857423</x:v>
      </x:c>
      <x:c r="AK2622" s="81" t="n">
        <x:f>W2622/MAX($W$2559:W2622)-1</x:f>
        <x:v>-0.7792763716765089</x:v>
      </x:c>
      <x:c r="AL2622" s="83" t="n">
        <x:f>'Inputs'!$B$51</x:f>
        <x:v>1</x:v>
      </x:c>
      <x:c r="AM2622" s="83" t="n">
        <x:f>'Inputs'!$C$51</x:f>
        <x:v>2</x:v>
      </x:c>
      <x:c r="AN2622" s="83" t="n">
        <x:f>'Inputs'!$D$51</x:f>
        <x:v>3</x:v>
      </x:c>
      <x:c r="AO2622" s="81" t="n">
        <x:f>'Inputs'!$E$51</x:f>
        <x:v>0.1</x:v>
      </x:c>
    </x:row>
    <x:row r="2623">
      <x:c r="A2623" s="59" t="str">
        <x:v>High demand</x:v>
      </x:c>
      <x:c r="B2623" s="59" t="n">
        <x:v>65</x:v>
      </x:c>
      <x:c r="C2623" s="78" t="n">
        <x:f>(('Inputs'!$B$29*(3*65*'Inputs'!$B$12-65^2)/(2*'Inputs'!$B$12^2))-('Inputs'!$B$29*(3*64*'Inputs'!$B$12-64^2)/(2*'Inputs'!$B$12^2)))*'Inputs'!$B$51</x:f>
        <x:v>691016.8418089673</x:v>
      </x:c>
      <x:c r="D2623" s="78" t="n">
        <x:f>IF('Inputs'!$C$51&gt;0,('Inputs'!$B$30*(3*65*'Inputs'!$B$12-65^2)/(2*'Inputs'!$B$12^2))-('Inputs'!$B$30*(3*64*'Inputs'!$B$12-64^2)/(2*'Inputs'!$B$12^2)),0)</x:f>
        <x:v>296150.0750609897</x:v>
      </x:c>
      <x:c r="E2623" s="78" t="n">
        <x:f>C2623+D2623</x:f>
        <x:v>987166.916869957</x:v>
      </x:c>
      <x:c r="F2623" s="78" t="n">
        <x:f>'Inputs'!$B$13*E2623+(1-'Inputs'!$B$13)/'Inputs'!$B$14*SUM(E2568:E2623)</x:f>
        <x:v>997384.5937324078</x:v>
      </x:c>
      <x:c r="G2623" s="78" t="n">
        <x:f>F2623*'Inputs'!$F$51</x:f>
        <x:v>249346.14843310195</x:v>
      </x:c>
      <x:c r="H2623" s="78" t="n">
        <x:f>U2622</x:f>
        <x:v>626518.546188046</x:v>
      </x:c>
      <x:c r="I2623" s="78" t="n">
        <x:f>V2622</x:f>
        <x:v>136304.40150594033</x:v>
      </x:c>
      <x:c r="J2623" s="79" t="n">
        <x:f>IF(H2623&gt;0,I2623/H2623,0)</x:f>
        <x:v>0.2175584463305406</x:v>
      </x:c>
      <x:c r="K2623" s="80" t="n">
        <x:f>(H2623*J2623+I2623)*'Inputs'!$D$51*(1+'Inputs'!$G$51)^(B2623/30)</x:f>
        <x:v>909015.4789282634</x:v>
      </x:c>
      <x:c r="L2623" s="80" t="n">
        <x:f>MAX(0,K2623*'Inputs'!$E$51)</x:f>
        <x:v>90901.54789282635</x:v>
      </x:c>
      <x:c r="M2623" s="80" t="n">
        <x:f>MAX(0,-K2623*'Inputs'!$E$51)</x:f>
        <x:v>0</x:v>
      </x:c>
      <x:c r="N2623" s="78" t="n">
        <x:f>H2623*(L2623*(1-'Inputs'!$B$15))/(I2623+L2623*(1-'Inputs'!$B$15))</x:f>
        <x:v>249150.483831603</x:v>
      </x:c>
      <x:c r="O2623" s="78" t="n">
        <x:f>H2623-N2623</x:f>
        <x:v>377368.062356443</x:v>
      </x:c>
      <x:c r="P2623" s="78" t="n">
        <x:f>I2623+L2623*(1-'Inputs'!$B$17)</x:f>
        <x:v>226840.14840121003</x:v>
      </x:c>
      <x:c r="Q2623" s="78" t="n">
        <x:f>IF(J2623&gt;0,M2623/J2623,0)</x:f>
        <x:v>0</x:v>
      </x:c>
      <x:c r="R2623" s="78" t="n">
        <x:f>IF(B2623='Inputs'!$H$51,'Inputs'!$B$27*'Inputs'!$I$51,0)</x:f>
        <x:v>0</x:v>
      </x:c>
      <x:c r="S2623" s="78" t="n">
        <x:f>Q2623+G2623+R2623</x:f>
        <x:v>249346.14843310195</x:v>
      </x:c>
      <x:c r="T2623" s="78" t="n">
        <x:f>P2623*(S2623*(1-'Inputs'!$B$15))/(O2623+S2623*(1-'Inputs'!$B$15))</x:f>
        <x:v>89705.60527349154</x:v>
      </x:c>
      <x:c r="U2623" s="78" t="n">
        <x:f>O2623+S2623*(1-'Inputs'!$B$17)</x:f>
        <x:v>625710.8057656693</x:v>
      </x:c>
      <x:c r="V2623" s="78" t="n">
        <x:f>P2623-T2623</x:f>
        <x:v>137134.5431277185</x:v>
      </x:c>
      <x:c r="W2623" s="79" t="n">
        <x:f>IF(U2623&gt;0,V2623/U2623,0)</x:f>
        <x:v>0.21916601385828682</x:v>
      </x:c>
      <x:c r="X2623" s="80" t="n">
        <x:f>W2623*('Inputs'!$B$6-AC2623)</x:f>
        <x:v>219035155.07523027</x:v>
      </x:c>
      <x:c r="Y2623" s="80" t="n">
        <x:f>2*V2623</x:f>
        <x:v>274269.086255437</x:v>
      </x:c>
      <x:c r="Z2623" s="80" t="n">
        <x:f>K2623*'Inputs'!$B$16+(G2623+R2623)*J2623*'Inputs'!$B$16</x:f>
        <x:v>5779.577037479241</x:v>
      </x:c>
      <x:c r="AA2623" s="80" t="n">
        <x:f>K2623*(1+'Inputs'!$E$51)/2*'Inputs'!$B$17</x:f>
        <x:v>2011.905486561549</x:v>
      </x:c>
      <x:c r="AB2623" s="78" t="n">
        <x:f>(IF(J2623&gt;0,K2623*(1-'Inputs'!$E$51)/2/J2623,0)+G2623+R2623)*'Inputs'!$B$17</x:f>
        <x:v>8569.668328146305</x:v>
      </x:c>
      <x:c r="AC2623" s="78" t="n">
        <x:f>AC2622+AB2623</x:f>
        <x:v>597076.0737619918</x:v>
      </x:c>
      <x:c r="AD2623" s="80" t="n">
        <x:f>Z2623/(1+'Inputs'!$C$51)</x:f>
        <x:v>1926.525679159747</x:v>
      </x:c>
      <x:c r="AE2623" s="80" t="n">
        <x:f>Z2623-AD2623</x:f>
        <x:v>3853.0513583194943</x:v>
      </x:c>
      <x:c r="AF2623" s="80" t="n">
        <x:f>D2623*W2623</x:f>
        <x:v>64906.03145494955</x:v>
      </x:c>
      <x:c r="AG2623" s="80" t="n">
        <x:f>C2623*W2623</x:f>
        <x:v>151447.4067282137</x:v>
      </x:c>
      <x:c r="AH2623" s="80" t="n">
        <x:f>2*'Inputs'!$B$8*'Inputs'!$C$51</x:f>
        <x:v>10000</x:v>
      </x:c>
      <x:c r="AI2623" s="81" t="n">
        <x:f>IF(AH2623&gt;0,(AE2623+AF2623)/AH2623*365,0)</x:f>
        <x:v>2509.70652268432</x:v>
      </x:c>
      <x:c r="AJ2623" s="81" t="n">
        <x:f>IF('Inputs'!$B$51&gt;0,AG2623/('Inputs'!$B$19*'Inputs'!$B$51)*365,0)</x:f>
        <x:v>5527.8303455798</x:v>
      </x:c>
      <x:c r="AK2623" s="81" t="n">
        <x:f>W2623/MAX($W$2559:W2623)-1</x:f>
        <x:v>-0.7776454162092131</x:v>
      </x:c>
      <x:c r="AL2623" s="83" t="n">
        <x:f>'Inputs'!$B$51</x:f>
        <x:v>1</x:v>
      </x:c>
      <x:c r="AM2623" s="83" t="n">
        <x:f>'Inputs'!$C$51</x:f>
        <x:v>2</x:v>
      </x:c>
      <x:c r="AN2623" s="83" t="n">
        <x:f>'Inputs'!$D$51</x:f>
        <x:v>3</x:v>
      </x:c>
      <x:c r="AO2623" s="81" t="n">
        <x:f>'Inputs'!$E$51</x:f>
        <x:v>0.1</x:v>
      </x:c>
    </x:row>
    <x:row r="2624">
      <x:c r="A2624" s="59" t="str">
        <x:v>High demand</x:v>
      </x:c>
      <x:c r="B2624" s="59" t="n">
        <x:v>66</x:v>
      </x:c>
      <x:c r="C2624" s="78" t="n">
        <x:f>(('Inputs'!$B$29*(3*66*'Inputs'!$B$12-66^2)/(2*'Inputs'!$B$12^2))-('Inputs'!$B$29*(3*65*'Inputs'!$B$12-65^2)/(2*'Inputs'!$B$12^2)))*'Inputs'!$B$51</x:f>
        <x:v>690691.7339088023</x:v>
      </x:c>
      <x:c r="D2624" s="78" t="n">
        <x:f>IF('Inputs'!$C$51&gt;0,('Inputs'!$B$30*(3*66*'Inputs'!$B$12-66^2)/(2*'Inputs'!$B$12^2))-('Inputs'!$B$30*(3*65*'Inputs'!$B$12-65^2)/(2*'Inputs'!$B$12^2)),0)</x:f>
        <x:v>296010.7431037724</x:v>
      </x:c>
      <x:c r="E2624" s="78" t="n">
        <x:f>C2624+D2624</x:f>
        <x:v>986702.4770125747</x:v>
      </x:c>
      <x:c r="F2624" s="78" t="n">
        <x:f>'Inputs'!$B$13*E2624+(1-'Inputs'!$B$13)/'Inputs'!$B$14*SUM(E2569:E2624)</x:f>
        <x:v>996920.1538750238</x:v>
      </x:c>
      <x:c r="G2624" s="78" t="n">
        <x:f>F2624*'Inputs'!$F$51</x:f>
        <x:v>249230.03846875596</x:v>
      </x:c>
      <x:c r="H2624" s="78" t="n">
        <x:f>U2623</x:f>
        <x:v>625710.8057656693</x:v>
      </x:c>
      <x:c r="I2624" s="78" t="n">
        <x:f>V2623</x:f>
        <x:v>137134.5431277185</x:v>
      </x:c>
      <x:c r="J2624" s="79" t="n">
        <x:f>IF(H2624&gt;0,I2624/H2624,0)</x:f>
        <x:v>0.21916601385828682</x:v>
      </x:c>
      <x:c r="K2624" s="80" t="n">
        <x:f>(H2624*J2624+I2624)*'Inputs'!$D$51*(1+'Inputs'!$G$51)^(B2624/30)</x:f>
        <x:v>916040.2831477285</x:v>
      </x:c>
      <x:c r="L2624" s="80" t="n">
        <x:f>MAX(0,K2624*'Inputs'!$E$51)</x:f>
        <x:v>91604.02831477286</x:v>
      </x:c>
      <x:c r="M2624" s="80" t="n">
        <x:f>MAX(0,-K2624*'Inputs'!$E$51)</x:f>
        <x:v>0</x:v>
      </x:c>
      <x:c r="N2624" s="78" t="n">
        <x:f>H2624*(L2624*(1-'Inputs'!$B$15))/(I2624+L2624*(1-'Inputs'!$B$15))</x:f>
        <x:v>249073.0560132673</x:v>
      </x:c>
      <x:c r="O2624" s="78" t="n">
        <x:f>H2624-N2624</x:f>
        <x:v>376637.749752402</x:v>
      </x:c>
      <x:c r="P2624" s="78" t="n">
        <x:f>I2624+L2624*(1-'Inputs'!$B$17)</x:f>
        <x:v>228369.943561949</x:v>
      </x:c>
      <x:c r="Q2624" s="78" t="n">
        <x:f>IF(J2624&gt;0,M2624/J2624,0)</x:f>
        <x:v>0</x:v>
      </x:c>
      <x:c r="R2624" s="78" t="n">
        <x:f>IF(B2624='Inputs'!$H$51,'Inputs'!$B$27*'Inputs'!$I$51,0)</x:f>
        <x:v>0</x:v>
      </x:c>
      <x:c r="S2624" s="78" t="n">
        <x:f>Q2624+G2624+R2624</x:f>
        <x:v>249230.03846875596</x:v>
      </x:c>
      <x:c r="T2624" s="78" t="n">
        <x:f>P2624*(S2624*(1-'Inputs'!$B$15))/(O2624+S2624*(1-'Inputs'!$B$15))</x:f>
        <x:v>90390.91914958846</x:v>
      </x:c>
      <x:c r="U2624" s="78" t="n">
        <x:f>O2624+S2624*(1-'Inputs'!$B$17)</x:f>
        <x:v>624864.8504405996</x:v>
      </x:c>
      <x:c r="V2624" s="78" t="n">
        <x:f>P2624-T2624</x:f>
        <x:v>137979.02441236057</x:v>
      </x:c>
      <x:c r="W2624" s="79" t="n">
        <x:f>IF(U2624&gt;0,V2624/U2624,0)</x:f>
        <x:v>0.22081418776407397</x:v>
      </x:c>
      <x:c r="X2624" s="80" t="n">
        <x:f>W2624*('Inputs'!$B$6-AC2624)</x:f>
        <x:v>220680452.1327473</x:v>
      </x:c>
      <x:c r="Y2624" s="80" t="n">
        <x:f>2*V2624</x:f>
        <x:v>275958.04882472113</x:v>
      </x:c>
      <x:c r="Z2624" s="80" t="n">
        <x:f>K2624*'Inputs'!$B$16+(G2624+R2624)*J2624*'Inputs'!$B$16</x:f>
        <x:v>5823.97822327604</x:v>
      </x:c>
      <x:c r="AA2624" s="80" t="n">
        <x:f>K2624*(1+'Inputs'!$E$51)/2*'Inputs'!$B$17</x:f>
        <x:v>2027.4533429829005</x:v>
      </x:c>
      <x:c r="AB2624" s="78" t="n">
        <x:f>(IF(J2624&gt;0,K2624*(1-'Inputs'!$E$51)/2/J2624,0)+G2624+R2624)*'Inputs'!$B$17</x:f>
        <x:v>8571.745704916366</x:v>
      </x:c>
      <x:c r="AC2624" s="78" t="n">
        <x:f>AC2623+AB2624</x:f>
        <x:v>605647.8194669082</x:v>
      </x:c>
      <x:c r="AD2624" s="80" t="n">
        <x:f>Z2624/(1+'Inputs'!$C$51)</x:f>
        <x:v>1941.3260744253466</x:v>
      </x:c>
      <x:c r="AE2624" s="80" t="n">
        <x:f>Z2624-AD2624</x:f>
        <x:v>3882.6521488506933</x:v>
      </x:c>
      <x:c r="AF2624" s="80" t="n">
        <x:f>D2624*W2624</x:f>
        <x:v>65363.371807899464</x:v>
      </x:c>
      <x:c r="AG2624" s="80" t="n">
        <x:f>C2624*W2624</x:f>
        <x:v>152514.5342184321</x:v>
      </x:c>
      <x:c r="AH2624" s="80" t="n">
        <x:f>2*'Inputs'!$B$8*'Inputs'!$C$51</x:f>
        <x:v>10000</x:v>
      </x:c>
      <x:c r="AI2624" s="81" t="n">
        <x:f>IF(AH2624&gt;0,(AE2624+AF2624)/AH2624*365,0)</x:f>
        <x:v>2527.479874421381</x:v>
      </x:c>
      <x:c r="AJ2624" s="81" t="n">
        <x:f>IF('Inputs'!$B$51&gt;0,AG2624/('Inputs'!$B$19*'Inputs'!$B$51)*365,0)</x:f>
        <x:v>5566.780498972771</x:v>
      </x:c>
      <x:c r="AK2624" s="81" t="n">
        <x:f>W2624/MAX($W$2559:W2624)-1</x:f>
        <x:v>-0.7759732635958381</x:v>
      </x:c>
      <x:c r="AL2624" s="83" t="n">
        <x:f>'Inputs'!$B$51</x:f>
        <x:v>1</x:v>
      </x:c>
      <x:c r="AM2624" s="83" t="n">
        <x:f>'Inputs'!$C$51</x:f>
        <x:v>2</x:v>
      </x:c>
      <x:c r="AN2624" s="83" t="n">
        <x:f>'Inputs'!$D$51</x:f>
        <x:v>3</x:v>
      </x:c>
      <x:c r="AO2624" s="81" t="n">
        <x:f>'Inputs'!$E$51</x:f>
        <x:v>0.1</x:v>
      </x:c>
    </x:row>
    <x:row r="2625">
      <x:c r="A2625" s="59" t="str">
        <x:v>High demand</x:v>
      </x:c>
      <x:c r="B2625" s="59" t="n">
        <x:v>67</x:v>
      </x:c>
      <x:c r="C2625" s="78" t="n">
        <x:f>(('Inputs'!$B$29*(3*67*'Inputs'!$B$12-67^2)/(2*'Inputs'!$B$12^2))-('Inputs'!$B$29*(3*66*'Inputs'!$B$12-66^2)/(2*'Inputs'!$B$12^2)))*'Inputs'!$B$51</x:f>
        <x:v>690366.6260086298</x:v>
      </x:c>
      <x:c r="D2625" s="78" t="n">
        <x:f>IF('Inputs'!$C$51&gt;0,('Inputs'!$B$30*(3*67*'Inputs'!$B$12-67^2)/(2*'Inputs'!$B$12^2))-('Inputs'!$B$30*(3*66*'Inputs'!$B$12-66^2)/(2*'Inputs'!$B$12^2)),0)</x:f>
        <x:v>295871.4111465551</x:v>
      </x:c>
      <x:c r="E2625" s="78" t="n">
        <x:f>C2625+D2625</x:f>
        <x:v>986238.0371551849</x:v>
      </x:c>
      <x:c r="F2625" s="78" t="n">
        <x:f>'Inputs'!$B$13*E2625+(1-'Inputs'!$B$13)/'Inputs'!$B$14*SUM(E2570:E2625)</x:f>
        <x:v>996455.7140176386</x:v>
      </x:c>
      <x:c r="G2625" s="78" t="n">
        <x:f>F2625*'Inputs'!$F$51</x:f>
        <x:v>249113.92850440965</x:v>
      </x:c>
      <x:c r="H2625" s="78" t="n">
        <x:f>U2624</x:f>
        <x:v>624864.8504405996</x:v>
      </x:c>
      <x:c r="I2625" s="78" t="n">
        <x:f>V2624</x:f>
        <x:v>137979.02441236057</x:v>
      </x:c>
      <x:c r="J2625" s="79" t="n">
        <x:f>IF(H2625&gt;0,I2625/H2625,0)</x:f>
        <x:v>0.22081418776407397</x:v>
      </x:c>
      <x:c r="K2625" s="80" t="n">
        <x:f>(H2625*J2625+I2625)*'Inputs'!$D$51*(1+'Inputs'!$G$51)^(B2625/30)</x:f>
        <x:v>923181.4900673152</x:v>
      </x:c>
      <x:c r="L2625" s="80" t="n">
        <x:f>MAX(0,K2625*'Inputs'!$E$51)</x:f>
        <x:v>92318.14900673152</x:v>
      </x:c>
      <x:c r="M2625" s="80" t="n">
        <x:f>MAX(0,-K2625*'Inputs'!$E$51)</x:f>
        <x:v>0</x:v>
      </x:c>
      <x:c r="N2625" s="78" t="n">
        <x:f>H2625*(L2625*(1-'Inputs'!$B$15))/(I2625+L2625*(1-'Inputs'!$B$15))</x:f>
        <x:v>248979.8526329665</x:v>
      </x:c>
      <x:c r="O2625" s="78" t="n">
        <x:f>H2625-N2625</x:f>
        <x:v>375884.99780763313</x:v>
      </x:c>
      <x:c r="P2625" s="78" t="n">
        <x:f>I2625+L2625*(1-'Inputs'!$B$17)</x:f>
        <x:v>229925.6718134312</x:v>
      </x:c>
      <x:c r="Q2625" s="78" t="n">
        <x:f>IF(J2625&gt;0,M2625/J2625,0)</x:f>
        <x:v>0</x:v>
      </x:c>
      <x:c r="R2625" s="78" t="n">
        <x:f>IF(B2625='Inputs'!$H$51,'Inputs'!$B$27*'Inputs'!$I$51,0)</x:f>
        <x:v>0</x:v>
      </x:c>
      <x:c r="S2625" s="78" t="n">
        <x:f>Q2625+G2625+R2625</x:f>
        <x:v>249113.92850440965</x:v>
      </x:c>
      <x:c r="T2625" s="78" t="n">
        <x:f>P2625*(S2625*(1-'Inputs'!$B$15))/(O2625+S2625*(1-'Inputs'!$B$15))</x:f>
        <x:v>91091.08621207581</x:v>
      </x:c>
      <x:c r="U2625" s="78" t="n">
        <x:f>O2625+S2625*(1-'Inputs'!$B$17)</x:f>
        <x:v>623996.4557748017</x:v>
      </x:c>
      <x:c r="V2625" s="78" t="n">
        <x:f>P2625-T2625</x:f>
        <x:v>138834.5856013554</x:v>
      </x:c>
      <x:c r="W2625" s="79" t="n">
        <x:f>IF(U2625&gt;0,V2625/U2625,0)</x:f>
        <x:v>0.22249258680318587</x:v>
      </x:c>
      <x:c r="X2625" s="80" t="n">
        <x:f>W2625*('Inputs'!$B$6-AC2625)</x:f>
        <x:v>222355927.14669847</x:v>
      </x:c>
      <x:c r="Y2625" s="80" t="n">
        <x:f>2*V2625</x:f>
        <x:v>277669.1712027108</x:v>
      </x:c>
      <x:c r="Z2625" s="80" t="n">
        <x:f>K2625*'Inputs'!$B$16+(G2625+R2625)*J2625*'Inputs'!$B$16</x:f>
        <x:v>5869.136279104404</x:v>
      </x:c>
      <x:c r="AA2625" s="80" t="n">
        <x:f>K2625*(1+'Inputs'!$E$51)/2*'Inputs'!$B$17</x:f>
        <x:v>2043.2588311349032</x:v>
      </x:c>
      <x:c r="AB2625" s="78" t="n">
        <x:f>(IF(J2625&gt;0,K2625*(1-'Inputs'!$E$51)/2/J2625,0)+G2625+R2625)*'Inputs'!$B$17</x:f>
        <x:v>8573.348307378657</x:v>
      </x:c>
      <x:c r="AC2625" s="78" t="n">
        <x:f>AC2624+AB2625</x:f>
        <x:v>614221.1677742869</x:v>
      </x:c>
      <x:c r="AD2625" s="80" t="n">
        <x:f>Z2625/(1+'Inputs'!$C$51)</x:f>
        <x:v>1956.378759701468</x:v>
      </x:c>
      <x:c r="AE2625" s="80" t="n">
        <x:f>Z2625-AD2625</x:f>
        <x:v>3912.757519402936</x:v>
      </x:c>
      <x:c r="AF2625" s="80" t="n">
        <x:f>D2625*W2625</x:f>
        <x:v>65829.195627106</x:v>
      </x:c>
      <x:c r="AG2625" s="80" t="n">
        <x:f>C2625*W2625</x:f>
        <x:v>153601.45646324762</x:v>
      </x:c>
      <x:c r="AH2625" s="80" t="n">
        <x:f>2*'Inputs'!$B$8*'Inputs'!$C$51</x:f>
        <x:v>10000</x:v>
      </x:c>
      <x:c r="AI2625" s="81" t="n">
        <x:f>IF(AH2625&gt;0,(AE2625+AF2625)/AH2625*365,0)</x:f>
        <x:v>2545.581289847576</x:v>
      </x:c>
      <x:c r="AJ2625" s="81" t="n">
        <x:f>IF('Inputs'!$B$51&gt;0,AG2625/('Inputs'!$B$19*'Inputs'!$B$51)*365,0)</x:f>
        <x:v>5606.453160908538</x:v>
      </x:c>
      <x:c r="AK2625" s="81" t="n">
        <x:f>W2625/MAX($W$2559:W2625)-1</x:f>
        <x:v>-0.7742704461142101</x:v>
      </x:c>
      <x:c r="AL2625" s="83" t="n">
        <x:f>'Inputs'!$B$51</x:f>
        <x:v>1</x:v>
      </x:c>
      <x:c r="AM2625" s="83" t="n">
        <x:f>'Inputs'!$C$51</x:f>
        <x:v>2</x:v>
      </x:c>
      <x:c r="AN2625" s="83" t="n">
        <x:f>'Inputs'!$D$51</x:f>
        <x:v>3</x:v>
      </x:c>
      <x:c r="AO2625" s="81" t="n">
        <x:f>'Inputs'!$E$51</x:f>
        <x:v>0.1</x:v>
      </x:c>
    </x:row>
    <x:row r="2626">
      <x:c r="A2626" s="59" t="str">
        <x:v>High demand</x:v>
      </x:c>
      <x:c r="B2626" s="59" t="n">
        <x:v>68</x:v>
      </x:c>
      <x:c r="C2626" s="78" t="n">
        <x:f>(('Inputs'!$B$29*(3*68*'Inputs'!$B$12-68^2)/(2*'Inputs'!$B$12^2))-('Inputs'!$B$29*(3*67*'Inputs'!$B$12-67^2)/(2*'Inputs'!$B$12^2)))*'Inputs'!$B$51</x:f>
        <x:v>690041.5181084648</x:v>
      </x:c>
      <x:c r="D2626" s="78" t="n">
        <x:f>IF('Inputs'!$C$51&gt;0,('Inputs'!$B$30*(3*68*'Inputs'!$B$12-68^2)/(2*'Inputs'!$B$12^2))-('Inputs'!$B$30*(3*67*'Inputs'!$B$12-67^2)/(2*'Inputs'!$B$12^2)),0)</x:f>
        <x:v>295732.0791893415</x:v>
      </x:c>
      <x:c r="E2626" s="78" t="n">
        <x:f>C2626+D2626</x:f>
        <x:v>985773.5972978063</x:v>
      </x:c>
      <x:c r="F2626" s="78" t="n">
        <x:f>'Inputs'!$B$13*E2626+(1-'Inputs'!$B$13)/'Inputs'!$B$14*SUM(E2571:E2626)</x:f>
        <x:v>995991.2741602554</x:v>
      </x:c>
      <x:c r="G2626" s="78" t="n">
        <x:f>F2626*'Inputs'!$F$51</x:f>
        <x:v>248997.81854006386</x:v>
      </x:c>
      <x:c r="H2626" s="78" t="n">
        <x:f>U2625</x:f>
        <x:v>623996.4557748017</x:v>
      </x:c>
      <x:c r="I2626" s="78" t="n">
        <x:f>V2625</x:f>
        <x:v>138834.5856013554</x:v>
      </x:c>
      <x:c r="J2626" s="79" t="n">
        <x:f>IF(H2626&gt;0,I2626/H2626,0)</x:f>
        <x:v>0.22249258680318587</x:v>
      </x:c>
      <x:c r="K2626" s="80" t="n">
        <x:f>(H2626*J2626+I2626)*'Inputs'!$D$51*(1+'Inputs'!$G$51)^(B2626/30)</x:f>
        <x:v>930417.7704780059</x:v>
      </x:c>
      <x:c r="L2626" s="80" t="n">
        <x:f>MAX(0,K2626*'Inputs'!$E$51)</x:f>
        <x:v>93041.7770478006</x:v>
      </x:c>
      <x:c r="M2626" s="80" t="n">
        <x:f>MAX(0,-K2626*'Inputs'!$E$51)</x:f>
        <x:v>0</x:v>
      </x:c>
      <x:c r="N2626" s="78" t="n">
        <x:f>H2626*(L2626*(1-'Inputs'!$B$15))/(I2626+L2626*(1-'Inputs'!$B$15))</x:f>
        <x:v>248877.12038348615</x:v>
      </x:c>
      <x:c r="O2626" s="78" t="n">
        <x:f>H2626-N2626</x:f>
        <x:v>375119.3353913155</x:v>
      </x:c>
      <x:c r="P2626" s="78" t="n">
        <x:f>I2626+L2626*(1-'Inputs'!$B$17)</x:f>
        <x:v>231501.9490594264</x:v>
      </x:c>
      <x:c r="Q2626" s="78" t="n">
        <x:f>IF(J2626&gt;0,M2626/J2626,0)</x:f>
        <x:v>0</x:v>
      </x:c>
      <x:c r="R2626" s="78" t="n">
        <x:f>IF(B2626='Inputs'!$H$51,'Inputs'!$B$27*'Inputs'!$I$51,0)</x:f>
        <x:v>0</x:v>
      </x:c>
      <x:c r="S2626" s="78" t="n">
        <x:f>Q2626+G2626+R2626</x:f>
        <x:v>248997.81854006386</x:v>
      </x:c>
      <x:c r="T2626" s="78" t="n">
        <x:f>P2626*(S2626*(1-'Inputs'!$B$15))/(O2626+S2626*(1-'Inputs'!$B$15))</x:f>
        <x:v>91802.68773168034</x:v>
      </x:c>
      <x:c r="U2626" s="78" t="n">
        <x:f>O2626+S2626*(1-'Inputs'!$B$17)</x:f>
        <x:v>623115.1506374555</x:v>
      </x:c>
      <x:c r="V2626" s="78" t="n">
        <x:f>P2626-T2626</x:f>
        <x:v>139699.26132774606</x:v>
      </x:c>
      <x:c r="W2626" s="79" t="n">
        <x:f>IF(U2626&gt;0,V2626/U2626,0)</x:f>
        <x:v>0.22419493601597035</x:v>
      </x:c>
      <x:c r="X2626" s="80" t="n">
        <x:f>W2626*('Inputs'!$B$6-AC2626)</x:f>
        <x:v>224055308.3440282</x:v>
      </x:c>
      <x:c r="Y2626" s="80" t="n">
        <x:f>2*V2626</x:f>
        <x:v>279398.5226554921</x:v>
      </x:c>
      <x:c r="Z2626" s="80" t="n">
        <x:f>K2626*'Inputs'!$B$16+(G2626+R2626)*J2626*'Inputs'!$B$16</x:f>
        <x:v>5914.90763540001</x:v>
      </x:c>
      <x:c r="AA2626" s="80" t="n">
        <x:f>K2626*(1+'Inputs'!$E$51)/2*'Inputs'!$B$17</x:f>
        <x:v>2059.2747435126894</x:v>
      </x:c>
      <x:c r="AB2626" s="78" t="n">
        <x:f>(IF(J2626&gt;0,K2626*(1-'Inputs'!$E$51)/2/J2626,0)+G2626+R2626)*'Inputs'!$B$17</x:f>
        <x:v>8574.665277819542</x:v>
      </x:c>
      <x:c r="AC2626" s="78" t="n">
        <x:f>AC2625+AB2626</x:f>
        <x:v>622795.8330521064</x:v>
      </x:c>
      <x:c r="AD2626" s="80" t="n">
        <x:f>Z2626/(1+'Inputs'!$C$51)</x:f>
        <x:v>1971.63587846667</x:v>
      </x:c>
      <x:c r="AE2626" s="80" t="n">
        <x:f>Z2626-AD2626</x:f>
        <x:v>3943.27175693334</x:v>
      </x:c>
      <x:c r="AF2626" s="80" t="n">
        <x:f>D2626*W2626</x:f>
        <x:v>66301.6345717243</x:v>
      </x:c>
      <x:c r="AG2626" s="80" t="n">
        <x:f>C2626*W2626</x:f>
        <x:v>154703.8140006903</x:v>
      </x:c>
      <x:c r="AH2626" s="80" t="n">
        <x:f>2*'Inputs'!$B$8*'Inputs'!$C$51</x:f>
        <x:v>10000</x:v>
      </x:c>
      <x:c r="AI2626" s="81" t="n">
        <x:f>IF(AH2626&gt;0,(AE2626+AF2626)/AH2626*365,0)</x:f>
        <x:v>2563.939080996004</x:v>
      </x:c>
      <x:c r="AJ2626" s="81" t="n">
        <x:f>IF('Inputs'!$B$51&gt;0,AG2626/('Inputs'!$B$19*'Inputs'!$B$51)*365,0)</x:f>
        <x:v>5646.689211025196</x:v>
      </x:c>
      <x:c r="AK2626" s="81" t="n">
        <x:f>W2626/MAX($W$2559:W2626)-1</x:f>
        <x:v>-0.7725433300161821</x:v>
      </x:c>
      <x:c r="AL2626" s="83" t="n">
        <x:f>'Inputs'!$B$51</x:f>
        <x:v>1</x:v>
      </x:c>
      <x:c r="AM2626" s="83" t="n">
        <x:f>'Inputs'!$C$51</x:f>
        <x:v>2</x:v>
      </x:c>
      <x:c r="AN2626" s="83" t="n">
        <x:f>'Inputs'!$D$51</x:f>
        <x:v>3</x:v>
      </x:c>
      <x:c r="AO2626" s="81" t="n">
        <x:f>'Inputs'!$E$51</x:f>
        <x:v>0.1</x:v>
      </x:c>
    </x:row>
    <x:row r="2627">
      <x:c r="A2627" s="59" t="str">
        <x:v>High demand</x:v>
      </x:c>
      <x:c r="B2627" s="59" t="n">
        <x:v>69</x:v>
      </x:c>
      <x:c r="C2627" s="78" t="n">
        <x:f>(('Inputs'!$B$29*(3*69*'Inputs'!$B$12-69^2)/(2*'Inputs'!$B$12^2))-('Inputs'!$B$29*(3*68*'Inputs'!$B$12-68^2)/(2*'Inputs'!$B$12^2)))*'Inputs'!$B$51</x:f>
        <x:v>689716.4102082923</x:v>
      </x:c>
      <x:c r="D2627" s="78" t="n">
        <x:f>IF('Inputs'!$C$51&gt;0,('Inputs'!$B$30*(3*69*'Inputs'!$B$12-69^2)/(2*'Inputs'!$B$12^2))-('Inputs'!$B$30*(3*68*'Inputs'!$B$12-68^2)/(2*'Inputs'!$B$12^2)),0)</x:f>
        <x:v>295592.7472321242</x:v>
      </x:c>
      <x:c r="E2627" s="78" t="n">
        <x:f>C2627+D2627</x:f>
        <x:v>985309.1574404165</x:v>
      </x:c>
      <x:c r="F2627" s="78" t="n">
        <x:f>'Inputs'!$B$13*E2627+(1-'Inputs'!$B$13)/'Inputs'!$B$14*SUM(E2572:E2627)</x:f>
        <x:v>995526.8343028703</x:v>
      </x:c>
      <x:c r="G2627" s="78" t="n">
        <x:f>F2627*'Inputs'!$F$51</x:f>
        <x:v>248881.70857571758</x:v>
      </x:c>
      <x:c r="H2627" s="78" t="n">
        <x:f>U2626</x:f>
        <x:v>623115.1506374555</x:v>
      </x:c>
      <x:c r="I2627" s="78" t="n">
        <x:f>V2626</x:f>
        <x:v>139699.26132774606</x:v>
      </x:c>
      <x:c r="J2627" s="79" t="n">
        <x:f>IF(H2627&gt;0,I2627/H2627,0)</x:f>
        <x:v>0.22419493601597035</x:v>
      </x:c>
      <x:c r="K2627" s="80" t="n">
        <x:f>(H2627*J2627+I2627)*'Inputs'!$D$51*(1+'Inputs'!$G$51)^(B2627/30)</x:f>
        <x:v>937736.3432184088</x:v>
      </x:c>
      <x:c r="L2627" s="80" t="n">
        <x:f>MAX(0,K2627*'Inputs'!$E$51)</x:f>
        <x:v>93773.63432184089</x:v>
      </x:c>
      <x:c r="M2627" s="80" t="n">
        <x:f>MAX(0,-K2627*'Inputs'!$E$51)</x:f>
        <x:v>0</x:v>
      </x:c>
      <x:c r="N2627" s="78" t="n">
        <x:f>H2627*(L2627*(1-'Inputs'!$B$15))/(I2627+L2627*(1-'Inputs'!$B$15))</x:f>
        <x:v>248768.6366486107</x:v>
      </x:c>
      <x:c r="O2627" s="78" t="n">
        <x:f>H2627-N2627</x:f>
        <x:v>374346.5139888448</x:v>
      </x:c>
      <x:c r="P2627" s="78" t="n">
        <x:f>I2627+L2627*(1-'Inputs'!$B$17)</x:f>
        <x:v>233095.53696016304</x:v>
      </x:c>
      <x:c r="Q2627" s="78" t="n">
        <x:f>IF(J2627&gt;0,M2627/J2627,0)</x:f>
        <x:v>0</x:v>
      </x:c>
      <x:c r="R2627" s="78" t="n">
        <x:f>IF(B2627='Inputs'!$H$51,'Inputs'!$B$27*'Inputs'!$I$51,0)</x:f>
        <x:v>0</x:v>
      </x:c>
      <x:c r="S2627" s="78" t="n">
        <x:f>Q2627+G2627+R2627</x:f>
        <x:v>248881.70857571758</x:v>
      </x:c>
      <x:c r="T2627" s="78" t="n">
        <x:f>P2627*(S2627*(1-'Inputs'!$B$15))/(O2627+S2627*(1-'Inputs'!$B$15))</x:f>
        <x:v>92523.66264828749</x:v>
      </x:c>
      <x:c r="U2627" s="78" t="n">
        <x:f>O2627+S2627*(1-'Inputs'!$B$17)</x:f>
        <x:v>622226.6865139559</x:v>
      </x:c>
      <x:c r="V2627" s="78" t="n">
        <x:f>P2627-T2627</x:f>
        <x:v>140571.87431187555</x:v>
      </x:c>
      <x:c r="W2627" s="79" t="n">
        <x:f>IF(U2627&gt;0,V2627/U2627,0)</x:f>
        <x:v>0.22591746281316505</x:v>
      </x:c>
      <x:c r="X2627" s="80" t="n">
        <x:f>W2627*('Inputs'!$B$6-AC2627)</x:f>
        <x:v>225774824.93323374</x:v>
      </x:c>
      <x:c r="Y2627" s="80" t="n">
        <x:f>2*V2627</x:f>
        <x:v>281143.7486237511</x:v>
      </x:c>
      <x:c r="Z2627" s="80" t="n">
        <x:f>K2627*'Inputs'!$B$16+(G2627+R2627)*J2627*'Inputs'!$B$16</x:f>
        <x:v>5961.206171688524</x:v>
      </x:c>
      <x:c r="AA2627" s="80" t="n">
        <x:f>K2627*(1+'Inputs'!$E$51)/2*'Inputs'!$B$17</x:f>
        <x:v>2075.4727918314884</x:v>
      </x:c>
      <x:c r="AB2627" s="78" t="n">
        <x:f>(IF(J2627&gt;0,K2627*(1-'Inputs'!$E$51)/2/J2627,0)+G2627+R2627)*'Inputs'!$B$17</x:f>
        <x:v>8575.81106583976</x:v>
      </x:c>
      <x:c r="AC2627" s="78" t="n">
        <x:f>AC2626+AB2627</x:f>
        <x:v>631371.6441179462</x:v>
      </x:c>
      <x:c r="AD2627" s="80" t="n">
        <x:f>Z2627/(1+'Inputs'!$C$51)</x:f>
        <x:v>1987.0687238961746</x:v>
      </x:c>
      <x:c r="AE2627" s="80" t="n">
        <x:f>Z2627-AD2627</x:f>
        <x:v>3974.137447792349</x:v>
      </x:c>
      <x:c r="AF2627" s="80" t="n">
        <x:f>D2627*W2627</x:f>
        <x:v>66779.56348065472</x:v>
      </x:c>
      <x:c r="AG2627" s="80" t="n">
        <x:f>C2627*W2627</x:f>
        <x:v>155818.98145486155</x:v>
      </x:c>
      <x:c r="AH2627" s="80" t="n">
        <x:f>2*'Inputs'!$B$8*'Inputs'!$C$51</x:f>
        <x:v>10000</x:v>
      </x:c>
      <x:c r="AI2627" s="81" t="n">
        <x:f>IF(AH2627&gt;0,(AE2627+AF2627)/AH2627*365,0)</x:f>
        <x:v>2582.5100838883177</x:v>
      </x:c>
      <x:c r="AJ2627" s="81" t="n">
        <x:f>IF('Inputs'!$B$51&gt;0,AG2627/('Inputs'!$B$19*'Inputs'!$B$51)*365,0)</x:f>
        <x:v>5687.3928231024465</x:v>
      </x:c>
      <x:c r="AK2627" s="81" t="n">
        <x:f>W2627/MAX($W$2559:W2627)-1</x:f>
        <x:v>-0.7707957427771025</x:v>
      </x:c>
      <x:c r="AL2627" s="83" t="n">
        <x:f>'Inputs'!$B$51</x:f>
        <x:v>1</x:v>
      </x:c>
      <x:c r="AM2627" s="83" t="n">
        <x:f>'Inputs'!$C$51</x:f>
        <x:v>2</x:v>
      </x:c>
      <x:c r="AN2627" s="83" t="n">
        <x:f>'Inputs'!$D$51</x:f>
        <x:v>3</x:v>
      </x:c>
      <x:c r="AO2627" s="81" t="n">
        <x:f>'Inputs'!$E$51</x:f>
        <x:v>0.1</x:v>
      </x:c>
    </x:row>
    <x:row r="2628">
      <x:c r="A2628" s="59" t="str">
        <x:v>High demand</x:v>
      </x:c>
      <x:c r="B2628" s="59" t="n">
        <x:v>70</x:v>
      </x:c>
      <x:c r="C2628" s="78" t="n">
        <x:f>(('Inputs'!$B$29*(3*70*'Inputs'!$B$12-70^2)/(2*'Inputs'!$B$12^2))-('Inputs'!$B$29*(3*69*'Inputs'!$B$12-69^2)/(2*'Inputs'!$B$12^2)))*'Inputs'!$B$51</x:f>
        <x:v>689391.3023081273</x:v>
      </x:c>
      <x:c r="D2628" s="78" t="n">
        <x:f>IF('Inputs'!$C$51&gt;0,('Inputs'!$B$30*(3*70*'Inputs'!$B$12-70^2)/(2*'Inputs'!$B$12^2))-('Inputs'!$B$30*(3*69*'Inputs'!$B$12-69^2)/(2*'Inputs'!$B$12^2)),0)</x:f>
        <x:v>295453.4152749106</x:v>
      </x:c>
      <x:c r="E2628" s="78" t="n">
        <x:f>C2628+D2628</x:f>
        <x:v>984844.7175830379</x:v>
      </x:c>
      <x:c r="F2628" s="78" t="n">
        <x:f>'Inputs'!$B$13*E2628+(1-'Inputs'!$B$13)/'Inputs'!$B$14*SUM(E2573:E2628)</x:f>
        <x:v>995062.3944454873</x:v>
      </x:c>
      <x:c r="G2628" s="78" t="n">
        <x:f>F2628*'Inputs'!$F$51</x:f>
        <x:v>248765.59861137182</x:v>
      </x:c>
      <x:c r="H2628" s="78" t="n">
        <x:f>U2627</x:f>
        <x:v>622226.6865139559</x:v>
      </x:c>
      <x:c r="I2628" s="78" t="n">
        <x:f>V2627</x:f>
        <x:v>140571.87431187555</x:v>
      </x:c>
      <x:c r="J2628" s="79" t="n">
        <x:f>IF(H2628&gt;0,I2628/H2628,0)</x:f>
        <x:v>0.22591746281316505</x:v>
      </x:c>
      <x:c r="K2628" s="80" t="n">
        <x:f>(H2628*J2628+I2628)*'Inputs'!$D$51*(1+'Inputs'!$G$51)^(B2628/30)</x:f>
        <x:v>945129.6411939088</x:v>
      </x:c>
      <x:c r="L2628" s="80" t="n">
        <x:f>MAX(0,K2628*'Inputs'!$E$51)</x:f>
        <x:v>94512.96411939088</x:v>
      </x:c>
      <x:c r="M2628" s="80" t="n">
        <x:f>MAX(0,-K2628*'Inputs'!$E$51)</x:f>
        <x:v>0</x:v>
      </x:c>
      <x:c r="N2628" s="78" t="n">
        <x:f>H2628*(L2628*(1-'Inputs'!$B$15))/(I2628+L2628*(1-'Inputs'!$B$15))</x:f>
        <x:v>248656.68413320975</x:v>
      </x:c>
      <x:c r="O2628" s="78" t="n">
        <x:f>H2628-N2628</x:f>
        <x:v>373570.0023807462</x:v>
      </x:c>
      <x:c r="P2628" s="78" t="n">
        <x:f>I2628+L2628*(1-'Inputs'!$B$17)</x:f>
        <x:v>234704.50457163106</x:v>
      </x:c>
      <x:c r="Q2628" s="78" t="n">
        <x:f>IF(J2628&gt;0,M2628/J2628,0)</x:f>
        <x:v>0</x:v>
      </x:c>
      <x:c r="R2628" s="78" t="n">
        <x:f>IF(B2628='Inputs'!$H$51,'Inputs'!$B$27*'Inputs'!$I$51,0)</x:f>
        <x:v>0</x:v>
      </x:c>
      <x:c r="S2628" s="78" t="n">
        <x:f>Q2628+G2628+R2628</x:f>
        <x:v>248765.59861137182</x:v>
      </x:c>
      <x:c r="T2628" s="78" t="n">
        <x:f>P2628*(S2628*(1-'Inputs'!$B$15))/(O2628+S2628*(1-'Inputs'!$B$15))</x:f>
        <x:v>93252.77751823775</x:v>
      </x:c>
      <x:c r="U2628" s="78" t="n">
        <x:f>O2628+S2628*(1-'Inputs'!$B$17)</x:f>
        <x:v>621334.5321848288</x:v>
      </x:c>
      <x:c r="V2628" s="78" t="n">
        <x:f>P2628-T2628</x:f>
        <x:v>141451.72705339332</x:v>
      </x:c>
      <x:c r="W2628" s="79" t="n">
        <x:f>IF(U2628&gt;0,V2628/U2628,0)</x:f>
        <x:v>0.2276579197296499</x:v>
      </x:c>
      <x:c r="X2628" s="80" t="n">
        <x:f>W2628*('Inputs'!$B$6-AC2628)</x:f>
        <x:v>227512230.38563392</x:v>
      </x:c>
      <x:c r="Y2628" s="80" t="n">
        <x:f>2*V2628</x:f>
        <x:v>282903.45410678664</x:v>
      </x:c>
      <x:c r="Z2628" s="80" t="n">
        <x:f>K2628*'Inputs'!$B$16+(G2628+R2628)*J2628*'Inputs'!$B$16</x:f>
        <x:v>6007.980804404329</x:v>
      </x:c>
      <x:c r="AA2628" s="80" t="n">
        <x:f>K2628*(1+'Inputs'!$E$51)/2*'Inputs'!$B$17</x:f>
        <x:v>2091.836227994567</x:v>
      </x:c>
      <x:c r="AB2628" s="78" t="n">
        <x:f>(IF(J2628&gt;0,K2628*(1-'Inputs'!$E$51)/2/J2628,0)+G2628+R2628)*'Inputs'!$B$17</x:f>
        <x:v>8576.854879986988</x:v>
      </x:c>
      <x:c r="AC2628" s="78" t="n">
        <x:f>AC2627+AB2628</x:f>
        <x:v>639948.4989979331</x:v>
      </x:c>
      <x:c r="AD2628" s="80" t="n">
        <x:f>Z2628/(1+'Inputs'!$C$51)</x:f>
        <x:v>2002.6602681347765</x:v>
      </x:c>
      <x:c r="AE2628" s="80" t="n">
        <x:f>Z2628-AD2628</x:f>
        <x:v>4005.3205362695526</x:v>
      </x:c>
      <x:c r="AF2628" s="80" t="n">
        <x:f>D2628*W2628</x:f>
        <x:v>67262.30989850653</x:v>
      </x:c>
      <x:c r="AG2628" s="80" t="n">
        <x:f>C2628*W2628</x:f>
        <x:v>156945.38976318247</x:v>
      </x:c>
      <x:c r="AH2628" s="80" t="n">
        <x:f>2*'Inputs'!$B$8*'Inputs'!$C$51</x:f>
        <x:v>10000</x:v>
      </x:c>
      <x:c r="AI2628" s="81" t="n">
        <x:f>IF(AH2628&gt;0,(AE2628+AF2628)/AH2628*365,0)</x:f>
        <x:v>2601.268510869327</x:v>
      </x:c>
      <x:c r="AJ2628" s="81" t="n">
        <x:f>IF('Inputs'!$B$51&gt;0,AG2628/('Inputs'!$B$19*'Inputs'!$B$51)*365,0)</x:f>
        <x:v>5728.5067263561605</x:v>
      </x:c>
      <x:c r="AK2628" s="81" t="n">
        <x:f>W2628/MAX($W$2559:W2628)-1</x:f>
        <x:v>-0.7690299645596776</x:v>
      </x:c>
      <x:c r="AL2628" s="83" t="n">
        <x:f>'Inputs'!$B$51</x:f>
        <x:v>1</x:v>
      </x:c>
      <x:c r="AM2628" s="83" t="n">
        <x:f>'Inputs'!$C$51</x:f>
        <x:v>2</x:v>
      </x:c>
      <x:c r="AN2628" s="83" t="n">
        <x:f>'Inputs'!$D$51</x:f>
        <x:v>3</x:v>
      </x:c>
      <x:c r="AO2628" s="81" t="n">
        <x:f>'Inputs'!$E$51</x:f>
        <x:v>0.1</x:v>
      </x:c>
    </x:row>
    <x:row r="2629">
      <x:c r="A2629" s="59" t="str">
        <x:v>High demand</x:v>
      </x:c>
      <x:c r="B2629" s="59" t="n">
        <x:v>71</x:v>
      </x:c>
      <x:c r="C2629" s="78" t="n">
        <x:f>(('Inputs'!$B$29*(3*71*'Inputs'!$B$12-71^2)/(2*'Inputs'!$B$12^2))-('Inputs'!$B$29*(3*70*'Inputs'!$B$12-70^2)/(2*'Inputs'!$B$12^2)))*'Inputs'!$B$51</x:f>
        <x:v>689066.1944079548</x:v>
      </x:c>
      <x:c r="D2629" s="78" t="n">
        <x:f>IF('Inputs'!$C$51&gt;0,('Inputs'!$B$30*(3*71*'Inputs'!$B$12-71^2)/(2*'Inputs'!$B$12^2))-('Inputs'!$B$30*(3*70*'Inputs'!$B$12-70^2)/(2*'Inputs'!$B$12^2)),0)</x:f>
        <x:v>295314.08331769705</x:v>
      </x:c>
      <x:c r="E2629" s="78" t="n">
        <x:f>C2629+D2629</x:f>
        <x:v>984380.2777256519</x:v>
      </x:c>
      <x:c r="F2629" s="78" t="n">
        <x:f>'Inputs'!$B$13*E2629+(1-'Inputs'!$B$13)/'Inputs'!$B$14*SUM(E2574:E2629)</x:f>
        <x:v>994597.9545881028</x:v>
      </x:c>
      <x:c r="G2629" s="78" t="n">
        <x:f>F2629*'Inputs'!$F$51</x:f>
        <x:v>248649.4886470257</x:v>
      </x:c>
      <x:c r="H2629" s="78" t="n">
        <x:f>U2628</x:f>
        <x:v>621334.5321848288</x:v>
      </x:c>
      <x:c r="I2629" s="78" t="n">
        <x:f>V2628</x:f>
        <x:v>141451.72705339332</x:v>
      </x:c>
      <x:c r="J2629" s="79" t="n">
        <x:f>IF(H2629&gt;0,I2629/H2629,0)</x:f>
        <x:v>0.2276579197296499</x:v>
      </x:c>
      <x:c r="K2629" s="80" t="n">
        <x:f>(H2629*J2629+I2629)*'Inputs'!$D$51*(1+'Inputs'!$G$51)^(B2629/30)</x:f>
        <x:v>952593.2778818071</x:v>
      </x:c>
      <x:c r="L2629" s="80" t="n">
        <x:f>MAX(0,K2629*'Inputs'!$E$51)</x:f>
        <x:v>95259.32778818072</x:v>
      </x:c>
      <x:c r="M2629" s="80" t="n">
        <x:f>MAX(0,-K2629*'Inputs'!$E$51)</x:f>
        <x:v>0</x:v>
      </x:c>
      <x:c r="N2629" s="78" t="n">
        <x:f>H2629*(L2629*(1-'Inputs'!$B$15))/(I2629+L2629*(1-'Inputs'!$B$15))</x:f>
        <x:v>248542.64139743373</x:v>
      </x:c>
      <x:c r="O2629" s="78" t="n">
        <x:f>H2629-N2629</x:f>
        <x:v>372791.89078739507</x:v>
      </x:c>
      <x:c r="P2629" s="78" t="n">
        <x:f>I2629+L2629*(1-'Inputs'!$B$17)</x:f>
        <x:v>236327.71750641032</x:v>
      </x:c>
      <x:c r="Q2629" s="78" t="n">
        <x:f>IF(J2629&gt;0,M2629/J2629,0)</x:f>
        <x:v>0</x:v>
      </x:c>
      <x:c r="R2629" s="78" t="n">
        <x:f>IF(B2629='Inputs'!$H$51,'Inputs'!$B$27*'Inputs'!$I$51,0)</x:f>
        <x:v>0</x:v>
      </x:c>
      <x:c r="S2629" s="78" t="n">
        <x:f>Q2629+G2629+R2629</x:f>
        <x:v>248649.4886470257</x:v>
      </x:c>
      <x:c r="T2629" s="78" t="n">
        <x:f>P2629*(S2629*(1-'Inputs'!$B$15))/(O2629+S2629*(1-'Inputs'!$B$15))</x:f>
        <x:v>93989.3034246989</x:v>
      </x:c>
      <x:c r="U2629" s="78" t="n">
        <x:f>O2629+S2629*(1-'Inputs'!$B$17)</x:f>
        <x:v>620440.7778704488</x:v>
      </x:c>
      <x:c r="V2629" s="78" t="n">
        <x:f>P2629-T2629</x:f>
        <x:v>142338.41408171144</x:v>
      </x:c>
      <x:c r="W2629" s="79" t="n">
        <x:f>IF(U2629&gt;0,V2629/U2629,0)</x:f>
        <x:v>0.22941498876051056</x:v>
      </x:c>
      <x:c r="X2629" s="80" t="n">
        <x:f>W2629*('Inputs'!$B$6-AC2629)</x:f>
        <x:v>229266207.0980724</x:v>
      </x:c>
      <x:c r="Y2629" s="80" t="n">
        <x:f>2*V2629</x:f>
        <x:v>284676.8281634229</x:v>
      </x:c>
      <x:c r="Z2629" s="80" t="n">
        <x:f>K2629*'Inputs'!$B$16+(G2629+R2629)*J2629*'Inputs'!$B$16</x:f>
        <x:v>6055.201819254181</x:v>
      </x:c>
      <x:c r="AA2629" s="80" t="n">
        <x:f>K2629*(1+'Inputs'!$E$51)/2*'Inputs'!$B$17</x:f>
        <x:v>2108.355343400378</x:v>
      </x:c>
      <x:c r="AB2629" s="78" t="n">
        <x:f>(IF(J2629&gt;0,K2629*(1-'Inputs'!$E$51)/2/J2629,0)+G2629+R2629)*'Inputs'!$B$17</x:f>
        <x:v>8577.838544285114</x:v>
      </x:c>
      <x:c r="AC2629" s="78" t="n">
        <x:f>AC2628+AB2629</x:f>
        <x:v>648526.3375422183</x:v>
      </x:c>
      <x:c r="AD2629" s="80" t="n">
        <x:f>Z2629/(1+'Inputs'!$C$51)</x:f>
        <x:v>2018.4006064180603</x:v>
      </x:c>
      <x:c r="AE2629" s="80" t="n">
        <x:f>Z2629-AD2629</x:f>
        <x:v>4036.8012128361206</x:v>
      </x:c>
      <x:c r="AF2629" s="80" t="n">
        <x:f>D2629*W2629</x:f>
        <x:v>67749.47710514994</x:v>
      </x:c>
      <x:c r="AG2629" s="80" t="n">
        <x:f>C2629*W2629</x:f>
        <x:v>158082.11324534874</x:v>
      </x:c>
      <x:c r="AH2629" s="80" t="n">
        <x:f>2*'Inputs'!$B$8*'Inputs'!$C$51</x:f>
        <x:v>10000</x:v>
      </x:c>
      <x:c r="AI2629" s="81" t="n">
        <x:f>IF(AH2629&gt;0,(AE2629+AF2629)/AH2629*365,0)</x:f>
        <x:v>2620.199158606491</x:v>
      </x:c>
      <x:c r="AJ2629" s="81" t="n">
        <x:f>IF('Inputs'!$B$51&gt;0,AG2629/('Inputs'!$B$19*'Inputs'!$B$51)*365,0)</x:f>
        <x:v>5769.997133455229</x:v>
      </x:c>
      <x:c r="AK2629" s="81" t="n">
        <x:f>W2629/MAX($W$2559:W2629)-1</x:f>
        <x:v>-0.7672473325440161</x:v>
      </x:c>
      <x:c r="AL2629" s="83" t="n">
        <x:f>'Inputs'!$B$51</x:f>
        <x:v>1</x:v>
      </x:c>
      <x:c r="AM2629" s="83" t="n">
        <x:f>'Inputs'!$C$51</x:f>
        <x:v>2</x:v>
      </x:c>
      <x:c r="AN2629" s="83" t="n">
        <x:f>'Inputs'!$D$51</x:f>
        <x:v>3</x:v>
      </x:c>
      <x:c r="AO2629" s="81" t="n">
        <x:f>'Inputs'!$E$51</x:f>
        <x:v>0.1</x:v>
      </x:c>
    </x:row>
    <x:row r="2630">
      <x:c r="A2630" s="59" t="str">
        <x:v>High demand</x:v>
      </x:c>
      <x:c r="B2630" s="59" t="n">
        <x:v>72</x:v>
      </x:c>
      <x:c r="C2630" s="78" t="n">
        <x:f>(('Inputs'!$B$29*(3*72*'Inputs'!$B$12-72^2)/(2*'Inputs'!$B$12^2))-('Inputs'!$B$29*(3*71*'Inputs'!$B$12-71^2)/(2*'Inputs'!$B$12^2)))*'Inputs'!$B$51</x:f>
        <x:v>688741.0865077898</x:v>
      </x:c>
      <x:c r="D2630" s="78" t="n">
        <x:f>IF('Inputs'!$C$51&gt;0,('Inputs'!$B$30*(3*72*'Inputs'!$B$12-72^2)/(2*'Inputs'!$B$12^2))-('Inputs'!$B$30*(3*71*'Inputs'!$B$12-71^2)/(2*'Inputs'!$B$12^2)),0)</x:f>
        <x:v>295174.75136047974</x:v>
      </x:c>
      <x:c r="E2630" s="78" t="n">
        <x:f>C2630+D2630</x:f>
        <x:v>983915.8378682695</x:v>
      </x:c>
      <x:c r="F2630" s="78" t="n">
        <x:f>'Inputs'!$B$13*E2630+(1-'Inputs'!$B$13)/'Inputs'!$B$14*SUM(E2575:E2630)</x:f>
        <x:v>994133.5147307189</x:v>
      </x:c>
      <x:c r="G2630" s="78" t="n">
        <x:f>F2630*'Inputs'!$F$51</x:f>
        <x:v>248533.37868267973</x:v>
      </x:c>
      <x:c r="H2630" s="78" t="n">
        <x:f>U2629</x:f>
        <x:v>620440.7778704488</x:v>
      </x:c>
      <x:c r="I2630" s="78" t="n">
        <x:f>V2629</x:f>
        <x:v>142338.41408171144</x:v>
      </x:c>
      <x:c r="J2630" s="79" t="n">
        <x:f>IF(H2630&gt;0,I2630/H2630,0)</x:f>
        <x:v>0.22941498876051056</x:v>
      </x:c>
      <x:c r="K2630" s="80" t="n">
        <x:f>(H2630*J2630+I2630)*'Inputs'!$D$51*(1+'Inputs'!$G$51)^(B2630/30)</x:f>
        <x:v>960124.8069800473</x:v>
      </x:c>
      <x:c r="L2630" s="80" t="n">
        <x:f>MAX(0,K2630*'Inputs'!$E$51)</x:f>
        <x:v>96012.48069800473</x:v>
      </x:c>
      <x:c r="M2630" s="80" t="n">
        <x:f>MAX(0,-K2630*'Inputs'!$E$51)</x:f>
        <x:v>0</x:v>
      </x:c>
      <x:c r="N2630" s="78" t="n">
        <x:f>H2630*(L2630*(1-'Inputs'!$B$15))/(I2630+L2630*(1-'Inputs'!$B$15))</x:f>
        <x:v>248427.34043206135</x:v>
      </x:c>
      <x:c r="O2630" s="78" t="n">
        <x:f>H2630-N2630</x:f>
        <x:v>372013.4374383874</x:v>
      </x:c>
      <x:c r="P2630" s="78" t="n">
        <x:f>I2630+L2630*(1-'Inputs'!$B$17)</x:f>
        <x:v>237964.52664813466</x:v>
      </x:c>
      <x:c r="Q2630" s="78" t="n">
        <x:f>IF(J2630&gt;0,M2630/J2630,0)</x:f>
        <x:v>0</x:v>
      </x:c>
      <x:c r="R2630" s="78" t="n">
        <x:f>IF(B2630='Inputs'!$H$51,'Inputs'!$B$27*'Inputs'!$I$51,0)</x:f>
        <x:v>0</x:v>
      </x:c>
      <x:c r="S2630" s="78" t="n">
        <x:f>Q2630+G2630+R2630</x:f>
        <x:v>248533.37868267973</x:v>
      </x:c>
      <x:c r="T2630" s="78" t="n">
        <x:f>P2630*(S2630*(1-'Inputs'!$B$15))/(O2630+S2630*(1-'Inputs'!$B$15))</x:f>
        <x:v>94732.81899918994</x:v>
      </x:c>
      <x:c r="U2630" s="78" t="n">
        <x:f>O2630+S2630*(1-'Inputs'!$B$17)</x:f>
        <x:v>619546.6818004125</x:v>
      </x:c>
      <x:c r="V2630" s="78" t="n">
        <x:f>P2630-T2630</x:f>
        <x:v>143231.70764894472</x:v>
      </x:c>
      <x:c r="W2630" s="79" t="n">
        <x:f>IF(U2630&gt;0,V2630/U2630,0)</x:f>
        <x:v>0.23118791829004895</x:v>
      </x:c>
      <x:c r="X2630" s="80" t="n">
        <x:f>W2630*('Inputs'!$B$6-AC2630)</x:f>
        <x:v>231036003.52413487</x:v>
      </x:c>
      <x:c r="Y2630" s="80" t="n">
        <x:f>2*V2630</x:f>
        <x:v>286463.41529788944</x:v>
      </x:c>
      <x:c r="Z2630" s="80" t="n">
        <x:f>K2630*'Inputs'!$B$16+(G2630+R2630)*J2630*'Inputs'!$B$16</x:f>
        <x:v>6102.8525355428765</x:v>
      </x:c>
      <x:c r="AA2630" s="80" t="n">
        <x:f>K2630*(1+'Inputs'!$E$51)/2*'Inputs'!$B$17</x:f>
        <x:v>2125.024723698294</x:v>
      </x:c>
      <x:c r="AB2630" s="78" t="n">
        <x:f>(IF(J2630&gt;0,K2630*(1-'Inputs'!$E$51)/2/J2630,0)+G2630+R2630)*'Inputs'!$B$17</x:f>
        <x:v>8578.787317612023</x:v>
      </x:c>
      <x:c r="AC2630" s="78" t="n">
        <x:f>AC2629+AB2630</x:f>
        <x:v>657105.1248598302</x:v>
      </x:c>
      <x:c r="AD2630" s="80" t="n">
        <x:f>Z2630/(1+'Inputs'!$C$51)</x:f>
        <x:v>2034.284178514292</x:v>
      </x:c>
      <x:c r="AE2630" s="80" t="n">
        <x:f>Z2630-AD2630</x:f>
        <x:v>4068.5683570285846</x:v>
      </x:c>
      <x:c r="AF2630" s="80" t="n">
        <x:f>D2630*W2630</x:f>
        <x:v>68240.83629881211</x:v>
      </x:c>
      <x:c r="AG2630" s="80" t="n">
        <x:f>C2630*W2630</x:f>
        <x:v>159228.61803056244</x:v>
      </x:c>
      <x:c r="AH2630" s="80" t="n">
        <x:f>2*'Inputs'!$B$8*'Inputs'!$C$51</x:f>
        <x:v>10000</x:v>
      </x:c>
      <x:c r="AI2630" s="81" t="n">
        <x:f>IF(AH2630&gt;0,(AE2630+AF2630)/AH2630*365,0)</x:f>
        <x:v>2639.293269938186</x:v>
      </x:c>
      <x:c r="AJ2630" s="81" t="n">
        <x:f>IF('Inputs'!$B$51&gt;0,AG2630/('Inputs'!$B$19*'Inputs'!$B$51)*365,0)</x:f>
        <x:v>5811.844558115529</x:v>
      </x:c>
      <x:c r="AK2630" s="81" t="n">
        <x:f>W2630/MAX($W$2559:W2630)-1</x:f>
        <x:v>-0.7654486092808107</x:v>
      </x:c>
      <x:c r="AL2630" s="83" t="n">
        <x:f>'Inputs'!$B$51</x:f>
        <x:v>1</x:v>
      </x:c>
      <x:c r="AM2630" s="83" t="n">
        <x:f>'Inputs'!$C$51</x:f>
        <x:v>2</x:v>
      </x:c>
      <x:c r="AN2630" s="83" t="n">
        <x:f>'Inputs'!$D$51</x:f>
        <x:v>3</x:v>
      </x:c>
      <x:c r="AO2630" s="81" t="n">
        <x:f>'Inputs'!$E$51</x:f>
        <x:v>0.1</x:v>
      </x:c>
    </x:row>
    <x:row r="2631">
      <x:c r="A2631" s="59" t="str">
        <x:v>High demand</x:v>
      </x:c>
      <x:c r="B2631" s="59" t="n">
        <x:v>73</x:v>
      </x:c>
      <x:c r="C2631" s="78" t="n">
        <x:f>(('Inputs'!$B$29*(3*73*'Inputs'!$B$12-73^2)/(2*'Inputs'!$B$12^2))-('Inputs'!$B$29*(3*72*'Inputs'!$B$12-72^2)/(2*'Inputs'!$B$12^2)))*'Inputs'!$B$51</x:f>
        <x:v>688415.9786076173</x:v>
      </x:c>
      <x:c r="D2631" s="78" t="n">
        <x:f>IF('Inputs'!$C$51&gt;0,('Inputs'!$B$30*(3*73*'Inputs'!$B$12-73^2)/(2*'Inputs'!$B$12^2))-('Inputs'!$B$30*(3*72*'Inputs'!$B$12-72^2)/(2*'Inputs'!$B$12^2)),0)</x:f>
        <x:v>295035.41940326616</x:v>
      </x:c>
      <x:c r="E2631" s="78" t="n">
        <x:f>C2631+D2631</x:f>
        <x:v>983451.3980108835</x:v>
      </x:c>
      <x:c r="F2631" s="78" t="n">
        <x:f>'Inputs'!$B$13*E2631+(1-'Inputs'!$B$13)/'Inputs'!$B$14*SUM(E2576:E2631)</x:f>
        <x:v>993669.0748733344</x:v>
      </x:c>
      <x:c r="G2631" s="78" t="n">
        <x:f>F2631*'Inputs'!$F$51</x:f>
        <x:v>248417.2687183336</x:v>
      </x:c>
      <x:c r="H2631" s="78" t="n">
        <x:f>U2630</x:f>
        <x:v>619546.6818004125</x:v>
      </x:c>
      <x:c r="I2631" s="78" t="n">
        <x:f>V2630</x:f>
        <x:v>143231.70764894472</x:v>
      </x:c>
      <x:c r="J2631" s="79" t="n">
        <x:f>IF(H2631&gt;0,I2631/H2631,0)</x:f>
        <x:v>0.23118791829004895</x:v>
      </x:c>
      <x:c r="K2631" s="80" t="n">
        <x:f>(H2631*J2631+I2631)*'Inputs'!$D$51*(1+'Inputs'!$G$51)^(B2631/30)</x:f>
        <x:v>967722.9660184807</x:v>
      </x:c>
      <x:c r="L2631" s="80" t="n">
        <x:f>MAX(0,K2631*'Inputs'!$E$51)</x:f>
        <x:v>96772.29660184808</x:v>
      </x:c>
      <x:c r="M2631" s="80" t="n">
        <x:f>MAX(0,-K2631*'Inputs'!$E$51)</x:f>
        <x:v>0</x:v>
      </x:c>
      <x:c r="N2631" s="78" t="n">
        <x:f>H2631*(L2631*(1-'Inputs'!$B$15))/(I2631+L2631*(1-'Inputs'!$B$15))</x:f>
        <x:v>248311.28303351087</x:v>
      </x:c>
      <x:c r="O2631" s="78" t="n">
        <x:f>H2631-N2631</x:f>
        <x:v>371235.3987669016</x:v>
      </x:c>
      <x:c r="P2631" s="78" t="n">
        <x:f>I2631+L2631*(1-'Inputs'!$B$17)</x:f>
        <x:v>239614.5785099403</x:v>
      </x:c>
      <x:c r="Q2631" s="78" t="n">
        <x:f>IF(J2631&gt;0,M2631/J2631,0)</x:f>
        <x:v>0</x:v>
      </x:c>
      <x:c r="R2631" s="78" t="n">
        <x:f>IF(B2631='Inputs'!$H$51,'Inputs'!$B$27*'Inputs'!$I$51,0)</x:f>
        <x:v>0</x:v>
      </x:c>
      <x:c r="S2631" s="78" t="n">
        <x:f>Q2631+G2631+R2631</x:f>
        <x:v>248417.2687183336</x:v>
      </x:c>
      <x:c r="T2631" s="78" t="n">
        <x:f>P2631*(S2631*(1-'Inputs'!$B$15))/(O2631+S2631*(1-'Inputs'!$B$15))</x:f>
        <x:v>95483.09034541916</x:v>
      </x:c>
      <x:c r="U2631" s="78" t="n">
        <x:f>O2631+S2631*(1-'Inputs'!$B$17)</x:f>
        <x:v>618653.0004078979</x:v>
      </x:c>
      <x:c r="V2631" s="78" t="n">
        <x:f>P2631-T2631</x:f>
        <x:v>144131.48816452114</x:v>
      </x:c>
      <x:c r="W2631" s="79" t="n">
        <x:f>IF(U2631&gt;0,V2631/U2631,0)</x:f>
        <x:v>0.23297630185174986</x:v>
      </x:c>
      <x:c r="X2631" s="80" t="n">
        <x:f>W2631*('Inputs'!$B$6-AC2631)</x:f>
        <x:v>232821213.05922392</x:v>
      </x:c>
      <x:c r="Y2631" s="80" t="n">
        <x:f>2*V2631</x:f>
        <x:v>288262.9763290423</x:v>
      </x:c>
      <x:c r="Z2631" s="80" t="n">
        <x:f>K2631*'Inputs'!$B$16+(G2631+R2631)*J2631*'Inputs'!$B$16</x:f>
        <x:v>6150.924223444632</x:v>
      </x:c>
      <x:c r="AA2631" s="80" t="n">
        <x:f>K2631*(1+'Inputs'!$E$51)/2*'Inputs'!$B$17</x:f>
        <x:v>2141.841574688791</x:v>
      </x:c>
      <x:c r="AB2631" s="78" t="n">
        <x:f>(IF(J2631&gt;0,K2631*(1-'Inputs'!$E$51)/2/J2631,0)+G2631+R2631)*'Inputs'!$B$17</x:f>
        <x:v>8579.716444959147</x:v>
      </x:c>
      <x:c r="AC2631" s="78" t="n">
        <x:f>AC2630+AB2631</x:f>
        <x:v>665684.8413047894</x:v>
      </x:c>
      <x:c r="AD2631" s="80" t="n">
        <x:f>Z2631/(1+'Inputs'!$C$51)</x:f>
        <x:v>2050.308074481544</x:v>
      </x:c>
      <x:c r="AE2631" s="80" t="n">
        <x:f>Z2631-AD2631</x:f>
        <x:v>4100.616148963089</x:v>
      </x:c>
      <x:c r="AF2631" s="80" t="n">
        <x:f>D2631*W2631</x:f>
        <x:v>68736.26092785296</x:v>
      </x:c>
      <x:c r="AG2631" s="80" t="n">
        <x:f>C2631*W2631</x:f>
        <x:v>160384.60883165602</x:v>
      </x:c>
      <x:c r="AH2631" s="80" t="n">
        <x:f>2*'Inputs'!$B$8*'Inputs'!$C$51</x:f>
        <x:v>10000</x:v>
      </x:c>
      <x:c r="AI2631" s="81" t="n">
        <x:f>IF(AH2631&gt;0,(AE2631+AF2631)/AH2631*365,0)</x:f>
        <x:v>2658.5460133037855</x:v>
      </x:c>
      <x:c r="AJ2631" s="81" t="n">
        <x:f>IF('Inputs'!$B$51&gt;0,AG2631/('Inputs'!$B$19*'Inputs'!$B$51)*365,0)</x:f>
        <x:v>5854.038222355444</x:v>
      </x:c>
      <x:c r="AK2631" s="81" t="n">
        <x:f>W2631/MAX($W$2559:W2631)-1</x:f>
        <x:v>-0.7636342071501163</x:v>
      </x:c>
      <x:c r="AL2631" s="83" t="n">
        <x:f>'Inputs'!$B$51</x:f>
        <x:v>1</x:v>
      </x:c>
      <x:c r="AM2631" s="83" t="n">
        <x:f>'Inputs'!$C$51</x:f>
        <x:v>2</x:v>
      </x:c>
      <x:c r="AN2631" s="83" t="n">
        <x:f>'Inputs'!$D$51</x:f>
        <x:v>3</x:v>
      </x:c>
      <x:c r="AO2631" s="81" t="n">
        <x:f>'Inputs'!$E$51</x:f>
        <x:v>0.1</x:v>
      </x:c>
    </x:row>
    <x:row r="2632">
      <x:c r="A2632" s="59" t="str">
        <x:v>High demand</x:v>
      </x:c>
      <x:c r="B2632" s="59" t="n">
        <x:v>74</x:v>
      </x:c>
      <x:c r="C2632" s="78" t="n">
        <x:f>(('Inputs'!$B$29*(3*74*'Inputs'!$B$12-74^2)/(2*'Inputs'!$B$12^2))-('Inputs'!$B$29*(3*73*'Inputs'!$B$12-73^2)/(2*'Inputs'!$B$12^2)))*'Inputs'!$B$51</x:f>
        <x:v>688090.8707074523</x:v>
      </x:c>
      <x:c r="D2632" s="78" t="n">
        <x:f>IF('Inputs'!$C$51&gt;0,('Inputs'!$B$30*(3*74*'Inputs'!$B$12-74^2)/(2*'Inputs'!$B$12^2))-('Inputs'!$B$30*(3*73*'Inputs'!$B$12-73^2)/(2*'Inputs'!$B$12^2)),0)</x:f>
        <x:v>294896.08744604886</x:v>
      </x:c>
      <x:c r="E2632" s="78" t="n">
        <x:f>C2632+D2632</x:f>
        <x:v>982986.9581535012</x:v>
      </x:c>
      <x:c r="F2632" s="78" t="n">
        <x:f>'Inputs'!$B$13*E2632+(1-'Inputs'!$B$13)/'Inputs'!$B$14*SUM(E2577:E2632)</x:f>
        <x:v>993204.6350159508</x:v>
      </x:c>
      <x:c r="G2632" s="78" t="n">
        <x:f>F2632*'Inputs'!$F$51</x:f>
        <x:v>248301.1587539877</x:v>
      </x:c>
      <x:c r="H2632" s="78" t="n">
        <x:f>U2631</x:f>
        <x:v>618653.0004078979</x:v>
      </x:c>
      <x:c r="I2632" s="78" t="n">
        <x:f>V2631</x:f>
        <x:v>144131.48816452114</x:v>
      </x:c>
      <x:c r="J2632" s="79" t="n">
        <x:f>IF(H2632&gt;0,I2632/H2632,0)</x:f>
        <x:v>0.23297630185174986</x:v>
      </x:c>
      <x:c r="K2632" s="80" t="n">
        <x:f>(H2632*J2632+I2632)*'Inputs'!$D$51*(1+'Inputs'!$G$51)^(B2632/30)</x:f>
        <x:v>975387.2152879998</x:v>
      </x:c>
      <x:c r="L2632" s="80" t="n">
        <x:f>MAX(0,K2632*'Inputs'!$E$51)</x:f>
        <x:v>97538.72152879999</x:v>
      </x:c>
      <x:c r="M2632" s="80" t="n">
        <x:f>MAX(0,-K2632*'Inputs'!$E$51)</x:f>
        <x:v>0</x:v>
      </x:c>
      <x:c r="N2632" s="78" t="n">
        <x:f>H2632*(L2632*(1-'Inputs'!$B$15))/(I2632+L2632*(1-'Inputs'!$B$15))</x:f>
        <x:v>248194.7716507162</x:v>
      </x:c>
      <x:c r="O2632" s="78" t="n">
        <x:f>H2632-N2632</x:f>
        <x:v>370458.22875718167</x:v>
      </x:c>
      <x:c r="P2632" s="78" t="n">
        <x:f>I2632+L2632*(1-'Inputs'!$B$17)</x:f>
        <x:v>241277.69974753118</x:v>
      </x:c>
      <x:c r="Q2632" s="78" t="n">
        <x:f>IF(J2632&gt;0,M2632/J2632,0)</x:f>
        <x:v>0</x:v>
      </x:c>
      <x:c r="R2632" s="78" t="n">
        <x:f>IF(B2632='Inputs'!$H$51,'Inputs'!$B$27*'Inputs'!$I$51,0)</x:f>
        <x:v>0</x:v>
      </x:c>
      <x:c r="S2632" s="78" t="n">
        <x:f>Q2632+G2632+R2632</x:f>
        <x:v>248301.1587539877</x:v>
      </x:c>
      <x:c r="T2632" s="78" t="n">
        <x:f>P2632*(S2632*(1-'Inputs'!$B$15))/(O2632+S2632*(1-'Inputs'!$B$15))</x:f>
        <x:v>96239.99786724019</x:v>
      </x:c>
      <x:c r="U2632" s="78" t="n">
        <x:f>O2632+S2632*(1-'Inputs'!$B$17)</x:f>
        <x:v>617760.1876771493</x:v>
      </x:c>
      <x:c r="V2632" s="78" t="n">
        <x:f>P2632-T2632</x:f>
        <x:v>145037.701880291</x:v>
      </x:c>
      <x:c r="W2632" s="79" t="n">
        <x:f>IF(U2632&gt;0,V2632/U2632,0)</x:f>
        <x:v>0.23477994337195757</x:v>
      </x:c>
      <x:c r="X2632" s="80" t="n">
        <x:f>W2632*('Inputs'!$B$6-AC2632)</x:f>
        <x:v>234621639.36158448</x:v>
      </x:c>
      <x:c r="Y2632" s="80" t="n">
        <x:f>2*V2632</x:f>
        <x:v>290075.403760582</x:v>
      </x:c>
      <x:c r="Z2632" s="80" t="n">
        <x:f>K2632*'Inputs'!$B$16+(G2632+R2632)*J2632*'Inputs'!$B$16</x:f>
        <x:v>6199.413006000049</x:v>
      </x:c>
      <x:c r="AA2632" s="80" t="n">
        <x:f>K2632*(1+'Inputs'!$E$51)/2*'Inputs'!$B$17</x:f>
        <x:v>2158.804701844668</x:v>
      </x:c>
      <x:c r="AB2632" s="78" t="n">
        <x:f>(IF(J2632&gt;0,K2632*(1-'Inputs'!$E$51)/2/J2632,0)+G2632+R2632)*'Inputs'!$B$17</x:f>
        <x:v>8580.635121711593</x:v>
      </x:c>
      <x:c r="AC2632" s="78" t="n">
        <x:f>AC2631+AB2632</x:f>
        <x:v>674265.4764265011</x:v>
      </x:c>
      <x:c r="AD2632" s="80" t="n">
        <x:f>Z2632/(1+'Inputs'!$C$51)</x:f>
        <x:v>2066.471002000016</x:v>
      </x:c>
      <x:c r="AE2632" s="80" t="n">
        <x:f>Z2632-AD2632</x:f>
        <x:v>4132.942004000033</x:v>
      </x:c>
      <x:c r="AF2632" s="80" t="n">
        <x:f>D2632*W2632</x:f>
        <x:v>69235.6867111952</x:v>
      </x:c>
      <x:c r="AG2632" s="80" t="n">
        <x:f>C2632*W2632</x:f>
        <x:v>161549.93565945662</x:v>
      </x:c>
      <x:c r="AH2632" s="80" t="n">
        <x:f>2*'Inputs'!$B$8*'Inputs'!$C$51</x:f>
        <x:v>10000</x:v>
      </x:c>
      <x:c r="AI2632" s="81" t="n">
        <x:f>IF(AH2632&gt;0,(AE2632+AF2632)/AH2632*365,0)</x:f>
        <x:v>2677.9549481046256</x:v>
      </x:c>
      <x:c r="AJ2632" s="81" t="n">
        <x:f>IF('Inputs'!$B$51&gt;0,AG2632/('Inputs'!$B$19*'Inputs'!$B$51)*365,0)</x:f>
        <x:v>5896.572651570167</x:v>
      </x:c>
      <x:c r="AK2632" s="81" t="n">
        <x:f>W2632/MAX($W$2559:W2632)-1</x:f>
        <x:v>-0.7618043250781957</x:v>
      </x:c>
      <x:c r="AL2632" s="83" t="n">
        <x:f>'Inputs'!$B$51</x:f>
        <x:v>1</x:v>
      </x:c>
      <x:c r="AM2632" s="83" t="n">
        <x:f>'Inputs'!$C$51</x:f>
        <x:v>2</x:v>
      </x:c>
      <x:c r="AN2632" s="83" t="n">
        <x:f>'Inputs'!$D$51</x:f>
        <x:v>3</x:v>
      </x:c>
      <x:c r="AO2632" s="81" t="n">
        <x:f>'Inputs'!$E$51</x:f>
        <x:v>0.1</x:v>
      </x:c>
    </x:row>
    <x:row r="2633">
      <x:c r="A2633" s="59" t="str">
        <x:v>High demand</x:v>
      </x:c>
      <x:c r="B2633" s="59" t="n">
        <x:v>75</x:v>
      </x:c>
      <x:c r="C2633" s="78" t="n">
        <x:f>(('Inputs'!$B$29*(3*75*'Inputs'!$B$12-75^2)/(2*'Inputs'!$B$12^2))-('Inputs'!$B$29*(3*74*'Inputs'!$B$12-74^2)/(2*'Inputs'!$B$12^2)))*'Inputs'!$B$51</x:f>
        <x:v>687765.7628072798</x:v>
      </x:c>
      <x:c r="D2633" s="78" t="n">
        <x:f>IF('Inputs'!$C$51&gt;0,('Inputs'!$B$30*(3*75*'Inputs'!$B$12-75^2)/(2*'Inputs'!$B$12^2))-('Inputs'!$B$30*(3*74*'Inputs'!$B$12-74^2)/(2*'Inputs'!$B$12^2)),0)</x:f>
        <x:v>294756.7554888353</x:v>
      </x:c>
      <x:c r="E2633" s="78" t="n">
        <x:f>C2633+D2633</x:f>
        <x:v>982522.5182961151</x:v>
      </x:c>
      <x:c r="F2633" s="78" t="n">
        <x:f>'Inputs'!$B$13*E2633+(1-'Inputs'!$B$13)/'Inputs'!$B$14*SUM(E2578:E2633)</x:f>
        <x:v>992740.1951585663</x:v>
      </x:c>
      <x:c r="G2633" s="78" t="n">
        <x:f>F2633*'Inputs'!$F$51</x:f>
        <x:v>248185.0487896416</x:v>
      </x:c>
      <x:c r="H2633" s="78" t="n">
        <x:f>U2632</x:f>
        <x:v>617760.1876771493</x:v>
      </x:c>
      <x:c r="I2633" s="78" t="n">
        <x:f>V2632</x:f>
        <x:v>145037.701880291</x:v>
      </x:c>
      <x:c r="J2633" s="79" t="n">
        <x:f>IF(H2633&gt;0,I2633/H2633,0)</x:f>
        <x:v>0.23477994337195757</x:v>
      </x:c>
      <x:c r="K2633" s="80" t="n">
        <x:f>(H2633*J2633+I2633)*'Inputs'!$D$51*(1+'Inputs'!$G$51)^(B2633/30)</x:f>
        <x:v>983117.4569332397</x:v>
      </x:c>
      <x:c r="L2633" s="80" t="n">
        <x:f>MAX(0,K2633*'Inputs'!$E$51)</x:f>
        <x:v>98311.74569332397</x:v>
      </x:c>
      <x:c r="M2633" s="80" t="n">
        <x:f>MAX(0,-K2633*'Inputs'!$E$51)</x:f>
        <x:v>0</x:v>
      </x:c>
      <x:c r="N2633" s="78" t="n">
        <x:f>H2633*(L2633*(1-'Inputs'!$B$15))/(I2633+L2633*(1-'Inputs'!$B$15))</x:f>
        <x:v>248077.98845956064</x:v>
      </x:c>
      <x:c r="O2633" s="78" t="n">
        <x:f>H2633-N2633</x:f>
        <x:v>369682.19921758864</x:v>
      </x:c>
      <x:c r="P2633" s="78" t="n">
        <x:f>I2633+L2633*(1-'Inputs'!$B$17)</x:f>
        <x:v>242953.82686659956</x:v>
      </x:c>
      <x:c r="Q2633" s="78" t="n">
        <x:f>IF(J2633&gt;0,M2633/J2633,0)</x:f>
        <x:v>0</x:v>
      </x:c>
      <x:c r="R2633" s="78" t="n">
        <x:f>IF(B2633='Inputs'!$H$51,'Inputs'!$B$27*'Inputs'!$I$51,0)</x:f>
        <x:v>0</x:v>
      </x:c>
      <x:c r="S2633" s="78" t="n">
        <x:f>Q2633+G2633+R2633</x:f>
        <x:v>248185.0487896416</x:v>
      </x:c>
      <x:c r="T2633" s="78" t="n">
        <x:f>P2633*(S2633*(1-'Inputs'!$B$15))/(O2633+S2633*(1-'Inputs'!$B$15))</x:f>
        <x:v>97003.49170033164</x:v>
      </x:c>
      <x:c r="U2633" s="78" t="n">
        <x:f>O2633+S2633*(1-'Inputs'!$B$17)</x:f>
        <x:v>616868.5154165274</x:v>
      </x:c>
      <x:c r="V2633" s="78" t="n">
        <x:f>P2633-T2633</x:f>
        <x:v>145950.33516626793</x:v>
      </x:c>
      <x:c r="W2633" s="79" t="n">
        <x:f>IF(U2633&gt;0,V2633/U2633,0)</x:f>
        <x:v>0.23659877513398145</x:v>
      </x:c>
      <x:c r="X2633" s="80" t="n">
        <x:f>W2633*('Inputs'!$B$6-AC2633)</x:f>
        <x:v>236437214.36418745</x:v>
      </x:c>
      <x:c r="Y2633" s="80" t="n">
        <x:f>2*V2633</x:f>
        <x:v>291900.67033253587</x:v>
      </x:c>
      <x:c r="Z2633" s="80" t="n">
        <x:f>K2633*'Inputs'!$B$16+(G2633+R2633)*J2633*'Inputs'!$B$16</x:f>
        <x:v>6248.31797180303</x:v>
      </x:c>
      <x:c r="AA2633" s="80" t="n">
        <x:f>K2633*(1+'Inputs'!$E$51)/2*'Inputs'!$B$17</x:f>
        <x:v>2175.9138885846355</x:v>
      </x:c>
      <x:c r="AB2633" s="78" t="n">
        <x:f>(IF(J2633&gt;0,K2633*(1-'Inputs'!$E$51)/2/J2633,0)+G2633+R2633)*'Inputs'!$B$17</x:f>
        <x:v>8581.548890938282</x:v>
      </x:c>
      <x:c r="AC2633" s="78" t="n">
        <x:f>AC2632+AB2633</x:f>
        <x:v>682847.0253174393</x:v>
      </x:c>
      <x:c r="AD2633" s="80" t="n">
        <x:f>Z2633/(1+'Inputs'!$C$51)</x:f>
        <x:v>2082.7726572676765</x:v>
      </x:c>
      <x:c r="AE2633" s="80" t="n">
        <x:f>Z2633-AD2633</x:f>
        <x:v>4165.545314535353</x:v>
      </x:c>
      <x:c r="AF2633" s="80" t="n">
        <x:f>D2633*W2633</x:f>
        <x:v>69739.0873111249</x:v>
      </x:c>
      <x:c r="AG2633" s="80" t="n">
        <x:f>C2633*W2633</x:f>
        <x:v>162724.53705929083</x:v>
      </x:c>
      <x:c r="AH2633" s="80" t="n">
        <x:f>2*'Inputs'!$B$8*'Inputs'!$C$51</x:f>
        <x:v>10000</x:v>
      </x:c>
      <x:c r="AI2633" s="81" t="n">
        <x:f>IF(AH2633&gt;0,(AE2633+AF2633)/AH2633*365,0)</x:f>
        <x:v>2697.519090836599</x:v>
      </x:c>
      <x:c r="AJ2633" s="81" t="n">
        <x:f>IF('Inputs'!$B$51&gt;0,AG2633/('Inputs'!$B$19*'Inputs'!$B$51)*365,0)</x:f>
        <x:v>5939.4456026641155</x:v>
      </x:c>
      <x:c r="AK2633" s="81" t="n">
        <x:f>W2633/MAX($W$2559:W2633)-1</x:f>
        <x:v>-0.7599590317669263</x:v>
      </x:c>
      <x:c r="AL2633" s="83" t="n">
        <x:f>'Inputs'!$B$51</x:f>
        <x:v>1</x:v>
      </x:c>
      <x:c r="AM2633" s="83" t="n">
        <x:f>'Inputs'!$C$51</x:f>
        <x:v>2</x:v>
      </x:c>
      <x:c r="AN2633" s="83" t="n">
        <x:f>'Inputs'!$D$51</x:f>
        <x:v>3</x:v>
      </x:c>
      <x:c r="AO2633" s="81" t="n">
        <x:f>'Inputs'!$E$51</x:f>
        <x:v>0.1</x:v>
      </x:c>
    </x:row>
    <x:row r="2634">
      <x:c r="A2634" s="59" t="str">
        <x:v>High demand</x:v>
      </x:c>
      <x:c r="B2634" s="59" t="n">
        <x:v>76</x:v>
      </x:c>
      <x:c r="C2634" s="78" t="n">
        <x:f>(('Inputs'!$B$29*(3*76*'Inputs'!$B$12-76^2)/(2*'Inputs'!$B$12^2))-('Inputs'!$B$29*(3*75*'Inputs'!$B$12-75^2)/(2*'Inputs'!$B$12^2)))*'Inputs'!$B$51</x:f>
        <x:v>687440.6549071074</x:v>
      </x:c>
      <x:c r="D2634" s="78" t="n">
        <x:f>IF('Inputs'!$C$51&gt;0,('Inputs'!$B$30*(3*76*'Inputs'!$B$12-76^2)/(2*'Inputs'!$B$12^2))-('Inputs'!$B$30*(3*75*'Inputs'!$B$12-75^2)/(2*'Inputs'!$B$12^2)),0)</x:f>
        <x:v>294617.4235316217</x:v>
      </x:c>
      <x:c r="E2634" s="78" t="n">
        <x:f>C2634+D2634</x:f>
        <x:v>982058.078438729</x:v>
      </x:c>
      <x:c r="F2634" s="78" t="n">
        <x:f>'Inputs'!$B$13*E2634+(1-'Inputs'!$B$13)/'Inputs'!$B$14*SUM(E2579:E2634)</x:f>
        <x:v>992275.7553011818</x:v>
      </x:c>
      <x:c r="G2634" s="78" t="n">
        <x:f>F2634*'Inputs'!$F$51</x:f>
        <x:v>248068.93882529545</x:v>
      </x:c>
      <x:c r="H2634" s="78" t="n">
        <x:f>U2633</x:f>
        <x:v>616868.5154165274</x:v>
      </x:c>
      <x:c r="I2634" s="78" t="n">
        <x:f>V2633</x:f>
        <x:v>145950.33516626793</x:v>
      </x:c>
      <x:c r="J2634" s="79" t="n">
        <x:f>IF(H2634&gt;0,I2634/H2634,0)</x:f>
        <x:v>0.23659877513398145</x:v>
      </x:c>
      <x:c r="K2634" s="80" t="n">
        <x:f>(H2634*J2634+I2634)*'Inputs'!$D$51*(1+'Inputs'!$G$51)^(B2634/30)</x:f>
        <x:v>990913.8639133902</x:v>
      </x:c>
      <x:c r="L2634" s="80" t="n">
        <x:f>MAX(0,K2634*'Inputs'!$E$51)</x:f>
        <x:v>99091.38639133902</x:v>
      </x:c>
      <x:c r="M2634" s="80" t="n">
        <x:f>MAX(0,-K2634*'Inputs'!$E$51)</x:f>
        <x:v>0</x:v>
      </x:c>
      <x:c r="N2634" s="78" t="n">
        <x:f>H2634*(L2634*(1-'Inputs'!$B$15))/(I2634+L2634*(1-'Inputs'!$B$15))</x:f>
        <x:v>247961.04311854995</x:v>
      </x:c>
      <x:c r="O2634" s="78" t="n">
        <x:f>H2634-N2634</x:f>
        <x:v>368907.4722979774</x:v>
      </x:c>
      <x:c r="P2634" s="78" t="n">
        <x:f>I2634+L2634*(1-'Inputs'!$B$17)</x:f>
        <x:v>244642.9634634768</x:v>
      </x:c>
      <x:c r="Q2634" s="78" t="n">
        <x:f>IF(J2634&gt;0,M2634/J2634,0)</x:f>
        <x:v>0</x:v>
      </x:c>
      <x:c r="R2634" s="78" t="n">
        <x:f>IF(B2634='Inputs'!$H$51,'Inputs'!$B$27*'Inputs'!$I$51,0)</x:f>
        <x:v>0</x:v>
      </x:c>
      <x:c r="S2634" s="78" t="n">
        <x:f>Q2634+G2634+R2634</x:f>
        <x:v>248068.93882529545</x:v>
      </x:c>
      <x:c r="T2634" s="78" t="n">
        <x:f>P2634*(S2634*(1-'Inputs'!$B$15))/(O2634+S2634*(1-'Inputs'!$B$15))</x:f>
        <x:v>97773.5645814531</x:v>
      </x:c>
      <x:c r="U2634" s="78" t="n">
        <x:f>O2634+S2634*(1-'Inputs'!$B$17)</x:f>
        <x:v>615978.1457758874</x:v>
      </x:c>
      <x:c r="V2634" s="78" t="n">
        <x:f>P2634-T2634</x:f>
        <x:v>146869.3988820237</x:v>
      </x:c>
      <x:c r="W2634" s="79" t="n">
        <x:f>IF(U2634&gt;0,V2634/U2634,0)</x:f>
        <x:v>0.2384328078669523</x:v>
      </x:c>
      <x:c r="X2634" s="80" t="n">
        <x:f>W2634*('Inputs'!$B$6-AC2634)</x:f>
        <x:v>238267948.3930657</x:v>
      </x:c>
      <x:c r="Y2634" s="80" t="n">
        <x:f>2*V2634</x:f>
        <x:v>293738.7977640474</x:v>
      </x:c>
      <x:c r="Z2634" s="80" t="n">
        <x:f>K2634*'Inputs'!$B$16+(G2634+R2634)*J2634*'Inputs'!$B$16</x:f>
        <x:v>6297.6400259294505</x:v>
      </x:c>
      <x:c r="AA2634" s="80" t="n">
        <x:f>K2634*(1+'Inputs'!$E$51)/2*'Inputs'!$B$17</x:f>
        <x:v>2193.169517715753</x:v>
      </x:c>
      <x:c r="AB2634" s="78" t="n">
        <x:f>(IF(J2634&gt;0,K2634*(1-'Inputs'!$E$51)/2/J2634,0)+G2634+R2634)*'Inputs'!$B$17</x:f>
        <x:v>8582.461092141462</x:v>
      </x:c>
      <x:c r="AC2634" s="78" t="n">
        <x:f>AC2633+AB2634</x:f>
        <x:v>691429.4864095808</x:v>
      </x:c>
      <x:c r="AD2634" s="80" t="n">
        <x:f>Z2634/(1+'Inputs'!$C$51)</x:f>
        <x:v>2099.2133419764837</x:v>
      </x:c>
      <x:c r="AE2634" s="80" t="n">
        <x:f>Z2634-AD2634</x:f>
        <x:v>4198.426683952966</x:v>
      </x:c>
      <x:c r="AF2634" s="80" t="n">
        <x:f>D2634*W2634</x:f>
        <x:v>70246.45953917167</x:v>
      </x:c>
      <x:c r="AG2634" s="80" t="n">
        <x:f>C2634*W2634</x:f>
        <x:v>163908.4055913982</x:v>
      </x:c>
      <x:c r="AH2634" s="80" t="n">
        <x:f>2*'Inputs'!$B$8*'Inputs'!$C$51</x:f>
        <x:v>10000</x:v>
      </x:c>
      <x:c r="AI2634" s="81" t="n">
        <x:f>IF(AH2634&gt;0,(AE2634+AF2634)/AH2634*365,0)</x:f>
        <x:v>2717.2383471440494</x:v>
      </x:c>
      <x:c r="AJ2634" s="81" t="n">
        <x:f>IF('Inputs'!$B$51&gt;0,AG2634/('Inputs'!$B$19*'Inputs'!$B$51)*365,0)</x:f>
        <x:v>5982.656804086034</x:v>
      </x:c>
      <x:c r="AK2634" s="81" t="n">
        <x:f>W2634/MAX($W$2559:W2634)-1</x:f>
        <x:v>-0.7580983163310827</x:v>
      </x:c>
      <x:c r="AL2634" s="83" t="n">
        <x:f>'Inputs'!$B$51</x:f>
        <x:v>1</x:v>
      </x:c>
      <x:c r="AM2634" s="83" t="n">
        <x:f>'Inputs'!$C$51</x:f>
        <x:v>2</x:v>
      </x:c>
      <x:c r="AN2634" s="83" t="n">
        <x:f>'Inputs'!$D$51</x:f>
        <x:v>3</x:v>
      </x:c>
      <x:c r="AO2634" s="81" t="n">
        <x:f>'Inputs'!$E$51</x:f>
        <x:v>0.1</x:v>
      </x:c>
    </x:row>
    <x:row r="2635">
      <x:c r="A2635" s="59" t="str">
        <x:v>High demand</x:v>
      </x:c>
      <x:c r="B2635" s="59" t="n">
        <x:v>77</x:v>
      </x:c>
      <x:c r="C2635" s="78" t="n">
        <x:f>(('Inputs'!$B$29*(3*77*'Inputs'!$B$12-77^2)/(2*'Inputs'!$B$12^2))-('Inputs'!$B$29*(3*76*'Inputs'!$B$12-76^2)/(2*'Inputs'!$B$12^2)))*'Inputs'!$B$51</x:f>
        <x:v>687115.5470069498</x:v>
      </x:c>
      <x:c r="D2635" s="78" t="n">
        <x:f>IF('Inputs'!$C$51&gt;0,('Inputs'!$B$30*(3*77*'Inputs'!$B$12-77^2)/(2*'Inputs'!$B$12^2))-('Inputs'!$B$30*(3*76*'Inputs'!$B$12-76^2)/(2*'Inputs'!$B$12^2)),0)</x:f>
        <x:v>294478.09157440066</x:v>
      </x:c>
      <x:c r="E2635" s="78" t="n">
        <x:f>C2635+D2635</x:f>
        <x:v>981593.6385813504</x:v>
      </x:c>
      <x:c r="F2635" s="78" t="n">
        <x:f>'Inputs'!$B$13*E2635+(1-'Inputs'!$B$13)/'Inputs'!$B$14*SUM(E2580:E2635)</x:f>
        <x:v>991811.3154437987</x:v>
      </x:c>
      <x:c r="G2635" s="78" t="n">
        <x:f>F2635*'Inputs'!$F$51</x:f>
        <x:v>247952.82886094967</x:v>
      </x:c>
      <x:c r="H2635" s="78" t="n">
        <x:f>U2634</x:f>
        <x:v>615978.1457758874</x:v>
      </x:c>
      <x:c r="I2635" s="78" t="n">
        <x:f>V2634</x:f>
        <x:v>146869.3988820237</x:v>
      </x:c>
      <x:c r="J2635" s="79" t="n">
        <x:f>IF(H2635&gt;0,I2635/H2635,0)</x:f>
        <x:v>0.2384328078669523</x:v>
      </x:c>
      <x:c r="K2635" s="80" t="n">
        <x:f>(H2635*J2635+I2635)*'Inputs'!$D$51*(1+'Inputs'!$G$51)^(B2635/30)</x:f>
        <x:v>998776.7759299381</x:v>
      </x:c>
      <x:c r="L2635" s="80" t="n">
        <x:f>MAX(0,K2635*'Inputs'!$E$51)</x:f>
        <x:v>99877.67759299382</x:v>
      </x:c>
      <x:c r="M2635" s="80" t="n">
        <x:f>MAX(0,-K2635*'Inputs'!$E$51)</x:f>
        <x:v>0</x:v>
      </x:c>
      <x:c r="N2635" s="78" t="n">
        <x:f>H2635*(L2635*(1-'Inputs'!$B$15))/(I2635+L2635*(1-'Inputs'!$B$15))</x:f>
        <x:v>247844.00159118997</x:v>
      </x:c>
      <x:c r="O2635" s="78" t="n">
        <x:f>H2635-N2635</x:f>
        <x:v>368134.1441846974</x:v>
      </x:c>
      <x:c r="P2635" s="78" t="n">
        <x:f>I2635+L2635*(1-'Inputs'!$B$17)</x:f>
        <x:v>246345.15423118253</x:v>
      </x:c>
      <x:c r="Q2635" s="78" t="n">
        <x:f>IF(J2635&gt;0,M2635/J2635,0)</x:f>
        <x:v>0</x:v>
      </x:c>
      <x:c r="R2635" s="78" t="n">
        <x:f>IF(B2635='Inputs'!$H$51,'Inputs'!$B$27*'Inputs'!$I$51,0)</x:f>
        <x:v>0</x:v>
      </x:c>
      <x:c r="S2635" s="78" t="n">
        <x:f>Q2635+G2635+R2635</x:f>
        <x:v>247952.82886094967</x:v>
      </x:c>
      <x:c r="T2635" s="78" t="n">
        <x:f>P2635*(S2635*(1-'Inputs'!$B$15))/(O2635+S2635*(1-'Inputs'!$B$15))</x:f>
        <x:v>98550.23534317543</x:v>
      </x:c>
      <x:c r="U2635" s="78" t="n">
        <x:f>O2635+S2635*(1-'Inputs'!$B$17)</x:f>
        <x:v>615089.1749415789</x:v>
      </x:c>
      <x:c r="V2635" s="78" t="n">
        <x:f>P2635-T2635</x:f>
        <x:v>147794.91888800712</x:v>
      </x:c>
      <x:c r="W2635" s="79" t="n">
        <x:f>IF(U2635&gt;0,V2635/U2635,0)</x:f>
        <x:v>0.24028210039957973</x:v>
      </x:c>
      <x:c r="X2635" s="80" t="n">
        <x:f>W2635*('Inputs'!$B$6-AC2635)</x:f>
        <x:v>240113899.83923718</x:v>
      </x:c>
      <x:c r="Y2635" s="80" t="n">
        <x:f>2*V2635</x:f>
        <x:v>295589.83777601423</x:v>
      </x:c>
      <x:c r="Z2635" s="80" t="n">
        <x:f>K2635*'Inputs'!$B$16+(G2635+R2635)*J2635*'Inputs'!$B$16</x:f>
        <x:v>6347.381190802849</x:v>
      </x:c>
      <x:c r="AA2635" s="80" t="n">
        <x:f>K2635*(1+'Inputs'!$E$51)/2*'Inputs'!$B$17</x:f>
        <x:v>2210.572341092419</x:v>
      </x:c>
      <x:c r="AB2635" s="78" t="n">
        <x:f>(IF(J2635&gt;0,K2635*(1-'Inputs'!$E$51)/2/J2635,0)+G2635+R2635)*'Inputs'!$B$17</x:f>
        <x:v>8583.37373620469</x:v>
      </x:c>
      <x:c r="AC2635" s="78" t="n">
        <x:f>AC2634+AB2635</x:f>
        <x:v>700012.8601457855</x:v>
      </x:c>
      <x:c r="AD2635" s="80" t="n">
        <x:f>Z2635/(1+'Inputs'!$C$51)</x:f>
        <x:v>2115.7937302676164</x:v>
      </x:c>
      <x:c r="AE2635" s="80" t="n">
        <x:f>Z2635-AD2635</x:f>
        <x:v>4231.587460535233</x:v>
      </x:c>
      <x:c r="AF2635" s="80" t="n">
        <x:f>D2635*W2635</x:f>
        <x:v>70757.81436515678</x:v>
      </x:c>
      <x:c r="AG2635" s="80" t="n">
        <x:f>C2635*W2635</x:f>
        <x:v>165101.56685203605</x:v>
      </x:c>
      <x:c r="AH2635" s="80" t="n">
        <x:f>2*'Inputs'!$B$8*'Inputs'!$C$51</x:f>
        <x:v>10000</x:v>
      </x:c>
      <x:c r="AI2635" s="81" t="n">
        <x:f>IF(AH2635&gt;0,(AE2635+AF2635)/AH2635*365,0)</x:f>
        <x:v>2737.1131666377582</x:v>
      </x:c>
      <x:c r="AJ2635" s="81" t="n">
        <x:f>IF('Inputs'!$B$51&gt;0,AG2635/('Inputs'!$B$19*'Inputs'!$B$51)*365,0)</x:f>
        <x:v>6026.207190099316</x:v>
      </x:c>
      <x:c r="AK2635" s="81" t="n">
        <x:f>W2635/MAX($W$2559:W2635)-1</x:f>
        <x:v>-0.7562221190860772</x:v>
      </x:c>
      <x:c r="AL2635" s="83" t="n">
        <x:f>'Inputs'!$B$51</x:f>
        <x:v>1</x:v>
      </x:c>
      <x:c r="AM2635" s="83" t="n">
        <x:f>'Inputs'!$C$51</x:f>
        <x:v>2</x:v>
      </x:c>
      <x:c r="AN2635" s="83" t="n">
        <x:f>'Inputs'!$D$51</x:f>
        <x:v>3</x:v>
      </x:c>
      <x:c r="AO2635" s="81" t="n">
        <x:f>'Inputs'!$E$51</x:f>
        <x:v>0.1</x:v>
      </x:c>
    </x:row>
    <x:row r="2636">
      <x:c r="A2636" s="59" t="str">
        <x:v>High demand</x:v>
      </x:c>
      <x:c r="B2636" s="59" t="n">
        <x:v>78</x:v>
      </x:c>
      <x:c r="C2636" s="78" t="n">
        <x:f>(('Inputs'!$B$29*(3*78*'Inputs'!$B$12-78^2)/(2*'Inputs'!$B$12^2))-('Inputs'!$B$29*(3*77*'Inputs'!$B$12-77^2)/(2*'Inputs'!$B$12^2)))*'Inputs'!$B$51</x:f>
        <x:v>686790.4391067699</x:v>
      </x:c>
      <x:c r="D2636" s="78" t="n">
        <x:f>IF('Inputs'!$C$51&gt;0,('Inputs'!$B$30*(3*78*'Inputs'!$B$12-78^2)/(2*'Inputs'!$B$12^2))-('Inputs'!$B$30*(3*77*'Inputs'!$B$12-77^2)/(2*'Inputs'!$B$12^2)),0)</x:f>
        <x:v>294338.7596171908</x:v>
      </x:c>
      <x:c r="E2636" s="78" t="n">
        <x:f>C2636+D2636</x:f>
        <x:v>981129.1987239607</x:v>
      </x:c>
      <x:c r="F2636" s="78" t="n">
        <x:f>'Inputs'!$B$13*E2636+(1-'Inputs'!$B$13)/'Inputs'!$B$14*SUM(E2581:E2636)</x:f>
        <x:v>991346.8755864135</x:v>
      </x:c>
      <x:c r="G2636" s="78" t="n">
        <x:f>F2636*'Inputs'!$F$51</x:f>
        <x:v>247836.7188966034</x:v>
      </x:c>
      <x:c r="H2636" s="78" t="n">
        <x:f>U2635</x:f>
        <x:v>615089.1749415789</x:v>
      </x:c>
      <x:c r="I2636" s="78" t="n">
        <x:f>V2635</x:f>
        <x:v>147794.91888800712</x:v>
      </x:c>
      <x:c r="J2636" s="79" t="n">
        <x:f>IF(H2636&gt;0,I2636/H2636,0)</x:f>
        <x:v>0.24028210039957973</x:v>
      </x:c>
      <x:c r="K2636" s="80" t="n">
        <x:f>(H2636*J2636+I2636)*'Inputs'!$D$51*(1+'Inputs'!$G$51)^(B2636/30)</x:f>
        <x:v>1006706.6361494239</x:v>
      </x:c>
      <x:c r="L2636" s="80" t="n">
        <x:f>MAX(0,K2636*'Inputs'!$E$51)</x:f>
        <x:v>100670.6636149424</x:v>
      </x:c>
      <x:c r="M2636" s="80" t="n">
        <x:f>MAX(0,-K2636*'Inputs'!$E$51)</x:f>
        <x:v>0</x:v>
      </x:c>
      <x:c r="N2636" s="78" t="n">
        <x:f>H2636*(L2636*(1-'Inputs'!$B$15))/(I2636+L2636*(1-'Inputs'!$B$15))</x:f>
        <x:v>247726.9035300071</x:v>
      </x:c>
      <x:c r="O2636" s="78" t="n">
        <x:f>H2636-N2636</x:f>
        <x:v>367362.27141157177</x:v>
      </x:c>
      <x:c r="P2636" s="78" t="n">
        <x:f>I2636+L2636*(1-'Inputs'!$B$17)</x:f>
        <x:v>248060.46916848293</x:v>
      </x:c>
      <x:c r="Q2636" s="78" t="n">
        <x:f>IF(J2636&gt;0,M2636/J2636,0)</x:f>
        <x:v>0</x:v>
      </x:c>
      <x:c r="R2636" s="78" t="n">
        <x:f>IF(B2636='Inputs'!$H$51,'Inputs'!$B$27*'Inputs'!$I$51,0)</x:f>
        <x:v>0</x:v>
      </x:c>
      <x:c r="S2636" s="78" t="n">
        <x:f>Q2636+G2636+R2636</x:f>
        <x:v>247836.7188966034</x:v>
      </x:c>
      <x:c r="T2636" s="78" t="n">
        <x:f>P2636*(S2636*(1-'Inputs'!$B$15))/(O2636+S2636*(1-'Inputs'!$B$15))</x:f>
        <x:v>99333.5388796938</x:v>
      </x:c>
      <x:c r="U2636" s="78" t="n">
        <x:f>O2636+S2636*(1-'Inputs'!$B$17)</x:f>
        <x:v>614201.6594474242</x:v>
      </x:c>
      <x:c r="V2636" s="78" t="n">
        <x:f>P2636-T2636</x:f>
        <x:v>148726.93028878912</x:v>
      </x:c>
      <x:c r="W2636" s="79" t="n">
        <x:f>IF(U2636&gt;0,V2636/U2636,0)</x:f>
        <x:v>0.24214674122273383</x:v>
      </x:c>
      <x:c r="X2636" s="80" t="n">
        <x:f>W2636*('Inputs'!$B$6-AC2636)</x:f>
        <x:v>241975156.7324625</x:v>
      </x:c>
      <x:c r="Y2636" s="80" t="n">
        <x:f>2*V2636</x:f>
        <x:v>297453.86057757825</x:v>
      </x:c>
      <x:c r="Z2636" s="80" t="n">
        <x:f>K2636*'Inputs'!$B$16+(G2636+R2636)*J2636*'Inputs'!$B$16</x:f>
        <x:v>6397.54418113224</x:v>
      </x:c>
      <x:c r="AA2636" s="80" t="n">
        <x:f>K2636*(1+'Inputs'!$E$51)/2*'Inputs'!$B$17</x:f>
        <x:v>2228.1233395661297</x:v>
      </x:c>
      <x:c r="AB2636" s="78" t="n">
        <x:f>(IF(J2636&gt;0,K2636*(1-'Inputs'!$E$51)/2/J2636,0)+G2636+R2636)*'Inputs'!$B$17</x:f>
        <x:v>8584.28803345736</x:v>
      </x:c>
      <x:c r="AC2636" s="78" t="n">
        <x:f>AC2635+AB2636</x:f>
        <x:v>708597.1481792429</x:v>
      </x:c>
      <x:c r="AD2636" s="80" t="n">
        <x:f>Z2636/(1+'Inputs'!$C$51)</x:f>
        <x:v>2132.51472704408</x:v>
      </x:c>
      <x:c r="AE2636" s="80" t="n">
        <x:f>Z2636-AD2636</x:f>
        <x:v>4265.0294540881605</x:v>
      </x:c>
      <x:c r="AF2636" s="80" t="n">
        <x:f>D2636*W2636</x:f>
        <x:v>71273.17145684436</x:v>
      </x:c>
      <x:c r="AG2636" s="80" t="n">
        <x:f>C2636*W2636</x:f>
        <x:v>166304.06673263473</x:v>
      </x:c>
      <x:c r="AH2636" s="80" t="n">
        <x:f>2*'Inputs'!$B$8*'Inputs'!$C$51</x:f>
        <x:v>10000</x:v>
      </x:c>
      <x:c r="AI2636" s="81" t="n">
        <x:f>IF(AH2636&gt;0,(AE2636+AF2636)/AH2636*365,0)</x:f>
        <x:v>2757.1443332490367</x:v>
      </x:c>
      <x:c r="AJ2636" s="81" t="n">
        <x:f>IF('Inputs'!$B$51&gt;0,AG2636/('Inputs'!$B$19*'Inputs'!$B$51)*365,0)</x:f>
        <x:v>6070.098435741167</x:v>
      </x:c>
      <x:c r="AK2636" s="81" t="n">
        <x:f>W2636/MAX($W$2559:W2636)-1</x:f>
        <x:v>-0.7543303502536165</x:v>
      </x:c>
      <x:c r="AL2636" s="83" t="n">
        <x:f>'Inputs'!$B$51</x:f>
        <x:v>1</x:v>
      </x:c>
      <x:c r="AM2636" s="83" t="n">
        <x:f>'Inputs'!$C$51</x:f>
        <x:v>2</x:v>
      </x:c>
      <x:c r="AN2636" s="83" t="n">
        <x:f>'Inputs'!$D$51</x:f>
        <x:v>3</x:v>
      </x:c>
      <x:c r="AO2636" s="81" t="n">
        <x:f>'Inputs'!$E$51</x:f>
        <x:v>0.1</x:v>
      </x:c>
    </x:row>
    <x:row r="2637">
      <x:c r="A2637" s="59" t="str">
        <x:v>High demand</x:v>
      </x:c>
      <x:c r="B2637" s="59" t="n">
        <x:v>79</x:v>
      </x:c>
      <x:c r="C2637" s="78" t="n">
        <x:f>(('Inputs'!$B$29*(3*79*'Inputs'!$B$12-79^2)/(2*'Inputs'!$B$12^2))-('Inputs'!$B$29*(3*78*'Inputs'!$B$12-78^2)/(2*'Inputs'!$B$12^2)))*'Inputs'!$B$51</x:f>
        <x:v>686465.3312066048</x:v>
      </x:c>
      <x:c r="D2637" s="78" t="n">
        <x:f>IF('Inputs'!$C$51&gt;0,('Inputs'!$B$30*(3*79*'Inputs'!$B$12-79^2)/(2*'Inputs'!$B$12^2))-('Inputs'!$B$30*(3*78*'Inputs'!$B$12-78^2)/(2*'Inputs'!$B$12^2)),0)</x:f>
        <x:v>294199.4276599735</x:v>
      </x:c>
      <x:c r="E2637" s="78" t="n">
        <x:f>C2637+D2637</x:f>
        <x:v>980664.7588665783</x:v>
      </x:c>
      <x:c r="F2637" s="78" t="n">
        <x:f>'Inputs'!$B$13*E2637+(1-'Inputs'!$B$13)/'Inputs'!$B$14*SUM(E2582:E2637)</x:f>
        <x:v>990882.4357290296</x:v>
      </x:c>
      <x:c r="G2637" s="78" t="n">
        <x:f>F2637*'Inputs'!$F$51</x:f>
        <x:v>247720.6089322574</x:v>
      </x:c>
      <x:c r="H2637" s="78" t="n">
        <x:f>U2636</x:f>
        <x:v>614201.6594474242</x:v>
      </x:c>
      <x:c r="I2637" s="78" t="n">
        <x:f>V2636</x:f>
        <x:v>148726.93028878912</x:v>
      </x:c>
      <x:c r="J2637" s="79" t="n">
        <x:f>IF(H2637&gt;0,I2637/H2637,0)</x:f>
        <x:v>0.24214674122273383</x:v>
      </x:c>
      <x:c r="K2637" s="80" t="n">
        <x:f>(H2637*J2637+I2637)*'Inputs'!$D$51*(1+'Inputs'!$G$51)^(B2637/30)</x:f>
        <x:v>1014703.952763044</x:v>
      </x:c>
      <x:c r="L2637" s="80" t="n">
        <x:f>MAX(0,K2637*'Inputs'!$E$51)</x:f>
        <x:v>101470.3952763044</x:v>
      </x:c>
      <x:c r="M2637" s="80" t="n">
        <x:f>MAX(0,-K2637*'Inputs'!$E$51)</x:f>
        <x:v>0</x:v>
      </x:c>
      <x:c r="N2637" s="78" t="n">
        <x:f>H2637*(L2637*(1-'Inputs'!$B$15))/(I2637+L2637*(1-'Inputs'!$B$15))</x:f>
        <x:v>247609.77275473118</x:v>
      </x:c>
      <x:c r="O2637" s="78" t="n">
        <x:f>H2637-N2637</x:f>
        <x:v>366591.88669269305</x:v>
      </x:c>
      <x:c r="P2637" s="78" t="n">
        <x:f>I2637+L2637*(1-'Inputs'!$B$17)</x:f>
        <x:v>249788.99399456516</x:v>
      </x:c>
      <x:c r="Q2637" s="78" t="n">
        <x:f>IF(J2637&gt;0,M2637/J2637,0)</x:f>
        <x:v>0</x:v>
      </x:c>
      <x:c r="R2637" s="78" t="n">
        <x:f>IF(B2637='Inputs'!$H$51,'Inputs'!$B$27*'Inputs'!$I$51,0)</x:f>
        <x:v>0</x:v>
      </x:c>
      <x:c r="S2637" s="78" t="n">
        <x:f>Q2637+G2637+R2637</x:f>
        <x:v>247720.6089322574</x:v>
      </x:c>
      <x:c r="T2637" s="78" t="n">
        <x:f>P2637*(S2637*(1-'Inputs'!$B$15))/(O2637+S2637*(1-'Inputs'!$B$15))</x:f>
        <x:v>100123.52005134443</x:v>
      </x:c>
      <x:c r="U2637" s="78" t="n">
        <x:f>O2637+S2637*(1-'Inputs'!$B$17)</x:f>
        <x:v>613315.6320075168</x:v>
      </x:c>
      <x:c r="V2637" s="78" t="n">
        <x:f>P2637-T2637</x:f>
        <x:v>149665.47394322074</x:v>
      </x:c>
      <x:c r="W2637" s="79" t="n">
        <x:f>IF(U2637&gt;0,V2637/U2637,0)</x:f>
        <x:v>0.24402683729637342</x:v>
      </x:c>
      <x:c r="X2637" s="80" t="n">
        <x:f>W2637*('Inputs'!$B$6-AC2637)</x:f>
        <x:v>243851825.55503255</x:v>
      </x:c>
      <x:c r="Y2637" s="80" t="n">
        <x:f>2*V2637</x:f>
        <x:v>299330.9478864415</x:v>
      </x:c>
      <x:c r="Z2637" s="80" t="n">
        <x:f>K2637*'Inputs'!$B$16+(G2637+R2637)*J2637*'Inputs'!$B$16</x:f>
        <x:v>6448.132145698209</x:v>
      </x:c>
      <x:c r="AA2637" s="80" t="n">
        <x:f>K2637*(1+'Inputs'!$E$51)/2*'Inputs'!$B$17</x:f>
        <x:v>2245.823637906134</x:v>
      </x:c>
      <x:c r="AB2637" s="78" t="n">
        <x:f>(IF(J2637&gt;0,K2637*(1-'Inputs'!$E$51)/2/J2637,0)+G2637+R2637)*'Inputs'!$B$17</x:f>
        <x:v>8585.20471217323</x:v>
      </x:c>
      <x:c r="AC2637" s="78" t="n">
        <x:f>AC2636+AB2637</x:f>
        <x:v>717182.352891416</x:v>
      </x:c>
      <x:c r="AD2637" s="80" t="n">
        <x:f>Z2637/(1+'Inputs'!$C$51)</x:f>
        <x:v>2149.3773818994027</x:v>
      </x:c>
      <x:c r="AE2637" s="80" t="n">
        <x:f>Z2637-AD2637</x:f>
        <x:v>4298.754763798806</x:v>
      </x:c>
      <x:c r="AF2637" s="80" t="n">
        <x:f>D2637*W2637</x:f>
        <x:v>71792.55586626654</x:v>
      </x:c>
      <x:c r="AG2637" s="80" t="n">
        <x:f>C2637*W2637</x:f>
        <x:v>167515.96368795526</x:v>
      </x:c>
      <x:c r="AH2637" s="80" t="n">
        <x:f>2*'Inputs'!$B$8*'Inputs'!$C$51</x:f>
        <x:v>10000</x:v>
      </x:c>
      <x:c r="AI2637" s="81" t="n">
        <x:f>IF(AH2637&gt;0,(AE2637+AF2637)/AH2637*365,0)</x:f>
        <x:v>2777.332837997385</x:v>
      </x:c>
      <x:c r="AJ2637" s="81" t="n">
        <x:f>IF('Inputs'!$B$51&gt;0,AG2637/('Inputs'!$B$19*'Inputs'!$B$51)*365,0)</x:f>
        <x:v>6114.332674610367</x:v>
      </x:c>
      <x:c r="AK2637" s="81" t="n">
        <x:f>W2637/MAX($W$2559:W2637)-1</x:f>
        <x:v>-0.7524229013176189</x:v>
      </x:c>
      <x:c r="AL2637" s="83" t="n">
        <x:f>'Inputs'!$B$51</x:f>
        <x:v>1</x:v>
      </x:c>
      <x:c r="AM2637" s="83" t="n">
        <x:f>'Inputs'!$C$51</x:f>
        <x:v>2</x:v>
      </x:c>
      <x:c r="AN2637" s="83" t="n">
        <x:f>'Inputs'!$D$51</x:f>
        <x:v>3</x:v>
      </x:c>
      <x:c r="AO2637" s="81" t="n">
        <x:f>'Inputs'!$E$51</x:f>
        <x:v>0.1</x:v>
      </x:c>
    </x:row>
    <x:row r="2638">
      <x:c r="A2638" s="59" t="str">
        <x:v>High demand</x:v>
      </x:c>
      <x:c r="B2638" s="59" t="n">
        <x:v>80</x:v>
      </x:c>
      <x:c r="C2638" s="78" t="n">
        <x:f>(('Inputs'!$B$29*(3*80*'Inputs'!$B$12-80^2)/(2*'Inputs'!$B$12^2))-('Inputs'!$B$29*(3*79*'Inputs'!$B$12-79^2)/(2*'Inputs'!$B$12^2)))*'Inputs'!$B$51</x:f>
        <x:v>686140.2233064398</x:v>
      </x:c>
      <x:c r="D2638" s="78" t="n">
        <x:f>IF('Inputs'!$C$51&gt;0,('Inputs'!$B$30*(3*80*'Inputs'!$B$12-80^2)/(2*'Inputs'!$B$12^2))-('Inputs'!$B$30*(3*79*'Inputs'!$B$12-79^2)/(2*'Inputs'!$B$12^2)),0)</x:f>
        <x:v>294060.0957027599</x:v>
      </x:c>
      <x:c r="E2638" s="78" t="n">
        <x:f>C2638+D2638</x:f>
        <x:v>980200.3190091997</x:v>
      </x:c>
      <x:c r="F2638" s="78" t="n">
        <x:f>'Inputs'!$B$13*E2638+(1-'Inputs'!$B$13)/'Inputs'!$B$14*SUM(E2583:E2638)</x:f>
        <x:v>990417.9958716466</x:v>
      </x:c>
      <x:c r="G2638" s="78" t="n">
        <x:f>F2638*'Inputs'!$F$51</x:f>
        <x:v>247604.49896791164</x:v>
      </x:c>
      <x:c r="H2638" s="78" t="n">
        <x:f>U2637</x:f>
        <x:v>613315.6320075168</x:v>
      </x:c>
      <x:c r="I2638" s="78" t="n">
        <x:f>V2637</x:f>
        <x:v>149665.47394322074</x:v>
      </x:c>
      <x:c r="J2638" s="79" t="n">
        <x:f>IF(H2638&gt;0,I2638/H2638,0)</x:f>
        <x:v>0.24402683729637342</x:v>
      </x:c>
      <x:c r="K2638" s="80" t="n">
        <x:f>(H2638*J2638+I2638)*'Inputs'!$D$51*(1+'Inputs'!$G$51)^(B2638/30)</x:f>
        <x:v>1022769.2756581651</x:v>
      </x:c>
      <x:c r="L2638" s="80" t="n">
        <x:f>MAX(0,K2638*'Inputs'!$E$51)</x:f>
        <x:v>102276.92756581651</x:v>
      </x:c>
      <x:c r="M2638" s="80" t="n">
        <x:f>MAX(0,-K2638*'Inputs'!$E$51)</x:f>
        <x:v>0</x:v>
      </x:c>
      <x:c r="N2638" s="78" t="n">
        <x:f>H2638*(L2638*(1-'Inputs'!$B$15))/(I2638+L2638*(1-'Inputs'!$B$15))</x:f>
        <x:v>247492.62356385894</x:v>
      </x:c>
      <x:c r="O2638" s="78" t="n">
        <x:f>H2638-N2638</x:f>
        <x:v>365823.0084436579</x:v>
      </x:c>
      <x:c r="P2638" s="78" t="n">
        <x:f>I2638+L2638*(1-'Inputs'!$B$17)</x:f>
        <x:v>251530.82433573419</x:v>
      </x:c>
      <x:c r="Q2638" s="78" t="n">
        <x:f>IF(J2638&gt;0,M2638/J2638,0)</x:f>
        <x:v>0</x:v>
      </x:c>
      <x:c r="R2638" s="78" t="n">
        <x:f>IF(B2638='Inputs'!$H$51,'Inputs'!$B$27*'Inputs'!$I$51,0)</x:f>
        <x:v>0</x:v>
      </x:c>
      <x:c r="S2638" s="78" t="n">
        <x:f>Q2638+G2638+R2638</x:f>
        <x:v>247604.49896791164</x:v>
      </x:c>
      <x:c r="T2638" s="78" t="n">
        <x:f>P2638*(S2638*(1-'Inputs'!$B$15))/(O2638+S2638*(1-'Inputs'!$B$15))</x:f>
        <x:v>100920.22998499942</x:v>
      </x:c>
      <x:c r="U2638" s="78" t="n">
        <x:f>O2638+S2638*(1-'Inputs'!$B$17)</x:f>
        <x:v>612431.1110374532</x:v>
      </x:c>
      <x:c r="V2638" s="78" t="n">
        <x:f>P2638-T2638</x:f>
        <x:v>150610.59435073478</x:v>
      </x:c>
      <x:c r="W2638" s="79" t="n">
        <x:f>IF(U2638&gt;0,V2638/U2638,0)</x:f>
        <x:v>0.24592250726061532</x:v>
      </x:c>
      <x:c r="X2638" s="80" t="n">
        <x:f>W2638*('Inputs'!$B$6-AC2638)</x:f>
        <x:v>245744024.4570357</x:v>
      </x:c>
      <x:c r="Y2638" s="80" t="n">
        <x:f>2*V2638</x:f>
        <x:v>301221.18870146957</x:v>
      </x:c>
      <x:c r="Z2638" s="80" t="n">
        <x:f>K2638*'Inputs'!$B$16+(G2638+R2638)*J2638*'Inputs'!$B$16</x:f>
        <x:v>6499.148510649947</x:v>
      </x:c>
      <x:c r="AA2638" s="80" t="n">
        <x:f>K2638*(1+'Inputs'!$E$51)/2*'Inputs'!$B$17</x:f>
        <x:v>2263.674453166965</x:v>
      </x:c>
      <x:c r="AB2638" s="78" t="n">
        <x:f>(IF(J2638&gt;0,K2638*(1-'Inputs'!$E$51)/2/J2638,0)+G2638+R2638)*'Inputs'!$B$17</x:f>
        <x:v>8586.124210544791</x:v>
      </x:c>
      <x:c r="AC2638" s="78" t="n">
        <x:f>AC2637+AB2638</x:f>
        <x:v>725768.4771019608</x:v>
      </x:c>
      <x:c r="AD2638" s="80" t="n">
        <x:f>Z2638/(1+'Inputs'!$C$51)</x:f>
        <x:v>2166.3828368833156</x:v>
      </x:c>
      <x:c r="AE2638" s="80" t="n">
        <x:f>Z2638-AD2638</x:f>
        <x:v>4332.765673766631</x:v>
      </x:c>
      <x:c r="AF2638" s="80" t="n">
        <x:f>D2638*W2638</x:f>
        <x:v>72315.99602051922</x:v>
      </x:c>
      <x:c r="AG2638" s="80" t="n">
        <x:f>C2638*W2638</x:f>
        <x:v>168737.32404787815</x:v>
      </x:c>
      <x:c r="AH2638" s="80" t="n">
        <x:f>2*'Inputs'!$B$8*'Inputs'!$C$51</x:f>
        <x:v>10000</x:v>
      </x:c>
      <x:c r="AI2638" s="81" t="n">
        <x:f>IF(AH2638&gt;0,(AE2638+AF2638)/AH2638*365,0)</x:f>
        <x:v>2797.6798018414333</x:v>
      </x:c>
      <x:c r="AJ2638" s="81" t="n">
        <x:f>IF('Inputs'!$B$51&gt;0,AG2638/('Inputs'!$B$19*'Inputs'!$B$51)*365,0)</x:f>
        <x:v>6158.912327747553</x:v>
      </x:c>
      <x:c r="AK2638" s="81" t="n">
        <x:f>W2638/MAX($W$2559:W2638)-1</x:f>
        <x:v>-0.7504996519119138</x:v>
      </x:c>
      <x:c r="AL2638" s="83" t="n">
        <x:f>'Inputs'!$B$51</x:f>
        <x:v>1</x:v>
      </x:c>
      <x:c r="AM2638" s="83" t="n">
        <x:f>'Inputs'!$C$51</x:f>
        <x:v>2</x:v>
      </x:c>
      <x:c r="AN2638" s="83" t="n">
        <x:f>'Inputs'!$D$51</x:f>
        <x:v>3</x:v>
      </x:c>
      <x:c r="AO2638" s="81" t="n">
        <x:f>'Inputs'!$E$51</x:f>
        <x:v>0.1</x:v>
      </x:c>
    </x:row>
    <x:row r="2639">
      <x:c r="A2639" s="59" t="str">
        <x:v>High demand</x:v>
      </x:c>
      <x:c r="B2639" s="59" t="n">
        <x:v>81</x:v>
      </x:c>
      <x:c r="C2639" s="78" t="n">
        <x:f>(('Inputs'!$B$29*(3*81*'Inputs'!$B$12-81^2)/(2*'Inputs'!$B$12^2))-('Inputs'!$B$29*(3*80*'Inputs'!$B$12-80^2)/(2*'Inputs'!$B$12^2)))*'Inputs'!$B$51</x:f>
        <x:v>685815.1154062673</x:v>
      </x:c>
      <x:c r="D2639" s="78" t="n">
        <x:f>IF('Inputs'!$C$51&gt;0,('Inputs'!$B$30*(3*81*'Inputs'!$B$12-81^2)/(2*'Inputs'!$B$12^2))-('Inputs'!$B$30*(3*80*'Inputs'!$B$12-80^2)/(2*'Inputs'!$B$12^2)),0)</x:f>
        <x:v>293920.7637455426</x:v>
      </x:c>
      <x:c r="E2639" s="78" t="n">
        <x:f>C2639+D2639</x:f>
        <x:v>979735.87915181</x:v>
      </x:c>
      <x:c r="F2639" s="78" t="n">
        <x:f>'Inputs'!$B$13*E2639+(1-'Inputs'!$B$13)/'Inputs'!$B$14*SUM(E2584:E2639)</x:f>
        <x:v>989953.5560142614</x:v>
      </x:c>
      <x:c r="G2639" s="78" t="n">
        <x:f>F2639*'Inputs'!$F$51</x:f>
        <x:v>247488.38900356536</x:v>
      </x:c>
      <x:c r="H2639" s="78" t="n">
        <x:f>U2638</x:f>
        <x:v>612431.1110374532</x:v>
      </x:c>
      <x:c r="I2639" s="78" t="n">
        <x:f>V2638</x:f>
        <x:v>150610.59435073478</x:v>
      </x:c>
      <x:c r="J2639" s="79" t="n">
        <x:f>IF(H2639&gt;0,I2639/H2639,0)</x:f>
        <x:v>0.24592250726061532</x:v>
      </x:c>
      <x:c r="K2639" s="80" t="n">
        <x:f>(H2639*J2639+I2639)*'Inputs'!$D$51*(1+'Inputs'!$G$51)^(B2639/30)</x:f>
        <x:v>1030903.1822789252</x:v>
      </x:c>
      <x:c r="L2639" s="80" t="n">
        <x:f>MAX(0,K2639*'Inputs'!$E$51)</x:f>
        <x:v>103090.31822789252</x:v>
      </x:c>
      <x:c r="M2639" s="80" t="n">
        <x:f>MAX(0,-K2639*'Inputs'!$E$51)</x:f>
        <x:v>0</x:v>
      </x:c>
      <x:c r="N2639" s="78" t="n">
        <x:f>H2639*(L2639*(1-'Inputs'!$B$15))/(I2639+L2639*(1-'Inputs'!$B$15))</x:f>
        <x:v>247375.4645339441</x:v>
      </x:c>
      <x:c r="O2639" s="78" t="n">
        <x:f>H2639-N2639</x:f>
        <x:v>365055.6465035091</x:v>
      </x:c>
      <x:c r="P2639" s="78" t="n">
        <x:f>I2639+L2639*(1-'Inputs'!$B$17)</x:f>
        <x:v>253286.06220346474</x:v>
      </x:c>
      <x:c r="Q2639" s="78" t="n">
        <x:f>IF(J2639&gt;0,M2639/J2639,0)</x:f>
        <x:v>0</x:v>
      </x:c>
      <x:c r="R2639" s="78" t="n">
        <x:f>IF(B2639='Inputs'!$H$51,'Inputs'!$B$27*'Inputs'!$I$51,0)</x:f>
        <x:v>0</x:v>
      </x:c>
      <x:c r="S2639" s="78" t="n">
        <x:f>Q2639+G2639+R2639</x:f>
        <x:v>247488.38900356536</x:v>
      </x:c>
      <x:c r="T2639" s="78" t="n">
        <x:f>P2639*(S2639*(1-'Inputs'!$B$15))/(O2639+S2639*(1-'Inputs'!$B$15))</x:f>
        <x:v>101723.7238309513</x:v>
      </x:c>
      <x:c r="U2639" s="78" t="n">
        <x:f>O2639+S2639*(1-'Inputs'!$B$17)</x:f>
        <x:v>611548.1063762754</x:v>
      </x:c>
      <x:c r="V2639" s="78" t="n">
        <x:f>P2639-T2639</x:f>
        <x:v>151562.33837251342</x:v>
      </x:c>
      <x:c r="W2639" s="79" t="n">
        <x:f>IF(U2639&gt;0,V2639/U2639,0)</x:f>
        <x:v>0.24783387732257914</x:v>
      </x:c>
      <x:c r="X2639" s="80" t="n">
        <x:f>W2639*('Inputs'!$B$6-AC2639)</x:f>
        <x:v>247651879.14575917</x:v>
      </x:c>
      <x:c r="Y2639" s="80" t="n">
        <x:f>2*V2639</x:f>
        <x:v>303124.67674502684</x:v>
      </x:c>
      <x:c r="Z2639" s="80" t="n">
        <x:f>K2639*'Inputs'!$B$16+(G2639+R2639)*J2639*'Inputs'!$B$16</x:f>
        <x:v>6550.596884523435</x:v>
      </x:c>
      <x:c r="AA2639" s="80" t="n">
        <x:f>K2639*(1+'Inputs'!$E$51)/2*'Inputs'!$B$17</x:f>
        <x:v>2281.677063394</x:v>
      </x:c>
      <x:c r="AB2639" s="78" t="n">
        <x:f>(IF(J2639&gt;0,K2639*(1-'Inputs'!$E$51)/2/J2639,0)+G2639+R2639)*'Inputs'!$B$17</x:f>
        <x:v>8587.04679231953</x:v>
      </x:c>
      <x:c r="AC2639" s="78" t="n">
        <x:f>AC2638+AB2639</x:f>
        <x:v>734355.5238942803</x:v>
      </x:c>
      <x:c r="AD2639" s="80" t="n">
        <x:f>Z2639/(1+'Inputs'!$C$51)</x:f>
        <x:v>2183.532294841145</x:v>
      </x:c>
      <x:c r="AE2639" s="80" t="n">
        <x:f>Z2639-AD2639</x:f>
        <x:v>4367.06458968229</x:v>
      </x:c>
      <x:c r="AF2639" s="80" t="n">
        <x:f>D2639*W2639</x:f>
        <x:v>72843.52250467158</x:v>
      </x:c>
      <x:c r="AG2639" s="80" t="n">
        <x:f>C2639*W2639</x:f>
        <x:v>169968.2191775673</x:v>
      </x:c>
      <x:c r="AH2639" s="80" t="n">
        <x:f>2*'Inputs'!$B$8*'Inputs'!$C$51</x:f>
        <x:v>10000</x:v>
      </x:c>
      <x:c r="AI2639" s="81" t="n">
        <x:f>IF(AH2639&gt;0,(AE2639+AF2639)/AH2639*365,0)</x:f>
        <x:v>2818.186428943916</x:v>
      </x:c>
      <x:c r="AJ2639" s="81" t="n">
        <x:f>IF('Inputs'!$B$51&gt;0,AG2639/('Inputs'!$B$19*'Inputs'!$B$51)*365,0)</x:f>
        <x:v>6203.839999981206</x:v>
      </x:c>
      <x:c r="AK2639" s="81" t="n">
        <x:f>W2639/MAX($W$2559:W2639)-1</x:f>
        <x:v>-0.7485604739932382</x:v>
      </x:c>
      <x:c r="AL2639" s="83" t="n">
        <x:f>'Inputs'!$B$51</x:f>
        <x:v>1</x:v>
      </x:c>
      <x:c r="AM2639" s="83" t="n">
        <x:f>'Inputs'!$C$51</x:f>
        <x:v>2</x:v>
      </x:c>
      <x:c r="AN2639" s="83" t="n">
        <x:f>'Inputs'!$D$51</x:f>
        <x:v>3</x:v>
      </x:c>
      <x:c r="AO2639" s="81" t="n">
        <x:f>'Inputs'!$E$51</x:f>
        <x:v>0.1</x:v>
      </x:c>
    </x:row>
    <x:row r="2640">
      <x:c r="A2640" s="59" t="str">
        <x:v>High demand</x:v>
      </x:c>
      <x:c r="B2640" s="59" t="n">
        <x:v>82</x:v>
      </x:c>
      <x:c r="C2640" s="78" t="n">
        <x:f>(('Inputs'!$B$29*(3*82*'Inputs'!$B$12-82^2)/(2*'Inputs'!$B$12^2))-('Inputs'!$B$29*(3*81*'Inputs'!$B$12-81^2)/(2*'Inputs'!$B$12^2)))*'Inputs'!$B$51</x:f>
        <x:v>685490.0075060949</x:v>
      </x:c>
      <x:c r="D2640" s="78" t="n">
        <x:f>IF('Inputs'!$C$51&gt;0,('Inputs'!$B$30*(3*82*'Inputs'!$B$12-82^2)/(2*'Inputs'!$B$12^2))-('Inputs'!$B$30*(3*81*'Inputs'!$B$12-81^2)/(2*'Inputs'!$B$12^2)),0)</x:f>
        <x:v>293781.43178832904</x:v>
      </x:c>
      <x:c r="E2640" s="78" t="n">
        <x:f>C2640+D2640</x:f>
        <x:v>979271.4392944239</x:v>
      </x:c>
      <x:c r="F2640" s="78" t="n">
        <x:f>'Inputs'!$B$13*E2640+(1-'Inputs'!$B$13)/'Inputs'!$B$14*SUM(E2585:E2640)</x:f>
        <x:v>989489.1161568769</x:v>
      </x:c>
      <x:c r="G2640" s="78" t="n">
        <x:f>F2640*'Inputs'!$F$51</x:f>
        <x:v>247372.27903921923</x:v>
      </x:c>
      <x:c r="H2640" s="78" t="n">
        <x:f>U2639</x:f>
        <x:v>611548.1063762754</x:v>
      </x:c>
      <x:c r="I2640" s="78" t="n">
        <x:f>V2639</x:f>
        <x:v>151562.33837251342</x:v>
      </x:c>
      <x:c r="J2640" s="79" t="n">
        <x:f>IF(H2640&gt;0,I2640/H2640,0)</x:f>
        <x:v>0.24783387732257914</x:v>
      </x:c>
      <x:c r="K2640" s="80" t="n">
        <x:f>(H2640*J2640+I2640)*'Inputs'!$D$51*(1+'Inputs'!$G$51)^(B2640/30)</x:f>
        <x:v>1039106.2690709397</x:v>
      </x:c>
      <x:c r="L2640" s="80" t="n">
        <x:f>MAX(0,K2640*'Inputs'!$E$51)</x:f>
        <x:v>103910.62690709397</x:v>
      </x:c>
      <x:c r="M2640" s="80" t="n">
        <x:f>MAX(0,-K2640*'Inputs'!$E$51)</x:f>
        <x:v>0</x:v>
      </x:c>
      <x:c r="N2640" s="78" t="n">
        <x:f>H2640*(L2640*(1-'Inputs'!$B$15))/(I2640+L2640*(1-'Inputs'!$B$15))</x:f>
        <x:v>247258.3008051051</x:v>
      </x:c>
      <x:c r="O2640" s="78" t="n">
        <x:f>H2640-N2640</x:f>
        <x:v>364289.8055711703</x:v>
      </x:c>
      <x:c r="P2640" s="78" t="n">
        <x:f>I2640+L2640*(1-'Inputs'!$B$17)</x:f>
        <x:v>255054.81386348227</x:v>
      </x:c>
      <x:c r="Q2640" s="78" t="n">
        <x:f>IF(J2640&gt;0,M2640/J2640,0)</x:f>
        <x:v>0</x:v>
      </x:c>
      <x:c r="R2640" s="78" t="n">
        <x:f>IF(B2640='Inputs'!$H$51,'Inputs'!$B$27*'Inputs'!$I$51,0)</x:f>
        <x:v>0</x:v>
      </x:c>
      <x:c r="S2640" s="78" t="n">
        <x:f>Q2640+G2640+R2640</x:f>
        <x:v>247372.27903921923</x:v>
      </x:c>
      <x:c r="T2640" s="78" t="n">
        <x:f>P2640*(S2640*(1-'Inputs'!$B$15))/(O2640+S2640*(1-'Inputs'!$B$15))</x:f>
        <x:v>102534.05940466165</x:v>
      </x:c>
      <x:c r="U2640" s="78" t="n">
        <x:f>O2640+S2640*(1-'Inputs'!$B$17)</x:f>
        <x:v>610666.6227229077</x:v>
      </x:c>
      <x:c r="V2640" s="78" t="n">
        <x:f>P2640-T2640</x:f>
        <x:v>152520.75445882062</x:v>
      </x:c>
      <x:c r="W2640" s="79" t="n">
        <x:f>IF(U2640&gt;0,V2640/U2640,0)</x:f>
        <x:v>0.24976107876789508</x:v>
      </x:c>
      <x:c r="X2640" s="80" t="n">
        <x:f>W2640*('Inputs'!$B$6-AC2640)</x:f>
        <x:v>249575520.39874297</x:v>
      </x:c>
      <x:c r="Y2640" s="80" t="n">
        <x:f>2*V2640</x:f>
        <x:v>305041.50891764124</x:v>
      </x:c>
      <x:c r="Z2640" s="80" t="n">
        <x:f>K2640*'Inputs'!$B$16+(G2640+R2640)*J2640*'Inputs'!$B$16</x:f>
        <x:v>6602.4810007641145</x:v>
      </x:c>
      <x:c r="AA2640" s="80" t="n">
        <x:f>K2640*(1+'Inputs'!$E$51)/2*'Inputs'!$B$17</x:f>
        <x:v>2299.832788688197</x:v>
      </x:c>
      <x:c r="AB2640" s="78" t="n">
        <x:f>(IF(J2640&gt;0,K2640*(1-'Inputs'!$E$51)/2/J2640,0)+G2640+R2640)*'Inputs'!$B$17</x:f>
        <x:v>8587.972616408002</x:v>
      </x:c>
      <x:c r="AC2640" s="78" t="n">
        <x:f>AC2639+AB2640</x:f>
        <x:v>742943.4965106883</x:v>
      </x:c>
      <x:c r="AD2640" s="80" t="n">
        <x:f>Z2640/(1+'Inputs'!$C$51)</x:f>
        <x:v>2200.8270002547047</x:v>
      </x:c>
      <x:c r="AE2640" s="80" t="n">
        <x:f>Z2640-AD2640</x:f>
        <x:v>4401.65400050941</x:v>
      </x:c>
      <x:c r="AF2640" s="80" t="n">
        <x:f>D2640*W2640</x:f>
        <x:v>73375.16732542984</x:v>
      </x:c>
      <x:c r="AG2640" s="80" t="n">
        <x:f>C2640*W2640</x:f>
        <x:v>171208.72375933474</x:v>
      </x:c>
      <x:c r="AH2640" s="80" t="n">
        <x:f>2*'Inputs'!$B$8*'Inputs'!$C$51</x:f>
        <x:v>10000</x:v>
      </x:c>
      <x:c r="AI2640" s="81" t="n">
        <x:f>IF(AH2640&gt;0,(AE2640+AF2640)/AH2640*365,0)</x:f>
        <x:v>2838.8539783967826</x:v>
      </x:c>
      <x:c r="AJ2640" s="81" t="n">
        <x:f>IF('Inputs'!$B$51&gt;0,AG2640/('Inputs'!$B$19*'Inputs'!$B$51)*365,0)</x:f>
        <x:v>6249.118417215717</x:v>
      </x:c>
      <x:c r="AK2640" s="81" t="n">
        <x:f>W2640/MAX($W$2559:W2640)-1</x:f>
        <x:v>-0.7466052343659331</x:v>
      </x:c>
      <x:c r="AL2640" s="83" t="n">
        <x:f>'Inputs'!$B$51</x:f>
        <x:v>1</x:v>
      </x:c>
      <x:c r="AM2640" s="83" t="n">
        <x:f>'Inputs'!$C$51</x:f>
        <x:v>2</x:v>
      </x:c>
      <x:c r="AN2640" s="83" t="n">
        <x:f>'Inputs'!$D$51</x:f>
        <x:v>3</x:v>
      </x:c>
      <x:c r="AO2640" s="81" t="n">
        <x:f>'Inputs'!$E$51</x:f>
        <x:v>0.1</x:v>
      </x:c>
    </x:row>
    <x:row r="2641">
      <x:c r="A2641" s="59" t="str">
        <x:v>High demand</x:v>
      </x:c>
      <x:c r="B2641" s="59" t="n">
        <x:v>83</x:v>
      </x:c>
      <x:c r="C2641" s="78" t="n">
        <x:f>(('Inputs'!$B$29*(3*83*'Inputs'!$B$12-83^2)/(2*'Inputs'!$B$12^2))-('Inputs'!$B$29*(3*82*'Inputs'!$B$12-82^2)/(2*'Inputs'!$B$12^2)))*'Inputs'!$B$51</x:f>
        <x:v>685164.8996059299</x:v>
      </x:c>
      <x:c r="D2641" s="78" t="n">
        <x:f>IF('Inputs'!$C$51&gt;0,('Inputs'!$B$30*(3*83*'Inputs'!$B$12-83^2)/(2*'Inputs'!$B$12^2))-('Inputs'!$B$30*(3*82*'Inputs'!$B$12-82^2)/(2*'Inputs'!$B$12^2)),0)</x:f>
        <x:v>293642.09983111173</x:v>
      </x:c>
      <x:c r="E2641" s="78" t="n">
        <x:f>C2641+D2641</x:f>
        <x:v>978806.9994370416</x:v>
      </x:c>
      <x:c r="F2641" s="78" t="n">
        <x:f>'Inputs'!$B$13*E2641+(1-'Inputs'!$B$13)/'Inputs'!$B$14*SUM(E2586:E2641)</x:f>
        <x:v>989024.6762994933</x:v>
      </x:c>
      <x:c r="G2641" s="78" t="n">
        <x:f>F2641*'Inputs'!$F$51</x:f>
        <x:v>247256.16907487332</x:v>
      </x:c>
      <x:c r="H2641" s="78" t="n">
        <x:f>U2640</x:f>
        <x:v>610666.6227229077</x:v>
      </x:c>
      <x:c r="I2641" s="78" t="n">
        <x:f>V2640</x:f>
        <x:v>152520.75445882062</x:v>
      </x:c>
      <x:c r="J2641" s="79" t="n">
        <x:f>IF(H2641&gt;0,I2641/H2641,0)</x:f>
        <x:v>0.24976107876789508</x:v>
      </x:c>
      <x:c r="K2641" s="80" t="n">
        <x:f>(H2641*J2641+I2641)*'Inputs'!$D$51*(1+'Inputs'!$G$51)^(B2641/30)</x:f>
        <x:v>1047379.1463173032</x:v>
      </x:c>
      <x:c r="L2641" s="80" t="n">
        <x:f>MAX(0,K2641*'Inputs'!$E$51)</x:f>
        <x:v>104737.91463173032</x:v>
      </x:c>
      <x:c r="M2641" s="80" t="n">
        <x:f>MAX(0,-K2641*'Inputs'!$E$51)</x:f>
        <x:v>0</x:v>
      </x:c>
      <x:c r="N2641" s="78" t="n">
        <x:f>H2641*(L2641*(1-'Inputs'!$B$15))/(I2641+L2641*(1-'Inputs'!$B$15))</x:f>
        <x:v>247141.13545499553</x:v>
      </x:c>
      <x:c r="O2641" s="78" t="n">
        <x:f>H2641-N2641</x:f>
        <x:v>363525.48726791213</x:v>
      </x:c>
      <x:c r="P2641" s="78" t="n">
        <x:f>I2641+L2641*(1-'Inputs'!$B$17)</x:f>
        <x:v>256837.18854877335</x:v>
      </x:c>
      <x:c r="Q2641" s="78" t="n">
        <x:f>IF(J2641&gt;0,M2641/J2641,0)</x:f>
        <x:v>0</x:v>
      </x:c>
      <x:c r="R2641" s="78" t="n">
        <x:f>IF(B2641='Inputs'!$H$51,'Inputs'!$B$27*'Inputs'!$I$51,0)</x:f>
        <x:v>0</x:v>
      </x:c>
      <x:c r="S2641" s="78" t="n">
        <x:f>Q2641+G2641+R2641</x:f>
        <x:v>247256.16907487332</x:v>
      </x:c>
      <x:c r="T2641" s="78" t="n">
        <x:f>P2641*(S2641*(1-'Inputs'!$B$15))/(O2641+S2641*(1-'Inputs'!$B$15))</x:f>
        <x:v>103351.29636575264</x:v>
      </x:c>
      <x:c r="U2641" s="78" t="n">
        <x:f>O2641+S2641*(1-'Inputs'!$B$17)</x:f>
        <x:v>609786.661698621</x:v>
      </x:c>
      <x:c r="V2641" s="78" t="n">
        <x:f>P2641-T2641</x:f>
        <x:v>153485.8921830207</x:v>
      </x:c>
      <x:c r="W2641" s="79" t="n">
        <x:f>IF(U2641&gt;0,V2641/U2641,0)</x:f>
        <x:v>0.2517042464580491</x:v>
      </x:c>
      <x:c r="X2641" s="80" t="n">
        <x:f>W2641*('Inputs'!$B$6-AC2641)</x:f>
        <x:v>251515082.56204885</x:v>
      </x:c>
      <x:c r="Y2641" s="80" t="n">
        <x:f>2*V2641</x:f>
        <x:v>306971.7843660414</x:v>
      </x:c>
      <x:c r="Z2641" s="80" t="n">
        <x:f>K2641*'Inputs'!$B$16+(G2641+R2641)*J2641*'Inputs'!$B$16</x:f>
        <x:v>6654.804683024764</x:v>
      </x:c>
      <x:c r="AA2641" s="80" t="n">
        <x:f>K2641*(1+'Inputs'!$E$51)/2*'Inputs'!$B$17</x:f>
        <x:v>2318.1429797767278</x:v>
      </x:c>
      <x:c r="AB2641" s="78" t="n">
        <x:f>(IF(J2641&gt;0,K2641*(1-'Inputs'!$E$51)/2/J2641,0)+G2641+R2641)*'Inputs'!$B$17</x:f>
        <x:v>8588.901778757392</x:v>
      </x:c>
      <x:c r="AC2641" s="78" t="n">
        <x:f>AC2640+AB2641</x:f>
        <x:v>751532.3982894457</x:v>
      </x:c>
      <x:c r="AD2641" s="80" t="n">
        <x:f>Z2641/(1+'Inputs'!$C$51)</x:f>
        <x:v>2218.2682276749215</x:v>
      </x:c>
      <x:c r="AE2641" s="80" t="n">
        <x:f>Z2641-AD2641</x:f>
        <x:v>4436.536455349842</x:v>
      </x:c>
      <x:c r="AF2641" s="80" t="n">
        <x:f>D2641*W2641</x:f>
        <x:v>73910.9634663492</x:v>
      </x:c>
      <x:c r="AG2641" s="80" t="n">
        <x:f>C2641*W2641</x:f>
        <x:v>172458.91475481546</x:v>
      </x:c>
      <x:c r="AH2641" s="80" t="n">
        <x:f>2*'Inputs'!$B$8*'Inputs'!$C$51</x:f>
        <x:v>10000</x:v>
      </x:c>
      <x:c r="AI2641" s="81" t="n">
        <x:f>IF(AH2641&gt;0,(AE2641+AF2641)/AH2641*365,0)</x:f>
        <x:v>2859.683747142015</x:v>
      </x:c>
      <x:c r="AJ2641" s="81" t="n">
        <x:f>IF('Inputs'!$B$51&gt;0,AG2641/('Inputs'!$B$19*'Inputs'!$B$51)*365,0)</x:f>
        <x:v>6294.750388550764</x:v>
      </x:c>
      <x:c r="AK2641" s="81" t="n">
        <x:f>W2641/MAX($W$2559:W2641)-1</x:f>
        <x:v>-0.7446337962064596</x:v>
      </x:c>
      <x:c r="AL2641" s="83" t="n">
        <x:f>'Inputs'!$B$51</x:f>
        <x:v>1</x:v>
      </x:c>
      <x:c r="AM2641" s="83" t="n">
        <x:f>'Inputs'!$C$51</x:f>
        <x:v>2</x:v>
      </x:c>
      <x:c r="AN2641" s="83" t="n">
        <x:f>'Inputs'!$D$51</x:f>
        <x:v>3</x:v>
      </x:c>
      <x:c r="AO2641" s="81" t="n">
        <x:f>'Inputs'!$E$51</x:f>
        <x:v>0.1</x:v>
      </x:c>
    </x:row>
    <x:row r="2642">
      <x:c r="A2642" s="59" t="str">
        <x:v>High demand</x:v>
      </x:c>
      <x:c r="B2642" s="59" t="n">
        <x:v>84</x:v>
      </x:c>
      <x:c r="C2642" s="78" t="n">
        <x:f>(('Inputs'!$B$29*(3*84*'Inputs'!$B$12-84^2)/(2*'Inputs'!$B$12^2))-('Inputs'!$B$29*(3*83*'Inputs'!$B$12-83^2)/(2*'Inputs'!$B$12^2)))*'Inputs'!$B$51</x:f>
        <x:v>684839.7917057648</x:v>
      </x:c>
      <x:c r="D2642" s="78" t="n">
        <x:f>IF('Inputs'!$C$51&gt;0,('Inputs'!$B$30*(3*84*'Inputs'!$B$12-84^2)/(2*'Inputs'!$B$12^2))-('Inputs'!$B$30*(3*83*'Inputs'!$B$12-83^2)/(2*'Inputs'!$B$12^2)),0)</x:f>
        <x:v>293502.76787389815</x:v>
      </x:c>
      <x:c r="E2642" s="78" t="n">
        <x:f>C2642+D2642</x:f>
        <x:v>978342.559579663</x:v>
      </x:c>
      <x:c r="F2642" s="78" t="n">
        <x:f>'Inputs'!$B$13*E2642+(1-'Inputs'!$B$13)/'Inputs'!$B$14*SUM(E2587:E2642)</x:f>
        <x:v>988560.2364421103</x:v>
      </x:c>
      <x:c r="G2642" s="78" t="n">
        <x:f>F2642*'Inputs'!$F$51</x:f>
        <x:v>247140.05911052757</x:v>
      </x:c>
      <x:c r="H2642" s="78" t="n">
        <x:f>U2641</x:f>
        <x:v>609786.661698621</x:v>
      </x:c>
      <x:c r="I2642" s="78" t="n">
        <x:f>V2641</x:f>
        <x:v>153485.8921830207</x:v>
      </x:c>
      <x:c r="J2642" s="79" t="n">
        <x:f>IF(H2642&gt;0,I2642/H2642,0)</x:f>
        <x:v>0.2517042464580491</x:v>
      </x:c>
      <x:c r="K2642" s="80" t="n">
        <x:f>(H2642*J2642+I2642)*'Inputs'!$D$51*(1+'Inputs'!$G$51)^(B2642/30)</x:f>
        <x:v>1055722.4350329242</x:v>
      </x:c>
      <x:c r="L2642" s="80" t="n">
        <x:f>MAX(0,K2642*'Inputs'!$E$51)</x:f>
        <x:v>105572.24350329243</x:v>
      </x:c>
      <x:c r="M2642" s="80" t="n">
        <x:f>MAX(0,-K2642*'Inputs'!$E$51)</x:f>
        <x:v>0</x:v>
      </x:c>
      <x:c r="N2642" s="78" t="n">
        <x:f>H2642*(L2642*(1-'Inputs'!$B$15))/(I2642+L2642*(1-'Inputs'!$B$15))</x:f>
        <x:v>247023.97032424388</x:v>
      </x:c>
      <x:c r="O2642" s="78" t="n">
        <x:f>H2642-N2642</x:f>
        <x:v>362762.6913743771</x:v>
      </x:c>
      <x:c r="P2642" s="78" t="n">
        <x:f>I2642+L2642*(1-'Inputs'!$B$17)</x:f>
        <x:v>258633.29768428783</x:v>
      </x:c>
      <x:c r="Q2642" s="78" t="n">
        <x:f>IF(J2642&gt;0,M2642/J2642,0)</x:f>
        <x:v>0</x:v>
      </x:c>
      <x:c r="R2642" s="78" t="n">
        <x:f>IF(B2642='Inputs'!$H$51,'Inputs'!$B$27*'Inputs'!$I$51,0)</x:f>
        <x:v>0</x:v>
      </x:c>
      <x:c r="S2642" s="78" t="n">
        <x:f>Q2642+G2642+R2642</x:f>
        <x:v>247140.05911052757</x:v>
      </x:c>
      <x:c r="T2642" s="78" t="n">
        <x:f>P2642*(S2642*(1-'Inputs'!$B$15))/(O2642+S2642*(1-'Inputs'!$B$15))</x:f>
        <x:v>104175.495722986</x:v>
      </x:c>
      <x:c r="U2642" s="78" t="n">
        <x:f>O2642+S2642*(1-'Inputs'!$B$17)</x:f>
        <x:v>608908.2230840574</x:v>
      </x:c>
      <x:c r="V2642" s="78" t="n">
        <x:f>P2642-T2642</x:f>
        <x:v>154457.80196130183</x:v>
      </x:c>
      <x:c r="W2642" s="79" t="n">
        <x:f>IF(U2642&gt;0,V2642/U2642,0)</x:f>
        <x:v>0.2536635179255569</x:v>
      </x:c>
      <x:c r="X2642" s="80" t="n">
        <x:f>W2642*('Inputs'!$B$6-AC2642)</x:f>
        <x:v>253470702.64597535</x:v>
      </x:c>
      <x:c r="Y2642" s="80" t="n">
        <x:f>2*V2642</x:f>
        <x:v>308915.60392260365</x:v>
      </x:c>
      <x:c r="Z2642" s="80" t="n">
        <x:f>K2642*'Inputs'!$B$16+(G2642+R2642)*J2642*'Inputs'!$B$16</x:f>
        <x:v>6707.571824285623</x:v>
      </x:c>
      <x:c r="AA2642" s="80" t="n">
        <x:f>K2642*(1+'Inputs'!$E$51)/2*'Inputs'!$B$17</x:f>
        <x:v>2336.609011139269</x:v>
      </x:c>
      <x:c r="AB2642" s="78" t="n">
        <x:f>(IF(J2642&gt;0,K2642*(1-'Inputs'!$E$51)/2/J2642,0)+G2642+R2642)*'Inputs'!$B$17</x:f>
        <x:v>8589.834337524471</x:v>
      </x:c>
      <x:c r="AC2642" s="78" t="n">
        <x:f>AC2641+AB2642</x:f>
        <x:v>760122.2326269702</x:v>
      </x:c>
      <x:c r="AD2642" s="80" t="n">
        <x:f>Z2642/(1+'Inputs'!$C$51)</x:f>
        <x:v>2235.857274761874</x:v>
      </x:c>
      <x:c r="AE2642" s="80" t="n">
        <x:f>Z2642-AD2642</x:f>
        <x:v>4471.714549523749</x:v>
      </x:c>
      <x:c r="AF2642" s="80" t="n">
        <x:f>D2642*W2642</x:f>
        <x:v>74450.94461978113</x:v>
      </x:c>
      <x:c r="AG2642" s="80" t="n">
        <x:f>C2642*W2642</x:f>
        <x:v>173718.87077948995</x:v>
      </x:c>
      <x:c r="AH2642" s="80" t="n">
        <x:f>2*'Inputs'!$B$8*'Inputs'!$C$51</x:f>
        <x:v>10000</x:v>
      </x:c>
      <x:c r="AI2642" s="81" t="n">
        <x:f>IF(AH2642&gt;0,(AE2642+AF2642)/AH2642*365,0)</x:f>
        <x:v>2880.677059679628</x:v>
      </x:c>
      <x:c r="AJ2642" s="81" t="n">
        <x:f>IF('Inputs'!$B$51&gt;0,AG2642/('Inputs'!$B$19*'Inputs'!$B$51)*365,0)</x:f>
        <x:v>6340.738783451383</x:v>
      </x:c>
      <x:c r="AK2642" s="81" t="n">
        <x:f>W2642/MAX($W$2559:W2642)-1</x:f>
        <x:v>-0.7426460199813897</x:v>
      </x:c>
      <x:c r="AL2642" s="83" t="n">
        <x:f>'Inputs'!$B$51</x:f>
        <x:v>1</x:v>
      </x:c>
      <x:c r="AM2642" s="83" t="n">
        <x:f>'Inputs'!$C$51</x:f>
        <x:v>2</x:v>
      </x:c>
      <x:c r="AN2642" s="83" t="n">
        <x:f>'Inputs'!$D$51</x:f>
        <x:v>3</x:v>
      </x:c>
      <x:c r="AO2642" s="81" t="n">
        <x:f>'Inputs'!$E$51</x:f>
        <x:v>0.1</x:v>
      </x:c>
    </x:row>
    <x:row r="2643">
      <x:c r="A2643" s="59" t="str">
        <x:v>High demand</x:v>
      </x:c>
      <x:c r="B2643" s="59" t="n">
        <x:v>85</x:v>
      </x:c>
      <x:c r="C2643" s="78" t="n">
        <x:f>(('Inputs'!$B$29*(3*85*'Inputs'!$B$12-85^2)/(2*'Inputs'!$B$12^2))-('Inputs'!$B$29*(3*84*'Inputs'!$B$12-84^2)/(2*'Inputs'!$B$12^2)))*'Inputs'!$B$51</x:f>
        <x:v>684514.6838055924</x:v>
      </x:c>
      <x:c r="D2643" s="78" t="n">
        <x:f>IF('Inputs'!$C$51&gt;0,('Inputs'!$B$30*(3*85*'Inputs'!$B$12-85^2)/(2*'Inputs'!$B$12^2))-('Inputs'!$B$30*(3*84*'Inputs'!$B$12-84^2)/(2*'Inputs'!$B$12^2)),0)</x:f>
        <x:v>293363.43591668084</x:v>
      </x:c>
      <x:c r="E2643" s="78" t="n">
        <x:f>C2643+D2643</x:f>
        <x:v>977878.1197222732</x:v>
      </x:c>
      <x:c r="F2643" s="78" t="n">
        <x:f>'Inputs'!$B$13*E2643+(1-'Inputs'!$B$13)/'Inputs'!$B$14*SUM(E2588:E2643)</x:f>
        <x:v>988095.7965847249</x:v>
      </x:c>
      <x:c r="G2643" s="78" t="n">
        <x:f>F2643*'Inputs'!$F$51</x:f>
        <x:v>247023.94914618123</x:v>
      </x:c>
      <x:c r="H2643" s="78" t="n">
        <x:f>U2642</x:f>
        <x:v>608908.2230840574</x:v>
      </x:c>
      <x:c r="I2643" s="78" t="n">
        <x:f>V2642</x:f>
        <x:v>154457.80196130183</x:v>
      </x:c>
      <x:c r="J2643" s="79" t="n">
        <x:f>IF(H2643&gt;0,I2643/H2643,0)</x:f>
        <x:v>0.2536635179255569</x:v>
      </x:c>
      <x:c r="K2643" s="80" t="n">
        <x:f>(H2643*J2643+I2643)*'Inputs'!$D$51*(1+'Inputs'!$G$51)^(B2643/30)</x:f>
        <x:v>1064136.765107442</x:v>
      </x:c>
      <x:c r="L2643" s="80" t="n">
        <x:f>MAX(0,K2643*'Inputs'!$E$51)</x:f>
        <x:v>106413.6765107442</x:v>
      </x:c>
      <x:c r="M2643" s="80" t="n">
        <x:f>MAX(0,-K2643*'Inputs'!$E$51)</x:f>
        <x:v>0</x:v>
      </x:c>
      <x:c r="N2643" s="78" t="n">
        <x:f>H2643*(L2643*(1-'Inputs'!$B$15))/(I2643+L2643*(1-'Inputs'!$B$15))</x:f>
        <x:v>246906.80651202623</x:v>
      </x:c>
      <x:c r="O2643" s="78" t="n">
        <x:f>H2643-N2643</x:f>
        <x:v>362001.4165720312</x:v>
      </x:c>
      <x:c r="P2643" s="78" t="n">
        <x:f>I2643+L2643*(1-'Inputs'!$B$17)</x:f>
        <x:v>260443.25442170099</x:v>
      </x:c>
      <x:c r="Q2643" s="78" t="n">
        <x:f>IF(J2643&gt;0,M2643/J2643,0)</x:f>
        <x:v>0</x:v>
      </x:c>
      <x:c r="R2643" s="78" t="n">
        <x:f>IF(B2643='Inputs'!$H$51,'Inputs'!$B$27*'Inputs'!$I$51,0)</x:f>
        <x:v>0</x:v>
      </x:c>
      <x:c r="S2643" s="78" t="n">
        <x:f>Q2643+G2643+R2643</x:f>
        <x:v>247023.94914618123</x:v>
      </x:c>
      <x:c r="T2643" s="78" t="n">
        <x:f>P2643*(S2643*(1-'Inputs'!$B$15))/(O2643+S2643*(1-'Inputs'!$B$15))</x:f>
        <x:v>105006.71953692226</x:v>
      </x:c>
      <x:c r="U2643" s="78" t="n">
        <x:f>O2643+S2643*(1-'Inputs'!$B$17)</x:f>
        <x:v>608031.3055606826</x:v>
      </x:c>
      <x:c r="V2643" s="78" t="n">
        <x:f>P2643-T2643</x:f>
        <x:v>155436.53488477872</x:v>
      </x:c>
      <x:c r="W2643" s="79" t="n">
        <x:f>IF(U2643&gt;0,V2643/U2643,0)</x:f>
        <x:v>0.2556390328314533</x:v>
      </x:c>
      <x:c r="X2643" s="80" t="n">
        <x:f>W2643*('Inputs'!$B$6-AC2643)</x:f>
        <x:v>255442519.78285286</x:v>
      </x:c>
      <x:c r="Y2643" s="80" t="n">
        <x:f>2*V2643</x:f>
        <x:v>310873.06976955745</x:v>
      </x:c>
      <x:c r="Z2643" s="80" t="n">
        <x:f>K2643*'Inputs'!$B$16+(G2643+R2643)*J2643*'Inputs'!$B$16</x:f>
        <x:v>6760.7863743583575</x:v>
      </x:c>
      <x:c r="AA2643" s="80" t="n">
        <x:f>K2643*(1+'Inputs'!$E$51)/2*'Inputs'!$B$17</x:f>
        <x:v>2355.232276897759</x:v>
      </x:c>
      <x:c r="AB2643" s="78" t="n">
        <x:f>(IF(J2643&gt;0,K2643*(1-'Inputs'!$E$51)/2/J2643,0)+G2643+R2643)*'Inputs'!$B$17</x:f>
        <x:v>8590.770328198729</x:v>
      </x:c>
      <x:c r="AC2643" s="78" t="n">
        <x:f>AC2642+AB2643</x:f>
        <x:v>768713.0029551688</x:v>
      </x:c>
      <x:c r="AD2643" s="80" t="n">
        <x:f>Z2643/(1+'Inputs'!$C$51)</x:f>
        <x:v>2253.5954581194524</x:v>
      </x:c>
      <x:c r="AE2643" s="80" t="n">
        <x:f>Z2643-AD2643</x:f>
        <x:v>4507.190916238906</x:v>
      </x:c>
      <x:c r="AF2643" s="80" t="n">
        <x:f>D2643*W2643</x:f>
        <x:v>74995.14502585231</x:v>
      </x:c>
      <x:c r="AG2643" s="80" t="n">
        <x:f>C2643*W2643</x:f>
        <x:v>174988.67172698968</x:v>
      </x:c>
      <x:c r="AH2643" s="80" t="n">
        <x:f>2*'Inputs'!$B$8*'Inputs'!$C$51</x:f>
        <x:v>10000</x:v>
      </x:c>
      <x:c r="AI2643" s="81" t="n">
        <x:f>IF(AH2643&gt;0,(AE2643+AF2643)/AH2643*365,0)</x:f>
        <x:v>2901.8352618863296</x:v>
      </x:c>
      <x:c r="AJ2643" s="81" t="n">
        <x:f>IF('Inputs'!$B$51&gt;0,AG2643/('Inputs'!$B$19*'Inputs'!$B$51)*365,0)</x:f>
        <x:v>6387.086518035124</x:v>
      </x:c>
      <x:c r="AK2643" s="81" t="n">
        <x:f>W2643/MAX($W$2559:W2643)-1</x:f>
        <x:v>-0.7406417639978087</x:v>
      </x:c>
      <x:c r="AL2643" s="83" t="n">
        <x:f>'Inputs'!$B$51</x:f>
        <x:v>1</x:v>
      </x:c>
      <x:c r="AM2643" s="83" t="n">
        <x:f>'Inputs'!$C$51</x:f>
        <x:v>2</x:v>
      </x:c>
      <x:c r="AN2643" s="83" t="n">
        <x:f>'Inputs'!$D$51</x:f>
        <x:v>3</x:v>
      </x:c>
      <x:c r="AO2643" s="81" t="n">
        <x:f>'Inputs'!$E$51</x:f>
        <x:v>0.1</x:v>
      </x:c>
    </x:row>
    <x:row r="2644">
      <x:c r="A2644" s="59" t="str">
        <x:v>High demand</x:v>
      </x:c>
      <x:c r="B2644" s="59" t="n">
        <x:v>86</x:v>
      </x:c>
      <x:c r="C2644" s="78" t="n">
        <x:f>(('Inputs'!$B$29*(3*86*'Inputs'!$B$12-86^2)/(2*'Inputs'!$B$12^2))-('Inputs'!$B$29*(3*85*'Inputs'!$B$12-85^2)/(2*'Inputs'!$B$12^2)))*'Inputs'!$B$51</x:f>
        <x:v>684189.5759054199</x:v>
      </x:c>
      <x:c r="D2644" s="78" t="n">
        <x:f>IF('Inputs'!$C$51&gt;0,('Inputs'!$B$30*(3*86*'Inputs'!$B$12-86^2)/(2*'Inputs'!$B$12^2))-('Inputs'!$B$30*(3*85*'Inputs'!$B$12-85^2)/(2*'Inputs'!$B$12^2)),0)</x:f>
        <x:v>293224.10395946726</x:v>
      </x:c>
      <x:c r="E2644" s="78" t="n">
        <x:f>C2644+D2644</x:f>
        <x:v>977413.6798648871</x:v>
      </x:c>
      <x:c r="F2644" s="78" t="n">
        <x:f>'Inputs'!$B$13*E2644+(1-'Inputs'!$B$13)/'Inputs'!$B$14*SUM(E2589:E2644)</x:f>
        <x:v>987631.3567273404</x:v>
      </x:c>
      <x:c r="G2644" s="78" t="n">
        <x:f>F2644*'Inputs'!$F$51</x:f>
        <x:v>246907.8391818351</x:v>
      </x:c>
      <x:c r="H2644" s="78" t="n">
        <x:f>U2643</x:f>
        <x:v>608031.3055606826</x:v>
      </x:c>
      <x:c r="I2644" s="78" t="n">
        <x:f>V2643</x:f>
        <x:v>155436.53488477872</x:v>
      </x:c>
      <x:c r="J2644" s="79" t="n">
        <x:f>IF(H2644&gt;0,I2644/H2644,0)</x:f>
        <x:v>0.2556390328314533</x:v>
      </x:c>
      <x:c r="K2644" s="80" t="n">
        <x:f>(H2644*J2644+I2644)*'Inputs'!$D$51*(1+'Inputs'!$G$51)^(B2644/30)</x:f>
        <x:v>1072622.7742051224</x:v>
      </x:c>
      <x:c r="L2644" s="80" t="n">
        <x:f>MAX(0,K2644*'Inputs'!$E$51)</x:f>
        <x:v>107262.27742051224</x:v>
      </x:c>
      <x:c r="M2644" s="80" t="n">
        <x:f>MAX(0,-K2644*'Inputs'!$E$51)</x:f>
        <x:v>0</x:v>
      </x:c>
      <x:c r="N2644" s="78" t="n">
        <x:f>H2644*(L2644*(1-'Inputs'!$B$15))/(I2644+L2644*(1-'Inputs'!$B$15))</x:f>
        <x:v>246789.64467339937</x:v>
      </x:c>
      <x:c r="O2644" s="78" t="n">
        <x:f>H2644-N2644</x:f>
        <x:v>361241.66088728316</x:v>
      </x:c>
      <x:c r="P2644" s="78" t="n">
        <x:f>I2644+L2644*(1-'Inputs'!$B$17)</x:f>
        <x:v>262267.17336194887</x:v>
      </x:c>
      <x:c r="Q2644" s="78" t="n">
        <x:f>IF(J2644&gt;0,M2644/J2644,0)</x:f>
        <x:v>0</x:v>
      </x:c>
      <x:c r="R2644" s="78" t="n">
        <x:f>IF(B2644='Inputs'!$H$51,'Inputs'!$B$27*'Inputs'!$I$51,0)</x:f>
        <x:v>0</x:v>
      </x:c>
      <x:c r="S2644" s="78" t="n">
        <x:f>Q2644+G2644+R2644</x:f>
        <x:v>246907.8391818351</x:v>
      </x:c>
      <x:c r="T2644" s="78" t="n">
        <x:f>P2644*(S2644*(1-'Inputs'!$B$15))/(O2644+S2644*(1-'Inputs'!$B$15))</x:f>
        <x:v>105845.03074238624</x:v>
      </x:c>
      <x:c r="U2644" s="78" t="n">
        <x:f>O2644+S2644*(1-'Inputs'!$B$17)</x:f>
        <x:v>607155.9071549056</x:v>
      </x:c>
      <x:c r="V2644" s="78" t="n">
        <x:f>P2644-T2644</x:f>
        <x:v>156422.14261956263</x:v>
      </x:c>
      <x:c r="W2644" s="79" t="n">
        <x:f>IF(U2644&gt;0,V2644/U2644,0)</x:f>
        <x:v>0.25763093264223835</x:v>
      </x:c>
      <x:c r="X2644" s="80" t="n">
        <x:f>W2644*('Inputs'!$B$6-AC2644)</x:f>
        <x:v>257430674.90415105</x:v>
      </x:c>
      <x:c r="Y2644" s="80" t="n">
        <x:f>2*V2644</x:f>
        <x:v>312844.28523912525</x:v>
      </x:c>
      <x:c r="Z2644" s="80" t="n">
        <x:f>K2644*'Inputs'!$B$16+(G2644+R2644)*J2644*'Inputs'!$B$16</x:f>
        <x:v>6814.452332472424</x:v>
      </x:c>
      <x:c r="AA2644" s="80" t="n">
        <x:f>K2644*(1+'Inputs'!$E$51)/2*'Inputs'!$B$17</x:f>
        <x:v>2374.014188381559</x:v>
      </x:c>
      <x:c r="AB2644" s="78" t="n">
        <x:f>(IF(J2644&gt;0,K2644*(1-'Inputs'!$E$51)/2/J2644,0)+G2644+R2644)*'Inputs'!$B$17</x:f>
        <x:v>8591.709772681936</x:v>
      </x:c>
      <x:c r="AC2644" s="78" t="n">
        <x:f>AC2643+AB2644</x:f>
        <x:v>777304.7127278508</x:v>
      </x:c>
      <x:c r="AD2644" s="80" t="n">
        <x:f>Z2644/(1+'Inputs'!$C$51)</x:f>
        <x:v>2271.484110824141</x:v>
      </x:c>
      <x:c r="AE2644" s="80" t="n">
        <x:f>Z2644-AD2644</x:f>
        <x:v>4542.968221648283</x:v>
      </x:c>
      <x:c r="AF2644" s="80" t="n">
        <x:f>D2644*W2644</x:f>
        <x:v>75543.59937626221</x:v>
      </x:c>
      <x:c r="AG2644" s="80" t="n">
        <x:f>C2644*W2644</x:f>
        <x:v>176268.39854461086</x:v>
      </x:c>
      <x:c r="AH2644" s="80" t="n">
        <x:f>2*'Inputs'!$B$8*'Inputs'!$C$51</x:f>
        <x:v>10000</x:v>
      </x:c>
      <x:c r="AI2644" s="81" t="n">
        <x:f>IF(AH2644&gt;0,(AE2644+AF2644)/AH2644*365,0)</x:f>
        <x:v>2923.1597173237333</x:v>
      </x:c>
      <x:c r="AJ2644" s="81" t="n">
        <x:f>IF('Inputs'!$B$51&gt;0,AG2644/('Inputs'!$B$19*'Inputs'!$B$51)*365,0)</x:f>
        <x:v>6433.796546878296</x:v>
      </x:c>
      <x:c r="AK2644" s="81" t="n">
        <x:f>W2644/MAX($W$2559:W2644)-1</x:f>
        <x:v>-0.7386208847310696</x:v>
      </x:c>
      <x:c r="AL2644" s="83" t="n">
        <x:f>'Inputs'!$B$51</x:f>
        <x:v>1</x:v>
      </x:c>
      <x:c r="AM2644" s="83" t="n">
        <x:f>'Inputs'!$C$51</x:f>
        <x:v>2</x:v>
      </x:c>
      <x:c r="AN2644" s="83" t="n">
        <x:f>'Inputs'!$D$51</x:f>
        <x:v>3</x:v>
      </x:c>
      <x:c r="AO2644" s="81" t="n">
        <x:f>'Inputs'!$E$51</x:f>
        <x:v>0.1</x:v>
      </x:c>
    </x:row>
    <x:row r="2645">
      <x:c r="A2645" s="59" t="str">
        <x:v>High demand</x:v>
      </x:c>
      <x:c r="B2645" s="59" t="n">
        <x:v>87</x:v>
      </x:c>
      <x:c r="C2645" s="78" t="n">
        <x:f>(('Inputs'!$B$29*(3*87*'Inputs'!$B$12-87^2)/(2*'Inputs'!$B$12^2))-('Inputs'!$B$29*(3*86*'Inputs'!$B$12-86^2)/(2*'Inputs'!$B$12^2)))*'Inputs'!$B$51</x:f>
        <x:v>683864.4680052549</x:v>
      </x:c>
      <x:c r="D2645" s="78" t="n">
        <x:f>IF('Inputs'!$C$51&gt;0,('Inputs'!$B$30*(3*87*'Inputs'!$B$12-87^2)/(2*'Inputs'!$B$12^2))-('Inputs'!$B$30*(3*86*'Inputs'!$B$12-86^2)/(2*'Inputs'!$B$12^2)),0)</x:f>
        <x:v>293084.7720022537</x:v>
      </x:c>
      <x:c r="E2645" s="78" t="n">
        <x:f>C2645+D2645</x:f>
        <x:v>976949.2400075085</x:v>
      </x:c>
      <x:c r="F2645" s="78" t="n">
        <x:f>'Inputs'!$B$13*E2645+(1-'Inputs'!$B$13)/'Inputs'!$B$14*SUM(E2590:E2645)</x:f>
        <x:v>987166.9168699573</x:v>
      </x:c>
      <x:c r="G2645" s="78" t="n">
        <x:f>F2645*'Inputs'!$F$51</x:f>
        <x:v>246791.72921748934</x:v>
      </x:c>
      <x:c r="H2645" s="78" t="n">
        <x:f>U2644</x:f>
        <x:v>607155.9071549056</x:v>
      </x:c>
      <x:c r="I2645" s="78" t="n">
        <x:f>V2644</x:f>
        <x:v>156422.14261956263</x:v>
      </x:c>
      <x:c r="J2645" s="79" t="n">
        <x:f>IF(H2645&gt;0,I2645/H2645,0)</x:f>
        <x:v>0.25763093264223835</x:v>
      </x:c>
      <x:c r="K2645" s="80" t="n">
        <x:f>(H2645*J2645+I2645)*'Inputs'!$D$51*(1+'Inputs'!$G$51)^(B2645/30)</x:f>
        <x:v>1081181.1071234876</x:v>
      </x:c>
      <x:c r="L2645" s="80" t="n">
        <x:f>MAX(0,K2645*'Inputs'!$E$51)</x:f>
        <x:v>108118.11071234877</x:v>
      </x:c>
      <x:c r="M2645" s="80" t="n">
        <x:f>MAX(0,-K2645*'Inputs'!$E$51)</x:f>
        <x:v>0</x:v>
      </x:c>
      <x:c r="N2645" s="78" t="n">
        <x:f>H2645*(L2645*(1-'Inputs'!$B$15))/(I2645+L2645*(1-'Inputs'!$B$15))</x:f>
        <x:v>246672.48519757687</x:v>
      </x:c>
      <x:c r="O2645" s="78" t="n">
        <x:f>H2645-N2645</x:f>
        <x:v>360483.42195732874</x:v>
      </x:c>
      <x:c r="P2645" s="78" t="n">
        <x:f>I2645+L2645*(1-'Inputs'!$B$17)</x:f>
        <x:v>264105.17039141903</x:v>
      </x:c>
      <x:c r="Q2645" s="78" t="n">
        <x:f>IF(J2645&gt;0,M2645/J2645,0)</x:f>
        <x:v>0</x:v>
      </x:c>
      <x:c r="R2645" s="78" t="n">
        <x:f>IF(B2645='Inputs'!$H$51,'Inputs'!$B$27*'Inputs'!$I$51,0)</x:f>
        <x:v>0</x:v>
      </x:c>
      <x:c r="S2645" s="78" t="n">
        <x:f>Q2645+G2645+R2645</x:f>
        <x:v>246791.72921748934</x:v>
      </x:c>
      <x:c r="T2645" s="78" t="n">
        <x:f>P2645*(S2645*(1-'Inputs'!$B$15))/(O2645+S2645*(1-'Inputs'!$B$15))</x:f>
        <x:v>106690.4930435026</x:v>
      </x:c>
      <x:c r="U2645" s="78" t="n">
        <x:f>O2645+S2645*(1-'Inputs'!$B$17)</x:f>
        <x:v>606282.0255039227</x:v>
      </x:c>
      <x:c r="V2645" s="78" t="n">
        <x:f>P2645-T2645</x:f>
        <x:v>157414.6773479164</x:v>
      </x:c>
      <x:c r="W2645" s="79" t="n">
        <x:f>IF(U2645&gt;0,V2645/U2645,0)</x:f>
        <x:v>0.2596393604396869</x:v>
      </x:c>
      <x:c r="X2645" s="80" t="n">
        <x:f>W2645*('Inputs'!$B$6-AC2645)</x:f>
        <x:v>259435310.55035993</x:v>
      </x:c>
      <x:c r="Y2645" s="80" t="n">
        <x:f>2*V2645</x:f>
        <x:v>314829.3546958328</x:v>
      </x:c>
      <x:c r="Z2645" s="80" t="n">
        <x:f>K2645*'Inputs'!$B$16+(G2645+R2645)*J2645*'Inputs'!$B$16</x:f>
        <x:v>6868.573742941081</x:v>
      </x:c>
      <x:c r="AA2645" s="80" t="n">
        <x:f>K2645*(1+'Inputs'!$E$51)/2*'Inputs'!$B$17</x:f>
        <x:v>2392.956172707921</x:v>
      </x:c>
      <x:c r="AB2645" s="78" t="n">
        <x:f>(IF(J2645&gt;0,K2645*(1-'Inputs'!$E$51)/2/J2645,0)+G2645+R2645)*'Inputs'!$B$17</x:f>
        <x:v>8592.652684735669</x:v>
      </x:c>
      <x:c r="AC2645" s="78" t="n">
        <x:f>AC2644+AB2645</x:f>
        <x:v>785897.3654125865</x:v>
      </x:c>
      <x:c r="AD2645" s="80" t="n">
        <x:f>Z2645/(1+'Inputs'!$C$51)</x:f>
        <x:v>2289.5245809803605</x:v>
      </x:c>
      <x:c r="AE2645" s="80" t="n">
        <x:f>Z2645-AD2645</x:f>
        <x:v>4579.04916196072</x:v>
      </x:c>
      <x:c r="AF2645" s="80" t="n">
        <x:f>D2645*W2645</x:f>
        <x:v>76096.3427572766</x:v>
      </x:c>
      <x:c r="AG2645" s="80" t="n">
        <x:f>C2645*W2645</x:f>
        <x:v>177558.1331003111</x:v>
      </x:c>
      <x:c r="AH2645" s="80" t="n">
        <x:f>2*'Inputs'!$B$8*'Inputs'!$C$51</x:f>
        <x:v>10000</x:v>
      </x:c>
      <x:c r="AI2645" s="81" t="n">
        <x:f>IF(AH2645&gt;0,(AE2645+AF2645)/AH2645*365,0)</x:f>
        <x:v>2944.651805052162</x:v>
      </x:c>
      <x:c r="AJ2645" s="81" t="n">
        <x:f>IF('Inputs'!$B$51&gt;0,AG2645/('Inputs'!$B$19*'Inputs'!$B$51)*365,0)</x:f>
        <x:v>6480.871858161355</x:v>
      </x:c>
      <x:c r="AK2645" s="81" t="n">
        <x:f>W2645/MAX($W$2559:W2645)-1</x:f>
        <x:v>-0.7365832370177509</x:v>
      </x:c>
      <x:c r="AL2645" s="83" t="n">
        <x:f>'Inputs'!$B$51</x:f>
        <x:v>1</x:v>
      </x:c>
      <x:c r="AM2645" s="83" t="n">
        <x:f>'Inputs'!$C$51</x:f>
        <x:v>2</x:v>
      </x:c>
      <x:c r="AN2645" s="83" t="n">
        <x:f>'Inputs'!$D$51</x:f>
        <x:v>3</x:v>
      </x:c>
      <x:c r="AO2645" s="81" t="n">
        <x:f>'Inputs'!$E$51</x:f>
        <x:v>0.1</x:v>
      </x:c>
    </x:row>
    <x:row r="2646">
      <x:c r="A2646" s="59" t="str">
        <x:v>High demand</x:v>
      </x:c>
      <x:c r="B2646" s="59" t="n">
        <x:v>88</x:v>
      </x:c>
      <x:c r="C2646" s="78" t="n">
        <x:f>(('Inputs'!$B$29*(3*88*'Inputs'!$B$12-88^2)/(2*'Inputs'!$B$12^2))-('Inputs'!$B$29*(3*87*'Inputs'!$B$12-87^2)/(2*'Inputs'!$B$12^2)))*'Inputs'!$B$51</x:f>
        <x:v>683539.3601050824</x:v>
      </x:c>
      <x:c r="D2646" s="78" t="n">
        <x:f>IF('Inputs'!$C$51&gt;0,('Inputs'!$B$30*(3*88*'Inputs'!$B$12-88^2)/(2*'Inputs'!$B$12^2))-('Inputs'!$B$30*(3*87*'Inputs'!$B$12-87^2)/(2*'Inputs'!$B$12^2)),0)</x:f>
        <x:v>292945.4400450364</x:v>
      </x:c>
      <x:c r="E2646" s="78" t="n">
        <x:f>C2646+D2646</x:f>
        <x:v>976484.8001501188</x:v>
      </x:c>
      <x:c r="F2646" s="78" t="n">
        <x:f>'Inputs'!$B$13*E2646+(1-'Inputs'!$B$13)/'Inputs'!$B$14*SUM(E2591:E2646)</x:f>
        <x:v>986702.4770125719</x:v>
      </x:c>
      <x:c r="G2646" s="78" t="n">
        <x:f>F2646*'Inputs'!$F$51</x:f>
        <x:v>246675.61925314297</x:v>
      </x:c>
      <x:c r="H2646" s="78" t="n">
        <x:f>U2645</x:f>
        <x:v>606282.0255039227</x:v>
      </x:c>
      <x:c r="I2646" s="78" t="n">
        <x:f>V2645</x:f>
        <x:v>157414.6773479164</x:v>
      </x:c>
      <x:c r="J2646" s="79" t="n">
        <x:f>IF(H2646&gt;0,I2646/H2646,0)</x:f>
        <x:v>0.2596393604396869</x:v>
      </x:c>
      <x:c r="K2646" s="80" t="n">
        <x:f>(H2646*J2646+I2646)*'Inputs'!$D$51*(1+'Inputs'!$G$51)^(B2646/30)</x:f>
        <x:v>1089812.415429866</x:v>
      </x:c>
      <x:c r="L2646" s="80" t="n">
        <x:f>MAX(0,K2646*'Inputs'!$E$51)</x:f>
        <x:v>108981.2415429866</x:v>
      </x:c>
      <x:c r="M2646" s="80" t="n">
        <x:f>MAX(0,-K2646*'Inputs'!$E$51)</x:f>
        <x:v>0</x:v>
      </x:c>
      <x:c r="N2646" s="78" t="n">
        <x:f>H2646*(L2646*(1-'Inputs'!$B$15))/(I2646+L2646*(1-'Inputs'!$B$15))</x:f>
        <x:v>246555.3283147489</x:v>
      </x:c>
      <x:c r="O2646" s="78" t="n">
        <x:f>H2646-N2646</x:f>
        <x:v>359726.6971891738</x:v>
      </x:c>
      <x:c r="P2646" s="78" t="n">
        <x:f>I2646+L2646*(1-'Inputs'!$B$17)</x:f>
        <x:v>265957.3625869071</x:v>
      </x:c>
      <x:c r="Q2646" s="78" t="n">
        <x:f>IF(J2646&gt;0,M2646/J2646,0)</x:f>
        <x:v>0</x:v>
      </x:c>
      <x:c r="R2646" s="78" t="n">
        <x:f>IF(B2646='Inputs'!$H$51,'Inputs'!$B$27*'Inputs'!$I$51,0)</x:f>
        <x:v>0</x:v>
      </x:c>
      <x:c r="S2646" s="78" t="n">
        <x:f>Q2646+G2646+R2646</x:f>
        <x:v>246675.61925314297</x:v>
      </x:c>
      <x:c r="T2646" s="78" t="n">
        <x:f>P2646*(S2646*(1-'Inputs'!$B$15))/(O2646+S2646*(1-'Inputs'!$B$15))</x:f>
        <x:v>107543.17085267293</x:v>
      </x:c>
      <x:c r="U2646" s="78" t="n">
        <x:f>O2646+S2646*(1-'Inputs'!$B$17)</x:f>
        <x:v>605409.6580147387</x:v>
      </x:c>
      <x:c r="V2646" s="78" t="n">
        <x:f>P2646-T2646</x:f>
        <x:v>158414.19173423416</x:v>
      </x:c>
      <x:c r="W2646" s="79" t="n">
        <x:f>IF(U2646&gt;0,V2646/U2646,0)</x:f>
        <x:v>0.2616644608110589</x:v>
      </x:c>
      <x:c r="X2646" s="80" t="n">
        <x:f>W2646*('Inputs'!$B$6-AC2646)</x:f>
        <x:v>261456570.76121742</x:v>
      </x:c>
      <x:c r="Y2646" s="80" t="n">
        <x:f>2*V2646</x:f>
        <x:v>316828.3834684683</x:v>
      </x:c>
      <x:c r="Z2646" s="80" t="n">
        <x:f>K2646*'Inputs'!$B$16+(G2646+R2646)*J2646*'Inputs'!$B$16</x:f>
        <x:v>6923.154692692895</x:v>
      </x:c>
      <x:c r="AA2646" s="80" t="n">
        <x:f>K2646*(1+'Inputs'!$E$51)/2*'Inputs'!$B$17</x:f>
        <x:v>2412.059671977571</x:v>
      </x:c>
      <x:c r="AB2646" s="78" t="n">
        <x:f>(IF(J2646&gt;0,K2646*(1-'Inputs'!$E$51)/2/J2646,0)+G2646+R2646)*'Inputs'!$B$17</x:f>
        <x:v>8593.599073247537</x:v>
      </x:c>
      <x:c r="AC2646" s="78" t="n">
        <x:f>AC2645+AB2646</x:f>
        <x:v>794490.964485834</x:v>
      </x:c>
      <x:c r="AD2646" s="80" t="n">
        <x:f>Z2646/(1+'Inputs'!$C$51)</x:f>
        <x:v>2307.7182308976317</x:v>
      </x:c>
      <x:c r="AE2646" s="80" t="n">
        <x:f>Z2646-AD2646</x:f>
        <x:v>4615.436461795263</x:v>
      </x:c>
      <x:c r="AF2646" s="80" t="n">
        <x:f>D2646*W2646</x:f>
        <x:v>76653.41061644282</x:v>
      </x:c>
      <x:c r="AG2646" s="80" t="n">
        <x:f>C2646*W2646</x:f>
        <x:v>178857.9581050326</x:v>
      </x:c>
      <x:c r="AH2646" s="80" t="n">
        <x:f>2*'Inputs'!$B$8*'Inputs'!$C$51</x:f>
        <x:v>10000</x:v>
      </x:c>
      <x:c r="AI2646" s="81" t="n">
        <x:f>IF(AH2646&gt;0,(AE2646+AF2646)/AH2646*365,0)</x:f>
        <x:v>2966.3129183556903</x:v>
      </x:c>
      <x:c r="AJ2646" s="81" t="n">
        <x:f>IF('Inputs'!$B$51&gt;0,AG2646/('Inputs'!$B$19*'Inputs'!$B$51)*365,0)</x:f>
        <x:v>6528.315470833691</x:v>
      </x:c>
      <x:c r="AK2646" s="81" t="n">
        <x:f>W2646/MAX($W$2559:W2646)-1</x:f>
        <x:v>-0.7345286741670429</x:v>
      </x:c>
      <x:c r="AL2646" s="83" t="n">
        <x:f>'Inputs'!$B$51</x:f>
        <x:v>1</x:v>
      </x:c>
      <x:c r="AM2646" s="83" t="n">
        <x:f>'Inputs'!$C$51</x:f>
        <x:v>2</x:v>
      </x:c>
      <x:c r="AN2646" s="83" t="n">
        <x:f>'Inputs'!$D$51</x:f>
        <x:v>3</x:v>
      </x:c>
      <x:c r="AO2646" s="81" t="n">
        <x:f>'Inputs'!$E$51</x:f>
        <x:v>0.1</x:v>
      </x:c>
    </x:row>
    <x:row r="2647">
      <x:c r="A2647" s="59" t="str">
        <x:v>High demand</x:v>
      </x:c>
      <x:c r="B2647" s="59" t="n">
        <x:v>89</x:v>
      </x:c>
      <x:c r="C2647" s="78" t="n">
        <x:f>(('Inputs'!$B$29*(3*89*'Inputs'!$B$12-89^2)/(2*'Inputs'!$B$12^2))-('Inputs'!$B$29*(3*88*'Inputs'!$B$12-88^2)/(2*'Inputs'!$B$12^2)))*'Inputs'!$B$51</x:f>
        <x:v>683214.2522049174</x:v>
      </x:c>
      <x:c r="D2647" s="78" t="n">
        <x:f>IF('Inputs'!$C$51&gt;0,('Inputs'!$B$30*(3*89*'Inputs'!$B$12-89^2)/(2*'Inputs'!$B$12^2))-('Inputs'!$B$30*(3*88*'Inputs'!$B$12-88^2)/(2*'Inputs'!$B$12^2)),0)</x:f>
        <x:v>292806.10808781907</x:v>
      </x:c>
      <x:c r="E2647" s="78" t="n">
        <x:f>C2647+D2647</x:f>
        <x:v>976020.3602927364</x:v>
      </x:c>
      <x:c r="F2647" s="78" t="n">
        <x:f>'Inputs'!$B$13*E2647+(1-'Inputs'!$B$13)/'Inputs'!$B$14*SUM(E2592:E2647)</x:f>
        <x:v>986238.0371551884</x:v>
      </x:c>
      <x:c r="G2647" s="78" t="n">
        <x:f>F2647*'Inputs'!$F$51</x:f>
        <x:v>246559.5092887971</x:v>
      </x:c>
      <x:c r="H2647" s="78" t="n">
        <x:f>U2646</x:f>
        <x:v>605409.6580147387</x:v>
      </x:c>
      <x:c r="I2647" s="78" t="n">
        <x:f>V2646</x:f>
        <x:v>158414.19173423416</x:v>
      </x:c>
      <x:c r="J2647" s="79" t="n">
        <x:f>IF(H2647&gt;0,I2647/H2647,0)</x:f>
        <x:v>0.2616644608110589</x:v>
      </x:c>
      <x:c r="K2647" s="80" t="n">
        <x:f>(H2647*J2647+I2647)*'Inputs'!$D$51*(1+'Inputs'!$G$51)^(B2647/30)</x:f>
        <x:v>1098517.3572662955</x:v>
      </x:c>
      <x:c r="L2647" s="80" t="n">
        <x:f>MAX(0,K2647*'Inputs'!$E$51)</x:f>
        <x:v>109851.73572662956</x:v>
      </x:c>
      <x:c r="M2647" s="80" t="n">
        <x:f>MAX(0,-K2647*'Inputs'!$E$51)</x:f>
        <x:v>0</x:v>
      </x:c>
      <x:c r="N2647" s="78" t="n">
        <x:f>H2647*(L2647*(1-'Inputs'!$B$15))/(I2647+L2647*(1-'Inputs'!$B$15))</x:f>
        <x:v>246438.1741600446</x:v>
      </x:c>
      <x:c r="O2647" s="78" t="n">
        <x:f>H2647-N2647</x:f>
        <x:v>358971.48385469406</x:v>
      </x:c>
      <x:c r="P2647" s="78" t="n">
        <x:f>I2647+L2647*(1-'Inputs'!$B$17)</x:f>
        <x:v>267823.868162165</x:v>
      </x:c>
      <x:c r="Q2647" s="78" t="n">
        <x:f>IF(J2647&gt;0,M2647/J2647,0)</x:f>
        <x:v>0</x:v>
      </x:c>
      <x:c r="R2647" s="78" t="n">
        <x:f>IF(B2647='Inputs'!$H$51,'Inputs'!$B$27*'Inputs'!$I$51,0)</x:f>
        <x:v>0</x:v>
      </x:c>
      <x:c r="S2647" s="78" t="n">
        <x:f>Q2647+G2647+R2647</x:f>
        <x:v>246559.5092887971</x:v>
      </x:c>
      <x:c r="T2647" s="78" t="n">
        <x:f>P2647*(S2647*(1-'Inputs'!$B$15))/(O2647+S2647*(1-'Inputs'!$B$15))</x:f>
        <x:v>108403.12925615149</x:v>
      </x:c>
      <x:c r="U2647" s="78" t="n">
        <x:f>O2647+S2647*(1-'Inputs'!$B$17)</x:f>
        <x:v>604538.8019592303</x:v>
      </x:c>
      <x:c r="V2647" s="78" t="n">
        <x:f>P2647-T2647</x:f>
        <x:v>159420.7389060135</x:v>
      </x:c>
      <x:c r="W2647" s="79" t="n">
        <x:f>IF(U2647&gt;0,V2647/U2647,0)</x:f>
        <x:v>0.26370637978795064</x:v>
      </x:c>
      <x:c r="X2647" s="80" t="n">
        <x:f>W2647*('Inputs'!$B$6-AC2647)</x:f>
        <x:v>263494601.01454386</x:v>
      </x:c>
      <x:c r="Y2647" s="80" t="n">
        <x:f>2*V2647</x:f>
        <x:v>318841.477812027</x:v>
      </x:c>
      <x:c r="Z2647" s="80" t="n">
        <x:f>K2647*'Inputs'!$B$16+(G2647+R2647)*J2647*'Inputs'!$B$16</x:f>
        <x:v>6978.199309933128</x:v>
      </x:c>
      <x:c r="AA2647" s="80" t="n">
        <x:f>K2647*(1+'Inputs'!$E$51)/2*'Inputs'!$B$17</x:f>
        <x:v>2431.3261428429078</x:v>
      </x:c>
      <x:c r="AB2647" s="78" t="n">
        <x:f>(IF(J2647&gt;0,K2647*(1-'Inputs'!$E$51)/2/J2647,0)+G2647+R2647)*'Inputs'!$B$17</x:f>
        <x:v>8594.548944188247</x:v>
      </x:c>
      <x:c r="AC2647" s="78" t="n">
        <x:f>AC2646+AB2647</x:f>
        <x:v>803085.5134300223</x:v>
      </x:c>
      <x:c r="AD2647" s="80" t="n">
        <x:f>Z2647/(1+'Inputs'!$C$51)</x:f>
        <x:v>2326.0664366443757</x:v>
      </x:c>
      <x:c r="AE2647" s="80" t="n">
        <x:f>Z2647-AD2647</x:f>
        <x:v>4652.132873288752</x:v>
      </x:c>
      <x:c r="AF2647" s="80" t="n">
        <x:f>D2647*W2647</x:f>
        <x:v>77214.83874363815</x:v>
      </x:c>
      <x:c r="AG2647" s="80" t="n">
        <x:f>C2647*W2647</x:f>
        <x:v>180167.95706849062</x:v>
      </x:c>
      <x:c r="AH2647" s="80" t="n">
        <x:f>2*'Inputs'!$B$8*'Inputs'!$C$51</x:f>
        <x:v>10000</x:v>
      </x:c>
      <x:c r="AI2647" s="81" t="n">
        <x:f>IF(AH2647&gt;0,(AE2647+AF2647)/AH2647*365,0)</x:f>
        <x:v>2988.144464017832</x:v>
      </x:c>
      <x:c r="AJ2647" s="81" t="n">
        <x:f>IF('Inputs'!$B$51&gt;0,AG2647/('Inputs'!$B$19*'Inputs'!$B$51)*365,0)</x:f>
        <x:v>6576.130432999908</x:v>
      </x:c>
      <x:c r="AK2647" s="81" t="n">
        <x:f>W2647/MAX($W$2559:W2647)-1</x:f>
        <x:v>-0.7324570480227865</x:v>
      </x:c>
      <x:c r="AL2647" s="83" t="n">
        <x:f>'Inputs'!$B$51</x:f>
        <x:v>1</x:v>
      </x:c>
      <x:c r="AM2647" s="83" t="n">
        <x:f>'Inputs'!$C$51</x:f>
        <x:v>2</x:v>
      </x:c>
      <x:c r="AN2647" s="83" t="n">
        <x:f>'Inputs'!$D$51</x:f>
        <x:v>3</x:v>
      </x:c>
      <x:c r="AO2647" s="81" t="n">
        <x:f>'Inputs'!$E$51</x:f>
        <x:v>0.1</x:v>
      </x:c>
    </x:row>
    <x:row r="2648">
      <x:c r="A2648" s="59" t="str">
        <x:v>High demand</x:v>
      </x:c>
      <x:c r="B2648" s="59" t="n">
        <x:v>90</x:v>
      </x:c>
      <x:c r="C2648" s="78" t="n">
        <x:f>(('Inputs'!$B$29*(3*90*'Inputs'!$B$12-90^2)/(2*'Inputs'!$B$12^2))-('Inputs'!$B$29*(3*89*'Inputs'!$B$12-89^2)/(2*'Inputs'!$B$12^2)))*'Inputs'!$B$51</x:f>
        <x:v>682889.1443047523</x:v>
      </x:c>
      <x:c r="D2648" s="78" t="n">
        <x:f>IF('Inputs'!$C$51&gt;0,('Inputs'!$B$30*(3*90*'Inputs'!$B$12-90^2)/(2*'Inputs'!$B$12^2))-('Inputs'!$B$30*(3*89*'Inputs'!$B$12-89^2)/(2*'Inputs'!$B$12^2)),0)</x:f>
        <x:v>292666.7761306055</x:v>
      </x:c>
      <x:c r="E2648" s="78" t="n">
        <x:f>C2648+D2648</x:f>
        <x:v>975555.9204353578</x:v>
      </x:c>
      <x:c r="F2648" s="78" t="n">
        <x:f>'Inputs'!$B$13*E2648+(1-'Inputs'!$B$13)/'Inputs'!$B$14*SUM(E2593:E2648)</x:f>
        <x:v>985773.5972978052</x:v>
      </x:c>
      <x:c r="G2648" s="78" t="n">
        <x:f>F2648*'Inputs'!$F$51</x:f>
        <x:v>246443.3993244513</x:v>
      </x:c>
      <x:c r="H2648" s="78" t="n">
        <x:f>U2647</x:f>
        <x:v>604538.8019592303</x:v>
      </x:c>
      <x:c r="I2648" s="78" t="n">
        <x:f>V2647</x:f>
        <x:v>159420.7389060135</x:v>
      </x:c>
      <x:c r="J2648" s="79" t="n">
        <x:f>IF(H2648&gt;0,I2648/H2648,0)</x:f>
        <x:v>0.26370637978795064</x:v>
      </x:c>
      <x:c r="K2648" s="80" t="n">
        <x:f>(H2648*J2648+I2648)*'Inputs'!$D$51*(1+'Inputs'!$G$51)^(B2648/30)</x:f>
        <x:v>1107296.5972564432</x:v>
      </x:c>
      <x:c r="L2648" s="80" t="n">
        <x:f>MAX(0,K2648*'Inputs'!$E$51)</x:f>
        <x:v>110729.65972564433</x:v>
      </x:c>
      <x:c r="M2648" s="80" t="n">
        <x:f>MAX(0,-K2648*'Inputs'!$E$51)</x:f>
        <x:v>0</x:v>
      </x:c>
      <x:c r="N2648" s="78" t="n">
        <x:f>H2648*(L2648*(1-'Inputs'!$B$15))/(I2648+L2648*(1-'Inputs'!$B$15))</x:f>
        <x:v>246321.02281180784</x:v>
      </x:c>
      <x:c r="O2648" s="78" t="n">
        <x:f>H2648-N2648</x:f>
        <x:v>358217.7791474225</x:v>
      </x:c>
      <x:c r="P2648" s="78" t="n">
        <x:f>I2648+L2648*(1-'Inputs'!$B$17)</x:f>
        <x:v>269704.8064396029</x:v>
      </x:c>
      <x:c r="Q2648" s="78" t="n">
        <x:f>IF(J2648&gt;0,M2648/J2648,0)</x:f>
        <x:v>0</x:v>
      </x:c>
      <x:c r="R2648" s="78" t="n">
        <x:f>IF(B2648='Inputs'!$H$51,'Inputs'!$B$27*'Inputs'!$I$51,0)</x:f>
        <x:v>0</x:v>
      </x:c>
      <x:c r="S2648" s="78" t="n">
        <x:f>Q2648+G2648+R2648</x:f>
        <x:v>246443.3993244513</x:v>
      </x:c>
      <x:c r="T2648" s="78" t="n">
        <x:f>P2648*(S2648*(1-'Inputs'!$B$15))/(O2648+S2648*(1-'Inputs'!$B$15))</x:f>
        <x:v>109270.433995717</x:v>
      </x:c>
      <x:c r="U2648" s="78" t="n">
        <x:f>O2648+S2648*(1-'Inputs'!$B$17)</x:f>
        <x:v>603669.4545309304</x:v>
      </x:c>
      <x:c r="V2648" s="78" t="n">
        <x:f>P2648-T2648</x:f>
        <x:v>160434.37244388592</x:v>
      </x:c>
      <x:c r="W2648" s="79" t="n">
        <x:f>IF(U2648&gt;0,V2648/U2648,0)</x:f>
        <x:v>0.26576526481458024</x:v>
      </x:c>
      <x:c r="X2648" s="80" t="n">
        <x:f>W2648*('Inputs'!$B$6-AC2648)</x:f>
        <x:v>265549548.1944893</x:v>
      </x:c>
      <x:c r="Y2648" s="80" t="n">
        <x:f>2*V2648</x:f>
        <x:v>320868.74488777184</x:v>
      </x:c>
      <x:c r="Z2648" s="80" t="n">
        <x:f>K2648*'Inputs'!$B$16+(G2648+R2648)*J2648*'Inputs'!$B$16</x:f>
        <x:v>7033.711763489584</x:v>
      </x:c>
      <x:c r="AA2648" s="80" t="n">
        <x:f>K2648*(1+'Inputs'!$E$51)/2*'Inputs'!$B$17</x:f>
        <x:v>2450.757056301987</x:v>
      </x:c>
      <x:c r="AB2648" s="78" t="n">
        <x:f>(IF(J2648&gt;0,K2648*(1-'Inputs'!$E$51)/2/J2648,0)+G2648+R2648)*'Inputs'!$B$17</x:f>
        <x:v>8595.50230178349</x:v>
      </x:c>
      <x:c r="AC2648" s="78" t="n">
        <x:f>AC2647+AB2648</x:f>
        <x:v>811681.0157318058</x:v>
      </x:c>
      <x:c r="AD2648" s="80" t="n">
        <x:f>Z2648/(1+'Inputs'!$C$51)</x:f>
        <x:v>2344.5705878298613</x:v>
      </x:c>
      <x:c r="AE2648" s="80" t="n">
        <x:f>Z2648-AD2648</x:f>
        <x:v>4689.141175659723</x:v>
      </x:c>
      <x:c r="AF2648" s="80" t="n">
        <x:f>D2648*W2648</x:f>
        <x:v>77780.66326077984</x:v>
      </x:c>
      <x:c r="AG2648" s="80" t="n">
        <x:f>C2648*W2648</x:f>
        <x:v>181488.2142751546</x:v>
      </x:c>
      <x:c r="AH2648" s="80" t="n">
        <x:f>2*'Inputs'!$B$8*'Inputs'!$C$51</x:f>
        <x:v>10000</x:v>
      </x:c>
      <x:c r="AI2648" s="81" t="n">
        <x:f>IF(AH2648&gt;0,(AE2648+AF2648)/AH2648*365,0)</x:f>
        <x:v>3010.1478619300437</x:v>
      </x:c>
      <x:c r="AJ2648" s="81" t="n">
        <x:f>IF('Inputs'!$B$51&gt;0,AG2648/('Inputs'!$B$19*'Inputs'!$B$51)*365,0)</x:f>
        <x:v>6624.319821043144</x:v>
      </x:c>
      <x:c r="AK2648" s="81" t="n">
        <x:f>W2648/MAX($W$2559:W2648)-1</x:f>
        <x:v>-0.7303682089956491</x:v>
      </x:c>
      <x:c r="AL2648" s="83" t="n">
        <x:f>'Inputs'!$B$51</x:f>
        <x:v>1</x:v>
      </x:c>
      <x:c r="AM2648" s="83" t="n">
        <x:f>'Inputs'!$C$51</x:f>
        <x:v>2</x:v>
      </x:c>
      <x:c r="AN2648" s="83" t="n">
        <x:f>'Inputs'!$D$51</x:f>
        <x:v>3</x:v>
      </x:c>
      <x:c r="AO2648" s="81" t="n">
        <x:f>'Inputs'!$E$51</x:f>
        <x:v>0.1</x:v>
      </x:c>
    </x:row>
    <x:row r="2649">
      <x:c r="A2649" s="59" t="str">
        <x:v>High demand</x:v>
      </x:c>
      <x:c r="B2649" s="59" t="n">
        <x:v>91</x:v>
      </x:c>
      <x:c r="C2649" s="78" t="n">
        <x:f>(('Inputs'!$B$29*(3*91*'Inputs'!$B$12-91^2)/(2*'Inputs'!$B$12^2))-('Inputs'!$B$29*(3*90*'Inputs'!$B$12-90^2)/(2*'Inputs'!$B$12^2)))*'Inputs'!$B$51</x:f>
        <x:v>682564.0364045799</x:v>
      </x:c>
      <x:c r="D2649" s="78" t="n">
        <x:f>IF('Inputs'!$C$51&gt;0,('Inputs'!$B$30*(3*91*'Inputs'!$B$12-91^2)/(2*'Inputs'!$B$12^2))-('Inputs'!$B$30*(3*90*'Inputs'!$B$12-90^2)/(2*'Inputs'!$B$12^2)),0)</x:f>
        <x:v>292527.4441733919</x:v>
      </x:c>
      <x:c r="E2649" s="78" t="n">
        <x:f>C2649+D2649</x:f>
        <x:v>975091.4805779718</x:v>
      </x:c>
      <x:c r="F2649" s="78" t="n">
        <x:f>'Inputs'!$B$13*E2649+(1-'Inputs'!$B$13)/'Inputs'!$B$14*SUM(E2594:E2649)</x:f>
        <x:v>985309.1574404209</x:v>
      </x:c>
      <x:c r="G2649" s="78" t="n">
        <x:f>F2649*'Inputs'!$F$51</x:f>
        <x:v>246327.28936010523</x:v>
      </x:c>
      <x:c r="H2649" s="78" t="n">
        <x:f>U2648</x:f>
        <x:v>603669.4545309304</x:v>
      </x:c>
      <x:c r="I2649" s="78" t="n">
        <x:f>V2648</x:f>
        <x:v>160434.37244388592</x:v>
      </x:c>
      <x:c r="J2649" s="79" t="n">
        <x:f>IF(H2649&gt;0,I2649/H2649,0)</x:f>
        <x:v>0.26576526481458024</x:v>
      </x:c>
      <x:c r="K2649" s="80" t="n">
        <x:f>(H2649*J2649+I2649)*'Inputs'!$D$51*(1+'Inputs'!$G$51)^(B2649/30)</x:f>
        <x:v>1116150.8064744172</x:v>
      </x:c>
      <x:c r="L2649" s="80" t="n">
        <x:f>MAX(0,K2649*'Inputs'!$E$51)</x:f>
        <x:v>111615.08064744173</x:v>
      </x:c>
      <x:c r="M2649" s="80" t="n">
        <x:f>MAX(0,-K2649*'Inputs'!$E$51)</x:f>
        <x:v>0</x:v>
      </x:c>
      <x:c r="N2649" s="78" t="n">
        <x:f>H2649*(L2649*(1-'Inputs'!$B$15))/(I2649+L2649*(1-'Inputs'!$B$15))</x:f>
        <x:v>246203.87431448468</x:v>
      </x:c>
      <x:c r="O2649" s="78" t="n">
        <x:f>H2649-N2649</x:f>
        <x:v>357465.5802164457</x:v>
      </x:c>
      <x:c r="P2649" s="78" t="n">
        <x:f>I2649+L2649*(1-'Inputs'!$B$17)</x:f>
        <x:v>271600.2978372132</x:v>
      </x:c>
      <x:c r="Q2649" s="78" t="n">
        <x:f>IF(J2649&gt;0,M2649/J2649,0)</x:f>
        <x:v>0</x:v>
      </x:c>
      <x:c r="R2649" s="78" t="n">
        <x:f>IF(B2649='Inputs'!$H$51,'Inputs'!$B$27*'Inputs'!$I$51,0)</x:f>
        <x:v>0</x:v>
      </x:c>
      <x:c r="S2649" s="78" t="n">
        <x:f>Q2649+G2649+R2649</x:f>
        <x:v>246327.28936010523</x:v>
      </x:c>
      <x:c r="T2649" s="78" t="n">
        <x:f>P2649*(S2649*(1-'Inputs'!$B$15))/(O2649+S2649*(1-'Inputs'!$B$15))</x:f>
        <x:v>110145.1514600954</x:v>
      </x:c>
      <x:c r="U2649" s="78" t="n">
        <x:f>O2649+S2649*(1-'Inputs'!$B$17)</x:f>
        <x:v>602801.6128789248</x:v>
      </x:c>
      <x:c r="V2649" s="78" t="n">
        <x:f>P2649-T2649</x:f>
        <x:v>161455.1463771178</x:v>
      </x:c>
      <x:c r="W2649" s="79" t="n">
        <x:f>IF(U2649&gt;0,V2649/U2649,0)</x:f>
        <x:v>0.2678412647338864</x:v>
      </x:c>
      <x:c r="X2649" s="80" t="n">
        <x:f>W2649*('Inputs'!$B$6-AC2649)</x:f>
        <x:v>267621560.57758155</x:v>
      </x:c>
      <x:c r="Y2649" s="80" t="n">
        <x:f>2*V2649</x:f>
        <x:v>322910.2927542356</x:v>
      </x:c>
      <x:c r="Z2649" s="80" t="n">
        <x:f>K2649*'Inputs'!$B$16+(G2649+R2649)*J2649*'Inputs'!$B$16</x:f>
        <x:v>7089.6962625735805</x:v>
      </x:c>
      <x:c r="AA2649" s="80" t="n">
        <x:f>K2649*(1+'Inputs'!$E$51)/2*'Inputs'!$B$17</x:f>
        <x:v>2470.3538976294953</x:v>
      </x:c>
      <x:c r="AB2649" s="78" t="n">
        <x:f>(IF(J2649&gt;0,K2649*(1-'Inputs'!$E$51)/2/J2649,0)+G2649+R2649)*'Inputs'!$B$17</x:f>
        <x:v>8596.459149215163</x:v>
      </x:c>
      <x:c r="AC2649" s="78" t="n">
        <x:f>AC2648+AB2649</x:f>
        <x:v>820277.474881021</x:v>
      </x:c>
      <x:c r="AD2649" s="80" t="n">
        <x:f>Z2649/(1+'Inputs'!$C$51)</x:f>
        <x:v>2363.232087524527</x:v>
      </x:c>
      <x:c r="AE2649" s="80" t="n">
        <x:f>Z2649-AD2649</x:f>
        <x:v>4726.464175049054</x:v>
      </x:c>
      <x:c r="AF2649" s="80" t="n">
        <x:f>D2649*W2649</x:f>
        <x:v>78350.92061677264</x:v>
      </x:c>
      <x:c r="AG2649" s="80" t="n">
        <x:f>C2649*W2649</x:f>
        <x:v>182818.81477246917</x:v>
      </x:c>
      <x:c r="AH2649" s="80" t="n">
        <x:f>2*'Inputs'!$B$8*'Inputs'!$C$51</x:f>
        <x:v>10000</x:v>
      </x:c>
      <x:c r="AI2649" s="81" t="n">
        <x:f>IF(AH2649&gt;0,(AE2649+AF2649)/AH2649*365,0)</x:f>
        <x:v>3032.324544901492</x:v>
      </x:c>
      <x:c r="AJ2649" s="81" t="n">
        <x:f>IF('Inputs'!$B$51&gt;0,AG2649/('Inputs'!$B$19*'Inputs'!$B$51)*365,0)</x:f>
        <x:v>6672.886739195124</x:v>
      </x:c>
      <x:c r="AK2649" s="81" t="n">
        <x:f>W2649/MAX($W$2559:W2649)-1</x:f>
        <x:v>-0.7282620060772281</x:v>
      </x:c>
      <x:c r="AL2649" s="83" t="n">
        <x:f>'Inputs'!$B$51</x:f>
        <x:v>1</x:v>
      </x:c>
      <x:c r="AM2649" s="83" t="n">
        <x:f>'Inputs'!$C$51</x:f>
        <x:v>2</x:v>
      </x:c>
      <x:c r="AN2649" s="83" t="n">
        <x:f>'Inputs'!$D$51</x:f>
        <x:v>3</x:v>
      </x:c>
      <x:c r="AO2649" s="81" t="n">
        <x:f>'Inputs'!$E$51</x:f>
        <x:v>0.1</x:v>
      </x:c>
    </x:row>
    <x:row r="2650">
      <x:c r="A2650" s="59" t="str">
        <x:v>High demand</x:v>
      </x:c>
      <x:c r="B2650" s="59" t="n">
        <x:v>92</x:v>
      </x:c>
      <x:c r="C2650" s="78" t="n">
        <x:f>(('Inputs'!$B$29*(3*92*'Inputs'!$B$12-92^2)/(2*'Inputs'!$B$12^2))-('Inputs'!$B$29*(3*91*'Inputs'!$B$12-91^2)/(2*'Inputs'!$B$12^2)))*'Inputs'!$B$51</x:f>
        <x:v>682238.9285044074</x:v>
      </x:c>
      <x:c r="D2650" s="78" t="n">
        <x:f>IF('Inputs'!$C$51&gt;0,('Inputs'!$B$30*(3*92*'Inputs'!$B$12-92^2)/(2*'Inputs'!$B$12^2))-('Inputs'!$B$30*(3*91*'Inputs'!$B$12-91^2)/(2*'Inputs'!$B$12^2)),0)</x:f>
        <x:v>292388.1122161746</x:v>
      </x:c>
      <x:c r="E2650" s="78" t="n">
        <x:f>C2650+D2650</x:f>
        <x:v>974627.040720582</x:v>
      </x:c>
      <x:c r="F2650" s="78" t="n">
        <x:f>'Inputs'!$B$13*E2650+(1-'Inputs'!$B$13)/'Inputs'!$B$14*SUM(E2595:E2650)</x:f>
        <x:v>984844.7175830356</x:v>
      </x:c>
      <x:c r="G2650" s="78" t="n">
        <x:f>F2650*'Inputs'!$F$51</x:f>
        <x:v>246211.1793957589</x:v>
      </x:c>
      <x:c r="H2650" s="78" t="n">
        <x:f>U2649</x:f>
        <x:v>602801.6128789248</x:v>
      </x:c>
      <x:c r="I2650" s="78" t="n">
        <x:f>V2649</x:f>
        <x:v>161455.1463771178</x:v>
      </x:c>
      <x:c r="J2650" s="79" t="n">
        <x:f>IF(H2650&gt;0,I2650/H2650,0)</x:f>
        <x:v>0.2678412647338864</x:v>
      </x:c>
      <x:c r="K2650" s="80" t="n">
        <x:f>(H2650*J2650+I2650)*'Inputs'!$D$51*(1+'Inputs'!$G$51)^(B2650/30)</x:f>
        <x:v>1125080.6624511867</x:v>
      </x:c>
      <x:c r="L2650" s="80" t="n">
        <x:f>MAX(0,K2650*'Inputs'!$E$51)</x:f>
        <x:v>112508.06624511868</x:v>
      </x:c>
      <x:c r="M2650" s="80" t="n">
        <x:f>MAX(0,-K2650*'Inputs'!$E$51)</x:f>
        <x:v>0</x:v>
      </x:c>
      <x:c r="N2650" s="78" t="n">
        <x:f>H2650*(L2650*(1-'Inputs'!$B$15))/(I2650+L2650*(1-'Inputs'!$B$15))</x:f>
        <x:v>246086.72869230132</x:v>
      </x:c>
      <x:c r="O2650" s="78" t="n">
        <x:f>H2650-N2650</x:f>
        <x:v>356714.8841866235</x:v>
      </x:c>
      <x:c r="P2650" s="78" t="n">
        <x:f>I2650+L2650*(1-'Inputs'!$B$17)</x:f>
        <x:v>273510.4638647109</x:v>
      </x:c>
      <x:c r="Q2650" s="78" t="n">
        <x:f>IF(J2650&gt;0,M2650/J2650,0)</x:f>
        <x:v>0</x:v>
      </x:c>
      <x:c r="R2650" s="78" t="n">
        <x:f>IF(B2650='Inputs'!$H$51,'Inputs'!$B$27*'Inputs'!$I$51,0)</x:f>
        <x:v>0</x:v>
      </x:c>
      <x:c r="S2650" s="78" t="n">
        <x:f>Q2650+G2650+R2650</x:f>
        <x:v>246211.1793957589</x:v>
      </x:c>
      <x:c r="T2650" s="78" t="n">
        <x:f>P2650*(S2650*(1-'Inputs'!$B$15))/(O2650+S2650*(1-'Inputs'!$B$15))</x:f>
        <x:v>111027.3486822904</x:v>
      </x:c>
      <x:c r="U2650" s="78" t="n">
        <x:f>O2650+S2650*(1-'Inputs'!$B$17)</x:f>
        <x:v>601935.2741280735</x:v>
      </x:c>
      <x:c r="V2650" s="78" t="n">
        <x:f>P2650-T2650</x:f>
        <x:v>162483.11518242047</x:v>
      </x:c>
      <x:c r="W2650" s="79" t="n">
        <x:f>IF(U2650&gt;0,V2650/U2650,0)</x:f>
        <x:v>0.269934529784425</x:v>
      </x:c>
      <x:c r="X2650" s="80" t="n">
        <x:f>W2650*('Inputs'!$B$6-AC2650)</x:f>
        <x:v>269710787.8295631</x:v>
      </x:c>
      <x:c r="Y2650" s="80" t="n">
        <x:f>2*V2650</x:f>
        <x:v>324966.23036484094</x:v>
      </x:c>
      <x:c r="Z2650" s="80" t="n">
        <x:f>K2650*'Inputs'!$B$16+(G2650+R2650)*J2650*'Inputs'!$B$16</x:f>
        <x:v>7146.157056793011</x:v>
      </x:c>
      <x:c r="AA2650" s="80" t="n">
        <x:f>K2650*(1+'Inputs'!$E$51)/2*'Inputs'!$B$17</x:f>
        <x:v>2490.118166390957</x:v>
      </x:c>
      <x:c r="AB2650" s="78" t="n">
        <x:f>(IF(J2650&gt;0,K2650*(1-'Inputs'!$E$51)/2/J2650,0)+G2650+R2650)*'Inputs'!$B$17</x:f>
        <x:v>8597.419489040676</x:v>
      </x:c>
      <x:c r="AC2650" s="78" t="n">
        <x:f>AC2649+AB2650</x:f>
        <x:v>828874.8943700616</x:v>
      </x:c>
      <x:c r="AD2650" s="80" t="n">
        <x:f>Z2650/(1+'Inputs'!$C$51)</x:f>
        <x:v>2382.052352264337</x:v>
      </x:c>
      <x:c r="AE2650" s="80" t="n">
        <x:f>Z2650-AD2650</x:f>
        <x:v>4764.104704528674</x:v>
      </x:c>
      <x:c r="AF2650" s="80" t="n">
        <x:f>D2650*W2650</x:f>
        <x:v>78925.64758562879</x:v>
      </x:c>
      <x:c r="AG2650" s="80" t="n">
        <x:f>C2650*W2650</x:f>
        <x:v>184159.84436646715</x:v>
      </x:c>
      <x:c r="AH2650" s="80" t="n">
        <x:f>2*'Inputs'!$B$8*'Inputs'!$C$51</x:f>
        <x:v>10000</x:v>
      </x:c>
      <x:c r="AI2650" s="81" t="n">
        <x:f>IF(AH2650&gt;0,(AE2650+AF2650)/AH2650*365,0)</x:f>
        <x:v>3054.675958590747</x:v>
      </x:c>
      <x:c r="AJ2650" s="81" t="n">
        <x:f>IF('Inputs'!$B$51&gt;0,AG2650/('Inputs'!$B$19*'Inputs'!$B$51)*365,0)</x:f>
        <x:v>6721.83431937605</x:v>
      </x:c>
      <x:c r="AK2650" s="81" t="n">
        <x:f>W2650/MAX($W$2559:W2650)-1</x:f>
        <x:v>-0.7261382868431991</x:v>
      </x:c>
      <x:c r="AL2650" s="83" t="n">
        <x:f>'Inputs'!$B$51</x:f>
        <x:v>1</x:v>
      </x:c>
      <x:c r="AM2650" s="83" t="n">
        <x:f>'Inputs'!$C$51</x:f>
        <x:v>2</x:v>
      </x:c>
      <x:c r="AN2650" s="83" t="n">
        <x:f>'Inputs'!$D$51</x:f>
        <x:v>3</x:v>
      </x:c>
      <x:c r="AO2650" s="81" t="n">
        <x:f>'Inputs'!$E$51</x:f>
        <x:v>0.1</x:v>
      </x:c>
    </x:row>
    <x:row r="2651">
      <x:c r="A2651" s="59" t="str">
        <x:v>High demand</x:v>
      </x:c>
      <x:c r="B2651" s="59" t="n">
        <x:v>93</x:v>
      </x:c>
      <x:c r="C2651" s="78" t="n">
        <x:f>(('Inputs'!$B$29*(3*93*'Inputs'!$B$12-93^2)/(2*'Inputs'!$B$12^2))-('Inputs'!$B$29*(3*92*'Inputs'!$B$12-92^2)/(2*'Inputs'!$B$12^2)))*'Inputs'!$B$51</x:f>
        <x:v>681913.8206042424</x:v>
      </x:c>
      <x:c r="D2651" s="78" t="n">
        <x:f>IF('Inputs'!$C$51&gt;0,('Inputs'!$B$30*(3*93*'Inputs'!$B$12-93^2)/(2*'Inputs'!$B$12^2))-('Inputs'!$B$30*(3*92*'Inputs'!$B$12-92^2)/(2*'Inputs'!$B$12^2)),0)</x:f>
        <x:v>292248.780258961</x:v>
      </x:c>
      <x:c r="E2651" s="78" t="n">
        <x:f>C2651+D2651</x:f>
        <x:v>974162.6008632034</x:v>
      </x:c>
      <x:c r="F2651" s="78" t="n">
        <x:f>'Inputs'!$B$13*E2651+(1-'Inputs'!$B$13)/'Inputs'!$B$14*SUM(E2596:E2651)</x:f>
        <x:v>984380.2777256526</x:v>
      </x:c>
      <x:c r="G2651" s="78" t="n">
        <x:f>F2651*'Inputs'!$F$51</x:f>
        <x:v>246095.06943141314</x:v>
      </x:c>
      <x:c r="H2651" s="78" t="n">
        <x:f>U2650</x:f>
        <x:v>601935.2741280735</x:v>
      </x:c>
      <x:c r="I2651" s="78" t="n">
        <x:f>V2650</x:f>
        <x:v>162483.11518242047</x:v>
      </x:c>
      <x:c r="J2651" s="79" t="n">
        <x:f>IF(H2651&gt;0,I2651/H2651,0)</x:f>
        <x:v>0.269934529784425</x:v>
      </x:c>
      <x:c r="K2651" s="80" t="n">
        <x:f>(H2651*J2651+I2651)*'Inputs'!$D$51*(1+'Inputs'!$G$51)^(B2651/30)</x:f>
        <x:v>1134086.849203959</x:v>
      </x:c>
      <x:c r="L2651" s="80" t="n">
        <x:f>MAX(0,K2651*'Inputs'!$E$51)</x:f>
        <x:v>113408.68492039591</x:v>
      </x:c>
      <x:c r="M2651" s="80" t="n">
        <x:f>MAX(0,-K2651*'Inputs'!$E$51)</x:f>
        <x:v>0</x:v>
      </x:c>
      <x:c r="N2651" s="78" t="n">
        <x:f>H2651*(L2651*(1-'Inputs'!$B$15))/(I2651+L2651*(1-'Inputs'!$B$15))</x:f>
        <x:v>245969.58595743318</x:v>
      </x:c>
      <x:c r="O2651" s="78" t="n">
        <x:f>H2651-N2651</x:f>
        <x:v>355965.68817064026</x:v>
      </x:c>
      <x:c r="P2651" s="78" t="n">
        <x:f>I2651+L2651*(1-'Inputs'!$B$17)</x:f>
        <x:v>275435.42712526955</x:v>
      </x:c>
      <x:c r="Q2651" s="78" t="n">
        <x:f>IF(J2651&gt;0,M2651/J2651,0)</x:f>
        <x:v>0</x:v>
      </x:c>
      <x:c r="R2651" s="78" t="n">
        <x:f>IF(B2651='Inputs'!$H$51,'Inputs'!$B$27*'Inputs'!$I$51,0)</x:f>
        <x:v>0</x:v>
      </x:c>
      <x:c r="S2651" s="78" t="n">
        <x:f>Q2651+G2651+R2651</x:f>
        <x:v>246095.06943141314</x:v>
      </x:c>
      <x:c r="T2651" s="78" t="n">
        <x:f>P2651*(S2651*(1-'Inputs'!$B$15))/(O2651+S2651*(1-'Inputs'!$B$15))</x:f>
        <x:v>111917.09334050378</x:v>
      </x:c>
      <x:c r="U2651" s="78" t="n">
        <x:f>O2651+S2651*(1-'Inputs'!$B$17)</x:f>
        <x:v>601070.4353910618</x:v>
      </x:c>
      <x:c r="V2651" s="78" t="n">
        <x:f>P2651-T2651</x:f>
        <x:v>163518.33378476577</x:v>
      </x:c>
      <x:c r="W2651" s="79" t="n">
        <x:f>IF(U2651&gt;0,V2651/U2651,0)</x:f>
        <x:v>0.2720452116038269</x:v>
      </x:c>
      <x:c r="X2651" s="80" t="n">
        <x:f>W2651*('Inputs'!$B$6-AC2651)</x:f>
        <x:v>271817381.00878423</x:v>
      </x:c>
      <x:c r="Y2651" s="80" t="n">
        <x:f>2*V2651</x:f>
        <x:v>327036.66756953154</x:v>
      </x:c>
      <x:c r="Z2651" s="80" t="n">
        <x:f>K2651*'Inputs'!$B$16+(G2651+R2651)*J2651*'Inputs'!$B$16</x:f>
        <x:v>7203.098436319158</x:v>
      </x:c>
      <x:c r="AA2651" s="80" t="n">
        <x:f>K2651*(1+'Inputs'!$E$51)/2*'Inputs'!$B$17</x:f>
        <x:v>2510.0513765077567</x:v>
      </x:c>
      <x:c r="AB2651" s="78" t="n">
        <x:f>(IF(J2651&gt;0,K2651*(1-'Inputs'!$E$51)/2/J2651,0)+G2651+R2651)*'Inputs'!$B$17</x:f>
        <x:v>8598.383323443573</x:v>
      </x:c>
      <x:c r="AC2651" s="78" t="n">
        <x:f>AC2650+AB2651</x:f>
        <x:v>837473.2776935052</x:v>
      </x:c>
      <x:c r="AD2651" s="80" t="n">
        <x:f>Z2651/(1+'Inputs'!$C$51)</x:f>
        <x:v>2401.0328121063862</x:v>
      </x:c>
      <x:c r="AE2651" s="80" t="n">
        <x:f>Z2651-AD2651</x:f>
        <x:v>4802.065624212772</x:v>
      </x:c>
      <x:c r="AF2651" s="80" t="n">
        <x:f>D2651*W2651</x:f>
        <x:v>79504.88126650936</x:v>
      </x:c>
      <x:c r="AG2651" s="80" t="n">
        <x:f>C2651*W2651</x:f>
        <x:v>185511.38962185517</x:v>
      </x:c>
      <x:c r="AH2651" s="80" t="n">
        <x:f>2*'Inputs'!$B$8*'Inputs'!$C$51</x:f>
        <x:v>10000</x:v>
      </x:c>
      <x:c r="AI2651" s="81" t="n">
        <x:f>IF(AH2651&gt;0,(AE2651+AF2651)/AH2651*365,0)</x:f>
        <x:v>3077.2035615113577</x:v>
      </x:c>
      <x:c r="AJ2651" s="81" t="n">
        <x:f>IF('Inputs'!$B$51&gt;0,AG2651/('Inputs'!$B$19*'Inputs'!$B$51)*365,0)</x:f>
        <x:v>6771.165721197713</x:v>
      </x:c>
      <x:c r="AK2651" s="81" t="n">
        <x:f>W2651/MAX($W$2559:W2651)-1</x:f>
        <x:v>-0.7239968974498083</x:v>
      </x:c>
      <x:c r="AL2651" s="83" t="n">
        <x:f>'Inputs'!$B$51</x:f>
        <x:v>1</x:v>
      </x:c>
      <x:c r="AM2651" s="83" t="n">
        <x:f>'Inputs'!$C$51</x:f>
        <x:v>2</x:v>
      </x:c>
      <x:c r="AN2651" s="83" t="n">
        <x:f>'Inputs'!$D$51</x:f>
        <x:v>3</x:v>
      </x:c>
      <x:c r="AO2651" s="81" t="n">
        <x:f>'Inputs'!$E$51</x:f>
        <x:v>0.1</x:v>
      </x:c>
    </x:row>
    <x:row r="2652">
      <x:c r="A2652" s="59" t="str">
        <x:v>High demand</x:v>
      </x:c>
      <x:c r="B2652" s="59" t="n">
        <x:v>94</x:v>
      </x:c>
      <x:c r="C2652" s="78" t="n">
        <x:f>(('Inputs'!$B$29*(3*94*'Inputs'!$B$12-94^2)/(2*'Inputs'!$B$12^2))-('Inputs'!$B$29*(3*93*'Inputs'!$B$12-93^2)/(2*'Inputs'!$B$12^2)))*'Inputs'!$B$51</x:f>
        <x:v>681588.7127040699</x:v>
      </x:c>
      <x:c r="D2652" s="78" t="n">
        <x:f>IF('Inputs'!$C$51&gt;0,('Inputs'!$B$30*(3*94*'Inputs'!$B$12-94^2)/(2*'Inputs'!$B$12^2))-('Inputs'!$B$30*(3*93*'Inputs'!$B$12-93^2)/(2*'Inputs'!$B$12^2)),0)</x:f>
        <x:v>292109.44830174744</x:v>
      </x:c>
      <x:c r="E2652" s="78" t="n">
        <x:f>C2652+D2652</x:f>
        <x:v>973698.1610058174</x:v>
      </x:c>
      <x:c r="F2652" s="78" t="n">
        <x:f>'Inputs'!$B$13*E2652+(1-'Inputs'!$B$13)/'Inputs'!$B$14*SUM(E2597:E2652)</x:f>
        <x:v>983915.8378682681</x:v>
      </x:c>
      <x:c r="G2652" s="78" t="n">
        <x:f>F2652*'Inputs'!$F$51</x:f>
        <x:v>245978.95946706703</x:v>
      </x:c>
      <x:c r="H2652" s="78" t="n">
        <x:f>U2651</x:f>
        <x:v>601070.4353910618</x:v>
      </x:c>
      <x:c r="I2652" s="78" t="n">
        <x:f>V2651</x:f>
        <x:v>163518.33378476577</x:v>
      </x:c>
      <x:c r="J2652" s="79" t="n">
        <x:f>IF(H2652&gt;0,I2652/H2652,0)</x:f>
        <x:v>0.2720452116038269</x:v>
      </x:c>
      <x:c r="K2652" s="80" t="n">
        <x:f>(H2652*J2652+I2652)*'Inputs'!$D$51*(1+'Inputs'!$G$51)^(B2652/30)</x:f>
        <x:v>1143170.0572796552</x:v>
      </x:c>
      <x:c r="L2652" s="80" t="n">
        <x:f>MAX(0,K2652*'Inputs'!$E$51)</x:f>
        <x:v>114317.00572796553</x:v>
      </x:c>
      <x:c r="M2652" s="80" t="n">
        <x:f>MAX(0,-K2652*'Inputs'!$E$51)</x:f>
        <x:v>0</x:v>
      </x:c>
      <x:c r="N2652" s="78" t="n">
        <x:f>H2652*(L2652*(1-'Inputs'!$B$15))/(I2652+L2652*(1-'Inputs'!$B$15))</x:f>
        <x:v>245852.4461148799</x:v>
      </x:c>
      <x:c r="O2652" s="78" t="n">
        <x:f>H2652-N2652</x:f>
        <x:v>355217.9892761819</x:v>
      </x:c>
      <x:c r="P2652" s="78" t="n">
        <x:f>I2652+L2652*(1-'Inputs'!$B$17)</x:f>
        <x:v>277375.31132066704</x:v>
      </x:c>
      <x:c r="Q2652" s="78" t="n">
        <x:f>IF(J2652&gt;0,M2652/J2652,0)</x:f>
        <x:v>0</x:v>
      </x:c>
      <x:c r="R2652" s="78" t="n">
        <x:f>IF(B2652='Inputs'!$H$51,'Inputs'!$B$27*'Inputs'!$I$51,0)</x:f>
        <x:v>0</x:v>
      </x:c>
      <x:c r="S2652" s="78" t="n">
        <x:f>Q2652+G2652+R2652</x:f>
        <x:v>245978.95946706703</x:v>
      </x:c>
      <x:c r="T2652" s="78" t="n">
        <x:f>P2652*(S2652*(1-'Inputs'!$B$15))/(O2652+S2652*(1-'Inputs'!$B$15))</x:f>
        <x:v>112814.45376124477</x:v>
      </x:c>
      <x:c r="U2652" s="78" t="n">
        <x:f>O2652+S2652*(1-'Inputs'!$B$17)</x:f>
        <x:v>600207.0937755746</x:v>
      </x:c>
      <x:c r="V2652" s="78" t="n">
        <x:f>P2652-T2652</x:f>
        <x:v>164560.85755942226</x:v>
      </x:c>
      <x:c r="W2652" s="79" t="n">
        <x:f>IF(U2652&gt;0,V2652/U2652,0)</x:f>
        <x:v>0.27417346323626385</x:v>
      </x:c>
      <x:c r="X2652" s="80" t="n">
        <x:f>W2652*('Inputs'!$B$6-AC2652)</x:f>
        <x:v>273941492.5736003</x:v>
      </x:c>
      <x:c r="Y2652" s="80" t="n">
        <x:f>2*V2652</x:f>
        <x:v>329121.7151188445</x:v>
      </x:c>
      <x:c r="Z2652" s="80" t="n">
        <x:f>K2652*'Inputs'!$B$16+(G2652+R2652)*J2652*'Inputs'!$B$16</x:f>
        <x:v>7260.524732147776</x:v>
      </x:c>
      <x:c r="AA2652" s="80" t="n">
        <x:f>K2652*(1+'Inputs'!$E$51)/2*'Inputs'!$B$17</x:f>
        <x:v>2530.155056353362</x:v>
      </x:c>
      <x:c r="AB2652" s="78" t="n">
        <x:f>(IF(J2652&gt;0,K2652*(1-'Inputs'!$E$51)/2/J2652,0)+G2652+R2652)*'Inputs'!$B$17</x:f>
        <x:v>8599.350654383154</x:v>
      </x:c>
      <x:c r="AC2652" s="78" t="n">
        <x:f>AC2651+AB2652</x:f>
        <x:v>846072.6283478884</x:v>
      </x:c>
      <x:c r="AD2652" s="80" t="n">
        <x:f>Z2652/(1+'Inputs'!$C$51)</x:f>
        <x:v>2420.1749107159253</x:v>
      </x:c>
      <x:c r="AE2652" s="80" t="n">
        <x:f>Z2652-AD2652</x:f>
        <x:v>4840.3498214318515</x:v>
      </x:c>
      <x:c r="AF2652" s="80" t="n">
        <x:f>D2652*W2652</x:f>
        <x:v>80088.65908492447</x:v>
      </x:c>
      <x:c r="AG2652" s="80" t="n">
        <x:f>C2652*W2652</x:f>
        <x:v>186873.5378648217</x:v>
      </x:c>
      <x:c r="AH2652" s="80" t="n">
        <x:f>2*'Inputs'!$B$8*'Inputs'!$C$51</x:f>
        <x:v>10000</x:v>
      </x:c>
      <x:c r="AI2652" s="81" t="n">
        <x:f>IF(AH2652&gt;0,(AE2652+AF2652)/AH2652*365,0)</x:f>
        <x:v>3099.9088250820055</x:v>
      </x:c>
      <x:c r="AJ2652" s="81" t="n">
        <x:f>IF('Inputs'!$B$51&gt;0,AG2652/('Inputs'!$B$19*'Inputs'!$B$51)*365,0)</x:f>
        <x:v>6820.884132065992</x:v>
      </x:c>
      <x:c r="AK2652" s="81" t="n">
        <x:f>W2652/MAX($W$2559:W2652)-1</x:f>
        <x:v>-0.7218376826262975</x:v>
      </x:c>
      <x:c r="AL2652" s="83" t="n">
        <x:f>'Inputs'!$B$51</x:f>
        <x:v>1</x:v>
      </x:c>
      <x:c r="AM2652" s="83" t="n">
        <x:f>'Inputs'!$C$51</x:f>
        <x:v>2</x:v>
      </x:c>
      <x:c r="AN2652" s="83" t="n">
        <x:f>'Inputs'!$D$51</x:f>
        <x:v>3</x:v>
      </x:c>
      <x:c r="AO2652" s="81" t="n">
        <x:f>'Inputs'!$E$51</x:f>
        <x:v>0.1</x:v>
      </x:c>
    </x:row>
    <x:row r="2653">
      <x:c r="A2653" s="59" t="str">
        <x:v>High demand</x:v>
      </x:c>
      <x:c r="B2653" s="59" t="n">
        <x:v>95</x:v>
      </x:c>
      <x:c r="C2653" s="78" t="n">
        <x:f>(('Inputs'!$B$29*(3*95*'Inputs'!$B$12-95^2)/(2*'Inputs'!$B$12^2))-('Inputs'!$B$29*(3*94*'Inputs'!$B$12-94^2)/(2*'Inputs'!$B$12^2)))*'Inputs'!$B$51</x:f>
        <x:v>681263.6048039049</x:v>
      </x:c>
      <x:c r="D2653" s="78" t="n">
        <x:f>IF('Inputs'!$C$51&gt;0,('Inputs'!$B$30*(3*95*'Inputs'!$B$12-95^2)/(2*'Inputs'!$B$12^2))-('Inputs'!$B$30*(3*94*'Inputs'!$B$12-94^2)/(2*'Inputs'!$B$12^2)),0)</x:f>
        <x:v>291970.11634453014</x:v>
      </x:c>
      <x:c r="E2653" s="78" t="n">
        <x:f>C2653+D2653</x:f>
        <x:v>973233.721148435</x:v>
      </x:c>
      <x:c r="F2653" s="78" t="n">
        <x:f>'Inputs'!$B$13*E2653+(1-'Inputs'!$B$13)/'Inputs'!$B$14*SUM(E2598:E2653)</x:f>
        <x:v>983451.3980108844</x:v>
      </x:c>
      <x:c r="G2653" s="78" t="n">
        <x:f>F2653*'Inputs'!$F$51</x:f>
        <x:v>245862.8495027211</x:v>
      </x:c>
      <x:c r="H2653" s="78" t="n">
        <x:f>U2652</x:f>
        <x:v>600207.0937755746</x:v>
      </x:c>
      <x:c r="I2653" s="78" t="n">
        <x:f>V2652</x:f>
        <x:v>164560.85755942226</x:v>
      </x:c>
      <x:c r="J2653" s="79" t="n">
        <x:f>IF(H2653&gt;0,I2653/H2653,0)</x:f>
        <x:v>0.27417346323626385</x:v>
      </x:c>
      <x:c r="K2653" s="80" t="n">
        <x:f>(H2653*J2653+I2653)*'Inputs'!$D$51*(1+'Inputs'!$G$51)^(B2653/30)</x:f>
        <x:v>1152330.9838071512</x:v>
      </x:c>
      <x:c r="L2653" s="80" t="n">
        <x:f>MAX(0,K2653*'Inputs'!$E$51)</x:f>
        <x:v>115233.09838071512</x:v>
      </x:c>
      <x:c r="M2653" s="80" t="n">
        <x:f>MAX(0,-K2653*'Inputs'!$E$51)</x:f>
        <x:v>0</x:v>
      </x:c>
      <x:c r="N2653" s="78" t="n">
        <x:f>H2653*(L2653*(1-'Inputs'!$B$15))/(I2653+L2653*(1-'Inputs'!$B$15))</x:f>
        <x:v>245735.30916537202</x:v>
      </x:c>
      <x:c r="O2653" s="78" t="n">
        <x:f>H2653-N2653</x:f>
        <x:v>354471.78461020254</x:v>
      </x:c>
      <x:c r="P2653" s="78" t="n">
        <x:f>I2653+L2653*(1-'Inputs'!$B$17)</x:f>
        <x:v>279330.2412585248</x:v>
      </x:c>
      <x:c r="Q2653" s="78" t="n">
        <x:f>IF(J2653&gt;0,M2653/J2653,0)</x:f>
        <x:v>0</x:v>
      </x:c>
      <x:c r="R2653" s="78" t="n">
        <x:f>IF(B2653='Inputs'!$H$51,'Inputs'!$B$27*'Inputs'!$I$51,0)</x:f>
        <x:v>0</x:v>
      </x:c>
      <x:c r="S2653" s="78" t="n">
        <x:f>Q2653+G2653+R2653</x:f>
        <x:v>245862.8495027211</x:v>
      </x:c>
      <x:c r="T2653" s="78" t="n">
        <x:f>P2653*(S2653*(1-'Inputs'!$B$15))/(O2653+S2653*(1-'Inputs'!$B$15))</x:f>
        <x:v>113719.49892378696</x:v>
      </x:c>
      <x:c r="U2653" s="78" t="n">
        <x:f>O2653+S2653*(1-'Inputs'!$B$17)</x:f>
        <x:v>599345.2463885666</x:v>
      </x:c>
      <x:c r="V2653" s="78" t="n">
        <x:f>P2653-T2653</x:f>
        <x:v>165610.74233473785</x:v>
      </x:c>
      <x:c r="W2653" s="79" t="n">
        <x:f>IF(U2653&gt;0,V2653/U2653,0)</x:f>
        <x:v>0.27631943914237594</x:v>
      </x:c>
      <x:c r="X2653" s="80" t="n">
        <x:f>W2653*('Inputs'!$B$6-AC2653)</x:f>
        <x:v>276083276.3922283</x:v>
      </x:c>
      <x:c r="Y2653" s="80" t="n">
        <x:f>2*V2653</x:f>
        <x:v>331221.4846694757</x:v>
      </x:c>
      <x:c r="Z2653" s="80" t="n">
        <x:f>K2653*'Inputs'!$B$16+(G2653+R2653)*J2653*'Inputs'!$B$16</x:f>
        <x:v>7318.4403164186915</x:v>
      </x:c>
      <x:c r="AA2653" s="80" t="n">
        <x:f>K2653*(1+'Inputs'!$E$51)/2*'Inputs'!$B$17</x:f>
        <x:v>2550.4307488689465</x:v>
      </x:c>
      <x:c r="AB2653" s="78" t="n">
        <x:f>(IF(J2653&gt;0,K2653*(1-'Inputs'!$E$51)/2/J2653,0)+G2653+R2653)*'Inputs'!$B$17</x:f>
        <x:v>8600.32148368377</x:v>
      </x:c>
      <x:c r="AC2653" s="78" t="n">
        <x:f>AC2652+AB2653</x:f>
        <x:v>854672.9498315721</x:v>
      </x:c>
      <x:c r="AD2653" s="80" t="n">
        <x:f>Z2653/(1+'Inputs'!$C$51)</x:f>
        <x:v>2439.4801054728973</x:v>
      </x:c>
      <x:c r="AE2653" s="80" t="n">
        <x:f>Z2653-AD2653</x:f>
        <x:v>4878.960210945794</x:v>
      </x:c>
      <x:c r="AF2653" s="80" t="n">
        <x:f>D2653*W2653</x:f>
        <x:v>80677.01879465482</x:v>
      </x:c>
      <x:c r="AG2653" s="80" t="n">
        <x:f>C2653*W2653</x:f>
        <x:v>188246.37718752824</x:v>
      </x:c>
      <x:c r="AH2653" s="80" t="n">
        <x:f>2*'Inputs'!$B$8*'Inputs'!$C$51</x:f>
        <x:v>10000</x:v>
      </x:c>
      <x:c r="AI2653" s="81" t="n">
        <x:f>IF(AH2653&gt;0,(AE2653+AF2653)/AH2653*365,0)</x:f>
        <x:v>3122.793233704422</x:v>
      </x:c>
      <x:c r="AJ2653" s="81" t="n">
        <x:f>IF('Inputs'!$B$51&gt;0,AG2653/('Inputs'!$B$19*'Inputs'!$B$51)*365,0)</x:f>
        <x:v>6870.992767344781</x:v>
      </x:c>
      <x:c r="AK2653" s="81" t="n">
        <x:f>W2653/MAX($W$2559:W2653)-1</x:f>
        <x:v>-0.7196604856648328</x:v>
      </x:c>
      <x:c r="AL2653" s="83" t="n">
        <x:f>'Inputs'!$B$51</x:f>
        <x:v>1</x:v>
      </x:c>
      <x:c r="AM2653" s="83" t="n">
        <x:f>'Inputs'!$C$51</x:f>
        <x:v>2</x:v>
      </x:c>
      <x:c r="AN2653" s="83" t="n">
        <x:f>'Inputs'!$D$51</x:f>
        <x:v>3</x:v>
      </x:c>
      <x:c r="AO2653" s="81" t="n">
        <x:f>'Inputs'!$E$51</x:f>
        <x:v>0.1</x:v>
      </x:c>
    </x:row>
    <x:row r="2654">
      <x:c r="A2654" s="59" t="str">
        <x:v>High demand</x:v>
      </x:c>
      <x:c r="B2654" s="59" t="n">
        <x:v>96</x:v>
      </x:c>
      <x:c r="C2654" s="78" t="n">
        <x:f>(('Inputs'!$B$29*(3*96*'Inputs'!$B$12-96^2)/(2*'Inputs'!$B$12^2))-('Inputs'!$B$29*(3*95*'Inputs'!$B$12-95^2)/(2*'Inputs'!$B$12^2)))*'Inputs'!$B$51</x:f>
        <x:v>680938.4969037324</x:v>
      </x:c>
      <x:c r="D2654" s="78" t="n">
        <x:f>IF('Inputs'!$C$51&gt;0,('Inputs'!$B$30*(3*96*'Inputs'!$B$12-96^2)/(2*'Inputs'!$B$12^2))-('Inputs'!$B$30*(3*95*'Inputs'!$B$12-95^2)/(2*'Inputs'!$B$12^2)),0)</x:f>
        <x:v>291830.78438731283</x:v>
      </x:c>
      <x:c r="E2654" s="78" t="n">
        <x:f>C2654+D2654</x:f>
        <x:v>972769.2812910452</x:v>
      </x:c>
      <x:c r="F2654" s="78" t="n">
        <x:f>'Inputs'!$B$13*E2654+(1-'Inputs'!$B$13)/'Inputs'!$B$14*SUM(E2599:E2654)</x:f>
        <x:v>982986.9581534993</x:v>
      </x:c>
      <x:c r="G2654" s="78" t="n">
        <x:f>F2654*'Inputs'!$F$51</x:f>
        <x:v>245746.73953837482</x:v>
      </x:c>
      <x:c r="H2654" s="78" t="n">
        <x:f>U2653</x:f>
        <x:v>599345.2463885666</x:v>
      </x:c>
      <x:c r="I2654" s="78" t="n">
        <x:f>V2653</x:f>
        <x:v>165610.74233473785</x:v>
      </x:c>
      <x:c r="J2654" s="79" t="n">
        <x:f>IF(H2654&gt;0,I2654/H2654,0)</x:f>
        <x:v>0.27631943914237594</x:v>
      </x:c>
      <x:c r="K2654" s="80" t="n">
        <x:f>(H2654*J2654+I2654)*'Inputs'!$D$51*(1+'Inputs'!$G$51)^(B2654/30)</x:f>
        <x:v>1161570.3325550565</x:v>
      </x:c>
      <x:c r="L2654" s="80" t="n">
        <x:f>MAX(0,K2654*'Inputs'!$E$51)</x:f>
        <x:v>116157.03325550567</x:v>
      </x:c>
      <x:c r="M2654" s="80" t="n">
        <x:f>MAX(0,-K2654*'Inputs'!$E$51)</x:f>
        <x:v>0</x:v>
      </x:c>
      <x:c r="N2654" s="78" t="n">
        <x:f>H2654*(L2654*(1-'Inputs'!$B$15))/(I2654+L2654*(1-'Inputs'!$B$15))</x:f>
        <x:v>245618.17510710476</x:v>
      </x:c>
      <x:c r="O2654" s="78" t="n">
        <x:f>H2654-N2654</x:f>
        <x:v>353727.0712814618</x:v>
      </x:c>
      <x:c r="P2654" s="78" t="n">
        <x:f>I2654+L2654*(1-'Inputs'!$B$17)</x:f>
        <x:v>281300.3428608451</x:v>
      </x:c>
      <x:c r="Q2654" s="78" t="n">
        <x:f>IF(J2654&gt;0,M2654/J2654,0)</x:f>
        <x:v>0</x:v>
      </x:c>
      <x:c r="R2654" s="78" t="n">
        <x:f>IF(B2654='Inputs'!$H$51,'Inputs'!$B$27*'Inputs'!$I$51,0)</x:f>
        <x:v>0</x:v>
      </x:c>
      <x:c r="S2654" s="78" t="n">
        <x:f>Q2654+G2654+R2654</x:f>
        <x:v>245746.73953837482</x:v>
      </x:c>
      <x:c r="T2654" s="78" t="n">
        <x:f>P2654*(S2654*(1-'Inputs'!$B$15))/(O2654+S2654*(1-'Inputs'!$B$15))</x:f>
        <x:v>114632.29846545895</x:v>
      </x:c>
      <x:c r="U2654" s="78" t="n">
        <x:f>O2654+S2654*(1-'Inputs'!$B$17)</x:f>
        <x:v>598484.8903387969</x:v>
      </x:c>
      <x:c r="V2654" s="78" t="n">
        <x:f>P2654-T2654</x:f>
        <x:v>166668.04439538612</x:v>
      </x:c>
      <x:c r="W2654" s="79" t="n">
        <x:f>IF(U2654&gt;0,V2654/U2654,0)</x:f>
        <x:v>0.27848329521073933</x:v>
      </x:c>
      <x:c r="X2654" s="80" t="n">
        <x:f>W2654*('Inputs'!$B$6-AC2654)</x:f>
        <x:v>278242887.7541416</x:v>
      </x:c>
      <x:c r="Y2654" s="80" t="n">
        <x:f>2*V2654</x:f>
        <x:v>333336.08879077225</x:v>
      </x:c>
      <x:c r="Z2654" s="80" t="n">
        <x:f>K2654*'Inputs'!$B$16+(G2654+R2654)*J2654*'Inputs'!$B$16</x:f>
        <x:v>7376.849602772207</x:v>
      </x:c>
      <x:c r="AA2654" s="80" t="n">
        <x:f>K2654*(1+'Inputs'!$E$51)/2*'Inputs'!$B$17</x:f>
        <x:v>2570.8800116912726</x:v>
      </x:c>
      <x:c r="AB2654" s="78" t="n">
        <x:f>(IF(J2654&gt;0,K2654*(1-'Inputs'!$E$51)/2/J2654,0)+G2654+R2654)*'Inputs'!$B$17</x:f>
        <x:v>8601.295813088092</x:v>
      </x:c>
      <x:c r="AC2654" s="78" t="n">
        <x:f>AC2653+AB2654</x:f>
        <x:v>863274.2456446602</x:v>
      </x:c>
      <x:c r="AD2654" s="80" t="n">
        <x:f>Z2654/(1+'Inputs'!$C$51)</x:f>
        <x:v>2458.9498675907357</x:v>
      </x:c>
      <x:c r="AE2654" s="80" t="n">
        <x:f>Z2654-AD2654</x:f>
        <x:v>4917.8997351814705</x:v>
      </x:c>
      <x:c r="AF2654" s="80" t="n">
        <x:f>D2654*W2654</x:f>
        <x:v>81269.99848011366</x:v>
      </x:c>
      <x:c r="AG2654" s="80" t="n">
        <x:f>C2654*W2654</x:f>
        <x:v>189629.99645359922</x:v>
      </x:c>
      <x:c r="AH2654" s="80" t="n">
        <x:f>2*'Inputs'!$B$8*'Inputs'!$C$51</x:f>
        <x:v>10000</x:v>
      </x:c>
      <x:c r="AI2654" s="81" t="n">
        <x:f>IF(AH2654&gt;0,(AE2654+AF2654)/AH2654*365,0)</x:f>
        <x:v>3145.858284858273</x:v>
      </x:c>
      <x:c r="AJ2654" s="81" t="n">
        <x:f>IF('Inputs'!$B$51&gt;0,AG2654/('Inputs'!$B$19*'Inputs'!$B$51)*365,0)</x:f>
        <x:v>6921.494870556371</x:v>
      </x:c>
      <x:c r="AK2654" s="81" t="n">
        <x:f>W2654/MAX($W$2559:W2654)-1</x:f>
        <x:v>-0.7174651484088692</x:v>
      </x:c>
      <x:c r="AL2654" s="83" t="n">
        <x:f>'Inputs'!$B$51</x:f>
        <x:v>1</x:v>
      </x:c>
      <x:c r="AM2654" s="83" t="n">
        <x:f>'Inputs'!$C$51</x:f>
        <x:v>2</x:v>
      </x:c>
      <x:c r="AN2654" s="83" t="n">
        <x:f>'Inputs'!$D$51</x:f>
        <x:v>3</x:v>
      </x:c>
      <x:c r="AO2654" s="81" t="n">
        <x:f>'Inputs'!$E$51</x:f>
        <x:v>0.1</x:v>
      </x:c>
    </x:row>
    <x:row r="2655">
      <x:c r="A2655" s="59" t="str">
        <x:v>High demand</x:v>
      </x:c>
      <x:c r="B2655" s="59" t="n">
        <x:v>97</x:v>
      </x:c>
      <x:c r="C2655" s="78" t="n">
        <x:f>(('Inputs'!$B$29*(3*97*'Inputs'!$B$12-97^2)/(2*'Inputs'!$B$12^2))-('Inputs'!$B$29*(3*96*'Inputs'!$B$12-96^2)/(2*'Inputs'!$B$12^2)))*'Inputs'!$B$51</x:f>
        <x:v>680613.38900356</x:v>
      </x:c>
      <x:c r="D2655" s="78" t="n">
        <x:f>IF('Inputs'!$C$51&gt;0,('Inputs'!$B$30*(3*97*'Inputs'!$B$12-97^2)/(2*'Inputs'!$B$12^2))-('Inputs'!$B$30*(3*96*'Inputs'!$B$12-96^2)/(2*'Inputs'!$B$12^2)),0)</x:f>
        <x:v>291691.45243009925</x:v>
      </x:c>
      <x:c r="E2655" s="78" t="n">
        <x:f>C2655+D2655</x:f>
        <x:v>972304.8414336592</x:v>
      </x:c>
      <x:c r="F2655" s="78" t="n">
        <x:f>'Inputs'!$B$13*E2655+(1-'Inputs'!$B$13)/'Inputs'!$B$14*SUM(E2600:E2655)</x:f>
        <x:v>982522.5182961144</x:v>
      </x:c>
      <x:c r="G2655" s="78" t="n">
        <x:f>F2655*'Inputs'!$F$51</x:f>
        <x:v>245630.6295740286</x:v>
      </x:c>
      <x:c r="H2655" s="78" t="n">
        <x:f>U2654</x:f>
        <x:v>598484.8903387969</x:v>
      </x:c>
      <x:c r="I2655" s="78" t="n">
        <x:f>V2654</x:f>
        <x:v>166668.04439538612</x:v>
      </x:c>
      <x:c r="J2655" s="79" t="n">
        <x:f>IF(H2655&gt;0,I2655/H2655,0)</x:f>
        <x:v>0.27848329521073933</x:v>
      </x:c>
      <x:c r="K2655" s="80" t="n">
        <x:f>(H2655*J2655+I2655)*'Inputs'!$D$51*(1+'Inputs'!$G$51)^(B2655/30)</x:f>
        <x:v>1170888.8139931078</x:v>
      </x:c>
      <x:c r="L2655" s="80" t="n">
        <x:f>MAX(0,K2655*'Inputs'!$E$51)</x:f>
        <x:v>117088.88139931078</x:v>
      </x:c>
      <x:c r="M2655" s="80" t="n">
        <x:f>MAX(0,-K2655*'Inputs'!$E$51)</x:f>
        <x:v>0</x:v>
      </x:c>
      <x:c r="N2655" s="78" t="n">
        <x:f>H2655*(L2655*(1-'Inputs'!$B$15))/(I2655+L2655*(1-'Inputs'!$B$15))</x:f>
        <x:v>245501.04393676942</x:v>
      </x:c>
      <x:c r="O2655" s="78" t="n">
        <x:f>H2655-N2655</x:f>
        <x:v>352983.84640202747</x:v>
      </x:c>
      <x:c r="P2655" s="78" t="n">
        <x:f>I2655+L2655*(1-'Inputs'!$B$17)</x:f>
        <x:v>283285.7431733717</x:v>
      </x:c>
      <x:c r="Q2655" s="78" t="n">
        <x:f>IF(J2655&gt;0,M2655/J2655,0)</x:f>
        <x:v>0</x:v>
      </x:c>
      <x:c r="R2655" s="78" t="n">
        <x:f>IF(B2655='Inputs'!$H$51,'Inputs'!$B$27*'Inputs'!$I$51,0)</x:f>
        <x:v>0</x:v>
      </x:c>
      <x:c r="S2655" s="78" t="n">
        <x:f>Q2655+G2655+R2655</x:f>
        <x:v>245630.6295740286</x:v>
      </x:c>
      <x:c r="T2655" s="78" t="n">
        <x:f>P2655*(S2655*(1-'Inputs'!$B$15))/(O2655+S2655*(1-'Inputs'!$B$15))</x:f>
        <x:v>115552.92268746746</x:v>
      </x:c>
      <x:c r="U2655" s="78" t="n">
        <x:f>O2655+S2655*(1-'Inputs'!$B$17)</x:f>
        <x:v>597626.0227383336</x:v>
      </x:c>
      <x:c r="V2655" s="78" t="n">
        <x:f>P2655-T2655</x:f>
        <x:v>167732.82048590423</x:v>
      </x:c>
      <x:c r="W2655" s="79" t="n">
        <x:f>IF(U2655&gt;0,V2655/U2655,0)</x:f>
        <x:v>0.28066518877031044</x:v>
      </x:c>
      <x:c r="X2655" s="80" t="n">
        <x:f>W2655*('Inputs'!$B$6-AC2655)</x:f>
        <x:v>280420483.3824398</x:v>
      </x:c>
      <x:c r="Y2655" s="80" t="n">
        <x:f>2*V2655</x:f>
        <x:v>335465.64097180846</x:v>
      </x:c>
      <x:c r="Z2655" s="80" t="n">
        <x:f>K2655*'Inputs'!$B$16+(G2655+R2655)*J2655*'Inputs'!$B$16</x:f>
        <x:v>7435.75704672943</x:v>
      </x:c>
      <x:c r="AA2655" s="80" t="n">
        <x:f>K2655*(1+'Inputs'!$E$51)/2*'Inputs'!$B$17</x:f>
        <x:v>2591.504417288569</x:v>
      </x:c>
      <x:c r="AB2655" s="78" t="n">
        <x:f>(IF(J2655&gt;0,K2655*(1-'Inputs'!$E$51)/2/J2655,0)+G2655+R2655)*'Inputs'!$B$17</x:f>
        <x:v>8602.273644288824</x:v>
      </x:c>
      <x:c r="AC2655" s="78" t="n">
        <x:f>AC2654+AB2655</x:f>
        <x:v>871876.519288949</x:v>
      </x:c>
      <x:c r="AD2655" s="80" t="n">
        <x:f>Z2655/(1+'Inputs'!$C$51)</x:f>
        <x:v>2478.5856822431433</x:v>
      </x:c>
      <x:c r="AE2655" s="80" t="n">
        <x:f>Z2655-AD2655</x:f>
        <x:v>4957.171364486287</x:v>
      </x:c>
      <x:c r="AF2655" s="80" t="n">
        <x:f>D2655*W2655</x:f>
        <x:v>81867.63655897984</x:v>
      </x:c>
      <x:c r="AG2655" s="80" t="n">
        <x:f>C2655*W2655</x:f>
        <x:v>191024.48530428487</x:v>
      </x:c>
      <x:c r="AH2655" s="80" t="n">
        <x:f>2*'Inputs'!$B$8*'Inputs'!$C$51</x:f>
        <x:v>10000</x:v>
      </x:c>
      <x:c r="AI2655" s="81" t="n">
        <x:f>IF(AH2655&gt;0,(AE2655+AF2655)/AH2655*365,0)</x:f>
        <x:v>3169.105489206514</x:v>
      </x:c>
      <x:c r="AJ2655" s="81" t="n">
        <x:f>IF('Inputs'!$B$51&gt;0,AG2655/('Inputs'!$B$19*'Inputs'!$B$51)*365,0)</x:f>
        <x:v>6972.393713606398</x:v>
      </x:c>
      <x:c r="AK2655" s="81" t="n">
        <x:f>W2655/MAX($W$2559:W2655)-1</x:f>
        <x:v>-0.7152515112405264</x:v>
      </x:c>
      <x:c r="AL2655" s="83" t="n">
        <x:f>'Inputs'!$B$51</x:f>
        <x:v>1</x:v>
      </x:c>
      <x:c r="AM2655" s="83" t="n">
        <x:f>'Inputs'!$C$51</x:f>
        <x:v>2</x:v>
      </x:c>
      <x:c r="AN2655" s="83" t="n">
        <x:f>'Inputs'!$D$51</x:f>
        <x:v>3</x:v>
      </x:c>
      <x:c r="AO2655" s="81" t="n">
        <x:f>'Inputs'!$E$51</x:f>
        <x:v>0.1</x:v>
      </x:c>
    </x:row>
    <x:row r="2656">
      <x:c r="A2656" s="59" t="str">
        <x:v>High demand</x:v>
      </x:c>
      <x:c r="B2656" s="59" t="n">
        <x:v>98</x:v>
      </x:c>
      <x:c r="C2656" s="78" t="n">
        <x:f>(('Inputs'!$B$29*(3*98*'Inputs'!$B$12-98^2)/(2*'Inputs'!$B$12^2))-('Inputs'!$B$29*(3*97*'Inputs'!$B$12-97^2)/(2*'Inputs'!$B$12^2)))*'Inputs'!$B$51</x:f>
        <x:v>680288.2811034024</x:v>
      </x:c>
      <x:c r="D2656" s="78" t="n">
        <x:f>IF('Inputs'!$C$51&gt;0,('Inputs'!$B$30*(3*98*'Inputs'!$B$12-98^2)/(2*'Inputs'!$B$12^2))-('Inputs'!$B$30*(3*97*'Inputs'!$B$12-97^2)/(2*'Inputs'!$B$12^2)),0)</x:f>
        <x:v>291552.12047288567</x:v>
      </x:c>
      <x:c r="E2656" s="78" t="n">
        <x:f>C2656+D2656</x:f>
        <x:v>971840.401576288</x:v>
      </x:c>
      <x:c r="F2656" s="78" t="n">
        <x:f>'Inputs'!$B$13*E2656+(1-'Inputs'!$B$13)/'Inputs'!$B$14*SUM(E2601:E2656)</x:f>
        <x:v>982058.078438733</x:v>
      </x:c>
      <x:c r="G2656" s="78" t="n">
        <x:f>F2656*'Inputs'!$F$51</x:f>
        <x:v>245514.51960968325</x:v>
      </x:c>
      <x:c r="H2656" s="78" t="n">
        <x:f>U2655</x:f>
        <x:v>597626.0227383336</x:v>
      </x:c>
      <x:c r="I2656" s="78" t="n">
        <x:f>V2655</x:f>
        <x:v>167732.82048590423</x:v>
      </x:c>
      <x:c r="J2656" s="79" t="n">
        <x:f>IF(H2656&gt;0,I2656/H2656,0)</x:f>
        <x:v>0.28066518877031044</x:v>
      </x:c>
      <x:c r="K2656" s="80" t="n">
        <x:f>(H2656*J2656+I2656)*'Inputs'!$D$51*(1+'Inputs'!$G$51)^(B2656/30)</x:f>
        <x:v>1180287.1453559985</x:v>
      </x:c>
      <x:c r="L2656" s="80" t="n">
        <x:f>MAX(0,K2656*'Inputs'!$E$51)</x:f>
        <x:v>118028.71453559987</x:v>
      </x:c>
      <x:c r="M2656" s="80" t="n">
        <x:f>MAX(0,-K2656*'Inputs'!$E$51)</x:f>
        <x:v>0</x:v>
      </x:c>
      <x:c r="N2656" s="78" t="n">
        <x:f>H2656*(L2656*(1-'Inputs'!$B$15))/(I2656+L2656*(1-'Inputs'!$B$15))</x:f>
        <x:v>245383.91565016846</x:v>
      </x:c>
      <x:c r="O2656" s="78" t="n">
        <x:f>H2656-N2656</x:f>
        <x:v>352242.1070881651</x:v>
      </x:c>
      <x:c r="P2656" s="78" t="n">
        <x:f>I2656+L2656*(1-'Inputs'!$B$17)</x:f>
        <x:v>285286.5703754856</x:v>
      </x:c>
      <x:c r="Q2656" s="78" t="n">
        <x:f>IF(J2656&gt;0,M2656/J2656,0)</x:f>
        <x:v>0</x:v>
      </x:c>
      <x:c r="R2656" s="78" t="n">
        <x:f>IF(B2656='Inputs'!$H$51,'Inputs'!$B$27*'Inputs'!$I$51,0)</x:f>
        <x:v>0</x:v>
      </x:c>
      <x:c r="S2656" s="78" t="n">
        <x:f>Q2656+G2656+R2656</x:f>
        <x:v>245514.51960968325</x:v>
      </x:c>
      <x:c r="T2656" s="78" t="n">
        <x:f>P2656*(S2656*(1-'Inputs'!$B$15))/(O2656+S2656*(1-'Inputs'!$B$15))</x:f>
        <x:v>116481.44256106492</x:v>
      </x:c>
      <x:c r="U2656" s="78" t="n">
        <x:f>O2656+S2656*(1-'Inputs'!$B$17)</x:f>
        <x:v>596768.6407034432</x:v>
      </x:c>
      <x:c r="V2656" s="78" t="n">
        <x:f>P2656-T2656</x:f>
        <x:v>168805.12781442067</x:v>
      </x:c>
      <x:c r="W2656" s="79" t="n">
        <x:f>IF(U2656&gt;0,V2656/U2656,0)</x:f>
        <x:v>0.28286527860351546</x:v>
      </x:c>
      <x:c r="X2656" s="80" t="n">
        <x:f>W2656*('Inputs'!$B$6-AC2656)</x:f>
        <x:v>282616221.4468624</x:v>
      </x:c>
      <x:c r="Y2656" s="80" t="n">
        <x:f>2*V2656</x:f>
        <x:v>337610.25562884135</x:v>
      </x:c>
      <x:c r="Z2656" s="80" t="n">
        <x:f>K2656*'Inputs'!$B$16+(G2656+R2656)*J2656*'Inputs'!$B$16</x:f>
        <x:v>7495.167146088615</x:v>
      </x:c>
      <x:c r="AA2656" s="80" t="n">
        <x:f>K2656*(1+'Inputs'!$E$51)/2*'Inputs'!$B$17</x:f>
        <x:v>2612.305553101808</x:v>
      </x:c>
      <x:c r="AB2656" s="78" t="n">
        <x:f>(IF(J2656&gt;0,K2656*(1-'Inputs'!$E$51)/2/J2656,0)+G2656+R2656)*'Inputs'!$B$17</x:f>
        <x:v>8603.254978947616</x:v>
      </x:c>
      <x:c r="AC2656" s="78" t="n">
        <x:f>AC2655+AB2656</x:f>
        <x:v>880479.7742678965</x:v>
      </x:c>
      <x:c r="AD2656" s="80" t="n">
        <x:f>Z2656/(1+'Inputs'!$C$51)</x:f>
        <x:v>2498.389048696205</x:v>
      </x:c>
      <x:c r="AE2656" s="80" t="n">
        <x:f>Z2656-AD2656</x:f>
        <x:v>4996.778097392409</x:v>
      </x:c>
      <x:c r="AF2656" s="80" t="n">
        <x:f>D2656*W2656</x:f>
        <x:v>82469.97178500851</x:v>
      </x:c>
      <x:c r="AG2656" s="80" t="n">
        <x:f>C2656*W2656</x:f>
        <x:v>192429.93416502056</x:v>
      </x:c>
      <x:c r="AH2656" s="80" t="n">
        <x:f>2*'Inputs'!$B$8*'Inputs'!$C$51</x:f>
        <x:v>10000</x:v>
      </x:c>
      <x:c r="AI2656" s="81" t="n">
        <x:f>IF(AH2656&gt;0,(AE2656+AF2656)/AH2656*365,0)</x:f>
        <x:v>3192.536370707634</x:v>
      </x:c>
      <x:c r="AJ2656" s="81" t="n">
        <x:f>IF('Inputs'!$B$51&gt;0,AG2656/('Inputs'!$B$19*'Inputs'!$B$51)*365,0)</x:f>
        <x:v>7023.6925970232505</x:v>
      </x:c>
      <x:c r="AK2656" s="81" t="n">
        <x:f>W2656/MAX($W$2559:W2656)-1</x:f>
        <x:v>-0.713019413067308</x:v>
      </x:c>
      <x:c r="AL2656" s="83" t="n">
        <x:f>'Inputs'!$B$51</x:f>
        <x:v>1</x:v>
      </x:c>
      <x:c r="AM2656" s="83" t="n">
        <x:f>'Inputs'!$C$51</x:f>
        <x:v>2</x:v>
      </x:c>
      <x:c r="AN2656" s="83" t="n">
        <x:f>'Inputs'!$D$51</x:f>
        <x:v>3</x:v>
      </x:c>
      <x:c r="AO2656" s="81" t="n">
        <x:f>'Inputs'!$E$51</x:f>
        <x:v>0.1</x:v>
      </x:c>
    </x:row>
    <x:row r="2657">
      <x:c r="A2657" s="59" t="str">
        <x:v>High demand</x:v>
      </x:c>
      <x:c r="B2657" s="59" t="n">
        <x:v>99</x:v>
      </x:c>
      <x:c r="C2657" s="78" t="n">
        <x:f>(('Inputs'!$B$29*(3*99*'Inputs'!$B$12-99^2)/(2*'Inputs'!$B$12^2))-('Inputs'!$B$29*(3*98*'Inputs'!$B$12-98^2)/(2*'Inputs'!$B$12^2)))*'Inputs'!$B$51</x:f>
        <x:v>679963.1732032299</x:v>
      </x:c>
      <x:c r="D2657" s="78" t="n">
        <x:f>IF('Inputs'!$C$51&gt;0,('Inputs'!$B$30*(3*99*'Inputs'!$B$12-99^2)/(2*'Inputs'!$B$12^2))-('Inputs'!$B$30*(3*98*'Inputs'!$B$12-98^2)/(2*'Inputs'!$B$12^2)),0)</x:f>
        <x:v>291412.78851566836</x:v>
      </x:c>
      <x:c r="E2657" s="78" t="n">
        <x:f>C2657+D2657</x:f>
        <x:v>971375.9617188983</x:v>
      </x:c>
      <x:c r="F2657" s="78" t="n">
        <x:f>'Inputs'!$B$13*E2657+(1-'Inputs'!$B$13)/'Inputs'!$B$14*SUM(E2602:E2657)</x:f>
        <x:v>981593.6385813479</x:v>
      </x:c>
      <x:c r="G2657" s="78" t="n">
        <x:f>F2657*'Inputs'!$F$51</x:f>
        <x:v>245398.40964533697</x:v>
      </x:c>
      <x:c r="H2657" s="78" t="n">
        <x:f>U2656</x:f>
        <x:v>596768.6407034432</x:v>
      </x:c>
      <x:c r="I2657" s="78" t="n">
        <x:f>V2656</x:f>
        <x:v>168805.12781442067</x:v>
      </x:c>
      <x:c r="J2657" s="79" t="n">
        <x:f>IF(H2657&gt;0,I2657/H2657,0)</x:f>
        <x:v>0.28286527860351546</x:v>
      </x:c>
      <x:c r="K2657" s="80" t="n">
        <x:f>(H2657*J2657+I2657)*'Inputs'!$D$51*(1+'Inputs'!$G$51)^(B2657/30)</x:f>
        <x:v>1189766.050708961</x:v>
      </x:c>
      <x:c r="L2657" s="80" t="n">
        <x:f>MAX(0,K2657*'Inputs'!$E$51)</x:f>
        <x:v>118976.6050708961</x:v>
      </x:c>
      <x:c r="M2657" s="80" t="n">
        <x:f>MAX(0,-K2657*'Inputs'!$E$51)</x:f>
        <x:v>0</x:v>
      </x:c>
      <x:c r="N2657" s="78" t="n">
        <x:f>H2657*(L2657*(1-'Inputs'!$B$15))/(I2657+L2657*(1-'Inputs'!$B$15))</x:f>
        <x:v>245266.79024258058</x:v>
      </x:c>
      <x:c r="O2657" s="78" t="n">
        <x:f>H2657-N2657</x:f>
        <x:v>351501.8504608626</x:v>
      </x:c>
      <x:c r="P2657" s="78" t="n">
        <x:f>I2657+L2657*(1-'Inputs'!$B$17)</x:f>
        <x:v>287302.9537904641</x:v>
      </x:c>
      <x:c r="Q2657" s="78" t="n">
        <x:f>IF(J2657&gt;0,M2657/J2657,0)</x:f>
        <x:v>0</x:v>
      </x:c>
      <x:c r="R2657" s="78" t="n">
        <x:f>IF(B2657='Inputs'!$H$51,'Inputs'!$B$27*'Inputs'!$I$51,0)</x:f>
        <x:v>0</x:v>
      </x:c>
      <x:c r="S2657" s="78" t="n">
        <x:f>Q2657+G2657+R2657</x:f>
        <x:v>245398.40964533697</x:v>
      </x:c>
      <x:c r="T2657" s="78" t="n">
        <x:f>P2657*(S2657*(1-'Inputs'!$B$15))/(O2657+S2657*(1-'Inputs'!$B$15))</x:f>
        <x:v>117417.92973395188</x:v>
      </x:c>
      <x:c r="U2657" s="78" t="n">
        <x:f>O2657+S2657*(1-'Inputs'!$B$17)</x:f>
        <x:v>595912.7413551117</x:v>
      </x:c>
      <x:c r="V2657" s="78" t="n">
        <x:f>P2657-T2657</x:f>
        <x:v>169885.02405651222</x:v>
      </x:c>
      <x:c r="W2657" s="79" t="n">
        <x:f>IF(U2657&gt;0,V2657/U2657,0)</x:f>
        <x:v>0.2850837249597851</x:v>
      </x:c>
      <x:c r="X2657" s="80" t="n">
        <x:f>W2657*('Inputs'!$B$6-AC2657)</x:f>
        <x:v>284830261.57724714</x:v>
      </x:c>
      <x:c r="Y2657" s="80" t="n">
        <x:f>2*V2657</x:f>
        <x:v>339770.04811302444</x:v>
      </x:c>
      <x:c r="Z2657" s="80" t="n">
        <x:f>K2657*'Inputs'!$B$16+(G2657+R2657)*J2657*'Inputs'!$B$16</x:f>
        <x:v>7555.084441332893</x:v>
      </x:c>
      <x:c r="AA2657" s="80" t="n">
        <x:f>K2657*(1+'Inputs'!$E$51)/2*'Inputs'!$B$17</x:f>
        <x:v>2633.2850216898537</x:v>
      </x:c>
      <x:c r="AB2657" s="78" t="n">
        <x:f>(IF(J2657&gt;0,K2657*(1-'Inputs'!$E$51)/2/J2657,0)+G2657+R2657)*'Inputs'!$B$17</x:f>
        <x:v>8604.239818706305</x:v>
      </x:c>
      <x:c r="AC2657" s="78" t="n">
        <x:f>AC2656+AB2657</x:f>
        <x:v>889084.0140866028</x:v>
      </x:c>
      <x:c r="AD2657" s="80" t="n">
        <x:f>Z2657/(1+'Inputs'!$C$51)</x:f>
        <x:v>2518.3614804442977</x:v>
      </x:c>
      <x:c r="AE2657" s="80" t="n">
        <x:f>Z2657-AD2657</x:f>
        <x:v>5036.7229608885955</x:v>
      </x:c>
      <x:c r="AF2657" s="80" t="n">
        <x:f>D2657*W2657</x:f>
        <x:v>83077.04325096482</x:v>
      </x:c>
      <x:c r="AG2657" s="80" t="n">
        <x:f>C2657*W2657</x:f>
        <x:v>193846.43425225234</x:v>
      </x:c>
      <x:c r="AH2657" s="80" t="n">
        <x:f>2*'Inputs'!$B$8*'Inputs'!$C$51</x:f>
        <x:v>10000</x:v>
      </x:c>
      <x:c r="AI2657" s="81" t="n">
        <x:f>IF(AH2657&gt;0,(AE2657+AF2657)/AH2657*365,0)</x:f>
        <x:v>3216.15246673265</x:v>
      </x:c>
      <x:c r="AJ2657" s="81" t="n">
        <x:f>IF('Inputs'!$B$51&gt;0,AG2657/('Inputs'!$B$19*'Inputs'!$B$51)*365,0)</x:f>
        <x:v>7075.394850207211</x:v>
      </x:c>
      <x:c r="AK2657" s="81" t="n">
        <x:f>W2657/MAX($W$2559:W2657)-1</x:f>
        <x:v>-0.7107686913083702</x:v>
      </x:c>
      <x:c r="AL2657" s="83" t="n">
        <x:f>'Inputs'!$B$51</x:f>
        <x:v>1</x:v>
      </x:c>
      <x:c r="AM2657" s="83" t="n">
        <x:f>'Inputs'!$C$51</x:f>
        <x:v>2</x:v>
      </x:c>
      <x:c r="AN2657" s="83" t="n">
        <x:f>'Inputs'!$D$51</x:f>
        <x:v>3</x:v>
      </x:c>
      <x:c r="AO2657" s="81" t="n">
        <x:f>'Inputs'!$E$51</x:f>
        <x:v>0.1</x:v>
      </x:c>
    </x:row>
    <x:row r="2658">
      <x:c r="A2658" s="59" t="str">
        <x:v>High demand</x:v>
      </x:c>
      <x:c r="B2658" s="59" t="n">
        <x:v>100</x:v>
      </x:c>
      <x:c r="C2658" s="78" t="n">
        <x:f>(('Inputs'!$B$29*(3*100*'Inputs'!$B$12-100^2)/(2*'Inputs'!$B$12^2))-('Inputs'!$B$29*(3*99*'Inputs'!$B$12-99^2)/(2*'Inputs'!$B$12^2)))*'Inputs'!$B$51</x:f>
        <x:v>679638.0653030574</x:v>
      </x:c>
      <x:c r="D2658" s="78" t="n">
        <x:f>IF('Inputs'!$C$51&gt;0,('Inputs'!$B$30*(3*100*'Inputs'!$B$12-100^2)/(2*'Inputs'!$B$12^2))-('Inputs'!$B$30*(3*99*'Inputs'!$B$12-99^2)/(2*'Inputs'!$B$12^2)),0)</x:f>
        <x:v>291273.4565584548</x:v>
      </x:c>
      <x:c r="E2658" s="78" t="n">
        <x:f>C2658+D2658</x:f>
        <x:v>970911.5218615122</x:v>
      </x:c>
      <x:c r="F2658" s="78" t="n">
        <x:f>'Inputs'!$B$13*E2658+(1-'Inputs'!$B$13)/'Inputs'!$B$14*SUM(E2603:E2658)</x:f>
        <x:v>981129.1987239633</x:v>
      </x:c>
      <x:c r="G2658" s="78" t="n">
        <x:f>F2658*'Inputs'!$F$51</x:f>
        <x:v>245282.29968099084</x:v>
      </x:c>
      <x:c r="H2658" s="78" t="n">
        <x:f>U2657</x:f>
        <x:v>595912.7413551117</x:v>
      </x:c>
      <x:c r="I2658" s="78" t="n">
        <x:f>V2657</x:f>
        <x:v>169885.02405651222</x:v>
      </x:c>
      <x:c r="J2658" s="79" t="n">
        <x:f>IF(H2658&gt;0,I2658/H2658,0)</x:f>
        <x:v>0.2850837249597851</x:v>
      </x:c>
      <x:c r="K2658" s="80" t="n">
        <x:f>(H2658*J2658+I2658)*'Inputs'!$D$51*(1+'Inputs'!$G$51)^(B2658/30)</x:f>
        <x:v>1199326.2610146813</x:v>
      </x:c>
      <x:c r="L2658" s="80" t="n">
        <x:f>MAX(0,K2658*'Inputs'!$E$51)</x:f>
        <x:v>119932.62610146814</x:v>
      </x:c>
      <x:c r="M2658" s="80" t="n">
        <x:f>MAX(0,-K2658*'Inputs'!$E$51)</x:f>
        <x:v>0</x:v>
      </x:c>
      <x:c r="N2658" s="78" t="n">
        <x:f>H2658*(L2658*(1-'Inputs'!$B$15))/(I2658+L2658*(1-'Inputs'!$B$15))</x:f>
        <x:v>245149.6677089771</x:v>
      </x:c>
      <x:c r="O2658" s="78" t="n">
        <x:f>H2658-N2658</x:f>
        <x:v>350763.0736461346</x:v>
      </x:c>
      <x:c r="P2658" s="78" t="n">
        <x:f>I2658+L2658*(1-'Inputs'!$B$17)</x:f>
        <x:v>289335.0238960026</x:v>
      </x:c>
      <x:c r="Q2658" s="78" t="n">
        <x:f>IF(J2658&gt;0,M2658/J2658,0)</x:f>
        <x:v>0</x:v>
      </x:c>
      <x:c r="R2658" s="78" t="n">
        <x:f>IF(B2658='Inputs'!$H$51,'Inputs'!$B$27*'Inputs'!$I$51,0)</x:f>
        <x:v>0</x:v>
      </x:c>
      <x:c r="S2658" s="78" t="n">
        <x:f>Q2658+G2658+R2658</x:f>
        <x:v>245282.29968099084</x:v>
      </x:c>
      <x:c r="T2658" s="78" t="n">
        <x:f>P2658*(S2658*(1-'Inputs'!$B$15))/(O2658+S2658*(1-'Inputs'!$B$15))</x:f>
        <x:v>118362.45653685235</x:v>
      </x:c>
      <x:c r="U2658" s="78" t="n">
        <x:f>O2658+S2658*(1-'Inputs'!$B$17)</x:f>
        <x:v>595058.3218193548</x:v>
      </x:c>
      <x:c r="V2658" s="78" t="n">
        <x:f>P2658-T2658</x:f>
        <x:v>170972.56735915027</x:v>
      </x:c>
      <x:c r="W2658" s="79" t="n">
        <x:f>IF(U2658&gt;0,V2658/U2658,0)</x:f>
        <x:v>0.28732068956940554</x:v>
      </x:c>
      <x:c r="X2658" s="80" t="n">
        <x:f>W2658*('Inputs'!$B$6-AC2658)</x:f>
        <x:v>287062764.8773027</x:v>
      </x:c>
      <x:c r="Y2658" s="80" t="n">
        <x:f>2*V2658</x:f>
        <x:v>341945.13471830054</x:v>
      </x:c>
      <x:c r="Z2658" s="80" t="n">
        <x:f>K2658*'Inputs'!$B$16+(G2658+R2658)*J2658*'Inputs'!$B$16</x:f>
        <x:v>7615.513516046643</x:v>
      </x:c>
      <x:c r="AA2658" s="80" t="n">
        <x:f>K2658*(1+'Inputs'!$E$51)/2*'Inputs'!$B$17</x:f>
        <x:v>2654.444440877565</x:v>
      </x:c>
      <x:c r="AB2658" s="78" t="n">
        <x:f>(IF(J2658&gt;0,K2658*(1-'Inputs'!$E$51)/2/J2658,0)+G2658+R2658)*'Inputs'!$B$17</x:f>
        <x:v>8605.22816519356</x:v>
      </x:c>
      <x:c r="AC2658" s="78" t="n">
        <x:f>AC2657+AB2658</x:f>
        <x:v>897689.2422517964</x:v>
      </x:c>
      <x:c r="AD2658" s="80" t="n">
        <x:f>Z2658/(1+'Inputs'!$C$51)</x:f>
        <x:v>2538.504505348881</x:v>
      </x:c>
      <x:c r="AE2658" s="80" t="n">
        <x:f>Z2658-AD2658</x:f>
        <x:v>5077.009010697762</x:v>
      </x:c>
      <x:c r="AF2658" s="80" t="n">
        <x:f>D2658*W2658</x:f>
        <x:v>83688.89039163952</x:v>
      </x:c>
      <x:c r="AG2658" s="80" t="n">
        <x:f>C2658*W2658</x:f>
        <x:v>195274.07758049114</x:v>
      </x:c>
      <x:c r="AH2658" s="80" t="n">
        <x:f>2*'Inputs'!$B$8*'Inputs'!$C$51</x:f>
        <x:v>10000</x:v>
      </x:c>
      <x:c r="AI2658" s="81" t="n">
        <x:f>IF(AH2658&gt;0,(AE2658+AF2658)/AH2658*365,0)</x:f>
        <x:v>3239.955328185311</x:v>
      </x:c>
      <x:c r="AJ2658" s="81" t="n">
        <x:f>IF('Inputs'!$B$51&gt;0,AG2658/('Inputs'!$B$19*'Inputs'!$B$51)*365,0)</x:f>
        <x:v>7127.503831687927</x:v>
      </x:c>
      <x:c r="AK2658" s="81" t="n">
        <x:f>W2658/MAX($W$2559:W2658)-1</x:f>
        <x:v>-0.7084991818804691</x:v>
      </x:c>
      <x:c r="AL2658" s="83" t="n">
        <x:f>'Inputs'!$B$51</x:f>
        <x:v>1</x:v>
      </x:c>
      <x:c r="AM2658" s="83" t="n">
        <x:f>'Inputs'!$C$51</x:f>
        <x:v>2</x:v>
      </x:c>
      <x:c r="AN2658" s="83" t="n">
        <x:f>'Inputs'!$D$51</x:f>
        <x:v>3</x:v>
      </x:c>
      <x:c r="AO2658" s="81" t="n">
        <x:f>'Inputs'!$E$51</x:f>
        <x:v>0.1</x:v>
      </x:c>
    </x:row>
    <x:row r="2659">
      <x:c r="A2659" s="59" t="str">
        <x:v>High demand</x:v>
      </x:c>
      <x:c r="B2659" s="59" t="n">
        <x:v>101</x:v>
      </x:c>
      <x:c r="C2659" s="78" t="n">
        <x:f>(('Inputs'!$B$29*(3*101*'Inputs'!$B$12-101^2)/(2*'Inputs'!$B$12^2))-('Inputs'!$B$29*(3*100*'Inputs'!$B$12-100^2)/(2*'Inputs'!$B$12^2)))*'Inputs'!$B$51</x:f>
        <x:v>679312.957402885</x:v>
      </x:c>
      <x:c r="D2659" s="78" t="n">
        <x:f>IF('Inputs'!$C$51&gt;0,('Inputs'!$B$30*(3*101*'Inputs'!$B$12-101^2)/(2*'Inputs'!$B$12^2))-('Inputs'!$B$30*(3*100*'Inputs'!$B$12-100^2)/(2*'Inputs'!$B$12^2)),0)</x:f>
        <x:v>291134.1246012375</x:v>
      </x:c>
      <x:c r="E2659" s="78" t="n">
        <x:f>C2659+D2659</x:f>
        <x:v>970447.0820041224</x:v>
      </x:c>
      <x:c r="F2659" s="78" t="n">
        <x:f>'Inputs'!$B$13*E2659+(1-'Inputs'!$B$13)/'Inputs'!$B$14*SUM(E2604:E2659)</x:f>
        <x:v>980664.7588665781</x:v>
      </x:c>
      <x:c r="G2659" s="78" t="n">
        <x:f>F2659*'Inputs'!$F$51</x:f>
        <x:v>245166.18971664453</x:v>
      </x:c>
      <x:c r="H2659" s="78" t="n">
        <x:f>U2658</x:f>
        <x:v>595058.3218193548</x:v>
      </x:c>
      <x:c r="I2659" s="78" t="n">
        <x:f>V2658</x:f>
        <x:v>170972.56735915027</x:v>
      </x:c>
      <x:c r="J2659" s="79" t="n">
        <x:f>IF(H2659&gt;0,I2659/H2659,0)</x:f>
        <x:v>0.28732068956940554</x:v>
      </x:c>
      <x:c r="K2659" s="80" t="n">
        <x:f>(H2659*J2659+I2659)*'Inputs'!$D$51*(1+'Inputs'!$G$51)^(B2659/30)</x:f>
        <x:v>1208968.514201288</x:v>
      </x:c>
      <x:c r="L2659" s="80" t="n">
        <x:f>MAX(0,K2659*'Inputs'!$E$51)</x:f>
        <x:v>120896.85142012882</x:v>
      </x:c>
      <x:c r="M2659" s="80" t="n">
        <x:f>MAX(0,-K2659*'Inputs'!$E$51)</x:f>
        <x:v>0</x:v>
      </x:c>
      <x:c r="N2659" s="78" t="n">
        <x:f>H2659*(L2659*(1-'Inputs'!$B$15))/(I2659+L2659*(1-'Inputs'!$B$15))</x:f>
        <x:v>245032.54804415247</x:v>
      </x:c>
      <x:c r="O2659" s="78" t="n">
        <x:f>H2659-N2659</x:f>
        <x:v>350025.77377520234</x:v>
      </x:c>
      <x:c r="P2659" s="78" t="n">
        <x:f>I2659+L2659*(1-'Inputs'!$B$17)</x:f>
        <x:v>291382.9123349325</x:v>
      </x:c>
      <x:c r="Q2659" s="78" t="n">
        <x:f>IF(J2659&gt;0,M2659/J2659,0)</x:f>
        <x:v>0</x:v>
      </x:c>
      <x:c r="R2659" s="78" t="n">
        <x:f>IF(B2659='Inputs'!$H$51,'Inputs'!$B$27*'Inputs'!$I$51,0)</x:f>
        <x:v>0</x:v>
      </x:c>
      <x:c r="S2659" s="78" t="n">
        <x:f>Q2659+G2659+R2659</x:f>
        <x:v>245166.18971664453</x:v>
      </x:c>
      <x:c r="T2659" s="78" t="n">
        <x:f>P2659*(S2659*(1-'Inputs'!$B$15))/(O2659+S2659*(1-'Inputs'!$B$15))</x:f>
        <x:v>119315.0959902137</x:v>
      </x:c>
      <x:c r="U2659" s="78" t="n">
        <x:f>O2659+S2659*(1-'Inputs'!$B$17)</x:f>
        <x:v>594205.3792273935</x:v>
      </x:c>
      <x:c r="V2659" s="78" t="n">
        <x:f>P2659-T2659</x:f>
        <x:v>172067.8163447188</x:v>
      </x:c>
      <x:c r="W2659" s="79" t="n">
        <x:f>IF(U2659&gt;0,V2659/U2659,0)</x:f>
        <x:v>0.28957633565762625</x:v>
      </x:c>
      <x:c r="X2659" s="80" t="n">
        <x:f>W2659*('Inputs'!$B$6-AC2659)</x:f>
        <x:v>289313893.93863845</x:v>
      </x:c>
      <x:c r="Y2659" s="80" t="n">
        <x:f>2*V2659</x:f>
        <x:v>344135.6326894376</x:v>
      </x:c>
      <x:c r="Z2659" s="80" t="n">
        <x:f>K2659*'Inputs'!$B$16+(G2659+R2659)*J2659*'Inputs'!$B$16</x:f>
        <x:v>7676.458997338669</x:v>
      </x:c>
      <x:c r="AA2659" s="80" t="n">
        <x:f>K2659*(1+'Inputs'!$E$51)/2*'Inputs'!$B$17</x:f>
        <x:v>2675.785443906272</x:v>
      </x:c>
      <x:c r="AB2659" s="78" t="n">
        <x:f>(IF(J2659&gt;0,K2659*(1-'Inputs'!$E$51)/2/J2659,0)+G2659+R2659)*'Inputs'!$B$17</x:f>
        <x:v>8606.220020028888</x:v>
      </x:c>
      <x:c r="AC2659" s="78" t="n">
        <x:f>AC2658+AB2659</x:f>
        <x:v>906295.4622718253</x:v>
      </x:c>
      <x:c r="AD2659" s="80" t="n">
        <x:f>Z2659/(1+'Inputs'!$C$51)</x:f>
        <x:v>2558.8196657795565</x:v>
      </x:c>
      <x:c r="AE2659" s="80" t="n">
        <x:f>Z2659-AD2659</x:f>
        <x:v>5117.639331559112</x:v>
      </x:c>
      <x:c r="AF2659" s="80" t="n">
        <x:f>D2659*W2659</x:f>
        <x:v>84305.55298691713</x:v>
      </x:c>
      <x:c r="AG2659" s="80" t="n">
        <x:f>C2659*W2659</x:f>
        <x:v>196712.95696947258</x:v>
      </x:c>
      <x:c r="AH2659" s="80" t="n">
        <x:f>2*'Inputs'!$B$8*'Inputs'!$C$51</x:f>
        <x:v>10000</x:v>
      </x:c>
      <x:c r="AI2659" s="81" t="n">
        <x:f>IF(AH2659&gt;0,(AE2659+AF2659)/AH2659*365,0)</x:f>
        <x:v>3263.946519624383</x:v>
      </x:c>
      <x:c r="AJ2659" s="81" t="n">
        <x:f>IF('Inputs'!$B$51&gt;0,AG2659/('Inputs'!$B$19*'Inputs'!$B$51)*365,0)</x:f>
        <x:v>7180.022929385749</x:v>
      </x:c>
      <x:c r="AK2659" s="81" t="n">
        <x:f>W2659/MAX($W$2559:W2659)-1</x:f>
        <x:v>-0.7062107191836482</x:v>
      </x:c>
      <x:c r="AL2659" s="83" t="n">
        <x:f>'Inputs'!$B$51</x:f>
        <x:v>1</x:v>
      </x:c>
      <x:c r="AM2659" s="83" t="n">
        <x:f>'Inputs'!$C$51</x:f>
        <x:v>2</x:v>
      </x:c>
      <x:c r="AN2659" s="83" t="n">
        <x:f>'Inputs'!$D$51</x:f>
        <x:v>3</x:v>
      </x:c>
      <x:c r="AO2659" s="81" t="n">
        <x:f>'Inputs'!$E$51</x:f>
        <x:v>0.1</x:v>
      </x:c>
    </x:row>
    <x:row r="2660">
      <x:c r="A2660" s="59" t="str">
        <x:v>High demand</x:v>
      </x:c>
      <x:c r="B2660" s="59" t="n">
        <x:v>102</x:v>
      </x:c>
      <x:c r="C2660" s="78" t="n">
        <x:f>(('Inputs'!$B$29*(3*102*'Inputs'!$B$12-102^2)/(2*'Inputs'!$B$12^2))-('Inputs'!$B$29*(3*101*'Inputs'!$B$12-101^2)/(2*'Inputs'!$B$12^2)))*'Inputs'!$B$51</x:f>
        <x:v>678987.8495027274</x:v>
      </x:c>
      <x:c r="D2660" s="78" t="n">
        <x:f>IF('Inputs'!$C$51&gt;0,('Inputs'!$B$30*(3*102*'Inputs'!$B$12-102^2)/(2*'Inputs'!$B$12^2))-('Inputs'!$B$30*(3*101*'Inputs'!$B$12-101^2)/(2*'Inputs'!$B$12^2)),0)</x:f>
        <x:v>290994.7926440239</x:v>
      </x:c>
      <x:c r="E2660" s="78" t="n">
        <x:f>C2660+D2660</x:f>
        <x:v>969982.6421467513</x:v>
      </x:c>
      <x:c r="F2660" s="78" t="n">
        <x:f>'Inputs'!$B$13*E2660+(1-'Inputs'!$B$13)/'Inputs'!$B$14*SUM(E2605:E2660)</x:f>
        <x:v>980200.3190091965</x:v>
      </x:c>
      <x:c r="G2660" s="78" t="n">
        <x:f>F2660*'Inputs'!$F$51</x:f>
        <x:v>245050.07975229912</x:v>
      </x:c>
      <x:c r="H2660" s="78" t="n">
        <x:f>U2659</x:f>
        <x:v>594205.3792273935</x:v>
      </x:c>
      <x:c r="I2660" s="78" t="n">
        <x:f>V2659</x:f>
        <x:v>172067.8163447188</x:v>
      </x:c>
      <x:c r="J2660" s="79" t="n">
        <x:f>IF(H2660&gt;0,I2660/H2660,0)</x:f>
        <x:v>0.28957633565762625</x:v>
      </x:c>
      <x:c r="K2660" s="80" t="n">
        <x:f>(H2660*J2660+I2660)*'Inputs'!$D$51*(1+'Inputs'!$G$51)^(B2660/30)</x:f>
        <x:v>1218693.5552312867</x:v>
      </x:c>
      <x:c r="L2660" s="80" t="n">
        <x:f>MAX(0,K2660*'Inputs'!$E$51)</x:f>
        <x:v>121869.35552312867</x:v>
      </x:c>
      <x:c r="M2660" s="80" t="n">
        <x:f>MAX(0,-K2660*'Inputs'!$E$51)</x:f>
        <x:v>0</x:v>
      </x:c>
      <x:c r="N2660" s="78" t="n">
        <x:f>H2660*(L2660*(1-'Inputs'!$B$15))/(I2660+L2660*(1-'Inputs'!$B$15))</x:f>
        <x:v>244915.4312427998</x:v>
      </x:c>
      <x:c r="O2660" s="78" t="n">
        <x:f>H2660-N2660</x:f>
        <x:v>349289.94798459375</x:v>
      </x:c>
      <x:c r="P2660" s="78" t="n">
        <x:f>I2660+L2660*(1-'Inputs'!$B$17)</x:f>
        <x:v>293446.7519261045</x:v>
      </x:c>
      <x:c r="Q2660" s="78" t="n">
        <x:f>IF(J2660&gt;0,M2660/J2660,0)</x:f>
        <x:v>0</x:v>
      </x:c>
      <x:c r="R2660" s="78" t="n">
        <x:f>IF(B2660='Inputs'!$H$51,'Inputs'!$B$27*'Inputs'!$I$51,0)</x:f>
        <x:v>0</x:v>
      </x:c>
      <x:c r="S2660" s="78" t="n">
        <x:f>Q2660+G2660+R2660</x:f>
        <x:v>245050.07975229912</x:v>
      </x:c>
      <x:c r="T2660" s="78" t="n">
        <x:f>P2660*(S2660*(1-'Inputs'!$B$15))/(O2660+S2660*(1-'Inputs'!$B$15))</x:f>
        <x:v>120275.92181101716</x:v>
      </x:c>
      <x:c r="U2660" s="78" t="n">
        <x:f>O2660+S2660*(1-'Inputs'!$B$17)</x:f>
        <x:v>593353.9107157568</x:v>
      </x:c>
      <x:c r="V2660" s="78" t="n">
        <x:f>P2660-T2660</x:f>
        <x:v>173170.83011508733</x:v>
      </x:c>
      <x:c r="W2660" s="79" t="n">
        <x:f>IF(U2660&gt;0,V2660/U2660,0)</x:f>
        <x:v>0.2918508279589716</x:v>
      </x:c>
      <x:c r="X2660" s="80" t="n">
        <x:f>W2660*('Inputs'!$B$6-AC2660)</x:f>
        <x:v>291583812.8549956</x:v>
      </x:c>
      <x:c r="Y2660" s="80" t="n">
        <x:f>2*V2660</x:f>
        <x:v>346341.66023017466</x:v>
      </x:c>
      <x:c r="Z2660" s="80" t="n">
        <x:f>K2660*'Inputs'!$B$16+(G2660+R2660)*J2660*'Inputs'!$B$16</x:f>
        <x:v>7737.9255562714</x:v>
      </x:c>
      <x:c r="AA2660" s="80" t="n">
        <x:f>K2660*(1+'Inputs'!$E$51)/2*'Inputs'!$B$17</x:f>
        <x:v>2697.3096795863494</x:v>
      </x:c>
      <x:c r="AB2660" s="78" t="n">
        <x:f>(IF(J2660&gt;0,K2660*(1-'Inputs'!$E$51)/2/J2660,0)+G2660+R2660)*'Inputs'!$B$17</x:f>
        <x:v>8607.21538482496</x:v>
      </x:c>
      <x:c r="AC2660" s="78" t="n">
        <x:f>AC2659+AB2660</x:f>
        <x:v>914902.6776566503</x:v>
      </x:c>
      <x:c r="AD2660" s="80" t="n">
        <x:f>Z2660/(1+'Inputs'!$C$51)</x:f>
        <x:v>2579.3085187571332</x:v>
      </x:c>
      <x:c r="AE2660" s="80" t="n">
        <x:f>Z2660-AD2660</x:f>
        <x:v>5158.6170375142665</x:v>
      </x:c>
      <x:c r="AF2660" s="80" t="n">
        <x:f>D2660*W2660</x:f>
        <x:v>84927.07116490764</x:v>
      </x:c>
      <x:c r="AG2660" s="80" t="n">
        <x:f>C2660*W2660</x:f>
        <x:v>198163.1660514526</x:v>
      </x:c>
      <x:c r="AH2660" s="80" t="n">
        <x:f>2*'Inputs'!$B$8*'Inputs'!$C$51</x:f>
        <x:v>10000</x:v>
      </x:c>
      <x:c r="AI2660" s="81" t="n">
        <x:f>IF(AH2660&gt;0,(AE2660+AF2660)/AH2660*365,0)</x:f>
        <x:v>3288.1276193883996</x:v>
      </x:c>
      <x:c r="AJ2660" s="81" t="n">
        <x:f>IF('Inputs'!$B$51&gt;0,AG2660/('Inputs'!$B$19*'Inputs'!$B$51)*365,0)</x:f>
        <x:v>7232.95556087802</x:v>
      </x:c>
      <x:c r="AK2660" s="81" t="n">
        <x:f>W2660/MAX($W$2559:W2660)-1</x:f>
        <x:v>-0.7039031360867178</x:v>
      </x:c>
      <x:c r="AL2660" s="83" t="n">
        <x:f>'Inputs'!$B$51</x:f>
        <x:v>1</x:v>
      </x:c>
      <x:c r="AM2660" s="83" t="n">
        <x:f>'Inputs'!$C$51</x:f>
        <x:v>2</x:v>
      </x:c>
      <x:c r="AN2660" s="83" t="n">
        <x:f>'Inputs'!$D$51</x:f>
        <x:v>3</x:v>
      </x:c>
      <x:c r="AO2660" s="81" t="n">
        <x:f>'Inputs'!$E$51</x:f>
        <x:v>0.1</x:v>
      </x:c>
    </x:row>
    <x:row r="2661">
      <x:c r="A2661" s="59" t="str">
        <x:v>High demand</x:v>
      </x:c>
      <x:c r="B2661" s="59" t="n">
        <x:v>103</x:v>
      </x:c>
      <x:c r="C2661" s="78" t="n">
        <x:f>(('Inputs'!$B$29*(3*103*'Inputs'!$B$12-103^2)/(2*'Inputs'!$B$12^2))-('Inputs'!$B$29*(3*102*'Inputs'!$B$12-102^2)/(2*'Inputs'!$B$12^2)))*'Inputs'!$B$51</x:f>
        <x:v>678662.7416025549</x:v>
      </x:c>
      <x:c r="D2661" s="78" t="n">
        <x:f>IF('Inputs'!$C$51&gt;0,('Inputs'!$B$30*(3*103*'Inputs'!$B$12-103^2)/(2*'Inputs'!$B$12^2))-('Inputs'!$B$30*(3*102*'Inputs'!$B$12-102^2)/(2*'Inputs'!$B$12^2)),0)</x:f>
        <x:v>290855.4606868066</x:v>
      </x:c>
      <x:c r="E2661" s="78" t="n">
        <x:f>C2661+D2661</x:f>
        <x:v>969518.2022893615</x:v>
      </x:c>
      <x:c r="F2661" s="78" t="n">
        <x:f>'Inputs'!$B$13*E2661+(1-'Inputs'!$B$13)/'Inputs'!$B$14*SUM(E2606:E2661)</x:f>
        <x:v>979735.8791518115</x:v>
      </x:c>
      <x:c r="G2661" s="78" t="n">
        <x:f>F2661*'Inputs'!$F$51</x:f>
        <x:v>244933.96978795287</x:v>
      </x:c>
      <x:c r="H2661" s="78" t="n">
        <x:f>U2660</x:f>
        <x:v>593353.9107157568</x:v>
      </x:c>
      <x:c r="I2661" s="78" t="n">
        <x:f>V2660</x:f>
        <x:v>173170.83011508733</x:v>
      </x:c>
      <x:c r="J2661" s="79" t="n">
        <x:f>IF(H2661&gt;0,I2661/H2661,0)</x:f>
        <x:v>0.2918508279589716</x:v>
      </x:c>
      <x:c r="K2661" s="80" t="n">
        <x:f>(H2661*J2661+I2661)*'Inputs'!$D$51*(1+'Inputs'!$G$51)^(B2661/30)</x:f>
        <x:v>1228502.1361713402</x:v>
      </x:c>
      <x:c r="L2661" s="80" t="n">
        <x:f>MAX(0,K2661*'Inputs'!$E$51)</x:f>
        <x:v>122850.21361713402</x:v>
      </x:c>
      <x:c r="M2661" s="80" t="n">
        <x:f>MAX(0,-K2661*'Inputs'!$E$51)</x:f>
        <x:v>0</x:v>
      </x:c>
      <x:c r="N2661" s="78" t="n">
        <x:f>H2661*(L2661*(1-'Inputs'!$B$15))/(I2661+L2661*(1-'Inputs'!$B$15))</x:f>
        <x:v>244798.31729955686</x:v>
      </x:c>
      <x:c r="O2661" s="78" t="n">
        <x:f>H2661-N2661</x:f>
        <x:v>348555.59341619996</x:v>
      </x:c>
      <x:c r="P2661" s="78" t="n">
        <x:f>I2661+L2661*(1-'Inputs'!$B$17)</x:f>
        <x:v>295526.676675412</x:v>
      </x:c>
      <x:c r="Q2661" s="78" t="n">
        <x:f>IF(J2661&gt;0,M2661/J2661,0)</x:f>
        <x:v>0</x:v>
      </x:c>
      <x:c r="R2661" s="78" t="n">
        <x:f>IF(B2661='Inputs'!$H$51,'Inputs'!$B$27*'Inputs'!$I$51,0)</x:f>
        <x:v>0</x:v>
      </x:c>
      <x:c r="S2661" s="78" t="n">
        <x:f>Q2661+G2661+R2661</x:f>
        <x:v>244933.96978795287</x:v>
      </x:c>
      <x:c r="T2661" s="78" t="n">
        <x:f>P2661*(S2661*(1-'Inputs'!$B$15))/(O2661+S2661*(1-'Inputs'!$B$15))</x:f>
        <x:v>121245.0084196772</x:v>
      </x:c>
      <x:c r="U2661" s="78" t="n">
        <x:f>O2661+S2661*(1-'Inputs'!$B$17)</x:f>
        <x:v>592503.913426334</x:v>
      </x:c>
      <x:c r="V2661" s="78" t="n">
        <x:f>P2661-T2661</x:f>
        <x:v>174281.66825573478</x:v>
      </x:c>
      <x:c r="W2661" s="79" t="n">
        <x:f>IF(U2661&gt;0,V2661/U2661,0)</x:f>
        <x:v>0.2941443327317419</x:v>
      </x:c>
      <x:c r="X2661" s="80" t="n">
        <x:f>W2661*('Inputs'!$B$6-AC2661)</x:f>
        <x:v>293872687.2366682</x:v>
      </x:c>
      <x:c r="Y2661" s="80" t="n">
        <x:f>2*V2661</x:f>
        <x:v>348563.33651146956</x:v>
      </x:c>
      <x:c r="Z2661" s="80" t="n">
        <x:f>K2661*'Inputs'!$B$16+(G2661+R2661)*J2661*'Inputs'!$B$16</x:f>
        <x:v>7799.917908295392</x:v>
      </x:c>
      <x:c r="AA2661" s="80" t="n">
        <x:f>K2661*(1+'Inputs'!$E$51)/2*'Inputs'!$B$17</x:f>
        <x:v>2719.018812451659</x:v>
      </x:c>
      <x:c r="AB2661" s="78" t="n">
        <x:f>(IF(J2661&gt;0,K2661*(1-'Inputs'!$E$51)/2/J2661,0)+G2661+R2661)*'Inputs'!$B$17</x:f>
        <x:v>8608.214261189003</x:v>
      </x:c>
      <x:c r="AC2661" s="78" t="n">
        <x:f>AC2660+AB2661</x:f>
        <x:v>923510.8919178393</x:v>
      </x:c>
      <x:c r="AD2661" s="80" t="n">
        <x:f>Z2661/(1+'Inputs'!$C$51)</x:f>
        <x:v>2599.972636098464</x:v>
      </x:c>
      <x:c r="AE2661" s="80" t="n">
        <x:f>Z2661-AD2661</x:f>
        <x:v>5199.945272196928</x:v>
      </x:c>
      <x:c r="AF2661" s="80" t="n">
        <x:f>D2661*W2661</x:f>
        <x:v>85553.48540510412</x:v>
      </x:c>
      <x:c r="AG2661" s="80" t="n">
        <x:f>C2661*W2661</x:f>
        <x:v>199624.79927857808</x:v>
      </x:c>
      <x:c r="AH2661" s="80" t="n">
        <x:f>2*'Inputs'!$B$8*'Inputs'!$C$51</x:f>
        <x:v>10000</x:v>
      </x:c>
      <x:c r="AI2661" s="81" t="n">
        <x:f>IF(AH2661&gt;0,(AE2661+AF2661)/AH2661*365,0)</x:f>
        <x:v>3312.500219721488</x:v>
      </x:c>
      <x:c r="AJ2661" s="81" t="n">
        <x:f>IF('Inputs'!$B$51&gt;0,AG2661/('Inputs'!$B$19*'Inputs'!$B$51)*365,0)</x:f>
        <x:v>7286.305173668099</x:v>
      </x:c>
      <x:c r="AK2661" s="81" t="n">
        <x:f>W2661/MAX($W$2559:W2661)-1</x:f>
        <x:v>-0.7015762639125436</x:v>
      </x:c>
      <x:c r="AL2661" s="83" t="n">
        <x:f>'Inputs'!$B$51</x:f>
        <x:v>1</x:v>
      </x:c>
      <x:c r="AM2661" s="83" t="n">
        <x:f>'Inputs'!$C$51</x:f>
        <x:v>2</x:v>
      </x:c>
      <x:c r="AN2661" s="83" t="n">
        <x:f>'Inputs'!$D$51</x:f>
        <x:v>3</x:v>
      </x:c>
      <x:c r="AO2661" s="81" t="n">
        <x:f>'Inputs'!$E$51</x:f>
        <x:v>0.1</x:v>
      </x:c>
    </x:row>
    <x:row r="2662">
      <x:c r="A2662" s="59" t="str">
        <x:v>High demand</x:v>
      </x:c>
      <x:c r="B2662" s="59" t="n">
        <x:v>104</x:v>
      </x:c>
      <x:c r="C2662" s="78" t="n">
        <x:f>(('Inputs'!$B$29*(3*104*'Inputs'!$B$12-104^2)/(2*'Inputs'!$B$12^2))-('Inputs'!$B$29*(3*103*'Inputs'!$B$12-103^2)/(2*'Inputs'!$B$12^2)))*'Inputs'!$B$51</x:f>
        <x:v>678337.6337023824</x:v>
      </x:c>
      <x:c r="D2662" s="78" t="n">
        <x:f>IF('Inputs'!$C$51&gt;0,('Inputs'!$B$30*(3*104*'Inputs'!$B$12-104^2)/(2*'Inputs'!$B$12^2))-('Inputs'!$B$30*(3*103*'Inputs'!$B$12-103^2)/(2*'Inputs'!$B$12^2)),0)</x:f>
        <x:v>290716.128729593</x:v>
      </x:c>
      <x:c r="E2662" s="78" t="n">
        <x:f>C2662+D2662</x:f>
        <x:v>969053.7624319755</x:v>
      </x:c>
      <x:c r="F2662" s="78" t="n">
        <x:f>'Inputs'!$B$13*E2662+(1-'Inputs'!$B$13)/'Inputs'!$B$14*SUM(E2607:E2662)</x:f>
        <x:v>979271.4392944269</x:v>
      </x:c>
      <x:c r="G2662" s="78" t="n">
        <x:f>F2662*'Inputs'!$F$51</x:f>
        <x:v>244817.85982360673</x:v>
      </x:c>
      <x:c r="H2662" s="78" t="n">
        <x:f>U2661</x:f>
        <x:v>592503.913426334</x:v>
      </x:c>
      <x:c r="I2662" s="78" t="n">
        <x:f>V2661</x:f>
        <x:v>174281.66825573478</x:v>
      </x:c>
      <x:c r="J2662" s="79" t="n">
        <x:f>IF(H2662&gt;0,I2662/H2662,0)</x:f>
        <x:v>0.2941443327317419</x:v>
      </x:c>
      <x:c r="K2662" s="80" t="n">
        <x:f>(H2662*J2662+I2662)*'Inputs'!$D$51*(1+'Inputs'!$G$51)^(B2662/30)</x:f>
        <x:v>1238395.0162628684</x:v>
      </x:c>
      <x:c r="L2662" s="80" t="n">
        <x:f>MAX(0,K2662*'Inputs'!$E$51)</x:f>
        <x:v>123839.50162628684</x:v>
      </x:c>
      <x:c r="M2662" s="80" t="n">
        <x:f>MAX(0,-K2662*'Inputs'!$E$51)</x:f>
        <x:v>0</x:v>
      </x:c>
      <x:c r="N2662" s="78" t="n">
        <x:f>H2662*(L2662*(1-'Inputs'!$B$15))/(I2662+L2662*(1-'Inputs'!$B$15))</x:f>
        <x:v>244681.2062090322</x:v>
      </x:c>
      <x:c r="O2662" s="78" t="n">
        <x:f>H2662-N2662</x:f>
        <x:v>347822.7072173018</x:v>
      </x:c>
      <x:c r="P2662" s="78" t="n">
        <x:f>I2662+L2662*(1-'Inputs'!$B$17)</x:f>
        <x:v>297622.82178694603</x:v>
      </x:c>
      <x:c r="Q2662" s="78" t="n">
        <x:f>IF(J2662&gt;0,M2662/J2662,0)</x:f>
        <x:v>0</x:v>
      </x:c>
      <x:c r="R2662" s="78" t="n">
        <x:f>IF(B2662='Inputs'!$H$51,'Inputs'!$B$27*'Inputs'!$I$51,0)</x:f>
        <x:v>0</x:v>
      </x:c>
      <x:c r="S2662" s="78" t="n">
        <x:f>Q2662+G2662+R2662</x:f>
        <x:v>244817.85982360673</x:v>
      </x:c>
      <x:c r="T2662" s="78" t="n">
        <x:f>P2662*(S2662*(1-'Inputs'!$B$15))/(O2662+S2662*(1-'Inputs'!$B$15))</x:f>
        <x:v>122222.43094703027</x:v>
      </x:c>
      <x:c r="U2662" s="78" t="n">
        <x:f>O2662+S2662*(1-'Inputs'!$B$17)</x:f>
        <x:v>591655.3845064071</x:v>
      </x:c>
      <x:c r="V2662" s="78" t="n">
        <x:f>P2662-T2662</x:f>
        <x:v>175400.39083991578</x:v>
      </x:c>
      <x:c r="W2662" s="79" t="n">
        <x:f>IF(U2662&gt;0,V2662/U2662,0)</x:f>
        <x:v>0.2964570177726767</x:v>
      </x:c>
      <x:c r="X2662" s="80" t="n">
        <x:f>W2662*('Inputs'!$B$6-AC2662)</x:f>
        <x:v>296180684.22508454</x:v>
      </x:c>
      <x:c r="Y2662" s="80" t="n">
        <x:f>2*V2662</x:f>
        <x:v>350800.78167983156</x:v>
      </x:c>
      <x:c r="Z2662" s="80" t="n">
        <x:f>K2662*'Inputs'!$B$16+(G2662+R2662)*J2662*'Inputs'!$B$16</x:f>
        <x:v>7862.440813688979</x:v>
      </x:c>
      <x:c r="AA2662" s="80" t="n">
        <x:f>K2662*(1+'Inputs'!$E$51)/2*'Inputs'!$B$17</x:f>
        <x:v>2740.9145229158057</x:v>
      </x:c>
      <x:c r="AB2662" s="78" t="n">
        <x:f>(IF(J2662&gt;0,K2662*(1-'Inputs'!$E$51)/2/J2662,0)+G2662+R2662)*'Inputs'!$B$17</x:f>
        <x:v>8609.216650723602</x:v>
      </x:c>
      <x:c r="AC2662" s="78" t="n">
        <x:f>AC2661+AB2662</x:f>
        <x:v>932120.1085685629</x:v>
      </x:c>
      <x:c r="AD2662" s="80" t="n">
        <x:f>Z2662/(1+'Inputs'!$C$51)</x:f>
        <x:v>2620.813604562993</x:v>
      </x:c>
      <x:c r="AE2662" s="80" t="n">
        <x:f>Z2662-AD2662</x:f>
        <x:v>5241.627209125985</x:v>
      </x:c>
      <x:c r="AF2662" s="80" t="n">
        <x:f>D2662*W2662</x:f>
        <x:v>86184.83654159273</x:v>
      </x:c>
      <x:c r="AG2662" s="80" t="n">
        <x:f>C2662*W2662</x:f>
        <x:v>201097.95193038264</x:v>
      </x:c>
      <x:c r="AH2662" s="80" t="n">
        <x:f>2*'Inputs'!$B$8*'Inputs'!$C$51</x:f>
        <x:v>10000</x:v>
      </x:c>
      <x:c r="AI2662" s="81" t="n">
        <x:f>IF(AH2662&gt;0,(AE2662+AF2662)/AH2662*365,0)</x:f>
        <x:v>3337.065926901233</x:v>
      </x:c>
      <x:c r="AJ2662" s="81" t="n">
        <x:f>IF('Inputs'!$B$51&gt;0,AG2662/('Inputs'!$B$19*'Inputs'!$B$51)*365,0)</x:f>
        <x:v>7340.075245458966</x:v>
      </x:c>
      <x:c r="AK2662" s="81" t="n">
        <x:f>W2662/MAX($W$2559:W2662)-1</x:f>
        <x:v>-0.6992299324231698</x:v>
      </x:c>
      <x:c r="AL2662" s="83" t="n">
        <x:f>'Inputs'!$B$51</x:f>
        <x:v>1</x:v>
      </x:c>
      <x:c r="AM2662" s="83" t="n">
        <x:f>'Inputs'!$C$51</x:f>
        <x:v>2</x:v>
      </x:c>
      <x:c r="AN2662" s="83" t="n">
        <x:f>'Inputs'!$D$51</x:f>
        <x:v>3</x:v>
      </x:c>
      <x:c r="AO2662" s="81" t="n">
        <x:f>'Inputs'!$E$51</x:f>
        <x:v>0.1</x:v>
      </x:c>
    </x:row>
    <x:row r="2663">
      <x:c r="A2663" s="59" t="str">
        <x:v>High demand</x:v>
      </x:c>
      <x:c r="B2663" s="59" t="n">
        <x:v>105</x:v>
      </x:c>
      <x:c r="C2663" s="78" t="n">
        <x:f>(('Inputs'!$B$29*(3*105*'Inputs'!$B$12-105^2)/(2*'Inputs'!$B$12^2))-('Inputs'!$B$29*(3*104*'Inputs'!$B$12-104^2)/(2*'Inputs'!$B$12^2)))*'Inputs'!$B$51</x:f>
        <x:v>678012.52580221</x:v>
      </x:c>
      <x:c r="D2663" s="78" t="n">
        <x:f>IF('Inputs'!$C$51&gt;0,('Inputs'!$B$30*(3*105*'Inputs'!$B$12-105^2)/(2*'Inputs'!$B$12^2))-('Inputs'!$B$30*(3*104*'Inputs'!$B$12-104^2)/(2*'Inputs'!$B$12^2)),0)</x:f>
        <x:v>290576.7967723794</x:v>
      </x:c>
      <x:c r="E2663" s="78" t="n">
        <x:f>C2663+D2663</x:f>
        <x:v>968589.3225745894</x:v>
      </x:c>
      <x:c r="F2663" s="78" t="n">
        <x:f>'Inputs'!$B$13*E2663+(1-'Inputs'!$B$13)/'Inputs'!$B$14*SUM(E2608:E2663)</x:f>
        <x:v>978806.9994370425</x:v>
      </x:c>
      <x:c r="G2663" s="78" t="n">
        <x:f>F2663*'Inputs'!$F$51</x:f>
        <x:v>244701.74985926063</x:v>
      </x:c>
      <x:c r="H2663" s="78" t="n">
        <x:f>U2662</x:f>
        <x:v>591655.3845064071</x:v>
      </x:c>
      <x:c r="I2663" s="78" t="n">
        <x:f>V2662</x:f>
        <x:v>175400.39083991578</x:v>
      </x:c>
      <x:c r="J2663" s="79" t="n">
        <x:f>IF(H2663&gt;0,I2663/H2663,0)</x:f>
        <x:v>0.2964570177726767</x:v>
      </x:c>
      <x:c r="K2663" s="80" t="n">
        <x:f>(H2663*J2663+I2663)*'Inputs'!$D$51*(1+'Inputs'!$G$51)^(B2663/30)</x:f>
        <x:v>1248372.9619934103</x:v>
      </x:c>
      <x:c r="L2663" s="80" t="n">
        <x:f>MAX(0,K2663*'Inputs'!$E$51)</x:f>
        <x:v>124837.29619934103</x:v>
      </x:c>
      <x:c r="M2663" s="80" t="n">
        <x:f>MAX(0,-K2663*'Inputs'!$E$51)</x:f>
        <x:v>0</x:v>
      </x:c>
      <x:c r="N2663" s="78" t="n">
        <x:f>H2663*(L2663*(1-'Inputs'!$B$15))/(I2663+L2663*(1-'Inputs'!$B$15))</x:f>
        <x:v>244564.09796582183</x:v>
      </x:c>
      <x:c r="O2663" s="78" t="n">
        <x:f>H2663-N2663</x:f>
        <x:v>347091.2865405852</x:v>
      </x:c>
      <x:c r="P2663" s="78" t="n">
        <x:f>I2663+L2663*(1-'Inputs'!$B$17)</x:f>
        <x:v>299735.3236742695</x:v>
      </x:c>
      <x:c r="Q2663" s="78" t="n">
        <x:f>IF(J2663&gt;0,M2663/J2663,0)</x:f>
        <x:v>0</x:v>
      </x:c>
      <x:c r="R2663" s="78" t="n">
        <x:f>IF(B2663='Inputs'!$H$51,'Inputs'!$B$27*'Inputs'!$I$51,0)</x:f>
        <x:v>0</x:v>
      </x:c>
      <x:c r="S2663" s="78" t="n">
        <x:f>Q2663+G2663+R2663</x:f>
        <x:v>244701.74985926063</x:v>
      </x:c>
      <x:c r="T2663" s="78" t="n">
        <x:f>P2663*(S2663*(1-'Inputs'!$B$15))/(O2663+S2663*(1-'Inputs'!$B$15))</x:f>
        <x:v>123208.26524139933</x:v>
      </x:c>
      <x:c r="U2663" s="78" t="n">
        <x:f>O2663+S2663*(1-'Inputs'!$B$17)</x:f>
        <x:v>590808.3211086617</x:v>
      </x:c>
      <x:c r="V2663" s="78" t="n">
        <x:f>P2663-T2663</x:f>
        <x:v>176527.05843287014</x:v>
      </x:c>
      <x:c r="W2663" s="79" t="n">
        <x:f>IF(U2663&gt;0,V2663/U2663,0)</x:f>
        <x:v>0.2987890524317839</x:v>
      </x:c>
      <x:c r="X2663" s="80" t="n">
        <x:f>W2663*('Inputs'!$B$6-AC2663)</x:f>
        <x:v>298507972.50755364</x:v>
      </x:c>
      <x:c r="Y2663" s="80" t="n">
        <x:f>2*V2663</x:f>
        <x:v>353054.1168657403</x:v>
      </x:c>
      <x:c r="Z2663" s="80" t="n">
        <x:f>K2663*'Inputs'!$B$16+(G2663+R2663)*J2663*'Inputs'!$B$16</x:f>
        <x:v>7925.499078002654</x:v>
      </x:c>
      <x:c r="AA2663" s="80" t="n">
        <x:f>K2663*(1+'Inputs'!$E$51)/2*'Inputs'!$B$17</x:f>
        <x:v>2762.9985074300835</x:v>
      </x:c>
      <x:c r="AB2663" s="78" t="n">
        <x:f>(IF(J2663&gt;0,K2663*(1-'Inputs'!$E$51)/2/J2663,0)+G2663+R2663)*'Inputs'!$B$17</x:f>
        <x:v>8610.2225550272</x:v>
      </x:c>
      <x:c r="AC2663" s="78" t="n">
        <x:f>AC2662+AB2663</x:f>
        <x:v>940730.3311235901</x:v>
      </x:c>
      <x:c r="AD2663" s="80" t="n">
        <x:f>Z2663/(1+'Inputs'!$C$51)</x:f>
        <x:v>2641.8330260008847</x:v>
      </x:c>
      <x:c r="AE2663" s="80" t="n">
        <x:f>Z2663-AD2663</x:f>
        <x:v>5283.666052001769</x:v>
      </x:c>
      <x:c r="AF2663" s="80" t="n">
        <x:f>D2663*W2663</x:f>
        <x:v>86821.16576628228</x:v>
      </x:c>
      <x:c r="AG2663" s="80" t="n">
        <x:f>C2663*W2663</x:f>
        <x:v>202582.72012132275</x:v>
      </x:c>
      <x:c r="AH2663" s="80" t="n">
        <x:f>2*'Inputs'!$B$8*'Inputs'!$C$51</x:f>
        <x:v>10000</x:v>
      </x:c>
      <x:c r="AI2663" s="81" t="n">
        <x:f>IF(AH2663&gt;0,(AE2663+AF2663)/AH2663*365,0)</x:f>
        <x:v>3361.8263613673685</x:v>
      </x:c>
      <x:c r="AJ2663" s="81" t="n">
        <x:f>IF('Inputs'!$B$51&gt;0,AG2663/('Inputs'!$B$19*'Inputs'!$B$51)*365,0)</x:f>
        <x:v>7394.26928442828</x:v>
      </x:c>
      <x:c r="AK2663" s="81" t="n">
        <x:f>W2663/MAX($W$2559:W2663)-1</x:f>
        <x:v>-0.6968639698047743</x:v>
      </x:c>
      <x:c r="AL2663" s="83" t="n">
        <x:f>'Inputs'!$B$51</x:f>
        <x:v>1</x:v>
      </x:c>
      <x:c r="AM2663" s="83" t="n">
        <x:f>'Inputs'!$C$51</x:f>
        <x:v>2</x:v>
      </x:c>
      <x:c r="AN2663" s="83" t="n">
        <x:f>'Inputs'!$D$51</x:f>
        <x:v>3</x:v>
      </x:c>
      <x:c r="AO2663" s="81" t="n">
        <x:f>'Inputs'!$E$51</x:f>
        <x:v>0.1</x:v>
      </x:c>
    </x:row>
    <x:row r="2664">
      <x:c r="A2664" s="59" t="str">
        <x:v>High demand</x:v>
      </x:c>
      <x:c r="B2664" s="59" t="n">
        <x:v>106</x:v>
      </x:c>
      <x:c r="C2664" s="78" t="n">
        <x:f>(('Inputs'!$B$29*(3*106*'Inputs'!$B$12-106^2)/(2*'Inputs'!$B$12^2))-('Inputs'!$B$29*(3*105*'Inputs'!$B$12-105^2)/(2*'Inputs'!$B$12^2)))*'Inputs'!$B$51</x:f>
        <x:v>677687.4179020375</x:v>
      </x:c>
      <x:c r="D2664" s="78" t="n">
        <x:f>IF('Inputs'!$C$51&gt;0,('Inputs'!$B$30*(3*106*'Inputs'!$B$12-106^2)/(2*'Inputs'!$B$12^2))-('Inputs'!$B$30*(3*105*'Inputs'!$B$12-105^2)/(2*'Inputs'!$B$12^2)),0)</x:f>
        <x:v>290437.4648151621</x:v>
      </x:c>
      <x:c r="E2664" s="78" t="n">
        <x:f>C2664+D2664</x:f>
        <x:v>968124.8827171996</x:v>
      </x:c>
      <x:c r="F2664" s="78" t="n">
        <x:f>'Inputs'!$B$13*E2664+(1-'Inputs'!$B$13)/'Inputs'!$B$14*SUM(E2609:E2664)</x:f>
        <x:v>978342.5595796569</x:v>
      </x:c>
      <x:c r="G2664" s="78" t="n">
        <x:f>F2664*'Inputs'!$F$51</x:f>
        <x:v>244585.63989491423</x:v>
      </x:c>
      <x:c r="H2664" s="78" t="n">
        <x:f>U2663</x:f>
        <x:v>590808.3211086617</x:v>
      </x:c>
      <x:c r="I2664" s="78" t="n">
        <x:f>V2663</x:f>
        <x:v>176527.05843287014</x:v>
      </x:c>
      <x:c r="J2664" s="79" t="n">
        <x:f>IF(H2664&gt;0,I2664/H2664,0)</x:f>
        <x:v>0.2987890524317839</x:v>
      </x:c>
      <x:c r="K2664" s="80" t="n">
        <x:f>(H2664*J2664+I2664)*'Inputs'!$D$51*(1+'Inputs'!$G$51)^(B2664/30)</x:f>
        <x:v>1258436.7471687645</x:v>
      </x:c>
      <x:c r="L2664" s="80" t="n">
        <x:f>MAX(0,K2664*'Inputs'!$E$51)</x:f>
        <x:v>125843.67471687646</x:v>
      </x:c>
      <x:c r="M2664" s="80" t="n">
        <x:f>MAX(0,-K2664*'Inputs'!$E$51)</x:f>
        <x:v>0</x:v>
      </x:c>
      <x:c r="N2664" s="78" t="n">
        <x:f>H2664*(L2664*(1-'Inputs'!$B$15))/(I2664+L2664*(1-'Inputs'!$B$15))</x:f>
        <x:v>244446.99256451867</x:v>
      </x:c>
      <x:c r="O2664" s="78" t="n">
        <x:f>H2664-N2664</x:f>
        <x:v>346361.328544143</x:v>
      </x:c>
      <x:c r="P2664" s="78" t="n">
        <x:f>I2664+L2664*(1-'Inputs'!$B$17)</x:f>
        <x:v>301864.3199718115</x:v>
      </x:c>
      <x:c r="Q2664" s="78" t="n">
        <x:f>IF(J2664&gt;0,M2664/J2664,0)</x:f>
        <x:v>0</x:v>
      </x:c>
      <x:c r="R2664" s="78" t="n">
        <x:f>IF(B2664='Inputs'!$H$51,'Inputs'!$B$27*'Inputs'!$I$51,0)</x:f>
        <x:v>0</x:v>
      </x:c>
      <x:c r="S2664" s="78" t="n">
        <x:f>Q2664+G2664+R2664</x:f>
        <x:v>244585.63989491423</x:v>
      </x:c>
      <x:c r="T2664" s="78" t="n">
        <x:f>P2664*(S2664*(1-'Inputs'!$B$15))/(O2664+S2664*(1-'Inputs'!$B$15))</x:f>
        <x:v>124202.58787573819</x:v>
      </x:c>
      <x:c r="U2664" s="78" t="n">
        <x:f>O2664+S2664*(1-'Inputs'!$B$17)</x:f>
        <x:v>589962.7203911904</x:v>
      </x:c>
      <x:c r="V2664" s="78" t="n">
        <x:f>P2664-T2664</x:f>
        <x:v>177661.7320960733</x:v>
      </x:c>
      <x:c r="W2664" s="79" t="n">
        <x:f>IF(U2664&gt;0,V2664/U2664,0)</x:f>
        <x:v>0.30114060762732603</x:v>
      </x:c>
      <x:c r="X2664" s="80" t="n">
        <x:f>W2664*('Inputs'!$B$6-AC2664)</x:f>
        <x:v>300854722.33216846</x:v>
      </x:c>
      <x:c r="Y2664" s="80" t="n">
        <x:f>2*V2664</x:f>
        <x:v>355323.4641921466</x:v>
      </x:c>
      <x:c r="Z2664" s="80" t="n">
        <x:f>K2664*'Inputs'!$B$16+(G2664+R2664)*J2664*'Inputs'!$B$16</x:f>
        <x:v>7989.097552508325</x:v>
      </x:c>
      <x:c r="AA2664" s="80" t="n">
        <x:f>K2664*(1+'Inputs'!$E$51)/2*'Inputs'!$B$17</x:f>
        <x:v>2785.2724786431413</x:v>
      </x:c>
      <x:c r="AB2664" s="78" t="n">
        <x:f>(IF(J2664&gt;0,K2664*(1-'Inputs'!$E$51)/2/J2664,0)+G2664+R2664)*'Inputs'!$B$17</x:f>
        <x:v>8611.23197569436</x:v>
      </x:c>
      <x:c r="AC2664" s="78" t="n">
        <x:f>AC2663+AB2664</x:f>
        <x:v>949341.5630992844</x:v>
      </x:c>
      <x:c r="AD2664" s="80" t="n">
        <x:f>Z2664/(1+'Inputs'!$C$51)</x:f>
        <x:v>2663.032517502775</x:v>
      </x:c>
      <x:c r="AE2664" s="80" t="n">
        <x:f>Z2664-AD2664</x:f>
        <x:v>5326.065035005549</x:v>
      </x:c>
      <x:c r="AF2664" s="80" t="n">
        <x:f>D2664*W2664</x:f>
        <x:v>87462.51463217805</x:v>
      </x:c>
      <x:c r="AG2664" s="80" t="n">
        <x:f>C2664*W2664</x:f>
        <x:v>204079.2008084132</x:v>
      </x:c>
      <x:c r="AH2664" s="80" t="n">
        <x:f>2*'Inputs'!$B$8*'Inputs'!$C$51</x:f>
        <x:v>10000</x:v>
      </x:c>
      <x:c r="AI2664" s="81" t="n">
        <x:f>IF(AH2664&gt;0,(AE2664+AF2664)/AH2664*365,0)</x:f>
        <x:v>3386.783157852202</x:v>
      </x:c>
      <x:c r="AJ2664" s="81" t="n">
        <x:f>IF('Inputs'!$B$51&gt;0,AG2664/('Inputs'!$B$19*'Inputs'!$B$51)*365,0)</x:f>
        <x:v>7448.890829507082</x:v>
      </x:c>
      <x:c r="AK2664" s="81" t="n">
        <x:f>W2664/MAX($W$2559:W2664)-1</x:f>
        <x:v>-0.6944782026524641</x:v>
      </x:c>
      <x:c r="AL2664" s="83" t="n">
        <x:f>'Inputs'!$B$51</x:f>
        <x:v>1</x:v>
      </x:c>
      <x:c r="AM2664" s="83" t="n">
        <x:f>'Inputs'!$C$51</x:f>
        <x:v>2</x:v>
      </x:c>
      <x:c r="AN2664" s="83" t="n">
        <x:f>'Inputs'!$D$51</x:f>
        <x:v>3</x:v>
      </x:c>
      <x:c r="AO2664" s="81" t="n">
        <x:f>'Inputs'!$E$51</x:f>
        <x:v>0.1</x:v>
      </x:c>
    </x:row>
    <x:row r="2665">
      <x:c r="A2665" s="59" t="str">
        <x:v>High demand</x:v>
      </x:c>
      <x:c r="B2665" s="59" t="n">
        <x:v>107</x:v>
      </x:c>
      <x:c r="C2665" s="78" t="n">
        <x:f>(('Inputs'!$B$29*(3*107*'Inputs'!$B$12-107^2)/(2*'Inputs'!$B$12^2))-('Inputs'!$B$29*(3*106*'Inputs'!$B$12-106^2)/(2*'Inputs'!$B$12^2)))*'Inputs'!$B$51</x:f>
        <x:v>677362.3100018799</x:v>
      </x:c>
      <x:c r="D2665" s="78" t="n">
        <x:f>IF('Inputs'!$C$51&gt;0,('Inputs'!$B$30*(3*107*'Inputs'!$B$12-107^2)/(2*'Inputs'!$B$12^2))-('Inputs'!$B$30*(3*106*'Inputs'!$B$12-106^2)/(2*'Inputs'!$B$12^2)),0)</x:f>
        <x:v>290298.1328579448</x:v>
      </x:c>
      <x:c r="E2665" s="78" t="n">
        <x:f>C2665+D2665</x:f>
        <x:v>967660.4428598247</x:v>
      </x:c>
      <x:c r="F2665" s="78" t="n">
        <x:f>'Inputs'!$B$13*E2665+(1-'Inputs'!$B$13)/'Inputs'!$B$14*SUM(E2610:E2665)</x:f>
        <x:v>977878.1197222748</x:v>
      </x:c>
      <x:c r="G2665" s="78" t="n">
        <x:f>F2665*'Inputs'!$F$51</x:f>
        <x:v>244469.5299305687</x:v>
      </x:c>
      <x:c r="H2665" s="78" t="n">
        <x:f>U2664</x:f>
        <x:v>589962.7203911904</x:v>
      </x:c>
      <x:c r="I2665" s="78" t="n">
        <x:f>V2664</x:f>
        <x:v>177661.7320960733</x:v>
      </x:c>
      <x:c r="J2665" s="79" t="n">
        <x:f>IF(H2665&gt;0,I2665/H2665,0)</x:f>
        <x:v>0.30114060762732603</x:v>
      </x:c>
      <x:c r="K2665" s="80" t="n">
        <x:f>(H2665*J2665+I2665)*'Inputs'!$D$51*(1+'Inputs'!$G$51)^(B2665/30)</x:f>
        <x:v>1268587.1529858983</x:v>
      </x:c>
      <x:c r="L2665" s="80" t="n">
        <x:f>MAX(0,K2665*'Inputs'!$E$51)</x:f>
        <x:v>126858.71529858984</x:v>
      </x:c>
      <x:c r="M2665" s="80" t="n">
        <x:f>MAX(0,-K2665*'Inputs'!$E$51)</x:f>
        <x:v>0</x:v>
      </x:c>
      <x:c r="N2665" s="78" t="n">
        <x:f>H2665*(L2665*(1-'Inputs'!$B$15))/(I2665+L2665*(1-'Inputs'!$B$15))</x:f>
        <x:v>244329.88999971747</x:v>
      </x:c>
      <x:c r="O2665" s="78" t="n">
        <x:f>H2665-N2665</x:f>
        <x:v>345632.8303914729</x:v>
      </x:c>
      <x:c r="P2665" s="78" t="n">
        <x:f>I2665+L2665*(1-'Inputs'!$B$17)</x:f>
        <x:v>304009.9495463791</x:v>
      </x:c>
      <x:c r="Q2665" s="78" t="n">
        <x:f>IF(J2665&gt;0,M2665/J2665,0)</x:f>
        <x:v>0</x:v>
      </x:c>
      <x:c r="R2665" s="78" t="n">
        <x:f>IF(B2665='Inputs'!$H$51,'Inputs'!$B$27*'Inputs'!$I$51,0)</x:f>
        <x:v>0</x:v>
      </x:c>
      <x:c r="S2665" s="78" t="n">
        <x:f>Q2665+G2665+R2665</x:f>
        <x:v>244469.5299305687</x:v>
      </x:c>
      <x:c r="T2665" s="78" t="n">
        <x:f>P2665*(S2665*(1-'Inputs'!$B$15))/(O2665+S2665*(1-'Inputs'!$B$15))</x:f>
        <x:v>125205.47615485343</x:v>
      </x:c>
      <x:c r="U2665" s="78" t="n">
        <x:f>O2665+S2665*(1-'Inputs'!$B$17)</x:f>
        <x:v>589118.5795174921</x:v>
      </x:c>
      <x:c r="V2665" s="78" t="n">
        <x:f>P2665-T2665</x:f>
        <x:v>178804.47339152568</x:v>
      </x:c>
      <x:c r="W2665" s="79" t="n">
        <x:f>IF(U2665&gt;0,V2665/U2665,0)</x:f>
        <x:v>0.3035118558609585</x:v>
      </x:c>
      <x:c r="X2665" s="80" t="n">
        <x:f>W2665*('Inputs'!$B$6-AC2665)</x:f>
        <x:v>303221105.5228593</x:v>
      </x:c>
      <x:c r="Y2665" s="80" t="n">
        <x:f>2*V2665</x:f>
        <x:v>357608.94678305136</x:v>
      </x:c>
      <x:c r="Z2665" s="80" t="n">
        <x:f>K2665*'Inputs'!$B$16+(G2665+R2665)*J2665*'Inputs'!$B$16</x:f>
        <x:v>8053.24113465334</x:v>
      </x:c>
      <x:c r="AA2665" s="80" t="n">
        <x:f>K2665*(1+'Inputs'!$E$51)/2*'Inputs'!$B$17</x:f>
        <x:v>2807.738165562351</x:v>
      </x:c>
      <x:c r="AB2665" s="78" t="n">
        <x:f>(IF(J2665&gt;0,K2665*(1-'Inputs'!$E$51)/2/J2665,0)+G2665+R2665)*'Inputs'!$B$17</x:f>
        <x:v>8612.244914315921</x:v>
      </x:c>
      <x:c r="AC2665" s="78" t="n">
        <x:f>AC2664+AB2665</x:f>
        <x:v>957953.8080136003</x:v>
      </x:c>
      <x:c r="AD2665" s="80" t="n">
        <x:f>Z2665/(1+'Inputs'!$C$51)</x:f>
        <x:v>2684.4137115511135</x:v>
      </x:c>
      <x:c r="AE2665" s="80" t="n">
        <x:f>Z2665-AD2665</x:f>
        <x:v>5368.827423102226</x:v>
      </x:c>
      <x:c r="AF2665" s="80" t="n">
        <x:f>D2665*W2665</x:f>
        <x:v>88108.92505668594</x:v>
      </x:c>
      <x:c r="AG2665" s="80" t="n">
        <x:f>C2665*W2665</x:f>
        <x:v>205587.49179893648</x:v>
      </x:c>
      <x:c r="AH2665" s="80" t="n">
        <x:f>2*'Inputs'!$B$8*'Inputs'!$C$51</x:f>
        <x:v>10000</x:v>
      </x:c>
      <x:c r="AI2665" s="81" t="n">
        <x:f>IF(AH2665&gt;0,(AE2665+AF2665)/AH2665*365,0)</x:f>
        <x:v>3411.937965512268</x:v>
      </x:c>
      <x:c r="AJ2665" s="81" t="n">
        <x:f>IF('Inputs'!$B$51&gt;0,AG2665/('Inputs'!$B$19*'Inputs'!$B$51)*365,0)</x:f>
        <x:v>7503.9434506611815</x:v>
      </x:c>
      <x:c r="AK2665" s="81" t="n">
        <x:f>W2665/MAX($W$2559:W2665)-1</x:f>
        <x:v>-0.6920724559549176</x:v>
      </x:c>
      <x:c r="AL2665" s="83" t="n">
        <x:f>'Inputs'!$B$51</x:f>
        <x:v>1</x:v>
      </x:c>
      <x:c r="AM2665" s="83" t="n">
        <x:f>'Inputs'!$C$51</x:f>
        <x:v>2</x:v>
      </x:c>
      <x:c r="AN2665" s="83" t="n">
        <x:f>'Inputs'!$D$51</x:f>
        <x:v>3</x:v>
      </x:c>
      <x:c r="AO2665" s="81" t="n">
        <x:f>'Inputs'!$E$51</x:f>
        <x:v>0.1</x:v>
      </x:c>
    </x:row>
    <x:row r="2666">
      <x:c r="A2666" s="59" t="str">
        <x:v>High demand</x:v>
      </x:c>
      <x:c r="B2666" s="59" t="n">
        <x:v>108</x:v>
      </x:c>
      <x:c r="C2666" s="78" t="n">
        <x:f>(('Inputs'!$B$29*(3*108*'Inputs'!$B$12-108^2)/(2*'Inputs'!$B$12^2))-('Inputs'!$B$29*(3*107*'Inputs'!$B$12-107^2)/(2*'Inputs'!$B$12^2)))*'Inputs'!$B$51</x:f>
        <x:v>677037.2021017075</x:v>
      </x:c>
      <x:c r="D2666" s="78" t="n">
        <x:f>IF('Inputs'!$C$51&gt;0,('Inputs'!$B$30*(3*108*'Inputs'!$B$12-108^2)/(2*'Inputs'!$B$12^2))-('Inputs'!$B$30*(3*107*'Inputs'!$B$12-107^2)/(2*'Inputs'!$B$12^2)),0)</x:f>
        <x:v>290158.80090073124</x:v>
      </x:c>
      <x:c r="E2666" s="78" t="n">
        <x:f>C2666+D2666</x:f>
        <x:v>967196.0030024387</x:v>
      </x:c>
      <x:c r="F2666" s="78" t="n">
        <x:f>'Inputs'!$B$13*E2666+(1-'Inputs'!$B$13)/'Inputs'!$B$14*SUM(E2611:E2666)</x:f>
        <x:v>977413.6798648901</x:v>
      </x:c>
      <x:c r="G2666" s="78" t="n">
        <x:f>F2666*'Inputs'!$F$51</x:f>
        <x:v>244353.41996622251</x:v>
      </x:c>
      <x:c r="H2666" s="78" t="n">
        <x:f>U2665</x:f>
        <x:v>589118.5795174921</x:v>
      </x:c>
      <x:c r="I2666" s="78" t="n">
        <x:f>V2665</x:f>
        <x:v>178804.47339152568</x:v>
      </x:c>
      <x:c r="J2666" s="79" t="n">
        <x:f>IF(H2666&gt;0,I2666/H2666,0)</x:f>
        <x:v>0.3035118558609585</x:v>
      </x:c>
      <x:c r="K2666" s="80" t="n">
        <x:f>(H2666*J2666+I2666)*'Inputs'!$D$51*(1+'Inputs'!$G$51)^(B2666/30)</x:f>
        <x:v>1278824.9681066093</x:v>
      </x:c>
      <x:c r="L2666" s="80" t="n">
        <x:f>MAX(0,K2666*'Inputs'!$E$51)</x:f>
        <x:v>127882.49681066093</x:v>
      </x:c>
      <x:c r="M2666" s="80" t="n">
        <x:f>MAX(0,-K2666*'Inputs'!$E$51)</x:f>
        <x:v>0</x:v>
      </x:c>
      <x:c r="N2666" s="78" t="n">
        <x:f>H2666*(L2666*(1-'Inputs'!$B$15))/(I2666+L2666*(1-'Inputs'!$B$15))</x:f>
        <x:v>244212.7902660192</x:v>
      </x:c>
      <x:c r="O2666" s="78" t="n">
        <x:f>H2666-N2666</x:f>
        <x:v>344905.7892514729</x:v>
      </x:c>
      <x:c r="P2666" s="78" t="n">
        <x:f>I2666+L2666*(1-'Inputs'!$B$17)</x:f>
        <x:v>306172.3525087836</x:v>
      </x:c>
      <x:c r="Q2666" s="78" t="n">
        <x:f>IF(J2666&gt;0,M2666/J2666,0)</x:f>
        <x:v>0</x:v>
      </x:c>
      <x:c r="R2666" s="78" t="n">
        <x:f>IF(B2666='Inputs'!$H$51,'Inputs'!$B$27*'Inputs'!$I$51,0)</x:f>
        <x:v>0</x:v>
      </x:c>
      <x:c r="S2666" s="78" t="n">
        <x:f>Q2666+G2666+R2666</x:f>
        <x:v>244353.41996622251</x:v>
      </x:c>
      <x:c r="T2666" s="78" t="n">
        <x:f>P2666*(S2666*(1-'Inputs'!$B$15))/(O2666+S2666*(1-'Inputs'!$B$15))</x:f>
        <x:v>126217.00812270015</x:v>
      </x:c>
      <x:c r="U2666" s="78" t="n">
        <x:f>O2666+S2666*(1-'Inputs'!$B$17)</x:f>
        <x:v>588275.8956564631</x:v>
      </x:c>
      <x:c r="V2666" s="78" t="n">
        <x:f>P2666-T2666</x:f>
        <x:v>179955.34438608342</x:v>
      </x:c>
      <x:c r="W2666" s="79" t="n">
        <x:f>IF(U2666&gt;0,V2666/U2666,0)</x:f>
        <x:v>0.305902971233029</x:v>
      </x:c>
      <x:c r="X2666" s="80" t="n">
        <x:f>W2666*('Inputs'!$B$6-AC2666)</x:f>
        <x:v>305607295.4946078</x:v>
      </x:c>
      <x:c r="Y2666" s="80" t="n">
        <x:f>2*V2666</x:f>
        <x:v>359910.68877216685</x:v>
      </x:c>
      <x:c r="Z2666" s="80" t="n">
        <x:f>K2666*'Inputs'!$B$16+(G2666+R2666)*J2666*'Inputs'!$B$16</x:f>
        <x:v>8117.934768519179</x:v>
      </x:c>
      <x:c r="AA2666" s="80" t="n">
        <x:f>K2666*(1+'Inputs'!$E$51)/2*'Inputs'!$B$17</x:f>
        <x:v>2830.397313716842</x:v>
      </x:c>
      <x:c r="AB2666" s="78" t="n">
        <x:f>(IF(J2666&gt;0,K2666*(1-'Inputs'!$E$51)/2/J2666,0)+G2666+R2666)*'Inputs'!$B$17</x:f>
        <x:v>8613.2613724791</x:v>
      </x:c>
      <x:c r="AC2666" s="78" t="n">
        <x:f>AC2665+AB2666</x:f>
        <x:v>966567.0693860794</x:v>
      </x:c>
      <x:c r="AD2666" s="80" t="n">
        <x:f>Z2666/(1+'Inputs'!$C$51)</x:f>
        <x:v>2705.9782561730594</x:v>
      </x:c>
      <x:c r="AE2666" s="80" t="n">
        <x:f>Z2666-AD2666</x:f>
        <x:v>5411.95651234612</x:v>
      </x:c>
      <x:c r="AF2666" s="80" t="n">
        <x:f>D2666*W2666</x:f>
        <x:v>88760.43932494658</x:v>
      </x:c>
      <x:c r="AG2666" s="80" t="n">
        <x:f>C2666*W2666</x:f>
        <x:v>207107.69175820905</x:v>
      </x:c>
      <x:c r="AH2666" s="80" t="n">
        <x:f>2*'Inputs'!$B$8*'Inputs'!$C$51</x:f>
        <x:v>10000</x:v>
      </x:c>
      <x:c r="AI2666" s="81" t="n">
        <x:f>IF(AH2666&gt;0,(AE2666+AF2666)/AH2666*365,0)</x:f>
        <x:v>3437.2924480611837</x:v>
      </x:c>
      <x:c r="AJ2666" s="81" t="n">
        <x:f>IF('Inputs'!$B$51&gt;0,AG2666/('Inputs'!$B$19*'Inputs'!$B$51)*365,0)</x:f>
        <x:v>7559.430749174629</x:v>
      </x:c>
      <x:c r="AK2666" s="81" t="n">
        <x:f>W2666/MAX($W$2559:W2666)-1</x:f>
        <x:v>-0.689646553078862</x:v>
      </x:c>
      <x:c r="AL2666" s="83" t="n">
        <x:f>'Inputs'!$B$51</x:f>
        <x:v>1</x:v>
      </x:c>
      <x:c r="AM2666" s="83" t="n">
        <x:f>'Inputs'!$C$51</x:f>
        <x:v>2</x:v>
      </x:c>
      <x:c r="AN2666" s="83" t="n">
        <x:f>'Inputs'!$D$51</x:f>
        <x:v>3</x:v>
      </x:c>
      <x:c r="AO2666" s="81" t="n">
        <x:f>'Inputs'!$E$51</x:f>
        <x:v>0.1</x:v>
      </x:c>
    </x:row>
    <x:row r="2667">
      <x:c r="A2667" s="59" t="str">
        <x:v>High demand</x:v>
      </x:c>
      <x:c r="B2667" s="59" t="n">
        <x:v>109</x:v>
      </x:c>
      <x:c r="C2667" s="78" t="n">
        <x:f>(('Inputs'!$B$29*(3*109*'Inputs'!$B$12-109^2)/(2*'Inputs'!$B$12^2))-('Inputs'!$B$29*(3*108*'Inputs'!$B$12-108^2)/(2*'Inputs'!$B$12^2)))*'Inputs'!$B$51</x:f>
        <x:v>676712.0942015499</x:v>
      </x:c>
      <x:c r="D2667" s="78" t="n">
        <x:f>IF('Inputs'!$C$51&gt;0,('Inputs'!$B$30*(3*109*'Inputs'!$B$12-109^2)/(2*'Inputs'!$B$12^2))-('Inputs'!$B$30*(3*108*'Inputs'!$B$12-108^2)/(2*'Inputs'!$B$12^2)),0)</x:f>
        <x:v>290019.46894351766</x:v>
      </x:c>
      <x:c r="E2667" s="78" t="n">
        <x:f>C2667+D2667</x:f>
        <x:v>966731.5631450675</x:v>
      </x:c>
      <x:c r="F2667" s="78" t="n">
        <x:f>'Inputs'!$B$13*E2667+(1-'Inputs'!$B$13)/'Inputs'!$B$14*SUM(E2612:E2667)</x:f>
        <x:v>976949.2400075087</x:v>
      </x:c>
      <x:c r="G2667" s="78" t="n">
        <x:f>F2667*'Inputs'!$F$51</x:f>
        <x:v>244237.31000187717</x:v>
      </x:c>
      <x:c r="H2667" s="78" t="n">
        <x:f>U2666</x:f>
        <x:v>588275.8956564631</x:v>
      </x:c>
      <x:c r="I2667" s="78" t="n">
        <x:f>V2666</x:f>
        <x:v>179955.34438608342</x:v>
      </x:c>
      <x:c r="J2667" s="79" t="n">
        <x:f>IF(H2667&gt;0,I2667/H2667,0)</x:f>
        <x:v>0.305902971233029</x:v>
      </x:c>
      <x:c r="K2667" s="80" t="n">
        <x:f>(H2667*J2667+I2667)*'Inputs'!$D$51*(1+'Inputs'!$G$51)^(B2667/30)</x:f>
        <x:v>1289150.9887319708</x:v>
      </x:c>
      <x:c r="L2667" s="80" t="n">
        <x:f>MAX(0,K2667*'Inputs'!$E$51)</x:f>
        <x:v>128915.09887319709</x:v>
      </x:c>
      <x:c r="M2667" s="80" t="n">
        <x:f>MAX(0,-K2667*'Inputs'!$E$51)</x:f>
        <x:v>0</x:v>
      </x:c>
      <x:c r="N2667" s="78" t="n">
        <x:f>H2667*(L2667*(1-'Inputs'!$B$15))/(I2667+L2667*(1-'Inputs'!$B$15))</x:f>
        <x:v>244095.69335803125</x:v>
      </x:c>
      <x:c r="O2667" s="78" t="n">
        <x:f>H2667-N2667</x:f>
        <x:v>344180.2022984319</x:v>
      </x:c>
      <x:c r="P2667" s="78" t="n">
        <x:f>I2667+L2667*(1-'Inputs'!$B$17)</x:f>
        <x:v>308351.6702255856</x:v>
      </x:c>
      <x:c r="Q2667" s="78" t="n">
        <x:f>IF(J2667&gt;0,M2667/J2667,0)</x:f>
        <x:v>0</x:v>
      </x:c>
      <x:c r="R2667" s="78" t="n">
        <x:f>IF(B2667='Inputs'!$H$51,'Inputs'!$B$27*'Inputs'!$I$51,0)</x:f>
        <x:v>0</x:v>
      </x:c>
      <x:c r="S2667" s="78" t="n">
        <x:f>Q2667+G2667+R2667</x:f>
        <x:v>244237.31000187717</x:v>
      </x:c>
      <x:c r="T2667" s="78" t="n">
        <x:f>P2667*(S2667*(1-'Inputs'!$B$15))/(O2667+S2667*(1-'Inputs'!$B$15))</x:f>
        <x:v>127237.26256975847</x:v>
      </x:c>
      <x:c r="U2667" s="78" t="n">
        <x:f>O2667+S2667*(1-'Inputs'!$B$17)</x:f>
        <x:v>587434.665982394</x:v>
      </x:c>
      <x:c r="V2667" s="78" t="n">
        <x:f>P2667-T2667</x:f>
        <x:v>181114.40765582712</x:v>
      </x:c>
      <x:c r="W2667" s="79" t="n">
        <x:f>IF(U2667&gt;0,V2667/U2667,0)</x:f>
        <x:v>0.30831412945802433</x:v>
      </x:c>
      <x:c r="X2667" s="80" t="n">
        <x:f>W2667*('Inputs'!$B$6-AC2667)</x:f>
        <x:v>308013467.2688079</x:v>
      </x:c>
      <x:c r="Y2667" s="80" t="n">
        <x:f>2*V2667</x:f>
        <x:v>362228.81531165424</x:v>
      </x:c>
      <x:c r="Z2667" s="80" t="n">
        <x:f>K2667*'Inputs'!$B$16+(G2667+R2667)*J2667*'Inputs'!$B$16</x:f>
        <x:v>8183.183445285044</x:v>
      </x:c>
      <x:c r="AA2667" s="80" t="n">
        <x:f>K2667*(1+'Inputs'!$E$51)/2*'Inputs'!$B$17</x:f>
        <x:v>2853.2516853222696</x:v>
      </x:c>
      <x:c r="AB2667" s="78" t="n">
        <x:f>(IF(J2667&gt;0,K2667*(1-'Inputs'!$E$51)/2/J2667,0)+G2667+R2667)*'Inputs'!$B$17</x:f>
        <x:v>8614.2813517675</x:v>
      </x:c>
      <x:c r="AC2667" s="78" t="n">
        <x:f>AC2666+AB2667</x:f>
        <x:v>975181.3507378469</x:v>
      </x:c>
      <x:c r="AD2667" s="80" t="n">
        <x:f>Z2667/(1+'Inputs'!$C$51)</x:f>
        <x:v>2727.7278150950146</x:v>
      </x:c>
      <x:c r="AE2667" s="80" t="n">
        <x:f>Z2667-AD2667</x:f>
        <x:v>5455.45563019003</x:v>
      </x:c>
      <x:c r="AF2667" s="80" t="n">
        <x:f>D2667*W2667</x:f>
        <x:v>89417.10009319917</x:v>
      </x:c>
      <x:c r="AG2667" s="80" t="n">
        <x:f>C2667*W2667</x:f>
        <x:v>208639.9002174674</x:v>
      </x:c>
      <x:c r="AH2667" s="80" t="n">
        <x:f>2*'Inputs'!$B$8*'Inputs'!$C$51</x:f>
        <x:v>10000</x:v>
      </x:c>
      <x:c r="AI2667" s="81" t="n">
        <x:f>IF(AH2667&gt;0,(AE2667+AF2667)/AH2667*365,0)</x:f>
        <x:v>3462.848283903706</x:v>
      </x:c>
      <x:c r="AJ2667" s="81" t="n">
        <x:f>IF('Inputs'!$B$51&gt;0,AG2667/('Inputs'!$B$19*'Inputs'!$B$51)*365,0)</x:f>
        <x:v>7615.3563579375605</x:v>
      </x:c>
      <x:c r="AK2667" s="81" t="n">
        <x:f>W2667/MAX($W$2559:W2667)-1</x:f>
        <x:v>-0.6872003157534012</x:v>
      </x:c>
      <x:c r="AL2667" s="83" t="n">
        <x:f>'Inputs'!$B$51</x:f>
        <x:v>1</x:v>
      </x:c>
      <x:c r="AM2667" s="83" t="n">
        <x:f>'Inputs'!$C$51</x:f>
        <x:v>2</x:v>
      </x:c>
      <x:c r="AN2667" s="83" t="n">
        <x:f>'Inputs'!$D$51</x:f>
        <x:v>3</x:v>
      </x:c>
      <x:c r="AO2667" s="81" t="n">
        <x:f>'Inputs'!$E$51</x:f>
        <x:v>0.1</x:v>
      </x:c>
    </x:row>
    <x:row r="2668">
      <x:c r="A2668" s="59" t="str">
        <x:v>High demand</x:v>
      </x:c>
      <x:c r="B2668" s="59" t="n">
        <x:v>110</x:v>
      </x:c>
      <x:c r="C2668" s="78" t="n">
        <x:f>(('Inputs'!$B$29*(3*110*'Inputs'!$B$12-110^2)/(2*'Inputs'!$B$12^2))-('Inputs'!$B$29*(3*109*'Inputs'!$B$12-109^2)/(2*'Inputs'!$B$12^2)))*'Inputs'!$B$51</x:f>
        <x:v>676386.9863013625</x:v>
      </x:c>
      <x:c r="D2668" s="78" t="n">
        <x:f>IF('Inputs'!$C$51&gt;0,('Inputs'!$B$30*(3*110*'Inputs'!$B$12-110^2)/(2*'Inputs'!$B$12^2))-('Inputs'!$B$30*(3*109*'Inputs'!$B$12-109^2)/(2*'Inputs'!$B$12^2)),0)</x:f>
        <x:v>289880.13698630035</x:v>
      </x:c>
      <x:c r="E2668" s="78" t="n">
        <x:f>C2668+D2668</x:f>
        <x:v>966267.1232876629</x:v>
      </x:c>
      <x:c r="F2668" s="78" t="n">
        <x:f>'Inputs'!$B$13*E2668+(1-'Inputs'!$B$13)/'Inputs'!$B$14*SUM(E2613:E2668)</x:f>
        <x:v>976484.8001501204</x:v>
      </x:c>
      <x:c r="G2668" s="78" t="n">
        <x:f>F2668*'Inputs'!$F$51</x:f>
        <x:v>244121.2000375301</x:v>
      </x:c>
      <x:c r="H2668" s="78" t="n">
        <x:f>U2667</x:f>
        <x:v>587434.665982394</x:v>
      </x:c>
      <x:c r="I2668" s="78" t="n">
        <x:f>V2667</x:f>
        <x:v>181114.40765582712</x:v>
      </x:c>
      <x:c r="J2668" s="79" t="n">
        <x:f>IF(H2668&gt;0,I2668/H2668,0)</x:f>
        <x:v>0.30831412945802433</x:v>
      </x:c>
      <x:c r="K2668" s="80" t="n">
        <x:f>(H2668*J2668+I2668)*'Inputs'!$D$51*(1+'Inputs'!$G$51)^(B2668/30)</x:f>
        <x:v>1299566.018677539</x:v>
      </x:c>
      <x:c r="L2668" s="80" t="n">
        <x:f>MAX(0,K2668*'Inputs'!$E$51)</x:f>
        <x:v>129956.6018677539</x:v>
      </x:c>
      <x:c r="M2668" s="80" t="n">
        <x:f>MAX(0,-K2668*'Inputs'!$E$51)</x:f>
        <x:v>0</x:v>
      </x:c>
      <x:c r="N2668" s="78" t="n">
        <x:f>H2668*(L2668*(1-'Inputs'!$B$15))/(I2668+L2668*(1-'Inputs'!$B$15))</x:f>
        <x:v>243978.59927037053</x:v>
      </x:c>
      <x:c r="O2668" s="78" t="n">
        <x:f>H2668-N2668</x:f>
        <x:v>343456.06671202346</x:v>
      </x:c>
      <x:c r="P2668" s="78" t="n">
        <x:f>I2668+L2668*(1-'Inputs'!$B$17)</x:f>
        <x:v>310548.04533095425</x:v>
      </x:c>
      <x:c r="Q2668" s="78" t="n">
        <x:f>IF(J2668&gt;0,M2668/J2668,0)</x:f>
        <x:v>0</x:v>
      </x:c>
      <x:c r="R2668" s="78" t="n">
        <x:f>IF(B2668='Inputs'!$H$51,'Inputs'!$B$27*'Inputs'!$I$51,0)</x:f>
        <x:v>0</x:v>
      </x:c>
      <x:c r="S2668" s="78" t="n">
        <x:f>Q2668+G2668+R2668</x:f>
        <x:v>244121.2000375301</x:v>
      </x:c>
      <x:c r="T2668" s="78" t="n">
        <x:f>P2668*(S2668*(1-'Inputs'!$B$15))/(O2668+S2668*(1-'Inputs'!$B$15))</x:f>
        <x:v>128266.31904048164</x:v>
      </x:c>
      <x:c r="U2668" s="78" t="n">
        <x:f>O2668+S2668*(1-'Inputs'!$B$17)</x:f>
        <x:v>586594.8876749559</x:v>
      </x:c>
      <x:c r="V2668" s="78" t="n">
        <x:f>P2668-T2668</x:f>
        <x:v>182281.7262904726</x:v>
      </x:c>
      <x:c r="W2668" s="79" t="n">
        <x:f>IF(U2668&gt;0,V2668/U2668,0)</x:f>
        <x:v>0.31074550788018224</x:v>
      </x:c>
      <x:c r="X2668" s="80" t="n">
        <x:f>W2668*('Inputs'!$B$6-AC2668)</x:f>
        <x:v>310439797.4887896</x:v>
      </x:c>
      <x:c r="Y2668" s="80" t="n">
        <x:f>2*V2668</x:f>
        <x:v>364563.4525809452</x:v>
      </x:c>
      <x:c r="Z2668" s="80" t="n">
        <x:f>K2668*'Inputs'!$B$16+(G2668+R2668)*J2668*'Inputs'!$B$16</x:f>
        <x:v>8248.99220369615</x:v>
      </x:c>
      <x:c r="AA2668" s="80" t="n">
        <x:f>K2668*(1+'Inputs'!$E$51)/2*'Inputs'!$B$17</x:f>
        <x:v>2876.30305944727</x:v>
      </x:c>
      <x:c r="AB2668" s="78" t="n">
        <x:f>(IF(J2668&gt;0,K2668*(1-'Inputs'!$E$51)/2/J2668,0)+G2668+R2668)*'Inputs'!$B$17</x:f>
        <x:v>8615.304853761165</x:v>
      </x:c>
      <x:c r="AC2668" s="78" t="n">
        <x:f>AC2667+AB2668</x:f>
        <x:v>983796.6555916081</x:v>
      </x:c>
      <x:c r="AD2668" s="80" t="n">
        <x:f>Z2668/(1+'Inputs'!$C$51)</x:f>
        <x:v>2749.664067898717</x:v>
      </x:c>
      <x:c r="AE2668" s="80" t="n">
        <x:f>Z2668-AD2668</x:f>
        <x:v>5499.328135797434</x:v>
      </x:c>
      <x:c r="AF2668" s="80" t="n">
        <x:f>D2668*W2668</x:f>
        <x:v>90078.9503921847</x:v>
      </x:c>
      <x:c r="AG2668" s="80" t="n">
        <x:f>C2668*W2668</x:f>
        <x:v>210184.21758176276</x:v>
      </x:c>
      <x:c r="AH2668" s="80" t="n">
        <x:f>2*'Inputs'!$B$8*'Inputs'!$C$51</x:f>
        <x:v>10000</x:v>
      </x:c>
      <x:c r="AI2668" s="81" t="n">
        <x:f>IF(AH2668&gt;0,(AE2668+AF2668)/AH2668*365,0)</x:f>
        <x:v>3488.607166271348</x:v>
      </x:c>
      <x:c r="AJ2668" s="81" t="n">
        <x:f>IF('Inputs'!$B$51&gt;0,AG2668/('Inputs'!$B$19*'Inputs'!$B$51)*365,0)</x:f>
        <x:v>7671.723941734342</x:v>
      </x:c>
      <x:c r="AK2668" s="81" t="n">
        <x:f>W2668/MAX($W$2559:W2668)-1</x:f>
        <x:v>-0.6847335640541785</x:v>
      </x:c>
      <x:c r="AL2668" s="83" t="n">
        <x:f>'Inputs'!$B$51</x:f>
        <x:v>1</x:v>
      </x:c>
      <x:c r="AM2668" s="83" t="n">
        <x:f>'Inputs'!$C$51</x:f>
        <x:v>2</x:v>
      </x:c>
      <x:c r="AN2668" s="83" t="n">
        <x:f>'Inputs'!$D$51</x:f>
        <x:v>3</x:v>
      </x:c>
      <x:c r="AO2668" s="81" t="n">
        <x:f>'Inputs'!$E$51</x:f>
        <x:v>0.1</x:v>
      </x:c>
    </x:row>
    <x:row r="2669">
      <x:c r="A2669" s="59" t="str">
        <x:v>High demand</x:v>
      </x:c>
      <x:c r="B2669" s="59" t="n">
        <x:v>111</x:v>
      </x:c>
      <x:c r="C2669" s="78" t="n">
        <x:f>(('Inputs'!$B$29*(3*111*'Inputs'!$B$12-111^2)/(2*'Inputs'!$B$12^2))-('Inputs'!$B$29*(3*110*'Inputs'!$B$12-110^2)/(2*'Inputs'!$B$12^2)))*'Inputs'!$B$51</x:f>
        <x:v>676061.878401205</x:v>
      </x:c>
      <x:c r="D2669" s="78" t="n">
        <x:f>IF('Inputs'!$C$51&gt;0,('Inputs'!$B$30*(3*111*'Inputs'!$B$12-111^2)/(2*'Inputs'!$B$12^2))-('Inputs'!$B$30*(3*110*'Inputs'!$B$12-110^2)/(2*'Inputs'!$B$12^2)),0)</x:f>
        <x:v>289740.80502908677</x:v>
      </x:c>
      <x:c r="E2669" s="78" t="n">
        <x:f>C2669+D2669</x:f>
        <x:v>965802.6834302917</x:v>
      </x:c>
      <x:c r="F2669" s="78" t="n">
        <x:f>'Inputs'!$B$13*E2669+(1-'Inputs'!$B$13)/'Inputs'!$B$14*SUM(E2614:E2669)</x:f>
        <x:v>976020.3602927391</x:v>
      </x:c>
      <x:c r="G2669" s="78" t="n">
        <x:f>F2669*'Inputs'!$F$51</x:f>
        <x:v>244005.09007318478</x:v>
      </x:c>
      <x:c r="H2669" s="78" t="n">
        <x:f>U2668</x:f>
        <x:v>586594.8876749559</x:v>
      </x:c>
      <x:c r="I2669" s="78" t="n">
        <x:f>V2668</x:f>
        <x:v>182281.7262904726</x:v>
      </x:c>
      <x:c r="J2669" s="79" t="n">
        <x:f>IF(H2669&gt;0,I2669/H2669,0)</x:f>
        <x:v>0.31074550788018224</x:v>
      </x:c>
      <x:c r="K2669" s="80" t="n">
        <x:f>(H2669*J2669+I2669)*'Inputs'!$D$51*(1+'Inputs'!$G$51)^(B2669/30)</x:f>
        <x:v>1310070.8694493566</x:v>
      </x:c>
      <x:c r="L2669" s="80" t="n">
        <x:f>MAX(0,K2669*'Inputs'!$E$51)</x:f>
        <x:v>131007.08694493567</x:v>
      </x:c>
      <x:c r="M2669" s="80" t="n">
        <x:f>MAX(0,-K2669*'Inputs'!$E$51)</x:f>
        <x:v>0</x:v>
      </x:c>
      <x:c r="N2669" s="78" t="n">
        <x:f>H2669*(L2669*(1-'Inputs'!$B$15))/(I2669+L2669*(1-'Inputs'!$B$15))</x:f>
        <x:v>243861.50799766206</x:v>
      </x:c>
      <x:c r="O2669" s="78" t="n">
        <x:f>H2669-N2669</x:f>
        <x:v>342733.3796772938</x:v>
      </x:c>
      <x:c r="P2669" s="78" t="n">
        <x:f>I2669+L2669*(1-'Inputs'!$B$17)</x:f>
        <x:v>312761.621738648</x:v>
      </x:c>
      <x:c r="Q2669" s="78" t="n">
        <x:f>IF(J2669&gt;0,M2669/J2669,0)</x:f>
        <x:v>0</x:v>
      </x:c>
      <x:c r="R2669" s="78" t="n">
        <x:f>IF(B2669='Inputs'!$H$51,'Inputs'!$B$27*'Inputs'!$I$51,0)</x:f>
        <x:v>0</x:v>
      </x:c>
      <x:c r="S2669" s="78" t="n">
        <x:f>Q2669+G2669+R2669</x:f>
        <x:v>244005.09007318478</x:v>
      </x:c>
      <x:c r="T2669" s="78" t="n">
        <x:f>P2669*(S2669*(1-'Inputs'!$B$15))/(O2669+S2669*(1-'Inputs'!$B$15))</x:f>
        <x:v>129304.2578408291</x:v>
      </x:c>
      <x:c r="U2669" s="78" t="n">
        <x:f>O2669+S2669*(1-'Inputs'!$B$17)</x:f>
        <x:v>585756.5579191982</x:v>
      </x:c>
      <x:c r="V2669" s="78" t="n">
        <x:f>P2669-T2669</x:f>
        <x:v>183457.3638978189</x:v>
      </x:c>
      <x:c r="W2669" s="79" t="n">
        <x:f>IF(U2669&gt;0,V2669/U2669,0)</x:f>
        <x:v>0.31319728548924897</x:v>
      </x:c>
      <x:c r="X2669" s="80" t="n">
        <x:f>W2669*('Inputs'!$B$6-AC2669)</x:f>
        <x:v>312886464.4354886</x:v>
      </x:c>
      <x:c r="Y2669" s="80" t="n">
        <x:f>2*V2669</x:f>
        <x:v>366914.7277956378</x:v>
      </x:c>
      <x:c r="Z2669" s="80" t="n">
        <x:f>K2669*'Inputs'!$B$16+(G2669+R2669)*J2669*'Inputs'!$B$16</x:f>
        <x:v>8315.366130536988</x:v>
      </x:c>
      <x:c r="AA2669" s="80" t="n">
        <x:f>K2669*(1+'Inputs'!$E$51)/2*'Inputs'!$B$17</x:f>
        <x:v>2899.553232181675</x:v>
      </x:c>
      <x:c r="AB2669" s="78" t="n">
        <x:f>(IF(J2669&gt;0,K2669*(1-'Inputs'!$E$51)/2/J2669,0)+G2669+R2669)*'Inputs'!$B$17</x:f>
        <x:v>8616.331880036554</x:v>
      </x:c>
      <x:c r="AC2669" s="78" t="n">
        <x:f>AC2668+AB2669</x:f>
        <x:v>992412.9874716447</x:v>
      </x:c>
      <x:c r="AD2669" s="80" t="n">
        <x:f>Z2669/(1+'Inputs'!$C$51)</x:f>
        <x:v>2771.788710178996</x:v>
      </x:c>
      <x:c r="AE2669" s="80" t="n">
        <x:f>Z2669-AD2669</x:f>
        <x:v>5543.577420357991</x:v>
      </x:c>
      <x:c r="AF2669" s="80" t="n">
        <x:f>D2669*W2669</x:f>
        <x:v>90746.03363057971</x:v>
      </x:c>
      <x:c r="AG2669" s="80" t="n">
        <x:f>C2669*W2669</x:f>
        <x:v>211740.7451380201</x:v>
      </x:c>
      <x:c r="AH2669" s="80" t="n">
        <x:f>2*'Inputs'!$B$8*'Inputs'!$C$51</x:f>
        <x:v>10000</x:v>
      </x:c>
      <x:c r="AI2669" s="81" t="n">
        <x:f>IF(AH2669&gt;0,(AE2669+AF2669)/AH2669*365,0)</x:f>
        <x:v>3514.5708033592264</x:v>
      </x:c>
      <x:c r="AJ2669" s="81" t="n">
        <x:f>IF('Inputs'!$B$51&gt;0,AG2669/('Inputs'!$B$19*'Inputs'!$B$51)*365,0)</x:f>
        <x:v>7728.537197537734</x:v>
      </x:c>
      <x:c r="AK2669" s="81" t="n">
        <x:f>W2669/MAX($W$2559:W2669)-1</x:f>
        <x:v>-0.6822461163873879</x:v>
      </x:c>
      <x:c r="AL2669" s="83" t="n">
        <x:f>'Inputs'!$B$51</x:f>
        <x:v>1</x:v>
      </x:c>
      <x:c r="AM2669" s="83" t="n">
        <x:f>'Inputs'!$C$51</x:f>
        <x:v>2</x:v>
      </x:c>
      <x:c r="AN2669" s="83" t="n">
        <x:f>'Inputs'!$D$51</x:f>
        <x:v>3</x:v>
      </x:c>
      <x:c r="AO2669" s="81" t="n">
        <x:f>'Inputs'!$E$51</x:f>
        <x:v>0.1</x:v>
      </x:c>
    </x:row>
    <x:row r="2670">
      <x:c r="A2670" s="59" t="str">
        <x:v>High demand</x:v>
      </x:c>
      <x:c r="B2670" s="59" t="n">
        <x:v>112</x:v>
      </x:c>
      <x:c r="C2670" s="78" t="n">
        <x:f>(('Inputs'!$B$29*(3*112*'Inputs'!$B$12-112^2)/(2*'Inputs'!$B$12^2))-('Inputs'!$B$29*(3*111*'Inputs'!$B$12-111^2)/(2*'Inputs'!$B$12^2)))*'Inputs'!$B$51</x:f>
        <x:v>675736.7705010325</x:v>
      </x:c>
      <x:c r="D2670" s="78" t="n">
        <x:f>IF('Inputs'!$C$51&gt;0,('Inputs'!$B$30*(3*112*'Inputs'!$B$12-112^2)/(2*'Inputs'!$B$12^2))-('Inputs'!$B$30*(3*111*'Inputs'!$B$12-111^2)/(2*'Inputs'!$B$12^2)),0)</x:f>
        <x:v>289601.4730718732</x:v>
      </x:c>
      <x:c r="E2670" s="78" t="n">
        <x:f>C2670+D2670</x:f>
        <x:v>965338.2435729057</x:v>
      </x:c>
      <x:c r="F2670" s="78" t="n">
        <x:f>'Inputs'!$B$13*E2670+(1-'Inputs'!$B$13)/'Inputs'!$B$14*SUM(E2615:E2670)</x:f>
        <x:v>975555.9204353546</x:v>
      </x:c>
      <x:c r="G2670" s="78" t="n">
        <x:f>F2670*'Inputs'!$F$51</x:f>
        <x:v>243888.98010883864</x:v>
      </x:c>
      <x:c r="H2670" s="78" t="n">
        <x:f>U2669</x:f>
        <x:v>585756.5579191982</x:v>
      </x:c>
      <x:c r="I2670" s="78" t="n">
        <x:f>V2669</x:f>
        <x:v>183457.3638978189</x:v>
      </x:c>
      <x:c r="J2670" s="79" t="n">
        <x:f>IF(H2670&gt;0,I2670/H2670,0)</x:f>
        <x:v>0.31319728548924897</x:v>
      </x:c>
      <x:c r="K2670" s="80" t="n">
        <x:f>(H2670*J2670+I2670)*'Inputs'!$D$51*(1+'Inputs'!$G$51)^(B2670/30)</x:f>
        <x:v>1320666.3603207218</x:v>
      </x:c>
      <x:c r="L2670" s="80" t="n">
        <x:f>MAX(0,K2670*'Inputs'!$E$51)</x:f>
        <x:v>132066.6360320722</x:v>
      </x:c>
      <x:c r="M2670" s="80" t="n">
        <x:f>MAX(0,-K2670*'Inputs'!$E$51)</x:f>
        <x:v>0</x:v>
      </x:c>
      <x:c r="N2670" s="78" t="n">
        <x:f>H2670*(L2670*(1-'Inputs'!$B$15))/(I2670+L2670*(1-'Inputs'!$B$15))</x:f>
        <x:v>243744.41953454207</x:v>
      </x:c>
      <x:c r="O2670" s="78" t="n">
        <x:f>H2670-N2670</x:f>
        <x:v>342012.1383846561</x:v>
      </x:c>
      <x:c r="P2670" s="78" t="n">
        <x:f>I2670+L2670*(1-'Inputs'!$B$17)</x:f>
        <x:v>314992.5446541081</x:v>
      </x:c>
      <x:c r="Q2670" s="78" t="n">
        <x:f>IF(J2670&gt;0,M2670/J2670,0)</x:f>
        <x:v>0</x:v>
      </x:c>
      <x:c r="R2670" s="78" t="n">
        <x:f>IF(B2670='Inputs'!$H$51,'Inputs'!$B$27*'Inputs'!$I$51,0)</x:f>
        <x:v>0</x:v>
      </x:c>
      <x:c r="S2670" s="78" t="n">
        <x:f>Q2670+G2670+R2670</x:f>
        <x:v>243888.98010883864</x:v>
      </x:c>
      <x:c r="T2670" s="78" t="n">
        <x:f>P2670*(S2670*(1-'Inputs'!$B$15))/(O2670+S2670*(1-'Inputs'!$B$15))</x:f>
        <x:v>130351.1600458676</x:v>
      </x:c>
      <x:c r="U2670" s="78" t="n">
        <x:f>O2670+S2670*(1-'Inputs'!$B$17)</x:f>
        <x:v>584919.6739055316</x:v>
      </x:c>
      <x:c r="V2670" s="78" t="n">
        <x:f>P2670-T2670</x:f>
        <x:v>184641.3846082405</x:v>
      </x:c>
      <x:c r="W2670" s="79" t="n">
        <x:f>IF(U2670&gt;0,V2670/U2670,0)</x:f>
        <x:v>0.3156696429364099</x:v>
      </x:c>
      <x:c r="X2670" s="80" t="n">
        <x:f>W2670*('Inputs'!$B$6-AC2670)</x:f>
        <x:v>315353648.0432873</x:v>
      </x:c>
      <x:c r="Y2670" s="80" t="n">
        <x:f>2*V2670</x:f>
        <x:v>369282.769216481</x:v>
      </x:c>
      <x:c r="Z2670" s="80" t="n">
        <x:f>K2670*'Inputs'!$B$16+(G2670+R2670)*J2670*'Inputs'!$B$16</x:f>
        <x:v>8382.310361109308</x:v>
      </x:c>
      <x:c r="AA2670" s="80" t="n">
        <x:f>K2670*(1+'Inputs'!$E$51)/2*'Inputs'!$B$17</x:f>
        <x:v>2923.004016806427</x:v>
      </x:c>
      <x:c r="AB2670" s="78" t="n">
        <x:f>(IF(J2670&gt;0,K2670*(1-'Inputs'!$E$51)/2/J2670,0)+G2670+R2670)*'Inputs'!$B$17</x:f>
        <x:v>8617.362432166588</x:v>
      </x:c>
      <x:c r="AC2670" s="78" t="n">
        <x:f>AC2669+AB2670</x:f>
        <x:v>1001030.3499038112</x:v>
      </x:c>
      <x:c r="AD2670" s="80" t="n">
        <x:f>Z2670/(1+'Inputs'!$C$51)</x:f>
        <x:v>2794.103453703103</x:v>
      </x:c>
      <x:c r="AE2670" s="80" t="n">
        <x:f>Z2670-AD2670</x:f>
        <x:v>5588.206907406206</x:v>
      </x:c>
      <x:c r="AF2670" s="80" t="n">
        <x:f>D2670*W2670</x:f>
        <x:v>91418.39359845655</x:v>
      </x:c>
      <x:c r="AG2670" s="80" t="n">
        <x:f>C2670*W2670</x:f>
        <x:v>213309.58506306369</x:v>
      </x:c>
      <x:c r="AH2670" s="80" t="n">
        <x:f>2*'Inputs'!$B$8*'Inputs'!$C$51</x:f>
        <x:v>10000</x:v>
      </x:c>
      <x:c r="AI2670" s="81" t="n">
        <x:f>IF(AH2670&gt;0,(AE2670+AF2670)/AH2670*365,0)</x:f>
        <x:v>3540.7409184639905</x:v>
      </x:c>
      <x:c r="AJ2670" s="81" t="n">
        <x:f>IF('Inputs'!$B$51&gt;0,AG2670/('Inputs'!$B$19*'Inputs'!$B$51)*365,0)</x:f>
        <x:v>7785.799854801825</x:v>
      </x:c>
      <x:c r="AK2670" s="81" t="n">
        <x:f>W2670/MAX($W$2559:W2670)-1</x:f>
        <x:v>-0.6797377894736129</x:v>
      </x:c>
      <x:c r="AL2670" s="83" t="n">
        <x:f>'Inputs'!$B$51</x:f>
        <x:v>1</x:v>
      </x:c>
      <x:c r="AM2670" s="83" t="n">
        <x:f>'Inputs'!$C$51</x:f>
        <x:v>2</x:v>
      </x:c>
      <x:c r="AN2670" s="83" t="n">
        <x:f>'Inputs'!$D$51</x:f>
        <x:v>3</x:v>
      </x:c>
      <x:c r="AO2670" s="81" t="n">
        <x:f>'Inputs'!$E$51</x:f>
        <x:v>0.1</x:v>
      </x:c>
    </x:row>
    <x:row r="2671">
      <x:c r="A2671" s="59" t="str">
        <x:v>High demand</x:v>
      </x:c>
      <x:c r="B2671" s="59" t="n">
        <x:v>113</x:v>
      </x:c>
      <x:c r="C2671" s="78" t="n">
        <x:f>(('Inputs'!$B$29*(3*113*'Inputs'!$B$12-113^2)/(2*'Inputs'!$B$12^2))-('Inputs'!$B$29*(3*112*'Inputs'!$B$12-112^2)/(2*'Inputs'!$B$12^2)))*'Inputs'!$B$51</x:f>
        <x:v>675411.66260086</x:v>
      </x:c>
      <x:c r="D2671" s="78" t="n">
        <x:f>IF('Inputs'!$C$51&gt;0,('Inputs'!$B$30*(3*113*'Inputs'!$B$12-113^2)/(2*'Inputs'!$B$12^2))-('Inputs'!$B$30*(3*112*'Inputs'!$B$12-112^2)/(2*'Inputs'!$B$12^2)),0)</x:f>
        <x:v>289462.14111465216</x:v>
      </x:c>
      <x:c r="E2671" s="78" t="n">
        <x:f>C2671+D2671</x:f>
        <x:v>964873.8037155122</x:v>
      </x:c>
      <x:c r="F2671" s="78" t="n">
        <x:f>'Inputs'!$B$13*E2671+(1-'Inputs'!$B$13)/'Inputs'!$B$14*SUM(E2616:E2671)</x:f>
        <x:v>975091.4805779682</x:v>
      </x:c>
      <x:c r="G2671" s="78" t="n">
        <x:f>F2671*'Inputs'!$F$51</x:f>
        <x:v>243772.87014449204</x:v>
      </x:c>
      <x:c r="H2671" s="78" t="n">
        <x:f>U2670</x:f>
        <x:v>584919.6739055316</x:v>
      </x:c>
      <x:c r="I2671" s="78" t="n">
        <x:f>V2670</x:f>
        <x:v>184641.3846082405</x:v>
      </x:c>
      <x:c r="J2671" s="79" t="n">
        <x:f>IF(H2671&gt;0,I2671/H2671,0)</x:f>
        <x:v>0.3156696429364099</x:v>
      </x:c>
      <x:c r="K2671" s="80" t="n">
        <x:f>(H2671*J2671+I2671)*'Inputs'!$D$51*(1+'Inputs'!$G$51)^(B2671/30)</x:f>
        <x:v>1331353.3184097856</x:v>
      </x:c>
      <x:c r="L2671" s="80" t="n">
        <x:f>MAX(0,K2671*'Inputs'!$E$51)</x:f>
        <x:v>133135.33184097856</x:v>
      </x:c>
      <x:c r="M2671" s="80" t="n">
        <x:f>MAX(0,-K2671*'Inputs'!$E$51)</x:f>
        <x:v>0</x:v>
      </x:c>
      <x:c r="N2671" s="78" t="n">
        <x:f>H2671*(L2671*(1-'Inputs'!$B$15))/(I2671+L2671*(1-'Inputs'!$B$15))</x:f>
        <x:v>243627.3338756552</x:v>
      </x:c>
      <x:c r="O2671" s="78" t="n">
        <x:f>H2671-N2671</x:f>
        <x:v>341292.34002987645</x:v>
      </x:c>
      <x:c r="P2671" s="78" t="n">
        <x:f>I2671+L2671*(1-'Inputs'!$B$17)</x:f>
        <x:v>317240.9605866799</x:v>
      </x:c>
      <x:c r="Q2671" s="78" t="n">
        <x:f>IF(J2671&gt;0,M2671/J2671,0)</x:f>
        <x:v>0</x:v>
      </x:c>
      <x:c r="R2671" s="78" t="n">
        <x:f>IF(B2671='Inputs'!$H$51,'Inputs'!$B$27*'Inputs'!$I$51,0)</x:f>
        <x:v>0</x:v>
      </x:c>
      <x:c r="S2671" s="78" t="n">
        <x:f>Q2671+G2671+R2671</x:f>
        <x:v>243772.87014449204</x:v>
      </x:c>
      <x:c r="T2671" s="78" t="n">
        <x:f>P2671*(S2671*(1-'Inputs'!$B$15))/(O2671+S2671*(1-'Inputs'!$B$15))</x:f>
        <x:v>131407.10750746244</x:v>
      </x:c>
      <x:c r="U2671" s="78" t="n">
        <x:f>O2671+S2671*(1-'Inputs'!$B$17)</x:f>
        <x:v>584084.2328297226</x:v>
      </x:c>
      <x:c r="V2671" s="78" t="n">
        <x:f>P2671-T2671</x:f>
        <x:v>185833.8530792175</x:v>
      </x:c>
      <x:c r="W2671" s="79" t="n">
        <x:f>IF(U2671&gt;0,V2671/U2671,0)</x:f>
        <x:v>0.318162762550369</x:v>
      </x:c>
      <x:c r="X2671" s="80" t="n">
        <x:f>W2671*('Inputs'!$B$6-AC2671)</x:f>
        <x:v>317841529.91600394</x:v>
      </x:c>
      <x:c r="Y2671" s="80" t="n">
        <x:f>2*V2671</x:f>
        <x:v>371667.706158435</x:v>
      </x:c>
      <x:c r="Z2671" s="80" t="n">
        <x:f>K2671*'Inputs'!$B$16+(G2671+R2671)*J2671*'Inputs'!$B$16</x:f>
        <x:v>8449.830079715288</x:v>
      </x:c>
      <x:c r="AA2671" s="80" t="n">
        <x:f>K2671*(1+'Inputs'!$E$51)/2*'Inputs'!$B$17</x:f>
        <x:v>2946.657243965321</x:v>
      </x:c>
      <x:c r="AB2671" s="78" t="n">
        <x:f>(IF(J2671&gt;0,K2671*(1-'Inputs'!$E$51)/2/J2671,0)+G2671+R2671)*'Inputs'!$B$17</x:f>
        <x:v>8618.396511720568</x:v>
      </x:c>
      <x:c r="AC2671" s="78" t="n">
        <x:f>AC2670+AB2671</x:f>
        <x:v>1009648.7464155318</x:v>
      </x:c>
      <x:c r="AD2671" s="80" t="n">
        <x:f>Z2671/(1+'Inputs'!$C$51)</x:f>
        <x:v>2816.610026571763</x:v>
      </x:c>
      <x:c r="AE2671" s="80" t="n">
        <x:f>Z2671-AD2671</x:f>
        <x:v>5633.220053143525</x:v>
      </x:c>
      <x:c r="AF2671" s="80" t="n">
        <x:f>D2671*W2671</x:f>
        <x:v>92096.07447078248</x:v>
      </x:c>
      <x:c r="AG2671" s="80" t="n">
        <x:f>C2671*W2671</x:f>
        <x:v>214890.84043182738</x:v>
      </x:c>
      <x:c r="AH2671" s="80" t="n">
        <x:f>2*'Inputs'!$B$8*'Inputs'!$C$51</x:f>
        <x:v>10000</x:v>
      </x:c>
      <x:c r="AI2671" s="81" t="n">
        <x:f>IF(AH2671&gt;0,(AE2671+AF2671)/AH2671*365,0)</x:f>
        <x:v>3567.1192501232986</x:v>
      </x:c>
      <x:c r="AJ2671" s="81" t="n">
        <x:f>IF('Inputs'!$B$51&gt;0,AG2671/('Inputs'!$B$19*'Inputs'!$B$51)*365,0)</x:f>
        <x:v>7843.5156757617</x:v>
      </x:c>
      <x:c r="AK2671" s="81" t="n">
        <x:f>W2671/MAX($W$2559:W2671)-1</x:f>
        <x:v>-0.6772083983315128</x:v>
      </x:c>
      <x:c r="AL2671" s="83" t="n">
        <x:f>'Inputs'!$B$51</x:f>
        <x:v>1</x:v>
      </x:c>
      <x:c r="AM2671" s="83" t="n">
        <x:f>'Inputs'!$C$51</x:f>
        <x:v>2</x:v>
      </x:c>
      <x:c r="AN2671" s="83" t="n">
        <x:f>'Inputs'!$D$51</x:f>
        <x:v>3</x:v>
      </x:c>
      <x:c r="AO2671" s="81" t="n">
        <x:f>'Inputs'!$E$51</x:f>
        <x:v>0.1</x:v>
      </x:c>
    </x:row>
    <x:row r="2672">
      <x:c r="A2672" s="59" t="str">
        <x:v>High demand</x:v>
      </x:c>
      <x:c r="B2672" s="59" t="n">
        <x:v>114</x:v>
      </x:c>
      <x:c r="C2672" s="78" t="n">
        <x:f>(('Inputs'!$B$29*(3*114*'Inputs'!$B$12-114^2)/(2*'Inputs'!$B$12^2))-('Inputs'!$B$29*(3*113*'Inputs'!$B$12-113^2)/(2*'Inputs'!$B$12^2)))*'Inputs'!$B$51</x:f>
        <x:v>675086.5547006875</x:v>
      </x:c>
      <x:c r="D2672" s="78" t="n">
        <x:f>IF('Inputs'!$C$51&gt;0,('Inputs'!$B$30*(3*114*'Inputs'!$B$12-114^2)/(2*'Inputs'!$B$12^2))-('Inputs'!$B$30*(3*113*'Inputs'!$B$12-113^2)/(2*'Inputs'!$B$12^2)),0)</x:f>
        <x:v>289322.8091574386</x:v>
      </x:c>
      <x:c r="E2672" s="78" t="n">
        <x:f>C2672+D2672</x:f>
        <x:v>964409.3638581261</x:v>
      </x:c>
      <x:c r="F2672" s="78" t="n">
        <x:f>'Inputs'!$B$13*E2672+(1-'Inputs'!$B$13)/'Inputs'!$B$14*SUM(E2617:E2672)</x:f>
        <x:v>974627.0407205839</x:v>
      </x:c>
      <x:c r="G2672" s="78" t="n">
        <x:f>F2672*'Inputs'!$F$51</x:f>
        <x:v>243656.76018014597</x:v>
      </x:c>
      <x:c r="H2672" s="78" t="n">
        <x:f>U2671</x:f>
        <x:v>584084.2328297226</x:v>
      </x:c>
      <x:c r="I2672" s="78" t="n">
        <x:f>V2671</x:f>
        <x:v>185833.8530792175</x:v>
      </x:c>
      <x:c r="J2672" s="79" t="n">
        <x:f>IF(H2672&gt;0,I2672/H2672,0)</x:f>
        <x:v>0.318162762550369</x:v>
      </x:c>
      <x:c r="K2672" s="80" t="n">
        <x:f>(H2672*J2672+I2672)*'Inputs'!$D$51*(1+'Inputs'!$G$51)^(B2672/30)</x:f>
        <x:v>1342132.5787579305</x:v>
      </x:c>
      <x:c r="L2672" s="80" t="n">
        <x:f>MAX(0,K2672*'Inputs'!$E$51)</x:f>
        <x:v>134213.25787579306</x:v>
      </x:c>
      <x:c r="M2672" s="80" t="n">
        <x:f>MAX(0,-K2672*'Inputs'!$E$51)</x:f>
        <x:v>0</x:v>
      </x:c>
      <x:c r="N2672" s="78" t="n">
        <x:f>H2672*(L2672*(1-'Inputs'!$B$15))/(I2672+L2672*(1-'Inputs'!$B$15))</x:f>
        <x:v>243510.2510156567</x:v>
      </x:c>
      <x:c r="O2672" s="78" t="n">
        <x:f>H2672-N2672</x:f>
        <x:v>340573.9818140659</x:v>
      </x:c>
      <x:c r="P2672" s="78" t="n">
        <x:f>I2672+L2672*(1-'Inputs'!$B$17)</x:f>
        <x:v>319507.01736194897</x:v>
      </x:c>
      <x:c r="Q2672" s="78" t="n">
        <x:f>IF(J2672&gt;0,M2672/J2672,0)</x:f>
        <x:v>0</x:v>
      </x:c>
      <x:c r="R2672" s="78" t="n">
        <x:f>IF(B2672='Inputs'!$H$51,'Inputs'!$B$27*'Inputs'!$I$51,0)</x:f>
        <x:v>0</x:v>
      </x:c>
      <x:c r="S2672" s="78" t="n">
        <x:f>Q2672+G2672+R2672</x:f>
        <x:v>243656.76018014597</x:v>
      </x:c>
      <x:c r="T2672" s="78" t="n">
        <x:f>P2672*(S2672*(1-'Inputs'!$B$15))/(O2672+S2672*(1-'Inputs'!$B$15))</x:f>
        <x:v>132472.1828620414</x:v>
      </x:c>
      <x:c r="U2672" s="78" t="n">
        <x:f>O2672+S2672*(1-'Inputs'!$B$17)</x:f>
        <x:v>583250.2318928833</x:v>
      </x:c>
      <x:c r="V2672" s="78" t="n">
        <x:f>P2672-T2672</x:f>
        <x:v>187034.83449990756</x:v>
      </x:c>
      <x:c r="W2672" s="79" t="n">
        <x:f>IF(U2672&gt;0,V2672/U2672,0)</x:f>
        <x:v>0.3206768283535932</x:v>
      </x:c>
      <x:c r="X2672" s="80" t="n">
        <x:f>W2672*('Inputs'!$B$6-AC2672)</x:f>
        <x:v>320350293.3430456</x:v>
      </x:c>
      <x:c r="Y2672" s="80" t="n">
        <x:f>2*V2672</x:f>
        <x:v>374069.6689998151</x:v>
      </x:c>
      <x:c r="Z2672" s="80" t="n">
        <x:f>K2672*'Inputs'!$B$16+(G2672+R2672)*J2672*'Inputs'!$B$16</x:f>
        <x:v>8517.930520145512</x:v>
      </x:c>
      <x:c r="AA2672" s="80" t="n">
        <x:f>K2672*(1+'Inputs'!$E$51)/2*'Inputs'!$B$17</x:f>
        <x:v>2970.5147618384785</x:v>
      </x:c>
      <x:c r="AB2672" s="78" t="n">
        <x:f>(IF(J2672&gt;0,K2672*(1-'Inputs'!$E$51)/2/J2672,0)+G2672+R2672)*'Inputs'!$B$17</x:f>
        <x:v>8619.434120264215</x:v>
      </x:c>
      <x:c r="AC2672" s="78" t="n">
        <x:f>AC2671+AB2672</x:f>
        <x:v>1018268.1805357961</x:v>
      </x:c>
      <x:c r="AD2672" s="80" t="n">
        <x:f>Z2672/(1+'Inputs'!$C$51)</x:f>
        <x:v>2839.310173381837</x:v>
      </x:c>
      <x:c r="AE2672" s="80" t="n">
        <x:f>Z2672-AD2672</x:f>
        <x:v>5678.620346763675</x:v>
      </x:c>
      <x:c r="AF2672" s="80" t="n">
        <x:f>D2672*W2672</x:f>
        <x:v>92779.12081095933</x:v>
      </x:c>
      <x:c r="AG2672" s="80" t="n">
        <x:f>C2672*W2672</x:f>
        <x:v>216484.61522557097</x:v>
      </x:c>
      <x:c r="AH2672" s="80" t="n">
        <x:f>2*'Inputs'!$B$8*'Inputs'!$C$51</x:f>
        <x:v>10000</x:v>
      </x:c>
      <x:c r="AI2672" s="81" t="n">
        <x:f>IF(AH2672&gt;0,(AE2672+AF2672)/AH2672*365,0)</x:f>
        <x:v>3593.70755225689</x:v>
      </x:c>
      <x:c r="AJ2672" s="81" t="n">
        <x:f>IF('Inputs'!$B$51&gt;0,AG2672/('Inputs'!$B$19*'Inputs'!$B$51)*365,0)</x:f>
        <x:v>7901.6884557333415</x:v>
      </x:c>
      <x:c r="AK2672" s="81" t="n">
        <x:f>W2672/MAX($W$2559:W2672)-1</x:f>
        <x:v>-0.6746577562613421</x:v>
      </x:c>
      <x:c r="AL2672" s="83" t="n">
        <x:f>'Inputs'!$B$51</x:f>
        <x:v>1</x:v>
      </x:c>
      <x:c r="AM2672" s="83" t="n">
        <x:f>'Inputs'!$C$51</x:f>
        <x:v>2</x:v>
      </x:c>
      <x:c r="AN2672" s="83" t="n">
        <x:f>'Inputs'!$D$51</x:f>
        <x:v>3</x:v>
      </x:c>
      <x:c r="AO2672" s="81" t="n">
        <x:f>'Inputs'!$E$51</x:f>
        <x:v>0.1</x:v>
      </x:c>
    </x:row>
    <x:row r="2673">
      <x:c r="A2673" s="59" t="str">
        <x:v>High demand</x:v>
      </x:c>
      <x:c r="B2673" s="59" t="n">
        <x:v>115</x:v>
      </x:c>
      <x:c r="C2673" s="78" t="n">
        <x:f>(('Inputs'!$B$29*(3*115*'Inputs'!$B$12-115^2)/(2*'Inputs'!$B$12^2))-('Inputs'!$B$29*(3*114*'Inputs'!$B$12-114^2)/(2*'Inputs'!$B$12^2)))*'Inputs'!$B$51</x:f>
        <x:v>674761.44680053</x:v>
      </x:c>
      <x:c r="D2673" s="78" t="n">
        <x:f>IF('Inputs'!$C$51&gt;0,('Inputs'!$B$30*(3*115*'Inputs'!$B$12-115^2)/(2*'Inputs'!$B$12^2))-('Inputs'!$B$30*(3*114*'Inputs'!$B$12-114^2)/(2*'Inputs'!$B$12^2)),0)</x:f>
        <x:v>289183.47720023245</x:v>
      </x:c>
      <x:c r="E2673" s="78" t="n">
        <x:f>C2673+D2673</x:f>
        <x:v>963944.9240007624</x:v>
      </x:c>
      <x:c r="F2673" s="78" t="n">
        <x:f>'Inputs'!$B$13*E2673+(1-'Inputs'!$B$13)/'Inputs'!$B$14*SUM(E2618:E2673)</x:f>
        <x:v>974162.6008632038</x:v>
      </x:c>
      <x:c r="G2673" s="78" t="n">
        <x:f>F2673*'Inputs'!$F$51</x:f>
        <x:v>243540.65021580094</x:v>
      </x:c>
      <x:c r="H2673" s="78" t="n">
        <x:f>U2672</x:f>
        <x:v>583250.2318928833</x:v>
      </x:c>
      <x:c r="I2673" s="78" t="n">
        <x:f>V2672</x:f>
        <x:v>187034.83449990756</x:v>
      </x:c>
      <x:c r="J2673" s="79" t="n">
        <x:f>IF(H2673&gt;0,I2673/H2673,0)</x:f>
        <x:v>0.3206768283535932</x:v>
      </x:c>
      <x:c r="K2673" s="80" t="n">
        <x:f>(H2673*J2673+I2673)*'Inputs'!$D$51*(1+'Inputs'!$G$51)^(B2673/30)</x:f>
        <x:v>1353004.9844089658</x:v>
      </x:c>
      <x:c r="L2673" s="80" t="n">
        <x:f>MAX(0,K2673*'Inputs'!$E$51)</x:f>
        <x:v>135300.4984408966</x:v>
      </x:c>
      <x:c r="M2673" s="80" t="n">
        <x:f>MAX(0,-K2673*'Inputs'!$E$51)</x:f>
        <x:v>0</x:v>
      </x:c>
      <x:c r="N2673" s="78" t="n">
        <x:f>H2673*(L2673*(1-'Inputs'!$B$15))/(I2673+L2673*(1-'Inputs'!$B$15))</x:f>
        <x:v>243393.17094921187</x:v>
      </x:c>
      <x:c r="O2673" s="78" t="n">
        <x:f>H2673-N2673</x:f>
        <x:v>339857.06094367144</x:v>
      </x:c>
      <x:c r="P2673" s="78" t="n">
        <x:f>I2673+L2673*(1-'Inputs'!$B$17)</x:f>
        <x:v>321790.86413420097</x:v>
      </x:c>
      <x:c r="Q2673" s="78" t="n">
        <x:f>IF(J2673&gt;0,M2673/J2673,0)</x:f>
        <x:v>0</x:v>
      </x:c>
      <x:c r="R2673" s="78" t="n">
        <x:f>IF(B2673='Inputs'!$H$51,'Inputs'!$B$27*'Inputs'!$I$51,0)</x:f>
        <x:v>0</x:v>
      </x:c>
      <x:c r="S2673" s="78" t="n">
        <x:f>Q2673+G2673+R2673</x:f>
        <x:v>243540.65021580094</x:v>
      </x:c>
      <x:c r="T2673" s="78" t="n">
        <x:f>P2673*(S2673*(1-'Inputs'!$B$15))/(O2673+S2673*(1-'Inputs'!$B$15))</x:f>
        <x:v>133546.46953844058</x:v>
      </x:c>
      <x:c r="U2673" s="78" t="n">
        <x:f>O2673+S2673*(1-'Inputs'!$B$17)</x:f>
        <x:v>582417.6683014611</x:v>
      </x:c>
      <x:c r="V2673" s="78" t="n">
        <x:f>P2673-T2673</x:f>
        <x:v>188244.3945957604</x:v>
      </x:c>
      <x:c r="W2673" s="79" t="n">
        <x:f>IF(U2673&gt;0,V2673/U2673,0)</x:f>
        <x:v>0.3232120260787221</x:v>
      </x:c>
      <x:c r="X2673" s="80" t="n">
        <x:f>W2673*('Inputs'!$B$6-AC2673)</x:f>
        <x:v>322880123.3157253</x:v>
      </x:c>
      <x:c r="Y2673" s="80" t="n">
        <x:f>2*V2673</x:f>
        <x:v>376488.7891915208</x:v>
      </x:c>
      <x:c r="Z2673" s="80" t="n">
        <x:f>K2673*'Inputs'!$B$16+(G2673+R2673)*J2673*'Inputs'!$B$16</x:f>
        <x:v>8586.616966172043</x:v>
      </x:c>
      <x:c r="AA2673" s="80" t="n">
        <x:f>K2673*(1+'Inputs'!$E$51)/2*'Inputs'!$B$17</x:f>
        <x:v>2994.578436317631</x:v>
      </x:c>
      <x:c r="AB2673" s="78" t="n">
        <x:f>(IF(J2673&gt;0,K2673*(1-'Inputs'!$E$51)/2/J2673,0)+G2673+R2673)*'Inputs'!$B$17</x:f>
        <x:v>8620.475259359648</x:v>
      </x:c>
      <x:c r="AC2673" s="78" t="n">
        <x:f>AC2672+AB2673</x:f>
        <x:v>1026888.6557951558</x:v>
      </x:c>
      <x:c r="AD2673" s="80" t="n">
        <x:f>Z2673/(1+'Inputs'!$C$51)</x:f>
        <x:v>2862.205655390681</x:v>
      </x:c>
      <x:c r="AE2673" s="80" t="n">
        <x:f>Z2673-AD2673</x:f>
        <x:v>5724.411310781363</x:v>
      </x:c>
      <x:c r="AF2673" s="80" t="n">
        <x:f>D2673*W2673</x:f>
        <x:v>93467.57757437708</x:v>
      </x:c>
      <x:c r="AG2673" s="80" t="n">
        <x:f>C2673*W2673</x:f>
        <x:v>218091.01434020916</x:v>
      </x:c>
      <x:c r="AH2673" s="80" t="n">
        <x:f>2*'Inputs'!$B$8*'Inputs'!$C$51</x:f>
        <x:v>10000</x:v>
      </x:c>
      <x:c r="AI2673" s="81" t="n">
        <x:f>IF(AH2673&gt;0,(AE2673+AF2673)/AH2673*365,0)</x:f>
        <x:v>3620.507594308283</x:v>
      </x:c>
      <x:c r="AJ2673" s="81" t="n">
        <x:f>IF('Inputs'!$B$51&gt;0,AG2673/('Inputs'!$B$19*'Inputs'!$B$51)*365,0)</x:f>
        <x:v>7960.322023417635</x:v>
      </x:c>
      <x:c r="AK2673" s="81" t="n">
        <x:f>W2673/MAX($W$2559:W2673)-1</x:f>
        <x:v>-0.6720856748283016</x:v>
      </x:c>
      <x:c r="AL2673" s="83" t="n">
        <x:f>'Inputs'!$B$51</x:f>
        <x:v>1</x:v>
      </x:c>
      <x:c r="AM2673" s="83" t="n">
        <x:f>'Inputs'!$C$51</x:f>
        <x:v>2</x:v>
      </x:c>
      <x:c r="AN2673" s="83" t="n">
        <x:f>'Inputs'!$D$51</x:f>
        <x:v>3</x:v>
      </x:c>
      <x:c r="AO2673" s="81" t="n">
        <x:f>'Inputs'!$E$51</x:f>
        <x:v>0.1</x:v>
      </x:c>
    </x:row>
    <x:row r="2674">
      <x:c r="A2674" s="59" t="str">
        <x:v>High demand</x:v>
      </x:c>
      <x:c r="B2674" s="59" t="n">
        <x:v>116</x:v>
      </x:c>
      <x:c r="C2674" s="78" t="n">
        <x:f>(('Inputs'!$B$29*(3*116*'Inputs'!$B$12-116^2)/(2*'Inputs'!$B$12^2))-('Inputs'!$B$29*(3*115*'Inputs'!$B$12-115^2)/(2*'Inputs'!$B$12^2)))*'Inputs'!$B$51</x:f>
        <x:v>674436.3389003575</x:v>
      </x:c>
      <x:c r="D2674" s="78" t="n">
        <x:f>IF('Inputs'!$C$51&gt;0,('Inputs'!$B$30*(3*116*'Inputs'!$B$12-116^2)/(2*'Inputs'!$B$12^2))-('Inputs'!$B$30*(3*115*'Inputs'!$B$12-115^2)/(2*'Inputs'!$B$12^2)),0)</x:f>
        <x:v>289044.14524300396</x:v>
      </x:c>
      <x:c r="E2674" s="78" t="n">
        <x:f>C2674+D2674</x:f>
        <x:v>963480.4841433614</x:v>
      </x:c>
      <x:c r="F2674" s="78" t="n">
        <x:f>'Inputs'!$B$13*E2674+(1-'Inputs'!$B$13)/'Inputs'!$B$14*SUM(E2619:E2674)</x:f>
        <x:v>973698.1610058163</x:v>
      </x:c>
      <x:c r="G2674" s="78" t="n">
        <x:f>F2674*'Inputs'!$F$51</x:f>
        <x:v>243424.54025145408</x:v>
      </x:c>
      <x:c r="H2674" s="78" t="n">
        <x:f>U2673</x:f>
        <x:v>582417.6683014611</x:v>
      </x:c>
      <x:c r="I2674" s="78" t="n">
        <x:f>V2673</x:f>
        <x:v>188244.3945957604</x:v>
      </x:c>
      <x:c r="J2674" s="79" t="n">
        <x:f>IF(H2674&gt;0,I2674/H2674,0)</x:f>
        <x:v>0.3232120260787221</x:v>
      </x:c>
      <x:c r="K2674" s="80" t="n">
        <x:f>(H2674*J2674+I2674)*'Inputs'!$D$51*(1+'Inputs'!$G$51)^(B2674/30)</x:f>
        <x:v>1363971.3864891557</x:v>
      </x:c>
      <x:c r="L2674" s="80" t="n">
        <x:f>MAX(0,K2674*'Inputs'!$E$51)</x:f>
        <x:v>136397.13864891557</x:v>
      </x:c>
      <x:c r="M2674" s="80" t="n">
        <x:f>MAX(0,-K2674*'Inputs'!$E$51)</x:f>
        <x:v>0</x:v>
      </x:c>
      <x:c r="N2674" s="78" t="n">
        <x:f>H2674*(L2674*(1-'Inputs'!$B$15))/(I2674+L2674*(1-'Inputs'!$B$15))</x:f>
        <x:v>243276.0936709964</x:v>
      </x:c>
      <x:c r="O2674" s="78" t="n">
        <x:f>H2674-N2674</x:f>
        <x:v>339141.5746304648</x:v>
      </x:c>
      <x:c r="P2674" s="78" t="n">
        <x:f>I2674+L2674*(1-'Inputs'!$B$17)</x:f>
        <x:v>324092.65139900625</x:v>
      </x:c>
      <x:c r="Q2674" s="78" t="n">
        <x:f>IF(J2674&gt;0,M2674/J2674,0)</x:f>
        <x:v>0</x:v>
      </x:c>
      <x:c r="R2674" s="78" t="n">
        <x:f>IF(B2674='Inputs'!$H$51,'Inputs'!$B$27*'Inputs'!$I$51,0)</x:f>
        <x:v>0</x:v>
      </x:c>
      <x:c r="S2674" s="78" t="n">
        <x:f>Q2674+G2674+R2674</x:f>
        <x:v>243424.54025145408</x:v>
      </x:c>
      <x:c r="T2674" s="78" t="n">
        <x:f>P2674*(S2674*(1-'Inputs'!$B$15))/(O2674+S2674*(1-'Inputs'!$B$15))</x:f>
        <x:v>134630.051765832</x:v>
      </x:c>
      <x:c r="U2674" s="78" t="n">
        <x:f>O2674+S2674*(1-'Inputs'!$B$17)</x:f>
        <x:v>581586.5392672248</x:v>
      </x:c>
      <x:c r="V2674" s="78" t="n">
        <x:f>P2674-T2674</x:f>
        <x:v>189462.59963317425</x:v>
      </x:c>
      <x:c r="W2674" s="79" t="n">
        <x:f>IF(U2674&gt;0,V2674/U2674,0)</x:f>
        <x:v>0.3257685431851455</x:v>
      </x:c>
      <x:c r="X2674" s="80" t="n">
        <x:f>W2674*('Inputs'!$B$6-AC2674)</x:f>
        <x:v>325431206.54374593</x:v>
      </x:c>
      <x:c r="Y2674" s="80" t="n">
        <x:f>2*V2674</x:f>
        <x:v>378925.1992663485</x:v>
      </x:c>
      <x:c r="Z2674" s="80" t="n">
        <x:f>K2674*'Inputs'!$B$16+(G2674+R2674)*J2674*'Inputs'!$B$16</x:f>
        <x:v>8655.894752046657</x:v>
      </x:c>
      <x:c r="AA2674" s="80" t="n">
        <x:f>K2674*(1+'Inputs'!$E$51)/2*'Inputs'!$B$17</x:f>
        <x:v>3018.850151183243</x:v>
      </x:c>
      <x:c r="AB2674" s="78" t="n">
        <x:f>(IF(J2674&gt;0,K2674*(1-'Inputs'!$E$51)/2/J2674,0)+G2674+R2674)*'Inputs'!$B$17</x:f>
        <x:v>8621.519930565357</x:v>
      </x:c>
      <x:c r="AC2674" s="78" t="n">
        <x:f>AC2673+AB2674</x:f>
        <x:v>1035510.1757257212</x:v>
      </x:c>
      <x:c r="AD2674" s="80" t="n">
        <x:f>Z2674/(1+'Inputs'!$C$51)</x:f>
        <x:v>2885.298250682219</x:v>
      </x:c>
      <x:c r="AE2674" s="80" t="n">
        <x:f>Z2674-AD2674</x:f>
        <x:v>5770.596501364438</x:v>
      </x:c>
      <x:c r="AF2674" s="80" t="n">
        <x:f>D2674*W2674</x:f>
        <x:v>94161.49011200899</x:v>
      </x:c>
      <x:c r="AG2674" s="80" t="n">
        <x:f>C2674*W2674</x:f>
        <x:v>219710.14359469252</x:v>
      </x:c>
      <x:c r="AH2674" s="80" t="n">
        <x:f>2*'Inputs'!$B$8*'Inputs'!$C$51</x:f>
        <x:v>10000</x:v>
      </x:c>
      <x:c r="AI2674" s="81" t="n">
        <x:f>IF(AH2674&gt;0,(AE2674+AF2674)/AH2674*365,0)</x:f>
        <x:v>3647.52116138813</x:v>
      </x:c>
      <x:c r="AJ2674" s="81" t="n">
        <x:f>IF('Inputs'!$B$51&gt;0,AG2674/('Inputs'!$B$19*'Inputs'!$B$51)*365,0)</x:f>
        <x:v>8019.420241206277</x:v>
      </x:c>
      <x:c r="AK2674" s="81" t="n">
        <x:f>W2674/MAX($W$2559:W2674)-1</x:f>
        <x:v>-0.6694919638457204</x:v>
      </x:c>
      <x:c r="AL2674" s="83" t="n">
        <x:f>'Inputs'!$B$51</x:f>
        <x:v>1</x:v>
      </x:c>
      <x:c r="AM2674" s="83" t="n">
        <x:f>'Inputs'!$C$51</x:f>
        <x:v>2</x:v>
      </x:c>
      <x:c r="AN2674" s="83" t="n">
        <x:f>'Inputs'!$D$51</x:f>
        <x:v>3</x:v>
      </x:c>
      <x:c r="AO2674" s="81" t="n">
        <x:f>'Inputs'!$E$51</x:f>
        <x:v>0.1</x:v>
      </x:c>
    </x:row>
    <x:row r="2675">
      <x:c r="A2675" s="59" t="str">
        <x:v>High demand</x:v>
      </x:c>
      <x:c r="B2675" s="59" t="n">
        <x:v>117</x:v>
      </x:c>
      <x:c r="C2675" s="78" t="n">
        <x:f>(('Inputs'!$B$29*(3*117*'Inputs'!$B$12-117^2)/(2*'Inputs'!$B$12^2))-('Inputs'!$B$29*(3*116*'Inputs'!$B$12-116^2)/(2*'Inputs'!$B$12^2)))*'Inputs'!$B$51</x:f>
        <x:v>674111.231000185</x:v>
      </x:c>
      <x:c r="D2675" s="78" t="n">
        <x:f>IF('Inputs'!$C$51&gt;0,('Inputs'!$B$30*(3*117*'Inputs'!$B$12-117^2)/(2*'Inputs'!$B$12^2))-('Inputs'!$B$30*(3*116*'Inputs'!$B$12-116^2)/(2*'Inputs'!$B$12^2)),0)</x:f>
        <x:v>288904.81328579783</x:v>
      </x:c>
      <x:c r="E2675" s="78" t="n">
        <x:f>C2675+D2675</x:f>
        <x:v>963016.0442859828</x:v>
      </x:c>
      <x:c r="F2675" s="78" t="n">
        <x:f>'Inputs'!$B$13*E2675+(1-'Inputs'!$B$13)/'Inputs'!$B$14*SUM(E2620:E2675)</x:f>
        <x:v>973233.7211484333</x:v>
      </x:c>
      <x:c r="G2675" s="78" t="n">
        <x:f>F2675*'Inputs'!$F$51</x:f>
        <x:v>243308.43028710832</x:v>
      </x:c>
      <x:c r="H2675" s="78" t="n">
        <x:f>U2674</x:f>
        <x:v>581586.5392672248</x:v>
      </x:c>
      <x:c r="I2675" s="78" t="n">
        <x:f>V2674</x:f>
        <x:v>189462.59963317425</x:v>
      </x:c>
      <x:c r="J2675" s="79" t="n">
        <x:f>IF(H2675&gt;0,I2675/H2675,0)</x:f>
        <x:v>0.3257685431851455</x:v>
      </x:c>
      <x:c r="K2675" s="80" t="n">
        <x:f>(H2675*J2675+I2675)*'Inputs'!$D$51*(1+'Inputs'!$G$51)^(B2675/30)</x:f>
        <x:v>1375032.644288077</x:v>
      </x:c>
      <x:c r="L2675" s="80" t="n">
        <x:f>MAX(0,K2675*'Inputs'!$E$51)</x:f>
        <x:v>137503.2644288077</x:v>
      </x:c>
      <x:c r="M2675" s="80" t="n">
        <x:f>MAX(0,-K2675*'Inputs'!$E$51)</x:f>
        <x:v>0</x:v>
      </x:c>
      <x:c r="N2675" s="78" t="n">
        <x:f>H2675*(L2675*(1-'Inputs'!$B$15))/(I2675+L2675*(1-'Inputs'!$B$15))</x:f>
        <x:v>243159.01917569473</x:v>
      </x:c>
      <x:c r="O2675" s="78" t="n">
        <x:f>H2675-N2675</x:f>
        <x:v>338427.5200915301</x:v>
      </x:c>
      <x:c r="P2675" s="78" t="n">
        <x:f>I2675+L2675*(1-'Inputs'!$B$17)</x:f>
        <x:v>326412.5310059304</x:v>
      </x:c>
      <x:c r="Q2675" s="78" t="n">
        <x:f>IF(J2675&gt;0,M2675/J2675,0)</x:f>
        <x:v>0</x:v>
      </x:c>
      <x:c r="R2675" s="78" t="n">
        <x:f>IF(B2675='Inputs'!$H$51,'Inputs'!$B$27*'Inputs'!$I$51,0)</x:f>
        <x:v>0</x:v>
      </x:c>
      <x:c r="S2675" s="78" t="n">
        <x:f>Q2675+G2675+R2675</x:f>
        <x:v>243308.43028710832</x:v>
      </x:c>
      <x:c r="T2675" s="78" t="n">
        <x:f>P2675*(S2675*(1-'Inputs'!$B$15))/(O2675+S2675*(1-'Inputs'!$B$15))</x:f>
        <x:v>135723.0145817381</x:v>
      </x:c>
      <x:c r="U2675" s="78" t="n">
        <x:f>O2675+S2675*(1-'Inputs'!$B$17)</x:f>
        <x:v>580756.8420072617</x:v>
      </x:c>
      <x:c r="V2675" s="78" t="n">
        <x:f>P2675-T2675</x:f>
        <x:v>190689.5164241923</x:v>
      </x:c>
      <x:c r="W2675" s="79" t="n">
        <x:f>IF(U2675&gt;0,V2675/U2675,0)</x:f>
        <x:v>0.328346568875736</x:v>
      </x:c>
      <x:c r="X2675" s="80" t="n">
        <x:f>W2675*('Inputs'!$B$6-AC2675)</x:f>
        <x:v>328003731.47183836</x:v>
      </x:c>
      <x:c r="Y2675" s="80" t="n">
        <x:f>2*V2675</x:f>
        <x:v>381379.0328483846</x:v>
      </x:c>
      <x:c r="Z2675" s="80" t="n">
        <x:f>K2675*'Inputs'!$B$16+(G2675+R2675)*J2675*'Inputs'!$B$16</x:f>
        <x:v>8725.769263004238</x:v>
      </x:c>
      <x:c r="AA2675" s="80" t="n">
        <x:f>K2675*(1+'Inputs'!$E$51)/2*'Inputs'!$B$17</x:f>
        <x:v>3043.3318082834708</x:v>
      </x:c>
      <x:c r="AB2675" s="78" t="n">
        <x:f>(IF(J2675&gt;0,K2675*(1-'Inputs'!$E$51)/2/J2675,0)+G2675+R2675)*'Inputs'!$B$17</x:f>
        <x:v>8622.568135436168</x:v>
      </x:c>
      <x:c r="AC2675" s="78" t="n">
        <x:f>AC2674+AB2675</x:f>
        <x:v>1044132.7438611573</x:v>
      </x:c>
      <x:c r="AD2675" s="80" t="n">
        <x:f>Z2675/(1+'Inputs'!$C$51)</x:f>
        <x:v>2908.589754334746</x:v>
      </x:c>
      <x:c r="AE2675" s="80" t="n">
        <x:f>Z2675-AD2675</x:f>
        <x:v>5817.179508669493</x:v>
      </x:c>
      <x:c r="AF2675" s="80" t="n">
        <x:f>D2675*W2675</x:f>
        <x:v>94860.90417407686</x:v>
      </x:c>
      <x:c r="AG2675" s="80" t="n">
        <x:f>C2675*W2675</x:f>
        <x:v>221342.1097395094</x:v>
      </x:c>
      <x:c r="AH2675" s="80" t="n">
        <x:f>2*'Inputs'!$B$8*'Inputs'!$C$51</x:f>
        <x:v>10000</x:v>
      </x:c>
      <x:c r="AI2675" s="81" t="n">
        <x:f>IF(AH2675&gt;0,(AE2675+AF2675)/AH2675*365,0)</x:f>
        <x:v>3674.7500544202417</x:v>
      </x:c>
      <x:c r="AJ2675" s="81" t="n">
        <x:f>IF('Inputs'!$B$51&gt;0,AG2675/('Inputs'!$B$19*'Inputs'!$B$51)*365,0)</x:f>
        <x:v>8078.987005492094</x:v>
      </x:c>
      <x:c r="AK2675" s="81" t="n">
        <x:f>W2675/MAX($W$2559:W2675)-1</x:f>
        <x:v>-0.6668764313580791</x:v>
      </x:c>
      <x:c r="AL2675" s="83" t="n">
        <x:f>'Inputs'!$B$51</x:f>
        <x:v>1</x:v>
      </x:c>
      <x:c r="AM2675" s="83" t="n">
        <x:f>'Inputs'!$C$51</x:f>
        <x:v>2</x:v>
      </x:c>
      <x:c r="AN2675" s="83" t="n">
        <x:f>'Inputs'!$D$51</x:f>
        <x:v>3</x:v>
      </x:c>
      <x:c r="AO2675" s="81" t="n">
        <x:f>'Inputs'!$E$51</x:f>
        <x:v>0.1</x:v>
      </x:c>
    </x:row>
    <x:row r="2676">
      <x:c r="A2676" s="59" t="str">
        <x:v>High demand</x:v>
      </x:c>
      <x:c r="B2676" s="59" t="n">
        <x:v>118</x:v>
      </x:c>
      <x:c r="C2676" s="78" t="n">
        <x:f>(('Inputs'!$B$29*(3*118*'Inputs'!$B$12-118^2)/(2*'Inputs'!$B$12^2))-('Inputs'!$B$29*(3*117*'Inputs'!$B$12-117^2)/(2*'Inputs'!$B$12^2)))*'Inputs'!$B$51</x:f>
        <x:v>673786.1231000274</x:v>
      </x:c>
      <x:c r="D2676" s="78" t="n">
        <x:f>IF('Inputs'!$C$51&gt;0,('Inputs'!$B$30*(3*118*'Inputs'!$B$12-118^2)/(2*'Inputs'!$B$12^2))-('Inputs'!$B$30*(3*117*'Inputs'!$B$12-117^2)/(2*'Inputs'!$B$12^2)),0)</x:f>
        <x:v>288765.4813285768</x:v>
      </x:c>
      <x:c r="E2676" s="78" t="n">
        <x:f>C2676+D2676</x:f>
        <x:v>962551.6044286042</x:v>
      </x:c>
      <x:c r="F2676" s="78" t="n">
        <x:f>'Inputs'!$B$13*E2676+(1-'Inputs'!$B$13)/'Inputs'!$B$14*SUM(E2621:E2676)</x:f>
        <x:v>972769.2812910504</x:v>
      </x:c>
      <x:c r="G2676" s="78" t="n">
        <x:f>F2676*'Inputs'!$F$51</x:f>
        <x:v>243192.3203227626</x:v>
      </x:c>
      <x:c r="H2676" s="78" t="n">
        <x:f>U2675</x:f>
        <x:v>580756.8420072617</x:v>
      </x:c>
      <x:c r="I2676" s="78" t="n">
        <x:f>V2675</x:f>
        <x:v>190689.5164241923</x:v>
      </x:c>
      <x:c r="J2676" s="79" t="n">
        <x:f>IF(H2676&gt;0,I2676/H2676,0)</x:f>
        <x:v>0.328346568875736</x:v>
      </x:c>
      <x:c r="K2676" s="80" t="n">
        <x:f>(H2676*J2676+I2676)*'Inputs'!$D$51*(1+'Inputs'!$G$51)^(B2676/30)</x:f>
        <x:v>1386189.625340298</x:v>
      </x:c>
      <x:c r="L2676" s="80" t="n">
        <x:f>MAX(0,K2676*'Inputs'!$E$51)</x:f>
        <x:v>138618.96253402982</x:v>
      </x:c>
      <x:c r="M2676" s="80" t="n">
        <x:f>MAX(0,-K2676*'Inputs'!$E$51)</x:f>
        <x:v>0</x:v>
      </x:c>
      <x:c r="N2676" s="78" t="n">
        <x:f>H2676*(L2676*(1-'Inputs'!$B$15))/(I2676+L2676*(1-'Inputs'!$B$15))</x:f>
        <x:v>243041.94745800272</x:v>
      </x:c>
      <x:c r="O2676" s="78" t="n">
        <x:f>H2676-N2676</x:f>
        <x:v>337714.894549259</x:v>
      </x:c>
      <x:c r="P2676" s="78" t="n">
        <x:f>I2676+L2676*(1-'Inputs'!$B$17)</x:f>
        <x:v>328750.6561713648</x:v>
      </x:c>
      <x:c r="Q2676" s="78" t="n">
        <x:f>IF(J2676&gt;0,M2676/J2676,0)</x:f>
        <x:v>0</x:v>
      </x:c>
      <x:c r="R2676" s="78" t="n">
        <x:f>IF(B2676='Inputs'!$H$51,'Inputs'!$B$27*'Inputs'!$I$51,0)</x:f>
        <x:v>0</x:v>
      </x:c>
      <x:c r="S2676" s="78" t="n">
        <x:f>Q2676+G2676+R2676</x:f>
        <x:v>243192.3203227626</x:v>
      </x:c>
      <x:c r="T2676" s="78" t="n">
        <x:f>P2676*(S2676*(1-'Inputs'!$B$15))/(O2676+S2676*(1-'Inputs'!$B$15))</x:f>
        <x:v>136825.4438401198</x:v>
      </x:c>
      <x:c r="U2676" s="78" t="n">
        <x:f>O2676+S2676*(1-'Inputs'!$B$17)</x:f>
        <x:v>579928.5737439622</x:v>
      </x:c>
      <x:c r="V2676" s="78" t="n">
        <x:f>P2676-T2676</x:f>
        <x:v>191925.212331245</x:v>
      </x:c>
      <x:c r="W2676" s="79" t="n">
        <x:f>IF(U2676&gt;0,V2676/U2676,0)</x:f>
        <x:v>0.33094629411376403</x:v>
      </x:c>
      <x:c r="X2676" s="80" t="n">
        <x:f>W2676*('Inputs'!$B$6-AC2676)</x:f>
        <x:v>330597888.29658073</x:v>
      </x:c>
      <x:c r="Y2676" s="80" t="n">
        <x:f>2*V2676</x:f>
        <x:v>383850.42466249</x:v>
      </x:c>
      <x:c r="Z2676" s="80" t="n">
        <x:f>K2676*'Inputs'!$B$16+(G2676+R2676)*J2676*'Inputs'!$B$16</x:f>
        <x:v>8796.245935771236</x:v>
      </x:c>
      <x:c r="AA2676" s="80" t="n">
        <x:f>K2676*(1+'Inputs'!$E$51)/2*'Inputs'!$B$17</x:f>
        <x:v>3068.025327714946</x:v>
      </x:c>
      <x:c r="AB2676" s="78" t="n">
        <x:f>(IF(J2676&gt;0,K2676*(1-'Inputs'!$E$51)/2/J2676,0)+G2676+R2676)*'Inputs'!$B$17</x:f>
        <x:v>8623.619875523276</x:v>
      </x:c>
      <x:c r="AC2676" s="78" t="n">
        <x:f>AC2675+AB2676</x:f>
        <x:v>1052756.3637366807</x:v>
      </x:c>
      <x:c r="AD2676" s="80" t="n">
        <x:f>Z2676/(1+'Inputs'!$C$51)</x:f>
        <x:v>2932.081978590412</x:v>
      </x:c>
      <x:c r="AE2676" s="80" t="n">
        <x:f>Z2676-AD2676</x:f>
        <x:v>5864.163957180825</x:v>
      </x:c>
      <x:c r="AF2676" s="80" t="n">
        <x:f>D2676*W2676</x:f>
        <x:v>95565.86591366981</x:v>
      </x:c>
      <x:c r="AG2676" s="80" t="n">
        <x:f>C2676*W2676</x:f>
        <x:v>222987.0204652345</x:v>
      </x:c>
      <x:c r="AH2676" s="80" t="n">
        <x:f>2*'Inputs'!$B$8*'Inputs'!$C$51</x:f>
        <x:v>10000</x:v>
      </x:c>
      <x:c r="AI2676" s="81" t="n">
        <x:f>IF(AH2676&gt;0,(AE2676+AF2676)/AH2676*365,0)</x:f>
        <x:v>3702.1960902860483</x:v>
      </x:c>
      <x:c r="AJ2676" s="81" t="n">
        <x:f>IF('Inputs'!$B$51&gt;0,AG2676/('Inputs'!$B$19*'Inputs'!$B$51)*365,0)</x:f>
        <x:v>8139.026246981059</x:v>
      </x:c>
      <x:c r="AK2676" s="81" t="n">
        <x:f>W2676/MAX($W$2559:W2676)-1</x:f>
        <x:v>-0.6642388836238491</x:v>
      </x:c>
      <x:c r="AL2676" s="83" t="n">
        <x:f>'Inputs'!$B$51</x:f>
        <x:v>1</x:v>
      </x:c>
      <x:c r="AM2676" s="83" t="n">
        <x:f>'Inputs'!$C$51</x:f>
        <x:v>2</x:v>
      </x:c>
      <x:c r="AN2676" s="83" t="n">
        <x:f>'Inputs'!$D$51</x:f>
        <x:v>3</x:v>
      </x:c>
      <x:c r="AO2676" s="81" t="n">
        <x:f>'Inputs'!$E$51</x:f>
        <x:v>0.1</x:v>
      </x:c>
    </x:row>
    <x:row r="2677">
      <x:c r="A2677" s="59" t="str">
        <x:v>High demand</x:v>
      </x:c>
      <x:c r="B2677" s="59" t="n">
        <x:v>119</x:v>
      </x:c>
      <x:c r="C2677" s="78" t="n">
        <x:f>(('Inputs'!$B$29*(3*119*'Inputs'!$B$12-119^2)/(2*'Inputs'!$B$12^2))-('Inputs'!$B$29*(3*118*'Inputs'!$B$12-118^2)/(2*'Inputs'!$B$12^2)))*'Inputs'!$B$51</x:f>
        <x:v>673461.0151998401</x:v>
      </x:c>
      <x:c r="D2677" s="78" t="n">
        <x:f>IF('Inputs'!$C$51&gt;0,('Inputs'!$B$30*(3*119*'Inputs'!$B$12-119^2)/(2*'Inputs'!$B$12^2))-('Inputs'!$B$30*(3*118*'Inputs'!$B$12-118^2)/(2*'Inputs'!$B$12^2)),0)</x:f>
        <x:v>288626.1493713632</x:v>
      </x:c>
      <x:c r="E2677" s="78" t="n">
        <x:f>C2677+D2677</x:f>
        <x:v>962087.1645712033</x:v>
      </x:c>
      <x:c r="F2677" s="78" t="n">
        <x:f>'Inputs'!$B$13*E2677+(1-'Inputs'!$B$13)/'Inputs'!$B$14*SUM(E2622:E2677)</x:f>
        <x:v>972304.8414336627</x:v>
      </x:c>
      <x:c r="G2677" s="78" t="n">
        <x:f>F2677*'Inputs'!$F$51</x:f>
        <x:v>243076.21035841567</x:v>
      </x:c>
      <x:c r="H2677" s="78" t="n">
        <x:f>U2676</x:f>
        <x:v>579928.5737439622</x:v>
      </x:c>
      <x:c r="I2677" s="78" t="n">
        <x:f>V2676</x:f>
        <x:v>191925.212331245</x:v>
      </x:c>
      <x:c r="J2677" s="79" t="n">
        <x:f>IF(H2677&gt;0,I2677/H2677,0)</x:f>
        <x:v>0.33094629411376403</x:v>
      </x:c>
      <x:c r="K2677" s="80" t="n">
        <x:f>(H2677*J2677+I2677)*'Inputs'!$D$51*(1+'Inputs'!$G$51)^(B2677/30)</x:f>
        <x:v>1397443.2055079332</x:v>
      </x:c>
      <x:c r="L2677" s="80" t="n">
        <x:f>MAX(0,K2677*'Inputs'!$E$51)</x:f>
        <x:v>139744.32055079332</x:v>
      </x:c>
      <x:c r="M2677" s="80" t="n">
        <x:f>MAX(0,-K2677*'Inputs'!$E$51)</x:f>
        <x:v>0</x:v>
      </x:c>
      <x:c r="N2677" s="78" t="n">
        <x:f>H2677*(L2677*(1-'Inputs'!$B$15))/(I2677+L2677*(1-'Inputs'!$B$15))</x:f>
        <x:v>242924.87851262587</x:v>
      </x:c>
      <x:c r="O2677" s="78" t="n">
        <x:f>H2677-N2677</x:f>
        <x:v>337003.69523133634</x:v>
      </x:c>
      <x:c r="P2677" s="78" t="n">
        <x:f>I2677+L2677*(1-'Inputs'!$B$17)</x:f>
        <x:v>331107.18149149185</x:v>
      </x:c>
      <x:c r="Q2677" s="78" t="n">
        <x:f>IF(J2677&gt;0,M2677/J2677,0)</x:f>
        <x:v>0</x:v>
      </x:c>
      <x:c r="R2677" s="78" t="n">
        <x:f>IF(B2677='Inputs'!$H$51,'Inputs'!$B$27*'Inputs'!$I$51,0)</x:f>
        <x:v>0</x:v>
      </x:c>
      <x:c r="S2677" s="78" t="n">
        <x:f>Q2677+G2677+R2677</x:f>
        <x:v>243076.21035841567</x:v>
      </x:c>
      <x:c r="T2677" s="78" t="n">
        <x:f>P2677*(S2677*(1-'Inputs'!$B$15))/(O2677+S2677*(1-'Inputs'!$B$15))</x:f>
        <x:v>137937.4262195576</x:v>
      </x:c>
      <x:c r="U2677" s="78" t="n">
        <x:f>O2677+S2677*(1-'Inputs'!$B$17)</x:f>
        <x:v>579101.7317050099</x:v>
      </x:c>
      <x:c r="V2677" s="78" t="n">
        <x:f>P2677-T2677</x:f>
        <x:v>193169.75527193426</x:v>
      </x:c>
      <x:c r="W2677" s="79" t="n">
        <x:f>IF(U2677&gt;0,V2677/U2677,0)</x:f>
        <x:v>0.33356791163997673</x:v>
      </x:c>
      <x:c r="X2677" s="80" t="n">
        <x:f>W2677*('Inputs'!$B$6-AC2677)</x:f>
        <x:v>333213868.98338026</x:v>
      </x:c>
      <x:c r="Y2677" s="80" t="n">
        <x:f>2*V2677</x:f>
        <x:v>386339.5105438685</x:v>
      </x:c>
      <x:c r="Z2677" s="80" t="n">
        <x:f>K2677*'Inputs'!$B$16+(G2677+R2677)*J2677*'Inputs'!$B$16</x:f>
        <x:v>8867.330259079612</x:v>
      </x:c>
      <x:c r="AA2677" s="80" t="n">
        <x:f>K2677*(1+'Inputs'!$E$51)/2*'Inputs'!$B$17</x:f>
        <x:v>3092.9326480054865</x:v>
      </x:c>
      <x:c r="AB2677" s="78" t="n">
        <x:f>(IF(J2677&gt;0,K2677*(1-'Inputs'!$E$51)/2/J2677,0)+G2677+R2677)*'Inputs'!$B$17</x:f>
        <x:v>8624.675152374191</x:v>
      </x:c>
      <x:c r="AC2677" s="78" t="n">
        <x:f>AC2676+AB2677</x:f>
        <x:v>1061381.038889055</x:v>
      </x:c>
      <x:c r="AD2677" s="80" t="n">
        <x:f>Z2677/(1+'Inputs'!$C$51)</x:f>
        <x:v>2955.7767530265373</x:v>
      </x:c>
      <x:c r="AE2677" s="80" t="n">
        <x:f>Z2677-AD2677</x:f>
        <x:v>5911.553506053075</x:v>
      </x:c>
      <x:c r="AF2677" s="80" t="n">
        <x:f>D2677*W2677</x:f>
        <x:v>96276.42189049361</x:v>
      </x:c>
      <x:c r="AG2677" s="80" t="n">
        <x:f>C2677*W2677</x:f>
        <x:v>224644.9844111493</x:v>
      </x:c>
      <x:c r="AH2677" s="80" t="n">
        <x:f>2*'Inputs'!$B$8*'Inputs'!$C$51</x:f>
        <x:v>10000</x:v>
      </x:c>
      <x:c r="AI2677" s="81" t="n">
        <x:f>IF(AH2677&gt;0,(AE2677+AF2677)/AH2677*365,0)</x:f>
        <x:v>3729.8611019739537</x:v>
      </x:c>
      <x:c r="AJ2677" s="81" t="n">
        <x:f>IF('Inputs'!$B$51&gt;0,AG2677/('Inputs'!$B$19*'Inputs'!$B$51)*365,0)</x:f>
        <x:v>8199.54193100695</x:v>
      </x:c>
      <x:c r="AK2677" s="81" t="n">
        <x:f>W2677/MAX($W$2559:W2677)-1</x:f>
        <x:v>-0.6615791250981655</x:v>
      </x:c>
      <x:c r="AL2677" s="83" t="n">
        <x:f>'Inputs'!$B$51</x:f>
        <x:v>1</x:v>
      </x:c>
      <x:c r="AM2677" s="83" t="n">
        <x:f>'Inputs'!$C$51</x:f>
        <x:v>2</x:v>
      </x:c>
      <x:c r="AN2677" s="83" t="n">
        <x:f>'Inputs'!$D$51</x:f>
        <x:v>3</x:v>
      </x:c>
      <x:c r="AO2677" s="81" t="n">
        <x:f>'Inputs'!$E$51</x:f>
        <x:v>0.1</x:v>
      </x:c>
    </x:row>
    <x:row r="2678">
      <x:c r="A2678" s="59" t="str">
        <x:v>High demand</x:v>
      </x:c>
      <x:c r="B2678" s="59" t="n">
        <x:v>120</x:v>
      </x:c>
      <x:c r="C2678" s="78" t="n">
        <x:f>(('Inputs'!$B$29*(3*120*'Inputs'!$B$12-120^2)/(2*'Inputs'!$B$12^2))-('Inputs'!$B$29*(3*119*'Inputs'!$B$12-119^2)/(2*'Inputs'!$B$12^2)))*'Inputs'!$B$51</x:f>
        <x:v>673135.9072996825</x:v>
      </x:c>
      <x:c r="D2678" s="78" t="n">
        <x:f>IF('Inputs'!$C$51&gt;0,('Inputs'!$B$30*(3*120*'Inputs'!$B$12-120^2)/(2*'Inputs'!$B$12^2))-('Inputs'!$B$30*(3*119*'Inputs'!$B$12-119^2)/(2*'Inputs'!$B$12^2)),0)</x:f>
        <x:v>288486.81741414964</x:v>
      </x:c>
      <x:c r="E2678" s="78" t="n">
        <x:f>C2678+D2678</x:f>
        <x:v>961622.7247138321</x:v>
      </x:c>
      <x:c r="F2678" s="78" t="n">
        <x:f>'Inputs'!$B$13*E2678+(1-'Inputs'!$B$13)/'Inputs'!$B$14*SUM(E2623:E2678)</x:f>
        <x:v>971840.4015762811</x:v>
      </x:c>
      <x:c r="G2678" s="78" t="n">
        <x:f>F2678*'Inputs'!$F$51</x:f>
        <x:v>242960.10039407026</x:v>
      </x:c>
      <x:c r="H2678" s="78" t="n">
        <x:f>U2677</x:f>
        <x:v>579101.7317050099</x:v>
      </x:c>
      <x:c r="I2678" s="78" t="n">
        <x:f>V2677</x:f>
        <x:v>193169.75527193426</x:v>
      </x:c>
      <x:c r="J2678" s="79" t="n">
        <x:f>IF(H2678&gt;0,I2678/H2678,0)</x:f>
        <x:v>0.33356791163997673</x:v>
      </x:c>
      <x:c r="K2678" s="80" t="n">
        <x:f>(H2678*J2678+I2678)*'Inputs'!$D$51*(1+'Inputs'!$G$51)^(B2678/30)</x:f>
        <x:v>1408794.2690640397</x:v>
      </x:c>
      <x:c r="L2678" s="80" t="n">
        <x:f>MAX(0,K2678*'Inputs'!$E$51)</x:f>
        <x:v>140879.42690640397</x:v>
      </x:c>
      <x:c r="M2678" s="80" t="n">
        <x:f>MAX(0,-K2678*'Inputs'!$E$51)</x:f>
        <x:v>0</x:v>
      </x:c>
      <x:c r="N2678" s="78" t="n">
        <x:f>H2678*(L2678*(1-'Inputs'!$B$15))/(I2678+L2678*(1-'Inputs'!$B$15))</x:f>
        <x:v>242807.81233427906</x:v>
      </x:c>
      <x:c r="O2678" s="78" t="n">
        <x:f>H2678-N2678</x:f>
        <x:v>336293.9193707309</x:v>
      </x:c>
      <x:c r="P2678" s="78" t="n">
        <x:f>I2678+L2678*(1-'Inputs'!$B$17)</x:f>
        <x:v>333482.26295537484</x:v>
      </x:c>
      <x:c r="Q2678" s="78" t="n">
        <x:f>IF(J2678&gt;0,M2678/J2678,0)</x:f>
        <x:v>0</x:v>
      </x:c>
      <x:c r="R2678" s="78" t="n">
        <x:f>IF(B2678='Inputs'!$H$51,'Inputs'!$B$27*'Inputs'!$I$51,0)</x:f>
        <x:v>0</x:v>
      </x:c>
      <x:c r="S2678" s="78" t="n">
        <x:f>Q2678+G2678+R2678</x:f>
        <x:v>242960.10039407026</x:v>
      </x:c>
      <x:c r="T2678" s="78" t="n">
        <x:f>P2678*(S2678*(1-'Inputs'!$B$15))/(O2678+S2678*(1-'Inputs'!$B$15))</x:f>
        <x:v>139059.0492315155</x:v>
      </x:c>
      <x:c r="U2678" s="78" t="n">
        <x:f>O2678+S2678*(1-'Inputs'!$B$17)</x:f>
        <x:v>578276.3131233763</x:v>
      </x:c>
      <x:c r="V2678" s="78" t="n">
        <x:f>P2678-T2678</x:f>
        <x:v>194423.21372385934</x:v>
      </x:c>
      <x:c r="W2678" s="79" t="n">
        <x:f>IF(U2678&gt;0,V2678/U2678,0)</x:f>
        <x:v>0.3362116159898439</x:v>
      </x:c>
      <x:c r="X2678" s="80" t="n">
        <x:f>W2678*('Inputs'!$B$6-AC2678)</x:f>
        <x:v>335851867.2836217</x:v>
      </x:c>
      <x:c r="Y2678" s="80" t="n">
        <x:f>2*V2678</x:f>
        <x:v>388846.4274477187</x:v>
      </x:c>
      <x:c r="Z2678" s="80" t="n">
        <x:f>K2678*'Inputs'!$B$16+(G2678+R2678)*J2678*'Inputs'!$B$16</x:f>
        <x:v>8939.027774185972</x:v>
      </x:c>
      <x:c r="AA2678" s="80" t="n">
        <x:f>K2678*(1+'Inputs'!$E$51)/2*'Inputs'!$B$17</x:f>
        <x:v>3118.05572629868</x:v>
      </x:c>
      <x:c r="AB2678" s="78" t="n">
        <x:f>(IF(J2678&gt;0,K2678*(1-'Inputs'!$E$51)/2/J2678,0)+G2678+R2678)*'Inputs'!$B$17</x:f>
        <x:v>8625.733967532718</x:v>
      </x:c>
      <x:c r="AC2678" s="78" t="n">
        <x:f>AC2677+AB2678</x:f>
        <x:v>1070006.7728565875</x:v>
      </x:c>
      <x:c r="AD2678" s="80" t="n">
        <x:f>Z2678/(1+'Inputs'!$C$51)</x:f>
        <x:v>2979.6759247286573</x:v>
      </x:c>
      <x:c r="AE2678" s="80" t="n">
        <x:f>Z2678-AD2678</x:f>
        <x:v>5959.3518494573145</x:v>
      </x:c>
      <x:c r="AF2678" s="80" t="n">
        <x:f>D2678*W2678</x:f>
        <x:v>96992.6190745783</x:v>
      </x:c>
      <x:c r="AG2678" s="80" t="n">
        <x:f>C2678*W2678</x:f>
        <x:v>226316.111174016</x:v>
      </x:c>
      <x:c r="AH2678" s="80" t="n">
        <x:f>2*'Inputs'!$B$8*'Inputs'!$C$51</x:f>
        <x:v>10000</x:v>
      </x:c>
      <x:c r="AI2678" s="81" t="n">
        <x:f>IF(AH2678&gt;0,(AE2678+AF2678)/AH2678*365,0)</x:f>
        <x:v>3757.7469387273</x:v>
      </x:c>
      <x:c r="AJ2678" s="81" t="n">
        <x:f>IF('Inputs'!$B$51&gt;0,AG2678/('Inputs'!$B$19*'Inputs'!$B$51)*365,0)</x:f>
        <x:v>8260.538057851585</x:v>
      </x:c>
      <x:c r="AK2678" s="81" t="n">
        <x:f>W2678/MAX($W$2559:W2678)-1</x:f>
        <x:v>-0.6588969584153298</x:v>
      </x:c>
      <x:c r="AL2678" s="83" t="n">
        <x:f>'Inputs'!$B$51</x:f>
        <x:v>1</x:v>
      </x:c>
      <x:c r="AM2678" s="83" t="n">
        <x:f>'Inputs'!$C$51</x:f>
        <x:v>2</x:v>
      </x:c>
      <x:c r="AN2678" s="83" t="n">
        <x:f>'Inputs'!$D$51</x:f>
        <x:v>3</x:v>
      </x:c>
      <x:c r="AO2678" s="81" t="n">
        <x:f>'Inputs'!$E$51</x:f>
        <x:v>0.1</x:v>
      </x:c>
    </x:row>
    <x:row r="2679">
      <x:c r="A2679" s="59" t="str">
        <x:v>High demand</x:v>
      </x:c>
      <x:c r="B2679" s="59" t="n">
        <x:v>121</x:v>
      </x:c>
      <x:c r="C2679" s="78" t="n">
        <x:f>(('Inputs'!$B$29*(3*121*'Inputs'!$B$12-121^2)/(2*'Inputs'!$B$12^2))-('Inputs'!$B$29*(3*120*'Inputs'!$B$12-120^2)/(2*'Inputs'!$B$12^2)))*'Inputs'!$B$51</x:f>
        <x:v>672810.79939951</x:v>
      </x:c>
      <x:c r="D2679" s="78" t="n">
        <x:f>IF('Inputs'!$C$51&gt;0,('Inputs'!$B$30*(3*121*'Inputs'!$B$12-121^2)/(2*'Inputs'!$B$12^2))-('Inputs'!$B$30*(3*120*'Inputs'!$B$12-120^2)/(2*'Inputs'!$B$12^2)),0)</x:f>
        <x:v>288347.48545693606</x:v>
      </x:c>
      <x:c r="E2679" s="78" t="n">
        <x:f>C2679+D2679</x:f>
        <x:v>961158.2848564461</x:v>
      </x:c>
      <x:c r="F2679" s="78" t="n">
        <x:f>'Inputs'!$B$13*E2679+(1-'Inputs'!$B$13)/'Inputs'!$B$14*SUM(E2624:E2679)</x:f>
        <x:v>971375.9617188966</x:v>
      </x:c>
      <x:c r="G2679" s="78" t="n">
        <x:f>F2679*'Inputs'!$F$51</x:f>
        <x:v>242843.99042972416</x:v>
      </x:c>
      <x:c r="H2679" s="78" t="n">
        <x:f>U2678</x:f>
        <x:v>578276.3131233763</x:v>
      </x:c>
      <x:c r="I2679" s="78" t="n">
        <x:f>V2678</x:f>
        <x:v>194423.21372385934</x:v>
      </x:c>
      <x:c r="J2679" s="79" t="n">
        <x:f>IF(H2679&gt;0,I2679/H2679,0)</x:f>
        <x:v>0.3362116159898439</x:v>
      </x:c>
      <x:c r="K2679" s="80" t="n">
        <x:f>(H2679*J2679+I2679)*'Inputs'!$D$51*(1+'Inputs'!$G$51)^(B2679/30)</x:f>
        <x:v>1420243.7087768766</x:v>
      </x:c>
      <x:c r="L2679" s="80" t="n">
        <x:f>MAX(0,K2679*'Inputs'!$E$51)</x:f>
        <x:v>142024.37087768767</x:v>
      </x:c>
      <x:c r="M2679" s="80" t="n">
        <x:f>MAX(0,-K2679*'Inputs'!$E$51)</x:f>
        <x:v>0</x:v>
      </x:c>
      <x:c r="N2679" s="78" t="n">
        <x:f>H2679*(L2679*(1-'Inputs'!$B$15))/(I2679+L2679*(1-'Inputs'!$B$15))</x:f>
        <x:v>242690.74891768844</x:v>
      </x:c>
      <x:c r="O2679" s="78" t="n">
        <x:f>H2679-N2679</x:f>
        <x:v>335585.5642056879</x:v>
      </x:c>
      <x:c r="P2679" s="78" t="n">
        <x:f>I2679+L2679*(1-'Inputs'!$B$17)</x:f>
        <x:v>335876.057958176</x:v>
      </x:c>
      <x:c r="Q2679" s="78" t="n">
        <x:f>IF(J2679&gt;0,M2679/J2679,0)</x:f>
        <x:v>0</x:v>
      </x:c>
      <x:c r="R2679" s="78" t="n">
        <x:f>IF(B2679='Inputs'!$H$51,'Inputs'!$B$27*'Inputs'!$I$51,0)</x:f>
        <x:v>0</x:v>
      </x:c>
      <x:c r="S2679" s="78" t="n">
        <x:f>Q2679+G2679+R2679</x:f>
        <x:v>242843.99042972416</x:v>
      </x:c>
      <x:c r="T2679" s="78" t="n">
        <x:f>P2679*(S2679*(1-'Inputs'!$B$15))/(O2679+S2679*(1-'Inputs'!$B$15))</x:f>
        <x:v>140190.40122868548</x:v>
      </x:c>
      <x:c r="U2679" s="78" t="n">
        <x:f>O2679+S2679*(1-'Inputs'!$B$17)</x:f>
        <x:v>577452.3152373045</x:v>
      </x:c>
      <x:c r="V2679" s="78" t="n">
        <x:f>P2679-T2679</x:f>
        <x:v>195685.65672949053</x:v>
      </x:c>
      <x:c r="W2679" s="79" t="n">
        <x:f>IF(U2679&gt;0,V2679/U2679,0)</x:f>
        <x:v>0.33887760351099006</x:v>
      </x:c>
      <x:c r="X2679" s="80" t="n">
        <x:f>W2679*('Inputs'!$B$6-AC2679)</x:f>
        <x:v>338512078.7520001</x:v>
      </x:c>
      <x:c r="Y2679" s="80" t="n">
        <x:f>2*V2679</x:f>
        <x:v>391371.31345898105</x:v>
      </x:c>
      <x:c r="Z2679" s="80" t="n">
        <x:f>K2679*'Inputs'!$B$16+(G2679+R2679)*J2679*'Inputs'!$B$16</x:f>
        <x:v>9011.344075396059</x:v>
      </x:c>
      <x:c r="AA2679" s="80" t="n">
        <x:f>K2679*(1+'Inputs'!$E$51)/2*'Inputs'!$B$17</x:f>
        <x:v>3143.3965385403712</x:v>
      </x:c>
      <x:c r="AB2679" s="78" t="n">
        <x:f>(IF(J2679&gt;0,K2679*(1-'Inputs'!$E$51)/2/J2679,0)+G2679+R2679)*'Inputs'!$B$17</x:f>
        <x:v>8626.796322538983</x:v>
      </x:c>
      <x:c r="AC2679" s="78" t="n">
        <x:f>AC2678+AB2679</x:f>
        <x:v>1078633.5691791265</x:v>
      </x:c>
      <x:c r="AD2679" s="80" t="n">
        <x:f>Z2679/(1+'Inputs'!$C$51)</x:f>
        <x:v>3003.7813584653527</x:v>
      </x:c>
      <x:c r="AE2679" s="80" t="n">
        <x:f>Z2679-AD2679</x:f>
        <x:v>6007.562716930706</x:v>
      </x:c>
      <x:c r="AF2679" s="80" t="n">
        <x:f>D2679*W2679</x:f>
        <x:v>97714.50485006654</x:v>
      </x:c>
      <x:c r="AG2679" s="80" t="n">
        <x:f>C2679*W2679</x:f>
        <x:v>228000.51131681944</x:v>
      </x:c>
      <x:c r="AH2679" s="80" t="n">
        <x:f>2*'Inputs'!$B$8*'Inputs'!$C$51</x:f>
        <x:v>10000</x:v>
      </x:c>
      <x:c r="AI2679" s="81" t="n">
        <x:f>IF(AH2679&gt;0,(AE2679+AF2679)/AH2679*365,0)</x:f>
        <x:v>3785.8554661954</x:v>
      </x:c>
      <x:c r="AJ2679" s="81" t="n">
        <x:f>IF('Inputs'!$B$51&gt;0,AG2679/('Inputs'!$B$19*'Inputs'!$B$51)*365,0)</x:f>
        <x:v>8322.01866306391</x:v>
      </x:c>
      <x:c r="AK2679" s="81" t="n">
        <x:f>W2679/MAX($W$2559:W2679)-1</x:f>
        <x:v>-0.6561921843711243</x:v>
      </x:c>
      <x:c r="AL2679" s="83" t="n">
        <x:f>'Inputs'!$B$51</x:f>
        <x:v>1</x:v>
      </x:c>
      <x:c r="AM2679" s="83" t="n">
        <x:f>'Inputs'!$C$51</x:f>
        <x:v>2</x:v>
      </x:c>
      <x:c r="AN2679" s="83" t="n">
        <x:f>'Inputs'!$D$51</x:f>
        <x:v>3</x:v>
      </x:c>
      <x:c r="AO2679" s="81" t="n">
        <x:f>'Inputs'!$E$51</x:f>
        <x:v>0.1</x:v>
      </x:c>
    </x:row>
    <x:row r="2680">
      <x:c r="A2680" s="59" t="str">
        <x:v>High demand</x:v>
      </x:c>
      <x:c r="B2680" s="59" t="n">
        <x:v>122</x:v>
      </x:c>
      <x:c r="C2680" s="78" t="n">
        <x:f>(('Inputs'!$B$29*(3*122*'Inputs'!$B$12-122^2)/(2*'Inputs'!$B$12^2))-('Inputs'!$B$29*(3*121*'Inputs'!$B$12-121^2)/(2*'Inputs'!$B$12^2)))*'Inputs'!$B$51</x:f>
        <x:v>672485.6914993525</x:v>
      </x:c>
      <x:c r="D2680" s="78" t="n">
        <x:f>IF('Inputs'!$C$51&gt;0,('Inputs'!$B$30*(3*122*'Inputs'!$B$12-122^2)/(2*'Inputs'!$B$12^2))-('Inputs'!$B$30*(3*121*'Inputs'!$B$12-121^2)/(2*'Inputs'!$B$12^2)),0)</x:f>
        <x:v>288208.15349971503</x:v>
      </x:c>
      <x:c r="E2680" s="78" t="n">
        <x:f>C2680+D2680</x:f>
        <x:v>960693.8449990675</x:v>
      </x:c>
      <x:c r="F2680" s="78" t="n">
        <x:f>'Inputs'!$B$13*E2680+(1-'Inputs'!$B$13)/'Inputs'!$B$14*SUM(E2625:E2680)</x:f>
        <x:v>970911.5218615136</x:v>
      </x:c>
      <x:c r="G2680" s="78" t="n">
        <x:f>F2680*'Inputs'!$F$51</x:f>
        <x:v>242727.8804653784</x:v>
      </x:c>
      <x:c r="H2680" s="78" t="n">
        <x:f>U2679</x:f>
        <x:v>577452.3152373045</x:v>
      </x:c>
      <x:c r="I2680" s="78" t="n">
        <x:f>V2679</x:f>
        <x:v>195685.65672949053</x:v>
      </x:c>
      <x:c r="J2680" s="79" t="n">
        <x:f>IF(H2680&gt;0,I2680/H2680,0)</x:f>
        <x:v>0.33887760351099006</x:v>
      </x:c>
      <x:c r="K2680" s="80" t="n">
        <x:f>(H2680*J2680+I2680)*'Inputs'!$D$51*(1+'Inputs'!$G$51)^(B2680/30)</x:f>
        <x:v>1431792.4259950616</x:v>
      </x:c>
      <x:c r="L2680" s="80" t="n">
        <x:f>MAX(0,K2680*'Inputs'!$E$51)</x:f>
        <x:v>143179.24259950616</x:v>
      </x:c>
      <x:c r="M2680" s="80" t="n">
        <x:f>MAX(0,-K2680*'Inputs'!$E$51)</x:f>
        <x:v>0</x:v>
      </x:c>
      <x:c r="N2680" s="78" t="n">
        <x:f>H2680*(L2680*(1-'Inputs'!$B$15))/(I2680+L2680*(1-'Inputs'!$B$15))</x:f>
        <x:v>242573.68825758906</x:v>
      </x:c>
      <x:c r="O2680" s="78" t="n">
        <x:f>H2680-N2680</x:f>
        <x:v>334878.6269797155</x:v>
      </x:c>
      <x:c r="P2680" s="78" t="n">
        <x:f>I2680+L2680*(1-'Inputs'!$B$17)</x:f>
        <x:v>338288.72531451174</x:v>
      </x:c>
      <x:c r="Q2680" s="78" t="n">
        <x:f>IF(J2680&gt;0,M2680/J2680,0)</x:f>
        <x:v>0</x:v>
      </x:c>
      <x:c r="R2680" s="78" t="n">
        <x:f>IF(B2680='Inputs'!$H$51,'Inputs'!$B$27*'Inputs'!$I$51,0)</x:f>
        <x:v>0</x:v>
      </x:c>
      <x:c r="S2680" s="78" t="n">
        <x:f>Q2680+G2680+R2680</x:f>
        <x:v>242727.8804653784</x:v>
      </x:c>
      <x:c r="T2680" s="78" t="n">
        <x:f>P2680*(S2680*(1-'Inputs'!$B$15))/(O2680+S2680*(1-'Inputs'!$B$15))</x:f>
        <x:v>141331.57141342797</x:v>
      </x:c>
      <x:c r="U2680" s="78" t="n">
        <x:f>O2680+S2680*(1-'Inputs'!$B$17)</x:f>
        <x:v>576629.7352903036</x:v>
      </x:c>
      <x:c r="V2680" s="78" t="n">
        <x:f>P2680-T2680</x:f>
        <x:v>196957.15390108377</x:v>
      </x:c>
      <x:c r="W2680" s="79" t="n">
        <x:f>IF(U2680&gt;0,V2680/U2680,0)</x:f>
        <x:v>0.3415660723807903</x:v>
      </x:c>
      <x:c r="X2680" s="80" t="n">
        <x:f>W2680*('Inputs'!$B$6-AC2680)</x:f>
        <x:v>341194700.76401657</x:v>
      </x:c>
      <x:c r="Y2680" s="80" t="n">
        <x:f>2*V2680</x:f>
        <x:v>393914.30780216755</x:v>
      </x:c>
      <x:c r="Z2680" s="80" t="n">
        <x:f>K2680*'Inputs'!$B$16+(G2680+R2680)*J2680*'Inputs'!$B$16</x:f>
        <x:v>9084.284810594827</x:v>
      </x:c>
      <x:c r="AA2680" s="80" t="n">
        <x:f>K2680*(1+'Inputs'!$E$51)/2*'Inputs'!$B$17</x:f>
        <x:v>3168.957079667139</x:v>
      </x:c>
      <x:c r="AB2680" s="78" t="n">
        <x:f>(IF(J2680&gt;0,K2680*(1-'Inputs'!$E$51)/2/J2680,0)+G2680+R2680)*'Inputs'!$B$17</x:f>
        <x:v>8627.862218929353</x:v>
      </x:c>
      <x:c r="AC2680" s="78" t="n">
        <x:f>AC2679+AB2680</x:f>
        <x:v>1087261.431398056</x:v>
      </x:c>
      <x:c r="AD2680" s="80" t="n">
        <x:f>Z2680/(1+'Inputs'!$C$51)</x:f>
        <x:v>3028.094936864942</x:v>
      </x:c>
      <x:c r="AE2680" s="80" t="n">
        <x:f>Z2680-AD2680</x:f>
        <x:v>6056.189873729885</x:v>
      </x:c>
      <x:c r="AF2680" s="80" t="n">
        <x:f>D2680*W2680</x:f>
        <x:v>98442.12701901759</x:v>
      </x:c>
      <x:c r="AG2680" s="80" t="n">
        <x:f>C2680*W2680</x:f>
        <x:v>229698.29637771362</x:v>
      </x:c>
      <x:c r="AH2680" s="80" t="n">
        <x:f>2*'Inputs'!$B$8*'Inputs'!$C$51</x:f>
        <x:v>10000</x:v>
      </x:c>
      <x:c r="AI2680" s="81" t="n">
        <x:f>IF(AH2680&gt;0,(AE2680+AF2680)/AH2680*365,0)</x:f>
        <x:v>3814.188566585283</x:v>
      </x:c>
      <x:c r="AJ2680" s="81" t="n">
        <x:f>IF('Inputs'!$B$51&gt;0,AG2680/('Inputs'!$B$19*'Inputs'!$B$51)*365,0)</x:f>
        <x:v>8383.987817786547</x:v>
      </x:c>
      <x:c r="AK2680" s="81" t="n">
        <x:f>W2680/MAX($W$2559:W2680)-1</x:f>
        <x:v>-0.6534646019049604</x:v>
      </x:c>
      <x:c r="AL2680" s="83" t="n">
        <x:f>'Inputs'!$B$51</x:f>
        <x:v>1</x:v>
      </x:c>
      <x:c r="AM2680" s="83" t="n">
        <x:f>'Inputs'!$C$51</x:f>
        <x:v>2</x:v>
      </x:c>
      <x:c r="AN2680" s="83" t="n">
        <x:f>'Inputs'!$D$51</x:f>
        <x:v>3</x:v>
      </x:c>
      <x:c r="AO2680" s="81" t="n">
        <x:f>'Inputs'!$E$51</x:f>
        <x:v>0.1</x:v>
      </x:c>
    </x:row>
    <x:row r="2681">
      <x:c r="A2681" s="59" t="str">
        <x:v>High demand</x:v>
      </x:c>
      <x:c r="B2681" s="59" t="n">
        <x:v>123</x:v>
      </x:c>
      <x:c r="C2681" s="78" t="n">
        <x:f>(('Inputs'!$B$29*(3*123*'Inputs'!$B$12-123^2)/(2*'Inputs'!$B$12^2))-('Inputs'!$B$29*(3*122*'Inputs'!$B$12-122^2)/(2*'Inputs'!$B$12^2)))*'Inputs'!$B$51</x:f>
        <x:v>672160.5835991651</x:v>
      </x:c>
      <x:c r="D2681" s="78" t="n">
        <x:f>IF('Inputs'!$C$51&gt;0,('Inputs'!$B$30*(3*123*'Inputs'!$B$12-123^2)/(2*'Inputs'!$B$12^2))-('Inputs'!$B$30*(3*122*'Inputs'!$B$12-122^2)/(2*'Inputs'!$B$12^2)),0)</x:f>
        <x:v>288068.8215425089</x:v>
      </x:c>
      <x:c r="E2681" s="78" t="n">
        <x:f>C2681+D2681</x:f>
        <x:v>960229.405141674</x:v>
      </x:c>
      <x:c r="F2681" s="78" t="n">
        <x:f>'Inputs'!$B$13*E2681+(1-'Inputs'!$B$13)/'Inputs'!$B$14*SUM(E2626:E2681)</x:f>
        <x:v>970447.0820041276</x:v>
      </x:c>
      <x:c r="G2681" s="78" t="n">
        <x:f>F2681*'Inputs'!$F$51</x:f>
        <x:v>242611.7705010319</x:v>
      </x:c>
      <x:c r="H2681" s="78" t="n">
        <x:f>U2680</x:f>
        <x:v>576629.7352903036</x:v>
      </x:c>
      <x:c r="I2681" s="78" t="n">
        <x:f>V2680</x:f>
        <x:v>196957.15390108377</x:v>
      </x:c>
      <x:c r="J2681" s="79" t="n">
        <x:f>IF(H2681&gt;0,I2681/H2681,0)</x:f>
        <x:v>0.3415660723807903</x:v>
      </x:c>
      <x:c r="K2681" s="80" t="n">
        <x:f>(H2681*J2681+I2681)*'Inputs'!$D$51*(1+'Inputs'!$G$51)^(B2681/30)</x:f>
        <x:v>1443441.330733591</x:v>
      </x:c>
      <x:c r="L2681" s="80" t="n">
        <x:f>MAX(0,K2681*'Inputs'!$E$51)</x:f>
        <x:v>144344.13307335912</x:v>
      </x:c>
      <x:c r="M2681" s="80" t="n">
        <x:f>MAX(0,-K2681*'Inputs'!$E$51)</x:f>
        <x:v>0</x:v>
      </x:c>
      <x:c r="N2681" s="78" t="n">
        <x:f>H2681*(L2681*(1-'Inputs'!$B$15))/(I2681+L2681*(1-'Inputs'!$B$15))</x:f>
        <x:v>242456.63034872664</x:v>
      </x:c>
      <x:c r="O2681" s="78" t="n">
        <x:f>H2681-N2681</x:f>
        <x:v>334173.10494157695</x:v>
      </x:c>
      <x:c r="P2681" s="78" t="n">
        <x:f>I2681+L2681*(1-'Inputs'!$B$17)</x:f>
        <x:v>340720.42527193436</x:v>
      </x:c>
      <x:c r="Q2681" s="78" t="n">
        <x:f>IF(J2681&gt;0,M2681/J2681,0)</x:f>
        <x:v>0</x:v>
      </x:c>
      <x:c r="R2681" s="78" t="n">
        <x:f>IF(B2681='Inputs'!$H$51,'Inputs'!$B$27*'Inputs'!$I$51,0)</x:f>
        <x:v>0</x:v>
      </x:c>
      <x:c r="S2681" s="78" t="n">
        <x:f>Q2681+G2681+R2681</x:f>
        <x:v>242611.7705010319</x:v>
      </x:c>
      <x:c r="T2681" s="78" t="n">
        <x:f>P2681*(S2681*(1-'Inputs'!$B$15))/(O2681+S2681*(1-'Inputs'!$B$15))</x:f>
        <x:v>142482.64984629225</x:v>
      </x:c>
      <x:c r="U2681" s="78" t="n">
        <x:f>O2681+S2681*(1-'Inputs'!$B$17)</x:f>
        <x:v>575808.5705311359</x:v>
      </x:c>
      <x:c r="V2681" s="78" t="n">
        <x:f>P2681-T2681</x:f>
        <x:v>198237.77542564212</x:v>
      </x:c>
      <x:c r="W2681" s="79" t="n">
        <x:f>IF(U2681&gt;0,V2681/U2681,0)</x:f>
        <x:v>0.34427722262415117</x:v>
      </x:c>
      <x:c r="X2681" s="80" t="n">
        <x:f>W2681*('Inputs'!$B$6-AC2681)</x:f>
        <x:v>343899932.53365755</x:v>
      </x:c>
      <x:c r="Y2681" s="80" t="n">
        <x:f>2*V2681</x:f>
        <x:v>396475.55085128424</x:v>
      </x:c>
      <x:c r="Z2681" s="80" t="n">
        <x:f>K2681*'Inputs'!$B$16+(G2681+R2681)*J2681*'Inputs'!$B$16</x:f>
        <x:v>9157.85568178187</x:v>
      </x:c>
      <x:c r="AA2681" s="80" t="n">
        <x:f>K2681*(1+'Inputs'!$E$51)/2*'Inputs'!$B$17</x:f>
        <x:v>3194.7393637966807</x:v>
      </x:c>
      <x:c r="AB2681" s="78" t="n">
        <x:f>(IF(J2681&gt;0,K2681*(1-'Inputs'!$E$51)/2/J2681,0)+G2681+R2681)*'Inputs'!$B$17</x:f>
        <x:v>8628.931658236466</x:v>
      </x:c>
      <x:c r="AC2681" s="78" t="n">
        <x:f>AC2680+AB2681</x:f>
        <x:v>1095890.3630562925</x:v>
      </x:c>
      <x:c r="AD2681" s="80" t="n">
        <x:f>Z2681/(1+'Inputs'!$C$51)</x:f>
        <x:v>3052.6185605939568</x:v>
      </x:c>
      <x:c r="AE2681" s="80" t="n">
        <x:f>Z2681-AD2681</x:f>
        <x:v>6105.237121187913</x:v>
      </x:c>
      <x:c r="AF2681" s="80" t="n">
        <x:f>D2681*W2681</x:f>
        <x:v>99175.53380526722</x:v>
      </x:c>
      <x:c r="AG2681" s="80" t="n">
        <x:f>C2681*W2681</x:f>
        <x:v>231409.57887894913</x:v>
      </x:c>
      <x:c r="AH2681" s="80" t="n">
        <x:f>2*'Inputs'!$B$8*'Inputs'!$C$51</x:f>
        <x:v>10000</x:v>
      </x:c>
      <x:c r="AI2681" s="81" t="n">
        <x:f>IF(AH2681&gt;0,(AE2681+AF2681)/AH2681*365,0)</x:f>
        <x:v>3842.748138815612</x:v>
      </x:c>
      <x:c r="AJ2681" s="81" t="n">
        <x:f>IF('Inputs'!$B$51&gt;0,AG2681/('Inputs'!$B$19*'Inputs'!$B$51)*365,0)</x:f>
        <x:v>8446.449629081644</x:v>
      </x:c>
      <x:c r="AK2681" s="81" t="n">
        <x:f>W2681/MAX($W$2559:W2681)-1</x:f>
        <x:v>-0.6507140080818387</x:v>
      </x:c>
      <x:c r="AL2681" s="83" t="n">
        <x:f>'Inputs'!$B$51</x:f>
        <x:v>1</x:v>
      </x:c>
      <x:c r="AM2681" s="83" t="n">
        <x:f>'Inputs'!$C$51</x:f>
        <x:v>2</x:v>
      </x:c>
      <x:c r="AN2681" s="83" t="n">
        <x:f>'Inputs'!$D$51</x:f>
        <x:v>3</x:v>
      </x:c>
      <x:c r="AO2681" s="81" t="n">
        <x:f>'Inputs'!$E$51</x:f>
        <x:v>0.1</x:v>
      </x:c>
    </x:row>
    <x:row r="2682">
      <x:c r="A2682" s="59" t="str">
        <x:v>High demand</x:v>
      </x:c>
      <x:c r="B2682" s="59" t="n">
        <x:v>124</x:v>
      </x:c>
      <x:c r="C2682" s="78" t="n">
        <x:f>(('Inputs'!$B$29*(3*124*'Inputs'!$B$12-124^2)/(2*'Inputs'!$B$12^2))-('Inputs'!$B$29*(3*123*'Inputs'!$B$12-123^2)/(2*'Inputs'!$B$12^2)))*'Inputs'!$B$51</x:f>
        <x:v>671835.4756990075</x:v>
      </x:c>
      <x:c r="D2682" s="78" t="n">
        <x:f>IF('Inputs'!$C$51&gt;0,('Inputs'!$B$30*(3*124*'Inputs'!$B$12-124^2)/(2*'Inputs'!$B$12^2))-('Inputs'!$B$30*(3*123*'Inputs'!$B$12-123^2)/(2*'Inputs'!$B$12^2)),0)</x:f>
        <x:v>287929.48958528787</x:v>
      </x:c>
      <x:c r="E2682" s="78" t="n">
        <x:f>C2682+D2682</x:f>
        <x:v>959764.9652842954</x:v>
      </x:c>
      <x:c r="F2682" s="78" t="n">
        <x:f>'Inputs'!$B$13*E2682+(1-'Inputs'!$B$13)/'Inputs'!$B$14*SUM(E2627:E2682)</x:f>
        <x:v>969982.6421467445</x:v>
      </x:c>
      <x:c r="G2682" s="78" t="n">
        <x:f>F2682*'Inputs'!$F$51</x:f>
        <x:v>242495.66053668613</x:v>
      </x:c>
      <x:c r="H2682" s="78" t="n">
        <x:f>U2681</x:f>
        <x:v>575808.5705311359</x:v>
      </x:c>
      <x:c r="I2682" s="78" t="n">
        <x:f>V2681</x:f>
        <x:v>198237.77542564212</x:v>
      </x:c>
      <x:c r="J2682" s="79" t="n">
        <x:f>IF(H2682&gt;0,I2682/H2682,0)</x:f>
        <x:v>0.34427722262415117</x:v>
      </x:c>
      <x:c r="K2682" s="80" t="n">
        <x:f>(H2682*J2682+I2682)*'Inputs'!$D$51*(1+'Inputs'!$G$51)^(B2682/30)</x:f>
        <x:v>1455191.341760771</x:v>
      </x:c>
      <x:c r="L2682" s="80" t="n">
        <x:f>MAX(0,K2682*'Inputs'!$E$51)</x:f>
        <x:v>145519.13417607712</x:v>
      </x:c>
      <x:c r="M2682" s="80" t="n">
        <x:f>MAX(0,-K2682*'Inputs'!$E$51)</x:f>
        <x:v>0</x:v>
      </x:c>
      <x:c r="N2682" s="78" t="n">
        <x:f>H2682*(L2682*(1-'Inputs'!$B$15))/(I2682+L2682*(1-'Inputs'!$B$15))</x:f>
        <x:v>242339.57518585623</x:v>
      </x:c>
      <x:c r="O2682" s="78" t="n">
        <x:f>H2682-N2682</x:f>
        <x:v>333468.9953452797</x:v>
      </x:c>
      <x:c r="P2682" s="78" t="n">
        <x:f>I2682+L2682*(1-'Inputs'!$B$17)</x:f>
        <x:v>343171.3195245519</x:v>
      </x:c>
      <x:c r="Q2682" s="78" t="n">
        <x:f>IF(J2682&gt;0,M2682/J2682,0)</x:f>
        <x:v>0</x:v>
      </x:c>
      <x:c r="R2682" s="78" t="n">
        <x:f>IF(B2682='Inputs'!$H$51,'Inputs'!$B$27*'Inputs'!$I$51,0)</x:f>
        <x:v>0</x:v>
      </x:c>
      <x:c r="S2682" s="78" t="n">
        <x:f>Q2682+G2682+R2682</x:f>
        <x:v>242495.66053668613</x:v>
      </x:c>
      <x:c r="T2682" s="78" t="n">
        <x:f>P2682*(S2682*(1-'Inputs'!$B$15))/(O2682+S2682*(1-'Inputs'!$B$15))</x:f>
        <x:v>143643.7274546311</x:v>
      </x:c>
      <x:c r="U2682" s="78" t="n">
        <x:f>O2682+S2682*(1-'Inputs'!$B$17)</x:f>
        <x:v>574988.8182138101</x:v>
      </x:c>
      <x:c r="V2682" s="78" t="n">
        <x:f>P2682-T2682</x:f>
        <x:v>199527.59206992082</x:v>
      </x:c>
      <x:c r="W2682" s="79" t="n">
        <x:f>IF(U2682&gt;0,V2682/U2682,0)</x:f>
        <x:v>0.347011256131465</x:v>
      </x:c>
      <x:c r="X2682" s="80" t="n">
        <x:f>W2682*('Inputs'!$B$6-AC2682)</x:f>
        <x:v>346627975.1312472</x:v>
      </x:c>
      <x:c r="Y2682" s="80" t="n">
        <x:f>2*V2682</x:f>
        <x:v>399055.18413984164</x:v>
      </x:c>
      <x:c r="Z2682" s="80" t="n">
        <x:f>K2682*'Inputs'!$B$16+(G2682+R2682)*J2682*'Inputs'!$B$16</x:f>
        <x:v>9232.062445612502</x:v>
      </x:c>
      <x:c r="AA2682" s="80" t="n">
        <x:f>K2682*(1+'Inputs'!$E$51)/2*'Inputs'!$B$17</x:f>
        <x:v>3220.7454244202186</x:v>
      </x:c>
      <x:c r="AB2682" s="78" t="n">
        <x:f>(IF(J2682&gt;0,K2682*(1-'Inputs'!$E$51)/2/J2682,0)+G2682+R2682)*'Inputs'!$B$17</x:f>
        <x:v>8630.00464198919</x:v>
      </x:c>
      <x:c r="AC2682" s="78" t="n">
        <x:f>AC2681+AB2682</x:f>
        <x:v>1104520.3676982818</x:v>
      </x:c>
      <x:c r="AD2682" s="80" t="n">
        <x:f>Z2682/(1+'Inputs'!$C$51)</x:f>
        <x:v>3077.354148537501</x:v>
      </x:c>
      <x:c r="AE2682" s="80" t="n">
        <x:f>Z2682-AD2682</x:f>
        <x:v>6154.708297075002</x:v>
      </x:c>
      <x:c r="AF2682" s="80" t="n">
        <x:f>D2682*W2682</x:f>
        <x:v>99914.77385828231</x:v>
      </x:c>
      <x:c r="AG2682" s="80" t="n">
        <x:f>C2682*W2682</x:f>
        <x:v>233134.47233599293</x:v>
      </x:c>
      <x:c r="AH2682" s="80" t="n">
        <x:f>2*'Inputs'!$B$8*'Inputs'!$C$51</x:f>
        <x:v>10000</x:v>
      </x:c>
      <x:c r="AI2682" s="81" t="n">
        <x:f>IF(AH2682&gt;0,(AE2682+AF2682)/AH2682*365,0)</x:f>
        <x:v>3871.536098670542</x:v>
      </x:c>
      <x:c r="AJ2682" s="81" t="n">
        <x:f>IF('Inputs'!$B$51&gt;0,AG2682/('Inputs'!$B$19*'Inputs'!$B$51)*365,0)</x:f>
        <x:v>8509.408240263743</x:v>
      </x:c>
      <x:c r="AK2682" s="81" t="n">
        <x:f>W2682/MAX($W$2559:W2682)-1</x:f>
        <x:v>-0.647940198074134</x:v>
      </x:c>
      <x:c r="AL2682" s="83" t="n">
        <x:f>'Inputs'!$B$51</x:f>
        <x:v>1</x:v>
      </x:c>
      <x:c r="AM2682" s="83" t="n">
        <x:f>'Inputs'!$C$51</x:f>
        <x:v>2</x:v>
      </x:c>
      <x:c r="AN2682" s="83" t="n">
        <x:f>'Inputs'!$D$51</x:f>
        <x:v>3</x:v>
      </x:c>
      <x:c r="AO2682" s="81" t="n">
        <x:f>'Inputs'!$E$51</x:f>
        <x:v>0.1</x:v>
      </x:c>
    </x:row>
    <x:row r="2683">
      <x:c r="A2683" s="59" t="str">
        <x:v>High demand</x:v>
      </x:c>
      <x:c r="B2683" s="59" t="n">
        <x:v>125</x:v>
      </x:c>
      <x:c r="C2683" s="78" t="n">
        <x:f>(('Inputs'!$B$29*(3*125*'Inputs'!$B$12-125^2)/(2*'Inputs'!$B$12^2))-('Inputs'!$B$29*(3*124*'Inputs'!$B$12-124^2)/(2*'Inputs'!$B$12^2)))*'Inputs'!$B$51</x:f>
        <x:v>671510.367798835</x:v>
      </x:c>
      <x:c r="D2683" s="78" t="n">
        <x:f>IF('Inputs'!$C$51&gt;0,('Inputs'!$B$30*(3*125*'Inputs'!$B$12-125^2)/(2*'Inputs'!$B$12^2))-('Inputs'!$B$30*(3*124*'Inputs'!$B$12-124^2)/(2*'Inputs'!$B$12^2)),0)</x:f>
        <x:v>287790.1576280743</x:v>
      </x:c>
      <x:c r="E2683" s="78" t="n">
        <x:f>C2683+D2683</x:f>
        <x:v>959300.5254269093</x:v>
      </x:c>
      <x:c r="F2683" s="78" t="n">
        <x:f>'Inputs'!$B$13*E2683+(1-'Inputs'!$B$13)/'Inputs'!$B$14*SUM(E2628:E2683)</x:f>
        <x:v>969518.2022893602</x:v>
      </x:c>
      <x:c r="G2683" s="78" t="n">
        <x:f>F2683*'Inputs'!$F$51</x:f>
        <x:v>242379.55057234006</x:v>
      </x:c>
      <x:c r="H2683" s="78" t="n">
        <x:f>U2682</x:f>
        <x:v>574988.8182138101</x:v>
      </x:c>
      <x:c r="I2683" s="78" t="n">
        <x:f>V2682</x:f>
        <x:v>199527.59206992082</x:v>
      </x:c>
      <x:c r="J2683" s="79" t="n">
        <x:f>IF(H2683&gt;0,I2683/H2683,0)</x:f>
        <x:v>0.347011256131465</x:v>
      </x:c>
      <x:c r="K2683" s="80" t="n">
        <x:f>(H2683*J2683+I2683)*'Inputs'!$D$51*(1+'Inputs'!$G$51)^(B2683/30)</x:f>
        <x:v>1467043.3866860408</x:v>
      </x:c>
      <x:c r="L2683" s="80" t="n">
        <x:f>MAX(0,K2683*'Inputs'!$E$51)</x:f>
        <x:v>146704.3386686041</x:v>
      </x:c>
      <x:c r="M2683" s="80" t="n">
        <x:f>MAX(0,-K2683*'Inputs'!$E$51)</x:f>
        <x:v>0</x:v>
      </x:c>
      <x:c r="N2683" s="78" t="n">
        <x:f>H2683*(L2683*(1-'Inputs'!$B$15))/(I2683+L2683*(1-'Inputs'!$B$15))</x:f>
        <x:v>242222.5227637434</x:v>
      </x:c>
      <x:c r="O2683" s="78" t="n">
        <x:f>H2683-N2683</x:f>
        <x:v>332766.2954500667</x:v>
      </x:c>
      <x:c r="P2683" s="78" t="n">
        <x:f>I2683+L2683*(1-'Inputs'!$B$17)</x:f>
        <x:v>345641.57122678</x:v>
      </x:c>
      <x:c r="Q2683" s="78" t="n">
        <x:f>IF(J2683&gt;0,M2683/J2683,0)</x:f>
        <x:v>0</x:v>
      </x:c>
      <x:c r="R2683" s="78" t="n">
        <x:f>IF(B2683='Inputs'!$H$51,'Inputs'!$B$27*'Inputs'!$I$51,0)</x:f>
        <x:v>0</x:v>
      </x:c>
      <x:c r="S2683" s="78" t="n">
        <x:f>Q2683+G2683+R2683</x:f>
        <x:v>242379.55057234006</x:v>
      </x:c>
      <x:c r="T2683" s="78" t="n">
        <x:f>P2683*(S2683*(1-'Inputs'!$B$15))/(O2683+S2683*(1-'Inputs'!$B$15))</x:f>
        <x:v>144814.89604130015</x:v>
      </x:c>
      <x:c r="U2683" s="78" t="n">
        <x:f>O2683+S2683*(1-'Inputs'!$B$17)</x:f>
        <x:v>574170.4755975683</x:v>
      </x:c>
      <x:c r="V2683" s="78" t="n">
        <x:f>P2683-T2683</x:f>
        <x:v>200826.67518547986</x:v>
      </x:c>
      <x:c r="W2683" s="79" t="n">
        <x:f>IF(U2683&gt;0,V2683/U2683,0)</x:f>
        <x:v>0.34976837667675154</x:v>
      </x:c>
      <x:c r="X2683" s="80" t="n">
        <x:f>W2683*('Inputs'!$B$6-AC2683)</x:f>
        <x:v>349379031.50148493</x:v>
      </x:c>
      <x:c r="Y2683" s="80" t="n">
        <x:f>2*V2683</x:f>
        <x:v>401653.3503709597</x:v>
      </x:c>
      <x:c r="Z2683" s="80" t="n">
        <x:f>K2683*'Inputs'!$B$16+(G2683+R2683)*J2683*'Inputs'!$B$16</x:f>
        <x:v>9306.910913944372</x:v>
      </x:c>
      <x:c r="AA2683" s="80" t="n">
        <x:f>K2683*(1+'Inputs'!$E$51)/2*'Inputs'!$B$17</x:f>
        <x:v>3246.9773145968716</x:v>
      </x:c>
      <x:c r="AB2683" s="78" t="n">
        <x:f>(IF(J2683&gt;0,K2683*(1-'Inputs'!$E$51)/2/J2683,0)+G2683+R2683)*'Inputs'!$B$17</x:f>
        <x:v>8631.081171712629</x:v>
      </x:c>
      <x:c r="AC2683" s="78" t="n">
        <x:f>AC2682+AB2683</x:f>
        <x:v>1113151.4488699944</x:v>
      </x:c>
      <x:c r="AD2683" s="80" t="n">
        <x:f>Z2683/(1+'Inputs'!$C$51)</x:f>
        <x:v>3102.303637981457</x:v>
      </x:c>
      <x:c r="AE2683" s="80" t="n">
        <x:f>Z2683-AD2683</x:f>
        <x:v>6204.607275962915</x:v>
      </x:c>
      <x:c r="AF2683" s="80" t="n">
        <x:f>D2683*W2683</x:f>
        <x:v>100659.89625711799</x:v>
      </x:c>
      <x:c r="AG2683" s="80" t="n">
        <x:f>C2683*W2683</x:f>
        <x:v>234873.0912666069</x:v>
      </x:c>
      <x:c r="AH2683" s="80" t="n">
        <x:f>2*'Inputs'!$B$8*'Inputs'!$C$51</x:f>
        <x:v>10000</x:v>
      </x:c>
      <x:c r="AI2683" s="81" t="n">
        <x:f>IF(AH2683&gt;0,(AE2683+AF2683)/AH2683*365,0)</x:f>
        <x:v>3900.554378957453</x:v>
      </x:c>
      <x:c r="AJ2683" s="81" t="n">
        <x:f>IF('Inputs'!$B$51&gt;0,AG2683/('Inputs'!$B$19*'Inputs'!$B$51)*365,0)</x:f>
        <x:v>8572.867831231151</x:v>
      </x:c>
      <x:c r="AK2683" s="81" t="n">
        <x:f>W2683/MAX($W$2559:W2683)-1</x:f>
        <x:v>-0.6451429651431897</x:v>
      </x:c>
      <x:c r="AL2683" s="83" t="n">
        <x:f>'Inputs'!$B$51</x:f>
        <x:v>1</x:v>
      </x:c>
      <x:c r="AM2683" s="83" t="n">
        <x:f>'Inputs'!$C$51</x:f>
        <x:v>2</x:v>
      </x:c>
      <x:c r="AN2683" s="83" t="n">
        <x:f>'Inputs'!$D$51</x:f>
        <x:v>3</x:v>
      </x:c>
      <x:c r="AO2683" s="81" t="n">
        <x:f>'Inputs'!$E$51</x:f>
        <x:v>0.1</x:v>
      </x:c>
    </x:row>
    <x:row r="2684">
      <x:c r="A2684" s="59" t="str">
        <x:v>High demand</x:v>
      </x:c>
      <x:c r="B2684" s="59" t="n">
        <x:v>126</x:v>
      </x:c>
      <x:c r="C2684" s="78" t="n">
        <x:f>(('Inputs'!$B$29*(3*126*'Inputs'!$B$12-126^2)/(2*'Inputs'!$B$12^2))-('Inputs'!$B$29*(3*125*'Inputs'!$B$12-125^2)/(2*'Inputs'!$B$12^2)))*'Inputs'!$B$51</x:f>
        <x:v>671185.2598986775</x:v>
      </x:c>
      <x:c r="D2684" s="78" t="n">
        <x:f>IF('Inputs'!$C$51&gt;0,('Inputs'!$B$30*(3*126*'Inputs'!$B$12-126^2)/(2*'Inputs'!$B$12^2))-('Inputs'!$B$30*(3*125*'Inputs'!$B$12-125^2)/(2*'Inputs'!$B$12^2)),0)</x:f>
        <x:v>287650.82567085326</x:v>
      </x:c>
      <x:c r="E2684" s="78" t="n">
        <x:f>C2684+D2684</x:f>
        <x:v>958836.0855695307</x:v>
      </x:c>
      <x:c r="F2684" s="78" t="n">
        <x:f>'Inputs'!$B$13*E2684+(1-'Inputs'!$B$13)/'Inputs'!$B$14*SUM(E2629:E2684)</x:f>
        <x:v>969053.7624319772</x:v>
      </x:c>
      <x:c r="G2684" s="78" t="n">
        <x:f>F2684*'Inputs'!$F$51</x:f>
        <x:v>242263.4406079943</x:v>
      </x:c>
      <x:c r="H2684" s="78" t="n">
        <x:f>U2683</x:f>
        <x:v>574170.4755975683</x:v>
      </x:c>
      <x:c r="I2684" s="78" t="n">
        <x:f>V2683</x:f>
        <x:v>200826.67518547986</x:v>
      </x:c>
      <x:c r="J2684" s="79" t="n">
        <x:f>IF(H2684&gt;0,I2684/H2684,0)</x:f>
        <x:v>0.34976837667675154</x:v>
      </x:c>
      <x:c r="K2684" s="80" t="n">
        <x:f>(H2684*J2684+I2684)*'Inputs'!$D$51*(1+'Inputs'!$G$51)^(B2684/30)</x:f>
        <x:v>1478998.4020487247</x:v>
      </x:c>
      <x:c r="L2684" s="80" t="n">
        <x:f>MAX(0,K2684*'Inputs'!$E$51)</x:f>
        <x:v>147899.84020487248</x:v>
      </x:c>
      <x:c r="M2684" s="80" t="n">
        <x:f>MAX(0,-K2684*'Inputs'!$E$51)</x:f>
        <x:v>0</x:v>
      </x:c>
      <x:c r="N2684" s="78" t="n">
        <x:f>H2684*(L2684*(1-'Inputs'!$B$15))/(I2684+L2684*(1-'Inputs'!$B$15))</x:f>
        <x:v>242105.47307716357</x:v>
      </x:c>
      <x:c r="O2684" s="78" t="n">
        <x:f>H2684-N2684</x:f>
        <x:v>332065.00252040476</x:v>
      </x:c>
      <x:c r="P2684" s="78" t="n">
        <x:f>I2684+L2684*(1-'Inputs'!$B$17)</x:f>
        <x:v>348131.34500723414</x:v>
      </x:c>
      <x:c r="Q2684" s="78" t="n">
        <x:f>IF(J2684&gt;0,M2684/J2684,0)</x:f>
        <x:v>0</x:v>
      </x:c>
      <x:c r="R2684" s="78" t="n">
        <x:f>IF(B2684='Inputs'!$H$51,'Inputs'!$B$27*'Inputs'!$I$51,0)</x:f>
        <x:v>0</x:v>
      </x:c>
      <x:c r="S2684" s="78" t="n">
        <x:f>Q2684+G2684+R2684</x:f>
        <x:v>242263.4406079943</x:v>
      </x:c>
      <x:c r="T2684" s="78" t="n">
        <x:f>P2684*(S2684*(1-'Inputs'!$B$15))/(O2684+S2684*(1-'Inputs'!$B$15))</x:f>
        <x:v>145996.24829345316</x:v>
      </x:c>
      <x:c r="U2684" s="78" t="n">
        <x:f>O2684+S2684*(1-'Inputs'!$B$17)</x:f>
        <x:v>573353.539946878</x:v>
      </x:c>
      <x:c r="V2684" s="78" t="n">
        <x:f>P2684-T2684</x:f>
        <x:v>202135.09671378098</x:v>
      </x:c>
      <x:c r="W2684" s="79" t="n">
        <x:f>IF(U2684&gt;0,V2684/U2684,0)</x:f>
        <x:v>0.3525487899359775</x:v>
      </x:c>
      <x:c r="X2684" s="80" t="n">
        <x:f>W2684*('Inputs'!$B$6-AC2684)</x:f>
        <x:v>352153306.48166007</x:v>
      </x:c>
      <x:c r="Y2684" s="80" t="n">
        <x:f>2*V2684</x:f>
        <x:v>404270.19342756196</x:v>
      </x:c>
      <x:c r="Z2684" s="80" t="n">
        <x:f>K2684*'Inputs'!$B$16+(G2684+R2684)*J2684*'Inputs'!$B$16</x:f>
        <x:v>9382.406954389846</x:v>
      </x:c>
      <x:c r="AA2684" s="80" t="n">
        <x:f>K2684*(1+'Inputs'!$E$51)/2*'Inputs'!$B$17</x:f>
        <x:v>3273.4371071500955</x:v>
      </x:c>
      <x:c r="AB2684" s="78" t="n">
        <x:f>(IF(J2684&gt;0,K2684*(1-'Inputs'!$E$51)/2/J2684,0)+G2684+R2684)*'Inputs'!$B$17</x:f>
        <x:v>8632.161248928076</x:v>
      </x:c>
      <x:c r="AC2684" s="78" t="n">
        <x:f>AC2683+AB2684</x:f>
        <x:v>1121783.6101189225</x:v>
      </x:c>
      <x:c r="AD2684" s="80" t="n">
        <x:f>Z2684/(1+'Inputs'!$C$51)</x:f>
        <x:v>3127.468984796615</x:v>
      </x:c>
      <x:c r="AE2684" s="80" t="n">
        <x:f>Z2684-AD2684</x:f>
        <x:v>6254.937969593231</x:v>
      </x:c>
      <x:c r="AF2684" s="80" t="n">
        <x:f>D2684*W2684</x:f>
        <x:v>101410.95051434412</x:v>
      </x:c>
      <x:c r="AG2684" s="80" t="n">
        <x:f>C2684*W2684</x:f>
        <x:v>236625.5512001433</x:v>
      </x:c>
      <x:c r="AH2684" s="80" t="n">
        <x:f>2*'Inputs'!$B$8*'Inputs'!$C$51</x:f>
        <x:v>10000</x:v>
      </x:c>
      <x:c r="AI2684" s="81" t="n">
        <x:f>IF(AH2684&gt;0,(AE2684+AF2684)/AH2684*365,0)</x:f>
        <x:v>3929.804929663713</x:v>
      </x:c>
      <x:c r="AJ2684" s="81" t="n">
        <x:f>IF('Inputs'!$B$51&gt;0,AG2684/('Inputs'!$B$19*'Inputs'!$B$51)*365,0)</x:f>
        <x:v>8636.83261880523</x:v>
      </x:c>
      <x:c r="AK2684" s="81" t="n">
        <x:f>W2684/MAX($W$2559:W2684)-1</x:f>
        <x:v>-0.6423221006207308</x:v>
      </x:c>
      <x:c r="AL2684" s="83" t="n">
        <x:f>'Inputs'!$B$51</x:f>
        <x:v>1</x:v>
      </x:c>
      <x:c r="AM2684" s="83" t="n">
        <x:f>'Inputs'!$C$51</x:f>
        <x:v>2</x:v>
      </x:c>
      <x:c r="AN2684" s="83" t="n">
        <x:f>'Inputs'!$D$51</x:f>
        <x:v>3</x:v>
      </x:c>
      <x:c r="AO2684" s="81" t="n">
        <x:f>'Inputs'!$E$51</x:f>
        <x:v>0.1</x:v>
      </x:c>
    </x:row>
    <x:row r="2685">
      <x:c r="A2685" s="59" t="str">
        <x:v>High demand</x:v>
      </x:c>
      <x:c r="B2685" s="59" t="n">
        <x:v>127</x:v>
      </x:c>
      <x:c r="C2685" s="78" t="n">
        <x:f>(('Inputs'!$B$29*(3*127*'Inputs'!$B$12-127^2)/(2*'Inputs'!$B$12^2))-('Inputs'!$B$29*(3*126*'Inputs'!$B$12-126^2)/(2*'Inputs'!$B$12^2)))*'Inputs'!$B$51</x:f>
        <x:v>670860.1519984901</x:v>
      </x:c>
      <x:c r="D2685" s="78" t="n">
        <x:f>IF('Inputs'!$C$51&gt;0,('Inputs'!$B$30*(3*127*'Inputs'!$B$12-127^2)/(2*'Inputs'!$B$12^2))-('Inputs'!$B$30*(3*126*'Inputs'!$B$12-126^2)/(2*'Inputs'!$B$12^2)),0)</x:f>
        <x:v>287511.4937136397</x:v>
      </x:c>
      <x:c r="E2685" s="78" t="n">
        <x:f>C2685+D2685</x:f>
        <x:v>958371.6457121298</x:v>
      </x:c>
      <x:c r="F2685" s="78" t="n">
        <x:f>'Inputs'!$B$13*E2685+(1-'Inputs'!$B$13)/'Inputs'!$B$14*SUM(E2630:E2685)</x:f>
        <x:v>968589.3225745896</x:v>
      </x:c>
      <x:c r="G2685" s="78" t="n">
        <x:f>F2685*'Inputs'!$F$51</x:f>
        <x:v>242147.3306436474</x:v>
      </x:c>
      <x:c r="H2685" s="78" t="n">
        <x:f>U2684</x:f>
        <x:v>573353.539946878</x:v>
      </x:c>
      <x:c r="I2685" s="78" t="n">
        <x:f>V2684</x:f>
        <x:v>202135.09671378098</x:v>
      </x:c>
      <x:c r="J2685" s="79" t="n">
        <x:f>IF(H2685&gt;0,I2685/H2685,0)</x:f>
        <x:v>0.3525487899359775</x:v>
      </x:c>
      <x:c r="K2685" s="80" t="n">
        <x:f>(H2685*J2685+I2685)*'Inputs'!$D$51*(1+'Inputs'!$G$51)^(B2685/30)</x:f>
        <x:v>1491057.3334076977</x:v>
      </x:c>
      <x:c r="L2685" s="80" t="n">
        <x:f>MAX(0,K2685*'Inputs'!$E$51)</x:f>
        <x:v>149105.73334076977</x:v>
      </x:c>
      <x:c r="M2685" s="80" t="n">
        <x:f>MAX(0,-K2685*'Inputs'!$E$51)</x:f>
        <x:v>0</x:v>
      </x:c>
      <x:c r="N2685" s="78" t="n">
        <x:f>H2685*(L2685*(1-'Inputs'!$B$15))/(I2685+L2685*(1-'Inputs'!$B$15))</x:f>
        <x:v>241988.4261209018</x:v>
      </x:c>
      <x:c r="O2685" s="78" t="n">
        <x:f>H2685-N2685</x:f>
        <x:v>331365.11382597615</x:v>
      </x:c>
      <x:c r="P2685" s="78" t="n">
        <x:f>I2685+L2685*(1-'Inputs'!$B$17)</x:f>
        <x:v>350640.80698275694</x:v>
      </x:c>
      <x:c r="Q2685" s="78" t="n">
        <x:f>IF(J2685&gt;0,M2685/J2685,0)</x:f>
        <x:v>0</x:v>
      </x:c>
      <x:c r="R2685" s="78" t="n">
        <x:f>IF(B2685='Inputs'!$H$51,'Inputs'!$B$27*'Inputs'!$I$51,0)</x:f>
        <x:v>0</x:v>
      </x:c>
      <x:c r="S2685" s="78" t="n">
        <x:f>Q2685+G2685+R2685</x:f>
        <x:v>242147.3306436474</x:v>
      </x:c>
      <x:c r="T2685" s="78" t="n">
        <x:f>P2685*(S2685*(1-'Inputs'!$B$15))/(O2685+S2685*(1-'Inputs'!$B$15))</x:f>
        <x:v>147187.87779142414</x:v>
      </x:c>
      <x:c r="U2685" s="78" t="n">
        <x:f>O2685+S2685*(1-'Inputs'!$B$17)</x:f>
        <x:v>572538.0085314198</x:v>
      </x:c>
      <x:c r="V2685" s="78" t="n">
        <x:f>P2685-T2685</x:f>
        <x:v>203452.9291913328</x:v>
      </x:c>
      <x:c r="W2685" s="79" t="n">
        <x:f>IF(U2685&gt;0,V2685/U2685,0)</x:f>
        <x:v>0.35535270350556597</x:v>
      </x:c>
      <x:c r="X2685" s="80" t="n">
        <x:f>W2685*('Inputs'!$B$6-AC2685)</x:f>
        <x:v>354951006.82005554</x:v>
      </x:c>
      <x:c r="Y2685" s="80" t="n">
        <x:f>2*V2685</x:f>
        <x:v>406905.8583826656</x:v>
      </x:c>
      <x:c r="Z2685" s="80" t="n">
        <x:f>K2685*'Inputs'!$B$16+(G2685+R2685)*J2685*'Inputs'!$B$16</x:f>
        <x:v>9458.556490874056</x:v>
      </x:c>
      <x:c r="AA2685" s="80" t="n">
        <x:f>K2685*(1+'Inputs'!$E$51)/2*'Inputs'!$B$17</x:f>
        <x:v>3300.1268948661327</x:v>
      </x:c>
      <x:c r="AB2685" s="78" t="n">
        <x:f>(IF(J2685&gt;0,K2685*(1-'Inputs'!$E$51)/2/J2685,0)+G2685+R2685)*'Inputs'!$B$17</x:f>
        <x:v>8633.24487515301</x:v>
      </x:c>
      <x:c r="AC2685" s="78" t="n">
        <x:f>AC2684+AB2685</x:f>
        <x:v>1130416.8549940756</x:v>
      </x:c>
      <x:c r="AD2685" s="80" t="n">
        <x:f>Z2685/(1+'Inputs'!$C$51)</x:f>
        <x:v>3152.8521636246855</x:v>
      </x:c>
      <x:c r="AE2685" s="80" t="n">
        <x:f>Z2685-AD2685</x:f>
        <x:v>6305.70432724937</x:v>
      </x:c>
      <x:c r="AF2685" s="80" t="n">
        <x:f>D2685*W2685</x:f>
        <x:v>102167.9865800654</x:v>
      </x:c>
      <x:c r="AG2685" s="80" t="n">
        <x:f>C2685*W2685</x:f>
        <x:v>238391.96868681838</x:v>
      </x:c>
      <x:c r="AH2685" s="80" t="n">
        <x:f>2*'Inputs'!$B$8*'Inputs'!$C$51</x:f>
        <x:v>10000</x:v>
      </x:c>
      <x:c r="AI2685" s="81" t="n">
        <x:f>IF(AH2685&gt;0,(AE2685+AF2685)/AH2685*365,0)</x:f>
        <x:v>3959.2897181169888</x:v>
      </x:c>
      <x:c r="AJ2685" s="81" t="n">
        <x:f>IF('Inputs'!$B$51&gt;0,AG2685/('Inputs'!$B$19*'Inputs'!$B$51)*365,0)</x:f>
        <x:v>8701.306857068872</x:v>
      </x:c>
      <x:c r="AK2685" s="81" t="n">
        <x:f>W2685/MAX($W$2559:W2685)-1</x:f>
        <x:v>-0.6394773938900864</x:v>
      </x:c>
      <x:c r="AL2685" s="83" t="n">
        <x:f>'Inputs'!$B$51</x:f>
        <x:v>1</x:v>
      </x:c>
      <x:c r="AM2685" s="83" t="n">
        <x:f>'Inputs'!$C$51</x:f>
        <x:v>2</x:v>
      </x:c>
      <x:c r="AN2685" s="83" t="n">
        <x:f>'Inputs'!$D$51</x:f>
        <x:v>3</x:v>
      </x:c>
      <x:c r="AO2685" s="81" t="n">
        <x:f>'Inputs'!$E$51</x:f>
        <x:v>0.1</x:v>
      </x:c>
    </x:row>
    <x:row r="2686">
      <x:c r="A2686" s="59" t="str">
        <x:v>High demand</x:v>
      </x:c>
      <x:c r="B2686" s="59" t="n">
        <x:v>128</x:v>
      </x:c>
      <x:c r="C2686" s="78" t="n">
        <x:f>(('Inputs'!$B$29*(3*128*'Inputs'!$B$12-128^2)/(2*'Inputs'!$B$12^2))-('Inputs'!$B$29*(3*127*'Inputs'!$B$12-127^2)/(2*'Inputs'!$B$12^2)))*'Inputs'!$B$51</x:f>
        <x:v>670535.0440983325</x:v>
      </x:c>
      <x:c r="D2686" s="78" t="n">
        <x:f>IF('Inputs'!$C$51&gt;0,('Inputs'!$B$30*(3*128*'Inputs'!$B$12-128^2)/(2*'Inputs'!$B$12^2))-('Inputs'!$B$30*(3*127*'Inputs'!$B$12-127^2)/(2*'Inputs'!$B$12^2)),0)</x:f>
        <x:v>287372.16175643355</x:v>
      </x:c>
      <x:c r="E2686" s="78" t="n">
        <x:f>C2686+D2686</x:f>
        <x:v>957907.2058547661</x:v>
      </x:c>
      <x:c r="F2686" s="78" t="n">
        <x:f>'Inputs'!$B$13*E2686+(1-'Inputs'!$B$13)/'Inputs'!$B$14*SUM(E2631:E2686)</x:f>
        <x:v>968124.8827172098</x:v>
      </x:c>
      <x:c r="G2686" s="78" t="n">
        <x:f>F2686*'Inputs'!$F$51</x:f>
        <x:v>242031.22067930244</x:v>
      </x:c>
      <x:c r="H2686" s="78" t="n">
        <x:f>U2685</x:f>
        <x:v>572538.0085314198</x:v>
      </x:c>
      <x:c r="I2686" s="78" t="n">
        <x:f>V2685</x:f>
        <x:v>203452.9291913328</x:v>
      </x:c>
      <x:c r="J2686" s="79" t="n">
        <x:f>IF(H2686&gt;0,I2686/H2686,0)</x:f>
        <x:v>0.35535270350556597</x:v>
      </x:c>
      <x:c r="K2686" s="80" t="n">
        <x:f>(H2686*J2686+I2686)*'Inputs'!$D$51*(1+'Inputs'!$G$51)^(B2686/30)</x:f>
        <x:v>1503221.1354319956</x:v>
      </x:c>
      <x:c r="L2686" s="80" t="n">
        <x:f>MAX(0,K2686*'Inputs'!$E$51)</x:f>
        <x:v>150322.11354319958</x:v>
      </x:c>
      <x:c r="M2686" s="80" t="n">
        <x:f>MAX(0,-K2686*'Inputs'!$E$51)</x:f>
        <x:v>0</x:v>
      </x:c>
      <x:c r="N2686" s="78" t="n">
        <x:f>H2686*(L2686*(1-'Inputs'!$B$15))/(I2686+L2686*(1-'Inputs'!$B$15))</x:f>
        <x:v>241871.38188975284</x:v>
      </x:c>
      <x:c r="O2686" s="78" t="n">
        <x:f>H2686-N2686</x:f>
        <x:v>330666.626641667</x:v>
      </x:c>
      <x:c r="P2686" s="78" t="n">
        <x:f>I2686+L2686*(1-'Inputs'!$B$17)</x:f>
        <x:v>353170.1247725879</x:v>
      </x:c>
      <x:c r="Q2686" s="78" t="n">
        <x:f>IF(J2686&gt;0,M2686/J2686,0)</x:f>
        <x:v>0</x:v>
      </x:c>
      <x:c r="R2686" s="78" t="n">
        <x:f>IF(B2686='Inputs'!$H$51,'Inputs'!$B$27*'Inputs'!$I$51,0)</x:f>
        <x:v>0</x:v>
      </x:c>
      <x:c r="S2686" s="78" t="n">
        <x:f>Q2686+G2686+R2686</x:f>
        <x:v>242031.22067930244</x:v>
      </x:c>
      <x:c r="T2686" s="78" t="n">
        <x:f>P2686*(S2686*(1-'Inputs'!$B$15))/(O2686+S2686*(1-'Inputs'!$B$15))</x:f>
        <x:v>148389.8790177079</x:v>
      </x:c>
      <x:c r="U2686" s="78" t="n">
        <x:f>O2686+S2686*(1-'Inputs'!$B$17)</x:f>
        <x:v>571723.8786260829</x:v>
      </x:c>
      <x:c r="V2686" s="78" t="n">
        <x:f>P2686-T2686</x:f>
        <x:v>204780.24575488002</x:v>
      </x:c>
      <x:c r="W2686" s="79" t="n">
        <x:f>IF(U2686&gt;0,V2686/U2686,0)</x:f>
        <x:v>0.3581803269210831</x:v>
      </x:c>
      <x:c r="X2686" s="80" t="n">
        <x:f>W2686*('Inputs'!$B$6-AC2686)</x:f>
        <x:v>357772341.19452715</x:v>
      </x:c>
      <x:c r="Y2686" s="80" t="n">
        <x:f>2*V2686</x:f>
        <x:v>409560.49150976003</x:v>
      </x:c>
      <x:c r="Z2686" s="80" t="n">
        <x:f>K2686*'Inputs'!$B$16+(G2686+R2686)*J2686*'Inputs'!$B$16</x:f>
        <x:v>9535.365504198828</x:v>
      </x:c>
      <x:c r="AA2686" s="80" t="n">
        <x:f>K2686*(1+'Inputs'!$E$51)/2*'Inputs'!$B$17</x:f>
        <x:v>3327.048790694558</x:v>
      </x:c>
      <x:c r="AB2686" s="78" t="n">
        <x:f>(IF(J2686&gt;0,K2686*(1-'Inputs'!$E$51)/2/J2686,0)+G2686+R2686)*'Inputs'!$B$17</x:f>
        <x:v>8634.332051901076</x:v>
      </x:c>
      <x:c r="AC2686" s="78" t="n">
        <x:f>AC2685+AB2686</x:f>
        <x:v>1139051.1870459768</x:v>
      </x:c>
      <x:c r="AD2686" s="80" t="n">
        <x:f>Z2686/(1+'Inputs'!$C$51)</x:f>
        <x:v>3178.4551680662757</x:v>
      </x:c>
      <x:c r="AE2686" s="80" t="n">
        <x:f>Z2686-AD2686</x:f>
        <x:v>6356.910336132552</x:v>
      </x:c>
      <x:c r="AF2686" s="80" t="n">
        <x:f>D2686*W2686</x:f>
        <x:v>102931.05484593775</x:v>
      </x:c>
      <x:c r="AG2686" s="80" t="n">
        <x:f>C2686*W2686</x:f>
        <x:v>240172.4613071836</x:v>
      </x:c>
      <x:c r="AH2686" s="80" t="n">
        <x:f>2*'Inputs'!$B$8*'Inputs'!$C$51</x:f>
        <x:v>10000</x:v>
      </x:c>
      <x:c r="AI2686" s="81" t="n">
        <x:f>IF(AH2686&gt;0,(AE2686+AF2686)/AH2686*365,0)</x:f>
        <x:v>3989.0107291455656</x:v>
      </x:c>
      <x:c r="AJ2686" s="81" t="n">
        <x:f>IF('Inputs'!$B$51&gt;0,AG2686/('Inputs'!$B$19*'Inputs'!$B$51)*365,0)</x:f>
        <x:v>8766.294837712201</x:v>
      </x:c>
      <x:c r="AK2686" s="81" t="n">
        <x:f>W2686/MAX($W$2559:W2686)-1</x:f>
        <x:v>-0.6366086323672302</x:v>
      </x:c>
      <x:c r="AL2686" s="83" t="n">
        <x:f>'Inputs'!$B$51</x:f>
        <x:v>1</x:v>
      </x:c>
      <x:c r="AM2686" s="83" t="n">
        <x:f>'Inputs'!$C$51</x:f>
        <x:v>2</x:v>
      </x:c>
      <x:c r="AN2686" s="83" t="n">
        <x:f>'Inputs'!$D$51</x:f>
        <x:v>3</x:v>
      </x:c>
      <x:c r="AO2686" s="81" t="n">
        <x:f>'Inputs'!$E$51</x:f>
        <x:v>0.1</x:v>
      </x:c>
    </x:row>
    <x:row r="2687">
      <x:c r="A2687" s="59" t="str">
        <x:v>High demand</x:v>
      </x:c>
      <x:c r="B2687" s="59" t="n">
        <x:v>129</x:v>
      </x:c>
      <x:c r="C2687" s="78" t="n">
        <x:f>(('Inputs'!$B$29*(3*129*'Inputs'!$B$12-129^2)/(2*'Inputs'!$B$12^2))-('Inputs'!$B$29*(3*128*'Inputs'!$B$12-128^2)/(2*'Inputs'!$B$12^2)))*'Inputs'!$B$51</x:f>
        <x:v>670209.93619816</x:v>
      </x:c>
      <x:c r="D2687" s="78" t="n">
        <x:f>IF('Inputs'!$C$51&gt;0,('Inputs'!$B$30*(3*129*'Inputs'!$B$12-129^2)/(2*'Inputs'!$B$12^2))-('Inputs'!$B$30*(3*128*'Inputs'!$B$12-128^2)/(2*'Inputs'!$B$12^2)),0)</x:f>
        <x:v>287232.8297992125</x:v>
      </x:c>
      <x:c r="E2687" s="78" t="n">
        <x:f>C2687+D2687</x:f>
        <x:v>957442.7659973726</x:v>
      </x:c>
      <x:c r="F2687" s="78" t="n">
        <x:f>'Inputs'!$B$13*E2687+(1-'Inputs'!$B$13)/'Inputs'!$B$14*SUM(E2632:E2687)</x:f>
        <x:v>967660.4428598238</x:v>
      </x:c>
      <x:c r="G2687" s="78" t="n">
        <x:f>F2687*'Inputs'!$F$51</x:f>
        <x:v>241915.11071495595</x:v>
      </x:c>
      <x:c r="H2687" s="78" t="n">
        <x:f>U2686</x:f>
        <x:v>571723.8786260829</x:v>
      </x:c>
      <x:c r="I2687" s="78" t="n">
        <x:f>V2686</x:f>
        <x:v>204780.24575488002</x:v>
      </x:c>
      <x:c r="J2687" s="79" t="n">
        <x:f>IF(H2687&gt;0,I2687/H2687,0)</x:f>
        <x:v>0.3581803269210831</x:v>
      </x:c>
      <x:c r="K2687" s="80" t="n">
        <x:f>(H2687*J2687+I2687)*'Inputs'!$D$51*(1+'Inputs'!$G$51)^(B2687/30)</x:f>
        <x:v>1515490.7719923502</x:v>
      </x:c>
      <x:c r="L2687" s="80" t="n">
        <x:f>MAX(0,K2687*'Inputs'!$E$51)</x:f>
        <x:v>151549.07719923503</x:v>
      </x:c>
      <x:c r="M2687" s="80" t="n">
        <x:f>MAX(0,-K2687*'Inputs'!$E$51)</x:f>
        <x:v>0</x:v>
      </x:c>
      <x:c r="N2687" s="78" t="n">
        <x:f>H2687*(L2687*(1-'Inputs'!$B$15))/(I2687+L2687*(1-'Inputs'!$B$15))</x:f>
        <x:v>241754.34037852238</x:v>
      </x:c>
      <x:c r="O2687" s="78" t="n">
        <x:f>H2687-N2687</x:f>
        <x:v>329969.5382475605</x:v>
      </x:c>
      <x:c r="P2687" s="78" t="n">
        <x:f>I2687+L2687*(1-'Inputs'!$B$17)</x:f>
        <x:v>355719.4675126694</x:v>
      </x:c>
      <x:c r="Q2687" s="78" t="n">
        <x:f>IF(J2687&gt;0,M2687/J2687,0)</x:f>
        <x:v>0</x:v>
      </x:c>
      <x:c r="R2687" s="78" t="n">
        <x:f>IF(B2687='Inputs'!$H$51,'Inputs'!$B$27*'Inputs'!$I$51,0)</x:f>
        <x:v>0</x:v>
      </x:c>
      <x:c r="S2687" s="78" t="n">
        <x:f>Q2687+G2687+R2687</x:f>
        <x:v>241915.11071495595</x:v>
      </x:c>
      <x:c r="T2687" s="78" t="n">
        <x:f>P2687*(S2687*(1-'Inputs'!$B$15))/(O2687+S2687*(1-'Inputs'!$B$15))</x:f>
        <x:v>149602.34736602448</x:v>
      </x:c>
      <x:c r="U2687" s="78" t="n">
        <x:f>O2687+S2687*(1-'Inputs'!$B$17)</x:f>
        <x:v>570911.1475109472</x:v>
      </x:c>
      <x:c r="V2687" s="78" t="n">
        <x:f>P2687-T2687</x:f>
        <x:v>206117.1201466449</x:v>
      </x:c>
      <x:c r="W2687" s="79" t="n">
        <x:f>IF(U2687&gt;0,V2687/U2687,0)</x:f>
        <x:v>0.3610318716761309</x:v>
      </x:c>
      <x:c r="X2687" s="80" t="n">
        <x:f>W2687*('Inputs'!$B$6-AC2687)</x:f>
        <x:v>360617520.23128754</x:v>
      </x:c>
      <x:c r="Y2687" s="80" t="n">
        <x:f>2*V2687</x:f>
        <x:v>412234.2402932898</x:v>
      </x:c>
      <x:c r="Z2687" s="80" t="n">
        <x:f>K2687*'Inputs'!$B$16+(G2687+R2687)*J2687*'Inputs'!$B$16</x:f>
        <x:v>9612.8400326123</x:v>
      </x:c>
      <x:c r="AA2687" s="80" t="n">
        <x:f>K2687*(1+'Inputs'!$E$51)/2*'Inputs'!$B$17</x:f>
        <x:v>3354.204927950876</x:v>
      </x:c>
      <x:c r="AB2687" s="78" t="n">
        <x:f>(IF(J2687&gt;0,K2687*(1-'Inputs'!$E$51)/2/J2687,0)+G2687+R2687)*'Inputs'!$B$17</x:f>
        <x:v>8635.422780682096</x:v>
      </x:c>
      <x:c r="AC2687" s="78" t="n">
        <x:f>AC2686+AB2687</x:f>
        <x:v>1147686.6098266589</x:v>
      </x:c>
      <x:c r="AD2687" s="80" t="n">
        <x:f>Z2687/(1+'Inputs'!$C$51)</x:f>
        <x:v>3204.2800108707665</x:v>
      </x:c>
      <x:c r="AE2687" s="80" t="n">
        <x:f>Z2687-AD2687</x:f>
        <x:v>6408.560021741532</x:v>
      </x:c>
      <x:c r="AF2687" s="80" t="n">
        <x:f>D2687*W2687</x:f>
        <x:v>103700.20614924123</x:v>
      </x:c>
      <x:c r="AG2687" s="80" t="n">
        <x:f>C2687*W2687</x:f>
        <x:v>241967.147681562</x:v>
      </x:c>
      <x:c r="AH2687" s="80" t="n">
        <x:f>2*'Inputs'!$B$8*'Inputs'!$C$51</x:f>
        <x:v>10000</x:v>
      </x:c>
      <x:c r="AI2687" s="81" t="n">
        <x:f>IF(AH2687&gt;0,(AE2687+AF2687)/AH2687*365,0)</x:f>
        <x:v>4018.969965240871</x:v>
      </x:c>
      <x:c r="AJ2687" s="81" t="n">
        <x:f>IF('Inputs'!$B$51&gt;0,AG2687/('Inputs'!$B$19*'Inputs'!$B$51)*365,0)</x:f>
        <x:v>8831.800890377013</x:v>
      </x:c>
      <x:c r="AK2687" s="81" t="n">
        <x:f>W2687/MAX($W$2559:W2687)-1</x:f>
        <x:v>-0.6337156014816139</x:v>
      </x:c>
      <x:c r="AL2687" s="83" t="n">
        <x:f>'Inputs'!$B$51</x:f>
        <x:v>1</x:v>
      </x:c>
      <x:c r="AM2687" s="83" t="n">
        <x:f>'Inputs'!$C$51</x:f>
        <x:v>2</x:v>
      </x:c>
      <x:c r="AN2687" s="83" t="n">
        <x:f>'Inputs'!$D$51</x:f>
        <x:v>3</x:v>
      </x:c>
      <x:c r="AO2687" s="81" t="n">
        <x:f>'Inputs'!$E$51</x:f>
        <x:v>0.1</x:v>
      </x:c>
    </x:row>
    <x:row r="2688">
      <x:c r="A2688" s="59" t="str">
        <x:v>High demand</x:v>
      </x:c>
      <x:c r="B2688" s="59" t="n">
        <x:v>130</x:v>
      </x:c>
      <x:c r="C2688" s="78" t="n">
        <x:f>(('Inputs'!$B$29*(3*130*'Inputs'!$B$12-130^2)/(2*'Inputs'!$B$12^2))-('Inputs'!$B$29*(3*129*'Inputs'!$B$12-129^2)/(2*'Inputs'!$B$12^2)))*'Inputs'!$B$51</x:f>
        <x:v>669884.8282979876</x:v>
      </x:c>
      <x:c r="D2688" s="78" t="n">
        <x:f>IF('Inputs'!$C$51&gt;0,('Inputs'!$B$30*(3*130*'Inputs'!$B$12-130^2)/(2*'Inputs'!$B$12^2))-('Inputs'!$B$30*(3*129*'Inputs'!$B$12-129^2)/(2*'Inputs'!$B$12^2)),0)</x:f>
        <x:v>287093.4978419915</x:v>
      </x:c>
      <x:c r="E2688" s="78" t="n">
        <x:f>C2688+D2688</x:f>
        <x:v>956978.3261399791</x:v>
      </x:c>
      <x:c r="F2688" s="78" t="n">
        <x:f>'Inputs'!$B$13*E2688+(1-'Inputs'!$B$13)/'Inputs'!$B$14*SUM(E2633:E2688)</x:f>
        <x:v>967196.0030024375</x:v>
      </x:c>
      <x:c r="G2688" s="78" t="n">
        <x:f>F2688*'Inputs'!$F$51</x:f>
        <x:v>241799.00075060938</x:v>
      </x:c>
      <x:c r="H2688" s="78" t="n">
        <x:f>U2687</x:f>
        <x:v>570911.1475109472</x:v>
      </x:c>
      <x:c r="I2688" s="78" t="n">
        <x:f>V2687</x:f>
        <x:v>206117.1201466449</x:v>
      </x:c>
      <x:c r="J2688" s="79" t="n">
        <x:f>IF(H2688&gt;0,I2688/H2688,0)</x:f>
        <x:v>0.3610318716761309</x:v>
      </x:c>
      <x:c r="K2688" s="80" t="n">
        <x:f>(H2688*J2688+I2688)*'Inputs'!$D$51*(1+'Inputs'!$G$51)^(B2688/30)</x:f>
        <x:v>1527867.2162537165</x:v>
      </x:c>
      <x:c r="L2688" s="80" t="n">
        <x:f>MAX(0,K2688*'Inputs'!$E$51)</x:f>
        <x:v>152786.72162537166</x:v>
      </x:c>
      <x:c r="M2688" s="80" t="n">
        <x:f>MAX(0,-K2688*'Inputs'!$E$51)</x:f>
        <x:v>0</x:v>
      </x:c>
      <x:c r="N2688" s="78" t="n">
        <x:f>H2688*(L2688*(1-'Inputs'!$B$15))/(I2688+L2688*(1-'Inputs'!$B$15))</x:f>
        <x:v>241637.3015820246</x:v>
      </x:c>
      <x:c r="O2688" s="78" t="n">
        <x:f>H2688-N2688</x:f>
        <x:v>329273.8459289226</x:v>
      </x:c>
      <x:c r="P2688" s="78" t="n">
        <x:f>I2688+L2688*(1-'Inputs'!$B$17)</x:f>
        <x:v>358289.0058701036</x:v>
      </x:c>
      <x:c r="Q2688" s="78" t="n">
        <x:f>IF(J2688&gt;0,M2688/J2688,0)</x:f>
        <x:v>0</x:v>
      </x:c>
      <x:c r="R2688" s="78" t="n">
        <x:f>IF(B2688='Inputs'!$H$51,'Inputs'!$B$27*'Inputs'!$I$51,0)</x:f>
        <x:v>0</x:v>
      </x:c>
      <x:c r="S2688" s="78" t="n">
        <x:f>Q2688+G2688+R2688</x:f>
        <x:v>241799.00075060938</x:v>
      </x:c>
      <x:c r="T2688" s="78" t="n">
        <x:f>P2688*(S2688*(1-'Inputs'!$B$15))/(O2688+S2688*(1-'Inputs'!$B$15))</x:f>
        <x:v>150825.37915049214</x:v>
      </x:c>
      <x:c r="U2688" s="78" t="n">
        <x:f>O2688+S2688*(1-'Inputs'!$B$17)</x:f>
        <x:v>570099.81247128</x:v>
      </x:c>
      <x:c r="V2688" s="78" t="n">
        <x:f>P2688-T2688</x:f>
        <x:v>207463.62671961146</x:v>
      </x:c>
      <x:c r="W2688" s="79" t="n">
        <x:f>IF(U2688&gt;0,V2688/U2688,0)</x:f>
        <x:v>0.3639075512414116</x:v>
      </x:c>
      <x:c r="X2688" s="80" t="n">
        <x:f>W2688*('Inputs'!$B$6-AC2688)</x:f>
        <x:v>363486756.52386135</x:v>
      </x:c>
      <x:c r="Y2688" s="80" t="n">
        <x:f>2*V2688</x:f>
        <x:v>414927.2534392229</x:v>
      </x:c>
      <x:c r="Z2688" s="80" t="n">
        <x:f>K2688*'Inputs'!$B$16+(G2688+R2688)*J2688*'Inputs'!$B$16</x:f>
        <x:v>9690.986172384763</x:v>
      </x:c>
      <x:c r="AA2688" s="80" t="n">
        <x:f>K2688*(1+'Inputs'!$E$51)/2*'Inputs'!$B$17</x:f>
        <x:v>3381.5974605213046</x:v>
      </x:c>
      <x:c r="AB2688" s="78" t="n">
        <x:f>(IF(J2688&gt;0,K2688*(1-'Inputs'!$E$51)/2/J2688,0)+G2688+R2688)*'Inputs'!$B$17</x:f>
        <x:v>8636.517063001973</x:v>
      </x:c>
      <x:c r="AC2688" s="78" t="n">
        <x:f>AC2687+AB2688</x:f>
        <x:v>1156323.1268896607</x:v>
      </x:c>
      <x:c r="AD2688" s="80" t="n">
        <x:f>Z2688/(1+'Inputs'!$C$51)</x:f>
        <x:v>3230.328724128254</x:v>
      </x:c>
      <x:c r="AE2688" s="80" t="n">
        <x:f>Z2688-AD2688</x:f>
        <x:v>6460.657448256508</x:v>
      </x:c>
      <x:c r="AF2688" s="80" t="n">
        <x:f>D2688*W2688</x:f>
        <x:v>104475.49177701061</x:v>
      </x:c>
      <x:c r="AG2688" s="80" t="n">
        <x:f>C2688*W2688</x:f>
        <x:v>243776.14747969413</x:v>
      </x:c>
      <x:c r="AH2688" s="80" t="n">
        <x:f>2*'Inputs'!$B$8*'Inputs'!$C$51</x:f>
        <x:v>10000</x:v>
      </x:c>
      <x:c r="AI2688" s="81" t="n">
        <x:f>IF(AH2688&gt;0,(AE2688+AF2688)/AH2688*365,0)</x:f>
        <x:v>4049.1694467222496</x:v>
      </x:c>
      <x:c r="AJ2688" s="81" t="n">
        <x:f>IF('Inputs'!$B$51&gt;0,AG2688/('Inputs'!$B$19*'Inputs'!$B$51)*365,0)</x:f>
        <x:v>8897.829383008837</x:v>
      </x:c>
      <x:c r="AK2688" s="81" t="n">
        <x:f>W2688/MAX($W$2559:W2688)-1</x:f>
        <x:v>-0.6307980846568241</x:v>
      </x:c>
      <x:c r="AL2688" s="83" t="n">
        <x:f>'Inputs'!$B$51</x:f>
        <x:v>1</x:v>
      </x:c>
      <x:c r="AM2688" s="83" t="n">
        <x:f>'Inputs'!$C$51</x:f>
        <x:v>2</x:v>
      </x:c>
      <x:c r="AN2688" s="83" t="n">
        <x:f>'Inputs'!$D$51</x:f>
        <x:v>3</x:v>
      </x:c>
      <x:c r="AO2688" s="81" t="n">
        <x:f>'Inputs'!$E$51</x:f>
        <x:v>0.1</x:v>
      </x:c>
    </x:row>
    <x:row r="2689">
      <x:c r="A2689" s="59" t="str">
        <x:v>High demand</x:v>
      </x:c>
      <x:c r="B2689" s="59" t="n">
        <x:v>131</x:v>
      </x:c>
      <x:c r="C2689" s="78" t="n">
        <x:f>(('Inputs'!$B$29*(3*131*'Inputs'!$B$12-131^2)/(2*'Inputs'!$B$12^2))-('Inputs'!$B$29*(3*130*'Inputs'!$B$12-130^2)/(2*'Inputs'!$B$12^2)))*'Inputs'!$B$51</x:f>
        <x:v>669559.72039783</x:v>
      </x:c>
      <x:c r="D2689" s="78" t="n">
        <x:f>IF('Inputs'!$C$51&gt;0,('Inputs'!$B$30*(3*131*'Inputs'!$B$12-131^2)/(2*'Inputs'!$B$12^2))-('Inputs'!$B$30*(3*130*'Inputs'!$B$12-130^2)/(2*'Inputs'!$B$12^2)),0)</x:f>
        <x:v>286954.16588478535</x:v>
      </x:c>
      <x:c r="E2689" s="78" t="n">
        <x:f>C2689+D2689</x:f>
        <x:v>956513.8862826154</x:v>
      </x:c>
      <x:c r="F2689" s="78" t="n">
        <x:f>'Inputs'!$B$13*E2689+(1-'Inputs'!$B$13)/'Inputs'!$B$14*SUM(E2634:E2689)</x:f>
        <x:v>966731.5631450575</x:v>
      </x:c>
      <x:c r="G2689" s="78" t="n">
        <x:f>F2689*'Inputs'!$F$51</x:f>
        <x:v>241682.89078626438</x:v>
      </x:c>
      <x:c r="H2689" s="78" t="n">
        <x:f>U2688</x:f>
        <x:v>570099.81247128</x:v>
      </x:c>
      <x:c r="I2689" s="78" t="n">
        <x:f>V2688</x:f>
        <x:v>207463.62671961146</x:v>
      </x:c>
      <x:c r="J2689" s="79" t="n">
        <x:f>IF(H2689&gt;0,I2689/H2689,0)</x:f>
        <x:v>0.3639075512414116</x:v>
      </x:c>
      <x:c r="K2689" s="80" t="n">
        <x:f>(H2689*J2689+I2689)*'Inputs'!$D$51*(1+'Inputs'!$G$51)^(B2689/30)</x:f>
        <x:v>1540351.4507687227</x:v>
      </x:c>
      <x:c r="L2689" s="80" t="n">
        <x:f>MAX(0,K2689*'Inputs'!$E$51)</x:f>
        <x:v>154035.1450768723</x:v>
      </x:c>
      <x:c r="M2689" s="80" t="n">
        <x:f>MAX(0,-K2689*'Inputs'!$E$51)</x:f>
        <x:v>0</x:v>
      </x:c>
      <x:c r="N2689" s="78" t="n">
        <x:f>H2689*(L2689*(1-'Inputs'!$B$15))/(I2689+L2689*(1-'Inputs'!$B$15))</x:f>
        <x:v>241520.2654950841</x:v>
      </x:c>
      <x:c r="O2689" s="78" t="n">
        <x:f>H2689-N2689</x:f>
        <x:v>328579.5469761959</x:v>
      </x:c>
      <x:c r="P2689" s="78" t="n">
        <x:f>I2689+L2689*(1-'Inputs'!$B$17)</x:f>
        <x:v>360878.9120577438</x:v>
      </x:c>
      <x:c r="Q2689" s="78" t="n">
        <x:f>IF(J2689&gt;0,M2689/J2689,0)</x:f>
        <x:v>0</x:v>
      </x:c>
      <x:c r="R2689" s="78" t="n">
        <x:f>IF(B2689='Inputs'!$H$51,'Inputs'!$B$27*'Inputs'!$I$51,0)</x:f>
        <x:v>0</x:v>
      </x:c>
      <x:c r="S2689" s="78" t="n">
        <x:f>Q2689+G2689+R2689</x:f>
        <x:v>241682.89078626438</x:v>
      </x:c>
      <x:c r="T2689" s="78" t="n">
        <x:f>P2689*(S2689*(1-'Inputs'!$B$15))/(O2689+S2689*(1-'Inputs'!$B$15))</x:f>
        <x:v>152059.07161488358</x:v>
      </x:c>
      <x:c r="U2689" s="78" t="n">
        <x:f>O2689+S2689*(1-'Inputs'!$B$17)</x:f>
        <x:v>569289.8707975256</x:v>
      </x:c>
      <x:c r="V2689" s="78" t="n">
        <x:f>P2689-T2689</x:f>
        <x:v>208819.84044286024</x:v>
      </x:c>
      <x:c r="W2689" s="79" t="n">
        <x:f>IF(U2689&gt;0,V2689/U2689,0)</x:f>
        <x:v>0.3668075810839947</x:v>
      </x:c>
      <x:c r="X2689" s="80" t="n">
        <x:f>W2689*('Inputs'!$B$6-AC2689)</x:f>
        <x:v>366380264.6522409</x:v>
      </x:c>
      <x:c r="Y2689" s="80" t="n">
        <x:f>2*V2689</x:f>
        <x:v>417639.6808857205</x:v>
      </x:c>
      <x:c r="Z2689" s="80" t="n">
        <x:f>K2689*'Inputs'!$B$16+(G2689+R2689)*J2689*'Inputs'!$B$16</x:f>
        <x:v>9769.810078390186</x:v>
      </x:c>
      <x:c r="AA2689" s="80" t="n">
        <x:f>K2689*(1+'Inputs'!$E$51)/2*'Inputs'!$B$17</x:f>
        <x:v>3409.228563069608</x:v>
      </x:c>
      <x:c r="AB2689" s="78" t="n">
        <x:f>(IF(J2689&gt;0,K2689*(1-'Inputs'!$E$51)/2/J2689,0)+G2689+R2689)*'Inputs'!$B$17</x:f>
        <x:v>8637.61490036277</x:v>
      </x:c>
      <x:c r="AC2689" s="78" t="n">
        <x:f>AC2688+AB2689</x:f>
        <x:v>1164960.7417900234</x:v>
      </x:c>
      <x:c r="AD2689" s="80" t="n">
        <x:f>Z2689/(1+'Inputs'!$C$51)</x:f>
        <x:v>3256.6033594633955</x:v>
      </x:c>
      <x:c r="AE2689" s="80" t="n">
        <x:f>Z2689-AD2689</x:f>
        <x:v>6513.206718926791</x:v>
      </x:c>
      <x:c r="AF2689" s="80" t="n">
        <x:f>D2689*W2689</x:f>
        <x:v>105256.96347017346</x:v>
      </x:c>
      <x:c r="AG2689" s="80" t="n">
        <x:f>C2689*W2689</x:f>
        <x:v>245599.58143040384</x:v>
      </x:c>
      <x:c r="AH2689" s="80" t="n">
        <x:f>2*'Inputs'!$B$8*'Inputs'!$C$51</x:f>
        <x:v>10000</x:v>
      </x:c>
      <x:c r="AI2689" s="81" t="n">
        <x:f>IF(AH2689&gt;0,(AE2689+AF2689)/AH2689*365,0)</x:f>
        <x:v>4079.6112119021595</x:v>
      </x:c>
      <x:c r="AJ2689" s="81" t="n">
        <x:f>IF('Inputs'!$B$51&gt;0,AG2689/('Inputs'!$B$19*'Inputs'!$B$51)*365,0)</x:f>
        <x:v>8964.38472220974</x:v>
      </x:c>
      <x:c r="AK2689" s="81" t="n">
        <x:f>W2689/MAX($W$2559:W2689)-1</x:f>
        <x:v>-0.6278558632910362</x:v>
      </x:c>
      <x:c r="AL2689" s="83" t="n">
        <x:f>'Inputs'!$B$51</x:f>
        <x:v>1</x:v>
      </x:c>
      <x:c r="AM2689" s="83" t="n">
        <x:f>'Inputs'!$C$51</x:f>
        <x:v>2</x:v>
      </x:c>
      <x:c r="AN2689" s="83" t="n">
        <x:f>'Inputs'!$D$51</x:f>
        <x:v>3</x:v>
      </x:c>
      <x:c r="AO2689" s="81" t="n">
        <x:f>'Inputs'!$E$51</x:f>
        <x:v>0.1</x:v>
      </x:c>
    </x:row>
    <x:row r="2690">
      <x:c r="A2690" s="59" t="str">
        <x:v>High demand</x:v>
      </x:c>
      <x:c r="B2690" s="59" t="n">
        <x:v>132</x:v>
      </x:c>
      <x:c r="C2690" s="78" t="n">
        <x:f>(('Inputs'!$B$29*(3*132*'Inputs'!$B$12-132^2)/(2*'Inputs'!$B$12^2))-('Inputs'!$B$29*(3*131*'Inputs'!$B$12-131^2)/(2*'Inputs'!$B$12^2)))*'Inputs'!$B$51</x:f>
        <x:v>669234.6124976575</x:v>
      </x:c>
      <x:c r="D2690" s="78" t="n">
        <x:f>IF('Inputs'!$C$51&gt;0,('Inputs'!$B$30*(3*132*'Inputs'!$B$12-132^2)/(2*'Inputs'!$B$12^2))-('Inputs'!$B$30*(3*131*'Inputs'!$B$12-131^2)/(2*'Inputs'!$B$12^2)),0)</x:f>
        <x:v>286814.8339275643</x:v>
      </x:c>
      <x:c r="E2690" s="78" t="n">
        <x:f>C2690+D2690</x:f>
        <x:v>956049.4464252219</x:v>
      </x:c>
      <x:c r="F2690" s="78" t="n">
        <x:f>'Inputs'!$B$13*E2690+(1-'Inputs'!$B$13)/'Inputs'!$B$14*SUM(E2635:E2690)</x:f>
        <x:v>966267.1232876717</x:v>
      </x:c>
      <x:c r="G2690" s="78" t="n">
        <x:f>F2690*'Inputs'!$F$51</x:f>
        <x:v>241566.78082191793</x:v>
      </x:c>
      <x:c r="H2690" s="78" t="n">
        <x:f>U2689</x:f>
        <x:v>569289.8707975256</x:v>
      </x:c>
      <x:c r="I2690" s="78" t="n">
        <x:f>V2689</x:f>
        <x:v>208819.84044286024</x:v>
      </x:c>
      <x:c r="J2690" s="79" t="n">
        <x:f>IF(H2690&gt;0,I2690/H2690,0)</x:f>
        <x:v>0.3668075810839947</x:v>
      </x:c>
      <x:c r="K2690" s="80" t="n">
        <x:f>(H2690*J2690+I2690)*'Inputs'!$D$51*(1+'Inputs'!$G$51)^(B2690/30)</x:f>
        <x:v>1552944.467572118</x:v>
      </x:c>
      <x:c r="L2690" s="80" t="n">
        <x:f>MAX(0,K2690*'Inputs'!$E$51)</x:f>
        <x:v>155294.4467572118</x:v>
      </x:c>
      <x:c r="M2690" s="80" t="n">
        <x:f>MAX(0,-K2690*'Inputs'!$E$51)</x:f>
        <x:v>0</x:v>
      </x:c>
      <x:c r="N2690" s="78" t="n">
        <x:f>H2690*(L2690*(1-'Inputs'!$B$15))/(I2690+L2690*(1-'Inputs'!$B$15))</x:f>
        <x:v>241403.23211253618</x:v>
      </x:c>
      <x:c r="O2690" s="78" t="n">
        <x:f>H2690-N2690</x:f>
        <x:v>327886.6386849894</x:v>
      </x:c>
      <x:c r="P2690" s="78" t="n">
        <x:f>I2690+L2690*(1-'Inputs'!$B$17)</x:f>
        <x:v>363489.3598489363</x:v>
      </x:c>
      <x:c r="Q2690" s="78" t="n">
        <x:f>IF(J2690&gt;0,M2690/J2690,0)</x:f>
        <x:v>0</x:v>
      </x:c>
      <x:c r="R2690" s="78" t="n">
        <x:f>IF(B2690='Inputs'!$H$51,'Inputs'!$B$27*'Inputs'!$I$51,0)</x:f>
        <x:v>0</x:v>
      </x:c>
      <x:c r="S2690" s="78" t="n">
        <x:f>Q2690+G2690+R2690</x:f>
        <x:v>241566.78082191793</x:v>
      </x:c>
      <x:c r="T2690" s="78" t="n">
        <x:f>P2690*(S2690*(1-'Inputs'!$B$15))/(O2690+S2690*(1-'Inputs'!$B$15))</x:f>
        <x:v>153303.52294198243</x:v>
      </x:c>
      <x:c r="U2690" s="78" t="n">
        <x:f>O2690+S2690*(1-'Inputs'!$B$17)</x:f>
        <x:v>568481.3197852899</x:v>
      </x:c>
      <x:c r="V2690" s="78" t="n">
        <x:f>P2690-T2690</x:f>
        <x:v>210185.8369069539</x:v>
      </x:c>
      <x:c r="W2690" s="79" t="n">
        <x:f>IF(U2690&gt;0,V2690/U2690,0)</x:f>
        <x:v>0.3697321786867845</x:v>
      </x:c>
      <x:c r="X2690" s="80" t="n">
        <x:f>W2690*('Inputs'!$B$6-AC2690)</x:f>
        <x:v>369298261.2022413</x:v>
      </x:c>
      <x:c r="Y2690" s="80" t="n">
        <x:f>2*V2690</x:f>
        <x:v>420371.6738139078</x:v>
      </x:c>
      <x:c r="Z2690" s="80" t="n">
        <x:f>K2690*'Inputs'!$B$16+(G2690+R2690)*J2690*'Inputs'!$B$16</x:f>
        <x:v>9849.317964693919</x:v>
      </x:c>
      <x:c r="AA2690" s="80" t="n">
        <x:f>K2690*(1+'Inputs'!$E$51)/2*'Inputs'!$B$17</x:f>
        <x:v>3437.1004312461364</x:v>
      </x:c>
      <x:c r="AB2690" s="78" t="n">
        <x:f>(IF(J2690&gt;0,K2690*(1-'Inputs'!$E$51)/2/J2690,0)+G2690+R2690)*'Inputs'!$B$17</x:f>
        <x:v>8638.71629426264</x:v>
      </x:c>
      <x:c r="AC2690" s="78" t="n">
        <x:f>AC2689+AB2690</x:f>
        <x:v>1173599.458084286</x:v>
      </x:c>
      <x:c r="AD2690" s="80" t="n">
        <x:f>Z2690/(1+'Inputs'!$C$51)</x:f>
        <x:v>3283.105988231306</x:v>
      </x:c>
      <x:c r="AE2690" s="80" t="n">
        <x:f>Z2690-AD2690</x:f>
        <x:v>6566.211976462613</x:v>
      </x:c>
      <x:c r="AF2690" s="80" t="n">
        <x:f>D2690*W2690</x:f>
        <x:v>106044.67342772662</x:v>
      </x:c>
      <x:c r="AG2690" s="80" t="n">
        <x:f>C2690*W2690</x:f>
        <x:v>247437.5713313649</x:v>
      </x:c>
      <x:c r="AH2690" s="80" t="n">
        <x:f>2*'Inputs'!$B$8*'Inputs'!$C$51</x:f>
        <x:v>10000</x:v>
      </x:c>
      <x:c r="AI2690" s="81" t="n">
        <x:f>IF(AH2690&gt;0,(AE2690+AF2690)/AH2690*365,0)</x:f>
        <x:v>4110.297317252907</x:v>
      </x:c>
      <x:c r="AJ2690" s="81" t="n">
        <x:f>IF('Inputs'!$B$51&gt;0,AG2690/('Inputs'!$B$19*'Inputs'!$B$51)*365,0)</x:f>
        <x:v>9031.471353594818</x:v>
      </x:c>
      <x:c r="AK2690" s="81" t="n">
        <x:f>W2690/MAX($W$2559:W2690)-1</x:f>
        <x:v>-0.6248887167372628</x:v>
      </x:c>
      <x:c r="AL2690" s="83" t="n">
        <x:f>'Inputs'!$B$51</x:f>
        <x:v>1</x:v>
      </x:c>
      <x:c r="AM2690" s="83" t="n">
        <x:f>'Inputs'!$C$51</x:f>
        <x:v>2</x:v>
      </x:c>
      <x:c r="AN2690" s="83" t="n">
        <x:f>'Inputs'!$D$51</x:f>
        <x:v>3</x:v>
      </x:c>
      <x:c r="AO2690" s="81" t="n">
        <x:f>'Inputs'!$E$51</x:f>
        <x:v>0.1</x:v>
      </x:c>
    </x:row>
    <x:row r="2691">
      <x:c r="A2691" s="59" t="str">
        <x:v>High demand</x:v>
      </x:c>
      <x:c r="B2691" s="59" t="n">
        <x:v>133</x:v>
      </x:c>
      <x:c r="C2691" s="78" t="n">
        <x:f>(('Inputs'!$B$29*(3*133*'Inputs'!$B$12-133^2)/(2*'Inputs'!$B$12^2))-('Inputs'!$B$29*(3*132*'Inputs'!$B$12-132^2)/(2*'Inputs'!$B$12^2)))*'Inputs'!$B$51</x:f>
        <x:v>668909.5045974851</x:v>
      </x:c>
      <x:c r="D2691" s="78" t="n">
        <x:f>IF('Inputs'!$C$51&gt;0,('Inputs'!$B$30*(3*133*'Inputs'!$B$12-133^2)/(2*'Inputs'!$B$12^2))-('Inputs'!$B$30*(3*132*'Inputs'!$B$12-132^2)/(2*'Inputs'!$B$12^2)),0)</x:f>
        <x:v>286675.50197035074</x:v>
      </x:c>
      <x:c r="E2691" s="78" t="n">
        <x:f>C2691+D2691</x:f>
        <x:v>955585.0065678358</x:v>
      </x:c>
      <x:c r="F2691" s="78" t="n">
        <x:f>'Inputs'!$B$13*E2691+(1-'Inputs'!$B$13)/'Inputs'!$B$14*SUM(E2636:E2691)</x:f>
        <x:v>965802.683430287</x:v>
      </x:c>
      <x:c r="G2691" s="78" t="n">
        <x:f>F2691*'Inputs'!$F$51</x:f>
        <x:v>241450.67085757176</x:v>
      </x:c>
      <x:c r="H2691" s="78" t="n">
        <x:f>U2690</x:f>
        <x:v>568481.3197852899</x:v>
      </x:c>
      <x:c r="I2691" s="78" t="n">
        <x:f>V2690</x:f>
        <x:v>210185.8369069539</x:v>
      </x:c>
      <x:c r="J2691" s="79" t="n">
        <x:f>IF(H2691&gt;0,I2691/H2691,0)</x:f>
        <x:v>0.3697321786867845</x:v>
      </x:c>
      <x:c r="K2691" s="80" t="n">
        <x:f>(H2691*J2691+I2691)*'Inputs'!$D$51*(1+'Inputs'!$G$51)^(B2691/30)</x:f>
        <x:v>1565647.2682762176</x:v>
      </x:c>
      <x:c r="L2691" s="80" t="n">
        <x:f>MAX(0,K2691*'Inputs'!$E$51)</x:f>
        <x:v>156564.72682762178</x:v>
      </x:c>
      <x:c r="M2691" s="80" t="n">
        <x:f>MAX(0,-K2691*'Inputs'!$E$51)</x:f>
        <x:v>0</x:v>
      </x:c>
      <x:c r="N2691" s="78" t="n">
        <x:f>H2691*(L2691*(1-'Inputs'!$B$15))/(I2691+L2691*(1-'Inputs'!$B$15))</x:f>
        <x:v>241286.20142922414</x:v>
      </x:c>
      <x:c r="O2691" s="78" t="n">
        <x:f>H2691-N2691</x:f>
        <x:v>327195.1183560658</x:v>
      </x:c>
      <x:c r="P2691" s="78" t="n">
        <x:f>I2691+L2691*(1-'Inputs'!$B$17)</x:f>
        <x:v>366120.52459241217</x:v>
      </x:c>
      <x:c r="Q2691" s="78" t="n">
        <x:f>IF(J2691&gt;0,M2691/J2691,0)</x:f>
        <x:v>0</x:v>
      </x:c>
      <x:c r="R2691" s="78" t="n">
        <x:f>IF(B2691='Inputs'!$H$51,'Inputs'!$B$27*'Inputs'!$I$51,0)</x:f>
        <x:v>0</x:v>
      </x:c>
      <x:c r="S2691" s="78" t="n">
        <x:f>Q2691+G2691+R2691</x:f>
        <x:v>241450.67085757176</x:v>
      </x:c>
      <x:c r="T2691" s="78" t="n">
        <x:f>P2691*(S2691*(1-'Inputs'!$B$15))/(O2691+S2691*(1-'Inputs'!$B$15))</x:f>
        <x:v>154558.83226304443</x:v>
      </x:c>
      <x:c r="U2691" s="78" t="n">
        <x:f>O2691+S2691*(1-'Inputs'!$B$17)</x:f>
        <x:v>567674.1567353375</x:v>
      </x:c>
      <x:c r="V2691" s="78" t="n">
        <x:f>P2691-T2691</x:f>
        <x:v>211561.69232936774</x:v>
      </x:c>
      <x:c r="W2691" s="79" t="n">
        <x:f>IF(U2691&gt;0,V2691/U2691,0)</x:f>
        <x:v>0.3726815635681696</x:v>
      </x:c>
      <x:c r="X2691" s="80" t="n">
        <x:f>W2691*('Inputs'!$B$6-AC2691)</x:f>
        <x:v>372240964.78503704</x:v>
      </x:c>
      <x:c r="Y2691" s="80" t="n">
        <x:f>2*V2691</x:f>
        <x:v>423123.3846587355</x:v>
      </x:c>
      <x:c r="Z2691" s="80" t="n">
        <x:f>K2691*'Inputs'!$B$16+(G2691+R2691)*J2691*'Inputs'!$B$16</x:f>
        <x:v>9929.51610514664</x:v>
      </x:c>
      <x:c r="AA2691" s="80" t="n">
        <x:f>K2691*(1+'Inputs'!$E$51)/2*'Inputs'!$B$17</x:f>
        <x:v>3465.215281899074</x:v>
      </x:c>
      <x:c r="AB2691" s="78" t="n">
        <x:f>(IF(J2691&gt;0,K2691*(1-'Inputs'!$E$51)/2/J2691,0)+G2691+R2691)*'Inputs'!$B$17</x:f>
        <x:v>8639.821246195785</x:v>
      </x:c>
      <x:c r="AC2691" s="78" t="n">
        <x:f>AC2690+AB2691</x:f>
        <x:v>1182239.2793304818</x:v>
      </x:c>
      <x:c r="AD2691" s="80" t="n">
        <x:f>Z2691/(1+'Inputs'!$C$51)</x:f>
        <x:v>3309.838701715547</x:v>
      </x:c>
      <x:c r="AE2691" s="80" t="n">
        <x:f>Z2691-AD2691</x:f>
        <x:v>6619.677403431093</x:v>
      </x:c>
      <x:c r="AF2691" s="80" t="n">
        <x:f>D2691*W2691</x:f>
        <x:v>106838.6743110002</x:v>
      </x:c>
      <x:c r="AG2691" s="80" t="n">
        <x:f>C2691*W2691</x:f>
        <x:v>249290.24005900047</x:v>
      </x:c>
      <x:c r="AH2691" s="80" t="n">
        <x:f>2*'Inputs'!$B$8*'Inputs'!$C$51</x:f>
        <x:v>10000</x:v>
      </x:c>
      <x:c r="AI2691" s="81" t="n">
        <x:f>IF(AH2691&gt;0,(AE2691+AF2691)/AH2691*365,0)</x:f>
        <x:v>4141.229837576742</x:v>
      </x:c>
      <x:c r="AJ2691" s="81" t="n">
        <x:f>IF('Inputs'!$B$51&gt;0,AG2691/('Inputs'!$B$19*'Inputs'!$B$51)*365,0)</x:f>
        <x:v>9099.093762153518</x:v>
      </x:c>
      <x:c r="AK2691" s="81" t="n">
        <x:f>W2691/MAX($W$2559:W2691)-1</x:f>
        <x:v>-0.6218964222834189</x:v>
      </x:c>
      <x:c r="AL2691" s="83" t="n">
        <x:f>'Inputs'!$B$51</x:f>
        <x:v>1</x:v>
      </x:c>
      <x:c r="AM2691" s="83" t="n">
        <x:f>'Inputs'!$C$51</x:f>
        <x:v>2</x:v>
      </x:c>
      <x:c r="AN2691" s="83" t="n">
        <x:f>'Inputs'!$D$51</x:f>
        <x:v>3</x:v>
      </x:c>
      <x:c r="AO2691" s="81" t="n">
        <x:f>'Inputs'!$E$51</x:f>
        <x:v>0.1</x:v>
      </x:c>
    </x:row>
    <x:row r="2692">
      <x:c r="A2692" s="59" t="str">
        <x:v>High demand</x:v>
      </x:c>
      <x:c r="B2692" s="59" t="n">
        <x:v>134</x:v>
      </x:c>
      <x:c r="C2692" s="78" t="n">
        <x:f>(('Inputs'!$B$29*(3*134*'Inputs'!$B$12-134^2)/(2*'Inputs'!$B$12^2))-('Inputs'!$B$29*(3*133*'Inputs'!$B$12-133^2)/(2*'Inputs'!$B$12^2)))*'Inputs'!$B$51</x:f>
        <x:v>668584.3966973126</x:v>
      </x:c>
      <x:c r="D2692" s="78" t="n">
        <x:f>IF('Inputs'!$C$51&gt;0,('Inputs'!$B$30*(3*134*'Inputs'!$B$12-134^2)/(2*'Inputs'!$B$12^2))-('Inputs'!$B$30*(3*133*'Inputs'!$B$12-133^2)/(2*'Inputs'!$B$12^2)),0)</x:f>
        <x:v>286536.17001313716</x:v>
      </x:c>
      <x:c r="E2692" s="78" t="n">
        <x:f>C2692+D2692</x:f>
        <x:v>955120.5667104498</x:v>
      </x:c>
      <x:c r="F2692" s="78" t="n">
        <x:f>'Inputs'!$B$13*E2692+(1-'Inputs'!$B$13)/'Inputs'!$B$14*SUM(E2637:E2692)</x:f>
        <x:v>965338.2435729025</x:v>
      </x:c>
      <x:c r="G2692" s="78" t="n">
        <x:f>F2692*'Inputs'!$F$51</x:f>
        <x:v>241334.56089322563</x:v>
      </x:c>
      <x:c r="H2692" s="78" t="n">
        <x:f>U2691</x:f>
        <x:v>567674.1567353375</x:v>
      </x:c>
      <x:c r="I2692" s="78" t="n">
        <x:f>V2691</x:f>
        <x:v>211561.69232936774</x:v>
      </x:c>
      <x:c r="J2692" s="79" t="n">
        <x:f>IF(H2692&gt;0,I2692/H2692,0)</x:f>
        <x:v>0.3726815635681696</x:v>
      </x:c>
      <x:c r="K2692" s="80" t="n">
        <x:f>(H2692*J2692+I2692)*'Inputs'!$D$51*(1+'Inputs'!$G$51)^(B2692/30)</x:f>
        <x:v>1578460.8641673164</x:v>
      </x:c>
      <x:c r="L2692" s="80" t="n">
        <x:f>MAX(0,K2692*'Inputs'!$E$51)</x:f>
        <x:v>157846.08641673165</x:v>
      </x:c>
      <x:c r="M2692" s="80" t="n">
        <x:f>MAX(0,-K2692*'Inputs'!$E$51)</x:f>
        <x:v>0</x:v>
      </x:c>
      <x:c r="N2692" s="78" t="n">
        <x:f>H2692*(L2692*(1-'Inputs'!$B$15))/(I2692+L2692*(1-'Inputs'!$B$15))</x:f>
        <x:v>241169.17344000234</x:v>
      </x:c>
      <x:c r="O2692" s="78" t="n">
        <x:f>H2692-N2692</x:f>
        <x:v>326504.9832953351</x:v>
      </x:c>
      <x:c r="P2692" s="78" t="n">
        <x:f>I2692+L2692*(1-'Inputs'!$B$17)</x:f>
        <x:v>368772.58322731976</x:v>
      </x:c>
      <x:c r="Q2692" s="78" t="n">
        <x:f>IF(J2692&gt;0,M2692/J2692,0)</x:f>
        <x:v>0</x:v>
      </x:c>
      <x:c r="R2692" s="78" t="n">
        <x:f>IF(B2692='Inputs'!$H$51,'Inputs'!$B$27*'Inputs'!$I$51,0)</x:f>
        <x:v>0</x:v>
      </x:c>
      <x:c r="S2692" s="78" t="n">
        <x:f>Q2692+G2692+R2692</x:f>
        <x:v>241334.56089322563</x:v>
      </x:c>
      <x:c r="T2692" s="78" t="n">
        <x:f>P2692*(S2692*(1-'Inputs'!$B$15))/(O2692+S2692*(1-'Inputs'!$B$15))</x:f>
        <x:v>155825.0996673465</x:v>
      </x:c>
      <x:c r="U2692" s="78" t="n">
        <x:f>O2692+S2692*(1-'Inputs'!$B$17)</x:f>
        <x:v>566868.378953578</x:v>
      </x:c>
      <x:c r="V2692" s="78" t="n">
        <x:f>P2692-T2692</x:f>
        <x:v>212947.48355997325</x:v>
      </x:c>
      <x:c r="W2692" s="79" t="n">
        <x:f>IF(U2692&gt;0,V2692/U2692,0)</x:f>
        <x:v>0.3756559573018836</x:v>
      </x:c>
      <x:c r="X2692" s="80" t="n">
        <x:f>W2692*('Inputs'!$B$6-AC2692)</x:f>
        <x:v>375208596.05690676</x:v>
      </x:c>
      <x:c r="Y2692" s="80" t="n">
        <x:f>2*V2692</x:f>
        <x:v>425894.9671199465</x:v>
      </x:c>
      <x:c r="Z2692" s="80" t="n">
        <x:f>K2692*'Inputs'!$B$16+(G2692+R2692)*J2692*'Inputs'!$B$16</x:f>
        <x:v>10010.410833984248</x:v>
      </x:c>
      <x:c r="AA2692" s="80" t="n">
        <x:f>K2692*(1+'Inputs'!$E$51)/2*'Inputs'!$B$17</x:f>
        <x:v>3493.5753532878234</x:v>
      </x:c>
      <x:c r="AB2692" s="78" t="n">
        <x:f>(IF(J2692&gt;0,K2692*(1-'Inputs'!$E$51)/2/J2692,0)+G2692+R2692)*'Inputs'!$B$17</x:f>
        <x:v>8640.929757652497</x:v>
      </x:c>
      <x:c r="AC2692" s="78" t="n">
        <x:f>AC2691+AB2692</x:f>
        <x:v>1190880.2090881343</x:v>
      </x:c>
      <x:c r="AD2692" s="80" t="n">
        <x:f>Z2692/(1+'Inputs'!$C$51)</x:f>
        <x:v>3336.8036113280828</x:v>
      </x:c>
      <x:c r="AE2692" s="80" t="n">
        <x:f>Z2692-AD2692</x:f>
        <x:v>6673.607222656165</x:v>
      </x:c>
      <x:c r="AF2692" s="80" t="n">
        <x:f>D2692*W2692</x:f>
        <x:v>107639.01924790032</x:v>
      </x:c>
      <x:c r="AG2692" s="80" t="n">
        <x:f>C2692*W2692</x:f>
        <x:v>251157.71157843128</x:v>
      </x:c>
      <x:c r="AH2692" s="80" t="n">
        <x:f>2*'Inputs'!$B$8*'Inputs'!$C$51</x:f>
        <x:v>10000</x:v>
      </x:c>
      <x:c r="AI2692" s="81" t="n">
        <x:f>IF(AH2692&gt;0,(AE2692+AF2692)/AH2692*365,0)</x:f>
        <x:v>4172.410866175312</x:v>
      </x:c>
      <x:c r="AJ2692" s="81" t="n">
        <x:f>IF('Inputs'!$B$51&gt;0,AG2692/('Inputs'!$B$19*'Inputs'!$B$51)*365,0)</x:f>
        <x:v>9167.256472612742</x:v>
      </x:c>
      <x:c r="AK2692" s="81" t="n">
        <x:f>W2692/MAX($W$2559:W2692)-1</x:f>
        <x:v>-0.6188787551321719</x:v>
      </x:c>
      <x:c r="AL2692" s="83" t="n">
        <x:f>'Inputs'!$B$51</x:f>
        <x:v>1</x:v>
      </x:c>
      <x:c r="AM2692" s="83" t="n">
        <x:f>'Inputs'!$C$51</x:f>
        <x:v>2</x:v>
      </x:c>
      <x:c r="AN2692" s="83" t="n">
        <x:f>'Inputs'!$D$51</x:f>
        <x:v>3</x:v>
      </x:c>
      <x:c r="AO2692" s="81" t="n">
        <x:f>'Inputs'!$E$51</x:f>
        <x:v>0.1</x:v>
      </x:c>
    </x:row>
    <x:row r="2693">
      <x:c r="A2693" s="59" t="str">
        <x:v>High demand</x:v>
      </x:c>
      <x:c r="B2693" s="59" t="n">
        <x:v>135</x:v>
      </x:c>
      <x:c r="C2693" s="78" t="n">
        <x:f>(('Inputs'!$B$29*(3*135*'Inputs'!$B$12-135^2)/(2*'Inputs'!$B$12^2))-('Inputs'!$B$29*(3*134*'Inputs'!$B$12-134^2)/(2*'Inputs'!$B$12^2)))*'Inputs'!$B$51</x:f>
        <x:v>668259.288797155</x:v>
      </x:c>
      <x:c r="D2693" s="78" t="n">
        <x:f>IF('Inputs'!$C$51&gt;0,('Inputs'!$B$30*(3*135*'Inputs'!$B$12-135^2)/(2*'Inputs'!$B$12^2))-('Inputs'!$B$30*(3*134*'Inputs'!$B$12-134^2)/(2*'Inputs'!$B$12^2)),0)</x:f>
        <x:v>286396.83805591613</x:v>
      </x:c>
      <x:c r="E2693" s="78" t="n">
        <x:f>C2693+D2693</x:f>
        <x:v>954656.1268530712</x:v>
      </x:c>
      <x:c r="F2693" s="78" t="n">
        <x:f>'Inputs'!$B$13*E2693+(1-'Inputs'!$B$13)/'Inputs'!$B$14*SUM(E2638:E2693)</x:f>
        <x:v>964873.8037155196</x:v>
      </x:c>
      <x:c r="G2693" s="78" t="n">
        <x:f>F2693*'Inputs'!$F$51</x:f>
        <x:v>241218.4509288799</x:v>
      </x:c>
      <x:c r="H2693" s="78" t="n">
        <x:f>U2692</x:f>
        <x:v>566868.378953578</x:v>
      </x:c>
      <x:c r="I2693" s="78" t="n">
        <x:f>V2692</x:f>
        <x:v>212947.48355997325</x:v>
      </x:c>
      <x:c r="J2693" s="79" t="n">
        <x:f>IF(H2693&gt;0,I2693/H2693,0)</x:f>
        <x:v>0.3756559573018836</x:v>
      </x:c>
      <x:c r="K2693" s="80" t="n">
        <x:f>(H2693*J2693+I2693)*'Inputs'!$D$51*(1+'Inputs'!$G$51)^(B2693/30)</x:f>
        <x:v>1591386.2763031293</x:v>
      </x:c>
      <x:c r="L2693" s="80" t="n">
        <x:f>MAX(0,K2693*'Inputs'!$E$51)</x:f>
        <x:v>159138.62763031293</x:v>
      </x:c>
      <x:c r="M2693" s="80" t="n">
        <x:f>MAX(0,-K2693*'Inputs'!$E$51)</x:f>
        <x:v>0</x:v>
      </x:c>
      <x:c r="N2693" s="78" t="n">
        <x:f>H2693*(L2693*(1-'Inputs'!$B$15))/(I2693+L2693*(1-'Inputs'!$B$15))</x:f>
        <x:v>241052.14813973458</x:v>
      </x:c>
      <x:c r="O2693" s="78" t="n">
        <x:f>H2693-N2693</x:f>
        <x:v>325816.2308138434</x:v>
      </x:c>
      <x:c r="P2693" s="78" t="n">
        <x:f>I2693+L2693*(1-'Inputs'!$B$17)</x:f>
        <x:v>371445.7142984137</x:v>
      </x:c>
      <x:c r="Q2693" s="78" t="n">
        <x:f>IF(J2693&gt;0,M2693/J2693,0)</x:f>
        <x:v>0</x:v>
      </x:c>
      <x:c r="R2693" s="78" t="n">
        <x:f>IF(B2693='Inputs'!$H$51,'Inputs'!$B$27*'Inputs'!$I$51,0)</x:f>
        <x:v>0</x:v>
      </x:c>
      <x:c r="S2693" s="78" t="n">
        <x:f>Q2693+G2693+R2693</x:f>
        <x:v>241218.4509288799</x:v>
      </x:c>
      <x:c r="T2693" s="78" t="n">
        <x:f>P2693*(S2693*(1-'Inputs'!$B$15))/(O2693+S2693*(1-'Inputs'!$B$15))</x:f>
        <x:v>157102.42621184324</x:v>
      </x:c>
      <x:c r="U2693" s="78" t="n">
        <x:f>O2693+S2693*(1-'Inputs'!$B$17)</x:f>
        <x:v>566063.9837510578</x:v>
      </x:c>
      <x:c r="V2693" s="78" t="n">
        <x:f>P2693-T2693</x:f>
        <x:v>214343.28808657048</x:v>
      </x:c>
      <x:c r="W2693" s="79" t="n">
        <x:f>IF(U2693&gt;0,V2693/U2693,0)</x:f>
        <x:v>0.3786555835370615</x:v>
      </x:c>
      <x:c r="X2693" s="80" t="n">
        <x:f>W2693*('Inputs'!$B$6-AC2693)</x:f>
        <x:v>378201377.73917437</x:v>
      </x:c>
      <x:c r="Y2693" s="80" t="n">
        <x:f>2*V2693</x:f>
        <x:v>428686.57617314096</x:v>
      </x:c>
      <x:c r="Z2693" s="80" t="n">
        <x:f>K2693*'Inputs'!$B$16+(G2693+R2693)*J2693*'Inputs'!$B$16</x:f>
        <x:v>10092.00854643417</x:v>
      </x:c>
      <x:c r="AA2693" s="80" t="n">
        <x:f>K2693*(1+'Inputs'!$E$51)/2*'Inputs'!$B$17</x:f>
        <x:v>3522.1829052986773</x:v>
      </x:c>
      <x:c r="AB2693" s="78" t="n">
        <x:f>(IF(J2693&gt;0,K2693*(1-'Inputs'!$E$51)/2/J2693,0)+G2693+R2693)*'Inputs'!$B$17</x:f>
        <x:v>8642.041830119102</x:v>
      </x:c>
      <x:c r="AC2693" s="78" t="n">
        <x:f>AC2692+AB2693</x:f>
        <x:v>1199522.2509182536</x:v>
      </x:c>
      <x:c r="AD2693" s="80" t="n">
        <x:f>Z2693/(1+'Inputs'!$C$51)</x:f>
        <x:v>3364.00284881139</x:v>
      </x:c>
      <x:c r="AE2693" s="80" t="n">
        <x:f>Z2693-AD2693</x:f>
        <x:v>6728.005697622781</x:v>
      </x:c>
      <x:c r="AF2693" s="80" t="n">
        <x:f>D2693*W2693</x:f>
        <x:v>108445.76183723223</x:v>
      </x:c>
      <x:c r="AG2693" s="80" t="n">
        <x:f>C2693*W2693</x:f>
        <x:v>253040.11095354846</x:v>
      </x:c>
      <x:c r="AH2693" s="80" t="n">
        <x:f>2*'Inputs'!$B$8*'Inputs'!$C$51</x:f>
        <x:v>10000</x:v>
      </x:c>
      <x:c r="AI2693" s="81" t="n">
        <x:f>IF(AH2693&gt;0,(AE2693+AF2693)/AH2693*365,0)</x:f>
        <x:v>4203.842515022207</x:v>
      </x:c>
      <x:c r="AJ2693" s="81" t="n">
        <x:f>IF('Inputs'!$B$51&gt;0,AG2693/('Inputs'!$B$19*'Inputs'!$B$51)*365,0)</x:f>
        <x:v>9235.96404980452</x:v>
      </x:c>
      <x:c r="AK2693" s="81" t="n">
        <x:f>W2693/MAX($W$2559:W2693)-1</x:f>
        <x:v>-0.6158354883805934</x:v>
      </x:c>
      <x:c r="AL2693" s="83" t="n">
        <x:f>'Inputs'!$B$51</x:f>
        <x:v>1</x:v>
      </x:c>
      <x:c r="AM2693" s="83" t="n">
        <x:f>'Inputs'!$C$51</x:f>
        <x:v>2</x:v>
      </x:c>
      <x:c r="AN2693" s="83" t="n">
        <x:f>'Inputs'!$D$51</x:f>
        <x:v>3</x:v>
      </x:c>
      <x:c r="AO2693" s="81" t="n">
        <x:f>'Inputs'!$E$51</x:f>
        <x:v>0.1</x:v>
      </x:c>
    </x:row>
    <x:row r="2694">
      <x:c r="A2694" s="59" t="str">
        <x:v>High demand</x:v>
      </x:c>
      <x:c r="B2694" s="59" t="n">
        <x:v>136</x:v>
      </x:c>
      <x:c r="C2694" s="78" t="n">
        <x:f>(('Inputs'!$B$29*(3*136*'Inputs'!$B$12-136^2)/(2*'Inputs'!$B$12^2))-('Inputs'!$B$29*(3*135*'Inputs'!$B$12-135^2)/(2*'Inputs'!$B$12^2)))*'Inputs'!$B$51</x:f>
        <x:v>667934.1808969676</x:v>
      </x:c>
      <x:c r="D2694" s="78" t="n">
        <x:f>IF('Inputs'!$C$51&gt;0,('Inputs'!$B$30*(3*136*'Inputs'!$B$12-136^2)/(2*'Inputs'!$B$12^2))-('Inputs'!$B$30*(3*135*'Inputs'!$B$12-135^2)/(2*'Inputs'!$B$12^2)),0)</x:f>
        <x:v>286257.50609871</x:v>
      </x:c>
      <x:c r="E2694" s="78" t="n">
        <x:f>C2694+D2694</x:f>
        <x:v>954191.6869956776</x:v>
      </x:c>
      <x:c r="F2694" s="78" t="n">
        <x:f>'Inputs'!$B$13*E2694+(1-'Inputs'!$B$13)/'Inputs'!$B$14*SUM(E2639:E2694)</x:f>
        <x:v>964409.3638581334</x:v>
      </x:c>
      <x:c r="G2694" s="78" t="n">
        <x:f>F2694*'Inputs'!$F$51</x:f>
        <x:v>241102.34096453336</x:v>
      </x:c>
      <x:c r="H2694" s="78" t="n">
        <x:f>U2693</x:f>
        <x:v>566063.9837510578</x:v>
      </x:c>
      <x:c r="I2694" s="78" t="n">
        <x:f>V2693</x:f>
        <x:v>214343.28808657048</x:v>
      </x:c>
      <x:c r="J2694" s="79" t="n">
        <x:f>IF(H2694&gt;0,I2694/H2694,0)</x:f>
        <x:v>0.3786555835370615</x:v>
      </x:c>
      <x:c r="K2694" s="80" t="n">
        <x:f>(H2694*J2694+I2694)*'Inputs'!$D$51*(1+'Inputs'!$G$51)^(B2694/30)</x:f>
        <x:v>1604424.5356112476</x:v>
      </x:c>
      <x:c r="L2694" s="80" t="n">
        <x:f>MAX(0,K2694*'Inputs'!$E$51)</x:f>
        <x:v>160442.45356112477</x:v>
      </x:c>
      <x:c r="M2694" s="80" t="n">
        <x:f>MAX(0,-K2694*'Inputs'!$E$51)</x:f>
        <x:v>0</x:v>
      </x:c>
      <x:c r="N2694" s="78" t="n">
        <x:f>H2694*(L2694*(1-'Inputs'!$B$15))/(I2694+L2694*(1-'Inputs'!$B$15))</x:f>
        <x:v>240935.1255232945</x:v>
      </x:c>
      <x:c r="O2694" s="78" t="n">
        <x:f>H2694-N2694</x:f>
        <x:v>325128.85822776327</x:v>
      </x:c>
      <x:c r="P2694" s="78" t="n">
        <x:f>I2694+L2694*(1-'Inputs'!$B$17)</x:f>
        <x:v>374140.0979713929</x:v>
      </x:c>
      <x:c r="Q2694" s="78" t="n">
        <x:f>IF(J2694&gt;0,M2694/J2694,0)</x:f>
        <x:v>0</x:v>
      </x:c>
      <x:c r="R2694" s="78" t="n">
        <x:f>IF(B2694='Inputs'!$H$51,'Inputs'!$B$27*'Inputs'!$I$51,0)</x:f>
        <x:v>0</x:v>
      </x:c>
      <x:c r="S2694" s="78" t="n">
        <x:f>Q2694+G2694+R2694</x:f>
        <x:v>241102.34096453336</x:v>
      </x:c>
      <x:c r="T2694" s="78" t="n">
        <x:f>P2694*(S2694*(1-'Inputs'!$B$15))/(O2694+S2694*(1-'Inputs'!$B$15))</x:f>
        <x:v>158390.913930921</x:v>
      </x:c>
      <x:c r="U2694" s="78" t="n">
        <x:f>O2694+S2694*(1-'Inputs'!$B$17)</x:f>
        <x:v>565260.9684439484</x:v>
      </x:c>
      <x:c r="V2694" s="78" t="n">
        <x:f>P2694-T2694</x:f>
        <x:v>215749.1840404719</x:v>
      </x:c>
      <x:c r="W2694" s="79" t="n">
        <x:f>IF(U2694&gt;0,V2694/U2694,0)</x:f>
        <x:v>0.38168066801850253</x:v>
      </x:c>
      <x:c r="X2694" s="80" t="n">
        <x:f>W2694*('Inputs'!$B$6-AC2694)</x:f>
        <x:v>381219534.63835394</x:v>
      </x:c>
      <x:c r="Y2694" s="80" t="n">
        <x:f>2*V2694</x:f>
        <x:v>431498.3680809438</x:v>
      </x:c>
      <x:c r="Z2694" s="80" t="n">
        <x:f>K2694*'Inputs'!$B$16+(G2694+R2694)*J2694*'Inputs'!$B$16</x:f>
        <x:v>10174.315699327946</x:v>
      </x:c>
      <x:c r="AA2694" s="80" t="n">
        <x:f>K2694*(1+'Inputs'!$E$51)/2*'Inputs'!$B$17</x:f>
        <x:v>3551.0402196627215</x:v>
      </x:c>
      <x:c r="AB2694" s="78" t="n">
        <x:f>(IF(J2694&gt;0,K2694*(1-'Inputs'!$E$51)/2/J2694,0)+G2694+R2694)*'Inputs'!$B$17</x:f>
        <x:v>8643.157465077962</x:v>
      </x:c>
      <x:c r="AC2694" s="78" t="n">
        <x:f>AC2693+AB2694</x:f>
        <x:v>1208165.4083833315</x:v>
      </x:c>
      <x:c r="AD2694" s="80" t="n">
        <x:f>Z2694/(1+'Inputs'!$C$51)</x:f>
        <x:v>3391.4385664426486</x:v>
      </x:c>
      <x:c r="AE2694" s="80" t="n">
        <x:f>Z2694-AD2694</x:f>
        <x:v>6782.877132885298</x:v>
      </x:c>
      <x:c r="AF2694" s="80" t="n">
        <x:f>D2694*W2694</x:f>
        <x:v>109258.9561530662</x:v>
      </x:c>
      <x:c r="AG2694" s="80" t="n">
        <x:f>C2694*W2694</x:f>
        <x:v>254937.56435714592</x:v>
      </x:c>
      <x:c r="AH2694" s="80" t="n">
        <x:f>2*'Inputs'!$B$8*'Inputs'!$C$51</x:f>
        <x:v>10000</x:v>
      </x:c>
      <x:c r="AI2694" s="81" t="n">
        <x:f>IF(AH2694&gt;0,(AE2694+AF2694)/AH2694*365,0)</x:f>
        <x:v>4235.52691493723</x:v>
      </x:c>
      <x:c r="AJ2694" s="81" t="n">
        <x:f>IF('Inputs'!$B$51&gt;0,AG2694/('Inputs'!$B$19*'Inputs'!$B$51)*365,0)</x:f>
        <x:v>9305.221099035825</x:v>
      </x:c>
      <x:c r="AK2694" s="81" t="n">
        <x:f>W2694/MAX($W$2559:W2694)-1</x:f>
        <x:v>-0.6127663929996019</x:v>
      </x:c>
      <x:c r="AL2694" s="83" t="n">
        <x:f>'Inputs'!$B$51</x:f>
        <x:v>1</x:v>
      </x:c>
      <x:c r="AM2694" s="83" t="n">
        <x:f>'Inputs'!$C$51</x:f>
        <x:v>2</x:v>
      </x:c>
      <x:c r="AN2694" s="83" t="n">
        <x:f>'Inputs'!$D$51</x:f>
        <x:v>3</x:v>
      </x:c>
      <x:c r="AO2694" s="81" t="n">
        <x:f>'Inputs'!$E$51</x:f>
        <x:v>0.1</x:v>
      </x:c>
    </x:row>
    <x:row r="2695">
      <x:c r="A2695" s="59" t="str">
        <x:v>High demand</x:v>
      </x:c>
      <x:c r="B2695" s="59" t="n">
        <x:v>137</x:v>
      </x:c>
      <x:c r="C2695" s="78" t="n">
        <x:f>(('Inputs'!$B$29*(3*137*'Inputs'!$B$12-137^2)/(2*'Inputs'!$B$12^2))-('Inputs'!$B$29*(3*136*'Inputs'!$B$12-136^2)/(2*'Inputs'!$B$12^2)))*'Inputs'!$B$51</x:f>
        <x:v>667609.0729968101</x:v>
      </x:c>
      <x:c r="D2695" s="78" t="n">
        <x:f>IF('Inputs'!$C$51&gt;0,('Inputs'!$B$30*(3*137*'Inputs'!$B$12-137^2)/(2*'Inputs'!$B$12^2))-('Inputs'!$B$30*(3*136*'Inputs'!$B$12-136^2)/(2*'Inputs'!$B$12^2)),0)</x:f>
        <x:v>286118.17414148897</x:v>
      </x:c>
      <x:c r="E2695" s="78" t="n">
        <x:f>C2695+D2695</x:f>
        <x:v>953727.247138299</x:v>
      </x:c>
      <x:c r="F2695" s="78" t="n">
        <x:f>'Inputs'!$B$13*E2695+(1-'Inputs'!$B$13)/'Inputs'!$B$14*SUM(E2640:E2695)</x:f>
        <x:v>963944.9240007505</x:v>
      </x:c>
      <x:c r="G2695" s="78" t="n">
        <x:f>F2695*'Inputs'!$F$51</x:f>
        <x:v>240986.23100018763</x:v>
      </x:c>
      <x:c r="H2695" s="78" t="n">
        <x:f>U2694</x:f>
        <x:v>565260.9684439484</x:v>
      </x:c>
      <x:c r="I2695" s="78" t="n">
        <x:f>V2694</x:f>
        <x:v>215749.1840404719</x:v>
      </x:c>
      <x:c r="J2695" s="79" t="n">
        <x:f>IF(H2695&gt;0,I2695/H2695,0)</x:f>
        <x:v>0.38168066801850253</x:v>
      </x:c>
      <x:c r="K2695" s="80" t="n">
        <x:f>(H2695*J2695+I2695)*'Inputs'!$D$51*(1+'Inputs'!$G$51)^(B2695/30)</x:f>
        <x:v>1617576.6829886225</x:v>
      </x:c>
      <x:c r="L2695" s="80" t="n">
        <x:f>MAX(0,K2695*'Inputs'!$E$51)</x:f>
        <x:v>161757.66829886226</x:v>
      </x:c>
      <x:c r="M2695" s="80" t="n">
        <x:f>MAX(0,-K2695*'Inputs'!$E$51)</x:f>
        <x:v>0</x:v>
      </x:c>
      <x:c r="N2695" s="78" t="n">
        <x:f>H2695*(L2695*(1-'Inputs'!$B$15))/(I2695+L2695*(1-'Inputs'!$B$15))</x:f>
        <x:v>240818.105585565</x:v>
      </x:c>
      <x:c r="O2695" s="78" t="n">
        <x:f>H2695-N2695</x:f>
        <x:v>324442.86285838345</x:v>
      </x:c>
      <x:c r="P2695" s="78" t="n">
        <x:f>I2695+L2695*(1-'Inputs'!$B$17)</x:f>
        <x:v>376855.91604839306</x:v>
      </x:c>
      <x:c r="Q2695" s="78" t="n">
        <x:f>IF(J2695&gt;0,M2695/J2695,0)</x:f>
        <x:v>0</x:v>
      </x:c>
      <x:c r="R2695" s="78" t="n">
        <x:f>IF(B2695='Inputs'!$H$51,'Inputs'!$B$27*'Inputs'!$I$51,0)</x:f>
        <x:v>0</x:v>
      </x:c>
      <x:c r="S2695" s="78" t="n">
        <x:f>Q2695+G2695+R2695</x:f>
        <x:v>240986.23100018763</x:v>
      </x:c>
      <x:c r="T2695" s="78" t="n">
        <x:f>P2695*(S2695*(1-'Inputs'!$B$15))/(O2695+S2695*(1-'Inputs'!$B$15))</x:f>
        <x:v>159690.66584625727</x:v>
      </x:c>
      <x:c r="U2695" s="78" t="n">
        <x:f>O2695+S2695*(1-'Inputs'!$B$17)</x:f>
        <x:v>564459.3303535401</x:v>
      </x:c>
      <x:c r="V2695" s="78" t="n">
        <x:f>P2695-T2695</x:f>
        <x:v>217165.2502021358</x:v>
      </x:c>
      <x:c r="W2695" s="79" t="n">
        <x:f>IF(U2695&gt;0,V2695/U2695,0)</x:f>
        <x:v>0.3847314386071319</x:v>
      </x:c>
      <x:c r="X2695" s="80" t="n">
        <x:f>W2695*('Inputs'!$B$6-AC2695)</x:f>
        <x:v>384263293.6664925</x:v>
      </x:c>
      <x:c r="Y2695" s="80" t="n">
        <x:f>2*V2695</x:f>
        <x:v>434330.5004042716</x:v>
      </x:c>
      <x:c r="Z2695" s="80" t="n">
        <x:f>K2695*'Inputs'!$B$16+(G2695+R2695)*J2695*'Inputs'!$B$16</x:f>
        <x:v>10257.338811720212</x:v>
      </x:c>
      <x:c r="AA2695" s="80" t="n">
        <x:f>K2695*(1+'Inputs'!$E$51)/2*'Inputs'!$B$17</x:f>
        <x:v>3580.149600176026</x:v>
      </x:c>
      <x:c r="AB2695" s="78" t="n">
        <x:f>(IF(J2695&gt;0,K2695*(1-'Inputs'!$E$51)/2/J2695,0)+G2695+R2695)*'Inputs'!$B$17</x:f>
        <x:v>8644.276664007415</x:v>
      </x:c>
      <x:c r="AC2695" s="78" t="n">
        <x:f>AC2694+AB2695</x:f>
        <x:v>1216809.685047339</x:v>
      </x:c>
      <x:c r="AD2695" s="80" t="n">
        <x:f>Z2695/(1+'Inputs'!$C$51)</x:f>
        <x:v>3419.1129372400706</x:v>
      </x:c>
      <x:c r="AE2695" s="80" t="n">
        <x:f>Z2695-AD2695</x:f>
        <x:v>6838.225874480142</x:v>
      </x:c>
      <x:c r="AF2695" s="80" t="n">
        <x:f>D2695*W2695</x:f>
        <x:v>110078.65674910093</x:v>
      </x:c>
      <x:c r="AG2695" s="80" t="n">
        <x:f>C2695*W2695</x:f>
        <x:v>256850.19908123647</x:v>
      </x:c>
      <x:c r="AH2695" s="80" t="n">
        <x:f>2*'Inputs'!$B$8*'Inputs'!$C$51</x:f>
        <x:v>10000</x:v>
      </x:c>
      <x:c r="AI2695" s="81" t="n">
        <x:f>IF(AH2695&gt;0,(AE2695+AF2695)/AH2695*365,0)</x:f>
        <x:v>4267.466215760709</x:v>
      </x:c>
      <x:c r="AJ2695" s="81" t="n">
        <x:f>IF('Inputs'!$B$51&gt;0,AG2695/('Inputs'!$B$19*'Inputs'!$B$51)*365,0)</x:f>
        <x:v>9375.03226646513</x:v>
      </x:c>
      <x:c r="AK2695" s="81" t="n">
        <x:f>W2695/MAX($W$2559:W2695)-1</x:f>
        <x:v>-0.609671237813203</x:v>
      </x:c>
      <x:c r="AL2695" s="83" t="n">
        <x:f>'Inputs'!$B$51</x:f>
        <x:v>1</x:v>
      </x:c>
      <x:c r="AM2695" s="83" t="n">
        <x:f>'Inputs'!$C$51</x:f>
        <x:v>2</x:v>
      </x:c>
      <x:c r="AN2695" s="83" t="n">
        <x:f>'Inputs'!$D$51</x:f>
        <x:v>3</x:v>
      </x:c>
      <x:c r="AO2695" s="81" t="n">
        <x:f>'Inputs'!$E$51</x:f>
        <x:v>0.1</x:v>
      </x:c>
    </x:row>
    <x:row r="2696">
      <x:c r="A2696" s="59" t="str">
        <x:v>High demand</x:v>
      </x:c>
      <x:c r="B2696" s="59" t="n">
        <x:v>138</x:v>
      </x:c>
      <x:c r="C2696" s="78" t="n">
        <x:f>(('Inputs'!$B$29*(3*138*'Inputs'!$B$12-138^2)/(2*'Inputs'!$B$12^2))-('Inputs'!$B$29*(3*137*'Inputs'!$B$12-137^2)/(2*'Inputs'!$B$12^2)))*'Inputs'!$B$51</x:f>
        <x:v>667283.9650966525</x:v>
      </x:c>
      <x:c r="D2696" s="78" t="n">
        <x:f>IF('Inputs'!$C$51&gt;0,('Inputs'!$B$30*(3*138*'Inputs'!$B$12-138^2)/(2*'Inputs'!$B$12^2))-('Inputs'!$B$30*(3*137*'Inputs'!$B$12-137^2)/(2*'Inputs'!$B$12^2)),0)</x:f>
        <x:v>285978.8421842754</x:v>
      </x:c>
      <x:c r="E2696" s="78" t="n">
        <x:f>C2696+D2696</x:f>
        <x:v>953262.8072809279</x:v>
      </x:c>
      <x:c r="F2696" s="78" t="n">
        <x:f>'Inputs'!$B$13*E2696+(1-'Inputs'!$B$13)/'Inputs'!$B$14*SUM(E2641:E2696)</x:f>
        <x:v>963480.4841433691</x:v>
      </x:c>
      <x:c r="G2696" s="78" t="n">
        <x:f>F2696*'Inputs'!$F$51</x:f>
        <x:v>240870.12103584228</x:v>
      </x:c>
      <x:c r="H2696" s="78" t="n">
        <x:f>U2695</x:f>
        <x:v>564459.3303535401</x:v>
      </x:c>
      <x:c r="I2696" s="78" t="n">
        <x:f>V2695</x:f>
        <x:v>217165.2502021358</x:v>
      </x:c>
      <x:c r="J2696" s="79" t="n">
        <x:f>IF(H2696&gt;0,I2696/H2696,0)</x:f>
        <x:v>0.3847314386071319</x:v>
      </x:c>
      <x:c r="K2696" s="80" t="n">
        <x:f>(H2696*J2696+I2696)*'Inputs'!$D$51*(1+'Inputs'!$G$51)^(B2696/30)</x:f>
        <x:v>1630843.7694020856</x:v>
      </x:c>
      <x:c r="L2696" s="80" t="n">
        <x:f>MAX(0,K2696*'Inputs'!$E$51)</x:f>
        <x:v>163084.37694020857</x:v>
      </x:c>
      <x:c r="M2696" s="80" t="n">
        <x:f>MAX(0,-K2696*'Inputs'!$E$51)</x:f>
        <x:v>0</x:v>
      </x:c>
      <x:c r="N2696" s="78" t="n">
        <x:f>H2696*(L2696*(1-'Inputs'!$B$15))/(I2696+L2696*(1-'Inputs'!$B$15))</x:f>
        <x:v>240701.0883214394</x:v>
      </x:c>
      <x:c r="O2696" s="78" t="n">
        <x:f>H2696-N2696</x:f>
        <x:v>323758.24203210074</x:v>
      </x:c>
      <x:c r="P2696" s="78" t="n">
        <x:f>I2696+L2696*(1-'Inputs'!$B$17)</x:f>
        <x:v>379593.35198363126</x:v>
      </x:c>
      <x:c r="Q2696" s="78" t="n">
        <x:f>IF(J2696&gt;0,M2696/J2696,0)</x:f>
        <x:v>0</x:v>
      </x:c>
      <x:c r="R2696" s="78" t="n">
        <x:f>IF(B2696='Inputs'!$H$51,'Inputs'!$B$27*'Inputs'!$I$51,0)</x:f>
        <x:v>0</x:v>
      </x:c>
      <x:c r="S2696" s="78" t="n">
        <x:f>Q2696+G2696+R2696</x:f>
        <x:v>240870.12103584228</x:v>
      </x:c>
      <x:c r="T2696" s="78" t="n">
        <x:f>P2696*(S2696*(1-'Inputs'!$B$15))/(O2696+S2696*(1-'Inputs'!$B$15))</x:f>
        <x:v>161001.78597677805</x:v>
      </x:c>
      <x:c r="U2696" s="78" t="n">
        <x:f>O2696+S2696*(1-'Inputs'!$B$17)</x:f>
        <x:v>563659.0668062293</x:v>
      </x:c>
      <x:c r="V2696" s="78" t="n">
        <x:f>P2696-T2696</x:f>
        <x:v>218591.56600685322</x:v>
      </x:c>
      <x:c r="W2696" s="79" t="n">
        <x:f>IF(U2696&gt;0,V2696/U2696,0)</x:f>
        <x:v>0.38780812530067765</x:v>
      </x:c>
      <x:c r="X2696" s="80" t="n">
        <x:f>W2696*('Inputs'!$B$6-AC2696)</x:f>
        <x:v>387332883.86172694</x:v>
      </x:c>
      <x:c r="Y2696" s="80" t="n">
        <x:f>2*V2696</x:f>
        <x:v>437183.13201370643</x:v>
      </x:c>
      <x:c r="Z2696" s="80" t="n">
        <x:f>K2696*'Inputs'!$B$16+(G2696+R2696)*J2696*'Inputs'!$B$16</x:f>
        <x:v>10341.084465514075</x:v>
      </x:c>
      <x:c r="AA2696" s="80" t="n">
        <x:f>K2696*(1+'Inputs'!$E$51)/2*'Inputs'!$B$17</x:f>
        <x:v>3609.5133729221216</x:v>
      </x:c>
      <x:c r="AB2696" s="78" t="n">
        <x:f>(IF(J2696&gt;0,K2696*(1-'Inputs'!$E$51)/2/J2696,0)+G2696+R2696)*'Inputs'!$B$17</x:f>
        <x:v>8645.399428381828</x:v>
      </x:c>
      <x:c r="AC2696" s="78" t="n">
        <x:f>AC2695+AB2696</x:f>
        <x:v>1225455.0844757208</x:v>
      </x:c>
      <x:c r="AD2696" s="80" t="n">
        <x:f>Z2696/(1+'Inputs'!$C$51)</x:f>
        <x:v>3447.0281551713583</x:v>
      </x:c>
      <x:c r="AE2696" s="80" t="n">
        <x:f>Z2696-AD2696</x:f>
        <x:v>6894.056310342718</x:v>
      </x:c>
      <x:c r="AF2696" s="80" t="n">
        <x:f>D2696*W2696</x:f>
        <x:v>110904.91866314219</x:v>
      </x:c>
      <x:c r="AG2696" s="80" t="n">
        <x:f>C2696*W2696</x:f>
        <x:v>258778.14354733564</x:v>
      </x:c>
      <x:c r="AH2696" s="80" t="n">
        <x:f>2*'Inputs'!$B$8*'Inputs'!$C$51</x:f>
        <x:v>10000</x:v>
      </x:c>
      <x:c r="AI2696" s="81" t="n">
        <x:f>IF(AH2696&gt;0,(AE2696+AF2696)/AH2696*365,0)</x:f>
        <x:v>4299.6625865321985</x:v>
      </x:c>
      <x:c r="AJ2696" s="81" t="n">
        <x:f>IF('Inputs'!$B$51&gt;0,AG2696/('Inputs'!$B$19*'Inputs'!$B$51)*365,0)</x:f>
        <x:v>9445.40223947775</x:v>
      </x:c>
      <x:c r="AK2696" s="81" t="n">
        <x:f>W2696/MAX($W$2559:W2696)-1</x:f>
        <x:v>-0.6065497894775118</x:v>
      </x:c>
      <x:c r="AL2696" s="83" t="n">
        <x:f>'Inputs'!$B$51</x:f>
        <x:v>1</x:v>
      </x:c>
      <x:c r="AM2696" s="83" t="n">
        <x:f>'Inputs'!$C$51</x:f>
        <x:v>2</x:v>
      </x:c>
      <x:c r="AN2696" s="83" t="n">
        <x:f>'Inputs'!$D$51</x:f>
        <x:v>3</x:v>
      </x:c>
      <x:c r="AO2696" s="81" t="n">
        <x:f>'Inputs'!$E$51</x:f>
        <x:v>0.1</x:v>
      </x:c>
    </x:row>
    <x:row r="2697">
      <x:c r="A2697" s="59" t="str">
        <x:v>High demand</x:v>
      </x:c>
      <x:c r="B2697" s="59" t="n">
        <x:v>139</x:v>
      </x:c>
      <x:c r="C2697" s="78" t="n">
        <x:f>(('Inputs'!$B$29*(3*139*'Inputs'!$B$12-139^2)/(2*'Inputs'!$B$12^2))-('Inputs'!$B$29*(3*138*'Inputs'!$B$12-138^2)/(2*'Inputs'!$B$12^2)))*'Inputs'!$B$51</x:f>
        <x:v>666958.8571964651</x:v>
      </x:c>
      <x:c r="D2697" s="78" t="n">
        <x:f>IF('Inputs'!$C$51&gt;0,('Inputs'!$B$30*(3*139*'Inputs'!$B$12-139^2)/(2*'Inputs'!$B$12^2))-('Inputs'!$B$30*(3*138*'Inputs'!$B$12-138^2)/(2*'Inputs'!$B$12^2)),0)</x:f>
        <x:v>285839.51022705436</x:v>
      </x:c>
      <x:c r="E2697" s="78" t="n">
        <x:f>C2697+D2697</x:f>
        <x:v>952798.3674235195</x:v>
      </x:c>
      <x:c r="F2697" s="78" t="n">
        <x:f>'Inputs'!$B$13*E2697+(1-'Inputs'!$B$13)/'Inputs'!$B$14*SUM(E2642:E2697)</x:f>
        <x:v>963016.04428598</x:v>
      </x:c>
      <x:c r="G2697" s="78" t="n">
        <x:f>F2697*'Inputs'!$F$51</x:f>
        <x:v>240754.011071495</x:v>
      </x:c>
      <x:c r="H2697" s="78" t="n">
        <x:f>U2696</x:f>
        <x:v>563659.0668062293</x:v>
      </x:c>
      <x:c r="I2697" s="78" t="n">
        <x:f>V2696</x:f>
        <x:v>218591.56600685322</x:v>
      </x:c>
      <x:c r="J2697" s="79" t="n">
        <x:f>IF(H2697&gt;0,I2697/H2697,0)</x:f>
        <x:v>0.38780812530067765</x:v>
      </x:c>
      <x:c r="K2697" s="80" t="n">
        <x:f>(H2697*J2697+I2697)*'Inputs'!$D$51*(1+'Inputs'!$G$51)^(B2697/30)</x:f>
        <x:v>1644226.855989929</x:v>
      </x:c>
      <x:c r="L2697" s="80" t="n">
        <x:f>MAX(0,K2697*'Inputs'!$E$51)</x:f>
        <x:v>164422.68559899292</x:v>
      </x:c>
      <x:c r="M2697" s="80" t="n">
        <x:f>MAX(0,-K2697*'Inputs'!$E$51)</x:f>
        <x:v>0</x:v>
      </x:c>
      <x:c r="N2697" s="78" t="n">
        <x:f>H2697*(L2697*(1-'Inputs'!$B$15))/(I2697+L2697*(1-'Inputs'!$B$15))</x:f>
        <x:v>240584.07372582043</x:v>
      </x:c>
      <x:c r="O2697" s="78" t="n">
        <x:f>H2697-N2697</x:f>
        <x:v>323074.9930804089</x:v>
      </x:c>
      <x:c r="P2697" s="78" t="n">
        <x:f>I2697+L2697*(1-'Inputs'!$B$17)</x:f>
        <x:v>382352.5908992103</x:v>
      </x:c>
      <x:c r="Q2697" s="78" t="n">
        <x:f>IF(J2697&gt;0,M2697/J2697,0)</x:f>
        <x:v>0</x:v>
      </x:c>
      <x:c r="R2697" s="78" t="n">
        <x:f>IF(B2697='Inputs'!$H$51,'Inputs'!$B$27*'Inputs'!$I$51,0)</x:f>
        <x:v>0</x:v>
      </x:c>
      <x:c r="S2697" s="78" t="n">
        <x:f>Q2697+G2697+R2697</x:f>
        <x:v>240754.011071495</x:v>
      </x:c>
      <x:c r="T2697" s="78" t="n">
        <x:f>P2697*(S2697*(1-'Inputs'!$B$15))/(O2697+S2697*(1-'Inputs'!$B$15))</x:f>
        <x:v>162324.37934872342</x:v>
      </x:c>
      <x:c r="U2697" s="78" t="n">
        <x:f>O2697+S2697*(1-'Inputs'!$B$17)</x:f>
        <x:v>562860.1751335076</x:v>
      </x:c>
      <x:c r="V2697" s="78" t="n">
        <x:f>P2697-T2697</x:f>
        <x:v>220028.21155048689</x:v>
      </x:c>
      <x:c r="W2697" s="79" t="n">
        <x:f>IF(U2697&gt;0,V2697/U2697,0)</x:f>
        <x:v>0.3909109602545558</x:v>
      </x:c>
      <x:c r="X2697" s="80" t="n">
        <x:f>W2697*('Inputs'!$B$6-AC2697)</x:f>
        <x:v>390428536.409047</x:v>
      </x:c>
      <x:c r="Y2697" s="80" t="n">
        <x:f>2*V2697</x:f>
        <x:v>440056.42310097377</x:v>
      </x:c>
      <x:c r="Z2697" s="80" t="n">
        <x:f>K2697*'Inputs'!$B$16+(G2697+R2697)*J2697*'Inputs'!$B$16</x:f>
        <x:v>10425.559306093104</x:v>
      </x:c>
      <x:c r="AA2697" s="80" t="n">
        <x:f>K2697*(1+'Inputs'!$E$51)/2*'Inputs'!$B$17</x:f>
        <x:v>3639.133886496825</x:v>
      </x:c>
      <x:c r="AB2697" s="78" t="n">
        <x:f>(IF(J2697&gt;0,K2697*(1-'Inputs'!$E$51)/2/J2697,0)+G2697+R2697)*'Inputs'!$B$17</x:f>
        <x:v>8646.52575967151</x:v>
      </x:c>
      <x:c r="AC2697" s="78" t="n">
        <x:f>AC2696+AB2697</x:f>
        <x:v>1234101.6102353923</x:v>
      </x:c>
      <x:c r="AD2697" s="80" t="n">
        <x:f>Z2697/(1+'Inputs'!$C$51)</x:f>
        <x:v>3475.186435364368</x:v>
      </x:c>
      <x:c r="AE2697" s="80" t="n">
        <x:f>Z2697-AD2697</x:f>
        <x:v>6950.3728707287355</x:v>
      </x:c>
      <x:c r="AF2697" s="80" t="n">
        <x:f>D2697*W2697</x:f>
        <x:v>111737.79742154974</x:v>
      </x:c>
      <x:c r="AG2697" s="80" t="n">
        <x:f>C2697*W2697</x:f>
        <x:v>260721.52731695134</x:v>
      </x:c>
      <x:c r="AH2697" s="80" t="n">
        <x:f>2*'Inputs'!$B$8*'Inputs'!$C$51</x:f>
        <x:v>10000</x:v>
      </x:c>
      <x:c r="AI2697" s="81" t="n">
        <x:f>IF(AH2697&gt;0,(AE2697+AF2697)/AH2697*365,0)</x:f>
        <x:v>4332.118215668164</x:v>
      </x:c>
      <x:c r="AJ2697" s="81" t="n">
        <x:f>IF('Inputs'!$B$51&gt;0,AG2697/('Inputs'!$B$19*'Inputs'!$B$51)*365,0)</x:f>
        <x:v>9516.335747068724</x:v>
      </x:c>
      <x:c r="AK2697" s="81" t="n">
        <x:f>W2697/MAX($W$2559:W2697)-1</x:f>
        <x:v>-0.6034018124595641</x:v>
      </x:c>
      <x:c r="AL2697" s="83" t="n">
        <x:f>'Inputs'!$B$51</x:f>
        <x:v>1</x:v>
      </x:c>
      <x:c r="AM2697" s="83" t="n">
        <x:f>'Inputs'!$C$51</x:f>
        <x:v>2</x:v>
      </x:c>
      <x:c r="AN2697" s="83" t="n">
        <x:f>'Inputs'!$D$51</x:f>
        <x:v>3</x:v>
      </x:c>
      <x:c r="AO2697" s="81" t="n">
        <x:f>'Inputs'!$E$51</x:f>
        <x:v>0.1</x:v>
      </x:c>
    </x:row>
    <x:row r="2698">
      <x:c r="A2698" s="59" t="str">
        <x:v>High demand</x:v>
      </x:c>
      <x:c r="B2698" s="59" t="n">
        <x:v>140</x:v>
      </x:c>
      <x:c r="C2698" s="78" t="n">
        <x:f>(('Inputs'!$B$29*(3*140*'Inputs'!$B$12-140^2)/(2*'Inputs'!$B$12^2))-('Inputs'!$B$29*(3*139*'Inputs'!$B$12-139^2)/(2*'Inputs'!$B$12^2)))*'Inputs'!$B$51</x:f>
        <x:v>666633.7492963076</x:v>
      </x:c>
      <x:c r="D2698" s="78" t="n">
        <x:f>IF('Inputs'!$C$51&gt;0,('Inputs'!$B$30*(3*140*'Inputs'!$B$12-140^2)/(2*'Inputs'!$B$12^2))-('Inputs'!$B$30*(3*139*'Inputs'!$B$12-139^2)/(2*'Inputs'!$B$12^2)),0)</x:f>
        <x:v>285700.1782698482</x:v>
      </x:c>
      <x:c r="E2698" s="78" t="n">
        <x:f>C2698+D2698</x:f>
        <x:v>952333.9275661558</x:v>
      </x:c>
      <x:c r="F2698" s="78" t="n">
        <x:f>'Inputs'!$B$13*E2698+(1-'Inputs'!$B$13)/'Inputs'!$B$14*SUM(E2643:E2698)</x:f>
        <x:v>962551.6044286</x:v>
      </x:c>
      <x:c r="G2698" s="78" t="n">
        <x:f>F2698*'Inputs'!$F$51</x:f>
        <x:v>240637.90110715</x:v>
      </x:c>
      <x:c r="H2698" s="78" t="n">
        <x:f>U2697</x:f>
        <x:v>562860.1751335076</x:v>
      </x:c>
      <x:c r="I2698" s="78" t="n">
        <x:f>V2697</x:f>
        <x:v>220028.21155048689</x:v>
      </x:c>
      <x:c r="J2698" s="79" t="n">
        <x:f>IF(H2698&gt;0,I2698/H2698,0)</x:f>
        <x:v>0.3909109602545558</x:v>
      </x:c>
      <x:c r="K2698" s="80" t="n">
        <x:f>(H2698*J2698+I2698)*'Inputs'!$D$51*(1+'Inputs'!$G$51)^(B2698/30)</x:f>
        <x:v>1657727.0141645523</x:v>
      </x:c>
      <x:c r="L2698" s="80" t="n">
        <x:f>MAX(0,K2698*'Inputs'!$E$51)</x:f>
        <x:v>165772.70141645524</x:v>
      </x:c>
      <x:c r="M2698" s="80" t="n">
        <x:f>MAX(0,-K2698*'Inputs'!$E$51)</x:f>
        <x:v>0</x:v>
      </x:c>
      <x:c r="N2698" s="78" t="n">
        <x:f>H2698*(L2698*(1-'Inputs'!$B$15))/(I2698+L2698*(1-'Inputs'!$B$15))</x:f>
        <x:v>240467.06179361953</x:v>
      </x:c>
      <x:c r="O2698" s="78" t="n">
        <x:f>H2698-N2698</x:f>
        <x:v>322393.11333988805</x:v>
      </x:c>
      <x:c r="P2698" s="78" t="n">
        <x:f>I2698+L2698*(1-'Inputs'!$B$17)</x:f>
        <x:v>385133.81960108114</x:v>
      </x:c>
      <x:c r="Q2698" s="78" t="n">
        <x:f>IF(J2698&gt;0,M2698/J2698,0)</x:f>
        <x:v>0</x:v>
      </x:c>
      <x:c r="R2698" s="78" t="n">
        <x:f>IF(B2698='Inputs'!$H$51,'Inputs'!$B$27*'Inputs'!$I$51,0)</x:f>
        <x:v>0</x:v>
      </x:c>
      <x:c r="S2698" s="78" t="n">
        <x:f>Q2698+G2698+R2698</x:f>
        <x:v>240637.90110715</x:v>
      </x:c>
      <x:c r="T2698" s="78" t="n">
        <x:f>P2698*(S2698*(1-'Inputs'!$B$15))/(O2698+S2698*(1-'Inputs'!$B$15))</x:f>
        <x:v>163658.55200582193</x:v>
      </x:c>
      <x:c r="U2698" s="78" t="n">
        <x:f>O2698+S2698*(1-'Inputs'!$B$17)</x:f>
        <x:v>562062.652671959</x:v>
      </x:c>
      <x:c r="V2698" s="78" t="n">
        <x:f>P2698-T2698</x:f>
        <x:v>221475.2675952592</x:v>
      </x:c>
      <x:c r="W2698" s="79" t="n">
        <x:f>IF(U2698&gt;0,V2698/U2698,0)</x:f>
        <x:v>0.3940401778029549</x:v>
      </x:c>
      <x:c r="X2698" s="80" t="n">
        <x:f>W2698*('Inputs'!$B$6-AC2698)</x:f>
        <x:v>393550484.66125727</x:v>
      </x:c>
      <x:c r="Y2698" s="80" t="n">
        <x:f>2*V2698</x:f>
        <x:v>442950.5351905184</x:v>
      </x:c>
      <x:c r="Z2698" s="80" t="n">
        <x:f>K2698*'Inputs'!$B$16+(G2698+R2698)*J2698*'Inputs'!$B$16</x:f>
        <x:v>10510.770042959935</x:v>
      </x:c>
      <x:c r="AA2698" s="80" t="n">
        <x:f>K2698*(1+'Inputs'!$E$51)/2*'Inputs'!$B$17</x:f>
        <x:v>3669.0135122354286</x:v>
      </x:c>
      <x:c r="AB2698" s="78" t="n">
        <x:f>(IF(J2698&gt;0,K2698*(1-'Inputs'!$E$51)/2/J2698,0)+G2698+R2698)*'Inputs'!$B$17</x:f>
        <x:v>8647.655659342725</x:v>
      </x:c>
      <x:c r="AC2698" s="78" t="n">
        <x:f>AC2697+AB2698</x:f>
        <x:v>1242749.265894735</x:v>
      </x:c>
      <x:c r="AD2698" s="80" t="n">
        <x:f>Z2698/(1+'Inputs'!$C$51)</x:f>
        <x:v>3503.5900143199783</x:v>
      </x:c>
      <x:c r="AE2698" s="80" t="n">
        <x:f>Z2698-AD2698</x:f>
        <x:v>7007.1800286399575</x:v>
      </x:c>
      <x:c r="AF2698" s="80" t="n">
        <x:f>D2698*W2698</x:f>
        <x:v>112577.34904378692</x:v>
      </x:c>
      <x:c r="AG2698" s="80" t="n">
        <x:f>C2698*W2698</x:f>
        <x:v>262680.4811021675</x:v>
      </x:c>
      <x:c r="AH2698" s="80" t="n">
        <x:f>2*'Inputs'!$B$8*'Inputs'!$C$51</x:f>
        <x:v>10000</x:v>
      </x:c>
      <x:c r="AI2698" s="81" t="n">
        <x:f>IF(AH2698&gt;0,(AE2698+AF2698)/AH2698*365,0)</x:f>
        <x:v>4364.835311143581</x:v>
      </x:c>
      <x:c r="AJ2698" s="81" t="n">
        <x:f>IF('Inputs'!$B$51&gt;0,AG2698/('Inputs'!$B$19*'Inputs'!$B$51)*365,0)</x:f>
        <x:v>9587.837560229114</x:v>
      </x:c>
      <x:c r="AK2698" s="81" t="n">
        <x:f>W2698/MAX($W$2559:W2698)-1</x:f>
        <x:v>-0.600227069015925</x:v>
      </x:c>
      <x:c r="AL2698" s="83" t="n">
        <x:f>'Inputs'!$B$51</x:f>
        <x:v>1</x:v>
      </x:c>
      <x:c r="AM2698" s="83" t="n">
        <x:f>'Inputs'!$C$51</x:f>
        <x:v>2</x:v>
      </x:c>
      <x:c r="AN2698" s="83" t="n">
        <x:f>'Inputs'!$D$51</x:f>
        <x:v>3</x:v>
      </x:c>
      <x:c r="AO2698" s="81" t="n">
        <x:f>'Inputs'!$E$51</x:f>
        <x:v>0.1</x:v>
      </x:c>
    </x:row>
    <x:row r="2699">
      <x:c r="A2699" s="59" t="str">
        <x:v>High demand</x:v>
      </x:c>
      <x:c r="B2699" s="59" t="n">
        <x:v>141</x:v>
      </x:c>
      <x:c r="C2699" s="78" t="n">
        <x:f>(('Inputs'!$B$29*(3*141*'Inputs'!$B$12-141^2)/(2*'Inputs'!$B$12^2))-('Inputs'!$B$29*(3*140*'Inputs'!$B$12-140^2)/(2*'Inputs'!$B$12^2)))*'Inputs'!$B$51</x:f>
        <x:v>666308.6413961351</x:v>
      </x:c>
      <x:c r="D2699" s="78" t="n">
        <x:f>IF('Inputs'!$C$51&gt;0,('Inputs'!$B$30*(3*141*'Inputs'!$B$12-141^2)/(2*'Inputs'!$B$12^2))-('Inputs'!$B$30*(3*140*'Inputs'!$B$12-140^2)/(2*'Inputs'!$B$12^2)),0)</x:f>
        <x:v>285560.8463126272</x:v>
      </x:c>
      <x:c r="E2699" s="78" t="n">
        <x:f>C2699+D2699</x:f>
        <x:v>951869.4877087623</x:v>
      </x:c>
      <x:c r="F2699" s="78" t="n">
        <x:f>'Inputs'!$B$13*E2699+(1-'Inputs'!$B$13)/'Inputs'!$B$14*SUM(E2644:E2699)</x:f>
        <x:v>962087.164571214</x:v>
      </x:c>
      <x:c r="G2699" s="78" t="n">
        <x:f>F2699*'Inputs'!$F$51</x:f>
        <x:v>240521.7911428035</x:v>
      </x:c>
      <x:c r="H2699" s="78" t="n">
        <x:f>U2698</x:f>
        <x:v>562062.652671959</x:v>
      </x:c>
      <x:c r="I2699" s="78" t="n">
        <x:f>V2698</x:f>
        <x:v>221475.2675952592</x:v>
      </x:c>
      <x:c r="J2699" s="79" t="n">
        <x:f>IF(H2699&gt;0,I2699/H2699,0)</x:f>
        <x:v>0.3940401778029549</x:v>
      </x:c>
      <x:c r="K2699" s="80" t="n">
        <x:f>(H2699*J2699+I2699)*'Inputs'!$D$51*(1+'Inputs'!$G$51)^(B2699/30)</x:f>
        <x:v>1671345.325716153</x:v>
      </x:c>
      <x:c r="L2699" s="80" t="n">
        <x:f>MAX(0,K2699*'Inputs'!$E$51)</x:f>
        <x:v>167134.5325716153</x:v>
      </x:c>
      <x:c r="M2699" s="80" t="n">
        <x:f>MAX(0,-K2699*'Inputs'!$E$51)</x:f>
        <x:v>0</x:v>
      </x:c>
      <x:c r="N2699" s="78" t="n">
        <x:f>H2699*(L2699*(1-'Inputs'!$B$15))/(I2699+L2699*(1-'Inputs'!$B$15))</x:f>
        <x:v>240350.0525197598</x:v>
      </x:c>
      <x:c r="O2699" s="78" t="n">
        <x:f>H2699-N2699</x:f>
        <x:v>321712.6001521992</x:v>
      </x:c>
      <x:c r="P2699" s="78" t="n">
        <x:f>I2699+L2699*(1-'Inputs'!$B$17)</x:f>
        <x:v>387937.22659515776</x:v>
      </x:c>
      <x:c r="Q2699" s="78" t="n">
        <x:f>IF(J2699&gt;0,M2699/J2699,0)</x:f>
        <x:v>0</x:v>
      </x:c>
      <x:c r="R2699" s="78" t="n">
        <x:f>IF(B2699='Inputs'!$H$51,'Inputs'!$B$27*'Inputs'!$I$51,0)</x:f>
        <x:v>0</x:v>
      </x:c>
      <x:c r="S2699" s="78" t="n">
        <x:f>Q2699+G2699+R2699</x:f>
        <x:v>240521.7911428035</x:v>
      </x:c>
      <x:c r="T2699" s="78" t="n">
        <x:f>P2699*(S2699*(1-'Inputs'!$B$15))/(O2699+S2699*(1-'Inputs'!$B$15))</x:f>
        <x:v>165004.41101955768</x:v>
      </x:c>
      <x:c r="U2699" s="78" t="n">
        <x:f>O2699+S2699*(1-'Inputs'!$B$17)</x:f>
        <x:v>561266.4967632409</x:v>
      </x:c>
      <x:c r="V2699" s="78" t="n">
        <x:f>P2699-T2699</x:f>
        <x:v>222932.81557560008</x:v>
      </x:c>
      <x:c r="W2699" s="79" t="n">
        <x:f>IF(U2699&gt;0,V2699/U2699,0)</x:f>
        <x:v>0.3971960144801585</x:v>
      </x:c>
      <x:c r="X2699" s="80" t="n">
        <x:f>W2699*('Inputs'!$B$6-AC2699)</x:f>
        <x:v>396698964.1601749</x:v>
      </x:c>
      <x:c r="Y2699" s="80" t="n">
        <x:f>2*V2699</x:f>
        <x:v>445865.63115120016</x:v>
      </x:c>
      <x:c r="Z2699" s="80" t="n">
        <x:f>K2699*'Inputs'!$B$16+(G2699+R2699)*J2699*'Inputs'!$B$16</x:f>
        <x:v>10596.72345038129</x:v>
      </x:c>
      <x:c r="AA2699" s="80" t="n">
        <x:f>K2699*(1+'Inputs'!$E$51)/2*'Inputs'!$B$17</x:f>
        <x:v>3699.15464444219</x:v>
      </x:c>
      <x:c r="AB2699" s="78" t="n">
        <x:f>(IF(J2699&gt;0,K2699*(1-'Inputs'!$E$51)/2/J2699,0)+G2699+R2699)*'Inputs'!$B$17</x:f>
        <x:v>8648.789128857696</x:v>
      </x:c>
      <x:c r="AC2699" s="78" t="n">
        <x:f>AC2698+AB2699</x:f>
        <x:v>1251398.0550235927</x:v>
      </x:c>
      <x:c r="AD2699" s="80" t="n">
        <x:f>Z2699/(1+'Inputs'!$C$51)</x:f>
        <x:v>3532.2411501270967</x:v>
      </x:c>
      <x:c r="AE2699" s="80" t="n">
        <x:f>Z2699-AD2699</x:f>
        <x:v>7064.482300254194</x:v>
      </x:c>
      <x:c r="AF2699" s="80" t="n">
        <x:f>D2699*W2699</x:f>
        <x:v>113423.63004695659</x:v>
      </x:c>
      <x:c r="AG2699" s="80" t="n">
        <x:f>C2699*W2699</x:f>
        <x:v>264655.136776234</x:v>
      </x:c>
      <x:c r="AH2699" s="80" t="n">
        <x:f>2*'Inputs'!$B$8*'Inputs'!$C$51</x:f>
        <x:v>10000</x:v>
      </x:c>
      <x:c r="AI2699" s="81" t="n">
        <x:f>IF(AH2699&gt;0,(AE2699+AF2699)/AH2699*365,0)</x:f>
        <x:v>4397.816100673193</x:v>
      </x:c>
      <x:c r="AJ2699" s="81" t="n">
        <x:f>IF('Inputs'!$B$51&gt;0,AG2699/('Inputs'!$B$19*'Inputs'!$B$51)*365,0)</x:f>
        <x:v>9659.912492332542</x:v>
      </x:c>
      <x:c r="AK2699" s="81" t="n">
        <x:f>W2699/MAX($W$2559:W2699)-1</x:f>
        <x:v>-0.5970253191710562</x:v>
      </x:c>
      <x:c r="AL2699" s="83" t="n">
        <x:f>'Inputs'!$B$51</x:f>
        <x:v>1</x:v>
      </x:c>
      <x:c r="AM2699" s="83" t="n">
        <x:f>'Inputs'!$C$51</x:f>
        <x:v>2</x:v>
      </x:c>
      <x:c r="AN2699" s="83" t="n">
        <x:f>'Inputs'!$D$51</x:f>
        <x:v>3</x:v>
      </x:c>
      <x:c r="AO2699" s="81" t="n">
        <x:f>'Inputs'!$E$51</x:f>
        <x:v>0.1</x:v>
      </x:c>
    </x:row>
    <x:row r="2700">
      <x:c r="A2700" s="59" t="str">
        <x:v>High demand</x:v>
      </x:c>
      <x:c r="B2700" s="59" t="n">
        <x:v>142</x:v>
      </x:c>
      <x:c r="C2700" s="78" t="n">
        <x:f>(('Inputs'!$B$29*(3*142*'Inputs'!$B$12-142^2)/(2*'Inputs'!$B$12^2))-('Inputs'!$B$29*(3*141*'Inputs'!$B$12-141^2)/(2*'Inputs'!$B$12^2)))*'Inputs'!$B$51</x:f>
        <x:v>665983.5334959626</x:v>
      </x:c>
      <x:c r="D2700" s="78" t="n">
        <x:f>IF('Inputs'!$C$51&gt;0,('Inputs'!$B$30*(3*142*'Inputs'!$B$12-142^2)/(2*'Inputs'!$B$12^2))-('Inputs'!$B$30*(3*141*'Inputs'!$B$12-141^2)/(2*'Inputs'!$B$12^2)),0)</x:f>
        <x:v>285421.5143554136</x:v>
      </x:c>
      <x:c r="E2700" s="78" t="n">
        <x:f>C2700+D2700</x:f>
        <x:v>951405.0478513762</x:v>
      </x:c>
      <x:c r="F2700" s="78" t="n">
        <x:f>'Inputs'!$B$13*E2700+(1-'Inputs'!$B$13)/'Inputs'!$B$14*SUM(E2645:E2700)</x:f>
        <x:v>961622.7247138293</x:v>
      </x:c>
      <x:c r="G2700" s="78" t="n">
        <x:f>F2700*'Inputs'!$F$51</x:f>
        <x:v>240405.68117845734</x:v>
      </x:c>
      <x:c r="H2700" s="78" t="n">
        <x:f>U2699</x:f>
        <x:v>561266.4967632409</x:v>
      </x:c>
      <x:c r="I2700" s="78" t="n">
        <x:f>V2699</x:f>
        <x:v>222932.81557560008</x:v>
      </x:c>
      <x:c r="J2700" s="79" t="n">
        <x:f>IF(H2700&gt;0,I2700/H2700,0)</x:f>
        <x:v>0.3971960144801585</x:v>
      </x:c>
      <x:c r="K2700" s="80" t="n">
        <x:f>(H2700*J2700+I2700)*'Inputs'!$D$51*(1+'Inputs'!$G$51)^(B2700/30)</x:f>
        <x:v>1685082.8829175588</x:v>
      </x:c>
      <x:c r="L2700" s="80" t="n">
        <x:f>MAX(0,K2700*'Inputs'!$E$51)</x:f>
        <x:v>168508.2882917559</x:v>
      </x:c>
      <x:c r="M2700" s="80" t="n">
        <x:f>MAX(0,-K2700*'Inputs'!$E$51)</x:f>
        <x:v>0</x:v>
      </x:c>
      <x:c r="N2700" s="78" t="n">
        <x:f>H2700*(L2700*(1-'Inputs'!$B$15))/(I2700+L2700*(1-'Inputs'!$B$15))</x:f>
        <x:v>240233.045899172</x:v>
      </x:c>
      <x:c r="O2700" s="78" t="n">
        <x:f>H2700-N2700</x:f>
        <x:v>321033.45086406893</x:v>
      </x:c>
      <x:c r="P2700" s="78" t="n">
        <x:f>I2700+L2700*(1-'Inputs'!$B$17)</x:f>
        <x:v>390763.0021036065</x:v>
      </x:c>
      <x:c r="Q2700" s="78" t="n">
        <x:f>IF(J2700&gt;0,M2700/J2700,0)</x:f>
        <x:v>0</x:v>
      </x:c>
      <x:c r="R2700" s="78" t="n">
        <x:f>IF(B2700='Inputs'!$H$51,'Inputs'!$B$27*'Inputs'!$I$51,0)</x:f>
        <x:v>0</x:v>
      </x:c>
      <x:c r="S2700" s="78" t="n">
        <x:f>Q2700+G2700+R2700</x:f>
        <x:v>240405.68117845734</x:v>
      </x:c>
      <x:c r="T2700" s="78" t="n">
        <x:f>P2700*(S2700*(1-'Inputs'!$B$15))/(O2700+S2700*(1-'Inputs'!$B$15))</x:f>
        <x:v>166362.06449956517</x:v>
      </x:c>
      <x:c r="U2700" s="78" t="n">
        <x:f>O2700+S2700*(1-'Inputs'!$B$17)</x:f>
        <x:v>560471.7047540818</x:v>
      </x:c>
      <x:c r="V2700" s="78" t="n">
        <x:f>P2700-T2700</x:f>
        <x:v>224400.9376040413</x:v>
      </x:c>
      <x:c r="W2700" s="79" t="n">
        <x:f>IF(U2700&gt;0,V2700/U2700,0)</x:f>
        <x:v>0.40037870904205897</x:v>
      </x:c>
      <x:c r="X2700" s="80" t="n">
        <x:f>W2700*('Inputs'!$B$6-AC2700)</x:f>
        <x:v>399874212.65801775</x:v>
      </x:c>
      <x:c r="Y2700" s="80" t="n">
        <x:f>2*V2700</x:f>
        <x:v>448801.8752080826</x:v>
      </x:c>
      <x:c r="Z2700" s="80" t="n">
        <x:f>K2700*'Inputs'!$B$16+(G2700+R2700)*J2700*'Inputs'!$B$16</x:f>
        <x:v>10683.426368040178</x:v>
      </x:c>
      <x:c r="AA2700" s="80" t="n">
        <x:f>K2700*(1+'Inputs'!$E$51)/2*'Inputs'!$B$17</x:f>
        <x:v>3729.5597006223643</x:v>
      </x:c>
      <x:c r="AB2700" s="78" t="n">
        <x:f>(IF(J2700&gt;0,K2700*(1-'Inputs'!$E$51)/2/J2700,0)+G2700+R2700)*'Inputs'!$B$17</x:f>
        <x:v>8649.926169674522</x:v>
      </x:c>
      <x:c r="AC2700" s="78" t="n">
        <x:f>AC2699+AB2700</x:f>
        <x:v>1260047.9811932673</x:v>
      </x:c>
      <x:c r="AD2700" s="80" t="n">
        <x:f>Z2700/(1+'Inputs'!$C$51)</x:f>
        <x:v>3561.1421226800594</x:v>
      </x:c>
      <x:c r="AE2700" s="80" t="n">
        <x:f>Z2700-AD2700</x:f>
        <x:v>7122.284245360119</x:v>
      </x:c>
      <x:c r="AF2700" s="80" t="n">
        <x:f>D2700*W2700</x:f>
        <x:v>114276.69745045001</x:v>
      </x:c>
      <x:c r="AG2700" s="80" t="n">
        <x:f>C2700*W2700</x:f>
        <x:v>266645.62738438236</x:v>
      </x:c>
      <x:c r="AH2700" s="80" t="n">
        <x:f>2*'Inputs'!$B$8*'Inputs'!$C$51</x:f>
        <x:v>10000</x:v>
      </x:c>
      <x:c r="AI2700" s="81" t="n">
        <x:f>IF(AH2700&gt;0,(AE2700+AF2700)/AH2700*365,0)</x:f>
        <x:v>4431.062831897069</x:v>
      </x:c>
      <x:c r="AJ2700" s="81" t="n">
        <x:f>IF('Inputs'!$B$51&gt;0,AG2700/('Inputs'!$B$19*'Inputs'!$B$51)*365,0)</x:f>
        <x:v>9732.565399529956</x:v>
      </x:c>
      <x:c r="AK2700" s="81" t="n">
        <x:f>W2700/MAX($W$2559:W2700)-1</x:f>
        <x:v>-0.5937963206954888</x:v>
      </x:c>
      <x:c r="AL2700" s="83" t="n">
        <x:f>'Inputs'!$B$51</x:f>
        <x:v>1</x:v>
      </x:c>
      <x:c r="AM2700" s="83" t="n">
        <x:f>'Inputs'!$C$51</x:f>
        <x:v>2</x:v>
      </x:c>
      <x:c r="AN2700" s="83" t="n">
        <x:f>'Inputs'!$D$51</x:f>
        <x:v>3</x:v>
      </x:c>
      <x:c r="AO2700" s="81" t="n">
        <x:f>'Inputs'!$E$51</x:f>
        <x:v>0.1</x:v>
      </x:c>
    </x:row>
    <x:row r="2701">
      <x:c r="A2701" s="59" t="str">
        <x:v>High demand</x:v>
      </x:c>
      <x:c r="B2701" s="59" t="n">
        <x:v>143</x:v>
      </x:c>
      <x:c r="C2701" s="78" t="n">
        <x:f>(('Inputs'!$B$29*(3*143*'Inputs'!$B$12-143^2)/(2*'Inputs'!$B$12^2))-('Inputs'!$B$29*(3*142*'Inputs'!$B$12-142^2)/(2*'Inputs'!$B$12^2)))*'Inputs'!$B$51</x:f>
        <x:v>665658.4255957901</x:v>
      </x:c>
      <x:c r="D2701" s="78" t="n">
        <x:f>IF('Inputs'!$C$51&gt;0,('Inputs'!$B$30*(3*143*'Inputs'!$B$12-143^2)/(2*'Inputs'!$B$12^2))-('Inputs'!$B$30*(3*142*'Inputs'!$B$12-142^2)/(2*'Inputs'!$B$12^2)),0)</x:f>
        <x:v>285282.18239820004</x:v>
      </x:c>
      <x:c r="E2701" s="78" t="n">
        <x:f>C2701+D2701</x:f>
        <x:v>950940.6079939902</x:v>
      </x:c>
      <x:c r="F2701" s="78" t="n">
        <x:f>'Inputs'!$B$13*E2701+(1-'Inputs'!$B$13)/'Inputs'!$B$14*SUM(E2646:E2701)</x:f>
        <x:v>961158.2848564449</x:v>
      </x:c>
      <x:c r="G2701" s="78" t="n">
        <x:f>F2701*'Inputs'!$F$51</x:f>
        <x:v>240289.57121411123</x:v>
      </x:c>
      <x:c r="H2701" s="78" t="n">
        <x:f>U2700</x:f>
        <x:v>560471.7047540818</x:v>
      </x:c>
      <x:c r="I2701" s="78" t="n">
        <x:f>V2700</x:f>
        <x:v>224400.9376040413</x:v>
      </x:c>
      <x:c r="J2701" s="79" t="n">
        <x:f>IF(H2701&gt;0,I2701/H2701,0)</x:f>
        <x:v>0.40037870904205897</x:v>
      </x:c>
      <x:c r="K2701" s="80" t="n">
        <x:f>(H2701*J2701+I2701)*'Inputs'!$D$51*(1+'Inputs'!$G$51)^(B2701/30)</x:f>
        <x:v>1698940.7886301018</x:v>
      </x:c>
      <x:c r="L2701" s="80" t="n">
        <x:f>MAX(0,K2701*'Inputs'!$E$51)</x:f>
        <x:v>169894.0788630102</x:v>
      </x:c>
      <x:c r="M2701" s="80" t="n">
        <x:f>MAX(0,-K2701*'Inputs'!$E$51)</x:f>
        <x:v>0</x:v>
      </x:c>
      <x:c r="N2701" s="78" t="n">
        <x:f>H2701*(L2701*(1-'Inputs'!$B$15))/(I2701+L2701*(1-'Inputs'!$B$15))</x:f>
        <x:v>240116.04192679745</x:v>
      </x:c>
      <x:c r="O2701" s="78" t="n">
        <x:f>H2701-N2701</x:f>
        <x:v>320355.6628272843</x:v>
      </x:c>
      <x:c r="P2701" s="78" t="n">
        <x:f>I2701+L2701*(1-'Inputs'!$B$17)</x:f>
        <x:v>393611.3380812849</x:v>
      </x:c>
      <x:c r="Q2701" s="78" t="n">
        <x:f>IF(J2701&gt;0,M2701/J2701,0)</x:f>
        <x:v>0</x:v>
      </x:c>
      <x:c r="R2701" s="78" t="n">
        <x:f>IF(B2701='Inputs'!$H$51,'Inputs'!$B$27*'Inputs'!$I$51,0)</x:f>
        <x:v>0</x:v>
      </x:c>
      <x:c r="S2701" s="78" t="n">
        <x:f>Q2701+G2701+R2701</x:f>
        <x:v>240289.57121411123</x:v>
      </x:c>
      <x:c r="T2701" s="78" t="n">
        <x:f>P2701*(S2701*(1-'Inputs'!$B$15))/(O2701+S2701*(1-'Inputs'!$B$15))</x:f>
        <x:v>167731.62160411503</x:v>
      </x:c>
      <x:c r="U2701" s="78" t="n">
        <x:f>O2701+S2701*(1-'Inputs'!$B$17)</x:f>
        <x:v>559678.2739962683</x:v>
      </x:c>
      <x:c r="V2701" s="78" t="n">
        <x:f>P2701-T2701</x:f>
        <x:v>225879.71647716986</x:v>
      </x:c>
      <x:c r="W2701" s="79" t="n">
        <x:f>IF(U2701&gt;0,V2701/U2701,0)</x:f>
        <x:v>0.403588502487906</x:v>
      </x:c>
      <x:c r="X2701" s="80" t="n">
        <x:f>W2701*('Inputs'!$B$6-AC2701)</x:f>
        <x:v>403076470.13902533</x:v>
      </x:c>
      <x:c r="Y2701" s="80" t="n">
        <x:f>2*V2701</x:f>
        <x:v>451759.4329543397</x:v>
      </x:c>
      <x:c r="Z2701" s="80" t="n">
        <x:f>K2701*'Inputs'!$B$16+(G2701+R2701)*J2701*'Inputs'!$B$16</x:f>
        <x:v>10770.885701694466</x:v>
      </x:c>
      <x:c r="AA2701" s="80" t="n">
        <x:f>K2701*(1+'Inputs'!$E$51)/2*'Inputs'!$B$17</x:f>
        <x:v>3760.231121716524</x:v>
      </x:c>
      <x:c r="AB2701" s="78" t="n">
        <x:f>(IF(J2701&gt;0,K2701*(1-'Inputs'!$E$51)/2/J2701,0)+G2701+R2701)*'Inputs'!$B$17</x:f>
        <x:v>8651.066783247235</x:v>
      </x:c>
      <x:c r="AC2701" s="78" t="n">
        <x:f>AC2700+AB2701</x:f>
        <x:v>1268699.0479765146</x:v>
      </x:c>
      <x:c r="AD2701" s="80" t="n">
        <x:f>Z2701/(1+'Inputs'!$C$51)</x:f>
        <x:v>3590.2952338981554</x:v>
      </x:c>
      <x:c r="AE2701" s="80" t="n">
        <x:f>Z2701-AD2701</x:f>
        <x:v>7180.59046779631</x:v>
      </x:c>
      <x:c r="AF2701" s="80" t="n">
        <x:f>D2701*W2701</x:f>
        <x:v>115136.60878057122</x:v>
      </x:c>
      <x:c r="AG2701" s="80" t="n">
        <x:f>C2701*W2701</x:f>
        <x:v>268652.0871546621</x:v>
      </x:c>
      <x:c r="AH2701" s="80" t="n">
        <x:f>2*'Inputs'!$B$8*'Inputs'!$C$51</x:f>
        <x:v>10000</x:v>
      </x:c>
      <x:c r="AI2701" s="81" t="n">
        <x:f>IF(AH2701&gt;0,(AE2701+AF2701)/AH2701*365,0)</x:f>
        <x:v>4464.577772565415</x:v>
      </x:c>
      <x:c r="AJ2701" s="81" t="n">
        <x:f>IF('Inputs'!$B$51&gt;0,AG2701/('Inputs'!$B$19*'Inputs'!$B$51)*365,0)</x:f>
        <x:v>9805.801181145167</x:v>
      </x:c>
      <x:c r="AK2701" s="81" t="n">
        <x:f>W2701/MAX($W$2559:W2701)-1</x:f>
        <x:v>-0.5905398290837593</x:v>
      </x:c>
      <x:c r="AL2701" s="83" t="n">
        <x:f>'Inputs'!$B$51</x:f>
        <x:v>1</x:v>
      </x:c>
      <x:c r="AM2701" s="83" t="n">
        <x:f>'Inputs'!$C$51</x:f>
        <x:v>2</x:v>
      </x:c>
      <x:c r="AN2701" s="83" t="n">
        <x:f>'Inputs'!$D$51</x:f>
        <x:v>3</x:v>
      </x:c>
      <x:c r="AO2701" s="81" t="n">
        <x:f>'Inputs'!$E$51</x:f>
        <x:v>0.1</x:v>
      </x:c>
    </x:row>
    <x:row r="2702">
      <x:c r="A2702" s="59" t="str">
        <x:v>High demand</x:v>
      </x:c>
      <x:c r="B2702" s="59" t="n">
        <x:v>144</x:v>
      </x:c>
      <x:c r="C2702" s="78" t="n">
        <x:f>(('Inputs'!$B$29*(3*144*'Inputs'!$B$12-144^2)/(2*'Inputs'!$B$12^2))-('Inputs'!$B$29*(3*143*'Inputs'!$B$12-143^2)/(2*'Inputs'!$B$12^2)))*'Inputs'!$B$51</x:f>
        <x:v>665333.3176956326</x:v>
      </x:c>
      <x:c r="D2702" s="78" t="n">
        <x:f>IF('Inputs'!$C$51&gt;0,('Inputs'!$B$30*(3*144*'Inputs'!$B$12-144^2)/(2*'Inputs'!$B$12^2))-('Inputs'!$B$30*(3*143*'Inputs'!$B$12-143^2)/(2*'Inputs'!$B$12^2)),0)</x:f>
        <x:v>285142.85044098645</x:v>
      </x:c>
      <x:c r="E2702" s="78" t="n">
        <x:f>C2702+D2702</x:f>
        <x:v>950476.168136619</x:v>
      </x:c>
      <x:c r="F2702" s="78" t="n">
        <x:f>'Inputs'!$B$13*E2702+(1-'Inputs'!$B$13)/'Inputs'!$B$14*SUM(E2647:E2702)</x:f>
        <x:v>960693.8449990635</x:v>
      </x:c>
      <x:c r="G2702" s="78" t="n">
        <x:f>F2702*'Inputs'!$F$51</x:f>
        <x:v>240173.46124976588</x:v>
      </x:c>
      <x:c r="H2702" s="78" t="n">
        <x:f>U2701</x:f>
        <x:v>559678.2739962683</x:v>
      </x:c>
      <x:c r="I2702" s="78" t="n">
        <x:f>V2701</x:f>
        <x:v>225879.71647716986</x:v>
      </x:c>
      <x:c r="J2702" s="79" t="n">
        <x:f>IF(H2702&gt;0,I2702/H2702,0)</x:f>
        <x:v>0.403588502487906</x:v>
      </x:c>
      <x:c r="K2702" s="80" t="n">
        <x:f>(H2702*J2702+I2702)*'Inputs'!$D$51*(1+'Inputs'!$G$51)^(B2702/30)</x:f>
        <x:v>1712920.1564106387</x:v>
      </x:c>
      <x:c r="L2702" s="80" t="n">
        <x:f>MAX(0,K2702*'Inputs'!$E$51)</x:f>
        <x:v>171292.0156410639</x:v>
      </x:c>
      <x:c r="M2702" s="80" t="n">
        <x:f>MAX(0,-K2702*'Inputs'!$E$51)</x:f>
        <x:v>0</x:v>
      </x:c>
      <x:c r="N2702" s="78" t="n">
        <x:f>H2702*(L2702*(1-'Inputs'!$B$15))/(I2702+L2702*(1-'Inputs'!$B$15))</x:f>
        <x:v>239999.04059758698</x:v>
      </x:c>
      <x:c r="O2702" s="78" t="n">
        <x:f>H2702-N2702</x:f>
        <x:v>319679.2333986813</x:v>
      </x:c>
      <x:c r="P2702" s="78" t="n">
        <x:f>I2702+L2702*(1-'Inputs'!$B$17)</x:f>
        <x:v>396482.4282323542</x:v>
      </x:c>
      <x:c r="Q2702" s="78" t="n">
        <x:f>IF(J2702&gt;0,M2702/J2702,0)</x:f>
        <x:v>0</x:v>
      </x:c>
      <x:c r="R2702" s="78" t="n">
        <x:f>IF(B2702='Inputs'!$H$51,'Inputs'!$B$27*'Inputs'!$I$51,0)</x:f>
        <x:v>0</x:v>
      </x:c>
      <x:c r="S2702" s="78" t="n">
        <x:f>Q2702+G2702+R2702</x:f>
        <x:v>240173.46124976588</x:v>
      </x:c>
      <x:c r="T2702" s="78" t="n">
        <x:f>P2702*(S2702*(1-'Inputs'!$B$15))/(O2702+S2702*(1-'Inputs'!$B$15))</x:f>
        <x:v>169113.19255072073</x:v>
      </x:c>
      <x:c r="U2702" s="78" t="n">
        <x:f>O2702+S2702*(1-'Inputs'!$B$17)</x:f>
        <x:v>558886.2018466373</x:v>
      </x:c>
      <x:c r="V2702" s="78" t="n">
        <x:f>P2702-T2702</x:f>
        <x:v>227369.2356816335</x:v>
      </x:c>
      <x:c r="W2702" s="79" t="n">
        <x:f>IF(U2702&gt;0,V2702/U2702,0)</x:f>
        <x:v>0.40682563808226807</x:v>
      </x:c>
      <x:c r="X2702" s="80" t="n">
        <x:f>W2702*('Inputs'!$B$6-AC2702)</x:f>
        <x:v>406305978.84129155</x:v>
      </x:c>
      <x:c r="Y2702" s="80" t="n">
        <x:f>2*V2702</x:f>
        <x:v>454738.471363267</x:v>
      </x:c>
      <x:c r="Z2702" s="80" t="n">
        <x:f>K2702*'Inputs'!$B$16+(G2702+R2702)*J2702*'Inputs'!$B$16</x:f>
        <x:v>10859.108423842614</x:v>
      </x:c>
      <x:c r="AA2702" s="80" t="n">
        <x:f>K2702*(1+'Inputs'!$E$51)/2*'Inputs'!$B$17</x:f>
        <x:v>3791.17137233743</x:v>
      </x:c>
      <x:c r="AB2702" s="78" t="n">
        <x:f>(IF(J2702&gt;0,K2702*(1-'Inputs'!$E$51)/2/J2702,0)+G2702+R2702)*'Inputs'!$B$17</x:f>
        <x:v>8652.210971025728</x:v>
      </x:c>
      <x:c r="AC2702" s="78" t="n">
        <x:f>AC2701+AB2702</x:f>
        <x:v>1277351.2589475403</x:v>
      </x:c>
      <x:c r="AD2702" s="80" t="n">
        <x:f>Z2702/(1+'Inputs'!$C$51)</x:f>
        <x:v>3619.702807947538</x:v>
      </x:c>
      <x:c r="AE2702" s="80" t="n">
        <x:f>Z2702-AD2702</x:f>
        <x:v>7239.405615895075</x:v>
      </x:c>
      <x:c r="AF2702" s="80" t="n">
        <x:f>D2702*W2702</x:f>
        <x:v>116003.42207525104</x:v>
      </x:c>
      <x:c r="AG2702" s="80" t="n">
        <x:f>C2702*W2702</x:f>
        <x:v>270674.6515089181</x:v>
      </x:c>
      <x:c r="AH2702" s="80" t="n">
        <x:f>2*'Inputs'!$B$8*'Inputs'!$C$51</x:f>
        <x:v>10000</x:v>
      </x:c>
      <x:c r="AI2702" s="81" t="n">
        <x:f>IF(AH2702&gt;0,(AE2702+AF2702)/AH2702*365,0)</x:f>
        <x:v>4498.363210726833</x:v>
      </x:c>
      <x:c r="AJ2702" s="81" t="n">
        <x:f>IF('Inputs'!$B$51&gt;0,AG2702/('Inputs'!$B$19*'Inputs'!$B$51)*365,0)</x:f>
        <x:v>9879.62478007551</x:v>
      </x:c>
      <x:c r="AK2702" s="81" t="n">
        <x:f>W2702/MAX($W$2559:W2702)-1</x:f>
        <x:v>-0.5872555975321276</x:v>
      </x:c>
      <x:c r="AL2702" s="83" t="n">
        <x:f>'Inputs'!$B$51</x:f>
        <x:v>1</x:v>
      </x:c>
      <x:c r="AM2702" s="83" t="n">
        <x:f>'Inputs'!$C$51</x:f>
        <x:v>2</x:v>
      </x:c>
      <x:c r="AN2702" s="83" t="n">
        <x:f>'Inputs'!$D$51</x:f>
        <x:v>3</x:v>
      </x:c>
      <x:c r="AO2702" s="81" t="n">
        <x:f>'Inputs'!$E$51</x:f>
        <x:v>0.1</x:v>
      </x:c>
    </x:row>
    <x:row r="2703">
      <x:c r="A2703" s="59" t="str">
        <x:v>High demand</x:v>
      </x:c>
      <x:c r="B2703" s="59" t="n">
        <x:v>145</x:v>
      </x:c>
      <x:c r="C2703" s="78" t="n">
        <x:f>(('Inputs'!$B$29*(3*145*'Inputs'!$B$12-145^2)/(2*'Inputs'!$B$12^2))-('Inputs'!$B$29*(3*144*'Inputs'!$B$12-144^2)/(2*'Inputs'!$B$12^2)))*'Inputs'!$B$51</x:f>
        <x:v>665008.2097954601</x:v>
      </x:c>
      <x:c r="D2703" s="78" t="n">
        <x:f>IF('Inputs'!$C$51&gt;0,('Inputs'!$B$30*(3*145*'Inputs'!$B$12-145^2)/(2*'Inputs'!$B$12^2))-('Inputs'!$B$30*(3*144*'Inputs'!$B$12-144^2)/(2*'Inputs'!$B$12^2)),0)</x:f>
        <x:v>285003.5184837654</x:v>
      </x:c>
      <x:c r="E2703" s="78" t="n">
        <x:f>C2703+D2703</x:f>
        <x:v>950011.7282792255</x:v>
      </x:c>
      <x:c r="F2703" s="78" t="n">
        <x:f>'Inputs'!$B$13*E2703+(1-'Inputs'!$B$13)/'Inputs'!$B$14*SUM(E2648:E2703)</x:f>
        <x:v>960229.4051416776</x:v>
      </x:c>
      <x:c r="G2703" s="78" t="n">
        <x:f>F2703*'Inputs'!$F$51</x:f>
        <x:v>240057.3512854194</x:v>
      </x:c>
      <x:c r="H2703" s="78" t="n">
        <x:f>U2702</x:f>
        <x:v>558886.2018466373</x:v>
      </x:c>
      <x:c r="I2703" s="78" t="n">
        <x:f>V2702</x:f>
        <x:v>227369.2356816335</x:v>
      </x:c>
      <x:c r="J2703" s="79" t="n">
        <x:f>IF(H2703&gt;0,I2703/H2703,0)</x:f>
        <x:v>0.40682563808226807</x:v>
      </x:c>
      <x:c r="K2703" s="80" t="n">
        <x:f>(H2703*J2703+I2703)*'Inputs'!$D$51*(1+'Inputs'!$G$51)^(B2703/30)</x:f>
        <x:v>1727022.1106196772</x:v>
      </x:c>
      <x:c r="L2703" s="80" t="n">
        <x:f>MAX(0,K2703*'Inputs'!$E$51)</x:f>
        <x:v>172702.21106196774</x:v>
      </x:c>
      <x:c r="M2703" s="80" t="n">
        <x:f>MAX(0,-K2703*'Inputs'!$E$51)</x:f>
        <x:v>0</x:v>
      </x:c>
      <x:c r="N2703" s="78" t="n">
        <x:f>H2703*(L2703*(1-'Inputs'!$B$15))/(I2703+L2703*(1-'Inputs'!$B$15))</x:f>
        <x:v>239882.04190650143</x:v>
      </x:c>
      <x:c r="O2703" s="78" t="n">
        <x:f>H2703-N2703</x:f>
        <x:v>319004.1599401359</x:v>
      </x:c>
      <x:c r="P2703" s="78" t="n">
        <x:f>I2703+L2703*(1-'Inputs'!$B$17)</x:f>
        <x:v>399376.4680270541</x:v>
      </x:c>
      <x:c r="Q2703" s="78" t="n">
        <x:f>IF(J2703&gt;0,M2703/J2703,0)</x:f>
        <x:v>0</x:v>
      </x:c>
      <x:c r="R2703" s="78" t="n">
        <x:f>IF(B2703='Inputs'!$H$51,'Inputs'!$B$27*'Inputs'!$I$51,0)</x:f>
        <x:v>0</x:v>
      </x:c>
      <x:c r="S2703" s="78" t="n">
        <x:f>Q2703+G2703+R2703</x:f>
        <x:v>240057.3512854194</x:v>
      </x:c>
      <x:c r="T2703" s="78" t="n">
        <x:f>P2703*(S2703*(1-'Inputs'!$B$15))/(O2703+S2703*(1-'Inputs'!$B$15))</x:f>
        <x:v>170506.88862685033</x:v>
      </x:c>
      <x:c r="U2703" s="78" t="n">
        <x:f>O2703+S2703*(1-'Inputs'!$B$17)</x:f>
        <x:v>558095.4856670627</x:v>
      </x:c>
      <x:c r="V2703" s="78" t="n">
        <x:f>P2703-T2703</x:f>
        <x:v>228869.57940020377</x:v>
      </x:c>
      <x:c r="W2703" s="79" t="n">
        <x:f>IF(U2703&gt;0,V2703/U2703,0)</x:f>
        <x:v>0.41009036137722527</x:v>
      </x:c>
      <x:c r="X2703" s="80" t="n">
        <x:f>W2703*('Inputs'!$B$6-AC2703)</x:f>
        <x:v>409562983.2788273</x:v>
      </x:c>
      <x:c r="Y2703" s="80" t="n">
        <x:f>2*V2703</x:f>
        <x:v>457739.15880040755</x:v>
      </x:c>
      <x:c r="Z2703" s="80" t="n">
        <x:f>K2703*'Inputs'!$B$16+(G2703+R2703)*J2703*'Inputs'!$B$16</x:f>
        <x:v>10948.101574396242</x:v>
      </x:c>
      <x:c r="AA2703" s="80" t="n">
        <x:f>K2703*(1+'Inputs'!$E$51)/2*'Inputs'!$B$17</x:f>
        <x:v>3822.3829410093463</x:v>
      </x:c>
      <x:c r="AB2703" s="78" t="n">
        <x:f>(IF(J2703&gt;0,K2703*(1-'Inputs'!$E$51)/2/J2703,0)+G2703+R2703)*'Inputs'!$B$17</x:f>
        <x:v>8653.35873445577</x:v>
      </x:c>
      <x:c r="AC2703" s="78" t="n">
        <x:f>AC2702+AB2703</x:f>
        <x:v>1286004.617681996</x:v>
      </x:c>
      <x:c r="AD2703" s="80" t="n">
        <x:f>Z2703/(1+'Inputs'!$C$51)</x:f>
        <x:v>3649.3671914654137</x:v>
      </x:c>
      <x:c r="AE2703" s="80" t="n">
        <x:f>Z2703-AD2703</x:f>
        <x:v>7298.734382930828</x:v>
      </x:c>
      <x:c r="AF2703" s="80" t="n">
        <x:f>D2703*W2703</x:f>
        <x:v>116877.19588878806</x:v>
      </x:c>
      <x:c r="AG2703" s="80" t="n">
        <x:f>C2703*W2703</x:f>
        <x:v>272713.4570738419</x:v>
      </x:c>
      <x:c r="AH2703" s="80" t="n">
        <x:f>2*'Inputs'!$B$8*'Inputs'!$C$51</x:f>
        <x:v>10000</x:v>
      </x:c>
      <x:c r="AI2703" s="81" t="n">
        <x:f>IF(AH2703&gt;0,(AE2703+AF2703)/AH2703*365,0)</x:f>
        <x:v>4532.4214549177395</x:v>
      </x:c>
      <x:c r="AJ2703" s="81" t="n">
        <x:f>IF('Inputs'!$B$51&gt;0,AG2703/('Inputs'!$B$19*'Inputs'!$B$51)*365,0)</x:f>
        <x:v>9954.04118319523</x:v>
      </x:c>
      <x:c r="AK2703" s="81" t="n">
        <x:f>W2703/MAX($W$2559:W2703)-1</x:f>
        <x:v>-0.5839433769160622</x:v>
      </x:c>
      <x:c r="AL2703" s="83" t="n">
        <x:f>'Inputs'!$B$51</x:f>
        <x:v>1</x:v>
      </x:c>
      <x:c r="AM2703" s="83" t="n">
        <x:f>'Inputs'!$C$51</x:f>
        <x:v>2</x:v>
      </x:c>
      <x:c r="AN2703" s="83" t="n">
        <x:f>'Inputs'!$D$51</x:f>
        <x:v>3</x:v>
      </x:c>
      <x:c r="AO2703" s="81" t="n">
        <x:f>'Inputs'!$E$51</x:f>
        <x:v>0.1</x:v>
      </x:c>
    </x:row>
    <x:row r="2704">
      <x:c r="A2704" s="59" t="str">
        <x:v>High demand</x:v>
      </x:c>
      <x:c r="B2704" s="59" t="n">
        <x:v>146</x:v>
      </x:c>
      <x:c r="C2704" s="78" t="n">
        <x:f>(('Inputs'!$B$29*(3*146*'Inputs'!$B$12-146^2)/(2*'Inputs'!$B$12^2))-('Inputs'!$B$29*(3*145*'Inputs'!$B$12-145^2)/(2*'Inputs'!$B$12^2)))*'Inputs'!$B$51</x:f>
        <x:v>664683.1018952876</x:v>
      </x:c>
      <x:c r="D2704" s="78" t="n">
        <x:f>IF('Inputs'!$C$51&gt;0,('Inputs'!$B$30*(3*146*'Inputs'!$B$12-146^2)/(2*'Inputs'!$B$12^2))-('Inputs'!$B$30*(3*145*'Inputs'!$B$12-145^2)/(2*'Inputs'!$B$12^2)),0)</x:f>
        <x:v>284864.18652655184</x:v>
      </x:c>
      <x:c r="E2704" s="78" t="n">
        <x:f>C2704+D2704</x:f>
        <x:v>949547.2884218395</x:v>
      </x:c>
      <x:c r="F2704" s="78" t="n">
        <x:f>'Inputs'!$B$13*E2704+(1-'Inputs'!$B$13)/'Inputs'!$B$14*SUM(E2649:E2704)</x:f>
        <x:v>959764.9652842929</x:v>
      </x:c>
      <x:c r="G2704" s="78" t="n">
        <x:f>F2704*'Inputs'!$F$51</x:f>
        <x:v>239941.24132107323</x:v>
      </x:c>
      <x:c r="H2704" s="78" t="n">
        <x:f>U2703</x:f>
        <x:v>558095.4856670627</x:v>
      </x:c>
      <x:c r="I2704" s="78" t="n">
        <x:f>V2703</x:f>
        <x:v>228869.57940020377</x:v>
      </x:c>
      <x:c r="J2704" s="79" t="n">
        <x:f>IF(H2704&gt;0,I2704/H2704,0)</x:f>
        <x:v>0.41009036137722527</x:v>
      </x:c>
      <x:c r="K2704" s="80" t="n">
        <x:f>(H2704*J2704+I2704)*'Inputs'!$D$51*(1+'Inputs'!$G$51)^(B2704/30)</x:f>
        <x:v>1741247.7865306505</x:v>
      </x:c>
      <x:c r="L2704" s="80" t="n">
        <x:f>MAX(0,K2704*'Inputs'!$E$51)</x:f>
        <x:v>174124.77865306506</x:v>
      </x:c>
      <x:c r="M2704" s="80" t="n">
        <x:f>MAX(0,-K2704*'Inputs'!$E$51)</x:f>
        <x:v>0</x:v>
      </x:c>
      <x:c r="N2704" s="78" t="n">
        <x:f>H2704*(L2704*(1-'Inputs'!$B$15))/(I2704+L2704*(1-'Inputs'!$B$15))</x:f>
        <x:v>239765.04584850973</x:v>
      </x:c>
      <x:c r="O2704" s="78" t="n">
        <x:f>H2704-N2704</x:f>
        <x:v>318330.4398185529</x:v>
      </x:c>
      <x:c r="P2704" s="78" t="n">
        <x:f>I2704+L2704*(1-'Inputs'!$B$17)</x:f>
        <x:v>402293.6547186489</x:v>
      </x:c>
      <x:c r="Q2704" s="78" t="n">
        <x:f>IF(J2704&gt;0,M2704/J2704,0)</x:f>
        <x:v>0</x:v>
      </x:c>
      <x:c r="R2704" s="78" t="n">
        <x:f>IF(B2704='Inputs'!$H$51,'Inputs'!$B$27*'Inputs'!$I$51,0)</x:f>
        <x:v>0</x:v>
      </x:c>
      <x:c r="S2704" s="78" t="n">
        <x:f>Q2704+G2704+R2704</x:f>
        <x:v>239941.24132107323</x:v>
      </x:c>
      <x:c r="T2704" s="78" t="n">
        <x:f>P2704*(S2704*(1-'Inputs'!$B$15))/(O2704+S2704*(1-'Inputs'!$B$15))</x:f>
        <x:v>171912.8222007576</x:v>
      </x:c>
      <x:c r="U2704" s="78" t="n">
        <x:f>O2704+S2704*(1-'Inputs'!$B$17)</x:f>
        <x:v>557306.1228244508</x:v>
      </x:c>
      <x:c r="V2704" s="78" t="n">
        <x:f>P2704-T2704</x:f>
        <x:v>230380.83251789128</x:v>
      </x:c>
      <x:c r="W2704" s="79" t="n">
        <x:f>IF(U2704&gt;0,V2704/U2704,0)</x:f>
        <x:v>0.4133829202347743</x:v>
      </x:c>
      <x:c r="X2704" s="80" t="n">
        <x:f>W2704*('Inputs'!$B$6-AC2704)</x:f>
        <x:v>412847730.2638335</x:v>
      </x:c>
      <x:c r="Y2704" s="80" t="n">
        <x:f>2*V2704</x:f>
        <x:v>460761.66503578256</x:v>
      </x:c>
      <x:c r="Z2704" s="80" t="n">
        <x:f>K2704*'Inputs'!$B$16+(G2704+R2704)*J2704*'Inputs'!$B$16</x:f>
        <x:v>11037.872261359857</x:v>
      </x:c>
      <x:c r="AA2704" s="80" t="n">
        <x:f>K2704*(1+'Inputs'!$E$51)/2*'Inputs'!$B$17</x:f>
        <x:v>3853.868340409891</x:v>
      </x:c>
      <x:c r="AB2704" s="78" t="n">
        <x:f>(IF(J2704&gt;0,K2704*(1-'Inputs'!$E$51)/2/J2704,0)+G2704+R2704)*'Inputs'!$B$17</x:f>
        <x:v>8654.510074978945</x:v>
      </x:c>
      <x:c r="AC2704" s="78" t="n">
        <x:f>AC2703+AB2704</x:f>
        <x:v>1294659.127756975</x:v>
      </x:c>
      <x:c r="AD2704" s="80" t="n">
        <x:f>Z2704/(1+'Inputs'!$C$51)</x:f>
        <x:v>3679.290753786619</x:v>
      </x:c>
      <x:c r="AE2704" s="80" t="n">
        <x:f>Z2704-AD2704</x:f>
        <x:v>7358.581507573237</x:v>
      </x:c>
      <x:c r="AF2704" s="80" t="n">
        <x:f>D2704*W2704</x:f>
        <x:v>117757.98929664945</x:v>
      </x:c>
      <x:c r="AG2704" s="80" t="n">
        <x:f>C2704*W2704</x:f>
        <x:v>274768.64169218205</x:v>
      </x:c>
      <x:c r="AH2704" s="80" t="n">
        <x:f>2*'Inputs'!$B$8*'Inputs'!$C$51</x:f>
        <x:v>10000</x:v>
      </x:c>
      <x:c r="AI2704" s="81" t="n">
        <x:f>IF(AH2704&gt;0,(AE2704+AF2704)/AH2704*365,0)</x:f>
        <x:v>4566.754834354128</x:v>
      </x:c>
      <x:c r="AJ2704" s="81" t="n">
        <x:f>IF('Inputs'!$B$51&gt;0,AG2704/('Inputs'!$B$19*'Inputs'!$B$51)*365,0)</x:f>
        <x:v>10029.055421764646</x:v>
      </x:c>
      <x:c r="AK2704" s="81" t="n">
        <x:f>W2704/MAX($W$2559:W2704)-1</x:f>
        <x:v>-0.5806029157675086</x:v>
      </x:c>
      <x:c r="AL2704" s="83" t="n">
        <x:f>'Inputs'!$B$51</x:f>
        <x:v>1</x:v>
      </x:c>
      <x:c r="AM2704" s="83" t="n">
        <x:f>'Inputs'!$C$51</x:f>
        <x:v>2</x:v>
      </x:c>
      <x:c r="AN2704" s="83" t="n">
        <x:f>'Inputs'!$D$51</x:f>
        <x:v>3</x:v>
      </x:c>
      <x:c r="AO2704" s="81" t="n">
        <x:f>'Inputs'!$E$51</x:f>
        <x:v>0.1</x:v>
      </x:c>
    </x:row>
    <x:row r="2705">
      <x:c r="A2705" s="59" t="str">
        <x:v>High demand</x:v>
      </x:c>
      <x:c r="B2705" s="59" t="n">
        <x:v>147</x:v>
      </x:c>
      <x:c r="C2705" s="78" t="n">
        <x:f>(('Inputs'!$B$29*(3*147*'Inputs'!$B$12-147^2)/(2*'Inputs'!$B$12^2))-('Inputs'!$B$29*(3*146*'Inputs'!$B$12-146^2)/(2*'Inputs'!$B$12^2)))*'Inputs'!$B$51</x:f>
        <x:v>664357.9939951152</x:v>
      </x:c>
      <x:c r="D2705" s="78" t="n">
        <x:f>IF('Inputs'!$C$51&gt;0,('Inputs'!$B$30*(3*147*'Inputs'!$B$12-147^2)/(2*'Inputs'!$B$12^2))-('Inputs'!$B$30*(3*146*'Inputs'!$B$12-146^2)/(2*'Inputs'!$B$12^2)),0)</x:f>
        <x:v>284724.85456933826</x:v>
      </x:c>
      <x:c r="E2705" s="78" t="n">
        <x:f>C2705+D2705</x:f>
        <x:v>949082.8485644534</x:v>
      </x:c>
      <x:c r="F2705" s="78" t="n">
        <x:f>'Inputs'!$B$13*E2705+(1-'Inputs'!$B$13)/'Inputs'!$B$14*SUM(E2650:E2705)</x:f>
        <x:v>959300.5254269083</x:v>
      </x:c>
      <x:c r="G2705" s="78" t="n">
        <x:f>F2705*'Inputs'!$F$51</x:f>
        <x:v>239825.13135672707</x:v>
      </x:c>
      <x:c r="H2705" s="78" t="n">
        <x:f>U2704</x:f>
        <x:v>557306.1228244508</x:v>
      </x:c>
      <x:c r="I2705" s="78" t="n">
        <x:f>V2704</x:f>
        <x:v>230380.83251789128</x:v>
      </x:c>
      <x:c r="J2705" s="79" t="n">
        <x:f>IF(H2705&gt;0,I2705/H2705,0)</x:f>
        <x:v>0.4133829202347743</x:v>
      </x:c>
      <x:c r="K2705" s="80" t="n">
        <x:f>(H2705*J2705+I2705)*'Inputs'!$D$51*(1+'Inputs'!$G$51)^(B2705/30)</x:f>
        <x:v>1755598.3304403168</x:v>
      </x:c>
      <x:c r="L2705" s="80" t="n">
        <x:f>MAX(0,K2705*'Inputs'!$E$51)</x:f>
        <x:v>175559.8330440317</x:v>
      </x:c>
      <x:c r="M2705" s="80" t="n">
        <x:f>MAX(0,-K2705*'Inputs'!$E$51)</x:f>
        <x:v>0</x:v>
      </x:c>
      <x:c r="N2705" s="78" t="n">
        <x:f>H2705*(L2705*(1-'Inputs'!$B$15))/(I2705+L2705*(1-'Inputs'!$B$15))</x:f>
        <x:v>239648.0524185919</x:v>
      </x:c>
      <x:c r="O2705" s="78" t="n">
        <x:f>H2705-N2705</x:f>
        <x:v>317658.0704058589</x:v>
      </x:c>
      <x:c r="P2705" s="78" t="n">
        <x:f>I2705+L2705*(1-'Inputs'!$B$17)</x:f>
        <x:v>405234.1873605385</x:v>
      </x:c>
      <x:c r="Q2705" s="78" t="n">
        <x:f>IF(J2705&gt;0,M2705/J2705,0)</x:f>
        <x:v>0</x:v>
      </x:c>
      <x:c r="R2705" s="78" t="n">
        <x:f>IF(B2705='Inputs'!$H$51,'Inputs'!$B$27*'Inputs'!$I$51,0)</x:f>
        <x:v>0</x:v>
      </x:c>
      <x:c r="S2705" s="78" t="n">
        <x:f>Q2705+G2705+R2705</x:f>
        <x:v>239825.13135672707</x:v>
      </x:c>
      <x:c r="T2705" s="78" t="n">
        <x:f>P2705*(S2705*(1-'Inputs'!$B$15))/(O2705+S2705*(1-'Inputs'!$B$15))</x:f>
        <x:v>173331.10673241818</x:v>
      </x:c>
      <x:c r="U2705" s="78" t="n">
        <x:f>O2705+S2705*(1-'Inputs'!$B$17)</x:f>
        <x:v>556518.110690728</x:v>
      </x:c>
      <x:c r="V2705" s="78" t="n">
        <x:f>P2705-T2705</x:f>
        <x:v>231903.08062812034</x:v>
      </x:c>
      <x:c r="W2705" s="79" t="n">
        <x:f>IF(U2705&gt;0,V2705/U2705,0)</x:f>
        <x:v>0.4167035648494737</x:v>
      </x:c>
      <x:c r="X2705" s="80" t="n">
        <x:f>W2705*('Inputs'!$B$6-AC2705)</x:f>
        <x:v>416160468.9292133</x:v>
      </x:c>
      <x:c r="Y2705" s="80" t="n">
        <x:f>2*V2705</x:f>
        <x:v>463806.1612562407</x:v>
      </x:c>
      <x:c r="Z2705" s="80" t="n">
        <x:f>K2705*'Inputs'!$B$16+(G2705+R2705)*J2705*'Inputs'!$B$16</x:f>
        <x:v>11128.427661517493</x:v>
      </x:c>
      <x:c r="AA2705" s="80" t="n">
        <x:f>K2705*(1+'Inputs'!$E$51)/2*'Inputs'!$B$17</x:f>
        <x:v>3885.630107614384</x:v>
      </x:c>
      <x:c r="AB2705" s="78" t="n">
        <x:f>(IF(J2705&gt;0,K2705*(1-'Inputs'!$E$51)/2/J2705,0)+G2705+R2705)*'Inputs'!$B$17</x:f>
        <x:v>8655.664994032686</x:v>
      </x:c>
      <x:c r="AC2705" s="78" t="n">
        <x:f>AC2704+AB2705</x:f>
        <x:v>1303314.7927510075</x:v>
      </x:c>
      <x:c r="AD2705" s="80" t="n">
        <x:f>Z2705/(1+'Inputs'!$C$51)</x:f>
        <x:v>3709.4758871724976</x:v>
      </x:c>
      <x:c r="AE2705" s="80" t="n">
        <x:f>Z2705-AD2705</x:f>
        <x:v>7418.951774344996</x:v>
      </x:c>
      <x:c r="AF2705" s="80" t="n">
        <x:f>D2705*W2705</x:f>
        <x:v>118645.86190029122</x:v>
      </x:c>
      <x:c r="AG2705" s="80" t="n">
        <x:f>C2705*W2705</x:f>
        <x:v>276840.3444340097</x:v>
      </x:c>
      <x:c r="AH2705" s="80" t="n">
        <x:f>2*'Inputs'!$B$8*'Inputs'!$C$51</x:f>
        <x:v>10000</x:v>
      </x:c>
      <x:c r="AI2705" s="81" t="n">
        <x:f>IF(AH2705&gt;0,(AE2705+AF2705)/AH2705*365,0)</x:f>
        <x:v>4601.3656991242215</x:v>
      </x:c>
      <x:c r="AJ2705" s="81" t="n">
        <x:f>IF('Inputs'!$B$51&gt;0,AG2705/('Inputs'!$B$19*'Inputs'!$B$51)*365,0)</x:f>
        <x:v>10104.672571841353</x:v>
      </x:c>
      <x:c r="AK2705" s="81" t="n">
        <x:f>W2705/MAX($W$2559:W2705)-1</x:f>
        <x:v>-0.5772339602519148</x:v>
      </x:c>
      <x:c r="AL2705" s="83" t="n">
        <x:f>'Inputs'!$B$51</x:f>
        <x:v>1</x:v>
      </x:c>
      <x:c r="AM2705" s="83" t="n">
        <x:f>'Inputs'!$C$51</x:f>
        <x:v>2</x:v>
      </x:c>
      <x:c r="AN2705" s="83" t="n">
        <x:f>'Inputs'!$D$51</x:f>
        <x:v>3</x:v>
      </x:c>
      <x:c r="AO2705" s="81" t="n">
        <x:f>'Inputs'!$E$51</x:f>
        <x:v>0.1</x:v>
      </x:c>
    </x:row>
    <x:row r="2706">
      <x:c r="A2706" s="59" t="str">
        <x:v>High demand</x:v>
      </x:c>
      <x:c r="B2706" s="59" t="n">
        <x:v>148</x:v>
      </x:c>
      <x:c r="C2706" s="78" t="n">
        <x:f>(('Inputs'!$B$29*(3*148*'Inputs'!$B$12-148^2)/(2*'Inputs'!$B$12^2))-('Inputs'!$B$29*(3*147*'Inputs'!$B$12-147^2)/(2*'Inputs'!$B$12^2)))*'Inputs'!$B$51</x:f>
        <x:v>664032.8860949576</x:v>
      </x:c>
      <x:c r="D2706" s="78" t="n">
        <x:f>IF('Inputs'!$C$51&gt;0,('Inputs'!$B$30*(3*148*'Inputs'!$B$12-148^2)/(2*'Inputs'!$B$12^2))-('Inputs'!$B$30*(3*147*'Inputs'!$B$12-147^2)/(2*'Inputs'!$B$12^2)),0)</x:f>
        <x:v>284585.5226121247</x:v>
      </x:c>
      <x:c r="E2706" s="78" t="n">
        <x:f>C2706+D2706</x:f>
        <x:v>948618.4087070823</x:v>
      </x:c>
      <x:c r="F2706" s="78" t="n">
        <x:f>'Inputs'!$B$13*E2706+(1-'Inputs'!$B$13)/'Inputs'!$B$14*SUM(E2651:E2706)</x:f>
        <x:v>958836.0855695269</x:v>
      </x:c>
      <x:c r="G2706" s="78" t="n">
        <x:f>F2706*'Inputs'!$F$51</x:f>
        <x:v>239709.02139238172</x:v>
      </x:c>
      <x:c r="H2706" s="78" t="n">
        <x:f>U2705</x:f>
        <x:v>556518.110690728</x:v>
      </x:c>
      <x:c r="I2706" s="78" t="n">
        <x:f>V2705</x:f>
        <x:v>231903.08062812034</x:v>
      </x:c>
      <x:c r="J2706" s="79" t="n">
        <x:f>IF(H2706&gt;0,I2706/H2706,0)</x:f>
        <x:v>0.4167035648494737</x:v>
      </x:c>
      <x:c r="K2706" s="80" t="n">
        <x:f>(H2706*J2706+I2706)*'Inputs'!$D$51*(1+'Inputs'!$G$51)^(B2706/30)</x:f>
        <x:v>1770074.8997803358</x:v>
      </x:c>
      <x:c r="L2706" s="80" t="n">
        <x:f>MAX(0,K2706*'Inputs'!$E$51)</x:f>
        <x:v>177007.48997803358</x:v>
      </x:c>
      <x:c r="M2706" s="80" t="n">
        <x:f>MAX(0,-K2706*'Inputs'!$E$51)</x:f>
        <x:v>0</x:v>
      </x:c>
      <x:c r="N2706" s="78" t="n">
        <x:f>H2706*(L2706*(1-'Inputs'!$B$15))/(I2706+L2706*(1-'Inputs'!$B$15))</x:f>
        <x:v>239531.06161173666</x:v>
      </x:c>
      <x:c r="O2706" s="78" t="n">
        <x:f>H2706-N2706</x:f>
        <x:v>316987.0490789913</x:v>
      </x:c>
      <x:c r="P2706" s="78" t="n">
        <x:f>I2706+L2706*(1-'Inputs'!$B$17)</x:f>
        <x:v>408198.26682354615</x:v>
      </x:c>
      <x:c r="Q2706" s="78" t="n">
        <x:f>IF(J2706&gt;0,M2706/J2706,0)</x:f>
        <x:v>0</x:v>
      </x:c>
      <x:c r="R2706" s="78" t="n">
        <x:f>IF(B2706='Inputs'!$H$51,'Inputs'!$B$27*'Inputs'!$I$51,0)</x:f>
        <x:v>0</x:v>
      </x:c>
      <x:c r="S2706" s="78" t="n">
        <x:f>Q2706+G2706+R2706</x:f>
        <x:v>239709.02139238172</x:v>
      </x:c>
      <x:c r="T2706" s="78" t="n">
        <x:f>P2706*(S2706*(1-'Inputs'!$B$15))/(O2706+S2706*(1-'Inputs'!$B$15))</x:f>
        <x:v>174761.85678458738</x:v>
      </x:c>
      <x:c r="U2706" s="78" t="n">
        <x:f>O2706+S2706*(1-'Inputs'!$B$17)</x:f>
        <x:v>555731.4466428322</x:v>
      </x:c>
      <x:c r="V2706" s="78" t="n">
        <x:f>P2706-T2706</x:f>
        <x:v>233436.41003895877</x:v>
      </x:c>
      <x:c r="W2706" s="79" t="n">
        <x:f>IF(U2706&gt;0,V2706/U2706,0)</x:f>
        <x:v>0.4200525477713123</x:v>
      </x:c>
      <x:c r="X2706" s="80" t="n">
        <x:f>W2706*('Inputs'!$B$6-AC2706)</x:f>
        <x:v>419501450.75130534</x:v>
      </x:c>
      <x:c r="Y2706" s="80" t="n">
        <x:f>2*V2706</x:f>
        <x:v>466872.82007791754</x:v>
      </x:c>
      <x:c r="Z2706" s="80" t="n">
        <x:f>K2706*'Inputs'!$B$16+(G2706+R2706)*J2706*'Inputs'!$B$16</x:f>
        <x:v>11219.77502112672</x:v>
      </x:c>
      <x:c r="AA2706" s="80" t="n">
        <x:f>K2706*(1+'Inputs'!$E$51)/2*'Inputs'!$B$17</x:f>
        <x:v>3917.6708043427966</x:v>
      </x:c>
      <x:c r="AB2706" s="78" t="n">
        <x:f>(IF(J2706&gt;0,K2706*(1-'Inputs'!$E$51)/2/J2706,0)+G2706+R2706)*'Inputs'!$B$17</x:f>
        <x:v>8656.823493050224</x:v>
      </x:c>
      <x:c r="AC2706" s="78" t="n">
        <x:f>AC2705+AB2706</x:f>
        <x:v>1311971.6162440577</x:v>
      </x:c>
      <x:c r="AD2706" s="80" t="n">
        <x:f>Z2706/(1+'Inputs'!$C$51)</x:f>
        <x:v>3739.92500704224</x:v>
      </x:c>
      <x:c r="AE2706" s="80" t="n">
        <x:f>Z2706-AD2706</x:f>
        <x:v>7479.850014084479</x:v>
      </x:c>
      <x:c r="AF2706" s="80" t="n">
        <x:f>D2706*W2706</x:f>
        <x:v>119540.87383205337</x:v>
      </x:c>
      <x:c r="AG2706" s="80" t="n">
        <x:f>C2706*W2706</x:f>
        <x:v>278928.70560812455</x:v>
      </x:c>
      <x:c r="AH2706" s="80" t="n">
        <x:f>2*'Inputs'!$B$8*'Inputs'!$C$51</x:f>
        <x:v>10000</x:v>
      </x:c>
      <x:c r="AI2706" s="81" t="n">
        <x:f>IF(AH2706&gt;0,(AE2706+AF2706)/AH2706*365,0)</x:f>
        <x:v>4636.256420384032</x:v>
      </x:c>
      <x:c r="AJ2706" s="81" t="n">
        <x:f>IF('Inputs'!$B$51&gt;0,AG2706/('Inputs'!$B$19*'Inputs'!$B$51)*365,0)</x:f>
        <x:v>10180.897754696545</x:v>
      </x:c>
      <x:c r="AK2706" s="81" t="n">
        <x:f>W2706/MAX($W$2559:W2706)-1</x:f>
        <x:v>-0.57383625414503</x:v>
      </x:c>
      <x:c r="AL2706" s="83" t="n">
        <x:f>'Inputs'!$B$51</x:f>
        <x:v>1</x:v>
      </x:c>
      <x:c r="AM2706" s="83" t="n">
        <x:f>'Inputs'!$C$51</x:f>
        <x:v>2</x:v>
      </x:c>
      <x:c r="AN2706" s="83" t="n">
        <x:f>'Inputs'!$D$51</x:f>
        <x:v>3</x:v>
      </x:c>
      <x:c r="AO2706" s="81" t="n">
        <x:f>'Inputs'!$E$51</x:f>
        <x:v>0.1</x:v>
      </x:c>
    </x:row>
    <x:row r="2707">
      <x:c r="A2707" s="59" t="str">
        <x:v>High demand</x:v>
      </x:c>
      <x:c r="B2707" s="59" t="n">
        <x:v>149</x:v>
      </x:c>
      <x:c r="C2707" s="78" t="n">
        <x:f>(('Inputs'!$B$29*(3*149*'Inputs'!$B$12-149^2)/(2*'Inputs'!$B$12^2))-('Inputs'!$B$29*(3*148*'Inputs'!$B$12-148^2)/(2*'Inputs'!$B$12^2)))*'Inputs'!$B$51</x:f>
        <x:v>663707.7781947851</x:v>
      </x:c>
      <x:c r="D2707" s="78" t="n">
        <x:f>IF('Inputs'!$C$51&gt;0,('Inputs'!$B$30*(3*149*'Inputs'!$B$12-149^2)/(2*'Inputs'!$B$12^2))-('Inputs'!$B$30*(3*148*'Inputs'!$B$12-148^2)/(2*'Inputs'!$B$12^2)),0)</x:f>
        <x:v>284446.19065490365</x:v>
      </x:c>
      <x:c r="E2707" s="78" t="n">
        <x:f>C2707+D2707</x:f>
        <x:v>948153.9688496888</x:v>
      </x:c>
      <x:c r="F2707" s="78" t="n">
        <x:f>'Inputs'!$B$13*E2707+(1-'Inputs'!$B$13)/'Inputs'!$B$14*SUM(E2652:E2707)</x:f>
        <x:v>958371.645712141</x:v>
      </x:c>
      <x:c r="G2707" s="78" t="n">
        <x:f>F2707*'Inputs'!$F$51</x:f>
        <x:v>239592.91142803524</x:v>
      </x:c>
      <x:c r="H2707" s="78" t="n">
        <x:f>U2706</x:f>
        <x:v>555731.4466428322</x:v>
      </x:c>
      <x:c r="I2707" s="78" t="n">
        <x:f>V2706</x:f>
        <x:v>233436.41003895877</x:v>
      </x:c>
      <x:c r="J2707" s="79" t="n">
        <x:f>IF(H2707&gt;0,I2707/H2707,0)</x:f>
        <x:v>0.4200525477713123</x:v>
      </x:c>
      <x:c r="K2707" s="80" t="n">
        <x:f>(H2707*J2707+I2707)*'Inputs'!$D$51*(1+'Inputs'!$G$51)^(B2707/30)</x:f>
        <x:v>1784678.6632300098</x:v>
      </x:c>
      <x:c r="L2707" s="80" t="n">
        <x:f>MAX(0,K2707*'Inputs'!$E$51)</x:f>
        <x:v>178467.86632300098</x:v>
      </x:c>
      <x:c r="M2707" s="80" t="n">
        <x:f>MAX(0,-K2707*'Inputs'!$E$51)</x:f>
        <x:v>0</x:v>
      </x:c>
      <x:c r="N2707" s="78" t="n">
        <x:f>H2707*(L2707*(1-'Inputs'!$B$15))/(I2707+L2707*(1-'Inputs'!$B$15))</x:f>
        <x:v>239414.073422943</x:v>
      </x:c>
      <x:c r="O2707" s="78" t="n">
        <x:f>H2707-N2707</x:f>
        <x:v>316317.37321988924</x:v>
      </x:c>
      <x:c r="P2707" s="78" t="n">
        <x:f>I2707+L2707*(1-'Inputs'!$B$17)</x:f>
        <x:v>411186.09581337625</x:v>
      </x:c>
      <x:c r="Q2707" s="78" t="n">
        <x:f>IF(J2707&gt;0,M2707/J2707,0)</x:f>
        <x:v>0</x:v>
      </x:c>
      <x:c r="R2707" s="78" t="n">
        <x:f>IF(B2707='Inputs'!$H$51,'Inputs'!$B$27*'Inputs'!$I$51,0)</x:f>
        <x:v>0</x:v>
      </x:c>
      <x:c r="S2707" s="78" t="n">
        <x:f>Q2707+G2707+R2707</x:f>
        <x:v>239592.91142803524</x:v>
      </x:c>
      <x:c r="T2707" s="78" t="n">
        <x:f>P2707*(S2707*(1-'Inputs'!$B$15))/(O2707+S2707*(1-'Inputs'!$B$15))</x:f>
        <x:v>176205.18803396972</x:v>
      </x:c>
      <x:c r="U2707" s="78" t="n">
        <x:f>O2707+S2707*(1-'Inputs'!$B$17)</x:f>
        <x:v>554946.128062701</x:v>
      </x:c>
      <x:c r="V2707" s="78" t="n">
        <x:f>P2707-T2707</x:f>
        <x:v>234980.90777940652</x:v>
      </x:c>
      <x:c r="W2707" s="79" t="n">
        <x:f>IF(U2707&gt;0,V2707/U2707,0)</x:f>
        <x:v>0.42343012392881685</x:v>
      </x:c>
      <x:c r="X2707" s="80" t="n">
        <x:f>W2707*('Inputs'!$B$6-AC2707)</x:f>
        <x:v>422870929.57285523</x:v>
      </x:c>
      <x:c r="Y2707" s="80" t="n">
        <x:f>2*V2707</x:f>
        <x:v>469961.81555881305</x:v>
      </x:c>
      <x:c r="Z2707" s="80" t="n">
        <x:f>K2707*'Inputs'!$B$16+(G2707+R2707)*J2707*'Inputs'!$B$16</x:f>
        <x:v>11311.921656619816</x:v>
      </x:c>
      <x:c r="AA2707" s="80" t="n">
        <x:f>K2707*(1+'Inputs'!$E$51)/2*'Inputs'!$B$17</x:f>
        <x:v>3949.993017209278</x:v>
      </x:c>
      <x:c r="AB2707" s="78" t="n">
        <x:f>(IF(J2707&gt;0,K2707*(1-'Inputs'!$E$51)/2/J2707,0)+G2707+R2707)*'Inputs'!$B$17</x:f>
        <x:v>8657.985573460583</x:v>
      </x:c>
      <x:c r="AC2707" s="78" t="n">
        <x:f>AC2706+AB2707</x:f>
        <x:v>1320629.6018175182</x:v>
      </x:c>
      <x:c r="AD2707" s="80" t="n">
        <x:f>Z2707/(1+'Inputs'!$C$51)</x:f>
        <x:v>3770.640552206605</x:v>
      </x:c>
      <x:c r="AE2707" s="80" t="n">
        <x:f>Z2707-AD2707</x:f>
        <x:v>7541.28110441321</x:v>
      </x:c>
      <x:c r="AF2707" s="80" t="n">
        <x:f>D2707*W2707</x:f>
        <x:v>120443.08576008571</x:v>
      </x:c>
      <x:c r="AG2707" s="80" t="n">
        <x:f>C2707*W2707</x:f>
        <x:v>281033.86677353753</x:v>
      </x:c>
      <x:c r="AH2707" s="80" t="n">
        <x:f>2*'Inputs'!$B$8*'Inputs'!$C$51</x:f>
        <x:v>10000</x:v>
      </x:c>
      <x:c r="AI2707" s="81" t="n">
        <x:f>IF(AH2707&gt;0,(AE2707+AF2707)/AH2707*365,0)</x:f>
        <x:v>4671.429390554211</x:v>
      </x:c>
      <x:c r="AJ2707" s="81" t="n">
        <x:f>IF('Inputs'!$B$51&gt;0,AG2707/('Inputs'!$B$19*'Inputs'!$B$51)*365,0)</x:f>
        <x:v>10257.73613723412</x:v>
      </x:c>
      <x:c r="AK2707" s="81" t="n">
        <x:f>W2707/MAX($W$2559:W2707)-1</x:f>
        <x:v>-0.5704095388094615</x:v>
      </x:c>
      <x:c r="AL2707" s="83" t="n">
        <x:f>'Inputs'!$B$51</x:f>
        <x:v>1</x:v>
      </x:c>
      <x:c r="AM2707" s="83" t="n">
        <x:f>'Inputs'!$C$51</x:f>
        <x:v>2</x:v>
      </x:c>
      <x:c r="AN2707" s="83" t="n">
        <x:f>'Inputs'!$D$51</x:f>
        <x:v>3</x:v>
      </x:c>
      <x:c r="AO2707" s="81" t="n">
        <x:f>'Inputs'!$E$51</x:f>
        <x:v>0.1</x:v>
      </x:c>
    </x:row>
    <x:row r="2708">
      <x:c r="A2708" s="59" t="str">
        <x:v>High demand</x:v>
      </x:c>
      <x:c r="B2708" s="59" t="n">
        <x:v>150</x:v>
      </x:c>
      <x:c r="C2708" s="78" t="n">
        <x:f>(('Inputs'!$B$29*(3*150*'Inputs'!$B$12-150^2)/(2*'Inputs'!$B$12^2))-('Inputs'!$B$29*(3*149*'Inputs'!$B$12-149^2)/(2*'Inputs'!$B$12^2)))*'Inputs'!$B$51</x:f>
        <x:v>663382.6702946126</x:v>
      </x:c>
      <x:c r="D2708" s="78" t="n">
        <x:f>IF('Inputs'!$C$51&gt;0,('Inputs'!$B$30*(3*150*'Inputs'!$B$12-150^2)/(2*'Inputs'!$B$12^2))-('Inputs'!$B$30*(3*149*'Inputs'!$B$12-149^2)/(2*'Inputs'!$B$12^2)),0)</x:f>
        <x:v>284306.85869769007</x:v>
      </x:c>
      <x:c r="E2708" s="78" t="n">
        <x:f>C2708+D2708</x:f>
        <x:v>947689.5289923027</x:v>
      </x:c>
      <x:c r="F2708" s="78" t="n">
        <x:f>'Inputs'!$B$13*E2708+(1-'Inputs'!$B$13)/'Inputs'!$B$14*SUM(E2653:E2708)</x:f>
        <x:v>957907.2058547564</x:v>
      </x:c>
      <x:c r="G2708" s="78" t="n">
        <x:f>F2708*'Inputs'!$F$51</x:f>
        <x:v>239476.8014636891</x:v>
      </x:c>
      <x:c r="H2708" s="78" t="n">
        <x:f>U2707</x:f>
        <x:v>554946.128062701</x:v>
      </x:c>
      <x:c r="I2708" s="78" t="n">
        <x:f>V2707</x:f>
        <x:v>234980.90777940652</x:v>
      </x:c>
      <x:c r="J2708" s="79" t="n">
        <x:f>IF(H2708&gt;0,I2708/H2708,0)</x:f>
        <x:v>0.42343012392881685</x:v>
      </x:c>
      <x:c r="K2708" s="80" t="n">
        <x:f>(H2708*J2708+I2708)*'Inputs'!$D$51*(1+'Inputs'!$G$51)^(B2708/30)</x:f>
        <x:v>1799410.8008302166</x:v>
      </x:c>
      <x:c r="L2708" s="80" t="n">
        <x:f>MAX(0,K2708*'Inputs'!$E$51)</x:f>
        <x:v>179941.08008302166</x:v>
      </x:c>
      <x:c r="M2708" s="80" t="n">
        <x:f>MAX(0,-K2708*'Inputs'!$E$51)</x:f>
        <x:v>0</x:v>
      </x:c>
      <x:c r="N2708" s="78" t="n">
        <x:f>H2708*(L2708*(1-'Inputs'!$B$15))/(I2708+L2708*(1-'Inputs'!$B$15))</x:f>
        <x:v>239297.0878472181</x:v>
      </x:c>
      <x:c r="O2708" s="78" t="n">
        <x:f>H2708-N2708</x:f>
        <x:v>315649.0402154829</x:v>
      </x:c>
      <x:c r="P2708" s="78" t="n">
        <x:f>I2708+L2708*(1-'Inputs'!$B$17)</x:f>
        <x:v>414197.878888251</x:v>
      </x:c>
      <x:c r="Q2708" s="78" t="n">
        <x:f>IF(J2708&gt;0,M2708/J2708,0)</x:f>
        <x:v>0</x:v>
      </x:c>
      <x:c r="R2708" s="78" t="n">
        <x:f>IF(B2708='Inputs'!$H$51,'Inputs'!$B$27*'Inputs'!$I$51,0)</x:f>
        <x:v>0</x:v>
      </x:c>
      <x:c r="S2708" s="78" t="n">
        <x:f>Q2708+G2708+R2708</x:f>
        <x:v>239476.8014636891</x:v>
      </x:c>
      <x:c r="T2708" s="78" t="n">
        <x:f>P2708*(S2708*(1-'Inputs'!$B$15))/(O2708+S2708*(1-'Inputs'!$B$15))</x:f>
        <x:v>177661.21728251144</x:v>
      </x:c>
      <x:c r="U2708" s="78" t="n">
        <x:f>O2708+S2708*(1-'Inputs'!$B$17)</x:f>
        <x:v>554162.1523372658</x:v>
      </x:c>
      <x:c r="V2708" s="78" t="n">
        <x:f>P2708-T2708</x:f>
        <x:v>236536.6616057396</x:v>
      </x:c>
      <x:c r="W2708" s="79" t="n">
        <x:f>IF(U2708&gt;0,V2708/U2708,0)</x:f>
        <x:v>0.4268365506523842</x:v>
      </x:c>
      <x:c r="X2708" s="80" t="n">
        <x:f>W2708*('Inputs'!$B$6-AC2708)</x:f>
        <x:v>426269161.6262095</x:v>
      </x:c>
      <x:c r="Y2708" s="80" t="n">
        <x:f>2*V2708</x:f>
        <x:v>473073.3232114792</x:v>
      </x:c>
      <x:c r="Z2708" s="80" t="n">
        <x:f>K2708*'Inputs'!$B$16+(G2708+R2708)*J2708*'Inputs'!$B$16</x:f>
        <x:v>11404.87495531238</x:v>
      </x:c>
      <x:c r="AA2708" s="80" t="n">
        <x:f>K2708*(1+'Inputs'!$E$51)/2*'Inputs'!$B$17</x:f>
        <x:v>3982.599357974323</x:v>
      </x:c>
      <x:c r="AB2708" s="78" t="n">
        <x:f>(IF(J2708&gt;0,K2708*(1-'Inputs'!$E$51)/2/J2708,0)+G2708+R2708)*'Inputs'!$B$17</x:f>
        <x:v>8659.15123668853</x:v>
      </x:c>
      <x:c r="AC2708" s="78" t="n">
        <x:f>AC2707+AB2708</x:f>
        <x:v>1329288.7530542067</x:v>
      </x:c>
      <x:c r="AD2708" s="80" t="n">
        <x:f>Z2708/(1+'Inputs'!$C$51)</x:f>
        <x:v>3801.6249851041266</x:v>
      </x:c>
      <x:c r="AE2708" s="80" t="n">
        <x:f>Z2708-AD2708</x:f>
        <x:v>7603.249970208253</x:v>
      </x:c>
      <x:c r="AF2708" s="80" t="n">
        <x:f>D2708*W2708</x:f>
        <x:v>121352.55889333683</x:v>
      </x:c>
      <x:c r="AG2708" s="80" t="n">
        <x:f>C2708*W2708</x:f>
        <x:v>283155.9707511203</x:v>
      </x:c>
      <x:c r="AH2708" s="80" t="n">
        <x:f>2*'Inputs'!$B$8*'Inputs'!$C$51</x:f>
        <x:v>10000</x:v>
      </x:c>
      <x:c r="AI2708" s="81" t="n">
        <x:f>IF(AH2708&gt;0,(AE2708+AF2708)/AH2708*365,0)</x:f>
        <x:v>4706.887023519395</x:v>
      </x:c>
      <x:c r="AJ2708" s="81" t="n">
        <x:f>IF('Inputs'!$B$51&gt;0,AG2708/('Inputs'!$B$19*'Inputs'!$B$51)*365,0)</x:f>
        <x:v>10335.192932415892</x:v>
      </x:c>
      <x:c r="AK2708" s="81" t="n">
        <x:f>W2708/MAX($W$2559:W2708)-1</x:f>
        <x:v>-0.5669535531710022</x:v>
      </x:c>
      <x:c r="AL2708" s="83" t="n">
        <x:f>'Inputs'!$B$51</x:f>
        <x:v>1</x:v>
      </x:c>
      <x:c r="AM2708" s="83" t="n">
        <x:f>'Inputs'!$C$51</x:f>
        <x:v>2</x:v>
      </x:c>
      <x:c r="AN2708" s="83" t="n">
        <x:f>'Inputs'!$D$51</x:f>
        <x:v>3</x:v>
      </x:c>
      <x:c r="AO2708" s="81" t="n">
        <x:f>'Inputs'!$E$51</x:f>
        <x:v>0.1</x:v>
      </x:c>
    </x:row>
    <x:row r="2709">
      <x:c r="A2709" s="59" t="str">
        <x:v>High demand</x:v>
      </x:c>
      <x:c r="B2709" s="59" t="n">
        <x:v>151</x:v>
      </x:c>
      <x:c r="C2709" s="78" t="n">
        <x:f>(('Inputs'!$B$29*(3*151*'Inputs'!$B$12-151^2)/(2*'Inputs'!$B$12^2))-('Inputs'!$B$29*(3*150*'Inputs'!$B$12-150^2)/(2*'Inputs'!$B$12^2)))*'Inputs'!$B$51</x:f>
        <x:v>663057.5623944402</x:v>
      </x:c>
      <x:c r="D2709" s="78" t="n">
        <x:f>IF('Inputs'!$C$51&gt;0,('Inputs'!$B$30*(3*151*'Inputs'!$B$12-151^2)/(2*'Inputs'!$B$12^2))-('Inputs'!$B$30*(3*150*'Inputs'!$B$12-150^2)/(2*'Inputs'!$B$12^2)),0)</x:f>
        <x:v>284167.5267404765</x:v>
      </x:c>
      <x:c r="E2709" s="78" t="n">
        <x:f>C2709+D2709</x:f>
        <x:v>947225.0891349167</x:v>
      </x:c>
      <x:c r="F2709" s="78" t="n">
        <x:f>'Inputs'!$B$13*E2709+(1-'Inputs'!$B$13)/'Inputs'!$B$14*SUM(E2654:E2709)</x:f>
        <x:v>957442.7659973718</x:v>
      </x:c>
      <x:c r="G2709" s="78" t="n">
        <x:f>F2709*'Inputs'!$F$51</x:f>
        <x:v>239360.69149934294</x:v>
      </x:c>
      <x:c r="H2709" s="78" t="n">
        <x:f>U2708</x:f>
        <x:v>554162.1523372658</x:v>
      </x:c>
      <x:c r="I2709" s="78" t="n">
        <x:f>V2708</x:f>
        <x:v>236536.6616057396</x:v>
      </x:c>
      <x:c r="J2709" s="79" t="n">
        <x:f>IF(H2709&gt;0,I2709/H2709,0)</x:f>
        <x:v>0.4268365506523842</x:v>
      </x:c>
      <x:c r="K2709" s="80" t="n">
        <x:f>(H2709*J2709+I2709)*'Inputs'!$D$51*(1+'Inputs'!$G$51)^(B2709/30)</x:f>
        <x:v>1814272.504098522</x:v>
      </x:c>
      <x:c r="L2709" s="80" t="n">
        <x:f>MAX(0,K2709*'Inputs'!$E$51)</x:f>
        <x:v>181427.25040985222</x:v>
      </x:c>
      <x:c r="M2709" s="80" t="n">
        <x:f>MAX(0,-K2709*'Inputs'!$E$51)</x:f>
        <x:v>0</x:v>
      </x:c>
      <x:c r="N2709" s="78" t="n">
        <x:f>H2709*(L2709*(1-'Inputs'!$B$15))/(I2709+L2709*(1-'Inputs'!$B$15))</x:f>
        <x:v>239180.10487957968</x:v>
      </x:c>
      <x:c r="O2709" s="78" t="n">
        <x:f>H2709-N2709</x:f>
        <x:v>314982.0474576861</x:v>
      </x:c>
      <x:c r="P2709" s="78" t="n">
        <x:f>I2709+L2709*(1-'Inputs'!$B$17)</x:f>
        <x:v>417233.82247671916</x:v>
      </x:c>
      <x:c r="Q2709" s="78" t="n">
        <x:f>IF(J2709&gt;0,M2709/J2709,0)</x:f>
        <x:v>0</x:v>
      </x:c>
      <x:c r="R2709" s="78" t="n">
        <x:f>IF(B2709='Inputs'!$H$51,'Inputs'!$B$27*'Inputs'!$I$51,0)</x:f>
        <x:v>0</x:v>
      </x:c>
      <x:c r="S2709" s="78" t="n">
        <x:f>Q2709+G2709+R2709</x:f>
        <x:v>239360.69149934294</x:v>
      </x:c>
      <x:c r="T2709" s="78" t="n">
        <x:f>P2709*(S2709*(1-'Inputs'!$B$15))/(O2709+S2709*(1-'Inputs'!$B$15))</x:f>
        <x:v>179130.06246880436</x:v>
      </x:c>
      <x:c r="U2709" s="78" t="n">
        <x:f>O2709+S2709*(1-'Inputs'!$B$17)</x:f>
        <x:v>553379.5168584401</x:v>
      </x:c>
      <x:c r="V2709" s="78" t="n">
        <x:f>P2709-T2709</x:f>
        <x:v>238103.7600079148</x:v>
      </x:c>
      <x:c r="W2709" s="79" t="n">
        <x:f>IF(U2709&gt;0,V2709/U2709,0)</x:f>
        <x:v>0.4302720876978612</x:v>
      </x:c>
      <x:c r="X2709" s="80" t="n">
        <x:f>W2709*('Inputs'!$B$6-AC2709)</x:f>
        <x:v>429696405.55675644</x:v>
      </x:c>
      <x:c r="Y2709" s="80" t="n">
        <x:f>2*V2709</x:f>
        <x:v>476207.5200158296</x:v>
      </x:c>
      <x:c r="Z2709" s="80" t="n">
        <x:f>K2709*'Inputs'!$B$16+(G2709+R2709)*J2709*'Inputs'!$B$16</x:f>
        <x:v>11498.642376119227</x:v>
      </x:c>
      <x:c r="AA2709" s="80" t="n">
        <x:f>K2709*(1+'Inputs'!$E$51)/2*'Inputs'!$B$17</x:f>
        <x:v>4015.492463799546</x:v>
      </x:c>
      <x:c r="AB2709" s="78" t="n">
        <x:f>(IF(J2709&gt;0,K2709*(1-'Inputs'!$E$51)/2/J2709,0)+G2709+R2709)*'Inputs'!$B$17</x:f>
        <x:v>8660.320484154612</x:v>
      </x:c>
      <x:c r="AC2709" s="78" t="n">
        <x:f>AC2708+AB2709</x:f>
        <x:v>1337949.0735383614</x:v>
      </x:c>
      <x:c r="AD2709" s="80" t="n">
        <x:f>Z2709/(1+'Inputs'!$C$51)</x:f>
        <x:v>3832.8807920397426</x:v>
      </x:c>
      <x:c r="AE2709" s="80" t="n">
        <x:f>Z2709-AD2709</x:f>
        <x:v>7665.761584079484</x:v>
      </x:c>
      <x:c r="AF2709" s="80" t="n">
        <x:f>D2709*W2709</x:f>
        <x:v>122269.35498656261</x:v>
      </x:c>
      <x:c r="AG2709" s="80" t="n">
        <x:f>C2709*W2709</x:f>
        <x:v>285295.1616353106</x:v>
      </x:c>
      <x:c r="AH2709" s="80" t="n">
        <x:f>2*'Inputs'!$B$8*'Inputs'!$C$51</x:f>
        <x:v>10000</x:v>
      </x:c>
      <x:c r="AI2709" s="81" t="n">
        <x:f>IF(AH2709&gt;0,(AE2709+AF2709)/AH2709*365,0)</x:f>
        <x:v>4742.631754828437</x:v>
      </x:c>
      <x:c r="AJ2709" s="81" t="n">
        <x:f>IF('Inputs'!$B$51&gt;0,AG2709/('Inputs'!$B$19*'Inputs'!$B$51)*365,0)</x:f>
        <x:v>10413.273399688838</x:v>
      </x:c>
      <x:c r="AK2709" s="81" t="n">
        <x:f>W2709/MAX($W$2559:W2709)-1</x:f>
        <x:v>-0.5634680336947078</x:v>
      </x:c>
      <x:c r="AL2709" s="83" t="n">
        <x:f>'Inputs'!$B$51</x:f>
        <x:v>1</x:v>
      </x:c>
      <x:c r="AM2709" s="83" t="n">
        <x:f>'Inputs'!$C$51</x:f>
        <x:v>2</x:v>
      </x:c>
      <x:c r="AN2709" s="83" t="n">
        <x:f>'Inputs'!$D$51</x:f>
        <x:v>3</x:v>
      </x:c>
      <x:c r="AO2709" s="81" t="n">
        <x:f>'Inputs'!$E$51</x:f>
        <x:v>0.1</x:v>
      </x:c>
    </x:row>
    <x:row r="2710">
      <x:c r="A2710" s="59" t="str">
        <x:v>High demand</x:v>
      </x:c>
      <x:c r="B2710" s="59" t="n">
        <x:v>152</x:v>
      </x:c>
      <x:c r="C2710" s="78" t="n">
        <x:f>(('Inputs'!$B$29*(3*152*'Inputs'!$B$12-152^2)/(2*'Inputs'!$B$12^2))-('Inputs'!$B$29*(3*151*'Inputs'!$B$12-151^2)/(2*'Inputs'!$B$12^2)))*'Inputs'!$B$51</x:f>
        <x:v>662732.4544942826</x:v>
      </x:c>
      <x:c r="D2710" s="78" t="n">
        <x:f>IF('Inputs'!$C$51&gt;0,('Inputs'!$B$30*(3*152*'Inputs'!$B$12-152^2)/(2*'Inputs'!$B$12^2))-('Inputs'!$B$30*(3*151*'Inputs'!$B$12-151^2)/(2*'Inputs'!$B$12^2)),0)</x:f>
        <x:v>284028.1947832629</x:v>
      </x:c>
      <x:c r="E2710" s="78" t="n">
        <x:f>C2710+D2710</x:f>
        <x:v>946760.6492775455</x:v>
      </x:c>
      <x:c r="F2710" s="78" t="n">
        <x:f>'Inputs'!$B$13*E2710+(1-'Inputs'!$B$13)/'Inputs'!$B$14*SUM(E2655:E2710)</x:f>
        <x:v>956978.3261399904</x:v>
      </x:c>
      <x:c r="G2710" s="78" t="n">
        <x:f>F2710*'Inputs'!$F$51</x:f>
        <x:v>239244.5815349976</x:v>
      </x:c>
      <x:c r="H2710" s="78" t="n">
        <x:f>U2709</x:f>
        <x:v>553379.5168584401</x:v>
      </x:c>
      <x:c r="I2710" s="78" t="n">
        <x:f>V2709</x:f>
        <x:v>238103.7600079148</x:v>
      </x:c>
      <x:c r="J2710" s="79" t="n">
        <x:f>IF(H2710&gt;0,I2710/H2710,0)</x:f>
        <x:v>0.4302720876978612</x:v>
      </x:c>
      <x:c r="K2710" s="80" t="n">
        <x:f>(H2710*J2710+I2710)*'Inputs'!$D$51*(1+'Inputs'!$G$51)^(B2710/30)</x:f>
        <x:v>1829264.976145521</x:v>
      </x:c>
      <x:c r="L2710" s="80" t="n">
        <x:f>MAX(0,K2710*'Inputs'!$E$51)</x:f>
        <x:v>182926.49761455212</x:v>
      </x:c>
      <x:c r="M2710" s="80" t="n">
        <x:f>MAX(0,-K2710*'Inputs'!$E$51)</x:f>
        <x:v>0</x:v>
      </x:c>
      <x:c r="N2710" s="78" t="n">
        <x:f>H2710*(L2710*(1-'Inputs'!$B$15))/(I2710+L2710*(1-'Inputs'!$B$15))</x:f>
        <x:v>239063.1245150545</x:v>
      </x:c>
      <x:c r="O2710" s="78" t="n">
        <x:f>H2710-N2710</x:f>
        <x:v>314316.3923433856</x:v>
      </x:c>
      <x:c r="P2710" s="78" t="n">
        <x:f>I2710+L2710*(1-'Inputs'!$B$17)</x:f>
        <x:v>420294.13489564776</x:v>
      </x:c>
      <x:c r="Q2710" s="78" t="n">
        <x:f>IF(J2710&gt;0,M2710/J2710,0)</x:f>
        <x:v>0</x:v>
      </x:c>
      <x:c r="R2710" s="78" t="n">
        <x:f>IF(B2710='Inputs'!$H$51,'Inputs'!$B$27*'Inputs'!$I$51,0)</x:f>
        <x:v>0</x:v>
      </x:c>
      <x:c r="S2710" s="78" t="n">
        <x:f>Q2710+G2710+R2710</x:f>
        <x:v>239244.5815349976</x:v>
      </x:c>
      <x:c r="T2710" s="78" t="n">
        <x:f>P2710*(S2710*(1-'Inputs'!$B$15))/(O2710+S2710*(1-'Inputs'!$B$15))</x:f>
        <x:v>180611.84267961557</x:v>
      </x:c>
      <x:c r="U2710" s="78" t="n">
        <x:f>O2710+S2710*(1-'Inputs'!$B$17)</x:f>
        <x:v>552598.2190231115</x:v>
      </x:c>
      <x:c r="V2710" s="78" t="n">
        <x:f>P2710-T2710</x:f>
        <x:v>239682.2922160322</x:v>
      </x:c>
      <x:c r="W2710" s="79" t="n">
        <x:f>IF(U2710&gt;0,V2710/U2710,0)</x:f>
        <x:v>0.4337369972703583</x:v>
      </x:c>
      <x:c r="X2710" s="80" t="n">
        <x:f>W2710*('Inputs'!$B$6-AC2710)</x:f>
        <x:v>433152922.4465978</x:v>
      </x:c>
      <x:c r="Y2710" s="80" t="n">
        <x:f>2*V2710</x:f>
        <x:v>479364.5844320644</x:v>
      </x:c>
      <x:c r="Z2710" s="80" t="n">
        <x:f>K2710*'Inputs'!$B$16+(G2710+R2710)*J2710*'Inputs'!$B$16</x:f>
        <x:v>11593.231450277914</x:v>
      </x:c>
      <x:c r="AA2710" s="80" t="n">
        <x:f>K2710*(1+'Inputs'!$E$51)/2*'Inputs'!$B$17</x:f>
        <x:v>4048.674997505178</x:v>
      </x:c>
      <x:c r="AB2710" s="78" t="n">
        <x:f>(IF(J2710&gt;0,K2710*(1-'Inputs'!$E$51)/2/J2710,0)+G2710+R2710)*'Inputs'!$B$17</x:f>
        <x:v>8661.493317275092</x:v>
      </x:c>
      <x:c r="AC2710" s="78" t="n">
        <x:f>AC2709+AB2710</x:f>
        <x:v>1346610.5668556364</x:v>
      </x:c>
      <x:c r="AD2710" s="80" t="n">
        <x:f>Z2710/(1+'Inputs'!$C$51)</x:f>
        <x:v>3864.410483425971</x:v>
      </x:c>
      <x:c r="AE2710" s="80" t="n">
        <x:f>Z2710-AD2710</x:f>
        <x:v>7728.820966851943</x:v>
      </x:c>
      <x:c r="AF2710" s="80" t="n">
        <x:f>D2710*W2710</x:f>
        <x:v>123193.5363454129</x:v>
      </x:c>
      <x:c r="AG2710" s="80" t="n">
        <x:f>C2710*W2710</x:f>
        <x:v>287451.5848059645</x:v>
      </x:c>
      <x:c r="AH2710" s="80" t="n">
        <x:f>2*'Inputs'!$B$8*'Inputs'!$C$51</x:f>
        <x:v>10000</x:v>
      </x:c>
      <x:c r="AI2710" s="81" t="n">
        <x:f>IF(AH2710&gt;0,(AE2710+AF2710)/AH2710*365,0)</x:f>
        <x:v>4778.666041897667</x:v>
      </x:c>
      <x:c r="AJ2710" s="81" t="n">
        <x:f>IF('Inputs'!$B$51&gt;0,AG2710/('Inputs'!$B$19*'Inputs'!$B$51)*365,0)</x:f>
        <x:v>10491.982845417704</x:v>
      </x:c>
      <x:c r="AK2710" s="81" t="n">
        <x:f>W2710/MAX($W$2559:W2710)-1</x:f>
        <x:v>-0.5599527143607371</x:v>
      </x:c>
      <x:c r="AL2710" s="83" t="n">
        <x:f>'Inputs'!$B$51</x:f>
        <x:v>1</x:v>
      </x:c>
      <x:c r="AM2710" s="83" t="n">
        <x:f>'Inputs'!$C$51</x:f>
        <x:v>2</x:v>
      </x:c>
      <x:c r="AN2710" s="83" t="n">
        <x:f>'Inputs'!$D$51</x:f>
        <x:v>3</x:v>
      </x:c>
      <x:c r="AO2710" s="81" t="n">
        <x:f>'Inputs'!$E$51</x:f>
        <x:v>0.1</x:v>
      </x:c>
    </x:row>
    <x:row r="2711">
      <x:c r="A2711" s="59" t="str">
        <x:v>High demand</x:v>
      </x:c>
      <x:c r="B2711" s="59" t="n">
        <x:v>153</x:v>
      </x:c>
      <x:c r="C2711" s="78" t="n">
        <x:f>(('Inputs'!$B$29*(3*153*'Inputs'!$B$12-153^2)/(2*'Inputs'!$B$12^2))-('Inputs'!$B$29*(3*152*'Inputs'!$B$12-152^2)/(2*'Inputs'!$B$12^2)))*'Inputs'!$B$51</x:f>
        <x:v>662407.3465941101</x:v>
      </x:c>
      <x:c r="D2711" s="78" t="n">
        <x:f>IF('Inputs'!$C$51&gt;0,('Inputs'!$B$30*(3*153*'Inputs'!$B$12-153^2)/(2*'Inputs'!$B$12^2))-('Inputs'!$B$30*(3*152*'Inputs'!$B$12-152^2)/(2*'Inputs'!$B$12^2)),0)</x:f>
        <x:v>283888.8628260493</x:v>
      </x:c>
      <x:c r="E2711" s="78" t="n">
        <x:f>C2711+D2711</x:f>
        <x:v>946296.2094201595</x:v>
      </x:c>
      <x:c r="F2711" s="78" t="n">
        <x:f>'Inputs'!$B$13*E2711+(1-'Inputs'!$B$13)/'Inputs'!$B$14*SUM(E2656:E2711)</x:f>
        <x:v>956513.8862826059</x:v>
      </x:c>
      <x:c r="G2711" s="78" t="n">
        <x:f>F2711*'Inputs'!$F$51</x:f>
        <x:v>239128.47157065148</x:v>
      </x:c>
      <x:c r="H2711" s="78" t="n">
        <x:f>U2710</x:f>
        <x:v>552598.2190231115</x:v>
      </x:c>
      <x:c r="I2711" s="78" t="n">
        <x:f>V2710</x:f>
        <x:v>239682.2922160322</x:v>
      </x:c>
      <x:c r="J2711" s="79" t="n">
        <x:f>IF(H2711&gt;0,I2711/H2711,0)</x:f>
        <x:v>0.4337369972703583</x:v>
      </x:c>
      <x:c r="K2711" s="80" t="n">
        <x:f>(H2711*J2711+I2711)*'Inputs'!$D$51*(1+'Inputs'!$G$51)^(B2711/30)</x:f>
        <x:v>1844389.4317923903</x:v>
      </x:c>
      <x:c r="L2711" s="80" t="n">
        <x:f>MAX(0,K2711*'Inputs'!$E$51)</x:f>
        <x:v>184438.94317923905</x:v>
      </x:c>
      <x:c r="M2711" s="80" t="n">
        <x:f>MAX(0,-K2711*'Inputs'!$E$51)</x:f>
        <x:v>0</x:v>
      </x:c>
      <x:c r="N2711" s="78" t="n">
        <x:f>H2711*(L2711*(1-'Inputs'!$B$15))/(I2711+L2711*(1-'Inputs'!$B$15))</x:f>
        <x:v>238946.14674867922</x:v>
      </x:c>
      <x:c r="O2711" s="78" t="n">
        <x:f>H2711-N2711</x:f>
        <x:v>313652.0722744323</x:v>
      </x:c>
      <x:c r="P2711" s="78" t="n">
        <x:f>I2711+L2711*(1-'Inputs'!$B$17)</x:f>
        <x:v>423379.026368393</x:v>
      </x:c>
      <x:c r="Q2711" s="78" t="n">
        <x:f>IF(J2711&gt;0,M2711/J2711,0)</x:f>
        <x:v>0</x:v>
      </x:c>
      <x:c r="R2711" s="78" t="n">
        <x:f>IF(B2711='Inputs'!$H$51,'Inputs'!$B$27*'Inputs'!$I$51,0)</x:f>
        <x:v>0</x:v>
      </x:c>
      <x:c r="S2711" s="78" t="n">
        <x:f>Q2711+G2711+R2711</x:f>
        <x:v>239128.47157065148</x:v>
      </x:c>
      <x:c r="T2711" s="78" t="n">
        <x:f>P2711*(S2711*(1-'Inputs'!$B$15))/(O2711+S2711*(1-'Inputs'!$B$15))</x:f>
        <x:v>182106.6781615345</x:v>
      </x:c>
      <x:c r="U2711" s="78" t="n">
        <x:f>O2711+S2711*(1-'Inputs'!$B$17)</x:f>
        <x:v>551818.2562331294</x:v>
      </x:c>
      <x:c r="V2711" s="78" t="n">
        <x:f>P2711-T2711</x:f>
        <x:v>241272.34820685847</x:v>
      </x:c>
      <x:c r="W2711" s="79" t="n">
        <x:f>IF(U2711&gt;0,V2711/U2711,0)</x:f>
        <x:v>0.43723154404831244</x:v>
      </x:c>
      <x:c r="X2711" s="80" t="n">
        <x:f>W2711*('Inputs'!$B$6-AC2711)</x:f>
        <x:v>436638975.83846945</x:v>
      </x:c>
      <x:c r="Y2711" s="80" t="n">
        <x:f>2*V2711</x:f>
        <x:v>482544.69641371694</x:v>
      </x:c>
      <x:c r="Z2711" s="80" t="n">
        <x:f>K2711*'Inputs'!$B$16+(G2711+R2711)*J2711*'Inputs'!$B$16</x:f>
        <x:v>11688.649782079769</x:v>
      </x:c>
      <x:c r="AA2711" s="80" t="n">
        <x:f>K2711*(1+'Inputs'!$E$51)/2*'Inputs'!$B$17</x:f>
        <x:v>4082.149647830241</x:v>
      </x:c>
      <x:c r="AB2711" s="78" t="n">
        <x:f>(IF(J2711&gt;0,K2711*(1-'Inputs'!$E$51)/2/J2711,0)+G2711+R2711)*'Inputs'!$B$17</x:f>
        <x:v>8662.669737461953</x:v>
      </x:c>
      <x:c r="AC2711" s="78" t="n">
        <x:f>AC2710+AB2711</x:f>
        <x:v>1355273.2365930984</x:v>
      </x:c>
      <x:c r="AD2711" s="80" t="n">
        <x:f>Z2711/(1+'Inputs'!$C$51)</x:f>
        <x:v>3896.2165940265895</x:v>
      </x:c>
      <x:c r="AE2711" s="80" t="n">
        <x:f>Z2711-AD2711</x:f>
        <x:v>7792.433188053179</x:v>
      </x:c>
      <x:c r="AF2711" s="80" t="n">
        <x:f>D2711*W2711</x:f>
        <x:v>124125.16583155311</x:v>
      </x:c>
      <x:c r="AG2711" s="80" t="n">
        <x:f>C2711*W2711</x:f>
        <x:v>289625.3869402884</x:v>
      </x:c>
      <x:c r="AH2711" s="80" t="n">
        <x:f>2*'Inputs'!$B$8*'Inputs'!$C$51</x:f>
        <x:v>10000</x:v>
      </x:c>
      <x:c r="AI2711" s="81" t="n">
        <x:f>IF(AH2711&gt;0,(AE2711+AF2711)/AH2711*365,0)</x:f>
        <x:v>4814.992364215629</x:v>
      </x:c>
      <x:c r="AJ2711" s="81" t="n">
        <x:f>IF('Inputs'!$B$51&gt;0,AG2711/('Inputs'!$B$19*'Inputs'!$B$51)*365,0)</x:f>
        <x:v>10571.326623320527</x:v>
      </x:c>
      <x:c r="AK2711" s="81" t="n">
        <x:f>W2711/MAX($W$2559:W2711)-1</x:f>
        <x:v>-0.556407326639939</x:v>
      </x:c>
      <x:c r="AL2711" s="83" t="n">
        <x:f>'Inputs'!$B$51</x:f>
        <x:v>1</x:v>
      </x:c>
      <x:c r="AM2711" s="83" t="n">
        <x:f>'Inputs'!$C$51</x:f>
        <x:v>2</x:v>
      </x:c>
      <x:c r="AN2711" s="83" t="n">
        <x:f>'Inputs'!$D$51</x:f>
        <x:v>3</x:v>
      </x:c>
      <x:c r="AO2711" s="81" t="n">
        <x:f>'Inputs'!$E$51</x:f>
        <x:v>0.1</x:v>
      </x:c>
    </x:row>
    <x:row r="2712">
      <x:c r="A2712" s="59" t="str">
        <x:v>High demand</x:v>
      </x:c>
      <x:c r="B2712" s="59" t="n">
        <x:v>154</x:v>
      </x:c>
      <x:c r="C2712" s="78" t="n">
        <x:f>(('Inputs'!$B$29*(3*154*'Inputs'!$B$12-154^2)/(2*'Inputs'!$B$12^2))-('Inputs'!$B$29*(3*153*'Inputs'!$B$12-153^2)/(2*'Inputs'!$B$12^2)))*'Inputs'!$B$51</x:f>
        <x:v>662082.2386939377</x:v>
      </x:c>
      <x:c r="D2712" s="78" t="n">
        <x:f>IF('Inputs'!$C$51&gt;0,('Inputs'!$B$30*(3*154*'Inputs'!$B$12-154^2)/(2*'Inputs'!$B$12^2))-('Inputs'!$B$30*(3*153*'Inputs'!$B$12-153^2)/(2*'Inputs'!$B$12^2)),0)</x:f>
        <x:v>283749.5308688283</x:v>
      </x:c>
      <x:c r="E2712" s="78" t="n">
        <x:f>C2712+D2712</x:f>
        <x:v>945831.769562766</x:v>
      </x:c>
      <x:c r="F2712" s="78" t="n">
        <x:f>'Inputs'!$B$13*E2712+(1-'Inputs'!$B$13)/'Inputs'!$B$14*SUM(E2657:E2712)</x:f>
        <x:v>956049.4464252198</x:v>
      </x:c>
      <x:c r="G2712" s="78" t="n">
        <x:f>F2712*'Inputs'!$F$51</x:f>
        <x:v>239012.36160630494</x:v>
      </x:c>
      <x:c r="H2712" s="78" t="n">
        <x:f>U2711</x:f>
        <x:v>551818.2562331294</x:v>
      </x:c>
      <x:c r="I2712" s="78" t="n">
        <x:f>V2711</x:f>
        <x:v>241272.34820685847</x:v>
      </x:c>
      <x:c r="J2712" s="79" t="n">
        <x:f>IF(H2712&gt;0,I2712/H2712,0)</x:f>
        <x:v>0.43723154404831244</x:v>
      </x:c>
      <x:c r="K2712" s="80" t="n">
        <x:f>(H2712*J2712+I2712)*'Inputs'!$D$51*(1+'Inputs'!$G$51)^(B2712/30)</x:f>
        <x:v>1859647.0976896898</x:v>
      </x:c>
      <x:c r="L2712" s="80" t="n">
        <x:f>MAX(0,K2712*'Inputs'!$E$51)</x:f>
        <x:v>185964.70976896898</x:v>
      </x:c>
      <x:c r="M2712" s="80" t="n">
        <x:f>MAX(0,-K2712*'Inputs'!$E$51)</x:f>
        <x:v>0</x:v>
      </x:c>
      <x:c r="N2712" s="78" t="n">
        <x:f>H2712*(L2712*(1-'Inputs'!$B$15))/(I2712+L2712*(1-'Inputs'!$B$15))</x:f>
        <x:v>238829.1715754991</x:v>
      </x:c>
      <x:c r="O2712" s="78" t="n">
        <x:f>H2712-N2712</x:f>
        <x:v>312989.0846576303</x:v>
      </x:c>
      <x:c r="P2712" s="78" t="n">
        <x:f>I2712+L2712*(1-'Inputs'!$B$17)</x:f>
        <x:v>426488.70904315554</x:v>
      </x:c>
      <x:c r="Q2712" s="78" t="n">
        <x:f>IF(J2712&gt;0,M2712/J2712,0)</x:f>
        <x:v>0</x:v>
      </x:c>
      <x:c r="R2712" s="78" t="n">
        <x:f>IF(B2712='Inputs'!$H$51,'Inputs'!$B$27*'Inputs'!$I$51,0)</x:f>
        <x:v>0</x:v>
      </x:c>
      <x:c r="S2712" s="78" t="n">
        <x:f>Q2712+G2712+R2712</x:f>
        <x:v>239012.36160630494</x:v>
      </x:c>
      <x:c r="T2712" s="78" t="n">
        <x:f>P2712*(S2712*(1-'Inputs'!$B$15))/(O2712+S2712*(1-'Inputs'!$B$15))</x:f>
        <x:v>183614.69033274706</x:v>
      </x:c>
      <x:c r="U2712" s="78" t="n">
        <x:f>O2712+S2712*(1-'Inputs'!$B$17)</x:f>
        <x:v>551039.6258952982</x:v>
      </x:c>
      <x:c r="V2712" s="78" t="n">
        <x:f>P2712-T2712</x:f>
        <x:v>242874.01871040848</x:v>
      </x:c>
      <x:c r="W2712" s="79" t="n">
        <x:f>IF(U2712&gt;0,V2712/U2712,0)</x:f>
        <x:v>0.4407559952077864</x:v>
      </x:c>
      <x:c r="X2712" s="80" t="n">
        <x:f>W2712*('Inputs'!$B$6-AC2712)</x:f>
        <x:v>440154831.75989616</x:v>
      </x:c>
      <x:c r="Y2712" s="80" t="n">
        <x:f>2*V2712</x:f>
        <x:v>485748.03742081695</x:v>
      </x:c>
      <x:c r="Z2712" s="80" t="n">
        <x:f>K2712*'Inputs'!$B$16+(G2712+R2712)*J2712*'Inputs'!$B$16</x:f>
        <x:v>11784.90504960869</x:v>
      </x:c>
      <x:c r="AA2712" s="80" t="n">
        <x:f>K2712*(1+'Inputs'!$E$51)/2*'Inputs'!$B$17</x:f>
        <x:v>4115.919129695491</x:v>
      </x:c>
      <x:c r="AB2712" s="78" t="n">
        <x:f>(IF(J2712&gt;0,K2712*(1-'Inputs'!$E$51)/2/J2712,0)+G2712+R2712)*'Inputs'!$B$17</x:f>
        <x:v>8663.849746122853</x:v>
      </x:c>
      <x:c r="AC2712" s="78" t="n">
        <x:f>AC2711+AB2712</x:f>
        <x:v>1363937.0863392213</x:v>
      </x:c>
      <x:c r="AD2712" s="80" t="n">
        <x:f>Z2712/(1+'Inputs'!$C$51)</x:f>
        <x:v>3928.3016832028966</x:v>
      </x:c>
      <x:c r="AE2712" s="80" t="n">
        <x:f>Z2712-AD2712</x:f>
        <x:v>7856.603366405792</x:v>
      </x:c>
      <x:c r="AF2712" s="80" t="n">
        <x:f>D2712*W2712</x:f>
        <x:v>125064.30686783293</x:v>
      </x:c>
      <x:c r="AG2712" s="80" t="n">
        <x:f>C2712*W2712</x:f>
        <x:v>291816.71602494566</x:v>
      </x:c>
      <x:c r="AH2712" s="80" t="n">
        <x:f>2*'Inputs'!$B$8*'Inputs'!$C$51</x:f>
        <x:v>10000</x:v>
      </x:c>
      <x:c r="AI2712" s="81" t="n">
        <x:f>IF(AH2712&gt;0,(AE2712+AF2712)/AH2712*365,0)</x:f>
        <x:v>4851.613223549713</x:v>
      </x:c>
      <x:c r="AJ2712" s="81" t="n">
        <x:f>IF('Inputs'!$B$51&gt;0,AG2712/('Inputs'!$B$19*'Inputs'!$B$51)*365,0)</x:f>
        <x:v>10651.310134910516</x:v>
      </x:c>
      <x:c r="AK2712" s="81" t="n">
        <x:f>W2712/MAX($W$2559:W2712)-1</x:f>
        <x:v>-0.5528315994691994</x:v>
      </x:c>
      <x:c r="AL2712" s="83" t="n">
        <x:f>'Inputs'!$B$51</x:f>
        <x:v>1</x:v>
      </x:c>
      <x:c r="AM2712" s="83" t="n">
        <x:f>'Inputs'!$C$51</x:f>
        <x:v>2</x:v>
      </x:c>
      <x:c r="AN2712" s="83" t="n">
        <x:f>'Inputs'!$D$51</x:f>
        <x:v>3</x:v>
      </x:c>
      <x:c r="AO2712" s="81" t="n">
        <x:f>'Inputs'!$E$51</x:f>
        <x:v>0.1</x:v>
      </x:c>
    </x:row>
    <x:row r="2713">
      <x:c r="A2713" s="59" t="str">
        <x:v>High demand</x:v>
      </x:c>
      <x:c r="B2713" s="59" t="n">
        <x:v>155</x:v>
      </x:c>
      <x:c r="C2713" s="78" t="n">
        <x:f>(('Inputs'!$B$29*(3*155*'Inputs'!$B$12-155^2)/(2*'Inputs'!$B$12^2))-('Inputs'!$B$29*(3*154*'Inputs'!$B$12-154^2)/(2*'Inputs'!$B$12^2)))*'Inputs'!$B$51</x:f>
        <x:v>661757.1307937652</x:v>
      </x:c>
      <x:c r="D2713" s="78" t="n">
        <x:f>IF('Inputs'!$C$51&gt;0,('Inputs'!$B$30*(3*155*'Inputs'!$B$12-155^2)/(2*'Inputs'!$B$12^2))-('Inputs'!$B$30*(3*154*'Inputs'!$B$12-154^2)/(2*'Inputs'!$B$12^2)),0)</x:f>
        <x:v>283610.1989116147</x:v>
      </x:c>
      <x:c r="E2713" s="78" t="n">
        <x:f>C2713+D2713</x:f>
        <x:v>945367.3297053799</x:v>
      </x:c>
      <x:c r="F2713" s="78" t="n">
        <x:f>'Inputs'!$B$13*E2713+(1-'Inputs'!$B$13)/'Inputs'!$B$14*SUM(E2658:E2713)</x:f>
        <x:v>955585.0065678353</x:v>
      </x:c>
      <x:c r="G2713" s="78" t="n">
        <x:f>F2713*'Inputs'!$F$51</x:f>
        <x:v>238896.25164195884</x:v>
      </x:c>
      <x:c r="H2713" s="78" t="n">
        <x:f>U2712</x:f>
        <x:v>551039.6258952982</x:v>
      </x:c>
      <x:c r="I2713" s="78" t="n">
        <x:f>V2712</x:f>
        <x:v>242874.01871040848</x:v>
      </x:c>
      <x:c r="J2713" s="79" t="n">
        <x:f>IF(H2713&gt;0,I2713/H2713,0)</x:f>
        <x:v>0.4407559952077864</x:v>
      </x:c>
      <x:c r="K2713" s="80" t="n">
        <x:f>(H2713*J2713+I2713)*'Inputs'!$D$51*(1+'Inputs'!$G$51)^(B2713/30)</x:f>
        <x:v>1875039.2124373983</x:v>
      </x:c>
      <x:c r="L2713" s="80" t="n">
        <x:f>MAX(0,K2713*'Inputs'!$E$51)</x:f>
        <x:v>187503.92124373984</x:v>
      </x:c>
      <x:c r="M2713" s="80" t="n">
        <x:f>MAX(0,-K2713*'Inputs'!$E$51)</x:f>
        <x:v>0</x:v>
      </x:c>
      <x:c r="N2713" s="78" t="n">
        <x:f>H2713*(L2713*(1-'Inputs'!$B$15))/(I2713+L2713*(1-'Inputs'!$B$15))</x:f>
        <x:v>238712.198990569</x:v>
      </x:c>
      <x:c r="O2713" s="78" t="n">
        <x:f>H2713-N2713</x:f>
        <x:v>312327.4269047292</x:v>
      </x:c>
      <x:c r="P2713" s="78" t="n">
        <x:f>I2713+L2713*(1-'Inputs'!$B$17)</x:f>
        <x:v>429623.39701151755</x:v>
      </x:c>
      <x:c r="Q2713" s="78" t="n">
        <x:f>IF(J2713&gt;0,M2713/J2713,0)</x:f>
        <x:v>0</x:v>
      </x:c>
      <x:c r="R2713" s="78" t="n">
        <x:f>IF(B2713='Inputs'!$H$51,'Inputs'!$B$27*'Inputs'!$I$51,0)</x:f>
        <x:v>0</x:v>
      </x:c>
      <x:c r="S2713" s="78" t="n">
        <x:f>Q2713+G2713+R2713</x:f>
        <x:v>238896.25164195884</x:v>
      </x:c>
      <x:c r="T2713" s="78" t="n">
        <x:f>P2713*(S2713*(1-'Inputs'!$B$15))/(O2713+S2713*(1-'Inputs'!$B$15))</x:f>
        <x:v>185136.00179492935</x:v>
      </x:c>
      <x:c r="U2713" s="78" t="n">
        <x:f>O2713+S2713*(1-'Inputs'!$B$17)</x:f>
        <x:v>550262.3254213682</x:v>
      </x:c>
      <x:c r="V2713" s="78" t="n">
        <x:f>P2713-T2713</x:f>
        <x:v>244487.3952165882</x:v>
      </x:c>
      <x:c r="W2713" s="79" t="n">
        <x:f>IF(U2713&gt;0,V2713/U2713,0)</x:f>
        <x:v>0.4443106204470201</x:v>
      </x:c>
      <x:c r="X2713" s="80" t="n">
        <x:f>W2713*('Inputs'!$B$6-AC2713)</x:f>
        <x:v>443700758.74759644</x:v>
      </x:c>
      <x:c r="Y2713" s="80" t="n">
        <x:f>2*V2713</x:f>
        <x:v>488974.7904331764</x:v>
      </x:c>
      <x:c r="Z2713" s="80" t="n">
        <x:f>K2713*'Inputs'!$B$16+(G2713+R2713)*J2713*'Inputs'!$B$16</x:f>
        <x:v>11882.00500548756</x:v>
      </x:c>
      <x:c r="AA2713" s="80" t="n">
        <x:f>K2713*(1+'Inputs'!$E$51)/2*'Inputs'!$B$17</x:f>
        <x:v>4149.986184469091</x:v>
      </x:c>
      <x:c r="AB2713" s="78" t="n">
        <x:f>(IF(J2713&gt;0,K2713*(1-'Inputs'!$E$51)/2/J2713,0)+G2713+R2713)*'Inputs'!$B$17</x:f>
        <x:v>8665.033344661131</x:v>
      </x:c>
      <x:c r="AC2713" s="78" t="n">
        <x:f>AC2712+AB2713</x:f>
        <x:v>1372602.1196838825</x:v>
      </x:c>
      <x:c r="AD2713" s="80" t="n">
        <x:f>Z2713/(1+'Inputs'!$C$51)</x:f>
        <x:v>3960.6683351625197</x:v>
      </x:c>
      <x:c r="AE2713" s="80" t="n">
        <x:f>Z2713-AD2713</x:f>
        <x:v>7921.336670325039</x:v>
      </x:c>
      <x:c r="AF2713" s="80" t="n">
        <x:f>D2713*W2713</x:f>
        <x:v>126011.02344352231</x:v>
      </x:c>
      <x:c r="AG2713" s="80" t="n">
        <x:f>C2713*W2713</x:f>
        <x:v>294025.7213682176</x:v>
      </x:c>
      <x:c r="AH2713" s="80" t="n">
        <x:f>2*'Inputs'!$B$8*'Inputs'!$C$51</x:f>
        <x:v>10000</x:v>
      </x:c>
      <x:c r="AI2713" s="81" t="n">
        <x:f>IF(AH2713&gt;0,(AE2713+AF2713)/AH2713*365,0)</x:f>
        <x:v>4888.531144155429</x:v>
      </x:c>
      <x:c r="AJ2713" s="81" t="n">
        <x:f>IF('Inputs'!$B$51&gt;0,AG2713/('Inputs'!$B$19*'Inputs'!$B$51)*365,0)</x:f>
        <x:v>10731.938829939943</x:v>
      </x:c>
      <x:c r="AK2713" s="81" t="n">
        <x:f>W2713/MAX($W$2559:W2713)-1</x:f>
        <x:v>-0.5492252592265325</x:v>
      </x:c>
      <x:c r="AL2713" s="83" t="n">
        <x:f>'Inputs'!$B$51</x:f>
        <x:v>1</x:v>
      </x:c>
      <x:c r="AM2713" s="83" t="n">
        <x:f>'Inputs'!$C$51</x:f>
        <x:v>2</x:v>
      </x:c>
      <x:c r="AN2713" s="83" t="n">
        <x:f>'Inputs'!$D$51</x:f>
        <x:v>3</x:v>
      </x:c>
      <x:c r="AO2713" s="81" t="n">
        <x:f>'Inputs'!$E$51</x:f>
        <x:v>0.1</x:v>
      </x:c>
    </x:row>
    <x:row r="2714">
      <x:c r="A2714" s="59" t="str">
        <x:v>High demand</x:v>
      </x:c>
      <x:c r="B2714" s="59" t="n">
        <x:v>156</x:v>
      </x:c>
      <x:c r="C2714" s="78" t="n">
        <x:f>(('Inputs'!$B$29*(3*156*'Inputs'!$B$12-156^2)/(2*'Inputs'!$B$12^2))-('Inputs'!$B$29*(3*155*'Inputs'!$B$12-155^2)/(2*'Inputs'!$B$12^2)))*'Inputs'!$B$51</x:f>
        <x:v>661432.0228936076</x:v>
      </x:c>
      <x:c r="D2714" s="78" t="n">
        <x:f>IF('Inputs'!$C$51&gt;0,('Inputs'!$B$30*(3*156*'Inputs'!$B$12-156^2)/(2*'Inputs'!$B$12^2))-('Inputs'!$B$30*(3*155*'Inputs'!$B$12-155^2)/(2*'Inputs'!$B$12^2)),0)</x:f>
        <x:v>283470.86695440114</x:v>
      </x:c>
      <x:c r="E2714" s="78" t="n">
        <x:f>C2714+D2714</x:f>
        <x:v>944902.8898480088</x:v>
      </x:c>
      <x:c r="F2714" s="78" t="n">
        <x:f>'Inputs'!$B$13*E2714+(1-'Inputs'!$B$13)/'Inputs'!$B$14*SUM(E2659:E2714)</x:f>
        <x:v>955120.5667104537</x:v>
      </x:c>
      <x:c r="G2714" s="78" t="n">
        <x:f>F2714*'Inputs'!$F$51</x:f>
        <x:v>238780.14167761343</x:v>
      </x:c>
      <x:c r="H2714" s="78" t="n">
        <x:f>U2713</x:f>
        <x:v>550262.3254213682</x:v>
      </x:c>
      <x:c r="I2714" s="78" t="n">
        <x:f>V2713</x:f>
        <x:v>244487.3952165882</x:v>
      </x:c>
      <x:c r="J2714" s="79" t="n">
        <x:f>IF(H2714&gt;0,I2714/H2714,0)</x:f>
        <x:v>0.4443106204470201</x:v>
      </x:c>
      <x:c r="K2714" s="80" t="n">
        <x:f>(H2714*J2714+I2714)*'Inputs'!$D$51*(1+'Inputs'!$G$51)^(B2714/30)</x:f>
        <x:v>1890567.0267062201</x:v>
      </x:c>
      <x:c r="L2714" s="80" t="n">
        <x:f>MAX(0,K2714*'Inputs'!$E$51)</x:f>
        <x:v>189056.70267062203</x:v>
      </x:c>
      <x:c r="M2714" s="80" t="n">
        <x:f>MAX(0,-K2714*'Inputs'!$E$51)</x:f>
        <x:v>0</x:v>
      </x:c>
      <x:c r="N2714" s="78" t="n">
        <x:f>H2714*(L2714*(1-'Inputs'!$B$15))/(I2714+L2714*(1-'Inputs'!$B$15))</x:f>
        <x:v>238595.22898895372</x:v>
      </x:c>
      <x:c r="O2714" s="78" t="n">
        <x:f>H2714-N2714</x:f>
        <x:v>311667.0964324145</x:v>
      </x:c>
      <x:c r="P2714" s="78" t="n">
        <x:f>I2714+L2714*(1-'Inputs'!$B$17)</x:f>
        <x:v>432783.3063271675</x:v>
      </x:c>
      <x:c r="Q2714" s="78" t="n">
        <x:f>IF(J2714&gt;0,M2714/J2714,0)</x:f>
        <x:v>0</x:v>
      </x:c>
      <x:c r="R2714" s="78" t="n">
        <x:f>IF(B2714='Inputs'!$H$51,'Inputs'!$B$27*'Inputs'!$I$51,0)</x:f>
        <x:v>0</x:v>
      </x:c>
      <x:c r="S2714" s="78" t="n">
        <x:f>Q2714+G2714+R2714</x:f>
        <x:v>238780.14167761343</x:v>
      </x:c>
      <x:c r="T2714" s="78" t="n">
        <x:f>P2714*(S2714*(1-'Inputs'!$B$15))/(O2714+S2714*(1-'Inputs'!$B$15))</x:f>
        <x:v>186670.7363452677</x:v>
      </x:c>
      <x:c r="U2714" s="78" t="n">
        <x:f>O2714+S2714*(1-'Inputs'!$B$17)</x:f>
        <x:v>549486.3522280254</x:v>
      </x:c>
      <x:c r="V2714" s="78" t="n">
        <x:f>P2714-T2714</x:f>
        <x:v>246112.56998189978</x:v>
      </x:c>
      <x:c r="W2714" s="79" t="n">
        <x:f>IF(U2714&gt;0,V2714/U2714,0)</x:f>
        <x:v>0.44789569201123336</x:v>
      </x:c>
      <x:c r="X2714" s="80" t="n">
        <x:f>W2714*('Inputs'!$B$6-AC2714)</x:f>
        <x:v>447277027.8721381</x:v>
      </x:c>
      <x:c r="Y2714" s="80" t="n">
        <x:f>2*V2714</x:f>
        <x:v>492225.13996379956</x:v>
      </x:c>
      <x:c r="Z2714" s="80" t="n">
        <x:f>K2714*'Inputs'!$B$16+(G2714+R2714)*J2714*'Inputs'!$B$16</x:f>
        <x:v>11979.957477632568</x:v>
      </x:c>
      <x:c r="AA2714" s="80" t="n">
        <x:f>K2714*(1+'Inputs'!$E$51)/2*'Inputs'!$B$17</x:f>
        <x:v>4184.353580235095</x:v>
      </x:c>
      <x:c r="AB2714" s="78" t="n">
        <x:f>(IF(J2714&gt;0,K2714*(1-'Inputs'!$E$51)/2/J2714,0)+G2714+R2714)*'Inputs'!$B$17</x:f>
        <x:v>8666.220534475802</x:v>
      </x:c>
      <x:c r="AC2714" s="78" t="n">
        <x:f>AC2713+AB2714</x:f>
        <x:v>1381268.3402183582</x:v>
      </x:c>
      <x:c r="AD2714" s="80" t="n">
        <x:f>Z2714/(1+'Inputs'!$C$51)</x:f>
        <x:v>3993.319159210856</x:v>
      </x:c>
      <x:c r="AE2714" s="80" t="n">
        <x:f>Z2714-AD2714</x:f>
        <x:v>7986.638318421712</x:v>
      </x:c>
      <x:c r="AF2714" s="80" t="n">
        <x:f>D2714*W2714</x:f>
        <x:v>126965.38011956576</x:v>
      </x:c>
      <x:c r="AG2714" s="80" t="n">
        <x:f>C2714*W2714</x:f>
        <x:v>296252.5536123223</x:v>
      </x:c>
      <x:c r="AH2714" s="80" t="n">
        <x:f>2*'Inputs'!$B$8*'Inputs'!$C$51</x:f>
        <x:v>10000</x:v>
      </x:c>
      <x:c r="AI2714" s="81" t="n">
        <x:f>IF(AH2714&gt;0,(AE2714+AF2714)/AH2714*365,0)</x:f>
        <x:v>4925.748672986543</x:v>
      </x:c>
      <x:c r="AJ2714" s="81" t="n">
        <x:f>IF('Inputs'!$B$51&gt;0,AG2714/('Inputs'!$B$19*'Inputs'!$B$51)*365,0)</x:f>
        <x:v>10813.218206849764</x:v>
      </x:c>
      <x:c r="AK2714" s="81" t="n">
        <x:f>W2714/MAX($W$2559:W2714)-1</x:f>
        <x:v>-0.5455880297059177</x:v>
      </x:c>
      <x:c r="AL2714" s="83" t="n">
        <x:f>'Inputs'!$B$51</x:f>
        <x:v>1</x:v>
      </x:c>
      <x:c r="AM2714" s="83" t="n">
        <x:f>'Inputs'!$C$51</x:f>
        <x:v>2</x:v>
      </x:c>
      <x:c r="AN2714" s="83" t="n">
        <x:f>'Inputs'!$D$51</x:f>
        <x:v>3</x:v>
      </x:c>
      <x:c r="AO2714" s="81" t="n">
        <x:f>'Inputs'!$E$51</x:f>
        <x:v>0.1</x:v>
      </x:c>
    </x:row>
    <x:row r="2715">
      <x:c r="A2715" s="59" t="str">
        <x:v>High demand</x:v>
      </x:c>
      <x:c r="B2715" s="59" t="n">
        <x:v>157</x:v>
      </x:c>
      <x:c r="C2715" s="78" t="n">
        <x:f>(('Inputs'!$B$29*(3*157*'Inputs'!$B$12-157^2)/(2*'Inputs'!$B$12^2))-('Inputs'!$B$29*(3*156*'Inputs'!$B$12-156^2)/(2*'Inputs'!$B$12^2)))*'Inputs'!$B$51</x:f>
        <x:v>661106.9149934351</x:v>
      </x:c>
      <x:c r="D2715" s="78" t="n">
        <x:f>IF('Inputs'!$C$51&gt;0,('Inputs'!$B$30*(3*157*'Inputs'!$B$12-157^2)/(2*'Inputs'!$B$12^2))-('Inputs'!$B$30*(3*156*'Inputs'!$B$12-156^2)/(2*'Inputs'!$B$12^2)),0)</x:f>
        <x:v>283331.53499718755</x:v>
      </x:c>
      <x:c r="E2715" s="78" t="n">
        <x:f>C2715+D2715</x:f>
        <x:v>944438.4499906227</x:v>
      </x:c>
      <x:c r="F2715" s="78" t="n">
        <x:f>'Inputs'!$B$13*E2715+(1-'Inputs'!$B$13)/'Inputs'!$B$14*SUM(E2660:E2715)</x:f>
        <x:v>954656.1268530695</x:v>
      </x:c>
      <x:c r="G2715" s="78" t="n">
        <x:f>F2715*'Inputs'!$F$51</x:f>
        <x:v>238664.03171326738</x:v>
      </x:c>
      <x:c r="H2715" s="78" t="n">
        <x:f>U2714</x:f>
        <x:v>549486.3522280254</x:v>
      </x:c>
      <x:c r="I2715" s="78" t="n">
        <x:f>V2714</x:f>
        <x:v>246112.56998189978</x:v>
      </x:c>
      <x:c r="J2715" s="79" t="n">
        <x:f>IF(H2715&gt;0,I2715/H2715,0)</x:f>
        <x:v>0.44789569201123336</x:v>
      </x:c>
      <x:c r="K2715" s="80" t="n">
        <x:f>(H2715*J2715+I2715)*'Inputs'!$D$51*(1+'Inputs'!$G$51)^(B2715/30)</x:f>
        <x:v>1906231.8033601705</x:v>
      </x:c>
      <x:c r="L2715" s="80" t="n">
        <x:f>MAX(0,K2715*'Inputs'!$E$51)</x:f>
        <x:v>190623.18033601705</x:v>
      </x:c>
      <x:c r="M2715" s="80" t="n">
        <x:f>MAX(0,-K2715*'Inputs'!$E$51)</x:f>
        <x:v>0</x:v>
      </x:c>
      <x:c r="N2715" s="78" t="n">
        <x:f>H2715*(L2715*(1-'Inputs'!$B$15))/(I2715+L2715*(1-'Inputs'!$B$15))</x:f>
        <x:v>238478.26156572715</x:v>
      </x:c>
      <x:c r="O2715" s="78" t="n">
        <x:f>H2715-N2715</x:f>
        <x:v>311008.09066229826</x:v>
      </x:c>
      <x:c r="P2715" s="78" t="n">
        <x:f>I2715+L2715*(1-'Inputs'!$B$17)</x:f>
        <x:v>435968.6550248141</x:v>
      </x:c>
      <x:c r="Q2715" s="78" t="n">
        <x:f>IF(J2715&gt;0,M2715/J2715,0)</x:f>
        <x:v>0</x:v>
      </x:c>
      <x:c r="R2715" s="78" t="n">
        <x:f>IF(B2715='Inputs'!$H$51,'Inputs'!$B$27*'Inputs'!$I$51,0)</x:f>
        <x:v>0</x:v>
      </x:c>
      <x:c r="S2715" s="78" t="n">
        <x:f>Q2715+G2715+R2715</x:f>
        <x:v>238664.03171326738</x:v>
      </x:c>
      <x:c r="T2715" s="78" t="n">
        <x:f>P2715*(S2715*(1-'Inputs'!$B$15))/(O2715+S2715*(1-'Inputs'!$B$15))</x:f>
        <x:v>188219.01898860573</x:v>
      </x:c>
      <x:c r="U2715" s="78" t="n">
        <x:f>O2715+S2715*(1-'Inputs'!$B$17)</x:f>
        <x:v>548711.7037368804</x:v>
      </x:c>
      <x:c r="V2715" s="78" t="n">
        <x:f>P2715-T2715</x:f>
        <x:v>247749.6360362084</x:v>
      </x:c>
      <x:c r="W2715" s="79" t="n">
        <x:f>IF(U2715&gt;0,V2715/U2715,0)</x:f>
        <x:v>0.45151148471768315</x:v>
      </x:c>
      <x:c r="X2715" s="80" t="n">
        <x:f>W2715*('Inputs'!$B$6-AC2715)</x:f>
        <x:v>450883912.7628453</x:v>
      </x:c>
      <x:c r="Y2715" s="80" t="n">
        <x:f>2*V2715</x:f>
        <x:v>495499.2720724168</x:v>
      </x:c>
      <x:c r="Z2715" s="80" t="n">
        <x:f>K2715*'Inputs'!$B$16+(G2715+R2715)*J2715*'Inputs'!$B$16</x:f>
        <x:v>12078.770370015452</x:v>
      </x:c>
      <x:c r="AA2715" s="80" t="n">
        <x:f>K2715*(1+'Inputs'!$E$51)/2*'Inputs'!$B$17</x:f>
        <x:v>4219.024112064764</x:v>
      </x:c>
      <x:c r="AB2715" s="78" t="n">
        <x:f>(IF(J2715&gt;0,K2715*(1-'Inputs'!$E$51)/2/J2715,0)+G2715+R2715)*'Inputs'!$B$17</x:f>
        <x:v>8667.4113169615</x:v>
      </x:c>
      <x:c r="AC2715" s="78" t="n">
        <x:f>AC2714+AB2715</x:f>
        <x:v>1389935.7515353197</x:v>
      </x:c>
      <x:c r="AD2715" s="80" t="n">
        <x:f>Z2715/(1+'Inputs'!$C$51)</x:f>
        <x:v>4026.256790005151</x:v>
      </x:c>
      <x:c r="AE2715" s="80" t="n">
        <x:f>Z2715-AD2715</x:f>
        <x:v>8052.513580010302</x:v>
      </x:c>
      <x:c r="AF2715" s="80" t="n">
        <x:f>D2715*W2715</x:f>
        <x:v>127927.44203392036</x:v>
      </x:c>
      <x:c r="AG2715" s="80" t="n">
        <x:f>C2715*W2715</x:f>
        <x:v>298497.3647458131</x:v>
      </x:c>
      <x:c r="AH2715" s="80" t="n">
        <x:f>2*'Inputs'!$B$8*'Inputs'!$C$51</x:f>
        <x:v>10000</x:v>
      </x:c>
      <x:c r="AI2715" s="81" t="n">
        <x:f>IF(AH2715&gt;0,(AE2715+AF2715)/AH2715*365,0)</x:f>
        <x:v>4963.268379908469</x:v>
      </x:c>
      <x:c r="AJ2715" s="81" t="n">
        <x:f>IF('Inputs'!$B$51&gt;0,AG2715/('Inputs'!$B$19*'Inputs'!$B$51)*365,0)</x:f>
        <x:v>10895.153813222176</x:v>
      </x:c>
      <x:c r="AK2715" s="81" t="n">
        <x:f>W2715/MAX($W$2559:W2715)-1</x:f>
        <x:v>-0.5419196320918775</x:v>
      </x:c>
      <x:c r="AL2715" s="83" t="n">
        <x:f>'Inputs'!$B$51</x:f>
        <x:v>1</x:v>
      </x:c>
      <x:c r="AM2715" s="83" t="n">
        <x:f>'Inputs'!$C$51</x:f>
        <x:v>2</x:v>
      </x:c>
      <x:c r="AN2715" s="83" t="n">
        <x:f>'Inputs'!$D$51</x:f>
        <x:v>3</x:v>
      </x:c>
      <x:c r="AO2715" s="81" t="n">
        <x:f>'Inputs'!$E$51</x:f>
        <x:v>0.1</x:v>
      </x:c>
    </x:row>
    <x:row r="2716">
      <x:c r="A2716" s="59" t="str">
        <x:v>High demand</x:v>
      </x:c>
      <x:c r="B2716" s="59" t="n">
        <x:v>158</x:v>
      </x:c>
      <x:c r="C2716" s="78" t="n">
        <x:f>(('Inputs'!$B$29*(3*158*'Inputs'!$B$12-158^2)/(2*'Inputs'!$B$12^2))-('Inputs'!$B$29*(3*157*'Inputs'!$B$12-157^2)/(2*'Inputs'!$B$12^2)))*'Inputs'!$B$51</x:f>
        <x:v>660781.8070932627</x:v>
      </x:c>
      <x:c r="D2716" s="78" t="n">
        <x:f>IF('Inputs'!$C$51&gt;0,('Inputs'!$B$30*(3*158*'Inputs'!$B$12-158^2)/(2*'Inputs'!$B$12^2))-('Inputs'!$B$30*(3*157*'Inputs'!$B$12-157^2)/(2*'Inputs'!$B$12^2)),0)</x:f>
        <x:v>283192.2030399665</x:v>
      </x:c>
      <x:c r="E2716" s="78" t="n">
        <x:f>C2716+D2716</x:f>
        <x:v>943974.0101332292</x:v>
      </x:c>
      <x:c r="F2716" s="78" t="n">
        <x:f>'Inputs'!$B$13*E2716+(1-'Inputs'!$B$13)/'Inputs'!$B$14*SUM(E2661:E2716)</x:f>
        <x:v>954191.6869956832</x:v>
      </x:c>
      <x:c r="G2716" s="78" t="n">
        <x:f>F2716*'Inputs'!$F$51</x:f>
        <x:v>238547.9217489208</x:v>
      </x:c>
      <x:c r="H2716" s="78" t="n">
        <x:f>U2715</x:f>
        <x:v>548711.7037368804</x:v>
      </x:c>
      <x:c r="I2716" s="78" t="n">
        <x:f>V2715</x:f>
        <x:v>247749.6360362084</x:v>
      </x:c>
      <x:c r="J2716" s="79" t="n">
        <x:f>IF(H2716&gt;0,I2716/H2716,0)</x:f>
        <x:v>0.45151148471768315</x:v>
      </x:c>
      <x:c r="K2716" s="80" t="n">
        <x:f>(H2716*J2716+I2716)*'Inputs'!$D$51*(1+'Inputs'!$G$51)^(B2716/30)</x:f>
        <x:v>1922034.8175804594</x:v>
      </x:c>
      <x:c r="L2716" s="80" t="n">
        <x:f>MAX(0,K2716*'Inputs'!$E$51)</x:f>
        <x:v>192203.48175804596</x:v>
      </x:c>
      <x:c r="M2716" s="80" t="n">
        <x:f>MAX(0,-K2716*'Inputs'!$E$51)</x:f>
        <x:v>0</x:v>
      </x:c>
      <x:c r="N2716" s="78" t="n">
        <x:f>H2716*(L2716*(1-'Inputs'!$B$15))/(I2716+L2716*(1-'Inputs'!$B$15))</x:f>
        <x:v>238361.2967159723</x:v>
      </x:c>
      <x:c r="O2716" s="78" t="n">
        <x:f>H2716-N2716</x:f>
        <x:v>310350.40702090814</x:v>
      </x:c>
      <x:c r="P2716" s="78" t="n">
        <x:f>I2716+L2716*(1-'Inputs'!$B$17)</x:f>
        <x:v>439179.6631392924</x:v>
      </x:c>
      <x:c r="Q2716" s="78" t="n">
        <x:f>IF(J2716&gt;0,M2716/J2716,0)</x:f>
        <x:v>0</x:v>
      </x:c>
      <x:c r="R2716" s="78" t="n">
        <x:f>IF(B2716='Inputs'!$H$51,'Inputs'!$B$27*'Inputs'!$I$51,0)</x:f>
        <x:v>0</x:v>
      </x:c>
      <x:c r="S2716" s="78" t="n">
        <x:f>Q2716+G2716+R2716</x:f>
        <x:v>238547.9217489208</x:v>
      </x:c>
      <x:c r="T2716" s="78" t="n">
        <x:f>P2716*(S2716*(1-'Inputs'!$B$15))/(O2716+S2716*(1-'Inputs'!$B$15))</x:f>
        <x:v>189780.975949722</x:v>
      </x:c>
      <x:c r="U2716" s="78" t="n">
        <x:f>O2716+S2716*(1-'Inputs'!$B$17)</x:f>
        <x:v>547938.377374461</x:v>
      </x:c>
      <x:c r="V2716" s="78" t="n">
        <x:f>P2716-T2716</x:f>
        <x:v>249398.6871895704</x:v>
      </x:c>
      <x:c r="W2716" s="79" t="n">
        <x:f>IF(U2716&gt;0,V2716/U2716,0)</x:f>
        <x:v>0.455158275980971</x:v>
      </x:c>
      <x:c r="X2716" s="80" t="n">
        <x:f>W2716*('Inputs'!$B$6-AC2716)</x:f>
        <x:v>454521689.63295525</x:v>
      </x:c>
      <x:c r="Y2716" s="80" t="n">
        <x:f>2*V2716</x:f>
        <x:v>498797.3743791408</x:v>
      </x:c>
      <x:c r="Z2716" s="80" t="n">
        <x:f>K2716*'Inputs'!$B$16+(G2716+R2716)*J2716*'Inputs'!$B$16</x:f>
        <x:v>12178.451663433796</x:v>
      </x:c>
      <x:c r="AA2716" s="80" t="n">
        <x:f>K2716*(1+'Inputs'!$E$51)/2*'Inputs'!$B$17</x:f>
        <x:v>4254.000602290756</x:v>
      </x:c>
      <x:c r="AB2716" s="78" t="n">
        <x:f>(IF(J2716&gt;0,K2716*(1-'Inputs'!$E$51)/2/J2716,0)+G2716+R2716)*'Inputs'!$B$17</x:f>
        <x:v>8668.605693508465</x:v>
      </x:c>
      <x:c r="AC2716" s="78" t="n">
        <x:f>AC2715+AB2716</x:f>
        <x:v>1398604.3572288281</x:v>
      </x:c>
      <x:c r="AD2716" s="80" t="n">
        <x:f>Z2716/(1+'Inputs'!$C$51)</x:f>
        <x:v>4059.4838878112655</x:v>
      </x:c>
      <x:c r="AE2716" s="80" t="n">
        <x:f>Z2716-AD2716</x:f>
        <x:v>8118.96777562253</x:v>
      </x:c>
      <x:c r="AF2716" s="80" t="n">
        <x:f>D2716*W2716</x:f>
        <x:v>128897.27490692427</x:v>
      </x:c>
      <x:c r="AG2716" s="80" t="n">
        <x:f>C2716*W2716</x:f>
        <x:v>300760.30811616</x:v>
      </x:c>
      <x:c r="AH2716" s="80" t="n">
        <x:f>2*'Inputs'!$B$8*'Inputs'!$C$51</x:f>
        <x:v>10000</x:v>
      </x:c>
      <x:c r="AI2716" s="81" t="n">
        <x:f>IF(AH2716&gt;0,(AE2716+AF2716)/AH2716*365,0)</x:f>
        <x:v>5001.092857912959</x:v>
      </x:c>
      <x:c r="AJ2716" s="81" t="n">
        <x:f>IF('Inputs'!$B$51&gt;0,AG2716/('Inputs'!$B$19*'Inputs'!$B$51)*365,0)</x:f>
        <x:v>10977.751246239839</x:v>
      </x:c>
      <x:c r="AK2716" s="81" t="n">
        <x:f>W2716/MAX($W$2559:W2716)-1</x:f>
        <x:v>-0.5382197849338024</x:v>
      </x:c>
      <x:c r="AL2716" s="83" t="n">
        <x:f>'Inputs'!$B$51</x:f>
        <x:v>1</x:v>
      </x:c>
      <x:c r="AM2716" s="83" t="n">
        <x:f>'Inputs'!$C$51</x:f>
        <x:v>2</x:v>
      </x:c>
      <x:c r="AN2716" s="83" t="n">
        <x:f>'Inputs'!$D$51</x:f>
        <x:v>3</x:v>
      </x:c>
      <x:c r="AO2716" s="81" t="n">
        <x:f>'Inputs'!$E$51</x:f>
        <x:v>0.1</x:v>
      </x:c>
    </x:row>
    <x:row r="2717">
      <x:c r="A2717" s="59" t="str">
        <x:v>High demand</x:v>
      </x:c>
      <x:c r="B2717" s="59" t="n">
        <x:v>159</x:v>
      </x:c>
      <x:c r="C2717" s="78" t="n">
        <x:f>(('Inputs'!$B$29*(3*159*'Inputs'!$B$12-159^2)/(2*'Inputs'!$B$12^2))-('Inputs'!$B$29*(3*158*'Inputs'!$B$12-158^2)/(2*'Inputs'!$B$12^2)))*'Inputs'!$B$51</x:f>
        <x:v>660456.6991930902</x:v>
      </x:c>
      <x:c r="D2717" s="78" t="n">
        <x:f>IF('Inputs'!$C$51&gt;0,('Inputs'!$B$30*(3*159*'Inputs'!$B$12-159^2)/(2*'Inputs'!$B$12^2))-('Inputs'!$B$30*(3*158*'Inputs'!$B$12-158^2)/(2*'Inputs'!$B$12^2)),0)</x:f>
        <x:v>283052.87108275294</x:v>
      </x:c>
      <x:c r="E2717" s="78" t="n">
        <x:f>C2717+D2717</x:f>
        <x:v>943509.5702758431</x:v>
      </x:c>
      <x:c r="F2717" s="78" t="n">
        <x:f>'Inputs'!$B$13*E2717+(1-'Inputs'!$B$13)/'Inputs'!$B$14*SUM(E2662:E2717)</x:f>
        <x:v>953727.2471382986</x:v>
      </x:c>
      <x:c r="G2717" s="78" t="n">
        <x:f>F2717*'Inputs'!$F$51</x:f>
        <x:v>238431.81178457465</x:v>
      </x:c>
      <x:c r="H2717" s="78" t="n">
        <x:f>U2716</x:f>
        <x:v>547938.377374461</x:v>
      </x:c>
      <x:c r="I2717" s="78" t="n">
        <x:f>V2716</x:f>
        <x:v>249398.6871895704</x:v>
      </x:c>
      <x:c r="J2717" s="79" t="n">
        <x:f>IF(H2717&gt;0,I2717/H2717,0)</x:f>
        <x:v>0.455158275980971</x:v>
      </x:c>
      <x:c r="K2717" s="80" t="n">
        <x:f>(H2717*J2717+I2717)*'Inputs'!$D$51*(1+'Inputs'!$G$51)^(B2717/30)</x:f>
        <x:v>1937977.3569906629</x:v>
      </x:c>
      <x:c r="L2717" s="80" t="n">
        <x:f>MAX(0,K2717*'Inputs'!$E$51)</x:f>
        <x:v>193797.7356990663</x:v>
      </x:c>
      <x:c r="M2717" s="80" t="n">
        <x:f>MAX(0,-K2717*'Inputs'!$E$51)</x:f>
        <x:v>0</x:v>
      </x:c>
      <x:c r="N2717" s="78" t="n">
        <x:f>H2717*(L2717*(1-'Inputs'!$B$15))/(I2717+L2717*(1-'Inputs'!$B$15))</x:f>
        <x:v>238244.33443478117</x:v>
      </x:c>
      <x:c r="O2717" s="78" t="n">
        <x:f>H2717-N2717</x:f>
        <x:v>309694.0429396799</x:v>
      </x:c>
      <x:c r="P2717" s="78" t="n">
        <x:f>I2717+L2717*(1-'Inputs'!$B$17)</x:f>
        <x:v>442416.55272485776</x:v>
      </x:c>
      <x:c r="Q2717" s="78" t="n">
        <x:f>IF(J2717&gt;0,M2717/J2717,0)</x:f>
        <x:v>0</x:v>
      </x:c>
      <x:c r="R2717" s="78" t="n">
        <x:f>IF(B2717='Inputs'!$H$51,'Inputs'!$B$27*'Inputs'!$I$51,0)</x:f>
        <x:v>0</x:v>
      </x:c>
      <x:c r="S2717" s="78" t="n">
        <x:f>Q2717+G2717+R2717</x:f>
        <x:v>238431.81178457465</x:v>
      </x:c>
      <x:c r="T2717" s="78" t="n">
        <x:f>P2717*(S2717*(1-'Inputs'!$B$15))/(O2717+S2717*(1-'Inputs'!$B$15))</x:f>
        <x:v>191356.73468573316</x:v>
      </x:c>
      <x:c r="U2717" s="78" t="n">
        <x:f>O2717+S2717*(1-'Inputs'!$B$17)</x:f>
        <x:v>547166.3705722039</x:v>
      </x:c>
      <x:c r="V2717" s="78" t="n">
        <x:f>P2717-T2717</x:f>
        <x:v>251059.8180391246</x:v>
      </x:c>
      <x:c r="W2717" s="79" t="n">
        <x:f>IF(U2717&gt;0,V2717/U2717,0)</x:f>
        <x:v>0.45883634583860966</x:v>
      </x:c>
      <x:c r="X2717" s="80" t="n">
        <x:f>W2717*('Inputs'!$B$6-AC2717)</x:f>
        <x:v>458190637.30503184</x:v>
      </x:c>
      <x:c r="Y2717" s="80" t="n">
        <x:f>2*V2717</x:f>
        <x:v>502119.6360782492</x:v>
      </x:c>
      <x:c r="Z2717" s="80" t="n">
        <x:f>K2717*'Inputs'!$B$16+(G2717+R2717)*J2717*'Inputs'!$B$16</x:f>
        <x:v>12279.009416289296</x:v>
      </x:c>
      <x:c r="AA2717" s="80" t="n">
        <x:f>K2717*(1+'Inputs'!$E$51)/2*'Inputs'!$B$17</x:f>
        <x:v>4289.285900784164</x:v>
      </x:c>
      <x:c r="AB2717" s="78" t="n">
        <x:f>(IF(J2717&gt;0,K2717*(1-'Inputs'!$E$51)/2/J2717,0)+G2717+R2717)*'Inputs'!$B$17</x:f>
        <x:v>8669.803665502543</x:v>
      </x:c>
      <x:c r="AC2717" s="78" t="n">
        <x:f>AC2716+AB2717</x:f>
        <x:v>1407274.1608943306</x:v>
      </x:c>
      <x:c r="AD2717" s="80" t="n">
        <x:f>Z2717/(1+'Inputs'!$C$51)</x:f>
        <x:v>4093.003138763099</x:v>
      </x:c>
      <x:c r="AE2717" s="80" t="n">
        <x:f>Z2717-AD2717</x:f>
        <x:v>8186.006277526198</x:v>
      </x:c>
      <x:c r="AF2717" s="80" t="n">
        <x:f>D2717*W2717</x:f>
        <x:v>129874.94504673743</x:v>
      </x:c>
      <x:c r="AG2717" s="80" t="n">
        <x:f>C2717*W2717</x:f>
        <x:v>303041.5384423873</x:v>
      </x:c>
      <x:c r="AH2717" s="80" t="n">
        <x:f>2*'Inputs'!$B$8*'Inputs'!$C$51</x:f>
        <x:v>10000</x:v>
      </x:c>
      <x:c r="AI2717" s="81" t="n">
        <x:f>IF(AH2717&gt;0,(AE2717+AF2717)/AH2717*365,0)</x:f>
        <x:v>5039.224723335622</x:v>
      </x:c>
      <x:c r="AJ2717" s="81" t="n">
        <x:f>IF('Inputs'!$B$51&gt;0,AG2717/('Inputs'!$B$19*'Inputs'!$B$51)*365,0)</x:f>
        <x:v>11061.016153147137</x:v>
      </x:c>
      <x:c r="AK2717" s="81" t="n">
        <x:f>W2717/MAX($W$2559:W2717)-1</x:f>
        <x:v>-0.5344882041200112</x:v>
      </x:c>
      <x:c r="AL2717" s="83" t="n">
        <x:f>'Inputs'!$B$51</x:f>
        <x:v>1</x:v>
      </x:c>
      <x:c r="AM2717" s="83" t="n">
        <x:f>'Inputs'!$C$51</x:f>
        <x:v>2</x:v>
      </x:c>
      <x:c r="AN2717" s="83" t="n">
        <x:f>'Inputs'!$D$51</x:f>
        <x:v>3</x:v>
      </x:c>
      <x:c r="AO2717" s="81" t="n">
        <x:f>'Inputs'!$E$51</x:f>
        <x:v>0.1</x:v>
      </x:c>
    </x:row>
    <x:row r="2718">
      <x:c r="A2718" s="59" t="str">
        <x:v>High demand</x:v>
      </x:c>
      <x:c r="B2718" s="59" t="n">
        <x:v>160</x:v>
      </x:c>
      <x:c r="C2718" s="78" t="n">
        <x:f>(('Inputs'!$B$29*(3*160*'Inputs'!$B$12-160^2)/(2*'Inputs'!$B$12^2))-('Inputs'!$B$29*(3*159*'Inputs'!$B$12-159^2)/(2*'Inputs'!$B$12^2)))*'Inputs'!$B$51</x:f>
        <x:v>660131.5912929177</x:v>
      </x:c>
      <x:c r="D2718" s="78" t="n">
        <x:f>IF('Inputs'!$C$51&gt;0,('Inputs'!$B$30*(3*160*'Inputs'!$B$12-160^2)/(2*'Inputs'!$B$12^2))-('Inputs'!$B$30*(3*159*'Inputs'!$B$12-159^2)/(2*'Inputs'!$B$12^2)),0)</x:f>
        <x:v>282913.53912553936</x:v>
      </x:c>
      <x:c r="E2718" s="78" t="n">
        <x:f>C2718+D2718</x:f>
        <x:v>943045.1304184571</x:v>
      </x:c>
      <x:c r="F2718" s="78" t="n">
        <x:f>'Inputs'!$B$13*E2718+(1-'Inputs'!$B$13)/'Inputs'!$B$14*SUM(E2663:E2718)</x:f>
        <x:v>953262.807280914</x:v>
      </x:c>
      <x:c r="G2718" s="78" t="n">
        <x:f>F2718*'Inputs'!$F$51</x:f>
        <x:v>238315.7018202285</x:v>
      </x:c>
      <x:c r="H2718" s="78" t="n">
        <x:f>U2717</x:f>
        <x:v>547166.3705722039</x:v>
      </x:c>
      <x:c r="I2718" s="78" t="n">
        <x:f>V2717</x:f>
        <x:v>251059.8180391246</x:v>
      </x:c>
      <x:c r="J2718" s="79" t="n">
        <x:f>IF(H2718&gt;0,I2718/H2718,0)</x:f>
        <x:v>0.45883634583860966</x:v>
      </x:c>
      <x:c r="K2718" s="80" t="n">
        <x:f>(H2718*J2718+I2718)*'Inputs'!$D$51*(1+'Inputs'!$G$51)^(B2718/30)</x:f>
        <x:v>1954060.7217832217</x:v>
      </x:c>
      <x:c r="L2718" s="80" t="n">
        <x:f>MAX(0,K2718*'Inputs'!$E$51)</x:f>
        <x:v>195406.07217832218</x:v>
      </x:c>
      <x:c r="M2718" s="80" t="n">
        <x:f>MAX(0,-K2718*'Inputs'!$E$51)</x:f>
        <x:v>0</x:v>
      </x:c>
      <x:c r="N2718" s="78" t="n">
        <x:f>H2718*(L2718*(1-'Inputs'!$B$15))/(I2718+L2718*(1-'Inputs'!$B$15))</x:f>
        <x:v>238127.37471725588</x:v>
      </x:c>
      <x:c r="O2718" s="78" t="n">
        <x:f>H2718-N2718</x:f>
        <x:v>309038.995854948</x:v>
      </x:c>
      <x:c r="P2718" s="78" t="n">
        <x:f>I2718+L2718*(1-'Inputs'!$B$17)</x:f>
        <x:v>445679.5478746769</x:v>
      </x:c>
      <x:c r="Q2718" s="78" t="n">
        <x:f>IF(J2718&gt;0,M2718/J2718,0)</x:f>
        <x:v>0</x:v>
      </x:c>
      <x:c r="R2718" s="78" t="n">
        <x:f>IF(B2718='Inputs'!$H$51,'Inputs'!$B$27*'Inputs'!$I$51,0)</x:f>
        <x:v>0</x:v>
      </x:c>
      <x:c r="S2718" s="78" t="n">
        <x:f>Q2718+G2718+R2718</x:f>
        <x:v>238315.7018202285</x:v>
      </x:c>
      <x:c r="T2718" s="78" t="n">
        <x:f>P2718*(S2718*(1-'Inputs'!$B$15))/(O2718+S2718*(1-'Inputs'!$B$15))</x:f>
        <x:v>192946.4238986281</x:v>
      </x:c>
      <x:c r="U2718" s="78" t="n">
        <x:f>O2718+S2718*(1-'Inputs'!$B$17)</x:f>
        <x:v>546395.6807664433</x:v>
      </x:c>
      <x:c r="V2718" s="78" t="n">
        <x:f>P2718-T2718</x:f>
        <x:v>252733.12397604878</x:v>
      </x:c>
      <x:c r="W2718" s="79" t="n">
        <x:f>IF(U2718&gt;0,V2718/U2718,0)</x:f>
        <x:v>0.4625459769768559</x:v>
      </x:c>
      <x:c r="X2718" s="80" t="n">
        <x:f>W2718*('Inputs'!$B$6-AC2718)</x:f>
        <x:v>461891037.23664325</x:v>
      </x:c>
      <x:c r="Y2718" s="80" t="n">
        <x:f>2*V2718</x:f>
        <x:v>505466.24795209756</x:v>
      </x:c>
      <x:c r="Z2718" s="80" t="n">
        <x:f>K2718*'Inputs'!$B$16+(G2718+R2718)*J2718*'Inputs'!$B$16</x:f>
        <x:v>12380.451765374275</x:v>
      </x:c>
      <x:c r="AA2718" s="80" t="n">
        <x:f>K2718*(1+'Inputs'!$E$51)/2*'Inputs'!$B$17</x:f>
        <x:v>4324.882885234495</x:v>
      </x:c>
      <x:c r="AB2718" s="78" t="n">
        <x:f>(IF(J2718&gt;0,K2718*(1-'Inputs'!$E$51)/2/J2718,0)+G2718+R2718)*'Inputs'!$B$17</x:f>
        <x:v>8671.005234325174</x:v>
      </x:c>
      <x:c r="AC2718" s="78" t="n">
        <x:f>AC2717+AB2718</x:f>
        <x:v>1415945.1661286557</x:v>
      </x:c>
      <x:c r="AD2718" s="80" t="n">
        <x:f>Z2718/(1+'Inputs'!$C$51)</x:f>
        <x:v>4126.817255124758</x:v>
      </x:c>
      <x:c r="AE2718" s="80" t="n">
        <x:f>Z2718-AD2718</x:f>
        <x:v>8253.634510249518</x:v>
      </x:c>
      <x:c r="AF2718" s="80" t="n">
        <x:f>D2718*W2718</x:f>
        <x:v>130860.51935480256</x:v>
      </x:c>
      <x:c r="AG2718" s="80" t="n">
        <x:f>C2718*W2718</x:f>
        <x:v>305341.2118278692</x:v>
      </x:c>
      <x:c r="AH2718" s="80" t="n">
        <x:f>2*'Inputs'!$B$8*'Inputs'!$C$51</x:f>
        <x:v>10000</x:v>
      </x:c>
      <x:c r="AI2718" s="81" t="n">
        <x:f>IF(AH2718&gt;0,(AE2718+AF2718)/AH2718*365,0)</x:f>
        <x:v>5077.666616074401</x:v>
      </x:c>
      <x:c r="AJ2718" s="81" t="n">
        <x:f>IF('Inputs'!$B$51&gt;0,AG2718/('Inputs'!$B$19*'Inputs'!$B$51)*365,0)</x:f>
        <x:v>11144.954231717225</x:v>
      </x:c>
      <x:c r="AK2718" s="81" t="n">
        <x:f>W2718/MAX($W$2559:W2718)-1</x:f>
        <x:v>-0.5307246028515434</x:v>
      </x:c>
      <x:c r="AL2718" s="83" t="n">
        <x:f>'Inputs'!$B$51</x:f>
        <x:v>1</x:v>
      </x:c>
      <x:c r="AM2718" s="83" t="n">
        <x:f>'Inputs'!$C$51</x:f>
        <x:v>2</x:v>
      </x:c>
      <x:c r="AN2718" s="83" t="n">
        <x:f>'Inputs'!$D$51</x:f>
        <x:v>3</x:v>
      </x:c>
      <x:c r="AO2718" s="81" t="n">
        <x:f>'Inputs'!$E$51</x:f>
        <x:v>0.1</x:v>
      </x:c>
    </x:row>
    <x:row r="2719">
      <x:c r="A2719" s="59" t="str">
        <x:v>High demand</x:v>
      </x:c>
      <x:c r="B2719" s="59" t="n">
        <x:v>161</x:v>
      </x:c>
      <x:c r="C2719" s="78" t="n">
        <x:f>(('Inputs'!$B$29*(3*161*'Inputs'!$B$12-161^2)/(2*'Inputs'!$B$12^2))-('Inputs'!$B$29*(3*160*'Inputs'!$B$12-160^2)/(2*'Inputs'!$B$12^2)))*'Inputs'!$B$51</x:f>
        <x:v>659806.4833927602</x:v>
      </x:c>
      <x:c r="D2719" s="78" t="n">
        <x:f>IF('Inputs'!$C$51&gt;0,('Inputs'!$B$30*(3*161*'Inputs'!$B$12-161^2)/(2*'Inputs'!$B$12^2))-('Inputs'!$B$30*(3*160*'Inputs'!$B$12-160^2)/(2*'Inputs'!$B$12^2)),0)</x:f>
        <x:v>282774.2071683258</x:v>
      </x:c>
      <x:c r="E2719" s="78" t="n">
        <x:f>C2719+D2719</x:f>
        <x:v>942580.6905610859</x:v>
      </x:c>
      <x:c r="F2719" s="78" t="n">
        <x:f>'Inputs'!$B$13*E2719+(1-'Inputs'!$B$13)/'Inputs'!$B$14*SUM(E2664:E2719)</x:f>
        <x:v>952798.3674235325</x:v>
      </x:c>
      <x:c r="G2719" s="78" t="n">
        <x:f>F2719*'Inputs'!$F$51</x:f>
        <x:v>238199.59185588313</x:v>
      </x:c>
      <x:c r="H2719" s="78" t="n">
        <x:f>U2718</x:f>
        <x:v>546395.6807664433</x:v>
      </x:c>
      <x:c r="I2719" s="78" t="n">
        <x:f>V2718</x:f>
        <x:v>252733.12397604878</x:v>
      </x:c>
      <x:c r="J2719" s="79" t="n">
        <x:f>IF(H2719&gt;0,I2719/H2719,0)</x:f>
        <x:v>0.4625459769768559</x:v>
      </x:c>
      <x:c r="K2719" s="80" t="n">
        <x:f>(H2719*J2719+I2719)*'Inputs'!$D$51*(1+'Inputs'!$G$51)^(B2719/30)</x:f>
        <x:v>1970286.2248472827</x:v>
      </x:c>
      <x:c r="L2719" s="80" t="n">
        <x:f>MAX(0,K2719*'Inputs'!$E$51)</x:f>
        <x:v>197028.6224847283</x:v>
      </x:c>
      <x:c r="M2719" s="80" t="n">
        <x:f>MAX(0,-K2719*'Inputs'!$E$51)</x:f>
        <x:v>0</x:v>
      </x:c>
      <x:c r="N2719" s="78" t="n">
        <x:f>H2719*(L2719*(1-'Inputs'!$B$15))/(I2719+L2719*(1-'Inputs'!$B$15))</x:f>
        <x:v>238010.41755850753</x:v>
      </x:c>
      <x:c r="O2719" s="78" t="n">
        <x:f>H2719-N2719</x:f>
        <x:v>308385.2632079357</x:v>
      </x:c>
      <x:c r="P2719" s="78" t="n">
        <x:f>I2719+L2719*(1-'Inputs'!$B$17)</x:f>
        <x:v>448968.8747405166</x:v>
      </x:c>
      <x:c r="Q2719" s="78" t="n">
        <x:f>IF(J2719&gt;0,M2719/J2719,0)</x:f>
        <x:v>0</x:v>
      </x:c>
      <x:c r="R2719" s="78" t="n">
        <x:f>IF(B2719='Inputs'!$H$51,'Inputs'!$B$27*'Inputs'!$I$51,0)</x:f>
        <x:v>0</x:v>
      </x:c>
      <x:c r="S2719" s="78" t="n">
        <x:f>Q2719+G2719+R2719</x:f>
        <x:v>238199.59185588313</x:v>
      </x:c>
      <x:c r="T2719" s="78" t="n">
        <x:f>P2719*(S2719*(1-'Inputs'!$B$15))/(O2719+S2719*(1-'Inputs'!$B$15))</x:f>
        <x:v>194550.17354793783</x:v>
      </x:c>
      <x:c r="U2719" s="78" t="n">
        <x:f>O2719+S2719*(1-'Inputs'!$B$17)</x:f>
        <x:v>545626.3053984029</x:v>
      </x:c>
      <x:c r="V2719" s="78" t="n">
        <x:f>P2719-T2719</x:f>
        <x:v>254418.70119257877</x:v>
      </x:c>
      <x:c r="W2719" s="79" t="n">
        <x:f>IF(U2719&gt;0,V2719/U2719,0)</x:f>
        <x:v>0.46628745475680194</x:v>
      </x:c>
      <x:c r="X2719" s="80" t="n">
        <x:f>W2719*('Inputs'!$B$6-AC2719)</x:f>
        <x:v>465623173.54629743</x:v>
      </x:c>
      <x:c r="Y2719" s="80" t="n">
        <x:f>2*V2719</x:f>
        <x:v>508837.40238515753</x:v>
      </x:c>
      <x:c r="Z2719" s="80" t="n">
        <x:f>K2719*'Inputs'!$B$16+(G2719+R2719)*J2719*'Inputs'!$B$16</x:f>
        <x:v>12482.786926666504</x:v>
      </x:c>
      <x:c r="AA2719" s="80" t="n">
        <x:f>K2719*(1+'Inputs'!$E$51)/2*'Inputs'!$B$17</x:f>
        <x:v>4360.794461432618</x:v>
      </x:c>
      <x:c r="AB2719" s="78" t="n">
        <x:f>(IF(J2719&gt;0,K2719*(1-'Inputs'!$E$51)/2/J2719,0)+G2719+R2719)*'Inputs'!$B$17</x:f>
        <x:v>8672.21040135335</x:v>
      </x:c>
      <x:c r="AC2719" s="78" t="n">
        <x:f>AC2718+AB2719</x:f>
        <x:v>1424617.376530009</x:v>
      </x:c>
      <x:c r="AD2719" s="80" t="n">
        <x:f>Z2719/(1+'Inputs'!$C$51)</x:f>
        <x:v>4160.928975555501</x:v>
      </x:c>
      <x:c r="AE2719" s="80" t="n">
        <x:f>Z2719-AD2719</x:f>
        <x:v>8321.857951111004</x:v>
      </x:c>
      <x:c r="AF2719" s="80" t="n">
        <x:f>D2719*W2719</x:f>
        <x:v>131854.06533139126</x:v>
      </x:c>
      <x:c r="AG2719" s="80" t="n">
        <x:f>C2719*W2719</x:f>
        <x:v>307659.48577324627</x:v>
      </x:c>
      <x:c r="AH2719" s="80" t="n">
        <x:f>2*'Inputs'!$B$8*'Inputs'!$C$51</x:f>
        <x:v>10000</x:v>
      </x:c>
      <x:c r="AI2719" s="81" t="n">
        <x:f>IF(AH2719&gt;0,(AE2719+AF2719)/AH2719*365,0)</x:f>
        <x:v>5116.421199811333</x:v>
      </x:c>
      <x:c r="AJ2719" s="81" t="n">
        <x:f>IF('Inputs'!$B$51&gt;0,AG2719/('Inputs'!$B$19*'Inputs'!$B$51)*365,0)</x:f>
        <x:v>11229.571230723488</x:v>
      </x:c>
      <x:c r="AK2719" s="81" t="n">
        <x:f>W2719/MAX($W$2559:W2719)-1</x:f>
        <x:v>-0.5269286916156877</x:v>
      </x:c>
      <x:c r="AL2719" s="83" t="n">
        <x:f>'Inputs'!$B$51</x:f>
        <x:v>1</x:v>
      </x:c>
      <x:c r="AM2719" s="83" t="n">
        <x:f>'Inputs'!$C$51</x:f>
        <x:v>2</x:v>
      </x:c>
      <x:c r="AN2719" s="83" t="n">
        <x:f>'Inputs'!$D$51</x:f>
        <x:v>3</x:v>
      </x:c>
      <x:c r="AO2719" s="81" t="n">
        <x:f>'Inputs'!$E$51</x:f>
        <x:v>0.1</x:v>
      </x:c>
    </x:row>
    <x:row r="2720">
      <x:c r="A2720" s="59" t="str">
        <x:v>High demand</x:v>
      </x:c>
      <x:c r="B2720" s="59" t="n">
        <x:v>162</x:v>
      </x:c>
      <x:c r="C2720" s="78" t="n">
        <x:f>(('Inputs'!$B$29*(3*162*'Inputs'!$B$12-162^2)/(2*'Inputs'!$B$12^2))-('Inputs'!$B$29*(3*161*'Inputs'!$B$12-161^2)/(2*'Inputs'!$B$12^2)))*'Inputs'!$B$51</x:f>
        <x:v>659481.3754925877</x:v>
      </x:c>
      <x:c r="D2720" s="78" t="n">
        <x:f>IF('Inputs'!$C$51&gt;0,('Inputs'!$B$30*(3*162*'Inputs'!$B$12-162^2)/(2*'Inputs'!$B$12^2))-('Inputs'!$B$30*(3*161*'Inputs'!$B$12-161^2)/(2*'Inputs'!$B$12^2)),0)</x:f>
        <x:v>282634.8752111122</x:v>
      </x:c>
      <x:c r="E2720" s="78" t="n">
        <x:f>C2720+D2720</x:f>
        <x:v>942116.2507036999</x:v>
      </x:c>
      <x:c r="F2720" s="78" t="n">
        <x:f>'Inputs'!$B$13*E2720+(1-'Inputs'!$B$13)/'Inputs'!$B$14*SUM(E2665:E2720)</x:f>
        <x:v>952333.9275661482</x:v>
      </x:c>
      <x:c r="G2720" s="78" t="n">
        <x:f>F2720*'Inputs'!$F$51</x:f>
        <x:v>238083.48189153706</x:v>
      </x:c>
      <x:c r="H2720" s="78" t="n">
        <x:f>U2719</x:f>
        <x:v>545626.3053984029</x:v>
      </x:c>
      <x:c r="I2720" s="78" t="n">
        <x:f>V2719</x:f>
        <x:v>254418.70119257877</x:v>
      </x:c>
      <x:c r="J2720" s="79" t="n">
        <x:f>IF(H2720&gt;0,I2720/H2720,0)</x:f>
        <x:v>0.46628745475680194</x:v>
      </x:c>
      <x:c r="K2720" s="80" t="n">
        <x:f>(H2720*J2720+I2720)*'Inputs'!$D$51*(1+'Inputs'!$G$51)^(B2720/30)</x:f>
        <x:v>1986655.1918978745</x:v>
      </x:c>
      <x:c r="L2720" s="80" t="n">
        <x:f>MAX(0,K2720*'Inputs'!$E$51)</x:f>
        <x:v>198665.51918978745</x:v>
      </x:c>
      <x:c r="M2720" s="80" t="n">
        <x:f>MAX(0,-K2720*'Inputs'!$E$51)</x:f>
        <x:v>0</x:v>
      </x:c>
      <x:c r="N2720" s="78" t="n">
        <x:f>H2720*(L2720*(1-'Inputs'!$B$15))/(I2720+L2720*(1-'Inputs'!$B$15))</x:f>
        <x:v>237893.46295365674</x:v>
      </x:c>
      <x:c r="O2720" s="78" t="n">
        <x:f>H2720-N2720</x:f>
        <x:v>307732.8424447461</x:v>
      </x:c>
      <x:c r="P2720" s="78" t="n">
        <x:f>I2720+L2720*(1-'Inputs'!$B$17)</x:f>
        <x:v>452284.7615526286</x:v>
      </x:c>
      <x:c r="Q2720" s="78" t="n">
        <x:f>IF(J2720&gt;0,M2720/J2720,0)</x:f>
        <x:v>0</x:v>
      </x:c>
      <x:c r="R2720" s="78" t="n">
        <x:f>IF(B2720='Inputs'!$H$51,'Inputs'!$B$27*'Inputs'!$I$51,0)</x:f>
        <x:v>0</x:v>
      </x:c>
      <x:c r="S2720" s="78" t="n">
        <x:f>Q2720+G2720+R2720</x:f>
        <x:v>238083.48189153706</x:v>
      </x:c>
      <x:c r="T2720" s="78" t="n">
        <x:f>P2720*(S2720*(1-'Inputs'!$B$15))/(O2720+S2720*(1-'Inputs'!$B$15))</x:f>
        <x:v>196168.11486353443</x:v>
      </x:c>
      <x:c r="U2720" s="78" t="n">
        <x:f>O2720+S2720*(1-'Inputs'!$B$17)</x:f>
        <x:v>544858.2419141844</x:v>
      </x:c>
      <x:c r="V2720" s="78" t="n">
        <x:f>P2720-T2720</x:f>
        <x:v>256116.64668909417</x:v>
      </x:c>
      <x:c r="W2720" s="79" t="n">
        <x:f>IF(U2720&gt;0,V2720/U2720,0)</x:f>
        <x:v>0.4700610672407388</x:v>
      </x:c>
      <x:c r="X2720" s="80" t="n">
        <x:f>W2720*('Inputs'!$B$6-AC2720)</x:f>
        <x:v>469387333.03964674</x:v>
      </x:c>
      <x:c r="Y2720" s="80" t="n">
        <x:f>2*V2720</x:f>
        <x:v>512233.29337818833</x:v>
      </x:c>
      <x:c r="Z2720" s="80" t="n">
        <x:f>K2720*'Inputs'!$B$16+(G2720+R2720)*J2720*'Inputs'!$B$16</x:f>
        <x:v>12586.023196132299</x:v>
      </x:c>
      <x:c r="AA2720" s="80" t="n">
        <x:f>K2720*(1+'Inputs'!$E$51)/2*'Inputs'!$B$17</x:f>
        <x:v>4397.023563556665</x:v>
      </x:c>
      <x:c r="AB2720" s="78" t="n">
        <x:f>(IF(J2720&gt;0,K2720*(1-'Inputs'!$E$51)/2/J2720,0)+G2720+R2720)*'Inputs'!$B$17</x:f>
        <x:v>8673.419167959604</x:v>
      </x:c>
      <x:c r="AC2720" s="78" t="n">
        <x:f>AC2719+AB2720</x:f>
        <x:v>1433290.7956979687</x:v>
      </x:c>
      <x:c r="AD2720" s="80" t="n">
        <x:f>Z2720/(1+'Inputs'!$C$51)</x:f>
        <x:v>4195.341065377433</x:v>
      </x:c>
      <x:c r="AE2720" s="80" t="n">
        <x:f>Z2720-AD2720</x:f>
        <x:v>8390.682130754867</x:v>
      </x:c>
      <x:c r="AF2720" s="80" t="n">
        <x:f>D2720*W2720</x:f>
        <x:v>132855.65108118844</x:v>
      </x:c>
      <x:c r="AG2720" s="80" t="n">
        <x:f>C2720*W2720</x:f>
        <x:v>309996.51918943616</x:v>
      </x:c>
      <x:c r="AH2720" s="80" t="n">
        <x:f>2*'Inputs'!$B$8*'Inputs'!$C$51</x:f>
        <x:v>10000</x:v>
      </x:c>
      <x:c r="AI2720" s="81" t="n">
        <x:f>IF(AH2720&gt;0,(AE2720+AF2720)/AH2720*365,0)</x:f>
        <x:v>5155.4911622359305</x:v>
      </x:c>
      <x:c r="AJ2720" s="81" t="n">
        <x:f>IF('Inputs'!$B$51&gt;0,AG2720/('Inputs'!$B$19*'Inputs'!$B$51)*365,0)</x:f>
        <x:v>11314.87295041442</x:v>
      </x:c>
      <x:c r="AK2720" s="81" t="n">
        <x:f>W2720/MAX($W$2559:W2720)-1</x:f>
        <x:v>-0.5231001781592353</x:v>
      </x:c>
      <x:c r="AL2720" s="83" t="n">
        <x:f>'Inputs'!$B$51</x:f>
        <x:v>1</x:v>
      </x:c>
      <x:c r="AM2720" s="83" t="n">
        <x:f>'Inputs'!$C$51</x:f>
        <x:v>2</x:v>
      </x:c>
      <x:c r="AN2720" s="83" t="n">
        <x:f>'Inputs'!$D$51</x:f>
        <x:v>3</x:v>
      </x:c>
      <x:c r="AO2720" s="81" t="n">
        <x:f>'Inputs'!$E$51</x:f>
        <x:v>0.1</x:v>
      </x:c>
    </x:row>
    <x:row r="2721">
      <x:c r="A2721" s="59" t="str">
        <x:v>High demand</x:v>
      </x:c>
      <x:c r="B2721" s="59" t="n">
        <x:v>163</x:v>
      </x:c>
      <x:c r="C2721" s="78" t="n">
        <x:f>(('Inputs'!$B$29*(3*163*'Inputs'!$B$12-163^2)/(2*'Inputs'!$B$12^2))-('Inputs'!$B$29*(3*162*'Inputs'!$B$12-162^2)/(2*'Inputs'!$B$12^2)))*'Inputs'!$B$51</x:f>
        <x:v>659156.2675924152</x:v>
      </x:c>
      <x:c r="D2721" s="78" t="n">
        <x:f>IF('Inputs'!$C$51&gt;0,('Inputs'!$B$30*(3*163*'Inputs'!$B$12-163^2)/(2*'Inputs'!$B$12^2))-('Inputs'!$B$30*(3*162*'Inputs'!$B$12-162^2)/(2*'Inputs'!$B$12^2)),0)</x:f>
        <x:v>282495.54325389117</x:v>
      </x:c>
      <x:c r="E2721" s="78" t="n">
        <x:f>C2721+D2721</x:f>
        <x:v>941651.8108463064</x:v>
      </x:c>
      <x:c r="F2721" s="78" t="n">
        <x:f>'Inputs'!$B$13*E2721+(1-'Inputs'!$B$13)/'Inputs'!$B$14*SUM(E2666:E2721)</x:f>
        <x:v>951869.4877087622</x:v>
      </x:c>
      <x:c r="G2721" s="78" t="n">
        <x:f>F2721*'Inputs'!$F$51</x:f>
        <x:v>237967.37192719054</x:v>
      </x:c>
      <x:c r="H2721" s="78" t="n">
        <x:f>U2720</x:f>
        <x:v>544858.2419141844</x:v>
      </x:c>
      <x:c r="I2721" s="78" t="n">
        <x:f>V2720</x:f>
        <x:v>256116.64668909417</x:v>
      </x:c>
      <x:c r="J2721" s="79" t="n">
        <x:f>IF(H2721&gt;0,I2721/H2721,0)</x:f>
        <x:v>0.4700610672407388</x:v>
      </x:c>
      <x:c r="K2721" s="80" t="n">
        <x:f>(H2721*J2721+I2721)*'Inputs'!$D$51*(1+'Inputs'!$G$51)^(B2721/30)</x:f>
        <x:v>2003168.9616064613</x:v>
      </x:c>
      <x:c r="L2721" s="80" t="n">
        <x:f>MAX(0,K2721*'Inputs'!$E$51)</x:f>
        <x:v>200316.89616064614</x:v>
      </x:c>
      <x:c r="M2721" s="80" t="n">
        <x:f>MAX(0,-K2721*'Inputs'!$E$51)</x:f>
        <x:v>0</x:v>
      </x:c>
      <x:c r="N2721" s="78" t="n">
        <x:f>H2721*(L2721*(1-'Inputs'!$B$15))/(I2721+L2721*(1-'Inputs'!$B$15))</x:f>
        <x:v>237776.51089783246</x:v>
      </x:c>
      <x:c r="O2721" s="78" t="n">
        <x:f>H2721-N2721</x:f>
        <x:v>307081.73101635196</x:v>
      </x:c>
      <x:c r="P2721" s="78" t="n">
        <x:f>I2721+L2721*(1-'Inputs'!$B$17)</x:f>
        <x:v>455627.4386398383</x:v>
      </x:c>
      <x:c r="Q2721" s="78" t="n">
        <x:f>IF(J2721&gt;0,M2721/J2721,0)</x:f>
        <x:v>0</x:v>
      </x:c>
      <x:c r="R2721" s="78" t="n">
        <x:f>IF(B2721='Inputs'!$H$51,'Inputs'!$B$27*'Inputs'!$I$51,0)</x:f>
        <x:v>0</x:v>
      </x:c>
      <x:c r="S2721" s="78" t="n">
        <x:f>Q2721+G2721+R2721</x:f>
        <x:v>237967.37192719054</x:v>
      </x:c>
      <x:c r="T2721" s="78" t="n">
        <x:f>P2721*(S2721*(1-'Inputs'!$B$15))/(O2721+S2721*(1-'Inputs'!$B$15))</x:f>
        <x:v>197800.3803585707</x:v>
      </x:c>
      <x:c r="U2721" s="78" t="n">
        <x:f>O2721+S2721*(1-'Inputs'!$B$17)</x:f>
        <x:v>544091.4877647611</x:v>
      </x:c>
      <x:c r="V2721" s="78" t="n">
        <x:f>P2721-T2721</x:f>
        <x:v>257827.05828126761</x:v>
      </x:c>
      <x:c r="W2721" s="79" t="n">
        <x:f>IF(U2721&gt;0,V2721/U2721,0)</x:f>
        <x:v>0.4738671052187819</x:v>
      </x:c>
      <x:c r="X2721" s="80" t="n">
        <x:f>W2721*('Inputs'!$B$6-AC2721)</x:f>
        <x:v>473183805.2359532</x:v>
      </x:c>
      <x:c r="Y2721" s="80" t="n">
        <x:f>2*V2721</x:f>
        <x:v>515654.11656253523</x:v>
      </x:c>
      <x:c r="Z2721" s="80" t="n">
        <x:f>K2721*'Inputs'!$B$16+(G2721+R2721)*J2721*'Inputs'!$B$16</x:f>
        <x:v>12690.168950538182</x:v>
      </x:c>
      <x:c r="AA2721" s="80" t="n">
        <x:f>K2721*(1+'Inputs'!$E$51)/2*'Inputs'!$B$17</x:f>
        <x:v>4433.573154460981</x:v>
      </x:c>
      <x:c r="AB2721" s="78" t="n">
        <x:f>(IF(J2721&gt;0,K2721*(1-'Inputs'!$E$51)/2/J2721,0)+G2721+R2721)*'Inputs'!$B$17</x:f>
        <x:v>8674.631535511966</x:v>
      </x:c>
      <x:c r="AC2721" s="78" t="n">
        <x:f>AC2720+AB2721</x:f>
        <x:v>1441965.4272334806</x:v>
      </x:c>
      <x:c r="AD2721" s="80" t="n">
        <x:f>Z2721/(1+'Inputs'!$C$51)</x:f>
        <x:v>4230.05631684606</x:v>
      </x:c>
      <x:c r="AE2721" s="80" t="n">
        <x:f>Z2721-AD2721</x:f>
        <x:v>8460.112633692122</x:v>
      </x:c>
      <x:c r="AF2721" s="80" t="n">
        <x:f>D2721*W2721</x:f>
        <x:v>133865.3453189286</x:v>
      </x:c>
      <x:c r="AG2721" s="80" t="n">
        <x:f>C2721*W2721</x:f>
        <x:v>312352.47241083457</x:v>
      </x:c>
      <x:c r="AH2721" s="80" t="n">
        <x:f>2*'Inputs'!$B$8*'Inputs'!$C$51</x:f>
        <x:v>10000</x:v>
      </x:c>
      <x:c r="AI2721" s="81" t="n">
        <x:f>IF(AH2721&gt;0,(AE2721+AF2721)/AH2721*365,0)</x:f>
        <x:v>5194.8792152706565</x:v>
      </x:c>
      <x:c r="AJ2721" s="81" t="n">
        <x:f>IF('Inputs'!$B$51&gt;0,AG2721/('Inputs'!$B$19*'Inputs'!$B$51)*365,0)</x:f>
        <x:v>11400.865242995462</x:v>
      </x:c>
      <x:c r="AK2721" s="81" t="n">
        <x:f>W2721/MAX($W$2559:W2721)-1</x:f>
        <x:v>-0.5192387674614666</x:v>
      </x:c>
      <x:c r="AL2721" s="83" t="n">
        <x:f>'Inputs'!$B$51</x:f>
        <x:v>1</x:v>
      </x:c>
      <x:c r="AM2721" s="83" t="n">
        <x:f>'Inputs'!$C$51</x:f>
        <x:v>2</x:v>
      </x:c>
      <x:c r="AN2721" s="83" t="n">
        <x:f>'Inputs'!$D$51</x:f>
        <x:v>3</x:v>
      </x:c>
      <x:c r="AO2721" s="81" t="n">
        <x:f>'Inputs'!$E$51</x:f>
        <x:v>0.1</x:v>
      </x:c>
    </x:row>
    <x:row r="2722">
      <x:c r="A2722" s="59" t="str">
        <x:v>High demand</x:v>
      </x:c>
      <x:c r="B2722" s="59" t="n">
        <x:v>164</x:v>
      </x:c>
      <x:c r="C2722" s="78" t="n">
        <x:f>(('Inputs'!$B$29*(3*164*'Inputs'!$B$12-164^2)/(2*'Inputs'!$B$12^2))-('Inputs'!$B$29*(3*163*'Inputs'!$B$12-163^2)/(2*'Inputs'!$B$12^2)))*'Inputs'!$B$51</x:f>
        <x:v>658831.1596922576</x:v>
      </x:c>
      <x:c r="D2722" s="78" t="n">
        <x:f>IF('Inputs'!$C$51&gt;0,('Inputs'!$B$30*(3*164*'Inputs'!$B$12-164^2)/(2*'Inputs'!$B$12^2))-('Inputs'!$B$30*(3*163*'Inputs'!$B$12-163^2)/(2*'Inputs'!$B$12^2)),0)</x:f>
        <x:v>282356.2112966776</x:v>
      </x:c>
      <x:c r="E2722" s="78" t="n">
        <x:f>C2722+D2722</x:f>
        <x:v>941187.3709889352</x:v>
      </x:c>
      <x:c r="F2722" s="78" t="n">
        <x:f>'Inputs'!$B$13*E2722+(1-'Inputs'!$B$13)/'Inputs'!$B$14*SUM(E2667:E2722)</x:f>
        <x:v>951405.0478513807</x:v>
      </x:c>
      <x:c r="G2722" s="78" t="n">
        <x:f>F2722*'Inputs'!$F$51</x:f>
        <x:v>237851.26196284516</x:v>
      </x:c>
      <x:c r="H2722" s="78" t="n">
        <x:f>U2721</x:f>
        <x:v>544091.4877647611</x:v>
      </x:c>
      <x:c r="I2722" s="78" t="n">
        <x:f>V2721</x:f>
        <x:v>257827.05828126761</x:v>
      </x:c>
      <x:c r="J2722" s="79" t="n">
        <x:f>IF(H2722&gt;0,I2722/H2722,0)</x:f>
        <x:v>0.4738671052187819</x:v>
      </x:c>
      <x:c r="K2722" s="80" t="n">
        <x:f>(H2722*J2722+I2722)*'Inputs'!$D$51*(1+'Inputs'!$G$51)^(B2722/30)</x:f>
        <x:v>2019828.8857328603</x:v>
      </x:c>
      <x:c r="L2722" s="80" t="n">
        <x:f>MAX(0,K2722*'Inputs'!$E$51)</x:f>
        <x:v>201982.88857328604</x:v>
      </x:c>
      <x:c r="M2722" s="80" t="n">
        <x:f>MAX(0,-K2722*'Inputs'!$E$51)</x:f>
        <x:v>0</x:v>
      </x:c>
      <x:c r="N2722" s="78" t="n">
        <x:f>H2722*(L2722*(1-'Inputs'!$B$15))/(I2722+L2722*(1-'Inputs'!$B$15))</x:f>
        <x:v>237659.56138617342</x:v>
      </x:c>
      <x:c r="O2722" s="78" t="n">
        <x:f>H2722-N2722</x:f>
        <x:v>306431.92637858767</x:v>
      </x:c>
      <x:c r="P2722" s="78" t="n">
        <x:f>I2722+L2722*(1-'Inputs'!$B$17)</x:f>
        <x:v>458997.1384498322</x:v>
      </x:c>
      <x:c r="Q2722" s="78" t="n">
        <x:f>IF(J2722&gt;0,M2722/J2722,0)</x:f>
        <x:v>0</x:v>
      </x:c>
      <x:c r="R2722" s="78" t="n">
        <x:f>IF(B2722='Inputs'!$H$51,'Inputs'!$B$27*'Inputs'!$I$51,0)</x:f>
        <x:v>0</x:v>
      </x:c>
      <x:c r="S2722" s="78" t="n">
        <x:f>Q2722+G2722+R2722</x:f>
        <x:v>237851.26196284516</x:v>
      </x:c>
      <x:c r="T2722" s="78" t="n">
        <x:f>P2722*(S2722*(1-'Inputs'!$B$15))/(O2722+S2722*(1-'Inputs'!$B$15))</x:f>
        <x:v>199447.10384255182</x:v>
      </x:c>
      <x:c r="U2722" s="78" t="n">
        <x:f>O2722+S2722*(1-'Inputs'!$B$17)</x:f>
        <x:v>543326.0404059687</x:v>
      </x:c>
      <x:c r="V2722" s="78" t="n">
        <x:f>P2722-T2722</x:f>
        <x:v>259550.0346072804</x:v>
      </x:c>
      <x:c r="W2722" s="79" t="n">
        <x:f>IF(U2722&gt;0,V2722/U2722,0)</x:f>
        <x:v>0.4777058622357706</x:v>
      </x:c>
      <x:c r="X2722" s="80" t="n">
        <x:f>W2722*('Inputs'!$B$6-AC2722)</x:f>
        <x:v>477012882.39482665</x:v>
      </x:c>
      <x:c r="Y2722" s="80" t="n">
        <x:f>2*V2722</x:f>
        <x:v>519100.0692145608</x:v>
      </x:c>
      <x:c r="Z2722" s="80" t="n">
        <x:f>K2722*'Inputs'!$B$16+(G2722+R2722)*J2722*'Inputs'!$B$16</x:f>
        <x:v>12795.232648270969</x:v>
      </x:c>
      <x:c r="AA2722" s="80" t="n">
        <x:f>K2722*(1+'Inputs'!$E$51)/2*'Inputs'!$B$17</x:f>
        <x:v>4470.446225968102</x:v>
      </x:c>
      <x:c r="AB2722" s="78" t="n">
        <x:f>(IF(J2722&gt;0,K2722*(1-'Inputs'!$E$51)/2/J2722,0)+G2722+R2722)*'Inputs'!$B$17</x:f>
        <x:v>8675.847505373997</x:v>
      </x:c>
      <x:c r="AC2722" s="78" t="n">
        <x:f>AC2721+AB2722</x:f>
        <x:v>1450641.2747388547</x:v>
      </x:c>
      <x:c r="AD2722" s="80" t="n">
        <x:f>Z2722/(1+'Inputs'!$C$51)</x:f>
        <x:v>4265.077549423656</x:v>
      </x:c>
      <x:c r="AE2722" s="80" t="n">
        <x:f>Z2722-AD2722</x:f>
        <x:v>8530.155098847314</x:v>
      </x:c>
      <x:c r="AF2722" s="80" t="n">
        <x:f>D2722*W2722</x:f>
        <x:v>134883.2173751048</x:v>
      </x:c>
      <x:c r="AG2722" s="80" t="n">
        <x:f>C2722*W2722</x:f>
        <x:v>314727.5072085826</x:v>
      </x:c>
      <x:c r="AH2722" s="80" t="n">
        <x:f>2*'Inputs'!$B$8*'Inputs'!$C$51</x:f>
        <x:v>10000</x:v>
      </x:c>
      <x:c r="AI2722" s="81" t="n">
        <x:f>IF(AH2722&gt;0,(AE2722+AF2722)/AH2722*365,0)</x:f>
        <x:v>5234.588095299253</x:v>
      </x:c>
      <x:c r="AJ2722" s="81" t="n">
        <x:f>IF('Inputs'!$B$51&gt;0,AG2722/('Inputs'!$B$19*'Inputs'!$B$51)*365,0)</x:f>
        <x:v>11487.554013113264</x:v>
      </x:c>
      <x:c r="AK2722" s="81" t="n">
        <x:f>W2722/MAX($W$2559:W2722)-1</x:f>
        <x:v>-0.5153441617068608</x:v>
      </x:c>
      <x:c r="AL2722" s="83" t="n">
        <x:f>'Inputs'!$B$51</x:f>
        <x:v>1</x:v>
      </x:c>
      <x:c r="AM2722" s="83" t="n">
        <x:f>'Inputs'!$C$51</x:f>
        <x:v>2</x:v>
      </x:c>
      <x:c r="AN2722" s="83" t="n">
        <x:f>'Inputs'!$D$51</x:f>
        <x:v>3</x:v>
      </x:c>
      <x:c r="AO2722" s="81" t="n">
        <x:f>'Inputs'!$E$51</x:f>
        <x:v>0.1</x:v>
      </x:c>
    </x:row>
    <x:row r="2723">
      <x:c r="A2723" s="59" t="str">
        <x:v>High demand</x:v>
      </x:c>
      <x:c r="B2723" s="59" t="n">
        <x:v>165</x:v>
      </x:c>
      <x:c r="C2723" s="78" t="n">
        <x:f>(('Inputs'!$B$29*(3*165*'Inputs'!$B$12-165^2)/(2*'Inputs'!$B$12^2))-('Inputs'!$B$29*(3*164*'Inputs'!$B$12-164^2)/(2*'Inputs'!$B$12^2)))*'Inputs'!$B$51</x:f>
        <x:v>658506.0517920852</x:v>
      </x:c>
      <x:c r="D2723" s="78" t="n">
        <x:f>IF('Inputs'!$C$51&gt;0,('Inputs'!$B$30*(3*165*'Inputs'!$B$12-165^2)/(2*'Inputs'!$B$12^2))-('Inputs'!$B$30*(3*164*'Inputs'!$B$12-164^2)/(2*'Inputs'!$B$12^2)),0)</x:f>
        <x:v>282216.879339464</x:v>
      </x:c>
      <x:c r="E2723" s="78" t="n">
        <x:f>C2723+D2723</x:f>
        <x:v>940722.9311315492</x:v>
      </x:c>
      <x:c r="F2723" s="78" t="n">
        <x:f>'Inputs'!$B$13*E2723+(1-'Inputs'!$B$13)/'Inputs'!$B$14*SUM(E2668:E2723)</x:f>
        <x:v>950940.6079939961</x:v>
      </x:c>
      <x:c r="G2723" s="78" t="n">
        <x:f>F2723*'Inputs'!$F$51</x:f>
        <x:v>237735.15199849903</x:v>
      </x:c>
      <x:c r="H2723" s="78" t="n">
        <x:f>U2722</x:f>
        <x:v>543326.0404059687</x:v>
      </x:c>
      <x:c r="I2723" s="78" t="n">
        <x:f>V2722</x:f>
        <x:v>259550.0346072804</x:v>
      </x:c>
      <x:c r="J2723" s="79" t="n">
        <x:f>IF(H2723&gt;0,I2723/H2723,0)</x:f>
        <x:v>0.4777058622357706</x:v>
      </x:c>
      <x:c r="K2723" s="80" t="n">
        <x:f>(H2723*J2723+I2723)*'Inputs'!$D$51*(1+'Inputs'!$G$51)^(B2723/30)</x:f>
        <x:v>2036636.329258552</x:v>
      </x:c>
      <x:c r="L2723" s="80" t="n">
        <x:f>MAX(0,K2723*'Inputs'!$E$51)</x:f>
        <x:v>203663.63292585523</x:v>
      </x:c>
      <x:c r="M2723" s="80" t="n">
        <x:f>MAX(0,-K2723*'Inputs'!$E$51)</x:f>
        <x:v>0</x:v>
      </x:c>
      <x:c r="N2723" s="78" t="n">
        <x:f>H2723*(L2723*(1-'Inputs'!$B$15))/(I2723+L2723*(1-'Inputs'!$B$15))</x:f>
        <x:v>237542.6144138282</x:v>
      </x:c>
      <x:c r="O2723" s="78" t="n">
        <x:f>H2723-N2723</x:f>
        <x:v>305783.42599214043</x:v>
      </x:c>
      <x:c r="P2723" s="78" t="n">
        <x:f>I2723+L2723*(1-'Inputs'!$B$17)</x:f>
        <x:v>462394.0955696513</x:v>
      </x:c>
      <x:c r="Q2723" s="78" t="n">
        <x:f>IF(J2723&gt;0,M2723/J2723,0)</x:f>
        <x:v>0</x:v>
      </x:c>
      <x:c r="R2723" s="78" t="n">
        <x:f>IF(B2723='Inputs'!$H$51,'Inputs'!$B$27*'Inputs'!$I$51,0)</x:f>
        <x:v>0</x:v>
      </x:c>
      <x:c r="S2723" s="78" t="n">
        <x:f>Q2723+G2723+R2723</x:f>
        <x:v>237735.15199849903</x:v>
      </x:c>
      <x:c r="T2723" s="78" t="n">
        <x:f>P2723*(S2723*(1-'Inputs'!$B$15))/(O2723+S2723*(1-'Inputs'!$B$15))</x:f>
        <x:v>201108.42043454357</x:v>
      </x:c>
      <x:c r="U2723" s="78" t="n">
        <x:f>O2723+S2723*(1-'Inputs'!$B$17)</x:f>
        <x:v>542561.8972984926</x:v>
      </x:c>
      <x:c r="V2723" s="78" t="n">
        <x:f>P2723-T2723</x:f>
        <x:v>261285.6751351077</x:v>
      </x:c>
      <x:c r="W2723" s="79" t="n">
        <x:f>IF(U2723&gt;0,V2723/U2723,0)</x:f>
        <x:v>0.48157763461845227</x:v>
      </x:c>
      <x:c r="X2723" s="80" t="n">
        <x:f>W2723*('Inputs'!$B$6-AC2723)</x:f>
        <x:v>480874859.54324436</x:v>
      </x:c>
      <x:c r="Y2723" s="80" t="n">
        <x:f>2*V2723</x:f>
        <x:v>522571.3502702154</x:v>
      </x:c>
      <x:c r="Z2723" s="80" t="n">
        <x:f>K2723*'Inputs'!$B$16+(G2723+R2723)*J2723*'Inputs'!$B$16</x:f>
        <x:v>12901.222830166482</x:v>
      </x:c>
      <x:c r="AA2723" s="80" t="n">
        <x:f>K2723*(1+'Inputs'!$E$51)/2*'Inputs'!$B$17</x:f>
        <x:v>4507.645799163798</x:v>
      </x:c>
      <x:c r="AB2723" s="78" t="n">
        <x:f>(IF(J2723&gt;0,K2723*(1-'Inputs'!$E$51)/2/J2723,0)+G2723+R2723)*'Inputs'!$B$17</x:f>
        <x:v>8677.06707890474</x:v>
      </x:c>
      <x:c r="AC2723" s="78" t="n">
        <x:f>AC2722+AB2723</x:f>
        <x:v>1459318.3418177594</x:v>
      </x:c>
      <x:c r="AD2723" s="80" t="n">
        <x:f>Z2723/(1+'Inputs'!$C$51)</x:f>
        <x:v>4300.407610055494</x:v>
      </x:c>
      <x:c r="AE2723" s="80" t="n">
        <x:f>Z2723-AD2723</x:f>
        <x:v>8600.815220110988</x:v>
      </x:c>
      <x:c r="AF2723" s="80" t="n">
        <x:f>D2723*W2723</x:f>
        <x:v>135909.33720170023</x:v>
      </x:c>
      <x:c r="AG2723" s="80" t="n">
        <x:f>C2723*W2723</x:f>
        <x:v>317121.7868039684</x:v>
      </x:c>
      <x:c r="AH2723" s="80" t="n">
        <x:f>2*'Inputs'!$B$8*'Inputs'!$C$51</x:f>
        <x:v>10000</x:v>
      </x:c>
      <x:c r="AI2723" s="81" t="n">
        <x:f>IF(AH2723&gt;0,(AE2723+AF2723)/AH2723*365,0)</x:f>
        <x:v>5274.620563396109</x:v>
      </x:c>
      <x:c r="AJ2723" s="81" t="n">
        <x:f>IF('Inputs'!$B$51&gt;0,AG2723/('Inputs'!$B$19*'Inputs'!$B$51)*365,0)</x:f>
        <x:v>11574.945218344848</x:v>
      </x:c>
      <x:c r="AK2723" s="81" t="n">
        <x:f>W2723/MAX($W$2559:W2723)-1</x:f>
        <x:v>-0.5114160602575162</x:v>
      </x:c>
      <x:c r="AL2723" s="83" t="n">
        <x:f>'Inputs'!$B$51</x:f>
        <x:v>1</x:v>
      </x:c>
      <x:c r="AM2723" s="83" t="n">
        <x:f>'Inputs'!$C$51</x:f>
        <x:v>2</x:v>
      </x:c>
      <x:c r="AN2723" s="83" t="n">
        <x:f>'Inputs'!$D$51</x:f>
        <x:v>3</x:v>
      </x:c>
      <x:c r="AO2723" s="81" t="n">
        <x:f>'Inputs'!$E$51</x:f>
        <x:v>0.1</x:v>
      </x:c>
    </x:row>
    <x:row r="2724">
      <x:c r="A2724" s="59" t="str">
        <x:v>High demand</x:v>
      </x:c>
      <x:c r="B2724" s="59" t="n">
        <x:v>166</x:v>
      </x:c>
      <x:c r="C2724" s="78" t="n">
        <x:f>(('Inputs'!$B$29*(3*166*'Inputs'!$B$12-166^2)/(2*'Inputs'!$B$12^2))-('Inputs'!$B$29*(3*165*'Inputs'!$B$12-165^2)/(2*'Inputs'!$B$12^2)))*'Inputs'!$B$51</x:f>
        <x:v>658180.9438919127</x:v>
      </x:c>
      <x:c r="D2724" s="78" t="n">
        <x:f>IF('Inputs'!$C$51&gt;0,('Inputs'!$B$30*(3*166*'Inputs'!$B$12-166^2)/(2*'Inputs'!$B$12^2))-('Inputs'!$B$30*(3*165*'Inputs'!$B$12-165^2)/(2*'Inputs'!$B$12^2)),0)</x:f>
        <x:v>282077.5473822504</x:v>
      </x:c>
      <x:c r="E2724" s="78" t="n">
        <x:f>C2724+D2724</x:f>
        <x:v>940258.4912741631</x:v>
      </x:c>
      <x:c r="F2724" s="78" t="n">
        <x:f>'Inputs'!$B$13*E2724+(1-'Inputs'!$B$13)/'Inputs'!$B$14*SUM(E2669:E2724)</x:f>
        <x:v>950476.1681366118</x:v>
      </x:c>
      <x:c r="G2724" s="78" t="n">
        <x:f>F2724*'Inputs'!$F$51</x:f>
        <x:v>237619.04203415295</x:v>
      </x:c>
      <x:c r="H2724" s="78" t="n">
        <x:f>U2723</x:f>
        <x:v>542561.8972984926</x:v>
      </x:c>
      <x:c r="I2724" s="78" t="n">
        <x:f>V2723</x:f>
        <x:v>261285.6751351077</x:v>
      </x:c>
      <x:c r="J2724" s="79" t="n">
        <x:f>IF(H2724&gt;0,I2724/H2724,0)</x:f>
        <x:v>0.48157763461845227</x:v>
      </x:c>
      <x:c r="K2724" s="80" t="n">
        <x:f>(H2724*J2724+I2724)*'Inputs'!$D$51*(1+'Inputs'!$G$51)^(B2724/30)</x:f>
        <x:v>2053592.6705214197</x:v>
      </x:c>
      <x:c r="L2724" s="80" t="n">
        <x:f>MAX(0,K2724*'Inputs'!$E$51)</x:f>
        <x:v>205359.26705214198</x:v>
      </x:c>
      <x:c r="M2724" s="80" t="n">
        <x:f>MAX(0,-K2724*'Inputs'!$E$51)</x:f>
        <x:v>0</x:v>
      </x:c>
      <x:c r="N2724" s="78" t="n">
        <x:f>H2724*(L2724*(1-'Inputs'!$B$15))/(I2724+L2724*(1-'Inputs'!$B$15))</x:f>
        <x:v>237425.6699759535</x:v>
      </x:c>
      <x:c r="O2724" s="78" t="n">
        <x:f>H2724-N2724</x:f>
        <x:v>305136.2273225391</x:v>
      </x:c>
      <x:c r="P2724" s="78" t="n">
        <x:f>I2724+L2724*(1-'Inputs'!$B$17)</x:f>
        <x:v>465818.546746396</x:v>
      </x:c>
      <x:c r="Q2724" s="78" t="n">
        <x:f>IF(J2724&gt;0,M2724/J2724,0)</x:f>
        <x:v>0</x:v>
      </x:c>
      <x:c r="R2724" s="78" t="n">
        <x:f>IF(B2724='Inputs'!$H$51,'Inputs'!$B$27*'Inputs'!$I$51,0)</x:f>
        <x:v>0</x:v>
      </x:c>
      <x:c r="S2724" s="78" t="n">
        <x:f>Q2724+G2724+R2724</x:f>
        <x:v>237619.04203415295</x:v>
      </x:c>
      <x:c r="T2724" s="78" t="n">
        <x:f>P2724*(S2724*(1-'Inputs'!$B$15))/(O2724+S2724*(1-'Inputs'!$B$15))</x:f>
        <x:v>202784.46657652865</x:v>
      </x:c>
      <x:c r="U2724" s="78" t="n">
        <x:f>O2724+S2724*(1-'Inputs'!$B$17)</x:f>
        <x:v>541799.0559078625</x:v>
      </x:c>
      <x:c r="V2724" s="78" t="n">
        <x:f>P2724-T2724</x:f>
        <x:v>263034.0801698674</x:v>
      </x:c>
      <x:c r="W2724" s="79" t="n">
        <x:f>IF(U2724&gt;0,V2724/U2724,0)</x:f>
        <x:v>0.4854827215029303</x:v>
      </x:c>
      <x:c r="X2724" s="80" t="n">
        <x:f>W2724*('Inputs'!$B$6-AC2724)</x:f>
        <x:v>484770034.5028333</x:v>
      </x:c>
      <x:c r="Y2724" s="80" t="n">
        <x:f>2*V2724</x:f>
        <x:v>526068.1603397347</x:v>
      </x:c>
      <x:c r="Z2724" s="80" t="n">
        <x:f>K2724*'Inputs'!$B$16+(G2724+R2724)*J2724*'Inputs'!$B$16</x:f>
        <x:v>13008.148120347178</x:v>
      </x:c>
      <x:c r="AA2724" s="80" t="n">
        <x:f>K2724*(1+'Inputs'!$E$51)/2*'Inputs'!$B$17</x:f>
        <x:v>4545.174924695296</x:v>
      </x:c>
      <x:c r="AB2724" s="78" t="n">
        <x:f>(IF(J2724&gt;0,K2724*(1-'Inputs'!$E$51)/2/J2724,0)+G2724+R2724)*'Inputs'!$B$17</x:f>
        <x:v>8678.290257458682</x:v>
      </x:c>
      <x:c r="AC2724" s="78" t="n">
        <x:f>AC2723+AB2724</x:f>
        <x:v>1467996.632075218</x:v>
      </x:c>
      <x:c r="AD2724" s="80" t="n">
        <x:f>Z2724/(1+'Inputs'!$C$51)</x:f>
        <x:v>4336.049373449059</x:v>
      </x:c>
      <x:c r="AE2724" s="80" t="n">
        <x:f>Z2724-AD2724</x:f>
        <x:v>8672.098746898118</x:v>
      </x:c>
      <x:c r="AF2724" s="80" t="n">
        <x:f>D2724*W2724</x:f>
        <x:v>136943.7753780067</x:v>
      </x:c>
      <x:c r="AG2724" s="80" t="n">
        <x:f>C2724*W2724</x:f>
        <x:v>319535.47588201327</x:v>
      </x:c>
      <x:c r="AH2724" s="80" t="n">
        <x:f>2*'Inputs'!$B$8*'Inputs'!$C$51</x:f>
        <x:v>10000</x:v>
      </x:c>
      <x:c r="AI2724" s="81" t="n">
        <x:f>IF(AH2724&gt;0,(AE2724+AF2724)/AH2724*365,0)</x:f>
        <x:v>5314.979405559026</x:v>
      </x:c>
      <x:c r="AJ2724" s="81" t="n">
        <x:f>IF('Inputs'!$B$51&gt;0,AG2724/('Inputs'!$B$19*'Inputs'!$B$51)*365,0)</x:f>
        <x:v>11663.044869693485</x:v>
      </x:c>
      <x:c r="AK2724" s="81" t="n">
        <x:f>W2724/MAX($W$2559:W2724)-1</x:f>
        <x:v>-0.507454159625302</x:v>
      </x:c>
      <x:c r="AL2724" s="83" t="n">
        <x:f>'Inputs'!$B$51</x:f>
        <x:v>1</x:v>
      </x:c>
      <x:c r="AM2724" s="83" t="n">
        <x:f>'Inputs'!$C$51</x:f>
        <x:v>2</x:v>
      </x:c>
      <x:c r="AN2724" s="83" t="n">
        <x:f>'Inputs'!$D$51</x:f>
        <x:v>3</x:v>
      </x:c>
      <x:c r="AO2724" s="81" t="n">
        <x:f>'Inputs'!$E$51</x:f>
        <x:v>0.1</x:v>
      </x:c>
    </x:row>
    <x:row r="2725">
      <x:c r="A2725" s="59" t="str">
        <x:v>High demand</x:v>
      </x:c>
      <x:c r="B2725" s="59" t="n">
        <x:v>167</x:v>
      </x:c>
      <x:c r="C2725" s="78" t="n">
        <x:f>(('Inputs'!$B$29*(3*167*'Inputs'!$B$12-167^2)/(2*'Inputs'!$B$12^2))-('Inputs'!$B$29*(3*166*'Inputs'!$B$12-166^2)/(2*'Inputs'!$B$12^2)))*'Inputs'!$B$51</x:f>
        <x:v>657855.8359917402</x:v>
      </x:c>
      <x:c r="D2725" s="78" t="n">
        <x:f>IF('Inputs'!$C$51&gt;0,('Inputs'!$B$30*(3*167*'Inputs'!$B$12-167^2)/(2*'Inputs'!$B$12^2))-('Inputs'!$B$30*(3*166*'Inputs'!$B$12-166^2)/(2*'Inputs'!$B$12^2)),0)</x:f>
        <x:v>281938.2154250294</x:v>
      </x:c>
      <x:c r="E2725" s="78" t="n">
        <x:f>C2725+D2725</x:f>
        <x:v>939794.0514167696</x:v>
      </x:c>
      <x:c r="F2725" s="78" t="n">
        <x:f>'Inputs'!$B$13*E2725+(1-'Inputs'!$B$13)/'Inputs'!$B$14*SUM(E2670:E2725)</x:f>
        <x:v>950011.7282792255</x:v>
      </x:c>
      <x:c r="G2725" s="78" t="n">
        <x:f>F2725*'Inputs'!$F$51</x:f>
        <x:v>237502.93206980638</x:v>
      </x:c>
      <x:c r="H2725" s="78" t="n">
        <x:f>U2724</x:f>
        <x:v>541799.0559078625</x:v>
      </x:c>
      <x:c r="I2725" s="78" t="n">
        <x:f>V2724</x:f>
        <x:v>263034.0801698674</x:v>
      </x:c>
      <x:c r="J2725" s="79" t="n">
        <x:f>IF(H2725&gt;0,I2725/H2725,0)</x:f>
        <x:v>0.4854827215029303</x:v>
      </x:c>
      <x:c r="K2725" s="80" t="n">
        <x:f>(H2725*J2725+I2725)*'Inputs'!$D$51*(1+'Inputs'!$G$51)^(B2725/30)</x:f>
        <x:v>2070699.3013518844</x:v>
      </x:c>
      <x:c r="L2725" s="80" t="n">
        <x:f>MAX(0,K2725*'Inputs'!$E$51)</x:f>
        <x:v>207069.93013518845</x:v>
      </x:c>
      <x:c r="M2725" s="80" t="n">
        <x:f>MAX(0,-K2725*'Inputs'!$E$51)</x:f>
        <x:v>0</x:v>
      </x:c>
      <x:c r="N2725" s="78" t="n">
        <x:f>H2725*(L2725*(1-'Inputs'!$B$15))/(I2725+L2725*(1-'Inputs'!$B$15))</x:f>
        <x:v>237308.72806771577</x:v>
      </x:c>
      <x:c r="O2725" s="78" t="n">
        <x:f>H2725-N2725</x:f>
        <x:v>304490.3278401467</x:v>
      </x:c>
      <x:c r="P2725" s="78" t="n">
        <x:f>I2725+L2725*(1-'Inputs'!$B$17)</x:f>
        <x:v>469270.73090813356</x:v>
      </x:c>
      <x:c r="Q2725" s="78" t="n">
        <x:f>IF(J2725&gt;0,M2725/J2725,0)</x:f>
        <x:v>0</x:v>
      </x:c>
      <x:c r="R2725" s="78" t="n">
        <x:f>IF(B2725='Inputs'!$H$51,'Inputs'!$B$27*'Inputs'!$I$51,0)</x:f>
        <x:v>0</x:v>
      </x:c>
      <x:c r="S2725" s="78" t="n">
        <x:f>Q2725+G2725+R2725</x:f>
        <x:v>237502.93206980638</x:v>
      </x:c>
      <x:c r="T2725" s="78" t="n">
        <x:f>P2725*(S2725*(1-'Inputs'!$B$15))/(O2725+S2725*(1-'Inputs'!$B$15))</x:f>
        <x:v>204475.3800468944</x:v>
      </x:c>
      <x:c r="U2725" s="78" t="n">
        <x:f>O2725+S2725*(1-'Inputs'!$B$17)</x:f>
        <x:v>541037.5137044408</x:v>
      </x:c>
      <x:c r="V2725" s="78" t="n">
        <x:f>P2725-T2725</x:f>
        <x:v>264795.35086123913</x:v>
      </x:c>
      <x:c r="W2725" s="79" t="n">
        <x:f>IF(U2725&gt;0,V2725/U2725,0)</x:f>
        <x:v>0.4894214248624027</x:v>
      </x:c>
      <x:c r="X2725" s="80" t="n">
        <x:f>W2725*('Inputs'!$B$6-AC2725)</x:f>
        <x:v>488698707.91744125</x:v>
      </x:c>
      <x:c r="Y2725" s="80" t="n">
        <x:f>2*V2725</x:f>
        <x:v>529590.7017224783</x:v>
      </x:c>
      <x:c r="Z2725" s="80" t="n">
        <x:f>K2725*'Inputs'!$B$16+(G2725+R2725)*J2725*'Inputs'!$B$16</x:f>
        <x:v>13116.017227068358</x:v>
      </x:c>
      <x:c r="AA2725" s="80" t="n">
        <x:f>K2725*(1+'Inputs'!$E$51)/2*'Inputs'!$B$17</x:f>
        <x:v>4583.036683072582</x:v>
      </x:c>
      <x:c r="AB2725" s="78" t="n">
        <x:f>(IF(J2725&gt;0,K2725*(1-'Inputs'!$E$51)/2/J2725,0)+G2725+R2725)*'Inputs'!$B$17</x:f>
        <x:v>8679.517042385762</x:v>
      </x:c>
      <x:c r="AC2725" s="78" t="n">
        <x:f>AC2724+AB2725</x:f>
        <x:v>1476676.1491176037</x:v>
      </x:c>
      <x:c r="AD2725" s="80" t="n">
        <x:f>Z2725/(1+'Inputs'!$C$51)</x:f>
        <x:v>4372.005742356119</x:v>
      </x:c>
      <x:c r="AE2725" s="80" t="n">
        <x:f>Z2725-AD2725</x:f>
        <x:v>8744.011484712239</x:v>
      </x:c>
      <x:c r="AF2725" s="80" t="n">
        <x:f>D2725*W2725</x:f>
        <x:v>137986.60311648092</x:v>
      </x:c>
      <x:c r="AG2725" s="80" t="n">
        <x:f>C2725*W2725</x:f>
        <x:v>321968.7406051246</x:v>
      </x:c>
      <x:c r="AH2725" s="80" t="n">
        <x:f>2*'Inputs'!$B$8*'Inputs'!$C$51</x:f>
        <x:v>10000</x:v>
      </x:c>
      <x:c r="AI2725" s="81" t="n">
        <x:f>IF(AH2725&gt;0,(AE2725+AF2725)/AH2725*365,0)</x:f>
        <x:v>5355.667432943551</x:v>
      </x:c>
      <x:c r="AJ2725" s="81" t="n">
        <x:f>IF('Inputs'!$B$51&gt;0,AG2725/('Inputs'!$B$19*'Inputs'!$B$51)*365,0)</x:f>
        <x:v>11751.85903208705</x:v>
      </x:c>
      <x:c r="AK2725" s="81" t="n">
        <x:f>W2725/MAX($W$2559:W2725)-1</x:f>
        <x:v>-0.5034581534437179</x:v>
      </x:c>
      <x:c r="AL2725" s="83" t="n">
        <x:f>'Inputs'!$B$51</x:f>
        <x:v>1</x:v>
      </x:c>
      <x:c r="AM2725" s="83" t="n">
        <x:f>'Inputs'!$C$51</x:f>
        <x:v>2</x:v>
      </x:c>
      <x:c r="AN2725" s="83" t="n">
        <x:f>'Inputs'!$D$51</x:f>
        <x:v>3</x:v>
      </x:c>
      <x:c r="AO2725" s="81" t="n">
        <x:f>'Inputs'!$E$51</x:f>
        <x:v>0.1</x:v>
      </x:c>
    </x:row>
    <x:row r="2726">
      <x:c r="A2726" s="59" t="str">
        <x:v>High demand</x:v>
      </x:c>
      <x:c r="B2726" s="59" t="n">
        <x:v>168</x:v>
      </x:c>
      <x:c r="C2726" s="78" t="n">
        <x:f>(('Inputs'!$B$29*(3*168*'Inputs'!$B$12-168^2)/(2*'Inputs'!$B$12^2))-('Inputs'!$B$29*(3*167*'Inputs'!$B$12-167^2)/(2*'Inputs'!$B$12^2)))*'Inputs'!$B$51</x:f>
        <x:v>657530.7280915678</x:v>
      </x:c>
      <x:c r="D2726" s="78" t="n">
        <x:f>IF('Inputs'!$C$51&gt;0,('Inputs'!$B$30*(3*168*'Inputs'!$B$12-168^2)/(2*'Inputs'!$B$12^2))-('Inputs'!$B$30*(3*167*'Inputs'!$B$12-167^2)/(2*'Inputs'!$B$12^2)),0)</x:f>
        <x:v>281798.88346782327</x:v>
      </x:c>
      <x:c r="E2726" s="78" t="n">
        <x:f>C2726+D2726</x:f>
        <x:v>939329.611559391</x:v>
      </x:c>
      <x:c r="F2726" s="78" t="n">
        <x:f>'Inputs'!$B$13*E2726+(1-'Inputs'!$B$13)/'Inputs'!$B$14*SUM(E2671:E2726)</x:f>
        <x:v>949547.2884218425</x:v>
      </x:c>
      <x:c r="G2726" s="78" t="n">
        <x:f>F2726*'Inputs'!$F$51</x:f>
        <x:v>237386.82210546063</x:v>
      </x:c>
      <x:c r="H2726" s="78" t="n">
        <x:f>U2725</x:f>
        <x:v>541037.5137044408</x:v>
      </x:c>
      <x:c r="I2726" s="78" t="n">
        <x:f>V2725</x:f>
        <x:v>264795.35086123913</x:v>
      </x:c>
      <x:c r="J2726" s="79" t="n">
        <x:f>IF(H2726&gt;0,I2726/H2726,0)</x:f>
        <x:v>0.4894214248624027</x:v>
      </x:c>
      <x:c r="K2726" s="80" t="n">
        <x:f>(H2726*J2726+I2726)*'Inputs'!$D$51*(1+'Inputs'!$G$51)^(B2726/30)</x:f>
        <x:v>2087957.6272104979</x:v>
      </x:c>
      <x:c r="L2726" s="80" t="n">
        <x:f>MAX(0,K2726*'Inputs'!$E$51)</x:f>
        <x:v>208795.7627210498</x:v>
      </x:c>
      <x:c r="M2726" s="80" t="n">
        <x:f>MAX(0,-K2726*'Inputs'!$E$51)</x:f>
        <x:v>0</x:v>
      </x:c>
      <x:c r="N2726" s="78" t="n">
        <x:f>H2726*(L2726*(1-'Inputs'!$B$15))/(I2726+L2726*(1-'Inputs'!$B$15))</x:f>
        <x:v>237191.78868429034</x:v>
      </x:c>
      <x:c r="O2726" s="78" t="n">
        <x:f>H2726-N2726</x:f>
        <x:v>303845.7250201504</x:v>
      </x:c>
      <x:c r="P2726" s="78" t="n">
        <x:f>I2726+L2726*(1-'Inputs'!$B$17)</x:f>
        <x:v>472750.88918502117</x:v>
      </x:c>
      <x:c r="Q2726" s="78" t="n">
        <x:f>IF(J2726&gt;0,M2726/J2726,0)</x:f>
        <x:v>0</x:v>
      </x:c>
      <x:c r="R2726" s="78" t="n">
        <x:f>IF(B2726='Inputs'!$H$51,'Inputs'!$B$27*'Inputs'!$I$51,0)</x:f>
        <x:v>0</x:v>
      </x:c>
      <x:c r="S2726" s="78" t="n">
        <x:f>Q2726+G2726+R2726</x:f>
        <x:v>237386.82210546063</x:v>
      </x:c>
      <x:c r="T2726" s="78" t="n">
        <x:f>P2726*(S2726*(1-'Inputs'!$B$15))/(O2726+S2726*(1-'Inputs'!$B$15))</x:f>
        <x:v>206181.2999740698</x:v>
      </x:c>
      <x:c r="U2726" s="78" t="n">
        <x:f>O2726+S2726*(1-'Inputs'!$B$17)</x:f>
        <x:v>540277.2681634161</x:v>
      </x:c>
      <x:c r="V2726" s="78" t="n">
        <x:f>P2726-T2726</x:f>
        <x:v>266569.58921095135</x:v>
      </x:c>
      <x:c r="W2726" s="79" t="n">
        <x:f>IF(U2726&gt;0,V2726/U2726,0)</x:f>
        <x:v>0.49339404953517835</x:v>
      </x:c>
      <x:c r="X2726" s="80" t="n">
        <x:f>W2726*('Inputs'!$B$6-AC2726)</x:f>
        <x:v>492661183.2809832</x:v>
      </x:c>
      <x:c r="Y2726" s="80" t="n">
        <x:f>2*V2726</x:f>
        <x:v>533139.1784219027</x:v>
      </x:c>
      <x:c r="Z2726" s="80" t="n">
        <x:f>K2726*'Inputs'!$B$16+(G2726+R2726)*J2726*'Inputs'!$B$16</x:f>
        <x:v>13224.83894357346</x:v>
      </x:c>
      <x:c r="AA2726" s="80" t="n">
        <x:f>K2726*(1+'Inputs'!$E$51)/2*'Inputs'!$B$17</x:f>
        <x:v>4621.234184972934</x:v>
      </x:c>
      <x:c r="AB2726" s="78" t="n">
        <x:f>(IF(J2726&gt;0,K2726*(1-'Inputs'!$E$51)/2/J2726,0)+G2726+R2726)*'Inputs'!$B$17</x:f>
        <x:v>8680.747435031344</x:v>
      </x:c>
      <x:c r="AC2726" s="78" t="n">
        <x:f>AC2725+AB2726</x:f>
        <x:v>1485356.8965526351</x:v>
      </x:c>
      <x:c r="AD2726" s="80" t="n">
        <x:f>Z2726/(1+'Inputs'!$C$51)</x:f>
        <x:v>4408.27964785782</x:v>
      </x:c>
      <x:c r="AE2726" s="80" t="n">
        <x:f>Z2726-AD2726</x:f>
        <x:v>8816.55929571564</x:v>
      </x:c>
      <x:c r="AF2726" s="80" t="n">
        <x:f>D2726*W2726</x:f>
        <x:v>139037.89226868114</x:v>
      </x:c>
      <x:c r="AG2726" s="80" t="n">
        <x:f>C2726*W2726</x:f>
        <x:v>324421.7486269129</x:v>
      </x:c>
      <x:c r="AH2726" s="80" t="n">
        <x:f>2*'Inputs'!$B$8*'Inputs'!$C$51</x:f>
        <x:v>10000</x:v>
      </x:c>
      <x:c r="AI2726" s="81" t="n">
        <x:f>IF(AH2726&gt;0,(AE2726+AF2726)/AH2726*365,0)</x:f>
        <x:v>5396.687482100482</x:v>
      </x:c>
      <x:c r="AJ2726" s="81" t="n">
        <x:f>IF('Inputs'!$B$51&gt;0,AG2726/('Inputs'!$B$19*'Inputs'!$B$51)*365,0)</x:f>
        <x:v>11841.39382488232</x:v>
      </x:c>
      <x:c r="AK2726" s="81" t="n">
        <x:f>W2726/MAX($W$2559:W2726)-1</x:f>
        <x:v>-0.4994277324394687</x:v>
      </x:c>
      <x:c r="AL2726" s="83" t="n">
        <x:f>'Inputs'!$B$51</x:f>
        <x:v>1</x:v>
      </x:c>
      <x:c r="AM2726" s="83" t="n">
        <x:f>'Inputs'!$C$51</x:f>
        <x:v>2</x:v>
      </x:c>
      <x:c r="AN2726" s="83" t="n">
        <x:f>'Inputs'!$D$51</x:f>
        <x:v>3</x:v>
      </x:c>
      <x:c r="AO2726" s="81" t="n">
        <x:f>'Inputs'!$E$51</x:f>
        <x:v>0.1</x:v>
      </x:c>
    </x:row>
    <x:row r="2727">
      <x:c r="A2727" s="59" t="str">
        <x:v>High demand</x:v>
      </x:c>
      <x:c r="B2727" s="59" t="n">
        <x:v>169</x:v>
      </x:c>
      <x:c r="C2727" s="78" t="n">
        <x:f>(('Inputs'!$B$29*(3*169*'Inputs'!$B$12-169^2)/(2*'Inputs'!$B$12^2))-('Inputs'!$B$29*(3*168*'Inputs'!$B$12-168^2)/(2*'Inputs'!$B$12^2)))*'Inputs'!$B$51</x:f>
        <x:v>657205.6201914102</x:v>
      </x:c>
      <x:c r="D2727" s="78" t="n">
        <x:f>IF('Inputs'!$C$51&gt;0,('Inputs'!$B$30*(3*169*'Inputs'!$B$12-169^2)/(2*'Inputs'!$B$12^2))-('Inputs'!$B$30*(3*168*'Inputs'!$B$12-168^2)/(2*'Inputs'!$B$12^2)),0)</x:f>
        <x:v>281659.55151060224</x:v>
      </x:c>
      <x:c r="E2727" s="78" t="n">
        <x:f>C2727+D2727</x:f>
        <x:v>938865.1717020124</x:v>
      </x:c>
      <x:c r="F2727" s="78" t="n">
        <x:f>'Inputs'!$B$13*E2727+(1-'Inputs'!$B$13)/'Inputs'!$B$14*SUM(E2672:E2727)</x:f>
        <x:v>949082.8485644596</x:v>
      </x:c>
      <x:c r="G2727" s="78" t="n">
        <x:f>F2727*'Inputs'!$F$51</x:f>
        <x:v>237270.7121411149</x:v>
      </x:c>
      <x:c r="H2727" s="78" t="n">
        <x:f>U2726</x:f>
        <x:v>540277.2681634161</x:v>
      </x:c>
      <x:c r="I2727" s="78" t="n">
        <x:f>V2726</x:f>
        <x:v>266569.58921095135</x:v>
      </x:c>
      <x:c r="J2727" s="79" t="n">
        <x:f>IF(H2727&gt;0,I2727/H2727,0)</x:f>
        <x:v>0.49339404953517835</x:v>
      </x:c>
      <x:c r="K2727" s="80" t="n">
        <x:f>(H2727*J2727+I2727)*'Inputs'!$D$51*(1+'Inputs'!$G$51)^(B2727/30)</x:f>
        <x:v>2105369.067326978</x:v>
      </x:c>
      <x:c r="L2727" s="80" t="n">
        <x:f>MAX(0,K2727*'Inputs'!$E$51)</x:f>
        <x:v>210536.9067326978</x:v>
      </x:c>
      <x:c r="M2727" s="80" t="n">
        <x:f>MAX(0,-K2727*'Inputs'!$E$51)</x:f>
        <x:v>0</x:v>
      </x:c>
      <x:c r="N2727" s="78" t="n">
        <x:f>H2727*(L2727*(1-'Inputs'!$B$15))/(I2727+L2727*(1-'Inputs'!$B$15))</x:f>
        <x:v>237074.85182086233</x:v>
      </x:c>
      <x:c r="O2727" s="78" t="n">
        <x:f>H2727-N2727</x:f>
        <x:v>303202.41634255374</x:v>
      </x:c>
      <x:c r="P2727" s="78" t="n">
        <x:f>I2727+L2727*(1-'Inputs'!$B$17)</x:f>
        <x:v>476259.2649306403</x:v>
      </x:c>
      <x:c r="Q2727" s="78" t="n">
        <x:f>IF(J2727&gt;0,M2727/J2727,0)</x:f>
        <x:v>0</x:v>
      </x:c>
      <x:c r="R2727" s="78" t="n">
        <x:f>IF(B2727='Inputs'!$H$51,'Inputs'!$B$27*'Inputs'!$I$51,0)</x:f>
        <x:v>0</x:v>
      </x:c>
      <x:c r="S2727" s="78" t="n">
        <x:f>Q2727+G2727+R2727</x:f>
        <x:v>237270.7121411149</x:v>
      </x:c>
      <x:c r="T2727" s="78" t="n">
        <x:f>P2727*(S2727*(1-'Inputs'!$B$15))/(O2727+S2727*(1-'Inputs'!$B$15))</x:f>
        <x:v>207902.36685030168</x:v>
      </x:c>
      <x:c r="U2727" s="78" t="n">
        <x:f>O2727+S2727*(1-'Inputs'!$B$17)</x:f>
        <x:v>539518.3167647909</x:v>
      </x:c>
      <x:c r="V2727" s="78" t="n">
        <x:f>P2727-T2727</x:f>
        <x:v>268356.8980803386</x:v>
      </x:c>
      <x:c r="W2727" s="79" t="n">
        <x:f>IF(U2727&gt;0,V2727/U2727,0)</x:f>
        <x:v>0.4974009032529878</x:v>
      </x:c>
      <x:c r="X2727" s="80" t="n">
        <x:f>W2727*('Inputs'!$B$6-AC2727)</x:f>
        <x:v>496657766.96558076</x:v>
      </x:c>
      <x:c r="Y2727" s="80" t="n">
        <x:f>2*V2727</x:f>
        <x:v>536713.7961606772</x:v>
      </x:c>
      <x:c r="Z2727" s="80" t="n">
        <x:f>K2727*'Inputs'!$B$16+(G2727+R2727)*J2727*'Inputs'!$B$16</x:f>
        <x:v>13334.62214895827</x:v>
      </x:c>
      <x:c r="AA2727" s="80" t="n">
        <x:f>K2727*(1+'Inputs'!$E$51)/2*'Inputs'!$B$17</x:f>
        <x:v>4659.770571548644</x:v>
      </x:c>
      <x:c r="AB2727" s="78" t="n">
        <x:f>(IF(J2727&gt;0,K2727*(1-'Inputs'!$E$51)/2/J2727,0)+G2727+R2727)*'Inputs'!$B$17</x:f>
        <x:v>8681.981436736212</x:v>
      </x:c>
      <x:c r="AC2727" s="78" t="n">
        <x:f>AC2726+AB2727</x:f>
        <x:v>1494038.8779893713</x:v>
      </x:c>
      <x:c r="AD2727" s="80" t="n">
        <x:f>Z2727/(1+'Inputs'!$C$51)</x:f>
        <x:v>4444.874049652756</x:v>
      </x:c>
      <x:c r="AE2727" s="80" t="n">
        <x:f>Z2727-AD2727</x:f>
        <x:v>8889.748099305514</x:v>
      </x:c>
      <x:c r="AF2727" s="80" t="n">
        <x:f>D2727*W2727</x:f>
        <x:v>140097.715331205</x:v>
      </x:c>
      <x:c r="AG2727" s="80" t="n">
        <x:f>C2727*W2727</x:f>
        <x:v>326894.6691061475</x:v>
      </x:c>
      <x:c r="AH2727" s="80" t="n">
        <x:f>2*'Inputs'!$B$8*'Inputs'!$C$51</x:f>
        <x:v>10000</x:v>
      </x:c>
      <x:c r="AI2727" s="81" t="n">
        <x:f>IF(AH2727&gt;0,(AE2727+AF2727)/AH2727*365,0)</x:f>
        <x:v>5438.042415213634</x:v>
      </x:c>
      <x:c r="AJ2727" s="81" t="n">
        <x:f>IF('Inputs'!$B$51&gt;0,AG2727/('Inputs'!$B$19*'Inputs'!$B$51)*365,0)</x:f>
        <x:v>11931.655422374382</x:v>
      </x:c>
      <x:c r="AK2727" s="81" t="n">
        <x:f>W2727/MAX($W$2559:W2727)-1</x:f>
        <x:v>-0.4953625844037418</x:v>
      </x:c>
      <x:c r="AL2727" s="83" t="n">
        <x:f>'Inputs'!$B$51</x:f>
        <x:v>1</x:v>
      </x:c>
      <x:c r="AM2727" s="83" t="n">
        <x:f>'Inputs'!$C$51</x:f>
        <x:v>2</x:v>
      </x:c>
      <x:c r="AN2727" s="83" t="n">
        <x:f>'Inputs'!$D$51</x:f>
        <x:v>3</x:v>
      </x:c>
      <x:c r="AO2727" s="81" t="n">
        <x:f>'Inputs'!$E$51</x:f>
        <x:v>0.1</x:v>
      </x:c>
    </x:row>
    <x:row r="2728">
      <x:c r="A2728" s="59" t="str">
        <x:v>High demand</x:v>
      </x:c>
      <x:c r="B2728" s="59" t="n">
        <x:v>170</x:v>
      </x:c>
      <x:c r="C2728" s="78" t="n">
        <x:f>(('Inputs'!$B$29*(3*170*'Inputs'!$B$12-170^2)/(2*'Inputs'!$B$12^2))-('Inputs'!$B$29*(3*169*'Inputs'!$B$12-169^2)/(2*'Inputs'!$B$12^2)))*'Inputs'!$B$51</x:f>
        <x:v>656880.5122912377</x:v>
      </x:c>
      <x:c r="D2728" s="78" t="n">
        <x:f>IF('Inputs'!$C$51&gt;0,('Inputs'!$B$30*(3*170*'Inputs'!$B$12-170^2)/(2*'Inputs'!$B$12^2))-('Inputs'!$B$30*(3*169*'Inputs'!$B$12-169^2)/(2*'Inputs'!$B$12^2)),0)</x:f>
        <x:v>281520.2195533812</x:v>
      </x:c>
      <x:c r="E2728" s="78" t="n">
        <x:f>C2728+D2728</x:f>
        <x:v>938400.7318446189</x:v>
      </x:c>
      <x:c r="F2728" s="78" t="n">
        <x:f>'Inputs'!$B$13*E2728+(1-'Inputs'!$B$13)/'Inputs'!$B$14*SUM(E2673:E2728)</x:f>
        <x:v>948618.4087070738</x:v>
      </x:c>
      <x:c r="G2728" s="78" t="n">
        <x:f>F2728*'Inputs'!$F$51</x:f>
        <x:v>237154.60217676844</x:v>
      </x:c>
      <x:c r="H2728" s="78" t="n">
        <x:f>U2727</x:f>
        <x:v>539518.3167647909</x:v>
      </x:c>
      <x:c r="I2728" s="78" t="n">
        <x:f>V2727</x:f>
        <x:v>268356.8980803386</x:v>
      </x:c>
      <x:c r="J2728" s="79" t="n">
        <x:f>IF(H2728&gt;0,I2728/H2728,0)</x:f>
        <x:v>0.4974009032529878</x:v>
      </x:c>
      <x:c r="K2728" s="80" t="n">
        <x:f>(H2728*J2728+I2728)*'Inputs'!$D$51*(1+'Inputs'!$G$51)^(B2728/30)</x:f>
        <x:v>2122935.054840727</x:v>
      </x:c>
      <x:c r="L2728" s="80" t="n">
        <x:f>MAX(0,K2728*'Inputs'!$E$51)</x:f>
        <x:v>212293.5054840727</x:v>
      </x:c>
      <x:c r="M2728" s="80" t="n">
        <x:f>MAX(0,-K2728*'Inputs'!$E$51)</x:f>
        <x:v>0</x:v>
      </x:c>
      <x:c r="N2728" s="78" t="n">
        <x:f>H2728*(L2728*(1-'Inputs'!$B$15))/(I2728+L2728*(1-'Inputs'!$B$15))</x:f>
        <x:v>236957.91747262538</x:v>
      </x:c>
      <x:c r="O2728" s="78" t="n">
        <x:f>H2728-N2728</x:f>
        <x:v>302560.39929216553</x:v>
      </x:c>
      <x:c r="P2728" s="78" t="n">
        <x:f>I2728+L2728*(1-'Inputs'!$B$17)</x:f>
        <x:v>479796.10374354984</x:v>
      </x:c>
      <x:c r="Q2728" s="78" t="n">
        <x:f>IF(J2728&gt;0,M2728/J2728,0)</x:f>
        <x:v>0</x:v>
      </x:c>
      <x:c r="R2728" s="78" t="n">
        <x:f>IF(B2728='Inputs'!$H$51,'Inputs'!$B$27*'Inputs'!$I$51,0)</x:f>
        <x:v>0</x:v>
      </x:c>
      <x:c r="S2728" s="78" t="n">
        <x:f>Q2728+G2728+R2728</x:f>
        <x:v>237154.60217676844</x:v>
      </x:c>
      <x:c r="T2728" s="78" t="n">
        <x:f>P2728*(S2728*(1-'Inputs'!$B$15))/(O2728+S2728*(1-'Inputs'!$B$15))</x:f>
        <x:v>209638.72254558135</x:v>
      </x:c>
      <x:c r="U2728" s="78" t="n">
        <x:f>O2728+S2728*(1-'Inputs'!$B$17)</x:f>
        <x:v>538760.6569933735</x:v>
      </x:c>
      <x:c r="V2728" s="78" t="n">
        <x:f>P2728-T2728</x:f>
        <x:v>270157.3811979685</x:v>
      </x:c>
      <x:c r="W2728" s="79" t="n">
        <x:f>IF(U2728&gt;0,V2728/U2728,0)</x:f>
        <x:v>0.501442296669579</x:v>
      </x:c>
      <x:c r="X2728" s="80" t="n">
        <x:f>W2728*('Inputs'!$B$6-AC2728)</x:f>
        <x:v>500688768.249984</x:v>
      </x:c>
      <x:c r="Y2728" s="80" t="n">
        <x:f>2*V2728</x:f>
        <x:v>540314.762395937</x:v>
      </x:c>
      <x:c r="Z2728" s="80" t="n">
        <x:f>K2728*'Inputs'!$B$16+(G2728+R2728)*J2728*'Inputs'!$B$16</x:f>
        <x:v>13445.375809044326</x:v>
      </x:c>
      <x:c r="AA2728" s="80" t="n">
        <x:f>K2728*(1+'Inputs'!$E$51)/2*'Inputs'!$B$17</x:f>
        <x:v>4698.649014738028</x:v>
      </x:c>
      <x:c r="AB2728" s="78" t="n">
        <x:f>(IF(J2728&gt;0,K2728*(1-'Inputs'!$E$51)/2/J2728,0)+G2728+R2728)*'Inputs'!$B$17</x:f>
        <x:v>8683.219048836505</x:v>
      </x:c>
      <x:c r="AC2728" s="78" t="n">
        <x:f>AC2727+AB2728</x:f>
        <x:v>1502722.0970382078</x:v>
      </x:c>
      <x:c r="AD2728" s="80" t="n">
        <x:f>Z2728/(1+'Inputs'!$C$51)</x:f>
        <x:v>4481.791936348109</x:v>
      </x:c>
      <x:c r="AE2728" s="80" t="n">
        <x:f>Z2728-AD2728</x:f>
        <x:v>8963.583872696217</x:v>
      </x:c>
      <x:c r="AF2728" s="80" t="n">
        <x:f>D2728*W2728</x:f>
        <x:v>141166.1454517716</x:v>
      </x:c>
      <x:c r="AG2728" s="80" t="n">
        <x:f>C2728*W2728</x:f>
        <x:v>329387.67272080784</x:v>
      </x:c>
      <x:c r="AH2728" s="80" t="n">
        <x:f>2*'Inputs'!$B$8*'Inputs'!$C$51</x:f>
        <x:v>10000</x:v>
      </x:c>
      <x:c r="AI2728" s="81" t="n">
        <x:f>IF(AH2728&gt;0,(AE2728+AF2728)/AH2728*365,0)</x:f>
        <x:v>5479.735120343075</x:v>
      </x:c>
      <x:c r="AJ2728" s="81" t="n">
        <x:f>IF('Inputs'!$B$51&gt;0,AG2728/('Inputs'!$B$19*'Inputs'!$B$51)*365,0)</x:f>
        <x:v>12022.650054309484</x:v>
      </x:c>
      <x:c r="AK2728" s="81" t="n">
        <x:f>W2728/MAX($W$2559:W2728)-1</x:f>
        <x:v>-0.4912623941631966</x:v>
      </x:c>
      <x:c r="AL2728" s="83" t="n">
        <x:f>'Inputs'!$B$51</x:f>
        <x:v>1</x:v>
      </x:c>
      <x:c r="AM2728" s="83" t="n">
        <x:f>'Inputs'!$C$51</x:f>
        <x:v>2</x:v>
      </x:c>
      <x:c r="AN2728" s="83" t="n">
        <x:f>'Inputs'!$D$51</x:f>
        <x:v>3</x:v>
      </x:c>
      <x:c r="AO2728" s="81" t="n">
        <x:f>'Inputs'!$E$51</x:f>
        <x:v>0.1</x:v>
      </x:c>
    </x:row>
    <x:row r="2729">
      <x:c r="A2729" s="59" t="str">
        <x:v>High demand</x:v>
      </x:c>
      <x:c r="B2729" s="59" t="n">
        <x:v>171</x:v>
      </x:c>
      <x:c r="C2729" s="78" t="n">
        <x:f>(('Inputs'!$B$29*(3*171*'Inputs'!$B$12-171^2)/(2*'Inputs'!$B$12^2))-('Inputs'!$B$29*(3*170*'Inputs'!$B$12-170^2)/(2*'Inputs'!$B$12^2)))*'Inputs'!$B$51</x:f>
        <x:v>656555.4043910652</x:v>
      </x:c>
      <x:c r="D2729" s="78" t="n">
        <x:f>IF('Inputs'!$C$51&gt;0,('Inputs'!$B$30*(3*171*'Inputs'!$B$12-171^2)/(2*'Inputs'!$B$12^2))-('Inputs'!$B$30*(3*170*'Inputs'!$B$12-170^2)/(2*'Inputs'!$B$12^2)),0)</x:f>
        <x:v>281380.8875961751</x:v>
      </x:c>
      <x:c r="E2729" s="78" t="n">
        <x:f>C2729+D2729</x:f>
        <x:v>937936.2919872403</x:v>
      </x:c>
      <x:c r="F2729" s="78" t="n">
        <x:f>'Inputs'!$B$13*E2729+(1-'Inputs'!$B$13)/'Inputs'!$B$14*SUM(E2674:E2729)</x:f>
        <x:v>948153.9688496906</x:v>
      </x:c>
      <x:c r="G2729" s="78" t="n">
        <x:f>F2729*'Inputs'!$F$51</x:f>
        <x:v>237038.49221242266</x:v>
      </x:c>
      <x:c r="H2729" s="78" t="n">
        <x:f>U2728</x:f>
        <x:v>538760.6569933735</x:v>
      </x:c>
      <x:c r="I2729" s="78" t="n">
        <x:f>V2728</x:f>
        <x:v>270157.3811979685</x:v>
      </x:c>
      <x:c r="J2729" s="79" t="n">
        <x:f>IF(H2729&gt;0,I2729/H2729,0)</x:f>
        <x:v>0.501442296669579</x:v>
      </x:c>
      <x:c r="K2729" s="80" t="n">
        <x:f>(H2729*J2729+I2729)*'Inputs'!$D$51*(1+'Inputs'!$G$51)^(B2729/30)</x:f>
        <x:v>2140657.0369428336</x:v>
      </x:c>
      <x:c r="L2729" s="80" t="n">
        <x:f>MAX(0,K2729*'Inputs'!$E$51)</x:f>
        <x:v>214065.70369428338</x:v>
      </x:c>
      <x:c r="M2729" s="80" t="n">
        <x:f>MAX(0,-K2729*'Inputs'!$E$51)</x:f>
        <x:v>0</x:v>
      </x:c>
      <x:c r="N2729" s="78" t="n">
        <x:f>H2729*(L2729*(1-'Inputs'!$B$15))/(I2729+L2729*(1-'Inputs'!$B$15))</x:f>
        <x:v>236840.98563478212</x:v>
      </x:c>
      <x:c r="O2729" s="78" t="n">
        <x:f>H2729-N2729</x:f>
        <x:v>301919.6713585914</x:v>
      </x:c>
      <x:c r="P2729" s="78" t="n">
        <x:f>I2729+L2729*(1-'Inputs'!$B$17)</x:f>
        <x:v>483361.6534890556</x:v>
      </x:c>
      <x:c r="Q2729" s="78" t="n">
        <x:f>IF(J2729&gt;0,M2729/J2729,0)</x:f>
        <x:v>0</x:v>
      </x:c>
      <x:c r="R2729" s="78" t="n">
        <x:f>IF(B2729='Inputs'!$H$51,'Inputs'!$B$27*'Inputs'!$I$51,0)</x:f>
        <x:v>0</x:v>
      </x:c>
      <x:c r="S2729" s="78" t="n">
        <x:f>Q2729+G2729+R2729</x:f>
        <x:v>237038.49221242266</x:v>
      </x:c>
      <x:c r="T2729" s="78" t="n">
        <x:f>P2729*(S2729*(1-'Inputs'!$B$15))/(O2729+S2729*(1-'Inputs'!$B$15))</x:f>
        <x:v>211390.5103217177</x:v>
      </x:c>
      <x:c r="U2729" s="78" t="n">
        <x:f>O2729+S2729*(1-'Inputs'!$B$17)</x:f>
        <x:v>538004.2863387709</x:v>
      </x:c>
      <x:c r="V2729" s="78" t="n">
        <x:f>P2729-T2729</x:f>
        <x:v>271971.14316733787</x:v>
      </x:c>
      <x:c r="W2729" s="79" t="n">
        <x:f>IF(U2729&gt;0,V2729/U2729,0)</x:f>
        <x:v>0.5055185433896021</x:v>
      </x:c>
      <x:c r="X2729" s="80" t="n">
        <x:f>W2729*('Inputs'!$B$6-AC2729)</x:f>
        <x:v>504754499.34828085</x:v>
      </x:c>
      <x:c r="Y2729" s="80" t="n">
        <x:f>2*V2729</x:f>
        <x:v>543942.2863346757</x:v>
      </x:c>
      <x:c r="Z2729" s="80" t="n">
        <x:f>K2729*'Inputs'!$B$16+(G2729+R2729)*J2729*'Inputs'!$B$16</x:f>
        <x:v>13557.10897726155</x:v>
      </x:c>
      <x:c r="AA2729" s="80" t="n">
        <x:f>K2729*(1+'Inputs'!$E$51)/2*'Inputs'!$B$17</x:f>
        <x:v>4737.872717579713</x:v>
      </x:c>
      <x:c r="AB2729" s="78" t="n">
        <x:f>(IF(J2729&gt;0,K2729*(1-'Inputs'!$E$51)/2/J2729,0)+G2729+R2729)*'Inputs'!$B$17</x:f>
        <x:v>8684.460272663748</x:v>
      </x:c>
      <x:c r="AC2729" s="78" t="n">
        <x:f>AC2728+AB2729</x:f>
        <x:v>1511406.5573108715</x:v>
      </x:c>
      <x:c r="AD2729" s="80" t="n">
        <x:f>Z2729/(1+'Inputs'!$C$51)</x:f>
        <x:v>4519.03632575385</x:v>
      </x:c>
      <x:c r="AE2729" s="80" t="n">
        <x:f>Z2729-AD2729</x:f>
        <x:v>9038.0726515077</x:v>
      </x:c>
      <x:c r="AF2729" s="80" t="n">
        <x:f>D2729*W2729</x:f>
        <x:v>142243.25643529178</x:v>
      </x:c>
      <x:c r="AG2729" s="80" t="n">
        <x:f>C2729*W2729</x:f>
        <x:v>331900.9316823425</x:v>
      </x:c>
      <x:c r="AH2729" s="80" t="n">
        <x:f>2*'Inputs'!$B$8*'Inputs'!$C$51</x:f>
        <x:v>10000</x:v>
      </x:c>
      <x:c r="AI2729" s="81" t="n">
        <x:f>IF(AH2729&gt;0,(AE2729+AF2729)/AH2729*365,0)</x:f>
        <x:v>5521.768511668181</x:v>
      </x:c>
      <x:c r="AJ2729" s="81" t="n">
        <x:f>IF('Inputs'!$B$51&gt;0,AG2729/('Inputs'!$B$19*'Inputs'!$B$51)*365,0)</x:f>
        <x:v>12114.3840064055</x:v>
      </x:c>
      <x:c r="AK2729" s="81" t="n">
        <x:f>W2729/MAX($W$2559:W2729)-1</x:f>
        <x:v>-0.48712684355065783</x:v>
      </x:c>
      <x:c r="AL2729" s="83" t="n">
        <x:f>'Inputs'!$B$51</x:f>
        <x:v>1</x:v>
      </x:c>
      <x:c r="AM2729" s="83" t="n">
        <x:f>'Inputs'!$C$51</x:f>
        <x:v>2</x:v>
      </x:c>
      <x:c r="AN2729" s="83" t="n">
        <x:f>'Inputs'!$D$51</x:f>
        <x:v>3</x:v>
      </x:c>
      <x:c r="AO2729" s="81" t="n">
        <x:f>'Inputs'!$E$51</x:f>
        <x:v>0.1</x:v>
      </x:c>
    </x:row>
    <x:row r="2730">
      <x:c r="A2730" s="59" t="str">
        <x:v>High demand</x:v>
      </x:c>
      <x:c r="B2730" s="59" t="n">
        <x:v>172</x:v>
      </x:c>
      <x:c r="C2730" s="78" t="n">
        <x:f>(('Inputs'!$B$29*(3*172*'Inputs'!$B$12-172^2)/(2*'Inputs'!$B$12^2))-('Inputs'!$B$29*(3*171*'Inputs'!$B$12-171^2)/(2*'Inputs'!$B$12^2)))*'Inputs'!$B$51</x:f>
        <x:v>656230.2964908928</x:v>
      </x:c>
      <x:c r="D2730" s="78" t="n">
        <x:f>IF('Inputs'!$C$51&gt;0,('Inputs'!$B$30*(3*172*'Inputs'!$B$12-172^2)/(2*'Inputs'!$B$12^2))-('Inputs'!$B$30*(3*171*'Inputs'!$B$12-171^2)/(2*'Inputs'!$B$12^2)),0)</x:f>
        <x:v>281241.55563895404</x:v>
      </x:c>
      <x:c r="E2730" s="78" t="n">
        <x:f>C2730+D2730</x:f>
        <x:v>937471.8521298468</x:v>
      </x:c>
      <x:c r="F2730" s="78" t="n">
        <x:f>'Inputs'!$B$13*E2730+(1-'Inputs'!$B$13)/'Inputs'!$B$14*SUM(E2675:E2730)</x:f>
        <x:v>947689.5289923045</x:v>
      </x:c>
      <x:c r="G2730" s="78" t="n">
        <x:f>F2730*'Inputs'!$F$51</x:f>
        <x:v>236922.38224807612</x:v>
      </x:c>
      <x:c r="H2730" s="78" t="n">
        <x:f>U2729</x:f>
        <x:v>538004.2863387709</x:v>
      </x:c>
      <x:c r="I2730" s="78" t="n">
        <x:f>V2729</x:f>
        <x:v>271971.14316733787</x:v>
      </x:c>
      <x:c r="J2730" s="79" t="n">
        <x:f>IF(H2730&gt;0,I2730/H2730,0)</x:f>
        <x:v>0.5055185433896021</x:v>
      </x:c>
      <x:c r="K2730" s="80" t="n">
        <x:f>(H2730*J2730+I2730)*'Inputs'!$D$51*(1+'Inputs'!$G$51)^(B2730/30)</x:f>
        <x:v>2158536.4750195625</x:v>
      </x:c>
      <x:c r="L2730" s="80" t="n">
        <x:f>MAX(0,K2730*'Inputs'!$E$51)</x:f>
        <x:v>215853.64750195626</x:v>
      </x:c>
      <x:c r="M2730" s="80" t="n">
        <x:f>MAX(0,-K2730*'Inputs'!$E$51)</x:f>
        <x:v>0</x:v>
      </x:c>
      <x:c r="N2730" s="78" t="n">
        <x:f>H2730*(L2730*(1-'Inputs'!$B$15))/(I2730+L2730*(1-'Inputs'!$B$15))</x:f>
        <x:v>236724.0563025448</x:v>
      </x:c>
      <x:c r="O2730" s="78" t="n">
        <x:f>H2730-N2730</x:f>
        <x:v>301280.2300362261</x:v>
      </x:c>
      <x:c r="P2730" s="78" t="n">
        <x:f>I2730+L2730*(1-'Inputs'!$B$17)</x:f>
        <x:v>486956.1643211977</x:v>
      </x:c>
      <x:c r="Q2730" s="78" t="n">
        <x:f>IF(J2730&gt;0,M2730/J2730,0)</x:f>
        <x:v>0</x:v>
      </x:c>
      <x:c r="R2730" s="78" t="n">
        <x:f>IF(B2730='Inputs'!$H$51,'Inputs'!$B$27*'Inputs'!$I$51,0)</x:f>
        <x:v>0</x:v>
      </x:c>
      <x:c r="S2730" s="78" t="n">
        <x:f>Q2730+G2730+R2730</x:f>
        <x:v>236922.38224807612</x:v>
      </x:c>
      <x:c r="T2730" s="78" t="n">
        <x:f>P2730*(S2730*(1-'Inputs'!$B$15))/(O2730+S2730*(1-'Inputs'!$B$15))</x:f>
        <x:v>213157.87484655445</x:v>
      </x:c>
      <x:c r="U2730" s="78" t="n">
        <x:f>O2730+S2730*(1-'Inputs'!$B$17)</x:f>
        <x:v>537249.2022953763</x:v>
      </x:c>
      <x:c r="V2730" s="78" t="n">
        <x:f>P2730-T2730</x:f>
        <x:v>273798.2894746433</x:v>
      </x:c>
      <x:c r="W2730" s="79" t="n">
        <x:f>IF(U2730&gt;0,V2730/U2730,0)</x:f>
        <x:v>0.5096299599978013</x:v>
      </x:c>
      <x:c r="X2730" s="80" t="n">
        <x:f>W2730*('Inputs'!$B$6-AC2730)</x:f>
        <x:v>508855275.43891096</x:v>
      </x:c>
      <x:c r="Y2730" s="80" t="n">
        <x:f>2*V2730</x:f>
        <x:v>547596.5789492866</x:v>
      </x:c>
      <x:c r="Z2730" s="80" t="n">
        <x:f>K2730*'Inputs'!$B$16+(G2730+R2730)*J2730*'Inputs'!$B$16</x:f>
        <x:v>13669.830795540027</x:v>
      </x:c>
      <x:c r="AA2730" s="80" t="n">
        <x:f>K2730*(1+'Inputs'!$E$51)/2*'Inputs'!$B$17</x:f>
        <x:v>4777.444914530221</x:v>
      </x:c>
      <x:c r="AB2730" s="78" t="n">
        <x:f>(IF(J2730&gt;0,K2730*(1-'Inputs'!$E$51)/2/J2730,0)+G2730+R2730)*'Inputs'!$B$17</x:f>
        <x:v>8685.705109544802</x:v>
      </x:c>
      <x:c r="AC2730" s="78" t="n">
        <x:f>AC2729+AB2730</x:f>
        <x:v>1520092.2624204163</x:v>
      </x:c>
      <x:c r="AD2730" s="80" t="n">
        <x:f>Z2730/(1+'Inputs'!$C$51)</x:f>
        <x:v>4556.610265180009</x:v>
      </x:c>
      <x:c r="AE2730" s="80" t="n">
        <x:f>Z2730-AD2730</x:f>
        <x:v>9113.220530360017</x:v>
      </x:c>
      <x:c r="AF2730" s="80" t="n">
        <x:f>D2730*W2730</x:f>
        <x:v>143329.12274999954</x:v>
      </x:c>
      <x:c r="AG2730" s="80" t="n">
        <x:f>C2730*W2730</x:f>
        <x:v>334434.61974999896</x:v>
      </x:c>
      <x:c r="AH2730" s="80" t="n">
        <x:f>2*'Inputs'!$B$8*'Inputs'!$C$51</x:f>
        <x:v>10000</x:v>
      </x:c>
      <x:c r="AI2730" s="81" t="n">
        <x:f>IF(AH2730&gt;0,(AE2730+AF2730)/AH2730*365,0)</x:f>
        <x:v>5564.145529733123</x:v>
      </x:c>
      <x:c r="AJ2730" s="81" t="n">
        <x:f>IF('Inputs'!$B$51&gt;0,AG2730/('Inputs'!$B$19*'Inputs'!$B$51)*365,0)</x:f>
        <x:v>12206.863620874963</x:v>
      </x:c>
      <x:c r="AK2730" s="81" t="n">
        <x:f>W2730/MAX($W$2559:W2730)-1</x:f>
        <x:v>-0.4829556113755006</x:v>
      </x:c>
      <x:c r="AL2730" s="83" t="n">
        <x:f>'Inputs'!$B$51</x:f>
        <x:v>1</x:v>
      </x:c>
      <x:c r="AM2730" s="83" t="n">
        <x:f>'Inputs'!$C$51</x:f>
        <x:v>2</x:v>
      </x:c>
      <x:c r="AN2730" s="83" t="n">
        <x:f>'Inputs'!$D$51</x:f>
        <x:v>3</x:v>
      </x:c>
      <x:c r="AO2730" s="81" t="n">
        <x:f>'Inputs'!$E$51</x:f>
        <x:v>0.1</x:v>
      </x:c>
    </x:row>
    <x:row r="2731">
      <x:c r="A2731" s="59" t="str">
        <x:v>High demand</x:v>
      </x:c>
      <x:c r="B2731" s="59" t="n">
        <x:v>173</x:v>
      </x:c>
      <x:c r="C2731" s="78" t="n">
        <x:f>(('Inputs'!$B$29*(3*173*'Inputs'!$B$12-173^2)/(2*'Inputs'!$B$12^2))-('Inputs'!$B$29*(3*172*'Inputs'!$B$12-172^2)/(2*'Inputs'!$B$12^2)))*'Inputs'!$B$51</x:f>
        <x:v>655905.1885907352</x:v>
      </x:c>
      <x:c r="D2731" s="78" t="n">
        <x:f>IF('Inputs'!$C$51&gt;0,('Inputs'!$B$30*(3*173*'Inputs'!$B$12-173^2)/(2*'Inputs'!$B$12^2))-('Inputs'!$B$30*(3*172*'Inputs'!$B$12-172^2)/(2*'Inputs'!$B$12^2)),0)</x:f>
        <x:v>281102.2236817479</x:v>
      </x:c>
      <x:c r="E2731" s="78" t="n">
        <x:f>C2731+D2731</x:f>
        <x:v>937007.4122724831</x:v>
      </x:c>
      <x:c r="F2731" s="78" t="n">
        <x:f>'Inputs'!$B$13*E2731+(1-'Inputs'!$B$13)/'Inputs'!$B$14*SUM(E2676:E2731)</x:f>
        <x:v>947225.0891349247</x:v>
      </x:c>
      <x:c r="G2731" s="78" t="n">
        <x:f>F2731*'Inputs'!$F$51</x:f>
        <x:v>236806.27228373117</x:v>
      </x:c>
      <x:c r="H2731" s="78" t="n">
        <x:f>U2730</x:f>
        <x:v>537249.2022953763</x:v>
      </x:c>
      <x:c r="I2731" s="78" t="n">
        <x:f>V2730</x:f>
        <x:v>273798.2894746433</x:v>
      </x:c>
      <x:c r="J2731" s="79" t="n">
        <x:f>IF(H2731&gt;0,I2731/H2731,0)</x:f>
        <x:v>0.5096299599978013</x:v>
      </x:c>
      <x:c r="K2731" s="80" t="n">
        <x:f>(H2731*J2731+I2731)*'Inputs'!$D$51*(1+'Inputs'!$G$51)^(B2731/30)</x:f>
        <x:v>2176574.844797388</x:v>
      </x:c>
      <x:c r="L2731" s="80" t="n">
        <x:f>MAX(0,K2731*'Inputs'!$E$51)</x:f>
        <x:v>217657.48447973884</x:v>
      </x:c>
      <x:c r="M2731" s="80" t="n">
        <x:f>MAX(0,-K2731*'Inputs'!$E$51)</x:f>
        <x:v>0</x:v>
      </x:c>
      <x:c r="N2731" s="78" t="n">
        <x:f>H2731*(L2731*(1-'Inputs'!$B$15))/(I2731+L2731*(1-'Inputs'!$B$15))</x:f>
        <x:v>236607.1294711342</x:v>
      </x:c>
      <x:c r="O2731" s="78" t="n">
        <x:f>H2731-N2731</x:f>
        <x:v>300642.0728242422</x:v>
      </x:c>
      <x:c r="P2731" s="78" t="n">
        <x:f>I2731+L2731*(1-'Inputs'!$B$17)</x:f>
        <x:v>490579.8887049667</x:v>
      </x:c>
      <x:c r="Q2731" s="78" t="n">
        <x:f>IF(J2731&gt;0,M2731/J2731,0)</x:f>
        <x:v>0</x:v>
      </x:c>
      <x:c r="R2731" s="78" t="n">
        <x:f>IF(B2731='Inputs'!$H$51,'Inputs'!$B$27*'Inputs'!$I$51,0)</x:f>
        <x:v>0</x:v>
      </x:c>
      <x:c r="S2731" s="78" t="n">
        <x:f>Q2731+G2731+R2731</x:f>
        <x:v>236806.27228373117</x:v>
      </x:c>
      <x:c r="T2731" s="78" t="n">
        <x:f>P2731*(S2731*(1-'Inputs'!$B$15))/(O2731+S2731*(1-'Inputs'!$B$15))</x:f>
        <x:v>214940.96220834664</x:v>
      </x:c>
      <x:c r="U2731" s="78" t="n">
        <x:f>O2731+S2731*(1-'Inputs'!$B$17)</x:f>
        <x:v>536495.4023623648</x:v>
      </x:c>
      <x:c r="V2731" s="78" t="n">
        <x:f>P2731-T2731</x:f>
        <x:v>275638.92649662006</x:v>
      </x:c>
      <x:c r="W2731" s="79" t="n">
        <x:f>IF(U2731&gt;0,V2731/U2731,0)</x:f>
        <x:v>0.5137768660884915</x:v>
      </x:c>
      <x:c r="X2731" s="80" t="n">
        <x:f>W2731*('Inputs'!$B$6-AC2731)</x:f>
        <x:v>512991414.6939634</x:v>
      </x:c>
      <x:c r="Y2731" s="80" t="n">
        <x:f>2*V2731</x:f>
        <x:v>551277.8529932401</x:v>
      </x:c>
      <x:c r="Z2731" s="80" t="n">
        <x:f>K2731*'Inputs'!$B$16+(G2731+R2731)*J2731*'Inputs'!$B$16</x:f>
        <x:v>13783.550495211448</x:v>
      </x:c>
      <x:c r="AA2731" s="80" t="n">
        <x:f>K2731*(1+'Inputs'!$E$51)/2*'Inputs'!$B$17</x:f>
        <x:v>4817.3688717849645</x:v>
      </x:c>
      <x:c r="AB2731" s="78" t="n">
        <x:f>(IF(J2731&gt;0,K2731*(1-'Inputs'!$E$51)/2/J2731,0)+G2731+R2731)*'Inputs'!$B$17</x:f>
        <x:v>8686.953560801861</x:v>
      </x:c>
      <x:c r="AC2731" s="78" t="n">
        <x:f>AC2730+AB2731</x:f>
        <x:v>1528779.2159812183</x:v>
      </x:c>
      <x:c r="AD2731" s="80" t="n">
        <x:f>Z2731/(1+'Inputs'!$C$51)</x:f>
        <x:v>4594.516831737149</x:v>
      </x:c>
      <x:c r="AE2731" s="80" t="n">
        <x:f>Z2731-AD2731</x:f>
        <x:v>9189.0336634743</x:v>
      </x:c>
      <x:c r="AF2731" s="80" t="n">
        <x:f>D2731*W2731</x:f>
        <x:v>144423.8195337146</x:v>
      </x:c>
      <x:c r="AG2731" s="80" t="n">
        <x:f>C2731*W2731</x:f>
        <x:v>336988.9122453289</x:v>
      </x:c>
      <x:c r="AH2731" s="80" t="n">
        <x:f>2*'Inputs'!$B$8*'Inputs'!$C$51</x:f>
        <x:v>10000</x:v>
      </x:c>
      <x:c r="AI2731" s="81" t="n">
        <x:f>IF(AH2731&gt;0,(AE2731+AF2731)/AH2731*365,0)</x:f>
        <x:v>5606.869141697393</x:v>
      </x:c>
      <x:c r="AJ2731" s="81" t="n">
        <x:f>IF('Inputs'!$B$51&gt;0,AG2731/('Inputs'!$B$19*'Inputs'!$B$51)*365,0)</x:f>
        <x:v>12300.095296954503</x:v>
      </x:c>
      <x:c r="AK2731" s="81" t="n">
        <x:f>W2731/MAX($W$2559:W2731)-1</x:f>
        <x:v>-0.47874837339374343</x:v>
      </x:c>
      <x:c r="AL2731" s="83" t="n">
        <x:f>'Inputs'!$B$51</x:f>
        <x:v>1</x:v>
      </x:c>
      <x:c r="AM2731" s="83" t="n">
        <x:f>'Inputs'!$C$51</x:f>
        <x:v>2</x:v>
      </x:c>
      <x:c r="AN2731" s="83" t="n">
        <x:f>'Inputs'!$D$51</x:f>
        <x:v>3</x:v>
      </x:c>
      <x:c r="AO2731" s="81" t="n">
        <x:f>'Inputs'!$E$51</x:f>
        <x:v>0.1</x:v>
      </x:c>
    </x:row>
    <x:row r="2732">
      <x:c r="A2732" s="59" t="str">
        <x:v>High demand</x:v>
      </x:c>
      <x:c r="B2732" s="59" t="n">
        <x:v>174</x:v>
      </x:c>
      <x:c r="C2732" s="78" t="n">
        <x:f>(('Inputs'!$B$29*(3*174*'Inputs'!$B$12-174^2)/(2*'Inputs'!$B$12^2))-('Inputs'!$B$29*(3*173*'Inputs'!$B$12-173^2)/(2*'Inputs'!$B$12^2)))*'Inputs'!$B$51</x:f>
        <x:v>655580.0806905627</x:v>
      </x:c>
      <x:c r="D2732" s="78" t="n">
        <x:f>IF('Inputs'!$C$51&gt;0,('Inputs'!$B$30*(3*174*'Inputs'!$B$12-174^2)/(2*'Inputs'!$B$12^2))-('Inputs'!$B$30*(3*173*'Inputs'!$B$12-173^2)/(2*'Inputs'!$B$12^2)),0)</x:f>
        <x:v>280962.89172451943</x:v>
      </x:c>
      <x:c r="E2732" s="78" t="n">
        <x:f>C2732+D2732</x:f>
        <x:v>936542.9724150822</x:v>
      </x:c>
      <x:c r="F2732" s="78" t="n">
        <x:f>'Inputs'!$B$13*E2732+(1-'Inputs'!$B$13)/'Inputs'!$B$14*SUM(E2677:E2732)</x:f>
        <x:v>946760.6492775369</x:v>
      </x:c>
      <x:c r="G2732" s="78" t="n">
        <x:f>F2732*'Inputs'!$F$51</x:f>
        <x:v>236690.16231938422</x:v>
      </x:c>
      <x:c r="H2732" s="78" t="n">
        <x:f>U2731</x:f>
        <x:v>536495.4023623648</x:v>
      </x:c>
      <x:c r="I2732" s="78" t="n">
        <x:f>V2731</x:f>
        <x:v>275638.92649662006</x:v>
      </x:c>
      <x:c r="J2732" s="79" t="n">
        <x:f>IF(H2732&gt;0,I2732/H2732,0)</x:f>
        <x:v>0.5137768660884915</x:v>
      </x:c>
      <x:c r="K2732" s="80" t="n">
        <x:f>(H2732*J2732+I2732)*'Inputs'!$D$51*(1+'Inputs'!$G$51)^(B2732/30)</x:f>
        <x:v>2194773.6364895366</x:v>
      </x:c>
      <x:c r="L2732" s="80" t="n">
        <x:f>MAX(0,K2732*'Inputs'!$E$51)</x:f>
        <x:v>219477.36364895367</x:v>
      </x:c>
      <x:c r="M2732" s="80" t="n">
        <x:f>MAX(0,-K2732*'Inputs'!$E$51)</x:f>
        <x:v>0</x:v>
      </x:c>
      <x:c r="N2732" s="78" t="n">
        <x:f>H2732*(L2732*(1-'Inputs'!$B$15))/(I2732+L2732*(1-'Inputs'!$B$15))</x:f>
        <x:v>236490.20513578123</x:v>
      </x:c>
      <x:c r="O2732" s="78" t="n">
        <x:f>H2732-N2732</x:f>
        <x:v>300005.1972265836</x:v>
      </x:c>
      <x:c r="P2732" s="78" t="n">
        <x:f>I2732+L2732*(1-'Inputs'!$B$17)</x:f>
        <x:v>494233.0814387369</x:v>
      </x:c>
      <x:c r="Q2732" s="78" t="n">
        <x:f>IF(J2732&gt;0,M2732/J2732,0)</x:f>
        <x:v>0</x:v>
      </x:c>
      <x:c r="R2732" s="78" t="n">
        <x:f>IF(B2732='Inputs'!$H$51,'Inputs'!$B$27*'Inputs'!$I$51,0)</x:f>
        <x:v>0</x:v>
      </x:c>
      <x:c r="S2732" s="78" t="n">
        <x:f>Q2732+G2732+R2732</x:f>
        <x:v>236690.16231938422</x:v>
      </x:c>
      <x:c r="T2732" s="78" t="n">
        <x:f>P2732*(S2732*(1-'Inputs'!$B$15))/(O2732+S2732*(1-'Inputs'!$B$15))</x:f>
        <x:v>216739.9199302774</x:v>
      </x:c>
      <x:c r="U2732" s="78" t="n">
        <x:f>O2732+S2732*(1-'Inputs'!$B$17)</x:f>
        <x:v>535742.8840436765</x:v>
      </x:c>
      <x:c r="V2732" s="78" t="n">
        <x:f>P2732-T2732</x:f>
        <x:v>277493.1615084595</x:v>
      </x:c>
      <x:c r="W2732" s="79" t="n">
        <x:f>IF(U2732&gt;0,V2732/U2732,0)</x:f>
        <x:v>0.5179595842953592</x:v>
      </x:c>
      <x:c r="X2732" s="80" t="n">
        <x:f>W2732*('Inputs'!$B$6-AC2732)</x:f>
        <x:v>517163238.3087949</x:v>
      </x:c>
      <x:c r="Y2732" s="80" t="n">
        <x:f>2*V2732</x:f>
        <x:v>554986.323016919</x:v>
      </x:c>
      <x:c r="Z2732" s="80" t="n">
        <x:f>K2732*'Inputs'!$B$16+(G2732+R2732)*J2732*'Inputs'!$B$16</x:f>
        <x:v>13898.277397919797</x:v>
      </x:c>
      <x:c r="AA2732" s="80" t="n">
        <x:f>K2732*(1+'Inputs'!$E$51)/2*'Inputs'!$B$17</x:f>
        <x:v>4857.647887602597</x:v>
      </x:c>
      <x:c r="AB2732" s="78" t="n">
        <x:f>(IF(J2732&gt;0,K2732*(1-'Inputs'!$E$51)/2/J2732,0)+G2732+R2732)*'Inputs'!$B$17</x:f>
        <x:v>8688.205627752432</x:v>
      </x:c>
      <x:c r="AC2732" s="78" t="n">
        <x:f>AC2731+AB2732</x:f>
        <x:v>1537467.4216089707</x:v>
      </x:c>
      <x:c r="AD2732" s="80" t="n">
        <x:f>Z2732/(1+'Inputs'!$C$51)</x:f>
        <x:v>4632.759132639932</x:v>
      </x:c>
      <x:c r="AE2732" s="80" t="n">
        <x:f>Z2732-AD2732</x:f>
        <x:v>9265.518265279865</x:v>
      </x:c>
      <x:c r="AF2732" s="80" t="n">
        <x:f>D2732*W2732</x:f>
        <x:v>145527.4226000541</x:v>
      </x:c>
      <x:c r="AG2732" s="80" t="n">
        <x:f>C2732*W2732</x:f>
        <x:v>339563.9860668019</x:v>
      </x:c>
      <x:c r="AH2732" s="80" t="n">
        <x:f>2*'Inputs'!$B$8*'Inputs'!$C$51</x:f>
        <x:v>10000</x:v>
      </x:c>
      <x:c r="AI2732" s="81" t="n">
        <x:f>IF(AH2732&gt;0,(AE2732+AF2732)/AH2732*365,0)</x:f>
        <x:v>5649.9423415846895</x:v>
      </x:c>
      <x:c r="AJ2732" s="81" t="n">
        <x:f>IF('Inputs'!$B$51&gt;0,AG2732/('Inputs'!$B$19*'Inputs'!$B$51)*365,0)</x:f>
        <x:v>12394.085491438269</x:v>
      </x:c>
      <x:c r="AK2732" s="81" t="n">
        <x:f>W2732/MAX($W$2559:W2732)-1</x:f>
        <x:v>-0.474504802277815</x:v>
      </x:c>
      <x:c r="AL2732" s="83" t="n">
        <x:f>'Inputs'!$B$51</x:f>
        <x:v>1</x:v>
      </x:c>
      <x:c r="AM2732" s="83" t="n">
        <x:f>'Inputs'!$C$51</x:f>
        <x:v>2</x:v>
      </x:c>
      <x:c r="AN2732" s="83" t="n">
        <x:f>'Inputs'!$D$51</x:f>
        <x:v>3</x:v>
      </x:c>
      <x:c r="AO2732" s="81" t="n">
        <x:f>'Inputs'!$E$51</x:f>
        <x:v>0.1</x:v>
      </x:c>
    </x:row>
    <x:row r="2733">
      <x:c r="A2733" s="59" t="str">
        <x:v>High demand</x:v>
      </x:c>
      <x:c r="B2733" s="59" t="n">
        <x:v>175</x:v>
      </x:c>
      <x:c r="C2733" s="78" t="n">
        <x:f>(('Inputs'!$B$29*(3*175*'Inputs'!$B$12-175^2)/(2*'Inputs'!$B$12^2))-('Inputs'!$B$29*(3*174*'Inputs'!$B$12-174^2)/(2*'Inputs'!$B$12^2)))*'Inputs'!$B$51</x:f>
        <x:v>655254.9727903903</x:v>
      </x:c>
      <x:c r="D2733" s="78" t="n">
        <x:f>IF('Inputs'!$C$51&gt;0,('Inputs'!$B$30*(3*175*'Inputs'!$B$12-175^2)/(2*'Inputs'!$B$12^2))-('Inputs'!$B$30*(3*174*'Inputs'!$B$12-174^2)/(2*'Inputs'!$B$12^2)),0)</x:f>
        <x:v>280823.5597673133</x:v>
      </x:c>
      <x:c r="E2733" s="78" t="n">
        <x:f>C2733+D2733</x:f>
        <x:v>936078.5325577036</x:v>
      </x:c>
      <x:c r="F2733" s="78" t="n">
        <x:f>'Inputs'!$B$13*E2733+(1-'Inputs'!$B$13)/'Inputs'!$B$14*SUM(E2678:E2733)</x:f>
        <x:v>946296.2094201541</x:v>
      </x:c>
      <x:c r="G2733" s="78" t="n">
        <x:f>F2733*'Inputs'!$F$51</x:f>
        <x:v>236574.05235503853</x:v>
      </x:c>
      <x:c r="H2733" s="78" t="n">
        <x:f>U2732</x:f>
        <x:v>535742.8840436765</x:v>
      </x:c>
      <x:c r="I2733" s="78" t="n">
        <x:f>V2732</x:f>
        <x:v>277493.1615084595</x:v>
      </x:c>
      <x:c r="J2733" s="79" t="n">
        <x:f>IF(H2733&gt;0,I2733/H2733,0)</x:f>
        <x:v>0.5179595842953592</x:v>
      </x:c>
      <x:c r="K2733" s="80" t="n">
        <x:f>(H2733*J2733+I2733)*'Inputs'!$D$51*(1+'Inputs'!$G$51)^(B2733/30)</x:f>
        <x:v>2213134.354944122</x:v>
      </x:c>
      <x:c r="L2733" s="80" t="n">
        <x:f>MAX(0,K2733*'Inputs'!$E$51)</x:f>
        <x:v>221313.4354944122</x:v>
      </x:c>
      <x:c r="M2733" s="80" t="n">
        <x:f>MAX(0,-K2733*'Inputs'!$E$51)</x:f>
        <x:v>0</x:v>
      </x:c>
      <x:c r="N2733" s="78" t="n">
        <x:f>H2733*(L2733*(1-'Inputs'!$B$15))/(I2733+L2733*(1-'Inputs'!$B$15))</x:f>
        <x:v>236373.2832917238</x:v>
      </x:c>
      <x:c r="O2733" s="78" t="n">
        <x:f>H2733-N2733</x:f>
        <x:v>299369.60075195273</x:v>
      </x:c>
      <x:c r="P2733" s="78" t="n">
        <x:f>I2733+L2733*(1-'Inputs'!$B$17)</x:f>
        <x:v>497915.9996769384</x:v>
      </x:c>
      <x:c r="Q2733" s="78" t="n">
        <x:f>IF(J2733&gt;0,M2733/J2733,0)</x:f>
        <x:v>0</x:v>
      </x:c>
      <x:c r="R2733" s="78" t="n">
        <x:f>IF(B2733='Inputs'!$H$51,'Inputs'!$B$27*'Inputs'!$I$51,0)</x:f>
        <x:v>0</x:v>
      </x:c>
      <x:c r="S2733" s="78" t="n">
        <x:f>Q2733+G2733+R2733</x:f>
        <x:v>236574.05235503853</x:v>
      </x:c>
      <x:c r="T2733" s="78" t="n">
        <x:f>P2733*(S2733*(1-'Inputs'!$B$15))/(O2733+S2733*(1-'Inputs'!$B$15))</x:f>
        <x:v>218554.89698514668</x:v>
      </x:c>
      <x:c r="U2733" s="78" t="n">
        <x:f>O2733+S2733*(1-'Inputs'!$B$17)</x:f>
        <x:v>534991.6448480173</x:v>
      </x:c>
      <x:c r="V2733" s="78" t="n">
        <x:f>P2733-T2733</x:f>
        <x:v>279361.1026917917</x:v>
      </x:c>
      <x:c r="W2733" s="79" t="n">
        <x:f>IF(U2733&gt;0,V2733/U2733,0)</x:f>
        <x:v>0.5221784403215378</x:v>
      </x:c>
      <x:c r="X2733" s="80" t="n">
        <x:f>W2733*('Inputs'!$B$6-AC2733)</x:f>
        <x:v>521371070.5319219</x:v>
      </x:c>
      <x:c r="Y2733" s="80" t="n">
        <x:f>2*V2733</x:f>
        <x:v>558722.2053835834</x:v>
      </x:c>
      <x:c r="Z2733" s="80" t="n">
        <x:f>K2733*'Inputs'!$B$16+(G2733+R2733)*J2733*'Inputs'!$B$16</x:f>
        <x:v>14014.020916542038</x:v>
      </x:c>
      <x:c r="AA2733" s="80" t="n">
        <x:f>K2733*(1+'Inputs'!$E$51)/2*'Inputs'!$B$17</x:f>
        <x:v>4898.285292632866</x:v>
      </x:c>
      <x:c r="AB2733" s="78" t="n">
        <x:f>(IF(J2733&gt;0,K2733*(1-'Inputs'!$E$51)/2/J2733,0)+G2733+R2733)*'Inputs'!$B$17</x:f>
        <x:v>8689.461311709269</x:v>
      </x:c>
      <x:c r="AC2733" s="78" t="n">
        <x:f>AC2732+AB2733</x:f>
        <x:v>1546156.88292068</x:v>
      </x:c>
      <x:c r="AD2733" s="80" t="n">
        <x:f>Z2733/(1+'Inputs'!$C$51)</x:f>
        <x:v>4671.3403055140125</x:v>
      </x:c>
      <x:c r="AE2733" s="80" t="n">
        <x:f>Z2733-AD2733</x:f>
        <x:v>9342.680611028027</x:v>
      </x:c>
      <x:c r="AF2733" s="80" t="n">
        <x:f>D2733*W2733</x:f>
        <x:v>146640.00844483782</x:v>
      </x:c>
      <x:c r="AG2733" s="80" t="n">
        <x:f>C2733*W2733</x:f>
        <x:v>342160.0197046177</x:v>
      </x:c>
      <x:c r="AH2733" s="80" t="n">
        <x:f>2*'Inputs'!$B$8*'Inputs'!$C$51</x:f>
        <x:v>10000</x:v>
      </x:c>
      <x:c r="AI2733" s="81" t="n">
        <x:f>IF(AH2733&gt;0,(AE2733+AF2733)/AH2733*365,0)</x:f>
        <x:v>5693.368150539102</x:v>
      </x:c>
      <x:c r="AJ2733" s="81" t="n">
        <x:f>IF('Inputs'!$B$51&gt;0,AG2733/('Inputs'!$B$19*'Inputs'!$B$51)*365,0)</x:f>
        <x:v>12488.840719218546</x:v>
      </x:c>
      <x:c r="AK2733" s="81" t="n">
        <x:f>W2733/MAX($W$2559:W2733)-1</x:f>
        <x:v>-0.47022456758604025</x:v>
      </x:c>
      <x:c r="AL2733" s="83" t="n">
        <x:f>'Inputs'!$B$51</x:f>
        <x:v>1</x:v>
      </x:c>
      <x:c r="AM2733" s="83" t="n">
        <x:f>'Inputs'!$C$51</x:f>
        <x:v>2</x:v>
      </x:c>
      <x:c r="AN2733" s="83" t="n">
        <x:f>'Inputs'!$D$51</x:f>
        <x:v>3</x:v>
      </x:c>
      <x:c r="AO2733" s="81" t="n">
        <x:f>'Inputs'!$E$51</x:f>
        <x:v>0.1</x:v>
      </x:c>
    </x:row>
    <x:row r="2734">
      <x:c r="A2734" s="59" t="str">
        <x:v>High demand</x:v>
      </x:c>
      <x:c r="B2734" s="59" t="n">
        <x:v>176</x:v>
      </x:c>
      <x:c r="C2734" s="78" t="n">
        <x:f>(('Inputs'!$B$29*(3*176*'Inputs'!$B$12-176^2)/(2*'Inputs'!$B$12^2))-('Inputs'!$B$29*(3*175*'Inputs'!$B$12-175^2)/(2*'Inputs'!$B$12^2)))*'Inputs'!$B$51</x:f>
        <x:v>654929.8648902178</x:v>
      </x:c>
      <x:c r="D2734" s="78" t="n">
        <x:f>IF('Inputs'!$C$51&gt;0,('Inputs'!$B$30*(3*176*'Inputs'!$B$12-176^2)/(2*'Inputs'!$B$12^2))-('Inputs'!$B$30*(3*175*'Inputs'!$B$12-175^2)/(2*'Inputs'!$B$12^2)),0)</x:f>
        <x:v>280684.2278100997</x:v>
      </x:c>
      <x:c r="E2734" s="78" t="n">
        <x:f>C2734+D2734</x:f>
        <x:v>935614.0927003175</x:v>
      </x:c>
      <x:c r="F2734" s="78" t="n">
        <x:f>'Inputs'!$B$13*E2734+(1-'Inputs'!$B$13)/'Inputs'!$B$14*SUM(E2679:E2734)</x:f>
        <x:v>945831.7695627694</x:v>
      </x:c>
      <x:c r="G2734" s="78" t="n">
        <x:f>F2734*'Inputs'!$F$51</x:f>
        <x:v>236457.94239069236</x:v>
      </x:c>
      <x:c r="H2734" s="78" t="n">
        <x:f>U2733</x:f>
        <x:v>534991.6448480173</x:v>
      </x:c>
      <x:c r="I2734" s="78" t="n">
        <x:f>V2733</x:f>
        <x:v>279361.1026917917</x:v>
      </x:c>
      <x:c r="J2734" s="79" t="n">
        <x:f>IF(H2734&gt;0,I2734/H2734,0)</x:f>
        <x:v>0.5221784403215378</x:v>
      </x:c>
      <x:c r="K2734" s="80" t="n">
        <x:f>(H2734*J2734+I2734)*'Inputs'!$D$51*(1+'Inputs'!$G$51)^(B2734/30)</x:f>
        <x:v>2231658.519793791</x:v>
      </x:c>
      <x:c r="L2734" s="80" t="n">
        <x:f>MAX(0,K2734*'Inputs'!$E$51)</x:f>
        <x:v>223165.85197937913</x:v>
      </x:c>
      <x:c r="M2734" s="80" t="n">
        <x:f>MAX(0,-K2734*'Inputs'!$E$51)</x:f>
        <x:v>0</x:v>
      </x:c>
      <x:c r="N2734" s="78" t="n">
        <x:f>H2734*(L2734*(1-'Inputs'!$B$15))/(I2734+L2734*(1-'Inputs'!$B$15))</x:f>
        <x:v>236256.36393421103</x:v>
      </x:c>
      <x:c r="O2734" s="78" t="n">
        <x:f>H2734-N2734</x:f>
        <x:v>298735.28091380623</x:v>
      </x:c>
      <x:c r="P2734" s="78" t="n">
        <x:f>I2734+L2734*(1-'Inputs'!$B$17)</x:f>
        <x:v>501628.9029529439</x:v>
      </x:c>
      <x:c r="Q2734" s="78" t="n">
        <x:f>IF(J2734&gt;0,M2734/J2734,0)</x:f>
        <x:v>0</x:v>
      </x:c>
      <x:c r="R2734" s="78" t="n">
        <x:f>IF(B2734='Inputs'!$H$51,'Inputs'!$B$27*'Inputs'!$I$51,0)</x:f>
        <x:v>0</x:v>
      </x:c>
      <x:c r="S2734" s="78" t="n">
        <x:f>Q2734+G2734+R2734</x:f>
        <x:v>236457.94239069236</x:v>
      </x:c>
      <x:c r="T2734" s="78" t="n">
        <x:f>P2734*(S2734*(1-'Inputs'!$B$15))/(O2734+S2734*(1-'Inputs'!$B$15))</x:f>
        <x:v>220386.04381019314</x:v>
      </x:c>
      <x:c r="U2734" s="78" t="n">
        <x:f>O2734+S2734*(1-'Inputs'!$B$17)</x:f>
        <x:v>534241.6822888418</x:v>
      </x:c>
      <x:c r="V2734" s="78" t="n">
        <x:f>P2734-T2734</x:f>
        <x:v>281242.8591427508</x:v>
      </x:c>
      <x:c r="W2734" s="79" t="n">
        <x:f>IF(U2734&gt;0,V2734/U2734,0)</x:f>
        <x:v>0.5264337629700235</x:v>
      </x:c>
      <x:c r="X2734" s="80" t="n">
        <x:f>W2734*('Inputs'!$B$6-AC2734)</x:f>
        <x:v>525615238.69524986</x:v>
      </x:c>
      <x:c r="Y2734" s="80" t="n">
        <x:f>2*V2734</x:f>
        <x:v>562485.7182855016</x:v>
      </x:c>
      <x:c r="Z2734" s="80" t="n">
        <x:f>K2734*'Inputs'!$B$16+(G2734+R2734)*J2734*'Inputs'!$B$16</x:f>
        <x:v>14130.790556118018</x:v>
      </x:c>
      <x:c r="AA2734" s="80" t="n">
        <x:f>K2734*(1+'Inputs'!$E$51)/2*'Inputs'!$B$17</x:f>
        <x:v>4939.284450247829</x:v>
      </x:c>
      <x:c r="AB2734" s="78" t="n">
        <x:f>(IF(J2734&gt;0,K2734*(1-'Inputs'!$E$51)/2/J2734,0)+G2734+R2734)*'Inputs'!$B$17</x:f>
        <x:v>8690.720613980438</x:v>
      </x:c>
      <x:c r="AC2734" s="78" t="n">
        <x:f>AC2733+AB2734</x:f>
        <x:v>1554847.6035346605</x:v>
      </x:c>
      <x:c r="AD2734" s="80" t="n">
        <x:f>Z2734/(1+'Inputs'!$C$51)</x:f>
        <x:v>4710.263518706006</x:v>
      </x:c>
      <x:c r="AE2734" s="80" t="n">
        <x:f>Z2734-AD2734</x:f>
        <x:v>9420.527037412012</x:v>
      </x:c>
      <x:c r="AF2734" s="80" t="n">
        <x:f>D2734*W2734</x:f>
        <x:v>147761.65425240612</x:v>
      </x:c>
      <x:c r="AG2734" s="80" t="n">
        <x:f>C2734*W2734</x:f>
        <x:v>344777.19325560646</x:v>
      </x:c>
      <x:c r="AH2734" s="80" t="n">
        <x:f>2*'Inputs'!$B$8*'Inputs'!$C$51</x:f>
        <x:v>10000</x:v>
      </x:c>
      <x:c r="AI2734" s="81" t="n">
        <x:f>IF(AH2734&gt;0,(AE2734+AF2734)/AH2734*365,0)</x:f>
        <x:v>5737.149617078362</x:v>
      </x:c>
      <x:c r="AJ2734" s="81" t="n">
        <x:f>IF('Inputs'!$B$51&gt;0,AG2734/('Inputs'!$B$19*'Inputs'!$B$51)*365,0)</x:f>
        <x:v>12584.367553829637</x:v>
      </x:c>
      <x:c r="AK2734" s="81" t="n">
        <x:f>W2734/MAX($W$2559:W2734)-1</x:f>
        <x:v>-0.4659073357317831</x:v>
      </x:c>
      <x:c r="AL2734" s="83" t="n">
        <x:f>'Inputs'!$B$51</x:f>
        <x:v>1</x:v>
      </x:c>
      <x:c r="AM2734" s="83" t="n">
        <x:f>'Inputs'!$C$51</x:f>
        <x:v>2</x:v>
      </x:c>
      <x:c r="AN2734" s="83" t="n">
        <x:f>'Inputs'!$D$51</x:f>
        <x:v>3</x:v>
      </x:c>
      <x:c r="AO2734" s="81" t="n">
        <x:f>'Inputs'!$E$51</x:f>
        <x:v>0.1</x:v>
      </x:c>
    </x:row>
    <x:row r="2735">
      <x:c r="A2735" s="59" t="str">
        <x:v>High demand</x:v>
      </x:c>
      <x:c r="B2735" s="59" t="n">
        <x:v>177</x:v>
      </x:c>
      <x:c r="C2735" s="78" t="n">
        <x:f>(('Inputs'!$B$29*(3*177*'Inputs'!$B$12-177^2)/(2*'Inputs'!$B$12^2))-('Inputs'!$B$29*(3*176*'Inputs'!$B$12-176^2)/(2*'Inputs'!$B$12^2)))*'Inputs'!$B$51</x:f>
        <x:v>654604.7569900602</x:v>
      </x:c>
      <x:c r="D2735" s="78" t="n">
        <x:f>IF('Inputs'!$C$51&gt;0,('Inputs'!$B$30*(3*177*'Inputs'!$B$12-177^2)/(2*'Inputs'!$B$12^2))-('Inputs'!$B$30*(3*176*'Inputs'!$B$12-176^2)/(2*'Inputs'!$B$12^2)),0)</x:f>
        <x:v>280544.8958528787</x:v>
      </x:c>
      <x:c r="E2735" s="78" t="n">
        <x:f>C2735+D2735</x:f>
        <x:v>935149.6528429389</x:v>
      </x:c>
      <x:c r="F2735" s="78" t="n">
        <x:f>'Inputs'!$B$13*E2735+(1-'Inputs'!$B$13)/'Inputs'!$B$14*SUM(E2680:E2735)</x:f>
        <x:v>945367.3297053867</x:v>
      </x:c>
      <x:c r="G2735" s="78" t="n">
        <x:f>F2735*'Inputs'!$F$51</x:f>
        <x:v>236341.83242634666</x:v>
      </x:c>
      <x:c r="H2735" s="78" t="n">
        <x:f>U2734</x:f>
        <x:v>534241.6822888418</x:v>
      </x:c>
      <x:c r="I2735" s="78" t="n">
        <x:f>V2734</x:f>
        <x:v>281242.8591427508</x:v>
      </x:c>
      <x:c r="J2735" s="79" t="n">
        <x:f>IF(H2735&gt;0,I2735/H2735,0)</x:f>
        <x:v>0.5264337629700235</x:v>
      </x:c>
      <x:c r="K2735" s="80" t="n">
        <x:f>(H2735*J2735+I2735)*'Inputs'!$D$51*(1+'Inputs'!$G$51)^(B2735/30)</x:f>
        <x:v>2250347.6656070193</x:v>
      </x:c>
      <x:c r="L2735" s="80" t="n">
        <x:f>MAX(0,K2735*'Inputs'!$E$51)</x:f>
        <x:v>225034.76656070194</x:v>
      </x:c>
      <x:c r="M2735" s="80" t="n">
        <x:f>MAX(0,-K2735*'Inputs'!$E$51)</x:f>
        <x:v>0</x:v>
      </x:c>
      <x:c r="N2735" s="78" t="n">
        <x:f>H2735*(L2735*(1-'Inputs'!$B$15))/(I2735+L2735*(1-'Inputs'!$B$15))</x:f>
        <x:v>236139.44705849962</x:v>
      </x:c>
      <x:c r="O2735" s="78" t="n">
        <x:f>H2735-N2735</x:f>
        <x:v>298102.2352303422</x:v>
      </x:c>
      <x:c r="P2735" s="78" t="n">
        <x:f>I2735+L2735*(1-'Inputs'!$B$17)</x:f>
        <x:v>505372.0532022024</x:v>
      </x:c>
      <x:c r="Q2735" s="78" t="n">
        <x:f>IF(J2735&gt;0,M2735/J2735,0)</x:f>
        <x:v>0</x:v>
      </x:c>
      <x:c r="R2735" s="78" t="n">
        <x:f>IF(B2735='Inputs'!$H$51,'Inputs'!$B$27*'Inputs'!$I$51,0)</x:f>
        <x:v>0</x:v>
      </x:c>
      <x:c r="S2735" s="78" t="n">
        <x:f>Q2735+G2735+R2735</x:f>
        <x:v>236341.83242634666</x:v>
      </x:c>
      <x:c r="T2735" s="78" t="n">
        <x:f>P2735*(S2735*(1-'Inputs'!$B$15))/(O2735+S2735*(1-'Inputs'!$B$15))</x:f>
        <x:v>222233.51232209327</x:v>
      </x:c>
      <x:c r="U2735" s="78" t="n">
        <x:f>O2735+S2735*(1-'Inputs'!$B$17)</x:f>
        <x:v>533492.9938843495</x:v>
      </x:c>
      <x:c r="V2735" s="78" t="n">
        <x:f>P2735-T2735</x:f>
        <x:v>283138.5408801092</x:v>
      </x:c>
      <x:c r="W2735" s="79" t="n">
        <x:f>IF(U2735&gt;0,V2735/U2735,0)</x:f>
        <x:v>0.5307258841743814</x:v>
      </x:c>
      <x:c r="X2735" s="80" t="n">
        <x:f>W2735*('Inputs'!$B$6-AC2735)</x:f>
        <x:v>529896073.2445917</x:v>
      </x:c>
      <x:c r="Y2735" s="80" t="n">
        <x:f>2*V2735</x:f>
        <x:v>566277.0817602184</x:v>
      </x:c>
      <x:c r="Z2735" s="80" t="n">
        <x:f>K2735*'Inputs'!$B$16+(G2735+R2735)*J2735*'Inputs'!$B$16</x:f>
        <x:v>14248.59591479071</x:v>
      </x:c>
      <x:c r="AA2735" s="80" t="n">
        <x:f>K2735*(1+'Inputs'!$E$51)/2*'Inputs'!$B$17</x:f>
        <x:v>4980.648756876703</x:v>
      </x:c>
      <x:c r="AB2735" s="78" t="n">
        <x:f>(IF(J2735&gt;0,K2735*(1-'Inputs'!$E$51)/2/J2735,0)+G2735+R2735)*'Inputs'!$B$17</x:f>
        <x:v>8691.983535869234</x:v>
      </x:c>
      <x:c r="AC2735" s="78" t="n">
        <x:f>AC2734+AB2735</x:f>
        <x:v>1563539.5870705298</x:v>
      </x:c>
      <x:c r="AD2735" s="80" t="n">
        <x:f>Z2735/(1+'Inputs'!$C$51)</x:f>
        <x:v>4749.5319715969035</x:v>
      </x:c>
      <x:c r="AE2735" s="80" t="n">
        <x:f>Z2735-AD2735</x:f>
        <x:v>9499.063943193807</x:v>
      </x:c>
      <x:c r="AF2735" s="80" t="n">
        <x:f>D2735*W2735</x:f>
        <x:v>148892.4379021288</x:v>
      </x:c>
      <x:c r="AG2735" s="80" t="n">
        <x:f>C2735*W2735</x:f>
        <x:v>347415.68843830575</x:v>
      </x:c>
      <x:c r="AH2735" s="80" t="n">
        <x:f>2*'Inputs'!$B$8*'Inputs'!$C$51</x:f>
        <x:v>10000</x:v>
      </x:c>
      <x:c r="AI2735" s="81" t="n">
        <x:f>IF(AH2735&gt;0,(AE2735+AF2735)/AH2735*365,0)</x:f>
        <x:v>5781.289817354275</x:v>
      </x:c>
      <x:c r="AJ2735" s="81" t="n">
        <x:f>IF('Inputs'!$B$51&gt;0,AG2735/('Inputs'!$B$19*'Inputs'!$B$51)*365,0)</x:f>
        <x:v>12680.672627998161</x:v>
      </x:c>
      <x:c r="AK2735" s="81" t="n">
        <x:f>W2735/MAX($W$2559:W2735)-1</x:f>
        <x:v>-0.4615527699522928</x:v>
      </x:c>
      <x:c r="AL2735" s="83" t="n">
        <x:f>'Inputs'!$B$51</x:f>
        <x:v>1</x:v>
      </x:c>
      <x:c r="AM2735" s="83" t="n">
        <x:f>'Inputs'!$C$51</x:f>
        <x:v>2</x:v>
      </x:c>
      <x:c r="AN2735" s="83" t="n">
        <x:f>'Inputs'!$D$51</x:f>
        <x:v>3</x:v>
      </x:c>
      <x:c r="AO2735" s="81" t="n">
        <x:f>'Inputs'!$E$51</x:f>
        <x:v>0.1</x:v>
      </x:c>
    </x:row>
    <x:row r="2736">
      <x:c r="A2736" s="59" t="str">
        <x:v>High demand</x:v>
      </x:c>
      <x:c r="B2736" s="59" t="n">
        <x:v>178</x:v>
      </x:c>
      <x:c r="C2736" s="78" t="n">
        <x:f>(('Inputs'!$B$29*(3*178*'Inputs'!$B$12-178^2)/(2*'Inputs'!$B$12^2))-('Inputs'!$B$29*(3*177*'Inputs'!$B$12-177^2)/(2*'Inputs'!$B$12^2)))*'Inputs'!$B$51</x:f>
        <x:v>654279.6490898877</x:v>
      </x:c>
      <x:c r="D2736" s="78" t="n">
        <x:f>IF('Inputs'!$C$51&gt;0,('Inputs'!$B$30*(3*178*'Inputs'!$B$12-178^2)/(2*'Inputs'!$B$12^2))-('Inputs'!$B$30*(3*177*'Inputs'!$B$12-177^2)/(2*'Inputs'!$B$12^2)),0)</x:f>
        <x:v>280405.5638956651</x:v>
      </x:c>
      <x:c r="E2736" s="78" t="n">
        <x:f>C2736+D2736</x:f>
        <x:v>934685.2129855528</x:v>
      </x:c>
      <x:c r="F2736" s="78" t="n">
        <x:f>'Inputs'!$B$13*E2736+(1-'Inputs'!$B$13)/'Inputs'!$B$14*SUM(E2681:E2736)</x:f>
        <x:v>944902.889848002</x:v>
      </x:c>
      <x:c r="G2736" s="78" t="n">
        <x:f>F2736*'Inputs'!$F$51</x:f>
        <x:v>236225.7224620005</x:v>
      </x:c>
      <x:c r="H2736" s="78" t="n">
        <x:f>U2735</x:f>
        <x:v>533492.9938843495</x:v>
      </x:c>
      <x:c r="I2736" s="78" t="n">
        <x:f>V2735</x:f>
        <x:v>283138.5408801092</x:v>
      </x:c>
      <x:c r="J2736" s="79" t="n">
        <x:f>IF(H2736&gt;0,I2736/H2736,0)</x:f>
        <x:v>0.5307258841743814</x:v>
      </x:c>
      <x:c r="K2736" s="80" t="n">
        <x:f>(H2736*J2736+I2736)*'Inputs'!$D$51*(1+'Inputs'!$G$51)^(B2736/30)</x:f>
        <x:v>2269203.3420409616</x:v>
      </x:c>
      <x:c r="L2736" s="80" t="n">
        <x:f>MAX(0,K2736*'Inputs'!$E$51)</x:f>
        <x:v>226920.33420409617</x:v>
      </x:c>
      <x:c r="M2736" s="80" t="n">
        <x:f>MAX(0,-K2736*'Inputs'!$E$51)</x:f>
        <x:v>0</x:v>
      </x:c>
      <x:c r="N2736" s="78" t="n">
        <x:f>H2736*(L2736*(1-'Inputs'!$B$15))/(I2736+L2736*(1-'Inputs'!$B$15))</x:f>
        <x:v>236022.5326598561</x:v>
      </x:c>
      <x:c r="O2736" s="78" t="n">
        <x:f>H2736-N2736</x:f>
        <x:v>297470.46122449334</x:v>
      </x:c>
      <x:c r="P2736" s="78" t="n">
        <x:f>I2736+L2736*(1-'Inputs'!$B$17)</x:f>
        <x:v>509145.7147855973</x:v>
      </x:c>
      <x:c r="Q2736" s="78" t="n">
        <x:f>IF(J2736&gt;0,M2736/J2736,0)</x:f>
        <x:v>0</x:v>
      </x:c>
      <x:c r="R2736" s="78" t="n">
        <x:f>IF(B2736='Inputs'!$H$51,'Inputs'!$B$27*'Inputs'!$I$51,0)</x:f>
        <x:v>0</x:v>
      </x:c>
      <x:c r="S2736" s="78" t="n">
        <x:f>Q2736+G2736+R2736</x:f>
        <x:v>236225.7224620005</x:v>
      </x:c>
      <x:c r="T2736" s="78" t="n">
        <x:f>P2736*(S2736*(1-'Inputs'!$B$15))/(O2736+S2736*(1-'Inputs'!$B$15))</x:f>
        <x:v>224097.4559321063</x:v>
      </x:c>
      <x:c r="U2736" s="78" t="n">
        <x:f>O2736+S2736*(1-'Inputs'!$B$17)</x:f>
        <x:v>532745.5771574717</x:v>
      </x:c>
      <x:c r="V2736" s="78" t="n">
        <x:f>P2736-T2736</x:f>
        <x:v>285048.258853491</x:v>
      </x:c>
      <x:c r="W2736" s="79" t="n">
        <x:f>IF(U2736&gt;0,V2736/U2736,0)</x:f>
        <x:v>0.5350551390297792</x:v>
      </x:c>
      <x:c r="X2736" s="80" t="n">
        <x:f>W2736*('Inputs'!$B$6-AC2736)</x:f>
        <x:v>534213907.7705111</x:v>
      </x:c>
      <x:c r="Y2736" s="80" t="n">
        <x:f>2*V2736</x:f>
        <x:v>570096.517706982</x:v>
      </x:c>
      <x:c r="Z2736" s="80" t="n">
        <x:f>K2736*'Inputs'!$B$16+(G2736+R2736)*J2736*'Inputs'!$B$16</x:f>
        <x:v>14367.446684756032</x:v>
      </x:c>
      <x:c r="AA2736" s="80" t="n">
        <x:f>K2736*(1+'Inputs'!$E$51)/2*'Inputs'!$B$17</x:f>
        <x:v>5022.381642344181</x:v>
      </x:c>
      <x:c r="AB2736" s="78" t="n">
        <x:f>(IF(J2736&gt;0,K2736*(1-'Inputs'!$E$51)/2/J2736,0)+G2736+R2736)*'Inputs'!$B$17</x:f>
        <x:v>8693.250078674173</x:v>
      </x:c>
      <x:c r="AC2736" s="78" t="n">
        <x:f>AC2735+AB2736</x:f>
        <x:v>1572232.837149204</x:v>
      </x:c>
      <x:c r="AD2736" s="80" t="n">
        <x:f>Z2736/(1+'Inputs'!$C$51)</x:f>
        <x:v>4789.148894918678</x:v>
      </x:c>
      <x:c r="AE2736" s="80" t="n">
        <x:f>Z2736-AD2736</x:f>
        <x:v>9578.297789837354</x:v>
      </x:c>
      <x:c r="AF2736" s="80" t="n">
        <x:f>D2736*W2736</x:f>
        <x:v>150032.43797491872</x:v>
      </x:c>
      <x:c r="AG2736" s="80" t="n">
        <x:f>C2736*W2736</x:f>
        <x:v>350075.68860814505</x:v>
      </x:c>
      <x:c r="AH2736" s="80" t="n">
        <x:f>2*'Inputs'!$B$8*'Inputs'!$C$51</x:f>
        <x:v>10000</x:v>
      </x:c>
      <x:c r="AI2736" s="81" t="n">
        <x:f>IF(AH2736&gt;0,(AE2736+AF2736)/AH2736*365,0)</x:f>
        <x:v>5825.791855413597</x:v>
      </x:c>
      <x:c r="AJ2736" s="81" t="n">
        <x:f>IF('Inputs'!$B$51&gt;0,AG2736/('Inputs'!$B$19*'Inputs'!$B$51)*365,0)</x:f>
        <x:v>12777.762634197294</x:v>
      </x:c>
      <x:c r="AK2736" s="81" t="n">
        <x:f>W2736/MAX($W$2559:W2736)-1</x:f>
        <x:v>-0.4571605302772187</x:v>
      </x:c>
      <x:c r="AL2736" s="83" t="n">
        <x:f>'Inputs'!$B$51</x:f>
        <x:v>1</x:v>
      </x:c>
      <x:c r="AM2736" s="83" t="n">
        <x:f>'Inputs'!$C$51</x:f>
        <x:v>2</x:v>
      </x:c>
      <x:c r="AN2736" s="83" t="n">
        <x:f>'Inputs'!$D$51</x:f>
        <x:v>3</x:v>
      </x:c>
      <x:c r="AO2736" s="81" t="n">
        <x:f>'Inputs'!$E$51</x:f>
        <x:v>0.1</x:v>
      </x:c>
    </x:row>
    <x:row r="2737">
      <x:c r="A2737" s="59" t="str">
        <x:v>High demand</x:v>
      </x:c>
      <x:c r="B2737" s="59" t="n">
        <x:v>179</x:v>
      </x:c>
      <x:c r="C2737" s="78" t="n">
        <x:f>(('Inputs'!$B$29*(3*179*'Inputs'!$B$12-179^2)/(2*'Inputs'!$B$12^2))-('Inputs'!$B$29*(3*178*'Inputs'!$B$12-178^2)/(2*'Inputs'!$B$12^2)))*'Inputs'!$B$51</x:f>
        <x:v>653954.5411897153</x:v>
      </x:c>
      <x:c r="D2737" s="78" t="n">
        <x:f>IF('Inputs'!$C$51&gt;0,('Inputs'!$B$30*(3*179*'Inputs'!$B$12-179^2)/(2*'Inputs'!$B$12^2))-('Inputs'!$B$30*(3*178*'Inputs'!$B$12-178^2)/(2*'Inputs'!$B$12^2)),0)</x:f>
        <x:v>280266.2319384515</x:v>
      </x:c>
      <x:c r="E2737" s="78" t="n">
        <x:f>C2737+D2737</x:f>
        <x:v>934220.7731281668</x:v>
      </x:c>
      <x:c r="F2737" s="78" t="n">
        <x:f>'Inputs'!$B$13*E2737+(1-'Inputs'!$B$13)/'Inputs'!$B$14*SUM(E2682:E2737)</x:f>
        <x:v>944438.4499906176</x:v>
      </x:c>
      <x:c r="G2737" s="78" t="n">
        <x:f>F2737*'Inputs'!$F$51</x:f>
        <x:v>236109.6124976544</x:v>
      </x:c>
      <x:c r="H2737" s="78" t="n">
        <x:f>U2736</x:f>
        <x:v>532745.5771574717</x:v>
      </x:c>
      <x:c r="I2737" s="78" t="n">
        <x:f>V2736</x:f>
        <x:v>285048.258853491</x:v>
      </x:c>
      <x:c r="J2737" s="79" t="n">
        <x:f>IF(H2737&gt;0,I2737/H2737,0)</x:f>
        <x:v>0.5350551390297792</x:v>
      </x:c>
      <x:c r="K2737" s="80" t="n">
        <x:f>(H2737*J2737+I2737)*'Inputs'!$D$51*(1+'Inputs'!$G$51)^(B2737/30)</x:f>
        <x:v>2288227.113995962</x:v>
      </x:c>
      <x:c r="L2737" s="80" t="n">
        <x:f>MAX(0,K2737*'Inputs'!$E$51)</x:f>
        <x:v>228822.71139959618</x:v>
      </x:c>
      <x:c r="M2737" s="80" t="n">
        <x:f>MAX(0,-K2737*'Inputs'!$E$51)</x:f>
        <x:v>0</x:v>
      </x:c>
      <x:c r="N2737" s="78" t="n">
        <x:f>H2737*(L2737*(1-'Inputs'!$B$15))/(I2737+L2737*(1-'Inputs'!$B$15))</x:f>
        <x:v>235905.62073355532</x:v>
      </x:c>
      <x:c r="O2737" s="78" t="n">
        <x:f>H2737-N2737</x:f>
        <x:v>296839.9564239164</x:v>
      </x:c>
      <x:c r="P2737" s="78" t="n">
        <x:f>I2737+L2737*(1-'Inputs'!$B$17)</x:f>
        <x:v>512950.1545130486</x:v>
      </x:c>
      <x:c r="Q2737" s="78" t="n">
        <x:f>IF(J2737&gt;0,M2737/J2737,0)</x:f>
        <x:v>0</x:v>
      </x:c>
      <x:c r="R2737" s="78" t="n">
        <x:f>IF(B2737='Inputs'!$H$51,'Inputs'!$B$27*'Inputs'!$I$51,0)</x:f>
        <x:v>0</x:v>
      </x:c>
      <x:c r="S2737" s="78" t="n">
        <x:f>Q2737+G2737+R2737</x:f>
        <x:v>236109.6124976544</x:v>
      </x:c>
      <x:c r="T2737" s="78" t="n">
        <x:f>P2737*(S2737*(1-'Inputs'!$B$15))/(O2737+S2737*(1-'Inputs'!$B$15))</x:f>
        <x:v>225978.02956138892</x:v>
      </x:c>
      <x:c r="U2737" s="78" t="n">
        <x:f>O2737+S2737*(1-'Inputs'!$B$17)</x:f>
        <x:v>531999.429635866</x:v>
      </x:c>
      <x:c r="V2737" s="78" t="n">
        <x:f>P2737-T2737</x:f>
        <x:v>286972.1249516597</x:v>
      </x:c>
      <x:c r="W2737" s="79" t="n">
        <x:f>IF(U2737&gt;0,V2737/U2737,0)</x:f>
        <x:v>0.5394218658243328</x:v>
      </x:c>
      <x:c r="X2737" s="80" t="n">
        <x:f>W2737*('Inputs'!$B$6-AC2737)</x:f>
        <x:v>538569079.0394752</x:v>
      </x:c>
      <x:c r="Y2737" s="80" t="n">
        <x:f>2*V2737</x:f>
        <x:v>573944.2499033194</x:v>
      </x:c>
      <x:c r="Z2737" s="80" t="n">
        <x:f>K2737*'Inputs'!$B$16+(G2737+R2737)*J2737*'Inputs'!$B$16</x:f>
        <x:v>14487.35265322297</x:v>
      </x:c>
      <x:c r="AA2737" s="80" t="n">
        <x:f>K2737*(1+'Inputs'!$E$51)/2*'Inputs'!$B$17</x:f>
        <x:v>5064.486570212391</x:v>
      </x:c>
      <x:c r="AB2737" s="78" t="n">
        <x:f>(IF(J2737&gt;0,K2737*(1-'Inputs'!$E$51)/2/J2737,0)+G2737+R2737)*'Inputs'!$B$17</x:f>
        <x:v>8694.520243688978</x:v>
      </x:c>
      <x:c r="AC2737" s="78" t="n">
        <x:f>AC2736+AB2737</x:f>
        <x:v>1580927.357392893</x:v>
      </x:c>
      <x:c r="AD2737" s="80" t="n">
        <x:f>Z2737/(1+'Inputs'!$C$51)</x:f>
        <x:v>4829.117551074323</x:v>
      </x:c>
      <x:c r="AE2737" s="80" t="n">
        <x:f>Z2737-AD2737</x:f>
        <x:v>9658.235102148647</x:v>
      </x:c>
      <x:c r="AF2737" s="80" t="n">
        <x:f>D2737*W2737</x:f>
        <x:v>151181.73375979473</x:v>
      </x:c>
      <x:c r="AG2737" s="80" t="n">
        <x:f>C2737*W2737</x:f>
        <x:v>352757.3787728517</x:v>
      </x:c>
      <x:c r="AH2737" s="80" t="n">
        <x:f>2*'Inputs'!$B$8*'Inputs'!$C$51</x:f>
        <x:v>10000</x:v>
      </x:c>
      <x:c r="AI2737" s="81" t="n">
        <x:f>IF(AH2737&gt;0,(AE2737+AF2737)/AH2737*365,0)</x:f>
        <x:v>5870.658863460933</x:v>
      </x:c>
      <x:c r="AJ2737" s="81" t="n">
        <x:f>IF('Inputs'!$B$51&gt;0,AG2737/('Inputs'!$B$19*'Inputs'!$B$51)*365,0)</x:f>
        <x:v>12875.644325209088</x:v>
      </x:c>
      <x:c r="AK2737" s="81" t="n">
        <x:f>W2737/MAX($W$2559:W2737)-1</x:f>
        <x:v>-0.45273027349680894</x:v>
      </x:c>
      <x:c r="AL2737" s="83" t="n">
        <x:f>'Inputs'!$B$51</x:f>
        <x:v>1</x:v>
      </x:c>
      <x:c r="AM2737" s="83" t="n">
        <x:f>'Inputs'!$C$51</x:f>
        <x:v>2</x:v>
      </x:c>
      <x:c r="AN2737" s="83" t="n">
        <x:f>'Inputs'!$D$51</x:f>
        <x:v>3</x:v>
      </x:c>
      <x:c r="AO2737" s="81" t="n">
        <x:f>'Inputs'!$E$51</x:f>
        <x:v>0.1</x:v>
      </x:c>
    </x:row>
    <x:row r="2738">
      <x:c r="A2738" s="59" t="str">
        <x:v>High demand</x:v>
      </x:c>
      <x:c r="B2738" s="59" t="n">
        <x:v>180</x:v>
      </x:c>
      <x:c r="C2738" s="78" t="n">
        <x:f>(('Inputs'!$B$29*(3*180*'Inputs'!$B$12-180^2)/(2*'Inputs'!$B$12^2))-('Inputs'!$B$29*(3*179*'Inputs'!$B$12-179^2)/(2*'Inputs'!$B$12^2)))*'Inputs'!$B$51</x:f>
        <x:v>653629.4332895428</x:v>
      </x:c>
      <x:c r="D2738" s="78" t="n">
        <x:f>IF('Inputs'!$C$51&gt;0,('Inputs'!$B$30*(3*180*'Inputs'!$B$12-180^2)/(2*'Inputs'!$B$12^2))-('Inputs'!$B$30*(3*179*'Inputs'!$B$12-179^2)/(2*'Inputs'!$B$12^2)),0)</x:f>
        <x:v>280126.8999812305</x:v>
      </x:c>
      <x:c r="E2738" s="78" t="n">
        <x:f>C2738+D2738</x:f>
        <x:v>933756.3332707733</x:v>
      </x:c>
      <x:c r="F2738" s="78" t="n">
        <x:f>'Inputs'!$B$13*E2738+(1-'Inputs'!$B$13)/'Inputs'!$B$14*SUM(E2683:E2738)</x:f>
        <x:v>943974.0101332314</x:v>
      </x:c>
      <x:c r="G2738" s="78" t="n">
        <x:f>F2738*'Inputs'!$F$51</x:f>
        <x:v>235993.50253330785</x:v>
      </x:c>
      <x:c r="H2738" s="78" t="n">
        <x:f>U2737</x:f>
        <x:v>531999.429635866</x:v>
      </x:c>
      <x:c r="I2738" s="78" t="n">
        <x:f>V2737</x:f>
        <x:v>286972.1249516597</x:v>
      </x:c>
      <x:c r="J2738" s="79" t="n">
        <x:f>IF(H2738&gt;0,I2738/H2738,0)</x:f>
        <x:v>0.5394218658243328</x:v>
      </x:c>
      <x:c r="K2738" s="80" t="n">
        <x:f>(H2738*J2738+I2738)*'Inputs'!$D$51*(1+'Inputs'!$G$51)^(B2738/30)</x:f>
        <x:v>2307420.561771672</x:v>
      </x:c>
      <x:c r="L2738" s="80" t="n">
        <x:f>MAX(0,K2738*'Inputs'!$E$51)</x:f>
        <x:v>230742.05617716722</x:v>
      </x:c>
      <x:c r="M2738" s="80" t="n">
        <x:f>MAX(0,-K2738*'Inputs'!$E$51)</x:f>
        <x:v>0</x:v>
      </x:c>
      <x:c r="N2738" s="78" t="n">
        <x:f>H2738*(L2738*(1-'Inputs'!$B$15))/(I2738+L2738*(1-'Inputs'!$B$15))</x:f>
        <x:v>235788.71127488138</x:v>
      </x:c>
      <x:c r="O2738" s="78" t="n">
        <x:f>H2738-N2738</x:f>
        <x:v>296210.7183609846</x:v>
      </x:c>
      <x:c r="P2738" s="78" t="n">
        <x:f>I2738+L2738*(1-'Inputs'!$B$17)</x:f>
        <x:v>516785.6416673494</x:v>
      </x:c>
      <x:c r="Q2738" s="78" t="n">
        <x:f>IF(J2738&gt;0,M2738/J2738,0)</x:f>
        <x:v>0</x:v>
      </x:c>
      <x:c r="R2738" s="78" t="n">
        <x:f>IF(B2738='Inputs'!$H$51,'Inputs'!$B$27*'Inputs'!$I$51,0)</x:f>
        <x:v>0</x:v>
      </x:c>
      <x:c r="S2738" s="78" t="n">
        <x:f>Q2738+G2738+R2738</x:f>
        <x:v>235993.50253330785</x:v>
      </x:c>
      <x:c r="T2738" s="78" t="n">
        <x:f>P2738*(S2738*(1-'Inputs'!$B$15))/(O2738+S2738*(1-'Inputs'!$B$15))</x:f>
        <x:v>227875.38965646533</x:v>
      </x:c>
      <x:c r="U2738" s="78" t="n">
        <x:f>O2738+S2738*(1-'Inputs'!$B$17)</x:f>
        <x:v>531254.5488519049</x:v>
      </x:c>
      <x:c r="V2738" s="78" t="n">
        <x:f>P2738-T2738</x:f>
        <x:v>288910.25201088405</x:v>
      </x:c>
      <x:c r="W2738" s="79" t="n">
        <x:f>IF(U2738&gt;0,V2738/U2738,0)</x:f>
        <x:v>0.543826406070778</x:v>
      </x:c>
      <x:c r="X2738" s="80" t="n">
        <x:f>W2738*('Inputs'!$B$6-AC2738)</x:f>
        <x:v>542961927.0253316</x:v>
      </x:c>
      <x:c r="Y2738" s="80" t="n">
        <x:f>2*V2738</x:f>
        <x:v>577820.5040217681</x:v>
      </x:c>
      <x:c r="Z2738" s="80" t="n">
        <x:f>K2738*'Inputs'!$B$16+(G2738+R2738)*J2738*'Inputs'!$B$16</x:f>
        <x:v>14608.323703383652</x:v>
      </x:c>
      <x:c r="AA2738" s="80" t="n">
        <x:f>K2738*(1+'Inputs'!$E$51)/2*'Inputs'!$B$17</x:f>
        <x:v>5106.967038126438</x:v>
      </x:c>
      <x:c r="AB2738" s="78" t="n">
        <x:f>(IF(J2738&gt;0,K2738*(1-'Inputs'!$E$51)/2/J2738,0)+G2738+R2738)*'Inputs'!$B$17</x:f>
        <x:v>8695.794032202562</x:v>
      </x:c>
      <x:c r="AC2738" s="78" t="n">
        <x:f>AC2737+AB2738</x:f>
        <x:v>1589623.1514250955</x:v>
      </x:c>
      <x:c r="AD2738" s="80" t="n">
        <x:f>Z2738/(1+'Inputs'!$C$51)</x:f>
        <x:v>4869.441234461217</x:v>
      </x:c>
      <x:c r="AE2738" s="80" t="n">
        <x:f>Z2738-AD2738</x:f>
        <x:v>9738.882468922435</x:v>
      </x:c>
      <x:c r="AF2738" s="80" t="n">
        <x:f>D2738*W2738</x:f>
        <x:v>152340.4052605409</x:v>
      </x:c>
      <x:c r="AG2738" s="80" t="n">
        <x:f>C2738*W2738</x:f>
        <x:v>355460.9456079314</x:v>
      </x:c>
      <x:c r="AH2738" s="80" t="n">
        <x:f>2*'Inputs'!$B$8*'Inputs'!$C$51</x:f>
        <x:v>10000</x:v>
      </x:c>
      <x:c r="AI2738" s="81" t="n">
        <x:f>IF(AH2738&gt;0,(AE2738+AF2738)/AH2738*365,0)</x:f>
        <x:v>5915.894002125412</x:v>
      </x:c>
      <x:c r="AJ2738" s="81" t="n">
        <x:f>IF('Inputs'!$B$51&gt;0,AG2738/('Inputs'!$B$19*'Inputs'!$B$51)*365,0)</x:f>
        <x:v>12974.324514689497</x:v>
      </x:c>
      <x:c r="AK2738" s="81" t="n">
        <x:f>W2738/MAX($W$2559:W2738)-1</x:f>
        <x:v>-0.44826165312977806</x:v>
      </x:c>
      <x:c r="AL2738" s="83" t="n">
        <x:f>'Inputs'!$B$51</x:f>
        <x:v>1</x:v>
      </x:c>
      <x:c r="AM2738" s="83" t="n">
        <x:f>'Inputs'!$C$51</x:f>
        <x:v>2</x:v>
      </x:c>
      <x:c r="AN2738" s="83" t="n">
        <x:f>'Inputs'!$D$51</x:f>
        <x:v>3</x:v>
      </x:c>
      <x:c r="AO2738" s="81" t="n">
        <x:f>'Inputs'!$E$51</x:f>
        <x:v>0.1</x:v>
      </x:c>
    </x:row>
    <x:row r="2739">
      <x:c r="A2739" s="59" t="str">
        <x:v>High demand</x:v>
      </x:c>
      <x:c r="B2739" s="59" t="n">
        <x:v>181</x:v>
      </x:c>
      <x:c r="C2739" s="78" t="n">
        <x:f>(('Inputs'!$B$29*(3*181*'Inputs'!$B$12-181^2)/(2*'Inputs'!$B$12^2))-('Inputs'!$B$29*(3*180*'Inputs'!$B$12-180^2)/(2*'Inputs'!$B$12^2)))*'Inputs'!$B$51</x:f>
        <x:v>653304.3253893852</x:v>
      </x:c>
      <x:c r="D2739" s="78" t="n">
        <x:f>IF('Inputs'!$C$51&gt;0,('Inputs'!$B$30*(3*181*'Inputs'!$B$12-181^2)/(2*'Inputs'!$B$12^2))-('Inputs'!$B$30*(3*180*'Inputs'!$B$12-180^2)/(2*'Inputs'!$B$12^2)),0)</x:f>
        <x:v>279987.56802402437</x:v>
      </x:c>
      <x:c r="E2739" s="78" t="n">
        <x:f>C2739+D2739</x:f>
        <x:v>933291.8934134096</x:v>
      </x:c>
      <x:c r="F2739" s="78" t="n">
        <x:f>'Inputs'!$B$13*E2739+(1-'Inputs'!$B$13)/'Inputs'!$B$14*SUM(E2684:E2739)</x:f>
        <x:v>943509.5702758515</x:v>
      </x:c>
      <x:c r="G2739" s="78" t="n">
        <x:f>F2739*'Inputs'!$F$51</x:f>
        <x:v>235877.39256896288</x:v>
      </x:c>
      <x:c r="H2739" s="78" t="n">
        <x:f>U2738</x:f>
        <x:v>531254.5488519049</x:v>
      </x:c>
      <x:c r="I2739" s="78" t="n">
        <x:f>V2738</x:f>
        <x:v>288910.25201088405</x:v>
      </x:c>
      <x:c r="J2739" s="79" t="n">
        <x:f>IF(H2739&gt;0,I2739/H2739,0)</x:f>
        <x:v>0.543826406070778</x:v>
      </x:c>
      <x:c r="K2739" s="80" t="n">
        <x:f>(H2739*J2739+I2739)*'Inputs'!$D$51*(1+'Inputs'!$G$51)^(B2739/30)</x:f>
        <x:v>2326785.2812248496</x:v>
      </x:c>
      <x:c r="L2739" s="80" t="n">
        <x:f>MAX(0,K2739*'Inputs'!$E$51)</x:f>
        <x:v>232678.52812248498</x:v>
      </x:c>
      <x:c r="M2739" s="80" t="n">
        <x:f>MAX(0,-K2739*'Inputs'!$E$51)</x:f>
        <x:v>0</x:v>
      </x:c>
      <x:c r="N2739" s="78" t="n">
        <x:f>H2739*(L2739*(1-'Inputs'!$B$15))/(I2739+L2739*(1-'Inputs'!$B$15))</x:f>
        <x:v>235671.8042791272</x:v>
      </x:c>
      <x:c r="O2739" s="78" t="n">
        <x:f>H2739-N2739</x:f>
        <x:v>295582.74457277777</x:v>
      </x:c>
      <x:c r="P2739" s="78" t="n">
        <x:f>I2739+L2739*(1-'Inputs'!$B$17)</x:f>
        <x:v>520652.4480282484</x:v>
      </x:c>
      <x:c r="Q2739" s="78" t="n">
        <x:f>IF(J2739&gt;0,M2739/J2739,0)</x:f>
        <x:v>0</x:v>
      </x:c>
      <x:c r="R2739" s="78" t="n">
        <x:f>IF(B2739='Inputs'!$H$51,'Inputs'!$B$27*'Inputs'!$I$51,0)</x:f>
        <x:v>0</x:v>
      </x:c>
      <x:c r="S2739" s="78" t="n">
        <x:f>Q2739+G2739+R2739</x:f>
        <x:v>235877.39256896288</x:v>
      </x:c>
      <x:c r="T2739" s="78" t="n">
        <x:f>P2739*(S2739*(1-'Inputs'!$B$15))/(O2739+S2739*(1-'Inputs'!$B$15))</x:f>
        <x:v>229789.69420486805</x:v>
      </x:c>
      <x:c r="U2739" s="78" t="n">
        <x:f>O2739+S2739*(1-'Inputs'!$B$17)</x:f>
        <x:v>530510.9323426704</x:v>
      </x:c>
      <x:c r="V2739" s="78" t="n">
        <x:f>P2739-T2739</x:f>
        <x:v>290862.75382338034</x:v>
      </x:c>
      <x:c r="W2739" s="79" t="n">
        <x:f>IF(U2739&gt;0,V2739/U2739,0)</x:f>
        <x:v>0.5482691045384617</x:v>
      </x:c>
      <x:c r="X2739" s="80" t="n">
        <x:f>W2739*('Inputs'!$B$6-AC2739)</x:f>
        <x:v>547392794.9411027</x:v>
      </x:c>
      <x:c r="Y2739" s="80" t="n">
        <x:f>2*V2739</x:f>
        <x:v>581725.5076467607</x:v>
      </x:c>
      <x:c r="Z2739" s="80" t="n">
        <x:f>K2739*'Inputs'!$B$16+(G2739+R2739)*J2739*'Inputs'!$B$16</x:f>
        <x:v>14730.36981539385</x:v>
      </x:c>
      <x:c r="AA2739" s="80" t="n">
        <x:f>K2739*(1+'Inputs'!$E$51)/2*'Inputs'!$B$17</x:f>
        <x:v>5149.826578163652</x:v>
      </x:c>
      <x:c r="AB2739" s="78" t="n">
        <x:f>(IF(J2739&gt;0,K2739*(1-'Inputs'!$E$51)/2/J2739,0)+G2739+R2739)*'Inputs'!$B$17</x:f>
        <x:v>8697.071445499003</x:v>
      </x:c>
      <x:c r="AC2739" s="78" t="n">
        <x:f>AC2738+AB2739</x:f>
        <x:v>1598320.2228705946</x:v>
      </x:c>
      <x:c r="AD2739" s="80" t="n">
        <x:f>Z2739/(1+'Inputs'!$C$51)</x:f>
        <x:v>4910.12327179795</x:v>
      </x:c>
      <x:c r="AE2739" s="80" t="n">
        <x:f>Z2739-AD2739</x:f>
        <x:v>9820.246543595898</x:v>
      </x:c>
      <x:c r="AF2739" s="80" t="n">
        <x:f>D2739*W2739</x:f>
        <x:v>153508.53320243346</x:v>
      </x:c>
      <x:c r="AG2739" s="80" t="n">
        <x:f>C2739*W2739</x:f>
        <x:v>358186.577472342</x:v>
      </x:c>
      <x:c r="AH2739" s="80" t="n">
        <x:f>2*'Inputs'!$B$8*'Inputs'!$C$51</x:f>
        <x:v>10000</x:v>
      </x:c>
      <x:c r="AI2739" s="81" t="n">
        <x:f>IF(AH2739&gt;0,(AE2739+AF2739)/AH2739*365,0)</x:f>
        <x:v>5961.500460730072</x:v>
      </x:c>
      <x:c r="AJ2739" s="81" t="n">
        <x:f>IF('Inputs'!$B$51&gt;0,AG2739/('Inputs'!$B$19*'Inputs'!$B$51)*365,0)</x:f>
        <x:v>13073.810077740482</x:v>
      </x:c>
      <x:c r="AK2739" s="81" t="n">
        <x:f>W2739/MAX($W$2559:W2739)-1</x:f>
        <x:v>-0.4437543193908504</x:v>
      </x:c>
      <x:c r="AL2739" s="83" t="n">
        <x:f>'Inputs'!$B$51</x:f>
        <x:v>1</x:v>
      </x:c>
      <x:c r="AM2739" s="83" t="n">
        <x:f>'Inputs'!$C$51</x:f>
        <x:v>2</x:v>
      </x:c>
      <x:c r="AN2739" s="83" t="n">
        <x:f>'Inputs'!$D$51</x:f>
        <x:v>3</x:v>
      </x:c>
      <x:c r="AO2739" s="81" t="n">
        <x:f>'Inputs'!$E$51</x:f>
        <x:v>0.1</x:v>
      </x:c>
    </x:row>
    <x:row r="2740">
      <x:c r="A2740" s="59" t="str">
        <x:v>High demand</x:v>
      </x:c>
      <x:c r="B2740" s="59" t="n">
        <x:v>182</x:v>
      </x:c>
      <x:c r="C2740" s="78" t="n">
        <x:f>(('Inputs'!$B$29*(3*182*'Inputs'!$B$12-182^2)/(2*'Inputs'!$B$12^2))-('Inputs'!$B$29*(3*181*'Inputs'!$B$12-181^2)/(2*'Inputs'!$B$12^2)))*'Inputs'!$B$51</x:f>
        <x:v>652979.2174892128</x:v>
      </x:c>
      <x:c r="D2740" s="78" t="n">
        <x:f>IF('Inputs'!$C$51&gt;0,('Inputs'!$B$30*(3*182*'Inputs'!$B$12-182^2)/(2*'Inputs'!$B$12^2))-('Inputs'!$B$30*(3*181*'Inputs'!$B$12-181^2)/(2*'Inputs'!$B$12^2)),0)</x:f>
        <x:v>279848.23606680334</x:v>
      </x:c>
      <x:c r="E2740" s="78" t="n">
        <x:f>C2740+D2740</x:f>
        <x:v>932827.4535560161</x:v>
      </x:c>
      <x:c r="F2740" s="78" t="n">
        <x:f>'Inputs'!$B$13*E2740+(1-'Inputs'!$B$13)/'Inputs'!$B$14*SUM(E2685:E2740)</x:f>
        <x:v>943045.1304184655</x:v>
      </x:c>
      <x:c r="G2740" s="78" t="n">
        <x:f>F2740*'Inputs'!$F$51</x:f>
        <x:v>235761.28260461637</x:v>
      </x:c>
      <x:c r="H2740" s="78" t="n">
        <x:f>U2739</x:f>
        <x:v>530510.9323426704</x:v>
      </x:c>
      <x:c r="I2740" s="78" t="n">
        <x:f>V2739</x:f>
        <x:v>290862.75382338034</x:v>
      </x:c>
      <x:c r="J2740" s="79" t="n">
        <x:f>IF(H2740&gt;0,I2740/H2740,0)</x:f>
        <x:v>0.5482691045384617</x:v>
      </x:c>
      <x:c r="K2740" s="80" t="n">
        <x:f>(H2740*J2740+I2740)*'Inputs'!$D$51*(1+'Inputs'!$G$51)^(B2740/30)</x:f>
        <x:v>2346322.8839288093</x:v>
      </x:c>
      <x:c r="L2740" s="80" t="n">
        <x:f>MAX(0,K2740*'Inputs'!$E$51)</x:f>
        <x:v>234632.28839288093</x:v>
      </x:c>
      <x:c r="M2740" s="80" t="n">
        <x:f>MAX(0,-K2740*'Inputs'!$E$51)</x:f>
        <x:v>0</x:v>
      </x:c>
      <x:c r="N2740" s="78" t="n">
        <x:f>H2740*(L2740*(1-'Inputs'!$B$15))/(I2740+L2740*(1-'Inputs'!$B$15))</x:f>
        <x:v>235554.89974159532</x:v>
      </x:c>
      <x:c r="O2740" s="78" t="n">
        <x:f>H2740-N2740</x:f>
        <x:v>294956.0326010751</x:v>
      </x:c>
      <x:c r="P2740" s="78" t="n">
        <x:f>I2740+L2740*(1-'Inputs'!$B$17)</x:f>
        <x:v>524550.8478967728</x:v>
      </x:c>
      <x:c r="Q2740" s="78" t="n">
        <x:f>IF(J2740&gt;0,M2740/J2740,0)</x:f>
        <x:v>0</x:v>
      </x:c>
      <x:c r="R2740" s="78" t="n">
        <x:f>IF(B2740='Inputs'!$H$51,'Inputs'!$B$27*'Inputs'!$I$51,0)</x:f>
        <x:v>0</x:v>
      </x:c>
      <x:c r="S2740" s="78" t="n">
        <x:f>Q2740+G2740+R2740</x:f>
        <x:v>235761.28260461637</x:v>
      </x:c>
      <x:c r="T2740" s="78" t="n">
        <x:f>P2740*(S2740*(1-'Inputs'!$B$15))/(O2740+S2740*(1-'Inputs'!$B$15))</x:f>
        <x:v>231721.10275093527</x:v>
      </x:c>
      <x:c r="U2740" s="78" t="n">
        <x:f>O2740+S2740*(1-'Inputs'!$B$17)</x:f>
        <x:v>529768.5776499384</x:v>
      </x:c>
      <x:c r="V2740" s="78" t="n">
        <x:f>P2740-T2740</x:f>
        <x:v>292829.74514583754</x:v>
      </x:c>
      <x:c r="W2740" s="79" t="n">
        <x:f>IF(U2740&gt;0,V2740/U2740,0)</x:f>
        <x:v>0.5527503092856787</x:v>
      </x:c>
      <x:c r="X2740" s="80" t="n">
        <x:f>W2740*('Inputs'!$B$6-AC2740)</x:f>
        <x:v>551862029.2711232</x:v>
      </x:c>
      <x:c r="Y2740" s="80" t="n">
        <x:f>2*V2740</x:f>
        <x:v>585659.4902916751</x:v>
      </x:c>
      <x:c r="Z2740" s="80" t="n">
        <x:f>K2740*'Inputs'!$B$16+(G2740+R2740)*J2740*'Inputs'!$B$16</x:f>
        <x:v>14853.50106736369</x:v>
      </x:c>
      <x:c r="AA2740" s="80" t="n">
        <x:f>K2740*(1+'Inputs'!$E$51)/2*'Inputs'!$B$17</x:f>
        <x:v>5193.0687571865</x:v>
      </x:c>
      <x:c r="AB2740" s="78" t="n">
        <x:f>(IF(J2740&gt;0,K2740*(1-'Inputs'!$E$51)/2/J2740,0)+G2740+R2740)*'Inputs'!$B$17</x:f>
        <x:v>8698.352484857533</x:v>
      </x:c>
      <x:c r="AC2740" s="78" t="n">
        <x:f>AC2739+AB2740</x:f>
        <x:v>1607018.575355452</x:v>
      </x:c>
      <x:c r="AD2740" s="80" t="n">
        <x:f>Z2740/(1+'Inputs'!$C$51)</x:f>
        <x:v>4951.167022454563</x:v>
      </x:c>
      <x:c r="AE2740" s="80" t="n">
        <x:f>Z2740-AD2740</x:f>
        <x:v>9902.334044909127</x:v>
      </x:c>
      <x:c r="AF2740" s="80" t="n">
        <x:f>D2740*W2740</x:f>
        <x:v>154686.19903897718</x:v>
      </x:c>
      <x:c r="AG2740" s="80" t="n">
        <x:f>C2740*W2740</x:f>
        <x:v>360934.4644242828</x:v>
      </x:c>
      <x:c r="AH2740" s="80" t="n">
        <x:f>2*'Inputs'!$B$8*'Inputs'!$C$51</x:f>
        <x:v>10000</x:v>
      </x:c>
      <x:c r="AI2740" s="81" t="n">
        <x:f>IF(AH2740&gt;0,(AE2740+AF2740)/AH2740*365,0)</x:f>
        <x:v>6007.481457561851</x:v>
      </x:c>
      <x:c r="AJ2740" s="81" t="n">
        <x:f>IF('Inputs'!$B$51&gt;0,AG2740/('Inputs'!$B$19*'Inputs'!$B$51)*365,0)</x:f>
        <x:v>13174.107951486323</x:v>
      </x:c>
      <x:c r="AK2740" s="81" t="n">
        <x:f>W2740/MAX($W$2559:W2740)-1</x:f>
        <x:v>-0.4392079191579519</x:v>
      </x:c>
      <x:c r="AL2740" s="83" t="n">
        <x:f>'Inputs'!$B$51</x:f>
        <x:v>1</x:v>
      </x:c>
      <x:c r="AM2740" s="83" t="n">
        <x:f>'Inputs'!$C$51</x:f>
        <x:v>2</x:v>
      </x:c>
      <x:c r="AN2740" s="83" t="n">
        <x:f>'Inputs'!$D$51</x:f>
        <x:v>3</x:v>
      </x:c>
      <x:c r="AO2740" s="81" t="n">
        <x:f>'Inputs'!$E$51</x:f>
        <x:v>0.1</x:v>
      </x:c>
    </x:row>
    <x:row r="2741">
      <x:c r="A2741" s="59" t="str">
        <x:v>High demand</x:v>
      </x:c>
      <x:c r="B2741" s="59" t="n">
        <x:v>183</x:v>
      </x:c>
      <x:c r="C2741" s="78" t="n">
        <x:f>(('Inputs'!$B$29*(3*183*'Inputs'!$B$12-183^2)/(2*'Inputs'!$B$12^2))-('Inputs'!$B$29*(3*182*'Inputs'!$B$12-182^2)/(2*'Inputs'!$B$12^2)))*'Inputs'!$B$51</x:f>
        <x:v>652654.1095890403</x:v>
      </x:c>
      <x:c r="D2741" s="78" t="n">
        <x:f>IF('Inputs'!$C$51&gt;0,('Inputs'!$B$30*(3*183*'Inputs'!$B$12-183^2)/(2*'Inputs'!$B$12^2))-('Inputs'!$B$30*(3*182*'Inputs'!$B$12-182^2)/(2*'Inputs'!$B$12^2)),0)</x:f>
        <x:v>279708.90410958976</x:v>
      </x:c>
      <x:c r="E2741" s="78" t="n">
        <x:f>C2741+D2741</x:f>
        <x:v>932363.01369863</x:v>
      </x:c>
      <x:c r="F2741" s="78" t="n">
        <x:f>'Inputs'!$B$13*E2741+(1-'Inputs'!$B$13)/'Inputs'!$B$14*SUM(E2686:E2741)</x:f>
        <x:v>942580.690561081</x:v>
      </x:c>
      <x:c r="G2741" s="78" t="n">
        <x:f>F2741*'Inputs'!$F$51</x:f>
        <x:v>235645.17264027026</x:v>
      </x:c>
      <x:c r="H2741" s="78" t="n">
        <x:f>U2740</x:f>
        <x:v>529768.5776499384</x:v>
      </x:c>
      <x:c r="I2741" s="78" t="n">
        <x:f>V2740</x:f>
        <x:v>292829.74514583754</x:v>
      </x:c>
      <x:c r="J2741" s="79" t="n">
        <x:f>IF(H2741&gt;0,I2741/H2741,0)</x:f>
        <x:v>0.5527503092856787</x:v>
      </x:c>
      <x:c r="K2741" s="80" t="n">
        <x:f>(H2741*J2741+I2741)*'Inputs'!$D$51*(1+'Inputs'!$G$51)^(B2741/30)</x:f>
        <x:v>2366034.997334614</x:v>
      </x:c>
      <x:c r="L2741" s="80" t="n">
        <x:f>MAX(0,K2741*'Inputs'!$E$51)</x:f>
        <x:v>236603.49973346142</x:v>
      </x:c>
      <x:c r="M2741" s="80" t="n">
        <x:f>MAX(0,-K2741*'Inputs'!$E$51)</x:f>
        <x:v>0</x:v>
      </x:c>
      <x:c r="N2741" s="78" t="n">
        <x:f>H2741*(L2741*(1-'Inputs'!$B$15))/(I2741+L2741*(1-'Inputs'!$B$15))</x:f>
        <x:v>235437.9976575958</x:v>
      </x:c>
      <x:c r="O2741" s="78" t="n">
        <x:f>H2741-N2741</x:f>
        <x:v>294330.5799923426</x:v>
      </x:c>
      <x:c r="P2741" s="78" t="n">
        <x:f>I2741+L2741*(1-'Inputs'!$B$17)</x:f>
        <x:v>528481.1181198081</x:v>
      </x:c>
      <x:c r="Q2741" s="78" t="n">
        <x:f>IF(J2741&gt;0,M2741/J2741,0)</x:f>
        <x:v>0</x:v>
      </x:c>
      <x:c r="R2741" s="78" t="n">
        <x:f>IF(B2741='Inputs'!$H$51,'Inputs'!$B$27*'Inputs'!$I$51,0)</x:f>
        <x:v>0</x:v>
      </x:c>
      <x:c r="S2741" s="78" t="n">
        <x:f>Q2741+G2741+R2741</x:f>
        <x:v>235645.17264027026</x:v>
      </x:c>
      <x:c r="T2741" s="78" t="n">
        <x:f>P2741*(S2741*(1-'Inputs'!$B$15))/(O2741+S2741*(1-'Inputs'!$B$15))</x:f>
        <x:v>233669.77641179287</x:v>
      </x:c>
      <x:c r="U2741" s="78" t="n">
        <x:f>O2741+S2741*(1-'Inputs'!$B$17)</x:f>
        <x:v>529027.4823201771</x:v>
      </x:c>
      <x:c r="V2741" s="78" t="n">
        <x:f>P2741-T2741</x:f>
        <x:v>294811.3417080153</x:v>
      </x:c>
      <x:c r="W2741" s="79" t="n">
        <x:f>IF(U2741&gt;0,V2741/U2741,0)</x:f>
        <x:v>0.5572703716923161</x:v>
      </x:c>
      <x:c r="X2741" s="80" t="n">
        <x:f>W2741*('Inputs'!$B$6-AC2741)</x:f>
        <x:v>556369979.8034823</x:v>
      </x:c>
      <x:c r="Y2741" s="80" t="n">
        <x:f>2*V2741</x:f>
        <x:v>589622.6834160306</x:v>
      </x:c>
      <x:c r="Z2741" s="80" t="n">
        <x:f>K2741*'Inputs'!$B$16+(G2741+R2741)*J2741*'Inputs'!$B$16</x:f>
        <x:v>14977.727636359203</x:v>
      </x:c>
      <x:c r="AA2741" s="80" t="n">
        <x:f>K2741*(1+'Inputs'!$E$51)/2*'Inputs'!$B$17</x:f>
        <x:v>5236.697177199348</x:v>
      </x:c>
      <x:c r="AB2741" s="78" t="n">
        <x:f>(IF(J2741&gt;0,K2741*(1-'Inputs'!$E$51)/2/J2741,0)+G2741+R2741)*'Inputs'!$B$17</x:f>
        <x:v>8699.637151552479</x:v>
      </x:c>
      <x:c r="AC2741" s="78" t="n">
        <x:f>AC2740+AB2741</x:f>
        <x:v>1615718.2125070044</x:v>
      </x:c>
      <x:c r="AD2741" s="80" t="n">
        <x:f>Z2741/(1+'Inputs'!$C$51)</x:f>
        <x:v>4992.575878786401</x:v>
      </x:c>
      <x:c r="AE2741" s="80" t="n">
        <x:f>Z2741-AD2741</x:f>
        <x:v>9985.151757572803</x:v>
      </x:c>
      <x:c r="AF2741" s="80" t="n">
        <x:f>D2741*W2741</x:f>
        <x:v>155873.48495880148</x:v>
      </x:c>
      <x:c r="AG2741" s="80" t="n">
        <x:f>C2741*W2741</x:f>
        <x:v>363704.79823720205</x:v>
      </x:c>
      <x:c r="AH2741" s="80" t="n">
        <x:f>2*'Inputs'!$B$8*'Inputs'!$C$51</x:f>
        <x:v>10000</x:v>
      </x:c>
      <x:c r="AI2741" s="81" t="n">
        <x:f>IF(AH2741&gt;0,(AE2741+AF2741)/AH2741*365,0)</x:f>
        <x:v>6053.840240147662</x:v>
      </x:c>
      <x:c r="AJ2741" s="81" t="n">
        <x:f>IF('Inputs'!$B$51&gt;0,AG2741/('Inputs'!$B$19*'Inputs'!$B$51)*365,0)</x:f>
        <x:v>13275.225135657874</x:v>
      </x:c>
      <x:c r="AK2741" s="81" t="n">
        <x:f>W2741/MAX($W$2559:W2741)-1</x:f>
        <x:v>-0.4346220959390923</x:v>
      </x:c>
      <x:c r="AL2741" s="83" t="n">
        <x:f>'Inputs'!$B$51</x:f>
        <x:v>1</x:v>
      </x:c>
      <x:c r="AM2741" s="83" t="n">
        <x:f>'Inputs'!$C$51</x:f>
        <x:v>2</x:v>
      </x:c>
      <x:c r="AN2741" s="83" t="n">
        <x:f>'Inputs'!$D$51</x:f>
        <x:v>3</x:v>
      </x:c>
      <x:c r="AO2741" s="81" t="n">
        <x:f>'Inputs'!$E$51</x:f>
        <x:v>0.1</x:v>
      </x:c>
    </x:row>
    <x:row r="2742">
      <x:c r="A2742" s="59" t="str">
        <x:v>High demand</x:v>
      </x:c>
      <x:c r="B2742" s="59" t="n">
        <x:v>184</x:v>
      </x:c>
      <x:c r="C2742" s="78" t="n">
        <x:f>(('Inputs'!$B$29*(3*184*'Inputs'!$B$12-184^2)/(2*'Inputs'!$B$12^2))-('Inputs'!$B$29*(3*183*'Inputs'!$B$12-183^2)/(2*'Inputs'!$B$12^2)))*'Inputs'!$B$51</x:f>
        <x:v>652329.0016888678</x:v>
      </x:c>
      <x:c r="D2742" s="78" t="n">
        <x:f>IF('Inputs'!$C$51&gt;0,('Inputs'!$B$30*(3*184*'Inputs'!$B$12-184^2)/(2*'Inputs'!$B$12^2))-('Inputs'!$B$30*(3*183*'Inputs'!$B$12-183^2)/(2*'Inputs'!$B$12^2)),0)</x:f>
        <x:v>279569.5721523687</x:v>
      </x:c>
      <x:c r="E2742" s="78" t="n">
        <x:f>C2742+D2742</x:f>
        <x:v>931898.5738412365</x:v>
      </x:c>
      <x:c r="F2742" s="78" t="n">
        <x:f>'Inputs'!$B$13*E2742+(1-'Inputs'!$B$13)/'Inputs'!$B$14*SUM(E2687:E2742)</x:f>
        <x:v>942116.2507036949</x:v>
      </x:c>
      <x:c r="G2742" s="78" t="n">
        <x:f>F2742*'Inputs'!$F$51</x:f>
        <x:v>235529.06267592372</x:v>
      </x:c>
      <x:c r="H2742" s="78" t="n">
        <x:f>U2741</x:f>
        <x:v>529027.4823201771</x:v>
      </x:c>
      <x:c r="I2742" s="78" t="n">
        <x:f>V2741</x:f>
        <x:v>294811.3417080153</x:v>
      </x:c>
      <x:c r="J2742" s="79" t="n">
        <x:f>IF(H2742&gt;0,I2742/H2742,0)</x:f>
        <x:v>0.5572703716923161</x:v>
      </x:c>
      <x:c r="K2742" s="80" t="n">
        <x:f>(H2742*J2742+I2742)*'Inputs'!$D$51*(1+'Inputs'!$G$51)^(B2742/30)</x:f>
        <x:v>2385923.2649339135</x:v>
      </x:c>
      <x:c r="L2742" s="80" t="n">
        <x:f>MAX(0,K2742*'Inputs'!$E$51)</x:f>
        <x:v>238592.32649339136</x:v>
      </x:c>
      <x:c r="M2742" s="80" t="n">
        <x:f>MAX(0,-K2742*'Inputs'!$E$51)</x:f>
        <x:v>0</x:v>
      </x:c>
      <x:c r="N2742" s="78" t="n">
        <x:f>H2742*(L2742*(1-'Inputs'!$B$15))/(I2742+L2742*(1-'Inputs'!$B$15))</x:f>
        <x:v>235321.09802244874</x:v>
      </x:c>
      <x:c r="O2742" s="78" t="n">
        <x:f>H2742-N2742</x:f>
        <x:v>293706.3842977284</x:v>
      </x:c>
      <x:c r="P2742" s="78" t="n">
        <x:f>I2742+L2742*(1-'Inputs'!$B$17)</x:f>
        <x:v>532443.5381149142</x:v>
      </x:c>
      <x:c r="Q2742" s="78" t="n">
        <x:f>IF(J2742&gt;0,M2742/J2742,0)</x:f>
        <x:v>0</x:v>
      </x:c>
      <x:c r="R2742" s="78" t="n">
        <x:f>IF(B2742='Inputs'!$H$51,'Inputs'!$B$27*'Inputs'!$I$51,0)</x:f>
        <x:v>0</x:v>
      </x:c>
      <x:c r="S2742" s="78" t="n">
        <x:f>Q2742+G2742+R2742</x:f>
        <x:v>235529.06267592372</x:v>
      </x:c>
      <x:c r="T2742" s="78" t="n">
        <x:f>P2742*(S2742*(1-'Inputs'!$B$15))/(O2742+S2742*(1-'Inputs'!$B$15))</x:f>
        <x:v>235635.87789348667</x:v>
      </x:c>
      <x:c r="U2742" s="78" t="n">
        <x:f>O2742+S2742*(1-'Inputs'!$B$17)</x:f>
        <x:v>528287.6439045337</x:v>
      </x:c>
      <x:c r="V2742" s="78" t="n">
        <x:f>P2742-T2742</x:f>
        <x:v>296807.66022142756</x:v>
      </x:c>
      <x:c r="W2742" s="79" t="n">
        <x:f>IF(U2742&gt;0,V2742/U2742,0)</x:f>
        <x:v>0.5618296464928553</x:v>
      </x:c>
      <x:c r="X2742" s="80" t="n">
        <x:f>W2742*('Inputs'!$B$6-AC2742)</x:f>
        <x:v>560916999.6628224</x:v>
      </x:c>
      <x:c r="Y2742" s="80" t="n">
        <x:f>2*V2742</x:f>
        <x:v>593615.3204428551</x:v>
      </x:c>
      <x:c r="Z2742" s="80" t="n">
        <x:f>K2742*'Inputs'!$B$16+(G2742+R2742)*J2742*'Inputs'!$B$16</x:f>
        <x:v>15103.05979941401</x:v>
      </x:c>
      <x:c r="AA2742" s="80" t="n">
        <x:f>K2742*(1+'Inputs'!$E$51)/2*'Inputs'!$B$17</x:f>
        <x:v>5280.715475708864</x:v>
      </x:c>
      <x:c r="AB2742" s="78" t="n">
        <x:f>(IF(J2742&gt;0,K2742*(1-'Inputs'!$E$51)/2/J2742,0)+G2742+R2742)*'Inputs'!$B$17</x:f>
        <x:v>8700.925446853309</x:v>
      </x:c>
      <x:c r="AC2742" s="78" t="n">
        <x:f>AC2741+AB2742</x:f>
        <x:v>1624419.1379538577</x:v>
      </x:c>
      <x:c r="AD2742" s="80" t="n">
        <x:f>Z2742/(1+'Inputs'!$C$51)</x:f>
        <x:v>5034.353266471337</x:v>
      </x:c>
      <x:c r="AE2742" s="80" t="n">
        <x:f>Z2742-AD2742</x:f>
        <x:v>10068.706532942673</x:v>
      </x:c>
      <x:c r="AF2742" s="80" t="n">
        <x:f>D2742*W2742</x:f>
        <x:v>157070.4738925241</x:v>
      </x:c>
      <x:c r="AG2742" s="80" t="n">
        <x:f>C2742*W2742</x:f>
        <x:v>366497.7724158938</x:v>
      </x:c>
      <x:c r="AH2742" s="80" t="n">
        <x:f>2*'Inputs'!$B$8*'Inputs'!$C$51</x:f>
        <x:v>10000</x:v>
      </x:c>
      <x:c r="AI2742" s="81" t="n">
        <x:f>IF(AH2742&gt;0,(AE2742+AF2742)/AH2742*365,0)</x:f>
        <x:v>6100.580085529538</x:v>
      </x:c>
      <x:c r="AJ2742" s="81" t="n">
        <x:f>IF('Inputs'!$B$51&gt;0,AG2742/('Inputs'!$B$19*'Inputs'!$B$51)*365,0)</x:f>
        <x:v>13377.168693180123</x:v>
      </x:c>
      <x:c r="AK2742" s="81" t="n">
        <x:f>W2742/MAX($W$2559:W2742)-1</x:f>
        <x:v>-0.42999648983888183</x:v>
      </x:c>
      <x:c r="AL2742" s="83" t="n">
        <x:f>'Inputs'!$B$51</x:f>
        <x:v>1</x:v>
      </x:c>
      <x:c r="AM2742" s="83" t="n">
        <x:f>'Inputs'!$C$51</x:f>
        <x:v>2</x:v>
      </x:c>
      <x:c r="AN2742" s="83" t="n">
        <x:f>'Inputs'!$D$51</x:f>
        <x:v>3</x:v>
      </x:c>
      <x:c r="AO2742" s="81" t="n">
        <x:f>'Inputs'!$E$51</x:f>
        <x:v>0.1</x:v>
      </x:c>
    </x:row>
    <x:row r="2743">
      <x:c r="A2743" s="59" t="str">
        <x:v>High demand</x:v>
      </x:c>
      <x:c r="B2743" s="59" t="n">
        <x:v>185</x:v>
      </x:c>
      <x:c r="C2743" s="78" t="n">
        <x:f>(('Inputs'!$B$29*(3*185*'Inputs'!$B$12-185^2)/(2*'Inputs'!$B$12^2))-('Inputs'!$B$29*(3*184*'Inputs'!$B$12-184^2)/(2*'Inputs'!$B$12^2)))*'Inputs'!$B$51</x:f>
        <x:v>652003.8937887102</x:v>
      </x:c>
      <x:c r="D2743" s="78" t="n">
        <x:f>IF('Inputs'!$C$51&gt;0,('Inputs'!$B$30*(3*185*'Inputs'!$B$12-185^2)/(2*'Inputs'!$B$12^2))-('Inputs'!$B$30*(3*184*'Inputs'!$B$12-184^2)/(2*'Inputs'!$B$12^2)),0)</x:f>
        <x:v>279430.2401951626</x:v>
      </x:c>
      <x:c r="E2743" s="78" t="n">
        <x:f>C2743+D2743</x:f>
        <x:v>931434.1339838728</x:v>
      </x:c>
      <x:c r="F2743" s="78" t="n">
        <x:f>'Inputs'!$B$13*E2743+(1-'Inputs'!$B$13)/'Inputs'!$B$14*SUM(E2688:E2743)</x:f>
        <x:v>941651.810846315</x:v>
      </x:c>
      <x:c r="G2743" s="78" t="n">
        <x:f>F2743*'Inputs'!$F$51</x:f>
        <x:v>235412.95271157875</x:v>
      </x:c>
      <x:c r="H2743" s="78" t="n">
        <x:f>U2742</x:f>
        <x:v>528287.6439045337</x:v>
      </x:c>
      <x:c r="I2743" s="78" t="n">
        <x:f>V2742</x:f>
        <x:v>296807.66022142756</x:v>
      </x:c>
      <x:c r="J2743" s="79" t="n">
        <x:f>IF(H2743&gt;0,I2743/H2743,0)</x:f>
        <x:v>0.5618296464928553</x:v>
      </x:c>
      <x:c r="K2743" s="80" t="n">
        <x:f>(H2743*J2743+I2743)*'Inputs'!$D$51*(1+'Inputs'!$G$51)^(B2743/30)</x:f>
        <x:v>2405989.346423568</x:v>
      </x:c>
      <x:c r="L2743" s="80" t="n">
        <x:f>MAX(0,K2743*'Inputs'!$E$51)</x:f>
        <x:v>240598.93464235682</x:v>
      </x:c>
      <x:c r="M2743" s="80" t="n">
        <x:f>MAX(0,-K2743*'Inputs'!$E$51)</x:f>
        <x:v>0</x:v>
      </x:c>
      <x:c r="N2743" s="78" t="n">
        <x:f>H2743*(L2743*(1-'Inputs'!$B$15))/(I2743+L2743*(1-'Inputs'!$B$15))</x:f>
        <x:v>235204.20083148248</x:v>
      </x:c>
      <x:c r="O2743" s="78" t="n">
        <x:f>H2743-N2743</x:f>
        <x:v>293083.4430730512</x:v>
      </x:c>
      <x:c r="P2743" s="78" t="n">
        <x:f>I2743+L2743*(1-'Inputs'!$B$17)</x:f>
        <x:v>536438.3898954047</x:v>
      </x:c>
      <x:c r="Q2743" s="78" t="n">
        <x:f>IF(J2743&gt;0,M2743/J2743,0)</x:f>
        <x:v>0</x:v>
      </x:c>
      <x:c r="R2743" s="78" t="n">
        <x:f>IF(B2743='Inputs'!$H$51,'Inputs'!$B$27*'Inputs'!$I$51,0)</x:f>
        <x:v>0</x:v>
      </x:c>
      <x:c r="S2743" s="78" t="n">
        <x:f>Q2743+G2743+R2743</x:f>
        <x:v>235412.95271157875</x:v>
      </x:c>
      <x:c r="T2743" s="78" t="n">
        <x:f>P2743*(S2743*(1-'Inputs'!$B$15))/(O2743+S2743*(1-'Inputs'!$B$15))</x:f>
        <x:v>237619.5715073016</x:v>
      </x:c>
      <x:c r="U2743" s="78" t="n">
        <x:f>O2743+S2743*(1-'Inputs'!$B$17)</x:f>
        <x:v>527549.0599588288</x:v>
      </x:c>
      <x:c r="V2743" s="78" t="n">
        <x:f>P2743-T2743</x:f>
        <x:v>298818.8183881031</x:v>
      </x:c>
      <x:c r="W2743" s="79" t="n">
        <x:f>IF(U2743&gt;0,V2743/U2743,0)</x:f>
        <x:v>0.5664284918096975</x:v>
      </x:c>
      <x:c r="X2743" s="80" t="n">
        <x:f>W2743*('Inputs'!$B$6-AC2743)</x:f>
        <x:v>565503445.3434579</x:v>
      </x:c>
      <x:c r="Y2743" s="80" t="n">
        <x:f>2*V2743</x:f>
        <x:v>597637.6367762062</x:v>
      </x:c>
      <x:c r="Z2743" s="80" t="n">
        <x:f>K2743*'Inputs'!$B$16+(G2743+R2743)*J2743*'Inputs'!$B$16</x:f>
        <x:v>15229.507934552123</x:v>
      </x:c>
      <x:c r="AA2743" s="80" t="n">
        <x:f>K2743*(1+'Inputs'!$E$51)/2*'Inputs'!$B$17</x:f>
        <x:v>5325.127326088381</x:v>
      </x:c>
      <x:c r="AB2743" s="78" t="n">
        <x:f>(IF(J2743&gt;0,K2743*(1-'Inputs'!$E$51)/2/J2743,0)+G2743+R2743)*'Inputs'!$B$17</x:f>
        <x:v>8702.217372024548</x:v>
      </x:c>
      <x:c r="AC2743" s="78" t="n">
        <x:f>AC2742+AB2743</x:f>
        <x:v>1633121.3553258823</x:v>
      </x:c>
      <x:c r="AD2743" s="80" t="n">
        <x:f>Z2743/(1+'Inputs'!$C$51)</x:f>
        <x:v>5076.502644850708</x:v>
      </x:c>
      <x:c r="AE2743" s="80" t="n">
        <x:f>Z2743-AD2743</x:f>
        <x:v>10153.005289701414</x:v>
      </x:c>
      <x:c r="AF2743" s="80" t="n">
        <x:f>D2743*W2743</x:f>
        <x:v>158277.24951976744</x:v>
      </x:c>
      <x:c r="AG2743" s="80" t="n">
        <x:f>C2743*W2743</x:f>
        <x:v>369313.58221278933</x:v>
      </x:c>
      <x:c r="AH2743" s="80" t="n">
        <x:f>2*'Inputs'!$B$8*'Inputs'!$C$51</x:f>
        <x:v>10000</x:v>
      </x:c>
      <x:c r="AI2743" s="81" t="n">
        <x:f>IF(AH2743&gt;0,(AE2743+AF2743)/AH2743*365,0)</x:f>
        <x:v>6147.704300545614</x:v>
      </x:c>
      <x:c r="AJ2743" s="81" t="n">
        <x:f>IF('Inputs'!$B$51&gt;0,AG2743/('Inputs'!$B$19*'Inputs'!$B$51)*365,0)</x:f>
        <x:v>13479.94575076681</x:v>
      </x:c>
      <x:c r="AK2743" s="81" t="n">
        <x:f>W2743/MAX($W$2559:W2743)-1</x:f>
        <x:v>-0.42533073752472117</x:v>
      </x:c>
      <x:c r="AL2743" s="83" t="n">
        <x:f>'Inputs'!$B$51</x:f>
        <x:v>1</x:v>
      </x:c>
      <x:c r="AM2743" s="83" t="n">
        <x:f>'Inputs'!$C$51</x:f>
        <x:v>2</x:v>
      </x:c>
      <x:c r="AN2743" s="83" t="n">
        <x:f>'Inputs'!$D$51</x:f>
        <x:v>3</x:v>
      </x:c>
      <x:c r="AO2743" s="81" t="n">
        <x:f>'Inputs'!$E$51</x:f>
        <x:v>0.1</x:v>
      </x:c>
    </x:row>
    <x:row r="2744">
      <x:c r="A2744" s="59" t="str">
        <x:v>High demand</x:v>
      </x:c>
      <x:c r="B2744" s="59" t="n">
        <x:v>186</x:v>
      </x:c>
      <x:c r="C2744" s="78" t="n">
        <x:f>(('Inputs'!$B$29*(3*186*'Inputs'!$B$12-186^2)/(2*'Inputs'!$B$12^2))-('Inputs'!$B$29*(3*185*'Inputs'!$B$12-185^2)/(2*'Inputs'!$B$12^2)))*'Inputs'!$B$51</x:f>
        <x:v>651678.7858885229</x:v>
      </x:c>
      <x:c r="D2744" s="78" t="n">
        <x:f>IF('Inputs'!$C$51&gt;0,('Inputs'!$B$30*(3*186*'Inputs'!$B$12-186^2)/(2*'Inputs'!$B$12^2))-('Inputs'!$B$30*(3*185*'Inputs'!$B$12-185^2)/(2*'Inputs'!$B$12^2)),0)</x:f>
        <x:v>279290.90823794156</x:v>
      </x:c>
      <x:c r="E2744" s="78" t="n">
        <x:f>C2744+D2744</x:f>
        <x:v>930969.6941264644</x:v>
      </x:c>
      <x:c r="F2744" s="78" t="n">
        <x:f>'Inputs'!$B$13*E2744+(1-'Inputs'!$B$13)/'Inputs'!$B$14*SUM(E2689:E2744)</x:f>
        <x:v>941187.3709889259</x:v>
      </x:c>
      <x:c r="G2744" s="78" t="n">
        <x:f>F2744*'Inputs'!$F$51</x:f>
        <x:v>235296.84274723148</x:v>
      </x:c>
      <x:c r="H2744" s="78" t="n">
        <x:f>U2743</x:f>
        <x:v>527549.0599588288</x:v>
      </x:c>
      <x:c r="I2744" s="78" t="n">
        <x:f>V2743</x:f>
        <x:v>298818.8183881031</x:v>
      </x:c>
      <x:c r="J2744" s="79" t="n">
        <x:f>IF(H2744&gt;0,I2744/H2744,0)</x:f>
        <x:v>0.5664284918096975</x:v>
      </x:c>
      <x:c r="K2744" s="80" t="n">
        <x:f>(H2744*J2744+I2744)*'Inputs'!$D$51*(1+'Inputs'!$G$51)^(B2744/30)</x:f>
        <x:v>2426234.9178719884</x:v>
      </x:c>
      <x:c r="L2744" s="80" t="n">
        <x:f>MAX(0,K2744*'Inputs'!$E$51)</x:f>
        <x:v>242623.49178719884</x:v>
      </x:c>
      <x:c r="M2744" s="80" t="n">
        <x:f>MAX(0,-K2744*'Inputs'!$E$51)</x:f>
        <x:v>0</x:v>
      </x:c>
      <x:c r="N2744" s="78" t="n">
        <x:f>H2744*(L2744*(1-'Inputs'!$B$15))/(I2744+L2744*(1-'Inputs'!$B$15))</x:f>
        <x:v>235087.3060800352</x:v>
      </x:c>
      <x:c r="O2744" s="78" t="n">
        <x:f>H2744-N2744</x:f>
        <x:v>292461.7538787937</x:v>
      </x:c>
      <x:c r="P2744" s="78" t="n">
        <x:f>I2744+L2744*(1-'Inputs'!$B$17)</x:f>
        <x:v>540465.9580956753</x:v>
      </x:c>
      <x:c r="Q2744" s="78" t="n">
        <x:f>IF(J2744&gt;0,M2744/J2744,0)</x:f>
        <x:v>0</x:v>
      </x:c>
      <x:c r="R2744" s="78" t="n">
        <x:f>IF(B2744='Inputs'!$H$51,'Inputs'!$B$27*'Inputs'!$I$51,0)</x:f>
        <x:v>0</x:v>
      </x:c>
      <x:c r="S2744" s="78" t="n">
        <x:f>Q2744+G2744+R2744</x:f>
        <x:v>235296.84274723148</x:v>
      </x:c>
      <x:c r="T2744" s="78" t="n">
        <x:f>P2744*(S2744*(1-'Inputs'!$B$15))/(O2744+S2744*(1-'Inputs'!$B$15))</x:f>
        <x:v>239621.0231862415</x:v>
      </x:c>
      <x:c r="U2744" s="78" t="n">
        <x:f>O2744+S2744*(1-'Inputs'!$B$17)</x:f>
        <x:v>526811.7280435413</x:v>
      </x:c>
      <x:c r="V2744" s="78" t="n">
        <x:f>P2744-T2744</x:f>
        <x:v>300844.9349094338</x:v>
      </x:c>
      <x:c r="W2744" s="79" t="n">
        <x:f>IF(U2744&gt;0,V2744/U2744,0)</x:f>
        <x:v>0.5710672691868561</x:v>
      </x:c>
      <x:c r="X2744" s="80" t="n">
        <x:f>W2744*('Inputs'!$B$6-AC2744)</x:f>
        <x:v>570129676.7428591</x:v>
      </x:c>
      <x:c r="Y2744" s="80" t="n">
        <x:f>2*V2744</x:f>
        <x:v>601689.8698188676</x:v>
      </x:c>
      <x:c r="Z2744" s="80" t="n">
        <x:f>K2744*'Inputs'!$B$16+(G2744+R2744)*J2744*'Inputs'!$B$16</x:f>
        <x:v>15357.082521821318</x:v>
      </x:c>
      <x:c r="AA2744" s="80" t="n">
        <x:f>K2744*(1+'Inputs'!$E$51)/2*'Inputs'!$B$17</x:f>
        <x:v>5369.936437946051</x:v>
      </x:c>
      <x:c r="AB2744" s="78" t="n">
        <x:f>(IF(J2744&gt;0,K2744*(1-'Inputs'!$E$51)/2/J2744,0)+G2744+R2744)*'Inputs'!$B$17</x:f>
        <x:v>8703.51292832582</x:v>
      </x:c>
      <x:c r="AC2744" s="78" t="n">
        <x:f>AC2743+AB2744</x:f>
        <x:v>1641824.8682542082</x:v>
      </x:c>
      <x:c r="AD2744" s="80" t="n">
        <x:f>Z2744/(1+'Inputs'!$C$51)</x:f>
        <x:v>5119.027507273772</x:v>
      </x:c>
      <x:c r="AE2744" s="80" t="n">
        <x:f>Z2744-AD2744</x:f>
        <x:v>10238.055014547546</x:v>
      </x:c>
      <x:c r="AF2744" s="80" t="n">
        <x:f>D2744*W2744</x:f>
        <x:v>159493.8962761581</x:v>
      </x:c>
      <x:c r="AG2744" s="80" t="n">
        <x:f>C2744*W2744</x:f>
        <x:v>372152.4246443647</x:v>
      </x:c>
      <x:c r="AH2744" s="80" t="n">
        <x:f>2*'Inputs'!$B$8*'Inputs'!$C$51</x:f>
        <x:v>10000</x:v>
      </x:c>
      <x:c r="AI2744" s="81" t="n">
        <x:f>IF(AH2744&gt;0,(AE2744+AF2744)/AH2744*365,0)</x:f>
        <x:v>6195.2162221107565</x:v>
      </x:c>
      <x:c r="AJ2744" s="81" t="n">
        <x:f>IF('Inputs'!$B$51&gt;0,AG2744/('Inputs'!$B$19*'Inputs'!$B$51)*365,0)</x:f>
        <x:v>13583.563499519312</x:v>
      </x:c>
      <x:c r="AK2744" s="81" t="n">
        <x:f>W2744/MAX($W$2559:W2744)-1</x:f>
        <x:v>-0.4206244721926192</x:v>
      </x:c>
      <x:c r="AL2744" s="83" t="n">
        <x:f>'Inputs'!$B$51</x:f>
        <x:v>1</x:v>
      </x:c>
      <x:c r="AM2744" s="83" t="n">
        <x:f>'Inputs'!$C$51</x:f>
        <x:v>2</x:v>
      </x:c>
      <x:c r="AN2744" s="83" t="n">
        <x:f>'Inputs'!$D$51</x:f>
        <x:v>3</x:v>
      </x:c>
      <x:c r="AO2744" s="81" t="n">
        <x:f>'Inputs'!$E$51</x:f>
        <x:v>0.1</x:v>
      </x:c>
    </x:row>
    <x:row r="2745">
      <x:c r="A2745" s="59" t="str">
        <x:v>High demand</x:v>
      </x:c>
      <x:c r="B2745" s="59" t="n">
        <x:v>187</x:v>
      </x:c>
      <x:c r="C2745" s="78" t="n">
        <x:f>(('Inputs'!$B$29*(3*187*'Inputs'!$B$12-187^2)/(2*'Inputs'!$B$12^2))-('Inputs'!$B$29*(3*186*'Inputs'!$B$12-186^2)/(2*'Inputs'!$B$12^2)))*'Inputs'!$B$51</x:f>
        <x:v>651353.6779883653</x:v>
      </x:c>
      <x:c r="D2745" s="78" t="n">
        <x:f>IF('Inputs'!$C$51&gt;0,('Inputs'!$B$30*(3*187*'Inputs'!$B$12-187^2)/(2*'Inputs'!$B$12^2))-('Inputs'!$B$30*(3*186*'Inputs'!$B$12-186^2)/(2*'Inputs'!$B$12^2)),0)</x:f>
        <x:v>279151.576280728</x:v>
      </x:c>
      <x:c r="E2745" s="78" t="n">
        <x:f>C2745+D2745</x:f>
        <x:v>930505.2542690933</x:v>
      </x:c>
      <x:c r="F2745" s="78" t="n">
        <x:f>'Inputs'!$B$13*E2745+(1-'Inputs'!$B$13)/'Inputs'!$B$14*SUM(E2690:E2745)</x:f>
        <x:v>940722.9311315443</x:v>
      </x:c>
      <x:c r="G2745" s="78" t="n">
        <x:f>F2745*'Inputs'!$F$51</x:f>
        <x:v>235180.73278288607</x:v>
      </x:c>
      <x:c r="H2745" s="78" t="n">
        <x:f>U2744</x:f>
        <x:v>526811.7280435413</x:v>
      </x:c>
      <x:c r="I2745" s="78" t="n">
        <x:f>V2744</x:f>
        <x:v>300844.9349094338</x:v>
      </x:c>
      <x:c r="J2745" s="79" t="n">
        <x:f>IF(H2745&gt;0,I2745/H2745,0)</x:f>
        <x:v>0.5710672691868561</x:v>
      </x:c>
      <x:c r="K2745" s="80" t="n">
        <x:f>(H2745*J2745+I2745)*'Inputs'!$D$51*(1+'Inputs'!$G$51)^(B2745/30)</x:f>
        <x:v>2446661.6718872893</x:v>
      </x:c>
      <x:c r="L2745" s="80" t="n">
        <x:f>MAX(0,K2745*'Inputs'!$E$51)</x:f>
        <x:v>244666.16718872893</x:v>
      </x:c>
      <x:c r="M2745" s="80" t="n">
        <x:f>MAX(0,-K2745*'Inputs'!$E$51)</x:f>
        <x:v>0</x:v>
      </x:c>
      <x:c r="N2745" s="78" t="n">
        <x:f>H2745*(L2745*(1-'Inputs'!$B$15))/(I2745+L2745*(1-'Inputs'!$B$15))</x:f>
        <x:v>234970.4137634519</x:v>
      </x:c>
      <x:c r="O2745" s="78" t="n">
        <x:f>H2745-N2745</x:f>
        <x:v>291841.3142800894</x:v>
      </x:c>
      <x:c r="P2745" s="78" t="n">
        <x:f>I2745+L2745*(1-'Inputs'!$B$17)</x:f>
        <x:v>544526.5299967997</x:v>
      </x:c>
      <x:c r="Q2745" s="78" t="n">
        <x:f>IF(J2745&gt;0,M2745/J2745,0)</x:f>
        <x:v>0</x:v>
      </x:c>
      <x:c r="R2745" s="78" t="n">
        <x:f>IF(B2745='Inputs'!$H$51,'Inputs'!$B$27*'Inputs'!$I$51,0)</x:f>
        <x:v>0</x:v>
      </x:c>
      <x:c r="S2745" s="78" t="n">
        <x:f>Q2745+G2745+R2745</x:f>
        <x:v>235180.73278288607</x:v>
      </x:c>
      <x:c r="T2745" s="78" t="n">
        <x:f>P2745*(S2745*(1-'Inputs'!$B$15))/(O2745+S2745*(1-'Inputs'!$B$15))</x:f>
        <x:v>241640.40050170393</x:v>
      </x:c>
      <x:c r="U2745" s="78" t="n">
        <x:f>O2745+S2745*(1-'Inputs'!$B$17)</x:f>
        <x:v>526075.6457238089</x:v>
      </x:c>
      <x:c r="V2745" s="78" t="n">
        <x:f>P2745-T2745</x:f>
        <x:v>302886.1294950957</x:v>
      </x:c>
      <x:c r="W2745" s="79" t="n">
        <x:f>IF(U2745&gt;0,V2745/U2745,0)</x:f>
        <x:v>0.575746343623958</x:v>
      </x:c>
      <x:c r="X2745" s="80" t="n">
        <x:f>W2745*('Inputs'!$B$6-AC2745)</x:f>
        <x:v>574796057.1954415</x:v>
      </x:c>
      <x:c r="Y2745" s="80" t="n">
        <x:f>2*V2745</x:f>
        <x:v>605772.2589901914</x:v>
      </x:c>
      <x:c r="Z2745" s="80" t="n">
        <x:f>K2745*'Inputs'!$B$16+(G2745+R2745)*J2745*'Inputs'!$B$16</x:f>
        <x:v>15485.794144337855</x:v>
      </x:c>
      <x:c r="AA2745" s="80" t="n">
        <x:f>K2745*(1+'Inputs'!$E$51)/2*'Inputs'!$B$17</x:f>
        <x:v>5415.14655749702</x:v>
      </x:c>
      <x:c r="AB2745" s="78" t="n">
        <x:f>(IF(J2745&gt;0,K2745*(1-'Inputs'!$E$51)/2/J2745,0)+G2745+R2745)*'Inputs'!$B$17</x:f>
        <x:v>8704.812117011734</x:v>
      </x:c>
      <x:c r="AC2745" s="78" t="n">
        <x:f>AC2744+AB2745</x:f>
        <x:v>1650529.68037122</x:v>
      </x:c>
      <x:c r="AD2745" s="80" t="n">
        <x:f>Z2745/(1+'Inputs'!$C$51)</x:f>
        <x:v>5161.931381445952</x:v>
      </x:c>
      <x:c r="AE2745" s="80" t="n">
        <x:f>Z2745-AD2745</x:f>
        <x:v>10323.862762891902</x:v>
      </x:c>
      <x:c r="AF2745" s="80" t="n">
        <x:f>D2745*W2745</x:f>
        <x:v>160720.49936049356</x:v>
      </x:c>
      <x:c r="AG2745" s="80" t="n">
        <x:f>C2745*W2745</x:f>
        <x:v>375014.49850781827</x:v>
      </x:c>
      <x:c r="AH2745" s="80" t="n">
        <x:f>2*'Inputs'!$B$8*'Inputs'!$C$51</x:f>
        <x:v>10000</x:v>
      </x:c>
      <x:c r="AI2745" s="81" t="n">
        <x:f>IF(AH2745&gt;0,(AE2745+AF2745)/AH2745*365,0)</x:f>
        <x:v>6243.1192175035685</x:v>
      </x:c>
      <x:c r="AJ2745" s="81" t="n">
        <x:f>IF('Inputs'!$B$51&gt;0,AG2745/('Inputs'!$B$19*'Inputs'!$B$51)*365,0)</x:f>
        <x:v>13688.029195535366</x:v>
      </x:c>
      <x:c r="AK2745" s="81" t="n">
        <x:f>W2745/MAX($W$2559:W2745)-1</x:f>
        <x:v>-0.4158773235326968</x:v>
      </x:c>
      <x:c r="AL2745" s="83" t="n">
        <x:f>'Inputs'!$B$51</x:f>
        <x:v>1</x:v>
      </x:c>
      <x:c r="AM2745" s="83" t="n">
        <x:f>'Inputs'!$C$51</x:f>
        <x:v>2</x:v>
      </x:c>
      <x:c r="AN2745" s="83" t="n">
        <x:f>'Inputs'!$D$51</x:f>
        <x:v>3</x:v>
      </x:c>
      <x:c r="AO2745" s="81" t="n">
        <x:f>'Inputs'!$E$51</x:f>
        <x:v>0.1</x:v>
      </x:c>
    </x:row>
    <x:row r="2746">
      <x:c r="A2746" s="59" t="str">
        <x:v>High demand</x:v>
      </x:c>
      <x:c r="B2746" s="59" t="n">
        <x:v>188</x:v>
      </x:c>
      <x:c r="C2746" s="78" t="n">
        <x:f>(('Inputs'!$B$29*(3*188*'Inputs'!$B$12-188^2)/(2*'Inputs'!$B$12^2))-('Inputs'!$B$29*(3*187*'Inputs'!$B$12-187^2)/(2*'Inputs'!$B$12^2)))*'Inputs'!$B$51</x:f>
        <x:v>651028.5700882077</x:v>
      </x:c>
      <x:c r="D2746" s="78" t="n">
        <x:f>IF('Inputs'!$C$51&gt;0,('Inputs'!$B$30*(3*188*'Inputs'!$B$12-188^2)/(2*'Inputs'!$B$12^2))-('Inputs'!$B$30*(3*187*'Inputs'!$B$12-187^2)/(2*'Inputs'!$B$12^2)),0)</x:f>
        <x:v>279012.2443235144</x:v>
      </x:c>
      <x:c r="E2746" s="78" t="n">
        <x:f>C2746+D2746</x:f>
        <x:v>930040.8144117221</x:v>
      </x:c>
      <x:c r="F2746" s="78" t="n">
        <x:f>'Inputs'!$B$13*E2746+(1-'Inputs'!$B$13)/'Inputs'!$B$14*SUM(E2691:E2746)</x:f>
        <x:v>940258.4912741629</x:v>
      </x:c>
      <x:c r="G2746" s="78" t="n">
        <x:f>F2746*'Inputs'!$F$51</x:f>
        <x:v>235064.62281854072</x:v>
      </x:c>
      <x:c r="H2746" s="78" t="n">
        <x:f>U2745</x:f>
        <x:v>526075.6457238089</x:v>
      </x:c>
      <x:c r="I2746" s="78" t="n">
        <x:f>V2745</x:f>
        <x:v>302886.1294950957</x:v>
      </x:c>
      <x:c r="J2746" s="79" t="n">
        <x:f>IF(H2746&gt;0,I2746/H2746,0)</x:f>
        <x:v>0.575746343623958</x:v>
      </x:c>
      <x:c r="K2746" s="80" t="n">
        <x:f>(H2746*J2746+I2746)*'Inputs'!$D$51*(1+'Inputs'!$G$51)^(B2746/30)</x:f>
        <x:v>2467271.317787162</x:v>
      </x:c>
      <x:c r="L2746" s="80" t="n">
        <x:f>MAX(0,K2746*'Inputs'!$E$51)</x:f>
        <x:v>246727.13177871623</x:v>
      </x:c>
      <x:c r="M2746" s="80" t="n">
        <x:f>MAX(0,-K2746*'Inputs'!$E$51)</x:f>
        <x:v>0</x:v>
      </x:c>
      <x:c r="N2746" s="78" t="n">
        <x:f>H2746*(L2746*(1-'Inputs'!$B$15))/(I2746+L2746*(1-'Inputs'!$B$15))</x:f>
        <x:v>234853.5238770889</x:v>
      </x:c>
      <x:c r="O2746" s="78" t="n">
        <x:f>H2746-N2746</x:f>
        <x:v>291222.12184672</x:v>
      </x:c>
      <x:c r="P2746" s="78" t="n">
        <x:f>I2746+L2746*(1-'Inputs'!$B$17)</x:f>
        <x:v>548620.3955523684</x:v>
      </x:c>
      <x:c r="Q2746" s="78" t="n">
        <x:f>IF(J2746&gt;0,M2746/J2746,0)</x:f>
        <x:v>0</x:v>
      </x:c>
      <x:c r="R2746" s="78" t="n">
        <x:f>IF(B2746='Inputs'!$H$51,'Inputs'!$B$27*'Inputs'!$I$51,0)</x:f>
        <x:v>0</x:v>
      </x:c>
      <x:c r="S2746" s="78" t="n">
        <x:f>Q2746+G2746+R2746</x:f>
        <x:v>235064.62281854072</x:v>
      </x:c>
      <x:c r="T2746" s="78" t="n">
        <x:f>P2746*(S2746*(1-'Inputs'!$B$15))/(O2746+S2746*(1-'Inputs'!$B$15))</x:f>
        <x:v>243677.8726803049</x:v>
      </x:c>
      <x:c r="U2746" s="78" t="n">
        <x:f>O2746+S2746*(1-'Inputs'!$B$17)</x:f>
        <x:v>525340.8105694115</x:v>
      </x:c>
      <x:c r="V2746" s="78" t="n">
        <x:f>P2746-T2746</x:f>
        <x:v>304942.52287206345</x:v>
      </x:c>
      <x:c r="W2746" s="79" t="n">
        <x:f>IF(U2746&gt;0,V2746/U2746,0)</x:f>
        <x:v>0.5804660836106362</x:v>
      </x:c>
      <x:c r="X2746" s="80" t="n">
        <x:f>W2746*('Inputs'!$B$6-AC2746)</x:f>
        <x:v>579502953.5067458</x:v>
      </x:c>
      <x:c r="Y2746" s="80" t="n">
        <x:f>2*V2746</x:f>
        <x:v>609885.0457441269</x:v>
      </x:c>
      <x:c r="Z2746" s="80" t="n">
        <x:f>K2746*'Inputs'!$B$16+(G2746+R2746)*J2746*'Inputs'!$B$16</x:f>
        <x:v>15615.65348934169</x:v>
      </x:c>
      <x:c r="AA2746" s="80" t="n">
        <x:f>K2746*(1+'Inputs'!$E$51)/2*'Inputs'!$B$17</x:f>
        <x:v>5460.761467939394</x:v>
      </x:c>
      <x:c r="AB2746" s="78" t="n">
        <x:f>(IF(J2746&gt;0,K2746*(1-'Inputs'!$E$51)/2/J2746,0)+G2746+R2746)*'Inputs'!$B$17</x:f>
        <x:v>8706.114939331994</x:v>
      </x:c>
      <x:c r="AC2746" s="78" t="n">
        <x:f>AC2745+AB2746</x:f>
        <x:v>1659235.795310552</x:v>
      </x:c>
      <x:c r="AD2746" s="80" t="n">
        <x:f>Z2746/(1+'Inputs'!$C$51)</x:f>
        <x:v>5205.217829780563</x:v>
      </x:c>
      <x:c r="AE2746" s="80" t="n">
        <x:f>Z2746-AD2746</x:f>
        <x:v>10410.435659561128</x:v>
      </x:c>
      <x:c r="AF2746" s="80" t="n">
        <x:f>D2746*W2746</x:f>
        <x:v>161957.14474188437</x:v>
      </x:c>
      <x:c r="AG2746" s="80" t="n">
        <x:f>C2746*W2746</x:f>
        <x:v>377900.00439773453</x:v>
      </x:c>
      <x:c r="AH2746" s="80" t="n">
        <x:f>2*'Inputs'!$B$8*'Inputs'!$C$51</x:f>
        <x:v>10000</x:v>
      </x:c>
      <x:c r="AI2746" s="81" t="n">
        <x:f>IF(AH2746&gt;0,(AE2746+AF2746)/AH2746*365,0)</x:f>
        <x:v>6291.416684652761</x:v>
      </x:c>
      <x:c r="AJ2746" s="81" t="n">
        <x:f>IF('Inputs'!$B$51&gt;0,AG2746/('Inputs'!$B$19*'Inputs'!$B$51)*365,0)</x:f>
        <x:v>13793.35016051731</x:v>
      </x:c>
      <x:c r="AK2746" s="81" t="n">
        <x:f>W2746/MAX($W$2559:W2746)-1</x:f>
        <x:v>-0.4110889176942937</x:v>
      </x:c>
      <x:c r="AL2746" s="83" t="n">
        <x:f>'Inputs'!$B$51</x:f>
        <x:v>1</x:v>
      </x:c>
      <x:c r="AM2746" s="83" t="n">
        <x:f>'Inputs'!$C$51</x:f>
        <x:v>2</x:v>
      </x:c>
      <x:c r="AN2746" s="83" t="n">
        <x:f>'Inputs'!$D$51</x:f>
        <x:v>3</x:v>
      </x:c>
      <x:c r="AO2746" s="81" t="n">
        <x:f>'Inputs'!$E$51</x:f>
        <x:v>0.1</x:v>
      </x:c>
    </x:row>
    <x:row r="2747">
      <x:c r="A2747" s="59" t="str">
        <x:v>High demand</x:v>
      </x:c>
      <x:c r="B2747" s="59" t="n">
        <x:v>189</x:v>
      </x:c>
      <x:c r="C2747" s="78" t="n">
        <x:f>(('Inputs'!$B$29*(3*189*'Inputs'!$B$12-189^2)/(2*'Inputs'!$B$12^2))-('Inputs'!$B$29*(3*188*'Inputs'!$B$12-188^2)/(2*'Inputs'!$B$12^2)))*'Inputs'!$B$51</x:f>
        <x:v>650703.4621880203</x:v>
      </x:c>
      <x:c r="D2747" s="78" t="n">
        <x:f>IF('Inputs'!$C$51&gt;0,('Inputs'!$B$30*(3*189*'Inputs'!$B$12-189^2)/(2*'Inputs'!$B$12^2))-('Inputs'!$B$30*(3*188*'Inputs'!$B$12-188^2)/(2*'Inputs'!$B$12^2)),0)</x:f>
        <x:v>278872.91236629337</x:v>
      </x:c>
      <x:c r="E2747" s="78" t="n">
        <x:f>C2747+D2747</x:f>
        <x:v>929576.3745543137</x:v>
      </x:c>
      <x:c r="F2747" s="78" t="n">
        <x:f>'Inputs'!$B$13*E2747+(1-'Inputs'!$B$13)/'Inputs'!$B$14*SUM(E2692:E2747)</x:f>
        <x:v>939794.0514167738</x:v>
      </x:c>
      <x:c r="G2747" s="78" t="n">
        <x:f>F2747*'Inputs'!$F$51</x:f>
        <x:v>234948.51285419345</x:v>
      </x:c>
      <x:c r="H2747" s="78" t="n">
        <x:f>U2746</x:f>
        <x:v>525340.8105694115</x:v>
      </x:c>
      <x:c r="I2747" s="78" t="n">
        <x:f>V2746</x:f>
        <x:v>304942.52287206345</x:v>
      </x:c>
      <x:c r="J2747" s="79" t="n">
        <x:f>IF(H2747&gt;0,I2747/H2747,0)</x:f>
        <x:v>0.5804660836106362</x:v>
      </x:c>
      <x:c r="K2747" s="80" t="n">
        <x:f>(H2747*J2747+I2747)*'Inputs'!$D$51*(1+'Inputs'!$G$51)^(B2747/30)</x:f>
        <x:v>2488065.581770629</x:v>
      </x:c>
      <x:c r="L2747" s="80" t="n">
        <x:f>MAX(0,K2747*'Inputs'!$E$51)</x:f>
        <x:v>248806.55817706292</x:v>
      </x:c>
      <x:c r="M2747" s="80" t="n">
        <x:f>MAX(0,-K2747*'Inputs'!$E$51)</x:f>
        <x:v>0</x:v>
      </x:c>
      <x:c r="N2747" s="78" t="n">
        <x:f>H2747*(L2747*(1-'Inputs'!$B$15))/(I2747+L2747*(1-'Inputs'!$B$15))</x:f>
        <x:v>234736.63641630983</x:v>
      </x:c>
      <x:c r="O2747" s="78" t="n">
        <x:f>H2747-N2747</x:f>
        <x:v>290604.17415310163</x:v>
      </x:c>
      <x:c r="P2747" s="78" t="n">
        <x:f>I2747+L2747*(1-'Inputs'!$B$17)</x:f>
        <x:v>552747.847414611</x:v>
      </x:c>
      <x:c r="Q2747" s="78" t="n">
        <x:f>IF(J2747&gt;0,M2747/J2747,0)</x:f>
        <x:v>0</x:v>
      </x:c>
      <x:c r="R2747" s="78" t="n">
        <x:f>IF(B2747='Inputs'!$H$51,'Inputs'!$B$27*'Inputs'!$I$51,0)</x:f>
        <x:v>0</x:v>
      </x:c>
      <x:c r="S2747" s="78" t="n">
        <x:f>Q2747+G2747+R2747</x:f>
        <x:v>234948.51285419345</x:v>
      </x:c>
      <x:c r="T2747" s="78" t="n">
        <x:f>P2747*(S2747*(1-'Inputs'!$B$15))/(O2747+S2747*(1-'Inputs'!$B$15))</x:f>
        <x:v>245733.61062090695</x:v>
      </x:c>
      <x:c r="U2747" s="78" t="n">
        <x:f>O2747+S2747*(1-'Inputs'!$B$17)</x:f>
        <x:v>524607.2201547631</x:v>
      </x:c>
      <x:c r="V2747" s="78" t="n">
        <x:f>P2747-T2747</x:f>
        <x:v>307014.2367937041</x:v>
      </x:c>
      <x:c r="W2747" s="79" t="n">
        <x:f>IF(U2747&gt;0,V2747/U2747,0)</x:f>
        <x:v>0.5852268611612562</x:v>
      </x:c>
      <x:c r="X2747" s="80" t="n">
        <x:f>W2747*('Inputs'!$B$6-AC2747)</x:f>
        <x:v>584250735.9879475</x:v>
      </x:c>
      <x:c r="Y2747" s="80" t="n">
        <x:f>2*V2747</x:f>
        <x:v>614028.4735874082</x:v>
      </x:c>
      <x:c r="Z2747" s="80" t="n">
        <x:f>K2747*'Inputs'!$B$16+(G2747+R2747)*J2747*'Inputs'!$B$16</x:f>
        <x:v>15746.671349263477</x:v>
      </x:c>
      <x:c r="AA2747" s="80" t="n">
        <x:f>K2747*(1+'Inputs'!$E$51)/2*'Inputs'!$B$17</x:f>
        <x:v>5506.784989834392</x:v>
      </x:c>
      <x:c r="AB2747" s="78" t="n">
        <x:f>(IF(J2747&gt;0,K2747*(1-'Inputs'!$E$51)/2/J2747,0)+G2747+R2747)*'Inputs'!$B$17</x:f>
        <x:v>8707.421396531252</x:v>
      </x:c>
      <x:c r="AC2747" s="78" t="n">
        <x:f>AC2746+AB2747</x:f>
        <x:v>1667943.2167070832</x:v>
      </x:c>
      <x:c r="AD2747" s="80" t="n">
        <x:f>Z2747/(1+'Inputs'!$C$51)</x:f>
        <x:v>5248.890449754493</x:v>
      </x:c>
      <x:c r="AE2747" s="80" t="n">
        <x:f>Z2747-AD2747</x:f>
        <x:v>10497.780899508984</x:v>
      </x:c>
      <x:c r="AF2747" s="80" t="n">
        <x:f>D2747*W2747</x:f>
        <x:v>163203.91916702394</x:v>
      </x:c>
      <x:c r="AG2747" s="80" t="n">
        <x:f>C2747*W2747</x:f>
        <x:v>380809.14472305734</x:v>
      </x:c>
      <x:c r="AH2747" s="80" t="n">
        <x:f>2*'Inputs'!$B$8*'Inputs'!$C$51</x:f>
        <x:v>10000</x:v>
      </x:c>
      <x:c r="AI2747" s="81" t="n">
        <x:f>IF(AH2747&gt;0,(AE2747+AF2747)/AH2747*365,0)</x:f>
        <x:v>6340.112052428451</x:v>
      </x:c>
      <x:c r="AJ2747" s="81" t="n">
        <x:f>IF('Inputs'!$B$51&gt;0,AG2747/('Inputs'!$B$19*'Inputs'!$B$51)*365,0)</x:f>
        <x:v>13899.533782391594</x:v>
      </x:c>
      <x:c r="AK2747" s="81" t="n">
        <x:f>W2747/MAX($W$2559:W2747)-1</x:f>
        <x:v>-0.40625887725073695</x:v>
      </x:c>
      <x:c r="AL2747" s="83" t="n">
        <x:f>'Inputs'!$B$51</x:f>
        <x:v>1</x:v>
      </x:c>
      <x:c r="AM2747" s="83" t="n">
        <x:f>'Inputs'!$C$51</x:f>
        <x:v>2</x:v>
      </x:c>
      <x:c r="AN2747" s="83" t="n">
        <x:f>'Inputs'!$D$51</x:f>
        <x:v>3</x:v>
      </x:c>
      <x:c r="AO2747" s="81" t="n">
        <x:f>'Inputs'!$E$51</x:f>
        <x:v>0.1</x:v>
      </x:c>
    </x:row>
    <x:row r="2748">
      <x:c r="A2748" s="59" t="str">
        <x:v>High demand</x:v>
      </x:c>
      <x:c r="B2748" s="59" t="n">
        <x:v>190</x:v>
      </x:c>
      <x:c r="C2748" s="78" t="n">
        <x:f>(('Inputs'!$B$29*(3*190*'Inputs'!$B$12-190^2)/(2*'Inputs'!$B$12^2))-('Inputs'!$B$29*(3*189*'Inputs'!$B$12-189^2)/(2*'Inputs'!$B$12^2)))*'Inputs'!$B$51</x:f>
        <x:v>650378.3542878628</x:v>
      </x:c>
      <x:c r="D2748" s="78" t="n">
        <x:f>IF('Inputs'!$C$51&gt;0,('Inputs'!$B$30*(3*190*'Inputs'!$B$12-190^2)/(2*'Inputs'!$B$12^2))-('Inputs'!$B$30*(3*189*'Inputs'!$B$12-189^2)/(2*'Inputs'!$B$12^2)),0)</x:f>
        <x:v>278733.58040908724</x:v>
      </x:c>
      <x:c r="E2748" s="78" t="n">
        <x:f>C2748+D2748</x:f>
        <x:v>929111.93469695</x:v>
      </x:c>
      <x:c r="F2748" s="78" t="n">
        <x:f>'Inputs'!$B$13*E2748+(1-'Inputs'!$B$13)/'Inputs'!$B$14*SUM(E2693:E2748)</x:f>
        <x:v>939329.6115593938</x:v>
      </x:c>
      <x:c r="G2748" s="78" t="n">
        <x:f>F2748*'Inputs'!$F$51</x:f>
        <x:v>234832.40288984845</x:v>
      </x:c>
      <x:c r="H2748" s="78" t="n">
        <x:f>U2747</x:f>
        <x:v>524607.2201547631</x:v>
      </x:c>
      <x:c r="I2748" s="78" t="n">
        <x:f>V2747</x:f>
        <x:v>307014.2367937041</x:v>
      </x:c>
      <x:c r="J2748" s="79" t="n">
        <x:f>IF(H2748&gt;0,I2748/H2748,0)</x:f>
        <x:v>0.5852268611612562</x:v>
      </x:c>
      <x:c r="K2748" s="80" t="n">
        <x:f>(H2748*J2748+I2748)*'Inputs'!$D$51*(1+'Inputs'!$G$51)^(B2748/30)</x:f>
        <x:v>2509046.2070915964</x:v>
      </x:c>
      <x:c r="L2748" s="80" t="n">
        <x:f>MAX(0,K2748*'Inputs'!$E$51)</x:f>
        <x:v>250904.62070915964</x:v>
      </x:c>
      <x:c r="M2748" s="80" t="n">
        <x:f>MAX(0,-K2748*'Inputs'!$E$51)</x:f>
        <x:v>0</x:v>
      </x:c>
      <x:c r="N2748" s="78" t="n">
        <x:f>H2748*(L2748*(1-'Inputs'!$B$15))/(I2748+L2748*(1-'Inputs'!$B$15))</x:f>
        <x:v>234619.75137648633</x:v>
      </x:c>
      <x:c r="O2748" s="78" t="n">
        <x:f>H2748-N2748</x:f>
        <x:v>289987.46877827676</x:v>
      </x:c>
      <x:c r="P2748" s="78" t="n">
        <x:f>I2748+L2748*(1-'Inputs'!$B$17)</x:f>
        <x:v>556909.1809607745</x:v>
      </x:c>
      <x:c r="Q2748" s="78" t="n">
        <x:f>IF(J2748&gt;0,M2748/J2748,0)</x:f>
        <x:v>0</x:v>
      </x:c>
      <x:c r="R2748" s="78" t="n">
        <x:f>IF(B2748='Inputs'!$H$51,'Inputs'!$B$27*'Inputs'!$I$51,0)</x:f>
        <x:v>0</x:v>
      </x:c>
      <x:c r="S2748" s="78" t="n">
        <x:f>Q2748+G2748+R2748</x:f>
        <x:v>234832.40288984845</x:v>
      </x:c>
      <x:c r="T2748" s="78" t="n">
        <x:f>P2748*(S2748*(1-'Inputs'!$B$15))/(O2748+S2748*(1-'Inputs'!$B$15))</x:f>
        <x:v>247807.7869118228</x:v>
      </x:c>
      <x:c r="U2748" s="78" t="n">
        <x:f>O2748+S2748*(1-'Inputs'!$B$17)</x:f>
        <x:v>523874.87205891055</x:v>
      </x:c>
      <x:c r="V2748" s="78" t="n">
        <x:f>P2748-T2748</x:f>
        <x:v>309101.39404895174</x:v>
      </x:c>
      <x:c r="W2748" s="79" t="n">
        <x:f>IF(U2748&gt;0,V2748/U2748,0)</x:f>
        <x:v>0.590029051849986</x:v>
      </x:c>
      <x:c r="X2748" s="80" t="n">
        <x:f>W2748*('Inputs'!$B$6-AC2748)</x:f>
        <x:v>589039778.490709</x:v>
      </x:c>
      <x:c r="Y2748" s="80" t="n">
        <x:f>2*V2748</x:f>
        <x:v>618202.7880979035</x:v>
      </x:c>
      <x:c r="Z2748" s="80" t="n">
        <x:f>K2748*'Inputs'!$B$16+(G2748+R2748)*J2748*'Inputs'!$B$16</x:f>
        <x:v>15878.858622802667</x:v>
      </x:c>
      <x:c r="AA2748" s="80" t="n">
        <x:f>K2748*(1+'Inputs'!$E$51)/2*'Inputs'!$B$17</x:f>
        <x:v>5553.220981490455</x:v>
      </x:c>
      <x:c r="AB2748" s="78" t="n">
        <x:f>(IF(J2748&gt;0,K2748*(1-'Inputs'!$E$51)/2/J2748,0)+G2748+R2748)*'Inputs'!$B$17</x:f>
        <x:v>8708.731489849142</x:v>
      </x:c>
      <x:c r="AC2748" s="78" t="n">
        <x:f>AC2747+AB2748</x:f>
        <x:v>1676651.9481969322</x:v>
      </x:c>
      <x:c r="AD2748" s="80" t="n">
        <x:f>Z2748/(1+'Inputs'!$C$51)</x:f>
        <x:v>5292.952874267556</x:v>
      </x:c>
      <x:c r="AE2748" s="80" t="n">
        <x:f>Z2748-AD2748</x:f>
        <x:v>10585.905748535111</x:v>
      </x:c>
      <x:c r="AF2748" s="80" t="n">
        <x:f>D2748*W2748</x:f>
        <x:v>164460.91016752558</x:v>
      </x:c>
      <x:c r="AG2748" s="80" t="n">
        <x:f>C2748*W2748</x:f>
        <x:v>383742.12372422195</x:v>
      </x:c>
      <x:c r="AH2748" s="80" t="n">
        <x:f>2*'Inputs'!$B$8*'Inputs'!$C$51</x:f>
        <x:v>10000</x:v>
      </x:c>
      <x:c r="AI2748" s="81" t="n">
        <x:f>IF(AH2748&gt;0,(AE2748+AF2748)/AH2748*365,0)</x:f>
        <x:v>6389.208780936215</x:v>
      </x:c>
      <x:c r="AJ2748" s="81" t="n">
        <x:f>IF('Inputs'!$B$51&gt;0,AG2748/('Inputs'!$B$19*'Inputs'!$B$51)*365,0)</x:f>
        <x:v>14006.5875159341</x:v>
      </x:c>
      <x:c r="AK2748" s="81" t="n">
        <x:f>W2748/MAX($W$2559:W2748)-1</x:f>
        <x:v>-0.4013868211637611</x:v>
      </x:c>
      <x:c r="AL2748" s="83" t="n">
        <x:f>'Inputs'!$B$51</x:f>
        <x:v>1</x:v>
      </x:c>
      <x:c r="AM2748" s="83" t="n">
        <x:f>'Inputs'!$C$51</x:f>
        <x:v>2</x:v>
      </x:c>
      <x:c r="AN2748" s="83" t="n">
        <x:f>'Inputs'!$D$51</x:f>
        <x:v>3</x:v>
      </x:c>
      <x:c r="AO2748" s="81" t="n">
        <x:f>'Inputs'!$E$51</x:f>
        <x:v>0.1</x:v>
      </x:c>
    </x:row>
    <x:row r="2749">
      <x:c r="A2749" s="59" t="str">
        <x:v>High demand</x:v>
      </x:c>
      <x:c r="B2749" s="59" t="n">
        <x:v>191</x:v>
      </x:c>
      <x:c r="C2749" s="78" t="n">
        <x:f>(('Inputs'!$B$29*(3*191*'Inputs'!$B$12-191^2)/(2*'Inputs'!$B$12^2))-('Inputs'!$B$29*(3*190*'Inputs'!$B$12-190^2)/(2*'Inputs'!$B$12^2)))*'Inputs'!$B$51</x:f>
        <x:v>650053.2463876903</x:v>
      </x:c>
      <x:c r="D2749" s="78" t="n">
        <x:f>IF('Inputs'!$C$51&gt;0,('Inputs'!$B$30*(3*191*'Inputs'!$B$12-191^2)/(2*'Inputs'!$B$12^2))-('Inputs'!$B$30*(3*190*'Inputs'!$B$12-190^2)/(2*'Inputs'!$B$12^2)),0)</x:f>
        <x:v>278594.2484518662</x:v>
      </x:c>
      <x:c r="E2749" s="78" t="n">
        <x:f>C2749+D2749</x:f>
        <x:v>928647.4948395565</x:v>
      </x:c>
      <x:c r="F2749" s="78" t="n">
        <x:f>'Inputs'!$B$13*E2749+(1-'Inputs'!$B$13)/'Inputs'!$B$14*SUM(E2694:E2749)</x:f>
        <x:v>938865.1717020079</x:v>
      </x:c>
      <x:c r="G2749" s="78" t="n">
        <x:f>F2749*'Inputs'!$F$51</x:f>
        <x:v>234716.29292550197</x:v>
      </x:c>
      <x:c r="H2749" s="78" t="n">
        <x:f>U2748</x:f>
        <x:v>523874.87205891055</x:v>
      </x:c>
      <x:c r="I2749" s="78" t="n">
        <x:f>V2748</x:f>
        <x:v>309101.39404895174</x:v>
      </x:c>
      <x:c r="J2749" s="79" t="n">
        <x:f>IF(H2749&gt;0,I2749/H2749,0)</x:f>
        <x:v>0.590029051849986</x:v>
      </x:c>
      <x:c r="K2749" s="80" t="n">
        <x:f>(H2749*J2749+I2749)*'Inputs'!$D$51*(1+'Inputs'!$G$51)^(B2749/30)</x:f>
        <x:v>2530214.9542342154</x:v>
      </x:c>
      <x:c r="L2749" s="80" t="n">
        <x:f>MAX(0,K2749*'Inputs'!$E$51)</x:f>
        <x:v>253021.49542342155</x:v>
      </x:c>
      <x:c r="M2749" s="80" t="n">
        <x:f>MAX(0,-K2749*'Inputs'!$E$51)</x:f>
        <x:v>0</x:v>
      </x:c>
      <x:c r="N2749" s="78" t="n">
        <x:f>H2749*(L2749*(1-'Inputs'!$B$15))/(I2749+L2749*(1-'Inputs'!$B$15))</x:f>
        <x:v>234502.86875300138</x:v>
      </x:c>
      <x:c r="O2749" s="78" t="n">
        <x:f>H2749-N2749</x:f>
        <x:v>289372.00330590917</x:v>
      </x:c>
      <x:c r="P2749" s="78" t="n">
        <x:f>I2749+L2749*(1-'Inputs'!$B$17)</x:f>
        <x:v>561104.6943197639</x:v>
      </x:c>
      <x:c r="Q2749" s="78" t="n">
        <x:f>IF(J2749&gt;0,M2749/J2749,0)</x:f>
        <x:v>0</x:v>
      </x:c>
      <x:c r="R2749" s="78" t="n">
        <x:f>IF(B2749='Inputs'!$H$51,'Inputs'!$B$27*'Inputs'!$I$51,0)</x:f>
        <x:v>0</x:v>
      </x:c>
      <x:c r="S2749" s="78" t="n">
        <x:f>Q2749+G2749+R2749</x:f>
        <x:v>234716.29292550197</x:v>
      </x:c>
      <x:c r="T2749" s="78" t="n">
        <x:f>P2749*(S2749*(1-'Inputs'!$B$15))/(O2749+S2749*(1-'Inputs'!$B$15))</x:f>
        <x:v>249900.5758481853</x:v>
      </x:c>
      <x:c r="U2749" s="78" t="n">
        <x:f>O2749+S2749*(1-'Inputs'!$B$17)</x:f>
        <x:v>523143.7638655137</x:v>
      </x:c>
      <x:c r="V2749" s="78" t="n">
        <x:f>P2749-T2749</x:f>
        <x:v>311204.1184715786</x:v>
      </x:c>
      <x:c r="W2749" s="79" t="n">
        <x:f>IF(U2749&gt;0,V2749/U2749,0)</x:f>
        <x:v>0.59487303484627</x:v>
      </x:c>
      <x:c r="X2749" s="80" t="n">
        <x:f>W2749*('Inputs'!$B$6-AC2749)</x:f>
        <x:v>593870458.4424311</x:v>
      </x:c>
      <x:c r="Y2749" s="80" t="n">
        <x:f>2*V2749</x:f>
        <x:v>622408.2369431572</x:v>
      </x:c>
      <x:c r="Z2749" s="80" t="n">
        <x:f>K2749*'Inputs'!$B$16+(G2749+R2749)*J2749*'Inputs'!$B$16</x:f>
        <x:v>16012.226316016759</x:v>
      </x:c>
      <x:c r="AA2749" s="80" t="n">
        <x:f>K2749*(1+'Inputs'!$E$51)/2*'Inputs'!$B$17</x:f>
        <x:v>5600.073339351383</x:v>
      </x:c>
      <x:c r="AB2749" s="78" t="n">
        <x:f>(IF(J2749&gt;0,K2749*(1-'Inputs'!$E$51)/2/J2749,0)+G2749+R2749)*'Inputs'!$B$17</x:f>
        <x:v>8710.045220520315</x:v>
      </x:c>
      <x:c r="AC2749" s="78" t="n">
        <x:f>AC2748+AB2749</x:f>
        <x:v>1685361.9934174526</x:v>
      </x:c>
      <x:c r="AD2749" s="80" t="n">
        <x:f>Z2749/(1+'Inputs'!$C$51)</x:f>
        <x:v>5337.408772005586</x:v>
      </x:c>
      <x:c r="AE2749" s="80" t="n">
        <x:f>Z2749-AD2749</x:f>
        <x:v>10674.817544011174</x:v>
      </x:c>
      <x:c r="AF2749" s="80" t="n">
        <x:f>D2749*W2749</x:f>
        <x:v>165728.2060672774</x:v>
      </x:c>
      <x:c r="AG2749" s="80" t="n">
        <x:f>C2749*W2749</x:f>
        <x:v>386699.14749031543</x:v>
      </x:c>
      <x:c r="AH2749" s="80" t="n">
        <x:f>2*'Inputs'!$B$8*'Inputs'!$C$51</x:f>
        <x:v>10000</x:v>
      </x:c>
      <x:c r="AI2749" s="81" t="n">
        <x:f>IF(AH2749&gt;0,(AE2749+AF2749)/AH2749*365,0)</x:f>
        <x:v>6438.710361812033</x:v>
      </x:c>
      <x:c r="AJ2749" s="81" t="n">
        <x:f>IF('Inputs'!$B$51&gt;0,AG2749/('Inputs'!$B$19*'Inputs'!$B$51)*365,0)</x:f>
        <x:v>14114.518883396513</x:v>
      </x:c>
      <x:c r="AK2749" s="81" t="n">
        <x:f>W2749/MAX($W$2559:W2749)-1</x:f>
        <x:v>-0.3964723647475177</x:v>
      </x:c>
      <x:c r="AL2749" s="83" t="n">
        <x:f>'Inputs'!$B$51</x:f>
        <x:v>1</x:v>
      </x:c>
      <x:c r="AM2749" s="83" t="n">
        <x:f>'Inputs'!$C$51</x:f>
        <x:v>2</x:v>
      </x:c>
      <x:c r="AN2749" s="83" t="n">
        <x:f>'Inputs'!$D$51</x:f>
        <x:v>3</x:v>
      </x:c>
      <x:c r="AO2749" s="81" t="n">
        <x:f>'Inputs'!$E$51</x:f>
        <x:v>0.1</x:v>
      </x:c>
    </x:row>
    <x:row r="2750">
      <x:c r="A2750" s="59" t="str">
        <x:v>High demand</x:v>
      </x:c>
      <x:c r="B2750" s="59" t="n">
        <x:v>192</x:v>
      </x:c>
      <x:c r="C2750" s="78" t="n">
        <x:f>(('Inputs'!$B$29*(3*192*'Inputs'!$B$12-192^2)/(2*'Inputs'!$B$12^2))-('Inputs'!$B$29*(3*191*'Inputs'!$B$12-191^2)/(2*'Inputs'!$B$12^2)))*'Inputs'!$B$51</x:f>
        <x:v>649728.1384875178</x:v>
      </x:c>
      <x:c r="D2750" s="78" t="n">
        <x:f>IF('Inputs'!$C$51&gt;0,('Inputs'!$B$30*(3*192*'Inputs'!$B$12-192^2)/(2*'Inputs'!$B$12^2))-('Inputs'!$B$30*(3*191*'Inputs'!$B$12-191^2)/(2*'Inputs'!$B$12^2)),0)</x:f>
        <x:v>278454.9164946526</x:v>
      </x:c>
      <x:c r="E2750" s="78" t="n">
        <x:f>C2750+D2750</x:f>
        <x:v>928183.0549821705</x:v>
      </x:c>
      <x:c r="F2750" s="78" t="n">
        <x:f>'Inputs'!$B$13*E2750+(1-'Inputs'!$B$13)/'Inputs'!$B$14*SUM(E2695:E2750)</x:f>
        <x:v>938400.7318446233</x:v>
      </x:c>
      <x:c r="G2750" s="78" t="n">
        <x:f>F2750*'Inputs'!$F$51</x:f>
        <x:v>234600.18296115584</x:v>
      </x:c>
      <x:c r="H2750" s="78" t="n">
        <x:f>U2749</x:f>
        <x:v>523143.7638655137</x:v>
      </x:c>
      <x:c r="I2750" s="78" t="n">
        <x:f>V2749</x:f>
        <x:v>311204.1184715786</x:v>
      </x:c>
      <x:c r="J2750" s="79" t="n">
        <x:f>IF(H2750&gt;0,I2750/H2750,0)</x:f>
        <x:v>0.59487303484627</x:v>
      </x:c>
      <x:c r="K2750" s="80" t="n">
        <x:f>(H2750*J2750+I2750)*'Inputs'!$D$51*(1+'Inputs'!$G$51)^(B2750/30)</x:f>
        <x:v>2551573.6010902044</x:v>
      </x:c>
      <x:c r="L2750" s="80" t="n">
        <x:f>MAX(0,K2750*'Inputs'!$E$51)</x:f>
        <x:v>255157.36010902046</x:v>
      </x:c>
      <x:c r="M2750" s="80" t="n">
        <x:f>MAX(0,-K2750*'Inputs'!$E$51)</x:f>
        <x:v>0</x:v>
      </x:c>
      <x:c r="N2750" s="78" t="n">
        <x:f>H2750*(L2750*(1-'Inputs'!$B$15))/(I2750+L2750*(1-'Inputs'!$B$15))</x:f>
        <x:v>234385.98854124403</x:v>
      </x:c>
      <x:c r="O2750" s="78" t="n">
        <x:f>H2750-N2750</x:f>
        <x:v>288757.77532426966</x:v>
      </x:c>
      <x:c r="P2750" s="78" t="n">
        <x:f>I2750+L2750*(1-'Inputs'!$B$17)</x:f>
        <x:v>565334.6883990738</x:v>
      </x:c>
      <x:c r="Q2750" s="78" t="n">
        <x:f>IF(J2750&gt;0,M2750/J2750,0)</x:f>
        <x:v>0</x:v>
      </x:c>
      <x:c r="R2750" s="78" t="n">
        <x:f>IF(B2750='Inputs'!$H$51,'Inputs'!$B$27*'Inputs'!$I$51,0)</x:f>
        <x:v>0</x:v>
      </x:c>
      <x:c r="S2750" s="78" t="n">
        <x:f>Q2750+G2750+R2750</x:f>
        <x:v>234600.18296115584</x:v>
      </x:c>
      <x:c r="T2750" s="78" t="n">
        <x:f>P2750*(S2750*(1-'Inputs'!$B$15))/(O2750+S2750*(1-'Inputs'!$B$15))</x:f>
        <x:v>252012.15344953228</x:v>
      </x:c>
      <x:c r="U2750" s="78" t="n">
        <x:f>O2750+S2750*(1-'Inputs'!$B$17)</x:f>
        <x:v>522413.8931628454</x:v>
      </x:c>
      <x:c r="V2750" s="78" t="n">
        <x:f>P2750-T2750</x:f>
        <x:v>313322.5349495415</x:v>
      </x:c>
      <x:c r="W2750" s="79" t="n">
        <x:f>IF(U2750&gt;0,V2750/U2750,0)</x:f>
        <x:v>0.5997591929506236</x:v>
      </x:c>
      <x:c r="X2750" s="80" t="n">
        <x:f>W2750*('Inputs'!$B$6-AC2750)</x:f>
        <x:v>598743156.8818256</x:v>
      </x:c>
      <x:c r="Y2750" s="80" t="n">
        <x:f>2*V2750</x:f>
        <x:v>626645.069899083</x:v>
      </x:c>
      <x:c r="Z2750" s="80" t="n">
        <x:f>K2750*'Inputs'!$B$16+(G2750+R2750)*J2750*'Inputs'!$B$16</x:f>
        <x:v>16146.785543422784</x:v>
      </x:c>
      <x:c r="AA2750" s="80" t="n">
        <x:f>K2750*(1+'Inputs'!$E$51)/2*'Inputs'!$B$17</x:f>
        <x:v>5647.345998388783</x:v>
      </x:c>
      <x:c r="AB2750" s="78" t="n">
        <x:f>(IF(J2750&gt;0,K2750*(1-'Inputs'!$E$51)/2/J2750,0)+G2750+R2750)*'Inputs'!$B$17</x:f>
        <x:v>8711.362589774286</x:v>
      </x:c>
      <x:c r="AC2750" s="78" t="n">
        <x:f>AC2749+AB2750</x:f>
        <x:v>1694073.3560072267</x:v>
      </x:c>
      <x:c r="AD2750" s="80" t="n">
        <x:f>Z2750/(1+'Inputs'!$C$51)</x:f>
        <x:v>5382.261847807595</x:v>
      </x:c>
      <x:c r="AE2750" s="80" t="n">
        <x:f>Z2750-AD2750</x:f>
        <x:v>10764.52369561519</x:v>
      </x:c>
      <x:c r="AF2750" s="80" t="n">
        <x:f>D2750*W2750</x:f>
        <x:v>167005.89598996617</x:v>
      </x:c>
      <x:c r="AG2750" s="80" t="n">
        <x:f>C2750*W2750</x:f>
        <x:v>389680.42397658475</x:v>
      </x:c>
      <x:c r="AH2750" s="80" t="n">
        <x:f>2*'Inputs'!$B$8*'Inputs'!$C$51</x:f>
        <x:v>10000</x:v>
      </x:c>
      <x:c r="AI2750" s="81" t="n">
        <x:f>IF(AH2750&gt;0,(AE2750+AF2750)/AH2750*365,0)</x:f>
        <x:v>6488.620318523719</x:v>
      </x:c>
      <x:c r="AJ2750" s="81" t="n">
        <x:f>IF('Inputs'!$B$51&gt;0,AG2750/('Inputs'!$B$19*'Inputs'!$B$51)*365,0)</x:f>
        <x:v>14223.335475145343</x:v>
      </x:c>
      <x:c r="AK2750" s="81" t="n">
        <x:f>W2750/MAX($W$2559:W2750)-1</x:f>
        <x:v>-0.3915151196322597</x:v>
      </x:c>
      <x:c r="AL2750" s="83" t="n">
        <x:f>'Inputs'!$B$51</x:f>
        <x:v>1</x:v>
      </x:c>
      <x:c r="AM2750" s="83" t="n">
        <x:f>'Inputs'!$C$51</x:f>
        <x:v>2</x:v>
      </x:c>
      <x:c r="AN2750" s="83" t="n">
        <x:f>'Inputs'!$D$51</x:f>
        <x:v>3</x:v>
      </x:c>
      <x:c r="AO2750" s="81" t="n">
        <x:f>'Inputs'!$E$51</x:f>
        <x:v>0.1</x:v>
      </x:c>
    </x:row>
    <x:row r="2751">
      <x:c r="A2751" s="59" t="str">
        <x:v>High demand</x:v>
      </x:c>
      <x:c r="B2751" s="59" t="n">
        <x:v>193</x:v>
      </x:c>
      <x:c r="C2751" s="78" t="n">
        <x:f>(('Inputs'!$B$29*(3*193*'Inputs'!$B$12-193^2)/(2*'Inputs'!$B$12^2))-('Inputs'!$B$29*(3*192*'Inputs'!$B$12-192^2)/(2*'Inputs'!$B$12^2)))*'Inputs'!$B$51</x:f>
        <x:v>649403.0305873603</x:v>
      </x:c>
      <x:c r="D2751" s="78" t="n">
        <x:f>IF('Inputs'!$C$51&gt;0,('Inputs'!$B$30*(3*193*'Inputs'!$B$12-193^2)/(2*'Inputs'!$B$12^2))-('Inputs'!$B$30*(3*192*'Inputs'!$B$12-192^2)/(2*'Inputs'!$B$12^2)),0)</x:f>
        <x:v>278315.5845374316</x:v>
      </x:c>
      <x:c r="E2751" s="78" t="n">
        <x:f>C2751+D2751</x:f>
        <x:v>927718.6151247919</x:v>
      </x:c>
      <x:c r="F2751" s="78" t="n">
        <x:f>'Inputs'!$B$13*E2751+(1-'Inputs'!$B$13)/'Inputs'!$B$14*SUM(E2696:E2751)</x:f>
        <x:v>937936.2919872404</x:v>
      </x:c>
      <x:c r="G2751" s="78" t="n">
        <x:f>F2751*'Inputs'!$F$51</x:f>
        <x:v>234484.0729968101</x:v>
      </x:c>
      <x:c r="H2751" s="78" t="n">
        <x:f>U2750</x:f>
        <x:v>522413.8931628454</x:v>
      </x:c>
      <x:c r="I2751" s="78" t="n">
        <x:f>V2750</x:f>
        <x:v>313322.5349495415</x:v>
      </x:c>
      <x:c r="J2751" s="79" t="n">
        <x:f>IF(H2751&gt;0,I2751/H2751,0)</x:f>
        <x:v>0.5997591929506236</x:v>
      </x:c>
      <x:c r="K2751" s="80" t="n">
        <x:f>(H2751*J2751+I2751)*'Inputs'!$D$51*(1+'Inputs'!$G$51)^(B2751/30)</x:f>
        <x:v>2573123.943137969</x:v>
      </x:c>
      <x:c r="L2751" s="80" t="n">
        <x:f>MAX(0,K2751*'Inputs'!$E$51)</x:f>
        <x:v>257312.3943137969</x:v>
      </x:c>
      <x:c r="M2751" s="80" t="n">
        <x:f>MAX(0,-K2751*'Inputs'!$E$51)</x:f>
        <x:v>0</x:v>
      </x:c>
      <x:c r="N2751" s="78" t="n">
        <x:f>H2751*(L2751*(1-'Inputs'!$B$15))/(I2751+L2751*(1-'Inputs'!$B$15))</x:f>
        <x:v>234269.11073661348</x:v>
      </x:c>
      <x:c r="O2751" s="78" t="n">
        <x:f>H2751-N2751</x:f>
        <x:v>288144.7824262319</x:v>
      </x:c>
      <x:c r="P2751" s="78" t="n">
        <x:f>I2751+L2751*(1-'Inputs'!$B$17)</x:f>
        <x:v>569599.4669119751</x:v>
      </x:c>
      <x:c r="Q2751" s="78" t="n">
        <x:f>IF(J2751&gt;0,M2751/J2751,0)</x:f>
        <x:v>0</x:v>
      </x:c>
      <x:c r="R2751" s="78" t="n">
        <x:f>IF(B2751='Inputs'!$H$51,'Inputs'!$B$27*'Inputs'!$I$51,0)</x:f>
        <x:v>0</x:v>
      </x:c>
      <x:c r="S2751" s="78" t="n">
        <x:f>Q2751+G2751+R2751</x:f>
        <x:v>234484.0729968101</x:v>
      </x:c>
      <x:c r="T2751" s="78" t="n">
        <x:f>P2751*(S2751*(1-'Inputs'!$B$15))/(O2751+S2751*(1-'Inputs'!$B$15))</x:f>
        <x:v>254142.69747755252</x:v>
      </x:c>
      <x:c r="U2751" s="78" t="n">
        <x:f>O2751+S2751*(1-'Inputs'!$B$17)</x:f>
        <x:v>521685.2575437792</x:v>
      </x:c>
      <x:c r="V2751" s="78" t="n">
        <x:f>P2751-T2751</x:f>
        <x:v>315456.76943442255</x:v>
      </x:c>
      <x:c r="W2751" s="79" t="n">
        <x:f>IF(U2751&gt;0,V2751/U2751,0)</x:f>
        <x:v>0.6046879126308257</x:v>
      </x:c>
      <x:c r="X2751" s="80" t="n">
        <x:f>W2751*('Inputs'!$B$6-AC2751)</x:f>
        <x:v>603658258.4948794</x:v>
      </x:c>
      <x:c r="Y2751" s="80" t="n">
        <x:f>2*V2751</x:f>
        <x:v>630913.5388688451</x:v>
      </x:c>
      <x:c r="Z2751" s="80" t="n">
        <x:f>K2751*'Inputs'!$B$16+(G2751+R2751)*J2751*'Inputs'!$B$16</x:f>
        <x:v>16282.547529109866</x:v>
      </x:c>
      <x:c r="AA2751" s="80" t="n">
        <x:f>K2751*(1+'Inputs'!$E$51)/2*'Inputs'!$B$17</x:f>
        <x:v>5695.042932498523</x:v>
      </x:c>
      <x:c r="AB2751" s="78" t="n">
        <x:f>(IF(J2751&gt;0,K2751*(1-'Inputs'!$E$51)/2/J2751,0)+G2751+R2751)*'Inputs'!$B$17</x:f>
        <x:v>8712.683598835547</x:v>
      </x:c>
      <x:c r="AC2751" s="78" t="n">
        <x:f>AC2750+AB2751</x:f>
        <x:v>1702786.0396060622</x:v>
      </x:c>
      <x:c r="AD2751" s="80" t="n">
        <x:f>Z2751/(1+'Inputs'!$C$51)</x:f>
        <x:v>5427.515843036622</x:v>
      </x:c>
      <x:c r="AE2751" s="80" t="n">
        <x:f>Z2751-AD2751</x:f>
        <x:v>10855.031686073246</x:v>
      </x:c>
      <x:c r="AF2751" s="80" t="n">
        <x:f>D2751*W2751</x:f>
        <x:v>168294.06986656762</x:v>
      </x:c>
      <x:c r="AG2751" s="80" t="n">
        <x:f>C2751*W2751</x:f>
        <x:v>392686.16302200314</x:v>
      </x:c>
      <x:c r="AH2751" s="80" t="n">
        <x:f>2*'Inputs'!$B$8*'Inputs'!$C$51</x:f>
        <x:v>10000</x:v>
      </x:c>
      <x:c r="AI2751" s="81" t="n">
        <x:f>IF(AH2751&gt;0,(AE2751+AF2751)/AH2751*365,0)</x:f>
        <x:v>6538.942206671392</x:v>
      </x:c>
      <x:c r="AJ2751" s="81" t="n">
        <x:f>IF('Inputs'!$B$51&gt;0,AG2751/('Inputs'!$B$19*'Inputs'!$B$51)*365,0)</x:f>
        <x:v>14333.044950303114</x:v>
      </x:c>
      <x:c r="AK2751" s="81" t="n">
        <x:f>W2751/MAX($W$2559:W2751)-1</x:f>
        <x:v>-0.3865146937276237</x:v>
      </x:c>
      <x:c r="AL2751" s="83" t="n">
        <x:f>'Inputs'!$B$51</x:f>
        <x:v>1</x:v>
      </x:c>
      <x:c r="AM2751" s="83" t="n">
        <x:f>'Inputs'!$C$51</x:f>
        <x:v>2</x:v>
      </x:c>
      <x:c r="AN2751" s="83" t="n">
        <x:f>'Inputs'!$D$51</x:f>
        <x:v>3</x:v>
      </x:c>
      <x:c r="AO2751" s="81" t="n">
        <x:f>'Inputs'!$E$51</x:f>
        <x:v>0.1</x:v>
      </x:c>
    </x:row>
    <x:row r="2752">
      <x:c r="A2752" s="59" t="str">
        <x:v>High demand</x:v>
      </x:c>
      <x:c r="B2752" s="59" t="n">
        <x:v>194</x:v>
      </x:c>
      <x:c r="C2752" s="78" t="n">
        <x:f>(('Inputs'!$B$29*(3*194*'Inputs'!$B$12-194^2)/(2*'Inputs'!$B$12^2))-('Inputs'!$B$29*(3*193*'Inputs'!$B$12-193^2)/(2*'Inputs'!$B$12^2)))*'Inputs'!$B$51</x:f>
        <x:v>649077.9226871729</x:v>
      </x:c>
      <x:c r="D2752" s="78" t="n">
        <x:f>IF('Inputs'!$C$51&gt;0,('Inputs'!$B$30*(3*194*'Inputs'!$B$12-194^2)/(2*'Inputs'!$B$12^2))-('Inputs'!$B$30*(3*193*'Inputs'!$B$12-193^2)/(2*'Inputs'!$B$12^2)),0)</x:f>
        <x:v>278176.25258022547</x:v>
      </x:c>
      <x:c r="E2752" s="78" t="n">
        <x:f>C2752+D2752</x:f>
        <x:v>927254.1752673984</x:v>
      </x:c>
      <x:c r="F2752" s="78" t="n">
        <x:f>'Inputs'!$B$13*E2752+(1-'Inputs'!$B$13)/'Inputs'!$B$14*SUM(E2697:E2752)</x:f>
        <x:v>937471.8521298541</x:v>
      </x:c>
      <x:c r="G2752" s="78" t="n">
        <x:f>F2752*'Inputs'!$F$51</x:f>
        <x:v>234367.96303246354</x:v>
      </x:c>
      <x:c r="H2752" s="78" t="n">
        <x:f>U2751</x:f>
        <x:v>521685.2575437792</x:v>
      </x:c>
      <x:c r="I2752" s="78" t="n">
        <x:f>V2751</x:f>
        <x:v>315456.76943442255</x:v>
      </x:c>
      <x:c r="J2752" s="79" t="n">
        <x:f>IF(H2752&gt;0,I2752/H2752,0)</x:f>
        <x:v>0.6046879126308257</x:v>
      </x:c>
      <x:c r="K2752" s="80" t="n">
        <x:f>(H2752*J2752+I2752)*'Inputs'!$D$51*(1+'Inputs'!$G$51)^(B2752/30)</x:f>
        <x:v>2594867.793623687</x:v>
      </x:c>
      <x:c r="L2752" s="80" t="n">
        <x:f>MAX(0,K2752*'Inputs'!$E$51)</x:f>
        <x:v>259486.7793623687</x:v>
      </x:c>
      <x:c r="M2752" s="80" t="n">
        <x:f>MAX(0,-K2752*'Inputs'!$E$51)</x:f>
        <x:v>0</x:v>
      </x:c>
      <x:c r="N2752" s="78" t="n">
        <x:f>H2752*(L2752*(1-'Inputs'!$B$15))/(I2752+L2752*(1-'Inputs'!$B$15))</x:f>
        <x:v>234152.23533451773</x:v>
      </x:c>
      <x:c r="O2752" s="78" t="n">
        <x:f>H2752-N2752</x:f>
        <x:v>287533.0222092615</x:v>
      </x:c>
      <x:c r="P2752" s="78" t="n">
        <x:f>I2752+L2752*(1-'Inputs'!$B$17)</x:f>
        <x:v>573899.336404991</x:v>
      </x:c>
      <x:c r="Q2752" s="78" t="n">
        <x:f>IF(J2752&gt;0,M2752/J2752,0)</x:f>
        <x:v>0</x:v>
      </x:c>
      <x:c r="R2752" s="78" t="n">
        <x:f>IF(B2752='Inputs'!$H$51,'Inputs'!$B$27*'Inputs'!$I$51,0)</x:f>
        <x:v>0</x:v>
      </x:c>
      <x:c r="S2752" s="78" t="n">
        <x:f>Q2752+G2752+R2752</x:f>
        <x:v>234367.96303246354</x:v>
      </x:c>
      <x:c r="T2752" s="78" t="n">
        <x:f>P2752*(S2752*(1-'Inputs'!$B$15))/(O2752+S2752*(1-'Inputs'!$B$15))</x:f>
        <x:v>256292.38745403418</x:v>
      </x:c>
      <x:c r="U2752" s="78" t="n">
        <x:f>O2752+S2752*(1-'Inputs'!$B$17)</x:f>
        <x:v>520957.8546057795</x:v>
      </x:c>
      <x:c r="V2752" s="78" t="n">
        <x:f>P2752-T2752</x:f>
        <x:v>317606.9489509568</x:v>
      </x:c>
      <x:c r="W2752" s="79" t="n">
        <x:f>IF(U2752&gt;0,V2752/U2752,0)</x:f>
        <x:v>0.6096595840584784</x:v>
      </x:c>
      <x:c r="X2752" s="80" t="n">
        <x:f>W2752*('Inputs'!$B$6-AC2752)</x:f>
        <x:v>608616151.6511871</x:v>
      </x:c>
      <x:c r="Y2752" s="80" t="n">
        <x:f>2*V2752</x:f>
        <x:v>635213.8979019136</x:v>
      </x:c>
      <x:c r="Z2752" s="80" t="n">
        <x:f>K2752*'Inputs'!$B$16+(G2752+R2752)*J2752*'Inputs'!$B$16</x:f>
        <x:v>16419.523607863954</x:v>
      </x:c>
      <x:c r="AA2752" s="80" t="n">
        <x:f>K2752*(1+'Inputs'!$E$51)/2*'Inputs'!$B$17</x:f>
        <x:v>5743.168154901521</x:v>
      </x:c>
      <x:c r="AB2752" s="78" t="n">
        <x:f>(IF(J2752&gt;0,K2752*(1-'Inputs'!$E$51)/2/J2752,0)+G2752+R2752)*'Inputs'!$B$17</x:f>
        <x:v>8714.008248923468</x:v>
      </x:c>
      <x:c r="AC2752" s="78" t="n">
        <x:f>AC2751+AB2752</x:f>
        <x:v>1711500.0478549858</x:v>
      </x:c>
      <x:c r="AD2752" s="80" t="n">
        <x:f>Z2752/(1+'Inputs'!$C$51)</x:f>
        <x:v>5473.174535954651</x:v>
      </x:c>
      <x:c r="AE2752" s="80" t="n">
        <x:f>Z2752-AD2752</x:f>
        <x:v>10946.349071909302</x:v>
      </x:c>
      <x:c r="AF2752" s="80" t="n">
        <x:f>D2752*W2752</x:f>
        <x:v>169592.8184430065</x:v>
      </x:c>
      <x:c r="AG2752" s="80" t="n">
        <x:f>C2752*W2752</x:f>
        <x:v>395716.576367003</x:v>
      </x:c>
      <x:c r="AH2752" s="80" t="n">
        <x:f>2*'Inputs'!$B$8*'Inputs'!$C$51</x:f>
        <x:v>10000</x:v>
      </x:c>
      <x:c r="AI2752" s="81" t="n">
        <x:f>IF(AH2752&gt;0,(AE2752+AF2752)/AH2752*365,0)</x:f>
        <x:v>6589.679614294426</x:v>
      </x:c>
      <x:c r="AJ2752" s="81" t="n">
        <x:f>IF('Inputs'!$B$51&gt;0,AG2752/('Inputs'!$B$19*'Inputs'!$B$51)*365,0)</x:f>
        <x:v>14443.65503739561</x:v>
      </x:c>
      <x:c r="AK2752" s="81" t="n">
        <x:f>W2752/MAX($W$2559:W2752)-1</x:f>
        <x:v>-0.3814706911855368</x:v>
      </x:c>
      <x:c r="AL2752" s="83" t="n">
        <x:f>'Inputs'!$B$51</x:f>
        <x:v>1</x:v>
      </x:c>
      <x:c r="AM2752" s="83" t="n">
        <x:f>'Inputs'!$C$51</x:f>
        <x:v>2</x:v>
      </x:c>
      <x:c r="AN2752" s="83" t="n">
        <x:f>'Inputs'!$D$51</x:f>
        <x:v>3</x:v>
      </x:c>
      <x:c r="AO2752" s="81" t="n">
        <x:f>'Inputs'!$E$51</x:f>
        <x:v>0.1</x:v>
      </x:c>
    </x:row>
    <x:row r="2753">
      <x:c r="A2753" s="59" t="str">
        <x:v>High demand</x:v>
      </x:c>
      <x:c r="B2753" s="59" t="n">
        <x:v>195</x:v>
      </x:c>
      <x:c r="C2753" s="78" t="n">
        <x:f>(('Inputs'!$B$29*(3*195*'Inputs'!$B$12-195^2)/(2*'Inputs'!$B$12^2))-('Inputs'!$B$29*(3*194*'Inputs'!$B$12-194^2)/(2*'Inputs'!$B$12^2)))*'Inputs'!$B$51</x:f>
        <x:v>648752.8147870153</x:v>
      </x:c>
      <x:c r="D2753" s="78" t="n">
        <x:f>IF('Inputs'!$C$51&gt;0,('Inputs'!$B$30*(3*195*'Inputs'!$B$12-195^2)/(2*'Inputs'!$B$12^2))-('Inputs'!$B$30*(3*194*'Inputs'!$B$12-194^2)/(2*'Inputs'!$B$12^2)),0)</x:f>
        <x:v>278036.92062300444</x:v>
      </x:c>
      <x:c r="E2753" s="78" t="n">
        <x:f>C2753+D2753</x:f>
        <x:v>926789.7354100198</x:v>
      </x:c>
      <x:c r="F2753" s="78" t="n">
        <x:f>'Inputs'!$B$13*E2753+(1-'Inputs'!$B$13)/'Inputs'!$B$14*SUM(E2698:E2753)</x:f>
        <x:v>937007.4122724712</x:v>
      </x:c>
      <x:c r="G2753" s="78" t="n">
        <x:f>F2753*'Inputs'!$F$51</x:f>
        <x:v>234251.8530681178</x:v>
      </x:c>
      <x:c r="H2753" s="78" t="n">
        <x:f>U2752</x:f>
        <x:v>520957.8546057795</x:v>
      </x:c>
      <x:c r="I2753" s="78" t="n">
        <x:f>V2752</x:f>
        <x:v>317606.9489509568</x:v>
      </x:c>
      <x:c r="J2753" s="79" t="n">
        <x:f>IF(H2753&gt;0,I2753/H2753,0)</x:f>
        <x:v>0.6096595840584784</x:v>
      </x:c>
      <x:c r="K2753" s="80" t="n">
        <x:f>(H2753*J2753+I2753)*'Inputs'!$D$51*(1+'Inputs'!$G$51)^(B2753/30)</x:f>
        <x:v>2616806.9837443125</x:v>
      </x:c>
      <x:c r="L2753" s="80" t="n">
        <x:f>MAX(0,K2753*'Inputs'!$E$51)</x:f>
        <x:v>261680.69837443126</x:v>
      </x:c>
      <x:c r="M2753" s="80" t="n">
        <x:f>MAX(0,-K2753*'Inputs'!$E$51)</x:f>
        <x:v>0</x:v>
      </x:c>
      <x:c r="N2753" s="78" t="n">
        <x:f>H2753*(L2753*(1-'Inputs'!$B$15))/(I2753+L2753*(1-'Inputs'!$B$15))</x:f>
        <x:v>234035.36233037242</x:v>
      </x:c>
      <x:c r="O2753" s="78" t="n">
        <x:f>H2753-N2753</x:f>
        <x:v>286922.4922754071</x:v>
      </x:c>
      <x:c r="P2753" s="78" t="n">
        <x:f>I2753+L2753*(1-'Inputs'!$B$17)</x:f>
        <x:v>578234.6062856519</x:v>
      </x:c>
      <x:c r="Q2753" s="78" t="n">
        <x:f>IF(J2753&gt;0,M2753/J2753,0)</x:f>
        <x:v>0</x:v>
      </x:c>
      <x:c r="R2753" s="78" t="n">
        <x:f>IF(B2753='Inputs'!$H$51,'Inputs'!$B$27*'Inputs'!$I$51,0)</x:f>
        <x:v>0</x:v>
      </x:c>
      <x:c r="S2753" s="78" t="n">
        <x:f>Q2753+G2753+R2753</x:f>
        <x:v>234251.8530681178</x:v>
      </x:c>
      <x:c r="T2753" s="78" t="n">
        <x:f>P2753*(S2753*(1-'Inputs'!$B$15))/(O2753+S2753*(1-'Inputs'!$B$15))</x:f>
        <x:v>258461.40467900573</x:v>
      </x:c>
      <x:c r="U2753" s="78" t="n">
        <x:f>O2753+S2753*(1-'Inputs'!$B$17)</x:f>
        <x:v>520231.68195089663</x:v>
      </x:c>
      <x:c r="V2753" s="78" t="n">
        <x:f>P2753-T2753</x:f>
        <x:v>319773.2016066462</x:v>
      </x:c>
      <x:c r="W2753" s="79" t="n">
        <x:f>IF(U2753&gt;0,V2753/U2753,0)</x:f>
        <x:v>0.6146746011459348</x:v>
      </x:c>
      <x:c r="X2753" s="80" t="n">
        <x:f>W2753*('Inputs'!$B$6-AC2753)</x:f>
        <x:v>613617228.4406459</x:v>
      </x:c>
      <x:c r="Y2753" s="80" t="n">
        <x:f>2*V2753</x:f>
        <x:v>639546.4032132924</x:v>
      </x:c>
      <x:c r="Z2753" s="80" t="n">
        <x:f>K2753*'Inputs'!$B$16+(G2753+R2753)*J2753*'Inputs'!$B$16</x:f>
        <x:v>16557.725226304494</x:v>
      </x:c>
      <x:c r="AA2753" s="80" t="n">
        <x:f>K2753*(1+'Inputs'!$E$51)/2*'Inputs'!$B$17</x:f>
        <x:v>5791.7257185487815</x:v>
      </x:c>
      <x:c r="AB2753" s="78" t="n">
        <x:f>(IF(J2753&gt;0,K2753*(1-'Inputs'!$E$51)/2/J2753,0)+G2753+R2753)*'Inputs'!$B$17</x:f>
        <x:v>8715.336541252287</x:v>
      </x:c>
      <x:c r="AC2753" s="78" t="n">
        <x:f>AC2752+AB2753</x:f>
        <x:v>1720215.384396238</x:v>
      </x:c>
      <x:c r="AD2753" s="80" t="n">
        <x:f>Z2753/(1+'Inputs'!$C$51)</x:f>
        <x:v>5519.241742101498</x:v>
      </x:c>
      <x:c r="AE2753" s="80" t="n">
        <x:f>Z2753-AD2753</x:f>
        <x:v>11038.483484202996</x:v>
      </x:c>
      <x:c r="AF2753" s="80" t="n">
        <x:f>D2753*W2753</x:f>
        <x:v>170902.23328778916</x:v>
      </x:c>
      <x:c r="AG2753" s="80" t="n">
        <x:f>C2753*W2753</x:f>
        <x:v>398771.87767151115</x:v>
      </x:c>
      <x:c r="AH2753" s="80" t="n">
        <x:f>2*'Inputs'!$B$8*'Inputs'!$C$51</x:f>
        <x:v>10000</x:v>
      </x:c>
      <x:c r="AI2753" s="81" t="n">
        <x:f>IF(AH2753&gt;0,(AE2753+AF2753)/AH2753*365,0)</x:f>
        <x:v>6640.836162177713</x:v>
      </x:c>
      <x:c r="AJ2753" s="81" t="n">
        <x:f>IF('Inputs'!$B$51&gt;0,AG2753/('Inputs'!$B$19*'Inputs'!$B$51)*365,0)</x:f>
        <x:v>14555.173535010157</x:v>
      </x:c>
      <x:c r="AK2753" s="81" t="n">
        <x:f>W2753/MAX($W$2559:W2753)-1</x:f>
        <x:v>-0.37638271236275234</x:v>
      </x:c>
      <x:c r="AL2753" s="83" t="n">
        <x:f>'Inputs'!$B$51</x:f>
        <x:v>1</x:v>
      </x:c>
      <x:c r="AM2753" s="83" t="n">
        <x:f>'Inputs'!$C$51</x:f>
        <x:v>2</x:v>
      </x:c>
      <x:c r="AN2753" s="83" t="n">
        <x:f>'Inputs'!$D$51</x:f>
        <x:v>3</x:v>
      </x:c>
      <x:c r="AO2753" s="81" t="n">
        <x:f>'Inputs'!$E$51</x:f>
        <x:v>0.1</x:v>
      </x:c>
    </x:row>
    <x:row r="2754">
      <x:c r="A2754" s="59" t="str">
        <x:v>High demand</x:v>
      </x:c>
      <x:c r="B2754" s="59" t="n">
        <x:v>196</x:v>
      </x:c>
      <x:c r="C2754" s="78" t="n">
        <x:f>(('Inputs'!$B$29*(3*196*'Inputs'!$B$12-196^2)/(2*'Inputs'!$B$12^2))-('Inputs'!$B$29*(3*195*'Inputs'!$B$12-195^2)/(2*'Inputs'!$B$12^2)))*'Inputs'!$B$51</x:f>
        <x:v>648427.7068868428</x:v>
      </x:c>
      <x:c r="D2754" s="78" t="n">
        <x:f>IF('Inputs'!$C$51&gt;0,('Inputs'!$B$30*(3*196*'Inputs'!$B$12-196^2)/(2*'Inputs'!$B$12^2))-('Inputs'!$B$30*(3*195*'Inputs'!$B$12-195^2)/(2*'Inputs'!$B$12^2)),0)</x:f>
        <x:v>277897.58866579086</x:v>
      </x:c>
      <x:c r="E2754" s="78" t="n">
        <x:f>C2754+D2754</x:f>
        <x:v>926325.2955526337</x:v>
      </x:c>
      <x:c r="F2754" s="78" t="n">
        <x:f>'Inputs'!$B$13*E2754+(1-'Inputs'!$B$13)/'Inputs'!$B$14*SUM(E2699:E2754)</x:f>
        <x:v>936542.9724150866</x:v>
      </x:c>
      <x:c r="G2754" s="78" t="n">
        <x:f>F2754*'Inputs'!$F$51</x:f>
        <x:v>234135.74310377165</x:v>
      </x:c>
      <x:c r="H2754" s="78" t="n">
        <x:f>U2753</x:f>
        <x:v>520231.68195089663</x:v>
      </x:c>
      <x:c r="I2754" s="78" t="n">
        <x:f>V2753</x:f>
        <x:v>319773.2016066462</x:v>
      </x:c>
      <x:c r="J2754" s="79" t="n">
        <x:f>IF(H2754&gt;0,I2754/H2754,0)</x:f>
        <x:v>0.6146746011459348</x:v>
      </x:c>
      <x:c r="K2754" s="80" t="n">
        <x:f>(H2754*J2754+I2754)*'Inputs'!$D$51*(1+'Inputs'!$G$51)^(B2754/30)</x:f>
        <x:v>2638943.3628325174</x:v>
      </x:c>
      <x:c r="L2754" s="80" t="n">
        <x:f>MAX(0,K2754*'Inputs'!$E$51)</x:f>
        <x:v>263894.33628325176</x:v>
      </x:c>
      <x:c r="M2754" s="80" t="n">
        <x:f>MAX(0,-K2754*'Inputs'!$E$51)</x:f>
        <x:v>0</x:v>
      </x:c>
      <x:c r="N2754" s="78" t="n">
        <x:f>H2754*(L2754*(1-'Inputs'!$B$15))/(I2754+L2754*(1-'Inputs'!$B$15))</x:f>
        <x:v>233918.49171960328</x:v>
      </x:c>
      <x:c r="O2754" s="78" t="n">
        <x:f>H2754-N2754</x:f>
        <x:v>286313.1902312933</x:v>
      </x:c>
      <x:c r="P2754" s="78" t="n">
        <x:f>I2754+L2754*(1-'Inputs'!$B$17)</x:f>
        <x:v>582605.5888505287</x:v>
      </x:c>
      <x:c r="Q2754" s="78" t="n">
        <x:f>IF(J2754&gt;0,M2754/J2754,0)</x:f>
        <x:v>0</x:v>
      </x:c>
      <x:c r="R2754" s="78" t="n">
        <x:f>IF(B2754='Inputs'!$H$51,'Inputs'!$B$27*'Inputs'!$I$51,0)</x:f>
        <x:v>0</x:v>
      </x:c>
      <x:c r="S2754" s="78" t="n">
        <x:f>Q2754+G2754+R2754</x:f>
        <x:v>234135.74310377165</x:v>
      </x:c>
      <x:c r="T2754" s="78" t="n">
        <x:f>P2754*(S2754*(1-'Inputs'!$B$15))/(O2754+S2754*(1-'Inputs'!$B$15))</x:f>
        <x:v>260649.93224906057</x:v>
      </x:c>
      <x:c r="U2754" s="78" t="n">
        <x:f>O2754+S2754*(1-'Inputs'!$B$17)</x:f>
        <x:v>519506.737185754</x:v>
      </x:c>
      <x:c r="V2754" s="78" t="n">
        <x:f>P2754-T2754</x:f>
        <x:v>321955.6566014681</x:v>
      </x:c>
      <x:c r="W2754" s="79" t="n">
        <x:f>IF(U2754&gt;0,V2754/U2754,0)</x:f>
        <x:v>0.6197333615836249</x:v>
      </x:c>
      <x:c r="X2754" s="80" t="n">
        <x:f>W2754*('Inputs'!$B$6-AC2754)</x:f>
        <x:v>618661884.710548</x:v>
      </x:c>
      <x:c r="Y2754" s="80" t="n">
        <x:f>2*V2754</x:f>
        <x:v>643911.3132029362</x:v>
      </x:c>
      <x:c r="Z2754" s="80" t="n">
        <x:f>K2754*'Inputs'!$B$16+(G2754+R2754)*J2754*'Inputs'!$B$16</x:f>
        <x:v>16697.16394403301</x:v>
      </x:c>
      <x:c r="AA2754" s="80" t="n">
        <x:f>K2754*(1+'Inputs'!$E$51)/2*'Inputs'!$B$17</x:f>
        <x:v>5840.719716530723</x:v>
      </x:c>
      <x:c r="AB2754" s="78" t="n">
        <x:f>(IF(J2754&gt;0,K2754*(1-'Inputs'!$E$51)/2/J2754,0)+G2754+R2754)*'Inputs'!$B$17</x:f>
        <x:v>8716.66847703112</x:v>
      </x:c>
      <x:c r="AC2754" s="78" t="n">
        <x:f>AC2753+AB2754</x:f>
        <x:v>1728932.0528732692</x:v>
      </x:c>
      <x:c r="AD2754" s="80" t="n">
        <x:f>Z2754/(1+'Inputs'!$C$51)</x:f>
        <x:v>5565.72131467767</x:v>
      </x:c>
      <x:c r="AE2754" s="80" t="n">
        <x:f>Z2754-AD2754</x:f>
        <x:v>11131.44262935534</x:v>
      </x:c>
      <x:c r="AF2754" s="80" t="n">
        <x:f>D2754*W2754</x:f>
        <x:v>172222.40679983402</x:v>
      </x:c>
      <x:c r="AG2754" s="80" t="n">
        <x:f>C2754*W2754</x:f>
        <x:v>401852.2825329445</x:v>
      </x:c>
      <x:c r="AH2754" s="80" t="n">
        <x:f>2*'Inputs'!$B$8*'Inputs'!$C$51</x:f>
        <x:v>10000</x:v>
      </x:c>
      <x:c r="AI2754" s="81" t="n">
        <x:f>IF(AH2754&gt;0,(AE2754+AF2754)/AH2754*365,0)</x:f>
        <x:v>6692.415504165411</x:v>
      </x:c>
      <x:c r="AJ2754" s="81" t="n">
        <x:f>IF('Inputs'!$B$51&gt;0,AG2754/('Inputs'!$B$19*'Inputs'!$B$51)*365,0)</x:f>
        <x:v>14667.608312452476</x:v>
      </x:c>
      <x:c r="AK2754" s="81" t="n">
        <x:f>W2754/MAX($W$2559:W2754)-1</x:f>
        <x:v>-0.3712503537829809</x:v>
      </x:c>
      <x:c r="AL2754" s="83" t="n">
        <x:f>'Inputs'!$B$51</x:f>
        <x:v>1</x:v>
      </x:c>
      <x:c r="AM2754" s="83" t="n">
        <x:f>'Inputs'!$C$51</x:f>
        <x:v>2</x:v>
      </x:c>
      <x:c r="AN2754" s="83" t="n">
        <x:f>'Inputs'!$D$51</x:f>
        <x:v>3</x:v>
      </x:c>
      <x:c r="AO2754" s="81" t="n">
        <x:f>'Inputs'!$E$51</x:f>
        <x:v>0.1</x:v>
      </x:c>
    </x:row>
    <x:row r="2755">
      <x:c r="A2755" s="59" t="str">
        <x:v>High demand</x:v>
      </x:c>
      <x:c r="B2755" s="59" t="n">
        <x:v>197</x:v>
      </x:c>
      <x:c r="C2755" s="78" t="n">
        <x:f>(('Inputs'!$B$29*(3*197*'Inputs'!$B$12-197^2)/(2*'Inputs'!$B$12^2))-('Inputs'!$B$29*(3*196*'Inputs'!$B$12-196^2)/(2*'Inputs'!$B$12^2)))*'Inputs'!$B$51</x:f>
        <x:v>648102.5989866853</x:v>
      </x:c>
      <x:c r="D2755" s="78" t="n">
        <x:f>IF('Inputs'!$C$51&gt;0,('Inputs'!$B$30*(3*197*'Inputs'!$B$12-197^2)/(2*'Inputs'!$B$12^2))-('Inputs'!$B$30*(3*196*'Inputs'!$B$12-196^2)/(2*'Inputs'!$B$12^2)),0)</x:f>
        <x:v>277758.2567085773</x:v>
      </x:c>
      <x:c r="E2755" s="78" t="n">
        <x:f>C2755+D2755</x:f>
        <x:v>925860.8556952626</x:v>
      </x:c>
      <x:c r="F2755" s="78" t="n">
        <x:f>'Inputs'!$B$13*E2755+(1-'Inputs'!$B$13)/'Inputs'!$B$14*SUM(E2700:E2755)</x:f>
        <x:v>936078.5325577052</x:v>
      </x:c>
      <x:c r="G2755" s="78" t="n">
        <x:f>F2755*'Inputs'!$F$51</x:f>
        <x:v>234019.6331394263</x:v>
      </x:c>
      <x:c r="H2755" s="78" t="n">
        <x:f>U2754</x:f>
        <x:v>519506.737185754</x:v>
      </x:c>
      <x:c r="I2755" s="78" t="n">
        <x:f>V2754</x:f>
        <x:v>321955.6566014681</x:v>
      </x:c>
      <x:c r="J2755" s="79" t="n">
        <x:f>IF(H2755&gt;0,I2755/H2755,0)</x:f>
        <x:v>0.6197333615836249</x:v>
      </x:c>
      <x:c r="K2755" s="80" t="n">
        <x:f>(H2755*J2755+I2755)*'Inputs'!$D$51*(1+'Inputs'!$G$51)^(B2755/30)</x:f>
        <x:v>2661278.7985436344</x:v>
      </x:c>
      <x:c r="L2755" s="80" t="n">
        <x:f>MAX(0,K2755*'Inputs'!$E$51)</x:f>
        <x:v>266127.87985436345</x:v>
      </x:c>
      <x:c r="M2755" s="80" t="n">
        <x:f>MAX(0,-K2755*'Inputs'!$E$51)</x:f>
        <x:v>0</x:v>
      </x:c>
      <x:c r="N2755" s="78" t="n">
        <x:f>H2755*(L2755*(1-'Inputs'!$B$15))/(I2755+L2755*(1-'Inputs'!$B$15))</x:f>
        <x:v>233801.62349764354</x:v>
      </x:c>
      <x:c r="O2755" s="78" t="n">
        <x:f>H2755-N2755</x:f>
        <x:v>285705.1136881105</x:v>
      </x:c>
      <x:c r="P2755" s="78" t="n">
        <x:f>I2755+L2755*(1-'Inputs'!$B$17)</x:f>
        <x:v>587012.5993135604</x:v>
      </x:c>
      <x:c r="Q2755" s="78" t="n">
        <x:f>IF(J2755&gt;0,M2755/J2755,0)</x:f>
        <x:v>0</x:v>
      </x:c>
      <x:c r="R2755" s="78" t="n">
        <x:f>IF(B2755='Inputs'!$H$51,'Inputs'!$B$27*'Inputs'!$I$51,0)</x:f>
        <x:v>0</x:v>
      </x:c>
      <x:c r="S2755" s="78" t="n">
        <x:f>Q2755+G2755+R2755</x:f>
        <x:v>234019.6331394263</x:v>
      </x:c>
      <x:c r="T2755" s="78" t="n">
        <x:f>P2755*(S2755*(1-'Inputs'!$B$15))/(O2755+S2755*(1-'Inputs'!$B$15))</x:f>
        <x:v>262858.15507588995</x:v>
      </x:c>
      <x:c r="U2755" s="78" t="n">
        <x:f>O2755+S2755*(1-'Inputs'!$B$17)</x:f>
        <x:v>518783.0179215431</x:v>
      </x:c>
      <x:c r="V2755" s="78" t="n">
        <x:f>P2755-T2755</x:f>
        <x:v>324154.44423767045</x:v>
      </x:c>
      <x:c r="W2755" s="79" t="n">
        <x:f>IF(U2755&gt;0,V2755/U2755,0)</x:f>
        <x:v>0.6248362668777512</x:v>
      </x:c>
      <x:c r="X2755" s="80" t="n">
        <x:f>W2755*('Inputs'!$B$6-AC2755)</x:f>
        <x:v>623750520.1030387</x:v>
      </x:c>
      <x:c r="Y2755" s="80" t="n">
        <x:f>2*V2755</x:f>
        <x:v>648308.8884753409</x:v>
      </x:c>
      <x:c r="Z2755" s="80" t="n">
        <x:f>K2755*'Inputs'!$B$16+(G2755+R2755)*J2755*'Inputs'!$B$16</x:f>
        <x:v>16837.851434794185</x:v>
      </x:c>
      <x:c r="AA2755" s="80" t="n">
        <x:f>K2755*(1+'Inputs'!$E$51)/2*'Inputs'!$B$17</x:f>
        <x:v>5890.154282490943</x:v>
      </x:c>
      <x:c r="AB2755" s="78" t="n">
        <x:f>(IF(J2755&gt;0,K2755*(1-'Inputs'!$E$51)/2/J2755,0)+G2755+R2755)*'Inputs'!$B$17</x:f>
        <x:v>8718.004057463904</x:v>
      </x:c>
      <x:c r="AC2755" s="78" t="n">
        <x:f>AC2754+AB2755</x:f>
        <x:v>1737650.0569307331</x:v>
      </x:c>
      <x:c r="AD2755" s="80" t="n">
        <x:f>Z2755/(1+'Inputs'!$C$51)</x:f>
        <x:v>5612.617144931395</x:v>
      </x:c>
      <x:c r="AE2755" s="80" t="n">
        <x:f>Z2755-AD2755</x:f>
        <x:v>11225.23428986279</x:v>
      </x:c>
      <x:c r="AF2755" s="80" t="n">
        <x:f>D2755*W2755</x:f>
        <x:v>173553.4322162595</x:v>
      </x:c>
      <x:c r="AG2755" s="80" t="n">
        <x:f>C2755*W2755</x:f>
        <x:v>404958.00850460865</x:v>
      </x:c>
      <x:c r="AH2755" s="80" t="n">
        <x:f>2*'Inputs'!$B$8*'Inputs'!$C$51</x:f>
        <x:v>10000</x:v>
      </x:c>
      <x:c r="AI2755" s="81" t="n">
        <x:f>IF(AH2755&gt;0,(AE2755+AF2755)/AH2755*365,0)</x:f>
        <x:v>6744.421327473465</x:v>
      </x:c>
      <x:c r="AJ2755" s="81" t="n">
        <x:f>IF('Inputs'!$B$51&gt;0,AG2755/('Inputs'!$B$19*'Inputs'!$B$51)*365,0)</x:f>
        <x:v>14780.967310418217</x:v>
      </x:c>
      <x:c r="AK2755" s="81" t="n">
        <x:f>W2755/MAX($W$2559:W2755)-1</x:f>
        <x:v>-0.3660732080986462</x:v>
      </x:c>
      <x:c r="AL2755" s="83" t="n">
        <x:f>'Inputs'!$B$51</x:f>
        <x:v>1</x:v>
      </x:c>
      <x:c r="AM2755" s="83" t="n">
        <x:f>'Inputs'!$C$51</x:f>
        <x:v>2</x:v>
      </x:c>
      <x:c r="AN2755" s="83" t="n">
        <x:f>'Inputs'!$D$51</x:f>
        <x:v>3</x:v>
      </x:c>
      <x:c r="AO2755" s="81" t="n">
        <x:f>'Inputs'!$E$51</x:f>
        <x:v>0.1</x:v>
      </x:c>
    </x:row>
    <x:row r="2756">
      <x:c r="A2756" s="59" t="str">
        <x:v>High demand</x:v>
      </x:c>
      <x:c r="B2756" s="59" t="n">
        <x:v>198</x:v>
      </x:c>
      <x:c r="C2756" s="78" t="n">
        <x:f>(('Inputs'!$B$29*(3*198*'Inputs'!$B$12-198^2)/(2*'Inputs'!$B$12^2))-('Inputs'!$B$29*(3*197*'Inputs'!$B$12-197^2)/(2*'Inputs'!$B$12^2)))*'Inputs'!$B$51</x:f>
        <x:v>647777.4910865128</x:v>
      </x:c>
      <x:c r="D2756" s="78" t="n">
        <x:f>IF('Inputs'!$C$51&gt;0,('Inputs'!$B$30*(3*198*'Inputs'!$B$12-198^2)/(2*'Inputs'!$B$12^2))-('Inputs'!$B$30*(3*197*'Inputs'!$B$12-197^2)/(2*'Inputs'!$B$12^2)),0)</x:f>
        <x:v>277618.92475135624</x:v>
      </x:c>
      <x:c r="E2756" s="78" t="n">
        <x:f>C2756+D2756</x:f>
        <x:v>925396.415837869</x:v>
      </x:c>
      <x:c r="F2756" s="78" t="n">
        <x:f>'Inputs'!$B$13*E2756+(1-'Inputs'!$B$13)/'Inputs'!$B$14*SUM(E2701:E2756)</x:f>
        <x:v>935614.0927003194</x:v>
      </x:c>
      <x:c r="G2756" s="78" t="n">
        <x:f>F2756*'Inputs'!$F$51</x:f>
        <x:v>233903.52317507984</x:v>
      </x:c>
      <x:c r="H2756" s="78" t="n">
        <x:f>U2755</x:f>
        <x:v>518783.0179215431</x:v>
      </x:c>
      <x:c r="I2756" s="78" t="n">
        <x:f>V2755</x:f>
        <x:v>324154.44423767045</x:v>
      </x:c>
      <x:c r="J2756" s="79" t="n">
        <x:f>IF(H2756&gt;0,I2756/H2756,0)</x:f>
        <x:v>0.6248362668777512</x:v>
      </x:c>
      <x:c r="K2756" s="80" t="n">
        <x:f>(H2756*J2756+I2756)*'Inputs'!$D$51*(1+'Inputs'!$G$51)^(B2756/30)</x:f>
        <x:v>2683815.1770445695</x:v>
      </x:c>
      <x:c r="L2756" s="80" t="n">
        <x:f>MAX(0,K2756*'Inputs'!$E$51)</x:f>
        <x:v>268381.517704457</x:v>
      </x:c>
      <x:c r="M2756" s="80" t="n">
        <x:f>MAX(0,-K2756*'Inputs'!$E$51)</x:f>
        <x:v>0</x:v>
      </x:c>
      <x:c r="N2756" s="78" t="n">
        <x:f>H2756*(L2756*(1-'Inputs'!$B$15))/(I2756+L2756*(1-'Inputs'!$B$15))</x:f>
        <x:v>233684.757659936</x:v>
      </x:c>
      <x:c r="O2756" s="78" t="n">
        <x:f>H2756-N2756</x:f>
        <x:v>285098.2602616071</x:v>
      </x:c>
      <x:c r="P2756" s="78" t="n">
        <x:f>I2756+L2756*(1-'Inputs'!$B$17)</x:f>
        <x:v>591455.9558346649</x:v>
      </x:c>
      <x:c r="Q2756" s="78" t="n">
        <x:f>IF(J2756&gt;0,M2756/J2756,0)</x:f>
        <x:v>0</x:v>
      </x:c>
      <x:c r="R2756" s="78" t="n">
        <x:f>IF(B2756='Inputs'!$H$51,'Inputs'!$B$27*'Inputs'!$I$51,0)</x:f>
        <x:v>0</x:v>
      </x:c>
      <x:c r="S2756" s="78" t="n">
        <x:f>Q2756+G2756+R2756</x:f>
        <x:v>233903.52317507984</x:v>
      </x:c>
      <x:c r="T2756" s="78" t="n">
        <x:f>P2756*(S2756*(1-'Inputs'!$B$15))/(O2756+S2756*(1-'Inputs'!$B$15))</x:f>
        <x:v>265086.2599050022</x:v>
      </x:c>
      <x:c r="U2756" s="78" t="n">
        <x:f>O2756+S2756*(1-'Inputs'!$B$17)</x:f>
        <x:v>518060.5217740106</x:v>
      </x:c>
      <x:c r="V2756" s="78" t="n">
        <x:f>P2756-T2756</x:f>
        <x:v>326369.6959296627</x:v>
      </x:c>
      <x:c r="W2756" s="79" t="n">
        <x:f>IF(U2756&gt;0,V2756/U2756,0)</x:f>
        <x:v>0.6299837223883898</x:v>
      </x:c>
      <x:c r="X2756" s="80" t="n">
        <x:f>W2756*('Inputs'!$B$6-AC2756)</x:f>
        <x:v>628883538.0929775</x:v>
      </x:c>
      <x:c r="Y2756" s="80" t="n">
        <x:f>2*V2756</x:f>
        <x:v>652739.3918593253</x:v>
      </x:c>
      <x:c r="Z2756" s="80" t="n">
        <x:f>K2756*'Inputs'!$B$16+(G2756+R2756)*J2756*'Inputs'!$B$16</x:f>
        <x:v>16979.79948764904</x:v>
      </x:c>
      <x:c r="AA2756" s="80" t="n">
        <x:f>K2756*(1+'Inputs'!$E$51)/2*'Inputs'!$B$17</x:f>
        <x:v>5940.033591044319</x:v>
      </x:c>
      <x:c r="AB2756" s="78" t="n">
        <x:f>(IF(J2756&gt;0,K2756*(1-'Inputs'!$E$51)/2/J2756,0)+G2756+R2756)*'Inputs'!$B$17</x:f>
        <x:v>8719.343283749402</x:v>
      </x:c>
      <x:c r="AC2756" s="78" t="n">
        <x:f>AC2755+AB2756</x:f>
        <x:v>1746369.4002144826</x:v>
      </x:c>
      <x:c r="AD2756" s="80" t="n">
        <x:f>Z2756/(1+'Inputs'!$C$51)</x:f>
        <x:v>5659.933162549681</x:v>
      </x:c>
      <x:c r="AE2756" s="80" t="n">
        <x:f>Z2756-AD2756</x:f>
        <x:v>11319.86632509936</x:v>
      </x:c>
      <x:c r="AF2756" s="80" t="n">
        <x:f>D2756*W2756</x:f>
        <x:v>174895.4036203217</x:v>
      </x:c>
      <x:c r="AG2756" s="80" t="n">
        <x:f>C2756*W2756</x:f>
        <x:v>408089.2751140934</x:v>
      </x:c>
      <x:c r="AH2756" s="80" t="n">
        <x:f>2*'Inputs'!$B$8*'Inputs'!$C$51</x:f>
        <x:v>10000</x:v>
      </x:c>
      <x:c r="AI2756" s="81" t="n">
        <x:f>IF(AH2756&gt;0,(AE2756+AF2756)/AH2756*365,0)</x:f>
        <x:v>6796.857353007869</x:v>
      </x:c>
      <x:c r="AJ2756" s="81" t="n">
        <x:f>IF('Inputs'!$B$51&gt;0,AG2756/('Inputs'!$B$19*'Inputs'!$B$51)*365,0)</x:f>
        <x:v>14895.258541664409</x:v>
      </x:c>
      <x:c r="AK2756" s="81" t="n">
        <x:f>W2756/MAX($W$2559:W2756)-1</x:f>
        <x:v>-0.36085086405222977</x:v>
      </x:c>
      <x:c r="AL2756" s="83" t="n">
        <x:f>'Inputs'!$B$51</x:f>
        <x:v>1</x:v>
      </x:c>
      <x:c r="AM2756" s="83" t="n">
        <x:f>'Inputs'!$C$51</x:f>
        <x:v>2</x:v>
      </x:c>
      <x:c r="AN2756" s="83" t="n">
        <x:f>'Inputs'!$D$51</x:f>
        <x:v>3</x:v>
      </x:c>
      <x:c r="AO2756" s="81" t="n">
        <x:f>'Inputs'!$E$51</x:f>
        <x:v>0.1</x:v>
      </x:c>
    </x:row>
    <x:row r="2757">
      <x:c r="A2757" s="59" t="str">
        <x:v>High demand</x:v>
      </x:c>
      <x:c r="B2757" s="59" t="n">
        <x:v>199</x:v>
      </x:c>
      <x:c r="C2757" s="78" t="n">
        <x:f>(('Inputs'!$B$29*(3*199*'Inputs'!$B$12-199^2)/(2*'Inputs'!$B$12^2))-('Inputs'!$B$29*(3*198*'Inputs'!$B$12-198^2)/(2*'Inputs'!$B$12^2)))*'Inputs'!$B$51</x:f>
        <x:v>647452.3831863403</x:v>
      </x:c>
      <x:c r="D2757" s="78" t="n">
        <x:f>IF('Inputs'!$C$51&gt;0,('Inputs'!$B$30*(3*199*'Inputs'!$B$12-199^2)/(2*'Inputs'!$B$12^2))-('Inputs'!$B$30*(3*198*'Inputs'!$B$12-198^2)/(2*'Inputs'!$B$12^2)),0)</x:f>
        <x:v>277479.5927941501</x:v>
      </x:c>
      <x:c r="E2757" s="78" t="n">
        <x:f>C2757+D2757</x:f>
        <x:v>924931.9759804904</x:v>
      </x:c>
      <x:c r="F2757" s="78" t="n">
        <x:f>'Inputs'!$B$13*E2757+(1-'Inputs'!$B$13)/'Inputs'!$B$14*SUM(E2702:E2757)</x:f>
        <x:v>935149.6528429365</x:v>
      </x:c>
      <x:c r="G2757" s="78" t="n">
        <x:f>F2757*'Inputs'!$F$51</x:f>
        <x:v>233787.4132107341</x:v>
      </x:c>
      <x:c r="H2757" s="78" t="n">
        <x:f>U2756</x:f>
        <x:v>518060.5217740106</x:v>
      </x:c>
      <x:c r="I2757" s="78" t="n">
        <x:f>V2756</x:f>
        <x:v>326369.6959296627</x:v>
      </x:c>
      <x:c r="J2757" s="79" t="n">
        <x:f>IF(H2757&gt;0,I2757/H2757,0)</x:f>
        <x:v>0.6299837223883898</x:v>
      </x:c>
      <x:c r="K2757" s="80" t="n">
        <x:f>(H2757*J2757+I2757)*'Inputs'!$D$51*(1+'Inputs'!$G$51)^(B2757/30)</x:f>
        <x:v>2706554.4032047596</x:v>
      </x:c>
      <x:c r="L2757" s="80" t="n">
        <x:f>MAX(0,K2757*'Inputs'!$E$51)</x:f>
        <x:v>270655.44032047596</x:v>
      </x:c>
      <x:c r="M2757" s="80" t="n">
        <x:f>MAX(0,-K2757*'Inputs'!$E$51)</x:f>
        <x:v>0</x:v>
      </x:c>
      <x:c r="N2757" s="78" t="n">
        <x:f>H2757*(L2757*(1-'Inputs'!$B$15))/(I2757+L2757*(1-'Inputs'!$B$15))</x:f>
        <x:v>233567.8942019311</x:v>
      </x:c>
      <x:c r="O2757" s="78" t="n">
        <x:f>H2757-N2757</x:f>
        <x:v>284492.62757207954</x:v>
      </x:c>
      <x:c r="P2757" s="78" t="n">
        <x:f>I2757+L2757*(1-'Inputs'!$B$17)</x:f>
        <x:v>595935.9795486478</x:v>
      </x:c>
      <x:c r="Q2757" s="78" t="n">
        <x:f>IF(J2757&gt;0,M2757/J2757,0)</x:f>
        <x:v>0</x:v>
      </x:c>
      <x:c r="R2757" s="78" t="n">
        <x:f>IF(B2757='Inputs'!$H$51,'Inputs'!$B$27*'Inputs'!$I$51,0)</x:f>
        <x:v>0</x:v>
      </x:c>
      <x:c r="S2757" s="78" t="n">
        <x:f>Q2757+G2757+R2757</x:f>
        <x:v>233787.4132107341</x:v>
      </x:c>
      <x:c r="T2757" s="78" t="n">
        <x:f>P2757*(S2757*(1-'Inputs'!$B$15))/(O2757+S2757*(1-'Inputs'!$B$15))</x:f>
        <x:v>267334.4353346539</x:v>
      </x:c>
      <x:c r="U2757" s="78" t="n">
        <x:f>O2757+S2757*(1-'Inputs'!$B$17)</x:f>
        <x:v>517339.24636345456</x:v>
      </x:c>
      <x:c r="V2757" s="78" t="n">
        <x:f>P2757-T2757</x:f>
        <x:v>328601.5442139939</x:v>
      </x:c>
      <x:c r="W2757" s="79" t="n">
        <x:f>IF(U2757&gt;0,V2757/U2757,0)</x:f>
        <x:v>0.6351761373679665</x:v>
      </x:c>
      <x:c r="X2757" s="80" t="n">
        <x:f>W2757*('Inputs'!$B$6-AC2757)</x:f>
        <x:v>634061346.0261723</x:v>
      </x:c>
      <x:c r="Y2757" s="80" t="n">
        <x:f>2*V2757</x:f>
        <x:v>657203.0884279878</x:v>
      </x:c>
      <x:c r="Z2757" s="80" t="n">
        <x:f>K2757*'Inputs'!$B$16+(G2757+R2757)*J2757*'Inputs'!$B$16</x:f>
        <x:v>17123.020008160864</x:v>
      </x:c>
      <x:c r="AA2757" s="80" t="n">
        <x:f>K2757*(1+'Inputs'!$E$51)/2*'Inputs'!$B$17</x:f>
        <x:v>5990.361858199671</x:v>
      </x:c>
      <x:c r="AB2757" s="78" t="n">
        <x:f>(IF(J2757&gt;0,K2757*(1-'Inputs'!$E$51)/2/J2757,0)+G2757+R2757)*'Inputs'!$B$17</x:f>
        <x:v>8720.686157081149</x:v>
      </x:c>
      <x:c r="AC2757" s="78" t="n">
        <x:f>AC2756+AB2757</x:f>
        <x:v>1755090.0863715636</x:v>
      </x:c>
      <x:c r="AD2757" s="80" t="n">
        <x:f>Z2757/(1+'Inputs'!$C$51)</x:f>
        <x:v>5707.673336053621</x:v>
      </x:c>
      <x:c r="AE2757" s="80" t="n">
        <x:f>Z2757-AD2757</x:f>
        <x:v>11415.346672107244</x:v>
      </x:c>
      <x:c r="AF2757" s="80" t="n">
        <x:f>D2757*W2757</x:f>
        <x:v>176248.4159494245</x:v>
      </x:c>
      <x:c r="AG2757" s="80" t="n">
        <x:f>C2757*W2757</x:f>
        <x:v>411246.3038819842</x:v>
      </x:c>
      <x:c r="AH2757" s="80" t="n">
        <x:f>2*'Inputs'!$B$8*'Inputs'!$C$51</x:f>
        <x:v>10000</x:v>
      </x:c>
      <x:c r="AI2757" s="81" t="n">
        <x:f>IF(AH2757&gt;0,(AE2757+AF2757)/AH2757*365,0)</x:f>
        <x:v>6849.727335685908</x:v>
      </x:c>
      <x:c r="AJ2757" s="81" t="n">
        <x:f>IF('Inputs'!$B$51&gt;0,AG2757/('Inputs'!$B$19*'Inputs'!$B$51)*365,0)</x:f>
        <x:v>15010.490091692423</x:v>
      </x:c>
      <x:c r="AK2757" s="81" t="n">
        <x:f>W2757/MAX($W$2559:W2757)-1</x:f>
        <x:v>-0.355582906437235</x:v>
      </x:c>
      <x:c r="AL2757" s="83" t="n">
        <x:f>'Inputs'!$B$51</x:f>
        <x:v>1</x:v>
      </x:c>
      <x:c r="AM2757" s="83" t="n">
        <x:f>'Inputs'!$C$51</x:f>
        <x:v>2</x:v>
      </x:c>
      <x:c r="AN2757" s="83" t="n">
        <x:f>'Inputs'!$D$51</x:f>
        <x:v>3</x:v>
      </x:c>
      <x:c r="AO2757" s="81" t="n">
        <x:f>'Inputs'!$E$51</x:f>
        <x:v>0.1</x:v>
      </x:c>
    </x:row>
    <x:row r="2758">
      <x:c r="A2758" s="59" t="str">
        <x:v>High demand</x:v>
      </x:c>
      <x:c r="B2758" s="59" t="n">
        <x:v>200</x:v>
      </x:c>
      <x:c r="C2758" s="78" t="n">
        <x:f>(('Inputs'!$B$29*(3*200*'Inputs'!$B$12-200^2)/(2*'Inputs'!$B$12^2))-('Inputs'!$B$29*(3*199*'Inputs'!$B$12-199^2)/(2*'Inputs'!$B$12^2)))*'Inputs'!$B$51</x:f>
        <x:v>647127.2752861679</x:v>
      </x:c>
      <x:c r="D2758" s="78" t="n">
        <x:f>IF('Inputs'!$C$51&gt;0,('Inputs'!$B$30*(3*200*'Inputs'!$B$12-200^2)/(2*'Inputs'!$B$12^2))-('Inputs'!$B$30*(3*199*'Inputs'!$B$12-199^2)/(2*'Inputs'!$B$12^2)),0)</x:f>
        <x:v>277340.2608369291</x:v>
      </x:c>
      <x:c r="E2758" s="78" t="n">
        <x:f>C2758+D2758</x:f>
        <x:v>924467.536123097</x:v>
      </x:c>
      <x:c r="F2758" s="78" t="n">
        <x:f>'Inputs'!$B$13*E2758+(1-'Inputs'!$B$13)/'Inputs'!$B$14*SUM(E2703:E2758)</x:f>
        <x:v>934685.2129855503</x:v>
      </x:c>
      <x:c r="G2758" s="78" t="n">
        <x:f>F2758*'Inputs'!$F$51</x:f>
        <x:v>233671.30324638757</x:v>
      </x:c>
      <x:c r="H2758" s="78" t="n">
        <x:f>U2757</x:f>
        <x:v>517339.24636345456</x:v>
      </x:c>
      <x:c r="I2758" s="78" t="n">
        <x:f>V2757</x:f>
        <x:v>328601.5442139939</x:v>
      </x:c>
      <x:c r="J2758" s="79" t="n">
        <x:f>IF(H2758&gt;0,I2758/H2758,0)</x:f>
        <x:v>0.6351761373679665</x:v>
      </x:c>
      <x:c r="K2758" s="80" t="n">
        <x:f>(H2758*J2758+I2758)*'Inputs'!$D$51*(1+'Inputs'!$G$51)^(B2758/30)</x:f>
        <x:v>2729498.4007891337</x:v>
      </x:c>
      <x:c r="L2758" s="80" t="n">
        <x:f>MAX(0,K2758*'Inputs'!$E$51)</x:f>
        <x:v>272949.8400789134</x:v>
      </x:c>
      <x:c r="M2758" s="80" t="n">
        <x:f>MAX(0,-K2758*'Inputs'!$E$51)</x:f>
        <x:v>0</x:v>
      </x:c>
      <x:c r="N2758" s="78" t="n">
        <x:f>H2758*(L2758*(1-'Inputs'!$B$15))/(I2758+L2758*(1-'Inputs'!$B$15))</x:f>
        <x:v>233451.03311908862</x:v>
      </x:c>
      <x:c r="O2758" s="78" t="n">
        <x:f>H2758-N2758</x:f>
        <x:v>283888.21324436594</x:v>
      </x:c>
      <x:c r="P2758" s="78" t="n">
        <x:f>I2758+L2758*(1-'Inputs'!$B$17)</x:f>
        <x:v>600452.9945944005</x:v>
      </x:c>
      <x:c r="Q2758" s="78" t="n">
        <x:f>IF(J2758&gt;0,M2758/J2758,0)</x:f>
        <x:v>0</x:v>
      </x:c>
      <x:c r="R2758" s="78" t="n">
        <x:f>IF(B2758='Inputs'!$H$51,'Inputs'!$B$27*'Inputs'!$I$51,0)</x:f>
        <x:v>0</x:v>
      </x:c>
      <x:c r="S2758" s="78" t="n">
        <x:f>Q2758+G2758+R2758</x:f>
        <x:v>233671.30324638757</x:v>
      </x:c>
      <x:c r="T2758" s="78" t="n">
        <x:f>P2758*(S2758*(1-'Inputs'!$B$15))/(O2758+S2758*(1-'Inputs'!$B$15))</x:f>
        <x:v>269602.87183496956</x:v>
      </x:c>
      <x:c r="U2758" s="78" t="n">
        <x:f>O2758+S2758*(1-'Inputs'!$B$17)</x:f>
        <x:v>516619.1893147117</x:v>
      </x:c>
      <x:c r="V2758" s="78" t="n">
        <x:f>P2758-T2758</x:f>
        <x:v>330850.12275943096</x:v>
      </x:c>
      <x:c r="W2758" s="79" t="n">
        <x:f>IF(U2758&gt;0,V2758/U2758,0)</x:f>
        <x:v>0.6404139250001517</x:v>
      </x:c>
      <x:c r="X2758" s="80" t="n">
        <x:f>W2758*('Inputs'!$B$6-AC2758)</x:f>
        <x:v>639284355.1580279</x:v>
      </x:c>
      <x:c r="Y2758" s="80" t="n">
        <x:f>2*V2758</x:f>
        <x:v>661700.2455188619</x:v>
      </x:c>
      <x:c r="Z2758" s="80" t="n">
        <x:f>K2758*'Inputs'!$B$16+(G2758+R2758)*J2758*'Inputs'!$B$16</x:f>
        <x:v>17267.52501959348</x:v>
      </x:c>
      <x:c r="AA2758" s="80" t="n">
        <x:f>K2758*(1+'Inputs'!$E$51)/2*'Inputs'!$B$17</x:f>
        <x:v>6041.143341786816</x:v>
      </x:c>
      <x:c r="AB2758" s="78" t="n">
        <x:f>(IF(J2758&gt;0,K2758*(1-'Inputs'!$E$51)/2/J2758,0)+G2758+R2758)*'Inputs'!$B$17</x:f>
        <x:v>8722.032678647476</x:v>
      </x:c>
      <x:c r="AC2758" s="78" t="n">
        <x:f>AC2757+AB2758</x:f>
        <x:v>1763812.119050211</x:v>
      </x:c>
      <x:c r="AD2758" s="80" t="n">
        <x:f>Z2758/(1+'Inputs'!$C$51)</x:f>
        <x:v>5755.841673197826</x:v>
      </x:c>
      <x:c r="AE2758" s="80" t="n">
        <x:f>Z2758-AD2758</x:f>
        <x:v>11511.683346395654</x:v>
      </x:c>
      <x:c r="AF2758" s="80" t="n">
        <x:f>D2758*W2758</x:f>
        <x:v>177612.56500314362</x:v>
      </x:c>
      <x:c r="AG2758" s="80" t="n">
        <x:f>C2758*W2758</x:f>
        <x:v>414429.31834066845</x:v>
      </x:c>
      <x:c r="AH2758" s="80" t="n">
        <x:f>2*'Inputs'!$B$8*'Inputs'!$C$51</x:f>
        <x:v>10000</x:v>
      </x:c>
      <x:c r="AI2758" s="81" t="n">
        <x:f>IF(AH2758&gt;0,(AE2758+AF2758)/AH2758*365,0)</x:f>
        <x:v>6903.035064758184</x:v>
      </x:c>
      <x:c r="AJ2758" s="81" t="n">
        <x:f>IF('Inputs'!$B$51&gt;0,AG2758/('Inputs'!$B$19*'Inputs'!$B$51)*365,0)</x:f>
        <x:v>15126.670119434399</x:v>
      </x:c>
      <x:c r="AK2758" s="81" t="n">
        <x:f>W2758/MAX($W$2559:W2758)-1</x:f>
        <x:v>-0.3502689160587261</x:v>
      </x:c>
      <x:c r="AL2758" s="83" t="n">
        <x:f>'Inputs'!$B$51</x:f>
        <x:v>1</x:v>
      </x:c>
      <x:c r="AM2758" s="83" t="n">
        <x:f>'Inputs'!$C$51</x:f>
        <x:v>2</x:v>
      </x:c>
      <x:c r="AN2758" s="83" t="n">
        <x:f>'Inputs'!$D$51</x:f>
        <x:v>3</x:v>
      </x:c>
      <x:c r="AO2758" s="81" t="n">
        <x:f>'Inputs'!$E$51</x:f>
        <x:v>0.1</x:v>
      </x:c>
    </x:row>
    <x:row r="2759">
      <x:c r="A2759" s="59" t="str">
        <x:v>High demand</x:v>
      </x:c>
      <x:c r="B2759" s="59" t="n">
        <x:v>201</x:v>
      </x:c>
      <x:c r="C2759" s="78" t="n">
        <x:f>(('Inputs'!$B$29*(3*201*'Inputs'!$B$12-201^2)/(2*'Inputs'!$B$12^2))-('Inputs'!$B$29*(3*200*'Inputs'!$B$12-200^2)/(2*'Inputs'!$B$12^2)))*'Inputs'!$B$51</x:f>
        <x:v>646802.1673859954</x:v>
      </x:c>
      <x:c r="D2759" s="78" t="n">
        <x:f>IF('Inputs'!$C$51&gt;0,('Inputs'!$B$30*(3*201*'Inputs'!$B$12-201^2)/(2*'Inputs'!$B$12^2))-('Inputs'!$B$30*(3*200*'Inputs'!$B$12-200^2)/(2*'Inputs'!$B$12^2)),0)</x:f>
        <x:v>277200.9288797155</x:v>
      </x:c>
      <x:c r="E2759" s="78" t="n">
        <x:f>C2759+D2759</x:f>
        <x:v>924003.0962657109</x:v>
      </x:c>
      <x:c r="F2759" s="78" t="n">
        <x:f>'Inputs'!$B$13*E2759+(1-'Inputs'!$B$13)/'Inputs'!$B$14*SUM(E2704:E2759)</x:f>
        <x:v>934220.7731281656</x:v>
      </x:c>
      <x:c r="G2759" s="78" t="n">
        <x:f>F2759*'Inputs'!$F$51</x:f>
        <x:v>233555.1932820414</x:v>
      </x:c>
      <x:c r="H2759" s="78" t="n">
        <x:f>U2758</x:f>
        <x:v>516619.1893147117</x:v>
      </x:c>
      <x:c r="I2759" s="78" t="n">
        <x:f>V2758</x:f>
        <x:v>330850.12275943096</x:v>
      </x:c>
      <x:c r="J2759" s="79" t="n">
        <x:f>IF(H2759&gt;0,I2759/H2759,0)</x:f>
        <x:v>0.6404139250001517</x:v>
      </x:c>
      <x:c r="K2759" s="80" t="n">
        <x:f>(H2759*J2759+I2759)*'Inputs'!$D$51*(1+'Inputs'!$G$51)^(B2759/30)</x:f>
        <x:v>2752649.112653181</x:v>
      </x:c>
      <x:c r="L2759" s="80" t="n">
        <x:f>MAX(0,K2759*'Inputs'!$E$51)</x:f>
        <x:v>275264.9112653181</x:v>
      </x:c>
      <x:c r="M2759" s="80" t="n">
        <x:f>MAX(0,-K2759*'Inputs'!$E$51)</x:f>
        <x:v>0</x:v>
      </x:c>
      <x:c r="N2759" s="78" t="n">
        <x:f>H2759*(L2759*(1-'Inputs'!$B$15))/(I2759+L2759*(1-'Inputs'!$B$15))</x:f>
        <x:v>233334.17440687653</x:v>
      </x:c>
      <x:c r="O2759" s="78" t="n">
        <x:f>H2759-N2759</x:f>
        <x:v>283285.01490783517</x:v>
      </x:c>
      <x:c r="P2759" s="78" t="n">
        <x:f>I2759+L2759*(1-'Inputs'!$B$17)</x:f>
        <x:v>605007.3281444057</x:v>
      </x:c>
      <x:c r="Q2759" s="78" t="n">
        <x:f>IF(J2759&gt;0,M2759/J2759,0)</x:f>
        <x:v>0</x:v>
      </x:c>
      <x:c r="R2759" s="78" t="n">
        <x:f>IF(B2759='Inputs'!$H$51,'Inputs'!$B$27*'Inputs'!$I$51,0)</x:f>
        <x:v>0</x:v>
      </x:c>
      <x:c r="S2759" s="78" t="n">
        <x:f>Q2759+G2759+R2759</x:f>
        <x:v>233555.1932820414</x:v>
      </x:c>
      <x:c r="T2759" s="78" t="n">
        <x:f>P2759*(S2759*(1-'Inputs'!$B$15))/(O2759+S2759*(1-'Inputs'!$B$15))</x:f>
        <x:v>271891.7617672803</x:v>
      </x:c>
      <x:c r="U2759" s="78" t="n">
        <x:f>O2759+S2759*(1-'Inputs'!$B$17)</x:f>
        <x:v>515900.348257152</x:v>
      </x:c>
      <x:c r="V2759" s="78" t="n">
        <x:f>P2759-T2759</x:f>
        <x:v>333115.56637712545</x:v>
      </x:c>
      <x:c r="W2759" s="79" t="n">
        <x:f>IF(U2759&gt;0,V2759/U2759,0)</x:f>
        <x:v>0.6456975024391397</x:v>
      </x:c>
      <x:c r="X2759" s="80" t="n">
        <x:f>W2759*('Inputs'!$B$6-AC2759)</x:f>
        <x:v>644552980.6925783</x:v>
      </x:c>
      <x:c r="Y2759" s="80" t="n">
        <x:f>2*V2759</x:f>
        <x:v>666231.1327542509</x:v>
      </x:c>
      <x:c r="Z2759" s="80" t="n">
        <x:f>K2759*'Inputs'!$B$16+(G2759+R2759)*J2759*'Inputs'!$B$16</x:f>
        <x:v>17413.326664122615</x:v>
      </x:c>
      <x:c r="AA2759" s="80" t="n">
        <x:f>K2759*(1+'Inputs'!$E$51)/2*'Inputs'!$B$17</x:f>
        <x:v>6092.382341888329</x:v>
      </x:c>
      <x:c r="AB2759" s="78" t="n">
        <x:f>(IF(J2759&gt;0,K2759*(1-'Inputs'!$E$51)/2/J2759,0)+G2759+R2759)*'Inputs'!$B$17</x:f>
        <x:v>8723.382849631442</x:v>
      </x:c>
      <x:c r="AC2759" s="78" t="n">
        <x:f>AC2758+AB2759</x:f>
        <x:v>1772535.5018998424</x:v>
      </x:c>
      <x:c r="AD2759" s="80" t="n">
        <x:f>Z2759/(1+'Inputs'!$C$51)</x:f>
        <x:v>5804.442221374205</x:v>
      </x:c>
      <x:c r="AE2759" s="80" t="n">
        <x:f>Z2759-AD2759</x:f>
        <x:v>11608.884442748411</x:v>
      </x:c>
      <x:c r="AF2759" s="80" t="n">
        <x:f>D2759*W2759</x:f>
        <x:v>178987.9474514419</x:v>
      </x:c>
      <x:c r="AG2759" s="80" t="n">
        <x:f>C2759*W2759</x:f>
        <x:v>417638.5440533596</x:v>
      </x:c>
      <x:c r="AH2759" s="80" t="n">
        <x:f>2*'Inputs'!$B$8*'Inputs'!$C$51</x:f>
        <x:v>10000</x:v>
      </x:c>
      <x:c r="AI2759" s="81" t="n">
        <x:f>IF(AH2759&gt;0,(AE2759+AF2759)/AH2759*365,0)</x:f>
        <x:v>6956.784364137946</x:v>
      </x:c>
      <x:c r="AJ2759" s="81" t="n">
        <x:f>IF('Inputs'!$B$51&gt;0,AG2759/('Inputs'!$B$19*'Inputs'!$B$51)*365,0)</x:f>
        <x:v>15243.806857947626</x:v>
      </x:c>
      <x:c r="AK2759" s="81" t="n">
        <x:f>W2759/MAX($W$2559:W2759)-1</x:f>
        <x:v>-0.344908469693478</x:v>
      </x:c>
      <x:c r="AL2759" s="83" t="n">
        <x:f>'Inputs'!$B$51</x:f>
        <x:v>1</x:v>
      </x:c>
      <x:c r="AM2759" s="83" t="n">
        <x:f>'Inputs'!$C$51</x:f>
        <x:v>2</x:v>
      </x:c>
      <x:c r="AN2759" s="83" t="n">
        <x:f>'Inputs'!$D$51</x:f>
        <x:v>3</x:v>
      </x:c>
      <x:c r="AO2759" s="81" t="n">
        <x:f>'Inputs'!$E$51</x:f>
        <x:v>0.1</x:v>
      </x:c>
    </x:row>
    <x:row r="2760">
      <x:c r="A2760" s="59" t="str">
        <x:v>High demand</x:v>
      </x:c>
      <x:c r="B2760" s="59" t="n">
        <x:v>202</x:v>
      </x:c>
      <x:c r="C2760" s="78" t="n">
        <x:f>(('Inputs'!$B$29*(3*202*'Inputs'!$B$12-202^2)/(2*'Inputs'!$B$12^2))-('Inputs'!$B$29*(3*201*'Inputs'!$B$12-201^2)/(2*'Inputs'!$B$12^2)))*'Inputs'!$B$51</x:f>
        <x:v>646477.0594858229</x:v>
      </x:c>
      <x:c r="D2760" s="78" t="n">
        <x:f>IF('Inputs'!$C$51&gt;0,('Inputs'!$B$30*(3*202*'Inputs'!$B$12-202^2)/(2*'Inputs'!$B$12^2))-('Inputs'!$B$30*(3*201*'Inputs'!$B$12-201^2)/(2*'Inputs'!$B$12^2)),0)</x:f>
        <x:v>277061.5969224945</x:v>
      </x:c>
      <x:c r="E2760" s="78" t="n">
        <x:f>C2760+D2760</x:f>
        <x:v>923538.6564083174</x:v>
      </x:c>
      <x:c r="F2760" s="78" t="n">
        <x:f>'Inputs'!$B$13*E2760+(1-'Inputs'!$B$13)/'Inputs'!$B$14*SUM(E2705:E2760)</x:f>
        <x:v>933756.3332707796</x:v>
      </x:c>
      <x:c r="G2760" s="78" t="n">
        <x:f>F2760*'Inputs'!$F$51</x:f>
        <x:v>233439.0833176949</x:v>
      </x:c>
      <x:c r="H2760" s="78" t="n">
        <x:f>U2759</x:f>
        <x:v>515900.348257152</x:v>
      </x:c>
      <x:c r="I2760" s="78" t="n">
        <x:f>V2759</x:f>
        <x:v>333115.56637712545</x:v>
      </x:c>
      <x:c r="J2760" s="79" t="n">
        <x:f>IF(H2760&gt;0,I2760/H2760,0)</x:f>
        <x:v>0.6456975024391397</x:v>
      </x:c>
      <x:c r="K2760" s="80" t="n">
        <x:f>(H2760*J2760+I2760)*'Inputs'!$D$51*(1+'Inputs'!$G$51)^(B2760/30)</x:f>
        <x:v>2776008.5009400626</x:v>
      </x:c>
      <x:c r="L2760" s="80" t="n">
        <x:f>MAX(0,K2760*'Inputs'!$E$51)</x:f>
        <x:v>277600.8500940063</x:v>
      </x:c>
      <x:c r="M2760" s="80" t="n">
        <x:f>MAX(0,-K2760*'Inputs'!$E$51)</x:f>
        <x:v>0</x:v>
      </x:c>
      <x:c r="N2760" s="78" t="n">
        <x:f>H2760*(L2760*(1-'Inputs'!$B$15))/(I2760+L2760*(1-'Inputs'!$B$15))</x:f>
        <x:v>233217.3180607717</x:v>
      </x:c>
      <x:c r="O2760" s="78" t="n">
        <x:f>H2760-N2760</x:f>
        <x:v>282683.03019638034</x:v>
      </x:c>
      <x:c r="P2760" s="78" t="n">
        <x:f>I2760+L2760*(1-'Inputs'!$B$17)</x:f>
        <x:v>609599.3104345361</x:v>
      </x:c>
      <x:c r="Q2760" s="78" t="n">
        <x:f>IF(J2760&gt;0,M2760/J2760,0)</x:f>
        <x:v>0</x:v>
      </x:c>
      <x:c r="R2760" s="78" t="n">
        <x:f>IF(B2760='Inputs'!$H$51,'Inputs'!$B$27*'Inputs'!$I$51,0)</x:f>
        <x:v>0</x:v>
      </x:c>
      <x:c r="S2760" s="78" t="n">
        <x:f>Q2760+G2760+R2760</x:f>
        <x:v>233439.0833176949</x:v>
      </x:c>
      <x:c r="T2760" s="78" t="n">
        <x:f>P2760*(S2760*(1-'Inputs'!$B$15))/(O2760+S2760*(1-'Inputs'!$B$15))</x:f>
        <x:v>274201.29940365616</x:v>
      </x:c>
      <x:c r="U2760" s="78" t="n">
        <x:f>O2760+S2760*(1-'Inputs'!$B$17)</x:f>
        <x:v>515182.720824668</x:v>
      </x:c>
      <x:c r="V2760" s="78" t="n">
        <x:f>P2760-T2760</x:f>
        <x:v>335398.0110308799</x:v>
      </x:c>
      <x:c r="W2760" s="79" t="n">
        <x:f>IF(U2760&gt;0,V2760/U2760,0)</x:f>
        <x:v>0.6510272908493486</x:v>
      </x:c>
      <x:c r="X2760" s="80" t="n">
        <x:f>W2760*('Inputs'!$B$6-AC2760)</x:f>
        <x:v>649867641.8219341</x:v>
      </x:c>
      <x:c r="Y2760" s="80" t="n">
        <x:f>2*V2760</x:f>
        <x:v>670796.0220617598</x:v>
      </x:c>
      <x:c r="Z2760" s="80" t="n">
        <x:f>K2760*'Inputs'!$B$16+(G2760+R2760)*J2760*'Inputs'!$B$16</x:f>
        <x:v>17560.437204059883</x:v>
      </x:c>
      <x:c r="AA2760" s="80" t="n">
        <x:f>K2760*(1+'Inputs'!$E$51)/2*'Inputs'!$B$17</x:f>
        <x:v>6144.083201275793</x:v>
      </x:c>
      <x:c r="AB2760" s="78" t="n">
        <x:f>(IF(J2760&gt;0,K2760*(1-'Inputs'!$E$51)/2/J2760,0)+G2760+R2760)*'Inputs'!$B$17</x:f>
        <x:v>8724.736671210858</x:v>
      </x:c>
      <x:c r="AC2760" s="78" t="n">
        <x:f>AC2759+AB2760</x:f>
        <x:v>1781260.2385710534</x:v>
      </x:c>
      <x:c r="AD2760" s="80" t="n">
        <x:f>Z2760/(1+'Inputs'!$C$51)</x:f>
        <x:v>5853.479068019961</x:v>
      </x:c>
      <x:c r="AE2760" s="80" t="n">
        <x:f>Z2760-AD2760</x:f>
        <x:v>11706.95813603992</x:v>
      </x:c>
      <x:c r="AF2760" s="80" t="n">
        <x:f>D2760*W2760</x:f>
        <x:v>180374.6608428458</x:v>
      </x:c>
      <x:c r="AG2760" s="80" t="n">
        <x:f>C2760*W2760</x:f>
        <x:v>420874.2086333085</x:v>
      </x:c>
      <x:c r="AH2760" s="80" t="n">
        <x:f>2*'Inputs'!$B$8*'Inputs'!$C$51</x:f>
        <x:v>10000</x:v>
      </x:c>
      <x:c r="AI2760" s="81" t="n">
        <x:f>IF(AH2760&gt;0,(AE2760+AF2760)/AH2760*365,0)</x:f>
        <x:v>7010.979092729329</x:v>
      </x:c>
      <x:c r="AJ2760" s="81" t="n">
        <x:f>IF('Inputs'!$B$51&gt;0,AG2760/('Inputs'!$B$19*'Inputs'!$B$51)*365,0)</x:f>
        <x:v>15361.908615115759</x:v>
      </x:c>
      <x:c r="AK2760" s="81" t="n">
        <x:f>W2760/MAX($W$2559:W2760)-1</x:f>
        <x:v>-0.3395011400496982</x:v>
      </x:c>
      <x:c r="AL2760" s="83" t="n">
        <x:f>'Inputs'!$B$51</x:f>
        <x:v>1</x:v>
      </x:c>
      <x:c r="AM2760" s="83" t="n">
        <x:f>'Inputs'!$C$51</x:f>
        <x:v>2</x:v>
      </x:c>
      <x:c r="AN2760" s="83" t="n">
        <x:f>'Inputs'!$D$51</x:f>
        <x:v>3</x:v>
      </x:c>
      <x:c r="AO2760" s="81" t="n">
        <x:f>'Inputs'!$E$51</x:f>
        <x:v>0.1</x:v>
      </x:c>
    </x:row>
    <x:row r="2761">
      <x:c r="A2761" s="59" t="str">
        <x:v>High demand</x:v>
      </x:c>
      <x:c r="B2761" s="59" t="n">
        <x:v>203</x:v>
      </x:c>
      <x:c r="C2761" s="78" t="n">
        <x:f>(('Inputs'!$B$29*(3*203*'Inputs'!$B$12-203^2)/(2*'Inputs'!$B$12^2))-('Inputs'!$B$29*(3*202*'Inputs'!$B$12-202^2)/(2*'Inputs'!$B$12^2)))*'Inputs'!$B$51</x:f>
        <x:v>646151.9515856802</x:v>
      </x:c>
      <x:c r="D2761" s="78" t="n">
        <x:f>IF('Inputs'!$C$51&gt;0,('Inputs'!$B$30*(3*203*'Inputs'!$B$12-203^2)/(2*'Inputs'!$B$12^2))-('Inputs'!$B$30*(3*202*'Inputs'!$B$12-202^2)/(2*'Inputs'!$B$12^2)),0)</x:f>
        <x:v>276922.26496528834</x:v>
      </x:c>
      <x:c r="E2761" s="78" t="n">
        <x:f>C2761+D2761</x:f>
        <x:v>923074.2165509686</x:v>
      </x:c>
      <x:c r="F2761" s="78" t="n">
        <x:f>'Inputs'!$B$13*E2761+(1-'Inputs'!$B$13)/'Inputs'!$B$14*SUM(E2706:E2761)</x:f>
        <x:v>933291.8934134028</x:v>
      </x:c>
      <x:c r="G2761" s="78" t="n">
        <x:f>F2761*'Inputs'!$F$51</x:f>
        <x:v>233322.9733533507</x:v>
      </x:c>
      <x:c r="H2761" s="78" t="n">
        <x:f>U2760</x:f>
        <x:v>515182.720824668</x:v>
      </x:c>
      <x:c r="I2761" s="78" t="n">
        <x:f>V2760</x:f>
        <x:v>335398.0110308799</x:v>
      </x:c>
      <x:c r="J2761" s="79" t="n">
        <x:f>IF(H2761&gt;0,I2761/H2761,0)</x:f>
        <x:v>0.6510272908493486</x:v>
      </x:c>
      <x:c r="K2761" s="80" t="n">
        <x:f>(H2761*J2761+I2761)*'Inputs'!$D$51*(1+'Inputs'!$G$51)^(B2761/30)</x:f>
        <x:v>2799578.5472798683</x:v>
      </x:c>
      <x:c r="L2761" s="80" t="n">
        <x:f>MAX(0,K2761*'Inputs'!$E$51)</x:f>
        <x:v>279957.85472798685</x:v>
      </x:c>
      <x:c r="M2761" s="80" t="n">
        <x:f>MAX(0,-K2761*'Inputs'!$E$51)</x:f>
        <x:v>0</x:v>
      </x:c>
      <x:c r="N2761" s="78" t="n">
        <x:f>H2761*(L2761*(1-'Inputs'!$B$15))/(I2761+L2761*(1-'Inputs'!$B$15))</x:f>
        <x:v>233100.4640762595</x:v>
      </x:c>
      <x:c r="O2761" s="78" t="n">
        <x:f>H2761-N2761</x:f>
        <x:v>282082.25674840854</x:v>
      </x:c>
      <x:c r="P2761" s="78" t="n">
        <x:f>I2761+L2761*(1-'Inputs'!$B$17)</x:f>
        <x:v>614229.2747941667</x:v>
      </x:c>
      <x:c r="Q2761" s="78" t="n">
        <x:f>IF(J2761&gt;0,M2761/J2761,0)</x:f>
        <x:v>0</x:v>
      </x:c>
      <x:c r="R2761" s="78" t="n">
        <x:f>IF(B2761='Inputs'!$H$51,'Inputs'!$B$27*'Inputs'!$I$51,0)</x:f>
        <x:v>0</x:v>
      </x:c>
      <x:c r="S2761" s="78" t="n">
        <x:f>Q2761+G2761+R2761</x:f>
        <x:v>233322.9733533507</x:v>
      </x:c>
      <x:c r="T2761" s="78" t="n">
        <x:f>P2761*(S2761*(1-'Inputs'!$B$15))/(O2761+S2761*(1-'Inputs'!$B$15))</x:f>
        <x:v>276531.68094666</x:v>
      </x:c>
      <x:c r="U2761" s="78" t="n">
        <x:f>O2761+S2761*(1-'Inputs'!$B$17)</x:f>
        <x:v>514466.3046556693</x:v>
      </x:c>
      <x:c r="V2761" s="78" t="n">
        <x:f>P2761-T2761</x:f>
        <x:v>337697.5938475067</x:v>
      </x:c>
      <x:c r="W2761" s="79" t="n">
        <x:f>IF(U2761&gt;0,V2761/U2761,0)</x:f>
        <x:v>0.6564037154455171</x:v>
      </x:c>
      <x:c r="X2761" s="80" t="n">
        <x:f>W2761*('Inputs'!$B$6-AC2761)</x:f>
        <x:v>655228761.7661259</x:v>
      </x:c>
      <x:c r="Y2761" s="80" t="n">
        <x:f>2*V2761</x:f>
        <x:v>675395.1876950134</x:v>
      </x:c>
      <x:c r="Z2761" s="80" t="n">
        <x:f>K2761*'Inputs'!$B$16+(G2761+R2761)*J2761*'Inputs'!$B$16</x:f>
        <x:v>17708.86902309009</x:v>
      </x:c>
      <x:c r="AA2761" s="80" t="n">
        <x:f>K2761*(1+'Inputs'!$E$51)/2*'Inputs'!$B$17</x:f>
        <x:v>6196.250305850816</x:v>
      </x:c>
      <x:c r="AB2761" s="78" t="n">
        <x:f>(IF(J2761&gt;0,K2761*(1-'Inputs'!$E$51)/2/J2761,0)+G2761+R2761)*'Inputs'!$B$17</x:f>
        <x:v>8726.094144558247</x:v>
      </x:c>
      <x:c r="AC2761" s="78" t="n">
        <x:f>AC2760+AB2761</x:f>
        <x:v>1789986.3327156117</x:v>
      </x:c>
      <x:c r="AD2761" s="80" t="n">
        <x:f>Z2761/(1+'Inputs'!$C$51)</x:f>
        <x:v>5902.95634103003</x:v>
      </x:c>
      <x:c r="AE2761" s="80" t="n">
        <x:f>Z2761-AD2761</x:f>
        <x:v>11805.912682060061</x:v>
      </x:c>
      <x:c r="AF2761" s="80" t="n">
        <x:f>D2761*W2761</x:f>
        <x:v>181772.80361280323</x:v>
      </x:c>
      <x:c r="AG2761" s="80" t="n">
        <x:f>C2761*W2761</x:f>
        <x:v>424136.5417632124</x:v>
      </x:c>
      <x:c r="AH2761" s="80" t="n">
        <x:f>2*'Inputs'!$B$8*'Inputs'!$C$51</x:f>
        <x:v>10000</x:v>
      </x:c>
      <x:c r="AI2761" s="81" t="n">
        <x:f>IF(AH2761&gt;0,(AE2761+AF2761)/AH2761*365,0)</x:f>
        <x:v>7065.6231447625105</x:v>
      </x:c>
      <x:c r="AJ2761" s="81" t="n">
        <x:f>IF('Inputs'!$B$51&gt;0,AG2761/('Inputs'!$B$19*'Inputs'!$B$51)*365,0)</x:f>
        <x:v>15480.983774357255</x:v>
      </x:c>
      <x:c r="AK2761" s="81" t="n">
        <x:f>W2761/MAX($W$2559:W2761)-1</x:f>
        <x:v>-0.33404649572634715</x:v>
      </x:c>
      <x:c r="AL2761" s="83" t="n">
        <x:f>'Inputs'!$B$51</x:f>
        <x:v>1</x:v>
      </x:c>
      <x:c r="AM2761" s="83" t="n">
        <x:f>'Inputs'!$C$51</x:f>
        <x:v>2</x:v>
      </x:c>
      <x:c r="AN2761" s="83" t="n">
        <x:f>'Inputs'!$D$51</x:f>
        <x:v>3</x:v>
      </x:c>
      <x:c r="AO2761" s="81" t="n">
        <x:f>'Inputs'!$E$51</x:f>
        <x:v>0.1</x:v>
      </x:c>
    </x:row>
    <x:row r="2762">
      <x:c r="A2762" s="59" t="str">
        <x:v>High demand</x:v>
      </x:c>
      <x:c r="B2762" s="59" t="n">
        <x:v>204</x:v>
      </x:c>
      <x:c r="C2762" s="78" t="n">
        <x:f>(('Inputs'!$B$29*(3*204*'Inputs'!$B$12-204^2)/(2*'Inputs'!$B$12^2))-('Inputs'!$B$29*(3*203*'Inputs'!$B$12-203^2)/(2*'Inputs'!$B$12^2)))*'Inputs'!$B$51</x:f>
        <x:v>645826.843685478</x:v>
      </x:c>
      <x:c r="D2762" s="78" t="n">
        <x:f>IF('Inputs'!$C$51&gt;0,('Inputs'!$B$30*(3*204*'Inputs'!$B$12-204^2)/(2*'Inputs'!$B$12^2))-('Inputs'!$B$30*(3*203*'Inputs'!$B$12-203^2)/(2*'Inputs'!$B$12^2)),0)</x:f>
        <x:v>276782.9330080673</x:v>
      </x:c>
      <x:c r="E2762" s="78" t="n">
        <x:f>C2762+D2762</x:f>
        <x:v>922609.7766935453</x:v>
      </x:c>
      <x:c r="F2762" s="78" t="n">
        <x:f>'Inputs'!$B$13*E2762+(1-'Inputs'!$B$13)/'Inputs'!$B$14*SUM(E2707:E2762)</x:f>
        <x:v>932827.4535560105</x:v>
      </x:c>
      <x:c r="G2762" s="78" t="n">
        <x:f>F2762*'Inputs'!$F$51</x:f>
        <x:v>233206.86338900262</x:v>
      </x:c>
      <x:c r="H2762" s="78" t="n">
        <x:f>U2761</x:f>
        <x:v>514466.3046556693</x:v>
      </x:c>
      <x:c r="I2762" s="78" t="n">
        <x:f>V2761</x:f>
        <x:v>337697.5938475067</x:v>
      </x:c>
      <x:c r="J2762" s="79" t="n">
        <x:f>IF(H2762&gt;0,I2762/H2762,0)</x:f>
        <x:v>0.6564037154455171</x:v>
      </x:c>
      <x:c r="K2762" s="80" t="n">
        <x:f>(H2762*J2762+I2762)*'Inputs'!$D$51*(1+'Inputs'!$G$51)^(B2762/30)</x:f>
        <x:v>2823361.2529909653</x:v>
      </x:c>
      <x:c r="L2762" s="80" t="n">
        <x:f>MAX(0,K2762*'Inputs'!$E$51)</x:f>
        <x:v>282336.1252990965</x:v>
      </x:c>
      <x:c r="M2762" s="80" t="n">
        <x:f>MAX(0,-K2762*'Inputs'!$E$51)</x:f>
        <x:v>0</x:v>
      </x:c>
      <x:c r="N2762" s="78" t="n">
        <x:f>H2762*(L2762*(1-'Inputs'!$B$15))/(I2762+L2762*(1-'Inputs'!$B$15))</x:f>
        <x:v>232983.61244883479</x:v>
      </x:c>
      <x:c r="O2762" s="78" t="n">
        <x:f>H2762-N2762</x:f>
        <x:v>281482.69220683456</x:v>
      </x:c>
      <x:c r="P2762" s="78" t="n">
        <x:f>I2762+L2762*(1-'Inputs'!$B$17)</x:f>
        <x:v>618897.5576765868</x:v>
      </x:c>
      <x:c r="Q2762" s="78" t="n">
        <x:f>IF(J2762&gt;0,M2762/J2762,0)</x:f>
        <x:v>0</x:v>
      </x:c>
      <x:c r="R2762" s="78" t="n">
        <x:f>IF(B2762='Inputs'!$H$51,'Inputs'!$B$27*'Inputs'!$I$51,0)</x:f>
        <x:v>0</x:v>
      </x:c>
      <x:c r="S2762" s="78" t="n">
        <x:f>Q2762+G2762+R2762</x:f>
        <x:v>233206.86338900262</x:v>
      </x:c>
      <x:c r="T2762" s="78" t="n">
        <x:f>P2762*(S2762*(1-'Inputs'!$B$15))/(O2762+S2762*(1-'Inputs'!$B$15))</x:f>
        <x:v>278883.10454929434</x:v>
      </x:c>
      <x:c r="U2762" s="78" t="n">
        <x:f>O2762+S2762*(1-'Inputs'!$B$17)</x:f>
        <x:v>513751.0973930645</x:v>
      </x:c>
      <x:c r="V2762" s="78" t="n">
        <x:f>P2762-T2762</x:f>
        <x:v>340014.45312729245</x:v>
      </x:c>
      <x:c r="W2762" s="79" t="n">
        <x:f>IF(U2762&gt;0,V2762/U2762,0)</x:f>
        <x:v>0.66182720553325</x:v>
      </x:c>
      <x:c r="X2762" s="80" t="n">
        <x:f>W2762*('Inputs'!$B$6-AC2762)</x:f>
        <x:v>660636767.8133929</x:v>
      </x:c>
      <x:c r="Y2762" s="80" t="n">
        <x:f>2*V2762</x:f>
        <x:v>680028.9062545849</x:v>
      </x:c>
      <x:c r="Z2762" s="80" t="n">
        <x:f>K2762*'Inputs'!$B$16+(G2762+R2762)*J2762*'Inputs'!$B$16</x:f>
        <x:v>17858.634627521413</x:v>
      </x:c>
      <x:c r="AA2762" s="80" t="n">
        <x:f>K2762*(1+'Inputs'!$E$51)/2*'Inputs'!$B$17</x:f>
        <x:v>6248.888085090668</x:v>
      </x:c>
      <x:c r="AB2762" s="78" t="n">
        <x:f>(IF(J2762&gt;0,K2762*(1-'Inputs'!$E$51)/2/J2762,0)+G2762+R2762)*'Inputs'!$B$17</x:f>
        <x:v>8727.455270840812</x:v>
      </x:c>
      <x:c r="AC2762" s="78" t="n">
        <x:f>AC2761+AB2762</x:f>
        <x:v>1798713.7879864525</x:v>
      </x:c>
      <x:c r="AD2762" s="80" t="n">
        <x:f>Z2762/(1+'Inputs'!$C$51)</x:f>
        <x:v>5952.878209173804</x:v>
      </x:c>
      <x:c r="AE2762" s="80" t="n">
        <x:f>Z2762-AD2762</x:f>
        <x:v>11905.75641834761</x:v>
      </x:c>
      <x:c r="AF2762" s="80" t="n">
        <x:f>D2762*W2762</x:f>
        <x:v>183182.47509202594</x:v>
      </x:c>
      <x:c r="AG2762" s="80" t="n">
        <x:f>C2762*W2762</x:f>
        <x:v>427425.77521471895</x:v>
      </x:c>
      <x:c r="AH2762" s="80" t="n">
        <x:f>2*'Inputs'!$B$8*'Inputs'!$C$51</x:f>
        <x:v>10000</x:v>
      </x:c>
      <x:c r="AI2762" s="81" t="n">
        <x:f>IF(AH2762&gt;0,(AE2762+AF2762)/AH2762*365,0)</x:f>
        <x:v>7120.720450128634</x:v>
      </x:c>
      <x:c r="AJ2762" s="81" t="n">
        <x:f>IF('Inputs'!$B$51&gt;0,AG2762/('Inputs'!$B$19*'Inputs'!$B$51)*365,0)</x:f>
        <x:v>15601.040795337241</x:v>
      </x:c>
      <x:c r="AK2762" s="81" t="n">
        <x:f>W2762/MAX($W$2559:W2762)-1</x:f>
        <x:v>-0.3285441011720023</x:v>
      </x:c>
      <x:c r="AL2762" s="83" t="n">
        <x:f>'Inputs'!$B$51</x:f>
        <x:v>1</x:v>
      </x:c>
      <x:c r="AM2762" s="83" t="n">
        <x:f>'Inputs'!$C$51</x:f>
        <x:v>2</x:v>
      </x:c>
      <x:c r="AN2762" s="83" t="n">
        <x:f>'Inputs'!$D$51</x:f>
        <x:v>3</x:v>
      </x:c>
      <x:c r="AO2762" s="81" t="n">
        <x:f>'Inputs'!$E$51</x:f>
        <x:v>0.1</x:v>
      </x:c>
    </x:row>
    <x:row r="2763">
      <x:c r="A2763" s="59" t="str">
        <x:v>High demand</x:v>
      </x:c>
      <x:c r="B2763" s="59" t="n">
        <x:v>205</x:v>
      </x:c>
      <x:c r="C2763" s="78" t="n">
        <x:f>(('Inputs'!$B$29*(3*205*'Inputs'!$B$12-205^2)/(2*'Inputs'!$B$12^2))-('Inputs'!$B$29*(3*204*'Inputs'!$B$12-204^2)/(2*'Inputs'!$B$12^2)))*'Inputs'!$B$51</x:f>
        <x:v>645501.7357853353</x:v>
      </x:c>
      <x:c r="D2763" s="78" t="n">
        <x:f>IF('Inputs'!$C$51&gt;0,('Inputs'!$B$30*(3*205*'Inputs'!$B$12-205^2)/(2*'Inputs'!$B$12^2))-('Inputs'!$B$30*(3*204*'Inputs'!$B$12-204^2)/(2*'Inputs'!$B$12^2)),0)</x:f>
        <x:v>276643.60105085373</x:v>
      </x:c>
      <x:c r="E2763" s="78" t="n">
        <x:f>C2763+D2763</x:f>
        <x:v>922145.336836189</x:v>
      </x:c>
      <x:c r="F2763" s="78" t="n">
        <x:f>'Inputs'!$B$13*E2763+(1-'Inputs'!$B$13)/'Inputs'!$B$14*SUM(E2708:E2763)</x:f>
        <x:v>932363.0136986321</x:v>
      </x:c>
      <x:c r="G2763" s="78" t="n">
        <x:f>F2763*'Inputs'!$F$51</x:f>
        <x:v>233090.75342465803</x:v>
      </x:c>
      <x:c r="H2763" s="78" t="n">
        <x:f>U2762</x:f>
        <x:v>513751.0973930645</x:v>
      </x:c>
      <x:c r="I2763" s="78" t="n">
        <x:f>V2762</x:f>
        <x:v>340014.45312729245</x:v>
      </x:c>
      <x:c r="J2763" s="79" t="n">
        <x:f>IF(H2763&gt;0,I2763/H2763,0)</x:f>
        <x:v>0.66182720553325</x:v>
      </x:c>
      <x:c r="K2763" s="80" t="n">
        <x:f>(H2763*J2763+I2763)*'Inputs'!$D$51*(1+'Inputs'!$G$51)^(B2763/30)</x:f>
        <x:v>2847358.639283581</x:v>
      </x:c>
      <x:c r="L2763" s="80" t="n">
        <x:f>MAX(0,K2763*'Inputs'!$E$51)</x:f>
        <x:v>284735.8639283581</x:v>
      </x:c>
      <x:c r="M2763" s="80" t="n">
        <x:f>MAX(0,-K2763*'Inputs'!$E$51)</x:f>
        <x:v>0</x:v>
      </x:c>
      <x:c r="N2763" s="78" t="n">
        <x:f>H2763*(L2763*(1-'Inputs'!$B$15))/(I2763+L2763*(1-'Inputs'!$B$15))</x:f>
        <x:v>232866.76317399778</x:v>
      </x:c>
      <x:c r="O2763" s="78" t="n">
        <x:f>H2763-N2763</x:f>
        <x:v>280884.3342190668</x:v>
      </x:c>
      <x:c r="P2763" s="78" t="n">
        <x:f>I2763+L2763*(1-'Inputs'!$B$17)</x:f>
        <x:v>623604.4986897417</x:v>
      </x:c>
      <x:c r="Q2763" s="78" t="n">
        <x:f>IF(J2763&gt;0,M2763/J2763,0)</x:f>
        <x:v>0</x:v>
      </x:c>
      <x:c r="R2763" s="78" t="n">
        <x:f>IF(B2763='Inputs'!$H$51,'Inputs'!$B$27*'Inputs'!$I$51,0)</x:f>
        <x:v>0</x:v>
      </x:c>
      <x:c r="S2763" s="78" t="n">
        <x:f>Q2763+G2763+R2763</x:f>
        <x:v>233090.75342465803</x:v>
      </x:c>
      <x:c r="T2763" s="78" t="n">
        <x:f>P2763*(S2763*(1-'Inputs'!$B$15))/(O2763+S2763*(1-'Inputs'!$B$15))</x:f>
        <x:v>281255.770335198</x:v>
      </x:c>
      <x:c r="U2763" s="78" t="n">
        <x:f>O2763+S2763*(1-'Inputs'!$B$17)</x:f>
        <x:v>513037.09668426943</x:v>
      </x:c>
      <x:c r="V2763" s="78" t="n">
        <x:f>P2763-T2763</x:f>
        <x:v>342348.72835454374</x:v>
      </x:c>
      <x:c r="W2763" s="79" t="n">
        <x:f>IF(U2763&gt;0,V2763/U2763,0)</x:f>
        <x:v>0.6672981945499161</x:v>
      </x:c>
      <x:c r="X2763" s="80" t="n">
        <x:f>W2763*('Inputs'!$B$6-AC2763)</x:f>
        <x:v>666092091.3608199</x:v>
      </x:c>
      <x:c r="Y2763" s="80" t="n">
        <x:f>2*V2763</x:f>
        <x:v>684697.4567090875</x:v>
      </x:c>
      <x:c r="Z2763" s="80" t="n">
        <x:f>K2763*'Inputs'!$B$16+(G2763+R2763)*J2763*'Inputs'!$B$16</x:f>
        <x:v>18009.746647549575</x:v>
      </x:c>
      <x:c r="AA2763" s="80" t="n">
        <x:f>K2763*(1+'Inputs'!$E$51)/2*'Inputs'!$B$17</x:f>
        <x:v>6302.001012498873</x:v>
      </x:c>
      <x:c r="AB2763" s="78" t="n">
        <x:f>(IF(J2763&gt;0,K2763*(1-'Inputs'!$E$51)/2/J2763,0)+G2763+R2763)*'Inputs'!$B$17</x:f>
        <x:v>8728.820051220378</x:v>
      </x:c>
      <x:c r="AC2763" s="78" t="n">
        <x:f>AC2762+AB2763</x:f>
        <x:v>1807442.608037673</x:v>
      </x:c>
      <x:c r="AD2763" s="80" t="n">
        <x:f>Z2763/(1+'Inputs'!$C$51)</x:f>
        <x:v>6003.248882516525</x:v>
      </x:c>
      <x:c r="AE2763" s="80" t="n">
        <x:f>Z2763-AD2763</x:f>
        <x:v>12006.497765033051</x:v>
      </x:c>
      <x:c r="AF2763" s="80" t="n">
        <x:f>D2763*W2763</x:f>
        <x:v>184603.77551502196</x:v>
      </x:c>
      <x:c r="AG2763" s="80" t="n">
        <x:f>C2763*W2763</x:f>
        <x:v>430742.14286839124</x:v>
      </x:c>
      <x:c r="AH2763" s="80" t="n">
        <x:f>2*'Inputs'!$B$8*'Inputs'!$C$51</x:f>
        <x:v>10000</x:v>
      </x:c>
      <x:c r="AI2763" s="81" t="n">
        <x:f>IF(AH2763&gt;0,(AE2763+AF2763)/AH2763*365,0)</x:f>
        <x:v>7176.274974722007</x:v>
      </x:c>
      <x:c r="AJ2763" s="81" t="n">
        <x:f>IF('Inputs'!$B$51&gt;0,AG2763/('Inputs'!$B$19*'Inputs'!$B$51)*365,0)</x:f>
        <x:v>15722.08821469628</x:v>
      </x:c>
      <x:c r="AK2763" s="81" t="n">
        <x:f>W2763/MAX($W$2559:W2763)-1</x:f>
        <x:v>-0.32299351664336573</x:v>
      </x:c>
      <x:c r="AL2763" s="83" t="n">
        <x:f>'Inputs'!$B$51</x:f>
        <x:v>1</x:v>
      </x:c>
      <x:c r="AM2763" s="83" t="n">
        <x:f>'Inputs'!$C$51</x:f>
        <x:v>2</x:v>
      </x:c>
      <x:c r="AN2763" s="83" t="n">
        <x:f>'Inputs'!$D$51</x:f>
        <x:v>3</x:v>
      </x:c>
      <x:c r="AO2763" s="81" t="n">
        <x:f>'Inputs'!$E$51</x:f>
        <x:v>0.1</x:v>
      </x:c>
    </x:row>
    <x:row r="2764">
      <x:c r="A2764" s="59" t="str">
        <x:v>High demand</x:v>
      </x:c>
      <x:c r="B2764" s="59" t="n">
        <x:v>206</x:v>
      </x:c>
      <x:c r="C2764" s="78" t="n">
        <x:f>(('Inputs'!$B$29*(3*206*'Inputs'!$B$12-206^2)/(2*'Inputs'!$B$12^2))-('Inputs'!$B$29*(3*205*'Inputs'!$B$12-205^2)/(2*'Inputs'!$B$12^2)))*'Inputs'!$B$51</x:f>
        <x:v>645176.6278851628</x:v>
      </x:c>
      <x:c r="D2764" s="78" t="n">
        <x:f>IF('Inputs'!$C$51&gt;0,('Inputs'!$B$30*(3*206*'Inputs'!$B$12-206^2)/(2*'Inputs'!$B$12^2))-('Inputs'!$B$30*(3*205*'Inputs'!$B$12-205^2)/(2*'Inputs'!$B$12^2)),0)</x:f>
        <x:v>276504.26909364015</x:v>
      </x:c>
      <x:c r="E2764" s="78" t="n">
        <x:f>C2764+D2764</x:f>
        <x:v>921680.896978803</x:v>
      </x:c>
      <x:c r="F2764" s="78" t="n">
        <x:f>'Inputs'!$B$13*E2764+(1-'Inputs'!$B$13)/'Inputs'!$B$14*SUM(E2709:E2764)</x:f>
        <x:v>931898.5738412478</x:v>
      </x:c>
      <x:c r="G2764" s="78" t="n">
        <x:f>F2764*'Inputs'!$F$51</x:f>
        <x:v>232974.64346031196</x:v>
      </x:c>
      <x:c r="H2764" s="78" t="n">
        <x:f>U2763</x:f>
        <x:v>513037.09668426943</x:v>
      </x:c>
      <x:c r="I2764" s="78" t="n">
        <x:f>V2763</x:f>
        <x:v>342348.72835454374</x:v>
      </x:c>
      <x:c r="J2764" s="79" t="n">
        <x:f>IF(H2764&gt;0,I2764/H2764,0)</x:f>
        <x:v>0.6672981945499161</x:v>
      </x:c>
      <x:c r="K2764" s="80" t="n">
        <x:f>(H2764*J2764+I2764)*'Inputs'!$D$51*(1+'Inputs'!$G$51)^(B2764/30)</x:f>
        <x:v>2871572.7474654187</x:v>
      </x:c>
      <x:c r="L2764" s="80" t="n">
        <x:f>MAX(0,K2764*'Inputs'!$E$51)</x:f>
        <x:v>287157.27474654187</x:v>
      </x:c>
      <x:c r="M2764" s="80" t="n">
        <x:f>MAX(0,-K2764*'Inputs'!$E$51)</x:f>
        <x:v>0</x:v>
      </x:c>
      <x:c r="N2764" s="78" t="n">
        <x:f>H2764*(L2764*(1-'Inputs'!$B$15))/(I2764+L2764*(1-'Inputs'!$B$15))</x:f>
        <x:v>232749.91624726163</x:v>
      </x:c>
      <x:c r="O2764" s="78" t="n">
        <x:f>H2764-N2764</x:f>
        <x:v>280287.1804370078</x:v>
      </x:c>
      <x:c r="P2764" s="78" t="n">
        <x:f>I2764+L2764*(1-'Inputs'!$B$17)</x:f>
        <x:v>628350.4406272564</x:v>
      </x:c>
      <x:c r="Q2764" s="78" t="n">
        <x:f>IF(J2764&gt;0,M2764/J2764,0)</x:f>
        <x:v>0</x:v>
      </x:c>
      <x:c r="R2764" s="78" t="n">
        <x:f>IF(B2764='Inputs'!$H$51,'Inputs'!$B$27*'Inputs'!$I$51,0)</x:f>
        <x:v>0</x:v>
      </x:c>
      <x:c r="S2764" s="78" t="n">
        <x:f>Q2764+G2764+R2764</x:f>
        <x:v>232974.64346031196</x:v>
      </x:c>
      <x:c r="T2764" s="78" t="n">
        <x:f>P2764*(S2764*(1-'Inputs'!$B$15))/(O2764+S2764*(1-'Inputs'!$B$15))</x:f>
        <x:v>283649.88041900296</x:v>
      </x:c>
      <x:c r="U2764" s="78" t="n">
        <x:f>O2764+S2764*(1-'Inputs'!$B$17)</x:f>
        <x:v>512324.30018118164</x:v>
      </x:c>
      <x:c r="V2764" s="78" t="n">
        <x:f>P2764-T2764</x:f>
        <x:v>344700.56020825345</x:v>
      </x:c>
      <x:c r="W2764" s="79" t="n">
        <x:f>IF(U2764&gt;0,V2764/U2764,0)</x:f>
        <x:v>0.6728171201060565</x:v>
      </x:c>
      <x:c r="X2764" s="80" t="n">
        <x:f>W2764*('Inputs'!$B$6-AC2764)</x:f>
        <x:v>671595167.9554839</x:v>
      </x:c>
      <x:c r="Y2764" s="80" t="n">
        <x:f>2*V2764</x:f>
        <x:v>689401.1204165069</x:v>
      </x:c>
      <x:c r="Z2764" s="80" t="n">
        <x:f>K2764*'Inputs'!$B$16+(G2764+R2764)*J2764*'Inputs'!$B$16</x:f>
        <x:v>18162.217838534372</x:v>
      </x:c>
      <x:c r="AA2764" s="80" t="n">
        <x:f>K2764*(1+'Inputs'!$E$51)/2*'Inputs'!$B$17</x:f>
        <x:v>6355.593606060284</x:v>
      </x:c>
      <x:c r="AB2764" s="78" t="n">
        <x:f>(IF(J2764&gt;0,K2764*(1-'Inputs'!$E$51)/2/J2764,0)+G2764+R2764)*'Inputs'!$B$17</x:f>
        <x:v>8730.188486853505</x:v>
      </x:c>
      <x:c r="AC2764" s="78" t="n">
        <x:f>AC2763+AB2764</x:f>
        <x:v>1816172.7965245266</x:v>
      </x:c>
      <x:c r="AD2764" s="80" t="n">
        <x:f>Z2764/(1+'Inputs'!$C$51)</x:f>
        <x:v>6054.0726128447905</x:v>
      </x:c>
      <x:c r="AE2764" s="80" t="n">
        <x:f>Z2764-AD2764</x:f>
        <x:v>12108.145225689583</x:v>
      </x:c>
      <x:c r="AF2764" s="80" t="n">
        <x:f>D2764*W2764</x:f>
        <x:v>186036.80602861306</x:v>
      </x:c>
      <x:c r="AG2764" s="80" t="n">
        <x:f>C2764*W2764</x:f>
        <x:v>434085.88073343213</x:v>
      </x:c>
      <x:c r="AH2764" s="80" t="n">
        <x:f>2*'Inputs'!$B$8*'Inputs'!$C$51</x:f>
        <x:v>10000</x:v>
      </x:c>
      <x:c r="AI2764" s="81" t="n">
        <x:f>IF(AH2764&gt;0,(AE2764+AF2764)/AH2764*365,0)</x:f>
        <x:v>7232.290720782046</x:v>
      </x:c>
      <x:c r="AJ2764" s="81" t="n">
        <x:f>IF('Inputs'!$B$51&gt;0,AG2764/('Inputs'!$B$19*'Inputs'!$B$51)*365,0)</x:f>
        <x:v>15844.134646770272</x:v>
      </x:c>
      <x:c r="AK2764" s="81" t="n">
        <x:f>W2764/MAX($W$2559:W2764)-1</x:f>
        <x:v>-0.31739429816325304</x:v>
      </x:c>
      <x:c r="AL2764" s="83" t="n">
        <x:f>'Inputs'!$B$51</x:f>
        <x:v>1</x:v>
      </x:c>
      <x:c r="AM2764" s="83" t="n">
        <x:f>'Inputs'!$C$51</x:f>
        <x:v>2</x:v>
      </x:c>
      <x:c r="AN2764" s="83" t="n">
        <x:f>'Inputs'!$D$51</x:f>
        <x:v>3</x:v>
      </x:c>
      <x:c r="AO2764" s="81" t="n">
        <x:f>'Inputs'!$E$51</x:f>
        <x:v>0.1</x:v>
      </x:c>
    </x:row>
    <x:row r="2765">
      <x:c r="A2765" s="59" t="str">
        <x:v>High demand</x:v>
      </x:c>
      <x:c r="B2765" s="59" t="n">
        <x:v>207</x:v>
      </x:c>
      <x:c r="C2765" s="78" t="n">
        <x:f>(('Inputs'!$B$29*(3*207*'Inputs'!$B$12-207^2)/(2*'Inputs'!$B$12^2))-('Inputs'!$B$29*(3*206*'Inputs'!$B$12-206^2)/(2*'Inputs'!$B$12^2)))*'Inputs'!$B$51</x:f>
        <x:v>644851.5199849904</x:v>
      </x:c>
      <x:c r="D2765" s="78" t="n">
        <x:f>IF('Inputs'!$C$51&gt;0,('Inputs'!$B$30*(3*207*'Inputs'!$B$12-207^2)/(2*'Inputs'!$B$12^2))-('Inputs'!$B$30*(3*206*'Inputs'!$B$12-206^2)/(2*'Inputs'!$B$12^2)),0)</x:f>
        <x:v>276364.93713642657</x:v>
      </x:c>
      <x:c r="E2765" s="78" t="n">
        <x:f>C2765+D2765</x:f>
        <x:v>921216.4571214169</x:v>
      </x:c>
      <x:c r="F2765" s="78" t="n">
        <x:f>'Inputs'!$B$13*E2765+(1-'Inputs'!$B$13)/'Inputs'!$B$14*SUM(E2710:E2765)</x:f>
        <x:v>931434.1339838634</x:v>
      </x:c>
      <x:c r="G2765" s="78" t="n">
        <x:f>F2765*'Inputs'!$F$51</x:f>
        <x:v>232858.53349596585</x:v>
      </x:c>
      <x:c r="H2765" s="78" t="n">
        <x:f>U2764</x:f>
        <x:v>512324.30018118164</x:v>
      </x:c>
      <x:c r="I2765" s="78" t="n">
        <x:f>V2764</x:f>
        <x:v>344700.56020825345</x:v>
      </x:c>
      <x:c r="J2765" s="79" t="n">
        <x:f>IF(H2765&gt;0,I2765/H2765,0)</x:f>
        <x:v>0.6728171201060565</x:v>
      </x:c>
      <x:c r="K2765" s="80" t="n">
        <x:f>(H2765*J2765+I2765)*'Inputs'!$D$51*(1+'Inputs'!$G$51)^(B2765/30)</x:f>
        <x:v>2896005.6391496556</x:v>
      </x:c>
      <x:c r="L2765" s="80" t="n">
        <x:f>MAX(0,K2765*'Inputs'!$E$51)</x:f>
        <x:v>289600.56391496555</x:v>
      </x:c>
      <x:c r="M2765" s="80" t="n">
        <x:f>MAX(0,-K2765*'Inputs'!$E$51)</x:f>
        <x:v>0</x:v>
      </x:c>
      <x:c r="N2765" s="78" t="n">
        <x:f>H2765*(L2765*(1-'Inputs'!$B$15))/(I2765+L2765*(1-'Inputs'!$B$15))</x:f>
        <x:v>232633.07166414458</x:v>
      </x:c>
      <x:c r="O2765" s="78" t="n">
        <x:f>H2765-N2765</x:f>
        <x:v>279691.22851703706</x:v>
      </x:c>
      <x:c r="P2765" s="78" t="n">
        <x:f>I2765+L2765*(1-'Inputs'!$B$17)</x:f>
        <x:v>633135.7294998188</x:v>
      </x:c>
      <x:c r="Q2765" s="78" t="n">
        <x:f>IF(J2765&gt;0,M2765/J2765,0)</x:f>
        <x:v>0</x:v>
      </x:c>
      <x:c r="R2765" s="78" t="n">
        <x:f>IF(B2765='Inputs'!$H$51,'Inputs'!$B$27*'Inputs'!$I$51,0)</x:f>
        <x:v>0</x:v>
      </x:c>
      <x:c r="S2765" s="78" t="n">
        <x:f>Q2765+G2765+R2765</x:f>
        <x:v>232858.53349596585</x:v>
      </x:c>
      <x:c r="T2765" s="78" t="n">
        <x:f>P2765*(S2765*(1-'Inputs'!$B$15))/(O2765+S2765*(1-'Inputs'!$B$15))</x:f>
        <x:v>286065.6389269684</x:v>
      </x:c>
      <x:c r="U2765" s="78" t="n">
        <x:f>O2765+S2765*(1-'Inputs'!$B$17)</x:f>
        <x:v>511612.7055401821</x:v>
      </x:c>
      <x:c r="V2765" s="78" t="n">
        <x:f>P2765-T2765</x:f>
        <x:v>347070.0905728504</x:v>
      </x:c>
      <x:c r="W2765" s="79" t="n">
        <x:f>IF(U2765&gt;0,V2765/U2765,0)</x:f>
        <x:v>0.6783844240271539</x:v>
      </x:c>
      <x:c r="X2765" s="80" t="n">
        <x:f>W2765*('Inputs'!$B$6-AC2765)</x:f>
        <x:v>677146437.3359556</x:v>
      </x:c>
      <x:c r="Y2765" s="80" t="n">
        <x:f>2*V2765</x:f>
        <x:v>694140.1811457007</x:v>
      </x:c>
      <x:c r="Z2765" s="80" t="n">
        <x:f>K2765*'Inputs'!$B$16+(G2765+R2765)*J2765*'Inputs'!$B$16</x:f>
        <x:v>18316.061082291188</x:v>
      </x:c>
      <x:c r="AA2765" s="80" t="n">
        <x:f>K2765*(1+'Inputs'!$E$51)/2*'Inputs'!$B$17</x:f>
        <x:v>6409.670428701452</x:v>
      </x:c>
      <x:c r="AB2765" s="78" t="n">
        <x:f>(IF(J2765&gt;0,K2765*(1-'Inputs'!$E$51)/2/J2765,0)+G2765+R2765)*'Inputs'!$B$17</x:f>
        <x:v>8731.56057889129</x:v>
      </x:c>
      <x:c r="AC2765" s="78" t="n">
        <x:f>AC2764+AB2765</x:f>
        <x:v>1824904.3571034179</x:v>
      </x:c>
      <x:c r="AD2765" s="80" t="n">
        <x:f>Z2765/(1+'Inputs'!$C$51)</x:f>
        <x:v>6105.3536940970625</x:v>
      </x:c>
      <x:c r="AE2765" s="80" t="n">
        <x:f>Z2765-AD2765</x:f>
        <x:v>12210.707388194125</x:v>
      </x:c>
      <x:c r="AF2765" s="80" t="n">
        <x:f>D2765*W2765</x:f>
        <x:v>187481.66870059533</x:v>
      </x:c>
      <x:c r="AG2765" s="80" t="n">
        <x:f>C2765*W2765</x:f>
        <x:v>437457.22696805245</x:v>
      </x:c>
      <x:c r="AH2765" s="80" t="n">
        <x:f>2*'Inputs'!$B$8*'Inputs'!$C$51</x:f>
        <x:v>10000</x:v>
      </x:c>
      <x:c r="AI2765" s="81" t="n">
        <x:f>IF(AH2765&gt;0,(AE2765+AF2765)/AH2765*365,0)</x:f>
        <x:v>7288.771727240815</x:v>
      </x:c>
      <x:c r="AJ2765" s="81" t="n">
        <x:f>IF('Inputs'!$B$51&gt;0,AG2765/('Inputs'!$B$19*'Inputs'!$B$51)*365,0)</x:f>
        <x:v>15967.188784333914</x:v>
      </x:c>
      <x:c r="AK2765" s="81" t="n">
        <x:f>W2765/MAX($W$2559:W2765)-1</x:f>
        <x:v>-0.31174599747821685</x:v>
      </x:c>
      <x:c r="AL2765" s="83" t="n">
        <x:f>'Inputs'!$B$51</x:f>
        <x:v>1</x:v>
      </x:c>
      <x:c r="AM2765" s="83" t="n">
        <x:f>'Inputs'!$C$51</x:f>
        <x:v>2</x:v>
      </x:c>
      <x:c r="AN2765" s="83" t="n">
        <x:f>'Inputs'!$D$51</x:f>
        <x:v>3</x:v>
      </x:c>
      <x:c r="AO2765" s="81" t="n">
        <x:f>'Inputs'!$E$51</x:f>
        <x:v>0.1</x:v>
      </x:c>
    </x:row>
    <x:row r="2766">
      <x:c r="A2766" s="59" t="str">
        <x:v>High demand</x:v>
      </x:c>
      <x:c r="B2766" s="59" t="n">
        <x:v>208</x:v>
      </x:c>
      <x:c r="C2766" s="78" t="n">
        <x:f>(('Inputs'!$B$29*(3*208*'Inputs'!$B$12-208^2)/(2*'Inputs'!$B$12^2))-('Inputs'!$B$29*(3*207*'Inputs'!$B$12-207^2)/(2*'Inputs'!$B$12^2)))*'Inputs'!$B$51</x:f>
        <x:v>644526.4120848179</x:v>
      </x:c>
      <x:c r="D2766" s="78" t="n">
        <x:f>IF('Inputs'!$C$51&gt;0,('Inputs'!$B$30*(3*208*'Inputs'!$B$12-208^2)/(2*'Inputs'!$B$12^2))-('Inputs'!$B$30*(3*207*'Inputs'!$B$12-207^2)/(2*'Inputs'!$B$12^2)),0)</x:f>
        <x:v>276225.60517920554</x:v>
      </x:c>
      <x:c r="E2766" s="78" t="n">
        <x:f>C2766+D2766</x:f>
        <x:v>920752.0172640234</x:v>
      </x:c>
      <x:c r="F2766" s="78" t="n">
        <x:f>'Inputs'!$B$13*E2766+(1-'Inputs'!$B$13)/'Inputs'!$B$14*SUM(E2711:E2766)</x:f>
        <x:v>930969.6941264772</x:v>
      </x:c>
      <x:c r="G2766" s="78" t="n">
        <x:f>F2766*'Inputs'!$F$51</x:f>
        <x:v>232742.4235316193</x:v>
      </x:c>
      <x:c r="H2766" s="78" t="n">
        <x:f>U2765</x:f>
        <x:v>511612.7055401821</x:v>
      </x:c>
      <x:c r="I2766" s="78" t="n">
        <x:f>V2765</x:f>
        <x:v>347070.0905728504</x:v>
      </x:c>
      <x:c r="J2766" s="79" t="n">
        <x:f>IF(H2766&gt;0,I2766/H2766,0)</x:f>
        <x:v>0.6783844240271539</x:v>
      </x:c>
      <x:c r="K2766" s="80" t="n">
        <x:f>(H2766*J2766+I2766)*'Inputs'!$D$51*(1+'Inputs'!$G$51)^(B2766/30)</x:f>
        <x:v>2920659.3964650338</x:v>
      </x:c>
      <x:c r="L2766" s="80" t="n">
        <x:f>MAX(0,K2766*'Inputs'!$E$51)</x:f>
        <x:v>292065.93964650336</x:v>
      </x:c>
      <x:c r="M2766" s="80" t="n">
        <x:f>MAX(0,-K2766*'Inputs'!$E$51)</x:f>
        <x:v>0</x:v>
      </x:c>
      <x:c r="N2766" s="78" t="n">
        <x:f>H2766*(L2766*(1-'Inputs'!$B$15))/(I2766+L2766*(1-'Inputs'!$B$15))</x:f>
        <x:v>232516.2294201747</x:v>
      </x:c>
      <x:c r="O2766" s="78" t="n">
        <x:f>H2766-N2766</x:f>
        <x:v>279096.47612000746</x:v>
      </x:c>
      <x:c r="P2766" s="78" t="n">
        <x:f>I2766+L2766*(1-'Inputs'!$B$17)</x:f>
        <x:v>637960.7145668527</x:v>
      </x:c>
      <x:c r="Q2766" s="78" t="n">
        <x:f>IF(J2766&gt;0,M2766/J2766,0)</x:f>
        <x:v>0</x:v>
      </x:c>
      <x:c r="R2766" s="78" t="n">
        <x:f>IF(B2766='Inputs'!$H$51,'Inputs'!$B$27*'Inputs'!$I$51,0)</x:f>
        <x:v>0</x:v>
      </x:c>
      <x:c r="S2766" s="78" t="n">
        <x:f>Q2766+G2766+R2766</x:f>
        <x:v>232742.4235316193</x:v>
      </x:c>
      <x:c r="T2766" s="78" t="n">
        <x:f>P2766*(S2766*(1-'Inputs'!$B$15))/(O2766+S2766*(1-'Inputs'!$B$15))</x:f>
        <x:v>288503.25201779493</x:v>
      </x:c>
      <x:c r="U2766" s="78" t="n">
        <x:f>O2766+S2766*(1-'Inputs'!$B$17)</x:f>
        <x:v>510902.3104221233</x:v>
      </x:c>
      <x:c r="V2766" s="78" t="n">
        <x:f>P2766-T2766</x:f>
        <x:v>349457.46254905773</x:v>
      </x:c>
      <x:c r="W2766" s="79" t="n">
        <x:f>IF(U2766&gt;0,V2766/U2766,0)</x:f>
        <x:v>0.6840005523958683</x:v>
      </x:c>
      <x:c r="X2766" s="80" t="n">
        <x:f>W2766*('Inputs'!$B$6-AC2766)</x:f>
        <x:v>682746343.4742672</x:v>
      </x:c>
      <x:c r="Y2766" s="80" t="n">
        <x:f>2*V2766</x:f>
        <x:v>698914.9250981155</x:v>
      </x:c>
      <x:c r="Z2766" s="80" t="n">
        <x:f>K2766*'Inputs'!$B$16+(G2766+R2766)*J2766*'Inputs'!$B$16</x:f>
        <x:v>18471.289388395293</x:v>
      </x:c>
      <x:c r="AA2766" s="80" t="n">
        <x:f>K2766*(1+'Inputs'!$E$51)/2*'Inputs'!$B$17</x:f>
        <x:v>6464.236088755609</x:v>
      </x:c>
      <x:c r="AB2766" s="78" t="n">
        <x:f>(IF(J2766&gt;0,K2766*(1-'Inputs'!$E$51)/2/J2766,0)+G2766+R2766)*'Inputs'!$B$17</x:f>
        <x:v>8732.936328479473</x:v>
      </x:c>
      <x:c r="AC2766" s="78" t="n">
        <x:f>AC2765+AB2766</x:f>
        <x:v>1833637.2934318974</x:v>
      </x:c>
      <x:c r="AD2766" s="80" t="n">
        <x:f>Z2766/(1+'Inputs'!$C$51)</x:f>
        <x:v>6157.096462798431</x:v>
      </x:c>
      <x:c r="AE2766" s="80" t="n">
        <x:f>Z2766-AD2766</x:f>
        <x:v>12314.19292559686</x:v>
      </x:c>
      <x:c r="AF2766" s="80" t="n">
        <x:f>D2766*W2766</x:f>
        <x:v>188938.46652845963</x:v>
      </x:c>
      <x:c r="AG2766" s="80" t="n">
        <x:f>C2766*W2766</x:f>
        <x:v>440856.4218997425</x:v>
      </x:c>
      <x:c r="AH2766" s="80" t="n">
        <x:f>2*'Inputs'!$B$8*'Inputs'!$C$51</x:f>
        <x:v>10000</x:v>
      </x:c>
      <x:c r="AI2766" s="81" t="n">
        <x:f>IF(AH2766&gt;0,(AE2766+AF2766)/AH2766*365,0)</x:f>
        <x:v>7345.722070073063</x:v>
      </x:c>
      <x:c r="AJ2766" s="81" t="n">
        <x:f>IF('Inputs'!$B$51&gt;0,AG2766/('Inputs'!$B$19*'Inputs'!$B$51)*365,0)</x:f>
        <x:v>16091.259399340603</x:v>
      </x:c>
      <x:c r="AK2766" s="81" t="n">
        <x:f>W2766/MAX($W$2559:W2766)-1</x:f>
        <x:v>-0.30604816201569585</x:v>
      </x:c>
      <x:c r="AL2766" s="83" t="n">
        <x:f>'Inputs'!$B$51</x:f>
        <x:v>1</x:v>
      </x:c>
      <x:c r="AM2766" s="83" t="n">
        <x:f>'Inputs'!$C$51</x:f>
        <x:v>2</x:v>
      </x:c>
      <x:c r="AN2766" s="83" t="n">
        <x:f>'Inputs'!$D$51</x:f>
        <x:v>3</x:v>
      </x:c>
      <x:c r="AO2766" s="81" t="n">
        <x:f>'Inputs'!$E$51</x:f>
        <x:v>0.1</x:v>
      </x:c>
    </x:row>
    <x:row r="2767">
      <x:c r="A2767" s="59" t="str">
        <x:v>High demand</x:v>
      </x:c>
      <x:c r="B2767" s="59" t="n">
        <x:v>209</x:v>
      </x:c>
      <x:c r="C2767" s="78" t="n">
        <x:f>(('Inputs'!$B$29*(3*209*'Inputs'!$B$12-209^2)/(2*'Inputs'!$B$12^2))-('Inputs'!$B$29*(3*208*'Inputs'!$B$12-208^2)/(2*'Inputs'!$B$12^2)))*'Inputs'!$B$51</x:f>
        <x:v>644201.3041846454</x:v>
      </x:c>
      <x:c r="D2767" s="78" t="n">
        <x:f>IF('Inputs'!$C$51&gt;0,('Inputs'!$B$30*(3*209*'Inputs'!$B$12-209^2)/(2*'Inputs'!$B$12^2))-('Inputs'!$B$30*(3*208*'Inputs'!$B$12-208^2)/(2*'Inputs'!$B$12^2)),0)</x:f>
        <x:v>276086.27322199196</x:v>
      </x:c>
      <x:c r="E2767" s="78" t="n">
        <x:f>C2767+D2767</x:f>
        <x:v>920287.5774066374</x:v>
      </x:c>
      <x:c r="F2767" s="78" t="n">
        <x:f>'Inputs'!$B$13*E2767+(1-'Inputs'!$B$13)/'Inputs'!$B$14*SUM(E2712:E2767)</x:f>
        <x:v>930505.2542690926</x:v>
      </x:c>
      <x:c r="G2767" s="78" t="n">
        <x:f>F2767*'Inputs'!$F$51</x:f>
        <x:v>232626.31356727314</x:v>
      </x:c>
      <x:c r="H2767" s="78" t="n">
        <x:f>U2766</x:f>
        <x:v>510902.3104221233</x:v>
      </x:c>
      <x:c r="I2767" s="78" t="n">
        <x:f>V2766</x:f>
        <x:v>349457.46254905773</x:v>
      </x:c>
      <x:c r="J2767" s="79" t="n">
        <x:f>IF(H2767&gt;0,I2767/H2767,0)</x:f>
        <x:v>0.6840005523958683</x:v>
      </x:c>
      <x:c r="K2767" s="80" t="n">
        <x:f>(H2767*J2767+I2767)*'Inputs'!$D$51*(1+'Inputs'!$G$51)^(B2767/30)</x:f>
        <x:v>2945536.1222682614</x:v>
      </x:c>
      <x:c r="L2767" s="80" t="n">
        <x:f>MAX(0,K2767*'Inputs'!$E$51)</x:f>
        <x:v>294553.61222682614</x:v>
      </x:c>
      <x:c r="M2767" s="80" t="n">
        <x:f>MAX(0,-K2767*'Inputs'!$E$51)</x:f>
        <x:v>0</x:v>
      </x:c>
      <x:c r="N2767" s="78" t="n">
        <x:f>H2767*(L2767*(1-'Inputs'!$B$15))/(I2767+L2767*(1-'Inputs'!$B$15))</x:f>
        <x:v>232399.38951088823</x:v>
      </x:c>
      <x:c r="O2767" s="78" t="n">
        <x:f>H2767-N2767</x:f>
        <x:v>278502.92091123504</x:v>
      </x:c>
      <x:c r="P2767" s="78" t="n">
        <x:f>I2767+L2767*(1-'Inputs'!$B$17)</x:f>
        <x:v>642825.7483685324</x:v>
      </x:c>
      <x:c r="Q2767" s="78" t="n">
        <x:f>IF(J2767&gt;0,M2767/J2767,0)</x:f>
        <x:v>0</x:v>
      </x:c>
      <x:c r="R2767" s="78" t="n">
        <x:f>IF(B2767='Inputs'!$H$51,'Inputs'!$B$27*'Inputs'!$I$51,0)</x:f>
        <x:v>0</x:v>
      </x:c>
      <x:c r="S2767" s="78" t="n">
        <x:f>Q2767+G2767+R2767</x:f>
        <x:v>232626.31356727314</x:v>
      </x:c>
      <x:c r="T2767" s="78" t="n">
        <x:f>P2767*(S2767*(1-'Inputs'!$B$15))/(O2767+S2767*(1-'Inputs'!$B$15))</x:f>
        <x:v>290962.9279036814</x:v>
      </x:c>
      <x:c r="U2767" s="78" t="n">
        <x:f>O2767+S2767*(1-'Inputs'!$B$17)</x:f>
        <x:v>510193.112492322</x:v>
      </x:c>
      <x:c r="V2767" s="78" t="n">
        <x:f>P2767-T2767</x:f>
        <x:v>351862.820464851</x:v>
      </x:c>
      <x:c r="W2767" s="79" t="n">
        <x:f>IF(U2767&gt;0,V2767/U2767,0)</x:f>
        <x:v>0.6896659555946989</x:v>
      </x:c>
      <x:c r="X2767" s="80" t="n">
        <x:f>W2767*('Inputs'!$B$6-AC2767)</x:f>
        <x:v>688395334.618301</x:v>
      </x:c>
      <x:c r="Y2767" s="80" t="n">
        <x:f>2*V2767</x:f>
        <x:v>703725.640929702</x:v>
      </x:c>
      <x:c r="Z2767" s="80" t="n">
        <x:f>K2767*'Inputs'!$B$16+(G2767+R2767)*J2767*'Inputs'!$B$16</x:f>
        <x:v>18627.915895500544</x:v>
      </x:c>
      <x:c r="AA2767" s="80" t="n">
        <x:f>K2767*(1+'Inputs'!$E$51)/2*'Inputs'!$B$17</x:f>
        <x:v>6519.295240432773</x:v>
      </x:c>
      <x:c r="AB2767" s="78" t="n">
        <x:f>(IF(J2767&gt;0,K2767*(1-'Inputs'!$E$51)/2/J2767,0)+G2767+R2767)*'Inputs'!$B$17</x:f>
        <x:v>8734.31573675836</x:v>
      </x:c>
      <x:c r="AC2767" s="78" t="n">
        <x:f>AC2766+AB2767</x:f>
        <x:v>1842371.6091686557</x:v>
      </x:c>
      <x:c r="AD2767" s="80" t="n">
        <x:f>Z2767/(1+'Inputs'!$C$51)</x:f>
        <x:v>6209.305298500181</x:v>
      </x:c>
      <x:c r="AE2767" s="80" t="n">
        <x:f>Z2767-AD2767</x:f>
        <x:v>12418.610597000363</x:v>
      </x:c>
      <x:c r="AF2767" s="80" t="n">
        <x:f>D2767*W2767</x:f>
        <x:v>190407.3034482242</x:v>
      </x:c>
      <x:c r="AG2767" s="80" t="n">
        <x:f>C2767*W2767</x:f>
        <x:v>444283.70804585476</x:v>
      </x:c>
      <x:c r="AH2767" s="80" t="n">
        <x:f>2*'Inputs'!$B$8*'Inputs'!$C$51</x:f>
        <x:v>10000</x:v>
      </x:c>
      <x:c r="AI2767" s="81" t="n">
        <x:f>IF(AH2767&gt;0,(AE2767+AF2767)/AH2767*365,0)</x:f>
        <x:v>7403.1458626506965</x:v>
      </x:c>
      <x:c r="AJ2767" s="81" t="n">
        <x:f>IF('Inputs'!$B$51&gt;0,AG2767/('Inputs'!$B$19*'Inputs'!$B$51)*365,0)</x:f>
        <x:v>16216.355343673698</x:v>
      </x:c>
      <x:c r="AK2767" s="81" t="n">
        <x:f>W2767/MAX($W$2559:W2767)-1</x:f>
        <x:v>-0.30030033484073293</x:v>
      </x:c>
      <x:c r="AL2767" s="83" t="n">
        <x:f>'Inputs'!$B$51</x:f>
        <x:v>1</x:v>
      </x:c>
      <x:c r="AM2767" s="83" t="n">
        <x:f>'Inputs'!$C$51</x:f>
        <x:v>2</x:v>
      </x:c>
      <x:c r="AN2767" s="83" t="n">
        <x:f>'Inputs'!$D$51</x:f>
        <x:v>3</x:v>
      </x:c>
      <x:c r="AO2767" s="81" t="n">
        <x:f>'Inputs'!$E$51</x:f>
        <x:v>0.1</x:v>
      </x:c>
    </x:row>
    <x:row r="2768">
      <x:c r="A2768" s="59" t="str">
        <x:v>High demand</x:v>
      </x:c>
      <x:c r="B2768" s="59" t="n">
        <x:v>210</x:v>
      </x:c>
      <x:c r="C2768" s="78" t="n">
        <x:f>(('Inputs'!$B$29*(3*210*'Inputs'!$B$12-210^2)/(2*'Inputs'!$B$12^2))-('Inputs'!$B$29*(3*209*'Inputs'!$B$12-209^2)/(2*'Inputs'!$B$12^2)))*'Inputs'!$B$51</x:f>
        <x:v>643876.196284473</x:v>
      </x:c>
      <x:c r="D2768" s="78" t="n">
        <x:f>IF('Inputs'!$C$51&gt;0,('Inputs'!$B$30*(3*210*'Inputs'!$B$12-210^2)/(2*'Inputs'!$B$12^2))-('Inputs'!$B$30*(3*209*'Inputs'!$B$12-209^2)/(2*'Inputs'!$B$12^2)),0)</x:f>
        <x:v>275946.9412647784</x:v>
      </x:c>
      <x:c r="E2768" s="78" t="n">
        <x:f>C2768+D2768</x:f>
        <x:v>919823.1375492513</x:v>
      </x:c>
      <x:c r="F2768" s="78" t="n">
        <x:f>'Inputs'!$B$13*E2768+(1-'Inputs'!$B$13)/'Inputs'!$B$14*SUM(E2713:E2768)</x:f>
        <x:v>930040.814411708</x:v>
      </x:c>
      <x:c r="G2768" s="78" t="n">
        <x:f>F2768*'Inputs'!$F$51</x:f>
        <x:v>232510.203602927</x:v>
      </x:c>
      <x:c r="H2768" s="78" t="n">
        <x:f>U2767</x:f>
        <x:v>510193.112492322</x:v>
      </x:c>
      <x:c r="I2768" s="78" t="n">
        <x:f>V2767</x:f>
        <x:v>351862.820464851</x:v>
      </x:c>
      <x:c r="J2768" s="79" t="n">
        <x:f>IF(H2768&gt;0,I2768/H2768,0)</x:f>
        <x:v>0.6896659555946989</x:v>
      </x:c>
      <x:c r="K2768" s="80" t="n">
        <x:f>(H2768*J2768+I2768)*'Inputs'!$D$51*(1+'Inputs'!$G$51)^(B2768/30)</x:f>
        <x:v>2970637.9403586737</x:v>
      </x:c>
      <x:c r="L2768" s="80" t="n">
        <x:f>MAX(0,K2768*'Inputs'!$E$51)</x:f>
        <x:v>297063.7940358674</x:v>
      </x:c>
      <x:c r="M2768" s="80" t="n">
        <x:f>MAX(0,-K2768*'Inputs'!$E$51)</x:f>
        <x:v>0</x:v>
      </x:c>
      <x:c r="N2768" s="78" t="n">
        <x:f>H2768*(L2768*(1-'Inputs'!$B$15))/(I2768+L2768*(1-'Inputs'!$B$15))</x:f>
        <x:v>232282.55193183027</x:v>
      </x:c>
      <x:c r="O2768" s="78" t="n">
        <x:f>H2768-N2768</x:f>
        <x:v>277910.56056049175</x:v>
      </x:c>
      <x:c r="P2768" s="78" t="n">
        <x:f>I2768+L2768*(1-'Inputs'!$B$17)</x:f>
        <x:v>647731.1867581194</x:v>
      </x:c>
      <x:c r="Q2768" s="78" t="n">
        <x:f>IF(J2768&gt;0,M2768/J2768,0)</x:f>
        <x:v>0</x:v>
      </x:c>
      <x:c r="R2768" s="78" t="n">
        <x:f>IF(B2768='Inputs'!$H$51,'Inputs'!$B$27*'Inputs'!$I$51,0)</x:f>
        <x:v>0</x:v>
      </x:c>
      <x:c r="S2768" s="78" t="n">
        <x:f>Q2768+G2768+R2768</x:f>
        <x:v>232510.203602927</x:v>
      </x:c>
      <x:c r="T2768" s="78" t="n">
        <x:f>P2768*(S2768*(1-'Inputs'!$B$15))/(O2768+S2768*(1-'Inputs'!$B$15))</x:f>
        <x:v>293444.87687159807</x:v>
      </x:c>
      <x:c r="U2768" s="78" t="n">
        <x:f>O2768+S2768*(1-'Inputs'!$B$17)</x:f>
        <x:v>509485.1094205498</x:v>
      </x:c>
      <x:c r="V2768" s="78" t="n">
        <x:f>P2768-T2768</x:f>
        <x:v>354286.3098865213</x:v>
      </x:c>
      <x:c r="W2768" s="79" t="n">
        <x:f>IF(U2768&gt;0,V2768/U2768,0)</x:f>
        <x:v>0.6953810883490982</x:v>
      </x:c>
      <x:c r="X2768" s="80" t="n">
        <x:f>W2768*('Inputs'!$B$6-AC2768)</x:f>
        <x:v>694093863.3346286</x:v>
      </x:c>
      <x:c r="Y2768" s="80" t="n">
        <x:f>2*V2768</x:f>
        <x:v>708572.6197730426</x:v>
      </x:c>
      <x:c r="Z2768" s="80" t="n">
        <x:f>K2768*'Inputs'!$B$16+(G2768+R2768)*J2768*'Inputs'!$B$16</x:f>
        <x:v>18785.953872672028</x:v>
      </x:c>
      <x:c r="AA2768" s="80" t="n">
        <x:f>K2768*(1+'Inputs'!$E$51)/2*'Inputs'!$B$17</x:f>
        <x:v>6574.852584294853</x:v>
      </x:c>
      <x:c r="AB2768" s="78" t="n">
        <x:f>(IF(J2768&gt;0,K2768*(1-'Inputs'!$E$51)/2/J2768,0)+G2768+R2768)*'Inputs'!$B$17</x:f>
        <x:v>8735.698804862834</x:v>
      </x:c>
      <x:c r="AC2768" s="78" t="n">
        <x:f>AC2767+AB2768</x:f>
        <x:v>1851107.3079735185</x:v>
      </x:c>
      <x:c r="AD2768" s="80" t="n">
        <x:f>Z2768/(1+'Inputs'!$C$51)</x:f>
        <x:v>6261.984624224009</x:v>
      </x:c>
      <x:c r="AE2768" s="80" t="n">
        <x:f>Z2768-AD2768</x:f>
        <x:v>12523.969248448018</x:v>
      </x:c>
      <x:c r="AF2768" s="80" t="n">
        <x:f>D2768*W2768</x:f>
        <x:v>191888.28434330627</x:v>
      </x:c>
      <x:c r="AG2768" s="80" t="n">
        <x:f>C2768*W2768</x:f>
        <x:v>447739.3301343744</x:v>
      </x:c>
      <x:c r="AH2768" s="80" t="n">
        <x:f>2*'Inputs'!$B$8*'Inputs'!$C$51</x:f>
        <x:v>10000</x:v>
      </x:c>
      <x:c r="AI2768" s="81" t="n">
        <x:f>IF(AH2768&gt;0,(AE2768+AF2768)/AH2768*365,0)</x:f>
        <x:v>7461.047256099032</x:v>
      </x:c>
      <x:c r="AJ2768" s="81" t="n">
        <x:f>IF('Inputs'!$B$51&gt;0,AG2768/('Inputs'!$B$19*'Inputs'!$B$51)*365,0)</x:f>
        <x:v>16342.485549904664</x:v>
      </x:c>
      <x:c r="AK2768" s="81" t="n">
        <x:f>W2768/MAX($W$2559:W2768)-1</x:f>
        <x:v>-0.29450205461223344</x:v>
      </x:c>
      <x:c r="AL2768" s="83" t="n">
        <x:f>'Inputs'!$B$51</x:f>
        <x:v>1</x:v>
      </x:c>
      <x:c r="AM2768" s="83" t="n">
        <x:f>'Inputs'!$C$51</x:f>
        <x:v>2</x:v>
      </x:c>
      <x:c r="AN2768" s="83" t="n">
        <x:f>'Inputs'!$D$51</x:f>
        <x:v>3</x:v>
      </x:c>
      <x:c r="AO2768" s="81" t="n">
        <x:f>'Inputs'!$E$51</x:f>
        <x:v>0.1</x:v>
      </x:c>
    </x:row>
    <x:row r="2769">
      <x:c r="A2769" s="59" t="str">
        <x:v>High demand</x:v>
      </x:c>
      <x:c r="B2769" s="59" t="n">
        <x:v>211</x:v>
      </x:c>
      <x:c r="C2769" s="78" t="n">
        <x:f>(('Inputs'!$B$29*(3*211*'Inputs'!$B$12-211^2)/(2*'Inputs'!$B$12^2))-('Inputs'!$B$29*(3*210*'Inputs'!$B$12-210^2)/(2*'Inputs'!$B$12^2)))*'Inputs'!$B$51</x:f>
        <x:v>643551.0883843303</x:v>
      </x:c>
      <x:c r="D2769" s="78" t="n">
        <x:f>IF('Inputs'!$C$51&gt;0,('Inputs'!$B$30*(3*211*'Inputs'!$B$12-211^2)/(2*'Inputs'!$B$12^2))-('Inputs'!$B$30*(3*210*'Inputs'!$B$12-210^2)/(2*'Inputs'!$B$12^2)),0)</x:f>
        <x:v>275807.6093075648</x:v>
      </x:c>
      <x:c r="E2769" s="78" t="n">
        <x:f>C2769+D2769</x:f>
        <x:v>919358.6976918951</x:v>
      </x:c>
      <x:c r="F2769" s="78" t="n">
        <x:f>'Inputs'!$B$13*E2769+(1-'Inputs'!$B$13)/'Inputs'!$B$14*SUM(E2714:E2769)</x:f>
        <x:v>929576.3745543299</x:v>
      </x:c>
      <x:c r="G2769" s="78" t="n">
        <x:f>F2769*'Inputs'!$F$51</x:f>
        <x:v>232394.09363858248</x:v>
      </x:c>
      <x:c r="H2769" s="78" t="n">
        <x:f>U2768</x:f>
        <x:v>509485.1094205498</x:v>
      </x:c>
      <x:c r="I2769" s="78" t="n">
        <x:f>V2768</x:f>
        <x:v>354286.3098865213</x:v>
      </x:c>
      <x:c r="J2769" s="79" t="n">
        <x:f>IF(H2769&gt;0,I2769/H2769,0)</x:f>
        <x:v>0.6953810883490982</x:v>
      </x:c>
      <x:c r="K2769" s="80" t="n">
        <x:f>(H2769*J2769+I2769)*'Inputs'!$D$51*(1+'Inputs'!$G$51)^(B2769/30)</x:f>
        <x:v>2995966.9956952124</x:v>
      </x:c>
      <x:c r="L2769" s="80" t="n">
        <x:f>MAX(0,K2769*'Inputs'!$E$51)</x:f>
        <x:v>299596.69956952124</x:v>
      </x:c>
      <x:c r="M2769" s="80" t="n">
        <x:f>MAX(0,-K2769*'Inputs'!$E$51)</x:f>
        <x:v>0</x:v>
      </x:c>
      <x:c r="N2769" s="78" t="n">
        <x:f>H2769*(L2769*(1-'Inputs'!$B$15))/(I2769+L2769*(1-'Inputs'!$B$15))</x:f>
        <x:v>232165.7166785541</x:v>
      </x:c>
      <x:c r="O2769" s="78" t="n">
        <x:f>H2769-N2769</x:f>
        <x:v>277319.39274199575</x:v>
      </x:c>
      <x:c r="P2769" s="78" t="n">
        <x:f>I2769+L2769*(1-'Inputs'!$B$17)</x:f>
        <x:v>652677.388934636</x:v>
      </x:c>
      <x:c r="Q2769" s="78" t="n">
        <x:f>IF(J2769&gt;0,M2769/J2769,0)</x:f>
        <x:v>0</x:v>
      </x:c>
      <x:c r="R2769" s="78" t="n">
        <x:f>IF(B2769='Inputs'!$H$51,'Inputs'!$B$27*'Inputs'!$I$51,0)</x:f>
        <x:v>0</x:v>
      </x:c>
      <x:c r="S2769" s="78" t="n">
        <x:f>Q2769+G2769+R2769</x:f>
        <x:v>232394.09363858248</x:v>
      </x:c>
      <x:c r="T2769" s="78" t="n">
        <x:f>P2769*(S2769*(1-'Inputs'!$B$15))/(O2769+S2769*(1-'Inputs'!$B$15))</x:f>
        <x:v>295949.31130479695</x:v>
      </x:c>
      <x:c r="U2769" s="78" t="n">
        <x:f>O2769+S2769*(1-'Inputs'!$B$17)</x:f>
        <x:v>508778.29888102657</x:v>
      </x:c>
      <x:c r="V2769" s="78" t="n">
        <x:f>P2769-T2769</x:f>
        <x:v>356728.07762983907</x:v>
      </x:c>
      <x:c r="W2769" s="79" t="n">
        <x:f>IF(U2769&gt;0,V2769/U2769,0)</x:f>
        <x:v>0.7011464097710206</x:v>
      </x:c>
      <x:c r="X2769" s="80" t="n">
        <x:f>W2769*('Inputs'!$B$6-AC2769)</x:f>
        <x:v>699842386.5517801</x:v>
      </x:c>
      <x:c r="Y2769" s="80" t="n">
        <x:f>2*V2769</x:f>
        <x:v>713456.1552596781</x:v>
      </x:c>
      <x:c r="Z2769" s="80" t="n">
        <x:f>K2769*'Inputs'!$B$16+(G2769+R2769)*J2769*'Inputs'!$B$16</x:f>
        <x:v>18945.416720733072</x:v>
      </x:c>
      <x:c r="AA2769" s="80" t="n">
        <x:f>K2769*(1+'Inputs'!$E$51)/2*'Inputs'!$B$17</x:f>
        <x:v>6630.912867735884</x:v>
      </x:c>
      <x:c r="AB2769" s="78" t="n">
        <x:f>(IF(J2769&gt;0,K2769*(1-'Inputs'!$E$51)/2/J2769,0)+G2769+R2769)*'Inputs'!$B$17</x:f>
        <x:v>8737.085533922302</x:v>
      </x:c>
      <x:c r="AC2769" s="78" t="n">
        <x:f>AC2768+AB2769</x:f>
        <x:v>1859844.3935074408</x:v>
      </x:c>
      <x:c r="AD2769" s="80" t="n">
        <x:f>Z2769/(1+'Inputs'!$C$51)</x:f>
        <x:v>6315.138906911024</x:v>
      </x:c>
      <x:c r="AE2769" s="80" t="n">
        <x:f>Z2769-AD2769</x:f>
        <x:v>12630.27781382205</x:v>
      </x:c>
      <x:c r="AF2769" s="80" t="n">
        <x:f>D2769*W2769</x:f>
        <x:v>193381.51505352737</x:v>
      </x:c>
      <x:c r="AG2769" s="80" t="n">
        <x:f>C2769*W2769</x:f>
        <x:v>451223.53512490593</x:v>
      </x:c>
      <x:c r="AH2769" s="80" t="n">
        <x:f>2*'Inputs'!$B$8*'Inputs'!$C$51</x:f>
        <x:v>10000</x:v>
      </x:c>
      <x:c r="AI2769" s="81" t="n">
        <x:f>IF(AH2769&gt;0,(AE2769+AF2769)/AH2769*365,0)</x:f>
        <x:v>7519.430439658255</x:v>
      </x:c>
      <x:c r="AJ2769" s="81" t="n">
        <x:f>IF('Inputs'!$B$51&gt;0,AG2769/('Inputs'!$B$19*'Inputs'!$B$51)*365,0)</x:f>
        <x:v>16469.659032059066</x:v>
      </x:c>
      <x:c r="AK2769" s="81" t="n">
        <x:f>W2769/MAX($W$2559:W2769)-1</x:f>
        <x:v>-0.28865285553878317</x:v>
      </x:c>
      <x:c r="AL2769" s="83" t="n">
        <x:f>'Inputs'!$B$51</x:f>
        <x:v>1</x:v>
      </x:c>
      <x:c r="AM2769" s="83" t="n">
        <x:f>'Inputs'!$C$51</x:f>
        <x:v>2</x:v>
      </x:c>
      <x:c r="AN2769" s="83" t="n">
        <x:f>'Inputs'!$D$51</x:f>
        <x:v>3</x:v>
      </x:c>
      <x:c r="AO2769" s="81" t="n">
        <x:f>'Inputs'!$E$51</x:f>
        <x:v>0.1</x:v>
      </x:c>
    </x:row>
    <x:row r="2770">
      <x:c r="A2770" s="59" t="str">
        <x:v>High demand</x:v>
      </x:c>
      <x:c r="B2770" s="59" t="n">
        <x:v>212</x:v>
      </x:c>
      <x:c r="C2770" s="78" t="n">
        <x:f>(('Inputs'!$B$29*(3*212*'Inputs'!$B$12-212^2)/(2*'Inputs'!$B$12^2))-('Inputs'!$B$29*(3*211*'Inputs'!$B$12-211^2)/(2*'Inputs'!$B$12^2)))*'Inputs'!$B$51</x:f>
        <x:v>643225.980484128</x:v>
      </x:c>
      <x:c r="D2770" s="78" t="n">
        <x:f>IF('Inputs'!$C$51&gt;0,('Inputs'!$B$30*(3*212*'Inputs'!$B$12-212^2)/(2*'Inputs'!$B$12^2))-('Inputs'!$B$30*(3*211*'Inputs'!$B$12-211^2)/(2*'Inputs'!$B$12^2)),0)</x:f>
        <x:v>275668.27735034376</x:v>
      </x:c>
      <x:c r="E2770" s="78" t="n">
        <x:f>C2770+D2770</x:f>
        <x:v>918894.2578344718</x:v>
      </x:c>
      <x:c r="F2770" s="78" t="n">
        <x:f>'Inputs'!$B$13*E2770+(1-'Inputs'!$B$13)/'Inputs'!$B$14*SUM(E2715:E2770)</x:f>
        <x:v>929111.9346969374</x:v>
      </x:c>
      <x:c r="G2770" s="78" t="n">
        <x:f>F2770*'Inputs'!$F$51</x:f>
        <x:v>232277.98367423436</x:v>
      </x:c>
      <x:c r="H2770" s="78" t="n">
        <x:f>U2769</x:f>
        <x:v>508778.29888102657</x:v>
      </x:c>
      <x:c r="I2770" s="78" t="n">
        <x:f>V2769</x:f>
        <x:v>356728.07762983907</x:v>
      </x:c>
      <x:c r="J2770" s="79" t="n">
        <x:f>IF(H2770&gt;0,I2770/H2770,0)</x:f>
        <x:v>0.7011464097710206</x:v>
      </x:c>
      <x:c r="K2770" s="80" t="n">
        <x:f>(H2770*J2770+I2770)*'Inputs'!$D$51*(1+'Inputs'!$G$51)^(B2770/30)</x:f>
        <x:v>3021525.454615706</x:v>
      </x:c>
      <x:c r="L2770" s="80" t="n">
        <x:f>MAX(0,K2770*'Inputs'!$E$51)</x:f>
        <x:v>302152.5454615706</x:v>
      </x:c>
      <x:c r="M2770" s="80" t="n">
        <x:f>MAX(0,-K2770*'Inputs'!$E$51)</x:f>
        <x:v>0</x:v>
      </x:c>
      <x:c r="N2770" s="78" t="n">
        <x:f>H2770*(L2770*(1-'Inputs'!$B$15))/(I2770+L2770*(1-'Inputs'!$B$15))</x:f>
        <x:v>232048.88374662204</x:v>
      </x:c>
      <x:c r="O2770" s="78" t="n">
        <x:f>H2770-N2770</x:f>
        <x:v>276729.41513440455</x:v>
      </x:c>
      <x:c r="P2770" s="78" t="n">
        <x:f>I2770+L2770*(1-'Inputs'!$B$17)</x:f>
        <x:v>657664.7174758702</x:v>
      </x:c>
      <x:c r="Q2770" s="78" t="n">
        <x:f>IF(J2770&gt;0,M2770/J2770,0)</x:f>
        <x:v>0</x:v>
      </x:c>
      <x:c r="R2770" s="78" t="n">
        <x:f>IF(B2770='Inputs'!$H$51,'Inputs'!$B$27*'Inputs'!$I$51,0)</x:f>
        <x:v>0</x:v>
      </x:c>
      <x:c r="S2770" s="78" t="n">
        <x:f>Q2770+G2770+R2770</x:f>
        <x:v>232277.98367423436</x:v>
      </x:c>
      <x:c r="T2770" s="78" t="n">
        <x:f>P2770*(S2770*(1-'Inputs'!$B$15))/(O2770+S2770*(1-'Inputs'!$B$15))</x:f>
        <x:v>298476.445704539</x:v>
      </x:c>
      <x:c r="U2770" s="78" t="n">
        <x:f>O2770+S2770*(1-'Inputs'!$B$17)</x:f>
        <x:v>508072.67855240457</x:v>
      </x:c>
      <x:c r="V2770" s="78" t="n">
        <x:f>P2770-T2770</x:f>
        <x:v>359188.27177133114</x:v>
      </x:c>
      <x:c r="W2770" s="79" t="n">
        <x:f>IF(U2770&gt;0,V2770/U2770,0)</x:f>
        <x:v>0.7069623834029546</x:v>
      </x:c>
      <x:c r="X2770" s="80" t="n">
        <x:f>W2770*('Inputs'!$B$6-AC2770)</x:f>
        <x:v>705641365.6039947</x:v>
      </x:c>
      <x:c r="Y2770" s="80" t="n">
        <x:f>2*V2770</x:f>
        <x:v>718376.5435426623</x:v>
      </x:c>
      <x:c r="Z2770" s="80" t="n">
        <x:f>K2770*'Inputs'!$B$16+(G2770+R2770)*J2770*'Inputs'!$B$16</x:f>
        <x:v>19106.317973626483</x:v>
      </x:c>
      <x:c r="AA2770" s="80" t="n">
        <x:f>K2770*(1+'Inputs'!$E$51)/2*'Inputs'!$B$17</x:f>
        <x:v>6687.480885467358</x:v>
      </x:c>
      <x:c r="AB2770" s="78" t="n">
        <x:f>(IF(J2770&gt;0,K2770*(1-'Inputs'!$E$51)/2/J2770,0)+G2770+R2770)*'Inputs'!$B$17</x:f>
        <x:v>8738.475925060686</x:v>
      </x:c>
      <x:c r="AC2770" s="78" t="n">
        <x:f>AC2769+AB2770</x:f>
        <x:v>1868582.8694325015</x:v>
      </x:c>
      <x:c r="AD2770" s="80" t="n">
        <x:f>Z2770/(1+'Inputs'!$C$51)</x:f>
        <x:v>6368.772657875495</x:v>
      </x:c>
      <x:c r="AE2770" s="80" t="n">
        <x:f>Z2770-AD2770</x:f>
        <x:v>12737.545315750987</x:v>
      </x:c>
      <x:c r="AF2770" s="80" t="n">
        <x:f>D2770*W2770</x:f>
        <x:v>194887.10238418574</x:v>
      </x:c>
      <x:c r="AG2770" s="80" t="n">
        <x:f>C2770*W2770</x:f>
        <x:v>454736.57222976146</x:v>
      </x:c>
      <x:c r="AH2770" s="80" t="n">
        <x:f>2*'Inputs'!$B$8*'Inputs'!$C$51</x:f>
        <x:v>10000</x:v>
      </x:c>
      <x:c r="AI2770" s="81" t="n">
        <x:f>IF(AH2770&gt;0,(AE2770+AF2770)/AH2770*365,0)</x:f>
        <x:v>7578.299641047691</x:v>
      </x:c>
      <x:c r="AJ2770" s="81" t="n">
        <x:f>IF('Inputs'!$B$51&gt;0,AG2770/('Inputs'!$B$19*'Inputs'!$B$51)*365,0)</x:f>
        <x:v>16597.88488638629</x:v>
      </x:c>
      <x:c r="AK2770" s="81" t="n">
        <x:f>W2770/MAX($W$2559:W2770)-1</x:f>
        <x:v>-0.28275226733397574</x:v>
      </x:c>
      <x:c r="AL2770" s="83" t="n">
        <x:f>'Inputs'!$B$51</x:f>
        <x:v>1</x:v>
      </x:c>
      <x:c r="AM2770" s="83" t="n">
        <x:f>'Inputs'!$C$51</x:f>
        <x:v>2</x:v>
      </x:c>
      <x:c r="AN2770" s="83" t="n">
        <x:f>'Inputs'!$D$51</x:f>
        <x:v>3</x:v>
      </x:c>
      <x:c r="AO2770" s="81" t="n">
        <x:f>'Inputs'!$E$51</x:f>
        <x:v>0.1</x:v>
      </x:c>
    </x:row>
    <x:row r="2771">
      <x:c r="A2771" s="59" t="str">
        <x:v>High demand</x:v>
      </x:c>
      <x:c r="B2771" s="59" t="n">
        <x:v>213</x:v>
      </x:c>
      <x:c r="C2771" s="78" t="n">
        <x:f>(('Inputs'!$B$29*(3*213*'Inputs'!$B$12-213^2)/(2*'Inputs'!$B$12^2))-('Inputs'!$B$29*(3*212*'Inputs'!$B$12-212^2)/(2*'Inputs'!$B$12^2)))*'Inputs'!$B$51</x:f>
        <x:v>642900.8725839853</x:v>
      </x:c>
      <x:c r="D2771" s="78" t="n">
        <x:f>IF('Inputs'!$C$51&gt;0,('Inputs'!$B$30*(3*213*'Inputs'!$B$12-213^2)/(2*'Inputs'!$B$12^2))-('Inputs'!$B$30*(3*212*'Inputs'!$B$12-212^2)/(2*'Inputs'!$B$12^2)),0)</x:f>
        <x:v>275528.9453931302</x:v>
      </x:c>
      <x:c r="E2771" s="78" t="n">
        <x:f>C2771+D2771</x:f>
        <x:v>918429.8179771155</x:v>
      </x:c>
      <x:c r="F2771" s="78" t="n">
        <x:f>'Inputs'!$B$13*E2771+(1-'Inputs'!$B$13)/'Inputs'!$B$14*SUM(E2716:E2771)</x:f>
        <x:v>928647.4948395591</x:v>
      </x:c>
      <x:c r="G2771" s="78" t="n">
        <x:f>F2771*'Inputs'!$F$51</x:f>
        <x:v>232161.87370988977</x:v>
      </x:c>
      <x:c r="H2771" s="78" t="n">
        <x:f>U2770</x:f>
        <x:v>508072.67855240457</x:v>
      </x:c>
      <x:c r="I2771" s="78" t="n">
        <x:f>V2770</x:f>
        <x:v>359188.27177133114</x:v>
      </x:c>
      <x:c r="J2771" s="79" t="n">
        <x:f>IF(H2771&gt;0,I2771/H2771,0)</x:f>
        <x:v>0.7069623834029546</x:v>
      </x:c>
      <x:c r="K2771" s="80" t="n">
        <x:f>(H2771*J2771+I2771)*'Inputs'!$D$51*(1+'Inputs'!$G$51)^(B2771/30)</x:f>
        <x:v>3047315.505058574</x:v>
      </x:c>
      <x:c r="L2771" s="80" t="n">
        <x:f>MAX(0,K2771*'Inputs'!$E$51)</x:f>
        <x:v>304731.5505058574</x:v>
      </x:c>
      <x:c r="M2771" s="80" t="n">
        <x:f>MAX(0,-K2771*'Inputs'!$E$51)</x:f>
        <x:v>0</x:v>
      </x:c>
      <x:c r="N2771" s="78" t="n">
        <x:f>H2771*(L2771*(1-'Inputs'!$B$15))/(I2771+L2771*(1-'Inputs'!$B$15))</x:f>
        <x:v>231932.0531316024</x:v>
      </x:c>
      <x:c r="O2771" s="78" t="n">
        <x:f>H2771-N2771</x:f>
        <x:v>276140.62542080216</x:v>
      </x:c>
      <x:c r="P2771" s="78" t="n">
        <x:f>I2771+L2771*(1-'Inputs'!$B$17)</x:f>
        <x:v>662693.5383717323</x:v>
      </x:c>
      <x:c r="Q2771" s="78" t="n">
        <x:f>IF(J2771&gt;0,M2771/J2771,0)</x:f>
        <x:v>0</x:v>
      </x:c>
      <x:c r="R2771" s="78" t="n">
        <x:f>IF(B2771='Inputs'!$H$51,'Inputs'!$B$27*'Inputs'!$I$51,0)</x:f>
        <x:v>0</x:v>
      </x:c>
      <x:c r="S2771" s="78" t="n">
        <x:f>Q2771+G2771+R2771</x:f>
        <x:v>232161.87370988977</x:v>
      </x:c>
      <x:c r="T2771" s="78" t="n">
        <x:f>P2771*(S2771*(1-'Inputs'!$B$15))/(O2771+S2771*(1-'Inputs'!$B$15))</x:f>
        <x:v>301026.49671208527</x:v>
      </x:c>
      <x:c r="U2771" s="78" t="n">
        <x:f>O2771+S2771*(1-'Inputs'!$B$17)</x:f>
        <x:v>507368.24611777486</x:v>
      </x:c>
      <x:c r="V2771" s="78" t="n">
        <x:f>P2771-T2771</x:f>
        <x:v>361667.0416596471</x:v>
      </x:c>
      <x:c r="W2771" s="79" t="n">
        <x:f>IF(U2771&gt;0,V2771/U2771,0)</x:f>
        <x:v>0.7128294772623466</x:v>
      </x:c>
      <x:c r="X2771" s="80" t="n">
        <x:f>W2771*('Inputs'!$B$6-AC2771)</x:f>
        <x:v>711491266.2753588</x:v>
      </x:c>
      <x:c r="Y2771" s="80" t="n">
        <x:f>2*V2771</x:f>
        <x:v>723334.0833192941</x:v>
      </x:c>
      <x:c r="Z2771" s="80" t="n">
        <x:f>K2771*'Inputs'!$B$16+(G2771+R2771)*J2771*'Inputs'!$B$16</x:f>
        <x:v>19268.671299790883</x:v>
      </x:c>
      <x:c r="AA2771" s="80" t="n">
        <x:f>K2771*(1+'Inputs'!$E$51)/2*'Inputs'!$B$17</x:f>
        <x:v>6744.561480008917</x:v>
      </x:c>
      <x:c r="AB2771" s="78" t="n">
        <x:f>(IF(J2771&gt;0,K2771*(1-'Inputs'!$E$51)/2/J2771,0)+G2771+R2771)*'Inputs'!$B$17</x:f>
        <x:v>8739.869979396368</x:v>
      </x:c>
      <x:c r="AC2771" s="78" t="n">
        <x:f>AC2770+AB2771</x:f>
        <x:v>1877322.739411898</x:v>
      </x:c>
      <x:c r="AD2771" s="80" t="n">
        <x:f>Z2771/(1+'Inputs'!$C$51)</x:f>
        <x:v>6422.8904332636275</x:v>
      </x:c>
      <x:c r="AE2771" s="80" t="n">
        <x:f>Z2771-AD2771</x:f>
        <x:v>12845.780866527257</x:v>
      </x:c>
      <x:c r="AF2771" s="80" t="n">
        <x:f>D2771*W2771</x:f>
        <x:v>196405.15411523063</x:v>
      </x:c>
      <x:c r="AG2771" s="80" t="n">
        <x:f>C2771*W2771</x:f>
        <x:v>458278.6929355487</x:v>
      </x:c>
      <x:c r="AH2771" s="80" t="n">
        <x:f>2*'Inputs'!$B$8*'Inputs'!$C$51</x:f>
        <x:v>10000</x:v>
      </x:c>
      <x:c r="AI2771" s="81" t="n">
        <x:f>IF(AH2771&gt;0,(AE2771+AF2771)/AH2771*365,0)</x:f>
        <x:v>7637.6591268341635</x:v>
      </x:c>
      <x:c r="AJ2771" s="81" t="n">
        <x:f>IF('Inputs'!$B$51&gt;0,AG2771/('Inputs'!$B$19*'Inputs'!$B$51)*365,0)</x:f>
        <x:v>16727.172292147527</x:v>
      </x:c>
      <x:c r="AK2771" s="81" t="n">
        <x:f>W2771/MAX($W$2559:W2771)-1</x:f>
        <x:v>-0.276799815171342</x:v>
      </x:c>
      <x:c r="AL2771" s="83" t="n">
        <x:f>'Inputs'!$B$51</x:f>
        <x:v>1</x:v>
      </x:c>
      <x:c r="AM2771" s="83" t="n">
        <x:f>'Inputs'!$C$51</x:f>
        <x:v>2</x:v>
      </x:c>
      <x:c r="AN2771" s="83" t="n">
        <x:f>'Inputs'!$D$51</x:f>
        <x:v>3</x:v>
      </x:c>
      <x:c r="AO2771" s="81" t="n">
        <x:f>'Inputs'!$E$51</x:f>
        <x:v>0.1</x:v>
      </x:c>
    </x:row>
    <x:row r="2772">
      <x:c r="A2772" s="59" t="str">
        <x:v>High demand</x:v>
      </x:c>
      <x:c r="B2772" s="59" t="n">
        <x:v>214</x:v>
      </x:c>
      <x:c r="C2772" s="78" t="n">
        <x:f>(('Inputs'!$B$29*(3*214*'Inputs'!$B$12-214^2)/(2*'Inputs'!$B$12^2))-('Inputs'!$B$29*(3*213*'Inputs'!$B$12-213^2)/(2*'Inputs'!$B$12^2)))*'Inputs'!$B$51</x:f>
        <x:v>642575.764683783</x:v>
      </x:c>
      <x:c r="D2772" s="78" t="n">
        <x:f>IF('Inputs'!$C$51&gt;0,('Inputs'!$B$30*(3*214*'Inputs'!$B$12-214^2)/(2*'Inputs'!$B$12^2))-('Inputs'!$B$30*(3*213*'Inputs'!$B$12-213^2)/(2*'Inputs'!$B$12^2)),0)</x:f>
        <x:v>275389.6134359166</x:v>
      </x:c>
      <x:c r="E2772" s="78" t="n">
        <x:f>C2772+D2772</x:f>
        <x:v>917965.3781196997</x:v>
      </x:c>
      <x:c r="F2772" s="78" t="n">
        <x:f>'Inputs'!$B$13*E2772+(1-'Inputs'!$B$13)/'Inputs'!$B$14*SUM(E2717:E2772)</x:f>
        <x:v>928183.0549821684</x:v>
      </x:c>
      <x:c r="G2772" s="78" t="n">
        <x:f>F2772*'Inputs'!$F$51</x:f>
        <x:v>232045.7637455421</x:v>
      </x:c>
      <x:c r="H2772" s="78" t="n">
        <x:f>U2771</x:f>
        <x:v>507368.24611777486</x:v>
      </x:c>
      <x:c r="I2772" s="78" t="n">
        <x:f>V2771</x:f>
        <x:v>361667.0416596471</x:v>
      </x:c>
      <x:c r="J2772" s="79" t="n">
        <x:f>IF(H2772&gt;0,I2772/H2772,0)</x:f>
        <x:v>0.7128294772623466</x:v>
      </x:c>
      <x:c r="K2772" s="80" t="n">
        <x:f>(H2772*J2772+I2772)*'Inputs'!$D$51*(1+'Inputs'!$G$51)^(B2772/30)</x:f>
        <x:v>3073339.3567867605</x:v>
      </x:c>
      <x:c r="L2772" s="80" t="n">
        <x:f>MAX(0,K2772*'Inputs'!$E$51)</x:f>
        <x:v>307333.93567867606</x:v>
      </x:c>
      <x:c r="M2772" s="80" t="n">
        <x:f>MAX(0,-K2772*'Inputs'!$E$51)</x:f>
        <x:v>0</x:v>
      </x:c>
      <x:c r="N2772" s="78" t="n">
        <x:f>H2772*(L2772*(1-'Inputs'!$B$15))/(I2772+L2772*(1-'Inputs'!$B$15))</x:f>
        <x:v>231815.2248290759</x:v>
      </x:c>
      <x:c r="O2772" s="78" t="n">
        <x:f>H2772-N2772</x:f>
        <x:v>275553.021288699</x:v>
      </x:c>
      <x:c r="P2772" s="78" t="n">
        <x:f>I2772+L2772*(1-'Inputs'!$B$17)</x:f>
        <x:v>667764.2210579261</x:v>
      </x:c>
      <x:c r="Q2772" s="78" t="n">
        <x:f>IF(J2772&gt;0,M2772/J2772,0)</x:f>
        <x:v>0</x:v>
      </x:c>
      <x:c r="R2772" s="78" t="n">
        <x:f>IF(B2772='Inputs'!$H$51,'Inputs'!$B$27*'Inputs'!$I$51,0)</x:f>
        <x:v>0</x:v>
      </x:c>
      <x:c r="S2772" s="78" t="n">
        <x:f>Q2772+G2772+R2772</x:f>
        <x:v>232045.7637455421</x:v>
      </x:c>
      <x:c r="T2772" s="78" t="n">
        <x:f>P2772*(S2772*(1-'Inputs'!$B$15))/(O2772+S2772*(1-'Inputs'!$B$15))</x:f>
        <x:v>303599.68313087</x:v>
      </x:c>
      <x:c r="U2772" s="78" t="n">
        <x:f>O2772+S2772*(1-'Inputs'!$B$17)</x:f>
        <x:v>506664.9992646413</x:v>
      </x:c>
      <x:c r="V2772" s="78" t="n">
        <x:f>P2772-T2772</x:f>
        <x:v>364164.5379270561</x:v>
      </x:c>
      <x:c r="W2772" s="79" t="n">
        <x:f>IF(U2772&gt;0,V2772/U2772,0)</x:f>
        <x:v>0.7187481638865795</x:v>
      </x:c>
      <x:c r="X2772" s="80" t="n">
        <x:f>W2772*('Inputs'!$B$6-AC2772)</x:f>
        <x:v>717392558.8444966</x:v>
      </x:c>
      <x:c r="Y2772" s="80" t="n">
        <x:f>2*V2772</x:f>
        <x:v>728329.0758541122</x:v>
      </x:c>
      <x:c r="Z2772" s="80" t="n">
        <x:f>K2772*'Inputs'!$B$16+(G2772+R2772)*J2772*'Inputs'!$B$16</x:f>
        <x:v>19432.490503550624</x:v>
      </x:c>
      <x:c r="AA2772" s="80" t="n">
        <x:f>K2772*(1+'Inputs'!$E$51)/2*'Inputs'!$B$17</x:f>
        <x:v>6802.1595421839775</x:v>
      </x:c>
      <x:c r="AB2772" s="78" t="n">
        <x:f>(IF(J2772&gt;0,K2772*(1-'Inputs'!$E$51)/2/J2772,0)+G2772+R2772)*'Inputs'!$B$17</x:f>
        <x:v>8741.267698042275</x:v>
      </x:c>
      <x:c r="AC2772" s="78" t="n">
        <x:f>AC2771+AB2772</x:f>
        <x:v>1886064.0071099403</x:v>
      </x:c>
      <x:c r="AD2772" s="80" t="n">
        <x:f>Z2772/(1+'Inputs'!$C$51)</x:f>
        <x:v>6477.4968345168745</x:v>
      </x:c>
      <x:c r="AE2772" s="80" t="n">
        <x:f>Z2772-AD2772</x:f>
        <x:v>12954.993669033749</x:v>
      </x:c>
      <x:c r="AF2772" s="80" t="n">
        <x:f>D2772*W2772</x:f>
        <x:v>197935.77901049994</x:v>
      </x:c>
      <x:c r="AG2772" s="80" t="n">
        <x:f>C2772*W2772</x:f>
        <x:v>461850.15102448384</x:v>
      </x:c>
      <x:c r="AH2772" s="80" t="n">
        <x:f>2*'Inputs'!$B$8*'Inputs'!$C$51</x:f>
        <x:v>10000</x:v>
      </x:c>
      <x:c r="AI2772" s="81" t="n">
        <x:f>IF(AH2772&gt;0,(AE2772+AF2772)/AH2772*365,0)</x:f>
        <x:v>7697.513202802979</x:v>
      </x:c>
      <x:c r="AJ2772" s="81" t="n">
        <x:f>IF('Inputs'!$B$51&gt;0,AG2772/('Inputs'!$B$19*'Inputs'!$B$51)*365,0)</x:f>
        <x:v>16857.53051239366</x:v>
      </x:c>
      <x:c r="AK2772" s="81" t="n">
        <x:f>W2772/MAX($W$2559:W2772)-1</x:f>
        <x:v>-0.2707950196387172</x:v>
      </x:c>
      <x:c r="AL2772" s="83" t="n">
        <x:f>'Inputs'!$B$51</x:f>
        <x:v>1</x:v>
      </x:c>
      <x:c r="AM2772" s="83" t="n">
        <x:f>'Inputs'!$C$51</x:f>
        <x:v>2</x:v>
      </x:c>
      <x:c r="AN2772" s="83" t="n">
        <x:f>'Inputs'!$D$51</x:f>
        <x:v>3</x:v>
      </x:c>
      <x:c r="AO2772" s="81" t="n">
        <x:f>'Inputs'!$E$51</x:f>
        <x:v>0.1</x:v>
      </x:c>
    </x:row>
    <x:row r="2773">
      <x:c r="A2773" s="59" t="str">
        <x:v>High demand</x:v>
      </x:c>
      <x:c r="B2773" s="59" t="n">
        <x:v>215</x:v>
      </x:c>
      <x:c r="C2773" s="78" t="n">
        <x:f>(('Inputs'!$B$29*(3*215*'Inputs'!$B$12-215^2)/(2*'Inputs'!$B$12^2))-('Inputs'!$B$29*(3*214*'Inputs'!$B$12-214^2)/(2*'Inputs'!$B$12^2)))*'Inputs'!$B$51</x:f>
        <x:v>642250.6567836404</x:v>
      </x:c>
      <x:c r="D2773" s="78" t="n">
        <x:f>IF('Inputs'!$C$51&gt;0,('Inputs'!$B$30*(3*215*'Inputs'!$B$12-215^2)/(2*'Inputs'!$B$12^2))-('Inputs'!$B$30*(3*214*'Inputs'!$B$12-214^2)/(2*'Inputs'!$B$12^2)),0)</x:f>
        <x:v>275250.281478703</x:v>
      </x:c>
      <x:c r="E2773" s="78" t="n">
        <x:f>C2773+D2773</x:f>
        <x:v>917500.9382623434</x:v>
      </x:c>
      <x:c r="F2773" s="78" t="n">
        <x:f>'Inputs'!$B$13*E2773+(1-'Inputs'!$B$13)/'Inputs'!$B$14*SUM(E2718:E2773)</x:f>
        <x:v>927718.6151247899</x:v>
      </x:c>
      <x:c r="G2773" s="78" t="n">
        <x:f>F2773*'Inputs'!$F$51</x:f>
        <x:v>231929.65378119747</x:v>
      </x:c>
      <x:c r="H2773" s="78" t="n">
        <x:f>U2772</x:f>
        <x:v>506664.9992646413</x:v>
      </x:c>
      <x:c r="I2773" s="78" t="n">
        <x:f>V2772</x:f>
        <x:v>364164.5379270561</x:v>
      </x:c>
      <x:c r="J2773" s="79" t="n">
        <x:f>IF(H2773&gt;0,I2773/H2773,0)</x:f>
        <x:v>0.7187481638865795</x:v>
      </x:c>
      <x:c r="K2773" s="80" t="n">
        <x:f>(H2773*J2773+I2773)*'Inputs'!$D$51*(1+'Inputs'!$G$51)^(B2773/30)</x:f>
        <x:v>3099599.241614281</x:v>
      </x:c>
      <x:c r="L2773" s="80" t="n">
        <x:f>MAX(0,K2773*'Inputs'!$E$51)</x:f>
        <x:v>309959.9241614281</x:v>
      </x:c>
      <x:c r="M2773" s="80" t="n">
        <x:f>MAX(0,-K2773*'Inputs'!$E$51)</x:f>
        <x:v>0</x:v>
      </x:c>
      <x:c r="N2773" s="78" t="n">
        <x:f>H2773*(L2773*(1-'Inputs'!$B$15))/(I2773+L2773*(1-'Inputs'!$B$15))</x:f>
        <x:v>231698.39883462715</x:v>
      </x:c>
      <x:c r="O2773" s="78" t="n">
        <x:f>H2773-N2773</x:f>
        <x:v>274966.6004300142</x:v>
      </x:c>
      <x:c r="P2773" s="78" t="n">
        <x:f>I2773+L2773*(1-'Inputs'!$B$17)</x:f>
        <x:v>672877.1384500077</x:v>
      </x:c>
      <x:c r="Q2773" s="78" t="n">
        <x:f>IF(J2773&gt;0,M2773/J2773,0)</x:f>
        <x:v>0</x:v>
      </x:c>
      <x:c r="R2773" s="78" t="n">
        <x:f>IF(B2773='Inputs'!$H$51,'Inputs'!$B$27*'Inputs'!$I$51,0)</x:f>
        <x:v>0</x:v>
      </x:c>
      <x:c r="S2773" s="78" t="n">
        <x:f>Q2773+G2773+R2773</x:f>
        <x:v>231929.65378119747</x:v>
      </x:c>
      <x:c r="T2773" s="78" t="n">
        <x:f>P2773*(S2773*(1-'Inputs'!$B$15))/(O2773+S2773*(1-'Inputs'!$B$15))</x:f>
        <x:v>306196.22594897996</x:v>
      </x:c>
      <x:c r="U2773" s="78" t="n">
        <x:f>O2773+S2773*(1-'Inputs'!$B$17)</x:f>
        <x:v>505962.93568492914</x:v>
      </x:c>
      <x:c r="V2773" s="78" t="n">
        <x:f>P2773-T2773</x:f>
        <x:v>366680.9125010277</x:v>
      </x:c>
      <x:c r="W2773" s="79" t="n">
        <x:f>IF(U2773&gt;0,V2773/U2773,0)</x:f>
        <x:v>0.724718920378321</x:v>
      </x:c>
      <x:c r="X2773" s="80" t="n">
        <x:f>W2773*('Inputs'!$B$6-AC2773)</x:f>
        <x:v>723345718.1296254</x:v>
      </x:c>
      <x:c r="Y2773" s="80" t="n">
        <x:f>2*V2773</x:f>
        <x:v>733361.8250020554</x:v>
      </x:c>
      <x:c r="Z2773" s="80" t="n">
        <x:f>K2773*'Inputs'!$B$16+(G2773+R2773)*J2773*'Inputs'!$B$16</x:f>
        <x:v>19597.7895265222</x:v>
      </x:c>
      <x:c r="AA2773" s="80" t="n">
        <x:f>K2773*(1+'Inputs'!$E$51)/2*'Inputs'!$B$17</x:f>
        <x:v>6860.280011621147</x:v>
      </x:c>
      <x:c r="AB2773" s="78" t="n">
        <x:f>(IF(J2773&gt;0,K2773*(1-'Inputs'!$E$51)/2/J2773,0)+G2773+R2773)*'Inputs'!$B$17</x:f>
        <x:v>8742.669082105698</x:v>
      </x:c>
      <x:c r="AC2773" s="78" t="n">
        <x:f>AC2772+AB2773</x:f>
        <x:v>1894806.676192046</x:v>
      </x:c>
      <x:c r="AD2773" s="80" t="n">
        <x:f>Z2773/(1+'Inputs'!$C$51)</x:f>
        <x:v>6532.596508840733</x:v>
      </x:c>
      <x:c r="AE2773" s="80" t="n">
        <x:f>Z2773-AD2773</x:f>
        <x:v>13065.193017681468</x:v>
      </x:c>
      <x:c r="AF2773" s="80" t="n">
        <x:f>D2773*W2773</x:f>
        <x:v>199479.0868270746</x:v>
      </x:c>
      <x:c r="AG2773" s="80" t="n">
        <x:f>C2773*W2773</x:f>
        <x:v>465451.20259650744</x:v>
      </x:c>
      <x:c r="AH2773" s="80" t="n">
        <x:f>2*'Inputs'!$B$8*'Inputs'!$C$51</x:f>
        <x:v>10000</x:v>
      </x:c>
      <x:c r="AI2773" s="81" t="n">
        <x:f>IF(AH2773&gt;0,(AE2773+AF2773)/AH2773*365,0)</x:f>
        <x:v>7757.866214333597</x:v>
      </x:c>
      <x:c r="AJ2773" s="81" t="n">
        <x:f>IF('Inputs'!$B$51&gt;0,AG2773/('Inputs'!$B$19*'Inputs'!$B$51)*365,0)</x:f>
        <x:v>16988.968894772523</x:v>
      </x:c>
      <x:c r="AK2773" s="81" t="n">
        <x:f>W2773/MAX($W$2559:W2773)-1</x:f>
        <x:v>-0.2647373966922336</x:v>
      </x:c>
      <x:c r="AL2773" s="83" t="n">
        <x:f>'Inputs'!$B$51</x:f>
        <x:v>1</x:v>
      </x:c>
      <x:c r="AM2773" s="83" t="n">
        <x:f>'Inputs'!$C$51</x:f>
        <x:v>2</x:v>
      </x:c>
      <x:c r="AN2773" s="83" t="n">
        <x:f>'Inputs'!$D$51</x:f>
        <x:v>3</x:v>
      </x:c>
      <x:c r="AO2773" s="81" t="n">
        <x:f>'Inputs'!$E$51</x:f>
        <x:v>0.1</x:v>
      </x:c>
    </x:row>
    <x:row r="2774">
      <x:c r="A2774" s="59" t="str">
        <x:v>High demand</x:v>
      </x:c>
      <x:c r="B2774" s="59" t="n">
        <x:v>216</x:v>
      </x:c>
      <x:c r="C2774" s="78" t="n">
        <x:f>(('Inputs'!$B$29*(3*216*'Inputs'!$B$12-216^2)/(2*'Inputs'!$B$12^2))-('Inputs'!$B$29*(3*215*'Inputs'!$B$12-215^2)/(2*'Inputs'!$B$12^2)))*'Inputs'!$B$51</x:f>
        <x:v>641925.5488834679</x:v>
      </x:c>
      <x:c r="D2774" s="78" t="n">
        <x:f>IF('Inputs'!$C$51&gt;0,('Inputs'!$B$30*(3*216*'Inputs'!$B$12-216^2)/(2*'Inputs'!$B$12^2))-('Inputs'!$B$30*(3*215*'Inputs'!$B$12-215^2)/(2*'Inputs'!$B$12^2)),0)</x:f>
        <x:v>275110.94952148944</x:v>
      </x:c>
      <x:c r="E2774" s="78" t="n">
        <x:f>C2774+D2774</x:f>
        <x:v>917036.4984049574</x:v>
      </x:c>
      <x:c r="F2774" s="78" t="n">
        <x:f>'Inputs'!$B$13*E2774+(1-'Inputs'!$B$13)/'Inputs'!$B$14*SUM(E2719:E2774)</x:f>
        <x:v>927254.1752674056</x:v>
      </x:c>
      <x:c r="G2774" s="78" t="n">
        <x:f>F2774*'Inputs'!$F$51</x:f>
        <x:v>231813.5438168514</x:v>
      </x:c>
      <x:c r="H2774" s="78" t="n">
        <x:f>U2773</x:f>
        <x:v>505962.93568492914</x:v>
      </x:c>
      <x:c r="I2774" s="78" t="n">
        <x:f>V2773</x:f>
        <x:v>366680.9125010277</x:v>
      </x:c>
      <x:c r="J2774" s="79" t="n">
        <x:f>IF(H2774&gt;0,I2774/H2774,0)</x:f>
        <x:v>0.724718920378321</x:v>
      </x:c>
      <x:c r="K2774" s="80" t="n">
        <x:f>(H2774*J2774+I2774)*'Inputs'!$D$51*(1+'Inputs'!$G$51)^(B2774/30)</x:f>
        <x:v>3126097.4136349945</x:v>
      </x:c>
      <x:c r="L2774" s="80" t="n">
        <x:f>MAX(0,K2774*'Inputs'!$E$51)</x:f>
        <x:v>312609.7413634995</x:v>
      </x:c>
      <x:c r="M2774" s="80" t="n">
        <x:f>MAX(0,-K2774*'Inputs'!$E$51)</x:f>
        <x:v>0</x:v>
      </x:c>
      <x:c r="N2774" s="78" t="n">
        <x:f>H2774*(L2774*(1-'Inputs'!$B$15))/(I2774+L2774*(1-'Inputs'!$B$15))</x:f>
        <x:v>231581.5751438537</x:v>
      </x:c>
      <x:c r="O2774" s="78" t="n">
        <x:f>H2774-N2774</x:f>
        <x:v>274381.36054107547</x:v>
      </x:c>
      <x:c r="P2774" s="78" t="n">
        <x:f>I2774+L2774*(1-'Inputs'!$B$17)</x:f>
        <x:v>678032.6669777525</x:v>
      </x:c>
      <x:c r="Q2774" s="78" t="n">
        <x:f>IF(J2774&gt;0,M2774/J2774,0)</x:f>
        <x:v>0</x:v>
      </x:c>
      <x:c r="R2774" s="78" t="n">
        <x:f>IF(B2774='Inputs'!$H$51,'Inputs'!$B$27*'Inputs'!$I$51,0)</x:f>
        <x:v>0</x:v>
      </x:c>
      <x:c r="S2774" s="78" t="n">
        <x:f>Q2774+G2774+R2774</x:f>
        <x:v>231813.5438168514</x:v>
      </x:c>
      <x:c r="T2774" s="78" t="n">
        <x:f>P2774*(S2774*(1-'Inputs'!$B$15))/(O2774+S2774*(1-'Inputs'!$B$15))</x:f>
        <x:v>308816.3483618089</x:v>
      </x:c>
      <x:c r="U2774" s="78" t="n">
        <x:f>O2774+S2774*(1-'Inputs'!$B$17)</x:f>
        <x:v>505262.05307496164</x:v>
      </x:c>
      <x:c r="V2774" s="78" t="n">
        <x:f>P2774-T2774</x:f>
        <x:v>369216.31861594354</x:v>
      </x:c>
      <x:c r="W2774" s="79" t="n">
        <x:f>IF(U2774&gt;0,V2774/U2774,0)</x:f>
        <x:v>0.7307422284514327</x:v>
      </x:c>
      <x:c r="X2774" s="80" t="n">
        <x:f>W2774*('Inputs'!$B$6-AC2774)</x:f>
        <x:v>729351223.53417</x:v>
      </x:c>
      <x:c r="Y2774" s="80" t="n">
        <x:f>2*V2774</x:f>
        <x:v>738432.6372318871</x:v>
      </x:c>
      <x:c r="Z2774" s="80" t="n">
        <x:f>K2774*'Inputs'!$B$16+(G2774+R2774)*J2774*'Inputs'!$B$16</x:f>
        <x:v>19764.582449034096</x:v>
      </x:c>
      <x:c r="AA2774" s="80" t="n">
        <x:f>K2774*(1+'Inputs'!$E$51)/2*'Inputs'!$B$17</x:f>
        <x:v>6918.927877260552</x:v>
      </x:c>
      <x:c r="AB2774" s="78" t="n">
        <x:f>(IF(J2774&gt;0,K2774*(1-'Inputs'!$E$51)/2/J2774,0)+G2774+R2774)*'Inputs'!$B$17</x:f>
        <x:v>8744.074132688447</x:v>
      </x:c>
      <x:c r="AC2774" s="78" t="n">
        <x:f>AC2773+AB2774</x:f>
        <x:v>1903550.7503247343</x:v>
      </x:c>
      <x:c r="AD2774" s="80" t="n">
        <x:f>Z2774/(1+'Inputs'!$C$51)</x:f>
        <x:v>6588.194149678032</x:v>
      </x:c>
      <x:c r="AE2774" s="80" t="n">
        <x:f>Z2774-AD2774</x:f>
        <x:v>13176.388299356066</x:v>
      </x:c>
      <x:c r="AF2774" s="80" t="n">
        <x:f>D2774*W2774</x:f>
        <x:v>201035.1883247228</x:v>
      </x:c>
      <x:c r="AG2774" s="80" t="n">
        <x:f>C2774*W2774</x:f>
        <x:v>469082.1060910144</x:v>
      </x:c>
      <x:c r="AH2774" s="80" t="n">
        <x:f>2*'Inputs'!$B$8*'Inputs'!$C$51</x:f>
        <x:v>10000</x:v>
      </x:c>
      <x:c r="AI2774" s="81" t="n">
        <x:f>IF(AH2774&gt;0,(AE2774+AF2774)/AH2774*365,0)</x:f>
        <x:v>7818.722546778879</x:v>
      </x:c>
      <x:c r="AJ2774" s="81" t="n">
        <x:f>IF('Inputs'!$B$51&gt;0,AG2774/('Inputs'!$B$19*'Inputs'!$B$51)*365,0)</x:f>
        <x:v>17121.496872322026</x:v>
      </x:c>
      <x:c r="AK2774" s="81" t="n">
        <x:f>W2774/MAX($W$2559:W2774)-1</x:f>
        <x:v>-0.25862645760974223</x:v>
      </x:c>
      <x:c r="AL2774" s="83" t="n">
        <x:f>'Inputs'!$B$51</x:f>
        <x:v>1</x:v>
      </x:c>
      <x:c r="AM2774" s="83" t="n">
        <x:f>'Inputs'!$C$51</x:f>
        <x:v>2</x:v>
      </x:c>
      <x:c r="AN2774" s="83" t="n">
        <x:f>'Inputs'!$D$51</x:f>
        <x:v>3</x:v>
      </x:c>
      <x:c r="AO2774" s="81" t="n">
        <x:f>'Inputs'!$E$51</x:f>
        <x:v>0.1</x:v>
      </x:c>
    </x:row>
    <x:row r="2775">
      <x:c r="A2775" s="59" t="str">
        <x:v>High demand</x:v>
      </x:c>
      <x:c r="B2775" s="59" t="n">
        <x:v>217</x:v>
      </x:c>
      <x:c r="C2775" s="78" t="n">
        <x:f>(('Inputs'!$B$29*(3*217*'Inputs'!$B$12-217^2)/(2*'Inputs'!$B$12^2))-('Inputs'!$B$29*(3*216*'Inputs'!$B$12-216^2)/(2*'Inputs'!$B$12^2)))*'Inputs'!$B$51</x:f>
        <x:v>641600.4409832954</x:v>
      </x:c>
      <x:c r="D2775" s="78" t="n">
        <x:f>IF('Inputs'!$C$51&gt;0,('Inputs'!$B$30*(3*217*'Inputs'!$B$12-217^2)/(2*'Inputs'!$B$12^2))-('Inputs'!$B$30*(3*216*'Inputs'!$B$12-216^2)/(2*'Inputs'!$B$12^2)),0)</x:f>
        <x:v>274971.6175642684</x:v>
      </x:c>
      <x:c r="E2775" s="78" t="n">
        <x:f>C2775+D2775</x:f>
        <x:v>916572.0585475639</x:v>
      </x:c>
      <x:c r="F2775" s="78" t="n">
        <x:f>'Inputs'!$B$13*E2775+(1-'Inputs'!$B$13)/'Inputs'!$B$14*SUM(E2720:E2775)</x:f>
        <x:v>926789.7354100194</x:v>
      </x:c>
      <x:c r="G2775" s="78" t="n">
        <x:f>F2775*'Inputs'!$F$51</x:f>
        <x:v>231697.43385250485</x:v>
      </x:c>
      <x:c r="H2775" s="78" t="n">
        <x:f>U2774</x:f>
        <x:v>505262.05307496164</x:v>
      </x:c>
      <x:c r="I2775" s="78" t="n">
        <x:f>V2774</x:f>
        <x:v>369216.31861594354</x:v>
      </x:c>
      <x:c r="J2775" s="79" t="n">
        <x:f>IF(H2775&gt;0,I2775/H2775,0)</x:f>
        <x:v>0.7307422284514327</x:v>
      </x:c>
      <x:c r="K2775" s="80" t="n">
        <x:f>(H2775*J2775+I2775)*'Inputs'!$D$51*(1+'Inputs'!$G$51)^(B2775/30)</x:f>
        <x:v>3152836.1494540116</x:v>
      </x:c>
      <x:c r="L2775" s="80" t="n">
        <x:f>MAX(0,K2775*'Inputs'!$E$51)</x:f>
        <x:v>315283.6149454012</x:v>
      </x:c>
      <x:c r="M2775" s="80" t="n">
        <x:f>MAX(0,-K2775*'Inputs'!$E$51)</x:f>
        <x:v>0</x:v>
      </x:c>
      <x:c r="N2775" s="78" t="n">
        <x:f>H2775*(L2775*(1-'Inputs'!$B$15))/(I2775+L2775*(1-'Inputs'!$B$15))</x:f>
        <x:v>231464.75375235773</x:v>
      </x:c>
      <x:c r="O2775" s="78" t="n">
        <x:f>H2775-N2775</x:f>
        <x:v>273797.2993226039</x:v>
      </x:c>
      <x:c r="P2775" s="78" t="n">
        <x:f>I2775+L2775*(1-'Inputs'!$B$17)</x:f>
        <x:v>683231.1866199146</x:v>
      </x:c>
      <x:c r="Q2775" s="78" t="n">
        <x:f>IF(J2775&gt;0,M2775/J2775,0)</x:f>
        <x:v>0</x:v>
      </x:c>
      <x:c r="R2775" s="78" t="n">
        <x:f>IF(B2775='Inputs'!$H$51,'Inputs'!$B$27*'Inputs'!$I$51,0)</x:f>
        <x:v>0</x:v>
      </x:c>
      <x:c r="S2775" s="78" t="n">
        <x:f>Q2775+G2775+R2775</x:f>
        <x:v>231697.43385250485</x:v>
      </x:c>
      <x:c r="T2775" s="78" t="n">
        <x:f>P2775*(S2775*(1-'Inputs'!$B$15))/(O2775+S2775*(1-'Inputs'!$B$15))</x:f>
        <x:v>311460.27579501056</x:v>
      </x:c>
      <x:c r="U2775" s="78" t="n">
        <x:f>O2775+S2775*(1-'Inputs'!$B$17)</x:f>
        <x:v>504562.34913546086</x:v>
      </x:c>
      <x:c r="V2775" s="78" t="n">
        <x:f>P2775-T2775</x:f>
        <x:v>371770.91082490404</x:v>
      </x:c>
      <x:c r="W2775" s="79" t="n">
        <x:f>IF(U2775&gt;0,V2775/U2775,0)</x:f>
        <x:v>0.7368185744772922</x:v>
      </x:c>
      <x:c r="X2775" s="80" t="n">
        <x:f>W2775*('Inputs'!$B$6-AC2775)</x:f>
        <x:v>735409559.0927854</x:v>
      </x:c>
      <x:c r="Y2775" s="80" t="n">
        <x:f>2*V2775</x:f>
        <x:v>743541.8216498081</x:v>
      </x:c>
      <x:c r="Z2775" s="80" t="n">
        <x:f>K2775*'Inputs'!$B$16+(G2775+R2775)*J2775*'Inputs'!$B$16</x:f>
        <x:v>19932.883491563218</x:v>
      </x:c>
      <x:c r="AA2775" s="80" t="n">
        <x:f>K2775*(1+'Inputs'!$E$51)/2*'Inputs'!$B$17</x:f>
        <x:v>6978.108177866023</x:v>
      </x:c>
      <x:c r="AB2775" s="78" t="n">
        <x:f>(IF(J2775&gt;0,K2775*(1-'Inputs'!$E$51)/2/J2775,0)+G2775+R2775)*'Inputs'!$B$17</x:f>
        <x:v>8745.482850886649</x:v>
      </x:c>
      <x:c r="AC2775" s="78" t="n">
        <x:f>AC2774+AB2775</x:f>
        <x:v>1912296.233175621</x:v>
      </x:c>
      <x:c r="AD2775" s="80" t="n">
        <x:f>Z2775/(1+'Inputs'!$C$51)</x:f>
        <x:v>6644.29449718774</x:v>
      </x:c>
      <x:c r="AE2775" s="80" t="n">
        <x:f>Z2775-AD2775</x:f>
        <x:v>13288.588994375477</x:v>
      </x:c>
      <x:c r="AF2775" s="80" t="n">
        <x:f>D2775*W2775</x:f>
        <x:v>202604.1952754194</x:v>
      </x:c>
      <x:c r="AG2775" s="80" t="n">
        <x:f>C2775*W2775</x:f>
        <x:v>472743.12230931374</x:v>
      </x:c>
      <x:c r="AH2775" s="80" t="n">
        <x:f>2*'Inputs'!$B$8*'Inputs'!$C$51</x:f>
        <x:v>10000</x:v>
      </x:c>
      <x:c r="AI2775" s="81" t="n">
        <x:f>IF(AH2775&gt;0,(AE2775+AF2775)/AH2775*365,0)</x:f>
        <x:v>7880.086625847513</x:v>
      </x:c>
      <x:c r="AJ2775" s="81" t="n">
        <x:f>IF('Inputs'!$B$51&gt;0,AG2775/('Inputs'!$B$19*'Inputs'!$B$51)*365,0)</x:f>
        <x:v>17255.12396428995</x:v>
      </x:c>
      <x:c r="AK2775" s="81" t="n">
        <x:f>W2775/MAX($W$2559:W2775)-1</x:f>
        <x:v>-0.25246170894381814</x:v>
      </x:c>
      <x:c r="AL2775" s="83" t="n">
        <x:f>'Inputs'!$B$51</x:f>
        <x:v>1</x:v>
      </x:c>
      <x:c r="AM2775" s="83" t="n">
        <x:f>'Inputs'!$C$51</x:f>
        <x:v>2</x:v>
      </x:c>
      <x:c r="AN2775" s="83" t="n">
        <x:f>'Inputs'!$D$51</x:f>
        <x:v>3</x:v>
      </x:c>
      <x:c r="AO2775" s="81" t="n">
        <x:f>'Inputs'!$E$51</x:f>
        <x:v>0.1</x:v>
      </x:c>
    </x:row>
    <x:row r="2776">
      <x:c r="A2776" s="59" t="str">
        <x:v>High demand</x:v>
      </x:c>
      <x:c r="B2776" s="59" t="n">
        <x:v>218</x:v>
      </x:c>
      <x:c r="C2776" s="78" t="n">
        <x:f>(('Inputs'!$B$29*(3*218*'Inputs'!$B$12-218^2)/(2*'Inputs'!$B$12^2))-('Inputs'!$B$29*(3*217*'Inputs'!$B$12-217^2)/(2*'Inputs'!$B$12^2)))*'Inputs'!$B$51</x:f>
        <x:v>641275.3330831528</x:v>
      </x:c>
      <x:c r="D2776" s="78" t="n">
        <x:f>IF('Inputs'!$C$51&gt;0,('Inputs'!$B$30*(3*218*'Inputs'!$B$12-218^2)/(2*'Inputs'!$B$12^2))-('Inputs'!$B$30*(3*217*'Inputs'!$B$12-217^2)/(2*'Inputs'!$B$12^2)),0)</x:f>
        <x:v>274832.28560705483</x:v>
      </x:c>
      <x:c r="E2776" s="78" t="n">
        <x:f>C2776+D2776</x:f>
        <x:v>916107.6186902076</x:v>
      </x:c>
      <x:c r="F2776" s="78" t="n">
        <x:f>'Inputs'!$B$13*E2776+(1-'Inputs'!$B$13)/'Inputs'!$B$14*SUM(E2721:E2776)</x:f>
        <x:v>926325.2955526412</x:v>
      </x:c>
      <x:c r="G2776" s="78" t="n">
        <x:f>F2776*'Inputs'!$F$51</x:f>
        <x:v>231581.3238881603</x:v>
      </x:c>
      <x:c r="H2776" s="78" t="n">
        <x:f>U2775</x:f>
        <x:v>504562.34913546086</x:v>
      </x:c>
      <x:c r="I2776" s="78" t="n">
        <x:f>V2775</x:f>
        <x:v>371770.91082490404</x:v>
      </x:c>
      <x:c r="J2776" s="79" t="n">
        <x:f>IF(H2776&gt;0,I2776/H2776,0)</x:f>
        <x:v>0.7368185744772922</x:v>
      </x:c>
      <x:c r="K2776" s="80" t="n">
        <x:f>(H2776*J2776+I2776)*'Inputs'!$D$51*(1+'Inputs'!$G$51)^(B2776/30)</x:f>
        <x:v>3179817.7484214706</x:v>
      </x:c>
      <x:c r="L2776" s="80" t="n">
        <x:f>MAX(0,K2776*'Inputs'!$E$51)</x:f>
        <x:v>317981.7748421471</x:v>
      </x:c>
      <x:c r="M2776" s="80" t="n">
        <x:f>MAX(0,-K2776*'Inputs'!$E$51)</x:f>
        <x:v>0</x:v>
      </x:c>
      <x:c r="N2776" s="78" t="n">
        <x:f>H2776*(L2776*(1-'Inputs'!$B$15))/(I2776+L2776*(1-'Inputs'!$B$15))</x:f>
        <x:v>231347.93465575107</x:v>
      </x:c>
      <x:c r="O2776" s="78" t="n">
        <x:f>H2776-N2776</x:f>
        <x:v>273214.4144797098</x:v>
      </x:c>
      <x:c r="P2776" s="78" t="n">
        <x:f>I2776+L2776*(1-'Inputs'!$B$17)</x:f>
        <x:v>688473.0809393162</x:v>
      </x:c>
      <x:c r="Q2776" s="78" t="n">
        <x:f>IF(J2776&gt;0,M2776/J2776,0)</x:f>
        <x:v>0</x:v>
      </x:c>
      <x:c r="R2776" s="78" t="n">
        <x:f>IF(B2776='Inputs'!$H$51,'Inputs'!$B$27*'Inputs'!$I$51,0)</x:f>
        <x:v>0</x:v>
      </x:c>
      <x:c r="S2776" s="78" t="n">
        <x:f>Q2776+G2776+R2776</x:f>
        <x:v>231581.3238881603</x:v>
      </x:c>
      <x:c r="T2776" s="78" t="n">
        <x:f>P2776*(S2776*(1-'Inputs'!$B$15))/(O2776+S2776*(1-'Inputs'!$B$15))</x:f>
        <x:v>314128.2359276653</x:v>
      </x:c>
      <x:c r="U2776" s="78" t="n">
        <x:f>O2776+S2776*(1-'Inputs'!$B$17)</x:f>
        <x:v>503863.8215715395</x:v>
      </x:c>
      <x:c r="V2776" s="78" t="n">
        <x:f>P2776-T2776</x:f>
        <x:v>374344.8450116509</x:v>
      </x:c>
      <x:c r="W2776" s="79" t="n">
        <x:f>IF(U2776&gt;0,V2776/U2776,0)</x:f>
        <x:v>0.7429484495316175</x:v>
      </x:c>
      <x:c r="X2776" s="80" t="n">
        <x:f>W2776*('Inputs'!$B$6-AC2776)</x:f>
        <x:v>741521213.5178794</x:v>
      </x:c>
      <x:c r="Y2776" s="80" t="n">
        <x:f>2*V2776</x:f>
        <x:v>748689.6900233018</x:v>
      </x:c>
      <x:c r="Z2776" s="80" t="n">
        <x:f>K2776*'Inputs'!$B$16+(G2776+R2776)*J2776*'Inputs'!$B$16</x:f>
        <x:v>20102.707016185854</x:v>
      </x:c>
      <x:c r="AA2776" s="80" t="n">
        <x:f>K2776*(1+'Inputs'!$E$51)/2*'Inputs'!$B$17</x:f>
        <x:v>7037.826002542492</x:v>
      </x:c>
      <x:c r="AB2776" s="78" t="n">
        <x:f>(IF(J2776&gt;0,K2776*(1-'Inputs'!$E$51)/2/J2776,0)+G2776+R2776)*'Inputs'!$B$17</x:f>
        <x:v>8746.895237790848</x:v>
      </x:c>
      <x:c r="AC2776" s="78" t="n">
        <x:f>AC2775+AB2776</x:f>
        <x:v>1921043.1284134118</x:v>
      </x:c>
      <x:c r="AD2776" s="80" t="n">
        <x:f>Z2776/(1+'Inputs'!$C$51)</x:f>
        <x:v>6700.902338728618</x:v>
      </x:c>
      <x:c r="AE2776" s="80" t="n">
        <x:f>Z2776-AD2776</x:f>
        <x:v>13401.804677457236</x:v>
      </x:c>
      <x:c r="AF2776" s="80" t="n">
        <x:f>D2776*W2776</x:f>
        <x:v>204186.22047299208</x:v>
      </x:c>
      <x:c r="AG2776" s="80" t="n">
        <x:f>C2776*W2776</x:f>
        <x:v>476434.514437</x:v>
      </x:c>
      <x:c r="AH2776" s="80" t="n">
        <x:f>2*'Inputs'!$B$8*'Inputs'!$C$51</x:f>
        <x:v>10000</x:v>
      </x:c>
      <x:c r="AI2776" s="81" t="n">
        <x:f>IF(AH2776&gt;0,(AE2776+AF2776)/AH2776*365,0)</x:f>
        <x:v>7941.9629179914</x:v>
      </x:c>
      <x:c r="AJ2776" s="81" t="n">
        <x:f>IF('Inputs'!$B$51&gt;0,AG2776/('Inputs'!$B$19*'Inputs'!$B$51)*365,0)</x:f>
        <x:v>17389.8597769505</x:v>
      </x:c>
      <x:c r="AK2776" s="81" t="n">
        <x:f>W2776/MAX($W$2559:W2776)-1</x:f>
        <x:v>-0.2462426524742536</x:v>
      </x:c>
      <x:c r="AL2776" s="83" t="n">
        <x:f>'Inputs'!$B$51</x:f>
        <x:v>1</x:v>
      </x:c>
      <x:c r="AM2776" s="83" t="n">
        <x:f>'Inputs'!$C$51</x:f>
        <x:v>2</x:v>
      </x:c>
      <x:c r="AN2776" s="83" t="n">
        <x:f>'Inputs'!$D$51</x:f>
        <x:v>3</x:v>
      </x:c>
      <x:c r="AO2776" s="81" t="n">
        <x:f>'Inputs'!$E$51</x:f>
        <x:v>0.1</x:v>
      </x:c>
    </x:row>
    <x:row r="2777">
      <x:c r="A2777" s="59" t="str">
        <x:v>High demand</x:v>
      </x:c>
      <x:c r="B2777" s="59" t="n">
        <x:v>219</x:v>
      </x:c>
      <x:c r="C2777" s="78" t="n">
        <x:f>(('Inputs'!$B$29*(3*219*'Inputs'!$B$12-219^2)/(2*'Inputs'!$B$12^2))-('Inputs'!$B$29*(3*218*'Inputs'!$B$12-218^2)/(2*'Inputs'!$B$12^2)))*'Inputs'!$B$51</x:f>
        <x:v>640950.2251829505</x:v>
      </x:c>
      <x:c r="D2777" s="78" t="n">
        <x:f>IF('Inputs'!$C$51&gt;0,('Inputs'!$B$30*(3*219*'Inputs'!$B$12-219^2)/(2*'Inputs'!$B$12^2))-('Inputs'!$B$30*(3*218*'Inputs'!$B$12-218^2)/(2*'Inputs'!$B$12^2)),0)</x:f>
        <x:v>274692.95364984125</x:v>
      </x:c>
      <x:c r="E2777" s="78" t="n">
        <x:f>C2777+D2777</x:f>
        <x:v>915643.1788327917</x:v>
      </x:c>
      <x:c r="F2777" s="78" t="n">
        <x:f>'Inputs'!$B$13*E2777+(1-'Inputs'!$B$13)/'Inputs'!$B$14*SUM(E2722:E2777)</x:f>
        <x:v>925860.8556952506</x:v>
      </x:c>
      <x:c r="G2777" s="78" t="n">
        <x:f>F2777*'Inputs'!$F$51</x:f>
        <x:v>231465.21392381264</x:v>
      </x:c>
      <x:c r="H2777" s="78" t="n">
        <x:f>U2776</x:f>
        <x:v>503863.8215715395</x:v>
      </x:c>
      <x:c r="I2777" s="78" t="n">
        <x:f>V2776</x:f>
        <x:v>374344.8450116509</x:v>
      </x:c>
      <x:c r="J2777" s="79" t="n">
        <x:f>IF(H2777&gt;0,I2777/H2777,0)</x:f>
        <x:v>0.7429484495316175</x:v>
      </x:c>
      <x:c r="K2777" s="80" t="n">
        <x:f>(H2777*J2777+I2777)*'Inputs'!$D$51*(1+'Inputs'!$G$51)^(B2777/30)</x:f>
        <x:v>3207044.5328688542</x:v>
      </x:c>
      <x:c r="L2777" s="80" t="n">
        <x:f>MAX(0,K2777*'Inputs'!$E$51)</x:f>
        <x:v>320704.45328688546</x:v>
      </x:c>
      <x:c r="M2777" s="80" t="n">
        <x:f>MAX(0,-K2777*'Inputs'!$E$51)</x:f>
        <x:v>0</x:v>
      </x:c>
      <x:c r="N2777" s="78" t="n">
        <x:f>H2777*(L2777*(1-'Inputs'!$B$15))/(I2777+L2777*(1-'Inputs'!$B$15))</x:f>
        <x:v>231231.11784965498</x:v>
      </x:c>
      <x:c r="O2777" s="78" t="n">
        <x:f>H2777-N2777</x:f>
        <x:v>272632.7037218845</x:v>
      </x:c>
      <x:c r="P2777" s="78" t="n">
        <x:f>I2777+L2777*(1-'Inputs'!$B$17)</x:f>
        <x:v>693758.7371183074</x:v>
      </x:c>
      <x:c r="Q2777" s="78" t="n">
        <x:f>IF(J2777&gt;0,M2777/J2777,0)</x:f>
        <x:v>0</x:v>
      </x:c>
      <x:c r="R2777" s="78" t="n">
        <x:f>IF(B2777='Inputs'!$H$51,'Inputs'!$B$27*'Inputs'!$I$51,0)</x:f>
        <x:v>0</x:v>
      </x:c>
      <x:c r="S2777" s="78" t="n">
        <x:f>Q2777+G2777+R2777</x:f>
        <x:v>231465.21392381264</x:v>
      </x:c>
      <x:c r="T2777" s="78" t="n">
        <x:f>P2777*(S2777*(1-'Inputs'!$B$15))/(O2777+S2777*(1-'Inputs'!$B$15))</x:f>
        <x:v>316820.45871569763</x:v>
      </x:c>
      <x:c r="U2777" s="78" t="n">
        <x:f>O2777+S2777*(1-'Inputs'!$B$17)</x:f>
        <x:v>503166.4680926838</x:v>
      </x:c>
      <x:c r="V2777" s="78" t="n">
        <x:f>P2777-T2777</x:f>
        <x:v>376938.27840260975</x:v>
      </x:c>
      <x:c r="W2777" s="79" t="n">
        <x:f>IF(U2777&gt;0,V2777/U2777,0)</x:f>
        <x:v>0.74913234944181</x:v>
      </x:c>
      <x:c r="X2777" s="80" t="n">
        <x:f>W2777*('Inputs'!$B$6-AC2777)</x:f>
        <x:v>747686680.2466489</x:v>
      </x:c>
      <x:c r="Y2777" s="80" t="n">
        <x:f>2*V2777</x:f>
        <x:v>753876.5568052195</x:v>
      </x:c>
      <x:c r="Z2777" s="80" t="n">
        <x:f>K2777*'Inputs'!$B$16+(G2777+R2777)*J2777*'Inputs'!$B$16</x:f>
        <x:v>20274.06752804433</x:v>
      </x:c>
      <x:c r="AA2777" s="80" t="n">
        <x:f>K2777*(1+'Inputs'!$E$51)/2*'Inputs'!$B$17</x:f>
        <x:v>7098.086491259035</x:v>
      </x:c>
      <x:c r="AB2777" s="78" t="n">
        <x:f>(IF(J2777&gt;0,K2777*(1-'Inputs'!$E$51)/2/J2777,0)+G2777+R2777)*'Inputs'!$B$17</x:f>
        <x:v>8748.311294485973</x:v>
      </x:c>
      <x:c r="AC2777" s="78" t="n">
        <x:f>AC2776+AB2777</x:f>
        <x:v>1929791.4397078978</x:v>
      </x:c>
      <x:c r="AD2777" s="80" t="n">
        <x:f>Z2777/(1+'Inputs'!$C$51)</x:f>
        <x:v>6758.022509348109</x:v>
      </x:c>
      <x:c r="AE2777" s="80" t="n">
        <x:f>Z2777-AD2777</x:f>
        <x:v>13516.045018696219</x:v>
      </x:c>
      <x:c r="AF2777" s="80" t="n">
        <x:f>D2777*W2777</x:f>
        <x:v>205781.3777428158</x:v>
      </x:c>
      <x:c r="AG2777" s="80" t="n">
        <x:f>C2777*W2777</x:f>
        <x:v>480156.5480665609</x:v>
      </x:c>
      <x:c r="AH2777" s="80" t="n">
        <x:f>2*'Inputs'!$B$8*'Inputs'!$C$51</x:f>
        <x:v>10000</x:v>
      </x:c>
      <x:c r="AI2777" s="81" t="n">
        <x:f>IF(AH2777&gt;0,(AE2777+AF2777)/AH2777*365,0)</x:f>
        <x:v>8004.355930795189</x:v>
      </x:c>
      <x:c r="AJ2777" s="81" t="n">
        <x:f>IF('Inputs'!$B$51&gt;0,AG2777/('Inputs'!$B$19*'Inputs'!$B$51)*365,0)</x:f>
        <x:v>17525.714004429472</x:v>
      </x:c>
      <x:c r="AK2777" s="81" t="n">
        <x:f>W2777/MAX($W$2559:W2777)-1</x:f>
        <x:v>-0.2399687851600275</x:v>
      </x:c>
      <x:c r="AL2777" s="83" t="n">
        <x:f>'Inputs'!$B$51</x:f>
        <x:v>1</x:v>
      </x:c>
      <x:c r="AM2777" s="83" t="n">
        <x:f>'Inputs'!$C$51</x:f>
        <x:v>2</x:v>
      </x:c>
      <x:c r="AN2777" s="83" t="n">
        <x:f>'Inputs'!$D$51</x:f>
        <x:v>3</x:v>
      </x:c>
      <x:c r="AO2777" s="81" t="n">
        <x:f>'Inputs'!$E$51</x:f>
        <x:v>0.1</x:v>
      </x:c>
    </x:row>
    <x:row r="2778">
      <x:c r="A2778" s="59" t="str">
        <x:v>High demand</x:v>
      </x:c>
      <x:c r="B2778" s="59" t="n">
        <x:v>220</x:v>
      </x:c>
      <x:c r="C2778" s="78" t="n">
        <x:f>(('Inputs'!$B$29*(3*220*'Inputs'!$B$12-220^2)/(2*'Inputs'!$B$12^2))-('Inputs'!$B$29*(3*219*'Inputs'!$B$12-219^2)/(2*'Inputs'!$B$12^2)))*'Inputs'!$B$51</x:f>
        <x:v>640625.117282778</x:v>
      </x:c>
      <x:c r="D2778" s="78" t="n">
        <x:f>IF('Inputs'!$C$51&gt;0,('Inputs'!$B$30*(3*220*'Inputs'!$B$12-220^2)/(2*'Inputs'!$B$12^2))-('Inputs'!$B$30*(3*219*'Inputs'!$B$12-219^2)/(2*'Inputs'!$B$12^2)),0)</x:f>
        <x:v>274553.62169262767</x:v>
      </x:c>
      <x:c r="E2778" s="78" t="n">
        <x:f>C2778+D2778</x:f>
        <x:v>915178.7389754057</x:v>
      </x:c>
      <x:c r="F2778" s="78" t="n">
        <x:f>'Inputs'!$B$13*E2778+(1-'Inputs'!$B$13)/'Inputs'!$B$14*SUM(E2723:E2778)</x:f>
        <x:v>925396.4158378658</x:v>
      </x:c>
      <x:c r="G2778" s="78" t="n">
        <x:f>F2778*'Inputs'!$F$51</x:f>
        <x:v>231349.10395946645</x:v>
      </x:c>
      <x:c r="H2778" s="78" t="n">
        <x:f>U2777</x:f>
        <x:v>503166.4680926838</x:v>
      </x:c>
      <x:c r="I2778" s="78" t="n">
        <x:f>V2777</x:f>
        <x:v>376938.27840260975</x:v>
      </x:c>
      <x:c r="J2778" s="79" t="n">
        <x:f>IF(H2778&gt;0,I2778/H2778,0)</x:f>
        <x:v>0.74913234944181</x:v>
      </x:c>
      <x:c r="K2778" s="80" t="n">
        <x:f>(H2778*J2778+I2778)*'Inputs'!$D$51*(1+'Inputs'!$G$51)^(B2778/30)</x:f>
        <x:v>3234518.8483479265</x:v>
      </x:c>
      <x:c r="L2778" s="80" t="n">
        <x:f>MAX(0,K2778*'Inputs'!$E$51)</x:f>
        <x:v>323451.8848347927</x:v>
      </x:c>
      <x:c r="M2778" s="80" t="n">
        <x:f>MAX(0,-K2778*'Inputs'!$E$51)</x:f>
        <x:v>0</x:v>
      </x:c>
      <x:c r="N2778" s="78" t="n">
        <x:f>H2778*(L2778*(1-'Inputs'!$B$15))/(I2778+L2778*(1-'Inputs'!$B$15))</x:f>
        <x:v>231114.30332969612</x:v>
      </x:c>
      <x:c r="O2778" s="78" t="n">
        <x:f>H2778-N2778</x:f>
        <x:v>272052.1647629877</x:v>
      </x:c>
      <x:c r="P2778" s="78" t="n">
        <x:f>I2778+L2778*(1-'Inputs'!$B$17)</x:f>
        <x:v>699088.5459946066</x:v>
      </x:c>
      <x:c r="Q2778" s="78" t="n">
        <x:f>IF(J2778&gt;0,M2778/J2778,0)</x:f>
        <x:v>0</x:v>
      </x:c>
      <x:c r="R2778" s="78" t="n">
        <x:f>IF(B2778='Inputs'!$H$51,'Inputs'!$B$27*'Inputs'!$I$51,0)</x:f>
        <x:v>0</x:v>
      </x:c>
      <x:c r="S2778" s="78" t="n">
        <x:f>Q2778+G2778+R2778</x:f>
        <x:v>231349.10395946645</x:v>
      </x:c>
      <x:c r="T2778" s="78" t="n">
        <x:f>P2778*(S2778*(1-'Inputs'!$B$15))/(O2778+S2778*(1-'Inputs'!$B$15))</x:f>
        <x:v>319537.1764155758</x:v>
      </x:c>
      <x:c r="U2778" s="78" t="n">
        <x:f>O2778+S2778*(1-'Inputs'!$B$17)</x:f>
        <x:v>502470.28641275805</x:v>
      </x:c>
      <x:c r="V2778" s="78" t="n">
        <x:f>P2778-T2778</x:f>
        <x:v>379551.3695790308</x:v>
      </x:c>
      <x:c r="W2778" s="79" t="n">
        <x:f>IF(U2778&gt;0,V2778/U2778,0)</x:f>
        <x:v>0.755370774834724</x:v>
      </x:c>
      <x:c r="X2778" s="80" t="n">
        <x:f>W2778*('Inputs'!$B$6-AC2778)</x:f>
        <x:v>753906457.4885406</x:v>
      </x:c>
      <x:c r="Y2778" s="80" t="n">
        <x:f>2*V2778</x:f>
        <x:v>759102.7391580616</x:v>
      </x:c>
      <x:c r="Z2778" s="80" t="n">
        <x:f>K2778*'Inputs'!$B$16+(G2778+R2778)*J2778*'Inputs'!$B$16</x:f>
        <x:v>20446.979676830033</x:v>
      </x:c>
      <x:c r="AA2778" s="80" t="n">
        <x:f>K2778*(1+'Inputs'!$E$51)/2*'Inputs'!$B$17</x:f>
        <x:v>7158.894835377706</x:v>
      </x:c>
      <x:c r="AB2778" s="78" t="n">
        <x:f>(IF(J2778&gt;0,K2778*(1-'Inputs'!$E$51)/2/J2778,0)+G2778+R2778)*'Inputs'!$B$17</x:f>
        <x:v>8749.731022051217</x:v>
      </x:c>
      <x:c r="AC2778" s="78" t="n">
        <x:f>AC2777+AB2778</x:f>
        <x:v>1938541.1707299491</x:v>
      </x:c>
      <x:c r="AD2778" s="80" t="n">
        <x:f>Z2778/(1+'Inputs'!$C$51)</x:f>
        <x:v>6815.659892276678</x:v>
      </x:c>
      <x:c r="AE2778" s="80" t="n">
        <x:f>Z2778-AD2778</x:f>
        <x:v>13631.319784553354</x:v>
      </x:c>
      <x:c r="AF2778" s="80" t="n">
        <x:f>D2778*W2778</x:f>
        <x:v>207389.78195163986</x:v>
      </x:c>
      <x:c r="AG2778" s="80" t="n">
        <x:f>C2778*W2778</x:f>
        <x:v>483909.49122047797</x:v>
      </x:c>
      <x:c r="AH2778" s="80" t="n">
        <x:f>2*'Inputs'!$B$8*'Inputs'!$C$51</x:f>
        <x:v>10000</x:v>
      </x:c>
      <x:c r="AI2778" s="81" t="n">
        <x:f>IF(AH2778&gt;0,(AE2778+AF2778)/AH2778*365,0)</x:f>
        <x:v>8067.270213371052</x:v>
      </x:c>
      <x:c r="AJ2778" s="81" t="n">
        <x:f>IF('Inputs'!$B$51&gt;0,AG2778/('Inputs'!$B$19*'Inputs'!$B$51)*365,0)</x:f>
        <x:v>17662.696429547446</x:v>
      </x:c>
      <x:c r="AK2778" s="81" t="n">
        <x:f>W2778/MAX($W$2559:W2778)-1</x:f>
        <x:v>-0.23363959909083976</x:v>
      </x:c>
      <x:c r="AL2778" s="83" t="n">
        <x:f>'Inputs'!$B$51</x:f>
        <x:v>1</x:v>
      </x:c>
      <x:c r="AM2778" s="83" t="n">
        <x:f>'Inputs'!$C$51</x:f>
        <x:v>2</x:v>
      </x:c>
      <x:c r="AN2778" s="83" t="n">
        <x:f>'Inputs'!$D$51</x:f>
        <x:v>3</x:v>
      </x:c>
      <x:c r="AO2778" s="81" t="n">
        <x:f>'Inputs'!$E$51</x:f>
        <x:v>0.1</x:v>
      </x:c>
    </x:row>
    <x:row r="2779">
      <x:c r="A2779" s="59" t="str">
        <x:v>High demand</x:v>
      </x:c>
      <x:c r="B2779" s="59" t="n">
        <x:v>221</x:v>
      </x:c>
      <x:c r="C2779" s="78" t="n">
        <x:f>(('Inputs'!$B$29*(3*221*'Inputs'!$B$12-221^2)/(2*'Inputs'!$B$12^2))-('Inputs'!$B$29*(3*220*'Inputs'!$B$12-220^2)/(2*'Inputs'!$B$12^2)))*'Inputs'!$B$51</x:f>
        <x:v>640300.0093826354</x:v>
      </x:c>
      <x:c r="D2779" s="78" t="n">
        <x:f>IF('Inputs'!$C$51&gt;0,('Inputs'!$B$30*(3*221*'Inputs'!$B$12-221^2)/(2*'Inputs'!$B$12^2))-('Inputs'!$B$30*(3*220*'Inputs'!$B$12-220^2)/(2*'Inputs'!$B$12^2)),0)</x:f>
        <x:v>274414.28973540664</x:v>
      </x:c>
      <x:c r="E2779" s="78" t="n">
        <x:f>C2779+D2779</x:f>
        <x:v>914714.299118042</x:v>
      </x:c>
      <x:c r="F2779" s="78" t="n">
        <x:f>'Inputs'!$B$13*E2779+(1-'Inputs'!$B$13)/'Inputs'!$B$14*SUM(E2724:E2779)</x:f>
        <x:v>924931.9759804859</x:v>
      </x:c>
      <x:c r="G2779" s="78" t="n">
        <x:f>F2779*'Inputs'!$F$51</x:f>
        <x:v>231232.99399512148</x:v>
      </x:c>
      <x:c r="H2779" s="78" t="n">
        <x:f>U2778</x:f>
        <x:v>502470.28641275805</x:v>
      </x:c>
      <x:c r="I2779" s="78" t="n">
        <x:f>V2778</x:f>
        <x:v>379551.3695790308</x:v>
      </x:c>
      <x:c r="J2779" s="79" t="n">
        <x:f>IF(H2779&gt;0,I2779/H2779,0)</x:f>
        <x:v>0.755370774834724</x:v>
      </x:c>
      <x:c r="K2779" s="80" t="n">
        <x:f>(H2779*J2779+I2779)*'Inputs'!$D$51*(1+'Inputs'!$G$51)^(B2779/30)</x:f>
        <x:v>3262243.0638720957</x:v>
      </x:c>
      <x:c r="L2779" s="80" t="n">
        <x:f>MAX(0,K2779*'Inputs'!$E$51)</x:f>
        <x:v>326224.30638720957</x:v>
      </x:c>
      <x:c r="M2779" s="80" t="n">
        <x:f>MAX(0,-K2779*'Inputs'!$E$51)</x:f>
        <x:v>0</x:v>
      </x:c>
      <x:c r="N2779" s="78" t="n">
        <x:f>H2779*(L2779*(1-'Inputs'!$B$15))/(I2779+L2779*(1-'Inputs'!$B$15))</x:f>
        <x:v>230997.49109151252</x:v>
      </x:c>
      <x:c r="O2779" s="78" t="n">
        <x:f>H2779-N2779</x:f>
        <x:v>271472.79532124556</x:v>
      </x:c>
      <x:c r="P2779" s="78" t="n">
        <x:f>I2779+L2779*(1-'Inputs'!$B$17)</x:f>
        <x:v>704462.902097479</x:v>
      </x:c>
      <x:c r="Q2779" s="78" t="n">
        <x:f>IF(J2779&gt;0,M2779/J2779,0)</x:f>
        <x:v>0</x:v>
      </x:c>
      <x:c r="R2779" s="78" t="n">
        <x:f>IF(B2779='Inputs'!$H$51,'Inputs'!$B$27*'Inputs'!$I$51,0)</x:f>
        <x:v>0</x:v>
      </x:c>
      <x:c r="S2779" s="78" t="n">
        <x:f>Q2779+G2779+R2779</x:f>
        <x:v>231232.99399512148</x:v>
      </x:c>
      <x:c r="T2779" s="78" t="n">
        <x:f>P2779*(S2779*(1-'Inputs'!$B$15))/(O2779+S2779*(1-'Inputs'!$B$15))</x:f>
        <x:v>322278.6236082205</x:v>
      </x:c>
      <x:c r="U2779" s="78" t="n">
        <x:f>O2779+S2779*(1-'Inputs'!$B$17)</x:f>
        <x:v>501775.27424998826</x:v>
      </x:c>
      <x:c r="V2779" s="78" t="n">
        <x:f>P2779-T2779</x:f>
        <x:v>382184.2784892585</x:v>
      </x:c>
      <x:c r="W2779" s="79" t="n">
        <x:f>IF(U2779&gt;0,V2779/U2779,0)</x:f>
        <x:v>0.7616642311849973</x:v>
      </x:c>
      <x:c r="X2779" s="80" t="n">
        <x:f>W2779*('Inputs'!$B$6-AC2779)</x:f>
        <x:v>760181048.2732682</x:v>
      </x:c>
      <x:c r="Y2779" s="80" t="n">
        <x:f>2*V2779</x:f>
        <x:v>764368.556978517</x:v>
      </x:c>
      <x:c r="Z2779" s="80" t="n">
        <x:f>K2779*'Inputs'!$B$16+(G2779+R2779)*J2779*'Inputs'!$B$16</x:f>
        <x:v>20621.45825828126</x:v>
      </x:c>
      <x:c r="AA2779" s="80" t="n">
        <x:f>K2779*(1+'Inputs'!$E$51)/2*'Inputs'!$B$17</x:f>
        <x:v>7220.256278187738</x:v>
      </x:c>
      <x:c r="AB2779" s="78" t="n">
        <x:f>(IF(J2779&gt;0,K2779*(1-'Inputs'!$E$51)/2/J2779,0)+G2779+R2779)*'Inputs'!$B$17</x:f>
        <x:v>8751.154421560186</x:v>
      </x:c>
      <x:c r="AC2779" s="78" t="n">
        <x:f>AC2778+AB2779</x:f>
        <x:v>1947292.3251515094</x:v>
      </x:c>
      <x:c r="AD2779" s="80" t="n">
        <x:f>Z2779/(1+'Inputs'!$C$51)</x:f>
        <x:v>6873.819419427087</x:v>
      </x:c>
      <x:c r="AE2779" s="80" t="n">
        <x:f>Z2779-AD2779</x:f>
        <x:v>13747.638838854175</x:v>
      </x:c>
      <x:c r="AF2779" s="80" t="n">
        <x:f>D2779*W2779</x:f>
        <x:v>209011.5490174956</x:v>
      </x:c>
      <x:c r="AG2779" s="80" t="n">
        <x:f>C2779*W2779</x:f>
        <x:v>487693.6143741715</x:v>
      </x:c>
      <x:c r="AH2779" s="80" t="n">
        <x:f>2*'Inputs'!$B$8*'Inputs'!$C$51</x:f>
        <x:v>10000</x:v>
      </x:c>
      <x:c r="AI2779" s="81" t="n">
        <x:f>IF(AH2779&gt;0,(AE2779+AF2779)/AH2779*365,0)</x:f>
        <x:v>8130.710356756767</x:v>
      </x:c>
      <x:c r="AJ2779" s="81" t="n">
        <x:f>IF('Inputs'!$B$51&gt;0,AG2779/('Inputs'!$B$19*'Inputs'!$B$51)*365,0)</x:f>
        <x:v>17800.816924657258</x:v>
      </x:c>
      <x:c r="AK2779" s="81" t="n">
        <x:f>W2779/MAX($W$2559:W2779)-1</x:f>
        <x:v>-0.22725458143807842</x:v>
      </x:c>
      <x:c r="AL2779" s="83" t="n">
        <x:f>'Inputs'!$B$51</x:f>
        <x:v>1</x:v>
      </x:c>
      <x:c r="AM2779" s="83" t="n">
        <x:f>'Inputs'!$C$51</x:f>
        <x:v>2</x:v>
      </x:c>
      <x:c r="AN2779" s="83" t="n">
        <x:f>'Inputs'!$D$51</x:f>
        <x:v>3</x:v>
      </x:c>
      <x:c r="AO2779" s="81" t="n">
        <x:f>'Inputs'!$E$51</x:f>
        <x:v>0.1</x:v>
      </x:c>
    </x:row>
    <x:row r="2780">
      <x:c r="A2780" s="59" t="str">
        <x:v>High demand</x:v>
      </x:c>
      <x:c r="B2780" s="59" t="n">
        <x:v>222</x:v>
      </x:c>
      <x:c r="C2780" s="78" t="n">
        <x:f>(('Inputs'!$B$29*(3*222*'Inputs'!$B$12-222^2)/(2*'Inputs'!$B$12^2))-('Inputs'!$B$29*(3*221*'Inputs'!$B$12-221^2)/(2*'Inputs'!$B$12^2)))*'Inputs'!$B$51</x:f>
        <x:v>639974.9014824629</x:v>
      </x:c>
      <x:c r="D2780" s="78" t="n">
        <x:f>IF('Inputs'!$C$51&gt;0,('Inputs'!$B$30*(3*222*'Inputs'!$B$12-222^2)/(2*'Inputs'!$B$12^2))-('Inputs'!$B$30*(3*221*'Inputs'!$B$12-221^2)/(2*'Inputs'!$B$12^2)),0)</x:f>
        <x:v>274274.95777819306</x:v>
      </x:c>
      <x:c r="E2780" s="78" t="n">
        <x:f>C2780+D2780</x:f>
        <x:v>914249.8592606559</x:v>
      </x:c>
      <x:c r="F2780" s="78" t="n">
        <x:f>'Inputs'!$B$13*E2780+(1-'Inputs'!$B$13)/'Inputs'!$B$14*SUM(E2725:E2780)</x:f>
        <x:v>924467.5361231014</x:v>
      </x:c>
      <x:c r="G2780" s="78" t="n">
        <x:f>F2780*'Inputs'!$F$51</x:f>
        <x:v>231116.88403077534</x:v>
      </x:c>
      <x:c r="H2780" s="78" t="n">
        <x:f>U2779</x:f>
        <x:v>501775.27424998826</x:v>
      </x:c>
      <x:c r="I2780" s="78" t="n">
        <x:f>V2779</x:f>
        <x:v>382184.2784892585</x:v>
      </x:c>
      <x:c r="J2780" s="79" t="n">
        <x:f>IF(H2780&gt;0,I2780/H2780,0)</x:f>
        <x:v>0.7616642311849973</x:v>
      </x:c>
      <x:c r="K2780" s="80" t="n">
        <x:f>(H2780*J2780+I2780)*'Inputs'!$D$51*(1+'Inputs'!$G$51)^(B2780/30)</x:f>
        <x:v>3290219.572160503</x:v>
      </x:c>
      <x:c r="L2780" s="80" t="n">
        <x:f>MAX(0,K2780*'Inputs'!$E$51)</x:f>
        <x:v>329021.9572160503</x:v>
      </x:c>
      <x:c r="M2780" s="80" t="n">
        <x:f>MAX(0,-K2780*'Inputs'!$E$51)</x:f>
        <x:v>0</x:v>
      </x:c>
      <x:c r="N2780" s="78" t="n">
        <x:f>H2780*(L2780*(1-'Inputs'!$B$15))/(I2780+L2780*(1-'Inputs'!$B$15))</x:f>
        <x:v>230880.68113074964</x:v>
      </x:c>
      <x:c r="O2780" s="78" t="n">
        <x:f>H2780-N2780</x:f>
        <x:v>270894.5931192386</x:v>
      </x:c>
      <x:c r="P2780" s="78" t="n">
        <x:f>I2780+L2780*(1-'Inputs'!$B$17)</x:f>
        <x:v>709882.2036843186</x:v>
      </x:c>
      <x:c r="Q2780" s="78" t="n">
        <x:f>IF(J2780&gt;0,M2780/J2780,0)</x:f>
        <x:v>0</x:v>
      </x:c>
      <x:c r="R2780" s="78" t="n">
        <x:f>IF(B2780='Inputs'!$H$51,'Inputs'!$B$27*'Inputs'!$I$51,0)</x:f>
        <x:v>0</x:v>
      </x:c>
      <x:c r="S2780" s="78" t="n">
        <x:f>Q2780+G2780+R2780</x:f>
        <x:v>231116.88403077534</x:v>
      </x:c>
      <x:c r="T2780" s="78" t="n">
        <x:f>P2780*(S2780*(1-'Inputs'!$B$15))/(O2780+S2780*(1-'Inputs'!$B$15))</x:f>
        <x:v>325045.0372232055</x:v>
      </x:c>
      <x:c r="U2780" s="78" t="n">
        <x:f>O2780+S2780*(1-'Inputs'!$B$17)</x:f>
        <x:v>501081.4293269525</x:v>
      </x:c>
      <x:c r="V2780" s="78" t="n">
        <x:f>P2780-T2780</x:f>
        <x:v>384837.1664611131</x:v>
      </x:c>
      <x:c r="W2780" s="79" t="n">
        <x:f>IF(U2780&gt;0,V2780/U2780,0)</x:f>
        <x:v>0.7680132288638645</x:v>
      </x:c>
      <x:c r="X2780" s="80" t="n">
        <x:f>W2780*('Inputs'!$B$6-AC2780)</x:f>
        <x:v>766510960.499309</x:v>
      </x:c>
      <x:c r="Y2780" s="80" t="n">
        <x:f>2*V2780</x:f>
        <x:v>769674.3329222262</x:v>
      </x:c>
      <x:c r="Z2780" s="80" t="n">
        <x:f>K2780*'Inputs'!$B$16+(G2780+R2780)*J2780*'Inputs'!$B$16</x:f>
        <x:v>20797.51821569805</x:v>
      </x:c>
      <x:c r="AA2780" s="80" t="n">
        <x:f>K2780*(1+'Inputs'!$E$51)/2*'Inputs'!$B$17</x:f>
        <x:v>7282.176115445782</x:v>
      </x:c>
      <x:c r="AB2780" s="78" t="n">
        <x:f>(IF(J2780&gt;0,K2780*(1-'Inputs'!$E$51)/2/J2780,0)+G2780+R2780)*'Inputs'!$B$17</x:f>
        <x:v>8752.581494080732</x:v>
      </x:c>
      <x:c r="AC2780" s="78" t="n">
        <x:f>AC2779+AB2780</x:f>
        <x:v>1956044.9066455902</x:v>
      </x:c>
      <x:c r="AD2780" s="80" t="n">
        <x:f>Z2780/(1+'Inputs'!$C$51)</x:f>
        <x:v>6932.506071899351</x:v>
      </x:c>
      <x:c r="AE2780" s="80" t="n">
        <x:f>Z2780-AD2780</x:f>
        <x:v>13865.0121437987</x:v>
      </x:c>
      <x:c r="AF2780" s="80" t="n">
        <x:f>D2780*W2780</x:f>
        <x:v>210646.79591973015</x:v>
      </x:c>
      <x:c r="AG2780" s="80" t="n">
        <x:f>C2780*W2780</x:f>
        <x:v>491509.1904793799</x:v>
      </x:c>
      <x:c r="AH2780" s="80" t="n">
        <x:f>2*'Inputs'!$B$8*'Inputs'!$C$51</x:f>
        <x:v>10000</x:v>
      </x:c>
      <x:c r="AI2780" s="81" t="n">
        <x:f>IF(AH2780&gt;0,(AE2780+AF2780)/AH2780*365,0)</x:f>
        <x:v>8194.680994318802</x:v>
      </x:c>
      <x:c r="AJ2780" s="81" t="n">
        <x:f>IF('Inputs'!$B$51&gt;0,AG2780/('Inputs'!$B$19*'Inputs'!$B$51)*365,0)</x:f>
        <x:v>17940.085452497366</x:v>
      </x:c>
      <x:c r="AK2780" s="81" t="n">
        <x:f>W2780/MAX($W$2559:W2780)-1</x:f>
        <x:v>-0.22081321440529567</x:v>
      </x:c>
      <x:c r="AL2780" s="83" t="n">
        <x:f>'Inputs'!$B$51</x:f>
        <x:v>1</x:v>
      </x:c>
      <x:c r="AM2780" s="83" t="n">
        <x:f>'Inputs'!$C$51</x:f>
        <x:v>2</x:v>
      </x:c>
      <x:c r="AN2780" s="83" t="n">
        <x:f>'Inputs'!$D$51</x:f>
        <x:v>3</x:v>
      </x:c>
      <x:c r="AO2780" s="81" t="n">
        <x:f>'Inputs'!$E$51</x:f>
        <x:v>0.1</x:v>
      </x:c>
    </x:row>
    <x:row r="2781">
      <x:c r="A2781" s="59" t="str">
        <x:v>High demand</x:v>
      </x:c>
      <x:c r="B2781" s="59" t="n">
        <x:v>223</x:v>
      </x:c>
      <x:c r="C2781" s="78" t="n">
        <x:f>(('Inputs'!$B$29*(3*223*'Inputs'!$B$12-223^2)/(2*'Inputs'!$B$12^2))-('Inputs'!$B$29*(3*222*'Inputs'!$B$12-222^2)/(2*'Inputs'!$B$12^2)))*'Inputs'!$B$51</x:f>
        <x:v>639649.7935822904</x:v>
      </x:c>
      <x:c r="D2781" s="78" t="n">
        <x:f>IF('Inputs'!$C$51&gt;0,('Inputs'!$B$30*(3*223*'Inputs'!$B$12-223^2)/(2*'Inputs'!$B$12^2))-('Inputs'!$B$30*(3*222*'Inputs'!$B$12-222^2)/(2*'Inputs'!$B$12^2)),0)</x:f>
        <x:v>274135.6258209795</x:v>
      </x:c>
      <x:c r="E2781" s="78" t="n">
        <x:f>C2781+D2781</x:f>
        <x:v>913785.4194032699</x:v>
      </x:c>
      <x:c r="F2781" s="78" t="n">
        <x:f>'Inputs'!$B$13*E2781+(1-'Inputs'!$B$13)/'Inputs'!$B$14*SUM(E2726:E2781)</x:f>
        <x:v>924003.096265717</x:v>
      </x:c>
      <x:c r="G2781" s="78" t="n">
        <x:f>F2781*'Inputs'!$F$51</x:f>
        <x:v>231000.77406642924</x:v>
      </x:c>
      <x:c r="H2781" s="78" t="n">
        <x:f>U2780</x:f>
        <x:v>501081.4293269525</x:v>
      </x:c>
      <x:c r="I2781" s="78" t="n">
        <x:f>V2780</x:f>
        <x:v>384837.1664611131</x:v>
      </x:c>
      <x:c r="J2781" s="79" t="n">
        <x:f>IF(H2781&gt;0,I2781/H2781,0)</x:f>
        <x:v>0.7680132288638645</x:v>
      </x:c>
      <x:c r="K2781" s="80" t="n">
        <x:f>(H2781*J2781+I2781)*'Inputs'!$D$51*(1+'Inputs'!$G$51)^(B2781/30)</x:f>
        <x:v>3318450.789884709</x:v>
      </x:c>
      <x:c r="L2781" s="80" t="n">
        <x:f>MAX(0,K2781*'Inputs'!$E$51)</x:f>
        <x:v>331845.0789884709</x:v>
      </x:c>
      <x:c r="M2781" s="80" t="n">
        <x:f>MAX(0,-K2781*'Inputs'!$E$51)</x:f>
        <x:v>0</x:v>
      </x:c>
      <x:c r="N2781" s="78" t="n">
        <x:f>H2781*(L2781*(1-'Inputs'!$B$15))/(I2781+L2781*(1-'Inputs'!$B$15))</x:f>
        <x:v>230763.87344305994</x:v>
      </x:c>
      <x:c r="O2781" s="78" t="n">
        <x:f>H2781-N2781</x:f>
        <x:v>270317.5558838926</x:v>
      </x:c>
      <x:c r="P2781" s="78" t="n">
        <x:f>I2781+L2781*(1-'Inputs'!$B$17)</x:f>
        <x:v>715346.8527775982</x:v>
      </x:c>
      <x:c r="Q2781" s="78" t="n">
        <x:f>IF(J2781&gt;0,M2781/J2781,0)</x:f>
        <x:v>0</x:v>
      </x:c>
      <x:c r="R2781" s="78" t="n">
        <x:f>IF(B2781='Inputs'!$H$51,'Inputs'!$B$27*'Inputs'!$I$51,0)</x:f>
        <x:v>0</x:v>
      </x:c>
      <x:c r="S2781" s="78" t="n">
        <x:f>Q2781+G2781+R2781</x:f>
        <x:v>231000.77406642924</x:v>
      </x:c>
      <x:c r="T2781" s="78" t="n">
        <x:f>P2781*(S2781*(1-'Inputs'!$B$15))/(O2781+S2781*(1-'Inputs'!$B$15))</x:f>
        <x:v>327836.6565632139</x:v>
      </x:c>
      <x:c r="U2781" s="78" t="n">
        <x:f>O2781+S2781*(1-'Inputs'!$B$17)</x:f>
        <x:v>500388.7493705776</x:v>
      </x:c>
      <x:c r="V2781" s="78" t="n">
        <x:f>P2781-T2781</x:f>
        <x:v>387510.1962143843</x:v>
      </x:c>
      <x:c r="W2781" s="79" t="n">
        <x:f>IF(U2781&gt;0,V2781/U2781,0)</x:f>
        <x:v>0.774418283188462</x:v>
      </x:c>
      <x:c r="X2781" s="80" t="n">
        <x:f>W2781*('Inputs'!$B$6-AC2781)</x:f>
        <x:v>772896706.9828875</x:v>
      </x:c>
      <x:c r="Y2781" s="80" t="n">
        <x:f>2*V2781</x:f>
        <x:v>775020.3924287686</x:v>
      </x:c>
      <x:c r="Z2781" s="80" t="n">
        <x:f>K2781*'Inputs'!$B$16+(G2781+R2781)*J2781*'Inputs'!$B$16</x:f>
        <x:v>20975.174641473117</x:v>
      </x:c>
      <x:c r="AA2781" s="80" t="n">
        <x:f>K2781*(1+'Inputs'!$E$51)/2*'Inputs'!$B$17</x:f>
        <x:v>7344.659695921891</x:v>
      </x:c>
      <x:c r="AB2781" s="78" t="n">
        <x:f>(IF(J2781&gt;0,K2781*(1-'Inputs'!$E$51)/2/J2781,0)+G2781+R2781)*'Inputs'!$B$17</x:f>
        <x:v>8754.012240674956</x:v>
      </x:c>
      <x:c r="AC2781" s="78" t="n">
        <x:f>AC2780+AB2781</x:f>
        <x:v>1964798.9188862653</x:v>
      </x:c>
      <x:c r="AD2781" s="80" t="n">
        <x:f>Z2781/(1+'Inputs'!$C$51)</x:f>
        <x:v>6991.724880491039</x:v>
      </x:c>
      <x:c r="AE2781" s="80" t="n">
        <x:f>Z2781-AD2781</x:f>
        <x:v>13983.44976098208</x:v>
      </x:c>
      <x:c r="AF2781" s="80" t="n">
        <x:f>D2781*W2781</x:f>
        <x:v>212295.64070907753</x:v>
      </x:c>
      <x:c r="AG2781" s="80" t="n">
        <x:f>C2781*W2781</x:f>
        <x:v>495356.4949878514</x:v>
      </x:c>
      <x:c r="AH2781" s="80" t="n">
        <x:f>2*'Inputs'!$B$8*'Inputs'!$C$51</x:f>
        <x:v>10000</x:v>
      </x:c>
      <x:c r="AI2781" s="81" t="n">
        <x:f>IF(AH2781&gt;0,(AE2781+AF2781)/AH2781*365,0)</x:f>
        <x:v>8259.186802157175</x:v>
      </x:c>
      <x:c r="AJ2781" s="81" t="n">
        <x:f>IF('Inputs'!$B$51&gt;0,AG2781/('Inputs'!$B$19*'Inputs'!$B$51)*365,0)</x:f>
        <x:v>18080.512067056578</x:v>
      </x:c>
      <x:c r="AK2781" s="81" t="n">
        <x:f>W2781/MAX($W$2559:W2781)-1</x:f>
        <x:v>-0.21431497517818565</x:v>
      </x:c>
      <x:c r="AL2781" s="83" t="n">
        <x:f>'Inputs'!$B$51</x:f>
        <x:v>1</x:v>
      </x:c>
      <x:c r="AM2781" s="83" t="n">
        <x:f>'Inputs'!$C$51</x:f>
        <x:v>2</x:v>
      </x:c>
      <x:c r="AN2781" s="83" t="n">
        <x:f>'Inputs'!$D$51</x:f>
        <x:v>3</x:v>
      </x:c>
      <x:c r="AO2781" s="81" t="n">
        <x:f>'Inputs'!$E$51</x:f>
        <x:v>0.1</x:v>
      </x:c>
    </x:row>
    <x:row r="2782">
      <x:c r="A2782" s="59" t="str">
        <x:v>High demand</x:v>
      </x:c>
      <x:c r="B2782" s="59" t="n">
        <x:v>224</x:v>
      </x:c>
      <x:c r="C2782" s="78" t="n">
        <x:f>(('Inputs'!$B$29*(3*224*'Inputs'!$B$12-224^2)/(2*'Inputs'!$B$12^2))-('Inputs'!$B$29*(3*223*'Inputs'!$B$12-223^2)/(2*'Inputs'!$B$12^2)))*'Inputs'!$B$51</x:f>
        <x:v>639324.6856821179</x:v>
      </x:c>
      <x:c r="D2782" s="78" t="n">
        <x:f>IF('Inputs'!$C$51&gt;0,('Inputs'!$B$30*(3*224*'Inputs'!$B$12-224^2)/(2*'Inputs'!$B$12^2))-('Inputs'!$B$30*(3*223*'Inputs'!$B$12-223^2)/(2*'Inputs'!$B$12^2)),0)</x:f>
        <x:v>273996.2938637659</x:v>
      </x:c>
      <x:c r="E2782" s="78" t="n">
        <x:f>C2782+D2782</x:f>
        <x:v>913320.9795458838</x:v>
      </x:c>
      <x:c r="F2782" s="78" t="n">
        <x:f>'Inputs'!$B$13*E2782+(1-'Inputs'!$B$13)/'Inputs'!$B$14*SUM(E2727:E2782)</x:f>
        <x:v>923538.6564083325</x:v>
      </x:c>
      <x:c r="G2782" s="78" t="n">
        <x:f>F2782*'Inputs'!$F$51</x:f>
        <x:v>230884.66410208313</x:v>
      </x:c>
      <x:c r="H2782" s="78" t="n">
        <x:f>U2781</x:f>
        <x:v>500388.7493705776</x:v>
      </x:c>
      <x:c r="I2782" s="78" t="n">
        <x:f>V2781</x:f>
        <x:v>387510.1962143843</x:v>
      </x:c>
      <x:c r="J2782" s="79" t="n">
        <x:f>IF(H2782&gt;0,I2782/H2782,0)</x:f>
        <x:v>0.774418283188462</x:v>
      </x:c>
      <x:c r="K2782" s="80" t="n">
        <x:f>(H2782*J2782+I2782)*'Inputs'!$D$51*(1+'Inputs'!$G$51)^(B2782/30)</x:f>
        <x:v>3346939.1579179913</x:v>
      </x:c>
      <x:c r="L2782" s="80" t="n">
        <x:f>MAX(0,K2782*'Inputs'!$E$51)</x:f>
        <x:v>334693.91579179914</x:v>
      </x:c>
      <x:c r="M2782" s="80" t="n">
        <x:f>MAX(0,-K2782*'Inputs'!$E$51)</x:f>
        <x:v>0</x:v>
      </x:c>
      <x:c r="N2782" s="78" t="n">
        <x:f>H2782*(L2782*(1-'Inputs'!$B$15))/(I2782+L2782*(1-'Inputs'!$B$15))</x:f>
        <x:v>230647.0680241052</x:v>
      </x:c>
      <x:c r="O2782" s="78" t="n">
        <x:f>H2782-N2782</x:f>
        <x:v>269741.68134647247</x:v>
      </x:c>
      <x:c r="P2782" s="78" t="n">
        <x:f>I2782+L2782*(1-'Inputs'!$B$17)</x:f>
        <x:v>720857.2552021923</x:v>
      </x:c>
      <x:c r="Q2782" s="78" t="n">
        <x:f>IF(J2782&gt;0,M2782/J2782,0)</x:f>
        <x:v>0</x:v>
      </x:c>
      <x:c r="R2782" s="78" t="n">
        <x:f>IF(B2782='Inputs'!$H$51,'Inputs'!$B$27*'Inputs'!$I$51,0)</x:f>
        <x:v>0</x:v>
      </x:c>
      <x:c r="S2782" s="78" t="n">
        <x:f>Q2782+G2782+R2782</x:f>
        <x:v>230884.66410208313</x:v>
      </x:c>
      <x:c r="T2782" s="78" t="n">
        <x:f>P2782*(S2782*(1-'Inputs'!$B$15))/(O2782+S2782*(1-'Inputs'!$B$15))</x:f>
        <x:v>330653.7233287448</x:v>
      </x:c>
      <x:c r="U2782" s="78" t="n">
        <x:f>O2782+S2782*(1-'Inputs'!$B$17)</x:f>
        <x:v>499697.2321121287</x:v>
      </x:c>
      <x:c r="V2782" s="78" t="n">
        <x:f>P2782-T2782</x:f>
        <x:v>390203.53187344753</x:v>
      </x:c>
      <x:c r="W2782" s="79" t="n">
        <x:f>IF(U2782&gt;0,V2782/U2782,0)</x:f>
        <x:v>0.7808799144716665</x:v>
      </x:c>
      <x:c r="X2782" s="80" t="n">
        <x:f>W2782*('Inputs'!$B$6-AC2782)</x:f>
        <x:v>779338805.5074917</x:v>
      </x:c>
      <x:c r="Y2782" s="80" t="n">
        <x:f>2*V2782</x:f>
        <x:v>780407.0637468951</x:v>
      </x:c>
      <x:c r="Z2782" s="80" t="n">
        <x:f>K2782*'Inputs'!$B$16+(G2782+R2782)*J2782*'Inputs'!$B$16</x:f>
        <x:v>21154.442778638826</x:v>
      </x:c>
      <x:c r="AA2782" s="80" t="n">
        <x:f>K2782*(1+'Inputs'!$E$51)/2*'Inputs'!$B$17</x:f>
        <x:v>7407.71242195129</x:v>
      </x:c>
      <x:c r="AB2782" s="78" t="n">
        <x:f>(IF(J2782&gt;0,K2782*(1-'Inputs'!$E$51)/2/J2782,0)+G2782+R2782)*'Inputs'!$B$17</x:f>
        <x:v>8755.446662399236</x:v>
      </x:c>
      <x:c r="AC2782" s="78" t="n">
        <x:f>AC2781+AB2782</x:f>
        <x:v>1973554.3655486645</x:v>
      </x:c>
      <x:c r="AD2782" s="80" t="n">
        <x:f>Z2782/(1+'Inputs'!$C$51)</x:f>
        <x:v>7051.480926212942</x:v>
      </x:c>
      <x:c r="AE2782" s="80" t="n">
        <x:f>Z2782-AD2782</x:f>
        <x:v>14102.961852425884</x:v>
      </x:c>
      <x:c r="AF2782" s="80" t="n">
        <x:f>D2782*W2782</x:f>
        <x:v>213958.2025178911</x:v>
      </x:c>
      <x:c r="AG2782" s="80" t="n">
        <x:f>C2782*W2782</x:f>
        <x:v>499235.8058750773</x:v>
      </x:c>
      <x:c r="AH2782" s="80" t="n">
        <x:f>2*'Inputs'!$B$8*'Inputs'!$C$51</x:f>
        <x:v>10000</x:v>
      </x:c>
      <x:c r="AI2782" s="81" t="n">
        <x:f>IF(AH2782&gt;0,(AE2782+AF2782)/AH2782*365,0)</x:f>
        <x:v>8324.232499516569</x:v>
      </x:c>
      <x:c r="AJ2782" s="81" t="n">
        <x:f>IF('Inputs'!$B$51&gt;0,AG2782/('Inputs'!$B$19*'Inputs'!$B$51)*365,0)</x:f>
        <x:v>18222.106914440323</x:v>
      </x:c>
      <x:c r="AK2782" s="81" t="n">
        <x:f>W2782/MAX($W$2559:W2782)-1</x:f>
        <x:v>-0.20775933587402096</x:v>
      </x:c>
      <x:c r="AL2782" s="83" t="n">
        <x:f>'Inputs'!$B$51</x:f>
        <x:v>1</x:v>
      </x:c>
      <x:c r="AM2782" s="83" t="n">
        <x:f>'Inputs'!$C$51</x:f>
        <x:v>2</x:v>
      </x:c>
      <x:c r="AN2782" s="83" t="n">
        <x:f>'Inputs'!$D$51</x:f>
        <x:v>3</x:v>
      </x:c>
      <x:c r="AO2782" s="81" t="n">
        <x:f>'Inputs'!$E$51</x:f>
        <x:v>0.1</x:v>
      </x:c>
    </x:row>
    <x:row r="2783">
      <x:c r="A2783" s="59" t="str">
        <x:v>High demand</x:v>
      </x:c>
      <x:c r="B2783" s="59" t="n">
        <x:v>225</x:v>
      </x:c>
      <x:c r="C2783" s="78" t="n">
        <x:f>(('Inputs'!$B$29*(3*225*'Inputs'!$B$12-225^2)/(2*'Inputs'!$B$12^2))-('Inputs'!$B$29*(3*224*'Inputs'!$B$12-224^2)/(2*'Inputs'!$B$12^2)))*'Inputs'!$B$51</x:f>
        <x:v>638999.5777819455</x:v>
      </x:c>
      <x:c r="D2783" s="78" t="n">
        <x:f>IF('Inputs'!$C$51&gt;0,('Inputs'!$B$30*(3*225*'Inputs'!$B$12-225^2)/(2*'Inputs'!$B$12^2))-('Inputs'!$B$30*(3*224*'Inputs'!$B$12-224^2)/(2*'Inputs'!$B$12^2)),0)</x:f>
        <x:v>273856.9619065523</x:v>
      </x:c>
      <x:c r="E2783" s="78" t="n">
        <x:f>C2783+D2783</x:f>
        <x:v>912856.5396884978</x:v>
      </x:c>
      <x:c r="F2783" s="78" t="n">
        <x:f>'Inputs'!$B$13*E2783+(1-'Inputs'!$B$13)/'Inputs'!$B$14*SUM(E2728:E2783)</x:f>
        <x:v>923074.2165509481</x:v>
      </x:c>
      <x:c r="G2783" s="78" t="n">
        <x:f>F2783*'Inputs'!$F$51</x:f>
        <x:v>230768.55413773702</x:v>
      </x:c>
      <x:c r="H2783" s="78" t="n">
        <x:f>U2782</x:f>
        <x:v>499697.2321121287</x:v>
      </x:c>
      <x:c r="I2783" s="78" t="n">
        <x:f>V2782</x:f>
        <x:v>390203.53187344753</x:v>
      </x:c>
      <x:c r="J2783" s="79" t="n">
        <x:f>IF(H2783&gt;0,I2783/H2783,0)</x:f>
        <x:v>0.7808799144716665</x:v>
      </x:c>
      <x:c r="K2783" s="80" t="n">
        <x:f>(H2783*J2783+I2783)*'Inputs'!$D$51*(1+'Inputs'!$G$51)^(B2783/30)</x:f>
        <x:v>3375687.141587368</x:v>
      </x:c>
      <x:c r="L2783" s="80" t="n">
        <x:f>MAX(0,K2783*'Inputs'!$E$51)</x:f>
        <x:v>337568.71415873687</x:v>
      </x:c>
      <x:c r="M2783" s="80" t="n">
        <x:f>MAX(0,-K2783*'Inputs'!$E$51)</x:f>
        <x:v>0</x:v>
      </x:c>
      <x:c r="N2783" s="78" t="n">
        <x:f>H2783*(L2783*(1-'Inputs'!$B$15))/(I2783+L2783*(1-'Inputs'!$B$15))</x:f>
        <x:v>230530.2648695549</x:v>
      </x:c>
      <x:c r="O2783" s="78" t="n">
        <x:f>H2783-N2783</x:f>
        <x:v>269166.9672425738</x:v>
      </x:c>
      <x:c r="P2783" s="78" t="n">
        <x:f>I2783+L2783*(1-'Inputs'!$B$17)</x:f>
        <x:v>726413.8206230949</x:v>
      </x:c>
      <x:c r="Q2783" s="78" t="n">
        <x:f>IF(J2783&gt;0,M2783/J2783,0)</x:f>
        <x:v>0</x:v>
      </x:c>
      <x:c r="R2783" s="78" t="n">
        <x:f>IF(B2783='Inputs'!$H$51,'Inputs'!$B$27*'Inputs'!$I$51,0)</x:f>
        <x:v>0</x:v>
      </x:c>
      <x:c r="S2783" s="78" t="n">
        <x:f>Q2783+G2783+R2783</x:f>
        <x:v>230768.55413773702</x:v>
      </x:c>
      <x:c r="T2783" s="78" t="n">
        <x:f>P2783*(S2783*(1-'Inputs'!$B$15))/(O2783+S2783*(1-'Inputs'!$B$15))</x:f>
        <x:v>333496.48164309596</x:v>
      </x:c>
      <x:c r="U2783" s="78" t="n">
        <x:f>O2783+S2783*(1-'Inputs'!$B$17)</x:f>
        <x:v>499006.8752872012</x:v>
      </x:c>
      <x:c r="V2783" s="78" t="n">
        <x:f>P2783-T2783</x:f>
        <x:v>392917.33897999895</x:v>
      </x:c>
      <x:c r="W2783" s="79" t="n">
        <x:f>IF(U2783&gt;0,V2783/U2783,0)</x:f>
        <x:v>0.7873986480724481</x:v>
      </x:c>
      <x:c r="X2783" s="80" t="n">
        <x:f>W2783*('Inputs'!$B$6-AC2783)</x:f>
        <x:v>785837778.873896</x:v>
      </x:c>
      <x:c r="Y2783" s="80" t="n">
        <x:f>2*V2783</x:f>
        <x:v>785834.6779599979</x:v>
      </x:c>
      <x:c r="Z2783" s="80" t="n">
        <x:f>K2783*'Inputs'!$B$16+(G2783+R2783)*J2783*'Inputs'!$B$16</x:f>
        <x:v>21335.33802243117</x:v>
      </x:c>
      <x:c r="AA2783" s="80" t="n">
        <x:f>K2783*(1+'Inputs'!$E$51)/2*'Inputs'!$B$17</x:f>
        <x:v>7471.339749992164</x:v>
      </x:c>
      <x:c r="AB2783" s="78" t="n">
        <x:f>(IF(J2783&gt;0,K2783*(1-'Inputs'!$E$51)/2/J2783,0)+G2783+R2783)*'Inputs'!$B$17</x:f>
        <x:v>8756.884760304165</x:v>
      </x:c>
      <x:c r="AC2783" s="78" t="n">
        <x:f>AC2782+AB2783</x:f>
        <x:v>1982311.2503089686</x:v>
      </x:c>
      <x:c r="AD2783" s="80" t="n">
        <x:f>Z2783/(1+'Inputs'!$C$51)</x:f>
        <x:v>7111.77934081039</x:v>
      </x:c>
      <x:c r="AE2783" s="80" t="n">
        <x:f>Z2783-AD2783</x:f>
        <x:v>14223.55868162078</x:v>
      </x:c>
      <x:c r="AF2783" s="80" t="n">
        <x:f>D2783*W2783</x:f>
        <x:v>215634.6015704472</x:v>
      </x:c>
      <x:c r="AG2783" s="80" t="n">
        <x:f>C2783*W2783</x:f>
        <x:v>503147.403664369</x:v>
      </x:c>
      <x:c r="AH2783" s="80" t="n">
        <x:f>2*'Inputs'!$B$8*'Inputs'!$C$51</x:f>
        <x:v>10000</x:v>
      </x:c>
      <x:c r="AI2783" s="81" t="n">
        <x:f>IF(AH2783&gt;0,(AE2783+AF2783)/AH2783*365,0)</x:f>
        <x:v>8389.822849200482</x:v>
      </x:c>
      <x:c r="AJ2783" s="81" t="n">
        <x:f>IF('Inputs'!$B$51&gt;0,AG2783/('Inputs'!$B$19*'Inputs'!$B$51)*365,0)</x:f>
        <x:v>18364.880233749467</x:v>
      </x:c>
      <x:c r="AK2783" s="81" t="n">
        <x:f>W2783/MAX($W$2559:W2783)-1</x:f>
        <x:v>-0.20114576349056723</x:v>
      </x:c>
      <x:c r="AL2783" s="83" t="n">
        <x:f>'Inputs'!$B$51</x:f>
        <x:v>1</x:v>
      </x:c>
      <x:c r="AM2783" s="83" t="n">
        <x:f>'Inputs'!$C$51</x:f>
        <x:v>2</x:v>
      </x:c>
      <x:c r="AN2783" s="83" t="n">
        <x:f>'Inputs'!$D$51</x:f>
        <x:v>3</x:v>
      </x:c>
      <x:c r="AO2783" s="81" t="n">
        <x:f>'Inputs'!$E$51</x:f>
        <x:v>0.1</x:v>
      </x:c>
    </x:row>
    <x:row r="2784">
      <x:c r="A2784" s="59" t="str">
        <x:v>High demand</x:v>
      </x:c>
      <x:c r="B2784" s="59" t="n">
        <x:v>226</x:v>
      </x:c>
      <x:c r="C2784" s="78" t="n">
        <x:f>(('Inputs'!$B$29*(3*226*'Inputs'!$B$12-226^2)/(2*'Inputs'!$B$12^2))-('Inputs'!$B$29*(3*225*'Inputs'!$B$12-225^2)/(2*'Inputs'!$B$12^2)))*'Inputs'!$B$51</x:f>
        <x:v>638674.469881773</x:v>
      </x:c>
      <x:c r="D2784" s="78" t="n">
        <x:f>IF('Inputs'!$C$51&gt;0,('Inputs'!$B$30*(3*226*'Inputs'!$B$12-226^2)/(2*'Inputs'!$B$12^2))-('Inputs'!$B$30*(3*225*'Inputs'!$B$12-225^2)/(2*'Inputs'!$B$12^2)),0)</x:f>
        <x:v>273717.6299493313</x:v>
      </x:c>
      <x:c r="E2784" s="78" t="n">
        <x:f>C2784+D2784</x:f>
        <x:v>912392.0998311043</x:v>
      </x:c>
      <x:c r="F2784" s="78" t="n">
        <x:f>'Inputs'!$B$13*E2784+(1-'Inputs'!$B$13)/'Inputs'!$B$14*SUM(E2729:E2784)</x:f>
        <x:v>922609.7766935619</x:v>
      </x:c>
      <x:c r="G2784" s="78" t="n">
        <x:f>F2784*'Inputs'!$F$51</x:f>
        <x:v>230652.44417339048</x:v>
      </x:c>
      <x:c r="H2784" s="78" t="n">
        <x:f>U2783</x:f>
        <x:v>499006.8752872012</x:v>
      </x:c>
      <x:c r="I2784" s="78" t="n">
        <x:f>V2783</x:f>
        <x:v>392917.33897999895</x:v>
      </x:c>
      <x:c r="J2784" s="79" t="n">
        <x:f>IF(H2784&gt;0,I2784/H2784,0)</x:f>
        <x:v>0.7873986480724481</x:v>
      </x:c>
      <x:c r="K2784" s="80" t="n">
        <x:f>(H2784*J2784+I2784)*'Inputs'!$D$51*(1+'Inputs'!$G$51)^(B2784/30)</x:f>
        <x:v>3404697.2309283353</x:v>
      </x:c>
      <x:c r="L2784" s="80" t="n">
        <x:f>MAX(0,K2784*'Inputs'!$E$51)</x:f>
        <x:v>340469.72309283353</x:v>
      </x:c>
      <x:c r="M2784" s="80" t="n">
        <x:f>MAX(0,-K2784*'Inputs'!$E$51)</x:f>
        <x:v>0</x:v>
      </x:c>
      <x:c r="N2784" s="78" t="n">
        <x:f>H2784*(L2784*(1-'Inputs'!$B$15))/(I2784+L2784*(1-'Inputs'!$B$15))</x:f>
        <x:v>230413.4639750871</x:v>
      </x:c>
      <x:c r="O2784" s="78" t="n">
        <x:f>H2784-N2784</x:f>
        <x:v>268593.4113121141</x:v>
      </x:c>
      <x:c r="P2784" s="78" t="n">
        <x:f>I2784+L2784*(1-'Inputs'!$B$17)</x:f>
        <x:v>732016.9625835253</x:v>
      </x:c>
      <x:c r="Q2784" s="78" t="n">
        <x:f>IF(J2784&gt;0,M2784/J2784,0)</x:f>
        <x:v>0</x:v>
      </x:c>
      <x:c r="R2784" s="78" t="n">
        <x:f>IF(B2784='Inputs'!$H$51,'Inputs'!$B$27*'Inputs'!$I$51,0)</x:f>
        <x:v>0</x:v>
      </x:c>
      <x:c r="S2784" s="78" t="n">
        <x:f>Q2784+G2784+R2784</x:f>
        <x:v>230652.44417339048</x:v>
      </x:c>
      <x:c r="T2784" s="78" t="n">
        <x:f>P2784*(S2784*(1-'Inputs'!$B$15))/(O2784+S2784*(1-'Inputs'!$B$15))</x:f>
        <x:v>336365.1780776149</x:v>
      </x:c>
      <x:c r="U2784" s="78" t="n">
        <x:f>O2784+S2784*(1-'Inputs'!$B$17)</x:f>
        <x:v>498317.67663571227</x:v>
      </x:c>
      <x:c r="V2784" s="78" t="n">
        <x:f>P2784-T2784</x:f>
        <x:v>395651.7845059104</x:v>
      </x:c>
      <x:c r="W2784" s="79" t="n">
        <x:f>IF(U2784&gt;0,V2784/U2784,0)</x:f>
        <x:v>0.7939750144467498</x:v>
      </x:c>
      <x:c r="X2784" s="80" t="n">
        <x:f>W2784*('Inputs'!$B$6-AC2784)</x:f>
        <x:v>792394154.9507102</x:v>
      </x:c>
      <x:c r="Y2784" s="80" t="n">
        <x:f>2*V2784</x:f>
        <x:v>791303.5690118208</x:v>
      </x:c>
      <x:c r="Z2784" s="80" t="n">
        <x:f>K2784*'Inputs'!$B$16+(G2784+R2784)*J2784*'Inputs'!$B$16</x:f>
        <x:v>21517.875921870414</x:v>
      </x:c>
      <x:c r="AA2784" s="80" t="n">
        <x:f>K2784*(1+'Inputs'!$E$51)/2*'Inputs'!$B$17</x:f>
        <x:v>7535.5471911894765</x:v>
      </x:c>
      <x:c r="AB2784" s="78" t="n">
        <x:f>(IF(J2784&gt;0,K2784*(1-'Inputs'!$E$51)/2/J2784,0)+G2784+R2784)*'Inputs'!$B$17</x:f>
        <x:v>8758.326535434544</x:v>
      </x:c>
      <x:c r="AC2784" s="78" t="n">
        <x:f>AC2783+AB2784</x:f>
        <x:v>1991069.576844403</x:v>
      </x:c>
      <x:c r="AD2784" s="80" t="n">
        <x:f>Z2784/(1+'Inputs'!$C$51)</x:f>
        <x:v>7172.625307290138</x:v>
      </x:c>
      <x:c r="AE2784" s="80" t="n">
        <x:f>Z2784-AD2784</x:f>
        <x:v>14345.250614580276</x:v>
      </x:c>
      <x:c r="AF2784" s="80" t="n">
        <x:f>D2784*W2784</x:f>
        <x:v>217324.95919335043</x:v>
      </x:c>
      <x:c r="AG2784" s="80" t="n">
        <x:f>C2784*W2784</x:f>
        <x:v>507091.571451151</x:v>
      </x:c>
      <x:c r="AH2784" s="80" t="n">
        <x:f>2*'Inputs'!$B$8*'Inputs'!$C$51</x:f>
        <x:v>10000</x:v>
      </x:c>
      <x:c r="AI2784" s="81" t="n">
        <x:f>IF(AH2784&gt;0,(AE2784+AF2784)/AH2784*365,0)</x:f>
        <x:v>8455.96265798947</x:v>
      </x:c>
      <x:c r="AJ2784" s="81" t="n">
        <x:f>IF('Inputs'!$B$51&gt;0,AG2784/('Inputs'!$B$19*'Inputs'!$B$51)*365,0)</x:f>
        <x:v>18508.842357967013</x:v>
      </x:c>
      <x:c r="AK2784" s="81" t="n">
        <x:f>W2784/MAX($W$2559:W2784)-1</x:f>
        <x:v>-0.1944737198544627</x:v>
      </x:c>
      <x:c r="AL2784" s="83" t="n">
        <x:f>'Inputs'!$B$51</x:f>
        <x:v>1</x:v>
      </x:c>
      <x:c r="AM2784" s="83" t="n">
        <x:f>'Inputs'!$C$51</x:f>
        <x:v>2</x:v>
      </x:c>
      <x:c r="AN2784" s="83" t="n">
        <x:f>'Inputs'!$D$51</x:f>
        <x:v>3</x:v>
      </x:c>
      <x:c r="AO2784" s="81" t="n">
        <x:f>'Inputs'!$E$51</x:f>
        <x:v>0.1</x:v>
      </x:c>
    </x:row>
    <x:row r="2785">
      <x:c r="A2785" s="59" t="str">
        <x:v>High demand</x:v>
      </x:c>
      <x:c r="B2785" s="59" t="n">
        <x:v>227</x:v>
      </x:c>
      <x:c r="C2785" s="78" t="n">
        <x:f>(('Inputs'!$B$29*(3*227*'Inputs'!$B$12-227^2)/(2*'Inputs'!$B$12^2))-('Inputs'!$B$29*(3*226*'Inputs'!$B$12-226^2)/(2*'Inputs'!$B$12^2)))*'Inputs'!$B$51</x:f>
        <x:v>638349.3619816005</x:v>
      </x:c>
      <x:c r="D2785" s="78" t="n">
        <x:f>IF('Inputs'!$C$51&gt;0,('Inputs'!$B$30*(3*227*'Inputs'!$B$12-227^2)/(2*'Inputs'!$B$12^2))-('Inputs'!$B$30*(3*226*'Inputs'!$B$12-226^2)/(2*'Inputs'!$B$12^2)),0)</x:f>
        <x:v>273578.2979921177</x:v>
      </x:c>
      <x:c r="E2785" s="78" t="n">
        <x:f>C2785+D2785</x:f>
        <x:v>911927.6599737182</x:v>
      </x:c>
      <x:c r="F2785" s="78" t="n">
        <x:f>'Inputs'!$B$13*E2785+(1-'Inputs'!$B$13)/'Inputs'!$B$14*SUM(E2730:E2785)</x:f>
        <x:v>922145.3368361773</x:v>
      </x:c>
      <x:c r="G2785" s="78" t="n">
        <x:f>F2785*'Inputs'!$F$51</x:f>
        <x:v>230536.33420904432</x:v>
      </x:c>
      <x:c r="H2785" s="78" t="n">
        <x:f>U2784</x:f>
        <x:v>498317.67663571227</x:v>
      </x:c>
      <x:c r="I2785" s="78" t="n">
        <x:f>V2784</x:f>
        <x:v>395651.7845059104</x:v>
      </x:c>
      <x:c r="J2785" s="79" t="n">
        <x:f>IF(H2785&gt;0,I2785/H2785,0)</x:f>
        <x:v>0.7939750144467498</x:v>
      </x:c>
      <x:c r="K2785" s="80" t="n">
        <x:f>(H2785*J2785+I2785)*'Inputs'!$D$51*(1+'Inputs'!$G$51)^(B2785/30)</x:f>
        <x:v>3433971.940942346</x:v>
      </x:c>
      <x:c r="L2785" s="80" t="n">
        <x:f>MAX(0,K2785*'Inputs'!$E$51)</x:f>
        <x:v>343397.1940942346</x:v>
      </x:c>
      <x:c r="M2785" s="80" t="n">
        <x:f>MAX(0,-K2785*'Inputs'!$E$51)</x:f>
        <x:v>0</x:v>
      </x:c>
      <x:c r="N2785" s="78" t="n">
        <x:f>H2785*(L2785*(1-'Inputs'!$B$15))/(I2785+L2785*(1-'Inputs'!$B$15))</x:f>
        <x:v>230296.6653363878</x:v>
      </x:c>
      <x:c r="O2785" s="78" t="n">
        <x:f>H2785-N2785</x:f>
        <x:v>268021.01129932445</x:v>
      </x:c>
      <x:c r="P2785" s="78" t="n">
        <x:f>I2785+L2785*(1-'Inputs'!$B$17)</x:f>
        <x:v>737667.0985434278</x:v>
      </x:c>
      <x:c r="Q2785" s="78" t="n">
        <x:f>IF(J2785&gt;0,M2785/J2785,0)</x:f>
        <x:v>0</x:v>
      </x:c>
      <x:c r="R2785" s="78" t="n">
        <x:f>IF(B2785='Inputs'!$H$51,'Inputs'!$B$27*'Inputs'!$I$51,0)</x:f>
        <x:v>0</x:v>
      </x:c>
      <x:c r="S2785" s="78" t="n">
        <x:f>Q2785+G2785+R2785</x:f>
        <x:v>230536.33420904432</x:v>
      </x:c>
      <x:c r="T2785" s="78" t="n">
        <x:f>P2785*(S2785*(1-'Inputs'!$B$15))/(O2785+S2785*(1-'Inputs'!$B$15))</x:f>
        <x:v>339260.06167722243</x:v>
      </x:c>
      <x:c r="U2785" s="78" t="n">
        <x:f>O2785+S2785*(1-'Inputs'!$B$17)</x:f>
        <x:v>497629.63390189374</x:v>
      </x:c>
      <x:c r="V2785" s="78" t="n">
        <x:f>P2785-T2785</x:f>
        <x:v>398407.03686620534</x:v>
      </x:c>
      <x:c r="W2785" s="79" t="n">
        <x:f>IF(U2785&gt;0,V2785/U2785,0)</x:f>
        <x:v>0.800609549198893</x:v>
      </x:c>
      <x:c r="X2785" s="80" t="n">
        <x:f>W2785*('Inputs'!$B$6-AC2785)</x:f>
        <x:v>799008466.725449</x:v>
      </x:c>
      <x:c r="Y2785" s="80" t="n">
        <x:f>2*V2785</x:f>
        <x:v>796814.0737324107</x:v>
      </x:c>
      <x:c r="Z2785" s="80" t="n">
        <x:f>K2785*'Inputs'!$B$16+(G2785+R2785)*J2785*'Inputs'!$B$16</x:f>
        <x:v>21702.07218135884</x:v>
      </x:c>
      <x:c r="AA2785" s="80" t="n">
        <x:f>K2785*(1+'Inputs'!$E$51)/2*'Inputs'!$B$17</x:f>
        <x:v>7600.340311944832</x:v>
      </x:c>
      <x:c r="AB2785" s="78" t="n">
        <x:f>(IF(J2785&gt;0,K2785*(1-'Inputs'!$E$51)/2/J2785,0)+G2785+R2785)*'Inputs'!$B$17</x:f>
        <x:v>8759.771988829349</x:v>
      </x:c>
      <x:c r="AC2785" s="78" t="n">
        <x:f>AC2784+AB2785</x:f>
        <x:v>1999829.3488332324</x:v>
      </x:c>
      <x:c r="AD2785" s="80" t="n">
        <x:f>Z2785/(1+'Inputs'!$C$51)</x:f>
        <x:v>7234.024060452946</x:v>
      </x:c>
      <x:c r="AE2785" s="80" t="n">
        <x:f>Z2785-AD2785</x:f>
        <x:v>14468.048120905893</x:v>
      </x:c>
      <x:c r="AF2785" s="80" t="n">
        <x:f>D2785*W2785</x:f>
        <x:v>219029.3978260698</x:v>
      </x:c>
      <x:c r="AG2785" s="80" t="n">
        <x:f>C2785*W2785</x:f>
        <x:v>511068.59492749016</x:v>
      </x:c>
      <x:c r="AH2785" s="80" t="n">
        <x:f>2*'Inputs'!$B$8*'Inputs'!$C$51</x:f>
        <x:v>10000</x:v>
      </x:c>
      <x:c r="AI2785" s="81" t="n">
        <x:f>IF(AH2785&gt;0,(AE2785+AF2785)/AH2785*365,0)</x:f>
        <x:v>8522.65677706461</x:v>
      </x:c>
      <x:c r="AJ2785" s="81" t="n">
        <x:f>IF('Inputs'!$B$51&gt;0,AG2785/('Inputs'!$B$19*'Inputs'!$B$51)*365,0)</x:f>
        <x:v>18654.003714853392</x:v>
      </x:c>
      <x:c r="AK2785" s="81" t="n">
        <x:f>W2785/MAX($W$2559:W2785)-1</x:f>
        <x:v>-0.18774266156906538</x:v>
      </x:c>
      <x:c r="AL2785" s="83" t="n">
        <x:f>'Inputs'!$B$51</x:f>
        <x:v>1</x:v>
      </x:c>
      <x:c r="AM2785" s="83" t="n">
        <x:f>'Inputs'!$C$51</x:f>
        <x:v>2</x:v>
      </x:c>
      <x:c r="AN2785" s="83" t="n">
        <x:f>'Inputs'!$D$51</x:f>
        <x:v>3</x:v>
      </x:c>
      <x:c r="AO2785" s="81" t="n">
        <x:f>'Inputs'!$E$51</x:f>
        <x:v>0.1</x:v>
      </x:c>
    </x:row>
    <x:row r="2786">
      <x:c r="A2786" s="59" t="str">
        <x:v>High demand</x:v>
      </x:c>
      <x:c r="B2786" s="59" t="n">
        <x:v>228</x:v>
      </x:c>
      <x:c r="C2786" s="78" t="n">
        <x:f>(('Inputs'!$B$29*(3*228*'Inputs'!$B$12-228^2)/(2*'Inputs'!$B$12^2))-('Inputs'!$B$29*(3*227*'Inputs'!$B$12-227^2)/(2*'Inputs'!$B$12^2)))*'Inputs'!$B$51</x:f>
        <x:v>638024.2540814579</x:v>
      </x:c>
      <x:c r="D2786" s="78" t="n">
        <x:f>IF('Inputs'!$C$51&gt;0,('Inputs'!$B$30*(3*228*'Inputs'!$B$12-228^2)/(2*'Inputs'!$B$12^2))-('Inputs'!$B$30*(3*227*'Inputs'!$B$12-227^2)/(2*'Inputs'!$B$12^2)),0)</x:f>
        <x:v>273438.9660349041</x:v>
      </x:c>
      <x:c r="E2786" s="78" t="n">
        <x:f>C2786+D2786</x:f>
        <x:v>911463.220116362</x:v>
      </x:c>
      <x:c r="F2786" s="78" t="n">
        <x:f>'Inputs'!$B$13*E2786+(1-'Inputs'!$B$13)/'Inputs'!$B$14*SUM(E2731:E2786)</x:f>
        <x:v>921680.8969787991</x:v>
      </x:c>
      <x:c r="G2786" s="78" t="n">
        <x:f>F2786*'Inputs'!$F$51</x:f>
        <x:v>230420.22424469978</x:v>
      </x:c>
      <x:c r="H2786" s="78" t="n">
        <x:f>U2785</x:f>
        <x:v>497629.63390189374</x:v>
      </x:c>
      <x:c r="I2786" s="78" t="n">
        <x:f>V2785</x:f>
        <x:v>398407.03686620534</x:v>
      </x:c>
      <x:c r="J2786" s="79" t="n">
        <x:f>IF(H2786&gt;0,I2786/H2786,0)</x:f>
        <x:v>0.800609549198893</x:v>
      </x:c>
      <x:c r="K2786" s="80" t="n">
        <x:f>(H2786*J2786+I2786)*'Inputs'!$D$51*(1+'Inputs'!$G$51)^(B2786/30)</x:f>
        <x:v>3463513.811857061</x:v>
      </x:c>
      <x:c r="L2786" s="80" t="n">
        <x:f>MAX(0,K2786*'Inputs'!$E$51)</x:f>
        <x:v>346351.3811857061</x:v>
      </x:c>
      <x:c r="M2786" s="80" t="n">
        <x:f>MAX(0,-K2786*'Inputs'!$E$51)</x:f>
        <x:v>0</x:v>
      </x:c>
      <x:c r="N2786" s="78" t="n">
        <x:f>H2786*(L2786*(1-'Inputs'!$B$15))/(I2786+L2786*(1-'Inputs'!$B$15))</x:f>
        <x:v>230179.86894915163</x:v>
      </x:c>
      <x:c r="O2786" s="78" t="n">
        <x:f>H2786-N2786</x:f>
        <x:v>267449.76495274215</x:v>
      </x:c>
      <x:c r="P2786" s="78" t="n">
        <x:f>I2786+L2786*(1-'Inputs'!$B$17)</x:f>
        <x:v>743364.6499183674</x:v>
      </x:c>
      <x:c r="Q2786" s="78" t="n">
        <x:f>IF(J2786&gt;0,M2786/J2786,0)</x:f>
        <x:v>0</x:v>
      </x:c>
      <x:c r="R2786" s="78" t="n">
        <x:f>IF(B2786='Inputs'!$H$51,'Inputs'!$B$27*'Inputs'!$I$51,0)</x:f>
        <x:v>0</x:v>
      </x:c>
      <x:c r="S2786" s="78" t="n">
        <x:f>Q2786+G2786+R2786</x:f>
        <x:v>230420.22424469978</x:v>
      </x:c>
      <x:c r="T2786" s="78" t="n">
        <x:f>P2786*(S2786*(1-'Inputs'!$B$15))/(O2786+S2786*(1-'Inputs'!$B$15))</x:f>
        <x:v>342181.3839862095</x:v>
      </x:c>
      <x:c r="U2786" s="78" t="n">
        <x:f>O2786+S2786*(1-'Inputs'!$B$17)</x:f>
        <x:v>496942.7448342842</x:v>
      </x:c>
      <x:c r="V2786" s="78" t="n">
        <x:f>P2786-T2786</x:f>
        <x:v>401183.26593215787</x:v>
      </x:c>
      <x:c r="W2786" s="79" t="n">
        <x:f>IF(U2786&gt;0,V2786/U2786,0)</x:f>
        <x:v>0.8073027931335243</x:v>
      </x:c>
      <x:c r="X2786" s="80" t="n">
        <x:f>W2786*('Inputs'!$B$6-AC2786)</x:f>
        <x:v>805681252.3561381</x:v>
      </x:c>
      <x:c r="Y2786" s="80" t="n">
        <x:f>2*V2786</x:f>
        <x:v>802366.5318643157</x:v>
      </x:c>
      <x:c r="Z2786" s="80" t="n">
        <x:f>K2786*'Inputs'!$B$16+(G2786+R2786)*J2786*'Inputs'!$B$16</x:f>
        <x:v>21887.94266229551</x:v>
      </x:c>
      <x:c r="AA2786" s="80" t="n">
        <x:f>K2786*(1+'Inputs'!$E$51)/2*'Inputs'!$B$17</x:f>
        <x:v>7665.72473449249</x:v>
      </x:c>
      <x:c r="AB2786" s="78" t="n">
        <x:f>(IF(J2786&gt;0,K2786*(1-'Inputs'!$E$51)/2/J2786,0)+G2786+R2786)*'Inputs'!$B$17</x:f>
        <x:v>8761.221121521738</x:v>
      </x:c>
      <x:c r="AC2786" s="78" t="n">
        <x:f>AC2785+AB2786</x:f>
        <x:v>2008590.569954754</x:v>
      </x:c>
      <x:c r="AD2786" s="80" t="n">
        <x:f>Z2786/(1+'Inputs'!$C$51)</x:f>
        <x:v>7295.980887431837</x:v>
      </x:c>
      <x:c r="AE2786" s="80" t="n">
        <x:f>Z2786-AD2786</x:f>
        <x:v>14591.961774863674</x:v>
      </x:c>
      <x:c r="AF2786" s="80" t="n">
        <x:f>D2786*W2786</x:f>
        <x:v>220748.04103152096</x:v>
      </x:c>
      <x:c r="AG2786" s="80" t="n">
        <x:f>C2786*W2786</x:f>
        <x:v>515078.7624068943</x:v>
      </x:c>
      <x:c r="AH2786" s="80" t="n">
        <x:f>2*'Inputs'!$B$8*'Inputs'!$C$51</x:f>
        <x:v>10000</x:v>
      </x:c>
      <x:c r="AI2786" s="81" t="n">
        <x:f>IF(AH2786&gt;0,(AE2786+AF2786)/AH2786*365,0)</x:f>
        <x:v>8589.91010243304</x:v>
      </x:c>
      <x:c r="AJ2786" s="81" t="n">
        <x:f>IF('Inputs'!$B$51&gt;0,AG2786/('Inputs'!$B$19*'Inputs'!$B$51)*365,0)</x:f>
        <x:v>18800.37482785164</x:v>
      </x:c>
      <x:c r="AK2786" s="81" t="n">
        <x:f>W2786/MAX($W$2559:W2786)-1</x:f>
        <x:v>-0.18095203996175058</x:v>
      </x:c>
      <x:c r="AL2786" s="83" t="n">
        <x:f>'Inputs'!$B$51</x:f>
        <x:v>1</x:v>
      </x:c>
      <x:c r="AM2786" s="83" t="n">
        <x:f>'Inputs'!$C$51</x:f>
        <x:v>2</x:v>
      </x:c>
      <x:c r="AN2786" s="83" t="n">
        <x:f>'Inputs'!$D$51</x:f>
        <x:v>3</x:v>
      </x:c>
      <x:c r="AO2786" s="81" t="n">
        <x:f>'Inputs'!$E$51</x:f>
        <x:v>0.1</x:v>
      </x:c>
    </x:row>
    <x:row r="2787">
      <x:c r="A2787" s="59" t="str">
        <x:v>High demand</x:v>
      </x:c>
      <x:c r="B2787" s="59" t="n">
        <x:v>229</x:v>
      </x:c>
      <x:c r="C2787" s="78" t="n">
        <x:f>(('Inputs'!$B$29*(3*229*'Inputs'!$B$12-229^2)/(2*'Inputs'!$B$12^2))-('Inputs'!$B$29*(3*228*'Inputs'!$B$12-228^2)/(2*'Inputs'!$B$12^2)))*'Inputs'!$B$51</x:f>
        <x:v>637699.1461812556</x:v>
      </x:c>
      <x:c r="D2787" s="78" t="n">
        <x:f>IF('Inputs'!$C$51&gt;0,('Inputs'!$B$30*(3*229*'Inputs'!$B$12-229^2)/(2*'Inputs'!$B$12^2))-('Inputs'!$B$30*(3*228*'Inputs'!$B$12-228^2)/(2*'Inputs'!$B$12^2)),0)</x:f>
        <x:v>273299.63407769054</x:v>
      </x:c>
      <x:c r="E2787" s="78" t="n">
        <x:f>C2787+D2787</x:f>
        <x:v>910998.7802589461</x:v>
      </x:c>
      <x:c r="F2787" s="78" t="n">
        <x:f>'Inputs'!$B$13*E2787+(1-'Inputs'!$B$13)/'Inputs'!$B$14*SUM(E2732:E2787)</x:f>
        <x:v>921216.4571214083</x:v>
      </x:c>
      <x:c r="G2787" s="78" t="n">
        <x:f>F2787*'Inputs'!$F$51</x:f>
        <x:v>230304.11428035208</x:v>
      </x:c>
      <x:c r="H2787" s="78" t="n">
        <x:f>U2786</x:f>
        <x:v>496942.7448342842</x:v>
      </x:c>
      <x:c r="I2787" s="78" t="n">
        <x:f>V2786</x:f>
        <x:v>401183.26593215787</x:v>
      </x:c>
      <x:c r="J2787" s="79" t="n">
        <x:f>IF(H2787&gt;0,I2787/H2787,0)</x:f>
        <x:v>0.8073027931335243</x:v>
      </x:c>
      <x:c r="K2787" s="80" t="n">
        <x:f>(H2787*J2787+I2787)*'Inputs'!$D$51*(1+'Inputs'!$G$51)^(B2787/30)</x:f>
        <x:v>3493325.409389408</x:v>
      </x:c>
      <x:c r="L2787" s="80" t="n">
        <x:f>MAX(0,K2787*'Inputs'!$E$51)</x:f>
        <x:v>349332.54093894083</x:v>
      </x:c>
      <x:c r="M2787" s="80" t="n">
        <x:f>MAX(0,-K2787*'Inputs'!$E$51)</x:f>
        <x:v>0</x:v>
      </x:c>
      <x:c r="N2787" s="78" t="n">
        <x:f>H2787*(L2787*(1-'Inputs'!$B$15))/(I2787+L2787*(1-'Inputs'!$B$15))</x:f>
        <x:v>230063.07480908142</x:v>
      </x:c>
      <x:c r="O2787" s="78" t="n">
        <x:f>H2787-N2787</x:f>
        <x:v>266879.6700252028</x:v>
      </x:c>
      <x:c r="P2787" s="78" t="n">
        <x:f>I2787+L2787*(1-'Inputs'!$B$17)</x:f>
        <x:v>749110.0421188293</x:v>
      </x:c>
      <x:c r="Q2787" s="78" t="n">
        <x:f>IF(J2787&gt;0,M2787/J2787,0)</x:f>
        <x:v>0</x:v>
      </x:c>
      <x:c r="R2787" s="78" t="n">
        <x:f>IF(B2787='Inputs'!$H$51,'Inputs'!$B$27*'Inputs'!$I$51,0)</x:f>
        <x:v>0</x:v>
      </x:c>
      <x:c r="S2787" s="78" t="n">
        <x:f>Q2787+G2787+R2787</x:f>
        <x:v>230304.11428035208</x:v>
      </x:c>
      <x:c r="T2787" s="78" t="n">
        <x:f>P2787*(S2787*(1-'Inputs'!$B$15))/(O2787+S2787*(1-'Inputs'!$B$15))</x:f>
        <x:v>345129.39907430793</x:v>
      </x:c>
      <x:c r="U2787" s="78" t="n">
        <x:f>O2787+S2787*(1-'Inputs'!$B$17)</x:f>
        <x:v>496257.00718571444</x:v>
      </x:c>
      <x:c r="V2787" s="78" t="n">
        <x:f>P2787-T2787</x:f>
        <x:v>403980.6430445214</x:v>
      </x:c>
      <x:c r="W2787" s="79" t="n">
        <x:f>IF(U2787&gt;0,V2787/U2787,0)</x:f>
        <x:v>0.8140552923081237</x:v>
      </x:c>
      <x:c r="X2787" s="80" t="n">
        <x:f>W2787*('Inputs'!$B$6-AC2787)</x:f>
        <x:v>812413055.2234806</x:v>
      </x:c>
      <x:c r="Y2787" s="80" t="n">
        <x:f>2*V2787</x:f>
        <x:v>807961.2860890428</x:v>
      </x:c>
      <x:c r="Z2787" s="80" t="n">
        <x:f>K2787*'Inputs'!$B$16+(G2787+R2787)*J2787*'Inputs'!$B$16</x:f>
        <x:v>22075.50338470847</x:v>
      </x:c>
      <x:c r="AA2787" s="80" t="n">
        <x:f>K2787*(1+'Inputs'!$E$51)/2*'Inputs'!$B$17</x:f>
        <x:v>7731.7061374815885</x:v>
      </x:c>
      <x:c r="AB2787" s="78" t="n">
        <x:f>(IF(J2787&gt;0,K2787*(1-'Inputs'!$E$51)/2/J2787,0)+G2787+R2787)*'Inputs'!$B$17</x:f>
        <x:v>8762.673934538978</x:v>
      </x:c>
      <x:c r="AC2787" s="78" t="n">
        <x:f>AC2786+AB2787</x:f>
        <x:v>2017353.2438892932</x:v>
      </x:c>
      <x:c r="AD2787" s="80" t="n">
        <x:f>Z2787/(1+'Inputs'!$C$51)</x:f>
        <x:v>7358.501128236157</x:v>
      </x:c>
      <x:c r="AE2787" s="80" t="n">
        <x:f>Z2787-AD2787</x:f>
        <x:v>14717.002256472315</x:v>
      </x:c>
      <x:c r="AF2787" s="80" t="n">
        <x:f>D2787*W2787</x:f>
        <x:v>222481.0135068176</x:v>
      </x:c>
      <x:c r="AG2787" s="80" t="n">
        <x:f>C2787*W2787</x:f>
        <x:v>519122.3648492229</x:v>
      </x:c>
      <x:c r="AH2787" s="80" t="n">
        <x:f>2*'Inputs'!$B$8*'Inputs'!$C$51</x:f>
        <x:v>10000</x:v>
      </x:c>
      <x:c r="AI2787" s="81" t="n">
        <x:f>IF(AH2787&gt;0,(AE2787+AF2787)/AH2787*365,0)</x:f>
        <x:v>8657.72757536008</x:v>
      </x:c>
      <x:c r="AJ2787" s="81" t="n">
        <x:f>IF('Inputs'!$B$51&gt;0,AG2787/('Inputs'!$B$19*'Inputs'!$B$51)*365,0)</x:f>
        <x:v>18947.966316996637</x:v>
      </x:c>
      <x:c r="AK2787" s="81" t="n">
        <x:f>W2787/MAX($W$2559:W2787)-1</x:f>
        <x:v>-0.17410130103063826</x:v>
      </x:c>
      <x:c r="AL2787" s="83" t="n">
        <x:f>'Inputs'!$B$51</x:f>
        <x:v>1</x:v>
      </x:c>
      <x:c r="AM2787" s="83" t="n">
        <x:f>'Inputs'!$C$51</x:f>
        <x:v>2</x:v>
      </x:c>
      <x:c r="AN2787" s="83" t="n">
        <x:f>'Inputs'!$D$51</x:f>
        <x:v>3</x:v>
      </x:c>
      <x:c r="AO2787" s="81" t="n">
        <x:f>'Inputs'!$E$51</x:f>
        <x:v>0.1</x:v>
      </x:c>
    </x:row>
    <x:row r="2788">
      <x:c r="A2788" s="59" t="str">
        <x:v>High demand</x:v>
      </x:c>
      <x:c r="B2788" s="59" t="n">
        <x:v>230</x:v>
      </x:c>
      <x:c r="C2788" s="78" t="n">
        <x:f>(('Inputs'!$B$29*(3*230*'Inputs'!$B$12-230^2)/(2*'Inputs'!$B$12^2))-('Inputs'!$B$29*(3*229*'Inputs'!$B$12-229^2)/(2*'Inputs'!$B$12^2)))*'Inputs'!$B$51</x:f>
        <x:v>637374.0382811129</x:v>
      </x:c>
      <x:c r="D2788" s="78" t="n">
        <x:f>IF('Inputs'!$C$51&gt;0,('Inputs'!$B$30*(3*230*'Inputs'!$B$12-230^2)/(2*'Inputs'!$B$12^2))-('Inputs'!$B$30*(3*229*'Inputs'!$B$12-229^2)/(2*'Inputs'!$B$12^2)),0)</x:f>
        <x:v>273160.3021204695</x:v>
      </x:c>
      <x:c r="E2788" s="78" t="n">
        <x:f>C2788+D2788</x:f>
        <x:v>910534.3404015824</x:v>
      </x:c>
      <x:c r="F2788" s="78" t="n">
        <x:f>'Inputs'!$B$13*E2788+(1-'Inputs'!$B$13)/'Inputs'!$B$14*SUM(E2733:E2788)</x:f>
        <x:v>920752.0172640283</x:v>
      </x:c>
      <x:c r="G2788" s="78" t="n">
        <x:f>F2788*'Inputs'!$F$51</x:f>
        <x:v>230188.00431600708</x:v>
      </x:c>
      <x:c r="H2788" s="78" t="n">
        <x:f>U2787</x:f>
        <x:v>496257.00718571444</x:v>
      </x:c>
      <x:c r="I2788" s="78" t="n">
        <x:f>V2787</x:f>
        <x:v>403980.6430445214</x:v>
      </x:c>
      <x:c r="J2788" s="79" t="n">
        <x:f>IF(H2788&gt;0,I2788/H2788,0)</x:f>
        <x:v>0.8140552923081237</x:v>
      </x:c>
      <x:c r="K2788" s="80" t="n">
        <x:f>(H2788*J2788+I2788)*'Inputs'!$D$51*(1+'Inputs'!$G$51)^(B2788/30)</x:f>
        <x:v>3523409.3250115355</x:v>
      </x:c>
      <x:c r="L2788" s="80" t="n">
        <x:f>MAX(0,K2788*'Inputs'!$E$51)</x:f>
        <x:v>352340.93250115355</x:v>
      </x:c>
      <x:c r="M2788" s="80" t="n">
        <x:f>MAX(0,-K2788*'Inputs'!$E$51)</x:f>
        <x:v>0</x:v>
      </x:c>
      <x:c r="N2788" s="78" t="n">
        <x:f>H2788*(L2788*(1-'Inputs'!$B$15))/(I2788+L2788*(1-'Inputs'!$B$15))</x:f>
        <x:v>229946.28291188623</x:v>
      </x:c>
      <x:c r="O2788" s="78" t="n">
        <x:f>H2788-N2788</x:f>
        <x:v>266310.7242738282</x:v>
      </x:c>
      <x:c r="P2788" s="78" t="n">
        <x:f>I2788+L2788*(1-'Inputs'!$B$17)</x:f>
        <x:v>754903.704589936</x:v>
      </x:c>
      <x:c r="Q2788" s="78" t="n">
        <x:f>IF(J2788&gt;0,M2788/J2788,0)</x:f>
        <x:v>0</x:v>
      </x:c>
      <x:c r="R2788" s="78" t="n">
        <x:f>IF(B2788='Inputs'!$H$51,'Inputs'!$B$27*'Inputs'!$I$51,0)</x:f>
        <x:v>0</x:v>
      </x:c>
      <x:c r="S2788" s="78" t="n">
        <x:f>Q2788+G2788+R2788</x:f>
        <x:v>230188.00431600708</x:v>
      </x:c>
      <x:c r="T2788" s="78" t="n">
        <x:f>P2788*(S2788*(1-'Inputs'!$B$15))/(O2788+S2788*(1-'Inputs'!$B$15))</x:f>
        <x:v>348104.3635630689</x:v>
      </x:c>
      <x:c r="U2788" s="78" t="n">
        <x:f>O2788+S2788*(1-'Inputs'!$B$17)</x:f>
        <x:v>495572.41871331213</x:v>
      </x:c>
      <x:c r="V2788" s="78" t="n">
        <x:f>P2788-T2788</x:f>
        <x:v>406799.34102686704</x:v>
      </x:c>
      <x:c r="W2788" s="79" t="n">
        <x:f>IF(U2788&gt;0,V2788/U2788,0)</x:f>
        <x:v>0.8208675980860021</x:v>
      </x:c>
      <x:c r="X2788" s="80" t="n">
        <x:f>W2788*('Inputs'!$B$6-AC2788)</x:f>
        <x:v>819204423.9835051</x:v>
      </x:c>
      <x:c r="Y2788" s="80" t="n">
        <x:f>2*V2788</x:f>
        <x:v>813598.6820537341</x:v>
      </x:c>
      <x:c r="Z2788" s="80" t="n">
        <x:f>K2788*'Inputs'!$B$16+(G2788+R2788)*J2788*'Inputs'!$B$16</x:f>
        <x:v>22264.770528904955</x:v>
      </x:c>
      <x:c r="AA2788" s="80" t="n">
        <x:f>K2788*(1+'Inputs'!$E$51)/2*'Inputs'!$B$17</x:f>
        <x:v>7798.290256564768</x:v>
      </x:c>
      <x:c r="AB2788" s="78" t="n">
        <x:f>(IF(J2788&gt;0,K2788*(1-'Inputs'!$E$51)/2/J2788,0)+G2788+R2788)*'Inputs'!$B$17</x:f>
        <x:v>8764.130428902428</x:v>
      </x:c>
      <x:c r="AC2788" s="78" t="n">
        <x:f>AC2787+AB2788</x:f>
        <x:v>2026117.3743181955</x:v>
      </x:c>
      <x:c r="AD2788" s="80" t="n">
        <x:f>Z2788/(1+'Inputs'!$C$51)</x:f>
        <x:v>7421.590176301652</x:v>
      </x:c>
      <x:c r="AE2788" s="80" t="n">
        <x:f>Z2788-AD2788</x:f>
        <x:v>14843.180352603304</x:v>
      </x:c>
      <x:c r="AF2788" s="80" t="n">
        <x:f>D2788*W2788</x:f>
        <x:v>224228.44109407646</x:v>
      </x:c>
      <x:c r="AG2788" s="80" t="n">
        <x:f>C2788*W2788</x:f>
        <x:v>523199.69588619267</x:v>
      </x:c>
      <x:c r="AH2788" s="80" t="n">
        <x:f>2*'Inputs'!$B$8*'Inputs'!$C$51</x:f>
        <x:v>10000</x:v>
      </x:c>
      <x:c r="AI2788" s="81" t="n">
        <x:f>IF(AH2788&gt;0,(AE2788+AF2788)/AH2788*365,0)</x:f>
        <x:v>8726.11418280381</x:v>
      </x:c>
      <x:c r="AJ2788" s="81" t="n">
        <x:f>IF('Inputs'!$B$51&gt;0,AG2788/('Inputs'!$B$19*'Inputs'!$B$51)*365,0)</x:f>
        <x:v>19096.788899846033</x:v>
      </x:c>
      <x:c r="AK2788" s="81" t="n">
        <x:f>W2788/MAX($W$2559:W2788)-1</x:f>
        <x:v>-0.1671898853908248</x:v>
      </x:c>
      <x:c r="AL2788" s="83" t="n">
        <x:f>'Inputs'!$B$51</x:f>
        <x:v>1</x:v>
      </x:c>
      <x:c r="AM2788" s="83" t="n">
        <x:f>'Inputs'!$C$51</x:f>
        <x:v>2</x:v>
      </x:c>
      <x:c r="AN2788" s="83" t="n">
        <x:f>'Inputs'!$D$51</x:f>
        <x:v>3</x:v>
      </x:c>
      <x:c r="AO2788" s="81" t="n">
        <x:f>'Inputs'!$E$51</x:f>
        <x:v>0.1</x:v>
      </x:c>
    </x:row>
    <x:row r="2789">
      <x:c r="A2789" s="59" t="str">
        <x:v>High demand</x:v>
      </x:c>
      <x:c r="B2789" s="59" t="n">
        <x:v>231</x:v>
      </x:c>
      <x:c r="C2789" s="78" t="n">
        <x:f>(('Inputs'!$B$29*(3*231*'Inputs'!$B$12-231^2)/(2*'Inputs'!$B$12^2))-('Inputs'!$B$29*(3*230*'Inputs'!$B$12-230^2)/(2*'Inputs'!$B$12^2)))*'Inputs'!$B$51</x:f>
        <x:v>637048.9303809404</x:v>
      </x:c>
      <x:c r="D2789" s="78" t="n">
        <x:f>IF('Inputs'!$C$51&gt;0,('Inputs'!$B$30*(3*231*'Inputs'!$B$12-231^2)/(2*'Inputs'!$B$12^2))-('Inputs'!$B$30*(3*230*'Inputs'!$B$12-230^2)/(2*'Inputs'!$B$12^2)),0)</x:f>
        <x:v>273020.97016325593</x:v>
      </x:c>
      <x:c r="E2789" s="78" t="n">
        <x:f>C2789+D2789</x:f>
        <x:v>910069.9005441964</x:v>
      </x:c>
      <x:c r="F2789" s="78" t="n">
        <x:f>'Inputs'!$B$13*E2789+(1-'Inputs'!$B$13)/'Inputs'!$B$14*SUM(E2734:E2789)</x:f>
        <x:v>920287.5774066439</x:v>
      </x:c>
      <x:c r="G2789" s="78" t="n">
        <x:f>F2789*'Inputs'!$F$51</x:f>
        <x:v>230071.89435166097</x:v>
      </x:c>
      <x:c r="H2789" s="78" t="n">
        <x:f>U2788</x:f>
        <x:v>495572.41871331213</x:v>
      </x:c>
      <x:c r="I2789" s="78" t="n">
        <x:f>V2788</x:f>
        <x:v>406799.34102686704</x:v>
      </x:c>
      <x:c r="J2789" s="79" t="n">
        <x:f>IF(H2789&gt;0,I2789/H2789,0)</x:f>
        <x:v>0.8208675980860021</x:v>
      </x:c>
      <x:c r="K2789" s="80" t="n">
        <x:f>(H2789*J2789+I2789)*'Inputs'!$D$51*(1+'Inputs'!$G$51)^(B2789/30)</x:f>
        <x:v>3553768.1762194964</x:v>
      </x:c>
      <x:c r="L2789" s="80" t="n">
        <x:f>MAX(0,K2789*'Inputs'!$E$51)</x:f>
        <x:v>355376.81762194965</x:v>
      </x:c>
      <x:c r="M2789" s="80" t="n">
        <x:f>MAX(0,-K2789*'Inputs'!$E$51)</x:f>
        <x:v>0</x:v>
      </x:c>
      <x:c r="N2789" s="78" t="n">
        <x:f>H2789*(L2789*(1-'Inputs'!$B$15))/(I2789+L2789*(1-'Inputs'!$B$15))</x:f>
        <x:v>229829.4932532863</x:v>
      </x:c>
      <x:c r="O2789" s="78" t="n">
        <x:f>H2789-N2789</x:f>
        <x:v>265742.92546002584</x:v>
      </x:c>
      <x:c r="P2789" s="78" t="n">
        <x:f>I2789+L2789*(1-'Inputs'!$B$17)</x:f>
        <x:v>760746.0708515453</x:v>
      </x:c>
      <x:c r="Q2789" s="78" t="n">
        <x:f>IF(J2789&gt;0,M2789/J2789,0)</x:f>
        <x:v>0</x:v>
      </x:c>
      <x:c r="R2789" s="78" t="n">
        <x:f>IF(B2789='Inputs'!$H$51,'Inputs'!$B$27*'Inputs'!$I$51,0)</x:f>
        <x:v>0</x:v>
      </x:c>
      <x:c r="S2789" s="78" t="n">
        <x:f>Q2789+G2789+R2789</x:f>
        <x:v>230071.89435166097</x:v>
      </x:c>
      <x:c r="T2789" s="78" t="n">
        <x:f>P2789*(S2789*(1-'Inputs'!$B$15))/(O2789+S2789*(1-'Inputs'!$B$15))</x:f>
        <x:v>351106.536652476</x:v>
      </x:c>
      <x:c r="U2789" s="78" t="n">
        <x:f>O2789+S2789*(1-'Inputs'!$B$17)</x:f>
        <x:v>494888.97717848094</x:v>
      </x:c>
      <x:c r="V2789" s="78" t="n">
        <x:f>P2789-T2789</x:f>
        <x:v>409639.5341990693</x:v>
      </x:c>
      <x:c r="W2789" s="79" t="n">
        <x:f>IF(U2789&gt;0,V2789/U2789,0)</x:f>
        <x:v>0.8277402671899347</x:v>
      </x:c>
      <x:c r="X2789" s="80" t="n">
        <x:f>W2789*('Inputs'!$B$6-AC2789)</x:f>
        <x:v>826055912.6208483</x:v>
      </x:c>
      <x:c r="Y2789" s="80" t="n">
        <x:f>2*V2789</x:f>
        <x:v>819279.0683981386</x:v>
      </x:c>
      <x:c r="Z2789" s="80" t="n">
        <x:f>K2789*'Inputs'!$B$16+(G2789+R2789)*J2789*'Inputs'!$B$16</x:f>
        <x:v>22455.760437138244</x:v>
      </x:c>
      <x:c r="AA2789" s="80" t="n">
        <x:f>K2789*(1+'Inputs'!$E$51)/2*'Inputs'!$B$17</x:f>
        <x:v>7865.482884992851</x:v>
      </x:c>
      <x:c r="AB2789" s="78" t="n">
        <x:f>(IF(J2789&gt;0,K2789*(1-'Inputs'!$E$51)/2/J2789,0)+G2789+R2789)*'Inputs'!$B$17</x:f>
        <x:v>8765.5906056276</x:v>
      </x:c>
      <x:c r="AC2789" s="78" t="n">
        <x:f>AC2788+AB2789</x:f>
        <x:v>2034882.964923823</x:v>
      </x:c>
      <x:c r="AD2789" s="80" t="n">
        <x:f>Z2789/(1+'Inputs'!$C$51)</x:f>
        <x:v>7485.253479046081</x:v>
      </x:c>
      <x:c r="AE2789" s="80" t="n">
        <x:f>Z2789-AD2789</x:f>
        <x:v>14970.506958092163</x:v>
      </x:c>
      <x:c r="AF2789" s="80" t="n">
        <x:f>D2789*W2789</x:f>
        <x:v>225990.45079138863</x:v>
      </x:c>
      <x:c r="AG2789" s="80" t="n">
        <x:f>C2789*W2789</x:f>
        <x:v>527311.0518465817</x:v>
      </x:c>
      <x:c r="AH2789" s="80" t="n">
        <x:f>2*'Inputs'!$B$8*'Inputs'!$C$51</x:f>
        <x:v>10000</x:v>
      </x:c>
      <x:c r="AI2789" s="81" t="n">
        <x:f>IF(AH2789&gt;0,(AE2789+AF2789)/AH2789*365,0)</x:f>
        <x:v>8795.074957856048</x:v>
      </x:c>
      <x:c r="AJ2789" s="81" t="n">
        <x:f>IF('Inputs'!$B$51&gt;0,AG2789/('Inputs'!$B$19*'Inputs'!$B$51)*365,0)</x:f>
        <x:v>19246.853392400233</x:v>
      </x:c>
      <x:c r="AK2789" s="81" t="n">
        <x:f>W2789/MAX($W$2559:W2789)-1</x:f>
        <x:v>-0.16021722821996964</x:v>
      </x:c>
      <x:c r="AL2789" s="83" t="n">
        <x:f>'Inputs'!$B$51</x:f>
        <x:v>1</x:v>
      </x:c>
      <x:c r="AM2789" s="83" t="n">
        <x:f>'Inputs'!$C$51</x:f>
        <x:v>2</x:v>
      </x:c>
      <x:c r="AN2789" s="83" t="n">
        <x:f>'Inputs'!$D$51</x:f>
        <x:v>3</x:v>
      </x:c>
      <x:c r="AO2789" s="81" t="n">
        <x:f>'Inputs'!$E$51</x:f>
        <x:v>0.1</x:v>
      </x:c>
    </x:row>
    <x:row r="2790">
      <x:c r="A2790" s="59" t="str">
        <x:v>High demand</x:v>
      </x:c>
      <x:c r="B2790" s="59" t="n">
        <x:v>232</x:v>
      </x:c>
      <x:c r="C2790" s="78" t="n">
        <x:f>(('Inputs'!$B$29*(3*232*'Inputs'!$B$12-232^2)/(2*'Inputs'!$B$12^2))-('Inputs'!$B$29*(3*231*'Inputs'!$B$12-231^2)/(2*'Inputs'!$B$12^2)))*'Inputs'!$B$51</x:f>
        <x:v>636723.822480768</x:v>
      </x:c>
      <x:c r="D2790" s="78" t="n">
        <x:f>IF('Inputs'!$C$51&gt;0,('Inputs'!$B$30*(3*232*'Inputs'!$B$12-232^2)/(2*'Inputs'!$B$12^2))-('Inputs'!$B$30*(3*231*'Inputs'!$B$12-231^2)/(2*'Inputs'!$B$12^2)),0)</x:f>
        <x:v>272881.63820604235</x:v>
      </x:c>
      <x:c r="E2790" s="78" t="n">
        <x:f>C2790+D2790</x:f>
        <x:v>909605.4606868103</x:v>
      </x:c>
      <x:c r="F2790" s="78" t="n">
        <x:f>'Inputs'!$B$13*E2790+(1-'Inputs'!$B$13)/'Inputs'!$B$14*SUM(E2735:E2790)</x:f>
        <x:v>919823.1375492595</x:v>
      </x:c>
      <x:c r="G2790" s="78" t="n">
        <x:f>F2790*'Inputs'!$F$51</x:f>
        <x:v>229955.78438731487</x:v>
      </x:c>
      <x:c r="H2790" s="78" t="n">
        <x:f>U2789</x:f>
        <x:v>494888.97717848094</x:v>
      </x:c>
      <x:c r="I2790" s="78" t="n">
        <x:f>V2789</x:f>
        <x:v>409639.5341990693</x:v>
      </x:c>
      <x:c r="J2790" s="79" t="n">
        <x:f>IF(H2790&gt;0,I2790/H2790,0)</x:f>
        <x:v>0.8277402671899347</x:v>
      </x:c>
      <x:c r="K2790" s="80" t="n">
        <x:f>(H2790*J2790+I2790)*'Inputs'!$D$51*(1+'Inputs'!$G$51)^(B2790/30)</x:f>
        <x:v>3584404.606805018</x:v>
      </x:c>
      <x:c r="L2790" s="80" t="n">
        <x:f>MAX(0,K2790*'Inputs'!$E$51)</x:f>
        <x:v>358440.4606805018</x:v>
      </x:c>
      <x:c r="M2790" s="80" t="n">
        <x:f>MAX(0,-K2790*'Inputs'!$E$51)</x:f>
        <x:v>0</x:v>
      </x:c>
      <x:c r="N2790" s="78" t="n">
        <x:f>H2790*(L2790*(1-'Inputs'!$B$15))/(I2790+L2790*(1-'Inputs'!$B$15))</x:f>
        <x:v>229712.70582900767</x:v>
      </x:c>
      <x:c r="O2790" s="78" t="n">
        <x:f>H2790-N2790</x:f>
        <x:v>265176.2713494733</x:v>
      </x:c>
      <x:c r="P2790" s="78" t="n">
        <x:f>I2790+L2790*(1-'Inputs'!$B$17)</x:f>
        <x:v>766637.5785388045</x:v>
      </x:c>
      <x:c r="Q2790" s="78" t="n">
        <x:f>IF(J2790&gt;0,M2790/J2790,0)</x:f>
        <x:v>0</x:v>
      </x:c>
      <x:c r="R2790" s="78" t="n">
        <x:f>IF(B2790='Inputs'!$H$51,'Inputs'!$B$27*'Inputs'!$I$51,0)</x:f>
        <x:v>0</x:v>
      </x:c>
      <x:c r="S2790" s="78" t="n">
        <x:f>Q2790+G2790+R2790</x:f>
        <x:v>229955.78438731487</x:v>
      </x:c>
      <x:c r="T2790" s="78" t="n">
        <x:f>P2790*(S2790*(1-'Inputs'!$B$15))/(O2790+S2790*(1-'Inputs'!$B$15))</x:f>
        <x:v>354136.18014790164</x:v>
      </x:c>
      <x:c r="U2790" s="78" t="n">
        <x:f>O2790+S2790*(1-'Inputs'!$B$17)</x:f>
        <x:v>494206.68034689955</x:v>
      </x:c>
      <x:c r="V2790" s="78" t="n">
        <x:f>P2790-T2790</x:f>
        <x:v>412501.3983909029</x:v>
      </x:c>
      <x:c r="W2790" s="79" t="n">
        <x:f>IF(U2790&gt;0,V2790/U2790,0)</x:f>
        <x:v>0.8346738617562898</x:v>
      </x:c>
      <x:c r="X2790" s="80" t="n">
        <x:f>W2790*('Inputs'!$B$6-AC2790)</x:f>
        <x:v>832968080.5025276</x:v>
      </x:c>
      <x:c r="Y2790" s="80" t="n">
        <x:f>2*V2790</x:f>
        <x:v>825002.7967818058</x:v>
      </x:c>
      <x:c r="Z2790" s="80" t="n">
        <x:f>K2790*'Inputs'!$B$16+(G2790+R2790)*J2790*'Inputs'!$B$16</x:f>
        <x:v>22648.48961529387</x:v>
      </x:c>
      <x:c r="AA2790" s="80" t="n">
        <x:f>K2790*(1+'Inputs'!$E$51)/2*'Inputs'!$B$17</x:f>
        <x:v>7933.289874216339</x:v>
      </x:c>
      <x:c r="AB2790" s="78" t="n">
        <x:f>(IF(J2790&gt;0,K2790*(1-'Inputs'!$E$51)/2/J2790,0)+G2790+R2790)*'Inputs'!$B$17</x:f>
        <x:v>8767.054465724013</x:v>
      </x:c>
      <x:c r="AC2790" s="78" t="n">
        <x:f>AC2789+AB2790</x:f>
        <x:v>2043650.019389547</x:v>
      </x:c>
      <x:c r="AD2790" s="80" t="n">
        <x:f>Z2790/(1+'Inputs'!$C$51)</x:f>
        <x:v>7549.49653843129</x:v>
      </x:c>
      <x:c r="AE2790" s="80" t="n">
        <x:f>Z2790-AD2790</x:f>
        <x:v>15098.993076862582</x:v>
      </x:c>
      <x:c r="AF2790" s="80" t="n">
        <x:f>D2790*W2790</x:f>
        <x:v>227767.17076382006</x:v>
      </x:c>
      <x:c r="AG2790" s="80" t="n">
        <x:f>C2790*W2790</x:f>
        <x:v>531456.731782249</x:v>
      </x:c>
      <x:c r="AH2790" s="80" t="n">
        <x:f>2*'Inputs'!$B$8*'Inputs'!$C$51</x:f>
        <x:v>10000</x:v>
      </x:c>
      <x:c r="AI2790" s="81" t="n">
        <x:f>IF(AH2790&gt;0,(AE2790+AF2790)/AH2790*365,0)</x:f>
        <x:v>8864.614980184917</x:v>
      </x:c>
      <x:c r="AJ2790" s="81" t="n">
        <x:f>IF('Inputs'!$B$51&gt;0,AG2790/('Inputs'!$B$19*'Inputs'!$B$51)*365,0)</x:f>
        <x:v>19398.170710052087</x:v>
      </x:c>
      <x:c r="AK2790" s="81" t="n">
        <x:f>W2790/MAX($W$2559:W2790)-1</x:f>
        <x:v>-0.15318275920337832</x:v>
      </x:c>
      <x:c r="AL2790" s="83" t="n">
        <x:f>'Inputs'!$B$51</x:f>
        <x:v>1</x:v>
      </x:c>
      <x:c r="AM2790" s="83" t="n">
        <x:f>'Inputs'!$C$51</x:f>
        <x:v>2</x:v>
      </x:c>
      <x:c r="AN2790" s="83" t="n">
        <x:f>'Inputs'!$D$51</x:f>
        <x:v>3</x:v>
      </x:c>
      <x:c r="AO2790" s="81" t="n">
        <x:f>'Inputs'!$E$51</x:f>
        <x:v>0.1</x:v>
      </x:c>
    </x:row>
    <x:row r="2791">
      <x:c r="A2791" s="59" t="str">
        <x:v>High demand</x:v>
      </x:c>
      <x:c r="B2791" s="59" t="n">
        <x:v>233</x:v>
      </x:c>
      <x:c r="C2791" s="78" t="n">
        <x:f>(('Inputs'!$B$29*(3*233*'Inputs'!$B$12-233^2)/(2*'Inputs'!$B$12^2))-('Inputs'!$B$29*(3*232*'Inputs'!$B$12-232^2)/(2*'Inputs'!$B$12^2)))*'Inputs'!$B$51</x:f>
        <x:v>636398.7145805955</x:v>
      </x:c>
      <x:c r="D2791" s="78" t="n">
        <x:f>IF('Inputs'!$C$51&gt;0,('Inputs'!$B$30*(3*233*'Inputs'!$B$12-233^2)/(2*'Inputs'!$B$12^2))-('Inputs'!$B$30*(3*232*'Inputs'!$B$12-232^2)/(2*'Inputs'!$B$12^2)),0)</x:f>
        <x:v>272742.30624882877</x:v>
      </x:c>
      <x:c r="E2791" s="78" t="n">
        <x:f>C2791+D2791</x:f>
        <x:v>909141.0208294243</x:v>
      </x:c>
      <x:c r="F2791" s="78" t="n">
        <x:f>'Inputs'!$B$13*E2791+(1-'Inputs'!$B$13)/'Inputs'!$B$14*SUM(E2736:E2791)</x:f>
        <x:v>919358.6976918749</x:v>
      </x:c>
      <x:c r="G2791" s="78" t="n">
        <x:f>F2791*'Inputs'!$F$51</x:f>
        <x:v>229839.67442296873</x:v>
      </x:c>
      <x:c r="H2791" s="78" t="n">
        <x:f>U2790</x:f>
        <x:v>494206.68034689955</x:v>
      </x:c>
      <x:c r="I2791" s="78" t="n">
        <x:f>V2790</x:f>
        <x:v>412501.3983909029</x:v>
      </x:c>
      <x:c r="J2791" s="79" t="n">
        <x:f>IF(H2791&gt;0,I2791/H2791,0)</x:f>
        <x:v>0.8346738617562898</x:v>
      </x:c>
      <x:c r="K2791" s="80" t="n">
        <x:f>(H2791*J2791+I2791)*'Inputs'!$D$51*(1+'Inputs'!$G$51)^(B2791/30)</x:f>
        <x:v>3615321.287130064</x:v>
      </x:c>
      <x:c r="L2791" s="80" t="n">
        <x:f>MAX(0,K2791*'Inputs'!$E$51)</x:f>
        <x:v>361532.1287130064</x:v>
      </x:c>
      <x:c r="M2791" s="80" t="n">
        <x:f>MAX(0,-K2791*'Inputs'!$E$51)</x:f>
        <x:v>0</x:v>
      </x:c>
      <x:c r="N2791" s="78" t="n">
        <x:f>H2791*(L2791*(1-'Inputs'!$B$15))/(I2791+L2791*(1-'Inputs'!$B$15))</x:f>
        <x:v>229595.9206347852</x:v>
      </x:c>
      <x:c r="O2791" s="78" t="n">
        <x:f>H2791-N2791</x:f>
        <x:v>264610.75971211435</x:v>
      </x:c>
      <x:c r="P2791" s="78" t="n">
        <x:f>I2791+L2791*(1-'Inputs'!$B$17)</x:f>
        <x:v>772578.6694430923</x:v>
      </x:c>
      <x:c r="Q2791" s="78" t="n">
        <x:f>IF(J2791&gt;0,M2791/J2791,0)</x:f>
        <x:v>0</x:v>
      </x:c>
      <x:c r="R2791" s="78" t="n">
        <x:f>IF(B2791='Inputs'!$H$51,'Inputs'!$B$27*'Inputs'!$I$51,0)</x:f>
        <x:v>0</x:v>
      </x:c>
      <x:c r="S2791" s="78" t="n">
        <x:f>Q2791+G2791+R2791</x:f>
        <x:v>229839.67442296873</x:v>
      </x:c>
      <x:c r="T2791" s="78" t="n">
        <x:f>P2791*(S2791*(1-'Inputs'!$B$15))/(O2791+S2791*(1-'Inputs'!$B$15))</x:f>
        <x:v>357193.5584873158</x:v>
      </x:c>
      <x:c r="U2791" s="78" t="n">
        <x:f>O2791+S2791*(1-'Inputs'!$B$17)</x:f>
        <x:v>493525.52598851174</x:v>
      </x:c>
      <x:c r="V2791" s="78" t="n">
        <x:f>P2791-T2791</x:f>
        <x:v>415385.11095577653</x:v>
      </x:c>
      <x:c r="W2791" s="79" t="n">
        <x:f>IF(U2791&gt;0,V2791/U2791,0)</x:f>
        <x:v>0.8416689493897542</x:v>
      </x:c>
      <x:c r="X2791" s="80" t="n">
        <x:f>W2791*('Inputs'!$B$6-AC2791)</x:f>
        <x:v>839941492.4323063</x:v>
      </x:c>
      <x:c r="Y2791" s="80" t="n">
        <x:f>2*V2791</x:f>
        <x:v>830770.2219115531</x:v>
      </x:c>
      <x:c r="Z2791" s="80" t="n">
        <x:f>K2791*'Inputs'!$B$16+(G2791+R2791)*J2791*'Inputs'!$B$16</x:f>
        <x:v>22842.97473459295</x:v>
      </x:c>
      <x:c r="AA2791" s="80" t="n">
        <x:f>K2791*(1+'Inputs'!$E$51)/2*'Inputs'!$B$17</x:f>
        <x:v>8001.7171344931</x:v>
      </x:c>
      <x:c r="AB2791" s="78" t="n">
        <x:f>(IF(J2791&gt;0,K2791*(1-'Inputs'!$E$51)/2/J2791,0)+G2791+R2791)*'Inputs'!$B$17</x:f>
        <x:v>8768.522010195251</x:v>
      </x:c>
      <x:c r="AC2791" s="78" t="n">
        <x:f>AC2790+AB2791</x:f>
        <x:v>2052418.5413997422</x:v>
      </x:c>
      <x:c r="AD2791" s="80" t="n">
        <x:f>Z2791/(1+'Inputs'!$C$51)</x:f>
        <x:v>7614.324911530984</x:v>
      </x:c>
      <x:c r="AE2791" s="80" t="n">
        <x:f>Z2791-AD2791</x:f>
        <x:v>15228.649823061965</x:v>
      </x:c>
      <x:c r="AF2791" s="80" t="n">
        <x:f>D2791*W2791</x:f>
        <x:v>229558.7303545903</x:v>
      </x:c>
      <x:c r="AG2791" s="80" t="n">
        <x:f>C2791*W2791</x:f>
        <x:v>535637.0374940399</x:v>
      </x:c>
      <x:c r="AH2791" s="80" t="n">
        <x:f>2*'Inputs'!$B$8*'Inputs'!$C$51</x:f>
        <x:v>10000</x:v>
      </x:c>
      <x:c r="AI2791" s="81" t="n">
        <x:f>IF(AH2791&gt;0,(AE2791+AF2791)/AH2791*365,0)</x:f>
        <x:v>8934.739376484307</x:v>
      </x:c>
      <x:c r="AJ2791" s="81" t="n">
        <x:f>IF('Inputs'!$B$51&gt;0,AG2791/('Inputs'!$B$19*'Inputs'!$B$51)*365,0)</x:f>
        <x:v>19550.751868532454</x:v>
      </x:c>
      <x:c r="AK2791" s="81" t="n">
        <x:f>W2791/MAX($W$2559:W2791)-1</x:f>
        <x:v>-0.1460859024784812</x:v>
      </x:c>
      <x:c r="AL2791" s="83" t="n">
        <x:f>'Inputs'!$B$51</x:f>
        <x:v>1</x:v>
      </x:c>
      <x:c r="AM2791" s="83" t="n">
        <x:f>'Inputs'!$C$51</x:f>
        <x:v>2</x:v>
      </x:c>
      <x:c r="AN2791" s="83" t="n">
        <x:f>'Inputs'!$D$51</x:f>
        <x:v>3</x:v>
      </x:c>
      <x:c r="AO2791" s="81" t="n">
        <x:f>'Inputs'!$E$51</x:f>
        <x:v>0.1</x:v>
      </x:c>
    </x:row>
    <x:row r="2792">
      <x:c r="A2792" s="59" t="str">
        <x:v>High demand</x:v>
      </x:c>
      <x:c r="B2792" s="59" t="n">
        <x:v>234</x:v>
      </x:c>
      <x:c r="C2792" s="78" t="n">
        <x:f>(('Inputs'!$B$29*(3*234*'Inputs'!$B$12-234^2)/(2*'Inputs'!$B$12^2))-('Inputs'!$B$29*(3*233*'Inputs'!$B$12-233^2)/(2*'Inputs'!$B$12^2)))*'Inputs'!$B$51</x:f>
        <x:v>636073.606680423</x:v>
      </x:c>
      <x:c r="D2792" s="78" t="n">
        <x:f>IF('Inputs'!$C$51&gt;0,('Inputs'!$B$30*(3*234*'Inputs'!$B$12-234^2)/(2*'Inputs'!$B$12^2))-('Inputs'!$B$30*(3*233*'Inputs'!$B$12-233^2)/(2*'Inputs'!$B$12^2)),0)</x:f>
        <x:v>272602.97429160774</x:v>
      </x:c>
      <x:c r="E2792" s="78" t="n">
        <x:f>C2792+D2792</x:f>
        <x:v>908676.5809720308</x:v>
      </x:c>
      <x:c r="F2792" s="78" t="n">
        <x:f>'Inputs'!$B$13*E2792+(1-'Inputs'!$B$13)/'Inputs'!$B$14*SUM(E2737:E2792)</x:f>
        <x:v>918894.2578344888</x:v>
      </x:c>
      <x:c r="G2792" s="78" t="n">
        <x:f>F2792*'Inputs'!$F$51</x:f>
        <x:v>229723.5644586222</x:v>
      </x:c>
      <x:c r="H2792" s="78" t="n">
        <x:f>U2791</x:f>
        <x:v>493525.52598851174</x:v>
      </x:c>
      <x:c r="I2792" s="78" t="n">
        <x:f>V2791</x:f>
        <x:v>415385.11095577653</x:v>
      </x:c>
      <x:c r="J2792" s="79" t="n">
        <x:f>IF(H2792&gt;0,I2792/H2792,0)</x:f>
        <x:v>0.8416689493897542</x:v>
      </x:c>
      <x:c r="K2792" s="80" t="n">
        <x:f>(H2792*J2792+I2792)*'Inputs'!$D$51*(1+'Inputs'!$G$51)^(B2792/30)</x:f>
        <x:v>3646520.914404433</x:v>
      </x:c>
      <x:c r="L2792" s="80" t="n">
        <x:f>MAX(0,K2792*'Inputs'!$E$51)</x:f>
        <x:v>364652.09144044336</x:v>
      </x:c>
      <x:c r="M2792" s="80" t="n">
        <x:f>MAX(0,-K2792*'Inputs'!$E$51)</x:f>
        <x:v>0</x:v>
      </x:c>
      <x:c r="N2792" s="78" t="n">
        <x:f>H2792*(L2792*(1-'Inputs'!$B$15))/(I2792+L2792*(1-'Inputs'!$B$15))</x:f>
        <x:v>229479.13766636202</x:v>
      </x:c>
      <x:c r="O2792" s="78" t="n">
        <x:f>H2792-N2792</x:f>
        <x:v>264046.38832214975</x:v>
      </x:c>
      <x:c r="P2792" s="78" t="n">
        <x:f>I2792+L2792*(1-'Inputs'!$B$17)</x:f>
        <x:v>778569.7895534012</x:v>
      </x:c>
      <x:c r="Q2792" s="78" t="n">
        <x:f>IF(J2792&gt;0,M2792/J2792,0)</x:f>
        <x:v>0</x:v>
      </x:c>
      <x:c r="R2792" s="78" t="n">
        <x:f>IF(B2792='Inputs'!$H$51,'Inputs'!$B$27*'Inputs'!$I$51,0)</x:f>
        <x:v>0</x:v>
      </x:c>
      <x:c r="S2792" s="78" t="n">
        <x:f>Q2792+G2792+R2792</x:f>
        <x:v>229723.5644586222</x:v>
      </x:c>
      <x:c r="T2792" s="78" t="n">
        <x:f>P2792*(S2792*(1-'Inputs'!$B$15))/(O2792+S2792*(1-'Inputs'!$B$15))</x:f>
        <x:v>360278.93876880605</x:v>
      </x:c>
      <x:c r="U2792" s="78" t="n">
        <x:f>O2792+S2792*(1-'Inputs'!$B$17)</x:f>
        <x:v>492845.5118775179</x:v>
      </x:c>
      <x:c r="V2792" s="78" t="n">
        <x:f>P2792-T2792</x:f>
        <x:v>418290.8507845951</x:v>
      </x:c>
      <x:c r="W2792" s="79" t="n">
        <x:f>IF(U2792&gt;0,V2792/U2792,0)</x:f>
        <x:v>0.8487261032186266</x:v>
      </x:c>
      <x:c r="X2792" s="80" t="n">
        <x:f>W2792*('Inputs'!$B$6-AC2792)</x:f>
        <x:v>846976718.7056228</x:v>
      </x:c>
      <x:c r="Y2792" s="80" t="n">
        <x:f>2*V2792</x:f>
        <x:v>836581.7015691902</x:v>
      </x:c>
      <x:c r="Z2792" s="80" t="n">
        <x:f>K2792*'Inputs'!$B$16+(G2792+R2792)*J2792*'Inputs'!$B$16</x:f>
        <x:v>23039.23263331435</x:v>
      </x:c>
      <x:c r="AA2792" s="80" t="n">
        <x:f>K2792*(1+'Inputs'!$E$51)/2*'Inputs'!$B$17</x:f>
        <x:v>8070.77063550277</x:v>
      </x:c>
      <x:c r="AB2792" s="78" t="n">
        <x:f>(IF(J2792&gt;0,K2792*(1-'Inputs'!$E$51)/2/J2792,0)+G2792+R2792)*'Inputs'!$B$17</x:f>
        <x:v>8769.99324003892</x:v>
      </x:c>
      <x:c r="AC2792" s="78" t="n">
        <x:f>AC2791+AB2792</x:f>
        <x:v>2061188.534639781</x:v>
      </x:c>
      <x:c r="AD2792" s="80" t="n">
        <x:f>Z2792/(1+'Inputs'!$C$51)</x:f>
        <x:v>7679.744211104783</x:v>
      </x:c>
      <x:c r="AE2792" s="80" t="n">
        <x:f>Z2792-AD2792</x:f>
        <x:v>15359.488422209568</x:v>
      </x:c>
      <x:c r="AF2792" s="80" t="n">
        <x:f>D2792*W2792</x:f>
        <x:v>231365.26009632368</x:v>
      </x:c>
      <x:c r="AG2792" s="80" t="n">
        <x:f>C2792*W2792</x:f>
        <x:v>539852.2735580928</x:v>
      </x:c>
      <x:c r="AH2792" s="80" t="n">
        <x:f>2*'Inputs'!$B$8*'Inputs'!$C$51</x:f>
        <x:v>10000</x:v>
      </x:c>
      <x:c r="AI2792" s="81" t="n">
        <x:f>IF(AH2792&gt;0,(AE2792+AF2792)/AH2792*365,0)</x:f>
        <x:v>9005.453320926463</x:v>
      </x:c>
      <x:c r="AJ2792" s="81" t="n">
        <x:f>IF('Inputs'!$B$51&gt;0,AG2792/('Inputs'!$B$19*'Inputs'!$B$51)*365,0)</x:f>
        <x:v>19704.60798487039</x:v>
      </x:c>
      <x:c r="AK2792" s="81" t="n">
        <x:f>W2792/MAX($W$2559:W2792)-1</x:f>
        <x:v>-0.138926076578736</x:v>
      </x:c>
      <x:c r="AL2792" s="83" t="n">
        <x:f>'Inputs'!$B$51</x:f>
        <x:v>1</x:v>
      </x:c>
      <x:c r="AM2792" s="83" t="n">
        <x:f>'Inputs'!$C$51</x:f>
        <x:v>2</x:v>
      </x:c>
      <x:c r="AN2792" s="83" t="n">
        <x:f>'Inputs'!$D$51</x:f>
        <x:v>3</x:v>
      </x:c>
      <x:c r="AO2792" s="81" t="n">
        <x:f>'Inputs'!$E$51</x:f>
        <x:v>0.1</x:v>
      </x:c>
    </x:row>
    <x:row r="2793">
      <x:c r="A2793" s="59" t="str">
        <x:v>High demand</x:v>
      </x:c>
      <x:c r="B2793" s="59" t="n">
        <x:v>235</x:v>
      </x:c>
      <x:c r="C2793" s="78" t="n">
        <x:f>(('Inputs'!$B$29*(3*235*'Inputs'!$B$12-235^2)/(2*'Inputs'!$B$12^2))-('Inputs'!$B$29*(3*234*'Inputs'!$B$12-234^2)/(2*'Inputs'!$B$12^2)))*'Inputs'!$B$51</x:f>
        <x:v>635748.4987802505</x:v>
      </x:c>
      <x:c r="D2793" s="78" t="n">
        <x:f>IF('Inputs'!$C$51&gt;0,('Inputs'!$B$30*(3*235*'Inputs'!$B$12-235^2)/(2*'Inputs'!$B$12^2))-('Inputs'!$B$30*(3*234*'Inputs'!$B$12-234^2)/(2*'Inputs'!$B$12^2)),0)</x:f>
        <x:v>272463.6423344016</x:v>
      </x:c>
      <x:c r="E2793" s="78" t="n">
        <x:f>C2793+D2793</x:f>
        <x:v>908212.1411146522</x:v>
      </x:c>
      <x:c r="F2793" s="78" t="n">
        <x:f>'Inputs'!$B$13*E2793+(1-'Inputs'!$B$13)/'Inputs'!$B$14*SUM(E2738:E2793)</x:f>
        <x:v>918429.8179771056</x:v>
      </x:c>
      <x:c r="G2793" s="78" t="n">
        <x:f>F2793*'Inputs'!$F$51</x:f>
        <x:v>229607.4544942764</x:v>
      </x:c>
      <x:c r="H2793" s="78" t="n">
        <x:f>U2792</x:f>
        <x:v>492845.5118775179</x:v>
      </x:c>
      <x:c r="I2793" s="78" t="n">
        <x:f>V2792</x:f>
        <x:v>418290.8507845951</x:v>
      </x:c>
      <x:c r="J2793" s="79" t="n">
        <x:f>IF(H2793&gt;0,I2793/H2793,0)</x:f>
        <x:v>0.8487261032186266</x:v>
      </x:c>
      <x:c r="K2793" s="80" t="n">
        <x:f>(H2793*J2793+I2793)*'Inputs'!$D$51*(1+'Inputs'!$G$51)^(B2793/30)</x:f>
        <x:v>3678006.212966346</x:v>
      </x:c>
      <x:c r="L2793" s="80" t="n">
        <x:f>MAX(0,K2793*'Inputs'!$E$51)</x:f>
        <x:v>367800.62129663466</x:v>
      </x:c>
      <x:c r="M2793" s="80" t="n">
        <x:f>MAX(0,-K2793*'Inputs'!$E$51)</x:f>
        <x:v>0</x:v>
      </x:c>
      <x:c r="N2793" s="78" t="n">
        <x:f>H2793*(L2793*(1-'Inputs'!$B$15))/(I2793+L2793*(1-'Inputs'!$B$15))</x:f>
        <x:v>229362.35691948884</x:v>
      </x:c>
      <x:c r="O2793" s="78" t="n">
        <x:f>H2793-N2793</x:f>
        <x:v>263483.15495802904</x:v>
      </x:c>
      <x:c r="P2793" s="78" t="n">
        <x:f>I2793+L2793*(1-'Inputs'!$B$17)</x:f>
        <x:v>784611.3890981447</x:v>
      </x:c>
      <x:c r="Q2793" s="78" t="n">
        <x:f>IF(J2793&gt;0,M2793/J2793,0)</x:f>
        <x:v>0</x:v>
      </x:c>
      <x:c r="R2793" s="78" t="n">
        <x:f>IF(B2793='Inputs'!$H$51,'Inputs'!$B$27*'Inputs'!$I$51,0)</x:f>
        <x:v>0</x:v>
      </x:c>
      <x:c r="S2793" s="78" t="n">
        <x:f>Q2793+G2793+R2793</x:f>
        <x:v>229607.4544942764</x:v>
      </x:c>
      <x:c r="T2793" s="78" t="n">
        <x:f>P2793*(S2793*(1-'Inputs'!$B$15))/(O2793+S2793*(1-'Inputs'!$B$15))</x:f>
        <x:v>363392.59077839274</x:v>
      </x:c>
      <x:c r="U2793" s="78" t="n">
        <x:f>O2793+S2793*(1-'Inputs'!$B$17)</x:f>
        <x:v>492166.6357923687</x:v>
      </x:c>
      <x:c r="V2793" s="78" t="n">
        <x:f>P2793-T2793</x:f>
        <x:v>421218.798319752</x:v>
      </x:c>
      <x:c r="W2793" s="79" t="n">
        <x:f>IF(U2793&gt;0,V2793/U2793,0)</x:f>
        <x:v>0.8558459019506808</x:v>
      </x:c>
      <x:c r="X2793" s="80" t="n">
        <x:f>W2793*('Inputs'!$B$6-AC2793)</x:f>
        <x:v>854074335.1650859</x:v>
      </x:c>
      <x:c r="Y2793" s="80" t="n">
        <x:f>2*V2793</x:f>
        <x:v>842437.596639504</x:v>
      </x:c>
      <x:c r="Z2793" s="80" t="n">
        <x:f>K2793*'Inputs'!$B$16+(G2793+R2793)*J2793*'Inputs'!$B$16</x:f>
        <x:v>23237.28031853533</x:v>
      </x:c>
      <x:c r="AA2793" s="80" t="n">
        <x:f>K2793*(1+'Inputs'!$E$51)/2*'Inputs'!$B$17</x:f>
        <x:v>8140.45640696777</x:v>
      </x:c>
      <x:c r="AB2793" s="78" t="n">
        <x:f>(IF(J2793&gt;0,K2793*(1-'Inputs'!$E$51)/2/J2793,0)+G2793+R2793)*'Inputs'!$B$17</x:f>
        <x:v>8771.468156246627</x:v>
      </x:c>
      <x:c r="AC2793" s="78" t="n">
        <x:f>AC2792+AB2793</x:f>
        <x:v>2069960.0027960278</x:v>
      </x:c>
      <x:c r="AD2793" s="80" t="n">
        <x:f>Z2793/(1+'Inputs'!$C$51)</x:f>
        <x:v>7745.7601061784435</x:v>
      </x:c>
      <x:c r="AE2793" s="80" t="n">
        <x:f>Z2793-AD2793</x:f>
        <x:v>15491.520212356885</x:v>
      </x:c>
      <x:c r="AF2793" s="80" t="n">
        <x:f>D2793*W2793</x:f>
        <x:v>233186.89172245364</x:v>
      </x:c>
      <x:c r="AG2793" s="80" t="n">
        <x:f>C2793*W2793</x:f>
        <x:v>544102.7473523748</x:v>
      </x:c>
      <x:c r="AH2793" s="80" t="n">
        <x:f>2*'Inputs'!$B$8*'Inputs'!$C$51</x:f>
        <x:v>10000</x:v>
      </x:c>
      <x:c r="AI2793" s="81" t="n">
        <x:f>IF(AH2793&gt;0,(AE2793+AF2793)/AH2793*365,0)</x:f>
        <x:v>9076.762035620584</x:v>
      </x:c>
      <x:c r="AJ2793" s="81" t="n">
        <x:f>IF('Inputs'!$B$51&gt;0,AG2793/('Inputs'!$B$19*'Inputs'!$B$51)*365,0)</x:f>
        <x:v>19859.750278361684</x:v>
      </x:c>
      <x:c r="AK2793" s="81" t="n">
        <x:f>W2793/MAX($W$2559:W2793)-1</x:f>
        <x:v>-0.13170269437695115</x:v>
      </x:c>
      <x:c r="AL2793" s="83" t="n">
        <x:f>'Inputs'!$B$51</x:f>
        <x:v>1</x:v>
      </x:c>
      <x:c r="AM2793" s="83" t="n">
        <x:f>'Inputs'!$C$51</x:f>
        <x:v>2</x:v>
      </x:c>
      <x:c r="AN2793" s="83" t="n">
        <x:f>'Inputs'!$D$51</x:f>
        <x:v>3</x:v>
      </x:c>
      <x:c r="AO2793" s="81" t="n">
        <x:f>'Inputs'!$E$51</x:f>
        <x:v>0.1</x:v>
      </x:c>
    </x:row>
    <x:row r="2794">
      <x:c r="A2794" s="59" t="str">
        <x:v>High demand</x:v>
      </x:c>
      <x:c r="B2794" s="59" t="n">
        <x:v>236</x:v>
      </x:c>
      <x:c r="C2794" s="78" t="n">
        <x:f>(('Inputs'!$B$29*(3*236*'Inputs'!$B$12-236^2)/(2*'Inputs'!$B$12^2))-('Inputs'!$B$29*(3*235*'Inputs'!$B$12-235^2)/(2*'Inputs'!$B$12^2)))*'Inputs'!$B$51</x:f>
        <x:v>635423.3908800781</x:v>
      </x:c>
      <x:c r="D2794" s="78" t="n">
        <x:f>IF('Inputs'!$C$51&gt;0,('Inputs'!$B$30*(3*236*'Inputs'!$B$12-236^2)/(2*'Inputs'!$B$12^2))-('Inputs'!$B$30*(3*235*'Inputs'!$B$12-235^2)/(2*'Inputs'!$B$12^2)),0)</x:f>
        <x:v>272324.3103771806</x:v>
      </x:c>
      <x:c r="E2794" s="78" t="n">
        <x:f>C2794+D2794</x:f>
        <x:v>907747.7012572587</x:v>
      </x:c>
      <x:c r="F2794" s="78" t="n">
        <x:f>'Inputs'!$B$13*E2794+(1-'Inputs'!$B$13)/'Inputs'!$B$14*SUM(E2739:E2794)</x:f>
        <x:v>917965.3781197197</x:v>
      </x:c>
      <x:c r="G2794" s="78" t="n">
        <x:f>F2794*'Inputs'!$F$51</x:f>
        <x:v>229491.34452992992</x:v>
      </x:c>
      <x:c r="H2794" s="78" t="n">
        <x:f>U2793</x:f>
        <x:v>492166.6357923687</x:v>
      </x:c>
      <x:c r="I2794" s="78" t="n">
        <x:f>V2793</x:f>
        <x:v>421218.798319752</x:v>
      </x:c>
      <x:c r="J2794" s="79" t="n">
        <x:f>IF(H2794&gt;0,I2794/H2794,0)</x:f>
        <x:v>0.8558459019506808</x:v>
      </x:c>
      <x:c r="K2794" s="80" t="n">
        <x:f>(H2794*J2794+I2794)*'Inputs'!$D$51*(1+'Inputs'!$G$51)^(B2794/30)</x:f>
        <x:v>3709779.934566048</x:v>
      </x:c>
      <x:c r="L2794" s="80" t="n">
        <x:f>MAX(0,K2794*'Inputs'!$E$51)</x:f>
        <x:v>370977.99345660483</x:v>
      </x:c>
      <x:c r="M2794" s="80" t="n">
        <x:f>MAX(0,-K2794*'Inputs'!$E$51)</x:f>
        <x:v>0</x:v>
      </x:c>
      <x:c r="N2794" s="78" t="n">
        <x:f>H2794*(L2794*(1-'Inputs'!$B$15))/(I2794+L2794*(1-'Inputs'!$B$15))</x:f>
        <x:v>229245.57838992524</x:v>
      </x:c>
      <x:c r="O2794" s="78" t="n">
        <x:f>H2794-N2794</x:f>
        <x:v>262921.05740244343</x:v>
      </x:c>
      <x:c r="P2794" s="78" t="n">
        <x:f>I2794+L2794*(1-'Inputs'!$B$17)</x:f>
        <x:v>790703.9225873966</x:v>
      </x:c>
      <x:c r="Q2794" s="78" t="n">
        <x:f>IF(J2794&gt;0,M2794/J2794,0)</x:f>
        <x:v>0</x:v>
      </x:c>
      <x:c r="R2794" s="78" t="n">
        <x:f>IF(B2794='Inputs'!$H$51,'Inputs'!$B$27*'Inputs'!$I$51,0)</x:f>
        <x:v>0</x:v>
      </x:c>
      <x:c r="S2794" s="78" t="n">
        <x:f>Q2794+G2794+R2794</x:f>
        <x:v>229491.34452992992</x:v>
      </x:c>
      <x:c r="T2794" s="78" t="n">
        <x:f>P2794*(S2794*(1-'Inputs'!$B$15))/(O2794+S2794*(1-'Inputs'!$B$15))</x:f>
        <x:v>366534.78701813833</x:v>
      </x:c>
      <x:c r="U2794" s="78" t="n">
        <x:f>O2794+S2794*(1-'Inputs'!$B$17)</x:f>
        <x:v>491488.8955157539</x:v>
      </x:c>
      <x:c r="V2794" s="78" t="n">
        <x:f>P2794-T2794</x:f>
        <x:v>424169.13556925824</x:v>
      </x:c>
      <x:c r="W2794" s="79" t="n">
        <x:f>IF(U2794&gt;0,V2794/U2794,0)</x:f>
        <x:v>0.863028929929633</x:v>
      </x:c>
      <x:c r="X2794" s="80" t="n">
        <x:f>W2794*('Inputs'!$B$6-AC2794)</x:f>
        <x:v>861234923.2565683</x:v>
      </x:c>
      <x:c r="Y2794" s="80" t="n">
        <x:f>2*V2794</x:f>
        <x:v>848338.2711385165</x:v>
      </x:c>
      <x:c r="Z2794" s="80" t="n">
        <x:f>K2794*'Inputs'!$B$16+(G2794+R2794)*J2794*'Inputs'!$B$16</x:f>
        <x:v>23437.13496789084</x:v>
      </x:c>
      <x:c r="AA2794" s="80" t="n">
        <x:f>K2794*(1+'Inputs'!$E$51)/2*'Inputs'!$B$17</x:f>
        <x:v>8210.780539280993</x:v>
      </x:c>
      <x:c r="AB2794" s="78" t="n">
        <x:f>(IF(J2794&gt;0,K2794*(1-'Inputs'!$E$51)/2/J2794,0)+G2794+R2794)*'Inputs'!$B$17</x:f>
        <x:v>8772.94675980395</x:v>
      </x:c>
      <x:c r="AC2794" s="78" t="n">
        <x:f>AC2793+AB2794</x:f>
        <x:v>2078732.9495558317</x:v>
      </x:c>
      <x:c r="AD2794" s="80" t="n">
        <x:f>Z2794/(1+'Inputs'!$C$51)</x:f>
        <x:v>7812.37832263028</x:v>
      </x:c>
      <x:c r="AE2794" s="80" t="n">
        <x:f>Z2794-AD2794</x:f>
        <x:v>15624.75664526056</x:v>
      </x:c>
      <x:c r="AF2794" s="80" t="n">
        <x:f>D2794*W2794</x:f>
        <x:v>235023.7581786434</x:v>
      </x:c>
      <x:c r="AG2794" s="80" t="n">
        <x:f>C2794*W2794</x:f>
        <x:v>548388.7690834927</x:v>
      </x:c>
      <x:c r="AH2794" s="80" t="n">
        <x:f>2*'Inputs'!$B$8*'Inputs'!$C$51</x:f>
        <x:v>10000</x:v>
      </x:c>
      <x:c r="AI2794" s="81" t="n">
        <x:f>IF(AH2794&gt;0,(AE2794+AF2794)/AH2794*365,0)</x:f>
        <x:v>9148.670791072494</x:v>
      </x:c>
      <x:c r="AJ2794" s="81" t="n">
        <x:f>IF('Inputs'!$B$51&gt;0,AG2794/('Inputs'!$B$19*'Inputs'!$B$51)*365,0)</x:f>
        <x:v>20016.190071547484</x:v>
      </x:c>
      <x:c r="AK2794" s="81" t="n">
        <x:f>W2794/MAX($W$2559:W2794)-1</x:f>
        <x:v>-0.12441516302799738</x:v>
      </x:c>
      <x:c r="AL2794" s="83" t="n">
        <x:f>'Inputs'!$B$51</x:f>
        <x:v>1</x:v>
      </x:c>
      <x:c r="AM2794" s="83" t="n">
        <x:f>'Inputs'!$C$51</x:f>
        <x:v>2</x:v>
      </x:c>
      <x:c r="AN2794" s="83" t="n">
        <x:f>'Inputs'!$D$51</x:f>
        <x:v>3</x:v>
      </x:c>
      <x:c r="AO2794" s="81" t="n">
        <x:f>'Inputs'!$E$51</x:f>
        <x:v>0.1</x:v>
      </x:c>
    </x:row>
    <x:row r="2795">
      <x:c r="A2795" s="59" t="str">
        <x:v>High demand</x:v>
      </x:c>
      <x:c r="B2795" s="59" t="n">
        <x:v>237</x:v>
      </x:c>
      <x:c r="C2795" s="78" t="n">
        <x:f>(('Inputs'!$B$29*(3*237*'Inputs'!$B$12-237^2)/(2*'Inputs'!$B$12^2))-('Inputs'!$B$29*(3*236*'Inputs'!$B$12-236^2)/(2*'Inputs'!$B$12^2)))*'Inputs'!$B$51</x:f>
        <x:v>635098.2829799354</x:v>
      </x:c>
      <x:c r="D2795" s="78" t="n">
        <x:f>IF('Inputs'!$C$51&gt;0,('Inputs'!$B$30*(3*237*'Inputs'!$B$12-237^2)/(2*'Inputs'!$B$12^2))-('Inputs'!$B$30*(3*236*'Inputs'!$B$12-236^2)/(2*'Inputs'!$B$12^2)),0)</x:f>
        <x:v>272184.97841997445</x:v>
      </x:c>
      <x:c r="E2795" s="78" t="n">
        <x:f>C2795+D2795</x:f>
        <x:v>907283.2613999099</x:v>
      </x:c>
      <x:c r="F2795" s="78" t="n">
        <x:f>'Inputs'!$B$13*E2795+(1-'Inputs'!$B$13)/'Inputs'!$B$14*SUM(E2740:E2795)</x:f>
        <x:v>917500.9382623427</x:v>
      </x:c>
      <x:c r="G2795" s="78" t="n">
        <x:f>F2795*'Inputs'!$F$51</x:f>
        <x:v>229375.23456558568</x:v>
      </x:c>
      <x:c r="H2795" s="78" t="n">
        <x:f>U2794</x:f>
        <x:v>491488.8955157539</x:v>
      </x:c>
      <x:c r="I2795" s="78" t="n">
        <x:f>V2794</x:f>
        <x:v>424169.13556925824</x:v>
      </x:c>
      <x:c r="J2795" s="79" t="n">
        <x:f>IF(H2795&gt;0,I2795/H2795,0)</x:f>
        <x:v>0.863028929929633</x:v>
      </x:c>
      <x:c r="K2795" s="80" t="n">
        <x:f>(H2795*J2795+I2795)*'Inputs'!$D$51*(1+'Inputs'!$G$51)^(B2795/30)</x:f>
        <x:v>3741844.858652522</x:v>
      </x:c>
      <x:c r="L2795" s="80" t="n">
        <x:f>MAX(0,K2795*'Inputs'!$E$51)</x:f>
        <x:v>374184.4858652522</x:v>
      </x:c>
      <x:c r="M2795" s="80" t="n">
        <x:f>MAX(0,-K2795*'Inputs'!$E$51)</x:f>
        <x:v>0</x:v>
      </x:c>
      <x:c r="N2795" s="78" t="n">
        <x:f>H2795*(L2795*(1-'Inputs'!$B$15))/(I2795+L2795*(1-'Inputs'!$B$15))</x:f>
        <x:v>229128.8020734379</x:v>
      </x:c>
      <x:c r="O2795" s="78" t="n">
        <x:f>H2795-N2795</x:f>
        <x:v>262360.093442316</x:v>
      </x:c>
      <x:c r="P2795" s="78" t="n">
        <x:f>I2795+L2795*(1-'Inputs'!$B$17)</x:f>
        <x:v>796847.8488555758</x:v>
      </x:c>
      <x:c r="Q2795" s="78" t="n">
        <x:f>IF(J2795&gt;0,M2795/J2795,0)</x:f>
        <x:v>0</x:v>
      </x:c>
      <x:c r="R2795" s="78" t="n">
        <x:f>IF(B2795='Inputs'!$H$51,'Inputs'!$B$27*'Inputs'!$I$51,0)</x:f>
        <x:v>0</x:v>
      </x:c>
      <x:c r="S2795" s="78" t="n">
        <x:f>Q2795+G2795+R2795</x:f>
        <x:v>229375.23456558568</x:v>
      </x:c>
      <x:c r="T2795" s="78" t="n">
        <x:f>P2795*(S2795*(1-'Inputs'!$B$15))/(O2795+S2795*(1-'Inputs'!$B$15))</x:f>
        <x:v>369705.8027345769</x:v>
      </x:c>
      <x:c r="U2795" s="78" t="n">
        <x:f>O2795+S2795*(1-'Inputs'!$B$17)</x:f>
        <x:v>490812.28883459955</x:v>
      </x:c>
      <x:c r="V2795" s="78" t="n">
        <x:f>P2795-T2795</x:f>
        <x:v>427142.04612099886</x:v>
      </x:c>
      <x:c r="W2795" s="79" t="n">
        <x:f>IF(U2795&gt;0,V2795/U2795,0)</x:f>
        <x:v>0.8702757771921699</x:v>
      </x:c>
      <x:c r="X2795" s="80" t="n">
        <x:f>W2795*('Inputs'!$B$6-AC2795)</x:f>
        <x:v>868459070.0858579</x:v>
      </x:c>
      <x:c r="Y2795" s="80" t="n">
        <x:f>2*V2795</x:f>
        <x:v>854284.0922419977</x:v>
      </x:c>
      <x:c r="Z2795" s="80" t="n">
        <x:f>K2795*'Inputs'!$B$16+(G2795+R2795)*J2795*'Inputs'!$B$16</x:f>
        <x:v>23638.81393135211</x:v>
      </x:c>
      <x:c r="AA2795" s="80" t="n">
        <x:f>K2795*(1+'Inputs'!$E$51)/2*'Inputs'!$B$17</x:f>
        <x:v>8281.749184140392</x:v>
      </x:c>
      <x:c r="AB2795" s="78" t="n">
        <x:f>(IF(J2795&gt;0,K2795*(1-'Inputs'!$E$51)/2/J2795,0)+G2795+R2795)*'Inputs'!$B$17</x:f>
        <x:v>8774.42905169042</x:v>
      </x:c>
      <x:c r="AC2795" s="78" t="n">
        <x:f>AC2794+AB2795</x:f>
        <x:v>2087507.3786075222</x:v>
      </x:c>
      <x:c r="AD2795" s="80" t="n">
        <x:f>Z2795/(1+'Inputs'!$C$51)</x:f>
        <x:v>7879.604643784037</x:v>
      </x:c>
      <x:c r="AE2795" s="80" t="n">
        <x:f>Z2795-AD2795</x:f>
        <x:v>15759.209287568072</x:v>
      </x:c>
      <x:c r="AF2795" s="80" t="n">
        <x:f>D2795*W2795</x:f>
        <x:v>236875.99363447726</x:v>
      </x:c>
      <x:c r="AG2795" s="80" t="n">
        <x:f>C2795*W2795</x:f>
        <x:v>552710.6518137759</x:v>
      </x:c>
      <x:c r="AH2795" s="80" t="n">
        <x:f>2*'Inputs'!$B$8*'Inputs'!$C$51</x:f>
        <x:v>10000</x:v>
      </x:c>
      <x:c r="AI2795" s="81" t="n">
        <x:f>IF(AH2795&gt;0,(AE2795+AF2795)/AH2795*365,0)</x:f>
        <x:v>9221.184906654655</x:v>
      </x:c>
      <x:c r="AJ2795" s="81" t="n">
        <x:f>IF('Inputs'!$B$51&gt;0,AG2795/('Inputs'!$B$19*'Inputs'!$B$51)*365,0)</x:f>
        <x:v>20173.938791202818</x:v>
      </x:c>
      <x:c r="AK2795" s="81" t="n">
        <x:f>W2795/MAX($W$2559:W2795)-1</x:f>
        <x:v>-0.1170628839109501</x:v>
      </x:c>
      <x:c r="AL2795" s="83" t="n">
        <x:f>'Inputs'!$B$51</x:f>
        <x:v>1</x:v>
      </x:c>
      <x:c r="AM2795" s="83" t="n">
        <x:f>'Inputs'!$C$51</x:f>
        <x:v>2</x:v>
      </x:c>
      <x:c r="AN2795" s="83" t="n">
        <x:f>'Inputs'!$D$51</x:f>
        <x:v>3</x:v>
      </x:c>
      <x:c r="AO2795" s="81" t="n">
        <x:f>'Inputs'!$E$51</x:f>
        <x:v>0.1</x:v>
      </x:c>
    </x:row>
    <x:row r="2796">
      <x:c r="A2796" s="59" t="str">
        <x:v>High demand</x:v>
      </x:c>
      <x:c r="B2796" s="59" t="n">
        <x:v>238</x:v>
      </x:c>
      <x:c r="C2796" s="78" t="n">
        <x:f>(('Inputs'!$B$29*(3*238*'Inputs'!$B$12-238^2)/(2*'Inputs'!$B$12^2))-('Inputs'!$B$29*(3*237*'Inputs'!$B$12-237^2)/(2*'Inputs'!$B$12^2)))*'Inputs'!$B$51</x:f>
        <x:v>634773.1750797629</x:v>
      </x:c>
      <x:c r="D2796" s="78" t="n">
        <x:f>IF('Inputs'!$C$51&gt;0,('Inputs'!$B$30*(3*238*'Inputs'!$B$12-238^2)/(2*'Inputs'!$B$12^2))-('Inputs'!$B$30*(3*237*'Inputs'!$B$12-237^2)/(2*'Inputs'!$B$12^2)),0)</x:f>
        <x:v>272045.6464627385</x:v>
      </x:c>
      <x:c r="E2796" s="78" t="n">
        <x:f>C2796+D2796</x:f>
        <x:v>906818.8215425014</x:v>
      </x:c>
      <x:c r="F2796" s="78" t="n">
        <x:f>'Inputs'!$B$13*E2796+(1-'Inputs'!$B$13)/'Inputs'!$B$14*SUM(E2741:E2796)</x:f>
        <x:v>917036.4984049537</x:v>
      </x:c>
      <x:c r="G2796" s="78" t="n">
        <x:f>F2796*'Inputs'!$F$51</x:f>
        <x:v>229259.12460123844</x:v>
      </x:c>
      <x:c r="H2796" s="78" t="n">
        <x:f>U2795</x:f>
        <x:v>490812.28883459955</x:v>
      </x:c>
      <x:c r="I2796" s="78" t="n">
        <x:f>V2795</x:f>
        <x:v>427142.04612099886</x:v>
      </x:c>
      <x:c r="J2796" s="79" t="n">
        <x:f>IF(H2796&gt;0,I2796/H2796,0)</x:f>
        <x:v>0.8702757771921699</x:v>
      </x:c>
      <x:c r="K2796" s="80" t="n">
        <x:f>(H2796*J2796+I2796)*'Inputs'!$D$51*(1+'Inputs'!$G$51)^(B2796/30)</x:f>
        <x:v>3774203.7926632394</x:v>
      </x:c>
      <x:c r="L2796" s="80" t="n">
        <x:f>MAX(0,K2796*'Inputs'!$E$51)</x:f>
        <x:v>377420.379266324</x:v>
      </x:c>
      <x:c r="M2796" s="80" t="n">
        <x:f>MAX(0,-K2796*'Inputs'!$E$51)</x:f>
        <x:v>0</x:v>
      </x:c>
      <x:c r="N2796" s="78" t="n">
        <x:f>H2796*(L2796*(1-'Inputs'!$B$15))/(I2796+L2796*(1-'Inputs'!$B$15))</x:f>
        <x:v>229012.02796580302</x:v>
      </x:c>
      <x:c r="O2796" s="78" t="n">
        <x:f>H2796-N2796</x:f>
        <x:v>261800.26086879653</x:v>
      </x:c>
      <x:c r="P2796" s="78" t="n">
        <x:f>I2796+L2796*(1-'Inputs'!$B$17)</x:f>
        <x:v>803043.631104561</x:v>
      </x:c>
      <x:c r="Q2796" s="78" t="n">
        <x:f>IF(J2796&gt;0,M2796/J2796,0)</x:f>
        <x:v>0</x:v>
      </x:c>
      <x:c r="R2796" s="78" t="n">
        <x:f>IF(B2796='Inputs'!$H$51,'Inputs'!$B$27*'Inputs'!$I$51,0)</x:f>
        <x:v>0</x:v>
      </x:c>
      <x:c r="S2796" s="78" t="n">
        <x:f>Q2796+G2796+R2796</x:f>
        <x:v>229259.12460123844</x:v>
      </x:c>
      <x:c r="T2796" s="78" t="n">
        <x:f>P2796*(S2796*(1-'Inputs'!$B$15))/(O2796+S2796*(1-'Inputs'!$B$15))</x:f>
        <x:v>372905.91594742396</x:v>
      </x:c>
      <x:c r="U2796" s="78" t="n">
        <x:f>O2796+S2796*(1-'Inputs'!$B$17)</x:f>
        <x:v>490136.81354005006</x:v>
      </x:c>
      <x:c r="V2796" s="78" t="n">
        <x:f>P2796-T2796</x:f>
        <x:v>430137.7151571371</x:v>
      </x:c>
      <x:c r="W2796" s="79" t="n">
        <x:f>IF(U2796&gt;0,V2796/U2796,0)</x:f>
        <x:v>0.8775870395256276</x:v>
      </x:c>
      <x:c r="X2796" s="80" t="n">
        <x:f>W2796*('Inputs'!$B$6-AC2796)</x:f>
        <x:v>875747368.4759547</x:v>
      </x:c>
      <x:c r="Y2796" s="80" t="n">
        <x:f>2*V2796</x:f>
        <x:v>860275.4303142742</x:v>
      </x:c>
      <x:c r="Z2796" s="80" t="n">
        <x:f>K2796*'Inputs'!$B$16+(G2796+R2796)*J2796*'Inputs'!$B$16</x:f>
        <x:v>23842.334733023872</x:v>
      </x:c>
      <x:c r="AA2796" s="80" t="n">
        <x:f>K2796*(1+'Inputs'!$E$51)/2*'Inputs'!$B$17</x:f>
        <x:v>8353.36855519027</x:v>
      </x:c>
      <x:c r="AB2796" s="78" t="n">
        <x:f>(IF(J2796&gt;0,K2796*(1-'Inputs'!$E$51)/2/J2796,0)+G2796+R2796)*'Inputs'!$B$17</x:f>
        <x:v>8775.915032879506</x:v>
      </x:c>
      <x:c r="AC2796" s="78" t="n">
        <x:f>AC2795+AB2796</x:f>
        <x:v>2096283.2936404017</x:v>
      </x:c>
      <x:c r="AD2796" s="80" t="n">
        <x:f>Z2796/(1+'Inputs'!$C$51)</x:f>
        <x:v>7947.444911007958</x:v>
      </x:c>
      <x:c r="AE2796" s="80" t="n">
        <x:f>Z2796-AD2796</x:f>
        <x:v>15894.889822015914</x:v>
      </x:c>
      <x:c r="AF2796" s="80" t="n">
        <x:f>D2796*W2796</x:f>
        <x:v>238743.7334950702</x:v>
      </x:c>
      <x:c r="AG2796" s="80" t="n">
        <x:f>C2796*W2796</x:f>
        <x:v>557068.711488532</x:v>
      </x:c>
      <x:c r="AH2796" s="80" t="n">
        <x:f>2*'Inputs'!$B$8*'Inputs'!$C$51</x:f>
        <x:v>10000</x:v>
      </x:c>
      <x:c r="AI2796" s="81" t="n">
        <x:f>IF(AH2796&gt;0,(AE2796+AF2796)/AH2796*365,0)</x:f>
        <x:v>9294.309751073642</x:v>
      </x:c>
      <x:c r="AJ2796" s="81" t="n">
        <x:f>IF('Inputs'!$B$51&gt;0,AG2796/('Inputs'!$B$19*'Inputs'!$B$51)*365,0)</x:f>
        <x:v>20333.00796933142</x:v>
      </x:c>
      <x:c r="AK2796" s="81" t="n">
        <x:f>W2796/MAX($W$2559:W2796)-1</x:f>
        <x:v>-0.10964525257057067</x:v>
      </x:c>
      <x:c r="AL2796" s="83" t="n">
        <x:f>'Inputs'!$B$51</x:f>
        <x:v>1</x:v>
      </x:c>
      <x:c r="AM2796" s="83" t="n">
        <x:f>'Inputs'!$C$51</x:f>
        <x:v>2</x:v>
      </x:c>
      <x:c r="AN2796" s="83" t="n">
        <x:f>'Inputs'!$D$51</x:f>
        <x:v>3</x:v>
      </x:c>
      <x:c r="AO2796" s="81" t="n">
        <x:f>'Inputs'!$E$51</x:f>
        <x:v>0.1</x:v>
      </x:c>
    </x:row>
    <x:row r="2797">
      <x:c r="A2797" s="59" t="str">
        <x:v>High demand</x:v>
      </x:c>
      <x:c r="B2797" s="59" t="n">
        <x:v>239</x:v>
      </x:c>
      <x:c r="C2797" s="78" t="n">
        <x:f>(('Inputs'!$B$29*(3*239*'Inputs'!$B$12-239^2)/(2*'Inputs'!$B$12^2))-('Inputs'!$B$29*(3*238*'Inputs'!$B$12-238^2)/(2*'Inputs'!$B$12^2)))*'Inputs'!$B$51</x:f>
        <x:v>634448.0671795607</x:v>
      </x:c>
      <x:c r="D2797" s="78" t="n">
        <x:f>IF('Inputs'!$C$51&gt;0,('Inputs'!$B$30*(3*239*'Inputs'!$B$12-239^2)/(2*'Inputs'!$B$12^2))-('Inputs'!$B$30*(3*238*'Inputs'!$B$12-238^2)/(2*'Inputs'!$B$12^2)),0)</x:f>
        <x:v>271906.3145055473</x:v>
      </x:c>
      <x:c r="E2797" s="78" t="n">
        <x:f>C2797+D2797</x:f>
        <x:v>906354.381685108</x:v>
      </x:c>
      <x:c r="F2797" s="78" t="n">
        <x:f>'Inputs'!$B$13*E2797+(1-'Inputs'!$B$13)/'Inputs'!$B$14*SUM(E2742:E2797)</x:f>
        <x:v>916572.0585475676</x:v>
      </x:c>
      <x:c r="G2797" s="78" t="n">
        <x:f>F2797*'Inputs'!$F$51</x:f>
        <x:v>229143.0146368919</x:v>
      </x:c>
      <x:c r="H2797" s="78" t="n">
        <x:f>U2796</x:f>
        <x:v>490136.81354005006</x:v>
      </x:c>
      <x:c r="I2797" s="78" t="n">
        <x:f>V2796</x:f>
        <x:v>430137.7151571371</x:v>
      </x:c>
      <x:c r="J2797" s="79" t="n">
        <x:f>IF(H2797&gt;0,I2797/H2797,0)</x:f>
        <x:v>0.8775870395256276</x:v>
      </x:c>
      <x:c r="K2797" s="80" t="n">
        <x:f>(H2797*J2797+I2797)*'Inputs'!$D$51*(1+'Inputs'!$G$51)^(B2797/30)</x:f>
        <x:v>3806859.572317166</x:v>
      </x:c>
      <x:c r="L2797" s="80" t="n">
        <x:f>MAX(0,K2797*'Inputs'!$E$51)</x:f>
        <x:v>380685.9572317166</x:v>
      </x:c>
      <x:c r="M2797" s="80" t="n">
        <x:f>MAX(0,-K2797*'Inputs'!$E$51)</x:f>
        <x:v>0</x:v>
      </x:c>
      <x:c r="N2797" s="78" t="n">
        <x:f>H2797*(L2797*(1-'Inputs'!$B$15))/(I2797+L2797*(1-'Inputs'!$B$15))</x:f>
        <x:v>228895.25606280187</x:v>
      </x:c>
      <x:c r="O2797" s="78" t="n">
        <x:f>H2797-N2797</x:f>
        <x:v>261241.5574772482</x:v>
      </x:c>
      <x:c r="P2797" s="78" t="n">
        <x:f>I2797+L2797*(1-'Inputs'!$B$17)</x:f>
        <x:v>809291.7369472773</x:v>
      </x:c>
      <x:c r="Q2797" s="78" t="n">
        <x:f>IF(J2797&gt;0,M2797/J2797,0)</x:f>
        <x:v>0</x:v>
      </x:c>
      <x:c r="R2797" s="78" t="n">
        <x:f>IF(B2797='Inputs'!$H$51,'Inputs'!$B$27*'Inputs'!$I$51,0)</x:f>
        <x:v>0</x:v>
      </x:c>
      <x:c r="S2797" s="78" t="n">
        <x:f>Q2797+G2797+R2797</x:f>
        <x:v>229143.0146368919</x:v>
      </x:c>
      <x:c r="T2797" s="78" t="n">
        <x:f>P2797*(S2797*(1-'Inputs'!$B$15))/(O2797+S2797*(1-'Inputs'!$B$15))</x:f>
        <x:v>376135.40747864015</x:v>
      </x:c>
      <x:c r="U2797" s="78" t="n">
        <x:f>O2797+S2797*(1-'Inputs'!$B$17)</x:f>
        <x:v>489462.46742747247</x:v>
      </x:c>
      <x:c r="V2797" s="78" t="n">
        <x:f>P2797-T2797</x:f>
        <x:v>433156.3294686372</x:v>
      </x:c>
      <x:c r="W2797" s="79" t="n">
        <x:f>IF(U2797&gt;0,V2797/U2797,0)</x:f>
        <x:v>0.8849633185261981</x:v>
      </x:c>
      <x:c r="X2797" s="80" t="n">
        <x:f>W2797*('Inputs'!$B$6-AC2797)</x:f>
        <x:v>883100417.024892</x:v>
      </x:c>
      <x:c r="Y2797" s="80" t="n">
        <x:f>2*V2797</x:f>
        <x:v>866312.6589372744</x:v>
      </x:c>
      <x:c r="Z2797" s="80" t="n">
        <x:f>K2797*'Inputs'!$B$16+(G2797+R2797)*J2797*'Inputs'!$B$16</x:f>
        <x:v>24047.715072961997</x:v>
      </x:c>
      <x:c r="AA2797" s="80" t="n">
        <x:f>K2797*(1+'Inputs'!$E$51)/2*'Inputs'!$B$17</x:f>
        <x:v>8425.644928669784</x:v>
      </x:c>
      <x:c r="AB2797" s="78" t="n">
        <x:f>(IF(J2797&gt;0,K2797*(1-'Inputs'!$E$51)/2/J2797,0)+G2797+R2797)*'Inputs'!$B$17</x:f>
        <x:v>8777.404704338525</x:v>
      </x:c>
      <x:c r="AC2797" s="78" t="n">
        <x:f>AC2796+AB2797</x:f>
        <x:v>2105060.69834474</x:v>
      </x:c>
      <x:c r="AD2797" s="80" t="n">
        <x:f>Z2797/(1+'Inputs'!$C$51)</x:f>
        <x:v>8015.905024320666</x:v>
      </x:c>
      <x:c r="AE2797" s="80" t="n">
        <x:f>Z2797-AD2797</x:f>
        <x:v>16031.810048641331</x:v>
      </x:c>
      <x:c r="AF2797" s="80" t="n">
        <x:f>D2797*W2797</x:f>
        <x:v>240627.11441305725</x:v>
      </x:c>
      <x:c r="AG2797" s="80" t="n">
        <x:f>C2797*W2797</x:f>
        <x:v>561463.2669637563</x:v>
      </x:c>
      <x:c r="AH2797" s="80" t="n">
        <x:f>2*'Inputs'!$B$8*'Inputs'!$C$51</x:f>
        <x:v>10000</x:v>
      </x:c>
      <x:c r="AI2797" s="81" t="n">
        <x:f>IF(AH2797&gt;0,(AE2797+AF2797)/AH2797*365,0)</x:f>
        <x:v>9368.050742851998</x:v>
      </x:c>
      <x:c r="AJ2797" s="81" t="n">
        <x:f>IF('Inputs'!$B$51&gt;0,AG2797/('Inputs'!$B$19*'Inputs'!$B$51)*365,0)</x:f>
        <x:v>20493.409244177106</x:v>
      </x:c>
      <x:c r="AK2797" s="81" t="n">
        <x:f>W2797/MAX($W$2559:W2797)-1</x:f>
        <x:v>-0.102161658658254</x:v>
      </x:c>
      <x:c r="AL2797" s="83" t="n">
        <x:f>'Inputs'!$B$51</x:f>
        <x:v>1</x:v>
      </x:c>
      <x:c r="AM2797" s="83" t="n">
        <x:f>'Inputs'!$C$51</x:f>
        <x:v>2</x:v>
      </x:c>
      <x:c r="AN2797" s="83" t="n">
        <x:f>'Inputs'!$D$51</x:f>
        <x:v>3</x:v>
      </x:c>
      <x:c r="AO2797" s="81" t="n">
        <x:f>'Inputs'!$E$51</x:f>
        <x:v>0.1</x:v>
      </x:c>
    </x:row>
    <x:row r="2798">
      <x:c r="A2798" s="59" t="str">
        <x:v>High demand</x:v>
      </x:c>
      <x:c r="B2798" s="59" t="n">
        <x:v>240</x:v>
      </x:c>
      <x:c r="C2798" s="78" t="n">
        <x:f>(('Inputs'!$B$29*(3*240*'Inputs'!$B$12-240^2)/(2*'Inputs'!$B$12^2))-('Inputs'!$B$29*(3*239*'Inputs'!$B$12-239^2)/(2*'Inputs'!$B$12^2)))*'Inputs'!$B$51</x:f>
        <x:v>634122.959279418</x:v>
      </x:c>
      <x:c r="D2798" s="78" t="n">
        <x:f>IF('Inputs'!$C$51&gt;0,('Inputs'!$B$30*(3*240*'Inputs'!$B$12-240^2)/(2*'Inputs'!$B$12^2))-('Inputs'!$B$30*(3*239*'Inputs'!$B$12-239^2)/(2*'Inputs'!$B$12^2)),0)</x:f>
        <x:v>271766.98254831135</x:v>
      </x:c>
      <x:c r="E2798" s="78" t="n">
        <x:f>C2798+D2798</x:f>
        <x:v>905889.9418277293</x:v>
      </x:c>
      <x:c r="F2798" s="78" t="n">
        <x:f>'Inputs'!$B$13*E2798+(1-'Inputs'!$B$13)/'Inputs'!$B$14*SUM(E2743:E2798)</x:f>
        <x:v>916107.6186901846</x:v>
      </x:c>
      <x:c r="G2798" s="78" t="n">
        <x:f>F2798*'Inputs'!$F$51</x:f>
        <x:v>229026.90467254614</x:v>
      </x:c>
      <x:c r="H2798" s="78" t="n">
        <x:f>U2797</x:f>
        <x:v>489462.46742747247</x:v>
      </x:c>
      <x:c r="I2798" s="78" t="n">
        <x:f>V2797</x:f>
        <x:v>433156.3294686372</x:v>
      </x:c>
      <x:c r="J2798" s="79" t="n">
        <x:f>IF(H2798&gt;0,I2798/H2798,0)</x:f>
        <x:v>0.8849633185261981</x:v>
      </x:c>
      <x:c r="K2798" s="80" t="n">
        <x:f>(H2798*J2798+I2798)*'Inputs'!$D$51*(1+'Inputs'!$G$51)^(B2798/30)</x:f>
        <x:v>3839815.0619107615</x:v>
      </x:c>
      <x:c r="L2798" s="80" t="n">
        <x:f>MAX(0,K2798*'Inputs'!$E$51)</x:f>
        <x:v>383981.5061910762</x:v>
      </x:c>
      <x:c r="M2798" s="80" t="n">
        <x:f>MAX(0,-K2798*'Inputs'!$E$51)</x:f>
        <x:v>0</x:v>
      </x:c>
      <x:c r="N2798" s="78" t="n">
        <x:f>H2798*(L2798*(1-'Inputs'!$B$15))/(I2798+L2798*(1-'Inputs'!$B$15))</x:f>
        <x:v>228778.4863602263</x:v>
      </x:c>
      <x:c r="O2798" s="78" t="n">
        <x:f>H2798-N2798</x:f>
        <x:v>260683.98106724618</x:v>
      </x:c>
      <x:c r="P2798" s="78" t="n">
        <x:f>I2798+L2798*(1-'Inputs'!$B$17)</x:f>
        <x:v>815592.638451701</x:v>
      </x:c>
      <x:c r="Q2798" s="78" t="n">
        <x:f>IF(J2798&gt;0,M2798/J2798,0)</x:f>
        <x:v>0</x:v>
      </x:c>
      <x:c r="R2798" s="78" t="n">
        <x:f>IF(B2798='Inputs'!$H$51,'Inputs'!$B$27*'Inputs'!$I$51,0)</x:f>
        <x:v>0</x:v>
      </x:c>
      <x:c r="S2798" s="78" t="n">
        <x:f>Q2798+G2798+R2798</x:f>
        <x:v>229026.90467254614</x:v>
      </x:c>
      <x:c r="T2798" s="78" t="n">
        <x:f>P2798*(S2798*(1-'Inputs'!$B$15))/(O2798+S2798*(1-'Inputs'!$B$15))</x:f>
        <x:v>379394.56098176044</x:v>
      </x:c>
      <x:c r="U2798" s="78" t="n">
        <x:f>O2798+S2798*(1-'Inputs'!$B$17)</x:f>
        <x:v>488789.24829644203</x:v>
      </x:c>
      <x:c r="V2798" s="78" t="n">
        <x:f>P2798-T2798</x:f>
        <x:v>436198.0774699406</x:v>
      </x:c>
      <x:c r="W2798" s="79" t="n">
        <x:f>IF(U2798&gt;0,V2798/U2798,0)</x:f>
        <x:v>0.8924052216578098</x:v>
      </x:c>
      <x:c r="X2798" s="80" t="n">
        <x:f>W2798*('Inputs'!$B$6-AC2798)</x:f>
        <x:v>890518820.1642249</x:v>
      </x:c>
      <x:c r="Y2798" s="80" t="n">
        <x:f>2*V2798</x:f>
        <x:v>872396.1549398812</x:v>
      </x:c>
      <x:c r="Z2798" s="80" t="n">
        <x:f>K2798*'Inputs'!$B$16+(G2798+R2798)*J2798*'Inputs'!$B$16</x:f>
        <x:v>24254.97282900937</x:v>
      </x:c>
      <x:c r="AA2798" s="80" t="n">
        <x:f>K2798*(1+'Inputs'!$E$51)/2*'Inputs'!$B$17</x:f>
        <x:v>8498.584644068085</x:v>
      </x:c>
      <x:c r="AB2798" s="78" t="n">
        <x:f>(IF(J2798&gt;0,K2798*(1-'Inputs'!$E$51)/2/J2798,0)+G2798+R2798)*'Inputs'!$B$17</x:f>
        <x:v>8778.898067028735</x:v>
      </x:c>
      <x:c r="AC2798" s="78" t="n">
        <x:f>AC2797+AB2798</x:f>
        <x:v>2113839.596411769</x:v>
      </x:c>
      <x:c r="AD2798" s="80" t="n">
        <x:f>Z2798/(1+'Inputs'!$C$51)</x:f>
        <x:v>8084.990943003123</x:v>
      </x:c>
      <x:c r="AE2798" s="80" t="n">
        <x:f>Z2798-AD2798</x:f>
        <x:v>16169.981886006248</x:v>
      </x:c>
      <x:c r="AF2798" s="80" t="n">
        <x:f>D2798*W2798</x:f>
        <x:v>242526.2743002999</x:v>
      </x:c>
      <x:c r="AG2798" s="80" t="n">
        <x:f>C2798*W2798</x:f>
        <x:v>565894.6400340553</x:v>
      </x:c>
      <x:c r="AH2798" s="80" t="n">
        <x:f>2*'Inputs'!$B$8*'Inputs'!$C$51</x:f>
        <x:v>10000</x:v>
      </x:c>
      <x:c r="AI2798" s="81" t="n">
        <x:f>IF(AH2798&gt;0,(AE2798+AF2798)/AH2798*365,0)</x:f>
        <x:v>9442.413350800174</x:v>
      </x:c>
      <x:c r="AJ2798" s="81" t="n">
        <x:f>IF('Inputs'!$B$51&gt;0,AG2798/('Inputs'!$B$19*'Inputs'!$B$51)*365,0)</x:f>
        <x:v>20655.154361243018</x:v>
      </x:c>
      <x:c r="AK2798" s="81" t="n">
        <x:f>W2798/MAX($W$2559:W2798)-1</x:f>
        <x:v>-0.09461148587229085</x:v>
      </x:c>
      <x:c r="AL2798" s="83" t="n">
        <x:f>'Inputs'!$B$51</x:f>
        <x:v>1</x:v>
      </x:c>
      <x:c r="AM2798" s="83" t="n">
        <x:f>'Inputs'!$C$51</x:f>
        <x:v>2</x:v>
      </x:c>
      <x:c r="AN2798" s="83" t="n">
        <x:f>'Inputs'!$D$51</x:f>
        <x:v>3</x:v>
      </x:c>
      <x:c r="AO2798" s="81" t="n">
        <x:f>'Inputs'!$E$51</x:f>
        <x:v>0.1</x:v>
      </x:c>
    </x:row>
    <x:row r="2799">
      <x:c r="A2799" s="59" t="str">
        <x:v>High demand</x:v>
      </x:c>
      <x:c r="B2799" s="59" t="n">
        <x:v>241</x:v>
      </x:c>
      <x:c r="C2799" s="78" t="n">
        <x:f>(('Inputs'!$B$29*(3*241*'Inputs'!$B$12-241^2)/(2*'Inputs'!$B$12^2))-('Inputs'!$B$29*(3*240*'Inputs'!$B$12-240^2)/(2*'Inputs'!$B$12^2)))*'Inputs'!$B$51</x:f>
        <x:v>633797.8513792455</x:v>
      </x:c>
      <x:c r="D2799" s="78" t="n">
        <x:f>IF('Inputs'!$C$51&gt;0,('Inputs'!$B$30*(3*241*'Inputs'!$B$12-241^2)/(2*'Inputs'!$B$12^2))-('Inputs'!$B$30*(3*240*'Inputs'!$B$12-240^2)/(2*'Inputs'!$B$12^2)),0)</x:f>
        <x:v>271627.6505911052</x:v>
      </x:c>
      <x:c r="E2799" s="78" t="n">
        <x:f>C2799+D2799</x:f>
        <x:v>905425.5019703507</x:v>
      </x:c>
      <x:c r="F2799" s="78" t="n">
        <x:f>'Inputs'!$B$13*E2799+(1-'Inputs'!$B$13)/'Inputs'!$B$14*SUM(E2744:E2799)</x:f>
        <x:v>915643.1788328014</x:v>
      </x:c>
      <x:c r="G2799" s="78" t="n">
        <x:f>F2799*'Inputs'!$F$51</x:f>
        <x:v>228910.79470820035</x:v>
      </x:c>
      <x:c r="H2799" s="78" t="n">
        <x:f>U2798</x:f>
        <x:v>488789.24829644203</x:v>
      </x:c>
      <x:c r="I2799" s="78" t="n">
        <x:f>V2798</x:f>
        <x:v>436198.0774699406</x:v>
      </x:c>
      <x:c r="J2799" s="79" t="n">
        <x:f>IF(H2799&gt;0,I2799/H2799,0)</x:f>
        <x:v>0.8924052216578098</x:v>
      </x:c>
      <x:c r="K2799" s="80" t="n">
        <x:f>(H2799*J2799+I2799)*'Inputs'!$D$51*(1+'Inputs'!$G$51)^(B2799/30)</x:f>
        <x:v>3873073.154617346</x:v>
      </x:c>
      <x:c r="L2799" s="80" t="n">
        <x:f>MAX(0,K2799*'Inputs'!$E$51)</x:f>
        <x:v>387307.3154617346</x:v>
      </x:c>
      <x:c r="M2799" s="80" t="n">
        <x:f>MAX(0,-K2799*'Inputs'!$E$51)</x:f>
        <x:v>0</x:v>
      </x:c>
      <x:c r="N2799" s="78" t="n">
        <x:f>H2799*(L2799*(1-'Inputs'!$B$15))/(I2799+L2799*(1-'Inputs'!$B$15))</x:f>
        <x:v>228661.71885387582</x:v>
      </x:c>
      <x:c r="O2799" s="78" t="n">
        <x:f>H2799-N2799</x:f>
        <x:v>260127.5294425662</x:v>
      </x:c>
      <x:c r="P2799" s="78" t="n">
        <x:f>I2799+L2799*(1-'Inputs'!$B$17)</x:f>
        <x:v>821946.8121853503</x:v>
      </x:c>
      <x:c r="Q2799" s="78" t="n">
        <x:f>IF(J2799&gt;0,M2799/J2799,0)</x:f>
        <x:v>0</x:v>
      </x:c>
      <x:c r="R2799" s="78" t="n">
        <x:f>IF(B2799='Inputs'!$H$51,'Inputs'!$B$27*'Inputs'!$I$51,0)</x:f>
        <x:v>0</x:v>
      </x:c>
      <x:c r="S2799" s="78" t="n">
        <x:f>Q2799+G2799+R2799</x:f>
        <x:v>228910.79470820035</x:v>
      </x:c>
      <x:c r="T2799" s="78" t="n">
        <x:f>P2799*(S2799*(1-'Inputs'!$B$15))/(O2799+S2799*(1-'Inputs'!$B$15))</x:f>
        <x:v>382683.66297157324</x:v>
      </x:c>
      <x:c r="U2799" s="78" t="n">
        <x:f>O2799+S2799*(1-'Inputs'!$B$17)</x:f>
        <x:v>488117.1539507336</x:v>
      </x:c>
      <x:c r="V2799" s="78" t="n">
        <x:f>P2799-T2799</x:f>
        <x:v>439263.1492137771</x:v>
      </x:c>
      <x:c r="W2799" s="79" t="n">
        <x:f>IF(U2799&gt;0,V2799/U2799,0)</x:f>
        <x:v>0.8999133623116072</x:v>
      </x:c>
      <x:c r="X2799" s="80" t="n">
        <x:f>W2799*('Inputs'!$B$6-AC2799)</x:f>
        <x:v>898003188.2181164</x:v>
      </x:c>
      <x:c r="Y2799" s="80" t="n">
        <x:f>2*V2799</x:f>
        <x:v>878526.2984275542</x:v>
      </x:c>
      <x:c r="Z2799" s="80" t="n">
        <x:f>K2799*'Inputs'!$B$16+(G2799+R2799)*J2799*'Inputs'!$B$16</x:f>
        <x:v>24464.1260586527</x:v>
      </x:c>
      <x:c r="AA2799" s="80" t="n">
        <x:f>K2799*(1+'Inputs'!$E$51)/2*'Inputs'!$B$17</x:f>
        <x:v>8572.194104786884</x:v>
      </x:c>
      <x:c r="AB2799" s="78" t="n">
        <x:f>(IF(J2799&gt;0,K2799*(1-'Inputs'!$E$51)/2/J2799,0)+G2799+R2799)*'Inputs'!$B$17</x:f>
        <x:v>8780.395121905258</x:v>
      </x:c>
      <x:c r="AC2799" s="78" t="n">
        <x:f>AC2798+AB2799</x:f>
        <x:v>2122619.9915336743</x:v>
      </x:c>
      <x:c r="AD2799" s="80" t="n">
        <x:f>Z2799/(1+'Inputs'!$C$51)</x:f>
        <x:v>8154.7086862175665</x:v>
      </x:c>
      <x:c r="AE2799" s="80" t="n">
        <x:f>Z2799-AD2799</x:f>
        <x:v>16309.417372435131</x:v>
      </x:c>
      <x:c r="AF2799" s="80" t="n">
        <x:f>D2799*W2799</x:f>
        <x:v>244441.35234024393</x:v>
      </x:c>
      <x:c r="AG2799" s="80" t="n">
        <x:f>C2799*W2799</x:f>
        <x:v>570363.1554605692</x:v>
      </x:c>
      <x:c r="AH2799" s="80" t="n">
        <x:f>2*'Inputs'!$B$8*'Inputs'!$C$51</x:f>
        <x:v>10000</x:v>
      </x:c>
      <x:c r="AI2799" s="81" t="n">
        <x:f>IF(AH2799&gt;0,(AE2799+AF2799)/AH2799*365,0)</x:f>
        <x:v>9517.403094512785</x:v>
      </x:c>
      <x:c r="AJ2799" s="81" t="n">
        <x:f>IF('Inputs'!$B$51&gt;0,AG2799/('Inputs'!$B$19*'Inputs'!$B$51)*365,0)</x:f>
        <x:v>20818.255174310776</x:v>
      </x:c>
      <x:c r="AK2799" s="81" t="n">
        <x:f>W2799/MAX($W$2559:W2799)-1</x:f>
        <x:v>-0.0869941118975226</x:v>
      </x:c>
      <x:c r="AL2799" s="83" t="n">
        <x:f>'Inputs'!$B$51</x:f>
        <x:v>1</x:v>
      </x:c>
      <x:c r="AM2799" s="83" t="n">
        <x:f>'Inputs'!$C$51</x:f>
        <x:v>2</x:v>
      </x:c>
      <x:c r="AN2799" s="83" t="n">
        <x:f>'Inputs'!$D$51</x:f>
        <x:v>3</x:v>
      </x:c>
      <x:c r="AO2799" s="81" t="n">
        <x:f>'Inputs'!$E$51</x:f>
        <x:v>0.1</x:v>
      </x:c>
    </x:row>
    <x:row r="2800">
      <x:c r="A2800" s="59" t="str">
        <x:v>High demand</x:v>
      </x:c>
      <x:c r="B2800" s="59" t="n">
        <x:v>242</x:v>
      </x:c>
      <x:c r="C2800" s="78" t="n">
        <x:f>(('Inputs'!$B$29*(3*242*'Inputs'!$B$12-242^2)/(2*'Inputs'!$B$12^2))-('Inputs'!$B$29*(3*241*'Inputs'!$B$12-241^2)/(2*'Inputs'!$B$12^2)))*'Inputs'!$B$51</x:f>
        <x:v>633472.743479073</x:v>
      </x:c>
      <x:c r="D2800" s="78" t="n">
        <x:f>IF('Inputs'!$C$51&gt;0,('Inputs'!$B$30*(3*242*'Inputs'!$B$12-242^2)/(2*'Inputs'!$B$12^2))-('Inputs'!$B$30*(3*241*'Inputs'!$B$12-241^2)/(2*'Inputs'!$B$12^2)),0)</x:f>
        <x:v>271488.3186338991</x:v>
      </x:c>
      <x:c r="E2800" s="78" t="n">
        <x:f>C2800+D2800</x:f>
        <x:v>904961.0621129721</x:v>
      </x:c>
      <x:c r="F2800" s="78" t="n">
        <x:f>'Inputs'!$B$13*E2800+(1-'Inputs'!$B$13)/'Inputs'!$B$14*SUM(E2745:E2800)</x:f>
        <x:v>915178.7389754186</x:v>
      </x:c>
      <x:c r="G2800" s="78" t="n">
        <x:f>F2800*'Inputs'!$F$51</x:f>
        <x:v>228794.68474385465</x:v>
      </x:c>
      <x:c r="H2800" s="78" t="n">
        <x:f>U2799</x:f>
        <x:v>488117.1539507336</x:v>
      </x:c>
      <x:c r="I2800" s="78" t="n">
        <x:f>V2799</x:f>
        <x:v>439263.1492137771</x:v>
      </x:c>
      <x:c r="J2800" s="79" t="n">
        <x:f>IF(H2800&gt;0,I2800/H2800,0)</x:f>
        <x:v>0.8999133623116072</x:v>
      </x:c>
      <x:c r="K2800" s="80" t="n">
        <x:f>(H2800*J2800+I2800)*'Inputs'!$D$51*(1+'Inputs'!$G$51)^(B2800/30)</x:f>
        <x:v>3906636.7727896464</x:v>
      </x:c>
      <x:c r="L2800" s="80" t="n">
        <x:f>MAX(0,K2800*'Inputs'!$E$51)</x:f>
        <x:v>390663.67727896466</x:v>
      </x:c>
      <x:c r="M2800" s="80" t="n">
        <x:f>MAX(0,-K2800*'Inputs'!$E$51)</x:f>
        <x:v>0</x:v>
      </x:c>
      <x:c r="N2800" s="78" t="n">
        <x:f>H2800*(L2800*(1-'Inputs'!$B$15))/(I2800+L2800*(1-'Inputs'!$B$15))</x:f>
        <x:v>228544.95353955726</x:v>
      </x:c>
      <x:c r="O2800" s="78" t="n">
        <x:f>H2800-N2800</x:f>
        <x:v>259572.20041117634</x:v>
      </x:c>
      <x:c r="P2800" s="78" t="n">
        <x:f>I2800+L2800*(1-'Inputs'!$B$17)</x:f>
        <x:v>828354.7392602309</x:v>
      </x:c>
      <x:c r="Q2800" s="78" t="n">
        <x:f>IF(J2800&gt;0,M2800/J2800,0)</x:f>
        <x:v>0</x:v>
      </x:c>
      <x:c r="R2800" s="78" t="n">
        <x:f>IF(B2800='Inputs'!$H$51,'Inputs'!$B$27*'Inputs'!$I$51,0)</x:f>
        <x:v>0</x:v>
      </x:c>
      <x:c r="S2800" s="78" t="n">
        <x:f>Q2800+G2800+R2800</x:f>
        <x:v>228794.68474385465</x:v>
      </x:c>
      <x:c r="T2800" s="78" t="n">
        <x:f>P2800*(S2800*(1-'Inputs'!$B$15))/(O2800+S2800*(1-'Inputs'!$B$15))</x:f>
        <x:v>386003.0028541159</x:v>
      </x:c>
      <x:c r="U2800" s="78" t="n">
        <x:f>O2800+S2800*(1-'Inputs'!$B$17)</x:f>
        <x:v>487446.1821983153</x:v>
      </x:c>
      <x:c r="V2800" s="78" t="n">
        <x:f>P2800-T2800</x:f>
        <x:v>442351.736406115</x:v>
      </x:c>
      <x:c r="W2800" s="79" t="n">
        <x:f>IF(U2800&gt;0,V2800/U2800,0)</x:f>
        <x:v>0.907488359866046</x:v>
      </x:c>
      <x:c r="X2800" s="80" t="n">
        <x:f>W2800*('Inputs'!$B$6-AC2800)</x:f>
        <x:v>905554137.4630307</x:v>
      </x:c>
      <x:c r="Y2800" s="80" t="n">
        <x:f>2*V2800</x:f>
        <x:v>884703.47281223</x:v>
      </x:c>
      <x:c r="Z2800" s="80" t="n">
        <x:f>K2800*'Inputs'!$B$16+(G2800+R2800)*J2800*'Inputs'!$B$16</x:f>
        <x:v>24675.19300089908</x:v>
      </x:c>
      <x:c r="AA2800" s="80" t="n">
        <x:f>K2800*(1+'Inputs'!$E$51)/2*'Inputs'!$B$17</x:f>
        <x:v>8646.479778810084</x:v>
      </x:c>
      <x:c r="AB2800" s="78" t="n">
        <x:f>(IF(J2800&gt;0,K2800*(1-'Inputs'!$E$51)/2/J2800,0)+G2800+R2800)*'Inputs'!$B$17</x:f>
        <x:v>8781.89586991701</x:v>
      </x:c>
      <x:c r="AC2800" s="78" t="n">
        <x:f>AC2799+AB2800</x:f>
        <x:v>2131401.8874035915</x:v>
      </x:c>
      <x:c r="AD2800" s="80" t="n">
        <x:f>Z2800/(1+'Inputs'!$C$51)</x:f>
        <x:v>8225.064333633027</x:v>
      </x:c>
      <x:c r="AE2800" s="80" t="n">
        <x:f>Z2800-AD2800</x:f>
        <x:v>16450.12866726605</x:v>
      </x:c>
      <x:c r="AF2800" s="80" t="n">
        <x:f>D2800*W2800</x:f>
        <x:v>246372.48899986758</x:v>
      </x:c>
      <x:c r="AG2800" s="80" t="n">
        <x:f>C2800*W2800</x:f>
        <x:v>574869.1409996685</x:v>
      </x:c>
      <x:c r="AH2800" s="80" t="n">
        <x:f>2*'Inputs'!$B$8*'Inputs'!$C$51</x:f>
        <x:v>10000</x:v>
      </x:c>
      <x:c r="AI2800" s="81" t="n">
        <x:f>IF(AH2800&gt;0,(AE2800+AF2800)/AH2800*365,0)</x:f>
        <x:v>9593.025544850378</x:v>
      </x:c>
      <x:c r="AJ2800" s="81" t="n">
        <x:f>IF('Inputs'!$B$51&gt;0,AG2800/('Inputs'!$B$19*'Inputs'!$B$51)*365,0)</x:f>
        <x:v>20982.723646487902</x:v>
      </x:c>
      <x:c r="AK2800" s="81" t="n">
        <x:f>W2800/MAX($W$2559:W2800)-1</x:f>
        <x:v>-0.07930890834437243</x:v>
      </x:c>
      <x:c r="AL2800" s="83" t="n">
        <x:f>'Inputs'!$B$51</x:f>
        <x:v>1</x:v>
      </x:c>
      <x:c r="AM2800" s="83" t="n">
        <x:f>'Inputs'!$C$51</x:f>
        <x:v>2</x:v>
      </x:c>
      <x:c r="AN2800" s="83" t="n">
        <x:f>'Inputs'!$D$51</x:f>
        <x:v>3</x:v>
      </x:c>
      <x:c r="AO2800" s="81" t="n">
        <x:f>'Inputs'!$E$51</x:f>
        <x:v>0.1</x:v>
      </x:c>
    </x:row>
    <x:row r="2801">
      <x:c r="A2801" s="59" t="str">
        <x:v>High demand</x:v>
      </x:c>
      <x:c r="B2801" s="59" t="n">
        <x:v>243</x:v>
      </x:c>
      <x:c r="C2801" s="78" t="n">
        <x:f>(('Inputs'!$B$29*(3*243*'Inputs'!$B$12-243^2)/(2*'Inputs'!$B$12^2))-('Inputs'!$B$29*(3*242*'Inputs'!$B$12-242^2)/(2*'Inputs'!$B$12^2)))*'Inputs'!$B$51</x:f>
        <x:v>633147.6355789304</x:v>
      </x:c>
      <x:c r="D2801" s="78" t="n">
        <x:f>IF('Inputs'!$C$51&gt;0,('Inputs'!$B$30*(3*243*'Inputs'!$B$12-243^2)/(2*'Inputs'!$B$12^2))-('Inputs'!$B$30*(3*242*'Inputs'!$B$12-242^2)/(2*'Inputs'!$B$12^2)),0)</x:f>
        <x:v>271348.98667666316</x:v>
      </x:c>
      <x:c r="E2801" s="78" t="n">
        <x:f>C2801+D2801</x:f>
        <x:v>904496.6222555935</x:v>
      </x:c>
      <x:c r="F2801" s="78" t="n">
        <x:f>'Inputs'!$B$13*E2801+(1-'Inputs'!$B$13)/'Inputs'!$B$14*SUM(E2746:E2801)</x:f>
        <x:v>914714.2991180358</x:v>
      </x:c>
      <x:c r="G2801" s="78" t="n">
        <x:f>F2801*'Inputs'!$F$51</x:f>
        <x:v>228678.57477950896</x:v>
      </x:c>
      <x:c r="H2801" s="78" t="n">
        <x:f>U2800</x:f>
        <x:v>487446.1821983153</x:v>
      </x:c>
      <x:c r="I2801" s="78" t="n">
        <x:f>V2800</x:f>
        <x:v>442351.736406115</x:v>
      </x:c>
      <x:c r="J2801" s="79" t="n">
        <x:f>IF(H2801&gt;0,I2801/H2801,0)</x:f>
        <x:v>0.907488359866046</x:v>
      </x:c>
      <x:c r="K2801" s="80" t="n">
        <x:f>(H2801*J2801+I2801)*'Inputs'!$D$51*(1+'Inputs'!$G$51)^(B2801/30)</x:f>
        <x:v>3940508.8682656274</x:v>
      </x:c>
      <x:c r="L2801" s="80" t="n">
        <x:f>MAX(0,K2801*'Inputs'!$E$51)</x:f>
        <x:v>394050.88682656275</x:v>
      </x:c>
      <x:c r="M2801" s="80" t="n">
        <x:f>MAX(0,-K2801*'Inputs'!$E$51)</x:f>
        <x:v>0</x:v>
      </x:c>
      <x:c r="N2801" s="78" t="n">
        <x:f>H2801*(L2801*(1-'Inputs'!$B$15))/(I2801+L2801*(1-'Inputs'!$B$15))</x:f>
        <x:v>228428.19041308557</x:v>
      </x:c>
      <x:c r="O2801" s="78" t="n">
        <x:f>H2801-N2801</x:f>
        <x:v>259017.9917852297</x:v>
      </x:c>
      <x:c r="P2801" s="78" t="n">
        <x:f>I2801+L2801*(1-'Inputs'!$B$17)</x:f>
        <x:v>834816.9053782448</x:v>
      </x:c>
      <x:c r="Q2801" s="78" t="n">
        <x:f>IF(J2801&gt;0,M2801/J2801,0)</x:f>
        <x:v>0</x:v>
      </x:c>
      <x:c r="R2801" s="78" t="n">
        <x:f>IF(B2801='Inputs'!$H$51,'Inputs'!$B$27*'Inputs'!$I$51,0)</x:f>
        <x:v>0</x:v>
      </x:c>
      <x:c r="S2801" s="78" t="n">
        <x:f>Q2801+G2801+R2801</x:f>
        <x:v>228678.57477950896</x:v>
      </x:c>
      <x:c r="T2801" s="78" t="n">
        <x:f>P2801*(S2801*(1-'Inputs'!$B$15))/(O2801+S2801*(1-'Inputs'!$B$15))</x:f>
        <x:v>389352.8729569901</x:v>
      </x:c>
      <x:c r="U2801" s="78" t="n">
        <x:f>O2801+S2801*(1-'Inputs'!$B$17)</x:f>
        <x:v>486776.3308513402</x:v>
      </x:c>
      <x:c r="V2801" s="78" t="n">
        <x:f>P2801-T2801</x:f>
        <x:v>445464.0324212547</x:v>
      </x:c>
      <x:c r="W2801" s="79" t="n">
        <x:f>IF(U2801&gt;0,V2801/U2801,0)</x:f>
        <x:v>0.9151308397476251</x:v>
      </x:c>
      <x:c r="X2801" s="80" t="n">
        <x:f>W2801*('Inputs'!$B$6-AC2801)</x:f>
        <x:v>913172290.1880624</x:v>
      </x:c>
      <x:c r="Y2801" s="80" t="n">
        <x:f>2*V2801</x:f>
        <x:v>890928.0648425095</x:v>
      </x:c>
      <x:c r="Z2801" s="80" t="n">
        <x:f>K2801*'Inputs'!$B$16+(G2801+R2801)*J2801*'Inputs'!$B$16</x:f>
        <x:v>24888.19207817273</x:v>
      </x:c>
      <x:c r="AA2801" s="80" t="n">
        <x:f>K2801*(1+'Inputs'!$E$51)/2*'Inputs'!$B$17</x:f>
        <x:v>8721.448199380666</x:v>
      </x:c>
      <x:c r="AB2801" s="78" t="n">
        <x:f>(IF(J2801&gt;0,K2801*(1-'Inputs'!$E$51)/2/J2801,0)+G2801+R2801)*'Inputs'!$B$17</x:f>
        <x:v>8783.400312006743</x:v>
      </x:c>
      <x:c r="AC2801" s="78" t="n">
        <x:f>AC2800+AB2801</x:f>
        <x:v>2140185.2877155985</x:v>
      </x:c>
      <x:c r="AD2801" s="80" t="n">
        <x:f>Z2801/(1+'Inputs'!$C$51)</x:f>
        <x:v>8296.064026057576</x:v>
      </x:c>
      <x:c r="AE2801" s="80" t="n">
        <x:f>Z2801-AD2801</x:f>
        <x:v>16592.128052115157</x:v>
      </x:c>
      <x:c r="AF2801" s="80" t="n">
        <x:f>D2801*W2801</x:f>
        <x:v>248319.8260420819</x:v>
      </x:c>
      <x:c r="AG2801" s="80" t="n">
        <x:f>C2801*W2801</x:f>
        <x:v>579412.9274315699</x:v>
      </x:c>
      <x:c r="AH2801" s="80" t="n">
        <x:f>2*'Inputs'!$B$8*'Inputs'!$C$51</x:f>
        <x:v>10000</x:v>
      </x:c>
      <x:c r="AI2801" s="81" t="n">
        <x:f>IF(AH2801&gt;0,(AE2801+AF2801)/AH2801*365,0)</x:f>
        <x:v>9669.286324438193</x:v>
      </x:c>
      <x:c r="AJ2801" s="81" t="n">
        <x:f>IF('Inputs'!$B$51&gt;0,AG2801/('Inputs'!$B$19*'Inputs'!$B$51)*365,0)</x:f>
        <x:v>21148.5718512523</x:v>
      </x:c>
      <x:c r="AK2801" s="81" t="n">
        <x:f>W2801/MAX($W$2559:W2801)-1</x:f>
        <x:v>-0.0715552406872293</x:v>
      </x:c>
      <x:c r="AL2801" s="83" t="n">
        <x:f>'Inputs'!$B$51</x:f>
        <x:v>1</x:v>
      </x:c>
      <x:c r="AM2801" s="83" t="n">
        <x:f>'Inputs'!$C$51</x:f>
        <x:v>2</x:v>
      </x:c>
      <x:c r="AN2801" s="83" t="n">
        <x:f>'Inputs'!$D$51</x:f>
        <x:v>3</x:v>
      </x:c>
      <x:c r="AO2801" s="81" t="n">
        <x:f>'Inputs'!$E$51</x:f>
        <x:v>0.1</x:v>
      </x:c>
    </x:row>
    <x:row r="2802">
      <x:c r="A2802" s="59" t="str">
        <x:v>High demand</x:v>
      </x:c>
      <x:c r="B2802" s="59" t="n">
        <x:v>244</x:v>
      </x:c>
      <x:c r="C2802" s="78" t="n">
        <x:f>(('Inputs'!$B$29*(3*244*'Inputs'!$B$12-244^2)/(2*'Inputs'!$B$12^2))-('Inputs'!$B$29*(3*243*'Inputs'!$B$12-243^2)/(2*'Inputs'!$B$12^2)))*'Inputs'!$B$51</x:f>
        <x:v>632822.5276787281</x:v>
      </x:c>
      <x:c r="D2802" s="78" t="n">
        <x:f>IF('Inputs'!$C$51&gt;0,('Inputs'!$B$30*(3*244*'Inputs'!$B$12-244^2)/(2*'Inputs'!$B$12^2))-('Inputs'!$B$30*(3*243*'Inputs'!$B$12-243^2)/(2*'Inputs'!$B$12^2)),0)</x:f>
        <x:v>271209.65471947193</x:v>
      </x:c>
      <x:c r="E2802" s="78" t="n">
        <x:f>C2802+D2802</x:f>
        <x:v>904032.1823982</x:v>
      </x:c>
      <x:c r="F2802" s="78" t="n">
        <x:f>'Inputs'!$B$13*E2802+(1-'Inputs'!$B$13)/'Inputs'!$B$14*SUM(E2747:E2802)</x:f>
        <x:v>914249.8592606497</x:v>
      </x:c>
      <x:c r="G2802" s="78" t="n">
        <x:f>F2802*'Inputs'!$F$51</x:f>
        <x:v>228562.4648151624</x:v>
      </x:c>
      <x:c r="H2802" s="78" t="n">
        <x:f>U2801</x:f>
        <x:v>486776.3308513402</x:v>
      </x:c>
      <x:c r="I2802" s="78" t="n">
        <x:f>V2801</x:f>
        <x:v>445464.0324212547</x:v>
      </x:c>
      <x:c r="J2802" s="79" t="n">
        <x:f>IF(H2802&gt;0,I2802/H2802,0)</x:f>
        <x:v>0.9151308397476251</x:v>
      </x:c>
      <x:c r="K2802" s="80" t="n">
        <x:f>(H2802*J2802+I2802)*'Inputs'!$D$51*(1+'Inputs'!$G$51)^(B2802/30)</x:f>
        <x:v>3974692.422677631</x:v>
      </x:c>
      <x:c r="L2802" s="80" t="n">
        <x:f>MAX(0,K2802*'Inputs'!$E$51)</x:f>
        <x:v>397469.2422677631</x:v>
      </x:c>
      <x:c r="M2802" s="80" t="n">
        <x:f>MAX(0,-K2802*'Inputs'!$E$51)</x:f>
        <x:v>0</x:v>
      </x:c>
      <x:c r="N2802" s="78" t="n">
        <x:f>H2802*(L2802*(1-'Inputs'!$B$15))/(I2802+L2802*(1-'Inputs'!$B$15))</x:f>
        <x:v>228311.42947028342</x:v>
      </x:c>
      <x:c r="O2802" s="78" t="n">
        <x:f>H2802-N2802</x:f>
        <x:v>258464.90138105678</x:v>
      </x:c>
      <x:c r="P2802" s="78" t="n">
        <x:f>I2802+L2802*(1-'Inputs'!$B$17)</x:f>
        <x:v>841333.8008770752</x:v>
      </x:c>
      <x:c r="Q2802" s="78" t="n">
        <x:f>IF(J2802&gt;0,M2802/J2802,0)</x:f>
        <x:v>0</x:v>
      </x:c>
      <x:c r="R2802" s="78" t="n">
        <x:f>IF(B2802='Inputs'!$H$51,'Inputs'!$B$27*'Inputs'!$I$51,0)</x:f>
        <x:v>0</x:v>
      </x:c>
      <x:c r="S2802" s="78" t="n">
        <x:f>Q2802+G2802+R2802</x:f>
        <x:v>228562.4648151624</x:v>
      </x:c>
      <x:c r="T2802" s="78" t="n">
        <x:f>P2802*(S2802*(1-'Inputs'!$B$15))/(O2802+S2802*(1-'Inputs'!$B$15))</x:f>
        <x:v>392733.5685600079</x:v>
      </x:c>
      <x:c r="U2802" s="78" t="n">
        <x:f>O2802+S2802*(1-'Inputs'!$B$17)</x:f>
        <x:v>486107.5977261381</x:v>
      </x:c>
      <x:c r="V2802" s="78" t="n">
        <x:f>P2802-T2802</x:f>
        <x:v>448600.2323170673</x:v>
      </x:c>
      <x:c r="W2802" s="79" t="n">
        <x:f>IF(U2802&gt;0,V2802/U2802,0)</x:f>
        <x:v>0.9228414334922582</x:v>
      </x:c>
      <x:c r="X2802" s="80" t="n">
        <x:f>W2802*('Inputs'!$B$6-AC2802)</x:f>
        <x:v>920858274.7558974</x:v>
      </x:c>
      <x:c r="Y2802" s="80" t="n">
        <x:f>2*V2802</x:f>
        <x:v>897200.4646341346</x:v>
      </x:c>
      <x:c r="Z2802" s="80" t="n">
        <x:f>K2802*'Inputs'!$B$16+(G2802+R2802)*J2802*'Inputs'!$B$16</x:f>
        <x:v>25103.14189823231</x:v>
      </x:c>
      <x:c r="AA2802" s="80" t="n">
        <x:f>K2802*(1+'Inputs'!$E$51)/2*'Inputs'!$B$17</x:f>
        <x:v>8797.1059656849</x:v>
      </x:c>
      <x:c r="AB2802" s="78" t="n">
        <x:f>(IF(J2802&gt;0,K2802*(1-'Inputs'!$E$51)/2/J2802,0)+G2802+R2802)*'Inputs'!$B$17</x:f>
        <x:v>8784.90844911097</x:v>
      </x:c>
      <x:c r="AC2802" s="78" t="n">
        <x:f>AC2801+AB2802</x:f>
        <x:v>2148970.1961647095</x:v>
      </x:c>
      <x:c r="AD2802" s="80" t="n">
        <x:f>Z2802/(1+'Inputs'!$C$51)</x:f>
        <x:v>8367.713966077436</x:v>
      </x:c>
      <x:c r="AE2802" s="80" t="n">
        <x:f>Z2802-AD2802</x:f>
        <x:v>16735.427932154875</x:v>
      </x:c>
      <x:c r="AF2802" s="80" t="n">
        <x:f>D2802*W2802</x:f>
        <x:v>250283.50653825788</x:v>
      </x:c>
      <x:c r="AG2802" s="80" t="n">
        <x:f>C2802*W2802</x:f>
        <x:v>583994.8485892317</x:v>
      </x:c>
      <x:c r="AH2802" s="80" t="n">
        <x:f>2*'Inputs'!$B$8*'Inputs'!$C$51</x:f>
        <x:v>10000</x:v>
      </x:c>
      <x:c r="AI2802" s="81" t="n">
        <x:f>IF(AH2802&gt;0,(AE2802+AF2802)/AH2802*365,0)</x:f>
        <x:v>9746.191108170064</x:v>
      </x:c>
      <x:c r="AJ2802" s="81" t="n">
        <x:f>IF('Inputs'!$B$51&gt;0,AG2802/('Inputs'!$B$19*'Inputs'!$B$51)*365,0)</x:f>
        <x:v>21315.81197350696</x:v>
      </x:c>
      <x:c r="AK2802" s="81" t="n">
        <x:f>W2802/MAX($W$2559:W2802)-1</x:f>
        <x:v>-0.06373246820218359</x:v>
      </x:c>
      <x:c r="AL2802" s="83" t="n">
        <x:f>'Inputs'!$B$51</x:f>
        <x:v>1</x:v>
      </x:c>
      <x:c r="AM2802" s="83" t="n">
        <x:f>'Inputs'!$C$51</x:f>
        <x:v>2</x:v>
      </x:c>
      <x:c r="AN2802" s="83" t="n">
        <x:f>'Inputs'!$D$51</x:f>
        <x:v>3</x:v>
      </x:c>
      <x:c r="AO2802" s="81" t="n">
        <x:f>'Inputs'!$E$51</x:f>
        <x:v>0.1</x:v>
      </x:c>
    </x:row>
    <x:row r="2803">
      <x:c r="A2803" s="59" t="str">
        <x:v>High demand</x:v>
      </x:c>
      <x:c r="B2803" s="59" t="n">
        <x:v>245</x:v>
      </x:c>
      <x:c r="C2803" s="78" t="n">
        <x:f>(('Inputs'!$B$29*(3*245*'Inputs'!$B$12-245^2)/(2*'Inputs'!$B$12^2))-('Inputs'!$B$29*(3*244*'Inputs'!$B$12-244^2)/(2*'Inputs'!$B$12^2)))*'Inputs'!$B$51</x:f>
        <x:v>632497.4197785854</x:v>
      </x:c>
      <x:c r="D2803" s="78" t="n">
        <x:f>IF('Inputs'!$C$51&gt;0,('Inputs'!$B$30*(3*245*'Inputs'!$B$12-245^2)/(2*'Inputs'!$B$12^2))-('Inputs'!$B$30*(3*244*'Inputs'!$B$12-244^2)/(2*'Inputs'!$B$12^2)),0)</x:f>
        <x:v>271070.322762236</x:v>
      </x:c>
      <x:c r="E2803" s="78" t="n">
        <x:f>C2803+D2803</x:f>
        <x:v>903567.7425408214</x:v>
      </x:c>
      <x:c r="F2803" s="78" t="n">
        <x:f>'Inputs'!$B$13*E2803+(1-'Inputs'!$B$13)/'Inputs'!$B$14*SUM(E2748:E2803)</x:f>
        <x:v>913785.4194032669</x:v>
      </x:c>
      <x:c r="G2803" s="78" t="n">
        <x:f>F2803*'Inputs'!$F$51</x:f>
        <x:v>228446.35485081672</x:v>
      </x:c>
      <x:c r="H2803" s="78" t="n">
        <x:f>U2802</x:f>
        <x:v>486107.5977261381</x:v>
      </x:c>
      <x:c r="I2803" s="78" t="n">
        <x:f>V2802</x:f>
        <x:v>448600.2323170673</x:v>
      </x:c>
      <x:c r="J2803" s="79" t="n">
        <x:f>IF(H2803&gt;0,I2803/H2803,0)</x:f>
        <x:v>0.9228414334922582</x:v>
      </x:c>
      <x:c r="K2803" s="80" t="n">
        <x:f>(H2803*J2803+I2803)*'Inputs'!$D$51*(1+'Inputs'!$G$51)^(B2803/30)</x:f>
        <x:v>4009190.4477648977</x:v>
      </x:c>
      <x:c r="L2803" s="80" t="n">
        <x:f>MAX(0,K2803*'Inputs'!$E$51)</x:f>
        <x:v>400919.0447764898</x:v>
      </x:c>
      <x:c r="M2803" s="80" t="n">
        <x:f>MAX(0,-K2803*'Inputs'!$E$51)</x:f>
        <x:v>0</x:v>
      </x:c>
      <x:c r="N2803" s="78" t="n">
        <x:f>H2803*(L2803*(1-'Inputs'!$B$15))/(I2803+L2803*(1-'Inputs'!$B$15))</x:f>
        <x:v>228194.6707069814</x:v>
      </x:c>
      <x:c r="O2803" s="78" t="n">
        <x:f>H2803-N2803</x:f>
        <x:v>257912.9270191567</x:v>
      </x:c>
      <x:c r="P2803" s="78" t="n">
        <x:f>I2803+L2803*(1-'Inputs'!$B$17)</x:f>
        <x:v>847905.920776549</x:v>
      </x:c>
      <x:c r="Q2803" s="78" t="n">
        <x:f>IF(J2803&gt;0,M2803/J2803,0)</x:f>
        <x:v>0</x:v>
      </x:c>
      <x:c r="R2803" s="78" t="n">
        <x:f>IF(B2803='Inputs'!$H$51,'Inputs'!$B$27*'Inputs'!$I$51,0)</x:f>
        <x:v>0</x:v>
      </x:c>
      <x:c r="S2803" s="78" t="n">
        <x:f>Q2803+G2803+R2803</x:f>
        <x:v>228446.35485081672</x:v>
      </x:c>
      <x:c r="T2803" s="78" t="n">
        <x:f>P2803*(S2803*(1-'Inputs'!$B$15))/(O2803+S2803*(1-'Inputs'!$B$15))</x:f>
        <x:v>396145.38792617543</x:v>
      </x:c>
      <x:c r="U2803" s="78" t="n">
        <x:f>O2803+S2803*(1-'Inputs'!$B$17)</x:f>
        <x:v>485439.98064320954</x:v>
      </x:c>
      <x:c r="V2803" s="78" t="n">
        <x:f>P2803-T2803</x:f>
        <x:v>451760.5328503736</x:v>
      </x:c>
      <x:c r="W2803" s="79" t="n">
        <x:f>IF(U2803&gt;0,V2803/U2803,0)</x:f>
        <x:v>0.930620778807278</x:v>
      </x:c>
      <x:c r="X2803" s="80" t="n">
        <x:f>W2803*('Inputs'!$B$6-AC2803)</x:f>
        <x:v>928612725.6644037</x:v>
      </x:c>
      <x:c r="Y2803" s="80" t="n">
        <x:f>2*V2803</x:f>
        <x:v>903521.0657007472</x:v>
      </x:c>
      <x:c r="Z2803" s="80" t="n">
        <x:f>K2803*'Inputs'!$B$16+(G2803+R2803)*J2803*'Inputs'!$B$16</x:f>
        <x:v>25320.061256109042</x:v>
      </x:c>
      <x:c r="AA2803" s="80" t="n">
        <x:f>K2803*(1+'Inputs'!$E$51)/2*'Inputs'!$B$17</x:f>
        <x:v>8873.459743544041</x:v>
      </x:c>
      <x:c r="AB2803" s="78" t="n">
        <x:f>(IF(J2803&gt;0,K2803*(1-'Inputs'!$E$51)/2/J2803,0)+G2803+R2803)*'Inputs'!$B$17</x:f>
        <x:v>8786.420282159988</x:v>
      </x:c>
      <x:c r="AC2803" s="78" t="n">
        <x:f>AC2802+AB2803</x:f>
        <x:v>2157756.6164468694</x:v>
      </x:c>
      <x:c r="AD2803" s="80" t="n">
        <x:f>Z2803/(1+'Inputs'!$C$51)</x:f>
        <x:v>8440.020418703014</x:v>
      </x:c>
      <x:c r="AE2803" s="80" t="n">
        <x:f>Z2803-AD2803</x:f>
        <x:v>16880.040837406028</x:v>
      </x:c>
      <x:c r="AF2803" s="80" t="n">
        <x:f>D2803*W2803</x:f>
        <x:v>252263.6748805323</x:v>
      </x:c>
      <x:c r="AG2803" s="80" t="n">
        <x:f>C2803*W2803</x:f>
        <x:v>588615.2413879411</x:v>
      </x:c>
      <x:c r="AH2803" s="80" t="n">
        <x:f>2*'Inputs'!$B$8*'Inputs'!$C$51</x:f>
        <x:v>10000</x:v>
      </x:c>
      <x:c r="AI2803" s="81" t="n">
        <x:f>IF(AH2803&gt;0,(AE2803+AF2803)/AH2803*365,0)</x:f>
        <x:v>9823.745623704748</x:v>
      </x:c>
      <x:c r="AJ2803" s="81" t="n">
        <x:f>IF('Inputs'!$B$51&gt;0,AG2803/('Inputs'!$B$19*'Inputs'!$B$51)*365,0)</x:f>
        <x:v>21484.456310659847</x:v>
      </x:c>
      <x:c r="AK2803" s="81" t="n">
        <x:f>W2803/MAX($W$2559:W2803)-1</x:f>
        <x:v>-0.05583994390412117</x:v>
      </x:c>
      <x:c r="AL2803" s="83" t="n">
        <x:f>'Inputs'!$B$51</x:f>
        <x:v>1</x:v>
      </x:c>
      <x:c r="AM2803" s="83" t="n">
        <x:f>'Inputs'!$C$51</x:f>
        <x:v>2</x:v>
      </x:c>
      <x:c r="AN2803" s="83" t="n">
        <x:f>'Inputs'!$D$51</x:f>
        <x:v>3</x:v>
      </x:c>
      <x:c r="AO2803" s="81" t="n">
        <x:f>'Inputs'!$E$51</x:f>
        <x:v>0.1</x:v>
      </x:c>
    </x:row>
    <x:row r="2804">
      <x:c r="A2804" s="59" t="str">
        <x:v>High demand</x:v>
      </x:c>
      <x:c r="B2804" s="59" t="n">
        <x:v>246</x:v>
      </x:c>
      <x:c r="C2804" s="78" t="n">
        <x:f>(('Inputs'!$B$29*(3*246*'Inputs'!$B$12-246^2)/(2*'Inputs'!$B$12^2))-('Inputs'!$B$29*(3*245*'Inputs'!$B$12-245^2)/(2*'Inputs'!$B$12^2)))*'Inputs'!$B$51</x:f>
        <x:v>632172.3118783832</x:v>
      </x:c>
      <x:c r="D2804" s="78" t="n">
        <x:f>IF('Inputs'!$C$51&gt;0,('Inputs'!$B$30*(3*246*'Inputs'!$B$12-246^2)/(2*'Inputs'!$B$12^2))-('Inputs'!$B$30*(3*245*'Inputs'!$B$12-245^2)/(2*'Inputs'!$B$12^2)),0)</x:f>
        <x:v>270930.99080502987</x:v>
      </x:c>
      <x:c r="E2804" s="78" t="n">
        <x:f>C2804+D2804</x:f>
        <x:v>903103.302683413</x:v>
      </x:c>
      <x:c r="F2804" s="78" t="n">
        <x:f>'Inputs'!$B$13*E2804+(1-'Inputs'!$B$13)/'Inputs'!$B$14*SUM(E2749:E2804)</x:f>
        <x:v>913320.9795458775</x:v>
      </x:c>
      <x:c r="G2804" s="78" t="n">
        <x:f>F2804*'Inputs'!$F$51</x:f>
        <x:v>228330.2448864694</x:v>
      </x:c>
      <x:c r="H2804" s="78" t="n">
        <x:f>U2803</x:f>
        <x:v>485439.98064320954</x:v>
      </x:c>
      <x:c r="I2804" s="78" t="n">
        <x:f>V2803</x:f>
        <x:v>451760.5328503736</x:v>
      </x:c>
      <x:c r="J2804" s="79" t="n">
        <x:f>IF(H2804&gt;0,I2804/H2804,0)</x:f>
        <x:v>0.930620778807278</x:v>
      </x:c>
      <x:c r="K2804" s="80" t="n">
        <x:f>(H2804*J2804+I2804)*'Inputs'!$D$51*(1+'Inputs'!$G$51)^(B2804/30)</x:f>
        <x:v>4044005.9856894244</x:v>
      </x:c>
      <x:c r="L2804" s="80" t="n">
        <x:f>MAX(0,K2804*'Inputs'!$E$51)</x:f>
        <x:v>404400.59856894246</x:v>
      </x:c>
      <x:c r="M2804" s="80" t="n">
        <x:f>MAX(0,-K2804*'Inputs'!$E$51)</x:f>
        <x:v>0</x:v>
      </x:c>
      <x:c r="N2804" s="78" t="n">
        <x:f>H2804*(L2804*(1-'Inputs'!$B$15))/(I2804+L2804*(1-'Inputs'!$B$15))</x:f>
        <x:v>228077.91411901862</x:v>
      </x:c>
      <x:c r="O2804" s="78" t="n">
        <x:f>H2804-N2804</x:f>
        <x:v>257362.06652419092</x:v>
      </x:c>
      <x:c r="P2804" s="78" t="n">
        <x:f>I2804+L2804*(1-'Inputs'!$B$17)</x:f>
        <x:v>854533.7648254773</x:v>
      </x:c>
      <x:c r="Q2804" s="78" t="n">
        <x:f>IF(J2804&gt;0,M2804/J2804,0)</x:f>
        <x:v>0</x:v>
      </x:c>
      <x:c r="R2804" s="78" t="n">
        <x:f>IF(B2804='Inputs'!$H$51,'Inputs'!$B$27*'Inputs'!$I$51,0)</x:f>
        <x:v>0</x:v>
      </x:c>
      <x:c r="S2804" s="78" t="n">
        <x:f>Q2804+G2804+R2804</x:f>
        <x:v>228330.2448864694</x:v>
      </x:c>
      <x:c r="T2804" s="78" t="n">
        <x:f>P2804*(S2804*(1-'Inputs'!$B$15))/(O2804+S2804*(1-'Inputs'!$B$15))</x:f>
        <x:v>399588.6323329988</x:v>
      </x:c>
      <x:c r="U2804" s="78" t="n">
        <x:f>O2804+S2804*(1-'Inputs'!$B$17)</x:f>
        <x:v>484773.47742721374</x:v>
      </x:c>
      <x:c r="V2804" s="78" t="n">
        <x:f>P2804-T2804</x:f>
        <x:v>454945.1324924785</x:v>
      </x:c>
      <x:c r="W2804" s="79" t="n">
        <x:f>IF(U2804&gt;0,V2804/U2804,0)</x:f>
        <x:v>0.9384695196341185</x:v>
      </x:c>
      <x:c r="X2804" s="80" t="n">
        <x:f>W2804*('Inputs'!$B$6-AC2804)</x:f>
        <x:v>936436283.6088941</x:v>
      </x:c>
      <x:c r="Y2804" s="80" t="n">
        <x:f>2*V2804</x:f>
        <x:v>909890.264984957</x:v>
      </x:c>
      <x:c r="Z2804" s="80" t="n">
        <x:f>K2804*'Inputs'!$B$16+(G2804+R2804)*J2804*'Inputs'!$B$16</x:f>
        <x:v>25538.969136065563</x:v>
      </x:c>
      <x:c r="AA2804" s="80" t="n">
        <x:f>K2804*(1+'Inputs'!$E$51)/2*'Inputs'!$B$17</x:f>
        <x:v>8950.516266113416</x:v>
      </x:c>
      <x:c r="AB2804" s="78" t="n">
        <x:f>(IF(J2804&gt;0,K2804*(1-'Inputs'!$E$51)/2/J2804,0)+G2804+R2804)*'Inputs'!$B$17</x:f>
        <x:v>8787.935812077832</x:v>
      </x:c>
      <x:c r="AC2804" s="78" t="n">
        <x:f>AC2803+AB2804</x:f>
        <x:v>2166544.5522589474</x:v>
      </x:c>
      <x:c r="AD2804" s="80" t="n">
        <x:f>Z2804/(1+'Inputs'!$C$51)</x:f>
        <x:v>8512.989712021854</x:v>
      </x:c>
      <x:c r="AE2804" s="80" t="n">
        <x:f>Z2804-AD2804</x:f>
        <x:v>17025.97942404371</x:v>
      </x:c>
      <x:c r="AF2804" s="80" t="n">
        <x:f>D2804*W2804</x:f>
        <x:v>254260.47679479216</x:v>
      </x:c>
      <x:c r="AG2804" s="80" t="n">
        <x:f>C2804*W2804</x:f>
        <x:v>593274.4458544964</x:v>
      </x:c>
      <x:c r="AH2804" s="80" t="n">
        <x:f>2*'Inputs'!$B$8*'Inputs'!$C$51</x:f>
        <x:v>10000</x:v>
      </x:c>
      <x:c r="AI2804" s="81" t="n">
        <x:f>IF(AH2804&gt;0,(AE2804+AF2804)/AH2804*365,0)</x:f>
        <x:v>9901.95565198751</x:v>
      </x:c>
      <x:c r="AJ2804" s="81" t="n">
        <x:f>IF('Inputs'!$B$51&gt;0,AG2804/('Inputs'!$B$19*'Inputs'!$B$51)*365,0)</x:f>
        <x:v>21654.51727368912</x:v>
      </x:c>
      <x:c r="AK2804" s="81" t="n">
        <x:f>W2804/MAX($W$2559:W2804)-1</x:f>
        <x:v>-0.04787701448312831</x:v>
      </x:c>
      <x:c r="AL2804" s="83" t="n">
        <x:f>'Inputs'!$B$51</x:f>
        <x:v>1</x:v>
      </x:c>
      <x:c r="AM2804" s="83" t="n">
        <x:f>'Inputs'!$C$51</x:f>
        <x:v>2</x:v>
      </x:c>
      <x:c r="AN2804" s="83" t="n">
        <x:f>'Inputs'!$D$51</x:f>
        <x:v>3</x:v>
      </x:c>
      <x:c r="AO2804" s="81" t="n">
        <x:f>'Inputs'!$E$51</x:f>
        <x:v>0.1</x:v>
      </x:c>
    </x:row>
    <x:row r="2805">
      <x:c r="A2805" s="59" t="str">
        <x:v>High demand</x:v>
      </x:c>
      <x:c r="B2805" s="59" t="n">
        <x:v>247</x:v>
      </x:c>
      <x:c r="C2805" s="78" t="n">
        <x:f>(('Inputs'!$B$29*(3*247*'Inputs'!$B$12-247^2)/(2*'Inputs'!$B$12^2))-('Inputs'!$B$29*(3*246*'Inputs'!$B$12-246^2)/(2*'Inputs'!$B$12^2)))*'Inputs'!$B$51</x:f>
        <x:v>631847.2039782405</x:v>
      </x:c>
      <x:c r="D2805" s="78" t="n">
        <x:f>IF('Inputs'!$C$51&gt;0,('Inputs'!$B$30*(3*247*'Inputs'!$B$12-247^2)/(2*'Inputs'!$B$12^2))-('Inputs'!$B$30*(3*246*'Inputs'!$B$12-246^2)/(2*'Inputs'!$B$12^2)),0)</x:f>
        <x:v>270791.65884780884</x:v>
      </x:c>
      <x:c r="E2805" s="78" t="n">
        <x:f>C2805+D2805</x:f>
        <x:v>902638.8628260493</x:v>
      </x:c>
      <x:c r="F2805" s="78" t="n">
        <x:f>'Inputs'!$B$13*E2805+(1-'Inputs'!$B$13)/'Inputs'!$B$14*SUM(E2750:E2805)</x:f>
        <x:v>912856.5396884975</x:v>
      </x:c>
      <x:c r="G2805" s="78" t="n">
        <x:f>F2805*'Inputs'!$F$51</x:f>
        <x:v>228214.1349221244</x:v>
      </x:c>
      <x:c r="H2805" s="78" t="n">
        <x:f>U2804</x:f>
        <x:v>484773.47742721374</x:v>
      </x:c>
      <x:c r="I2805" s="78" t="n">
        <x:f>V2804</x:f>
        <x:v>454945.1324924785</x:v>
      </x:c>
      <x:c r="J2805" s="79" t="n">
        <x:f>IF(H2805&gt;0,I2805/H2805,0)</x:f>
        <x:v>0.9384695196341185</x:v>
      </x:c>
      <x:c r="K2805" s="80" t="n">
        <x:f>(H2805*J2805+I2805)*'Inputs'!$D$51*(1+'Inputs'!$G$51)^(B2805/30)</x:f>
        <x:v>4079142.1093553384</x:v>
      </x:c>
      <x:c r="L2805" s="80" t="n">
        <x:f>MAX(0,K2805*'Inputs'!$E$51)</x:f>
        <x:v>407914.21093553386</x:v>
      </x:c>
      <x:c r="M2805" s="80" t="n">
        <x:f>MAX(0,-K2805*'Inputs'!$E$51)</x:f>
        <x:v>0</x:v>
      </x:c>
      <x:c r="N2805" s="78" t="n">
        <x:f>H2805*(L2805*(1-'Inputs'!$B$15))/(I2805+L2805*(1-'Inputs'!$B$15))</x:f>
        <x:v>227961.15970224063</x:v>
      </x:c>
      <x:c r="O2805" s="78" t="n">
        <x:f>H2805-N2805</x:f>
        <x:v>256812.3177249731</x:v>
      </x:c>
      <x:c r="P2805" s="78" t="n">
        <x:f>I2805+L2805*(1-'Inputs'!$B$17)</x:f>
        <x:v>861217.8375489961</x:v>
      </x:c>
      <x:c r="Q2805" s="78" t="n">
        <x:f>IF(J2805&gt;0,M2805/J2805,0)</x:f>
        <x:v>0</x:v>
      </x:c>
      <x:c r="R2805" s="78" t="n">
        <x:f>IF(B2805='Inputs'!$H$51,'Inputs'!$B$27*'Inputs'!$I$51,0)</x:f>
        <x:v>0</x:v>
      </x:c>
      <x:c r="S2805" s="78" t="n">
        <x:f>Q2805+G2805+R2805</x:f>
        <x:v>228214.1349221244</x:v>
      </x:c>
      <x:c r="T2805" s="78" t="n">
        <x:f>P2805*(S2805*(1-'Inputs'!$B$15))/(O2805+S2805*(1-'Inputs'!$B$15))</x:f>
        <x:v>403063.6061041561</x:v>
      </x:c>
      <x:c r="U2805" s="78" t="n">
        <x:f>O2805+S2805*(1-'Inputs'!$B$17)</x:f>
        <x:v>484108.0859069682</x:v>
      </x:c>
      <x:c r="V2805" s="78" t="n">
        <x:f>P2805-T2805</x:f>
        <x:v>458154.23144483997</x:v>
      </x:c>
      <x:c r="W2805" s="79" t="n">
        <x:f>IF(U2805&gt;0,V2805/U2805,0)</x:f>
        <x:v>0.9463883062116094</x:v>
      </x:c>
      <x:c r="X2805" s="80" t="n">
        <x:f>W2805*('Inputs'!$B$6-AC2805)</x:f>
        <x:v>944329595.5449975</x:v>
      </x:c>
      <x:c r="Y2805" s="80" t="n">
        <x:f>2*V2805</x:f>
        <x:v>916308.4628896799</x:v>
      </x:c>
      <x:c r="Z2805" s="80" t="n">
        <x:f>K2805*'Inputs'!$B$16+(G2805+R2805)*J2805*'Inputs'!$B$16</x:f>
        <x:v>25759.884713576525</x:v>
      </x:c>
      <x:c r="AA2805" s="80" t="n">
        <x:f>K2805*(1+'Inputs'!$E$51)/2*'Inputs'!$B$17</x:f>
        <x:v>9028.282334589283</x:v>
      </x:c>
      <x:c r="AB2805" s="78" t="n">
        <x:f>(IF(J2805&gt;0,K2805*(1-'Inputs'!$E$51)/2/J2805,0)+G2805+R2805)*'Inputs'!$B$17</x:f>
        <x:v>8789.455039782237</x:v>
      </x:c>
      <x:c r="AC2805" s="78" t="n">
        <x:f>AC2804+AB2805</x:f>
        <x:v>2175334.00729873</x:v>
      </x:c>
      <x:c r="AD2805" s="80" t="n">
        <x:f>Z2805/(1+'Inputs'!$C$51)</x:f>
        <x:v>8586.628237858842</x:v>
      </x:c>
      <x:c r="AE2805" s="80" t="n">
        <x:f>Z2805-AD2805</x:f>
        <x:v>17173.25647571768</x:v>
      </x:c>
      <x:c r="AF2805" s="80" t="n">
        <x:f>D2805*W2805</x:f>
        <x:v>256274.05935320977</x:v>
      </x:c>
      <x:c r="AG2805" s="80" t="n">
        <x:f>C2805*W2805</x:f>
        <x:v>597972.8051575082</x:v>
      </x:c>
      <x:c r="AH2805" s="80" t="n">
        <x:f>2*'Inputs'!$B$8*'Inputs'!$C$51</x:f>
        <x:v>10000</x:v>
      </x:c>
      <x:c r="AI2805" s="81" t="n">
        <x:f>IF(AH2805&gt;0,(AE2805+AF2805)/AH2805*365,0)</x:f>
        <x:v>9980.827027755851</x:v>
      </x:c>
      <x:c r="AJ2805" s="81" t="n">
        <x:f>IF('Inputs'!$B$51&gt;0,AG2805/('Inputs'!$B$19*'Inputs'!$B$51)*365,0)</x:f>
        <x:v>21826.00738824905</x:v>
      </x:c>
      <x:c r="AK2805" s="81" t="n">
        <x:f>W2805/MAX($W$2559:W2805)-1</x:f>
        <x:v>-0.039843020240277416</x:v>
      </x:c>
      <x:c r="AL2805" s="83" t="n">
        <x:f>'Inputs'!$B$51</x:f>
        <x:v>1</x:v>
      </x:c>
      <x:c r="AM2805" s="83" t="n">
        <x:f>'Inputs'!$C$51</x:f>
        <x:v>2</x:v>
      </x:c>
      <x:c r="AN2805" s="83" t="n">
        <x:f>'Inputs'!$D$51</x:f>
        <x:v>3</x:v>
      </x:c>
      <x:c r="AO2805" s="81" t="n">
        <x:f>'Inputs'!$E$51</x:f>
        <x:v>0.1</x:v>
      </x:c>
    </x:row>
    <x:row r="2806">
      <x:c r="A2806" s="59" t="str">
        <x:v>High demand</x:v>
      </x:c>
      <x:c r="B2806" s="59" t="n">
        <x:v>248</x:v>
      </x:c>
      <x:c r="C2806" s="78" t="n">
        <x:f>(('Inputs'!$B$29*(3*248*'Inputs'!$B$12-248^2)/(2*'Inputs'!$B$12^2))-('Inputs'!$B$29*(3*247*'Inputs'!$B$12-247^2)/(2*'Inputs'!$B$12^2)))*'Inputs'!$B$51</x:f>
        <x:v>631522.096078068</x:v>
      </x:c>
      <x:c r="D2806" s="78" t="n">
        <x:f>IF('Inputs'!$C$51&gt;0,('Inputs'!$B$30*(3*248*'Inputs'!$B$12-248^2)/(2*'Inputs'!$B$12^2))-('Inputs'!$B$30*(3*247*'Inputs'!$B$12-247^2)/(2*'Inputs'!$B$12^2)),0)</x:f>
        <x:v>270652.3268906027</x:v>
      </x:c>
      <x:c r="E2806" s="78" t="n">
        <x:f>C2806+D2806</x:f>
        <x:v>902174.4229686707</x:v>
      </x:c>
      <x:c r="F2806" s="78" t="n">
        <x:f>'Inputs'!$B$13*E2806+(1-'Inputs'!$B$13)/'Inputs'!$B$14*SUM(E2751:E2806)</x:f>
        <x:v>912392.0998311146</x:v>
      </x:c>
      <x:c r="G2806" s="78" t="n">
        <x:f>F2806*'Inputs'!$F$51</x:f>
        <x:v>228098.02495777866</x:v>
      </x:c>
      <x:c r="H2806" s="78" t="n">
        <x:f>U2805</x:f>
        <x:v>484108.0859069682</x:v>
      </x:c>
      <x:c r="I2806" s="78" t="n">
        <x:f>V2805</x:f>
        <x:v>458154.23144483997</x:v>
      </x:c>
      <x:c r="J2806" s="79" t="n">
        <x:f>IF(H2806&gt;0,I2806/H2806,0)</x:f>
        <x:v>0.9463883062116094</x:v>
      </x:c>
      <x:c r="K2806" s="80" t="n">
        <x:f>(H2806*J2806+I2806)*'Inputs'!$D$51*(1+'Inputs'!$G$51)^(B2806/30)</x:f>
        <x:v>4114601.922731619</x:v>
      </x:c>
      <x:c r="L2806" s="80" t="n">
        <x:f>MAX(0,K2806*'Inputs'!$E$51)</x:f>
        <x:v>411460.1922731619</x:v>
      </x:c>
      <x:c r="M2806" s="80" t="n">
        <x:f>MAX(0,-K2806*'Inputs'!$E$51)</x:f>
        <x:v>0</x:v>
      </x:c>
      <x:c r="N2806" s="78" t="n">
        <x:f>H2806*(L2806*(1-'Inputs'!$B$15))/(I2806+L2806*(1-'Inputs'!$B$15))</x:f>
        <x:v>227844.40745250357</x:v>
      </x:c>
      <x:c r="O2806" s="78" t="n">
        <x:f>H2806-N2806</x:f>
        <x:v>256263.67845446465</x:v>
      </x:c>
      <x:c r="P2806" s="78" t="n">
        <x:f>I2806+L2806*(1-'Inputs'!$B$17)</x:f>
        <x:v>867958.6482963795</x:v>
      </x:c>
      <x:c r="Q2806" s="78" t="n">
        <x:f>IF(J2806&gt;0,M2806/J2806,0)</x:f>
        <x:v>0</x:v>
      </x:c>
      <x:c r="R2806" s="78" t="n">
        <x:f>IF(B2806='Inputs'!$H$51,'Inputs'!$B$27*'Inputs'!$I$51,0)</x:f>
        <x:v>0</x:v>
      </x:c>
      <x:c r="S2806" s="78" t="n">
        <x:f>Q2806+G2806+R2806</x:f>
        <x:v>228098.02495777866</x:v>
      </x:c>
      <x:c r="T2806" s="78" t="n">
        <x:f>P2806*(S2806*(1-'Inputs'!$B$15))/(O2806+S2806*(1-'Inputs'!$B$15))</x:f>
        <x:v>406570.61664147506</x:v>
      </x:c>
      <x:c r="U2806" s="78" t="n">
        <x:f>O2806+S2806*(1-'Inputs'!$B$17)</x:f>
        <x:v>483443.8039154313</x:v>
      </x:c>
      <x:c r="V2806" s="78" t="n">
        <x:f>P2806-T2806</x:f>
        <x:v>461388.0316549044</x:v>
      </x:c>
      <x:c r="W2806" s="79" t="n">
        <x:f>IF(U2806&gt;0,V2806/U2806,0)</x:f>
        <x:v>0.9543777951400012</x:v>
      </x:c>
      <x:c r="X2806" s="80" t="n">
        <x:f>W2806*('Inputs'!$B$6-AC2806)</x:f>
        <x:v>952293314.7522539</x:v>
      </x:c>
      <x:c r="Y2806" s="80" t="n">
        <x:f>2*V2806</x:f>
        <x:v>922776.0633098088</x:v>
      </x:c>
      <x:c r="Z2806" s="80" t="n">
        <x:f>K2806*'Inputs'!$B$16+(G2806+R2806)*J2806*'Inputs'!$B$16</x:f>
        <x:v>25982.82735732975</x:v>
      </x:c>
      <x:c r="AA2806" s="80" t="n">
        <x:f>K2806*(1+'Inputs'!$E$51)/2*'Inputs'!$B$17</x:f>
        <x:v>9106.7648189231</x:v>
      </x:c>
      <x:c r="AB2806" s="78" t="n">
        <x:f>(IF(J2806&gt;0,K2806*(1-'Inputs'!$E$51)/2/J2806,0)+G2806+R2806)*'Inputs'!$B$17</x:f>
        <x:v>8790.977966184686</x:v>
      </x:c>
      <x:c r="AC2806" s="78" t="n">
        <x:f>AC2805+AB2806</x:f>
        <x:v>2184124.9852649146</x:v>
      </x:c>
      <x:c r="AD2806" s="80" t="n">
        <x:f>Z2806/(1+'Inputs'!$C$51)</x:f>
        <x:v>8660.942452443249</x:v>
      </x:c>
      <x:c r="AE2806" s="80" t="n">
        <x:f>Z2806-AD2806</x:f>
        <x:v>17321.8849048865</x:v>
      </x:c>
      <x:c r="AF2806" s="80" t="n">
        <x:f>D2806*W2806</x:f>
        <x:v>258304.57098736428</x:v>
      </x:c>
      <x:c r="AG2806" s="80" t="n">
        <x:f>C2806*W2806</x:f>
        <x:v>602710.6656371786</x:v>
      </x:c>
      <x:c r="AH2806" s="80" t="n">
        <x:f>2*'Inputs'!$B$8*'Inputs'!$C$51</x:f>
        <x:v>10000</x:v>
      </x:c>
      <x:c r="AI2806" s="81" t="n">
        <x:f>IF(AH2806&gt;0,(AE2806+AF2806)/AH2806*365,0)</x:f>
        <x:v>10060.365640067152</x:v>
      </x:c>
      <x:c r="AJ2806" s="81" t="n">
        <x:f>IF('Inputs'!$B$51&gt;0,AG2806/('Inputs'!$B$19*'Inputs'!$B$51)*365,0)</x:f>
        <x:v>21998.93929575702</x:v>
      </x:c>
      <x:c r="AK2806" s="81" t="n">
        <x:f>W2806/MAX($W$2559:W2806)-1</x:f>
        <x:v>-0.031737295022669754</x:v>
      </x:c>
      <x:c r="AL2806" s="83" t="n">
        <x:f>'Inputs'!$B$51</x:f>
        <x:v>1</x:v>
      </x:c>
      <x:c r="AM2806" s="83" t="n">
        <x:f>'Inputs'!$C$51</x:f>
        <x:v>2</x:v>
      </x:c>
      <x:c r="AN2806" s="83" t="n">
        <x:f>'Inputs'!$D$51</x:f>
        <x:v>3</x:v>
      </x:c>
      <x:c r="AO2806" s="81" t="n">
        <x:f>'Inputs'!$E$51</x:f>
        <x:v>0.1</x:v>
      </x:c>
    </x:row>
    <x:row r="2807">
      <x:c r="A2807" s="59" t="str">
        <x:v>High demand</x:v>
      </x:c>
      <x:c r="B2807" s="59" t="n">
        <x:v>249</x:v>
      </x:c>
      <x:c r="C2807" s="78" t="n">
        <x:f>(('Inputs'!$B$29*(3*249*'Inputs'!$B$12-249^2)/(2*'Inputs'!$B$12^2))-('Inputs'!$B$29*(3*248*'Inputs'!$B$12-248^2)/(2*'Inputs'!$B$12^2)))*'Inputs'!$B$51</x:f>
        <x:v>631196.9881778955</x:v>
      </x:c>
      <x:c r="D2807" s="78" t="n">
        <x:f>IF('Inputs'!$C$51&gt;0,('Inputs'!$B$30*(3*249*'Inputs'!$B$12-249^2)/(2*'Inputs'!$B$12^2))-('Inputs'!$B$30*(3*248*'Inputs'!$B$12-248^2)/(2*'Inputs'!$B$12^2)),0)</x:f>
        <x:v>270512.9949333817</x:v>
      </x:c>
      <x:c r="E2807" s="78" t="n">
        <x:f>C2807+D2807</x:f>
        <x:v>901709.9831112772</x:v>
      </x:c>
      <x:c r="F2807" s="78" t="n">
        <x:f>'Inputs'!$B$13*E2807+(1-'Inputs'!$B$13)/'Inputs'!$B$14*SUM(E2752:E2807)</x:f>
        <x:v>911927.6599737286</x:v>
      </x:c>
      <x:c r="G2807" s="78" t="n">
        <x:f>F2807*'Inputs'!$F$51</x:f>
        <x:v>227981.91499343215</x:v>
      </x:c>
      <x:c r="H2807" s="78" t="n">
        <x:f>U2806</x:f>
        <x:v>483443.8039154313</x:v>
      </x:c>
      <x:c r="I2807" s="78" t="n">
        <x:f>V2806</x:f>
        <x:v>461388.0316549044</x:v>
      </x:c>
      <x:c r="J2807" s="79" t="n">
        <x:f>IF(H2807&gt;0,I2807/H2807,0)</x:f>
        <x:v>0.9543777951400012</x:v>
      </x:c>
      <x:c r="K2807" s="80" t="n">
        <x:f>(H2807*J2807+I2807)*'Inputs'!$D$51*(1+'Inputs'!$G$51)^(B2807/30)</x:f>
        <x:v>4150388.561178468</x:v>
      </x:c>
      <x:c r="L2807" s="80" t="n">
        <x:f>MAX(0,K2807*'Inputs'!$E$51)</x:f>
        <x:v>415038.85611784685</x:v>
      </x:c>
      <x:c r="M2807" s="80" t="n">
        <x:f>MAX(0,-K2807*'Inputs'!$E$51)</x:f>
        <x:v>0</x:v>
      </x:c>
      <x:c r="N2807" s="78" t="n">
        <x:f>H2807*(L2807*(1-'Inputs'!$B$15))/(I2807+L2807*(1-'Inputs'!$B$15))</x:f>
        <x:v>227727.65736566874</x:v>
      </x:c>
      <x:c r="O2807" s="78" t="n">
        <x:f>H2807-N2807</x:f>
        <x:v>255716.14654976258</x:v>
      </x:c>
      <x:c r="P2807" s="78" t="n">
        <x:f>I2807+L2807*(1-'Inputs'!$B$17)</x:f>
        <x:v>874756.7112893796</x:v>
      </x:c>
      <x:c r="Q2807" s="78" t="n">
        <x:f>IF(J2807&gt;0,M2807/J2807,0)</x:f>
        <x:v>0</x:v>
      </x:c>
      <x:c r="R2807" s="78" t="n">
        <x:f>IF(B2807='Inputs'!$H$51,'Inputs'!$B$27*'Inputs'!$I$51,0)</x:f>
        <x:v>0</x:v>
      </x:c>
      <x:c r="S2807" s="78" t="n">
        <x:f>Q2807+G2807+R2807</x:f>
        <x:v>227981.91499343215</x:v>
      </x:c>
      <x:c r="T2807" s="78" t="n">
        <x:f>P2807*(S2807*(1-'Inputs'!$B$15))/(O2807+S2807*(1-'Inputs'!$B$15))</x:f>
        <x:v>410109.9744573005</x:v>
      </x:c>
      <x:c r="U2807" s="78" t="n">
        <x:f>O2807+S2807*(1-'Inputs'!$B$17)</x:f>
        <x:v>482780.6292897</x:v>
      </x:c>
      <x:c r="V2807" s="78" t="n">
        <x:f>P2807-T2807</x:f>
        <x:v>464646.7368320791</x:v>
      </x:c>
      <x:c r="W2807" s="79" t="n">
        <x:f>IF(U2807&gt;0,V2807/U2807,0)</x:f>
        <x:v>0.962438649445607</x:v>
      </x:c>
      <x:c r="X2807" s="80" t="n">
        <x:f>W2807*('Inputs'!$B$6-AC2807)</x:f>
        <x:v>960328100.8983233</x:v>
      </x:c>
      <x:c r="Y2807" s="80" t="n">
        <x:f>2*V2807</x:f>
        <x:v>929293.4736641583</x:v>
      </x:c>
      <x:c r="Z2807" s="80" t="n">
        <x:f>K2807*'Inputs'!$B$16+(G2807+R2807)*J2807*'Inputs'!$B$16</x:f>
        <x:v>26207.81663125017</x:v>
      </x:c>
      <x:c r="AA2807" s="80" t="n">
        <x:f>K2807*(1+'Inputs'!$E$51)/2*'Inputs'!$B$17</x:f>
        <x:v>9185.970658543894</x:v>
      </x:c>
      <x:c r="AB2807" s="78" t="n">
        <x:f>(IF(J2807&gt;0,K2807*(1-'Inputs'!$E$51)/2/J2807,0)+G2807+R2807)*'Inputs'!$B$17</x:f>
        <x:v>8792.504592190251</x:v>
      </x:c>
      <x:c r="AC2807" s="78" t="n">
        <x:f>AC2806+AB2807</x:f>
        <x:v>2192917.4898571046</x:v>
      </x:c>
      <x:c r="AD2807" s="80" t="n">
        <x:f>Z2807/(1+'Inputs'!$C$51)</x:f>
        <x:v>8735.93887708339</x:v>
      </x:c>
      <x:c r="AE2807" s="80" t="n">
        <x:f>Z2807-AD2807</x:f>
        <x:v>17471.87775416678</x:v>
      </x:c>
      <x:c r="AF2807" s="80" t="n">
        <x:f>D2807*W2807</x:f>
        <x:v>260352.1615011702</x:v>
      </x:c>
      <x:c r="AG2807" s="80" t="n">
        <x:f>C2807*W2807</x:f>
        <x:v>607488.3768360686</x:v>
      </x:c>
      <x:c r="AH2807" s="80" t="n">
        <x:f>2*'Inputs'!$B$8*'Inputs'!$C$51</x:f>
        <x:v>10000</x:v>
      </x:c>
      <x:c r="AI2807" s="81" t="n">
        <x:f>IF(AH2807&gt;0,(AE2807+AF2807)/AH2807*365,0)</x:f>
        <x:v>10140.577432819799</x:v>
      </x:c>
      <x:c r="AJ2807" s="81" t="n">
        <x:f>IF('Inputs'!$B$51&gt;0,AG2807/('Inputs'!$B$19*'Inputs'!$B$51)*365,0)</x:f>
        <x:v>22173.325754516503</x:v>
      </x:c>
      <x:c r="AK2807" s="81" t="n">
        <x:f>W2807/MAX($W$2559:W2807)-1</x:f>
        <x:v>-0.023559166157853695</x:v>
      </x:c>
      <x:c r="AL2807" s="83" t="n">
        <x:f>'Inputs'!$B$51</x:f>
        <x:v>1</x:v>
      </x:c>
      <x:c r="AM2807" s="83" t="n">
        <x:f>'Inputs'!$C$51</x:f>
        <x:v>2</x:v>
      </x:c>
      <x:c r="AN2807" s="83" t="n">
        <x:f>'Inputs'!$D$51</x:f>
        <x:v>3</x:v>
      </x:c>
      <x:c r="AO2807" s="81" t="n">
        <x:f>'Inputs'!$E$51</x:f>
        <x:v>0.1</x:v>
      </x:c>
    </x:row>
    <x:row r="2808">
      <x:c r="A2808" s="59" t="str">
        <x:v>High demand</x:v>
      </x:c>
      <x:c r="B2808" s="59" t="n">
        <x:v>250</x:v>
      </x:c>
      <x:c r="C2808" s="78" t="n">
        <x:f>(('Inputs'!$B$29*(3*250*'Inputs'!$B$12-250^2)/(2*'Inputs'!$B$12^2))-('Inputs'!$B$29*(3*249*'Inputs'!$B$12-249^2)/(2*'Inputs'!$B$12^2)))*'Inputs'!$B$51</x:f>
        <x:v>630871.8802777231</x:v>
      </x:c>
      <x:c r="D2808" s="78" t="n">
        <x:f>IF('Inputs'!$C$51&gt;0,('Inputs'!$B$30*(3*250*'Inputs'!$B$12-250^2)/(2*'Inputs'!$B$12^2))-('Inputs'!$B$30*(3*249*'Inputs'!$B$12-249^2)/(2*'Inputs'!$B$12^2)),0)</x:f>
        <x:v>270373.66297617555</x:v>
      </x:c>
      <x:c r="E2808" s="78" t="n">
        <x:f>C2808+D2808</x:f>
        <x:v>901245.5432538986</x:v>
      </x:c>
      <x:c r="F2808" s="78" t="n">
        <x:f>'Inputs'!$B$13*E2808+(1-'Inputs'!$B$13)/'Inputs'!$B$14*SUM(E2753:E2808)</x:f>
        <x:v>911463.2201163457</x:v>
      </x:c>
      <x:c r="G2808" s="78" t="n">
        <x:f>F2808*'Inputs'!$F$51</x:f>
        <x:v>227865.80502908642</x:v>
      </x:c>
      <x:c r="H2808" s="78" t="n">
        <x:f>U2807</x:f>
        <x:v>482780.6292897</x:v>
      </x:c>
      <x:c r="I2808" s="78" t="n">
        <x:f>V2807</x:f>
        <x:v>464646.7368320791</x:v>
      </x:c>
      <x:c r="J2808" s="79" t="n">
        <x:f>IF(H2808&gt;0,I2808/H2808,0)</x:f>
        <x:v>0.962438649445607</x:v>
      </x:c>
      <x:c r="K2808" s="80" t="n">
        <x:f>(H2808*J2808+I2808)*'Inputs'!$D$51*(1+'Inputs'!$G$51)^(B2808/30)</x:f>
        <x:v>4186505.19177712</x:v>
      </x:c>
      <x:c r="L2808" s="80" t="n">
        <x:f>MAX(0,K2808*'Inputs'!$E$51)</x:f>
        <x:v>418650.51917771203</x:v>
      </x:c>
      <x:c r="M2808" s="80" t="n">
        <x:f>MAX(0,-K2808*'Inputs'!$E$51)</x:f>
        <x:v>0</x:v>
      </x:c>
      <x:c r="N2808" s="78" t="n">
        <x:f>H2808*(L2808*(1-'Inputs'!$B$15))/(I2808+L2808*(1-'Inputs'!$B$15))</x:f>
        <x:v>227610.90943760585</x:v>
      </x:c>
      <x:c r="O2808" s="78" t="n">
        <x:f>H2808-N2808</x:f>
        <x:v>255169.71985209416</x:v>
      </x:c>
      <x:c r="P2808" s="78" t="n">
        <x:f>I2808+L2808*(1-'Inputs'!$B$17)</x:f>
        <x:v>881612.5456710479</x:v>
      </x:c>
      <x:c r="Q2808" s="78" t="n">
        <x:f>IF(J2808&gt;0,M2808/J2808,0)</x:f>
        <x:v>0</x:v>
      </x:c>
      <x:c r="R2808" s="78" t="n">
        <x:f>IF(B2808='Inputs'!$H$51,'Inputs'!$B$27*'Inputs'!$I$51,0)</x:f>
        <x:v>0</x:v>
      </x:c>
      <x:c r="S2808" s="78" t="n">
        <x:f>Q2808+G2808+R2808</x:f>
        <x:v>227865.80502908642</x:v>
      </x:c>
      <x:c r="T2808" s="78" t="n">
        <x:f>P2808*(S2808*(1-'Inputs'!$B$15))/(O2808+S2808*(1-'Inputs'!$B$15))</x:f>
        <x:v>413681.99320718733</x:v>
      </x:c>
      <x:c r="U2808" s="78" t="n">
        <x:f>O2808+S2808*(1-'Inputs'!$B$17)</x:f>
        <x:v>482118.55987100315</x:v>
      </x:c>
      <x:c r="V2808" s="78" t="n">
        <x:f>P2808-T2808</x:f>
        <x:v>467930.55246386054</x:v>
      </x:c>
      <x:c r="W2808" s="79" t="n">
        <x:f>IF(U2808&gt;0,V2808/U2808,0)</x:f>
        <x:v>0.9705715386461397</x:v>
      </x:c>
      <x:c r="X2808" s="80" t="n">
        <x:f>W2808*('Inputs'!$B$6-AC2808)</x:f>
        <x:v>968434620.1038831</x:v>
      </x:c>
      <x:c r="Y2808" s="80" t="n">
        <x:f>2*V2808</x:f>
        <x:v>935861.1049277211</x:v>
      </x:c>
      <x:c r="Z2808" s="80" t="n">
        <x:f>K2808*'Inputs'!$B$16+(G2808+R2808)*J2808*'Inputs'!$B$16</x:f>
        <x:v>26434.872296544898</x:v>
      </x:c>
      <x:c r="AA2808" s="80" t="n">
        <x:f>K2808*(1+'Inputs'!$E$51)/2*'Inputs'!$B$17</x:f>
        <x:v>9265.906863088194</x:v>
      </x:c>
      <x:c r="AB2808" s="78" t="n">
        <x:f>(IF(J2808&gt;0,K2808*(1-'Inputs'!$E$51)/2/J2808,0)+G2808+R2808)*'Inputs'!$B$17</x:f>
        <x:v>8794.034918697687</x:v>
      </x:c>
      <x:c r="AC2808" s="78" t="n">
        <x:f>AC2807+AB2808</x:f>
        <x:v>2201711.524775802</x:v>
      </x:c>
      <x:c r="AD2808" s="80" t="n">
        <x:f>Z2808/(1+'Inputs'!$C$51)</x:f>
        <x:v>8811.624098848299</x:v>
      </x:c>
      <x:c r="AE2808" s="80" t="n">
        <x:f>Z2808-AD2808</x:f>
        <x:v>17623.2481976966</x:v>
      </x:c>
      <x:c r="AF2808" s="80" t="n">
        <x:f>D2808*W2808</x:f>
        <x:v>262416.98208417953</x:v>
      </x:c>
      <x:c r="AG2808" s="80" t="n">
        <x:f>C2808*W2808</x:f>
        <x:v>612306.2915297329</x:v>
      </x:c>
      <x:c r="AH2808" s="80" t="n">
        <x:f>2*'Inputs'!$B$8*'Inputs'!$C$51</x:f>
        <x:v>10000</x:v>
      </x:c>
      <x:c r="AI2808" s="81" t="n">
        <x:f>IF(AH2808&gt;0,(AE2808+AF2808)/AH2808*365,0)</x:f>
        <x:v>10221.468405288479</x:v>
      </x:c>
      <x:c r="AJ2808" s="81" t="n">
        <x:f>IF('Inputs'!$B$51&gt;0,AG2808/('Inputs'!$B$19*'Inputs'!$B$51)*365,0)</x:f>
        <x:v>22349.17964083525</x:v>
      </x:c>
      <x:c r="AK2808" s="81" t="n">
        <x:f>W2808/MAX($W$2559:W2808)-1</x:f>
        <x:v>-0.015307954387536293</x:v>
      </x:c>
      <x:c r="AL2808" s="83" t="n">
        <x:f>'Inputs'!$B$51</x:f>
        <x:v>1</x:v>
      </x:c>
      <x:c r="AM2808" s="83" t="n">
        <x:f>'Inputs'!$C$51</x:f>
        <x:v>2</x:v>
      </x:c>
      <x:c r="AN2808" s="83" t="n">
        <x:f>'Inputs'!$D$51</x:f>
        <x:v>3</x:v>
      </x:c>
      <x:c r="AO2808" s="81" t="n">
        <x:f>'Inputs'!$E$51</x:f>
        <x:v>0.1</x:v>
      </x:c>
    </x:row>
    <x:row r="2809">
      <x:c r="A2809" s="59" t="str">
        <x:v>High demand</x:v>
      </x:c>
      <x:c r="B2809" s="59" t="n">
        <x:v>251</x:v>
      </x:c>
      <x:c r="C2809" s="78" t="n">
        <x:f>(('Inputs'!$B$29*(3*251*'Inputs'!$B$12-251^2)/(2*'Inputs'!$B$12^2))-('Inputs'!$B$29*(3*250*'Inputs'!$B$12-250^2)/(2*'Inputs'!$B$12^2)))*'Inputs'!$B$51</x:f>
        <x:v>630546.7723775506</x:v>
      </x:c>
      <x:c r="D2809" s="78" t="n">
        <x:f>IF('Inputs'!$C$51&gt;0,('Inputs'!$B$30*(3*251*'Inputs'!$B$12-251^2)/(2*'Inputs'!$B$12^2))-('Inputs'!$B$30*(3*250*'Inputs'!$B$12-250^2)/(2*'Inputs'!$B$12^2)),0)</x:f>
        <x:v>270234.3310189545</x:v>
      </x:c>
      <x:c r="E2809" s="78" t="n">
        <x:f>C2809+D2809</x:f>
        <x:v>900781.1033965051</x:v>
      </x:c>
      <x:c r="F2809" s="78" t="n">
        <x:f>'Inputs'!$B$13*E2809+(1-'Inputs'!$B$13)/'Inputs'!$B$14*SUM(E2754:E2809)</x:f>
        <x:v>910998.7802589597</x:v>
      </x:c>
      <x:c r="G2809" s="78" t="n">
        <x:f>F2809*'Inputs'!$F$51</x:f>
        <x:v>227749.69506473994</x:v>
      </x:c>
      <x:c r="H2809" s="78" t="n">
        <x:f>U2808</x:f>
        <x:v>482118.55987100315</x:v>
      </x:c>
      <x:c r="I2809" s="78" t="n">
        <x:f>V2808</x:f>
        <x:v>467930.55246386054</x:v>
      </x:c>
      <x:c r="J2809" s="79" t="n">
        <x:f>IF(H2809&gt;0,I2809/H2809,0)</x:f>
        <x:v>0.9705715386461397</x:v>
      </x:c>
      <x:c r="K2809" s="80" t="n">
        <x:f>(H2809*J2809+I2809)*'Inputs'!$D$51*(1+'Inputs'!$G$51)^(B2809/30)</x:f>
        <x:v>4222955.013663247</x:v>
      </x:c>
      <x:c r="L2809" s="80" t="n">
        <x:f>MAX(0,K2809*'Inputs'!$E$51)</x:f>
        <x:v>422295.5013663247</x:v>
      </x:c>
      <x:c r="M2809" s="80" t="n">
        <x:f>MAX(0,-K2809*'Inputs'!$E$51)</x:f>
        <x:v>0</x:v>
      </x:c>
      <x:c r="N2809" s="78" t="n">
        <x:f>H2809*(L2809*(1-'Inputs'!$B$15))/(I2809+L2809*(1-'Inputs'!$B$15))</x:f>
        <x:v>227494.1636641934</x:v>
      </x:c>
      <x:c r="O2809" s="78" t="n">
        <x:f>H2809-N2809</x:f>
        <x:v>254624.39620680976</x:v>
      </x:c>
      <x:c r="P2809" s="78" t="n">
        <x:f>I2809+L2809*(1-'Inputs'!$B$17)</x:f>
        <x:v>888526.6755550692</x:v>
      </x:c>
      <x:c r="Q2809" s="78" t="n">
        <x:f>IF(J2809&gt;0,M2809/J2809,0)</x:f>
        <x:v>0</x:v>
      </x:c>
      <x:c r="R2809" s="78" t="n">
        <x:f>IF(B2809='Inputs'!$H$51,'Inputs'!$B$27*'Inputs'!$I$51,0)</x:f>
        <x:v>0</x:v>
      </x:c>
      <x:c r="S2809" s="78" t="n">
        <x:f>Q2809+G2809+R2809</x:f>
        <x:v>227749.69506473994</x:v>
      </x:c>
      <x:c r="T2809" s="78" t="n">
        <x:f>P2809*(S2809*(1-'Inputs'!$B$15))/(O2809+S2809*(1-'Inputs'!$B$15))</x:f>
        <x:v>417286.98972294776</x:v>
      </x:c>
      <x:c r="U2809" s="78" t="n">
        <x:f>O2809+S2809*(1-'Inputs'!$B$17)</x:f>
        <x:v>481457.5935046896</x:v>
      </x:c>
      <x:c r="V2809" s="78" t="n">
        <x:f>P2809-T2809</x:f>
        <x:v>471239.68583212147</x:v>
      </x:c>
      <x:c r="W2809" s="79" t="n">
        <x:f>IF(U2809&gt;0,V2809/U2809,0)</x:f>
        <x:v>0.9787771388167573</x:v>
      </x:c>
      <x:c r="X2809" s="80" t="n">
        <x:f>W2809*('Inputs'!$B$6-AC2809)</x:f>
        <x:v>976613545.0082296</x:v>
      </x:c>
      <x:c r="Y2809" s="80" t="n">
        <x:f>2*V2809</x:f>
        <x:v>942479.3716642429</x:v>
      </x:c>
      <x:c r="Z2809" s="80" t="n">
        <x:f>K2809*'Inputs'!$B$16+(G2809+R2809)*J2809*'Inputs'!$B$16</x:f>
        <x:v>26664.014313770527</x:v>
      </x:c>
      <x:c r="AA2809" s="80" t="n">
        <x:f>K2809*(1+'Inputs'!$E$51)/2*'Inputs'!$B$17</x:f>
        <x:v>9346.580513137973</x:v>
      </x:c>
      <x:c r="AB2809" s="78" t="n">
        <x:f>(IF(J2809&gt;0,K2809*(1-'Inputs'!$E$51)/2/J2809,0)+G2809+R2809)*'Inputs'!$B$17</x:f>
        <x:v>8795.56894659937</x:v>
      </x:c>
      <x:c r="AC2809" s="78" t="n">
        <x:f>AC2808+AB2809</x:f>
        <x:v>2210507.0937224017</x:v>
      </x:c>
      <x:c r="AD2809" s="80" t="n">
        <x:f>Z2809/(1+'Inputs'!$C$51)</x:f>
        <x:v>8888.004771256843</x:v>
      </x:c>
      <x:c r="AE2809" s="80" t="n">
        <x:f>Z2809-AD2809</x:f>
        <x:v>17776.009542513682</x:v>
      </x:c>
      <x:c r="AF2809" s="80" t="n">
        <x:f>D2809*W2809</x:f>
        <x:v>264499.1853247928</x:v>
      </x:c>
      <x:c r="AG2809" s="80" t="n">
        <x:f>C2809*W2809</x:f>
        <x:v>617164.7657578401</x:v>
      </x:c>
      <x:c r="AH2809" s="80" t="n">
        <x:f>2*'Inputs'!$B$8*'Inputs'!$C$51</x:f>
        <x:v>10000</x:v>
      </x:c>
      <x:c r="AI2809" s="81" t="n">
        <x:f>IF(AH2809&gt;0,(AE2809+AF2809)/AH2809*365,0)</x:f>
        <x:v>10303.044612656688</x:v>
      </x:c>
      <x:c r="AJ2809" s="81" t="n">
        <x:f>IF('Inputs'!$B$51&gt;0,AG2809/('Inputs'!$B$19*'Inputs'!$B$51)*365,0)</x:f>
        <x:v>22526.513950161167</x:v>
      </x:c>
      <x:c r="AK2809" s="81" t="n">
        <x:f>W2809/MAX($W$2559:W2809)-1</x:f>
        <x:v>-0.006982973800577885</x:v>
      </x:c>
      <x:c r="AL2809" s="83" t="n">
        <x:f>'Inputs'!$B$51</x:f>
        <x:v>1</x:v>
      </x:c>
      <x:c r="AM2809" s="83" t="n">
        <x:f>'Inputs'!$C$51</x:f>
        <x:v>2</x:v>
      </x:c>
      <x:c r="AN2809" s="83" t="n">
        <x:f>'Inputs'!$D$51</x:f>
        <x:v>3</x:v>
      </x:c>
      <x:c r="AO2809" s="81" t="n">
        <x:f>'Inputs'!$E$51</x:f>
        <x:v>0.1</x:v>
      </x:c>
    </x:row>
    <x:row r="2810">
      <x:c r="A2810" s="59" t="str">
        <x:v>High demand</x:v>
      </x:c>
      <x:c r="B2810" s="59" t="n">
        <x:v>252</x:v>
      </x:c>
      <x:c r="C2810" s="78" t="n">
        <x:f>(('Inputs'!$B$29*(3*252*'Inputs'!$B$12-252^2)/(2*'Inputs'!$B$12^2))-('Inputs'!$B$29*(3*251*'Inputs'!$B$12-251^2)/(2*'Inputs'!$B$12^2)))*'Inputs'!$B$51</x:f>
        <x:v>630221.6644773781</x:v>
      </x:c>
      <x:c r="D2810" s="78" t="n">
        <x:f>IF('Inputs'!$C$51&gt;0,('Inputs'!$B$30*(3*252*'Inputs'!$B$12-252^2)/(2*'Inputs'!$B$12^2))-('Inputs'!$B$30*(3*251*'Inputs'!$B$12-251^2)/(2*'Inputs'!$B$12^2)),0)</x:f>
        <x:v>270094.9990617335</x:v>
      </x:c>
      <x:c r="E2810" s="78" t="n">
        <x:f>C2810+D2810</x:f>
        <x:v>900316.6635391116</x:v>
      </x:c>
      <x:c r="F2810" s="78" t="n">
        <x:f>'Inputs'!$B$13*E2810+(1-'Inputs'!$B$13)/'Inputs'!$B$14*SUM(E2755:E2810)</x:f>
        <x:v>910534.3404015736</x:v>
      </x:c>
      <x:c r="G2810" s="78" t="n">
        <x:f>F2810*'Inputs'!$F$51</x:f>
        <x:v>227633.5851003934</x:v>
      </x:c>
      <x:c r="H2810" s="78" t="n">
        <x:f>U2809</x:f>
        <x:v>481457.5935046896</x:v>
      </x:c>
      <x:c r="I2810" s="78" t="n">
        <x:f>V2809</x:f>
        <x:v>471239.68583212147</x:v>
      </x:c>
      <x:c r="J2810" s="79" t="n">
        <x:f>IF(H2810&gt;0,I2810/H2810,0)</x:f>
        <x:v>0.9787771388167573</x:v>
      </x:c>
      <x:c r="K2810" s="80" t="n">
        <x:f>(H2810*J2810+I2810)*'Inputs'!$D$51*(1+'Inputs'!$G$51)^(B2810/30)</x:f>
        <x:v>4259741.258364057</x:v>
      </x:c>
      <x:c r="L2810" s="80" t="n">
        <x:f>MAX(0,K2810*'Inputs'!$E$51)</x:f>
        <x:v>425974.1258364057</x:v>
      </x:c>
      <x:c r="M2810" s="80" t="n">
        <x:f>MAX(0,-K2810*'Inputs'!$E$51)</x:f>
        <x:v>0</x:v>
      </x:c>
      <x:c r="N2810" s="78" t="n">
        <x:f>H2810*(L2810*(1-'Inputs'!$B$15))/(I2810+L2810*(1-'Inputs'!$B$15))</x:f>
        <x:v>227377.42004131668</x:v>
      </x:c>
      <x:c r="O2810" s="78" t="n">
        <x:f>H2810-N2810</x:f>
        <x:v>254080.1734633729</x:v>
      </x:c>
      <x:c r="P2810" s="78" t="n">
        <x:f>I2810+L2810*(1-'Inputs'!$B$17)</x:f>
        <x:v>895499.6300756242</x:v>
      </x:c>
      <x:c r="Q2810" s="78" t="n">
        <x:f>IF(J2810&gt;0,M2810/J2810,0)</x:f>
        <x:v>0</x:v>
      </x:c>
      <x:c r="R2810" s="78" t="n">
        <x:f>IF(B2810='Inputs'!$H$51,'Inputs'!$B$27*'Inputs'!$I$51,0)</x:f>
        <x:v>0</x:v>
      </x:c>
      <x:c r="S2810" s="78" t="n">
        <x:f>Q2810+G2810+R2810</x:f>
        <x:v>227633.5851003934</x:v>
      </x:c>
      <x:c r="T2810" s="78" t="n">
        <x:f>P2810*(S2810*(1-'Inputs'!$B$15))/(O2810+S2810*(1-'Inputs'!$B$15))</x:f>
        <x:v>420925.2840460768</x:v>
      </x:c>
      <x:c r="U2810" s="78" t="n">
        <x:f>O2810+S2810*(1-'Inputs'!$B$17)</x:f>
        <x:v>480797.7280402235</x:v>
      </x:c>
      <x:c r="V2810" s="78" t="n">
        <x:f>P2810-T2810</x:f>
        <x:v>474574.3460295474</x:v>
      </x:c>
      <x:c r="W2810" s="79" t="n">
        <x:f>IF(U2810&gt;0,V2810/U2810,0)</x:f>
        <x:v>0.9870561326567762</x:v>
      </x:c>
      <x:c r="X2810" s="80" t="n">
        <x:f>W2810*('Inputs'!$B$6-AC2810)</x:f>
        <x:v>984865554.8355412</x:v>
      </x:c>
      <x:c r="Y2810" s="80" t="n">
        <x:f>2*V2810</x:f>
        <x:v>949148.6920590948</x:v>
      </x:c>
      <x:c r="Z2810" s="80" t="n">
        <x:f>K2810*'Inputs'!$B$16+(G2810+R2810)*J2810*'Inputs'!$B$16</x:f>
        <x:v>26895.262844923327</x:v>
      </x:c>
      <x:c r="AA2810" s="80" t="n">
        <x:f>K2810*(1+'Inputs'!$E$51)/2*'Inputs'!$B$17</x:f>
        <x:v>9427.998760966728</x:v>
      </x:c>
      <x:c r="AB2810" s="78" t="n">
        <x:f>(IF(J2810&gt;0,K2810*(1-'Inputs'!$E$51)/2/J2810,0)+G2810+R2810)*'Inputs'!$B$17</x:f>
        <x:v>8797.10667678126</x:v>
      </x:c>
      <x:c r="AC2810" s="78" t="n">
        <x:f>AC2809+AB2810</x:f>
        <x:v>2219304.2003991827</x:v>
      </x:c>
      <x:c r="AD2810" s="80" t="n">
        <x:f>Z2810/(1+'Inputs'!$C$51)</x:f>
        <x:v>8965.087614974442</x:v>
      </x:c>
      <x:c r="AE2810" s="80" t="n">
        <x:f>Z2810-AD2810</x:f>
        <x:v>17930.175229948887</x:v>
      </x:c>
      <x:c r="AF2810" s="80" t="n">
        <x:f>D2810*W2810</x:f>
        <x:v>266598.92522381025</x:v>
      </x:c>
      <x:c r="AG2810" s="80" t="n">
        <x:f>C2810*W2810</x:f>
        <x:v>622064.1588555572</x:v>
      </x:c>
      <x:c r="AH2810" s="80" t="n">
        <x:f>2*'Inputs'!$B$8*'Inputs'!$C$51</x:f>
        <x:v>10000</x:v>
      </x:c>
      <x:c r="AI2810" s="81" t="n">
        <x:f>IF(AH2810&gt;0,(AE2810+AF2810)/AH2810*365,0)</x:f>
        <x:v>10385.312166562207</x:v>
      </x:c>
      <x:c r="AJ2810" s="81" t="n">
        <x:f>IF('Inputs'!$B$51&gt;0,AG2810/('Inputs'!$B$19*'Inputs'!$B$51)*365,0)</x:f>
        <x:v>22705.341798227837</x:v>
      </x:c>
      <x:c r="AK2810" s="81" t="n">
        <x:f>W2810/MAX($W$2559:W2810)-1</x:f>
        <x:v>0</x:v>
      </x:c>
      <x:c r="AL2810" s="83" t="n">
        <x:f>'Inputs'!$B$51</x:f>
        <x:v>1</x:v>
      </x:c>
      <x:c r="AM2810" s="83" t="n">
        <x:f>'Inputs'!$C$51</x:f>
        <x:v>2</x:v>
      </x:c>
      <x:c r="AN2810" s="83" t="n">
        <x:f>'Inputs'!$D$51</x:f>
        <x:v>3</x:v>
      </x:c>
      <x:c r="AO2810" s="81" t="n">
        <x:f>'Inputs'!$E$51</x:f>
        <x:v>0.1</x:v>
      </x:c>
    </x:row>
    <x:row r="2811">
      <x:c r="A2811" s="59" t="str">
        <x:v>High demand</x:v>
      </x:c>
      <x:c r="B2811" s="59" t="n">
        <x:v>253</x:v>
      </x:c>
      <x:c r="C2811" s="78" t="n">
        <x:f>(('Inputs'!$B$29*(3*253*'Inputs'!$B$12-253^2)/(2*'Inputs'!$B$12^2))-('Inputs'!$B$29*(3*252*'Inputs'!$B$12-252^2)/(2*'Inputs'!$B$12^2)))*'Inputs'!$B$51</x:f>
        <x:v>629896.5565772355</x:v>
      </x:c>
      <x:c r="D2811" s="78" t="n">
        <x:f>IF('Inputs'!$C$51&gt;0,('Inputs'!$B$30*(3*253*'Inputs'!$B$12-253^2)/(2*'Inputs'!$B$12^2))-('Inputs'!$B$30*(3*252*'Inputs'!$B$12-252^2)/(2*'Inputs'!$B$12^2)),0)</x:f>
        <x:v>269955.66710452735</x:v>
      </x:c>
      <x:c r="E2811" s="78" t="n">
        <x:f>C2811+D2811</x:f>
        <x:v>899852.2236817628</x:v>
      </x:c>
      <x:c r="F2811" s="78" t="n">
        <x:f>'Inputs'!$B$13*E2811+(1-'Inputs'!$B$13)/'Inputs'!$B$14*SUM(E2756:E2811)</x:f>
        <x:v>910069.9005441966</x:v>
      </x:c>
      <x:c r="G2811" s="78" t="n">
        <x:f>F2811*'Inputs'!$F$51</x:f>
        <x:v>227517.47513604915</x:v>
      </x:c>
      <x:c r="H2811" s="78" t="n">
        <x:f>U2810</x:f>
        <x:v>480797.7280402235</x:v>
      </x:c>
      <x:c r="I2811" s="78" t="n">
        <x:f>V2810</x:f>
        <x:v>474574.3460295474</x:v>
      </x:c>
      <x:c r="J2811" s="79" t="n">
        <x:f>IF(H2811&gt;0,I2811/H2811,0)</x:f>
        <x:v>0.9870561326567762</x:v>
      </x:c>
      <x:c r="K2811" s="80" t="n">
        <x:f>(H2811*J2811+I2811)*'Inputs'!$D$51*(1+'Inputs'!$G$51)^(B2811/30)</x:f>
        <x:v>4296867.190138979</x:v>
      </x:c>
      <x:c r="L2811" s="80" t="n">
        <x:f>MAX(0,K2811*'Inputs'!$E$51)</x:f>
        <x:v>429686.71901389793</x:v>
      </x:c>
      <x:c r="M2811" s="80" t="n">
        <x:f>MAX(0,-K2811*'Inputs'!$E$51)</x:f>
        <x:v>0</x:v>
      </x:c>
      <x:c r="N2811" s="78" t="n">
        <x:f>H2811*(L2811*(1-'Inputs'!$B$15))/(I2811+L2811*(1-'Inputs'!$B$15))</x:f>
        <x:v>227260.67856486925</x:v>
      </x:c>
      <x:c r="O2811" s="78" t="n">
        <x:f>H2811-N2811</x:f>
        <x:v>253537.04947535423</x:v>
      </x:c>
      <x:c r="P2811" s="78" t="n">
        <x:f>I2811+L2811*(1-'Inputs'!$B$17)</x:f>
        <x:v>902531.9434377556</x:v>
      </x:c>
      <x:c r="Q2811" s="78" t="n">
        <x:f>IF(J2811&gt;0,M2811/J2811,0)</x:f>
        <x:v>0</x:v>
      </x:c>
      <x:c r="R2811" s="78" t="n">
        <x:f>IF(B2811='Inputs'!$H$51,'Inputs'!$B$27*'Inputs'!$I$51,0)</x:f>
        <x:v>0</x:v>
      </x:c>
      <x:c r="S2811" s="78" t="n">
        <x:f>Q2811+G2811+R2811</x:f>
        <x:v>227517.47513604915</x:v>
      </x:c>
      <x:c r="T2811" s="78" t="n">
        <x:f>P2811*(S2811*(1-'Inputs'!$B$15))/(O2811+S2811*(1-'Inputs'!$B$15))</x:f>
        <x:v>424597.1994615247</x:v>
      </x:c>
      <x:c r="U2811" s="78" t="n">
        <x:f>O2811+S2811*(1-'Inputs'!$B$17)</x:f>
        <x:v>480138.96133117785</x:v>
      </x:c>
      <x:c r="V2811" s="78" t="n">
        <x:f>P2811-T2811</x:f>
        <x:v>477934.74397623085</x:v>
      </x:c>
      <x:c r="W2811" s="79" t="n">
        <x:f>IF(U2811&gt;0,V2811/U2811,0)</x:f>
        <x:v>0.9954092095570919</x:v>
      </x:c>
      <x:c r="X2811" s="80" t="n">
        <x:f>W2811*('Inputs'!$B$6-AC2811)</x:f>
        <x:v>993191335.4618453</x:v>
      </x:c>
      <x:c r="Y2811" s="80" t="n">
        <x:f>2*V2811</x:f>
        <x:v>955869.4879524617</x:v>
      </x:c>
      <x:c r="Z2811" s="80" t="n">
        <x:f>K2811*'Inputs'!$B$16+(G2811+R2811)*J2811*'Inputs'!$B$16</x:f>
        <x:v>27128.63825555161</x:v>
      </x:c>
      <x:c r="AA2811" s="80" t="n">
        <x:f>K2811*(1+'Inputs'!$E$51)/2*'Inputs'!$B$17</x:f>
        <x:v>9510.168831293517</x:v>
      </x:c>
      <x:c r="AB2811" s="78" t="n">
        <x:f>(IF(J2811&gt;0,K2811*(1-'Inputs'!$E$51)/2/J2811,0)+G2811+R2811)*'Inputs'!$B$17</x:f>
        <x:v>8798.648110122907</x:v>
      </x:c>
      <x:c r="AC2811" s="78" t="n">
        <x:f>AC2810+AB2811</x:f>
        <x:v>2228102.8485093056</x:v>
      </x:c>
      <x:c r="AD2811" s="80" t="n">
        <x:f>Z2811/(1+'Inputs'!$C$51)</x:f>
        <x:v>9042.879418517203</x:v>
      </x:c>
      <x:c r="AE2811" s="80" t="n">
        <x:f>Z2811-AD2811</x:f>
        <x:v>18085.75883703441</x:v>
      </x:c>
      <x:c r="AF2811" s="80" t="n">
        <x:f>D2811*W2811</x:f>
        <x:v>268716.357207975</x:v>
      </x:c>
      <x:c r="AG2811" s="80" t="n">
        <x:f>C2811*W2811</x:f>
        <x:v>627004.8334852799</x:v>
      </x:c>
      <x:c r="AH2811" s="80" t="n">
        <x:f>2*'Inputs'!$B$8*'Inputs'!$C$51</x:f>
        <x:v>10000</x:v>
      </x:c>
      <x:c r="AI2811" s="81" t="n">
        <x:f>IF(AH2811&gt;0,(AE2811+AF2811)/AH2811*365,0)</x:f>
        <x:v>10468.277235642843</x:v>
      </x:c>
      <x:c r="AJ2811" s="81" t="n">
        <x:f>IF('Inputs'!$B$51&gt;0,AG2811/('Inputs'!$B$19*'Inputs'!$B$51)*365,0)</x:f>
        <x:v>22885.676422212717</x:v>
      </x:c>
      <x:c r="AK2811" s="81" t="n">
        <x:f>W2811/MAX($W$2559:W2811)-1</x:f>
        <x:v>0</x:v>
      </x:c>
      <x:c r="AL2811" s="83" t="n">
        <x:f>'Inputs'!$B$51</x:f>
        <x:v>1</x:v>
      </x:c>
      <x:c r="AM2811" s="83" t="n">
        <x:f>'Inputs'!$C$51</x:f>
        <x:v>2</x:v>
      </x:c>
      <x:c r="AN2811" s="83" t="n">
        <x:f>'Inputs'!$D$51</x:f>
        <x:v>3</x:v>
      </x:c>
      <x:c r="AO2811" s="81" t="n">
        <x:f>'Inputs'!$E$51</x:f>
        <x:v>0.1</x:v>
      </x:c>
    </x:row>
    <x:row r="2812">
      <x:c r="A2812" s="59" t="str">
        <x:v>High demand</x:v>
      </x:c>
      <x:c r="B2812" s="59" t="n">
        <x:v>254</x:v>
      </x:c>
      <x:c r="C2812" s="78" t="n">
        <x:f>(('Inputs'!$B$29*(3*254*'Inputs'!$B$12-254^2)/(2*'Inputs'!$B$12^2))-('Inputs'!$B$29*(3*253*'Inputs'!$B$12-253^2)/(2*'Inputs'!$B$12^2)))*'Inputs'!$B$51</x:f>
        <x:v>629571.4486770332</x:v>
      </x:c>
      <x:c r="D2812" s="78" t="n">
        <x:f>IF('Inputs'!$C$51&gt;0,('Inputs'!$B$30*(3*254*'Inputs'!$B$12-254^2)/(2*'Inputs'!$B$12^2))-('Inputs'!$B$30*(3*253*'Inputs'!$B$12-253^2)/(2*'Inputs'!$B$12^2)),0)</x:f>
        <x:v>269816.3351473063</x:v>
      </x:c>
      <x:c r="E2812" s="78" t="n">
        <x:f>C2812+D2812</x:f>
        <x:v>899387.7838243395</x:v>
      </x:c>
      <x:c r="F2812" s="78" t="n">
        <x:f>'Inputs'!$B$13*E2812+(1-'Inputs'!$B$13)/'Inputs'!$B$14*SUM(E2757:E2812)</x:f>
        <x:v>909605.4606868045</x:v>
      </x:c>
      <x:c r="G2812" s="78" t="n">
        <x:f>F2812*'Inputs'!$F$51</x:f>
        <x:v>227401.36517170112</x:v>
      </x:c>
      <x:c r="H2812" s="78" t="n">
        <x:f>U2811</x:f>
        <x:v>480138.96133117785</x:v>
      </x:c>
      <x:c r="I2812" s="78" t="n">
        <x:f>V2811</x:f>
        <x:v>477934.74397623085</x:v>
      </x:c>
      <x:c r="J2812" s="79" t="n">
        <x:f>IF(H2812&gt;0,I2812/H2812,0)</x:f>
        <x:v>0.9954092095570919</x:v>
      </x:c>
      <x:c r="K2812" s="80" t="n">
        <x:f>(H2812*J2812+I2812)*'Inputs'!$D$51*(1+'Inputs'!$G$51)^(B2812/30)</x:f>
        <x:v>4334336.106324081</x:v>
      </x:c>
      <x:c r="L2812" s="80" t="n">
        <x:f>MAX(0,K2812*'Inputs'!$E$51)</x:f>
        <x:v>433433.6106324082</x:v>
      </x:c>
      <x:c r="M2812" s="80" t="n">
        <x:f>MAX(0,-K2812*'Inputs'!$E$51)</x:f>
        <x:v>0</x:v>
      </x:c>
      <x:c r="N2812" s="78" t="n">
        <x:f>H2812*(L2812*(1-'Inputs'!$B$15))/(I2812+L2812*(1-'Inputs'!$B$15))</x:f>
        <x:v>227143.9392307535</x:v>
      </x:c>
      <x:c r="O2812" s="78" t="n">
        <x:f>H2812-N2812</x:f>
        <x:v>252995.02210042436</x:v>
      </x:c>
      <x:c r="P2812" s="78" t="n">
        <x:f>I2812+L2812*(1-'Inputs'!$B$17)</x:f>
        <x:v>909624.1549682671</x:v>
      </x:c>
      <x:c r="Q2812" s="78" t="n">
        <x:f>IF(J2812&gt;0,M2812/J2812,0)</x:f>
        <x:v>0</x:v>
      </x:c>
      <x:c r="R2812" s="78" t="n">
        <x:f>IF(B2812='Inputs'!$H$51,'Inputs'!$B$27*'Inputs'!$I$51,0)</x:f>
        <x:v>0</x:v>
      </x:c>
      <x:c r="S2812" s="78" t="n">
        <x:f>Q2812+G2812+R2812</x:f>
        <x:v>227401.36517170112</x:v>
      </x:c>
      <x:c r="T2812" s="78" t="n">
        <x:f>P2812*(S2812*(1-'Inputs'!$B$15))/(O2812+S2812*(1-'Inputs'!$B$15))</x:f>
        <x:v>428303.0625318316</x:v>
      </x:c>
      <x:c r="U2812" s="78" t="n">
        <x:f>O2812+S2812*(1-'Inputs'!$B$17)</x:f>
        <x:v>479481.29123521724</x:v>
      </x:c>
      <x:c r="V2812" s="78" t="n">
        <x:f>P2812-T2812</x:f>
        <x:v>481321.09243643546</x:v>
      </x:c>
      <x:c r="W2812" s="79" t="n">
        <x:f>IF(U2812&gt;0,V2812/U2812,0)</x:f>
        <x:v>1.003837065668357</x:v>
      </x:c>
      <x:c r="X2812" s="80" t="n">
        <x:f>W2812*('Inputs'!$B$6-AC2812)</x:f>
        <x:v>1001591579.4827354</x:v>
      </x:c>
      <x:c r="Y2812" s="80" t="n">
        <x:f>2*V2812</x:f>
        <x:v>962642.1848728709</x:v>
      </x:c>
      <x:c r="Z2812" s="80" t="n">
        <x:f>K2812*'Inputs'!$B$16+(G2812+R2812)*J2812*'Inputs'!$B$16</x:f>
        <x:v>27364.16111689109</x:v>
      </x:c>
      <x:c r="AA2812" s="80" t="n">
        <x:f>K2812*(1+'Inputs'!$E$51)/2*'Inputs'!$B$17</x:f>
        <x:v>9593.098022045251</x:v>
      </x:c>
      <x:c r="AB2812" s="78" t="n">
        <x:f>(IF(J2812&gt;0,K2812*(1-'Inputs'!$E$51)/2/J2812,0)+G2812+R2812)*'Inputs'!$B$17</x:f>
        <x:v>8800.193247497416</x:v>
      </x:c>
      <x:c r="AC2812" s="78" t="n">
        <x:f>AC2811+AB2812</x:f>
        <x:v>2236903.041756803</x:v>
      </x:c>
      <x:c r="AD2812" s="80" t="n">
        <x:f>Z2812/(1+'Inputs'!$C$51)</x:f>
        <x:v>9121.387038963696</x:v>
      </x:c>
      <x:c r="AE2812" s="80" t="n">
        <x:f>Z2812-AD2812</x:f>
        <x:v>18242.774077927395</x:v>
      </x:c>
      <x:c r="AF2812" s="80" t="n">
        <x:f>D2812*W2812</x:f>
        <x:v>270851.63814366196</x:v>
      </x:c>
      <x:c r="AG2812" s="80" t="n">
        <x:f>C2812*W2812</x:f>
        <x:v>631987.1556685297</x:v>
      </x:c>
      <x:c r="AH2812" s="80" t="n">
        <x:f>2*'Inputs'!$B$8*'Inputs'!$C$51</x:f>
        <x:v>10000</x:v>
      </x:c>
      <x:c r="AI2812" s="81" t="n">
        <x:f>IF(AH2812&gt;0,(AE2812+AF2812)/AH2812*365,0)</x:f>
        <x:v>10551.946046088011</x:v>
      </x:c>
      <x:c r="AJ2812" s="81" t="n">
        <x:f>IF('Inputs'!$B$51&gt;0,AG2812/('Inputs'!$B$19*'Inputs'!$B$51)*365,0)</x:f>
        <x:v>23067.531181901333</x:v>
      </x:c>
      <x:c r="AK2812" s="81" t="n">
        <x:f>W2812/MAX($W$2559:W2812)-1</x:f>
        <x:v>0</x:v>
      </x:c>
      <x:c r="AL2812" s="83" t="n">
        <x:f>'Inputs'!$B$51</x:f>
        <x:v>1</x:v>
      </x:c>
      <x:c r="AM2812" s="83" t="n">
        <x:f>'Inputs'!$C$51</x:f>
        <x:v>2</x:v>
      </x:c>
      <x:c r="AN2812" s="83" t="n">
        <x:f>'Inputs'!$D$51</x:f>
        <x:v>3</x:v>
      </x:c>
      <x:c r="AO2812" s="81" t="n">
        <x:f>'Inputs'!$E$51</x:f>
        <x:v>0.1</x:v>
      </x:c>
    </x:row>
    <x:row r="2813">
      <x:c r="A2813" s="59" t="str">
        <x:v>High demand</x:v>
      </x:c>
      <x:c r="B2813" s="59" t="n">
        <x:v>255</x:v>
      </x:c>
      <x:c r="C2813" s="78" t="n">
        <x:f>(('Inputs'!$B$29*(3*255*'Inputs'!$B$12-255^2)/(2*'Inputs'!$B$12^2))-('Inputs'!$B$29*(3*254*'Inputs'!$B$12-254^2)/(2*'Inputs'!$B$12^2)))*'Inputs'!$B$51</x:f>
        <x:v>629246.3407768905</x:v>
      </x:c>
      <x:c r="D2813" s="78" t="n">
        <x:f>IF('Inputs'!$C$51&gt;0,('Inputs'!$B$30*(3*255*'Inputs'!$B$12-255^2)/(2*'Inputs'!$B$12^2))-('Inputs'!$B$30*(3*254*'Inputs'!$B$12-254^2)/(2*'Inputs'!$B$12^2)),0)</x:f>
        <x:v>269677.0031900853</x:v>
      </x:c>
      <x:c r="E2813" s="78" t="n">
        <x:f>C2813+D2813</x:f>
        <x:v>898923.3439669758</x:v>
      </x:c>
      <x:c r="F2813" s="78" t="n">
        <x:f>'Inputs'!$B$13*E2813+(1-'Inputs'!$B$13)/'Inputs'!$B$14*SUM(E2758:E2813)</x:f>
        <x:v>909141.0208294244</x:v>
      </x:c>
      <x:c r="G2813" s="78" t="n">
        <x:f>F2813*'Inputs'!$F$51</x:f>
        <x:v>227285.2552073561</x:v>
      </x:c>
      <x:c r="H2813" s="78" t="n">
        <x:f>U2812</x:f>
        <x:v>479481.29123521724</x:v>
      </x:c>
      <x:c r="I2813" s="78" t="n">
        <x:f>V2812</x:f>
        <x:v>481321.09243643546</x:v>
      </x:c>
      <x:c r="J2813" s="79" t="n">
        <x:f>IF(H2813&gt;0,I2813/H2813,0)</x:f>
        <x:v>1.003837065668357</x:v>
      </x:c>
      <x:c r="K2813" s="80" t="n">
        <x:f>(H2813*J2813+I2813)*'Inputs'!$D$51*(1+'Inputs'!$G$51)^(B2813/30)</x:f>
        <x:v>4372151.3376803305</x:v>
      </x:c>
      <x:c r="L2813" s="80" t="n">
        <x:f>MAX(0,K2813*'Inputs'!$E$51)</x:f>
        <x:v>437215.13376803306</x:v>
      </x:c>
      <x:c r="M2813" s="80" t="n">
        <x:f>MAX(0,-K2813*'Inputs'!$E$51)</x:f>
        <x:v>0</x:v>
      </x:c>
      <x:c r="N2813" s="78" t="n">
        <x:f>H2813*(L2813*(1-'Inputs'!$B$15))/(I2813+L2813*(1-'Inputs'!$B$15))</x:f>
        <x:v>227027.20203487616</x:v>
      </x:c>
      <x:c r="O2813" s="78" t="n">
        <x:f>H2813-N2813</x:f>
        <x:v>252454.08920034108</x:v>
      </x:c>
      <x:c r="P2813" s="78" t="n">
        <x:f>I2813+L2813*(1-'Inputs'!$B$17)</x:f>
        <x:v>916776.8091671725</x:v>
      </x:c>
      <x:c r="Q2813" s="78" t="n">
        <x:f>IF(J2813&gt;0,M2813/J2813,0)</x:f>
        <x:v>0</x:v>
      </x:c>
      <x:c r="R2813" s="78" t="n">
        <x:f>IF(B2813='Inputs'!$H$51,'Inputs'!$B$27*'Inputs'!$I$51,0)</x:f>
        <x:v>0</x:v>
      </x:c>
      <x:c r="S2813" s="78" t="n">
        <x:f>Q2813+G2813+R2813</x:f>
        <x:v>227285.2552073561</x:v>
      </x:c>
      <x:c r="T2813" s="78" t="n">
        <x:f>P2813*(S2813*(1-'Inputs'!$B$15))/(O2813+S2813*(1-'Inputs'!$B$15))</x:f>
        <x:v>432043.20313167816</x:v>
      </x:c>
      <x:c r="U2813" s="78" t="n">
        <x:f>O2813+S2813*(1-'Inputs'!$B$17)</x:f>
        <x:v>478824.7156141062</x:v>
      </x:c>
      <x:c r="V2813" s="78" t="n">
        <x:f>P2813-T2813</x:f>
        <x:v>484733.60603549436</x:v>
      </x:c>
      <x:c r="W2813" s="79" t="n">
        <x:f>IF(U2813&gt;0,V2813/U2813,0)</x:f>
        <x:v>1.0123404039697697</x:v>
      </x:c>
      <x:c r="X2813" s="80" t="n">
        <x:f>W2813*('Inputs'!$B$6-AC2813)</x:f>
        <x:v>1010066986.2816936</x:v>
      </x:c>
      <x:c r="Y2813" s="80" t="n">
        <x:f>2*V2813</x:f>
        <x:v>969467.2120709887</x:v>
      </x:c>
      <x:c r="Z2813" s="80" t="n">
        <x:f>K2813*'Inputs'!$B$16+(G2813+R2813)*J2813*'Inputs'!$B$16</x:f>
        <x:v>27601.8522080242</x:v>
      </x:c>
      <x:c r="AA2813" s="80" t="n">
        <x:f>K2813*(1+'Inputs'!$E$51)/2*'Inputs'!$B$17</x:f>
        <x:v>9676.793705127493</x:v>
      </x:c>
      <x:c r="AB2813" s="78" t="n">
        <x:f>(IF(J2813&gt;0,K2813*(1-'Inputs'!$E$51)/2/J2813,0)+G2813+R2813)*'Inputs'!$B$17</x:f>
        <x:v>8801.74208977134</x:v>
      </x:c>
      <x:c r="AC2813" s="78" t="n">
        <x:f>AC2812+AB2813</x:f>
        <x:v>2245704.7838465744</x:v>
      </x:c>
      <x:c r="AD2813" s="80" t="n">
        <x:f>Z2813/(1+'Inputs'!$C$51)</x:f>
        <x:v>9200.617402674734</x:v>
      </x:c>
      <x:c r="AE2813" s="80" t="n">
        <x:f>Z2813-AD2813</x:f>
        <x:v>18401.234805349464</x:v>
      </x:c>
      <x:c r="AF2813" s="80" t="n">
        <x:f>D2813*W2813</x:f>
        <x:v>273004.92635080783</x:v>
      </x:c>
      <x:c r="AG2813" s="80" t="n">
        <x:f>C2813*W2813</x:f>
        <x:v>637011.4948185767</x:v>
      </x:c>
      <x:c r="AH2813" s="80" t="n">
        <x:f>2*'Inputs'!$B$8*'Inputs'!$C$51</x:f>
        <x:v>10000</x:v>
      </x:c>
      <x:c r="AI2813" s="81" t="n">
        <x:f>IF(AH2813&gt;0,(AE2813+AF2813)/AH2813*365,0)</x:f>
        <x:v>10636.32488219974</x:v>
      </x:c>
      <x:c r="AJ2813" s="81" t="n">
        <x:f>IF('Inputs'!$B$51&gt;0,AG2813/('Inputs'!$B$19*'Inputs'!$B$51)*365,0)</x:f>
        <x:v>23250.91956087805</x:v>
      </x:c>
      <x:c r="AK2813" s="81" t="n">
        <x:f>W2813/MAX($W$2559:W2813)-1</x:f>
        <x:v>0</x:v>
      </x:c>
      <x:c r="AL2813" s="83" t="n">
        <x:f>'Inputs'!$B$51</x:f>
        <x:v>1</x:v>
      </x:c>
      <x:c r="AM2813" s="83" t="n">
        <x:f>'Inputs'!$C$51</x:f>
        <x:v>2</x:v>
      </x:c>
      <x:c r="AN2813" s="83" t="n">
        <x:f>'Inputs'!$D$51</x:f>
        <x:v>3</x:v>
      </x:c>
      <x:c r="AO2813" s="81" t="n">
        <x:f>'Inputs'!$E$51</x:f>
        <x:v>0.1</x:v>
      </x:c>
    </x:row>
    <x:row r="2814">
      <x:c r="A2814" s="59" t="str">
        <x:v>High demand</x:v>
      </x:c>
      <x:c r="B2814" s="59" t="n">
        <x:v>256</x:v>
      </x:c>
      <x:c r="C2814" s="78" t="n">
        <x:f>(('Inputs'!$B$29*(3*256*'Inputs'!$B$12-256^2)/(2*'Inputs'!$B$12^2))-('Inputs'!$B$29*(3*255*'Inputs'!$B$12-255^2)/(2*'Inputs'!$B$12^2)))*'Inputs'!$B$51</x:f>
        <x:v>628921.232876718</x:v>
      </x:c>
      <x:c r="D2814" s="78" t="n">
        <x:f>IF('Inputs'!$C$51&gt;0,('Inputs'!$B$30*(3*256*'Inputs'!$B$12-256^2)/(2*'Inputs'!$B$12^2))-('Inputs'!$B$30*(3*255*'Inputs'!$B$12-255^2)/(2*'Inputs'!$B$12^2)),0)</x:f>
        <x:v>269537.67123287916</x:v>
      </x:c>
      <x:c r="E2814" s="78" t="n">
        <x:f>C2814+D2814</x:f>
        <x:v>898458.9041095972</x:v>
      </x:c>
      <x:c r="F2814" s="78" t="n">
        <x:f>'Inputs'!$B$13*E2814+(1-'Inputs'!$B$13)/'Inputs'!$B$14*SUM(E2759:E2814)</x:f>
        <x:v>908676.5809720415</x:v>
      </x:c>
      <x:c r="G2814" s="78" t="n">
        <x:f>F2814*'Inputs'!$F$51</x:f>
        <x:v>227169.14524301037</x:v>
      </x:c>
      <x:c r="H2814" s="78" t="n">
        <x:f>U2813</x:f>
        <x:v>478824.7156141062</x:v>
      </x:c>
      <x:c r="I2814" s="78" t="n">
        <x:f>V2813</x:f>
        <x:v>484733.60603549436</x:v>
      </x:c>
      <x:c r="J2814" s="79" t="n">
        <x:f>IF(H2814&gt;0,I2814/H2814,0)</x:f>
        <x:v>1.0123404039697697</x:v>
      </x:c>
      <x:c r="K2814" s="80" t="n">
        <x:f>(H2814*J2814+I2814)*'Inputs'!$D$51*(1+'Inputs'!$G$51)^(B2814/30)</x:f>
        <x:v>4410316.248745422</x:v>
      </x:c>
      <x:c r="L2814" s="80" t="n">
        <x:f>MAX(0,K2814*'Inputs'!$E$51)</x:f>
        <x:v>441031.62487454223</x:v>
      </x:c>
      <x:c r="M2814" s="80" t="n">
        <x:f>MAX(0,-K2814*'Inputs'!$E$51)</x:f>
        <x:v>0</x:v>
      </x:c>
      <x:c r="N2814" s="78" t="n">
        <x:f>H2814*(L2814*(1-'Inputs'!$B$15))/(I2814+L2814*(1-'Inputs'!$B$15))</x:f>
        <x:v>226910.4669731562</x:v>
      </x:c>
      <x:c r="O2814" s="78" t="n">
        <x:f>H2814-N2814</x:f>
        <x:v>251914.24864095</x:v>
      </x:c>
      <x:c r="P2814" s="78" t="n">
        <x:f>I2814+L2814*(1-'Inputs'!$B$17)</x:f>
        <x:v>923990.455759636</x:v>
      </x:c>
      <x:c r="Q2814" s="78" t="n">
        <x:f>IF(J2814&gt;0,M2814/J2814,0)</x:f>
        <x:v>0</x:v>
      </x:c>
      <x:c r="R2814" s="78" t="n">
        <x:f>IF(B2814='Inputs'!$H$51,'Inputs'!$B$27*'Inputs'!$I$51,0)</x:f>
        <x:v>0</x:v>
      </x:c>
      <x:c r="S2814" s="78" t="n">
        <x:f>Q2814+G2814+R2814</x:f>
        <x:v>227169.14524301037</x:v>
      </x:c>
      <x:c r="T2814" s="78" t="n">
        <x:f>P2814*(S2814*(1-'Inputs'!$B$15))/(O2814+S2814*(1-'Inputs'!$B$15))</x:f>
        <x:v>435817.9544827348</x:v>
      </x:c>
      <x:c r="U2814" s="78" t="n">
        <x:f>O2814+S2814*(1-'Inputs'!$B$17)</x:f>
        <x:v>478169.23233368667</x:v>
      </x:c>
      <x:c r="V2814" s="78" t="n">
        <x:f>P2814-T2814</x:f>
        <x:v>488172.5012769012</x:v>
      </x:c>
      <x:c r="W2814" s="79" t="n">
        <x:f>IF(U2814&gt;0,V2814/U2814,0)</x:f>
        <x:v>1.0209199343387152</x:v>
      </x:c>
      <x:c r="X2814" s="80" t="n">
        <x:f>W2814*('Inputs'!$B$6-AC2814)</x:f>
        <x:v>1018618262.0992628</x:v>
      </x:c>
      <x:c r="Y2814" s="80" t="n">
        <x:f>2*V2814</x:f>
        <x:v>976345.0025538024</x:v>
      </x:c>
      <x:c r="Z2814" s="80" t="n">
        <x:f>K2814*'Inputs'!$B$16+(G2814+R2814)*J2814*'Inputs'!$B$16</x:f>
        <x:v>27841.73251806119</x:v>
      </x:c>
      <x:c r="AA2814" s="80" t="n">
        <x:f>K2814*(1+'Inputs'!$E$51)/2*'Inputs'!$B$17</x:f>
        <x:v>9761.263327203149</x:v>
      </x:c>
      <x:c r="AB2814" s="78" t="n">
        <x:f>(IF(J2814&gt;0,K2814*(1-'Inputs'!$E$51)/2/J2814,0)+G2814+R2814)*'Inputs'!$B$17</x:f>
        <x:v>8803.294637804847</x:v>
      </x:c>
      <x:c r="AC2814" s="78" t="n">
        <x:f>AC2813+AB2814</x:f>
        <x:v>2254508.078484379</x:v>
      </x:c>
      <x:c r="AD2814" s="80" t="n">
        <x:f>Z2814/(1+'Inputs'!$C$51)</x:f>
        <x:v>9280.577506020398</x:v>
      </x:c>
      <x:c r="AE2814" s="80" t="n">
        <x:f>Z2814-AD2814</x:f>
        <x:v>18561.155012040792</x:v>
      </x:c>
      <x:c r="AF2814" s="80" t="n">
        <x:f>D2814*W2814</x:f>
        <x:v>275176.3816168812</x:v>
      </x:c>
      <x:c r="AG2814" s="80" t="n">
        <x:f>C2814*W2814</x:f>
        <x:v>642078.2237727228</x:v>
      </x:c>
      <x:c r="AH2814" s="80" t="n">
        <x:f>2*'Inputs'!$B$8*'Inputs'!$C$51</x:f>
        <x:v>10000</x:v>
      </x:c>
      <x:c r="AI2814" s="81" t="n">
        <x:f>IF(AH2814&gt;0,(AE2814+AF2814)/AH2814*365,0)</x:f>
        <x:v>10721.420086955652</x:v>
      </x:c>
      <x:c r="AJ2814" s="81" t="n">
        <x:f>IF('Inputs'!$B$51&gt;0,AG2814/('Inputs'!$B$19*'Inputs'!$B$51)*365,0)</x:f>
        <x:v>23435.855167704383</x:v>
      </x:c>
      <x:c r="AK2814" s="81" t="n">
        <x:f>W2814/MAX($W$2559:W2814)-1</x:f>
        <x:v>0</x:v>
      </x:c>
      <x:c r="AL2814" s="83" t="n">
        <x:f>'Inputs'!$B$51</x:f>
        <x:v>1</x:v>
      </x:c>
      <x:c r="AM2814" s="83" t="n">
        <x:f>'Inputs'!$C$51</x:f>
        <x:v>2</x:v>
      </x:c>
      <x:c r="AN2814" s="83" t="n">
        <x:f>'Inputs'!$D$51</x:f>
        <x:v>3</x:v>
      </x:c>
      <x:c r="AO2814" s="81" t="n">
        <x:f>'Inputs'!$E$51</x:f>
        <x:v>0.1</x:v>
      </x:c>
    </x:row>
    <x:row r="2815">
      <x:c r="A2815" s="59" t="str">
        <x:v>High demand</x:v>
      </x:c>
      <x:c r="B2815" s="59" t="n">
        <x:v>257</x:v>
      </x:c>
      <x:c r="C2815" s="78" t="n">
        <x:f>(('Inputs'!$B$29*(3*257*'Inputs'!$B$12-257^2)/(2*'Inputs'!$B$12^2))-('Inputs'!$B$29*(3*256*'Inputs'!$B$12-256^2)/(2*'Inputs'!$B$12^2)))*'Inputs'!$B$51</x:f>
        <x:v>628596.1249765456</x:v>
      </x:c>
      <x:c r="D2815" s="78" t="n">
        <x:f>IF('Inputs'!$C$51&gt;0,('Inputs'!$B$30*(3*257*'Inputs'!$B$12-257^2)/(2*'Inputs'!$B$12^2))-('Inputs'!$B$30*(3*256*'Inputs'!$B$12-256^2)/(2*'Inputs'!$B$12^2)),0)</x:f>
        <x:v>269398.33927565813</x:v>
      </x:c>
      <x:c r="E2815" s="78" t="n">
        <x:f>C2815+D2815</x:f>
        <x:v>897994.4642522037</x:v>
      </x:c>
      <x:c r="F2815" s="78" t="n">
        <x:f>'Inputs'!$B$13*E2815+(1-'Inputs'!$B$13)/'Inputs'!$B$14*SUM(E2760:E2815)</x:f>
        <x:v>908212.1411146556</x:v>
      </x:c>
      <x:c r="G2815" s="78" t="n">
        <x:f>F2815*'Inputs'!$F$51</x:f>
        <x:v>227053.0352786639</x:v>
      </x:c>
      <x:c r="H2815" s="78" t="n">
        <x:f>U2814</x:f>
        <x:v>478169.23233368667</x:v>
      </x:c>
      <x:c r="I2815" s="78" t="n">
        <x:f>V2814</x:f>
        <x:v>488172.5012769012</x:v>
      </x:c>
      <x:c r="J2815" s="79" t="n">
        <x:f>IF(H2815&gt;0,I2815/H2815,0)</x:f>
        <x:v>1.0209199343387152</x:v>
      </x:c>
      <x:c r="K2815" s="80" t="n">
        <x:f>(H2815*J2815+I2815)*'Inputs'!$D$51*(1+'Inputs'!$G$51)^(B2815/30)</x:f>
        <x:v>4448834.238189698</x:v>
      </x:c>
      <x:c r="L2815" s="80" t="n">
        <x:f>MAX(0,K2815*'Inputs'!$E$51)</x:f>
        <x:v>444883.42381896987</x:v>
      </x:c>
      <x:c r="M2815" s="80" t="n">
        <x:f>MAX(0,-K2815*'Inputs'!$E$51)</x:f>
        <x:v>0</x:v>
      </x:c>
      <x:c r="N2815" s="78" t="n">
        <x:f>H2815*(L2815*(1-'Inputs'!$B$15))/(I2815+L2815*(1-'Inputs'!$B$15))</x:f>
        <x:v>226793.73404151722</x:v>
      </x:c>
      <x:c r="O2815" s="78" t="n">
        <x:f>H2815-N2815</x:f>
        <x:v>251375.49829216945</x:v>
      </x:c>
      <x:c r="P2815" s="78" t="n">
        <x:f>I2815+L2815*(1-'Inputs'!$B$17)</x:f>
        <x:v>931265.649748511</x:v>
      </x:c>
      <x:c r="Q2815" s="78" t="n">
        <x:f>IF(J2815&gt;0,M2815/J2815,0)</x:f>
        <x:v>0</x:v>
      </x:c>
      <x:c r="R2815" s="78" t="n">
        <x:f>IF(B2815='Inputs'!$H$51,'Inputs'!$B$27*'Inputs'!$I$51,0)</x:f>
        <x:v>0</x:v>
      </x:c>
      <x:c r="S2815" s="78" t="n">
        <x:f>Q2815+G2815+R2815</x:f>
        <x:v>227053.0352786639</x:v>
      </x:c>
      <x:c r="T2815" s="78" t="n">
        <x:f>P2815*(S2815*(1-'Inputs'!$B$15))/(O2815+S2815*(1-'Inputs'!$B$15))</x:f>
        <x:v>439627.653188968</x:v>
      </x:c>
      <x:c r="U2815" s="78" t="n">
        <x:f>O2815+S2815*(1-'Inputs'!$B$17)</x:f>
        <x:v>477514.83926387696</x:v>
      </x:c>
      <x:c r="V2815" s="78" t="n">
        <x:f>P2815-T2815</x:f>
        <x:v>491637.996559543</x:v>
      </x:c>
      <x:c r="W2815" s="79" t="n">
        <x:f>IF(U2815&gt;0,V2815/U2815,0)</x:f>
        <x:v>1.0295763736210541</x:v>
      </x:c>
      <x:c r="X2815" s="80" t="n">
        <x:f>W2815*('Inputs'!$B$6-AC2815)</x:f>
        <x:v>1027246120.1028566</x:v>
      </x:c>
      <x:c r="Y2815" s="80" t="n">
        <x:f>2*V2815</x:f>
        <x:v>983275.993119086</x:v>
      </x:c>
      <x:c r="Z2815" s="80" t="n">
        <x:f>K2815*'Inputs'!$B$16+(G2815+R2815)*J2815*'Inputs'!$B$16</x:f>
        <x:v>28083.823248346787</x:v>
      </x:c>
      <x:c r="AA2815" s="80" t="n">
        <x:f>K2815*(1+'Inputs'!$E$51)/2*'Inputs'!$B$17</x:f>
        <x:v>9846.514410480218</x:v>
      </x:c>
      <x:c r="AB2815" s="78" t="n">
        <x:f>(IF(J2815&gt;0,K2815*(1-'Inputs'!$E$51)/2/J2815,0)+G2815+R2815)*'Inputs'!$B$17</x:f>
        <x:v>8804.850892451495</x:v>
      </x:c>
      <x:c r="AC2815" s="78" t="n">
        <x:f>AC2814+AB2815</x:f>
        <x:v>2263312.929376831</x:v>
      </x:c>
      <x:c r="AD2815" s="80" t="n">
        <x:f>Z2815/(1+'Inputs'!$C$51)</x:f>
        <x:v>9361.274416115595</x:v>
      </x:c>
      <x:c r="AE2815" s="80" t="n">
        <x:f>Z2815-AD2815</x:f>
        <x:v>18722.548832231194</x:v>
      </x:c>
      <x:c r="AF2815" s="80" t="n">
        <x:f>D2815*W2815</x:f>
        <x:v>277366.1652109665</x:v>
      </x:c>
      <x:c r="AG2815" s="80" t="n">
        <x:f>C2815*W2815</x:f>
        <x:v>647187.7188255987</x:v>
      </x:c>
      <x:c r="AH2815" s="80" t="n">
        <x:f>2*'Inputs'!$B$8*'Inputs'!$C$51</x:f>
        <x:v>10000</x:v>
      </x:c>
      <x:c r="AI2815" s="81" t="n">
        <x:f>IF(AH2815&gt;0,(AE2815+AF2815)/AH2815*365,0)</x:f>
        <x:v>10807.238062576715</x:v>
      </x:c>
      <x:c r="AJ2815" s="81" t="n">
        <x:f>IF('Inputs'!$B$51&gt;0,AG2815/('Inputs'!$B$19*'Inputs'!$B$51)*365,0)</x:f>
        <x:v>23622.351737134355</x:v>
      </x:c>
      <x:c r="AK2815" s="81" t="n">
        <x:f>W2815/MAX($W$2559:W2815)-1</x:f>
        <x:v>0</x:v>
      </x:c>
      <x:c r="AL2815" s="83" t="n">
        <x:f>'Inputs'!$B$51</x:f>
        <x:v>1</x:v>
      </x:c>
      <x:c r="AM2815" s="83" t="n">
        <x:f>'Inputs'!$C$51</x:f>
        <x:v>2</x:v>
      </x:c>
      <x:c r="AN2815" s="83" t="n">
        <x:f>'Inputs'!$D$51</x:f>
        <x:v>3</x:v>
      </x:c>
      <x:c r="AO2815" s="81" t="n">
        <x:f>'Inputs'!$E$51</x:f>
        <x:v>0.1</x:v>
      </x:c>
    </x:row>
    <x:row r="2816">
      <x:c r="A2816" s="59" t="str">
        <x:v>High demand</x:v>
      </x:c>
      <x:c r="B2816" s="59" t="n">
        <x:v>258</x:v>
      </x:c>
      <x:c r="C2816" s="78" t="n">
        <x:f>(('Inputs'!$B$29*(3*258*'Inputs'!$B$12-258^2)/(2*'Inputs'!$B$12^2))-('Inputs'!$B$29*(3*257*'Inputs'!$B$12-257^2)/(2*'Inputs'!$B$12^2)))*'Inputs'!$B$51</x:f>
        <x:v>628271.0170763731</x:v>
      </x:c>
      <x:c r="D2816" s="78" t="n">
        <x:f>IF('Inputs'!$C$51&gt;0,('Inputs'!$B$30*(3*258*'Inputs'!$B$12-258^2)/(2*'Inputs'!$B$12^2))-('Inputs'!$B$30*(3*257*'Inputs'!$B$12-257^2)/(2*'Inputs'!$B$12^2)),0)</x:f>
        <x:v>269259.007318452</x:v>
      </x:c>
      <x:c r="E2816" s="78" t="n">
        <x:f>C2816+D2816</x:f>
        <x:v>897530.0243948251</x:v>
      </x:c>
      <x:c r="F2816" s="78" t="n">
        <x:f>'Inputs'!$B$13*E2816+(1-'Inputs'!$B$13)/'Inputs'!$B$14*SUM(E2761:E2816)</x:f>
        <x:v>907747.7012572729</x:v>
      </x:c>
      <x:c r="G2816" s="78" t="n">
        <x:f>F2816*'Inputs'!$F$51</x:f>
        <x:v>226936.9253143182</x:v>
      </x:c>
      <x:c r="H2816" s="78" t="n">
        <x:f>U2815</x:f>
        <x:v>477514.83926387696</x:v>
      </x:c>
      <x:c r="I2816" s="78" t="n">
        <x:f>V2815</x:f>
        <x:v>491637.996559543</x:v>
      </x:c>
      <x:c r="J2816" s="79" t="n">
        <x:f>IF(H2816&gt;0,I2816/H2816,0)</x:f>
        <x:v>1.0295763736210541</x:v>
      </x:c>
      <x:c r="K2816" s="80" t="n">
        <x:f>(H2816*J2816+I2816)*'Inputs'!$D$51*(1+'Inputs'!$G$51)^(B2816/30)</x:f>
        <x:v>4487708.73917578</x:v>
      </x:c>
      <x:c r="L2816" s="80" t="n">
        <x:f>MAX(0,K2816*'Inputs'!$E$51)</x:f>
        <x:v>448770.873917578</x:v>
      </x:c>
      <x:c r="M2816" s="80" t="n">
        <x:f>MAX(0,-K2816*'Inputs'!$E$51)</x:f>
        <x:v>0</x:v>
      </x:c>
      <x:c r="N2816" s="78" t="n">
        <x:f>H2816*(L2816*(1-'Inputs'!$B$15))/(I2816+L2816*(1-'Inputs'!$B$15))</x:f>
        <x:v>226677.00323589117</x:v>
      </x:c>
      <x:c r="O2816" s="78" t="n">
        <x:f>H2816-N2816</x:f>
        <x:v>250837.8360279858</x:v>
      </x:c>
      <x:c r="P2816" s="78" t="n">
        <x:f>I2816+L2816*(1-'Inputs'!$B$17)</x:f>
        <x:v>938602.9514673923</x:v>
      </x:c>
      <x:c r="Q2816" s="78" t="n">
        <x:f>IF(J2816&gt;0,M2816/J2816,0)</x:f>
        <x:v>0</x:v>
      </x:c>
      <x:c r="R2816" s="78" t="n">
        <x:f>IF(B2816='Inputs'!$H$51,'Inputs'!$B$27*'Inputs'!$I$51,0)</x:f>
        <x:v>0</x:v>
      </x:c>
      <x:c r="S2816" s="78" t="n">
        <x:f>Q2816+G2816+R2816</x:f>
        <x:v>226936.9253143182</x:v>
      </x:c>
      <x:c r="T2816" s="78" t="n">
        <x:f>P2816*(S2816*(1-'Inputs'!$B$15))/(O2816+S2816*(1-'Inputs'!$B$15))</x:f>
        <x:v>443472.6392722889</x:v>
      </x:c>
      <x:c r="U2816" s="78" t="n">
        <x:f>O2816+S2816*(1-'Inputs'!$B$17)</x:f>
        <x:v>476861.53427866485</x:v>
      </x:c>
      <x:c r="V2816" s="78" t="n">
        <x:f>P2816-T2816</x:f>
        <x:v>495130.3121951034</x:v>
      </x:c>
      <x:c r="W2816" s="79" t="n">
        <x:f>IF(U2816&gt;0,V2816/U2816,0)</x:f>
        <x:v>1.0383104457021748</x:v>
      </x:c>
      <x:c r="X2816" s="80" t="n">
        <x:f>W2816*('Inputs'!$B$6-AC2816)</x:f>
        <x:v>1035951280.4573306</x:v>
      </x:c>
      <x:c r="Y2816" s="80" t="n">
        <x:f>2*V2816</x:f>
        <x:v>990260.6243902068</x:v>
      </x:c>
      <x:c r="Z2816" s="80" t="n">
        <x:f>K2816*'Inputs'!$B$16+(G2816+R2816)*J2816*'Inputs'!$B$16</x:f>
        <x:v>28328.145814689644</x:v>
      </x:c>
      <x:c r="AA2816" s="80" t="n">
        <x:f>K2816*(1+'Inputs'!$E$51)/2*'Inputs'!$B$17</x:f>
        <x:v>9932.554553507764</x:v>
      </x:c>
      <x:c r="AB2816" s="78" t="n">
        <x:f>(IF(J2816&gt;0,K2816*(1-'Inputs'!$E$51)/2/J2816,0)+G2816+R2816)*'Inputs'!$B$17</x:f>
        <x:v>8806.410854558311</x:v>
      </x:c>
      <x:c r="AC2816" s="78" t="n">
        <x:f>AC2815+AB2816</x:f>
        <x:v>2272119.3402313893</x:v>
      </x:c>
      <x:c r="AD2816" s="80" t="n">
        <x:f>Z2816/(1+'Inputs'!$C$51)</x:f>
        <x:v>9442.715271563215</x:v>
      </x:c>
      <x:c r="AE2816" s="80" t="n">
        <x:f>Z2816-AD2816</x:f>
        <x:v>18885.43054312643</x:v>
      </x:c>
      <x:c r="AF2816" s="80" t="n">
        <x:f>D2816*W2816</x:f>
        <x:v>279574.439898147</x:v>
      </x:c>
      <x:c r="AG2816" s="80" t="n">
        <x:f>C2816*W2816</x:f>
        <x:v>652340.3597623276</x:v>
      </x:c>
      <x:c r="AH2816" s="80" t="n">
        <x:f>2*'Inputs'!$B$8*'Inputs'!$C$51</x:f>
        <x:v>10000</x:v>
      </x:c>
      <x:c r="AI2816" s="81" t="n">
        <x:f>IF(AH2816&gt;0,(AE2816+AF2816)/AH2816*365,0)</x:f>
        <x:v>10893.78527110648</x:v>
      </x:c>
      <x:c r="AJ2816" s="81" t="n">
        <x:f>IF('Inputs'!$B$51&gt;0,AG2816/('Inputs'!$B$19*'Inputs'!$B$51)*365,0)</x:f>
        <x:v>23810.42313132496</x:v>
      </x:c>
      <x:c r="AK2816" s="81" t="n">
        <x:f>W2816/MAX($W$2559:W2816)-1</x:f>
        <x:v>0</x:v>
      </x:c>
      <x:c r="AL2816" s="83" t="n">
        <x:f>'Inputs'!$B$51</x:f>
        <x:v>1</x:v>
      </x:c>
      <x:c r="AM2816" s="83" t="n">
        <x:f>'Inputs'!$C$51</x:f>
        <x:v>2</x:v>
      </x:c>
      <x:c r="AN2816" s="83" t="n">
        <x:f>'Inputs'!$D$51</x:f>
        <x:v>3</x:v>
      </x:c>
      <x:c r="AO2816" s="81" t="n">
        <x:f>'Inputs'!$E$51</x:f>
        <x:v>0.1</x:v>
      </x:c>
    </x:row>
    <x:row r="2817">
      <x:c r="A2817" s="59" t="str">
        <x:v>High demand</x:v>
      </x:c>
      <x:c r="B2817" s="59" t="n">
        <x:v>259</x:v>
      </x:c>
      <x:c r="C2817" s="78" t="n">
        <x:f>(('Inputs'!$B$29*(3*259*'Inputs'!$B$12-259^2)/(2*'Inputs'!$B$12^2))-('Inputs'!$B$29*(3*258*'Inputs'!$B$12-258^2)/(2*'Inputs'!$B$12^2)))*'Inputs'!$B$51</x:f>
        <x:v>627945.9091762006</x:v>
      </x:c>
      <x:c r="D2817" s="78" t="n">
        <x:f>IF('Inputs'!$C$51&gt;0,('Inputs'!$B$30*(3*259*'Inputs'!$B$12-259^2)/(2*'Inputs'!$B$12^2))-('Inputs'!$B$30*(3*258*'Inputs'!$B$12-258^2)/(2*'Inputs'!$B$12^2)),0)</x:f>
        <x:v>269119.67536123097</x:v>
      </x:c>
      <x:c r="E2817" s="78" t="n">
        <x:f>C2817+D2817</x:f>
        <x:v>897065.5845374316</x:v>
      </x:c>
      <x:c r="F2817" s="78" t="n">
        <x:f>'Inputs'!$B$13*E2817+(1-'Inputs'!$B$13)/'Inputs'!$B$14*SUM(E2762:E2817)</x:f>
        <x:v>907283.2613998865</x:v>
      </x:c>
      <x:c r="G2817" s="78" t="n">
        <x:f>F2817*'Inputs'!$F$51</x:f>
        <x:v>226820.8153499716</x:v>
      </x:c>
      <x:c r="H2817" s="78" t="n">
        <x:f>U2816</x:f>
        <x:v>476861.53427866485</x:v>
      </x:c>
      <x:c r="I2817" s="78" t="n">
        <x:f>V2816</x:f>
        <x:v>495130.3121951034</x:v>
      </x:c>
      <x:c r="J2817" s="79" t="n">
        <x:f>IF(H2817&gt;0,I2817/H2817,0)</x:f>
        <x:v>1.0383104457021748</x:v>
      </x:c>
      <x:c r="K2817" s="80" t="n">
        <x:f>(H2817*J2817+I2817)*'Inputs'!$D$51*(1+'Inputs'!$G$51)^(B2817/30)</x:f>
        <x:v>4526943.219722144</x:v>
      </x:c>
      <x:c r="L2817" s="80" t="n">
        <x:f>MAX(0,K2817*'Inputs'!$E$51)</x:f>
        <x:v>452694.32197221444</x:v>
      </x:c>
      <x:c r="M2817" s="80" t="n">
        <x:f>MAX(0,-K2817*'Inputs'!$E$51)</x:f>
        <x:v>0</x:v>
      </x:c>
      <x:c r="N2817" s="78" t="n">
        <x:f>H2817*(L2817*(1-'Inputs'!$B$15))/(I2817+L2817*(1-'Inputs'!$B$15))</x:f>
        <x:v>226560.2745522184</x:v>
      </x:c>
      <x:c r="O2817" s="78" t="n">
        <x:f>H2817-N2817</x:f>
        <x:v>250301.25972644644</x:v>
      </x:c>
      <x:c r="P2817" s="78" t="n">
        <x:f>I2817+L2817*(1-'Inputs'!$B$17)</x:f>
        <x:v>946002.9266342304</x:v>
      </x:c>
      <x:c r="Q2817" s="78" t="n">
        <x:f>IF(J2817&gt;0,M2817/J2817,0)</x:f>
        <x:v>0</x:v>
      </x:c>
      <x:c r="R2817" s="78" t="n">
        <x:f>IF(B2817='Inputs'!$H$51,'Inputs'!$B$27*'Inputs'!$I$51,0)</x:f>
        <x:v>0</x:v>
      </x:c>
      <x:c r="S2817" s="78" t="n">
        <x:f>Q2817+G2817+R2817</x:f>
        <x:v>226820.8153499716</x:v>
      </x:c>
      <x:c r="T2817" s="78" t="n">
        <x:f>P2817*(S2817*(1-'Inputs'!$B$15))/(O2817+S2817*(1-'Inputs'!$B$15))</x:f>
        <x:v>447353.25620859244</x:v>
      </x:c>
      <x:c r="U2817" s="78" t="n">
        <x:f>O2817+S2817*(1-'Inputs'!$B$17)</x:f>
        <x:v>476209.3152560962</x:v>
      </x:c>
      <x:c r="V2817" s="78" t="n">
        <x:f>P2817-T2817</x:f>
        <x:v>498649.670425638</x:v>
      </x:c>
      <x:c r="W2817" s="79" t="n">
        <x:f>IF(U2817&gt;0,V2817/U2817,0)</x:f>
        <x:v>1.0471228815788154</x:v>
      </x:c>
      <x:c r="X2817" s="80" t="n">
        <x:f>W2817*('Inputs'!$B$6-AC2817)</x:f>
        <x:v>1044734470.3963158</x:v>
      </x:c>
      <x:c r="Y2817" s="80" t="n">
        <x:f>2*V2817</x:f>
        <x:v>997299.340851276</x:v>
      </x:c>
      <x:c r="Z2817" s="80" t="n">
        <x:f>K2817*'Inputs'!$B$16+(G2817+R2817)*J2817*'Inputs'!$B$16</x:f>
        <x:v>28574.721849616224</x:v>
      </x:c>
      <x:c r="AA2817" s="80" t="n">
        <x:f>K2817*(1+'Inputs'!$E$51)/2*'Inputs'!$B$17</x:f>
        <x:v>10019.391431980603</x:v>
      </x:c>
      <x:c r="AB2817" s="78" t="n">
        <x:f>(IF(J2817&gt;0,K2817*(1-'Inputs'!$E$51)/2/J2817,0)+G2817+R2817)*'Inputs'!$B$17</x:f>
        <x:v>8807.974524965763</x:v>
      </x:c>
      <x:c r="AC2817" s="78" t="n">
        <x:f>AC2816+AB2817</x:f>
        <x:v>2280927.3147563552</x:v>
      </x:c>
      <x:c r="AD2817" s="80" t="n">
        <x:f>Z2817/(1+'Inputs'!$C$51)</x:f>
        <x:v>9524.907283205408</x:v>
      </x:c>
      <x:c r="AE2817" s="80" t="n">
        <x:f>Z2817-AD2817</x:f>
        <x:v>19049.814566410816</x:v>
      </x:c>
      <x:c r="AF2817" s="80" t="n">
        <x:f>D2817*W2817</x:f>
        <x:v>281801.3699538075</x:v>
      </x:c>
      <x:c r="AG2817" s="80" t="n">
        <x:f>C2817*W2817</x:f>
        <x:v>657536.5298922122</x:v>
      </x:c>
      <x:c r="AH2817" s="80" t="n">
        <x:f>2*'Inputs'!$B$8*'Inputs'!$C$51</x:f>
        <x:v>10000</x:v>
      </x:c>
      <x:c r="AI2817" s="81" t="n">
        <x:f>IF(AH2817&gt;0,(AE2817+AF2817)/AH2817*365,0)</x:f>
        <x:v>10981.068234987966</x:v>
      </x:c>
      <x:c r="AJ2817" s="81" t="n">
        <x:f>IF('Inputs'!$B$51&gt;0,AG2817/('Inputs'!$B$19*'Inputs'!$B$51)*365,0)</x:f>
        <x:v>24000.083341065747</x:v>
      </x:c>
      <x:c r="AK2817" s="81" t="n">
        <x:f>W2817/MAX($W$2559:W2817)-1</x:f>
        <x:v>0</x:v>
      </x:c>
      <x:c r="AL2817" s="83" t="n">
        <x:f>'Inputs'!$B$51</x:f>
        <x:v>1</x:v>
      </x:c>
      <x:c r="AM2817" s="83" t="n">
        <x:f>'Inputs'!$C$51</x:f>
        <x:v>2</x:v>
      </x:c>
      <x:c r="AN2817" s="83" t="n">
        <x:f>'Inputs'!$D$51</x:f>
        <x:v>3</x:v>
      </x:c>
      <x:c r="AO2817" s="81" t="n">
        <x:f>'Inputs'!$E$51</x:f>
        <x:v>0.1</x:v>
      </x:c>
    </x:row>
    <x:row r="2818">
      <x:c r="A2818" s="59" t="str">
        <x:v>High demand</x:v>
      </x:c>
      <x:c r="B2818" s="59" t="n">
        <x:v>260</x:v>
      </x:c>
      <x:c r="C2818" s="78" t="n">
        <x:f>(('Inputs'!$B$29*(3*260*'Inputs'!$B$12-260^2)/(2*'Inputs'!$B$12^2))-('Inputs'!$B$29*(3*259*'Inputs'!$B$12-259^2)/(2*'Inputs'!$B$12^2)))*'Inputs'!$B$51</x:f>
        <x:v>627620.8012760282</x:v>
      </x:c>
      <x:c r="D2818" s="78" t="n">
        <x:f>IF('Inputs'!$C$51&gt;0,('Inputs'!$B$30*(3*260*'Inputs'!$B$12-260^2)/(2*'Inputs'!$B$12^2))-('Inputs'!$B$30*(3*259*'Inputs'!$B$12-259^2)/(2*'Inputs'!$B$12^2)),0)</x:f>
        <x:v>268980.34340400994</x:v>
      </x:c>
      <x:c r="E2818" s="78" t="n">
        <x:f>C2818+D2818</x:f>
        <x:v>896601.1446800381</x:v>
      </x:c>
      <x:c r="F2818" s="78" t="n">
        <x:f>'Inputs'!$B$13*E2818+(1-'Inputs'!$B$13)/'Inputs'!$B$14*SUM(E2763:E2818)</x:f>
        <x:v>906818.8215425004</x:v>
      </x:c>
      <x:c r="G2818" s="78" t="n">
        <x:f>F2818*'Inputs'!$F$51</x:f>
        <x:v>226704.7053856251</x:v>
      </x:c>
      <x:c r="H2818" s="78" t="n">
        <x:f>U2817</x:f>
        <x:v>476209.3152560962</x:v>
      </x:c>
      <x:c r="I2818" s="78" t="n">
        <x:f>V2817</x:f>
        <x:v>498649.670425638</x:v>
      </x:c>
      <x:c r="J2818" s="79" t="n">
        <x:f>IF(H2818&gt;0,I2818/H2818,0)</x:f>
        <x:v>1.0471228815788154</x:v>
      </x:c>
      <x:c r="K2818" s="80" t="n">
        <x:f>(H2818*J2818+I2818)*'Inputs'!$D$51*(1+'Inputs'!$G$51)^(B2818/30)</x:f>
        <x:v>4566541.1830707295</x:v>
      </x:c>
      <x:c r="L2818" s="80" t="n">
        <x:f>MAX(0,K2818*'Inputs'!$E$51)</x:f>
        <x:v>456654.11830707296</x:v>
      </x:c>
      <x:c r="M2818" s="80" t="n">
        <x:f>MAX(0,-K2818*'Inputs'!$E$51)</x:f>
        <x:v>0</x:v>
      </x:c>
      <x:c r="N2818" s="78" t="n">
        <x:f>H2818*(L2818*(1-'Inputs'!$B$15))/(I2818+L2818*(1-'Inputs'!$B$15))</x:f>
        <x:v>226443.54798644612</x:v>
      </x:c>
      <x:c r="O2818" s="78" t="n">
        <x:f>H2818-N2818</x:f>
        <x:v>249765.76726965007</x:v>
      </x:c>
      <x:c r="P2818" s="78" t="n">
        <x:f>I2818+L2818*(1-'Inputs'!$B$17)</x:f>
        <x:v>953466.1464055195</x:v>
      </x:c>
      <x:c r="Q2818" s="78" t="n">
        <x:f>IF(J2818&gt;0,M2818/J2818,0)</x:f>
        <x:v>0</x:v>
      </x:c>
      <x:c r="R2818" s="78" t="n">
        <x:f>IF(B2818='Inputs'!$H$51,'Inputs'!$B$27*'Inputs'!$I$51,0)</x:f>
        <x:v>0</x:v>
      </x:c>
      <x:c r="S2818" s="78" t="n">
        <x:f>Q2818+G2818+R2818</x:f>
        <x:v>226704.7053856251</x:v>
      </x:c>
      <x:c r="T2818" s="78" t="n">
        <x:f>P2818*(S2818*(1-'Inputs'!$B$15))/(O2818+S2818*(1-'Inputs'!$B$15))</x:f>
        <x:v>451269.8509642102</x:v>
      </x:c>
      <x:c r="U2818" s="78" t="n">
        <x:f>O2818+S2818*(1-'Inputs'!$B$17)</x:f>
        <x:v>475558.1800782706</x:v>
      </x:c>
      <x:c r="V2818" s="78" t="n">
        <x:f>P2818-T2818</x:f>
        <x:v>502196.2954413092</x:v>
      </x:c>
      <x:c r="W2818" s="79" t="n">
        <x:f>IF(U2818&gt;0,V2818/U2818,0)</x:f>
        <x:v>1.0560144194316126</x:v>
      </x:c>
      <x:c r="X2818" s="80" t="n">
        <x:f>W2818*('Inputs'!$B$6-AC2818)</x:f>
        <x:v>1053596424.2942747</x:v>
      </x:c>
      <x:c r="Y2818" s="80" t="n">
        <x:f>2*V2818</x:f>
        <x:v>1004392.5908826184</x:v>
      </x:c>
      <x:c r="Z2818" s="80" t="n">
        <x:f>K2818*'Inputs'!$B$16+(G2818+R2818)*J2818*'Inputs'!$B$16</x:f>
        <x:v>28823.57320464961</x:v>
      </x:c>
      <x:c r="AA2818" s="80" t="n">
        <x:f>K2818*(1+'Inputs'!$E$51)/2*'Inputs'!$B$17</x:f>
        <x:v>10107.032799552924</x:v>
      </x:c>
      <x:c r="AB2818" s="78" t="n">
        <x:f>(IF(J2818&gt;0,K2818*(1-'Inputs'!$E$51)/2/J2818,0)+G2818+R2818)*'Inputs'!$B$17</x:f>
        <x:v>8809.541904507698</x:v>
      </x:c>
      <x:c r="AC2818" s="78" t="n">
        <x:f>AC2817+AB2818</x:f>
        <x:v>2289736.856660863</x:v>
      </x:c>
      <x:c r="AD2818" s="80" t="n">
        <x:f>Z2818/(1+'Inputs'!$C$51)</x:f>
        <x:v>9607.857734883202</x:v>
      </x:c>
      <x:c r="AE2818" s="80" t="n">
        <x:f>Z2818-AD2818</x:f>
        <x:v>19215.71546976641</x:v>
      </x:c>
      <x:c r="AF2818" s="80" t="n">
        <x:f>D2818*W2818</x:f>
        <x:v>284047.12117830134</x:v>
      </x:c>
      <x:c r="AG2818" s="80" t="n">
        <x:f>C2818*W2818</x:f>
        <x:v>662776.6160827084</x:v>
      </x:c>
      <x:c r="AH2818" s="80" t="n">
        <x:f>2*'Inputs'!$B$8*'Inputs'!$C$51</x:f>
        <x:v>10000</x:v>
      </x:c>
      <x:c r="AI2818" s="81" t="n">
        <x:f>IF(AH2818&gt;0,(AE2818+AF2818)/AH2818*365,0)</x:f>
        <x:v>11069.093537654473</x:v>
      </x:c>
      <x:c r="AJ2818" s="81" t="n">
        <x:f>IF('Inputs'!$B$51&gt;0,AG2818/('Inputs'!$B$19*'Inputs'!$B$51)*365,0)</x:f>
        <x:v>24191.346487018855</x:v>
      </x:c>
      <x:c r="AK2818" s="81" t="n">
        <x:f>W2818/MAX($W$2559:W2818)-1</x:f>
        <x:v>0</x:v>
      </x:c>
      <x:c r="AL2818" s="83" t="n">
        <x:f>'Inputs'!$B$51</x:f>
        <x:v>1</x:v>
      </x:c>
      <x:c r="AM2818" s="83" t="n">
        <x:f>'Inputs'!$C$51</x:f>
        <x:v>2</x:v>
      </x:c>
      <x:c r="AN2818" s="83" t="n">
        <x:f>'Inputs'!$D$51</x:f>
        <x:v>3</x:v>
      </x:c>
      <x:c r="AO2818" s="81" t="n">
        <x:f>'Inputs'!$E$51</x:f>
        <x:v>0.1</x:v>
      </x:c>
    </x:row>
    <x:row r="2819">
      <x:c r="A2819" s="59" t="str">
        <x:v>High demand</x:v>
      </x:c>
      <x:c r="B2819" s="59" t="n">
        <x:v>261</x:v>
      </x:c>
      <x:c r="C2819" s="78" t="n">
        <x:f>(('Inputs'!$B$29*(3*261*'Inputs'!$B$12-261^2)/(2*'Inputs'!$B$12^2))-('Inputs'!$B$29*(3*260*'Inputs'!$B$12-260^2)/(2*'Inputs'!$B$12^2)))*'Inputs'!$B$51</x:f>
        <x:v>627295.6933758855</x:v>
      </x:c>
      <x:c r="D2819" s="78" t="n">
        <x:f>IF('Inputs'!$C$51&gt;0,('Inputs'!$B$30*(3*261*'Inputs'!$B$12-261^2)/(2*'Inputs'!$B$12^2))-('Inputs'!$B$30*(3*260*'Inputs'!$B$12-260^2)/(2*'Inputs'!$B$12^2)),0)</x:f>
        <x:v>268841.0114468038</x:v>
      </x:c>
      <x:c r="E2819" s="78" t="n">
        <x:f>C2819+D2819</x:f>
        <x:v>896136.7048226893</x:v>
      </x:c>
      <x:c r="F2819" s="78" t="n">
        <x:f>'Inputs'!$B$13*E2819+(1-'Inputs'!$B$13)/'Inputs'!$B$14*SUM(E2764:E2819)</x:f>
        <x:v>906354.3816851235</x:v>
      </x:c>
      <x:c r="G2819" s="78" t="n">
        <x:f>F2819*'Inputs'!$F$51</x:f>
        <x:v>226588.5954212809</x:v>
      </x:c>
      <x:c r="H2819" s="78" t="n">
        <x:f>U2818</x:f>
        <x:v>475558.1800782706</x:v>
      </x:c>
      <x:c r="I2819" s="78" t="n">
        <x:f>V2818</x:f>
        <x:v>502196.2954413092</x:v>
      </x:c>
      <x:c r="J2819" s="79" t="n">
        <x:f>IF(H2819&gt;0,I2819/H2819,0)</x:f>
        <x:v>1.0560144194316126</x:v>
      </x:c>
      <x:c r="K2819" s="80" t="n">
        <x:f>(H2819*J2819+I2819)*'Inputs'!$D$51*(1+'Inputs'!$G$51)^(B2819/30)</x:f>
        <x:v>4606506.168058463</x:v>
      </x:c>
      <x:c r="L2819" s="80" t="n">
        <x:f>MAX(0,K2819*'Inputs'!$E$51)</x:f>
        <x:v>460650.61680584634</x:v>
      </x:c>
      <x:c r="M2819" s="80" t="n">
        <x:f>MAX(0,-K2819*'Inputs'!$E$51)</x:f>
        <x:v>0</x:v>
      </x:c>
      <x:c r="N2819" s="78" t="n">
        <x:f>H2819*(L2819*(1-'Inputs'!$B$15))/(I2819+L2819*(1-'Inputs'!$B$15))</x:f>
        <x:v>226326.8235345297</x:v>
      </x:c>
      <x:c r="O2819" s="78" t="n">
        <x:f>H2819-N2819</x:f>
        <x:v>249231.3565437409</x:v>
      </x:c>
      <x:c r="P2819" s="78" t="n">
        <x:f>I2819+L2819*(1-'Inputs'!$B$17)</x:f>
        <x:v>960993.1874310354</x:v>
      </x:c>
      <x:c r="Q2819" s="78" t="n">
        <x:f>IF(J2819&gt;0,M2819/J2819,0)</x:f>
        <x:v>0</x:v>
      </x:c>
      <x:c r="R2819" s="78" t="n">
        <x:f>IF(B2819='Inputs'!$H$51,'Inputs'!$B$27*'Inputs'!$I$51,0)</x:f>
        <x:v>0</x:v>
      </x:c>
      <x:c r="S2819" s="78" t="n">
        <x:f>Q2819+G2819+R2819</x:f>
        <x:v>226588.5954212809</x:v>
      </x:c>
      <x:c r="T2819" s="78" t="n">
        <x:f>P2819*(S2819*(1-'Inputs'!$B$15))/(O2819+S2819*(1-'Inputs'!$B$15))</x:f>
        <x:v>455222.7740327403</x:v>
      </x:c>
      <x:c r="U2819" s="78" t="n">
        <x:f>O2819+S2819*(1-'Inputs'!$B$17)</x:f>
        <x:v>474908.12663133454</x:v>
      </x:c>
      <x:c r="V2819" s="78" t="n">
        <x:f>P2819-T2819</x:f>
        <x:v>505770.4133982952</x:v>
      </x:c>
      <x:c r="W2819" s="79" t="n">
        <x:f>IF(U2819&gt;0,V2819/U2819,0)</x:f>
        <x:v>1.0649858046984289</x:v>
      </x:c>
      <x:c r="X2819" s="80" t="n">
        <x:f>W2819*('Inputs'!$B$6-AC2819)</x:f>
        <x:v>1062537883.739328</x:v>
      </x:c>
      <x:c r="Y2819" s="80" t="n">
        <x:f>2*V2819</x:f>
        <x:v>1011540.8267965904</x:v>
      </x:c>
      <x:c r="Z2819" s="80" t="n">
        <x:f>K2819*'Inputs'!$B$16+(G2819+R2819)*J2819*'Inputs'!$B$16</x:f>
        <x:v>29074.721952612552</x:v>
      </x:c>
      <x:c r="AA2819" s="80" t="n">
        <x:f>K2819*(1+'Inputs'!$E$51)/2*'Inputs'!$B$17</x:f>
        <x:v>10195.486488660585</x:v>
      </x:c>
      <x:c r="AB2819" s="78" t="n">
        <x:f>(IF(J2819&gt;0,K2819*(1-'Inputs'!$E$51)/2/J2819,0)+G2819+R2819)*'Inputs'!$B$17</x:f>
        <x:v>8811.112994011368</x:v>
      </x:c>
      <x:c r="AC2819" s="78" t="n">
        <x:f>AC2818+AB2819</x:f>
        <x:v>2298547.9696548744</x:v>
      </x:c>
      <x:c r="AD2819" s="80" t="n">
        <x:f>Z2819/(1+'Inputs'!$C$51)</x:f>
        <x:v>9691.573984204184</x:v>
      </x:c>
      <x:c r="AE2819" s="80" t="n">
        <x:f>Z2819-AD2819</x:f>
        <x:v>19383.147968408368</x:v>
      </x:c>
      <x:c r="AF2819" s="80" t="n">
        <x:f>D2819*W2819</x:f>
        <x:v>286311.86091161385</x:v>
      </x:c>
      <x:c r="AG2819" s="80" t="n">
        <x:f>C2819*W2819</x:f>
        <x:v>668061.0087937763</x:v>
      </x:c>
      <x:c r="AH2819" s="80" t="n">
        <x:f>2*'Inputs'!$B$8*'Inputs'!$C$51</x:f>
        <x:v>10000</x:v>
      </x:c>
      <x:c r="AI2819" s="81" t="n">
        <x:f>IF(AH2819&gt;0,(AE2819+AF2819)/AH2819*365,0)</x:f>
        <x:v>11157.86782412081</x:v>
      </x:c>
      <x:c r="AJ2819" s="81" t="n">
        <x:f>IF('Inputs'!$B$51&gt;0,AG2819/('Inputs'!$B$19*'Inputs'!$B$51)*365,0)</x:f>
        <x:v>24384.22682097283</x:v>
      </x:c>
      <x:c r="AK2819" s="81" t="n">
        <x:f>W2819/MAX($W$2559:W2819)-1</x:f>
        <x:v>0</x:v>
      </x:c>
      <x:c r="AL2819" s="83" t="n">
        <x:f>'Inputs'!$B$51</x:f>
        <x:v>1</x:v>
      </x:c>
      <x:c r="AM2819" s="83" t="n">
        <x:f>'Inputs'!$C$51</x:f>
        <x:v>2</x:v>
      </x:c>
      <x:c r="AN2819" s="83" t="n">
        <x:f>'Inputs'!$D$51</x:f>
        <x:v>3</x:v>
      </x:c>
      <x:c r="AO2819" s="81" t="n">
        <x:f>'Inputs'!$E$51</x:f>
        <x:v>0.1</x:v>
      </x:c>
    </x:row>
    <x:row r="2820">
      <x:c r="A2820" s="59" t="str">
        <x:v>High demand</x:v>
      </x:c>
      <x:c r="B2820" s="59" t="n">
        <x:v>262</x:v>
      </x:c>
      <x:c r="C2820" s="78" t="n">
        <x:f>(('Inputs'!$B$29*(3*262*'Inputs'!$B$12-262^2)/(2*'Inputs'!$B$12^2))-('Inputs'!$B$29*(3*261*'Inputs'!$B$12-261^2)/(2*'Inputs'!$B$12^2)))*'Inputs'!$B$51</x:f>
        <x:v>626970.5854756832</x:v>
      </x:c>
      <x:c r="D2820" s="78" t="n">
        <x:f>IF('Inputs'!$C$51&gt;0,('Inputs'!$B$30*(3*262*'Inputs'!$B$12-262^2)/(2*'Inputs'!$B$12^2))-('Inputs'!$B$30*(3*261*'Inputs'!$B$12-261^2)/(2*'Inputs'!$B$12^2)),0)</x:f>
        <x:v>268701.6794895828</x:v>
      </x:c>
      <x:c r="E2820" s="78" t="n">
        <x:f>C2820+D2820</x:f>
        <x:v>895672.264965266</x:v>
      </x:c>
      <x:c r="F2820" s="78" t="n">
        <x:f>'Inputs'!$B$13*E2820+(1-'Inputs'!$B$13)/'Inputs'!$B$14*SUM(E2765:E2820)</x:f>
        <x:v>905889.9418277313</x:v>
      </x:c>
      <x:c r="G2820" s="78" t="n">
        <x:f>F2820*'Inputs'!$F$51</x:f>
        <x:v>226472.48545693283</x:v>
      </x:c>
      <x:c r="H2820" s="78" t="n">
        <x:f>U2819</x:f>
        <x:v>474908.12663133454</x:v>
      </x:c>
      <x:c r="I2820" s="78" t="n">
        <x:f>V2819</x:f>
        <x:v>505770.4133982952</x:v>
      </x:c>
      <x:c r="J2820" s="79" t="n">
        <x:f>IF(H2820&gt;0,I2820/H2820,0)</x:f>
        <x:v>1.0649858046984289</x:v>
      </x:c>
      <x:c r="K2820" s="80" t="n">
        <x:f>(H2820*J2820+I2820)*'Inputs'!$D$51*(1+'Inputs'!$G$51)^(B2820/30)</x:f>
        <x:v>4646841.749492886</x:v>
      </x:c>
      <x:c r="L2820" s="80" t="n">
        <x:f>MAX(0,K2820*'Inputs'!$E$51)</x:f>
        <x:v>464684.1749492886</x:v>
      </x:c>
      <x:c r="M2820" s="80" t="n">
        <x:f>MAX(0,-K2820*'Inputs'!$E$51)</x:f>
        <x:v>0</x:v>
      </x:c>
      <x:c r="N2820" s="78" t="n">
        <x:f>H2820*(L2820*(1-'Inputs'!$B$15))/(I2820+L2820*(1-'Inputs'!$B$15))</x:f>
        <x:v>226210.1011924332</x:v>
      </x:c>
      <x:c r="O2820" s="78" t="n">
        <x:f>H2820-N2820</x:f>
        <x:v>248698.02543890133</x:v>
      </x:c>
      <x:c r="P2820" s="78" t="n">
        <x:f>I2820+L2820*(1-'Inputs'!$B$17)</x:f>
        <x:v>968584.631909156</x:v>
      </x:c>
      <x:c r="Q2820" s="78" t="n">
        <x:f>IF(J2820&gt;0,M2820/J2820,0)</x:f>
        <x:v>0</x:v>
      </x:c>
      <x:c r="R2820" s="78" t="n">
        <x:f>IF(B2820='Inputs'!$H$51,'Inputs'!$B$27*'Inputs'!$I$51,0)</x:f>
        <x:v>0</x:v>
      </x:c>
      <x:c r="S2820" s="78" t="n">
        <x:f>Q2820+G2820+R2820</x:f>
        <x:v>226472.48545693283</x:v>
      </x:c>
      <x:c r="T2820" s="78" t="n">
        <x:f>P2820*(S2820*(1-'Inputs'!$B$15))/(O2820+S2820*(1-'Inputs'!$B$15))</x:f>
        <x:v>459212.37947227637</x:v>
      </x:c>
      <x:c r="U2820" s="78" t="n">
        <x:f>O2820+S2820*(1-'Inputs'!$B$17)</x:f>
        <x:v>474259.1528054642</x:v>
      </x:c>
      <x:c r="V2820" s="78" t="n">
        <x:f>P2820-T2820</x:f>
        <x:v>509372.2524368796</x:v>
      </x:c>
      <x:c r="W2820" s="79" t="n">
        <x:f>IF(U2820&gt;0,V2820/U2820,0)</x:f>
        <x:v>1.0740377901484979</x:v>
      </x:c>
      <x:c r="X2820" s="80" t="n">
        <x:f>W2820*('Inputs'!$B$6-AC2820)</x:f>
        <x:v>1071559597.6068957</x:v>
      </x:c>
      <x:c r="Y2820" s="80" t="n">
        <x:f>2*V2820</x:f>
        <x:v>1018744.5048737592</x:v>
      </x:c>
      <x:c r="Z2820" s="80" t="n">
        <x:f>K2820*'Inputs'!$B$16+(G2820+R2820)*J2820*'Inputs'!$B$16</x:f>
        <x:v>29328.19038995574</x:v>
      </x:c>
      <x:c r="AA2820" s="80" t="n">
        <x:f>K2820*(1+'Inputs'!$E$51)/2*'Inputs'!$B$17</x:f>
        <x:v>10284.760411352465</x:v>
      </x:c>
      <x:c r="AB2820" s="78" t="n">
        <x:f>(IF(J2820&gt;0,K2820*(1-'Inputs'!$E$51)/2/J2820,0)+G2820+R2820)*'Inputs'!$B$17</x:f>
        <x:v>8812.687794297372</x:v>
      </x:c>
      <x:c r="AC2820" s="78" t="n">
        <x:f>AC2819+AB2820</x:f>
        <x:v>2307360.657449172</x:v>
      </x:c>
      <x:c r="AD2820" s="80" t="n">
        <x:f>Z2820/(1+'Inputs'!$C$51)</x:f>
        <x:v>9776.06346331858</x:v>
      </x:c>
      <x:c r="AE2820" s="80" t="n">
        <x:f>Z2820-AD2820</x:f>
        <x:v>19552.12692663716</x:v>
      </x:c>
      <x:c r="AF2820" s="80" t="n">
        <x:f>D2820*W2820</x:f>
        <x:v>288595.7580481814</x:v>
      </x:c>
      <x:c r="AG2820" s="80" t="n">
        <x:f>C2820*W2820</x:f>
        <x:v>673390.1021124127</x:v>
      </x:c>
      <x:c r="AH2820" s="80" t="n">
        <x:f>2*'Inputs'!$B$8*'Inputs'!$C$51</x:f>
        <x:v>10000</x:v>
      </x:c>
      <x:c r="AI2820" s="81" t="n">
        <x:f>IF(AH2820&gt;0,(AE2820+AF2820)/AH2820*365,0)</x:f>
        <x:v>11247.397801580877</x:v>
      </x:c>
      <x:c r="AJ2820" s="81" t="n">
        <x:f>IF('Inputs'!$B$51&gt;0,AG2820/('Inputs'!$B$19*'Inputs'!$B$51)*365,0)</x:f>
        <x:v>24578.738727103064</x:v>
      </x:c>
      <x:c r="AK2820" s="81" t="n">
        <x:f>W2820/MAX($W$2559:W2820)-1</x:f>
        <x:v>0</x:v>
      </x:c>
      <x:c r="AL2820" s="83" t="n">
        <x:f>'Inputs'!$B$51</x:f>
        <x:v>1</x:v>
      </x:c>
      <x:c r="AM2820" s="83" t="n">
        <x:f>'Inputs'!$C$51</x:f>
        <x:v>2</x:v>
      </x:c>
      <x:c r="AN2820" s="83" t="n">
        <x:f>'Inputs'!$D$51</x:f>
        <x:v>3</x:v>
      </x:c>
      <x:c r="AO2820" s="81" t="n">
        <x:f>'Inputs'!$E$51</x:f>
        <x:v>0.1</x:v>
      </x:c>
    </x:row>
    <x:row r="2821">
      <x:c r="A2821" s="59" t="str">
        <x:v>High demand</x:v>
      </x:c>
      <x:c r="B2821" s="59" t="n">
        <x:v>263</x:v>
      </x:c>
      <x:c r="C2821" s="78" t="n">
        <x:f>(('Inputs'!$B$29*(3*263*'Inputs'!$B$12-263^2)/(2*'Inputs'!$B$12^2))-('Inputs'!$B$29*(3*262*'Inputs'!$B$12-262^2)/(2*'Inputs'!$B$12^2)))*'Inputs'!$B$51</x:f>
        <x:v>626645.4775755405</x:v>
      </x:c>
      <x:c r="D2821" s="78" t="n">
        <x:f>IF('Inputs'!$C$51&gt;0,('Inputs'!$B$30*(3*263*'Inputs'!$B$12-263^2)/(2*'Inputs'!$B$12^2))-('Inputs'!$B$30*(3*262*'Inputs'!$B$12-262^2)/(2*'Inputs'!$B$12^2)),0)</x:f>
        <x:v>268562.34753237665</x:v>
      </x:c>
      <x:c r="E2821" s="78" t="n">
        <x:f>C2821+D2821</x:f>
        <x:v>895207.8251079172</x:v>
      </x:c>
      <x:c r="F2821" s="78" t="n">
        <x:f>'Inputs'!$B$13*E2821+(1-'Inputs'!$B$13)/'Inputs'!$B$14*SUM(E2766:E2821)</x:f>
        <x:v>905425.5019703544</x:v>
      </x:c>
      <x:c r="G2821" s="78" t="n">
        <x:f>F2821*'Inputs'!$F$51</x:f>
        <x:v>226356.3754925886</x:v>
      </x:c>
      <x:c r="H2821" s="78" t="n">
        <x:f>U2820</x:f>
        <x:v>474259.1528054642</x:v>
      </x:c>
      <x:c r="I2821" s="78" t="n">
        <x:f>V2820</x:f>
        <x:v>509372.2524368796</x:v>
      </x:c>
      <x:c r="J2821" s="79" t="n">
        <x:f>IF(H2821&gt;0,I2821/H2821,0)</x:f>
        <x:v>1.0740377901484979</x:v>
      </x:c>
      <x:c r="K2821" s="80" t="n">
        <x:f>(H2821*J2821+I2821)*'Inputs'!$D$51*(1+'Inputs'!$G$51)^(B2821/30)</x:f>
        <x:v>4687551.538531958</x:v>
      </x:c>
      <x:c r="L2821" s="80" t="n">
        <x:f>MAX(0,K2821*'Inputs'!$E$51)</x:f>
        <x:v>468755.15385319584</x:v>
      </x:c>
      <x:c r="M2821" s="80" t="n">
        <x:f>MAX(0,-K2821*'Inputs'!$E$51)</x:f>
        <x:v>0</x:v>
      </x:c>
      <x:c r="N2821" s="78" t="n">
        <x:f>H2821*(L2821*(1-'Inputs'!$B$15))/(I2821+L2821*(1-'Inputs'!$B$15))</x:f>
        <x:v>226093.38095612486</x:v>
      </x:c>
      <x:c r="O2821" s="78" t="n">
        <x:f>H2821-N2821</x:f>
        <x:v>248165.77184933936</x:v>
      </x:c>
      <x:c r="P2821" s="78" t="n">
        <x:f>I2821+L2821*(1-'Inputs'!$B$17)</x:f>
        <x:v>976241.0676427789</x:v>
      </x:c>
      <x:c r="Q2821" s="78" t="n">
        <x:f>IF(J2821&gt;0,M2821/J2821,0)</x:f>
        <x:v>0</x:v>
      </x:c>
      <x:c r="R2821" s="78" t="n">
        <x:f>IF(B2821='Inputs'!$H$51,'Inputs'!$B$27*'Inputs'!$I$51,0)</x:f>
        <x:v>0</x:v>
      </x:c>
      <x:c r="S2821" s="78" t="n">
        <x:f>Q2821+G2821+R2821</x:f>
        <x:v>226356.3754925886</x:v>
      </x:c>
      <x:c r="T2821" s="78" t="n">
        <x:f>P2821*(S2821*(1-'Inputs'!$B$15))/(O2821+S2821*(1-'Inputs'!$B$15))</x:f>
        <x:v>463239.02494309103</x:v>
      </x:c>
      <x:c r="U2821" s="78" t="n">
        <x:f>O2821+S2821*(1-'Inputs'!$B$17)</x:f>
        <x:v>473611.2564948753</x:v>
      </x:c>
      <x:c r="V2821" s="78" t="n">
        <x:f>P2821-T2821</x:f>
        <x:v>513002.0426996878</x:v>
      </x:c>
      <x:c r="W2821" s="79" t="n">
        <x:f>IF(U2821&gt;0,V2821/U2821,0)</x:f>
        <x:v>1.0831711359572358</x:v>
      </x:c>
      <x:c r="X2821" s="80" t="n">
        <x:f>W2821*('Inputs'!$B$6-AC2821)</x:f>
        <x:v>1080662322.133996</x:v>
      </x:c>
      <x:c r="Y2821" s="80" t="n">
        <x:f>2*V2821</x:f>
        <x:v>1026004.0853993756</x:v>
      </x:c>
      <x:c r="Z2821" s="80" t="n">
        <x:f>K2821*'Inputs'!$B$16+(G2821+R2821)*J2821*'Inputs'!$B$16</x:f>
        <x:v>29584.00103911225</x:v>
      </x:c>
      <x:c r="AA2821" s="80" t="n">
        <x:f>K2821*(1+'Inputs'!$E$51)/2*'Inputs'!$B$17</x:f>
        <x:v>10374.862560131098</x:v>
      </x:c>
      <x:c r="AB2821" s="78" t="n">
        <x:f>(IF(J2821&gt;0,K2821*(1-'Inputs'!$E$51)/2/J2821,0)+G2821+R2821)*'Inputs'!$B$17</x:f>
        <x:v>8814.266306179576</x:v>
      </x:c>
      <x:c r="AC2821" s="78" t="n">
        <x:f>AC2820+AB2821</x:f>
        <x:v>2316174.9237553515</x:v>
      </x:c>
      <x:c r="AD2821" s="80" t="n">
        <x:f>Z2821/(1+'Inputs'!$C$51)</x:f>
        <x:v>9861.333679704083</x:v>
      </x:c>
      <x:c r="AE2821" s="80" t="n">
        <x:f>Z2821-AD2821</x:f>
        <x:v>19722.667359408166</x:v>
      </x:c>
      <x:c r="AF2821" s="80" t="n">
        <x:f>D2821*W2821</x:f>
        <x:v>290898.9830519864</x:v>
      </x:c>
      <x:c r="AG2821" s="80" t="n">
        <x:f>C2821*W2821</x:f>
        <x:v>678764.2937879628</x:v>
      </x:c>
      <x:c r="AH2821" s="80" t="n">
        <x:f>2*'Inputs'!$B$8*'Inputs'!$C$51</x:f>
        <x:v>10000</x:v>
      </x:c>
      <x:c r="AI2821" s="81" t="n">
        <x:f>IF(AH2821&gt;0,(AE2821+AF2821)/AH2821*365,0)</x:f>
        <x:v>11337.690240015902</x:v>
      </x:c>
      <x:c r="AJ2821" s="81" t="n">
        <x:f>IF('Inputs'!$B$51&gt;0,AG2821/('Inputs'!$B$19*'Inputs'!$B$51)*365,0)</x:f>
        <x:v>24774.89672326064</x:v>
      </x:c>
      <x:c r="AK2821" s="81" t="n">
        <x:f>W2821/MAX($W$2559:W2821)-1</x:f>
        <x:v>0</x:v>
      </x:c>
      <x:c r="AL2821" s="83" t="n">
        <x:f>'Inputs'!$B$51</x:f>
        <x:v>1</x:v>
      </x:c>
      <x:c r="AM2821" s="83" t="n">
        <x:f>'Inputs'!$C$51</x:f>
        <x:v>2</x:v>
      </x:c>
      <x:c r="AN2821" s="83" t="n">
        <x:f>'Inputs'!$D$51</x:f>
        <x:v>3</x:v>
      </x:c>
      <x:c r="AO2821" s="81" t="n">
        <x:f>'Inputs'!$E$51</x:f>
        <x:v>0.1</x:v>
      </x:c>
    </x:row>
    <x:row r="2822">
      <x:c r="A2822" s="59" t="str">
        <x:v>High demand</x:v>
      </x:c>
      <x:c r="B2822" s="59" t="n">
        <x:v>264</x:v>
      </x:c>
      <x:c r="C2822" s="78" t="n">
        <x:f>(('Inputs'!$B$29*(3*264*'Inputs'!$B$12-264^2)/(2*'Inputs'!$B$12^2))-('Inputs'!$B$29*(3*263*'Inputs'!$B$12-263^2)/(2*'Inputs'!$B$12^2)))*'Inputs'!$B$51</x:f>
        <x:v>626320.3696753681</x:v>
      </x:c>
      <x:c r="D2822" s="78" t="n">
        <x:f>IF('Inputs'!$C$51&gt;0,('Inputs'!$B$30*(3*264*'Inputs'!$B$12-264^2)/(2*'Inputs'!$B$12^2))-('Inputs'!$B$30*(3*263*'Inputs'!$B$12-263^2)/(2*'Inputs'!$B$12^2)),0)</x:f>
        <x:v>268423.0155751556</x:v>
      </x:c>
      <x:c r="E2822" s="78" t="n">
        <x:f>C2822+D2822</x:f>
        <x:v>894743.3852505237</x:v>
      </x:c>
      <x:c r="F2822" s="78" t="n">
        <x:f>'Inputs'!$B$13*E2822+(1-'Inputs'!$B$13)/'Inputs'!$B$14*SUM(E2767:E2822)</x:f>
        <x:v>904961.0621129684</x:v>
      </x:c>
      <x:c r="G2822" s="78" t="n">
        <x:f>F2822*'Inputs'!$F$51</x:f>
        <x:v>226240.2655282421</x:v>
      </x:c>
      <x:c r="H2822" s="78" t="n">
        <x:f>U2821</x:f>
        <x:v>473611.2564948753</x:v>
      </x:c>
      <x:c r="I2822" s="78" t="n">
        <x:f>V2821</x:f>
        <x:v>513002.0426996878</x:v>
      </x:c>
      <x:c r="J2822" s="79" t="n">
        <x:f>IF(H2822&gt;0,I2822/H2822,0)</x:f>
        <x:v>1.0831711359572358</x:v>
      </x:c>
      <x:c r="K2822" s="80" t="n">
        <x:f>(H2822*J2822+I2822)*'Inputs'!$D$51*(1+'Inputs'!$G$51)^(B2822/30)</x:f>
        <x:v>4728639.18306777</x:v>
      </x:c>
      <x:c r="L2822" s="80" t="n">
        <x:f>MAX(0,K2822*'Inputs'!$E$51)</x:f>
        <x:v>472863.918306777</x:v>
      </x:c>
      <x:c r="M2822" s="80" t="n">
        <x:f>MAX(0,-K2822*'Inputs'!$E$51)</x:f>
        <x:v>0</x:v>
      </x:c>
      <x:c r="N2822" s="78" t="n">
        <x:f>H2822*(L2822*(1-'Inputs'!$B$15))/(I2822+L2822*(1-'Inputs'!$B$15))</x:f>
        <x:v>225976.66282158537</x:v>
      </x:c>
      <x:c r="O2822" s="78" t="n">
        <x:f>H2822-N2822</x:f>
        <x:v>247634.59367328993</x:v>
      </x:c>
      <x:c r="P2822" s="78" t="n">
        <x:f>I2822+L2822*(1-'Inputs'!$B$17)</x:f>
        <x:v>983963.0880957736</x:v>
      </x:c>
      <x:c r="Q2822" s="78" t="n">
        <x:f>IF(J2822&gt;0,M2822/J2822,0)</x:f>
        <x:v>0</x:v>
      </x:c>
      <x:c r="R2822" s="78" t="n">
        <x:f>IF(B2822='Inputs'!$H$51,'Inputs'!$B$27*'Inputs'!$I$51,0)</x:f>
        <x:v>0</x:v>
      </x:c>
      <x:c r="S2822" s="78" t="n">
        <x:f>Q2822+G2822+R2822</x:f>
        <x:v>226240.2655282421</x:v>
      </x:c>
      <x:c r="T2822" s="78" t="n">
        <x:f>P2822*(S2822*(1-'Inputs'!$B$15))/(O2822+S2822*(1-'Inputs'!$B$15))</x:f>
        <x:v>467303.071745639</x:v>
      </x:c>
      <x:c r="U2822" s="78" t="n">
        <x:f>O2822+S2822*(1-'Inputs'!$B$17)</x:f>
        <x:v>472964.43559779663</x:v>
      </x:c>
      <x:c r="V2822" s="78" t="n">
        <x:f>P2822-T2822</x:f>
        <x:v>516660.01635013457</x:v>
      </x:c>
      <x:c r="W2822" s="79" t="n">
        <x:f>IF(U2822&gt;0,V2822/U2822,0)</x:f>
        <x:v>1.092386609782001</x:v>
      </x:c>
      <x:c r="X2822" s="80" t="n">
        <x:f>W2822*('Inputs'!$B$6-AC2822)</x:f>
        <x:v>1089846820.9944892</x:v>
      </x:c>
      <x:c r="Y2822" s="80" t="n">
        <x:f>2*V2822</x:f>
        <x:v>1033320.0327002691</x:v>
      </x:c>
      <x:c r="Z2822" s="80" t="n">
        <x:f>K2822*'Inputs'!$B$16+(G2822+R2822)*J2822*'Inputs'!$B$16</x:f>
        <x:v>29842.176650875575</x:v>
      </x:c>
      <x:c r="AA2822" s="80" t="n">
        <x:f>K2822*(1+'Inputs'!$E$51)/2*'Inputs'!$B$17</x:f>
        <x:v>10465.801008801905</x:v>
      </x:c>
      <x:c r="AB2822" s="78" t="n">
        <x:f>(IF(J2822&gt;0,K2822*(1-'Inputs'!$E$51)/2/J2822,0)+G2822+R2822)*'Inputs'!$B$17</x:f>
        <x:v>8815.848530465259</x:v>
      </x:c>
      <x:c r="AC2822" s="78" t="n">
        <x:f>AC2821+AB2822</x:f>
        <x:v>2324990.7722858167</x:v>
      </x:c>
      <x:c r="AD2822" s="80" t="n">
        <x:f>Z2822/(1+'Inputs'!$C$51)</x:f>
        <x:v>9947.392216958526</x:v>
      </x:c>
      <x:c r="AE2822" s="80" t="n">
        <x:f>Z2822-AD2822</x:f>
        <x:v>19894.784433917048</x:v>
      </x:c>
      <x:c r="AF2822" s="80" t="n">
        <x:f>D2822*W2822</x:f>
        <x:v>293221.7079716055</x:v>
      </x:c>
      <x:c r="AG2822" s="80" t="n">
        <x:f>C2822*W2822</x:f>
        <x:v>684183.9852670849</x:v>
      </x:c>
      <x:c r="AH2822" s="80" t="n">
        <x:f>2*'Inputs'!$B$8*'Inputs'!$C$51</x:f>
        <x:v>10000</x:v>
      </x:c>
      <x:c r="AI2822" s="81" t="n">
        <x:f>IF(AH2822&gt;0,(AE2822+AF2822)/AH2822*365,0)</x:f>
        <x:v>11428.75197280157</x:v>
      </x:c>
      <x:c r="AJ2822" s="81" t="n">
        <x:f>IF('Inputs'!$B$51&gt;0,AG2822/('Inputs'!$B$19*'Inputs'!$B$51)*365,0)</x:f>
        <x:v>24972.715462248598</x:v>
      </x:c>
      <x:c r="AK2822" s="81" t="n">
        <x:f>W2822/MAX($W$2559:W2822)-1</x:f>
        <x:v>0</x:v>
      </x:c>
      <x:c r="AL2822" s="83" t="n">
        <x:f>'Inputs'!$B$51</x:f>
        <x:v>1</x:v>
      </x:c>
      <x:c r="AM2822" s="83" t="n">
        <x:f>'Inputs'!$C$51</x:f>
        <x:v>2</x:v>
      </x:c>
      <x:c r="AN2822" s="83" t="n">
        <x:f>'Inputs'!$D$51</x:f>
        <x:v>3</x:v>
      </x:c>
      <x:c r="AO2822" s="81" t="n">
        <x:f>'Inputs'!$E$51</x:f>
        <x:v>0.1</x:v>
      </x:c>
    </x:row>
    <x:row r="2823">
      <x:c r="A2823" s="59" t="str">
        <x:v>High demand</x:v>
      </x:c>
      <x:c r="B2823" s="59" t="n">
        <x:v>265</x:v>
      </x:c>
      <x:c r="C2823" s="78" t="n">
        <x:f>(('Inputs'!$B$29*(3*265*'Inputs'!$B$12-265^2)/(2*'Inputs'!$B$12^2))-('Inputs'!$B$29*(3*264*'Inputs'!$B$12-264^2)/(2*'Inputs'!$B$12^2)))*'Inputs'!$B$51</x:f>
        <x:v>625995.2617751658</x:v>
      </x:c>
      <x:c r="D2823" s="78" t="n">
        <x:f>IF('Inputs'!$C$51&gt;0,('Inputs'!$B$30*(3*265*'Inputs'!$B$12-265^2)/(2*'Inputs'!$B$12^2))-('Inputs'!$B$30*(3*264*'Inputs'!$B$12-264^2)/(2*'Inputs'!$B$12^2)),0)</x:f>
        <x:v>268283.6836179346</x:v>
      </x:c>
      <x:c r="E2823" s="78" t="n">
        <x:f>C2823+D2823</x:f>
        <x:v>894278.9453931004</x:v>
      </x:c>
      <x:c r="F2823" s="78" t="n">
        <x:f>'Inputs'!$B$13*E2823+(1-'Inputs'!$B$13)/'Inputs'!$B$14*SUM(E2768:E2823)</x:f>
        <x:v>904496.6222555761</x:v>
      </x:c>
      <x:c r="G2823" s="78" t="n">
        <x:f>F2823*'Inputs'!$F$51</x:f>
        <x:v>226124.15556389402</x:v>
      </x:c>
      <x:c r="H2823" s="78" t="n">
        <x:f>U2822</x:f>
        <x:v>472964.43559779663</x:v>
      </x:c>
      <x:c r="I2823" s="78" t="n">
        <x:f>V2822</x:f>
        <x:v>516660.01635013457</x:v>
      </x:c>
      <x:c r="J2823" s="79" t="n">
        <x:f>IF(H2823&gt;0,I2823/H2823,0)</x:f>
        <x:v>1.092386609782001</x:v>
      </x:c>
      <x:c r="K2823" s="80" t="n">
        <x:f>(H2823*J2823+I2823)*'Inputs'!$D$51*(1+'Inputs'!$G$51)^(B2823/30)</x:f>
        <x:v>4770108.368114769</x:v>
      </x:c>
      <x:c r="L2823" s="80" t="n">
        <x:f>MAX(0,K2823*'Inputs'!$E$51)</x:f>
        <x:v>477010.83681147697</x:v>
      </x:c>
      <x:c r="M2823" s="80" t="n">
        <x:f>MAX(0,-K2823*'Inputs'!$E$51)</x:f>
        <x:v>0</x:v>
      </x:c>
      <x:c r="N2823" s="78" t="n">
        <x:f>H2823*(L2823*(1-'Inputs'!$B$15))/(I2823+L2823*(1-'Inputs'!$B$15))</x:f>
        <x:v>225859.94678479887</x:v>
      </x:c>
      <x:c r="O2823" s="78" t="n">
        <x:f>H2823-N2823</x:f>
        <x:v>247104.48881299776</x:v>
      </x:c>
      <x:c r="P2823" s="78" t="n">
        <x:f>I2823+L2823*(1-'Inputs'!$B$17)</x:f>
        <x:v>991751.2924500965</x:v>
      </x:c>
      <x:c r="Q2823" s="78" t="n">
        <x:f>IF(J2823&gt;0,M2823/J2823,0)</x:f>
        <x:v>0</x:v>
      </x:c>
      <x:c r="R2823" s="78" t="n">
        <x:f>IF(B2823='Inputs'!$H$51,'Inputs'!$B$27*'Inputs'!$I$51,0)</x:f>
        <x:v>0</x:v>
      </x:c>
      <x:c r="S2823" s="78" t="n">
        <x:f>Q2823+G2823+R2823</x:f>
        <x:v>226124.15556389402</x:v>
      </x:c>
      <x:c r="T2823" s="78" t="n">
        <x:f>P2823*(S2823*(1-'Inputs'!$B$15))/(O2823+S2823*(1-'Inputs'!$B$15))</x:f>
        <x:v>471404.8848590782</x:v>
      </x:c>
      <x:c r="U2823" s="78" t="n">
        <x:f>O2823+S2823*(1-'Inputs'!$B$17)</x:f>
        <x:v>472318.68801647366</x:v>
      </x:c>
      <x:c r="V2823" s="78" t="n">
        <x:f>P2823-T2823</x:f>
        <x:v>520346.40759101824</x:v>
      </x:c>
      <x:c r="W2823" s="79" t="n">
        <x:f>IF(U2823&gt;0,V2823/U2823,0)</x:f>
        <x:v>1.1016849868385252</x:v>
      </x:c>
      <x:c r="X2823" s="80" t="n">
        <x:f>W2823*('Inputs'!$B$6-AC2823)</x:f>
        <x:v>1099113865.374984</x:v>
      </x:c>
      <x:c r="Y2823" s="80" t="n">
        <x:f>2*V2823</x:f>
        <x:v>1040692.8151820365</x:v>
      </x:c>
      <x:c r="Z2823" s="80" t="n">
        <x:f>K2823*'Inputs'!$B$16+(G2823+R2823)*J2823*'Inputs'!$B$16</x:f>
        <x:v>30102.74020680618</x:v>
      </x:c>
      <x:c r="AA2823" s="80" t="n">
        <x:f>K2823*(1+'Inputs'!$E$51)/2*'Inputs'!$B$17</x:f>
        <x:v>10557.58391333249</x:v>
      </x:c>
      <x:c r="AB2823" s="78" t="n">
        <x:f>(IF(J2823&gt;0,K2823*(1-'Inputs'!$E$51)/2/J2823,0)+G2823+R2823)*'Inputs'!$B$17</x:f>
        <x:v>8817.434467954861</x:v>
      </x:c>
      <x:c r="AC2823" s="78" t="n">
        <x:f>AC2822+AB2823</x:f>
        <x:v>2333808.2067537718</x:v>
      </x:c>
      <x:c r="AD2823" s="80" t="n">
        <x:f>Z2823/(1+'Inputs'!$C$51)</x:f>
        <x:v>10034.246735602059</x:v>
      </x:c>
      <x:c r="AE2823" s="80" t="n">
        <x:f>Z2823-AD2823</x:f>
        <x:v>20068.49347120412</x:v>
      </x:c>
      <x:c r="AF2823" s="80" t="n">
        <x:f>D2823*W2823</x:f>
        <x:v>295564.1064556153</x:v>
      </x:c>
      <x:c r="AG2823" s="80" t="n">
        <x:f>C2823*W2823</x:f>
        <x:v>689649.5817297527</x:v>
      </x:c>
      <x:c r="AH2823" s="80" t="n">
        <x:f>2*'Inputs'!$B$8*'Inputs'!$C$51</x:f>
        <x:v>10000</x:v>
      </x:c>
      <x:c r="AI2823" s="81" t="n">
        <x:f>IF(AH2823&gt;0,(AE2823+AF2823)/AH2823*365,0)</x:f>
        <x:v>11520.58989732891</x:v>
      </x:c>
      <x:c r="AJ2823" s="81" t="n">
        <x:f>IF('Inputs'!$B$51&gt;0,AG2823/('Inputs'!$B$19*'Inputs'!$B$51)*365,0)</x:f>
        <x:v>25172.209733135973</x:v>
      </x:c>
      <x:c r="AK2823" s="81" t="n">
        <x:f>W2823/MAX($W$2559:W2823)-1</x:f>
        <x:v>0</x:v>
      </x:c>
      <x:c r="AL2823" s="83" t="n">
        <x:f>'Inputs'!$B$51</x:f>
        <x:v>1</x:v>
      </x:c>
      <x:c r="AM2823" s="83" t="n">
        <x:f>'Inputs'!$C$51</x:f>
        <x:v>2</x:v>
      </x:c>
      <x:c r="AN2823" s="83" t="n">
        <x:f>'Inputs'!$D$51</x:f>
        <x:v>3</x:v>
      </x:c>
      <x:c r="AO2823" s="81" t="n">
        <x:f>'Inputs'!$E$51</x:f>
        <x:v>0.1</x:v>
      </x:c>
    </x:row>
    <x:row r="2824">
      <x:c r="A2824" s="59" t="str">
        <x:v>High demand</x:v>
      </x:c>
      <x:c r="B2824" s="59" t="n">
        <x:v>266</x:v>
      </x:c>
      <x:c r="C2824" s="78" t="n">
        <x:f>(('Inputs'!$B$29*(3*266*'Inputs'!$B$12-266^2)/(2*'Inputs'!$B$12^2))-('Inputs'!$B$29*(3*265*'Inputs'!$B$12-265^2)/(2*'Inputs'!$B$12^2)))*'Inputs'!$B$51</x:f>
        <x:v>625670.1538750231</x:v>
      </x:c>
      <x:c r="D2824" s="78" t="n">
        <x:f>IF('Inputs'!$C$51&gt;0,('Inputs'!$B$30*(3*266*'Inputs'!$B$12-266^2)/(2*'Inputs'!$B$12^2))-('Inputs'!$B$30*(3*265*'Inputs'!$B$12-265^2)/(2*'Inputs'!$B$12^2)),0)</x:f>
        <x:v>268144.35166072845</x:v>
      </x:c>
      <x:c r="E2824" s="78" t="n">
        <x:f>C2824+D2824</x:f>
        <x:v>893814.5055357516</x:v>
      </x:c>
      <x:c r="F2824" s="78" t="n">
        <x:f>'Inputs'!$B$13*E2824+(1-'Inputs'!$B$13)/'Inputs'!$B$14*SUM(E2769:E2824)</x:f>
        <x:v>904032.1823981993</x:v>
      </x:c>
      <x:c r="G2824" s="78" t="n">
        <x:f>F2824*'Inputs'!$F$51</x:f>
        <x:v>226008.04559954983</x:v>
      </x:c>
      <x:c r="H2824" s="78" t="n">
        <x:f>U2823</x:f>
        <x:v>472318.68801647366</x:v>
      </x:c>
      <x:c r="I2824" s="78" t="n">
        <x:f>V2823</x:f>
        <x:v>520346.40759101824</x:v>
      </x:c>
      <x:c r="J2824" s="79" t="n">
        <x:f>IF(H2824&gt;0,I2824/H2824,0)</x:f>
        <x:v>1.1016849868385252</x:v>
      </x:c>
      <x:c r="K2824" s="80" t="n">
        <x:f>(H2824*J2824+I2824)*'Inputs'!$D$51*(1+'Inputs'!$G$51)^(B2824/30)</x:f>
        <x:v>4811962.816201962</x:v>
      </x:c>
      <x:c r="L2824" s="80" t="n">
        <x:f>MAX(0,K2824*'Inputs'!$E$51)</x:f>
        <x:v>481196.2816201962</x:v>
      </x:c>
      <x:c r="M2824" s="80" t="n">
        <x:f>MAX(0,-K2824*'Inputs'!$E$51)</x:f>
        <x:v>0</x:v>
      </x:c>
      <x:c r="N2824" s="78" t="n">
        <x:f>H2824*(L2824*(1-'Inputs'!$B$15))/(I2824+L2824*(1-'Inputs'!$B$15))</x:f>
        <x:v>225743.2328417582</x:v>
      </x:c>
      <x:c r="O2824" s="78" t="n">
        <x:f>H2824-N2824</x:f>
        <x:v>246575.45517471546</x:v>
      </x:c>
      <x:c r="P2824" s="78" t="n">
        <x:f>I2824+L2824*(1-'Inputs'!$B$17)</x:f>
        <x:v>999606.2856634471</x:v>
      </x:c>
      <x:c r="Q2824" s="78" t="n">
        <x:f>IF(J2824&gt;0,M2824/J2824,0)</x:f>
        <x:v>0</x:v>
      </x:c>
      <x:c r="R2824" s="78" t="n">
        <x:f>IF(B2824='Inputs'!$H$51,'Inputs'!$B$27*'Inputs'!$I$51,0)</x:f>
        <x:v>0</x:v>
      </x:c>
      <x:c r="S2824" s="78" t="n">
        <x:f>Q2824+G2824+R2824</x:f>
        <x:v>226008.04559954983</x:v>
      </x:c>
      <x:c r="T2824" s="78" t="n">
        <x:f>P2824*(S2824*(1-'Inputs'!$B$15))/(O2824+S2824*(1-'Inputs'!$B$15))</x:f>
        <x:v>475544.8329801464</x:v>
      </x:c>
      <x:c r="U2824" s="78" t="n">
        <x:f>O2824+S2824*(1-'Inputs'!$B$17)</x:f>
        <x:v>471674.0116571645</x:v>
      </x:c>
      <x:c r="V2824" s="78" t="n">
        <x:f>P2824-T2824</x:f>
        <x:v>524061.4526833007</x:v>
      </x:c>
      <x:c r="W2824" s="79" t="n">
        <x:f>IF(U2824&gt;0,V2824/U2824,0)</x:f>
        <x:v>1.1110670499781827</x:v>
      </x:c>
      <x:c r="X2824" s="80" t="n">
        <x:f>W2824*('Inputs'!$B$6-AC2824)</x:f>
        <x:v>1108464234.0515778</x:v>
      </x:c>
      <x:c r="Y2824" s="80" t="n">
        <x:f>2*V2824</x:f>
        <x:v>1048122.9053666014</x:v>
      </x:c>
      <x:c r="Z2824" s="80" t="n">
        <x:f>K2824*'Inputs'!$B$16+(G2824+R2824)*J2824*'Inputs'!$B$16</x:f>
        <x:v>30365.714921662217</x:v>
      </x:c>
      <x:c r="AA2824" s="80" t="n">
        <x:f>K2824*(1+'Inputs'!$E$51)/2*'Inputs'!$B$17</x:f>
        <x:v>10650.219512720641</x:v>
      </x:c>
      <x:c r="AB2824" s="78" t="n">
        <x:f>(IF(J2824&gt;0,K2824*(1-'Inputs'!$E$51)/2/J2824,0)+G2824+R2824)*'Inputs'!$B$17</x:f>
        <x:v>8819.024119442123</x:v>
      </x:c>
      <x:c r="AC2824" s="78" t="n">
        <x:f>AC2823+AB2824</x:f>
        <x:v>2342627.230873214</x:v>
      </x:c>
      <x:c r="AD2824" s="80" t="n">
        <x:f>Z2824/(1+'Inputs'!$C$51)</x:f>
        <x:v>10121.904973887406</x:v>
      </x:c>
      <x:c r="AE2824" s="80" t="n">
        <x:f>Z2824-AD2824</x:f>
        <x:v>20243.80994777481</x:v>
      </x:c>
      <x:c r="AF2824" s="80" t="n">
        <x:f>D2824*W2824</x:f>
        <x:v>297926.353767998</x:v>
      </x:c>
      <x:c r="AG2824" s="80" t="n">
        <x:f>C2824*W2824</x:f>
        <x:v>695161.4921253176</x:v>
      </x:c>
      <x:c r="AH2824" s="80" t="n">
        <x:f>2*'Inputs'!$B$8*'Inputs'!$C$51</x:f>
        <x:v>10000</x:v>
      </x:c>
      <x:c r="AI2824" s="81" t="n">
        <x:f>IF(AH2824&gt;0,(AE2824+AF2824)/AH2824*365,0)</x:f>
        <x:v>11613.210975625707</x:v>
      </x:c>
      <x:c r="AJ2824" s="81" t="n">
        <x:f>IF('Inputs'!$B$51&gt;0,AG2824/('Inputs'!$B$19*'Inputs'!$B$51)*365,0)</x:f>
        <x:v>25373.39446257409</x:v>
      </x:c>
      <x:c r="AK2824" s="81" t="n">
        <x:f>W2824/MAX($W$2559:W2824)-1</x:f>
        <x:v>0</x:v>
      </x:c>
      <x:c r="AL2824" s="83" t="n">
        <x:f>'Inputs'!$B$51</x:f>
        <x:v>1</x:v>
      </x:c>
      <x:c r="AM2824" s="83" t="n">
        <x:f>'Inputs'!$C$51</x:f>
        <x:v>2</x:v>
      </x:c>
      <x:c r="AN2824" s="83" t="n">
        <x:f>'Inputs'!$D$51</x:f>
        <x:v>3</x:v>
      </x:c>
      <x:c r="AO2824" s="81" t="n">
        <x:f>'Inputs'!$E$51</x:f>
        <x:v>0.1</x:v>
      </x:c>
    </x:row>
    <x:row r="2825">
      <x:c r="A2825" s="59" t="str">
        <x:v>High demand</x:v>
      </x:c>
      <x:c r="B2825" s="59" t="n">
        <x:v>267</x:v>
      </x:c>
      <x:c r="C2825" s="78" t="n">
        <x:f>(('Inputs'!$B$29*(3*267*'Inputs'!$B$12-267^2)/(2*'Inputs'!$B$12^2))-('Inputs'!$B$29*(3*266*'Inputs'!$B$12-266^2)/(2*'Inputs'!$B$12^2)))*'Inputs'!$B$51</x:f>
        <x:v>625345.0459748805</x:v>
      </x:c>
      <x:c r="D2825" s="78" t="n">
        <x:f>IF('Inputs'!$C$51&gt;0,('Inputs'!$B$30*(3*267*'Inputs'!$B$12-267^2)/(2*'Inputs'!$B$12^2))-('Inputs'!$B$30*(3*266*'Inputs'!$B$12-266^2)/(2*'Inputs'!$B$12^2)),0)</x:f>
        <x:v>268005.0197035074</x:v>
      </x:c>
      <x:c r="E2825" s="78" t="n">
        <x:f>C2825+D2825</x:f>
        <x:v>893350.0656783879</x:v>
      </x:c>
      <x:c r="F2825" s="78" t="n">
        <x:f>'Inputs'!$B$13*E2825+(1-'Inputs'!$B$13)/'Inputs'!$B$14*SUM(E2770:E2825)</x:f>
        <x:v>903567.7425408192</x:v>
      </x:c>
      <x:c r="G2825" s="78" t="n">
        <x:f>F2825*'Inputs'!$F$51</x:f>
        <x:v>225891.9356352048</x:v>
      </x:c>
      <x:c r="H2825" s="78" t="n">
        <x:f>U2824</x:f>
        <x:v>471674.0116571645</x:v>
      </x:c>
      <x:c r="I2825" s="78" t="n">
        <x:f>V2824</x:f>
        <x:v>524061.4526833007</x:v>
      </x:c>
      <x:c r="J2825" s="79" t="n">
        <x:f>IF(H2825&gt;0,I2825/H2825,0)</x:f>
        <x:v>1.1110670499781827</x:v>
      </x:c>
      <x:c r="K2825" s="80" t="n">
        <x:f>(H2825*J2825+I2825)*'Inputs'!$D$51*(1+'Inputs'!$G$51)^(B2825/30)</x:f>
        <x:v>4854206.287769459</x:v>
      </x:c>
      <x:c r="L2825" s="80" t="n">
        <x:f>MAX(0,K2825*'Inputs'!$E$51)</x:f>
        <x:v>485420.62877694593</x:v>
      </x:c>
      <x:c r="M2825" s="80" t="n">
        <x:f>MAX(0,-K2825*'Inputs'!$E$51)</x:f>
        <x:v>0</x:v>
      </x:c>
      <x:c r="N2825" s="78" t="n">
        <x:f>H2825*(L2825*(1-'Inputs'!$B$15))/(I2825+L2825*(1-'Inputs'!$B$15))</x:f>
        <x:v>225626.5209884667</x:v>
      </x:c>
      <x:c r="O2825" s="78" t="n">
        <x:f>H2825-N2825</x:f>
        <x:v>246047.49066869778</x:v>
      </x:c>
      <x:c r="P2825" s="78" t="n">
        <x:f>I2825+L2825*(1-'Inputs'!$B$17)</x:f>
        <x:v>1007528.6785275426</x:v>
      </x:c>
      <x:c r="Q2825" s="78" t="n">
        <x:f>IF(J2825&gt;0,M2825/J2825,0)</x:f>
        <x:v>0</x:v>
      </x:c>
      <x:c r="R2825" s="78" t="n">
        <x:f>IF(B2825='Inputs'!$H$51,'Inputs'!$B$27*'Inputs'!$I$51,0)</x:f>
        <x:v>0</x:v>
      </x:c>
      <x:c r="S2825" s="78" t="n">
        <x:f>Q2825+G2825+R2825</x:f>
        <x:v>225891.9356352048</x:v>
      </x:c>
      <x:c r="T2825" s="78" t="n">
        <x:f>P2825*(S2825*(1-'Inputs'!$B$15))/(O2825+S2825*(1-'Inputs'!$B$15))</x:f>
        <x:v>479723.28856245714</x:v>
      </x:c>
      <x:c r="U2825" s="78" t="n">
        <x:f>O2825+S2825*(1-'Inputs'!$B$17)</x:f>
        <x:v>471030.4044301191</x:v>
      </x:c>
      <x:c r="V2825" s="78" t="n">
        <x:f>P2825-T2825</x:f>
        <x:v>527805.3899650855</x:v>
      </x:c>
      <x:c r="W2825" s="79" t="n">
        <x:f>IF(U2825&gt;0,V2825/U2825,0)</x:f>
        <x:v>1.120533589766156</x:v>
      </x:c>
      <x:c r="X2825" s="80" t="n">
        <x:f>W2825*('Inputs'!$B$6-AC2825)</x:f>
        <x:v>1117898713.4674864</x:v>
      </x:c>
      <x:c r="Y2825" s="80" t="n">
        <x:f>2*V2825</x:f>
        <x:v>1055610.779930171</x:v>
      </x:c>
      <x:c r="Z2825" s="80" t="n">
        <x:f>K2825*'Inputs'!$B$16+(G2825+R2825)*J2825*'Inputs'!$B$16</x:f>
        <x:v>30631.12424585717</x:v>
      </x:c>
      <x:c r="AA2825" s="80" t="n">
        <x:f>K2825*(1+'Inputs'!$E$51)/2*'Inputs'!$B$17</x:f>
        <x:v>10743.716129872044</x:v>
      </x:c>
      <x:c r="AB2825" s="78" t="n">
        <x:f>(IF(J2825&gt;0,K2825*(1-'Inputs'!$E$51)/2/J2825,0)+G2825+R2825)*'Inputs'!$B$17</x:f>
        <x:v>8820.617485714092</x:v>
      </x:c>
      <x:c r="AC2825" s="78" t="n">
        <x:f>AC2824+AB2825</x:f>
        <x:v>2351447.848358928</x:v>
      </x:c>
      <x:c r="AD2825" s="80" t="n">
        <x:f>Z2825/(1+'Inputs'!$C$51)</x:f>
        <x:v>10210.374748619057</x:v>
      </x:c>
      <x:c r="AE2825" s="80" t="n">
        <x:f>Z2825-AD2825</x:f>
        <x:v>20420.74949723811</x:v>
      </x:c>
      <x:c r="AF2825" s="80" t="n">
        <x:f>D2825*W2825</x:f>
        <x:v>300308.62680372054</x:v>
      </x:c>
      <x:c r="AG2825" s="80" t="n">
        <x:f>C2825*W2825</x:f>
        <x:v>700720.1292087146</x:v>
      </x:c>
      <x:c r="AH2825" s="80" t="n">
        <x:f>2*'Inputs'!$B$8*'Inputs'!$C$51</x:f>
        <x:v>10000</x:v>
      </x:c>
      <x:c r="AI2825" s="81" t="n">
        <x:f>IF(AH2825&gt;0,(AE2825+AF2825)/AH2825*365,0)</x:f>
        <x:v>11706.62223498499</x:v>
      </x:c>
      <x:c r="AJ2825" s="81" t="n">
        <x:f>IF('Inputs'!$B$51&gt;0,AG2825/('Inputs'!$B$19*'Inputs'!$B$51)*365,0)</x:f>
        <x:v>25576.284716118083</x:v>
      </x:c>
      <x:c r="AK2825" s="81" t="n">
        <x:f>W2825/MAX($W$2559:W2825)-1</x:f>
        <x:v>0</x:v>
      </x:c>
      <x:c r="AL2825" s="83" t="n">
        <x:f>'Inputs'!$B$51</x:f>
        <x:v>1</x:v>
      </x:c>
      <x:c r="AM2825" s="83" t="n">
        <x:f>'Inputs'!$C$51</x:f>
        <x:v>2</x:v>
      </x:c>
      <x:c r="AN2825" s="83" t="n">
        <x:f>'Inputs'!$D$51</x:f>
        <x:v>3</x:v>
      </x:c>
      <x:c r="AO2825" s="81" t="n">
        <x:f>'Inputs'!$E$51</x:f>
        <x:v>0.1</x:v>
      </x:c>
    </x:row>
    <x:row r="2826">
      <x:c r="A2826" s="59" t="str">
        <x:v>High demand</x:v>
      </x:c>
      <x:c r="B2826" s="59" t="n">
        <x:v>268</x:v>
      </x:c>
      <x:c r="C2826" s="78" t="n">
        <x:f>(('Inputs'!$B$29*(3*268*'Inputs'!$B$12-268^2)/(2*'Inputs'!$B$12^2))-('Inputs'!$B$29*(3*267*'Inputs'!$B$12-267^2)/(2*'Inputs'!$B$12^2)))*'Inputs'!$B$51</x:f>
        <x:v>625019.9380746782</x:v>
      </x:c>
      <x:c r="D2826" s="78" t="n">
        <x:f>IF('Inputs'!$C$51&gt;0,('Inputs'!$B$30*(3*268*'Inputs'!$B$12-268^2)/(2*'Inputs'!$B$12^2))-('Inputs'!$B$30*(3*267*'Inputs'!$B$12-267^2)/(2*'Inputs'!$B$12^2)),0)</x:f>
        <x:v>267865.6877462864</x:v>
      </x:c>
      <x:c r="E2826" s="78" t="n">
        <x:f>C2826+D2826</x:f>
        <x:v>892885.6258209646</x:v>
      </x:c>
      <x:c r="F2826" s="78" t="n">
        <x:f>'Inputs'!$B$13*E2826+(1-'Inputs'!$B$13)/'Inputs'!$B$14*SUM(E2771:E2826)</x:f>
        <x:v>903103.3026834275</x:v>
      </x:c>
      <x:c r="G2826" s="78" t="n">
        <x:f>F2826*'Inputs'!$F$51</x:f>
        <x:v>225775.82567085687</x:v>
      </x:c>
      <x:c r="H2826" s="78" t="n">
        <x:f>U2825</x:f>
        <x:v>471030.4044301191</x:v>
      </x:c>
      <x:c r="I2826" s="78" t="n">
        <x:f>V2825</x:f>
        <x:v>527805.3899650855</x:v>
      </x:c>
      <x:c r="J2826" s="79" t="n">
        <x:f>IF(H2826&gt;0,I2826/H2826,0)</x:f>
        <x:v>1.120533589766156</x:v>
      </x:c>
      <x:c r="K2826" s="80" t="n">
        <x:f>(H2826*J2826+I2826)*'Inputs'!$D$51*(1+'Inputs'!$G$51)^(B2826/30)</x:f>
        <x:v>4896842.581569528</x:v>
      </x:c>
      <x:c r="L2826" s="80" t="n">
        <x:f>MAX(0,K2826*'Inputs'!$E$51)</x:f>
        <x:v>489684.25815695286</x:v>
      </x:c>
      <x:c r="M2826" s="80" t="n">
        <x:f>MAX(0,-K2826*'Inputs'!$E$51)</x:f>
        <x:v>0</x:v>
      </x:c>
      <x:c r="N2826" s="78" t="n">
        <x:f>H2826*(L2826*(1-'Inputs'!$B$15))/(I2826+L2826*(1-'Inputs'!$B$15))</x:f>
        <x:v>225509.811220932</x:v>
      </x:c>
      <x:c r="O2826" s="78" t="n">
        <x:f>H2826-N2826</x:f>
        <x:v>245520.5932091871</x:v>
      </x:c>
      <x:c r="P2826" s="78" t="n">
        <x:f>I2826+L2826*(1-'Inputs'!$B$17)</x:f>
        <x:v>1015519.0877270405</x:v>
      </x:c>
      <x:c r="Q2826" s="78" t="n">
        <x:f>IF(J2826&gt;0,M2826/J2826,0)</x:f>
        <x:v>0</x:v>
      </x:c>
      <x:c r="R2826" s="78" t="n">
        <x:f>IF(B2826='Inputs'!$H$51,'Inputs'!$B$27*'Inputs'!$I$51,0)</x:f>
        <x:v>0</x:v>
      </x:c>
      <x:c r="S2826" s="78" t="n">
        <x:f>Q2826+G2826+R2826</x:f>
        <x:v>225775.82567085687</x:v>
      </x:c>
      <x:c r="T2826" s="78" t="n">
        <x:f>P2826*(S2826*(1-'Inputs'!$B$15))/(O2826+S2826*(1-'Inputs'!$B$15))</x:f>
        <x:v>483940.6278562831</x:v>
      </x:c>
      <x:c r="U2826" s="78" t="n">
        <x:f>O2826+S2826*(1-'Inputs'!$B$17)</x:f>
        <x:v>470387.86424957775</x:v>
      </x:c>
      <x:c r="V2826" s="78" t="n">
        <x:f>P2826-T2826</x:f>
        <x:v>531578.4598707574</x:v>
      </x:c>
      <x:c r="W2826" s="79" t="n">
        <x:f>IF(U2826&gt;0,V2826/U2826,0)</x:f>
        <x:v>1.130085404560338</x:v>
      </x:c>
      <x:c r="X2826" s="80" t="n">
        <x:f>W2826*('Inputs'!$B$6-AC2826)</x:f>
        <x:v>1127418097.811404</x:v>
      </x:c>
      <x:c r="Y2826" s="80" t="n">
        <x:f>2*V2826</x:f>
        <x:v>1063156.9197415148</x:v>
      </x:c>
      <x:c r="Z2826" s="80" t="n">
        <x:f>K2826*'Inputs'!$B$16+(G2826+R2826)*J2826*'Inputs'!$B$16</x:f>
        <x:v>30898.991867945468</x:v>
      </x:c>
      <x:c r="AA2826" s="80" t="n">
        <x:f>K2826*(1+'Inputs'!$E$51)/2*'Inputs'!$B$17</x:f>
        <x:v>10838.082172487892</x:v>
      </x:c>
      <x:c r="AB2826" s="78" t="n">
        <x:f>(IF(J2826&gt;0,K2826*(1-'Inputs'!$E$51)/2/J2826,0)+G2826+R2826)*'Inputs'!$B$17</x:f>
        <x:v>8822.214567550891</x:v>
      </x:c>
      <x:c r="AC2826" s="78" t="n">
        <x:f>AC2825+AB2826</x:f>
        <x:v>2360270.062926479</x:v>
      </x:c>
      <x:c r="AD2826" s="80" t="n">
        <x:f>Z2826/(1+'Inputs'!$C$51)</x:f>
        <x:v>10299.663955981823</x:v>
      </x:c>
      <x:c r="AE2826" s="80" t="n">
        <x:f>Z2826-AD2826</x:f>
        <x:v>20599.327911963643</x:v>
      </x:c>
      <x:c r="AF2826" s="80" t="n">
        <x:f>D2826*W2826</x:f>
        <x:v>302711.1041045952</x:v>
      </x:c>
      <x:c r="AG2826" s="80" t="n">
        <x:f>C2826*W2826</x:f>
        <x:v>706325.9095774001</x:v>
      </x:c>
      <x:c r="AH2826" s="80" t="n">
        <x:f>2*'Inputs'!$B$8*'Inputs'!$C$51</x:f>
        <x:v>10000</x:v>
      </x:c>
      <x:c r="AI2826" s="81" t="n">
        <x:f>IF(AH2826&gt;0,(AE2826+AF2826)/AH2826*365,0)</x:f>
        <x:v>11800.830768604397</x:v>
      </x:c>
      <x:c r="AJ2826" s="81" t="n">
        <x:f>IF('Inputs'!$B$51&gt;0,AG2826/('Inputs'!$B$19*'Inputs'!$B$51)*365,0)</x:f>
        <x:v>25780.895699575103</x:v>
      </x:c>
      <x:c r="AK2826" s="81" t="n">
        <x:f>W2826/MAX($W$2559:W2826)-1</x:f>
        <x:v>0</x:v>
      </x:c>
      <x:c r="AL2826" s="83" t="n">
        <x:f>'Inputs'!$B$51</x:f>
        <x:v>1</x:v>
      </x:c>
      <x:c r="AM2826" s="83" t="n">
        <x:f>'Inputs'!$C$51</x:f>
        <x:v>2</x:v>
      </x:c>
      <x:c r="AN2826" s="83" t="n">
        <x:f>'Inputs'!$D$51</x:f>
        <x:v>3</x:v>
      </x:c>
      <x:c r="AO2826" s="81" t="n">
        <x:f>'Inputs'!$E$51</x:f>
        <x:v>0.1</x:v>
      </x:c>
    </x:row>
    <x:row r="2827">
      <x:c r="A2827" s="59" t="str">
        <x:v>High demand</x:v>
      </x:c>
      <x:c r="B2827" s="59" t="n">
        <x:v>269</x:v>
      </x:c>
      <x:c r="C2827" s="78" t="n">
        <x:f>(('Inputs'!$B$29*(3*269*'Inputs'!$B$12-269^2)/(2*'Inputs'!$B$12^2))-('Inputs'!$B$29*(3*268*'Inputs'!$B$12-268^2)/(2*'Inputs'!$B$12^2)))*'Inputs'!$B$51</x:f>
        <x:v>624694.8301745057</x:v>
      </x:c>
      <x:c r="D2827" s="78" t="n">
        <x:f>IF('Inputs'!$C$51&gt;0,('Inputs'!$B$30*(3*269*'Inputs'!$B$12-269^2)/(2*'Inputs'!$B$12^2))-('Inputs'!$B$30*(3*268*'Inputs'!$B$12-268^2)/(2*'Inputs'!$B$12^2)),0)</x:f>
        <x:v>267726.35578908026</x:v>
      </x:c>
      <x:c r="E2827" s="78" t="n">
        <x:f>C2827+D2827</x:f>
        <x:v>892421.185963586</x:v>
      </x:c>
      <x:c r="F2827" s="78" t="n">
        <x:f>'Inputs'!$B$13*E2827+(1-'Inputs'!$B$13)/'Inputs'!$B$14*SUM(E2772:E2827)</x:f>
        <x:v>902638.862826044</x:v>
      </x:c>
      <x:c r="G2827" s="78" t="n">
        <x:f>F2827*'Inputs'!$F$51</x:f>
        <x:v>225659.715706511</x:v>
      </x:c>
      <x:c r="H2827" s="78" t="n">
        <x:f>U2826</x:f>
        <x:v>470387.86424957775</x:v>
      </x:c>
      <x:c r="I2827" s="78" t="n">
        <x:f>V2826</x:f>
        <x:v>531578.4598707574</x:v>
      </x:c>
      <x:c r="J2827" s="79" t="n">
        <x:f>IF(H2827&gt;0,I2827/H2827,0)</x:f>
        <x:v>1.130085404560338</x:v>
      </x:c>
      <x:c r="K2827" s="80" t="n">
        <x:f>(H2827*J2827+I2827)*'Inputs'!$D$51*(1+'Inputs'!$G$51)^(B2827/30)</x:f>
        <x:v>4939875.535071836</x:v>
      </x:c>
      <x:c r="L2827" s="80" t="n">
        <x:f>MAX(0,K2827*'Inputs'!$E$51)</x:f>
        <x:v>493987.5535071836</x:v>
      </x:c>
      <x:c r="M2827" s="80" t="n">
        <x:f>MAX(0,-K2827*'Inputs'!$E$51)</x:f>
        <x:v>0</x:v>
      </x:c>
      <x:c r="N2827" s="78" t="n">
        <x:f>H2827*(L2827*(1-'Inputs'!$B$15))/(I2827+L2827*(1-'Inputs'!$B$15))</x:f>
        <x:v>225393.10353516848</x:v>
      </x:c>
      <x:c r="O2827" s="78" t="n">
        <x:f>H2827-N2827</x:f>
        <x:v>244994.76071440926</x:v>
      </x:c>
      <x:c r="P2827" s="78" t="n">
        <x:f>I2827+L2827*(1-'Inputs'!$B$17)</x:f>
        <x:v>1023578.1358990389</x:v>
      </x:c>
      <x:c r="Q2827" s="78" t="n">
        <x:f>IF(J2827&gt;0,M2827/J2827,0)</x:f>
        <x:v>0</x:v>
      </x:c>
      <x:c r="R2827" s="78" t="n">
        <x:f>IF(B2827='Inputs'!$H$51,'Inputs'!$B$27*'Inputs'!$I$51,0)</x:f>
        <x:v>0</x:v>
      </x:c>
      <x:c r="S2827" s="78" t="n">
        <x:f>Q2827+G2827+R2827</x:f>
        <x:v>225659.715706511</x:v>
      </x:c>
      <x:c r="T2827" s="78" t="n">
        <x:f>P2827*(S2827*(1-'Inputs'!$B$15))/(O2827+S2827*(1-'Inputs'!$B$15))</x:f>
        <x:v>488197.2309487346</x:v>
      </x:c>
      <x:c r="U2827" s="78" t="n">
        <x:f>O2827+S2827*(1-'Inputs'!$B$17)</x:f>
        <x:v>469746.38903377135</x:v>
      </x:c>
      <x:c r="V2827" s="78" t="n">
        <x:f>P2827-T2827</x:f>
        <x:v>535380.9049503042</x:v>
      </x:c>
      <x:c r="W2827" s="79" t="n">
        <x:f>IF(U2827&gt;0,V2827/U2827,0)</x:f>
        <x:v>1.1397233005910647</x:v>
      </x:c>
      <x:c r="X2827" s="80" t="n">
        <x:f>W2827*('Inputs'!$B$6-AC2827)</x:f>
        <x:v>1137023189.0966876</x:v>
      </x:c>
      <x:c r="Y2827" s="80" t="n">
        <x:f>2*V2827</x:f>
        <x:v>1070761.8099006084</x:v>
      </x:c>
      <x:c r="Z2827" s="80" t="n">
        <x:f>K2827*'Inputs'!$B$16+(G2827+R2827)*J2827*'Inputs'!$B$16</x:f>
        <x:v>31169.341717133997</x:v>
      </x:c>
      <x:c r="AA2827" s="80" t="n">
        <x:f>K2827*(1+'Inputs'!$E$51)/2*'Inputs'!$B$17</x:f>
        <x:v>10933.326133961811</x:v>
      </x:c>
      <x:c r="AB2827" s="78" t="n">
        <x:f>(IF(J2827&gt;0,K2827*(1-'Inputs'!$E$51)/2/J2827,0)+G2827+R2827)*'Inputs'!$B$17</x:f>
        <x:v>8823.815365725839</x:v>
      </x:c>
      <x:c r="AC2827" s="78" t="n">
        <x:f>AC2826+AB2827</x:f>
        <x:v>2369093.878292205</x:v>
      </x:c>
      <x:c r="AD2827" s="80" t="n">
        <x:f>Z2827/(1+'Inputs'!$C$51)</x:f>
        <x:v>10389.780572377998</x:v>
      </x:c>
      <x:c r="AE2827" s="80" t="n">
        <x:f>Z2827-AD2827</x:f>
        <x:v>20779.561144756</x:v>
      </x:c>
      <x:c r="AF2827" s="80" t="n">
        <x:f>D2827*W2827</x:f>
        <x:v>305133.96587514825</x:v>
      </x:c>
      <x:c r="AG2827" s="80" t="n">
        <x:f>C2827*W2827</x:f>
        <x:v>711979.2537086623</x:v>
      </x:c>
      <x:c r="AH2827" s="80" t="n">
        <x:f>2*'Inputs'!$B$8*'Inputs'!$C$51</x:f>
        <x:v>10000</x:v>
      </x:c>
      <x:c r="AI2827" s="81" t="n">
        <x:f>IF(AH2827&gt;0,(AE2827+AF2827)/AH2827*365,0)</x:f>
        <x:v>11895.843736226505</x:v>
      </x:c>
      <x:c r="AJ2827" s="81" t="n">
        <x:f>IF('Inputs'!$B$51&gt;0,AG2827/('Inputs'!$B$19*'Inputs'!$B$51)*365,0)</x:f>
        <x:v>25987.242760366174</x:v>
      </x:c>
      <x:c r="AK2827" s="81" t="n">
        <x:f>W2827/MAX($W$2559:W2827)-1</x:f>
        <x:v>0</x:v>
      </x:c>
      <x:c r="AL2827" s="83" t="n">
        <x:f>'Inputs'!$B$51</x:f>
        <x:v>1</x:v>
      </x:c>
      <x:c r="AM2827" s="83" t="n">
        <x:f>'Inputs'!$C$51</x:f>
        <x:v>2</x:v>
      </x:c>
      <x:c r="AN2827" s="83" t="n">
        <x:f>'Inputs'!$D$51</x:f>
        <x:v>3</x:v>
      </x:c>
      <x:c r="AO2827" s="81" t="n">
        <x:f>'Inputs'!$E$51</x:f>
        <x:v>0.1</x:v>
      </x:c>
    </x:row>
    <x:row r="2828">
      <x:c r="A2828" s="59" t="str">
        <x:v>High demand</x:v>
      </x:c>
      <x:c r="B2828" s="59" t="n">
        <x:v>270</x:v>
      </x:c>
      <x:c r="C2828" s="78" t="n">
        <x:f>(('Inputs'!$B$29*(3*270*'Inputs'!$B$12-270^2)/(2*'Inputs'!$B$12^2))-('Inputs'!$B$29*(3*269*'Inputs'!$B$12-269^2)/(2*'Inputs'!$B$12^2)))*'Inputs'!$B$51</x:f>
        <x:v>624369.722274363</x:v>
      </x:c>
      <x:c r="D2828" s="78" t="n">
        <x:f>IF('Inputs'!$C$51&gt;0,('Inputs'!$B$30*(3*270*'Inputs'!$B$12-270^2)/(2*'Inputs'!$B$12^2))-('Inputs'!$B$30*(3*269*'Inputs'!$B$12-269^2)/(2*'Inputs'!$B$12^2)),0)</x:f>
        <x:v>267587.02383185923</x:v>
      </x:c>
      <x:c r="E2828" s="78" t="n">
        <x:f>C2828+D2828</x:f>
        <x:v>891956.7461062223</x:v>
      </x:c>
      <x:c r="F2828" s="78" t="n">
        <x:f>'Inputs'!$B$13*E2828+(1-'Inputs'!$B$13)/'Inputs'!$B$14*SUM(E2773:E2828)</x:f>
        <x:v>902174.4229686646</x:v>
      </x:c>
      <x:c r="G2828" s="78" t="n">
        <x:f>F2828*'Inputs'!$F$51</x:f>
        <x:v>225543.60574216614</x:v>
      </x:c>
      <x:c r="H2828" s="78" t="n">
        <x:f>U2827</x:f>
        <x:v>469746.38903377135</x:v>
      </x:c>
      <x:c r="I2828" s="78" t="n">
        <x:f>V2827</x:f>
        <x:v>535380.9049503042</x:v>
      </x:c>
      <x:c r="J2828" s="79" t="n">
        <x:f>IF(H2828&gt;0,I2828/H2828,0)</x:f>
        <x:v>1.1397233005910647</x:v>
      </x:c>
      <x:c r="K2828" s="80" t="n">
        <x:f>(H2828*J2828+I2828)*'Inputs'!$D$51*(1+'Inputs'!$G$51)^(B2828/30)</x:f>
        <x:v>4983309.024873114</x:v>
      </x:c>
      <x:c r="L2828" s="80" t="n">
        <x:f>MAX(0,K2828*'Inputs'!$E$51)</x:f>
        <x:v>498330.90248731145</x:v>
      </x:c>
      <x:c r="M2828" s="80" t="n">
        <x:f>MAX(0,-K2828*'Inputs'!$E$51)</x:f>
        <x:v>0</x:v>
      </x:c>
      <x:c r="N2828" s="78" t="n">
        <x:f>H2828*(L2828*(1-'Inputs'!$B$15))/(I2828+L2828*(1-'Inputs'!$B$15))</x:f>
        <x:v>225276.39792720147</x:v>
      </x:c>
      <x:c r="O2828" s="78" t="n">
        <x:f>H2828-N2828</x:f>
        <x:v>244469.99110656988</x:v>
      </x:c>
      <x:c r="P2828" s="78" t="n">
        <x:f>I2828+L2828*(1-'Inputs'!$B$17)</x:f>
        <x:v>1031706.4516931998</x:v>
      </x:c>
      <x:c r="Q2828" s="78" t="n">
        <x:f>IF(J2828&gt;0,M2828/J2828,0)</x:f>
        <x:v>0</x:v>
      </x:c>
      <x:c r="R2828" s="78" t="n">
        <x:f>IF(B2828='Inputs'!$H$51,'Inputs'!$B$27*'Inputs'!$I$51,0)</x:f>
        <x:v>0</x:v>
      </x:c>
      <x:c r="S2828" s="78" t="n">
        <x:f>Q2828+G2828+R2828</x:f>
        <x:v>225543.60574216614</x:v>
      </x:c>
      <x:c r="T2828" s="78" t="n">
        <x:f>P2828*(S2828*(1-'Inputs'!$B$15))/(O2828+S2828*(1-'Inputs'!$B$15))</x:f>
        <x:v>492493.4818043573</x:v>
      </x:c>
      <x:c r="U2828" s="78" t="n">
        <x:f>O2828+S2828*(1-'Inputs'!$B$17)</x:f>
        <x:v>469105.97670490434</x:v>
      </x:c>
      <x:c r="V2828" s="78" t="n">
        <x:f>P2828-T2828</x:f>
        <x:v>539212.9698888424</x:v>
      </x:c>
      <x:c r="W2828" s="79" t="n">
        <x:f>IF(U2828&gt;0,V2828/U2828,0)</x:f>
        <x:v>1.1494480920417682</x:v>
      </x:c>
      <x:c r="X2828" s="80" t="n">
        <x:f>W2828*('Inputs'!$B$6-AC2828)</x:f>
        <x:v>1146714797.2414536</x:v>
      </x:c>
      <x:c r="Y2828" s="80" t="n">
        <x:f>2*V2828</x:f>
        <x:v>1078425.9397776849</x:v>
      </x:c>
      <x:c r="Z2828" s="80" t="n">
        <x:f>K2828*'Inputs'!$B$16+(G2828+R2828)*J2828*'Inputs'!$B$16</x:f>
        <x:v>31442.197965820716</x:v>
      </x:c>
      <x:c r="AA2828" s="80" t="n">
        <x:f>K2828*(1+'Inputs'!$E$51)/2*'Inputs'!$B$17</x:f>
        <x:v>11029.456594286572</x:v>
      </x:c>
      <x:c r="AB2828" s="78" t="n">
        <x:f>(IF(J2828&gt;0,K2828*(1-'Inputs'!$E$51)/2/J2828,0)+G2828+R2828)*'Inputs'!$B$17</x:f>
        <x:v>8825.419881005493</x:v>
      </x:c>
      <x:c r="AC2828" s="78" t="n">
        <x:f>AC2827+AB2828</x:f>
        <x:v>2377919.29817321</x:v>
      </x:c>
      <x:c r="AD2828" s="80" t="n">
        <x:f>Z2828/(1+'Inputs'!$C$51)</x:f>
        <x:v>10480.732655273572</x:v>
      </x:c>
      <x:c r="AE2828" s="80" t="n">
        <x:f>Z2828-AD2828</x:f>
        <x:v>20961.465310547144</x:v>
      </x:c>
      <x:c r="AF2828" s="80" t="n">
        <x:f>D2828*W2828</x:f>
        <x:v>307577.39399866574</x:v>
      </x:c>
      <x:c r="AG2828" s="80" t="n">
        <x:f>C2828*W2828</x:f>
        <x:v>717680.5859969154</x:v>
      </x:c>
      <x:c r="AH2828" s="80" t="n">
        <x:f>2*'Inputs'!$B$8*'Inputs'!$C$51</x:f>
        <x:v>10000</x:v>
      </x:c>
      <x:c r="AI2828" s="81" t="n">
        <x:f>IF(AH2828&gt;0,(AE2828+AF2828)/AH2828*365,0)</x:f>
        <x:v>11991.66836478627</x:v>
      </x:c>
      <x:c r="AJ2828" s="81" t="n">
        <x:f>IF('Inputs'!$B$51&gt;0,AG2828/('Inputs'!$B$19*'Inputs'!$B$51)*365,0)</x:f>
        <x:v>26195.34138888741</x:v>
      </x:c>
      <x:c r="AK2828" s="81" t="n">
        <x:f>W2828/MAX($W$2559:W2828)-1</x:f>
        <x:v>0</x:v>
      </x:c>
      <x:c r="AL2828" s="83" t="n">
        <x:f>'Inputs'!$B$51</x:f>
        <x:v>1</x:v>
      </x:c>
      <x:c r="AM2828" s="83" t="n">
        <x:f>'Inputs'!$C$51</x:f>
        <x:v>2</x:v>
      </x:c>
      <x:c r="AN2828" s="83" t="n">
        <x:f>'Inputs'!$D$51</x:f>
        <x:v>3</x:v>
      </x:c>
      <x:c r="AO2828" s="81" t="n">
        <x:f>'Inputs'!$E$51</x:f>
        <x:v>0.1</x:v>
      </x:c>
    </x:row>
    <x:row r="2829">
      <x:c r="A2829" s="59" t="str">
        <x:v>High demand</x:v>
      </x:c>
      <x:c r="B2829" s="59" t="n">
        <x:v>271</x:v>
      </x:c>
      <x:c r="C2829" s="78" t="n">
        <x:f>(('Inputs'!$B$29*(3*271*'Inputs'!$B$12-271^2)/(2*'Inputs'!$B$12^2))-('Inputs'!$B$29*(3*270*'Inputs'!$B$12-270^2)/(2*'Inputs'!$B$12^2)))*'Inputs'!$B$51</x:f>
        <x:v>624044.6143741608</x:v>
      </x:c>
      <x:c r="D2829" s="78" t="n">
        <x:f>IF('Inputs'!$C$51&gt;0,('Inputs'!$B$30*(3*271*'Inputs'!$B$12-271^2)/(2*'Inputs'!$B$12^2))-('Inputs'!$B$30*(3*270*'Inputs'!$B$12-270^2)/(2*'Inputs'!$B$12^2)),0)</x:f>
        <x:v>267447.6918746531</x:v>
      </x:c>
      <x:c r="E2829" s="78" t="n">
        <x:f>C2829+D2829</x:f>
        <x:v>891492.3062488139</x:v>
      </x:c>
      <x:c r="F2829" s="78" t="n">
        <x:f>'Inputs'!$B$13*E2829+(1-'Inputs'!$B$13)/'Inputs'!$B$14*SUM(E2774:E2829)</x:f>
        <x:v>901709.9831112752</x:v>
      </x:c>
      <x:c r="G2829" s="78" t="n">
        <x:f>F2829*'Inputs'!$F$51</x:f>
        <x:v>225427.4957778188</x:v>
      </x:c>
      <x:c r="H2829" s="78" t="n">
        <x:f>U2828</x:f>
        <x:v>469105.97670490434</x:v>
      </x:c>
      <x:c r="I2829" s="78" t="n">
        <x:f>V2828</x:f>
        <x:v>539212.9698888424</x:v>
      </x:c>
      <x:c r="J2829" s="79" t="n">
        <x:f>IF(H2829&gt;0,I2829/H2829,0)</x:f>
        <x:v>1.1494480920417682</x:v>
      </x:c>
      <x:c r="K2829" s="80" t="n">
        <x:f>(H2829*J2829+I2829)*'Inputs'!$D$51*(1+'Inputs'!$G$51)^(B2829/30)</x:f>
        <x:v>5027146.967111468</x:v>
      </x:c>
      <x:c r="L2829" s="80" t="n">
        <x:f>MAX(0,K2829*'Inputs'!$E$51)</x:f>
        <x:v>502714.69671114685</x:v>
      </x:c>
      <x:c r="M2829" s="80" t="n">
        <x:f>MAX(0,-K2829*'Inputs'!$E$51)</x:f>
        <x:v>0</x:v>
      </x:c>
      <x:c r="N2829" s="78" t="n">
        <x:f>H2829*(L2829*(1-'Inputs'!$B$15))/(I2829+L2829*(1-'Inputs'!$B$15))</x:f>
        <x:v>225159.6943930624</x:v>
      </x:c>
      <x:c r="O2829" s="78" t="n">
        <x:f>H2829-N2829</x:f>
        <x:v>243946.28231184193</x:v>
      </x:c>
      <x:c r="P2829" s="78" t="n">
        <x:f>I2829+L2829*(1-'Inputs'!$B$17)</x:f>
        <x:v>1039904.66983254</x:v>
      </x:c>
      <x:c r="Q2829" s="78" t="n">
        <x:f>IF(J2829&gt;0,M2829/J2829,0)</x:f>
        <x:v>0</x:v>
      </x:c>
      <x:c r="R2829" s="78" t="n">
        <x:f>IF(B2829='Inputs'!$H$51,'Inputs'!$B$27*'Inputs'!$I$51,0)</x:f>
        <x:v>0</x:v>
      </x:c>
      <x:c r="S2829" s="78" t="n">
        <x:f>Q2829+G2829+R2829</x:f>
        <x:v>225427.4957778188</x:v>
      </x:c>
      <x:c r="T2829" s="78" t="n">
        <x:f>P2829*(S2829*(1-'Inputs'!$B$15))/(O2829+S2829*(1-'Inputs'!$B$15))</x:f>
        <x:v>496829.76830621803</x:v>
      </x:c>
      <x:c r="U2829" s="78" t="n">
        <x:f>O2829+S2829*(1-'Inputs'!$B$17)</x:f>
        <x:v>468466.6251891464</x:v>
      </x:c>
      <x:c r="V2829" s="78" t="n">
        <x:f>P2829-T2829</x:f>
        <x:v>543074.9015263219</x:v>
      </x:c>
      <x:c r="W2829" s="79" t="n">
        <x:f>IF(U2829&gt;0,V2829/U2829,0)</x:f>
        <x:v>1.1592606011304476</x:v>
      </x:c>
      <x:c r="X2829" s="80" t="n">
        <x:f>W2829*('Inputs'!$B$6-AC2829)</x:f>
        <x:v>1156493740.1494899</x:v>
      </x:c>
      <x:c r="Y2829" s="80" t="n">
        <x:f>2*V2829</x:f>
        <x:v>1086149.8030526438</x:v>
      </x:c>
      <x:c r="Z2829" s="80" t="n">
        <x:f>K2829*'Inputs'!$B$16+(G2829+R2829)*J2829*'Inputs'!$B$16</x:f>
        <x:v>31717.585032162217</x:v>
      </x:c>
      <x:c r="AA2829" s="80" t="n">
        <x:f>K2829*(1+'Inputs'!$E$51)/2*'Inputs'!$B$17</x:f>
        <x:v>11126.482220971058</x:v>
      </x:c>
      <x:c r="AB2829" s="78" t="n">
        <x:f>(IF(J2829&gt;0,K2829*(1-'Inputs'!$E$51)/2/J2829,0)+G2829+R2829)*'Inputs'!$B$17</x:f>
        <x:v>8827.028114149476</x:v>
      </x:c>
      <x:c r="AC2829" s="78" t="n">
        <x:f>AC2828+AB2829</x:f>
        <x:v>2386746.3262873595</x:v>
      </x:c>
      <x:c r="AD2829" s="80" t="n">
        <x:f>Z2829/(1+'Inputs'!$C$51)</x:f>
        <x:v>10572.528344054072</x:v>
      </x:c>
      <x:c r="AE2829" s="80" t="n">
        <x:f>Z2829-AD2829</x:f>
        <x:v>21145.056688108147</x:v>
      </x:c>
      <x:c r="AF2829" s="80" t="n">
        <x:f>D2829*W2829</x:f>
        <x:v>310041.5720535611</x:v>
      </x:c>
      <x:c r="AG2829" s="80" t="n">
        <x:f>C2829*W2829</x:f>
        <x:v>723430.3347916079</x:v>
      </x:c>
      <x:c r="AH2829" s="80" t="n">
        <x:f>2*'Inputs'!$B$8*'Inputs'!$C$51</x:f>
        <x:v>10000</x:v>
      </x:c>
      <x:c r="AI2829" s="81" t="n">
        <x:f>IF(AH2829&gt;0,(AE2829+AF2829)/AH2829*365,0)</x:f>
        <x:v>12088.311949070927</x:v>
      </x:c>
      <x:c r="AJ2829" s="81" t="n">
        <x:f>IF('Inputs'!$B$51&gt;0,AG2829/('Inputs'!$B$19*'Inputs'!$B$51)*365,0)</x:f>
        <x:v>26405.20721989369</x:v>
      </x:c>
      <x:c r="AK2829" s="81" t="n">
        <x:f>W2829/MAX($W$2559:W2829)-1</x:f>
        <x:v>0</x:v>
      </x:c>
      <x:c r="AL2829" s="83" t="n">
        <x:f>'Inputs'!$B$51</x:f>
        <x:v>1</x:v>
      </x:c>
      <x:c r="AM2829" s="83" t="n">
        <x:f>'Inputs'!$C$51</x:f>
        <x:v>2</x:v>
      </x:c>
      <x:c r="AN2829" s="83" t="n">
        <x:f>'Inputs'!$D$51</x:f>
        <x:v>3</x:v>
      </x:c>
      <x:c r="AO2829" s="81" t="n">
        <x:f>'Inputs'!$E$51</x:f>
        <x:v>0.1</x:v>
      </x:c>
    </x:row>
    <x:row r="2830">
      <x:c r="A2830" s="59" t="str">
        <x:v>High demand</x:v>
      </x:c>
      <x:c r="B2830" s="59" t="n">
        <x:v>272</x:v>
      </x:c>
      <x:c r="C2830" s="78" t="n">
        <x:f>(('Inputs'!$B$29*(3*272*'Inputs'!$B$12-272^2)/(2*'Inputs'!$B$12^2))-('Inputs'!$B$29*(3*271*'Inputs'!$B$12-271^2)/(2*'Inputs'!$B$12^2)))*'Inputs'!$B$51</x:f>
        <x:v>623719.5064740181</x:v>
      </x:c>
      <x:c r="D2830" s="78" t="n">
        <x:f>IF('Inputs'!$C$51&gt;0,('Inputs'!$B$30*(3*272*'Inputs'!$B$12-272^2)/(2*'Inputs'!$B$12^2))-('Inputs'!$B$30*(3*271*'Inputs'!$B$12-271^2)/(2*'Inputs'!$B$12^2)),0)</x:f>
        <x:v>267308.35991743207</x:v>
      </x:c>
      <x:c r="E2830" s="78" t="n">
        <x:f>C2830+D2830</x:f>
        <x:v>891027.8663914502</x:v>
      </x:c>
      <x:c r="F2830" s="78" t="n">
        <x:f>'Inputs'!$B$13*E2830+(1-'Inputs'!$B$13)/'Inputs'!$B$14*SUM(E2775:E2830)</x:f>
        <x:v>901245.5432538954</x:v>
      </x:c>
      <x:c r="G2830" s="78" t="n">
        <x:f>F2830*'Inputs'!$F$51</x:f>
        <x:v>225311.38581347384</x:v>
      </x:c>
      <x:c r="H2830" s="78" t="n">
        <x:f>U2829</x:f>
        <x:v>468466.6251891464</x:v>
      </x:c>
      <x:c r="I2830" s="78" t="n">
        <x:f>V2829</x:f>
        <x:v>543074.9015263219</x:v>
      </x:c>
      <x:c r="J2830" s="79" t="n">
        <x:f>IF(H2830&gt;0,I2830/H2830,0)</x:f>
        <x:v>1.1592606011304476</x:v>
      </x:c>
      <x:c r="K2830" s="80" t="n">
        <x:f>(H2830*J2830+I2830)*'Inputs'!$D$51*(1+'Inputs'!$G$51)^(B2830/30)</x:f>
        <x:v>5071393.317885151</x:v>
      </x:c>
      <x:c r="L2830" s="80" t="n">
        <x:f>MAX(0,K2830*'Inputs'!$E$51)</x:f>
        <x:v>507139.33178851515</x:v>
      </x:c>
      <x:c r="M2830" s="80" t="n">
        <x:f>MAX(0,-K2830*'Inputs'!$E$51)</x:f>
        <x:v>0</x:v>
      </x:c>
      <x:c r="N2830" s="78" t="n">
        <x:f>H2830*(L2830*(1-'Inputs'!$B$15))/(I2830+L2830*(1-'Inputs'!$B$15))</x:f>
        <x:v>225042.99292878856</x:v>
      </x:c>
      <x:c r="O2830" s="78" t="n">
        <x:f>H2830-N2830</x:f>
        <x:v>243423.63226035782</x:v>
      </x:c>
      <x:c r="P2830" s="78" t="n">
        <x:f>I2830+L2830*(1-'Inputs'!$B$17)</x:f>
        <x:v>1048173.431174843</x:v>
      </x:c>
      <x:c r="Q2830" s="78" t="n">
        <x:f>IF(J2830&gt;0,M2830/J2830,0)</x:f>
        <x:v>0</x:v>
      </x:c>
      <x:c r="R2830" s="78" t="n">
        <x:f>IF(B2830='Inputs'!$H$51,'Inputs'!$B$27*'Inputs'!$I$51,0)</x:f>
        <x:v>0</x:v>
      </x:c>
      <x:c r="S2830" s="78" t="n">
        <x:f>Q2830+G2830+R2830</x:f>
        <x:v>225311.38581347384</x:v>
      </x:c>
      <x:c r="T2830" s="78" t="n">
        <x:f>P2830*(S2830*(1-'Inputs'!$B$15))/(O2830+S2830*(1-'Inputs'!$B$15))</x:f>
        <x:v>501206.4822974362</x:v>
      </x:c>
      <x:c r="U2830" s="78" t="n">
        <x:f>O2830+S2830*(1-'Inputs'!$B$17)</x:f>
        <x:v>467828.33241663454</x:v>
      </x:c>
      <x:c r="V2830" s="78" t="n">
        <x:f>P2830-T2830</x:f>
        <x:v>546966.9488774068</x:v>
      </x:c>
      <x:c r="W2830" s="79" t="n">
        <x:f>IF(U2830&gt;0,V2830/U2830,0)</x:f>
        <x:v>1.169161658191949</x:v>
      </x:c>
      <x:c r="X2830" s="80" t="n">
        <x:f>W2830*('Inputs'!$B$6-AC2830)</x:f>
        <x:v>1166360843.7919643</x:v>
      </x:c>
      <x:c r="Y2830" s="80" t="n">
        <x:f>2*V2830</x:f>
        <x:v>1093933.8977548135</x:v>
      </x:c>
      <x:c r="Z2830" s="80" t="n">
        <x:f>K2830*'Inputs'!$B$16+(G2830+R2830)*J2830*'Inputs'!$B$16</x:f>
        <x:v>31995.527582668878</x:v>
      </x:c>
      <x:c r="AA2830" s="80" t="n">
        <x:f>K2830*(1+'Inputs'!$E$51)/2*'Inputs'!$B$17</x:f>
        <x:v>11224.411769967137</x:v>
      </x:c>
      <x:c r="AB2830" s="78" t="n">
        <x:f>(IF(J2830&gt;0,K2830*(1-'Inputs'!$E$51)/2/J2830,0)+G2830+R2830)*'Inputs'!$B$17</x:f>
        <x:v>8828.640065910493</x:v>
      </x:c>
      <x:c r="AC2830" s="78" t="n">
        <x:f>AC2829+AB2830</x:f>
        <x:v>2395574.9663532698</x:v>
      </x:c>
      <x:c r="AD2830" s="80" t="n">
        <x:f>Z2830/(1+'Inputs'!$C$51)</x:f>
        <x:v>10665.175860889625</x:v>
      </x:c>
      <x:c r="AE2830" s="80" t="n">
        <x:f>Z2830-AD2830</x:f>
        <x:v>21330.351721779254</x:v>
      </x:c>
      <x:c r="AF2830" s="80" t="n">
        <x:f>D2830*W2830</x:f>
        <x:v>312526.6853296352</x:v>
      </x:c>
      <x:c r="AG2830" s="80" t="n">
        <x:f>C2830*W2830</x:f>
        <x:v>729228.9324358271</x:v>
      </x:c>
      <x:c r="AH2830" s="80" t="n">
        <x:f>2*'Inputs'!$B$8*'Inputs'!$C$51</x:f>
        <x:v>10000</x:v>
      </x:c>
      <x:c r="AI2830" s="81" t="n">
        <x:f>IF(AH2830&gt;0,(AE2830+AF2830)/AH2830*365,0)</x:f>
        <x:v>12185.781852376631</x:v>
      </x:c>
      <x:c r="AJ2830" s="81" t="n">
        <x:f>IF('Inputs'!$B$51&gt;0,AG2830/('Inputs'!$B$19*'Inputs'!$B$51)*365,0)</x:f>
        <x:v>26616.856033907687</x:v>
      </x:c>
      <x:c r="AK2830" s="81" t="n">
        <x:f>W2830/MAX($W$2559:W2830)-1</x:f>
        <x:v>0</x:v>
      </x:c>
      <x:c r="AL2830" s="83" t="n">
        <x:f>'Inputs'!$B$51</x:f>
        <x:v>1</x:v>
      </x:c>
      <x:c r="AM2830" s="83" t="n">
        <x:f>'Inputs'!$C$51</x:f>
        <x:v>2</x:v>
      </x:c>
      <x:c r="AN2830" s="83" t="n">
        <x:f>'Inputs'!$D$51</x:f>
        <x:v>3</x:v>
      </x:c>
      <x:c r="AO2830" s="81" t="n">
        <x:f>'Inputs'!$E$51</x:f>
        <x:v>0.1</x:v>
      </x:c>
    </x:row>
    <x:row r="2831">
      <x:c r="A2831" s="59" t="str">
        <x:v>High demand</x:v>
      </x:c>
      <x:c r="B2831" s="59" t="n">
        <x:v>273</x:v>
      </x:c>
      <x:c r="C2831" s="78" t="n">
        <x:f>(('Inputs'!$B$29*(3*273*'Inputs'!$B$12-273^2)/(2*'Inputs'!$B$12^2))-('Inputs'!$B$29*(3*272*'Inputs'!$B$12-272^2)/(2*'Inputs'!$B$12^2)))*'Inputs'!$B$51</x:f>
        <x:v>623394.3985738456</x:v>
      </x:c>
      <x:c r="D2831" s="78" t="n">
        <x:f>IF('Inputs'!$C$51&gt;0,('Inputs'!$B$30*(3*273*'Inputs'!$B$12-273^2)/(2*'Inputs'!$B$12^2))-('Inputs'!$B$30*(3*272*'Inputs'!$B$12-272^2)/(2*'Inputs'!$B$12^2)),0)</x:f>
        <x:v>267169.02796022594</x:v>
      </x:c>
      <x:c r="E2831" s="78" t="n">
        <x:f>C2831+D2831</x:f>
        <x:v>890563.4265340716</x:v>
      </x:c>
      <x:c r="F2831" s="78" t="n">
        <x:f>'Inputs'!$B$13*E2831+(1-'Inputs'!$B$13)/'Inputs'!$B$14*SUM(E2776:E2831)</x:f>
        <x:v>900781.1033965126</x:v>
      </x:c>
      <x:c r="G2831" s="78" t="n">
        <x:f>F2831*'Inputs'!$F$51</x:f>
        <x:v>225195.27584912814</x:v>
      </x:c>
      <x:c r="H2831" s="78" t="n">
        <x:f>U2830</x:f>
        <x:v>467828.33241663454</x:v>
      </x:c>
      <x:c r="I2831" s="78" t="n">
        <x:f>V2830</x:f>
        <x:v>546966.9488774068</x:v>
      </x:c>
      <x:c r="J2831" s="79" t="n">
        <x:f>IF(H2831&gt;0,I2831/H2831,0)</x:f>
        <x:v>1.169161658191949</x:v>
      </x:c>
      <x:c r="K2831" s="80" t="n">
        <x:f>(H2831*J2831+I2831)*'Inputs'!$D$51*(1+'Inputs'!$G$51)^(B2831/30)</x:f>
        <x:v>5116052.073675796</x:v>
      </x:c>
      <x:c r="L2831" s="80" t="n">
        <x:f>MAX(0,K2831*'Inputs'!$E$51)</x:f>
        <x:v>511605.2073675797</x:v>
      </x:c>
      <x:c r="M2831" s="80" t="n">
        <x:f>MAX(0,-K2831*'Inputs'!$E$51)</x:f>
        <x:v>0</x:v>
      </x:c>
      <x:c r="N2831" s="78" t="n">
        <x:f>H2831*(L2831*(1-'Inputs'!$B$15))/(I2831+L2831*(1-'Inputs'!$B$15))</x:f>
        <x:v>224926.2935304276</x:v>
      </x:c>
      <x:c r="O2831" s="78" t="n">
        <x:f>H2831-N2831</x:f>
        <x:v>242902.03888620695</x:v>
      </x:c>
      <x:c r="P2831" s="78" t="n">
        <x:f>I2831+L2831*(1-'Inputs'!$B$17)</x:f>
        <x:v>1056513.3827746944</x:v>
      </x:c>
      <x:c r="Q2831" s="78" t="n">
        <x:f>IF(J2831&gt;0,M2831/J2831,0)</x:f>
        <x:v>0</x:v>
      </x:c>
      <x:c r="R2831" s="78" t="n">
        <x:f>IF(B2831='Inputs'!$H$51,'Inputs'!$B$27*'Inputs'!$I$51,0)</x:f>
        <x:v>0</x:v>
      </x:c>
      <x:c r="S2831" s="78" t="n">
        <x:f>Q2831+G2831+R2831</x:f>
        <x:v>225195.27584912814</x:v>
      </x:c>
      <x:c r="T2831" s="78" t="n">
        <x:f>P2831*(S2831*(1-'Inputs'!$B$15))/(O2831+S2831*(1-'Inputs'!$B$15))</x:f>
        <x:v>505624.01962312276</x:v>
      </x:c>
      <x:c r="U2831" s="78" t="n">
        <x:f>O2831+S2831*(1-'Inputs'!$B$17)</x:f>
        <x:v>467191.0963214553</x:v>
      </x:c>
      <x:c r="V2831" s="78" t="n">
        <x:f>P2831-T2831</x:f>
        <x:v>550889.3631515716</x:v>
      </x:c>
      <x:c r="W2831" s="79" t="n">
        <x:f>IF(U2831&gt;0,V2831/U2831,0)</x:f>
        <x:v>1.1791521017612179</x:v>
      </x:c>
      <x:c r="X2831" s="80" t="n">
        <x:f>W2831*('Inputs'!$B$6-AC2831)</x:f>
        <x:v>1176316942.2901044</x:v>
      </x:c>
      <x:c r="Y2831" s="80" t="n">
        <x:f>2*V2831</x:f>
        <x:v>1101778.7263031432</x:v>
      </x:c>
      <x:c r="Z2831" s="80" t="n">
        <x:f>K2831*'Inputs'!$B$16+(G2831+R2831)*J2831*'Inputs'!$B$16</x:f>
        <x:v>32276.05053482734</x:v>
      </x:c>
      <x:c r="AA2831" s="80" t="n">
        <x:f>K2831*(1+'Inputs'!$E$51)/2*'Inputs'!$B$17</x:f>
        <x:v>11323.254086606394</x:v>
      </x:c>
      <x:c r="AB2831" s="78" t="n">
        <x:f>(IF(J2831&gt;0,K2831*(1-'Inputs'!$E$51)/2/J2831,0)+G2831+R2831)*'Inputs'!$B$17</x:f>
        <x:v>8830.255737034387</x:v>
      </x:c>
      <x:c r="AC2831" s="78" t="n">
        <x:f>AC2830+AB2831</x:f>
        <x:v>2404405.2220903044</x:v>
      </x:c>
      <x:c r="AD2831" s="80" t="n">
        <x:f>Z2831/(1+'Inputs'!$C$51)</x:f>
        <x:v>10758.683511609113</x:v>
      </x:c>
      <x:c r="AE2831" s="80" t="n">
        <x:f>Z2831-AD2831</x:f>
        <x:v>21517.367023218227</x:v>
      </x:c>
      <x:c r="AF2831" s="80" t="n">
        <x:f>D2831*W2831</x:f>
        <x:v>315032.920844802</x:v>
      </x:c>
      <x:c r="AG2831" s="80" t="n">
        <x:f>C2831*W2831</x:f>
        <x:v>735076.8153045204</x:v>
      </x:c>
      <x:c r="AH2831" s="80" t="n">
        <x:f>2*'Inputs'!$B$8*'Inputs'!$C$51</x:f>
        <x:v>10000</x:v>
      </x:c>
      <x:c r="AI2831" s="81" t="n">
        <x:f>IF(AH2831&gt;0,(AE2831+AF2831)/AH2831*365,0)</x:f>
        <x:v>12284.085507182737</x:v>
      </x:c>
      <x:c r="AJ2831" s="81" t="n">
        <x:f>IF('Inputs'!$B$51&gt;0,AG2831/('Inputs'!$B$19*'Inputs'!$B$51)*365,0)</x:f>
        <x:v>26830.303758615</x:v>
      </x:c>
      <x:c r="AK2831" s="81" t="n">
        <x:f>W2831/MAX($W$2559:W2831)-1</x:f>
        <x:v>0</x:v>
      </x:c>
      <x:c r="AL2831" s="83" t="n">
        <x:f>'Inputs'!$B$51</x:f>
        <x:v>1</x:v>
      </x:c>
      <x:c r="AM2831" s="83" t="n">
        <x:f>'Inputs'!$C$51</x:f>
        <x:v>2</x:v>
      </x:c>
      <x:c r="AN2831" s="83" t="n">
        <x:f>'Inputs'!$D$51</x:f>
        <x:v>3</x:v>
      </x:c>
      <x:c r="AO2831" s="81" t="n">
        <x:f>'Inputs'!$E$51</x:f>
        <x:v>0.1</x:v>
      </x:c>
    </x:row>
    <x:row r="2832">
      <x:c r="A2832" s="59" t="str">
        <x:v>High demand</x:v>
      </x:c>
      <x:c r="B2832" s="59" t="n">
        <x:v>274</x:v>
      </x:c>
      <x:c r="C2832" s="78" t="n">
        <x:f>(('Inputs'!$B$29*(3*274*'Inputs'!$B$12-274^2)/(2*'Inputs'!$B$12^2))-('Inputs'!$B$29*(3*273*'Inputs'!$B$12-273^2)/(2*'Inputs'!$B$12^2)))*'Inputs'!$B$51</x:f>
        <x:v>623069.2906736732</x:v>
      </x:c>
      <x:c r="D2832" s="78" t="n">
        <x:f>IF('Inputs'!$C$51&gt;0,('Inputs'!$B$30*(3*274*'Inputs'!$B$12-274^2)/(2*'Inputs'!$B$12^2))-('Inputs'!$B$30*(3*273*'Inputs'!$B$12-273^2)/(2*'Inputs'!$B$12^2)),0)</x:f>
        <x:v>267029.69600299</x:v>
      </x:c>
      <x:c r="E2832" s="78" t="n">
        <x:f>C2832+D2832</x:f>
        <x:v>890098.9866766632</x:v>
      </x:c>
      <x:c r="F2832" s="78" t="n">
        <x:f>'Inputs'!$B$13*E2832+(1-'Inputs'!$B$13)/'Inputs'!$B$14*SUM(E2777:E2832)</x:f>
        <x:v>900316.663539123</x:v>
      </x:c>
      <x:c r="G2832" s="78" t="n">
        <x:f>F2832*'Inputs'!$F$51</x:f>
        <x:v>225079.16588478076</x:v>
      </x:c>
      <x:c r="H2832" s="78" t="n">
        <x:f>U2831</x:f>
        <x:v>467191.0963214553</x:v>
      </x:c>
      <x:c r="I2832" s="78" t="n">
        <x:f>V2831</x:f>
        <x:v>550889.3631515716</x:v>
      </x:c>
      <x:c r="J2832" s="79" t="n">
        <x:f>IF(H2832&gt;0,I2832/H2832,0)</x:f>
        <x:v>1.1791521017612179</x:v>
      </x:c>
      <x:c r="K2832" s="80" t="n">
        <x:f>(H2832*J2832+I2832)*'Inputs'!$D$51*(1+'Inputs'!$G$51)^(B2832/30)</x:f>
        <x:v>5161127.271776503</x:v>
      </x:c>
      <x:c r="L2832" s="80" t="n">
        <x:f>MAX(0,K2832*'Inputs'!$E$51)</x:f>
        <x:v>516112.7271776503</x:v>
      </x:c>
      <x:c r="M2832" s="80" t="n">
        <x:f>MAX(0,-K2832*'Inputs'!$E$51)</x:f>
        <x:v>0</x:v>
      </x:c>
      <x:c r="N2832" s="78" t="n">
        <x:f>H2832*(L2832*(1-'Inputs'!$B$15))/(I2832+L2832*(1-'Inputs'!$B$15))</x:f>
        <x:v>224809.59619403243</x:v>
      </x:c>
      <x:c r="O2832" s="78" t="n">
        <x:f>H2832-N2832</x:f>
        <x:v>242381.50012742289</x:v>
      </x:c>
      <x:c r="P2832" s="78" t="n">
        <x:f>I2832+L2832*(1-'Inputs'!$B$17)</x:f>
        <x:v>1064925.1779462132</x:v>
      </x:c>
      <x:c r="Q2832" s="78" t="n">
        <x:f>IF(J2832&gt;0,M2832/J2832,0)</x:f>
        <x:v>0</x:v>
      </x:c>
      <x:c r="R2832" s="78" t="n">
        <x:f>IF(B2832='Inputs'!$H$51,'Inputs'!$B$27*'Inputs'!$I$51,0)</x:f>
        <x:v>0</x:v>
      </x:c>
      <x:c r="S2832" s="78" t="n">
        <x:f>Q2832+G2832+R2832</x:f>
        <x:v>225079.16588478076</x:v>
      </x:c>
      <x:c r="T2832" s="78" t="n">
        <x:f>P2832*(S2832*(1-'Inputs'!$B$15))/(O2832+S2832*(1-'Inputs'!$B$15))</x:f>
        <x:v>510082.78017283935</x:v>
      </x:c>
      <x:c r="U2832" s="78" t="n">
        <x:f>O2832+S2832*(1-'Inputs'!$B$17)</x:f>
        <x:v>466554.91484164115</x:v>
      </x:c>
      <x:c r="V2832" s="78" t="n">
        <x:f>P2832-T2832</x:f>
        <x:v>554842.3977733739</x:v>
      </x:c>
      <x:c r="W2832" s="79" t="n">
        <x:f>IF(U2832&gt;0,V2832/U2832,0)</x:f>
        <x:v>1.1892327786573622</x:v>
      </x:c>
      <x:c r="X2832" s="80" t="n">
        <x:f>W2832*('Inputs'!$B$6-AC2832)</x:f>
        <x:v>1186362877.998678</x:v>
      </x:c>
      <x:c r="Y2832" s="80" t="n">
        <x:f>2*V2832</x:f>
        <x:v>1109684.7955467477</x:v>
      </x:c>
      <x:c r="Z2832" s="80" t="n">
        <x:f>K2832*'Inputs'!$B$16+(G2832+R2832)*J2832*'Inputs'!$B$16</x:f>
        <x:v>32559.179059753224</x:v>
      </x:c>
      <x:c r="AA2832" s="80" t="n">
        <x:f>K2832*(1+'Inputs'!$E$51)/2*'Inputs'!$B$17</x:f>
        <x:v>11423.018106547594</x:v>
      </x:c>
      <x:c r="AB2832" s="78" t="n">
        <x:f>(IF(J2832&gt;0,K2832*(1-'Inputs'!$E$51)/2/J2832,0)+G2832+R2832)*'Inputs'!$B$17</x:f>
        <x:v>8831.875128259991</x:v>
      </x:c>
      <x:c r="AC2832" s="78" t="n">
        <x:f>AC2831+AB2832</x:f>
        <x:v>2413237.0972185642</x:v>
      </x:c>
      <x:c r="AD2832" s="80" t="n">
        <x:f>Z2832/(1+'Inputs'!$C$51)</x:f>
        <x:v>10853.059686584407</x:v>
      </x:c>
      <x:c r="AE2832" s="80" t="n">
        <x:f>Z2832-AD2832</x:f>
        <x:v>21706.119373168818</x:v>
      </x:c>
      <x:c r="AF2832" s="80" t="n">
        <x:f>D2832*W2832</x:f>
        <x:v>317560.46736166655</x:v>
      </x:c>
      <x:c r="AG2832" s="80" t="n">
        <x:f>C2832*W2832</x:f>
        <x:v>740974.4238439241</x:v>
      </x:c>
      <x:c r="AH2832" s="80" t="n">
        <x:f>2*'Inputs'!$B$8*'Inputs'!$C$51</x:f>
        <x:v>10000</x:v>
      </x:c>
      <x:c r="AI2832" s="81" t="n">
        <x:f>IF(AH2832&gt;0,(AE2832+AF2832)/AH2832*365,0)</x:f>
        <x:v>12383.23041582149</x:v>
      </x:c>
      <x:c r="AJ2832" s="81" t="n">
        <x:f>IF('Inputs'!$B$51&gt;0,AG2832/('Inputs'!$B$19*'Inputs'!$B$51)*365,0)</x:f>
        <x:v>27045.56647030323</x:v>
      </x:c>
      <x:c r="AK2832" s="81" t="n">
        <x:f>W2832/MAX($W$2559:W2832)-1</x:f>
        <x:v>0</x:v>
      </x:c>
      <x:c r="AL2832" s="83" t="n">
        <x:f>'Inputs'!$B$51</x:f>
        <x:v>1</x:v>
      </x:c>
      <x:c r="AM2832" s="83" t="n">
        <x:f>'Inputs'!$C$51</x:f>
        <x:v>2</x:v>
      </x:c>
      <x:c r="AN2832" s="83" t="n">
        <x:f>'Inputs'!$D$51</x:f>
        <x:v>3</x:v>
      </x:c>
      <x:c r="AO2832" s="81" t="n">
        <x:f>'Inputs'!$E$51</x:f>
        <x:v>0.1</x:v>
      </x:c>
    </x:row>
    <x:row r="2833">
      <x:c r="A2833" s="59" t="str">
        <x:v>High demand</x:v>
      </x:c>
      <x:c r="B2833" s="59" t="n">
        <x:v>275</x:v>
      </x:c>
      <x:c r="C2833" s="78" t="n">
        <x:f>(('Inputs'!$B$29*(3*275*'Inputs'!$B$12-275^2)/(2*'Inputs'!$B$12^2))-('Inputs'!$B$29*(3*274*'Inputs'!$B$12-274^2)/(2*'Inputs'!$B$12^2)))*'Inputs'!$B$51</x:f>
        <x:v>622744.1827735007</x:v>
      </x:c>
      <x:c r="D2833" s="78" t="n">
        <x:f>IF('Inputs'!$C$51&gt;0,('Inputs'!$B$30*(3*275*'Inputs'!$B$12-275^2)/(2*'Inputs'!$B$12^2))-('Inputs'!$B$30*(3*274*'Inputs'!$B$12-274^2)/(2*'Inputs'!$B$12^2)),0)</x:f>
        <x:v>266890.3640457988</x:v>
      </x:c>
      <x:c r="E2833" s="78" t="n">
        <x:f>C2833+D2833</x:f>
        <x:v>889634.5468192995</x:v>
      </x:c>
      <x:c r="F2833" s="78" t="n">
        <x:f>'Inputs'!$B$13*E2833+(1-'Inputs'!$B$13)/'Inputs'!$B$14*SUM(E2778:E2833)</x:f>
        <x:v>899852.2236817434</x:v>
      </x:c>
      <x:c r="G2833" s="78" t="n">
        <x:f>F2833*'Inputs'!$F$51</x:f>
        <x:v>224963.05592043584</x:v>
      </x:c>
      <x:c r="H2833" s="78" t="n">
        <x:f>U2832</x:f>
        <x:v>466554.91484164115</x:v>
      </x:c>
      <x:c r="I2833" s="78" t="n">
        <x:f>V2832</x:f>
        <x:v>554842.3977733739</x:v>
      </x:c>
      <x:c r="J2833" s="79" t="n">
        <x:f>IF(H2833&gt;0,I2833/H2833,0)</x:f>
        <x:v>1.1892327786573622</x:v>
      </x:c>
      <x:c r="K2833" s="80" t="n">
        <x:f>(H2833*J2833+I2833)*'Inputs'!$D$51*(1+'Inputs'!$G$51)^(B2833/30)</x:f>
        <x:v>5206622.990724471</x:v>
      </x:c>
      <x:c r="L2833" s="80" t="n">
        <x:f>MAX(0,K2833*'Inputs'!$E$51)</x:f>
        <x:v>520662.2990724472</x:v>
      </x:c>
      <x:c r="M2833" s="80" t="n">
        <x:f>MAX(0,-K2833*'Inputs'!$E$51)</x:f>
        <x:v>0</x:v>
      </x:c>
      <x:c r="N2833" s="78" t="n">
        <x:f>H2833*(L2833*(1-'Inputs'!$B$15))/(I2833+L2833*(1-'Inputs'!$B$15))</x:f>
        <x:v>224692.90091566351</x:v>
      </x:c>
      <x:c r="O2833" s="78" t="n">
        <x:f>H2833-N2833</x:f>
        <x:v>241862.01392597763</x:v>
      </x:c>
      <x:c r="P2833" s="78" t="n">
        <x:f>I2833+L2833*(1-'Inputs'!$B$17)</x:f>
        <x:v>1073409.4763264148</x:v>
      </x:c>
      <x:c r="Q2833" s="78" t="n">
        <x:f>IF(J2833&gt;0,M2833/J2833,0)</x:f>
        <x:v>0</x:v>
      </x:c>
      <x:c r="R2833" s="78" t="n">
        <x:f>IF(B2833='Inputs'!$H$51,'Inputs'!$B$27*'Inputs'!$I$51,0)</x:f>
        <x:v>0</x:v>
      </x:c>
      <x:c r="S2833" s="78" t="n">
        <x:f>Q2833+G2833+R2833</x:f>
        <x:v>224963.05592043584</x:v>
      </x:c>
      <x:c r="T2833" s="78" t="n">
        <x:f>P2833*(S2833*(1-'Inputs'!$B$15))/(O2833+S2833*(1-'Inputs'!$B$15))</x:f>
        <x:v>514583.1679234954</x:v>
      </x:c>
      <x:c r="U2833" s="78" t="n">
        <x:f>O2833+S2833*(1-'Inputs'!$B$17)</x:f>
        <x:v>465919.78591916827</x:v>
      </x:c>
      <x:c r="V2833" s="78" t="n">
        <x:f>P2833-T2833</x:f>
        <x:v>558826.3084029194</x:v>
      </x:c>
      <x:c r="W2833" s="79" t="n">
        <x:f>IF(U2833&gt;0,V2833/U2833,0)</x:f>
        <x:v>1.1994045440685994</x:v>
      </x:c>
      <x:c r="X2833" s="80" t="n">
        <x:f>W2833*('Inputs'!$B$6-AC2833)</x:f>
        <x:v>1196499501.590351</x:v>
      </x:c>
      <x:c r="Y2833" s="80" t="n">
        <x:f>2*V2833</x:f>
        <x:v>1117652.616805839</x:v>
      </x:c>
      <x:c r="Z2833" s="80" t="n">
        <x:f>K2833*'Inputs'!$B$16+(G2833+R2833)*J2833*'Inputs'!$B$16</x:f>
        <x:v>32844.9385848719</x:v>
      </x:c>
      <x:c r="AA2833" s="80" t="n">
        <x:f>K2833*(1+'Inputs'!$E$51)/2*'Inputs'!$B$17</x:f>
        <x:v>11523.712856734244</x:v>
      </x:c>
      <x:c r="AB2833" s="78" t="n">
        <x:f>(IF(J2833&gt;0,K2833*(1-'Inputs'!$E$51)/2/J2833,0)+G2833+R2833)*'Inputs'!$B$17</x:f>
        <x:v>8833.498240319177</x:v>
      </x:c>
      <x:c r="AC2833" s="78" t="n">
        <x:f>AC2832+AB2833</x:f>
        <x:v>2422070.5954588833</x:v>
      </x:c>
      <x:c r="AD2833" s="80" t="n">
        <x:f>Z2833/(1+'Inputs'!$C$51)</x:f>
        <x:v>10948.312861623968</x:v>
      </x:c>
      <x:c r="AE2833" s="80" t="n">
        <x:f>Z2833-AD2833</x:f>
        <x:v>21896.625723247933</x:v>
      </x:c>
      <x:c r="AF2833" s="80" t="n">
        <x:f>D2833*W2833</x:f>
        <x:v>320109.5154046538</x:v>
      </x:c>
      <x:c r="AG2833" s="80" t="n">
        <x:f>C2833*W2833</x:f>
        <x:v>746922.2026108231</x:v>
      </x:c>
      <x:c r="AH2833" s="80" t="n">
        <x:f>2*'Inputs'!$B$8*'Inputs'!$C$51</x:f>
        <x:v>10000</x:v>
      </x:c>
      <x:c r="AI2833" s="81" t="n">
        <x:f>IF(AH2833&gt;0,(AE2833+AF2833)/AH2833*365,0)</x:f>
        <x:v>12483.224151168411</x:v>
      </x:c>
      <x:c r="AJ2833" s="81" t="n">
        <x:f>IF('Inputs'!$B$51&gt;0,AG2833/('Inputs'!$B$19*'Inputs'!$B$51)*365,0)</x:f>
        <x:v>27262.660395295043</x:v>
      </x:c>
      <x:c r="AK2833" s="81" t="n">
        <x:f>W2833/MAX($W$2559:W2833)-1</x:f>
        <x:v>0</x:v>
      </x:c>
      <x:c r="AL2833" s="83" t="n">
        <x:f>'Inputs'!$B$51</x:f>
        <x:v>1</x:v>
      </x:c>
      <x:c r="AM2833" s="83" t="n">
        <x:f>'Inputs'!$C$51</x:f>
        <x:v>2</x:v>
      </x:c>
      <x:c r="AN2833" s="83" t="n">
        <x:f>'Inputs'!$D$51</x:f>
        <x:v>3</x:v>
      </x:c>
      <x:c r="AO2833" s="81" t="n">
        <x:f>'Inputs'!$E$51</x:f>
        <x:v>0.1</x:v>
      </x:c>
    </x:row>
    <x:row r="2834">
      <x:c r="A2834" s="59" t="str">
        <x:v>High demand</x:v>
      </x:c>
      <x:c r="B2834" s="59" t="n">
        <x:v>276</x:v>
      </x:c>
      <x:c r="C2834" s="78" t="n">
        <x:f>(('Inputs'!$B$29*(3*276*'Inputs'!$B$12-276^2)/(2*'Inputs'!$B$12^2))-('Inputs'!$B$29*(3*275*'Inputs'!$B$12-275^2)/(2*'Inputs'!$B$12^2)))*'Inputs'!$B$51</x:f>
        <x:v>622419.0748733282</x:v>
      </x:c>
      <x:c r="D2834" s="78" t="n">
        <x:f>IF('Inputs'!$C$51&gt;0,('Inputs'!$B$30*(3*276*'Inputs'!$B$12-276^2)/(2*'Inputs'!$B$12^2))-('Inputs'!$B$30*(3*275*'Inputs'!$B$12-275^2)/(2*'Inputs'!$B$12^2)),0)</x:f>
        <x:v>266751.03208856285</x:v>
      </x:c>
      <x:c r="E2834" s="78" t="n">
        <x:f>C2834+D2834</x:f>
        <x:v>889170.106961891</x:v>
      </x:c>
      <x:c r="F2834" s="78" t="n">
        <x:f>'Inputs'!$B$13*E2834+(1-'Inputs'!$B$13)/'Inputs'!$B$14*SUM(E2779:E2834)</x:f>
        <x:v>899387.7838243543</x:v>
      </x:c>
      <x:c r="G2834" s="78" t="n">
        <x:f>F2834*'Inputs'!$F$51</x:f>
        <x:v>224846.94595608857</x:v>
      </x:c>
      <x:c r="H2834" s="78" t="n">
        <x:f>U2833</x:f>
        <x:v>465919.78591916827</x:v>
      </x:c>
      <x:c r="I2834" s="78" t="n">
        <x:f>V2833</x:f>
        <x:v>558826.3084029194</x:v>
      </x:c>
      <x:c r="J2834" s="79" t="n">
        <x:f>IF(H2834&gt;0,I2834/H2834,0)</x:f>
        <x:v>1.1994045440685994</x:v>
      </x:c>
      <x:c r="K2834" s="80" t="n">
        <x:f>(H2834*J2834+I2834)*'Inputs'!$D$51*(1+'Inputs'!$G$51)^(B2834/30)</x:f>
        <x:v>5252543.350738335</x:v>
      </x:c>
      <x:c r="L2834" s="80" t="n">
        <x:f>MAX(0,K2834*'Inputs'!$E$51)</x:f>
        <x:v>525254.3350738336</x:v>
      </x:c>
      <x:c r="M2834" s="80" t="n">
        <x:f>MAX(0,-K2834*'Inputs'!$E$51)</x:f>
        <x:v>0</x:v>
      </x:c>
      <x:c r="N2834" s="78" t="n">
        <x:f>H2834*(L2834*(1-'Inputs'!$B$15))/(I2834+L2834*(1-'Inputs'!$B$15))</x:f>
        <x:v>224576.20769139085</x:v>
      </x:c>
      <x:c r="O2834" s="78" t="n">
        <x:f>H2834-N2834</x:f>
        <x:v>241343.5782277774</x:v>
      </x:c>
      <x:c r="P2834" s="78" t="n">
        <x:f>I2834+L2834*(1-'Inputs'!$B$17)</x:f>
        <x:v>1081966.9439392325</x:v>
      </x:c>
      <x:c r="Q2834" s="78" t="n">
        <x:f>IF(J2834&gt;0,M2834/J2834,0)</x:f>
        <x:v>0</x:v>
      </x:c>
      <x:c r="R2834" s="78" t="n">
        <x:f>IF(B2834='Inputs'!$H$51,'Inputs'!$B$27*'Inputs'!$I$51,0)</x:f>
        <x:v>0</x:v>
      </x:c>
      <x:c r="S2834" s="78" t="n">
        <x:f>Q2834+G2834+R2834</x:f>
        <x:v>224846.94595608857</x:v>
      </x:c>
      <x:c r="T2834" s="78" t="n">
        <x:f>P2834*(S2834*(1-'Inputs'!$B$15))/(O2834+S2834*(1-'Inputs'!$B$15))</x:f>
        <x:v>519125.5909826873</x:v>
      </x:c>
      <x:c r="U2834" s="78" t="n">
        <x:f>O2834+S2834*(1-'Inputs'!$B$17)</x:f>
        <x:v>465285.7074999381</x:v>
      </x:c>
      <x:c r="V2834" s="78" t="n">
        <x:f>P2834-T2834</x:f>
        <x:v>562841.3529565452</x:v>
      </x:c>
      <x:c r="W2834" s="79" t="n">
        <x:f>IF(U2834&gt;0,V2834/U2834,0)</x:f>
        <x:v>1.2096682616381895</x:v>
      </x:c>
      <x:c r="X2834" s="80" t="n">
        <x:f>W2834*('Inputs'!$B$6-AC2834)</x:f>
        <x:v>1206727672.1410263</x:v>
      </x:c>
      <x:c r="Y2834" s="80" t="n">
        <x:f>2*V2834</x:f>
        <x:v>1125682.7059130904</x:v>
      </x:c>
      <x:c r="Z2834" s="80" t="n">
        <x:f>K2834*'Inputs'!$B$16+(G2834+R2834)*J2834*'Inputs'!$B$16</x:f>
        <x:v>33133.35479662809</x:v>
      </x:c>
      <x:c r="AA2834" s="80" t="n">
        <x:f>K2834*(1+'Inputs'!$E$51)/2*'Inputs'!$B$17</x:f>
        <x:v>11625.347456362515</x:v>
      </x:c>
      <x:c r="AB2834" s="78" t="n">
        <x:f>(IF(J2834&gt;0,K2834*(1-'Inputs'!$E$51)/2/J2834,0)+G2834+R2834)*'Inputs'!$B$17</x:f>
        <x:v>8835.125073936859</x:v>
      </x:c>
      <x:c r="AC2834" s="78" t="n">
        <x:f>AC2833+AB2834</x:f>
        <x:v>2430905.72053282</x:v>
      </x:c>
      <x:c r="AD2834" s="80" t="n">
        <x:f>Z2834/(1+'Inputs'!$C$51)</x:f>
        <x:v>11044.45159887603</x:v>
      </x:c>
      <x:c r="AE2834" s="80" t="n">
        <x:f>Z2834-AD2834</x:f>
        <x:v>22088.903197752057</x:v>
      </x:c>
      <x:c r="AF2834" s="80" t="n">
        <x:f>D2834*W2834</x:f>
        <x:v>322680.2572767647</x:v>
      </x:c>
      <x:c r="AG2834" s="80" t="n">
        <x:f>C2834*W2834</x:f>
        <x:v>752920.6003124691</x:v>
      </x:c>
      <x:c r="AH2834" s="80" t="n">
        <x:f>2*'Inputs'!$B$8*'Inputs'!$C$51</x:f>
        <x:v>10000</x:v>
      </x:c>
      <x:c r="AI2834" s="81" t="n">
        <x:f>IF(AH2834&gt;0,(AE2834+AF2834)/AH2834*365,0)</x:f>
        <x:v>12584.074357319863</x:v>
      </x:c>
      <x:c r="AJ2834" s="81" t="n">
        <x:f>IF('Inputs'!$B$51&gt;0,AG2834/('Inputs'!$B$19*'Inputs'!$B$51)*365,0)</x:f>
        <x:v>27481.60191140512</x:v>
      </x:c>
      <x:c r="AK2834" s="81" t="n">
        <x:f>W2834/MAX($W$2559:W2834)-1</x:f>
        <x:v>0</x:v>
      </x:c>
      <x:c r="AL2834" s="83" t="n">
        <x:f>'Inputs'!$B$51</x:f>
        <x:v>1</x:v>
      </x:c>
      <x:c r="AM2834" s="83" t="n">
        <x:f>'Inputs'!$C$51</x:f>
        <x:v>2</x:v>
      </x:c>
      <x:c r="AN2834" s="83" t="n">
        <x:f>'Inputs'!$D$51</x:f>
        <x:v>3</x:v>
      </x:c>
      <x:c r="AO2834" s="81" t="n">
        <x:f>'Inputs'!$E$51</x:f>
        <x:v>0.1</x:v>
      </x:c>
    </x:row>
    <x:row r="2835">
      <x:c r="A2835" s="59" t="str">
        <x:v>High demand</x:v>
      </x:c>
      <x:c r="B2835" s="59" t="n">
        <x:v>277</x:v>
      </x:c>
      <x:c r="C2835" s="78" t="n">
        <x:f>(('Inputs'!$B$29*(3*277*'Inputs'!$B$12-277^2)/(2*'Inputs'!$B$12^2))-('Inputs'!$B$29*(3*276*'Inputs'!$B$12-276^2)/(2*'Inputs'!$B$12^2)))*'Inputs'!$B$51</x:f>
        <x:v>622093.9669731855</x:v>
      </x:c>
      <x:c r="D2835" s="78" t="n">
        <x:f>IF('Inputs'!$C$51&gt;0,('Inputs'!$B$30*(3*277*'Inputs'!$B$12-277^2)/(2*'Inputs'!$B$12^2))-('Inputs'!$B$30*(3*276*'Inputs'!$B$12-276^2)/(2*'Inputs'!$B$12^2)),0)</x:f>
        <x:v>266611.7001313567</x:v>
      </x:c>
      <x:c r="E2835" s="78" t="n">
        <x:f>C2835+D2835</x:f>
        <x:v>888705.6671045423</x:v>
      </x:c>
      <x:c r="F2835" s="78" t="n">
        <x:f>'Inputs'!$B$13*E2835+(1-'Inputs'!$B$13)/'Inputs'!$B$14*SUM(E2780:E2835)</x:f>
        <x:v>898923.3439669774</x:v>
      </x:c>
      <x:c r="G2835" s="78" t="n">
        <x:f>F2835*'Inputs'!$F$51</x:f>
        <x:v>224730.83599174436</x:v>
      </x:c>
      <x:c r="H2835" s="78" t="n">
        <x:f>U2834</x:f>
        <x:v>465285.7074999381</x:v>
      </x:c>
      <x:c r="I2835" s="78" t="n">
        <x:f>V2834</x:f>
        <x:v>562841.3529565452</x:v>
      </x:c>
      <x:c r="J2835" s="79" t="n">
        <x:f>IF(H2835&gt;0,I2835/H2835,0)</x:f>
        <x:v>1.2096682616381895</x:v>
      </x:c>
      <x:c r="K2835" s="80" t="n">
        <x:f>(H2835*J2835+I2835)*'Inputs'!$D$51*(1+'Inputs'!$G$51)^(B2835/30)</x:f>
        <x:v>5298892.5141605055</x:v>
      </x:c>
      <x:c r="L2835" s="80" t="n">
        <x:f>MAX(0,K2835*'Inputs'!$E$51)</x:f>
        <x:v>529889.2514160506</x:v>
      </x:c>
      <x:c r="M2835" s="80" t="n">
        <x:f>MAX(0,-K2835*'Inputs'!$E$51)</x:f>
        <x:v>0</x:v>
      </x:c>
      <x:c r="N2835" s="78" t="n">
        <x:f>H2835*(L2835*(1-'Inputs'!$B$15))/(I2835+L2835*(1-'Inputs'!$B$15))</x:f>
        <x:v>224459.51651728907</x:v>
      </x:c>
      <x:c r="O2835" s="78" t="n">
        <x:f>H2835-N2835</x:f>
        <x:v>240826.19098264902</x:v>
      </x:c>
      <x:c r="P2835" s="78" t="n">
        <x:f>I2835+L2835*(1-'Inputs'!$B$17)</x:f>
        <x:v>1090598.2532602577</x:v>
      </x:c>
      <x:c r="Q2835" s="78" t="n">
        <x:f>IF(J2835&gt;0,M2835/J2835,0)</x:f>
        <x:v>0</x:v>
      </x:c>
      <x:c r="R2835" s="78" t="n">
        <x:f>IF(B2835='Inputs'!$H$51,'Inputs'!$B$27*'Inputs'!$I$51,0)</x:f>
        <x:v>0</x:v>
      </x:c>
      <x:c r="S2835" s="78" t="n">
        <x:f>Q2835+G2835+R2835</x:f>
        <x:v>224730.83599174436</x:v>
      </x:c>
      <x:c r="T2835" s="78" t="n">
        <x:f>P2835*(S2835*(1-'Inputs'!$B$15))/(O2835+S2835*(1-'Inputs'!$B$15))</x:f>
        <x:v>523710.46163258597</x:v>
      </x:c>
      <x:c r="U2835" s="78" t="n">
        <x:f>O2835+S2835*(1-'Inputs'!$B$17)</x:f>
        <x:v>464652.6775337827</x:v>
      </x:c>
      <x:c r="V2835" s="78" t="n">
        <x:f>P2835-T2835</x:f>
        <x:v>566887.7916276717</x:v>
      </x:c>
      <x:c r="W2835" s="79" t="n">
        <x:f>IF(U2835&gt;0,V2835/U2835,0)</x:f>
        <x:v>1.2200248035511556</x:v>
      </x:c>
      <x:c r="X2835" s="80" t="n">
        <x:f>W2835*('Inputs'!$B$6-AC2835)</x:f>
        <x:v>1217048257.2159598</x:v>
      </x:c>
      <x:c r="Y2835" s="80" t="n">
        <x:f>2*V2835</x:f>
        <x:v>1133775.5832553434</x:v>
      </x:c>
      <x:c r="Z2835" s="80" t="n">
        <x:f>K2835*'Inputs'!$B$16+(G2835+R2835)*J2835*'Inputs'!$B$16</x:f>
        <x:v>33424.453643226814</x:v>
      </x:c>
      <x:c r="AA2835" s="80" t="n">
        <x:f>K2835*(1+'Inputs'!$E$51)/2*'Inputs'!$B$17</x:f>
        <x:v>11727.931117860275</x:v>
      </x:c>
      <x:c r="AB2835" s="78" t="n">
        <x:f>(IF(J2835&gt;0,K2835*(1-'Inputs'!$E$51)/2/J2835,0)+G2835+R2835)*'Inputs'!$B$17</x:f>
        <x:v>8836.755629830863</x:v>
      </x:c>
      <x:c r="AC2835" s="78" t="n">
        <x:f>AC2834+AB2835</x:f>
        <x:v>2439742.476162651</x:v>
      </x:c>
      <x:c r="AD2835" s="80" t="n">
        <x:f>Z2835/(1+'Inputs'!$C$51)</x:f>
        <x:v>11141.484547742271</x:v>
      </x:c>
      <x:c r="AE2835" s="80" t="n">
        <x:f>Z2835-AD2835</x:f>
        <x:v>22282.969095484543</x:v>
      </x:c>
      <x:c r="AF2835" s="80" t="n">
        <x:f>D2835*W2835</x:f>
        <x:v>325272.8870771981</x:v>
      </x:c>
      <x:c r="AG2835" s="80" t="n">
        <x:f>C2835*W2835</x:f>
        <x:v>758970.0698468197</x:v>
      </x:c>
      <x:c r="AH2835" s="80" t="n">
        <x:f>2*'Inputs'!$B$8*'Inputs'!$C$51</x:f>
        <x:v>10000</x:v>
      </x:c>
      <x:c r="AI2835" s="81" t="n">
        <x:f>IF(AH2835&gt;0,(AE2835+AF2835)/AH2835*365,0)</x:f>
        <x:v>12685.788750302914</x:v>
      </x:c>
      <x:c r="AJ2835" s="81" t="n">
        <x:f>IF('Inputs'!$B$51&gt;0,AG2835/('Inputs'!$B$19*'Inputs'!$B$51)*365,0)</x:f>
        <x:v>27702.407549408923</x:v>
      </x:c>
      <x:c r="AK2835" s="81" t="n">
        <x:f>W2835/MAX($W$2559:W2835)-1</x:f>
        <x:v>0</x:v>
      </x:c>
      <x:c r="AL2835" s="83" t="n">
        <x:f>'Inputs'!$B$51</x:f>
        <x:v>1</x:v>
      </x:c>
      <x:c r="AM2835" s="83" t="n">
        <x:f>'Inputs'!$C$51</x:f>
        <x:v>2</x:v>
      </x:c>
      <x:c r="AN2835" s="83" t="n">
        <x:f>'Inputs'!$D$51</x:f>
        <x:v>3</x:v>
      </x:c>
      <x:c r="AO2835" s="81" t="n">
        <x:f>'Inputs'!$E$51</x:f>
        <x:v>0.1</x:v>
      </x:c>
    </x:row>
    <x:row r="2836">
      <x:c r="A2836" s="59" t="str">
        <x:v>High demand</x:v>
      </x:c>
      <x:c r="B2836" s="59" t="n">
        <x:v>278</x:v>
      </x:c>
      <x:c r="C2836" s="78" t="n">
        <x:f>(('Inputs'!$B$29*(3*278*'Inputs'!$B$12-278^2)/(2*'Inputs'!$B$12^2))-('Inputs'!$B$29*(3*277*'Inputs'!$B$12-277^2)/(2*'Inputs'!$B$12^2)))*'Inputs'!$B$51</x:f>
        <x:v>621768.8590729833</x:v>
      </x:c>
      <x:c r="D2836" s="78" t="n">
        <x:f>IF('Inputs'!$C$51&gt;0,('Inputs'!$B$30*(3*278*'Inputs'!$B$12-278^2)/(2*'Inputs'!$B$12^2))-('Inputs'!$B$30*(3*277*'Inputs'!$B$12-277^2)/(2*'Inputs'!$B$12^2)),0)</x:f>
        <x:v>266472.3681741506</x:v>
      </x:c>
      <x:c r="E2836" s="78" t="n">
        <x:f>C2836+D2836</x:f>
        <x:v>888241.2272471339</x:v>
      </x:c>
      <x:c r="F2836" s="78" t="n">
        <x:f>'Inputs'!$B$13*E2836+(1-'Inputs'!$B$13)/'Inputs'!$B$14*SUM(E2781:E2836)</x:f>
        <x:v>898458.9041095882</x:v>
      </x:c>
      <x:c r="G2836" s="78" t="n">
        <x:f>F2836*'Inputs'!$F$51</x:f>
        <x:v>224614.72602739706</x:v>
      </x:c>
      <x:c r="H2836" s="78" t="n">
        <x:f>U2835</x:f>
        <x:v>464652.6775337827</x:v>
      </x:c>
      <x:c r="I2836" s="78" t="n">
        <x:f>V2835</x:f>
        <x:v>566887.7916276717</x:v>
      </x:c>
      <x:c r="J2836" s="79" t="n">
        <x:f>IF(H2836&gt;0,I2836/H2836,0)</x:f>
        <x:v>1.2200248035511556</x:v>
      </x:c>
      <x:c r="K2836" s="80" t="n">
        <x:f>(H2836*J2836+I2836)*'Inputs'!$D$51*(1+'Inputs'!$G$51)^(B2836/30)</x:f>
        <x:v>5345674.685904068</x:v>
      </x:c>
      <x:c r="L2836" s="80" t="n">
        <x:f>MAX(0,K2836*'Inputs'!$E$51)</x:f>
        <x:v>534567.4685904068</x:v>
      </x:c>
      <x:c r="M2836" s="80" t="n">
        <x:f>MAX(0,-K2836*'Inputs'!$E$51)</x:f>
        <x:v>0</x:v>
      </x:c>
      <x:c r="N2836" s="78" t="n">
        <x:f>H2836*(L2836*(1-'Inputs'!$B$15))/(I2836+L2836*(1-'Inputs'!$B$15))</x:f>
        <x:v>224342.8273894434</x:v>
      </x:c>
      <x:c r="O2836" s="78" t="n">
        <x:f>H2836-N2836</x:f>
        <x:v>240309.85014433932</x:v>
      </x:c>
      <x:c r="P2836" s="78" t="n">
        <x:f>I2836+L2836*(1-'Inputs'!$B$17)</x:f>
        <x:v>1099304.083282101</x:v>
      </x:c>
      <x:c r="Q2836" s="78" t="n">
        <x:f>IF(J2836&gt;0,M2836/J2836,0)</x:f>
        <x:v>0</x:v>
      </x:c>
      <x:c r="R2836" s="78" t="n">
        <x:f>IF(B2836='Inputs'!$H$51,'Inputs'!$B$27*'Inputs'!$I$51,0)</x:f>
        <x:v>0</x:v>
      </x:c>
      <x:c r="S2836" s="78" t="n">
        <x:f>Q2836+G2836+R2836</x:f>
        <x:v>224614.72602739706</x:v>
      </x:c>
      <x:c r="T2836" s="78" t="n">
        <x:f>P2836*(S2836*(1-'Inputs'!$B$15))/(O2836+S2836*(1-'Inputs'!$B$15))</x:f>
        <x:v>528338.1963742116</x:v>
      </x:c>
      <x:c r="U2836" s="78" t="n">
        <x:f>O2836+S2836*(1-'Inputs'!$B$17)</x:f>
        <x:v>464020.693974443</x:v>
      </x:c>
      <x:c r="V2836" s="78" t="n">
        <x:f>P2836-T2836</x:f>
        <x:v>570965.8869078894</x:v>
      </x:c>
      <x:c r="W2836" s="79" t="n">
        <x:f>IF(U2836&gt;0,V2836/U2836,0)</x:f>
        <x:v>1.230475050622067</x:v>
      </x:c>
      <x:c r="X2836" s="80" t="n">
        <x:f>W2836*('Inputs'!$B$6-AC2836)</x:f>
        <x:v>1227462132.9569356</x:v>
      </x:c>
      <x:c r="Y2836" s="80" t="n">
        <x:f>2*V2836</x:f>
        <x:v>1141931.7738157788</x:v>
      </x:c>
      <x:c r="Z2836" s="80" t="n">
        <x:f>K2836*'Inputs'!$B$16+(G2836+R2836)*J2836*'Inputs'!$B$16</x:f>
        <x:v>33718.26133740204</x:v>
      </x:c>
      <x:c r="AA2836" s="80" t="n">
        <x:f>K2836*(1+'Inputs'!$E$51)/2*'Inputs'!$B$17</x:f>
        <x:v>11831.47314787621</x:v>
      </x:c>
      <x:c r="AB2836" s="78" t="n">
        <x:f>(IF(J2836&gt;0,K2836*(1-'Inputs'!$E$51)/2/J2836,0)+G2836+R2836)*'Inputs'!$B$17</x:f>
        <x:v>8838.389908712037</x:v>
      </x:c>
      <x:c r="AC2836" s="78" t="n">
        <x:f>AC2835+AB2836</x:f>
        <x:v>2448580.866071363</x:v>
      </x:c>
      <x:c r="AD2836" s="80" t="n">
        <x:f>Z2836/(1+'Inputs'!$C$51)</x:f>
        <x:v>11239.420445800679</x:v>
      </x:c>
      <x:c r="AE2836" s="80" t="n">
        <x:f>Z2836-AD2836</x:f>
        <x:v>22478.840891601358</x:v>
      </x:c>
      <x:c r="AF2836" s="80" t="n">
        <x:f>D2836*W2836</x:f>
        <x:v>327887.60071847</x:v>
      </x:c>
      <x:c r="AG2836" s="80" t="n">
        <x:f>C2836*W2836</x:f>
        <x:v>765071.0683430539</x:v>
      </x:c>
      <x:c r="AH2836" s="80" t="n">
        <x:f>2*'Inputs'!$B$8*'Inputs'!$C$51</x:f>
        <x:v>10000</x:v>
      </x:c>
      <x:c r="AI2836" s="81" t="n">
        <x:f>IF(AH2836&gt;0,(AE2836+AF2836)/AH2836*365,0)</x:f>
        <x:v>12788.375118767603</x:v>
      </x:c>
      <x:c r="AJ2836" s="81" t="n">
        <x:f>IF('Inputs'!$B$51&gt;0,AG2836/('Inputs'!$B$19*'Inputs'!$B$51)*365,0)</x:f>
        <x:v>27925.093994521467</x:v>
      </x:c>
      <x:c r="AK2836" s="81" t="n">
        <x:f>W2836/MAX($W$2559:W2836)-1</x:f>
        <x:v>0</x:v>
      </x:c>
      <x:c r="AL2836" s="83" t="n">
        <x:f>'Inputs'!$B$51</x:f>
        <x:v>1</x:v>
      </x:c>
      <x:c r="AM2836" s="83" t="n">
        <x:f>'Inputs'!$C$51</x:f>
        <x:v>2</x:v>
      </x:c>
      <x:c r="AN2836" s="83" t="n">
        <x:f>'Inputs'!$D$51</x:f>
        <x:v>3</x:v>
      </x:c>
      <x:c r="AO2836" s="81" t="n">
        <x:f>'Inputs'!$E$51</x:f>
        <x:v>0.1</x:v>
      </x:c>
    </x:row>
    <x:row r="2837">
      <x:c r="A2837" s="59" t="str">
        <x:v>High demand</x:v>
      </x:c>
      <x:c r="B2837" s="59" t="n">
        <x:v>279</x:v>
      </x:c>
      <x:c r="C2837" s="78" t="n">
        <x:f>(('Inputs'!$B$29*(3*279*'Inputs'!$B$12-279^2)/(2*'Inputs'!$B$12^2))-('Inputs'!$B$29*(3*278*'Inputs'!$B$12-278^2)/(2*'Inputs'!$B$12^2)))*'Inputs'!$B$51</x:f>
        <x:v>621443.7511728406</x:v>
      </x:c>
      <x:c r="D2837" s="78" t="n">
        <x:f>IF('Inputs'!$C$51&gt;0,('Inputs'!$B$30*(3*279*'Inputs'!$B$12-279^2)/(2*'Inputs'!$B$12^2))-('Inputs'!$B$30*(3*278*'Inputs'!$B$12-278^2)/(2*'Inputs'!$B$12^2)),0)</x:f>
        <x:v>266333.03621691465</x:v>
      </x:c>
      <x:c r="E2837" s="78" t="n">
        <x:f>C2837+D2837</x:f>
        <x:v>887776.7873897552</x:v>
      </x:c>
      <x:c r="F2837" s="78" t="n">
        <x:f>'Inputs'!$B$13*E2837+(1-'Inputs'!$B$13)/'Inputs'!$B$14*SUM(E2782:E2837)</x:f>
        <x:v>897994.4642522052</x:v>
      </x:c>
      <x:c r="G2837" s="78" t="n">
        <x:f>F2837*'Inputs'!$F$51</x:f>
        <x:v>224498.6160630513</x:v>
      </x:c>
      <x:c r="H2837" s="78" t="n">
        <x:f>U2836</x:f>
        <x:v>464020.693974443</x:v>
      </x:c>
      <x:c r="I2837" s="78" t="n">
        <x:f>V2836</x:f>
        <x:v>570965.8869078894</x:v>
      </x:c>
      <x:c r="J2837" s="79" t="n">
        <x:f>IF(H2837&gt;0,I2837/H2837,0)</x:f>
        <x:v>1.230475050622067</x:v>
      </x:c>
      <x:c r="K2837" s="80" t="n">
        <x:f>(H2837*J2837+I2837)*'Inputs'!$D$51*(1+'Inputs'!$G$51)^(B2837/30)</x:f>
        <x:v>5392894.1139049055</x:v>
      </x:c>
      <x:c r="L2837" s="80" t="n">
        <x:f>MAX(0,K2837*'Inputs'!$E$51)</x:f>
        <x:v>539289.4113904906</x:v>
      </x:c>
      <x:c r="M2837" s="80" t="n">
        <x:f>MAX(0,-K2837*'Inputs'!$E$51)</x:f>
        <x:v>0</x:v>
      </x:c>
      <x:c r="N2837" s="78" t="n">
        <x:f>H2837*(L2837*(1-'Inputs'!$B$15))/(I2837+L2837*(1-'Inputs'!$B$15))</x:f>
        <x:v>224226.14030394264</x:v>
      </x:c>
      <x:c r="O2837" s="78" t="n">
        <x:f>H2837-N2837</x:f>
        <x:v>239794.55367050038</x:v>
      </x:c>
      <x:c r="P2837" s="78" t="n">
        <x:f>I2837+L2837*(1-'Inputs'!$B$17)</x:f>
        <x:v>1108085.1195805108</x:v>
      </x:c>
      <x:c r="Q2837" s="78" t="n">
        <x:f>IF(J2837&gt;0,M2837/J2837,0)</x:f>
        <x:v>0</x:v>
      </x:c>
      <x:c r="R2837" s="78" t="n">
        <x:f>IF(B2837='Inputs'!$H$51,'Inputs'!$B$27*'Inputs'!$I$51,0)</x:f>
        <x:v>0</x:v>
      </x:c>
      <x:c r="S2837" s="78" t="n">
        <x:f>Q2837+G2837+R2837</x:f>
        <x:v>224498.6160630513</x:v>
      </x:c>
      <x:c r="T2837" s="78" t="n">
        <x:f>P2837*(S2837*(1-'Inputs'!$B$15))/(O2837+S2837*(1-'Inputs'!$B$15))</x:f>
        <x:v>533009.2159722967</x:v>
      </x:c>
      <x:c r="U2837" s="78" t="n">
        <x:f>O2837+S2837*(1-'Inputs'!$B$17)</x:f>
        <x:v>463389.7547795756</x:v>
      </x:c>
      <x:c r="V2837" s="78" t="n">
        <x:f>P2837-T2837</x:f>
        <x:v>575075.9036082141</x:v>
      </x:c>
      <x:c r="W2837" s="79" t="n">
        <x:f>IF(U2837&gt;0,V2837/U2837,0)</x:f>
        <x:v>1.241019892383605</x:v>
      </x:c>
      <x:c r="X2837" s="80" t="n">
        <x:f>W2837*('Inputs'!$B$6-AC2837)</x:f>
        <x:v>1237970184.1702135</x:v>
      </x:c>
      <x:c r="Y2837" s="80" t="n">
        <x:f>2*V2837</x:f>
        <x:v>1150151.8072164282</x:v>
      </x:c>
      <x:c r="Z2837" s="80" t="n">
        <x:f>K2837*'Inputs'!$B$16+(G2837+R2837)*J2837*'Inputs'!$B$16</x:f>
        <x:v>34014.80435921803</x:v>
      </x:c>
      <x:c r="AA2837" s="80" t="n">
        <x:f>K2837*(1+'Inputs'!$E$51)/2*'Inputs'!$B$17</x:f>
        <x:v>11935.982948280476</x:v>
      </x:c>
      <x:c r="AB2837" s="78" t="n">
        <x:f>(IF(J2837&gt;0,K2837*(1-'Inputs'!$E$51)/2/J2837,0)+G2837+R2837)*'Inputs'!$B$17</x:f>
        <x:v>8840.027911284049</x:v>
      </x:c>
      <x:c r="AC2837" s="78" t="n">
        <x:f>AC2836+AB2837</x:f>
        <x:v>2457420.893982647</x:v>
      </x:c>
      <x:c r="AD2837" s="80" t="n">
        <x:f>Z2837/(1+'Inputs'!$C$51)</x:f>
        <x:v>11338.268119739345</x:v>
      </x:c>
      <x:c r="AE2837" s="80" t="n">
        <x:f>Z2837-AD2837</x:f>
        <x:v>22676.536239478686</x:v>
      </x:c>
      <x:c r="AF2837" s="80" t="n">
        <x:f>D2837*W2837</x:f>
        <x:v>330524.5959441142</x:v>
      </x:c>
      <x:c r="AG2837" s="80" t="n">
        <x:f>C2837*W2837</x:f>
        <x:v>771224.0572029825</x:v>
      </x:c>
      <x:c r="AH2837" s="80" t="n">
        <x:f>2*'Inputs'!$B$8*'Inputs'!$C$51</x:f>
        <x:v>10000</x:v>
      </x:c>
      <x:c r="AI2837" s="81" t="n">
        <x:f>IF(AH2837&gt;0,(AE2837+AF2837)/AH2837*365,0)</x:f>
        <x:v>12891.841324701141</x:v>
      </x:c>
      <x:c r="AJ2837" s="81" t="n">
        <x:f>IF('Inputs'!$B$51&gt;0,AG2837/('Inputs'!$B$19*'Inputs'!$B$51)*365,0)</x:f>
        <x:v>28149.67808790886</x:v>
      </x:c>
      <x:c r="AK2837" s="81" t="n">
        <x:f>W2837/MAX($W$2559:W2837)-1</x:f>
        <x:v>0</x:v>
      </x:c>
      <x:c r="AL2837" s="83" t="n">
        <x:f>'Inputs'!$B$51</x:f>
        <x:v>1</x:v>
      </x:c>
      <x:c r="AM2837" s="83" t="n">
        <x:f>'Inputs'!$C$51</x:f>
        <x:v>2</x:v>
      </x:c>
      <x:c r="AN2837" s="83" t="n">
        <x:f>'Inputs'!$D$51</x:f>
        <x:v>3</x:v>
      </x:c>
      <x:c r="AO2837" s="81" t="n">
        <x:f>'Inputs'!$E$51</x:f>
        <x:v>0.1</x:v>
      </x:c>
    </x:row>
    <x:row r="2838">
      <x:c r="A2838" s="59" t="str">
        <x:v>High demand</x:v>
      </x:c>
      <x:c r="B2838" s="59" t="n">
        <x:v>280</x:v>
      </x:c>
      <x:c r="C2838" s="78" t="n">
        <x:f>(('Inputs'!$B$29*(3*280*'Inputs'!$B$12-280^2)/(2*'Inputs'!$B$12^2))-('Inputs'!$B$29*(3*279*'Inputs'!$B$12-279^2)/(2*'Inputs'!$B$12^2)))*'Inputs'!$B$51</x:f>
        <x:v>621118.6432726383</x:v>
      </x:c>
      <x:c r="D2838" s="78" t="n">
        <x:f>IF('Inputs'!$C$51&gt;0,('Inputs'!$B$30*(3*280*'Inputs'!$B$12-280^2)/(2*'Inputs'!$B$12^2))-('Inputs'!$B$30*(3*279*'Inputs'!$B$12-279^2)/(2*'Inputs'!$B$12^2)),0)</x:f>
        <x:v>266193.7042597234</x:v>
      </x:c>
      <x:c r="E2838" s="78" t="n">
        <x:f>C2838+D2838</x:f>
        <x:v>887312.3475323617</x:v>
      </x:c>
      <x:c r="F2838" s="78" t="n">
        <x:f>'Inputs'!$B$13*E2838+(1-'Inputs'!$B$13)/'Inputs'!$B$14*SUM(E2783:E2838)</x:f>
        <x:v>897530.024394819</x:v>
      </x:c>
      <x:c r="G2838" s="78" t="n">
        <x:f>F2838*'Inputs'!$F$51</x:f>
        <x:v>224382.50609870476</x:v>
      </x:c>
      <x:c r="H2838" s="78" t="n">
        <x:f>U2837</x:f>
        <x:v>463389.7547795756</x:v>
      </x:c>
      <x:c r="I2838" s="78" t="n">
        <x:f>V2837</x:f>
        <x:v>575075.9036082141</x:v>
      </x:c>
      <x:c r="J2838" s="79" t="n">
        <x:f>IF(H2838&gt;0,I2838/H2838,0)</x:f>
        <x:v>1.241019892383605</x:v>
      </x:c>
      <x:c r="K2838" s="80" t="n">
        <x:f>(H2838*J2838+I2838)*'Inputs'!$D$51*(1+'Inputs'!$G$51)^(B2838/30)</x:f>
        <x:v>5440555.089578461</x:v>
      </x:c>
      <x:c r="L2838" s="80" t="n">
        <x:f>MAX(0,K2838*'Inputs'!$E$51)</x:f>
        <x:v>544055.5089578461</x:v>
      </x:c>
      <x:c r="M2838" s="80" t="n">
        <x:f>MAX(0,-K2838*'Inputs'!$E$51)</x:f>
        <x:v>0</x:v>
      </x:c>
      <x:c r="N2838" s="78" t="n">
        <x:f>H2838*(L2838*(1-'Inputs'!$B$15))/(I2838+L2838*(1-'Inputs'!$B$15))</x:f>
        <x:v>224109.45525688634</x:v>
      </x:c>
      <x:c r="O2838" s="78" t="n">
        <x:f>H2838-N2838</x:f>
        <x:v>239280.29952268928</x:v>
      </x:c>
      <x:c r="P2838" s="78" t="n">
        <x:f>I2838+L2838*(1-'Inputs'!$B$17)</x:f>
        <x:v>1116942.054381119</x:v>
      </x:c>
      <x:c r="Q2838" s="78" t="n">
        <x:f>IF(J2838&gt;0,M2838/J2838,0)</x:f>
        <x:v>0</x:v>
      </x:c>
      <x:c r="R2838" s="78" t="n">
        <x:f>IF(B2838='Inputs'!$H$51,'Inputs'!$B$27*'Inputs'!$I$51,0)</x:f>
        <x:v>0</x:v>
      </x:c>
      <x:c r="S2838" s="78" t="n">
        <x:f>Q2838+G2838+R2838</x:f>
        <x:v>224382.50609870476</x:v>
      </x:c>
      <x:c r="T2838" s="78" t="n">
        <x:f>P2838*(S2838*(1-'Inputs'!$B$15))/(O2838+S2838*(1-'Inputs'!$B$15))</x:f>
        <x:v>537723.9455005433</x:v>
      </x:c>
      <x:c r="U2838" s="78" t="n">
        <x:f>O2838+S2838*(1-'Inputs'!$B$17)</x:f>
        <x:v>462759.8579107353</x:v>
      </x:c>
      <x:c r="V2838" s="78" t="n">
        <x:f>P2838-T2838</x:f>
        <x:v>579218.1088805757</x:v>
      </x:c>
      <x:c r="W2838" s="79" t="n">
        <x:f>IF(U2838&gt;0,V2838/U2838,0)</x:f>
        <x:v>1.2516602271761974</x:v>
      </x:c>
      <x:c r="X2838" s="80" t="n">
        <x:f>W2838*('Inputs'!$B$6-AC2838)</x:f>
        <x:v>1248573304.4155395</x:v>
      </x:c>
      <x:c r="Y2838" s="80" t="n">
        <x:f>2*V2838</x:f>
        <x:v>1158436.2177611515</x:v>
      </x:c>
      <x:c r="Z2838" s="80" t="n">
        <x:f>K2838*'Inputs'!$B$16+(G2838+R2838)*J2838*'Inputs'!$B$16</x:f>
        <x:v>34314.10945889904</x:v>
      </x:c>
      <x:c r="AA2838" s="80" t="n">
        <x:f>K2838*(1+'Inputs'!$E$51)/2*'Inputs'!$B$17</x:f>
        <x:v>12041.47001717567</x:v>
      </x:c>
      <x:c r="AB2838" s="78" t="n">
        <x:f>(IF(J2838&gt;0,K2838*(1-'Inputs'!$E$51)/2/J2838,0)+G2838+R2838)*'Inputs'!$B$17</x:f>
        <x:v>8841.669638243558</x:v>
      </x:c>
      <x:c r="AC2838" s="78" t="n">
        <x:f>AC2837+AB2838</x:f>
        <x:v>2466262.5636208905</x:v>
      </x:c>
      <x:c r="AD2838" s="80" t="n">
        <x:f>Z2838/(1+'Inputs'!$C$51)</x:f>
        <x:v>11438.03648629968</x:v>
      </x:c>
      <x:c r="AE2838" s="80" t="n">
        <x:f>Z2838-AD2838</x:f>
        <x:v>22876.07297259936</x:v>
      </x:c>
      <x:c r="AF2838" s="80" t="n">
        <x:f>D2838*W2838</x:f>
        <x:v>333184.07234659896</x:v>
      </x:c>
      <x:c r="AG2838" s="80" t="n">
        <x:f>C2838*W2838</x:f>
        <x:v>777429.502142002</x:v>
      </x:c>
      <x:c r="AH2838" s="80" t="n">
        <x:f>2*'Inputs'!$B$8*'Inputs'!$C$51</x:f>
        <x:v>10000</x:v>
      </x:c>
      <x:c r="AI2838" s="81" t="n">
        <x:f>IF(AH2838&gt;0,(AE2838+AF2838)/AH2838*365,0)</x:f>
        <x:v>12996.195304150739</x:v>
      </x:c>
      <x:c r="AJ2838" s="81" t="n">
        <x:f>IF('Inputs'!$B$51&gt;0,AG2838/('Inputs'!$B$19*'Inputs'!$B$51)*365,0)</x:f>
        <x:v>28376.17682818307</x:v>
      </x:c>
      <x:c r="AK2838" s="81" t="n">
        <x:f>W2838/MAX($W$2559:W2838)-1</x:f>
        <x:v>0</x:v>
      </x:c>
      <x:c r="AL2838" s="83" t="n">
        <x:f>'Inputs'!$B$51</x:f>
        <x:v>1</x:v>
      </x:c>
      <x:c r="AM2838" s="83" t="n">
        <x:f>'Inputs'!$C$51</x:f>
        <x:v>2</x:v>
      </x:c>
      <x:c r="AN2838" s="83" t="n">
        <x:f>'Inputs'!$D$51</x:f>
        <x:v>3</x:v>
      </x:c>
      <x:c r="AO2838" s="81" t="n">
        <x:f>'Inputs'!$E$51</x:f>
        <x:v>0.1</x:v>
      </x:c>
    </x:row>
    <x:row r="2839">
      <x:c r="A2839" s="59" t="str">
        <x:v>High demand</x:v>
      </x:c>
      <x:c r="B2839" s="59" t="n">
        <x:v>281</x:v>
      </x:c>
      <x:c r="C2839" s="78" t="n">
        <x:f>(('Inputs'!$B$29*(3*281*'Inputs'!$B$12-281^2)/(2*'Inputs'!$B$12^2))-('Inputs'!$B$29*(3*280*'Inputs'!$B$12-280^2)/(2*'Inputs'!$B$12^2)))*'Inputs'!$B$51</x:f>
        <x:v>620793.5353724957</x:v>
      </x:c>
      <x:c r="D2839" s="78" t="n">
        <x:f>IF('Inputs'!$C$51&gt;0,('Inputs'!$B$30*(3*281*'Inputs'!$B$12-281^2)/(2*'Inputs'!$B$12^2))-('Inputs'!$B$30*(3*280*'Inputs'!$B$12-280^2)/(2*'Inputs'!$B$12^2)),0)</x:f>
        <x:v>266054.3723024875</x:v>
      </x:c>
      <x:c r="E2839" s="78" t="n">
        <x:f>C2839+D2839</x:f>
        <x:v>886847.9076749831</x:v>
      </x:c>
      <x:c r="F2839" s="78" t="n">
        <x:f>'Inputs'!$B$13*E2839+(1-'Inputs'!$B$13)/'Inputs'!$B$14*SUM(E2784:E2839)</x:f>
        <x:v>897065.5845374359</x:v>
      </x:c>
      <x:c r="G2839" s="78" t="n">
        <x:f>F2839*'Inputs'!$F$51</x:f>
        <x:v>224266.39613435898</x:v>
      </x:c>
      <x:c r="H2839" s="78" t="n">
        <x:f>U2838</x:f>
        <x:v>462759.8579107353</x:v>
      </x:c>
      <x:c r="I2839" s="78" t="n">
        <x:f>V2838</x:f>
        <x:v>579218.1088805757</x:v>
      </x:c>
      <x:c r="J2839" s="79" t="n">
        <x:f>IF(H2839&gt;0,I2839/H2839,0)</x:f>
        <x:v>1.2516602271761974</x:v>
      </x:c>
      <x:c r="K2839" s="80" t="n">
        <x:f>(H2839*J2839+I2839)*'Inputs'!$D$51*(1+'Inputs'!$G$51)^(B2839/30)</x:f>
        <x:v>5488661.948281777</x:v>
      </x:c>
      <x:c r="L2839" s="80" t="n">
        <x:f>MAX(0,K2839*'Inputs'!$E$51)</x:f>
        <x:v>548866.1948281777</x:v>
      </x:c>
      <x:c r="M2839" s="80" t="n">
        <x:f>MAX(0,-K2839*'Inputs'!$E$51)</x:f>
        <x:v>0</x:v>
      </x:c>
      <x:c r="N2839" s="78" t="n">
        <x:f>H2839*(L2839*(1-'Inputs'!$B$15))/(I2839+L2839*(1-'Inputs'!$B$15))</x:f>
        <x:v>223992.7722443796</x:v>
      </x:c>
      <x:c r="O2839" s="78" t="n">
        <x:f>H2839-N2839</x:f>
        <x:v>238767.0856663557</x:v>
      </x:c>
      <x:c r="P2839" s="78" t="n">
        <x:f>I2839+L2839*(1-'Inputs'!$B$17)</x:f>
        <x:v>1125875.5866269497</x:v>
      </x:c>
      <x:c r="Q2839" s="78" t="n">
        <x:f>IF(J2839&gt;0,M2839/J2839,0)</x:f>
        <x:v>0</x:v>
      </x:c>
      <x:c r="R2839" s="78" t="n">
        <x:f>IF(B2839='Inputs'!$H$51,'Inputs'!$B$27*'Inputs'!$I$51,0)</x:f>
        <x:v>0</x:v>
      </x:c>
      <x:c r="S2839" s="78" t="n">
        <x:f>Q2839+G2839+R2839</x:f>
        <x:v>224266.39613435898</x:v>
      </x:c>
      <x:c r="T2839" s="78" t="n">
        <x:f>P2839*(S2839*(1-'Inputs'!$B$15))/(O2839+S2839*(1-'Inputs'!$B$15))</x:f>
        <x:v>542482.8143874535</x:v>
      </x:c>
      <x:c r="U2839" s="78" t="n">
        <x:f>O2839+S2839*(1-'Inputs'!$B$17)</x:f>
        <x:v>462131.0013333732</x:v>
      </x:c>
      <x:c r="V2839" s="78" t="n">
        <x:f>P2839-T2839</x:f>
        <x:v>583392.7722394962</x:v>
      </x:c>
      <x:c r="W2839" s="79" t="n">
        <x:f>IF(U2839&gt;0,V2839/U2839,0)</x:f>
        <x:v>1.262396962238521</x:v>
      </x:c>
      <x:c r="X2839" s="80" t="n">
        <x:f>W2839*('Inputs'!$B$6-AC2839)</x:f>
        <x:v>1259272396.0960171</x:v>
      </x:c>
      <x:c r="Y2839" s="80" t="n">
        <x:f>2*V2839</x:f>
        <x:v>1166785.5444789925</x:v>
      </x:c>
      <x:c r="Z2839" s="80" t="n">
        <x:f>K2839*'Inputs'!$B$16+(G2839+R2839)*J2839*'Inputs'!$B$16</x:f>
        <x:v>34616.203659691775</x:v>
      </x:c>
      <x:c r="AA2839" s="80" t="n">
        <x:f>K2839*(1+'Inputs'!$E$51)/2*'Inputs'!$B$17</x:f>
        <x:v>12147.943949919427</x:v>
      </x:c>
      <x:c r="AB2839" s="78" t="n">
        <x:f>(IF(J2839&gt;0,K2839*(1-'Inputs'!$E$51)/2/J2839,0)+G2839+R2839)*'Inputs'!$B$17</x:f>
        <x:v>8843.315090280048</x:v>
      </x:c>
      <x:c r="AC2839" s="78" t="n">
        <x:f>AC2838+AB2839</x:f>
        <x:v>2475105.8787111705</x:v>
      </x:c>
      <x:c r="AD2839" s="80" t="n">
        <x:f>Z2839/(1+'Inputs'!$C$51)</x:f>
        <x:v>11538.734553230592</x:v>
      </x:c>
      <x:c r="AE2839" s="80" t="n">
        <x:f>Z2839-AD2839</x:f>
        <x:v>23077.469106461183</x:v>
      </x:c>
      <x:c r="AF2839" s="80" t="n">
        <x:f>D2839*W2839</x:f>
        <x:v>335866.2313849367</x:v>
      </x:c>
      <x:c r="AG2839" s="80" t="n">
        <x:f>C2839*W2839</x:f>
        <x:v>783687.8732315503</x:v>
      </x:c>
      <x:c r="AH2839" s="80" t="n">
        <x:f>2*'Inputs'!$B$8*'Inputs'!$C$51</x:f>
        <x:v>10000</x:v>
      </x:c>
      <x:c r="AI2839" s="81" t="n">
        <x:f>IF(AH2839&gt;0,(AE2839+AF2839)/AH2839*365,0)</x:f>
        <x:v>13101.445067936023</x:v>
      </x:c>
      <x:c r="AJ2839" s="81" t="n">
        <x:f>IF('Inputs'!$B$51&gt;0,AG2839/('Inputs'!$B$19*'Inputs'!$B$51)*365,0)</x:f>
        <x:v>28604.60737295159</x:v>
      </x:c>
      <x:c r="AK2839" s="81" t="n">
        <x:f>W2839/MAX($W$2559:W2839)-1</x:f>
        <x:v>0</x:v>
      </x:c>
      <x:c r="AL2839" s="83" t="n">
        <x:f>'Inputs'!$B$51</x:f>
        <x:v>1</x:v>
      </x:c>
      <x:c r="AM2839" s="83" t="n">
        <x:f>'Inputs'!$C$51</x:f>
        <x:v>2</x:v>
      </x:c>
      <x:c r="AN2839" s="83" t="n">
        <x:f>'Inputs'!$D$51</x:f>
        <x:v>3</x:v>
      </x:c>
      <x:c r="AO2839" s="81" t="n">
        <x:f>'Inputs'!$E$51</x:f>
        <x:v>0.1</x:v>
      </x:c>
    </x:row>
    <x:row r="2840">
      <x:c r="A2840" s="59" t="str">
        <x:v>High demand</x:v>
      </x:c>
      <x:c r="B2840" s="59" t="n">
        <x:v>282</x:v>
      </x:c>
      <x:c r="C2840" s="78" t="n">
        <x:f>(('Inputs'!$B$29*(3*282*'Inputs'!$B$12-282^2)/(2*'Inputs'!$B$12^2))-('Inputs'!$B$29*(3*281*'Inputs'!$B$12-281^2)/(2*'Inputs'!$B$12^2)))*'Inputs'!$B$51</x:f>
        <x:v>620468.4274723232</x:v>
      </x:c>
      <x:c r="D2840" s="78" t="n">
        <x:f>IF('Inputs'!$C$51&gt;0,('Inputs'!$B$30*(3*282*'Inputs'!$B$12-282^2)/(2*'Inputs'!$B$12^2))-('Inputs'!$B$30*(3*281*'Inputs'!$B$12-281^2)/(2*'Inputs'!$B$12^2)),0)</x:f>
        <x:v>265915.04034528136</x:v>
      </x:c>
      <x:c r="E2840" s="78" t="n">
        <x:f>C2840+D2840</x:f>
        <x:v>886383.4678176045</x:v>
      </x:c>
      <x:c r="F2840" s="78" t="n">
        <x:f>'Inputs'!$B$13*E2840+(1-'Inputs'!$B$13)/'Inputs'!$B$14*SUM(E2785:E2840)</x:f>
        <x:v>896601.1446800531</x:v>
      </x:c>
      <x:c r="G2840" s="78" t="n">
        <x:f>F2840*'Inputs'!$F$51</x:f>
        <x:v>224150.28617001328</x:v>
      </x:c>
      <x:c r="H2840" s="78" t="n">
        <x:f>U2839</x:f>
        <x:v>462131.0013333732</x:v>
      </x:c>
      <x:c r="I2840" s="78" t="n">
        <x:f>V2839</x:f>
        <x:v>583392.7722394962</x:v>
      </x:c>
      <x:c r="J2840" s="79" t="n">
        <x:f>IF(H2840&gt;0,I2840/H2840,0)</x:f>
        <x:v>1.262396962238521</x:v>
      </x:c>
      <x:c r="K2840" s="80" t="n">
        <x:f>(H2840*J2840+I2840)*'Inputs'!$D$51*(1+'Inputs'!$G$51)^(B2840/30)</x:f>
        <x:v>5537219.069780439</x:v>
      </x:c>
      <x:c r="L2840" s="80" t="n">
        <x:f>MAX(0,K2840*'Inputs'!$E$51)</x:f>
        <x:v>553721.906978044</x:v>
      </x:c>
      <x:c r="M2840" s="80" t="n">
        <x:f>MAX(0,-K2840*'Inputs'!$E$51)</x:f>
        <x:v>0</x:v>
      </x:c>
      <x:c r="N2840" s="78" t="n">
        <x:f>H2840*(L2840*(1-'Inputs'!$B$15))/(I2840+L2840*(1-'Inputs'!$B$15))</x:f>
        <x:v>223876.09126253592</x:v>
      </x:c>
      <x:c r="O2840" s="78" t="n">
        <x:f>H2840-N2840</x:f>
        <x:v>238254.91007083727</x:v>
      </x:c>
      <x:c r="P2840" s="78" t="n">
        <x:f>I2840+L2840*(1-'Inputs'!$B$17)</x:f>
        <x:v>1134886.4220466022</x:v>
      </x:c>
      <x:c r="Q2840" s="78" t="n">
        <x:f>IF(J2840&gt;0,M2840/J2840,0)</x:f>
        <x:v>0</x:v>
      </x:c>
      <x:c r="R2840" s="78" t="n">
        <x:f>IF(B2840='Inputs'!$H$51,'Inputs'!$B$27*'Inputs'!$I$51,0)</x:f>
        <x:v>0</x:v>
      </x:c>
      <x:c r="S2840" s="78" t="n">
        <x:f>Q2840+G2840+R2840</x:f>
        <x:v>224150.28617001328</x:v>
      </x:c>
      <x:c r="T2840" s="78" t="n">
        <x:f>P2840*(S2840*(1-'Inputs'!$B$15))/(O2840+S2840*(1-'Inputs'!$B$15))</x:f>
        <x:v>547286.2564626159</x:v>
      </x:c>
      <x:c r="U2840" s="78" t="n">
        <x:f>O2840+S2840*(1-'Inputs'!$B$17)</x:f>
        <x:v>461503.18301682634</x:v>
      </x:c>
      <x:c r="V2840" s="78" t="n">
        <x:f>P2840-T2840</x:f>
        <x:v>587600.1655839863</x:v>
      </x:c>
      <x:c r="W2840" s="79" t="n">
        <x:f>IF(U2840&gt;0,V2840/U2840,0)</x:f>
        <x:v>1.2732310137990153</x:v>
      </x:c>
      <x:c r="X2840" s="80" t="n">
        <x:f>W2840*('Inputs'!$B$6-AC2840)</x:f>
        <x:v>1270068370.548982</x:v>
      </x:c>
      <x:c r="Y2840" s="80" t="n">
        <x:f>2*V2840</x:f>
        <x:v>1175200.3311679726</x:v>
      </x:c>
      <x:c r="Z2840" s="80" t="n">
        <x:f>K2840*'Inputs'!$B$16+(G2840+R2840)*J2840*'Inputs'!$B$16</x:f>
        <x:v>34921.11426075815</x:v>
      </x:c>
      <x:c r="AA2840" s="80" t="n">
        <x:f>K2840*(1+'Inputs'!$E$51)/2*'Inputs'!$B$17</x:f>
        <x:v>12255.414440157916</x:v>
      </x:c>
      <x:c r="AB2840" s="78" t="n">
        <x:f>(IF(J2840&gt;0,K2840*(1-'Inputs'!$E$51)/2/J2840,0)+G2840+R2840)*'Inputs'!$B$17</x:f>
        <x:v>8844.964268075864</x:v>
      </x:c>
      <x:c r="AC2840" s="78" t="n">
        <x:f>AC2839+AB2840</x:f>
        <x:v>2483950.8429792463</x:v>
      </x:c>
      <x:c r="AD2840" s="80" t="n">
        <x:f>Z2840/(1+'Inputs'!$C$51)</x:f>
        <x:v>11640.371420252717</x:v>
      </x:c>
      <x:c r="AE2840" s="80" t="n">
        <x:f>Z2840-AD2840</x:f>
        <x:v>23280.74284050543</x:v>
      </x:c>
      <x:c r="AF2840" s="80" t="n">
        <x:f>D2840*W2840</x:f>
        <x:v>338571.27640322864</x:v>
      </x:c>
      <x:c r="AG2840" s="80" t="n">
        <x:f>C2840*W2840</x:f>
        <x:v>789999.6449408669</x:v>
      </x:c>
      <x:c r="AH2840" s="80" t="n">
        <x:f>2*'Inputs'!$B$8*'Inputs'!$C$51</x:f>
        <x:v>10000</x:v>
      </x:c>
      <x:c r="AI2840" s="81" t="n">
        <x:f>IF(AH2840&gt;0,(AE2840+AF2840)/AH2840*365,0)</x:f>
        <x:v>13207.598702396293</x:v>
      </x:c>
      <x:c r="AJ2840" s="81" t="n">
        <x:f>IF('Inputs'!$B$51&gt;0,AG2840/('Inputs'!$B$19*'Inputs'!$B$51)*365,0)</x:f>
        <x:v>28834.98704034164</x:v>
      </x:c>
      <x:c r="AK2840" s="81" t="n">
        <x:f>W2840/MAX($W$2559:W2840)-1</x:f>
        <x:v>0</x:v>
      </x:c>
      <x:c r="AL2840" s="83" t="n">
        <x:f>'Inputs'!$B$51</x:f>
        <x:v>1</x:v>
      </x:c>
      <x:c r="AM2840" s="83" t="n">
        <x:f>'Inputs'!$C$51</x:f>
        <x:v>2</x:v>
      </x:c>
      <x:c r="AN2840" s="83" t="n">
        <x:f>'Inputs'!$D$51</x:f>
        <x:v>3</x:v>
      </x:c>
      <x:c r="AO2840" s="81" t="n">
        <x:f>'Inputs'!$E$51</x:f>
        <x:v>0.1</x:v>
      </x:c>
    </x:row>
    <x:row r="2841">
      <x:c r="A2841" s="59" t="str">
        <x:v>High demand</x:v>
      </x:c>
      <x:c r="B2841" s="59" t="n">
        <x:v>283</x:v>
      </x:c>
      <x:c r="C2841" s="78" t="n">
        <x:f>(('Inputs'!$B$29*(3*283*'Inputs'!$B$12-283^2)/(2*'Inputs'!$B$12^2))-('Inputs'!$B$29*(3*282*'Inputs'!$B$12-282^2)/(2*'Inputs'!$B$12^2)))*'Inputs'!$B$51</x:f>
        <x:v>620143.3195721507</x:v>
      </x:c>
      <x:c r="D2841" s="78" t="n">
        <x:f>IF('Inputs'!$C$51&gt;0,('Inputs'!$B$30*(3*283*'Inputs'!$B$12-283^2)/(2*'Inputs'!$B$12^2))-('Inputs'!$B$30*(3*282*'Inputs'!$B$12-282^2)/(2*'Inputs'!$B$12^2)),0)</x:f>
        <x:v>265775.70838807523</x:v>
      </x:c>
      <x:c r="E2841" s="78" t="n">
        <x:f>C2841+D2841</x:f>
        <x:v>885919.0279602259</x:v>
      </x:c>
      <x:c r="F2841" s="78" t="n">
        <x:f>'Inputs'!$B$13*E2841+(1-'Inputs'!$B$13)/'Inputs'!$B$14*SUM(E2786:E2841)</x:f>
        <x:v>896136.7048226703</x:v>
      </x:c>
      <x:c r="G2841" s="78" t="n">
        <x:f>F2841*'Inputs'!$F$51</x:f>
        <x:v>224034.17620566758</x:v>
      </x:c>
      <x:c r="H2841" s="78" t="n">
        <x:f>U2840</x:f>
        <x:v>461503.18301682634</x:v>
      </x:c>
      <x:c r="I2841" s="78" t="n">
        <x:f>V2840</x:f>
        <x:v>587600.1655839863</x:v>
      </x:c>
      <x:c r="J2841" s="79" t="n">
        <x:f>IF(H2841&gt;0,I2841/H2841,0)</x:f>
        <x:v>1.2732310137990153</x:v>
      </x:c>
      <x:c r="K2841" s="80" t="n">
        <x:f>(H2841*J2841+I2841)*'Inputs'!$D$51*(1+'Inputs'!$G$51)^(B2841/30)</x:f>
        <x:v>5586230.878720753</x:v>
      </x:c>
      <x:c r="L2841" s="80" t="n">
        <x:f>MAX(0,K2841*'Inputs'!$E$51)</x:f>
        <x:v>558623.0878720753</x:v>
      </x:c>
      <x:c r="M2841" s="80" t="n">
        <x:f>MAX(0,-K2841*'Inputs'!$E$51)</x:f>
        <x:v>0</x:v>
      </x:c>
      <x:c r="N2841" s="78" t="n">
        <x:f>H2841*(L2841*(1-'Inputs'!$B$15))/(I2841+L2841*(1-'Inputs'!$B$15))</x:f>
        <x:v>223759.41230747558</x:v>
      </x:c>
      <x:c r="O2841" s="78" t="n">
        <x:f>H2841-N2841</x:f>
        <x:v>237743.77070935076</x:v>
      </x:c>
      <x:c r="P2841" s="78" t="n">
        <x:f>I2841+L2841*(1-'Inputs'!$B$17)</x:f>
        <x:v>1143975.2732231761</x:v>
      </x:c>
      <x:c r="Q2841" s="78" t="n">
        <x:f>IF(J2841&gt;0,M2841/J2841,0)</x:f>
        <x:v>0</x:v>
      </x:c>
      <x:c r="R2841" s="78" t="n">
        <x:f>IF(B2841='Inputs'!$H$51,'Inputs'!$B$27*'Inputs'!$I$51,0)</x:f>
        <x:v>0</x:v>
      </x:c>
      <x:c r="S2841" s="78" t="n">
        <x:f>Q2841+G2841+R2841</x:f>
        <x:v>224034.17620566758</x:v>
      </x:c>
      <x:c r="T2841" s="78" t="n">
        <x:f>P2841*(S2841*(1-'Inputs'!$B$15))/(O2841+S2841*(1-'Inputs'!$B$15))</x:f>
        <x:v>552134.7100035268</x:v>
      </x:c>
      <x:c r="U2841" s="78" t="n">
        <x:f>O2841+S2841*(1-'Inputs'!$B$17)</x:f>
        <x:v>460876.40093431144</x:v>
      </x:c>
      <x:c r="V2841" s="78" t="n">
        <x:f>P2841-T2841</x:f>
        <x:v>591840.5632196494</x:v>
      </x:c>
      <x:c r="W2841" s="79" t="n">
        <x:f>IF(U2841&gt;0,V2841/U2841,0)</x:f>
        <x:v>1.2841633071683447</x:v>
      </x:c>
      <x:c r="X2841" s="80" t="n">
        <x:f>W2841*('Inputs'!$B$6-AC2841)</x:f>
        <x:v>1280962148.1378157</x:v>
      </x:c>
      <x:c r="Y2841" s="80" t="n">
        <x:f>2*V2841</x:f>
        <x:v>1183681.1264392987</x:v>
      </x:c>
      <x:c r="Z2841" s="80" t="n">
        <x:f>K2841*'Inputs'!$B$16+(G2841+R2841)*J2841*'Inputs'!$B$16</x:f>
        <x:v>35228.86884010033</x:v>
      </x:c>
      <x:c r="AA2841" s="80" t="n">
        <x:f>K2841*(1+'Inputs'!$E$51)/2*'Inputs'!$B$17</x:f>
        <x:v>12363.891280870885</x:v>
      </x:c>
      <x:c r="AB2841" s="78" t="n">
        <x:f>(IF(J2841&gt;0,K2841*(1-'Inputs'!$E$51)/2/J2841,0)+G2841+R2841)*'Inputs'!$B$17</x:f>
        <x:v>8846.617172306167</x:v>
      </x:c>
      <x:c r="AC2841" s="78" t="n">
        <x:f>AC2840+AB2841</x:f>
        <x:v>2492797.460151552</x:v>
      </x:c>
      <x:c r="AD2841" s="80" t="n">
        <x:f>Z2841/(1+'Inputs'!$C$51)</x:f>
        <x:v>11742.956280033444</x:v>
      </x:c>
      <x:c r="AE2841" s="80" t="n">
        <x:f>Z2841-AD2841</x:f>
        <x:v>23485.912560066885</x:v>
      </x:c>
      <x:c r="AF2841" s="80" t="n">
        <x:f>D2841*W2841</x:f>
        <x:v>341299.4126486403</x:v>
      </x:c>
      <x:c r="AG2841" s="80" t="n">
        <x:f>C2841*W2841</x:f>
        <x:v>796365.2961801287</x:v>
      </x:c>
      <x:c r="AH2841" s="80" t="n">
        <x:f>2*'Inputs'!$B$8*'Inputs'!$C$51</x:f>
        <x:v>10000</x:v>
      </x:c>
      <x:c r="AI2841" s="81" t="n">
        <x:f>IF(AH2841&gt;0,(AE2841+AF2841)/AH2841*365,0)</x:f>
        <x:v>13314.664370117813</x:v>
      </x:c>
      <x:c r="AJ2841" s="81" t="n">
        <x:f>IF('Inputs'!$B$51&gt;0,AG2841/('Inputs'!$B$19*'Inputs'!$B$51)*365,0)</x:f>
        <x:v>29067.333310574697</x:v>
      </x:c>
      <x:c r="AK2841" s="81" t="n">
        <x:f>W2841/MAX($W$2559:W2841)-1</x:f>
        <x:v>0</x:v>
      </x:c>
      <x:c r="AL2841" s="83" t="n">
        <x:f>'Inputs'!$B$51</x:f>
        <x:v>1</x:v>
      </x:c>
      <x:c r="AM2841" s="83" t="n">
        <x:f>'Inputs'!$C$51</x:f>
        <x:v>2</x:v>
      </x:c>
      <x:c r="AN2841" s="83" t="n">
        <x:f>'Inputs'!$D$51</x:f>
        <x:v>3</x:v>
      </x:c>
      <x:c r="AO2841" s="81" t="n">
        <x:f>'Inputs'!$E$51</x:f>
        <x:v>0.1</x:v>
      </x:c>
    </x:row>
    <x:row r="2842">
      <x:c r="A2842" s="59" t="str">
        <x:v>High demand</x:v>
      </x:c>
      <x:c r="B2842" s="59" t="n">
        <x:v>284</x:v>
      </x:c>
      <x:c r="C2842" s="78" t="n">
        <x:f>(('Inputs'!$B$29*(3*284*'Inputs'!$B$12-284^2)/(2*'Inputs'!$B$12^2))-('Inputs'!$B$29*(3*283*'Inputs'!$B$12-283^2)/(2*'Inputs'!$B$12^2)))*'Inputs'!$B$51</x:f>
        <x:v>619818.2116719782</x:v>
      </x:c>
      <x:c r="D2842" s="78" t="n">
        <x:f>IF('Inputs'!$C$51&gt;0,('Inputs'!$B$30*(3*284*'Inputs'!$B$12-284^2)/(2*'Inputs'!$B$12^2))-('Inputs'!$B$30*(3*283*'Inputs'!$B$12-283^2)/(2*'Inputs'!$B$12^2)),0)</x:f>
        <x:v>265636.3764308393</x:v>
      </x:c>
      <x:c r="E2842" s="78" t="n">
        <x:f>C2842+D2842</x:f>
        <x:v>885454.5881028175</x:v>
      </x:c>
      <x:c r="F2842" s="78" t="n">
        <x:f>'Inputs'!$B$13*E2842+(1-'Inputs'!$B$13)/'Inputs'!$B$14*SUM(E2787:E2842)</x:f>
        <x:v>895672.2649652809</x:v>
      </x:c>
      <x:c r="G2842" s="78" t="n">
        <x:f>F2842*'Inputs'!$F$51</x:f>
        <x:v>223918.06624132022</x:v>
      </x:c>
      <x:c r="H2842" s="78" t="n">
        <x:f>U2841</x:f>
        <x:v>460876.40093431144</x:v>
      </x:c>
      <x:c r="I2842" s="78" t="n">
        <x:f>V2841</x:f>
        <x:v>591840.5632196494</x:v>
      </x:c>
      <x:c r="J2842" s="79" t="n">
        <x:f>IF(H2842&gt;0,I2842/H2842,0)</x:f>
        <x:v>1.2841633071683447</x:v>
      </x:c>
      <x:c r="K2842" s="80" t="n">
        <x:f>(H2842*J2842+I2842)*'Inputs'!$D$51*(1+'Inputs'!$G$51)^(B2842/30)</x:f>
        <x:v>5635701.845107054</x:v>
      </x:c>
      <x:c r="L2842" s="80" t="n">
        <x:f>MAX(0,K2842*'Inputs'!$E$51)</x:f>
        <x:v>563570.1845107054</x:v>
      </x:c>
      <x:c r="M2842" s="80" t="n">
        <x:f>MAX(0,-K2842*'Inputs'!$E$51)</x:f>
        <x:v>0</x:v>
      </x:c>
      <x:c r="N2842" s="78" t="n">
        <x:f>H2842*(L2842*(1-'Inputs'!$B$15))/(I2842+L2842*(1-'Inputs'!$B$15))</x:f>
        <x:v>223642.73537532619</x:v>
      </x:c>
      <x:c r="O2842" s="78" t="n">
        <x:f>H2842-N2842</x:f>
        <x:v>237233.66555898526</x:v>
      </x:c>
      <x:c r="P2842" s="78" t="n">
        <x:f>I2842+L2842*(1-'Inputs'!$B$17)</x:f>
        <x:v>1153142.8596639133</x:v>
      </x:c>
      <x:c r="Q2842" s="78" t="n">
        <x:f>IF(J2842&gt;0,M2842/J2842,0)</x:f>
        <x:v>0</x:v>
      </x:c>
      <x:c r="R2842" s="78" t="n">
        <x:f>IF(B2842='Inputs'!$H$51,'Inputs'!$B$27*'Inputs'!$I$51,0)</x:f>
        <x:v>0</x:v>
      </x:c>
      <x:c r="S2842" s="78" t="n">
        <x:f>Q2842+G2842+R2842</x:f>
        <x:v>223918.06624132022</x:v>
      </x:c>
      <x:c r="T2842" s="78" t="n">
        <x:f>P2842*(S2842*(1-'Inputs'!$B$15))/(O2842+S2842*(1-'Inputs'!$B$15))</x:f>
        <x:v>557028.6177829124</x:v>
      </x:c>
      <x:c r="U2842" s="78" t="n">
        <x:f>O2842+S2842*(1-'Inputs'!$B$17)</x:f>
        <x:v>460250.6530629159</x:v>
      </x:c>
      <x:c r="V2842" s="78" t="n">
        <x:f>P2842-T2842</x:f>
        <x:v>596114.2418810008</x:v>
      </x:c>
      <x:c r="W2842" s="79" t="n">
        <x:f>IF(U2842&gt;0,V2842/U2842,0)</x:f>
        <x:v>1.2951947768328587</x:v>
      </x:c>
      <x:c r="X2842" s="80" t="n">
        <x:f>W2842*('Inputs'!$B$6-AC2842)</x:f>
        <x:v>1291954658.3447537</x:v>
      </x:c>
      <x:c r="Y2842" s="80" t="n">
        <x:f>2*V2842</x:f>
        <x:v>1192228.4837620016</x:v>
      </x:c>
      <x:c r="Z2842" s="80" t="n">
        <x:f>K2842*'Inputs'!$B$16+(G2842+R2842)*J2842*'Inputs'!$B$16</x:f>
        <x:v>35539.49525751749</x:v>
      </x:c>
      <x:c r="AA2842" s="80" t="n">
        <x:f>K2842*(1+'Inputs'!$E$51)/2*'Inputs'!$B$17</x:f>
        <x:v>12473.38436542809</x:v>
      </x:c>
      <x:c r="AB2842" s="78" t="n">
        <x:f>(IF(J2842&gt;0,K2842*(1-'Inputs'!$E$51)/2/J2842,0)+G2842+R2842)*'Inputs'!$B$17</x:f>
        <x:v>8848.273803638891</x:v>
      </x:c>
      <x:c r="AC2842" s="78" t="n">
        <x:f>AC2841+AB2842</x:f>
        <x:v>2501645.733955191</x:v>
      </x:c>
      <x:c r="AD2842" s="80" t="n">
        <x:f>Z2842/(1+'Inputs'!$C$51)</x:f>
        <x:v>11846.498419172496</x:v>
      </x:c>
      <x:c r="AE2842" s="80" t="n">
        <x:f>Z2842-AD2842</x:f>
        <x:v>23692.996838344996</x:v>
      </x:c>
      <x:c r="AF2842" s="80" t="n">
        <x:f>D2842*W2842</x:f>
        <x:v>344050.84729003016</x:v>
      </x:c>
      <x:c r="AG2842" s="80" t="n">
        <x:f>C2842*W2842</x:f>
        <x:v>802785.3103434294</x:v>
      </x:c>
      <x:c r="AH2842" s="80" t="n">
        <x:f>2*'Inputs'!$B$8*'Inputs'!$C$51</x:f>
        <x:v>10000</x:v>
      </x:c>
      <x:c r="AI2842" s="81" t="n">
        <x:f>IF(AH2842&gt;0,(AE2842+AF2842)/AH2842*365,0)</x:f>
        <x:v>13422.650310685694</x:v>
      </x:c>
      <x:c r="AJ2842" s="81" t="n">
        <x:f>IF('Inputs'!$B$51&gt;0,AG2842/('Inputs'!$B$19*'Inputs'!$B$51)*365,0)</x:f>
        <x:v>29301.663827535176</x:v>
      </x:c>
      <x:c r="AK2842" s="81" t="n">
        <x:f>W2842/MAX($W$2559:W2842)-1</x:f>
        <x:v>0</x:v>
      </x:c>
      <x:c r="AL2842" s="83" t="n">
        <x:f>'Inputs'!$B$51</x:f>
        <x:v>1</x:v>
      </x:c>
      <x:c r="AM2842" s="83" t="n">
        <x:f>'Inputs'!$C$51</x:f>
        <x:v>2</x:v>
      </x:c>
      <x:c r="AN2842" s="83" t="n">
        <x:f>'Inputs'!$D$51</x:f>
        <x:v>3</x:v>
      </x:c>
      <x:c r="AO2842" s="81" t="n">
        <x:f>'Inputs'!$E$51</x:f>
        <x:v>0.1</x:v>
      </x:c>
    </x:row>
    <x:row r="2843">
      <x:c r="A2843" s="59" t="str">
        <x:v>High demand</x:v>
      </x:c>
      <x:c r="B2843" s="59" t="n">
        <x:v>285</x:v>
      </x:c>
      <x:c r="C2843" s="78" t="n">
        <x:f>(('Inputs'!$B$29*(3*285*'Inputs'!$B$12-285^2)/(2*'Inputs'!$B$12^2))-('Inputs'!$B$29*(3*284*'Inputs'!$B$12-284^2)/(2*'Inputs'!$B$12^2)))*'Inputs'!$B$51</x:f>
        <x:v>619493.1037718356</x:v>
      </x:c>
      <x:c r="D2843" s="78" t="n">
        <x:f>IF('Inputs'!$C$51&gt;0,('Inputs'!$B$30*(3*285*'Inputs'!$B$12-285^2)/(2*'Inputs'!$B$12^2))-('Inputs'!$B$30*(3*284*'Inputs'!$B$12-284^2)/(2*'Inputs'!$B$12^2)),0)</x:f>
        <x:v>265497.04447363317</x:v>
      </x:c>
      <x:c r="E2843" s="78" t="n">
        <x:f>C2843+D2843</x:f>
        <x:v>884990.1482454687</x:v>
      </x:c>
      <x:c r="F2843" s="78" t="n">
        <x:f>'Inputs'!$B$13*E2843+(1-'Inputs'!$B$13)/'Inputs'!$B$14*SUM(E2788:E2843)</x:f>
        <x:v>895207.8251079043</x:v>
      </x:c>
      <x:c r="G2843" s="78" t="n">
        <x:f>F2843*'Inputs'!$F$51</x:f>
        <x:v>223801.95627697607</x:v>
      </x:c>
      <x:c r="H2843" s="78" t="n">
        <x:f>U2842</x:f>
        <x:v>460250.6530629159</x:v>
      </x:c>
      <x:c r="I2843" s="78" t="n">
        <x:f>V2842</x:f>
        <x:v>596114.2418810008</x:v>
      </x:c>
      <x:c r="J2843" s="79" t="n">
        <x:f>IF(H2843&gt;0,I2843/H2843,0)</x:f>
        <x:v>1.2951947768328587</x:v>
      </x:c>
      <x:c r="K2843" s="80" t="n">
        <x:f>(H2843*J2843+I2843)*'Inputs'!$D$51*(1+'Inputs'!$G$51)^(B2843/30)</x:f>
        <x:v>5685636.484784292</x:v>
      </x:c>
      <x:c r="L2843" s="80" t="n">
        <x:f>MAX(0,K2843*'Inputs'!$E$51)</x:f>
        <x:v>568563.6484784292</x:v>
      </x:c>
      <x:c r="M2843" s="80" t="n">
        <x:f>MAX(0,-K2843*'Inputs'!$E$51)</x:f>
        <x:v>0</x:v>
      </x:c>
      <x:c r="N2843" s="78" t="n">
        <x:f>H2843*(L2843*(1-'Inputs'!$B$15))/(I2843+L2843*(1-'Inputs'!$B$15))</x:f>
        <x:v>223526.0604622219</x:v>
      </x:c>
      <x:c r="O2843" s="78" t="n">
        <x:f>H2843-N2843</x:f>
        <x:v>236724.59260069398</x:v>
      </x:c>
      <x:c r="P2843" s="78" t="n">
        <x:f>I2843+L2843*(1-'Inputs'!$B$17)</x:f>
        <x:v>1162389.9078705832</x:v>
      </x:c>
      <x:c r="Q2843" s="78" t="n">
        <x:f>IF(J2843&gt;0,M2843/J2843,0)</x:f>
        <x:v>0</x:v>
      </x:c>
      <x:c r="R2843" s="78" t="n">
        <x:f>IF(B2843='Inputs'!$H$51,'Inputs'!$B$27*'Inputs'!$I$51,0)</x:f>
        <x:v>0</x:v>
      </x:c>
      <x:c r="S2843" s="78" t="n">
        <x:f>Q2843+G2843+R2843</x:f>
        <x:v>223801.95627697607</x:v>
      </x:c>
      <x:c r="T2843" s="78" t="n">
        <x:f>P2843*(S2843*(1-'Inputs'!$B$15))/(O2843+S2843*(1-'Inputs'!$B$15))</x:f>
        <x:v>561968.4271165904</x:v>
      </x:c>
      <x:c r="U2843" s="78" t="n">
        <x:f>O2843+S2843*(1-'Inputs'!$B$17)</x:f>
        <x:v>459625.9373835977</x:v>
      </x:c>
      <x:c r="V2843" s="78" t="n">
        <x:f>P2843-T2843</x:f>
        <x:v>600421.4807539928</x:v>
      </x:c>
      <x:c r="W2843" s="79" t="n">
        <x:f>IF(U2843&gt;0,V2843/U2843,0)</x:f>
        <x:v>1.3063263665489988</x:v>
      </x:c>
      <x:c r="X2843" s="80" t="n">
        <x:f>W2843*('Inputs'!$B$6-AC2843)</x:f>
        <x:v>1303046839.8646293</x:v>
      </x:c>
      <x:c r="Y2843" s="80" t="n">
        <x:f>2*V2843</x:f>
        <x:v>1200842.9615079856</x:v>
      </x:c>
      <x:c r="Z2843" s="80" t="n">
        <x:f>K2843*'Inputs'!$B$16+(G2843+R2843)*J2843*'Inputs'!$B$16</x:f>
        <x:v>35853.02165759524</x:v>
      </x:c>
      <x:c r="AA2843" s="80" t="n">
        <x:f>K2843*(1+'Inputs'!$E$51)/2*'Inputs'!$B$17</x:f>
        <x:v>12583.903688657389</x:v>
      </x:c>
      <x:c r="AB2843" s="78" t="n">
        <x:f>(IF(J2843&gt;0,K2843*(1-'Inputs'!$E$51)/2/J2843,0)+G2843+R2843)*'Inputs'!$B$17</x:f>
        <x:v>8849.934162734746</x:v>
      </x:c>
      <x:c r="AC2843" s="78" t="n">
        <x:f>AC2842+AB2843</x:f>
        <x:v>2510495.6681179255</x:v>
      </x:c>
      <x:c r="AD2843" s="80" t="n">
        <x:f>Z2843/(1+'Inputs'!$C$51)</x:f>
        <x:v>11951.007219198415</x:v>
      </x:c>
      <x:c r="AE2843" s="80" t="n">
        <x:f>Z2843-AD2843</x:f>
        <x:v>23902.01443839683</x:v>
      </x:c>
      <x:c r="AF2843" s="80" t="n">
        <x:f>D2843*W2843</x:f>
        <x:v>346825.7894367392</x:v>
      </x:c>
      <x:c r="AG2843" s="80" t="n">
        <x:f>C2843*W2843</x:f>
        <x:v>809260.1753524238</x:v>
      </x:c>
      <x:c r="AH2843" s="80" t="n">
        <x:f>2*'Inputs'!$B$8*'Inputs'!$C$51</x:f>
        <x:v>10000</x:v>
      </x:c>
      <x:c r="AI2843" s="81" t="n">
        <x:f>IF(AH2843&gt;0,(AE2843+AF2843)/AH2843*365,0)</x:f>
        <x:v>13531.564841442465</x:v>
      </x:c>
      <x:c r="AJ2843" s="81" t="n">
        <x:f>IF('Inputs'!$B$51&gt;0,AG2843/('Inputs'!$B$19*'Inputs'!$B$51)*365,0)</x:f>
        <x:v>29537.99640036347</x:v>
      </x:c>
      <x:c r="AK2843" s="81" t="n">
        <x:f>W2843/MAX($W$2559:W2843)-1</x:f>
        <x:v>0</x:v>
      </x:c>
      <x:c r="AL2843" s="83" t="n">
        <x:f>'Inputs'!$B$51</x:f>
        <x:v>1</x:v>
      </x:c>
      <x:c r="AM2843" s="83" t="n">
        <x:f>'Inputs'!$C$51</x:f>
        <x:v>2</x:v>
      </x:c>
      <x:c r="AN2843" s="83" t="n">
        <x:f>'Inputs'!$D$51</x:f>
        <x:v>3</x:v>
      </x:c>
      <x:c r="AO2843" s="81" t="n">
        <x:f>'Inputs'!$E$51</x:f>
        <x:v>0.1</x:v>
      </x:c>
    </x:row>
    <x:row r="2844">
      <x:c r="A2844" s="59" t="str">
        <x:v>High demand</x:v>
      </x:c>
      <x:c r="B2844" s="59" t="n">
        <x:v>286</x:v>
      </x:c>
      <x:c r="C2844" s="78" t="n">
        <x:f>(('Inputs'!$B$29*(3*286*'Inputs'!$B$12-286^2)/(2*'Inputs'!$B$12^2))-('Inputs'!$B$29*(3*285*'Inputs'!$B$12-285^2)/(2*'Inputs'!$B$12^2)))*'Inputs'!$B$51</x:f>
        <x:v>619167.9958716333</x:v>
      </x:c>
      <x:c r="D2844" s="78" t="n">
        <x:f>IF('Inputs'!$C$51&gt;0,('Inputs'!$B$30*(3*286*'Inputs'!$B$12-286^2)/(2*'Inputs'!$B$12^2))-('Inputs'!$B$30*(3*285*'Inputs'!$B$12-285^2)/(2*'Inputs'!$B$12^2)),0)</x:f>
        <x:v>265357.71251642704</x:v>
      </x:c>
      <x:c r="E2844" s="78" t="n">
        <x:f>C2844+D2844</x:f>
        <x:v>884525.7083880603</x:v>
      </x:c>
      <x:c r="F2844" s="78" t="n">
        <x:f>'Inputs'!$B$13*E2844+(1-'Inputs'!$B$13)/'Inputs'!$B$14*SUM(E2789:E2844)</x:f>
        <x:v>894743.3852505152</x:v>
      </x:c>
      <x:c r="G2844" s="78" t="n">
        <x:f>F2844*'Inputs'!$F$51</x:f>
        <x:v>223685.8463126288</x:v>
      </x:c>
      <x:c r="H2844" s="78" t="n">
        <x:f>U2843</x:f>
        <x:v>459625.9373835977</x:v>
      </x:c>
      <x:c r="I2844" s="78" t="n">
        <x:f>V2843</x:f>
        <x:v>600421.4807539928</x:v>
      </x:c>
      <x:c r="J2844" s="79" t="n">
        <x:f>IF(H2844&gt;0,I2844/H2844,0)</x:f>
        <x:v>1.3063263665489988</x:v>
      </x:c>
      <x:c r="K2844" s="80" t="n">
        <x:f>(H2844*J2844+I2844)*'Inputs'!$D$51*(1+'Inputs'!$G$51)^(B2844/30)</x:f>
        <x:v>5736039.359925832</x:v>
      </x:c>
      <x:c r="L2844" s="80" t="n">
        <x:f>MAX(0,K2844*'Inputs'!$E$51)</x:f>
        <x:v>573603.9359925832</x:v>
      </x:c>
      <x:c r="M2844" s="80" t="n">
        <x:f>MAX(0,-K2844*'Inputs'!$E$51)</x:f>
        <x:v>0</x:v>
      </x:c>
      <x:c r="N2844" s="78" t="n">
        <x:f>H2844*(L2844*(1-'Inputs'!$B$15))/(I2844+L2844*(1-'Inputs'!$B$15))</x:f>
        <x:v>223409.38756430708</x:v>
      </x:c>
      <x:c r="O2844" s="78" t="n">
        <x:f>H2844-N2844</x:f>
        <x:v>236216.54981929064</x:v>
      </x:c>
      <x:c r="P2844" s="78" t="n">
        <x:f>I2844+L2844*(1-'Inputs'!$B$17)</x:f>
        <x:v>1171717.1514105897</x:v>
      </x:c>
      <x:c r="Q2844" s="78" t="n">
        <x:f>IF(J2844&gt;0,M2844/J2844,0)</x:f>
        <x:v>0</x:v>
      </x:c>
      <x:c r="R2844" s="78" t="n">
        <x:f>IF(B2844='Inputs'!$H$51,'Inputs'!$B$27*'Inputs'!$I$51,0)</x:f>
        <x:v>0</x:v>
      </x:c>
      <x:c r="S2844" s="78" t="n">
        <x:f>Q2844+G2844+R2844</x:f>
        <x:v>223685.8463126288</x:v>
      </x:c>
      <x:c r="T2844" s="78" t="n">
        <x:f>P2844*(S2844*(1-'Inputs'!$B$15))/(O2844+S2844*(1-'Inputs'!$B$15))</x:f>
        <x:v>566954.5899118072</x:v>
      </x:c>
      <x:c r="U2844" s="78" t="n">
        <x:f>O2844+S2844*(1-'Inputs'!$B$17)</x:f>
        <x:v>459002.2518811644</x:v>
      </x:c>
      <x:c r="V2844" s="78" t="n">
        <x:f>P2844-T2844</x:f>
        <x:v>604762.5614987825</x:v>
      </x:c>
      <x:c r="W2844" s="79" t="n">
        <x:f>IF(U2844&gt;0,V2844/U2844,0)</x:f>
        <x:v>1.317559029438826</x:v>
      </x:c>
      <x:c r="X2844" s="80" t="n">
        <x:f>W2844*('Inputs'!$B$6-AC2844)</x:f>
        <x:v>1314239640.6997306</x:v>
      </x:c>
      <x:c r="Y2844" s="80" t="n">
        <x:f>2*V2844</x:f>
        <x:v>1209525.122997565</x:v>
      </x:c>
      <x:c r="Z2844" s="80" t="n">
        <x:f>K2844*'Inputs'!$B$16+(G2844+R2844)*J2844*'Inputs'!$B$16</x:f>
        <x:v>36169.476472727074</x:v>
      </x:c>
      <x:c r="AA2844" s="80" t="n">
        <x:f>K2844*(1+'Inputs'!$E$51)/2*'Inputs'!$B$17</x:f>
        <x:v>12695.459347924378</x:v>
      </x:c>
      <x:c r="AB2844" s="78" t="n">
        <x:f>(IF(J2844&gt;0,K2844*(1-'Inputs'!$E$51)/2/J2844,0)+G2844+R2844)*'Inputs'!$B$17</x:f>
        <x:v>8851.598250247227</x:v>
      </x:c>
      <x:c r="AC2844" s="78" t="n">
        <x:f>AC2843+AB2844</x:f>
        <x:v>2519347.2663681726</x:v>
      </x:c>
      <x:c r="AD2844" s="80" t="n">
        <x:f>Z2844/(1+'Inputs'!$C$51)</x:f>
        <x:v>12056.49215757569</x:v>
      </x:c>
      <x:c r="AE2844" s="80" t="n">
        <x:f>Z2844-AD2844</x:f>
        <x:v>24112.984315151385</x:v>
      </x:c>
      <x:c r="AF2844" s="80" t="n">
        <x:f>D2844*W2844</x:f>
        <x:v>349624.4501572506</x:v>
      </x:c>
      <x:c r="AG2844" s="80" t="n">
        <x:f>C2844*W2844</x:f>
        <x:v>815790.3837002121</x:v>
      </x:c>
      <x:c r="AH2844" s="80" t="n">
        <x:f>2*'Inputs'!$B$8*'Inputs'!$C$51</x:f>
        <x:v>10000</x:v>
      </x:c>
      <x:c r="AI2844" s="81" t="n">
        <x:f>IF(AH2844&gt;0,(AE2844+AF2844)/AH2844*365,0)</x:f>
        <x:v>13641.416358242674</x:v>
      </x:c>
      <x:c r="AJ2844" s="81" t="n">
        <x:f>IF('Inputs'!$B$51&gt;0,AG2844/('Inputs'!$B$19*'Inputs'!$B$51)*365,0)</x:f>
        <x:v>29776.349005057742</x:v>
      </x:c>
      <x:c r="AK2844" s="81" t="n">
        <x:f>W2844/MAX($W$2559:W2844)-1</x:f>
        <x:v>0</x:v>
      </x:c>
      <x:c r="AL2844" s="83" t="n">
        <x:f>'Inputs'!$B$51</x:f>
        <x:v>1</x:v>
      </x:c>
      <x:c r="AM2844" s="83" t="n">
        <x:f>'Inputs'!$C$51</x:f>
        <x:v>2</x:v>
      </x:c>
      <x:c r="AN2844" s="83" t="n">
        <x:f>'Inputs'!$D$51</x:f>
        <x:v>3</x:v>
      </x:c>
      <x:c r="AO2844" s="81" t="n">
        <x:f>'Inputs'!$E$51</x:f>
        <x:v>0.1</x:v>
      </x:c>
    </x:row>
    <x:row r="2845">
      <x:c r="A2845" s="59" t="str">
        <x:v>High demand</x:v>
      </x:c>
      <x:c r="B2845" s="59" t="n">
        <x:v>287</x:v>
      </x:c>
      <x:c r="C2845" s="78" t="n">
        <x:f>(('Inputs'!$B$29*(3*287*'Inputs'!$B$12-287^2)/(2*'Inputs'!$B$12^2))-('Inputs'!$B$29*(3*286*'Inputs'!$B$12-286^2)/(2*'Inputs'!$B$12^2)))*'Inputs'!$B$51</x:f>
        <x:v>618842.8879714906</x:v>
      </x:c>
      <x:c r="D2845" s="78" t="n">
        <x:f>IF('Inputs'!$C$51&gt;0,('Inputs'!$B$30*(3*287*'Inputs'!$B$12-287^2)/(2*'Inputs'!$B$12^2))-('Inputs'!$B$30*(3*286*'Inputs'!$B$12-286^2)/(2*'Inputs'!$B$12^2)),0)</x:f>
        <x:v>265218.380559206</x:v>
      </x:c>
      <x:c r="E2845" s="78" t="n">
        <x:f>C2845+D2845</x:f>
        <x:v>884061.2685306966</x:v>
      </x:c>
      <x:c r="F2845" s="78" t="n">
        <x:f>'Inputs'!$B$13*E2845+(1-'Inputs'!$B$13)/'Inputs'!$B$14*SUM(E2790:E2845)</x:f>
        <x:v>894278.9453931353</x:v>
      </x:c>
      <x:c r="G2845" s="78" t="n">
        <x:f>F2845*'Inputs'!$F$51</x:f>
        <x:v>223569.73634828383</x:v>
      </x:c>
      <x:c r="H2845" s="78" t="n">
        <x:f>U2844</x:f>
        <x:v>459002.2518811644</x:v>
      </x:c>
      <x:c r="I2845" s="78" t="n">
        <x:f>V2844</x:f>
        <x:v>604762.5614987825</x:v>
      </x:c>
      <x:c r="J2845" s="79" t="n">
        <x:f>IF(H2845&gt;0,I2845/H2845,0)</x:f>
        <x:v>1.317559029438826</x:v>
      </x:c>
      <x:c r="K2845" s="80" t="n">
        <x:f>(H2845*J2845+I2845)*'Inputs'!$D$51*(1+'Inputs'!$G$51)^(B2845/30)</x:f>
        <x:v>5786915.079526852</x:v>
      </x:c>
      <x:c r="L2845" s="80" t="n">
        <x:f>MAX(0,K2845*'Inputs'!$E$51)</x:f>
        <x:v>578691.5079526852</x:v>
      </x:c>
      <x:c r="M2845" s="80" t="n">
        <x:f>MAX(0,-K2845*'Inputs'!$E$51)</x:f>
        <x:v>0</x:v>
      </x:c>
      <x:c r="N2845" s="78" t="n">
        <x:f>H2845*(L2845*(1-'Inputs'!$B$15))/(I2845+L2845*(1-'Inputs'!$B$15))</x:f>
        <x:v>223292.7166777292</x:v>
      </x:c>
      <x:c r="O2845" s="78" t="n">
        <x:f>H2845-N2845</x:f>
        <x:v>235709.5352034352</x:v>
      </x:c>
      <x:c r="P2845" s="78" t="n">
        <x:f>I2845+L2845*(1-'Inputs'!$B$17)</x:f>
        <x:v>1181125.3309888814</x:v>
      </x:c>
      <x:c r="Q2845" s="78" t="n">
        <x:f>IF(J2845&gt;0,M2845/J2845,0)</x:f>
        <x:v>0</x:v>
      </x:c>
      <x:c r="R2845" s="78" t="n">
        <x:f>IF(B2845='Inputs'!$H$51,'Inputs'!$B$27*'Inputs'!$I$51,0)</x:f>
        <x:v>0</x:v>
      </x:c>
      <x:c r="S2845" s="78" t="n">
        <x:f>Q2845+G2845+R2845</x:f>
        <x:v>223569.73634828383</x:v>
      </x:c>
      <x:c r="T2845" s="78" t="n">
        <x:f>P2845*(S2845*(1-'Inputs'!$B$15))/(O2845+S2845*(1-'Inputs'!$B$15))</x:f>
        <x:v>571987.562716198</x:v>
      </x:c>
      <x:c r="U2845" s="78" t="n">
        <x:f>O2845+S2845*(1-'Inputs'!$B$17)</x:f>
        <x:v>458379.59454428125</x:v>
      </x:c>
      <x:c r="V2845" s="78" t="n">
        <x:f>P2845-T2845</x:f>
        <x:v>609137.7682726834</x:v>
      </x:c>
      <x:c r="W2845" s="79" t="n">
        <x:f>IF(U2845&gt;0,V2845/U2845,0)</x:f>
        <x:v>1.3288937280864022</x:v>
      </x:c>
      <x:c r="X2845" s="80" t="n">
        <x:f>W2845*('Inputs'!$B$6-AC2845)</x:f>
        <x:v>1325534018.2555046</x:v>
      </x:c>
      <x:c r="Y2845" s="80" t="n">
        <x:f>2*V2845</x:f>
        <x:v>1218275.5365453667</x:v>
      </x:c>
      <x:c r="Z2845" s="80" t="n">
        <x:f>K2845*'Inputs'!$B$16+(G2845+R2845)*J2845*'Inputs'!$B$16</x:f>
        <x:v>36488.88842617074</x:v>
      </x:c>
      <x:c r="AA2845" s="80" t="n">
        <x:f>K2845*(1+'Inputs'!$E$51)/2*'Inputs'!$B$17</x:f>
        <x:v>12808.061544224422</x:v>
      </x:c>
      <x:c r="AB2845" s="78" t="n">
        <x:f>(IF(J2845&gt;0,K2845*(1-'Inputs'!$E$51)/2/J2845,0)+G2845+R2845)*'Inputs'!$B$17</x:f>
        <x:v>8853.266066822456</x:v>
      </x:c>
      <x:c r="AC2845" s="78" t="n">
        <x:f>AC2844+AB2845</x:f>
        <x:v>2528200.5324349953</x:v>
      </x:c>
      <x:c r="AD2845" s="80" t="n">
        <x:f>Z2845/(1+'Inputs'!$C$51)</x:f>
        <x:v>12162.962808723581</x:v>
      </x:c>
      <x:c r="AE2845" s="80" t="n">
        <x:f>Z2845-AD2845</x:f>
        <x:v>24325.92561744716</x:v>
      </x:c>
      <x:c r="AF2845" s="80" t="n">
        <x:f>D2845*W2845</x:f>
        <x:v>352447.04249836144</x:v>
      </x:c>
      <x:c r="AG2845" s="80" t="n">
        <x:f>C2845*W2845</x:f>
        <x:v>822376.4324961898</x:v>
      </x:c>
      <x:c r="AH2845" s="80" t="n">
        <x:f>2*'Inputs'!$B$8*'Inputs'!$C$51</x:f>
        <x:v>10000</x:v>
      </x:c>
      <x:c r="AI2845" s="81" t="n">
        <x:f>IF(AH2845&gt;0,(AE2845+AF2845)/AH2845*365,0)</x:f>
        <x:v>13752.213336227014</x:v>
      </x:c>
      <x:c r="AJ2845" s="81" t="n">
        <x:f>IF('Inputs'!$B$51&gt;0,AG2845/('Inputs'!$B$19*'Inputs'!$B$51)*365,0)</x:f>
        <x:v>30016.739786110928</x:v>
      </x:c>
      <x:c r="AK2845" s="81" t="n">
        <x:f>W2845/MAX($W$2559:W2845)-1</x:f>
        <x:v>0</x:v>
      </x:c>
      <x:c r="AL2845" s="83" t="n">
        <x:f>'Inputs'!$B$51</x:f>
        <x:v>1</x:v>
      </x:c>
      <x:c r="AM2845" s="83" t="n">
        <x:f>'Inputs'!$C$51</x:f>
        <x:v>2</x:v>
      </x:c>
      <x:c r="AN2845" s="83" t="n">
        <x:f>'Inputs'!$D$51</x:f>
        <x:v>3</x:v>
      </x:c>
      <x:c r="AO2845" s="81" t="n">
        <x:f>'Inputs'!$E$51</x:f>
        <x:v>0.1</x:v>
      </x:c>
    </x:row>
    <x:row r="2846">
      <x:c r="A2846" s="59" t="str">
        <x:v>High demand</x:v>
      </x:c>
      <x:c r="B2846" s="59" t="n">
        <x:v>288</x:v>
      </x:c>
      <x:c r="C2846" s="78" t="n">
        <x:f>(('Inputs'!$B$29*(3*288*'Inputs'!$B$12-288^2)/(2*'Inputs'!$B$12^2))-('Inputs'!$B$29*(3*287*'Inputs'!$B$12-287^2)/(2*'Inputs'!$B$12^2)))*'Inputs'!$B$51</x:f>
        <x:v>618517.7800712883</x:v>
      </x:c>
      <x:c r="D2846" s="78" t="n">
        <x:f>IF('Inputs'!$C$51&gt;0,('Inputs'!$B$30*(3*288*'Inputs'!$B$12-288^2)/(2*'Inputs'!$B$12^2))-('Inputs'!$B$30*(3*287*'Inputs'!$B$12-287^2)/(2*'Inputs'!$B$12^2)),0)</x:f>
        <x:v>265079.048601985</x:v>
      </x:c>
      <x:c r="E2846" s="78" t="n">
        <x:f>C2846+D2846</x:f>
        <x:v>883596.8286732733</x:v>
      </x:c>
      <x:c r="F2846" s="78" t="n">
        <x:f>'Inputs'!$B$13*E2846+(1-'Inputs'!$B$13)/'Inputs'!$B$14*SUM(E2791:E2846)</x:f>
        <x:v>893814.505535743</x:v>
      </x:c>
      <x:c r="G2846" s="78" t="n">
        <x:f>F2846*'Inputs'!$F$51</x:f>
        <x:v>223453.62638393574</x:v>
      </x:c>
      <x:c r="H2846" s="78" t="n">
        <x:f>U2845</x:f>
        <x:v>458379.59454428125</x:v>
      </x:c>
      <x:c r="I2846" s="78" t="n">
        <x:f>V2845</x:f>
        <x:v>609137.7682726834</x:v>
      </x:c>
      <x:c r="J2846" s="79" t="n">
        <x:f>IF(H2846&gt;0,I2846/H2846,0)</x:f>
        <x:v>1.3288937280864022</x:v>
      </x:c>
      <x:c r="K2846" s="80" t="n">
        <x:f>(H2846*J2846+I2846)*'Inputs'!$D$51*(1+'Inputs'!$G$51)^(B2846/30)</x:f>
        <x:v>5838268.299902837</x:v>
      </x:c>
      <x:c r="L2846" s="80" t="n">
        <x:f>MAX(0,K2846*'Inputs'!$E$51)</x:f>
        <x:v>583826.8299902837</x:v>
      </x:c>
      <x:c r="M2846" s="80" t="n">
        <x:f>MAX(0,-K2846*'Inputs'!$E$51)</x:f>
        <x:v>0</x:v>
      </x:c>
      <x:c r="N2846" s="78" t="n">
        <x:f>H2846*(L2846*(1-'Inputs'!$B$15))/(I2846+L2846*(1-'Inputs'!$B$15))</x:f>
        <x:v>223176.04779864688</x:v>
      </x:c>
      <x:c r="O2846" s="78" t="n">
        <x:f>H2846-N2846</x:f>
        <x:v>235203.54674563438</x:v>
      </x:c>
      <x:c r="P2846" s="78" t="n">
        <x:f>I2846+L2846*(1-'Inputs'!$B$17)</x:f>
        <x:v>1190615.1945205515</x:v>
      </x:c>
      <x:c r="Q2846" s="78" t="n">
        <x:f>IF(J2846&gt;0,M2846/J2846,0)</x:f>
        <x:v>0</x:v>
      </x:c>
      <x:c r="R2846" s="78" t="n">
        <x:f>IF(B2846='Inputs'!$H$51,'Inputs'!$B$27*'Inputs'!$I$51,0)</x:f>
        <x:v>0</x:v>
      </x:c>
      <x:c r="S2846" s="78" t="n">
        <x:f>Q2846+G2846+R2846</x:f>
        <x:v>223453.62638393574</x:v>
      </x:c>
      <x:c r="T2846" s="78" t="n">
        <x:f>P2846*(S2846*(1-'Inputs'!$B$15))/(O2846+S2846*(1-'Inputs'!$B$15))</x:f>
        <x:v>577067.8067671749</x:v>
      </x:c>
      <x:c r="U2846" s="78" t="n">
        <x:f>O2846+S2846*(1-'Inputs'!$B$17)</x:f>
        <x:v>457757.9633654497</x:v>
      </x:c>
      <x:c r="V2846" s="78" t="n">
        <x:f>P2846-T2846</x:f>
        <x:v>613547.3877533766</x:v>
      </x:c>
      <x:c r="W2846" s="79" t="n">
        <x:f>IF(U2846&gt;0,V2846/U2846,0)</x:f>
        <x:v>1.3403314346353663</x:v>
      </x:c>
      <x:c r="X2846" s="80" t="n">
        <x:f>W2846*('Inputs'!$B$6-AC2846)</x:f>
        <x:v>1336930939.4374473</x:v>
      </x:c>
      <x:c r="Y2846" s="80" t="n">
        <x:f>2*V2846</x:f>
        <x:v>1227094.7755067532</x:v>
      </x:c>
      <x:c r="Z2846" s="80" t="n">
        <x:f>K2846*'Inputs'!$B$16+(G2846+R2846)*J2846*'Inputs'!$B$16</x:f>
        <x:v>36811.28653513567</x:v>
      </x:c>
      <x:c r="AA2846" s="80" t="n">
        <x:f>K2846*(1+'Inputs'!$E$51)/2*'Inputs'!$B$17</x:f>
        <x:v>12921.72058328596</x:v>
      </x:c>
      <x:c r="AB2846" s="78" t="n">
        <x:f>(IF(J2846&gt;0,K2846*(1-'Inputs'!$E$51)/2/J2846,0)+G2846+R2846)*'Inputs'!$B$17</x:f>
        <x:v>8854.937613099326</x:v>
      </x:c>
      <x:c r="AC2846" s="78" t="n">
        <x:f>AC2845+AB2846</x:f>
        <x:v>2537055.4700480946</x:v>
      </x:c>
      <x:c r="AD2846" s="80" t="n">
        <x:f>Z2846/(1+'Inputs'!$C$51)</x:f>
        <x:v>12270.428845045222</x:v>
      </x:c>
      <x:c r="AE2846" s="80" t="n">
        <x:f>Z2846-AD2846</x:f>
        <x:v>24540.857690090445</x:v>
      </x:c>
      <x:c r="AF2846" s="80" t="n">
        <x:f>D2846*W2846</x:f>
        <x:v>355293.7815044765</x:v>
      </x:c>
      <x:c r="AG2846" s="80" t="n">
        <x:f>C2846*W2846</x:f>
        <x:v>829018.8235104319</x:v>
      </x:c>
      <x:c r="AH2846" s="80" t="n">
        <x:f>2*'Inputs'!$B$8*'Inputs'!$C$51</x:f>
        <x:v>10000</x:v>
      </x:c>
      <x:c r="AI2846" s="81" t="n">
        <x:f>IF(AH2846&gt;0,(AE2846+AF2846)/AH2846*365,0)</x:f>
        <x:v>13863.964330601693</x:v>
      </x:c>
      <x:c r="AJ2846" s="81" t="n">
        <x:f>IF('Inputs'!$B$51&gt;0,AG2846/('Inputs'!$B$19*'Inputs'!$B$51)*365,0)</x:f>
        <x:v>30259.187058130767</x:v>
      </x:c>
      <x:c r="AK2846" s="81" t="n">
        <x:f>W2846/MAX($W$2559:W2846)-1</x:f>
        <x:v>0</x:v>
      </x:c>
      <x:c r="AL2846" s="83" t="n">
        <x:f>'Inputs'!$B$51</x:f>
        <x:v>1</x:v>
      </x:c>
      <x:c r="AM2846" s="83" t="n">
        <x:f>'Inputs'!$C$51</x:f>
        <x:v>2</x:v>
      </x:c>
      <x:c r="AN2846" s="83" t="n">
        <x:f>'Inputs'!$D$51</x:f>
        <x:v>3</x:v>
      </x:c>
      <x:c r="AO2846" s="81" t="n">
        <x:f>'Inputs'!$E$51</x:f>
        <x:v>0.1</x:v>
      </x:c>
    </x:row>
    <x:row r="2847">
      <x:c r="A2847" s="59" t="str">
        <x:v>High demand</x:v>
      </x:c>
      <x:c r="B2847" s="59" t="n">
        <x:v>289</x:v>
      </x:c>
      <x:c r="C2847" s="78" t="n">
        <x:f>(('Inputs'!$B$29*(3*289*'Inputs'!$B$12-289^2)/(2*'Inputs'!$B$12^2))-('Inputs'!$B$29*(3*288*'Inputs'!$B$12-288^2)/(2*'Inputs'!$B$12^2)))*'Inputs'!$B$51</x:f>
        <x:v>618192.6721711457</x:v>
      </x:c>
      <x:c r="D2847" s="78" t="n">
        <x:f>IF('Inputs'!$C$51&gt;0,('Inputs'!$B$30*(3*289*'Inputs'!$B$12-289^2)/(2*'Inputs'!$B$12^2))-('Inputs'!$B$30*(3*288*'Inputs'!$B$12-288^2)/(2*'Inputs'!$B$12^2)),0)</x:f>
        <x:v>264939.71664477885</x:v>
      </x:c>
      <x:c r="E2847" s="78" t="n">
        <x:f>C2847+D2847</x:f>
        <x:v>883132.3888159245</x:v>
      </x:c>
      <x:c r="F2847" s="78" t="n">
        <x:f>'Inputs'!$B$13*E2847+(1-'Inputs'!$B$13)/'Inputs'!$B$14*SUM(E2792:E2847)</x:f>
        <x:v>893350.065678366</x:v>
      </x:c>
      <x:c r="G2847" s="78" t="n">
        <x:f>F2847*'Inputs'!$F$51</x:f>
        <x:v>223337.5164195915</x:v>
      </x:c>
      <x:c r="H2847" s="78" t="n">
        <x:f>U2846</x:f>
        <x:v>457757.9633654497</x:v>
      </x:c>
      <x:c r="I2847" s="78" t="n">
        <x:f>V2846</x:f>
        <x:v>613547.3877533766</x:v>
      </x:c>
      <x:c r="J2847" s="79" t="n">
        <x:f>IF(H2847&gt;0,I2847/H2847,0)</x:f>
        <x:v>1.3403314346353663</x:v>
      </x:c>
      <x:c r="K2847" s="80" t="n">
        <x:f>(H2847*J2847+I2847)*'Inputs'!$D$51*(1+'Inputs'!$G$51)^(B2847/30)</x:f>
        <x:v>5890103.7251939075</x:v>
      </x:c>
      <x:c r="L2847" s="80" t="n">
        <x:f>MAX(0,K2847*'Inputs'!$E$51)</x:f>
        <x:v>589010.3725193908</x:v>
      </x:c>
      <x:c r="M2847" s="80" t="n">
        <x:f>MAX(0,-K2847*'Inputs'!$E$51)</x:f>
        <x:v>0</x:v>
      </x:c>
      <x:c r="N2847" s="78" t="n">
        <x:f>H2847*(L2847*(1-'Inputs'!$B$15))/(I2847+L2847*(1-'Inputs'!$B$15))</x:f>
        <x:v>223059.3809232225</x:v>
      </x:c>
      <x:c r="O2847" s="78" t="n">
        <x:f>H2847-N2847</x:f>
        <x:v>234698.5824422272</x:v>
      </x:c>
      <x:c r="P2847" s="78" t="n">
        <x:f>I2847+L2847*(1-'Inputs'!$B$17)</x:f>
        <x:v>1200187.4972042788</x:v>
      </x:c>
      <x:c r="Q2847" s="78" t="n">
        <x:f>IF(J2847&gt;0,M2847/J2847,0)</x:f>
        <x:v>0</x:v>
      </x:c>
      <x:c r="R2847" s="78" t="n">
        <x:f>IF(B2847='Inputs'!$H$51,'Inputs'!$B$27*'Inputs'!$I$51,0)</x:f>
        <x:v>0</x:v>
      </x:c>
      <x:c r="S2847" s="78" t="n">
        <x:f>Q2847+G2847+R2847</x:f>
        <x:v>223337.5164195915</x:v>
      </x:c>
      <x:c r="T2847" s="78" t="n">
        <x:f>P2847*(S2847*(1-'Inputs'!$B$15))/(O2847+S2847*(1-'Inputs'!$B$15))</x:f>
        <x:v>582195.7880419716</x:v>
      </x:c>
      <x:c r="U2847" s="78" t="n">
        <x:f>O2847+S2847*(1-'Inputs'!$B$17)</x:f>
        <x:v>457137.35634101555</x:v>
      </x:c>
      <x:c r="V2847" s="78" t="n">
        <x:f>P2847-T2847</x:f>
        <x:v>617991.7091623072</x:v>
      </x:c>
      <x:c r="W2847" s="79" t="n">
        <x:f>IF(U2847&gt;0,V2847/U2847,0)</x:f>
        <x:v>1.351873130887377</x:v>
      </x:c>
      <x:c r="X2847" s="80" t="n">
        <x:f>W2847*('Inputs'!$B$6-AC2847)</x:f>
        <x:v>1348431380.7488518</x:v>
      </x:c>
      <x:c r="Y2847" s="80" t="n">
        <x:f>2*V2847</x:f>
        <x:v>1235983.4183246144</x:v>
      </x:c>
      <x:c r="Z2847" s="80" t="n">
        <x:f>K2847*'Inputs'!$B$16+(G2847+R2847)*J2847*'Inputs'!$B$16</x:f>
        <x:v>37136.70011390687</x:v>
      </x:c>
      <x:c r="AA2847" s="80" t="n">
        <x:f>K2847*(1+'Inputs'!$E$51)/2*'Inputs'!$B$17</x:f>
        <x:v>13036.44687668672</x:v>
      </x:c>
      <x:c r="AB2847" s="78" t="n">
        <x:f>(IF(J2847&gt;0,K2847*(1-'Inputs'!$E$51)/2/J2847,0)+G2847+R2847)*'Inputs'!$B$17</x:f>
        <x:v>8856.612889709313</x:v>
      </x:c>
      <x:c r="AC2847" s="78" t="n">
        <x:f>AC2846+AB2847</x:f>
        <x:v>2545912.082937804</x:v>
      </x:c>
      <x:c r="AD2847" s="80" t="n">
        <x:f>Z2847/(1+'Inputs'!$C$51)</x:f>
        <x:v>12378.900037968955</x:v>
      </x:c>
      <x:c r="AE2847" s="80" t="n">
        <x:f>Z2847-AD2847</x:f>
        <x:v>24757.800075937914</x:v>
      </x:c>
      <x:c r="AF2847" s="80" t="n">
        <x:f>D2847*W2847</x:f>
        <x:v>358164.8842369917</x:v>
      </x:c>
      <x:c r="AG2847" s="80" t="n">
        <x:f>C2847*W2847</x:f>
        <x:v>835718.0632196406</x:v>
      </x:c>
      <x:c r="AH2847" s="80" t="n">
        <x:f>2*'Inputs'!$B$8*'Inputs'!$C$51</x:f>
        <x:v>10000</x:v>
      </x:c>
      <x:c r="AI2847" s="81" t="n">
        <x:f>IF(AH2847&gt;0,(AE2847+AF2847)/AH2847*365,0)</x:f>
        <x:v>13976.67797742193</x:v>
      </x:c>
      <x:c r="AJ2847" s="81" t="n">
        <x:f>IF('Inputs'!$B$51&gt;0,AG2847/('Inputs'!$B$19*'Inputs'!$B$51)*365,0)</x:f>
        <x:v>30503.70930751688</x:v>
      </x:c>
      <x:c r="AK2847" s="81" t="n">
        <x:f>W2847/MAX($W$2559:W2847)-1</x:f>
        <x:v>0</x:v>
      </x:c>
      <x:c r="AL2847" s="83" t="n">
        <x:f>'Inputs'!$B$51</x:f>
        <x:v>1</x:v>
      </x:c>
      <x:c r="AM2847" s="83" t="n">
        <x:f>'Inputs'!$C$51</x:f>
        <x:v>2</x:v>
      </x:c>
      <x:c r="AN2847" s="83" t="n">
        <x:f>'Inputs'!$D$51</x:f>
        <x:v>3</x:v>
      </x:c>
      <x:c r="AO2847" s="81" t="n">
        <x:f>'Inputs'!$E$51</x:f>
        <x:v>0.1</x:v>
      </x:c>
    </x:row>
    <x:row r="2848">
      <x:c r="A2848" s="59" t="str">
        <x:v>High demand</x:v>
      </x:c>
      <x:c r="B2848" s="59" t="n">
        <x:v>290</x:v>
      </x:c>
      <x:c r="C2848" s="78" t="n">
        <x:f>(('Inputs'!$B$29*(3*290*'Inputs'!$B$12-290^2)/(2*'Inputs'!$B$12^2))-('Inputs'!$B$29*(3*289*'Inputs'!$B$12-289^2)/(2*'Inputs'!$B$12^2)))*'Inputs'!$B$51</x:f>
        <x:v>617867.5642709732</x:v>
      </x:c>
      <x:c r="D2848" s="78" t="n">
        <x:f>IF('Inputs'!$C$51&gt;0,('Inputs'!$B$30*(3*290*'Inputs'!$B$12-290^2)/(2*'Inputs'!$B$12^2))-('Inputs'!$B$30*(3*289*'Inputs'!$B$12-289^2)/(2*'Inputs'!$B$12^2)),0)</x:f>
        <x:v>264800.3846875578</x:v>
      </x:c>
      <x:c r="E2848" s="78" t="n">
        <x:f>C2848+D2848</x:f>
        <x:v>882667.948958531</x:v>
      </x:c>
      <x:c r="F2848" s="78" t="n">
        <x:f>'Inputs'!$B$13*E2848+(1-'Inputs'!$B$13)/'Inputs'!$B$14*SUM(E2793:E2848)</x:f>
        <x:v>892885.6258209802</x:v>
      </x:c>
      <x:c r="G2848" s="78" t="n">
        <x:f>F2848*'Inputs'!$F$51</x:f>
        <x:v>223221.40645524504</x:v>
      </x:c>
      <x:c r="H2848" s="78" t="n">
        <x:f>U2847</x:f>
        <x:v>457137.35634101555</x:v>
      </x:c>
      <x:c r="I2848" s="78" t="n">
        <x:f>V2847</x:f>
        <x:v>617991.7091623072</x:v>
      </x:c>
      <x:c r="J2848" s="79" t="n">
        <x:f>IF(H2848&gt;0,I2848/H2848,0)</x:f>
        <x:v>1.351873130887377</x:v>
      </x:c>
      <x:c r="K2848" s="80" t="n">
        <x:f>(H2848*J2848+I2848)*'Inputs'!$D$51*(1+'Inputs'!$G$51)^(B2848/30)</x:f>
        <x:v>5942426.107874331</x:v>
      </x:c>
      <x:c r="L2848" s="80" t="n">
        <x:f>MAX(0,K2848*'Inputs'!$E$51)</x:f>
        <x:v>594242.6107874331</x:v>
      </x:c>
      <x:c r="M2848" s="80" t="n">
        <x:f>MAX(0,-K2848*'Inputs'!$E$51)</x:f>
        <x:v>0</x:v>
      </x:c>
      <x:c r="N2848" s="78" t="n">
        <x:f>H2848*(L2848*(1-'Inputs'!$B$15))/(I2848+L2848*(1-'Inputs'!$B$15))</x:f>
        <x:v>222942.7160476298</x:v>
      </x:c>
      <x:c r="O2848" s="78" t="n">
        <x:f>H2848-N2848</x:f>
        <x:v>234194.64029338575</x:v>
      </x:c>
      <x:c r="P2848" s="78" t="n">
        <x:f>I2848+L2848*(1-'Inputs'!$B$17)</x:f>
        <x:v>1209843.0015964708</x:v>
      </x:c>
      <x:c r="Q2848" s="78" t="n">
        <x:f>IF(J2848&gt;0,M2848/J2848,0)</x:f>
        <x:v>0</x:v>
      </x:c>
      <x:c r="R2848" s="78" t="n">
        <x:f>IF(B2848='Inputs'!$H$51,'Inputs'!$B$27*'Inputs'!$I$51,0)</x:f>
        <x:v>0</x:v>
      </x:c>
      <x:c r="S2848" s="78" t="n">
        <x:f>Q2848+G2848+R2848</x:f>
        <x:v>223221.40645524504</x:v>
      </x:c>
      <x:c r="T2848" s="78" t="n">
        <x:f>P2848*(S2848*(1-'Inputs'!$B$15))/(O2848+S2848*(1-'Inputs'!$B$15))</x:f>
        <x:v>587371.9773081199</x:v>
      </x:c>
      <x:c r="U2848" s="78" t="n">
        <x:f>O2848+S2848*(1-'Inputs'!$B$17)</x:f>
        <x:v>456517.77147114486</x:v>
      </x:c>
      <x:c r="V2848" s="78" t="n">
        <x:f>P2848-T2848</x:f>
        <x:v>622471.024288351</x:v>
      </x:c>
      <x:c r="W2848" s="79" t="n">
        <x:f>IF(U2848&gt;0,V2848/U2848,0)</x:f>
        <x:v>1.3635198084017974</x:v>
      </x:c>
      <x:c r="X2848" s="80" t="n">
        <x:f>W2848*('Inputs'!$B$6-AC2848)</x:f>
        <x:v>1360036328.3897917</x:v>
      </x:c>
      <x:c r="Y2848" s="80" t="n">
        <x:f>2*V2848</x:f>
        <x:v>1244942.048576702</x:v>
      </x:c>
      <x:c r="Z2848" s="80" t="n">
        <x:f>K2848*'Inputs'!$B$16+(G2848+R2848)*J2848*'Inputs'!$B$16</x:f>
        <x:v>37465.158777000404</x:v>
      </x:c>
      <x:c r="AA2848" s="80" t="n">
        <x:f>K2848*(1+'Inputs'!$E$51)/2*'Inputs'!$B$17</x:f>
        <x:v>13152.250942981418</x:v>
      </x:c>
      <x:c r="AB2848" s="78" t="n">
        <x:f>(IF(J2848&gt;0,K2848*(1-'Inputs'!$E$51)/2/J2848,0)+G2848+R2848)*'Inputs'!$B$17</x:f>
        <x:v>8858.29189727664</x:v>
      </x:c>
      <x:c r="AC2848" s="78" t="n">
        <x:f>AC2847+AB2848</x:f>
        <x:v>2554770.3748350805</x:v>
      </x:c>
      <x:c r="AD2848" s="80" t="n">
        <x:f>Z2848/(1+'Inputs'!$C$51)</x:f>
        <x:v>12488.386259000135</x:v>
      </x:c>
      <x:c r="AE2848" s="80" t="n">
        <x:f>Z2848-AD2848</x:f>
        <x:v>24976.772518000267</x:v>
      </x:c>
      <x:c r="AF2848" s="80" t="n">
        <x:f>D2848*W2848</x:f>
        <x:v>361060.5697939011</x:v>
      </x:c>
      <x:c r="AG2848" s="80" t="n">
        <x:f>C2848*W2848</x:f>
        <x:v>842474.6628524426</x:v>
      </x:c>
      <x:c r="AH2848" s="80" t="n">
        <x:f>2*'Inputs'!$B$8*'Inputs'!$C$51</x:f>
        <x:v>10000</x:v>
      </x:c>
      <x:c r="AI2848" s="81" t="n">
        <x:f>IF(AH2848&gt;0,(AE2848+AF2848)/AH2848*365,0)</x:f>
        <x:v>14090.3629943844</x:v>
      </x:c>
      <x:c r="AJ2848" s="81" t="n">
        <x:f>IF('Inputs'!$B$51&gt;0,AG2848/('Inputs'!$B$19*'Inputs'!$B$51)*365,0)</x:f>
        <x:v>30750.325194114153</x:v>
      </x:c>
      <x:c r="AK2848" s="81" t="n">
        <x:f>W2848/MAX($W$2559:W2848)-1</x:f>
        <x:v>0</x:v>
      </x:c>
      <x:c r="AL2848" s="83" t="n">
        <x:f>'Inputs'!$B$51</x:f>
        <x:v>1</x:v>
      </x:c>
      <x:c r="AM2848" s="83" t="n">
        <x:f>'Inputs'!$C$51</x:f>
        <x:v>2</x:v>
      </x:c>
      <x:c r="AN2848" s="83" t="n">
        <x:f>'Inputs'!$D$51</x:f>
        <x:v>3</x:v>
      </x:c>
      <x:c r="AO2848" s="81" t="n">
        <x:f>'Inputs'!$E$51</x:f>
        <x:v>0.1</x:v>
      </x:c>
    </x:row>
    <x:row r="2849">
      <x:c r="A2849" s="59" t="str">
        <x:v>High demand</x:v>
      </x:c>
      <x:c r="B2849" s="59" t="n">
        <x:v>291</x:v>
      </x:c>
      <x:c r="C2849" s="78" t="n">
        <x:f>(('Inputs'!$B$29*(3*291*'Inputs'!$B$12-291^2)/(2*'Inputs'!$B$12^2))-('Inputs'!$B$29*(3*290*'Inputs'!$B$12-290^2)/(2*'Inputs'!$B$12^2)))*'Inputs'!$B$51</x:f>
        <x:v>617542.4563708007</x:v>
      </x:c>
      <x:c r="D2849" s="78" t="n">
        <x:f>IF('Inputs'!$C$51&gt;0,('Inputs'!$B$30*(3*291*'Inputs'!$B$12-291^2)/(2*'Inputs'!$B$12^2))-('Inputs'!$B$30*(3*290*'Inputs'!$B$12-290^2)/(2*'Inputs'!$B$12^2)),0)</x:f>
        <x:v>264661.0527303368</x:v>
      </x:c>
      <x:c r="E2849" s="78" t="n">
        <x:f>C2849+D2849</x:f>
        <x:v>882203.5091011375</x:v>
      </x:c>
      <x:c r="F2849" s="78" t="n">
        <x:f>'Inputs'!$B$13*E2849+(1-'Inputs'!$B$13)/'Inputs'!$B$14*SUM(E2794:E2849)</x:f>
        <x:v>892421.1859635941</x:v>
      </x:c>
      <x:c r="G2849" s="78" t="n">
        <x:f>F2849*'Inputs'!$F$51</x:f>
        <x:v>223105.29649089853</x:v>
      </x:c>
      <x:c r="H2849" s="78" t="n">
        <x:f>U2848</x:f>
        <x:v>456517.77147114486</x:v>
      </x:c>
      <x:c r="I2849" s="78" t="n">
        <x:f>V2848</x:f>
        <x:v>622471.024288351</x:v>
      </x:c>
      <x:c r="J2849" s="79" t="n">
        <x:f>IF(H2849&gt;0,I2849/H2849,0)</x:f>
        <x:v>1.3635198084017974</x:v>
      </x:c>
      <x:c r="K2849" s="80" t="n">
        <x:f>(H2849*J2849+I2849)*'Inputs'!$D$51*(1+'Inputs'!$G$51)^(B2849/30)</x:f>
        <x:v>5995240.24926807</x:v>
      </x:c>
      <x:c r="L2849" s="80" t="n">
        <x:f>MAX(0,K2849*'Inputs'!$E$51)</x:f>
        <x:v>599524.024926807</x:v>
      </x:c>
      <x:c r="M2849" s="80" t="n">
        <x:f>MAX(0,-K2849*'Inputs'!$E$51)</x:f>
        <x:v>0</x:v>
      </x:c>
      <x:c r="N2849" s="78" t="n">
        <x:f>H2849*(L2849*(1-'Inputs'!$B$15))/(I2849+L2849*(1-'Inputs'!$B$15))</x:f>
        <x:v>222826.05316804594</x:v>
      </x:c>
      <x:c r="O2849" s="78" t="n">
        <x:f>H2849-N2849</x:f>
        <x:v>233691.71830309893</x:v>
      </x:c>
      <x:c r="P2849" s="78" t="n">
        <x:f>I2849+L2849*(1-'Inputs'!$B$17)</x:f>
        <x:v>1219582.4776862776</x:v>
      </x:c>
      <x:c r="Q2849" s="78" t="n">
        <x:f>IF(J2849&gt;0,M2849/J2849,0)</x:f>
        <x:v>0</x:v>
      </x:c>
      <x:c r="R2849" s="78" t="n">
        <x:f>IF(B2849='Inputs'!$H$51,'Inputs'!$B$27*'Inputs'!$I$51,0)</x:f>
        <x:v>0</x:v>
      </x:c>
      <x:c r="S2849" s="78" t="n">
        <x:f>Q2849+G2849+R2849</x:f>
        <x:v>223105.29649089853</x:v>
      </x:c>
      <x:c r="T2849" s="78" t="n">
        <x:f>P2849*(S2849*(1-'Inputs'!$B$15))/(O2849+S2849*(1-'Inputs'!$B$15))</x:f>
        <x:v>592596.8501746072</x:v>
      </x:c>
      <x:c r="U2849" s="78" t="n">
        <x:f>O2849+S2849*(1-'Inputs'!$B$17)</x:f>
        <x:v>455899.20675982884</x:v>
      </x:c>
      <x:c r="V2849" s="78" t="n">
        <x:f>P2849-T2849</x:f>
        <x:v>626985.6275116703</x:v>
      </x:c>
      <x:c r="W2849" s="79" t="n">
        <x:f>IF(U2849&gt;0,V2849/U2849,0)</x:f>
        <x:v>1.3752724685962683</x:v>
      </x:c>
      <x:c r="X2849" s="80" t="n">
        <x:f>W2849*('Inputs'!$B$6-AC2849)</x:f>
        <x:v>1371746778.3569825</x:v>
      </x:c>
      <x:c r="Y2849" s="80" t="n">
        <x:f>2*V2849</x:f>
        <x:v>1253971.2550233407</x:v>
      </x:c>
      <x:c r="Z2849" s="80" t="n">
        <x:f>K2849*'Inputs'!$B$16+(G2849+R2849)*J2849*'Inputs'!$B$16</x:f>
        <x:v>37796.6924423566</x:v>
      </x:c>
      <x:c r="AA2849" s="80" t="n">
        <x:f>K2849*(1+'Inputs'!$E$51)/2*'Inputs'!$B$17</x:f>
        <x:v>13269.143408842812</x:v>
      </x:c>
      <x:c r="AB2849" s="78" t="n">
        <x:f>(IF(J2849&gt;0,K2849*(1-'Inputs'!$E$51)/2/J2849,0)+G2849+R2849)*'Inputs'!$B$17</x:f>
        <x:v>8859.974636418012</x:v>
      </x:c>
      <x:c r="AC2849" s="78" t="n">
        <x:f>AC2848+AB2849</x:f>
        <x:v>2563630.3494714983</x:v>
      </x:c>
      <x:c r="AD2849" s="80" t="n">
        <x:f>Z2849/(1+'Inputs'!$C$51)</x:f>
        <x:v>12598.897480785534</x:v>
      </x:c>
      <x:c r="AE2849" s="80" t="n">
        <x:f>Z2849-AD2849</x:f>
        <x:v>25197.794961571068</x:v>
      </x:c>
      <x:c r="AF2849" s="80" t="n">
        <x:f>D2849*W2849</x:f>
        <x:v>363981.0593297374</x:v>
      </x:c>
      <x:c r="AG2849" s="80" t="n">
        <x:f>C2849*W2849</x:f>
        <x:v>849289.1384360745</x:v>
      </x:c>
      <x:c r="AH2849" s="80" t="n">
        <x:f>2*'Inputs'!$B$8*'Inputs'!$C$51</x:f>
        <x:v>10000</x:v>
      </x:c>
      <x:c r="AI2849" s="81" t="n">
        <x:f>IF(AH2849&gt;0,(AE2849+AF2849)/AH2849*365,0)</x:f>
        <x:v>14205.028181632757</x:v>
      </x:c>
      <x:c r="AJ2849" s="81" t="n">
        <x:f>IF('Inputs'!$B$51&gt;0,AG2849/('Inputs'!$B$19*'Inputs'!$B$51)*365,0)</x:f>
        <x:v>30999.053552916717</x:v>
      </x:c>
      <x:c r="AK2849" s="81" t="n">
        <x:f>W2849/MAX($W$2559:W2849)-1</x:f>
        <x:v>0</x:v>
      </x:c>
      <x:c r="AL2849" s="83" t="n">
        <x:f>'Inputs'!$B$51</x:f>
        <x:v>1</x:v>
      </x:c>
      <x:c r="AM2849" s="83" t="n">
        <x:f>'Inputs'!$C$51</x:f>
        <x:v>2</x:v>
      </x:c>
      <x:c r="AN2849" s="83" t="n">
        <x:f>'Inputs'!$D$51</x:f>
        <x:v>3</x:v>
      </x:c>
      <x:c r="AO2849" s="81" t="n">
        <x:f>'Inputs'!$E$51</x:f>
        <x:v>0.1</x:v>
      </x:c>
    </x:row>
    <x:row r="2850">
      <x:c r="A2850" s="59" t="str">
        <x:v>High demand</x:v>
      </x:c>
      <x:c r="B2850" s="59" t="n">
        <x:v>292</x:v>
      </x:c>
      <x:c r="C2850" s="78" t="n">
        <x:f>(('Inputs'!$B$29*(3*292*'Inputs'!$B$12-292^2)/(2*'Inputs'!$B$12^2))-('Inputs'!$B$29*(3*291*'Inputs'!$B$12-291^2)/(2*'Inputs'!$B$12^2)))*'Inputs'!$B$51</x:f>
        <x:v>617217.3484706283</x:v>
      </x:c>
      <x:c r="D2850" s="78" t="n">
        <x:f>IF('Inputs'!$C$51&gt;0,('Inputs'!$B$30*(3*292*'Inputs'!$B$12-292^2)/(2*'Inputs'!$B$12^2))-('Inputs'!$B$30*(3*291*'Inputs'!$B$12-291^2)/(2*'Inputs'!$B$12^2)),0)</x:f>
        <x:v>264521.72077313066</x:v>
      </x:c>
      <x:c r="E2850" s="78" t="n">
        <x:f>C2850+D2850</x:f>
        <x:v>881739.0692437589</x:v>
      </x:c>
      <x:c r="F2850" s="78" t="n">
        <x:f>'Inputs'!$B$13*E2850+(1-'Inputs'!$B$13)/'Inputs'!$B$14*SUM(E2795:E2850)</x:f>
        <x:v>891956.7461062113</x:v>
      </x:c>
      <x:c r="G2850" s="78" t="n">
        <x:f>F2850*'Inputs'!$F$51</x:f>
        <x:v>222989.18652655283</x:v>
      </x:c>
      <x:c r="H2850" s="78" t="n">
        <x:f>U2849</x:f>
        <x:v>455899.20675982884</x:v>
      </x:c>
      <x:c r="I2850" s="78" t="n">
        <x:f>V2849</x:f>
        <x:v>626985.6275116703</x:v>
      </x:c>
      <x:c r="J2850" s="79" t="n">
        <x:f>IF(H2850&gt;0,I2850/H2850,0)</x:f>
        <x:v>1.3752724685962683</x:v>
      </x:c>
      <x:c r="K2850" s="80" t="n">
        <x:f>(H2850*J2850+I2850)*'Inputs'!$D$51*(1+'Inputs'!$G$51)^(B2850/30)</x:f>
        <x:v>6048551.000069626</x:v>
      </x:c>
      <x:c r="L2850" s="80" t="n">
        <x:f>MAX(0,K2850*'Inputs'!$E$51)</x:f>
        <x:v>604855.1000069625</x:v>
      </x:c>
      <x:c r="M2850" s="80" t="n">
        <x:f>MAX(0,-K2850*'Inputs'!$E$51)</x:f>
        <x:v>0</x:v>
      </x:c>
      <x:c r="N2850" s="78" t="n">
        <x:f>H2850*(L2850*(1-'Inputs'!$B$15))/(I2850+L2850*(1-'Inputs'!$B$15))</x:f>
        <x:v>222709.39228065702</x:v>
      </x:c>
      <x:c r="O2850" s="78" t="n">
        <x:f>H2850-N2850</x:f>
        <x:v>233189.81447917182</x:v>
      </x:c>
      <x:c r="P2850" s="78" t="n">
        <x:f>I2850+L2850*(1-'Inputs'!$B$17)</x:f>
        <x:v>1229406.702971321</x:v>
      </x:c>
      <x:c r="Q2850" s="78" t="n">
        <x:f>IF(J2850&gt;0,M2850/J2850,0)</x:f>
        <x:v>0</x:v>
      </x:c>
      <x:c r="R2850" s="78" t="n">
        <x:f>IF(B2850='Inputs'!$H$51,'Inputs'!$B$27*'Inputs'!$I$51,0)</x:f>
        <x:v>0</x:v>
      </x:c>
      <x:c r="S2850" s="78" t="n">
        <x:f>Q2850+G2850+R2850</x:f>
        <x:v>222989.18652655283</x:v>
      </x:c>
      <x:c r="T2850" s="78" t="n">
        <x:f>P2850*(S2850*(1-'Inputs'!$B$15))/(O2850+S2850*(1-'Inputs'!$B$15))</x:f>
        <x:v>597870.8871434996</x:v>
      </x:c>
      <x:c r="U2850" s="78" t="n">
        <x:f>O2850+S2850*(1-'Inputs'!$B$17)</x:f>
        <x:v>455281.6602148733</x:v>
      </x:c>
      <x:c r="V2850" s="78" t="n">
        <x:f>P2850-T2850</x:f>
        <x:v>631535.8158278215</x:v>
      </x:c>
      <x:c r="W2850" s="79" t="n">
        <x:f>IF(U2850&gt;0,V2850/U2850,0)</x:f>
        <x:v>1.3871321228484446</x:v>
      </x:c>
      <x:c r="X2850" s="80" t="n">
        <x:f>W2850*('Inputs'!$B$6-AC2850)</x:f>
        <x:v>1383563736.544799</x:v>
      </x:c>
      <x:c r="Y2850" s="80" t="n">
        <x:f>2*V2850</x:f>
        <x:v>1263071.631655643</x:v>
      </x:c>
      <x:c r="Z2850" s="80" t="n">
        <x:f>K2850*'Inputs'!$B$16+(G2850+R2850)*J2850*'Inputs'!$B$16</x:f>
        <x:v>38131.33133456563</x:v>
      </x:c>
      <x:c r="AA2850" s="80" t="n">
        <x:f>K2850*(1+'Inputs'!$E$51)/2*'Inputs'!$B$17</x:f>
        <x:v>13387.135010214466</x:v>
      </x:c>
      <x:c r="AB2850" s="78" t="n">
        <x:f>(IF(J2850&gt;0,K2850*(1-'Inputs'!$E$51)/2/J2850,0)+G2850+R2850)*'Inputs'!$B$17</x:f>
        <x:v>8861.661107742788</x:v>
      </x:c>
      <x:c r="AC2850" s="78" t="n">
        <x:f>AC2849+AB2850</x:f>
        <x:v>2572492.010579241</x:v>
      </x:c>
      <x:c r="AD2850" s="80" t="n">
        <x:f>Z2850/(1+'Inputs'!$C$51)</x:f>
        <x:v>12710.443778188543</x:v>
      </x:c>
      <x:c r="AE2850" s="80" t="n">
        <x:f>Z2850-AD2850</x:f>
        <x:v>25420.887556377085</x:v>
      </x:c>
      <x:c r="AF2850" s="80" t="n">
        <x:f>D2850*W2850</x:f>
        <x:v>366926.5760755562</x:v>
      </x:c>
      <x:c r="AG2850" s="80" t="n">
        <x:f>C2850*W2850</x:f>
        <x:v>856162.0108429508</x:v>
      </x:c>
      <x:c r="AH2850" s="80" t="n">
        <x:f>2*'Inputs'!$B$8*'Inputs'!$C$51</x:f>
        <x:v>10000</x:v>
      </x:c>
      <x:c r="AI2850" s="81" t="n">
        <x:f>IF(AH2850&gt;0,(AE2850+AF2850)/AH2850*365,0)</x:f>
        <x:v>14320.682422565566</x:v>
      </x:c>
      <x:c r="AJ2850" s="81" t="n">
        <x:f>IF('Inputs'!$B$51&gt;0,AG2850/('Inputs'!$B$19*'Inputs'!$B$51)*365,0)</x:f>
        <x:v>31249.913395767708</x:v>
      </x:c>
      <x:c r="AK2850" s="81" t="n">
        <x:f>W2850/MAX($W$2559:W2850)-1</x:f>
        <x:v>0</x:v>
      </x:c>
      <x:c r="AL2850" s="83" t="n">
        <x:f>'Inputs'!$B$51</x:f>
        <x:v>1</x:v>
      </x:c>
      <x:c r="AM2850" s="83" t="n">
        <x:f>'Inputs'!$C$51</x:f>
        <x:v>2</x:v>
      </x:c>
      <x:c r="AN2850" s="83" t="n">
        <x:f>'Inputs'!$D$51</x:f>
        <x:v>3</x:v>
      </x:c>
      <x:c r="AO2850" s="81" t="n">
        <x:f>'Inputs'!$E$51</x:f>
        <x:v>0.1</x:v>
      </x:c>
    </x:row>
    <x:row r="2851">
      <x:c r="A2851" s="59" t="str">
        <x:v>High demand</x:v>
      </x:c>
      <x:c r="B2851" s="59" t="n">
        <x:v>293</x:v>
      </x:c>
      <x:c r="C2851" s="78" t="n">
        <x:f>(('Inputs'!$B$29*(3*293*'Inputs'!$B$12-293^2)/(2*'Inputs'!$B$12^2))-('Inputs'!$B$29*(3*292*'Inputs'!$B$12-292^2)/(2*'Inputs'!$B$12^2)))*'Inputs'!$B$51</x:f>
        <x:v>616892.2405704558</x:v>
      </x:c>
      <x:c r="D2851" s="78" t="n">
        <x:f>IF('Inputs'!$C$51&gt;0,('Inputs'!$B$30*(3*293*'Inputs'!$B$12-293^2)/(2*'Inputs'!$B$12^2))-('Inputs'!$B$30*(3*292*'Inputs'!$B$12-292^2)/(2*'Inputs'!$B$12^2)),0)</x:f>
        <x:v>264382.3888159096</x:v>
      </x:c>
      <x:c r="E2851" s="78" t="n">
        <x:f>C2851+D2851</x:f>
        <x:v>881274.6293863654</x:v>
      </x:c>
      <x:c r="F2851" s="78" t="n">
        <x:f>'Inputs'!$B$13*E2851+(1-'Inputs'!$B$13)/'Inputs'!$B$14*SUM(E2796:E2851)</x:f>
        <x:v>891492.3062488248</x:v>
      </x:c>
      <x:c r="G2851" s="78" t="n">
        <x:f>F2851*'Inputs'!$F$51</x:f>
        <x:v>222873.0765622062</x:v>
      </x:c>
      <x:c r="H2851" s="78" t="n">
        <x:f>U2850</x:f>
        <x:v>455281.6602148733</x:v>
      </x:c>
      <x:c r="I2851" s="78" t="n">
        <x:f>V2850</x:f>
        <x:v>631535.8158278215</x:v>
      </x:c>
      <x:c r="J2851" s="79" t="n">
        <x:f>IF(H2851&gt;0,I2851/H2851,0)</x:f>
        <x:v>1.3871321228484446</x:v>
      </x:c>
      <x:c r="K2851" s="80" t="n">
        <x:f>(H2851*J2851+I2851)*'Inputs'!$D$51*(1+'Inputs'!$G$51)^(B2851/30)</x:f>
        <x:v>6102363.260870814</x:v>
      </x:c>
      <x:c r="L2851" s="80" t="n">
        <x:f>MAX(0,K2851*'Inputs'!$E$51)</x:f>
        <x:v>610236.3260870815</x:v>
      </x:c>
      <x:c r="M2851" s="80" t="n">
        <x:f>MAX(0,-K2851*'Inputs'!$E$51)</x:f>
        <x:v>0</x:v>
      </x:c>
      <x:c r="N2851" s="78" t="n">
        <x:f>H2851*(L2851*(1-'Inputs'!$B$15))/(I2851+L2851*(1-'Inputs'!$B$15))</x:f>
        <x:v>222592.73338165673</x:v>
      </x:c>
      <x:c r="O2851" s="78" t="n">
        <x:f>H2851-N2851</x:f>
        <x:v>232688.9268332166</x:v>
      </x:c>
      <x:c r="P2851" s="78" t="n">
        <x:f>I2851+L2851*(1-'Inputs'!$B$17)</x:f>
        <x:v>1239316.4625342707</x:v>
      </x:c>
      <x:c r="Q2851" s="78" t="n">
        <x:f>IF(J2851&gt;0,M2851/J2851,0)</x:f>
        <x:v>0</x:v>
      </x:c>
      <x:c r="R2851" s="78" t="n">
        <x:f>IF(B2851='Inputs'!$H$51,'Inputs'!$B$27*'Inputs'!$I$51,0)</x:f>
        <x:v>0</x:v>
      </x:c>
      <x:c r="S2851" s="78" t="n">
        <x:f>Q2851+G2851+R2851</x:f>
        <x:v>222873.0765622062</x:v>
      </x:c>
      <x:c r="T2851" s="78" t="n">
        <x:f>P2851*(S2851*(1-'Inputs'!$B$15))/(O2851+S2851*(1-'Inputs'!$B$15))</x:f>
        <x:v>603194.5736621747</x:v>
      </x:c>
      <x:c r="U2851" s="78" t="n">
        <x:f>O2851+S2851*(1-'Inputs'!$B$17)</x:f>
        <x:v>454665.1298478888</x:v>
      </x:c>
      <x:c r="V2851" s="78" t="n">
        <x:f>P2851-T2851</x:f>
        <x:v>636121.888872096</x:v>
      </x:c>
      <x:c r="W2851" s="79" t="n">
        <x:f>IF(U2851&gt;0,V2851/U2851,0)</x:f>
        <x:v>1.3990997925988182</x:v>
      </x:c>
      <x:c r="X2851" s="80" t="n">
        <x:f>W2851*('Inputs'!$B$6-AC2851)</x:f>
        <x:v>1395488218.8473725</x:v>
      </x:c>
      <x:c r="Y2851" s="80" t="n">
        <x:f>2*V2851</x:f>
        <x:v>1272243.777744192</x:v>
      </x:c>
      <x:c r="Z2851" s="80" t="n">
        <x:f>K2851*'Inputs'!$B$16+(G2851+R2851)*J2851*'Inputs'!$B$16</x:f>
        <x:v>38469.105988129864</x:v>
      </x:c>
      <x:c r="AA2851" s="80" t="n">
        <x:f>K2851*(1+'Inputs'!$E$51)/2*'Inputs'!$B$17</x:f>
        <x:v>13506.236593476653</x:v>
      </x:c>
      <x:c r="AB2851" s="78" t="n">
        <x:f>(IF(J2851&gt;0,K2851*(1-'Inputs'!$E$51)/2/J2851,0)+G2851+R2851)*'Inputs'!$B$17</x:f>
        <x:v>8863.351311852877</x:v>
      </x:c>
      <x:c r="AC2851" s="78" t="n">
        <x:f>AC2850+AB2851</x:f>
        <x:v>2581355.3618910937</x:v>
      </x:c>
      <x:c r="AD2851" s="80" t="n">
        <x:f>Z2851/(1+'Inputs'!$C$51)</x:f>
        <x:v>12823.035329376622</x:v>
      </x:c>
      <x:c r="AE2851" s="80" t="n">
        <x:f>Z2851-AD2851</x:f>
        <x:v>25646.07065875324</x:v>
      </x:c>
      <x:c r="AF2851" s="80" t="n">
        <x:f>D2851*W2851</x:f>
        <x:v>369897.3453591193</x:v>
      </x:c>
      <x:c r="AG2851" s="80" t="n">
        <x:f>C2851*W2851</x:f>
        <x:v>863093.805837945</x:v>
      </x:c>
      <x:c r="AH2851" s="80" t="n">
        <x:f>2*'Inputs'!$B$8*'Inputs'!$C$51</x:f>
        <x:v>10000</x:v>
      </x:c>
      <x:c r="AI2851" s="81" t="n">
        <x:f>IF(AH2851&gt;0,(AE2851+AF2851)/AH2851*365,0)</x:f>
        <x:v>14437.334684652345</x:v>
      </x:c>
      <x:c r="AJ2851" s="81" t="n">
        <x:f>IF('Inputs'!$B$51&gt;0,AG2851/('Inputs'!$B$19*'Inputs'!$B$51)*365,0)</x:f>
        <x:v>31502.92391308499</x:v>
      </x:c>
      <x:c r="AK2851" s="81" t="n">
        <x:f>W2851/MAX($W$2559:W2851)-1</x:f>
        <x:v>0</x:v>
      </x:c>
      <x:c r="AL2851" s="83" t="n">
        <x:f>'Inputs'!$B$51</x:f>
        <x:v>1</x:v>
      </x:c>
      <x:c r="AM2851" s="83" t="n">
        <x:f>'Inputs'!$C$51</x:f>
        <x:v>2</x:v>
      </x:c>
      <x:c r="AN2851" s="83" t="n">
        <x:f>'Inputs'!$D$51</x:f>
        <x:v>3</x:v>
      </x:c>
      <x:c r="AO2851" s="81" t="n">
        <x:f>'Inputs'!$E$51</x:f>
        <x:v>0.1</x:v>
      </x:c>
    </x:row>
    <x:row r="2852">
      <x:c r="A2852" s="59" t="str">
        <x:v>High demand</x:v>
      </x:c>
      <x:c r="B2852" s="59" t="n">
        <x:v>294</x:v>
      </x:c>
      <x:c r="C2852" s="78" t="n">
        <x:f>(('Inputs'!$B$29*(3*294*'Inputs'!$B$12-294^2)/(2*'Inputs'!$B$12^2))-('Inputs'!$B$29*(3*293*'Inputs'!$B$12-293^2)/(2*'Inputs'!$B$12^2)))*'Inputs'!$B$51</x:f>
        <x:v>616567.1326703131</x:v>
      </x:c>
      <x:c r="D2852" s="78" t="n">
        <x:f>IF('Inputs'!$C$51&gt;0,('Inputs'!$B$30*(3*294*'Inputs'!$B$12-294^2)/(2*'Inputs'!$B$12^2))-('Inputs'!$B$30*(3*293*'Inputs'!$B$12-293^2)/(2*'Inputs'!$B$12^2)),0)</x:f>
        <x:v>264243.0568587035</x:v>
      </x:c>
      <x:c r="E2852" s="78" t="n">
        <x:f>C2852+D2852</x:f>
        <x:v>880810.1895290166</x:v>
      </x:c>
      <x:c r="F2852" s="78" t="n">
        <x:f>'Inputs'!$B$13*E2852+(1-'Inputs'!$B$13)/'Inputs'!$B$14*SUM(E2797:E2852)</x:f>
        <x:v>891027.8663914481</x:v>
      </x:c>
      <x:c r="G2852" s="78" t="n">
        <x:f>F2852*'Inputs'!$F$51</x:f>
        <x:v>222756.96659786202</x:v>
      </x:c>
      <x:c r="H2852" s="78" t="n">
        <x:f>U2851</x:f>
        <x:v>454665.1298478888</x:v>
      </x:c>
      <x:c r="I2852" s="78" t="n">
        <x:f>V2851</x:f>
        <x:v>636121.888872096</x:v>
      </x:c>
      <x:c r="J2852" s="79" t="n">
        <x:f>IF(H2852&gt;0,I2852/H2852,0)</x:f>
        <x:v>1.3990997925988182</x:v>
      </x:c>
      <x:c r="K2852" s="80" t="n">
        <x:f>(H2852*J2852+I2852)*'Inputs'!$D$51*(1+'Inputs'!$G$51)^(B2852/30)</x:f>
        <x:v>6156681.982693362</x:v>
      </x:c>
      <x:c r="L2852" s="80" t="n">
        <x:f>MAX(0,K2852*'Inputs'!$E$51)</x:f>
        <x:v>615668.1982693363</x:v>
      </x:c>
      <x:c r="M2852" s="80" t="n">
        <x:f>MAX(0,-K2852*'Inputs'!$E$51)</x:f>
        <x:v>0</x:v>
      </x:c>
      <x:c r="N2852" s="78" t="n">
        <x:f>H2852*(L2852*(1-'Inputs'!$B$15))/(I2852+L2852*(1-'Inputs'!$B$15))</x:f>
        <x:v>222476.07646724477</x:v>
      </x:c>
      <x:c r="O2852" s="78" t="n">
        <x:f>H2852-N2852</x:f>
        <x:v>232189.053380644</x:v>
      </x:c>
      <x:c r="P2852" s="78" t="n">
        <x:f>I2852+L2852*(1-'Inputs'!$B$17)</x:f>
        <x:v>1249312.5491202276</x:v>
      </x:c>
      <x:c r="Q2852" s="78" t="n">
        <x:f>IF(J2852&gt;0,M2852/J2852,0)</x:f>
        <x:v>0</x:v>
      </x:c>
      <x:c r="R2852" s="78" t="n">
        <x:f>IF(B2852='Inputs'!$H$51,'Inputs'!$B$27*'Inputs'!$I$51,0)</x:f>
        <x:v>0</x:v>
      </x:c>
      <x:c r="S2852" s="78" t="n">
        <x:f>Q2852+G2852+R2852</x:f>
        <x:v>222756.96659786202</x:v>
      </x:c>
      <x:c r="T2852" s="78" t="n">
        <x:f>P2852*(S2852*(1-'Inputs'!$B$15))/(O2852+S2852*(1-'Inputs'!$B$15))</x:f>
        <x:v>608568.4001761436</x:v>
      </x:c>
      <x:c r="U2852" s="78" t="n">
        <x:f>O2852+S2852*(1-'Inputs'!$B$17)</x:f>
        <x:v>454049.6136742893</x:v>
      </x:c>
      <x:c r="V2852" s="78" t="n">
        <x:f>P2852-T2852</x:f>
        <x:v>640744.148944084</x:v>
      </x:c>
      <x:c r="W2852" s="79" t="n">
        <x:f>IF(U2852&gt;0,V2852/U2852,0)</x:f>
        <x:v>1.4111765094545796</x:v>
      </x:c>
      <x:c r="X2852" s="80" t="n">
        <x:f>W2852*('Inputs'!$B$6-AC2852)</x:f>
        <x:v>1407521251.261713</x:v>
      </x:c>
      <x:c r="Y2852" s="80" t="n">
        <x:f>2*V2852</x:f>
        <x:v>1281488.297888168</x:v>
      </x:c>
      <x:c r="Z2852" s="80" t="n">
        <x:f>K2852*'Inputs'!$B$16+(G2852+R2852)*J2852*'Inputs'!$B$16</x:f>
        <x:v>38810.04725076223</x:v>
      </x:c>
      <x:c r="AA2852" s="80" t="n">
        <x:f>K2852*(1+'Inputs'!$E$51)/2*'Inputs'!$B$17</x:f>
        <x:v>13626.459116625148</x:v>
      </x:c>
      <x:c r="AB2852" s="78" t="n">
        <x:f>(IF(J2852&gt;0,K2852*(1-'Inputs'!$E$51)/2/J2852,0)+G2852+R2852)*'Inputs'!$B$17</x:f>
        <x:v>8865.045249342695</x:v>
      </x:c>
      <x:c r="AC2852" s="78" t="n">
        <x:f>AC2851+AB2852</x:f>
        <x:v>2590220.4071404366</x:v>
      </x:c>
      <x:c r="AD2852" s="80" t="n">
        <x:f>Z2852/(1+'Inputs'!$C$51)</x:f>
        <x:v>12936.682416920745</x:v>
      </x:c>
      <x:c r="AE2852" s="80" t="n">
        <x:f>Z2852-AD2852</x:f>
        <x:v>25873.364833841486</x:v>
      </x:c>
      <x:c r="AF2852" s="80" t="n">
        <x:f>D2852*W2852</x:f>
        <x:v>372893.5946254732</x:v>
      </x:c>
      <x:c r="AG2852" s="80" t="n">
        <x:f>C2852*W2852</x:f>
        <x:v>870085.0541261112</x:v>
      </x:c>
      <x:c r="AH2852" s="80" t="n">
        <x:f>2*'Inputs'!$B$8*'Inputs'!$C$51</x:f>
        <x:v>10000</x:v>
      </x:c>
      <x:c r="AI2852" s="81" t="n">
        <x:f>IF(AH2852&gt;0,(AE2852+AF2852)/AH2852*365,0)</x:f>
        <x:v>14554.994020264989</x:v>
      </x:c>
      <x:c r="AJ2852" s="81" t="n">
        <x:f>IF('Inputs'!$B$51&gt;0,AG2852/('Inputs'!$B$19*'Inputs'!$B$51)*365,0)</x:f>
        <x:v>31758.104475603057</x:v>
      </x:c>
      <x:c r="AK2852" s="81" t="n">
        <x:f>W2852/MAX($W$2559:W2852)-1</x:f>
        <x:v>0</x:v>
      </x:c>
      <x:c r="AL2852" s="83" t="n">
        <x:f>'Inputs'!$B$51</x:f>
        <x:v>1</x:v>
      </x:c>
      <x:c r="AM2852" s="83" t="n">
        <x:f>'Inputs'!$C$51</x:f>
        <x:v>2</x:v>
      </x:c>
      <x:c r="AN2852" s="83" t="n">
        <x:f>'Inputs'!$D$51</x:f>
        <x:v>3</x:v>
      </x:c>
      <x:c r="AO2852" s="81" t="n">
        <x:f>'Inputs'!$E$51</x:f>
        <x:v>0.1</x:v>
      </x:c>
    </x:row>
    <x:row r="2853">
      <x:c r="A2853" s="59" t="str">
        <x:v>High demand</x:v>
      </x:c>
      <x:c r="B2853" s="59" t="n">
        <x:v>295</x:v>
      </x:c>
      <x:c r="C2853" s="78" t="n">
        <x:f>(('Inputs'!$B$29*(3*295*'Inputs'!$B$12-295^2)/(2*'Inputs'!$B$12^2))-('Inputs'!$B$29*(3*294*'Inputs'!$B$12-294^2)/(2*'Inputs'!$B$12^2)))*'Inputs'!$B$51</x:f>
        <x:v>616242.0247701108</x:v>
      </x:c>
      <x:c r="D2853" s="78" t="n">
        <x:f>IF('Inputs'!$C$51&gt;0,('Inputs'!$B$30*(3*295*'Inputs'!$B$12-295^2)/(2*'Inputs'!$B$12^2))-('Inputs'!$B$30*(3*294*'Inputs'!$B$12-294^2)/(2*'Inputs'!$B$12^2)),0)</x:f>
        <x:v>264103.72490148246</x:v>
      </x:c>
      <x:c r="E2853" s="78" t="n">
        <x:f>C2853+D2853</x:f>
        <x:v>880345.7496715933</x:v>
      </x:c>
      <x:c r="F2853" s="78" t="n">
        <x:f>'Inputs'!$B$13*E2853+(1-'Inputs'!$B$13)/'Inputs'!$B$14*SUM(E2798:E2853)</x:f>
        <x:v>890563.4265340562</x:v>
      </x:c>
      <x:c r="G2853" s="78" t="n">
        <x:f>F2853*'Inputs'!$F$51</x:f>
        <x:v>222640.85663351405</x:v>
      </x:c>
      <x:c r="H2853" s="78" t="n">
        <x:f>U2852</x:f>
        <x:v>454049.6136742893</x:v>
      </x:c>
      <x:c r="I2853" s="78" t="n">
        <x:f>V2852</x:f>
        <x:v>640744.148944084</x:v>
      </x:c>
      <x:c r="J2853" s="79" t="n">
        <x:f>IF(H2853&gt;0,I2853/H2853,0)</x:f>
        <x:v>1.4111765094545796</x:v>
      </x:c>
      <x:c r="K2853" s="80" t="n">
        <x:f>(H2853*J2853+I2853)*'Inputs'!$D$51*(1+'Inputs'!$G$51)^(B2853/30)</x:f>
        <x:v>6211512.16752725</x:v>
      </x:c>
      <x:c r="L2853" s="80" t="n">
        <x:f>MAX(0,K2853*'Inputs'!$E$51)</x:f>
        <x:v>621151.2167527251</x:v>
      </x:c>
      <x:c r="M2853" s="80" t="n">
        <x:f>MAX(0,-K2853*'Inputs'!$E$51)</x:f>
        <x:v>0</x:v>
      </x:c>
      <x:c r="N2853" s="78" t="n">
        <x:f>H2853*(L2853*(1-'Inputs'!$B$15))/(I2853+L2853*(1-'Inputs'!$B$15))</x:f>
        <x:v>222359.42153363014</x:v>
      </x:c>
      <x:c r="O2853" s="78" t="n">
        <x:f>H2853-N2853</x:f>
        <x:v>231690.19214065917</x:v>
      </x:c>
      <x:c r="P2853" s="78" t="n">
        <x:f>I2853+L2853*(1-'Inputs'!$B$17)</x:f>
        <x:v>1259395.7632149067</x:v>
      </x:c>
      <x:c r="Q2853" s="78" t="n">
        <x:f>IF(J2853&gt;0,M2853/J2853,0)</x:f>
        <x:v>0</x:v>
      </x:c>
      <x:c r="R2853" s="78" t="n">
        <x:f>IF(B2853='Inputs'!$H$51,'Inputs'!$B$27*'Inputs'!$I$51,0)</x:f>
        <x:v>0</x:v>
      </x:c>
      <x:c r="S2853" s="78" t="n">
        <x:f>Q2853+G2853+R2853</x:f>
        <x:v>222640.85663351405</x:v>
      </x:c>
      <x:c r="T2853" s="78" t="n">
        <x:f>P2853*(S2853*(1-'Inputs'!$B$15))/(O2853+S2853*(1-'Inputs'!$B$15))</x:f>
        <x:v>613992.8621824057</x:v>
      </x:c>
      <x:c r="U2853" s="78" t="n">
        <x:f>O2853+S2853*(1-'Inputs'!$B$17)</x:f>
        <x:v>453435.10971327376</x:v>
      </x:c>
      <x:c r="V2853" s="78" t="n">
        <x:f>P2853-T2853</x:f>
        <x:v>645402.901032501</x:v>
      </x:c>
      <x:c r="W2853" s="79" t="n">
        <x:f>IF(U2853&gt;0,V2853/U2853,0)</x:f>
        <x:v>1.4233633152946992</x:v>
      </x:c>
      <x:c r="X2853" s="80" t="n">
        <x:f>W2853*('Inputs'!$B$6-AC2853)</x:f>
        <x:v>1419663869.992048</x:v>
      </x:c>
      <x:c r="Y2853" s="80" t="n">
        <x:f>2*V2853</x:f>
        <x:v>1290805.802065002</x:v>
      </x:c>
      <x:c r="Z2853" s="80" t="n">
        <x:f>K2853*'Inputs'!$B$16+(G2853+R2853)*J2853*'Inputs'!$B$16</x:f>
        <x:v>39154.186286719865</x:v>
      </x:c>
      <x:c r="AA2853" s="80" t="n">
        <x:f>K2853*(1+'Inputs'!$E$51)/2*'Inputs'!$B$17</x:f>
        <x:v>13747.81365046273</x:v>
      </x:c>
      <x:c r="AB2853" s="78" t="n">
        <x:f>(IF(J2853&gt;0,K2853*(1-'Inputs'!$E$51)/2/J2853,0)+G2853+R2853)*'Inputs'!$B$17</x:f>
        <x:v>8866.742920799199</x:v>
      </x:c>
      <x:c r="AC2853" s="78" t="n">
        <x:f>AC2852+AB2853</x:f>
        <x:v>2599087.1500612358</x:v>
      </x:c>
      <x:c r="AD2853" s="80" t="n">
        <x:f>Z2853/(1+'Inputs'!$C$51)</x:f>
        <x:v>13051.395428906622</x:v>
      </x:c>
      <x:c r="AE2853" s="80" t="n">
        <x:f>Z2853-AD2853</x:f>
        <x:v>26102.79085781324</x:v>
      </x:c>
      <x:c r="AF2853" s="80" t="n">
        <x:f>D2853*W2853</x:f>
        <x:v>375915.55345745326</x:v>
      </x:c>
      <x:c r="AG2853" s="80" t="n">
        <x:f>C2853*W2853</x:f>
        <x:v>877136.2914007031</x:v>
      </x:c>
      <x:c r="AH2853" s="80" t="n">
        <x:f>2*'Inputs'!$B$8*'Inputs'!$C$51</x:f>
        <x:v>10000</x:v>
      </x:c>
      <x:c r="AI2853" s="81" t="n">
        <x:f>IF(AH2853&gt;0,(AE2853+AF2853)/AH2853*365,0)</x:f>
        <x:v>14673.66956750723</x:v>
      </x:c>
      <x:c r="AJ2853" s="81" t="n">
        <x:f>IF('Inputs'!$B$51&gt;0,AG2853/('Inputs'!$B$19*'Inputs'!$B$51)*365,0)</x:f>
        <x:v>32015.474636125662</x:v>
      </x:c>
      <x:c r="AK2853" s="81" t="n">
        <x:f>W2853/MAX($W$2559:W2853)-1</x:f>
        <x:v>0</x:v>
      </x:c>
      <x:c r="AL2853" s="83" t="n">
        <x:f>'Inputs'!$B$51</x:f>
        <x:v>1</x:v>
      </x:c>
      <x:c r="AM2853" s="83" t="n">
        <x:f>'Inputs'!$C$51</x:f>
        <x:v>2</x:v>
      </x:c>
      <x:c r="AN2853" s="83" t="n">
        <x:f>'Inputs'!$D$51</x:f>
        <x:v>3</x:v>
      </x:c>
      <x:c r="AO2853" s="81" t="n">
        <x:f>'Inputs'!$E$51</x:f>
        <x:v>0.1</x:v>
      </x:c>
    </x:row>
    <x:row r="2854">
      <x:c r="A2854" s="59" t="str">
        <x:v>High demand</x:v>
      </x:c>
      <x:c r="B2854" s="59" t="n">
        <x:v>296</x:v>
      </x:c>
      <x:c r="C2854" s="78" t="n">
        <x:f>(('Inputs'!$B$29*(3*296*'Inputs'!$B$12-296^2)/(2*'Inputs'!$B$12^2))-('Inputs'!$B$29*(3*295*'Inputs'!$B$12-295^2)/(2*'Inputs'!$B$12^2)))*'Inputs'!$B$51</x:f>
        <x:v>615916.9168699682</x:v>
      </x:c>
      <x:c r="D2854" s="78" t="n">
        <x:f>IF('Inputs'!$C$51&gt;0,('Inputs'!$B$30*(3*296*'Inputs'!$B$12-296^2)/(2*'Inputs'!$B$12^2))-('Inputs'!$B$30*(3*295*'Inputs'!$B$12-295^2)/(2*'Inputs'!$B$12^2)),0)</x:f>
        <x:v>263964.39294426143</x:v>
      </x:c>
      <x:c r="E2854" s="78" t="n">
        <x:f>C2854+D2854</x:f>
        <x:v>879881.3098142296</x:v>
      </x:c>
      <x:c r="F2854" s="78" t="n">
        <x:f>'Inputs'!$B$13*E2854+(1-'Inputs'!$B$13)/'Inputs'!$B$14*SUM(E2799:E2854)</x:f>
        <x:v>890098.9866766762</x:v>
      </x:c>
      <x:c r="G2854" s="78" t="n">
        <x:f>F2854*'Inputs'!$F$51</x:f>
        <x:v>222524.74666916905</x:v>
      </x:c>
      <x:c r="H2854" s="78" t="n">
        <x:f>U2853</x:f>
        <x:v>453435.10971327376</x:v>
      </x:c>
      <x:c r="I2854" s="78" t="n">
        <x:f>V2853</x:f>
        <x:v>645402.901032501</x:v>
      </x:c>
      <x:c r="J2854" s="79" t="n">
        <x:f>IF(H2854&gt;0,I2854/H2854,0)</x:f>
        <x:v>1.4233633152946992</x:v>
      </x:c>
      <x:c r="K2854" s="80" t="n">
        <x:f>(H2854*J2854+I2854)*'Inputs'!$D$51*(1+'Inputs'!$G$51)^(B2854/30)</x:f>
        <x:v>6266858.868875221</x:v>
      </x:c>
      <x:c r="L2854" s="80" t="n">
        <x:f>MAX(0,K2854*'Inputs'!$E$51)</x:f>
        <x:v>626685.8868875222</x:v>
      </x:c>
      <x:c r="M2854" s="80" t="n">
        <x:f>MAX(0,-K2854*'Inputs'!$E$51)</x:f>
        <x:v>0</x:v>
      </x:c>
      <x:c r="N2854" s="78" t="n">
        <x:f>H2854*(L2854*(1-'Inputs'!$B$15))/(I2854+L2854*(1-'Inputs'!$B$15))</x:f>
        <x:v>222242.76857702518</x:v>
      </x:c>
      <x:c r="O2854" s="78" t="n">
        <x:f>H2854-N2854</x:f>
        <x:v>231192.34113624858</x:v>
      </x:c>
      <x:c r="P2854" s="78" t="n">
        <x:f>I2854+L2854*(1-'Inputs'!$B$17)</x:f>
        <x:v>1269566.9131236952</x:v>
      </x:c>
      <x:c r="Q2854" s="78" t="n">
        <x:f>IF(J2854&gt;0,M2854/J2854,0)</x:f>
        <x:v>0</x:v>
      </x:c>
      <x:c r="R2854" s="78" t="n">
        <x:f>IF(B2854='Inputs'!$H$51,'Inputs'!$B$27*'Inputs'!$I$51,0)</x:f>
        <x:v>0</x:v>
      </x:c>
      <x:c r="S2854" s="78" t="n">
        <x:f>Q2854+G2854+R2854</x:f>
        <x:v>222524.74666916905</x:v>
      </x:c>
      <x:c r="T2854" s="78" t="n">
        <x:f>P2854*(S2854*(1-'Inputs'!$B$15))/(O2854+S2854*(1-'Inputs'!$B$15))</x:f>
        <x:v>619468.4602834795</x:v>
      </x:c>
      <x:c r="U2854" s="78" t="n">
        <x:f>O2854+S2854*(1-'Inputs'!$B$17)</x:f>
        <x:v>452821.61598783545</x:v>
      </x:c>
      <x:c r="V2854" s="78" t="n">
        <x:f>P2854-T2854</x:f>
        <x:v>650098.4528402156</x:v>
      </x:c>
      <x:c r="W2854" s="79" t="n">
        <x:f>IF(U2854&gt;0,V2854/U2854,0)</x:f>
        <x:v>1.4356612623759548</x:v>
      </x:c>
      <x:c r="X2854" s="80" t="n">
        <x:f>W2854*('Inputs'!$B$6-AC2854)</x:f>
        <x:v>1431917121.5550952</x:v>
      </x:c>
      <x:c r="Y2854" s="80" t="n">
        <x:f>2*V2854</x:f>
        <x:v>1300196.9056804313</x:v>
      </x:c>
      <x:c r="Z2854" s="80" t="n">
        <x:f>K2854*'Inputs'!$B$16+(G2854+R2854)*J2854*'Inputs'!$B$16</x:f>
        <x:v>39501.554580176184</x:v>
      </x:c>
      <x:c r="AA2854" s="80" t="n">
        <x:f>K2854*(1+'Inputs'!$E$51)/2*'Inputs'!$B$17</x:f>
        <x:v>13870.311379804314</x:v>
      </x:c>
      <x:c r="AB2854" s="78" t="n">
        <x:f>(IF(J2854&gt;0,K2854*(1-'Inputs'!$E$51)/2/J2854,0)+G2854+R2854)*'Inputs'!$B$17</x:f>
        <x:v>8868.444326801735</x:v>
      </x:c>
      <x:c r="AC2854" s="78" t="n">
        <x:f>AC2853+AB2854</x:f>
        <x:v>2607955.5943880375</x:v>
      </x:c>
      <x:c r="AD2854" s="80" t="n">
        <x:f>Z2854/(1+'Inputs'!$C$51)</x:f>
        <x:v>13167.184860058727</x:v>
      </x:c>
      <x:c r="AE2854" s="80" t="n">
        <x:f>Z2854-AD2854</x:f>
        <x:v>26334.36972011746</x:v>
      </x:c>
      <x:c r="AF2854" s="80" t="n">
        <x:f>D2854*W2854</x:f>
        <x:v>378963.4535966609</x:v>
      </x:c>
      <x:c r="AG2854" s="80" t="n">
        <x:f>C2854*W2854</x:f>
        <x:v>884248.0583922445</x:v>
      </x:c>
      <x:c r="AH2854" s="80" t="n">
        <x:f>2*'Inputs'!$B$8*'Inputs'!$C$51</x:f>
        <x:v>10000</x:v>
      </x:c>
      <x:c r="AI2854" s="81" t="n">
        <x:f>IF(AH2854&gt;0,(AE2854+AF2854)/AH2854*365,0)</x:f>
        <x:v>14793.370551062413</x:v>
      </x:c>
      <x:c r="AJ2854" s="81" t="n">
        <x:f>IF('Inputs'!$B$51&gt;0,AG2854/('Inputs'!$B$19*'Inputs'!$B$51)*365,0)</x:f>
        <x:v>32275.054131316923</x:v>
      </x:c>
      <x:c r="AK2854" s="81" t="n">
        <x:f>W2854/MAX($W$2559:W2854)-1</x:f>
        <x:v>0</x:v>
      </x:c>
      <x:c r="AL2854" s="83" t="n">
        <x:f>'Inputs'!$B$51</x:f>
        <x:v>1</x:v>
      </x:c>
      <x:c r="AM2854" s="83" t="n">
        <x:f>'Inputs'!$C$51</x:f>
        <x:v>2</x:v>
      </x:c>
      <x:c r="AN2854" s="83" t="n">
        <x:f>'Inputs'!$D$51</x:f>
        <x:v>3</x:v>
      </x:c>
      <x:c r="AO2854" s="81" t="n">
        <x:f>'Inputs'!$E$51</x:f>
        <x:v>0.1</x:v>
      </x:c>
    </x:row>
    <x:row r="2855">
      <x:c r="A2855" s="59" t="str">
        <x:v>High demand</x:v>
      </x:c>
      <x:c r="B2855" s="59" t="n">
        <x:v>297</x:v>
      </x:c>
      <x:c r="C2855" s="78" t="n">
        <x:f>(('Inputs'!$B$29*(3*297*'Inputs'!$B$12-297^2)/(2*'Inputs'!$B$12^2))-('Inputs'!$B$29*(3*296*'Inputs'!$B$12-296^2)/(2*'Inputs'!$B$12^2)))*'Inputs'!$B$51</x:f>
        <x:v>615591.8089697659</x:v>
      </x:c>
      <x:c r="D2855" s="78" t="n">
        <x:f>IF('Inputs'!$C$51&gt;0,('Inputs'!$B$30*(3*297*'Inputs'!$B$12-297^2)/(2*'Inputs'!$B$12^2))-('Inputs'!$B$30*(3*296*'Inputs'!$B$12-296^2)/(2*'Inputs'!$B$12^2)),0)</x:f>
        <x:v>263825.0609870553</x:v>
      </x:c>
      <x:c r="E2855" s="78" t="n">
        <x:f>C2855+D2855</x:f>
        <x:v>879416.8699568212</x:v>
      </x:c>
      <x:c r="F2855" s="78" t="n">
        <x:f>'Inputs'!$B$13*E2855+(1-'Inputs'!$B$13)/'Inputs'!$B$14*SUM(E2800:E2855)</x:f>
        <x:v>889634.546819287</x:v>
      </x:c>
      <x:c r="G2855" s="78" t="n">
        <x:f>F2855*'Inputs'!$F$51</x:f>
        <x:v>222408.63670482175</x:v>
      </x:c>
      <x:c r="H2855" s="78" t="n">
        <x:f>U2854</x:f>
        <x:v>452821.61598783545</x:v>
      </x:c>
      <x:c r="I2855" s="78" t="n">
        <x:f>V2854</x:f>
        <x:v>650098.4528402156</x:v>
      </x:c>
      <x:c r="J2855" s="79" t="n">
        <x:f>IF(H2855&gt;0,I2855/H2855,0)</x:f>
        <x:v>1.4356612623759548</x:v>
      </x:c>
      <x:c r="K2855" s="80" t="n">
        <x:f>(H2855*J2855+I2855)*'Inputs'!$D$51*(1+'Inputs'!$G$51)^(B2855/30)</x:f>
        <x:v>6322727.19230293</x:v>
      </x:c>
      <x:c r="L2855" s="80" t="n">
        <x:f>MAX(0,K2855*'Inputs'!$E$51)</x:f>
        <x:v>632272.7192302931</x:v>
      </x:c>
      <x:c r="M2855" s="80" t="n">
        <x:f>MAX(0,-K2855*'Inputs'!$E$51)</x:f>
        <x:v>0</x:v>
      </x:c>
      <x:c r="N2855" s="78" t="n">
        <x:f>H2855*(L2855*(1-'Inputs'!$B$15))/(I2855+L2855*(1-'Inputs'!$B$15))</x:f>
        <x:v>222126.11759365388</x:v>
      </x:c>
      <x:c r="O2855" s="78" t="n">
        <x:f>H2855-N2855</x:f>
        <x:v>230695.49839418157</x:v>
      </x:c>
      <x:c r="P2855" s="78" t="n">
        <x:f>I2855+L2855*(1-'Inputs'!$B$17)</x:f>
        <x:v>1279826.8150514732</x:v>
      </x:c>
      <x:c r="Q2855" s="78" t="n">
        <x:f>IF(J2855&gt;0,M2855/J2855,0)</x:f>
        <x:v>0</x:v>
      </x:c>
      <x:c r="R2855" s="78" t="n">
        <x:f>IF(B2855='Inputs'!$H$51,'Inputs'!$B$27*'Inputs'!$I$51,0)</x:f>
        <x:v>0</x:v>
      </x:c>
      <x:c r="S2855" s="78" t="n">
        <x:f>Q2855+G2855+R2855</x:f>
        <x:v>222408.63670482175</x:v>
      </x:c>
      <x:c r="T2855" s="78" t="n">
        <x:f>P2855*(S2855*(1-'Inputs'!$B$15))/(O2855+S2855*(1-'Inputs'!$B$15))</x:f>
        <x:v>624995.7002419072</x:v>
      </x:c>
      <x:c r="U2855" s="78" t="n">
        <x:f>O2855+S2855*(1-'Inputs'!$B$17)</x:f>
        <x:v>452209.13052473846</x:v>
      </x:c>
      <x:c r="V2855" s="78" t="n">
        <x:f>P2855-T2855</x:f>
        <x:v>654831.1148095661</x:v>
      </x:c>
      <x:c r="W2855" s="79" t="n">
        <x:f>IF(U2855&gt;0,V2855/U2855,0)</x:f>
        <x:v>1.4480714134402977</x:v>
      </x:c>
      <x:c r="X2855" s="80" t="n">
        <x:f>W2855*('Inputs'!$B$6-AC2855)</x:f>
        <x:v>1444282062.886665</x:v>
      </x:c>
      <x:c r="Y2855" s="80" t="n">
        <x:f>2*V2855</x:f>
        <x:v>1309662.2296191321</x:v>
      </x:c>
      <x:c r="Z2855" s="80" t="n">
        <x:f>K2855*'Inputs'!$B$16+(G2855+R2855)*J2855*'Inputs'!$B$16</x:f>
        <x:v>39852.18393862734</x:v>
      </x:c>
      <x:c r="AA2855" s="80" t="n">
        <x:f>K2855*(1+'Inputs'!$E$51)/2*'Inputs'!$B$17</x:f>
        <x:v>13993.963604694616</x:v>
      </x:c>
      <x:c r="AB2855" s="78" t="n">
        <x:f>(IF(J2855&gt;0,K2855*(1-'Inputs'!$E$51)/2/J2855,0)+G2855+R2855)*'Inputs'!$B$17</x:f>
        <x:v>8870.149467922205</x:v>
      </x:c>
      <x:c r="AC2855" s="78" t="n">
        <x:f>AC2854+AB2855</x:f>
        <x:v>2616825.7438559597</x:v>
      </x:c>
      <x:c r="AD2855" s="80" t="n">
        <x:f>Z2855/(1+'Inputs'!$C$51)</x:f>
        <x:v>13284.061312875781</x:v>
      </x:c>
      <x:c r="AE2855" s="80" t="n">
        <x:f>Z2855-AD2855</x:f>
        <x:v>26568.12262575156</x:v>
      </x:c>
      <x:c r="AF2855" s="80" t="n">
        <x:f>D2855*W2855</x:f>
        <x:v>382037.5289644979</x:v>
      </x:c>
      <x:c r="AG2855" s="80" t="n">
        <x:f>C2855*W2855</x:f>
        <x:v>891420.9009171186</x:v>
      </x:c>
      <x:c r="AH2855" s="80" t="n">
        <x:f>2*'Inputs'!$B$8*'Inputs'!$C$51</x:f>
        <x:v>10000</x:v>
      </x:c>
      <x:c r="AI2855" s="81" t="n">
        <x:f>IF(AH2855&gt;0,(AE2855+AF2855)/AH2855*365,0)</x:f>
        <x:v>14914.106283044104</x:v>
      </x:c>
      <x:c r="AJ2855" s="81" t="n">
        <x:f>IF('Inputs'!$B$51&gt;0,AG2855/('Inputs'!$B$19*'Inputs'!$B$51)*365,0)</x:f>
        <x:v>32536.86288347483</x:v>
      </x:c>
      <x:c r="AK2855" s="81" t="n">
        <x:f>W2855/MAX($W$2559:W2855)-1</x:f>
        <x:v>0</x:v>
      </x:c>
      <x:c r="AL2855" s="83" t="n">
        <x:f>'Inputs'!$B$51</x:f>
        <x:v>1</x:v>
      </x:c>
      <x:c r="AM2855" s="83" t="n">
        <x:f>'Inputs'!$C$51</x:f>
        <x:v>2</x:v>
      </x:c>
      <x:c r="AN2855" s="83" t="n">
        <x:f>'Inputs'!$D$51</x:f>
        <x:v>3</x:v>
      </x:c>
      <x:c r="AO2855" s="81" t="n">
        <x:f>'Inputs'!$E$51</x:f>
        <x:v>0.1</x:v>
      </x:c>
    </x:row>
    <x:row r="2856">
      <x:c r="A2856" s="59" t="str">
        <x:v>High demand</x:v>
      </x:c>
      <x:c r="B2856" s="59" t="n">
        <x:v>298</x:v>
      </x:c>
      <x:c r="C2856" s="78" t="n">
        <x:f>(('Inputs'!$B$29*(3*298*'Inputs'!$B$12-298^2)/(2*'Inputs'!$B$12^2))-('Inputs'!$B$29*(3*297*'Inputs'!$B$12-297^2)/(2*'Inputs'!$B$12^2)))*'Inputs'!$B$51</x:f>
        <x:v>615266.7010696232</x:v>
      </x:c>
      <x:c r="D2856" s="78" t="n">
        <x:f>IF('Inputs'!$C$51&gt;0,('Inputs'!$B$30*(3*298*'Inputs'!$B$12-298^2)/(2*'Inputs'!$B$12^2))-('Inputs'!$B$30*(3*297*'Inputs'!$B$12-297^2)/(2*'Inputs'!$B$12^2)),0)</x:f>
        <x:v>263685.72902983427</x:v>
      </x:c>
      <x:c r="E2856" s="78" t="n">
        <x:f>C2856+D2856</x:f>
        <x:v>878952.4300994575</x:v>
      </x:c>
      <x:c r="F2856" s="78" t="n">
        <x:f>'Inputs'!$B$13*E2856+(1-'Inputs'!$B$13)/'Inputs'!$B$14*SUM(E2801:E2856)</x:f>
        <x:v>889170.1069619069</x:v>
      </x:c>
      <x:c r="G2856" s="78" t="n">
        <x:f>F2856*'Inputs'!$F$51</x:f>
        <x:v>222292.52674047672</x:v>
      </x:c>
      <x:c r="H2856" s="78" t="n">
        <x:f>U2855</x:f>
        <x:v>452209.13052473846</x:v>
      </x:c>
      <x:c r="I2856" s="78" t="n">
        <x:f>V2855</x:f>
        <x:v>654831.1148095661</x:v>
      </x:c>
      <x:c r="J2856" s="79" t="n">
        <x:f>IF(H2856&gt;0,I2856/H2856,0)</x:f>
        <x:v>1.4480714134402977</x:v>
      </x:c>
      <x:c r="K2856" s="80" t="n">
        <x:f>(H2856*J2856+I2856)*'Inputs'!$D$51*(1+'Inputs'!$G$51)^(B2856/30)</x:f>
        <x:v>6379122.295995608</x:v>
      </x:c>
      <x:c r="L2856" s="80" t="n">
        <x:f>MAX(0,K2856*'Inputs'!$E$51)</x:f>
        <x:v>637912.2295995608</x:v>
      </x:c>
      <x:c r="M2856" s="80" t="n">
        <x:f>MAX(0,-K2856*'Inputs'!$E$51)</x:f>
        <x:v>0</x:v>
      </x:c>
      <x:c r="N2856" s="78" t="n">
        <x:f>H2856*(L2856*(1-'Inputs'!$B$15))/(I2856+L2856*(1-'Inputs'!$B$15))</x:f>
        <x:v>222009.46857974364</x:v>
      </x:c>
      <x:c r="O2856" s="78" t="n">
        <x:f>H2856-N2856</x:f>
        <x:v>230199.66194499482</x:v>
      </x:c>
      <x:c r="P2856" s="78" t="n">
        <x:f>I2856+L2856*(1-'Inputs'!$B$17)</x:f>
        <x:v>1290176.2931833742</x:v>
      </x:c>
      <x:c r="Q2856" s="78" t="n">
        <x:f>IF(J2856&gt;0,M2856/J2856,0)</x:f>
        <x:v>0</x:v>
      </x:c>
      <x:c r="R2856" s="78" t="n">
        <x:f>IF(B2856='Inputs'!$H$51,'Inputs'!$B$27*'Inputs'!$I$51,0)</x:f>
        <x:v>0</x:v>
      </x:c>
      <x:c r="S2856" s="78" t="n">
        <x:f>Q2856+G2856+R2856</x:f>
        <x:v>222292.52674047672</x:v>
      </x:c>
      <x:c r="T2856" s="78" t="n">
        <x:f>P2856*(S2856*(1-'Inputs'!$B$15))/(O2856+S2856*(1-'Inputs'!$B$15))</x:f>
        <x:v>630575.0930354932</x:v>
      </x:c>
      <x:c r="U2856" s="78" t="n">
        <x:f>O2856+S2856*(1-'Inputs'!$B$17)</x:f>
        <x:v>451597.65135452396</x:v>
      </x:c>
      <x:c r="V2856" s="78" t="n">
        <x:f>P2856-T2856</x:f>
        <x:v>659601.200147881</x:v>
      </x:c>
      <x:c r="W2856" s="79" t="n">
        <x:f>IF(U2856&gt;0,V2856/U2856,0)</x:f>
        <x:v>1.4605948418231811</x:v>
      </x:c>
      <x:c r="X2856" s="80" t="n">
        <x:f>W2856*('Inputs'!$B$6-AC2856)</x:f>
        <x:v>1456759761.4492195</x:v>
      </x:c>
      <x:c r="Y2856" s="80" t="n">
        <x:f>2*V2856</x:f>
        <x:v>1319202.400295762</x:v>
      </x:c>
      <x:c r="Z2856" s="80" t="n">
        <x:f>K2856*'Inputs'!$B$16+(G2856+R2856)*J2856*'Inputs'!$B$16</x:f>
        <x:v>40206.10649633943</x:v>
      </x:c>
      <x:c r="AA2856" s="80" t="n">
        <x:f>K2856*(1+'Inputs'!$E$51)/2*'Inputs'!$B$17</x:f>
        <x:v>14118.781741640181</x:v>
      </x:c>
      <x:c r="AB2856" s="78" t="n">
        <x:f>(IF(J2856&gt;0,K2856*(1-'Inputs'!$E$51)/2/J2856,0)+G2856+R2856)*'Inputs'!$B$17</x:f>
        <x:v>8871.85834472485</x:v>
      </x:c>
      <x:c r="AC2856" s="78" t="n">
        <x:f>AC2855+AB2856</x:f>
        <x:v>2625697.6022006846</x:v>
      </x:c>
      <x:c r="AD2856" s="80" t="n">
        <x:f>Z2856/(1+'Inputs'!$C$51)</x:f>
        <x:v>13402.035498779811</x:v>
      </x:c>
      <x:c r="AE2856" s="80" t="n">
        <x:f>Z2856-AD2856</x:f>
        <x:v>26804.07099755962</x:v>
      </x:c>
      <x:c r="AF2856" s="80" t="n">
        <x:f>D2856*W2856</x:f>
        <x:v>385138.015683361</x:v>
      </x:c>
      <x:c r="AG2856" s="80" t="n">
        <x:f>C2856*W2856</x:f>
        <x:v>898655.3699278568</x:v>
      </x:c>
      <x:c r="AH2856" s="80" t="n">
        <x:f>2*'Inputs'!$B$8*'Inputs'!$C$51</x:f>
        <x:v>10000</x:v>
      </x:c>
      <x:c r="AI2856" s="81" t="n">
        <x:f>IF(AH2856&gt;0,(AE2856+AF2856)/AH2856*365,0)</x:f>
        <x:v>15035.886163853602</x:v>
      </x:c>
      <x:c r="AJ2856" s="81" t="n">
        <x:f>IF('Inputs'!$B$51&gt;0,AG2856/('Inputs'!$B$19*'Inputs'!$B$51)*365,0)</x:f>
        <x:v>32800.92100236677</x:v>
      </x:c>
      <x:c r="AK2856" s="81" t="n">
        <x:f>W2856/MAX($W$2559:W2856)-1</x:f>
        <x:v>0</x:v>
      </x:c>
      <x:c r="AL2856" s="83" t="n">
        <x:f>'Inputs'!$B$51</x:f>
        <x:v>1</x:v>
      </x:c>
      <x:c r="AM2856" s="83" t="n">
        <x:f>'Inputs'!$C$51</x:f>
        <x:v>2</x:v>
      </x:c>
      <x:c r="AN2856" s="83" t="n">
        <x:f>'Inputs'!$D$51</x:f>
        <x:v>3</x:v>
      </x:c>
      <x:c r="AO2856" s="81" t="n">
        <x:f>'Inputs'!$E$51</x:f>
        <x:v>0.1</x:v>
      </x:c>
    </x:row>
    <x:row r="2857">
      <x:c r="A2857" s="59" t="str">
        <x:v>High demand</x:v>
      </x:c>
      <x:c r="B2857" s="59" t="n">
        <x:v>299</x:v>
      </x:c>
      <x:c r="C2857" s="78" t="n">
        <x:f>(('Inputs'!$B$29*(3*299*'Inputs'!$B$12-299^2)/(2*'Inputs'!$B$12^2))-('Inputs'!$B$29*(3*298*'Inputs'!$B$12-298^2)/(2*'Inputs'!$B$12^2)))*'Inputs'!$B$51</x:f>
        <x:v>614941.5931694508</x:v>
      </x:c>
      <x:c r="D2857" s="78" t="n">
        <x:f>IF('Inputs'!$C$51&gt;0,('Inputs'!$B$30*(3*299*'Inputs'!$B$12-299^2)/(2*'Inputs'!$B$12^2))-('Inputs'!$B$30*(3*298*'Inputs'!$B$12-298^2)/(2*'Inputs'!$B$12^2)),0)</x:f>
        <x:v>263546.39707262814</x:v>
      </x:c>
      <x:c r="E2857" s="78" t="n">
        <x:f>C2857+D2857</x:f>
        <x:v>878487.9902420789</x:v>
      </x:c>
      <x:c r="F2857" s="78" t="n">
        <x:f>'Inputs'!$B$13*E2857+(1-'Inputs'!$B$13)/'Inputs'!$B$14*SUM(E2802:E2857)</x:f>
        <x:v>888705.6671045239</x:v>
      </x:c>
      <x:c r="G2857" s="78" t="n">
        <x:f>F2857*'Inputs'!$F$51</x:f>
        <x:v>222176.41677613097</x:v>
      </x:c>
      <x:c r="H2857" s="78" t="n">
        <x:f>U2856</x:f>
        <x:v>451597.65135452396</x:v>
      </x:c>
      <x:c r="I2857" s="78" t="n">
        <x:f>V2856</x:f>
        <x:v>659601.200147881</x:v>
      </x:c>
      <x:c r="J2857" s="79" t="n">
        <x:f>IF(H2857&gt;0,I2857/H2857,0)</x:f>
        <x:v>1.4605948418231811</x:v>
      </x:c>
      <x:c r="K2857" s="80" t="n">
        <x:f>(H2857*J2857+I2857)*'Inputs'!$D$51*(1+'Inputs'!$G$51)^(B2857/30)</x:f>
        <x:v>6436049.391320479</x:v>
      </x:c>
      <x:c r="L2857" s="80" t="n">
        <x:f>MAX(0,K2857*'Inputs'!$E$51)</x:f>
        <x:v>643604.9391320479</x:v>
      </x:c>
      <x:c r="M2857" s="80" t="n">
        <x:f>MAX(0,-K2857*'Inputs'!$E$51)</x:f>
        <x:v>0</x:v>
      </x:c>
      <x:c r="N2857" s="78" t="n">
        <x:f>H2857*(L2857*(1-'Inputs'!$B$15))/(I2857+L2857*(1-'Inputs'!$B$15))</x:f>
        <x:v>221892.82153153233</x:v>
      </x:c>
      <x:c r="O2857" s="78" t="n">
        <x:f>H2857-N2857</x:f>
        <x:v>229704.82982299163</x:v>
      </x:c>
      <x:c r="P2857" s="78" t="n">
        <x:f>I2857+L2857*(1-'Inputs'!$B$17)</x:f>
        <x:v>1300616.1797663192</x:v>
      </x:c>
      <x:c r="Q2857" s="78" t="n">
        <x:f>IF(J2857&gt;0,M2857/J2857,0)</x:f>
        <x:v>0</x:v>
      </x:c>
      <x:c r="R2857" s="78" t="n">
        <x:f>IF(B2857='Inputs'!$H$51,'Inputs'!$B$27*'Inputs'!$I$51,0)</x:f>
        <x:v>0</x:v>
      </x:c>
      <x:c r="S2857" s="78" t="n">
        <x:f>Q2857+G2857+R2857</x:f>
        <x:v>222176.41677613097</x:v>
      </x:c>
      <x:c r="T2857" s="78" t="n">
        <x:f>P2857*(S2857*(1-'Inputs'!$B$15))/(O2857+S2857*(1-'Inputs'!$B$15))</x:f>
        <x:v>636207.1549130381</x:v>
      </x:c>
      <x:c r="U2857" s="78" t="n">
        <x:f>O2857+S2857*(1-'Inputs'!$B$17)</x:f>
        <x:v>450987.1765114923</x:v>
      </x:c>
      <x:c r="V2857" s="78" t="n">
        <x:f>P2857-T2857</x:f>
        <x:v>664409.0248532811</x:v>
      </x:c>
      <x:c r="W2857" s="79" t="n">
        <x:f>IF(U2857&gt;0,V2857/U2857,0)</x:f>
        <x:v>1.4732326315631954</x:v>
      </x:c>
      <x:c r="X2857" s="80" t="n">
        <x:f>W2857*('Inputs'!$B$6-AC2857)</x:f>
        <x:v>1469351295.3407228</x:v>
      </x:c>
      <x:c r="Y2857" s="80" t="n">
        <x:f>2*V2857</x:f>
        <x:v>1328818.0497065622</x:v>
      </x:c>
      <x:c r="Z2857" s="80" t="n">
        <x:f>K2857*'Inputs'!$B$16+(G2857+R2857)*J2857*'Inputs'!$B$16</x:f>
        <x:v>40563.35471783072</x:v>
      </x:c>
      <x:c r="AA2857" s="80" t="n">
        <x:f>K2857*(1+'Inputs'!$E$51)/2*'Inputs'!$B$17</x:f>
        <x:v>14244.777324854182</x:v>
      </x:c>
      <x:c r="AB2857" s="78" t="n">
        <x:f>(IF(J2857&gt;0,K2857*(1-'Inputs'!$E$51)/2/J2857,0)+G2857+R2857)*'Inputs'!$B$17</x:f>
        <x:v>8873.570957766377</x:v>
      </x:c>
      <x:c r="AC2857" s="78" t="n">
        <x:f>AC2856+AB2857</x:f>
        <x:v>2634571.173158451</x:v>
      </x:c>
      <x:c r="AD2857" s="80" t="n">
        <x:f>Z2857/(1+'Inputs'!$C$51)</x:f>
        <x:v>13521.118239276906</x:v>
      </x:c>
      <x:c r="AE2857" s="80" t="n">
        <x:f>Z2857-AD2857</x:f>
        <x:v>27042.236478553816</x:v>
      </x:c>
      <x:c r="AF2857" s="80" t="n">
        <x:f>D2857*W2857</x:f>
        <x:v>388265.15209830675</x:v>
      </x:c>
      <x:c r="AG2857" s="80" t="n">
        <x:f>C2857*W2857</x:f>
        <x:v>905952.0215626939</x:v>
      </x:c>
      <x:c r="AH2857" s="80" t="n">
        <x:f>2*'Inputs'!$B$8*'Inputs'!$C$51</x:f>
        <x:v>10000</x:v>
      </x:c>
      <x:c r="AI2857" s="81" t="n">
        <x:f>IF(AH2857&gt;0,(AE2857+AF2857)/AH2857*365,0)</x:f>
        <x:v>15158.71968305541</x:v>
      </x:c>
      <x:c r="AJ2857" s="81" t="n">
        <x:f>IF('Inputs'!$B$51&gt;0,AG2857/('Inputs'!$B$19*'Inputs'!$B$51)*365,0)</x:f>
        <x:v>33067.24878703833</x:v>
      </x:c>
      <x:c r="AK2857" s="81" t="n">
        <x:f>W2857/MAX($W$2559:W2857)-1</x:f>
        <x:v>0</x:v>
      </x:c>
      <x:c r="AL2857" s="83" t="n">
        <x:f>'Inputs'!$B$51</x:f>
        <x:v>1</x:v>
      </x:c>
      <x:c r="AM2857" s="83" t="n">
        <x:f>'Inputs'!$C$51</x:f>
        <x:v>2</x:v>
      </x:c>
      <x:c r="AN2857" s="83" t="n">
        <x:f>'Inputs'!$D$51</x:f>
        <x:v>3</x:v>
      </x:c>
      <x:c r="AO2857" s="81" t="n">
        <x:f>'Inputs'!$E$51</x:f>
        <x:v>0.1</x:v>
      </x:c>
    </x:row>
    <x:row r="2858">
      <x:c r="A2858" s="59" t="str">
        <x:v>High demand</x:v>
      </x:c>
      <x:c r="B2858" s="59" t="n">
        <x:v>300</x:v>
      </x:c>
      <x:c r="C2858" s="78" t="n">
        <x:f>(('Inputs'!$B$29*(3*300*'Inputs'!$B$12-300^2)/(2*'Inputs'!$B$12^2))-('Inputs'!$B$29*(3*299*'Inputs'!$B$12-299^2)/(2*'Inputs'!$B$12^2)))*'Inputs'!$B$51</x:f>
        <x:v>614616.4852692783</x:v>
      </x:c>
      <x:c r="D2858" s="78" t="n">
        <x:f>IF('Inputs'!$C$51&gt;0,('Inputs'!$B$30*(3*300*'Inputs'!$B$12-300^2)/(2*'Inputs'!$B$12^2))-('Inputs'!$B$30*(3*299*'Inputs'!$B$12-299^2)/(2*'Inputs'!$B$12^2)),0)</x:f>
        <x:v>263407.0651154071</x:v>
      </x:c>
      <x:c r="E2858" s="78" t="n">
        <x:f>C2858+D2858</x:f>
        <x:v>878023.5503846854</x:v>
      </x:c>
      <x:c r="F2858" s="78" t="n">
        <x:f>'Inputs'!$B$13*E2858+(1-'Inputs'!$B$13)/'Inputs'!$B$14*SUM(E2803:E2858)</x:f>
        <x:v>888241.2272471378</x:v>
      </x:c>
      <x:c r="G2858" s="78" t="n">
        <x:f>F2858*'Inputs'!$F$51</x:f>
        <x:v>222060.30681178445</x:v>
      </x:c>
      <x:c r="H2858" s="78" t="n">
        <x:f>U2857</x:f>
        <x:v>450987.1765114923</x:v>
      </x:c>
      <x:c r="I2858" s="78" t="n">
        <x:f>V2857</x:f>
        <x:v>664409.0248532811</x:v>
      </x:c>
      <x:c r="J2858" s="79" t="n">
        <x:f>IF(H2858&gt;0,I2858/H2858,0)</x:f>
        <x:v>1.4732326315631954</x:v>
      </x:c>
      <x:c r="K2858" s="80" t="n">
        <x:f>(H2858*J2858+I2858)*'Inputs'!$D$51*(1+'Inputs'!$G$51)^(B2858/30)</x:f>
        <x:v>6493513.743395696</x:v>
      </x:c>
      <x:c r="L2858" s="80" t="n">
        <x:f>MAX(0,K2858*'Inputs'!$E$51)</x:f>
        <x:v>649351.3743395697</x:v>
      </x:c>
      <x:c r="M2858" s="80" t="n">
        <x:f>MAX(0,-K2858*'Inputs'!$E$51)</x:f>
        <x:v>0</x:v>
      </x:c>
      <x:c r="N2858" s="78" t="n">
        <x:f>H2858*(L2858*(1-'Inputs'!$B$15))/(I2858+L2858*(1-'Inputs'!$B$15))</x:f>
        <x:v>221776.17644526245</x:v>
      </x:c>
      <x:c r="O2858" s="78" t="n">
        <x:f>H2858-N2858</x:f>
        <x:v>229211.00006622984</x:v>
      </x:c>
      <x:c r="P2858" s="78" t="n">
        <x:f>I2858+L2858*(1-'Inputs'!$B$17)</x:f>
        <x:v>1311147.3151914843</x:v>
      </x:c>
      <x:c r="Q2858" s="78" t="n">
        <x:f>IF(J2858&gt;0,M2858/J2858,0)</x:f>
        <x:v>0</x:v>
      </x:c>
      <x:c r="R2858" s="78" t="n">
        <x:f>IF(B2858='Inputs'!$H$51,'Inputs'!$B$27*'Inputs'!$I$51,0)</x:f>
        <x:v>0</x:v>
      </x:c>
      <x:c r="S2858" s="78" t="n">
        <x:f>Q2858+G2858+R2858</x:f>
        <x:v>222060.30681178445</x:v>
      </x:c>
      <x:c r="T2858" s="78" t="n">
        <x:f>P2858*(S2858*(1-'Inputs'!$B$15))/(O2858+S2858*(1-'Inputs'!$B$15))</x:f>
        <x:v>641892.4074507758</x:v>
      </x:c>
      <x:c r="U2858" s="78" t="n">
        <x:f>O2858+S2858*(1-'Inputs'!$B$17)</x:f>
        <x:v>450377.7040337013</x:v>
      </x:c>
      <x:c r="V2858" s="78" t="n">
        <x:f>P2858-T2858</x:f>
        <x:v>669254.9077407084</x:v>
      </x:c>
      <x:c r="W2858" s="79" t="n">
        <x:f>IF(U2858&gt;0,V2858/U2858,0)</x:f>
        <x:v>1.485985877512775</x:v>
      </x:c>
      <x:c r="X2858" s="80" t="n">
        <x:f>W2858*('Inputs'!$B$6-AC2858)</x:f>
        <x:v>1482057753.4045613</x:v>
      </x:c>
      <x:c r="Y2858" s="80" t="n">
        <x:f>2*V2858</x:f>
        <x:v>1338509.8154814169</x:v>
      </x:c>
      <x:c r="Z2858" s="80" t="n">
        <x:f>K2858*'Inputs'!$B$16+(G2858+R2858)*J2858*'Inputs'!$B$16</x:f>
        <x:v>40923.96140139451</x:v>
      </x:c>
      <x:c r="AA2858" s="80" t="n">
        <x:f>K2858*(1+'Inputs'!$E$51)/2*'Inputs'!$B$17</x:f>
        <x:v>14371.962007515629</x:v>
      </x:c>
      <x:c r="AB2858" s="78" t="n">
        <x:f>(IF(J2858&gt;0,K2858*(1-'Inputs'!$E$51)/2/J2858,0)+G2858+R2858)*'Inputs'!$B$17</x:f>
        <x:v>8875.287307595789</x:v>
      </x:c>
      <x:c r="AC2858" s="78" t="n">
        <x:f>AC2857+AB2858</x:f>
        <x:v>2643446.460466047</x:v>
      </x:c>
      <x:c r="AD2858" s="80" t="n">
        <x:f>Z2858/(1+'Inputs'!$C$51)</x:f>
        <x:v>13641.320467131503</x:v>
      </x:c>
      <x:c r="AE2858" s="80" t="n">
        <x:f>Z2858-AD2858</x:f>
        <x:v>27282.640934263007</x:v>
      </x:c>
      <x:c r="AF2858" s="80" t="n">
        <x:f>D2858*W2858</x:f>
        <x:v>391419.17879858287</x:v>
      </x:c>
      <x:c r="AG2858" s="80" t="n">
        <x:f>C2858*W2858</x:f>
        <x:v>913311.417196686</x:v>
      </x:c>
      <x:c r="AH2858" s="80" t="n">
        <x:f>2*'Inputs'!$B$8*'Inputs'!$C$51</x:f>
        <x:v>10000</x:v>
      </x:c>
      <x:c r="AI2858" s="81" t="n">
        <x:f>IF(AH2858&gt;0,(AE2858+AF2858)/AH2858*365,0)</x:f>
        <x:v>15282.616420248874</x:v>
      </x:c>
      <x:c r="AJ2858" s="81" t="n">
        <x:f>IF('Inputs'!$B$51&gt;0,AG2858/('Inputs'!$B$19*'Inputs'!$B$51)*365,0)</x:f>
        <x:v>33335.866727679044</x:v>
      </x:c>
      <x:c r="AK2858" s="81" t="n">
        <x:f>W2858/MAX($W$2559:W2858)-1</x:f>
        <x:v>0</x:v>
      </x:c>
      <x:c r="AL2858" s="83" t="n">
        <x:f>'Inputs'!$B$51</x:f>
        <x:v>1</x:v>
      </x:c>
      <x:c r="AM2858" s="83" t="n">
        <x:f>'Inputs'!$C$51</x:f>
        <x:v>2</x:v>
      </x:c>
      <x:c r="AN2858" s="83" t="n">
        <x:f>'Inputs'!$D$51</x:f>
        <x:v>3</x:v>
      </x:c>
      <x:c r="AO2858" s="81" t="n">
        <x:f>'Inputs'!$E$51</x:f>
        <x:v>0.1</x:v>
      </x:c>
    </x:row>
    <x:row r="2859">
      <x:c r="A2859" s="59" t="str">
        <x:v>High demand</x:v>
      </x:c>
      <x:c r="B2859" s="59" t="n">
        <x:v>301</x:v>
      </x:c>
      <x:c r="C2859" s="78" t="n">
        <x:f>(('Inputs'!$B$29*(3*301*'Inputs'!$B$12-301^2)/(2*'Inputs'!$B$12^2))-('Inputs'!$B$29*(3*300*'Inputs'!$B$12-300^2)/(2*'Inputs'!$B$12^2)))*'Inputs'!$B$51</x:f>
        <x:v>614291.3773691356</x:v>
      </x:c>
      <x:c r="D2859" s="78" t="n">
        <x:f>IF('Inputs'!$C$51&gt;0,('Inputs'!$B$30*(3*301*'Inputs'!$B$12-301^2)/(2*'Inputs'!$B$12^2))-('Inputs'!$B$30*(3*300*'Inputs'!$B$12-300^2)/(2*'Inputs'!$B$12^2)),0)</x:f>
        <x:v>263267.7331581861</x:v>
      </x:c>
      <x:c r="E2859" s="78" t="n">
        <x:f>C2859+D2859</x:f>
        <x:v>877559.1105273217</x:v>
      </x:c>
      <x:c r="F2859" s="78" t="n">
        <x:f>'Inputs'!$B$13*E2859+(1-'Inputs'!$B$13)/'Inputs'!$B$14*SUM(E2804:E2859)</x:f>
        <x:v>887776.7873897578</x:v>
      </x:c>
      <x:c r="G2859" s="78" t="n">
        <x:f>F2859*'Inputs'!$F$51</x:f>
        <x:v>221944.19684743945</x:v>
      </x:c>
      <x:c r="H2859" s="78" t="n">
        <x:f>U2858</x:f>
        <x:v>450377.7040337013</x:v>
      </x:c>
      <x:c r="I2859" s="78" t="n">
        <x:f>V2858</x:f>
        <x:v>669254.9077407084</x:v>
      </x:c>
      <x:c r="J2859" s="79" t="n">
        <x:f>IF(H2859&gt;0,I2859/H2859,0)</x:f>
        <x:v>1.485985877512775</x:v>
      </x:c>
      <x:c r="K2859" s="80" t="n">
        <x:f>(H2859*J2859+I2859)*'Inputs'!$D$51*(1+'Inputs'!$G$51)^(B2859/30)</x:f>
        <x:v>6551520.671665367</x:v>
      </x:c>
      <x:c r="L2859" s="80" t="n">
        <x:f>MAX(0,K2859*'Inputs'!$E$51)</x:f>
        <x:v>655152.0671665367</x:v>
      </x:c>
      <x:c r="M2859" s="80" t="n">
        <x:f>MAX(0,-K2859*'Inputs'!$E$51)</x:f>
        <x:v>0</x:v>
      </x:c>
      <x:c r="N2859" s="78" t="n">
        <x:f>H2859*(L2859*(1-'Inputs'!$B$15))/(I2859+L2859*(1-'Inputs'!$B$15))</x:f>
        <x:v>221659.53331718393</x:v>
      </x:c>
      <x:c r="O2859" s="78" t="n">
        <x:f>H2859-N2859</x:f>
        <x:v>228718.17071651734</x:v>
      </x:c>
      <x:c r="P2859" s="78" t="n">
        <x:f>I2859+L2859*(1-'Inputs'!$B$17)</x:f>
        <x:v>1321770.548077601</x:v>
      </x:c>
      <x:c r="Q2859" s="78" t="n">
        <x:f>IF(J2859&gt;0,M2859/J2859,0)</x:f>
        <x:v>0</x:v>
      </x:c>
      <x:c r="R2859" s="78" t="n">
        <x:f>IF(B2859='Inputs'!$H$51,'Inputs'!$B$27*'Inputs'!$I$51,0)</x:f>
        <x:v>0</x:v>
      </x:c>
      <x:c r="S2859" s="78" t="n">
        <x:f>Q2859+G2859+R2859</x:f>
        <x:v>221944.19684743945</x:v>
      </x:c>
      <x:c r="T2859" s="78" t="n">
        <x:f>P2859*(S2859*(1-'Inputs'!$B$15))/(O2859+S2859*(1-'Inputs'!$B$15))</x:f>
        <x:v>647631.3776093872</x:v>
      </x:c>
      <x:c r="U2859" s="78" t="n">
        <x:f>O2859+S2859*(1-'Inputs'!$B$17)</x:f>
        <x:v>449769.231962961</x:v>
      </x:c>
      <x:c r="V2859" s="78" t="n">
        <x:f>P2859-T2859</x:f>
        <x:v>674139.1704682139</x:v>
      </x:c>
      <x:c r="W2859" s="79" t="n">
        <x:f>IF(U2859&gt;0,V2859/U2859,0)</x:f>
        <x:v>1.498855685450111</x:v>
      </x:c>
      <x:c r="X2859" s="80" t="n">
        <x:f>W2859*('Inputs'!$B$6-AC2859)</x:f>
        <x:v>1494880235.340655</x:v>
      </x:c>
      <x:c r="Y2859" s="80" t="n">
        <x:f>2*V2859</x:f>
        <x:v>1348278.3409364277</x:v>
      </x:c>
      <x:c r="Z2859" s="80" t="n">
        <x:f>K2859*'Inputs'!$B$16+(G2859+R2859)*J2859*'Inputs'!$B$16</x:f>
        <x:v>41287.959682659464</x:v>
      </x:c>
      <x:c r="AA2859" s="80" t="n">
        <x:f>K2859*(1+'Inputs'!$E$51)/2*'Inputs'!$B$17</x:f>
        <x:v>14500.347563042062</x:v>
      </x:c>
      <x:c r="AB2859" s="78" t="n">
        <x:f>(IF(J2859&gt;0,K2859*(1-'Inputs'!$E$51)/2/J2859,0)+G2859+R2859)*'Inputs'!$B$17</x:f>
        <x:v>8877.007394754455</x:v>
      </x:c>
      <x:c r="AC2859" s="78" t="n">
        <x:f>AC2858+AB2859</x:f>
        <x:v>2652323.467860801</x:v>
      </x:c>
      <x:c r="AD2859" s="80" t="n">
        <x:f>Z2859/(1+'Inputs'!$C$51)</x:f>
        <x:v>13762.653227553155</x:v>
      </x:c>
      <x:c r="AE2859" s="80" t="n">
        <x:f>Z2859-AD2859</x:f>
        <x:v>27525.306455106307</x:v>
      </x:c>
      <x:c r="AF2859" s="80" t="n">
        <x:f>D2859*W2859</x:f>
        <x:v>394600.33863970987</x:v>
      </x:c>
      <x:c r="AG2859" s="80" t="n">
        <x:f>C2859*W2859</x:f>
        <x:v>920734.1234927085</x:v>
      </x:c>
      <x:c r="AH2859" s="80" t="n">
        <x:f>2*'Inputs'!$B$8*'Inputs'!$C$51</x:f>
        <x:v>10000</x:v>
      </x:c>
      <x:c r="AI2859" s="81" t="n">
        <x:f>IF(AH2859&gt;0,(AE2859+AF2859)/AH2859*365,0)</x:f>
        <x:v>15407.58604596079</x:v>
      </x:c>
      <x:c r="AJ2859" s="81" t="n">
        <x:f>IF('Inputs'!$B$51&gt;0,AG2859/('Inputs'!$B$19*'Inputs'!$B$51)*365,0)</x:f>
        <x:v>33606.79550748386</x:v>
      </x:c>
      <x:c r="AK2859" s="81" t="n">
        <x:f>W2859/MAX($W$2559:W2859)-1</x:f>
        <x:v>0</x:v>
      </x:c>
      <x:c r="AL2859" s="83" t="n">
        <x:f>'Inputs'!$B$51</x:f>
        <x:v>1</x:v>
      </x:c>
      <x:c r="AM2859" s="83" t="n">
        <x:f>'Inputs'!$C$51</x:f>
        <x:v>2</x:v>
      </x:c>
      <x:c r="AN2859" s="83" t="n">
        <x:f>'Inputs'!$D$51</x:f>
        <x:v>3</x:v>
      </x:c>
      <x:c r="AO2859" s="81" t="n">
        <x:f>'Inputs'!$E$51</x:f>
        <x:v>0.1</x:v>
      </x:c>
    </x:row>
    <x:row r="2860">
      <x:c r="A2860" s="59" t="str">
        <x:v>High demand</x:v>
      </x:c>
      <x:c r="B2860" s="59" t="n">
        <x:v>302</x:v>
      </x:c>
      <x:c r="C2860" s="78" t="n">
        <x:f>(('Inputs'!$B$29*(3*302*'Inputs'!$B$12-302^2)/(2*'Inputs'!$B$12^2))-('Inputs'!$B$29*(3*301*'Inputs'!$B$12-301^2)/(2*'Inputs'!$B$12^2)))*'Inputs'!$B$51</x:f>
        <x:v>613966.2694689333</x:v>
      </x:c>
      <x:c r="D2860" s="78" t="n">
        <x:f>IF('Inputs'!$C$51&gt;0,('Inputs'!$B$30*(3*302*'Inputs'!$B$12-302^2)/(2*'Inputs'!$B$12^2))-('Inputs'!$B$30*(3*301*'Inputs'!$B$12-301^2)/(2*'Inputs'!$B$12^2)),0)</x:f>
        <x:v>263128.40120097995</x:v>
      </x:c>
      <x:c r="E2860" s="78" t="n">
        <x:f>C2860+D2860</x:f>
        <x:v>877094.6706699133</x:v>
      </x:c>
      <x:c r="F2860" s="78" t="n">
        <x:f>'Inputs'!$B$13*E2860+(1-'Inputs'!$B$13)/'Inputs'!$B$14*SUM(E2805:E2860)</x:f>
        <x:v>887312.3475323691</x:v>
      </x:c>
      <x:c r="G2860" s="78" t="n">
        <x:f>F2860*'Inputs'!$F$51</x:f>
        <x:v>221828.08688309227</x:v>
      </x:c>
      <x:c r="H2860" s="78" t="n">
        <x:f>U2859</x:f>
        <x:v>449769.231962961</x:v>
      </x:c>
      <x:c r="I2860" s="78" t="n">
        <x:f>V2859</x:f>
        <x:v>674139.1704682139</x:v>
      </x:c>
      <x:c r="J2860" s="79" t="n">
        <x:f>IF(H2860&gt;0,I2860/H2860,0)</x:f>
        <x:v>1.498855685450111</x:v>
      </x:c>
      <x:c r="K2860" s="80" t="n">
        <x:f>(H2860*J2860+I2860)*'Inputs'!$D$51*(1+'Inputs'!$G$51)^(B2860/30)</x:f>
        <x:v>6610075.550480961</x:v>
      </x:c>
      <x:c r="L2860" s="80" t="n">
        <x:f>MAX(0,K2860*'Inputs'!$E$51)</x:f>
        <x:v>661007.5550480961</x:v>
      </x:c>
      <x:c r="M2860" s="80" t="n">
        <x:f>MAX(0,-K2860*'Inputs'!$E$51)</x:f>
        <x:v>0</x:v>
      </x:c>
      <x:c r="N2860" s="78" t="n">
        <x:f>H2860*(L2860*(1-'Inputs'!$B$15))/(I2860+L2860*(1-'Inputs'!$B$15))</x:f>
        <x:v>221542.89214355528</x:v>
      </x:c>
      <x:c r="O2860" s="78" t="n">
        <x:f>H2860-N2860</x:f>
        <x:v>228226.33981940575</x:v>
      </x:c>
      <x:c r="P2860" s="78" t="n">
        <x:f>I2860+L2860*(1-'Inputs'!$B$17)</x:f>
        <x:v>1332486.7353551507</x:v>
      </x:c>
      <x:c r="Q2860" s="78" t="n">
        <x:f>IF(J2860&gt;0,M2860/J2860,0)</x:f>
        <x:v>0</x:v>
      </x:c>
      <x:c r="R2860" s="78" t="n">
        <x:f>IF(B2860='Inputs'!$H$51,'Inputs'!$B$27*'Inputs'!$I$51,0)</x:f>
        <x:v>0</x:v>
      </x:c>
      <x:c r="S2860" s="78" t="n">
        <x:f>Q2860+G2860+R2860</x:f>
        <x:v>221828.08688309227</x:v>
      </x:c>
      <x:c r="T2860" s="78" t="n">
        <x:f>P2860*(S2860*(1-'Inputs'!$B$15))/(O2860+S2860*(1-'Inputs'!$B$15))</x:f>
        <x:v>653424.5977916374</x:v>
      </x:c>
      <x:c r="U2860" s="78" t="n">
        <x:f>O2860+S2860*(1-'Inputs'!$B$17)</x:f>
        <x:v>449161.75834481954</x:v>
      </x:c>
      <x:c r="V2860" s="78" t="n">
        <x:f>P2860-T2860</x:f>
        <x:v>679062.1375635132</x:v>
      </x:c>
      <x:c r="W2860" s="79" t="n">
        <x:f>IF(U2860&gt;0,V2860/U2860,0)</x:f>
        <x:v>1.5118431721923222</x:v>
      </x:c>
      <x:c r="X2860" s="80" t="n">
        <x:f>W2860*('Inputs'!$B$6-AC2860)</x:f>
        <x:v>1507819851.817819</x:v>
      </x:c>
      <x:c r="Y2860" s="80" t="n">
        <x:f>2*V2860</x:f>
        <x:v>1358124.2751270265</x:v>
      </x:c>
      <x:c r="Z2860" s="80" t="n">
        <x:f>K2860*'Inputs'!$B$16+(G2860+R2860)*J2860*'Inputs'!$B$16</x:f>
        <x:v>41655.38303818923</x:v>
      </x:c>
      <x:c r="AA2860" s="80" t="n">
        <x:f>K2860*(1+'Inputs'!$E$51)/2*'Inputs'!$B$17</x:f>
        <x:v>14629.945886376376</x:v>
      </x:c>
      <x:c r="AB2860" s="78" t="n">
        <x:f>(IF(J2860&gt;0,K2860*(1-'Inputs'!$E$51)/2/J2860,0)+G2860+R2860)*'Inputs'!$B$17</x:f>
        <x:v>8878.731219776078</x:v>
      </x:c>
      <x:c r="AC2860" s="78" t="n">
        <x:f>AC2859+AB2860</x:f>
        <x:v>2661202.199080577</x:v>
      </x:c>
      <x:c r="AD2860" s="80" t="n">
        <x:f>Z2860/(1+'Inputs'!$C$51)</x:f>
        <x:v>13885.127679396412</x:v>
      </x:c>
      <x:c r="AE2860" s="80" t="n">
        <x:f>Z2860-AD2860</x:f>
        <x:v>27770.25535879282</x:v>
      </x:c>
      <x:c r="AF2860" s="80" t="n">
        <x:f>D2860*W2860</x:f>
        <x:v>397808.8767655836</x:v>
      </x:c>
      <x:c r="AG2860" s="80" t="n">
        <x:f>C2860*W2860</x:f>
        <x:v>928220.7124529983</x:v>
      </x:c>
      <x:c r="AH2860" s="80" t="n">
        <x:f>2*'Inputs'!$B$8*'Inputs'!$C$51</x:f>
        <x:v>10000</x:v>
      </x:c>
      <x:c r="AI2860" s="81" t="n">
        <x:f>IF(AH2860&gt;0,(AE2860+AF2860)/AH2860*365,0)</x:f>
        <x:v>15533.638322539739</x:v>
      </x:c>
      <x:c r="AJ2860" s="81" t="n">
        <x:f>IF('Inputs'!$B$51&gt;0,AG2860/('Inputs'!$B$19*'Inputs'!$B$51)*365,0)</x:f>
        <x:v>33880.05600453444</x:v>
      </x:c>
      <x:c r="AK2860" s="81" t="n">
        <x:f>W2860/MAX($W$2559:W2860)-1</x:f>
        <x:v>0</x:v>
      </x:c>
      <x:c r="AL2860" s="83" t="n">
        <x:f>'Inputs'!$B$51</x:f>
        <x:v>1</x:v>
      </x:c>
      <x:c r="AM2860" s="83" t="n">
        <x:f>'Inputs'!$C$51</x:f>
        <x:v>2</x:v>
      </x:c>
      <x:c r="AN2860" s="83" t="n">
        <x:f>'Inputs'!$D$51</x:f>
        <x:v>3</x:v>
      </x:c>
      <x:c r="AO2860" s="81" t="n">
        <x:f>'Inputs'!$E$51</x:f>
        <x:v>0.1</x:v>
      </x:c>
    </x:row>
    <x:row r="2861">
      <x:c r="A2861" s="59" t="str">
        <x:v>High demand</x:v>
      </x:c>
      <x:c r="B2861" s="59" t="n">
        <x:v>303</x:v>
      </x:c>
      <x:c r="C2861" s="78" t="n">
        <x:f>(('Inputs'!$B$29*(3*303*'Inputs'!$B$12-303^2)/(2*'Inputs'!$B$12^2))-('Inputs'!$B$29*(3*302*'Inputs'!$B$12-302^2)/(2*'Inputs'!$B$12^2)))*'Inputs'!$B$51</x:f>
        <x:v>613641.1615687609</x:v>
      </x:c>
      <x:c r="D2861" s="78" t="n">
        <x:f>IF('Inputs'!$C$51&gt;0,('Inputs'!$B$30*(3*303*'Inputs'!$B$12-303^2)/(2*'Inputs'!$B$12^2))-('Inputs'!$B$30*(3*302*'Inputs'!$B$12-302^2)/(2*'Inputs'!$B$12^2)),0)</x:f>
        <x:v>262989.0692437589</x:v>
      </x:c>
      <x:c r="E2861" s="78" t="n">
        <x:f>C2861+D2861</x:f>
        <x:v>876630.2308125198</x:v>
      </x:c>
      <x:c r="F2861" s="78" t="n">
        <x:f>'Inputs'!$B$13*E2861+(1-'Inputs'!$B$13)/'Inputs'!$B$14*SUM(E2806:E2861)</x:f>
        <x:v>886847.9076749828</x:v>
      </x:c>
      <x:c r="G2861" s="78" t="n">
        <x:f>F2861*'Inputs'!$F$51</x:f>
        <x:v>221711.9769187457</x:v>
      </x:c>
      <x:c r="H2861" s="78" t="n">
        <x:f>U2860</x:f>
        <x:v>449161.75834481954</x:v>
      </x:c>
      <x:c r="I2861" s="78" t="n">
        <x:f>V2860</x:f>
        <x:v>679062.1375635132</x:v>
      </x:c>
      <x:c r="J2861" s="79" t="n">
        <x:f>IF(H2861&gt;0,I2861/H2861,0)</x:f>
        <x:v>1.5118431721923222</x:v>
      </x:c>
      <x:c r="K2861" s="80" t="n">
        <x:f>(H2861*J2861+I2861)*'Inputs'!$D$51*(1+'Inputs'!$G$51)^(B2861/30)</x:f>
        <x:v>6669183.809689302</x:v>
      </x:c>
      <x:c r="L2861" s="80" t="n">
        <x:f>MAX(0,K2861*'Inputs'!$E$51)</x:f>
        <x:v>666918.3809689302</x:v>
      </x:c>
      <x:c r="M2861" s="80" t="n">
        <x:f>MAX(0,-K2861*'Inputs'!$E$51)</x:f>
        <x:v>0</x:v>
      </x:c>
      <x:c r="N2861" s="78" t="n">
        <x:f>H2861*(L2861*(1-'Inputs'!$B$15))/(I2861+L2861*(1-'Inputs'!$B$15))</x:f>
        <x:v>221426.25292063967</x:v>
      </x:c>
      <x:c r="O2861" s="78" t="n">
        <x:f>H2861-N2861</x:f>
        <x:v>227735.50542417986</x:v>
      </x:c>
      <x:c r="P2861" s="78" t="n">
        <x:f>I2861+L2861*(1-'Inputs'!$B$17)</x:f>
        <x:v>1343296.742351482</x:v>
      </x:c>
      <x:c r="Q2861" s="78" t="n">
        <x:f>IF(J2861&gt;0,M2861/J2861,0)</x:f>
        <x:v>0</x:v>
      </x:c>
      <x:c r="R2861" s="78" t="n">
        <x:f>IF(B2861='Inputs'!$H$51,'Inputs'!$B$27*'Inputs'!$I$51,0)</x:f>
        <x:v>0</x:v>
      </x:c>
      <x:c r="S2861" s="78" t="n">
        <x:f>Q2861+G2861+R2861</x:f>
        <x:v>221711.9769187457</x:v>
      </x:c>
      <x:c r="T2861" s="78" t="n">
        <x:f>P2861*(S2861*(1-'Inputs'!$B$15))/(O2861+S2861*(1-'Inputs'!$B$15))</x:f>
        <x:v>659272.605900705</x:v>
      </x:c>
      <x:c r="U2861" s="78" t="n">
        <x:f>O2861+S2861*(1-'Inputs'!$B$17)</x:f>
        <x:v>448555.28122856445</x:v>
      </x:c>
      <x:c r="V2861" s="78" t="n">
        <x:f>P2861-T2861</x:f>
        <x:v>684024.136450777</x:v>
      </x:c>
      <x:c r="W2861" s="79" t="n">
        <x:f>IF(U2861&gt;0,V2861/U2861,0)</x:f>
        <x:v>1.5249494657097298</x:v>
      </x:c>
      <x:c r="X2861" s="80" t="n">
        <x:f>W2861*('Inputs'!$B$6-AC2861)</x:f>
        <x:v>1520877724.5872197</x:v>
      </x:c>
      <x:c r="Y2861" s="80" t="n">
        <x:f>2*V2861</x:f>
        <x:v>1368048.272901554</x:v>
      </x:c>
      <x:c r="Z2861" s="80" t="n">
        <x:f>K2861*'Inputs'!$B$16+(G2861+R2861)*J2861*'Inputs'!$B$16</x:f>
        <x:v>42026.26528912302</x:v>
      </x:c>
      <x:c r="AA2861" s="80" t="n">
        <x:f>K2861*(1+'Inputs'!$E$51)/2*'Inputs'!$B$17</x:f>
        <x:v>14760.768995288197</x:v>
      </x:c>
      <x:c r="AB2861" s="78" t="n">
        <x:f>(IF(J2861&gt;0,K2861*(1-'Inputs'!$E$51)/2/J2861,0)+G2861+R2861)*'Inputs'!$B$17</x:f>
        <x:v>8880.458783186594</x:v>
      </x:c>
      <x:c r="AC2861" s="78" t="n">
        <x:f>AC2860+AB2861</x:f>
        <x:v>2670082.6578637636</x:v>
      </x:c>
      <x:c r="AD2861" s="80" t="n">
        <x:f>Z2861/(1+'Inputs'!$C$51)</x:f>
        <x:v>14008.75509637434</x:v>
      </x:c>
      <x:c r="AE2861" s="80" t="n">
        <x:f>Z2861-AD2861</x:f>
        <x:v>28017.510192748676</x:v>
      </x:c>
      <x:c r="AF2861" s="80" t="n">
        <x:f>D2861*W2861</x:f>
        <x:v>401045.0406307693</x:v>
      </x:c>
      <x:c r="AG2861" s="80" t="n">
        <x:f>C2861*W2861</x:f>
        <x:v>935771.7614717799</x:v>
      </x:c>
      <x:c r="AH2861" s="80" t="n">
        <x:f>2*'Inputs'!$B$8*'Inputs'!$C$51</x:f>
        <x:v>10000</x:v>
      </x:c>
      <x:c r="AI2861" s="81" t="n">
        <x:f>IF(AH2861&gt;0,(AE2861+AF2861)/AH2861*365,0)</x:f>
        <x:v>15660.783105058406</x:v>
      </x:c>
      <x:c r="AJ2861" s="81" t="n">
        <x:f>IF('Inputs'!$B$51&gt;0,AG2861/('Inputs'!$B$19*'Inputs'!$B$51)*365,0)</x:f>
        <x:v>34155.66929371997</x:v>
      </x:c>
      <x:c r="AK2861" s="81" t="n">
        <x:f>W2861/MAX($W$2559:W2861)-1</x:f>
        <x:v>0</x:v>
      </x:c>
      <x:c r="AL2861" s="83" t="n">
        <x:f>'Inputs'!$B$51</x:f>
        <x:v>1</x:v>
      </x:c>
      <x:c r="AM2861" s="83" t="n">
        <x:f>'Inputs'!$C$51</x:f>
        <x:v>2</x:v>
      </x:c>
      <x:c r="AN2861" s="83" t="n">
        <x:f>'Inputs'!$D$51</x:f>
        <x:v>3</x:v>
      </x:c>
      <x:c r="AO2861" s="81" t="n">
        <x:f>'Inputs'!$E$51</x:f>
        <x:v>0.1</x:v>
      </x:c>
    </x:row>
    <x:row r="2862">
      <x:c r="A2862" s="59" t="str">
        <x:v>High demand</x:v>
      </x:c>
      <x:c r="B2862" s="59" t="n">
        <x:v>304</x:v>
      </x:c>
      <x:c r="C2862" s="78" t="n">
        <x:f>(('Inputs'!$B$29*(3*304*'Inputs'!$B$12-304^2)/(2*'Inputs'!$B$12^2))-('Inputs'!$B$29*(3*303*'Inputs'!$B$12-303^2)/(2*'Inputs'!$B$12^2)))*'Inputs'!$B$51</x:f>
        <x:v>613316.0536686182</x:v>
      </x:c>
      <x:c r="D2862" s="78" t="n">
        <x:f>IF('Inputs'!$C$51&gt;0,('Inputs'!$B$30*(3*304*'Inputs'!$B$12-304^2)/(2*'Inputs'!$B$12^2))-('Inputs'!$B$30*(3*303*'Inputs'!$B$12-303^2)/(2*'Inputs'!$B$12^2)),0)</x:f>
        <x:v>262849.7372865379</x:v>
      </x:c>
      <x:c r="E2862" s="78" t="n">
        <x:f>C2862+D2862</x:f>
        <x:v>876165.7909551561</x:v>
      </x:c>
      <x:c r="F2862" s="78" t="n">
        <x:f>'Inputs'!$B$13*E2862+(1-'Inputs'!$B$13)/'Inputs'!$B$14*SUM(E2807:E2862)</x:f>
        <x:v>886383.4678176027</x:v>
      </x:c>
      <x:c r="G2862" s="78" t="n">
        <x:f>F2862*'Inputs'!$F$51</x:f>
        <x:v>221595.86695440067</x:v>
      </x:c>
      <x:c r="H2862" s="78" t="n">
        <x:f>U2861</x:f>
        <x:v>448555.28122856445</x:v>
      </x:c>
      <x:c r="I2862" s="78" t="n">
        <x:f>V2861</x:f>
        <x:v>684024.136450777</x:v>
      </x:c>
      <x:c r="J2862" s="79" t="n">
        <x:f>IF(H2862&gt;0,I2862/H2862,0)</x:f>
        <x:v>1.5249494657097298</x:v>
      </x:c>
      <x:c r="K2862" s="80" t="n">
        <x:f>(H2862*J2862+I2862)*'Inputs'!$D$51*(1+'Inputs'!$G$51)^(B2862/30)</x:f>
        <x:v>6728850.9352268055</x:v>
      </x:c>
      <x:c r="L2862" s="80" t="n">
        <x:f>MAX(0,K2862*'Inputs'!$E$51)</x:f>
        <x:v>672885.0935226806</x:v>
      </x:c>
      <x:c r="M2862" s="80" t="n">
        <x:f>MAX(0,-K2862*'Inputs'!$E$51)</x:f>
        <x:v>0</x:v>
      </x:c>
      <x:c r="N2862" s="78" t="n">
        <x:f>H2862*(L2862*(1-'Inputs'!$B$15))/(I2862+L2862*(1-'Inputs'!$B$15))</x:f>
        <x:v>221309.61564470956</x:v>
      </x:c>
      <x:c r="O2862" s="78" t="n">
        <x:f>H2862-N2862</x:f>
        <x:v>227245.6655838549</x:v>
      </x:c>
      <x:c r="P2862" s="78" t="n">
        <x:f>I2862+L2862*(1-'Inputs'!$B$17)</x:f>
        <x:v>1354201.442876787</x:v>
      </x:c>
      <x:c r="Q2862" s="78" t="n">
        <x:f>IF(J2862&gt;0,M2862/J2862,0)</x:f>
        <x:v>0</x:v>
      </x:c>
      <x:c r="R2862" s="78" t="n">
        <x:f>IF(B2862='Inputs'!$H$51,'Inputs'!$B$27*'Inputs'!$I$51,0)</x:f>
        <x:v>0</x:v>
      </x:c>
      <x:c r="S2862" s="78" t="n">
        <x:f>Q2862+G2862+R2862</x:f>
        <x:v>221595.86695440067</x:v>
      </x:c>
      <x:c r="T2862" s="78" t="n">
        <x:f>P2862*(S2862*(1-'Inputs'!$B$15))/(O2862+S2862*(1-'Inputs'!$B$15))</x:f>
        <x:v>665175.9453990872</x:v>
      </x:c>
      <x:c r="U2862" s="78" t="n">
        <x:f>O2862+S2862*(1-'Inputs'!$B$17)</x:f>
        <x:v>447949.79866721167</x:v>
      </x:c>
      <x:c r="V2862" s="78" t="n">
        <x:f>P2862-T2862</x:f>
        <x:v>689025.4974776998</x:v>
      </x:c>
      <x:c r="W2862" s="79" t="n">
        <x:f>IF(U2862&gt;0,V2862/U2862,0)</x:f>
        <x:v>1.5381757052414409</x:v>
      </x:c>
      <x:c r="X2862" s="80" t="n">
        <x:f>W2862*('Inputs'!$B$6-AC2862)</x:f>
        <x:v>1534054986.5971296</x:v>
      </x:c>
      <x:c r="Y2862" s="80" t="n">
        <x:f>2*V2862</x:f>
        <x:v>1378050.9949553995</x:v>
      </x:c>
      <x:c r="Z2862" s="80" t="n">
        <x:f>K2862*'Inputs'!$B$16+(G2862+R2862)*J2862*'Inputs'!$B$16</x:f>
        <x:v>42400.64060485442</x:v>
      </x:c>
      <x:c r="AA2862" s="80" t="n">
        <x:f>K2862*(1+'Inputs'!$E$51)/2*'Inputs'!$B$17</x:f>
        <x:v>14892.829031689109</x:v>
      </x:c>
      <x:c r="AB2862" s="78" t="n">
        <x:f>(IF(J2862&gt;0,K2862*(1-'Inputs'!$E$51)/2/J2862,0)+G2862+R2862)*'Inputs'!$B$17</x:f>
        <x:v>8882.190085504257</x:v>
      </x:c>
      <x:c r="AC2862" s="78" t="n">
        <x:f>AC2861+AB2862</x:f>
        <x:v>2678964.847949268</x:v>
      </x:c>
      <x:c r="AD2862" s="80" t="n">
        <x:f>Z2862/(1+'Inputs'!$C$51)</x:f>
        <x:v>14133.546868284808</x:v>
      </x:c>
      <x:c r="AE2862" s="80" t="n">
        <x:f>Z2862-AD2862</x:f>
        <x:v>28267.093736569615</x:v>
      </x:c>
      <x:c r="AF2862" s="80" t="n">
        <x:f>D2862*W2862</x:f>
        <x:v>404309.08002324787</x:v>
      </x:c>
      <x:c r="AG2862" s="80" t="n">
        <x:f>C2862*W2862</x:f>
        <x:v>943387.8533876243</x:v>
      </x:c>
      <x:c r="AH2862" s="80" t="n">
        <x:f>2*'Inputs'!$B$8*'Inputs'!$C$51</x:f>
        <x:v>10000</x:v>
      </x:c>
      <x:c r="AI2862" s="81" t="n">
        <x:f>IF(AH2862&gt;0,(AE2862+AF2862)/AH2862*365,0)</x:f>
        <x:v>15789.03034223334</x:v>
      </x:c>
      <x:c r="AJ2862" s="81" t="n">
        <x:f>IF('Inputs'!$B$51&gt;0,AG2862/('Inputs'!$B$19*'Inputs'!$B$51)*365,0)</x:f>
        <x:v>34433.656648648284</x:v>
      </x:c>
      <x:c r="AK2862" s="81" t="n">
        <x:f>W2862/MAX($W$2559:W2862)-1</x:f>
        <x:v>0</x:v>
      </x:c>
      <x:c r="AL2862" s="83" t="n">
        <x:f>'Inputs'!$B$51</x:f>
        <x:v>1</x:v>
      </x:c>
      <x:c r="AM2862" s="83" t="n">
        <x:f>'Inputs'!$C$51</x:f>
        <x:v>2</x:v>
      </x:c>
      <x:c r="AN2862" s="83" t="n">
        <x:f>'Inputs'!$D$51</x:f>
        <x:v>3</x:v>
      </x:c>
      <x:c r="AO2862" s="81" t="n">
        <x:f>'Inputs'!$E$51</x:f>
        <x:v>0.1</x:v>
      </x:c>
    </x:row>
    <x:row r="2863">
      <x:c r="A2863" s="59" t="str">
        <x:v>High demand</x:v>
      </x:c>
      <x:c r="B2863" s="59" t="n">
        <x:v>305</x:v>
      </x:c>
      <x:c r="C2863" s="78" t="n">
        <x:f>(('Inputs'!$B$29*(3*305*'Inputs'!$B$12-305^2)/(2*'Inputs'!$B$12^2))-('Inputs'!$B$29*(3*304*'Inputs'!$B$12-304^2)/(2*'Inputs'!$B$12^2)))*'Inputs'!$B$51</x:f>
        <x:v>612990.9457684457</x:v>
      </x:c>
      <x:c r="D2863" s="78" t="n">
        <x:f>IF('Inputs'!$C$51&gt;0,('Inputs'!$B$30*(3*305*'Inputs'!$B$12-305^2)/(2*'Inputs'!$B$12^2))-('Inputs'!$B$30*(3*304*'Inputs'!$B$12-304^2)/(2*'Inputs'!$B$12^2)),0)</x:f>
        <x:v>262710.40532933176</x:v>
      </x:c>
      <x:c r="E2863" s="78" t="n">
        <x:f>C2863+D2863</x:f>
        <x:v>875701.3510977775</x:v>
      </x:c>
      <x:c r="F2863" s="78" t="n">
        <x:f>'Inputs'!$B$13*E2863+(1-'Inputs'!$B$13)/'Inputs'!$B$14*SUM(E2808:E2863)</x:f>
        <x:v>885919.0279602198</x:v>
      </x:c>
      <x:c r="G2863" s="78" t="n">
        <x:f>F2863*'Inputs'!$F$51</x:f>
        <x:v>221479.75699005494</x:v>
      </x:c>
      <x:c r="H2863" s="78" t="n">
        <x:f>U2862</x:f>
        <x:v>447949.79866721167</x:v>
      </x:c>
      <x:c r="I2863" s="78" t="n">
        <x:f>V2862</x:f>
        <x:v>689025.4974776998</x:v>
      </x:c>
      <x:c r="J2863" s="79" t="n">
        <x:f>IF(H2863&gt;0,I2863/H2863,0)</x:f>
        <x:v>1.5381757052414409</x:v>
      </x:c>
      <x:c r="K2863" s="80" t="n">
        <x:f>(H2863*J2863+I2863)*'Inputs'!$D$51*(1+'Inputs'!$G$51)^(B2863/30)</x:f>
        <x:v>6789082.46972049</x:v>
      </x:c>
      <x:c r="L2863" s="80" t="n">
        <x:f>MAX(0,K2863*'Inputs'!$E$51)</x:f>
        <x:v>678908.2469720491</x:v>
      </x:c>
      <x:c r="M2863" s="80" t="n">
        <x:f>MAX(0,-K2863*'Inputs'!$E$51)</x:f>
        <x:v>0</x:v>
      </x:c>
      <x:c r="N2863" s="78" t="n">
        <x:f>H2863*(L2863*(1-'Inputs'!$B$15))/(I2863+L2863*(1-'Inputs'!$B$15))</x:f>
        <x:v>221192.98031204432</x:v>
      </x:c>
      <x:c r="O2863" s="78" t="n">
        <x:f>H2863-N2863</x:f>
        <x:v>226756.81835516734</x:v>
      </x:c>
      <x:c r="P2863" s="78" t="n">
        <x:f>I2863+L2863*(1-'Inputs'!$B$17)</x:f>
        <x:v>1365201.7193110283</x:v>
      </x:c>
      <x:c r="Q2863" s="78" t="n">
        <x:f>IF(J2863&gt;0,M2863/J2863,0)</x:f>
        <x:v>0</x:v>
      </x:c>
      <x:c r="R2863" s="78" t="n">
        <x:f>IF(B2863='Inputs'!$H$51,'Inputs'!$B$27*'Inputs'!$I$51,0)</x:f>
        <x:v>0</x:v>
      </x:c>
      <x:c r="S2863" s="78" t="n">
        <x:f>Q2863+G2863+R2863</x:f>
        <x:v>221479.75699005494</x:v>
      </x:c>
      <x:c r="T2863" s="78" t="n">
        <x:f>P2863*(S2863*(1-'Inputs'!$B$15))/(O2863+S2863*(1-'Inputs'!$B$15))</x:f>
        <x:v>671135.1653681967</x:v>
      </x:c>
      <x:c r="U2863" s="78" t="n">
        <x:f>O2863+S2863*(1-'Inputs'!$B$17)</x:f>
        <x:v>447345.3087174957</x:v>
      </x:c>
      <x:c r="V2863" s="78" t="n">
        <x:f>P2863-T2863</x:f>
        <x:v>694066.5539428316</x:v>
      </x:c>
      <x:c r="W2863" s="79" t="n">
        <x:f>IF(U2863&gt;0,V2863/U2863,0)</x:f>
        <x:v>1.5515230414121621</x:v>
      </x:c>
      <x:c r="X2863" s="80" t="n">
        <x:f>W2863*('Inputs'!$B$6-AC2863)</x:f>
        <x:v>1547352782.1089025</x:v>
      </x:c>
      <x:c r="Y2863" s="80" t="n">
        <x:f>2*V2863</x:f>
        <x:v>1388133.1078856632</x:v>
      </x:c>
      <x:c r="Z2863" s="80" t="n">
        <x:f>K2863*'Inputs'!$B$16+(G2863+R2863)*J2863*'Inputs'!$B$16</x:f>
        <x:v>42778.54350675223</x:v>
      </x:c>
      <x:c r="AA2863" s="80" t="n">
        <x:f>K2863*(1+'Inputs'!$E$51)/2*'Inputs'!$B$17</x:f>
        <x:v>15026.138262962859</x:v>
      </x:c>
      <x:c r="AB2863" s="78" t="n">
        <x:f>(IF(J2863&gt;0,K2863*(1-'Inputs'!$E$51)/2/J2863,0)+G2863+R2863)*'Inputs'!$B$17</x:f>
        <x:v>8883.925127239536</x:v>
      </x:c>
      <x:c r="AC2863" s="78" t="n">
        <x:f>AC2862+AB2863</x:f>
        <x:v>2687848.7730765073</x:v>
      </x:c>
      <x:c r="AD2863" s="80" t="n">
        <x:f>Z2863/(1+'Inputs'!$C$51)</x:f>
        <x:v>14259.514502250742</x:v>
      </x:c>
      <x:c r="AE2863" s="80" t="n">
        <x:f>Z2863-AD2863</x:f>
        <x:v>28519.029004501484</x:v>
      </x:c>
      <x:c r="AF2863" s="80" t="n">
        <x:f>D2863*W2863</x:f>
        <x:v>407601.24708718667</x:v>
      </x:c>
      <x:c r="AG2863" s="80" t="n">
        <x:f>C2863*W2863</x:f>
        <x:v>951069.5765367766</x:v>
      </x:c>
      <x:c r="AH2863" s="80" t="n">
        <x:f>2*'Inputs'!$B$8*'Inputs'!$C$51</x:f>
        <x:v>10000</x:v>
      </x:c>
      <x:c r="AI2863" s="81" t="n">
        <x:f>IF(AH2863&gt;0,(AE2863+AF2863)/AH2863*365,0)</x:f>
        <x:v>15918.390077346616</x:v>
      </x:c>
      <x:c r="AJ2863" s="81" t="n">
        <x:f>IF('Inputs'!$B$51&gt;0,AG2863/('Inputs'!$B$19*'Inputs'!$B$51)*365,0)</x:f>
        <x:v>34714.03954359235</x:v>
      </x:c>
      <x:c r="AK2863" s="81" t="n">
        <x:f>W2863/MAX($W$2559:W2863)-1</x:f>
        <x:v>0</x:v>
      </x:c>
      <x:c r="AL2863" s="83" t="n">
        <x:f>'Inputs'!$B$51</x:f>
        <x:v>1</x:v>
      </x:c>
      <x:c r="AM2863" s="83" t="n">
        <x:f>'Inputs'!$C$51</x:f>
        <x:v>2</x:v>
      </x:c>
      <x:c r="AN2863" s="83" t="n">
        <x:f>'Inputs'!$D$51</x:f>
        <x:v>3</x:v>
      </x:c>
      <x:c r="AO2863" s="81" t="n">
        <x:f>'Inputs'!$E$51</x:f>
        <x:v>0.1</x:v>
      </x:c>
    </x:row>
    <x:row r="2864">
      <x:c r="A2864" s="59" t="str">
        <x:v>High demand</x:v>
      </x:c>
      <x:c r="B2864" s="59" t="n">
        <x:v>306</x:v>
      </x:c>
      <x:c r="C2864" s="78" t="n">
        <x:f>(('Inputs'!$B$29*(3*306*'Inputs'!$B$12-306^2)/(2*'Inputs'!$B$12^2))-('Inputs'!$B$29*(3*305*'Inputs'!$B$12-305^2)/(2*'Inputs'!$B$12^2)))*'Inputs'!$B$51</x:f>
        <x:v>612665.8378682733</x:v>
      </x:c>
      <x:c r="D2864" s="78" t="n">
        <x:f>IF('Inputs'!$C$51&gt;0,('Inputs'!$B$30*(3*306*'Inputs'!$B$12-306^2)/(2*'Inputs'!$B$12^2))-('Inputs'!$B$30*(3*305*'Inputs'!$B$12-305^2)/(2*'Inputs'!$B$12^2)),0)</x:f>
        <x:v>262571.0733721107</x:v>
      </x:c>
      <x:c r="E2864" s="78" t="n">
        <x:f>C2864+D2864</x:f>
        <x:v>875236.911240384</x:v>
      </x:c>
      <x:c r="F2864" s="78" t="n">
        <x:f>'Inputs'!$B$13*E2864+(1-'Inputs'!$B$13)/'Inputs'!$B$14*SUM(E2809:E2864)</x:f>
        <x:v>885454.5881028338</x:v>
      </x:c>
      <x:c r="G2864" s="78" t="n">
        <x:f>F2864*'Inputs'!$F$51</x:f>
        <x:v>221363.64702570846</x:v>
      </x:c>
      <x:c r="H2864" s="78" t="n">
        <x:f>U2863</x:f>
        <x:v>447345.3087174957</x:v>
      </x:c>
      <x:c r="I2864" s="78" t="n">
        <x:f>V2863</x:f>
        <x:v>694066.5539428316</x:v>
      </x:c>
      <x:c r="J2864" s="79" t="n">
        <x:f>IF(H2864&gt;0,I2864/H2864,0)</x:f>
        <x:v>1.5515230414121621</x:v>
      </x:c>
      <x:c r="K2864" s="80" t="n">
        <x:f>(H2864*J2864+I2864)*'Inputs'!$D$51*(1+'Inputs'!$G$51)^(B2864/30)</x:f>
        <x:v>6849884.013095628</x:v>
      </x:c>
      <x:c r="L2864" s="80" t="n">
        <x:f>MAX(0,K2864*'Inputs'!$E$51)</x:f>
        <x:v>684988.4013095628</x:v>
      </x:c>
      <x:c r="M2864" s="80" t="n">
        <x:f>MAX(0,-K2864*'Inputs'!$E$51)</x:f>
        <x:v>0</x:v>
      </x:c>
      <x:c r="N2864" s="78" t="n">
        <x:f>H2864*(L2864*(1-'Inputs'!$B$15))/(I2864+L2864*(1-'Inputs'!$B$15))</x:f>
        <x:v>221076.34691892905</x:v>
      </x:c>
      <x:c r="O2864" s="78" t="n">
        <x:f>H2864-N2864</x:f>
        <x:v>226268.96179856666</x:v>
      </x:c>
      <x:c r="P2864" s="78" t="n">
        <x:f>I2864+L2864*(1-'Inputs'!$B$17)</x:f>
        <x:v>1376298.4626917925</x:v>
      </x:c>
      <x:c r="Q2864" s="78" t="n">
        <x:f>IF(J2864&gt;0,M2864/J2864,0)</x:f>
        <x:v>0</x:v>
      </x:c>
      <x:c r="R2864" s="78" t="n">
        <x:f>IF(B2864='Inputs'!$H$51,'Inputs'!$B$27*'Inputs'!$I$51,0)</x:f>
        <x:v>0</x:v>
      </x:c>
      <x:c r="S2864" s="78" t="n">
        <x:f>Q2864+G2864+R2864</x:f>
        <x:v>221363.64702570846</x:v>
      </x:c>
      <x:c r="T2864" s="78" t="n">
        <x:f>P2864*(S2864*(1-'Inputs'!$B$15))/(O2864+S2864*(1-'Inputs'!$B$15))</x:f>
        <x:v>677150.8205686267</x:v>
      </x:c>
      <x:c r="U2864" s="78" t="n">
        <x:f>O2864+S2864*(1-'Inputs'!$B$17)</x:f>
        <x:v>446741.8094398658</x:v>
      </x:c>
      <x:c r="V2864" s="78" t="n">
        <x:f>P2864-T2864</x:f>
        <x:v>699147.6421231658</x:v>
      </x:c>
      <x:c r="W2864" s="79" t="n">
        <x:f>IF(U2864&gt;0,V2864/U2864,0)</x:f>
        <x:v>1.5649926363502258</x:v>
      </x:c>
      <x:c r="X2864" s="80" t="n">
        <x:f>W2864*('Inputs'!$B$6-AC2864)</x:f>
        <x:v>1560772266.8141515</x:v>
      </x:c>
      <x:c r="Y2864" s="80" t="n">
        <x:f>2*V2864</x:f>
        <x:v>1398295.2842463315</x:v>
      </x:c>
      <x:c r="Z2864" s="80" t="n">
        <x:f>K2864*'Inputs'!$B$16+(G2864+R2864)*J2864*'Inputs'!$B$16</x:f>
        <x:v>43160.00887192226</x:v>
      </x:c>
      <x:c r="AA2864" s="80" t="n">
        <x:f>K2864*(1+'Inputs'!$E$51)/2*'Inputs'!$B$17</x:f>
        <x:v>15160.709083310245</x:v>
      </x:c>
      <x:c r="AB2864" s="78" t="n">
        <x:f>(IF(J2864&gt;0,K2864*(1-'Inputs'!$E$51)/2/J2864,0)+G2864+R2864)*'Inputs'!$B$17</x:f>
        <x:v>8885.663908895072</x:v>
      </x:c>
      <x:c r="AC2864" s="78" t="n">
        <x:f>AC2863+AB2864</x:f>
        <x:v>2696734.4369854024</x:v>
      </x:c>
      <x:c r="AD2864" s="80" t="n">
        <x:f>Z2864/(1+'Inputs'!$C$51)</x:f>
        <x:v>14386.669623974087</x:v>
      </x:c>
      <x:c r="AE2864" s="80" t="n">
        <x:f>Z2864-AD2864</x:f>
        <x:v>28773.339247948177</x:v>
      </x:c>
      <x:c r="AF2864" s="80" t="n">
        <x:f>D2864*W2864</x:f>
        <x:v>410921.79634592816</x:v>
      </x:c>
      <x:c r="AG2864" s="80" t="n">
        <x:f>C2864*W2864</x:f>
        <x:v>958817.524807189</x:v>
      </x:c>
      <x:c r="AH2864" s="80" t="n">
        <x:f>2*'Inputs'!$B$8*'Inputs'!$C$51</x:f>
        <x:v>10000</x:v>
      </x:c>
      <x:c r="AI2864" s="81" t="n">
        <x:f>IF(AH2864&gt;0,(AE2864+AF2864)/AH2864*365,0)</x:f>
        <x:v>16048.872449176488</x:v>
      </x:c>
      <x:c r="AJ2864" s="81" t="n">
        <x:f>IF('Inputs'!$B$51&gt;0,AG2864/('Inputs'!$B$19*'Inputs'!$B$51)*365,0)</x:f>
        <x:v>34996.8396554624</x:v>
      </x:c>
      <x:c r="AK2864" s="81" t="n">
        <x:f>W2864/MAX($W$2559:W2864)-1</x:f>
        <x:v>0</x:v>
      </x:c>
      <x:c r="AL2864" s="83" t="n">
        <x:f>'Inputs'!$B$51</x:f>
        <x:v>1</x:v>
      </x:c>
      <x:c r="AM2864" s="83" t="n">
        <x:f>'Inputs'!$C$51</x:f>
        <x:v>2</x:v>
      </x:c>
      <x:c r="AN2864" s="83" t="n">
        <x:f>'Inputs'!$D$51</x:f>
        <x:v>3</x:v>
      </x:c>
      <x:c r="AO2864" s="81" t="n">
        <x:f>'Inputs'!$E$51</x:f>
        <x:v>0.1</x:v>
      </x:c>
    </x:row>
    <x:row r="2865">
      <x:c r="A2865" s="59" t="str">
        <x:v>High demand</x:v>
      </x:c>
      <x:c r="B2865" s="59" t="n">
        <x:v>307</x:v>
      </x:c>
      <x:c r="C2865" s="78" t="n">
        <x:f>(('Inputs'!$B$29*(3*307*'Inputs'!$B$12-307^2)/(2*'Inputs'!$B$12^2))-('Inputs'!$B$29*(3*306*'Inputs'!$B$12-306^2)/(2*'Inputs'!$B$12^2)))*'Inputs'!$B$51</x:f>
        <x:v>612340.7299681008</x:v>
      </x:c>
      <x:c r="D2865" s="78" t="n">
        <x:f>IF('Inputs'!$C$51&gt;0,('Inputs'!$B$30*(3*307*'Inputs'!$B$12-307^2)/(2*'Inputs'!$B$12^2))-('Inputs'!$B$30*(3*306*'Inputs'!$B$12-306^2)/(2*'Inputs'!$B$12^2)),0)</x:f>
        <x:v>262431.7414149046</x:v>
      </x:c>
      <x:c r="E2865" s="78" t="n">
        <x:f>C2865+D2865</x:f>
        <x:v>874772.4713830054</x:v>
      </x:c>
      <x:c r="F2865" s="78" t="n">
        <x:f>'Inputs'!$B$13*E2865+(1-'Inputs'!$B$13)/'Inputs'!$B$14*SUM(E2810:E2865)</x:f>
        <x:v>884990.1482454509</x:v>
      </x:c>
      <x:c r="G2865" s="78" t="n">
        <x:f>F2865*'Inputs'!$F$51</x:f>
        <x:v>221247.53706136273</x:v>
      </x:c>
      <x:c r="H2865" s="78" t="n">
        <x:f>U2864</x:f>
        <x:v>446741.8094398658</x:v>
      </x:c>
      <x:c r="I2865" s="78" t="n">
        <x:f>V2864</x:f>
        <x:v>699147.6421231658</x:v>
      </x:c>
      <x:c r="J2865" s="79" t="n">
        <x:f>IF(H2865&gt;0,I2865/H2865,0)</x:f>
        <x:v>1.5649926363502258</x:v>
      </x:c>
      <x:c r="K2865" s="80" t="n">
        <x:f>(H2865*J2865+I2865)*'Inputs'!$D$51*(1+'Inputs'!$G$51)^(B2865/30)</x:f>
        <x:v>6911261.223190027</x:v>
      </x:c>
      <x:c r="L2865" s="80" t="n">
        <x:f>MAX(0,K2865*'Inputs'!$E$51)</x:f>
        <x:v>691126.1223190028</x:v>
      </x:c>
      <x:c r="M2865" s="80" t="n">
        <x:f>MAX(0,-K2865*'Inputs'!$E$51)</x:f>
        <x:v>0</x:v>
      </x:c>
      <x:c r="N2865" s="78" t="n">
        <x:f>H2865*(L2865*(1-'Inputs'!$B$15))/(I2865+L2865*(1-'Inputs'!$B$15))</x:f>
        <x:v>220959.7154616561</x:v>
      </x:c>
      <x:c r="O2865" s="78" t="n">
        <x:f>H2865-N2865</x:f>
        <x:v>225782.0939782097</x:v>
      </x:c>
      <x:c r="P2865" s="78" t="n">
        <x:f>I2865+L2865*(1-'Inputs'!$B$17)</x:f>
        <x:v>1387492.5728030577</x:v>
      </x:c>
      <x:c r="Q2865" s="78" t="n">
        <x:f>IF(J2865&gt;0,M2865/J2865,0)</x:f>
        <x:v>0</x:v>
      </x:c>
      <x:c r="R2865" s="78" t="n">
        <x:f>IF(B2865='Inputs'!$H$51,'Inputs'!$B$27*'Inputs'!$I$51,0)</x:f>
        <x:v>0</x:v>
      </x:c>
      <x:c r="S2865" s="78" t="n">
        <x:f>Q2865+G2865+R2865</x:f>
        <x:v>221247.53706136273</x:v>
      </x:c>
      <x:c r="T2865" s="78" t="n">
        <x:f>P2865*(S2865*(1-'Inputs'!$B$15))/(O2865+S2865*(1-'Inputs'!$B$15))</x:f>
        <x:v>683223.4715010612</x:v>
      </x:c>
      <x:c r="U2865" s="78" t="n">
        <x:f>O2865+S2865*(1-'Inputs'!$B$17)</x:f>
        <x:v>446139.2988984804</x:v>
      </x:c>
      <x:c r="V2865" s="78" t="n">
        <x:f>P2865-T2865</x:f>
        <x:v>704269.1013019965</x:v>
      </x:c>
      <x:c r="W2865" s="79" t="n">
        <x:f>IF(U2865&gt;0,V2865/U2865,0)</x:f>
        <x:v>1.578585663806886</x:v>
      </x:c>
      <x:c r="X2865" s="80" t="n">
        <x:f>W2865*('Inputs'!$B$6-AC2865)</x:f>
        <x:v>1574314607.9531863</x:v>
      </x:c>
      <x:c r="Y2865" s="80" t="n">
        <x:f>2*V2865</x:f>
        <x:v>1408538.202603993</x:v>
      </x:c>
      <x:c r="Z2865" s="80" t="n">
        <x:f>K2865*'Inputs'!$B$16+(G2865+R2865)*J2865*'Inputs'!$B$16</x:f>
        <x:v>43545.0719370101</x:v>
      </x:c>
      <x:c r="AA2865" s="80" t="n">
        <x:f>K2865*(1+'Inputs'!$E$51)/2*'Inputs'!$B$17</x:f>
        <x:v>15296.554015108715</x:v>
      </x:c>
      <x:c r="AB2865" s="78" t="n">
        <x:f>(IF(J2865&gt;0,K2865*(1-'Inputs'!$E$51)/2/J2865,0)+G2865+R2865)*'Inputs'!$B$17</x:f>
        <x:v>8887.406430965695</x:v>
      </x:c>
      <x:c r="AC2865" s="78" t="n">
        <x:f>AC2864+AB2865</x:f>
        <x:v>2705621.843416368</x:v>
      </x:c>
      <x:c r="AD2865" s="80" t="n">
        <x:f>Z2865/(1+'Inputs'!$C$51)</x:f>
        <x:v>14515.023979003367</x:v>
      </x:c>
      <x:c r="AE2865" s="80" t="n">
        <x:f>Z2865-AD2865</x:f>
        <x:v>29030.047958006733</x:v>
      </x:c>
      <x:c r="AF2865" s="80" t="n">
        <x:f>D2865*W2865</x:f>
        <x:v>414270.9847254442</x:v>
      </x:c>
      <x:c r="AG2865" s="80" t="n">
        <x:f>C2865*W2865</x:f>
        <x:v>966632.2976926875</x:v>
      </x:c>
      <x:c r="AH2865" s="80" t="n">
        <x:f>2*'Inputs'!$B$8*'Inputs'!$C$51</x:f>
        <x:v>10000</x:v>
      </x:c>
      <x:c r="AI2865" s="81" t="n">
        <x:f>IF(AH2865&gt;0,(AE2865+AF2865)/AH2865*365,0)</x:f>
        <x:v>16180.48769294596</x:v>
      </x:c>
      <x:c r="AJ2865" s="81" t="n">
        <x:f>IF('Inputs'!$B$51&gt;0,AG2865/('Inputs'!$B$19*'Inputs'!$B$51)*365,0)</x:f>
        <x:v>35282.07886578309</x:v>
      </x:c>
      <x:c r="AK2865" s="81" t="n">
        <x:f>W2865/MAX($W$2559:W2865)-1</x:f>
        <x:v>0</x:v>
      </x:c>
      <x:c r="AL2865" s="83" t="n">
        <x:f>'Inputs'!$B$51</x:f>
        <x:v>1</x:v>
      </x:c>
      <x:c r="AM2865" s="83" t="n">
        <x:f>'Inputs'!$C$51</x:f>
        <x:v>2</x:v>
      </x:c>
      <x:c r="AN2865" s="83" t="n">
        <x:f>'Inputs'!$D$51</x:f>
        <x:v>3</x:v>
      </x:c>
      <x:c r="AO2865" s="81" t="n">
        <x:f>'Inputs'!$E$51</x:f>
        <x:v>0.1</x:v>
      </x:c>
    </x:row>
    <x:row r="2866">
      <x:c r="A2866" s="59" t="str">
        <x:v>High demand</x:v>
      </x:c>
      <x:c r="B2866" s="59" t="n">
        <x:v>308</x:v>
      </x:c>
      <x:c r="C2866" s="78" t="n">
        <x:f>(('Inputs'!$B$29*(3*308*'Inputs'!$B$12-308^2)/(2*'Inputs'!$B$12^2))-('Inputs'!$B$29*(3*307*'Inputs'!$B$12-307^2)/(2*'Inputs'!$B$12^2)))*'Inputs'!$B$51</x:f>
        <x:v>612015.6220679283</x:v>
      </x:c>
      <x:c r="D2866" s="78" t="n">
        <x:f>IF('Inputs'!$C$51&gt;0,('Inputs'!$B$30*(3*308*'Inputs'!$B$12-308^2)/(2*'Inputs'!$B$12^2))-('Inputs'!$B$30*(3*307*'Inputs'!$B$12-307^2)/(2*'Inputs'!$B$12^2)),0)</x:f>
        <x:v>262292.40945768356</x:v>
      </x:c>
      <x:c r="E2866" s="78" t="n">
        <x:f>C2866+D2866</x:f>
        <x:v>874308.0315256119</x:v>
      </x:c>
      <x:c r="F2866" s="78" t="n">
        <x:f>'Inputs'!$B$13*E2866+(1-'Inputs'!$B$13)/'Inputs'!$B$14*SUM(E2811:E2866)</x:f>
        <x:v>884525.7083880651</x:v>
      </x:c>
      <x:c r="G2866" s="78" t="n">
        <x:f>F2866*'Inputs'!$F$51</x:f>
        <x:v>221131.42709701628</x:v>
      </x:c>
      <x:c r="H2866" s="78" t="n">
        <x:f>U2865</x:f>
        <x:v>446139.2988984804</x:v>
      </x:c>
      <x:c r="I2866" s="78" t="n">
        <x:f>V2865</x:f>
        <x:v>704269.1013019965</x:v>
      </x:c>
      <x:c r="J2866" s="79" t="n">
        <x:f>IF(H2866&gt;0,I2866/H2866,0)</x:f>
        <x:v>1.578585663806886</x:v>
      </x:c>
      <x:c r="K2866" s="80" t="n">
        <x:f>(H2866*J2866+I2866)*'Inputs'!$D$51*(1+'Inputs'!$G$51)^(B2866/30)</x:f>
        <x:v>6973219.816375129</x:v>
      </x:c>
      <x:c r="L2866" s="80" t="n">
        <x:f>MAX(0,K2866*'Inputs'!$E$51)</x:f>
        <x:v>697321.9816375129</x:v>
      </x:c>
      <x:c r="M2866" s="80" t="n">
        <x:f>MAX(0,-K2866*'Inputs'!$E$51)</x:f>
        <x:v>0</x:v>
      </x:c>
      <x:c r="N2866" s="78" t="n">
        <x:f>H2866*(L2866*(1-'Inputs'!$B$15))/(I2866+L2866*(1-'Inputs'!$B$15))</x:f>
        <x:v>220843.08593652592</x:v>
      </x:c>
      <x:c r="O2866" s="78" t="n">
        <x:f>H2866-N2866</x:f>
        <x:v>225296.2129619545</x:v>
      </x:c>
      <x:c r="P2866" s="78" t="n">
        <x:f>I2866+L2866*(1-'Inputs'!$B$17)</x:f>
        <x:v>1398784.9582649118</x:v>
      </x:c>
      <x:c r="Q2866" s="78" t="n">
        <x:f>IF(J2866&gt;0,M2866/J2866,0)</x:f>
        <x:v>0</x:v>
      </x:c>
      <x:c r="R2866" s="78" t="n">
        <x:f>IF(B2866='Inputs'!$H$51,'Inputs'!$B$27*'Inputs'!$I$51,0)</x:f>
        <x:v>0</x:v>
      </x:c>
      <x:c r="S2866" s="78" t="n">
        <x:f>Q2866+G2866+R2866</x:f>
        <x:v>221131.42709701628</x:v>
      </x:c>
      <x:c r="T2866" s="78" t="n">
        <x:f>P2866*(S2866*(1-'Inputs'!$B$15))/(O2866+S2866*(1-'Inputs'!$B$15))</x:f>
        <x:v>689353.6844678536</x:v>
      </x:c>
      <x:c r="U2866" s="78" t="n">
        <x:f>O2866+S2866*(1-'Inputs'!$B$17)</x:f>
        <x:v>445537.77516119607</x:v>
      </x:c>
      <x:c r="V2866" s="78" t="n">
        <x:f>P2866-T2866</x:f>
        <x:v>709431.2737970582</x:v>
      </x:c>
      <x:c r="W2866" s="79" t="n">
        <x:f>IF(U2866&gt;0,V2866/U2866,0)</x:f>
        <x:v>1.592303309276941</x:v>
      </x:c>
      <x:c r="X2866" s="80" t="n">
        <x:f>W2866*('Inputs'!$B$6-AC2866)</x:f>
        <x:v>1587980984.4347658</x:v>
      </x:c>
      <x:c r="Y2866" s="80" t="n">
        <x:f>2*V2866</x:f>
        <x:v>1418862.5475941163</x:v>
      </x:c>
      <x:c r="Z2866" s="80" t="n">
        <x:f>K2866*'Inputs'!$B$16+(G2866+R2866)*J2866*'Inputs'!$B$16</x:f>
        <x:v>43933.76830204581</x:v>
      </x:c>
      <x:c r="AA2866" s="80" t="n">
        <x:f>K2866*(1+'Inputs'!$E$51)/2*'Inputs'!$B$17</x:f>
        <x:v>15433.685710287007</x:v>
      </x:c>
      <x:c r="AB2866" s="78" t="n">
        <x:f>(IF(J2866&gt;0,K2866*(1-'Inputs'!$E$51)/2/J2866,0)+G2866+R2866)*'Inputs'!$B$17</x:f>
        <x:v>8889.152693938397</x:v>
      </x:c>
      <x:c r="AC2866" s="78" t="n">
        <x:f>AC2865+AB2866</x:f>
        <x:v>2714510.9961103066</x:v>
      </x:c>
      <x:c r="AD2866" s="80" t="n">
        <x:f>Z2866/(1+'Inputs'!$C$51)</x:f>
        <x:v>14644.589434015272</x:v>
      </x:c>
      <x:c r="AE2866" s="80" t="n">
        <x:f>Z2866-AD2866</x:f>
        <x:v>29289.17886803054</x:v>
      </x:c>
      <x:c r="AF2866" s="80" t="n">
        <x:f>D2866*W2866</x:f>
        <x:v>417649.07157769194</x:v>
      </x:c>
      <x:c r="AG2866" s="80" t="n">
        <x:f>C2866*W2866</x:f>
        <x:v>974514.5003479479</x:v>
      </x:c>
      <x:c r="AH2866" s="80" t="n">
        <x:f>2*'Inputs'!$B$8*'Inputs'!$C$51</x:f>
        <x:v>10000</x:v>
      </x:c>
      <x:c r="AI2866" s="81" t="n">
        <x:f>IF(AH2866&gt;0,(AE2866+AF2866)/AH2866*365,0)</x:f>
        <x:v>16313.246141268872</x:v>
      </x:c>
      <x:c r="AJ2866" s="81" t="n">
        <x:f>IF('Inputs'!$B$51&gt;0,AG2866/('Inputs'!$B$19*'Inputs'!$B$51)*365,0)</x:f>
        <x:v>35569.779262700096</x:v>
      </x:c>
      <x:c r="AK2866" s="81" t="n">
        <x:f>W2866/MAX($W$2559:W2866)-1</x:f>
        <x:v>0</x:v>
      </x:c>
      <x:c r="AL2866" s="83" t="n">
        <x:f>'Inputs'!$B$51</x:f>
        <x:v>1</x:v>
      </x:c>
      <x:c r="AM2866" s="83" t="n">
        <x:f>'Inputs'!$C$51</x:f>
        <x:v>2</x:v>
      </x:c>
      <x:c r="AN2866" s="83" t="n">
        <x:f>'Inputs'!$D$51</x:f>
        <x:v>3</x:v>
      </x:c>
      <x:c r="AO2866" s="81" t="n">
        <x:f>'Inputs'!$E$51</x:f>
        <x:v>0.1</x:v>
      </x:c>
    </x:row>
    <x:row r="2867">
      <x:c r="A2867" s="59" t="str">
        <x:v>High demand</x:v>
      </x:c>
      <x:c r="B2867" s="59" t="n">
        <x:v>309</x:v>
      </x:c>
      <x:c r="C2867" s="78" t="n">
        <x:f>(('Inputs'!$B$29*(3*309*'Inputs'!$B$12-309^2)/(2*'Inputs'!$B$12^2))-('Inputs'!$B$29*(3*308*'Inputs'!$B$12-308^2)/(2*'Inputs'!$B$12^2)))*'Inputs'!$B$51</x:f>
        <x:v>611690.5141677558</x:v>
      </x:c>
      <x:c r="D2867" s="78" t="n">
        <x:f>IF('Inputs'!$C$51&gt;0,('Inputs'!$B$30*(3*309*'Inputs'!$B$12-309^2)/(2*'Inputs'!$B$12^2))-('Inputs'!$B$30*(3*308*'Inputs'!$B$12-308^2)/(2*'Inputs'!$B$12^2)),0)</x:f>
        <x:v>262153.07750047743</x:v>
      </x:c>
      <x:c r="E2867" s="78" t="n">
        <x:f>C2867+D2867</x:f>
        <x:v>873843.5916682333</x:v>
      </x:c>
      <x:c r="F2867" s="78" t="n">
        <x:f>'Inputs'!$B$13*E2867+(1-'Inputs'!$B$13)/'Inputs'!$B$14*SUM(E2812:E2867)</x:f>
        <x:v>884061.2685306818</x:v>
      </x:c>
      <x:c r="G2867" s="78" t="n">
        <x:f>F2867*'Inputs'!$F$51</x:f>
        <x:v>221015.31713267046</x:v>
      </x:c>
      <x:c r="H2867" s="78" t="n">
        <x:f>U2866</x:f>
        <x:v>445537.77516119607</x:v>
      </x:c>
      <x:c r="I2867" s="78" t="n">
        <x:f>V2866</x:f>
        <x:v>709431.2737970582</x:v>
      </x:c>
      <x:c r="J2867" s="79" t="n">
        <x:f>IF(H2867&gt;0,I2867/H2867,0)</x:f>
        <x:v>1.592303309276941</x:v>
      </x:c>
      <x:c r="K2867" s="80" t="n">
        <x:f>(H2867*J2867+I2867)*'Inputs'!$D$51*(1+'Inputs'!$G$51)^(B2867/30)</x:f>
        <x:v>7035765.568184101</x:v>
      </x:c>
      <x:c r="L2867" s="80" t="n">
        <x:f>MAX(0,K2867*'Inputs'!$E$51)</x:f>
        <x:v>703576.5568184102</x:v>
      </x:c>
      <x:c r="M2867" s="80" t="n">
        <x:f>MAX(0,-K2867*'Inputs'!$E$51)</x:f>
        <x:v>0</x:v>
      </x:c>
      <x:c r="N2867" s="78" t="n">
        <x:f>H2867*(L2867*(1-'Inputs'!$B$15))/(I2867+L2867*(1-'Inputs'!$B$15))</x:f>
        <x:v>220726.45833984474</x:v>
      </x:c>
      <x:c r="O2867" s="78" t="n">
        <x:f>H2867-N2867</x:f>
        <x:v>224811.31682135133</x:v>
      </x:c>
      <x:c r="P2867" s="78" t="n">
        <x:f>I2867+L2867*(1-'Inputs'!$B$17)</x:f>
        <x:v>1410176.5366242472</x:v>
      </x:c>
      <x:c r="Q2867" s="78" t="n">
        <x:f>IF(J2867&gt;0,M2867/J2867,0)</x:f>
        <x:v>0</x:v>
      </x:c>
      <x:c r="R2867" s="78" t="n">
        <x:f>IF(B2867='Inputs'!$H$51,'Inputs'!$B$27*'Inputs'!$I$51,0)</x:f>
        <x:v>0</x:v>
      </x:c>
      <x:c r="S2867" s="78" t="n">
        <x:f>Q2867+G2867+R2867</x:f>
        <x:v>221015.31713267046</x:v>
      </x:c>
      <x:c r="T2867" s="78" t="n">
        <x:f>P2867*(S2867*(1-'Inputs'!$B$15))/(O2867+S2867*(1-'Inputs'!$B$15))</x:f>
        <x:v>695542.0316353238</x:v>
      </x:c>
      <x:c r="U2867" s="78" t="n">
        <x:f>O2867+S2867*(1-'Inputs'!$B$17)</x:f>
        <x:v>444937.23629956436</x:v>
      </x:c>
      <x:c r="V2867" s="78" t="n">
        <x:f>P2867-T2867</x:f>
        <x:v>714634.5049889234</x:v>
      </x:c>
      <x:c r="W2867" s="79" t="n">
        <x:f>IF(U2867&gt;0,V2867/U2867,0)</x:f>
        <x:v>1.6061467701205818</x:v>
      </x:c>
      <x:c r="X2867" s="80" t="n">
        <x:f>W2867*('Inputs'!$B$6-AC2867)</x:f>
        <x:v>1601772586.95707</x:v>
      </x:c>
      <x:c r="Y2867" s="80" t="n">
        <x:f>2*V2867</x:f>
        <x:v>1429269.0099778469</x:v>
      </x:c>
      <x:c r="Z2867" s="80" t="n">
        <x:f>K2867*'Inputs'!$B$16+(G2867+R2867)*J2867*'Inputs'!$B$16</x:f>
        <x:v>44326.13393433207</x:v>
      </x:c>
      <x:c r="AA2867" s="80" t="n">
        <x:f>K2867*(1+'Inputs'!$E$51)/2*'Inputs'!$B$17</x:f>
        <x:v>15572.116951715318</x:v>
      </x:c>
      <x:c r="AB2867" s="78" t="n">
        <x:f>(IF(J2867&gt;0,K2867*(1-'Inputs'!$E$51)/2/J2867,0)+G2867+R2867)*'Inputs'!$B$17</x:f>
        <x:v>8890.902698292266</x:v>
      </x:c>
      <x:c r="AC2867" s="78" t="n">
        <x:f>AC2866+AB2867</x:f>
        <x:v>2723401.898808599</x:v>
      </x:c>
      <x:c r="AD2867" s="80" t="n">
        <x:f>Z2867/(1+'Inputs'!$C$51)</x:f>
        <x:v>14775.377978110691</x:v>
      </x:c>
      <x:c r="AE2867" s="80" t="n">
        <x:f>Z2867-AD2867</x:f>
        <x:v>29550.75595622138</x:v>
      </x:c>
      <x:c r="AF2867" s="80" t="n">
        <x:f>D2867*W2867</x:f>
        <x:v>421056.3187045624</x:v>
      </x:c>
      <x:c r="AG2867" s="80" t="n">
        <x:f>C2867*W2867</x:f>
        <x:v>982464.743643939</x:v>
      </x:c>
      <x:c r="AH2867" s="80" t="n">
        <x:f>2*'Inputs'!$B$8*'Inputs'!$C$51</x:f>
        <x:v>10000</x:v>
      </x:c>
      <x:c r="AI2867" s="81" t="n">
        <x:f>IF(AH2867&gt;0,(AE2867+AF2867)/AH2867*365,0)</x:f>
        <x:v>16447.15822511861</x:v>
      </x:c>
      <x:c r="AJ2867" s="81" t="n">
        <x:f>IF('Inputs'!$B$51&gt;0,AG2867/('Inputs'!$B$19*'Inputs'!$B$51)*365,0)</x:f>
        <x:v>35859.96314300378</x:v>
      </x:c>
      <x:c r="AK2867" s="81" t="n">
        <x:f>W2867/MAX($W$2559:W2867)-1</x:f>
        <x:v>0</x:v>
      </x:c>
      <x:c r="AL2867" s="83" t="n">
        <x:f>'Inputs'!$B$51</x:f>
        <x:v>1</x:v>
      </x:c>
      <x:c r="AM2867" s="83" t="n">
        <x:f>'Inputs'!$C$51</x:f>
        <x:v>2</x:v>
      </x:c>
      <x:c r="AN2867" s="83" t="n">
        <x:f>'Inputs'!$D$51</x:f>
        <x:v>3</x:v>
      </x:c>
      <x:c r="AO2867" s="81" t="n">
        <x:f>'Inputs'!$E$51</x:f>
        <x:v>0.1</x:v>
      </x:c>
    </x:row>
    <x:row r="2868">
      <x:c r="A2868" s="59" t="str">
        <x:v>High demand</x:v>
      </x:c>
      <x:c r="B2868" s="59" t="n">
        <x:v>310</x:v>
      </x:c>
      <x:c r="C2868" s="78" t="n">
        <x:f>(('Inputs'!$B$29*(3*310*'Inputs'!$B$12-310^2)/(2*'Inputs'!$B$12^2))-('Inputs'!$B$29*(3*309*'Inputs'!$B$12-309^2)/(2*'Inputs'!$B$12^2)))*'Inputs'!$B$51</x:f>
        <x:v>611365.4062675834</x:v>
      </x:c>
      <x:c r="D2868" s="78" t="n">
        <x:f>IF('Inputs'!$C$51&gt;0,('Inputs'!$B$30*(3*310*'Inputs'!$B$12-310^2)/(2*'Inputs'!$B$12^2))-('Inputs'!$B$30*(3*309*'Inputs'!$B$12-309^2)/(2*'Inputs'!$B$12^2)),0)</x:f>
        <x:v>262013.7455432415</x:v>
      </x:c>
      <x:c r="E2868" s="78" t="n">
        <x:f>C2868+D2868</x:f>
        <x:v>873379.1518108249</x:v>
      </x:c>
      <x:c r="F2868" s="78" t="n">
        <x:f>'Inputs'!$B$13*E2868+(1-'Inputs'!$B$13)/'Inputs'!$B$14*SUM(E2813:E2868)</x:f>
        <x:v>883596.8286732928</x:v>
      </x:c>
      <x:c r="G2868" s="78" t="n">
        <x:f>F2868*'Inputs'!$F$51</x:f>
        <x:v>220899.2071683232</x:v>
      </x:c>
      <x:c r="H2868" s="78" t="n">
        <x:f>U2867</x:f>
        <x:v>444937.23629956436</x:v>
      </x:c>
      <x:c r="I2868" s="78" t="n">
        <x:f>V2867</x:f>
        <x:v>714634.5049889234</x:v>
      </x:c>
      <x:c r="J2868" s="79" t="n">
        <x:f>IF(H2868&gt;0,I2868/H2868,0)</x:f>
        <x:v>1.6061467701205818</x:v>
      </x:c>
      <x:c r="K2868" s="80" t="n">
        <x:f>(H2868*J2868+I2868)*'Inputs'!$D$51*(1+'Inputs'!$G$51)^(B2868/30)</x:f>
        <x:v>7098904.3139467295</x:v>
      </x:c>
      <x:c r="L2868" s="80" t="n">
        <x:f>MAX(0,K2868*'Inputs'!$E$51)</x:f>
        <x:v>709890.431394673</x:v>
      </x:c>
      <x:c r="M2868" s="80" t="n">
        <x:f>MAX(0,-K2868*'Inputs'!$E$51)</x:f>
        <x:v>0</x:v>
      </x:c>
      <x:c r="N2868" s="78" t="n">
        <x:f>H2868*(L2868*(1-'Inputs'!$B$15))/(I2868+L2868*(1-'Inputs'!$B$15))</x:f>
        <x:v>220609.83266792676</x:v>
      </x:c>
      <x:c r="O2868" s="78" t="n">
        <x:f>H2868-N2868</x:f>
        <x:v>224327.4036316376</x:v>
      </x:c>
      <x:c r="P2868" s="78" t="n">
        <x:f>I2868+L2868*(1-'Inputs'!$B$17)</x:f>
        <x:v>1421668.2344463945</x:v>
      </x:c>
      <x:c r="Q2868" s="78" t="n">
        <x:f>IF(J2868&gt;0,M2868/J2868,0)</x:f>
        <x:v>0</x:v>
      </x:c>
      <x:c r="R2868" s="78" t="n">
        <x:f>IF(B2868='Inputs'!$H$51,'Inputs'!$B$27*'Inputs'!$I$51,0)</x:f>
        <x:v>0</x:v>
      </x:c>
      <x:c r="S2868" s="78" t="n">
        <x:f>Q2868+G2868+R2868</x:f>
        <x:v>220899.2071683232</x:v>
      </x:c>
      <x:c r="T2868" s="78" t="n">
        <x:f>P2868*(S2868*(1-'Inputs'!$B$15))/(O2868+S2868*(1-'Inputs'!$B$15))</x:f>
        <x:v>701789.0910967003</x:v>
      </x:c>
      <x:c r="U2868" s="78" t="n">
        <x:f>O2868+S2868*(1-'Inputs'!$B$17)</x:f>
        <x:v>444337.68038882065</x:v>
      </x:c>
      <x:c r="V2868" s="78" t="n">
        <x:f>P2868-T2868</x:f>
        <x:v>719879.1433496942</x:v>
      </x:c>
      <x:c r="W2868" s="79" t="n">
        <x:f>IF(U2868&gt;0,V2868/U2868,0)</x:f>
        <x:v>1.6201172556866192</x:v>
      </x:c>
      <x:c r="X2868" s="80" t="n">
        <x:f>W2868*('Inputs'!$B$6-AC2868)</x:f>
        <x:v>1615690618.130035</x:v>
      </x:c>
      <x:c r="Y2868" s="80" t="n">
        <x:f>2*V2868</x:f>
        <x:v>1439758.2866993884</x:v>
      </x:c>
      <x:c r="Z2868" s="80" t="n">
        <x:f>K2868*'Inputs'!$B$16+(G2868+R2868)*J2868*'Inputs'!$B$16</x:f>
        <x:v>44722.20517237398</x:v>
      </x:c>
      <x:c r="AA2868" s="80" t="n">
        <x:f>K2868*(1+'Inputs'!$E$51)/2*'Inputs'!$B$17</x:f>
        <x:v>15711.860654610471</x:v>
      </x:c>
      <x:c r="AB2868" s="78" t="n">
        <x:f>(IF(J2868&gt;0,K2868*(1-'Inputs'!$E$51)/2/J2868,0)+G2868+R2868)*'Inputs'!$B$17</x:f>
        <x:v>8892.656444498505</x:v>
      </x:c>
      <x:c r="AC2868" s="78" t="n">
        <x:f>AC2867+AB2868</x:f>
        <x:v>2732294.5552530973</x:v>
      </x:c>
      <x:c r="AD2868" s="80" t="n">
        <x:f>Z2868/(1+'Inputs'!$C$51)</x:f>
        <x:v>14907.40172412466</x:v>
      </x:c>
      <x:c r="AE2868" s="80" t="n">
        <x:f>Z2868-AD2868</x:f>
        <x:v>29814.803448249317</x:v>
      </x:c>
      <x:c r="AF2868" s="80" t="n">
        <x:f>D2868*W2868</x:f>
        <x:v>424492.9903816886</x:v>
      </x:c>
      <x:c r="AG2868" s="80" t="n">
        <x:f>C2868*W2868</x:f>
        <x:v>990483.6442239722</x:v>
      </x:c>
      <x:c r="AH2868" s="80" t="n">
        <x:f>2*'Inputs'!$B$8*'Inputs'!$C$51</x:f>
        <x:v>10000</x:v>
      </x:c>
      <x:c r="AI2868" s="81" t="n">
        <x:f>IF(AH2868&gt;0,(AE2868+AF2868)/AH2868*365,0)</x:f>
        <x:v>16582.234474792735</x:v>
      </x:c>
      <x:c r="AJ2868" s="81" t="n">
        <x:f>IF('Inputs'!$B$51&gt;0,AG2868/('Inputs'!$B$19*'Inputs'!$B$51)*365,0)</x:f>
        <x:v>36152.65301417499</x:v>
      </x:c>
      <x:c r="AK2868" s="81" t="n">
        <x:f>W2868/MAX($W$2559:W2868)-1</x:f>
        <x:v>0</x:v>
      </x:c>
      <x:c r="AL2868" s="83" t="n">
        <x:f>'Inputs'!$B$51</x:f>
        <x:v>1</x:v>
      </x:c>
      <x:c r="AM2868" s="83" t="n">
        <x:f>'Inputs'!$C$51</x:f>
        <x:v>2</x:v>
      </x:c>
      <x:c r="AN2868" s="83" t="n">
        <x:f>'Inputs'!$D$51</x:f>
        <x:v>3</x:v>
      </x:c>
      <x:c r="AO2868" s="81" t="n">
        <x:f>'Inputs'!$E$51</x:f>
        <x:v>0.1</x:v>
      </x:c>
    </x:row>
    <x:row r="2869">
      <x:c r="A2869" s="59" t="str">
        <x:v>High demand</x:v>
      </x:c>
      <x:c r="B2869" s="59" t="n">
        <x:v>311</x:v>
      </x:c>
      <x:c r="C2869" s="78" t="n">
        <x:f>(('Inputs'!$B$29*(3*311*'Inputs'!$B$12-311^2)/(2*'Inputs'!$B$12^2))-('Inputs'!$B$29*(3*310*'Inputs'!$B$12-310^2)/(2*'Inputs'!$B$12^2)))*'Inputs'!$B$51</x:f>
        <x:v>611040.2983674109</x:v>
      </x:c>
      <x:c r="D2869" s="78" t="n">
        <x:f>IF('Inputs'!$C$51&gt;0,('Inputs'!$B$30*(3*311*'Inputs'!$B$12-311^2)/(2*'Inputs'!$B$12^2))-('Inputs'!$B$30*(3*310*'Inputs'!$B$12-310^2)/(2*'Inputs'!$B$12^2)),0)</x:f>
        <x:v>261874.41358605027</x:v>
      </x:c>
      <x:c r="E2869" s="78" t="n">
        <x:f>C2869+D2869</x:f>
        <x:v>872914.7119534612</x:v>
      </x:c>
      <x:c r="F2869" s="78" t="n">
        <x:f>'Inputs'!$B$13*E2869+(1-'Inputs'!$B$13)/'Inputs'!$B$14*SUM(E2814:E2869)</x:f>
        <x:v>883132.3888159127</x:v>
      </x:c>
      <x:c r="G2869" s="78" t="n">
        <x:f>F2869*'Inputs'!$F$51</x:f>
        <x:v>220783.09720397816</x:v>
      </x:c>
      <x:c r="H2869" s="78" t="n">
        <x:f>U2868</x:f>
        <x:v>444337.68038882065</x:v>
      </x:c>
      <x:c r="I2869" s="78" t="n">
        <x:f>V2868</x:f>
        <x:v>719879.1433496942</x:v>
      </x:c>
      <x:c r="J2869" s="79" t="n">
        <x:f>IF(H2869&gt;0,I2869/H2869,0)</x:f>
        <x:v>1.6201172556866192</x:v>
      </x:c>
      <x:c r="K2869" s="80" t="n">
        <x:f>(H2869*J2869+I2869)*'Inputs'!$D$51*(1+'Inputs'!$G$51)^(B2869/30)</x:f>
        <x:v>7162641.949431523</x:v>
      </x:c>
      <x:c r="L2869" s="80" t="n">
        <x:f>MAX(0,K2869*'Inputs'!$E$51)</x:f>
        <x:v>716264.1949431524</x:v>
      </x:c>
      <x:c r="M2869" s="80" t="n">
        <x:f>MAX(0,-K2869*'Inputs'!$E$51)</x:f>
        <x:v>0</x:v>
      </x:c>
      <x:c r="N2869" s="78" t="n">
        <x:f>H2869*(L2869*(1-'Inputs'!$B$15))/(I2869+L2869*(1-'Inputs'!$B$15))</x:f>
        <x:v>220493.2089170921</x:v>
      </x:c>
      <x:c r="O2869" s="78" t="n">
        <x:f>H2869-N2869</x:f>
        <x:v>223844.47147172855</x:v>
      </x:c>
      <x:c r="P2869" s="78" t="n">
        <x:f>I2869+L2869*(1-'Inputs'!$B$17)</x:f>
        <x:v>1433260.9874077635</x:v>
      </x:c>
      <x:c r="Q2869" s="78" t="n">
        <x:f>IF(J2869&gt;0,M2869/J2869,0)</x:f>
        <x:v>0</x:v>
      </x:c>
      <x:c r="R2869" s="78" t="n">
        <x:f>IF(B2869='Inputs'!$H$51,'Inputs'!$B$27*'Inputs'!$I$51,0)</x:f>
        <x:v>0</x:v>
      </x:c>
      <x:c r="S2869" s="78" t="n">
        <x:f>Q2869+G2869+R2869</x:f>
        <x:v>220783.09720397816</x:v>
      </x:c>
      <x:c r="T2869" s="78" t="n">
        <x:f>P2869*(S2869*(1-'Inputs'!$B$15))/(O2869+S2869*(1-'Inputs'!$B$15))</x:f>
        <x:v>708095.4469358121</x:v>
      </x:c>
      <x:c r="U2869" s="78" t="n">
        <x:f>O2869+S2869*(1-'Inputs'!$B$17)</x:f>
        <x:v>443739.1055078838</x:v>
      </x:c>
      <x:c r="V2869" s="78" t="n">
        <x:f>P2869-T2869</x:f>
        <x:v>725165.5404719514</x:v>
      </x:c>
      <x:c r="W2869" s="79" t="n">
        <x:f>IF(U2869&gt;0,V2869/U2869,0)</x:f>
        <x:v>1.634215987436941</x:v>
      </x:c>
      <x:c r="X2869" s="80" t="n">
        <x:f>W2869*('Inputs'!$B$6-AC2869)</x:f>
        <x:v>1629736292.5989115</x:v>
      </x:c>
      <x:c r="Y2869" s="80" t="n">
        <x:f>2*V2869</x:f>
        <x:v>1450331.0809439027</x:v>
      </x:c>
      <x:c r="Z2869" s="80" t="n">
        <x:f>K2869*'Inputs'!$B$16+(G2869+R2869)*J2869*'Inputs'!$B$16</x:f>
        <x:v>45122.01872985375</x:v>
      </x:c>
      <x:c r="AA2869" s="80" t="n">
        <x:f>K2869*(1+'Inputs'!$E$51)/2*'Inputs'!$B$17</x:f>
        <x:v>15852.929867957097</x:v>
      </x:c>
      <x:c r="AB2869" s="78" t="n">
        <x:f>(IF(J2869&gt;0,K2869*(1-'Inputs'!$E$51)/2/J2869,0)+G2869+R2869)*'Inputs'!$B$17</x:f>
        <x:v>8894.413933020363</x:v>
      </x:c>
      <x:c r="AC2869" s="78" t="n">
        <x:f>AC2868+AB2869</x:f>
        <x:v>2741188.969186118</x:v>
      </x:c>
      <x:c r="AD2869" s="80" t="n">
        <x:f>Z2869/(1+'Inputs'!$C$51)</x:f>
        <x:v>15040.67290995125</x:v>
      </x:c>
      <x:c r="AE2869" s="80" t="n">
        <x:f>Z2869-AD2869</x:f>
        <x:v>30081.345819902497</x:v>
      </x:c>
      <x:c r="AF2869" s="80" t="n">
        <x:f>D2869*W2869</x:f>
        <x:v>427959.35338299704</x:v>
      </x:c>
      <x:c r="AG2869" s="80" t="n">
        <x:f>C2869*W2869</x:f>
        <x:v>998571.8245602614</x:v>
      </x:c>
      <x:c r="AH2869" s="80" t="n">
        <x:f>2*'Inputs'!$B$8*'Inputs'!$C$51</x:f>
        <x:v>10000</x:v>
      </x:c>
      <x:c r="AI2869" s="81" t="n">
        <x:f>IF(AH2869&gt;0,(AE2869+AF2869)/AH2869*365,0)</x:f>
        <x:v>16718.485520905833</x:v>
      </x:c>
      <x:c r="AJ2869" s="81" t="n">
        <x:f>IF('Inputs'!$B$51&gt;0,AG2869/('Inputs'!$B$19*'Inputs'!$B$51)*365,0)</x:f>
        <x:v>36447.87159644954</x:v>
      </x:c>
      <x:c r="AK2869" s="81" t="n">
        <x:f>W2869/MAX($W$2559:W2869)-1</x:f>
        <x:v>0</x:v>
      </x:c>
      <x:c r="AL2869" s="83" t="n">
        <x:f>'Inputs'!$B$51</x:f>
        <x:v>1</x:v>
      </x:c>
      <x:c r="AM2869" s="83" t="n">
        <x:f>'Inputs'!$C$51</x:f>
        <x:v>2</x:v>
      </x:c>
      <x:c r="AN2869" s="83" t="n">
        <x:f>'Inputs'!$D$51</x:f>
        <x:v>3</x:v>
      </x:c>
      <x:c r="AO2869" s="81" t="n">
        <x:f>'Inputs'!$E$51</x:f>
        <x:v>0.1</x:v>
      </x:c>
    </x:row>
    <x:row r="2870">
      <x:c r="A2870" s="59" t="str">
        <x:v>High demand</x:v>
      </x:c>
      <x:c r="B2870" s="59" t="n">
        <x:v>312</x:v>
      </x:c>
      <x:c r="C2870" s="78" t="n">
        <x:f>(('Inputs'!$B$29*(3*312*'Inputs'!$B$12-312^2)/(2*'Inputs'!$B$12^2))-('Inputs'!$B$29*(3*311*'Inputs'!$B$12-311^2)/(2*'Inputs'!$B$12^2)))*'Inputs'!$B$51</x:f>
        <x:v>610715.1904672682</x:v>
      </x:c>
      <x:c r="D2870" s="78" t="n">
        <x:f>IF('Inputs'!$C$51&gt;0,('Inputs'!$B$30*(3*312*'Inputs'!$B$12-312^2)/(2*'Inputs'!$B$12^2))-('Inputs'!$B$30*(3*311*'Inputs'!$B$12-311^2)/(2*'Inputs'!$B$12^2)),0)</x:f>
        <x:v>261735.08162881434</x:v>
      </x:c>
      <x:c r="E2870" s="78" t="n">
        <x:f>C2870+D2870</x:f>
        <x:v>872450.2720960826</x:v>
      </x:c>
      <x:c r="F2870" s="78" t="n">
        <x:f>'Inputs'!$B$13*E2870+(1-'Inputs'!$B$13)/'Inputs'!$B$14*SUM(E2815:E2870)</x:f>
        <x:v>882667.9489585296</x:v>
      </x:c>
      <x:c r="G2870" s="78" t="n">
        <x:f>F2870*'Inputs'!$F$51</x:f>
        <x:v>220666.9872396324</x:v>
      </x:c>
      <x:c r="H2870" s="78" t="n">
        <x:f>U2869</x:f>
        <x:v>443739.1055078838</x:v>
      </x:c>
      <x:c r="I2870" s="78" t="n">
        <x:f>V2869</x:f>
        <x:v>725165.5404719514</x:v>
      </x:c>
      <x:c r="J2870" s="79" t="n">
        <x:f>IF(H2870&gt;0,I2870/H2870,0)</x:f>
        <x:v>1.634215987436941</x:v>
      </x:c>
      <x:c r="K2870" s="80" t="n">
        <x:f>(H2870*J2870+I2870)*'Inputs'!$D$51*(1+'Inputs'!$G$51)^(B2870/30)</x:f>
        <x:v>7226984.431494703</x:v>
      </x:c>
      <x:c r="L2870" s="80" t="n">
        <x:f>MAX(0,K2870*'Inputs'!$E$51)</x:f>
        <x:v>722698.4431494703</x:v>
      </x:c>
      <x:c r="M2870" s="80" t="n">
        <x:f>MAX(0,-K2870*'Inputs'!$E$51)</x:f>
        <x:v>0</x:v>
      </x:c>
      <x:c r="N2870" s="78" t="n">
        <x:f>H2870*(L2870*(1-'Inputs'!$B$15))/(I2870+L2870*(1-'Inputs'!$B$15))</x:f>
        <x:v>220376.58708366955</x:v>
      </x:c>
      <x:c r="O2870" s="78" t="n">
        <x:f>H2870-N2870</x:f>
        <x:v>223362.51842421427</x:v>
      </x:c>
      <x:c r="P2870" s="78" t="n">
        <x:f>I2870+L2870*(1-'Inputs'!$B$17)</x:f>
        <x:v>1444955.7403894318</x:v>
      </x:c>
      <x:c r="Q2870" s="78" t="n">
        <x:f>IF(J2870&gt;0,M2870/J2870,0)</x:f>
        <x:v>0</x:v>
      </x:c>
      <x:c r="R2870" s="78" t="n">
        <x:f>IF(B2870='Inputs'!$H$51,'Inputs'!$B$27*'Inputs'!$I$51,0)</x:f>
        <x:v>0</x:v>
      </x:c>
      <x:c r="S2870" s="78" t="n">
        <x:f>Q2870+G2870+R2870</x:f>
        <x:v>220666.9872396324</x:v>
      </x:c>
      <x:c r="T2870" s="78" t="n">
        <x:f>P2870*(S2870*(1-'Inputs'!$B$15))/(O2870+S2870*(1-'Inputs'!$B$15))</x:f>
        <x:v>714461.689291419</x:v>
      </x:c>
      <x:c r="U2870" s="78" t="n">
        <x:f>O2870+S2870*(1-'Inputs'!$B$17)</x:f>
        <x:v>443141.5097393411</x:v>
      </x:c>
      <x:c r="V2870" s="78" t="n">
        <x:f>P2870-T2870</x:f>
        <x:v>730494.0510980128</x:v>
      </x:c>
      <x:c r="W2870" s="79" t="n">
        <x:f>IF(U2870&gt;0,V2870/U2870,0)</x:f>
        <x:v>1.648444199072424</x:v>
      </x:c>
      <x:c r="X2870" s="80" t="n">
        <x:f>W2870*('Inputs'!$B$6-AC2870)</x:f>
        <x:v>1643910837.1692643</x:v>
      </x:c>
      <x:c r="Y2870" s="80" t="n">
        <x:f>2*V2870</x:f>
        <x:v>1460988.1021960257</x:v>
      </x:c>
      <x:c r="Z2870" s="80" t="n">
        <x:f>K2870*'Inputs'!$B$16+(G2870+R2870)*J2870*'Inputs'!$B$16</x:f>
        <x:v>45525.611699647525</x:v>
      </x:c>
      <x:c r="AA2870" s="80" t="n">
        <x:f>K2870*(1+'Inputs'!$E$51)/2*'Inputs'!$B$17</x:f>
        <x:v>15995.337775944012</x:v>
      </x:c>
      <x:c r="AB2870" s="78" t="n">
        <x:f>(IF(J2870&gt;0,K2870*(1-'Inputs'!$E$51)/2/J2870,0)+G2870+R2870)*'Inputs'!$B$17</x:f>
        <x:v>8896.175164313165</x:v>
      </x:c>
      <x:c r="AC2870" s="78" t="n">
        <x:f>AC2869+AB2870</x:f>
        <x:v>2750085.144350431</x:v>
      </x:c>
      <x:c r="AD2870" s="80" t="n">
        <x:f>Z2870/(1+'Inputs'!$C$51)</x:f>
        <x:v>15175.203899882508</x:v>
      </x:c>
      <x:c r="AE2870" s="80" t="n">
        <x:f>Z2870-AD2870</x:f>
        <x:v>30350.407799765017</x:v>
      </x:c>
      <x:c r="AF2870" s="80" t="n">
        <x:f>D2870*W2870</x:f>
        <x:v>431455.67700476636</x:v>
      </x:c>
      <x:c r="AG2870" s="80" t="n">
        <x:f>C2870*W2870</x:f>
        <x:v>1006729.9130111788</x:v>
      </x:c>
      <x:c r="AH2870" s="80" t="n">
        <x:f>2*'Inputs'!$B$8*'Inputs'!$C$51</x:f>
        <x:v>10000</x:v>
      </x:c>
      <x:c r="AI2870" s="81" t="n">
        <x:f>IF(AH2870&gt;0,(AE2870+AF2870)/AH2870*365,0)</x:f>
        <x:v>16855.922095365397</x:v>
      </x:c>
      <x:c r="AJ2870" s="81" t="n">
        <x:f>IF('Inputs'!$B$51&gt;0,AG2870/('Inputs'!$B$19*'Inputs'!$B$51)*365,0)</x:f>
        <x:v>36745.64182490803</x:v>
      </x:c>
      <x:c r="AK2870" s="81" t="n">
        <x:f>W2870/MAX($W$2559:W2870)-1</x:f>
        <x:v>0</x:v>
      </x:c>
      <x:c r="AL2870" s="83" t="n">
        <x:f>'Inputs'!$B$51</x:f>
        <x:v>1</x:v>
      </x:c>
      <x:c r="AM2870" s="83" t="n">
        <x:f>'Inputs'!$C$51</x:f>
        <x:v>2</x:v>
      </x:c>
      <x:c r="AN2870" s="83" t="n">
        <x:f>'Inputs'!$D$51</x:f>
        <x:v>3</x:v>
      </x:c>
      <x:c r="AO2870" s="81" t="n">
        <x:f>'Inputs'!$E$51</x:f>
        <x:v>0.1</x:v>
      </x:c>
    </x:row>
    <x:row r="2871">
      <x:c r="A2871" s="59" t="str">
        <x:v>High demand</x:v>
      </x:c>
      <x:c r="B2871" s="59" t="n">
        <x:v>313</x:v>
      </x:c>
      <x:c r="C2871" s="78" t="n">
        <x:f>(('Inputs'!$B$29*(3*313*'Inputs'!$B$12-313^2)/(2*'Inputs'!$B$12^2))-('Inputs'!$B$29*(3*312*'Inputs'!$B$12-312^2)/(2*'Inputs'!$B$12^2)))*'Inputs'!$B$51</x:f>
        <x:v>610390.0825670958</x:v>
      </x:c>
      <x:c r="D2871" s="78" t="n">
        <x:f>IF('Inputs'!$C$51&gt;0,('Inputs'!$B$30*(3*313*'Inputs'!$B$12-313^2)/(2*'Inputs'!$B$12^2))-('Inputs'!$B$30*(3*312*'Inputs'!$B$12-312^2)/(2*'Inputs'!$B$12^2)),0)</x:f>
        <x:v>261595.7496716082</x:v>
      </x:c>
      <x:c r="E2871" s="78" t="n">
        <x:f>C2871+D2871</x:f>
        <x:v>871985.832238704</x:v>
      </x:c>
      <x:c r="F2871" s="78" t="n">
        <x:f>'Inputs'!$B$13*E2871+(1-'Inputs'!$B$13)/'Inputs'!$B$14*SUM(E2816:E2871)</x:f>
        <x:v>882203.5091011468</x:v>
      </x:c>
      <x:c r="G2871" s="78" t="n">
        <x:f>F2871*'Inputs'!$F$51</x:f>
        <x:v>220550.8772752867</x:v>
      </x:c>
      <x:c r="H2871" s="78" t="n">
        <x:f>U2870</x:f>
        <x:v>443141.5097393411</x:v>
      </x:c>
      <x:c r="I2871" s="78" t="n">
        <x:f>V2870</x:f>
        <x:v>730494.0510980128</x:v>
      </x:c>
      <x:c r="J2871" s="79" t="n">
        <x:f>IF(H2871&gt;0,I2871/H2871,0)</x:f>
        <x:v>1.648444199072424</x:v>
      </x:c>
      <x:c r="K2871" s="80" t="n">
        <x:f>(H2871*J2871+I2871)*'Inputs'!$D$51*(1+'Inputs'!$G$51)^(B2871/30)</x:f>
        <x:v>7291937.778736703</x:v>
      </x:c>
      <x:c r="L2871" s="80" t="n">
        <x:f>MAX(0,K2871*'Inputs'!$E$51)</x:f>
        <x:v>729193.7778736703</x:v>
      </x:c>
      <x:c r="M2871" s="80" t="n">
        <x:f>MAX(0,-K2871*'Inputs'!$E$51)</x:f>
        <x:v>0</x:v>
      </x:c>
      <x:c r="N2871" s="78" t="n">
        <x:f>H2871*(L2871*(1-'Inputs'!$B$15))/(I2871+L2871*(1-'Inputs'!$B$15))</x:f>
        <x:v>220259.96716399337</x:v>
      </x:c>
      <x:c r="O2871" s="78" t="n">
        <x:f>H2871-N2871</x:f>
        <x:v>222881.54257534773</x:v>
      </x:c>
      <x:c r="P2871" s="78" t="n">
        <x:f>I2871+L2871*(1-'Inputs'!$B$17)</x:f>
        <x:v>1456753.4475717891</x:v>
      </x:c>
      <x:c r="Q2871" s="78" t="n">
        <x:f>IF(J2871&gt;0,M2871/J2871,0)</x:f>
        <x:v>0</x:v>
      </x:c>
      <x:c r="R2871" s="78" t="n">
        <x:f>IF(B2871='Inputs'!$H$51,'Inputs'!$B$27*'Inputs'!$I$51,0)</x:f>
        <x:v>0</x:v>
      </x:c>
      <x:c r="S2871" s="78" t="n">
        <x:f>Q2871+G2871+R2871</x:f>
        <x:v>220550.8772752867</x:v>
      </x:c>
      <x:c r="T2871" s="78" t="n">
        <x:f>P2871*(S2871*(1-'Inputs'!$B$15))/(O2871+S2871*(1-'Inputs'!$B$15))</x:f>
        <x:v>720888.4144223356</x:v>
      </x:c>
      <x:c r="U2871" s="78" t="n">
        <x:f>O2871+S2871*(1-'Inputs'!$B$17)</x:f>
        <x:v>442544.8911694462</x:v>
      </x:c>
      <x:c r="V2871" s="78" t="n">
        <x:f>P2871-T2871</x:f>
        <x:v>735865.0331494536</x:v>
      </x:c>
      <x:c r="W2871" s="79" t="n">
        <x:f>IF(U2871&gt;0,V2871/U2871,0)</x:f>
        <x:v>1.6628031366600908</x:v>
      </x:c>
      <x:c r="X2871" s="80" t="n">
        <x:f>W2871*('Inputs'!$B$6-AC2871)</x:f>
        <x:v>1658215490.93321</x:v>
      </x:c>
      <x:c r="Y2871" s="80" t="n">
        <x:f>2*V2871</x:f>
        <x:v>1471730.0662989072</x:v>
      </x:c>
      <x:c r="Z2871" s="80" t="n">
        <x:f>K2871*'Inputs'!$B$16+(G2871+R2871)*J2871*'Inputs'!$B$16</x:f>
        <x:v>45933.021557888904</x:v>
      </x:c>
      <x:c r="AA2871" s="80" t="n">
        <x:f>K2871*(1+'Inputs'!$E$51)/2*'Inputs'!$B$17</x:f>
        <x:v>16139.097699417252</x:v>
      </x:c>
      <x:c r="AB2871" s="78" t="n">
        <x:f>(IF(J2871&gt;0,K2871*(1-'Inputs'!$E$51)/2/J2871,0)+G2871+R2871)*'Inputs'!$B$17</x:f>
        <x:v>8897.940138824195</x:v>
      </x:c>
      <x:c r="AC2871" s="78" t="n">
        <x:f>AC2870+AB2871</x:f>
        <x:v>2758983.084489255</x:v>
      </x:c>
      <x:c r="AD2871" s="80" t="n">
        <x:f>Z2871/(1+'Inputs'!$C$51)</x:f>
        <x:v>15311.007185962968</x:v>
      </x:c>
      <x:c r="AE2871" s="80" t="n">
        <x:f>Z2871-AD2871</x:f>
        <x:v>30622.014371925936</x:v>
      </x:c>
      <x:c r="AF2871" s="80" t="n">
        <x:f>D2871*W2871</x:f>
        <x:v>434982.2330908981</x:v>
      </x:c>
      <x:c r="AG2871" s="80" t="n">
        <x:f>C2871*W2871</x:f>
        <x:v>1014958.5438787787</x:v>
      </x:c>
      <x:c r="AH2871" s="80" t="n">
        <x:f>2*'Inputs'!$B$8*'Inputs'!$C$51</x:f>
        <x:v>10000</x:v>
      </x:c>
      <x:c r="AI2871" s="81" t="n">
        <x:f>IF(AH2871&gt;0,(AE2871+AF2871)/AH2871*365,0)</x:f>
        <x:v>16994.555032393077</x:v>
      </x:c>
      <x:c r="AJ2871" s="81" t="n">
        <x:f>IF('Inputs'!$B$51&gt;0,AG2871/('Inputs'!$B$19*'Inputs'!$B$51)*365,0)</x:f>
        <x:v>37045.98685157542</x:v>
      </x:c>
      <x:c r="AK2871" s="81" t="n">
        <x:f>W2871/MAX($W$2559:W2871)-1</x:f>
        <x:v>0</x:v>
      </x:c>
      <x:c r="AL2871" s="83" t="n">
        <x:f>'Inputs'!$B$51</x:f>
        <x:v>1</x:v>
      </x:c>
      <x:c r="AM2871" s="83" t="n">
        <x:f>'Inputs'!$C$51</x:f>
        <x:v>2</x:v>
      </x:c>
      <x:c r="AN2871" s="83" t="n">
        <x:f>'Inputs'!$D$51</x:f>
        <x:v>3</x:v>
      </x:c>
      <x:c r="AO2871" s="81" t="n">
        <x:f>'Inputs'!$E$51</x:f>
        <x:v>0.1</x:v>
      </x:c>
    </x:row>
    <x:row r="2872">
      <x:c r="A2872" s="59" t="str">
        <x:v>High demand</x:v>
      </x:c>
      <x:c r="B2872" s="59" t="n">
        <x:v>314</x:v>
      </x:c>
      <x:c r="C2872" s="78" t="n">
        <x:f>(('Inputs'!$B$29*(3*314*'Inputs'!$B$12-314^2)/(2*'Inputs'!$B$12^2))-('Inputs'!$B$29*(3*313*'Inputs'!$B$12-313^2)/(2*'Inputs'!$B$12^2)))*'Inputs'!$B$51</x:f>
        <x:v>610064.9746668935</x:v>
      </x:c>
      <x:c r="D2872" s="78" t="n">
        <x:f>IF('Inputs'!$C$51&gt;0,('Inputs'!$B$30*(3*314*'Inputs'!$B$12-314^2)/(2*'Inputs'!$B$12^2))-('Inputs'!$B$30*(3*313*'Inputs'!$B$12-313^2)/(2*'Inputs'!$B$12^2)),0)</x:f>
        <x:v>261456.41771440208</x:v>
      </x:c>
      <x:c r="E2872" s="78" t="n">
        <x:f>C2872+D2872</x:f>
        <x:v>871521.3923812956</x:v>
      </x:c>
      <x:c r="F2872" s="78" t="n">
        <x:f>'Inputs'!$B$13*E2872+(1-'Inputs'!$B$13)/'Inputs'!$B$14*SUM(E2817:E2872)</x:f>
        <x:v>881739.0692437575</x:v>
      </x:c>
      <x:c r="G2872" s="78" t="n">
        <x:f>F2872*'Inputs'!$F$51</x:f>
        <x:v>220434.76731093938</x:v>
      </x:c>
      <x:c r="H2872" s="78" t="n">
        <x:f>U2871</x:f>
        <x:v>442544.8911694462</x:v>
      </x:c>
      <x:c r="I2872" s="78" t="n">
        <x:f>V2871</x:f>
        <x:v>735865.0331494536</x:v>
      </x:c>
      <x:c r="J2872" s="79" t="n">
        <x:f>IF(H2872&gt;0,I2872/H2872,0)</x:f>
        <x:v>1.6628031366600908</x:v>
      </x:c>
      <x:c r="K2872" s="80" t="n">
        <x:f>(H2872*J2872+I2872)*'Inputs'!$D$51*(1+'Inputs'!$G$51)^(B2872/30)</x:f>
        <x:v>7357508.072165668</x:v>
      </x:c>
      <x:c r="L2872" s="80" t="n">
        <x:f>MAX(0,K2872*'Inputs'!$E$51)</x:f>
        <x:v>735750.8072165669</x:v>
      </x:c>
      <x:c r="M2872" s="80" t="n">
        <x:f>MAX(0,-K2872*'Inputs'!$E$51)</x:f>
        <x:v>0</x:v>
      </x:c>
      <x:c r="N2872" s="78" t="n">
        <x:f>H2872*(L2872*(1-'Inputs'!$B$15))/(I2872+L2872*(1-'Inputs'!$B$15))</x:f>
        <x:v>220143.34915440503</x:v>
      </x:c>
      <x:c r="O2872" s="78" t="n">
        <x:f>H2872-N2872</x:f>
        <x:v>222401.54201504114</x:v>
      </x:c>
      <x:c r="P2872" s="78" t="n">
        <x:f>I2872+L2872*(1-'Inputs'!$B$17)</x:f>
        <x:v>1468655.0725301388</x:v>
      </x:c>
      <x:c r="Q2872" s="78" t="n">
        <x:f>IF(J2872&gt;0,M2872/J2872,0)</x:f>
        <x:v>0</x:v>
      </x:c>
      <x:c r="R2872" s="78" t="n">
        <x:f>IF(B2872='Inputs'!$H$51,'Inputs'!$B$27*'Inputs'!$I$51,0)</x:f>
        <x:v>0</x:v>
      </x:c>
      <x:c r="S2872" s="78" t="n">
        <x:f>Q2872+G2872+R2872</x:f>
        <x:v>220434.76731093938</x:v>
      </x:c>
      <x:c r="T2872" s="78" t="n">
        <x:f>P2872*(S2872*(1-'Inputs'!$B$15))/(O2872+S2872*(1-'Inputs'!$B$15))</x:f>
        <x:v>727376.2247732114</x:v>
      </x:c>
      <x:c r="U2872" s="78" t="n">
        <x:f>O2872+S2872*(1-'Inputs'!$B$17)</x:f>
        <x:v>441949.24788810953</x:v>
      </x:c>
      <x:c r="V2872" s="78" t="n">
        <x:f>P2872-T2872</x:f>
        <x:v>741278.8477569274</x:v>
      </x:c>
      <x:c r="W2872" s="79" t="n">
        <x:f>IF(U2872&gt;0,V2872/U2872,0)</x:f>
        <x:v>1.6772940587616987</x:v>
      </x:c>
      <x:c r="X2872" s="80" t="n">
        <x:f>W2872*('Inputs'!$B$6-AC2872)</x:f>
        <x:v>1672651505.3970702</x:v>
      </x:c>
      <x:c r="Y2872" s="80" t="n">
        <x:f>2*V2872</x:f>
        <x:v>1482557.6955138547</x:v>
      </x:c>
      <x:c r="Z2872" s="80" t="n">
        <x:f>K2872*'Inputs'!$B$16+(G2872+R2872)*J2872*'Inputs'!$B$16</x:f>
        <x:v>46344.286168075414</x:v>
      </x:c>
      <x:c r="AA2872" s="80" t="n">
        <x:f>K2872*(1+'Inputs'!$E$51)/2*'Inputs'!$B$17</x:f>
        <x:v>16284.223097348564</x:v>
      </x:c>
      <x:c r="AB2872" s="78" t="n">
        <x:f>(IF(J2872&gt;0,K2872*(1-'Inputs'!$E$51)/2/J2872,0)+G2872+R2872)*'Inputs'!$B$17</x:f>
        <x:v>8899.70885699272</x:v>
      </x:c>
      <x:c r="AC2872" s="78" t="n">
        <x:f>AC2871+AB2872</x:f>
        <x:v>2767882.793346248</x:v>
      </x:c>
      <x:c r="AD2872" s="80" t="n">
        <x:f>Z2872/(1+'Inputs'!$C$51)</x:f>
        <x:v>15448.095389358472</x:v>
      </x:c>
      <x:c r="AE2872" s="80" t="n">
        <x:f>Z2872-AD2872</x:f>
        <x:v>30896.19077871694</x:v>
      </x:c>
      <x:c r="AF2872" s="80" t="n">
        <x:f>D2872*W2872</x:f>
        <x:v>438539.29605748353</x:v>
      </x:c>
      <x:c r="AG2872" s="80" t="n">
        <x:f>C2872*W2872</x:f>
        <x:v>1023258.3574673866</x:v>
      </x:c>
      <x:c r="AH2872" s="80" t="n">
        <x:f>2*'Inputs'!$B$8*'Inputs'!$C$51</x:f>
        <x:v>10000</x:v>
      </x:c>
      <x:c r="AI2872" s="81" t="n">
        <x:f>IF(AH2872&gt;0,(AE2872+AF2872)/AH2872*365,0)</x:f>
        <x:v>17134.395269521316</x:v>
      </x:c>
      <x:c r="AJ2872" s="81" t="n">
        <x:f>IF('Inputs'!$B$51&gt;0,AG2872/('Inputs'!$B$19*'Inputs'!$B$51)*365,0)</x:f>
        <x:v>37348.93004755961</x:v>
      </x:c>
      <x:c r="AK2872" s="81" t="n">
        <x:f>W2872/MAX($W$2559:W2872)-1</x:f>
        <x:v>0</x:v>
      </x:c>
      <x:c r="AL2872" s="83" t="n">
        <x:f>'Inputs'!$B$51</x:f>
        <x:v>1</x:v>
      </x:c>
      <x:c r="AM2872" s="83" t="n">
        <x:f>'Inputs'!$C$51</x:f>
        <x:v>2</x:v>
      </x:c>
      <x:c r="AN2872" s="83" t="n">
        <x:f>'Inputs'!$D$51</x:f>
        <x:v>3</x:v>
      </x:c>
      <x:c r="AO2872" s="81" t="n">
        <x:f>'Inputs'!$E$51</x:f>
        <x:v>0.1</x:v>
      </x:c>
    </x:row>
    <x:row r="2873">
      <x:c r="A2873" s="59" t="str">
        <x:v>High demand</x:v>
      </x:c>
      <x:c r="B2873" s="59" t="n">
        <x:v>315</x:v>
      </x:c>
      <x:c r="C2873" s="78" t="n">
        <x:f>(('Inputs'!$B$29*(3*315*'Inputs'!$B$12-315^2)/(2*'Inputs'!$B$12^2))-('Inputs'!$B$29*(3*314*'Inputs'!$B$12-314^2)/(2*'Inputs'!$B$12^2)))*'Inputs'!$B$51</x:f>
        <x:v>609739.8667667508</x:v>
      </x:c>
      <x:c r="D2873" s="78" t="n">
        <x:f>IF('Inputs'!$C$51&gt;0,('Inputs'!$B$30*(3*315*'Inputs'!$B$12-315^2)/(2*'Inputs'!$B$12^2))-('Inputs'!$B$30*(3*314*'Inputs'!$B$12-314^2)/(2*'Inputs'!$B$12^2)),0)</x:f>
        <x:v>261317.08575716615</x:v>
      </x:c>
      <x:c r="E2873" s="78" t="n">
        <x:f>C2873+D2873</x:f>
        <x:v>871056.952523917</x:v>
      </x:c>
      <x:c r="F2873" s="78" t="n">
        <x:f>'Inputs'!$B$13*E2873+(1-'Inputs'!$B$13)/'Inputs'!$B$14*SUM(E2818:E2873)</x:f>
        <x:v>881274.6293863744</x:v>
      </x:c>
      <x:c r="G2873" s="78" t="n">
        <x:f>F2873*'Inputs'!$F$51</x:f>
        <x:v>220318.6573465936</x:v>
      </x:c>
      <x:c r="H2873" s="78" t="n">
        <x:f>U2872</x:f>
        <x:v>441949.24788810953</x:v>
      </x:c>
      <x:c r="I2873" s="78" t="n">
        <x:f>V2872</x:f>
        <x:v>741278.8477569274</x:v>
      </x:c>
      <x:c r="J2873" s="79" t="n">
        <x:f>IF(H2873&gt;0,I2873/H2873,0)</x:f>
        <x:v>1.6772940587616987</x:v>
      </x:c>
      <x:c r="K2873" s="80" t="n">
        <x:f>(H2873*J2873+I2873)*'Inputs'!$D$51*(1+'Inputs'!$G$51)^(B2873/30)</x:f>
        <x:v>7423701.455868494</x:v>
      </x:c>
      <x:c r="L2873" s="80" t="n">
        <x:f>MAX(0,K2873*'Inputs'!$E$51)</x:f>
        <x:v>742370.1455868494</x:v>
      </x:c>
      <x:c r="M2873" s="80" t="n">
        <x:f>MAX(0,-K2873*'Inputs'!$E$51)</x:f>
        <x:v>0</x:v>
      </x:c>
      <x:c r="N2873" s="78" t="n">
        <x:f>H2873*(L2873*(1-'Inputs'!$B$15))/(I2873+L2873*(1-'Inputs'!$B$15))</x:f>
        <x:v>220026.7330512521</x:v>
      </x:c>
      <x:c r="O2873" s="78" t="n">
        <x:f>H2873-N2873</x:f>
        <x:v>221922.51483685744</x:v>
      </x:c>
      <x:c r="P2873" s="78" t="n">
        <x:f>I2873+L2873*(1-'Inputs'!$B$17)</x:f>
        <x:v>1480661.5883313548</x:v>
      </x:c>
      <x:c r="Q2873" s="78" t="n">
        <x:f>IF(J2873&gt;0,M2873/J2873,0)</x:f>
        <x:v>0</x:v>
      </x:c>
      <x:c r="R2873" s="78" t="n">
        <x:f>IF(B2873='Inputs'!$H$51,'Inputs'!$B$27*'Inputs'!$I$51,0)</x:f>
        <x:v>0</x:v>
      </x:c>
      <x:c r="S2873" s="78" t="n">
        <x:f>Q2873+G2873+R2873</x:f>
        <x:v>220318.6573465936</x:v>
      </x:c>
      <x:c r="T2873" s="78" t="n">
        <x:f>P2873*(S2873*(1-'Inputs'!$B$15))/(O2873+S2873*(1-'Inputs'!$B$15))</x:f>
        <x:v>733925.7290410887</x:v>
      </x:c>
      <x:c r="U2873" s="78" t="n">
        <x:f>O2873+S2873*(1-'Inputs'!$B$17)</x:f>
        <x:v>441354.57798889733</x:v>
      </x:c>
      <x:c r="V2873" s="78" t="n">
        <x:f>P2873-T2873</x:f>
        <x:v>746735.8592902661</x:v>
      </x:c>
      <x:c r="W2873" s="79" t="n">
        <x:f>IF(U2873&gt;0,V2873/U2873,0)</x:f>
        <x:v>1.6919182365636432</x:v>
      </x:c>
      <x:c r="X2873" s="80" t="n">
        <x:f>W2873*('Inputs'!$B$6-AC2873)</x:f>
        <x:v>1687220144.6103334</x:v>
      </x:c>
      <x:c r="Y2873" s="80" t="n">
        <x:f>2*V2873</x:f>
        <x:v>1493471.7185805321</x:v>
      </x:c>
      <x:c r="Z2873" s="80" t="n">
        <x:f>K2873*'Inputs'!$B$16+(G2873+R2873)*J2873*'Inputs'!$B$16</x:f>
        <x:v>46759.443785221745</x:v>
      </x:c>
      <x:c r="AA2873" s="80" t="n">
        <x:f>K2873*(1+'Inputs'!$E$51)/2*'Inputs'!$B$17</x:f>
        <x:v>16430.727568320613</x:v>
      </x:c>
      <x:c r="AB2873" s="78" t="n">
        <x:f>(IF(J2873&gt;0,K2873*(1-'Inputs'!$E$51)/2/J2873,0)+G2873+R2873)*'Inputs'!$B$17</x:f>
        <x:v>8901.481319249962</x:v>
      </x:c>
      <x:c r="AC2873" s="78" t="n">
        <x:f>AC2872+AB2873</x:f>
        <x:v>2776784.274665498</x:v>
      </x:c>
      <x:c r="AD2873" s="80" t="n">
        <x:f>Z2873/(1+'Inputs'!$C$51)</x:f>
        <x:v>15586.481261740582</x:v>
      </x:c>
      <x:c r="AE2873" s="80" t="n">
        <x:f>Z2873-AD2873</x:f>
        <x:v>31172.96252348116</x:v>
      </x:c>
      <x:c r="AF2873" s="80" t="n">
        <x:f>D2873*W2873</x:f>
        <x:v>442127.14291821484</x:v>
      </x:c>
      <x:c r="AG2873" s="80" t="n">
        <x:f>C2873*W2873</x:f>
        <x:v>1031630.0001425517</x:v>
      </x:c>
      <x:c r="AH2873" s="80" t="n">
        <x:f>2*'Inputs'!$B$8*'Inputs'!$C$51</x:f>
        <x:v>10000</x:v>
      </x:c>
      <x:c r="AI2873" s="81" t="n">
        <x:f>IF(AH2873&gt;0,(AE2873+AF2873)/AH2873*365,0)</x:f>
        <x:v>17275.453848621906</x:v>
      </x:c>
      <x:c r="AJ2873" s="81" t="n">
        <x:f>IF('Inputs'!$B$51&gt;0,AG2873/('Inputs'!$B$19*'Inputs'!$B$51)*365,0)</x:f>
        <x:v>37654.49500520314</x:v>
      </x:c>
      <x:c r="AK2873" s="81" t="n">
        <x:f>W2873/MAX($W$2559:W2873)-1</x:f>
        <x:v>0</x:v>
      </x:c>
      <x:c r="AL2873" s="83" t="n">
        <x:f>'Inputs'!$B$51</x:f>
        <x:v>1</x:v>
      </x:c>
      <x:c r="AM2873" s="83" t="n">
        <x:f>'Inputs'!$C$51</x:f>
        <x:v>2</x:v>
      </x:c>
      <x:c r="AN2873" s="83" t="n">
        <x:f>'Inputs'!$D$51</x:f>
        <x:v>3</x:v>
      </x:c>
      <x:c r="AO2873" s="81" t="n">
        <x:f>'Inputs'!$E$51</x:f>
        <x:v>0.1</x:v>
      </x:c>
    </x:row>
    <x:row r="2874">
      <x:c r="A2874" s="59" t="str">
        <x:v>High demand</x:v>
      </x:c>
      <x:c r="B2874" s="59" t="n">
        <x:v>316</x:v>
      </x:c>
      <x:c r="C2874" s="78" t="n">
        <x:f>(('Inputs'!$B$29*(3*316*'Inputs'!$B$12-316^2)/(2*'Inputs'!$B$12^2))-('Inputs'!$B$29*(3*315*'Inputs'!$B$12-315^2)/(2*'Inputs'!$B$12^2)))*'Inputs'!$B$51</x:f>
        <x:v>609414.7588665783</x:v>
      </x:c>
      <x:c r="D2874" s="78" t="n">
        <x:f>IF('Inputs'!$C$51&gt;0,('Inputs'!$B$30*(3*316*'Inputs'!$B$12-316^2)/(2*'Inputs'!$B$12^2))-('Inputs'!$B$30*(3*315*'Inputs'!$B$12-315^2)/(2*'Inputs'!$B$12^2)),0)</x:f>
        <x:v>261177.75379997492</x:v>
      </x:c>
      <x:c r="E2874" s="78" t="n">
        <x:f>C2874+D2874</x:f>
        <x:v>870592.5126665533</x:v>
      </x:c>
      <x:c r="F2874" s="78" t="n">
        <x:f>'Inputs'!$B$13*E2874+(1-'Inputs'!$B$13)/'Inputs'!$B$14*SUM(E2819:E2874)</x:f>
        <x:v>880810.1895289947</x:v>
      </x:c>
      <x:c r="G2874" s="78" t="n">
        <x:f>F2874*'Inputs'!$F$51</x:f>
        <x:v>220202.54738224868</x:v>
      </x:c>
      <x:c r="H2874" s="78" t="n">
        <x:f>U2873</x:f>
        <x:v>441354.57798889733</x:v>
      </x:c>
      <x:c r="I2874" s="78" t="n">
        <x:f>V2873</x:f>
        <x:v>746735.8592902661</x:v>
      </x:c>
      <x:c r="J2874" s="79" t="n">
        <x:f>IF(H2874&gt;0,I2874/H2874,0)</x:f>
        <x:v>1.6919182365636432</x:v>
      </x:c>
      <x:c r="K2874" s="80" t="n">
        <x:f>(H2874*J2874+I2874)*'Inputs'!$D$51*(1+'Inputs'!$G$51)^(B2874/30)</x:f>
        <x:v>7490524.137689166</x:v>
      </x:c>
      <x:c r="L2874" s="80" t="n">
        <x:f>MAX(0,K2874*'Inputs'!$E$51)</x:f>
        <x:v>749052.4137689166</x:v>
      </x:c>
      <x:c r="M2874" s="80" t="n">
        <x:f>MAX(0,-K2874*'Inputs'!$E$51)</x:f>
        <x:v>0</x:v>
      </x:c>
      <x:c r="N2874" s="78" t="n">
        <x:f>H2874*(L2874*(1-'Inputs'!$B$15))/(I2874+L2874*(1-'Inputs'!$B$15))</x:f>
        <x:v>219910.11885089133</x:v>
      </x:c>
      <x:c r="O2874" s="78" t="n">
        <x:f>H2874-N2874</x:f>
        <x:v>221444.459138006</x:v>
      </x:c>
      <x:c r="P2874" s="78" t="n">
        <x:f>I2874+L2874*(1-'Inputs'!$B$17)</x:f>
        <x:v>1492773.9776315412</x:v>
      </x:c>
      <x:c r="Q2874" s="78" t="n">
        <x:f>IF(J2874&gt;0,M2874/J2874,0)</x:f>
        <x:v>0</x:v>
      </x:c>
      <x:c r="R2874" s="78" t="n">
        <x:f>IF(B2874='Inputs'!$H$51,'Inputs'!$B$27*'Inputs'!$I$51,0)</x:f>
        <x:v>0</x:v>
      </x:c>
      <x:c r="S2874" s="78" t="n">
        <x:f>Q2874+G2874+R2874</x:f>
        <x:v>220202.54738224868</x:v>
      </x:c>
      <x:c r="T2874" s="78" t="n">
        <x:f>P2874*(S2874*(1-'Inputs'!$B$15))/(O2874+S2874*(1-'Inputs'!$B$15))</x:f>
        <x:v>740537.5422426511</x:v>
      </x:c>
      <x:c r="U2874" s="78" t="n">
        <x:f>O2874+S2874*(1-'Inputs'!$B$17)</x:f>
        <x:v>440760.87956901826</x:v>
      </x:c>
      <x:c r="V2874" s="78" t="n">
        <x:f>P2874-T2874</x:f>
        <x:v>752236.4353888901</x:v>
      </x:c>
      <x:c r="W2874" s="79" t="n">
        <x:f>IF(U2874&gt;0,V2874/U2874,0)</x:f>
        <x:v>1.7066769540083429</x:v>
      </x:c>
      <x:c r="X2874" s="80" t="n">
        <x:f>W2874*('Inputs'!$B$6-AC2874)</x:f>
        <x:v>1701922685.2960832</x:v>
      </x:c>
      <x:c r="Y2874" s="80" t="n">
        <x:f>2*V2874</x:f>
        <x:v>1504472.8707777802</x:v>
      </x:c>
      <x:c r="Z2874" s="80" t="n">
        <x:f>K2874*'Inputs'!$B$16+(G2874+R2874)*J2874*'Inputs'!$B$16</x:f>
        <x:v>47178.53306005777</x:v>
      </x:c>
      <x:c r="AA2874" s="80" t="n">
        <x:f>K2874*(1+'Inputs'!$E$51)/2*'Inputs'!$B$17</x:f>
        <x:v>16578.624852028337</x:v>
      </x:c>
      <x:c r="AB2874" s="78" t="n">
        <x:f>(IF(J2874&gt;0,K2874*(1-'Inputs'!$E$51)/2/J2874,0)+G2874+R2874)*'Inputs'!$B$17</x:f>
        <x:v>8903.257526019119</x:v>
      </x:c>
      <x:c r="AC2874" s="78" t="n">
        <x:f>AC2873+AB2874</x:f>
        <x:v>2785687.5321915173</x:v>
      </x:c>
      <x:c r="AD2874" s="80" t="n">
        <x:f>Z2874/(1+'Inputs'!$C$51)</x:f>
        <x:v>15726.177686685924</x:v>
      </x:c>
      <x:c r="AE2874" s="80" t="n">
        <x:f>Z2874-AD2874</x:f>
        <x:v>31452.35537337185</x:v>
      </x:c>
      <x:c r="AF2874" s="80" t="n">
        <x:f>D2874*W2874</x:f>
        <x:v>445746.05331008206</x:v>
      </x:c>
      <x:c r="AG2874" s="80" t="n">
        <x:f>C2874*W2874</x:f>
        <x:v>1040074.1243901406</x:v>
      </x:c>
      <x:c r="AH2874" s="80" t="n">
        <x:f>2*'Inputs'!$B$8*'Inputs'!$C$51</x:f>
        <x:v>10000</x:v>
      </x:c>
      <x:c r="AI2874" s="81" t="n">
        <x:f>IF(AH2874&gt;0,(AE2874+AF2874)/AH2874*365,0)</x:f>
        <x:v>17417.74191694607</x:v>
      </x:c>
      <x:c r="AJ2874" s="81" t="n">
        <x:f>IF('Inputs'!$B$51&gt;0,AG2874/('Inputs'!$B$19*'Inputs'!$B$51)*365,0)</x:f>
        <x:v>37962.70554024013</x:v>
      </x:c>
      <x:c r="AK2874" s="81" t="n">
        <x:f>W2874/MAX($W$2559:W2874)-1</x:f>
        <x:v>0</x:v>
      </x:c>
      <x:c r="AL2874" s="83" t="n">
        <x:f>'Inputs'!$B$51</x:f>
        <x:v>1</x:v>
      </x:c>
      <x:c r="AM2874" s="83" t="n">
        <x:f>'Inputs'!$C$51</x:f>
        <x:v>2</x:v>
      </x:c>
      <x:c r="AN2874" s="83" t="n">
        <x:f>'Inputs'!$D$51</x:f>
        <x:v>3</x:v>
      </x:c>
      <x:c r="AO2874" s="81" t="n">
        <x:f>'Inputs'!$E$51</x:f>
        <x:v>0.1</x:v>
      </x:c>
    </x:row>
    <x:row r="2875">
      <x:c r="A2875" s="59" t="str">
        <x:v>High demand</x:v>
      </x:c>
      <x:c r="B2875" s="59" t="n">
        <x:v>317</x:v>
      </x:c>
      <x:c r="C2875" s="78" t="n">
        <x:f>(('Inputs'!$B$29*(3*317*'Inputs'!$B$12-317^2)/(2*'Inputs'!$B$12^2))-('Inputs'!$B$29*(3*316*'Inputs'!$B$12-316^2)/(2*'Inputs'!$B$12^2)))*'Inputs'!$B$51</x:f>
        <x:v>609089.6509664357</x:v>
      </x:c>
      <x:c r="D2875" s="78" t="n">
        <x:f>IF('Inputs'!$C$51&gt;0,('Inputs'!$B$30*(3*317*'Inputs'!$B$12-317^2)/(2*'Inputs'!$B$12^2))-('Inputs'!$B$30*(3*316*'Inputs'!$B$12-316^2)/(2*'Inputs'!$B$12^2)),0)</x:f>
        <x:v>261038.421842739</x:v>
      </x:c>
      <x:c r="E2875" s="78" t="n">
        <x:f>C2875+D2875</x:f>
        <x:v>870128.0728091747</x:v>
      </x:c>
      <x:c r="F2875" s="78" t="n">
        <x:f>'Inputs'!$B$13*E2875+(1-'Inputs'!$B$13)/'Inputs'!$B$14*SUM(E2820:E2875)</x:f>
        <x:v>880345.7496716117</x:v>
      </x:c>
      <x:c r="G2875" s="78" t="n">
        <x:f>F2875*'Inputs'!$F$51</x:f>
        <x:v>220086.43741790293</x:v>
      </x:c>
      <x:c r="H2875" s="78" t="n">
        <x:f>U2874</x:f>
        <x:v>440760.87956901826</x:v>
      </x:c>
      <x:c r="I2875" s="78" t="n">
        <x:f>V2874</x:f>
        <x:v>752236.4353888901</x:v>
      </x:c>
      <x:c r="J2875" s="79" t="n">
        <x:f>IF(H2875&gt;0,I2875/H2875,0)</x:f>
        <x:v>1.7066769540083429</x:v>
      </x:c>
      <x:c r="K2875" s="80" t="n">
        <x:f>(H2875*J2875+I2875)*'Inputs'!$D$51*(1+'Inputs'!$G$51)^(B2875/30)</x:f>
        <x:v>7557982.389914809</x:v>
      </x:c>
      <x:c r="L2875" s="80" t="n">
        <x:f>MAX(0,K2875*'Inputs'!$E$51)</x:f>
        <x:v>755798.2389914809</x:v>
      </x:c>
      <x:c r="M2875" s="80" t="n">
        <x:f>MAX(0,-K2875*'Inputs'!$E$51)</x:f>
        <x:v>0</x:v>
      </x:c>
      <x:c r="N2875" s="78" t="n">
        <x:f>H2875*(L2875*(1-'Inputs'!$B$15))/(I2875+L2875*(1-'Inputs'!$B$15))</x:f>
        <x:v>219793.50654968512</x:v>
      </x:c>
      <x:c r="O2875" s="78" t="n">
        <x:f>H2875-N2875</x:f>
        <x:v>220967.37301933314</x:v>
      </x:c>
      <x:c r="P2875" s="78" t="n">
        <x:f>I2875+L2875*(1-'Inputs'!$B$17)</x:f>
        <x:v>1504993.2327747713</x:v>
      </x:c>
      <x:c r="Q2875" s="78" t="n">
        <x:f>IF(J2875&gt;0,M2875/J2875,0)</x:f>
        <x:v>0</x:v>
      </x:c>
      <x:c r="R2875" s="78" t="n">
        <x:f>IF(B2875='Inputs'!$H$51,'Inputs'!$B$27*'Inputs'!$I$51,0)</x:f>
        <x:v>0</x:v>
      </x:c>
      <x:c r="S2875" s="78" t="n">
        <x:f>Q2875+G2875+R2875</x:f>
        <x:v>220086.43741790293</x:v>
      </x:c>
      <x:c r="T2875" s="78" t="n">
        <x:f>P2875*(S2875*(1-'Inputs'!$B$15))/(O2875+S2875*(1-'Inputs'!$B$15))</x:f>
        <x:v>747212.2857822642</x:v>
      </x:c>
      <x:c r="U2875" s="78" t="n">
        <x:f>O2875+S2875*(1-'Inputs'!$B$17)</x:f>
        <x:v>440168.1507293169</x:v>
      </x:c>
      <x:c r="V2875" s="78" t="n">
        <x:f>P2875-T2875</x:f>
        <x:v>757780.9469925071</x:v>
      </x:c>
      <x:c r="W2875" s="79" t="n">
        <x:f>IF(U2875&gt;0,V2875/U2875,0)</x:f>
        <x:v>1.7215715079269953</x:v>
      </x:c>
      <x:c r="X2875" s="80" t="n">
        <x:f>W2875*('Inputs'!$B$6-AC2875)</x:f>
        <x:v>1716760416.9827883</x:v>
      </x:c>
      <x:c r="Y2875" s="80" t="n">
        <x:f>2*V2875</x:f>
        <x:v>1515561.8939850142</x:v>
      </x:c>
      <x:c r="Z2875" s="80" t="n">
        <x:f>K2875*'Inputs'!$B$16+(G2875+R2875)*J2875*'Inputs'!$B$16</x:f>
        <x:v>47601.593043274464</x:v>
      </x:c>
      <x:c r="AA2875" s="80" t="n">
        <x:f>K2875*(1+'Inputs'!$E$51)/2*'Inputs'!$B$17</x:f>
        <x:v>16727.928830797366</x:v>
      </x:c>
      <x:c r="AB2875" s="78" t="n">
        <x:f>(IF(J2875&gt;0,K2875*(1-'Inputs'!$E$51)/2/J2875,0)+G2875+R2875)*'Inputs'!$B$17</x:f>
        <x:v>8905.037477715237</x:v>
      </x:c>
      <x:c r="AC2875" s="78" t="n">
        <x:f>AC2874+AB2875</x:f>
        <x:v>2794592.5696692327</x:v>
      </x:c>
      <x:c r="AD2875" s="80" t="n">
        <x:f>Z2875/(1+'Inputs'!$C$51)</x:f>
        <x:v>15867.197681091488</x:v>
      </x:c>
      <x:c r="AE2875" s="80" t="n">
        <x:f>Z2875-AD2875</x:f>
        <x:v>31734.39536218298</x:v>
      </x:c>
      <x:c r="AF2875" s="80" t="n">
        <x:f>D2875*W2875</x:f>
        <x:v>449396.30951868725</x:v>
      </x:c>
      <x:c r="AG2875" s="80" t="n">
        <x:f>C2875*W2875</x:f>
        <x:v>1048591.388877014</x:v>
      </x:c>
      <x:c r="AH2875" s="80" t="n">
        <x:f>2*'Inputs'!$B$8*'Inputs'!$C$51</x:f>
        <x:v>10000</x:v>
      </x:c>
      <x:c r="AI2875" s="81" t="n">
        <x:f>IF(AH2875&gt;0,(AE2875+AF2875)/AH2875*365,0)</x:f>
        <x:v>17561.270728151765</x:v>
      </x:c>
      <x:c r="AJ2875" s="81" t="n">
        <x:f>IF('Inputs'!$B$51&gt;0,AG2875/('Inputs'!$B$19*'Inputs'!$B$51)*365,0)</x:f>
        <x:v>38273.58569401101</x:v>
      </x:c>
      <x:c r="AK2875" s="81" t="n">
        <x:f>W2875/MAX($W$2559:W2875)-1</x:f>
        <x:v>0</x:v>
      </x:c>
      <x:c r="AL2875" s="83" t="n">
        <x:f>'Inputs'!$B$51</x:f>
        <x:v>1</x:v>
      </x:c>
      <x:c r="AM2875" s="83" t="n">
        <x:f>'Inputs'!$C$51</x:f>
        <x:v>2</x:v>
      </x:c>
      <x:c r="AN2875" s="83" t="n">
        <x:f>'Inputs'!$D$51</x:f>
        <x:v>3</x:v>
      </x:c>
      <x:c r="AO2875" s="81" t="n">
        <x:f>'Inputs'!$E$51</x:f>
        <x:v>0.1</x:v>
      </x:c>
    </x:row>
    <x:row r="2876">
      <x:c r="A2876" s="59" t="str">
        <x:v>High demand</x:v>
      </x:c>
      <x:c r="B2876" s="59" t="n">
        <x:v>318</x:v>
      </x:c>
      <x:c r="C2876" s="78" t="n">
        <x:f>(('Inputs'!$B$29*(3*318*'Inputs'!$B$12-318^2)/(2*'Inputs'!$B$12^2))-('Inputs'!$B$29*(3*317*'Inputs'!$B$12-317^2)/(2*'Inputs'!$B$12^2)))*'Inputs'!$B$51</x:f>
        <x:v>608764.5430662334</x:v>
      </x:c>
      <x:c r="D2876" s="78" t="n">
        <x:f>IF('Inputs'!$C$51&gt;0,('Inputs'!$B$30*(3*318*'Inputs'!$B$12-318^2)/(2*'Inputs'!$B$12^2))-('Inputs'!$B$30*(3*317*'Inputs'!$B$12-317^2)/(2*'Inputs'!$B$12^2)),0)</x:f>
        <x:v>260899.08988553286</x:v>
      </x:c>
      <x:c r="E2876" s="78" t="n">
        <x:f>C2876+D2876</x:f>
        <x:v>869663.6329517663</x:v>
      </x:c>
      <x:c r="F2876" s="78" t="n">
        <x:f>'Inputs'!$B$13*E2876+(1-'Inputs'!$B$13)/'Inputs'!$B$14*SUM(E2821:E2876)</x:f>
        <x:v>879881.3098142229</x:v>
      </x:c>
      <x:c r="G2876" s="78" t="n">
        <x:f>F2876*'Inputs'!$F$51</x:f>
        <x:v>219970.3274535557</x:v>
      </x:c>
      <x:c r="H2876" s="78" t="n">
        <x:f>U2875</x:f>
        <x:v>440168.1507293169</x:v>
      </x:c>
      <x:c r="I2876" s="78" t="n">
        <x:f>V2875</x:f>
        <x:v>757780.9469925071</x:v>
      </x:c>
      <x:c r="J2876" s="79" t="n">
        <x:f>IF(H2876&gt;0,I2876/H2876,0)</x:f>
        <x:v>1.7215715079269953</x:v>
      </x:c>
      <x:c r="K2876" s="80" t="n">
        <x:f>(H2876*J2876+I2876)*'Inputs'!$D$51*(1+'Inputs'!$G$51)^(B2876/30)</x:f>
        <x:v>7626082.54996928</x:v>
      </x:c>
      <x:c r="L2876" s="80" t="n">
        <x:f>MAX(0,K2876*'Inputs'!$E$51)</x:f>
        <x:v>762608.254996928</x:v>
      </x:c>
      <x:c r="M2876" s="80" t="n">
        <x:f>MAX(0,-K2876*'Inputs'!$E$51)</x:f>
        <x:v>0</x:v>
      </x:c>
      <x:c r="N2876" s="78" t="n">
        <x:f>H2876*(L2876*(1-'Inputs'!$B$15))/(I2876+L2876*(1-'Inputs'!$B$15))</x:f>
        <x:v>219676.896144002</x:v>
      </x:c>
      <x:c r="O2876" s="78" t="n">
        <x:f>H2876-N2876</x:f>
        <x:v>220491.25458531492</x:v>
      </x:c>
      <x:c r="P2876" s="78" t="n">
        <x:f>I2876+L2876*(1-'Inputs'!$B$17)</x:f>
        <x:v>1517320.355892868</x:v>
      </x:c>
      <x:c r="Q2876" s="78" t="n">
        <x:f>IF(J2876&gt;0,M2876/J2876,0)</x:f>
        <x:v>0</x:v>
      </x:c>
      <x:c r="R2876" s="78" t="n">
        <x:f>IF(B2876='Inputs'!$H$51,'Inputs'!$B$27*'Inputs'!$I$51,0)</x:f>
        <x:v>0</x:v>
      </x:c>
      <x:c r="S2876" s="78" t="n">
        <x:f>Q2876+G2876+R2876</x:f>
        <x:v>219970.3274535557</x:v>
      </x:c>
      <x:c r="T2876" s="78" t="n">
        <x:f>P2876*(S2876*(1-'Inputs'!$B$15))/(O2876+S2876*(1-'Inputs'!$B$15))</x:f>
        <x:v>753950.5875207608</x:v>
      </x:c>
      <x:c r="U2876" s="78" t="n">
        <x:f>O2876+S2876*(1-'Inputs'!$B$17)</x:f>
        <x:v>439576.38957426883</x:v>
      </x:c>
      <x:c r="V2876" s="78" t="n">
        <x:f>P2876-T2876</x:f>
        <x:v>763369.7683721072</x:v>
      </x:c>
      <x:c r="W2876" s="79" t="n">
        <x:f>IF(U2876&gt;0,V2876/U2876,0)</x:f>
        <x:v>1.736603208173745</x:v>
      </x:c>
      <x:c r="X2876" s="80" t="n">
        <x:f>W2876*('Inputs'!$B$6-AC2876)</x:f>
        <x:v>1731734642.1374922</x:v>
      </x:c>
      <x:c r="Y2876" s="80" t="n">
        <x:f>2*V2876</x:f>
        <x:v>1526739.5367442144</x:v>
      </x:c>
      <x:c r="Z2876" s="80" t="n">
        <x:f>K2876*'Inputs'!$B$16+(G2876+R2876)*J2876*'Inputs'!$B$16</x:f>
        <x:v>48028.66318981616</x:v>
      </x:c>
      <x:c r="AA2876" s="80" t="n">
        <x:f>K2876*(1+'Inputs'!$E$51)/2*'Inputs'!$B$17</x:f>
        <x:v>16878.653531119136</x:v>
      </x:c>
      <x:c r="AB2876" s="78" t="n">
        <x:f>(IF(J2876&gt;0,K2876*(1-'Inputs'!$E$51)/2/J2876,0)+G2876+R2876)*'Inputs'!$B$17</x:f>
        <x:v>8906.821174745215</x:v>
      </x:c>
      <x:c r="AC2876" s="78" t="n">
        <x:f>AC2875+AB2876</x:f>
        <x:v>2803499.390843978</x:v>
      </x:c>
      <x:c r="AD2876" s="80" t="n">
        <x:f>Z2876/(1+'Inputs'!$C$51)</x:f>
        <x:v>16009.554396605387</x:v>
      </x:c>
      <x:c r="AE2876" s="80" t="n">
        <x:f>Z2876-AD2876</x:f>
        <x:v>32019.10879321077</x:v>
      </x:c>
      <x:c r="AF2876" s="80" t="n">
        <x:f>D2876*W2876</x:f>
        <x:v>453078.19650482666</x:v>
      </x:c>
      <x:c r="AG2876" s="80" t="n">
        <x:f>C2876*W2876</x:f>
        <x:v>1057182.458511245</x:v>
      </x:c>
      <x:c r="AH2876" s="80" t="n">
        <x:f>2*'Inputs'!$B$8*'Inputs'!$C$51</x:f>
        <x:v>10000</x:v>
      </x:c>
      <x:c r="AI2876" s="81" t="n">
        <x:f>IF(AH2876&gt;0,(AE2876+AF2876)/AH2876*365,0)</x:f>
        <x:v>17706.051643378363</x:v>
      </x:c>
      <x:c r="AJ2876" s="81" t="n">
        <x:f>IF('Inputs'!$B$51&gt;0,AG2876/('Inputs'!$B$19*'Inputs'!$B$51)*365,0)</x:f>
        <x:v>38587.15973566044</x:v>
      </x:c>
      <x:c r="AK2876" s="81" t="n">
        <x:f>W2876/MAX($W$2559:W2876)-1</x:f>
        <x:v>0</x:v>
      </x:c>
      <x:c r="AL2876" s="83" t="n">
        <x:f>'Inputs'!$B$51</x:f>
        <x:v>1</x:v>
      </x:c>
      <x:c r="AM2876" s="83" t="n">
        <x:f>'Inputs'!$C$51</x:f>
        <x:v>2</x:v>
      </x:c>
      <x:c r="AN2876" s="83" t="n">
        <x:f>'Inputs'!$D$51</x:f>
        <x:v>3</x:v>
      </x:c>
      <x:c r="AO2876" s="81" t="n">
        <x:f>'Inputs'!$E$51</x:f>
        <x:v>0.1</x:v>
      </x:c>
    </x:row>
    <x:row r="2877">
      <x:c r="A2877" s="59" t="str">
        <x:v>High demand</x:v>
      </x:c>
      <x:c r="B2877" s="59" t="n">
        <x:v>319</x:v>
      </x:c>
      <x:c r="C2877" s="78" t="n">
        <x:f>(('Inputs'!$B$29*(3*319*'Inputs'!$B$12-319^2)/(2*'Inputs'!$B$12^2))-('Inputs'!$B$29*(3*318*'Inputs'!$B$12-318^2)/(2*'Inputs'!$B$12^2)))*'Inputs'!$B$51</x:f>
        <x:v>608439.4351660609</x:v>
      </x:c>
      <x:c r="D2877" s="78" t="n">
        <x:f>IF('Inputs'!$C$51&gt;0,('Inputs'!$B$30*(3*319*'Inputs'!$B$12-319^2)/(2*'Inputs'!$B$12^2))-('Inputs'!$B$30*(3*318*'Inputs'!$B$12-318^2)/(2*'Inputs'!$B$12^2)),0)</x:f>
        <x:v>260759.75792831182</x:v>
      </x:c>
      <x:c r="E2877" s="78" t="n">
        <x:f>C2877+D2877</x:f>
        <x:v>869199.1930943727</x:v>
      </x:c>
      <x:c r="F2877" s="78" t="n">
        <x:f>'Inputs'!$B$13*E2877+(1-'Inputs'!$B$13)/'Inputs'!$B$14*SUM(E2822:E2877)</x:f>
        <x:v>879416.8699568363</x:v>
      </x:c>
      <x:c r="G2877" s="78" t="n">
        <x:f>F2877*'Inputs'!$F$51</x:f>
        <x:v>219854.21748920908</x:v>
      </x:c>
      <x:c r="H2877" s="78" t="n">
        <x:f>U2876</x:f>
        <x:v>439576.38957426883</x:v>
      </x:c>
      <x:c r="I2877" s="78" t="n">
        <x:f>V2876</x:f>
        <x:v>763369.7683721072</x:v>
      </x:c>
      <x:c r="J2877" s="79" t="n">
        <x:f>IF(H2877&gt;0,I2877/H2877,0)</x:f>
        <x:v>1.736603208173745</x:v>
      </x:c>
      <x:c r="K2877" s="80" t="n">
        <x:f>(H2877*J2877+I2877)*'Inputs'!$D$51*(1+'Inputs'!$G$51)^(B2877/30)</x:f>
        <x:v>7694831.02111443</x:v>
      </x:c>
      <x:c r="L2877" s="80" t="n">
        <x:f>MAX(0,K2877*'Inputs'!$E$51)</x:f>
        <x:v>769483.1021114431</x:v>
      </x:c>
      <x:c r="M2877" s="80" t="n">
        <x:f>MAX(0,-K2877*'Inputs'!$E$51)</x:f>
        <x:v>0</x:v>
      </x:c>
      <x:c r="N2877" s="78" t="n">
        <x:f>H2877*(L2877*(1-'Inputs'!$B$15))/(I2877+L2877*(1-'Inputs'!$B$15))</x:f>
        <x:v>219560.2876302175</x:v>
      </x:c>
      <x:c r="O2877" s="78" t="n">
        <x:f>H2877-N2877</x:f>
        <x:v>220016.10194405133</x:v>
      </x:c>
      <x:c r="P2877" s="78" t="n">
        <x:f>I2877+L2877*(1-'Inputs'!$B$17)</x:f>
        <x:v>1529756.3590062405</x:v>
      </x:c>
      <x:c r="Q2877" s="78" t="n">
        <x:f>IF(J2877&gt;0,M2877/J2877,0)</x:f>
        <x:v>0</x:v>
      </x:c>
      <x:c r="R2877" s="78" t="n">
        <x:f>IF(B2877='Inputs'!$H$51,'Inputs'!$B$27*'Inputs'!$I$51,0)</x:f>
        <x:v>0</x:v>
      </x:c>
      <x:c r="S2877" s="78" t="n">
        <x:f>Q2877+G2877+R2877</x:f>
        <x:v>219854.21748920908</x:v>
      </x:c>
      <x:c r="T2877" s="78" t="n">
        <x:f>P2877*(S2877*(1-'Inputs'!$B$15))/(O2877+S2877*(1-'Inputs'!$B$15))</x:f>
        <x:v>760753.0818449815</x:v>
      </x:c>
      <x:c r="U2877" s="78" t="n">
        <x:f>O2877+S2877*(1-'Inputs'!$B$17)</x:f>
        <x:v>438985.59421197587</x:v>
      </x:c>
      <x:c r="V2877" s="78" t="n">
        <x:f>P2877-T2877</x:f>
        <x:v>769003.277161259</x:v>
      </x:c>
      <x:c r="W2877" s="79" t="n">
        <x:f>IF(U2877&gt;0,V2877/U2877,0)</x:f>
        <x:v>1.7517733777612878</x:v>
      </x:c>
      <x:c r="X2877" s="80" t="n">
        <x:f>W2877*('Inputs'!$B$6-AC2877)</x:f>
        <x:v>1746846676.3004282</x:v>
      </x:c>
      <x:c r="Y2877" s="80" t="n">
        <x:f>2*V2877</x:f>
        <x:v>1538006.554322518</x:v>
      </x:c>
      <x:c r="Z2877" s="80" t="n">
        <x:f>K2877*'Inputs'!$B$16+(G2877+R2877)*J2877*'Inputs'!$B$16</x:f>
        <x:v>48459.78336322032</x:v>
      </x:c>
      <x:c r="AA2877" s="80" t="n">
        <x:f>K2877*(1+'Inputs'!$E$51)/2*'Inputs'!$B$17</x:f>
        <x:v>17030.813125202967</x:v>
      </x:c>
      <x:c r="AB2877" s="78" t="n">
        <x:f>(IF(J2877&gt;0,K2877*(1-'Inputs'!$E$51)/2/J2877,0)+G2877+R2877)*'Inputs'!$B$17</x:f>
        <x:v>8908.60861750779</x:v>
      </x:c>
      <x:c r="AC2877" s="78" t="n">
        <x:f>AC2876+AB2877</x:f>
        <x:v>2812407.999461486</x:v>
      </x:c>
      <x:c r="AD2877" s="80" t="n">
        <x:f>Z2877/(1+'Inputs'!$C$51)</x:f>
        <x:v>16153.26112107344</x:v>
      </x:c>
      <x:c r="AE2877" s="80" t="n">
        <x:f>Z2877-AD2877</x:f>
        <x:v>32306.52224214688</x:v>
      </x:c>
      <x:c r="AF2877" s="80" t="n">
        <x:f>D2877*W2877</x:f>
        <x:v>456792.00193029456</x:v>
      </x:c>
      <x:c r="AG2877" s="80" t="n">
        <x:f>C2877*W2877</x:f>
        <x:v>1065848.0045040206</x:v>
      </x:c>
      <x:c r="AH2877" s="80" t="n">
        <x:f>2*'Inputs'!$B$8*'Inputs'!$C$51</x:f>
        <x:v>10000</x:v>
      </x:c>
      <x:c r="AI2877" s="81" t="n">
        <x:f>IF(AH2877&gt;0,(AE2877+AF2877)/AH2877*365,0)</x:f>
        <x:v>17852.096132294115</x:v>
      </x:c>
      <x:c r="AJ2877" s="81" t="n">
        <x:f>IF('Inputs'!$B$51&gt;0,AG2877/('Inputs'!$B$19*'Inputs'!$B$51)*365,0)</x:f>
        <x:v>38903.45216439675</x:v>
      </x:c>
      <x:c r="AK2877" s="81" t="n">
        <x:f>W2877/MAX($W$2559:W2877)-1</x:f>
        <x:v>0</x:v>
      </x:c>
      <x:c r="AL2877" s="83" t="n">
        <x:f>'Inputs'!$B$51</x:f>
        <x:v>1</x:v>
      </x:c>
      <x:c r="AM2877" s="83" t="n">
        <x:f>'Inputs'!$C$51</x:f>
        <x:v>2</x:v>
      </x:c>
      <x:c r="AN2877" s="83" t="n">
        <x:f>'Inputs'!$D$51</x:f>
        <x:v>3</x:v>
      </x:c>
      <x:c r="AO2877" s="81" t="n">
        <x:f>'Inputs'!$E$51</x:f>
        <x:v>0.1</x:v>
      </x:c>
    </x:row>
    <x:row r="2878">
      <x:c r="A2878" s="59" t="str">
        <x:v>High demand</x:v>
      </x:c>
      <x:c r="B2878" s="59" t="n">
        <x:v>320</x:v>
      </x:c>
      <x:c r="C2878" s="78" t="n">
        <x:f>(('Inputs'!$B$29*(3*320*'Inputs'!$B$12-320^2)/(2*'Inputs'!$B$12^2))-('Inputs'!$B$29*(3*319*'Inputs'!$B$12-319^2)/(2*'Inputs'!$B$12^2)))*'Inputs'!$B$51</x:f>
        <x:v>608114.3272659183</x:v>
      </x:c>
      <x:c r="D2878" s="78" t="n">
        <x:f>IF('Inputs'!$C$51&gt;0,('Inputs'!$B$30*(3*320*'Inputs'!$B$12-320^2)/(2*'Inputs'!$B$12^2))-('Inputs'!$B$30*(3*319*'Inputs'!$B$12-319^2)/(2*'Inputs'!$B$12^2)),0)</x:f>
        <x:v>260620.4259711057</x:v>
      </x:c>
      <x:c r="E2878" s="78" t="n">
        <x:f>C2878+D2878</x:f>
        <x:v>868734.753237024</x:v>
      </x:c>
      <x:c r="F2878" s="78" t="n">
        <x:f>'Inputs'!$B$13*E2878+(1-'Inputs'!$B$13)/'Inputs'!$B$14*SUM(E2823:E2878)</x:f>
        <x:v>878952.4300994595</x:v>
      </x:c>
      <x:c r="G2878" s="78" t="n">
        <x:f>F2878*'Inputs'!$F$51</x:f>
        <x:v>219738.10752486487</x:v>
      </x:c>
      <x:c r="H2878" s="78" t="n">
        <x:f>U2877</x:f>
        <x:v>438985.59421197587</x:v>
      </x:c>
      <x:c r="I2878" s="78" t="n">
        <x:f>V2877</x:f>
        <x:v>769003.277161259</x:v>
      </x:c>
      <x:c r="J2878" s="79" t="n">
        <x:f>IF(H2878&gt;0,I2878/H2878,0)</x:f>
        <x:v>1.7517733777612878</x:v>
      </x:c>
      <x:c r="K2878" s="80" t="n">
        <x:f>(H2878*J2878+I2878)*'Inputs'!$D$51*(1+'Inputs'!$G$51)^(B2878/30)</x:f>
        <x:v>7764234.273159146</x:v>
      </x:c>
      <x:c r="L2878" s="80" t="n">
        <x:f>MAX(0,K2878*'Inputs'!$E$51)</x:f>
        <x:v>776423.4273159147</x:v>
      </x:c>
      <x:c r="M2878" s="80" t="n">
        <x:f>MAX(0,-K2878*'Inputs'!$E$51)</x:f>
        <x:v>0</x:v>
      </x:c>
      <x:c r="N2878" s="78" t="n">
        <x:f>H2878*(L2878*(1-'Inputs'!$B$15))/(I2878+L2878*(1-'Inputs'!$B$15))</x:f>
        <x:v>219443.68100471506</x:v>
      </x:c>
      <x:c r="O2878" s="78" t="n">
        <x:f>H2878-N2878</x:f>
        <x:v>219541.9132072608</x:v>
      </x:c>
      <x:c r="P2878" s="78" t="n">
        <x:f>I2878+L2878*(1-'Inputs'!$B$17)</x:f>
        <x:v>1542302.2641258016</x:v>
      </x:c>
      <x:c r="Q2878" s="78" t="n">
        <x:f>IF(J2878&gt;0,M2878/J2878,0)</x:f>
        <x:v>0</x:v>
      </x:c>
      <x:c r="R2878" s="78" t="n">
        <x:f>IF(B2878='Inputs'!$H$51,'Inputs'!$B$27*'Inputs'!$I$51,0)</x:f>
        <x:v>0</x:v>
      </x:c>
      <x:c r="S2878" s="78" t="n">
        <x:f>Q2878+G2878+R2878</x:f>
        <x:v>219738.10752486487</x:v>
      </x:c>
      <x:c r="T2878" s="78" t="n">
        <x:f>P2878*(S2878*(1-'Inputs'!$B$15))/(O2878+S2878*(1-'Inputs'!$B$15))</x:f>
        <x:v>767620.4097380828</x:v>
      </x:c>
      <x:c r="U2878" s="78" t="n">
        <x:f>O2878+S2878*(1-'Inputs'!$B$17)</x:f>
        <x:v>438395.7627541584</x:v>
      </x:c>
      <x:c r="V2878" s="78" t="n">
        <x:f>P2878-T2878</x:f>
        <x:v>774681.8543877188</x:v>
      </x:c>
      <x:c r="W2878" s="79" t="n">
        <x:f>IF(U2878&gt;0,V2878/U2878,0)</x:f>
        <x:v>1.7670833529979655</x:v>
      </x:c>
      <x:c r="X2878" s="80" t="n">
        <x:f>W2878*('Inputs'!$B$6-AC2878)</x:f>
        <x:v>1762097848.2211123</x:v>
      </x:c>
      <x:c r="Y2878" s="80" t="n">
        <x:f>2*V2878</x:f>
        <x:v>1549363.7087754377</x:v>
      </x:c>
      <x:c r="Z2878" s="80" t="n">
        <x:f>K2878*'Inputs'!$B$16+(G2878+R2878)*J2878*'Inputs'!$B$16</x:f>
        <x:v>48894.99384000511</x:v>
      </x:c>
      <x:c r="AA2878" s="80" t="n">
        <x:f>K2878*(1+'Inputs'!$E$51)/2*'Inputs'!$B$17</x:f>
        <x:v>17184.421932545396</x:v>
      </x:c>
      <x:c r="AB2878" s="78" t="n">
        <x:f>(IF(J2878&gt;0,K2878*(1-'Inputs'!$E$51)/2/J2878,0)+G2878+R2878)*'Inputs'!$B$17</x:f>
        <x:v>8910.399806393569</x:v>
      </x:c>
      <x:c r="AC2878" s="78" t="n">
        <x:f>AC2877+AB2878</x:f>
        <x:v>2821318.39926788</x:v>
      </x:c>
      <x:c r="AD2878" s="80" t="n">
        <x:f>Z2878/(1+'Inputs'!$C$51)</x:f>
        <x:v>16298.331280001703</x:v>
      </x:c>
      <x:c r="AE2878" s="80" t="n">
        <x:f>Z2878-AD2878</x:f>
        <x:v>32596.66256000341</x:v>
      </x:c>
      <x:c r="AF2878" s="80" t="n">
        <x:f>D2878*W2878</x:f>
        <x:v>460538.0161847795</x:v>
      </x:c>
      <x:c r="AG2878" s="80" t="n">
        <x:f>C2878*W2878</x:f>
        <x:v>1074588.7044311608</x:v>
      </x:c>
      <x:c r="AH2878" s="80" t="n">
        <x:f>2*'Inputs'!$B$8*'Inputs'!$C$51</x:f>
        <x:v>10000</x:v>
      </x:c>
      <x:c r="AI2878" s="81" t="n">
        <x:f>IF(AH2878&gt;0,(AE2878+AF2878)/AH2878*365,0)</x:f>
        <x:v>17999.415774184577</x:v>
      </x:c>
      <x:c r="AJ2878" s="81" t="n">
        <x:f>IF('Inputs'!$B$51&gt;0,AG2878/('Inputs'!$B$19*'Inputs'!$B$51)*365,0)</x:f>
        <x:v>39222.48771173737</x:v>
      </x:c>
      <x:c r="AK2878" s="81" t="n">
        <x:f>W2878/MAX($W$2559:W2878)-1</x:f>
        <x:v>0</x:v>
      </x:c>
      <x:c r="AL2878" s="83" t="n">
        <x:f>'Inputs'!$B$51</x:f>
        <x:v>1</x:v>
      </x:c>
      <x:c r="AM2878" s="83" t="n">
        <x:f>'Inputs'!$C$51</x:f>
        <x:v>2</x:v>
      </x:c>
      <x:c r="AN2878" s="83" t="n">
        <x:f>'Inputs'!$D$51</x:f>
        <x:v>3</x:v>
      </x:c>
      <x:c r="AO2878" s="81" t="n">
        <x:f>'Inputs'!$E$51</x:f>
        <x:v>0.1</x:v>
      </x:c>
    </x:row>
    <x:row r="2879">
      <x:c r="A2879" s="59" t="str">
        <x:v>High demand</x:v>
      </x:c>
      <x:c r="B2879" s="59" t="n">
        <x:v>321</x:v>
      </x:c>
      <x:c r="C2879" s="78" t="n">
        <x:f>(('Inputs'!$B$29*(3*321*'Inputs'!$B$12-321^2)/(2*'Inputs'!$B$12^2))-('Inputs'!$B$29*(3*320*'Inputs'!$B$12-320^2)/(2*'Inputs'!$B$12^2)))*'Inputs'!$B$51</x:f>
        <x:v>607789.219365716</x:v>
      </x:c>
      <x:c r="D2879" s="78" t="n">
        <x:f>IF('Inputs'!$C$51&gt;0,('Inputs'!$B$30*(3*321*'Inputs'!$B$12-321^2)/(2*'Inputs'!$B$12^2))-('Inputs'!$B$30*(3*320*'Inputs'!$B$12-320^2)/(2*'Inputs'!$B$12^2)),0)</x:f>
        <x:v>260481.09401388466</x:v>
      </x:c>
      <x:c r="E2879" s="78" t="n">
        <x:f>C2879+D2879</x:f>
        <x:v>868270.3133796006</x:v>
      </x:c>
      <x:c r="F2879" s="78" t="n">
        <x:f>'Inputs'!$B$13*E2879+(1-'Inputs'!$B$13)/'Inputs'!$B$14*SUM(E2824:E2879)</x:f>
        <x:v>878487.9902420677</x:v>
      </x:c>
      <x:c r="G2879" s="78" t="n">
        <x:f>F2879*'Inputs'!$F$51</x:f>
        <x:v>219621.99756051693</x:v>
      </x:c>
      <x:c r="H2879" s="78" t="n">
        <x:f>U2878</x:f>
        <x:v>438395.7627541584</x:v>
      </x:c>
      <x:c r="I2879" s="78" t="n">
        <x:f>V2878</x:f>
        <x:v>774681.8543877188</x:v>
      </x:c>
      <x:c r="J2879" s="79" t="n">
        <x:f>IF(H2879&gt;0,I2879/H2879,0)</x:f>
        <x:v>1.7670833529979655</x:v>
      </x:c>
      <x:c r="K2879" s="80" t="n">
        <x:f>(H2879*J2879+I2879)*'Inputs'!$D$51*(1+'Inputs'!$G$51)^(B2879/30)</x:f>
        <x:v>7834298.843176344</x:v>
      </x:c>
      <x:c r="L2879" s="80" t="n">
        <x:f>MAX(0,K2879*'Inputs'!$E$51)</x:f>
        <x:v>783429.8843176345</x:v>
      </x:c>
      <x:c r="M2879" s="80" t="n">
        <x:f>MAX(0,-K2879*'Inputs'!$E$51)</x:f>
        <x:v>0</x:v>
      </x:c>
      <x:c r="N2879" s="78" t="n">
        <x:f>H2879*(L2879*(1-'Inputs'!$B$15))/(I2879+L2879*(1-'Inputs'!$B$15))</x:f>
        <x:v>219327.07626388568</x:v>
      </x:c>
      <x:c r="O2879" s="78" t="n">
        <x:f>H2879-N2879</x:f>
        <x:v>219068.68649027272</x:v>
      </x:c>
      <x:c r="P2879" s="78" t="n">
        <x:f>I2879+L2879*(1-'Inputs'!$B$17)</x:f>
        <x:v>1554959.1033559865</x:v>
      </x:c>
      <x:c r="Q2879" s="78" t="n">
        <x:f>IF(J2879&gt;0,M2879/J2879,0)</x:f>
        <x:v>0</x:v>
      </x:c>
      <x:c r="R2879" s="78" t="n">
        <x:f>IF(B2879='Inputs'!$H$51,'Inputs'!$B$27*'Inputs'!$I$51,0)</x:f>
        <x:v>0</x:v>
      </x:c>
      <x:c r="S2879" s="78" t="n">
        <x:f>Q2879+G2879+R2879</x:f>
        <x:v>219621.99756051693</x:v>
      </x:c>
      <x:c r="T2879" s="78" t="n">
        <x:f>P2879*(S2879*(1-'Inputs'!$B$15))/(O2879+S2879*(1-'Inputs'!$B$15))</x:f>
        <x:v>774553.2188506247</x:v>
      </x:c>
      <x:c r="U2879" s="78" t="n">
        <x:f>O2879+S2879*(1-'Inputs'!$B$17)</x:f>
        <x:v>437806.8933161397</x:v>
      </x:c>
      <x:c r="V2879" s="78" t="n">
        <x:f>P2879-T2879</x:f>
        <x:v>780405.8845053618</x:v>
      </x:c>
      <x:c r="W2879" s="79" t="n">
        <x:f>IF(U2879&gt;0,V2879/U2879,0)</x:f>
        <x:v>1.782534483626396</x:v>
      </x:c>
      <x:c r="X2879" s="80" t="n">
        <x:f>W2879*('Inputs'!$B$6-AC2879)</x:f>
        <x:v>1777489499.9959595</x:v>
      </x:c>
      <x:c r="Y2879" s="80" t="n">
        <x:f>2*V2879</x:f>
        <x:v>1560811.7690107236</x:v>
      </x:c>
      <x:c r="Z2879" s="80" t="n">
        <x:f>K2879*'Inputs'!$B$16+(G2879+R2879)*J2879*'Inputs'!$B$16</x:f>
        <x:v>49334.33531410616</x:v>
      </x:c>
      <x:c r="AA2879" s="80" t="n">
        <x:f>K2879*(1+'Inputs'!$E$51)/2*'Inputs'!$B$17</x:f>
        <x:v>17339.49442151706</x:v>
      </x:c>
      <x:c r="AB2879" s="78" t="n">
        <x:f>(IF(J2879&gt;0,K2879*(1-'Inputs'!$E$51)/2/J2879,0)+G2879+R2879)*'Inputs'!$B$17</x:f>
        <x:v>8912.194741784913</x:v>
      </x:c>
      <x:c r="AC2879" s="78" t="n">
        <x:f>AC2878+AB2879</x:f>
        <x:v>2830230.594009665</x:v>
      </x:c>
      <x:c r="AD2879" s="80" t="n">
        <x:f>Z2879/(1+'Inputs'!$C$51)</x:f>
        <x:v>16444.778438035388</x:v>
      </x:c>
      <x:c r="AE2879" s="80" t="n">
        <x:f>Z2879-AD2879</x:f>
        <x:v>32889.55687607077</x:v>
      </x:c>
      <x:c r="AF2879" s="80" t="n">
        <x:f>D2879*W2879</x:f>
        <x:v>464316.53241247864</x:v>
      </x:c>
      <x:c r="AG2879" s="80" t="n">
        <x:f>C2879*W2879</x:f>
        <x:v>1083405.242295757</x:v>
      </x:c>
      <x:c r="AH2879" s="80" t="n">
        <x:f>2*'Inputs'!$B$8*'Inputs'!$C$51</x:f>
        <x:v>10000</x:v>
      </x:c>
      <x:c r="AI2879" s="81" t="n">
        <x:f>IF(AH2879&gt;0,(AE2879+AF2879)/AH2879*365,0)</x:f>
        <x:v>18148.02225903205</x:v>
      </x:c>
      <x:c r="AJ2879" s="81" t="n">
        <x:f>IF('Inputs'!$B$51&gt;0,AG2879/('Inputs'!$B$19*'Inputs'!$B$51)*365,0)</x:f>
        <x:v>39544.29134379513</x:v>
      </x:c>
      <x:c r="AK2879" s="81" t="n">
        <x:f>W2879/MAX($W$2559:W2879)-1</x:f>
        <x:v>0</x:v>
      </x:c>
      <x:c r="AL2879" s="83" t="n">
        <x:f>'Inputs'!$B$51</x:f>
        <x:v>1</x:v>
      </x:c>
      <x:c r="AM2879" s="83" t="n">
        <x:f>'Inputs'!$C$51</x:f>
        <x:v>2</x:v>
      </x:c>
      <x:c r="AN2879" s="83" t="n">
        <x:f>'Inputs'!$D$51</x:f>
        <x:v>3</x:v>
      </x:c>
      <x:c r="AO2879" s="81" t="n">
        <x:f>'Inputs'!$E$51</x:f>
        <x:v>0.1</x:v>
      </x:c>
    </x:row>
    <x:row r="2880">
      <x:c r="A2880" s="59" t="str">
        <x:v>High demand</x:v>
      </x:c>
      <x:c r="B2880" s="59" t="n">
        <x:v>322</x:v>
      </x:c>
      <x:c r="C2880" s="78" t="n">
        <x:f>(('Inputs'!$B$29*(3*322*'Inputs'!$B$12-322^2)/(2*'Inputs'!$B$12^2))-('Inputs'!$B$29*(3*321*'Inputs'!$B$12-321^2)/(2*'Inputs'!$B$12^2)))*'Inputs'!$B$51</x:f>
        <x:v>607464.1114655733</x:v>
      </x:c>
      <x:c r="D2880" s="78" t="n">
        <x:f>IF('Inputs'!$C$51&gt;0,('Inputs'!$B$30*(3*322*'Inputs'!$B$12-322^2)/(2*'Inputs'!$B$12^2))-('Inputs'!$B$30*(3*321*'Inputs'!$B$12-321^2)/(2*'Inputs'!$B$12^2)),0)</x:f>
        <x:v>260341.76205667853</x:v>
      </x:c>
      <x:c r="E2880" s="78" t="n">
        <x:f>C2880+D2880</x:f>
        <x:v>867805.8735222518</x:v>
      </x:c>
      <x:c r="F2880" s="78" t="n">
        <x:f>'Inputs'!$B$13*E2880+(1-'Inputs'!$B$13)/'Inputs'!$B$14*SUM(E2825:E2880)</x:f>
        <x:v>878023.5503846909</x:v>
      </x:c>
      <x:c r="G2880" s="78" t="n">
        <x:f>F2880*'Inputs'!$F$51</x:f>
        <x:v>219505.88759617272</x:v>
      </x:c>
      <x:c r="H2880" s="78" t="n">
        <x:f>U2879</x:f>
        <x:v>437806.8933161397</x:v>
      </x:c>
      <x:c r="I2880" s="78" t="n">
        <x:f>V2879</x:f>
        <x:v>780405.8845053618</x:v>
      </x:c>
      <x:c r="J2880" s="79" t="n">
        <x:f>IF(H2880&gt;0,I2880/H2880,0)</x:f>
        <x:v>1.782534483626396</x:v>
      </x:c>
      <x:c r="K2880" s="80" t="n">
        <x:f>(H2880*J2880+I2880)*'Inputs'!$D$51*(1+'Inputs'!$G$51)^(B2880/30)</x:f>
        <x:v>7905031.336228084</x:v>
      </x:c>
      <x:c r="L2880" s="80" t="n">
        <x:f>MAX(0,K2880*'Inputs'!$E$51)</x:f>
        <x:v>790503.1336228084</x:v>
      </x:c>
      <x:c r="M2880" s="80" t="n">
        <x:f>MAX(0,-K2880*'Inputs'!$E$51)</x:f>
        <x:v>0</x:v>
      </x:c>
      <x:c r="N2880" s="78" t="n">
        <x:f>H2880*(L2880*(1-'Inputs'!$B$15))/(I2880+L2880*(1-'Inputs'!$B$15))</x:f>
        <x:v>219210.47340412362</x:v>
      </x:c>
      <x:c r="O2880" s="78" t="n">
        <x:f>H2880-N2880</x:f>
        <x:v>218596.41991201608</x:v>
      </x:c>
      <x:c r="P2880" s="78" t="n">
        <x:f>I2880+L2880*(1-'Inputs'!$B$17)</x:f>
        <x:v>1567727.9189989034</x:v>
      </x:c>
      <x:c r="Q2880" s="78" t="n">
        <x:f>IF(J2880&gt;0,M2880/J2880,0)</x:f>
        <x:v>0</x:v>
      </x:c>
      <x:c r="R2880" s="78" t="n">
        <x:f>IF(B2880='Inputs'!$H$51,'Inputs'!$B$27*'Inputs'!$I$51,0)</x:f>
        <x:v>0</x:v>
      </x:c>
      <x:c r="S2880" s="78" t="n">
        <x:f>Q2880+G2880+R2880</x:f>
        <x:v>219505.88759617272</x:v>
      </x:c>
      <x:c r="T2880" s="78" t="n">
        <x:f>P2880*(S2880*(1-'Inputs'!$B$15))/(O2880+S2880*(1-'Inputs'!$B$15))</x:f>
        <x:v>781552.1635725247</x:v>
      </x:c>
      <x:c r="U2880" s="78" t="n">
        <x:f>O2880+S2880*(1-'Inputs'!$B$17)</x:f>
        <x:v>437218.98401685606</x:v>
      </x:c>
      <x:c r="V2880" s="78" t="n">
        <x:f>P2880-T2880</x:f>
        <x:v>786175.7554263787</x:v>
      </x:c>
      <x:c r="W2880" s="79" t="n">
        <x:f>IF(U2880&gt;0,V2880/U2880,0)</x:f>
        <x:v>1.7981281329633878</x:v>
      </x:c>
      <x:c r="X2880" s="80" t="n">
        <x:f>W2880*('Inputs'!$B$6-AC2880)</x:f>
        <x:v>1793022987.2071726</x:v>
      </x:c>
      <x:c r="Y2880" s="80" t="n">
        <x:f>2*V2880</x:f>
        <x:v>1572351.5108527574</x:v>
      </x:c>
      <x:c r="Z2880" s="80" t="n">
        <x:f>K2880*'Inputs'!$B$16+(G2880+R2880)*J2880*'Inputs'!$B$16</x:f>
        <x:v>49777.84890136369</x:v>
      </x:c>
      <x:c r="AA2880" s="80" t="n">
        <x:f>K2880*(1+'Inputs'!$E$51)/2*'Inputs'!$B$17</x:f>
        <x:v>17496.04521096759</x:v>
      </x:c>
      <x:c r="AB2880" s="78" t="n">
        <x:f>(IF(J2880&gt;0,K2880*(1-'Inputs'!$E$51)/2/J2880,0)+G2880+R2880)*'Inputs'!$B$17</x:f>
        <x:v>8913.993424055878</x:v>
      </x:c>
      <x:c r="AC2880" s="78" t="n">
        <x:f>AC2879+AB2880</x:f>
        <x:v>2839144.587433721</x:v>
      </x:c>
      <x:c r="AD2880" s="80" t="n">
        <x:f>Z2880/(1+'Inputs'!$C$51)</x:f>
        <x:v>16592.616300454563</x:v>
      </x:c>
      <x:c r="AE2880" s="80" t="n">
        <x:f>Z2880-AD2880</x:f>
        <x:v>33185.232600909134</x:v>
      </x:c>
      <x:c r="AF2880" s="80" t="n">
        <x:f>D2880*W2880</x:f>
        <x:v>468127.8465393739</x:v>
      </x:c>
      <x:c r="AG2880" s="80" t="n">
        <x:f>C2880*W2880</x:f>
        <x:v>1092298.3085918545</x:v>
      </x:c>
      <x:c r="AH2880" s="80" t="n">
        <x:f>2*'Inputs'!$B$8*'Inputs'!$C$51</x:f>
        <x:v>10000</x:v>
      </x:c>
      <x:c r="AI2880" s="81" t="n">
        <x:f>IF(AH2880&gt;0,(AE2880+AF2880)/AH2880*365,0)</x:f>
        <x:v>18297.92738862033</x:v>
      </x:c>
      <x:c r="AJ2880" s="81" t="n">
        <x:f>IF('Inputs'!$B$51&gt;0,AG2880/('Inputs'!$B$19*'Inputs'!$B$51)*365,0)</x:f>
        <x:v>39868.88826360269</x:v>
      </x:c>
      <x:c r="AK2880" s="81" t="n">
        <x:f>W2880/MAX($W$2559:W2880)-1</x:f>
        <x:v>0</x:v>
      </x:c>
      <x:c r="AL2880" s="83" t="n">
        <x:f>'Inputs'!$B$51</x:f>
        <x:v>1</x:v>
      </x:c>
      <x:c r="AM2880" s="83" t="n">
        <x:f>'Inputs'!$C$51</x:f>
        <x:v>2</x:v>
      </x:c>
      <x:c r="AN2880" s="83" t="n">
        <x:f>'Inputs'!$D$51</x:f>
        <x:v>3</x:v>
      </x:c>
      <x:c r="AO2880" s="81" t="n">
        <x:f>'Inputs'!$E$51</x:f>
        <x:v>0.1</x:v>
      </x:c>
    </x:row>
    <x:row r="2881">
      <x:c r="A2881" s="59" t="str">
        <x:v>High demand</x:v>
      </x:c>
      <x:c r="B2881" s="59" t="n">
        <x:v>323</x:v>
      </x:c>
      <x:c r="C2881" s="78" t="n">
        <x:f>(('Inputs'!$B$29*(3*323*'Inputs'!$B$12-323^2)/(2*'Inputs'!$B$12^2))-('Inputs'!$B$29*(3*322*'Inputs'!$B$12-322^2)/(2*'Inputs'!$B$12^2)))*'Inputs'!$B$51</x:f>
        <x:v>607139.0035654008</x:v>
      </x:c>
      <x:c r="D2881" s="78" t="n">
        <x:f>IF('Inputs'!$C$51&gt;0,('Inputs'!$B$30*(3*323*'Inputs'!$B$12-323^2)/(2*'Inputs'!$B$12^2))-('Inputs'!$B$30*(3*322*'Inputs'!$B$12-322^2)/(2*'Inputs'!$B$12^2)),0)</x:f>
        <x:v>260202.4300994575</x:v>
      </x:c>
      <x:c r="E2881" s="78" t="n">
        <x:f>C2881+D2881</x:f>
        <x:v>867341.4336648583</x:v>
      </x:c>
      <x:c r="F2881" s="78" t="n">
        <x:f>'Inputs'!$B$13*E2881+(1-'Inputs'!$B$13)/'Inputs'!$B$14*SUM(E2826:E2881)</x:f>
        <x:v>877559.1105273045</x:v>
      </x:c>
      <x:c r="G2881" s="78" t="n">
        <x:f>F2881*'Inputs'!$F$51</x:f>
        <x:v>219389.77763182612</x:v>
      </x:c>
      <x:c r="H2881" s="78" t="n">
        <x:f>U2880</x:f>
        <x:v>437218.98401685606</x:v>
      </x:c>
      <x:c r="I2881" s="78" t="n">
        <x:f>V2880</x:f>
        <x:v>786175.7554263787</x:v>
      </x:c>
      <x:c r="J2881" s="79" t="n">
        <x:f>IF(H2881&gt;0,I2881/H2881,0)</x:f>
        <x:v>1.7981281329633878</x:v>
      </x:c>
      <x:c r="K2881" s="80" t="n">
        <x:f>(H2881*J2881+I2881)*'Inputs'!$D$51*(1+'Inputs'!$G$51)^(B2881/30)</x:f>
        <x:v>7976438.42609827</x:v>
      </x:c>
      <x:c r="L2881" s="80" t="n">
        <x:f>MAX(0,K2881*'Inputs'!$E$51)</x:f>
        <x:v>797643.842609827</x:v>
      </x:c>
      <x:c r="M2881" s="80" t="n">
        <x:f>MAX(0,-K2881*'Inputs'!$E$51)</x:f>
        <x:v>0</x:v>
      </x:c>
      <x:c r="N2881" s="78" t="n">
        <x:f>H2881*(L2881*(1-'Inputs'!$B$15))/(I2881+L2881*(1-'Inputs'!$B$15))</x:f>
        <x:v>219093.8724218348</x:v>
      </x:c>
      <x:c r="O2881" s="78" t="n">
        <x:f>H2881-N2881</x:f>
        <x:v>218125.11159502127</x:v>
      </x:c>
      <x:c r="P2881" s="78" t="n">
        <x:f>I2881+L2881*(1-'Inputs'!$B$17)</x:f>
        <x:v>1580609.763659506</x:v>
      </x:c>
      <x:c r="Q2881" s="78" t="n">
        <x:f>IF(J2881&gt;0,M2881/J2881,0)</x:f>
        <x:v>0</x:v>
      </x:c>
      <x:c r="R2881" s="78" t="n">
        <x:f>IF(B2881='Inputs'!$H$51,'Inputs'!$B$27*'Inputs'!$I$51,0)</x:f>
        <x:v>0</x:v>
      </x:c>
      <x:c r="S2881" s="78" t="n">
        <x:f>Q2881+G2881+R2881</x:f>
        <x:v>219389.77763182612</x:v>
      </x:c>
      <x:c r="T2881" s="78" t="n">
        <x:f>P2881*(S2881*(1-'Inputs'!$B$15))/(O2881+S2881*(1-'Inputs'!$B$15))</x:f>
        <x:v>788617.9051056544</x:v>
      </x:c>
      <x:c r="U2881" s="78" t="n">
        <x:f>O2881+S2881*(1-'Inputs'!$B$17)</x:f>
        <x:v>436632.032978832</x:v>
      </x:c>
      <x:c r="V2881" s="78" t="n">
        <x:f>P2881-T2881</x:f>
        <x:v>791991.8585538517</x:v>
      </x:c>
      <x:c r="W2881" s="79" t="n">
        <x:f>IF(U2881&gt;0,V2881/U2881,0)</x:f>
        <x:v>1.8138656780416464</x:v>
      </x:c>
      <x:c r="X2881" s="80" t="n">
        <x:f>W2881*('Inputs'!$B$6-AC2881)</x:f>
        <x:v>1808699679.0634115</x:v>
      </x:c>
      <x:c r="Y2881" s="80" t="n">
        <x:f>2*V2881</x:f>
        <x:v>1583983.7171077034</x:v>
      </x:c>
      <x:c r="Z2881" s="80" t="n">
        <x:f>K2881*'Inputs'!$B$16+(G2881+R2881)*J2881*'Inputs'!$B$16</x:f>
        <x:v>50225.576144055834</x:v>
      </x:c>
      <x:c r="AA2881" s="80" t="n">
        <x:f>K2881*(1+'Inputs'!$E$51)/2*'Inputs'!$B$17</x:f>
        <x:v>17654.089071847284</x:v>
      </x:c>
      <x:c r="AB2881" s="78" t="n">
        <x:f>(IF(J2881&gt;0,K2881*(1-'Inputs'!$E$51)/2/J2881,0)+G2881+R2881)*'Inputs'!$B$17</x:f>
        <x:v>8915.79585357235</x:v>
      </x:c>
      <x:c r="AC2881" s="78" t="n">
        <x:f>AC2880+AB2881</x:f>
        <x:v>2848060.3832872934</x:v>
      </x:c>
      <x:c r="AD2881" s="80" t="n">
        <x:f>Z2881/(1+'Inputs'!$C$51)</x:f>
        <x:v>16741.858714685277</x:v>
      </x:c>
      <x:c r="AE2881" s="80" t="n">
        <x:f>Z2881-AD2881</x:f>
        <x:v>33483.71742937056</x:v>
      </x:c>
      <x:c r="AF2881" s="80" t="n">
        <x:f>D2881*W2881</x:f>
        <x:v>471972.2573004366</x:v>
      </x:c>
      <x:c r="AG2881" s="80" t="n">
        <x:f>C2881*W2881</x:f>
        <x:v>1101268.6003676853</x:v>
      </x:c>
      <x:c r="AH2881" s="80" t="n">
        <x:f>2*'Inputs'!$B$8*'Inputs'!$C$51</x:f>
        <x:v>10000</x:v>
      </x:c>
      <x:c r="AI2881" s="81" t="n">
        <x:f>IF(AH2881&gt;0,(AE2881+AF2881)/AH2881*365,0)</x:f>
        <x:v>18449.14307763796</x:v>
      </x:c>
      <x:c r="AJ2881" s="81" t="n">
        <x:f>IF('Inputs'!$B$51&gt;0,AG2881/('Inputs'!$B$19*'Inputs'!$B$51)*365,0)</x:f>
        <x:v>40196.30391342052</x:v>
      </x:c>
      <x:c r="AK2881" s="81" t="n">
        <x:f>W2881/MAX($W$2559:W2881)-1</x:f>
        <x:v>0</x:v>
      </x:c>
      <x:c r="AL2881" s="83" t="n">
        <x:f>'Inputs'!$B$51</x:f>
        <x:v>1</x:v>
      </x:c>
      <x:c r="AM2881" s="83" t="n">
        <x:f>'Inputs'!$C$51</x:f>
        <x:v>2</x:v>
      </x:c>
      <x:c r="AN2881" s="83" t="n">
        <x:f>'Inputs'!$D$51</x:f>
        <x:v>3</x:v>
      </x:c>
      <x:c r="AO2881" s="81" t="n">
        <x:f>'Inputs'!$E$51</x:f>
        <x:v>0.1</x:v>
      </x:c>
    </x:row>
    <x:row r="2882">
      <x:c r="A2882" s="59" t="str">
        <x:v>High demand</x:v>
      </x:c>
      <x:c r="B2882" s="59" t="n">
        <x:v>324</x:v>
      </x:c>
      <x:c r="C2882" s="78" t="n">
        <x:f>(('Inputs'!$B$29*(3*324*'Inputs'!$B$12-324^2)/(2*'Inputs'!$B$12^2))-('Inputs'!$B$29*(3*323*'Inputs'!$B$12-323^2)/(2*'Inputs'!$B$12^2)))*'Inputs'!$B$51</x:f>
        <x:v>606813.8956652284</x:v>
      </x:c>
      <x:c r="D2882" s="78" t="n">
        <x:f>IF('Inputs'!$C$51&gt;0,('Inputs'!$B$30*(3*324*'Inputs'!$B$12-324^2)/(2*'Inputs'!$B$12^2))-('Inputs'!$B$30*(3*323*'Inputs'!$B$12-323^2)/(2*'Inputs'!$B$12^2)),0)</x:f>
        <x:v>260063.09814223647</x:v>
      </x:c>
      <x:c r="E2882" s="78" t="n">
        <x:f>C2882+D2882</x:f>
        <x:v>866876.9938074648</x:v>
      </x:c>
      <x:c r="F2882" s="78" t="n">
        <x:f>'Inputs'!$B$13*E2882+(1-'Inputs'!$B$13)/'Inputs'!$B$14*SUM(E2827:E2882)</x:f>
        <x:v>877094.6706699186</x:v>
      </x:c>
      <x:c r="G2882" s="78" t="n">
        <x:f>F2882*'Inputs'!$F$51</x:f>
        <x:v>219273.66766747966</x:v>
      </x:c>
      <x:c r="H2882" s="78" t="n">
        <x:f>U2881</x:f>
        <x:v>436632.032978832</x:v>
      </x:c>
      <x:c r="I2882" s="78" t="n">
        <x:f>V2881</x:f>
        <x:v>791991.8585538517</x:v>
      </x:c>
      <x:c r="J2882" s="79" t="n">
        <x:f>IF(H2882&gt;0,I2882/H2882,0)</x:f>
        <x:v>1.8138656780416464</x:v>
      </x:c>
      <x:c r="K2882" s="80" t="n">
        <x:f>(H2882*J2882+I2882)*'Inputs'!$D$51*(1+'Inputs'!$G$51)^(B2882/30)</x:f>
        <x:v>8048526.856034164</x:v>
      </x:c>
      <x:c r="L2882" s="80" t="n">
        <x:f>MAX(0,K2882*'Inputs'!$E$51)</x:f>
        <x:v>804852.6856034165</x:v>
      </x:c>
      <x:c r="M2882" s="80" t="n">
        <x:f>MAX(0,-K2882*'Inputs'!$E$51)</x:f>
        <x:v>0</x:v>
      </x:c>
      <x:c r="N2882" s="78" t="n">
        <x:f>H2882*(L2882*(1-'Inputs'!$B$15))/(I2882+L2882*(1-'Inputs'!$B$15))</x:f>
        <x:v>218977.2733134276</x:v>
      </x:c>
      <x:c r="O2882" s="78" t="n">
        <x:f>H2882-N2882</x:f>
        <x:v>217654.75966540442</x:v>
      </x:c>
      <x:c r="P2882" s="78" t="n">
        <x:f>I2882+L2882*(1-'Inputs'!$B$17)</x:f>
        <x:v>1593605.7003520231</x:v>
      </x:c>
      <x:c r="Q2882" s="78" t="n">
        <x:f>IF(J2882&gt;0,M2882/J2882,0)</x:f>
        <x:v>0</x:v>
      </x:c>
      <x:c r="R2882" s="78" t="n">
        <x:f>IF(B2882='Inputs'!$H$51,'Inputs'!$B$27*'Inputs'!$I$51,0)</x:f>
        <x:v>0</x:v>
      </x:c>
      <x:c r="S2882" s="78" t="n">
        <x:f>Q2882+G2882+R2882</x:f>
        <x:v>219273.66766747966</x:v>
      </x:c>
      <x:c r="T2882" s="78" t="n">
        <x:f>P2882*(S2882*(1-'Inputs'!$B$15))/(O2882+S2882*(1-'Inputs'!$B$15))</x:f>
        <x:v>795751.1115374299</x:v>
      </x:c>
      <x:c r="U2882" s="78" t="n">
        <x:f>O2882+S2882*(1-'Inputs'!$B$17)</x:f>
        <x:v>436046.03832818597</x:v>
      </x:c>
      <x:c r="V2882" s="78" t="n">
        <x:f>P2882-T2882</x:f>
        <x:v>797854.5888145933</x:v>
      </x:c>
      <x:c r="W2882" s="79" t="n">
        <x:f>IF(U2882&gt;0,V2882/U2882,0)</x:f>
        <x:v>1.8297485097527604</x:v>
      </x:c>
      <x:c r="X2882" s="80" t="n">
        <x:f>W2882*('Inputs'!$B$6-AC2882)</x:f>
        <x:v>1824520958.5417285</x:v>
      </x:c>
      <x:c r="Y2882" s="80" t="n">
        <x:f>2*V2882</x:f>
        <x:v>1595709.1776291865</x:v>
      </x:c>
      <x:c r="Z2882" s="80" t="n">
        <x:f>K2882*'Inputs'!$B$16+(G2882+R2882)*J2882*'Inputs'!$B$16</x:f>
        <x:v>50677.559015487095</x:v>
      </x:c>
      <x:c r="AA2882" s="80" t="n">
        <x:f>K2882*(1+'Inputs'!$E$51)/2*'Inputs'!$B$17</x:f>
        <x:v>17813.640928848254</x:v>
      </x:c>
      <x:c r="AB2882" s="78" t="n">
        <x:f>(IF(J2882&gt;0,K2882*(1-'Inputs'!$E$51)/2/J2882,0)+G2882+R2882)*'Inputs'!$B$17</x:f>
        <x:v>8917.602030691798</x:v>
      </x:c>
      <x:c r="AC2882" s="78" t="n">
        <x:f>AC2881+AB2882</x:f>
        <x:v>2856977.985317985</x:v>
      </x:c>
      <x:c r="AD2882" s="80" t="n">
        <x:f>Z2882/(1+'Inputs'!$C$51)</x:f>
        <x:v>16892.51967182903</x:v>
      </x:c>
      <x:c r="AE2882" s="80" t="n">
        <x:f>Z2882-AD2882</x:f>
        <x:v>33785.03934365806</x:v>
      </x:c>
      <x:c r="AF2882" s="80" t="n">
        <x:f>D2882*W2882</x:f>
        <x:v>475850.06626744306</x:v>
      </x:c>
      <x:c r="AG2882" s="80" t="n">
        <x:f>C2882*W2882</x:f>
        <x:v>1110316.8212907186</x:v>
      </x:c>
      <x:c r="AH2882" s="80" t="n">
        <x:f>2*'Inputs'!$B$8*'Inputs'!$C$51</x:f>
        <x:v>10000</x:v>
      </x:c>
      <x:c r="AI2882" s="81" t="n">
        <x:f>IF(AH2882&gt;0,(AE2882+AF2882)/AH2882*365,0)</x:f>
        <x:v>18601.68135480519</x:v>
      </x:c>
      <x:c r="AJ2882" s="81" t="n">
        <x:f>IF('Inputs'!$B$51&gt;0,AG2882/('Inputs'!$B$19*'Inputs'!$B$51)*365,0)</x:f>
        <x:v>40526.56397711123</x:v>
      </x:c>
      <x:c r="AK2882" s="81" t="n">
        <x:f>W2882/MAX($W$2559:W2882)-1</x:f>
        <x:v>0</x:v>
      </x:c>
      <x:c r="AL2882" s="83" t="n">
        <x:f>'Inputs'!$B$51</x:f>
        <x:v>1</x:v>
      </x:c>
      <x:c r="AM2882" s="83" t="n">
        <x:f>'Inputs'!$C$51</x:f>
        <x:v>2</x:v>
      </x:c>
      <x:c r="AN2882" s="83" t="n">
        <x:f>'Inputs'!$D$51</x:f>
        <x:v>3</x:v>
      </x:c>
      <x:c r="AO2882" s="81" t="n">
        <x:f>'Inputs'!$E$51</x:f>
        <x:v>0.1</x:v>
      </x:c>
    </x:row>
    <x:row r="2883">
      <x:c r="A2883" s="59" t="str">
        <x:v>High demand</x:v>
      </x:c>
      <x:c r="B2883" s="59" t="n">
        <x:v>325</x:v>
      </x:c>
      <x:c r="C2883" s="78" t="n">
        <x:f>(('Inputs'!$B$29*(3*325*'Inputs'!$B$12-325^2)/(2*'Inputs'!$B$12^2))-('Inputs'!$B$29*(3*324*'Inputs'!$B$12-324^2)/(2*'Inputs'!$B$12^2)))*'Inputs'!$B$51</x:f>
        <x:v>606488.7877650559</x:v>
      </x:c>
      <x:c r="D2883" s="78" t="n">
        <x:f>IF('Inputs'!$C$51&gt;0,('Inputs'!$B$30*(3*325*'Inputs'!$B$12-325^2)/(2*'Inputs'!$B$12^2))-('Inputs'!$B$30*(3*324*'Inputs'!$B$12-324^2)/(2*'Inputs'!$B$12^2)),0)</x:f>
        <x:v>259923.76618503034</x:v>
      </x:c>
      <x:c r="E2883" s="78" t="n">
        <x:f>C2883+D2883</x:f>
        <x:v>866412.5539500862</x:v>
      </x:c>
      <x:c r="F2883" s="78" t="n">
        <x:f>'Inputs'!$B$13*E2883+(1-'Inputs'!$B$13)/'Inputs'!$B$14*SUM(E2828:E2883)</x:f>
        <x:v>876630.2308125359</x:v>
      </x:c>
      <x:c r="G2883" s="78" t="n">
        <x:f>F2883*'Inputs'!$F$51</x:f>
        <x:v>219157.55770313396</x:v>
      </x:c>
      <x:c r="H2883" s="78" t="n">
        <x:f>U2882</x:f>
        <x:v>436046.03832818597</x:v>
      </x:c>
      <x:c r="I2883" s="78" t="n">
        <x:f>V2882</x:f>
        <x:v>797854.5888145933</x:v>
      </x:c>
      <x:c r="J2883" s="79" t="n">
        <x:f>IF(H2883&gt;0,I2883/H2883,0)</x:f>
        <x:v>1.8297485097527604</x:v>
      </x:c>
      <x:c r="K2883" s="80" t="n">
        <x:f>(H2883*J2883+I2883)*'Inputs'!$D$51*(1+'Inputs'!$G$51)^(B2883/30)</x:f>
        <x:v>8121303.439495587</x:v>
      </x:c>
      <x:c r="L2883" s="80" t="n">
        <x:f>MAX(0,K2883*'Inputs'!$E$51)</x:f>
        <x:v>812130.3439495587</x:v>
      </x:c>
      <x:c r="M2883" s="80" t="n">
        <x:f>MAX(0,-K2883*'Inputs'!$E$51)</x:f>
        <x:v>0</x:v>
      </x:c>
      <x:c r="N2883" s="78" t="n">
        <x:f>H2883*(L2883*(1-'Inputs'!$B$15))/(I2883+L2883*(1-'Inputs'!$B$15))</x:f>
        <x:v>218860.6760753193</x:v>
      </x:c>
      <x:c r="O2883" s="78" t="n">
        <x:f>H2883-N2883</x:f>
        <x:v>217185.36225286667</x:v>
      </x:c>
      <x:c r="P2883" s="78" t="n">
        <x:f>I2883+L2883*(1-'Inputs'!$B$17)</x:f>
        <x:v>1606716.8026074134</x:v>
      </x:c>
      <x:c r="Q2883" s="78" t="n">
        <x:f>IF(J2883&gt;0,M2883/J2883,0)</x:f>
        <x:v>0</x:v>
      </x:c>
      <x:c r="R2883" s="78" t="n">
        <x:f>IF(B2883='Inputs'!$H$51,'Inputs'!$B$27*'Inputs'!$I$51,0)</x:f>
        <x:v>0</x:v>
      </x:c>
      <x:c r="S2883" s="78" t="n">
        <x:f>Q2883+G2883+R2883</x:f>
        <x:v>219157.55770313396</x:v>
      </x:c>
      <x:c r="T2883" s="78" t="n">
        <x:f>P2883*(S2883*(1-'Inputs'!$B$15))/(O2883+S2883*(1-'Inputs'!$B$15))</x:f>
        <x:v>802952.4579150778</x:v>
      </x:c>
      <x:c r="U2883" s="78" t="n">
        <x:f>O2883+S2883*(1-'Inputs'!$B$17)</x:f>
        <x:v>435460.9981946198</x:v>
      </x:c>
      <x:c r="V2883" s="78" t="n">
        <x:f>P2883-T2883</x:f>
        <x:v>803764.3446923356</x:v>
      </x:c>
      <x:c r="W2883" s="79" t="n">
        <x:f>IF(U2883&gt;0,V2883/U2883,0)</x:f>
        <x:v>1.8457780329918563</x:v>
      </x:c>
      <x:c r="X2883" s="80" t="n">
        <x:f>W2883*('Inputs'!$B$6-AC2883)</x:f>
        <x:v>1840488222.5311599</x:v>
      </x:c>
      <x:c r="Y2883" s="80" t="n">
        <x:f>2*V2883</x:f>
        <x:v>1607528.6893846712</x:v>
      </x:c>
      <x:c r="Z2883" s="80" t="n">
        <x:f>K2883*'Inputs'!$B$16+(G2883+R2883)*J2883*'Inputs'!$B$16</x:f>
        <x:v>51133.8399246237</x:v>
      </x:c>
      <x:c r="AA2883" s="80" t="n">
        <x:f>K2883*(1+'Inputs'!$E$51)/2*'Inputs'!$B$17</x:f>
        <x:v>17974.71586206267</x:v>
      </x:c>
      <x:c r="AB2883" s="78" t="n">
        <x:f>(IF(J2883&gt;0,K2883*(1-'Inputs'!$E$51)/2/J2883,0)+G2883+R2883)*'Inputs'!$B$17</x:f>
        <x:v>8919.41195576343</x:v>
      </x:c>
      <x:c r="AC2883" s="78" t="n">
        <x:f>AC2882+AB2883</x:f>
        <x:v>2865897.3972737486</x:v>
      </x:c>
      <x:c r="AD2883" s="80" t="n">
        <x:f>Z2883/(1+'Inputs'!$C$51)</x:f>
        <x:v>17044.6133082079</x:v>
      </x:c>
      <x:c r="AE2883" s="80" t="n">
        <x:f>Z2883-AD2883</x:f>
        <x:v>34089.226616415806</x:v>
      </x:c>
      <x:c r="AF2883" s="80" t="n">
        <x:f>D2883*W2883</x:f>
        <x:v>479761.5778768405</x:v>
      </x:c>
      <x:c r="AG2883" s="80" t="n">
        <x:f>C2883*W2883</x:f>
        <x:v>1119443.6817126002</x:v>
      </x:c>
      <x:c r="AH2883" s="80" t="n">
        <x:f>2*'Inputs'!$B$8*'Inputs'!$C$51</x:f>
        <x:v>10000</x:v>
      </x:c>
      <x:c r="AI2883" s="81" t="n">
        <x:f>IF(AH2883&gt;0,(AE2883+AF2883)/AH2883*365,0)</x:f>
        <x:v>18755.554364003856</x:v>
      </x:c>
      <x:c r="AJ2883" s="81" t="n">
        <x:f>IF('Inputs'!$B$51&gt;0,AG2883/('Inputs'!$B$19*'Inputs'!$B$51)*365,0)</x:f>
        <x:v>40859.69438250991</x:v>
      </x:c>
      <x:c r="AK2883" s="81" t="n">
        <x:f>W2883/MAX($W$2559:W2883)-1</x:f>
        <x:v>0</x:v>
      </x:c>
      <x:c r="AL2883" s="83" t="n">
        <x:f>'Inputs'!$B$51</x:f>
        <x:v>1</x:v>
      </x:c>
      <x:c r="AM2883" s="83" t="n">
        <x:f>'Inputs'!$C$51</x:f>
        <x:v>2</x:v>
      </x:c>
      <x:c r="AN2883" s="83" t="n">
        <x:f>'Inputs'!$D$51</x:f>
        <x:v>3</x:v>
      </x:c>
      <x:c r="AO2883" s="81" t="n">
        <x:f>'Inputs'!$E$51</x:f>
        <x:v>0.1</x:v>
      </x:c>
    </x:row>
    <x:row r="2884">
      <x:c r="A2884" s="59" t="str">
        <x:v>High demand</x:v>
      </x:c>
      <x:c r="B2884" s="59" t="n">
        <x:v>326</x:v>
      </x:c>
      <x:c r="C2884" s="78" t="n">
        <x:f>(('Inputs'!$B$29*(3*326*'Inputs'!$B$12-326^2)/(2*'Inputs'!$B$12^2))-('Inputs'!$B$29*(3*325*'Inputs'!$B$12-325^2)/(2*'Inputs'!$B$12^2)))*'Inputs'!$B$51</x:f>
        <x:v>606163.6798648834</x:v>
      </x:c>
      <x:c r="D2884" s="78" t="n">
        <x:f>IF('Inputs'!$C$51&gt;0,('Inputs'!$B$30*(3*326*'Inputs'!$B$12-326^2)/(2*'Inputs'!$B$12^2))-('Inputs'!$B$30*(3*325*'Inputs'!$B$12-325^2)/(2*'Inputs'!$B$12^2)),0)</x:f>
        <x:v>259784.4342278093</x:v>
      </x:c>
      <x:c r="E2884" s="78" t="n">
        <x:f>C2884+D2884</x:f>
        <x:v>865948.1140926927</x:v>
      </x:c>
      <x:c r="F2884" s="78" t="n">
        <x:f>'Inputs'!$B$13*E2884+(1-'Inputs'!$B$13)/'Inputs'!$B$14*SUM(E2829:E2884)</x:f>
        <x:v>876165.7909551496</x:v>
      </x:c>
      <x:c r="G2884" s="78" t="n">
        <x:f>F2884*'Inputs'!$F$51</x:f>
        <x:v>219041.4477387874</x:v>
      </x:c>
      <x:c r="H2884" s="78" t="n">
        <x:f>U2883</x:f>
        <x:v>435460.9981946198</x:v>
      </x:c>
      <x:c r="I2884" s="78" t="n">
        <x:f>V2883</x:f>
        <x:v>803764.3446923356</x:v>
      </x:c>
      <x:c r="J2884" s="79" t="n">
        <x:f>IF(H2884&gt;0,I2884/H2884,0)</x:f>
        <x:v>1.8457780329918563</x:v>
      </x:c>
      <x:c r="K2884" s="80" t="n">
        <x:f>(H2884*J2884+I2884)*'Inputs'!$D$51*(1+'Inputs'!$G$51)^(B2884/30)</x:f>
        <x:v>8194775.060912761</x:v>
      </x:c>
      <x:c r="L2884" s="80" t="n">
        <x:f>MAX(0,K2884*'Inputs'!$E$51)</x:f>
        <x:v>819477.5060912762</x:v>
      </x:c>
      <x:c r="M2884" s="80" t="n">
        <x:f>MAX(0,-K2884*'Inputs'!$E$51)</x:f>
        <x:v>0</x:v>
      </x:c>
      <x:c r="N2884" s="78" t="n">
        <x:f>H2884*(L2884*(1-'Inputs'!$B$15))/(I2884+L2884*(1-'Inputs'!$B$15))</x:f>
        <x:v>218744.08070393433</x:v>
      </x:c>
      <x:c r="O2884" s="78" t="n">
        <x:f>H2884-N2884</x:f>
        <x:v>216716.91749068545</x:v>
      </x:c>
      <x:c r="P2884" s="78" t="n">
        <x:f>I2884+L2884*(1-'Inputs'!$B$17)</x:f>
        <x:v>1619944.1545820371</x:v>
      </x:c>
      <x:c r="Q2884" s="78" t="n">
        <x:f>IF(J2884&gt;0,M2884/J2884,0)</x:f>
        <x:v>0</x:v>
      </x:c>
      <x:c r="R2884" s="78" t="n">
        <x:f>IF(B2884='Inputs'!$H$51,'Inputs'!$B$27*'Inputs'!$I$51,0)</x:f>
        <x:v>0</x:v>
      </x:c>
      <x:c r="S2884" s="78" t="n">
        <x:f>Q2884+G2884+R2884</x:f>
        <x:v>219041.4477387874</x:v>
      </x:c>
      <x:c r="T2884" s="78" t="n">
        <x:f>P2884*(S2884*(1-'Inputs'!$B$15))/(O2884+S2884*(1-'Inputs'!$B$15))</x:f>
        <x:v>810222.6263207942</x:v>
      </x:c>
      <x:c r="U2884" s="78" t="n">
        <x:f>O2884+S2884*(1-'Inputs'!$B$17)</x:f>
        <x:v>434876.9107114093</x:v>
      </x:c>
      <x:c r="V2884" s="78" t="n">
        <x:f>P2884-T2884</x:f>
        <x:v>809721.5282612429</x:v>
      </x:c>
      <x:c r="W2884" s="79" t="n">
        <x:f>IF(U2884&gt;0,V2884/U2884,0)</x:f>
        <x:v>1.8619556668038098</x:v>
      </x:c>
      <x:c r="X2884" s="80" t="n">
        <x:f>W2884*('Inputs'!$B$6-AC2884)</x:f>
        <x:v>1856602881.9778626</x:v>
      </x:c>
      <x:c r="Y2884" s="80" t="n">
        <x:f>2*V2884</x:f>
        <x:v>1619443.0565224858</x:v>
      </x:c>
      <x:c r="Z2884" s="80" t="n">
        <x:f>K2884*'Inputs'!$B$16+(G2884+R2884)*J2884*'Inputs'!$B$16</x:f>
        <x:v>51594.46172078249</x:v>
      </x:c>
      <x:c r="AA2884" s="80" t="n">
        <x:f>K2884*(1+'Inputs'!$E$51)/2*'Inputs'!$B$17</x:f>
        <x:v>18137.329108660037</x:v>
      </x:c>
      <x:c r="AB2884" s="78" t="n">
        <x:f>(IF(J2884&gt;0,K2884*(1-'Inputs'!$E$51)/2/J2884,0)+G2884+R2884)*'Inputs'!$B$17</x:f>
        <x:v>8921.225629128085</x:v>
      </x:c>
      <x:c r="AC2884" s="78" t="n">
        <x:f>AC2883+AB2884</x:f>
        <x:v>2874818.6229028767</x:v>
      </x:c>
      <x:c r="AD2884" s="80" t="n">
        <x:f>Z2884/(1+'Inputs'!$C$51)</x:f>
        <x:v>17198.1539069275</x:v>
      </x:c>
      <x:c r="AE2884" s="80" t="n">
        <x:f>Z2884-AD2884</x:f>
        <x:v>34396.30781385499</x:v>
      </x:c>
      <x:c r="AF2884" s="80" t="n">
        <x:f>D2884*W2884</x:f>
        <x:v>483707.09945789113</x:v>
      </x:c>
      <x:c r="AG2884" s="80" t="n">
        <x:f>C2884*W2884</x:f>
        <x:v>1128649.8987350701</x:v>
      </x:c>
      <x:c r="AH2884" s="80" t="n">
        <x:f>2*'Inputs'!$B$8*'Inputs'!$C$51</x:f>
        <x:v>10000</x:v>
      </x:c>
      <x:c r="AI2884" s="81" t="n">
        <x:f>IF(AH2884&gt;0,(AE2884+AF2884)/AH2884*365,0)</x:f>
        <x:v>18910.774365418732</x:v>
      </x:c>
      <x:c r="AJ2884" s="81" t="n">
        <x:f>IF('Inputs'!$B$51&gt;0,AG2884/('Inputs'!$B$19*'Inputs'!$B$51)*365,0)</x:f>
        <x:v>41195.72130383006</x:v>
      </x:c>
      <x:c r="AK2884" s="81" t="n">
        <x:f>W2884/MAX($W$2559:W2884)-1</x:f>
        <x:v>0</x:v>
      </x:c>
      <x:c r="AL2884" s="83" t="n">
        <x:f>'Inputs'!$B$51</x:f>
        <x:v>1</x:v>
      </x:c>
      <x:c r="AM2884" s="83" t="n">
        <x:f>'Inputs'!$C$51</x:f>
        <x:v>2</x:v>
      </x:c>
      <x:c r="AN2884" s="83" t="n">
        <x:f>'Inputs'!$D$51</x:f>
        <x:v>3</x:v>
      </x:c>
      <x:c r="AO2884" s="81" t="n">
        <x:f>'Inputs'!$E$51</x:f>
        <x:v>0.1</x:v>
      </x:c>
    </x:row>
    <x:row r="2885">
      <x:c r="A2885" s="59" t="str">
        <x:v>High demand</x:v>
      </x:c>
      <x:c r="B2885" s="59" t="n">
        <x:v>327</x:v>
      </x:c>
      <x:c r="C2885" s="78" t="n">
        <x:f>(('Inputs'!$B$29*(3*327*'Inputs'!$B$12-327^2)/(2*'Inputs'!$B$12^2))-('Inputs'!$B$29*(3*326*'Inputs'!$B$12-326^2)/(2*'Inputs'!$B$12^2)))*'Inputs'!$B$51</x:f>
        <x:v>605838.5719647408</x:v>
      </x:c>
      <x:c r="D2885" s="78" t="n">
        <x:f>IF('Inputs'!$C$51&gt;0,('Inputs'!$B$30*(3*327*'Inputs'!$B$12-327^2)/(2*'Inputs'!$B$12^2))-('Inputs'!$B$30*(3*326*'Inputs'!$B$12-326^2)/(2*'Inputs'!$B$12^2)),0)</x:f>
        <x:v>259645.10227058828</x:v>
      </x:c>
      <x:c r="E2885" s="78" t="n">
        <x:f>C2885+D2885</x:f>
        <x:v>865483.674235329</x:v>
      </x:c>
      <x:c r="F2885" s="78" t="n">
        <x:f>'Inputs'!$B$13*E2885+(1-'Inputs'!$B$13)/'Inputs'!$B$14*SUM(E2830:E2885)</x:f>
        <x:v>875701.3510977698</x:v>
      </x:c>
      <x:c r="G2885" s="78" t="n">
        <x:f>F2885*'Inputs'!$F$51</x:f>
        <x:v>218925.33777444245</x:v>
      </x:c>
      <x:c r="H2885" s="78" t="n">
        <x:f>U2884</x:f>
        <x:v>434876.9107114093</x:v>
      </x:c>
      <x:c r="I2885" s="78" t="n">
        <x:f>V2884</x:f>
        <x:v>809721.5282612429</x:v>
      </x:c>
      <x:c r="J2885" s="79" t="n">
        <x:f>IF(H2885&gt;0,I2885/H2885,0)</x:f>
        <x:v>1.8619556668038098</x:v>
      </x:c>
      <x:c r="K2885" s="80" t="n">
        <x:f>(H2885*J2885+I2885)*'Inputs'!$D$51*(1+'Inputs'!$G$51)^(B2885/30)</x:f>
        <x:v>8268948.676452576</x:v>
      </x:c>
      <x:c r="L2885" s="80" t="n">
        <x:f>MAX(0,K2885*'Inputs'!$E$51)</x:f>
        <x:v>826894.8676452576</x:v>
      </x:c>
      <x:c r="M2885" s="80" t="n">
        <x:f>MAX(0,-K2885*'Inputs'!$E$51)</x:f>
        <x:v>0</x:v>
      </x:c>
      <x:c r="N2885" s="78" t="n">
        <x:f>H2885*(L2885*(1-'Inputs'!$B$15))/(I2885+L2885*(1-'Inputs'!$B$15))</x:f>
        <x:v>218627.48719570262</x:v>
      </x:c>
      <x:c r="O2885" s="78" t="n">
        <x:f>H2885-N2885</x:f>
        <x:v>216249.42351570667</x:v>
      </x:c>
      <x:c r="P2885" s="78" t="n">
        <x:f>I2885+L2885*(1-'Inputs'!$B$17)</x:f>
        <x:v>1633288.8511674854</x:v>
      </x:c>
      <x:c r="Q2885" s="78" t="n">
        <x:f>IF(J2885&gt;0,M2885/J2885,0)</x:f>
        <x:v>0</x:v>
      </x:c>
      <x:c r="R2885" s="78" t="n">
        <x:f>IF(B2885='Inputs'!$H$51,'Inputs'!$B$27*'Inputs'!$I$51,0)</x:f>
        <x:v>0</x:v>
      </x:c>
      <x:c r="S2885" s="78" t="n">
        <x:f>Q2885+G2885+R2885</x:f>
        <x:v>218925.33777444245</x:v>
      </x:c>
      <x:c r="T2885" s="78" t="n">
        <x:f>P2885*(S2885*(1-'Inputs'!$B$15))/(O2885+S2885*(1-'Inputs'!$B$15))</x:f>
        <x:v>817562.3059477471</x:v>
      </x:c>
      <x:c r="U2885" s="78" t="n">
        <x:f>O2885+S2885*(1-'Inputs'!$B$17)</x:f>
        <x:v>434293.7740154029</x:v>
      </x:c>
      <x:c r="V2885" s="78" t="n">
        <x:f>P2885-T2885</x:f>
        <x:v>815726.5452197383</x:v>
      </x:c>
      <x:c r="W2885" s="79" t="n">
        <x:f>IF(U2885&gt;0,V2885/U2885,0)</x:f>
        <x:v>1.8782828445309632</x:v>
      </x:c>
      <x:c r="X2885" s="80" t="n">
        <x:f>W2885*('Inputs'!$B$6-AC2885)</x:f>
        <x:v>1872866362.0317426</x:v>
      </x:c>
      <x:c r="Y2885" s="80" t="n">
        <x:f>2*V2885</x:f>
        <x:v>1631453.0904394765</x:v>
      </x:c>
      <x:c r="Z2885" s="80" t="n">
        <x:f>K2885*'Inputs'!$B$16+(G2885+R2885)*J2885*'Inputs'!$B$16</x:f>
        <x:v>52059.46769837183</x:v>
      </x:c>
      <x:c r="AA2885" s="80" t="n">
        <x:f>K2885*(1+'Inputs'!$E$51)/2*'Inputs'!$B$17</x:f>
        <x:v>18301.49606458317</x:v>
      </x:c>
      <x:c r="AB2885" s="78" t="n">
        <x:f>(IF(J2885&gt;0,K2885*(1-'Inputs'!$E$51)/2/J2885,0)+G2885+R2885)*'Inputs'!$B$17</x:f>
        <x:v>8923.043051118188</x:v>
      </x:c>
      <x:c r="AC2885" s="78" t="n">
        <x:f>AC2884+AB2885</x:f>
        <x:v>2883741.6659539947</x:v>
      </x:c>
      <x:c r="AD2885" s="80" t="n">
        <x:f>Z2885/(1+'Inputs'!$C$51)</x:f>
        <x:v>17353.155899457277</x:v>
      </x:c>
      <x:c r="AE2885" s="80" t="n">
        <x:f>Z2885-AD2885</x:f>
        <x:v>34706.311798914554</x:v>
      </x:c>
      <x:c r="AF2885" s="80" t="n">
        <x:f>D2885*W2885</x:f>
        <x:v>487686.9412613334</x:v>
      </x:c>
      <x:c r="AG2885" s="80" t="n">
        <x:f>C2885*W2885</x:f>
        <x:v>1137936.19627651</x:v>
      </x:c>
      <x:c r="AH2885" s="80" t="n">
        <x:f>2*'Inputs'!$B$8*'Inputs'!$C$51</x:f>
        <x:v>10000</x:v>
      </x:c>
      <x:c r="AI2885" s="81" t="n">
        <x:f>IF(AH2885&gt;0,(AE2885+AF2885)/AH2885*365,0)</x:f>
        <x:v>19067.35373669905</x:v>
      </x:c>
      <x:c r="AJ2885" s="81" t="n">
        <x:f>IF('Inputs'!$B$51&gt;0,AG2885/('Inputs'!$B$19*'Inputs'!$B$51)*365,0)</x:f>
        <x:v>41534.67116409261</x:v>
      </x:c>
      <x:c r="AK2885" s="81" t="n">
        <x:f>W2885/MAX($W$2559:W2885)-1</x:f>
        <x:v>0</x:v>
      </x:c>
      <x:c r="AL2885" s="83" t="n">
        <x:f>'Inputs'!$B$51</x:f>
        <x:v>1</x:v>
      </x:c>
      <x:c r="AM2885" s="83" t="n">
        <x:f>'Inputs'!$C$51</x:f>
        <x:v>2</x:v>
      </x:c>
      <x:c r="AN2885" s="83" t="n">
        <x:f>'Inputs'!$D$51</x:f>
        <x:v>3</x:v>
      </x:c>
      <x:c r="AO2885" s="81" t="n">
        <x:f>'Inputs'!$E$51</x:f>
        <x:v>0.1</x:v>
      </x:c>
    </x:row>
    <x:row r="2886">
      <x:c r="A2886" s="59" t="str">
        <x:v>High demand</x:v>
      </x:c>
      <x:c r="B2886" s="59" t="n">
        <x:v>328</x:v>
      </x:c>
      <x:c r="C2886" s="78" t="n">
        <x:f>(('Inputs'!$B$29*(3*328*'Inputs'!$B$12-328^2)/(2*'Inputs'!$B$12^2))-('Inputs'!$B$29*(3*327*'Inputs'!$B$12-327^2)/(2*'Inputs'!$B$12^2)))*'Inputs'!$B$51</x:f>
        <x:v>605513.4640645385</x:v>
      </x:c>
      <x:c r="D2886" s="78" t="n">
        <x:f>IF('Inputs'!$C$51&gt;0,('Inputs'!$B$30*(3*328*'Inputs'!$B$12-328^2)/(2*'Inputs'!$B$12^2))-('Inputs'!$B$30*(3*327*'Inputs'!$B$12-327^2)/(2*'Inputs'!$B$12^2)),0)</x:f>
        <x:v>259505.77031338215</x:v>
      </x:c>
      <x:c r="E2886" s="78" t="n">
        <x:f>C2886+D2886</x:f>
        <x:v>865019.2343779206</x:v>
      </x:c>
      <x:c r="F2886" s="78" t="n">
        <x:f>'Inputs'!$B$13*E2886+(1-'Inputs'!$B$13)/'Inputs'!$B$14*SUM(E2831:E2886)</x:f>
        <x:v>875236.9112403806</x:v>
      </x:c>
      <x:c r="G2886" s="78" t="n">
        <x:f>F2886*'Inputs'!$F$51</x:f>
        <x:v>218809.22781009515</x:v>
      </x:c>
      <x:c r="H2886" s="78" t="n">
        <x:f>U2885</x:f>
        <x:v>434293.7740154029</x:v>
      </x:c>
      <x:c r="I2886" s="78" t="n">
        <x:f>V2885</x:f>
        <x:v>815726.5452197383</x:v>
      </x:c>
      <x:c r="J2886" s="79" t="n">
        <x:f>IF(H2886&gt;0,I2886/H2886,0)</x:f>
        <x:v>1.8782828445309632</x:v>
      </x:c>
      <x:c r="K2886" s="80" t="n">
        <x:f>(H2886*J2886+I2886)*'Inputs'!$D$51*(1+'Inputs'!$G$51)^(B2886/30)</x:f>
        <x:v>8343831.314793261</x:v>
      </x:c>
      <x:c r="L2886" s="80" t="n">
        <x:f>MAX(0,K2886*'Inputs'!$E$51)</x:f>
        <x:v>834383.1314793262</x:v>
      </x:c>
      <x:c r="M2886" s="80" t="n">
        <x:f>MAX(0,-K2886*'Inputs'!$E$51)</x:f>
        <x:v>0</x:v>
      </x:c>
      <x:c r="N2886" s="78" t="n">
        <x:f>H2886*(L2886*(1-'Inputs'!$B$15))/(I2886+L2886*(1-'Inputs'!$B$15))</x:f>
        <x:v>218510.89554706248</x:v>
      </x:c>
      <x:c r="O2886" s="78" t="n">
        <x:f>H2886-N2886</x:f>
        <x:v>215782.8784683404</x:v>
      </x:c>
      <x:c r="P2886" s="78" t="n">
        <x:f>I2886+L2886*(1-'Inputs'!$B$17)</x:f>
        <x:v>1646751.9981015623</x:v>
      </x:c>
      <x:c r="Q2886" s="78" t="n">
        <x:f>IF(J2886&gt;0,M2886/J2886,0)</x:f>
        <x:v>0</x:v>
      </x:c>
      <x:c r="R2886" s="78" t="n">
        <x:f>IF(B2886='Inputs'!$H$51,'Inputs'!$B$27*'Inputs'!$I$51,0)</x:f>
        <x:v>0</x:v>
      </x:c>
      <x:c r="S2886" s="78" t="n">
        <x:f>Q2886+G2886+R2886</x:f>
        <x:v>218809.22781009515</x:v>
      </x:c>
      <x:c r="T2886" s="78" t="n">
        <x:f>P2886*(S2886*(1-'Inputs'!$B$15))/(O2886+S2886*(1-'Inputs'!$B$15))</x:f>
        <x:v>824972.1931768763</x:v>
      </x:c>
      <x:c r="U2886" s="78" t="n">
        <x:f>O2886+S2886*(1-'Inputs'!$B$17)</x:f>
        <x:v>433711.5862470066</x:v>
      </x:c>
      <x:c r="V2886" s="78" t="n">
        <x:f>P2886-T2886</x:f>
        <x:v>821779.804924686</x:v>
      </x:c>
      <x:c r="W2886" s="79" t="n">
        <x:f>IF(U2886&gt;0,V2886/U2886,0)</x:f>
        <x:v>1.8947610139625541</x:v>
      </x:c>
      <x:c r="X2886" s="80" t="n">
        <x:f>W2886*('Inputs'!$B$6-AC2886)</x:f>
        <x:v>1889280102.1947823</x:v>
      </x:c>
      <x:c r="Y2886" s="80" t="n">
        <x:f>2*V2886</x:f>
        <x:v>1643559.609849372</x:v>
      </x:c>
      <x:c r="Z2886" s="80" t="n">
        <x:f>K2886*'Inputs'!$B$16+(G2886+R2886)*J2886*'Inputs'!$B$16</x:f>
        <x:v>52528.90160168418</x:v>
      </x:c>
      <x:c r="AA2886" s="80" t="n">
        <x:f>K2886*(1+'Inputs'!$E$51)/2*'Inputs'!$B$17</x:f>
        <x:v>18467.23228626275</x:v>
      </x:c>
      <x:c r="AB2886" s="78" t="n">
        <x:f>(IF(J2886&gt;0,K2886*(1-'Inputs'!$E$51)/2/J2886,0)+G2886+R2886)*'Inputs'!$B$17</x:f>
        <x:v>8924.864222057777</x:v>
      </x:c>
      <x:c r="AC2886" s="78" t="n">
        <x:f>AC2885+AB2886</x:f>
        <x:v>2892666.5301760524</x:v>
      </x:c>
      <x:c r="AD2886" s="80" t="n">
        <x:f>Z2886/(1+'Inputs'!$C$51)</x:f>
        <x:v>17509.633867228058</x:v>
      </x:c>
      <x:c r="AE2886" s="80" t="n">
        <x:f>Z2886-AD2886</x:f>
        <x:v>35019.26773445612</x:v>
      </x:c>
      <x:c r="AF2886" s="80" t="n">
        <x:f>D2886*W2886</x:f>
        <x:v>491701.41648811765</x:v>
      </x:c>
      <x:c r="AG2886" s="80" t="n">
        <x:f>C2886*W2886</x:f>
        <x:v>1147303.3051389034</x:v>
      </x:c>
      <x:c r="AH2886" s="80" t="n">
        <x:f>2*'Inputs'!$B$8*'Inputs'!$C$51</x:f>
        <x:v>10000</x:v>
      </x:c>
      <x:c r="AI2886" s="81" t="n">
        <x:f>IF(AH2886&gt;0,(AE2886+AF2886)/AH2886*365,0)</x:f>
        <x:v>19225.30497412394</x:v>
      </x:c>
      <x:c r="AJ2886" s="81" t="n">
        <x:f>IF('Inputs'!$B$51&gt;0,AG2886/('Inputs'!$B$19*'Inputs'!$B$51)*365,0)</x:f>
        <x:v>41876.570637569974</x:v>
      </x:c>
      <x:c r="AK2886" s="81" t="n">
        <x:f>W2886/MAX($W$2559:W2886)-1</x:f>
        <x:v>0</x:v>
      </x:c>
      <x:c r="AL2886" s="83" t="n">
        <x:f>'Inputs'!$B$51</x:f>
        <x:v>1</x:v>
      </x:c>
      <x:c r="AM2886" s="83" t="n">
        <x:f>'Inputs'!$C$51</x:f>
        <x:v>2</x:v>
      </x:c>
      <x:c r="AN2886" s="83" t="n">
        <x:f>'Inputs'!$D$51</x:f>
        <x:v>3</x:v>
      </x:c>
      <x:c r="AO2886" s="81" t="n">
        <x:f>'Inputs'!$E$51</x:f>
        <x:v>0.1</x:v>
      </x:c>
    </x:row>
    <x:row r="2887">
      <x:c r="A2887" s="59" t="str">
        <x:v>High demand</x:v>
      </x:c>
      <x:c r="B2887" s="59" t="n">
        <x:v>329</x:v>
      </x:c>
      <x:c r="C2887" s="78" t="n">
        <x:f>(('Inputs'!$B$29*(3*329*'Inputs'!$B$12-329^2)/(2*'Inputs'!$B$12^2))-('Inputs'!$B$29*(3*328*'Inputs'!$B$12-328^2)/(2*'Inputs'!$B$12^2)))*'Inputs'!$B$51</x:f>
        <x:v>605188.3561643958</x:v>
      </x:c>
      <x:c r="D2887" s="78" t="n">
        <x:f>IF('Inputs'!$C$51&gt;0,('Inputs'!$B$30*(3*329*'Inputs'!$B$12-329^2)/(2*'Inputs'!$B$12^2))-('Inputs'!$B$30*(3*328*'Inputs'!$B$12-328^2)/(2*'Inputs'!$B$12^2)),0)</x:f>
        <x:v>259366.43835616112</x:v>
      </x:c>
      <x:c r="E2887" s="78" t="n">
        <x:f>C2887+D2887</x:f>
        <x:v>864554.7945205569</x:v>
      </x:c>
      <x:c r="F2887" s="78" t="n">
        <x:f>'Inputs'!$B$13*E2887+(1-'Inputs'!$B$13)/'Inputs'!$B$14*SUM(E2832:E2887)</x:f>
        <x:v>874772.4713830006</x:v>
      </x:c>
      <x:c r="G2887" s="78" t="n">
        <x:f>F2887*'Inputs'!$F$51</x:f>
        <x:v>218693.11784575015</x:v>
      </x:c>
      <x:c r="H2887" s="78" t="n">
        <x:f>U2886</x:f>
        <x:v>433711.5862470066</x:v>
      </x:c>
      <x:c r="I2887" s="78" t="n">
        <x:f>V2886</x:f>
        <x:v>821779.804924686</x:v>
      </x:c>
      <x:c r="J2887" s="79" t="n">
        <x:f>IF(H2887&gt;0,I2887/H2887,0)</x:f>
        <x:v>1.8947610139625541</x:v>
      </x:c>
      <x:c r="K2887" s="80" t="n">
        <x:f>(H2887*J2887+I2887)*'Inputs'!$D$51*(1+'Inputs'!$G$51)^(B2887/30)</x:f>
        <x:v>8419430.07790793</x:v>
      </x:c>
      <x:c r="L2887" s="80" t="n">
        <x:f>MAX(0,K2887*'Inputs'!$E$51)</x:f>
        <x:v>841943.007790793</x:v>
      </x:c>
      <x:c r="M2887" s="80" t="n">
        <x:f>MAX(0,-K2887*'Inputs'!$E$51)</x:f>
        <x:v>0</x:v>
      </x:c>
      <x:c r="N2887" s="78" t="n">
        <x:f>H2887*(L2887*(1-'Inputs'!$B$15))/(I2887+L2887*(1-'Inputs'!$B$15))</x:f>
        <x:v>218394.3057544563</x:v>
      </x:c>
      <x:c r="O2887" s="78" t="n">
        <x:f>H2887-N2887</x:f>
        <x:v>215317.28049255032</x:v>
      </x:c>
      <x:c r="P2887" s="78" t="n">
        <x:f>I2887+L2887*(1-'Inputs'!$B$17)</x:f>
        <x:v>1660334.712080506</x:v>
      </x:c>
      <x:c r="Q2887" s="78" t="n">
        <x:f>IF(J2887&gt;0,M2887/J2887,0)</x:f>
        <x:v>0</x:v>
      </x:c>
      <x:c r="R2887" s="78" t="n">
        <x:f>IF(B2887='Inputs'!$H$51,'Inputs'!$B$27*'Inputs'!$I$51,0)</x:f>
        <x:v>0</x:v>
      </x:c>
      <x:c r="S2887" s="78" t="n">
        <x:f>Q2887+G2887+R2887</x:f>
        <x:v>218693.11784575015</x:v>
      </x:c>
      <x:c r="T2887" s="78" t="n">
        <x:f>P2887*(S2887*(1-'Inputs'!$B$15))/(O2887+S2887*(1-'Inputs'!$B$15))</x:f>
        <x:v>832452.9916546333</x:v>
      </x:c>
      <x:c r="U2887" s="78" t="n">
        <x:f>O2887+S2887*(1-'Inputs'!$B$17)</x:f>
        <x:v>433130.3455501888</x:v>
      </x:c>
      <x:c r="V2887" s="78" t="n">
        <x:f>P2887-T2887</x:f>
        <x:v>827881.7204258726</x:v>
      </x:c>
      <x:c r="W2887" s="79" t="n">
        <x:f>IF(U2887&gt;0,V2887/U2887,0)</x:f>
        <x:v>1.9113916374855848</x:v>
      </x:c>
      <x:c r="X2887" s="80" t="n">
        <x:f>W2887*('Inputs'!$B$6-AC2887)</x:f>
        <x:v>1905845556.470795</x:v>
      </x:c>
      <x:c r="Y2887" s="80" t="n">
        <x:f>2*V2887</x:f>
        <x:v>1655763.4408517452</x:v>
      </x:c>
      <x:c r="Z2887" s="80" t="n">
        <x:f>K2887*'Inputs'!$B$16+(G2887+R2887)*J2887*'Inputs'!$B$16</x:f>
        <x:v>53002.807629743846</x:v>
      </x:c>
      <x:c r="AA2887" s="80" t="n">
        <x:f>K2887*(1+'Inputs'!$E$51)/2*'Inputs'!$B$17</x:f>
        <x:v>18634.55349235156</x:v>
      </x:c>
      <x:c r="AB2887" s="78" t="n">
        <x:f>(IF(J2887&gt;0,K2887*(1-'Inputs'!$E$51)/2/J2887,0)+G2887+R2887)*'Inputs'!$B$17</x:f>
        <x:v>8926.689142262378</x:v>
      </x:c>
      <x:c r="AC2887" s="78" t="n">
        <x:f>AC2886+AB2887</x:f>
        <x:v>2901593.219318315</x:v>
      </x:c>
      <x:c r="AD2887" s="80" t="n">
        <x:f>Z2887/(1+'Inputs'!$C$51)</x:f>
        <x:v>17667.602543247947</x:v>
      </x:c>
      <x:c r="AE2887" s="80" t="n">
        <x:f>Z2887-AD2887</x:f>
        <x:v>35335.2050864959</x:v>
      </x:c>
      <x:c r="AF2887" s="80" t="n">
        <x:f>D2887*W2887</x:f>
        <x:v>495750.8413183868</x:v>
      </x:c>
      <x:c r="AG2887" s="80" t="n">
        <x:f>C2887*W2887</x:f>
        <x:v>1156751.963076274</x:v>
      </x:c>
      <x:c r="AH2887" s="80" t="n">
        <x:f>2*'Inputs'!$B$8*'Inputs'!$C$51</x:f>
        <x:v>10000</x:v>
      </x:c>
      <x:c r="AI2887" s="81" t="n">
        <x:f>IF(AH2887&gt;0,(AE2887+AF2887)/AH2887*365,0)</x:f>
        <x:v>19384.640693778216</x:v>
      </x:c>
      <x:c r="AJ2887" s="81" t="n">
        <x:f>IF('Inputs'!$B$51&gt;0,AG2887/('Inputs'!$B$19*'Inputs'!$B$51)*365,0)</x:f>
        <x:v>42221.446652283994</x:v>
      </x:c>
      <x:c r="AK2887" s="81" t="n">
        <x:f>W2887/MAX($W$2559:W2887)-1</x:f>
        <x:v>0</x:v>
      </x:c>
      <x:c r="AL2887" s="83" t="n">
        <x:f>'Inputs'!$B$51</x:f>
        <x:v>1</x:v>
      </x:c>
      <x:c r="AM2887" s="83" t="n">
        <x:f>'Inputs'!$C$51</x:f>
        <x:v>2</x:v>
      </x:c>
      <x:c r="AN2887" s="83" t="n">
        <x:f>'Inputs'!$D$51</x:f>
        <x:v>3</x:v>
      </x:c>
      <x:c r="AO2887" s="81" t="n">
        <x:f>'Inputs'!$E$51</x:f>
        <x:v>0.1</x:v>
      </x:c>
    </x:row>
    <x:row r="2888">
      <x:c r="A2888" s="59" t="str">
        <x:v>High demand</x:v>
      </x:c>
      <x:c r="B2888" s="59" t="n">
        <x:v>330</x:v>
      </x:c>
      <x:c r="C2888" s="78" t="n">
        <x:f>(('Inputs'!$B$29*(3*330*'Inputs'!$B$12-330^2)/(2*'Inputs'!$B$12^2))-('Inputs'!$B$29*(3*329*'Inputs'!$B$12-329^2)/(2*'Inputs'!$B$12^2)))*'Inputs'!$B$51</x:f>
        <x:v>604863.2482641935</x:v>
      </x:c>
      <x:c r="D2888" s="78" t="n">
        <x:f>IF('Inputs'!$C$51&gt;0,('Inputs'!$B$30*(3*330*'Inputs'!$B$12-330^2)/(2*'Inputs'!$B$12^2))-('Inputs'!$B$30*(3*329*'Inputs'!$B$12-329^2)/(2*'Inputs'!$B$12^2)),0)</x:f>
        <x:v>259227.106398955</x:v>
      </x:c>
      <x:c r="E2888" s="78" t="n">
        <x:f>C2888+D2888</x:f>
        <x:v>864090.3546631485</x:v>
      </x:c>
      <x:c r="F2888" s="78" t="n">
        <x:f>'Inputs'!$B$13*E2888+(1-'Inputs'!$B$13)/'Inputs'!$B$14*SUM(E2833:E2888)</x:f>
        <x:v>874308.0315256115</x:v>
      </x:c>
      <x:c r="G2888" s="78" t="n">
        <x:f>F2888*'Inputs'!$F$51</x:f>
        <x:v>218577.00788140288</x:v>
      </x:c>
      <x:c r="H2888" s="78" t="n">
        <x:f>U2887</x:f>
        <x:v>433130.3455501888</x:v>
      </x:c>
      <x:c r="I2888" s="78" t="n">
        <x:f>V2887</x:f>
        <x:v>827881.7204258726</x:v>
      </x:c>
      <x:c r="J2888" s="79" t="n">
        <x:f>IF(H2888&gt;0,I2888/H2888,0)</x:f>
        <x:v>1.9113916374855848</x:v>
      </x:c>
      <x:c r="K2888" s="80" t="n">
        <x:f>(H2888*J2888+I2888)*'Inputs'!$D$51*(1+'Inputs'!$G$51)^(B2888/30)</x:f>
        <x:v>8495752.1418565</x:v>
      </x:c>
      <x:c r="L2888" s="80" t="n">
        <x:f>MAX(0,K2888*'Inputs'!$E$51)</x:f>
        <x:v>849575.2141856501</x:v>
      </x:c>
      <x:c r="M2888" s="80" t="n">
        <x:f>MAX(0,-K2888*'Inputs'!$E$51)</x:f>
        <x:v>0</x:v>
      </x:c>
      <x:c r="N2888" s="78" t="n">
        <x:f>H2888*(L2888*(1-'Inputs'!$B$15))/(I2888+L2888*(1-'Inputs'!$B$15))</x:f>
        <x:v>218277.71781433653</x:v>
      </x:c>
      <x:c r="O2888" s="78" t="n">
        <x:f>H2888-N2888</x:f>
        <x:v>214852.62773585226</x:v>
      </x:c>
      <x:c r="P2888" s="78" t="n">
        <x:f>I2888+L2888*(1-'Inputs'!$B$17)</x:f>
        <x:v>1674038.120872345</x:v>
      </x:c>
      <x:c r="Q2888" s="78" t="n">
        <x:f>IF(J2888&gt;0,M2888/J2888,0)</x:f>
        <x:v>0</x:v>
      </x:c>
      <x:c r="R2888" s="78" t="n">
        <x:f>IF(B2888='Inputs'!$H$51,'Inputs'!$B$27*'Inputs'!$I$51,0)</x:f>
        <x:v>0</x:v>
      </x:c>
      <x:c r="S2888" s="78" t="n">
        <x:f>Q2888+G2888+R2888</x:f>
        <x:v>218577.00788140288</x:v>
      </x:c>
      <x:c r="T2888" s="78" t="n">
        <x:f>P2888*(S2888*(1-'Inputs'!$B$15))/(O2888+S2888*(1-'Inputs'!$B$15))</x:f>
        <x:v>840005.4123714736</x:v>
      </x:c>
      <x:c r="U2888" s="78" t="n">
        <x:f>O2888+S2888*(1-'Inputs'!$B$17)</x:f>
        <x:v>432550.0500724608</x:v>
      </x:c>
      <x:c r="V2888" s="78" t="n">
        <x:f>P2888-T2888</x:f>
        <x:v>834032.7085008714</x:v>
      </x:c>
      <x:c r="W2888" s="79" t="n">
        <x:f>IF(U2888&gt;0,V2888/U2888,0)</x:f>
        <x:v>1.9281761922375324</x:v>
      </x:c>
      <x:c r="X2888" s="80" t="n">
        <x:f>W2888*('Inputs'!$B$6-AC2888)</x:f>
        <x:v>1922564193.5170078</x:v>
      </x:c>
      <x:c r="Y2888" s="80" t="n">
        <x:f>2*V2888</x:f>
        <x:v>1668065.4170017429</x:v>
      </x:c>
      <x:c r="Z2888" s="80" t="n">
        <x:f>K2888*'Inputs'!$B$16+(G2888+R2888)*J2888*'Inputs'!$B$16</x:f>
        <x:v>53481.230441205815</x:v>
      </x:c>
      <x:c r="AA2888" s="80" t="n">
        <x:f>K2888*(1+'Inputs'!$E$51)/2*'Inputs'!$B$17</x:f>
        <x:v>18803.47556547717</x:v>
      </x:c>
      <x:c r="AB2888" s="78" t="n">
        <x:f>(IF(J2888&gt;0,K2888*(1-'Inputs'!$E$51)/2/J2888,0)+G2888+R2888)*'Inputs'!$B$17</x:f>
        <x:v>8928.517812039127</x:v>
      </x:c>
      <x:c r="AC2888" s="78" t="n">
        <x:f>AC2887+AB2888</x:f>
        <x:v>2910521.737130354</x:v>
      </x:c>
      <x:c r="AD2888" s="80" t="n">
        <x:f>Z2888/(1+'Inputs'!$C$51)</x:f>
        <x:v>17827.07681373527</x:v>
      </x:c>
      <x:c r="AE2888" s="80" t="n">
        <x:f>Z2888-AD2888</x:f>
        <x:v>35654.15362747054</x:v>
      </x:c>
      <x:c r="AF2888" s="80" t="n">
        <x:f>D2888*W2888</x:f>
        <x:v>499835.53494109074</x:v>
      </x:c>
      <x:c r="AG2888" s="80" t="n">
        <x:f>C2888*W2888</x:f>
        <x:v>1166282.914862478</x:v>
      </x:c>
      <x:c r="AH2888" s="80" t="n">
        <x:f>2*'Inputs'!$B$8*'Inputs'!$C$51</x:f>
        <x:v>10000</x:v>
      </x:c>
      <x:c r="AI2888" s="81" t="n">
        <x:f>IF(AH2888&gt;0,(AE2888+AF2888)/AH2888*365,0)</x:f>
        <x:v>19545.37363275249</x:v>
      </x:c>
      <x:c r="AJ2888" s="81" t="n">
        <x:f>IF('Inputs'!$B$51&gt;0,AG2888/('Inputs'!$B$19*'Inputs'!$B$51)*365,0)</x:f>
        <x:v>42569.32639248044</x:v>
      </x:c>
      <x:c r="AK2888" s="81" t="n">
        <x:f>W2888/MAX($W$2559:W2888)-1</x:f>
        <x:v>0</x:v>
      </x:c>
      <x:c r="AL2888" s="83" t="n">
        <x:f>'Inputs'!$B$51</x:f>
        <x:v>1</x:v>
      </x:c>
      <x:c r="AM2888" s="83" t="n">
        <x:f>'Inputs'!$C$51</x:f>
        <x:v>2</x:v>
      </x:c>
      <x:c r="AN2888" s="83" t="n">
        <x:f>'Inputs'!$D$51</x:f>
        <x:v>3</x:v>
      </x:c>
      <x:c r="AO2888" s="81" t="n">
        <x:f>'Inputs'!$E$51</x:f>
        <x:v>0.1</x:v>
      </x:c>
    </x:row>
    <x:row r="2889">
      <x:c r="A2889" s="59" t="str">
        <x:v>High demand</x:v>
      </x:c>
      <x:c r="B2889" s="59" t="n">
        <x:v>331</x:v>
      </x:c>
      <x:c r="C2889" s="78" t="n">
        <x:f>(('Inputs'!$B$29*(3*331*'Inputs'!$B$12-331^2)/(2*'Inputs'!$B$12^2))-('Inputs'!$B$29*(3*330*'Inputs'!$B$12-330^2)/(2*'Inputs'!$B$12^2)))*'Inputs'!$B$51</x:f>
        <x:v>604538.1403640509</x:v>
      </x:c>
      <x:c r="D2889" s="78" t="n">
        <x:f>IF('Inputs'!$C$51&gt;0,('Inputs'!$B$30*(3*331*'Inputs'!$B$12-331^2)/(2*'Inputs'!$B$12^2))-('Inputs'!$B$30*(3*330*'Inputs'!$B$12-330^2)/(2*'Inputs'!$B$12^2)),0)</x:f>
        <x:v>259087.77444173396</x:v>
      </x:c>
      <x:c r="E2889" s="78" t="n">
        <x:f>C2889+D2889</x:f>
        <x:v>863625.9148057848</x:v>
      </x:c>
      <x:c r="F2889" s="78" t="n">
        <x:f>'Inputs'!$B$13*E2889+(1-'Inputs'!$B$13)/'Inputs'!$B$14*SUM(E2834:E2889)</x:f>
        <x:v>873843.5916682314</x:v>
      </x:c>
      <x:c r="G2889" s="78" t="n">
        <x:f>F2889*'Inputs'!$F$51</x:f>
        <x:v>218460.89791705785</x:v>
      </x:c>
      <x:c r="H2889" s="78" t="n">
        <x:f>U2888</x:f>
        <x:v>432550.0500724608</x:v>
      </x:c>
      <x:c r="I2889" s="78" t="n">
        <x:f>V2888</x:f>
        <x:v>834032.7085008714</x:v>
      </x:c>
      <x:c r="J2889" s="79" t="n">
        <x:f>IF(H2889&gt;0,I2889/H2889,0)</x:f>
        <x:v>1.9281761922375324</x:v>
      </x:c>
      <x:c r="K2889" s="80" t="n">
        <x:f>(H2889*J2889+I2889)*'Inputs'!$D$51*(1+'Inputs'!$G$51)^(B2889/30)</x:f>
        <x:v>8572804.75758692</x:v>
      </x:c>
      <x:c r="L2889" s="80" t="n">
        <x:f>MAX(0,K2889*'Inputs'!$E$51)</x:f>
        <x:v>857280.4757586921</x:v>
      </x:c>
      <x:c r="M2889" s="80" t="n">
        <x:f>MAX(0,-K2889*'Inputs'!$E$51)</x:f>
        <x:v>0</x:v>
      </x:c>
      <x:c r="N2889" s="78" t="n">
        <x:f>H2889*(L2889*(1-'Inputs'!$B$15))/(I2889+L2889*(1-'Inputs'!$B$15))</x:f>
        <x:v>218161.1317231592</x:v>
      </x:c>
      <x:c r="O2889" s="78" t="n">
        <x:f>H2889-N2889</x:f>
        <x:v>214388.9183493016</x:v>
      </x:c>
      <x:c r="P2889" s="78" t="n">
        <x:f>I2889+L2889*(1-'Inputs'!$B$17)</x:f>
        <x:v>1687863.3634315608</x:v>
      </x:c>
      <x:c r="Q2889" s="78" t="n">
        <x:f>IF(J2889&gt;0,M2889/J2889,0)</x:f>
        <x:v>0</x:v>
      </x:c>
      <x:c r="R2889" s="78" t="n">
        <x:f>IF(B2889='Inputs'!$H$51,'Inputs'!$B$27*'Inputs'!$I$51,0)</x:f>
        <x:v>0</x:v>
      </x:c>
      <x:c r="S2889" s="78" t="n">
        <x:f>Q2889+G2889+R2889</x:f>
        <x:v>218460.89791705785</x:v>
      </x:c>
      <x:c r="T2889" s="78" t="n">
        <x:f>P2889*(S2889*(1-'Inputs'!$B$15))/(O2889+S2889*(1-'Inputs'!$B$15))</x:f>
        <x:v>847630.1737413595</x:v>
      </x:c>
      <x:c r="U2889" s="78" t="n">
        <x:f>O2889+S2889*(1-'Inputs'!$B$17)</x:f>
        <x:v>431970.69796488236</x:v>
      </x:c>
      <x:c r="V2889" s="78" t="n">
        <x:f>P2889-T2889</x:f>
        <x:v>840233.1896902013</x:v>
      </x:c>
      <x:c r="W2889" s="79" t="n">
        <x:f>IF(U2889&gt;0,V2889/U2889,0)</x:f>
        <x:v>1.9451161702604864</x:v>
      </x:c>
      <x:c r="X2889" s="80" t="n">
        <x:f>W2889*('Inputs'!$B$6-AC2889)</x:f>
        <x:v>1939437496.7970579</x:v>
      </x:c>
      <x:c r="Y2889" s="80" t="n">
        <x:f>2*V2889</x:f>
        <x:v>1680466.3793804026</x:v>
      </x:c>
      <x:c r="Z2889" s="80" t="n">
        <x:f>K2889*'Inputs'!$B$16+(G2889+R2889)*J2889*'Inputs'!$B$16</x:f>
        <x:v>53964.21515931255</x:v>
      </x:c>
      <x:c r="AA2889" s="80" t="n">
        <x:f>K2889*(1+'Inputs'!$E$51)/2*'Inputs'!$B$17</x:f>
        <x:v>18974.01455401532</x:v>
      </x:c>
      <x:c r="AB2889" s="78" t="n">
        <x:f>(IF(J2889&gt;0,K2889*(1-'Inputs'!$E$51)/2/J2889,0)+G2889+R2889)*'Inputs'!$B$17</x:f>
        <x:v>8930.350231686563</x:v>
      </x:c>
      <x:c r="AC2889" s="78" t="n">
        <x:f>AC2888+AB2889</x:f>
        <x:v>2919452.0873620408</x:v>
      </x:c>
      <x:c r="AD2889" s="80" t="n">
        <x:f>Z2889/(1+'Inputs'!$C$51)</x:f>
        <x:v>17988.07171977085</x:v>
      </x:c>
      <x:c r="AE2889" s="80" t="n">
        <x:f>Z2889-AD2889</x:f>
        <x:v>35976.1434395417</x:v>
      </x:c>
      <x:c r="AF2889" s="80" t="n">
        <x:f>D2889*W2889</x:f>
        <x:v>503955.8195834183</x:v>
      </x:c>
      <x:c r="AG2889" s="80" t="n">
        <x:f>C2889*W2889</x:f>
        <x:v>1175896.912361319</x:v>
      </x:c>
      <x:c r="AH2889" s="80" t="n">
        <x:f>2*'Inputs'!$B$8*'Inputs'!$C$51</x:f>
        <x:v>10000</x:v>
      </x:c>
      <x:c r="AI2889" s="81" t="n">
        <x:f>IF(AH2889&gt;0,(AE2889+AF2889)/AH2889*365,0)</x:f>
        <x:v>19707.51665033804</x:v>
      </x:c>
      <x:c r="AJ2889" s="81" t="n">
        <x:f>IF('Inputs'!$B$51&gt;0,AG2889/('Inputs'!$B$19*'Inputs'!$B$51)*365,0)</x:f>
        <x:v>42920.23730118814</x:v>
      </x:c>
      <x:c r="AK2889" s="81" t="n">
        <x:f>W2889/MAX($W$2559:W2889)-1</x:f>
        <x:v>0</x:v>
      </x:c>
      <x:c r="AL2889" s="83" t="n">
        <x:f>'Inputs'!$B$51</x:f>
        <x:v>1</x:v>
      </x:c>
      <x:c r="AM2889" s="83" t="n">
        <x:f>'Inputs'!$C$51</x:f>
        <x:v>2</x:v>
      </x:c>
      <x:c r="AN2889" s="83" t="n">
        <x:f>'Inputs'!$D$51</x:f>
        <x:v>3</x:v>
      </x:c>
      <x:c r="AO2889" s="81" t="n">
        <x:f>'Inputs'!$E$51</x:f>
        <x:v>0.1</x:v>
      </x:c>
    </x:row>
    <x:row r="2890">
      <x:c r="A2890" s="59" t="str">
        <x:v>High demand</x:v>
      </x:c>
      <x:c r="B2890" s="59" t="n">
        <x:v>332</x:v>
      </x:c>
      <x:c r="C2890" s="78" t="n">
        <x:f>(('Inputs'!$B$29*(3*332*'Inputs'!$B$12-332^2)/(2*'Inputs'!$B$12^2))-('Inputs'!$B$29*(3*331*'Inputs'!$B$12-331^2)/(2*'Inputs'!$B$12^2)))*'Inputs'!$B$51</x:f>
        <x:v>604213.0324638784</x:v>
      </x:c>
      <x:c r="D2890" s="78" t="n">
        <x:f>IF('Inputs'!$C$51&gt;0,('Inputs'!$B$30*(3*332*'Inputs'!$B$12-332^2)/(2*'Inputs'!$B$12^2))-('Inputs'!$B$30*(3*331*'Inputs'!$B$12-331^2)/(2*'Inputs'!$B$12^2)),0)</x:f>
        <x:v>258948.44248451293</x:v>
      </x:c>
      <x:c r="E2890" s="78" t="n">
        <x:f>C2890+D2890</x:f>
        <x:v>863161.4749483913</x:v>
      </x:c>
      <x:c r="F2890" s="78" t="n">
        <x:f>'Inputs'!$B$13*E2890+(1-'Inputs'!$B$13)/'Inputs'!$B$14*SUM(E2835:E2890)</x:f>
        <x:v>873379.1518108456</x:v>
      </x:c>
      <x:c r="G2890" s="78" t="n">
        <x:f>F2890*'Inputs'!$F$51</x:f>
        <x:v>218344.7879527114</x:v>
      </x:c>
      <x:c r="H2890" s="78" t="n">
        <x:f>U2889</x:f>
        <x:v>431970.69796488236</x:v>
      </x:c>
      <x:c r="I2890" s="78" t="n">
        <x:f>V2889</x:f>
        <x:v>840233.1896902013</x:v>
      </x:c>
      <x:c r="J2890" s="79" t="n">
        <x:f>IF(H2890&gt;0,I2890/H2890,0)</x:f>
        <x:v>1.9451161702604864</x:v>
      </x:c>
      <x:c r="K2890" s="80" t="n">
        <x:f>(H2890*J2890+I2890)*'Inputs'!$D$51*(1+'Inputs'!$G$51)^(B2890/30)</x:f>
        <x:v>8650595.25174482</x:v>
      </x:c>
      <x:c r="L2890" s="80" t="n">
        <x:f>MAX(0,K2890*'Inputs'!$E$51)</x:f>
        <x:v>865059.525174482</x:v>
      </x:c>
      <x:c r="M2890" s="80" t="n">
        <x:f>MAX(0,-K2890*'Inputs'!$E$51)</x:f>
        <x:v>0</x:v>
      </x:c>
      <x:c r="N2890" s="78" t="n">
        <x:f>H2890*(L2890*(1-'Inputs'!$B$15))/(I2890+L2890*(1-'Inputs'!$B$15))</x:f>
        <x:v>218044.54747738992</x:v>
      </x:c>
      <x:c r="O2890" s="78" t="n">
        <x:f>H2890-N2890</x:f>
        <x:v>213926.15048749244</x:v>
      </x:c>
      <x:c r="P2890" s="78" t="n">
        <x:f>I2890+L2890*(1-'Inputs'!$B$17)</x:f>
        <x:v>1701811.5900148866</x:v>
      </x:c>
      <x:c r="Q2890" s="78" t="n">
        <x:f>IF(J2890&gt;0,M2890/J2890,0)</x:f>
        <x:v>0</x:v>
      </x:c>
      <x:c r="R2890" s="78" t="n">
        <x:f>IF(B2890='Inputs'!$H$51,'Inputs'!$B$27*'Inputs'!$I$51,0)</x:f>
        <x:v>0</x:v>
      </x:c>
      <x:c r="S2890" s="78" t="n">
        <x:f>Q2890+G2890+R2890</x:f>
        <x:v>218344.7879527114</x:v>
      </x:c>
      <x:c r="T2890" s="78" t="n">
        <x:f>P2890*(S2890*(1-'Inputs'!$B$15))/(O2890+S2890*(1-'Inputs'!$B$15))</x:f>
        <x:v>855328.0016820111</x:v>
      </x:c>
      <x:c r="U2890" s="78" t="n">
        <x:f>O2890+S2890*(1-'Inputs'!$B$17)</x:f>
        <x:v>431392.287382044</x:v>
      </x:c>
      <x:c r="V2890" s="78" t="n">
        <x:f>P2890-T2890</x:f>
        <x:v>846483.5883328755</x:v>
      </x:c>
      <x:c r="W2890" s="79" t="n">
        <x:f>IF(U2890&gt;0,V2890/U2890,0)</x:f>
        <x:v>1.9622130786571614</x:v>
      </x:c>
      <x:c r="X2890" s="80" t="n">
        <x:f>W2890*('Inputs'!$B$6-AC2890)</x:f>
        <x:v>1956466964.7358487</x:v>
      </x:c>
      <x:c r="Y2890" s="80" t="n">
        <x:f>2*V2890</x:f>
        <x:v>1692967.176665751</x:v>
      </x:c>
      <x:c r="Z2890" s="80" t="n">
        <x:f>K2890*'Inputs'!$B$16+(G2890+R2890)*J2890*'Inputs'!$B$16</x:f>
        <x:v>54451.80737690242</x:v>
      </x:c>
      <x:c r="AA2890" s="80" t="n">
        <x:f>K2890*(1+'Inputs'!$E$51)/2*'Inputs'!$B$17</x:f>
        <x:v>19146.1866738819</x:v>
      </x:c>
      <x:c r="AB2890" s="78" t="n">
        <x:f>(IF(J2890&gt;0,K2890*(1-'Inputs'!$E$51)/2/J2890,0)+G2890+R2890)*'Inputs'!$B$17</x:f>
        <x:v>8932.186401494773</x:v>
      </x:c>
      <x:c r="AC2890" s="78" t="n">
        <x:f>AC2889+AB2890</x:f>
        <x:v>2928384.2737635355</x:v>
      </x:c>
      <x:c r="AD2890" s="80" t="n">
        <x:f>Z2890/(1+'Inputs'!$C$51)</x:f>
        <x:v>18150.602458967474</x:v>
      </x:c>
      <x:c r="AE2890" s="80" t="n">
        <x:f>Z2890-AD2890</x:f>
        <x:v>36301.20491793494</x:v>
      </x:c>
      <x:c r="AF2890" s="80" t="n">
        <x:f>D2890*W2890</x:f>
        <x:v>508112.020541013</x:v>
      </x:c>
      <x:c r="AG2890" s="80" t="n">
        <x:f>C2890*W2890</x:f>
        <x:v>1185594.7145957262</x:v>
      </x:c>
      <x:c r="AH2890" s="80" t="n">
        <x:f>2*'Inputs'!$B$8*'Inputs'!$C$51</x:f>
        <x:v>10000</x:v>
      </x:c>
      <x:c r="AI2890" s="81" t="n">
        <x:f>IF(AH2890&gt;0,(AE2890+AF2890)/AH2890*365,0)</x:f>
        <x:v>19871.0827292516</x:v>
      </x:c>
      <x:c r="AJ2890" s="81" t="n">
        <x:f>IF('Inputs'!$B$51&gt;0,AG2890/('Inputs'!$B$19*'Inputs'!$B$51)*365,0)</x:f>
        <x:v>43274.207082744004</x:v>
      </x:c>
      <x:c r="AK2890" s="81" t="n">
        <x:f>W2890/MAX($W$2559:W2890)-1</x:f>
        <x:v>0</x:v>
      </x:c>
      <x:c r="AL2890" s="83" t="n">
        <x:f>'Inputs'!$B$51</x:f>
        <x:v>1</x:v>
      </x:c>
      <x:c r="AM2890" s="83" t="n">
        <x:f>'Inputs'!$C$51</x:f>
        <x:v>2</x:v>
      </x:c>
      <x:c r="AN2890" s="83" t="n">
        <x:f>'Inputs'!$D$51</x:f>
        <x:v>3</x:v>
      </x:c>
      <x:c r="AO2890" s="81" t="n">
        <x:f>'Inputs'!$E$51</x:f>
        <x:v>0.1</x:v>
      </x:c>
    </x:row>
    <x:row r="2891">
      <x:c r="A2891" s="59" t="str">
        <x:v>High demand</x:v>
      </x:c>
      <x:c r="B2891" s="59" t="n">
        <x:v>333</x:v>
      </x:c>
      <x:c r="C2891" s="78" t="n">
        <x:f>(('Inputs'!$B$29*(3*333*'Inputs'!$B$12-333^2)/(2*'Inputs'!$B$12^2))-('Inputs'!$B$29*(3*332*'Inputs'!$B$12-332^2)/(2*'Inputs'!$B$12^2)))*'Inputs'!$B$51</x:f>
        <x:v>603887.9245637059</x:v>
      </x:c>
      <x:c r="D2891" s="78" t="n">
        <x:f>IF('Inputs'!$C$51&gt;0,('Inputs'!$B$30*(3*333*'Inputs'!$B$12-333^2)/(2*'Inputs'!$B$12^2))-('Inputs'!$B$30*(3*332*'Inputs'!$B$12-332^2)/(2*'Inputs'!$B$12^2)),0)</x:f>
        <x:v>258809.1105273068</x:v>
      </x:c>
      <x:c r="E2891" s="78" t="n">
        <x:f>C2891+D2891</x:f>
        <x:v>862697.0350910127</x:v>
      </x:c>
      <x:c r="F2891" s="78" t="n">
        <x:f>'Inputs'!$B$13*E2891+(1-'Inputs'!$B$13)/'Inputs'!$B$14*SUM(E2836:E2891)</x:f>
        <x:v>872914.7119534623</x:v>
      </x:c>
      <x:c r="G2891" s="78" t="n">
        <x:f>F2891*'Inputs'!$F$51</x:f>
        <x:v>218228.67798836558</x:v>
      </x:c>
      <x:c r="H2891" s="78" t="n">
        <x:f>U2890</x:f>
        <x:v>431392.287382044</x:v>
      </x:c>
      <x:c r="I2891" s="78" t="n">
        <x:f>V2890</x:f>
        <x:v>846483.5883328755</x:v>
      </x:c>
      <x:c r="J2891" s="79" t="n">
        <x:f>IF(H2891&gt;0,I2891/H2891,0)</x:f>
        <x:v>1.9622130786571614</x:v>
      </x:c>
      <x:c r="K2891" s="80" t="n">
        <x:f>(H2891*J2891+I2891)*'Inputs'!$D$51*(1+'Inputs'!$G$51)^(B2891/30)</x:f>
        <x:v>8729131.027492706</x:v>
      </x:c>
      <x:c r="L2891" s="80" t="n">
        <x:f>MAX(0,K2891*'Inputs'!$E$51)</x:f>
        <x:v>872913.1027492706</x:v>
      </x:c>
      <x:c r="M2891" s="80" t="n">
        <x:f>MAX(0,-K2891*'Inputs'!$E$51)</x:f>
        <x:v>0</x:v>
      </x:c>
      <x:c r="N2891" s="78" t="n">
        <x:f>H2891*(L2891*(1-'Inputs'!$B$15))/(I2891+L2891*(1-'Inputs'!$B$15))</x:f>
        <x:v>217927.96507349852</x:v>
      </x:c>
      <x:c r="O2891" s="78" t="n">
        <x:f>H2891-N2891</x:f>
        <x:v>213464.3223085455</x:v>
      </x:c>
      <x:c r="P2891" s="78" t="n">
        <x:f>I2891+L2891*(1-'Inputs'!$B$17)</x:f>
        <x:v>1715883.9622984468</x:v>
      </x:c>
      <x:c r="Q2891" s="78" t="n">
        <x:f>IF(J2891&gt;0,M2891/J2891,0)</x:f>
        <x:v>0</x:v>
      </x:c>
      <x:c r="R2891" s="78" t="n">
        <x:f>IF(B2891='Inputs'!$H$51,'Inputs'!$B$27*'Inputs'!$I$51,0)</x:f>
        <x:v>0</x:v>
      </x:c>
      <x:c r="S2891" s="78" t="n">
        <x:f>Q2891+G2891+R2891</x:f>
        <x:v>218228.67798836558</x:v>
      </x:c>
      <x:c r="T2891" s="78" t="n">
        <x:f>P2891*(S2891*(1-'Inputs'!$B$15))/(O2891+S2891*(1-'Inputs'!$B$15))</x:f>
        <x:v>863099.6296961843</x:v>
      </x:c>
      <x:c r="U2891" s="78" t="n">
        <x:f>O2891+S2891*(1-'Inputs'!$B$17)</x:f>
        <x:v>430814.81648206856</x:v>
      </x:c>
      <x:c r="V2891" s="78" t="n">
        <x:f>P2891-T2891</x:f>
        <x:v>852784.3326022625</x:v>
      </x:c>
      <x:c r="W2891" s="79" t="n">
        <x:f>IF(U2891&gt;0,V2891/U2891,0)</x:f>
        <x:v>1.9794684397484208</x:v>
      </x:c>
      <x:c r="X2891" s="80" t="n">
        <x:f>W2891*('Inputs'!$B$6-AC2891)</x:f>
        <x:v>1973654110.8759065</x:v>
      </x:c>
      <x:c r="Y2891" s="80" t="n">
        <x:f>2*V2891</x:f>
        <x:v>1705568.665204525</x:v>
      </x:c>
      <x:c r="Z2891" s="80" t="n">
        <x:f>K2891*'Inputs'!$B$16+(G2891+R2891)*J2891*'Inputs'!$B$16</x:f>
        <x:v>54944.05316147723</x:v>
      </x:c>
      <x:c r="AA2891" s="80" t="n">
        <x:f>K2891*(1+'Inputs'!$E$51)/2*'Inputs'!$B$17</x:f>
        <x:v>19320.00831034603</x:v>
      </x:c>
      <x:c r="AB2891" s="78" t="n">
        <x:f>(IF(J2891&gt;0,K2891*(1-'Inputs'!$E$51)/2/J2891,0)+G2891+R2891)*'Inputs'!$B$17</x:f>
        <x:v>8934.026321745208</x:v>
      </x:c>
      <x:c r="AC2891" s="78" t="n">
        <x:f>AC2890+AB2891</x:f>
        <x:v>2937318.3000852806</x:v>
      </x:c>
      <x:c r="AD2891" s="80" t="n">
        <x:f>Z2891/(1+'Inputs'!$C$51)</x:f>
        <x:v>18314.68438715908</x:v>
      </x:c>
      <x:c r="AE2891" s="80" t="n">
        <x:f>Z2891-AD2891</x:f>
        <x:v>36629.36877431815</x:v>
      </x:c>
      <x:c r="AF2891" s="80" t="n">
        <x:f>D2891*W2891</x:f>
        <x:v>512304.4662081646</x:v>
      </x:c>
      <x:c r="AG2891" s="80" t="n">
        <x:f>C2891*W2891</x:f>
        <x:v>1195377.087819031</x:v>
      </x:c>
      <x:c r="AH2891" s="80" t="n">
        <x:f>2*'Inputs'!$B$8*'Inputs'!$C$51</x:f>
        <x:v>10000</x:v>
      </x:c>
      <x:c r="AI2891" s="81" t="n">
        <x:f>IF(AH2891&gt;0,(AE2891+AF2891)/AH2891*365,0)</x:f>
        <x:v>20036.084976860617</x:v>
      </x:c>
      <x:c r="AJ2891" s="81" t="n">
        <x:f>IF('Inputs'!$B$51&gt;0,AG2891/('Inputs'!$B$19*'Inputs'!$B$51)*365,0)</x:f>
        <x:v>43631.26370539463</x:v>
      </x:c>
      <x:c r="AK2891" s="81" t="n">
        <x:f>W2891/MAX($W$2559:W2891)-1</x:f>
        <x:v>0</x:v>
      </x:c>
      <x:c r="AL2891" s="83" t="n">
        <x:f>'Inputs'!$B$51</x:f>
        <x:v>1</x:v>
      </x:c>
      <x:c r="AM2891" s="83" t="n">
        <x:f>'Inputs'!$C$51</x:f>
        <x:v>2</x:v>
      </x:c>
      <x:c r="AN2891" s="83" t="n">
        <x:f>'Inputs'!$D$51</x:f>
        <x:v>3</x:v>
      </x:c>
      <x:c r="AO2891" s="81" t="n">
        <x:f>'Inputs'!$E$51</x:f>
        <x:v>0.1</x:v>
      </x:c>
    </x:row>
    <x:row r="2892">
      <x:c r="A2892" s="59" t="str">
        <x:v>High demand</x:v>
      </x:c>
      <x:c r="B2892" s="59" t="n">
        <x:v>334</x:v>
      </x:c>
      <x:c r="C2892" s="78" t="n">
        <x:f>(('Inputs'!$B$29*(3*334*'Inputs'!$B$12-334^2)/(2*'Inputs'!$B$12^2))-('Inputs'!$B$29*(3*333*'Inputs'!$B$12-333^2)/(2*'Inputs'!$B$12^2)))*'Inputs'!$B$51</x:f>
        <x:v>603562.8166635334</x:v>
      </x:c>
      <x:c r="D2892" s="78" t="n">
        <x:f>IF('Inputs'!$C$51&gt;0,('Inputs'!$B$30*(3*334*'Inputs'!$B$12-334^2)/(2*'Inputs'!$B$12^2))-('Inputs'!$B$30*(3*333*'Inputs'!$B$12-333^2)/(2*'Inputs'!$B$12^2)),0)</x:f>
        <x:v>258669.77857008576</x:v>
      </x:c>
      <x:c r="E2892" s="78" t="n">
        <x:f>C2892+D2892</x:f>
        <x:v>862232.5952336192</x:v>
      </x:c>
      <x:c r="F2892" s="78" t="n">
        <x:f>'Inputs'!$B$13*E2892+(1-'Inputs'!$B$13)/'Inputs'!$B$14*SUM(E2837:E2892)</x:f>
        <x:v>872450.2720960763</x:v>
      </x:c>
      <x:c r="G2892" s="78" t="n">
        <x:f>F2892*'Inputs'!$F$51</x:f>
        <x:v>218112.56802401907</x:v>
      </x:c>
      <x:c r="H2892" s="78" t="n">
        <x:f>U2891</x:f>
        <x:v>430814.81648206856</x:v>
      </x:c>
      <x:c r="I2892" s="78" t="n">
        <x:f>V2891</x:f>
        <x:v>852784.3326022625</x:v>
      </x:c>
      <x:c r="J2892" s="79" t="n">
        <x:f>IF(H2892&gt;0,I2892/H2892,0)</x:f>
        <x:v>1.9794684397484208</x:v>
      </x:c>
      <x:c r="K2892" s="80" t="n">
        <x:f>(H2892*J2892+I2892)*'Inputs'!$D$51*(1+'Inputs'!$G$51)^(B2892/30)</x:f>
        <x:v>8808419.565337887</x:v>
      </x:c>
      <x:c r="L2892" s="80" t="n">
        <x:f>MAX(0,K2892*'Inputs'!$E$51)</x:f>
        <x:v>880841.9565337887</x:v>
      </x:c>
      <x:c r="M2892" s="80" t="n">
        <x:f>MAX(0,-K2892*'Inputs'!$E$51)</x:f>
        <x:v>0</x:v>
      </x:c>
      <x:c r="N2892" s="78" t="n">
        <x:f>H2892*(L2892*(1-'Inputs'!$B$15))/(I2892+L2892*(1-'Inputs'!$B$15))</x:f>
        <x:v>217811.38450796306</x:v>
      </x:c>
      <x:c r="O2892" s="78" t="n">
        <x:f>H2892-N2892</x:f>
        <x:v>213003.4319741055</x:v>
      </x:c>
      <x:c r="P2892" s="78" t="n">
        <x:f>I2892+L2892*(1-'Inputs'!$B$17)</x:f>
        <x:v>1730081.6534960761</x:v>
      </x:c>
      <x:c r="Q2892" s="78" t="n">
        <x:f>IF(J2892&gt;0,M2892/J2892,0)</x:f>
        <x:v>0</x:v>
      </x:c>
      <x:c r="R2892" s="78" t="n">
        <x:f>IF(B2892='Inputs'!$H$51,'Inputs'!$B$27*'Inputs'!$I$51,0)</x:f>
        <x:v>0</x:v>
      </x:c>
      <x:c r="S2892" s="78" t="n">
        <x:f>Q2892+G2892+R2892</x:f>
        <x:v>218112.56802401907</x:v>
      </x:c>
      <x:c r="T2892" s="78" t="n">
        <x:f>P2892*(S2892*(1-'Inputs'!$B$15))/(O2892+S2892*(1-'Inputs'!$B$15))</x:f>
        <x:v>870945.7989537533</x:v>
      </x:c>
      <x:c r="U2892" s="78" t="n">
        <x:f>O2892+S2892*(1-'Inputs'!$B$17)</x:f>
        <x:v>430238.28342659934</x:v>
      </x:c>
      <x:c r="V2892" s="78" t="n">
        <x:f>P2892-T2892</x:f>
        <x:v>859135.8545423228</x:v>
      </x:c>
      <x:c r="W2892" s="79" t="n">
        <x:f>IF(U2892&gt;0,V2892/U2892,0)</x:f>
        <x:v>1.9968837912326214</x:v>
      </x:c>
      <x:c r="X2892" s="80" t="n">
        <x:f>W2892*('Inputs'!$B$6-AC2892)</x:f>
        <x:v>1991000464.035541</x:v>
      </x:c>
      <x:c r="Y2892" s="80" t="n">
        <x:f>2*V2892</x:f>
        <x:v>1718271.7090846456</x:v>
      </x:c>
      <x:c r="Z2892" s="80" t="n">
        <x:f>K2892*'Inputs'!$B$16+(G2892+R2892)*J2892*'Inputs'!$B$16</x:f>
        <x:v>55440.999060323484</x:v>
      </x:c>
      <x:c r="AA2892" s="80" t="n">
        <x:f>K2892*(1+'Inputs'!$E$51)/2*'Inputs'!$B$17</x:f>
        <x:v>19495.49601986253</x:v>
      </x:c>
      <x:c r="AB2892" s="78" t="n">
        <x:f>(IF(J2892&gt;0,K2892*(1-'Inputs'!$E$51)/2/J2892,0)+G2892+R2892)*'Inputs'!$B$17</x:f>
        <x:v>8935.86999271076</x:v>
      </x:c>
      <x:c r="AC2892" s="78" t="n">
        <x:f>AC2891+AB2892</x:f>
        <x:v>2946254.170077991</x:v>
      </x:c>
      <x:c r="AD2892" s="80" t="n">
        <x:f>Z2892/(1+'Inputs'!$C$51)</x:f>
        <x:v>18480.333020107828</x:v>
      </x:c>
      <x:c r="AE2892" s="80" t="n">
        <x:f>Z2892-AD2892</x:f>
        <x:v>36960.666040215656</x:v>
      </x:c>
      <x:c r="AF2892" s="80" t="n">
        <x:f>D2892*W2892</x:f>
        <x:v>516533.4881083355</x:v>
      </x:c>
      <x:c r="AG2892" s="80" t="n">
        <x:f>C2892*W2892</x:f>
        <x:v>1205244.8055861162</x:v>
      </x:c>
      <x:c r="AH2892" s="80" t="n">
        <x:f>2*'Inputs'!$B$8*'Inputs'!$C$51</x:f>
        <x:v>10000</x:v>
      </x:c>
      <x:c r="AI2892" s="81" t="n">
        <x:f>IF(AH2892&gt;0,(AE2892+AF2892)/AH2892*365,0)</x:f>
        <x:v>20202.536626422116</x:v>
      </x:c>
      <x:c r="AJ2892" s="81" t="n">
        <x:f>IF('Inputs'!$B$51&gt;0,AG2892/('Inputs'!$B$19*'Inputs'!$B$51)*365,0)</x:f>
        <x:v>43991.435403893236</x:v>
      </x:c>
      <x:c r="AK2892" s="81" t="n">
        <x:f>W2892/MAX($W$2559:W2892)-1</x:f>
        <x:v>0</x:v>
      </x:c>
      <x:c r="AL2892" s="83" t="n">
        <x:f>'Inputs'!$B$51</x:f>
        <x:v>1</x:v>
      </x:c>
      <x:c r="AM2892" s="83" t="n">
        <x:f>'Inputs'!$C$51</x:f>
        <x:v>2</x:v>
      </x:c>
      <x:c r="AN2892" s="83" t="n">
        <x:f>'Inputs'!$D$51</x:f>
        <x:v>3</x:v>
      </x:c>
      <x:c r="AO2892" s="81" t="n">
        <x:f>'Inputs'!$E$51</x:f>
        <x:v>0.1</x:v>
      </x:c>
    </x:row>
    <x:row r="2893">
      <x:c r="A2893" s="59" t="str">
        <x:v>High demand</x:v>
      </x:c>
      <x:c r="B2893" s="59" t="n">
        <x:v>335</x:v>
      </x:c>
      <x:c r="C2893" s="78" t="n">
        <x:f>(('Inputs'!$B$29*(3*335*'Inputs'!$B$12-335^2)/(2*'Inputs'!$B$12^2))-('Inputs'!$B$29*(3*334*'Inputs'!$B$12-334^2)/(2*'Inputs'!$B$12^2)))*'Inputs'!$B$51</x:f>
        <x:v>603237.7087633908</x:v>
      </x:c>
      <x:c r="D2893" s="78" t="n">
        <x:f>IF('Inputs'!$C$51&gt;0,('Inputs'!$B$30*(3*335*'Inputs'!$B$12-335^2)/(2*'Inputs'!$B$12^2))-('Inputs'!$B$30*(3*334*'Inputs'!$B$12-334^2)/(2*'Inputs'!$B$12^2)),0)</x:f>
        <x:v>258530.44661287963</x:v>
      </x:c>
      <x:c r="E2893" s="78" t="n">
        <x:f>C2893+D2893</x:f>
        <x:v>861768.1553762704</x:v>
      </x:c>
      <x:c r="F2893" s="78" t="n">
        <x:f>'Inputs'!$B$13*E2893+(1-'Inputs'!$B$13)/'Inputs'!$B$14*SUM(E2838:E2893)</x:f>
        <x:v>871985.8322386995</x:v>
      </x:c>
      <x:c r="G2893" s="78" t="n">
        <x:f>F2893*'Inputs'!$F$51</x:f>
        <x:v>217996.4580596749</x:v>
      </x:c>
      <x:c r="H2893" s="78" t="n">
        <x:f>U2892</x:f>
        <x:v>430238.28342659934</x:v>
      </x:c>
      <x:c r="I2893" s="78" t="n">
        <x:f>V2892</x:f>
        <x:v>859135.8545423228</x:v>
      </x:c>
      <x:c r="J2893" s="79" t="n">
        <x:f>IF(H2893&gt;0,I2893/H2893,0)</x:f>
        <x:v>1.9968837912326214</x:v>
      </x:c>
      <x:c r="K2893" s="80" t="n">
        <x:f>(H2893*J2893+I2893)*'Inputs'!$D$51*(1+'Inputs'!$G$51)^(B2893/30)</x:f>
        <x:v>8888468.423969917</x:v>
      </x:c>
      <x:c r="L2893" s="80" t="n">
        <x:f>MAX(0,K2893*'Inputs'!$E$51)</x:f>
        <x:v>888846.8423969918</x:v>
      </x:c>
      <x:c r="M2893" s="80" t="n">
        <x:f>MAX(0,-K2893*'Inputs'!$E$51)</x:f>
        <x:v>0</x:v>
      </x:c>
      <x:c r="N2893" s="78" t="n">
        <x:f>H2893*(L2893*(1-'Inputs'!$B$15))/(I2893+L2893*(1-'Inputs'!$B$15))</x:f>
        <x:v>217694.8057772673</x:v>
      </x:c>
      <x:c r="O2893" s="78" t="n">
        <x:f>H2893-N2893</x:f>
        <x:v>212543.47764933205</x:v>
      </x:c>
      <x:c r="P2893" s="78" t="n">
        <x:f>I2893+L2893*(1-'Inputs'!$B$17)</x:f>
        <x:v>1744405.8484789645</x:v>
      </x:c>
      <x:c r="Q2893" s="78" t="n">
        <x:f>IF(J2893&gt;0,M2893/J2893,0)</x:f>
        <x:v>0</x:v>
      </x:c>
      <x:c r="R2893" s="78" t="n">
        <x:f>IF(B2893='Inputs'!$H$51,'Inputs'!$B$27*'Inputs'!$I$51,0)</x:f>
        <x:v>0</x:v>
      </x:c>
      <x:c r="S2893" s="78" t="n">
        <x:f>Q2893+G2893+R2893</x:f>
        <x:v>217996.4580596749</x:v>
      </x:c>
      <x:c r="T2893" s="78" t="n">
        <x:f>P2893*(S2893*(1-'Inputs'!$B$15))/(O2893+S2893*(1-'Inputs'!$B$15))</x:f>
        <x:v>878867.258374781</x:v>
      </x:c>
      <x:c r="U2893" s="78" t="n">
        <x:f>O2893+S2893*(1-'Inputs'!$B$17)</x:f>
        <x:v>429662.686380799</x:v>
      </x:c>
      <x:c r="V2893" s="78" t="n">
        <x:f>P2893-T2893</x:f>
        <x:v>865538.5901041835</x:v>
      </x:c>
      <x:c r="W2893" s="79" t="n">
        <x:f>IF(U2893&gt;0,V2893/U2893,0)</x:f>
        <x:v>2.014460686346589</x:v>
      </x:c>
      <x:c r="X2893" s="80" t="n">
        <x:f>W2893*('Inputs'!$B$6-AC2893)</x:f>
        <x:v>2008507568.4686246</x:v>
      </x:c>
      <x:c r="Y2893" s="80" t="n">
        <x:f>2*V2893</x:f>
        <x:v>1731077.180208367</x:v>
      </x:c>
      <x:c r="Z2893" s="80" t="n">
        <x:f>K2893*'Inputs'!$B$16+(G2893+R2893)*J2893*'Inputs'!$B$16</x:f>
        <x:v>55942.692105692426</x:v>
      </x:c>
      <x:c r="AA2893" s="80" t="n">
        <x:f>K2893*(1+'Inputs'!$E$51)/2*'Inputs'!$B$17</x:f>
        <x:v>19672.666531925373</x:v>
      </x:c>
      <x:c r="AB2893" s="78" t="n">
        <x:f>(IF(J2893&gt;0,K2893*(1-'Inputs'!$E$51)/2/J2893,0)+G2893+R2893)*'Inputs'!$B$17</x:f>
        <x:v>8937.717414655683</x:v>
      </x:c>
      <x:c r="AC2893" s="78" t="n">
        <x:f>AC2892+AB2893</x:f>
        <x:v>2955191.887492647</x:v>
      </x:c>
      <x:c r="AD2893" s="80" t="n">
        <x:f>Z2893/(1+'Inputs'!$C$51)</x:f>
        <x:v>18647.564035230807</x:v>
      </x:c>
      <x:c r="AE2893" s="80" t="n">
        <x:f>Z2893-AD2893</x:f>
        <x:v>37295.12807046162</x:v>
      </x:c>
      <x:c r="AF2893" s="80" t="n">
        <x:f>D2893*W2893</x:f>
        <x:v>520799.4209252717</x:v>
      </x:c>
      <x:c r="AG2893" s="80" t="n">
        <x:f>C2893*W2893</x:f>
        <x:v>1215198.648825644</x:v>
      </x:c>
      <x:c r="AH2893" s="80" t="n">
        <x:f>2*'Inputs'!$B$8*'Inputs'!$C$51</x:f>
        <x:v>10000</x:v>
      </x:c>
      <x:c r="AI2893" s="81" t="n">
        <x:f>IF(AH2893&gt;0,(AE2893+AF2893)/AH2893*365,0)</x:f>
        <x:v>20370.451038344265</x:v>
      </x:c>
      <x:c r="AJ2893" s="81" t="n">
        <x:f>IF('Inputs'!$B$51&gt;0,AG2893/('Inputs'!$B$19*'Inputs'!$B$51)*365,0)</x:f>
        <x:v>44354.75068213601</x:v>
      </x:c>
      <x:c r="AK2893" s="81" t="n">
        <x:f>W2893/MAX($W$2559:W2893)-1</x:f>
        <x:v>0</x:v>
      </x:c>
      <x:c r="AL2893" s="83" t="n">
        <x:f>'Inputs'!$B$51</x:f>
        <x:v>1</x:v>
      </x:c>
      <x:c r="AM2893" s="83" t="n">
        <x:f>'Inputs'!$C$51</x:f>
        <x:v>2</x:v>
      </x:c>
      <x:c r="AN2893" s="83" t="n">
        <x:f>'Inputs'!$D$51</x:f>
        <x:v>3</x:v>
      </x:c>
      <x:c r="AO2893" s="81" t="n">
        <x:f>'Inputs'!$E$51</x:f>
        <x:v>0.1</x:v>
      </x:c>
    </x:row>
    <x:row r="2894">
      <x:c r="A2894" s="59" t="str">
        <x:v>High demand</x:v>
      </x:c>
      <x:c r="B2894" s="59" t="n">
        <x:v>336</x:v>
      </x:c>
      <x:c r="C2894" s="78" t="n">
        <x:f>(('Inputs'!$B$29*(3*336*'Inputs'!$B$12-336^2)/(2*'Inputs'!$B$12^2))-('Inputs'!$B$29*(3*335*'Inputs'!$B$12-335^2)/(2*'Inputs'!$B$12^2)))*'Inputs'!$B$51</x:f>
        <x:v>602912.6008631885</x:v>
      </x:c>
      <x:c r="D2894" s="78" t="n">
        <x:f>IF('Inputs'!$C$51&gt;0,('Inputs'!$B$30*(3*336*'Inputs'!$B$12-336^2)/(2*'Inputs'!$B$12^2))-('Inputs'!$B$30*(3*335*'Inputs'!$B$12-335^2)/(2*'Inputs'!$B$12^2)),0)</x:f>
        <x:v>258391.1146556586</x:v>
      </x:c>
      <x:c r="E2894" s="78" t="n">
        <x:f>C2894+D2894</x:f>
        <x:v>861303.7155188471</x:v>
      </x:c>
      <x:c r="F2894" s="78" t="n">
        <x:f>'Inputs'!$B$13*E2894+(1-'Inputs'!$B$13)/'Inputs'!$B$14*SUM(E2839:E2894)</x:f>
        <x:v>871521.3923813077</x:v>
      </x:c>
      <x:c r="G2894" s="78" t="n">
        <x:f>F2894*'Inputs'!$F$51</x:f>
        <x:v>217880.34809532692</x:v>
      </x:c>
      <x:c r="H2894" s="78" t="n">
        <x:f>U2893</x:f>
        <x:v>429662.686380799</x:v>
      </x:c>
      <x:c r="I2894" s="78" t="n">
        <x:f>V2893</x:f>
        <x:v>865538.5901041835</x:v>
      </x:c>
      <x:c r="J2894" s="79" t="n">
        <x:f>IF(H2894&gt;0,I2894/H2894,0)</x:f>
        <x:v>2.014460686346589</x:v>
      </x:c>
      <x:c r="K2894" s="80" t="n">
        <x:f>(H2894*J2894+I2894)*'Inputs'!$D$51*(1+'Inputs'!$G$51)^(B2894/30)</x:f>
        <x:v>8969285.241107203</x:v>
      </x:c>
      <x:c r="L2894" s="80" t="n">
        <x:f>MAX(0,K2894*'Inputs'!$E$51)</x:f>
        <x:v>896928.5241107204</x:v>
      </x:c>
      <x:c r="M2894" s="80" t="n">
        <x:f>MAX(0,-K2894*'Inputs'!$E$51)</x:f>
        <x:v>0</x:v>
      </x:c>
      <x:c r="N2894" s="78" t="n">
        <x:f>H2894*(L2894*(1-'Inputs'!$B$15))/(I2894+L2894*(1-'Inputs'!$B$15))</x:f>
        <x:v>217578.22887790346</x:v>
      </x:c>
      <x:c r="O2894" s="78" t="n">
        <x:f>H2894-N2894</x:f>
        <x:v>212084.45750289553</x:v>
      </x:c>
      <x:c r="P2894" s="78" t="n">
        <x:f>I2894+L2894*(1-'Inputs'!$B$17)</x:f>
        <x:v>1758857.743896551</x:v>
      </x:c>
      <x:c r="Q2894" s="78" t="n">
        <x:f>IF(J2894&gt;0,M2894/J2894,0)</x:f>
        <x:v>0</x:v>
      </x:c>
      <x:c r="R2894" s="78" t="n">
        <x:f>IF(B2894='Inputs'!$H$51,'Inputs'!$B$27*'Inputs'!$I$51,0)</x:f>
        <x:v>0</x:v>
      </x:c>
      <x:c r="S2894" s="78" t="n">
        <x:f>Q2894+G2894+R2894</x:f>
        <x:v>217880.34809532692</x:v>
      </x:c>
      <x:c r="T2894" s="78" t="n">
        <x:f>P2894*(S2894*(1-'Inputs'!$B$15))/(O2894+S2894*(1-'Inputs'!$B$15))</x:f>
        <x:v>886864.7647134479</x:v>
      </x:c>
      <x:c r="U2894" s="78" t="n">
        <x:f>O2894+S2894*(1-'Inputs'!$B$17)</x:f>
        <x:v>429088.0235133318</x:v>
      </x:c>
      <x:c r="V2894" s="78" t="n">
        <x:f>P2894-T2894</x:f>
        <x:v>871992.9791831031</x:v>
      </x:c>
      <x:c r="W2894" s="79" t="n">
        <x:f>IF(U2894&gt;0,V2894/U2894,0)</x:f>
        <x:v>2.0322006940284836</x:v>
      </x:c>
      <x:c r="X2894" s="80" t="n">
        <x:f>W2894*('Inputs'!$B$6-AC2894)</x:f>
        <x:v>2026176984.0262454</x:v>
      </x:c>
      <x:c r="Y2894" s="80" t="n">
        <x:f>2*V2894</x:f>
        <x:v>1743985.9583662061</x:v>
      </x:c>
      <x:c r="Z2894" s="80" t="n">
        <x:f>K2894*'Inputs'!$B$16+(G2894+R2894)*J2894*'Inputs'!$B$16</x:f>
        <x:v>56449.179820036494</x:v>
      </x:c>
      <x:c r="AA2894" s="80" t="n">
        <x:f>K2894*(1+'Inputs'!$E$51)/2*'Inputs'!$B$17</x:f>
        <x:v>19851.5367509415</x:v>
      </x:c>
      <x:c r="AB2894" s="78" t="n">
        <x:f>(IF(J2894&gt;0,K2894*(1-'Inputs'!$E$51)/2/J2894,0)+G2894+R2894)*'Inputs'!$B$17</x:f>
        <x:v>8939.568587835602</x:v>
      </x:c>
      <x:c r="AC2894" s="78" t="n">
        <x:f>AC2893+AB2894</x:f>
        <x:v>2964131.4560804823</x:v>
      </x:c>
      <x:c r="AD2894" s="80" t="n">
        <x:f>Z2894/(1+'Inputs'!$C$51)</x:f>
        <x:v>18816.393273345497</x:v>
      </x:c>
      <x:c r="AE2894" s="80" t="n">
        <x:f>Z2894-AD2894</x:f>
        <x:v>37632.786546691</x:v>
      </x:c>
      <x:c r="AF2894" s="80" t="n">
        <x:f>D2894*W2894</x:f>
        <x:v>525102.6025340229</x:v>
      </x:c>
      <x:c r="AG2894" s="80" t="n">
        <x:f>C2894*W2894</x:f>
        <x:v>1225239.4059126899</x:v>
      </x:c>
      <x:c r="AH2894" s="80" t="n">
        <x:f>2*'Inputs'!$B$8*'Inputs'!$C$51</x:f>
        <x:v>10000</x:v>
      </x:c>
      <x:c r="AI2894" s="81" t="n">
        <x:f>IF(AH2894&gt;0,(AE2894+AF2894)/AH2894*365,0)</x:f>
        <x:v>20539.841701446057</x:v>
      </x:c>
      <x:c r="AJ2894" s="81" t="n">
        <x:f>IF('Inputs'!$B$51&gt;0,AG2894/('Inputs'!$B$19*'Inputs'!$B$51)*365,0)</x:f>
        <x:v>44721.23831581318</x:v>
      </x:c>
      <x:c r="AK2894" s="81" t="n">
        <x:f>W2894/MAX($W$2559:W2894)-1</x:f>
        <x:v>0</x:v>
      </x:c>
      <x:c r="AL2894" s="83" t="n">
        <x:f>'Inputs'!$B$51</x:f>
        <x:v>1</x:v>
      </x:c>
      <x:c r="AM2894" s="83" t="n">
        <x:f>'Inputs'!$C$51</x:f>
        <x:v>2</x:v>
      </x:c>
      <x:c r="AN2894" s="83" t="n">
        <x:f>'Inputs'!$D$51</x:f>
        <x:v>3</x:v>
      </x:c>
      <x:c r="AO2894" s="81" t="n">
        <x:f>'Inputs'!$E$51</x:f>
        <x:v>0.1</x:v>
      </x:c>
    </x:row>
    <x:row r="2895">
      <x:c r="A2895" s="59" t="str">
        <x:v>High demand</x:v>
      </x:c>
      <x:c r="B2895" s="59" t="n">
        <x:v>337</x:v>
      </x:c>
      <x:c r="C2895" s="78" t="n">
        <x:f>(('Inputs'!$B$29*(3*337*'Inputs'!$B$12-337^2)/(2*'Inputs'!$B$12^2))-('Inputs'!$B$29*(3*336*'Inputs'!$B$12-336^2)/(2*'Inputs'!$B$12^2)))*'Inputs'!$B$51</x:f>
        <x:v>602587.4929630458</x:v>
      </x:c>
      <x:c r="D2895" s="78" t="n">
        <x:f>IF('Inputs'!$C$51&gt;0,('Inputs'!$B$30*(3*337*'Inputs'!$B$12-337^2)/(2*'Inputs'!$B$12^2))-('Inputs'!$B$30*(3*336*'Inputs'!$B$12-336^2)/(2*'Inputs'!$B$12^2)),0)</x:f>
        <x:v>258251.78269843757</x:v>
      </x:c>
      <x:c r="E2895" s="78" t="n">
        <x:f>C2895+D2895</x:f>
        <x:v>860839.2756614834</x:v>
      </x:c>
      <x:c r="F2895" s="78" t="n">
        <x:f>'Inputs'!$B$13*E2895+(1-'Inputs'!$B$13)/'Inputs'!$B$14*SUM(E2840:E2895)</x:f>
        <x:v>871056.9525239277</x:v>
      </x:c>
      <x:c r="G2895" s="78" t="n">
        <x:f>F2895*'Inputs'!$F$51</x:f>
        <x:v>217764.23813098192</x:v>
      </x:c>
      <x:c r="H2895" s="78" t="n">
        <x:f>U2894</x:f>
        <x:v>429088.0235133318</x:v>
      </x:c>
      <x:c r="I2895" s="78" t="n">
        <x:f>V2894</x:f>
        <x:v>871992.9791831031</x:v>
      </x:c>
      <x:c r="J2895" s="79" t="n">
        <x:f>IF(H2895&gt;0,I2895/H2895,0)</x:f>
        <x:v>2.0322006940284836</x:v>
      </x:c>
      <x:c r="K2895" s="80" t="n">
        <x:f>(H2895*J2895+I2895)*'Inputs'!$D$51*(1+'Inputs'!$G$51)^(B2895/30)</x:f>
        <x:v>9050877.734353391</x:v>
      </x:c>
      <x:c r="L2895" s="80" t="n">
        <x:f>MAX(0,K2895*'Inputs'!$E$51)</x:f>
        <x:v>905087.7734353392</x:v>
      </x:c>
      <x:c r="M2895" s="80" t="n">
        <x:f>MAX(0,-K2895*'Inputs'!$E$51)</x:f>
        <x:v>0</x:v>
      </x:c>
      <x:c r="N2895" s="78" t="n">
        <x:f>H2895*(L2895*(1-'Inputs'!$B$15))/(I2895+L2895*(1-'Inputs'!$B$15))</x:f>
        <x:v>217461.6538063666</x:v>
      </x:c>
      <x:c r="O2895" s="78" t="n">
        <x:f>H2895-N2895</x:f>
        <x:v>211626.36970696517</x:v>
      </x:c>
      <x:c r="P2895" s="78" t="n">
        <x:f>I2895+L2895*(1-'Inputs'!$B$17)</x:f>
        <x:v>1773438.548298783</x:v>
      </x:c>
      <x:c r="Q2895" s="78" t="n">
        <x:f>IF(J2895&gt;0,M2895/J2895,0)</x:f>
        <x:v>0</x:v>
      </x:c>
      <x:c r="R2895" s="78" t="n">
        <x:f>IF(B2895='Inputs'!$H$51,'Inputs'!$B$27*'Inputs'!$I$51,0)</x:f>
        <x:v>0</x:v>
      </x:c>
      <x:c r="S2895" s="78" t="n">
        <x:f>Q2895+G2895+R2895</x:f>
        <x:v>217764.23813098192</x:v>
      </x:c>
      <x:c r="T2895" s="78" t="n">
        <x:f>P2895*(S2895*(1-'Inputs'!$B$15))/(O2895+S2895*(1-'Inputs'!$B$15))</x:f>
        <x:v>894939.0826430385</x:v>
      </x:c>
      <x:c r="U2895" s="78" t="n">
        <x:f>O2895+S2895*(1-'Inputs'!$B$17)</x:f>
        <x:v>428514.2929963737</x:v>
      </x:c>
      <x:c r="V2895" s="78" t="n">
        <x:f>P2895-T2895</x:f>
        <x:v>878499.4656557444</x:v>
      </x:c>
      <x:c r="W2895" s="79" t="n">
        <x:f>IF(U2895&gt;0,V2895/U2895,0)</x:f>
        <x:v>2.0501053990821694</x:v>
      </x:c>
      <x:c r="X2895" s="80" t="n">
        <x:f>W2895*('Inputs'!$B$6-AC2895)</x:f>
        <x:v>2044010286.319851</x:v>
      </x:c>
      <x:c r="Y2895" s="80" t="n">
        <x:f>2*V2895</x:f>
        <x:v>1756998.9313114889</x:v>
      </x:c>
      <x:c r="Z2895" s="80" t="n">
        <x:f>K2895*'Inputs'!$B$16+(G2895+R2895)*J2895*'Inputs'!$B$16</x:f>
        <x:v>56960.51022130654</x:v>
      </x:c>
      <x:c r="AA2895" s="80" t="n">
        <x:f>K2895*(1+'Inputs'!$E$51)/2*'Inputs'!$B$17</x:f>
        <x:v>20032.12375812622</x:v>
      </x:c>
      <x:c r="AB2895" s="78" t="n">
        <x:f>(IF(J2895&gt;0,K2895*(1-'Inputs'!$E$51)/2/J2895,0)+G2895+R2895)*'Inputs'!$B$17</x:f>
        <x:v>8941.423512497375</x:v>
      </x:c>
      <x:c r="AC2895" s="78" t="n">
        <x:f>AC2894+AB2895</x:f>
        <x:v>2973072.87959298</x:v>
      </x:c>
      <x:c r="AD2895" s="80" t="n">
        <x:f>Z2895/(1+'Inputs'!$C$51)</x:f>
        <x:v>18986.836740435512</x:v>
      </x:c>
      <x:c r="AE2895" s="80" t="n">
        <x:f>Z2895-AD2895</x:f>
        <x:v>37973.67348087103</x:v>
      </x:c>
      <x:c r="AF2895" s="80" t="n">
        <x:f>D2895*W2895</x:f>
        <x:v>529443.374032662</x:v>
      </x:c>
      <x:c r="AG2895" s="80" t="n">
        <x:f>C2895*W2895</x:f>
        <x:v>1235367.872742929</x:v>
      </x:c>
      <x:c r="AH2895" s="80" t="n">
        <x:f>2*'Inputs'!$B$8*'Inputs'!$C$51</x:f>
        <x:v>10000</x:v>
      </x:c>
      <x:c r="AI2895" s="81" t="n">
        <x:f>IF(AH2895&gt;0,(AE2895+AF2895)/AH2895*365,0)</x:f>
        <x:v>20710.722234243956</x:v>
      </x:c>
      <x:c r="AJ2895" s="81" t="n">
        <x:f>IF('Inputs'!$B$51&gt;0,AG2895/('Inputs'!$B$19*'Inputs'!$B$51)*365,0)</x:f>
        <x:v>45090.92735511691</x:v>
      </x:c>
      <x:c r="AK2895" s="81" t="n">
        <x:f>W2895/MAX($W$2559:W2895)-1</x:f>
        <x:v>0</x:v>
      </x:c>
      <x:c r="AL2895" s="83" t="n">
        <x:f>'Inputs'!$B$51</x:f>
        <x:v>1</x:v>
      </x:c>
      <x:c r="AM2895" s="83" t="n">
        <x:f>'Inputs'!$C$51</x:f>
        <x:v>2</x:v>
      </x:c>
      <x:c r="AN2895" s="83" t="n">
        <x:f>'Inputs'!$D$51</x:f>
        <x:v>3</x:v>
      </x:c>
      <x:c r="AO2895" s="81" t="n">
        <x:f>'Inputs'!$E$51</x:f>
        <x:v>0.1</x:v>
      </x:c>
    </x:row>
    <x:row r="2896">
      <x:c r="A2896" s="59" t="str">
        <x:v>High demand</x:v>
      </x:c>
      <x:c r="B2896" s="59" t="n">
        <x:v>338</x:v>
      </x:c>
      <x:c r="C2896" s="78" t="n">
        <x:f>(('Inputs'!$B$29*(3*338*'Inputs'!$B$12-338^2)/(2*'Inputs'!$B$12^2))-('Inputs'!$B$29*(3*337*'Inputs'!$B$12-337^2)/(2*'Inputs'!$B$12^2)))*'Inputs'!$B$51</x:f>
        <x:v>602262.3850628436</x:v>
      </x:c>
      <x:c r="D2896" s="78" t="n">
        <x:f>IF('Inputs'!$C$51&gt;0,('Inputs'!$B$30*(3*338*'Inputs'!$B$12-338^2)/(2*'Inputs'!$B$12^2))-('Inputs'!$B$30*(3*337*'Inputs'!$B$12-337^2)/(2*'Inputs'!$B$12^2)),0)</x:f>
        <x:v>258112.45074123144</x:v>
      </x:c>
      <x:c r="E2896" s="78" t="n">
        <x:f>C2896+D2896</x:f>
        <x:v>860374.835804075</x:v>
      </x:c>
      <x:c r="F2896" s="78" t="n">
        <x:f>'Inputs'!$B$13*E2896+(1-'Inputs'!$B$13)/'Inputs'!$B$14*SUM(E2841:E2896)</x:f>
        <x:v>870592.5126665385</x:v>
      </x:c>
      <x:c r="G2896" s="78" t="n">
        <x:f>F2896*'Inputs'!$F$51</x:f>
        <x:v>217648.12816663462</x:v>
      </x:c>
      <x:c r="H2896" s="78" t="n">
        <x:f>U2895</x:f>
        <x:v>428514.2929963737</x:v>
      </x:c>
      <x:c r="I2896" s="78" t="n">
        <x:f>V2895</x:f>
        <x:v>878499.4656557444</x:v>
      </x:c>
      <x:c r="J2896" s="79" t="n">
        <x:f>IF(H2896&gt;0,I2896/H2896,0)</x:f>
        <x:v>2.0501053990821694</x:v>
      </x:c>
      <x:c r="K2896" s="80" t="n">
        <x:f>(H2896*J2896+I2896)*'Inputs'!$D$51*(1+'Inputs'!$G$51)^(B2896/30)</x:f>
        <x:v>9133253.702062767</x:v>
      </x:c>
      <x:c r="L2896" s="80" t="n">
        <x:f>MAX(0,K2896*'Inputs'!$E$51)</x:f>
        <x:v>913325.3702062768</x:v>
      </x:c>
      <x:c r="M2896" s="80" t="n">
        <x:f>MAX(0,-K2896*'Inputs'!$E$51)</x:f>
        <x:v>0</x:v>
      </x:c>
      <x:c r="N2896" s="78" t="n">
        <x:f>H2896*(L2896*(1-'Inputs'!$B$15))/(I2896+L2896*(1-'Inputs'!$B$15))</x:f>
        <x:v>217345.0805591631</x:v>
      </x:c>
      <x:c r="O2896" s="78" t="n">
        <x:f>H2896-N2896</x:f>
        <x:v>211169.21243721063</x:v>
      </x:c>
      <x:c r="P2896" s="78" t="n">
        <x:f>I2896+L2896*(1-'Inputs'!$B$17)</x:f>
        <x:v>1788149.4822595813</x:v>
      </x:c>
      <x:c r="Q2896" s="78" t="n">
        <x:f>IF(J2896&gt;0,M2896/J2896,0)</x:f>
        <x:v>0</x:v>
      </x:c>
      <x:c r="R2896" s="78" t="n">
        <x:f>IF(B2896='Inputs'!$H$51,'Inputs'!$B$27*'Inputs'!$I$51,0)</x:f>
        <x:v>0</x:v>
      </x:c>
      <x:c r="S2896" s="78" t="n">
        <x:f>Q2896+G2896+R2896</x:f>
        <x:v>217648.12816663462</x:v>
      </x:c>
      <x:c r="T2896" s="78" t="n">
        <x:f>P2896*(S2896*(1-'Inputs'!$B$15))/(O2896+S2896*(1-'Inputs'!$B$15))</x:f>
        <x:v>903090.9848416991</x:v>
      </x:c>
      <x:c r="U2896" s="78" t="n">
        <x:f>O2896+S2896*(1-'Inputs'!$B$17)</x:f>
        <x:v>427941.4930055892</x:v>
      </x:c>
      <x:c r="V2896" s="78" t="n">
        <x:f>P2896-T2896</x:f>
        <x:v>885058.4974178822</x:v>
      </x:c>
      <x:c r="W2896" s="79" t="n">
        <x:f>IF(U2896&gt;0,V2896/U2896,0)</x:f>
        <x:v>2.068176402343679</x:v>
      </x:c>
      <x:c r="X2896" s="80" t="n">
        <x:f>W2896*('Inputs'!$B$6-AC2896)</x:f>
        <x:v>2062009066.8864741</x:v>
      </x:c>
      <x:c r="Y2896" s="80" t="n">
        <x:f>2*V2896</x:f>
        <x:v>1770116.9948357644</x:v>
      </x:c>
      <x:c r="Z2896" s="80" t="n">
        <x:f>K2896*'Inputs'!$B$16+(G2896+R2896)*J2896*'Inputs'!$B$16</x:f>
        <x:v>57476.73182830388</x:v>
      </x:c>
      <x:c r="AA2896" s="80" t="n">
        <x:f>K2896*(1+'Inputs'!$E$51)/2*'Inputs'!$B$17</x:f>
        <x:v>20214.444813418602</x:v>
      </x:c>
      <x:c r="AB2896" s="78" t="n">
        <x:f>(IF(J2896&gt;0,K2896*(1-'Inputs'!$E$51)/2/J2896,0)+G2896+R2896)*'Inputs'!$B$17</x:f>
        <x:v>8943.282188879266</x:v>
      </x:c>
      <x:c r="AC2896" s="78" t="n">
        <x:f>AC2895+AB2896</x:f>
        <x:v>2982016.161781859</x:v>
      </x:c>
      <x:c r="AD2896" s="80" t="n">
        <x:f>Z2896/(1+'Inputs'!$C$51)</x:f>
        <x:v>19158.910609434624</x:v>
      </x:c>
      <x:c r="AE2896" s="80" t="n">
        <x:f>Z2896-AD2896</x:f>
        <x:v>38317.821218869256</x:v>
      </x:c>
      <x:c r="AF2896" s="80" t="n">
        <x:f>D2896*W2896</x:f>
        <x:v>533822.0797741101</x:v>
      </x:c>
      <x:c r="AG2896" s="80" t="n">
        <x:f>C2896*W2896</x:f>
        <x:v>1245584.8528061954</x:v>
      </x:c>
      <x:c r="AH2896" s="80" t="n">
        <x:f>2*'Inputs'!$B$8*'Inputs'!$C$51</x:f>
        <x:v>10000</x:v>
      </x:c>
      <x:c r="AI2896" s="81" t="n">
        <x:f>IF(AH2896&gt;0,(AE2896+AF2896)/AH2896*365,0)</x:f>
        <x:v>20883.106386243748</x:v>
      </x:c>
      <x:c r="AJ2896" s="81" t="n">
        <x:f>IF('Inputs'!$B$51&gt;0,AG2896/('Inputs'!$B$19*'Inputs'!$B$51)*365,0)</x:f>
        <x:v>45463.84712742613</x:v>
      </x:c>
      <x:c r="AK2896" s="81" t="n">
        <x:f>W2896/MAX($W$2559:W2896)-1</x:f>
        <x:v>0</x:v>
      </x:c>
      <x:c r="AL2896" s="83" t="n">
        <x:f>'Inputs'!$B$51</x:f>
        <x:v>1</x:v>
      </x:c>
      <x:c r="AM2896" s="83" t="n">
        <x:f>'Inputs'!$C$51</x:f>
        <x:v>2</x:v>
      </x:c>
      <x:c r="AN2896" s="83" t="n">
        <x:f>'Inputs'!$D$51</x:f>
        <x:v>3</x:v>
      </x:c>
      <x:c r="AO2896" s="81" t="n">
        <x:f>'Inputs'!$E$51</x:f>
        <x:v>0.1</x:v>
      </x:c>
    </x:row>
    <x:row r="2897">
      <x:c r="A2897" s="59" t="str">
        <x:v>High demand</x:v>
      </x:c>
      <x:c r="B2897" s="59" t="n">
        <x:v>339</x:v>
      </x:c>
      <x:c r="C2897" s="78" t="n">
        <x:f>(('Inputs'!$B$29*(3*339*'Inputs'!$B$12-339^2)/(2*'Inputs'!$B$12^2))-('Inputs'!$B$29*(3*338*'Inputs'!$B$12-338^2)/(2*'Inputs'!$B$12^2)))*'Inputs'!$B$51</x:f>
        <x:v>601937.2771627009</x:v>
      </x:c>
      <x:c r="D2897" s="78" t="n">
        <x:f>IF('Inputs'!$C$51&gt;0,('Inputs'!$B$30*(3*339*'Inputs'!$B$12-339^2)/(2*'Inputs'!$B$12^2))-('Inputs'!$B$30*(3*338*'Inputs'!$B$12-338^2)/(2*'Inputs'!$B$12^2)),0)</x:f>
        <x:v>257973.1187840104</x:v>
      </x:c>
      <x:c r="E2897" s="78" t="n">
        <x:f>C2897+D2897</x:f>
        <x:v>859910.3959467113</x:v>
      </x:c>
      <x:c r="F2897" s="78" t="n">
        <x:f>'Inputs'!$B$13*E2897+(1-'Inputs'!$B$13)/'Inputs'!$B$14*SUM(E2842:E2897)</x:f>
        <x:v>870128.0728091584</x:v>
      </x:c>
      <x:c r="G2897" s="78" t="n">
        <x:f>F2897*'Inputs'!$F$51</x:f>
        <x:v>217532.0182022896</x:v>
      </x:c>
      <x:c r="H2897" s="78" t="n">
        <x:f>U2896</x:f>
        <x:v>427941.4930055892</x:v>
      </x:c>
      <x:c r="I2897" s="78" t="n">
        <x:f>V2896</x:f>
        <x:v>885058.4974178822</x:v>
      </x:c>
      <x:c r="J2897" s="79" t="n">
        <x:f>IF(H2897&gt;0,I2897/H2897,0)</x:f>
        <x:v>2.068176402343679</x:v>
      </x:c>
      <x:c r="K2897" s="80" t="n">
        <x:f>(H2897*J2897+I2897)*'Inputs'!$D$51*(1+'Inputs'!$G$51)^(B2897/30)</x:f>
        <x:v>9216421.024216032</x:v>
      </x:c>
      <x:c r="L2897" s="80" t="n">
        <x:f>MAX(0,K2897*'Inputs'!$E$51)</x:f>
        <x:v>921642.1024216032</x:v>
      </x:c>
      <x:c r="M2897" s="80" t="n">
        <x:f>MAX(0,-K2897*'Inputs'!$E$51)</x:f>
        <x:v>0</x:v>
      </x:c>
      <x:c r="N2897" s="78" t="n">
        <x:f>H2897*(L2897*(1-'Inputs'!$B$15))/(I2897+L2897*(1-'Inputs'!$B$15))</x:f>
        <x:v>217228.50913280202</x:v>
      </x:c>
      <x:c r="O2897" s="78" t="n">
        <x:f>H2897-N2897</x:f>
        <x:v>210712.98387278715</x:v>
      </x:c>
      <x:c r="P2897" s="78" t="n">
        <x:f>I2897+L2897*(1-'Inputs'!$B$17)</x:f>
        <x:v>1802991.7785017728</x:v>
      </x:c>
      <x:c r="Q2897" s="78" t="n">
        <x:f>IF(J2897&gt;0,M2897/J2897,0)</x:f>
        <x:v>0</x:v>
      </x:c>
      <x:c r="R2897" s="78" t="n">
        <x:f>IF(B2897='Inputs'!$H$51,'Inputs'!$B$27*'Inputs'!$I$51,0)</x:f>
        <x:v>0</x:v>
      </x:c>
      <x:c r="S2897" s="78" t="n">
        <x:f>Q2897+G2897+R2897</x:f>
        <x:v>217532.0182022896</x:v>
      </x:c>
      <x:c r="T2897" s="78" t="n">
        <x:f>P2897*(S2897*(1-'Inputs'!$B$15))/(O2897+S2897*(1-'Inputs'!$B$15))</x:f>
        <x:v>911321.2520793539</x:v>
      </x:c>
      <x:c r="U2897" s="78" t="n">
        <x:f>O2897+S2897*(1-'Inputs'!$B$17)</x:f>
        <x:v>427369.62172013795</x:v>
      </x:c>
      <x:c r="V2897" s="78" t="n">
        <x:f>P2897-T2897</x:f>
        <x:v>891670.5264224189</x:v>
      </x:c>
      <x:c r="W2897" s="79" t="n">
        <x:f>IF(U2897&gt;0,V2897/U2897,0)</x:f>
        <x:v>2.086415320849191</x:v>
      </x:c>
      <x:c r="X2897" s="80" t="n">
        <x:f>W2897*('Inputs'!$B$6-AC2897)</x:f>
        <x:v>2080174933.3554528</x:v>
      </x:c>
      <x:c r="Y2897" s="80" t="n">
        <x:f>2*V2897</x:f>
        <x:v>1783341.0528448378</x:v>
      </x:c>
      <x:c r="Z2897" s="80" t="n">
        <x:f>K2897*'Inputs'!$B$16+(G2897+R2897)*J2897*'Inputs'!$B$16</x:f>
        <x:v>57997.89366609722</x:v>
      </x:c>
      <x:c r="AA2897" s="80" t="n">
        <x:f>K2897*(1+'Inputs'!$E$51)/2*'Inputs'!$B$17</x:f>
        <x:v>20398.51735741979</x:v>
      </x:c>
      <x:c r="AB2897" s="78" t="n">
        <x:f>(IF(J2897&gt;0,K2897*(1-'Inputs'!$E$51)/2/J2897,0)+G2897+R2897)*'Inputs'!$B$17</x:f>
        <x:v>8945.144617210695</x:v>
      </x:c>
      <x:c r="AC2897" s="78" t="n">
        <x:f>AC2896+AB2897</x:f>
        <x:v>2990961.3063990697</x:v>
      </x:c>
      <x:c r="AD2897" s="80" t="n">
        <x:f>Z2897/(1+'Inputs'!$C$51)</x:f>
        <x:v>19332.631222032407</x:v>
      </x:c>
      <x:c r="AE2897" s="80" t="n">
        <x:f>Z2897-AD2897</x:f>
        <x:v>38665.26244406481</x:v>
      </x:c>
      <x:c r="AF2897" s="80" t="n">
        <x:f>D2897*W2897</x:f>
        <x:v>538239.0673982075</x:v>
      </x:c>
      <x:c r="AG2897" s="80" t="n">
        <x:f>C2897*W2897</x:f>
        <x:v>1255891.157262505</x:v>
      </x:c>
      <x:c r="AH2897" s="80" t="n">
        <x:f>2*'Inputs'!$B$8*'Inputs'!$C$51</x:f>
        <x:v>10000</x:v>
      </x:c>
      <x:c r="AI2897" s="81" t="n">
        <x:f>IF(AH2897&gt;0,(AE2897+AF2897)/AH2897*365,0)</x:f>
        <x:v>21057.00803924294</x:v>
      </x:c>
      <x:c r="AJ2897" s="81" t="n">
        <x:f>IF('Inputs'!$B$51&gt;0,AG2897/('Inputs'!$B$19*'Inputs'!$B$51)*365,0)</x:f>
        <x:v>45840.02724008143</x:v>
      </x:c>
      <x:c r="AK2897" s="81" t="n">
        <x:f>W2897/MAX($W$2559:W2897)-1</x:f>
        <x:v>0</x:v>
      </x:c>
      <x:c r="AL2897" s="83" t="n">
        <x:f>'Inputs'!$B$51</x:f>
        <x:v>1</x:v>
      </x:c>
      <x:c r="AM2897" s="83" t="n">
        <x:f>'Inputs'!$C$51</x:f>
        <x:v>2</x:v>
      </x:c>
      <x:c r="AN2897" s="83" t="n">
        <x:f>'Inputs'!$D$51</x:f>
        <x:v>3</x:v>
      </x:c>
      <x:c r="AO2897" s="81" t="n">
        <x:f>'Inputs'!$E$51</x:f>
        <x:v>0.1</x:v>
      </x:c>
    </x:row>
    <x:row r="2898">
      <x:c r="A2898" s="59" t="str">
        <x:v>High demand</x:v>
      </x:c>
      <x:c r="B2898" s="59" t="n">
        <x:v>340</x:v>
      </x:c>
      <x:c r="C2898" s="78" t="n">
        <x:f>(('Inputs'!$B$29*(3*340*'Inputs'!$B$12-340^2)/(2*'Inputs'!$B$12^2))-('Inputs'!$B$29*(3*339*'Inputs'!$B$12-339^2)/(2*'Inputs'!$B$12^2)))*'Inputs'!$B$51</x:f>
        <x:v>601612.1692625284</x:v>
      </x:c>
      <x:c r="D2898" s="78" t="n">
        <x:f>IF('Inputs'!$C$51&gt;0,('Inputs'!$B$30*(3*340*'Inputs'!$B$12-340^2)/(2*'Inputs'!$B$12^2))-('Inputs'!$B$30*(3*339*'Inputs'!$B$12-339^2)/(2*'Inputs'!$B$12^2)),0)</x:f>
        <x:v>257833.78682678938</x:v>
      </x:c>
      <x:c r="E2898" s="78" t="n">
        <x:f>C2898+D2898</x:f>
        <x:v>859445.9560893178</x:v>
      </x:c>
      <x:c r="F2898" s="78" t="n">
        <x:f>'Inputs'!$B$13*E2898+(1-'Inputs'!$B$13)/'Inputs'!$B$14*SUM(E2843:E2898)</x:f>
        <x:v>869663.6329517725</x:v>
      </x:c>
      <x:c r="G2898" s="78" t="n">
        <x:f>F2898*'Inputs'!$F$51</x:f>
        <x:v>217415.90823794313</x:v>
      </x:c>
      <x:c r="H2898" s="78" t="n">
        <x:f>U2897</x:f>
        <x:v>427369.62172013795</x:v>
      </x:c>
      <x:c r="I2898" s="78" t="n">
        <x:f>V2897</x:f>
        <x:v>891670.5264224189</x:v>
      </x:c>
      <x:c r="J2898" s="79" t="n">
        <x:f>IF(H2898&gt;0,I2898/H2898,0)</x:f>
        <x:v>2.086415320849191</x:v>
      </x:c>
      <x:c r="K2898" s="80" t="n">
        <x:f>(H2898*J2898+I2898)*'Inputs'!$D$51*(1+'Inputs'!$G$51)^(B2898/30)</x:f>
        <x:v>9300387.663305234</x:v>
      </x:c>
      <x:c r="L2898" s="80" t="n">
        <x:f>MAX(0,K2898*'Inputs'!$E$51)</x:f>
        <x:v>930038.7663305234</x:v>
      </x:c>
      <x:c r="M2898" s="80" t="n">
        <x:f>MAX(0,-K2898*'Inputs'!$E$51)</x:f>
        <x:v>0</x:v>
      </x:c>
      <x:c r="N2898" s="78" t="n">
        <x:f>H2898*(L2898*(1-'Inputs'!$B$15))/(I2898+L2898*(1-'Inputs'!$B$15))</x:f>
        <x:v>217111.93952380237</x:v>
      </x:c>
      <x:c r="O2898" s="78" t="n">
        <x:f>H2898-N2898</x:f>
        <x:v>210257.68219633558</x:v>
      </x:c>
      <x:c r="P2898" s="78" t="n">
        <x:f>I2898+L2898*(1-'Inputs'!$B$17)</x:f>
        <x:v>1817966.682023242</x:v>
      </x:c>
      <x:c r="Q2898" s="78" t="n">
        <x:f>IF(J2898&gt;0,M2898/J2898,0)</x:f>
        <x:v>0</x:v>
      </x:c>
      <x:c r="R2898" s="78" t="n">
        <x:f>IF(B2898='Inputs'!$H$51,'Inputs'!$B$27*'Inputs'!$I$51,0)</x:f>
        <x:v>0</x:v>
      </x:c>
      <x:c r="S2898" s="78" t="n">
        <x:f>Q2898+G2898+R2898</x:f>
        <x:v>217415.90823794313</x:v>
      </x:c>
      <x:c r="T2898" s="78" t="n">
        <x:f>P2898*(S2898*(1-'Inputs'!$B$15))/(O2898+S2898*(1-'Inputs'!$B$15))</x:f>
        <x:v>919630.6733054168</x:v>
      </x:c>
      <x:c r="U2898" s="78" t="n">
        <x:f>O2898+S2898*(1-'Inputs'!$B$17)</x:f>
        <x:v>426798.6773226572</x:v>
      </x:c>
      <x:c r="V2898" s="78" t="n">
        <x:f>P2898-T2898</x:f>
        <x:v>898336.0087178253</x:v>
      </x:c>
      <x:c r="W2898" s="79" t="n">
        <x:f>IF(U2898&gt;0,V2898/U2898,0)</x:f>
        <x:v>2.1048237880050618</x:v>
      </x:c>
      <x:c r="X2898" s="80" t="n">
        <x:f>W2898*('Inputs'!$B$6-AC2898)</x:f>
        <x:v>2098509509.6171918</x:v>
      </x:c>
      <x:c r="Y2898" s="80" t="n">
        <x:f>2*V2898</x:f>
        <x:v>1796672.0174356506</x:v>
      </x:c>
      <x:c r="Z2898" s="80" t="n">
        <x:f>K2898*'Inputs'!$B$16+(G2898+R2898)*J2898*'Inputs'!$B$16</x:f>
        <x:v>58524.04527149532</x:v>
      </x:c>
      <x:c r="AA2898" s="80" t="n">
        <x:f>K2898*(1+'Inputs'!$E$51)/2*'Inputs'!$B$17</x:f>
        <x:v>20584.359013351626</x:v>
      </x:c>
      <x:c r="AB2898" s="78" t="n">
        <x:f>(IF(J2898&gt;0,K2898*(1-'Inputs'!$E$51)/2/J2898,0)+G2898+R2898)*'Inputs'!$B$17</x:f>
        <x:v>8947.010797712388</x:v>
      </x:c>
      <x:c r="AC2898" s="78" t="n">
        <x:f>AC2897+AB2898</x:f>
        <x:v>2999908.317196782</x:v>
      </x:c>
      <x:c r="AD2898" s="80" t="n">
        <x:f>Z2898/(1+'Inputs'!$C$51)</x:f>
        <x:v>19508.01509049844</x:v>
      </x:c>
      <x:c r="AE2898" s="80" t="n">
        <x:f>Z2898-AD2898</x:f>
        <x:v>39016.03018099688</x:v>
      </x:c>
      <x:c r="AF2898" s="80" t="n">
        <x:f>D2898*W2898</x:f>
        <x:v>542694.6878644524</x:v>
      </x:c>
      <x:c r="AG2898" s="80" t="n">
        <x:f>C2898*W2898</x:f>
        <x:v>1266287.6050170974</x:v>
      </x:c>
      <x:c r="AH2898" s="80" t="n">
        <x:f>2*'Inputs'!$B$8*'Inputs'!$C$51</x:f>
        <x:v>10000</x:v>
      </x:c>
      <x:c r="AI2898" s="81" t="n">
        <x:f>IF(AH2898&gt;0,(AE2898+AF2898)/AH2898*365,0)</x:f>
        <x:v>21232.441208658896</x:v>
      </x:c>
      <x:c r="AJ2898" s="81" t="n">
        <x:f>IF('Inputs'!$B$51&gt;0,AG2898/('Inputs'!$B$19*'Inputs'!$B$51)*365,0)</x:f>
        <x:v>46219.49758312406</x:v>
      </x:c>
      <x:c r="AK2898" s="81" t="n">
        <x:f>W2898/MAX($W$2559:W2898)-1</x:f>
        <x:v>0</x:v>
      </x:c>
      <x:c r="AL2898" s="83" t="n">
        <x:f>'Inputs'!$B$51</x:f>
        <x:v>1</x:v>
      </x:c>
      <x:c r="AM2898" s="83" t="n">
        <x:f>'Inputs'!$C$51</x:f>
        <x:v>2</x:v>
      </x:c>
      <x:c r="AN2898" s="83" t="n">
        <x:f>'Inputs'!$D$51</x:f>
        <x:v>3</x:v>
      </x:c>
      <x:c r="AO2898" s="81" t="n">
        <x:f>'Inputs'!$E$51</x:f>
        <x:v>0.1</x:v>
      </x:c>
    </x:row>
    <x:row r="2899">
      <x:c r="A2899" s="59" t="str">
        <x:v>High demand</x:v>
      </x:c>
      <x:c r="B2899" s="59" t="n">
        <x:v>341</x:v>
      </x:c>
      <x:c r="C2899" s="78" t="n">
        <x:f>(('Inputs'!$B$29*(3*341*'Inputs'!$B$12-341^2)/(2*'Inputs'!$B$12^2))-('Inputs'!$B$29*(3*340*'Inputs'!$B$12-340^2)/(2*'Inputs'!$B$12^2)))*'Inputs'!$B$51</x:f>
        <x:v>601287.061362356</x:v>
      </x:c>
      <x:c r="D2899" s="78" t="n">
        <x:f>IF('Inputs'!$C$51&gt;0,('Inputs'!$B$30*(3*341*'Inputs'!$B$12-341^2)/(2*'Inputs'!$B$12^2))-('Inputs'!$B$30*(3*340*'Inputs'!$B$12-340^2)/(2*'Inputs'!$B$12^2)),0)</x:f>
        <x:v>257694.45486958325</x:v>
      </x:c>
      <x:c r="E2899" s="78" t="n">
        <x:f>C2899+D2899</x:f>
        <x:v>858981.5162319392</x:v>
      </x:c>
      <x:c r="F2899" s="78" t="n">
        <x:f>'Inputs'!$B$13*E2899+(1-'Inputs'!$B$13)/'Inputs'!$B$14*SUM(E2844:E2899)</x:f>
        <x:v>869199.1930943893</x:v>
      </x:c>
      <x:c r="G2899" s="78" t="n">
        <x:f>F2899*'Inputs'!$F$51</x:f>
        <x:v>217299.79827359732</x:v>
      </x:c>
      <x:c r="H2899" s="78" t="n">
        <x:f>U2898</x:f>
        <x:v>426798.6773226572</x:v>
      </x:c>
      <x:c r="I2899" s="78" t="n">
        <x:f>V2898</x:f>
        <x:v>898336.0087178253</x:v>
      </x:c>
      <x:c r="J2899" s="79" t="n">
        <x:f>IF(H2899&gt;0,I2899/H2899,0)</x:f>
        <x:v>2.1048237880050618</x:v>
      </x:c>
      <x:c r="K2899" s="80" t="n">
        <x:f>(H2899*J2899+I2899)*'Inputs'!$D$51*(1+'Inputs'!$G$51)^(B2899/30)</x:f>
        <x:v>9385161.66522913</x:v>
      </x:c>
      <x:c r="L2899" s="80" t="n">
        <x:f>MAX(0,K2899*'Inputs'!$E$51)</x:f>
        <x:v>938516.1665229131</x:v>
      </x:c>
      <x:c r="M2899" s="80" t="n">
        <x:f>MAX(0,-K2899*'Inputs'!$E$51)</x:f>
        <x:v>0</x:v>
      </x:c>
      <x:c r="N2899" s="78" t="n">
        <x:f>H2899*(L2899*(1-'Inputs'!$B$15))/(I2899+L2899*(1-'Inputs'!$B$15))</x:f>
        <x:v>216995.37172868688</x:v>
      </x:c>
      <x:c r="O2899" s="78" t="n">
        <x:f>H2899-N2899</x:f>
        <x:v>209803.30559397032</x:v>
      </x:c>
      <x:c r="P2899" s="78" t="n">
        <x:f>I2899+L2899*(1-'Inputs'!$B$17)</x:f>
        <x:v>1833075.4502245495</x:v>
      </x:c>
      <x:c r="Q2899" s="78" t="n">
        <x:f>IF(J2899&gt;0,M2899/J2899,0)</x:f>
        <x:v>0</x:v>
      </x:c>
      <x:c r="R2899" s="78" t="n">
        <x:f>IF(B2899='Inputs'!$H$51,'Inputs'!$B$27*'Inputs'!$I$51,0)</x:f>
        <x:v>0</x:v>
      </x:c>
      <x:c r="S2899" s="78" t="n">
        <x:f>Q2899+G2899+R2899</x:f>
        <x:v>217299.79827359732</x:v>
      </x:c>
      <x:c r="T2899" s="78" t="n">
        <x:f>P2899*(S2899*(1-'Inputs'!$B$15))/(O2899+S2899*(1-'Inputs'!$B$15))</x:f>
        <x:v>928020.04573763</x:v>
      </x:c>
      <x:c r="U2899" s="78" t="n">
        <x:f>O2899+S2899*(1-'Inputs'!$B$17)</x:f>
        <x:v>426228.6579992634</x:v>
      </x:c>
      <x:c r="V2899" s="78" t="n">
        <x:f>P2899-T2899</x:f>
        <x:v>905055.4044869195</x:v>
      </x:c>
      <x:c r="W2899" s="79" t="n">
        <x:f>IF(U2899&gt;0,V2899/U2899,0)</x:f>
        <x:v>2.1234034537595163</x:v>
      </x:c>
      <x:c r="X2899" s="80" t="n">
        <x:f>W2899*('Inputs'!$B$6-AC2899)</x:f>
        <x:v>2117014435.9935682</x:v>
      </x:c>
      <x:c r="Y2899" s="80" t="n">
        <x:f>2*V2899</x:f>
        <x:v>1810110.808973839</x:v>
      </x:c>
      <x:c r="Z2899" s="80" t="n">
        <x:f>K2899*'Inputs'!$B$16+(G2899+R2899)*J2899*'Inputs'!$B$16</x:f>
        <x:v>59055.236698584595</x:v>
      </x:c>
      <x:c r="AA2899" s="80" t="n">
        <x:f>K2899*(1+'Inputs'!$E$51)/2*'Inputs'!$B$17</x:f>
        <x:v>20771.987589038323</x:v>
      </x:c>
      <x:c r="AB2899" s="78" t="n">
        <x:f>(IF(J2899&gt;0,K2899*(1-'Inputs'!$E$51)/2/J2899,0)+G2899+R2899)*'Inputs'!$B$17</x:f>
        <x:v>8948.880730596195</x:v>
      </x:c>
      <x:c r="AC2899" s="78" t="n">
        <x:f>AC2898+AB2899</x:f>
        <x:v>3008857.1979273786</x:v>
      </x:c>
      <x:c r="AD2899" s="80" t="n">
        <x:f>Z2899/(1+'Inputs'!$C$51)</x:f>
        <x:v>19685.0788995282</x:v>
      </x:c>
      <x:c r="AE2899" s="80" t="n">
        <x:f>Z2899-AD2899</x:f>
        <x:v>39370.1577990564</x:v>
      </x:c>
      <x:c r="AF2899" s="80" t="n">
        <x:f>D2899*W2899</x:f>
        <x:v>547189.2954847489</x:v>
      </x:c>
      <x:c r="AG2899" s="80" t="n">
        <x:f>C2899*W2899</x:f>
        <x:v>1276775.0227977368</x:v>
      </x:c>
      <x:c r="AH2899" s="80" t="n">
        <x:f>2*'Inputs'!$B$8*'Inputs'!$C$51</x:f>
        <x:v>10000</x:v>
      </x:c>
      <x:c r="AI2899" s="81" t="n">
        <x:f>IF(AH2899&gt;0,(AE2899+AF2899)/AH2899*365,0)</x:f>
        <x:v>21409.420044858893</x:v>
      </x:c>
      <x:c r="AJ2899" s="81" t="n">
        <x:f>IF('Inputs'!$B$51&gt;0,AG2899/('Inputs'!$B$19*'Inputs'!$B$51)*365,0)</x:f>
        <x:v>46602.288332117394</x:v>
      </x:c>
      <x:c r="AK2899" s="81" t="n">
        <x:f>W2899/MAX($W$2559:W2899)-1</x:f>
        <x:v>0</x:v>
      </x:c>
      <x:c r="AL2899" s="83" t="n">
        <x:f>'Inputs'!$B$51</x:f>
        <x:v>1</x:v>
      </x:c>
      <x:c r="AM2899" s="83" t="n">
        <x:f>'Inputs'!$C$51</x:f>
        <x:v>2</x:v>
      </x:c>
      <x:c r="AN2899" s="83" t="n">
        <x:f>'Inputs'!$D$51</x:f>
        <x:v>3</x:v>
      </x:c>
      <x:c r="AO2899" s="81" t="n">
        <x:f>'Inputs'!$E$51</x:f>
        <x:v>0.1</x:v>
      </x:c>
    </x:row>
    <x:row r="2900">
      <x:c r="A2900" s="59" t="str">
        <x:v>High demand</x:v>
      </x:c>
      <x:c r="B2900" s="59" t="n">
        <x:v>342</x:v>
      </x:c>
      <x:c r="C2900" s="78" t="n">
        <x:f>(('Inputs'!$B$29*(3*342*'Inputs'!$B$12-342^2)/(2*'Inputs'!$B$12^2))-('Inputs'!$B$29*(3*341*'Inputs'!$B$12-341^2)/(2*'Inputs'!$B$12^2)))*'Inputs'!$B$51</x:f>
        <x:v>600961.9534621835</x:v>
      </x:c>
      <x:c r="D2900" s="78" t="n">
        <x:f>IF('Inputs'!$C$51&gt;0,('Inputs'!$B$30*(3*342*'Inputs'!$B$12-342^2)/(2*'Inputs'!$B$12^2))-('Inputs'!$B$30*(3*341*'Inputs'!$B$12-341^2)/(2*'Inputs'!$B$12^2)),0)</x:f>
        <x:v>257555.12291236222</x:v>
      </x:c>
      <x:c r="E2900" s="78" t="n">
        <x:f>C2900+D2900</x:f>
        <x:v>858517.0763745457</x:v>
      </x:c>
      <x:c r="F2900" s="78" t="n">
        <x:f>'Inputs'!$B$13*E2900+(1-'Inputs'!$B$13)/'Inputs'!$B$14*SUM(E2845:E2900)</x:f>
        <x:v>868734.7532370031</x:v>
      </x:c>
      <x:c r="G2900" s="78" t="n">
        <x:f>F2900*'Inputs'!$F$51</x:f>
        <x:v>217183.68830925078</x:v>
      </x:c>
      <x:c r="H2900" s="78" t="n">
        <x:f>U2899</x:f>
        <x:v>426228.6579992634</x:v>
      </x:c>
      <x:c r="I2900" s="78" t="n">
        <x:f>V2899</x:f>
        <x:v>905055.4044869195</x:v>
      </x:c>
      <x:c r="J2900" s="79" t="n">
        <x:f>IF(H2900&gt;0,I2900/H2900,0)</x:f>
        <x:v>2.1234034537595163</x:v>
      </x:c>
      <x:c r="K2900" s="80" t="n">
        <x:f>(H2900*J2900+I2900)*'Inputs'!$D$51*(1+'Inputs'!$G$51)^(B2900/30)</x:f>
        <x:v>9470751.160198167</x:v>
      </x:c>
      <x:c r="L2900" s="80" t="n">
        <x:f>MAX(0,K2900*'Inputs'!$E$51)</x:f>
        <x:v>947075.1160198167</x:v>
      </x:c>
      <x:c r="M2900" s="80" t="n">
        <x:f>MAX(0,-K2900*'Inputs'!$E$51)</x:f>
        <x:v>0</x:v>
      </x:c>
      <x:c r="N2900" s="78" t="n">
        <x:f>H2900*(L2900*(1-'Inputs'!$B$15))/(I2900+L2900*(1-'Inputs'!$B$15))</x:f>
        <x:v>216878.8057439866</x:v>
      </x:c>
      <x:c r="O2900" s="78" t="n">
        <x:f>H2900-N2900</x:f>
        <x:v>209349.85225527678</x:v>
      </x:c>
      <x:c r="P2900" s="78" t="n">
        <x:f>I2900+L2900*(1-'Inputs'!$B$17)</x:f>
        <x:v>1848319.3530378435</x:v>
      </x:c>
      <x:c r="Q2900" s="78" t="n">
        <x:f>IF(J2900&gt;0,M2900/J2900,0)</x:f>
        <x:v>0</x:v>
      </x:c>
      <x:c r="R2900" s="78" t="n">
        <x:f>IF(B2900='Inputs'!$H$51,'Inputs'!$B$27*'Inputs'!$I$51,0)</x:f>
        <x:v>0</x:v>
      </x:c>
      <x:c r="S2900" s="78" t="n">
        <x:f>Q2900+G2900+R2900</x:f>
        <x:v>217183.68830925078</x:v>
      </x:c>
      <x:c r="T2900" s="78" t="n">
        <x:f>P2900*(S2900*(1-'Inputs'!$B$15))/(O2900+S2900*(1-'Inputs'!$B$15))</x:f>
        <x:v>936490.1749517876</x:v>
      </x:c>
      <x:c r="U2900" s="78" t="n">
        <x:f>O2900+S2900*(1-'Inputs'!$B$17)</x:f>
        <x:v>425659.56193954067</x:v>
      </x:c>
      <x:c r="V2900" s="78" t="n">
        <x:f>P2900-T2900</x:f>
        <x:v>911829.1780860559</x:v>
      </x:c>
      <x:c r="W2900" s="79" t="n">
        <x:f>IF(U2900&gt;0,V2900/U2900,0)</x:f>
        <x:v>2.142155984776325</x:v>
      </x:c>
      <x:c r="X2900" s="80" t="n">
        <x:f>W2900*('Inputs'!$B$6-AC2900)</x:f>
        <x:v>2135691369.410307</x:v>
      </x:c>
      <x:c r="Y2900" s="80" t="n">
        <x:f>2*V2900</x:f>
        <x:v>1823658.3561721118</x:v>
      </x:c>
      <x:c r="Z2900" s="80" t="n">
        <x:f>K2900*'Inputs'!$B$16+(G2900+R2900)*J2900*'Inputs'!$B$16</x:f>
        <x:v>59591.51852432556</x:v>
      </x:c>
      <x:c r="AA2900" s="80" t="n">
        <x:f>K2900*(1+'Inputs'!$E$51)/2*'Inputs'!$B$17</x:f>
        <x:v>20961.421078909425</x:v>
      </x:c>
      <x:c r="AB2900" s="78" t="n">
        <x:f>(IF(J2900&gt;0,K2900*(1-'Inputs'!$E$51)/2/J2900,0)+G2900+R2900)*'Inputs'!$B$17</x:f>
        <x:v>8950.754416065174</x:v>
      </x:c>
      <x:c r="AC2900" s="78" t="n">
        <x:f>AC2899+AB2900</x:f>
        <x:v>3017807.952343444</x:v>
      </x:c>
      <x:c r="AD2900" s="80" t="n">
        <x:f>Z2900/(1+'Inputs'!$C$51)</x:f>
        <x:v>19863.839508108522</x:v>
      </x:c>
      <x:c r="AE2900" s="80" t="n">
        <x:f>Z2900-AD2900</x:f>
        <x:v>39727.67901621704</x:v>
      </x:c>
      <x:c r="AF2900" s="80" t="n">
        <x:f>D2900*W2900</x:f>
        <x:v>551723.2479565188</x:v>
      </x:c>
      <x:c r="AG2900" s="80" t="n">
        <x:f>C2900*W2900</x:f>
        <x:v>1287354.2452318878</x:v>
      </x:c>
      <x:c r="AH2900" s="80" t="n">
        <x:f>2*'Inputs'!$B$8*'Inputs'!$C$51</x:f>
        <x:v>10000</x:v>
      </x:c>
      <x:c r="AI2900" s="81" t="n">
        <x:f>IF(AH2900&gt;0,(AE2900+AF2900)/AH2900*365,0)</x:f>
        <x:v>21587.958834504854</x:v>
      </x:c>
      <x:c r="AJ2900" s="81" t="n">
        <x:f>IF('Inputs'!$B$51&gt;0,AG2900/('Inputs'!$B$19*'Inputs'!$B$51)*365,0)</x:f>
        <x:v>46988.4299509639</x:v>
      </x:c>
      <x:c r="AK2900" s="81" t="n">
        <x:f>W2900/MAX($W$2559:W2900)-1</x:f>
        <x:v>0</x:v>
      </x:c>
      <x:c r="AL2900" s="83" t="n">
        <x:f>'Inputs'!$B$51</x:f>
        <x:v>1</x:v>
      </x:c>
      <x:c r="AM2900" s="83" t="n">
        <x:f>'Inputs'!$C$51</x:f>
        <x:v>2</x:v>
      </x:c>
      <x:c r="AN2900" s="83" t="n">
        <x:f>'Inputs'!$D$51</x:f>
        <x:v>3</x:v>
      </x:c>
      <x:c r="AO2900" s="81" t="n">
        <x:f>'Inputs'!$E$51</x:f>
        <x:v>0.1</x:v>
      </x:c>
    </x:row>
    <x:row r="2901">
      <x:c r="A2901" s="59" t="str">
        <x:v>High demand</x:v>
      </x:c>
      <x:c r="B2901" s="59" t="n">
        <x:v>343</x:v>
      </x:c>
      <x:c r="C2901" s="78" t="n">
        <x:f>(('Inputs'!$B$29*(3*343*'Inputs'!$B$12-343^2)/(2*'Inputs'!$B$12^2))-('Inputs'!$B$29*(3*342*'Inputs'!$B$12-342^2)/(2*'Inputs'!$B$12^2)))*'Inputs'!$B$51</x:f>
        <x:v>600636.8455620408</x:v>
      </x:c>
      <x:c r="D2901" s="78" t="n">
        <x:f>IF('Inputs'!$C$51&gt;0,('Inputs'!$B$30*(3*343*'Inputs'!$B$12-343^2)/(2*'Inputs'!$B$12^2))-('Inputs'!$B$30*(3*342*'Inputs'!$B$12-342^2)/(2*'Inputs'!$B$12^2)),0)</x:f>
        <x:v>257415.7909551561</x:v>
      </x:c>
      <x:c r="E2901" s="78" t="n">
        <x:f>C2901+D2901</x:f>
        <x:v>858052.6365171969</x:v>
      </x:c>
      <x:c r="F2901" s="78" t="n">
        <x:f>'Inputs'!$B$13*E2901+(1-'Inputs'!$B$13)/'Inputs'!$B$14*SUM(E2846:E2901)</x:f>
        <x:v>868270.3133796263</x:v>
      </x:c>
      <x:c r="G2901" s="78" t="n">
        <x:f>F2901*'Inputs'!$F$51</x:f>
        <x:v>217067.57834490656</x:v>
      </x:c>
      <x:c r="H2901" s="78" t="n">
        <x:f>U2900</x:f>
        <x:v>425659.56193954067</x:v>
      </x:c>
      <x:c r="I2901" s="78" t="n">
        <x:f>V2900</x:f>
        <x:v>911829.1780860559</x:v>
      </x:c>
      <x:c r="J2901" s="79" t="n">
        <x:f>IF(H2901&gt;0,I2901/H2901,0)</x:f>
        <x:v>2.142155984776325</x:v>
      </x:c>
      <x:c r="K2901" s="80" t="n">
        <x:f>(H2901*J2901+I2901)*'Inputs'!$D$51*(1+'Inputs'!$G$51)^(B2901/30)</x:f>
        <x:v>9557164.363649871</x:v>
      </x:c>
      <x:c r="L2901" s="80" t="n">
        <x:f>MAX(0,K2901*'Inputs'!$E$51)</x:f>
        <x:v>955716.4363649872</x:v>
      </x:c>
      <x:c r="M2901" s="80" t="n">
        <x:f>MAX(0,-K2901*'Inputs'!$E$51)</x:f>
        <x:v>0</x:v>
      </x:c>
      <x:c r="N2901" s="78" t="n">
        <x:f>H2901*(L2901*(1-'Inputs'!$B$15))/(I2901+L2901*(1-'Inputs'!$B$15))</x:f>
        <x:v>216762.24156623814</x:v>
      </x:c>
      <x:c r="O2901" s="78" t="n">
        <x:f>H2901-N2901</x:f>
        <x:v>208897.32037330253</x:v>
      </x:c>
      <x:c r="P2901" s="78" t="n">
        <x:f>I2901+L2901*(1-'Inputs'!$B$17)</x:f>
        <x:v>1863699.6730572202</x:v>
      </x:c>
      <x:c r="Q2901" s="78" t="n">
        <x:f>IF(J2901&gt;0,M2901/J2901,0)</x:f>
        <x:v>0</x:v>
      </x:c>
      <x:c r="R2901" s="78" t="n">
        <x:f>IF(B2901='Inputs'!$H$51,'Inputs'!$B$27*'Inputs'!$I$51,0)</x:f>
        <x:v>0</x:v>
      </x:c>
      <x:c r="S2901" s="78" t="n">
        <x:f>Q2901+G2901+R2901</x:f>
        <x:v>217067.57834490656</x:v>
      </x:c>
      <x:c r="T2901" s="78" t="n">
        <x:f>P2901*(S2901*(1-'Inputs'!$B$15))/(O2901+S2901*(1-'Inputs'!$B$15))</x:f>
        <x:v>945041.8749725433</x:v>
      </x:c>
      <x:c r="U2901" s="78" t="n">
        <x:f>O2901+S2901*(1-'Inputs'!$B$17)</x:f>
        <x:v>425091.38733653945</x:v>
      </x:c>
      <x:c r="V2901" s="78" t="n">
        <x:f>P2901-T2901</x:f>
        <x:v>918657.7980846768</x:v>
      </x:c>
      <x:c r="W2901" s="79" t="n">
        <x:f>IF(U2901&gt;0,V2901/U2901,0)</x:f>
        <x:v>2.1610830646102626</x:v>
      </x:c>
      <x:c r="X2901" s="80" t="n">
        <x:f>W2901*('Inputs'!$B$6-AC2901)</x:f>
        <x:v>2154541983.571123</x:v>
      </x:c>
      <x:c r="Y2901" s="80" t="n">
        <x:f>2*V2901</x:f>
        <x:v>1837315.5961693537</x:v>
      </x:c>
      <x:c r="Z2901" s="80" t="n">
        <x:f>K2901*'Inputs'!$B$16+(G2901+R2901)*J2901*'Inputs'!$B$16</x:f>
        <x:v>60132.9418542139</x:v>
      </x:c>
      <x:c r="AA2901" s="80" t="n">
        <x:f>K2901*(1+'Inputs'!$E$51)/2*'Inputs'!$B$17</x:f>
        <x:v>21152.677666025877</x:v>
      </x:c>
      <x:c r="AB2901" s="78" t="n">
        <x:f>(IF(J2901&gt;0,K2901*(1-'Inputs'!$E$51)/2/J2901,0)+G2901+R2901)*'Inputs'!$B$17</x:f>
        <x:v>8952.63185431351</x:v>
      </x:c>
      <x:c r="AC2901" s="78" t="n">
        <x:f>AC2900+AB2901</x:f>
        <x:v>3026760.5841977573</x:v>
      </x:c>
      <x:c r="AD2901" s="80" t="n">
        <x:f>Z2901/(1+'Inputs'!$C$51)</x:f>
        <x:v>20044.313951404634</x:v>
      </x:c>
      <x:c r="AE2901" s="80" t="n">
        <x:f>Z2901-AD2901</x:f>
        <x:v>40088.62790280927</x:v>
      </x:c>
      <x:c r="AF2901" s="80" t="n">
        <x:f>D2901*W2901</x:f>
        <x:v>556296.9063964434</x:v>
      </x:c>
      <x:c r="AG2901" s="80" t="n">
        <x:f>C2901*W2901</x:f>
        <x:v>1298026.1149250562</x:v>
      </x:c>
      <x:c r="AH2901" s="80" t="n">
        <x:f>2*'Inputs'!$B$8*'Inputs'!$C$51</x:f>
        <x:v>10000</x:v>
      </x:c>
      <x:c r="AI2901" s="81" t="n">
        <x:f>IF(AH2901&gt;0,(AE2901+AF2901)/AH2901*365,0)</x:f>
        <x:v>21768.072001922723</x:v>
      </x:c>
      <x:c r="AJ2901" s="81" t="n">
        <x:f>IF('Inputs'!$B$51&gt;0,AG2901/('Inputs'!$B$19*'Inputs'!$B$51)*365,0)</x:f>
        <x:v>47377.95319476456</x:v>
      </x:c>
      <x:c r="AK2901" s="81" t="n">
        <x:f>W2901/MAX($W$2559:W2901)-1</x:f>
        <x:v>0</x:v>
      </x:c>
      <x:c r="AL2901" s="83" t="n">
        <x:f>'Inputs'!$B$51</x:f>
        <x:v>1</x:v>
      </x:c>
      <x:c r="AM2901" s="83" t="n">
        <x:f>'Inputs'!$C$51</x:f>
        <x:v>2</x:v>
      </x:c>
      <x:c r="AN2901" s="83" t="n">
        <x:f>'Inputs'!$D$51</x:f>
        <x:v>3</x:v>
      </x:c>
      <x:c r="AO2901" s="81" t="n">
        <x:f>'Inputs'!$E$51</x:f>
        <x:v>0.1</x:v>
      </x:c>
    </x:row>
    <x:row r="2902">
      <x:c r="A2902" s="59" t="str">
        <x:v>High demand</x:v>
      </x:c>
      <x:c r="B2902" s="59" t="n">
        <x:v>344</x:v>
      </x:c>
      <x:c r="C2902" s="78" t="n">
        <x:f>(('Inputs'!$B$29*(3*344*'Inputs'!$B$12-344^2)/(2*'Inputs'!$B$12^2))-('Inputs'!$B$29*(3*343*'Inputs'!$B$12-343^2)/(2*'Inputs'!$B$12^2)))*'Inputs'!$B$51</x:f>
        <x:v>600311.7376618385</x:v>
      </x:c>
      <x:c r="D2902" s="78" t="n">
        <x:f>IF('Inputs'!$C$51&gt;0,('Inputs'!$B$30*(3*344*'Inputs'!$B$12-344^2)/(2*'Inputs'!$B$12^2))-('Inputs'!$B$30*(3*343*'Inputs'!$B$12-343^2)/(2*'Inputs'!$B$12^2)),0)</x:f>
        <x:v>257276.45899793506</x:v>
      </x:c>
      <x:c r="E2902" s="78" t="n">
        <x:f>C2902+D2902</x:f>
        <x:v>857588.1966597736</x:v>
      </x:c>
      <x:c r="F2902" s="78" t="n">
        <x:f>'Inputs'!$B$13*E2902+(1-'Inputs'!$B$13)/'Inputs'!$B$14*SUM(E2847:E2902)</x:f>
        <x:v>867805.8735222345</x:v>
      </x:c>
      <x:c r="G2902" s="78" t="n">
        <x:f>F2902*'Inputs'!$F$51</x:f>
        <x:v>216951.46838055862</x:v>
      </x:c>
      <x:c r="H2902" s="78" t="n">
        <x:f>U2901</x:f>
        <x:v>425091.38733653945</x:v>
      </x:c>
      <x:c r="I2902" s="78" t="n">
        <x:f>V2901</x:f>
        <x:v>918657.7980846768</x:v>
      </x:c>
      <x:c r="J2902" s="79" t="n">
        <x:f>IF(H2902&gt;0,I2902/H2902,0)</x:f>
        <x:v>2.1610830646102626</x:v>
      </x:c>
      <x:c r="K2902" s="80" t="n">
        <x:f>(H2902*J2902+I2902)*'Inputs'!$D$51*(1+'Inputs'!$G$51)^(B2902/30)</x:f>
        <x:v>9644409.577174263</x:v>
      </x:c>
      <x:c r="L2902" s="80" t="n">
        <x:f>MAX(0,K2902*'Inputs'!$E$51)</x:f>
        <x:v>964440.9577174264</x:v>
      </x:c>
      <x:c r="M2902" s="80" t="n">
        <x:f>MAX(0,-K2902*'Inputs'!$E$51)</x:f>
        <x:v>0</x:v>
      </x:c>
      <x:c r="N2902" s="78" t="n">
        <x:f>H2902*(L2902*(1-'Inputs'!$B$15))/(I2902+L2902*(1-'Inputs'!$B$15))</x:f>
        <x:v>216645.67919198648</x:v>
      </x:c>
      <x:c r="O2902" s="78" t="n">
        <x:f>H2902-N2902</x:f>
        <x:v>208445.70814455298</x:v>
      </x:c>
      <x:c r="P2902" s="78" t="n">
        <x:f>I2902+L2902*(1-'Inputs'!$B$17)</x:f>
        <x:v>1879217.7056704434</x:v>
      </x:c>
      <x:c r="Q2902" s="78" t="n">
        <x:f>IF(J2902&gt;0,M2902/J2902,0)</x:f>
        <x:v>0</x:v>
      </x:c>
      <x:c r="R2902" s="78" t="n">
        <x:f>IF(B2902='Inputs'!$H$51,'Inputs'!$B$27*'Inputs'!$I$51,0)</x:f>
        <x:v>0</x:v>
      </x:c>
      <x:c r="S2902" s="78" t="n">
        <x:f>Q2902+G2902+R2902</x:f>
        <x:v>216951.46838055862</x:v>
      </x:c>
      <x:c r="T2902" s="78" t="n">
        <x:f>P2902*(S2902*(1-'Inputs'!$B$15))/(O2902+S2902*(1-'Inputs'!$B$15))</x:f>
        <x:v>953675.9683651545</x:v>
      </x:c>
      <x:c r="U2902" s="78" t="n">
        <x:f>O2902+S2902*(1-'Inputs'!$B$17)</x:f>
        <x:v>424524.1323867593</x:v>
      </x:c>
      <x:c r="V2902" s="78" t="n">
        <x:f>P2902-T2902</x:f>
        <x:v>925541.7373052889</x:v>
      </x:c>
      <x:c r="W2902" s="79" t="n">
        <x:f>IF(U2902&gt;0,V2902/U2902,0)</x:f>
        <x:v>2.1801863938846275</x:v>
      </x:c>
      <x:c r="X2902" s="80" t="n">
        <x:f>W2902*('Inputs'!$B$6-AC2902)</x:f>
        <x:v>2173567969.1339073</x:v>
      </x:c>
      <x:c r="Y2902" s="80" t="n">
        <x:f>2*V2902</x:f>
        <x:v>1851083.4746105778</x:v>
      </x:c>
      <x:c r="Z2902" s="80" t="n">
        <x:f>K2902*'Inputs'!$B$16+(G2902+R2902)*J2902*'Inputs'!$B$16</x:f>
        <x:v>60679.55832800291</x:v>
      </x:c>
      <x:c r="AA2902" s="80" t="n">
        <x:f>K2902*(1+'Inputs'!$E$51)/2*'Inputs'!$B$17</x:f>
        <x:v>21345.775724128154</x:v>
      </x:c>
      <x:c r="AB2902" s="78" t="n">
        <x:f>(IF(J2902&gt;0,K2902*(1-'Inputs'!$E$51)/2/J2902,0)+G2902+R2902)*'Inputs'!$B$17</x:f>
        <x:v>8954.51304552651</x:v>
      </x:c>
      <x:c r="AC2902" s="78" t="n">
        <x:f>AC2901+AB2902</x:f>
        <x:v>3035715.097243284</x:v>
      </x:c>
      <x:c r="AD2902" s="80" t="n">
        <x:f>Z2902/(1+'Inputs'!$C$51)</x:f>
        <x:v>20226.519442667635</x:v>
      </x:c>
      <x:c r="AE2902" s="80" t="n">
        <x:f>Z2902-AD2902</x:f>
        <x:v>40453.03888533528</x:v>
      </x:c>
      <x:c r="AF2902" s="80" t="n">
        <x:f>D2902*W2902</x:f>
        <x:v>560910.6353741143</x:v>
      </x:c>
      <x:c r="AG2902" s="80" t="n">
        <x:f>C2902*W2902</x:f>
        <x:v>1308791.4825395783</x:v>
      </x:c>
      <x:c r="AH2902" s="80" t="n">
        <x:f>2*'Inputs'!$B$8*'Inputs'!$C$51</x:f>
        <x:v>10000</x:v>
      </x:c>
      <x:c r="AI2902" s="81" t="n">
        <x:f>IF(AH2902&gt;0,(AE2902+AF2902)/AH2902*365,0)</x:f>
        <x:v>21949.774110469913</x:v>
      </x:c>
      <x:c r="AJ2902" s="81" t="n">
        <x:f>IF('Inputs'!$B$51&gt;0,AG2902/('Inputs'!$B$19*'Inputs'!$B$51)*365,0)</x:f>
        <x:v>47770.889112694604</x:v>
      </x:c>
      <x:c r="AK2902" s="81" t="n">
        <x:f>W2902/MAX($W$2559:W2902)-1</x:f>
        <x:v>0</x:v>
      </x:c>
      <x:c r="AL2902" s="83" t="n">
        <x:f>'Inputs'!$B$51</x:f>
        <x:v>1</x:v>
      </x:c>
      <x:c r="AM2902" s="83" t="n">
        <x:f>'Inputs'!$C$51</x:f>
        <x:v>2</x:v>
      </x:c>
      <x:c r="AN2902" s="83" t="n">
        <x:f>'Inputs'!$D$51</x:f>
        <x:v>3</x:v>
      </x:c>
      <x:c r="AO2902" s="81" t="n">
        <x:f>'Inputs'!$E$51</x:f>
        <x:v>0.1</x:v>
      </x:c>
    </x:row>
    <x:row r="2903">
      <x:c r="A2903" s="59" t="str">
        <x:v>High demand</x:v>
      </x:c>
      <x:c r="B2903" s="59" t="n">
        <x:v>345</x:v>
      </x:c>
      <x:c r="C2903" s="78" t="n">
        <x:f>(('Inputs'!$B$29*(3*345*'Inputs'!$B$12-345^2)/(2*'Inputs'!$B$12^2))-('Inputs'!$B$29*(3*344*'Inputs'!$B$12-344^2)/(2*'Inputs'!$B$12^2)))*'Inputs'!$B$51</x:f>
        <x:v>599986.6297616661</x:v>
      </x:c>
      <x:c r="D2903" s="78" t="n">
        <x:f>IF('Inputs'!$C$51&gt;0,('Inputs'!$B$30*(3*345*'Inputs'!$B$12-345^2)/(2*'Inputs'!$B$12^2))-('Inputs'!$B$30*(3*344*'Inputs'!$B$12-344^2)/(2*'Inputs'!$B$12^2)),0)</x:f>
        <x:v>257137.12704072893</x:v>
      </x:c>
      <x:c r="E2903" s="78" t="n">
        <x:f>C2903+D2903</x:f>
        <x:v>857123.756802395</x:v>
      </x:c>
      <x:c r="F2903" s="78" t="n">
        <x:f>'Inputs'!$B$13*E2903+(1-'Inputs'!$B$13)/'Inputs'!$B$14*SUM(E2848:E2903)</x:f>
        <x:v>867341.4336648512</x:v>
      </x:c>
      <x:c r="G2903" s="78" t="n">
        <x:f>F2903*'Inputs'!$F$51</x:f>
        <x:v>216835.3584162128</x:v>
      </x:c>
      <x:c r="H2903" s="78" t="n">
        <x:f>U2902</x:f>
        <x:v>424524.1323867593</x:v>
      </x:c>
      <x:c r="I2903" s="78" t="n">
        <x:f>V2902</x:f>
        <x:v>925541.7373052889</x:v>
      </x:c>
      <x:c r="J2903" s="79" t="n">
        <x:f>IF(H2903&gt;0,I2903/H2903,0)</x:f>
        <x:v>2.1801863938846275</x:v>
      </x:c>
      <x:c r="K2903" s="80" t="n">
        <x:f>(H2903*J2903+I2903)*'Inputs'!$D$51*(1+'Inputs'!$G$51)^(B2903/30)</x:f>
        <x:v>9732495.189450013</x:v>
      </x:c>
      <x:c r="L2903" s="80" t="n">
        <x:f>MAX(0,K2903*'Inputs'!$E$51)</x:f>
        <x:v>973249.5189450013</x:v>
      </x:c>
      <x:c r="M2903" s="80" t="n">
        <x:f>MAX(0,-K2903*'Inputs'!$E$51)</x:f>
        <x:v>0</x:v>
      </x:c>
      <x:c r="N2903" s="78" t="n">
        <x:f>H2903*(L2903*(1-'Inputs'!$B$15))/(I2903+L2903*(1-'Inputs'!$B$15))</x:f>
        <x:v>216529.11861777934</x:v>
      </x:c>
      <x:c r="O2903" s="78" t="n">
        <x:f>H2903-N2903</x:f>
        <x:v>207995.01376897993</x:v>
      </x:c>
      <x:c r="P2903" s="78" t="n">
        <x:f>I2903+L2903*(1-'Inputs'!$B$17)</x:f>
        <x:v>1894874.7591921613</x:v>
      </x:c>
      <x:c r="Q2903" s="78" t="n">
        <x:f>IF(J2903&gt;0,M2903/J2903,0)</x:f>
        <x:v>0</x:v>
      </x:c>
      <x:c r="R2903" s="78" t="n">
        <x:f>IF(B2903='Inputs'!$H$51,'Inputs'!$B$27*'Inputs'!$I$51,0)</x:f>
        <x:v>0</x:v>
      </x:c>
      <x:c r="S2903" s="78" t="n">
        <x:f>Q2903+G2903+R2903</x:f>
        <x:v>216835.3584162128</x:v>
      </x:c>
      <x:c r="T2903" s="78" t="n">
        <x:f>P2903*(S2903*(1-'Inputs'!$B$15))/(O2903+S2903*(1-'Inputs'!$B$15))</x:f>
        <x:v>962393.2863283843</x:v>
      </x:c>
      <x:c r="U2903" s="78" t="n">
        <x:f>O2903+S2903*(1-'Inputs'!$B$17)</x:f>
        <x:v>423957.79529015766</x:v>
      </x:c>
      <x:c r="V2903" s="78" t="n">
        <x:f>P2903-T2903</x:f>
        <x:v>932481.472863777</x:v>
      </x:c>
      <x:c r="W2903" s="79" t="n">
        <x:f>IF(U2903&gt;0,V2903/U2903,0)</x:f>
        <x:v>2.1994676904704265</x:v>
      </x:c>
      <x:c r="X2903" s="80" t="n">
        <x:f>W2903*('Inputs'!$B$6-AC2903)</x:f>
        <x:v>2192771033.8885646</x:v>
      </x:c>
      <x:c r="Y2903" s="80" t="n">
        <x:f>2*V2903</x:f>
        <x:v>1864962.945727554</x:v>
      </x:c>
      <x:c r="Z2903" s="80" t="n">
        <x:f>K2903*'Inputs'!$B$16+(G2903+R2903)*J2903*'Inputs'!$B$16</x:f>
        <x:v>61231.42012549282</x:v>
      </x:c>
      <x:c r="AA2903" s="80" t="n">
        <x:f>K2903*(1+'Inputs'!$E$51)/2*'Inputs'!$B$17</x:f>
        <x:v>21540.733819708283</x:v>
      </x:c>
      <x:c r="AB2903" s="78" t="n">
        <x:f>(IF(J2903&gt;0,K2903*(1-'Inputs'!$E$51)/2/J2903,0)+G2903+R2903)*'Inputs'!$B$17</x:f>
        <x:v>8956.397989880474</x:v>
      </x:c>
      <x:c r="AC2903" s="78" t="n">
        <x:f>AC2902+AB2903</x:f>
        <x:v>3044671.495233164</x:v>
      </x:c>
      <x:c r="AD2903" s="80" t="n">
        <x:f>Z2903/(1+'Inputs'!$C$51)</x:f>
        <x:v>20410.473375164274</x:v>
      </x:c>
      <x:c r="AE2903" s="80" t="n">
        <x:f>Z2903-AD2903</x:f>
        <x:v>40820.94675032854</x:v>
      </x:c>
      <x:c r="AF2903" s="80" t="n">
        <x:f>D2903*W2903</x:f>
        <x:v>565564.8029464727</x:v>
      </x:c>
      <x:c r="AG2903" s="80" t="n">
        <x:f>C2903*W2903</x:f>
        <x:v>1319651.2068750265</x:v>
      </x:c>
      <x:c r="AH2903" s="80" t="n">
        <x:f>2*'Inputs'!$B$8*'Inputs'!$C$51</x:f>
        <x:v>10000</x:v>
      </x:c>
      <x:c r="AI2903" s="81" t="n">
        <x:f>IF(AH2903&gt;0,(AE2903+AF2903)/AH2903*365,0)</x:f>
        <x:v>22133.079863933242</x:v>
      </x:c>
      <x:c r="AJ2903" s="81" t="n">
        <x:f>IF('Inputs'!$B$51&gt;0,AG2903/('Inputs'!$B$19*'Inputs'!$B$51)*365,0)</x:f>
        <x:v>48167.26905093846</x:v>
      </x:c>
      <x:c r="AK2903" s="81" t="n">
        <x:f>W2903/MAX($W$2559:W2903)-1</x:f>
        <x:v>0</x:v>
      </x:c>
      <x:c r="AL2903" s="83" t="n">
        <x:f>'Inputs'!$B$51</x:f>
        <x:v>1</x:v>
      </x:c>
      <x:c r="AM2903" s="83" t="n">
        <x:f>'Inputs'!$C$51</x:f>
        <x:v>2</x:v>
      </x:c>
      <x:c r="AN2903" s="83" t="n">
        <x:f>'Inputs'!$D$51</x:f>
        <x:v>3</x:v>
      </x:c>
      <x:c r="AO2903" s="81" t="n">
        <x:f>'Inputs'!$E$51</x:f>
        <x:v>0.1</x:v>
      </x:c>
    </x:row>
    <x:row r="2904">
      <x:c r="A2904" s="59" t="str">
        <x:v>High demand</x:v>
      </x:c>
      <x:c r="B2904" s="59" t="n">
        <x:v>346</x:v>
      </x:c>
      <x:c r="C2904" s="78" t="n">
        <x:f>(('Inputs'!$B$29*(3*346*'Inputs'!$B$12-346^2)/(2*'Inputs'!$B$12^2))-('Inputs'!$B$29*(3*345*'Inputs'!$B$12-345^2)/(2*'Inputs'!$B$12^2)))*'Inputs'!$B$51</x:f>
        <x:v>599661.5218615234</x:v>
      </x:c>
      <x:c r="D2904" s="78" t="n">
        <x:f>IF('Inputs'!$C$51&gt;0,('Inputs'!$B$30*(3*346*'Inputs'!$B$12-346^2)/(2*'Inputs'!$B$12^2))-('Inputs'!$B$30*(3*345*'Inputs'!$B$12-345^2)/(2*'Inputs'!$B$12^2)),0)</x:f>
        <x:v>256997.795083493</x:v>
      </x:c>
      <x:c r="E2904" s="78" t="n">
        <x:f>C2904+D2904</x:f>
        <x:v>856659.3169450164</x:v>
      </x:c>
      <x:c r="F2904" s="78" t="n">
        <x:f>'Inputs'!$B$13*E2904+(1-'Inputs'!$B$13)/'Inputs'!$B$14*SUM(E2849:E2904)</x:f>
        <x:v>866876.9938074681</x:v>
      </x:c>
      <x:c r="G2904" s="78" t="n">
        <x:f>F2904*'Inputs'!$F$51</x:f>
        <x:v>216719.24845186702</x:v>
      </x:c>
      <x:c r="H2904" s="78" t="n">
        <x:f>U2903</x:f>
        <x:v>423957.79529015766</x:v>
      </x:c>
      <x:c r="I2904" s="78" t="n">
        <x:f>V2903</x:f>
        <x:v>932481.472863777</x:v>
      </x:c>
      <x:c r="J2904" s="79" t="n">
        <x:f>IF(H2904&gt;0,I2904/H2904,0)</x:f>
        <x:v>2.1994676904704265</x:v>
      </x:c>
      <x:c r="K2904" s="80" t="n">
        <x:f>(H2904*J2904+I2904)*'Inputs'!$D$51*(1+'Inputs'!$G$51)^(B2904/30)</x:f>
        <x:v>9821429.677190501</x:v>
      </x:c>
      <x:c r="L2904" s="80" t="n">
        <x:f>MAX(0,K2904*'Inputs'!$E$51)</x:f>
        <x:v>982142.9677190501</x:v>
      </x:c>
      <x:c r="M2904" s="80" t="n">
        <x:f>MAX(0,-K2904*'Inputs'!$E$51)</x:f>
        <x:v>0</x:v>
      </x:c>
      <x:c r="N2904" s="78" t="n">
        <x:f>H2904*(L2904*(1-'Inputs'!$B$15))/(I2904+L2904*(1-'Inputs'!$B$15))</x:f>
        <x:v>216412.55984017524</x:v>
      </x:c>
      <x:c r="O2904" s="78" t="n">
        <x:f>H2904-N2904</x:f>
        <x:v>207545.23544998243</x:v>
      </x:c>
      <x:c r="P2904" s="78" t="n">
        <x:f>I2904+L2904*(1-'Inputs'!$B$17)</x:f>
        <x:v>1910672.1549984445</x:v>
      </x:c>
      <x:c r="Q2904" s="78" t="n">
        <x:f>IF(J2904&gt;0,M2904/J2904,0)</x:f>
        <x:v>0</x:v>
      </x:c>
      <x:c r="R2904" s="78" t="n">
        <x:f>IF(B2904='Inputs'!$H$51,'Inputs'!$B$27*'Inputs'!$I$51,0)</x:f>
        <x:v>0</x:v>
      </x:c>
      <x:c r="S2904" s="78" t="n">
        <x:f>Q2904+G2904+R2904</x:f>
        <x:v>216719.24845186702</x:v>
      </x:c>
      <x:c r="T2904" s="78" t="n">
        <x:f>P2904*(S2904*(1-'Inputs'!$B$15))/(O2904+S2904*(1-'Inputs'!$B$15))</x:f>
        <x:v>971194.6687882697</x:v>
      </x:c>
      <x:c r="U2904" s="78" t="n">
        <x:f>O2904+S2904*(1-'Inputs'!$B$17)</x:f>
        <x:v>423392.37425013166</x:v>
      </x:c>
      <x:c r="V2904" s="78" t="n">
        <x:f>P2904-T2904</x:f>
        <x:v>939477.4862101747</x:v>
      </x:c>
      <x:c r="W2904" s="79" t="n">
        <x:f>IF(U2904&gt;0,V2904/U2904,0)</x:f>
        <x:v>2.2189286896677793</x:v>
      </x:c>
      <x:c r="X2904" s="80" t="n">
        <x:f>W2904*('Inputs'!$B$6-AC2904)</x:f>
        <x:v>2212152902.937052</x:v>
      </x:c>
      <x:c r="Y2904" s="80" t="n">
        <x:f>2*V2904</x:f>
        <x:v>1878954.9724203495</x:v>
      </x:c>
      <x:c r="Z2904" s="80" t="n">
        <x:f>K2904*'Inputs'!$B$16+(G2904+R2904)*J2904*'Inputs'!$B$16</x:f>
        <x:v>61788.579972380496</x:v>
      </x:c>
      <x:c r="AA2904" s="80" t="n">
        <x:f>K2904*(1+'Inputs'!$E$51)/2*'Inputs'!$B$17</x:f>
        <x:v>21737.570714103727</x:v>
      </x:c>
      <x:c r="AB2904" s="78" t="n">
        <x:f>(IF(J2904&gt;0,K2904*(1-'Inputs'!$E$51)/2/J2904,0)+G2904+R2904)*'Inputs'!$B$17</x:f>
        <x:v>8958.286687542874</x:v>
      </x:c>
      <x:c r="AC2904" s="78" t="n">
        <x:f>AC2903+AB2904</x:f>
        <x:v>3053629.781920707</x:v>
      </x:c>
      <x:c r="AD2904" s="80" t="n">
        <x:f>Z2904/(1+'Inputs'!$C$51)</x:f>
        <x:v>20596.19332412683</x:v>
      </x:c>
      <x:c r="AE2904" s="80" t="n">
        <x:f>Z2904-AD2904</x:f>
        <x:v>41192.38664825367</x:v>
      </x:c>
      <x:c r="AF2904" s="80" t="n">
        <x:f>D2904*W2904</x:f>
        <x:v>570259.7806921236</x:v>
      </x:c>
      <x:c r="AG2904" s="80" t="n">
        <x:f>C2904*W2904</x:f>
        <x:v>1330606.1549483766</x:v>
      </x:c>
      <x:c r="AH2904" s="80" t="n">
        <x:f>2*'Inputs'!$B$8*'Inputs'!$C$51</x:f>
        <x:v>10000</x:v>
      </x:c>
      <x:c r="AI2904" s="81" t="n">
        <x:f>IF(AH2904&gt;0,(AE2904+AF2904)/AH2904*365,0)</x:f>
        <x:v>22318.00410792377</x:v>
      </x:c>
      <x:c r="AJ2904" s="81" t="n">
        <x:f>IF('Inputs'!$B$51&gt;0,AG2904/('Inputs'!$B$19*'Inputs'!$B$51)*365,0)</x:f>
        <x:v>48567.12465561575</x:v>
      </x:c>
      <x:c r="AK2904" s="81" t="n">
        <x:f>W2904/MAX($W$2559:W2904)-1</x:f>
        <x:v>0</x:v>
      </x:c>
      <x:c r="AL2904" s="83" t="n">
        <x:f>'Inputs'!$B$51</x:f>
        <x:v>1</x:v>
      </x:c>
      <x:c r="AM2904" s="83" t="n">
        <x:f>'Inputs'!$C$51</x:f>
        <x:v>2</x:v>
      </x:c>
      <x:c r="AN2904" s="83" t="n">
        <x:f>'Inputs'!$D$51</x:f>
        <x:v>3</x:v>
      </x:c>
      <x:c r="AO2904" s="81" t="n">
        <x:f>'Inputs'!$E$51</x:f>
        <x:v>0.1</x:v>
      </x:c>
    </x:row>
    <x:row r="2905">
      <x:c r="A2905" s="59" t="str">
        <x:v>High demand</x:v>
      </x:c>
      <x:c r="B2905" s="59" t="n">
        <x:v>347</x:v>
      </x:c>
      <x:c r="C2905" s="78" t="n">
        <x:f>(('Inputs'!$B$29*(3*347*'Inputs'!$B$12-347^2)/(2*'Inputs'!$B$12^2))-('Inputs'!$B$29*(3*346*'Inputs'!$B$12-346^2)/(2*'Inputs'!$B$12^2)))*'Inputs'!$B$51</x:f>
        <x:v>599336.4139613509</x:v>
      </x:c>
      <x:c r="D2905" s="78" t="n">
        <x:f>IF('Inputs'!$C$51&gt;0,('Inputs'!$B$30*(3*347*'Inputs'!$B$12-347^2)/(2*'Inputs'!$B$12^2))-('Inputs'!$B$30*(3*346*'Inputs'!$B$12-346^2)/(2*'Inputs'!$B$12^2)),0)</x:f>
        <x:v>256858.46312630177</x:v>
      </x:c>
      <x:c r="E2905" s="78" t="n">
        <x:f>C2905+D2905</x:f>
        <x:v>856194.8770876527</x:v>
      </x:c>
      <x:c r="F2905" s="78" t="n">
        <x:f>'Inputs'!$B$13*E2905+(1-'Inputs'!$B$13)/'Inputs'!$B$14*SUM(E2850:E2905)</x:f>
        <x:v>866412.5539500884</x:v>
      </x:c>
      <x:c r="G2905" s="78" t="n">
        <x:f>F2905*'Inputs'!$F$51</x:f>
        <x:v>216603.1384875221</x:v>
      </x:c>
      <x:c r="H2905" s="78" t="n">
        <x:f>U2904</x:f>
        <x:v>423392.37425013166</x:v>
      </x:c>
      <x:c r="I2905" s="78" t="n">
        <x:f>V2904</x:f>
        <x:v>939477.4862101747</x:v>
      </x:c>
      <x:c r="J2905" s="79" t="n">
        <x:f>IF(H2905&gt;0,I2905/H2905,0)</x:f>
        <x:v>2.2189286896677793</x:v>
      </x:c>
      <x:c r="K2905" s="80" t="n">
        <x:f>(H2905*J2905+I2905)*'Inputs'!$D$51*(1+'Inputs'!$G$51)^(B2905/30)</x:f>
        <x:v>9911221.606101083</x:v>
      </x:c>
      <x:c r="L2905" s="80" t="n">
        <x:f>MAX(0,K2905*'Inputs'!$E$51)</x:f>
        <x:v>991122.1606101083</x:v>
      </x:c>
      <x:c r="M2905" s="80" t="n">
        <x:f>MAX(0,-K2905*'Inputs'!$E$51)</x:f>
        <x:v>0</x:v>
      </x:c>
      <x:c r="N2905" s="78" t="n">
        <x:f>H2905*(L2905*(1-'Inputs'!$B$15))/(I2905+L2905*(1-'Inputs'!$B$15))</x:f>
        <x:v>216296.00285573702</x:v>
      </x:c>
      <x:c r="O2905" s="78" t="n">
        <x:f>H2905-N2905</x:f>
        <x:v>207096.37139439463</x:v>
      </x:c>
      <x:c r="P2905" s="78" t="n">
        <x:f>I2905+L2905*(1-'Inputs'!$B$17)</x:f>
        <x:v>1926611.2276628981</x:v>
      </x:c>
      <x:c r="Q2905" s="78" t="n">
        <x:f>IF(J2905&gt;0,M2905/J2905,0)</x:f>
        <x:v>0</x:v>
      </x:c>
      <x:c r="R2905" s="78" t="n">
        <x:f>IF(B2905='Inputs'!$H$51,'Inputs'!$B$27*'Inputs'!$I$51,0)</x:f>
        <x:v>0</x:v>
      </x:c>
      <x:c r="S2905" s="78" t="n">
        <x:f>Q2905+G2905+R2905</x:f>
        <x:v>216603.1384875221</x:v>
      </x:c>
      <x:c r="T2905" s="78" t="n">
        <x:f>P2905*(S2905*(1-'Inputs'!$B$15))/(O2905+S2905*(1-'Inputs'!$B$15))</x:f>
        <x:v>980080.9644930977</x:v>
      </x:c>
      <x:c r="U2905" s="78" t="n">
        <x:f>O2905+S2905*(1-'Inputs'!$B$17)</x:f>
        <x:v>422827.86747351626</x:v>
      </x:c>
      <x:c r="V2905" s="78" t="n">
        <x:f>P2905-T2905</x:f>
        <x:v>946530.2631698004</x:v>
      </x:c>
      <x:c r="W2905" s="79" t="n">
        <x:f>IF(U2905&gt;0,V2905/U2905,0)</x:f>
        <x:v>2.2385711443891196</x:v>
      </x:c>
      <x:c r="X2905" s="80" t="n">
        <x:f>W2905*('Inputs'!$B$6-AC2905)</x:f>
        <x:v>2231715318.8751965</x:v>
      </x:c>
      <x:c r="Y2905" s="80" t="n">
        <x:f>2*V2905</x:f>
        <x:v>1893060.5263396008</x:v>
      </x:c>
      <x:c r="Z2905" s="80" t="n">
        <x:f>K2905*'Inputs'!$B$16+(G2905+R2905)*J2905*'Inputs'!$B$16</x:f>
        <x:v>62351.09114617878</x:v>
      </x:c>
      <x:c r="AA2905" s="80" t="n">
        <x:f>K2905*(1+'Inputs'!$E$51)/2*'Inputs'!$B$17</x:f>
        <x:v>21936.30536561608</x:v>
      </x:c>
      <x:c r="AB2905" s="78" t="n">
        <x:f>(IF(J2905&gt;0,K2905*(1-'Inputs'!$E$51)/2/J2905,0)+G2905+R2905)*'Inputs'!$B$17</x:f>
        <x:v>8960.179138672125</x:v>
      </x:c>
      <x:c r="AC2905" s="78" t="n">
        <x:f>AC2904+AB2905</x:f>
        <x:v>3062589.961059379</x:v>
      </x:c>
      <x:c r="AD2905" s="80" t="n">
        <x:f>Z2905/(1+'Inputs'!$C$51)</x:f>
        <x:v>20783.69704872626</x:v>
      </x:c>
      <x:c r="AE2905" s="80" t="n">
        <x:f>Z2905-AD2905</x:f>
        <x:v>41567.39409745252</x:v>
      </x:c>
      <x:c r="AF2905" s="80" t="n">
        <x:f>D2905*W2905</x:f>
        <x:v>574995.9437466759</x:v>
      </x:c>
      <x:c r="AG2905" s="80" t="n">
        <x:f>C2905*W2905</x:f>
        <x:v>1341657.2020755324</x:v>
      </x:c>
      <x:c r="AH2905" s="80" t="n">
        <x:f>2*'Inputs'!$B$8*'Inputs'!$C$51</x:f>
        <x:v>10000</x:v>
      </x:c>
      <x:c r="AI2905" s="81" t="n">
        <x:f>IF(AH2905&gt;0,(AE2905+AF2905)/AH2905*365,0)</x:f>
        <x:v>22504.561831310686</x:v>
      </x:c>
      <x:c r="AJ2905" s="81" t="n">
        <x:f>IF('Inputs'!$B$51&gt;0,AG2905/('Inputs'!$B$19*'Inputs'!$B$51)*365,0)</x:f>
        <x:v>48970.48787575694</x:v>
      </x:c>
      <x:c r="AK2905" s="81" t="n">
        <x:f>W2905/MAX($W$2559:W2905)-1</x:f>
        <x:v>0</x:v>
      </x:c>
      <x:c r="AL2905" s="83" t="n">
        <x:f>'Inputs'!$B$51</x:f>
        <x:v>1</x:v>
      </x:c>
      <x:c r="AM2905" s="83" t="n">
        <x:f>'Inputs'!$C$51</x:f>
        <x:v>2</x:v>
      </x:c>
      <x:c r="AN2905" s="83" t="n">
        <x:f>'Inputs'!$D$51</x:f>
        <x:v>3</x:v>
      </x:c>
      <x:c r="AO2905" s="81" t="n">
        <x:f>'Inputs'!$E$51</x:f>
        <x:v>0.1</x:v>
      </x:c>
    </x:row>
    <x:row r="2906">
      <x:c r="A2906" s="59" t="str">
        <x:v>High demand</x:v>
      </x:c>
      <x:c r="B2906" s="59" t="n">
        <x:v>348</x:v>
      </x:c>
      <x:c r="C2906" s="78" t="n">
        <x:f>(('Inputs'!$B$29*(3*348*'Inputs'!$B$12-348^2)/(2*'Inputs'!$B$12^2))-('Inputs'!$B$29*(3*347*'Inputs'!$B$12-347^2)/(2*'Inputs'!$B$12^2)))*'Inputs'!$B$51</x:f>
        <x:v>599011.3060611784</x:v>
      </x:c>
      <x:c r="D2906" s="78" t="n">
        <x:f>IF('Inputs'!$C$51&gt;0,('Inputs'!$B$30*(3*348*'Inputs'!$B$12-348^2)/(2*'Inputs'!$B$12^2))-('Inputs'!$B$30*(3*347*'Inputs'!$B$12-347^2)/(2*'Inputs'!$B$12^2)),0)</x:f>
        <x:v>256719.13116906583</x:v>
      </x:c>
      <x:c r="E2906" s="78" t="n">
        <x:f>C2906+D2906</x:f>
        <x:v>855730.4372302443</x:v>
      </x:c>
      <x:c r="F2906" s="78" t="n">
        <x:f>'Inputs'!$B$13*E2906+(1-'Inputs'!$B$13)/'Inputs'!$B$14*SUM(E2851:E2906)</x:f>
        <x:v>865948.1140926994</x:v>
      </x:c>
      <x:c r="G2906" s="78" t="n">
        <x:f>F2906*'Inputs'!$F$51</x:f>
        <x:v>216487.02852317484</x:v>
      </x:c>
      <x:c r="H2906" s="78" t="n">
        <x:f>U2905</x:f>
        <x:v>422827.86747351626</x:v>
      </x:c>
      <x:c r="I2906" s="78" t="n">
        <x:f>V2905</x:f>
        <x:v>946530.2631698004</x:v>
      </x:c>
      <x:c r="J2906" s="79" t="n">
        <x:f>IF(H2906&gt;0,I2906/H2906,0)</x:f>
        <x:v>2.2385711443891196</x:v>
      </x:c>
      <x:c r="K2906" s="80" t="n">
        <x:f>(H2906*J2906+I2906)*'Inputs'!$D$51*(1+'Inputs'!$G$51)^(B2906/30)</x:f>
        <x:v>10001879.631846748</x:v>
      </x:c>
      <x:c r="L2906" s="80" t="n">
        <x:f>MAX(0,K2906*'Inputs'!$E$51)</x:f>
        <x:v>1000187.9631846749</x:v>
      </x:c>
      <x:c r="M2906" s="80" t="n">
        <x:f>MAX(0,-K2906*'Inputs'!$E$51)</x:f>
        <x:v>0</x:v>
      </x:c>
      <x:c r="N2906" s="78" t="n">
        <x:f>H2906*(L2906*(1-'Inputs'!$B$15))/(I2906+L2906*(1-'Inputs'!$B$15))</x:f>
        <x:v>216179.44766103494</x:v>
      </x:c>
      <x:c r="O2906" s="78" t="n">
        <x:f>H2906-N2906</x:f>
        <x:v>206648.41981248133</x:v>
      </x:c>
      <x:c r="P2906" s="78" t="n">
        <x:f>I2906+L2906*(1-'Inputs'!$B$17)</x:f>
        <x:v>1942693.3250941746</x:v>
      </x:c>
      <x:c r="Q2906" s="78" t="n">
        <x:f>IF(J2906&gt;0,M2906/J2906,0)</x:f>
        <x:v>0</x:v>
      </x:c>
      <x:c r="R2906" s="78" t="n">
        <x:f>IF(B2906='Inputs'!$H$51,'Inputs'!$B$27*'Inputs'!$I$51,0)</x:f>
        <x:v>0</x:v>
      </x:c>
      <x:c r="S2906" s="78" t="n">
        <x:f>Q2906+G2906+R2906</x:f>
        <x:v>216487.02852317484</x:v>
      </x:c>
      <x:c r="T2906" s="78" t="n">
        <x:f>P2906*(S2906*(1-'Inputs'!$B$15))/(O2906+S2906*(1-'Inputs'!$B$15))</x:f>
        <x:v>989053.0311093548</x:v>
      </x:c>
      <x:c r="U2906" s="78" t="n">
        <x:f>O2906+S2906*(1-'Inputs'!$B$17)</x:f>
        <x:v>422264.27317057294</x:v>
      </x:c>
      <x:c r="V2906" s="78" t="n">
        <x:f>P2906-T2906</x:f>
        <x:v>953640.2939848198</x:v>
      </x:c>
      <x:c r="W2906" s="79" t="n">
        <x:f>IF(U2906&gt;0,V2906/U2906,0)</x:f>
        <x:v>2.2583968253444886</x:v>
      </x:c>
      <x:c r="X2906" s="80" t="n">
        <x:f>W2906*('Inputs'!$B$6-AC2906)</x:f>
        <x:v>2251460041.976596</x:v>
      </x:c>
      <x:c r="Y2906" s="80" t="n">
        <x:f>2*V2906</x:f>
        <x:v>1907280.5879696396</x:v>
      </x:c>
      <x:c r="Z2906" s="80" t="n">
        <x:f>K2906*'Inputs'!$B$16+(G2906+R2906)*J2906*'Inputs'!$B$16</x:f>
        <x:v>62919.00748219964</x:v>
      </x:c>
      <x:c r="AA2906" s="80" t="n">
        <x:f>K2906*(1+'Inputs'!$E$51)/2*'Inputs'!$B$17</x:f>
        <x:v>22136.956931652767</x:v>
      </x:c>
      <x:c r="AB2906" s="78" t="n">
        <x:f>(IF(J2906&gt;0,K2906*(1-'Inputs'!$E$51)/2/J2906,0)+G2906+R2906)*'Inputs'!$B$17</x:f>
        <x:v>8962.07534341764</x:v>
      </x:c>
      <x:c r="AC2906" s="78" t="n">
        <x:f>AC2905+AB2906</x:f>
        <x:v>3071552.0364027964</x:v>
      </x:c>
      <x:c r="AD2906" s="80" t="n">
        <x:f>Z2906/(1+'Inputs'!$C$51)</x:f>
        <x:v>20973.002494066546</x:v>
      </x:c>
      <x:c r="AE2906" s="80" t="n">
        <x:f>Z2906-AD2906</x:f>
        <x:v>41946.00498813309</x:v>
      </x:c>
      <x:c r="AF2906" s="80" t="n">
        <x:f>D2906*W2906</x:f>
        <x:v>579773.6708374136</x:v>
      </x:c>
      <x:c r="AG2906" s="80" t="n">
        <x:f>C2906*W2906</x:f>
        <x:v>1352805.2319540211</x:v>
      </x:c>
      <x:c r="AH2906" s="80" t="n">
        <x:f>2*'Inputs'!$B$8*'Inputs'!$C$51</x:f>
        <x:v>10000</x:v>
      </x:c>
      <x:c r="AI2906" s="81" t="n">
        <x:f>IF(AH2906&gt;0,(AE2906+AF2906)/AH2906*365,0)</x:f>
        <x:v>22692.768167632454</x:v>
      </x:c>
      <x:c r="AJ2906" s="81" t="n">
        <x:f>IF('Inputs'!$B$51&gt;0,AG2906/('Inputs'!$B$19*'Inputs'!$B$51)*365,0)</x:f>
        <x:v>49377.39096632177</x:v>
      </x:c>
      <x:c r="AK2906" s="81" t="n">
        <x:f>W2906/MAX($W$2559:W2906)-1</x:f>
        <x:v>0</x:v>
      </x:c>
      <x:c r="AL2906" s="83" t="n">
        <x:f>'Inputs'!$B$51</x:f>
        <x:v>1</x:v>
      </x:c>
      <x:c r="AM2906" s="83" t="n">
        <x:f>'Inputs'!$C$51</x:f>
        <x:v>2</x:v>
      </x:c>
      <x:c r="AN2906" s="83" t="n">
        <x:f>'Inputs'!$D$51</x:f>
        <x:v>3</x:v>
      </x:c>
      <x:c r="AO2906" s="81" t="n">
        <x:f>'Inputs'!$E$51</x:f>
        <x:v>0.1</x:v>
      </x:c>
    </x:row>
    <x:row r="2907">
      <x:c r="A2907" s="59" t="str">
        <x:v>High demand</x:v>
      </x:c>
      <x:c r="B2907" s="59" t="n">
        <x:v>349</x:v>
      </x:c>
      <x:c r="C2907" s="78" t="n">
        <x:f>(('Inputs'!$B$29*(3*349*'Inputs'!$B$12-349^2)/(2*'Inputs'!$B$12^2))-('Inputs'!$B$29*(3*348*'Inputs'!$B$12-348^2)/(2*'Inputs'!$B$12^2)))*'Inputs'!$B$51</x:f>
        <x:v>598686.198161006</x:v>
      </x:c>
      <x:c r="D2907" s="78" t="n">
        <x:f>IF('Inputs'!$C$51&gt;0,('Inputs'!$B$30*(3*349*'Inputs'!$B$12-349^2)/(2*'Inputs'!$B$12^2))-('Inputs'!$B$30*(3*348*'Inputs'!$B$12-348^2)/(2*'Inputs'!$B$12^2)),0)</x:f>
        <x:v>256579.7992118597</x:v>
      </x:c>
      <x:c r="E2907" s="78" t="n">
        <x:f>C2907+D2907</x:f>
        <x:v>855265.9973728657</x:v>
      </x:c>
      <x:c r="F2907" s="78" t="n">
        <x:f>'Inputs'!$B$13*E2907+(1-'Inputs'!$B$13)/'Inputs'!$B$14*SUM(E2852:E2907)</x:f>
        <x:v>865483.6742353166</x:v>
      </x:c>
      <x:c r="G2907" s="78" t="n">
        <x:f>F2907*'Inputs'!$F$51</x:f>
        <x:v>216370.91855882914</x:v>
      </x:c>
      <x:c r="H2907" s="78" t="n">
        <x:f>U2906</x:f>
        <x:v>422264.27317057294</x:v>
      </x:c>
      <x:c r="I2907" s="78" t="n">
        <x:f>V2906</x:f>
        <x:v>953640.2939848198</x:v>
      </x:c>
      <x:c r="J2907" s="79" t="n">
        <x:f>IF(H2907&gt;0,I2907/H2907,0)</x:f>
        <x:v>2.2583968253444886</x:v>
      </x:c>
      <x:c r="K2907" s="80" t="n">
        <x:f>(H2907*J2907+I2907)*'Inputs'!$D$51*(1+'Inputs'!$G$51)^(B2907/30)</x:f>
        <x:v>10093412.501030825</x:v>
      </x:c>
      <x:c r="L2907" s="80" t="n">
        <x:f>MAX(0,K2907*'Inputs'!$E$51)</x:f>
        <x:v>1009341.2501030825</x:v>
      </x:c>
      <x:c r="M2907" s="80" t="n">
        <x:f>MAX(0,-K2907*'Inputs'!$E$51)</x:f>
        <x:v>0</x:v>
      </x:c>
      <x:c r="N2907" s="78" t="n">
        <x:f>H2907*(L2907*(1-'Inputs'!$B$15))/(I2907+L2907*(1-'Inputs'!$B$15))</x:f>
        <x:v>216062.89425264363</x:v>
      </x:c>
      <x:c r="O2907" s="78" t="n">
        <x:f>H2907-N2907</x:f>
        <x:v>206201.3789179293</x:v>
      </x:c>
      <x:c r="P2907" s="78" t="n">
        <x:f>I2907+L2907*(1-'Inputs'!$B$17)</x:f>
        <x:v>1958919.8086750126</x:v>
      </x:c>
      <x:c r="Q2907" s="78" t="n">
        <x:f>IF(J2907&gt;0,M2907/J2907,0)</x:f>
        <x:v>0</x:v>
      </x:c>
      <x:c r="R2907" s="78" t="n">
        <x:f>IF(B2907='Inputs'!$H$51,'Inputs'!$B$27*'Inputs'!$I$51,0)</x:f>
        <x:v>0</x:v>
      </x:c>
      <x:c r="S2907" s="78" t="n">
        <x:f>Q2907+G2907+R2907</x:f>
        <x:v>216370.91855882914</x:v>
      </x:c>
      <x:c r="T2907" s="78" t="n">
        <x:f>P2907*(S2907*(1-'Inputs'!$B$15))/(O2907+S2907*(1-'Inputs'!$B$15))</x:f>
        <x:v>998111.7353188249</x:v>
      </x:c>
      <x:c r="U2907" s="78" t="n">
        <x:f>O2907+S2907*(1-'Inputs'!$B$17)</x:f>
        <x:v>421701.5895549925</x:v>
      </x:c>
      <x:c r="V2907" s="78" t="n">
        <x:f>P2907-T2907</x:f>
        <x:v>960808.0733561877</x:v>
      </x:c>
      <x:c r="W2907" s="79" t="n">
        <x:f>IF(U2907&gt;0,V2907/U2907,0)</x:f>
        <x:v>2.278407521228687</x:v>
      </x:c>
      <x:c r="X2907" s="80" t="n">
        <x:f>W2907*('Inputs'!$B$6-AC2907)</x:f>
        <x:v>2271388850.3783536</x:v>
      </x:c>
      <x:c r="Y2907" s="80" t="n">
        <x:f>2*V2907</x:f>
        <x:v>1921616.1467123753</x:v>
      </x:c>
      <x:c r="Z2907" s="80" t="n">
        <x:f>K2907*'Inputs'!$B$16+(G2907+R2907)*J2907*'Inputs'!$B$16</x:f>
        <x:v>63492.38337960573</x:v>
      </x:c>
      <x:c r="AA2907" s="80" t="n">
        <x:f>K2907*(1+'Inputs'!$E$51)/2*'Inputs'!$B$17</x:f>
        <x:v>22339.544770893175</x:v>
      </x:c>
      <x:c r="AB2907" s="78" t="n">
        <x:f>(IF(J2907&gt;0,K2907*(1-'Inputs'!$E$51)/2/J2907,0)+G2907+R2907)*'Inputs'!$B$17</x:f>
        <x:v>8963.975301919738</x:v>
      </x:c>
      <x:c r="AC2907" s="78" t="n">
        <x:f>AC2906+AB2907</x:f>
        <x:v>3080516.011704716</x:v>
      </x:c>
      <x:c r="AD2907" s="80" t="n">
        <x:f>Z2907/(1+'Inputs'!$C$51)</x:f>
        <x:v>21164.12779320191</x:v>
      </x:c>
      <x:c r="AE2907" s="80" t="n">
        <x:f>Z2907-AD2907</x:f>
        <x:v>42328.255586403815</x:v>
      </x:c>
      <x:c r="AF2907" s="80" t="n">
        <x:f>D2907*W2907</x:f>
        <x:v>584593.3443196475</x:v>
      </x:c>
      <x:c r="AG2907" s="80" t="n">
        <x:f>C2907*W2907</x:f>
        <x:v>1364051.136745844</x:v>
      </x:c>
      <x:c r="AH2907" s="80" t="n">
        <x:f>2*'Inputs'!$B$8*'Inputs'!$C$51</x:f>
        <x:v>10000</x:v>
      </x:c>
      <x:c r="AI2907" s="81" t="n">
        <x:f>IF(AH2907&gt;0,(AE2907+AF2907)/AH2907*365,0)</x:f>
        <x:v>22882.63839657087</x:v>
      </x:c>
      <x:c r="AJ2907" s="81" t="n">
        <x:f>IF('Inputs'!$B$51&gt;0,AG2907/('Inputs'!$B$19*'Inputs'!$B$51)*365,0)</x:f>
        <x:v>49787.866491223314</x:v>
      </x:c>
      <x:c r="AK2907" s="81" t="n">
        <x:f>W2907/MAX($W$2559:W2907)-1</x:f>
        <x:v>0</x:v>
      </x:c>
      <x:c r="AL2907" s="83" t="n">
        <x:f>'Inputs'!$B$51</x:f>
        <x:v>1</x:v>
      </x:c>
      <x:c r="AM2907" s="83" t="n">
        <x:f>'Inputs'!$C$51</x:f>
        <x:v>2</x:v>
      </x:c>
      <x:c r="AN2907" s="83" t="n">
        <x:f>'Inputs'!$D$51</x:f>
        <x:v>3</x:v>
      </x:c>
      <x:c r="AO2907" s="81" t="n">
        <x:f>'Inputs'!$E$51</x:f>
        <x:v>0.1</x:v>
      </x:c>
    </x:row>
    <x:row r="2908">
      <x:c r="A2908" s="59" t="str">
        <x:v>High demand</x:v>
      </x:c>
      <x:c r="B2908" s="59" t="n">
        <x:v>350</x:v>
      </x:c>
      <x:c r="C2908" s="78" t="n">
        <x:f>(('Inputs'!$B$29*(3*350*'Inputs'!$B$12-350^2)/(2*'Inputs'!$B$12^2))-('Inputs'!$B$29*(3*349*'Inputs'!$B$12-349^2)/(2*'Inputs'!$B$12^2)))*'Inputs'!$B$51</x:f>
        <x:v>598361.0902608335</x:v>
      </x:c>
      <x:c r="D2908" s="78" t="n">
        <x:f>IF('Inputs'!$C$51&gt;0,('Inputs'!$B$30*(3*350*'Inputs'!$B$12-350^2)/(2*'Inputs'!$B$12^2))-('Inputs'!$B$30*(3*349*'Inputs'!$B$12-349^2)/(2*'Inputs'!$B$12^2)),0)</x:f>
        <x:v>256440.46725465357</x:v>
      </x:c>
      <x:c r="E2908" s="78" t="n">
        <x:f>C2908+D2908</x:f>
        <x:v>854801.5575154871</x:v>
      </x:c>
      <x:c r="F2908" s="78" t="n">
        <x:f>'Inputs'!$B$13*E2908+(1-'Inputs'!$B$13)/'Inputs'!$B$14*SUM(E2853:E2908)</x:f>
        <x:v>865019.2343779332</x:v>
      </x:c>
      <x:c r="G2908" s="78" t="n">
        <x:f>F2908*'Inputs'!$F$51</x:f>
        <x:v>216254.8085944833</x:v>
      </x:c>
      <x:c r="H2908" s="78" t="n">
        <x:f>U2907</x:f>
        <x:v>421701.5895549925</x:v>
      </x:c>
      <x:c r="I2908" s="78" t="n">
        <x:f>V2907</x:f>
        <x:v>960808.0733561877</x:v>
      </x:c>
      <x:c r="J2908" s="79" t="n">
        <x:f>IF(H2908&gt;0,I2908/H2908,0)</x:f>
        <x:v>2.278407521228687</x:v>
      </x:c>
      <x:c r="K2908" s="80" t="n">
        <x:f>(H2908*J2908+I2908)*'Inputs'!$D$51*(1+'Inputs'!$G$51)^(B2908/30)</x:f>
        <x:v>10185829.05218435</x:v>
      </x:c>
      <x:c r="L2908" s="80" t="n">
        <x:f>MAX(0,K2908*'Inputs'!$E$51)</x:f>
        <x:v>1018582.9052184351</x:v>
      </x:c>
      <x:c r="M2908" s="80" t="n">
        <x:f>MAX(0,-K2908*'Inputs'!$E$51)</x:f>
        <x:v>0</x:v>
      </x:c>
      <x:c r="N2908" s="78" t="n">
        <x:f>H2908*(L2908*(1-'Inputs'!$B$15))/(I2908+L2908*(1-'Inputs'!$B$15))</x:f>
        <x:v>215946.34262714704</x:v>
      </x:c>
      <x:c r="O2908" s="78" t="n">
        <x:f>H2908-N2908</x:f>
        <x:v>205755.24692784547</x:v>
      </x:c>
      <x:c r="P2908" s="78" t="n">
        <x:f>I2908+L2908*(1-'Inputs'!$B$17)</x:f>
        <x:v>1975292.0534027177</x:v>
      </x:c>
      <x:c r="Q2908" s="78" t="n">
        <x:f>IF(J2908&gt;0,M2908/J2908,0)</x:f>
        <x:v>0</x:v>
      </x:c>
      <x:c r="R2908" s="78" t="n">
        <x:f>IF(B2908='Inputs'!$H$51,'Inputs'!$B$27*'Inputs'!$I$51,0)</x:f>
        <x:v>0</x:v>
      </x:c>
      <x:c r="S2908" s="78" t="n">
        <x:f>Q2908+G2908+R2908</x:f>
        <x:v>216254.8085944833</x:v>
      </x:c>
      <x:c r="T2908" s="78" t="n">
        <x:f>P2908*(S2908*(1-'Inputs'!$B$15))/(O2908+S2908*(1-'Inputs'!$B$15))</x:f>
        <x:v>1007257.9529166748</x:v>
      </x:c>
      <x:c r="U2908" s="78" t="n">
        <x:f>O2908+S2908*(1-'Inputs'!$B$17)</x:f>
        <x:v>421139.8148438801</x:v>
      </x:c>
      <x:c r="V2908" s="78" t="n">
        <x:f>P2908-T2908</x:f>
        <x:v>968034.1004860429</x:v>
      </x:c>
      <x:c r="W2908" s="79" t="n">
        <x:f>IF(U2908&gt;0,V2908/U2908,0)</x:f>
        <x:v>2.2986050389106545</x:v>
      </x:c>
      <x:c r="X2908" s="80" t="n">
        <x:f>W2908*('Inputs'!$B$6-AC2908)</x:f>
        <x:v>2291503540.2690244</x:v>
      </x:c>
      <x:c r="Y2908" s="80" t="n">
        <x:f>2*V2908</x:f>
        <x:v>1936068.2009720858</x:v>
      </x:c>
      <x:c r="Z2908" s="80" t="n">
        <x:f>K2908*'Inputs'!$B$16+(G2908+R2908)*J2908*'Inputs'!$B$16</x:f>
        <x:v>64071.27380752735</x:v>
      </x:c>
      <x:c r="AA2908" s="80" t="n">
        <x:f>K2908*(1+'Inputs'!$E$51)/2*'Inputs'!$B$17</x:f>
        <x:v>22544.088445478446</x:v>
      </x:c>
      <x:c r="AB2908" s="78" t="n">
        <x:f>(IF(J2908&gt;0,K2908*(1-'Inputs'!$E$51)/2/J2908,0)+G2908+R2908)*'Inputs'!$B$17</x:f>
        <x:v>8965.879014309747</x:v>
      </x:c>
      <x:c r="AC2908" s="78" t="n">
        <x:f>AC2907+AB2908</x:f>
        <x:v>3089481.890719026</x:v>
      </x:c>
      <x:c r="AD2908" s="80" t="n">
        <x:f>Z2908/(1+'Inputs'!$C$51)</x:f>
        <x:v>21357.091269175784</x:v>
      </x:c>
      <x:c r="AE2908" s="80" t="n">
        <x:f>Z2908-AD2908</x:f>
        <x:v>42714.18253835157</x:v>
      </x:c>
      <x:c r="AF2908" s="80" t="n">
        <x:f>D2908*W2908</x:f>
        <x:v>589455.3502121494</x:v>
      </x:c>
      <x:c r="AG2908" s="80" t="n">
        <x:f>C2908*W2908</x:f>
        <x:v>1375395.8171616248</x:v>
      </x:c>
      <x:c r="AH2908" s="80" t="n">
        <x:f>2*'Inputs'!$B$8*'Inputs'!$C$51</x:f>
        <x:v>10000</x:v>
      </x:c>
      <x:c r="AI2908" s="81" t="n">
        <x:f>IF(AH2908&gt;0,(AE2908+AF2908)/AH2908*365,0)</x:f>
        <x:v>23074.18794539329</x:v>
      </x:c>
      <x:c r="AJ2908" s="81" t="n">
        <x:f>IF('Inputs'!$B$51&gt;0,AG2908/('Inputs'!$B$19*'Inputs'!$B$51)*365,0)</x:f>
        <x:v>50201.947326399306</x:v>
      </x:c>
      <x:c r="AK2908" s="81" t="n">
        <x:f>W2908/MAX($W$2559:W2908)-1</x:f>
        <x:v>0</x:v>
      </x:c>
      <x:c r="AL2908" s="83" t="n">
        <x:f>'Inputs'!$B$51</x:f>
        <x:v>1</x:v>
      </x:c>
      <x:c r="AM2908" s="83" t="n">
        <x:f>'Inputs'!$C$51</x:f>
        <x:v>2</x:v>
      </x:c>
      <x:c r="AN2908" s="83" t="n">
        <x:f>'Inputs'!$D$51</x:f>
        <x:v>3</x:v>
      </x:c>
      <x:c r="AO2908" s="81" t="n">
        <x:f>'Inputs'!$E$51</x:f>
        <x:v>0.1</x:v>
      </x:c>
    </x:row>
    <x:row r="2909">
      <x:c r="A2909" s="59" t="str">
        <x:v>High demand</x:v>
      </x:c>
      <x:c r="B2909" s="59" t="n">
        <x:v>351</x:v>
      </x:c>
      <x:c r="C2909" s="78" t="n">
        <x:f>(('Inputs'!$B$29*(3*351*'Inputs'!$B$12-351^2)/(2*'Inputs'!$B$12^2))-('Inputs'!$B$29*(3*350*'Inputs'!$B$12-350^2)/(2*'Inputs'!$B$12^2)))*'Inputs'!$B$51</x:f>
        <x:v>598035.982360661</x:v>
      </x:c>
      <x:c r="D2909" s="78" t="n">
        <x:f>IF('Inputs'!$C$51&gt;0,('Inputs'!$B$30*(3*351*'Inputs'!$B$12-351^2)/(2*'Inputs'!$B$12^2))-('Inputs'!$B$30*(3*350*'Inputs'!$B$12-350^2)/(2*'Inputs'!$B$12^2)),0)</x:f>
        <x:v>256301.13529741764</x:v>
      </x:c>
      <x:c r="E2909" s="78" t="n">
        <x:f>C2909+D2909</x:f>
        <x:v>854337.1176580787</x:v>
      </x:c>
      <x:c r="F2909" s="78" t="n">
        <x:f>'Inputs'!$B$13*E2909+(1-'Inputs'!$B$13)/'Inputs'!$B$14*SUM(E2854:E2909)</x:f>
        <x:v>864554.7945205442</x:v>
      </x:c>
      <x:c r="G2909" s="78" t="n">
        <x:f>F2909*'Inputs'!$F$51</x:f>
        <x:v>216138.69863013606</x:v>
      </x:c>
      <x:c r="H2909" s="78" t="n">
        <x:f>U2908</x:f>
        <x:v>421139.8148438801</x:v>
      </x:c>
      <x:c r="I2909" s="78" t="n">
        <x:f>V2908</x:f>
        <x:v>968034.1004860429</x:v>
      </x:c>
      <x:c r="J2909" s="79" t="n">
        <x:f>IF(H2909&gt;0,I2909/H2909,0)</x:f>
        <x:v>2.2986050389106545</x:v>
      </x:c>
      <x:c r="K2909" s="80" t="n">
        <x:f>(H2909*J2909+I2909)*'Inputs'!$D$51*(1+'Inputs'!$G$51)^(B2909/30)</x:f>
        <x:v>10279138.21676698</x:v>
      </x:c>
      <x:c r="L2909" s="80" t="n">
        <x:f>MAX(0,K2909*'Inputs'!$E$51)</x:f>
        <x:v>1027913.821676698</x:v>
      </x:c>
      <x:c r="M2909" s="80" t="n">
        <x:f>MAX(0,-K2909*'Inputs'!$E$51)</x:f>
        <x:v>0</x:v>
      </x:c>
      <x:c r="N2909" s="78" t="n">
        <x:f>H2909*(L2909*(1-'Inputs'!$B$15))/(I2909+L2909*(1-'Inputs'!$B$15))</x:f>
        <x:v>215829.79278113402</x:v>
      </x:c>
      <x:c r="O2909" s="78" t="n">
        <x:f>H2909-N2909</x:f>
        <x:v>205310.0220627461</x:v>
      </x:c>
      <x:c r="P2909" s="78" t="n">
        <x:f>I2909+L2909*(1-'Inputs'!$B$17)</x:f>
        <x:v>1991811.4480312453</x:v>
      </x:c>
      <x:c r="Q2909" s="78" t="n">
        <x:f>IF(J2909&gt;0,M2909/J2909,0)</x:f>
        <x:v>0</x:v>
      </x:c>
      <x:c r="R2909" s="78" t="n">
        <x:f>IF(B2909='Inputs'!$H$51,'Inputs'!$B$27*'Inputs'!$I$51,0)</x:f>
        <x:v>0</x:v>
      </x:c>
      <x:c r="S2909" s="78" t="n">
        <x:f>Q2909+G2909+R2909</x:f>
        <x:v>216138.69863013606</x:v>
      </x:c>
      <x:c r="T2909" s="78" t="n">
        <x:f>P2909*(S2909*(1-'Inputs'!$B$15))/(O2909+S2909*(1-'Inputs'!$B$15))</x:f>
        <x:v>1016492.5689107457</x:v>
      </x:c>
      <x:c r="U2909" s="78" t="n">
        <x:f>O2909+S2909*(1-'Inputs'!$B$17)</x:f>
        <x:v>420578.94725775084</x:v>
      </x:c>
      <x:c r="V2909" s="78" t="n">
        <x:f>P2909-T2909</x:f>
        <x:v>975318.8791204996</x:v>
      </x:c>
      <x:c r="W2909" s="79" t="n">
        <x:f>IF(U2909&gt;0,V2909/U2909,0)</x:f>
        <x:v>2.318991203624792</x:v>
      </x:c>
      <x:c r="X2909" s="80" t="n">
        <x:f>W2909*('Inputs'!$B$6-AC2909)</x:f>
        <x:v>2311805926.078492</x:v>
      </x:c>
      <x:c r="Y2909" s="80" t="n">
        <x:f>2*V2909</x:f>
        <x:v>1950637.7582409992</x:v>
      </x:c>
      <x:c r="Z2909" s="80" t="n">
        <x:f>K2909*'Inputs'!$B$16+(G2909+R2909)*J2909*'Inputs'!$B$16</x:f>
        <x:v>64655.73431125081</x:v>
      </x:c>
      <x:c r="AA2909" s="80" t="n">
        <x:f>K2909*(1+'Inputs'!$E$51)/2*'Inputs'!$B$17</x:f>
        <x:v>22750.60772322672</x:v>
      </x:c>
      <x:c r="AB2909" s="78" t="n">
        <x:f>(IF(J2909&gt;0,K2909*(1-'Inputs'!$E$51)/2/J2909,0)+G2909+R2909)*'Inputs'!$B$17</x:f>
        <x:v>8967.78648070983</x:v>
      </x:c>
      <x:c r="AC2909" s="78" t="n">
        <x:f>AC2908+AB2909</x:f>
        <x:v>3098449.677199736</x:v>
      </x:c>
      <x:c r="AD2909" s="80" t="n">
        <x:f>Z2909/(1+'Inputs'!$C$51)</x:f>
        <x:v>21551.911437083603</x:v>
      </x:c>
      <x:c r="AE2909" s="80" t="n">
        <x:f>Z2909-AD2909</x:f>
        <x:v>43103.82287416721</x:v>
      </x:c>
      <x:c r="AF2909" s="80" t="n">
        <x:f>D2909*W2909</x:f>
        <x:v>594360.0782337593</x:v>
      </x:c>
      <x:c r="AG2909" s="80" t="n">
        <x:f>C2909*W2909</x:f>
        <x:v>1386840.1825454843</x:v>
      </x:c>
      <x:c r="AH2909" s="80" t="n">
        <x:f>2*'Inputs'!$B$8*'Inputs'!$C$51</x:f>
        <x:v>10000</x:v>
      </x:c>
      <x:c r="AI2909" s="81" t="n">
        <x:f>IF(AH2909&gt;0,(AE2909+AF2909)/AH2909*365,0)</x:f>
        <x:v>23267.432390439317</x:v>
      </x:c>
      <x:c r="AJ2909" s="81" t="n">
        <x:f>IF('Inputs'!$B$51&gt;0,AG2909/('Inputs'!$B$19*'Inputs'!$B$51)*365,0)</x:f>
        <x:v>50619.666662910175</x:v>
      </x:c>
      <x:c r="AK2909" s="81" t="n">
        <x:f>W2909/MAX($W$2559:W2909)-1</x:f>
        <x:v>0</x:v>
      </x:c>
      <x:c r="AL2909" s="83" t="n">
        <x:f>'Inputs'!$B$51</x:f>
        <x:v>1</x:v>
      </x:c>
      <x:c r="AM2909" s="83" t="n">
        <x:f>'Inputs'!$C$51</x:f>
        <x:v>2</x:v>
      </x:c>
      <x:c r="AN2909" s="83" t="n">
        <x:f>'Inputs'!$D$51</x:f>
        <x:v>3</x:v>
      </x:c>
      <x:c r="AO2909" s="81" t="n">
        <x:f>'Inputs'!$E$51</x:f>
        <x:v>0.1</x:v>
      </x:c>
    </x:row>
    <x:row r="2910">
      <x:c r="A2910" s="59" t="str">
        <x:v>High demand</x:v>
      </x:c>
      <x:c r="B2910" s="59" t="n">
        <x:v>352</x:v>
      </x:c>
      <x:c r="C2910" s="78" t="n">
        <x:f>(('Inputs'!$B$29*(3*352*'Inputs'!$B$12-352^2)/(2*'Inputs'!$B$12^2))-('Inputs'!$B$29*(3*351*'Inputs'!$B$12-351^2)/(2*'Inputs'!$B$12^2)))*'Inputs'!$B$51</x:f>
        <x:v>597710.8744604886</x:v>
      </x:c>
      <x:c r="D2910" s="78" t="n">
        <x:f>IF('Inputs'!$C$51&gt;0,('Inputs'!$B$30*(3*352*'Inputs'!$B$12-352^2)/(2*'Inputs'!$B$12^2))-('Inputs'!$B$30*(3*351*'Inputs'!$B$12-351^2)/(2*'Inputs'!$B$12^2)),0)</x:f>
        <x:v>256161.8033402264</x:v>
      </x:c>
      <x:c r="E2910" s="78" t="n">
        <x:f>C2910+D2910</x:f>
        <x:v>853872.677800715</x:v>
      </x:c>
      <x:c r="F2910" s="78" t="n">
        <x:f>'Inputs'!$B$13*E2910+(1-'Inputs'!$B$13)/'Inputs'!$B$14*SUM(E2855:E2910)</x:f>
        <x:v>864090.3546631641</x:v>
      </x:c>
      <x:c r="G2910" s="78" t="n">
        <x:f>F2910*'Inputs'!$F$51</x:f>
        <x:v>216022.58866579103</x:v>
      </x:c>
      <x:c r="H2910" s="78" t="n">
        <x:f>U2909</x:f>
        <x:v>420578.94725775084</x:v>
      </x:c>
      <x:c r="I2910" s="78" t="n">
        <x:f>V2909</x:f>
        <x:v>975318.8791204996</x:v>
      </x:c>
      <x:c r="J2910" s="79" t="n">
        <x:f>IF(H2910&gt;0,I2910/H2910,0)</x:f>
        <x:v>2.318991203624792</x:v>
      </x:c>
      <x:c r="K2910" s="80" t="n">
        <x:f>(H2910*J2910+I2910)*'Inputs'!$D$51*(1+'Inputs'!$G$51)^(B2910/30)</x:f>
        <x:v>10373349.020178871</x:v>
      </x:c>
      <x:c r="L2910" s="80" t="n">
        <x:f>MAX(0,K2910*'Inputs'!$E$51)</x:f>
        <x:v>1037334.9020178872</x:v>
      </x:c>
      <x:c r="M2910" s="80" t="n">
        <x:f>MAX(0,-K2910*'Inputs'!$E$51)</x:f>
        <x:v>0</x:v>
      </x:c>
      <x:c r="N2910" s="78" t="n">
        <x:f>H2910*(L2910*(1-'Inputs'!$B$15))/(I2910+L2910*(1-'Inputs'!$B$15))</x:f>
        <x:v>215713.2447111994</x:v>
      </x:c>
      <x:c r="O2910" s="78" t="n">
        <x:f>H2910-N2910</x:f>
        <x:v>204865.70254655145</x:v>
      </x:c>
      <x:c r="P2910" s="78" t="n">
        <x:f>I2910+L2910*(1-'Inputs'!$B$17)</x:f>
        <x:v>2008479.3952147737</x:v>
      </x:c>
      <x:c r="Q2910" s="78" t="n">
        <x:f>IF(J2910&gt;0,M2910/J2910,0)</x:f>
        <x:v>0</x:v>
      </x:c>
      <x:c r="R2910" s="78" t="n">
        <x:f>IF(B2910='Inputs'!$H$51,'Inputs'!$B$27*'Inputs'!$I$51,0)</x:f>
        <x:v>0</x:v>
      </x:c>
      <x:c r="S2910" s="78" t="n">
        <x:f>Q2910+G2910+R2910</x:f>
        <x:v>216022.58866579103</x:v>
      </x:c>
      <x:c r="T2910" s="78" t="n">
        <x:f>P2910*(S2910*(1-'Inputs'!$B$15))/(O2910+S2910*(1-'Inputs'!$B$15))</x:f>
        <x:v>1025816.477621922</x:v>
      </x:c>
      <x:c r="U2910" s="78" t="n">
        <x:f>O2910+S2910*(1-'Inputs'!$B$17)</x:f>
        <x:v>420018.98502052843</x:v>
      </x:c>
      <x:c r="V2910" s="78" t="n">
        <x:f>P2910-T2910</x:f>
        <x:v>982662.9175928517</x:v>
      </x:c>
      <x:c r="W2910" s="79" t="n">
        <x:f>IF(U2910&gt;0,V2910/U2910,0)</x:f>
        <x:v>2.339567859164328</x:v>
      </x:c>
      <x:c r="X2910" s="80" t="n">
        <x:f>W2910*('Inputs'!$B$6-AC2910)</x:f>
        <x:v>2332297840.669865</x:v>
      </x:c>
      <x:c r="Y2910" s="80" t="n">
        <x:f>2*V2910</x:f>
        <x:v>1965325.8351857034</x:v>
      </x:c>
      <x:c r="Z2910" s="80" t="n">
        <x:f>K2910*'Inputs'!$B$16+(G2910+R2910)*J2910*'Inputs'!$B$16</x:f>
        <x:v>65245.821018474584</x:v>
      </x:c>
      <x:c r="AA2910" s="80" t="n">
        <x:f>K2910*(1+'Inputs'!$E$51)/2*'Inputs'!$B$17</x:f>
        <x:v>22959.122579872757</x:v>
      </x:c>
      <x:c r="AB2910" s="78" t="n">
        <x:f>(IF(J2910&gt;0,K2910*(1-'Inputs'!$E$51)/2/J2910,0)+G2910+R2910)*'Inputs'!$B$17</x:f>
        <x:v>8969.697701233012</x:v>
      </x:c>
      <x:c r="AC2910" s="78" t="n">
        <x:f>AC2909+AB2910</x:f>
        <x:v>3107419.3749009687</x:v>
      </x:c>
      <x:c r="AD2910" s="80" t="n">
        <x:f>Z2910/(1+'Inputs'!$C$51)</x:f>
        <x:v>21748.607006158196</x:v>
      </x:c>
      <x:c r="AE2910" s="80" t="n">
        <x:f>Z2910-AD2910</x:f>
        <x:v>43497.214012316384</x:v>
      </x:c>
      <x:c r="AF2910" s="80" t="n">
        <x:f>D2910*W2910</x:f>
        <x:v>599307.921840367</x:v>
      </x:c>
      <x:c r="AG2910" s="80" t="n">
        <x:f>C2910*W2910</x:f>
        <x:v>1398385.1509607635</x:v>
      </x:c>
      <x:c r="AH2910" s="80" t="n">
        <x:f>2*'Inputs'!$B$8*'Inputs'!$C$51</x:f>
        <x:v>10000</x:v>
      </x:c>
      <x:c r="AI2910" s="81" t="n">
        <x:f>IF(AH2910&gt;0,(AE2910+AF2910)/AH2910*365,0)</x:f>
        <x:v>23462.387458622947</x:v>
      </x:c>
      <x:c r="AJ2910" s="81" t="n">
        <x:f>IF('Inputs'!$B$51&gt;0,AG2910/('Inputs'!$B$19*'Inputs'!$B$51)*365,0)</x:f>
        <x:v>51041.05801006787</x:v>
      </x:c>
      <x:c r="AK2910" s="81" t="n">
        <x:f>W2910/MAX($W$2559:W2910)-1</x:f>
        <x:v>0</x:v>
      </x:c>
      <x:c r="AL2910" s="83" t="n">
        <x:f>'Inputs'!$B$51</x:f>
        <x:v>1</x:v>
      </x:c>
      <x:c r="AM2910" s="83" t="n">
        <x:f>'Inputs'!$C$51</x:f>
        <x:v>2</x:v>
      </x:c>
      <x:c r="AN2910" s="83" t="n">
        <x:f>'Inputs'!$D$51</x:f>
        <x:v>3</x:v>
      </x:c>
      <x:c r="AO2910" s="81" t="n">
        <x:f>'Inputs'!$E$51</x:f>
        <x:v>0.1</x:v>
      </x:c>
    </x:row>
    <x:row r="2911">
      <x:c r="A2911" s="59" t="str">
        <x:v>High demand</x:v>
      </x:c>
      <x:c r="B2911" s="59" t="n">
        <x:v>353</x:v>
      </x:c>
      <x:c r="C2911" s="78" t="n">
        <x:f>(('Inputs'!$B$29*(3*353*'Inputs'!$B$12-353^2)/(2*'Inputs'!$B$12^2))-('Inputs'!$B$29*(3*352*'Inputs'!$B$12-352^2)/(2*'Inputs'!$B$12^2)))*'Inputs'!$B$51</x:f>
        <x:v>597385.7665603459</x:v>
      </x:c>
      <x:c r="D2911" s="78" t="n">
        <x:f>IF('Inputs'!$C$51&gt;0,('Inputs'!$B$30*(3*353*'Inputs'!$B$12-353^2)/(2*'Inputs'!$B$12^2))-('Inputs'!$B$30*(3*352*'Inputs'!$B$12-352^2)/(2*'Inputs'!$B$12^2)),0)</x:f>
        <x:v>256022.47138299048</x:v>
      </x:c>
      <x:c r="E2911" s="78" t="n">
        <x:f>C2911+D2911</x:f>
        <x:v>853408.2379433364</x:v>
      </x:c>
      <x:c r="F2911" s="78" t="n">
        <x:f>'Inputs'!$B$13*E2911+(1-'Inputs'!$B$13)/'Inputs'!$B$14*SUM(E2856:E2911)</x:f>
        <x:v>863625.9148057816</x:v>
      </x:c>
      <x:c r="G2911" s="78" t="n">
        <x:f>F2911*'Inputs'!$F$51</x:f>
        <x:v>215906.4787014454</x:v>
      </x:c>
      <x:c r="H2911" s="78" t="n">
        <x:f>U2910</x:f>
        <x:v>420018.98502052843</x:v>
      </x:c>
      <x:c r="I2911" s="78" t="n">
        <x:f>V2910</x:f>
        <x:v>982662.9175928517</x:v>
      </x:c>
      <x:c r="J2911" s="79" t="n">
        <x:f>IF(H2911&gt;0,I2911/H2911,0)</x:f>
        <x:v>2.339567859164328</x:v>
      </x:c>
      <x:c r="K2911" s="80" t="n">
        <x:f>(H2911*J2911+I2911)*'Inputs'!$D$51*(1+'Inputs'!$G$51)^(B2911/30)</x:f>
        <x:v>10468470.582783874</x:v>
      </x:c>
      <x:c r="L2911" s="80" t="n">
        <x:f>MAX(0,K2911*'Inputs'!$E$51)</x:f>
        <x:v>1046847.0582783874</x:v>
      </x:c>
      <x:c r="M2911" s="80" t="n">
        <x:f>MAX(0,-K2911*'Inputs'!$E$51)</x:f>
        <x:v>0</x:v>
      </x:c>
      <x:c r="N2911" s="78" t="n">
        <x:f>H2911*(L2911*(1-'Inputs'!$B$15))/(I2911+L2911*(1-'Inputs'!$B$15))</x:f>
        <x:v>215596.69841394672</x:v>
      </x:c>
      <x:c r="O2911" s="78" t="n">
        <x:f>H2911-N2911</x:f>
        <x:v>204422.2866065817</x:v>
      </x:c>
      <x:c r="P2911" s="78" t="n">
        <x:f>I2911+L2911*(1-'Inputs'!$B$17)</x:f>
        <x:v>2025297.311652815</x:v>
      </x:c>
      <x:c r="Q2911" s="78" t="n">
        <x:f>IF(J2911&gt;0,M2911/J2911,0)</x:f>
        <x:v>0</x:v>
      </x:c>
      <x:c r="R2911" s="78" t="n">
        <x:f>IF(B2911='Inputs'!$H$51,'Inputs'!$B$27*'Inputs'!$I$51,0)</x:f>
        <x:v>0</x:v>
      </x:c>
      <x:c r="S2911" s="78" t="n">
        <x:f>Q2911+G2911+R2911</x:f>
        <x:v>215906.4787014454</x:v>
      </x:c>
      <x:c r="T2911" s="78" t="n">
        <x:f>P2911*(S2911*(1-'Inputs'!$B$15))/(O2911+S2911*(1-'Inputs'!$B$15))</x:f>
        <x:v>1035230.5827855779</x:v>
      </x:c>
      <x:c r="U2911" s="78" t="n">
        <x:f>O2911+S2911*(1-'Inputs'!$B$17)</x:f>
        <x:v>419459.9263595303</x:v>
      </x:c>
      <x:c r="V2911" s="78" t="n">
        <x:f>P2911-T2911</x:f>
        <x:v>990066.7288672371</x:v>
      </x:c>
      <x:c r="W2911" s="79" t="n">
        <x:f>IF(U2911&gt;0,V2911/U2911,0)</x:f>
        <x:v>2.3603368680769385</x:v>
      </x:c>
      <x:c r="X2911" s="80" t="n">
        <x:f>W2911*('Inputs'!$B$6-AC2911)</x:f>
        <x:v>2352981135.533618</x:v>
      </x:c>
      <x:c r="Y2911" s="80" t="n">
        <x:f>2*V2911</x:f>
        <x:v>1980133.4577344742</x:v>
      </x:c>
      <x:c r="Z2911" s="80" t="n">
        <x:f>K2911*'Inputs'!$B$16+(G2911+R2911)*J2911*'Inputs'!$B$16</x:f>
        <x:v>65841.59064563474</x:v>
      </x:c>
      <x:c r="AA2911" s="80" t="n">
        <x:f>K2911*(1+'Inputs'!$E$51)/2*'Inputs'!$B$17</x:f>
        <x:v>23169.65320133252</x:v>
      </x:c>
      <x:c r="AB2911" s="78" t="n">
        <x:f>(IF(J2911&gt;0,K2911*(1-'Inputs'!$E$51)/2/J2911,0)+G2911+R2911)*'Inputs'!$B$17</x:f>
        <x:v>8971.612675983208</x:v>
      </x:c>
      <x:c r="AC2911" s="78" t="n">
        <x:f>AC2910+AB2911</x:f>
        <x:v>3116390.9875769517</x:v>
      </x:c>
      <x:c r="AD2911" s="80" t="n">
        <x:f>Z2911/(1+'Inputs'!$C$51)</x:f>
        <x:v>21947.196881878248</x:v>
      </x:c>
      <x:c r="AE2911" s="80" t="n">
        <x:f>Z2911-AD2911</x:f>
        <x:v>43894.393763756496</x:v>
      </x:c>
      <x:c r="AF2911" s="80" t="n">
        <x:f>D2911*W2911</x:f>
        <x:v>604299.2782614453</x:v>
      </x:c>
      <x:c r="AG2911" s="80" t="n">
        <x:f>C2911*W2911</x:f>
        <x:v>1410031.6492767879</x:v>
      </x:c>
      <x:c r="AH2911" s="80" t="n">
        <x:f>2*'Inputs'!$B$8*'Inputs'!$C$51</x:f>
        <x:v>10000</x:v>
      </x:c>
      <x:c r="AI2911" s="81" t="n">
        <x:f>IF(AH2911&gt;0,(AE2911+AF2911)/AH2911*365,0)</x:f>
        <x:v>23659.06902891987</x:v>
      </x:c>
      <x:c r="AJ2911" s="81" t="n">
        <x:f>IF('Inputs'!$B$51&gt;0,AG2911/('Inputs'!$B$19*'Inputs'!$B$51)*365,0)</x:f>
        <x:v>51466.15519860276</x:v>
      </x:c>
      <x:c r="AK2911" s="81" t="n">
        <x:f>W2911/MAX($W$2559:W2911)-1</x:f>
        <x:v>0</x:v>
      </x:c>
      <x:c r="AL2911" s="83" t="n">
        <x:f>'Inputs'!$B$51</x:f>
        <x:v>1</x:v>
      </x:c>
      <x:c r="AM2911" s="83" t="n">
        <x:f>'Inputs'!$C$51</x:f>
        <x:v>2</x:v>
      </x:c>
      <x:c r="AN2911" s="83" t="n">
        <x:f>'Inputs'!$D$51</x:f>
        <x:v>3</x:v>
      </x:c>
      <x:c r="AO2911" s="81" t="n">
        <x:f>'Inputs'!$E$51</x:f>
        <x:v>0.1</x:v>
      </x:c>
    </x:row>
    <x:row r="2912">
      <x:c r="A2912" s="59" t="str">
        <x:v>High demand</x:v>
      </x:c>
      <x:c r="B2912" s="59" t="n">
        <x:v>354</x:v>
      </x:c>
      <x:c r="C2912" s="78" t="n">
        <x:f>(('Inputs'!$B$29*(3*354*'Inputs'!$B$12-354^2)/(2*'Inputs'!$B$12^2))-('Inputs'!$B$29*(3*353*'Inputs'!$B$12-353^2)/(2*'Inputs'!$B$12^2)))*'Inputs'!$B$51</x:f>
        <x:v>597060.6586601734</x:v>
      </x:c>
      <x:c r="D2912" s="78" t="n">
        <x:f>IF('Inputs'!$C$51&gt;0,('Inputs'!$B$30*(3*354*'Inputs'!$B$12-354^2)/(2*'Inputs'!$B$12^2))-('Inputs'!$B$30*(3*353*'Inputs'!$B$12-353^2)/(2*'Inputs'!$B$12^2)),0)</x:f>
        <x:v>255883.13942578435</x:v>
      </x:c>
      <x:c r="E2912" s="78" t="n">
        <x:f>C2912+D2912</x:f>
        <x:v>852943.7980859578</x:v>
      </x:c>
      <x:c r="F2912" s="78" t="n">
        <x:f>'Inputs'!$B$13*E2912+(1-'Inputs'!$B$13)/'Inputs'!$B$14*SUM(E2857:E2912)</x:f>
        <x:v>863161.4749483985</x:v>
      </x:c>
      <x:c r="G2912" s="78" t="n">
        <x:f>F2912*'Inputs'!$F$51</x:f>
        <x:v>215790.36873709963</x:v>
      </x:c>
      <x:c r="H2912" s="78" t="n">
        <x:f>U2911</x:f>
        <x:v>419459.9263595303</x:v>
      </x:c>
      <x:c r="I2912" s="78" t="n">
        <x:f>V2911</x:f>
        <x:v>990066.7288672371</x:v>
      </x:c>
      <x:c r="J2912" s="79" t="n">
        <x:f>IF(H2912&gt;0,I2912/H2912,0)</x:f>
        <x:v>2.3603368680769385</x:v>
      </x:c>
      <x:c r="K2912" s="80" t="n">
        <x:f>(H2912*J2912+I2912)*'Inputs'!$D$51*(1+'Inputs'!$G$51)^(B2912/30)</x:f>
        <x:v>10564512.120944522</x:v>
      </x:c>
      <x:c r="L2912" s="80" t="n">
        <x:f>MAX(0,K2912*'Inputs'!$E$51)</x:f>
        <x:v>1056451.2120944522</x:v>
      </x:c>
      <x:c r="M2912" s="80" t="n">
        <x:f>MAX(0,-K2912*'Inputs'!$E$51)</x:f>
        <x:v>0</x:v>
      </x:c>
      <x:c r="N2912" s="78" t="n">
        <x:f>H2912*(L2912*(1-'Inputs'!$B$15))/(I2912+L2912*(1-'Inputs'!$B$15))</x:f>
        <x:v>215480.15388598363</x:v>
      </x:c>
      <x:c r="O2912" s="78" t="n">
        <x:f>H2912-N2912</x:f>
        <x:v>203979.77247354668</x:v>
      </x:c>
      <x:c r="P2912" s="78" t="n">
        <x:f>I2912+L2912*(1-'Inputs'!$B$17)</x:f>
        <x:v>2042266.628236963</x:v>
      </x:c>
      <x:c r="Q2912" s="78" t="n">
        <x:f>IF(J2912&gt;0,M2912/J2912,0)</x:f>
        <x:v>0</x:v>
      </x:c>
      <x:c r="R2912" s="78" t="n">
        <x:f>IF(B2912='Inputs'!$H$51,'Inputs'!$B$27*'Inputs'!$I$51,0)</x:f>
        <x:v>0</x:v>
      </x:c>
      <x:c r="S2912" s="78" t="n">
        <x:f>Q2912+G2912+R2912</x:f>
        <x:v>215790.36873709963</x:v>
      </x:c>
      <x:c r="T2912" s="78" t="n">
        <x:f>P2912*(S2912*(1-'Inputs'!$B$15))/(O2912+S2912*(1-'Inputs'!$B$15))</x:f>
        <x:v>1044735.7976542619</x:v>
      </x:c>
      <x:c r="U2912" s="78" t="n">
        <x:f>O2912+S2912*(1-'Inputs'!$B$17)</x:f>
        <x:v>418901.7695054668</x:v>
      </x:c>
      <x:c r="V2912" s="78" t="n">
        <x:f>P2912-T2912</x:f>
        <x:v>997530.830582701</x:v>
      </x:c>
      <x:c r="W2912" s="79" t="n">
        <x:f>IF(U2912&gt;0,V2912/U2912,0)</x:f>
        <x:v>2.381300111862342</x:v>
      </x:c>
      <x:c r="X2912" s="80" t="n">
        <x:f>W2912*('Inputs'!$B$6-AC2912)</x:f>
        <x:v>2373857680.9836793</x:v>
      </x:c>
      <x:c r="Y2912" s="80" t="n">
        <x:f>2*V2912</x:f>
        <x:v>1995061.661165402</x:v>
      </x:c>
      <x:c r="Z2912" s="80" t="n">
        <x:f>K2912*'Inputs'!$B$16+(G2912+R2912)*J2912*'Inputs'!$B$16</x:f>
        <x:v>66443.1005043037</x:v>
      </x:c>
      <x:c r="AA2912" s="80" t="n">
        <x:f>K2912*(1+'Inputs'!$E$51)/2*'Inputs'!$B$17</x:f>
        <x:v>23382.219985993917</x:v>
      </x:c>
      <x:c r="AB2912" s="78" t="n">
        <x:f>(IF(J2912&gt;0,K2912*(1-'Inputs'!$E$51)/2/J2912,0)+G2912+R2912)*'Inputs'!$B$17</x:f>
        <x:v>8973.531405055057</x:v>
      </x:c>
      <x:c r="AC2912" s="78" t="n">
        <x:f>AC2911+AB2912</x:f>
        <x:v>3125364.5189820067</x:v>
      </x:c>
      <x:c r="AD2912" s="80" t="n">
        <x:f>Z2912/(1+'Inputs'!$C$51)</x:f>
        <x:v>22147.700168101233</x:v>
      </x:c>
      <x:c r="AE2912" s="80" t="n">
        <x:f>Z2912-AD2912</x:f>
        <x:v>44295.40033620247</x:v>
      </x:c>
      <x:c r="AF2912" s="80" t="n">
        <x:f>D2912*W2912</x:f>
        <x:v>609334.5485383075</x:v>
      </x:c>
      <x:c r="AG2912" s="80" t="n">
        <x:f>C2912*W2912</x:f>
        <x:v>1421780.6132560745</x:v>
      </x:c>
      <x:c r="AH2912" s="80" t="n">
        <x:f>2*'Inputs'!$B$8*'Inputs'!$C$51</x:f>
        <x:v>10000</x:v>
      </x:c>
      <x:c r="AI2912" s="81" t="n">
        <x:f>IF(AH2912&gt;0,(AE2912+AF2912)/AH2912*365,0)</x:f>
        <x:v>23857.493133919612</x:v>
      </x:c>
      <x:c r="AJ2912" s="81" t="n">
        <x:f>IF('Inputs'!$B$51&gt;0,AG2912/('Inputs'!$B$19*'Inputs'!$B$51)*365,0)</x:f>
        <x:v>51894.992383846715</x:v>
      </x:c>
      <x:c r="AK2912" s="81" t="n">
        <x:f>W2912/MAX($W$2559:W2912)-1</x:f>
        <x:v>0</x:v>
      </x:c>
      <x:c r="AL2912" s="83" t="n">
        <x:f>'Inputs'!$B$51</x:f>
        <x:v>1</x:v>
      </x:c>
      <x:c r="AM2912" s="83" t="n">
        <x:f>'Inputs'!$C$51</x:f>
        <x:v>2</x:v>
      </x:c>
      <x:c r="AN2912" s="83" t="n">
        <x:f>'Inputs'!$D$51</x:f>
        <x:v>3</x:v>
      </x:c>
      <x:c r="AO2912" s="81" t="n">
        <x:f>'Inputs'!$E$51</x:f>
        <x:v>0.1</x:v>
      </x:c>
    </x:row>
    <x:row r="2913">
      <x:c r="A2913" s="59" t="str">
        <x:v>High demand</x:v>
      </x:c>
      <x:c r="B2913" s="59" t="n">
        <x:v>355</x:v>
      </x:c>
      <x:c r="C2913" s="78" t="n">
        <x:f>(('Inputs'!$B$29*(3*355*'Inputs'!$B$12-355^2)/(2*'Inputs'!$B$12^2))-('Inputs'!$B$29*(3*354*'Inputs'!$B$12-354^2)/(2*'Inputs'!$B$12^2)))*'Inputs'!$B$51</x:f>
        <x:v>596735.5507599711</x:v>
      </x:c>
      <x:c r="D2913" s="78" t="n">
        <x:f>IF('Inputs'!$C$51&gt;0,('Inputs'!$B$30*(3*355*'Inputs'!$B$12-355^2)/(2*'Inputs'!$B$12^2))-('Inputs'!$B$30*(3*354*'Inputs'!$B$12-354^2)/(2*'Inputs'!$B$12^2)),0)</x:f>
        <x:v>255743.80746856332</x:v>
      </x:c>
      <x:c r="E2913" s="78" t="n">
        <x:f>C2913+D2913</x:f>
        <x:v>852479.3582285345</x:v>
      </x:c>
      <x:c r="F2913" s="78" t="n">
        <x:f>'Inputs'!$B$13*E2913+(1-'Inputs'!$B$13)/'Inputs'!$B$14*SUM(E2858:E2913)</x:f>
        <x:v>862697.0350910062</x:v>
      </x:c>
      <x:c r="G2913" s="78" t="n">
        <x:f>F2913*'Inputs'!$F$51</x:f>
        <x:v>215674.25877275155</x:v>
      </x:c>
      <x:c r="H2913" s="78" t="n">
        <x:f>U2912</x:f>
        <x:v>418901.7695054668</x:v>
      </x:c>
      <x:c r="I2913" s="78" t="n">
        <x:f>V2912</x:f>
        <x:v>997530.830582701</x:v>
      </x:c>
      <x:c r="J2913" s="79" t="n">
        <x:f>IF(H2913&gt;0,I2913/H2913,0)</x:f>
        <x:v>2.381300111862342</x:v>
      </x:c>
      <x:c r="K2913" s="80" t="n">
        <x:f>(H2913*J2913+I2913)*'Inputs'!$D$51*(1+'Inputs'!$G$51)^(B2913/30)</x:f>
        <x:v>10661482.948068375</x:v>
      </x:c>
      <x:c r="L2913" s="80" t="n">
        <x:f>MAX(0,K2913*'Inputs'!$E$51)</x:f>
        <x:v>1066148.2948068376</x:v>
      </x:c>
      <x:c r="M2913" s="80" t="n">
        <x:f>MAX(0,-K2913*'Inputs'!$E$51)</x:f>
        <x:v>0</x:v>
      </x:c>
      <x:c r="N2913" s="78" t="n">
        <x:f>H2913*(L2913*(1-'Inputs'!$B$15))/(I2913+L2913*(1-'Inputs'!$B$15))</x:f>
        <x:v>215363.61112392502</x:v>
      </x:c>
      <x:c r="O2913" s="78" t="n">
        <x:f>H2913-N2913</x:f>
        <x:v>203538.15838154178</x:v>
      </x:c>
      <x:c r="P2913" s="78" t="n">
        <x:f>I2913+L2913*(1-'Inputs'!$B$17)</x:f>
        <x:v>2059388.790199169</x:v>
      </x:c>
      <x:c r="Q2913" s="78" t="n">
        <x:f>IF(J2913&gt;0,M2913/J2913,0)</x:f>
        <x:v>0</x:v>
      </x:c>
      <x:c r="R2913" s="78" t="n">
        <x:f>IF(B2913='Inputs'!$H$51,'Inputs'!$B$27*'Inputs'!$I$51,0)</x:f>
        <x:v>0</x:v>
      </x:c>
      <x:c r="S2913" s="78" t="n">
        <x:f>Q2913+G2913+R2913</x:f>
        <x:v>215674.25877275155</x:v>
      </x:c>
      <x:c r="T2913" s="78" t="n">
        <x:f>P2913*(S2913*(1-'Inputs'!$B$15))/(O2913+S2913*(1-'Inputs'!$B$15))</x:f>
        <x:v>1054333.0451014536</x:v>
      </x:c>
      <x:c r="U2913" s="78" t="n">
        <x:f>O2913+S2913*(1-'Inputs'!$B$17)</x:f>
        <x:v>418344.5126924311</x:v>
      </x:c>
      <x:c r="V2913" s="78" t="n">
        <x:f>P2913-T2913</x:f>
        <x:v>1005055.7450977154</x:v>
      </x:c>
      <x:c r="W2913" s="79" t="n">
        <x:f>IF(U2913&gt;0,V2913/U2913,0)</x:f>
        <x:v>2.402459491172141</x:v>
      </x:c>
      <x:c r="X2913" s="80" t="n">
        <x:f>W2913*('Inputs'!$B$6-AC2913)</x:f>
        <x:v>2394929366.3557577</x:v>
      </x:c>
      <x:c r="Y2913" s="80" t="n">
        <x:f>2*V2913</x:f>
        <x:v>2010111.4901954308</x:v>
      </x:c>
      <x:c r="Z2913" s="80" t="n">
        <x:f>K2913*'Inputs'!$B$16+(G2913+R2913)*J2913*'Inputs'!$B$16</x:f>
        <x:v>67050.40850765853</x:v>
      </x:c>
      <x:c r="AA2913" s="80" t="n">
        <x:f>K2913*(1+'Inputs'!$E$51)/2*'Inputs'!$B$17</x:f>
        <x:v>23596.843547032622</x:v>
      </x:c>
      <x:c r="AB2913" s="78" t="n">
        <x:f>(IF(J2913&gt;0,K2913*(1-'Inputs'!$E$51)/2/J2913,0)+G2913+R2913)*'Inputs'!$B$17</x:f>
        <x:v>8975.453888533992</x:v>
      </x:c>
      <x:c r="AC2913" s="78" t="n">
        <x:f>AC2912+AB2913</x:f>
        <x:v>3134339.972870541</x:v>
      </x:c>
      <x:c r="AD2913" s="80" t="n">
        <x:f>Z2913/(1+'Inputs'!$C$51)</x:f>
        <x:v>22350.13616921951</x:v>
      </x:c>
      <x:c r="AE2913" s="80" t="n">
        <x:f>Z2913-AD2913</x:f>
        <x:v>44700.27233843903</x:v>
      </x:c>
      <x:c r="AF2913" s="80" t="n">
        <x:f>D2913*W2913</x:f>
        <x:v>614414.1375613506</x:v>
      </x:c>
      <x:c r="AG2913" s="80" t="n">
        <x:f>C2913*W2913</x:f>
        <x:v>1433632.9876431276</x:v>
      </x:c>
      <x:c r="AH2913" s="80" t="n">
        <x:f>2*'Inputs'!$B$8*'Inputs'!$C$51</x:f>
        <x:v>10000</x:v>
      </x:c>
      <x:c r="AI2913" s="81" t="n">
        <x:f>IF(AH2913&gt;0,(AE2913+AF2913)/AH2913*365,0)</x:f>
        <x:v>24057.67596134232</x:v>
      </x:c>
      <x:c r="AJ2913" s="81" t="n">
        <x:f>IF('Inputs'!$B$51&gt;0,AG2913/('Inputs'!$B$19*'Inputs'!$B$51)*365,0)</x:f>
        <x:v>52327.60404897416</x:v>
      </x:c>
      <x:c r="AK2913" s="81" t="n">
        <x:f>W2913/MAX($W$2559:W2913)-1</x:f>
        <x:v>0</x:v>
      </x:c>
      <x:c r="AL2913" s="83" t="n">
        <x:f>'Inputs'!$B$51</x:f>
        <x:v>1</x:v>
      </x:c>
      <x:c r="AM2913" s="83" t="n">
        <x:f>'Inputs'!$C$51</x:f>
        <x:v>2</x:v>
      </x:c>
      <x:c r="AN2913" s="83" t="n">
        <x:f>'Inputs'!$D$51</x:f>
        <x:v>3</x:v>
      </x:c>
      <x:c r="AO2913" s="81" t="n">
        <x:f>'Inputs'!$E$51</x:f>
        <x:v>0.1</x:v>
      </x:c>
    </x:row>
    <x:row r="2914">
      <x:c r="A2914" s="59" t="str">
        <x:v>High demand</x:v>
      </x:c>
      <x:c r="B2914" s="59" t="n">
        <x:v>356</x:v>
      </x:c>
      <x:c r="C2914" s="78" t="n">
        <x:f>(('Inputs'!$B$29*(3*356*'Inputs'!$B$12-356^2)/(2*'Inputs'!$B$12^2))-('Inputs'!$B$29*(3*355*'Inputs'!$B$12-355^2)/(2*'Inputs'!$B$12^2)))*'Inputs'!$B$51</x:f>
        <x:v>596410.4428598285</x:v>
      </x:c>
      <x:c r="D2914" s="78" t="n">
        <x:f>IF('Inputs'!$C$51&gt;0,('Inputs'!$B$30*(3*356*'Inputs'!$B$12-356^2)/(2*'Inputs'!$B$12^2))-('Inputs'!$B$30*(3*355*'Inputs'!$B$12-355^2)/(2*'Inputs'!$B$12^2)),0)</x:f>
        <x:v>255604.4755113572</x:v>
      </x:c>
      <x:c r="E2914" s="78" t="n">
        <x:f>C2914+D2914</x:f>
        <x:v>852014.9183711857</x:v>
      </x:c>
      <x:c r="F2914" s="78" t="n">
        <x:f>'Inputs'!$B$13*E2914+(1-'Inputs'!$B$13)/'Inputs'!$B$14*SUM(E2859:E2914)</x:f>
        <x:v>862232.5952336293</x:v>
      </x:c>
      <x:c r="G2914" s="78" t="n">
        <x:f>F2914*'Inputs'!$F$51</x:f>
        <x:v>215558.14880840734</x:v>
      </x:c>
      <x:c r="H2914" s="78" t="n">
        <x:f>U2913</x:f>
        <x:v>418344.5126924311</x:v>
      </x:c>
      <x:c r="I2914" s="78" t="n">
        <x:f>V2913</x:f>
        <x:v>1005055.7450977154</x:v>
      </x:c>
      <x:c r="J2914" s="79" t="n">
        <x:f>IF(H2914&gt;0,I2914/H2914,0)</x:f>
        <x:v>2.402459491172141</x:v>
      </x:c>
      <x:c r="K2914" s="80" t="n">
        <x:f>(H2914*J2914+I2914)*'Inputs'!$D$51*(1+'Inputs'!$G$51)^(B2914/30)</x:f>
        <x:v>10759392.475666268</x:v>
      </x:c>
      <x:c r="L2914" s="80" t="n">
        <x:f>MAX(0,K2914*'Inputs'!$E$51)</x:f>
        <x:v>1075939.2475666269</x:v>
      </x:c>
      <x:c r="M2914" s="80" t="n">
        <x:f>MAX(0,-K2914*'Inputs'!$E$51)</x:f>
        <x:v>0</x:v>
      </x:c>
      <x:c r="N2914" s="78" t="n">
        <x:f>H2914*(L2914*(1-'Inputs'!$B$15))/(I2914+L2914*(1-'Inputs'!$B$15))</x:f>
        <x:v>215247.07012439086</x:v>
      </x:c>
      <x:c r="O2914" s="78" t="n">
        <x:f>H2914-N2914</x:f>
        <x:v>203097.44256804025</x:v>
      </x:c>
      <x:c r="P2914" s="78" t="n">
        <x:f>I2914+L2914*(1-'Inputs'!$B$17)</x:f>
        <x:v>2076665.2572616597</x:v>
      </x:c>
      <x:c r="Q2914" s="78" t="n">
        <x:f>IF(J2914&gt;0,M2914/J2914,0)</x:f>
        <x:v>0</x:v>
      </x:c>
      <x:c r="R2914" s="78" t="n">
        <x:f>IF(B2914='Inputs'!$H$51,'Inputs'!$B$27*'Inputs'!$I$51,0)</x:f>
        <x:v>0</x:v>
      </x:c>
      <x:c r="S2914" s="78" t="n">
        <x:f>Q2914+G2914+R2914</x:f>
        <x:v>215558.14880840734</x:v>
      </x:c>
      <x:c r="T2914" s="78" t="n">
        <x:f>P2914*(S2914*(1-'Inputs'!$B$15))/(O2914+S2914*(1-'Inputs'!$B$15))</x:f>
        <x:v>1064023.2577265522</x:v>
      </x:c>
      <x:c r="U2914" s="78" t="n">
        <x:f>O2914+S2914*(1-'Inputs'!$B$17)</x:f>
        <x:v>417788.1541579027</x:v>
      </x:c>
      <x:c r="V2914" s="78" t="n">
        <x:f>P2914-T2914</x:f>
        <x:v>1012641.9995351075</x:v>
      </x:c>
      <x:c r="W2914" s="79" t="n">
        <x:f>IF(U2914&gt;0,V2914/U2914,0)</x:f>
        <x:v>2.423816926011694</x:v>
      </x:c>
      <x:c r="X2914" s="80" t="n">
        <x:f>W2914*('Inputs'!$B$6-AC2914)</x:f>
        <x:v>2416198100.2076735</x:v>
      </x:c>
      <x:c r="Y2914" s="80" t="n">
        <x:f>2*V2914</x:f>
        <x:v>2025283.999070215</x:v>
      </x:c>
      <x:c r="Z2914" s="80" t="n">
        <x:f>K2914*'Inputs'!$B$16+(G2914+R2914)*J2914*'Inputs'!$B$16</x:f>
        <x:v>67663.57317702314</x:v>
      </x:c>
      <x:c r="AA2914" s="80" t="n">
        <x:f>K2914*(1+'Inputs'!$E$51)/2*'Inputs'!$B$17</x:f>
        <x:v>23813.544714754316</x:v>
      </x:c>
      <x:c r="AB2914" s="78" t="n">
        <x:f>(IF(J2914&gt;0,K2914*(1-'Inputs'!$E$51)/2/J2914,0)+G2914+R2914)*'Inputs'!$B$17</x:f>
        <x:v>8977.380126496166</x:v>
      </x:c>
      <x:c r="AC2914" s="78" t="n">
        <x:f>AC2913+AB2914</x:f>
        <x:v>3143317.352997037</x:v>
      </x:c>
      <x:c r="AD2914" s="80" t="n">
        <x:f>Z2914/(1+'Inputs'!$C$51)</x:f>
        <x:v>22554.524392341045</x:v>
      </x:c>
      <x:c r="AE2914" s="80" t="n">
        <x:f>Z2914-AD2914</x:f>
        <x:v>45109.04878468209</x:v>
      </x:c>
      <x:c r="AF2914" s="80" t="n">
        <x:f>D2914*W2914</x:f>
        <x:v>619538.4541087691</x:v>
      </x:c>
      <x:c r="AG2914" s="80" t="n">
        <x:f>C2914*W2914</x:f>
        <x:v>1445589.7262537824</x:v>
      </x:c>
      <x:c r="AH2914" s="80" t="n">
        <x:f>2*'Inputs'!$B$8*'Inputs'!$C$51</x:f>
        <x:v>10000</x:v>
      </x:c>
      <x:c r="AI2914" s="81" t="n">
        <x:f>IF(AH2914&gt;0,(AE2914+AF2914)/AH2914*365,0)</x:f>
        <x:v>24259.63385561097</x:v>
      </x:c>
      <x:c r="AJ2914" s="81" t="n">
        <x:f>IF('Inputs'!$B$51&gt;0,AG2914/('Inputs'!$B$19*'Inputs'!$B$51)*365,0)</x:f>
        <x:v>52764.02500826305</x:v>
      </x:c>
      <x:c r="AK2914" s="81" t="n">
        <x:f>W2914/MAX($W$2559:W2914)-1</x:f>
        <x:v>0</x:v>
      </x:c>
      <x:c r="AL2914" s="83" t="n">
        <x:f>'Inputs'!$B$51</x:f>
        <x:v>1</x:v>
      </x:c>
      <x:c r="AM2914" s="83" t="n">
        <x:f>'Inputs'!$C$51</x:f>
        <x:v>2</x:v>
      </x:c>
      <x:c r="AN2914" s="83" t="n">
        <x:f>'Inputs'!$D$51</x:f>
        <x:v>3</x:v>
      </x:c>
      <x:c r="AO2914" s="81" t="n">
        <x:f>'Inputs'!$E$51</x:f>
        <x:v>0.1</x:v>
      </x:c>
    </x:row>
    <x:row r="2915">
      <x:c r="A2915" s="59" t="str">
        <x:v>High demand</x:v>
      </x:c>
      <x:c r="B2915" s="59" t="n">
        <x:v>357</x:v>
      </x:c>
      <x:c r="C2915" s="78" t="n">
        <x:f>(('Inputs'!$B$29*(3*357*'Inputs'!$B$12-357^2)/(2*'Inputs'!$B$12^2))-('Inputs'!$B$29*(3*356*'Inputs'!$B$12-356^2)/(2*'Inputs'!$B$12^2)))*'Inputs'!$B$51</x:f>
        <x:v>596085.334959656</x:v>
      </x:c>
      <x:c r="D2915" s="78" t="n">
        <x:f>IF('Inputs'!$C$51&gt;0,('Inputs'!$B$30*(3*357*'Inputs'!$B$12-357^2)/(2*'Inputs'!$B$12^2))-('Inputs'!$B$30*(3*356*'Inputs'!$B$12-356^2)/(2*'Inputs'!$B$12^2)),0)</x:f>
        <x:v>255465.14355413616</x:v>
      </x:c>
      <x:c r="E2915" s="78" t="n">
        <x:f>C2915+D2915</x:f>
        <x:v>851550.4785137922</x:v>
      </x:c>
      <x:c r="F2915" s="78" t="n">
        <x:f>'Inputs'!$B$13*E2915+(1-'Inputs'!$B$13)/'Inputs'!$B$14*SUM(E2860:E2915)</x:f>
        <x:v>861768.1553762429</x:v>
      </x:c>
      <x:c r="G2915" s="78" t="n">
        <x:f>F2915*'Inputs'!$F$51</x:f>
        <x:v>215442.03884406073</x:v>
      </x:c>
      <x:c r="H2915" s="78" t="n">
        <x:f>U2914</x:f>
        <x:v>417788.1541579027</x:v>
      </x:c>
      <x:c r="I2915" s="78" t="n">
        <x:f>V2914</x:f>
        <x:v>1012641.9995351075</x:v>
      </x:c>
      <x:c r="J2915" s="79" t="n">
        <x:f>IF(H2915&gt;0,I2915/H2915,0)</x:f>
        <x:v>2.423816926011694</x:v>
      </x:c>
      <x:c r="K2915" s="80" t="n">
        <x:f>(H2915*J2915+I2915)*'Inputs'!$D$51*(1+'Inputs'!$G$51)^(B2915/30)</x:f>
        <x:v>10858250.214422215</x:v>
      </x:c>
      <x:c r="L2915" s="80" t="n">
        <x:f>MAX(0,K2915*'Inputs'!$E$51)</x:f>
        <x:v>1085825.0214422215</x:v>
      </x:c>
      <x:c r="M2915" s="80" t="n">
        <x:f>MAX(0,-K2915*'Inputs'!$E$51)</x:f>
        <x:v>0</x:v>
      </x:c>
      <x:c r="N2915" s="78" t="n">
        <x:f>H2915*(L2915*(1-'Inputs'!$B$15))/(I2915+L2915*(1-'Inputs'!$B$15))</x:f>
        <x:v>215130.53088401147</x:v>
      </x:c>
      <x:c r="O2915" s="78" t="n">
        <x:f>H2915-N2915</x:f>
        <x:v>202657.62327389122</x:v>
      </x:c>
      <x:c r="P2915" s="78" t="n">
        <x:f>I2915+L2915*(1-'Inputs'!$B$17)</x:f>
        <x:v>2094097.5037884268</x:v>
      </x:c>
      <x:c r="Q2915" s="78" t="n">
        <x:f>IF(J2915&gt;0,M2915/J2915,0)</x:f>
        <x:v>0</x:v>
      </x:c>
      <x:c r="R2915" s="78" t="n">
        <x:f>IF(B2915='Inputs'!$H$51,'Inputs'!$B$27*'Inputs'!$I$51,0)</x:f>
        <x:v>0</x:v>
      </x:c>
      <x:c r="S2915" s="78" t="n">
        <x:f>Q2915+G2915+R2915</x:f>
        <x:v>215442.03884406073</x:v>
      </x:c>
      <x:c r="T2915" s="78" t="n">
        <x:f>P2915*(S2915*(1-'Inputs'!$B$15))/(O2915+S2915*(1-'Inputs'!$B$15))</x:f>
        <x:v>1073807.3779609317</x:v>
      </x:c>
      <x:c r="U2915" s="78" t="n">
        <x:f>O2915+S2915*(1-'Inputs'!$B$17)</x:f>
        <x:v>417232.69214272435</x:v>
      </x:c>
      <x:c r="V2915" s="78" t="n">
        <x:f>P2915-T2915</x:f>
        <x:v>1020290.125827495</x:v>
      </x:c>
      <x:c r="W2915" s="79" t="n">
        <x:f>IF(U2915&gt;0,V2915/U2915,0)</x:f>
        <x:v>2.4453743559444776</x:v>
      </x:c>
      <x:c r="X2915" s="80" t="n">
        <x:f>W2915*('Inputs'!$B$6-AC2915)</x:f>
        <x:v>2437665810.5221643</x:v>
      </x:c>
      <x:c r="Y2915" s="80" t="n">
        <x:f>2*V2915</x:f>
        <x:v>2040580.25165499</x:v>
      </x:c>
      <x:c r="Z2915" s="80" t="n">
        <x:f>K2915*'Inputs'!$B$16+(G2915+R2915)*J2915*'Inputs'!$B$16</x:f>
        <x:v>68282.65364848152</x:v>
      </x:c>
      <x:c r="AA2915" s="80" t="n">
        <x:f>K2915*(1+'Inputs'!$E$51)/2*'Inputs'!$B$17</x:f>
        <x:v>24032.344538962654</x:v>
      </x:c>
      <x:c r="AB2915" s="78" t="n">
        <x:f>(IF(J2915&gt;0,K2915*(1-'Inputs'!$E$51)/2/J2915,0)+G2915+R2915)*'Inputs'!$B$17</x:f>
        <x:v>8979.310119008536</x:v>
      </x:c>
      <x:c r="AC2915" s="78" t="n">
        <x:f>AC2914+AB2915</x:f>
        <x:v>3152296.6631160458</x:v>
      </x:c>
      <x:c r="AD2915" s="80" t="n">
        <x:f>Z2915/(1+'Inputs'!$C$51)</x:f>
        <x:v>22760.88454949384</x:v>
      </x:c>
      <x:c r="AE2915" s="80" t="n">
        <x:f>Z2915-AD2915</x:f>
        <x:v>45521.76909898767</x:v>
      </x:c>
      <x:c r="AF2915" s="80" t="n">
        <x:f>D2915*W2915</x:f>
        <x:v>624707.9108849593</x:v>
      </x:c>
      <x:c r="AG2915" s="80" t="n">
        <x:f>C2915*W2915</x:f>
        <x:v>1457651.792064917</x:v>
      </x:c>
      <x:c r="AH2915" s="80" t="n">
        <x:f>2*'Inputs'!$B$8*'Inputs'!$C$51</x:f>
        <x:v>10000</x:v>
      </x:c>
      <x:c r="AI2915" s="81" t="n">
        <x:f>IF(AH2915&gt;0,(AE2915+AF2915)/AH2915*365,0)</x:f>
        <x:v>24463.38331941406</x:v>
      </x:c>
      <x:c r="AJ2915" s="81" t="n">
        <x:f>IF('Inputs'!$B$51&gt;0,AG2915/('Inputs'!$B$19*'Inputs'!$B$51)*365,0)</x:f>
        <x:v>53204.29041036947</x:v>
      </x:c>
      <x:c r="AK2915" s="81" t="n">
        <x:f>W2915/MAX($W$2559:W2915)-1</x:f>
        <x:v>0</x:v>
      </x:c>
      <x:c r="AL2915" s="83" t="n">
        <x:f>'Inputs'!$B$51</x:f>
        <x:v>1</x:v>
      </x:c>
      <x:c r="AM2915" s="83" t="n">
        <x:f>'Inputs'!$C$51</x:f>
        <x:v>2</x:v>
      </x:c>
      <x:c r="AN2915" s="83" t="n">
        <x:f>'Inputs'!$D$51</x:f>
        <x:v>3</x:v>
      </x:c>
      <x:c r="AO2915" s="81" t="n">
        <x:f>'Inputs'!$E$51</x:f>
        <x:v>0.1</x:v>
      </x:c>
    </x:row>
    <x:row r="2916">
      <x:c r="A2916" s="59" t="str">
        <x:v>High demand</x:v>
      </x:c>
      <x:c r="B2916" s="59" t="n">
        <x:v>358</x:v>
      </x:c>
      <x:c r="C2916" s="78" t="n">
        <x:f>(('Inputs'!$B$29*(3*358*'Inputs'!$B$12-358^2)/(2*'Inputs'!$B$12^2))-('Inputs'!$B$29*(3*357*'Inputs'!$B$12-357^2)/(2*'Inputs'!$B$12^2)))*'Inputs'!$B$51</x:f>
        <x:v>595760.2270594835</x:v>
      </x:c>
      <x:c r="D2916" s="78" t="n">
        <x:f>IF('Inputs'!$C$51&gt;0,('Inputs'!$B$30*(3*358*'Inputs'!$B$12-358^2)/(2*'Inputs'!$B$12^2))-('Inputs'!$B$30*(3*357*'Inputs'!$B$12-357^2)/(2*'Inputs'!$B$12^2)),0)</x:f>
        <x:v>255325.81159693003</x:v>
      </x:c>
      <x:c r="E2916" s="78" t="n">
        <x:f>C2916+D2916</x:f>
        <x:v>851086.0386564136</x:v>
      </x:c>
      <x:c r="F2916" s="78" t="n">
        <x:f>'Inputs'!$B$13*E2916+(1-'Inputs'!$B$13)/'Inputs'!$B$14*SUM(E2861:E2916)</x:f>
        <x:v>861303.7155188601</x:v>
      </x:c>
      <x:c r="G2916" s="78" t="n">
        <x:f>F2916*'Inputs'!$F$51</x:f>
        <x:v>215325.92887971504</x:v>
      </x:c>
      <x:c r="H2916" s="78" t="n">
        <x:f>U2915</x:f>
        <x:v>417232.69214272435</x:v>
      </x:c>
      <x:c r="I2916" s="78" t="n">
        <x:f>V2915</x:f>
        <x:v>1020290.125827495</x:v>
      </x:c>
      <x:c r="J2916" s="79" t="n">
        <x:f>IF(H2916&gt;0,I2916/H2916,0)</x:f>
        <x:v>2.4453743559444776</x:v>
      </x:c>
      <x:c r="K2916" s="80" t="n">
        <x:f>(H2916*J2916+I2916)*'Inputs'!$D$51*(1+'Inputs'!$G$51)^(B2916/30)</x:f>
        <x:v>10958065.775275944</x:v>
      </x:c>
      <x:c r="L2916" s="80" t="n">
        <x:f>MAX(0,K2916*'Inputs'!$E$51)</x:f>
        <x:v>1095806.5775275945</x:v>
      </x:c>
      <x:c r="M2916" s="80" t="n">
        <x:f>MAX(0,-K2916*'Inputs'!$E$51)</x:f>
        <x:v>0</x:v>
      </x:c>
      <x:c r="N2916" s="78" t="n">
        <x:f>H2916*(L2916*(1-'Inputs'!$B$15))/(I2916+L2916*(1-'Inputs'!$B$15))</x:f>
        <x:v>215013.99339941895</x:v>
      </x:c>
      <x:c r="O2916" s="78" t="n">
        <x:f>H2916-N2916</x:f>
        <x:v>202218.6987433054</x:v>
      </x:c>
      <x:c r="P2916" s="78" t="n">
        <x:f>I2916+L2916*(1-'Inputs'!$B$17)</x:f>
        <x:v>2111687.0189384795</x:v>
      </x:c>
      <x:c r="Q2916" s="78" t="n">
        <x:f>IF(J2916&gt;0,M2916/J2916,0)</x:f>
        <x:v>0</x:v>
      </x:c>
      <x:c r="R2916" s="78" t="n">
        <x:f>IF(B2916='Inputs'!$H$51,'Inputs'!$B$27*'Inputs'!$I$51,0)</x:f>
        <x:v>0</x:v>
      </x:c>
      <x:c r="S2916" s="78" t="n">
        <x:f>Q2916+G2916+R2916</x:f>
        <x:v>215325.92887971504</x:v>
      </x:c>
      <x:c r="T2916" s="78" t="n">
        <x:f>P2916*(S2916*(1-'Inputs'!$B$15))/(O2916+S2916*(1-'Inputs'!$B$15))</x:f>
        <x:v>1083686.3581753813</x:v>
      </x:c>
      <x:c r="U2916" s="78" t="n">
        <x:f>O2916+S2916*(1-'Inputs'!$B$17)</x:f>
        <x:v>416678.1248911101</x:v>
      </x:c>
      <x:c r="V2916" s="78" t="n">
        <x:f>P2916-T2916</x:f>
        <x:v>1028000.6607630982</x:v>
      </x:c>
      <x:c r="W2916" s="79" t="n">
        <x:f>IF(U2916&gt;0,V2916/U2916,0)</x:f>
        <x:v>2.4671337402983275</x:v>
      </x:c>
      <x:c r="X2916" s="80" t="n">
        <x:f>W2916*('Inputs'!$B$6-AC2916)</x:f>
        <x:v>2459334444.911552</x:v>
      </x:c>
      <x:c r="Y2916" s="80" t="n">
        <x:f>2*V2916</x:f>
        <x:v>2056001.3215261963</x:v>
      </x:c>
      <x:c r="Z2916" s="80" t="n">
        <x:f>K2916*'Inputs'!$B$16+(G2916+R2916)*J2916*'Inputs'!$B$16</x:f>
        <x:v>68907.70967956993</x:v>
      </x:c>
      <x:c r="AA2916" s="80" t="n">
        <x:f>K2916*(1+'Inputs'!$E$51)/2*'Inputs'!$B$17</x:f>
        <x:v>24253.26429135521</x:v>
      </x:c>
      <x:c r="AB2916" s="78" t="n">
        <x:f>(IF(J2916&gt;0,K2916*(1-'Inputs'!$E$51)/2/J2916,0)+G2916+R2916)*'Inputs'!$B$17</x:f>
        <x:v>8981.243866128596</x:v>
      </x:c>
      <x:c r="AC2916" s="78" t="n">
        <x:f>AC2915+AB2916</x:f>
        <x:v>3161277.906982174</x:v>
      </x:c>
      <x:c r="AD2916" s="80" t="n">
        <x:f>Z2916/(1+'Inputs'!$C$51)</x:f>
        <x:v>22969.236559856643</x:v>
      </x:c>
      <x:c r="AE2916" s="80" t="n">
        <x:f>Z2916-AD2916</x:f>
        <x:v>45938.47311971329</x:v>
      </x:c>
      <x:c r="AF2916" s="80" t="n">
        <x:f>D2916*W2916</x:f>
        <x:v>629922.9245598401</x:v>
      </x:c>
      <x:c r="AG2916" s="80" t="n">
        <x:f>C2916*W2916</x:f>
        <x:v>1469820.1573062446</x:v>
      </x:c>
      <x:c r="AH2916" s="80" t="n">
        <x:f>2*'Inputs'!$B$8*'Inputs'!$C$51</x:f>
        <x:v>10000</x:v>
      </x:c>
      <x:c r="AI2916" s="81" t="n">
        <x:f>IF(AH2916&gt;0,(AE2916+AF2916)/AH2916*365,0)</x:f>
        <x:v>24668.941015303695</x:v>
      </x:c>
      <x:c r="AJ2916" s="81" t="n">
        <x:f>IF('Inputs'!$B$51&gt;0,AG2916/('Inputs'!$B$19*'Inputs'!$B$51)*365,0)</x:f>
        <x:v>53648.435741677924</x:v>
      </x:c>
      <x:c r="AK2916" s="81" t="n">
        <x:f>W2916/MAX($W$2559:W2916)-1</x:f>
        <x:v>0</x:v>
      </x:c>
      <x:c r="AL2916" s="83" t="n">
        <x:f>'Inputs'!$B$51</x:f>
        <x:v>1</x:v>
      </x:c>
      <x:c r="AM2916" s="83" t="n">
        <x:f>'Inputs'!$C$51</x:f>
        <x:v>2</x:v>
      </x:c>
      <x:c r="AN2916" s="83" t="n">
        <x:f>'Inputs'!$D$51</x:f>
        <x:v>3</x:v>
      </x:c>
      <x:c r="AO2916" s="81" t="n">
        <x:f>'Inputs'!$E$51</x:f>
        <x:v>0.1</x:v>
      </x:c>
    </x:row>
    <x:row r="2917">
      <x:c r="A2917" s="59" t="str">
        <x:v>High demand</x:v>
      </x:c>
      <x:c r="B2917" s="59" t="n">
        <x:v>359</x:v>
      </x:c>
      <x:c r="C2917" s="78" t="n">
        <x:f>(('Inputs'!$B$29*(3*359*'Inputs'!$B$12-359^2)/(2*'Inputs'!$B$12^2))-('Inputs'!$B$29*(3*358*'Inputs'!$B$12-358^2)/(2*'Inputs'!$B$12^2)))*'Inputs'!$B$51</x:f>
        <x:v>595435.119159311</x:v>
      </x:c>
      <x:c r="D2917" s="78" t="n">
        <x:f>IF('Inputs'!$C$51&gt;0,('Inputs'!$B$30*(3*359*'Inputs'!$B$12-359^2)/(2*'Inputs'!$B$12^2))-('Inputs'!$B$30*(3*358*'Inputs'!$B$12-358^2)/(2*'Inputs'!$B$12^2)),0)</x:f>
        <x:v>255186.479639709</x:v>
      </x:c>
      <x:c r="E2917" s="78" t="n">
        <x:f>C2917+D2917</x:f>
        <x:v>850621.59879902</x:v>
      </x:c>
      <x:c r="F2917" s="78" t="n">
        <x:f>'Inputs'!$B$13*E2917+(1-'Inputs'!$B$13)/'Inputs'!$B$14*SUM(E2862:E2917)</x:f>
        <x:v>860839.2756614743</x:v>
      </x:c>
      <x:c r="G2917" s="78" t="n">
        <x:f>F2917*'Inputs'!$F$51</x:f>
        <x:v>215209.81891536858</x:v>
      </x:c>
      <x:c r="H2917" s="78" t="n">
        <x:f>U2916</x:f>
        <x:v>416678.1248911101</x:v>
      </x:c>
      <x:c r="I2917" s="78" t="n">
        <x:f>V2916</x:f>
        <x:v>1028000.6607630982</x:v>
      </x:c>
      <x:c r="J2917" s="79" t="n">
        <x:f>IF(H2917&gt;0,I2917/H2917,0)</x:f>
        <x:v>2.4671337402983275</x:v>
      </x:c>
      <x:c r="K2917" s="80" t="n">
        <x:f>(H2917*J2917+I2917)*'Inputs'!$D$51*(1+'Inputs'!$G$51)^(B2917/30)</x:f>
        <x:v>11058848.870516894</x:v>
      </x:c>
      <x:c r="L2917" s="80" t="n">
        <x:f>MAX(0,K2917*'Inputs'!$E$51)</x:f>
        <x:v>1105884.8870516894</x:v>
      </x:c>
      <x:c r="M2917" s="80" t="n">
        <x:f>MAX(0,-K2917*'Inputs'!$E$51)</x:f>
        <x:v>0</x:v>
      </x:c>
      <x:c r="N2917" s="78" t="n">
        <x:f>H2917*(L2917*(1-'Inputs'!$B$15))/(I2917+L2917*(1-'Inputs'!$B$15))</x:f>
        <x:v>214897.45766725444</x:v>
      </x:c>
      <x:c r="O2917" s="78" t="n">
        <x:f>H2917-N2917</x:f>
        <x:v>201780.66722385568</x:v>
      </x:c>
      <x:c r="P2917" s="78" t="n">
        <x:f>I2917+L2917*(1-'Inputs'!$B$17)</x:f>
        <x:v>2129435.306820616</x:v>
      </x:c>
      <x:c r="Q2917" s="78" t="n">
        <x:f>IF(J2917&gt;0,M2917/J2917,0)</x:f>
        <x:v>0</x:v>
      </x:c>
      <x:c r="R2917" s="78" t="n">
        <x:f>IF(B2917='Inputs'!$H$51,'Inputs'!$B$27*'Inputs'!$I$51,0)</x:f>
        <x:v>0</x:v>
      </x:c>
      <x:c r="S2917" s="78" t="n">
        <x:f>Q2917+G2917+R2917</x:f>
        <x:v>215209.81891536858</x:v>
      </x:c>
      <x:c r="T2917" s="78" t="n">
        <x:f>P2917*(S2917*(1-'Inputs'!$B$15))/(O2917+S2917*(1-'Inputs'!$B$15))</x:f>
        <x:v>1093661.1607885587</x:v>
      </x:c>
      <x:c r="U2917" s="78" t="n">
        <x:f>O2917+S2917*(1-'Inputs'!$B$17)</x:f>
        <x:v>416124.4506506312</x:v>
      </x:c>
      <x:c r="V2917" s="78" t="n">
        <x:f>P2917-T2917</x:f>
        <x:v>1035774.1460320575</x:v>
      </x:c>
      <x:c r="W2917" s="79" t="n">
        <x:f>IF(U2917&gt;0,V2917/U2917,0)</x:f>
        <x:v>2.4890970583741794</x:v>
      </x:c>
      <x:c r="X2917" s="80" t="n">
        <x:f>W2917*('Inputs'!$B$6-AC2917)</x:f>
        <x:v>2481205970.824889</x:v>
      </x:c>
      <x:c r="Y2917" s="80" t="n">
        <x:f>2*V2917</x:f>
        <x:v>2071548.292064115</x:v>
      </x:c>
      <x:c r="Z2917" s="80" t="n">
        <x:f>K2917*'Inputs'!$B$16+(G2917+R2917)*J2917*'Inputs'!$B$16</x:f>
        <x:v>69538.80165603897</x:v>
      </x:c>
      <x:c r="AA2917" s="80" t="n">
        <x:f>K2917*(1+'Inputs'!$E$51)/2*'Inputs'!$B$17</x:f>
        <x:v>24476.32546794484</x:v>
      </x:c>
      <x:c r="AB2917" s="78" t="n">
        <x:f>(IF(J2917&gt;0,K2917*(1-'Inputs'!$E$51)/2/J2917,0)+G2917+R2917)*'Inputs'!$B$17</x:f>
        <x:v>8983.181367904579</x:v>
      </x:c>
      <x:c r="AC2917" s="78" t="n">
        <x:f>AC2916+AB2917</x:f>
        <x:v>3170261.0883500786</x:v>
      </x:c>
      <x:c r="AD2917" s="80" t="n">
        <x:f>Z2917/(1+'Inputs'!$C$51)</x:f>
        <x:v>23179.600552012987</x:v>
      </x:c>
      <x:c r="AE2917" s="80" t="n">
        <x:f>Z2917-AD2917</x:f>
        <x:v>46359.20110402598</x:v>
      </x:c>
      <x:c r="AF2917" s="80" t="n">
        <x:f>D2917*W2917</x:f>
        <x:v>635183.9158080621</x:v>
      </x:c>
      <x:c r="AG2917" s="80" t="n">
        <x:f>C2917*W2917</x:f>
        <x:v>1482095.8035521202</x:v>
      </x:c>
      <x:c r="AH2917" s="80" t="n">
        <x:f>2*'Inputs'!$B$8*'Inputs'!$C$51</x:f>
        <x:v>10000</x:v>
      </x:c>
      <x:c r="AI2917" s="81" t="n">
        <x:f>IF(AH2917&gt;0,(AE2917+AF2917)/AH2917*365,0)</x:f>
        <x:v>24876.323767291215</x:v>
      </x:c>
      <x:c r="AJ2917" s="81" t="n">
        <x:f>IF('Inputs'!$B$51&gt;0,AG2917/('Inputs'!$B$19*'Inputs'!$B$51)*365,0)</x:f>
        <x:v>54096.49682965239</x:v>
      </x:c>
      <x:c r="AK2917" s="81" t="n">
        <x:f>W2917/MAX($W$2559:W2917)-1</x:f>
        <x:v>0</x:v>
      </x:c>
      <x:c r="AL2917" s="83" t="n">
        <x:f>'Inputs'!$B$51</x:f>
        <x:v>1</x:v>
      </x:c>
      <x:c r="AM2917" s="83" t="n">
        <x:f>'Inputs'!$C$51</x:f>
        <x:v>2</x:v>
      </x:c>
      <x:c r="AN2917" s="83" t="n">
        <x:f>'Inputs'!$D$51</x:f>
        <x:v>3</x:v>
      </x:c>
      <x:c r="AO2917" s="81" t="n">
        <x:f>'Inputs'!$E$51</x:f>
        <x:v>0.1</x:v>
      </x:c>
    </x:row>
    <x:row r="2918">
      <x:c r="A2918" s="59" t="str">
        <x:v>High demand</x:v>
      </x:c>
      <x:c r="B2918" s="59" t="n">
        <x:v>360</x:v>
      </x:c>
      <x:c r="C2918" s="78" t="n">
        <x:f>(('Inputs'!$B$29*(3*360*'Inputs'!$B$12-360^2)/(2*'Inputs'!$B$12^2))-('Inputs'!$B$29*(3*359*'Inputs'!$B$12-359^2)/(2*'Inputs'!$B$12^2)))*'Inputs'!$B$51</x:f>
        <x:v>595110.0112591684</x:v>
      </x:c>
      <x:c r="D2918" s="78" t="n">
        <x:f>IF('Inputs'!$C$51&gt;0,('Inputs'!$B$30*(3*360*'Inputs'!$B$12-360^2)/(2*'Inputs'!$B$12^2))-('Inputs'!$B$30*(3*359*'Inputs'!$B$12-359^2)/(2*'Inputs'!$B$12^2)),0)</x:f>
        <x:v>255047.14768248796</x:v>
      </x:c>
      <x:c r="E2918" s="78" t="n">
        <x:f>C2918+D2918</x:f>
        <x:v>850157.1589416564</x:v>
      </x:c>
      <x:c r="F2918" s="78" t="n">
        <x:f>'Inputs'!$B$13*E2918+(1-'Inputs'!$B$13)/'Inputs'!$B$14*SUM(E2863:E2918)</x:f>
        <x:v>860374.8358040944</x:v>
      </x:c>
      <x:c r="G2918" s="78" t="n">
        <x:f>F2918*'Inputs'!$F$51</x:f>
        <x:v>215093.7089510236</x:v>
      </x:c>
      <x:c r="H2918" s="78" t="n">
        <x:f>U2917</x:f>
        <x:v>416124.4506506312</x:v>
      </x:c>
      <x:c r="I2918" s="78" t="n">
        <x:f>V2917</x:f>
        <x:v>1035774.1460320575</x:v>
      </x:c>
      <x:c r="J2918" s="79" t="n">
        <x:f>IF(H2918&gt;0,I2918/H2918,0)</x:f>
        <x:v>2.4890970583741794</x:v>
      </x:c>
      <x:c r="K2918" s="80" t="n">
        <x:f>(H2918*J2918+I2918)*'Inputs'!$D$51*(1+'Inputs'!$G$51)^(B2918/30)</x:f>
        <x:v>11160609.314891038</x:v>
      </x:c>
      <x:c r="L2918" s="80" t="n">
        <x:f>MAX(0,K2918*'Inputs'!$E$51)</x:f>
        <x:v>1116060.931489104</x:v>
      </x:c>
      <x:c r="M2918" s="80" t="n">
        <x:f>MAX(0,-K2918*'Inputs'!$E$51)</x:f>
        <x:v>0</x:v>
      </x:c>
      <x:c r="N2918" s="78" t="n">
        <x:f>H2918*(L2918*(1-'Inputs'!$B$15))/(I2918+L2918*(1-'Inputs'!$B$15))</x:f>
        <x:v>214780.92368416418</x:v>
      </x:c>
      <x:c r="O2918" s="78" t="n">
        <x:f>H2918-N2918</x:f>
        <x:v>201343.52696646703</x:v>
      </x:c>
      <x:c r="P2918" s="78" t="n">
        <x:f>I2918+L2918*(1-'Inputs'!$B$17)</x:f>
        <x:v>2147343.886649978</x:v>
      </x:c>
      <x:c r="Q2918" s="78" t="n">
        <x:f>IF(J2918&gt;0,M2918/J2918,0)</x:f>
        <x:v>0</x:v>
      </x:c>
      <x:c r="R2918" s="78" t="n">
        <x:f>IF(B2918='Inputs'!$H$51,'Inputs'!$B$27*'Inputs'!$I$51,0)</x:f>
        <x:v>0</x:v>
      </x:c>
      <x:c r="S2918" s="78" t="n">
        <x:f>Q2918+G2918+R2918</x:f>
        <x:v>215093.7089510236</x:v>
      </x:c>
      <x:c r="T2918" s="78" t="n">
        <x:f>P2918*(S2918*(1-'Inputs'!$B$15))/(O2918+S2918*(1-'Inputs'!$B$15))</x:f>
        <x:v>1103732.758376799</x:v>
      </x:c>
      <x:c r="U2918" s="78" t="n">
        <x:f>O2918+S2918*(1-'Inputs'!$B$17)</x:f>
        <x:v>415571.6676722149</x:v>
      </x:c>
      <x:c r="V2918" s="78" t="n">
        <x:f>P2918-T2918</x:f>
        <x:v>1043611.1282731788</x:v>
      </x:c>
      <x:c r="W2918" s="79" t="n">
        <x:f>IF(U2918&gt;0,V2918/U2918,0)</x:f>
        <x:v>2.511266309656929</x:v>
      </x:c>
      <x:c r="X2918" s="80" t="n">
        <x:f>W2918*('Inputs'!$B$6-AC2918)</x:f>
        <x:v>2503282375.7572045</x:v>
      </x:c>
      <x:c r="Y2918" s="80" t="n">
        <x:f>2*V2918</x:f>
        <x:v>2087222.2565463576</x:v>
      </x:c>
      <x:c r="Z2918" s="80" t="n">
        <x:f>K2918*'Inputs'!$B$16+(G2918+R2918)*J2918*'Inputs'!$B$16</x:f>
        <x:v>70175.99059869495</x:v>
      </x:c>
      <x:c r="AA2918" s="80" t="n">
        <x:f>K2918*(1+'Inputs'!$E$51)/2*'Inputs'!$B$17</x:f>
        <x:v>24701.549791509344</x:v>
      </x:c>
      <x:c r="AB2918" s="78" t="n">
        <x:f>(IF(J2918&gt;0,K2918*(1-'Inputs'!$E$51)/2/J2918,0)+G2918+R2918)*'Inputs'!$B$17</x:f>
        <x:v>8985.122624375277</x:v>
      </x:c>
      <x:c r="AC2918" s="78" t="n">
        <x:f>AC2917+AB2918</x:f>
        <x:v>3179246.210974454</x:v>
      </x:c>
      <x:c r="AD2918" s="80" t="n">
        <x:f>Z2918/(1+'Inputs'!$C$51)</x:f>
        <x:v>23391.99686623165</x:v>
      </x:c>
      <x:c r="AE2918" s="80" t="n">
        <x:f>Z2918-AD2918</x:f>
        <x:v>46783.99373246329</x:v>
      </x:c>
      <x:c r="AF2918" s="80" t="n">
        <x:f>D2918*W2918</x:f>
        <x:v>640491.3093491273</x:v>
      </x:c>
      <x:c r="AG2918" s="80" t="n">
        <x:f>C2918*W2918</x:f>
        <x:v>1494479.7218147053</x:v>
      </x:c>
      <x:c r="AH2918" s="80" t="n">
        <x:f>2*'Inputs'!$B$8*'Inputs'!$C$51</x:f>
        <x:v>10000</x:v>
      </x:c>
      <x:c r="AI2918" s="81" t="n">
        <x:f>IF(AH2918&gt;0,(AE2918+AF2918)/AH2918*365,0)</x:f>
        <x:v>25085.548562478063</x:v>
      </x:c>
      <x:c r="AJ2918" s="81" t="n">
        <x:f>IF('Inputs'!$B$51&gt;0,AG2918/('Inputs'!$B$19*'Inputs'!$B$51)*365,0)</x:f>
        <x:v>54548.509846236746</x:v>
      </x:c>
      <x:c r="AK2918" s="81" t="n">
        <x:f>W2918/MAX($W$2559:W2918)-1</x:f>
        <x:v>0</x:v>
      </x:c>
      <x:c r="AL2918" s="83" t="n">
        <x:f>'Inputs'!$B$51</x:f>
        <x:v>1</x:v>
      </x:c>
      <x:c r="AM2918" s="83" t="n">
        <x:f>'Inputs'!$C$51</x:f>
        <x:v>2</x:v>
      </x:c>
      <x:c r="AN2918" s="83" t="n">
        <x:f>'Inputs'!$D$51</x:f>
        <x:v>3</x:v>
      </x:c>
      <x:c r="AO2918" s="81" t="n">
        <x:f>'Inputs'!$E$51</x:f>
        <x:v>0.1</x:v>
      </x:c>
    </x:row>
    <x:row r="2919">
      <x:c r="A2919" s="59" t="str">
        <x:v>High demand</x:v>
      </x:c>
      <x:c r="B2919" s="59" t="n">
        <x:v>361</x:v>
      </x:c>
      <x:c r="C2919" s="78" t="n">
        <x:f>(('Inputs'!$B$29*(3*361*'Inputs'!$B$12-361^2)/(2*'Inputs'!$B$12^2))-('Inputs'!$B$29*(3*360*'Inputs'!$B$12-360^2)/(2*'Inputs'!$B$12^2)))*'Inputs'!$B$51</x:f>
        <x:v>594784.9033589661</x:v>
      </x:c>
      <x:c r="D2919" s="78" t="n">
        <x:f>IF('Inputs'!$C$51&gt;0,('Inputs'!$B$30*(3*361*'Inputs'!$B$12-361^2)/(2*'Inputs'!$B$12^2))-('Inputs'!$B$30*(3*360*'Inputs'!$B$12-360^2)/(2*'Inputs'!$B$12^2)),0)</x:f>
        <x:v>254907.81572526693</x:v>
      </x:c>
      <x:c r="E2919" s="78" t="n">
        <x:f>C2919+D2919</x:f>
        <x:v>849692.719084233</x:v>
      </x:c>
      <x:c r="F2919" s="78" t="n">
        <x:f>'Inputs'!$B$13*E2919+(1-'Inputs'!$B$13)/'Inputs'!$B$14*SUM(E2864:E2919)</x:f>
        <x:v>859910.395946702</x:v>
      </x:c>
      <x:c r="G2919" s="78" t="n">
        <x:f>F2919*'Inputs'!$F$51</x:f>
        <x:v>214977.5989866755</x:v>
      </x:c>
      <x:c r="H2919" s="78" t="n">
        <x:f>U2918</x:f>
        <x:v>415571.6676722149</x:v>
      </x:c>
      <x:c r="I2919" s="78" t="n">
        <x:f>V2918</x:f>
        <x:v>1043611.1282731788</x:v>
      </x:c>
      <x:c r="J2919" s="79" t="n">
        <x:f>IF(H2919&gt;0,I2919/H2919,0)</x:f>
        <x:v>2.511266309656929</x:v>
      </x:c>
      <x:c r="K2919" s="80" t="n">
        <x:f>(H2919*J2919+I2919)*'Inputs'!$D$51*(1+'Inputs'!$G$51)^(B2919/30)</x:f>
        <x:v>11263357.026719887</x:v>
      </x:c>
      <x:c r="L2919" s="80" t="n">
        <x:f>MAX(0,K2919*'Inputs'!$E$51)</x:f>
        <x:v>1126335.7026719886</x:v>
      </x:c>
      <x:c r="M2919" s="80" t="n">
        <x:f>MAX(0,-K2919*'Inputs'!$E$51)</x:f>
        <x:v>0</x:v>
      </x:c>
      <x:c r="N2919" s="78" t="n">
        <x:f>H2919*(L2919*(1-'Inputs'!$B$15))/(I2919+L2919*(1-'Inputs'!$B$15))</x:f>
        <x:v>214664.3914468024</x:v>
      </x:c>
      <x:c r="O2919" s="78" t="n">
        <x:f>H2919-N2919</x:f>
        <x:v>200907.27622541253</x:v>
      </x:c>
      <x:c r="P2919" s="78" t="n">
        <x:f>I2919+L2919*(1-'Inputs'!$B$17)</x:f>
        <x:v>2165414.292906246</x:v>
      </x:c>
      <x:c r="Q2919" s="78" t="n">
        <x:f>IF(J2919&gt;0,M2919/J2919,0)</x:f>
        <x:v>0</x:v>
      </x:c>
      <x:c r="R2919" s="78" t="n">
        <x:f>IF(B2919='Inputs'!$H$51,'Inputs'!$B$27*'Inputs'!$I$51,0)</x:f>
        <x:v>0</x:v>
      </x:c>
      <x:c r="S2919" s="78" t="n">
        <x:f>Q2919+G2919+R2919</x:f>
        <x:v>214977.5989866755</x:v>
      </x:c>
      <x:c r="T2919" s="78" t="n">
        <x:f>P2919*(S2919*(1-'Inputs'!$B$15))/(O2919+S2919*(1-'Inputs'!$B$15))</x:f>
        <x:v>1113902.1337850709</x:v>
      </x:c>
      <x:c r="U2919" s="78" t="n">
        <x:f>O2919+S2919*(1-'Inputs'!$B$17)</x:f>
        <x:v>415019.7742101296</x:v>
      </x:c>
      <x:c r="V2919" s="78" t="n">
        <x:f>P2919-T2919</x:f>
        <x:v>1051512.1591211753</x:v>
      </x:c>
      <x:c r="W2919" s="79" t="n">
        <x:f>IF(U2919&gt;0,V2919/U2919,0)</x:f>
        <x:v>2.53364351402876</x:v>
      </x:c>
      <x:c r="X2919" s="80" t="n">
        <x:f>W2919*('Inputs'!$B$6-AC2919)</x:f>
        <x:v>2525565667.4611993</x:v>
      </x:c>
      <x:c r="Y2919" s="80" t="n">
        <x:f>2*V2919</x:f>
        <x:v>2103024.3182423506</x:v>
      </x:c>
      <x:c r="Z2919" s="80" t="n">
        <x:f>K2919*'Inputs'!$B$16+(G2919+R2919)*J2919*'Inputs'!$B$16</x:f>
        <x:v>70819.33817031638</x:v>
      </x:c>
      <x:c r="AA2919" s="80" t="n">
        <x:f>K2919*(1+'Inputs'!$E$51)/2*'Inputs'!$B$17</x:f>
        <x:v>24928.959214068163</x:v>
      </x:c>
      <x:c r="AB2919" s="78" t="n">
        <x:f>(IF(J2919&gt;0,K2919*(1-'Inputs'!$E$51)/2/J2919,0)+G2919+R2919)*'Inputs'!$B$17</x:f>
        <x:v>8987.06763557012</x:v>
      </x:c>
      <x:c r="AC2919" s="78" t="n">
        <x:f>AC2918+AB2919</x:f>
        <x:v>3188233.278610024</x:v>
      </x:c>
      <x:c r="AD2919" s="80" t="n">
        <x:f>Z2919/(1+'Inputs'!$C$51)</x:f>
        <x:v>23606.446056772125</x:v>
      </x:c>
      <x:c r="AE2919" s="80" t="n">
        <x:f>Z2919-AD2919</x:f>
        <x:v>47212.89211354425</x:v>
      </x:c>
      <x:c r="AF2919" s="80" t="n">
        <x:f>D2919*W2919</x:f>
        <x:v>645845.5339875609</x:v>
      </x:c>
      <x:c r="AG2919" s="80" t="n">
        <x:f>C2919*W2919</x:f>
        <x:v>1506972.9126376673</x:v>
      </x:c>
      <x:c r="AH2919" s="80" t="n">
        <x:f>2*'Inputs'!$B$8*'Inputs'!$C$51</x:f>
        <x:v>10000</x:v>
      </x:c>
      <x:c r="AI2919" s="81" t="n">
        <x:f>IF(AH2919&gt;0,(AE2919+AF2919)/AH2919*365,0)</x:f>
        <x:v>25296.63255269034</x:v>
      </x:c>
      <x:c r="AJ2919" s="81" t="n">
        <x:f>IF('Inputs'!$B$51&gt;0,AG2919/('Inputs'!$B$19*'Inputs'!$B$51)*365,0)</x:f>
        <x:v>55004.51131127485</x:v>
      </x:c>
      <x:c r="AK2919" s="81" t="n">
        <x:f>W2919/MAX($W$2559:W2919)-1</x:f>
        <x:v>0</x:v>
      </x:c>
      <x:c r="AL2919" s="83" t="n">
        <x:f>'Inputs'!$B$51</x:f>
        <x:v>1</x:v>
      </x:c>
      <x:c r="AM2919" s="83" t="n">
        <x:f>'Inputs'!$C$51</x:f>
        <x:v>2</x:v>
      </x:c>
      <x:c r="AN2919" s="83" t="n">
        <x:f>'Inputs'!$D$51</x:f>
        <x:v>3</x:v>
      </x:c>
      <x:c r="AO2919" s="81" t="n">
        <x:f>'Inputs'!$E$51</x:f>
        <x:v>0.1</x:v>
      </x:c>
    </x:row>
    <x:row r="2920">
      <x:c r="A2920" s="59" t="str">
        <x:v>High demand</x:v>
      </x:c>
      <x:c r="B2920" s="59" t="n">
        <x:v>362</x:v>
      </x:c>
      <x:c r="C2920" s="78" t="n">
        <x:f>(('Inputs'!$B$29*(3*362*'Inputs'!$B$12-362^2)/(2*'Inputs'!$B$12^2))-('Inputs'!$B$29*(3*361*'Inputs'!$B$12-361^2)/(2*'Inputs'!$B$12^2)))*'Inputs'!$B$51</x:f>
        <x:v>594459.7954588234</x:v>
      </x:c>
      <x:c r="D2920" s="78" t="n">
        <x:f>IF('Inputs'!$C$51&gt;0,('Inputs'!$B$30*(3*362*'Inputs'!$B$12-362^2)/(2*'Inputs'!$B$12^2))-('Inputs'!$B$30*(3*361*'Inputs'!$B$12-361^2)/(2*'Inputs'!$B$12^2)),0)</x:f>
        <x:v>254768.4837680757</x:v>
      </x:c>
      <x:c r="E2920" s="78" t="n">
        <x:f>C2920+D2920</x:f>
        <x:v>849228.2792268991</x:v>
      </x:c>
      <x:c r="F2920" s="78" t="n">
        <x:f>'Inputs'!$B$13*E2920+(1-'Inputs'!$B$13)/'Inputs'!$B$14*SUM(E2865:E2920)</x:f>
        <x:v>859445.9560893283</x:v>
      </x:c>
      <x:c r="G2920" s="78" t="n">
        <x:f>F2920*'Inputs'!$F$51</x:f>
        <x:v>214861.48902233207</x:v>
      </x:c>
      <x:c r="H2920" s="78" t="n">
        <x:f>U2919</x:f>
        <x:v>415019.7742101296</x:v>
      </x:c>
      <x:c r="I2920" s="78" t="n">
        <x:f>V2919</x:f>
        <x:v>1051512.1591211753</x:v>
      </x:c>
      <x:c r="J2920" s="79" t="n">
        <x:f>IF(H2920&gt;0,I2920/H2920,0)</x:f>
        <x:v>2.53364351402876</x:v>
      </x:c>
      <x:c r="K2920" s="80" t="n">
        <x:f>(H2920*J2920+I2920)*'Inputs'!$D$51*(1+'Inputs'!$G$51)^(B2920/30)</x:f>
        <x:v>11367102.029032411</x:v>
      </x:c>
      <x:c r="L2920" s="80" t="n">
        <x:f>MAX(0,K2920*'Inputs'!$E$51)</x:f>
        <x:v>1136710.2029032412</x:v>
      </x:c>
      <x:c r="M2920" s="80" t="n">
        <x:f>MAX(0,-K2920*'Inputs'!$E$51)</x:f>
        <x:v>0</x:v>
      </x:c>
      <x:c r="N2920" s="78" t="n">
        <x:f>H2920*(L2920*(1-'Inputs'!$B$15))/(I2920+L2920*(1-'Inputs'!$B$15))</x:f>
        <x:v>214547.86095182624</x:v>
      </x:c>
      <x:c r="O2920" s="78" t="n">
        <x:f>H2920-N2920</x:f>
        <x:v>200471.91325830334</x:v>
      </x:c>
      <x:c r="P2920" s="78" t="n">
        <x:f>I2920+L2920*(1-'Inputs'!$B$17)</x:f>
        <x:v>2183648.075493619</x:v>
      </x:c>
      <x:c r="Q2920" s="78" t="n">
        <x:f>IF(J2920&gt;0,M2920/J2920,0)</x:f>
        <x:v>0</x:v>
      </x:c>
      <x:c r="R2920" s="78" t="n">
        <x:f>IF(B2920='Inputs'!$H$51,'Inputs'!$B$27*'Inputs'!$I$51,0)</x:f>
        <x:v>0</x:v>
      </x:c>
      <x:c r="S2920" s="78" t="n">
        <x:f>Q2920+G2920+R2920</x:f>
        <x:v>214861.48902233207</x:v>
      </x:c>
      <x:c r="T2920" s="78" t="n">
        <x:f>P2920*(S2920*(1-'Inputs'!$B$15))/(O2920+S2920*(1-'Inputs'!$B$15))</x:f>
        <x:v>1124170.2802393013</x:v>
      </x:c>
      <x:c r="U2920" s="78" t="n">
        <x:f>O2920+S2920*(1-'Inputs'!$B$17)</x:f>
        <x:v>414468.76852199424</x:v>
      </x:c>
      <x:c r="V2920" s="78" t="n">
        <x:f>P2920-T2920</x:f>
        <x:v>1059477.7952543176</x:v>
      </x:c>
      <x:c r="W2920" s="79" t="n">
        <x:f>IF(U2920&gt;0,V2920/U2920,0)</x:f>
        <x:v>2.556230711984503</x:v>
      </x:c>
      <x:c r="X2920" s="80" t="n">
        <x:f>W2920*('Inputs'!$B$6-AC2920)</x:f>
        <x:v>2548057874.160953</x:v>
      </x:c>
      <x:c r="Y2920" s="80" t="n">
        <x:f>2*V2920</x:f>
        <x:v>2118955.590508635</x:v>
      </x:c>
      <x:c r="Z2920" s="80" t="n">
        <x:f>K2920*'Inputs'!$B$16+(G2920+R2920)*J2920*'Inputs'!$B$16</x:f>
        <x:v>71468.90668265043</x:v>
      </x:c>
      <x:c r="AA2920" s="80" t="n">
        <x:f>K2920*(1+'Inputs'!$E$51)/2*'Inputs'!$B$17</x:f>
        <x:v>25158.575919387637</x:v>
      </x:c>
      <x:c r="AB2920" s="78" t="n">
        <x:f>(IF(J2920&gt;0,K2920*(1-'Inputs'!$E$51)/2/J2920,0)+G2920+R2920)*'Inputs'!$B$17</x:f>
        <x:v>8989.016401508992</x:v>
      </x:c>
      <x:c r="AC2920" s="78" t="n">
        <x:f>AC2919+AB2920</x:f>
        <x:v>3197222.295011533</x:v>
      </x:c>
      <x:c r="AD2920" s="80" t="n">
        <x:f>Z2920/(1+'Inputs'!$C$51)</x:f>
        <x:v>23822.96889421681</x:v>
      </x:c>
      <x:c r="AE2920" s="80" t="n">
        <x:f>Z2920-AD2920</x:f>
        <x:v>47645.93778843361</x:v>
      </x:c>
      <x:c r="AF2920" s="80" t="n">
        <x:f>D2920*W2920</x:f>
        <x:v>651247.0226536805</x:v>
      </x:c>
      <x:c r="AG2920" s="80" t="n">
        <x:f>C2920*W2920</x:f>
        <x:v>1519576.3861918703</x:v>
      </x:c>
      <x:c r="AH2920" s="80" t="n">
        <x:f>2*'Inputs'!$B$8*'Inputs'!$C$51</x:f>
        <x:v>10000</x:v>
      </x:c>
      <x:c r="AI2920" s="81" t="n">
        <x:f>IF(AH2920&gt;0,(AE2920+AF2920)/AH2920*365,0)</x:f>
        <x:v>25509.593056137168</x:v>
      </x:c>
      <x:c r="AJ2920" s="81" t="n">
        <x:f>IF('Inputs'!$B$51&gt;0,AG2920/('Inputs'!$B$19*'Inputs'!$B$51)*365,0)</x:f>
        <x:v>55464.53809600327</x:v>
      </x:c>
      <x:c r="AK2920" s="81" t="n">
        <x:f>W2920/MAX($W$2559:W2920)-1</x:f>
        <x:v>0</x:v>
      </x:c>
      <x:c r="AL2920" s="83" t="n">
        <x:f>'Inputs'!$B$51</x:f>
        <x:v>1</x:v>
      </x:c>
      <x:c r="AM2920" s="83" t="n">
        <x:f>'Inputs'!$C$51</x:f>
        <x:v>2</x:v>
      </x:c>
      <x:c r="AN2920" s="83" t="n">
        <x:f>'Inputs'!$D$51</x:f>
        <x:v>3</x:v>
      </x:c>
      <x:c r="AO2920" s="81" t="n">
        <x:f>'Inputs'!$E$51</x:f>
        <x:v>0.1</x:v>
      </x:c>
    </x:row>
    <x:row r="2921">
      <x:c r="A2921" s="59" t="str">
        <x:v>High demand</x:v>
      </x:c>
      <x:c r="B2921" s="59" t="n">
        <x:v>363</x:v>
      </x:c>
      <x:c r="C2921" s="78" t="n">
        <x:f>(('Inputs'!$B$29*(3*363*'Inputs'!$B$12-363^2)/(2*'Inputs'!$B$12^2))-('Inputs'!$B$29*(3*362*'Inputs'!$B$12-362^2)/(2*'Inputs'!$B$12^2)))*'Inputs'!$B$51</x:f>
        <x:v>594134.6875586212</x:v>
      </x:c>
      <x:c r="D2921" s="78" t="n">
        <x:f>IF('Inputs'!$C$51&gt;0,('Inputs'!$B$30*(3*363*'Inputs'!$B$12-363^2)/(2*'Inputs'!$B$12^2))-('Inputs'!$B$30*(3*362*'Inputs'!$B$12-362^2)/(2*'Inputs'!$B$12^2)),0)</x:f>
        <x:v>254629.15181083977</x:v>
      </x:c>
      <x:c r="E2921" s="78" t="n">
        <x:f>C2921+D2921</x:f>
        <x:v>848763.8393694609</x:v>
      </x:c>
      <x:c r="F2921" s="78" t="n">
        <x:f>'Inputs'!$B$13*E2921+(1-'Inputs'!$B$13)/'Inputs'!$B$14*SUM(E2866:E2921)</x:f>
        <x:v>858981.5162319329</x:v>
      </x:c>
      <x:c r="G2921" s="78" t="n">
        <x:f>F2921*'Inputs'!$F$51</x:f>
        <x:v>214745.37905798323</x:v>
      </x:c>
      <x:c r="H2921" s="78" t="n">
        <x:f>U2920</x:f>
        <x:v>414468.76852199424</x:v>
      </x:c>
      <x:c r="I2921" s="78" t="n">
        <x:f>V2920</x:f>
        <x:v>1059477.7952543176</x:v>
      </x:c>
      <x:c r="J2921" s="79" t="n">
        <x:f>IF(H2921&gt;0,I2921/H2921,0)</x:f>
        <x:v>2.556230711984503</x:v>
      </x:c>
      <x:c r="K2921" s="80" t="n">
        <x:f>(H2921*J2921+I2921)*'Inputs'!$D$51*(1+'Inputs'!$G$51)^(B2921/30)</x:f>
        <x:v>11471854.450709127</x:v>
      </x:c>
      <x:c r="L2921" s="80" t="n">
        <x:f>MAX(0,K2921*'Inputs'!$E$51)</x:f>
        <x:v>1147185.4450709128</x:v>
      </x:c>
      <x:c r="M2921" s="80" t="n">
        <x:f>MAX(0,-K2921*'Inputs'!$E$51)</x:f>
        <x:v>0</x:v>
      </x:c>
      <x:c r="N2921" s="78" t="n">
        <x:f>H2921*(L2921*(1-'Inputs'!$B$15))/(I2921+L2921*(1-'Inputs'!$B$15))</x:f>
        <x:v>214431.33219590483</x:v>
      </x:c>
      <x:c r="O2921" s="78" t="n">
        <x:f>H2921-N2921</x:f>
        <x:v>200037.4363260894</x:v>
      </x:c>
      <x:c r="P2921" s="78" t="n">
        <x:f>I2921+L2921*(1-'Inputs'!$B$17)</x:f>
        <x:v>2202046.79990241</x:v>
      </x:c>
      <x:c r="Q2921" s="78" t="n">
        <x:f>IF(J2921&gt;0,M2921/J2921,0)</x:f>
        <x:v>0</x:v>
      </x:c>
      <x:c r="R2921" s="78" t="n">
        <x:f>IF(B2921='Inputs'!$H$51,'Inputs'!$B$27*'Inputs'!$I$51,0)</x:f>
        <x:v>0</x:v>
      </x:c>
      <x:c r="S2921" s="78" t="n">
        <x:f>Q2921+G2921+R2921</x:f>
        <x:v>214745.37905798323</x:v>
      </x:c>
      <x:c r="T2921" s="78" t="n">
        <x:f>P2921*(S2921*(1-'Inputs'!$B$15))/(O2921+S2921*(1-'Inputs'!$B$15))</x:f>
        <x:v>1134538.2014597557</x:v>
      </x:c>
      <x:c r="U2921" s="78" t="n">
        <x:f>O2921+S2921*(1-'Inputs'!$B$17)</x:f>
        <x:v>413918.64886874874</x:v>
      </x:c>
      <x:c r="V2921" s="78" t="n">
        <x:f>P2921-T2921</x:f>
        <x:v>1067508.5984426541</x:v>
      </x:c>
      <x:c r="W2921" s="79" t="n">
        <x:f>IF(U2921&gt;0,V2921/U2921,0)</x:f>
        <x:v>2.5790299648498203</x:v>
      </x:c>
      <x:c r="X2921" s="80" t="n">
        <x:f>W2921*('Inputs'!$B$6-AC2921)</x:f>
        <x:v>2570761044.768436</x:v>
      </x:c>
      <x:c r="Y2921" s="80" t="n">
        <x:f>2*V2921</x:f>
        <x:v>2135017.1968853083</x:v>
      </x:c>
      <x:c r="Z2921" s="80" t="n">
        <x:f>K2921*'Inputs'!$B$16+(G2921+R2921)*J2921*'Inputs'!$B$16</x:f>
        <x:v>72124.75910348339</x:v>
      </x:c>
      <x:c r="AA2921" s="80" t="n">
        <x:f>K2921*(1+'Inputs'!$E$51)/2*'Inputs'!$B$17</x:f>
        <x:v>25390.422325513162</x:v>
      </x:c>
      <x:c r="AB2921" s="78" t="n">
        <x:f>(IF(J2921&gt;0,K2921*(1-'Inputs'!$E$51)/2/J2921,0)+G2921+R2921)*'Inputs'!$B$17</x:f>
        <x:v>8990.968922202448</x:v>
      </x:c>
      <x:c r="AC2921" s="78" t="n">
        <x:f>AC2920+AB2921</x:f>
        <x:v>3206213.2639337354</x:v>
      </x:c>
      <x:c r="AD2921" s="80" t="n">
        <x:f>Z2921/(1+'Inputs'!$C$51)</x:f>
        <x:v>24041.586367827796</x:v>
      </x:c>
      <x:c r="AE2921" s="80" t="n">
        <x:f>Z2921-AD2921</x:f>
        <x:v>48083.17273565559</x:v>
      </x:c>
      <x:c r="AF2921" s="80" t="n">
        <x:f>D2921*W2921</x:f>
        <x:v>656696.2124444497</x:v>
      </x:c>
      <x:c r="AG2921" s="80" t="n">
        <x:f>C2921*W2921</x:f>
        <x:v>1532291.1623703698</x:v>
      </x:c>
      <x:c r="AH2921" s="80" t="n">
        <x:f>2*'Inputs'!$B$8*'Inputs'!$C$51</x:f>
        <x:v>10000</x:v>
      </x:c>
      <x:c r="AI2921" s="81" t="n">
        <x:f>IF(AH2921&gt;0,(AE2921+AF2921)/AH2921*365,0)</x:f>
        <x:v>25724.44755907384</x:v>
      </x:c>
      <x:c r="AJ2921" s="81" t="n">
        <x:f>IF('Inputs'!$B$51&gt;0,AG2921/('Inputs'!$B$19*'Inputs'!$B$51)*365,0)</x:f>
        <x:v>55928.6274265185</x:v>
      </x:c>
      <x:c r="AK2921" s="81" t="n">
        <x:f>W2921/MAX($W$2559:W2921)-1</x:f>
        <x:v>0</x:v>
      </x:c>
      <x:c r="AL2921" s="83" t="n">
        <x:f>'Inputs'!$B$51</x:f>
        <x:v>1</x:v>
      </x:c>
      <x:c r="AM2921" s="83" t="n">
        <x:f>'Inputs'!$C$51</x:f>
        <x:v>2</x:v>
      </x:c>
      <x:c r="AN2921" s="83" t="n">
        <x:f>'Inputs'!$D$51</x:f>
        <x:v>3</x:v>
      </x:c>
      <x:c r="AO2921" s="81" t="n">
        <x:f>'Inputs'!$E$51</x:f>
        <x:v>0.1</x:v>
      </x:c>
    </x:row>
    <x:row r="2922">
      <x:c r="A2922" s="59" t="str">
        <x:v>High demand</x:v>
      </x:c>
      <x:c r="B2922" s="59" t="n">
        <x:v>364</x:v>
      </x:c>
      <x:c r="C2922" s="78" t="n">
        <x:f>(('Inputs'!$B$29*(3*364*'Inputs'!$B$12-364^2)/(2*'Inputs'!$B$12^2))-('Inputs'!$B$29*(3*363*'Inputs'!$B$12-363^2)/(2*'Inputs'!$B$12^2)))*'Inputs'!$B$51</x:f>
        <x:v>593809.5796584785</x:v>
      </x:c>
      <x:c r="D2922" s="78" t="n">
        <x:f>IF('Inputs'!$C$51&gt;0,('Inputs'!$B$30*(3*364*'Inputs'!$B$12-364^2)/(2*'Inputs'!$B$12^2))-('Inputs'!$B$30*(3*363*'Inputs'!$B$12-363^2)/(2*'Inputs'!$B$12^2)),0)</x:f>
        <x:v>254489.81985363364</x:v>
      </x:c>
      <x:c r="E2922" s="78" t="n">
        <x:f>C2922+D2922</x:f>
        <x:v>848299.3995121121</x:v>
      </x:c>
      <x:c r="F2922" s="78" t="n">
        <x:f>'Inputs'!$B$13*E2922+(1-'Inputs'!$B$13)/'Inputs'!$B$14*SUM(E2867:E2922)</x:f>
        <x:v>858517.0763745559</x:v>
      </x:c>
      <x:c r="G2922" s="78" t="n">
        <x:f>F2922*'Inputs'!$F$51</x:f>
        <x:v>214629.26909363898</x:v>
      </x:c>
      <x:c r="H2922" s="78" t="n">
        <x:f>U2921</x:f>
        <x:v>413918.64886874874</x:v>
      </x:c>
      <x:c r="I2922" s="78" t="n">
        <x:f>V2921</x:f>
        <x:v>1067508.5984426541</x:v>
      </x:c>
      <x:c r="J2922" s="79" t="n">
        <x:f>IF(H2922&gt;0,I2922/H2922,0)</x:f>
        <x:v>2.5790299648498203</x:v>
      </x:c>
      <x:c r="K2922" s="80" t="n">
        <x:f>(H2922*J2922+I2922)*'Inputs'!$D$51*(1+'Inputs'!$G$51)^(B2922/30)</x:f>
        <x:v>11577624.527640086</x:v>
      </x:c>
      <x:c r="L2922" s="80" t="n">
        <x:f>MAX(0,K2922*'Inputs'!$E$51)</x:f>
        <x:v>1157762.4527640087</x:v>
      </x:c>
      <x:c r="M2922" s="80" t="n">
        <x:f>MAX(0,-K2922*'Inputs'!$E$51)</x:f>
        <x:v>0</x:v>
      </x:c>
      <x:c r="N2922" s="78" t="n">
        <x:f>H2922*(L2922*(1-'Inputs'!$B$15))/(I2922+L2922*(1-'Inputs'!$B$15))</x:f>
        <x:v>214314.80517570634</x:v>
      </x:c>
      <x:c r="O2922" s="78" t="n">
        <x:f>H2922-N2922</x:f>
        <x:v>199603.8436930424</x:v>
      </x:c>
      <x:c r="P2922" s="78" t="n">
        <x:f>I2922+L2922*(1-'Inputs'!$B$17)</x:f>
        <x:v>2220612.0473726024</x:v>
      </x:c>
      <x:c r="Q2922" s="78" t="n">
        <x:f>IF(J2922&gt;0,M2922/J2922,0)</x:f>
        <x:v>0</x:v>
      </x:c>
      <x:c r="R2922" s="78" t="n">
        <x:f>IF(B2922='Inputs'!$H$51,'Inputs'!$B$27*'Inputs'!$I$51,0)</x:f>
        <x:v>0</x:v>
      </x:c>
      <x:c r="S2922" s="78" t="n">
        <x:f>Q2922+G2922+R2922</x:f>
        <x:v>214629.26909363898</x:v>
      </x:c>
      <x:c r="T2922" s="78" t="n">
        <x:f>P2922*(S2922*(1-'Inputs'!$B$15))/(O2922+S2922*(1-'Inputs'!$B$15))</x:f>
        <x:v>1145006.911776021</x:v>
      </x:c>
      <x:c r="U2922" s="78" t="n">
        <x:f>O2922+S2922*(1-'Inputs'!$B$17)</x:f>
        <x:v>413369.41351467476</x:v>
      </x:c>
      <x:c r="V2922" s="78" t="n">
        <x:f>P2922-T2922</x:f>
        <x:v>1075605.1355965815</x:v>
      </x:c>
      <x:c r="W2922" s="79" t="n">
        <x:f>IF(U2922&gt;0,V2922/U2922,0)</x:f>
        <x:v>2.6020433550011486</x:v>
      </x:c>
      <x:c r="X2922" s="80" t="n">
        <x:f>W2922*('Inputs'!$B$6-AC2922)</x:f>
        <x:v>2593677249.101761</x:v>
      </x:c>
      <x:c r="Y2922" s="80" t="n">
        <x:f>2*V2922</x:f>
        <x:v>2151210.271193163</x:v>
      </x:c>
      <x:c r="Z2922" s="80" t="n">
        <x:f>K2922*'Inputs'!$B$16+(G2922+R2922)*J2922*'Inputs'!$B$16</x:f>
        <x:v>72786.95906379838</x:v>
      </x:c>
      <x:c r="AA2922" s="80" t="n">
        <x:f>K2922*(1+'Inputs'!$E$51)/2*'Inputs'!$B$17</x:f>
        <x:v>25624.52108733219</x:v>
      </x:c>
      <x:c r="AB2922" s="78" t="n">
        <x:f>(IF(J2922&gt;0,K2922*(1-'Inputs'!$E$51)/2/J2922,0)+G2922+R2922)*'Inputs'!$B$17</x:f>
        <x:v>8992.92519765133</x:v>
      </x:c>
      <x:c r="AC2922" s="78" t="n">
        <x:f>AC2921+AB2922</x:f>
        <x:v>3215206.1891313866</x:v>
      </x:c>
      <x:c r="AD2922" s="80" t="n">
        <x:f>Z2922/(1+'Inputs'!$C$51)</x:f>
        <x:v>24262.31968793279</x:v>
      </x:c>
      <x:c r="AE2922" s="80" t="n">
        <x:f>Z2922-AD2922</x:f>
        <x:v>48524.63937586559</x:v>
      </x:c>
      <x:c r="AF2922" s="80" t="n">
        <x:f>D2922*W2922</x:f>
        <x:v>662193.5446655868</x:v>
      </x:c>
      <x:c r="AG2922" s="80" t="n">
        <x:f>C2922*W2922</x:f>
        <x:v>1545118.2708863693</x:v>
      </x:c>
      <x:c r="AH2922" s="80" t="n">
        <x:f>2*'Inputs'!$B$8*'Inputs'!$C$51</x:f>
        <x:v>10000</x:v>
      </x:c>
      <x:c r="AI2922" s="81" t="n">
        <x:f>IF(AH2922&gt;0,(AE2922+AF2922)/AH2922*365,0)</x:f>
        <x:v>25941.213717513012</x:v>
      </x:c>
      <x:c r="AJ2922" s="81" t="n">
        <x:f>IF('Inputs'!$B$51&gt;0,AG2922/('Inputs'!$B$19*'Inputs'!$B$51)*365,0)</x:f>
        <x:v>56396.81688735248</x:v>
      </x:c>
      <x:c r="AK2922" s="81" t="n">
        <x:f>W2922/MAX($W$2559:W2922)-1</x:f>
        <x:v>0</x:v>
      </x:c>
      <x:c r="AL2922" s="83" t="n">
        <x:f>'Inputs'!$B$51</x:f>
        <x:v>1</x:v>
      </x:c>
      <x:c r="AM2922" s="83" t="n">
        <x:f>'Inputs'!$C$51</x:f>
        <x:v>2</x:v>
      </x:c>
      <x:c r="AN2922" s="83" t="n">
        <x:f>'Inputs'!$D$51</x:f>
        <x:v>3</x:v>
      </x:c>
      <x:c r="AO2922" s="81" t="n">
        <x:f>'Inputs'!$E$51</x:f>
        <x:v>0.1</x:v>
      </x:c>
    </x:row>
    <x:row r="2923">
      <x:c r="A2923" s="59" t="str">
        <x:v>High demand</x:v>
      </x:c>
      <x:c r="B2923" s="59" t="n">
        <x:v>365</x:v>
      </x:c>
      <x:c r="C2923" s="78" t="n">
        <x:f>(('Inputs'!$B$29*(3*365*'Inputs'!$B$12-365^2)/(2*'Inputs'!$B$12^2))-('Inputs'!$B$29*(3*364*'Inputs'!$B$12-364^2)/(2*'Inputs'!$B$12^2)))*'Inputs'!$B$51</x:f>
        <x:v>593484.471758306</x:v>
      </x:c>
      <x:c r="D2923" s="78" t="n">
        <x:f>IF('Inputs'!$C$51&gt;0,('Inputs'!$B$30*(3*365*'Inputs'!$B$12-365^2)/(2*'Inputs'!$B$12^2))-('Inputs'!$B$30*(3*364*'Inputs'!$B$12-364^2)/(2*'Inputs'!$B$12^2)),0)</x:f>
        <x:v>254350.4878964126</x:v>
      </x:c>
      <x:c r="E2923" s="78" t="n">
        <x:f>C2923+D2923</x:f>
        <x:v>847834.9596547186</x:v>
      </x:c>
      <x:c r="F2923" s="78" t="n">
        <x:f>'Inputs'!$B$13*E2923+(1-'Inputs'!$B$13)/'Inputs'!$B$14*SUM(E2868:E2923)</x:f>
        <x:v>858052.6365171699</x:v>
      </x:c>
      <x:c r="G2923" s="78" t="n">
        <x:f>F2923*'Inputs'!$F$51</x:f>
        <x:v>214513.15912929247</x:v>
      </x:c>
      <x:c r="H2923" s="78" t="n">
        <x:f>U2922</x:f>
        <x:v>413369.41351467476</x:v>
      </x:c>
      <x:c r="I2923" s="78" t="n">
        <x:f>V2922</x:f>
        <x:v>1075605.1355965815</x:v>
      </x:c>
      <x:c r="J2923" s="79" t="n">
        <x:f>IF(H2923&gt;0,I2923/H2923,0)</x:f>
        <x:v>2.6020433550011486</x:v>
      </x:c>
      <x:c r="K2923" s="80" t="n">
        <x:f>(H2923*J2923+I2923)*'Inputs'!$D$51*(1+'Inputs'!$G$51)^(B2923/30)</x:f>
        <x:v>11684422.603894576</x:v>
      </x:c>
      <x:c r="L2923" s="80" t="n">
        <x:f>MAX(0,K2923*'Inputs'!$E$51)</x:f>
        <x:v>1168442.2603894577</x:v>
      </x:c>
      <x:c r="M2923" s="80" t="n">
        <x:f>MAX(0,-K2923*'Inputs'!$E$51)</x:f>
        <x:v>0</x:v>
      </x:c>
      <x:c r="N2923" s="78" t="n">
        <x:f>H2923*(L2923*(1-'Inputs'!$B$15))/(I2923+L2923*(1-'Inputs'!$B$15))</x:f>
        <x:v>214198.27988791265</x:v>
      </x:c>
      <x:c r="O2923" s="78" t="n">
        <x:f>H2923-N2923</x:f>
        <x:v>199171.1336267621</x:v>
      </x:c>
      <x:c r="P2923" s="78" t="n">
        <x:f>I2923+L2923*(1-'Inputs'!$B$17)</x:f>
        <x:v>2239345.4150589183</x:v>
      </x:c>
      <x:c r="Q2923" s="78" t="n">
        <x:f>IF(J2923&gt;0,M2923/J2923,0)</x:f>
        <x:v>0</x:v>
      </x:c>
      <x:c r="R2923" s="78" t="n">
        <x:f>IF(B2923='Inputs'!$H$51,'Inputs'!$B$27*'Inputs'!$I$51,0)</x:f>
        <x:v>0</x:v>
      </x:c>
      <x:c r="S2923" s="78" t="n">
        <x:f>Q2923+G2923+R2923</x:f>
        <x:v>214513.15912929247</x:v>
      </x:c>
      <x:c r="T2923" s="78" t="n">
        <x:f>P2923*(S2923*(1-'Inputs'!$B$15))/(O2923+S2923*(1-'Inputs'!$B$15))</x:f>
        <x:v>1155577.4362428917</x:v>
      </x:c>
      <x:c r="U2923" s="78" t="n">
        <x:f>O2923+S2923*(1-'Inputs'!$B$17)</x:f>
        <x:v>412821.06072736526</x:v>
      </x:c>
      <x:c r="V2923" s="78" t="n">
        <x:f>P2923-T2923</x:f>
        <x:v>1083767.9788160266</x:v>
      </x:c>
      <x:c r="W2923" s="79" t="n">
        <x:f>IF(U2923&gt;0,V2923/U2923,0)</x:f>
        <x:v>2.6252729860886803</x:v>
      </x:c>
      <x:c r="X2923" s="80" t="n">
        <x:f>W2923*('Inputs'!$B$6-AC2923)</x:f>
        <x:v>2616808578.106447</x:v>
      </x:c>
      <x:c r="Y2923" s="80" t="n">
        <x:f>2*V2923</x:f>
        <x:v>2167535.957632053</x:v>
      </x:c>
      <x:c r="Z2923" s="80" t="n">
        <x:f>K2923*'Inputs'!$B$16+(G2923+R2923)*J2923*'Inputs'!$B$16</x:f>
        <x:v>73455.57086500354</x:v>
      </x:c>
      <x:c r="AA2923" s="80" t="n">
        <x:f>K2923*(1+'Inputs'!$E$51)/2*'Inputs'!$B$17</x:f>
        <x:v>25860.89509916305</x:v>
      </x:c>
      <x:c r="AB2923" s="78" t="n">
        <x:f>(IF(J2923&gt;0,K2923*(1-'Inputs'!$E$51)/2/J2923,0)+G2923+R2923)*'Inputs'!$B$17</x:f>
        <x:v>8994.885227847148</x:v>
      </x:c>
      <x:c r="AC2923" s="78" t="n">
        <x:f>AC2922+AB2923</x:f>
        <x:v>3224201.074359234</x:v>
      </x:c>
      <x:c r="AD2923" s="80" t="n">
        <x:f>Z2923/(1+'Inputs'!$C$51)</x:f>
        <x:v>24485.190288334514</x:v>
      </x:c>
      <x:c r="AE2923" s="80" t="n">
        <x:f>Z2923-AD2923</x:f>
        <x:v>48970.38057666902</x:v>
      </x:c>
      <x:c r="AF2923" s="80" t="n">
        <x:f>D2923*W2923</x:f>
        <x:v>667739.4648729279</x:v>
      </x:c>
      <x:c r="AG2923" s="80" t="n">
        <x:f>C2923*W2923</x:f>
        <x:v>1558058.751370191</x:v>
      </x:c>
      <x:c r="AH2923" s="80" t="n">
        <x:f>2*'Inputs'!$B$8*'Inputs'!$C$51</x:f>
        <x:v>10000</x:v>
      </x:c>
      <x:c r="AI2923" s="81" t="n">
        <x:f>IF(AH2923&gt;0,(AE2923+AF2923)/AH2923*365,0)</x:f>
        <x:v>26159.90935891029</x:v>
      </x:c>
      <x:c r="AJ2923" s="81" t="n">
        <x:f>IF('Inputs'!$B$51&gt;0,AG2923/('Inputs'!$B$19*'Inputs'!$B$51)*365,0)</x:f>
        <x:v>56869.144425011975</x:v>
      </x:c>
      <x:c r="AK2923" s="81" t="n">
        <x:f>W2923/MAX($W$2559:W2923)-1</x:f>
        <x:v>0</x:v>
      </x:c>
      <x:c r="AL2923" s="83" t="n">
        <x:f>'Inputs'!$B$51</x:f>
        <x:v>1</x:v>
      </x:c>
      <x:c r="AM2923" s="83" t="n">
        <x:f>'Inputs'!$C$51</x:f>
        <x:v>2</x:v>
      </x:c>
      <x:c r="AN2923" s="83" t="n">
        <x:f>'Inputs'!$D$51</x:f>
        <x:v>3</x:v>
      </x:c>
      <x:c r="AO2923" s="81" t="n">
        <x:f>'Inputs'!$E$51</x:f>
        <x:v>0.1</x:v>
      </x:c>
    </x:row>
  </x:sheetData>
  <x:mergeCells>
    <x:mergeCell ref="A1:A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58" t="str">
        <x:v>Parameter Sensitivities</x:v>
      </x:c>
      <x:c r="B1" s="58" t="str">
        <x:v>Parameter Sensitivities</x:v>
      </x:c>
      <x:c r="C1" s="58" t="str">
        <x:v>Parameter Sensitivities</x:v>
      </x:c>
      <x:c r="D1" s="58" t="str">
        <x:v>Parameter Sensitivities</x:v>
      </x:c>
      <x:c r="E1" s="58" t="str">
        <x:v>Parameter Sensitivities</x:v>
      </x:c>
      <x:c r="F1" s="58" t="str">
        <x:v>Parameter Sensitivities</x:v>
      </x:c>
      <x:c r="G1" s="58" t="str">
        <x:v>Parameter Sensitivities</x:v>
      </x:c>
      <x:c r="H1" s="58" t="str">
        <x:v>Parameter Sensitivities</x:v>
      </x:c>
    </x:row>
    <x:row r="2" ht="30" customHeight="1">
      <x:c r="A2" s="58" t="str">
        <x:v>Parameter Sensitivities</x:v>
      </x:c>
      <x:c r="B2" s="58" t="str">
        <x:v>Parameter Sensitivities</x:v>
      </x:c>
      <x:c r="C2" s="58" t="str">
        <x:v>Parameter Sensitivities</x:v>
      </x:c>
      <x:c r="D2" s="58" t="str">
        <x:v>Parameter Sensitivities</x:v>
      </x:c>
      <x:c r="E2" s="58" t="str">
        <x:v>Parameter Sensitivities</x:v>
      </x:c>
      <x:c r="F2" s="58" t="str">
        <x:v>Parameter Sensitivities</x:v>
      </x:c>
      <x:c r="G2" s="58" t="str">
        <x:v>Parameter Sensitivities</x:v>
      </x:c>
      <x:c r="H2" s="58" t="str">
        <x:v>Parameter Sensitivities</x:v>
      </x:c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58" t="str">
        <x:v>Graduation FDV (USDC): threshold × LaunchAllocation</x:v>
      </x:c>
      <x:c r="B4" s="58" t="str">
        <x:v>Graduation FDV (USDC): threshold × LaunchAllocation</x:v>
      </x:c>
      <x:c r="C4" s="58" t="str">
        <x:v>Graduation FDV (USDC): threshold × LaunchAllocation</x:v>
      </x:c>
      <x:c r="D4" s="58" t="str">
        <x:v>Graduation FDV (USDC): threshold × LaunchAllocation</x:v>
      </x:c>
      <x:c r="E4" s="58" t="str">
        <x:v>Graduation FDV (USDC): threshold × LaunchAllocation</x:v>
      </x:c>
      <x:c r="F4" s="58" t="str">
        <x:v>Graduation FDV (USDC): threshold × LaunchAllocation</x:v>
      </x:c>
      <x:c r="G4" s="58" t="str">
        <x:v>Graduation FDV (USDC): threshold × LaunchAllocation</x:v>
      </x:c>
      <x:c r="H4" s="59"/>
    </x:row>
    <x:row r="5">
      <x:c r="A5" s="203" t="str">
        <x:v>Threshold / Allocation</x:v>
      </x:c>
      <x:c r="B5" s="204" t="n">
        <x:v>0.005</x:v>
      </x:c>
      <x:c r="C5" s="204" t="n">
        <x:v>0.01</x:v>
      </x:c>
      <x:c r="D5" s="204" t="n">
        <x:v>0.02</x:v>
      </x:c>
      <x:c r="E5" s="204" t="n">
        <x:v>0.03</x:v>
      </x:c>
      <x:c r="F5" s="204" t="n">
        <x:v>0.05</x:v>
      </x:c>
      <x:c r="G5" s="59"/>
      <x:c r="H5" s="59"/>
    </x:row>
    <x:row r="6">
      <x:c r="A6" s="205" t="n">
        <x:v>500</x:v>
      </x:c>
      <x:c r="B6" s="205" t="n">
        <x:f>$A6/(B$5*('Inputs'!$B$9/(1+'Inputs'!$B$9)))</x:f>
        <x:v>349999.99999999994</x:v>
      </x:c>
      <x:c r="C6" s="205" t="n">
        <x:f>$A6/(C$5*('Inputs'!$B$9/(1+'Inputs'!$B$9)))</x:f>
        <x:v>174999.99999999997</x:v>
      </x:c>
      <x:c r="D6" s="205" t="n">
        <x:f>$A6/(D$5*('Inputs'!$B$9/(1+'Inputs'!$B$9)))</x:f>
        <x:v>87499.99999999999</x:v>
      </x:c>
      <x:c r="E6" s="205" t="n">
        <x:f>$A6/(E$5*('Inputs'!$B$9/(1+'Inputs'!$B$9)))</x:f>
        <x:v>58333.33333333333</x:v>
      </x:c>
      <x:c r="F6" s="205" t="n">
        <x:f>$A6/(F$5*('Inputs'!$B$9/(1+'Inputs'!$B$9)))</x:f>
        <x:v>34999.99999999999</x:v>
      </x:c>
      <x:c r="G6" s="59"/>
      <x:c r="H6" s="59"/>
    </x:row>
    <x:row r="7">
      <x:c r="A7" s="205" t="n">
        <x:v>1000</x:v>
      </x:c>
      <x:c r="B7" s="205" t="n">
        <x:f>$A7/(B$5*('Inputs'!$B$9/(1+'Inputs'!$B$9)))</x:f>
        <x:v>699999.9999999999</x:v>
      </x:c>
      <x:c r="C7" s="205" t="n">
        <x:f>$A7/(C$5*('Inputs'!$B$9/(1+'Inputs'!$B$9)))</x:f>
        <x:v>349999.99999999994</x:v>
      </x:c>
      <x:c r="D7" s="205" t="n">
        <x:f>$A7/(D$5*('Inputs'!$B$9/(1+'Inputs'!$B$9)))</x:f>
        <x:v>174999.99999999997</x:v>
      </x:c>
      <x:c r="E7" s="205" t="n">
        <x:f>$A7/(E$5*('Inputs'!$B$9/(1+'Inputs'!$B$9)))</x:f>
        <x:v>116666.66666666666</x:v>
      </x:c>
      <x:c r="F7" s="205" t="n">
        <x:f>$A7/(F$5*('Inputs'!$B$9/(1+'Inputs'!$B$9)))</x:f>
        <x:v>69999.99999999999</x:v>
      </x:c>
      <x:c r="G7" s="59"/>
      <x:c r="H7" s="59"/>
    </x:row>
    <x:row r="8">
      <x:c r="A8" s="205" t="n">
        <x:v>2500</x:v>
      </x:c>
      <x:c r="B8" s="205" t="n">
        <x:f>$A8/(B$5*('Inputs'!$B$9/(1+'Inputs'!$B$9)))</x:f>
        <x:v>1749999.9999999998</x:v>
      </x:c>
      <x:c r="C8" s="205" t="n">
        <x:f>$A8/(C$5*('Inputs'!$B$9/(1+'Inputs'!$B$9)))</x:f>
        <x:v>874999.9999999999</x:v>
      </x:c>
      <x:c r="D8" s="205" t="n">
        <x:f>$A8/(D$5*('Inputs'!$B$9/(1+'Inputs'!$B$9)))</x:f>
        <x:v>437499.99999999994</x:v>
      </x:c>
      <x:c r="E8" s="205" t="n">
        <x:f>$A8/(E$5*('Inputs'!$B$9/(1+'Inputs'!$B$9)))</x:f>
        <x:v>291666.6666666666</x:v>
      </x:c>
      <x:c r="F8" s="205" t="n">
        <x:f>$A8/(F$5*('Inputs'!$B$9/(1+'Inputs'!$B$9)))</x:f>
        <x:v>174999.99999999997</x:v>
      </x:c>
      <x:c r="G8" s="59"/>
      <x:c r="H8" s="59"/>
    </x:row>
    <x:row r="9">
      <x:c r="A9" s="205" t="n">
        <x:v>5000</x:v>
      </x:c>
      <x:c r="B9" s="205" t="n">
        <x:f>$A9/(B$5*('Inputs'!$B$9/(1+'Inputs'!$B$9)))</x:f>
        <x:v>3499999.9999999995</x:v>
      </x:c>
      <x:c r="C9" s="205" t="n">
        <x:f>$A9/(C$5*('Inputs'!$B$9/(1+'Inputs'!$B$9)))</x:f>
        <x:v>1749999.9999999998</x:v>
      </x:c>
      <x:c r="D9" s="205" t="n">
        <x:f>$A9/(D$5*('Inputs'!$B$9/(1+'Inputs'!$B$9)))</x:f>
        <x:v>874999.9999999999</x:v>
      </x:c>
      <x:c r="E9" s="205" t="n">
        <x:f>$A9/(E$5*('Inputs'!$B$9/(1+'Inputs'!$B$9)))</x:f>
        <x:v>583333.3333333333</x:v>
      </x:c>
      <x:c r="F9" s="205" t="n">
        <x:f>$A9/(F$5*('Inputs'!$B$9/(1+'Inputs'!$B$9)))</x:f>
        <x:v>349999.99999999994</x:v>
      </x:c>
      <x:c r="G9" s="59"/>
      <x:c r="H9" s="59"/>
    </x:row>
    <x:row r="10">
      <x:c r="A10" s="205" t="n">
        <x:v>10000</x:v>
      </x:c>
      <x:c r="B10" s="205" t="n">
        <x:f>$A10/(B$5*('Inputs'!$B$9/(1+'Inputs'!$B$9)))</x:f>
        <x:v>6999999.999999999</x:v>
      </x:c>
      <x:c r="C10" s="205" t="n">
        <x:f>$A10/(C$5*('Inputs'!$B$9/(1+'Inputs'!$B$9)))</x:f>
        <x:v>3499999.9999999995</x:v>
      </x:c>
      <x:c r="D10" s="205" t="n">
        <x:f>$A10/(D$5*('Inputs'!$B$9/(1+'Inputs'!$B$9)))</x:f>
        <x:v>1749999.9999999998</x:v>
      </x:c>
      <x:c r="E10" s="205" t="n">
        <x:f>$A10/(E$5*('Inputs'!$B$9/(1+'Inputs'!$B$9)))</x:f>
        <x:v>1166666.6666666665</x:v>
      </x:c>
      <x:c r="F10" s="205" t="n">
        <x:f>$A10/(F$5*('Inputs'!$B$9/(1+'Inputs'!$B$9)))</x:f>
        <x:v>699999.9999999999</x:v>
      </x:c>
      <x:c r="G10" s="59"/>
      <x:c r="H10" s="59"/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59"/>
      <x:c r="B12" s="59"/>
      <x:c r="C12" s="59"/>
      <x:c r="D12" s="59"/>
      <x:c r="E12" s="59"/>
      <x:c r="F12" s="59"/>
      <x:c r="G12" s="59"/>
      <x:c r="H12" s="59"/>
    </x:row>
    <x:row r="13">
      <x:c r="A13" s="58" t="str">
        <x:v>Initial price impact by threshold and trade size</x:v>
      </x:c>
      <x:c r="B13" s="58" t="str">
        <x:v>Initial price impact by threshold and trade size</x:v>
      </x:c>
      <x:c r="C13" s="58" t="str">
        <x:v>Initial price impact by threshold and trade size</x:v>
      </x:c>
      <x:c r="D13" s="58" t="str">
        <x:v>Initial price impact by threshold and trade size</x:v>
      </x:c>
      <x:c r="E13" s="58" t="str">
        <x:v>Initial price impact by threshold and trade size</x:v>
      </x:c>
      <x:c r="F13" s="58" t="str">
        <x:v>Initial price impact by threshold and trade size</x:v>
      </x:c>
      <x:c r="G13" s="58" t="str">
        <x:v>Initial price impact by threshold and trade size</x:v>
      </x:c>
      <x:c r="H13" s="59"/>
    </x:row>
    <x:row r="14">
      <x:c r="A14" s="203" t="str">
        <x:v>Threshold / Trade</x:v>
      </x:c>
      <x:c r="B14" s="206" t="n">
        <x:v>50</x:v>
      </x:c>
      <x:c r="C14" s="206" t="n">
        <x:v>100</x:v>
      </x:c>
      <x:c r="D14" s="206" t="n">
        <x:v>250</x:v>
      </x:c>
      <x:c r="E14" s="206" t="n">
        <x:v>500</x:v>
      </x:c>
      <x:c r="F14" s="206" t="n">
        <x:v>1000</x:v>
      </x:c>
      <x:c r="G14" s="59"/>
      <x:c r="H14" s="59"/>
    </x:row>
    <x:row r="15">
      <x:c r="A15" s="205" t="n">
        <x:v>500</x:v>
      </x:c>
      <x:c r="B15" s="207" t="n">
        <x:f>B$14/($A15+B$14)</x:f>
        <x:v>0.09090909090909091</x:v>
      </x:c>
      <x:c r="C15" s="207" t="n">
        <x:f>C$14/($A15+C$14)</x:f>
        <x:v>0.16666666666666666</x:v>
      </x:c>
      <x:c r="D15" s="207" t="n">
        <x:f>D$14/($A15+D$14)</x:f>
        <x:v>0.3333333333333333</x:v>
      </x:c>
      <x:c r="E15" s="207" t="n">
        <x:f>E$14/($A15+E$14)</x:f>
        <x:v>0.5</x:v>
      </x:c>
      <x:c r="F15" s="207" t="n">
        <x:f>F$14/($A15+F$14)</x:f>
        <x:v>0.6666666666666666</x:v>
      </x:c>
      <x:c r="G15" s="59"/>
      <x:c r="H15" s="59"/>
    </x:row>
    <x:row r="16">
      <x:c r="A16" s="205" t="n">
        <x:v>1000</x:v>
      </x:c>
      <x:c r="B16" s="207" t="n">
        <x:f>B$14/($A16+B$14)</x:f>
        <x:v>0.047619047619047616</x:v>
      </x:c>
      <x:c r="C16" s="207" t="n">
        <x:f>C$14/($A16+C$14)</x:f>
        <x:v>0.09090909090909091</x:v>
      </x:c>
      <x:c r="D16" s="207" t="n">
        <x:f>D$14/($A16+D$14)</x:f>
        <x:v>0.2</x:v>
      </x:c>
      <x:c r="E16" s="207" t="n">
        <x:f>E$14/($A16+E$14)</x:f>
        <x:v>0.3333333333333333</x:v>
      </x:c>
      <x:c r="F16" s="207" t="n">
        <x:f>F$14/($A16+F$14)</x:f>
        <x:v>0.5</x:v>
      </x:c>
      <x:c r="G16" s="59"/>
      <x:c r="H16" s="59"/>
    </x:row>
    <x:row r="17">
      <x:c r="A17" s="205" t="n">
        <x:v>2500</x:v>
      </x:c>
      <x:c r="B17" s="207" t="n">
        <x:f>B$14/($A17+B$14)</x:f>
        <x:v>0.0196078431372549</x:v>
      </x:c>
      <x:c r="C17" s="207" t="n">
        <x:f>C$14/($A17+C$14)</x:f>
        <x:v>0.038461538461538464</x:v>
      </x:c>
      <x:c r="D17" s="207" t="n">
        <x:f>D$14/($A17+D$14)</x:f>
        <x:v>0.09090909090909091</x:v>
      </x:c>
      <x:c r="E17" s="207" t="n">
        <x:f>E$14/($A17+E$14)</x:f>
        <x:v>0.16666666666666666</x:v>
      </x:c>
      <x:c r="F17" s="207" t="n">
        <x:f>F$14/($A17+F$14)</x:f>
        <x:v>0.2857142857142857</x:v>
      </x:c>
      <x:c r="G17" s="59"/>
      <x:c r="H17" s="59"/>
    </x:row>
    <x:row r="18">
      <x:c r="A18" s="205" t="n">
        <x:v>5000</x:v>
      </x:c>
      <x:c r="B18" s="207" t="n">
        <x:f>B$14/($A18+B$14)</x:f>
        <x:v>0.009900990099009901</x:v>
      </x:c>
      <x:c r="C18" s="207" t="n">
        <x:f>C$14/($A18+C$14)</x:f>
        <x:v>0.0196078431372549</x:v>
      </x:c>
      <x:c r="D18" s="207" t="n">
        <x:f>D$14/($A18+D$14)</x:f>
        <x:v>0.047619047619047616</x:v>
      </x:c>
      <x:c r="E18" s="207" t="n">
        <x:f>E$14/($A18+E$14)</x:f>
        <x:v>0.09090909090909091</x:v>
      </x:c>
      <x:c r="F18" s="207" t="n">
        <x:f>F$14/($A18+F$14)</x:f>
        <x:v>0.16666666666666666</x:v>
      </x:c>
      <x:c r="G18" s="59"/>
      <x:c r="H18" s="59"/>
    </x:row>
    <x:row r="19">
      <x:c r="A19" s="205" t="n">
        <x:v>10000</x:v>
      </x:c>
      <x:c r="B19" s="207" t="n">
        <x:f>B$14/($A19+B$14)</x:f>
        <x:v>0.004975124378109453</x:v>
      </x:c>
      <x:c r="C19" s="207" t="n">
        <x:f>C$14/($A19+C$14)</x:f>
        <x:v>0.009900990099009901</x:v>
      </x:c>
      <x:c r="D19" s="207" t="n">
        <x:f>D$14/($A19+D$14)</x:f>
        <x:v>0.024390243902439025</x:v>
      </x:c>
      <x:c r="E19" s="207" t="n">
        <x:f>E$14/($A19+E$14)</x:f>
        <x:v>0.047619047619047616</x:v>
      </x:c>
      <x:c r="F19" s="207" t="n">
        <x:f>F$14/($A19+F$14)</x:f>
        <x:v>0.09090909090909091</x:v>
      </x:c>
      <x:c r="G19" s="59"/>
      <x:c r="H19" s="59"/>
    </x:row>
    <x:row r="20">
      <x:c r="A20" s="59"/>
      <x:c r="B20" s="59"/>
      <x:c r="C20" s="59"/>
      <x:c r="D20" s="59"/>
      <x:c r="E20" s="59"/>
      <x:c r="F20" s="59"/>
      <x:c r="G20" s="59"/>
      <x:c r="H20" s="59"/>
    </x:row>
    <x:row r="21">
      <x:c r="A21" s="59"/>
      <x:c r="B21" s="59"/>
      <x:c r="C21" s="59"/>
      <x:c r="D21" s="59"/>
      <x:c r="E21" s="59"/>
      <x:c r="F21" s="59"/>
      <x:c r="G21" s="59"/>
      <x:c r="H21" s="59"/>
    </x:row>
    <x:row r="22">
      <x:c r="A22" s="58" t="str">
        <x:v>Early dilution: first 7-day emissions ÷ curve-sold float</x:v>
      </x:c>
      <x:c r="B22" s="58" t="str">
        <x:v>Early dilution: first 7-day emissions ÷ curve-sold float</x:v>
      </x:c>
      <x:c r="C22" s="58" t="str">
        <x:v>Early dilution: first 7-day emissions ÷ curve-sold float</x:v>
      </x:c>
      <x:c r="D22" s="58" t="str">
        <x:v>Early dilution: first 7-day emissions ÷ curve-sold float</x:v>
      </x:c>
      <x:c r="E22" s="58" t="str">
        <x:v>Early dilution: first 7-day emissions ÷ curve-sold float</x:v>
      </x:c>
      <x:c r="F22" s="58" t="str">
        <x:v>Early dilution: first 7-day emissions ÷ curve-sold float</x:v>
      </x:c>
      <x:c r="G22" s="58" t="str">
        <x:v>Early dilution: first 7-day emissions ÷ curve-sold float</x:v>
      </x:c>
      <x:c r="H22" s="59"/>
    </x:row>
    <x:row r="23">
      <x:c r="A23" s="203" t="str">
        <x:v>LaunchAllocation</x:v>
      </x:c>
      <x:c r="B23" s="204" t="n">
        <x:v>0.005</x:v>
      </x:c>
      <x:c r="C23" s="204" t="n">
        <x:v>0.01</x:v>
      </x:c>
      <x:c r="D23" s="204" t="n">
        <x:v>0.02</x:v>
      </x:c>
      <x:c r="E23" s="204" t="n">
        <x:v>0.03</x:v>
      </x:c>
      <x:c r="F23" s="204" t="n">
        <x:v>0.05</x:v>
      </x:c>
      <x:c r="G23" s="59"/>
      <x:c r="H23" s="59"/>
    </x:row>
    <x:row r="24">
      <x:c r="A24" s="208" t="str">
        <x:v>7-day dilution multiple</x:v>
      </x:c>
      <x:c r="B24" s="209" t="n">
        <x:f>(('Inputs'!$B$6*(1-B$23))*(3*7*'Inputs'!$B$12-7^2)/(2*'Inputs'!$B$12^2))/('Inputs'!$B$6*B$23/(1+'Inputs'!$B$9))</x:f>
        <x:v>2.000427988365547</x:v>
      </x:c>
      <x:c r="C24" s="209" t="n">
        <x:f>(('Inputs'!$B$6*(1-C$23))*(3*7*'Inputs'!$B$12-7^2)/(2*'Inputs'!$B$12^2))/('Inputs'!$B$6*C$23/(1+'Inputs'!$B$9))</x:f>
        <x:v>0.9951877932069806</x:v>
      </x:c>
      <x:c r="D24" s="209" t="n">
        <x:f>(('Inputs'!$B$6*(1-D$23))*(3*7*'Inputs'!$B$12-7^2)/(2*'Inputs'!$B$12^2))/('Inputs'!$B$6*D$23/(1+'Inputs'!$B$9))</x:f>
        <x:v>0.4925676956276975</x:v>
      </x:c>
      <x:c r="E24" s="209" t="n">
        <x:f>(('Inputs'!$B$6*(1-E$23))*(3*7*'Inputs'!$B$12-7^2)/(2*'Inputs'!$B$12^2))/('Inputs'!$B$6*E$23/(1+'Inputs'!$B$9))</x:f>
        <x:v>0.3250276631012698</x:v>
      </x:c>
      <x:c r="F24" s="209" t="n">
        <x:f>(('Inputs'!$B$6*(1-F$23))*(3*7*'Inputs'!$B$12-7^2)/(2*'Inputs'!$B$12^2))/('Inputs'!$B$6*F$23/(1+'Inputs'!$B$9))</x:f>
        <x:v>0.1909956370801276</x:v>
      </x:c>
      <x:c r="G24" s="59"/>
      <x:c r="H24" s="59"/>
    </x:row>
  </x:sheetData>
  <x:mergeCells>
    <x:mergeCell ref="A1:H2"/>
    <x:mergeCell ref="A4:G4"/>
    <x:mergeCell ref="A13:G13"/>
    <x:mergeCell ref="A22:G22"/>
  </x:mergeCells>
  <x:conditionalFormatting sqref="B6:F10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B15:F19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8" t="str">
        <x:v>Monte Carlo Stress Test — 3,000 Seeded 365-Day Runs</x:v>
      </x:c>
      <x:c r="B1" s="58" t="str">
        <x:v>Monte Carlo Stress Test — 3,000 Seeded 365-Day Runs</x:v>
      </x:c>
      <x:c r="C1" s="58" t="str">
        <x:v>Monte Carlo Stress Test — 3,000 Seeded 365-Day Runs</x:v>
      </x:c>
      <x:c r="D1" s="58" t="str">
        <x:v>Monte Carlo Stress Test — 3,000 Seeded 365-Day Runs</x:v>
      </x:c>
      <x:c r="E1" s="58" t="str">
        <x:v>Monte Carlo Stress Test — 3,000 Seeded 365-Day Runs</x:v>
      </x:c>
      <x:c r="F1" s="58" t="str">
        <x:v>Monte Carlo Stress Test — 3,000 Seeded 365-Day Runs</x:v>
      </x:c>
      <x:c r="G1" s="58" t="str">
        <x:v>Monte Carlo Stress Test — 3,000 Seeded 365-Day Runs</x:v>
      </x:c>
      <x:c r="H1" s="58" t="str">
        <x:v>Monte Carlo Stress Test — 3,000 Seeded 365-Day Runs</x:v>
      </x:c>
      <x:c r="I1" s="59"/>
      <x:c r="J1" s="59"/>
      <x:c r="K1" s="59"/>
    </x:row>
    <x:row r="2" ht="30" customHeight="1">
      <x:c r="A2" s="58" t="str">
        <x:v>Monte Carlo Stress Test — 3,000 Seeded 365-Day Runs</x:v>
      </x:c>
      <x:c r="B2" s="58" t="str">
        <x:v>Monte Carlo Stress Test — 3,000 Seeded 365-Day Runs</x:v>
      </x:c>
      <x:c r="C2" s="58" t="str">
        <x:v>Monte Carlo Stress Test — 3,000 Seeded 365-Day Runs</x:v>
      </x:c>
      <x:c r="D2" s="58" t="str">
        <x:v>Monte Carlo Stress Test — 3,000 Seeded 365-Day Runs</x:v>
      </x:c>
      <x:c r="E2" s="58" t="str">
        <x:v>Monte Carlo Stress Test — 3,000 Seeded 365-Day Runs</x:v>
      </x:c>
      <x:c r="F2" s="58" t="str">
        <x:v>Monte Carlo Stress Test — 3,000 Seeded 365-Day Runs</x:v>
      </x:c>
      <x:c r="G2" s="58" t="str">
        <x:v>Monte Carlo Stress Test — 3,000 Seeded 365-Day Runs</x:v>
      </x:c>
      <x:c r="H2" s="58" t="str">
        <x:v>Monte Carlo Stress Test — 3,000 Seeded 365-Day Runs</x:v>
      </x:c>
      <x:c r="I2" s="59"/>
      <x:c r="J2" s="59"/>
      <x:c r="K2" s="59"/>
    </x:row>
    <x:row r="3">
      <x:c r="A3" s="60" t="str">
        <x:v>Random ranges</x:v>
      </x:c>
      <x:c r="B3" s="60" t="str">
        <x:v>Stake 20–100%</x:v>
      </x:c>
      <x:c r="C3" s="60" t="str">
        <x:v>External LP 0.1–3.0x</x:v>
      </x:c>
      <x:c r="D3" s="60" t="str">
        <x:v>Turnover 0.1–3.0x</x:v>
      </x:c>
      <x:c r="E3" s="60" t="str">
        <x:v>Buy bias −20% to +20%</x:v>
      </x:c>
      <x:c r="F3" s="60" t="str">
        <x:v>Reward sell 25–90%</x:v>
      </x:c>
      <x:c r="G3" s="60" t="str">
        <x:v>25% whale-shock probability</x:v>
      </x:c>
      <x:c r="H3" s="60" t="str">
        <x:v>Seed 20260902</x:v>
      </x:c>
      <x:c r="I3" s="59"/>
      <x:c r="J3" s="59"/>
      <x:c r="K3" s="59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  <x:c r="K4" s="59"/>
    </x:row>
    <x:row r="5">
      <x:c r="A5" s="58" t="str">
        <x:v>Outcome percentiles</x:v>
      </x:c>
      <x:c r="B5" s="58" t="str">
        <x:v>Outcome percentiles</x:v>
      </x:c>
      <x:c r="C5" s="58" t="str">
        <x:v>Outcome percentiles</x:v>
      </x:c>
      <x:c r="D5" s="58" t="str">
        <x:v>Outcome percentiles</x:v>
      </x:c>
      <x:c r="E5" s="58" t="str">
        <x:v>Outcome percentiles</x:v>
      </x:c>
      <x:c r="F5" s="58" t="str">
        <x:v>Outcome percentiles</x:v>
      </x:c>
      <x:c r="G5" s="58" t="str">
        <x:v>Outcome percentiles</x:v>
      </x:c>
      <x:c r="H5" s="59"/>
      <x:c r="I5" s="59"/>
      <x:c r="J5" s="200" t="str">
        <x:v>365-day return band</x:v>
      </x:c>
      <x:c r="K5" s="202" t="str">
        <x:v>Runs</x:v>
      </x:c>
    </x:row>
    <x:row r="6">
      <x:c r="A6" s="85" t="str">
        <x:v>Metric</x:v>
      </x:c>
      <x:c r="B6" s="86" t="str">
        <x:v>P5</x:v>
      </x:c>
      <x:c r="C6" s="86" t="str">
        <x:v>P25</x:v>
      </x:c>
      <x:c r="D6" s="86" t="str">
        <x:v>P50</x:v>
      </x:c>
      <x:c r="E6" s="86" t="str">
        <x:v>P75</x:v>
      </x:c>
      <x:c r="F6" s="87" t="str">
        <x:v>P95</x:v>
      </x:c>
      <x:c r="G6" s="59"/>
      <x:c r="H6" s="59"/>
      <x:c r="I6" s="59"/>
      <x:c r="J6" s="59" t="str">
        <x:v>-100% to -90%</x:v>
      </x:c>
      <x:c r="K6" s="59" t="n">
        <x:v>1818</x:v>
      </x:c>
    </x:row>
    <x:row r="7">
      <x:c r="A7" s="65" t="str">
        <x:v>365-day price return</x:v>
      </x:c>
      <x:c r="B7" s="81" t="n">
        <x:v>-1</x:v>
      </x:c>
      <x:c r="C7" s="81" t="n">
        <x:v>-1</x:v>
      </x:c>
      <x:c r="D7" s="81" t="n">
        <x:v>-0.9996258301622902</x:v>
      </x:c>
      <x:c r="E7" s="81" t="n">
        <x:v>0.30811935569241966</x:v>
      </x:c>
      <x:c r="F7" s="210" t="n">
        <x:v>42.66854128754684</x:v>
      </x:c>
      <x:c r="G7" s="59"/>
      <x:c r="H7" s="59"/>
      <x:c r="I7" s="59"/>
      <x:c r="J7" s="59" t="str">
        <x:v>-90% to -75%</x:v>
      </x:c>
      <x:c r="K7" s="59" t="n">
        <x:v>128</x:v>
      </x:c>
    </x:row>
    <x:row r="8">
      <x:c r="A8" s="65" t="str">
        <x:v>Maximum drawdown</x:v>
      </x:c>
      <x:c r="B8" s="81" t="n">
        <x:v>-1</x:v>
      </x:c>
      <x:c r="C8" s="81" t="n">
        <x:v>-1</x:v>
      </x:c>
      <x:c r="D8" s="81" t="n">
        <x:v>-0.9996258301622902</x:v>
      </x:c>
      <x:c r="E8" s="81" t="n">
        <x:v>-0.8203208657485002</x:v>
      </x:c>
      <x:c r="F8" s="210" t="n">
        <x:v>-0.6333143205351955</x:v>
      </x:c>
      <x:c r="G8" s="59"/>
      <x:c r="H8" s="59"/>
      <x:c r="I8" s="59"/>
      <x:c r="J8" s="59" t="str">
        <x:v>-75% to -50%</x:v>
      </x:c>
      <x:c r="K8" s="59" t="n">
        <x:v>113</x:v>
      </x:c>
    </x:row>
    <x:row r="9">
      <x:c r="A9" s="65" t="str">
        <x:v>End TVL</x:v>
      </x:c>
      <x:c r="B9" s="80" t="n">
        <x:v>0.000002</x:v>
      </x:c>
      <x:c r="C9" s="80" t="n">
        <x:v>0.000002</x:v>
      </x:c>
      <x:c r="D9" s="80" t="n">
        <x:v>156.79243938491877</x:v>
      </x:c>
      <x:c r="E9" s="80" t="n">
        <x:v>11211.084493548831</x:v>
      </x:c>
      <x:c r="F9" s="211" t="n">
        <x:v>113335.25596796587</x:v>
      </x:c>
      <x:c r="G9" s="59"/>
      <x:c r="H9" s="59"/>
      <x:c r="I9" s="59"/>
      <x:c r="J9" s="59" t="str">
        <x:v>-50% to -25%</x:v>
      </x:c>
      <x:c r="K9" s="59" t="n">
        <x:v>89</x:v>
      </x:c>
    </x:row>
    <x:row r="10">
      <x:c r="A10" s="65" t="str">
        <x:v>Cumulative LP fees</x:v>
      </x:c>
      <x:c r="B10" s="80" t="n">
        <x:v>189.16271992464888</x:v>
      </x:c>
      <x:c r="C10" s="80" t="n">
        <x:v>420.60425843543044</x:v>
      </x:c>
      <x:c r="D10" s="80" t="n">
        <x:v>1510.1171811490349</x:v>
      </x:c>
      <x:c r="E10" s="80" t="n">
        <x:v>17162.52399413317</x:v>
      </x:c>
      <x:c r="F10" s="211" t="n">
        <x:v>226245.5055282557</x:v>
      </x:c>
      <x:c r="G10" s="59"/>
      <x:c r="H10" s="59"/>
      <x:c r="I10" s="59"/>
      <x:c r="J10" s="59" t="str">
        <x:v>-25% to 0%</x:v>
      </x:c>
      <x:c r="K10" s="59" t="n">
        <x:v>50</x:v>
      </x:c>
    </x:row>
    <x:row r="11">
      <x:c r="A11" s="65" t="str">
        <x:v>First-30d LP APR</x:v>
      </x:c>
      <x:c r="B11" s="193" t="n">
        <x:v>1.6559613252625016</x:v>
      </x:c>
      <x:c r="C11" s="193" t="n">
        <x:v>6.41645552385316</x:v>
      </x:c>
      <x:c r="D11" s="193" t="n">
        <x:v>20.55042833620565</x:v>
      </x:c>
      <x:c r="E11" s="193" t="n">
        <x:v>97.47194749460354</x:v>
      </x:c>
      <x:c r="F11" s="212" t="n">
        <x:v>1035.6479146736167</x:v>
      </x:c>
      <x:c r="G11" s="59"/>
      <x:c r="H11" s="59"/>
      <x:c r="I11" s="59"/>
      <x:c r="J11" s="59" t="str">
        <x:v>0% to 50%</x:v>
      </x:c>
      <x:c r="K11" s="59" t="n">
        <x:v>78</x:v>
      </x:c>
    </x:row>
    <x:row r="12">
      <x:c r="A12" s="73" t="str">
        <x:v>Rewards sold / supply</x:v>
      </x:c>
      <x:c r="B12" s="84" t="n">
        <x:v>0.05870648335635545</x:v>
      </x:c>
      <x:c r="C12" s="84" t="n">
        <x:v>0.0906896323412641</x:v>
      </x:c>
      <x:c r="D12" s="84" t="n">
        <x:v>0.1261066406715056</x:v>
      </x:c>
      <x:c r="E12" s="84" t="n">
        <x:v>0.16889947216188678</x:v>
      </x:c>
      <x:c r="F12" s="213" t="n">
        <x:v>0.23141754671165415</x:v>
      </x:c>
      <x:c r="G12" s="59"/>
      <x:c r="H12" s="59"/>
      <x:c r="I12" s="59"/>
      <x:c r="J12" s="59" t="str">
        <x:v>50% to 100%</x:v>
      </x:c>
      <x:c r="K12" s="59" t="n">
        <x:v>53</x:v>
      </x:c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 t="str">
        <x:v>100% to 200%</x:v>
      </x:c>
      <x:c r="K13" s="59" t="n">
        <x:v>69</x:v>
      </x:c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 t="str">
        <x:v>200% to 500%</x:v>
      </x:c>
      <x:c r="K14" s="59" t="n">
        <x:v>138</x:v>
      </x:c>
    </x:row>
    <x:row r="15">
      <x:c r="A15" s="58" t="str">
        <x:v>Risk probabilities</x:v>
      </x:c>
      <x:c r="B15" s="58" t="str">
        <x:v>Risk probabilities</x:v>
      </x:c>
      <x:c r="C15" s="58" t="str">
        <x:v>Risk probabilities</x:v>
      </x:c>
      <x:c r="D15" s="58" t="str">
        <x:v>Risk probabilities</x:v>
      </x:c>
      <x:c r="E15" s="59"/>
      <x:c r="F15" s="59"/>
      <x:c r="G15" s="59"/>
      <x:c r="H15" s="59"/>
      <x:c r="I15" s="59"/>
      <x:c r="J15" s="59" t="str">
        <x:v>&gt;=500%</x:v>
      </x:c>
      <x:c r="K15" s="59" t="n">
        <x:v>464</x:v>
      </x:c>
    </x:row>
    <x:row r="16">
      <x:c r="A16" s="61" t="str">
        <x:v>End price down &gt;80%</x:v>
      </x:c>
      <x:c r="B16" s="214" t="n">
        <x:v>0.6383333333333333</x:v>
      </x:c>
      <x:c r="C16" s="64" t="str">
        <x:v>Severe token-price impairment</x:v>
      </x:c>
      <x:c r="D16" s="59"/>
      <x:c r="E16" s="59"/>
      <x:c r="F16" s="59"/>
      <x:c r="G16" s="59"/>
      <x:c r="H16" s="59"/>
      <x:c r="I16" s="59"/>
      <x:c r="J16" s="59"/>
      <x:c r="K16" s="59"/>
    </x:row>
    <x:row r="17">
      <x:c r="A17" s="65" t="str">
        <x:v>Maximum drawdown &gt;90%</x:v>
      </x:c>
      <x:c r="B17" s="81" t="n">
        <x:v>0.656</x:v>
      </x:c>
      <x:c r="C17" s="67" t="str">
        <x:v>Likely confidence/liquidity failure</x:v>
      </x:c>
      <x:c r="D17" s="59"/>
      <x:c r="E17" s="59"/>
      <x:c r="F17" s="59"/>
      <x:c r="G17" s="59"/>
      <x:c r="H17" s="59"/>
      <x:c r="I17" s="59"/>
      <x:c r="J17" s="59"/>
      <x:c r="K17" s="59"/>
    </x:row>
    <x:row r="18">
      <x:c r="A18" s="65" t="str">
        <x:v>End TVL below 2,500 USDC</x:v>
      </x:c>
      <x:c r="B18" s="81" t="n">
        <x:v>0.6033333333333334</x:v>
      </x:c>
      <x:c r="C18" s="67" t="str">
        <x:v>Pool ends thinner than graduation reserve</x:v>
      </x:c>
      <x:c r="D18" s="59"/>
      <x:c r="E18" s="59"/>
      <x:c r="F18" s="59"/>
      <x:c r="G18" s="59"/>
      <x:c r="H18" s="59"/>
      <x:c r="I18" s="59"/>
      <x:c r="J18" s="59"/>
      <x:c r="K18" s="59"/>
    </x:row>
    <x:row r="19">
      <x:c r="A19" s="65" t="str">
        <x:v>Positive 365-day return</x:v>
      </x:c>
      <x:c r="B19" s="81" t="n">
        <x:v>0.2673333333333333</x:v>
      </x:c>
      <x:c r="C19" s="67" t="str">
        <x:v>Requires sustained buy imbalance</x:v>
      </x:c>
      <x:c r="D19" s="59"/>
      <x:c r="E19" s="59"/>
      <x:c r="F19" s="59"/>
      <x:c r="G19" s="59"/>
      <x:c r="H19" s="59"/>
      <x:c r="I19" s="59"/>
      <x:c r="J19" s="59"/>
      <x:c r="K19" s="59"/>
    </x:row>
    <x:row r="20">
      <x:c r="A20" s="73" t="str">
        <x:v>First-30d LP APR above 1,000%</x:v>
      </x:c>
      <x:c r="B20" s="194" t="n">
        <x:v>0.662</x:v>
      </x:c>
      <x:c r="C20" s="76" t="str">
        <x:v>Mercenary-LP / sell-pressure warning</x:v>
      </x:c>
      <x:c r="D20" s="59"/>
      <x:c r="E20" s="59"/>
      <x:c r="F20" s="59"/>
      <x:c r="G20" s="59"/>
      <x:c r="H20" s="59"/>
      <x:c r="I20" s="59"/>
      <x:c r="J20" s="59"/>
      <x:c r="K20" s="59"/>
    </x:row>
  </x:sheetData>
  <x:mergeCells>
    <x:mergeCell ref="A1:H2"/>
    <x:mergeCell ref="A5:G5"/>
    <x:mergeCell ref="A15:D15"/>
  </x:mergeCells>
  <x:pageMargins left="0.7" right="0.7" top="0.75" bottom="0.75" header="0.3" footer="0.3"/>
  <x:drawing xmlns:r="http://schemas.openxmlformats.org/officeDocument/2006/relationships" r:id="Rc48fe1ecc52749d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30" customHeight="1">
      <x:c r="A1" s="58" t="str">
        <x:v>Monte Carlo Raw Runs (static, reproducible seed)</x:v>
      </x:c>
      <x:c r="B1" s="58" t="str">
        <x:v>Monte Carlo Raw Runs (static, reproducible seed)</x:v>
      </x:c>
      <x:c r="C1" s="58" t="str">
        <x:v>Monte Carlo Raw Runs (static, reproducible seed)</x:v>
      </x:c>
      <x:c r="D1" s="58" t="str">
        <x:v>Monte Carlo Raw Runs (static, reproducible seed)</x:v>
      </x:c>
      <x:c r="E1" s="58" t="str">
        <x:v>Monte Carlo Raw Runs (static, reproducible seed)</x:v>
      </x:c>
      <x:c r="F1" s="58" t="str">
        <x:v>Monte Carlo Raw Runs (static, reproducible seed)</x:v>
      </x:c>
      <x:c r="G1" s="58" t="str">
        <x:v>Monte Carlo Raw Runs (static, reproducible seed)</x:v>
      </x:c>
      <x:c r="H1" s="58" t="str">
        <x:v>Monte Carlo Raw Runs (static, reproducible seed)</x:v>
      </x:c>
      <x:c r="I1" s="58" t="str">
        <x:v>Monte Carlo Raw Runs (static, reproducible seed)</x:v>
      </x:c>
      <x:c r="J1" s="58" t="str">
        <x:v>Monte Carlo Raw Runs (static, reproducible seed)</x:v>
      </x:c>
      <x:c r="K1" s="58" t="str">
        <x:v>Monte Carlo Raw Runs (static, reproducible seed)</x:v>
      </x:c>
      <x:c r="L1" s="58" t="str">
        <x:v>Monte Carlo Raw Runs (static, reproducible seed)</x:v>
      </x:c>
      <x:c r="M1" s="58" t="str">
        <x:v>Monte Carlo Raw Runs (static, reproducible seed)</x:v>
      </x:c>
      <x:c r="N1" s="58" t="str">
        <x:v>Monte Carlo Raw Runs (static, reproducible seed)</x:v>
      </x:c>
      <x:c r="O1" s="58" t="str">
        <x:v>Monte Carlo Raw Runs (static, reproducible seed)</x:v>
      </x:c>
      <x:c r="P1" s="58" t="str">
        <x:v>Monte Carlo Raw Runs (static, reproducible seed)</x:v>
      </x:c>
      <x:c r="Q1" s="58" t="str">
        <x:v>Monte Carlo Raw Runs (static, reproducible seed)</x:v>
      </x:c>
      <x:c r="R1" s="58" t="str">
        <x:v>Monte Carlo Raw Runs (static, reproducible seed)</x:v>
      </x:c>
      <x:c r="S1" s="58" t="str">
        <x:v>Monte Carlo Raw Runs (static, reproducible seed)</x:v>
      </x:c>
      <x:c r="T1" s="58" t="str">
        <x:v>Monte Carlo Raw Runs (static, reproducible seed)</x:v>
      </x:c>
    </x:row>
    <x:row r="2" ht="30" customHeight="1">
      <x:c r="A2" s="58" t="str">
        <x:v>Monte Carlo Raw Runs (static, reproducible seed)</x:v>
      </x:c>
      <x:c r="B2" s="58" t="str">
        <x:v>Monte Carlo Raw Runs (static, reproducible seed)</x:v>
      </x:c>
      <x:c r="C2" s="58" t="str">
        <x:v>Monte Carlo Raw Runs (static, reproducible seed)</x:v>
      </x:c>
      <x:c r="D2" s="58" t="str">
        <x:v>Monte Carlo Raw Runs (static, reproducible seed)</x:v>
      </x:c>
      <x:c r="E2" s="58" t="str">
        <x:v>Monte Carlo Raw Runs (static, reproducible seed)</x:v>
      </x:c>
      <x:c r="F2" s="58" t="str">
        <x:v>Monte Carlo Raw Runs (static, reproducible seed)</x:v>
      </x:c>
      <x:c r="G2" s="58" t="str">
        <x:v>Monte Carlo Raw Runs (static, reproducible seed)</x:v>
      </x:c>
      <x:c r="H2" s="58" t="str">
        <x:v>Monte Carlo Raw Runs (static, reproducible seed)</x:v>
      </x:c>
      <x:c r="I2" s="58" t="str">
        <x:v>Monte Carlo Raw Runs (static, reproducible seed)</x:v>
      </x:c>
      <x:c r="J2" s="58" t="str">
        <x:v>Monte Carlo Raw Runs (static, reproducible seed)</x:v>
      </x:c>
      <x:c r="K2" s="58" t="str">
        <x:v>Monte Carlo Raw Runs (static, reproducible seed)</x:v>
      </x:c>
      <x:c r="L2" s="58" t="str">
        <x:v>Monte Carlo Raw Runs (static, reproducible seed)</x:v>
      </x:c>
      <x:c r="M2" s="58" t="str">
        <x:v>Monte Carlo Raw Runs (static, reproducible seed)</x:v>
      </x:c>
      <x:c r="N2" s="58" t="str">
        <x:v>Monte Carlo Raw Runs (static, reproducible seed)</x:v>
      </x:c>
      <x:c r="O2" s="58" t="str">
        <x:v>Monte Carlo Raw Runs (static, reproducible seed)</x:v>
      </x:c>
      <x:c r="P2" s="58" t="str">
        <x:v>Monte Carlo Raw Runs (static, reproducible seed)</x:v>
      </x:c>
      <x:c r="Q2" s="58" t="str">
        <x:v>Monte Carlo Raw Runs (static, reproducible seed)</x:v>
      </x:c>
      <x:c r="R2" s="58" t="str">
        <x:v>Monte Carlo Raw Runs (static, reproducible seed)</x:v>
      </x:c>
      <x:c r="S2" s="58" t="str">
        <x:v>Monte Carlo Raw Runs (static, reproducible seed)</x:v>
      </x:c>
      <x:c r="T2" s="58" t="str">
        <x:v>Monte Carlo Raw Runs (static, reproducible seed)</x:v>
      </x:c>
    </x:row>
    <x:row r="3">
      <x:c r="A3" s="200" t="str">
        <x:v>Run</x:v>
      </x:c>
      <x:c r="B3" s="201" t="str">
        <x:v>Stake coef</x:v>
      </x:c>
      <x:c r="C3" s="201" t="str">
        <x:v>External LP</x:v>
      </x:c>
      <x:c r="D3" s="201" t="str">
        <x:v>Turnover</x:v>
      </x:c>
      <x:c r="E3" s="201" t="str">
        <x:v>Buy bias</x:v>
      </x:c>
      <x:c r="F3" s="201" t="str">
        <x:v>Reward sell</x:v>
      </x:c>
      <x:c r="G3" s="201" t="str">
        <x:v>Monthly growth</x:v>
      </x:c>
      <x:c r="H3" s="201" t="str">
        <x:v>Shock day</x:v>
      </x:c>
      <x:c r="I3" s="201" t="str">
        <x:v>Shock %</x:v>
      </x:c>
      <x:c r="J3" s="201" t="str">
        <x:v>End price</x:v>
      </x:c>
      <x:c r="K3" s="201" t="str">
        <x:v>Price return</x:v>
      </x:c>
      <x:c r="L3" s="201" t="str">
        <x:v>Max drawdown</x:v>
      </x:c>
      <x:c r="M3" s="201" t="str">
        <x:v>End TVL</x:v>
      </x:c>
      <x:c r="N3" s="201" t="str">
        <x:v>Emissions %</x:v>
      </x:c>
      <x:c r="O3" s="201" t="str">
        <x:v>Rewards sold %</x:v>
      </x:c>
      <x:c r="P3" s="201" t="str">
        <x:v>LP fees</x:v>
      </x:c>
      <x:c r="Q3" s="201" t="str">
        <x:v>Burned %</x:v>
      </x:c>
      <x:c r="R3" s="201" t="str">
        <x:v>First-30d LP APR</x:v>
      </x:c>
      <x:c r="S3" s="201" t="str">
        <x:v>Final LP APR</x:v>
      </x:c>
      <x:c r="T3" s="202" t="str">
        <x:v>Final stock APR</x:v>
      </x:c>
    </x:row>
    <x:row r="4">
      <x:c r="A4" s="59" t="n">
        <x:v>1</x:v>
      </x:c>
      <x:c r="B4" s="193" t="n">
        <x:v>0.6337300015613436</x:v>
      </x:c>
      <x:c r="C4" s="83" t="n">
        <x:v>1.5165786063338031</x:v>
      </x:c>
      <x:c r="D4" s="83" t="n">
        <x:v>0.33917579895298555</x:v>
      </x:c>
      <x:c r="E4" s="81" t="n">
        <x:v>-0.058680518779128096</x:v>
      </x:c>
      <x:c r="F4" s="81" t="n">
        <x:v>0.6807828550110571</x:v>
      </x:c>
      <x:c r="G4" s="81" t="n">
        <x:v>0.024968329583809717</x:v>
      </x:c>
      <x:c r="H4" s="59" t="n">
        <x:v>0</x:v>
      </x:c>
      <x:c r="I4" s="81" t="n">
        <x:v>0</x:v>
      </x:c>
      <x:c r="J4" s="79" t="n">
        <x:v>1.2267097780283453e-18</x:v>
      </x:c>
      <x:c r="K4" s="81" t="n">
        <x:v>-0.9999999999999986</x:v>
      </x:c>
      <x:c r="L4" s="81" t="n">
        <x:v>-0.9999999999999986</x:v>
      </x:c>
      <x:c r="M4" s="80" t="n">
        <x:v>0.0004954236001174939</x:v>
      </x:c>
      <x:c r="N4" s="82" t="n">
        <x:v>0.2530601188094412</x:v>
      </x:c>
      <x:c r="O4" s="82" t="n">
        <x:v>0.16274335291576594</x:v>
      </x:c>
      <x:c r="P4" s="80" t="n">
        <x:v>534.6889273146661</x:v>
      </x:c>
      <x:c r="Q4" s="81" t="n">
        <x:v>7359.873006282788</x:v>
      </x:c>
      <x:c r="R4" s="81" t="n">
        <x:v>4.038036824276241</x:v>
      </x:c>
      <x:c r="S4" s="81" t="n">
        <x:v>4.158011906393413e-8</x:v>
      </x:c>
      <x:c r="T4" s="81" t="n">
        <x:v>2.6573211968407402e-14</x:v>
      </x:c>
    </x:row>
    <x:row r="5">
      <x:c r="A5" s="59" t="n">
        <x:v>2</x:v>
      </x:c>
      <x:c r="B5" s="193" t="n">
        <x:v>0.21110943071544172</x:v>
      </x:c>
      <x:c r="C5" s="83" t="n">
        <x:v>1.8485542088351328</x:v>
      </x:c>
      <x:c r="D5" s="83" t="n">
        <x:v>0.42992971631784915</x:v>
      </x:c>
      <x:c r="E5" s="81" t="n">
        <x:v>-0.12056795100960002</x:v>
      </x:c>
      <x:c r="F5" s="81" t="n">
        <x:v>0.5056440260494128</x:v>
      </x:c>
      <x:c r="G5" s="81" t="n">
        <x:v>-0.028313309592707336</x:v>
      </x:c>
      <x:c r="H5" s="59" t="n">
        <x:v>0</x:v>
      </x:c>
      <x:c r="I5" s="81" t="n">
        <x:v>0</x:v>
      </x:c>
      <x:c r="J5" s="79" t="n">
        <x:v>6.541315854286032e-27</x:v>
      </x:c>
      <x:c r="K5" s="81" t="n">
        <x:v>-1</x:v>
      </x:c>
      <x:c r="L5" s="81" t="n">
        <x:v>-1</x:v>
      </x:c>
      <x:c r="M5" s="80" t="n">
        <x:v>0.000002</x:v>
      </x:c>
      <x:c r="N5" s="82" t="n">
        <x:v>0.15238397469824413</x:v>
      </x:c>
      <x:c r="O5" s="82" t="n">
        <x:v>0.07278721786846709</x:v>
      </x:c>
      <x:c r="P5" s="80" t="n">
        <x:v>382.5309470846906</x:v>
      </x:c>
      <x:c r="Q5" s="81" t="n">
        <x:v>2870357545.4471955</x:v>
      </x:c>
      <x:c r="R5" s="81" t="n">
        <x:v>1.8550675852296494</x:v>
      </x:c>
      <x:c r="S5" s="81" t="n">
        <x:v>9.322087451323364e-11</x:v>
      </x:c>
      <x:c r="T5" s="81" t="n">
        <x:v>1.4169918253005902e-22</x:v>
      </x:c>
    </x:row>
    <x:row r="6">
      <x:c r="A6" s="59" t="n">
        <x:v>3</x:v>
      </x:c>
      <x:c r="B6" s="193" t="n">
        <x:v>0.23556988891214134</x:v>
      </x:c>
      <x:c r="C6" s="83" t="n">
        <x:v>0.1166153374319907</x:v>
      </x:c>
      <x:c r="D6" s="83" t="n">
        <x:v>1.2470436767543105</x:v>
      </x:c>
      <x:c r="E6" s="81" t="n">
        <x:v>0.09515995862892593</x:v>
      </x:c>
      <x:c r="F6" s="81" t="n">
        <x:v>0.4200951159349643</x:v>
      </x:c>
      <x:c r="G6" s="81" t="n">
        <x:v>-0.0077737716300793226</x:v>
      </x:c>
      <x:c r="H6" s="59" t="n">
        <x:v>0</x:v>
      </x:c>
      <x:c r="I6" s="81" t="n">
        <x:v>0</x:v>
      </x:c>
      <x:c r="J6" s="79" t="n">
        <x:v>0.02193536847493712</x:v>
      </x:c>
      <x:c r="K6" s="81" t="n">
        <x:v>24.068992542785285</x:v>
      </x:c>
      <x:c r="L6" s="81" t="n">
        <x:v>-0.7553519577254234</x:v>
      </x:c>
      <x:c r="M6" s="80" t="n">
        <x:v>41652.86155210099</x:v>
      </x:c>
      <x:c r="N6" s="82" t="n">
        <x:v>0.1582109144742893</x:v>
      </x:c>
      <x:c r="O6" s="82" t="n">
        <x:v>0.06278487227249863</x:v>
      </x:c>
      <x:c r="P6" s="80" t="n">
        <x:v>80428.48050628287</x:v>
      </x:c>
      <x:c r="Q6" s="81" t="n">
        <x:v>0.0017850163798420605</x:v>
      </x:c>
      <x:c r="R6" s="81" t="n">
        <x:v>4825.854232645894</x:v>
      </x:c>
      <x:c r="S6" s="81" t="n">
        <x:v>3512.488676062041</x:v>
      </x:c>
      <x:c r="T6" s="81" t="n">
        <x:v>475.1679708842728</x:v>
      </x:c>
    </x:row>
    <x:row r="7">
      <x:c r="A7" s="59" t="n">
        <x:v>4</x:v>
      </x:c>
      <x:c r="B7" s="193" t="n">
        <x:v>0.7345098916441202</x:v>
      </x:c>
      <x:c r="C7" s="83" t="n">
        <x:v>0.44015717989130826</x:v>
      </x:c>
      <x:c r="D7" s="83" t="n">
        <x:v>0.3391882364910256</x:v>
      </x:c>
      <x:c r="E7" s="81" t="n">
        <x:v>0.10409415815777502</x:v>
      </x:c>
      <x:c r="F7" s="81" t="n">
        <x:v>0.8739469234016725</x:v>
      </x:c>
      <x:c r="G7" s="81" t="n">
        <x:v>0.016327323873648443</x:v>
      </x:c>
      <x:c r="H7" s="59" t="n">
        <x:v>0</x:v>
      </x:c>
      <x:c r="I7" s="81" t="n">
        <x:v>0</x:v>
      </x:c>
      <x:c r="J7" s="79" t="n">
        <x:v>0.0003309289912018882</x:v>
      </x:c>
      <x:c r="K7" s="81" t="n">
        <x:v>-0.6217954386264134</x:v>
      </x:c>
      <x:c r="L7" s="81" t="n">
        <x:v>-0.8631187330099734</x:v>
      </x:c>
      <x:c r="M7" s="80" t="n">
        <x:v>5193.360503775157</x:v>
      </x:c>
      <x:c r="N7" s="82" t="n">
        <x:v>0.27706777825009793</x:v>
      </x:c>
      <x:c r="O7" s="82" t="n">
        <x:v>0.22873995002422737</x:v>
      </x:c>
      <x:c r="P7" s="80" t="n">
        <x:v>3865.0373092331724</x:v>
      </x:c>
      <x:c r="Q7" s="81" t="n">
        <x:v>0.005144801696507803</x:v>
      </x:c>
      <x:c r="R7" s="81" t="n">
        <x:v>47.40965732207232</x:v>
      </x:c>
      <x:c r="S7" s="81" t="n">
        <x:v>14.67229879881473</x:v>
      </x:c>
      <x:c r="T7" s="81" t="n">
        <x:v>7.168644439953103</x:v>
      </x:c>
    </x:row>
    <x:row r="8">
      <x:c r="A8" s="59" t="n">
        <x:v>5</x:v>
      </x:c>
      <x:c r="B8" s="193" t="n">
        <x:v>0.5440672475844621</x:v>
      </x:c>
      <x:c r="C8" s="83" t="n">
        <x:v>2.635642628893995</x:v>
      </x:c>
      <x:c r="D8" s="83" t="n">
        <x:v>0.5061708123016335</x:v>
      </x:c>
      <x:c r="E8" s="81" t="n">
        <x:v>-0.006442747822773132</x:v>
      </x:c>
      <x:c r="F8" s="81" t="n">
        <x:v>0.3961084934533574</x:v>
      </x:c>
      <x:c r="G8" s="81" t="n">
        <x:v>-0.02654019253964269</x:v>
      </x:c>
      <x:c r="H8" s="59" t="n">
        <x:v>0</x:v>
      </x:c>
      <x:c r="I8" s="81" t="n">
        <x:v>0</x:v>
      </x:c>
      <x:c r="J8" s="79" t="n">
        <x:v>8.952390259993061e-7</x:v>
      </x:c>
      <x:c r="K8" s="81" t="n">
        <x:v>-0.9989768696845722</x:v>
      </x:c>
      <x:c r="L8" s="81" t="n">
        <x:v>-0.9989768696845722</x:v>
      </x:c>
      <x:c r="M8" s="80" t="n">
        <x:v>587.4768531956067</x:v>
      </x:c>
      <x:c r="N8" s="82" t="n">
        <x:v>0.23170076963551098</x:v>
      </x:c>
      <x:c r="O8" s="82" t="n">
        <x:v>0.08669869749712494</x:v>
      </x:c>
      <x:c r="P8" s="80" t="n">
        <x:v>3883.186994637272</x:v>
      </x:c>
      <x:c r="Q8" s="81" t="n">
        <x:v>0.07336656221912817</x:v>
      </x:c>
      <x:c r="R8" s="81" t="n">
        <x:v>5.808160351646169</x:v>
      </x:c>
      <x:c r="S8" s="81" t="n">
        <x:v>0.03229593286325171</x:v>
      </x:c>
      <x:c r="T8" s="81" t="n">
        <x:v>0.01939283180615558</x:v>
      </x:c>
    </x:row>
    <x:row r="9">
      <x:c r="A9" s="59" t="n">
        <x:v>6</x:v>
      </x:c>
      <x:c r="B9" s="193" t="n">
        <x:v>0.9667594593018294</x:v>
      </x:c>
      <x:c r="C9" s="83" t="n">
        <x:v>0.1279458214563797</x:v>
      </x:c>
      <x:c r="D9" s="83" t="n">
        <x:v>1.0100077009427428</x:v>
      </x:c>
      <x:c r="E9" s="81" t="n">
        <x:v>0.041141728204699024</x:v>
      </x:c>
      <x:c r="F9" s="81" t="n">
        <x:v>0.625673208432272</x:v>
      </x:c>
      <x:c r="G9" s="81" t="n">
        <x:v>0.006799026948527776</x:v>
      </x:c>
      <x:c r="H9" s="59" t="n">
        <x:v>47</x:v>
      </x:c>
      <x:c r="I9" s="81" t="n">
        <x:v>0.16127441441640258</x:v>
      </x:c>
      <x:c r="J9" s="79" t="n">
        <x:v>0.0003129734720133038</x:v>
      </x:c>
      <x:c r="K9" s="81" t="n">
        <x:v>-0.6423160319847956</x:v>
      </x:c>
      <x:c r="L9" s="81" t="n">
        <x:v>-0.8661672021306529</x:v>
      </x:c>
      <x:c r="M9" s="80" t="n">
        <x:v>4019.398221741926</x:v>
      </x:c>
      <x:c r="N9" s="82" t="n">
        <x:v>0.33239397994555736</x:v>
      </x:c>
      <x:c r="O9" s="82" t="n">
        <x:v>0.1964588738129724</x:v>
      </x:c>
      <x:c r="P9" s="80" t="n">
        <x:v>8165.077532052261</x:v>
      </x:c>
      <x:c r="Q9" s="81" t="n">
        <x:v>0.010754474346880153</x:v>
      </x:c>
      <x:c r="R9" s="81" t="n">
        <x:v>173.40826927412309</x:v>
      </x:c>
      <x:c r="S9" s="81" t="n">
        <x:v>47.191425075936216</x:v>
      </x:c>
      <x:c r="T9" s="81" t="n">
        <x:v>6.779688693494518</x:v>
      </x:c>
    </x:row>
    <x:row r="10">
      <x:c r="A10" s="59" t="n">
        <x:v>7</x:v>
      </x:c>
      <x:c r="B10" s="193" t="n">
        <x:v>0.7567499747499824</x:v>
      </x:c>
      <x:c r="C10" s="83" t="n">
        <x:v>0.2029691111417895</x:v>
      </x:c>
      <x:c r="D10" s="83" t="n">
        <x:v>1.396337052017322</x:v>
      </x:c>
      <x:c r="E10" s="81" t="n">
        <x:v>0.07512546803529957</x:v>
      </x:c>
      <x:c r="F10" s="81" t="n">
        <x:v>0.4805155889829621</x:v>
      </x:c>
      <x:c r="G10" s="81" t="n">
        <x:v>0.017032910688273655</x:v>
      </x:c>
      <x:c r="H10" s="59" t="n">
        <x:v>82</x:v>
      </x:c>
      <x:c r="I10" s="81" t="n">
        <x:v>0.32771808756515386</x:v>
      </x:c>
      <x:c r="J10" s="79" t="n">
        <x:v>0.008268251261788467</x:v>
      </x:c>
      <x:c r="K10" s="81" t="n">
        <x:v>8.449430013472535</x:v>
      </x:c>
      <x:c r="L10" s="81" t="n">
        <x:v>-0.9451263101122284</x:v>
      </x:c>
      <x:c r="M10" s="80" t="n">
        <x:v>27830.90402496159</x:v>
      </x:c>
      <x:c r="N10" s="82" t="n">
        <x:v>0.2823657830474724</x:v>
      </x:c>
      <x:c r="O10" s="82" t="n">
        <x:v>0.1281712121324018</x:v>
      </x:c>
      <x:c r="P10" s="80" t="n">
        <x:v>62064.54165877008</x:v>
      </x:c>
      <x:c r="Q10" s="81" t="n">
        <x:v>0.004582498338869573</x:v>
      </x:c>
      <x:c r="R10" s="81" t="n">
        <x:v>834.4084136295292</x:v>
      </x:c>
      <x:c r="S10" s="81" t="n">
        <x:v>774.7214525358228</x:v>
      </x:c>
      <x:c r="T10" s="81" t="n">
        <x:v>179.10837373506286</x:v>
      </x:c>
    </x:row>
    <x:row r="11">
      <x:c r="A11" s="59" t="n">
        <x:v>8</x:v>
      </x:c>
      <x:c r="B11" s="193" t="n">
        <x:v>0.6853154253214597</x:v>
      </x:c>
      <x:c r="C11" s="83" t="n">
        <x:v>2.095496106701809</x:v>
      </x:c>
      <x:c r="D11" s="83" t="n">
        <x:v>0.5557593564039841</x:v>
      </x:c>
      <x:c r="E11" s="81" t="n">
        <x:v>-0.10070027367616773</x:v>
      </x:c>
      <x:c r="F11" s="81" t="n">
        <x:v>0.31840432644821703</x:v>
      </x:c>
      <x:c r="G11" s="81" t="n">
        <x:v>-0.020067517265933903</x:v>
      </x:c>
      <x:c r="H11" s="59" t="n">
        <x:v>0</x:v>
      </x:c>
      <x:c r="I11" s="81" t="n">
        <x:v>0</x:v>
      </x:c>
      <x:c r="J11" s="79" t="n">
        <x:v>1.2304587948516083e-28</x:v>
      </x:c>
      <x:c r="K11" s="81" t="n">
        <x:v>-1</x:v>
      </x:c>
      <x:c r="L11" s="81" t="n">
        <x:v>-1</x:v>
      </x:c>
      <x:c r="M11" s="80" t="n">
        <x:v>0.000002</x:v>
      </x:c>
      <x:c r="N11" s="82" t="n">
        <x:v>0.2653487339757966</x:v>
      </x:c>
      <x:c r="O11" s="82" t="n">
        <x:v>0.07981176625854283</x:v>
      </x:c>
      <x:c r="P11" s="80" t="n">
        <x:v>502.4910648272759</x:v>
      </x:c>
      <x:c r="Q11" s="81" t="n">
        <x:v>179459374577.03076</x:v>
      </x:c>
      <x:c r="R11" s="81" t="n">
        <x:v>1.6398366362581096</x:v>
      </x:c>
      <x:c r="S11" s="81" t="n">
        <x:v>1.2289866510909937e-10</x:v>
      </x:c>
      <x:c r="T11" s="81" t="n">
        <x:v>2.66544238577247e-24</x:v>
      </x:c>
    </x:row>
    <x:row r="12">
      <x:c r="A12" s="59" t="n">
        <x:v>9</x:v>
      </x:c>
      <x:c r="B12" s="193" t="n">
        <x:v>0.97670427672565</x:v>
      </x:c>
      <x:c r="C12" s="83" t="n">
        <x:v>0.3742391811443349</x:v>
      </x:c>
      <x:c r="D12" s="83" t="n">
        <x:v>1.0007947155920358</x:v>
      </x:c>
      <x:c r="E12" s="81" t="n">
        <x:v>0.054029638766821604</x:v>
      </x:c>
      <x:c r="F12" s="81" t="n">
        <x:v>0.3359091554186307</x:v>
      </x:c>
      <x:c r="G12" s="81" t="n">
        <x:v>0.004911094107963206</x:v>
      </x:c>
      <x:c r="H12" s="59" t="n">
        <x:v>0</x:v>
      </x:c>
      <x:c r="I12" s="81" t="n">
        <x:v>0</x:v>
      </x:c>
      <x:c r="J12" s="79" t="n">
        <x:v>0.0026872816342535222</x:v>
      </x:c>
      <x:c r="K12" s="81" t="n">
        <x:v>2.071179010575454</x:v>
      </x:c>
      <x:c r="L12" s="81" t="n">
        <x:v>-0.718413033103513</x:v>
      </x:c>
      <x:c r="M12" s="80" t="n">
        <x:v>14963.550499405294</x:v>
      </x:c>
      <x:c r="N12" s="82" t="n">
        <x:v>0.3347630219212382</x:v>
      </x:c>
      <x:c r="O12" s="82" t="n">
        <x:v>0.10622586161905075</x:v>
      </x:c>
      <x:c r="P12" s="80" t="n">
        <x:v>27566.944740963125</x:v>
      </x:c>
      <x:c r="Q12" s="81" t="n">
        <x:v>0.00465295822220565</x:v>
      </x:c>
      <x:c r="R12" s="81" t="n">
        <x:v>217.14066483597017</x:v>
      </x:c>
      <x:c r="S12" s="81" t="n">
        <x:v>138.62607208672273</x:v>
      </x:c>
      <x:c r="T12" s="81" t="n">
        <x:v>58.21238712273234</x:v>
      </x:c>
    </x:row>
    <x:row r="13">
      <x:c r="A13" s="59" t="n">
        <x:v>10</x:v>
      </x:c>
      <x:c r="B13" s="193" t="n">
        <x:v>0.20891846250742674</x:v>
      </x:c>
      <x:c r="C13" s="83" t="n">
        <x:v>2.0225184937910745</x:v>
      </x:c>
      <x:c r="D13" s="83" t="n">
        <x:v>0.38942764796156065</x:v>
      </x:c>
      <x:c r="E13" s="81" t="n">
        <x:v>-0.05745490349780554</x:v>
      </x:c>
      <x:c r="F13" s="81" t="n">
        <x:v>0.6873577195452527</x:v>
      </x:c>
      <x:c r="G13" s="81" t="n">
        <x:v>0.021267399611370315</x:v>
      </x:c>
      <x:c r="H13" s="59" t="n">
        <x:v>0</x:v>
      </x:c>
      <x:c r="I13" s="81" t="n">
        <x:v>0</x:v>
      </x:c>
      <x:c r="J13" s="79" t="n">
        <x:v>9.761409354186406e-20</x:v>
      </x:c>
      <x:c r="K13" s="81" t="n">
        <x:v>-0.9999999999999999</x:v>
      </x:c>
      <x:c r="L13" s="81" t="n">
        <x:v>-0.9999999999999999</x:v>
      </x:c>
      <x:c r="M13" s="80" t="n">
        <x:v>0.00016845986611087294</x:v>
      </x:c>
      <x:c r="N13" s="82" t="n">
        <x:v>0.15186204499044098</x:v>
      </x:c>
      <x:c r="O13" s="82" t="n">
        <x:v>0.09860592243500126</x:v>
      </x:c>
      <x:c r="P13" s="80" t="n">
        <x:v>741.3066242752082</x:v>
      </x:c>
      <x:c r="Q13" s="81" t="n">
        <x:v>32083.625499453163</x:v>
      </x:c>
      <x:c r="R13" s="81" t="n">
        <x:v>3.298635647832477</x:v>
      </x:c>
      <x:c r="S13" s="81" t="n">
        <x:v>1.2983576250266917e-8</x:v>
      </x:c>
      <x:c r="T13" s="81" t="n">
        <x:v>2.1145343790778556e-15</x:v>
      </x:c>
    </x:row>
    <x:row r="14">
      <x:c r="A14" s="59" t="n">
        <x:v>11</x:v>
      </x:c>
      <x:c r="B14" s="193" t="n">
        <x:v>0.601969663798809</x:v>
      </x:c>
      <x:c r="C14" s="83" t="n">
        <x:v>0.28750613100592</x:v>
      </x:c>
      <x:c r="D14" s="83" t="n">
        <x:v>0.42682972491499127</x:v>
      </x:c>
      <x:c r="E14" s="81" t="n">
        <x:v>0.00856979289684094</x:v>
      </x:c>
      <x:c r="F14" s="81" t="n">
        <x:v>0.43224501783261077</x:v>
      </x:c>
      <x:c r="G14" s="81" t="n">
        <x:v>0.017489695916875297</x:v>
      </x:c>
      <x:c r="H14" s="59" t="n">
        <x:v>0</x:v>
      </x:c>
      <x:c r="I14" s="81" t="n">
        <x:v>0</x:v>
      </x:c>
      <x:c r="J14" s="79" t="n">
        <x:v>0.000012461102992257489</x:v>
      </x:c>
      <x:c r="K14" s="81" t="n">
        <x:v>-0.98575873943742</x:v>
      </x:c>
      <x:c r="L14" s="81" t="n">
        <x:v>-0.9862122611215003</x:v>
      </x:c>
      <x:c r="M14" s="80" t="n">
        <x:v>786.8373219640886</x:v>
      </x:c>
      <x:c r="N14" s="82" t="n">
        <x:v>0.24549421084807246</x:v>
      </x:c>
      <x:c r="O14" s="82" t="n">
        <x:v>0.10024026203033946</x:v>
      </x:c>
      <x:c r="P14" s="80" t="n">
        <x:v>1454.3857234667412</x:v>
      </x:c>
      <x:c r="Q14" s="81" t="n">
        <x:v>0.01745884966815238</x:v>
      </x:c>
      <x:c r="R14" s="81" t="n">
        <x:v>42.31842765566409</x:v>
      </x:c>
      <x:c r="S14" s="81" t="n">
        <x:v>0.9468998119426865</x:v>
      </x:c>
      <x:c r="T14" s="81" t="n">
        <x:v>0.26993469613133103</x:v>
      </x:c>
    </x:row>
    <x:row r="15">
      <x:c r="A15" s="59" t="n">
        <x:v>12</x:v>
      </x:c>
      <x:c r="B15" s="193" t="n">
        <x:v>0.5008474297821521</x:v>
      </x:c>
      <x:c r="C15" s="83" t="n">
        <x:v>0.33776133406546716</x:v>
      </x:c>
      <x:c r="D15" s="83" t="n">
        <x:v>0.6656995339922563</x:v>
      </x:c>
      <x:c r="E15" s="81" t="n">
        <x:v>0.003173214006739803</x:v>
      </x:c>
      <x:c r="F15" s="81" t="n">
        <x:v>0.3956085971207358</x:v>
      </x:c>
      <x:c r="G15" s="81" t="n">
        <x:v>0.013374111326975139</x:v>
      </x:c>
      <x:c r="H15" s="59" t="n">
        <x:v>0</x:v>
      </x:c>
      <x:c r="I15" s="81" t="n">
        <x:v>0</x:v>
      </x:c>
      <x:c r="J15" s="79" t="n">
        <x:v>0.000007929800094345027</x:v>
      </x:c>
      <x:c r="K15" s="81" t="n">
        <x:v>-0.9909373713207486</x:v>
      </x:c>
      <x:c r="L15" s="81" t="n">
        <x:v>-0.9909373713207486</x:v>
      </x:c>
      <x:c r="M15" s="80" t="n">
        <x:v>647.6502891727259</x:v>
      </x:c>
      <x:c r="N15" s="82" t="n">
        <x:v>0.2214049986634169</x:v>
      </x:c>
      <x:c r="O15" s="82" t="n">
        <x:v>0.08274163232947464</x:v>
      </x:c>
      <x:c r="P15" s="80" t="n">
        <x:v>2277.6941229637364</x:v>
      </x:c>
      <x:c r="Q15" s="81" t="n">
        <x:v>0.02944950723706213</x:v>
      </x:c>
      <x:c r="R15" s="81" t="n">
        <x:v>38.07031651160621</x:v>
      </x:c>
      <x:c r="S15" s="81" t="n">
        <x:v>0.6024926871713423</x:v>
      </x:c>
      <x:c r="T15" s="81" t="n">
        <x:v>0.1717767825351583</x:v>
      </x:c>
    </x:row>
    <x:row r="16">
      <x:c r="A16" s="59" t="n">
        <x:v>13</x:v>
      </x:c>
      <x:c r="B16" s="193" t="n">
        <x:v>0.9917102890089156</x:v>
      </x:c>
      <x:c r="C16" s="83" t="n">
        <x:v>0.2240862438125979</x:v>
      </x:c>
      <x:c r="D16" s="83" t="n">
        <x:v>0.8767036957597442</x:v>
      </x:c>
      <x:c r="E16" s="81" t="n">
        <x:v>0.09964112759815055</x:v>
      </x:c>
      <x:c r="F16" s="81" t="n">
        <x:v>0.7640391820808873</x:v>
      </x:c>
      <x:c r="G16" s="81" t="n">
        <x:v>0.016741253283115987</x:v>
      </x:c>
      <x:c r="H16" s="59" t="n">
        <x:v>0</x:v>
      </x:c>
      <x:c r="I16" s="81" t="n">
        <x:v>0</x:v>
      </x:c>
      <x:c r="J16" s="79" t="n">
        <x:v>0.001556547578123668</x:v>
      </x:c>
      <x:c r="K16" s="81" t="n">
        <x:v>0.7789115178556207</x:v>
      </x:c>
      <x:c r="L16" s="81" t="n">
        <x:v>-0.8302922934836594</x:v>
      </x:c>
      <x:c r="M16" s="80" t="n">
        <x:v>11622.628387054023</x:v>
      </x:c>
      <x:c r="N16" s="82" t="n">
        <x:v>0.3383377354098427</x:v>
      </x:c>
      <x:c r="O16" s="82" t="n">
        <x:v>0.2441951369910025</x:v>
      </x:c>
      <x:c r="P16" s="80" t="n">
        <x:v>17851.030658476535</x:v>
      </x:c>
      <x:c r="Q16" s="81" t="n">
        <x:v>0.00630330335986405</x:v>
      </x:c>
      <x:c r="R16" s="81" t="n">
        <x:v>219.9042498236098</x:v>
      </x:c>
      <x:c r="S16" s="81" t="n">
        <x:v>133.78404603803725</x:v>
      </x:c>
      <x:c r="T16" s="81" t="n">
        <x:v>33.71821882668294</x:v>
      </x:c>
    </x:row>
    <x:row r="17">
      <x:c r="A17" s="59" t="n">
        <x:v>14</x:v>
      </x:c>
      <x:c r="B17" s="193" t="n">
        <x:v>0.4687919199466706</x:v>
      </x:c>
      <x:c r="C17" s="83" t="n">
        <x:v>0.21934301417777563</x:v>
      </x:c>
      <x:c r="D17" s="83" t="n">
        <x:v>0.4194102881394797</x:v>
      </x:c>
      <x:c r="E17" s="81" t="n">
        <x:v>0.05843418928865272</x:v>
      </x:c>
      <x:c r="F17" s="81" t="n">
        <x:v>0.2875506179407239</x:v>
      </x:c>
      <x:c r="G17" s="81" t="n">
        <x:v>-0.028408357789663344</x:v>
      </x:c>
      <x:c r="H17" s="59" t="n">
        <x:v>0</x:v>
      </x:c>
      <x:c r="I17" s="81" t="n">
        <x:v>0</x:v>
      </x:c>
      <x:c r="J17" s="79" t="n">
        <x:v>0.000592367081340139</x:v>
      </x:c>
      <x:c r="K17" s="81" t="n">
        <x:v>-0.32300904989698387</x:v>
      </x:c>
      <x:c r="L17" s="81" t="n">
        <x:v>-0.7244003012383353</x:v>
      </x:c>
      <x:c r="M17" s="80" t="n">
        <x:v>5472.81168769787</x:v>
      </x:c>
      <x:c r="N17" s="82" t="n">
        <x:v>0.21376877517979584</x:v>
      </x:c>
      <x:c r="O17" s="82" t="n">
        <x:v>0.05806701697245732</x:v>
      </x:c>
      <x:c r="P17" s="80" t="n">
        <x:v>4971.1064849233735</x:v>
      </x:c>
      <x:c r="Q17" s="81" t="n">
        <x:v>0.002165971397630387</x:v>
      </x:c>
      <x:c r="R17" s="81" t="n">
        <x:v>178.72099478018438</x:v>
      </x:c>
      <x:c r="S17" s="81" t="n">
        <x:v>50.758047403582</x:v>
      </x:c>
      <x:c r="T17" s="81" t="n">
        <x:v>12.831964248999912</x:v>
      </x:c>
    </x:row>
    <x:row r="18">
      <x:c r="A18" s="59" t="n">
        <x:v>15</x:v>
      </x:c>
      <x:c r="B18" s="193" t="n">
        <x:v>0.6711804812774063</x:v>
      </x:c>
      <x:c r="C18" s="83" t="n">
        <x:v>0.5880629274197505</x:v>
      </x:c>
      <x:c r="D18" s="83" t="n">
        <x:v>0.5079619382486711</x:v>
      </x:c>
      <x:c r="E18" s="81" t="n">
        <x:v>0.043148985069412005</x:v>
      </x:c>
      <x:c r="F18" s="81" t="n">
        <x:v>0.3186530560255051</x:v>
      </x:c>
      <x:c r="G18" s="81" t="n">
        <x:v>-0.010578054857795604</x:v>
      </x:c>
      <x:c r="H18" s="59" t="n">
        <x:v>0</x:v>
      </x:c>
      <x:c r="I18" s="81" t="n">
        <x:v>0</x:v>
      </x:c>
      <x:c r="J18" s="79" t="n">
        <x:v>0.0006509349723229669</x:v>
      </x:c>
      <x:c r="K18" s="81" t="n">
        <x:v>-0.2560743173451806</x:v>
      </x:c>
      <x:c r="L18" s="81" t="n">
        <x:v>-0.6891958331041502</x:v>
      </x:c>
      <x:c r="M18" s="80" t="n">
        <x:v>7467.8244372017725</x:v>
      </x:c>
      <x:c r="N18" s="82" t="n">
        <x:v>0.261981525274302</x:v>
      </x:c>
      <x:c r="O18" s="82" t="n">
        <x:v>0.07886053082512168</x:v>
      </x:c>
      <x:c r="P18" s="80" t="n">
        <x:v>8097.419238085339</x:v>
      </x:c>
      <x:c r="Q18" s="81" t="n">
        <x:v>0.003944715589946834</x:v>
      </x:c>
      <x:c r="R18" s="81" t="n">
        <x:v>58.99871744875868</x:v>
      </x:c>
      <x:c r="S18" s="81" t="n">
        <x:v>21.509158960105143</x:v>
      </x:c>
      <x:c r="T18" s="81" t="n">
        <x:v>14.10067263423078</x:v>
      </x:c>
    </x:row>
    <x:row r="19">
      <x:c r="A19" s="59" t="n">
        <x:v>16</x:v>
      </x:c>
      <x:c r="B19" s="193" t="n">
        <x:v>0.9063194805756212</x:v>
      </x:c>
      <x:c r="C19" s="83" t="n">
        <x:v>2.3250080252795553</x:v>
      </x:c>
      <x:c r="D19" s="83" t="n">
        <x:v>1.7700003963141804</x:v>
      </x:c>
      <x:c r="E19" s="81" t="n">
        <x:v>0.05455347844806862</x:v>
      </x:c>
      <x:c r="F19" s="81" t="n">
        <x:v>0.6460067520965822</x:v>
      </x:c>
      <x:c r="G19" s="81" t="n">
        <x:v>0.017909893365825637</x:v>
      </x:c>
      <x:c r="H19" s="59" t="n">
        <x:v>0</x:v>
      </x:c>
      <x:c r="I19" s="81" t="n">
        <x:v>0</x:v>
      </x:c>
      <x:c r="J19" s="79" t="n">
        <x:v>0.02326350924781948</x:v>
      </x:c>
      <x:c r="K19" s="81" t="n">
        <x:v>25.586867711793694</x:v>
      </x:c>
      <x:c r="L19" s="81" t="n">
        <x:v>-0.7187167076388583</x:v>
      </x:c>
      <x:c r="M19" s="80" t="n">
        <x:v>125699.03428544299</x:v>
      </x:c>
      <x:c r="N19" s="82" t="n">
        <x:v>0.31799604376337376</x:v>
      </x:c>
      <x:c r="O19" s="82" t="n">
        <x:v>0.19405718000888228</x:v>
      </x:c>
      <x:c r="P19" s="80" t="n">
        <x:v>355700.58429114585</x:v>
      </x:c>
      <x:c r="Q19" s="81" t="n">
        <x:v>0.00933235123338799</x:v>
      </x:c>
      <x:c r="R19" s="81" t="n">
        <x:v>168.94890985550404</x:v>
      </x:c>
      <x:c r="S19" s="81" t="n">
        <x:v>223.616156237829</x:v>
      </x:c>
      <x:c r="T19" s="81" t="n">
        <x:v>503.9383996473113</x:v>
      </x:c>
    </x:row>
    <x:row r="20">
      <x:c r="A20" s="59" t="n">
        <x:v>17</x:v>
      </x:c>
      <x:c r="B20" s="193" t="n">
        <x:v>0.8508016947656871</x:v>
      </x:c>
      <x:c r="C20" s="83" t="n">
        <x:v>2.952355803592325</x:v>
      </x:c>
      <x:c r="D20" s="83" t="n">
        <x:v>1.020767284115716</x:v>
      </x:c>
      <x:c r="E20" s="81" t="n">
        <x:v>0.2</x:v>
      </x:c>
      <x:c r="F20" s="81" t="n">
        <x:v>0.7823991546873004</x:v>
      </x:c>
      <x:c r="G20" s="81" t="n">
        <x:v>0.0010979384633272961</x:v>
      </x:c>
      <x:c r="H20" s="59" t="n">
        <x:v>0</x:v>
      </x:c>
      <x:c r="I20" s="81" t="n">
        <x:v>0</x:v>
      </x:c>
      <x:c r="J20" s="79" t="n">
        <x:v>0.09257435459891515</x:v>
      </x:c>
      <x:c r="K20" s="81" t="n">
        <x:v>104.79926239876018</x:v>
      </x:c>
      <x:c r="L20" s="81" t="n">
        <x:v>-0.8002595880984749</x:v>
      </x:c>
      <x:c r="M20" s="80" t="n">
        <x:v>382033.418303155</x:v>
      </x:c>
      <x:c r="N20" s="82" t="n">
        <x:v>0.30477066622496335</x:v>
      </x:c>
      <x:c r="O20" s="82" t="n">
        <x:v>0.2252539828912176</x:v>
      </x:c>
      <x:c r="P20" s="80" t="n">
        <x:v>535555.903336094</x:v>
      </x:c>
      <x:c r="Q20" s="81" t="n">
        <x:v>0.003578025120875431</x:v>
      </x:c>
      <x:c r="R20" s="81" t="n">
        <x:v>557.6259187587852</x:v>
      </x:c>
      <x:c r="S20" s="81" t="n">
        <x:v>631.9660310114544</x:v>
      </x:c>
      <x:c r="T20" s="81" t="n">
        <x:v>2005.362630718869</x:v>
      </x:c>
    </x:row>
    <x:row r="21">
      <x:c r="A21" s="59" t="n">
        <x:v>18</x:v>
      </x:c>
      <x:c r="B21" s="193" t="n">
        <x:v>0.9264365592971444</x:v>
      </x:c>
      <x:c r="C21" s="83" t="n">
        <x:v>2.7224146167740217</x:v>
      </x:c>
      <x:c r="D21" s="83" t="n">
        <x:v>0.4274787641884643</x:v>
      </x:c>
      <x:c r="E21" s="81" t="n">
        <x:v>0.1541027276171552</x:v>
      </x:c>
      <x:c r="F21" s="81" t="n">
        <x:v>0.7210558780119755</x:v>
      </x:c>
      <x:c r="G21" s="81" t="n">
        <x:v>0.009276214474188955</x:v>
      </x:c>
      <x:c r="H21" s="59" t="n">
        <x:v>73</x:v>
      </x:c>
      <x:c r="I21" s="81" t="n">
        <x:v>0.13855720506981017</x:v>
      </x:c>
      <x:c r="J21" s="79" t="n">
        <x:v>0.00788020104029606</x:v>
      </x:c>
      <x:c r="K21" s="81" t="n">
        <x:v>8.00594404605264</x:v>
      </x:c>
      <x:c r="L21" s="81" t="n">
        <x:v>-0.7710403193860267</x:v>
      </x:c>
      <x:c r="M21" s="80" t="n">
        <x:v>72734.26253605643</x:v>
      </x:c>
      <x:c r="N21" s="82" t="n">
        <x:v>0.3227883091100666</x:v>
      </x:c>
      <x:c r="O21" s="82" t="n">
        <x:v>0.2198657898260041</x:v>
      </x:c>
      <x:c r="P21" s="80" t="n">
        <x:v>58565.9174187884</x:v>
      </x:c>
      <x:c r="Q21" s="81" t="n">
        <x:v>0.0037580800999728655</x:v>
      </x:c>
      <x:c r="R21" s="81" t="n">
        <x:v>61.31872928305721</x:v>
      </x:c>
      <x:c r="S21" s="81" t="n">
        <x:v>58.37138903183143</x:v>
      </x:c>
      <x:c r="T21" s="81" t="n">
        <x:v>170.70235873885167</x:v>
      </x:c>
    </x:row>
    <x:row r="22">
      <x:c r="A22" s="59" t="n">
        <x:v>19</x:v>
      </x:c>
      <x:c r="B22" s="193" t="n">
        <x:v>0.7151203861460089</x:v>
      </x:c>
      <x:c r="C22" s="83" t="n">
        <x:v>0.741057947840753</x:v>
      </x:c>
      <x:c r="D22" s="83" t="n">
        <x:v>0.4426092503666199</x:v>
      </x:c>
      <x:c r="E22" s="81" t="n">
        <x:v>0.10175728865301965</x:v>
      </x:c>
      <x:c r="F22" s="81" t="n">
        <x:v>0.45398709543515</x:v>
      </x:c>
      <x:c r="G22" s="81" t="n">
        <x:v>0.004899356047654308</x:v>
      </x:c>
      <x:c r="H22" s="59" t="n">
        <x:v>0</x:v>
      </x:c>
      <x:c r="I22" s="81" t="n">
        <x:v>0</x:v>
      </x:c>
      <x:c r="J22" s="79" t="n">
        <x:v>0.002388283761873703</x:v>
      </x:c>
      <x:c r="K22" s="81" t="n">
        <x:v>1.7294671564270896</x:v>
      </x:c>
      <x:c r="L22" s="81" t="n">
        <x:v>-0.6895098714179491</x:v>
      </x:c>
      <x:c r="M22" s="80" t="n">
        <x:v>17286.019791623075</x:v>
      </x:c>
      <x:c r="N22" s="82" t="n">
        <x:v>0.27244883448721985</x:v>
      </x:c>
      <x:c r="O22" s="82" t="n">
        <x:v>0.11684211358955243</x:v>
      </x:c>
      <x:c r="P22" s="80" t="n">
        <x:v>15117.578707752515</x:v>
      </x:c>
      <x:c r="Q22" s="81" t="n">
        <x:v>0.002776496415911127</x:v>
      </x:c>
      <x:c r="R22" s="81" t="n">
        <x:v>94.79321484194993</x:v>
      </x:c>
      <x:c r="S22" s="81" t="n">
        <x:v>62.06575594935295</x:v>
      </x:c>
      <x:c r="T22" s="81" t="n">
        <x:v>51.735440429096236</x:v>
      </x:c>
    </x:row>
    <x:row r="23">
      <x:c r="A23" s="59" t="n">
        <x:v>20</x:v>
      </x:c>
      <x:c r="B23" s="193" t="n">
        <x:v>0.8029463866725564</x:v>
      </x:c>
      <x:c r="C23" s="83" t="n">
        <x:v>0.10789759239221722</x:v>
      </x:c>
      <x:c r="D23" s="83" t="n">
        <x:v>1.6416998412500123</x:v>
      </x:c>
      <x:c r="E23" s="81" t="n">
        <x:v>0.1250637238120933</x:v>
      </x:c>
      <x:c r="F23" s="81" t="n">
        <x:v>0.5250651066889986</x:v>
      </x:c>
      <x:c r="G23" s="81" t="n">
        <x:v>0.023307513664122297</x:v>
      </x:c>
      <x:c r="H23" s="59" t="n">
        <x:v>86</x:v>
      </x:c>
      <x:c r="I23" s="81" t="n">
        <x:v>0.25245345709845424</x:v>
      </x:c>
      <x:c r="J23" s="79" t="n">
        <x:v>0.028817100106881016</x:v>
      </x:c>
      <x:c r="K23" s="81" t="n">
        <x:v>31.933828693578306</x:v>
      </x:c>
      <x:c r="L23" s="81" t="n">
        <x:v>-0.9594240798512842</x:v>
      </x:c>
      <x:c r="M23" s="80" t="n">
        <x:v>63852.6233750652</x:v>
      </x:c>
      <x:c r="N23" s="82" t="n">
        <x:v>0.29337063455015305</x:v>
      </x:c>
      <x:c r="O23" s="82" t="n">
        <x:v>0.14551264673199862</x:v>
      </x:c>
      <x:c r="P23" s="80" t="n">
        <x:v>141233.26134944748</x:v>
      </x:c>
      <x:c r="Q23" s="81" t="n">
        <x:v>0.0037027198404747793</x:v>
      </x:c>
      <x:c r="R23" s="81" t="n">
        <x:v>3531.15601287121</x:v>
      </x:c>
      <x:c r="S23" s="81" t="n">
        <x:v>5017.9596849019135</x:v>
      </x:c>
      <x:c r="T23" s="81" t="n">
        <x:v>624.2413023606554</x:v>
      </x:c>
    </x:row>
    <x:row r="24">
      <x:c r="A24" s="59" t="n">
        <x:v>21</x:v>
      </x:c>
      <x:c r="B24" s="193" t="n">
        <x:v>0.3949379622936249</x:v>
      </x:c>
      <x:c r="C24" s="83" t="n">
        <x:v>0.7994403286797824</x:v>
      </x:c>
      <x:c r="D24" s="83" t="n">
        <x:v>0.5631296498319005</x:v>
      </x:c>
      <x:c r="E24" s="81" t="n">
        <x:v>-0.1401448467060618</x:v>
      </x:c>
      <x:c r="F24" s="81" t="n">
        <x:v>0.4987235631910153</x:v>
      </x:c>
      <x:c r="G24" s="81" t="n">
        <x:v>-0.01250158385754974</x:v>
      </x:c>
      <x:c r="H24" s="59" t="n">
        <x:v>0</x:v>
      </x:c>
      <x:c r="I24" s="81" t="n">
        <x:v>0</x:v>
      </x:c>
      <x:c r="J24" s="79" t="n">
        <x:v>4.791738549870932e-35</x:v>
      </x:c>
      <x:c r="K24" s="81" t="n">
        <x:v>-1</x:v>
      </x:c>
      <x:c r="L24" s="81" t="n">
        <x:v>-1</x:v>
      </x:c>
      <x:c r="M24" s="80" t="n">
        <x:v>0.000002</x:v>
      </x:c>
      <x:c r="N24" s="82" t="n">
        <x:v>0.19617537770513455</x:v>
      </x:c>
      <x:c r="O24" s="82" t="n">
        <x:v>0.09242199249830654</x:v>
      </x:c>
      <x:c r="P24" s="80" t="n">
        <x:v>217.2935967942635</x:v>
      </x:c>
      <x:c r="Q24" s="81" t="n">
        <x:v>342992467927342800</x:v>
      </x:c>
      <x:c r="R24" s="81" t="n">
        <x:v>2.5455614807581903</x:v>
      </x:c>
      <x:c r="S24" s="81" t="n">
        <x:v>2.352346778606361e-10</x:v>
      </x:c>
      <x:c r="T24" s="81" t="n">
        <x:v>1.0379951840570325e-30</x:v>
      </x:c>
    </x:row>
    <x:row r="25">
      <x:c r="A25" s="59" t="n">
        <x:v>22</x:v>
      </x:c>
      <x:c r="B25" s="193" t="n">
        <x:v>0.9163634963333607</x:v>
      </x:c>
      <x:c r="C25" s="83" t="n">
        <x:v>1.3235724028745408</x:v>
      </x:c>
      <x:c r="D25" s="83" t="n">
        <x:v>0.5924349340335995</x:v>
      </x:c>
      <x:c r="E25" s="81" t="n">
        <x:v>-0.03699701810513657</x:v>
      </x:c>
      <x:c r="F25" s="81" t="n">
        <x:v>0.3343684050254524</x:v>
      </x:c>
      <x:c r="G25" s="81" t="n">
        <x:v>-0.013894456947025164</x:v>
      </x:c>
      <x:c r="H25" s="59" t="n">
        <x:v>0</x:v>
      </x:c>
      <x:c r="I25" s="81" t="n">
        <x:v>0</x:v>
      </x:c>
      <x:c r="J25" s="79" t="n">
        <x:v>1.302223265925286e-16</x:v>
      </x:c>
      <x:c r="K25" s="81" t="n">
        <x:v>-0.9999999999998511</x:v>
      </x:c>
      <x:c r="L25" s="81" t="n">
        <x:v>-0.9999999999998511</x:v>
      </x:c>
      <x:c r="M25" s="80" t="n">
        <x:v>0.004681388795376455</x:v>
      </x:c>
      <x:c r="N25" s="82" t="n">
        <x:v>0.3203887166421629</x:v>
      </x:c>
      <x:c r="O25" s="82" t="n">
        <x:v>0.10119833990530415</x:v>
      </x:c>
      <x:c r="P25" s="80" t="n">
        <x:v>845.7730583776819</x:v>
      </x:c>
      <x:c r="Q25" s="81" t="n">
        <x:v>1017.7999611972624</x:v>
      </x:c>
      <x:c r="R25" s="81" t="n">
        <x:v>4.935799870802797</x:v>
      </x:c>
      <x:c r="S25" s="81" t="n">
        <x:v>4.571054092870516e-7</x:v>
      </x:c>
      <x:c r="T25" s="81" t="n">
        <x:v>2.8208998978750124e-12</x:v>
      </x:c>
    </x:row>
    <x:row r="26">
      <x:c r="A26" s="59" t="n">
        <x:v>23</x:v>
      </x:c>
      <x:c r="B26" s="193" t="n">
        <x:v>0.6663243221119046</x:v>
      </x:c>
      <x:c r="C26" s="83" t="n">
        <x:v>0.11461384572847043</x:v>
      </x:c>
      <x:c r="D26" s="83" t="n">
        <x:v>1.1199606065735777</x:v>
      </x:c>
      <x:c r="E26" s="81" t="n">
        <x:v>-0.013966010795351674</x:v>
      </x:c>
      <x:c r="F26" s="81" t="n">
        <x:v>0.6919864049414173</x:v>
      </x:c>
      <x:c r="G26" s="81" t="n">
        <x:v>0.005711861643979549</x:v>
      </x:c>
      <x:c r="H26" s="59" t="n">
        <x:v>53</x:v>
      </x:c>
      <x:c r="I26" s="81" t="n">
        <x:v>0.4387233046814799</x:v>
      </x:c>
      <x:c r="J26" s="79" t="n">
        <x:v>4.380468880092308e-15</x:v>
      </x:c>
      <x:c r="K26" s="81" t="n">
        <x:v>-0.9999999999949938</x:v>
      </x:c>
      <x:c r="L26" s="81" t="n">
        <x:v>-0.9999999999949938</x:v>
      </x:c>
      <x:c r="M26" s="80" t="n">
        <x:v>0.01295798120124334</x:v>
      </x:c>
      <x:c r="N26" s="82" t="n">
        <x:v>0.2608246971080954</x:v>
      </x:c>
      <x:c r="O26" s="82" t="n">
        <x:v>0.17049718610558143</x:v>
      </x:c>
      <x:c r="P26" s="80" t="n">
        <x:v>700.9457509409515</x:v>
      </x:c>
      <x:c r="Q26" s="81" t="n">
        <x:v>216.91134060180354</x:v>
      </x:c>
      <x:c r="R26" s="81" t="n">
        <x:v>42.58769477945689</x:v>
      </x:c>
      <x:c r="S26" s="81" t="n">
        <x:v>0.000006315605448674118</x:v>
      </x:c>
      <x:c r="T26" s="81" t="n">
        <x:v>9.489051946646778e-11</x:v>
      </x:c>
    </x:row>
    <x:row r="27">
      <x:c r="A27" s="59" t="n">
        <x:v>24</x:v>
      </x:c>
      <x:c r="B27" s="193" t="n">
        <x:v>0.8660201169550419</x:v>
      </x:c>
      <x:c r="C27" s="83" t="n">
        <x:v>0.28006543469844325</x:v>
      </x:c>
      <x:c r="D27" s="83" t="n">
        <x:v>3</x:v>
      </x:c>
      <x:c r="E27" s="81" t="n">
        <x:v>0.025844560725329917</x:v>
      </x:c>
      <x:c r="F27" s="81" t="n">
        <x:v>0.328612377832178</x:v>
      </x:c>
      <x:c r="G27" s="81" t="n">
        <x:v>0.012594650133257666</x:v>
      </x:c>
      <x:c r="H27" s="59" t="n">
        <x:v>57</x:v>
      </x:c>
      <x:c r="I27" s="81" t="n">
        <x:v>0.18726987456902863</x:v>
      </x:c>
      <x:c r="J27" s="79" t="n">
        <x:v>0.007648015897493572</x:v>
      </x:c>
      <x:c r="K27" s="81" t="n">
        <x:v>7.740589597135511</x:v>
      </x:c>
      <x:c r="L27" s="81" t="n">
        <x:v>-0.8902717006615646</x:v>
      </x:c>
      <x:c r="M27" s="80" t="n">
        <x:v>25797.506135475884</x:v>
      </x:c>
      <x:c r="N27" s="82" t="n">
        <x:v>0.30839597973588384</x:v>
      </x:c>
      <x:c r="O27" s="82" t="n">
        <x:v>0.09573341861798083</x:v>
      </x:c>
      <x:c r="P27" s="80" t="n">
        <x:v>127311.22663059986</x:v>
      </x:c>
      <x:c r="Q27" s="81" t="n">
        <x:v>0.009201832242956228</x:v>
      </x:c>
      <x:c r="R27" s="81" t="n">
        <x:v>590.5037488973642</x:v>
      </x:c>
      <x:c r="S27" s="81" t="n">
        <x:v>538.4626775481064</x:v>
      </x:c>
      <x:c r="T27" s="81" t="n">
        <x:v>165.67272163469312</x:v>
      </x:c>
    </x:row>
    <x:row r="28">
      <x:c r="A28" s="59" t="n">
        <x:v>25</x:v>
      </x:c>
      <x:c r="B28" s="193" t="n">
        <x:v>0.787097312323749</x:v>
      </x:c>
      <x:c r="C28" s="83" t="n">
        <x:v>0.8534128420862135</x:v>
      </x:c>
      <x:c r="D28" s="83" t="n">
        <x:v>0.42050335538295674</x:v>
      </x:c>
      <x:c r="E28" s="81" t="n">
        <x:v>-0.03855968545375793</x:v>
      </x:c>
      <x:c r="F28" s="81" t="n">
        <x:v>0.8464818176697009</x:v>
      </x:c>
      <x:c r="G28" s="81" t="n">
        <x:v>-0.030362908214619413</x:v>
      </x:c>
      <x:c r="H28" s="59" t="n">
        <x:v>0</x:v>
      </x:c>
      <x:c r="I28" s="81" t="n">
        <x:v>0</x:v>
      </x:c>
      <x:c r="J28" s="79" t="n">
        <x:v>2.7830638530254935e-13</x:v>
      </x:c>
      <x:c r="K28" s="81" t="n">
        <x:v>-0.9999999996819355</x:v>
      </x:c>
      <x:c r="L28" s="81" t="n">
        <x:v>-0.9999999996819355</x:v>
      </x:c>
      <x:c r="M28" s="80" t="n">
        <x:v>0.1707094631778051</x:v>
      </x:c>
      <x:c r="N28" s="82" t="n">
        <x:v>0.2895950878701231</x:v>
      </x:c>
      <x:c r="O28" s="82" t="n">
        <x:v>0.23156865162660484</x:v>
      </x:c>
      <x:c r="P28" s="80" t="n">
        <x:v>464.7073646443817</x:v>
      </x:c>
      <x:c r="Q28" s="81" t="n">
        <x:v>16.675822250028215</x:v>
      </x:c>
      <x:c r="R28" s="81" t="n">
        <x:v>6.423697074428923</x:v>
      </x:c>
      <x:c r="S28" s="81" t="n">
        <x:v>0.000011920876941054882</x:v>
      </x:c>
      <x:c r="T28" s="81" t="n">
        <x:v>6.0287239094910185e-9</x:v>
      </x:c>
    </x:row>
    <x:row r="29">
      <x:c r="A29" s="59" t="n">
        <x:v>26</x:v>
      </x:c>
      <x:c r="B29" s="193" t="n">
        <x:v>0.24636458549648524</x:v>
      </x:c>
      <x:c r="C29" s="83" t="n">
        <x:v>0.12118640136373797</x:v>
      </x:c>
      <x:c r="D29" s="83" t="n">
        <x:v>0.8116691143000774</x:v>
      </x:c>
      <x:c r="E29" s="81" t="n">
        <x:v>0.03125859611072235</x:v>
      </x:c>
      <x:c r="F29" s="81" t="n">
        <x:v>0.7588031954714097</x:v>
      </x:c>
      <x:c r="G29" s="81" t="n">
        <x:v>-0.0018694150486657701</x:v>
      </x:c>
      <x:c r="H29" s="59" t="n">
        <x:v>56</x:v>
      </x:c>
      <x:c r="I29" s="81" t="n">
        <x:v>0.2180250436998904</x:v>
      </x:c>
      <x:c r="J29" s="79" t="n">
        <x:v>0.00025402158083711246</x:v>
      </x:c>
      <x:c r="K29" s="81" t="n">
        <x:v>-0.7096896219004429</x:v>
      </x:c>
      <x:c r="L29" s="81" t="n">
        <x:v>-0.8498153941160341</x:v>
      </x:c>
      <x:c r="M29" s="80" t="n">
        <x:v>3357.914955274775</x:v>
      </x:c>
      <x:c r="N29" s="82" t="n">
        <x:v>0.16078241360124057</x:v>
      </x:c>
      <x:c r="O29" s="82" t="n">
        <x:v>0.11524939037021154</x:v>
      </x:c>
      <x:c r="P29" s="80" t="n">
        <x:v>5889.872263983241</x:v>
      </x:c>
      <x:c r="Q29" s="81" t="n">
        <x:v>0.00793621422055721</x:v>
      </x:c>
      <x:c r="R29" s="81" t="n">
        <x:v>187.9149416158608</x:v>
      </x:c>
      <x:c r="S29" s="81" t="n">
        <x:v>39.99011984558832</x:v>
      </x:c>
      <x:c r="T29" s="81" t="n">
        <x:v>5.5026620257188075</x:v>
      </x:c>
    </x:row>
    <x:row r="30">
      <x:c r="A30" s="59" t="n">
        <x:v>27</x:v>
      </x:c>
      <x:c r="B30" s="193" t="n">
        <x:v>0.36999251339584593</x:v>
      </x:c>
      <x:c r="C30" s="83" t="n">
        <x:v>1.7770419579846233</x:v>
      </x:c>
      <x:c r="D30" s="83" t="n">
        <x:v>0.6131650220295973</x:v>
      </x:c>
      <x:c r="E30" s="81" t="n">
        <x:v>0.018950537100618416</x:v>
      </x:c>
      <x:c r="F30" s="81" t="n">
        <x:v>0.7458985694218427</x:v>
      </x:c>
      <x:c r="G30" s="81" t="n">
        <x:v>-0.04599286840683982</x:v>
      </x:c>
      <x:c r="H30" s="59" t="n">
        <x:v>0</x:v>
      </x:c>
      <x:c r="I30" s="81" t="n">
        <x:v>0</x:v>
      </x:c>
      <x:c r="J30" s="79" t="n">
        <x:v>0.00008902526125666675</x:v>
      </x:c>
      <x:c r="K30" s="81" t="n">
        <x:v>-0.8982568442780952</x:v>
      </x:c>
      <x:c r="L30" s="81" t="n">
        <x:v>-0.9121341646488615</x:v>
      </x:c>
      <x:c r="M30" s="80" t="n">
        <x:v>4615.425342381665</x:v>
      </x:c>
      <x:c r="N30" s="82" t="n">
        <x:v>0.19023290405051663</x:v>
      </x:c>
      <x:c r="O30" s="82" t="n">
        <x:v>0.1340405971200704</x:v>
      </x:c>
      <x:c r="P30" s="80" t="n">
        <x:v>7520.940161808725</x:v>
      </x:c>
      <x:c r="Q30" s="81" t="n">
        <x:v>0.012900867776094177</x:v>
      </x:c>
      <x:c r="R30" s="81" t="n">
        <x:v>13.249947881351638</x:v>
      </x:c>
      <x:c r="S30" s="81" t="n">
        <x:v>1.1871252491571727</x:v>
      </x:c>
      <x:c r="T30" s="81" t="n">
        <x:v>1.928481520477119</x:v>
      </x:c>
    </x:row>
    <x:row r="31">
      <x:c r="A31" s="59" t="n">
        <x:v>28</x:v>
      </x:c>
      <x:c r="B31" s="193" t="n">
        <x:v>0.6381495537236332</x:v>
      </x:c>
      <x:c r="C31" s="83" t="n">
        <x:v>1.1098741990001517</x:v>
      </x:c>
      <x:c r="D31" s="83" t="n">
        <x:v>1.047670112548824</x:v>
      </x:c>
      <x:c r="E31" s="81" t="n">
        <x:v>-0.14554313958328519</x:v>
      </x:c>
      <x:c r="F31" s="81" t="n">
        <x:v>0.8201882567955181</x:v>
      </x:c>
      <x:c r="G31" s="81" t="n">
        <x:v>-0.006383616814294679</x:v>
      </x:c>
      <x:c r="H31" s="59" t="n">
        <x:v>0</x:v>
      </x:c>
      <x:c r="I31" s="81" t="n">
        <x:v>0</x:v>
      </x:c>
      <x:c r="J31" s="79" t="n">
        <x:v>3.5731809718281884e-54</x:v>
      </x:c>
      <x:c r="K31" s="81" t="n">
        <x:v>-1</x:v>
      </x:c>
      <x:c r="L31" s="81" t="n">
        <x:v>-1</x:v>
      </x:c>
      <x:c r="M31" s="80" t="n">
        <x:v>0.000002</x:v>
      </x:c>
      <x:c r="N31" s="82" t="n">
        <x:v>0.25411293900110193</x:v>
      </x:c>
      <x:c r="O31" s="82" t="n">
        <x:v>0.1968843825123597</x:v>
      </x:c>
      <x:c r="P31" s="80" t="n">
        <x:v>278.34890981229853</x:v>
      </x:c>
      <x:c r="Q31" s="81" t="n">
        <x:v>4.44999474559366e+36</x:v>
      </x:c>
      <x:c r="R31" s="81" t="n">
        <x:v>1.1087347474707534</x:v>
      </x:c>
      <x:c r="S31" s="81" t="n">
        <x:v>4.0237730880827523e-10</x:v>
      </x:c>
      <x:c r="T31" s="81" t="n">
        <x:v>7.740290088702332e-50</x:v>
      </x:c>
    </x:row>
    <x:row r="32">
      <x:c r="A32" s="59" t="n">
        <x:v>29</x:v>
      </x:c>
      <x:c r="B32" s="193" t="n">
        <x:v>0.6028466610237957</x:v>
      </x:c>
      <x:c r="C32" s="83" t="n">
        <x:v>0.3788067317253559</x:v>
      </x:c>
      <x:c r="D32" s="83" t="n">
        <x:v>0.4967940664047033</x:v>
      </x:c>
      <x:c r="E32" s="81" t="n">
        <x:v>-0.0504847902635108</x:v>
      </x:c>
      <x:c r="F32" s="81" t="n">
        <x:v>0.4959779268479906</x:v>
      </x:c>
      <x:c r="G32" s="81" t="n">
        <x:v>0.012555400914103586</x:v>
      </x:c>
      <x:c r="H32" s="59" t="n">
        <x:v>0</x:v>
      </x:c>
      <x:c r="I32" s="81" t="n">
        <x:v>0</x:v>
      </x:c>
      <x:c r="J32" s="79" t="n">
        <x:v>6.161377052504477e-21</x:v>
      </x:c>
      <x:c r="K32" s="81" t="n">
        <x:v>-1</x:v>
      </x:c>
      <x:c r="L32" s="81" t="n">
        <x:v>-1</x:v>
      </x:c>
      <x:c r="M32" s="80" t="n">
        <x:v>0.000019383231915843674</x:v>
      </x:c>
      <x:c r="N32" s="82" t="n">
        <x:v>0.2457031280307622</x:v>
      </x:c>
      <x:c r="O32" s="82" t="n">
        <x:v>0.11511819628279374</x:v>
      </x:c>
      <x:c r="P32" s="80" t="n">
        <x:v>346.6897239522583</x:v>
      </x:c>
      <x:c r="Q32" s="81" t="n">
        <x:v>66121.4537396977</x:v>
      </x:c>
      <x:c r="R32" s="81" t="n">
        <x:v>12.429073700582604</x:v>
      </x:c>
      <x:c r="S32" s="81" t="n">
        <x:v>3.7662204244001294e-9</x:v>
      </x:c>
      <x:c r="T32" s="81" t="n">
        <x:v>1.3346887859379194e-16</x:v>
      </x:c>
    </x:row>
    <x:row r="33">
      <x:c r="A33" s="59" t="n">
        <x:v>30</x:v>
      </x:c>
      <x:c r="B33" s="193" t="n">
        <x:v>0.8686324691399931</x:v>
      </x:c>
      <x:c r="C33" s="83" t="n">
        <x:v>0.3746466634607224</x:v>
      </x:c>
      <x:c r="D33" s="83" t="n">
        <x:v>0.9573353242452389</x:v>
      </x:c>
      <x:c r="E33" s="81" t="n">
        <x:v>-0.0765088230121967</x:v>
      </x:c>
      <x:c r="F33" s="81" t="n">
        <x:v>0.6380007514613681</x:v>
      </x:c>
      <x:c r="G33" s="81" t="n">
        <x:v>-0.0015850041025990424</x:v>
      </x:c>
      <x:c r="H33" s="59" t="n">
        <x:v>0</x:v>
      </x:c>
      <x:c r="I33" s="81" t="n">
        <x:v>0</x:v>
      </x:c>
      <x:c r="J33" s="79" t="n">
        <x:v>7.787116218861576e-35</x:v>
      </x:c>
      <x:c r="K33" s="81" t="n">
        <x:v>-1</x:v>
      </x:c>
      <x:c r="L33" s="81" t="n">
        <x:v>-1</x:v>
      </x:c>
      <x:c r="M33" s="80" t="n">
        <x:v>0.000002</x:v>
      </x:c>
      <x:c r="N33" s="82" t="n">
        <x:v>0.30901829100794254</x:v>
      </x:c>
      <x:c r="O33" s="82" t="n">
        <x:v>0.18624143895886952</x:v>
      </x:c>
      <x:c r="P33" s="80" t="n">
        <x:v>282.08895365597806</x:v>
      </x:c>
      <x:c r="Q33" s="81" t="n">
        <x:v>365026351293918600</x:v>
      </x:c>
      <x:c r="R33" s="81" t="n">
        <x:v>5.16869335232739</x:v>
      </x:c>
      <x:c r="S33" s="81" t="n">
        <x:v>5.984053047421503e-10</x:v>
      </x:c>
      <x:c r="T33" s="81" t="n">
        <x:v>1.6868593828201338e-30</x:v>
      </x:c>
    </x:row>
    <x:row r="34">
      <x:c r="A34" s="59" t="n">
        <x:v>31</x:v>
      </x:c>
      <x:c r="B34" s="193" t="n">
        <x:v>0.8421942427754403</x:v>
      </x:c>
      <x:c r="C34" s="83" t="n">
        <x:v>0.2860448318638832</x:v>
      </x:c>
      <x:c r="D34" s="83" t="n">
        <x:v>0.6411703482545432</x:v>
      </x:c>
      <x:c r="E34" s="81" t="n">
        <x:v>-0.1377176268608012</x:v>
      </x:c>
      <x:c r="F34" s="81" t="n">
        <x:v>0.6945475848624483</x:v>
      </x:c>
      <x:c r="G34" s="81" t="n">
        <x:v>0.005377414321430843</x:v>
      </x:c>
      <x:c r="H34" s="59" t="n">
        <x:v>0</x:v>
      </x:c>
      <x:c r="I34" s="81" t="n">
        <x:v>0</x:v>
      </x:c>
      <x:c r="J34" s="79" t="n">
        <x:v>7.1098899528054005e-40</x:v>
      </x:c>
      <x:c r="K34" s="81" t="n">
        <x:v>-1</x:v>
      </x:c>
      <x:c r="L34" s="81" t="n">
        <x:v>-1</x:v>
      </x:c>
      <x:c r="M34" s="80" t="n">
        <x:v>0.000002</x:v>
      </x:c>
      <x:c r="N34" s="82" t="n">
        <x:v>0.302720209771162</x:v>
      </x:c>
      <x:c r="O34" s="82" t="n">
        <x:v>0.19861606026489126</x:v>
      </x:c>
      <x:c r="P34" s="80" t="n">
        <x:v>153.01200580596873</x:v>
      </x:c>
      <x:c r="Q34" s="81" t="n">
        <x:v>2.3473447522060946e+22</x:v>
      </x:c>
      <x:c r="R34" s="81" t="n">
        <x:v>5.3350781472914806</x:v>
      </x:c>
      <x:c r="S34" s="81" t="n">
        <x:v>4.661858746483164e-10</x:v>
      </x:c>
      <x:c r="T34" s="81" t="n">
        <x:v>1.5401573882586464e-35</x:v>
      </x:c>
    </x:row>
    <x:row r="35">
      <x:c r="A35" s="59" t="n">
        <x:v>32</x:v>
      </x:c>
      <x:c r="B35" s="193" t="n">
        <x:v>0.46852142326533797</x:v>
      </x:c>
      <x:c r="C35" s="83" t="n">
        <x:v>1.3056493700144092</x:v>
      </x:c>
      <x:c r="D35" s="83" t="n">
        <x:v>1.7435617704304698</x:v>
      </x:c>
      <x:c r="E35" s="81" t="n">
        <x:v>0.10933640893471892</x:v>
      </x:c>
      <x:c r="F35" s="81" t="n">
        <x:v>0.7112322826869786</x:v>
      </x:c>
      <x:c r="G35" s="81" t="n">
        <x:v>0.0028931647922849284</x:v>
      </x:c>
      <x:c r="H35" s="59" t="n">
        <x:v>10</x:v>
      </x:c>
      <x:c r="I35" s="81" t="n">
        <x:v>0.44620539983734486</x:v>
      </x:c>
      <x:c r="J35" s="79" t="n">
        <x:v>0.06864497710673578</x:v>
      </x:c>
      <x:c r="K35" s="81" t="n">
        <x:v>77.45140240769804</x:v>
      </x:c>
      <x:c r="L35" s="81" t="n">
        <x:v>-0.9549200138571283</x:v>
      </x:c>
      <x:c r="M35" s="80" t="n">
        <x:v>186727.66822909442</x:v>
      </x:c>
      <x:c r="N35" s="82" t="n">
        <x:v>0.21370433779848963</x:v>
      </x:c>
      <x:c r="O35" s="82" t="n">
        <x:v>0.14358059225283373</x:v>
      </x:c>
      <x:c r="P35" s="80" t="n">
        <x:v>427558.6838703036</x:v>
      </x:c>
      <x:c r="Q35" s="81" t="n">
        <x:v>0.004059914390278242</x:v>
      </x:c>
      <x:c r="R35" s="81" t="n">
        <x:v>571.0063684698047</x:v>
      </x:c>
      <x:c r="S35" s="81" t="n">
        <x:v>1044.9775619313114</x:v>
      </x:c>
      <x:c r="T35" s="81" t="n">
        <x:v>1487.0000711624014</x:v>
      </x:c>
    </x:row>
    <x:row r="36">
      <x:c r="A36" s="59" t="n">
        <x:v>33</x:v>
      </x:c>
      <x:c r="B36" s="193" t="n">
        <x:v>0.8111434631049634</x:v>
      </x:c>
      <x:c r="C36" s="83" t="n">
        <x:v>0.24011650872361756</x:v>
      </x:c>
      <x:c r="D36" s="83" t="n">
        <x:v>1.4062070866556686</x:v>
      </x:c>
      <x:c r="E36" s="81" t="n">
        <x:v>-0.07340105918857358</x:v>
      </x:c>
      <x:c r="F36" s="81" t="n">
        <x:v>0.507688169030007</x:v>
      </x:c>
      <x:c r="G36" s="81" t="n">
        <x:v>0.010589281493410575</x:v>
      </x:c>
      <x:c r="H36" s="59" t="n">
        <x:v>0</x:v>
      </x:c>
      <x:c r="I36" s="81" t="n">
        <x:v>0</x:v>
      </x:c>
      <x:c r="J36" s="79" t="n">
        <x:v>8.744250139470266e-45</x:v>
      </x:c>
      <x:c r="K36" s="81" t="n">
        <x:v>-1</x:v>
      </x:c>
      <x:c r="L36" s="81" t="n">
        <x:v>-1</x:v>
      </x:c>
      <x:c r="M36" s="80" t="n">
        <x:v>0.000002</x:v>
      </x:c>
      <x:c r="N36" s="82" t="n">
        <x:v>0.29532333185153553</x:v>
      </x:c>
      <x:c r="O36" s="82" t="n">
        <x:v>0.14163342069417628</x:v>
      </x:c>
      <x:c r="P36" s="80" t="n">
        <x:v>291.12721493052663</x:v>
      </x:c>
      <x:c r="Q36" s="81" t="n">
        <x:v>3.378562217604017e+27</x:v>
      </x:c>
      <x:c r="R36" s="81" t="n">
        <x:v>5.934236207503558</x:v>
      </x:c>
      <x:c r="S36" s="81" t="n">
        <x:v>1.1291446990011146e-9</x:v>
      </x:c>
      <x:c r="T36" s="81" t="n">
        <x:v>1.894195486355292e-40</x:v>
      </x:c>
    </x:row>
    <x:row r="37">
      <x:c r="A37" s="59" t="n">
        <x:v>34</x:v>
      </x:c>
      <x:c r="B37" s="193" t="n">
        <x:v>0.5660375647246838</x:v>
      </x:c>
      <x:c r="C37" s="83" t="n">
        <x:v>1.9310789355686981</x:v>
      </x:c>
      <x:c r="D37" s="83" t="n">
        <x:v>0.9785554137454595</x:v>
      </x:c>
      <x:c r="E37" s="81" t="n">
        <x:v>-0.13422249402898298</x:v>
      </x:c>
      <x:c r="F37" s="81" t="n">
        <x:v>0.46380250084912406</x:v>
      </x:c>
      <x:c r="G37" s="81" t="n">
        <x:v>-0.021663315799106814</x:v>
      </x:c>
      <x:c r="H37" s="59" t="n">
        <x:v>0</x:v>
      </x:c>
      <x:c r="I37" s="81" t="n">
        <x:v>0</x:v>
      </x:c>
      <x:c r="J37" s="79" t="n">
        <x:v>2.059351667882054e-46</x:v>
      </x:c>
      <x:c r="K37" s="81" t="n">
        <x:v>-1</x:v>
      </x:c>
      <x:c r="L37" s="81" t="n">
        <x:v>-1</x:v>
      </x:c>
      <x:c r="M37" s="80" t="n">
        <x:v>0.000002</x:v>
      </x:c>
      <x:c r="N37" s="82" t="n">
        <x:v>0.2369345111217583</x:v>
      </x:c>
      <x:c r="O37" s="82" t="n">
        <x:v>0.10380836506858457</x:v>
      </x:c>
      <x:c r="P37" s="80" t="n">
        <x:v>411.3025444590872</x:v>
      </x:c>
      <x:c r="Q37" s="81" t="n">
        <x:v>8.289669898879728e+28</x:v>
      </x:c>
      <x:c r="R37" s="81" t="n">
        <x:v>0.8966152166196046</x:v>
      </x:c>
      <x:c r="S37" s="81" t="n">
        <x:v>2.240457959166348e-10</x:v>
      </x:c>
      <x:c r="T37" s="81" t="n">
        <x:v>4.461005314238121e-42</x:v>
      </x:c>
    </x:row>
    <x:row r="38">
      <x:c r="A38" s="59" t="n">
        <x:v>35</x:v>
      </x:c>
      <x:c r="B38" s="193" t="n">
        <x:v>0.21717013623565437</x:v>
      </x:c>
      <x:c r="C38" s="83" t="n">
        <x:v>1.1462962814432505</x:v>
      </x:c>
      <x:c r="D38" s="83" t="n">
        <x:v>0.7192342413170834</x:v>
      </x:c>
      <x:c r="E38" s="81" t="n">
        <x:v>0.07531066916752384</x:v>
      </x:c>
      <x:c r="F38" s="81" t="n">
        <x:v>0.5953537917346694</x:v>
      </x:c>
      <x:c r="G38" s="81" t="n">
        <x:v>0.03736689036024271</x:v>
      </x:c>
      <x:c r="H38" s="59" t="n">
        <x:v>0</x:v>
      </x:c>
      <x:c r="I38" s="81" t="n">
        <x:v>0</x:v>
      </x:c>
      <x:c r="J38" s="79" t="n">
        <x:v>0.02104392128279992</x:v>
      </x:c>
      <x:c r="K38" s="81" t="n">
        <x:v>23.050195751771337</x:v>
      </x:c>
      <x:c r="L38" s="81" t="n">
        <x:v>-0.5688150455381895</x:v>
      </x:c>
      <x:c r="M38" s="80" t="n">
        <x:v>68088.37759861129</x:v>
      </x:c>
      <x:c r="N38" s="82" t="n">
        <x:v>0.15382774839138733</x:v>
      </x:c>
      <x:c r="O38" s="82" t="n">
        <x:v>0.08651287584967292</x:v>
      </x:c>
      <x:c r="P38" s="80" t="n">
        <x:v>91576.1752968137</x:v>
      </x:c>
      <x:c r="Q38" s="81" t="n">
        <x:v>0.002916387189275586</x:v>
      </x:c>
      <x:c r="R38" s="81" t="n">
        <x:v>154.4295377505914</x:v>
      </x:c>
      <x:c r="S38" s="81" t="n">
        <x:v>357.4183112121584</x:v>
      </x:c>
      <x:c r="T38" s="81" t="n">
        <x:v>455.8572784779748</x:v>
      </x:c>
    </x:row>
    <x:row r="39">
      <x:c r="A39" s="59" t="n">
        <x:v>36</x:v>
      </x:c>
      <x:c r="B39" s="193" t="n">
        <x:v>0.4537488667294383</x:v>
      </x:c>
      <x:c r="C39" s="83" t="n">
        <x:v>0.7272234750889034</x:v>
      </x:c>
      <x:c r="D39" s="83" t="n">
        <x:v>0.3265954719546922</x:v>
      </x:c>
      <x:c r="E39" s="81" t="n">
        <x:v>-0.008320626029684853</x:v>
      </x:c>
      <x:c r="F39" s="81" t="n">
        <x:v>0.7131541013950482</x:v>
      </x:c>
      <x:c r="G39" s="81" t="n">
        <x:v>-0.00013901716842747437</x:v>
      </x:c>
      <x:c r="H39" s="59" t="n">
        <x:v>0</x:v>
      </x:c>
      <x:c r="I39" s="81" t="n">
        <x:v>0</x:v>
      </x:c>
      <x:c r="J39" s="79" t="n">
        <x:v>1.0562675233694227e-7</x:v>
      </x:c>
      <x:c r="K39" s="81" t="n">
        <x:v>-0.9998792837116149</x:v>
      </x:c>
      <x:c r="L39" s="81" t="n">
        <x:v>-0.9998792837116149</x:v>
      </x:c>
      <x:c r="M39" s="80" t="n">
        <x:v>96.17160182854349</x:v>
      </x:c>
      <x:c r="N39" s="82" t="n">
        <x:v>0.21018523784620347</x:v>
      </x:c>
      <x:c r="O39" s="82" t="n">
        <x:v>0.1415978100361264</x:v>
      </x:c>
      <x:c r="P39" s="80" t="n">
        <x:v>765.1397351308333</x:v>
      </x:c>
      <x:c r="Q39" s="81" t="n">
        <x:v>0.07628602197256823</x:v>
      </x:c>
      <x:c r="R39" s="81" t="n">
        <x:v>13.09532583175822</x:v>
      </x:c>
      <x:c r="S39" s="81" t="n">
        <x:v>0.010707896293002393</x:v>
      </x:c>
      <x:c r="T39" s="81" t="n">
        <x:v>0.0022881060619695994</x:v>
      </x:c>
    </x:row>
    <x:row r="40">
      <x:c r="A40" s="59" t="n">
        <x:v>37</x:v>
      </x:c>
      <x:c r="B40" s="193" t="n">
        <x:v>0.43481229767203333</x:v>
      </x:c>
      <x:c r="C40" s="83" t="n">
        <x:v>0.2615632230875614</x:v>
      </x:c>
      <x:c r="D40" s="83" t="n">
        <x:v>1.6215425915596278</x:v>
      </x:c>
      <x:c r="E40" s="81" t="n">
        <x:v>-0.07701503516667126</x:v>
      </x:c>
      <x:c r="F40" s="81" t="n">
        <x:v>0.8660363319911994</x:v>
      </x:c>
      <x:c r="G40" s="81" t="n">
        <x:v>0.041497596077408494</x:v>
      </x:c>
      <x:c r="H40" s="59" t="n">
        <x:v>22</x:v>
      </x:c>
      <x:c r="I40" s="81" t="n">
        <x:v>0.2592920755967498</x:v>
      </x:c>
      <x:c r="J40" s="79" t="n">
        <x:v>1.6522885676480667e-57</x:v>
      </x:c>
      <x:c r="K40" s="81" t="n">
        <x:v>-1</x:v>
      </x:c>
      <x:c r="L40" s="81" t="n">
        <x:v>-1</x:v>
      </x:c>
      <x:c r="M40" s="80" t="n">
        <x:v>0.000002</x:v>
      </x:c>
      <x:c r="N40" s="82" t="n">
        <x:v>0.20567419203605977</x:v>
      </x:c>
      <x:c r="O40" s="82" t="n">
        <x:v>0.16826231264980995</x:v>
      </x:c>
      <x:c r="P40" s="80" t="n">
        <x:v>294.01310718441334</x:v>
      </x:c>
      <x:c r="Q40" s="81" t="n">
        <x:v>1.7098387339103057e+40</x:v>
      </x:c>
      <x:c r="R40" s="81" t="n">
        <x:v>4.556667890441212</x:v>
      </x:c>
      <x:c r="S40" s="81" t="n">
        <x:v>1.846569909507462e-9</x:v>
      </x:c>
      <x:c r="T40" s="81" t="n">
        <x:v>3.579217768334589e-53</x:v>
      </x:c>
    </x:row>
    <x:row r="41">
      <x:c r="A41" s="59" t="n">
        <x:v>38</x:v>
      </x:c>
      <x:c r="B41" s="193" t="n">
        <x:v>0.6536045109853148</x:v>
      </x:c>
      <x:c r="C41" s="83" t="n">
        <x:v>0.2348923191304516</x:v>
      </x:c>
      <x:c r="D41" s="83" t="n">
        <x:v>1.1138369445479885</x:v>
      </x:c>
      <x:c r="E41" s="81" t="n">
        <x:v>0.17262170060044624</x:v>
      </x:c>
      <x:c r="F41" s="81" t="n">
        <x:v>0.3254814460990019</x:v>
      </x:c>
      <x:c r="G41" s="81" t="n">
        <x:v>-0.01935229830174799</x:v>
      </x:c>
      <x:c r="H41" s="59" t="n">
        <x:v>0</x:v>
      </x:c>
      <x:c r="I41" s="81" t="n">
        <x:v>0</x:v>
      </x:c>
      <x:c r="J41" s="79" t="n">
        <x:v>0.039402718823789255</x:v>
      </x:c>
      <x:c r="K41" s="81" t="n">
        <x:v>44.03167865575915</x:v>
      </x:c>
      <x:c r="L41" s="81" t="n">
        <x:v>-0.8100429497631157</x:v>
      </x:c>
      <x:c r="M41" s="80" t="n">
        <x:v>71938.97449676214</x:v>
      </x:c>
      <x:c r="N41" s="82" t="n">
        <x:v>0.2577945996012828</x:v>
      </x:c>
      <x:c r="O41" s="82" t="n">
        <x:v>0.0792630891117654</x:v>
      </x:c>
      <x:c r="P41" s="80" t="n">
        <x:v>111507.1127149088</x:v>
      </x:c>
      <x:c r="Q41" s="81" t="n">
        <x:v>0.0013826403528516182</x:v>
      </x:c>
      <x:c r="R41" s="81" t="n">
        <x:v>4860.719160991455</x:v>
      </x:c>
      <x:c r="S41" s="81" t="n">
        <x:v>3139.9671589497025</x:v>
      </x:c>
      <x:c r="T41" s="81" t="n">
        <x:v>853.5489144946832</x:v>
      </x:c>
    </x:row>
    <x:row r="42">
      <x:c r="A42" s="59" t="n">
        <x:v>39</x:v>
      </x:c>
      <x:c r="B42" s="193" t="n">
        <x:v>0.540254532918334</x:v>
      </x:c>
      <x:c r="C42" s="83" t="n">
        <x:v>0.44871508738849053</x:v>
      </x:c>
      <x:c r="D42" s="83" t="n">
        <x:v>0.1</x:v>
      </x:c>
      <x:c r="E42" s="81" t="n">
        <x:v>-0.039994586653879095</x:v>
      </x:c>
      <x:c r="F42" s="81" t="n">
        <x:v>0.3368593229679391</x:v>
      </x:c>
      <x:c r="G42" s="81" t="n">
        <x:v>0.009184478875208194</x:v>
      </x:c>
      <x:c r="H42" s="59" t="n">
        <x:v>0</x:v>
      </x:c>
      <x:c r="I42" s="81" t="n">
        <x:v>0</x:v>
      </x:c>
      <x:c r="J42" s="79" t="n">
        <x:v>5.162164657392552e-8</x:v>
      </x:c>
      <x:c r="K42" s="81" t="n">
        <x:v>-0.999941003832487</x:v>
      </x:c>
      <x:c r="L42" s="81" t="n">
        <x:v>-0.999941003832487</x:v>
      </x:c>
      <x:c r="M42" s="80" t="n">
        <x:v>56.451954187385745</x:v>
      </x:c>
      <x:c r="N42" s="82" t="n">
        <x:v>0.2307925095136392</x:v>
      </x:c>
      <x:c r="O42" s="82" t="n">
        <x:v>0.0734414466086601</x:v>
      </x:c>
      <x:c r="P42" s="80" t="n">
        <x:v>232.96207350450766</x:v>
      </x:c>
      <x:c r="Q42" s="81" t="n">
        <x:v>0.02495938533933761</x:v>
      </x:c>
      <x:c r="R42" s="81" t="n">
        <x:v>23.284011927742096</x:v>
      </x:c>
      <x:c r="S42" s="81" t="n">
        <x:v>0.004064319965571176</x:v>
      </x:c>
      <x:c r="T42" s="81" t="n">
        <x:v>0.0011182375661600357</x:v>
      </x:c>
    </x:row>
    <x:row r="43">
      <x:c r="A43" s="59" t="n">
        <x:v>40</x:v>
      </x:c>
      <x:c r="B43" s="193" t="n">
        <x:v>0.9927581155672669</x:v>
      </x:c>
      <x:c r="C43" s="83" t="n">
        <x:v>1.2528402657722395</x:v>
      </x:c>
      <x:c r="D43" s="83" t="n">
        <x:v>0.5253758015007223</x:v>
      </x:c>
      <x:c r="E43" s="81" t="n">
        <x:v>0.08280414482005266</x:v>
      </x:c>
      <x:c r="F43" s="81" t="n">
        <x:v>0.5641797073651105</x:v>
      </x:c>
      <x:c r="G43" s="81" t="n">
        <x:v>0.029144027978708065</x:v>
      </x:c>
      <x:c r="H43" s="59" t="n">
        <x:v>0</x:v>
      </x:c>
      <x:c r="I43" s="81" t="n">
        <x:v>0</x:v>
      </x:c>
      <x:c r="J43" s="79" t="n">
        <x:v>0.00274490655956692</x:v>
      </x:c>
      <x:c r="K43" s="81" t="n">
        <x:v>2.13703606807648</x:v>
      </x:c>
      <x:c r="L43" s="81" t="n">
        <x:v>-0.7004384737024882</x:v>
      </x:c>
      <x:c r="M43" s="80" t="n">
        <x:v>24469.988224512468</x:v>
      </x:c>
      <x:c r="N43" s="82" t="n">
        <x:v>0.3385873473427898</x:v>
      </x:c>
      <x:c r="O43" s="82" t="n">
        <x:v>0.18045093139984048</x:v>
      </x:c>
      <x:c r="P43" s="80" t="n">
        <x:v>25536.95235412425</x:v>
      </x:c>
      <x:c r="Q43" s="81" t="n">
        <x:v>0.0052406914571378185</x:v>
      </x:c>
      <x:c r="R43" s="81" t="n">
        <x:v>45.862210453746556</x:v>
      </x:c>
      <x:c r="S43" s="81" t="n">
        <x:v>44.472194296114196</x:v>
      </x:c>
      <x:c r="T43" s="81" t="n">
        <x:v>59.460668812862615</x:v>
      </x:c>
    </x:row>
    <x:row r="44">
      <x:c r="A44" s="59" t="n">
        <x:v>41</x:v>
      </x:c>
      <x:c r="B44" s="193" t="n">
        <x:v>0.9177411638200283</x:v>
      </x:c>
      <x:c r="C44" s="83" t="n">
        <x:v>0.8943491957206353</x:v>
      </x:c>
      <x:c r="D44" s="83" t="n">
        <x:v>0.37967244589131743</x:v>
      </x:c>
      <x:c r="E44" s="81" t="n">
        <x:v>-0.007871053122504515</x:v>
      </x:c>
      <x:c r="F44" s="81" t="n">
        <x:v>0.32507487246766686</x:v>
      </x:c>
      <x:c r="G44" s="81" t="n">
        <x:v>0.018737961939570252</x:v>
      </x:c>
      <x:c r="H44" s="59" t="n">
        <x:v>0</x:v>
      </x:c>
      <x:c r="I44" s="81" t="n">
        <x:v>0</x:v>
      </x:c>
      <x:c r="J44" s="79" t="n">
        <x:v>1.1828181412669031e-7</x:v>
      </x:c>
      <x:c r="K44" s="81" t="n">
        <x:v>-0.9998648207838552</x:v>
      </x:c>
      <x:c r="L44" s="81" t="n">
        <x:v>-0.9998648207838552</x:v>
      </x:c>
      <x:c r="M44" s="80" t="n">
        <x:v>111.59992784953934</x:v>
      </x:c>
      <x:c r="N44" s="82" t="n">
        <x:v>0.3207169028687523</x:v>
      </x:c>
      <x:c r="O44" s="82" t="n">
        <x:v>0.09848638393428742</x:v>
      </x:c>
      <x:c r="P44" s="80" t="n">
        <x:v>1213.586520576505</x:v>
      </x:c>
      <x:c r="Q44" s="81" t="n">
        <x:v>0.09565661765479695</x:v>
      </x:c>
      <x:c r="R44" s="81" t="n">
        <x:v>12.628562027306845</x:v>
      </x:c>
      <x:c r="S44" s="81" t="n">
        <x:v>0.014840353347690032</x:v>
      </x:c>
      <x:c r="T44" s="81" t="n">
        <x:v>0.0025622423291091424</x:v>
      </x:c>
    </x:row>
    <x:row r="45">
      <x:c r="A45" s="59" t="n">
        <x:v>42</x:v>
      </x:c>
      <x:c r="B45" s="193" t="n">
        <x:v>0.5741517158225179</x:v>
      </x:c>
      <x:c r="C45" s="83" t="n">
        <x:v>1.7896022981138024</x:v>
      </x:c>
      <x:c r="D45" s="83" t="n">
        <x:v>0.3964444434096439</x:v>
      </x:c>
      <x:c r="E45" s="81" t="n">
        <x:v>0.06154142321846281</x:v>
      </x:c>
      <x:c r="F45" s="81" t="n">
        <x:v>0.5751828564563766</x:v>
      </x:c>
      <x:c r="G45" s="81" t="n">
        <x:v>-0.021526540007807828</x:v>
      </x:c>
      <x:c r="H45" s="59" t="n">
        <x:v>0</x:v>
      </x:c>
      <x:c r="I45" s="81" t="n">
        <x:v>0</x:v>
      </x:c>
      <x:c r="J45" s="79" t="n">
        <x:v>0.0007204007411674665</x:v>
      </x:c>
      <x:c r="K45" s="81" t="n">
        <x:v>-0.17668486723718102</x:v>
      </x:c>
      <x:c r="L45" s="81" t="n">
        <x:v>-0.6770148391520685</x:v>
      </x:c>
      <x:c r="M45" s="80" t="n">
        <x:v>13846.385556965717</x:v>
      </x:c>
      <x:c r="N45" s="82" t="n">
        <x:v>0.23886745405359538</x:v>
      </x:c>
      <x:c r="O45" s="82" t="n">
        <x:v>0.1297877954921911</x:v>
      </x:c>
      <x:c r="P45" s="80" t="n">
        <x:v>11755.530086262346</x:v>
      </x:c>
      <x:c r="Q45" s="81" t="n">
        <x:v>0.004644837294915429</x:v>
      </x:c>
      <x:c r="R45" s="81" t="n">
        <x:v>23.29583513737812</x:v>
      </x:c>
      <x:c r="S45" s="81" t="n">
        <x:v>8.174744864257546</x:v>
      </x:c>
      <x:c r="T45" s="81" t="n">
        <x:v>15.60545284640141</x:v>
      </x:c>
    </x:row>
    <x:row r="46">
      <x:c r="A46" s="59" t="n">
        <x:v>43</x:v>
      </x:c>
      <x:c r="B46" s="193" t="n">
        <x:v>0.4702332792803645</x:v>
      </x:c>
      <x:c r="C46" s="83" t="n">
        <x:v>1.999010655281736</x:v>
      </x:c>
      <x:c r="D46" s="83" t="n">
        <x:v>0.5180284476651926</x:v>
      </x:c>
      <x:c r="E46" s="81" t="n">
        <x:v>0.0897680842915107</x:v>
      </x:c>
      <x:c r="F46" s="81" t="n">
        <x:v>0.4268868990009651</x:v>
      </x:c>
      <x:c r="G46" s="81" t="n">
        <x:v>-0.026936542742850525</x:v>
      </x:c>
      <x:c r="H46" s="59" t="n">
        <x:v>0</x:v>
      </x:c>
      <x:c r="I46" s="81" t="n">
        <x:v>0</x:v>
      </x:c>
      <x:c r="J46" s="79" t="n">
        <x:v>0.006467880751022436</x:v>
      </x:c>
      <x:c r="K46" s="81" t="n">
        <x:v>6.391863715454213</x:v>
      </x:c>
      <x:c r="L46" s="81" t="n">
        <x:v>-0.5603179493599935</x:v>
      </x:c>
      <x:c r="M46" s="80" t="n">
        <x:v>47698.34644700069</x:v>
      </x:c>
      <x:c r="N46" s="82" t="n">
        <x:v>0.21411213399856935</x:v>
      </x:c>
      <x:c r="O46" s="82" t="n">
        <x:v>0.08634258534050612</x:v>
      </x:c>
      <x:c r="P46" s="80" t="n">
        <x:v>46860.04874459345</x:v>
      </x:c>
      <x:c r="Q46" s="81" t="n">
        <x:v>0.0023676429642391686</x:v>
      </x:c>
      <x:c r="R46" s="81" t="n">
        <x:v>84.44276020784197</x:v>
      </x:c>
      <x:c r="S46" s="81" t="n">
        <x:v>62.8813568888492</x:v>
      </x:c>
      <x:c r="T46" s="81" t="n">
        <x:v>140.10841786844372</x:v>
      </x:c>
    </x:row>
    <x:row r="47">
      <x:c r="A47" s="59" t="n">
        <x:v>44</x:v>
      </x:c>
      <x:c r="B47" s="193" t="n">
        <x:v>0.4809161011129618</x:v>
      </x:c>
      <x:c r="C47" s="83" t="n">
        <x:v>1.623317982561261</x:v>
      </x:c>
      <x:c r="D47" s="83" t="n">
        <x:v>1.6731769780673877</x:v>
      </x:c>
      <x:c r="E47" s="81" t="n">
        <x:v>-0.08686399847474449</x:v>
      </x:c>
      <x:c r="F47" s="81" t="n">
        <x:v>0.5208673562621697</x:v>
      </x:c>
      <x:c r="G47" s="81" t="n">
        <x:v>-0.05</x:v>
      </x:c>
      <x:c r="H47" s="59" t="n">
        <x:v>0</x:v>
      </x:c>
      <x:c r="I47" s="81" t="n">
        <x:v>0</x:v>
      </x:c>
      <x:c r="J47" s="79" t="n">
        <x:v>1.9673838557932069e-44</x:v>
      </x:c>
      <x:c r="K47" s="81" t="n">
        <x:v>-1</x:v>
      </x:c>
      <x:c r="L47" s="81" t="n">
        <x:v>-1</x:v>
      </x:c>
      <x:c r="M47" s="80" t="n">
        <x:v>0.000002</x:v>
      </x:c>
      <x:c r="N47" s="82" t="n">
        <x:v>0.21665698246200327</x:v>
      </x:c>
      <x:c r="O47" s="82" t="n">
        <x:v>0.10660333027292293</x:v>
      </x:c>
      <x:c r="P47" s="80" t="n">
        <x:v>580.1121858106392</x:v>
      </x:c>
      <x:c r="Q47" s="81" t="n">
        <x:v>1.2848164382166998e+27</x:v>
      </x:c>
      <x:c r="R47" s="81" t="n">
        <x:v>1.128506428137613</x:v>
      </x:c>
      <x:c r="S47" s="81" t="n">
        <x:v>2.993405699256736e-10</x:v>
      </x:c>
      <x:c r="T47" s="81" t="n">
        <x:v>4.261782954664566e-40</x:v>
      </x:c>
    </x:row>
    <x:row r="48">
      <x:c r="A48" s="59" t="n">
        <x:v>45</x:v>
      </x:c>
      <x:c r="B48" s="193" t="n">
        <x:v>0.6523009326308966</x:v>
      </x:c>
      <x:c r="C48" s="83" t="n">
        <x:v>0.1827317379446042</x:v>
      </x:c>
      <x:c r="D48" s="83" t="n">
        <x:v>0.4985293057712528</x:v>
      </x:c>
      <x:c r="E48" s="81" t="n">
        <x:v>-0.12326704476002302</x:v>
      </x:c>
      <x:c r="F48" s="81" t="n">
        <x:v>0.3981247768737376</x:v>
      </x:c>
      <x:c r="G48" s="81" t="n">
        <x:v>-0.011153841076008324</x:v>
      </x:c>
      <x:c r="H48" s="59" t="n">
        <x:v>0</x:v>
      </x:c>
      <x:c r="I48" s="81" t="n">
        <x:v>0</x:v>
      </x:c>
      <x:c r="J48" s="79" t="n">
        <x:v>1.6107112410322118e-30</x:v>
      </x:c>
      <x:c r="K48" s="81" t="n">
        <x:v>-1</x:v>
      </x:c>
      <x:c r="L48" s="81" t="n">
        <x:v>-1</x:v>
      </x:c>
      <x:c r="M48" s="80" t="n">
        <x:v>0.000002</x:v>
      </x:c>
      <x:c r="N48" s="82" t="n">
        <x:v>0.25748406279516645</x:v>
      </x:c>
      <x:c r="O48" s="82" t="n">
        <x:v>0.09683681598187444</x:v>
      </x:c>
      <x:c r="P48" s="80" t="n">
        <x:v>151.5215589856888</x:v>
      </x:c>
      <x:c r="Q48" s="81" t="n">
        <x:v>11429129265147.42</x:v>
      </x:c>
      <x:c r="R48" s="81" t="n">
        <x:v>12.388633772455798</x:v>
      </x:c>
      <x:c r="S48" s="81" t="n">
        <x:v>3.2213761646017195e-10</x:v>
      </x:c>
      <x:c r="T48" s="81" t="n">
        <x:v>3.489152201642962e-26</x:v>
      </x:c>
    </x:row>
    <x:row r="49">
      <x:c r="A49" s="59" t="n">
        <x:v>46</x:v>
      </x:c>
      <x:c r="B49" s="193" t="n">
        <x:v>0.9125077012926341</x:v>
      </x:c>
      <x:c r="C49" s="83" t="n">
        <x:v>0.10890158993206</x:v>
      </x:c>
      <x:c r="D49" s="83" t="n">
        <x:v>1.1677736779269918</x:v>
      </x:c>
      <x:c r="E49" s="81" t="n">
        <x:v>-0.037025006674215474</x:v>
      </x:c>
      <x:c r="F49" s="81" t="n">
        <x:v>0.38504923962755133</x:v>
      </x:c>
      <x:c r="G49" s="81" t="n">
        <x:v>0.0029898143178902787</x:v>
      </x:c>
      <x:c r="H49" s="59" t="n">
        <x:v>0</x:v>
      </x:c>
      <x:c r="I49" s="81" t="n">
        <x:v>0</x:v>
      </x:c>
      <x:c r="J49" s="79" t="n">
        <x:v>9.868700841372127e-27</x:v>
      </x:c>
      <x:c r="K49" s="81" t="n">
        <x:v>-1</x:v>
      </x:c>
      <x:c r="L49" s="81" t="n">
        <x:v>-1</x:v>
      </x:c>
      <x:c r="M49" s="80" t="n">
        <x:v>0.000002</x:v>
      </x:c>
      <x:c r="N49" s="82" t="n">
        <x:v>0.3194701939673045</x:v>
      </x:c>
      <x:c r="O49" s="82" t="n">
        <x:v>0.11620305807905844</x:v>
      </x:c>
      <x:c r="P49" s="80" t="n">
        <x:v>423.2838561225161</x:v>
      </x:c>
      <x:c r="Q49" s="81" t="n">
        <x:v>5733619923.775291</x:v>
      </x:c>
      <x:c r="R49" s="81" t="n">
        <x:v>27.370852815772718</x:v>
      </x:c>
      <x:c r="S49" s="81" t="n">
        <x:v>9.56630318147142e-10</x:v>
      </x:c>
      <x:c r="T49" s="81" t="n">
        <x:v>2.1377760576106077e-22</x:v>
      </x:c>
    </x:row>
    <x:row r="50">
      <x:c r="A50" s="59" t="n">
        <x:v>47</x:v>
      </x:c>
      <x:c r="B50" s="193" t="n">
        <x:v>0.3709450697526336</x:v>
      </x:c>
      <x:c r="C50" s="83" t="n">
        <x:v>0.2712312779944834</x:v>
      </x:c>
      <x:c r="D50" s="83" t="n">
        <x:v>1.8406251038257881</x:v>
      </x:c>
      <x:c r="E50" s="81" t="n">
        <x:v>0.10692030718103962</x:v>
      </x:c>
      <x:c r="F50" s="81" t="n">
        <x:v>0.5334826249280014</x:v>
      </x:c>
      <x:c r="G50" s="81" t="n">
        <x:v>0.027350760553667572</x:v>
      </x:c>
      <x:c r="H50" s="59" t="n">
        <x:v>20</x:v>
      </x:c>
      <x:c r="I50" s="81" t="n">
        <x:v>0.1761502729728818</x:v>
      </x:c>
      <x:c r="J50" s="79" t="n">
        <x:v>0.08596374045120543</x:v>
      </x:c>
      <x:c r="K50" s="81" t="n">
        <x:v>97.24427480137764</x:v>
      </x:c>
      <x:c r="L50" s="81" t="n">
        <x:v>-0.9398071479196548</x:v>
      </x:c>
      <x:c r="M50" s="80" t="n">
        <x:v>125204.05186149376</x:v>
      </x:c>
      <x:c r="N50" s="82" t="n">
        <x:v>0.19045982083513516</x:v>
      </x:c>
      <x:c r="O50" s="82" t="n">
        <x:v>0.09598306028672421</x:v>
      </x:c>
      <x:c r="P50" s="80" t="n">
        <x:v>311398.79131524265</x:v>
      </x:c>
      <x:c r="Q50" s="81" t="n">
        <x:v>0.002865089643685692</x:v>
      </x:c>
      <x:c r="R50" s="81" t="n">
        <x:v>2745.1715873128646</x:v>
      </x:c>
      <x:c r="S50" s="81" t="n">
        <x:v>6001.9991862027655</x:v>
      </x:c>
      <x:c r="T50" s="81" t="n">
        <x:v>1862.1622958598898</x:v>
      </x:c>
    </x:row>
    <x:row r="51">
      <x:c r="A51" s="59" t="n">
        <x:v>48</x:v>
      </x:c>
      <x:c r="B51" s="193" t="n">
        <x:v>0.3655463827773929</x:v>
      </x:c>
      <x:c r="C51" s="83" t="n">
        <x:v>0.7529727054601296</x:v>
      </x:c>
      <x:c r="D51" s="83" t="n">
        <x:v>0.5294453325642315</x:v>
      </x:c>
      <x:c r="E51" s="81" t="n">
        <x:v>0.137063432236015</x:v>
      </x:c>
      <x:c r="F51" s="81" t="n">
        <x:v>0.4067171422066167</x:v>
      </x:c>
      <x:c r="G51" s="81" t="n">
        <x:v>-0.05</x:v>
      </x:c>
      <x:c r="H51" s="59" t="n">
        <x:v>0</x:v>
      </x:c>
      <x:c r="I51" s="81" t="n">
        <x:v>0</x:v>
      </x:c>
      <x:c r="J51" s="79" t="n">
        <x:v>0.004690029161407248</x:v>
      </x:c>
      <x:c r="K51" s="81" t="n">
        <x:v>4.3600333273225695</x:v>
      </x:c>
      <x:c r="L51" s="81" t="n">
        <x:v>-0.7810685441149091</x:v>
      </x:c>
      <x:c r="M51" s="80" t="n">
        <x:v>25022.38739960649</x:v>
      </x:c>
      <x:c r="N51" s="82" t="n">
        <x:v>0.18917375237225217</x:v>
      </x:c>
      <x:c r="O51" s="82" t="n">
        <x:v>0.07268156960127271</x:v>
      </x:c>
      <x:c r="P51" s="80" t="n">
        <x:v>25726.186053008565</x:v>
      </x:c>
      <x:c r="Q51" s="81" t="n">
        <x:v>0.0013512771399242693</x:v>
      </x:c>
      <x:c r="R51" s="81" t="n">
        <x:v>388.41254954493763</x:v>
      </x:c>
      <x:c r="S51" s="81" t="n">
        <x:v>117.65296406808363</x:v>
      </x:c>
      <x:c r="T51" s="81" t="n">
        <x:v>101.59627099769236</x:v>
      </x:c>
    </x:row>
    <x:row r="52">
      <x:c r="A52" s="59" t="n">
        <x:v>49</x:v>
      </x:c>
      <x:c r="B52" s="193" t="n">
        <x:v>0.985322879627347</x:v>
      </x:c>
      <x:c r="C52" s="83" t="n">
        <x:v>0.6478145331198095</x:v>
      </x:c>
      <x:c r="D52" s="83" t="n">
        <x:v>1.3803719796793226</x:v>
      </x:c>
      <x:c r="E52" s="81" t="n">
        <x:v>0.12799815335061568</x:v>
      </x:c>
      <x:c r="F52" s="81" t="n">
        <x:v>0.8162454693345353</x:v>
      </x:c>
      <x:c r="G52" s="81" t="n">
        <x:v>0.0028030609804294677</x:v>
      </x:c>
      <x:c r="H52" s="59" t="n">
        <x:v>0</x:v>
      </x:c>
      <x:c r="I52" s="81" t="n">
        <x:v>0</x:v>
      </x:c>
      <x:c r="J52" s="79" t="n">
        <x:v>0.009043871571901665</x:v>
      </x:c>
      <x:c r="K52" s="81" t="n">
        <x:v>9.335853225030476</x:v>
      </x:c>
      <x:c r="L52" s="81" t="n">
        <x:v>-0.8347839689488175</x:v>
      </x:c>
      <x:c r="M52" s="80" t="n">
        <x:v>47067.59069801732</x:v>
      </x:c>
      <x:c r="N52" s="82" t="n">
        <x:v>0.3368161347312271</x:v>
      </x:c>
      <x:c r="O52" s="82" t="n">
        <x:v>0.25970757266776473</x:v>
      </x:c>
      <x:c r="P52" s="80" t="n">
        <x:v>91296.3910361508</x:v>
      </x:c>
      <x:c r="Q52" s="81" t="n">
        <x:v>0.005941118725746552</x:v>
      </x:c>
      <x:c r="R52" s="81" t="n">
        <x:v>341.7127342079754</x:v>
      </x:c>
      <x:c r="S52" s="81" t="n">
        <x:v>278.67350457627305</x:v>
      </x:c>
      <x:c r="T52" s="81" t="n">
        <x:v>195.91000300125077</x:v>
      </x:c>
    </x:row>
    <x:row r="53">
      <x:c r="A53" s="59" t="n">
        <x:v>50</x:v>
      </x:c>
      <x:c r="B53" s="193" t="n">
        <x:v>0.985676946118474</x:v>
      </x:c>
      <x:c r="C53" s="83" t="n">
        <x:v>0.17832735337910277</x:v>
      </x:c>
      <x:c r="D53" s="83" t="n">
        <x:v>0.6232405551645644</x:v>
      </x:c>
      <x:c r="E53" s="81" t="n">
        <x:v>-0.00006110896087527565</x:v>
      </x:c>
      <x:c r="F53" s="81" t="n">
        <x:v>0.7524764568195679</x:v>
      </x:c>
      <x:c r="G53" s="81" t="n">
        <x:v>0.029399501105132342</x:v>
      </x:c>
      <x:c r="H53" s="59" t="n">
        <x:v>0</x:v>
      </x:c>
      <x:c r="I53" s="81" t="n">
        <x:v>0</x:v>
      </x:c>
      <x:c r="J53" s="79" t="n">
        <x:v>1.6795303728299005e-7</x:v>
      </x:c>
      <x:c r="K53" s="81" t="n">
        <x:v>-0.9998080536716766</x:v>
      </x:c>
      <x:c r="L53" s="81" t="n">
        <x:v>-0.9998080536716766</x:v>
      </x:c>
      <x:c r="M53" s="80" t="n">
        <x:v>82.67011654298172</x:v>
      </x:c>
      <x:c r="N53" s="82" t="n">
        <x:v>0.33690048000816014</x:v>
      </x:c>
      <x:c r="O53" s="82" t="n">
        <x:v>0.23947792587293124</x:v>
      </x:c>
      <x:c r="P53" s="80" t="n">
        <x:v>759.1157656561357</x:v>
      </x:c>
      <x:c r="Q53" s="81" t="n">
        <x:v>0.1408095477233099</x:v>
      </x:c>
      <x:c r="R53" s="81" t="n">
        <x:v>35.200366909414406</x:v>
      </x:c>
      <x:c r="S53" s="81" t="n">
        <x:v>0.04484759804136295</x:v>
      </x:c>
      <x:c r="T53" s="81" t="n">
        <x:v>0.003638229465841593</x:v>
      </x:c>
    </x:row>
    <x:row r="54">
      <x:c r="A54" s="59" t="n">
        <x:v>51</x:v>
      </x:c>
      <x:c r="B54" s="193" t="n">
        <x:v>0.6072013719007373</x:v>
      </x:c>
      <x:c r="C54" s="83" t="n">
        <x:v>0.27371782074254003</x:v>
      </x:c>
      <x:c r="D54" s="83" t="n">
        <x:v>2.606263386212288</x:v>
      </x:c>
      <x:c r="E54" s="81" t="n">
        <x:v>0.1505024060389466</x:v>
      </x:c>
      <x:c r="F54" s="81" t="n">
        <x:v>0.36617437048116697</x:v>
      </x:c>
      <x:c r="G54" s="81" t="n">
        <x:v>-0.013164116574468475</x:v>
      </x:c>
      <x:c r="H54" s="59" t="n">
        <x:v>15</x:v>
      </x:c>
      <x:c r="I54" s="81" t="n">
        <x:v>0.11413184870034457</x:v>
      </x:c>
      <x:c r="J54" s="79" t="n">
        <x:v>0.2202844321230148</x:v>
      </x:c>
      <x:c r="K54" s="81" t="n">
        <x:v>250.75363671201694</x:v>
      </x:c>
      <x:c r="L54" s="81" t="n">
        <x:v>-0.9589633210090786</x:v>
      </x:c>
      <x:c r="M54" s="80" t="n">
        <x:v>251288.38338934668</x:v>
      </x:c>
      <x:c r="N54" s="82" t="n">
        <x:v>0.24674050181247895</x:v>
      </x:c>
      <x:c r="O54" s="82" t="n">
        <x:v>0.0853491753139933</x:v>
      </x:c>
      <x:c r="P54" s="80" t="n">
        <x:v>653354.4341409879</x:v>
      </x:c>
      <x:c r="Q54" s="81" t="n">
        <x:v>0.0020984062516551574</x:v>
      </x:c>
      <x:c r="R54" s="81" t="n">
        <x:v>10306.963822835944</x:v>
      </x:c>
      <x:c r="S54" s="81" t="n">
        <x:v>15150.818034792437</x:v>
      </x:c>
      <x:c r="T54" s="81" t="n">
        <x:v>4771.841728981364</x:v>
      </x:c>
    </x:row>
    <x:row r="55">
      <x:c r="A55" s="59" t="n">
        <x:v>52</x:v>
      </x:c>
      <x:c r="B55" s="193" t="n">
        <x:v>0.36298681721091275</x:v>
      </x:c>
      <x:c r="C55" s="83" t="n">
        <x:v>0.1343415258482137</x:v>
      </x:c>
      <x:c r="D55" s="83" t="n">
        <x:v>0.7324794013738016</x:v>
      </x:c>
      <x:c r="E55" s="81" t="n">
        <x:v>-0.05037957355346844</x:v>
      </x:c>
      <x:c r="F55" s="81" t="n">
        <x:v>0.5362959304940886</x:v>
      </x:c>
      <x:c r="G55" s="81" t="n">
        <x:v>0.03005702149050124</x:v>
      </x:c>
      <x:c r="H55" s="59" t="n">
        <x:v>0</x:v>
      </x:c>
      <x:c r="I55" s="81" t="n">
        <x:v>0</x:v>
      </x:c>
      <x:c r="J55" s="79" t="n">
        <x:v>7.452662498914988e-27</x:v>
      </x:c>
      <x:c r="K55" s="81" t="n">
        <x:v>-1</x:v>
      </x:c>
      <x:c r="L55" s="81" t="n">
        <x:v>-1</x:v>
      </x:c>
      <x:c r="M55" s="80" t="n">
        <x:v>0.000002</x:v>
      </x:c>
      <x:c r="N55" s="82" t="n">
        <x:v>0.18856401586246221</x:v>
      </x:c>
      <x:c r="O55" s="82" t="n">
        <x:v>0.09552878676216893</x:v>
      </x:c>
      <x:c r="P55" s="80" t="n">
        <x:v>316.3020953634725</x:v>
      </x:c>
      <x:c r="Q55" s="81" t="n">
        <x:v>5651648291.506602</x:v>
      </x:c>
      <x:c r="R55" s="81" t="n">
        <x:v>25.915837521221228</x:v>
      </x:c>
      <x:c r="S55" s="81" t="n">
        <x:v>8.110253671153059e-10</x:v>
      </x:c>
      <x:c r="T55" s="81" t="n">
        <x:v>1.614409405221947e-22</x:v>
      </x:c>
    </x:row>
    <x:row r="56">
      <x:c r="A56" s="59" t="n">
        <x:v>53</x:v>
      </x:c>
      <x:c r="B56" s="193" t="n">
        <x:v>0.33649898003786805</x:v>
      </x:c>
      <x:c r="C56" s="83" t="n">
        <x:v>0.2711545456513315</x:v>
      </x:c>
      <x:c r="D56" s="83" t="n">
        <x:v>0.5761434567886404</x:v>
      </x:c>
      <x:c r="E56" s="81" t="n">
        <x:v>-0.0767305034966036</x:v>
      </x:c>
      <x:c r="F56" s="81" t="n">
        <x:v>0.4262563669588417</x:v>
      </x:c>
      <x:c r="G56" s="81" t="n">
        <x:v>-0.01380794575954471</x:v>
      </x:c>
      <x:c r="H56" s="59" t="n">
        <x:v>0</x:v>
      </x:c>
      <x:c r="I56" s="81" t="n">
        <x:v>0</x:v>
      </x:c>
      <x:c r="J56" s="79" t="n">
        <x:v>9.785819638104895e-26</x:v>
      </x:c>
      <x:c r="K56" s="81" t="n">
        <x:v>-1</x:v>
      </x:c>
      <x:c r="L56" s="81" t="n">
        <x:v>-1</x:v>
      </x:c>
      <x:c r="M56" s="80" t="n">
        <x:v>0.000002</x:v>
      </x:c>
      <x:c r="N56" s="82" t="n">
        <x:v>0.18225411640089592</x:v>
      </x:c>
      <x:c r="O56" s="82" t="n">
        <x:v>0.07338700550131194</x:v>
      </x:c>
      <x:c r="P56" s="80" t="n">
        <x:v>250.94717535729035</x:v>
      </x:c>
      <x:c r="Q56" s="81" t="n">
        <x:v>289692040.42716837</x:v>
      </x:c>
      <x:c r="R56" s="81" t="n">
        <x:v>11.90692466468884</x:v>
      </x:c>
      <x:c r="S56" s="81" t="n">
        <x:v>3.352493601628634e-10</x:v>
      </x:c>
      <x:c r="T56" s="81" t="n">
        <x:v>2.1198221795046007e-21</x:v>
      </x:c>
    </x:row>
    <x:row r="57">
      <x:c r="A57" s="59" t="n">
        <x:v>54</x:v>
      </x:c>
      <x:c r="B57" s="193" t="n">
        <x:v>0.5900871811434627</x:v>
      </x:c>
      <x:c r="C57" s="83" t="n">
        <x:v>0.1714850915518973</x:v>
      </x:c>
      <x:c r="D57" s="83" t="n">
        <x:v>0.7249390937384393</x:v>
      </x:c>
      <x:c r="E57" s="81" t="n">
        <x:v>-0.09309860955591322</x:v>
      </x:c>
      <x:c r="F57" s="81" t="n">
        <x:v>0.8907439662958495</x:v>
      </x:c>
      <x:c r="G57" s="81" t="n">
        <x:v>-0.002763072933745852</x:v>
      </x:c>
      <x:c r="H57" s="59" t="n">
        <x:v>0</x:v>
      </x:c>
      <x:c r="I57" s="81" t="n">
        <x:v>0</x:v>
      </x:c>
      <x:c r="J57" s="79" t="n">
        <x:v>4.2729653752191126e-33</x:v>
      </x:c>
      <x:c r="K57" s="81" t="n">
        <x:v>-1</x:v>
      </x:c>
      <x:c r="L57" s="81" t="n">
        <x:v>-1</x:v>
      </x:c>
      <x:c r="M57" s="80" t="n">
        <x:v>0.000002</x:v>
      </x:c>
      <x:c r="N57" s="82" t="n">
        <x:v>0.2426635806830193</x:v>
      </x:c>
      <x:c r="O57" s="82" t="n">
        <x:v>0.20418716190689942</x:v>
      </x:c>
      <x:c r="P57" s="80" t="n">
        <x:v>189.18234762353873</x:v>
      </x:c>
      <x:c r="Q57" s="81" t="n">
        <x:v>5551132255772743</x:v>
      </x:c>
      <x:c r="R57" s="81" t="n">
        <x:v>10.88774960664819</x:v>
      </x:c>
      <x:c r="S57" s="81" t="n">
        <x:v>5.241418139268575e-10</x:v>
      </x:c>
      <x:c r="T57" s="81" t="n">
        <x:v>9.256175884720083e-29</x:v>
      </x:c>
    </x:row>
    <x:row r="58">
      <x:c r="A58" s="59" t="n">
        <x:v>55</x:v>
      </x:c>
      <x:c r="B58" s="193" t="n">
        <x:v>0.9193382777273655</x:v>
      </x:c>
      <x:c r="C58" s="83" t="n">
        <x:v>0.4385900043847081</x:v>
      </x:c>
      <x:c r="D58" s="83" t="n">
        <x:v>1.321798150553768</x:v>
      </x:c>
      <x:c r="E58" s="81" t="n">
        <x:v>-0.1592967122638985</x:v>
      </x:c>
      <x:c r="F58" s="81" t="n">
        <x:v>0.4024246296845376</x:v>
      </x:c>
      <x:c r="G58" s="81" t="n">
        <x:v>-0.0354102098821939</x:v>
      </x:c>
      <x:c r="H58" s="59" t="n">
        <x:v>0</x:v>
      </x:c>
      <x:c r="I58" s="81" t="n">
        <x:v>0</x:v>
      </x:c>
      <x:c r="J58" s="79" t="n">
        <x:v>1.349748313549435e-59</x:v>
      </x:c>
      <x:c r="K58" s="81" t="n">
        <x:v>-1</x:v>
      </x:c>
      <x:c r="L58" s="81" t="n">
        <x:v>-1</x:v>
      </x:c>
      <x:c r="M58" s="80" t="n">
        <x:v>0.000002</x:v>
      </x:c>
      <x:c r="N58" s="82" t="n">
        <x:v>0.321097365347366</x:v>
      </x:c>
      <x:c r="O58" s="82" t="n">
        <x:v>0.1220653040000289</x:v>
      </x:c>
      <x:c r="P58" s="80" t="n">
        <x:v>190.60153473876184</x:v>
      </x:c>
      <x:c r="Q58" s="81" t="n">
        <x:v>1.0892555948270957e+42</x:v>
      </x:c>
      <x:c r="R58" s="81" t="n">
        <x:v>1.7268802585385736</x:v>
      </x:c>
      <x:c r="S58" s="81" t="n">
        <x:v>5.190803394319041e-10</x:v>
      </x:c>
      <x:c r="T58" s="81" t="n">
        <x:v>2.9238495267884607e-55</x:v>
      </x:c>
    </x:row>
    <x:row r="59">
      <x:c r="A59" s="59" t="n">
        <x:v>56</x:v>
      </x:c>
      <x:c r="B59" s="193" t="n">
        <x:v>0.8316461443901062</x:v>
      </x:c>
      <x:c r="C59" s="83" t="n">
        <x:v>1.5681404017512224</x:v>
      </x:c>
      <x:c r="D59" s="83" t="n">
        <x:v>0.7333246323234407</x:v>
      </x:c>
      <x:c r="E59" s="81" t="n">
        <x:v>-0.04501632539964226</x:v>
      </x:c>
      <x:c r="F59" s="81" t="n">
        <x:v>0.7742780809290707</x:v>
      </x:c>
      <x:c r="G59" s="81" t="n">
        <x:v>-0.030992737605047806</x:v>
      </x:c>
      <x:c r="H59" s="59" t="n">
        <x:v>0</x:v>
      </x:c>
      <x:c r="I59" s="81" t="n">
        <x:v>0</x:v>
      </x:c>
      <x:c r="J59" s="79" t="n">
        <x:v>5.2756516095996145e-21</x:v>
      </x:c>
      <x:c r="K59" s="81" t="n">
        <x:v>-1</x:v>
      </x:c>
      <x:c r="L59" s="81" t="n">
        <x:v>-1</x:v>
      </x:c>
      <x:c r="M59" s="80" t="n">
        <x:v>0.00003341361938332603</x:v>
      </x:c>
      <x:c r="N59" s="82" t="n">
        <x:v>0.3002074549589304</x:v>
      </x:c>
      <x:c r="O59" s="82" t="n">
        <x:v>0.21957828036492796</x:v>
      </x:c>
      <x:c r="P59" s="80" t="n">
        <x:v>773.3749833753869</x:v>
      </x:c>
      <x:c r="Q59" s="81" t="n">
        <x:v>148513.25739948003</x:v>
      </x:c>
      <x:c r="R59" s="81" t="n">
        <x:v>3.022821244596097</x:v>
      </x:c>
      <x:c r="S59" s="81" t="n">
        <x:v>2.9761543952470463e-9</x:v>
      </x:c>
      <x:c r="T59" s="81" t="n">
        <x:v>1.1428213176769908e-16</x:v>
      </x:c>
    </x:row>
    <x:row r="60">
      <x:c r="A60" s="59" t="n">
        <x:v>57</x:v>
      </x:c>
      <x:c r="B60" s="193" t="n">
        <x:v>0.23721348326653244</x:v>
      </x:c>
      <x:c r="C60" s="83" t="n">
        <x:v>0.24137984157977294</x:v>
      </x:c>
      <x:c r="D60" s="83" t="n">
        <x:v>1.148316558760952</x:v>
      </x:c>
      <x:c r="E60" s="81" t="n">
        <x:v>0.10284261420607126</x:v>
      </x:c>
      <x:c r="F60" s="81" t="n">
        <x:v>0.6710898163961247</x:v>
      </x:c>
      <x:c r="G60" s="81" t="n">
        <x:v>-0.026050370946499275</x:v>
      </x:c>
      <x:c r="H60" s="59" t="n">
        <x:v>36</x:v>
      </x:c>
      <x:c r="I60" s="81" t="n">
        <x:v>0.42745613120496273</x:v>
      </x:c>
      <x:c r="J60" s="79" t="n">
        <x:v>0.006700130857715682</x:v>
      </x:c>
      <x:c r="K60" s="81" t="n">
        <x:v>6.657292408817923</x:v>
      </x:c>
      <x:c r="L60" s="81" t="n">
        <x:v>-0.9670771490001682</x:v>
      </x:c>
      <x:c r="M60" s="80" t="n">
        <x:v>24669.403784199432</x:v>
      </x:c>
      <x:c r="N60" s="82" t="n">
        <x:v>0.15860244946689936</x:v>
      </x:c>
      <x:c r="O60" s="82" t="n">
        <x:v>0.10054523203953569</x:v>
      </x:c>
      <x:c r="P60" s="80" t="n">
        <x:v>44844.90797946371</x:v>
      </x:c>
      <x:c r="Q60" s="81" t="n">
        <x:v>0.002648962019439796</x:v>
      </x:c>
      <x:c r="R60" s="81" t="n">
        <x:v>1288.4646520586975</x:v>
      </x:c>
      <x:c r="S60" s="81" t="n">
        <x:v>523.2641710717908</x:v>
      </x:c>
      <x:c r="T60" s="81" t="n">
        <x:v>145.1394622323065</x:v>
      </x:c>
    </x:row>
    <x:row r="61">
      <x:c r="A61" s="59" t="n">
        <x:v>58</x:v>
      </x:c>
      <x:c r="B61" s="193" t="n">
        <x:v>0.719375129789114</x:v>
      </x:c>
      <x:c r="C61" s="83" t="n">
        <x:v>0.11506755267829791</x:v>
      </x:c>
      <x:c r="D61" s="83" t="n">
        <x:v>0.43936870604398665</x:v>
      </x:c>
      <x:c r="E61" s="81" t="n">
        <x:v>0.08552634143791668</x:v>
      </x:c>
      <x:c r="F61" s="81" t="n">
        <x:v>0.42834722736151887</x:v>
      </x:c>
      <x:c r="G61" s="81" t="n">
        <x:v>-0.007726717943033479</x:v>
      </x:c>
      <x:c r="H61" s="59" t="n">
        <x:v>0</x:v>
      </x:c>
      <x:c r="I61" s="81" t="n">
        <x:v>0</x:v>
      </x:c>
      <x:c r="J61" s="79" t="n">
        <x:v>0.0005485478876764593</x:v>
      </x:c>
      <x:c r="K61" s="81" t="n">
        <x:v>-0.3730881283697608</x:v>
      </x:c>
      <x:c r="L61" s="81" t="n">
        <x:v>-0.7895464857539594</x:v>
      </x:c>
      <x:c r="M61" s="80" t="n">
        <x:v>5111.557253502557</x:v>
      </x:c>
      <x:c r="N61" s="82" t="n">
        <x:v>0.2734623941994507</x:v>
      </x:c>
      <x:c r="O61" s="82" t="n">
        <x:v>0.11065333653084676</x:v>
      </x:c>
      <x:c r="P61" s="80" t="n">
        <x:v>4721.91091006722</x:v>
      </x:c>
      <x:c r="Q61" s="81" t="n">
        <x:v>0.002975607340249115</x:v>
      </x:c>
      <x:c r="R61" s="81" t="n">
        <x:v>307.9538932541482</x:v>
      </x:c>
      <x:c r="S61" s="81" t="n">
        <x:v>89.38048283051768</x:v>
      </x:c>
      <x:c r="T61" s="81" t="n">
        <x:v>11.882744847340627</x:v>
      </x:c>
    </x:row>
    <x:row r="62">
      <x:c r="A62" s="59" t="n">
        <x:v>59</x:v>
      </x:c>
      <x:c r="B62" s="193" t="n">
        <x:v>0.41974574811756615</x:v>
      </x:c>
      <x:c r="C62" s="83" t="n">
        <x:v>0.48349109939074436</x:v>
      </x:c>
      <x:c r="D62" s="83" t="n">
        <x:v>0.4160078788164468</x:v>
      </x:c>
      <x:c r="E62" s="81" t="n">
        <x:v>0.14012429487893444</x:v>
      </x:c>
      <x:c r="F62" s="81" t="n">
        <x:v>0.46553478416753935</x:v>
      </x:c>
      <x:c r="G62" s="81" t="n">
        <x:v>-0.022571451913842175</x:v>
      </x:c>
      <x:c r="H62" s="59" t="n">
        <x:v>81</x:v>
      </x:c>
      <x:c r="I62" s="81" t="n">
        <x:v>0.23089120658114554</x:v>
      </x:c>
      <x:c r="J62" s="79" t="n">
        <x:v>0.0027234355202629627</x:v>
      </x:c>
      <x:c r="K62" s="81" t="n">
        <x:v>2.112497737443386</x:v>
      </x:c>
      <x:c r="L62" s="81" t="n">
        <x:v>-0.8855208065528647</x:v>
      </x:c>
      <x:c r="M62" s="80" t="n">
        <x:v>15976.306183100147</x:v>
      </x:c>
      <x:c r="N62" s="82" t="n">
        <x:v>0.20208505743438135</x:v>
      </x:c>
      <x:c r="O62" s="82" t="n">
        <x:v>0.08887042977823469</x:v>
      </x:c>
      <x:c r="P62" s="80" t="n">
        <x:v>12941.085408204974</x:v>
      </x:c>
      <x:c r="Q62" s="81" t="n">
        <x:v>0.001619811183003802</x:v>
      </x:c>
      <x:c r="R62" s="81" t="n">
        <x:v>251.42609722305752</x:v>
      </x:c>
      <x:c r="S62" s="81" t="n">
        <x:v>106.26433392783551</x:v>
      </x:c>
      <x:c r="T62" s="81" t="n">
        <x:v>58.995559225554125</x:v>
      </x:c>
    </x:row>
    <x:row r="63">
      <x:c r="A63" s="59" t="n">
        <x:v>60</x:v>
      </x:c>
      <x:c r="B63" s="193" t="n">
        <x:v>0.6795657321810722</x:v>
      </x:c>
      <x:c r="C63" s="83" t="n">
        <x:v>0.6587790316676564</x:v>
      </x:c>
      <x:c r="D63" s="83" t="n">
        <x:v>0.6134293583129311</x:v>
      </x:c>
      <x:c r="E63" s="81" t="n">
        <x:v>0.011244785367270074</x:v>
      </x:c>
      <x:c r="F63" s="81" t="n">
        <x:v>0.8833852448267863</x:v>
      </x:c>
      <x:c r="G63" s="81" t="n">
        <x:v>-0.006109053106271608</x:v>
      </x:c>
      <x:c r="H63" s="59" t="n">
        <x:v>0</x:v>
      </x:c>
      <x:c r="I63" s="81" t="n">
        <x:v>0</x:v>
      </x:c>
      <x:c r="J63" s="79" t="n">
        <x:v>0.000009392204632792349</x:v>
      </x:c>
      <x:c r="K63" s="81" t="n">
        <x:v>-0.9892660518482373</x:v>
      </x:c>
      <x:c r="L63" s="81" t="n">
        <x:v>-0.9894703213226398</x:v>
      </x:c>
      <x:c r="M63" s="80" t="n">
        <x:v>890.1441071836783</x:v>
      </x:c>
      <x:c r="N63" s="82" t="n">
        <x:v>0.26397904926300997</x:v>
      </x:c>
      <x:c r="O63" s="82" t="n">
        <x:v>0.22028784946889332</x:v>
      </x:c>
      <x:c r="P63" s="80" t="n">
        <x:v>2061.9494062179133</x:v>
      </x:c>
      <x:c r="Q63" s="81" t="n">
        <x:v>0.03288690793784987</x:v>
      </x:c>
      <x:c r="R63" s="81" t="n">
        <x:v>16.006310293187088</x:v>
      </x:c>
      <x:c r="S63" s="81" t="n">
        <x:v>0.3999568992446759</x:v>
      </x:c>
      <x:c r="T63" s="81" t="n">
        <x:v>0.2034556575875619</x:v>
      </x:c>
    </x:row>
    <x:row r="64">
      <x:c r="A64" s="59" t="n">
        <x:v>61</x:v>
      </x:c>
      <x:c r="B64" s="193" t="n">
        <x:v>0.6191981380805374</x:v>
      </x:c>
      <x:c r="C64" s="83" t="n">
        <x:v>0.614035018297372</x:v>
      </x:c>
      <x:c r="D64" s="83" t="n">
        <x:v>0.7834640828977395</x:v>
      </x:c>
      <x:c r="E64" s="81" t="n">
        <x:v>-0.026427647165667967</x:v>
      </x:c>
      <x:c r="F64" s="81" t="n">
        <x:v>0.3915224137250334</x:v>
      </x:c>
      <x:c r="G64" s="81" t="n">
        <x:v>-0.03260212302974722</x:v>
      </x:c>
      <x:c r="H64" s="59" t="n">
        <x:v>82</x:v>
      </x:c>
      <x:c r="I64" s="81" t="n">
        <x:v>0.19161203093826773</x:v>
      </x:c>
      <x:c r="J64" s="79" t="n">
        <x:v>7.411873803457265e-15</x:v>
      </x:c>
      <x:c r="K64" s="81" t="n">
        <x:v>-0.9999999999915293</x:v>
      </x:c>
      <x:c r="L64" s="81" t="n">
        <x:v>-0.9999999999915293</x:v>
      </x:c>
      <x:c r="M64" s="80" t="n">
        <x:v>0.024389519586653554</x:v>
      </x:c>
      <x:c r="N64" s="82" t="n">
        <x:v>0.2495983564558731</x:v>
      </x:c>
      <x:c r="O64" s="82" t="n">
        <x:v>0.09231436625528813</x:v>
      </x:c>
      <x:c r="P64" s="80" t="n">
        <x:v>773.2697231098172</x:v>
      </x:c>
      <x:c r="Q64" s="81" t="n">
        <x:v>129.08782921687856</x:v>
      </x:c>
      <x:c r="R64" s="81" t="n">
        <x:v>9.986619710599676</x:v>
      </x:c>
      <x:c r="S64" s="81" t="n">
        <x:v>0.0000035596645036431513</x:v>
      </x:c>
      <x:c r="T64" s="81" t="n">
        <x:v>1.6055736832791825e-10</x:v>
      </x:c>
    </x:row>
    <x:row r="65">
      <x:c r="A65" s="59" t="n">
        <x:v>62</x:v>
      </x:c>
      <x:c r="B65" s="193" t="n">
        <x:v>0.2519177256152034</x:v>
      </x:c>
      <x:c r="C65" s="83" t="n">
        <x:v>1.5768207640381613</x:v>
      </x:c>
      <x:c r="D65" s="83" t="n">
        <x:v>0.5971380003278829</x:v>
      </x:c>
      <x:c r="E65" s="81" t="n">
        <x:v>0.05303219215772306</x:v>
      </x:c>
      <x:c r="F65" s="81" t="n">
        <x:v>0.6624599517555907</x:v>
      </x:c>
      <x:c r="G65" s="81" t="n">
        <x:v>0.005726792635575225</x:v>
      </x:c>
      <x:c r="H65" s="59" t="n">
        <x:v>0</x:v>
      </x:c>
      <x:c r="I65" s="81" t="n">
        <x:v>0</x:v>
      </x:c>
      <x:c r="J65" s="79" t="n">
        <x:v>0.003299411670688245</x:v>
      </x:c>
      <x:c r="K65" s="81" t="n">
        <x:v>2.77075619507228</x:v>
      </x:c>
      <x:c r="L65" s="81" t="n">
        <x:v>-0.547419526753331</x:v>
      </x:c>
      <x:c r="M65" s="80" t="n">
        <x:v>28560.580628758962</x:v>
      </x:c>
      <x:c r="N65" s="82" t="n">
        <x:v>0.16210527569889674</x:v>
      </x:c>
      <x:c r="O65" s="82" t="n">
        <x:v>0.10144431633144191</x:v>
      </x:c>
      <x:c r="P65" s="80" t="n">
        <x:v>33316.78516755188</x:v>
      </x:c>
      <x:c r="Q65" s="81" t="n">
        <x:v>0.004430408426465183</x:v>
      </x:c>
      <x:c r="R65" s="81" t="n">
        <x:v>42.7453298017849</x:v>
      </x:c>
      <x:c r="S65" s="81" t="n">
        <x:v>42.106071658873596</x:v>
      </x:c>
      <x:c r="T65" s="81" t="n">
        <x:v>71.4724601259435</x:v>
      </x:c>
    </x:row>
    <x:row r="66">
      <x:c r="A66" s="59" t="n">
        <x:v>63</x:v>
      </x:c>
      <x:c r="B66" s="193" t="n">
        <x:v>0.9788468036800624</x:v>
      </x:c>
      <x:c r="C66" s="83" t="n">
        <x:v>0.763833504325474</x:v>
      </x:c>
      <x:c r="D66" s="83" t="n">
        <x:v>0.5456919666609444</x:v>
      </x:c>
      <x:c r="E66" s="81" t="n">
        <x:v>-0.1717691308212009</x:v>
      </x:c>
      <x:c r="F66" s="81" t="n">
        <x:v>0.43918327781138944</x:v>
      </x:c>
      <x:c r="G66" s="81" t="n">
        <x:v>-0.001779169004851844</x:v>
      </x:c>
      <x:c r="H66" s="59" t="n">
        <x:v>84</x:v>
      </x:c>
      <x:c r="I66" s="81" t="n">
        <x:v>0.4375141497701407</x:v>
      </x:c>
      <x:c r="J66" s="79" t="n">
        <x:v>2.375834252607513e-40</x:v>
      </x:c>
      <x:c r="K66" s="81" t="n">
        <x:v>-1</x:v>
      </x:c>
      <x:c r="L66" s="81" t="n">
        <x:v>-1</x:v>
      </x:c>
      <x:c r="M66" s="80" t="n">
        <x:v>0.000002</x:v>
      </x:c>
      <x:c r="N66" s="82" t="n">
        <x:v>0.33527341201416017</x:v>
      </x:c>
      <x:c r="O66" s="82" t="n">
        <x:v>0.13909638774661764</x:v>
      </x:c>
      <x:c r="P66" s="80" t="n">
        <x:v>177.27567260717095</x:v>
      </x:c>
      <x:c r="Q66" s="81" t="n">
        <x:v>5.800635770936979e+22</x:v>
      </x:c>
      <x:c r="R66" s="81" t="n">
        <x:v>2.166218684940159</x:v>
      </x:c>
      <x:c r="S66" s="81" t="n">
        <x:v>2.6520684309643507e-10</x:v>
      </x:c>
      <x:c r="T66" s="81" t="n">
        <x:v>5.146575687838318e-36</x:v>
      </x:c>
    </x:row>
    <x:row r="67">
      <x:c r="A67" s="59" t="n">
        <x:v>64</x:v>
      </x:c>
      <x:c r="B67" s="193" t="n">
        <x:v>0.28134779408574107</x:v>
      </x:c>
      <x:c r="C67" s="83" t="n">
        <x:v>0.2223804441621036</x:v>
      </x:c>
      <x:c r="D67" s="83" t="n">
        <x:v>0.5465828406000697</x:v>
      </x:c>
      <x:c r="E67" s="81" t="n">
        <x:v>0.0023758082531101436</x:v>
      </x:c>
      <x:c r="F67" s="81" t="n">
        <x:v>0.5870172840892338</x:v>
      </x:c>
      <x:c r="G67" s="81" t="n">
        <x:v>0.00786475703259997</x:v>
      </x:c>
      <x:c r="H67" s="59" t="n">
        <x:v>0</x:v>
      </x:c>
      <x:c r="I67" s="81" t="n">
        <x:v>0</x:v>
      </x:c>
      <x:c r="J67" s="79" t="n">
        <x:v>0.0000029489344507165785</x:v>
      </x:c>
      <x:c r="K67" s="81" t="n">
        <x:v>-0.9966297891991811</x:v>
      </x:c>
      <x:c r="L67" s="81" t="n">
        <x:v>-0.9966297891991811</x:v>
      </x:c>
      <x:c r="M67" s="80" t="n">
        <x:v>359.966295765711</x:v>
      </x:c>
      <x:c r="N67" s="82" t="n">
        <x:v>0.16911606982236285</x:v>
      </x:c>
      <x:c r="O67" s="82" t="n">
        <x:v>0.09377923979755752</x:v>
      </x:c>
      <x:c r="P67" s="80" t="n">
        <x:v>1341.6656154819857</x:v>
      </x:c>
      <x:c r="Q67" s="81" t="n">
        <x:v>0.031065770742890755</x:v>
      </x:c>
      <x:c r="R67" s="81" t="n">
        <x:v>50.23466095277364</x:v>
      </x:c>
      <x:c r="S67" s="81" t="n">
        <x:v>0.32413035649704874</x:v>
      </x:c>
      <x:c r="T67" s="81" t="n">
        <x:v>0.06388035837276908</x:v>
      </x:c>
    </x:row>
    <x:row r="68">
      <x:c r="A68" s="59" t="n">
        <x:v>65</x:v>
      </x:c>
      <x:c r="B68" s="193" t="n">
        <x:v>0.7116892009973526</x:v>
      </x:c>
      <x:c r="C68" s="83" t="n">
        <x:v>0.16405936158959358</x:v>
      </x:c>
      <x:c r="D68" s="83" t="n">
        <x:v>0.365944915858223</x:v>
      </x:c>
      <x:c r="E68" s="81" t="n">
        <x:v>-0.008204107503129384</x:v>
      </x:c>
      <x:c r="F68" s="81" t="n">
        <x:v>0.6155412839027121</x:v>
      </x:c>
      <x:c r="G68" s="81" t="n">
        <x:v>0.02787961526054583</x:v>
      </x:c>
      <x:c r="H68" s="59" t="n">
        <x:v>60</x:v>
      </x:c>
      <x:c r="I68" s="81" t="n">
        <x:v>0.252515343669802</x:v>
      </x:c>
      <x:c r="J68" s="79" t="n">
        <x:v>1.5346259743633068e-8</x:v>
      </x:c>
      <x:c r="K68" s="81" t="n">
        <x:v>-0.9999824614174359</x:v>
      </x:c>
      <x:c r="L68" s="81" t="n">
        <x:v>-0.9999824614174359</x:v>
      </x:c>
      <x:c r="M68" s="80" t="n">
        <x:v>24.775370046552293</x:v>
      </x:c>
      <x:c r="N68" s="82" t="n">
        <x:v>0.2716314618500882</x:v>
      </x:c>
      <x:c r="O68" s="82" t="n">
        <x:v>0.15794584251668034</x:v>
      </x:c>
      <x:c r="P68" s="80" t="n">
        <x:v>448.1565845816864</x:v>
      </x:c>
      <x:c r="Q68" s="81" t="n">
        <x:v>0.16071770653492634</x:v>
      </x:c>
      <x:c r="R68" s="81" t="n">
        <x:v>44.01128397903422</x:v>
      </x:c>
      <x:c r="S68" s="81" t="n">
        <x:v>0.006548246431217273</x:v>
      </x:c>
      <x:c r="T68" s="81" t="n">
        <x:v>0.0003324334902956777</x:v>
      </x:c>
    </x:row>
    <x:row r="69">
      <x:c r="A69" s="59" t="n">
        <x:v>66</x:v>
      </x:c>
      <x:c r="B69" s="193" t="n">
        <x:v>0.3099199488759041</x:v>
      </x:c>
      <x:c r="C69" s="83" t="n">
        <x:v>2.7718737688929322</x:v>
      </x:c>
      <x:c r="D69" s="83" t="n">
        <x:v>0.8676889894282258</x:v>
      </x:c>
      <x:c r="E69" s="81" t="n">
        <x:v>-0.012094977570444155</x:v>
      </x:c>
      <x:c r="F69" s="81" t="n">
        <x:v>0.6056690695695579</x:v>
      </x:c>
      <x:c r="G69" s="81" t="n">
        <x:v>0.014920024039849279</x:v>
      </x:c>
      <x:c r="H69" s="59" t="n">
        <x:v>37</x:v>
      </x:c>
      <x:c r="I69" s="81" t="n">
        <x:v>0.14982479549944402</x:v>
      </x:c>
      <x:c r="J69" s="79" t="n">
        <x:v>1.5962583518889404e-11</x:v>
      </x:c>
      <x:c r="K69" s="81" t="n">
        <x:v>-0.9999999817570474</x:v>
      </x:c>
      <x:c r="L69" s="81" t="n">
        <x:v>-0.9999999817570474</x:v>
      </x:c>
      <x:c r="M69" s="80" t="n">
        <x:v>2.6156245333928947</x:v>
      </x:c>
      <x:c r="N69" s="82" t="n">
        <x:v>0.17592249282128175</x:v>
      </x:c>
      <x:c r="O69" s="82" t="n">
        <x:v>0.10065322806832291</x:v>
      </x:c>
      <x:c r="P69" s="80" t="n">
        <x:v>3696.028142739666</x:v>
      </x:c>
      <x:c r="Q69" s="81" t="n">
        <x:v>13.831570727488037</x:v>
      </x:c>
      <x:c r="R69" s="81" t="n">
        <x:v>4.615096261780441</x:v>
      </x:c>
      <x:c r="S69" s="81" t="n">
        <x:v>0.00032354140951234103</x:v>
      </x:c>
      <x:c r="T69" s="81" t="n">
        <x:v>3.457844088376161e-7</x:v>
      </x:c>
    </x:row>
    <x:row r="70">
      <x:c r="A70" s="59" t="n">
        <x:v>67</x:v>
      </x:c>
      <x:c r="B70" s="193" t="n">
        <x:v>0.7417635185644031</x:v>
      </x:c>
      <x:c r="C70" s="83" t="n">
        <x:v>0.13631380911897895</x:v>
      </x:c>
      <x:c r="D70" s="83" t="n">
        <x:v>1.6159836394430076</x:v>
      </x:c>
      <x:c r="E70" s="81" t="n">
        <x:v>-0.06227020649744504</x:v>
      </x:c>
      <x:c r="F70" s="81" t="n">
        <x:v>0.25525952329626306</x:v>
      </x:c>
      <x:c r="G70" s="81" t="n">
        <x:v>0.001719390156209851</x:v>
      </x:c>
      <x:c r="H70" s="59" t="n">
        <x:v>0</x:v>
      </x:c>
      <x:c r="I70" s="81" t="n">
        <x:v>0</x:v>
      </x:c>
      <x:c r="J70" s="79" t="n">
        <x:v>1.6259635856091488e-42</x:v>
      </x:c>
      <x:c r="K70" s="81" t="n">
        <x:v>-1</x:v>
      </x:c>
      <x:c r="L70" s="81" t="n">
        <x:v>-1</x:v>
      </x:c>
      <x:c r="M70" s="80" t="n">
        <x:v>0.000002</x:v>
      </x:c>
      <x:c r="N70" s="82" t="n">
        <x:v>0.27879572818801396</x:v>
      </x:c>
      <x:c r="O70" s="82" t="n">
        <x:v>0.06722626927773472</x:v>
      </x:c>
      <x:c r="P70" s="80" t="n">
        <x:v>321.02997270963215</x:v>
      </x:c>
      <x:c r="Q70" s="81" t="n">
        <x:v>2.1195256714052138e+25</x:v>
      </x:c>
      <x:c r="R70" s="81" t="n">
        <x:v>10.896741003092414</x:v>
      </x:c>
      <x:c r="S70" s="81" t="n">
        <x:v>1.272096604078302e-9</x:v>
      </x:c>
      <x:c r="T70" s="81" t="n">
        <x:v>3.522192109917727e-38</x:v>
      </x:c>
    </x:row>
    <x:row r="71">
      <x:c r="A71" s="59" t="n">
        <x:v>68</x:v>
      </x:c>
      <x:c r="B71" s="193" t="n">
        <x:v>0.7800144167616965</x:v>
      </x:c>
      <x:c r="C71" s="83" t="n">
        <x:v>0.3407243776056448</x:v>
      </x:c>
      <x:c r="D71" s="83" t="n">
        <x:v>0.8697039591204201</x:v>
      </x:c>
      <x:c r="E71" s="81" t="n">
        <x:v>-0.05855979184662597</x:v>
      </x:c>
      <x:c r="F71" s="81" t="n">
        <x:v>0.25254487032070755</x:v>
      </x:c>
      <x:c r="G71" s="81" t="n">
        <x:v>-0.015404257740617603</x:v>
      </x:c>
      <x:c r="H71" s="59" t="n">
        <x:v>0</x:v>
      </x:c>
      <x:c r="I71" s="81" t="n">
        <x:v>0</x:v>
      </x:c>
      <x:c r="J71" s="79" t="n">
        <x:v>2.125741529566444e-27</x:v>
      </x:c>
      <x:c r="K71" s="81" t="n">
        <x:v>-1</x:v>
      </x:c>
      <x:c r="L71" s="81" t="n">
        <x:v>-1</x:v>
      </x:c>
      <x:c r="M71" s="80" t="n">
        <x:v>0.000002</x:v>
      </x:c>
      <x:c r="N71" s="82" t="n">
        <x:v>0.28790780934295035</x:v>
      </x:c>
      <x:c r="O71" s="82" t="n">
        <x:v>0.06868516382670883</x:v>
      </x:c>
      <x:c r="P71" s="80" t="n">
        <x:v>357.7760118523161</x:v>
      </x:c>
      <x:c r="Q71" s="81" t="n">
        <x:v>17179092309.458456</x:v>
      </x:c>
      <x:c r="R71" s="81" t="n">
        <x:v>8.732479085054017</x:v>
      </x:c>
      <x:c r="S71" s="81" t="n">
        <x:v>4.704438696679155e-10</x:v>
      </x:c>
      <x:c r="T71" s="81" t="n">
        <x:v>4.6048202490084347e-23</x:v>
      </x:c>
    </x:row>
    <x:row r="72">
      <x:c r="A72" s="59" t="n">
        <x:v>69</x:v>
      </x:c>
      <x:c r="B72" s="193" t="n">
        <x:v>0.737131309323013</x:v>
      </x:c>
      <x:c r="C72" s="83" t="n">
        <x:v>0.575551068051994</x:v>
      </x:c>
      <x:c r="D72" s="83" t="n">
        <x:v>0.4133193304172811</x:v>
      </x:c>
      <x:c r="E72" s="81" t="n">
        <x:v>-0.019275858702078437</x:v>
      </x:c>
      <x:c r="F72" s="81" t="n">
        <x:v>0.8920033035916276</x:v>
      </x:c>
      <x:c r="G72" s="81" t="n">
        <x:v>-0.0436955053204221</x:v>
      </x:c>
      <x:c r="H72" s="59" t="n">
        <x:v>0</x:v>
      </x:c>
      <x:c r="I72" s="81" t="n">
        <x:v>0</x:v>
      </x:c>
      <x:c r="J72" s="79" t="n">
        <x:v>1.4749536209545633e-9</x:v>
      </x:c>
      <x:c r="K72" s="81" t="n">
        <x:v>-0.9999983143387189</x:v>
      </x:c>
      <x:c r="L72" s="81" t="n">
        <x:v>-0.9999983143387189</x:v>
      </x:c>
      <x:c r="M72" s="80" t="n">
        <x:v>10.431983311372848</x:v>
      </x:c>
      <x:c r="N72" s="82" t="n">
        <x:v>0.2776922490927914</x:v>
      </x:c>
      <x:c r="O72" s="82" t="n">
        <x:v>0.23399208250711312</x:v>
      </x:c>
      <x:c r="P72" s="80" t="n">
        <x:v>485.81523912708326</x:v>
      </x:c>
      <x:c r="Q72" s="81" t="n">
        <x:v>0.35333848692960595</x:v>
      </x:c>
      <x:c r="R72" s="81" t="n">
        <x:v>10.780940995092525</x:v>
      </x:c>
      <x:c r="S72" s="81" t="n">
        <x:v>0.0007503504463061483</x:v>
      </x:c>
      <x:c r="T72" s="81" t="n">
        <x:v>0.00003195071557690802</x:v>
      </x:c>
    </x:row>
    <x:row r="73">
      <x:c r="A73" s="59" t="n">
        <x:v>70</x:v>
      </x:c>
      <x:c r="B73" s="193" t="n">
        <x:v>0.7488717485219241</x:v>
      </x:c>
      <x:c r="C73" s="83" t="n">
        <x:v>2.9238786937780166</x:v>
      </x:c>
      <x:c r="D73" s="83" t="n">
        <x:v>1.8344752196796652</x:v>
      </x:c>
      <x:c r="E73" s="81" t="n">
        <x:v>0.12045761450569621</x:v>
      </x:c>
      <x:c r="F73" s="81" t="n">
        <x:v>0.3390313257812522</x:v>
      </x:c>
      <x:c r="G73" s="81" t="n">
        <x:v>0.035604172275025214</x:v>
      </x:c>
      <x:c r="H73" s="59" t="n">
        <x:v>42</x:v>
      </x:c>
      <x:c r="I73" s="81" t="n">
        <x:v>0.10476825591176749</x:v>
      </x:c>
      <x:c r="J73" s="79" t="n">
        <x:v>1.4277989223789997</x:v>
      </x:c>
      <x:c r="K73" s="81" t="n">
        <x:v>1630.7701970045714</x:v>
      </x:c>
      <x:c r="L73" s="81" t="n">
        <x:v>-0.9157012001531292</x:v>
      </x:c>
      <x:c r="M73" s="80" t="n">
        <x:v>1703370.5452112723</x:v>
      </x:c>
      <x:c r="N73" s="82" t="n">
        <x:v>0.28048904184320705</x:v>
      </x:c>
      <x:c r="O73" s="82" t="n">
        <x:v>0.08983108985504532</x:v>
      </x:c>
      <x:c r="P73" s="80" t="n">
        <x:v>4160838.7195121325</x:v>
      </x:c>
      <x:c r="Q73" s="81" t="n">
        <x:v>0.002664224621108166</x:v>
      </x:c>
      <x:c r="R73" s="81" t="n">
        <x:v>3282.316831624762</x:v>
      </x:c>
      <x:c r="S73" s="81" t="n">
        <x:v>9635.569378614111</x:v>
      </x:c>
      <x:c r="T73" s="81" t="n">
        <x:v>30929.241856719047</x:v>
      </x:c>
    </x:row>
    <x:row r="74">
      <x:c r="A74" s="59" t="n">
        <x:v>71</x:v>
      </x:c>
      <x:c r="B74" s="193" t="n">
        <x:v>0.23582110833376646</x:v>
      </x:c>
      <x:c r="C74" s="83" t="n">
        <x:v>0.3105162466901624</x:v>
      </x:c>
      <x:c r="D74" s="83" t="n">
        <x:v>0.8621701893943134</x:v>
      </x:c>
      <x:c r="E74" s="81" t="n">
        <x:v>0.008458851809174396</x:v>
      </x:c>
      <x:c r="F74" s="81" t="n">
        <x:v>0.39223954564658925</x:v>
      </x:c>
      <x:c r="G74" s="81" t="n">
        <x:v>-0.006301281964880769</x:v>
      </x:c>
      <x:c r="H74" s="59" t="n">
        <x:v>0</x:v>
      </x:c>
      <x:c r="I74" s="81" t="n">
        <x:v>0</x:v>
      </x:c>
      <x:c r="J74" s="79" t="n">
        <x:v>0.00009115901498594169</x:v>
      </x:c>
      <x:c r="K74" s="81" t="n">
        <x:v>-0.8958182685874952</x:v>
      </x:c>
      <x:c r="L74" s="81" t="n">
        <x:v>-0.9012499759310235</x:v>
      </x:c>
      <x:c r="M74" s="80" t="n">
        <x:v>2187.12101142241</x:v>
      </x:c>
      <x:c r="N74" s="82" t="n">
        <x:v>0.15827075965088455</x:v>
      </x:c>
      <x:c r="O74" s="82" t="n">
        <x:v>0.05864392178722236</x:v>
      </x:c>
      <x:c r="P74" s="80" t="n">
        <x:v>5280.543527394161</x:v>
      </x:c>
      <x:c r="Q74" s="81" t="n">
        <x:v>0.012350242678090899</x:v>
      </x:c>
      <x:c r="R74" s="81" t="n">
        <x:v>59.5450494876269</x:v>
      </x:c>
      <x:c r="S74" s="81" t="n">
        <x:v>6.039063144814689</x:v>
      </x:c>
      <x:c r="T74" s="81" t="n">
        <x:v>1.974703284705277</x:v>
      </x:c>
    </x:row>
    <x:row r="75">
      <x:c r="A75" s="59" t="n">
        <x:v>72</x:v>
      </x:c>
      <x:c r="B75" s="193" t="n">
        <x:v>0.33339851405471566</x:v>
      </x:c>
      <x:c r="C75" s="83" t="n">
        <x:v>0.5932843799012746</x:v>
      </x:c>
      <x:c r="D75" s="83" t="n">
        <x:v>0.6120043530932717</x:v>
      </x:c>
      <x:c r="E75" s="81" t="n">
        <x:v>0.008745478152730923</x:v>
      </x:c>
      <x:c r="F75" s="81" t="n">
        <x:v>0.39845371479168534</x:v>
      </x:c>
      <x:c r="G75" s="81" t="n">
        <x:v>-0.024826117576076473</x:v>
      </x:c>
      <x:c r="H75" s="59" t="n">
        <x:v>0</x:v>
      </x:c>
      <x:c r="I75" s="81" t="n">
        <x:v>0</x:v>
      </x:c>
      <x:c r="J75" s="79" t="n">
        <x:v>0.00003993621031701413</x:v>
      </x:c>
      <x:c r="K75" s="81" t="n">
        <x:v>-0.9543586167805553</x:v>
      </x:c>
      <x:c r="L75" s="81" t="n">
        <x:v>-0.9543958026651367</x:v>
      </x:c>
      <x:c r="M75" s="80" t="n">
        <x:v>1744.1497222648495</x:v>
      </x:c>
      <x:c r="N75" s="82" t="n">
        <x:v>0.18151552726997186</x:v>
      </x:c>
      <x:c r="O75" s="82" t="n">
        <x:v>0.0683223197439349</x:v>
      </x:c>
      <x:c r="P75" s="80" t="n">
        <x:v>3517.0576195634503</x:v>
      </x:c>
      <x:c r="Q75" s="81" t="n">
        <x:v>0.012073052297717438</x:v>
      </x:c>
      <x:c r="R75" s="81" t="n">
        <x:v>29.23604815763968</x:v>
      </x:c>
      <x:c r="S75" s="81" t="n">
        <x:v>1.4680770179613343</x:v>
      </x:c>
      <x:c r="T75" s="81" t="n">
        <x:v>0.8651055049667935</x:v>
      </x:c>
    </x:row>
    <x:row r="76">
      <x:c r="A76" s="59" t="n">
        <x:v>73</x:v>
      </x:c>
      <x:c r="B76" s="193" t="n">
        <x:v>0.8549532333388925</x:v>
      </x:c>
      <x:c r="C76" s="83" t="n">
        <x:v>0.3483259401993374</x:v>
      </x:c>
      <x:c r="D76" s="83" t="n">
        <x:v>0.5120223946327749</x:v>
      </x:c>
      <x:c r="E76" s="81" t="n">
        <x:v>-0.07022112150351852</x:v>
      </x:c>
      <x:c r="F76" s="81" t="n">
        <x:v>0.293951219401788</x:v>
      </x:c>
      <x:c r="G76" s="81" t="n">
        <x:v>0.004875277435325322</x:v>
      </x:c>
      <x:c r="H76" s="59" t="n">
        <x:v>0</x:v>
      </x:c>
      <x:c r="I76" s="81" t="n">
        <x:v>0</x:v>
      </x:c>
      <x:c r="J76" s="79" t="n">
        <x:v>9.668447418586561e-25</x:v>
      </x:c>
      <x:c r="K76" s="81" t="n">
        <x:v>-1</x:v>
      </x:c>
      <x:c r="L76" s="81" t="n">
        <x:v>-1</x:v>
      </x:c>
      <x:c r="M76" s="80" t="n">
        <x:v>0.000002</x:v>
      </x:c>
      <x:c r="N76" s="82" t="n">
        <x:v>0.30575964055444904</x:v>
      </x:c>
      <x:c r="O76" s="82" t="n">
        <x:v>0.0849036512128384</x:v>
      </x:c>
      <x:c r="P76" s="80" t="n">
        <x:v>277.5615048858426</x:v>
      </x:c>
      <x:c r="Q76" s="81" t="n">
        <x:v>31845188.053594735</x:v>
      </x:c>
      <x:c r="R76" s="81" t="n">
        <x:v>10.941976984210392</x:v>
      </x:c>
      <x:c r="S76" s="81" t="n">
        <x:v>3.529361456502656e-10</x:v>
      </x:c>
      <x:c r="T76" s="81" t="n">
        <x:v>2.094396794264123e-20</x:v>
      </x:c>
    </x:row>
    <x:row r="77">
      <x:c r="A77" s="59" t="n">
        <x:v>74</x:v>
      </x:c>
      <x:c r="B77" s="193" t="n">
        <x:v>0.2850547831505537</x:v>
      </x:c>
      <x:c r="C77" s="83" t="n">
        <x:v>0.9146733845469942</x:v>
      </x:c>
      <x:c r="D77" s="83" t="n">
        <x:v>1.3142676979124392</x:v>
      </x:c>
      <x:c r="E77" s="81" t="n">
        <x:v>-0.13611263188434358</x:v>
      </x:c>
      <x:c r="F77" s="81" t="n">
        <x:v>0.756846273620613</x:v>
      </x:c>
      <x:c r="G77" s="81" t="n">
        <x:v>-0.015552013698572493</x:v>
      </x:c>
      <x:c r="H77" s="59" t="n">
        <x:v>0</x:v>
      </x:c>
      <x:c r="I77" s="81" t="n">
        <x:v>0</x:v>
      </x:c>
      <x:c r="J77" s="79" t="n">
        <x:v>5.3192246278328374e-58</x:v>
      </x:c>
      <x:c r="K77" s="81" t="n">
        <x:v>-1</x:v>
      </x:c>
      <x:c r="L77" s="81" t="n">
        <x:v>-1</x:v>
      </x:c>
      <x:c r="M77" s="80" t="n">
        <x:v>0.000002</x:v>
      </x:c>
      <x:c r="N77" s="82" t="n">
        <x:v>0.16999914412364597</x:v>
      </x:c>
      <x:c r="O77" s="82" t="n">
        <x:v>0.12154171321253142</x:v>
      </x:c>
      <x:c r="P77" s="80" t="n">
        <x:v>284.0859007894359</x:v>
      </x:c>
      <x:c r="Q77" s="81" t="n">
        <x:v>3.1700741978392463e+40</x:v>
      </x:c>
      <x:c r="R77" s="81" t="n">
        <x:v>1.178725605902303</x:v>
      </x:c>
      <x:c r="S77" s="81" t="n">
        <x:v>4.969034382758881e-10</x:v>
      </x:c>
      <x:c r="T77" s="81" t="n">
        <x:v>1.1522601847207974e-53</x:v>
      </x:c>
    </x:row>
    <x:row r="78">
      <x:c r="A78" s="59" t="n">
        <x:v>75</x:v>
      </x:c>
      <x:c r="B78" s="193" t="n">
        <x:v>0.3404770197346807</x:v>
      </x:c>
      <x:c r="C78" s="83" t="n">
        <x:v>0.5202817310646854</x:v>
      </x:c>
      <x:c r="D78" s="83" t="n">
        <x:v>0.8696035461985074</x:v>
      </x:c>
      <x:c r="E78" s="81" t="n">
        <x:v>0.06824993715002224</x:v>
      </x:c>
      <x:c r="F78" s="81" t="n">
        <x:v>0.8747153524425813</x:v>
      </x:c>
      <x:c r="G78" s="81" t="n">
        <x:v>0.01862003076694778</x:v>
      </x:c>
      <x:c r="H78" s="59" t="n">
        <x:v>63</x:v>
      </x:c>
      <x:c r="I78" s="81" t="n">
        <x:v>0.45650894558057187</x:v>
      </x:c>
      <x:c r="J78" s="79" t="n">
        <x:v>0.002746759054314161</x:v>
      </x:c>
      <x:c r="K78" s="81" t="n">
        <x:v>2.13915320493047</x:v>
      </x:c>
      <x:c r="L78" s="81" t="n">
        <x:v>-0.9177007087366836</x:v>
      </x:c>
      <x:c r="M78" s="80" t="n">
        <x:v>17368.396065366567</x:v>
      </x:c>
      <x:c r="N78" s="82" t="n">
        <x:v>0.18320176004492106</x:v>
      </x:c>
      <x:c r="O78" s="82" t="n">
        <x:v>0.15137959276341767</x:v>
      </x:c>
      <x:c r="P78" s="80" t="n">
        <x:v>27620.272274184175</x:v>
      </x:c>
      <x:c r="Q78" s="81" t="n">
        <x:v>0.00549690676100984</x:v>
      </x:c>
      <x:c r="R78" s="81" t="n">
        <x:v>136.02763722348257</x:v>
      </x:c>
      <x:c r="S78" s="81" t="n">
        <x:v>103.77589743102281</x:v>
      </x:c>
      <x:c r="T78" s="81" t="n">
        <x:v>59.50079789348991</x:v>
      </x:c>
    </x:row>
    <x:row r="79">
      <x:c r="A79" s="59" t="n">
        <x:v>76</x:v>
      </x:c>
      <x:c r="B79" s="193" t="n">
        <x:v>0.7937352124601602</x:v>
      </x:c>
      <x:c r="C79" s="83" t="n">
        <x:v>2.4903748425376646</x:v>
      </x:c>
      <x:c r="D79" s="83" t="n">
        <x:v>0.4827235601571877</x:v>
      </x:c>
      <x:c r="E79" s="81" t="n">
        <x:v>-0.012315331280310225</x:v>
      </x:c>
      <x:c r="F79" s="81" t="n">
        <x:v>0.2637348259915598</x:v>
      </x:c>
      <x:c r="G79" s="81" t="n">
        <x:v>0.027560928466989282</x:v>
      </x:c>
      <x:c r="H79" s="59" t="n">
        <x:v>0</x:v>
      </x:c>
      <x:c r="I79" s="81" t="n">
        <x:v>0</x:v>
      </x:c>
      <x:c r="J79" s="79" t="n">
        <x:v>6.262957277995104e-9</x:v>
      </x:c>
      <x:c r="K79" s="81" t="n">
        <x:v>-0.9999928423345394</x:v>
      </x:c>
      <x:c r="L79" s="81" t="n">
        <x:v>-0.9999928423345394</x:v>
      </x:c>
      <x:c r="M79" s="80" t="n">
        <x:v>47.523199280079</x:v>
      </x:c>
      <x:c r="N79" s="82" t="n">
        <x:v>0.29117636014324366</x:v>
      </x:c>
      <x:c r="O79" s="82" t="n">
        <x:v>0.0725428370983291</x:v>
      </x:c>
      <x:c r="P79" s="80" t="n">
        <x:v>2971.3107503178703</x:v>
      </x:c>
      <x:c r="Q79" s="81" t="n">
        <x:v>0.6166672107717699</x:v>
      </x:c>
      <x:c r="R79" s="81" t="n">
        <x:v>5.495015409056596</x:v>
      </x:c>
      <x:c r="S79" s="81" t="n">
        <x:v>0.004120145460221767</x:v>
      </x:c>
      <x:c r="T79" s="81" t="n">
        <x:v>0.0001356693280498153</x:v>
      </x:c>
    </x:row>
    <x:row r="80">
      <x:c r="A80" s="59" t="n">
        <x:v>77</x:v>
      </x:c>
      <x:c r="B80" s="193" t="n">
        <x:v>0.6712987644597888</x:v>
      </x:c>
      <x:c r="C80" s="83" t="n">
        <x:v>1.6105383925140053</x:v>
      </x:c>
      <x:c r="D80" s="83" t="n">
        <x:v>0.8590204396768253</x:v>
      </x:c>
      <x:c r="E80" s="81" t="n">
        <x:v>-0.09690716550075569</x:v>
      </x:c>
      <x:c r="F80" s="81" t="n">
        <x:v>0.2797758280765265</x:v>
      </x:c>
      <x:c r="G80" s="81" t="n">
        <x:v>-0.030678013822134344</x:v>
      </x:c>
      <x:c r="H80" s="59" t="n">
        <x:v>0</x:v>
      </x:c>
      <x:c r="I80" s="81" t="n">
        <x:v>0</x:v>
      </x:c>
      <x:c r="J80" s="79" t="n">
        <x:v>4.315450291777742e-34</x:v>
      </x:c>
      <x:c r="K80" s="81" t="n">
        <x:v>-1</x:v>
      </x:c>
      <x:c r="L80" s="81" t="n">
        <x:v>-1</x:v>
      </x:c>
      <x:c r="M80" s="80" t="n">
        <x:v>0.000002</x:v>
      </x:c>
      <x:c r="N80" s="82" t="n">
        <x:v>0.2620097025461552</x:v>
      </x:c>
      <x:c r="O80" s="82" t="n">
        <x:v>0.06924660818159668</x:v>
      </x:c>
      <x:c r="P80" s="80" t="n">
        <x:v>466.4795779660769</x:v>
      </x:c>
      <x:c r="Q80" s="81" t="n">
        <x:v>52988626844541240</x:v>
      </x:c>
      <x:c r="R80" s="81" t="n">
        <x:v>1.524481487443523</x:v>
      </x:c>
      <x:c r="S80" s="81" t="n">
        <x:v>1.973053941762565e-10</x:v>
      </x:c>
      <x:c r="T80" s="81" t="n">
        <x:v>9.348207489374533e-30</x:v>
      </x:c>
    </x:row>
    <x:row r="81">
      <x:c r="A81" s="59" t="n">
        <x:v>78</x:v>
      </x:c>
      <x:c r="B81" s="193" t="n">
        <x:v>0.6995953317731619</x:v>
      </x:c>
      <x:c r="C81" s="83" t="n">
        <x:v>0.13890772401922535</x:v>
      </x:c>
      <x:c r="D81" s="83" t="n">
        <x:v>0.6197731554227962</x:v>
      </x:c>
      <x:c r="E81" s="81" t="n">
        <x:v>0.009971991183980029</x:v>
      </x:c>
      <x:c r="F81" s="81" t="n">
        <x:v>0.7522831943817437</x:v>
      </x:c>
      <x:c r="G81" s="81" t="n">
        <x:v>0.013107015861817107</x:v>
      </x:c>
      <x:c r="H81" s="59" t="n">
        <x:v>0</x:v>
      </x:c>
      <x:c r="I81" s="81" t="n">
        <x:v>0</x:v>
      </x:c>
      <x:c r="J81" s="79" t="n">
        <x:v>0.000006894186104235241</x:v>
      </x:c>
      <x:c r="K81" s="81" t="n">
        <x:v>-0.9921209301665883</x:v>
      </x:c>
      <x:c r="L81" s="81" t="n">
        <x:v>-0.9931558169967769</x:v>
      </x:c>
      <x:c r="M81" s="80" t="n">
        <x:v>523.9711220877455</x:v>
      </x:c>
      <x:c r="N81" s="82" t="n">
        <x:v>0.26875047544083797</x:v>
      </x:c>
      <x:c r="O81" s="82" t="n">
        <x:v>0.19098600444533453</x:v>
      </x:c>
      <x:c r="P81" s="80" t="n">
        <x:v>1286.678162796602</x:v>
      </x:c>
      <x:c r="Q81" s="81" t="n">
        <x:v>0.03256123592424511</x:v>
      </x:c>
      <x:c r="R81" s="81" t="n">
        <x:v>60.65642048475036</x:v>
      </x:c>
      <x:c r="S81" s="81" t="n">
        <x:v>1.0690751253049728</x:v>
      </x:c>
      <x:c r="T81" s="81" t="n">
        <x:v>0.14934312253705598</x:v>
      </x:c>
    </x:row>
    <x:row r="82">
      <x:c r="A82" s="59" t="n">
        <x:v>79</x:v>
      </x:c>
      <x:c r="B82" s="193" t="n">
        <x:v>0.951348714530468</x:v>
      </x:c>
      <x:c r="C82" s="83" t="n">
        <x:v>0.7224170971968561</x:v>
      </x:c>
      <x:c r="D82" s="83" t="n">
        <x:v>0.852382050988292</x:v>
      </x:c>
      <x:c r="E82" s="81" t="n">
        <x:v>-0.05869167643126865</x:v>
      </x:c>
      <x:c r="F82" s="81" t="n">
        <x:v>0.7063103421474808</x:v>
      </x:c>
      <x:c r="G82" s="81" t="n">
        <x:v>-0.02816879969279832</x:v>
      </x:c>
      <x:c r="H82" s="59" t="n">
        <x:v>0</x:v>
      </x:c>
      <x:c r="I82" s="81" t="n">
        <x:v>0</x:v>
      </x:c>
      <x:c r="J82" s="79" t="n">
        <x:v>2.1295607348025243e-26</x:v>
      </x:c>
      <x:c r="K82" s="81" t="n">
        <x:v>-1</x:v>
      </x:c>
      <x:c r="L82" s="81" t="n">
        <x:v>-1</x:v>
      </x:c>
      <x:c r="M82" s="80" t="n">
        <x:v>0.000002</x:v>
      </x:c>
      <x:c r="N82" s="82" t="n">
        <x:v>0.3287228515895551</x:v>
      </x:c>
      <x:c r="O82" s="82" t="n">
        <x:v>0.21932917395308874</x:v>
      </x:c>
      <x:c r="P82" s="80" t="n">
        <x:v>420.5607209344138</x:v>
      </x:c>
      <x:c r="Q82" s="81" t="n">
        <x:v>1711188112.1403165</x:v>
      </x:c>
      <x:c r="R82" s="81" t="n">
        <x:v>3.9944403169366103</x:v>
      </x:c>
      <x:c r="S82" s="81" t="n">
        <x:v>3.062118086092623e-10</x:v>
      </x:c>
      <x:c r="T82" s="81" t="n">
        <x:v>4.613093481365998e-22</x:v>
      </x:c>
    </x:row>
    <x:row r="83">
      <x:c r="A83" s="59" t="n">
        <x:v>80</x:v>
      </x:c>
      <x:c r="B83" s="193" t="n">
        <x:v>0.5877764981240035</x:v>
      </x:c>
      <x:c r="C83" s="83" t="n">
        <x:v>1.0321868543182418</x:v>
      </x:c>
      <x:c r="D83" s="83" t="n">
        <x:v>0.6974132518539857</x:v>
      </x:c>
      <x:c r="E83" s="81" t="n">
        <x:v>-0.046942250134197366</x:v>
      </x:c>
      <x:c r="F83" s="81" t="n">
        <x:v>0.8729288195143454</x:v>
      </x:c>
      <x:c r="G83" s="81" t="n">
        <x:v>-0.0300380484305372</x:v>
      </x:c>
      <x:c r="H83" s="59" t="n">
        <x:v>0</x:v>
      </x:c>
      <x:c r="I83" s="81" t="n">
        <x:v>0</x:v>
      </x:c>
      <x:c r="J83" s="79" t="n">
        <x:v>5.170626777088654e-21</x:v>
      </x:c>
      <x:c r="K83" s="81" t="n">
        <x:v>-1</x:v>
      </x:c>
      <x:c r="L83" s="81" t="n">
        <x:v>-1</x:v>
      </x:c>
      <x:c r="M83" s="80" t="n">
        <x:v>0.000026176622927139817</x:v>
      </x:c>
      <x:c r="N83" s="82" t="n">
        <x:v>0.24211313266247747</x:v>
      </x:c>
      <x:c r="O83" s="82" t="n">
        <x:v>0.1996494511874614</x:v>
      </x:c>
      <x:c r="P83" s="80" t="n">
        <x:v>573.7161463224478</x:v>
      </x:c>
      <x:c r="Q83" s="81" t="n">
        <x:v>114049.66727872346</x:v>
      </x:c>
      <x:c r="R83" s="81" t="n">
        <x:v>4.13492001931193</x:v>
      </x:c>
      <x:c r="S83" s="81" t="n">
        <x:v>2.8363895815432007e-9</x:v>
      </x:c>
      <x:c r="T83" s="81" t="n">
        <x:v>1.1200706460328316e-16</x:v>
      </x:c>
    </x:row>
    <x:row r="84">
      <x:c r="A84" s="59" t="n">
        <x:v>81</x:v>
      </x:c>
      <x:c r="B84" s="193" t="n">
        <x:v>0.6397876966744662</x:v>
      </x:c>
      <x:c r="C84" s="83" t="n">
        <x:v>0.85555360204803</x:v>
      </x:c>
      <x:c r="D84" s="83" t="n">
        <x:v>0.3220504196079691</x:v>
      </x:c>
      <x:c r="E84" s="81" t="n">
        <x:v>0.0954425085433212</x:v>
      </x:c>
      <x:c r="F84" s="81" t="n">
        <x:v>0.4490429527242668</x:v>
      </x:c>
      <x:c r="G84" s="81" t="n">
        <x:v>0.02142412552750473</x:v>
      </x:c>
      <x:c r="H84" s="59" t="n">
        <x:v>0</x:v>
      </x:c>
      <x:c r="I84" s="81" t="n">
        <x:v>0</x:v>
      </x:c>
      <x:c r="J84" s="79" t="n">
        <x:v>0.0020495983733010946</x:v>
      </x:c>
      <x:c r="K84" s="81" t="n">
        <x:v>1.3423981409155368</x:v>
      </x:c>
      <x:c r="L84" s="81" t="n">
        <x:v>-0.6439746330635882</x:v>
      </x:c>
      <x:c r="M84" s="80" t="n">
        <x:v>16362.379634347297</x:v>
      </x:c>
      <x:c r="N84" s="82" t="n">
        <x:v>0.2545031753671706</x:v>
      </x:c>
      <x:c r="O84" s="82" t="n">
        <x:v>0.10795730440737292</x:v>
      </x:c>
      <x:c r="P84" s="80" t="n">
        <x:v>11035.699547370143</x:v>
      </x:c>
      <x:c r="Q84" s="81" t="n">
        <x:v>0.002676903728266919</x:v>
      </x:c>
      <x:c r="R84" s="81" t="n">
        <x:v>54.07506256059419</x:v>
      </x:c>
      <x:c r="S84" s="81" t="n">
        <x:v>46.226687020011816</x:v>
      </x:c>
      <x:c r="T84" s="81" t="n">
        <x:v>44.39877548817785</x:v>
      </x:c>
    </x:row>
    <x:row r="85">
      <x:c r="A85" s="59" t="n">
        <x:v>82</x:v>
      </x:c>
      <x:c r="B85" s="193" t="n">
        <x:v>0.25108120404183865</x:v>
      </x:c>
      <x:c r="C85" s="83" t="n">
        <x:v>0.144462379679395</x:v>
      </x:c>
      <x:c r="D85" s="83" t="n">
        <x:v>0.6996839934861903</x:v>
      </x:c>
      <x:c r="E85" s="81" t="n">
        <x:v>0.03171462781941721</x:v>
      </x:c>
      <x:c r="F85" s="81" t="n">
        <x:v>0.7897211409639567</x:v>
      </x:c>
      <x:c r="G85" s="81" t="n">
        <x:v>-0.017291208188594347</x:v>
      </x:c>
      <x:c r="H85" s="59" t="n">
        <x:v>0</x:v>
      </x:c>
      <x:c r="I85" s="81" t="n">
        <x:v>0</x:v>
      </x:c>
      <x:c r="J85" s="79" t="n">
        <x:v>0.00012726988064892174</x:v>
      </x:c>
      <x:c r="K85" s="81" t="n">
        <x:v>-0.8545487078298037</x:v>
      </x:c>
      <x:c r="L85" s="81" t="n">
        <x:v>-0.8834942290611599</x:v>
      </x:c>
      <x:c r="M85" s="80" t="n">
        <x:v>2379.8251624571835</x:v>
      </x:c>
      <x:c r="N85" s="82" t="n">
        <x:v>0.16190600057534185</x:v>
      </x:c>
      <x:c r="O85" s="82" t="n">
        <x:v>0.12078351136256725</x:v>
      </x:c>
      <x:c r="P85" s="80" t="n">
        <x:v>3900.7841813460973</x:v>
      </x:c>
      <x:c r="Q85" s="81" t="n">
        <x:v>0.00785184408940545</x:v>
      </x:c>
      <x:c r="R85" s="81" t="n">
        <x:v>137.39437544514422</x:v>
      </x:c>
      <x:c r="S85" s="81" t="n">
        <x:v>16.88876413111838</x:v>
      </x:c>
      <x:c r="T85" s="81" t="n">
        <x:v>2.756943472899881</x:v>
      </x:c>
    </x:row>
    <x:row r="86">
      <x:c r="A86" s="59" t="n">
        <x:v>83</x:v>
      </x:c>
      <x:c r="B86" s="193" t="n">
        <x:v>0.8100422063842416</x:v>
      </x:c>
      <x:c r="C86" s="83" t="n">
        <x:v>2.1702200204564703</x:v>
      </x:c>
      <x:c r="D86" s="83" t="n">
        <x:v>0.31065955985302374</x:v>
      </x:c>
      <x:c r="E86" s="81" t="n">
        <x:v>-0.06195625836689918</x:v>
      </x:c>
      <x:c r="F86" s="81" t="n">
        <x:v>0.581043153826613</x:v>
      </x:c>
      <x:c r="G86" s="81" t="n">
        <x:v>-0.016622159868383293</x:v>
      </x:c>
      <x:c r="H86" s="59" t="n">
        <x:v>0</x:v>
      </x:c>
      <x:c r="I86" s="81" t="n">
        <x:v>0</x:v>
      </x:c>
      <x:c r="J86" s="79" t="n">
        <x:v>4.5417049297251785e-15</x:v>
      </x:c>
      <x:c r="K86" s="81" t="n">
        <x:v>-0.9999999999948095</x:v>
      </x:c>
      <x:c r="L86" s="81" t="n">
        <x:v>-0.9999999999948095</x:v>
      </x:c>
      <x:c r="M86" s="80" t="n">
        <x:v>0.03752658279866637</x:v>
      </x:c>
      <x:c r="N86" s="82" t="n">
        <x:v>0.29506099185209617</x:v>
      </x:c>
      <x:c r="O86" s="82" t="n">
        <x:v>0.16195379468323134</x:v>
      </x:c>
      <x:c r="P86" s="80" t="n">
        <x:v>654.6143054136579</x:v>
      </x:c>
      <x:c r="Q86" s="81" t="n">
        <x:v>143.0508443163897</x:v>
      </x:c>
      <x:c r="R86" s="81" t="n">
        <x:v>3.118585104712906</x:v>
      </x:c>
      <x:c r="S86" s="81" t="n">
        <x:v>0.0000013543930827690341</x:v>
      </x:c>
      <x:c r="T86" s="81" t="n">
        <x:v>9.838324431515153e-11</x:v>
      </x:c>
    </x:row>
    <x:row r="87">
      <x:c r="A87" s="59" t="n">
        <x:v>84</x:v>
      </x:c>
      <x:c r="B87" s="193" t="n">
        <x:v>0.5592923495918513</x:v>
      </x:c>
      <x:c r="C87" s="83" t="n">
        <x:v>0.3902463510446193</x:v>
      </x:c>
      <x:c r="D87" s="83" t="n">
        <x:v>0.5812595864153219</x:v>
      </x:c>
      <x:c r="E87" s="81" t="n">
        <x:v>-0.05374447936106758</x:v>
      </x:c>
      <x:c r="F87" s="81" t="n">
        <x:v>0.28658694088226183</x:v>
      </x:c>
      <x:c r="G87" s="81" t="n">
        <x:v>-0.022497148989892562</x:v>
      </x:c>
      <x:c r="H87" s="59" t="n">
        <x:v>0</x:v>
      </x:c>
      <x:c r="I87" s="81" t="n">
        <x:v>0</x:v>
      </x:c>
      <x:c r="J87" s="79" t="n">
        <x:v>8.974583634341075e-21</x:v>
      </x:c>
      <x:c r="K87" s="81" t="n">
        <x:v>-1</x:v>
      </x:c>
      <x:c r="L87" s="81" t="n">
        <x:v>-1</x:v>
      </x:c>
      <x:c r="M87" s="80" t="n">
        <x:v>0.000023574639354829603</x:v>
      </x:c>
      <x:c r="N87" s="82" t="n">
        <x:v>0.23532767440433391</x:v>
      </x:c>
      <x:c r="O87" s="82" t="n">
        <x:v>0.06370893446022359</x:v>
      </x:c>
      <x:c r="P87" s="80" t="n">
        <x:v>373.683571534052</x:v>
      </x:c>
      <x:c r="Q87" s="81" t="n">
        <x:v>52023.190825549995</x:v>
      </x:c>
      <x:c r="R87" s="81" t="n">
        <x:v>11.586495491317443</x:v>
      </x:c>
      <x:c r="S87" s="81" t="n">
        <x:v>3.4266571219700214e-9</x:v>
      </x:c>
      <x:c r="T87" s="81" t="n">
        <x:v>1.944090750029343e-16</x:v>
      </x:c>
    </x:row>
    <x:row r="88">
      <x:c r="A88" s="59" t="n">
        <x:v>85</x:v>
      </x:c>
      <x:c r="B88" s="193" t="n">
        <x:v>0.22165435459464788</x:v>
      </x:c>
      <x:c r="C88" s="83" t="n">
        <x:v>0.19031208524597487</x:v>
      </x:c>
      <x:c r="D88" s="83" t="n">
        <x:v>0.8121852385952761</x:v>
      </x:c>
      <x:c r="E88" s="81" t="n">
        <x:v>-0.0171248592350923</x:v>
      </x:c>
      <x:c r="F88" s="81" t="n">
        <x:v>0.6319167693029157</x:v>
      </x:c>
      <x:c r="G88" s="81" t="n">
        <x:v>-0.003940552583794735</x:v>
      </x:c>
      <x:c r="H88" s="59" t="n">
        <x:v>0</x:v>
      </x:c>
      <x:c r="I88" s="81" t="n">
        <x:v>0</x:v>
      </x:c>
      <x:c r="J88" s="79" t="n">
        <x:v>3.874875169864927e-13</x:v>
      </x:c>
      <x:c r="K88" s="81" t="n">
        <x:v>-0.9999999995571571</x:v>
      </x:c>
      <x:c r="L88" s="81" t="n">
        <x:v>-0.9999999995571571</x:v>
      </x:c>
      <x:c r="M88" s="80" t="n">
        <x:v>0.1293051853343359</x:v>
      </x:c>
      <x:c r="N88" s="82" t="n">
        <x:v>0.1548959732835936</x:v>
      </x:c>
      <x:c r="O88" s="82" t="n">
        <x:v>0.09246363232764886</x:v>
      </x:c>
      <x:c r="P88" s="80" t="n">
        <x:v>714.9368493068812</x:v>
      </x:c>
      <x:c r="Q88" s="81" t="n">
        <x:v>20.009200564366772</x:v>
      </x:c>
      <x:c r="R88" s="81" t="n">
        <x:v>34.47065017939914</x:v>
      </x:c>
      <x:c r="S88" s="81" t="n">
        <x:v>0.00003783631713371216</x:v>
      </x:c>
      <x:c r="T88" s="81" t="n">
        <x:v>8.393825588105819e-9</x:v>
      </x:c>
    </x:row>
    <x:row r="89">
      <x:c r="A89" s="59" t="n">
        <x:v>86</x:v>
      </x:c>
      <x:c r="B89" s="193" t="n">
        <x:v>0.8645120782777667</x:v>
      </x:c>
      <x:c r="C89" s="83" t="n">
        <x:v>0.12474568353193435</x:v>
      </x:c>
      <x:c r="D89" s="83" t="n">
        <x:v>0.7447919101355873</x:v>
      </x:c>
      <x:c r="E89" s="81" t="n">
        <x:v>0.1481868304659819</x:v>
      </x:c>
      <x:c r="F89" s="81" t="n">
        <x:v>0.5118390783900395</x:v>
      </x:c>
      <x:c r="G89" s="81" t="n">
        <x:v>0.05984597431350095</x:v>
      </x:c>
      <x:c r="H89" s="59" t="n">
        <x:v>0</x:v>
      </x:c>
      <x:c r="I89" s="81" t="n">
        <x:v>0</x:v>
      </x:c>
      <x:c r="J89" s="79" t="n">
        <x:v>0.015364906892874338</x:v>
      </x:c>
      <x:c r="K89" s="81" t="n">
        <x:v>16.559893591856387</x:v>
      </x:c>
      <x:c r="L89" s="81" t="n">
        <x:v>-0.7756330647585125</x:v>
      </x:c>
      <x:c r="M89" s="80" t="n">
        <x:v>39787.58999209829</x:v>
      </x:c>
      <x:c r="N89" s="82" t="n">
        <x:v>0.30803673664723136</x:v>
      </x:c>
      <x:c r="O89" s="82" t="n">
        <x:v>0.14893847283317777</x:v>
      </x:c>
      <x:c r="P89" s="80" t="n">
        <x:v>53327.972891429206</x:v>
      </x:c>
      <x:c r="Q89" s="81" t="n">
        <x:v>0.0029168465925597004</x:v>
      </x:c>
      <x:c r="R89" s="81" t="n">
        <x:v>1083.8699314189837</x:v>
      </x:c>
      <x:c r="S89" s="81" t="n">
        <x:v>2312.603047998574</x:v>
      </x:c>
      <x:c r="T89" s="81" t="n">
        <x:v>332.83742825905745</x:v>
      </x:c>
    </x:row>
    <x:row r="90">
      <x:c r="A90" s="59" t="n">
        <x:v>87</x:v>
      </x:c>
      <x:c r="B90" s="193" t="n">
        <x:v>0.22120318058878186</x:v>
      </x:c>
      <x:c r="C90" s="83" t="n">
        <x:v>0.42162662055082273</x:v>
      </x:c>
      <x:c r="D90" s="83" t="n">
        <x:v>0.8779231073370274</x:v>
      </x:c>
      <x:c r="E90" s="81" t="n">
        <x:v>0.11940249243996992</x:v>
      </x:c>
      <x:c r="F90" s="81" t="n">
        <x:v>0.38651678069727496</x:v>
      </x:c>
      <x:c r="G90" s="81" t="n">
        <x:v>0.010244229538699976</x:v>
      </x:c>
      <x:c r="H90" s="59" t="n">
        <x:v>0</x:v>
      </x:c>
      <x:c r="I90" s="81" t="n">
        <x:v>0</x:v>
      </x:c>
      <x:c r="J90" s="79" t="n">
        <x:v>0.050459804086690076</x:v>
      </x:c>
      <x:c r="K90" s="81" t="n">
        <x:v>56.66834752764581</x:v>
      </x:c>
      <x:c r="L90" s="81" t="n">
        <x:v>-0.7003278845873653</x:v>
      </x:c>
      <x:c r="M90" s="80" t="n">
        <x:v>79972.76347798563</x:v>
      </x:c>
      <x:c r="N90" s="82" t="n">
        <x:v>0.15478849517588394</x:v>
      </x:c>
      <x:c r="O90" s="82" t="n">
        <x:v>0.056516853309163735</x:v>
      </x:c>
      <x:c r="P90" s="80" t="n">
        <x:v>113850.64853180524</x:v>
      </x:c>
      <x:c r="Q90" s="81" t="n">
        <x:v>0.0013171923276464256</x:v>
      </x:c>
      <x:c r="R90" s="81" t="n">
        <x:v>1781.35494543509</x:v>
      </x:c>
      <x:c r="S90" s="81" t="n">
        <x:v>2248.8954502499187</x:v>
      </x:c>
      <x:c r="T90" s="81" t="n">
        <x:v>1093.0695213297158</x:v>
      </x:c>
    </x:row>
    <x:row r="91">
      <x:c r="A91" s="59" t="n">
        <x:v>88</x:v>
      </x:c>
      <x:c r="B91" s="193" t="n">
        <x:v>0.33266296945512297</x:v>
      </x:c>
      <x:c r="C91" s="83" t="n">
        <x:v>1.7032055547753986</x:v>
      </x:c>
      <x:c r="D91" s="83" t="n">
        <x:v>0.7200296274417786</x:v>
      </x:c>
      <x:c r="E91" s="81" t="n">
        <x:v>0.04666956647861103</x:v>
      </x:c>
      <x:c r="F91" s="81" t="n">
        <x:v>0.3631047793896869</x:v>
      </x:c>
      <x:c r="G91" s="81" t="n">
        <x:v>-0.030276594593438563</x:v>
      </x:c>
      <x:c r="H91" s="59" t="n">
        <x:v>63</x:v>
      </x:c>
      <x:c r="I91" s="81" t="n">
        <x:v>0.4319883326999844</x:v>
      </x:c>
      <x:c r="J91" s="79" t="n">
        <x:v>0.004668830899558712</x:v>
      </x:c>
      <x:c r="K91" s="81" t="n">
        <x:v>4.335806742352815</x:v>
      </x:c>
      <x:c r="L91" s="81" t="n">
        <x:v>-0.8395283475642864</x:v>
      </x:c>
      <x:c r="M91" s="80" t="n">
        <x:v>34945.117680722535</x:v>
      </x:c>
      <x:c r="N91" s="82" t="n">
        <x:v>0.18134030675488758</x:v>
      </x:c>
      <x:c r="O91" s="82" t="n">
        <x:v>0.06220098373154754</x:v>
      </x:c>
      <x:c r="P91" s="80" t="n">
        <x:v>45910.40985267192</x:v>
      </x:c>
      <x:c r="Q91" s="81" t="n">
        <x:v>0.003288406829270337</x:v>
      </x:c>
      <x:c r="R91" s="81" t="n">
        <x:v>61.50000638125976</x:v>
      </x:c>
      <x:c r="S91" s="81" t="n">
        <x:v>53.8275426012486</x:v>
      </x:c>
      <x:c r="T91" s="81" t="n">
        <x:v>101.13707036560126</x:v>
      </x:c>
    </x:row>
    <x:row r="92">
      <x:c r="A92" s="59" t="n">
        <x:v>89</x:v>
      </x:c>
      <x:c r="B92" s="193" t="n">
        <x:v>0.9906444866210222</x:v>
      </x:c>
      <x:c r="C92" s="83" t="n">
        <x:v>2.396187502238554</x:v>
      </x:c>
      <x:c r="D92" s="83" t="n">
        <x:v>0.5258441777534298</x:v>
      </x:c>
      <x:c r="E92" s="81" t="n">
        <x:v>0.11042790017707958</x:v>
      </x:c>
      <x:c r="F92" s="81" t="n">
        <x:v>0.4278783899149857</x:v>
      </x:c>
      <x:c r="G92" s="81" t="n">
        <x:v>0.021827560167457242</x:v>
      </x:c>
      <x:c r="H92" s="59" t="n">
        <x:v>83</x:v>
      </x:c>
      <x:c r="I92" s="81" t="n">
        <x:v>0.4772161681205035</x:v>
      </x:c>
      <x:c r="J92" s="79" t="n">
        <x:v>0.017185890631409188</x:v>
      </x:c>
      <x:c r="K92" s="81" t="n">
        <x:v>18.641017864467646</x:v>
      </x:c>
      <x:c r="L92" s="81" t="n">
        <x:v>-0.8839706634841717</x:v>
      </x:c>
      <x:c r="M92" s="80" t="n">
        <x:v>96754.2986109074</x:v>
      </x:c>
      <x:c r="N92" s="82" t="n">
        <x:v>0.3380838412972518</x:v>
      </x:c>
      <x:c r="O92" s="82" t="n">
        <x:v>0.13665191084111342</x:v>
      </x:c>
      <x:c r="P92" s="80" t="n">
        <x:v>93781.31996571715</x:v>
      </x:c>
      <x:c r="Q92" s="81" t="n">
        <x:v>0.0032746231531176413</x:v>
      </x:c>
      <x:c r="R92" s="81" t="n">
        <x:v>85.81483269242622</x:v>
      </x:c>
      <x:c r="S92" s="81" t="n">
        <x:v>142.48512907448844</x:v>
      </x:c>
      <x:c r="T92" s="81" t="n">
        <x:v>372.28391164234336</x:v>
      </x:c>
    </x:row>
    <x:row r="93">
      <x:c r="A93" s="59" t="n">
        <x:v>90</x:v>
      </x:c>
      <x:c r="B93" s="193" t="n">
        <x:v>0.3322536159306765</x:v>
      </x:c>
      <x:c r="C93" s="83" t="n">
        <x:v>1.4233475230643942</x:v>
      </x:c>
      <x:c r="D93" s="83" t="n">
        <x:v>0.7489490453763556</x:v>
      </x:c>
      <x:c r="E93" s="81" t="n">
        <x:v>-0.04228958674675699</x:v>
      </x:c>
      <x:c r="F93" s="81" t="n">
        <x:v>0.4844219375750981</x:v>
      </x:c>
      <x:c r="G93" s="81" t="n">
        <x:v>0.02313655328085508</x:v>
      </x:c>
      <x:c r="H93" s="59" t="n">
        <x:v>0</x:v>
      </x:c>
      <x:c r="I93" s="81" t="n">
        <x:v>0</x:v>
      </x:c>
      <x:c r="J93" s="79" t="n">
        <x:v>8.501827184381624e-25</x:v>
      </x:c>
      <x:c r="K93" s="81" t="n">
        <x:v>-1</x:v>
      </x:c>
      <x:c r="L93" s="81" t="n">
        <x:v>-1</x:v>
      </x:c>
      <x:c r="M93" s="80" t="n">
        <x:v>0.000002</x:v>
      </x:c>
      <x:c r="N93" s="82" t="n">
        <x:v>0.18124279106998578</x:v>
      </x:c>
      <x:c r="O93" s="82" t="n">
        <x:v>0.08293836807736961</x:v>
      </x:c>
      <x:c r="P93" s="80" t="n">
        <x:v>852.0043454031346</x:v>
      </x:c>
      <x:c r="Q93" s="81" t="n">
        <x:v>58564910.75005451</x:v>
      </x:c>
      <x:c r="R93" s="81" t="n">
        <x:v>3.7962667731112614</x:v>
      </x:c>
      <x:c r="S93" s="81" t="n">
        <x:v>3.576016293442978e-10</x:v>
      </x:c>
      <x:c r="T93" s="81" t="n">
        <x:v>1.8416813816586442e-20</x:v>
      </x:c>
    </x:row>
    <x:row r="94">
      <x:c r="A94" s="59" t="n">
        <x:v>91</x:v>
      </x:c>
      <x:c r="B94" s="193" t="n">
        <x:v>0.8888911293819548</x:v>
      </x:c>
      <x:c r="C94" s="83" t="n">
        <x:v>1.535694450923839</x:v>
      </x:c>
      <x:c r="D94" s="83" t="n">
        <x:v>1.7026710450617077</x:v>
      </x:c>
      <x:c r="E94" s="81" t="n">
        <x:v>0.04216320906896172</x:v>
      </x:c>
      <x:c r="F94" s="81" t="n">
        <x:v>0.27337357610231267</x:v>
      </x:c>
      <x:c r="G94" s="81" t="n">
        <x:v>-0.038501572501986936</x:v>
      </x:c>
      <x:c r="H94" s="59" t="n">
        <x:v>9</x:v>
      </x:c>
      <x:c r="I94" s="81" t="n">
        <x:v>0.48008227935060865</x:v>
      </x:c>
      <x:c r="J94" s="79" t="n">
        <x:v>0.01021296657880831</x:v>
      </x:c>
      <x:c r="K94" s="81" t="n">
        <x:v>10.671961804352357</x:v>
      </x:c>
      <x:c r="L94" s="81" t="n">
        <x:v>-0.7700232369427062</x:v>
      </x:c>
      <x:c r="M94" s="80" t="n">
        <x:v>53920.23718049135</x:v>
      </x:c>
      <x:c r="N94" s="82" t="n">
        <x:v>0.31384428372745726</x:v>
      </x:c>
      <x:c r="O94" s="82" t="n">
        <x:v>0.08104788735987424</x:v>
      </x:c>
      <x:c r="P94" s="80" t="n">
        <x:v>152564.03419475313</x:v>
      </x:c>
      <x:c r="Q94" s="81" t="n">
        <x:v>0.004907598416900037</x:v>
      </x:c>
      <x:c r="R94" s="81" t="n">
        <x:v>134.02239140038316</x:v>
      </x:c>
      <x:c r="S94" s="81" t="n">
        <x:v>133.69583240616475</x:v>
      </x:c>
      <x:c r="T94" s="81" t="n">
        <x:v>221.2351532414888</x:v>
      </x:c>
    </x:row>
    <x:row r="95">
      <x:c r="A95" s="59" t="n">
        <x:v>92</x:v>
      </x:c>
      <x:c r="B95" s="193" t="n">
        <x:v>0.6455834284424782</x:v>
      </x:c>
      <x:c r="C95" s="83" t="n">
        <x:v>0.3495873208314939</x:v>
      </x:c>
      <x:c r="D95" s="83" t="n">
        <x:v>2.9569235128982756</x:v>
      </x:c>
      <x:c r="E95" s="81" t="n">
        <x:v>0.04674673413204768</x:v>
      </x:c>
      <x:c r="F95" s="81" t="n">
        <x:v>0.5678594162571244</x:v>
      </x:c>
      <x:c r="G95" s="81" t="n">
        <x:v>-0.007772126016268118</x:v>
      </x:c>
      <x:c r="H95" s="59" t="n">
        <x:v>35</x:v>
      </x:c>
      <x:c r="I95" s="81" t="n">
        <x:v>0.41578449970111253</x:v>
      </x:c>
      <x:c r="J95" s="79" t="n">
        <x:v>0.009545319279564922</x:v>
      </x:c>
      <x:c r="K95" s="81" t="n">
        <x:v>9.908936319502768</x:v>
      </x:c>
      <x:c r="L95" s="81" t="n">
        <x:v>-0.9606631285915201</x:v>
      </x:c>
      <x:c r="M95" s="80" t="n">
        <x:v>34999.938897241394</x:v>
      </x:c>
      <x:c r="N95" s="82" t="n">
        <x:v>0.2558838273442815</x:v>
      </x:c>
      <x:c r="O95" s="82" t="n">
        <x:v>0.1372633555557343</x:v>
      </x:c>
      <x:c r="P95" s="80" t="n">
        <x:v>147374.27200363632</x:v>
      </x:c>
      <x:c r="Q95" s="81" t="n">
        <x:v>0.007969717041229741</x:v>
      </x:c>
      <x:c r="R95" s="81" t="n">
        <x:v>856.0950779351423</x:v>
      </x:c>
      <x:c r="S95" s="81" t="n">
        <x:v>538.5734516140932</x:v>
      </x:c>
      <x:c r="T95" s="81" t="n">
        <x:v>206.7724551194891</x:v>
      </x:c>
    </x:row>
    <x:row r="96">
      <x:c r="A96" s="59" t="n">
        <x:v>93</x:v>
      </x:c>
      <x:c r="B96" s="193" t="n">
        <x:v>0.2470031810924411</x:v>
      </x:c>
      <x:c r="C96" s="83" t="n">
        <x:v>0.319384882796761</x:v>
      </x:c>
      <x:c r="D96" s="83" t="n">
        <x:v>2.434260937577486</x:v>
      </x:c>
      <x:c r="E96" s="81" t="n">
        <x:v>0.01793566263570742</x:v>
      </x:c>
      <x:c r="F96" s="81" t="n">
        <x:v>0.7863429487100803</x:v>
      </x:c>
      <x:c r="G96" s="81" t="n">
        <x:v>0.0056567997858309495</x:v>
      </x:c>
      <x:c r="H96" s="59" t="n">
        <x:v>0</x:v>
      </x:c>
      <x:c r="I96" s="81" t="n">
        <x:v>0</x:v>
      </x:c>
      <x:c r="J96" s="79" t="n">
        <x:v>0.0012488147996433474</x:v>
      </x:c>
      <x:c r="K96" s="81" t="n">
        <x:v>0.42721691387811145</x:v>
      </x:c>
      <x:c r="L96" s="81" t="n">
        <x:v>-0.7479758622910901</x:v>
      </x:c>
      <x:c r="M96" s="80" t="n">
        <x:v>9439.016052311374</x:v>
      </x:c>
      <x:c r="N96" s="82" t="n">
        <x:v>0.16093453904586508</x:v>
      </x:c>
      <x:c r="O96" s="82" t="n">
        <x:v>0.1195452154366905</x:v>
      </x:c>
      <x:c r="P96" s="80" t="n">
        <x:v>43217.85171176628</x:v>
      </x:c>
      <x:c r="Q96" s="81" t="n">
        <x:v>0.014916909343161772</x:v>
      </x:c>
      <x:c r="R96" s="81" t="n">
        <x:v>157.77713727708579</x:v>
      </x:c>
      <x:c r="S96" s="81" t="n">
        <x:v>80.88790248756303</x:v>
      </x:c>
      <x:c r="T96" s="81" t="n">
        <x:v>27.05205499669547</x:v>
      </x:c>
    </x:row>
    <x:row r="97">
      <x:c r="A97" s="59" t="n">
        <x:v>94</x:v>
      </x:c>
      <x:c r="B97" s="193" t="n">
        <x:v>0.805912246182561</x:v>
      </x:c>
      <x:c r="C97" s="83" t="n">
        <x:v>0.11586101666742125</x:v>
      </x:c>
      <x:c r="D97" s="83" t="n">
        <x:v>1.260700126138956</x:v>
      </x:c>
      <x:c r="E97" s="81" t="n">
        <x:v>-0.0030637671220788425</x:v>
      </x:c>
      <x:c r="F97" s="81" t="n">
        <x:v>0.31936380473198367</x:v>
      </x:c>
      <x:c r="G97" s="81" t="n">
        <x:v>-0.007040207334403709</x:v>
      </x:c>
      <x:c r="H97" s="59" t="n">
        <x:v>20</x:v>
      </x:c>
      <x:c r="I97" s="81" t="n">
        <x:v>0.10703872200101615</x:v>
      </x:c>
      <x:c r="J97" s="79" t="n">
        <x:v>4.253451330601121e-8</x:v>
      </x:c>
      <x:c r="K97" s="81" t="n">
        <x:v>-0.9999513891276502</x:v>
      </x:c>
      <x:c r="L97" s="81" t="n">
        <x:v>-0.9999513891276502</x:v>
      </x:c>
      <x:c r="M97" s="80" t="n">
        <x:v>39.47923504108703</x:v>
      </x:c>
      <x:c r="N97" s="82" t="n">
        <x:v>0.2940771578953023</x:v>
      </x:c>
      <x:c r="O97" s="82" t="n">
        <x:v>0.08871926351212009</x:v>
      </x:c>
      <x:c r="P97" s="80" t="n">
        <x:v>1668.1365984014462</x:v>
      </x:c>
      <x:c r="Q97" s="81" t="n">
        <x:v>0.24625255969899626</x:v>
      </x:c>
      <x:c r="R97" s="81" t="n">
        <x:v>75.80195455845404</x:v>
      </x:c>
      <x:c r="S97" s="81" t="n">
        <x:v>0.02488264467130267</x:v>
      </x:c>
      <x:c r="T97" s="81" t="n">
        <x:v>0.0009213904203733867</x:v>
      </x:c>
    </x:row>
    <x:row r="98">
      <x:c r="A98" s="59" t="n">
        <x:v>95</x:v>
      </x:c>
      <x:c r="B98" s="193" t="n">
        <x:v>0.45951448511332277</x:v>
      </x:c>
      <x:c r="C98" s="83" t="n">
        <x:v>1.1432018624459146</x:v>
      </x:c>
      <x:c r="D98" s="83" t="n">
        <x:v>0.6543092800867591</x:v>
      </x:c>
      <x:c r="E98" s="81" t="n">
        <x:v>-0.0696891110436444</x:v>
      </x:c>
      <x:c r="F98" s="81" t="n">
        <x:v>0.468857581471093</x:v>
      </x:c>
      <x:c r="G98" s="81" t="n">
        <x:v>0.010998530700890167</x:v>
      </x:c>
      <x:c r="H98" s="59" t="n">
        <x:v>0</x:v>
      </x:c>
      <x:c r="I98" s="81" t="n">
        <x:v>0</x:v>
      </x:c>
      <x:c r="J98" s="79" t="n">
        <x:v>2.736158413499849e-28</x:v>
      </x:c>
      <x:c r="K98" s="81" t="n">
        <x:v>-1</x:v>
      </x:c>
      <x:c r="L98" s="81" t="n">
        <x:v>-1</x:v>
      </x:c>
      <x:c r="M98" s="80" t="n">
        <x:v>0.000002</x:v>
      </x:c>
      <x:c r="N98" s="82" t="n">
        <x:v>0.21155871625058936</x:v>
      </x:c>
      <x:c r="O98" s="82" t="n">
        <x:v>0.0937006940723583</x:v>
      </x:c>
      <x:c r="P98" s="80" t="n">
        <x:v>477.4024017235636</x:v>
      </x:c>
      <x:c r="Q98" s="81" t="n">
        <x:v>113330345681.5784</x:v>
      </x:c>
      <x:c r="R98" s="81" t="n">
        <x:v>3.212900549068874</x:v>
      </x:c>
      <x:c r="S98" s="81" t="n">
        <x:v>3.0550769622622793e-10</x:v>
      </x:c>
      <x:c r="T98" s="81" t="n">
        <x:v>5.9271164869929594e-24</x:v>
      </x:c>
    </x:row>
    <x:row r="99">
      <x:c r="A99" s="59" t="n">
        <x:v>96</x:v>
      </x:c>
      <x:c r="B99" s="193" t="n">
        <x:v>0.6822487203404308</x:v>
      </x:c>
      <x:c r="C99" s="83" t="n">
        <x:v>2.2631535765749997</x:v>
      </x:c>
      <x:c r="D99" s="83" t="n">
        <x:v>0.9911562384546391</x:v>
      </x:c>
      <x:c r="E99" s="81" t="n">
        <x:v>0.07316561654887538</x:v>
      </x:c>
      <x:c r="F99" s="81" t="n">
        <x:v>0.32827309689018874</x:v>
      </x:c>
      <x:c r="G99" s="81" t="n">
        <x:v>-0.009406299499180391</x:v>
      </x:c>
      <x:c r="H99" s="59" t="n">
        <x:v>0</x:v>
      </x:c>
      <x:c r="I99" s="81" t="n">
        <x:v>0</x:v>
      </x:c>
      <x:c r="J99" s="79" t="n">
        <x:v>0.03432748996548904</x:v>
      </x:c>
      <x:c r="K99" s="81" t="n">
        <x:v>38.23141710341605</x:v>
      </x:c>
      <x:c r="L99" s="81" t="n">
        <x:v>-0.5987953542625122</x:v>
      </x:c>
      <x:c r="M99" s="80" t="n">
        <x:v>132257.45054888222</x:v>
      </x:c>
      <x:c r="N99" s="82" t="n">
        <x:v>0.2646181873485969</x:v>
      </x:c>
      <x:c r="O99" s="82" t="n">
        <x:v>0.08205894408637343</x:v>
      </x:c>
      <x:c r="P99" s="80" t="n">
        <x:v>221336.8410288329</x:v>
      </x:c>
      <x:c r="Q99" s="81" t="n">
        <x:v>0.0029369450442384357</x:v>
      </x:c>
      <x:c r="R99" s="81" t="n">
        <x:v>257.9218111609056</x:v>
      </x:c>
      <x:c r="S99" s="81" t="n">
        <x:v>298.2989595864944</x:v>
      </x:c>
      <x:c r="T99" s="81" t="n">
        <x:v>743.6083770869236</x:v>
      </x:c>
    </x:row>
    <x:row r="100">
      <x:c r="A100" s="59" t="n">
        <x:v>97</x:v>
      </x:c>
      <x:c r="B100" s="193" t="n">
        <x:v>0.8645339004695416</x:v>
      </x:c>
      <x:c r="C100" s="83" t="n">
        <x:v>0.998593999452741</x:v>
      </x:c>
      <x:c r="D100" s="83" t="n">
        <x:v>1.4460209649848066</x:v>
      </x:c>
      <x:c r="E100" s="81" t="n">
        <x:v>-0.024423478317748156</x:v>
      </x:c>
      <x:c r="F100" s="81" t="n">
        <x:v>0.8442422113148496</x:v>
      </x:c>
      <x:c r="G100" s="81" t="n">
        <x:v>0.029058132859390517</x:v>
      </x:c>
      <x:c r="H100" s="59" t="n">
        <x:v>0</x:v>
      </x:c>
      <x:c r="I100" s="81" t="n">
        <x:v>0</x:v>
      </x:c>
      <x:c r="J100" s="79" t="n">
        <x:v>1.5293464584247115e-26</x:v>
      </x:c>
      <x:c r="K100" s="81" t="n">
        <x:v>-1</x:v>
      </x:c>
      <x:c r="L100" s="81" t="n">
        <x:v>-1</x:v>
      </x:c>
      <x:c r="M100" s="80" t="n">
        <x:v>0.000002</x:v>
      </x:c>
      <x:c r="N100" s="82" t="n">
        <x:v>0.3080419351024785</x:v>
      </x:c>
      <x:c r="O100" s="82" t="n">
        <x:v>0.24566757984147541</x:v>
      </x:c>
      <x:c r="P100" s="80" t="n">
        <x:v>1067.5637008384508</x:v>
      </x:c>
      <x:c r="Q100" s="81" t="n">
        <x:v>5540652690.470554</x:v>
      </x:c>
      <x:c r="R100" s="81" t="n">
        <x:v>4.421842765729308</x:v>
      </x:c>
      <x:c r="S100" s="81" t="n">
        <x:v>8.980620545994055e-10</x:v>
      </x:c>
      <x:c r="T100" s="81" t="n">
        <x:v>3.3128983187997353e-22</x:v>
      </x:c>
    </x:row>
    <x:row r="101">
      <x:c r="A101" s="59" t="n">
        <x:v>98</x:v>
      </x:c>
      <x:c r="B101" s="193" t="n">
        <x:v>0.5260408515110613</x:v>
      </x:c>
      <x:c r="C101" s="83" t="n">
        <x:v>0.6011115476428085</x:v>
      </x:c>
      <x:c r="D101" s="83" t="n">
        <x:v>0.3760038129600295</x:v>
      </x:c>
      <x:c r="E101" s="81" t="n">
        <x:v>-0.19259166836864106</x:v>
      </x:c>
      <x:c r="F101" s="81" t="n">
        <x:v>0.6855017827358096</x:v>
      </x:c>
      <x:c r="G101" s="81" t="n">
        <x:v>-0.012469434360984626</x:v>
      </x:c>
      <x:c r="H101" s="59" t="n">
        <x:v>0</x:v>
      </x:c>
      <x:c r="I101" s="81" t="n">
        <x:v>0</x:v>
      </x:c>
      <x:c r="J101" s="79" t="n">
        <x:v>2.272886311279915e-33</x:v>
      </x:c>
      <x:c r="K101" s="81" t="n">
        <x:v>-1</x:v>
      </x:c>
      <x:c r="L101" s="81" t="n">
        <x:v>-1</x:v>
      </x:c>
      <x:c r="M101" s="80" t="n">
        <x:v>0.000002</x:v>
      </x:c>
      <x:c r="N101" s="82" t="n">
        <x:v>0.2274065440959007</x:v>
      </x:c>
      <x:c r="O101" s="82" t="n">
        <x:v>0.14725921758835467</x:v>
      </x:c>
      <x:c r="P101" s="80" t="n">
        <x:v>135.5128180124259</x:v>
      </x:c>
      <x:c r="Q101" s="81" t="n">
        <x:v>5503910505999216</x:v>
      </x:c>
      <x:c r="R101" s="81" t="n">
        <x:v>3.3089964278974615</x:v>
      </x:c>
      <x:c r="S101" s="81" t="n">
        <x:v>1.765928365344175e-10</x:v>
      </x:c>
      <x:c r="T101" s="81" t="n">
        <x:v>4.923567971130754e-29</x:v>
      </x:c>
    </x:row>
    <x:row r="102">
      <x:c r="A102" s="59" t="n">
        <x:v>99</x:v>
      </x:c>
      <x:c r="B102" s="193" t="n">
        <x:v>0.7229865042492747</x:v>
      </x:c>
      <x:c r="C102" s="83" t="n">
        <x:v>0.1076973207408793</x:v>
      </x:c>
      <x:c r="D102" s="83" t="n">
        <x:v>0.9217156879450676</x:v>
      </x:c>
      <x:c r="E102" s="81" t="n">
        <x:v>0.0346353496890218</x:v>
      </x:c>
      <x:c r="F102" s="81" t="n">
        <x:v>0.8525032973499037</x:v>
      </x:c>
      <x:c r="G102" s="81" t="n">
        <x:v>-0.018986579009883514</x:v>
      </x:c>
      <x:c r="H102" s="59" t="n">
        <x:v>63</x:v>
      </x:c>
      <x:c r="I102" s="81" t="n">
        <x:v>0.25170311573892834</x:v>
      </x:c>
      <x:c r="J102" s="79" t="n">
        <x:v>0.00007376866568354694</x:v>
      </x:c>
      <x:c r="K102" s="81" t="n">
        <x:v>-0.9156929535045177</x:v>
      </x:c>
      <x:c r="L102" s="81" t="n">
        <x:v>-0.9301630904037876</x:v>
      </x:c>
      <x:c r="M102" s="80" t="n">
        <x:v>1814.862664833275</x:v>
      </x:c>
      <x:c r="N102" s="82" t="n">
        <x:v>0.27432269130913167</x:v>
      </x:c>
      <x:c r="O102" s="82" t="n">
        <x:v>0.22091679917367468</x:v>
      </x:c>
      <x:c r="P102" s="80" t="n">
        <x:v>3810.0277274290324</x:v>
      </x:c>
      <x:c r="Q102" s="81" t="n">
        <x:v>0.013618404689229008</x:v>
      </x:c>
      <x:c r="R102" s="81" t="n">
        <x:v>137.6394347689308</x:v>
      </x:c>
      <x:c r="S102" s="81" t="n">
        <x:v>13.258884123888377</x:v>
      </x:c>
      <x:c r="T102" s="81" t="n">
        <x:v>1.5979903518712952</x:v>
      </x:c>
    </x:row>
    <x:row r="103">
      <x:c r="A103" s="59" t="n">
        <x:v>100</x:v>
      </x:c>
      <x:c r="B103" s="193" t="n">
        <x:v>0.761392566561699</x:v>
      </x:c>
      <x:c r="C103" s="83" t="n">
        <x:v>0.11227314239752584</x:v>
      </x:c>
      <x:c r="D103" s="83" t="n">
        <x:v>0.7797327711376885</x:v>
      </x:c>
      <x:c r="E103" s="81" t="n">
        <x:v>0.12778545955542214</x:v>
      </x:c>
      <x:c r="F103" s="81" t="n">
        <x:v>0.30280761553440244</x:v>
      </x:c>
      <x:c r="G103" s="81" t="n">
        <x:v>0.0013226909856099327</x:v>
      </x:c>
      <x:c r="H103" s="59" t="n">
        <x:v>0</x:v>
      </x:c>
      <x:c r="I103" s="81" t="n">
        <x:v>0</x:v>
      </x:c>
      <x:c r="J103" s="79" t="n">
        <x:v>0.01087558485985268</x:v>
      </x:c>
      <x:c r="K103" s="81" t="n">
        <x:v>11.429239839831634</x:v>
      </x:c>
      <x:c r="L103" s="81" t="n">
        <x:v>-0.7534928266144246</x:v>
      </x:c>
      <x:c r="M103" s="80" t="n">
        <x:v>28156.204391576233</x:v>
      </x:c>
      <x:c r="N103" s="82" t="n">
        <x:v>0.2834717354656198</x:v>
      </x:c>
      <x:c r="O103" s="82" t="n">
        <x:v>0.08108630259795663</x:v>
      </x:c>
      <x:c r="P103" s="80" t="n">
        <x:v>36807.4453617688</x:v>
      </x:c>
      <x:c r="Q103" s="81" t="n">
        <x:v>0.0017007912607128646</x:v>
      </x:c>
      <x:c r="R103" s="81" t="n">
        <x:v>2388.535601849712</x:v>
      </x:c>
      <x:c r="S103" s="81" t="n">
        <x:v>1808.2768204316808</x:v>
      </x:c>
      <x:c r="T103" s="81" t="n">
        <x:v>235.5889118498489</x:v>
      </x:c>
    </x:row>
    <x:row r="104">
      <x:c r="A104" s="59" t="n">
        <x:v>101</x:v>
      </x:c>
      <x:c r="B104" s="193" t="n">
        <x:v>0.9098884206265212</x:v>
      </x:c>
      <x:c r="C104" s="83" t="n">
        <x:v>2.3112445030056357</x:v>
      </x:c>
      <x:c r="D104" s="83" t="n">
        <x:v>0.7588460137556066</x:v>
      </x:c>
      <x:c r="E104" s="81" t="n">
        <x:v>-0.11521940618460078</x:v>
      </x:c>
      <x:c r="F104" s="81" t="n">
        <x:v>0.5772160492371767</x:v>
      </x:c>
      <x:c r="G104" s="81" t="n">
        <x:v>0.016621524348377947</x:v>
      </x:c>
      <x:c r="H104" s="59" t="n">
        <x:v>0</x:v>
      </x:c>
      <x:c r="I104" s="81" t="n">
        <x:v>0</x:v>
      </x:c>
      <x:c r="J104" s="79" t="n">
        <x:v>1.068012295205917e-41</x:v>
      </x:c>
      <x:c r="K104" s="81" t="n">
        <x:v>-1</x:v>
      </x:c>
      <x:c r="L104" s="81" t="n">
        <x:v>-1</x:v>
      </x:c>
      <x:c r="M104" s="80" t="n">
        <x:v>0.000002</x:v>
      </x:c>
      <x:c r="N104" s="82" t="n">
        <x:v>0.3188462322011244</x:v>
      </x:c>
      <x:c r="O104" s="82" t="n">
        <x:v>0.1738563786032615</x:v>
      </x:c>
      <x:c r="P104" s="80" t="n">
        <x:v>495.11128136620005</x:v>
      </x:c>
      <x:c r="Q104" s="81" t="n">
        <x:v>1.8308519801349282e+24</x:v>
      </x:c>
      <x:c r="R104" s="81" t="n">
        <x:v>1.0606164784861853</x:v>
      </x:c>
      <x:c r="S104" s="81" t="n">
        <x:v>2.4534168072316047e-10</x:v>
      </x:c>
      <x:c r="T104" s="81" t="n">
        <x:v>2.3135478019085585e-37</x:v>
      </x:c>
    </x:row>
    <x:row r="105">
      <x:c r="A105" s="59" t="n">
        <x:v>102</x:v>
      </x:c>
      <x:c r="B105" s="193" t="n">
        <x:v>0.44751692824065686</x:v>
      </x:c>
      <x:c r="C105" s="83" t="n">
        <x:v>0.19065105529873083</x:v>
      </x:c>
      <x:c r="D105" s="83" t="n">
        <x:v>3</x:v>
      </x:c>
      <x:c r="E105" s="81" t="n">
        <x:v>0.020344687748579768</x:v>
      </x:c>
      <x:c r="F105" s="81" t="n">
        <x:v>0.8229268021066674</x:v>
      </x:c>
      <x:c r="G105" s="81" t="n">
        <x:v>0.02509534227978777</x:v>
      </x:c>
      <x:c r="H105" s="59" t="n">
        <x:v>0</x:v>
      </x:c>
      <x:c r="I105" s="81" t="n">
        <x:v>0</x:v>
      </x:c>
      <x:c r="J105" s="79" t="n">
        <x:v>0.0018181417249378135</x:v>
      </x:c>
      <x:c r="K105" s="81" t="n">
        <x:v>1.0778762570717868</x:v>
      </x:c>
      <x:c r="L105" s="81" t="n">
        <x:v>-0.7875071277348968</x:v>
      </x:c>
      <x:c r="M105" s="80" t="n">
        <x:v>11253.873392111831</x:v>
      </x:c>
      <x:c r="N105" s="82" t="n">
        <x:v>0.20870067324932895</x:v>
      </x:c>
      <x:c r="O105" s="82" t="n">
        <x:v>0.16223927581677147</x:v>
      </x:c>
      <x:c r="P105" s="80" t="n">
        <x:v>60313.930967218774</x:v>
      </x:c>
      <x:c r="Q105" s="81" t="n">
        <x:v>0.018743371490302026</x:v>
      </x:c>
      <x:c r="R105" s="81" t="n">
        <x:v>264.49245057198556</x:v>
      </x:c>
      <x:c r="S105" s="81" t="n">
        <x:v>194.09975236673037</x:v>
      </x:c>
      <x:c r="T105" s="81" t="n">
        <x:v>39.38491916403556</x:v>
      </x:c>
    </x:row>
    <x:row r="106">
      <x:c r="A106" s="59" t="n">
        <x:v>103</x:v>
      </x:c>
      <x:c r="B106" s="193" t="n">
        <x:v>0.3681938132271171</x:v>
      </x:c>
      <x:c r="C106" s="83" t="n">
        <x:v>0.8890786278535924</x:v>
      </x:c>
      <x:c r="D106" s="83" t="n">
        <x:v>0.5031709658221801</x:v>
      </x:c>
      <x:c r="E106" s="81" t="n">
        <x:v>0.040057344748056965</x:v>
      </x:c>
      <x:c r="F106" s="81" t="n">
        <x:v>0.8803550009033643</x:v>
      </x:c>
      <x:c r="G106" s="81" t="n">
        <x:v>-0.012791285217730222</x:v>
      </x:c>
      <x:c r="H106" s="59" t="n">
        <x:v>10</x:v>
      </x:c>
      <x:c r="I106" s="81" t="n">
        <x:v>0.1106795033439994</x:v>
      </x:c>
      <x:c r="J106" s="79" t="n">
        <x:v>0.0001839514421539008</x:v>
      </x:c>
      <x:c r="K106" s="81" t="n">
        <x:v>-0.7897697803955419</x:v>
      </x:c>
      <x:c r="L106" s="81" t="n">
        <x:v>-0.8482637404391995</x:v>
      </x:c>
      <x:c r="M106" s="80" t="n">
        <x:v>4694.632260483383</x:v>
      </x:c>
      <x:c r="N106" s="82" t="n">
        <x:v>0.18980441994469738</x:v>
      </x:c>
      <x:c r="O106" s="82" t="n">
        <x:v>0.1578465517845972</x:v>
      </x:c>
      <x:c r="P106" s="80" t="n">
        <x:v>5412.30622109353</x:v>
      </x:c>
      <x:c r="Q106" s="81" t="n">
        <x:v>0.008244663772699825</x:v>
      </x:c>
      <x:c r="R106" s="81" t="n">
        <x:v>22.506121600296883</x:v>
      </x:c>
      <x:c r="S106" s="81" t="n">
        <x:v>4.32766598804704</x:v>
      </x:c>
      <x:c r="T106" s="81" t="n">
        <x:v>3.9847898433698545</x:v>
      </x:c>
    </x:row>
    <x:row r="107">
      <x:c r="A107" s="59" t="n">
        <x:v>104</x:v>
      </x:c>
      <x:c r="B107" s="193" t="n">
        <x:v>0.6429084109142422</x:v>
      </x:c>
      <x:c r="C107" s="83" t="n">
        <x:v>0.4038649706952019</x:v>
      </x:c>
      <x:c r="D107" s="83" t="n">
        <x:v>0.38978466632367637</x:v>
      </x:c>
      <x:c r="E107" s="81" t="n">
        <x:v>-0.02159812386024519</x:v>
      </x:c>
      <x:c r="F107" s="81" t="n">
        <x:v>0.6531409373390489</x:v>
      </x:c>
      <x:c r="G107" s="81" t="n">
        <x:v>-0.005786630034688693</x:v>
      </x:c>
      <x:c r="H107" s="59" t="n">
        <x:v>0</x:v>
      </x:c>
      <x:c r="I107" s="81" t="n">
        <x:v>0</x:v>
      </x:c>
      <x:c r="J107" s="79" t="n">
        <x:v>1.8909408583002326e-10</x:v>
      </x:c>
      <x:c r="K107" s="81" t="n">
        <x:v>-0.9999997838924733</x:v>
      </x:c>
      <x:c r="L107" s="81" t="n">
        <x:v>-0.9999997838924733</x:v>
      </x:c>
      <x:c r="M107" s="80" t="n">
        <x:v>3.33839950959677</x:v>
      </x:c>
      <x:c r="N107" s="82" t="n">
        <x:v>0.25524658801247724</x:v>
      </x:c>
      <x:c r="O107" s="82" t="n">
        <x:v>0.15748449147505106</x:v>
      </x:c>
      <x:c r="P107" s="80" t="n">
        <x:v>458.75428554543873</x:v>
      </x:c>
      <x:c r="Q107" s="81" t="n">
        <x:v>0.8287704393786633</x:v>
      </x:c>
      <x:c r="R107" s="81" t="n">
        <x:v>16.908633585928</x:v>
      </x:c>
      <x:c r="S107" s="81" t="n">
        <x:v>0.00039292257371197027</x:v>
      </x:c>
      <x:c r="T107" s="81" t="n">
        <x:v>0.0000040961907329129665</x:v>
      </x:c>
    </x:row>
    <x:row r="108">
      <x:c r="A108" s="59" t="n">
        <x:v>105</x:v>
      </x:c>
      <x:c r="B108" s="193" t="n">
        <x:v>0.6109747111797332</x:v>
      </x:c>
      <x:c r="C108" s="83" t="n">
        <x:v>0.11595676795598964</x:v>
      </x:c>
      <x:c r="D108" s="83" t="n">
        <x:v>0.5887813149776029</x:v>
      </x:c>
      <x:c r="E108" s="81" t="n">
        <x:v>-0.026947957410681712</x:v>
      </x:c>
      <x:c r="F108" s="81" t="n">
        <x:v>0.5306653592502699</x:v>
      </x:c>
      <x:c r="G108" s="81" t="n">
        <x:v>-0.018950965474005366</x:v>
      </x:c>
      <x:c r="H108" s="59" t="n">
        <x:v>0</x:v>
      </x:c>
      <x:c r="I108" s="81" t="n">
        <x:v>0</x:v>
      </x:c>
      <x:c r="J108" s="79" t="n">
        <x:v>1.314467813466302e-13</x:v>
      </x:c>
      <x:c r="K108" s="81" t="n">
        <x:v>-0.9999999998497751</x:v>
      </x:c>
      <x:c r="L108" s="81" t="n">
        <x:v>-0.9999999998497751</x:v>
      </x:c>
      <x:c r="M108" s="80" t="n">
        <x:v>0.07071748337094742</x:v>
      </x:c>
      <x:c r="N108" s="82" t="n">
        <x:v>0.2476393819788472</x:v>
      </x:c>
      <x:c r="O108" s="82" t="n">
        <x:v>0.12413990023864542</x:v>
      </x:c>
      <x:c r="P108" s="80" t="n">
        <x:v>408.2982344408396</x:v>
      </x:c>
      <x:c r="Q108" s="81" t="n">
        <x:v>20.699978634687945</x:v>
      </x:c>
      <x:c r="R108" s="81" t="n">
        <x:v>46.82171784666927</x:v>
      </x:c>
      <x:c r="S108" s="81" t="n">
        <x:v>0.000013291637094250265</x:v>
      </x:c>
      <x:c r="T108" s="81" t="n">
        <x:v>2.847424261101955e-9</x:v>
      </x:c>
    </x:row>
    <x:row r="109">
      <x:c r="A109" s="59" t="n">
        <x:v>106</x:v>
      </x:c>
      <x:c r="B109" s="193" t="n">
        <x:v>0.8847476832568646</x:v>
      </x:c>
      <x:c r="C109" s="83" t="n">
        <x:v>0.32351567116937374</x:v>
      </x:c>
      <x:c r="D109" s="83" t="n">
        <x:v>0.2698417532320486</x:v>
      </x:c>
      <x:c r="E109" s="81" t="n">
        <x:v>0.07624551970699713</x:v>
      </x:c>
      <x:c r="F109" s="81" t="n">
        <x:v>0.821821573341731</x:v>
      </x:c>
      <x:c r="G109" s="81" t="n">
        <x:v>0.020956033268581656</x:v>
      </x:c>
      <x:c r="H109" s="59" t="n">
        <x:v>66</x:v>
      </x:c>
      <x:c r="I109" s="81" t="n">
        <x:v>0.34860609378665686</x:v>
      </x:c>
      <x:c r="J109" s="79" t="n">
        <x:v>0.00008697072664648492</x:v>
      </x:c>
      <x:c r="K109" s="81" t="n">
        <x:v>-0.9006048838325886</x:v>
      </x:c>
      <x:c r="L109" s="81" t="n">
        <x:v>-0.9524062608137956</x:v>
      </x:c>
      <x:c r="M109" s="80" t="n">
        <x:v>2307.653972947104</x:v>
      </x:c>
      <x:c r="N109" s="82" t="n">
        <x:v>0.3128572371708463</x:v>
      </x:c>
      <x:c r="O109" s="82" t="n">
        <x:v>0.24288163915229122</x:v>
      </x:c>
      <x:c r="P109" s="80" t="n">
        <x:v>1543.4375728739767</x:v>
      </x:c>
      <x:c r="Q109" s="81" t="n">
        <x:v>0.007042023097305861</x:v>
      </x:c>
      <x:c r="R109" s="81" t="n">
        <x:v>36.87156607400563</x:v>
      </x:c>
      <x:c r="S109" s="81" t="n">
        <x:v>5.27487208912107</x:v>
      </x:c>
      <x:c r="T109" s="81" t="n">
        <x:v>1.8839758153212172</x:v>
      </x:c>
    </x:row>
    <x:row r="110">
      <x:c r="A110" s="59" t="n">
        <x:v>107</x:v>
      </x:c>
      <x:c r="B110" s="193" t="n">
        <x:v>0.6709046797826886</x:v>
      </x:c>
      <x:c r="C110" s="83" t="n">
        <x:v>0.6579444695603358</x:v>
      </x:c>
      <x:c r="D110" s="83" t="n">
        <x:v>0.5603657028561042</x:v>
      </x:c>
      <x:c r="E110" s="81" t="n">
        <x:v>0.04883619743648505</x:v>
      </x:c>
      <x:c r="F110" s="81" t="n">
        <x:v>0.4335655556293204</x:v>
      </x:c>
      <x:c r="G110" s="81" t="n">
        <x:v>0.01896572299994024</x:v>
      </x:c>
      <x:c r="H110" s="59" t="n">
        <x:v>29</x:v>
      </x:c>
      <x:c r="I110" s="81" t="n">
        <x:v>0.3963529977947474</x:v>
      </x:c>
      <x:c r="J110" s="79" t="n">
        <x:v>0.0012198133193532142</x:v>
      </x:c>
      <x:c r="K110" s="81" t="n">
        <x:v>0.3940723649751021</x:v>
      </x:c>
      <x:c r="L110" s="81" t="n">
        <x:v>-0.7260246113552374</x:v>
      </x:c>
      <x:c r="M110" s="80" t="n">
        <x:v>11096.384159023966</x:v>
      </x:c>
      <x:c r="N110" s="82" t="n">
        <x:v>0.26191582418698206</x:v>
      </x:c>
      <x:c r="O110" s="82" t="n">
        <x:v>0.10727226545890689</x:v>
      </x:c>
      <x:c r="P110" s="80" t="n">
        <x:v>12538.855113599735</x:v>
      </x:c>
      <x:c r="Q110" s="81" t="n">
        <x:v>0.005056700883373503</x:v>
      </x:c>
      <x:c r="R110" s="81" t="n">
        <x:v>53.7511162333269</x:v>
      </x:c>
      <x:c r="S110" s="81" t="n">
        <x:v>36.57652080061645</x:v>
      </x:c>
      <x:c r="T110" s="81" t="n">
        <x:v>26.423819617023216</x:v>
      </x:c>
    </x:row>
    <x:row r="111">
      <x:c r="A111" s="59" t="n">
        <x:v>108</x:v>
      </x:c>
      <x:c r="B111" s="193" t="n">
        <x:v>0.894457371905446</x:v>
      </x:c>
      <x:c r="C111" s="83" t="n">
        <x:v>1.4107495639082597</x:v>
      </x:c>
      <x:c r="D111" s="83" t="n">
        <x:v>0.3431408950546021</x:v>
      </x:c>
      <x:c r="E111" s="81" t="n">
        <x:v>-0.08506459643751443</x:v>
      </x:c>
      <x:c r="F111" s="81" t="n">
        <x:v>0.6788101051235571</x:v>
      </x:c>
      <x:c r="G111" s="81" t="n">
        <x:v>0.02248557716761465</x:v>
      </x:c>
      <x:c r="H111" s="59" t="n">
        <x:v>0</x:v>
      </x:c>
      <x:c r="I111" s="81" t="n">
        <x:v>0</x:v>
      </x:c>
      <x:c r="J111" s="79" t="n">
        <x:v>4.8544362405756296e-24</x:v>
      </x:c>
      <x:c r="K111" s="81" t="n">
        <x:v>-1</x:v>
      </x:c>
      <x:c r="L111" s="81" t="n">
        <x:v>-1</x:v>
      </x:c>
      <x:c r="M111" s="80" t="n">
        <x:v>0.000002</x:v>
      </x:c>
      <x:c r="N111" s="82" t="n">
        <x:v>0.3151702670636005</x:v>
      </x:c>
      <x:c r="O111" s="82" t="n">
        <x:v>0.2020991469560486</x:v>
      </x:c>
      <x:c r="P111" s="80" t="n">
        <x:v>378.58450321960487</x:v>
      </x:c>
      <x:c r="Q111" s="81" t="n">
        <x:v>5308389.077727723</x:v>
      </x:c>
      <x:c r="R111" s="81" t="n">
        <x:v>3.2081860754308322</x:v>
      </x:c>
      <x:c r="S111" s="81" t="n">
        <x:v>1.6342568333318426e-10</x:v>
      </x:c>
      <x:c r="T111" s="81" t="n">
        <x:v>1.0515768726916775e-19</x:v>
      </x:c>
    </x:row>
    <x:row r="112">
      <x:c r="A112" s="59" t="n">
        <x:v>109</x:v>
      </x:c>
      <x:c r="B112" s="193" t="n">
        <x:v>0.5399611782282592</x:v>
      </x:c>
      <x:c r="C112" s="83" t="n">
        <x:v>0.19799508940819627</x:v>
      </x:c>
      <x:c r="D112" s="83" t="n">
        <x:v>1.059853616785796</x:v>
      </x:c>
      <x:c r="E112" s="81" t="n">
        <x:v>0.13184075409275162</x:v>
      </x:c>
      <x:c r="F112" s="81" t="n">
        <x:v>0.4087636463926174</x:v>
      </x:c>
      <x:c r="G112" s="81" t="n">
        <x:v>-0.01878199331261285</x:v>
      </x:c>
      <x:c r="H112" s="59" t="n">
        <x:v>0</x:v>
      </x:c>
      <x:c r="I112" s="81" t="n">
        <x:v>0</x:v>
      </x:c>
      <x:c r="J112" s="79" t="n">
        <x:v>0.01406768547464404</x:v>
      </x:c>
      <x:c r="K112" s="81" t="n">
        <x:v>15.07735482816462</x:v>
      </x:c>
      <x:c r="L112" s="81" t="n">
        <x:v>-0.7938177229550107</x:v>
      </x:c>
      <x:c r="M112" s="80" t="n">
        <x:v>37000.84979357495</x:v>
      </x:c>
      <x:c r="N112" s="82" t="n">
        <x:v>0.23072262692606324</x:v>
      </x:c>
      <x:c r="O112" s="82" t="n">
        <x:v>0.08909090985861788</x:v>
      </x:c>
      <x:c r="P112" s="80" t="n">
        <x:v>60060.059243579984</x:v>
      </x:c>
      <x:c r="Q112" s="81" t="n">
        <x:v>0.0018742897783523913</x:v>
      </x:c>
      <x:c r="R112" s="81" t="n">
        <x:v>2486.1823550835647</x:v>
      </x:c>
      <x:c r="S112" s="81" t="n">
        <x:v>1331.818879193112</x:v>
      </x:c>
      <x:c r="T112" s="81" t="n">
        <x:v>304.73678022151057</x:v>
      </x:c>
    </x:row>
    <x:row r="113">
      <x:c r="A113" s="59" t="n">
        <x:v>110</x:v>
      </x:c>
      <x:c r="B113" s="193" t="n">
        <x:v>0.9156585080549122</x:v>
      </x:c>
      <x:c r="C113" s="83" t="n">
        <x:v>0.10282539831538315</x:v>
      </x:c>
      <x:c r="D113" s="83" t="n">
        <x:v>1.558832642748192</x:v>
      </x:c>
      <x:c r="E113" s="81" t="n">
        <x:v>-0.056563625716149944</x:v>
      </x:c>
      <x:c r="F113" s="81" t="n">
        <x:v>0.47984238180797545</x:v>
      </x:c>
      <x:c r="G113" s="81" t="n">
        <x:v>0.049834537624317166</x:v>
      </x:c>
      <x:c r="H113" s="59" t="n">
        <x:v>0</x:v>
      </x:c>
      <x:c r="I113" s="81" t="n">
        <x:v>0</x:v>
      </x:c>
      <x:c r="J113" s="79" t="n">
        <x:v>2.6681193455913464e-47</x:v>
      </x:c>
      <x:c r="K113" s="81" t="n">
        <x:v>-1</x:v>
      </x:c>
      <x:c r="L113" s="81" t="n">
        <x:v>-1</x:v>
      </x:c>
      <x:c r="M113" s="80" t="n">
        <x:v>0.000002</x:v>
      </x:c>
      <x:c r="N113" s="82" t="n">
        <x:v>0.32022077521570624</x:v>
      </x:c>
      <x:c r="O113" s="82" t="n">
        <x:v>0.14515067191254197</x:v>
      </x:c>
      <x:c r="P113" s="80" t="n">
        <x:v>320.72198045251884</x:v>
      </x:c>
      <x:c r="Q113" s="81" t="n">
        <x:v>1.414320917678037e+30</x:v>
      </x:c>
      <x:c r="R113" s="81" t="n">
        <x:v>15.014821330074982</x:v>
      </x:c>
      <x:c r="S113" s="81" t="n">
        <x:v>2.2375216946239936e-9</x:v>
      </x:c>
      <x:c r="T113" s="81" t="n">
        <x:v>5.77972901148335e-43</x:v>
      </x:c>
    </x:row>
    <x:row r="114">
      <x:c r="A114" s="59" t="n">
        <x:v>111</x:v>
      </x:c>
      <x:c r="B114" s="193" t="n">
        <x:v>0.41904326379299167</x:v>
      </x:c>
      <x:c r="C114" s="83" t="n">
        <x:v>0.31425269288191127</x:v>
      </x:c>
      <x:c r="D114" s="83" t="n">
        <x:v>0.4899972563675315</x:v>
      </x:c>
      <x:c r="E114" s="81" t="n">
        <x:v>0.055660417881577766</x:v>
      </x:c>
      <x:c r="F114" s="81" t="n">
        <x:v>0.28740560736041515</x:v>
      </x:c>
      <x:c r="G114" s="81" t="n">
        <x:v>-0.010882311406459741</x:v>
      </x:c>
      <x:c r="H114" s="59" t="n">
        <x:v>0</x:v>
      </x:c>
      <x:c r="I114" s="81" t="n">
        <x:v>0</x:v>
      </x:c>
      <x:c r="J114" s="79" t="n">
        <x:v>0.0014493608775088505</x:v>
      </x:c>
      <x:c r="K114" s="81" t="n">
        <x:v>0.6564124314386865</x:v>
      </x:c>
      <x:c r="L114" s="81" t="n">
        <x:v>-0.602523476245684</x:v>
      </x:c>
      <x:c r="M114" s="80" t="n">
        <x:v>9395.91964662375</x:v>
      </x:c>
      <x:c r="N114" s="82" t="n">
        <x:v>0.20191771249668689</x:v>
      </x:c>
      <x:c r="O114" s="82" t="n">
        <x:v>0.054820197577610696</x:v>
      </x:c>
      <x:c r="P114" s="80" t="n">
        <x:v>9364.232740651418</x:v>
      </x:c>
      <x:c r="Q114" s="81" t="n">
        <x:v>0.0022169585077130077</x:v>
      </x:c>
      <x:c r="R114" s="81" t="n">
        <x:v>157.48477065965542</x:v>
      </x:c>
      <x:c r="S114" s="81" t="n">
        <x:v>87.0480731098456</x:v>
      </x:c>
      <x:c r="T114" s="81" t="n">
        <x:v>31.396320879305577</x:v>
      </x:c>
    </x:row>
    <x:row r="115">
      <x:c r="A115" s="59" t="n">
        <x:v>112</x:v>
      </x:c>
      <x:c r="B115" s="193" t="n">
        <x:v>0.5465122232213617</x:v>
      </x:c>
      <x:c r="C115" s="83" t="n">
        <x:v>1.6776327914024283</x:v>
      </x:c>
      <x:c r="D115" s="83" t="n">
        <x:v>0.7581926218154746</x:v>
      </x:c>
      <x:c r="E115" s="81" t="n">
        <x:v>-0.11066468331893896</x:v>
      </x:c>
      <x:c r="F115" s="81" t="n">
        <x:v>0.3231457649264485</x:v>
      </x:c>
      <x:c r="G115" s="81" t="n">
        <x:v>-0.028059442632299605</x:v>
      </x:c>
      <x:c r="H115" s="59" t="n">
        <x:v>0</x:v>
      </x:c>
      <x:c r="I115" s="81" t="n">
        <x:v>0</x:v>
      </x:c>
      <x:c r="J115" s="79" t="n">
        <x:v>1.4754249088813186e-34</x:v>
      </x:c>
      <x:c r="K115" s="81" t="n">
        <x:v>-1</x:v>
      </x:c>
      <x:c r="L115" s="81" t="n">
        <x:v>-1</x:v>
      </x:c>
      <x:c r="M115" s="80" t="n">
        <x:v>0.000002</x:v>
      </x:c>
      <x:c r="N115" s="82" t="n">
        <x:v>0.23228320867551355</x:v>
      </x:c>
      <x:c r="O115" s="82" t="n">
        <x:v>0.07090669235944795</x:v>
      </x:c>
      <x:c r="P115" s="80" t="n">
        <x:v>419.72010443585856</x:v>
      </x:c>
      <x:c r="Q115" s="81" t="n">
        <x:v>137420526085862500</x:v>
      </x:c>
      <x:c r="R115" s="81" t="n">
        <x:v>1.4190917459927235</x:v>
      </x:c>
      <x:c r="S115" s="81" t="n">
        <x:v>1.754482541847621e-10</x:v>
      </x:c>
      <x:c r="T115" s="81" t="n">
        <x:v>3.196092470232638e-30</x:v>
      </x:c>
    </x:row>
    <x:row r="116">
      <x:c r="A116" s="59" t="n">
        <x:v>113</x:v>
      </x:c>
      <x:c r="B116" s="193" t="n">
        <x:v>0.5013322181999684</x:v>
      </x:c>
      <x:c r="C116" s="83" t="n">
        <x:v>0.13779076822377206</x:v>
      </x:c>
      <x:c r="D116" s="83" t="n">
        <x:v>0.4764217344879657</x:v>
      </x:c>
      <x:c r="E116" s="81" t="n">
        <x:v>0.035762969878311346</x:v>
      </x:c>
      <x:c r="F116" s="81" t="n">
        <x:v>0.7243271239451132</x:v>
      </x:c>
      <x:c r="G116" s="81" t="n">
        <x:v>0.01722068096176939</x:v>
      </x:c>
      <x:c r="H116" s="59" t="n">
        <x:v>0</x:v>
      </x:c>
      <x:c r="I116" s="81" t="n">
        <x:v>0</x:v>
      </x:c>
      <x:c r="J116" s="79" t="n">
        <x:v>0.00010125576137991917</x:v>
      </x:c>
      <x:c r="K116" s="81" t="n">
        <x:v>-0.8842791298515209</x:v>
      </x:c>
      <x:c r="L116" s="81" t="n">
        <x:v>-0.9332897440557295</x:v>
      </x:c>
      <x:c r="M116" s="80" t="n">
        <x:v>2102.17449714435</x:v>
      </x:c>
      <x:c r="N116" s="82" t="n">
        <x:v>0.22152048435432384</x:v>
      </x:c>
      <x:c r="O116" s="82" t="n">
        <x:v>0.15157220994734852</x:v>
      </x:c>
      <x:c r="P116" s="80" t="n">
        <x:v>2455.428267174365</x:v>
      </x:c>
      <x:c r="Q116" s="81" t="n">
        <x:v>0.00878982600410142</x:v>
      </x:c>
      <x:c r="R116" s="81" t="n">
        <x:v>100.99306214907294</x:v>
      </x:c>
      <x:c r="S116" s="81" t="n">
        <x:v>14.13396129340486</x:v>
      </x:c>
      <x:c r="T116" s="81" t="n">
        <x:v>2.1934208550091943</x:v>
      </x:c>
    </x:row>
    <x:row r="117">
      <x:c r="A117" s="59" t="n">
        <x:v>114</x:v>
      </x:c>
      <x:c r="B117" s="193" t="n">
        <x:v>0.7095340201631188</x:v>
      </x:c>
      <x:c r="C117" s="83" t="n">
        <x:v>0.3488918724330645</x:v>
      </x:c>
      <x:c r="D117" s="83" t="n">
        <x:v>1.0183389620440024</x:v>
      </x:c>
      <x:c r="E117" s="81" t="n">
        <x:v>0.06624234572048507</x:v>
      </x:c>
      <x:c r="F117" s="81" t="n">
        <x:v>0.33452442558482287</x:v>
      </x:c>
      <x:c r="G117" s="81" t="n">
        <x:v>0.02709358113769855</x:v>
      </x:c>
      <x:c r="H117" s="59" t="n">
        <x:v>0</x:v>
      </x:c>
      <x:c r="I117" s="81" t="n">
        <x:v>0</x:v>
      </x:c>
      <x:c r="J117" s="79" t="n">
        <x:v>0.010886809962134572</x:v>
      </x:c>
      <x:c r="K117" s="81" t="n">
        <x:v>11.442068528153799</x:v>
      </x:c>
      <x:c r="L117" s="81" t="n">
        <x:v>-0.6821528841048784</x:v>
      </x:c>
      <x:c r="M117" s="80" t="n">
        <x:v>32003.648686014938</x:v>
      </x:c>
      <x:c r="N117" s="82" t="n">
        <x:v>0.27111805736573275</x:v>
      </x:c>
      <x:c r="O117" s="82" t="n">
        <x:v>0.08567561281216415</x:v>
      </x:c>
      <x:c r="P117" s="80" t="n">
        <x:v>57865.09554567681</x:v>
      </x:c>
      <x:c r="Q117" s="81" t="n">
        <x:v>0.0032550787690828415</x:v>
      </x:c>
      <x:c r="R117" s="81" t="n">
        <x:v>448.4414362104986</x:v>
      </x:c>
      <x:c r="S117" s="81" t="n">
        <x:v>594.7909301692895</x:v>
      </x:c>
      <x:c r="T117" s="81" t="n">
        <x:v>235.83207207213323</x:v>
      </x:c>
    </x:row>
    <x:row r="118">
      <x:c r="A118" s="59" t="n">
        <x:v>115</x:v>
      </x:c>
      <x:c r="B118" s="193" t="n">
        <x:v>0.30445313006639485</x:v>
      </x:c>
      <x:c r="C118" s="83" t="n">
        <x:v>0.4133925950399763</x:v>
      </x:c>
      <x:c r="D118" s="83" t="n">
        <x:v>1.383291632812214</x:v>
      </x:c>
      <x:c r="E118" s="81" t="n">
        <x:v>0.1794704856276036</x:v>
      </x:c>
      <x:c r="F118" s="81" t="n">
        <x:v>0.5203719986137003</x:v>
      </x:c>
      <x:c r="G118" s="81" t="n">
        <x:v>0.024728203154637217</x:v>
      </x:c>
      <x:c r="H118" s="59" t="n">
        <x:v>0</x:v>
      </x:c>
      <x:c r="I118" s="81" t="n">
        <x:v>0</x:v>
      </x:c>
      <x:c r="J118" s="79" t="n">
        <x:v>0.2118700137969957</x:v>
      </x:c>
      <x:c r="K118" s="81" t="n">
        <x:v>241.13715862513794</x:v>
      </x:c>
      <x:c r="L118" s="81" t="n">
        <x:v>-0.806561159698272</x:v>
      </x:c>
      <x:c r="M118" s="80" t="n">
        <x:v>243205.12618870343</x:v>
      </x:c>
      <x:c r="N118" s="82" t="n">
        <x:v>0.174620194078004</x:v>
      </x:c>
      <x:c r="O118" s="82" t="n">
        <x:v>0.08583794807113425</x:v>
      </x:c>
      <x:c r="P118" s="80" t="n">
        <x:v>437125.7142899369</x:v>
      </x:c>
      <x:c r="Q118" s="81" t="n">
        <x:v>0.001644818018558094</x:v>
      </x:c>
      <x:c r="R118" s="81" t="n">
        <x:v>4935.664859615566</x:v>
      </x:c>
      <x:c r="S118" s="81" t="n">
        <x:v>9670.632701162842</x:v>
      </x:c>
      <x:c r="T118" s="81" t="n">
        <x:v>4589.567057520327</x:v>
      </x:c>
    </x:row>
    <x:row r="119">
      <x:c r="A119" s="59" t="n">
        <x:v>116</x:v>
      </x:c>
      <x:c r="B119" s="193" t="n">
        <x:v>0.6058483267202974</x:v>
      </x:c>
      <x:c r="C119" s="83" t="n">
        <x:v>0.2377431593497589</x:v>
      </x:c>
      <x:c r="D119" s="83" t="n">
        <x:v>0.9975974925237394</x:v>
      </x:c>
      <x:c r="E119" s="81" t="n">
        <x:v>0.1271581933620444</x:v>
      </x:c>
      <x:c r="F119" s="81" t="n">
        <x:v>0.5967213496332988</x:v>
      </x:c>
      <x:c r="G119" s="81" t="n">
        <x:v>0.006611612617437285</x:v>
      </x:c>
      <x:c r="H119" s="59" t="n">
        <x:v>0</x:v>
      </x:c>
      <x:c r="I119" s="81" t="n">
        <x:v>0</x:v>
      </x:c>
      <x:c r="J119" s="79" t="n">
        <x:v>0.009046891191304366</x:v>
      </x:c>
      <x:c r="K119" s="81" t="n">
        <x:v>9.339304218633563</x:v>
      </x:c>
      <x:c r="L119" s="81" t="n">
        <x:v>-0.7994131534767974</x:v>
      </x:c>
      <x:c r="M119" s="80" t="n">
        <x:v>31314.613715566134</x:v>
      </x:c>
      <x:c r="N119" s="82" t="n">
        <x:v>0.2464181810809007</x:v>
      </x:c>
      <x:c r="O119" s="82" t="n">
        <x:v>0.13890416425398588</x:v>
      </x:c>
      <x:c r="P119" s="80" t="n">
        <x:v>49062.52007571157</x:v>
      </x:c>
      <x:c r="Q119" s="81" t="n">
        <x:v>0.003025947636520436</x:v>
      </x:c>
      <x:c r="R119" s="81" t="n">
        <x:v>911.6959312390704</x:v>
      </x:c>
      <x:c r="S119" s="81" t="n">
        <x:v>719.6767103027076</x:v>
      </x:c>
      <x:c r="T119" s="81" t="n">
        <x:v>195.97541455000422</x:v>
      </x:c>
    </x:row>
    <x:row r="120">
      <x:c r="A120" s="59" t="n">
        <x:v>117</x:v>
      </x:c>
      <x:c r="B120" s="193" t="n">
        <x:v>0.3623985903337598</x:v>
      </x:c>
      <x:c r="C120" s="83" t="n">
        <x:v>2.460371897325637</x:v>
      </x:c>
      <x:c r="D120" s="83" t="n">
        <x:v>1.086041009969425</x:v>
      </x:c>
      <x:c r="E120" s="81" t="n">
        <x:v>0.10718925559500989</x:v>
      </x:c>
      <x:c r="F120" s="81" t="n">
        <x:v>0.5385972726391628</x:v>
      </x:c>
      <x:c r="G120" s="81" t="n">
        <x:v>0.033488674675987165</x:v>
      </x:c>
      <x:c r="H120" s="59" t="n">
        <x:v>0</x:v>
      </x:c>
      <x:c r="I120" s="81" t="n">
        <x:v>0</x:v>
      </x:c>
      <x:c r="J120" s="79" t="n">
        <x:v>0.22287373319882228</x:v>
      </x:c>
      <x:c r="K120" s="81" t="n">
        <x:v>253.7128379415112</x:v>
      </x:c>
      <x:c r="L120" s="81" t="n">
        <x:v>-0.6711842564814969</x:v>
      </x:c>
      <x:c r="M120" s="80" t="n">
        <x:v>445473.22798257275</x:v>
      </x:c>
      <x:c r="N120" s="82" t="n">
        <x:v>0.18842388919107042</x:v>
      </x:c>
      <x:c r="O120" s="82" t="n">
        <x:v>0.09586742346245243</x:v>
      </x:c>
      <x:c r="P120" s="80" t="n">
        <x:v>772118.2582889859</x:v>
      </x:c>
      <x:c r="Q120" s="81" t="n">
        <x:v>0.0026488974950823183</x:v>
      </x:c>
      <x:c r="R120" s="81" t="n">
        <x:v>706.911913723395</x:v>
      </x:c>
      <x:c r="S120" s="81" t="n">
        <x:v>1780.1502925885945</x:v>
      </x:c>
      <x:c r="T120" s="81" t="n">
        <x:v>4827.931643295121</x:v>
      </x:c>
    </x:row>
    <x:row r="121">
      <x:c r="A121" s="59" t="n">
        <x:v>118</x:v>
      </x:c>
      <x:c r="B121" s="193" t="n">
        <x:v>0.5366390038281679</x:v>
      </x:c>
      <x:c r="C121" s="83" t="n">
        <x:v>0.30024113463428237</x:v>
      </x:c>
      <x:c r="D121" s="83" t="n">
        <x:v>0.7348324127593431</x:v>
      </x:c>
      <x:c r="E121" s="81" t="n">
        <x:v>0.0716757027069595</x:v>
      </x:c>
      <x:c r="F121" s="81" t="n">
        <x:v>0.3616922771674581</x:v>
      </x:c>
      <x:c r="G121" s="81" t="n">
        <x:v>0.021521148436437945</x:v>
      </x:c>
      <x:c r="H121" s="59" t="n">
        <x:v>0</x:v>
      </x:c>
      <x:c r="I121" s="81" t="n">
        <x:v>0</x:v>
      </x:c>
      <x:c r="J121" s="79" t="n">
        <x:v>0.006126195502267222</x:v>
      </x:c>
      <x:c r="K121" s="81" t="n">
        <x:v>6.001366288305397</x:v>
      </x:c>
      <x:c r="L121" s="81" t="n">
        <x:v>-0.6580672979882412</x:v>
      </x:c>
      <x:c r="M121" s="80" t="n">
        <x:v>21683.694469111208</x:v>
      </x:c>
      <x:c r="N121" s="82" t="n">
        <x:v>0.2299312226931912</x:v>
      </x:c>
      <x:c r="O121" s="82" t="n">
        <x:v>0.07856120323303392</x:v>
      </x:c>
      <x:c r="P121" s="80" t="n">
        <x:v>29714.058080729435</x:v>
      </x:c>
      <x:c r="Q121" s="81" t="n">
        <x:v>0.0026787583994136756</x:v>
      </x:c>
      <x:c r="R121" s="81" t="n">
        <x:v>344.25015897946025</x:v>
      </x:c>
      <x:c r="S121" s="81" t="n">
        <x:v>386.22548524492896</x:v>
      </x:c>
      <x:c r="T121" s="81" t="n">
        <x:v>132.70676940661778</x:v>
      </x:c>
    </x:row>
    <x:row r="122">
      <x:c r="A122" s="59" t="n">
        <x:v>119</x:v>
      </x:c>
      <x:c r="B122" s="193" t="n">
        <x:v>0.5582785809412598</x:v>
      </x:c>
      <x:c r="C122" s="83" t="n">
        <x:v>0.6093048858344177</x:v>
      </x:c>
      <x:c r="D122" s="83" t="n">
        <x:v>0.1844399369058974</x:v>
      </x:c>
      <x:c r="E122" s="81" t="n">
        <x:v>-0.06882493930547187</x:v>
      </x:c>
      <x:c r="F122" s="81" t="n">
        <x:v>0.3503733815508895</x:v>
      </x:c>
      <x:c r="G122" s="81" t="n">
        <x:v>0.02112362743886427</x:v>
      </x:c>
      <x:c r="H122" s="59" t="n">
        <x:v>0</x:v>
      </x:c>
      <x:c r="I122" s="81" t="n">
        <x:v>0</x:v>
      </x:c>
      <x:c r="J122" s="79" t="n">
        <x:v>1.8144945609071728e-13</x:v>
      </x:c>
      <x:c r="K122" s="81" t="n">
        <x:v>-0.9999999997926292</x:v>
      </x:c>
      <x:c r="L122" s="81" t="n">
        <x:v>-0.9999999997926292</x:v>
      </x:c>
      <x:c r="M122" s="80" t="n">
        <x:v>0.11976471318769787</x:v>
      </x:c>
      <x:c r="N122" s="82" t="n">
        <x:v>0.23508617570360069</x:v>
      </x:c>
      <x:c r="O122" s="82" t="n">
        <x:v>0.07780887526865865</x:v>
      </x:c>
      <x:c r="P122" s="80" t="n">
        <x:v>268.91997185684966</x:v>
      </x:c>
      <x:c r="Q122" s="81" t="n">
        <x:v>10.351513356924945</x:v>
      </x:c>
      <x:c r="R122" s="81" t="n">
        <x:v>12.552174610355392</x:v>
      </x:c>
      <x:c r="S122" s="81" t="n">
        <x:v>0.000008009894704636739</x:v>
      </x:c>
      <x:c r="T122" s="81" t="n">
        <x:v>3.9305913628573424e-9</x:v>
      </x:c>
    </x:row>
    <x:row r="123">
      <x:c r="A123" s="59" t="n">
        <x:v>120</x:v>
      </x:c>
      <x:c r="B123" s="193" t="n">
        <x:v>0.6705084593966604</x:v>
      </x:c>
      <x:c r="C123" s="83" t="n">
        <x:v>0.6942801429811769</x:v>
      </x:c>
      <x:c r="D123" s="83" t="n">
        <x:v>1.516349913392164</x:v>
      </x:c>
      <x:c r="E123" s="81" t="n">
        <x:v>0.04109801737747874</x:v>
      </x:c>
      <x:c r="F123" s="81" t="n">
        <x:v>0.5652620439999737</x:v>
      </x:c>
      <x:c r="G123" s="81" t="n">
        <x:v>-0.003166360468602662</x:v>
      </x:c>
      <x:c r="H123" s="59" t="n">
        <x:v>0</x:v>
      </x:c>
      <x:c r="I123" s="81" t="n">
        <x:v>0</x:v>
      </x:c>
      <x:c r="J123" s="79" t="n">
        <x:v>0.0026612481491125866</x:v>
      </x:c>
      <x:c r="K123" s="81" t="n">
        <x:v>2.041426456128671</x:v>
      </x:c>
      <x:c r="L123" s="81" t="n">
        <x:v>-0.7399841897562466</x:v>
      </x:c>
      <x:c r="M123" s="80" t="n">
        <x:v>18710.085847062783</x:v>
      </x:c>
      <x:c r="N123" s="82" t="n">
        <x:v>0.2618214370618982</x:v>
      </x:c>
      <x:c r="O123" s="82" t="n">
        <x:v>0.13980605100298876</x:v>
      </x:c>
      <x:c r="P123" s="80" t="n">
        <x:v>50396.58585126379</x:v>
      </x:c>
      <x:c r="Q123" s="81" t="n">
        <x:v>0.008034829833600083</x:v>
      </x:c>
      <x:c r="R123" s="81" t="n">
        <x:v>141.57253814209872</x:v>
      </x:c>
      <x:c r="S123" s="81" t="n">
        <x:v>78.47232455854137</x:v>
      </x:c>
      <x:c r="T123" s="81" t="n">
        <x:v>57.64844499777565</x:v>
      </x:c>
    </x:row>
    <x:row r="124">
      <x:c r="A124" s="59" t="n">
        <x:v>121</x:v>
      </x:c>
      <x:c r="B124" s="193" t="n">
        <x:v>0.9393103629350663</x:v>
      </x:c>
      <x:c r="C124" s="83" t="n">
        <x:v>0.9210316712239701</x:v>
      </x:c>
      <x:c r="D124" s="83" t="n">
        <x:v>2.002196774997317</x:v>
      </x:c>
      <x:c r="E124" s="81" t="n">
        <x:v>0.10698948717738371</x:v>
      </x:c>
      <x:c r="F124" s="81" t="n">
        <x:v>0.6814898460987024</x:v>
      </x:c>
      <x:c r="G124" s="81" t="n">
        <x:v>0.004009587929324022</x:v>
      </x:c>
      <x:c r="H124" s="59" t="n">
        <x:v>0</x:v>
      </x:c>
      <x:c r="I124" s="81" t="n">
        <x:v>0</x:v>
      </x:c>
      <x:c r="J124" s="79" t="n">
        <x:v>0.030192693202613776</x:v>
      </x:c>
      <x:c r="K124" s="81" t="n">
        <x:v>33.50593508870146</x:v>
      </x:c>
      <x:c r="L124" s="81" t="n">
        <x:v>-0.8272590839018332</x:v>
      </x:c>
      <x:c r="M124" s="80" t="n">
        <x:v>109451.28038926923</x:v>
      </x:c>
      <x:c r="N124" s="82" t="n">
        <x:v>0.3258550905204378</x:v>
      </x:c>
      <x:c r="O124" s="82" t="n">
        <x:v>0.20977553686063302</x:v>
      </x:c>
      <x:c r="P124" s="80" t="n">
        <x:v>281043.1347687631</x:v>
      </x:c>
      <x:c r="Q124" s="81" t="n">
        <x:v>0.0060190221187452295</x:v>
      </x:c>
      <x:c r="R124" s="81" t="n">
        <x:v>625.668593273532</x:v>
      </x:c>
      <x:c r="S124" s="81" t="n">
        <x:v>664.7373091569838</x:v>
      </x:c>
      <x:c r="T124" s="81" t="n">
        <x:v>654.039652035455</x:v>
      </x:c>
    </x:row>
    <x:row r="125">
      <x:c r="A125" s="59" t="n">
        <x:v>122</x:v>
      </x:c>
      <x:c r="B125" s="193" t="n">
        <x:v>0.2334638584405184</x:v>
      </x:c>
      <x:c r="C125" s="83" t="n">
        <x:v>0.7060072635849622</x:v>
      </x:c>
      <x:c r="D125" s="83" t="n">
        <x:v>1.2910469203428097</x:v>
      </x:c>
      <x:c r="E125" s="81" t="n">
        <x:v>-0.04576217489010263</x:v>
      </x:c>
      <x:c r="F125" s="81" t="n">
        <x:v>0.6567110741627402</x:v>
      </x:c>
      <x:c r="G125" s="81" t="n">
        <x:v>0.05455745292087594</x:v>
      </x:c>
      <x:c r="H125" s="59" t="n">
        <x:v>0</x:v>
      </x:c>
      <x:c r="I125" s="81" t="n">
        <x:v>0</x:v>
      </x:c>
      <x:c r="J125" s="79" t="n">
        <x:v>1.0243069594484585e-37</x:v>
      </x:c>
      <x:c r="K125" s="81" t="n">
        <x:v>-1</x:v>
      </x:c>
      <x:c r="L125" s="81" t="n">
        <x:v>-1</x:v>
      </x:c>
      <x:c r="M125" s="80" t="n">
        <x:v>0.000002</x:v>
      </x:c>
      <x:c r="N125" s="82" t="n">
        <x:v>0.15770921852787734</x:v>
      </x:c>
      <x:c r="O125" s="82" t="n">
        <x:v>0.09783682746669523</x:v>
      </x:c>
      <x:c r="P125" s="80" t="n">
        <x:v>595.1418555338977</x:v>
      </x:c>
      <x:c r="Q125" s="81" t="n">
        <x:v>450703520568570300000</x:v>
      </x:c>
      <x:c r="R125" s="81" t="n">
        <x:v>4.158025083449313</x:v>
      </x:c>
      <x:c r="S125" s="81" t="n">
        <x:v>1.2651826899408377e-9</x:v>
      </x:c>
      <x:c r="T125" s="81" t="n">
        <x:v>2.2188725028251813e-33</x:v>
      </x:c>
    </x:row>
    <x:row r="126">
      <x:c r="A126" s="59" t="n">
        <x:v>123</x:v>
      </x:c>
      <x:c r="B126" s="193" t="n">
        <x:v>0.2925471566617489</x:v>
      </x:c>
      <x:c r="C126" s="83" t="n">
        <x:v>2.902778137751668</x:v>
      </x:c>
      <x:c r="D126" s="83" t="n">
        <x:v>0.35228065045631163</x:v>
      </x:c>
      <x:c r="E126" s="81" t="n">
        <x:v>-0.10987482783118585</x:v>
      </x:c>
      <x:c r="F126" s="81" t="n">
        <x:v>0.6245176922879182</x:v>
      </x:c>
      <x:c r="G126" s="81" t="n">
        <x:v>0.02848727109683496</x:v>
      </x:c>
      <x:c r="H126" s="59" t="n">
        <x:v>78</x:v>
      </x:c>
      <x:c r="I126" s="81" t="n">
        <x:v>0.12868309970945122</x:v>
      </x:c>
      <x:c r="J126" s="79" t="n">
        <x:v>9.01172812868332e-28</x:v>
      </x:c>
      <x:c r="K126" s="81" t="n">
        <x:v>-1</x:v>
      </x:c>
      <x:c r="L126" s="81" t="n">
        <x:v>-1</x:v>
      </x:c>
      <x:c r="M126" s="80" t="n">
        <x:v>0.000002</x:v>
      </x:c>
      <x:c r="N126" s="82" t="n">
        <x:v>0.17178396797601617</x:v>
      </x:c>
      <x:c r="O126" s="82" t="n">
        <x:v>0.10134406452878379</x:v>
      </x:c>
      <x:c r="P126" s="80" t="n">
        <x:v>554.7218681487902</x:v>
      </x:c>
      <x:c r="Q126" s="81" t="n">
        <x:v>22644488436.21298</x:v>
      </x:c>
      <x:c r="R126" s="81" t="n">
        <x:v>1.5969276569627895</x:v>
      </x:c>
      <x:c r="S126" s="81" t="n">
        <x:v>1.1128566845192942e-10</x:v>
      </x:c>
      <x:c r="T126" s="81" t="n">
        <x:v>1.9521370584495974e-23</x:v>
      </x:c>
    </x:row>
    <x:row r="127">
      <x:c r="A127" s="59" t="n">
        <x:v>124</x:v>
      </x:c>
      <x:c r="B127" s="193" t="n">
        <x:v>0.6316272553056479</x:v>
      </x:c>
      <x:c r="C127" s="83" t="n">
        <x:v>1.813157951836728</x:v>
      </x:c>
      <x:c r="D127" s="83" t="n">
        <x:v>2.111395623235524</x:v>
      </x:c>
      <x:c r="E127" s="81" t="n">
        <x:v>0.025801400062201142</x:v>
      </x:c>
      <x:c r="F127" s="81" t="n">
        <x:v>0.34725118742790073</x:v>
      </x:c>
      <x:c r="G127" s="81" t="n">
        <x:v>0.034466146501475295</x:v>
      </x:c>
      <x:c r="H127" s="59" t="n">
        <x:v>0</x:v>
      </x:c>
      <x:c r="I127" s="81" t="n">
        <x:v>0</x:v>
      </x:c>
      <x:c r="J127" s="79" t="n">
        <x:v>0.03729410549935155</x:v>
      </x:c>
      <x:c r="K127" s="81" t="n">
        <x:v>41.621834856401776</x:v>
      </x:c>
      <x:c r="L127" s="81" t="n">
        <x:v>-0.5116307406222191</x:v>
      </x:c>
      <x:c r="M127" s="80" t="n">
        <x:v>118374.91951593065</x:v>
      </x:c>
      <x:c r="N127" s="82" t="n">
        <x:v>0.25255920522484226</x:v>
      </x:c>
      <x:c r="O127" s="82" t="n">
        <x:v>0.08284720924435517</x:v>
      </x:c>
      <x:c r="P127" s="80" t="n">
        <x:v>442419.57642822765</x:v>
      </x:c>
      <x:c r="Q127" s="81" t="n">
        <x:v>0.008066378831959093</x:v>
      </x:c>
      <x:c r="R127" s="81" t="n">
        <x:v>148.62934341942594</x:v>
      </x:c>
      <x:c r="S127" s="81" t="n">
        <x:v>441.76946700770634</x:v>
      </x:c>
      <x:c r="T127" s="81" t="n">
        <x:v>807.8717463223134</x:v>
      </x:c>
    </x:row>
    <x:row r="128">
      <x:c r="A128" s="59" t="n">
        <x:v>125</x:v>
      </x:c>
      <x:c r="B128" s="193" t="n">
        <x:v>0.5258656533434987</x:v>
      </x:c>
      <x:c r="C128" s="83" t="n">
        <x:v>1.9077291812726558</x:v>
      </x:c>
      <x:c r="D128" s="83" t="n">
        <x:v>0.28667023769520183</x:v>
      </x:c>
      <x:c r="E128" s="81" t="n">
        <x:v>0.06879702674007536</x:v>
      </x:c>
      <x:c r="F128" s="81" t="n">
        <x:v>0.5540575784631074</x:v>
      </x:c>
      <x:c r="G128" s="81" t="n">
        <x:v>-0.013887560161488347</x:v>
      </x:c>
      <x:c r="H128" s="59" t="n">
        <x:v>0</x:v>
      </x:c>
      <x:c r="I128" s="81" t="n">
        <x:v>0</x:v>
      </x:c>
      <x:c r="J128" s="79" t="n">
        <x:v>0.0007118384746844622</x:v>
      </x:c>
      <x:c r="K128" s="81" t="n">
        <x:v>-0.1864703146463288</x:v>
      </x:c>
      <x:c r="L128" s="81" t="n">
        <x:v>-0.6493135190795973</x:v>
      </x:c>
      <x:c r="M128" s="80" t="n">
        <x:v>14157.52855289587</x:v>
      </x:c>
      <x:c r="N128" s="82" t="n">
        <x:v>0.22736480860742136</x:v>
      </x:c>
      <x:c r="O128" s="82" t="n">
        <x:v>0.11900058247162175</x:v>
      </x:c>
      <x:c r="P128" s="80" t="n">
        <x:v>8893.609354602018</x:v>
      </x:c>
      <x:c r="Q128" s="81" t="n">
        <x:v>0.0038094188633030664</x:v>
      </x:c>
      <x:c r="R128" s="81" t="n">
        <x:v>18.771724902702758</x:v>
      </x:c>
      <x:c r="S128" s="81" t="n">
        <x:v>7.47769392375559</x:v>
      </x:c>
      <x:c r="T128" s="81" t="n">
        <x:v>15.419975461075142</x:v>
      </x:c>
    </x:row>
    <x:row r="129">
      <x:c r="A129" s="59" t="n">
        <x:v>126</x:v>
      </x:c>
      <x:c r="B129" s="193" t="n">
        <x:v>0.7768903728574514</x:v>
      </x:c>
      <x:c r="C129" s="83" t="n">
        <x:v>1.7132263888235735</x:v>
      </x:c>
      <x:c r="D129" s="83" t="n">
        <x:v>0.5497244765990434</x:v>
      </x:c>
      <x:c r="E129" s="81" t="n">
        <x:v>0.08814956337008231</x:v>
      </x:c>
      <x:c r="F129" s="81" t="n">
        <x:v>0.3538422167301178</x:v>
      </x:c>
      <x:c r="G129" s="81" t="n">
        <x:v>0.0016530992265847988</x:v>
      </x:c>
      <x:c r="H129" s="59" t="n">
        <x:v>0</x:v>
      </x:c>
      <x:c r="I129" s="81" t="n">
        <x:v>0</x:v>
      </x:c>
      <x:c r="J129" s="79" t="n">
        <x:v>0.009299804188927507</x:v>
      </x:c>
      <x:c r="K129" s="81" t="n">
        <x:v>9.628347644488581</x:v>
      </x:c>
      <x:c r="L129" s="81" t="n">
        <x:v>-0.5658941641443558</x:v>
      </x:c>
      <x:c r="M129" s="80" t="n">
        <x:v>53548.861431733894</x:v>
      </x:c>
      <x:c r="N129" s="82" t="n">
        <x:v>0.2871636035091362</x:v>
      </x:c>
      <x:c r="O129" s="82" t="n">
        <x:v>0.09598646184624958</x:v>
      </x:c>
      <x:c r="P129" s="80" t="n">
        <x:v>54924.00882724355</x:v>
      </x:c>
      <x:c r="Q129" s="81" t="n">
        <x:v>0.0027032935729405113</x:v>
      </x:c>
      <x:c r="R129" s="81" t="n">
        <x:v>91.14034745663743</x:v>
      </x:c>
      <x:c r="S129" s="81" t="n">
        <x:v>106.01357914512677</x:v>
      </x:c>
      <x:c r="T129" s="81" t="n">
        <x:v>201.45406224302832</x:v>
      </x:c>
    </x:row>
    <x:row r="130">
      <x:c r="A130" s="59" t="n">
        <x:v>127</x:v>
      </x:c>
      <x:c r="B130" s="193" t="n">
        <x:v>0.5818355904892087</x:v>
      </x:c>
      <x:c r="C130" s="83" t="n">
        <x:v>2.3318985702456834</x:v>
      </x:c>
      <x:c r="D130" s="83" t="n">
        <x:v>1.0344449739158295</x:v>
      </x:c>
      <x:c r="E130" s="81" t="n">
        <x:v>-0.00538072572741217</x:v>
      </x:c>
      <x:c r="F130" s="81" t="n">
        <x:v>0.43144448671955615</x:v>
      </x:c>
      <x:c r="G130" s="81" t="n">
        <x:v>-0.0013951308728700016</x:v>
      </x:c>
      <x:c r="H130" s="59" t="n">
        <x:v>0</x:v>
      </x:c>
      <x:c r="I130" s="81" t="n">
        <x:v>0</x:v>
      </x:c>
      <x:c r="J130" s="79" t="n">
        <x:v>2.986600078819727e-8</x:v>
      </x:c>
      <x:c r="K130" s="81" t="n">
        <x:v>-0.9999658674276707</x:v>
      </x:c>
      <x:c r="L130" s="81" t="n">
        <x:v>-0.9999658674276707</x:v>
      </x:c>
      <x:c r="M130" s="80" t="n">
        <x:v>98.8363012427751</x:v>
      </x:c>
      <x:c r="N130" s="82" t="n">
        <x:v>0.24069789707185105</x:v>
      </x:c>
      <x:c r="O130" s="82" t="n">
        <x:v>0.09809980892039016</x:v>
      </x:c>
      <x:c r="P130" s="80" t="n">
        <x:v>5562.205615756332</x:v>
      </x:c>
      <x:c r="Q130" s="81" t="n">
        <x:v>0.5845088536840743</x:v>
      </x:c>
      <x:c r="R130" s="81" t="n">
        <x:v>6.504523137644439</x:v>
      </x:c>
      <x:c r="S130" s="81" t="n">
        <x:v>0.013597972605882473</x:v>
      </x:c>
      <x:c r="T130" s="81" t="n">
        <x:v>0.0006469627810980489</x:v>
      </x:c>
    </x:row>
    <x:row r="131">
      <x:c r="A131" s="59" t="n">
        <x:v>128</x:v>
      </x:c>
      <x:c r="B131" s="193" t="n">
        <x:v>0.39841738734394316</x:v>
      </x:c>
      <x:c r="C131" s="83" t="n">
        <x:v>2.238612355033663</x:v>
      </x:c>
      <x:c r="D131" s="83" t="n">
        <x:v>1.6693601320684723</x:v>
      </x:c>
      <x:c r="E131" s="81" t="n">
        <x:v>-0.01723915366453868</x:v>
      </x:c>
      <x:c r="F131" s="81" t="n">
        <x:v>0.3199964758125134</x:v>
      </x:c>
      <x:c r="G131" s="81" t="n">
        <x:v>0.00006437291212240835</x:v>
      </x:c>
      <x:c r="H131" s="59" t="n">
        <x:v>55</x:v>
      </x:c>
      <x:c r="I131" s="81" t="n">
        <x:v>0.3553485478274524</x:v>
      </x:c>
      <x:c r="J131" s="79" t="n">
        <x:v>1.5055245693875936e-21</x:v>
      </x:c>
      <x:c r="K131" s="81" t="n">
        <x:v>-1</x:v>
      </x:c>
      <x:c r="L131" s="81" t="n">
        <x:v>-1</x:v>
      </x:c>
      <x:c r="M131" s="80" t="n">
        <x:v>0.000022550712149835253</x:v>
      </x:c>
      <x:c r="N131" s="82" t="n">
        <x:v>0.19700424199133987</x:v>
      </x:c>
      <x:c r="O131" s="82" t="n">
        <x:v>0.05955136422604576</x:v>
      </x:c>
      <x:c r="P131" s="80" t="n">
        <x:v>2851.939767322326</x:v>
      </x:c>
      <x:c r="Q131" s="81" t="n">
        <x:v>892779.773486391</x:v>
      </x:c>
      <x:c r="R131" s="81" t="n">
        <x:v>3.989375616265936</x:v>
      </x:c>
      <x:c r="S131" s="81" t="n">
        <x:v>5.385811572065471e-9</x:v>
      </x:c>
      <x:c r="T131" s="81" t="n">
        <x:v>3.2612949063048376e-17</x:v>
      </x:c>
    </x:row>
    <x:row r="132">
      <x:c r="A132" s="59" t="n">
        <x:v>129</x:v>
      </x:c>
      <x:c r="B132" s="193" t="n">
        <x:v>0.897322011180222</x:v>
      </x:c>
      <x:c r="C132" s="83" t="n">
        <x:v>0.1999539131777042</x:v>
      </x:c>
      <x:c r="D132" s="83" t="n">
        <x:v>0.4223526360462795</x:v>
      </x:c>
      <x:c r="E132" s="81" t="n">
        <x:v>0.07523954625097773</x:v>
      </x:c>
      <x:c r="F132" s="81" t="n">
        <x:v>0.8324431378976442</x:v>
      </x:c>
      <x:c r="G132" s="81" t="n">
        <x:v>-0.025805360119990652</x:v>
      </x:c>
      <x:c r="H132" s="59" t="n">
        <x:v>33</x:v>
      </x:c>
      <x:c r="I132" s="81" t="n">
        <x:v>0.30892075560987</x:v>
      </x:c>
      <x:c r="J132" s="79" t="n">
        <x:v>0.00005776492700235266</x:v>
      </x:c>
      <x:c r="K132" s="81" t="n">
        <x:v>-0.9339829405687399</x:v>
      </x:c>
      <x:c r="L132" s="81" t="n">
        <x:v>-0.9366314137685173</x:v>
      </x:c>
      <x:c r="M132" s="80" t="n">
        <x:v>1731.6188452519732</x:v>
      </x:c>
      <x:c r="N132" s="82" t="n">
        <x:v>0.3158526778508389</x:v>
      </x:c>
      <x:c r="O132" s="82" t="n">
        <x:v>0.2483762596919419</x:v>
      </x:c>
      <x:c r="P132" s="80" t="n">
        <x:v>1766.8211161497018</x:v>
      </x:c>
      <x:c r="Q132" s="81" t="n">
        <x:v>0.007271223341491734</x:v>
      </x:c>
      <x:c r="R132" s="81" t="n">
        <x:v>70.88746601798711</x:v>
      </x:c>
      <x:c r="S132" s="81" t="n">
        <x:v>5.5721649758159515</x:v>
      </x:c>
      <x:c r="T132" s="81" t="n">
        <x:v>1.2513144323674155</x:v>
      </x:c>
    </x:row>
    <x:row r="133">
      <x:c r="A133" s="59" t="n">
        <x:v>130</x:v>
      </x:c>
      <x:c r="B133" s="193" t="n">
        <x:v>0.8631696764379739</x:v>
      </x:c>
      <x:c r="C133" s="83" t="n">
        <x:v>0.10014185796634938</x:v>
      </x:c>
      <x:c r="D133" s="83" t="n">
        <x:v>0.8715204719522582</x:v>
      </x:c>
      <x:c r="E133" s="81" t="n">
        <x:v>-0.04864249745154187</x:v>
      </x:c>
      <x:c r="F133" s="81" t="n">
        <x:v>0.7741941873100586</x:v>
      </x:c>
      <x:c r="G133" s="81" t="n">
        <x:v>-0.005788681384665135</x:v>
      </x:c>
      <x:c r="H133" s="59" t="n">
        <x:v>0</x:v>
      </x:c>
      <x:c r="I133" s="81" t="n">
        <x:v>0</x:v>
      </x:c>
      <x:c r="J133" s="79" t="n">
        <x:v>5.953365947141709e-26</x:v>
      </x:c>
      <x:c r="K133" s="81" t="n">
        <x:v>-1</x:v>
      </x:c>
      <x:c r="L133" s="81" t="n">
        <x:v>-1</x:v>
      </x:c>
      <x:c r="M133" s="80" t="n">
        <x:v>0.000002</x:v>
      </x:c>
      <x:c r="N133" s="82" t="n">
        <x:v>0.30771695135895893</x:v>
      </x:c>
      <x:c r="O133" s="82" t="n">
        <x:v>0.2250465032190042</x:v>
      </x:c>
      <x:c r="P133" s="80" t="n">
        <x:v>285.59133964713226</x:v>
      </x:c>
      <x:c r="Q133" s="81" t="n">
        <x:v>731549657.416966</x:v>
      </x:c>
      <x:c r="R133" s="81" t="n">
        <x:v>25.390309825327986</x:v>
      </x:c>
      <x:c r="S133" s="81" t="n">
        <x:v>6.466320567837767e-10</x:v>
      </x:c>
      <x:c r="T133" s="81" t="n">
        <x:v>1.2896290391779985e-21</x:v>
      </x:c>
    </x:row>
    <x:row r="134">
      <x:c r="A134" s="59" t="n">
        <x:v>131</x:v>
      </x:c>
      <x:c r="B134" s="193" t="n">
        <x:v>0.4404277201741934</x:v>
      </x:c>
      <x:c r="C134" s="83" t="n">
        <x:v>2.2566097185040372</x:v>
      </x:c>
      <x:c r="D134" s="83" t="n">
        <x:v>1.0826804423939727</x:v>
      </x:c>
      <x:c r="E134" s="81" t="n">
        <x:v>-0.000529841910890994</x:v>
      </x:c>
      <x:c r="F134" s="81" t="n">
        <x:v>0.8619680876727216</x:v>
      </x:c>
      <x:c r="G134" s="81" t="n">
        <x:v>-0.014319288499280873</x:v>
      </x:c>
      <x:c r="H134" s="59" t="n">
        <x:v>0</x:v>
      </x:c>
      <x:c r="I134" s="81" t="n">
        <x:v>0</x:v>
      </x:c>
      <x:c r="J134" s="79" t="n">
        <x:v>0.000001662393662824965</x:v>
      </x:c>
      <x:c r="K134" s="81" t="n">
        <x:v>-0.9981001215282</x:v>
      </x:c>
      <x:c r="L134" s="81" t="n">
        <x:v>-0.9981001215282</x:v>
      </x:c>
      <x:c r="M134" s="80" t="n">
        <x:v>716.418824416216</x:v>
      </x:c>
      <x:c r="N134" s="82" t="n">
        <x:v>0.20701189096524616</x:v>
      </x:c>
      <x:c r="O134" s="82" t="n">
        <x:v>0.16856112522019845</x:v>
      </x:c>
      <x:c r="P134" s="80" t="n">
        <x:v>6915.769031727756</x:v>
      </x:c>
      <x:c r="Q134" s="81" t="n">
        <x:v>0.14675187789118607</x:v>
      </x:c>
      <x:c r="R134" s="81" t="n">
        <x:v>7.142827184084157</x:v>
      </x:c>
      <x:c r="S134" s="81" t="n">
        <x:v>0.1015764250791402</x:v>
      </x:c>
      <x:c r="T134" s="81" t="n">
        <x:v>0.03601107610651509</x:v>
      </x:c>
    </x:row>
    <x:row r="135">
      <x:c r="A135" s="59" t="n">
        <x:v>132</x:v>
      </x:c>
      <x:c r="B135" s="193" t="n">
        <x:v>0.3073960648849607</x:v>
      </x:c>
      <x:c r="C135" s="83" t="n">
        <x:v>0.19851452878152898</x:v>
      </x:c>
      <x:c r="D135" s="83" t="n">
        <x:v>0.6324513714793003</x:v>
      </x:c>
      <x:c r="E135" s="81" t="n">
        <x:v>-0.04418671973636154</x:v>
      </x:c>
      <x:c r="F135" s="81" t="n">
        <x:v>0.6062981156050228</x:v>
      </x:c>
      <x:c r="G135" s="81" t="n">
        <x:v>0.007344799362796712</x:v>
      </x:c>
      <x:c r="H135" s="59" t="n">
        <x:v>0</x:v>
      </x:c>
      <x:c r="I135" s="81" t="n">
        <x:v>0</x:v>
      </x:c>
      <x:c r="J135" s="79" t="n">
        <x:v>3.7023277607660837e-22</x:v>
      </x:c>
      <x:c r="K135" s="81" t="n">
        <x:v>-1</x:v>
      </x:c>
      <x:c r="L135" s="81" t="n">
        <x:v>-1</x:v>
      </x:c>
      <x:c r="M135" s="80" t="n">
        <x:v>0.000004146693066170984</x:v>
      </x:c>
      <x:c r="N135" s="82" t="n">
        <x:v>0.17532125633181428</x:v>
      </x:c>
      <x:c r="O135" s="82" t="n">
        <x:v>0.1004134142962764</x:v>
      </x:c>
      <x:c r="P135" s="80" t="n">
        <x:v>354.06859074825843</x:v>
      </x:c>
      <x:c r="Q135" s="81" t="n">
        <x:v>267348.7933133105</x:v>
      </x:c>
      <x:c r="R135" s="81" t="n">
        <x:v>21.76393635102013</x:v>
      </x:c>
      <x:c r="S135" s="81" t="n">
        <x:v>1.111046093552287e-9</x:v>
      </x:c>
      <x:c r="T135" s="81" t="n">
        <x:v>8.020050229116454e-18</x:v>
      </x:c>
    </x:row>
    <x:row r="136">
      <x:c r="A136" s="59" t="n">
        <x:v>133</x:v>
      </x:c>
      <x:c r="B136" s="193" t="n">
        <x:v>0.47148390226066117</x:v>
      </x:c>
      <x:c r="C136" s="83" t="n">
        <x:v>1.3845605096846492</x:v>
      </x:c>
      <x:c r="D136" s="83" t="n">
        <x:v>0.8206522145369538</x:v>
      </x:c>
      <x:c r="E136" s="81" t="n">
        <x:v>-0.026560793709553714</x:v>
      </x:c>
      <x:c r="F136" s="81" t="n">
        <x:v>0.6237230965751224</x:v>
      </x:c>
      <x:c r="G136" s="81" t="n">
        <x:v>-0.010602240219521573</x:v>
      </x:c>
      <x:c r="H136" s="59" t="n">
        <x:v>0</x:v>
      </x:c>
      <x:c r="I136" s="81" t="n">
        <x:v>0</x:v>
      </x:c>
      <x:c r="J136" s="79" t="n">
        <x:v>7.457664251673383e-17</x:v>
      </x:c>
      <x:c r="K136" s="81" t="n">
        <x:v>-0.9999999999999147</x:v>
      </x:c>
      <x:c r="L136" s="81" t="n">
        <x:v>-0.9999999999999147</x:v>
      </x:c>
      <x:c r="M136" s="80" t="n">
        <x:v>0.0036386061622406675</x:v>
      </x:c>
      <x:c r="N136" s="82" t="n">
        <x:v>0.21441005584165673</x:v>
      </x:c>
      <x:c r="O136" s="82" t="n">
        <x:v>0.1263304136361479</x:v>
      </x:c>
      <x:c r="P136" s="80" t="n">
        <x:v>1171.5161014625273</x:v>
      </x:c>
      <x:c r="Q136" s="81" t="n">
        <x:v>1904.751869009017</x:v>
      </x:c>
      <x:c r="R136" s="81" t="n">
        <x:v>4.870672094209783</x:v>
      </x:c>
      <x:c r="S136" s="81" t="n">
        <x:v>5.00034271596144e-7</x:v>
      </x:c>
      <x:c r="T136" s="81" t="n">
        <x:v>1.6154928940686411e-12</x:v>
      </x:c>
    </x:row>
    <x:row r="137">
      <x:c r="A137" s="59" t="n">
        <x:v>134</x:v>
      </x:c>
      <x:c r="B137" s="193" t="n">
        <x:v>0.8357677429914474</x:v>
      </x:c>
      <x:c r="C137" s="83" t="n">
        <x:v>0.8592893750153345</x:v>
      </x:c>
      <x:c r="D137" s="83" t="n">
        <x:v>0.7398655230759312</x:v>
      </x:c>
      <x:c r="E137" s="81" t="n">
        <x:v>-0.05109079491270833</x:v>
      </x:c>
      <x:c r="F137" s="81" t="n">
        <x:v>0.5869807271752507</x:v>
      </x:c>
      <x:c r="G137" s="81" t="n">
        <x:v>-0.01735863826108935</x:v>
      </x:c>
      <x:c r="H137" s="59" t="n">
        <x:v>39</x:v>
      </x:c>
      <x:c r="I137" s="81" t="n">
        <x:v>0.48640064988285303</x:v>
      </x:c>
      <x:c r="J137" s="79" t="n">
        <x:v>4.802280216303151e-24</x:v>
      </x:c>
      <x:c r="K137" s="81" t="n">
        <x:v>-1</x:v>
      </x:c>
      <x:c r="L137" s="81" t="n">
        <x:v>-1</x:v>
      </x:c>
      <x:c r="M137" s="80" t="n">
        <x:v>0.000002</x:v>
      </x:c>
      <x:c r="N137" s="82" t="n">
        <x:v>0.3011892970257442</x:v>
      </x:c>
      <x:c r="O137" s="82" t="n">
        <x:v>0.1670068630602893</x:v>
      </x:c>
      <x:c r="P137" s="80" t="n">
        <x:v>507.59044872143625</x:v>
      </x:c>
      <x:c r="Q137" s="81" t="n">
        <x:v>8654557.660938952</x:v>
      </x:c>
      <x:c r="R137" s="81" t="n">
        <x:v>4.467200110474133</x:v>
      </x:c>
      <x:c r="S137" s="81" t="n">
        <x:v>2.816974424037688e-10</x:v>
      </x:c>
      <x:c r="T137" s="81" t="n">
        <x:v>1.040278739153934e-19</x:v>
      </x:c>
    </x:row>
    <x:row r="138">
      <x:c r="A138" s="59" t="n">
        <x:v>135</x:v>
      </x:c>
      <x:c r="B138" s="193" t="n">
        <x:v>0.9083949316293001</x:v>
      </x:c>
      <x:c r="C138" s="83" t="n">
        <x:v>2.158140612421368</x:v>
      </x:c>
      <x:c r="D138" s="83" t="n">
        <x:v>0.4111424832916902</x:v>
      </x:c>
      <x:c r="E138" s="81" t="n">
        <x:v>-0.12444778358890042</x:v>
      </x:c>
      <x:c r="F138" s="81" t="n">
        <x:v>0.6341789156198502</x:v>
      </x:c>
      <x:c r="G138" s="81" t="n">
        <x:v>0.0012218342034110326</x:v>
      </x:c>
      <x:c r="H138" s="59" t="n">
        <x:v>0</x:v>
      </x:c>
      <x:c r="I138" s="81" t="n">
        <x:v>0</x:v>
      </x:c>
      <x:c r="J138" s="79" t="n">
        <x:v>2.885899544832385e-29</x:v>
      </x:c>
      <x:c r="K138" s="81" t="n">
        <x:v>-1</x:v>
      </x:c>
      <x:c r="L138" s="81" t="n">
        <x:v>-1</x:v>
      </x:c>
      <x:c r="M138" s="80" t="n">
        <x:v>0.000002</x:v>
      </x:c>
      <x:c r="N138" s="82" t="n">
        <x:v>0.3184904551190675</x:v>
      </x:c>
      <x:c r="O138" s="82" t="n">
        <x:v>0.19080034794152823</x:v>
      </x:c>
      <x:c r="P138" s="80" t="n">
        <x:v>395.4200912611526</x:v>
      </x:c>
      <x:c r="Q138" s="81" t="n">
        <x:v>632507555824.5553</x:v>
      </x:c>
      <x:c r="R138" s="81" t="n">
        <x:v>1.5417591473758598</x:v>
      </x:c>
      <x:c r="S138" s="81" t="n">
        <x:v>1.157489678205685e-10</x:v>
      </x:c>
      <x:c r="T138" s="81" t="n">
        <x:v>6.251488469230201e-25</x:v>
      </x:c>
    </x:row>
    <x:row r="139">
      <x:c r="A139" s="59" t="n">
        <x:v>136</x:v>
      </x:c>
      <x:c r="B139" s="193" t="n">
        <x:v>0.6215823901817203</x:v>
      </x:c>
      <x:c r="C139" s="83" t="n">
        <x:v>0.12723027365510836</x:v>
      </x:c>
      <x:c r="D139" s="83" t="n">
        <x:v>1.6739156054215223</x:v>
      </x:c>
      <x:c r="E139" s="81" t="n">
        <x:v>-0.07790401712530716</x:v>
      </x:c>
      <x:c r="F139" s="81" t="n">
        <x:v>0.5362026966293343</x:v>
      </x:c>
      <x:c r="G139" s="81" t="n">
        <x:v>0.010700362675953735</x:v>
      </x:c>
      <x:c r="H139" s="59" t="n">
        <x:v>0</x:v>
      </x:c>
      <x:c r="I139" s="81" t="n">
        <x:v>0</x:v>
      </x:c>
      <x:c r="J139" s="79" t="n">
        <x:v>4.348686085179294e-52</x:v>
      </x:c>
      <x:c r="K139" s="81" t="n">
        <x:v>-1</x:v>
      </x:c>
      <x:c r="L139" s="81" t="n">
        <x:v>-1</x:v>
      </x:c>
      <x:c r="M139" s="80" t="n">
        <x:v>0.000002</x:v>
      </x:c>
      <x:c r="N139" s="82" t="n">
        <x:v>0.25016633001110195</x:v>
      </x:c>
      <x:c r="O139" s="82" t="n">
        <x:v>0.12671522324062293</x:v>
      </x:c>
      <x:c r="P139" s="80" t="n">
        <x:v>264.3684889932191</x:v>
      </x:c>
      <x:c r="Q139" s="81" t="n">
        <x:v>6.427720444448485e+34</x:v>
      </x:c>
      <x:c r="R139" s="81" t="n">
        <x:v>8.56136022815018</x:v>
      </x:c>
      <x:c r="S139" s="81" t="n">
        <x:v>1.480691156250697e-9</x:v>
      </x:c>
      <x:c r="T139" s="81" t="n">
        <x:v>9.420203473984451e-48</x:v>
      </x:c>
    </x:row>
    <x:row r="140">
      <x:c r="A140" s="59" t="n">
        <x:v>137</x:v>
      </x:c>
      <x:c r="B140" s="193" t="n">
        <x:v>0.5792329734191299</x:v>
      </x:c>
      <x:c r="C140" s="83" t="n">
        <x:v>0.1921072663523612</x:v>
      </x:c>
      <x:c r="D140" s="83" t="n">
        <x:v>1.959307059736343</x:v>
      </x:c>
      <x:c r="E140" s="81" t="n">
        <x:v>0.04201126074612833</x:v>
      </x:c>
      <x:c r="F140" s="81" t="n">
        <x:v>0.5755420343601145</x:v>
      </x:c>
      <x:c r="G140" s="81" t="n">
        <x:v>-0.006431733350366376</x:v>
      </x:c>
      <x:c r="H140" s="59" t="n">
        <x:v>0</x:v>
      </x:c>
      <x:c r="I140" s="81" t="n">
        <x:v>0</x:v>
      </x:c>
      <x:c r="J140" s="79" t="n">
        <x:v>0.0026052231463891953</x:v>
      </x:c>
      <x:c r="K140" s="81" t="n">
        <x:v>1.977397881587652</x:v>
      </x:c>
      <x:c r="L140" s="81" t="n">
        <x:v>-0.7853973167645509</x:v>
      </x:c>
      <x:c r="M140" s="80" t="n">
        <x:v>13839.419781732806</x:v>
      </x:c>
      <x:c r="N140" s="82" t="n">
        <x:v>0.2400779048866885</x:v>
      </x:c>
      <x:c r="O140" s="82" t="n">
        <x:v>0.13052694753061736</x:v>
      </x:c>
      <x:c r="P140" s="80" t="n">
        <x:v>45589.67515543481</x:v>
      </x:c>
      <x:c r="Q140" s="81" t="n">
        <x:v>0.00753372861946294</x:v>
      </x:c>
      <x:c r="R140" s="81" t="n">
        <x:v>547.0029028524474</x:v>
      </x:c>
      <x:c r="S140" s="81" t="n">
        <x:v>261.3260186949339</x:v>
      </x:c>
      <x:c r="T140" s="81" t="n">
        <x:v>56.43482112392658</x:v>
      </x:c>
    </x:row>
    <x:row r="141">
      <x:c r="A141" s="59" t="n">
        <x:v>138</x:v>
      </x:c>
      <x:c r="B141" s="193" t="n">
        <x:v>0.973190330527723</x:v>
      </x:c>
      <x:c r="C141" s="83" t="n">
        <x:v>0.14753425740914125</x:v>
      </x:c>
      <x:c r="D141" s="83" t="n">
        <x:v>1.3497814808543795</x:v>
      </x:c>
      <x:c r="E141" s="81" t="n">
        <x:v>0.024173211769469516</x:v>
      </x:c>
      <x:c r="F141" s="81" t="n">
        <x:v>0.7021830881247297</x:v>
      </x:c>
      <x:c r="G141" s="81" t="n">
        <x:v>-0.015958592433294814</x:v>
      </x:c>
      <x:c r="H141" s="59" t="n">
        <x:v>0</x:v>
      </x:c>
      <x:c r="I141" s="81" t="n">
        <x:v>0</x:v>
      </x:c>
      <x:c r="J141" s="79" t="n">
        <x:v>0.00008858146873071647</x:v>
      </x:c>
      <x:c r="K141" s="81" t="n">
        <x:v>-0.898764035736324</x:v>
      </x:c>
      <x:c r="L141" s="81" t="n">
        <x:v>-0.9194151363388392</x:v>
      </x:c>
      <x:c r="M141" s="80" t="n">
        <x:v>2069.1637214030966</x:v>
      </x:c>
      <x:c r="N141" s="82" t="n">
        <x:v>0.3339259340504011</x:v>
      </x:c>
      <x:c r="O141" s="82" t="n">
        <x:v>0.22149884027952138</x:v>
      </x:c>
      <x:c r="P141" s="80" t="n">
        <x:v>6220.370903480847</x:v>
      </x:c>
      <x:c r="Q141" s="81" t="n">
        <x:v>0.0193165380879319</x:v>
      </x:c>
      <x:c r="R141" s="81" t="n">
        <x:v>107.20173021210539</x:v>
      </x:c>
      <x:c r="S141" s="81" t="n">
        <x:v>12.044160066069464</x:v>
      </x:c>
      <x:c r="T141" s="81" t="n">
        <x:v>1.9188680054686817</x:v>
      </x:c>
    </x:row>
    <x:row r="142">
      <x:c r="A142" s="59" t="n">
        <x:v>139</x:v>
      </x:c>
      <x:c r="B142" s="193" t="n">
        <x:v>0.5786975530907512</x:v>
      </x:c>
      <x:c r="C142" s="83" t="n">
        <x:v>1.4528429883181935</x:v>
      </x:c>
      <x:c r="D142" s="83" t="n">
        <x:v>0.5943805347903302</x:v>
      </x:c>
      <x:c r="E142" s="81" t="n">
        <x:v>-0.1113422178123783</x:v>
      </x:c>
      <x:c r="F142" s="81" t="n">
        <x:v>0.31488749048439785</x:v>
      </x:c>
      <x:c r="G142" s="81" t="n">
        <x:v>0.016674332618207388</x:v>
      </x:c>
      <x:c r="H142" s="59" t="n">
        <x:v>0</x:v>
      </x:c>
      <x:c r="I142" s="81" t="n">
        <x:v>0</x:v>
      </x:c>
      <x:c r="J142" s="79" t="n">
        <x:v>3.2730467797511433e-35</x:v>
      </x:c>
      <x:c r="K142" s="81" t="n">
        <x:v>-1</x:v>
      </x:c>
      <x:c r="L142" s="81" t="n">
        <x:v>-1</x:v>
      </x:c>
      <x:c r="M142" s="80" t="n">
        <x:v>0.000002</x:v>
      </x:c>
      <x:c r="N142" s="82" t="n">
        <x:v>0.23995035772533738</x:v>
      </x:c>
      <x:c r="O142" s="82" t="n">
        <x:v>0.07137526790447614</x:v>
      </x:c>
      <x:c r="P142" s="80" t="n">
        <x:v>368.2432368578683</x:v>
      </x:c>
      <x:c r="Q142" s="81" t="n">
        <x:v>616070670364652300</x:v>
      </x:c>
      <x:c r="R142" s="81" t="n">
        <x:v>1.8775412147813726</x:v>
      </x:c>
      <x:c r="S142" s="81" t="n">
        <x:v>2.5958418147806743e-10</x:v>
      </x:c>
      <x:c r="T142" s="81" t="n">
        <x:v>7.090133902791038e-31</x:v>
      </x:c>
    </x:row>
    <x:row r="143">
      <x:c r="A143" s="59" t="n">
        <x:v>140</x:v>
      </x:c>
      <x:c r="B143" s="193" t="n">
        <x:v>0.4511105874553323</x:v>
      </x:c>
      <x:c r="C143" s="83" t="n">
        <x:v>0.5543868094631988</x:v>
      </x:c>
      <x:c r="D143" s="83" t="n">
        <x:v>1.3825210093387328</x:v>
      </x:c>
      <x:c r="E143" s="81" t="n">
        <x:v>0.11939174450164895</x:v>
      </x:c>
      <x:c r="F143" s="81" t="n">
        <x:v>0.8036673683905974</x:v>
      </x:c>
      <x:c r="G143" s="81" t="n">
        <x:v>-0.007257066441293339</x:v>
      </x:c>
      <x:c r="H143" s="59" t="n">
        <x:v>80</x:v>
      </x:c>
      <x:c r="I143" s="81" t="n">
        <x:v>0.1521693080663681</x:v>
      </x:c>
      <x:c r="J143" s="79" t="n">
        <x:v>0.014454361863062242</x:v>
      </x:c>
      <x:c r="K143" s="81" t="n">
        <x:v>15.519270700642565</x:v>
      </x:c>
      <x:c r="L143" s="81" t="n">
        <x:v>-0.918269011563768</x:v>
      </x:c>
      <x:c r="M143" s="80" t="n">
        <x:v>53164.74680145046</x:v>
      </x:c>
      <x:c r="N143" s="82" t="n">
        <x:v>0.2095567502553748</x:v>
      </x:c>
      <x:c r="O143" s="82" t="n">
        <x:v>0.15909221616367156</x:v>
      </x:c>
      <x:c r="P143" s="80" t="n">
        <x:v>104403.07392838593</x:v>
      </x:c>
      <x:c r="Q143" s="81" t="n">
        <x:v>0.003834791792111942</x:v>
      </x:c>
      <x:c r="R143" s="81" t="n">
        <x:v>725.1246092304559</x:v>
      </x:c>
      <x:c r="S143" s="81" t="n">
        <x:v>504.72660226452365</x:v>
      </x:c>
      <x:c r="T143" s="81" t="n">
        <x:v>313.1130349939558</x:v>
      </x:c>
    </x:row>
    <x:row r="144">
      <x:c r="A144" s="59" t="n">
        <x:v>141</x:v>
      </x:c>
      <x:c r="B144" s="193" t="n">
        <x:v>0.29523169342428446</x:v>
      </x:c>
      <x:c r="C144" s="83" t="n">
        <x:v>1.9042764063991213</x:v>
      </x:c>
      <x:c r="D144" s="83" t="n">
        <x:v>0.9733476312568461</x:v>
      </x:c>
      <x:c r="E144" s="81" t="n">
        <x:v>0.0060633128390444185</x:v>
      </x:c>
      <x:c r="F144" s="81" t="n">
        <x:v>0.598801923764404</x:v>
      </x:c>
      <x:c r="G144" s="81" t="n">
        <x:v>0.00796918043327522</x:v>
      </x:c>
      <x:c r="H144" s="59" t="n">
        <x:v>0</x:v>
      </x:c>
      <x:c r="I144" s="81" t="n">
        <x:v>0</x:v>
      </x:c>
      <x:c r="J144" s="79" t="n">
        <x:v>0.00013933889289194292</x:v>
      </x:c>
      <x:c r="K144" s="81" t="n">
        <x:v>-0.8407555509806366</x:v>
      </x:c>
      <x:c r="L144" s="81" t="n">
        <x:v>-0.8605897281285705</x:v>
      </x:c>
      <x:c r="M144" s="80" t="n">
        <x:v>5967.86478106898</x:v>
      </x:c>
      <x:c r="N144" s="82" t="n">
        <x:v>0.17242347496791635</x:v>
      </x:c>
      <x:c r="O144" s="82" t="n">
        <x:v>0.09753276182293849</x:v>
      </x:c>
      <x:c r="P144" s="80" t="n">
        <x:v>16150.610285948233</x:v>
      </x:c>
      <x:c r="Q144" s="81" t="n">
        <x:v>0.028731613545355878</x:v>
      </x:c>
      <x:c r="R144" s="81" t="n">
        <x:v>11.925356145378505</x:v>
      </x:c>
      <x:c r="S144" s="81" t="n">
        <x:v>2.328213908016207</x:v>
      </x:c>
      <x:c r="T144" s="81" t="n">
        <x:v>3.01838462738271</x:v>
      </x:c>
    </x:row>
    <x:row r="145">
      <x:c r="A145" s="59" t="n">
        <x:v>142</x:v>
      </x:c>
      <x:c r="B145" s="193" t="n">
        <x:v>0.3350464582443238</x:v>
      </x:c>
      <x:c r="C145" s="83" t="n">
        <x:v>0.15231899189783088</x:v>
      </x:c>
      <x:c r="D145" s="83" t="n">
        <x:v>0.9121644766862287</x:v>
      </x:c>
      <x:c r="E145" s="81" t="n">
        <x:v>-0.05335124635666218</x:v>
      </x:c>
      <x:c r="F145" s="81" t="n">
        <x:v>0.5721158723463304</x:v>
      </x:c>
      <x:c r="G145" s="81" t="n">
        <x:v>-0.005883156430967458</x:v>
      </x:c>
      <x:c r="H145" s="59" t="n">
        <x:v>0</x:v>
      </x:c>
      <x:c r="I145" s="81" t="n">
        <x:v>0</x:v>
      </x:c>
      <x:c r="J145" s="79" t="n">
        <x:v>1.510229717071086e-27</x:v>
      </x:c>
      <x:c r="K145" s="81" t="n">
        <x:v>-1</x:v>
      </x:c>
      <x:c r="L145" s="81" t="n">
        <x:v>-1</x:v>
      </x:c>
      <x:c r="M145" s="80" t="n">
        <x:v>0.000002</x:v>
      </x:c>
      <x:c r="N145" s="82" t="n">
        <x:v>0.18190809847488987</x:v>
      </x:c>
      <x:c r="O145" s="82" t="n">
        <x:v>0.09831209992206703</x:v>
      </x:c>
      <x:c r="P145" s="80" t="n">
        <x:v>321.6840152689527</x:v>
      </x:c>
      <x:c r="Q145" s="81" t="n">
        <x:v>26410731693.34387</x:v>
      </x:c>
      <x:c r="R145" s="81" t="n">
        <x:v>18.427713400968507</x:v>
      </x:c>
      <x:c r="S145" s="81" t="n">
        <x:v>6.453965410350465e-10</x:v>
      </x:c>
      <x:c r="T145" s="81" t="n">
        <x:v>3.2714872834241476e-23</x:v>
      </x:c>
    </x:row>
    <x:row r="146">
      <x:c r="A146" s="59" t="n">
        <x:v>143</x:v>
      </x:c>
      <x:c r="B146" s="193" t="n">
        <x:v>0.7658293213695289</x:v>
      </x:c>
      <x:c r="C146" s="83" t="n">
        <x:v>2.0333656806607556</x:v>
      </x:c>
      <x:c r="D146" s="83" t="n">
        <x:v>0.33357020592539127</x:v>
      </x:c>
      <x:c r="E146" s="81" t="n">
        <x:v>-0.08184519475799673</x:v>
      </x:c>
      <x:c r="F146" s="81" t="n">
        <x:v>0.7846967634279282</x:v>
      </x:c>
      <x:c r="G146" s="81" t="n">
        <x:v>0.01167846506928206</x:v>
      </x:c>
      <x:c r="H146" s="59" t="n">
        <x:v>0</x:v>
      </x:c>
      <x:c r="I146" s="81" t="n">
        <x:v>0</x:v>
      </x:c>
      <x:c r="J146" s="79" t="n">
        <x:v>3.6859813771429265e-22</x:v>
      </x:c>
      <x:c r="K146" s="81" t="n">
        <x:v>-1</x:v>
      </x:c>
      <x:c r="L146" s="81" t="n">
        <x:v>-1</x:v>
      </x:c>
      <x:c r="M146" s="80" t="n">
        <x:v>0.000010471910510443455</x:v>
      </x:c>
      <x:c r="N146" s="82" t="n">
        <x:v>0.2845286536499976</x:v>
      </x:c>
      <x:c r="O146" s="82" t="n">
        <x:v>0.21091079660723883</x:v>
      </x:c>
      <x:c r="P146" s="80" t="n">
        <x:v>499.25278750019424</x:v>
      </x:c>
      <x:c r="Q146" s="81" t="n">
        <x:v>379323.29913902655</x:v>
      </x:c>
      <x:c r="R146" s="81" t="n">
        <x:v>2.516360033267036</x:v>
      </x:c>
      <x:c r="S146" s="81" t="n">
        <x:v>6.170822717148769e-10</x:v>
      </x:c>
      <x:c r="T146" s="81" t="n">
        <x:v>7.984640393414873e-18</x:v>
      </x:c>
    </x:row>
    <x:row r="147">
      <x:c r="A147" s="59" t="n">
        <x:v>144</x:v>
      </x:c>
      <x:c r="B147" s="193" t="n">
        <x:v>0.7175640355795623</x:v>
      </x:c>
      <x:c r="C147" s="83" t="n">
        <x:v>2.2844974944616476</x:v>
      </x:c>
      <x:c r="D147" s="83" t="n">
        <x:v>0.6736352049460368</x:v>
      </x:c>
      <x:c r="E147" s="81" t="n">
        <x:v>-0.03449939146751236</x:v>
      </x:c>
      <x:c r="F147" s="81" t="n">
        <x:v>0.7696262989426031</x:v>
      </x:c>
      <x:c r="G147" s="81" t="n">
        <x:v>-0.01632478426601734</x:v>
      </x:c>
      <x:c r="H147" s="59" t="n">
        <x:v>0</x:v>
      </x:c>
      <x:c r="I147" s="81" t="n">
        <x:v>0</x:v>
      </x:c>
      <x:c r="J147" s="79" t="n">
        <x:v>3.047366429550469e-17</x:v>
      </x:c>
      <x:c r="K147" s="81" t="n">
        <x:v>-0.9999999999999651</x:v>
      </x:c>
      <x:c r="L147" s="81" t="n">
        <x:v>-0.9999999999999651</x:v>
      </x:c>
      <x:c r="M147" s="80" t="n">
        <x:v>0.0032078597081780466</x:v>
      </x:c>
      <x:c r="N147" s="82" t="n">
        <x:v>0.2730309576007187</x:v>
      </x:c>
      <x:c r="O147" s="82" t="n">
        <x:v>0.1985010158811458</x:v>
      </x:c>
      <x:c r="P147" s="80" t="n">
        <x:v>1239.1655359362198</x:v>
      </x:c>
      <x:c r="Q147" s="81" t="n">
        <x:v>3188.399248408244</x:v>
      </x:c>
      <x:c r="R147" s="81" t="n">
        <x:v>2.966176565470396</x:v>
      </x:c>
      <x:c r="S147" s="81" t="n">
        <x:v>2.4475526645478555e-7</x:v>
      </x:c>
      <x:c r="T147" s="81" t="n">
        <x:v>6.601260993289506e-13</x:v>
      </x:c>
    </x:row>
    <x:row r="148">
      <x:c r="A148" s="59" t="n">
        <x:v>145</x:v>
      </x:c>
      <x:c r="B148" s="193" t="n">
        <x:v>0.630154575034976</x:v>
      </x:c>
      <x:c r="C148" s="83" t="n">
        <x:v>0.7599246920156395</x:v>
      </x:c>
      <x:c r="D148" s="83" t="n">
        <x:v>0.6203461257261815</x:v>
      </x:c>
      <x:c r="E148" s="81" t="n">
        <x:v>0.09062427484182248</x:v>
      </x:c>
      <x:c r="F148" s="81" t="n">
        <x:v>0.5987013842677698</x:v>
      </x:c>
      <x:c r="G148" s="81" t="n">
        <x:v>-0.005381664756723428</x:v>
      </x:c>
      <x:c r="H148" s="59" t="n">
        <x:v>0</x:v>
      </x:c>
      <x:c r="I148" s="81" t="n">
        <x:v>0</x:v>
      </x:c>
      <x:c r="J148" s="79" t="n">
        <x:v>0.002084056417026888</x:v>
      </x:c>
      <x:c r="K148" s="81" t="n">
        <x:v>1.381778762316444</x:v>
      </x:c>
      <x:c r="L148" s="81" t="n">
        <x:v>-0.7366147251325105</x:v>
      </x:c>
      <x:c r="M148" s="80" t="n">
        <x:v>16803.171199217897</x:v>
      </x:c>
      <x:c r="N148" s="82" t="n">
        <x:v>0.2522083851716132</x:v>
      </x:c>
      <x:c r="O148" s="82" t="n">
        <x:v>0.1426398014352377</x:v>
      </x:c>
      <x:c r="P148" s="80" t="n">
        <x:v>19781.68384278944</x:v>
      </x:c>
      <x:c r="Q148" s="81" t="n">
        <x:v>0.0038057192119028576</x:v>
      </x:c>
      <x:c r="R148" s="81" t="n">
        <x:v>107.81267201830272</x:v>
      </x:c>
      <x:c r="S148" s="81" t="n">
        <x:v>53.543493176885846</x:v>
      </x:c>
      <x:c r="T148" s="81" t="n">
        <x:v>45.14521194474044</x:v>
      </x:c>
    </x:row>
    <x:row r="149">
      <x:c r="A149" s="59" t="n">
        <x:v>146</x:v>
      </x:c>
      <x:c r="B149" s="193" t="n">
        <x:v>0.5013639943674206</x:v>
      </x:c>
      <x:c r="C149" s="83" t="n">
        <x:v>0.17328120469399144</x:v>
      </x:c>
      <x:c r="D149" s="83" t="n">
        <x:v>1.1311900938178248</x:v>
      </x:c>
      <x:c r="E149" s="81" t="n">
        <x:v>0.05677713738340158</x:v>
      </x:c>
      <x:c r="F149" s="81" t="n">
        <x:v>0.8238778136787005</x:v>
      </x:c>
      <x:c r="G149" s="81" t="n">
        <x:v>-0.005603456946679406</x:v>
      </x:c>
      <x:c r="H149" s="59" t="n">
        <x:v>77</x:v>
      </x:c>
      <x:c r="I149" s="81" t="n">
        <x:v>0.24465482607483865</x:v>
      </x:c>
      <x:c r="J149" s="79" t="n">
        <x:v>0.0008486891186913101</x:v>
      </x:c>
      <x:c r="K149" s="81" t="n">
        <x:v>-0.03006957863850268</x:v>
      </x:c>
      <x:c r="L149" s="81" t="n">
        <x:v>-0.9021319847460111</x:v>
      </x:c>
      <x:c r="M149" s="80" t="n">
        <x:v>7351.372489516809</x:v>
      </x:c>
      <x:c r="N149" s="82" t="n">
        <x:v>0.22152805403321385</x:v>
      </x:c>
      <x:c r="O149" s="82" t="n">
        <x:v>0.17241001206022183</x:v>
      </x:c>
      <x:c r="P149" s="80" t="n">
        <x:v>15213.289510728537</x:v>
      </x:c>
      <x:c r="Q149" s="81" t="n">
        <x:v>0.0072392945945550635</x:v>
      </x:c>
      <x:c r="R149" s="81" t="n">
        <x:v>272.22274796454576</x:v>
      </x:c>
      <x:c r="S149" s="81" t="n">
        <x:v>93.97948635147011</x:v>
      </x:c>
      <x:c r="T149" s="81" t="n">
        <x:v>18.384459185214006</x:v>
      </x:c>
    </x:row>
    <x:row r="150">
      <x:c r="A150" s="59" t="n">
        <x:v>147</x:v>
      </x:c>
      <x:c r="B150" s="193" t="n">
        <x:v>0.9646750092506409</x:v>
      </x:c>
      <x:c r="C150" s="83" t="n">
        <x:v>1.6280715640821515</x:v>
      </x:c>
      <x:c r="D150" s="83" t="n">
        <x:v>0.5232357490368306</x:v>
      </x:c>
      <x:c r="E150" s="81" t="n">
        <x:v>0.0456741268810615</x:v>
      </x:c>
      <x:c r="F150" s="81" t="n">
        <x:v>0.7980935226776638</x:v>
      </x:c>
      <x:c r="G150" s="81" t="n">
        <x:v>0.01536918858337323</x:v>
      </x:c>
      <x:c r="H150" s="59" t="n">
        <x:v>33</x:v>
      </x:c>
      <x:c r="I150" s="81" t="n">
        <x:v>0.3670384210534394</x:v>
      </x:c>
      <x:c r="J150" s="79" t="n">
        <x:v>0.00038910917024263233</x:v>
      </x:c>
      <x:c r="K150" s="81" t="n">
        <x:v>-0.5553038054369916</x:v>
      </x:c>
      <x:c r="L150" s="81" t="n">
        <x:v>-0.8223276621556774</x:v>
      </x:c>
      <x:c r="M150" s="80" t="n">
        <x:v>9780.981464140701</x:v>
      </x:c>
      <x:c r="N150" s="82" t="n">
        <x:v>0.3318974248599263</x:v>
      </x:c>
      <x:c r="O150" s="82" t="n">
        <x:v>0.25022379744174084</x:v>
      </x:c>
      <x:c r="P150" s="80" t="n">
        <x:v>11063.96706140467</x:v>
      </x:c>
      <x:c r="Q150" s="81" t="n">
        <x:v>0.012044118346100554</x:v>
      </x:c>
      <x:c r="R150" s="81" t="n">
        <x:v>15.391847709790971</x:v>
      </x:c>
      <x:c r="S150" s="81" t="n">
        <x:v>5.505989252067271</x:v>
      </x:c>
      <x:c r="T150" s="81" t="n">
        <x:v>8.428954138058293</x:v>
      </x:c>
    </x:row>
    <x:row r="151">
      <x:c r="A151" s="59" t="n">
        <x:v>148</x:v>
      </x:c>
      <x:c r="B151" s="193" t="n">
        <x:v>0.34358637128025293</x:v>
      </x:c>
      <x:c r="C151" s="83" t="n">
        <x:v>0.42866667684661963</x:v>
      </x:c>
      <x:c r="D151" s="83" t="n">
        <x:v>0.6907973832476982</x:v>
      </x:c>
      <x:c r="E151" s="81" t="n">
        <x:v>-0.04024276849069946</x:v>
      </x:c>
      <x:c r="F151" s="81" t="n">
        <x:v>0.6607739540864714</x:v>
      </x:c>
      <x:c r="G151" s="81" t="n">
        <x:v>-0.0013239716583769818</x:v>
      </x:c>
      <x:c r="H151" s="59" t="n">
        <x:v>40</x:v>
      </x:c>
      <x:c r="I151" s="81" t="n">
        <x:v>0.31871136249974374</x:v>
      </x:c>
      <x:c r="J151" s="79" t="n">
        <x:v>3.4041755889674574e-21</x:v>
      </x:c>
      <x:c r="K151" s="81" t="n">
        <x:v>-1</x:v>
      </x:c>
      <x:c r="L151" s="81" t="n">
        <x:v>-1</x:v>
      </x:c>
      <x:c r="M151" s="80" t="n">
        <x:v>0.000014941207292613353</x:v>
      </x:c>
      <x:c r="N151" s="82" t="n">
        <x:v>0.18394246588341778</x:v>
      </x:c>
      <x:c r="O151" s="82" t="n">
        <x:v>0.1148169119128993</x:v>
      </x:c>
      <x:c r="P151" s="80" t="n">
        <x:v>463.520146945045</x:v>
      </x:c>
      <x:c r="Q151" s="81" t="n">
        <x:v>114600.2002368113</x:v>
      </x:c>
      <x:c r="R151" s="81" t="n">
        <x:v>10.60441692997682</x:v>
      </x:c>
      <x:c r="S151" s="81" t="n">
        <x:v>3.2823659619302366e-9</x:v>
      </x:c>
      <x:c r="T151" s="81" t="n">
        <x:v>7.374187531846683e-17</x:v>
      </x:c>
    </x:row>
    <x:row r="152">
      <x:c r="A152" s="59" t="n">
        <x:v>149</x:v>
      </x:c>
      <x:c r="B152" s="193" t="n">
        <x:v>0.2037730136886239</x:v>
      </x:c>
      <x:c r="C152" s="83" t="n">
        <x:v>0.3992584996562337</x:v>
      </x:c>
      <x:c r="D152" s="83" t="n">
        <x:v>0.598818660279252</x:v>
      </x:c>
      <x:c r="E152" s="81" t="n">
        <x:v>-0.03636133204870432</x:v>
      </x:c>
      <x:c r="F152" s="81" t="n">
        <x:v>0.6534297471749597</x:v>
      </x:c>
      <x:c r="G152" s="81" t="n">
        <x:v>-0.0035629456781929338</x:v>
      </x:c>
      <x:c r="H152" s="59" t="n">
        <x:v>0</x:v>
      </x:c>
      <x:c r="I152" s="81" t="n">
        <x:v>0</x:v>
      </x:c>
      <x:c r="J152" s="79" t="n">
        <x:v>1.8436553173797908e-17</x:v>
      </x:c>
      <x:c r="K152" s="81" t="n">
        <x:v>-0.9999999999999789</x:v>
      </x:c>
      <x:c r="L152" s="81" t="n">
        <x:v>-0.9999999999999789</x:v>
      </x:c>
      <x:c r="M152" s="80" t="n">
        <x:v>0.0010637481469229306</x:v>
      </x:c>
      <x:c r="N152" s="82" t="n">
        <x:v>0.15063630260463692</x:v>
      </x:c>
      <x:c r="O152" s="82" t="n">
        <x:v>0.09298213005057851</x:v>
      </x:c>
      <x:c r="P152" s="80" t="n">
        <x:v>485.06501070502526</x:v>
      </x:c>
      <x:c r="Q152" s="81" t="n">
        <x:v>1661.0930113839677</x:v>
      </x:c>
      <x:c r="R152" s="81" t="n">
        <x:v>13.737980695534528</x:v>
      </x:c>
      <x:c r="S152" s="81" t="n">
        <x:v>1.9880156922154097e-7</x:v>
      </x:c>
      <x:c r="T152" s="81" t="n">
        <x:v>3.993759927809311e-13</x:v>
      </x:c>
    </x:row>
    <x:row r="153">
      <x:c r="A153" s="59" t="n">
        <x:v>150</x:v>
      </x:c>
      <x:c r="B153" s="193" t="n">
        <x:v>0.8261369759216906</x:v>
      </x:c>
      <x:c r="C153" s="83" t="n">
        <x:v>0.2038149931440726</x:v>
      </x:c>
      <x:c r="D153" s="83" t="n">
        <x:v>2.267740392775453</x:v>
      </x:c>
      <x:c r="E153" s="81" t="n">
        <x:v>0.0030065230706751893</x:v>
      </x:c>
      <x:c r="F153" s="81" t="n">
        <x:v>0.6568759523448535</x:v>
      </x:c>
      <x:c r="G153" s="81" t="n">
        <x:v>-0.017639913142050524</x:v>
      </x:c>
      <x:c r="H153" s="59" t="n">
        <x:v>22</x:v>
      </x:c>
      <x:c r="I153" s="81" t="n">
        <x:v>0.27941344808787105</x:v>
      </x:c>
      <x:c r="J153" s="79" t="n">
        <x:v>0.000005491938980543441</x:v>
      </x:c>
      <x:c r="K153" s="81" t="n">
        <x:v>-0.9937234983079504</x:v>
      </x:c>
      <x:c r="L153" s="81" t="n">
        <x:v>-0.9937234983079504</x:v>
      </x:c>
      <x:c r="M153" s="80" t="n">
        <x:v>493.2345292474132</x:v>
      </x:c>
      <x:c r="N153" s="82" t="n">
        <x:v>0.2988950677328452</x:v>
      </x:c>
      <x:c r="O153" s="82" t="n">
        <x:v>0.1854697358261157</x:v>
      </x:c>
      <x:c r="P153" s="80" t="n">
        <x:v>4375.197978167353</x:v>
      </x:c>
      <x:c r="Q153" s="81" t="n">
        <x:v>0.09981106788103439</x:v>
      </x:c>
      <x:c r="R153" s="81" t="n">
        <x:v>44.97970868012002</x:v>
      </x:c>
      <x:c r="S153" s="81" t="n">
        <x:v>0.8290719555834084</x:v>
      </x:c>
      <x:c r="T153" s="81" t="n">
        <x:v>0.11896738842507859</x:v>
      </x:c>
    </x:row>
    <x:row r="154">
      <x:c r="A154" s="59" t="n">
        <x:v>151</x:v>
      </x:c>
      <x:c r="B154" s="193" t="n">
        <x:v>0.7537267630919815</x:v>
      </x:c>
      <x:c r="C154" s="83" t="n">
        <x:v>1.3149042233759631</x:v>
      </x:c>
      <x:c r="D154" s="83" t="n">
        <x:v>0.3153205616677181</x:v>
      </x:c>
      <x:c r="E154" s="81" t="n">
        <x:v>0.056394639354961605</x:v>
      </x:c>
      <x:c r="F154" s="81" t="n">
        <x:v>0.7310674659674987</x:v>
      </x:c>
      <x:c r="G154" s="81" t="n">
        <x:v>0.02902612866281781</x:v>
      </x:c>
      <x:c r="H154" s="59" t="n">
        <x:v>58</x:v>
      </x:c>
      <x:c r="I154" s="81" t="n">
        <x:v>0.44906029179692275</x:v>
      </x:c>
      <x:c r="J154" s="79" t="n">
        <x:v>0.000364371279304774</x:v>
      </x:c>
      <x:c r="K154" s="81" t="n">
        <x:v>-0.5835756807945439</x:v>
      </x:c>
      <x:c r="L154" s="81" t="n">
        <x:v>-0.8468833324164096</x:v>
      </x:c>
      <x:c r="M154" s="80" t="n">
        <x:v>8174.314641633716</x:v>
      </x:c>
      <x:c r="N154" s="82" t="n">
        <x:v>0.2816455973453181</x:v>
      </x:c>
      <x:c r="O154" s="82" t="n">
        <x:v>0.19450526694787387</x:v>
      </x:c>
      <x:c r="P154" s="80" t="n">
        <x:v>5926.26677318973</x:v>
      </x:c>
      <x:c r="Q154" s="81" t="n">
        <x:v>0.0076139206914976046</x:v>
      </x:c>
      <x:c r="R154" s="81" t="n">
        <x:v>16.00723237160376</x:v>
      </x:c>
      <x:c r="S154" s="81" t="n">
        <x:v>5.870266784697277</x:v>
      </x:c>
      <x:c r="T154" s="81" t="n">
        <x:v>7.893077412106359</x:v>
      </x:c>
    </x:row>
    <x:row r="155">
      <x:c r="A155" s="59" t="n">
        <x:v>152</x:v>
      </x:c>
      <x:c r="B155" s="193" t="n">
        <x:v>0.94631685949862</x:v>
      </x:c>
      <x:c r="C155" s="83" t="n">
        <x:v>0.23666995232549443</x:v>
      </x:c>
      <x:c r="D155" s="83" t="n">
        <x:v>0.7088781373795059</x:v>
      </x:c>
      <x:c r="E155" s="81" t="n">
        <x:v>0.008085627193587607</x:v>
      </x:c>
      <x:c r="F155" s="81" t="n">
        <x:v>0.6249723741551861</x:v>
      </x:c>
      <x:c r="G155" s="81" t="n">
        <x:v>0.01669856277222497</x:v>
      </x:c>
      <x:c r="H155" s="59" t="n">
        <x:v>0</x:v>
      </x:c>
      <x:c r="I155" s="81" t="n">
        <x:v>0</x:v>
      </x:c>
      <x:c r="J155" s="79" t="n">
        <x:v>0.0000072964668742953556</x:v>
      </x:c>
      <x:c r="K155" s="81" t="n">
        <x:v>-0.991661180715091</x:v>
      </x:c>
      <x:c r="L155" s="81" t="n">
        <x:v>-0.9928228260298327</x:v>
      </x:c>
      <x:c r="M155" s="80" t="n">
        <x:v>584.4063225869867</x:v>
      </x:c>
      <x:c r="N155" s="82" t="n">
        <x:v>0.3275241693736868</x:v>
      </x:c>
      <x:c r="O155" s="82" t="n">
        <x:v>0.19336377506819447</x:v>
      </x:c>
      <x:c r="P155" s="80" t="n">
        <x:v>1659.0745190403163</x:v>
      </x:c>
      <x:c r="Q155" s="81" t="n">
        <x:v>0.04018979522861887</x:v>
      </x:c>
      <x:c r="R155" s="81" t="n">
        <x:v>37.33352117605091</x:v>
      </x:c>
      <x:c r="S155" s="81" t="n">
        <x:v>0.753058556587287</x:v>
      </x:c>
      <x:c r="T155" s="81" t="n">
        <x:v>0.15805740228365023</x:v>
      </x:c>
    </x:row>
    <x:row r="156">
      <x:c r="A156" s="59" t="n">
        <x:v>153</x:v>
      </x:c>
      <x:c r="B156" s="193" t="n">
        <x:v>0.932910817116499</x:v>
      </x:c>
      <x:c r="C156" s="83" t="n">
        <x:v>0.47416341176293486</x:v>
      </x:c>
      <x:c r="D156" s="83" t="n">
        <x:v>1.430764314934482</x:v>
      </x:c>
      <x:c r="E156" s="81" t="n">
        <x:v>0.04218210320709837</x:v>
      </x:c>
      <x:c r="F156" s="81" t="n">
        <x:v>0.7022793811745942</x:v>
      </x:c>
      <x:c r="G156" s="81" t="n">
        <x:v>-0.024522052791969527</x:v>
      </x:c>
      <x:c r="H156" s="59" t="n">
        <x:v>83</x:v>
      </x:c>
      <x:c r="I156" s="81" t="n">
        <x:v>0.34385202415287497</x:v>
      </x:c>
      <x:c r="J156" s="79" t="n">
        <x:v>0.00047469322580497936</x:v>
      </x:c>
      <x:c r="K156" s="81" t="n">
        <x:v>-0.4574934562228806</x:v>
      </x:c>
      <x:c r="L156" s="81" t="n">
        <x:v>-0.9109070145825535</x:v>
      </x:c>
      <x:c r="M156" s="80" t="n">
        <x:v>6673.26503688121</x:v>
      </x:c>
      <x:c r="N156" s="82" t="n">
        <x:v>0.32433059871497083</x:v>
      </x:c>
      <x:c r="O156" s="82" t="n">
        <x:v>0.2151635907616543</x:v>
      </x:c>
      <x:c r="P156" s="80" t="n">
        <x:v>18071.312799527856</x:v>
      </x:c>
      <x:c r="Q156" s="81" t="n">
        <x:v>0.011760819241035137</x:v>
      </x:c>
      <x:c r="R156" s="81" t="n">
        <x:v>94.18342386321177</x:v>
      </x:c>
      <x:c r="S156" s="81" t="n">
        <x:v>20.764933290638076</x:v>
      </x:c>
      <x:c r="T156" s="81" t="n">
        <x:v>10.282891630290178</x:v>
      </x:c>
    </x:row>
    <x:row r="157">
      <x:c r="A157" s="59" t="n">
        <x:v>154</x:v>
      </x:c>
      <x:c r="B157" s="193" t="n">
        <x:v>0.31442533116787674</x:v>
      </x:c>
      <x:c r="C157" s="83" t="n">
        <x:v>0.15593466374321527</x:v>
      </x:c>
      <x:c r="D157" s="83" t="n">
        <x:v>1.0905569590868187</x:v>
      </x:c>
      <x:c r="E157" s="81" t="n">
        <x:v>0.004170454993601023</x:v>
      </x:c>
      <x:c r="F157" s="81" t="n">
        <x:v>0.6986268783570267</x:v>
      </x:c>
      <x:c r="G157" s="81" t="n">
        <x:v>-0.05</x:v>
      </x:c>
      <x:c r="H157" s="59" t="n">
        <x:v>0</x:v>
      </x:c>
      <x:c r="I157" s="81" t="n">
        <x:v>0</x:v>
      </x:c>
      <x:c r="J157" s="79" t="n">
        <x:v>0.000003963117604586782</x:v>
      </x:c>
      <x:c r="K157" s="81" t="n">
        <x:v>-0.995470722737615</x:v>
      </x:c>
      <x:c r="L157" s="81" t="n">
        <x:v>-0.995470722737615</x:v>
      </x:c>
      <x:c r="M157" s="80" t="n">
        <x:v>397.8776306935606</x:v>
      </x:c>
      <x:c r="N157" s="82" t="n">
        <x:v>0.1769957593591476</x:v>
      </x:c>
      <x:c r="O157" s="82" t="n">
        <x:v>0.11680974970952096</x:v>
      </x:c>
      <x:c r="P157" s="80" t="n">
        <x:v>2128.0200899356523</x:v>
      </x:c>
      <x:c r="Q157" s="81" t="n">
        <x:v>0.03438408746333519</x:v>
      </x:c>
      <x:c r="R157" s="81" t="n">
        <x:v>70.63195371906637</x:v>
      </x:c>
      <x:c r="S157" s="81" t="n">
        <x:v>0.5605725521132718</x:v>
      </x:c>
      <x:c r="T157" s="81" t="n">
        <x:v>0.08584977966970937</x:v>
      </x:c>
    </x:row>
    <x:row r="158">
      <x:c r="A158" s="59" t="n">
        <x:v>155</x:v>
      </x:c>
      <x:c r="B158" s="193" t="n">
        <x:v>0.22745480556041003</x:v>
      </x:c>
      <x:c r="C158" s="83" t="n">
        <x:v>0.1693012422291581</x:v>
      </x:c>
      <x:c r="D158" s="83" t="n">
        <x:v>1.256965160263288</x:v>
      </x:c>
      <x:c r="E158" s="81" t="n">
        <x:v>0.020293707953698267</x:v>
      </x:c>
      <x:c r="F158" s="81" t="n">
        <x:v>0.6130201852996834</x:v>
      </x:c>
      <x:c r="G158" s="81" t="n">
        <x:v>0.0009757129164711748</x:v>
      </x:c>
      <x:c r="H158" s="59" t="n">
        <x:v>0</x:v>
      </x:c>
      <x:c r="I158" s="81" t="n">
        <x:v>0</x:v>
      </x:c>
      <x:c r="J158" s="79" t="n">
        <x:v>0.0004835807493001305</x:v>
      </x:c>
      <x:c r="K158" s="81" t="n">
        <x:v>-0.4473362865141365</x:v>
      </x:c>
      <x:c r="L158" s="81" t="n">
        <x:v>-0.7736268800608873</x:v>
      </x:c>
      <x:c r="M158" s="80" t="n">
        <x:v>4838.880315379408</x:v>
      </x:c>
      <x:c r="N158" s="82" t="n">
        <x:v>0.1562777494620939</x:v>
      </x:c>
      <x:c r="O158" s="82" t="n">
        <x:v>0.09049880931350858</x:v>
      </x:c>
      <x:c r="P158" s="80" t="n">
        <x:v>12718.237020350554</x:v>
      </x:c>
      <x:c r="Q158" s="81" t="n">
        <x:v>0.00948597177943273</x:v>
      </x:c>
      <x:c r="R158" s="81" t="n">
        <x:v>172.86652949583694</x:v>
      </x:c>
      <x:c r="S158" s="81" t="n">
        <x:v>55.381762914381156</x:v>
      </x:c>
      <x:c r="T158" s="81" t="n">
        <x:v>10.475414792606893</x:v>
      </x:c>
    </x:row>
    <x:row r="159">
      <x:c r="A159" s="59" t="n">
        <x:v>156</x:v>
      </x:c>
      <x:c r="B159" s="193" t="n">
        <x:v>0.7197651663795115</x:v>
      </x:c>
      <x:c r="C159" s="83" t="n">
        <x:v>0.3903898445617477</x:v>
      </x:c>
      <x:c r="D159" s="83" t="n">
        <x:v>1.4136640631889064</x:v>
      </x:c>
      <x:c r="E159" s="81" t="n">
        <x:v>-0.07274835861960553</x:v>
      </x:c>
      <x:c r="F159" s="81" t="n">
        <x:v>0.35041331879328935</x:v>
      </x:c>
      <x:c r="G159" s="81" t="n">
        <x:v>-0.0013669614212212253</x:v>
      </x:c>
      <x:c r="H159" s="59" t="n">
        <x:v>0</x:v>
      </x:c>
      <x:c r="I159" s="81" t="n">
        <x:v>0</x:v>
      </x:c>
      <x:c r="J159" s="79" t="n">
        <x:v>1.1024065989771182e-42</x:v>
      </x:c>
      <x:c r="K159" s="81" t="n">
        <x:v>-1</x:v>
      </x:c>
      <x:c r="L159" s="81" t="n">
        <x:v>-1</x:v>
      </x:c>
      <x:c r="M159" s="80" t="n">
        <x:v>0.000002</x:v>
      </x:c>
      <x:c r="N159" s="82" t="n">
        <x:v>0.273555308228469</x:v>
      </x:c>
      <x:c r="O159" s="82" t="n">
        <x:v>0.09055171774119873</x:v>
      </x:c>
      <x:c r="P159" s="80" t="n">
        <x:v>336.8408626677789</x:v>
      </x:c>
      <x:c r="Q159" s="81" t="n">
        <x:v>2.7022632593555953e+25</x:v>
      </x:c>
      <x:c r="R159" s="81" t="n">
        <x:v>4.055266049594446</x:v>
      </x:c>
      <x:c r="S159" s="81" t="n">
        <x:v>8.759632500268747e-10</x:v>
      </x:c>
      <x:c r="T159" s="81" t="n">
        <x:v>2.388053372907341e-38</x:v>
      </x:c>
    </x:row>
    <x:row r="160">
      <x:c r="A160" s="59" t="n">
        <x:v>157</x:v>
      </x:c>
      <x:c r="B160" s="193" t="n">
        <x:v>0.6670959077775478</x:v>
      </x:c>
      <x:c r="C160" s="83" t="n">
        <x:v>2.0735551396016203</x:v>
      </x:c>
      <x:c r="D160" s="83" t="n">
        <x:v>0.7694815618318778</x:v>
      </x:c>
      <x:c r="E160" s="81" t="n">
        <x:v>-0.006852096185151768</x:v>
      </x:c>
      <x:c r="F160" s="81" t="n">
        <x:v>0.27488835535477846</x:v>
      </x:c>
      <x:c r="G160" s="81" t="n">
        <x:v>-0.035207578510541425</x:v>
      </x:c>
      <x:c r="H160" s="59" t="n">
        <x:v>26</x:v>
      </x:c>
      <x:c r="I160" s="81" t="n">
        <x:v>0.4342670341953635</x:v>
      </x:c>
      <x:c r="J160" s="79" t="n">
        <x:v>1.79730479758162e-7</x:v>
      </x:c>
      <x:c r="K160" s="81" t="n">
        <x:v>-0.9997945937374192</x:v>
      </x:c>
      <x:c r="L160" s="81" t="n">
        <x:v>-0.9997945937374192</x:v>
      </x:c>
      <x:c r="M160" s="80" t="n">
        <x:v>223.05114242675467</x:v>
      </x:c>
      <x:c r="N160" s="82" t="n">
        <x:v>0.2610085032808829</x:v>
      </x:c>
      <x:c r="O160" s="82" t="n">
        <x:v>0.06777693744965577</x:v>
      </x:c>
      <x:c r="P160" s="80" t="n">
        <x:v>3808.0311649955047</x:v>
      </x:c>
      <x:c r="Q160" s="81" t="n">
        <x:v>0.16092275205124568</x:v>
      </x:c>
      <x:c r="R160" s="81" t="n">
        <x:v>6.855641634591616</x:v>
      </x:c>
      <x:c r="S160" s="81" t="n">
        <x:v>0.017539660559738657</x:v>
      </x:c>
      <x:c r="T160" s="81" t="n">
        <x:v>0.0038933545825920986</x:v>
      </x:c>
    </x:row>
    <x:row r="161">
      <x:c r="A161" s="59" t="n">
        <x:v>158</x:v>
      </x:c>
      <x:c r="B161" s="193" t="n">
        <x:v>0.26672935336828235</x:v>
      </x:c>
      <x:c r="C161" s="83" t="n">
        <x:v>0.32487690256290147</x:v>
      </x:c>
      <x:c r="D161" s="83" t="n">
        <x:v>0.6537941562137782</x:v>
      </x:c>
      <x:c r="E161" s="81" t="n">
        <x:v>-0.05653334421467505</x:v>
      </x:c>
      <x:c r="F161" s="81" t="n">
        <x:v>0.8648629377596081</x:v>
      </x:c>
      <x:c r="G161" s="81" t="n">
        <x:v>-0.009107685207477177</x:v>
      </x:c>
      <x:c r="H161" s="59" t="n">
        <x:v>62</x:v>
      </x:c>
      <x:c r="I161" s="81" t="n">
        <x:v>0.22919842265546322</x:v>
      </x:c>
      <x:c r="J161" s="79" t="n">
        <x:v>3.435524927888777e-24</x:v>
      </x:c>
      <x:c r="K161" s="81" t="n">
        <x:v>-1</x:v>
      </x:c>
      <x:c r="L161" s="81" t="n">
        <x:v>-1</x:v>
      </x:c>
      <x:c r="M161" s="80" t="n">
        <x:v>0.000002</x:v>
      </x:c>
      <x:c r="N161" s="82" t="n">
        <x:v>0.16563368314770047</x:v>
      </x:c>
      <x:c r="O161" s="82" t="n">
        <x:v>0.13532152632048072</x:v>
      </x:c>
      <x:c r="P161" s="80" t="n">
        <x:v>320.3244850288792</x:v>
      </x:c>
      <x:c r="Q161" s="81" t="n">
        <x:v>10989558.062979061</x:v>
      </x:c>
      <x:c r="R161" s="81" t="n">
        <x:v>10.656818435897115</x:v>
      </x:c>
      <x:c r="S161" s="81" t="n">
        <x:v>3.867451504170545e-10</x:v>
      </x:c>
      <x:c r="T161" s="81" t="n">
        <x:v>7.442097044198056e-20</x:v>
      </x:c>
    </x:row>
    <x:row r="162">
      <x:c r="A162" s="59" t="n">
        <x:v>159</x:v>
      </x:c>
      <x:c r="B162" s="193" t="n">
        <x:v>0.6294670114293694</x:v>
      </x:c>
      <x:c r="C162" s="83" t="n">
        <x:v>0.14456505737334333</x:v>
      </x:c>
      <x:c r="D162" s="83" t="n">
        <x:v>0.5220822141731208</x:v>
      </x:c>
      <x:c r="E162" s="81" t="n">
        <x:v>-0.05289646160132783</x:v>
      </x:c>
      <x:c r="F162" s="81" t="n">
        <x:v>0.5298096226644702</x:v>
      </x:c>
      <x:c r="G162" s="81" t="n">
        <x:v>-0.006580941216300141</x:v>
      </x:c>
      <x:c r="H162" s="59" t="n">
        <x:v>7</x:v>
      </x:c>
      <x:c r="I162" s="81" t="n">
        <x:v>0.30452480940148235</x:v>
      </x:c>
      <x:c r="J162" s="79" t="n">
        <x:v>7.545642276695756e-21</x:v>
      </x:c>
      <x:c r="K162" s="81" t="n">
        <x:v>-1</x:v>
      </x:c>
      <x:c r="L162" s="81" t="n">
        <x:v>-1</x:v>
      </x:c>
      <x:c r="M162" s="80" t="n">
        <x:v>0.000017798241042790323</x:v>
      </x:c>
      <x:c r="N162" s="82" t="n">
        <x:v>0.2520445946289404</x:v>
      </x:c>
      <x:c r="O162" s="82" t="n">
        <x:v>0.1261444570190473</x:v>
      </x:c>
      <x:c r="P162" s="80" t="n">
        <x:v>232.86533819749303</x:v>
      </x:c>
      <x:c r="Q162" s="81" t="n">
        <x:v>47424.70936607558</x:v>
      </x:c>
      <x:c r="R162" s="81" t="n">
        <x:v>22.83220505356171</x:v>
      </x:c>
      <x:c r="S162" s="81" t="n">
        <x:v>3.4469974689808534e-9</x:v>
      </x:c>
      <x:c r="T162" s="81" t="n">
        <x:v>1.6345508550416019e-16</x:v>
      </x:c>
    </x:row>
    <x:row r="163">
      <x:c r="A163" s="59" t="n">
        <x:v>160</x:v>
      </x:c>
      <x:c r="B163" s="193" t="n">
        <x:v>0.8327068205922843</x:v>
      </x:c>
      <x:c r="C163" s="83" t="n">
        <x:v>0.8335498066985035</x:v>
      </x:c>
      <x:c r="D163" s="83" t="n">
        <x:v>0.7201564659914675</x:v>
      </x:c>
      <x:c r="E163" s="81" t="n">
        <x:v>-0.04743303623065949</x:v>
      </x:c>
      <x:c r="F163" s="81" t="n">
        <x:v>0.8240448617725633</x:v>
      </x:c>
      <x:c r="G163" s="81" t="n">
        <x:v>-0.0018552212374336775</x:v>
      </x:c>
      <x:c r="H163" s="59" t="n">
        <x:v>0</x:v>
      </x:c>
      <x:c r="I163" s="81" t="n">
        <x:v>0</x:v>
      </x:c>
      <x:c r="J163" s="79" t="n">
        <x:v>4.893857137433461e-24</x:v>
      </x:c>
      <x:c r="K163" s="81" t="n">
        <x:v>-1</x:v>
      </x:c>
      <x:c r="L163" s="81" t="n">
        <x:v>-1</x:v>
      </x:c>
      <x:c r="M163" s="80" t="n">
        <x:v>0.000002</x:v>
      </x:c>
      <x:c r="N163" s="82" t="n">
        <x:v>0.30046012791796833</x:v>
      </x:c>
      <x:c r="O163" s="82" t="n">
        <x:v>0.23388837977712343</x:v>
      </x:c>
      <x:c r="P163" s="80" t="n">
        <x:v>497.7835117657781</x:v>
      </x:c>
      <x:c r="Q163" s="81" t="n">
        <x:v>9115675.480245573</x:v>
      </x:c>
      <x:c r="R163" s="81" t="n">
        <x:v>4.5559381125954035</x:v>
      </x:c>
      <x:c r="S163" s="81" t="n">
        <x:v>3.363770217254308e-10</x:v>
      </x:c>
      <x:c r="T163" s="81" t="n">
        <x:v>1.0601162995956645e-19</x:v>
      </x:c>
    </x:row>
    <x:row r="164">
      <x:c r="A164" s="59" t="n">
        <x:v>161</x:v>
      </x:c>
      <x:c r="B164" s="193" t="n">
        <x:v>0.6276166042312981</x:v>
      </x:c>
      <x:c r="C164" s="83" t="n">
        <x:v>2.3590836234080523</x:v>
      </x:c>
      <x:c r="D164" s="83" t="n">
        <x:v>0.7053525892761929</x:v>
      </x:c>
      <x:c r="E164" s="81" t="n">
        <x:v>0.09639415200407905</x:v>
      </x:c>
      <x:c r="F164" s="81" t="n">
        <x:v>0.6334980016108602</x:v>
      </x:c>
      <x:c r="G164" s="81" t="n">
        <x:v>0.01900996924131061</x:v>
      </x:c>
      <x:c r="H164" s="59" t="n">
        <x:v>0</x:v>
      </x:c>
      <x:c r="I164" s="81" t="n">
        <x:v>0</x:v>
      </x:c>
      <x:c r="J164" s="79" t="n">
        <x:v>0.018413752268902246</x:v>
      </x:c>
      <x:c r="K164" s="81" t="n">
        <x:v>20.044288307316855</x:v>
      </x:c>
      <x:c r="L164" s="81" t="n">
        <x:v>-0.640833483346837</x:v>
      </x:c>
      <x:c r="M164" s="80" t="n">
        <x:v>102470.11611426441</x:v>
      </x:c>
      <x:c r="N164" s="82" t="n">
        <x:v>0.2516037929392245</x:v>
      </x:c>
      <x:c r="O164" s="82" t="n">
        <x:v>0.15056824033484667</x:v>
      </x:c>
      <x:c r="P164" s="80" t="n">
        <x:v>129002.70886565938</x:v>
      </x:c>
      <x:c r="Q164" s="81" t="n">
        <x:v>0.0040444367394313835</x:v>
      </x:c>
      <x:c r="R164" s="81" t="n">
        <x:v>108.37231273980325</x:v>
      </x:c>
      <x:c r="S164" s="81" t="n">
        <x:v>157.70769174152989</x:v>
      </x:c>
      <x:c r="T164" s="81" t="n">
        <x:v>398.88207540151814</x:v>
      </x:c>
    </x:row>
    <x:row r="165">
      <x:c r="A165" s="59" t="n">
        <x:v>162</x:v>
      </x:c>
      <x:c r="B165" s="193" t="n">
        <x:v>0.9584466917440295</x:v>
      </x:c>
      <x:c r="C165" s="83" t="n">
        <x:v>0.9254350596594523</x:v>
      </x:c>
      <x:c r="D165" s="83" t="n">
        <x:v>0.7080642789761551</x:v>
      </x:c>
      <x:c r="E165" s="81" t="n">
        <x:v>0.14457710702736778</x:v>
      </x:c>
      <x:c r="F165" s="81" t="n">
        <x:v>0.318607087736018</x:v>
      </x:c>
      <x:c r="G165" s="81" t="n">
        <x:v>0.0024737658974427943</x:v>
      </x:c>
      <x:c r="H165" s="59" t="n">
        <x:v>0</x:v>
      </x:c>
      <x:c r="I165" s="81" t="n">
        <x:v>0</x:v>
      </x:c>
      <x:c r="J165" s="79" t="n">
        <x:v>0.023636619802532843</x:v>
      </x:c>
      <x:c r="K165" s="81" t="n">
        <x:v>26.01327977432325</x:v>
      </x:c>
      <x:c r="L165" s="81" t="n">
        <x:v>-0.7254355026093062</x:v>
      </x:c>
      <x:c r="M165" s="80" t="n">
        <x:v>72538.78544506634</x:v>
      </x:c>
      <x:c r="N165" s="82" t="n">
        <x:v>0.33041372284889825</x:v>
      </x:c>
      <x:c r="O165" s="82" t="n">
        <x:v>0.09944534322502571</x:v>
      </x:c>
      <x:c r="P165" s="80" t="n">
        <x:v>85754.71998405506</x:v>
      </x:c>
      <x:c r="Q165" s="81" t="n">
        <x:v>0.00189379334868304</x:v>
      </x:c>
      <x:c r="R165" s="81" t="n">
        <x:v>520.7101988903277</x:v>
      </x:c>
      <x:c r="S165" s="81" t="n">
        <x:v>487.6670428719979</x:v>
      </x:c>
      <x:c r="T165" s="81" t="n">
        <x:v>512.0207888445213</x:v>
      </x:c>
    </x:row>
    <x:row r="166">
      <x:c r="A166" s="59" t="n">
        <x:v>163</x:v>
      </x:c>
      <x:c r="B166" s="193" t="n">
        <x:v>0.473579122312367</x:v>
      </x:c>
      <x:c r="C166" s="83" t="n">
        <x:v>1.0159386240525723</x:v>
      </x:c>
      <x:c r="D166" s="83" t="n">
        <x:v>0.219467642270809</x:v>
      </x:c>
      <x:c r="E166" s="81" t="n">
        <x:v>0.005478771363698615</x:v>
      </x:c>
      <x:c r="F166" s="81" t="n">
        <x:v>0.34798457628348844</x:v>
      </x:c>
      <x:c r="G166" s="81" t="n">
        <x:v>-0.033442860695702646</x:v>
      </x:c>
      <x:c r="H166" s="59" t="n">
        <x:v>0</x:v>
      </x:c>
      <x:c r="I166" s="81" t="n">
        <x:v>0</x:v>
      </x:c>
      <x:c r="J166" s="79" t="n">
        <x:v>0.000009813630679078395</x:v>
      </x:c>
      <x:c r="K166" s="81" t="n">
        <x:v>-0.9887844220810532</x:v>
      </x:c>
      <x:c r="L166" s="81" t="n">
        <x:v>-0.9887844220810532</x:v>
      </x:c>
      <x:c r="M166" s="80" t="n">
        <x:v>1079.2776716475055</x:v>
      </x:c>
      <x:c r="N166" s="82" t="n">
        <x:v>0.21490917654334926</x:v>
      </x:c>
      <x:c r="O166" s="82" t="n">
        <x:v>0.07064572673571497</x:v>
      </x:c>
      <x:c r="P166" s="80" t="n">
        <x:v>1215.9568618866933</x:v>
      </x:c>
      <x:c r="Q166" s="81" t="n">
        <x:v>0.008095125838770128</x:v>
      </x:c>
      <x:c r="R166" s="81" t="n">
        <x:v>14.794213454946286</x:v>
      </x:c>
      <x:c r="S166" s="81" t="n">
        <x:v>0.21384488075641764</x:v>
      </x:c>
      <x:c r="T166" s="81" t="n">
        <x:v>0.2125846658155441</x:v>
      </x:c>
    </x:row>
    <x:row r="167">
      <x:c r="A167" s="59" t="n">
        <x:v>164</x:v>
      </x:c>
      <x:c r="B167" s="193" t="n">
        <x:v>0.27077139150351287</x:v>
      </x:c>
      <x:c r="C167" s="83" t="n">
        <x:v>0.6361332259025465</x:v>
      </x:c>
      <x:c r="D167" s="83" t="n">
        <x:v>0.5380366512999414</x:v>
      </x:c>
      <x:c r="E167" s="81" t="n">
        <x:v>-0.03642518261312796</x:v>
      </x:c>
      <x:c r="F167" s="81" t="n">
        <x:v>0.32099201295059177</x:v>
      </x:c>
      <x:c r="G167" s="81" t="n">
        <x:v>-0.011455913136400946</x:v>
      </x:c>
      <x:c r="H167" s="59" t="n">
        <x:v>0</x:v>
      </x:c>
      <x:c r="I167" s="81" t="n">
        <x:v>0</x:v>
      </x:c>
      <x:c r="J167" s="79" t="n">
        <x:v>2.0025162199379623e-15</x:v>
      </x:c>
      <x:c r="K167" s="81" t="n">
        <x:v>-0.9999999999977114</x:v>
      </x:c>
      <x:c r="L167" s="81" t="n">
        <x:v>-0.9999999999977114</x:v>
      </x:c>
      <x:c r="M167" s="80" t="n">
        <x:v>0.01287555138213951</x:v>
      </x:c>
      <x:c r="N167" s="82" t="n">
        <x:v>0.1665965724197275</x:v>
      </x:c>
      <x:c r="O167" s="82" t="n">
        <x:v>0.05051626467547927</x:v>
      </x:c>
      <x:c r="P167" s="80" t="n">
        <x:v>616.3681020198849</x:v>
      </x:c>
      <x:c r="Q167" s="81" t="n">
        <x:v>184.79229862276586</x:v>
      </x:c>
      <x:c r="R167" s="81" t="n">
        <x:v>10.691907372937232</x:v>
      </x:c>
      <x:c r="S167" s="81" t="n">
        <x:v>0.0000016663776550739508</x:v>
      </x:c>
      <x:c r="T167" s="81" t="n">
        <x:v>4.3378873255672227e-11</x:v>
      </x:c>
    </x:row>
    <x:row r="168">
      <x:c r="A168" s="59" t="n">
        <x:v>165</x:v>
      </x:c>
      <x:c r="B168" s="193" t="n">
        <x:v>0.767258426360786</x:v>
      </x:c>
      <x:c r="C168" s="83" t="n">
        <x:v>0.9482885028924003</x:v>
      </x:c>
      <x:c r="D168" s="83" t="n">
        <x:v>0.31451898239288495</x:v>
      </x:c>
      <x:c r="E168" s="81" t="n">
        <x:v>0.0021025279113162897</x:v>
      </x:c>
      <x:c r="F168" s="81" t="n">
        <x:v>0.713238824205473</x:v>
      </x:c>
      <x:c r="G168" s="81" t="n">
        <x:v>-0.014319720236190278</x:v>
      </x:c>
      <x:c r="H168" s="59" t="n">
        <x:v>0</x:v>
      </x:c>
      <x:c r="I168" s="81" t="n">
        <x:v>0</x:v>
      </x:c>
      <x:c r="J168" s="79" t="n">
        <x:v>0.0000010800973906136384</x:v>
      </x:c>
      <x:c r="K168" s="81" t="n">
        <x:v>-0.9987656029821559</x:v>
      </x:c>
      <x:c r="L168" s="81" t="n">
        <x:v>-0.9987656029821559</x:v>
      </x:c>
      <x:c r="M168" s="80" t="n">
        <x:v>346.60223443140785</x:v>
      </x:c>
      <x:c r="N168" s="82" t="n">
        <x:v>0.28486909325463355</x:v>
      </x:c>
      <x:c r="O168" s="82" t="n">
        <x:v>0.19193370660859813</x:v>
      </x:c>
      <x:c r="P168" s="80" t="n">
        <x:v>944.0799688348519</x:v>
      </x:c>
      <x:c r="Q168" s="81" t="n">
        <x:v>0.03580779681911654</x:v>
      </x:c>
      <x:c r="R168" s="81" t="n">
        <x:v>10.516996500879971</x:v>
      </x:c>
      <x:c r="S168" s="81" t="n">
        <x:v>0.041878826761940054</x:v>
      </x:c>
      <x:c r="T168" s="81" t="n">
        <x:v>0.023397267570028885</x:v>
      </x:c>
    </x:row>
    <x:row r="169">
      <x:c r="A169" s="59" t="n">
        <x:v>166</x:v>
      </x:c>
      <x:c r="B169" s="193" t="n">
        <x:v>0.8373781360685826</x:v>
      </x:c>
      <x:c r="C169" s="83" t="n">
        <x:v>0.23248264680991723</x:v>
      </x:c>
      <x:c r="D169" s="83" t="n">
        <x:v>0.43888203189854347</x:v>
      </x:c>
      <x:c r="E169" s="81" t="n">
        <x:v>0.05582037511895996</x:v>
      </x:c>
      <x:c r="F169" s="81" t="n">
        <x:v>0.34294046947034074</x:v>
      </x:c>
      <x:c r="G169" s="81" t="n">
        <x:v>-0.047642924659249075</x:v>
      </x:c>
      <x:c r="H169" s="59" t="n">
        <x:v>0</x:v>
      </x:c>
      <x:c r="I169" s="81" t="n">
        <x:v>0</x:v>
      </x:c>
      <x:c r="J169" s="79" t="n">
        <x:v>0.00013822718599799792</x:v>
      </x:c>
      <x:c r="K169" s="81" t="n">
        <x:v>-0.8420260731451452</x:v>
      </x:c>
      <x:c r="L169" s="81" t="n">
        <x:v>-0.8970038686675732</x:v>
      </x:c>
      <x:c r="M169" s="80" t="n">
        <x:v>2653.939534522738</x:v>
      </x:c>
      <x:c r="N169" s="82" t="n">
        <x:v>0.3015729228515876</x:v>
      </x:c>
      <x:c r="O169" s="82" t="n">
        <x:v>0.09769717932162851</x:v>
      </x:c>
      <x:c r="P169" s="80" t="n">
        <x:v>2843.470227985787</x:v>
      </x:c>
      <x:c r="Q169" s="81" t="n">
        <x:v>0.003641908723343014</x:v>
      </x:c>
      <x:c r="R169" s="81" t="n">
        <x:v>115.503235238485</x:v>
      </x:c>
      <x:c r="S169" s="81" t="n">
        <x:v>11.28127112102709</x:v>
      </x:c>
      <x:c r="T169" s="81" t="n">
        <x:v>2.9943026289600505</x:v>
      </x:c>
    </x:row>
    <x:row r="170">
      <x:c r="A170" s="59" t="n">
        <x:v>167</x:v>
      </x:c>
      <x:c r="B170" s="193" t="n">
        <x:v>0.7320588732138276</x:v>
      </x:c>
      <x:c r="C170" s="83" t="n">
        <x:v>2.5090249958488062</x:v>
      </x:c>
      <x:c r="D170" s="83" t="n">
        <x:v>1.9049153524313711</x:v>
      </x:c>
      <x:c r="E170" s="81" t="n">
        <x:v>0.06318369343595538</x:v>
      </x:c>
      <x:c r="F170" s="81" t="n">
        <x:v>0.7653346878010779</x:v>
      </x:c>
      <x:c r="G170" s="81" t="n">
        <x:v>0.002230788299741913</x:v>
      </x:c>
      <x:c r="H170" s="59" t="n">
        <x:v>40</x:v>
      </x:c>
      <x:c r="I170" s="81" t="n">
        <x:v>0.20075217308476567</x:v>
      </x:c>
      <x:c r="J170" s="79" t="n">
        <x:v>0.02797835187538297</x:v>
      </x:c>
      <x:c r="K170" s="81" t="n">
        <x:v>30.975259286151967</x:v>
      </x:c>
      <x:c r="L170" s="81" t="n">
        <x:v>-0.8299314671509836</x:v>
      </x:c>
      <x:c r="M170" s="80" t="n">
        <x:v>151539.03747684776</x:v>
      </x:c>
      <x:c r="N170" s="82" t="n">
        <x:v>0.27648389970340626</x:v>
      </x:c>
      <x:c r="O170" s="82" t="n">
        <x:v>0.19989051451764123</x:v>
      </x:c>
      <x:c r="P170" s="80" t="n">
        <x:v>431558.2533515225</x:v>
      </x:c>
      <x:c r="Q170" s="81" t="n">
        <x:v>0.008585776401585527</x:v>
      </x:c>
      <x:c r="R170" s="81" t="n">
        <x:v>249.57640366476977</x:v>
      </x:c>
      <x:c r="S170" s="81" t="n">
        <x:v>245.8179334014663</x:v>
      </x:c>
      <x:c r="T170" s="81" t="n">
        <x:v>606.0721844951829</x:v>
      </x:c>
    </x:row>
    <x:row r="171">
      <x:c r="A171" s="59" t="n">
        <x:v>168</x:v>
      </x:c>
      <x:c r="B171" s="193" t="n">
        <x:v>0.8606190897524357</x:v>
      </x:c>
      <x:c r="C171" s="83" t="n">
        <x:v>1.5041759425544527</x:v>
      </x:c>
      <x:c r="D171" s="83" t="n">
        <x:v>1.9395140150675647</x:v>
      </x:c>
      <x:c r="E171" s="81" t="n">
        <x:v>0.0335551046055229</x:v>
      </x:c>
      <x:c r="F171" s="81" t="n">
        <x:v>0.7334063025773503</x:v>
      </x:c>
      <x:c r="G171" s="81" t="n">
        <x:v>-0.03783228467663452</x:v>
      </x:c>
      <x:c r="H171" s="59" t="n">
        <x:v>0</x:v>
      </x:c>
      <x:c r="I171" s="81" t="n">
        <x:v>0</x:v>
      </x:c>
      <x:c r="J171" s="79" t="n">
        <x:v>0.001191156152689551</x:v>
      </x:c>
      <x:c r="K171" s="81" t="n">
        <x:v>0.3613213173594869</x:v>
      </x:c>
      <x:c r="L171" s="81" t="n">
        <x:v>-0.7938882626643918</x:v>
      </x:c>
      <x:c r="M171" s="80" t="n">
        <x:v>17923.167569867743</x:v>
      </x:c>
      <x:c r="N171" s="82" t="n">
        <x:v>0.30710935378696325</x:v>
      </x:c>
      <x:c r="O171" s="82" t="n">
        <x:v>0.21276913294962127</x:v>
      </x:c>
      <x:c r="P171" s="80" t="n">
        <x:v>64335.59801249232</x:v>
      </x:c>
      <x:c r="Q171" s="81" t="n">
        <x:v>0.01450472983122244</x:v>
      </x:c>
      <x:c r="R171" s="81" t="n">
        <x:v>71.96207769539078</x:v>
      </x:c>
      <x:c r="S171" s="81" t="n">
        <x:v>18.62410725839013</x:v>
      </x:c>
      <x:c r="T171" s="81" t="n">
        <x:v>25.803042822212422</x:v>
      </x:c>
    </x:row>
    <x:row r="172">
      <x:c r="A172" s="59" t="n">
        <x:v>169</x:v>
      </x:c>
      <x:c r="B172" s="193" t="n">
        <x:v>0.4958897788077593</x:v>
      </x:c>
      <x:c r="C172" s="83" t="n">
        <x:v>1.7808900554694642</x:v>
      </x:c>
      <x:c r="D172" s="83" t="n">
        <x:v>0.6467772542922305</x:v>
      </x:c>
      <x:c r="E172" s="81" t="n">
        <x:v>0.030389916425059265</x:v>
      </x:c>
      <x:c r="F172" s="81" t="n">
        <x:v>0.8752300717635081</x:v>
      </x:c>
      <x:c r="G172" s="81" t="n">
        <x:v>0.021186503495830497</x:v>
      </x:c>
      <x:c r="H172" s="59" t="n">
        <x:v>0</x:v>
      </x:c>
      <x:c r="I172" s="81" t="n">
        <x:v>0</x:v>
      </x:c>
      <x:c r="J172" s="79" t="n">
        <x:v>0.0006195800792716107</x:v>
      </x:c>
      <x:c r="K172" s="81" t="n">
        <x:v>-0.2919084808324449</x:v>
      </x:c>
      <x:c r="L172" s="81" t="n">
        <x:v>-0.7499875819673166</x:v>
      </x:c>
      <x:c r="M172" s="80" t="n">
        <x:v>12853.691945956529</x:v>
      </x:c>
      <x:c r="N172" s="82" t="n">
        <x:v>0.220223993245361</x:v>
      </x:c>
      <x:c r="O172" s="82" t="n">
        <x:v>0.18207813912842732</x:v>
      </x:c>
      <x:c r="P172" s="80" t="n">
        <x:v>18034.67441191331</x:v>
      </x:c>
      <x:c r="Q172" s="81" t="n">
        <x:v>0.012852779105627458</x:v>
      </x:c>
      <x:c r="R172" s="81" t="n">
        <x:v>16.1304867326517</x:v>
      </x:c>
      <x:c r="S172" s="81" t="n">
        <x:v>8.193878320099758</x:v>
      </x:c>
      <x:c r="T172" s="81" t="n">
        <x:v>13.421457196134565</x:v>
      </x:c>
    </x:row>
    <x:row r="173">
      <x:c r="A173" s="59" t="n">
        <x:v>170</x:v>
      </x:c>
      <x:c r="B173" s="193" t="n">
        <x:v>0.4935251954942942</x:v>
      </x:c>
      <x:c r="C173" s="83" t="n">
        <x:v>2.7948372231452216</x:v>
      </x:c>
      <x:c r="D173" s="83" t="n">
        <x:v>0.632876674531142</x:v>
      </x:c>
      <x:c r="E173" s="81" t="n">
        <x:v>0.02515650133389726</x:v>
      </x:c>
      <x:c r="F173" s="81" t="n">
        <x:v>0.812624174321536</x:v>
      </x:c>
      <x:c r="G173" s="81" t="n">
        <x:v>-0.013815858352784064</x:v>
      </x:c>
      <x:c r="H173" s="59" t="n">
        <x:v>0</x:v>
      </x:c>
      <x:c r="I173" s="81" t="n">
        <x:v>0</x:v>
      </x:c>
      <x:c r="J173" s="79" t="n">
        <x:v>0.00038820696818248486</x:v>
      </x:c>
      <x:c r="K173" s="81" t="n">
        <x:v>-0.5563348935057315</x:v>
      </x:c>
      <x:c r="L173" s="81" t="n">
        <x:v>-0.729781040810073</x:v>
      </x:c>
      <x:c r="M173" s="80" t="n">
        <x:v>13463.467733104402</x:v>
      </x:c>
      <x:c r="N173" s="82" t="n">
        <x:v>0.2196607051641563</x:v>
      </x:c>
      <x:c r="O173" s="82" t="n">
        <x:v>0.16862154067557106</x:v>
      </x:c>
      <x:c r="P173" s="80" t="n">
        <x:v>19019.087487033656</x:v>
      </x:c>
      <x:c r="Q173" s="81" t="n">
        <x:v>0.013760517370400103</x:v>
      </x:c>
      <x:c r="R173" s="81" t="n">
        <x:v>11.360747683010212</x:v>
      </x:c>
      <x:c r="S173" s="81" t="n">
        <x:v>3.429220435021416</x:v>
      </x:c>
      <x:c r="T173" s="81" t="n">
        <x:v>8.40941047173066</x:v>
      </x:c>
    </x:row>
    <x:row r="174">
      <x:c r="A174" s="59" t="n">
        <x:v>171</x:v>
      </x:c>
      <x:c r="B174" s="193" t="n">
        <x:v>0.8811282739043236</x:v>
      </x:c>
      <x:c r="C174" s="83" t="n">
        <x:v>0.17730018980924003</x:v>
      </x:c>
      <x:c r="D174" s="83" t="n">
        <x:v>0.9074462503474396</x:v>
      </x:c>
      <x:c r="E174" s="81" t="n">
        <x:v>-0.06866908502190457</x:v>
      </x:c>
      <x:c r="F174" s="81" t="n">
        <x:v>0.7433393481420354</x:v>
      </x:c>
      <x:c r="G174" s="81" t="n">
        <x:v>-0.0023455199866436356</x:v>
      </x:c>
      <x:c r="H174" s="59" t="n">
        <x:v>0</x:v>
      </x:c>
      <x:c r="I174" s="81" t="n">
        <x:v>0</x:v>
      </x:c>
      <x:c r="J174" s="79" t="n">
        <x:v>9.684443045414577e-32</x:v>
      </x:c>
      <x:c r="K174" s="81" t="n">
        <x:v>-1</x:v>
      </x:c>
      <x:c r="L174" s="81" t="n">
        <x:v>-1</x:v>
      </x:c>
      <x:c r="M174" s="80" t="n">
        <x:v>0.000002</x:v>
      </x:c>
      <x:c r="N174" s="82" t="n">
        <x:v>0.3119950259991455</x:v>
      </x:c>
      <x:c r="O174" s="82" t="n">
        <x:v>0.21908151455629077</x:v>
      </x:c>
      <x:c r="P174" s="80" t="n">
        <x:v>248.99592256155066</x:v>
      </x:c>
      <x:c r="Q174" s="81" t="n">
        <x:v>324640080264748.25</x:v>
      </x:c>
      <x:c r="R174" s="81" t="n">
        <x:v>11.213791563534917</x:v>
      </x:c>
      <x:c r="S174" s="81" t="n">
        <x:v>6.561901608256262e-10</x:v>
      </x:c>
      <x:c r="T174" s="81" t="n">
        <x:v>2.0978617962546635e-27</x:v>
      </x:c>
    </x:row>
    <x:row r="175">
      <x:c r="A175" s="59" t="n">
        <x:v>172</x:v>
      </x:c>
      <x:c r="B175" s="193" t="n">
        <x:v>0.48676574043929577</x:v>
      </x:c>
      <x:c r="C175" s="83" t="n">
        <x:v>1.0026016810331464</x:v>
      </x:c>
      <x:c r="D175" s="83" t="n">
        <x:v>0.3017934263358519</x:v>
      </x:c>
      <x:c r="E175" s="81" t="n">
        <x:v>-0.10628166459588824</x:v>
      </x:c>
      <x:c r="F175" s="81" t="n">
        <x:v>0.3443592825671658</x:v>
      </x:c>
      <x:c r="G175" s="81" t="n">
        <x:v>-0.017704666761250796</x:v>
      </x:c>
      <x:c r="H175" s="59" t="n">
        <x:v>31</x:v>
      </x:c>
      <x:c r="I175" s="81" t="n">
        <x:v>0.26987388394773004</x:v>
      </x:c>
      <x:c r="J175" s="79" t="n">
        <x:v>1.1489434636698487e-21</x:v>
      </x:c>
      <x:c r="K175" s="81" t="n">
        <x:v>-1</x:v>
      </x:c>
      <x:c r="L175" s="81" t="n">
        <x:v>-1</x:v>
      </x:c>
      <x:c r="M175" s="80" t="n">
        <x:v>0.000012186034452993867</x:v>
      </x:c>
      <x:c r="N175" s="82" t="n">
        <x:v>0.21805047623027335</x:v>
      </x:c>
      <x:c r="O175" s="82" t="n">
        <x:v>0.07093160316900478</x:v>
      </x:c>
      <x:c r="P175" s="80" t="n">
        <x:v>279.697845569999</x:v>
      </x:c>
      <x:c r="Q175" s="81" t="n">
        <x:v>111515.67300669591</x:v>
      </x:c>
      <x:c r="R175" s="81" t="n">
        <x:v>4.613233818065177</x:v>
      </x:c>
      <x:c r="S175" s="81" t="n">
        <x:v>6.803132508570587e-10</x:v>
      </x:c>
      <x:c r="T175" s="81" t="n">
        <x:v>2.488862381849344e-17</x:v>
      </x:c>
    </x:row>
    <x:row r="176">
      <x:c r="A176" s="59" t="n">
        <x:v>173</x:v>
      </x:c>
      <x:c r="B176" s="193" t="n">
        <x:v>0.9843529166653753</x:v>
      </x:c>
      <x:c r="C176" s="83" t="n">
        <x:v>0.4583360324561175</x:v>
      </x:c>
      <x:c r="D176" s="83" t="n">
        <x:v>0.6911865267037235</x:v>
      </x:c>
      <x:c r="E176" s="81" t="n">
        <x:v>0.13573449255492956</x:v>
      </x:c>
      <x:c r="F176" s="81" t="n">
        <x:v>0.8826026325114071</x:v>
      </x:c>
      <x:c r="G176" s="81" t="n">
        <x:v>-0.013331969455877779</x:v>
      </x:c>
      <x:c r="H176" s="59" t="n">
        <x:v>64</x:v>
      </x:c>
      <x:c r="I176" s="81" t="n">
        <x:v>0.22520886454731226</x:v>
      </x:c>
      <x:c r="J176" s="79" t="n">
        <x:v>0.000962819032637255</x:v>
      </x:c>
      <x:c r="K176" s="81" t="n">
        <x:v>0.10036460872829167</x:v>
      </x:c>
      <x:c r="L176" s="81" t="n">
        <x:v>-0.9034282694236389</x:v>
      </x:c>
      <x:c r="M176" s="80" t="n">
        <x:v>10551.915362666605</x:v>
      </x:c>
      <x:c r="N176" s="82" t="n">
        <x:v>0.3365850713668797</x:v>
      </x:c>
      <x:c r="O176" s="82" t="n">
        <x:v>0.28062800575695723</x:v>
      </x:c>
      <x:c r="P176" s="80" t="n">
        <x:v>13044.641816442774</x:v>
      </x:c>
      <x:c r="Q176" s="81" t="n">
        <x:v>0.005375267425821617</x:v>
      </x:c>
      <x:c r="R176" s="81" t="n">
        <x:v>124.97165580862881</x:v>
      </x:c>
      <x:c r="S176" s="81" t="n">
        <x:v>41.077948854870705</x:v>
      </x:c>
      <x:c r="T176" s="81" t="n">
        <x:v>20.856762291900104</x:v>
      </x:c>
    </x:row>
    <x:row r="177">
      <x:c r="A177" s="59" t="n">
        <x:v>174</x:v>
      </x:c>
      <x:c r="B177" s="193" t="n">
        <x:v>0.7146913731470705</x:v>
      </x:c>
      <x:c r="C177" s="83" t="n">
        <x:v>0.11181297150934345</x:v>
      </x:c>
      <x:c r="D177" s="83" t="n">
        <x:v>0.4507747509211534</x:v>
      </x:c>
      <x:c r="E177" s="81" t="n">
        <x:v>0.047486735675635536</x:v>
      </x:c>
      <x:c r="F177" s="81" t="n">
        <x:v>0.6859761813189835</x:v>
      </x:c>
      <x:c r="G177" s="81" t="n">
        <x:v>0.02709975561603406</x:v>
      </x:c>
      <x:c r="H177" s="59" t="n">
        <x:v>0</x:v>
      </x:c>
      <x:c r="I177" s="81" t="n">
        <x:v>0</x:v>
      </x:c>
      <x:c r="J177" s="79" t="n">
        <x:v>0.0001456256957861584</x:v>
      </x:c>
      <x:c r="K177" s="81" t="n">
        <x:v>-0.8335706333872475</x:v>
      </x:c>
      <x:c r="L177" s="81" t="n">
        <x:v>-0.9254126466874002</x:v>
      </x:c>
      <x:c r="M177" s="80" t="n">
        <x:v>2525.601547915849</x:v>
      </x:c>
      <x:c r="N177" s="82" t="n">
        <x:v>0.2723466355468785</x:v>
      </x:c>
      <x:c r="O177" s="82" t="n">
        <x:v>0.17648264037181866</x:v>
      </x:c>
      <x:c r="P177" s="80" t="n">
        <x:v>2670.8090963016784</x:v>
      </x:c>
      <x:c r="Q177" s="81" t="n">
        <x:v>0.008003855972562283</x:v>
      </x:c>
      <x:c r="R177" s="81" t="n">
        <x:v>123.4409903372052</x:v>
      </x:c>
      <x:c r="S177" s="81" t="n">
        <x:v>24.829102057682086</x:v>
      </x:c>
      <x:c r="T177" s="81" t="n">
        <x:v>3.1545705035400657</x:v>
      </x:c>
    </x:row>
    <x:row r="178">
      <x:c r="A178" s="59" t="n">
        <x:v>175</x:v>
      </x:c>
      <x:c r="B178" s="193" t="n">
        <x:v>0.9391629679128528</x:v>
      </x:c>
      <x:c r="C178" s="83" t="n">
        <x:v>0.3269302042822232</x:v>
      </x:c>
      <x:c r="D178" s="83" t="n">
        <x:v>0.5140379181496613</x:v>
      </x:c>
      <x:c r="E178" s="81" t="n">
        <x:v>0.0021530842711537978</x:v>
      </x:c>
      <x:c r="F178" s="81" t="n">
        <x:v>0.8371246159542353</x:v>
      </x:c>
      <x:c r="G178" s="81" t="n">
        <x:v>-0.02480376938533099</x:v>
      </x:c>
      <x:c r="H178" s="59" t="n">
        <x:v>0</x:v>
      </x:c>
      <x:c r="I178" s="81" t="n">
        <x:v>0</x:v>
      </x:c>
      <x:c r="J178" s="79" t="n">
        <x:v>3.4986213459130496e-7</x:v>
      </x:c>
      <x:c r="K178" s="81" t="n">
        <x:v>-0.999600157560467</x:v>
      </x:c>
      <x:c r="L178" s="81" t="n">
        <x:v>-0.999600157560467</x:v>
      </x:c>
      <x:c r="M178" s="80" t="n">
        <x:v>134.77374730386992</x:v>
      </x:c>
      <x:c r="N178" s="82" t="n">
        <x:v>0.3258199782624899</x:v>
      </x:c>
      <x:c r="O178" s="82" t="n">
        <x:v>0.257655112847603</x:v>
      </x:c>
      <x:c r="P178" s="80" t="n">
        <x:v>691.3513282562528</x:v>
      </x:c>
      <x:c r="Q178" s="81" t="n">
        <x:v>0.06501357209929537</x:v>
      </x:c>
      <x:c r="R178" s="81" t="n">
        <x:v>20.592708475725317</x:v>
      </x:c>
      <x:c r="S178" s="81" t="n">
        <x:v>0.036828665738526875</x:v>
      </x:c>
      <x:c r="T178" s="81" t="n">
        <x:v>0.007578777660969622</x:v>
      </x:c>
    </x:row>
    <x:row r="179">
      <x:c r="A179" s="59" t="n">
        <x:v>176</x:v>
      </x:c>
      <x:c r="B179" s="193" t="n">
        <x:v>0.4604710163548589</x:v>
      </x:c>
      <x:c r="C179" s="83" t="n">
        <x:v>1.7589525221688056</x:v>
      </x:c>
      <x:c r="D179" s="83" t="n">
        <x:v>0.4956148310451159</x:v>
      </x:c>
      <x:c r="E179" s="81" t="n">
        <x:v>-0.062254621306796716</x:v>
      </x:c>
      <x:c r="F179" s="81" t="n">
        <x:v>0.7387986838584766</x:v>
      </x:c>
      <x:c r="G179" s="81" t="n">
        <x:v>0.00871242286875448</x:v>
      </x:c>
      <x:c r="H179" s="59" t="n">
        <x:v>0</x:v>
      </x:c>
      <x:c r="I179" s="81" t="n">
        <x:v>0</x:v>
      </x:c>
      <x:c r="J179" s="79" t="n">
        <x:v>9.902877292447498e-24</x:v>
      </x:c>
      <x:c r="K179" s="81" t="n">
        <x:v>-1</x:v>
      </x:c>
      <x:c r="L179" s="81" t="n">
        <x:v>-1</x:v>
      </x:c>
      <x:c r="M179" s="80" t="n">
        <x:v>0.000002</x:v>
      </x:c>
      <x:c r="N179" s="82" t="n">
        <x:v>0.21178657992728403</x:v>
      </x:c>
      <x:c r="O179" s="82" t="n">
        <x:v>0.14780716667911423</x:v>
      </x:c>
      <x:c r="P179" s="80" t="n">
        <x:v>631.0061047858305</x:v>
      </x:c>
      <x:c r="Q179" s="81" t="n">
        <x:v>3480891.097675128</x:v>
      </x:c>
      <x:c r="R179" s="81" t="n">
        <x:v>2.8827198074695946</x:v>
      </x:c>
      <x:c r="S179" s="81" t="n">
        <x:v>1.748801438005631e-10</x:v>
      </x:c>
      <x:c r="T179" s="81" t="n">
        <x:v>2.1451794230603675e-19</x:v>
      </x:c>
    </x:row>
    <x:row r="180">
      <x:c r="A180" s="59" t="n">
        <x:v>177</x:v>
      </x:c>
      <x:c r="B180" s="193" t="n">
        <x:v>0.47007472664117816</x:v>
      </x:c>
      <x:c r="C180" s="83" t="n">
        <x:v>1.5222864095911004</x:v>
      </x:c>
      <x:c r="D180" s="83" t="n">
        <x:v>0.8838644597091451</x:v>
      </x:c>
      <x:c r="E180" s="81" t="n">
        <x:v>0.06828966574620275</x:v>
      </x:c>
      <x:c r="F180" s="81" t="n">
        <x:v>0.8507417781860568</x:v>
      </x:c>
      <x:c r="G180" s="81" t="n">
        <x:v>0.009598232302898947</x:v>
      </x:c>
      <x:c r="H180" s="59" t="n">
        <x:v>0</x:v>
      </x:c>
      <x:c r="I180" s="81" t="n">
        <x:v>0</x:v>
      </x:c>
      <x:c r="J180" s="79" t="n">
        <x:v>0.00490975424462281</x:v>
      </x:c>
      <x:c r="K180" s="81" t="n">
        <x:v>4.611147708140355</x:v>
      </x:c>
      <x:c r="L180" s="81" t="n">
        <x:v>-0.6991464123842844</x:v>
      </x:c>
      <x:c r="M180" s="80" t="n">
        <x:v>38179.41117247155</x:v>
      </x:c>
      <x:c r="N180" s="82" t="n">
        <x:v>0.21407436378705308</x:v>
      </x:c>
      <x:c r="O180" s="82" t="n">
        <x:v>0.17204155706670016</x:v>
      </x:c>
      <x:c r="P180" s="80" t="n">
        <x:v>61031.376185831294</x:v>
      </x:c>
      <x:c r="Q180" s="81" t="n">
        <x:v>0.006150123546815718</x:v>
      </x:c>
      <x:c r="R180" s="81" t="n">
        <x:v>78.73662520449345</x:v>
      </x:c>
      <x:c r="S180" s="81" t="n">
        <x:v>66.84284244235849</x:v>
      </x:c>
      <x:c r="T180" s="81" t="n">
        <x:v>106.35599600815705</x:v>
      </x:c>
    </x:row>
    <x:row r="181">
      <x:c r="A181" s="59" t="n">
        <x:v>178</x:v>
      </x:c>
      <x:c r="B181" s="193" t="n">
        <x:v>0.8920529739931227</x:v>
      </x:c>
      <x:c r="C181" s="83" t="n">
        <x:v>0.20433785688905104</x:v>
      </x:c>
      <x:c r="D181" s="83" t="n">
        <x:v>0.7631131459386802</x:v>
      </x:c>
      <x:c r="E181" s="81" t="n">
        <x:v>-0.18117320277254326</x:v>
      </x:c>
      <x:c r="F181" s="81" t="n">
        <x:v>0.33885789749911055</x:v>
      </x:c>
      <x:c r="G181" s="81" t="n">
        <x:v>-0.017112922563874446</x:v>
      </x:c>
      <x:c r="H181" s="59" t="n">
        <x:v>0</x:v>
      </x:c>
      <x:c r="I181" s="81" t="n">
        <x:v>0</x:v>
      </x:c>
      <x:c r="J181" s="79" t="n">
        <x:v>1.8935670671960432e-48</x:v>
      </x:c>
      <x:c r="K181" s="81" t="n">
        <x:v>-1</x:v>
      </x:c>
      <x:c r="L181" s="81" t="n">
        <x:v>-1</x:v>
      </x:c>
      <x:c r="M181" s="80" t="n">
        <x:v>0.000002</x:v>
      </x:c>
      <x:c r="N181" s="82" t="n">
        <x:v>0.3145974943984244</x:v>
      </x:c>
      <x:c r="O181" s="82" t="n">
        <x:v>0.1007033256620122</x:v>
      </x:c>
      <x:c r="P181" s="80" t="n">
        <x:v>124.96821890291662</x:v>
      </x:c>
      <x:c r="Q181" s="81" t="n">
        <x:v>6.955586134186894e+30</x:v>
      </x:c>
      <x:c r="R181" s="81" t="n">
        <x:v>5.041959647380205</x:v>
      </x:c>
      <x:c r="S181" s="81" t="n">
        <x:v>4.499236370213662e-10</x:v>
      </x:c>
      <x:c r="T181" s="81" t="n">
        <x:v>4.1018796747402547e-44</x:v>
      </x:c>
    </x:row>
    <x:row r="182">
      <x:c r="A182" s="59" t="n">
        <x:v>179</x:v>
      </x:c>
      <x:c r="B182" s="193" t="n">
        <x:v>0.950187498703599</x:v>
      </x:c>
      <x:c r="C182" s="83" t="n">
        <x:v>1.850514322713331</x:v>
      </x:c>
      <x:c r="D182" s="83" t="n">
        <x:v>2.3547827612989813</x:v>
      </x:c>
      <x:c r="E182" s="81" t="n">
        <x:v>-0.02631906102928883</x:v>
      </x:c>
      <x:c r="F182" s="81" t="n">
        <x:v>0.6309083982370793</x:v>
      </x:c>
      <x:c r="G182" s="81" t="n">
        <x:v>-0.0025753189793020765</x:v>
      </x:c>
      <x:c r="H182" s="59" t="n">
        <x:v>58</x:v>
      </x:c>
      <x:c r="I182" s="81" t="n">
        <x:v>0.3314240964129567</x:v>
      </x:c>
      <x:c r="J182" s="79" t="n">
        <x:v>6.732303409019934e-32</x:v>
      </x:c>
      <x:c r="K182" s="81" t="n">
        <x:v>-1</x:v>
      </x:c>
      <x:c r="L182" s="81" t="n">
        <x:v>-1</x:v>
      </x:c>
      <x:c r="M182" s="80" t="n">
        <x:v>0.000002</x:v>
      </x:c>
      <x:c r="N182" s="82" t="n">
        <x:v>0.32844622820679786</x:v>
      </x:c>
      <x:c r="O182" s="82" t="n">
        <x:v>0.19574989115246472</x:v>
      </x:c>
      <x:c r="P182" s="80" t="n">
        <x:v>1718.3603685644994</x:v>
      </x:c>
      <x:c r="Q182" s="81" t="n">
        <x:v>1170154277051243.2</x:v>
      </x:c>
      <x:c r="R182" s="81" t="n">
        <x:v>2.6310352397184062</x:v>
      </x:c>
      <x:c r="S182" s="81" t="n">
        <x:v>7.013041429307122e-10</x:v>
      </x:c>
      <x:c r="T182" s="81" t="n">
        <x:v>1.4583638993328758e-27</x:v>
      </x:c>
    </x:row>
    <x:row r="183">
      <x:c r="A183" s="59" t="n">
        <x:v>180</x:v>
      </x:c>
      <x:c r="B183" s="193" t="n">
        <x:v>0.6827846189960838</x:v>
      </x:c>
      <x:c r="C183" s="83" t="n">
        <x:v>0.12298822766278858</x:v>
      </x:c>
      <x:c r="D183" s="83" t="n">
        <x:v>0.40304595025115303</x:v>
      </x:c>
      <x:c r="E183" s="81" t="n">
        <x:v>0.047544999456328244</x:v>
      </x:c>
      <x:c r="F183" s="81" t="n">
        <x:v>0.76538491131505</x:v>
      </x:c>
      <x:c r="G183" s="81" t="n">
        <x:v>-0.027495867751870212</x:v>
      </x:c>
      <x:c r="H183" s="59" t="n">
        <x:v>0</x:v>
      </x:c>
      <x:c r="I183" s="81" t="n">
        <x:v>0</x:v>
      </x:c>
      <x:c r="J183" s="79" t="n">
        <x:v>0.000028661044014814473</x:v>
      </x:c>
      <x:c r="K183" s="81" t="n">
        <x:v>-0.9672445211259263</x:v>
      </x:c>
      <x:c r="L183" s="81" t="n">
        <x:v>-0.9672445211259263</x:v>
      </x:c>
      <x:c r="M183" s="80" t="n">
        <x:v>1093.77005025781</x:v>
      </x:c>
      <x:c r="N183" s="82" t="n">
        <x:v>0.2647458484564734</x:v>
      </x:c>
      <x:c r="O183" s="82" t="n">
        <x:v>0.1914167758025449</x:v>
      </x:c>
      <x:c r="P183" s="80" t="n">
        <x:v>1227.5907450470022</x:v>
      </x:c>
      <x:c r="Q183" s="81" t="n">
        <x:v>0.00811144589199741</x:v>
      </x:c>
      <x:c r="R183" s="81" t="n">
        <x:v>97.74753997207658</x:v>
      </x:c>
      <x:c r="S183" s="81" t="n">
        <x:v>4.4551671938058846</x:v>
      </x:c>
      <x:c r="T183" s="81" t="n">
        <x:v>0.6208607867018411</x:v>
      </x:c>
    </x:row>
    <x:row r="184">
      <x:c r="A184" s="59" t="n">
        <x:v>181</x:v>
      </x:c>
      <x:c r="B184" s="193" t="n">
        <x:v>0.3949867406859994</x:v>
      </x:c>
      <x:c r="C184" s="83" t="n">
        <x:v>0.41218461629591047</x:v>
      </x:c>
      <x:c r="D184" s="83" t="n">
        <x:v>1.0445671389270101</x:v>
      </x:c>
      <x:c r="E184" s="81" t="n">
        <x:v>0.02280312080717127</x:v>
      </x:c>
      <x:c r="F184" s="81" t="n">
        <x:v>0.8815264063770883</x:v>
      </x:c>
      <x:c r="G184" s="81" t="n">
        <x:v>-0.0005486188236690615</x:v>
      </x:c>
      <x:c r="H184" s="59" t="n">
        <x:v>0</x:v>
      </x:c>
      <x:c r="I184" s="81" t="n">
        <x:v>0</x:v>
      </x:c>
      <x:c r="J184" s="79" t="n">
        <x:v>0.00018109212153215448</x:v>
      </x:c>
      <x:c r="K184" s="81" t="n">
        <x:v>-0.7930375753918234</x:v>
      </x:c>
      <x:c r="L184" s="81" t="n">
        <x:v>-0.8744003105421383</x:v>
      </x:c>
      <x:c r="M184" s="80" t="n">
        <x:v>3554.1085095153953</x:v>
      </x:c>
      <x:c r="N184" s="82" t="n">
        <x:v>0.19618699763279285</x:v>
      </x:c>
      <x:c r="O184" s="82" t="n">
        <x:v>0.1633715724174386</x:v>
      </x:c>
      <x:c r="P184" s="80" t="n">
        <x:v>8259.399919219126</x:v>
      </x:c>
      <x:c r="Q184" s="81" t="n">
        <x:v>0.014968203774930331</x:v>
      </x:c>
      <x:c r="R184" s="81" t="n">
        <x:v>49.216398622770626</x:v>
      </x:c>
      <x:c r="S184" s="81" t="n">
        <x:v>9.324664796548305</x:v>
      </x:c>
      <x:c r="T184" s="81" t="n">
        <x:v>3.9228507161792106</x:v>
      </x:c>
    </x:row>
    <x:row r="185">
      <x:c r="A185" s="59" t="n">
        <x:v>182</x:v>
      </x:c>
      <x:c r="B185" s="193" t="n">
        <x:v>0.5321478992700577</x:v>
      </x:c>
      <x:c r="C185" s="83" t="n">
        <x:v>1.1111351401747283</x:v>
      </x:c>
      <x:c r="D185" s="83" t="n">
        <x:v>0.8827534450332359</x:v>
      </x:c>
      <x:c r="E185" s="81" t="n">
        <x:v>0.06567397672067292</x:v>
      </x:c>
      <x:c r="F185" s="81" t="n">
        <x:v>0.35268401899375024</x:v>
      </x:c>
      <x:c r="G185" s="81" t="n">
        <x:v>-0.007748863263216415</x:v>
      </x:c>
      <x:c r="H185" s="59" t="n">
        <x:v>9</x:v>
      </x:c>
      <x:c r="I185" s="81" t="n">
        <x:v>0.2747455725446344</x:v>
      </x:c>
      <x:c r="J185" s="79" t="n">
        <x:v>0.010556403059289407</x:v>
      </x:c>
      <x:c r="K185" s="81" t="n">
        <x:v>11.064460639187896</x:v>
      </x:c>
      <x:c r="L185" s="81" t="n">
        <x:v>-0.6073365379160311</x:v>
      </x:c>
      <x:c r="M185" s="80" t="n">
        <x:v>45393.31204648605</x:v>
      </x:c>
      <x:c r="N185" s="82" t="n">
        <x:v>0.22886135737923893</x:v>
      </x:c>
      <x:c r="O185" s="82" t="n">
        <x:v>0.07624812919248362</x:v>
      </x:c>
      <x:c r="P185" s="80" t="n">
        <x:v>69753.03331351292</x:v>
      </x:c>
      <x:c r="Q185" s="81" t="n">
        <x:v>0.0029386969487032073</x:v>
      </x:c>
      <x:c r="R185" s="81" t="n">
        <x:v>119.42004386128107</x:v>
      </x:c>
      <x:c r="S185" s="81" t="n">
        <x:v>184.39933582544995</x:v>
      </x:c>
      <x:c r="T185" s="81" t="n">
        <x:v>228.67473720582012</x:v>
      </x:c>
    </x:row>
    <x:row r="186">
      <x:c r="A186" s="59" t="n">
        <x:v>183</x:v>
      </x:c>
      <x:c r="B186" s="193" t="n">
        <x:v>0.43475914858281617</x:v>
      </x:c>
      <x:c r="C186" s="83" t="n">
        <x:v>0.1226598813739434</x:v>
      </x:c>
      <x:c r="D186" s="83" t="n">
        <x:v>0.9809986065831959</x:v>
      </x:c>
      <x:c r="E186" s="81" t="n">
        <x:v>-0.006134419882198927</x:v>
      </x:c>
      <x:c r="F186" s="81" t="n">
        <x:v>0.5553557296050713</x:v>
      </x:c>
      <x:c r="G186" s="81" t="n">
        <x:v>-0.005584877144623035</x:v>
      </x:c>
      <x:c r="H186" s="59" t="n">
        <x:v>66</x:v>
      </x:c>
      <x:c r="I186" s="81" t="n">
        <x:v>0.1559395845979452</x:v>
      </x:c>
      <x:c r="J186" s="79" t="n">
        <x:v>3.2693739249573413e-9</x:v>
      </x:c>
      <x:c r="K186" s="81" t="n">
        <x:v>-0.9999962635726571</x:v>
      </x:c>
      <x:c r="L186" s="81" t="n">
        <x:v>-0.9999962635726571</x:v>
      </x:c>
      <x:c r="M186" s="80" t="n">
        <x:v>11.054194258336517</x:v>
      </x:c>
      <x:c r="N186" s="82" t="n">
        <x:v>0.20566153092646283</x:v>
      </x:c>
      <x:c r="O186" s="82" t="n">
        <x:v>0.10789349539016876</x:v>
      </x:c>
      <x:c r="P186" s="80" t="n">
        <x:v>1087.6108975441273</x:v>
      </x:c>
      <x:c r="Q186" s="81" t="n">
        <x:v>0.5235594685811595</x:v>
      </x:c>
      <x:c r="R186" s="81" t="n">
        <x:v>63.590437499359695</x:v>
      </x:c>
      <x:c r="S186" s="81" t="n">
        <x:v>0.00449204533004729</x:v>
      </x:c>
      <x:c r="T186" s="81" t="n">
        <x:v>0.0000708217769744296</x:v>
      </x:c>
    </x:row>
    <x:row r="187">
      <x:c r="A187" s="59" t="n">
        <x:v>184</x:v>
      </x:c>
      <x:c r="B187" s="193" t="n">
        <x:v>0.3099893322214484</x:v>
      </x:c>
      <x:c r="C187" s="83" t="n">
        <x:v>0.17321357902255566</x:v>
      </x:c>
      <x:c r="D187" s="83" t="n">
        <x:v>0.5979103671595565</x:v>
      </x:c>
      <x:c r="E187" s="81" t="n">
        <x:v>0.11619089700817338</x:v>
      </x:c>
      <x:c r="F187" s="81" t="n">
        <x:v>0.8061489112791606</x:v>
      </x:c>
      <x:c r="G187" s="81" t="n">
        <x:v>-0.009623189975592417</x:v>
      </x:c>
      <x:c r="H187" s="59" t="n">
        <x:v>0</x:v>
      </x:c>
      <x:c r="I187" s="81" t="n">
        <x:v>0</x:v>
      </x:c>
      <x:c r="J187" s="79" t="n">
        <x:v>0.0015171683665843965</x:v>
      </x:c>
      <x:c r="K187" s="81" t="n">
        <x:v>0.7339067046678818</x:v>
      </x:c>
      <x:c r="L187" s="81" t="n">
        <x:v>-0.7888990002429308</x:v>
      </x:c>
      <x:c r="M187" s="80" t="n">
        <x:v>9939.012107243627</x:v>
      </x:c>
      <x:c r="N187" s="82" t="n">
        <x:v>0.1759390212351283</x:v>
      </x:c>
      <x:c r="O187" s="82" t="n">
        <x:v>0.13398259507175883</x:v>
      </x:c>
      <x:c r="P187" s="80" t="n">
        <x:v>11165.008869034487</x:v>
      </x:c>
      <x:c r="Q187" s="81" t="n">
        <x:v>0.0028706635599847273</x:v>
      </x:c>
      <x:c r="R187" s="81" t="n">
        <x:v>424.5227563709638</x:v>
      </x:c>
      <x:c r="S187" s="81" t="n">
        <x:v>164.80393080985414</x:v>
      </x:c>
      <x:c r="T187" s="81" t="n">
        <x:v>32.865179131292464</x:v>
      </x:c>
    </x:row>
    <x:row r="188">
      <x:c r="A188" s="59" t="n">
        <x:v>185</x:v>
      </x:c>
      <x:c r="B188" s="193" t="n">
        <x:v>0.756452737003565</x:v>
      </x:c>
      <x:c r="C188" s="83" t="n">
        <x:v>0.8453505814167231</x:v>
      </x:c>
      <x:c r="D188" s="83" t="n">
        <x:v>0.6648569535405059</x:v>
      </x:c>
      <x:c r="E188" s="81" t="n">
        <x:v>0.04006942772577299</x:v>
      </x:c>
      <x:c r="F188" s="81" t="n">
        <x:v>0.4013132634805515</x:v>
      </x:c>
      <x:c r="G188" s="81" t="n">
        <x:v>-0.014891690537278618</x:v>
      </x:c>
      <x:c r="H188" s="59" t="n">
        <x:v>83</x:v>
      </x:c>
      <x:c r="I188" s="81" t="n">
        <x:v>0.1915616810321808</x:v>
      </x:c>
      <x:c r="J188" s="79" t="n">
        <x:v>0.0006509860934926053</x:v>
      </x:c>
      <x:c r="K188" s="81" t="n">
        <x:v>-0.25601589315130824</x:v>
      </x:c>
      <x:c r="L188" s="81" t="n">
        <x:v>-0.7881973834473317</x:v>
      </x:c>
      <x:c r="M188" s="80" t="n">
        <x:v>8809.885246746942</x:v>
      </x:c>
      <x:c r="N188" s="82" t="n">
        <x:v>0.2822949754430681</x:v>
      </x:c>
      <x:c r="O188" s="82" t="n">
        <x:v>0.1070181905145481</x:v>
      </x:c>
      <x:c r="P188" s="80" t="n">
        <x:v>12134.567035645447</x:v>
      </x:c>
      <x:c r="Q188" s="81" t="n">
        <x:v>0.005868569565398758</x:v>
      </x:c>
      <x:c r="R188" s="81" t="n">
        <x:v>46.29854182916425</x:v>
      </x:c>
      <x:c r="S188" s="81" t="n">
        <x:v>15.500236928378788</x:v>
      </x:c>
      <x:c r="T188" s="81" t="n">
        <x:v>14.101780030373867</x:v>
      </x:c>
    </x:row>
    <x:row r="189">
      <x:c r="A189" s="59" t="n">
        <x:v>186</x:v>
      </x:c>
      <x:c r="B189" s="193" t="n">
        <x:v>0.43464839383959775</x:v>
      </x:c>
      <x:c r="C189" s="83" t="n">
        <x:v>1.0465127372150527</x:v>
      </x:c>
      <x:c r="D189" s="83" t="n">
        <x:v>1.0312356080657243</x:v>
      </x:c>
      <x:c r="E189" s="81" t="n">
        <x:v>-0.08233750605786132</x:v>
      </x:c>
      <x:c r="F189" s="81" t="n">
        <x:v>0.3303788980236277</x:v>
      </x:c>
      <x:c r="G189" s="81" t="n">
        <x:v>-0.0030558939547040975</x:v>
      </x:c>
      <x:c r="H189" s="59" t="n">
        <x:v>24</x:v>
      </x:c>
      <x:c r="I189" s="81" t="n">
        <x:v>0.45001547541469333</x:v>
      </x:c>
      <x:c r="J189" s="79" t="n">
        <x:v>7.162243775824976e-38</x:v>
      </x:c>
      <x:c r="K189" s="81" t="n">
        <x:v>-1</x:v>
      </x:c>
      <x:c r="L189" s="81" t="n">
        <x:v>-1</x:v>
      </x:c>
      <x:c r="M189" s="80" t="n">
        <x:v>0.000002</x:v>
      </x:c>
      <x:c r="N189" s="82" t="n">
        <x:v>0.20563514706997665</x:v>
      </x:c>
      <x:c r="O189" s="82" t="n">
        <x:v>0.06417717383593764</x:v>
      </x:c>
      <x:c r="P189" s="80" t="n">
        <x:v>430.62522960853886</x:v>
      </x:c>
      <x:c r="Q189" s="81" t="n">
        <x:v>370775220823522300000</x:v>
      </x:c>
      <x:c r="R189" s="81" t="n">
        <x:v>2.1417487812185376</x:v>
      </x:c>
      <x:c r="S189" s="81" t="n">
        <x:v>4.2528076936707595e-10</x:v>
      </x:c>
      <x:c r="T189" s="81" t="n">
        <x:v>1.551498369323391e-33</x:v>
      </x:c>
    </x:row>
    <x:row r="190">
      <x:c r="A190" s="59" t="n">
        <x:v>187</x:v>
      </x:c>
      <x:c r="B190" s="193" t="n">
        <x:v>0.993941704928875</x:v>
      </x:c>
      <x:c r="C190" s="83" t="n">
        <x:v>0.3463566326178922</x:v>
      </x:c>
      <x:c r="D190" s="83" t="n">
        <x:v>0.3814616682184154</x:v>
      </x:c>
      <x:c r="E190" s="81" t="n">
        <x:v>0.06934966188920737</x:v>
      </x:c>
      <x:c r="F190" s="81" t="n">
        <x:v>0.6377297932282091</x:v>
      </x:c>
      <x:c r="G190" s="81" t="n">
        <x:v>-0.006464660577848039</x:v>
      </x:c>
      <x:c r="H190" s="59" t="n">
        <x:v>0</x:v>
      </x:c>
      <x:c r="I190" s="81" t="n">
        <x:v>0</x:v>
      </x:c>
      <x:c r="J190" s="79" t="n">
        <x:v>0.00011485300491395911</x:v>
      </x:c>
      <x:c r="K190" s="81" t="n">
        <x:v>-0.8687394229554752</x:v>
      </x:c>
      <x:c r="L190" s="81" t="n">
        <x:v>-0.9074134955020088</x:v>
      </x:c>
      <x:c r="M190" s="80" t="n">
        <x:v>2718.404273659933</x:v>
      </x:c>
      <x:c r="N190" s="82" t="n">
        <x:v>0.33886930052102543</x:v>
      </x:c>
      <x:c r="O190" s="82" t="n">
        <x:v>0.2041455298760848</x:v>
      </x:c>
      <x:c r="P190" s="80" t="n">
        <x:v>2445.146505373521</x:v>
      </x:c>
      <x:c r="Q190" s="81" t="n">
        <x:v>0.006416727025984516</x:v>
      </x:c>
      <x:c r="R190" s="81" t="n">
        <x:v>48.40752401833192</x:v>
      </x:c>
      <x:c r="S190" s="81" t="n">
        <x:v>6.488884821987604</x:v>
      </x:c>
      <x:c r="T190" s="81" t="n">
        <x:v>2.487966835719353</x:v>
      </x:c>
    </x:row>
    <x:row r="191">
      <x:c r="A191" s="59" t="n">
        <x:v>188</x:v>
      </x:c>
      <x:c r="B191" s="193" t="n">
        <x:v>0.38794906288385395</x:v>
      </x:c>
      <x:c r="C191" s="83" t="n">
        <x:v>0.18325111474189426</x:v>
      </x:c>
      <x:c r="D191" s="83" t="n">
        <x:v>0.6738918860091196</x:v>
      </x:c>
      <x:c r="E191" s="81" t="n">
        <x:v>0.008938165398082086</x:v>
      </x:c>
      <x:c r="F191" s="81" t="n">
        <x:v>0.7964382044854574</x:v>
      </x:c>
      <x:c r="G191" s="81" t="n">
        <x:v>0.006759916116776417</x:v>
      </x:c>
      <x:c r="H191" s="59" t="n">
        <x:v>0</x:v>
      </x:c>
      <x:c r="I191" s="81" t="n">
        <x:v>0</x:v>
      </x:c>
      <x:c r="J191" s="79" t="n">
        <x:v>0.000010603381803810595</x:v>
      </x:c>
      <x:c r="K191" s="81" t="n">
        <x:v>-0.9878818493670736</x:v>
      </x:c>
      <x:c r="L191" s="81" t="n">
        <x:v>-0.9888072191778593</x:v>
      </x:c>
      <x:c r="M191" s="80" t="n">
        <x:v>673.4930864162694</x:v>
      </x:c>
      <x:c r="N191" s="82" t="n">
        <x:v>0.19451049082386315</x:v>
      </x:c>
      <x:c r="O191" s="82" t="n">
        <x:v>0.1463410127371696</x:v>
      </x:c>
      <x:c r="P191" s="80" t="n">
        <x:v>1728.2084930142607</x:v>
      </x:c>
      <x:c r="Q191" s="81" t="n">
        <x:v>0.027370653515758268</x:v>
      </x:c>
      <x:c r="R191" s="81" t="n">
        <x:v>56.016694837630446</x:v>
      </x:c>
      <x:c r="S191" s="81" t="n">
        <x:v>1.258129932214308</x:v>
      </x:c>
      <x:c r="T191" s="81" t="n">
        <x:v>0.22969239937704505</x:v>
      </x:c>
    </x:row>
    <x:row r="192">
      <x:c r="A192" s="59" t="n">
        <x:v>189</x:v>
      </x:c>
      <x:c r="B192" s="193" t="n">
        <x:v>0.5068674338981509</x:v>
      </x:c>
      <x:c r="C192" s="83" t="n">
        <x:v>0.4107835544743887</x:v>
      </x:c>
      <x:c r="D192" s="83" t="n">
        <x:v>0.7597814406517798</x:v>
      </x:c>
      <x:c r="E192" s="81" t="n">
        <x:v>-0.021993463438528305</x:v>
      </x:c>
      <x:c r="F192" s="81" t="n">
        <x:v>0.6445622900617309</x:v>
      </x:c>
      <x:c r="G192" s="81" t="n">
        <x:v>0.012162848857064432</x:v>
      </x:c>
      <x:c r="H192" s="59" t="n">
        <x:v>0</x:v>
      </x:c>
      <x:c r="I192" s="81" t="n">
        <x:v>0</x:v>
      </x:c>
      <x:c r="J192" s="79" t="n">
        <x:v>8.376296614194986e-16</x:v>
      </x:c>
      <x:c r="K192" s="81" t="n">
        <x:v>-0.9999999999990427</x:v>
      </x:c>
      <x:c r="L192" s="81" t="n">
        <x:v>-0.9999999999990427</x:v>
      </x:c>
      <x:c r="M192" s="80" t="n">
        <x:v>0.007189381098808378</x:v>
      </x:c>
      <x:c r="N192" s="82" t="n">
        <x:v>0.22283907651892512</x:v>
      </x:c>
      <x:c r="O192" s="82" t="n">
        <x:v>0.13568354613514932</x:v>
      </x:c>
      <x:c r="P192" s="80" t="n">
        <x:v>676.7867595967593</x:v>
      </x:c>
      <x:c r="Q192" s="81" t="n">
        <x:v>402.85175538501704</x:v>
      </x:c>
      <x:c r="R192" s="81" t="n">
        <x:v>14.177467907483946</x:v>
      </x:c>
      <x:c r="S192" s="81" t="n">
        <x:v>0.0000020399371141444804</x:v>
      </x:c>
      <x:c r="T192" s="81" t="n">
        <x:v>1.8144887195487354e-11</x:v>
      </x:c>
    </x:row>
    <x:row r="193">
      <x:c r="A193" s="59" t="n">
        <x:v>190</x:v>
      </x:c>
      <x:c r="B193" s="193" t="n">
        <x:v>0.7545349946245552</x:v>
      </x:c>
      <x:c r="C193" s="83" t="n">
        <x:v>0.6675796260383949</x:v>
      </x:c>
      <x:c r="D193" s="83" t="n">
        <x:v>1.304310665112539</x:v>
      </x:c>
      <x:c r="E193" s="81" t="n">
        <x:v>0.164194866794208</x:v>
      </x:c>
      <x:c r="F193" s="81" t="n">
        <x:v>0.8123415193287656</x:v>
      </x:c>
      <x:c r="G193" s="81" t="n">
        <x:v>-0.04391763558887296</x:v>
      </x:c>
      <x:c r="H193" s="59" t="n">
        <x:v>67</x:v>
      </x:c>
      <x:c r="I193" s="81" t="n">
        <x:v>0.4547790898941457</x:v>
      </x:c>
      <x:c r="J193" s="79" t="n">
        <x:v>0.006857062268690699</x:v>
      </x:c>
      <x:c r="K193" s="81" t="n">
        <x:v>6.836642592789371</x:v>
      </x:c>
      <x:c r="L193" s="81" t="n">
        <x:v>-0.9731275529123958</x:v>
      </x:c>
      <x:c r="M193" s="80" t="n">
        <x:v>39892.064463980474</x:v>
      </x:c>
      <x:c r="N193" s="82" t="n">
        <x:v>0.2818381332507184</x:v>
      </x:c>
      <x:c r="O193" s="82" t="n">
        <x:v>0.21627650677268181</x:v>
      </x:c>
      <x:c r="P193" s="80" t="n">
        <x:v>72222.27015156209</x:v>
      </x:c>
      <x:c r="Q193" s="81" t="n">
        <x:v>0.003906804108739371</x:v>
      </x:c>
      <x:c r="R193" s="81" t="n">
        <x:v>608.7780464015177</x:v>
      </x:c>
      <x:c r="S193" s="81" t="n">
        <x:v>199.65556666735785</x:v>
      </x:c>
      <x:c r="T193" s="81" t="n">
        <x:v>148.53893920969142</x:v>
      </x:c>
    </x:row>
    <x:row r="194">
      <x:c r="A194" s="59" t="n">
        <x:v>191</x:v>
      </x:c>
      <x:c r="B194" s="193" t="n">
        <x:v>0.7250527158379556</x:v>
      </x:c>
      <x:c r="C194" s="83" t="n">
        <x:v>0.31000137010544965</x:v>
      </x:c>
      <x:c r="D194" s="83" t="n">
        <x:v>1.7293062502204783</x:v>
      </x:c>
      <x:c r="E194" s="81" t="n">
        <x:v>-0.018847590749836936</x:v>
      </x:c>
      <x:c r="F194" s="81" t="n">
        <x:v>0.5154429640155286</x:v>
      </x:c>
      <x:c r="G194" s="81" t="n">
        <x:v>-0.009289548243028278</x:v>
      </x:c>
      <x:c r="H194" s="59" t="n">
        <x:v>0</x:v>
      </x:c>
      <x:c r="I194" s="81" t="n">
        <x:v>0</x:v>
      </x:c>
      <x:c r="J194" s="79" t="n">
        <x:v>5.562384232093469e-23</x:v>
      </x:c>
      <x:c r="K194" s="81" t="n">
        <x:v>-1</x:v>
      </x:c>
      <x:c r="L194" s="81" t="n">
        <x:v>-1</x:v>
      </x:c>
      <x:c r="M194" s="80" t="n">
        <x:v>0.000002</x:v>
      </x:c>
      <x:c r="N194" s="82" t="n">
        <x:v>0.2748149016510228</x:v>
      </x:c>
      <x:c r="O194" s="82" t="n">
        <x:v>0.13381100604676757</x:v>
      </x:c>
      <x:c r="P194" s="80" t="n">
        <x:v>909.5630844081265</x:v>
      </x:c>
      <x:c r="Q194" s="81" t="n">
        <x:v>1963302.3767810047</x:v>
      </x:c>
      <x:c r="R194" s="81" t="n">
        <x:v>13.13896793995999</x:v>
      </x:c>
      <x:c r="S194" s="81" t="n">
        <x:v>1.0322613408824984e-9</x:v>
      </x:c>
      <x:c r="T194" s="81" t="n">
        <x:v>1.2049338637107642e-18</x:v>
      </x:c>
    </x:row>
    <x:row r="195">
      <x:c r="A195" s="59" t="n">
        <x:v>192</x:v>
      </x:c>
      <x:c r="B195" s="193" t="n">
        <x:v>0.5885226290673018</x:v>
      </x:c>
      <x:c r="C195" s="83" t="n">
        <x:v>1.5971482823102856</x:v>
      </x:c>
      <x:c r="D195" s="83" t="n">
        <x:v>0.4845672432746575</x:v>
      </x:c>
      <x:c r="E195" s="81" t="n">
        <x:v>0.06984060744684309</x:v>
      </x:c>
      <x:c r="F195" s="81" t="n">
        <x:v>0.7303431758191437</x:v>
      </x:c>
      <x:c r="G195" s="81" t="n">
        <x:v>-0.025577687572974062</x:v>
      </x:c>
      <x:c r="H195" s="59" t="n">
        <x:v>0</x:v>
      </x:c>
      <x:c r="I195" s="81" t="n">
        <x:v>0</x:v>
      </x:c>
      <x:c r="J195" s="79" t="n">
        <x:v>0.0006815995991446497</x:v>
      </x:c>
      <x:c r="K195" s="81" t="n">
        <x:v>-0.22102902954897174</x:v>
      </x:c>
      <x:c r="L195" s="81" t="n">
        <x:v>-0.7345892808167854</x:v>
      </x:c>
      <x:c r="M195" s="80" t="n">
        <x:v>12921.674332568631</x:v>
      </x:c>
      <x:c r="N195" s="82" t="n">
        <x:v>0.24229087504312632</x:v>
      </x:c>
      <x:c r="O195" s="82" t="n">
        <x:v>0.16716100591810862</x:v>
      </x:c>
      <x:c r="P195" s="80" t="n">
        <x:v>13179.348842203053</x:v>
      </x:c>
      <x:c r="Q195" s="81" t="n">
        <x:v>0.005377853453097842</x:v>
      </x:c>
      <x:c r="R195" s="81" t="n">
        <x:v>30.505995140515232</x:v>
      </x:c>
      <x:c r="S195" s="81" t="n">
        <x:v>8.74542548944875</x:v>
      </x:c>
      <x:c r="T195" s="81" t="n">
        <x:v>14.764935398789799</x:v>
      </x:c>
    </x:row>
    <x:row r="196">
      <x:c r="A196" s="59" t="n">
        <x:v>193</x:v>
      </x:c>
      <x:c r="B196" s="193" t="n">
        <x:v>0.2737842541188002</x:v>
      </x:c>
      <x:c r="C196" s="83" t="n">
        <x:v>1.0153865715924475</x:v>
      </x:c>
      <x:c r="D196" s="83" t="n">
        <x:v>0.17087239848434604</x:v>
      </x:c>
      <x:c r="E196" s="81" t="n">
        <x:v>-0.02626999279759533</x:v>
      </x:c>
      <x:c r="F196" s="81" t="n">
        <x:v>0.42140704339835794</x:v>
      </x:c>
      <x:c r="G196" s="81" t="n">
        <x:v>-0.013840680975859663</x:v>
      </x:c>
      <x:c r="H196" s="59" t="n">
        <x:v>51</x:v>
      </x:c>
      <x:c r="I196" s="81" t="n">
        <x:v>0.3759697440080345</x:v>
      </x:c>
      <x:c r="J196" s="79" t="n">
        <x:v>1.1162772672201595e-7</x:v>
      </x:c>
      <x:c r="K196" s="81" t="n">
        <x:v>-0.9998724254551749</x:v>
      </x:c>
      <x:c r="L196" s="81" t="n">
        <x:v>-0.9998724254551749</x:v>
      </x:c>
      <x:c r="M196" s="80" t="n">
        <x:v>115.34891484343947</x:v>
      </x:c>
      <x:c r="N196" s="82" t="n">
        <x:v>0.16731429278586282</x:v>
      </x:c>
      <x:c r="O196" s="82" t="n">
        <x:v>0.06660483764904225</x:v>
      </x:c>
      <x:c r="P196" s="80" t="n">
        <x:v>570.7422202888574</x:v>
      </x:c>
      <x:c r="Q196" s="81" t="n">
        <x:v>0.035154187356335576</x:v>
      </x:c>
      <x:c r="R196" s="81" t="n">
        <x:v>11.522954129574428</x:v>
      </x:c>
      <x:c r="S196" s="81" t="n">
        <x:v>0.0056894013933507254</x:v>
      </x:c>
      <x:c r="T196" s="81" t="n">
        <x:v>0.0024181002685926605</x:v>
      </x:c>
    </x:row>
    <x:row r="197">
      <x:c r="A197" s="59" t="n">
        <x:v>194</x:v>
      </x:c>
      <x:c r="B197" s="193" t="n">
        <x:v>0.8726885115727783</x:v>
      </x:c>
      <x:c r="C197" s="83" t="n">
        <x:v>0.21971728908524005</x:v>
      </x:c>
      <x:c r="D197" s="83" t="n">
        <x:v>0.5020823609486568</x:v>
      </x:c>
      <x:c r="E197" s="81" t="n">
        <x:v>0.0253303862633364</x:v>
      </x:c>
      <x:c r="F197" s="81" t="n">
        <x:v>0.6028946043341421</x:v>
      </x:c>
      <x:c r="G197" s="81" t="n">
        <x:v>0.0418122199328042</x:v>
      </x:c>
      <x:c r="H197" s="59" t="n">
        <x:v>0</x:v>
      </x:c>
      <x:c r="I197" s="81" t="n">
        <x:v>0</x:v>
      </x:c>
      <x:c r="J197" s="79" t="n">
        <x:v>0.00008046529953409449</x:v>
      </x:c>
      <x:c r="K197" s="81" t="n">
        <x:v>-0.9080396576753206</x:v>
      </x:c>
      <x:c r="L197" s="81" t="n">
        <x:v>-0.9610112535608878</x:v>
      </x:c>
      <x:c r="M197" s="80" t="n">
        <x:v>1989.651775389474</x:v>
      </x:c>
      <x:c r="N197" s="82" t="n">
        <x:v>0.30998451636622804</x:v>
      </x:c>
      <x:c r="O197" s="82" t="n">
        <x:v>0.17654374722856772</x:v>
      </x:c>
      <x:c r="P197" s="80" t="n">
        <x:v>2604.510626878581</x:v>
      </x:c>
      <x:c r="Q197" s="81" t="n">
        <x:v>0.014204194237760683</x:v>
      </x:c>
      <x:c r="R197" s="81" t="n">
        <x:v>52.30640113281831</x:v>
      </x:c>
      <x:c r="S197" s="81" t="n">
        <x:v>7.402490343009159</x:v>
      </x:c>
      <x:c r="T197" s="81" t="n">
        <x:v>1.743054061293607</x:v>
      </x:c>
    </x:row>
    <x:row r="198">
      <x:c r="A198" s="59" t="n">
        <x:v>195</x:v>
      </x:c>
      <x:c r="B198" s="193" t="n">
        <x:v>0.5335580397397279</x:v>
      </x:c>
      <x:c r="C198" s="83" t="n">
        <x:v>0.3167972050424415</x:v>
      </x:c>
      <x:c r="D198" s="83" t="n">
        <x:v>0.553411573654007</x:v>
      </x:c>
      <x:c r="E198" s="81" t="n">
        <x:v>0.12548247761055395</x:v>
      </x:c>
      <x:c r="F198" s="81" t="n">
        <x:v>0.2750567335751839</x:v>
      </x:c>
      <x:c r="G198" s="81" t="n">
        <x:v>0.039256293250095435</x:v>
      </x:c>
      <x:c r="H198" s="59" t="n">
        <x:v>0</x:v>
      </x:c>
      <x:c r="I198" s="81" t="n">
        <x:v>0</x:v>
      </x:c>
      <x:c r="J198" s="79" t="n">
        <x:v>0.030150165228166173</x:v>
      </x:c>
      <x:c r="K198" s="81" t="n">
        <x:v>33.457331689332776</x:v>
      </x:c>
      <x:c r="L198" s="81" t="n">
        <x:v>-0.627393932841396</x:v>
      </x:c>
      <x:c r="M198" s="80" t="n">
        <x:v>53395.36039641389</x:v>
      </x:c>
      <x:c r="N198" s="82" t="n">
        <x:v>0.22919727927924832</x:v>
      </x:c>
      <x:c r="O198" s="82" t="n">
        <x:v>0.05955286794407264</x:v>
      </x:c>
      <x:c r="P198" s="80" t="n">
        <x:v>55052.98112845521</x:v>
      </x:c>
      <x:c r="Q198" s="81" t="n">
        <x:v>0.0012748004153673596</x:v>
      </x:c>
      <x:c r="R198" s="81" t="n">
        <x:v>812.8898714946297</x:v>
      </x:c>
      <x:c r="S198" s="81" t="n">
        <x:v>1784.3398240535173</x:v>
      </x:c>
      <x:c r="T198" s="81" t="n">
        <x:v>653.1184032610305</x:v>
      </x:c>
    </x:row>
    <x:row r="199">
      <x:c r="A199" s="59" t="n">
        <x:v>196</x:v>
      </x:c>
      <x:c r="B199" s="193" t="n">
        <x:v>0.23849926069378855</x:v>
      </x:c>
      <x:c r="C199" s="83" t="n">
        <x:v>0.33860563985694225</x:v>
      </x:c>
      <x:c r="D199" s="83" t="n">
        <x:v>1.8395064039768245</x:v>
      </x:c>
      <x:c r="E199" s="81" t="n">
        <x:v>0.06620523555827573</x:v>
      </x:c>
      <x:c r="F199" s="81" t="n">
        <x:v>0.47815581555478276</x:v>
      </x:c>
      <x:c r="G199" s="81" t="n">
        <x:v>0.00526059884762306</x:v>
      </x:c>
      <x:c r="H199" s="59" t="n">
        <x:v>54</x:v>
      </x:c>
      <x:c r="I199" s="81" t="n">
        <x:v>0.23782050795853138</x:v>
      </x:c>
      <x:c r="J199" s="79" t="n">
        <x:v>0.03477005295559094</x:v>
      </x:c>
      <x:c r="K199" s="81" t="n">
        <x:v>38.737203377818226</x:v>
      </x:c>
      <x:c r="L199" s="81" t="n">
        <x:v>-0.9580596958514828</x:v>
      </x:c>
      <x:c r="M199" s="80" t="n">
        <x:v>65065.45842482601</x:v>
      </x:c>
      <x:c r="N199" s="82" t="n">
        <x:v>0.15890874575839847</x:v>
      </x:c>
      <x:c r="O199" s="82" t="n">
        <x:v>0.0717774762153546</x:v>
      </x:c>
      <x:c r="P199" s="80" t="n">
        <x:v>178129.92255088</x:v>
      </x:c>
      <x:c r="Q199" s="81" t="n">
        <x:v>0.00301892267149307</x:v>
      </x:c>
      <x:c r="R199" s="81" t="n">
        <x:v>1927.6284758589056</x:v>
      </x:c>
      <x:c r="S199" s="81" t="n">
        <x:v>1950.415606545334</x:v>
      </x:c>
      <x:c r="T199" s="81" t="n">
        <x:v>753.1952576645386</x:v>
      </x:c>
    </x:row>
    <x:row r="200">
      <x:c r="A200" s="59" t="n">
        <x:v>197</x:v>
      </x:c>
      <x:c r="B200" s="193" t="n">
        <x:v>0.4872105248272419</x:v>
      </x:c>
      <x:c r="C200" s="83" t="n">
        <x:v>0.18419715665098407</x:v>
      </x:c>
      <x:c r="D200" s="83" t="n">
        <x:v>0.3327925606071943</x:v>
      </x:c>
      <x:c r="E200" s="81" t="n">
        <x:v>-0.13346850057890206</x:v>
      </x:c>
      <x:c r="F200" s="81" t="n">
        <x:v>0.6819711783202365</x:v>
      </x:c>
      <x:c r="G200" s="81" t="n">
        <x:v>-0.05</x:v>
      </x:c>
      <x:c r="H200" s="59" t="n">
        <x:v>0</x:v>
      </x:c>
      <x:c r="I200" s="81" t="n">
        <x:v>0</x:v>
      </x:c>
      <x:c r="J200" s="79" t="n">
        <x:v>1.5415771028075168e-23</x:v>
      </x:c>
      <x:c r="K200" s="81" t="n">
        <x:v>-1</x:v>
      </x:c>
      <x:c r="L200" s="81" t="n">
        <x:v>-1</x:v>
      </x:c>
      <x:c r="M200" s="80" t="n">
        <x:v>0.000002</x:v>
      </x:c>
      <x:c r="N200" s="82" t="n">
        <x:v>0.21815643221118963</x:v>
      </x:c>
      <x:c r="O200" s="82" t="n">
        <x:v>0.14054162962891978</x:v>
      </x:c>
      <x:c r="P200" s="80" t="n">
        <x:v>126.18034486566107</x:v>
      </x:c>
      <x:c r="Q200" s="81" t="n">
        <x:v>1112910.4572464311</x:v>
      </x:c>
      <x:c r="R200" s="81" t="n">
        <x:v>15.321111210719518</x:v>
      </x:c>
      <x:c r="S200" s="81" t="n">
        <x:v>1.3189375648884437e-10</x:v>
      </x:c>
      <x:c r="T200" s="81" t="n">
        <x:v>3.3393925647506296e-19</x:v>
      </x:c>
    </x:row>
    <x:row r="201">
      <x:c r="A201" s="59" t="n">
        <x:v>198</x:v>
      </x:c>
      <x:c r="B201" s="193" t="n">
        <x:v>0.5382762523368001</x:v>
      </x:c>
      <x:c r="C201" s="83" t="n">
        <x:v>0.304589162308345</x:v>
      </x:c>
      <x:c r="D201" s="83" t="n">
        <x:v>1.3726975435577617</x:v>
      </x:c>
      <x:c r="E201" s="81" t="n">
        <x:v>0.0005617399381477411</x:v>
      </x:c>
      <x:c r="F201" s="81" t="n">
        <x:v>0.25086124187801034</x:v>
      </x:c>
      <x:c r="G201" s="81" t="n">
        <x:v>0.00371996808516794</x:v>
      </x:c>
      <x:c r="H201" s="59" t="n">
        <x:v>57</x:v>
      </x:c>
      <x:c r="I201" s="81" t="n">
        <x:v>0.47078050011768935</x:v>
      </x:c>
      <x:c r="J201" s="79" t="n">
        <x:v>0.000005903841206886497</x:v>
      </x:c>
      <x:c r="K201" s="81" t="n">
        <x:v>-0.9932527529064155</x:v>
      </x:c>
      <x:c r="L201" s="81" t="n">
        <x:v>-0.9932527529064155</x:v>
      </x:c>
      <x:c r="M201" s="80" t="n">
        <x:v>541.6058755511284</x:v>
      </x:c>
      <x:c r="N201" s="82" t="n">
        <x:v>0.23032124598635714</x:v>
      </x:c>
      <x:c r="O201" s="82" t="n">
        <x:v>0.054580625830598625</x:v>
      </x:c>
      <x:c r="P201" s="80" t="n">
        <x:v>4471.914149079071</x:v>
      </x:c>
      <x:c r="Q201" s="81" t="n">
        <x:v>0.05661789291716342</x:v>
      </x:c>
      <x:c r="R201" s="81" t="n">
        <x:v>47.07002061138976</x:v>
      </x:c>
      <x:c r="S201" s="81" t="n">
        <x:v>0.6217307694973355</x:v>
      </x:c>
      <x:c r="T201" s="81" t="n">
        <x:v>0.12789008992050926</x:v>
      </x:c>
    </x:row>
    <x:row r="202">
      <x:c r="A202" s="59" t="n">
        <x:v>199</x:v>
      </x:c>
      <x:c r="B202" s="193" t="n">
        <x:v>0.592583173327148</x:v>
      </x:c>
      <x:c r="C202" s="83" t="n">
        <x:v>0.21342779299120668</x:v>
      </x:c>
      <x:c r="D202" s="83" t="n">
        <x:v>0.31013995857785537</x:v>
      </x:c>
      <x:c r="E202" s="81" t="n">
        <x:v>-0.04054156996244595</x:v>
      </x:c>
      <x:c r="F202" s="81" t="n">
        <x:v>0.8581189057673327</x:v>
      </x:c>
      <x:c r="G202" s="81" t="n">
        <x:v>0.010444855528352668</x:v>
      </x:c>
      <x:c r="H202" s="59" t="n">
        <x:v>0</x:v>
      </x:c>
      <x:c r="I202" s="81" t="n">
        <x:v>0</x:v>
      </x:c>
      <x:c r="J202" s="79" t="n">
        <x:v>1.4217601815057568e-13</x:v>
      </x:c>
      <x:c r="K202" s="81" t="n">
        <x:v>-0.9999999998375131</x:v>
      </x:c>
      <x:c r="L202" s="81" t="n">
        <x:v>-0.9999999998375131</x:v>
      </x:c>
      <x:c r="M202" s="80" t="n">
        <x:v>0.07996138651392644</x:v>
      </x:c>
      <x:c r="N202" s="82" t="n">
        <x:v>0.24325817282102644</x:v>
      </x:c>
      <x:c r="O202" s="82" t="n">
        <x:v>0.19719043836346556</x:v>
      </x:c>
      <x:c r="P202" s="80" t="n">
        <x:v>236.778869450839</x:v>
      </x:c>
      <x:c r="Q202" s="81" t="n">
        <x:v>14.571106042667543</x:v>
      </x:c>
      <x:c r="R202" s="81" t="n">
        <x:v>23.75244478066084</x:v>
      </x:c>
      <x:c r="S202" s="81" t="n">
        <x:v>0.000010457229933786636</x:v>
      </x:c>
      <x:c r="T202" s="81" t="n">
        <x:v>3.0798429545509716e-9</x:v>
      </x:c>
    </x:row>
    <x:row r="203">
      <x:c r="A203" s="59" t="n">
        <x:v>200</x:v>
      </x:c>
      <x:c r="B203" s="193" t="n">
        <x:v>0.5444420378655195</x:v>
      </x:c>
      <x:c r="C203" s="83" t="n">
        <x:v>0.6477891485285846</x:v>
      </x:c>
      <x:c r="D203" s="83" t="n">
        <x:v>0.4051999032817408</x:v>
      </x:c>
      <x:c r="E203" s="81" t="n">
        <x:v>0.01725966436520068</x:v>
      </x:c>
      <x:c r="F203" s="81" t="n">
        <x:v>0.8873016109107994</x:v>
      </x:c>
      <x:c r="G203" s="81" t="n">
        <x:v>0.014014279353323637</x:v>
      </x:c>
      <x:c r="H203" s="59" t="n">
        <x:v>0</x:v>
      </x:c>
      <x:c r="I203" s="81" t="n">
        <x:v>0</x:v>
      </x:c>
      <x:c r="J203" s="79" t="n">
        <x:v>0.000018283201796693</x:v>
      </x:c>
      <x:c r="K203" s="81" t="n">
        <x:v>-0.9791049122323509</x:v>
      </x:c>
      <x:c r="L203" s="81" t="n">
        <x:v>-0.9828211820947549</x:v>
      </x:c>
      <x:c r="M203" s="80" t="n">
        <x:v>1237.617867204696</x:v>
      </x:c>
      <x:c r="N203" s="82" t="n">
        <x:v>0.23179005170777675</x:v>
      </x:c>
      <x:c r="O203" s="82" t="n">
        <x:v>0.19428398562728202</x:v>
      </x:c>
      <x:c r="P203" s="80" t="n">
        <x:v>1720.728949245611</x:v>
      </x:c>
      <x:c r="Q203" s="81" t="n">
        <x:v>0.020093409591631587</x:v>
      </x:c>
      <x:c r="R203" s="81" t="n">
        <x:v>17.243103483647353</x:v>
      </x:c>
      <x:c r="S203" s="81" t="n">
        <x:v>0.6842898051500148</x:v>
      </x:c>
      <x:c r="T203" s="81" t="n">
        <x:v>0.3960540671531713</x:v>
      </x:c>
    </x:row>
    <x:row r="204">
      <x:c r="A204" s="59" t="n">
        <x:v>201</x:v>
      </x:c>
      <x:c r="B204" s="193" t="n">
        <x:v>0.6846991326659918</x:v>
      </x:c>
      <x:c r="C204" s="83" t="n">
        <x:v>0.19479784020129975</x:v>
      </x:c>
      <x:c r="D204" s="83" t="n">
        <x:v>0.5462428518511173</x:v>
      </x:c>
      <x:c r="E204" s="81" t="n">
        <x:v>0.00410910648848343</x:v>
      </x:c>
      <x:c r="F204" s="81" t="n">
        <x:v>0.6767841288354248</x:v>
      </x:c>
      <x:c r="G204" s="81" t="n">
        <x:v>0.019445828235882135</x:v>
      </x:c>
      <x:c r="H204" s="59" t="n">
        <x:v>46</x:v>
      </x:c>
      <x:c r="I204" s="81" t="n">
        <x:v>0.1694560988806188</x:v>
      </x:c>
      <x:c r="J204" s="79" t="n">
        <x:v>0.0000017845071698156187</x:v>
      </x:c>
      <x:c r="K204" s="81" t="n">
        <x:v>-0.9979605632344964</x:v>
      </x:c>
      <x:c r="L204" s="81" t="n">
        <x:v>-0.9979605632344964</x:v>
      </x:c>
      <x:c r="M204" s="80" t="n">
        <x:v>275.2771875722711</x:v>
      </x:c>
      <x:c r="N204" s="82" t="n">
        <x:v>0.2652019215097767</x:v>
      </x:c>
      <x:c r="O204" s="82" t="n">
        <x:v>0.16954999208078889</x:v>
      </x:c>
      <x:c r="P204" s="80" t="n">
        <x:v>992.7039683349723</x:v>
      </x:c>
      <x:c r="Q204" s="81" t="n">
        <x:v>0.048395855322035934</x:v>
      </x:c>
      <x:c r="R204" s="81" t="n">
        <x:v>42.87031391147782</x:v>
      </x:c>
      <x:c r="S204" s="81" t="n">
        <x:v>0.24008227808189708</x:v>
      </x:c>
      <x:c r="T204" s="81" t="n">
        <x:v>0.03865632126848302</x:v>
      </x:c>
    </x:row>
    <x:row r="205">
      <x:c r="A205" s="59" t="n">
        <x:v>202</x:v>
      </x:c>
      <x:c r="B205" s="193" t="n">
        <x:v>0.2618707921355963</x:v>
      </x:c>
      <x:c r="C205" s="83" t="n">
        <x:v>0.5373536842342048</x:v>
      </x:c>
      <x:c r="D205" s="83" t="n">
        <x:v>0.4055006827614916</x:v>
      </x:c>
      <x:c r="E205" s="81" t="n">
        <x:v>-0.015979714055590927</x:v>
      </x:c>
      <x:c r="F205" s="81" t="n">
        <x:v>0.833751323632896</x:v>
      </x:c>
      <x:c r="G205" s="81" t="n">
        <x:v>0.02139804975022</x:v>
      </x:c>
      <x:c r="H205" s="59" t="n">
        <x:v>0</x:v>
      </x:c>
      <x:c r="I205" s="81" t="n">
        <x:v>0</x:v>
      </x:c>
      <x:c r="J205" s="79" t="n">
        <x:v>5.818251604784393e-10</x:v>
      </x:c>
      <x:c r="K205" s="81" t="n">
        <x:v>-0.9999993350569595</x:v>
      </x:c>
      <x:c r="L205" s="81" t="n">
        <x:v>-0.9999993350569595</x:v>
      </x:c>
      <x:c r="M205" s="80" t="n">
        <x:v>6.402224512504661</x:v>
      </x:c>
      <x:c r="N205" s="82" t="n">
        <x:v>0.16447628276405174</x:v>
      </x:c>
      <x:c r="O205" s="82" t="n">
        <x:v>0.1295420484939268</x:v>
      </x:c>
      <x:c r="P205" s="80" t="n">
        <x:v>656.7941969107558</x:v>
      </x:c>
      <x:c r="Q205" s="81" t="n">
        <x:v>0.6900594967327895</x:v>
      </x:c>
      <x:c r="R205" s="81" t="n">
        <x:v>15.303394108273277</x:v>
      </x:c>
      <x:c r="S205" s="81" t="n">
        <x:v>0.000993073285092234</x:v>
      </x:c>
      <x:c r="T205" s="81" t="n">
        <x:v>0.000012603603227811692</x:v>
      </x:c>
    </x:row>
    <x:row r="206">
      <x:c r="A206" s="59" t="n">
        <x:v>203</x:v>
      </x:c>
      <x:c r="B206" s="193" t="n">
        <x:v>0.2013697162270546</x:v>
      </x:c>
      <x:c r="C206" s="83" t="n">
        <x:v>0.15231027697631258</x:v>
      </x:c>
      <x:c r="D206" s="83" t="n">
        <x:v>1.1650307598946812</x:v>
      </x:c>
      <x:c r="E206" s="81" t="n">
        <x:v>-0.0780194679017587</x:v>
      </x:c>
      <x:c r="F206" s="81" t="n">
        <x:v>0.5257458584615962</x:v>
      </x:c>
      <x:c r="G206" s="81" t="n">
        <x:v>0.02660068809727093</x:v>
      </x:c>
      <x:c r="H206" s="59" t="n">
        <x:v>0</x:v>
      </x:c>
      <x:c r="I206" s="81" t="n">
        <x:v>0</x:v>
      </x:c>
      <x:c r="J206" s="79" t="n">
        <x:v>6.218127632272981e-44</x:v>
      </x:c>
      <x:c r="K206" s="81" t="n">
        <x:v>-1</x:v>
      </x:c>
      <x:c r="L206" s="81" t="n">
        <x:v>-1</x:v>
      </x:c>
      <x:c r="M206" s="80" t="n">
        <x:v>0.000002</x:v>
      </x:c>
      <x:c r="N206" s="82" t="n">
        <x:v>0.1500637920874637</x:v>
      </x:c>
      <x:c r="O206" s="82" t="n">
        <x:v>0.07452855807401931</x:v>
      </x:c>
      <x:c r="P206" s="80" t="n">
        <x:v>254.20556435776834</x:v>
      </x:c>
      <x:c r="Q206" s="81" t="n">
        <x:v>4.489094923071947e+26</x:v>
      </x:c>
      <x:c r="R206" s="81" t="n">
        <x:v>10.594297191416523</x:v>
      </x:c>
      <x:c r="S206" s="81" t="n">
        <x:v>1.2189641517499004e-9</x:v>
      </x:c>
      <x:c r="T206" s="81" t="n">
        <x:v>1.3469822005053185e-39</x:v>
      </x:c>
    </x:row>
    <x:row r="207">
      <x:c r="A207" s="59" t="n">
        <x:v>204</x:v>
      </x:c>
      <x:c r="B207" s="193" t="n">
        <x:v>0.25654384661465884</x:v>
      </x:c>
      <x:c r="C207" s="83" t="n">
        <x:v>2.0716112266583213</x:v>
      </x:c>
      <x:c r="D207" s="83" t="n">
        <x:v>1.760939330222168</x:v>
      </x:c>
      <x:c r="E207" s="81" t="n">
        <x:v>-0.04758487651068944</x:v>
      </x:c>
      <x:c r="F207" s="81" t="n">
        <x:v>0.7262853212887421</x:v>
      </x:c>
      <x:c r="G207" s="81" t="n">
        <x:v>0.05116207936627544</x:v>
      </x:c>
      <x:c r="H207" s="59" t="n">
        <x:v>0</x:v>
      </x:c>
      <x:c r="I207" s="81" t="n">
        <x:v>0</x:v>
      </x:c>
      <x:c r="J207" s="79" t="n">
        <x:v>2.1049856990909327e-46</x:v>
      </x:c>
      <x:c r="K207" s="81" t="n">
        <x:v>-1</x:v>
      </x:c>
      <x:c r="L207" s="81" t="n">
        <x:v>-1</x:v>
      </x:c>
      <x:c r="M207" s="80" t="n">
        <x:v>0.000002</x:v>
      </x:c>
      <x:c r="N207" s="82" t="n">
        <x:v>0.1632073044607358</x:v>
      </x:c>
      <x:c r="O207" s="82" t="n">
        <x:v>0.11197415679346845</x:v>
      </x:c>
      <x:c r="P207" s="80" t="n">
        <x:v>1113.3293848208987</x:v>
      </x:c>
      <x:c r="Q207" s="81" t="n">
        <x:v>2.1128366656536467e+29</x:v>
      </x:c>
      <x:c r="R207" s="81" t="n">
        <x:v>1.7009180595935394</x:v>
      </x:c>
      <x:c r="S207" s="81" t="n">
        <x:v>9.215737411030525e-10</x:v>
      </x:c>
      <x:c r="T207" s="81" t="n">
        <x:v>4.559858588745763e-42</x:v>
      </x:c>
    </x:row>
    <x:row r="208">
      <x:c r="A208" s="59" t="n">
        <x:v>205</x:v>
      </x:c>
      <x:c r="B208" s="193" t="n">
        <x:v>0.5672855561599135</x:v>
      </x:c>
      <x:c r="C208" s="83" t="n">
        <x:v>0.1606422669510681</x:v>
      </x:c>
      <x:c r="D208" s="83" t="n">
        <x:v>0.5615492632000937</x:v>
      </x:c>
      <x:c r="E208" s="81" t="n">
        <x:v>0.01690375946199314</x:v>
      </x:c>
      <x:c r="F208" s="81" t="n">
        <x:v>0.7405357313575223</x:v>
      </x:c>
      <x:c r="G208" s="81" t="n">
        <x:v>-0.005608174511084641</x:v>
      </x:c>
      <x:c r="H208" s="59" t="n">
        <x:v>0</x:v>
      </x:c>
      <x:c r="I208" s="81" t="n">
        <x:v>0</x:v>
      </x:c>
      <x:c r="J208" s="79" t="n">
        <x:v>0.00001555849138640744</x:v>
      </x:c>
      <x:c r="K208" s="81" t="n">
        <x:v>-0.9822188669869629</x:v>
      </x:c>
      <x:c r="L208" s="81" t="n">
        <x:v>-0.9834436717953489</x:v>
      </x:c>
      <x:c r="M208" s="80" t="n">
        <x:v>809.6100660818202</x:v>
      </x:c>
      <x:c r="N208" s="82" t="n">
        <x:v>0.2372318060814692</x:v>
      </x:c>
      <x:c r="O208" s="82" t="n">
        <x:v>0.1659548218466505</x:v>
      </x:c>
      <x:c r="P208" s="80" t="n">
        <x:v>1483.4572769325748</x:v>
      </x:c>
      <x:c r="Q208" s="81" t="n">
        <x:v>0.01782616603973477</x:v>
      </x:c>
      <x:c r="R208" s="81" t="n">
        <x:v>64.61063777952502</x:v>
      </x:c>
      <x:c r="S208" s="81" t="n">
        <x:v>1.9610441895554658</x:v>
      </x:c>
      <x:c r="T208" s="81" t="n">
        <x:v>0.33703089102636336</x:v>
      </x:c>
    </x:row>
    <x:row r="209">
      <x:c r="A209" s="59" t="n">
        <x:v>206</x:v>
      </x:c>
      <x:c r="B209" s="193" t="n">
        <x:v>0.3203832855448127</x:v>
      </x:c>
      <x:c r="C209" s="83" t="n">
        <x:v>0.1672078552932968</x:v>
      </x:c>
      <x:c r="D209" s="83" t="n">
        <x:v>0.8652993604039559</x:v>
      </x:c>
      <x:c r="E209" s="81" t="n">
        <x:v>0.11024924759695129</x:v>
      </x:c>
      <x:c r="F209" s="81" t="n">
        <x:v>0.5697613442083821</x:v>
      </x:c>
      <x:c r="G209" s="81" t="n">
        <x:v>0.012220412402978623</x:v>
      </x:c>
      <x:c r="H209" s="59" t="n">
        <x:v>24</x:v>
      </x:c>
      <x:c r="I209" s="81" t="n">
        <x:v>0.49371453402563936</x:v>
      </x:c>
      <x:c r="J209" s="79" t="n">
        <x:v>0.009960157784120474</x:v>
      </x:c>
      <x:c r="K209" s="81" t="n">
        <x:v>10.383037467566258</x:v>
      </x:c>
      <x:c r="L209" s="81" t="n">
        <x:v>-0.9621725323449309</x:v>
      </x:c>
      <x:c r="M209" s="80" t="n">
        <x:v>28421.60596482016</x:v>
      </x:c>
      <x:c r="N209" s="82" t="n">
        <x:v>0.1784150558033784</x:v>
      </x:c>
      <x:c r="O209" s="82" t="n">
        <x:v>0.09602745587099744</x:v>
      </x:c>
      <x:c r="P209" s="80" t="n">
        <x:v>40643.83125283203</x:v>
      </x:c>
      <x:c r="Q209" s="81" t="n">
        <x:v>0.0023953459394259256</x:v>
      </x:c>
      <x:c r="R209" s="81" t="n">
        <x:v>958.3409383592862</x:v>
      </x:c>
      <x:c r="S209" s="81" t="n">
        <x:v>1117.645397616407</x:v>
      </x:c>
      <x:c r="T209" s="81" t="n">
        <x:v>215.75876281154135</x:v>
      </x:c>
    </x:row>
    <x:row r="210">
      <x:c r="A210" s="59" t="n">
        <x:v>207</x:v>
      </x:c>
      <x:c r="B210" s="193" t="n">
        <x:v>0.7725864566862584</x:v>
      </x:c>
      <x:c r="C210" s="83" t="n">
        <x:v>0.18900875878778844</x:v>
      </x:c>
      <x:c r="D210" s="83" t="n">
        <x:v>0.8139814939424204</x:v>
      </x:c>
      <x:c r="E210" s="81" t="n">
        <x:v>-0.0922834809036664</x:v>
      </x:c>
      <x:c r="F210" s="81" t="n">
        <x:v>0.868699619290419</x:v>
      </x:c>
      <x:c r="G210" s="81" t="n">
        <x:v>-0.02875897685745643</x:v>
      </x:c>
      <x:c r="H210" s="59" t="n">
        <x:v>0</x:v>
      </x:c>
      <x:c r="I210" s="81" t="n">
        <x:v>0</x:v>
      </x:c>
      <x:c r="J210" s="79" t="n">
        <x:v>3.3146890327539106e-32</x:v>
      </x:c>
      <x:c r="K210" s="81" t="n">
        <x:v>-1</x:v>
      </x:c>
      <x:c r="L210" s="81" t="n">
        <x:v>-1</x:v>
      </x:c>
      <x:c r="M210" s="80" t="n">
        <x:v>0.000002</x:v>
      </x:c>
      <x:c r="N210" s="82" t="n">
        <x:v>0.2861383299787296</x:v>
      </x:c>
      <x:c r="O210" s="82" t="n">
        <x:v>0.2348100122157443</x:v>
      </x:c>
      <x:c r="P210" s="80" t="n">
        <x:v>196.27293886269894</x:v>
      </x:c>
      <x:c r="Q210" s="81" t="n">
        <x:v>721378854354551.4</x:v>
      </x:c>
      <x:c r="R210" s="81" t="n">
        <x:v>8.889529277071649</x:v>
      </x:c>
      <x:c r="S210" s="81" t="n">
        <x:v>4.204802805358467e-10</x:v>
      </x:c>
      <x:c r="T210" s="81" t="n">
        <x:v>7.1803401142115675e-28</x:v>
      </x:c>
    </x:row>
    <x:row r="211">
      <x:c r="A211" s="59" t="n">
        <x:v>208</x:v>
      </x:c>
      <x:c r="B211" s="193" t="n">
        <x:v>0.9427541919052602</x:v>
      </x:c>
      <x:c r="C211" s="83" t="n">
        <x:v>0.2137193519903709</x:v>
      </x:c>
      <x:c r="D211" s="83" t="n">
        <x:v>0.3041463486307557</x:v>
      </x:c>
      <x:c r="E211" s="81" t="n">
        <x:v>0.06722528759189081</x:v>
      </x:c>
      <x:c r="F211" s="81" t="n">
        <x:v>0.3771772645646706</x:v>
      </x:c>
      <x:c r="G211" s="81" t="n">
        <x:v>-0.025144796088254047</x:v>
      </x:c>
      <x:c r="H211" s="59" t="n">
        <x:v>36</x:v>
      </x:c>
      <x:c r="I211" s="81" t="n">
        <x:v>0.3120658232830465</x:v>
      </x:c>
      <x:c r="J211" s="79" t="n">
        <x:v>0.00010865586228326047</x:v>
      </x:c>
      <x:c r="K211" s="81" t="n">
        <x:v>-0.8758218716762738</x:v>
      </x:c>
      <x:c r="L211" s="81" t="n">
        <x:v>-0.8941231339635813</x:v>
      </x:c>
      <x:c r="M211" s="80" t="n">
        <x:v>2309.348329899412</x:v>
      </x:c>
      <x:c r="N211" s="82" t="n">
        <x:v>0.32667547515293116</x:v>
      </x:c>
      <x:c r="O211" s="82" t="n">
        <x:v>0.11639463957351256</x:v>
      </x:c>
      <x:c r="P211" s="80" t="n">
        <x:v>1712.8419790026076</x:v>
      </x:c>
      <x:c r="Q211" s="81" t="n">
        <x:v>0.0037151565471859192</x:v>
      </x:c>
      <x:c r="R211" s="81" t="n">
        <x:v>93.5358121970571</x:v>
      </x:c>
      <x:c r="S211" s="81" t="n">
        <x:v>9.63795185347173</x:v>
      </x:c>
      <x:c r="T211" s="81" t="n">
        <x:v>2.353723196617779</x:v>
      </x:c>
    </x:row>
    <x:row r="212">
      <x:c r="A212" s="59" t="n">
        <x:v>209</x:v>
      </x:c>
      <x:c r="B212" s="193" t="n">
        <x:v>0.6804644912481308</x:v>
      </x:c>
      <x:c r="C212" s="83" t="n">
        <x:v>0.6892314502628569</x:v>
      </x:c>
      <x:c r="D212" s="83" t="n">
        <x:v>0.8994588741873321</x:v>
      </x:c>
      <x:c r="E212" s="81" t="n">
        <x:v>-0.014711726515255411</x:v>
      </x:c>
      <x:c r="F212" s="81" t="n">
        <x:v>0.45912535323295744</x:v>
      </x:c>
      <x:c r="G212" s="81" t="n">
        <x:v>0.006945739496279373</x:v>
      </x:c>
      <x:c r="H212" s="59" t="n">
        <x:v>0</x:v>
      </x:c>
      <x:c r="I212" s="81" t="n">
        <x:v>0</x:v>
      </x:c>
      <x:c r="J212" s="79" t="n">
        <x:v>3.1451728213710395e-13</x:v>
      </x:c>
      <x:c r="K212" s="81" t="n">
        <x:v>-0.9999999996405516</x:v>
      </x:c>
      <x:c r="L212" s="81" t="n">
        <x:v>-0.9999999996405516</x:v>
      </x:c>
      <x:c r="M212" s="80" t="n">
        <x:v>0.16537604336040354</x:v>
      </x:c>
      <x:c r="N212" s="82" t="n">
        <x:v>0.26419315052451564</x:v>
      </x:c>
      <x:c r="O212" s="82" t="n">
        <x:v>0.11458394520422913</x:v>
      </x:c>
      <x:c r="P212" s="80" t="n">
        <x:v>1202.0502359355892</x:v>
      </x:c>
      <x:c r="Q212" s="81" t="n">
        <x:v>36.61683946277624</x:v>
      </x:c>
      <x:c r="R212" s="81" t="n">
        <x:v>10.96721160510435</x:v>
      </x:c>
      <x:c r="S212" s="81" t="n">
        <x:v>0.000043162252813618846</x:v>
      </x:c>
      <x:c r="T212" s="81" t="n">
        <x:v>6.8131309912519e-9</x:v>
      </x:c>
    </x:row>
    <x:row r="213">
      <x:c r="A213" s="59" t="n">
        <x:v>210</x:v>
      </x:c>
      <x:c r="B213" s="193" t="n">
        <x:v>0.5540306514129043</x:v>
      </x:c>
      <x:c r="C213" s="83" t="n">
        <x:v>0.8407015208255327</x:v>
      </x:c>
      <x:c r="D213" s="83" t="n">
        <x:v>2.360510191315159</x:v>
      </x:c>
      <x:c r="E213" s="81" t="n">
        <x:v>0.03228746564266529</x:v>
      </x:c>
      <x:c r="F213" s="81" t="n">
        <x:v>0.2803857639664784</x:v>
      </x:c>
      <x:c r="G213" s="81" t="n">
        <x:v>0.006727175309954767</x:v>
      </x:c>
      <x:c r="H213" s="59" t="n">
        <x:v>15</x:v>
      </x:c>
      <x:c r="I213" s="81" t="n">
        <x:v>0.4558694643899799</x:v>
      </x:c>
      <x:c r="J213" s="79" t="n">
        <x:v>0.03138408856174375</x:v>
      </x:c>
      <x:c r="K213" s="81" t="n">
        <x:v>34.86752978485001</x:v>
      </x:c>
      <x:c r="L213" s="81" t="n">
        <x:v>-0.927512702748153</x:v>
      </x:c>
      <x:c r="M213" s="80" t="n">
        <x:v>73858.86986954397</x:v>
      </x:c>
      <x:c r="N213" s="82" t="n">
        <x:v>0.23407423924126797</x:v>
      </x:c>
      <x:c r="O213" s="82" t="n">
        <x:v>0.061998405720672854</x:v>
      </x:c>
      <x:c r="P213" s="80" t="n">
        <x:v>275544.8183864929</x:v>
      </x:c>
      <x:c r="Q213" s="81" t="n">
        <x:v>0.005130048292418352</x:v>
      </x:c>
      <x:c r="R213" s="81" t="n">
        <x:v>205.35389604568047</x:v>
      </x:c>
      <x:c r="S213" s="81" t="n">
        <x:v>739.2782285073584</x:v>
      </x:c>
      <x:c r="T213" s="81" t="n">
        <x:v>679.8478765914072</x:v>
      </x:c>
    </x:row>
    <x:row r="214">
      <x:c r="A214" s="59" t="n">
        <x:v>211</x:v>
      </x:c>
      <x:c r="B214" s="193" t="n">
        <x:v>0.6821933316066862</x:v>
      </x:c>
      <x:c r="C214" s="83" t="n">
        <x:v>2.627843362897305</x:v>
      </x:c>
      <x:c r="D214" s="83" t="n">
        <x:v>0.5467251497999226</x:v>
      </x:c>
      <x:c r="E214" s="81" t="n">
        <x:v>0.0216136232677776</x:v>
      </x:c>
      <x:c r="F214" s="81" t="n">
        <x:v>0.6242818107130006</x:v>
      </x:c>
      <x:c r="G214" s="81" t="n">
        <x:v>0.0059975896010246305</x:v>
      </x:c>
      <x:c r="H214" s="59" t="n">
        <x:v>0</x:v>
      </x:c>
      <x:c r="I214" s="81" t="n">
        <x:v>0</x:v>
      </x:c>
      <x:c r="J214" s="79" t="n">
        <x:v>0.0003455804315541624</x:v>
      </x:c>
      <x:c r="K214" s="81" t="n">
        <x:v>-0.6050509353666715</x:v>
      </x:c>
      <x:c r="L214" s="81" t="n">
        <x:v>-0.7583435532418198</x:v>
      </x:c>
      <x:c r="M214" s="80" t="n">
        <x:v>12026.78618555021</x:v>
      </x:c>
      <x:c r="N214" s="82" t="n">
        <x:v>0.26460499271368076</x:v>
      </x:c>
      <x:c r="O214" s="82" t="n">
        <x:v>0.15604492817667334</x:v>
      </x:c>
      <x:c r="P214" s="80" t="n">
        <x:v>15324.780212407411</x:v>
      </x:c>
      <x:c r="Q214" s="81" t="n">
        <x:v>0.014611390137788307</x:v>
      </x:c>
      <x:c r="R214" s="81" t="n">
        <x:v>9.96422825781412</x:v>
      </x:c>
      <x:c r="S214" s="81" t="n">
        <x:v>3.312022539196679</x:v>
      </x:c>
      <x:c r="T214" s="81" t="n">
        <x:v>7.486026625288928</x:v>
      </x:c>
    </x:row>
    <x:row r="215">
      <x:c r="A215" s="59" t="n">
        <x:v>212</x:v>
      </x:c>
      <x:c r="B215" s="193" t="n">
        <x:v>0.367059000954032</x:v>
      </x:c>
      <x:c r="C215" s="83" t="n">
        <x:v>0.2704373287432717</x:v>
      </x:c>
      <x:c r="D215" s="83" t="n">
        <x:v>0.7674657947332552</x:v>
      </x:c>
      <x:c r="E215" s="81" t="n">
        <x:v>0.008888921534770439</x:v>
      </x:c>
      <x:c r="F215" s="81" t="n">
        <x:v>0.7238485367270187</x:v>
      </x:c>
      <x:c r="G215" s="81" t="n">
        <x:v>0.031004458927307427</x:v>
      </x:c>
      <x:c r="H215" s="59" t="n">
        <x:v>0</x:v>
      </x:c>
      <x:c r="I215" s="81" t="n">
        <x:v>0</x:v>
      </x:c>
      <x:c r="J215" s="79" t="n">
        <x:v>0.00003306004567067764</x:v>
      </x:c>
      <x:c r="K215" s="81" t="n">
        <x:v>-0.9622170906620827</x:v>
      </x:c>
      <x:c r="L215" s="81" t="n">
        <x:v>-0.9746623524712114</x:v>
      </x:c>
      <x:c r="M215" s="80" t="n">
        <x:v>1285.482310479287</x:v>
      </x:c>
      <x:c r="N215" s="82" t="n">
        <x:v>0.18953408638351835</x:v>
      </x:c>
      <x:c r="O215" s="82" t="n">
        <x:v>0.12960028865056608</x:v>
      </x:c>
      <x:c r="P215" s="80" t="n">
        <x:v>3124.694754978734</x:v>
      </x:c>
      <x:c r="Q215" s="81" t="n">
        <x:v>0.0266217010652739</x:v>
      </x:c>
      <x:c r="R215" s="81" t="n">
        <x:v>44.43196925655396</x:v>
      </x:c>
      <x:c r="S215" s="81" t="n">
        <x:v>2.766052191261035</x:v>
      </x:c>
      <x:c r="T215" s="81" t="n">
        <x:v>0.7161527665526171</x:v>
      </x:c>
    </x:row>
    <x:row r="216">
      <x:c r="A216" s="59" t="n">
        <x:v>213</x:v>
      </x:c>
      <x:c r="B216" s="193" t="n">
        <x:v>0.5305613016709685</x:v>
      </x:c>
      <x:c r="C216" s="83" t="n">
        <x:v>0.3547369464287383</x:v>
      </x:c>
      <x:c r="D216" s="83" t="n">
        <x:v>1.4374531424667347</x:v>
      </x:c>
      <x:c r="E216" s="81" t="n">
        <x:v>-0.011629588486755788</x:v>
      </x:c>
      <x:c r="F216" s="81" t="n">
        <x:v>0.5226566334371455</x:v>
      </x:c>
      <x:c r="G216" s="81" t="n">
        <x:v>-0.05</x:v>
      </x:c>
      <x:c r="H216" s="59" t="n">
        <x:v>0</x:v>
      </x:c>
      <x:c r="I216" s="81" t="n">
        <x:v>0</x:v>
      </x:c>
      <x:c r="J216" s="79" t="n">
        <x:v>2.2667264153491537e-12</x:v>
      </x:c>
      <x:c r="K216" s="81" t="n">
        <x:v>-0.9999999974094556</x:v>
      </x:c>
      <x:c r="L216" s="81" t="n">
        <x:v>-0.9999999974094556</x:v>
      </x:c>
      <x:c r="M216" s="80" t="n">
        <x:v>0.35501571991012726</x:v>
      </x:c>
      <x:c r="N216" s="82" t="n">
        <x:v>0.22848340008243126</x:v>
      </x:c>
      <x:c r="O216" s="82" t="n">
        <x:v>0.11280856155950471</x:v>
      </x:c>
      <x:c r="P216" s="80" t="n">
        <x:v>1251.9740413332302</x:v>
      </x:c>
      <x:c r="Q216" s="81" t="n">
        <x:v>13.741677852406308</x:v>
      </x:c>
      <x:c r="R216" s="81" t="n">
        <x:v>17.874485836744586</x:v>
      </x:c>
      <x:c r="S216" s="81" t="n">
        <x:v>0.00009008243848534395</x:v>
      </x:c>
      <x:c r="T216" s="81" t="n">
        <x:v>4.910224291704432e-8</x:v>
      </x:c>
    </x:row>
    <x:row r="217">
      <x:c r="A217" s="59" t="n">
        <x:v>214</x:v>
      </x:c>
      <x:c r="B217" s="193" t="n">
        <x:v>0.340017917752266</x:v>
      </x:c>
      <x:c r="C217" s="83" t="n">
        <x:v>2.1677446348979057</x:v>
      </x:c>
      <x:c r="D217" s="83" t="n">
        <x:v>1.3041578263808487</x:v>
      </x:c>
      <x:c r="E217" s="81" t="n">
        <x:v>-0.03609880431358597</x:v>
      </x:c>
      <x:c r="F217" s="81" t="n">
        <x:v>0.7619698101305403</x:v>
      </x:c>
      <x:c r="G217" s="81" t="n">
        <x:v>0.02285215077638332</x:v>
      </x:c>
      <x:c r="H217" s="59" t="n">
        <x:v>0</x:v>
      </x:c>
      <x:c r="I217" s="81" t="n">
        <x:v>0</x:v>
      </x:c>
      <x:c r="J217" s="79" t="n">
        <x:v>5.300919425240506e-30</x:v>
      </x:c>
      <x:c r="K217" s="81" t="n">
        <x:v>-1</x:v>
      </x:c>
      <x:c r="L217" s="81" t="n">
        <x:v>-1</x:v>
      </x:c>
      <x:c r="M217" s="80" t="n">
        <x:v>0.000002</x:v>
      </x:c>
      <x:c r="N217" s="82" t="n">
        <x:v>0.18309239334454785</x:v>
      </x:c>
      <x:c r="O217" s="82" t="n">
        <x:v>0.1317889531227377</x:v>
      </x:c>
      <x:c r="P217" s="80" t="n">
        <x:v>1370.4129279594276</x:v>
      </x:c>
      <x:c r="Q217" s="81" t="n">
        <x:v>10938353472252.055</x:v>
      </x:c>
      <x:c r="R217" s="81" t="n">
        <x:v>2.3771212717375376</x:v>
      </x:c>
      <x:c r="S217" s="81" t="n">
        <x:v>4.747597840699718e-10</x:v>
      </x:c>
      <x:c r="T217" s="81" t="n">
        <x:v>1.1482948781966048e-25</x:v>
      </x:c>
    </x:row>
    <x:row r="218">
      <x:c r="A218" s="59" t="n">
        <x:v>215</x:v>
      </x:c>
      <x:c r="B218" s="193" t="n">
        <x:v>0.4150133322924376</x:v>
      </x:c>
      <x:c r="C218" s="83" t="n">
        <x:v>1.9515927352933031</x:v>
      </x:c>
      <x:c r="D218" s="83" t="n">
        <x:v>3</x:v>
      </x:c>
      <x:c r="E218" s="81" t="n">
        <x:v>-0.08854192246560358</x:v>
      </x:c>
      <x:c r="F218" s="81" t="n">
        <x:v>0.4807836395222694</x:v>
      </x:c>
      <x:c r="G218" s="81" t="n">
        <x:v>0.028867545837039967</x:v>
      </x:c>
      <x:c r="H218" s="59" t="n">
        <x:v>0</x:v>
      </x:c>
      <x:c r="I218" s="81" t="n">
        <x:v>0</x:v>
      </x:c>
      <x:c r="J218" s="79" t="n">
        <x:v>3.0725831764362834e-91</x:v>
      </x:c>
      <x:c r="K218" s="81" t="n">
        <x:v>-1</x:v>
      </x:c>
      <x:c r="L218" s="81" t="n">
        <x:v>-1</x:v>
      </x:c>
      <x:c r="M218" s="80" t="n">
        <x:v>0.000002</x:v>
      </x:c>
      <x:c r="N218" s="82" t="n">
        <x:v>0.2009577072520391</x:v>
      </x:c>
      <x:c r="O218" s="82" t="n">
        <x:v>0.09126941980644719</x:v>
      </x:c>
      <x:c r="P218" s="80" t="n">
        <x:v>767.6824033125455</x:v>
      </x:c>
      <x:c r="Q218" s="81" t="n">
        <x:v>8.083275200080217e+73</x:v>
      </x:c>
      <x:c r="R218" s="81" t="n">
        <x:v>0.8785797645473841</x:v>
      </x:c>
      <x:c r="S218" s="81" t="n">
        <x:v>1.2587586220994646e-9</x:v>
      </x:c>
      <x:c r="T218" s="81" t="n">
        <x:v>6.655885972412722e-87</x:v>
      </x:c>
    </x:row>
    <x:row r="219">
      <x:c r="A219" s="59" t="n">
        <x:v>216</x:v>
      </x:c>
      <x:c r="B219" s="193" t="n">
        <x:v>0.8288706371560692</x:v>
      </x:c>
      <x:c r="C219" s="83" t="n">
        <x:v>0.13867751960702232</x:v>
      </x:c>
      <x:c r="D219" s="83" t="n">
        <x:v>0.8046160520783072</x:v>
      </x:c>
      <x:c r="E219" s="81" t="n">
        <x:v>0.11070663701955898</x:v>
      </x:c>
      <x:c r="F219" s="81" t="n">
        <x:v>0.33951045661233364</x:v>
      </x:c>
      <x:c r="G219" s="81" t="n">
        <x:v>0.018841253010343288</x:v>
      </x:c>
      <x:c r="H219" s="59" t="n">
        <x:v>0</x:v>
      </x:c>
      <x:c r="I219" s="81" t="n">
        <x:v>0</x:v>
      </x:c>
      <x:c r="J219" s="79" t="n">
        <x:v>0.00950192312438338</x:v>
      </x:c>
      <x:c r="K219" s="81" t="n">
        <x:v>9.859340713581005</x:v>
      </x:c>
      <x:c r="L219" s="81" t="n">
        <x:v>-0.746179238763703</x:v>
      </x:c>
      <x:c r="M219" s="80" t="n">
        <x:v>26908.764161845967</x:v>
      </x:c>
      <x:c r="N219" s="82" t="n">
        <x:v>0.2995462770950219</x:v>
      </x:c>
      <x:c r="O219" s="82" t="n">
        <x:v>0.09607005136079096</x:v>
      </x:c>
      <x:c r="P219" s="80" t="n">
        <x:v>37234.287728792566</x:v>
      </x:c>
      <x:c r="Q219" s="81" t="n">
        <x:v>0.0022945905879111703</x:v>
      </x:c>
      <x:c r="R219" s="81" t="n">
        <x:v>1276.8307344630318</x:v>
      </x:c>
      <x:c r="S219" s="81" t="n">
        <x:v>1283.5672612683222</x:v>
      </x:c>
      <x:c r="T219" s="81" t="n">
        <x:v>205.83239965493857</x:v>
      </x:c>
    </x:row>
    <x:row r="220">
      <x:c r="A220" s="59" t="n">
        <x:v>217</x:v>
      </x:c>
      <x:c r="B220" s="193" t="n">
        <x:v>0.2660744369029999</x:v>
      </x:c>
      <x:c r="C220" s="83" t="n">
        <x:v>1.2246562787055348</x:v>
      </x:c>
      <x:c r="D220" s="83" t="n">
        <x:v>0.895193929809442</x:v>
      </x:c>
      <x:c r="E220" s="81" t="n">
        <x:v>-0.021134936155730893</x:v>
      </x:c>
      <x:c r="F220" s="81" t="n">
        <x:v>0.631185155210551</x:v>
      </x:c>
      <x:c r="G220" s="81" t="n">
        <x:v>-0.04994464237432407</x:v>
      </x:c>
      <x:c r="H220" s="59" t="n">
        <x:v>0</x:v>
      </x:c>
      <x:c r="I220" s="81" t="n">
        <x:v>0</x:v>
      </x:c>
      <x:c r="J220" s="79" t="n">
        <x:v>5.278128873730297e-13</x:v>
      </x:c>
      <x:c r="K220" s="81" t="n">
        <x:v>-0.9999999993967853</x:v>
      </x:c>
      <x:c r="L220" s="81" t="n">
        <x:v>-0.9999999993967853</x:v>
      </x:c>
      <x:c r="M220" s="80" t="n">
        <x:v>0.28192108694801016</x:v>
      </x:c>
      <x:c r="N220" s="82" t="n">
        <x:v>0.1654776697659864</x:v>
      </x:c>
      <x:c r="O220" s="82" t="n">
        <x:v>0.09866590747091823</x:v>
      </x:c>
      <x:c r="P220" s="80" t="n">
        <x:v>1350.455839707101</x:v>
      </x:c>
      <x:c r="Q220" s="81" t="n">
        <x:v>26.05739624326599</x:v>
      </x:c>
      <x:c r="R220" s="81" t="n">
        <x:v>6.147176895626546</x:v>
      </x:c>
      <x:c r="S220" s="81" t="n">
        <x:v>0.00002718311446442101</x:v>
      </x:c>
      <x:c r="T220" s="81" t="n">
        <x:v>1.143357947171802e-8</x:v>
      </x:c>
    </x:row>
    <x:row r="221">
      <x:c r="A221" s="59" t="n">
        <x:v>218</x:v>
      </x:c>
      <x:c r="B221" s="193" t="n">
        <x:v>0.37853948902338747</x:v>
      </x:c>
      <x:c r="C221" s="83" t="n">
        <x:v>0.15797588249973032</x:v>
      </x:c>
      <x:c r="D221" s="83" t="n">
        <x:v>0.7975108214480661</x:v>
      </x:c>
      <x:c r="E221" s="81" t="n">
        <x:v>-0.05948961348693787</x:v>
      </x:c>
      <x:c r="F221" s="81" t="n">
        <x:v>0.41868319758214056</x:v>
      </x:c>
      <x:c r="G221" s="81" t="n">
        <x:v>0.008966584159601764</x:v>
      </x:c>
      <x:c r="H221" s="59" t="n">
        <x:v>0</x:v>
      </x:c>
      <x:c r="I221" s="81" t="n">
        <x:v>0</x:v>
      </x:c>
      <x:c r="J221" s="79" t="n">
        <x:v>1.9470004114347247e-28</x:v>
      </x:c>
      <x:c r="K221" s="81" t="n">
        <x:v>-1</x:v>
      </x:c>
      <x:c r="L221" s="81" t="n">
        <x:v>-1</x:v>
      </x:c>
      <x:c r="M221" s="80" t="n">
        <x:v>0.000002</x:v>
      </x:c>
      <x:c r="N221" s="82" t="n">
        <x:v>0.19226895390079018</x:v>
      </x:c>
      <x:c r="O221" s="82" t="n">
        <x:v>0.07604411983488556</x:v>
      </x:c>
      <x:c r="P221" s="80" t="n">
        <x:v>295.6015759244416</x:v>
      </x:c>
      <x:c r="Q221" s="81" t="n">
        <x:v>184792488561.6671</x:v>
      </x:c>
      <x:c r="R221" s="81" t="n">
        <x:v>18.706888287154865</x:v>
      </x:c>
      <x:c r="S221" s="81" t="n">
        <x:v>6.725254204434287e-10</x:v>
      </x:c>
      <x:c r="T221" s="81" t="n">
        <x:v>4.2176279640314286e-24</x:v>
      </x:c>
    </x:row>
    <x:row r="222">
      <x:c r="A222" s="59" t="n">
        <x:v>219</x:v>
      </x:c>
      <x:c r="B222" s="193" t="n">
        <x:v>0.4110182624310255</x:v>
      </x:c>
      <x:c r="C222" s="83" t="n">
        <x:v>0.5235905776743129</x:v>
      </x:c>
      <x:c r="D222" s="83" t="n">
        <x:v>1.1018311580219144</x:v>
      </x:c>
      <x:c r="E222" s="81" t="n">
        <x:v>-0.039979346710803505</x:v>
      </x:c>
      <x:c r="F222" s="81" t="n">
        <x:v>0.7146758192800917</x:v>
      </x:c>
      <x:c r="G222" s="81" t="n">
        <x:v>0.08</x:v>
      </x:c>
      <x:c r="H222" s="59" t="n">
        <x:v>71</x:v>
      </x:c>
      <x:c r="I222" s="81" t="n">
        <x:v>0.21240447079762817</x:v>
      </x:c>
      <x:c r="J222" s="79" t="n">
        <x:v>5.954507954684242e-35</x:v>
      </x:c>
      <x:c r="K222" s="81" t="n">
        <x:v>-1</x:v>
      </x:c>
      <x:c r="L222" s="81" t="n">
        <x:v>-1</x:v>
      </x:c>
      <x:c r="M222" s="80" t="n">
        <x:v>0.000002</x:v>
      </x:c>
      <x:c r="N222" s="82" t="n">
        <x:v>0.20000600670349075</x:v>
      </x:c>
      <x:c r="O222" s="82" t="n">
        <x:v>0.1350277617967559</x:v>
      </x:c>
      <x:c r="P222" s="80" t="n">
        <x:v>554.95018209141</x:v>
      </x:c>
      <x:c r="Q222" s="81" t="n">
        <x:v>882547202591463700</x:v>
      </x:c>
      <x:c r="R222" s="81" t="n">
        <x:v>6.3606589757588585</x:v>
      </x:c>
      <x:c r="S222" s="81" t="n">
        <x:v>1.615870562263294e-9</x:v>
      </x:c>
      <x:c r="T222" s="81" t="n">
        <x:v>1.2898764229442392e-30</x:v>
      </x:c>
    </x:row>
    <x:row r="223">
      <x:c r="A223" s="59" t="n">
        <x:v>220</x:v>
      </x:c>
      <x:c r="B223" s="193" t="n">
        <x:v>0.7934892658144237</x:v>
      </x:c>
      <x:c r="C223" s="83" t="n">
        <x:v>0.12413157718504923</x:v>
      </x:c>
      <x:c r="D223" s="83" t="n">
        <x:v>0.859268131542591</x:v>
      </x:c>
      <x:c r="E223" s="81" t="n">
        <x:v>-0.03151677757577475</x:v>
      </x:c>
      <x:c r="F223" s="81" t="n">
        <x:v>0.821154351963196</x:v>
      </x:c>
      <x:c r="G223" s="81" t="n">
        <x:v>0.01674043415471729</x:v>
      </x:c>
      <x:c r="H223" s="59" t="n">
        <x:v>0</x:v>
      </x:c>
      <x:c r="I223" s="81" t="n">
        <x:v>0</x:v>
      </x:c>
      <x:c r="J223" s="79" t="n">
        <x:v>6.796980503413318e-23</x:v>
      </x:c>
      <x:c r="K223" s="81" t="n">
        <x:v>-1</x:v>
      </x:c>
      <x:c r="L223" s="81" t="n">
        <x:v>-1</x:v>
      </x:c>
      <x:c r="M223" s="80" t="n">
        <x:v>0.000002</x:v>
      </x:c>
      <x:c r="N223" s="82" t="n">
        <x:v>0.2911177710407298</x:v>
      </x:c>
      <x:c r="O223" s="82" t="n">
        <x:v>0.2258210685798087</x:v>
      </x:c>
      <x:c r="P223" s="80" t="n">
        <x:v>379.49168754848404</x:v>
      </x:c>
      <x:c r="Q223" s="81" t="n">
        <x:v>972776.9242674509</x:v>
      </x:c>
      <x:c r="R223" s="81" t="n">
        <x:v>27.17807310861243</x:v>
      </x:c>
      <x:c r="S223" s="81" t="n">
        <x:v>8.194802530921766e-10</x:v>
      </x:c>
      <x:c r="T223" s="81" t="n">
        <x:v>1.4723743700212118e-18</x:v>
      </x:c>
    </x:row>
    <x:row r="224">
      <x:c r="A224" s="59" t="n">
        <x:v>221</x:v>
      </x:c>
      <x:c r="B224" s="193" t="n">
        <x:v>0.3058573512360454</x:v>
      </x:c>
      <x:c r="C224" s="83" t="n">
        <x:v>0.2927404369396526</x:v>
      </x:c>
      <x:c r="D224" s="83" t="n">
        <x:v>1.1884117022989846</x:v>
      </x:c>
      <x:c r="E224" s="81" t="n">
        <x:v>0.02061067801382217</x:v>
      </x:c>
      <x:c r="F224" s="81" t="n">
        <x:v>0.8808312630862929</x:v>
      </x:c>
      <x:c r="G224" s="81" t="n">
        <x:v>0.008104485826110168</x:v>
      </x:c>
      <x:c r="H224" s="59" t="n">
        <x:v>32</x:v>
      </x:c>
      <x:c r="I224" s="81" t="n">
        <x:v>0.3661474243737758</x:v>
      </x:c>
      <x:c r="J224" s="79" t="n">
        <x:v>0.0002477824942870865</x:v>
      </x:c>
      <x:c r="K224" s="81" t="n">
        <x:v>-0.716820006529044</x:v>
      </x:c>
      <x:c r="L224" s="81" t="n">
        <x:v>-0.8606410825118526</x:v>
      </x:c>
      <x:c r="M224" s="80" t="n">
        <x:v>3833.2738647370697</x:v>
      </x:c>
      <x:c r="N224" s="82" t="n">
        <x:v>0.17495470588976172</x:v>
      </x:c>
      <x:c r="O224" s="82" t="n">
        <x:v>0.145575835356966</x:v>
      </x:c>
      <x:c r="P224" s="80" t="n">
        <x:v>9682.16133738601</x:v>
      </x:c>
      <x:c r="Q224" s="81" t="n">
        <x:v>0.015168488348810384</x:v>
      </x:c>
      <x:c r="R224" s="81" t="n">
        <x:v>72.01129947922342</x:v>
      </x:c>
      <x:c r="S224" s="81" t="n">
        <x:v>17.448958970346546</x:v>
      </x:c>
      <x:c r="T224" s="81" t="n">
        <x:v>5.3675097897518365</x:v>
      </x:c>
    </x:row>
    <x:row r="225">
      <x:c r="A225" s="59" t="n">
        <x:v>222</x:v>
      </x:c>
      <x:c r="B225" s="193" t="n">
        <x:v>0.42422609813511375</x:v>
      </x:c>
      <x:c r="C225" s="83" t="n">
        <x:v>0.3791986812620395</x:v>
      </x:c>
      <x:c r="D225" s="83" t="n">
        <x:v>1.0274704167138333</x:v>
      </x:c>
      <x:c r="E225" s="81" t="n">
        <x:v>0.010073514479526367</x:v>
      </x:c>
      <x:c r="F225" s="81" t="n">
        <x:v>0.7658830054919236</x:v>
      </x:c>
      <x:c r="G225" s="81" t="n">
        <x:v>-0.02281615732229828</x:v>
      </x:c>
      <x:c r="H225" s="59" t="n">
        <x:v>0</x:v>
      </x:c>
      <x:c r="I225" s="81" t="n">
        <x:v>0</x:v>
      </x:c>
      <x:c r="J225" s="79" t="n">
        <x:v>0.00002332189658633314</x:v>
      </x:c>
      <x:c r="K225" s="81" t="n">
        <x:v>-0.9733464039013335</x:v>
      </x:c>
      <x:c r="L225" s="81" t="n">
        <x:v>-0.9733464039013335</x:v>
      </x:c>
      <x:c r="M225" s="80" t="n">
        <x:v>1176.4316008190362</x:v>
      </x:c>
      <x:c r="N225" s="82" t="n">
        <x:v>0.20315236081512392</x:v>
      </x:c>
      <x:c r="O225" s="82" t="n">
        <x:v>0.14697898648712196</x:v>
      </x:c>
      <x:c r="P225" s="80" t="n">
        <x:v>3725.432745289223</x:v>
      </x:c>
      <x:c r="Q225" s="81" t="n">
        <x:v>0.026016584109356977</x:v>
      </x:c>
      <x:c r="R225" s="81" t="n">
        <x:v>35.60612355249695</x:v>
      </x:c>
      <x:c r="S225" s="81" t="n">
        <x:v>1.4347776062550464</x:v>
      </x:c>
      <x:c r="T225" s="81" t="n">
        <x:v>0.5052031968718744</x:v>
      </x:c>
    </x:row>
    <x:row r="226">
      <x:c r="A226" s="59" t="n">
        <x:v>223</x:v>
      </x:c>
      <x:c r="B226" s="193" t="n">
        <x:v>0.48405567463487387</x:v>
      </x:c>
      <x:c r="C226" s="83" t="n">
        <x:v>0.15343622104273652</x:v>
      </x:c>
      <x:c r="D226" s="83" t="n">
        <x:v>1.3089170448086973</x:v>
      </x:c>
      <x:c r="E226" s="81" t="n">
        <x:v>0.03973146006106778</x:v>
      </x:c>
      <x:c r="F226" s="81" t="n">
        <x:v>0.6711347722215578</x:v>
      </x:c>
      <x:c r="G226" s="81" t="n">
        <x:v>0.01651008756381363</x:v>
      </x:c>
      <x:c r="H226" s="59" t="n">
        <x:v>0</x:v>
      </x:c>
      <x:c r="I226" s="81" t="n">
        <x:v>0</x:v>
      </x:c>
      <x:c r="J226" s="79" t="n">
        <x:v>0.001360071425769501</x:v>
      </x:c>
      <x:c r="K226" s="81" t="n">
        <x:v>0.5543673437365728</x:v>
      </x:c>
      <x:c r="L226" s="81" t="n">
        <x:v>-0.7792134118315756</x:v>
      </x:c>
      <x:c r="M226" s="80" t="n">
        <x:v>9001.201861820724</x:v>
      </x:c>
      <x:c r="N226" s="82" t="n">
        <x:v>0.21740488774192634</x:v>
      </x:c>
      <x:c r="O226" s="82" t="n">
        <x:v>0.13783197723879567</x:v>
      </x:c>
      <x:c r="P226" s="80" t="n">
        <x:v>22012.23089003388</x:v>
      </x:c>
      <x:c r="Q226" s="81" t="n">
        <x:v>0.008068325581451343</x:v>
      </x:c>
      <x:c r="R226" s="81" t="n">
        <x:v>297.44938438887584</x:v>
      </x:c>
      <x:c r="S226" s="81" t="n">
        <x:v>170.2214013921491</x:v>
      </x:c>
      <x:c r="T226" s="81" t="n">
        <x:v>29.462116416187815</x:v>
      </x:c>
    </x:row>
    <x:row r="227">
      <x:c r="A227" s="59" t="n">
        <x:v>224</x:v>
      </x:c>
      <x:c r="B227" s="193" t="n">
        <x:v>0.7027633074671031</x:v>
      </x:c>
      <x:c r="C227" s="83" t="n">
        <x:v>0.8115162590543743</x:v>
      </x:c>
      <x:c r="D227" s="83" t="n">
        <x:v>0.176312512817401</x:v>
      </x:c>
      <x:c r="E227" s="81" t="n">
        <x:v>-0.044415436981607374</x:v>
      </x:c>
      <x:c r="F227" s="81" t="n">
        <x:v>0.6167228488251567</x:v>
      </x:c>
      <x:c r="G227" s="81" t="n">
        <x:v>0.0031779612483776275</x:v>
      </x:c>
      <x:c r="H227" s="59" t="n">
        <x:v>0</x:v>
      </x:c>
      <x:c r="I227" s="81" t="n">
        <x:v>0</x:v>
      </x:c>
      <x:c r="J227" s="79" t="n">
        <x:v>3.183103659098871e-10</x:v>
      </x:c>
      <x:c r="K227" s="81" t="n">
        <x:v>-0.9999996362167247</x:v>
      </x:c>
      <x:c r="L227" s="81" t="n">
        <x:v>-0.9999996362167247</x:v>
      </x:c>
      <x:c r="M227" s="80" t="n">
        <x:v>5.584872488565199</x:v>
      </x:c>
      <x:c r="N227" s="82" t="n">
        <x:v>0.269505146650679</x:v>
      </x:c>
      <x:c r="O227" s="82" t="n">
        <x:v>0.15701026400042034</x:v>
      </x:c>
      <x:c r="P227" s="80" t="n">
        <x:v>313.9387569336289</x:v>
      </x:c>
      <x:c r="Q227" s="81" t="n">
        <x:v>0.4096986745123743</x:v>
      </x:c>
      <x:c r="R227" s="81" t="n">
        <x:v>9.472380136526668</x:v>
      </x:c>
      <x:c r="S227" s="81" t="n">
        <x:v>0.00025876962425836793</x:v>
      </x:c>
      <x:c r="T227" s="81" t="n">
        <x:v>0.000006895297466903619</x:v>
      </x:c>
    </x:row>
    <x:row r="228">
      <x:c r="A228" s="59" t="n">
        <x:v>225</x:v>
      </x:c>
      <x:c r="B228" s="193" t="n">
        <x:v>0.975283069163561</x:v>
      </x:c>
      <x:c r="C228" s="83" t="n">
        <x:v>0.6933954684285861</x:v>
      </x:c>
      <x:c r="D228" s="83" t="n">
        <x:v>0.23738689425707823</x:v>
      </x:c>
      <x:c r="E228" s="81" t="n">
        <x:v>0.08737565697079329</x:v>
      </x:c>
      <x:c r="F228" s="81" t="n">
        <x:v>0.31034416882321236</x:v>
      </x:c>
      <x:c r="G228" s="81" t="n">
        <x:v>0.004306635817345957</x:v>
      </x:c>
      <x:c r="H228" s="59" t="n">
        <x:v>0</x:v>
      </x:c>
      <x:c r="I228" s="81" t="n">
        <x:v>0</x:v>
      </x:c>
      <x:c r="J228" s="79" t="n">
        <x:v>0.0006014662565564462</x:v>
      </x:c>
      <x:c r="K228" s="81" t="n">
        <x:v>-0.31260999250691857</x:v>
      </x:c>
      <x:c r="L228" s="81" t="n">
        <x:v>-0.7231403778399417</x:v>
      </x:c>
      <x:c r="M228" s="80" t="n">
        <x:v>7678.309151366774</x:v>
      </x:c>
      <x:c r="N228" s="82" t="n">
        <x:v>0.334424463632307</x:v>
      </x:c>
      <x:c r="O228" s="82" t="n">
        <x:v>0.09804209226171451</x:v>
      </x:c>
      <x:c r="P228" s="80" t="n">
        <x:v>4104.703075776136</x:v>
      </x:c>
      <x:c r="Q228" s="81" t="n">
        <x:v>0.0025207412936333815</x:v>
      </x:c>
      <x:c r="R228" s="81" t="n">
        <x:v>42.70144025885011</x:v>
      </x:c>
      <x:c r="S228" s="81" t="n">
        <x:v>16.64273925671309</x:v>
      </x:c>
      <x:c r="T228" s="81" t="n">
        <x:v>13.029072249678961</x:v>
      </x:c>
    </x:row>
    <x:row r="229">
      <x:c r="A229" s="59" t="n">
        <x:v>226</x:v>
      </x:c>
      <x:c r="B229" s="193" t="n">
        <x:v>0.7578942680731415</x:v>
      </x:c>
      <x:c r="C229" s="83" t="n">
        <x:v>1.3708254609768957</x:v>
      </x:c>
      <x:c r="D229" s="83" t="n">
        <x:v>0.4241881750773644</x:v>
      </x:c>
      <x:c r="E229" s="81" t="n">
        <x:v>0.029376315673795967</x:v>
      </x:c>
      <x:c r="F229" s="81" t="n">
        <x:v>0.2873183753341436</x:v>
      </x:c>
      <x:c r="G229" s="81" t="n">
        <x:v>0.0031164336374040046</x:v>
      </x:c>
      <x:c r="H229" s="59" t="n">
        <x:v>41</x:v>
      </x:c>
      <x:c r="I229" s="81" t="n">
        <x:v>0.4573482272215188</x:v>
      </x:c>
      <x:c r="J229" s="79" t="n">
        <x:v>0.0006389570240387772</x:v>
      </x:c>
      <x:c r="K229" s="81" t="n">
        <x:v>-0.26976340109854036</x:v>
      </x:c>
      <x:c r="L229" s="81" t="n">
        <x:v>-0.6534250284708361</x:v>
      </x:c>
      <x:c r="M229" s="80" t="n">
        <x:v>10694.516818808032</x:v>
      </x:c>
      <x:c r="N229" s="82" t="n">
        <x:v>0.2826383751725487</x:v>
      </x:c>
      <x:c r="O229" s="82" t="n">
        <x:v>0.07671238259601071</x:v>
      </x:c>
      <x:c r="P229" s="80" t="n">
        <x:v>9676.291053392775</x:v>
      </x:c>
      <x:c r="Q229" s="81" t="n">
        <x:v>0.005695819475794676</x:v>
      </x:c>
      <x:c r="R229" s="81" t="n">
        <x:v>20.46138510471695</x:v>
      </x:c>
      <x:c r="S229" s="81" t="n">
        <x:v>9.548315887875255</x:v>
      </x:c>
      <x:c r="T229" s="81" t="n">
        <x:v>13.84120412390882</x:v>
      </x:c>
    </x:row>
    <x:row r="230">
      <x:c r="A230" s="59" t="n">
        <x:v>227</x:v>
      </x:c>
      <x:c r="B230" s="193" t="n">
        <x:v>0.656830826587975</x:v>
      </x:c>
      <x:c r="C230" s="83" t="n">
        <x:v>1.0727377604530604</x:v>
      </x:c>
      <x:c r="D230" s="83" t="n">
        <x:v>0.7214110099934599</x:v>
      </x:c>
      <x:c r="E230" s="81" t="n">
        <x:v>0.00017697299088409175</x:v>
      </x:c>
      <x:c r="F230" s="81" t="n">
        <x:v>0.6670098877279088</x:v>
      </x:c>
      <x:c r="G230" s="81" t="n">
        <x:v>0.006556253334380208</x:v>
      </x:c>
      <x:c r="H230" s="59" t="n">
        <x:v>0</x:v>
      </x:c>
      <x:c r="I230" s="81" t="n">
        <x:v>0</x:v>
      </x:c>
      <x:c r="J230" s="79" t="n">
        <x:v>0.0000012203001406179928</x:v>
      </x:c>
      <x:c r="K230" s="81" t="n">
        <x:v>-0.9986053712678652</x:v>
      </x:c>
      <x:c r="L230" s="81" t="n">
        <x:v>-0.9986053712678652</x:v>
      </x:c>
      <x:c r="M230" s="80" t="n">
        <x:v>391.07282933202214</x:v>
      </x:c>
      <x:c r="N230" s="82" t="n">
        <x:v>0.25856316847125427</x:v>
      </x:c>
      <x:c r="O230" s="82" t="n">
        <x:v>0.16291830191210097</x:v>
      </x:c>
      <x:c r="P230" s="80" t="n">
        <x:v>2627.168755293642</x:v>
      </x:c>
      <x:c r="Q230" s="81" t="n">
        <x:v>0.09194580115260151</x:v>
      </x:c>
      <x:c r="R230" s="81" t="n">
        <x:v>10.84487010962392</x:v>
      </x:c>
      <x:c r="S230" s="81" t="n">
        <x:v>0.08594096306629029</x:v>
      </x:c>
      <x:c r="T230" s="81" t="n">
        <x:v>0.026434365228455846</x:v>
      </x:c>
    </x:row>
    <x:row r="231">
      <x:c r="A231" s="59" t="n">
        <x:v>228</x:v>
      </x:c>
      <x:c r="B231" s="193" t="n">
        <x:v>0.6821686908602715</x:v>
      </x:c>
      <x:c r="C231" s="83" t="n">
        <x:v>0.29518187345392916</x:v>
      </x:c>
      <x:c r="D231" s="83" t="n">
        <x:v>1.4854706818016834</x:v>
      </x:c>
      <x:c r="E231" s="81" t="n">
        <x:v>-0.07444140606044455</x:v>
      </x:c>
      <x:c r="F231" s="81" t="n">
        <x:v>0.27310847260523585</x:v>
      </x:c>
      <x:c r="G231" s="81" t="n">
        <x:v>0.010324752449131346</x:v>
      </x:c>
      <x:c r="H231" s="59" t="n">
        <x:v>0</x:v>
      </x:c>
      <x:c r="I231" s="81" t="n">
        <x:v>0</x:v>
      </x:c>
      <x:c r="J231" s="79" t="n">
        <x:v>9.750929479672958e-47</x:v>
      </x:c>
      <x:c r="K231" s="81" t="n">
        <x:v>-1</x:v>
      </x:c>
      <x:c r="L231" s="81" t="n">
        <x:v>-1</x:v>
      </x:c>
      <x:c r="M231" s="80" t="n">
        <x:v>0.000002</x:v>
      </x:c>
      <x:c r="N231" s="82" t="n">
        <x:v>0.2645991228258699</x:v>
      </x:c>
      <x:c r="O231" s="82" t="n">
        <x:v>0.06826443740412183</x:v>
      </x:c>
      <x:c r="P231" s="80" t="n">
        <x:v>313.38445884877035</x:v>
      </x:c>
      <x:c r="Q231" s="81" t="n">
        <x:v>2.99031510410581e+29</x:v>
      </x:c>
      <x:c r="R231" s="81" t="n">
        <x:v>4.882017542320881</x:v>
      </x:c>
      <x:c r="S231" s="81" t="n">
        <x:v>1.1384470850779786e-9</x:v>
      </x:c>
      <x:c r="T231" s="81" t="n">
        <x:v>2.112264209459613e-42</x:v>
      </x:c>
    </x:row>
    <x:row r="232">
      <x:c r="A232" s="59" t="n">
        <x:v>229</x:v>
      </x:c>
      <x:c r="B232" s="193" t="n">
        <x:v>0.3168267330154777</x:v>
      </x:c>
      <x:c r="C232" s="83" t="n">
        <x:v>0.5346026779647503</x:v>
      </x:c>
      <x:c r="D232" s="83" t="n">
        <x:v>0.22057384230054472</x:v>
      </x:c>
      <x:c r="E232" s="81" t="n">
        <x:v>0.0879539942993713</x:v>
      </x:c>
      <x:c r="F232" s="81" t="n">
        <x:v>0.36267555395606904</x:v>
      </x:c>
      <x:c r="G232" s="81" t="n">
        <x:v>-0.026662268796921726</x:v>
      </x:c>
      <x:c r="H232" s="59" t="n">
        <x:v>0</x:v>
      </x:c>
      <x:c r="I232" s="81" t="n">
        <x:v>0</x:v>
      </x:c>
      <x:c r="J232" s="79" t="n">
        <x:v>0.0005490646340338471</x:v>
      </x:c>
      <x:c r="K232" s="81" t="n">
        <x:v>-0.37249756110417476</x:v>
      </x:c>
      <x:c r="L232" s="81" t="n">
        <x:v>-0.7024940727519444</x:v>
      </x:c>
      <x:c r="M232" s="80" t="n">
        <x:v>6521.802174132819</x:v>
      </x:c>
      <x:c r="N232" s="82" t="n">
        <x:v>0.17756781830553073</x:v>
      </x:c>
      <x:c r="O232" s="82" t="n">
        <x:v>0.06083499597625383</x:v>
      </x:c>
      <x:c r="P232" s="80" t="n">
        <x:v>3269.2802231932005</x:v>
      </x:c>
      <x:c r="Q232" s="81" t="n">
        <x:v>0.0015294760280849093</x:v>
      </x:c>
      <x:c r="R232" s="81" t="n">
        <x:v>64.40385311798904</x:v>
      </x:c>
      <x:c r="S232" s="81" t="n">
        <x:v>19.39086246537761</x:v>
      </x:c>
      <x:c r="T232" s="81" t="n">
        <x:v>11.893938701612205</x:v>
      </x:c>
    </x:row>
    <x:row r="233">
      <x:c r="A233" s="59" t="n">
        <x:v>230</x:v>
      </x:c>
      <x:c r="B233" s="193" t="n">
        <x:v>0.30676724649965764</x:v>
      </x:c>
      <x:c r="C233" s="83" t="n">
        <x:v>0.48445283424506574</x:v>
      </x:c>
      <x:c r="D233" s="83" t="n">
        <x:v>0.536146846280343</x:v>
      </x:c>
      <x:c r="E233" s="81" t="n">
        <x:v>-0.14624625715993067</x:v>
      </x:c>
      <x:c r="F233" s="81" t="n">
        <x:v>0.3471054849214852</x:v>
      </x:c>
      <x:c r="G233" s="81" t="n">
        <x:v>-0.0045742056890634</x:v>
      </x:c>
      <x:c r="H233" s="59" t="n">
        <x:v>0</x:v>
      </x:c>
      <x:c r="I233" s="81" t="n">
        <x:v>0</x:v>
      </x:c>
      <x:c r="J233" s="79" t="n">
        <x:v>8.349590525855242e-36</x:v>
      </x:c>
      <x:c r="K233" s="81" t="n">
        <x:v>-1</x:v>
      </x:c>
      <x:c r="L233" s="81" t="n">
        <x:v>-1</x:v>
      </x:c>
      <x:c r="M233" s="80" t="n">
        <x:v>0.000002</x:v>
      </x:c>
      <x:c r="N233" s="82" t="n">
        <x:v>0.1751714600020903</x:v>
      </x:c>
      <x:c r="O233" s="82" t="n">
        <x:v>0.057437531637541756</x:v>
      </x:c>
      <x:c r="P233" s="80" t="n">
        <x:v>173.08417716393404</x:v>
      </x:c>
      <x:c r="Q233" s="81" t="n">
        <x:v>1896368766711372800</x:v>
      </x:c>
      <x:c r="R233" s="81" t="n">
        <x:v>4.080608653610628</x:v>
      </x:c>
      <x:c r="S233" s="81" t="n">
        <x:v>2.992239084258843e-10</x:v>
      </x:c>
      <x:c r="T233" s="81" t="n">
        <x:v>1.8087035977619048e-31</x:v>
      </x:c>
    </x:row>
    <x:row r="234">
      <x:c r="A234" s="59" t="n">
        <x:v>231</x:v>
      </x:c>
      <x:c r="B234" s="193" t="n">
        <x:v>0.48692577667534354</x:v>
      </x:c>
      <x:c r="C234" s="83" t="n">
        <x:v>0.2791211185357593</x:v>
      </x:c>
      <x:c r="D234" s="83" t="n">
        <x:v>1.1058684459570232</x:v>
      </x:c>
      <x:c r="E234" s="81" t="n">
        <x:v>-0.008009660333233854</x:v>
      </x:c>
      <x:c r="F234" s="81" t="n">
        <x:v>0.6555586370290257</x:v>
      </x:c>
      <x:c r="G234" s="81" t="n">
        <x:v>0.05863308185351797</x:v>
      </x:c>
      <x:c r="H234" s="59" t="n">
        <x:v>51</x:v>
      </x:c>
      <x:c r="I234" s="81" t="n">
        <x:v>0.34412133619189267</x:v>
      </x:c>
      <x:c r="J234" s="79" t="n">
        <x:v>3.532683456369591e-13</x:v>
      </x:c>
      <x:c r="K234" s="81" t="n">
        <x:v>-0.9999999995962647</x:v>
      </x:c>
      <x:c r="L234" s="81" t="n">
        <x:v>-0.9999999995962647</x:v>
      </x:c>
      <x:c r="M234" s="80" t="n">
        <x:v>0.13269202791736084</x:v>
      </x:c>
      <x:c r="N234" s="82" t="n">
        <x:v>0.2180885998623792</x:v>
      </x:c>
      <x:c r="O234" s="82" t="n">
        <x:v>0.13505648725854594</x:v>
      </x:c>
      <x:c r="P234" s="80" t="n">
        <x:v>1186.2835274623164</x:v>
      </x:c>
      <x:c r="Q234" s="81" t="n">
        <x:v>47.71283851034732</x:v>
      </x:c>
      <x:c r="R234" s="81" t="n">
        <x:v>25.33737646904421</x:v>
      </x:c>
      <x:c r="S234" s="81" t="n">
        <x:v>0.00010405269025079157</x:v>
      </x:c>
      <x:c r="T234" s="81" t="n">
        <x:v>7.652563628723771e-9</x:v>
      </x:c>
    </x:row>
    <x:row r="235">
      <x:c r="A235" s="59" t="n">
        <x:v>232</x:v>
      </x:c>
      <x:c r="B235" s="193" t="n">
        <x:v>0.7314198840409518</x:v>
      </x:c>
      <x:c r="C235" s="83" t="n">
        <x:v>0.7917431105255566</x:v>
      </x:c>
      <x:c r="D235" s="83" t="n">
        <x:v>0.724300564504077</x:v>
      </x:c>
      <x:c r="E235" s="81" t="n">
        <x:v>-0.04893182041671082</x:v>
      </x:c>
      <x:c r="F235" s="81" t="n">
        <x:v>0.49008808732032777</x:v>
      </x:c>
      <x:c r="G235" s="81" t="n">
        <x:v>-0.014760471383066756</x:v>
      </x:c>
      <x:c r="H235" s="59" t="n">
        <x:v>39</x:v>
      </x:c>
      <x:c r="I235" s="81" t="n">
        <x:v>0.35910616628825665</x:v>
      </x:c>
      <x:c r="J235" s="79" t="n">
        <x:v>1.57890542148484e-23</x:v>
      </x:c>
      <x:c r="K235" s="81" t="n">
        <x:v>-1</x:v>
      </x:c>
      <x:c r="L235" s="81" t="n">
        <x:v>-1</x:v>
      </x:c>
      <x:c r="M235" s="80" t="n">
        <x:v>0.000002</x:v>
      </x:c>
      <x:c r="N235" s="82" t="n">
        <x:v>0.27633168050138046</x:v>
      </x:c>
      <x:c r="O235" s="82" t="n">
        <x:v>0.12793099161028287</x:v>
      </x:c>
      <x:c r="P235" s="80" t="n">
        <x:v>517.3354659422407</x:v>
      </x:c>
      <x:c r="Q235" s="81" t="n">
        <x:v>2742802.7198385675</x:v>
      </x:c>
      <x:c r="R235" s="81" t="n">
        <x:v>5.222365048748091</x:v>
      </x:c>
      <x:c r="S235" s="81" t="n">
        <x:v>2.955103922215283e-10</x:v>
      </x:c>
      <x:c r="T235" s="81" t="n">
        <x:v>3.420253852595834e-19</x:v>
      </x:c>
    </x:row>
    <x:row r="236">
      <x:c r="A236" s="59" t="n">
        <x:v>233</x:v>
      </x:c>
      <x:c r="B236" s="193" t="n">
        <x:v>0.5345378970727325</x:v>
      </x:c>
      <x:c r="C236" s="83" t="n">
        <x:v>0.7096403202544248</x:v>
      </x:c>
      <x:c r="D236" s="83" t="n">
        <x:v>0.5194997538810996</x:v>
      </x:c>
      <x:c r="E236" s="81" t="n">
        <x:v>0.03661755174733442</x:v>
      </x:c>
      <x:c r="F236" s="81" t="n">
        <x:v>0.5048225395032204</x:v>
      </x:c>
      <x:c r="G236" s="81" t="n">
        <x:v>-0.03751895356645185</x:v>
      </x:c>
      <x:c r="H236" s="59" t="n">
        <x:v>0</x:v>
      </x:c>
      <x:c r="I236" s="81" t="n">
        <x:v>0</x:v>
      </x:c>
      <x:c r="J236" s="79" t="n">
        <x:v>0.00015937394355603464</x:v>
      </x:c>
      <x:c r="K236" s="81" t="n">
        <x:v>-0.8178583502216747</x:v>
      </x:c>
      <x:c r="L236" s="81" t="n">
        <x:v>-0.870520609463032</x:v>
      </x:c>
      <x:c r="M236" s="80" t="n">
        <x:v>3900.2233828161416</x:v>
      </x:c>
      <x:c r="N236" s="82" t="n">
        <x:v>0.22943069966829507</x:v>
      </x:c>
      <x:c r="O236" s="82" t="n">
        <x:v>0.10941105571616949</x:v>
      </x:c>
      <x:c r="P236" s="80" t="n">
        <x:v>4872.850711491214</x:v>
      </x:c>
      <x:c r="Q236" s="81" t="n">
        <x:v>0.0060351471291691505</x:v>
      </x:c>
      <x:c r="R236" s="81" t="n">
        <x:v>36.4775803576691</x:v>
      </x:c>
      <x:c r="S236" s="81" t="n">
        <x:v>4.508024787617698</x:v>
      </x:c>
      <x:c r="T236" s="81" t="n">
        <x:v>3.4523875656737824</x:v>
      </x:c>
    </x:row>
    <x:row r="237">
      <x:c r="A237" s="59" t="n">
        <x:v>234</x:v>
      </x:c>
      <x:c r="B237" s="193" t="n">
        <x:v>0.9275575263425708</x:v>
      </x:c>
      <x:c r="C237" s="83" t="n">
        <x:v>1.345370239876046</x:v>
      </x:c>
      <x:c r="D237" s="83" t="n">
        <x:v>1.2237609667662297</x:v>
      </x:c>
      <x:c r="E237" s="81" t="n">
        <x:v>0.11356363766924331</x:v>
      </x:c>
      <x:c r="F237" s="81" t="n">
        <x:v>0.7893786472268403</x:v>
      </x:c>
      <x:c r="G237" s="81" t="n">
        <x:v>0.014187076265656497</x:v>
      </x:c>
      <x:c r="H237" s="59" t="n">
        <x:v>0</x:v>
      </x:c>
      <x:c r="I237" s="81" t="n">
        <x:v>0</x:v>
      </x:c>
      <x:c r="J237" s="79" t="n">
        <x:v>0.01584020070209284</x:v>
      </x:c>
      <x:c r="K237" s="81" t="n">
        <x:v>17.103086516677536</x:v>
      </x:c>
      <x:c r="L237" s="81" t="n">
        <x:v>-0.795354380211248</x:v>
      </x:c>
      <x:c r="M237" s="80" t="n">
        <x:v>82630.15035508221</x:v>
      </x:c>
      <x:c r="N237" s="82" t="n">
        <x:v>0.32305534447841955</x:v>
      </x:c>
      <x:c r="O237" s="82" t="n">
        <x:v>0.2408980289408593</x:v>
      </x:c>
      <x:c r="P237" s="80" t="n">
        <x:v>152900.86057724318</x:v>
      </x:c>
      <x:c r="Q237" s="81" t="n">
        <x:v>0.006004348798980317</x:v>
      </x:c>
      <x:c r="R237" s="81" t="n">
        <x:v>229.05055937288233</x:v>
      </x:c>
      <x:c r="S237" s="81" t="n">
        <x:v>242.83372057985474</x:v>
      </x:c>
      <x:c r="T237" s="81" t="n">
        <x:v>343.1333298372898</x:v>
      </x:c>
    </x:row>
    <x:row r="238">
      <x:c r="A238" s="59" t="n">
        <x:v>235</x:v>
      </x:c>
      <x:c r="B238" s="193" t="n">
        <x:v>0.5841201111674309</x:v>
      </x:c>
      <x:c r="C238" s="83" t="n">
        <x:v>0.4644619629703477</x:v>
      </x:c>
      <x:c r="D238" s="83" t="n">
        <x:v>0.4063453736399712</x:v>
      </x:c>
      <x:c r="E238" s="81" t="n">
        <x:v>0.06991739183243861</x:v>
      </x:c>
      <x:c r="F238" s="81" t="n">
        <x:v>0.8171565044671297</x:v>
      </x:c>
      <x:c r="G238" s="81" t="n">
        <x:v>-0.00351170335328697</x:v>
      </x:c>
      <x:c r="H238" s="59" t="n">
        <x:v>0</x:v>
      </x:c>
      <x:c r="I238" s="81" t="n">
        <x:v>0</x:v>
      </x:c>
      <x:c r="J238" s="79" t="n">
        <x:v>0.00020335100934279504</x:v>
      </x:c>
      <x:c r="K238" s="81" t="n">
        <x:v>-0.7675988464653771</x:v>
      </x:c>
      <x:c r="L238" s="81" t="n">
        <x:v>-0.8673619889340151</x:v>
      </x:c>
      <x:c r="M238" s="80" t="n">
        <x:v>3968.143742822843</x:v>
      </x:c>
      <x:c r="N238" s="82" t="n">
        <x:v>0.24124211273216628</x:v>
      </x:c>
      <x:c r="O238" s="82" t="n">
        <x:v>0.1862212798364178</x:v>
      </x:c>
      <x:c r="P238" s="80" t="n">
        <x:v>3638.0547209046217</x:v>
      </x:c>
      <x:c r="Q238" s="81" t="n">
        <x:v>0.005880630828575038</x:v>
      </x:c>
      <x:c r="R238" s="81" t="n">
        <x:v>45.38998421143415</x:v>
      </x:c>
      <x:c r="S238" s="81" t="n">
        <x:v>8.621029907707552</x:v>
      </x:c>
      <x:c r="T238" s="81" t="n">
        <x:v>4.4050268221884386</x:v>
      </x:c>
    </x:row>
    <x:row r="239">
      <x:c r="A239" s="59" t="n">
        <x:v>236</x:v>
      </x:c>
      <x:c r="B239" s="193" t="n">
        <x:v>0.771410414390266</x:v>
      </x:c>
      <x:c r="C239" s="83" t="n">
        <x:v>0.14734693593218362</x:v>
      </x:c>
      <x:c r="D239" s="83" t="n">
        <x:v>0.6413106425286551</x:v>
      </x:c>
      <x:c r="E239" s="81" t="n">
        <x:v>0.07499059890287767</x:v>
      </x:c>
      <x:c r="F239" s="81" t="n">
        <x:v>0.4460403884178959</x:v>
      </x:c>
      <x:c r="G239" s="81" t="n">
        <x:v>0.022179669119946854</x:v>
      </x:c>
      <x:c r="H239" s="59" t="n">
        <x:v>0</x:v>
      </x:c>
      <x:c r="I239" s="81" t="n">
        <x:v>0</x:v>
      </x:c>
      <x:c r="J239" s="79" t="n">
        <x:v>0.0016941114716663025</x:v>
      </x:c>
      <x:c r="K239" s="81" t="n">
        <x:v>0.9361273961900602</x:v>
      </x:c>
      <x:c r="L239" s="81" t="n">
        <x:v>-0.7560180341344165</x:v>
      </x:c>
      <x:c r="M239" s="80" t="n">
        <x:v>9904.46951526446</x:v>
      </x:c>
      <x:c r="N239" s="82" t="n">
        <x:v>0.28585817465303137</x:v>
      </x:c>
      <x:c r="O239" s="82" t="n">
        <x:v>0.12044693232269704</x:v>
      </x:c>
      <x:c r="P239" s="80" t="n">
        <x:v>12380.965882868277</x:v>
      </x:c>
      <x:c r="Q239" s="81" t="n">
        <x:v>0.0038317717326282665</x:v>
      </x:c>
      <x:c r="R239" s="81" t="n">
        <x:v>320.81384495089793</x:v>
      </x:c>
      <x:c r="S239" s="81" t="n">
        <x:v>216.845336057514</x:v>
      </x:c>
      <x:c r="T239" s="81" t="n">
        <x:v>36.69815309294701</x:v>
      </x:c>
    </x:row>
    <x:row r="240">
      <x:c r="A240" s="59" t="n">
        <x:v>237</x:v>
      </x:c>
      <x:c r="B240" s="193" t="n">
        <x:v>0.2452051315456629</x:v>
      </x:c>
      <x:c r="C240" s="83" t="n">
        <x:v>0.24008601475719457</x:v>
      </x:c>
      <x:c r="D240" s="83" t="n">
        <x:v>1.1834786393998555</x:v>
      </x:c>
      <x:c r="E240" s="81" t="n">
        <x:v>0.07418429099655664</x:v>
      </x:c>
      <x:c r="F240" s="81" t="n">
        <x:v>0.49119595348602163</x:v>
      </x:c>
      <x:c r="G240" s="81" t="n">
        <x:v>-0.019268791843208066</x:v>
      </x:c>
      <x:c r="H240" s="59" t="n">
        <x:v>0</x:v>
      </x:c>
      <x:c r="I240" s="81" t="n">
        <x:v>0</x:v>
      </x:c>
      <x:c r="J240" s="79" t="n">
        <x:v>0.007316988633765075</x:v>
      </x:c>
      <x:c r="K240" s="81" t="n">
        <x:v>7.362272724302944</x:v>
      </x:c>
      <x:c r="L240" s="81" t="n">
        <x:v>-0.7393826661500342</x:v>
      </x:c>
      <x:c r="M240" s="80" t="n">
        <x:v>24010.489939874333</x:v>
      </x:c>
      <x:c r="N240" s="82" t="n">
        <x:v>0.16050620993039338</x:v>
      </x:c>
      <x:c r="O240" s="82" t="n">
        <x:v>0.07447620900058045</x:v>
      </x:c>
      <x:c r="P240" s="80" t="n">
        <x:v>47803.50616053032</x:v>
      </x:c>
      <x:c r="Q240" s="81" t="n">
        <x:v>0.0025278462718558528</x:v>
      </x:c>
      <x:c r="R240" s="81" t="n">
        <x:v>1138.6740382368039</x:v>
      </x:c>
      <x:c r="S240" s="81" t="n">
        <x:v>574.2982632666808</x:v>
      </x:c>
      <x:c r="T240" s="81" t="n">
        <x:v>158.50194839726322</x:v>
      </x:c>
    </x:row>
    <x:row r="241">
      <x:c r="A241" s="59" t="n">
        <x:v>238</x:v>
      </x:c>
      <x:c r="B241" s="193" t="n">
        <x:v>0.8512396652251482</x:v>
      </x:c>
      <x:c r="C241" s="83" t="n">
        <x:v>2.947701074008126</x:v>
      </x:c>
      <x:c r="D241" s="83" t="n">
        <x:v>0.5982159752094593</x:v>
      </x:c>
      <x:c r="E241" s="81" t="n">
        <x:v>-0.06208791822578747</x:v>
      </x:c>
      <x:c r="F241" s="81" t="n">
        <x:v>0.8354867478599772</x:v>
      </x:c>
      <x:c r="G241" s="81" t="n">
        <x:v>0.03572812117274629</x:v>
      </x:c>
      <x:c r="H241" s="59" t="n">
        <x:v>0</x:v>
      </x:c>
      <x:c r="I241" s="81" t="n">
        <x:v>0</x:v>
      </x:c>
      <x:c r="J241" s="79" t="n">
        <x:v>6.647122414982834e-28</x:v>
      </x:c>
      <x:c r="K241" s="81" t="n">
        <x:v>-1</x:v>
      </x:c>
      <x:c r="L241" s="81" t="n">
        <x:v>-1</x:v>
      </x:c>
      <x:c r="M241" s="80" t="n">
        <x:v>0.000002</x:v>
      </x:c>
      <x:c r="N241" s="82" t="n">
        <x:v>0.3048749990003535</x:v>
      </x:c>
      <x:c r="O241" s="82" t="n">
        <x:v>0.24062033075289643</x:v>
      </x:c>
      <x:c r="P241" s="80" t="n">
        <x:v>928.959003750957</x:v>
      </x:c>
      <x:c r="Q241" s="81" t="n">
        <x:v>51989362760.54013</x:v>
      </x:c>
      <x:c r="R241" s="81" t="n">
        <x:v>1.723055641461253</x:v>
      </x:c>
      <x:c r="S241" s="81" t="n">
        <x:v>2.0347358177933379e-10</x:v>
      </x:c>
      <x:c r="T241" s="81" t="n">
        <x:v>1.4399118363366423e-23</x:v>
      </x:c>
    </x:row>
    <x:row r="242">
      <x:c r="A242" s="59" t="n">
        <x:v>239</x:v>
      </x:c>
      <x:c r="B242" s="193" t="n">
        <x:v>0.5912453180179</x:v>
      </x:c>
      <x:c r="C242" s="83" t="n">
        <x:v>0.6627679796156385</x:v>
      </x:c>
      <x:c r="D242" s="83" t="n">
        <x:v>0.4981667532104726</x:v>
      </x:c>
      <x:c r="E242" s="81" t="n">
        <x:v>0.028545235648742652</x:v>
      </x:c>
      <x:c r="F242" s="81" t="n">
        <x:v>0.6363334975438193</x:v>
      </x:c>
      <x:c r="G242" s="81" t="n">
        <x:v>0.015618568220123375</x:v>
      </x:c>
      <x:c r="H242" s="59" t="n">
        <x:v>0</x:v>
      </x:c>
      <x:c r="I242" s="81" t="n">
        <x:v>0</x:v>
      </x:c>
      <x:c r="J242" s="79" t="n">
        <x:v>0.00015268773849042605</x:v>
      </x:c>
      <x:c r="K242" s="81" t="n">
        <x:v>-0.825499727439513</x:v>
      </x:c>
      <x:c r="L242" s="81" t="n">
        <x:v>-0.8948557984656252</x:v>
      </x:c>
      <x:c r="M242" s="80" t="n">
        <x:v>3720.1347603595373</x:v>
      </x:c>
      <x:c r="N242" s="82" t="n">
        <x:v>0.24293947060157647</x:v>
      </x:c>
      <x:c r="O242" s="82" t="n">
        <x:v>0.14603394192161837</x:v>
      </x:c>
      <x:c r="P242" s="80" t="n">
        <x:v>4520.372244428697</x:v>
      </x:c>
      <x:c r="Q242" s="81" t="n">
        <x:v>0.010432054562728199</x:v>
      </x:c>
      <x:c r="R242" s="81" t="n">
        <x:v>26.523938086701772</x:v>
      </x:c>
      <x:c r="S242" s="81" t="n">
        <x:v>4.8818457322203255</x:v>
      </x:c>
      <x:c r="T242" s="81" t="n">
        <x:v>3.3075497665015723</x:v>
      </x:c>
    </x:row>
    <x:row r="243">
      <x:c r="A243" s="59" t="n">
        <x:v>240</x:v>
      </x:c>
      <x:c r="B243" s="193" t="n">
        <x:v>0.4280914377421141</x:v>
      </x:c>
      <x:c r="C243" s="83" t="n">
        <x:v>0.19461373762681133</x:v>
      </x:c>
      <x:c r="D243" s="83" t="n">
        <x:v>0.773192334302895</x:v>
      </x:c>
      <x:c r="E243" s="81" t="n">
        <x:v>-0.03924069793820884</x:v>
      </x:c>
      <x:c r="F243" s="81" t="n">
        <x:v>0.8325376642053016</x:v>
      </x:c>
      <x:c r="G243" s="81" t="n">
        <x:v>-0.0009437392121376866</x:v>
      </x:c>
      <x:c r="H243" s="59" t="n">
        <x:v>0</x:v>
      </x:c>
      <x:c r="I243" s="81" t="n">
        <x:v>0</x:v>
      </x:c>
      <x:c r="J243" s="79" t="n">
        <x:v>7.939306094843192e-23</x:v>
      </x:c>
      <x:c r="K243" s="81" t="n">
        <x:v>-1</x:v>
      </x:c>
      <x:c r="L243" s="81" t="n">
        <x:v>-1</x:v>
      </x:c>
      <x:c r="M243" s="80" t="n">
        <x:v>0.000002</x:v>
      </x:c>
      <x:c r="N243" s="82" t="n">
        <x:v>0.20407315718462915</x:v>
      </x:c>
      <x:c r="O243" s="82" t="n">
        <x:v>0.1604947074568904</x:v>
      </x:c>
      <x:c r="P243" s="80" t="n">
        <x:v>372.743279299127</x:v>
      </x:c>
      <x:c r="Q243" s="81" t="n">
        <x:v>673894.128344553</x:v>
      </x:c>
      <x:c r="R243" s="81" t="n">
        <x:v>18.79426730609712</x:v>
      </x:c>
      <x:c r="S243" s="81" t="n">
        <x:v>5.604994019954343e-10</x:v>
      </x:c>
      <x:c r="T243" s="81" t="n">
        <x:v>1.719827032596312e-18</x:v>
      </x:c>
    </x:row>
    <x:row r="244">
      <x:c r="A244" s="59" t="n">
        <x:v>241</x:v>
      </x:c>
      <x:c r="B244" s="193" t="n">
        <x:v>0.5176090896129608</x:v>
      </x:c>
      <x:c r="C244" s="83" t="n">
        <x:v>1.6812418259351316</x:v>
      </x:c>
      <x:c r="D244" s="83" t="n">
        <x:v>0.47323071130468364</x:v>
      </x:c>
      <x:c r="E244" s="81" t="n">
        <x:v>0.024373525051933857</x:v>
      </x:c>
      <x:c r="F244" s="81" t="n">
        <x:v>0.4711306890356355</x:v>
      </x:c>
      <x:c r="G244" s="81" t="n">
        <x:v>-0.025989389163434337</x:v>
      </x:c>
      <x:c r="H244" s="59" t="n">
        <x:v>0</x:v>
      </x:c>
      <x:c r="I244" s="81" t="n">
        <x:v>0</x:v>
      </x:c>
      <x:c r="J244" s="79" t="n">
        <x:v>0.0002183833297920581</x:v>
      </x:c>
      <x:c r="K244" s="81" t="n">
        <x:v>-0.7504190516662193</x:v>
      </x:c>
      <x:c r="L244" s="81" t="n">
        <x:v>-0.8073986811875666</x:v>
      </x:c>
      <x:c r="M244" s="80" t="n">
        <x:v>7000.398788955224</x:v>
      </x:c>
      <x:c r="N244" s="82" t="n">
        <x:v>0.2253979403162375</x:v>
      </x:c>
      <x:c r="O244" s="82" t="n">
        <x:v>0.10031416897599049</x:v>
      </x:c>
      <x:c r="P244" s="80" t="n">
        <x:v>8003.032483491165</x:v>
      </x:c>
      <x:c r="Q244" s="81" t="n">
        <x:v>0.007994862670608541</x:v>
      </x:c>
      <x:c r="R244" s="81" t="n">
        <x:v>15.223107668338717</x:v>
      </x:c>
      <x:c r="S244" s="81" t="n">
        <x:v>2.81424838558892</x:v>
      </x:c>
      <x:c r="T244" s="81" t="n">
        <x:v>4.730659701969773</x:v>
      </x:c>
    </x:row>
    <x:row r="245">
      <x:c r="A245" s="59" t="n">
        <x:v>242</x:v>
      </x:c>
      <x:c r="B245" s="193" t="n">
        <x:v>0.604224656522274</x:v>
      </x:c>
      <x:c r="C245" s="83" t="n">
        <x:v>0.4889845759570365</x:v>
      </x:c>
      <x:c r="D245" s="83" t="n">
        <x:v>0.714879414750325</x:v>
      </x:c>
      <x:c r="E245" s="81" t="n">
        <x:v>0.04520024918581084</x:v>
      </x:c>
      <x:c r="F245" s="81" t="n">
        <x:v>0.459807421208825</x:v>
      </x:c>
      <x:c r="G245" s="81" t="n">
        <x:v>-0.001707593849472046</x:v>
      </x:c>
      <x:c r="H245" s="59" t="n">
        <x:v>0</x:v>
      </x:c>
      <x:c r="I245" s="81" t="n">
        <x:v>0</x:v>
      </x:c>
      <x:c r="J245" s="79" t="n">
        <x:v>0.0008733099063429005</x:v>
      </x:c>
      <x:c r="K245" s="81" t="n">
        <x:v>-0.0019315356081135437</x:v>
      </x:c>
      <x:c r="L245" s="81" t="n">
        <x:v>-0.7269050524610499</x:v>
      </x:c>
      <x:c r="M245" s="80" t="n">
        <x:v>8479.969843828907</x:v>
      </x:c>
      <x:c r="N245" s="82" t="n">
        <x:v>0.24603139239591545</x:v>
      </x:c>
      <x:c r="O245" s="82" t="n">
        <x:v>0.10686548048317329</x:v>
      </x:c>
      <x:c r="P245" s="80" t="n">
        <x:v>12294.951939179768</x:v>
      </x:c>
      <x:c r="Q245" s="81" t="n">
        <x:v>0.005261300009971849</x:v>
      </x:c>
      <x:c r="R245" s="81" t="n">
        <x:v>83.82972288535441</x:v>
      </x:c>
      <x:c r="S245" s="81" t="n">
        <x:v>34.9787037576735</x:v>
      </x:c>
      <x:c r="T245" s="81" t="n">
        <x:v>18.917799198323237</x:v>
      </x:c>
    </x:row>
    <x:row r="246">
      <x:c r="A246" s="59" t="n">
        <x:v>243</x:v>
      </x:c>
      <x:c r="B246" s="193" t="n">
        <x:v>0.6147949270904065</x:v>
      </x:c>
      <x:c r="C246" s="83" t="n">
        <x:v>0.14570000624955487</x:v>
      </x:c>
      <x:c r="D246" s="83" t="n">
        <x:v>0.6682616216880988</x:v>
      </x:c>
      <x:c r="E246" s="81" t="n">
        <x:v>-0.07838831068277802</x:v>
      </x:c>
      <x:c r="F246" s="81" t="n">
        <x:v>0.8868253251188435</x:v>
      </x:c>
      <x:c r="G246" s="81" t="n">
        <x:v>0.0000997499336862498</x:v>
      </x:c>
      <x:c r="H246" s="59" t="n">
        <x:v>0</x:v>
      </x:c>
      <x:c r="I246" s="81" t="n">
        <x:v>0</x:v>
      </x:c>
      <x:c r="J246" s="79" t="n">
        <x:v>3.3086996822542796e-29</x:v>
      </x:c>
      <x:c r="K246" s="81" t="n">
        <x:v>-1</x:v>
      </x:c>
      <x:c r="L246" s="81" t="n">
        <x:v>-1</x:v>
      </x:c>
      <x:c r="M246" s="80" t="n">
        <x:v>0.000002</x:v>
      </x:c>
      <x:c r="N246" s="82" t="n">
        <x:v>0.2485494290378177</x:v>
      </x:c>
      <x:c r="O246" s="82" t="n">
        <x:v>0.2082196913922409</x:v>
      </x:c>
      <x:c r="P246" s="80" t="n">
        <x:v>203.2155626764942</x:v>
      </x:c>
      <x:c r="Q246" s="81" t="n">
        <x:v>839965246888.4496</x:v>
      </x:c>
      <x:c r="R246" s="81" t="n">
        <x:v>15.480999104403992</x:v>
      </x:c>
      <x:c r="S246" s="81" t="n">
        <x:v>5.115719869020363e-10</x:v>
      </x:c>
      <x:c r="T246" s="81" t="n">
        <x:v>7.1673658734228795e-25</x:v>
      </x:c>
    </x:row>
    <x:row r="247">
      <x:c r="A247" s="59" t="n">
        <x:v>244</x:v>
      </x:c>
      <x:c r="B247" s="193" t="n">
        <x:v>0.3763330172747374</x:v>
      </x:c>
      <x:c r="C247" s="83" t="n">
        <x:v>2.434390434098323</x:v>
      </x:c>
      <x:c r="D247" s="83" t="n">
        <x:v>0.8949239856721596</x:v>
      </x:c>
      <x:c r="E247" s="81" t="n">
        <x:v>0.022446401187197988</x:v>
      </x:c>
      <x:c r="F247" s="81" t="n">
        <x:v>0.5413225714699366</x:v>
      </x:c>
      <x:c r="G247" s="81" t="n">
        <x:v>-0.023636418393031447</x:v>
      </x:c>
      <x:c r="H247" s="59" t="n">
        <x:v>0</x:v>
      </x:c>
      <x:c r="I247" s="81" t="n">
        <x:v>0</x:v>
      </x:c>
      <x:c r="J247" s="79" t="n">
        <x:v>0.0012151554229839713</x:v>
      </x:c>
      <x:c r="K247" s="81" t="n">
        <x:v>0.3887490548388244</x:v>
      </x:c>
      <x:c r="L247" s="81" t="n">
        <x:v>-0.547733712711568</x:v>
      </x:c>
      <x:c r="M247" s="80" t="n">
        <x:v>21767.69072439119</x:v>
      </x:c>
      <x:c r="N247" s="82" t="n">
        <x:v>0.1917433309589164</x:v>
      </x:c>
      <x:c r="O247" s="82" t="n">
        <x:v>0.09804994303722876</x:v>
      </x:c>
      <x:c r="P247" s="80" t="n">
        <x:v>39374.21537958832</x:v>
      </x:c>
      <x:c r="Q247" s="81" t="n">
        <x:v>0.00941448444453641</x:v>
      </x:c>
      <x:c r="R247" s="81" t="n">
        <x:v>20.004270909026005</x:v>
      </x:c>
      <x:c r="S247" s="81" t="n">
        <x:v>11.165666046486457</x:v>
      </x:c>
      <x:c r="T247" s="81" t="n">
        <x:v>26.322919412456734</x:v>
      </x:c>
    </x:row>
    <x:row r="248">
      <x:c r="A248" s="59" t="n">
        <x:v>245</x:v>
      </x:c>
      <x:c r="B248" s="193" t="n">
        <x:v>0.8468366716057063</x:v>
      </x:c>
      <x:c r="C248" s="83" t="n">
        <x:v>0.9108733642294219</x:v>
      </x:c>
      <x:c r="D248" s="83" t="n">
        <x:v>0.2765732710867403</x:v>
      </x:c>
      <x:c r="E248" s="81" t="n">
        <x:v>-0.0175128447918857</x:v>
      </x:c>
      <x:c r="F248" s="81" t="n">
        <x:v>0.4011900568963028</x:v>
      </x:c>
      <x:c r="G248" s="81" t="n">
        <x:v>-0.018614135266981163</x:v>
      </x:c>
      <x:c r="H248" s="59" t="n">
        <x:v>0</x:v>
      </x:c>
      <x:c r="I248" s="81" t="n">
        <x:v>0</x:v>
      </x:c>
      <x:c r="J248" s="79" t="n">
        <x:v>4.0307067920031884e-8</x:v>
      </x:c>
      <x:c r="K248" s="81" t="n">
        <x:v>-0.99995393477952</x:v>
      </x:c>
      <x:c r="L248" s="81" t="n">
        <x:v>-0.99995393477952</x:v>
      </x:c>
      <x:c r="M248" s="80" t="n">
        <x:v>65.82015152480463</x:v>
      </x:c>
      <x:c r="N248" s="82" t="n">
        <x:v>0.3038261233640718</x:v>
      </x:c>
      <x:c r="O248" s="82" t="n">
        <x:v>0.11514529985856838</x:v>
      </x:c>
      <x:c r="P248" s="80" t="n">
        <x:v>694.0020815197245</x:v>
      </x:c>
      <x:c r="Q248" s="81" t="n">
        <x:v>0.08219700367108812</x:v>
      </x:c>
      <x:c r="R248" s="81" t="n">
        <x:v>10.862838477427214</x:v>
      </x:c>
      <x:c r="S248" s="81" t="n">
        <x:v>0.004171028638399675</x:v>
      </x:c>
      <x:c r="T248" s="81" t="n">
        <x:v>0.0008731390903115896</x:v>
      </x:c>
    </x:row>
    <x:row r="249">
      <x:c r="A249" s="59" t="n">
        <x:v>246</x:v>
      </x:c>
      <x:c r="B249" s="193" t="n">
        <x:v>0.9234401157125831</x:v>
      </x:c>
      <x:c r="C249" s="83" t="n">
        <x:v>0.8038062330773156</x:v>
      </x:c>
      <x:c r="D249" s="83" t="n">
        <x:v>0.5068601841376269</x:v>
      </x:c>
      <x:c r="E249" s="81" t="n">
        <x:v>-0.14920899324117806</x:v>
      </x:c>
      <x:c r="F249" s="81" t="n">
        <x:v>0.6333052290603518</x:v>
      </x:c>
      <x:c r="G249" s="81" t="n">
        <x:v>0.01649000529687753</x:v>
      </x:c>
      <x:c r="H249" s="59" t="n">
        <x:v>0</x:v>
      </x:c>
      <x:c r="I249" s="81" t="n">
        <x:v>0</x:v>
      </x:c>
      <x:c r="J249" s="79" t="n">
        <x:v>5.704018133205124e-38</x:v>
      </x:c>
      <x:c r="K249" s="81" t="n">
        <x:v>-1</x:v>
      </x:c>
      <x:c r="L249" s="81" t="n">
        <x:v>-1</x:v>
      </x:c>
      <x:c r="M249" s="80" t="n">
        <x:v>0.000002</x:v>
      </x:c>
      <x:c r="N249" s="82" t="n">
        <x:v>0.3220745000649069</x:v>
      </x:c>
      <x:c r="O249" s="82" t="n">
        <x:v>0.19268165018960748</x:v>
      </x:c>
      <x:c r="P249" s="80" t="n">
        <x:v>196.47160965561653</x:v>
      </x:c>
      <x:c r="Q249" s="81" t="n">
        <x:v>272783388254801720000</x:v>
      </x:c>
      <x:c r="R249" s="81" t="n">
        <x:v>2.44397744338921</x:v>
      </x:c>
      <x:c r="S249" s="81" t="n">
        <x:v>3.003472122016224e-10</x:v>
      </x:c>
      <x:c r="T249" s="81" t="n">
        <x:v>1.2356148588700403e-33</x:v>
      </x:c>
    </x:row>
    <x:row r="250">
      <x:c r="A250" s="59" t="n">
        <x:v>247</x:v>
      </x:c>
      <x:c r="B250" s="193" t="n">
        <x:v>0.5723487619310618</x:v>
      </x:c>
      <x:c r="C250" s="83" t="n">
        <x:v>1.2010932129348768</x:v>
      </x:c>
      <x:c r="D250" s="83" t="n">
        <x:v>0.7930590902861769</x:v>
      </x:c>
      <x:c r="E250" s="81" t="n">
        <x:v>0.07669738290499276</x:v>
      </x:c>
      <x:c r="F250" s="81" t="n">
        <x:v>0.27583539228653536</x:v>
      </x:c>
      <x:c r="G250" s="81" t="n">
        <x:v>0.03281164950380978</x:v>
      </x:c>
      <x:c r="H250" s="59" t="n">
        <x:v>0</x:v>
      </x:c>
      <x:c r="I250" s="81" t="n">
        <x:v>0</x:v>
      </x:c>
      <x:c r="J250" s="79" t="n">
        <x:v>0.04978685073481864</x:v>
      </x:c>
      <x:c r="K250" s="81" t="n">
        <x:v>55.89925798264988</x:v>
      </x:c>
      <x:c r="L250" s="81" t="n">
        <x:v>-0.531983662567351</x:v>
      </x:c>
      <x:c r="M250" s="80" t="n">
        <x:v>109540.86352829602</x:v>
      </x:c>
      <x:c r="N250" s="82" t="n">
        <x:v>0.23843795663126502</x:v>
      </x:c>
      <x:c r="O250" s="82" t="n">
        <x:v>0.0621292802834175</x:v>
      </x:c>
      <x:c r="P250" s="80" t="n">
        <x:v>156628.6837069954</x:v>
      </x:c>
      <x:c r="Q250" s="81" t="n">
        <x:v>0.0021313596722952275</x:v>
      </x:c>
      <x:c r="R250" s="81" t="n">
        <x:v>280.87845188240226</x:v>
      </x:c>
      <x:c r="S250" s="81" t="n">
        <x:v>796.8055458425916</x:v>
      </x:c>
      <x:c r="T250" s="81" t="n">
        <x:v>1078.4918825235166</x:v>
      </x:c>
    </x:row>
    <x:row r="251">
      <x:c r="A251" s="59" t="n">
        <x:v>248</x:v>
      </x:c>
      <x:c r="B251" s="193" t="n">
        <x:v>0.7689490595832467</x:v>
      </x:c>
      <x:c r="C251" s="83" t="n">
        <x:v>2.504245289301262</x:v>
      </x:c>
      <x:c r="D251" s="83" t="n">
        <x:v>0.7006278367564824</x:v>
      </x:c>
      <x:c r="E251" s="81" t="n">
        <x:v>-0.04926397543410434</x:v>
      </x:c>
      <x:c r="F251" s="81" t="n">
        <x:v>0.7543627693667077</x:v>
      </x:c>
      <x:c r="G251" s="81" t="n">
        <x:v>-0.026119130380072044</x:v>
      </x:c>
      <x:c r="H251" s="59" t="n">
        <x:v>0</x:v>
      </x:c>
      <x:c r="I251" s="81" t="n">
        <x:v>0</x:v>
      </x:c>
      <x:c r="J251" s="79" t="n">
        <x:v>4.0699571190615994e-22</x:v>
      </x:c>
      <x:c r="K251" s="81" t="n">
        <x:v>-1</x:v>
      </x:c>
      <x:c r="L251" s="81" t="n">
        <x:v>-1</x:v>
      </x:c>
      <x:c r="M251" s="80" t="n">
        <x:v>0.000012709950521925416</x:v>
      </x:c>
      <x:c r="N251" s="82" t="n">
        <x:v>0.28527183378759663</x:v>
      </x:c>
      <x:c r="O251" s="82" t="n">
        <x:v>0.20328722237730484</x:v>
      </x:c>
      <x:c r="P251" s="80" t="n">
        <x:v>1022.8957008068852</x:v>
      </x:c>
      <x:c r="Q251" s="81" t="n">
        <x:v>671852.8036316511</x:v>
      </x:c>
      <x:c r="R251" s="81" t="n">
        <x:v>2.161339239629007</x:v>
      </x:c>
      <x:c r="S251" s="81" t="n">
        <x:v>8.465615411832239e-10</x:v>
      </x:c>
      <x:c r="T251" s="81" t="n">
        <x:v>8.81641568073109e-18</x:v>
      </x:c>
    </x:row>
    <x:row r="252">
      <x:c r="A252" s="59" t="n">
        <x:v>249</x:v>
      </x:c>
      <x:c r="B252" s="193" t="n">
        <x:v>0.3176849411800504</x:v>
      </x:c>
      <x:c r="C252" s="83" t="n">
        <x:v>0.9327050871071063</x:v>
      </x:c>
      <x:c r="D252" s="83" t="n">
        <x:v>0.6518934947864972</x:v>
      </x:c>
      <x:c r="E252" s="81" t="n">
        <x:v>0.06044775727585959</x:v>
      </x:c>
      <x:c r="F252" s="81" t="n">
        <x:v>0.634568541299086</x:v>
      </x:c>
      <x:c r="G252" s="81" t="n">
        <x:v>-0.0264912127454012</x:v>
      </x:c>
      <x:c r="H252" s="59" t="n">
        <x:v>55</x:v>
      </x:c>
      <x:c r="I252" s="81" t="n">
        <x:v>0.1170821194536984</x:v>
      </x:c>
      <x:c r="J252" s="79" t="n">
        <x:v>0.0012542085080047335</x:v>
      </x:c>
      <x:c r="K252" s="81" t="n">
        <x:v>0.43338115200540983</x:v>
      </x:c>
      <x:c r="L252" s="81" t="n">
        <x:v>-0.6942204181368592</x:v>
      </x:c>
      <x:c r="M252" s="80" t="n">
        <x:v>13264.712142260743</x:v>
      </x:c>
      <x:c r="N252" s="82" t="n">
        <x:v>0.17777225958173526</x:v>
      </x:c>
      <x:c r="O252" s="82" t="n">
        <x:v>0.10656472599279967</x:v>
      </x:c>
      <x:c r="P252" s="80" t="n">
        <x:v>17157.760002208463</x:v>
      </x:c>
      <x:c r="Q252" s="81" t="n">
        <x:v>0.004043495665703855</x:v>
      </x:c>
      <x:c r="R252" s="81" t="n">
        <x:v>73.5508063060994</x:v>
      </x:c>
      <x:c r="S252" s="81" t="n">
        <x:v>26.46177080114938</x:v>
      </x:c>
      <x:c r="T252" s="81" t="n">
        <x:v>27.16889449545063</x:v>
      </x:c>
    </x:row>
    <x:row r="253">
      <x:c r="A253" s="59" t="n">
        <x:v>250</x:v>
      </x:c>
      <x:c r="B253" s="193" t="n">
        <x:v>0.5039099277928472</x:v>
      </x:c>
      <x:c r="C253" s="83" t="n">
        <x:v>1.5372718202704152</x:v>
      </x:c>
      <x:c r="D253" s="83" t="n">
        <x:v>0.5937422085306902</x:v>
      </x:c>
      <x:c r="E253" s="81" t="n">
        <x:v>0.013163723652301416</x:v>
      </x:c>
      <x:c r="F253" s="81" t="n">
        <x:v>0.5795339655247518</x:v>
      </x:c>
      <x:c r="G253" s="81" t="n">
        <x:v>-0.02334965328746634</x:v>
      </x:c>
      <x:c r="H253" s="59" t="n">
        <x:v>0</x:v>
      </x:c>
      <x:c r="I253" s="81" t="n">
        <x:v>0</x:v>
      </x:c>
      <x:c r="J253" s="79" t="n">
        <x:v>0.00006557025446001436</x:v>
      </x:c>
      <x:c r="K253" s="81" t="n">
        <x:v>-0.9250625663314122</x:v>
      </x:c>
      <x:c r="L253" s="81" t="n">
        <x:v>-0.9268304432371072</x:v>
      </x:c>
      <x:c r="M253" s="80" t="n">
        <x:v>3589.544695517344</x:v>
      </x:c>
      <x:c r="N253" s="82" t="n">
        <x:v>0.22213454311140232</x:v>
      </x:c>
      <x:c r="O253" s="82" t="n">
        <x:v>0.12160906099783905</x:v>
      </x:c>
      <x:c r="P253" s="80" t="n">
        <x:v>6162.894672565039</x:v>
      </x:c>
      <x:c r="Q253" s="81" t="n">
        <x:v>0.01608076049188594</x:v>
      </x:c>
      <x:c r="R253" s="81" t="n">
        <x:v>12.836532330696949</x:v>
      </x:c>
      <x:c r="S253" s="81" t="n">
        <x:v>1.0717026375459295</x:v>
      </x:c>
      <x:c r="T253" s="81" t="n">
        <x:v>1.4203948658409657</x:v>
      </x:c>
    </x:row>
    <x:row r="254">
      <x:c r="A254" s="59" t="n">
        <x:v>251</x:v>
      </x:c>
      <x:c r="B254" s="193" t="n">
        <x:v>0.9970905818045139</x:v>
      </x:c>
      <x:c r="C254" s="83" t="n">
        <x:v>0.17733984870052943</x:v>
      </x:c>
      <x:c r="D254" s="83" t="n">
        <x:v>1.844307137709832</x:v>
      </x:c>
      <x:c r="E254" s="81" t="n">
        <x:v>-0.049433931069795545</x:v>
      </x:c>
      <x:c r="F254" s="81" t="n">
        <x:v>0.4251028857310303</x:v>
      </x:c>
      <x:c r="G254" s="81" t="n">
        <x:v>0.02992008269719377</x:v>
      </x:c>
      <x:c r="H254" s="59" t="n">
        <x:v>0</x:v>
      </x:c>
      <x:c r="I254" s="81" t="n">
        <x:v>0</x:v>
      </x:c>
      <x:c r="J254" s="79" t="n">
        <x:v>1.2196665990415632e-44</x:v>
      </x:c>
      <x:c r="K254" s="81" t="n">
        <x:v>-1</x:v>
      </x:c>
      <x:c r="L254" s="81" t="n">
        <x:v>-1</x:v>
      </x:c>
      <x:c r="M254" s="80" t="n">
        <x:v>0.000002</x:v>
      </x:c>
      <x:c r="N254" s="82" t="n">
        <x:v>0.33961942203424417</x:v>
      </x:c>
      <x:c r="O254" s="82" t="n">
        <x:v>0.1363821440024964</x:v>
      </x:c>
      <x:c r="P254" s="80" t="n">
        <x:v>397.757340150463</x:v>
      </x:c>
      <x:c r="Q254" s="81" t="n">
        <x:v>3.5162814108472797e+27</x:v>
      </x:c>
      <x:c r="R254" s="81" t="n">
        <x:v>8.996041366877824</x:v>
      </x:c>
      <x:c r="S254" s="81" t="n">
        <x:v>1.9643177933353254e-9</x:v>
      </x:c>
      <x:c r="T254" s="81" t="n">
        <x:v>2.6420641334750258e-40</x:v>
      </x:c>
    </x:row>
    <x:row r="255">
      <x:c r="A255" s="59" t="n">
        <x:v>252</x:v>
      </x:c>
      <x:c r="B255" s="193" t="n">
        <x:v>0.5709424197673798</x:v>
      </x:c>
      <x:c r="C255" s="83" t="n">
        <x:v>0.21989769007156298</x:v>
      </x:c>
      <x:c r="D255" s="83" t="n">
        <x:v>0.9527083453652248</x:v>
      </x:c>
      <x:c r="E255" s="81" t="n">
        <x:v>-0.07532140487347459</x:v>
      </x:c>
      <x:c r="F255" s="81" t="n">
        <x:v>0.35924230605596674</x:v>
      </x:c>
      <x:c r="G255" s="81" t="n">
        <x:v>-0.010108300126084385</x:v>
      </x:c>
      <x:c r="H255" s="59" t="n">
        <x:v>54</x:v>
      </x:c>
      <x:c r="I255" s="81" t="n">
        <x:v>0.43059027995914223</x:v>
      </x:c>
      <x:c r="J255" s="79" t="n">
        <x:v>2.5081336964939114e-33</x:v>
      </x:c>
      <x:c r="K255" s="81" t="n">
        <x:v>-1</x:v>
      </x:c>
      <x:c r="L255" s="81" t="n">
        <x:v>-1</x:v>
      </x:c>
      <x:c r="M255" s="80" t="n">
        <x:v>0.000002</x:v>
      </x:c>
      <x:c r="N255" s="82" t="n">
        <x:v>0.23810293955896047</x:v>
      </x:c>
      <x:c r="O255" s="82" t="n">
        <x:v>0.08080219796663732</x:v>
      </x:c>
      <x:c r="P255" s="80" t="n">
        <x:v>265.63962003177215</x:v>
      </x:c>
      <x:c r="Q255" s="81" t="n">
        <x:v>11499103876218438</x:v>
      </x:c>
      <x:c r="R255" s="81" t="n">
        <x:v>9.36567483859626</x:v>
      </x:c>
      <x:c r="S255" s="81" t="n">
        <x:v>6.045851470846713e-10</x:v>
      </x:c>
      <x:c r="T255" s="81" t="n">
        <x:v>5.433165167164573e-29</x:v>
      </x:c>
    </x:row>
    <x:row r="256">
      <x:c r="A256" s="59" t="n">
        <x:v>253</x:v>
      </x:c>
      <x:c r="B256" s="193" t="n">
        <x:v>0.7816126329824329</x:v>
      </x:c>
      <x:c r="C256" s="83" t="n">
        <x:v>1.8126313143752446</x:v>
      </x:c>
      <x:c r="D256" s="83" t="n">
        <x:v>0.45562030770173123</x:v>
      </x:c>
      <x:c r="E256" s="81" t="n">
        <x:v>0.14387358781995213</x:v>
      </x:c>
      <x:c r="F256" s="81" t="n">
        <x:v>0.613743080093991</x:v>
      </x:c>
      <x:c r="G256" s="81" t="n">
        <x:v>0.006362719794799378</x:v>
      </x:c>
      <x:c r="H256" s="59" t="n">
        <x:v>0</x:v>
      </x:c>
      <x:c r="I256" s="81" t="n">
        <x:v>0</x:v>
      </x:c>
      <x:c r="J256" s="79" t="n">
        <x:v>0.007188571787041544</x:v>
      </x:c>
      <x:c r="K256" s="81" t="n">
        <x:v>7.215510613761765</x:v>
      </x:c>
      <x:c r="L256" s="81" t="n">
        <x:v>-0.6884890774881691</x:v>
      </x:c>
      <x:c r="M256" s="80" t="n">
        <x:v>52221.05341758452</x:v>
      </x:c>
      <x:c r="N256" s="82" t="n">
        <x:v>0.28828853441328395</x:v>
      </x:c>
      <x:c r="O256" s="82" t="n">
        <x:v>0.1671417406457017</x:v>
      </x:c>
      <x:c r="P256" s="80" t="n">
        <x:v>44639.75096995448</x:v>
      </x:c>
      <x:c r="Q256" s="81" t="n">
        <x:v>0.003018068285457954</x:v>
      </x:c>
      <x:c r="R256" s="81" t="n">
        <x:v>89.0905858718318</x:v>
      </x:c>
      <x:c r="S256" s="81" t="n">
        <x:v>78.12729758827875</x:v>
      </x:c>
      <x:c r="T256" s="81" t="n">
        <x:v>155.720159135109</x:v>
      </x:c>
    </x:row>
    <x:row r="257">
      <x:c r="A257" s="59" t="n">
        <x:v>254</x:v>
      </x:c>
      <x:c r="B257" s="193" t="n">
        <x:v>0.38606957085430627</x:v>
      </x:c>
      <x:c r="C257" s="83" t="n">
        <x:v>0.5783205050003117</x:v>
      </x:c>
      <x:c r="D257" s="83" t="n">
        <x:v>0.709549505783265</x:v>
      </x:c>
      <x:c r="E257" s="81" t="n">
        <x:v>-0.020824304770397137</x:v>
      </x:c>
      <x:c r="F257" s="81" t="n">
        <x:v>0.7201284515555018</x:v>
      </x:c>
      <x:c r="G257" s="81" t="n">
        <x:v>0.023218438225918528</x:v>
      </x:c>
      <x:c r="H257" s="59" t="n">
        <x:v>0</x:v>
      </x:c>
      <x:c r="I257" s="81" t="n">
        <x:v>0</x:v>
      </x:c>
      <x:c r="J257" s="79" t="n">
        <x:v>3.150199193914845e-15</x:v>
      </x:c>
      <x:c r="K257" s="81" t="n">
        <x:v>-0.9999999999963998</x:v>
      </x:c>
      <x:c r="L257" s="81" t="n">
        <x:v>-0.9999999999963998</x:v>
      </x:c>
      <x:c r="M257" s="80" t="n">
        <x:v>0.015568139315115534</x:v>
      </x:c>
      <x:c r="N257" s="82" t="n">
        <x:v>0.1940627605819493</x:v>
      </x:c>
      <x:c r="O257" s="82" t="n">
        <x:v>0.1320149503352489</x:v>
      </x:c>
      <x:c r="P257" s="80" t="n">
        <x:v>790.6020349011242</x:v>
      </x:c>
      <x:c r="Q257" s="81" t="n">
        <x:v>244.6927091991597</x:v>
      </x:c>
      <x:c r="R257" s="81" t="n">
        <x:v>11.308982575307063</x:v>
      </x:c>
      <x:c r="S257" s="81" t="n">
        <x:v>0.000004209909997019114</x:v>
      </x:c>
      <x:c r="T257" s="81" t="n">
        <x:v>6.824019211549075e-11</x:v>
      </x:c>
    </x:row>
    <x:row r="258">
      <x:c r="A258" s="59" t="n">
        <x:v>255</x:v>
      </x:c>
      <x:c r="B258" s="193" t="n">
        <x:v>0.46188165303319695</x:v>
      </x:c>
      <x:c r="C258" s="83" t="n">
        <x:v>0.22020862225471094</x:v>
      </x:c>
      <x:c r="D258" s="83" t="n">
        <x:v>0.9716768970231535</x:v>
      </x:c>
      <x:c r="E258" s="81" t="n">
        <x:v>-0.033639886856768546</x:v>
      </x:c>
      <x:c r="F258" s="81" t="n">
        <x:v>0.7482699639396742</x:v>
      </x:c>
      <x:c r="G258" s="81" t="n">
        <x:v>0.004517865713179975</x:v>
      </x:c>
      <x:c r="H258" s="59" t="n">
        <x:v>45</x:v>
      </x:c>
      <x:c r="I258" s="81" t="n">
        <x:v>0.21213211864233017</x:v>
      </x:c>
      <x:c r="J258" s="79" t="n">
        <x:v>8.088897562908794e-24</x:v>
      </x:c>
      <x:c r="K258" s="81" t="n">
        <x:v>-1</x:v>
      </x:c>
      <x:c r="L258" s="81" t="n">
        <x:v>-1</x:v>
      </x:c>
      <x:c r="M258" s="80" t="n">
        <x:v>0.000002</x:v>
      </x:c>
      <x:c r="N258" s="82" t="n">
        <x:v>0.21212262003350196</x:v>
      </x:c>
      <x:c r="O258" s="82" t="n">
        <x:v>0.14993956177781373</x:v>
      </x:c>
      <x:c r="P258" s="80" t="n">
        <x:v>462.1044639567078</x:v>
      </x:c>
      <x:c r="Q258" s="81" t="n">
        <x:v>7673971.790276009</x:v>
      </x:c>
      <x:c r="R258" s="81" t="n">
        <x:v>16.42625208260618</x:v>
      </x:c>
      <x:c r="S258" s="81" t="n">
        <x:v>7.369027111859318e-10</x:v>
      </x:c>
      <x:c r="T258" s="81" t="n">
        <x:v>1.7522318104889407e-19</x:v>
      </x:c>
    </x:row>
    <x:row r="259">
      <x:c r="A259" s="59" t="n">
        <x:v>256</x:v>
      </x:c>
      <x:c r="B259" s="193" t="n">
        <x:v>0.9064279993996025</x:v>
      </x:c>
      <x:c r="C259" s="83" t="n">
        <x:v>0.1437511296175613</x:v>
      </x:c>
      <x:c r="D259" s="83" t="n">
        <x:v>1.102309364311632</x:v>
      </x:c>
      <x:c r="E259" s="81" t="n">
        <x:v>0.025926344064488027</x:v>
      </x:c>
      <x:c r="F259" s="81" t="n">
        <x:v>0.3770034735207446</x:v>
      </x:c>
      <x:c r="G259" s="81" t="n">
        <x:v>-0.018361868701877008</x:v>
      </x:c>
      <x:c r="H259" s="59" t="n">
        <x:v>0</x:v>
      </x:c>
      <x:c r="I259" s="81" t="n">
        <x:v>0</x:v>
      </x:c>
      <x:c r="J259" s="79" t="n">
        <x:v>0.00023945241126145067</x:v>
      </x:c>
      <x:c r="K259" s="81" t="n">
        <x:v>-0.7263401014154849</x:v>
      </x:c>
      <x:c r="L259" s="81" t="n">
        <x:v>-0.8342343725494303</x:v>
      </x:c>
      <x:c r="M259" s="80" t="n">
        <x:v>3332.7784006344727</x:v>
      </x:c>
      <x:c r="N259" s="82" t="n">
        <x:v>0.31802189498197414</x:v>
      </x:c>
      <x:c r="O259" s="82" t="n">
        <x:v>0.11325915431446838</x:v>
      </x:c>
      <x:c r="P259" s="80" t="n">
        <x:v>7954.325574659685</x:v>
      </x:c>
      <x:c r="Q259" s="81" t="n">
        <x:v>0.009206758273204165</x:v>
      </x:c>
      <x:c r="R259" s="81" t="n">
        <x:v>183.01973907144063</x:v>
      </x:c>
      <x:c r="S259" s="81" t="n">
        <x:v>32.078875398612055</x:v>
      </x:c>
      <x:c r="T259" s="81" t="n">
        <x:v>5.187062005019547</x:v>
      </x:c>
    </x:row>
    <x:row r="260">
      <x:c r="A260" s="59" t="n">
        <x:v>257</x:v>
      </x:c>
      <x:c r="B260" s="193" t="n">
        <x:v>0.7704614700749517</x:v>
      </x:c>
      <x:c r="C260" s="83" t="n">
        <x:v>0.17268210071606774</x:v>
      </x:c>
      <x:c r="D260" s="83" t="n">
        <x:v>0.6631298919774059</x:v>
      </x:c>
      <x:c r="E260" s="81" t="n">
        <x:v>0.1581310018329458</x:v>
      </x:c>
      <x:c r="F260" s="81" t="n">
        <x:v>0.8258940934669227</x:v>
      </x:c>
      <x:c r="G260" s="81" t="n">
        <x:v>0.007753376915119643</x:v>
      </x:c>
      <x:c r="H260" s="59" t="n">
        <x:v>69</x:v>
      </x:c>
      <x:c r="I260" s="81" t="n">
        <x:v>0.35473798075690866</x:v>
      </x:c>
      <x:c r="J260" s="79" t="n">
        <x:v>0.0021013939962398276</x:v>
      </x:c>
      <x:c r="K260" s="81" t="n">
        <x:v>1.4015931385598033</x:v>
      </x:c>
      <x:c r="L260" s="81" t="n">
        <x:v>-0.9369065906800393</x:v>
      </x:c>
      <x:c r="M260" s="80" t="n">
        <x:v>13449.984255738622</x:v>
      </x:c>
      <x:c r="N260" s="82" t="n">
        <x:v>0.2856321183244174</x:v>
      </x:c>
      <x:c r="O260" s="82" t="n">
        <x:v>0.222844717042345</x:v>
      </x:c>
      <x:c r="P260" s="80" t="n">
        <x:v>15348.767985833509</x:v>
      </x:c>
      <x:c r="Q260" s="81" t="n">
        <x:v>0.003867181803389916</x:v>
      </x:c>
      <x:c r="R260" s="81" t="n">
        <x:v>400.12121531573524</x:v>
      </x:c>
      <x:c r="S260" s="81" t="n">
        <x:v>230.06541952396466</x:v>
      </x:c>
      <x:c r="T260" s="81" t="n">
        <x:v>45.52078176222815</x:v>
      </x:c>
    </x:row>
    <x:row r="261">
      <x:c r="A261" s="59" t="n">
        <x:v>258</x:v>
      </x:c>
      <x:c r="B261" s="193" t="n">
        <x:v>0.23704449832439423</x:v>
      </x:c>
      <x:c r="C261" s="83" t="n">
        <x:v>1.5362310254784686</x:v>
      </x:c>
      <x:c r="D261" s="83" t="n">
        <x:v>0.4009487725438774</x:v>
      </x:c>
      <x:c r="E261" s="81" t="n">
        <x:v>-0.029953608003602587</x:v>
      </x:c>
      <x:c r="F261" s="81" t="n">
        <x:v>0.30668867492349816</x:v>
      </x:c>
      <x:c r="G261" s="81" t="n">
        <x:v>0.0011882524630489665</x:v>
      </x:c>
      <x:c r="H261" s="59" t="n">
        <x:v>20</x:v>
      </x:c>
      <x:c r="I261" s="81" t="n">
        <x:v>0.1370371702127159</x:v>
      </x:c>
      <x:c r="J261" s="79" t="n">
        <x:v>1.002075615031726e-11</x:v>
      </x:c>
      <x:c r="K261" s="81" t="n">
        <x:v>-0.9999999885477072</x:v>
      </x:c>
      <x:c r="L261" s="81" t="n">
        <x:v>-0.9999999885477072</x:v>
      </x:c>
      <x:c r="M261" s="80" t="n">
        <x:v>1.39444014098204</x:v>
      </x:c>
      <x:c r="N261" s="82" t="n">
        <x:v>0.15856219408521435</x:v>
      </x:c>
      <x:c r="O261" s="82" t="n">
        <x:v>0.04593760272971459</x:v>
      </x:c>
      <x:c r="P261" s="80" t="n">
        <x:v>1082.1594342325902</x:v>
      </x:c>
      <x:c r="Q261" s="81" t="n">
        <x:v>4.829616614587395</x:v>
      </x:c>
      <x:c r="R261" s="81" t="n">
        <x:v>6.327389404903084</x:v>
      </x:c>
      <x:c r="S261" s="81" t="n">
        <x:v>0.00010044489989519175</x:v>
      </x:c>
      <x:c r="T261" s="81" t="n">
        <x:v>2.17071455722879e-7</x:v>
      </x:c>
    </x:row>
    <x:row r="262">
      <x:c r="A262" s="59" t="n">
        <x:v>259</x:v>
      </x:c>
      <x:c r="B262" s="193" t="n">
        <x:v>0.38800079710781576</x:v>
      </x:c>
      <x:c r="C262" s="83" t="n">
        <x:v>0.1856150697550708</x:v>
      </x:c>
      <x:c r="D262" s="83" t="n">
        <x:v>1.3435146924592452</x:v>
      </x:c>
      <x:c r="E262" s="81" t="n">
        <x:v>-0.16988005099173678</x:v>
      </x:c>
      <x:c r="F262" s="81" t="n">
        <x:v>0.841737548832316</x:v>
      </x:c>
      <x:c r="G262" s="81" t="n">
        <x:v>-0.031895315942021794</x:v>
      </x:c>
      <x:c r="H262" s="59" t="n">
        <x:v>0</x:v>
      </x:c>
      <x:c r="I262" s="81" t="n">
        <x:v>0</x:v>
      </x:c>
      <x:c r="J262" s="79" t="n">
        <x:v>9.47372134734876e-64</x:v>
      </x:c>
      <x:c r="K262" s="81" t="n">
        <x:v>-1</x:v>
      </x:c>
      <x:c r="L262" s="81" t="n">
        <x:v>-1</x:v>
      </x:c>
      <x:c r="M262" s="80" t="n">
        <x:v>0.000002</x:v>
      </x:c>
      <x:c r="N262" s="82" t="n">
        <x:v>0.19452281488602755</x:v>
      </x:c>
      <x:c r="O262" s="82" t="n">
        <x:v>0.15467431034121443</x:v>
      </x:c>
      <x:c r="P262" s="80" t="n">
        <x:v>150.15835817582055</x:v>
      </x:c>
      <x:c r="Q262" s="81" t="n">
        <x:v>1.4684972824712057e+46</x:v>
      </x:c>
      <x:c r="R262" s="81" t="n">
        <x:v>3.2681484736742004</x:v>
      </x:c>
      <x:c r="S262" s="81" t="n">
        <x:v>6.69151402768176e-10</x:v>
      </x:c>
      <x:c r="T262" s="81" t="n">
        <x:v>2.0522148759370834e-59</x:v>
      </x:c>
    </x:row>
    <x:row r="263">
      <x:c r="A263" s="59" t="n">
        <x:v>260</x:v>
      </x:c>
      <x:c r="B263" s="193" t="n">
        <x:v>0.34933503400534394</x:v>
      </x:c>
      <x:c r="C263" s="83" t="n">
        <x:v>1.0459886983974</x:v>
      </x:c>
      <x:c r="D263" s="83" t="n">
        <x:v>0.7105722578796905</x:v>
      </x:c>
      <x:c r="E263" s="81" t="n">
        <x:v>-0.002659245478847871</x:v>
      </x:c>
      <x:c r="F263" s="81" t="n">
        <x:v>0.6989960519596934</x:v>
      </x:c>
      <x:c r="G263" s="81" t="n">
        <x:v>0.010082423916019349</x:v>
      </x:c>
      <x:c r="H263" s="59" t="n">
        <x:v>41</x:v>
      </x:c>
      <x:c r="I263" s="81" t="n">
        <x:v>0.4876611598767341</x:v>
      </x:c>
      <x:c r="J263" s="79" t="n">
        <x:v>3.2140305051090053e-7</x:v>
      </x:c>
      <x:c r="K263" s="81" t="n">
        <x:v>-0.9996326822279875</x:v>
      </x:c>
      <x:c r="L263" s="81" t="n">
        <x:v>-0.9996326822279875</x:v>
      </x:c>
      <x:c r="M263" s="80" t="n">
        <x:v>198.37976588404615</x:v>
      </x:c>
      <x:c r="N263" s="82" t="n">
        <x:v>0.18531190513196039</x:v>
      </x:c>
      <x:c r="O263" s="82" t="n">
        <x:v>0.1223626814591435</x:v>
      </x:c>
      <x:c r="P263" s="80" t="n">
        <x:v>2363.8346675995726</x:v>
      </x:c>
      <x:c r="Q263" s="81" t="n">
        <x:v>0.1356566635160817</x:v>
      </x:c>
      <x:c r="R263" s="81" t="n">
        <x:v>11.403746545687257</x:v>
      </x:c>
      <x:c r="S263" s="81" t="n">
        <x:v>0.04000254617500005</x:v>
      </x:c>
      <x:c r="T263" s="81" t="n">
        <x:v>0.0069622917673699035</x:v>
      </x:c>
    </x:row>
    <x:row r="264">
      <x:c r="A264" s="59" t="n">
        <x:v>261</x:v>
      </x:c>
      <x:c r="B264" s="193" t="n">
        <x:v>0.9150910697877408</x:v>
      </x:c>
      <x:c r="C264" s="83" t="n">
        <x:v>1.0888143081147132</x:v>
      </x:c>
      <x:c r="D264" s="83" t="n">
        <x:v>1.826836312146179</x:v>
      </x:c>
      <x:c r="E264" s="81" t="n">
        <x:v>-0.015020067707925666</x:v>
      </x:c>
      <x:c r="F264" s="81" t="n">
        <x:v>0.5376261735684238</x:v>
      </x:c>
      <x:c r="G264" s="81" t="n">
        <x:v>0.007495702025514904</x:v>
      </x:c>
      <x:c r="H264" s="59" t="n">
        <x:v>0</x:v>
      </x:c>
      <x:c r="I264" s="81" t="n">
        <x:v>0</x:v>
      </x:c>
      <x:c r="J264" s="79" t="n">
        <x:v>7.684589054184503e-22</x:v>
      </x:c>
      <x:c r="K264" s="81" t="n">
        <x:v>-1</x:v>
      </x:c>
      <x:c r="L264" s="81" t="n">
        <x:v>-1</x:v>
      </x:c>
      <x:c r="M264" s="80" t="n">
        <x:v>0.000010401142929261941</x:v>
      </x:c>
      <x:c r="N264" s="82" t="n">
        <x:v>0.32008560078099857</x:v>
      </x:c>
      <x:c r="O264" s="82" t="n">
        <x:v>0.16256141954531386</x:v>
      </x:c>
      <x:c r="P264" s="80" t="n">
        <x:v>1814.976464105048</x:v>
      </x:c>
      <x:c r="Q264" s="81" t="n">
        <x:v>923906.345058317</x:v>
      </x:c>
      <x:c r="R264" s="81" t="n">
        <x:v>5.7462125550110645</x:v>
      </x:c>
      <x:c r="S264" s="81" t="n">
        <x:v>4.62289152018191e-9</x:v>
      </x:c>
      <x:c r="T264" s="81" t="n">
        <x:v>1.664649760558358e-17</x:v>
      </x:c>
    </x:row>
    <x:row r="265">
      <x:c r="A265" s="59" t="n">
        <x:v>262</x:v>
      </x:c>
      <x:c r="B265" s="193" t="n">
        <x:v>0.8742808984592558</x:v>
      </x:c>
      <x:c r="C265" s="83" t="n">
        <x:v>0.48479083696166925</x:v>
      </x:c>
      <x:c r="D265" s="83" t="n">
        <x:v>1.0669405143711401</x:v>
      </x:c>
      <x:c r="E265" s="81" t="n">
        <x:v>-0.06662965033368626</x:v>
      </x:c>
      <x:c r="F265" s="81" t="n">
        <x:v>0.6527511068969034</x:v>
      </x:c>
      <x:c r="G265" s="81" t="n">
        <x:v>-0.013293865838124024</x:v>
      </x:c>
      <x:c r="H265" s="59" t="n">
        <x:v>36</x:v>
      </x:c>
      <x:c r="I265" s="81" t="n">
        <x:v>0.3246048484928906</x:v>
      </x:c>
      <x:c r="J265" s="79" t="n">
        <x:v>6.146816936579874e-33</x:v>
      </x:c>
      <x:c r="K265" s="81" t="n">
        <x:v>-1</x:v>
      </x:c>
      <x:c r="L265" s="81" t="n">
        <x:v>-1</x:v>
      </x:c>
      <x:c r="M265" s="80" t="n">
        <x:v>0.000002</x:v>
      </x:c>
      <x:c r="N265" s="82" t="n">
        <x:v>0.31036385277984085</x:v>
      </x:c>
      <x:c r="O265" s="82" t="n">
        <x:v>0.19137697835900522</x:v>
      </x:c>
      <x:c r="P265" s="80" t="n">
        <x:v>348.2612062527018</x:v>
      </x:c>
      <x:c r="Q265" s="81" t="n">
        <x:v>5261270607263335</x:v>
      </x:c>
      <x:c r="R265" s="81" t="n">
        <x:v>4.309154867201709</x:v>
      </x:c>
      <x:c r="S265" s="81" t="n">
        <x:v>5.348897509408888e-10</x:v>
      </x:c>
      <x:c r="T265" s="81" t="n">
        <x:v>1.331534746949407e-28</x:v>
      </x:c>
    </x:row>
    <x:row r="266">
      <x:c r="A266" s="59" t="n">
        <x:v>263</x:v>
      </x:c>
      <x:c r="B266" s="193" t="n">
        <x:v>0.6364678552374243</x:v>
      </x:c>
      <x:c r="C266" s="83" t="n">
        <x:v>0.558897425073552</x:v>
      </x:c>
      <x:c r="D266" s="83" t="n">
        <x:v>0.20165109652460866</x:v>
      </x:c>
      <x:c r="E266" s="81" t="n">
        <x:v>-0.008280722643074752</x:v>
      </x:c>
      <x:c r="F266" s="81" t="n">
        <x:v>0.6182607868686318</x:v>
      </x:c>
      <x:c r="G266" s="81" t="n">
        <x:v>-0.04881869178744243</x:v>
      </x:c>
      <x:c r="H266" s="59" t="n">
        <x:v>0</x:v>
      </x:c>
      <x:c r="I266" s="81" t="n">
        <x:v>0</x:v>
      </x:c>
      <x:c r="J266" s="79" t="n">
        <x:v>3.1983924091138604e-7</x:v>
      </x:c>
      <x:c r="K266" s="81" t="n">
        <x:v>-0.9996344694389584</x:v>
      </x:c>
      <x:c r="L266" s="81" t="n">
        <x:v>-0.9996344694389584</x:v>
      </x:c>
      <x:c r="M266" s="80" t="n">
        <x:v>150.79087900840474</x:v>
      </x:c>
      <x:c r="N266" s="82" t="n">
        <x:v>0.25371232688984025</x:v>
      </x:c>
      <x:c r="O266" s="82" t="n">
        <x:v>0.14817816508510329</x:v>
      </x:c>
      <x:c r="P266" s="80" t="n">
        <x:v>399.8243576014552</x:v>
      </x:c>
      <x:c r="Q266" s="81" t="n">
        <x:v>0.02118355964204257</x:v>
      </x:c>
      <x:c r="R266" s="81" t="n">
        <x:v>16.250570471806206</x:v>
      </x:c>
      <x:c r="S266" s="81" t="n">
        <x:v>0.015324493031129847</x:v>
      </x:c>
      <x:c r="T266" s="81" t="n">
        <x:v>0.00692841623730531</x:v>
      </x:c>
    </x:row>
    <x:row r="267">
      <x:c r="A267" s="59" t="n">
        <x:v>264</x:v>
      </x:c>
      <x:c r="B267" s="193" t="n">
        <x:v>0.5565010065212845</x:v>
      </x:c>
      <x:c r="C267" s="83" t="n">
        <x:v>0.7724139102457843</x:v>
      </x:c>
      <x:c r="D267" s="83" t="n">
        <x:v>0.9952509139460403</x:v>
      </x:c>
      <x:c r="E267" s="81" t="n">
        <x:v>-0.015492171241713775</x:v>
      </x:c>
      <x:c r="F267" s="81" t="n">
        <x:v>0.5819073562161066</x:v>
      </x:c>
      <x:c r="G267" s="81" t="n">
        <x:v>0.02113018199630834</x:v>
      </x:c>
      <x:c r="H267" s="59" t="n">
        <x:v>0</x:v>
      </x:c>
      <x:c r="I267" s="81" t="n">
        <x:v>0</x:v>
      </x:c>
      <x:c r="J267" s="79" t="n">
        <x:v>1.950617251064492e-15</x:v>
      </x:c>
      <x:c r="K267" s="81" t="n">
        <x:v>-0.9999999999977707</x:v>
      </x:c>
      <x:c r="L267" s="81" t="n">
        <x:v>-0.9999999999977707</x:v>
      </x:c>
      <x:c r="M267" s="80" t="n">
        <x:v>0.013766594452551528</x:v>
      </x:c>
      <x:c r="N267" s="82" t="n">
        <x:v>0.23466272414724212</x:v>
      </x:c>
      <x:c r="O267" s="82" t="n">
        <x:v>0.12899381796913992</x:v>
      </x:c>
      <x:c r="P267" s="80" t="n">
        <x:v>1254.8725853889657</x:v>
      </x:c>
      <x:c r="Q267" s="81" t="n">
        <x:v>467.26967992060753</x:v>
      </x:c>
      <x:c r="R267" s="81" t="n">
        <x:v>9.201846585074804</x:v>
      </x:c>
      <x:c r="S267" s="81" t="n">
        <x:v>0.000004538693514123997</x:v>
      </x:c>
      <x:c r="T267" s="81" t="n">
        <x:v>4.2254628283048674e-11</x:v>
      </x:c>
    </x:row>
    <x:row r="268">
      <x:c r="A268" s="59" t="n">
        <x:v>265</x:v>
      </x:c>
      <x:c r="B268" s="193" t="n">
        <x:v>0.8969137376174332</x:v>
      </x:c>
      <x:c r="C268" s="83" t="n">
        <x:v>0.47119398245658856</x:v>
      </x:c>
      <x:c r="D268" s="83" t="n">
        <x:v>0.8148549796521533</x:v>
      </x:c>
      <x:c r="E268" s="81" t="n">
        <x:v>-0.011946098131377652</x:v>
      </x:c>
      <x:c r="F268" s="81" t="n">
        <x:v>0.405749645025935</x:v>
      </x:c>
      <x:c r="G268" s="81" t="n">
        <x:v>-0.004538300364587687</x:v>
      </x:c>
      <x:c r="H268" s="59" t="n">
        <x:v>0</x:v>
      </x:c>
      <x:c r="I268" s="81" t="n">
        <x:v>0</x:v>
      </x:c>
      <x:c r="J268" s="79" t="n">
        <x:v>6.189758445468181e-11</x:v>
      </x:c>
      <x:c r="K268" s="81" t="n">
        <x:v>-0.9999999292599034</x:v>
      </x:c>
      <x:c r="L268" s="81" t="n">
        <x:v>-0.9999999292599034</x:v>
      </x:c>
      <x:c r="M268" s="80" t="n">
        <x:v>2.004935674664938</x:v>
      </x:c>
      <x:c r="N268" s="82" t="n">
        <x:v>0.3157554194330526</x:v>
      </x:c>
      <x:c r="O268" s="82" t="n">
        <x:v>0.12102634106469419</x:v>
      </x:c>
      <x:c r="P268" s="80" t="n">
        <x:v>1046.4484092250432</x:v>
      </x:c>
      <x:c r="Q268" s="81" t="n">
        <x:v>2.750690651056723</x:v>
      </x:c>
      <x:c r="R268" s="81" t="n">
        <x:v>16.275824285199786</x:v>
      </x:c>
      <x:c r="S268" s="81" t="n">
        <x:v>0.0004710509179470383</x:v>
      </x:c>
      <x:c r="T268" s="81" t="n">
        <x:v>0.0000013408368152818718</x:v>
      </x:c>
    </x:row>
    <x:row r="269">
      <x:c r="A269" s="59" t="n">
        <x:v>266</x:v>
      </x:c>
      <x:c r="B269" s="193" t="n">
        <x:v>0.3407693127170205</x:v>
      </x:c>
      <x:c r="C269" s="83" t="n">
        <x:v>0.2047881476807142</x:v>
      </x:c>
      <x:c r="D269" s="83" t="n">
        <x:v>0.27648057412776844</x:v>
      </x:c>
      <x:c r="E269" s="81" t="n">
        <x:v>-0.053914611086605876</x:v>
      </x:c>
      <x:c r="F269" s="81" t="n">
        <x:v>0.4782328596804291</x:v>
      </x:c>
      <x:c r="G269" s="81" t="n">
        <x:v>-0.02782748773325197</x:v>
      </x:c>
      <x:c r="H269" s="59" t="n">
        <x:v>0</x:v>
      </x:c>
      <x:c r="I269" s="81" t="n">
        <x:v>0</x:v>
      </x:c>
      <x:c r="J269" s="79" t="n">
        <x:v>1.8964569646954977e-12</x:v>
      </x:c>
      <x:c r="K269" s="81" t="n">
        <x:v>-0.9999999978326206</x:v>
      </x:c>
      <x:c r="L269" s="81" t="n">
        <x:v>-0.9999999978326206</x:v>
      </x:c>
      <x:c r="M269" s="80" t="n">
        <x:v>0.2888660270191385</x:v>
      </x:c>
      <x:c r="N269" s="82" t="n">
        <x:v>0.1832713897138078</x:v>
      </x:c>
      <x:c r="O269" s="82" t="n">
        <x:v>0.08279517498319576</x:v>
      </x:c>
      <x:c r="P269" s="80" t="n">
        <x:v>246.86618694293335</x:v>
      </x:c>
      <x:c r="Q269" s="81" t="n">
        <x:v>3.004521062264272</x:v>
      </x:c>
      <x:c r="R269" s="81" t="n">
        <x:v>31.638634426993654</x:v>
      </x:c>
      <x:c r="S269" s="81" t="n">
        <x:v>0.000021200298709991706</x:v>
      </x:c>
      <x:c r="T269" s="81" t="n">
        <x:v>4.1081398236520375e-8</x:v>
      </x:c>
    </x:row>
    <x:row r="270">
      <x:c r="A270" s="59" t="n">
        <x:v>267</x:v>
      </x:c>
      <x:c r="B270" s="193" t="n">
        <x:v>0.8349958654493095</x:v>
      </x:c>
      <x:c r="C270" s="83" t="n">
        <x:v>0.5051061071111429</x:v>
      </x:c>
      <x:c r="D270" s="83" t="n">
        <x:v>1.5274912196229404</x:v>
      </x:c>
      <x:c r="E270" s="81" t="n">
        <x:v>0.07821120797089107</x:v>
      </x:c>
      <x:c r="F270" s="81" t="n">
        <x:v>0.32378150745062156</x:v>
      </x:c>
      <x:c r="G270" s="81" t="n">
        <x:v>0.00038073138045363776</x:v>
      </x:c>
      <x:c r="H270" s="59" t="n">
        <x:v>59</x:v>
      </x:c>
      <x:c r="I270" s="81" t="n">
        <x:v>0.3639610666781664</x:v>
      </x:c>
      <x:c r="J270" s="79" t="n">
        <x:v>0.022809756073129593</x:v>
      </x:c>
      <x:c r="K270" s="81" t="n">
        <x:v>25.06829265500525</x:v>
      </x:c>
      <x:c r="L270" s="81" t="n">
        <x:v>-0.9678029405765851</x:v>
      </x:c>
      <x:c r="M270" s="80" t="n">
        <x:v>58282.70534282795</x:v>
      </x:c>
      <x:c r="N270" s="82" t="n">
        <x:v>0.3010054213225027</x:v>
      </x:c>
      <x:c r="O270" s="82" t="n">
        <x:v>0.09206558141506371</x:v>
      </x:c>
      <x:c r="P270" s="80" t="n">
        <x:v>134625.07520855017</x:v>
      </x:c>
      <x:c r="Q270" s="81" t="n">
        <x:v>0.003264412594323709</x:v>
      </x:c>
      <x:c r="R270" s="81" t="n">
        <x:v>1010.1680301778023</x:v>
      </x:c>
      <x:c r="S270" s="81" t="n">
        <x:v>866.0604930121754</x:v>
      </x:c>
      <x:c r="T270" s="81" t="n">
        <x:v>494.1091152408952</x:v>
      </x:c>
    </x:row>
    <x:row r="271">
      <x:c r="A271" s="59" t="n">
        <x:v>268</x:v>
      </x:c>
      <x:c r="B271" s="193" t="n">
        <x:v>0.9854582672938705</x:v>
      </x:c>
      <x:c r="C271" s="83" t="n">
        <x:v>0.6046219067733659</x:v>
      </x:c>
      <x:c r="D271" s="83" t="n">
        <x:v>3</x:v>
      </x:c>
      <x:c r="E271" s="81" t="n">
        <x:v>0.11699738745545674</x:v>
      </x:c>
      <x:c r="F271" s="81" t="n">
        <x:v>0.4983705802354962</x:v>
      </x:c>
      <x:c r="G271" s="81" t="n">
        <x:v>-0.0330858055035858</x:v>
      </x:c>
      <x:c r="H271" s="59" t="n">
        <x:v>0</x:v>
      </x:c>
      <x:c r="I271" s="81" t="n">
        <x:v>0</x:v>
      </x:c>
      <x:c r="J271" s="79" t="n">
        <x:v>0.05033026278886302</x:v>
      </x:c>
      <x:c r="K271" s="81" t="n">
        <x:v>56.52030033012917</x:v>
      </x:c>
      <x:c r="L271" s="81" t="n">
        <x:v>-0.857176078597071</x:v>
      </x:c>
      <x:c r="M271" s="80" t="n">
        <x:v>134319.29709986405</x:v>
      </x:c>
      <x:c r="N271" s="82" t="n">
        <x:v>0.336848386611912</x:v>
      </x:c>
      <x:c r="O271" s="82" t="n">
        <x:v>0.15858343132464722</x:v>
      </x:c>
      <x:c r="P271" s="80" t="n">
        <x:v>418967.5851790977</x:v>
      </x:c>
      <x:c r="Q271" s="81" t="n">
        <x:v>0.004516944790320485</x:v>
      </x:c>
      <x:c r="R271" s="81" t="n">
        <x:v>2356.6973852226097</x:v>
      </x:c>
      <x:c r="S271" s="81" t="n">
        <x:v>1624.1912263192564</x:v>
      </x:c>
      <x:c r="T271" s="81" t="n">
        <x:v>1090.263374001736</x:v>
      </x:c>
    </x:row>
    <x:row r="272">
      <x:c r="A272" s="59" t="n">
        <x:v>269</x:v>
      </x:c>
      <x:c r="B272" s="193" t="n">
        <x:v>0.7417244169861079</x:v>
      </x:c>
      <x:c r="C272" s="83" t="n">
        <x:v>2.8539686187302995</x:v>
      </x:c>
      <x:c r="D272" s="83" t="n">
        <x:v>0.8204011473055326</x:v>
      </x:c>
      <x:c r="E272" s="81" t="n">
        <x:v>0.05162252184688387</x:v>
      </x:c>
      <x:c r="F272" s="81" t="n">
        <x:v>0.5932636927231215</x:v>
      </x:c>
      <x:c r="G272" s="81" t="n">
        <x:v>-0.021299556777723244</x:v>
      </x:c>
      <x:c r="H272" s="59" t="n">
        <x:v>0</x:v>
      </x:c>
      <x:c r="I272" s="81" t="n">
        <x:v>0</x:v>
      </x:c>
      <x:c r="J272" s="79" t="n">
        <x:v>0.0030598582088397076</x:v>
      </x:c>
      <x:c r="K272" s="81" t="n">
        <x:v>2.4969808101025235</x:v>
      </x:c>
      <x:c r="L272" s="81" t="n">
        <x:v>-0.6161192567181567</x:v>
      </x:c>
      <x:c r="M272" s="80" t="n">
        <x:v>41842.12618126376</x:v>
      </x:c>
      <x:c r="N272" s="82" t="n">
        <x:v>0.2787864134589096</x:v>
      </x:c>
      <x:c r="O272" s="82" t="n">
        <x:v>0.15623931179302522</x:v>
      </x:c>
      <x:c r="P272" s="80" t="n">
        <x:v>65073.71795623743</x:v>
      </x:c>
      <x:c r="Q272" s="81" t="n">
        <x:v>0.007034773806719073</x:v>
      </x:c>
      <x:c r="R272" s="81" t="n">
        <x:v>38.849003265808605</x:v>
      </x:c>
      <x:c r="S272" s="81" t="n">
        <x:v>23.052482250540102</x:v>
      </x:c>
      <x:c r="T272" s="81" t="n">
        <x:v>66.28320914459209</x:v>
      </x:c>
    </x:row>
    <x:row r="273">
      <x:c r="A273" s="59" t="n">
        <x:v>270</x:v>
      </x:c>
      <x:c r="B273" s="193" t="n">
        <x:v>0.6161797596141696</x:v>
      </x:c>
      <x:c r="C273" s="83" t="n">
        <x:v>0.3122288737408237</x:v>
      </x:c>
      <x:c r="D273" s="83" t="n">
        <x:v>0.48396962005518357</x:v>
      </x:c>
      <x:c r="E273" s="81" t="n">
        <x:v>-0.029986598122151494</x:v>
      </x:c>
      <x:c r="F273" s="81" t="n">
        <x:v>0.7644127772306092</x:v>
      </x:c>
      <x:c r="G273" s="81" t="n">
        <x:v>-0.048185682026949665</x:v>
      </x:c>
      <x:c r="H273" s="59" t="n">
        <x:v>0</x:v>
      </x:c>
      <x:c r="I273" s="81" t="n">
        <x:v>0</x:v>
      </x:c>
      <x:c r="J273" s="79" t="n">
        <x:v>7.348791776256237e-12</x:v>
      </x:c>
      <x:c r="K273" s="81" t="n">
        <x:v>-0.9999999916013809</x:v>
      </x:c>
      <x:c r="L273" s="81" t="n">
        <x:v>-0.9999999916013809</x:v>
      </x:c>
      <x:c r="M273" s="80" t="n">
        <x:v>0.6180928036235156</x:v>
      </x:c>
      <x:c r="N273" s="82" t="n">
        <x:v>0.24887932211058802</x:v>
      </x:c>
      <x:c r="O273" s="82" t="n">
        <x:v>0.17971639351848673</x:v>
      </x:c>
      <x:c r="P273" s="80" t="n">
        <x:v>385.01935888691315</x:v>
      </x:c>
      <x:c r="Q273" s="81" t="n">
        <x:v>2.9061880264522633</x:v>
      </x:c>
      <x:c r="R273" s="81" t="n">
        <x:v>17.007884607922005</x:v>
      </x:c>
      <x:c r="S273" s="81" t="n">
        <x:v>0.000056052091638534344</x:v>
      </x:c>
      <x:c r="T273" s="81" t="n">
        <x:v>1.591908738968524e-7</x:v>
      </x:c>
    </x:row>
    <x:row r="274">
      <x:c r="A274" s="59" t="n">
        <x:v>271</x:v>
      </x:c>
      <x:c r="B274" s="193" t="n">
        <x:v>0.7776043694466352</x:v>
      </x:c>
      <x:c r="C274" s="83" t="n">
        <x:v>1.4588105231767825</x:v>
      </x:c>
      <x:c r="D274" s="83" t="n">
        <x:v>0.5597352983106614</x:v>
      </x:c>
      <x:c r="E274" s="81" t="n">
        <x:v>-0.12231661449959048</x:v>
      </x:c>
      <x:c r="F274" s="81" t="n">
        <x:v>0.7799078306998126</x:v>
      </x:c>
      <x:c r="G274" s="81" t="n">
        <x:v>-0.01609491161187021</x:v>
      </x:c>
      <x:c r="H274" s="59" t="n">
        <x:v>0</x:v>
      </x:c>
      <x:c r="I274" s="81" t="n">
        <x:v>0</x:v>
      </x:c>
      <x:c r="J274" s="79" t="n">
        <x:v>3.78252024393433e-32</x:v>
      </x:c>
      <x:c r="K274" s="81" t="n">
        <x:v>-1</x:v>
      </x:c>
      <x:c r="L274" s="81" t="n">
        <x:v>-1</x:v>
      </x:c>
      <x:c r="M274" s="80" t="n">
        <x:v>0.000002</x:v>
      </x:c>
      <x:c r="N274" s="82" t="n">
        <x:v>0.2873336908841156</x:v>
      </x:c>
      <x:c r="O274" s="82" t="n">
        <x:v>0.21169021026878168</x:v>
      </x:c>
      <x:c r="P274" s="80" t="n">
        <x:v>323.12300187613556</x:v>
      </x:c>
      <x:c r="Q274" s="81" t="n">
        <x:v>490053482835531.25</x:v>
      </x:c>
      <x:c r="R274" s="81" t="n">
        <x:v>1.6741699247639124</x:v>
      </x:c>
      <x:c r="S274" s="81" t="n">
        <x:v>1.6369135810386493e-10</x:v>
      </x:c>
      <x:c r="T274" s="81" t="n">
        <x:v>8.193764655435595e-28</x:v>
      </x:c>
    </x:row>
    <x:row r="275">
      <x:c r="A275" s="59" t="n">
        <x:v>272</x:v>
      </x:c>
      <x:c r="B275" s="193" t="n">
        <x:v>0.6682542696595193</x:v>
      </x:c>
      <x:c r="C275" s="83" t="n">
        <x:v>2.8610415129410196</x:v>
      </x:c>
      <x:c r="D275" s="83" t="n">
        <x:v>0.7945129803206576</x:v>
      </x:c>
      <x:c r="E275" s="81" t="n">
        <x:v>0.06239147592963344</x:v>
      </x:c>
      <x:c r="F275" s="81" t="n">
        <x:v>0.7759372932487167</x:v>
      </x:c>
      <x:c r="G275" s="81" t="n">
        <x:v>-0.029479469704997693</x:v>
      </x:c>
      <x:c r="H275" s="59" t="n">
        <x:v>40</x:v>
      </x:c>
      <x:c r="I275" s="81" t="n">
        <x:v>0.12254278603941203</x:v>
      </x:c>
      <x:c r="J275" s="79" t="n">
        <x:v>0.002359415539575513</x:v>
      </x:c>
      <x:c r="K275" s="81" t="n">
        <x:v>1.6964749023720151</x:v>
      </x:c>
      <x:c r="L275" s="81" t="n">
        <x:v>-0.6806960815081049</x:v>
      </x:c>
      <x:c r="M275" s="80" t="n">
        <x:v>37415.557604175236</x:v>
      </x:c>
      <x:c r="N275" s="82" t="n">
        <x:v>0.26128444680045354</x:v>
      </x:c>
      <x:c r="O275" s="82" t="n">
        <x:v>0.19151867395078664</x:v>
      </x:c>
      <x:c r="P275" s="80" t="n">
        <x:v>56401.86888219686</x:v>
      </x:c>
      <x:c r="Q275" s="81" t="n">
        <x:v>0.007210249593658837</x:v>
      </x:c>
      <x:c r="R275" s="81" t="n">
        <x:v>42.09512760238156</x:v>
      </x:c>
      <x:c r="S275" s="81" t="n">
        <x:v>17.791287398692532</x:v>
      </x:c>
      <x:c r="T275" s="81" t="n">
        <x:v>51.11009170846088</x:v>
      </x:c>
    </x:row>
    <x:row r="276">
      <x:c r="A276" s="59" t="n">
        <x:v>273</x:v>
      </x:c>
      <x:c r="B276" s="193" t="n">
        <x:v>0.2588234432041645</x:v>
      </x:c>
      <x:c r="C276" s="83" t="n">
        <x:v>0.16734233295150608</x:v>
      </x:c>
      <x:c r="D276" s="83" t="n">
        <x:v>1.8519400663854804</x:v>
      </x:c>
      <x:c r="E276" s="81" t="n">
        <x:v>-0.04806649263560866</x:v>
      </x:c>
      <x:c r="F276" s="81" t="n">
        <x:v>0.3303884215420112</x:v>
      </x:c>
      <x:c r="G276" s="81" t="n">
        <x:v>-0.003958855067793663</x:v>
      </x:c>
      <x:c r="H276" s="59" t="n">
        <x:v>0</x:v>
      </x:c>
      <x:c r="I276" s="81" t="n">
        <x:v>0</x:v>
      </x:c>
      <x:c r="J276" s="79" t="n">
        <x:v>1.3716724232268652e-38</x:v>
      </x:c>
      <x:c r="K276" s="81" t="n">
        <x:v>-1</x:v>
      </x:c>
      <x:c r="L276" s="81" t="n">
        <x:v>-1</x:v>
      </x:c>
      <x:c r="M276" s="80" t="n">
        <x:v>0.000002</x:v>
      </x:c>
      <x:c r="N276" s="82" t="n">
        <x:v>0.16375034711079195</x:v>
      </x:c>
      <x:c r="O276" s="82" t="n">
        <x:v>0.05110671777618799</x:v>
      </x:c>
      <x:c r="P276" s="80" t="n">
        <x:v>420.5584954967635</x:v>
      </x:c>
      <x:c r="Q276" s="81" t="n">
        <x:v>3.2113733344195154e+21</x:v>
      </x:c>
      <x:c r="R276" s="81" t="n">
        <x:v>10.469458597491586</x:v>
      </x:c>
      <x:c r="S276" s="81" t="n">
        <x:v>1.324259278146645e-9</x:v>
      </x:c>
      <x:c r="T276" s="81" t="n">
        <x:v>2.9713419348634455e-34</x:v>
      </x:c>
    </x:row>
    <x:row r="277">
      <x:c r="A277" s="59" t="n">
        <x:v>274</x:v>
      </x:c>
      <x:c r="B277" s="193" t="n">
        <x:v>0.3137797333300114</x:v>
      </x:c>
      <x:c r="C277" s="83" t="n">
        <x:v>0.4679829809877009</x:v>
      </x:c>
      <x:c r="D277" s="83" t="n">
        <x:v>0.43484961087774365</x:v>
      </x:c>
      <x:c r="E277" s="81" t="n">
        <x:v>-0.023559375924647963</x:v>
      </x:c>
      <x:c r="F277" s="81" t="n">
        <x:v>0.6475734220235609</x:v>
      </x:c>
      <x:c r="G277" s="81" t="n">
        <x:v>0.002914147099905862</x:v>
      </x:c>
      <x:c r="H277" s="59" t="n">
        <x:v>0</x:v>
      </x:c>
      <x:c r="I277" s="81" t="n">
        <x:v>0</x:v>
      </x:c>
      <x:c r="J277" s="79" t="n">
        <x:v>2.1050578581204688e-11</x:v>
      </x:c>
      <x:c r="K277" s="81" t="n">
        <x:v>-0.9999999759421959</x:v>
      </x:c>
      <x:c r="L277" s="81" t="n">
        <x:v>-0.9999999759421959</x:v>
      </x:c>
      <x:c r="M277" s="80" t="n">
        <x:v>1.1685244939086237</x:v>
      </x:c>
      <x:c r="N277" s="82" t="n">
        <x:v>0.17684196584920875</x:v>
      </x:c>
      <x:c r="O277" s="82" t="n">
        <x:v>0.10817958021681515</x:v>
      </x:c>
      <x:c r="P277" s="80" t="n">
        <x:v>570.2081309427189</x:v>
      </x:c>
      <x:c r="Q277" s="81" t="n">
        <x:v>2.426669787472408</x:v>
      </x:c>
      <x:c r="R277" s="81" t="n">
        <x:v>16.181581815191723</x:v>
      </x:c>
      <x:c r="S277" s="81" t="n">
        <x:v>0.00016121428037716438</x:v>
      </x:c>
      <x:c r="T277" s="81" t="n">
        <x:v>4.5600149009576365e-7</x:v>
      </x:c>
    </x:row>
    <x:row r="278">
      <x:c r="A278" s="59" t="n">
        <x:v>275</x:v>
      </x:c>
      <x:c r="B278" s="193" t="n">
        <x:v>0.5166654059663416</x:v>
      </x:c>
      <x:c r="C278" s="83" t="n">
        <x:v>0.11436963310837625</x:v>
      </x:c>
      <x:c r="D278" s="83" t="n">
        <x:v>0.4462335652544884</x:v>
      </x:c>
      <x:c r="E278" s="81" t="n">
        <x:v>-0.053685005242789824</x:v>
      </x:c>
      <x:c r="F278" s="81" t="n">
        <x:v>0.2729641503188759</x:v>
      </x:c>
      <x:c r="G278" s="81" t="n">
        <x:v>0.02313638044196712</x:v>
      </x:c>
      <x:c r="H278" s="59" t="n">
        <x:v>0</x:v>
      </x:c>
      <x:c r="I278" s="81" t="n">
        <x:v>0</x:v>
      </x:c>
      <x:c r="J278" s="79" t="n">
        <x:v>4.14635533718779e-21</x:v>
      </x:c>
      <x:c r="K278" s="81" t="n">
        <x:v>-1</x:v>
      </x:c>
      <x:c r="L278" s="81" t="n">
        <x:v>-1</x:v>
      </x:c>
      <x:c r="M278" s="80" t="n">
        <x:v>0.000012858534112655909</x:v>
      </x:c>
      <x:c r="N278" s="82" t="n">
        <x:v>0.22517313717754459</x:v>
      </x:c>
      <x:c r="O278" s="82" t="n">
        <x:v>0.05806215265293102</x:v>
      </x:c>
      <x:c r="P278" s="80" t="n">
        <x:v>280.66851846913517</x:v>
      </x:c>
      <x:c r="Q278" s="81" t="n">
        <x:v>61481.93584107623</x:v>
      </x:c>
      <x:c r="R278" s="81" t="n">
        <x:v>45.21138937833548</x:v>
      </x:c>
      <x:c r="S278" s="81" t="n">
        <x:v>3.165540046150003e-9</x:v>
      </x:c>
      <x:c r="T278" s="81" t="n">
        <x:v>8.981910900597919e-17</x:v>
      </x:c>
    </x:row>
    <x:row r="279">
      <x:c r="A279" s="59" t="n">
        <x:v>276</x:v>
      </x:c>
      <x:c r="B279" s="193" t="n">
        <x:v>0.7442784536629916</x:v>
      </x:c>
      <x:c r="C279" s="83" t="n">
        <x:v>0.31856726284873893</x:v>
      </x:c>
      <x:c r="D279" s="83" t="n">
        <x:v>0.6936087660521932</x:v>
      </x:c>
      <x:c r="E279" s="81" t="n">
        <x:v>-0.08747817132694394</x:v>
      </x:c>
      <x:c r="F279" s="81" t="n">
        <x:v>0.2662686149007641</x:v>
      </x:c>
      <x:c r="G279" s="81" t="n">
        <x:v>-0.027978671466826296</x:v>
      </x:c>
      <x:c r="H279" s="59" t="n">
        <x:v>0</x:v>
      </x:c>
      <x:c r="I279" s="81" t="n">
        <x:v>0</x:v>
      </x:c>
      <x:c r="J279" s="79" t="n">
        <x:v>8.831840190681974e-29</x:v>
      </x:c>
      <x:c r="K279" s="81" t="n">
        <x:v>-1</x:v>
      </x:c>
      <x:c r="L279" s="81" t="n">
        <x:v>-1</x:v>
      </x:c>
      <x:c r="M279" s="80" t="n">
        <x:v>0.000002</x:v>
      </x:c>
      <x:c r="N279" s="82" t="n">
        <x:v>0.27939483288353084</x:v>
      </x:c>
      <x:c r="O279" s="82" t="n">
        <x:v>0.07027636519612812</x:v>
      </x:c>
      <x:c r="P279" s="80" t="n">
        <x:v>242.51048282420913</x:v>
      </x:c>
      <x:c r="Q279" s="81" t="n">
        <x:v>284357345525.5218</x:v>
      </x:c>
      <x:c r="R279" s="81" t="n">
        <x:v>7.77167644179789</x:v>
      </x:c>
      <x:c r="S279" s="81" t="n">
        <x:v>3.2626605399596456e-10</x:v>
      </x:c>
      <x:c r="T279" s="81" t="n">
        <x:v>1.9131694037305443e-24</x:v>
      </x:c>
    </x:row>
    <x:row r="280">
      <x:c r="A280" s="59" t="n">
        <x:v>277</x:v>
      </x:c>
      <x:c r="B280" s="193" t="n">
        <x:v>0.6861630540341139</x:v>
      </x:c>
      <x:c r="C280" s="83" t="n">
        <x:v>0.7198873312940552</x:v>
      </x:c>
      <x:c r="D280" s="83" t="n">
        <x:v>1.2256886442844286</x:v>
      </x:c>
      <x:c r="E280" s="81" t="n">
        <x:v>-0.07203649108927226</x:v>
      </x:c>
      <x:c r="F280" s="81" t="n">
        <x:v>0.3939466578071006</x:v>
      </x:c>
      <x:c r="G280" s="81" t="n">
        <x:v>0.0339435203496685</x:v>
      </x:c>
      <x:c r="H280" s="59" t="n">
        <x:v>0</x:v>
      </x:c>
      <x:c r="I280" s="81" t="n">
        <x:v>0</x:v>
      </x:c>
      <x:c r="J280" s="79" t="n">
        <x:v>1.4389913008697438e-44</x:v>
      </x:c>
      <x:c r="K280" s="81" t="n">
        <x:v>-1</x:v>
      </x:c>
      <x:c r="L280" s="81" t="n">
        <x:v>-1</x:v>
      </x:c>
      <x:c r="M280" s="80" t="n">
        <x:v>0.000002</x:v>
      </x:c>
      <x:c r="N280" s="82" t="n">
        <x:v>0.2655506550281891</x:v>
      </x:c>
      <x:c r="O280" s="82" t="n">
        <x:v>0.09882247787743309</x:v>
      </x:c>
      <x:c r="P280" s="80" t="n">
        <x:v>410.3290523837008</x:v>
      </x:c>
      <x:c r="Q280" s="81" t="n">
        <x:v>2.0892655875977524e+27</x:v>
      </x:c>
      <x:c r="R280" s="81" t="n">
        <x:v>2.783709777258889</x:v>
      </x:c>
      <x:c r="S280" s="81" t="n">
        <x:v>9.370487755971593e-10</x:v>
      </x:c>
      <x:c r="T280" s="81" t="n">
        <x:v>3.1171693210243933e-40</x:v>
      </x:c>
    </x:row>
    <x:row r="281">
      <x:c r="A281" s="59" t="n">
        <x:v>278</x:v>
      </x:c>
      <x:c r="B281" s="193" t="n">
        <x:v>0.5566970141604544</x:v>
      </x:c>
      <x:c r="C281" s="83" t="n">
        <x:v>0.5276783444604978</x:v>
      </x:c>
      <x:c r="D281" s="83" t="n">
        <x:v>0.5005325782980327</x:v>
      </x:c>
      <x:c r="E281" s="81" t="n">
        <x:v>-0.11518334646551928</x:v>
      </x:c>
      <x:c r="F281" s="81" t="n">
        <x:v>0.7422856112709268</x:v>
      </x:c>
      <x:c r="G281" s="81" t="n">
        <x:v>0.008524994338375471</x:v>
      </x:c>
      <x:c r="H281" s="59" t="n">
        <x:v>0</x:v>
      </x:c>
      <x:c r="I281" s="81" t="n">
        <x:v>0</x:v>
      </x:c>
      <x:c r="J281" s="79" t="n">
        <x:v>1.3352269215072e-31</x:v>
      </x:c>
      <x:c r="K281" s="81" t="n">
        <x:v>-1</x:v>
      </x:c>
      <x:c r="L281" s="81" t="n">
        <x:v>-1</x:v>
      </x:c>
      <x:c r="M281" s="80" t="n">
        <x:v>0.000002</x:v>
      </x:c>
      <x:c r="N281" s="82" t="n">
        <x:v>0.23470941684203556</x:v>
      </x:c>
      <x:c r="O281" s="82" t="n">
        <x:v>0.1645782720952224</x:v>
      </x:c>
      <x:c r="P281" s="80" t="n">
        <x:v>202.37783947341444</x:v>
      </x:c>
      <x:c r="Q281" s="81" t="n">
        <x:v>146486062019217.94</x:v>
      </x:c>
      <x:c r="R281" s="81" t="n">
        <x:v>4.57281124174276</x:v>
      </x:c>
      <x:c r="S281" s="81" t="n">
        <x:v>3.182430791906612e-10</x:v>
      </x:c>
      <x:c r="T281" s="81" t="n">
        <x:v>2.8923930212868194e-27</x:v>
      </x:c>
    </x:row>
    <x:row r="282">
      <x:c r="A282" s="59" t="n">
        <x:v>279</x:v>
      </x:c>
      <x:c r="B282" s="193" t="n">
        <x:v>0.42585354372859</x:v>
      </x:c>
      <x:c r="C282" s="83" t="n">
        <x:v>2.280585729848536</x:v>
      </x:c>
      <x:c r="D282" s="83" t="n">
        <x:v>0.39094836057621407</x:v>
      </x:c>
      <x:c r="E282" s="81" t="n">
        <x:v>-0.009350944294636484</x:v>
      </x:c>
      <x:c r="F282" s="81" t="n">
        <x:v>0.296010805410333</x:v>
      </x:c>
      <x:c r="G282" s="81" t="n">
        <x:v>0.04451248759430532</x:v>
      </x:c>
      <x:c r="H282" s="59" t="n">
        <x:v>0</x:v>
      </x:c>
      <x:c r="I282" s="81" t="n">
        <x:v>0</x:v>
      </x:c>
      <x:c r="J282" s="79" t="n">
        <x:v>1.1059664885704125e-7</x:v>
      </x:c>
      <x:c r="K282" s="81" t="n">
        <x:v>-0.9998736038298777</x:v>
      </x:c>
      <x:c r="L282" s="81" t="n">
        <x:v>-0.9998736038298777</x:v>
      </x:c>
      <x:c r="M282" s="80" t="n">
        <x:v>186.90326140175193</x:v>
      </x:c>
      <x:c r="N282" s="82" t="n">
        <x:v>0.20354004887009508</x:v>
      </x:c>
      <x:c r="O282" s="82" t="n">
        <x:v>0.05691521501741506</x:v>
      </x:c>
      <x:c r="P282" s="80" t="n">
        <x:v>3185.493206768475</x:v>
      </x:c>
      <x:c r="Q282" s="81" t="n">
        <x:v>0.17008200250404043</x:v>
      </x:c>
      <x:c r="R282" s="81" t="n">
        <x:v>6.5644926777683725</x:v>
      </x:c>
      <x:c r="S282" s="81" t="n">
        <x:v>0.017681483293127326</x:v>
      </x:c>
      <x:c r="T282" s="81" t="n">
        <x:v>0.0023957648709683394</x:v>
      </x:c>
    </x:row>
    <x:row r="283">
      <x:c r="A283" s="59" t="n">
        <x:v>280</x:v>
      </x:c>
      <x:c r="B283" s="193" t="n">
        <x:v>0.22455165926367046</x:v>
      </x:c>
      <x:c r="C283" s="83" t="n">
        <x:v>0.23033723884171595</x:v>
      </x:c>
      <x:c r="D283" s="83" t="n">
        <x:v>0.7066269941046674</x:v>
      </x:c>
      <x:c r="E283" s="81" t="n">
        <x:v>0.011606930083424805</x:v>
      </x:c>
      <x:c r="F283" s="81" t="n">
        <x:v>0.516368442575913</x:v>
      </x:c>
      <x:c r="G283" s="81" t="n">
        <x:v>0.0356242275578577</x:v>
      </x:c>
      <x:c r="H283" s="59" t="n">
        <x:v>57</x:v>
      </x:c>
      <x:c r="I283" s="81" t="n">
        <x:v>0.37666056239977486</x:v>
      </x:c>
      <x:c r="J283" s="79" t="n">
        <x:v>0.00014829223212431126</x:v>
      </x:c>
      <x:c r="K283" s="81" t="n">
        <x:v>-0.8305231632865013</x:v>
      </x:c>
      <x:c r="L283" s="81" t="n">
        <x:v>-0.9125033752173206</x:v>
      </x:c>
      <x:c r="M283" s="80" t="n">
        <x:v>2652.2446868615843</x:v>
      </x:c>
      <x:c r="N283" s="82" t="n">
        <x:v>0.1555861655802175</x:v>
      </x:c>
      <x:c r="O283" s="82" t="n">
        <x:v>0.07589298111292063</x:v>
      </x:c>
      <x:c r="P283" s="80" t="n">
        <x:v>4841.23794679241</x:v>
      </x:c>
      <x:c r="Q283" s="81" t="n">
        <x:v>0.01318359534274124</x:v>
      </x:c>
      <x:c r="R283" s="81" t="n">
        <x:v>71.8638811176444</x:v>
      </x:c>
      <x:c r="S283" s="81" t="n">
        <x:v>12.98393599350172</x:v>
      </x:c>
      <x:c r="T283" s="81" t="n">
        <x:v>3.2123335022577297</x:v>
      </x:c>
    </x:row>
    <x:row r="284">
      <x:c r="A284" s="59" t="n">
        <x:v>281</x:v>
      </x:c>
      <x:c r="B284" s="193" t="n">
        <x:v>0.9014373952522874</x:v>
      </x:c>
      <x:c r="C284" s="83" t="n">
        <x:v>1.087055902994253</x:v>
      </x:c>
      <x:c r="D284" s="83" t="n">
        <x:v>1.3669969088878458</x:v>
      </x:c>
      <x:c r="E284" s="81" t="n">
        <x:v>0.03023407216126372</x:v>
      </x:c>
      <x:c r="F284" s="81" t="n">
        <x:v>0.5099313777289354</x:v>
      </x:c>
      <x:c r="G284" s="81" t="n">
        <x:v>-0.030864133981749</x:v>
      </x:c>
      <x:c r="H284" s="59" t="n">
        <x:v>0</x:v>
      </x:c>
      <x:c r="I284" s="81" t="n">
        <x:v>0</x:v>
      </x:c>
      <x:c r="J284" s="79" t="n">
        <x:v>0.0007122471056116152</x:v>
      </x:c>
      <x:c r="K284" s="81" t="n">
        <x:v>-0.18600330787243968</x:v>
      </x:c>
      <x:c r="L284" s="81" t="n">
        <x:v>-0.7680102390970024</x:v>
      </x:c>
      <x:c r="M284" s="80" t="n">
        <x:v>10833.972504879583</x:v>
      </x:c>
      <x:c r="N284" s="82" t="n">
        <x:v>0.31683303950025576</x:v>
      </x:c>
      <x:c r="O284" s="82" t="n">
        <x:v>0.15262059484331658</x:v>
      </x:c>
      <x:c r="P284" s="80" t="n">
        <x:v>29487.923198234224</x:v>
      </x:c>
      <x:c r="Q284" s="81" t="n">
        <x:v>0.01107892966813476</x:v>
      </x:c>
      <x:c r="R284" s="81" t="n">
        <x:v>54.55629577928694</x:v>
      </x:c>
      <x:c r="S284" s="81" t="n">
        <x:v>14.34858404785714</x:v>
      </x:c>
      <x:c r="T284" s="81" t="n">
        <x:v>15.42882729908815</x:v>
      </x:c>
    </x:row>
    <x:row r="285">
      <x:c r="A285" s="59" t="n">
        <x:v>282</x:v>
      </x:c>
      <x:c r="B285" s="193" t="n">
        <x:v>0.3607226859778166</x:v>
      </x:c>
      <x:c r="C285" s="83" t="n">
        <x:v>2.885306112890495</x:v>
      </x:c>
      <x:c r="D285" s="83" t="n">
        <x:v>1.004685687847291</x:v>
      </x:c>
      <x:c r="E285" s="81" t="n">
        <x:v>0.033883469805545324</x:v>
      </x:c>
      <x:c r="F285" s="81" t="n">
        <x:v>0.7465738914208486</x:v>
      </x:c>
      <x:c r="G285" s="81" t="n">
        <x:v>-0.003656118497425278</x:v>
      </x:c>
      <x:c r="H285" s="59" t="n">
        <x:v>0</x:v>
      </x:c>
      <x:c r="I285" s="81" t="n">
        <x:v>0</x:v>
      </x:c>
      <x:c r="J285" s="79" t="n">
        <x:v>0.004106370506115927</x:v>
      </x:c>
      <x:c r="K285" s="81" t="n">
        <x:v>3.692994864132488</x:v>
      </x:c>
      <x:c r="L285" s="81" t="n">
        <x:v>-0.5228537315604916</x:v>
      </x:c>
      <x:c r="M285" s="80" t="n">
        <x:v>48118.29201629493</x:v>
      </x:c>
      <x:c r="N285" s="82" t="n">
        <x:v>0.18802465735027798</x:v>
      </x:c>
      <x:c r="O285" s="82" t="n">
        <x:v>0.13260458656060511</x:v>
      </x:c>
      <x:c r="P285" s="80" t="n">
        <x:v>91081.95091768076</x:v>
      </x:c>
      <x:c r="Q285" s="81" t="n">
        <x:v>0.0090154359439093</x:v>
      </x:c>
      <x:c r="R285" s="81" t="n">
        <x:v>31.687692309886746</x:v>
      </x:c>
      <x:c r="S285" s="81" t="n">
        <x:v>31.795384772554122</x:v>
      </x:c>
      <x:c r="T285" s="81" t="n">
        <x:v>88.95295026931261</x:v>
      </x:c>
    </x:row>
    <x:row r="286">
      <x:c r="A286" s="59" t="n">
        <x:v>283</x:v>
      </x:c>
      <x:c r="B286" s="193" t="n">
        <x:v>0.4127269273623824</x:v>
      </x:c>
      <x:c r="C286" s="83" t="n">
        <x:v>0.21230196179169053</x:v>
      </x:c>
      <x:c r="D286" s="83" t="n">
        <x:v>0.6578647447105065</x:v>
      </x:c>
      <x:c r="E286" s="81" t="n">
        <x:v>-0.006909176119621199</x:v>
      </x:c>
      <x:c r="F286" s="81" t="n">
        <x:v>0.6163376717828215</x:v>
      </x:c>
      <x:c r="G286" s="81" t="n">
        <x:v>-0.0340850590040649</x:v>
      </x:c>
      <x:c r="H286" s="59" t="n">
        <x:v>68</x:v>
      </x:c>
      <x:c r="I286" s="81" t="n">
        <x:v>0.3402005901560188</x:v>
      </x:c>
      <x:c r="J286" s="79" t="n">
        <x:v>3.342379396816019e-8</x:v>
      </x:c>
      <x:c r="K286" s="81" t="n">
        <x:v>-0.9999618013783221</x:v>
      </x:c>
      <x:c r="L286" s="81" t="n">
        <x:v>-0.9999618013783221</x:v>
      </x:c>
      <x:c r="M286" s="80" t="n">
        <x:v>38.034922299289676</x:v>
      </x:c>
      <x:c r="N286" s="82" t="n">
        <x:v>0.20041304272760754</x:v>
      </x:c>
      <x:c r="O286" s="82" t="n">
        <x:v>0.11668516294044608</x:v>
      </x:c>
      <x:c r="P286" s="80" t="n">
        <x:v>832.2293062153256</x:v>
      </x:c>
      <x:c r="Q286" s="81" t="n">
        <x:v>0.13204723157897674</x:v>
      </x:c>
      <x:c r="R286" s="81" t="n">
        <x:v>38.732022448166425</x:v>
      </x:c>
      <x:c r="S286" s="81" t="n">
        <x:v>0.008893641139932889</x:v>
      </x:c>
      <x:c r="T286" s="81" t="n">
        <x:v>0.0007240323488183483</x:v>
      </x:c>
    </x:row>
    <x:row r="287">
      <x:c r="A287" s="59" t="n">
        <x:v>284</x:v>
      </x:c>
      <x:c r="B287" s="193" t="n">
        <x:v>0.8634898690506816</x:v>
      </x:c>
      <x:c r="C287" s="83" t="n">
        <x:v>0.10034457571121855</x:v>
      </x:c>
      <x:c r="D287" s="83" t="n">
        <x:v>0.6040661145454288</x:v>
      </x:c>
      <x:c r="E287" s="81" t="n">
        <x:v>0.027035617919585784</x:v>
      </x:c>
      <x:c r="F287" s="81" t="n">
        <x:v>0.3206652693101205</x:v>
      </x:c>
      <x:c r="G287" s="81" t="n">
        <x:v>-0.022062556516499535</x:v>
      </x:c>
      <x:c r="H287" s="59" t="n">
        <x:v>10</x:v>
      </x:c>
      <x:c r="I287" s="81" t="n">
        <x:v>0.3425509063526988</x:v>
      </x:c>
      <x:c r="J287" s="79" t="n">
        <x:v>0.00009393136584396246</x:v>
      </x:c>
      <x:c r="K287" s="81" t="n">
        <x:v>-0.8926498676069</x:v>
      </x:c>
      <x:c r="L287" s="81" t="n">
        <x:v>-0.902468930021401</x:v>
      </x:c>
      <x:c r="M287" s="80" t="n">
        <x:v>1920.7006848497958</x:v>
      </x:c>
      <x:c r="N287" s="82" t="n">
        <x:v>0.3077932272429173</x:v>
      </x:c>
      <x:c r="O287" s="82" t="n">
        <x:v>0.093235633478687</x:v>
      </x:c>
      <x:c r="P287" s="80" t="n">
        <x:v>2699.5333468013173</x:v>
      </x:c>
      <x:c r="Q287" s="81" t="n">
        <x:v>0.007018652213819168</x:v>
      </x:c>
      <x:c r="R287" s="81" t="n">
        <x:v>114.44676804615173</x:v>
      </x:c>
      <x:c r="S287" s="81" t="n">
        <x:v>17.742219494285763</x:v>
      </x:c>
      <x:c r="T287" s="81" t="n">
        <x:v>2.034758456939569</x:v>
      </x:c>
    </x:row>
    <x:row r="288">
      <x:c r="A288" s="59" t="n">
        <x:v>285</x:v>
      </x:c>
      <x:c r="B288" s="193" t="n">
        <x:v>0.9821408279240131</x:v>
      </x:c>
      <x:c r="C288" s="83" t="n">
        <x:v>0.17705848877749258</x:v>
      </x:c>
      <x:c r="D288" s="83" t="n">
        <x:v>0.8557331781910579</x:v>
      </x:c>
      <x:c r="E288" s="81" t="n">
        <x:v>-0.03900075844660683</x:v>
      </x:c>
      <x:c r="F288" s="81" t="n">
        <x:v>0.7347950998228043</x:v>
      </x:c>
      <x:c r="G288" s="81" t="n">
        <x:v>-0.02909412816776399</x:v>
      </x:c>
      <x:c r="H288" s="59" t="n">
        <x:v>0</x:v>
      </x:c>
      <x:c r="I288" s="81" t="n">
        <x:v>0</x:v>
      </x:c>
      <x:c r="J288" s="79" t="n">
        <x:v>1.0233693680999768e-21</x:v>
      </x:c>
      <x:c r="K288" s="81" t="n">
        <x:v>-1</x:v>
      </x:c>
      <x:c r="L288" s="81" t="n">
        <x:v>-1</x:v>
      </x:c>
      <x:c r="M288" s="80" t="n">
        <x:v>0.000006760568427682148</x:v>
      </x:c>
      <x:c r="N288" s="82" t="n">
        <x:v>0.33605811035202326</x:v>
      </x:c>
      <x:c r="O288" s="82" t="n">
        <x:v>0.23326607094374954</x:v>
      </x:c>
      <x:c r="P288" s="80" t="n">
        <x:v>349.7595183366486</x:v>
      </x:c>
      <x:c r="Q288" s="81" t="n">
        <x:v>177769.9654501915</x:v>
      </x:c>
      <x:c r="R288" s="81" t="n">
        <x:v>17.27347718612676</x:v>
      </x:c>
      <x:c r="S288" s="81" t="n">
        <x:v>1.5724444746042602e-9</x:v>
      </x:c>
      <x:c r="T288" s="81" t="n">
        <x:v>2.216841475267628e-17</x:v>
      </x:c>
    </x:row>
    <x:row r="289">
      <x:c r="A289" s="59" t="n">
        <x:v>286</x:v>
      </x:c>
      <x:c r="B289" s="193" t="n">
        <x:v>0.9449120000004769</x:v>
      </x:c>
      <x:c r="C289" s="83" t="n">
        <x:v>1.119542293195466</x:v>
      </x:c>
      <x:c r="D289" s="83" t="n">
        <x:v>1.051067447462572</x:v>
      </x:c>
      <x:c r="E289" s="81" t="n">
        <x:v>-0.0449585421094708</x:v>
      </x:c>
      <x:c r="F289" s="81" t="n">
        <x:v>0.7905952547560446</x:v>
      </x:c>
      <x:c r="G289" s="81" t="n">
        <x:v>-0.014286173331131139</x:v>
      </x:c>
      <x:c r="H289" s="59" t="n">
        <x:v>0</x:v>
      </x:c>
      <x:c r="I289" s="81" t="n">
        <x:v>0</x:v>
      </x:c>
      <x:c r="J289" s="79" t="n">
        <x:v>8.288262794663719e-27</x:v>
      </x:c>
      <x:c r="K289" s="81" t="n">
        <x:v>-1</x:v>
      </x:c>
      <x:c r="L289" s="81" t="n">
        <x:v>-1</x:v>
      </x:c>
      <x:c r="M289" s="80" t="n">
        <x:v>0.000002</x:v>
      </x:c>
      <x:c r="N289" s="82" t="n">
        <x:v>0.32718950550011344</x:v>
      </x:c>
      <x:c r="O289" s="82" t="n">
        <x:v>0.2443568457958529</x:v>
      </x:c>
      <x:c r="P289" s="80" t="n">
        <x:v>673.1994730880457</x:v>
      </x:c>
      <x:c r="Q289" s="81" t="n">
        <x:v>5665237602.941653</x:v>
      </x:c>
      <x:c r="R289" s="81" t="n">
        <x:v>3.0900381420880616</x:v>
      </x:c>
      <x:c r="S289" s="81" t="n">
        <x:v>3.646374422658961e-10</x:v>
      </x:c>
      <x:c r="T289" s="81" t="n">
        <x:v>1.795418672267032e-22</x:v>
      </x:c>
    </x:row>
    <x:row r="290">
      <x:c r="A290" s="59" t="n">
        <x:v>287</x:v>
      </x:c>
      <x:c r="B290" s="193" t="n">
        <x:v>0.8288466060534121</x:v>
      </x:c>
      <x:c r="C290" s="83" t="n">
        <x:v>0.14943751138186467</x:v>
      </x:c>
      <x:c r="D290" s="83" t="n">
        <x:v>1.3952675544462978</x:v>
      </x:c>
      <x:c r="E290" s="81" t="n">
        <x:v>0.02085332621383162</x:v>
      </x:c>
      <x:c r="F290" s="81" t="n">
        <x:v>0.33700137530686336</x:v>
      </x:c>
      <x:c r="G290" s="81" t="n">
        <x:v>-0.02194860972789983</x:v>
      </x:c>
      <x:c r="H290" s="59" t="n">
        <x:v>0</x:v>
      </x:c>
      <x:c r="I290" s="81" t="n">
        <x:v>0</x:v>
      </x:c>
      <x:c r="J290" s="79" t="n">
        <x:v>0.00032542040697661954</x:v>
      </x:c>
      <x:c r="K290" s="81" t="n">
        <x:v>-0.6280909634552919</x:v>
      </x:c>
      <x:c r="L290" s="81" t="n">
        <x:v>-0.8008776650993032</x:v>
      </x:c>
      <x:c r="M290" s="80" t="n">
        <x:v>3901.4550682429817</x:v>
      </x:c>
      <x:c r="N290" s="82" t="n">
        <x:v>0.29954055243578614</x:v>
      </x:c>
      <x:c r="O290" s="82" t="n">
        <x:v>0.09535824322288768</x:v>
      </x:c>
      <x:c r="P290" s="80" t="n">
        <x:v>11541.395924507508</x:v>
      </x:c>
      <x:c r="Q290" s="81" t="n">
        <x:v>0.009629832997518416</x:v>
      </x:c>
      <x:c r="R290" s="81" t="n">
        <x:v>209.8442676271482</x:v>
      </x:c>
      <x:c r="S290" s="81" t="n">
        <x:v>42.04791052667449</x:v>
      </x:c>
      <x:c r="T290" s="81" t="n">
        <x:v>7.049316479187059</x:v>
      </x:c>
    </x:row>
    <x:row r="291">
      <x:c r="A291" s="59" t="n">
        <x:v>288</x:v>
      </x:c>
      <x:c r="B291" s="193" t="n">
        <x:v>0.37821364477276803</x:v>
      </x:c>
      <x:c r="C291" s="83" t="n">
        <x:v>0.5785640297481494</x:v>
      </x:c>
      <x:c r="D291" s="83" t="n">
        <x:v>0.7777546268471193</x:v>
      </x:c>
      <x:c r="E291" s="81" t="n">
        <x:v>-0.04014312675462305</x:v>
      </x:c>
      <x:c r="F291" s="81" t="n">
        <x:v>0.5815136563149281</x:v>
      </x:c>
      <x:c r="G291" s="81" t="n">
        <x:v>0.05086794630854139</x:v>
      </x:c>
      <x:c r="H291" s="59" t="n">
        <x:v>0</x:v>
      </x:c>
      <x:c r="I291" s="81" t="n">
        <x:v>0</x:v>
      </x:c>
      <x:c r="J291" s="79" t="n">
        <x:v>1.5456358548082662e-26</x:v>
      </x:c>
      <x:c r="K291" s="81" t="n">
        <x:v>-1</x:v>
      </x:c>
      <x:c r="L291" s="81" t="n">
        <x:v>-1</x:v>
      </x:c>
      <x:c r="M291" s="80" t="n">
        <x:v>0.000002</x:v>
      </x:c>
      <x:c r="N291" s="82" t="n">
        <x:v>0.19219133169071279</x:v>
      </x:c>
      <x:c r="O291" s="82" t="n">
        <x:v>0.10557586686976668</x:v>
      </x:c>
      <x:c r="P291" s="80" t="n">
        <x:v>546.9811201632516</x:v>
      </x:c>
      <x:c r="Q291" s="81" t="n">
        <x:v>3386643826.1305637</x:v>
      </x:c>
      <x:c r="R291" s="81" t="n">
        <x:v>7.678635827163981</x:v>
      </x:c>
      <x:c r="S291" s="81" t="n">
        <x:v>7.893209115532886e-10</x:v>
      </x:c>
      <x:c r="T291" s="81" t="n">
        <x:v>3.3481847076987725e-22</x:v>
      </x:c>
    </x:row>
    <x:row r="292">
      <x:c r="A292" s="59" t="n">
        <x:v>289</x:v>
      </x:c>
      <x:c r="B292" s="193" t="n">
        <x:v>0.31289887614548206</x:v>
      </x:c>
      <x:c r="C292" s="83" t="n">
        <x:v>0.19363444606515523</x:v>
      </x:c>
      <x:c r="D292" s="83" t="n">
        <x:v>0.5645776006115636</x:v>
      </x:c>
      <x:c r="E292" s="81" t="n">
        <x:v>0.03874621113594431</x:v>
      </x:c>
      <x:c r="F292" s="81" t="n">
        <x:v>0.3939057925483212</x:v>
      </x:c>
      <x:c r="G292" s="81" t="n">
        <x:v>-0.004074672829981483</x:v>
      </x:c>
      <x:c r="H292" s="59" t="n">
        <x:v>35</x:v>
      </x:c>
      <x:c r="I292" s="81" t="n">
        <x:v>0.40951199522241954</x:v>
      </x:c>
      <x:c r="J292" s="79" t="n">
        <x:v>0.0006121867990279258</x:v>
      </x:c>
      <x:c r="K292" s="81" t="n">
        <x:v>-0.3003579439680848</x:v>
      </x:c>
      <x:c r="L292" s="81" t="n">
        <x:v>-0.8017008390080869</x:v>
      </x:c>
      <x:c r="M292" s="80" t="n">
        <x:v>5457.783353811952</x:v>
      </x:c>
      <x:c r="N292" s="82" t="n">
        <x:v>0.17663212915178167</x:v>
      </x:c>
      <x:c r="O292" s="82" t="n">
        <x:v>0.06572536599960326</x:v>
      </x:c>
      <x:c r="P292" s="80" t="n">
        <x:v>6303.490324703626</x:v>
      </x:c>
      <x:c r="Q292" s="81" t="n">
        <x:v>0.0038143824388171352</x:v>
      </x:c>
      <x:c r="R292" s="81" t="n">
        <x:v>164.83150979617903</x:v>
      </x:c>
      <x:c r="S292" s="81" t="n">
        <x:v>59.81683133379367</x:v>
      </x:c>
      <x:c r="T292" s="81" t="n">
        <x:v>13.261302604905135</x:v>
      </x:c>
    </x:row>
    <x:row r="293">
      <x:c r="A293" s="59" t="n">
        <x:v>290</x:v>
      </x:c>
      <x:c r="B293" s="193" t="n">
        <x:v>0.4996960109099746</x:v>
      </x:c>
      <x:c r="C293" s="83" t="n">
        <x:v>2.885637083391968</x:v>
      </x:c>
      <x:c r="D293" s="83" t="n">
        <x:v>0.6917829063848585</x:v>
      </x:c>
      <x:c r="E293" s="81" t="n">
        <x:v>-0.03777659192520854</x:v>
      </x:c>
      <x:c r="F293" s="81" t="n">
        <x:v>0.5148806045530364</x:v>
      </x:c>
      <x:c r="G293" s="81" t="n">
        <x:v>-0.01676182353752122</x:v>
      </x:c>
      <x:c r="H293" s="59" t="n">
        <x:v>0</x:v>
      </x:c>
      <x:c r="I293" s="81" t="n">
        <x:v>0</x:v>
      </x:c>
      <x:c r="J293" s="79" t="n">
        <x:v>1.582676621244832e-18</x:v>
      </x:c>
      <x:c r="K293" s="81" t="n">
        <x:v>-0.9999999999999982</x:v>
      </x:c>
      <x:c r="L293" s="81" t="n">
        <x:v>-0.9999999999999982</x:v>
      </x:c>
      <x:c r="M293" s="80" t="n">
        <x:v>0.0008685475699478357</x:v>
      </x:c>
      <x:c r="N293" s="82" t="n">
        <x:v>0.22113070909896054</x:v>
      </x:c>
      <x:c r="O293" s="82" t="n">
        <x:v>0.10755399159606448</x:v>
      </x:c>
      <x:c r="P293" s="80" t="n">
        <x:v>1502.470572436554</x:v>
      </x:c>
      <x:c r="Q293" s="81" t="n">
        <x:v>15228.150094935614</x:v>
      </x:c>
      <x:c r="R293" s="81" t="n">
        <x:v>2.5697449225454707</x:v>
      </x:c>
      <x:c r="S293" s="81" t="n">
        <x:v>5.7461428175793084e-8</x:v>
      </x:c>
      <x:c r="T293" s="81" t="n">
        <x:v>3.4284230946115406e-14</x:v>
      </x:c>
    </x:row>
    <x:row r="294">
      <x:c r="A294" s="59" t="n">
        <x:v>291</x:v>
      </x:c>
      <x:c r="B294" s="193" t="n">
        <x:v>0.4627988990396261</x:v>
      </x:c>
      <x:c r="C294" s="83" t="n">
        <x:v>2.616746694964413</x:v>
      </x:c>
      <x:c r="D294" s="83" t="n">
        <x:v>0.5706657943410315</x:v>
      </x:c>
      <x:c r="E294" s="81" t="n">
        <x:v>0.04693762318981624</x:v>
      </x:c>
      <x:c r="F294" s="81" t="n">
        <x:v>0.5491170388530009</x:v>
      </x:c>
      <x:c r="G294" s="81" t="n">
        <x:v>-0.019019615111956337</x:v>
      </x:c>
      <x:c r="H294" s="59" t="n">
        <x:v>0</x:v>
      </x:c>
      <x:c r="I294" s="81" t="n">
        <x:v>0</x:v>
      </x:c>
      <x:c r="J294" s="79" t="n">
        <x:v>0.0021609727381774538</x:v>
      </x:c>
      <x:c r="K294" s="81" t="n">
        <x:v>1.4696831293456616</x:v>
      </x:c>
      <x:c r="L294" s="81" t="n">
        <x:v>-0.5137799848696203</x:v>
      </x:c>
      <x:c r="M294" s="80" t="n">
        <x:v>31348.33967152248</x:v>
      </x:c>
      <x:c r="N294" s="82" t="n">
        <x:v>0.21234112523059578</x:v>
      </x:c>
      <x:c r="O294" s="82" t="n">
        <x:v>0.11014631600468107</x:v>
      </x:c>
      <x:c r="P294" s="80" t="n">
        <x:v>35400.25092219551</x:v>
      </x:c>
      <x:c r="Q294" s="81" t="n">
        <x:v>0.00531768758644438</x:v>
      </x:c>
      <x:c r="R294" s="81" t="n">
        <x:v>24.33707009656342</x:v>
      </x:c>
      <x:c r="S294" s="81" t="n">
        <x:v>17.124863542858197</x:v>
      </x:c>
      <x:c r="T294" s="81" t="n">
        <x:v>46.811387386049134</x:v>
      </x:c>
    </x:row>
    <x:row r="295">
      <x:c r="A295" s="59" t="n">
        <x:v>292</x:v>
      </x:c>
      <x:c r="B295" s="193" t="n">
        <x:v>0.46270432472229006</x:v>
      </x:c>
      <x:c r="C295" s="83" t="n">
        <x:v>0.11829785334479792</x:v>
      </x:c>
      <x:c r="D295" s="83" t="n">
        <x:v>1.7062104873180528</x:v>
      </x:c>
      <x:c r="E295" s="81" t="n">
        <x:v>-0.1703599348460557</x:v>
      </x:c>
      <x:c r="F295" s="81" t="n">
        <x:v>0.28035573979141193</x:v>
      </x:c>
      <x:c r="G295" s="81" t="n">
        <x:v>-0.02241151719481454</x:v>
      </x:c>
      <x:c r="H295" s="59" t="n">
        <x:v>13</x:v>
      </x:c>
      <x:c r="I295" s="81" t="n">
        <x:v>0.38972956547513604</x:v>
      </x:c>
      <x:c r="J295" s="79" t="n">
        <x:v>4.49568033940717e-78</x:v>
      </x:c>
      <x:c r="K295" s="81" t="n">
        <x:v>-1</x:v>
      </x:c>
      <x:c r="L295" s="81" t="n">
        <x:v>-1</x:v>
      </x:c>
      <x:c r="M295" s="80" t="n">
        <x:v>0.000002</x:v>
      </x:c>
      <x:c r="N295" s="82" t="n">
        <x:v>0.21231859585493792</x:v>
      </x:c>
      <x:c r="O295" s="82" t="n">
        <x:v>0.056230044494244014</x:v>
      </x:c>
      <x:c r="P295" s="80" t="n">
        <x:v>155.64523727797615</x:v>
      </x:c>
      <x:c r="Q295" s="81" t="n">
        <x:v>3.087104694946432e+60</x:v>
      </x:c>
      <x:c r="R295" s="81" t="n">
        <x:v>3.9589467646302334</x:v>
      </x:c>
      <x:c r="S295" s="81" t="n">
        <x:v>1.0144052422779496e-9</x:v>
      </x:c>
      <x:c r="T295" s="81" t="n">
        <x:v>9.738625120709522e-74</x:v>
      </x:c>
    </x:row>
    <x:row r="296">
      <x:c r="A296" s="59" t="n">
        <x:v>293</x:v>
      </x:c>
      <x:c r="B296" s="193" t="n">
        <x:v>0.9108250943943859</x:v>
      </x:c>
      <x:c r="C296" s="83" t="n">
        <x:v>1.976067923413551</x:v>
      </x:c>
      <x:c r="D296" s="83" t="n">
        <x:v>0.36123756004616725</x:v>
      </x:c>
      <x:c r="E296" s="81" t="n">
        <x:v>-0.0006130558328115549</x:v>
      </x:c>
      <x:c r="F296" s="81" t="n">
        <x:v>0.4674783139489591</x:v>
      </x:c>
      <x:c r="G296" s="81" t="n">
        <x:v>-0.04164300037983681</x:v>
      </x:c>
      <x:c r="H296" s="59" t="n">
        <x:v>76</x:v>
      </x:c>
      <x:c r="I296" s="81" t="n">
        <x:v>0.24773114286363127</x:v>
      </x:c>
      <x:c r="J296" s="79" t="n">
        <x:v>0.0000025169682034172795</x:v>
      </x:c>
      <x:c r="K296" s="81" t="n">
        <x:v>-0.9971234649103803</x:v>
      </x:c>
      <x:c r="L296" s="81" t="n">
        <x:v>-0.9971234649103803</x:v>
      </x:c>
      <x:c r="M296" s="80" t="n">
        <x:v>805.0928811783165</x:v>
      </x:c>
      <x:c r="N296" s="82" t="n">
        <x:v>0.31906936545526277</x:v>
      </x:c>
      <x:c r="O296" s="82" t="n">
        <x:v>0.1409021173963537</x:v>
      </x:c>
      <x:c r="P296" s="80" t="n">
        <x:v>2117.6165310974043</x:v>
      </x:c>
      <x:c r="Q296" s="81" t="n">
        <x:v>0.031346424977893736</x:v>
      </x:c>
      <x:c r="R296" s="81" t="n">
        <x:v>6.942696482548991</x:v>
      </x:c>
      <x:c r="S296" s="81" t="n">
        <x:v>0.04936677143626321</x:v>
      </x:c>
      <x:c r="T296" s="81" t="n">
        <x:v>0.05452302637927083</x:v>
      </x:c>
    </x:row>
    <x:row r="297">
      <x:c r="A297" s="59" t="n">
        <x:v>294</x:v>
      </x:c>
      <x:c r="B297" s="193" t="n">
        <x:v>0.5932091936469078</x:v>
      </x:c>
      <x:c r="C297" s="83" t="n">
        <x:v>1.5539546825420136</x:v>
      </x:c>
      <x:c r="D297" s="83" t="n">
        <x:v>0.48689504761079705</x:v>
      </x:c>
      <x:c r="E297" s="81" t="n">
        <x:v>-0.007901187866518345</x:v>
      </x:c>
      <x:c r="F297" s="81" t="n">
        <x:v>0.2939352208049968</x:v>
      </x:c>
      <x:c r="G297" s="81" t="n">
        <x:v>-0.004637297820290798</x:v>
      </x:c>
      <x:c r="H297" s="59" t="n">
        <x:v>0</x:v>
      </x:c>
      <x:c r="I297" s="81" t="n">
        <x:v>0</x:v>
      </x:c>
      <x:c r="J297" s="79" t="n">
        <x:v>2.601385939855553e-7</x:v>
      </x:c>
      <x:c r="K297" s="81" t="n">
        <x:v>-0.9997026987497308</x:v>
      </x:c>
      <x:c r="L297" s="81" t="n">
        <x:v>-0.9997026987497308</x:v>
      </x:c>
      <x:c r="M297" s="80" t="n">
        <x:v>222.8718171497511</x:v>
      </x:c>
      <x:c r="N297" s="82" t="n">
        <x:v>0.24340730259907434</x:v>
      </x:c>
      <x:c r="O297" s="82" t="n">
        <x:v>0.06758591129821685</x:v>
      </x:c>
      <x:c r="P297" s="80" t="n">
        <x:v>2459.1264344293427</x:v>
      </x:c>
      <x:c r="Q297" s="81" t="n">
        <x:v>0.09143726807440727</x:v>
      </x:c>
      <x:c r="R297" s="81" t="n">
        <x:v>8.776320726188397</x:v>
      </x:c>
      <x:c r="S297" s="81" t="n">
        <x:v>0.020837432725796207</x:v>
      </x:c>
      <x:c r="T297" s="81" t="n">
        <x:v>0.005635169885294501</x:v>
      </x:c>
    </x:row>
    <x:row r="298">
      <x:c r="A298" s="59" t="n">
        <x:v>295</x:v>
      </x:c>
      <x:c r="B298" s="193" t="n">
        <x:v>0.7676039192825557</x:v>
      </x:c>
      <x:c r="C298" s="83" t="n">
        <x:v>0.12629279749185052</x:v>
      </x:c>
      <x:c r="D298" s="83" t="n">
        <x:v>1.238121417070517</x:v>
      </x:c>
      <x:c r="E298" s="81" t="n">
        <x:v>-0.0613320890973299</x:v>
      </x:c>
      <x:c r="F298" s="81" t="n">
        <x:v>0.6136459679924884</x:v>
      </x:c>
      <x:c r="G298" s="81" t="n">
        <x:v>0.03001825930666867</x:v>
      </x:c>
      <x:c r="H298" s="59" t="n">
        <x:v>0</x:v>
      </x:c>
      <x:c r="I298" s="81" t="n">
        <x:v>0</x:v>
      </x:c>
      <x:c r="J298" s="79" t="n">
        <x:v>7.3309319533461555e-40</x:v>
      </x:c>
      <x:c r="K298" s="81" t="n">
        <x:v>-1</x:v>
      </x:c>
      <x:c r="L298" s="81" t="n">
        <x:v>-1</x:v>
      </x:c>
      <x:c r="M298" s="80" t="n">
        <x:v>0.000002</x:v>
      </x:c>
      <x:c r="N298" s="82" t="n">
        <x:v>0.2849513961465913</x:v>
      </x:c>
      <x:c r="O298" s="82" t="n">
        <x:v>0.16518081935218532</x:v>
      </x:c>
      <x:c r="P298" s="80" t="n">
        <x:v>288.613782954271</x:v>
      </x:c>
      <x:c r="Q298" s="81" t="n">
        <x:v>4.768690647987139e+22</x:v>
      </x:c>
      <x:c r="R298" s="81" t="n">
        <x:v>13.825115698263778</x:v>
      </x:c>
      <x:c r="S298" s="81" t="n">
        <x:v>1.380053551385993e-9</x:v>
      </x:c>
      <x:c r="T298" s="81" t="n">
        <x:v>1.5880399114071212e-35</x:v>
      </x:c>
    </x:row>
    <x:row r="299">
      <x:c r="A299" s="59" t="n">
        <x:v>296</x:v>
      </x:c>
      <x:c r="B299" s="193" t="n">
        <x:v>0.5220299746841193</x:v>
      </x:c>
      <x:c r="C299" s="83" t="n">
        <x:v>1.7272862764488814</x:v>
      </x:c>
      <x:c r="D299" s="83" t="n">
        <x:v>0.5922139974803591</x:v>
      </x:c>
      <x:c r="E299" s="81" t="n">
        <x:v>-0.0789747985376483</x:v>
      </x:c>
      <x:c r="F299" s="81" t="n">
        <x:v>0.27681065078359096</x:v>
      </x:c>
      <x:c r="G299" s="81" t="n">
        <x:v>0.01730900316694847</x:v>
      </x:c>
      <x:c r="H299" s="59" t="n">
        <x:v>0</x:v>
      </x:c>
      <x:c r="I299" s="81" t="n">
        <x:v>0</x:v>
      </x:c>
      <x:c r="J299" s="79" t="n">
        <x:v>2.763269649376027e-29</x:v>
      </x:c>
      <x:c r="K299" s="81" t="n">
        <x:v>-1</x:v>
      </x:c>
      <x:c r="L299" s="81" t="n">
        <x:v>-1</x:v>
      </x:c>
      <x:c r="M299" s="80" t="n">
        <x:v>0.000002</x:v>
      </x:c>
      <x:c r="N299" s="82" t="n">
        <x:v>0.22645107803178247</x:v>
      </x:c>
      <x:c r="O299" s="82" t="n">
        <x:v>0.05921450875501402</x:v>
      </x:c>
      <x:c r="P299" s="80" t="n">
        <x:v>554.6698289988575</x:v>
      </x:c>
      <x:c r="Q299" s="81" t="n">
        <x:v>998836279868.6008</x:v>
      </x:c>
      <x:c r="R299" s="81" t="n">
        <x:v>2.29013355294228</x:v>
      </x:c>
      <x:c r="S299" s="81" t="n">
        <x:v>2.3438448011837913e-10</x:v>
      </x:c>
      <x:c r="T299" s="81" t="n">
        <x:v>5.985845342877773e-25</x:v>
      </x:c>
    </x:row>
    <x:row r="300">
      <x:c r="A300" s="59" t="n">
        <x:v>297</x:v>
      </x:c>
      <x:c r="B300" s="193" t="n">
        <x:v>0.8958983160555363</x:v>
      </x:c>
      <x:c r="C300" s="83" t="n">
        <x:v>1.4286324977084435</x:v>
      </x:c>
      <x:c r="D300" s="83" t="n">
        <x:v>0.6049263268212759</x:v>
      </x:c>
      <x:c r="E300" s="81" t="n">
        <x:v>0.004357253999812537</x:v>
      </x:c>
      <x:c r="F300" s="81" t="n">
        <x:v>0.3567264943616465</x:v>
      </x:c>
      <x:c r="G300" s="81" t="n">
        <x:v>-0.0038249615023529257</x:v>
      </x:c>
      <x:c r="H300" s="59" t="n">
        <x:v>0</x:v>
      </x:c>
      <x:c r="I300" s="81" t="n">
        <x:v>0</x:v>
      </x:c>
      <x:c r="J300" s="79" t="n">
        <x:v>0.000017142014602570993</x:v>
      </x:c>
      <x:c r="K300" s="81" t="n">
        <x:v>-0.9804091261684903</x:v>
      </x:c>
      <x:c r="L300" s="81" t="n">
        <x:v>-0.9804091261684903</x:v>
      </x:c>
      <x:c r="M300" s="80" t="n">
        <x:v>1728.8448263033793</x:v>
      </x:c>
      <x:c r="N300" s="82" t="n">
        <x:v>0.3155135269778548</x:v>
      </x:c>
      <x:c r="O300" s="82" t="n">
        <x:v>0.10632228246641119</x:v>
      </x:c>
      <x:c r="P300" s="80" t="n">
        <x:v>4569.034254970369</x:v>
      </x:c>
      <x:c r="Q300" s="81" t="n">
        <x:v>0.02955678971932693</x:v>
      </x:c>
      <x:c r="R300" s="81" t="n">
        <x:v>11.351904548764589</x:v>
      </x:c>
      <x:c r="S300" s="81" t="n">
        <x:v>0.4037951443396702</x:v>
      </x:c>
      <x:c r="T300" s="81" t="n">
        <x:v>0.37133346106672055</x:v>
      </x:c>
    </x:row>
    <x:row r="301">
      <x:c r="A301" s="59" t="n">
        <x:v>298</x:v>
      </x:c>
      <x:c r="B301" s="193" t="n">
        <x:v>0.5888759814202786</x:v>
      </x:c>
      <x:c r="C301" s="83" t="n">
        <x:v>0.6776880974432666</x:v>
      </x:c>
      <x:c r="D301" s="83" t="n">
        <x:v>1.2774855135394692</x:v>
      </x:c>
      <x:c r="E301" s="81" t="n">
        <x:v>0.015530277570667411</x:v>
      </x:c>
      <x:c r="F301" s="81" t="n">
        <x:v>0.5007501242565923</x:v>
      </x:c>
      <x:c r="G301" s="81" t="n">
        <x:v>-0.03634215398952435</x:v>
      </x:c>
      <x:c r="H301" s="59" t="n">
        <x:v>0</x:v>
      </x:c>
      <x:c r="I301" s="81" t="n">
        <x:v>0</x:v>
      </x:c>
      <x:c r="J301" s="79" t="n">
        <x:v>0.00015623365320724367</x:v>
      </x:c>
      <x:c r="K301" s="81" t="n">
        <x:v>-0.8214472534774357</x:v>
      </x:c>
      <x:c r="L301" s="81" t="n">
        <x:v>-0.8723155142008739</x:v>
      </x:c>
      <x:c r="M301" s="80" t="n">
        <x:v>3801.3991861069267</x:v>
      </x:c>
      <x:c r="N301" s="82" t="n">
        <x:v>0.24237505019896222</x:v>
      </x:c>
      <x:c r="O301" s="82" t="n">
        <x:v>0.11465154714462944</x:v>
      </x:c>
      <x:c r="P301" s="80" t="n">
        <x:v>11383.05423399107</x:v>
      </x:c>
      <x:c r="Q301" s="81" t="n">
        <x:v>0.014652026547842674</x:v>
      </x:c>
      <x:c r="R301" s="81" t="n">
        <x:v>39.620970329703695</x:v>
      </x:c>
      <x:c r="S301" s="81" t="n">
        <x:v>5.101413913551329</x:v>
      </x:c>
      <x:c r="T301" s="81" t="n">
        <x:v>3.3843620207768557</x:v>
      </x:c>
    </x:row>
    <x:row r="302">
      <x:c r="A302" s="59" t="n">
        <x:v>299</x:v>
      </x:c>
      <x:c r="B302" s="193" t="n">
        <x:v>0.3813210230320692</x:v>
      </x:c>
      <x:c r="C302" s="83" t="n">
        <x:v>1.2635685488173232</x:v>
      </x:c>
      <x:c r="D302" s="83" t="n">
        <x:v>0.3388615361843659</x:v>
      </x:c>
      <x:c r="E302" s="81" t="n">
        <x:v>0.003534227819085116</x:v>
      </x:c>
      <x:c r="F302" s="81" t="n">
        <x:v>0.8601535113062709</x:v>
      </x:c>
      <x:c r="G302" s="81" t="n">
        <x:v>-0.018606949665567713</x:v>
      </x:c>
      <x:c r="H302" s="59" t="n">
        <x:v>0</x:v>
      </x:c>
      <x:c r="I302" s="81" t="n">
        <x:v>0</x:v>
      </x:c>
      <x:c r="J302" s="79" t="n">
        <x:v>0.0000028629269629758645</x:v>
      </x:c>
      <x:c r="K302" s="81" t="n">
        <x:v>-0.9967280834708847</x:v>
      </x:c>
      <x:c r="L302" s="81" t="n">
        <x:v>-0.9967280834708847</x:v>
      </x:c>
      <x:c r="M302" s="80" t="n">
        <x:v>655.9834854700896</x:v>
      </x:c>
      <x:c r="N302" s="82" t="n">
        <x:v>0.19293156745542075</x:v>
      </x:c>
      <x:c r="O302" s="82" t="n">
        <x:v>0.15676539500657427</x:v>
      </x:c>
      <x:c r="P302" s="80" t="n">
        <x:v>1492.3495915754277</x:v>
      </x:c>
      <x:c r="Q302" s="81" t="n">
        <x:v>0.028213783392142606</x:v>
      </x:c>
      <x:c r="R302" s="81" t="n">
        <x:v>9.62805292881686</x:v>
      </x:c>
      <x:c r="S302" s="81" t="n">
        <x:v>0.07658684701059552</x:v>
      </x:c>
      <x:c r="T302" s="81" t="n">
        <x:v>0.0620172484151085</x:v>
      </x:c>
    </x:row>
    <x:row r="303">
      <x:c r="A303" s="59" t="n">
        <x:v>300</x:v>
      </x:c>
      <x:c r="B303" s="193" t="n">
        <x:v>0.2390380086377263</x:v>
      </x:c>
      <x:c r="C303" s="83" t="n">
        <x:v>0.15775579451118515</x:v>
      </x:c>
      <x:c r="D303" s="83" t="n">
        <x:v>0.6462698943438248</x:v>
      </x:c>
      <x:c r="E303" s="81" t="n">
        <x:v>0.07169324819590923</x:v>
      </x:c>
      <x:c r="F303" s="81" t="n">
        <x:v>0.40906562855234374</x:v>
      </x:c>
      <x:c r="G303" s="81" t="n">
        <x:v>-0.0323273730595919</x:v>
      </x:c>
      <x:c r="H303" s="59" t="n">
        <x:v>0</x:v>
      </x:c>
      <x:c r="I303" s="81" t="n">
        <x:v>0</x:v>
      </x:c>
      <x:c r="J303" s="79" t="n">
        <x:v>0.0016636816807994617</x:v>
      </x:c>
      <x:c r="K303" s="81" t="n">
        <x:v>0.9013504923422422</x:v>
      </x:c>
      <x:c r="L303" s="81" t="n">
        <x:v>-0.7126750188515086</x:v>
      </x:c>
      <x:c r="M303" s="80" t="n">
        <x:v>9308.144932485882</x:v>
      </x:c>
      <x:c r="N303" s="82" t="n">
        <x:v>0.15903708562016836</x:v>
      </x:c>
      <x:c r="O303" s="82" t="n">
        <x:v>0.06145572411508559</x:v>
      </x:c>
      <x:c r="P303" s="80" t="n">
        <x:v>11856.41909286799</x:v>
      </x:c>
      <x:c r="Q303" s="81" t="n">
        <x:v>0.0019939503492608247</x:v>
      </x:c>
      <x:c r="R303" s="81" t="n">
        <x:v>571.4501904184904</x:v>
      </x:c>
      <x:c r="S303" s="81" t="n">
        <x:v>197.44121243429993</x:v>
      </x:c>
      <x:c r="T303" s="81" t="n">
        <x:v>36.03897738786823</x:v>
      </x:c>
    </x:row>
    <x:row r="304">
      <x:c r="A304" s="59" t="n">
        <x:v>301</x:v>
      </x:c>
      <x:c r="B304" s="193" t="n">
        <x:v>0.6960554590448738</x:v>
      </x:c>
      <x:c r="C304" s="83" t="n">
        <x:v>0.12288382801797403</x:v>
      </x:c>
      <x:c r="D304" s="83" t="n">
        <x:v>2.4360711950652063</x:v>
      </x:c>
      <x:c r="E304" s="81" t="n">
        <x:v>0.014941291835430637</x:v>
      </x:c>
      <x:c r="F304" s="81" t="n">
        <x:v>0.48876696777297185</x:v>
      </x:c>
      <x:c r="G304" s="81" t="n">
        <x:v>-0.014994261786992905</x:v>
      </x:c>
      <x:c r="H304" s="59" t="n">
        <x:v>52</x:v>
      </x:c>
      <x:c r="I304" s="81" t="n">
        <x:v>0.21308162482455373</x:v>
      </x:c>
      <x:c r="J304" s="79" t="n">
        <x:v>0.00035000909038602373</x:v>
      </x:c>
      <x:c r="K304" s="81" t="n">
        <x:v>-0.5999896109874014</x:v>
      </x:c>
      <x:c r="L304" s="81" t="n">
        <x:v>-0.8334584417934079</x:v>
      </x:c>
      <x:c r="M304" s="80" t="n">
        <x:v>4072.8665745455614</x:v>
      </x:c>
      <x:c r="N304" s="82" t="n">
        <x:v>0.26790721138434603</x:v>
      </x:c>
      <x:c r="O304" s="82" t="n">
        <x:v>0.12369643782585997</x:v>
      </x:c>
      <x:c r="P304" s="80" t="n">
        <x:v>19911.16152746834</x:v>
      </x:c>
      <x:c r="Q304" s="81" t="n">
        <x:v>0.017937994636922923</x:v>
      </x:c>
      <x:c r="R304" s="81" t="n">
        <x:v>254.51140047427535</x:v>
      </x:c>
      <x:c r="S304" s="81" t="n">
        <x:v>56.148902369990886</x:v>
      </x:c>
      <x:c r="T304" s="81" t="n">
        <x:v>7.5819610443199394</x:v>
      </x:c>
    </x:row>
    <x:row r="305">
      <x:c r="A305" s="59" t="n">
        <x:v>302</x:v>
      </x:c>
      <x:c r="B305" s="193" t="n">
        <x:v>0.39878705106675627</x:v>
      </x:c>
      <x:c r="C305" s="83" t="n">
        <x:v>0.7447226497401528</x:v>
      </x:c>
      <x:c r="D305" s="83" t="n">
        <x:v>0.5845077915934698</x:v>
      </x:c>
      <x:c r="E305" s="81" t="n">
        <x:v>-0.022609762630602832</x:v>
      </x:c>
      <x:c r="F305" s="81" t="n">
        <x:v>0.8190173710230738</x:v>
      </x:c>
      <x:c r="G305" s="81" t="n">
        <x:v>0.004428235079851102</x:v>
      </x:c>
      <x:c r="H305" s="59" t="n">
        <x:v>84</x:v>
      </x:c>
      <x:c r="I305" s="81" t="n">
        <x:v>0.18502262244001033</x:v>
      </x:c>
      <x:c r="J305" s="79" t="n">
        <x:v>3.0276664098688037e-13</x:v>
      </x:c>
      <x:c r="K305" s="81" t="n">
        <x:v>-0.999999999653981</x:v>
      </x:c>
      <x:c r="L305" s="81" t="n">
        <x:v>-0.999999999653981</x:v>
      </x:c>
      <x:c r="M305" s="80" t="n">
        <x:v>0.16759578124789495</x:v>
      </x:c>
      <x:c r="N305" s="82" t="n">
        <x:v>0.19709230282130882</x:v>
      </x:c>
      <x:c r="O305" s="82" t="n">
        <x:v>0.15248731545857347</x:v>
      </x:c>
      <x:c r="P305" s="80" t="n">
        <x:v>754.101363806082</x:v>
      </x:c>
      <x:c r="Q305" s="81" t="n">
        <x:v>25.275290967564235</x:v>
      </x:c>
      <x:c r="R305" s="81" t="n">
        <x:v>9.138326628380941</x:v>
      </x:c>
      <x:c r="S305" s="81" t="n">
        <x:v>0.00002667479724039434</x:v>
      </x:c>
      <x:c r="T305" s="81" t="n">
        <x:v>6.558586449712942e-9</x:v>
      </x:c>
    </x:row>
    <x:row r="306">
      <x:c r="A306" s="59" t="n">
        <x:v>303</x:v>
      </x:c>
      <x:c r="B306" s="193" t="n">
        <x:v>0.5885620610788465</x:v>
      </x:c>
      <x:c r="C306" s="83" t="n">
        <x:v>1.5600937197563747</x:v>
      </x:c>
      <x:c r="D306" s="83" t="n">
        <x:v>2.191883571663073</x:v>
      </x:c>
      <x:c r="E306" s="81" t="n">
        <x:v>0.013075947295386985</x:v>
      </x:c>
      <x:c r="F306" s="81" t="n">
        <x:v>0.389998659864068</x:v>
      </x:c>
      <x:c r="G306" s="81" t="n">
        <x:v>0.00333459777297834</x:v>
      </x:c>
      <x:c r="H306" s="59" t="n">
        <x:v>0</x:v>
      </x:c>
      <x:c r="I306" s="81" t="n">
        <x:v>0</x:v>
      </x:c>
      <x:c r="J306" s="79" t="n">
        <x:v>0.0032108176733764244</x:v>
      </x:c>
      <x:c r="K306" s="81" t="n">
        <x:v>2.6695059124302</x:v>
      </x:c>
      <x:c r="L306" s="81" t="n">
        <x:v>-0.509516695324892</x:v>
      </x:c>
      <x:c r="M306" s="80" t="n">
        <x:v>27611.047096645358</x:v>
      </x:c>
      <x:c r="N306" s="82" t="n">
        <x:v>0.24230026848762665</x:v>
      </x:c>
      <x:c r="O306" s="82" t="n">
        <x:v>0.08926638588204476</x:v>
      </x:c>
      <x:c r="P306" s="80" t="n">
        <x:v>114884.1251912835</x:v>
      </x:c>
      <x:c r="Q306" s="81" t="n">
        <x:v>0.015276575615420724</x:v>
      </x:c>
      <x:c r="R306" s="81" t="n">
        <x:v>46.419339945279255</x:v>
      </x:c>
      <x:c r="S306" s="81" t="n">
        <x:v>49.11256716533662</x:v>
      </x:c>
      <x:c r="T306" s="81" t="n">
        <x:v>69.55332072405547</x:v>
      </x:c>
    </x:row>
    <x:row r="307">
      <x:c r="A307" s="59" t="n">
        <x:v>304</x:v>
      </x:c>
      <x:c r="B307" s="193" t="n">
        <x:v>0.8499842584133148</x:v>
      </x:c>
      <x:c r="C307" s="83" t="n">
        <x:v>0.8947457870122534</x:v>
      </x:c>
      <x:c r="D307" s="83" t="n">
        <x:v>0.8112874993128836</x:v>
      </x:c>
      <x:c r="E307" s="81" t="n">
        <x:v>-0.030014181417370986</x:v>
      </x:c>
      <x:c r="F307" s="81" t="n">
        <x:v>0.45581871434114873</x:v>
      </x:c>
      <x:c r="G307" s="81" t="n">
        <x:v>-0.007401712993645799</x:v>
      </x:c>
      <x:c r="H307" s="59" t="n">
        <x:v>0</x:v>
      </x:c>
      <x:c r="I307" s="81" t="n">
        <x:v>0</x:v>
      </x:c>
      <x:c r="J307" s="79" t="n">
        <x:v>1.3216831139443086e-18</x:v>
      </x:c>
      <x:c r="K307" s="81" t="n">
        <x:v>-0.9999999999999984</x:v>
      </x:c>
      <x:c r="L307" s="81" t="n">
        <x:v>-0.9999999999999984</x:v>
      </x:c>
      <x:c r="M307" s="80" t="n">
        <x:v>0.00038713395172659235</x:v>
      </x:c>
      <x:c r="N307" s="82" t="n">
        <x:v>0.30457593755889706</x:v>
      </x:c>
      <x:c r="O307" s="82" t="n">
        <x:v>0.13114709751560383</x:v>
      </x:c>
      <x:c r="P307" s="80" t="n">
        <x:v>814.1073253506873</x:v>
      </x:c>
      <x:c r="Q307" s="81" t="n">
        <x:v>10153.482971952586</x:v>
      </x:c>
      <x:c r="R307" s="81" t="n">
        <x:v>6.229625094040765</x:v>
      </x:c>
      <x:c r="S307" s="81" t="n">
        <x:v>6.925062755351481e-8</x:v>
      </x:c>
      <x:c r="T307" s="81" t="n">
        <x:v>2.863054177195555e-14</x:v>
      </x:c>
    </x:row>
    <x:row r="308">
      <x:c r="A308" s="59" t="n">
        <x:v>305</x:v>
      </x:c>
      <x:c r="B308" s="193" t="n">
        <x:v>0.8422653306275607</x:v>
      </x:c>
      <x:c r="C308" s="83" t="n">
        <x:v>0.12930063202346576</x:v>
      </x:c>
      <x:c r="D308" s="83" t="n">
        <x:v>0.4805045606195946</x:v>
      </x:c>
      <x:c r="E308" s="81" t="n">
        <x:v>-0.12585985339025452</x:v>
      </x:c>
      <x:c r="F308" s="81" t="n">
        <x:v>0.25441386519232767</x:v>
      </x:c>
      <x:c r="G308" s="81" t="n">
        <x:v>-0.019261376182986022</x:v>
      </x:c>
      <x:c r="H308" s="59" t="n">
        <x:v>0</x:v>
      </x:c>
      <x:c r="I308" s="81" t="n">
        <x:v>0</x:v>
      </x:c>
      <x:c r="J308" s="79" t="n">
        <x:v>1.85531887791383e-29</x:v>
      </x:c>
      <x:c r="K308" s="81" t="n">
        <x:v>-1</x:v>
      </x:c>
      <x:c r="L308" s="81" t="n">
        <x:v>-1</x:v>
      </x:c>
      <x:c r="M308" s="80" t="n">
        <x:v>0.000002</x:v>
      </x:c>
      <x:c r="N308" s="82" t="n">
        <x:v>0.3027371442304343</x:v>
      </x:c>
      <x:c r="O308" s="82" t="n">
        <x:v>0.07275744299941306</x:v>
      </x:c>
      <x:c r="P308" s="80" t="n">
        <x:v>143.32158610632</x:v>
      </x:c>
      <x:c r="Q308" s="81" t="n">
        <x:v>974032278137.238</x:v>
      </x:c>
      <x:c r="R308" s="81" t="n">
        <x:v>18.109359748865366</x:v>
      </x:c>
      <x:c r="S308" s="81" t="n">
        <x:v>2.9418709139115665e-10</x:v>
      </x:c>
      <x:c r="T308" s="81" t="n">
        <x:v>4.0190257463369445e-25</x:v>
      </x:c>
    </x:row>
    <x:row r="309">
      <x:c r="A309" s="59" t="n">
        <x:v>306</x:v>
      </x:c>
      <x:c r="B309" s="193" t="n">
        <x:v>0.8531530730426311</x:v>
      </x:c>
      <x:c r="C309" s="83" t="n">
        <x:v>0.9033720549707878</x:v>
      </x:c>
      <x:c r="D309" s="83" t="n">
        <x:v>0.7181144023774897</x:v>
      </x:c>
      <x:c r="E309" s="81" t="n">
        <x:v>-0.03361634899739357</x:v>
      </x:c>
      <x:c r="F309" s="81" t="n">
        <x:v>0.8244746574549936</x:v>
      </x:c>
      <x:c r="G309" s="81" t="n">
        <x:v>-0.014670941147126294</x:v>
      </x:c>
      <x:c r="H309" s="59" t="n">
        <x:v>60</x:v>
      </x:c>
      <x:c r="I309" s="81" t="n">
        <x:v>0.12606260608881714</x:v>
      </x:c>
      <x:c r="J309" s="79" t="n">
        <x:v>3.669365411008732e-18</x:v>
      </x:c>
      <x:c r="K309" s="81" t="n">
        <x:v>-0.9999999999999958</x:v>
      </x:c>
      <x:c r="L309" s="81" t="n">
        <x:v>-0.9999999999999958</x:v>
      </x:c>
      <x:c r="M309" s="80" t="n">
        <x:v>0.000647024670116393</x:v>
      </x:c>
      <x:c r="N309" s="82" t="n">
        <x:v>0.3053308086188742</x:v>
      </x:c>
      <x:c r="O309" s="82" t="n">
        <x:v>0.23780384954097358</x:v>
      </x:c>
      <x:c r="P309" s="80" t="n">
        <x:v>646.8031817649486</x:v>
      </x:c>
      <x:c r="Q309" s="81" t="n">
        <x:v>5476.491111376166</x:v>
      </x:c>
      <x:c r="R309" s="81" t="n">
        <x:v>5.289245289152373</x:v>
      </x:c>
      <x:c r="S309" s="81" t="n">
        <x:v>9.289143596030493e-8</x:v>
      </x:c>
      <x:c r="T309" s="81" t="n">
        <x:v>7.948646583138617e-14</x:v>
      </x:c>
    </x:row>
    <x:row r="310">
      <x:c r="A310" s="59" t="n">
        <x:v>307</x:v>
      </x:c>
      <x:c r="B310" s="193" t="n">
        <x:v>0.5249102352187038</x:v>
      </x:c>
      <x:c r="C310" s="83" t="n">
        <x:v>2.7280448455954067</x:v>
      </x:c>
      <x:c r="D310" s="83" t="n">
        <x:v>1.0510549111205596</x:v>
      </x:c>
      <x:c r="E310" s="81" t="n">
        <x:v>0.03000317255631557</x:v>
      </x:c>
      <x:c r="F310" s="81" t="n">
        <x:v>0.6116549860336817</x:v>
      </x:c>
      <x:c r="G310" s="81" t="n">
        <x:v>0.01787139314326121</x:v>
      </x:c>
      <x:c r="H310" s="59" t="n">
        <x:v>0</x:v>
      </x:c>
      <x:c r="I310" s="81" t="n">
        <x:v>0</x:v>
      </x:c>
      <x:c r="J310" s="79" t="n">
        <x:v>0.005429712923461033</x:v>
      </x:c>
      <x:c r="K310" s="81" t="n">
        <x:v>5.2053861982411815</x:v>
      </x:c>
      <x:c r="L310" s="81" t="n">
        <x:v>-0.4899548423016905</x:v>
      </x:c>
      <x:c r="M310" s="80" t="n">
        <x:v>53458.059230210376</x:v>
      </x:c>
      <x:c r="N310" s="82" t="n">
        <x:v>0.22713721009600568</x:v>
      </x:c>
      <x:c r="O310" s="82" t="n">
        <x:v>0.13123985722830503</x:v>
      </x:c>
      <x:c r="P310" s="80" t="n">
        <x:v>107247.94835972486</x:v>
      </x:c>
      <x:c r="Q310" s="81" t="n">
        <x:v>0.01011803614503888</x:v>
      </x:c>
      <x:c r="R310" s="81" t="n">
        <x:v>29.62507662460193</x:v>
      </x:c>
      <x:c r="S310" s="81" t="n">
        <x:v>45.35140446028137</x:v>
      </x:c>
      <x:c r="T310" s="81" t="n">
        <x:v>117.61943617555242</x:v>
      </x:c>
    </x:row>
    <x:row r="311">
      <x:c r="A311" s="59" t="n">
        <x:v>308</x:v>
      </x:c>
      <x:c r="B311" s="193" t="n">
        <x:v>0.7660838233307004</x:v>
      </x:c>
      <x:c r="C311" s="83" t="n">
        <x:v>1.4145856966371944</x:v>
      </x:c>
      <x:c r="D311" s="83" t="n">
        <x:v>1.8210531781734003</x:v>
      </x:c>
      <x:c r="E311" s="81" t="n">
        <x:v>-0.025142768293963703</x:v>
      </x:c>
      <x:c r="F311" s="81" t="n">
        <x:v>0.5860751935513691</x:v>
      </x:c>
      <x:c r="G311" s="81" t="n">
        <x:v>0.014772162745630613</x:v>
      </x:c>
      <x:c r="H311" s="59" t="n">
        <x:v>0</x:v>
      </x:c>
      <x:c r="I311" s="81" t="n">
        <x:v>0</x:v>
      </x:c>
      <x:c r="J311" s="79" t="n">
        <x:v>9.19602450804689e-29</x:v>
      </x:c>
      <x:c r="K311" s="81" t="n">
        <x:v>-1</x:v>
      </x:c>
      <x:c r="L311" s="81" t="n">
        <x:v>-1</x:v>
      </x:c>
      <x:c r="M311" s="80" t="n">
        <x:v>0.000002</x:v>
      </x:c>
      <x:c r="N311" s="82" t="n">
        <x:v>0.28458928078906015</x:v>
      </x:c>
      <x:c r="O311" s="82" t="n">
        <x:v>0.1575588562844994</x:v>
      </x:c>
      <x:c r="P311" s="80" t="n">
        <x:v>1444.194307704493</x:v>
      </x:c>
      <x:c r="Q311" s="81" t="n">
        <x:v>895706942369.9899</x:v>
      </x:c>
      <x:c r="R311" s="81" t="n">
        <x:v>3.4516721278496068</x:v>
      </x:c>
      <x:c r="S311" s="81" t="n">
        <x:v>7.897107983853077e-10</x:v>
      </x:c>
      <x:c r="T311" s="81" t="n">
        <x:v>1.992059677813645e-24</x:v>
      </x:c>
    </x:row>
    <x:row r="312">
      <x:c r="A312" s="59" t="n">
        <x:v>309</x:v>
      </x:c>
      <x:c r="B312" s="193" t="n">
        <x:v>0.9623419931158423</x:v>
      </x:c>
      <x:c r="C312" s="83" t="n">
        <x:v>0.6134074191653579</x:v>
      </x:c>
      <x:c r="D312" s="83" t="n">
        <x:v>0.8480177646401664</x:v>
      </x:c>
      <x:c r="E312" s="81" t="n">
        <x:v>-0.06250708583455279</x:v>
      </x:c>
      <x:c r="F312" s="81" t="n">
        <x:v>0.6228556668618694</x:v>
      </x:c>
      <x:c r="G312" s="81" t="n">
        <x:v>0.03527045515316683</x:v>
      </x:c>
      <x:c r="H312" s="59" t="n">
        <x:v>0</x:v>
      </x:c>
      <x:c r="I312" s="81" t="n">
        <x:v>0</x:v>
      </x:c>
      <x:c r="J312" s="79" t="n">
        <x:v>4.211525634091708e-33</x:v>
      </x:c>
      <x:c r="K312" s="81" t="n">
        <x:v>-1</x:v>
      </x:c>
      <x:c r="L312" s="81" t="n">
        <x:v>-1</x:v>
      </x:c>
      <x:c r="M312" s="80" t="n">
        <x:v>0.000002</x:v>
      </x:c>
      <x:c r="N312" s="82" t="n">
        <x:v>0.3313416566725643</x:v>
      </x:c>
      <x:c r="O312" s="82" t="n">
        <x:v>0.19495501045609984</x:v>
      </x:c>
      <x:c r="P312" s="80" t="n">
        <x:v>379.3654215864661</x:v>
      </x:c>
      <x:c r="Q312" s="81" t="n">
        <x:v>8153760216406044</x:v>
      </x:c>
      <x:c r="R312" s="81" t="n">
        <x:v>4.402303923547731</x:v>
      </x:c>
      <x:c r="S312" s="81" t="n">
        <x:v>7.019720471146518e-10</x:v>
      </x:c>
      <x:c r="T312" s="81" t="n">
        <x:v>9.12308399179601e-29</x:v>
      </x:c>
    </x:row>
    <x:row r="313">
      <x:c r="A313" s="59" t="n">
        <x:v>310</x:v>
      </x:c>
      <x:c r="B313" s="193" t="n">
        <x:v>0.3383317578583956</x:v>
      </x:c>
      <x:c r="C313" s="83" t="n">
        <x:v>0.33584119478529956</x:v>
      </x:c>
      <x:c r="D313" s="83" t="n">
        <x:v>0.9066202379511993</x:v>
      </x:c>
      <x:c r="E313" s="81" t="n">
        <x:v>-0.02583056524870037</x:v>
      </x:c>
      <x:c r="F313" s="81" t="n">
        <x:v>0.3701885698013939</x:v>
      </x:c>
      <x:c r="G313" s="81" t="n">
        <x:v>-0.026611863219922906</x:v>
      </x:c>
      <x:c r="H313" s="59" t="n">
        <x:v>79</x:v>
      </x:c>
      <x:c r="I313" s="81" t="n">
        <x:v>0.13125754017382862</x:v>
      </x:c>
      <x:c r="J313" s="79" t="n">
        <x:v>1.6790167002538862e-16</x:v>
      </x:c>
      <x:c r="K313" s="81" t="n">
        <x:v>-0.9999999999998082</x:v>
      </x:c>
      <x:c r="L313" s="81" t="n">
        <x:v>-0.9999999999998082</x:v>
      </x:c>
      <x:c r="M313" s="80" t="n">
        <x:v>0.0030548843868295184</x:v>
      </x:c>
      <x:c r="N313" s="82" t="n">
        <x:v>0.18269071844232965</x:v>
      </x:c>
      <x:c r="O313" s="82" t="n">
        <x:v>0.06388669630658589</x:v>
      </x:c>
      <x:c r="P313" s="80" t="n">
        <x:v>695.8858357339228</x:v>
      </x:c>
      <x:c r="Q313" s="81" t="n">
        <x:v>729.8660862176865</x:v>
      </x:c>
      <x:c r="R313" s="81" t="n">
        <x:v>16.82616161641622</x:v>
      </x:c>
      <x:c r="S313" s="81" t="n">
        <x:v>6.759161407493794e-7</x:v>
      </x:c>
      <x:c r="T313" s="81" t="n">
        <x:v>3.637116738895964e-12</x:v>
      </x:c>
    </x:row>
    <x:row r="314">
      <x:c r="A314" s="59" t="n">
        <x:v>311</x:v>
      </x:c>
      <x:c r="B314" s="193" t="n">
        <x:v>0.582425437308848</x:v>
      </x:c>
      <x:c r="C314" s="83" t="n">
        <x:v>0.13059082672637698</x:v>
      </x:c>
      <x:c r="D314" s="83" t="n">
        <x:v>0.6001676451879798</x:v>
      </x:c>
      <x:c r="E314" s="81" t="n">
        <x:v>0.0036905044113232795</x:v>
      </x:c>
      <x:c r="F314" s="81" t="n">
        <x:v>0.47137571048224347</x:v>
      </x:c>
      <x:c r="G314" s="81" t="n">
        <x:v>0.0006912133994431076</x:v>
      </x:c>
      <x:c r="H314" s="59" t="n">
        <x:v>0</x:v>
      </x:c>
      <x:c r="I314" s="81" t="n">
        <x:v>0</x:v>
      </x:c>
      <x:c r="J314" s="79" t="n">
        <x:v>0.000003164355849145545</x:v>
      </x:c>
      <x:c r="K314" s="81" t="n">
        <x:v>-0.9963835933152623</x:v>
      </x:c>
      <x:c r="L314" s="81" t="n">
        <x:v>-0.9963835933152623</x:v>
      </x:c>
      <x:c r="M314" s="80" t="n">
        <x:v>346.1279744165205</x:v>
      </x:c>
      <x:c r="N314" s="82" t="n">
        <x:v>0.24083840964391734</x:v>
      </x:c>
      <x:c r="O314" s="82" t="n">
        <x:v>0.10724175006590021</x:v>
      </x:c>
      <x:c r="P314" s="80" t="n">
        <x:v>1256.0095367423596</x:v>
      </x:c>
      <x:c r="Q314" s="81" t="n">
        <x:v>0.03093405498274541</x:v>
      </x:c>
      <x:c r="R314" s="81" t="n">
        <x:v>79.38461620331184</x:v>
      </x:c>
      <x:c r="S314" s="81" t="n">
        <x:v>0.5314828775801527</x:v>
      </x:c>
      <x:c r="T314" s="81" t="n">
        <x:v>0.06854685617486891</x:v>
      </x:c>
    </x:row>
    <x:row r="315">
      <x:c r="A315" s="59" t="n">
        <x:v>312</x:v>
      </x:c>
      <x:c r="B315" s="193" t="n">
        <x:v>0.8176311653107404</x:v>
      </x:c>
      <x:c r="C315" s="83" t="n">
        <x:v>0.44388329268434595</x:v>
      </x:c>
      <x:c r="D315" s="83" t="n">
        <x:v>0.5398062841176632</x:v>
      </x:c>
      <x:c r="E315" s="81" t="n">
        <x:v>-0.0664166860570787</x:v>
      </x:c>
      <x:c r="F315" s="81" t="n">
        <x:v>0.6763585275388323</x:v>
      </x:c>
      <x:c r="G315" s="81" t="n">
        <x:v>-0.011021789459077948</x:v>
      </x:c>
      <x:c r="H315" s="59" t="n">
        <x:v>0</x:v>
      </x:c>
      <x:c r="I315" s="81" t="n">
        <x:v>0</x:v>
      </x:c>
      <x:c r="J315" s="79" t="n">
        <x:v>7.440419147833878e-24</x:v>
      </x:c>
      <x:c r="K315" s="81" t="n">
        <x:v>-1</x:v>
      </x:c>
      <x:c r="L315" s="81" t="n">
        <x:v>-1</x:v>
      </x:c>
      <x:c r="M315" s="80" t="n">
        <x:v>0.000002</x:v>
      </x:c>
      <x:c r="N315" s="82" t="n">
        <x:v>0.296868824161368</x:v>
      </x:c>
      <x:c r="O315" s="82" t="n">
        <x:v>0.18967605317448946</x:v>
      </x:c>
      <x:c r="P315" s="80" t="n">
        <x:v>283.9087244978905</x:v>
      </x:c>
      <x:c r="Q315" s="81" t="n">
        <x:v>4359604.863859552</x:v>
      </x:c>
      <x:c r="R315" s="81" t="n">
        <x:v>7.580064775242718</x:v>
      </x:c>
      <x:c r="S315" s="81" t="n">
        <x:v>2.861860214388323e-10</x:v>
      </x:c>
      <x:c r="T315" s="81" t="n">
        <x:v>1.6117572280785896e-19</x:v>
      </x:c>
    </x:row>
    <x:row r="316">
      <x:c r="A316" s="59" t="n">
        <x:v>313</x:v>
      </x:c>
      <x:c r="B316" s="193" t="n">
        <x:v>0.873081874102354</x:v>
      </x:c>
      <x:c r="C316" s="83" t="n">
        <x:v>1.5037318490511133</x:v>
      </x:c>
      <x:c r="D316" s="83" t="n">
        <x:v>0.3781638637069218</x:v>
      </x:c>
      <x:c r="E316" s="81" t="n">
        <x:v>0.10239146727876307</x:v>
      </x:c>
      <x:c r="F316" s="81" t="n">
        <x:v>0.4252203752985224</x:v>
      </x:c>
      <x:c r="G316" s="81" t="n">
        <x:v>0.02247189190040205</x:v>
      </x:c>
      <x:c r="H316" s="59" t="n">
        <x:v>0</x:v>
      </x:c>
      <x:c r="I316" s="81" t="n">
        <x:v>0</x:v>
      </x:c>
      <x:c r="J316" s="79" t="n">
        <x:v>0.004721595045469287</x:v>
      </x:c>
      <x:c r="K316" s="81" t="n">
        <x:v>4.396108623393471</x:v>
      </x:c>
      <x:c r="L316" s="81" t="n">
        <x:v>-0.5960402974719944</x:v>
      </x:c>
      <x:c r="M316" s="80" t="n">
        <x:v>34669.39595294575</x:v>
      </x:c>
      <x:c r="N316" s="82" t="n">
        <x:v>0.3100782226963204</x:v>
      </x:c>
      <x:c r="O316" s="82" t="n">
        <x:v>0.12455359708331427</x:v>
      </x:c>
      <x:c r="P316" s="80" t="n">
        <x:v>26322.498898399943</x:v>
      </x:c>
      <x:c r="Q316" s="81" t="n">
        <x:v>0.0029739200719269042</x:v>
      </x:c>
      <x:c r="R316" s="81" t="n">
        <x:v>50.23285491687777</x:v>
      </x:c>
      <x:c r="S316" s="81" t="n">
        <x:v>61.5730297029007</x:v>
      </x:c>
      <x:c r="T316" s="81" t="n">
        <x:v>102.28005696171958</x:v>
      </x:c>
    </x:row>
    <x:row r="317">
      <x:c r="A317" s="59" t="n">
        <x:v>314</x:v>
      </x:c>
      <x:c r="B317" s="193" t="n">
        <x:v>0.7896906325593591</x:v>
      </x:c>
      <x:c r="C317" s="83" t="n">
        <x:v>1.495441967468931</x:v>
      </x:c>
      <x:c r="D317" s="83" t="n">
        <x:v>1.2296972255432455</x:v>
      </x:c>
      <x:c r="E317" s="81" t="n">
        <x:v>0.005747436609758083</x:v>
      </x:c>
      <x:c r="F317" s="81" t="n">
        <x:v>0.7313063899287955</x:v>
      </x:c>
      <x:c r="G317" s="81" t="n">
        <x:v>-0.018568682811502087</x:v>
      </x:c>
      <x:c r="H317" s="59" t="n">
        <x:v>0</x:v>
      </x:c>
      <x:c r="I317" s="81" t="n">
        <x:v>0</x:v>
      </x:c>
      <x:c r="J317" s="79" t="n">
        <x:v>0.000021169941592038372</x:v>
      </x:c>
      <x:c r="K317" s="81" t="n">
        <x:v>-0.9758057810376705</x:v>
      </x:c>
      <x:c r="L317" s="81" t="n">
        <x:v>-0.9758057810376705</x:v>
      </x:c>
      <x:c r="M317" s="80" t="n">
        <x:v>2005.287150891167</x:v>
      </x:c>
      <x:c r="N317" s="82" t="n">
        <x:v>0.2902128653749997</x:v>
      </x:c>
      <x:c r="O317" s="82" t="n">
        <x:v>0.20048734802036605</x:v>
      </x:c>
      <x:c r="P317" s="80" t="n">
        <x:v>8333.283976484072</x:v>
      </x:c>
      <x:c r="Q317" s="81" t="n">
        <x:v>0.05755565374243661</x:v>
      </x:c>
      <x:c r="R317" s="81" t="n">
        <x:v>11.224591833789907</x:v>
      </x:c>
      <x:c r="S317" s="81" t="n">
        <x:v>0.6094325085569585</x:v>
      </x:c>
      <x:c r="T317" s="81" t="n">
        <x:v>0.4585871535060356</x:v>
      </x:c>
    </x:row>
    <x:row r="318">
      <x:c r="A318" s="59" t="n">
        <x:v>315</x:v>
      </x:c>
      <x:c r="B318" s="193" t="n">
        <x:v>0.8481561360880734</x:v>
      </x:c>
      <x:c r="C318" s="83" t="n">
        <x:v>1.5862022456710365</x:v>
      </x:c>
      <x:c r="D318" s="83" t="n">
        <x:v>0.21567161052296221</x:v>
      </x:c>
      <x:c r="E318" s="81" t="n">
        <x:v>0.10499610442477472</x:v>
      </x:c>
      <x:c r="F318" s="81" t="n">
        <x:v>0.7135051441728137</x:v>
      </x:c>
      <x:c r="G318" s="81" t="n">
        <x:v>0.013984778925392537</x:v>
      </x:c>
      <x:c r="H318" s="59" t="n">
        <x:v>0</x:v>
      </x:c>
      <x:c r="I318" s="81" t="n">
        <x:v>0</x:v>
      </x:c>
      <x:c r="J318" s="79" t="n">
        <x:v>0.00048436035318139367</x:v>
      </x:c>
      <x:c r="K318" s="81" t="n">
        <x:v>-0.4464453106498357</x:v>
      </x:c>
      <x:c r="L318" s="81" t="n">
        <x:v>-0.7855655968674276</x:v>
      </x:c>
      <x:c r="M318" s="80" t="n">
        <x:v>10669.3156865397</x:v>
      </x:c>
      <x:c r="N318" s="82" t="n">
        <x:v>0.30414044454373085</x:v>
      </x:c>
      <x:c r="O318" s="82" t="n">
        <x:v>0.20499450837578953</x:v>
      </x:c>
      <x:c r="P318" s="80" t="n">
        <x:v>5293.910167917573</x:v>
      </x:c>
      <x:c r="Q318" s="81" t="n">
        <x:v>0.004469810843334536</x:v>
      </x:c>
      <x:c r="R318" s="81" t="n">
        <x:v>16.52306356016657</x:v>
      </x:c>
      <x:c r="S318" s="81" t="n">
        <x:v>6.175256637182699</x:v>
      </x:c>
      <x:c r="T318" s="81" t="n">
        <x:v>10.492302714721198</x:v>
      </x:c>
    </x:row>
    <x:row r="319">
      <x:c r="A319" s="59" t="n">
        <x:v>316</x:v>
      </x:c>
      <x:c r="B319" s="193" t="n">
        <x:v>0.42769834473729135</x:v>
      </x:c>
      <x:c r="C319" s="83" t="n">
        <x:v>1.3744430449122653</x:v>
      </x:c>
      <x:c r="D319" s="83" t="n">
        <x:v>1.7668101273717034</x:v>
      </x:c>
      <x:c r="E319" s="81" t="n">
        <x:v>-0.2</x:v>
      </x:c>
      <x:c r="F319" s="81" t="n">
        <x:v>0.5438372239004821</x:v>
      </x:c>
      <x:c r="G319" s="81" t="n">
        <x:v>0.02734253414611154</x:v>
      </x:c>
      <x:c r="H319" s="59" t="n">
        <x:v>0</x:v>
      </x:c>
      <x:c r="I319" s="81" t="n">
        <x:v>0</x:v>
      </x:c>
      <x:c r="J319" s="79" t="n">
        <x:v>1.6215616469828584e-109</x:v>
      </x:c>
      <x:c r="K319" s="81" t="n">
        <x:v>-1</x:v>
      </x:c>
      <x:c r="L319" s="81" t="n">
        <x:v>-1</x:v>
      </x:c>
      <x:c r="M319" s="80" t="n">
        <x:v>0.000002</x:v>
      </x:c>
      <x:c r="N319" s="82" t="n">
        <x:v>0.20397951506038653</x:v>
      </x:c>
      <x:c r="O319" s="82" t="n">
        <x:v>0.10479158932071052</x:v>
      </x:c>
      <x:c r="P319" s="80" t="n">
        <x:v>304.88353714018683</x:v>
      </x:c>
      <x:c r="Q319" s="81" t="n">
        <x:v>7.475023933727914e+91</x:v>
      </x:c>
      <x:c r="R319" s="81" t="n">
        <x:v>0.5573842510185602</x:v>
      </x:c>
      <x:c r="S319" s="81" t="n">
        <x:v>9.050404802700641e-10</x:v>
      </x:c>
      <x:c r="T319" s="81" t="n">
        <x:v>3.512656549813499e-105</x:v>
      </x:c>
    </x:row>
    <x:row r="320">
      <x:c r="A320" s="59" t="n">
        <x:v>317</x:v>
      </x:c>
      <x:c r="B320" s="193" t="n">
        <x:v>0.45712317451834683</x:v>
      </x:c>
      <x:c r="C320" s="83" t="n">
        <x:v>0.24939701747740614</x:v>
      </x:c>
      <x:c r="D320" s="83" t="n">
        <x:v>0.5420564442707007</x:v>
      </x:c>
      <x:c r="E320" s="81" t="n">
        <x:v>0.05136730885865342</x:v>
      </x:c>
      <x:c r="F320" s="81" t="n">
        <x:v>0.659246010077186</x:v>
      </x:c>
      <x:c r="G320" s="81" t="n">
        <x:v>0.007339360245232612</x:v>
      </x:c>
      <x:c r="H320" s="59" t="n">
        <x:v>0</x:v>
      </x:c>
      <x:c r="I320" s="81" t="n">
        <x:v>0</x:v>
      </x:c>
      <x:c r="J320" s="79" t="n">
        <x:v>0.0003667259232947496</x:v>
      </x:c>
      <x:c r="K320" s="81" t="n">
        <x:v>-0.5808846590917147</x:v>
      </x:c>
      <x:c r="L320" s="81" t="n">
        <x:v>-0.8246279052167578</x:v>
      </x:c>
      <x:c r="M320" s="80" t="n">
        <x:v>4565.872770580422</x:v>
      </x:c>
      <x:c r="N320" s="82" t="n">
        <x:v>0.21098906122979244</x:v>
      </x:c>
      <x:c r="O320" s="82" t="n">
        <x:v>0.13139486458377617</x:v>
      </x:c>
      <x:c r="P320" s="80" t="n">
        <x:v>5339.897319623927</x:v>
      </x:c>
      <x:c r="Q320" s="81" t="n">
        <x:v>0.00561912416329833</x:v>
      </x:c>
      <x:c r="R320" s="81" t="n">
        <x:v>98.24496412855704</x:v>
      </x:c>
      <x:c r="S320" s="81" t="n">
        <x:v>28.29470347206254</x:v>
      </x:c>
      <x:c r="T320" s="81" t="n">
        <x:v>7.944084141633146</x:v>
      </x:c>
    </x:row>
    <x:row r="321">
      <x:c r="A321" s="59" t="n">
        <x:v>318</x:v>
      </x:c>
      <x:c r="B321" s="193" t="n">
        <x:v>0.3841499008238316</x:v>
      </x:c>
      <x:c r="C321" s="83" t="n">
        <x:v>0.18035563668111826</x:v>
      </x:c>
      <x:c r="D321" s="83" t="n">
        <x:v>0.44746246495560854</x:v>
      </x:c>
      <x:c r="E321" s="81" t="n">
        <x:v>0.06129045675104174</x:v>
      </x:c>
      <x:c r="F321" s="81" t="n">
        <x:v>0.5456404126947746</x:v>
      </x:c>
      <x:c r="G321" s="81" t="n">
        <x:v>0.011442608080593334</x:v>
      </x:c>
      <x:c r="H321" s="59" t="n">
        <x:v>0</x:v>
      </x:c>
      <x:c r="I321" s="81" t="n">
        <x:v>0</x:v>
      </x:c>
      <x:c r="J321" s="79" t="n">
        <x:v>0.0006038572162548915</x:v>
      </x:c>
      <x:c r="K321" s="81" t="n">
        <x:v>-0.3098774671372668</x:v>
      </x:c>
      <x:c r="L321" s="81" t="n">
        <x:v>-0.772579968677196</x:v>
      </x:c>
      <x:c r="M321" s="80" t="n">
        <x:v>5537.617950130815</x:v>
      </x:c>
      <x:c r="N321" s="82" t="n">
        <x:v>0.19360545918687705</x:v>
      </x:c>
      <x:c r="O321" s="82" t="n">
        <x:v>0.09979184904148515</x:v>
      </x:c>
      <x:c r="P321" s="80" t="n">
        <x:v>5296.192481694701</x:v>
      </x:c>
      <x:c r="Q321" s="81" t="n">
        <x:v>0.0036362297159074158</x:v>
      </x:c>
      <x:c r="R321" s="81" t="n">
        <x:v>161.1030628248774</x:v>
      </x:c>
      <x:c r="S321" s="81" t="n">
        <x:v>63.28084405890173</x:v>
      </x:c>
      <x:c r="T321" s="81" t="n">
        <x:v>13.080865656736352</x:v>
      </x:c>
    </x:row>
    <x:row r="322">
      <x:c r="A322" s="59" t="n">
        <x:v>319</x:v>
      </x:c>
      <x:c r="B322" s="193" t="n">
        <x:v>0.927337139286101</x:v>
      </x:c>
      <x:c r="C322" s="83" t="n">
        <x:v>1.2736246819497477</x:v>
      </x:c>
      <x:c r="D322" s="83" t="n">
        <x:v>0.6365939694236026</x:v>
      </x:c>
      <x:c r="E322" s="81" t="n">
        <x:v>-0.020451038350079283</x:v>
      </x:c>
      <x:c r="F322" s="81" t="n">
        <x:v>0.44980943356640635</x:v>
      </x:c>
      <x:c r="G322" s="81" t="n">
        <x:v>-0.019734090423570067</x:v>
      </x:c>
      <x:c r="H322" s="59" t="n">
        <x:v>82</x:v>
      </x:c>
      <x:c r="I322" s="81" t="n">
        <x:v>0.4754833227023483</x:v>
      </x:c>
      <x:c r="J322" s="79" t="n">
        <x:v>7.605725534102887e-12</x:v>
      </x:c>
      <x:c r="K322" s="81" t="n">
        <x:v>-0.9999999913077422</x:v>
      </x:c>
      <x:c r="L322" s="81" t="n">
        <x:v>-0.9999999913077422</x:v>
      </x:c>
      <x:c r="M322" s="80" t="n">
        <x:v>1.0894854419461095</x:v>
      </x:c>
      <x:c r="N322" s="82" t="n">
        <x:v>0.3230028441493107</x:v>
      </x:c>
      <x:c r="O322" s="82" t="n">
        <x:v>0.13724794410231497</x:v>
      </x:c>
      <x:c r="P322" s="80" t="n">
        <x:v>1184.3330412855921</x:v>
      </x:c>
      <x:c r="Q322" s="81" t="n">
        <x:v>7.20554484396688</x:v>
      </x:c>
      <x:c r="R322" s="81" t="n">
        <x:v>6.369226588807236</x:v>
      </x:c>
      <x:c r="S322" s="81" t="n">
        <x:v>0.00010707166843372419</x:v>
      </x:c>
      <x:c r="T322" s="81" t="n">
        <x:v>1.6475662003451852e-7</x:v>
      </x:c>
    </x:row>
    <x:row r="323">
      <x:c r="A323" s="59" t="n">
        <x:v>320</x:v>
      </x:c>
      <x:c r="B323" s="193" t="n">
        <x:v>0.9625867486000061</x:v>
      </x:c>
      <x:c r="C323" s="83" t="n">
        <x:v>2.7595214649889592</x:v>
      </x:c>
      <x:c r="D323" s="83" t="n">
        <x:v>0.7192965194098431</x:v>
      </x:c>
      <x:c r="E323" s="81" t="n">
        <x:v>-0.16935781583323808</x:v>
      </x:c>
      <x:c r="F323" s="81" t="n">
        <x:v>0.889043620240409</x:v>
      </x:c>
      <x:c r="G323" s="81" t="n">
        <x:v>0.028874315590553135</x:v>
      </x:c>
      <x:c r="H323" s="59" t="n">
        <x:v>0</x:v>
      </x:c>
      <x:c r="I323" s="81" t="n">
        <x:v>0</x:v>
      </x:c>
      <x:c r="J323" s="79" t="n">
        <x:v>3.904855707675844e-54</x:v>
      </x:c>
      <x:c r="K323" s="81" t="n">
        <x:v>-1</x:v>
      </x:c>
      <x:c r="L323" s="81" t="n">
        <x:v>-1</x:v>
      </x:c>
      <x:c r="M323" s="80" t="n">
        <x:v>0.000002</x:v>
      </x:c>
      <x:c r="N323" s="82" t="n">
        <x:v>0.33139996201805777</x:v>
      </x:c>
      <x:c r="O323" s="82" t="n">
        <x:v>0.27832131390665094</x:v>
      </x:c>
      <x:c r="P323" s="80" t="n">
        <x:v>406.67886185020745</x:v>
      </x:c>
      <x:c r="Q323" s="81" t="n">
        <x:v>3.572168934755035e+36</x:v>
      </x:c>
      <x:c r="R323" s="81" t="n">
        <x:v>0.6696416564124283</x:v>
      </x:c>
      <x:c r="S323" s="81" t="n">
        <x:v>2.3696695801604206e-10</x:v>
      </x:c>
      <x:c r="T323" s="81" t="n">
        <x:v>8.458769978412777e-50</x:v>
      </x:c>
    </x:row>
    <x:row r="324">
      <x:c r="A324" s="59" t="n">
        <x:v>321</x:v>
      </x:c>
      <x:c r="B324" s="193" t="n">
        <x:v>0.5748058607801796</x:v>
      </x:c>
      <x:c r="C324" s="83" t="n">
        <x:v>0.1237252463928974</x:v>
      </x:c>
      <x:c r="D324" s="83" t="n">
        <x:v>0.9928163527303426</x:v>
      </x:c>
      <x:c r="E324" s="81" t="n">
        <x:v>-0.05294997344084996</x:v>
      </x:c>
      <x:c r="F324" s="81" t="n">
        <x:v>0.823380071669817</x:v>
      </x:c>
      <x:c r="G324" s="81" t="n">
        <x:v>-0.0023634959357343756</x:v>
      </x:c>
      <x:c r="H324" s="59" t="n">
        <x:v>45</x:v>
      </x:c>
      <x:c r="I324" s="81" t="n">
        <x:v>0.46666744761168955</x:v>
      </x:c>
      <x:c r="J324" s="79" t="n">
        <x:v>5.157134646944865e-29</x:v>
      </x:c>
      <x:c r="K324" s="81" t="n">
        <x:v>-1</x:v>
      </x:c>
      <x:c r="L324" s="81" t="n">
        <x:v>-1</x:v>
      </x:c>
      <x:c r="M324" s="80" t="n">
        <x:v>0.000002</x:v>
      </x:c>
      <x:c r="N324" s="82" t="n">
        <x:v>0.2390232836477284</x:v>
      </x:c>
      <x:c r="O324" s="82" t="n">
        <x:v>0.18591374604423833</x:v>
      </x:c>
      <x:c r="P324" s="80" t="n">
        <x:v>297.5870322475716</x:v>
      </x:c>
      <x:c r="Q324" s="81" t="n">
        <x:v>778983613282.478</x:v>
      </x:c>
      <x:c r="R324" s="81" t="n">
        <x:v>18.725539912326056</x:v>
      </x:c>
      <x:c r="S324" s="81" t="n">
        <x:v>7.519857205264879e-10</x:v>
      </x:c>
      <x:c r="T324" s="81" t="n">
        <x:v>1.1171479560809137e-24</x:v>
      </x:c>
    </x:row>
    <x:row r="325">
      <x:c r="A325" s="59" t="n">
        <x:v>322</x:v>
      </x:c>
      <x:c r="B325" s="193" t="n">
        <x:v>0.43431023582816125</x:v>
      </x:c>
      <x:c r="C325" s="83" t="n">
        <x:v>1.1279352794226185</x:v>
      </x:c>
      <x:c r="D325" s="83" t="n">
        <x:v>0.736840520288641</x:v>
      </x:c>
      <x:c r="E325" s="81" t="n">
        <x:v>-0.014986100206662183</x:v>
      </x:c>
      <x:c r="F325" s="81" t="n">
        <x:v>0.27556578430812806</x:v>
      </x:c>
      <x:c r="G325" s="81" t="n">
        <x:v>-0.008862801198157457</x:v>
      </x:c>
      <x:c r="H325" s="59" t="n">
        <x:v>0</x:v>
      </x:c>
      <x:c r="I325" s="81" t="n">
        <x:v>0</x:v>
      </x:c>
      <x:c r="J325" s="79" t="n">
        <x:v>7.82320016816072e-11</x:v>
      </x:c>
      <x:c r="K325" s="81" t="n">
        <x:v>-0.9999999105919981</x:v>
      </x:c>
      <x:c r="L325" s="81" t="n">
        <x:v>-0.9999999105919981</x:v>
      </x:c>
      <x:c r="M325" s="80" t="n">
        <x:v>3.259134162253447</x:v>
      </x:c>
      <x:c r="N325" s="82" t="n">
        <x:v>0.2055545914911897</x:v>
      </x:c>
      <x:c r="O325" s="82" t="n">
        <x:v>0.05350857881029902</x:v>
      </x:c>
      <x:c r="P325" s="80" t="n">
        <x:v>1736.6803373642022</x:v>
      </x:c>
      <x:c r="Q325" s="81" t="n">
        <x:v>2.842151992374744</x:v>
      </x:c>
      <x:c r="R325" s="81" t="n">
        <x:v>9.11796680520573</x:v>
      </x:c>
      <x:c r="S325" s="81" t="n">
        <x:v>0.00045355571822115097</x:v>
      </x:c>
      <x:c r="T325" s="81" t="n">
        <x:v>0.00000169467595403003</x:v>
      </x:c>
    </x:row>
    <x:row r="326">
      <x:c r="A326" s="59" t="n">
        <x:v>323</x:v>
      </x:c>
      <x:c r="B326" s="193" t="n">
        <x:v>0.8444774851202965</x:v>
      </x:c>
      <x:c r="C326" s="83" t="n">
        <x:v>0.2190468983405558</x:v>
      </x:c>
      <x:c r="D326" s="83" t="n">
        <x:v>2.901935108368962</x:v>
      </x:c>
      <x:c r="E326" s="81" t="n">
        <x:v>0.0461669928500597</x:v>
      </x:c>
      <x:c r="F326" s="81" t="n">
        <x:v>0.7623940048739314</x:v>
      </x:c>
      <x:c r="G326" s="81" t="n">
        <x:v>-0.010598948753642139</x:v>
      </x:c>
      <x:c r="H326" s="59" t="n">
        <x:v>0</x:v>
      </x:c>
      <x:c r="I326" s="81" t="n">
        <x:v>0</x:v>
      </x:c>
      <x:c r="J326" s="79" t="n">
        <x:v>0.0026889541715837354</x:v>
      </x:c>
      <x:c r="K326" s="81" t="n">
        <x:v>2.0730904818099836</x:v>
      </x:c>
      <x:c r="L326" s="81" t="n">
        <x:v>-0.8389883485029435</x:v>
      </x:c>
      <x:c r="M326" s="80" t="n">
        <x:v>16540.710820187673</x:v>
      </x:c>
      <x:c r="N326" s="82" t="n">
        <x:v>0.30326412090850047</x:v>
      </x:c>
      <x:c r="O326" s="82" t="n">
        <x:v>0.2184094606982253</x:v>
      </x:c>
      <x:c r="P326" s="80" t="n">
        <x:v>70884.31547575766</x:v>
      </x:c>
      <x:c r="Q326" s="81" t="n">
        <x:v>0.012302217833994065</x:v>
      </x:c>
      <x:c r="R326" s="81" t="n">
        <x:v>516.390478947181</x:v>
      </x:c>
      <x:c r="S326" s="81" t="n">
        <x:v>243.60287979901756</x:v>
      </x:c>
      <x:c r="T326" s="81" t="n">
        <x:v>58.24861793282033</x:v>
      </x:c>
    </x:row>
    <x:row r="327">
      <x:c r="A327" s="59" t="n">
        <x:v>324</x:v>
      </x:c>
      <x:c r="B327" s="193" t="n">
        <x:v>0.5119380949065089</x:v>
      </x:c>
      <x:c r="C327" s="83" t="n">
        <x:v>0.10423336769159952</x:v>
      </x:c>
      <x:c r="D327" s="83" t="n">
        <x:v>1.090184801967313</x:v>
      </x:c>
      <x:c r="E327" s="81" t="n">
        <x:v>0.12494827984395913</x:v>
      </x:c>
      <x:c r="F327" s="81" t="n">
        <x:v>0.827230564027559</x:v>
      </x:c>
      <x:c r="G327" s="81" t="n">
        <x:v>0.014174358524739875</x:v>
      </x:c>
      <x:c r="H327" s="59" t="n">
        <x:v>0</x:v>
      </x:c>
      <x:c r="I327" s="81" t="n">
        <x:v>0</x:v>
      </x:c>
      <x:c r="J327" s="79" t="n">
        <x:v>0.006361594547256999</x:v>
      </x:c>
      <x:c r="K327" s="81" t="n">
        <x:v>6.270393768293714</x:v>
      </x:c>
      <x:c r="L327" s="81" t="n">
        <x:v>-0.8205632270691952</x:v>
      </x:c>
      <x:c r="M327" s="80" t="n">
        <x:v>24490.751095443433</x:v>
      </x:c>
      <x:c r="N327" s="82" t="n">
        <x:v>0.22404700304600983</x:v>
      </x:c>
      <x:c r="O327" s="82" t="n">
        <x:v>0.17508004635186145</x:v>
      </x:c>
      <x:c r="P327" s="80" t="n">
        <x:v>41257.70916116628</x:v>
      </x:c>
      <x:c r="Q327" s="81" t="n">
        <x:v>0.003941054886217065</x:v>
      </x:c>
      <x:c r="R327" s="81" t="n">
        <x:v>1346.4098312472024</x:v>
      </x:c>
      <x:c r="S327" s="81" t="n">
        <x:v>1146.915494998751</x:v>
      </x:c>
      <x:c r="T327" s="81" t="n">
        <x:v>137.8060266488059</x:v>
      </x:c>
    </x:row>
    <x:row r="328">
      <x:c r="A328" s="59" t="n">
        <x:v>325</x:v>
      </x:c>
      <x:c r="B328" s="193" t="n">
        <x:v>0.8907516753301026</x:v>
      </x:c>
      <x:c r="C328" s="83" t="n">
        <x:v>0.730854139627845</x:v>
      </x:c>
      <x:c r="D328" s="83" t="n">
        <x:v>2.8623083290639384</x:v>
      </x:c>
      <x:c r="E328" s="81" t="n">
        <x:v>0.001188622959679897</x:v>
      </x:c>
      <x:c r="F328" s="81" t="n">
        <x:v>0.3818859924329445</x:v>
      </x:c>
      <x:c r="G328" s="81" t="n">
        <x:v>-0.030023816973359027</x:v>
      </x:c>
      <x:c r="H328" s="59" t="n">
        <x:v>0</x:v>
      </x:c>
      <x:c r="I328" s="81" t="n">
        <x:v>0</x:v>
      </x:c>
      <x:c r="J328" s="79" t="n">
        <x:v>0.00000803900999649493</x:v>
      </x:c>
      <x:c r="K328" s="81" t="n">
        <x:v>-0.9908125600040057</x:v>
      </x:c>
      <x:c r="L328" s="81" t="n">
        <x:v>-0.9908125600040057</x:v>
      </x:c>
      <x:c r="M328" s="80" t="n">
        <x:v>845.6803498681238</x:v>
      </x:c>
      <x:c r="N328" s="82" t="n">
        <x:v>0.31428750065754274</x:v>
      </x:c>
      <x:c r="O328" s="82" t="n">
        <x:v>0.11337878010292156</x:v>
      </x:c>
      <x:c r="P328" s="80" t="n">
        <x:v>11093.676767514089</x:v>
      </x:c>
      <x:c r="Q328" s="81" t="n">
        <x:v>0.11252926394737077</x:v>
      </x:c>
      <x:c r="R328" s="81" t="n">
        <x:v>22.57595995302756</x:v>
      </x:c>
      <x:c r="S328" s="81" t="n">
        <x:v>0.628022701757379</x:v>
      </x:c>
      <x:c r="T328" s="81" t="n">
        <x:v>0.17414250744487805</x:v>
      </x:c>
    </x:row>
    <x:row r="329">
      <x:c r="A329" s="59" t="n">
        <x:v>326</x:v>
      </x:c>
      <x:c r="B329" s="193" t="n">
        <x:v>0.6085101388394833</x:v>
      </x:c>
      <x:c r="C329" s="83" t="n">
        <x:v>0.2892609670871198</x:v>
      </x:c>
      <x:c r="D329" s="83" t="n">
        <x:v>0.5271269330204096</x:v>
      </x:c>
      <x:c r="E329" s="81" t="n">
        <x:v>0.00043739806997340937</x:v>
      </x:c>
      <x:c r="F329" s="81" t="n">
        <x:v>0.45660505703417587</x:v>
      </x:c>
      <x:c r="G329" s="81" t="n">
        <x:v>-0.0008438653756265607</x:v>
      </x:c>
      <x:c r="H329" s="59" t="n">
        <x:v>36</x:v>
      </x:c>
      <x:c r="I329" s="81" t="n">
        <x:v>0.4337189665995539</x:v>
      </x:c>
      <x:c r="J329" s="79" t="n">
        <x:v>0.0000011247360257801958</x:v>
      </x:c>
      <x:c r="K329" s="81" t="n">
        <x:v>-0.9987145873991083</x:v>
      </x:c>
      <x:c r="L329" s="81" t="n">
        <x:v>-0.9987145873991083</x:v>
      </x:c>
      <x:c r="M329" s="80" t="n">
        <x:v>233.6292512278402</x:v>
      </x:c>
      <x:c r="N329" s="82" t="n">
        <x:v>0.2470522746366682</x:v>
      </x:c>
      <x:c r="O329" s="82" t="n">
        <x:v>0.10656154677754597</x:v>
      </x:c>
      <x:c r="P329" s="80" t="n">
        <x:v>1084.3035138193434</x:v>
      </x:c>
      <x:c r="Q329" s="81" t="n">
        <x:v>0.042457371860974834</x:v>
      </x:c>
      <x:c r="R329" s="81" t="n">
        <x:v>36.02591151852133</x:v>
      </x:c>
      <x:c r="S329" s="81" t="n">
        <x:v>0.11381031861234259</x:v>
      </x:c>
      <x:c r="T329" s="81" t="n">
        <x:v>0.024364237863660904</x:v>
      </x:c>
    </x:row>
    <x:row r="330">
      <x:c r="A330" s="59" t="n">
        <x:v>327</x:v>
      </x:c>
      <x:c r="B330" s="193" t="n">
        <x:v>0.8235921364277601</x:v>
      </x:c>
      <x:c r="C330" s="83" t="n">
        <x:v>0.2708306081079573</x:v>
      </x:c>
      <x:c r="D330" s="83" t="n">
        <x:v>0.3512796463176806</x:v>
      </x:c>
      <x:c r="E330" s="81" t="n">
        <x:v>-0.17488048816594876</x:v>
      </x:c>
      <x:c r="F330" s="81" t="n">
        <x:v>0.3542720531229861</x:v>
      </x:c>
      <x:c r="G330" s="81" t="n">
        <x:v>-0.0015128825980142342</x:v>
      </x:c>
      <x:c r="H330" s="59" t="n">
        <x:v>0</x:v>
      </x:c>
      <x:c r="I330" s="81" t="n">
        <x:v>0</x:v>
      </x:c>
      <x:c r="J330" s="79" t="n">
        <x:v>1.614395377630176e-31</x:v>
      </x:c>
      <x:c r="K330" s="81" t="n">
        <x:v>-1</x:v>
      </x:c>
      <x:c r="L330" s="81" t="n">
        <x:v>-1</x:v>
      </x:c>
      <x:c r="M330" s="80" t="n">
        <x:v>0.000002</x:v>
      </x:c>
      <x:c r="N330" s="82" t="n">
        <x:v>0.29828883924965044</x:v>
      </x:c>
      <x:c r="O330" s="82" t="n">
        <x:v>0.09982626911660125</x:v>
      </x:c>
      <x:c r="P330" s="80" t="n">
        <x:v>115.68429672364594</x:v>
      </x:c>
      <x:c r="Q330" s="81" t="n">
        <x:v>84069261045373.08</x:v>
      </x:c>
      <x:c r="R330" s="81" t="n">
        <x:v>8.399987179903146</x:v>
      </x:c>
      <x:c r="S330" s="81" t="n">
        <x:v>2.377220292090468e-10</x:v>
      </x:c>
      <x:c r="T330" s="81" t="n">
        <x:v>3.4971328458419206e-27</x:v>
      </x:c>
    </x:row>
    <x:row r="331">
      <x:c r="A331" s="59" t="n">
        <x:v>328</x:v>
      </x:c>
      <x:c r="B331" s="193" t="n">
        <x:v>0.9103076089173556</x:v>
      </x:c>
      <x:c r="C331" s="83" t="n">
        <x:v>0.3030261588354799</x:v>
      </x:c>
      <x:c r="D331" s="83" t="n">
        <x:v>0.745626463193193</x:v>
      </x:c>
      <x:c r="E331" s="81" t="n">
        <x:v>0.024726621863910458</x:v>
      </x:c>
      <x:c r="F331" s="81" t="n">
        <x:v>0.2755680224741809</x:v>
      </x:c>
      <x:c r="G331" s="81" t="n">
        <x:v>-0.019094293265738957</x:v>
      </x:c>
      <x:c r="H331" s="59" t="n">
        <x:v>0</x:v>
      </x:c>
      <x:c r="I331" s="81" t="n">
        <x:v>0</x:v>
      </x:c>
      <x:c r="J331" s="79" t="n">
        <x:v>0.00022753782527824975</x:v>
      </x:c>
      <x:c r="K331" s="81" t="n">
        <x:v>-0.7399567711105717</x:v>
      </x:c>
      <x:c r="L331" s="81" t="n">
        <x:v>-0.8146795150859559</x:v>
      </x:c>
      <x:c r="M331" s="80" t="n">
        <x:v>3568.0144833006952</x:v>
      </x:c>
      <x:c r="N331" s="82" t="n">
        <x:v>0.3189460907117813</x:v>
      </x:c>
      <x:c r="O331" s="82" t="n">
        <x:v>0.08302656010491541</x:v>
      </x:c>
      <x:c r="P331" s="80" t="n">
        <x:v>6091.462960343456</x:v>
      </x:c>
      <x:c r="Q331" s="81" t="n">
        <x:v>0.006836216129800688</x:v>
      </x:c>
      <x:c r="R331" s="81" t="n">
        <x:v>82.87075365546686</x:v>
      </x:c>
      <x:c r="S331" s="81" t="n">
        <x:v>14.666190172398345</x:v>
      </x:c>
      <x:c r="T331" s="81" t="n">
        <x:v>4.928966060470797</x:v>
      </x:c>
    </x:row>
    <x:row r="332">
      <x:c r="A332" s="59" t="n">
        <x:v>329</x:v>
      </x:c>
      <x:c r="B332" s="193" t="n">
        <x:v>0.592562641017139</x:v>
      </x:c>
      <x:c r="C332" s="83" t="n">
        <x:v>0.3123568351182406</x:v>
      </x:c>
      <x:c r="D332" s="83" t="n">
        <x:v>0.6436767105788088</x:v>
      </x:c>
      <x:c r="E332" s="81" t="n">
        <x:v>0.026756499877529802</x:v>
      </x:c>
      <x:c r="F332" s="81" t="n">
        <x:v>0.28911331746494395</x:v>
      </x:c>
      <x:c r="G332" s="81" t="n">
        <x:v>0.009871477741006888</x:v>
      </x:c>
      <x:c r="H332" s="59" t="n">
        <x:v>23</x:v>
      </x:c>
      <x:c r="I332" s="81" t="n">
        <x:v>0.42807163177058105</x:v>
      </x:c>
      <x:c r="J332" s="79" t="n">
        <x:v>0.0006023186373988422</x:v>
      </x:c>
      <x:c r="K332" s="81" t="n">
        <x:v>-0.3116358429727517</x:v>
      </x:c>
      <x:c r="L332" s="81" t="n">
        <x:v>-0.7506905324685339</x:v>
      </x:c>
      <x:c r="M332" s="80" t="n">
        <x:v>5879.884254812779</x:v>
      </x:c>
      <x:c r="N332" s="82" t="n">
        <x:v>0.2432532816398015</x:v>
      </x:c>
      <x:c r="O332" s="82" t="n">
        <x:v>0.06643512352340895</x:v>
      </x:c>
      <x:c r="P332" s="80" t="n">
        <x:v>7814.89709202654</x:v>
      </x:c>
      <x:c r="Q332" s="81" t="n">
        <x:v>0.005495252086176634</x:v>
      </x:c>
      <x:c r="R332" s="81" t="n">
        <x:v>70.93719017221784</x:v>
      </x:c>
      <x:c r="S332" s="81" t="n">
        <x:v>37.26117483871922</x:v>
      </x:c>
      <x:c r="T332" s="81" t="n">
        <x:v>13.04753667965946</x:v>
      </x:c>
    </x:row>
    <x:row r="333">
      <x:c r="A333" s="59" t="n">
        <x:v>330</x:v>
      </x:c>
      <x:c r="B333" s="193" t="n">
        <x:v>0.5615975374355913</x:v>
      </x:c>
      <x:c r="C333" s="83" t="n">
        <x:v>1.9612673522384068</x:v>
      </x:c>
      <x:c r="D333" s="83" t="n">
        <x:v>1.1086355358738258</x:v>
      </x:c>
      <x:c r="E333" s="81" t="n">
        <x:v>0.10054911736123655</x:v>
      </x:c>
      <x:c r="F333" s="81" t="n">
        <x:v>0.5397560658981093</x:v>
      </x:c>
      <x:c r="G333" s="81" t="n">
        <x:v>-0.006297818081256343</x:v>
      </x:c>
      <x:c r="H333" s="59" t="n">
        <x:v>39</x:v>
      </x:c>
      <x:c r="I333" s="81" t="n">
        <x:v>0.3891871189698577</x:v>
      </x:c>
      <x:c r="J333" s="79" t="n">
        <x:v>0.03757072672656991</x:v>
      </x:c>
      <x:c r="K333" s="81" t="n">
        <x:v>41.93797340179418</x:v>
      </x:c>
      <x:c r="L333" s="81" t="n">
        <x:v>-0.9372236818726468</x:v>
      </x:c>
      <x:c r="M333" s="80" t="n">
        <x:v>141820.22970803533</x:v>
      </x:c>
      <x:c r="N333" s="82" t="n">
        <x:v>0.23587681337098484</x:v>
      </x:c>
      <x:c r="O333" s="82" t="n">
        <x:v>0.12026900708089647</x:v>
      </x:c>
      <x:c r="P333" s="80" t="n">
        <x:v>244198.08445491517</x:v>
      </x:c>
      <x:c r="Q333" s="81" t="n">
        <x:v>0.003342173639676887</x:v>
      </x:c>
      <x:c r="R333" s="81" t="n">
        <x:v>430.655803973821</x:v>
      </x:c>
      <x:c r="S333" s="81" t="n">
        <x:v>378.9492175494335</x:v>
      </x:c>
      <x:c r="T333" s="81" t="n">
        <x:v>813.8639660286315</x:v>
      </x:c>
    </x:row>
    <x:row r="334">
      <x:c r="A334" s="59" t="n">
        <x:v>331</x:v>
      </x:c>
      <x:c r="B334" s="193" t="n">
        <x:v>0.4211909903213382</x:v>
      </x:c>
      <x:c r="C334" s="83" t="n">
        <x:v>0.4369839371716241</x:v>
      </x:c>
      <x:c r="D334" s="83" t="n">
        <x:v>0.454664332453353</x:v>
      </x:c>
      <x:c r="E334" s="81" t="n">
        <x:v>0.11390170677045004</x:v>
      </x:c>
      <x:c r="F334" s="81" t="n">
        <x:v>0.5942302293493413</x:v>
      </x:c>
      <x:c r="G334" s="81" t="n">
        <x:v>-0.05</x:v>
      </x:c>
      <x:c r="H334" s="59" t="n">
        <x:v>0</x:v>
      </x:c>
      <x:c r="I334" s="81" t="n">
        <x:v>0</x:v>
      </x:c>
      <x:c r="J334" s="79" t="n">
        <x:v>0.0006220501985636943</x:v>
      </x:c>
      <x:c r="K334" s="81" t="n">
        <x:v>-0.2890854873557779</x:v>
      </x:c>
      <x:c r="L334" s="81" t="n">
        <x:v>-0.8481938987409016</x:v>
      </x:c>
      <x:c r="M334" s="80" t="n">
        <x:v>7081.315989933945</x:v>
      </x:c>
      <x:c r="N334" s="82" t="n">
        <x:v>0.20242934122561124</x:v>
      </x:c>
      <x:c r="O334" s="82" t="n">
        <x:v>0.11363160601508164</x:v>
      </x:c>
      <x:c r="P334" s="80" t="n">
        <x:v>6949.58897165603</x:v>
      </x:c>
      <x:c r="Q334" s="81" t="n">
        <x:v>0.0023548891362513338</x:v>
      </x:c>
      <x:c r="R334" s="81" t="n">
        <x:v>161.02072542392483</x:v>
      </x:c>
      <x:c r="S334" s="81" t="n">
        <x:v>27.014691870949257</x:v>
      </x:c>
      <x:c r="T334" s="81" t="n">
        <x:v>13.474965372812907</x:v>
      </x:c>
    </x:row>
    <x:row r="335">
      <x:c r="A335" s="59" t="n">
        <x:v>332</x:v>
      </x:c>
      <x:c r="B335" s="193" t="n">
        <x:v>0.6630539506673814</x:v>
      </x:c>
      <x:c r="C335" s="83" t="n">
        <x:v>0.1793144215106478</x:v>
      </x:c>
      <x:c r="D335" s="83" t="n">
        <x:v>0.3511931918853752</x:v>
      </x:c>
      <x:c r="E335" s="81" t="n">
        <x:v>-0.007413041936765128</x:v>
      </x:c>
      <x:c r="F335" s="81" t="n">
        <x:v>0.7233868516050279</x:v>
      </x:c>
      <x:c r="G335" s="81" t="n">
        <x:v>0.01350636922457032</x:v>
      </x:c>
      <x:c r="H335" s="59" t="n">
        <x:v>0</x:v>
      </x:c>
      <x:c r="I335" s="81" t="n">
        <x:v>0</x:v>
      </x:c>
      <x:c r="J335" s="79" t="n">
        <x:v>2.8735322829189833e-8</x:v>
      </x:c>
      <x:c r="K335" s="81" t="n">
        <x:v>-0.9999671596310523</x:v>
      </x:c>
      <x:c r="L335" s="81" t="n">
        <x:v>-0.9999671596310523</x:v>
      </x:c>
      <x:c r="M335" s="80" t="n">
        <x:v>34.314419811763884</x:v>
      </x:c>
      <x:c r="N335" s="82" t="n">
        <x:v>0.26004563331054525</x:v>
      </x:c>
      <x:c r="O335" s="82" t="n">
        <x:v>0.17770150993448605</x:v>
      </x:c>
      <x:c r="P335" s="80" t="n">
        <x:v>421.1120770044429</x:v>
      </x:c>
      <x:c r="Q335" s="81" t="n">
        <x:v>0.11512187808349021</x:v>
      </x:c>
      <x:c r="R335" s="81" t="n">
        <x:v>38.560523333539635</x:v>
      </x:c>
      <x:c r="S335" s="81" t="n">
        <x:v>0.008286096189491995</x:v>
      </x:c>
      <x:c r="T335" s="81" t="n">
        <x:v>0.0006224698279881434</x:v>
      </x:c>
    </x:row>
    <x:row r="336">
      <x:c r="A336" s="59" t="n">
        <x:v>333</x:v>
      </x:c>
      <x:c r="B336" s="193" t="n">
        <x:v>0.3826714310795069</x:v>
      </x:c>
      <x:c r="C336" s="83" t="n">
        <x:v>2.0763312604991704</x:v>
      </x:c>
      <x:c r="D336" s="83" t="n">
        <x:v>1.2867138650441787</x:v>
      </x:c>
      <x:c r="E336" s="81" t="n">
        <x:v>-0.0425346194636192</x:v>
      </x:c>
      <x:c r="F336" s="81" t="n">
        <x:v>0.6361370251863263</x:v>
      </x:c>
      <x:c r="G336" s="81" t="n">
        <x:v>-0.007648416780026414</x:v>
      </x:c>
      <x:c r="H336" s="59" t="n">
        <x:v>0</x:v>
      </x:c>
      <x:c r="I336" s="81" t="n">
        <x:v>0</x:v>
      </x:c>
      <x:c r="J336" s="79" t="n">
        <x:v>2.037962144124673e-29</x:v>
      </x:c>
      <x:c r="K336" s="81" t="n">
        <x:v>-1</x:v>
      </x:c>
      <x:c r="L336" s="81" t="n">
        <x:v>-1</x:v>
      </x:c>
      <x:c r="M336" s="80" t="n">
        <x:v>0.000002</x:v>
      </x:c>
      <x:c r="N336" s="82" t="n">
        <x:v>0.19325325997247134</x:v>
      </x:c>
      <x:c r="O336" s="82" t="n">
        <x:v>0.11613107445809978</x:v>
      </x:c>
      <x:c r="P336" s="80" t="n">
        <x:v>1160.584685851304</x:v>
      </x:c>
      <x:c r="Q336" s="81" t="n">
        <x:v>2429666256912.462</x:v>
      </x:c>
      <x:c r="R336" s="81" t="n">
        <x:v>2.150432057099249</x:v>
      </x:c>
      <x:c r="S336" s="81" t="n">
        <x:v>3.3372139657827893e-10</x:v>
      </x:c>
      <x:c r="T336" s="81" t="n">
        <x:v>4.414670935977785e-25</x:v>
      </x:c>
    </x:row>
    <x:row r="337">
      <x:c r="A337" s="59" t="n">
        <x:v>334</x:v>
      </x:c>
      <x:c r="B337" s="193" t="n">
        <x:v>0.41878622472286225</x:v>
      </x:c>
      <x:c r="C337" s="83" t="n">
        <x:v>0.11729579655793917</x:v>
      </x:c>
      <x:c r="D337" s="83" t="n">
        <x:v>0.4974144794038219</x:v>
      </x:c>
      <x:c r="E337" s="81" t="n">
        <x:v>-0.10487094906775718</x:v>
      </x:c>
      <x:c r="F337" s="81" t="n">
        <x:v>0.8073433838319034</x:v>
      </x:c>
      <x:c r="G337" s="81" t="n">
        <x:v>0.03871920623187171</x:v>
      </x:c>
      <x:c r="H337" s="59" t="n">
        <x:v>0</x:v>
      </x:c>
      <x:c r="I337" s="81" t="n">
        <x:v>0</x:v>
      </x:c>
      <x:c r="J337" s="79" t="n">
        <x:v>4.5766333577801184e-33</x:v>
      </x:c>
      <x:c r="K337" s="81" t="n">
        <x:v>-1</x:v>
      </x:c>
      <x:c r="L337" s="81" t="n">
        <x:v>-1</x:v>
      </x:c>
      <x:c r="M337" s="80" t="n">
        <x:v>0.000002</x:v>
      </x:c>
      <x:c r="N337" s="82" t="n">
        <x:v>0.20185648097069936</x:v>
      </x:c>
      <x:c r="O337" s="82" t="n">
        <x:v>0.15394724816769356</x:v>
      </x:c>
      <x:c r="P337" s="80" t="n">
        <x:v>154.82991871549382</x:v>
      </x:c>
      <x:c r="Q337" s="81" t="n">
        <x:v>4650557684296451</x:v>
      </x:c>
      <x:c r="R337" s="81" t="n">
        <x:v>20.222416792106678</x:v>
      </x:c>
      <x:c r="S337" s="81" t="n">
        <x:v>6.191302180489801e-10</x:v>
      </x:c>
      <x:c r="T337" s="81" t="n">
        <x:v>9.913987032323554e-29</x:v>
      </x:c>
    </x:row>
    <x:row r="338">
      <x:c r="A338" s="59" t="n">
        <x:v>335</x:v>
      </x:c>
      <x:c r="B338" s="193" t="n">
        <x:v>0.4695660820230842</x:v>
      </x:c>
      <x:c r="C338" s="83" t="n">
        <x:v>0.7430170180699343</x:v>
      </x:c>
      <x:c r="D338" s="83" t="n">
        <x:v>1.247085240665052</x:v>
      </x:c>
      <x:c r="E338" s="81" t="n">
        <x:v>0.08121681601762314</x:v>
      </x:c>
      <x:c r="F338" s="81" t="n">
        <x:v>0.7817803083569743</x:v>
      </x:c>
      <x:c r="G338" s="81" t="n">
        <x:v>-0.012309284985830194</x:v>
      </x:c>
      <x:c r="H338" s="59" t="n">
        <x:v>53</x:v>
      </x:c>
      <x:c r="I338" s="81" t="n">
        <x:v>0.40520111098885536</x:v>
      </x:c>
      <x:c r="J338" s="79" t="n">
        <x:v>0.005268324214300013</x:v>
      </x:c>
      <x:c r="K338" s="81" t="n">
        <x:v>5.020941959200016</x:v>
      </x:c>
      <x:c r="L338" s="81" t="n">
        <x:v>-0.9388848492725825</x:v>
      </x:c>
      <x:c r="M338" s="80" t="n">
        <x:v>30116.77665559135</x:v>
      </x:c>
      <x:c r="N338" s="82" t="n">
        <x:v>0.21395319510193664</x:v>
      </x:c>
      <x:c r="O338" s="82" t="n">
        <x:v>0.1580063152944527</x:v>
      </x:c>
      <x:c r="P338" s="80" t="n">
        <x:v>60863.690593300926</x:v>
      </x:c>
      <x:c r="Q338" s="81" t="n">
        <x:v>0.005075412934378723</x:v>
      </x:c>
      <x:c r="R338" s="81" t="n">
        <x:v>273.34512545811566</x:v>
      </x:c>
      <x:c r="S338" s="81" t="n">
        <x:v>140.3114609634482</x:v>
      </x:c>
      <x:c r="T338" s="81" t="n">
        <x:v>114.12340438819976</x:v>
      </x:c>
    </x:row>
    <x:row r="339">
      <x:c r="A339" s="59" t="n">
        <x:v>336</x:v>
      </x:c>
      <x:c r="B339" s="193" t="n">
        <x:v>0.9061387399211527</x:v>
      </x:c>
      <x:c r="C339" s="83" t="n">
        <x:v>0.4591890564052489</x:v>
      </x:c>
      <x:c r="D339" s="83" t="n">
        <x:v>2.3318175729307087</x:v>
      </x:c>
      <x:c r="E339" s="81" t="n">
        <x:v>0.016248856252747294</x:v>
      </x:c>
      <x:c r="F339" s="81" t="n">
        <x:v>0.6906384791596794</x:v>
      </x:c>
      <x:c r="G339" s="81" t="n">
        <x:v>-0.014026681300909574</x:v>
      </x:c>
      <x:c r="H339" s="59" t="n">
        <x:v>0</x:v>
      </x:c>
      <x:c r="I339" s="81" t="n">
        <x:v>0</x:v>
      </x:c>
      <x:c r="J339" s="79" t="n">
        <x:v>0.00023474455915439195</x:v>
      </x:c>
      <x:c r="K339" s="81" t="n">
        <x:v>-0.731720503823552</x:v>
      </x:c>
      <x:c r="L339" s="81" t="n">
        <x:v>-0.85708607871636</x:v>
      </x:c>
      <x:c r="M339" s="80" t="n">
        <x:v>4363.431440390227</x:v>
      </x:c>
      <x:c r="N339" s="82" t="n">
        <x:v>0.3179529879505921</x:v>
      </x:c>
      <x:c r="O339" s="82" t="n">
        <x:v>0.2074362362823288</x:v>
      </x:c>
      <x:c r="P339" s="80" t="n">
        <x:v>20874.35465759955</x:v>
      </x:c>
      <x:c r="Q339" s="81" t="n">
        <x:v>0.02732656737971878</x:v>
      </x:c>
      <x:c r="R339" s="81" t="n">
        <x:v>59.14135202383012</x:v>
      </x:c>
      <x:c r="S339" s="81" t="n">
        <x:v>12.100782882554864</x:v>
      </x:c>
      <x:c r="T339" s="81" t="n">
        <x:v>5.085079650107647</x:v>
      </x:c>
    </x:row>
    <x:row r="340">
      <x:c r="A340" s="59" t="n">
        <x:v>337</x:v>
      </x:c>
      <x:c r="B340" s="193" t="n">
        <x:v>0.3290642645210028</x:v>
      </x:c>
      <x:c r="C340" s="83" t="n">
        <x:v>1.3722235213352487</x:v>
      </x:c>
      <x:c r="D340" s="83" t="n">
        <x:v>2.1985508714563586</x:v>
      </x:c>
      <x:c r="E340" s="81" t="n">
        <x:v>0.07880003283748299</x:v>
      </x:c>
      <x:c r="F340" s="81" t="n">
        <x:v>0.3063693595002405</x:v>
      </x:c>
      <x:c r="G340" s="81" t="n">
        <x:v>0.021807611285788214</x:v>
      </x:c>
      <x:c r="H340" s="59" t="n">
        <x:v>76</x:v>
      </x:c>
      <x:c r="I340" s="81" t="n">
        <x:v>0.19884647531434896</x:v>
      </x:c>
      <x:c r="J340" s="79" t="n">
        <x:v>0.6687518054657102</x:v>
      </x:c>
      <x:c r="K340" s="81" t="n">
        <x:v>763.2877776750975</x:v>
      </x:c>
      <x:c r="L340" s="81" t="n">
        <x:v>-0.9739708326628599</x:v>
      </x:c>
      <x:c r="M340" s="80" t="n">
        <x:v>603559.328507479</x:v>
      </x:c>
      <x:c r="N340" s="82" t="n">
        <x:v>0.18048302776386257</x:v>
      </x:c>
      <x:c r="O340" s="82" t="n">
        <x:v>0.05223392227981714</x:v>
      </x:c>
      <x:c r="P340" s="80" t="n">
        <x:v>1799119.6578131032</x:v>
      </x:c>
      <x:c r="Q340" s="81" t="n">
        <x:v>0.002186801068142811</x:v>
      </x:c>
      <x:c r="R340" s="81" t="n">
        <x:v>4439.715717640495</x:v>
      </x:c>
      <x:c r="S340" s="81" t="n">
        <x:v>9383.043106084175</x:v>
      </x:c>
      <x:c r="T340" s="81" t="n">
        <x:v>14486.624138154413</x:v>
      </x:c>
    </x:row>
    <x:row r="341">
      <x:c r="A341" s="59" t="n">
        <x:v>338</x:v>
      </x:c>
      <x:c r="B341" s="193" t="n">
        <x:v>0.43307044431567193</x:v>
      </x:c>
      <x:c r="C341" s="83" t="n">
        <x:v>0.1338651754212364</x:v>
      </x:c>
      <x:c r="D341" s="83" t="n">
        <x:v>0.8723581975391961</x:v>
      </x:c>
      <x:c r="E341" s="81" t="n">
        <x:v>-0.017438358414679517</x:v>
      </x:c>
      <x:c r="F341" s="81" t="n">
        <x:v>0.5261635507340543</x:v>
      </x:c>
      <x:c r="G341" s="81" t="n">
        <x:v>-0.03314799848746082</x:v>
      </x:c>
      <x:c r="H341" s="59" t="n">
        <x:v>0</x:v>
      </x:c>
      <x:c r="I341" s="81" t="n">
        <x:v>0</x:v>
      </x:c>
      <x:c r="J341" s="79" t="n">
        <x:v>1.6735350323121828e-12</x:v>
      </x:c>
      <x:c r="K341" s="81" t="n">
        <x:v>-0.9999999980873885</x:v>
      </x:c>
      <x:c r="L341" s="81" t="n">
        <x:v>-0.9999999980873885</x:v>
      </x:c>
      <x:c r="M341" s="80" t="n">
        <x:v>0.2554277910919925</x:v>
      </x:c>
      <x:c r="N341" s="82" t="n">
        <x:v>0.20525924990682398</x:v>
      </x:c>
      <x:c r="O341" s="82" t="n">
        <x:v>0.10202214234807902</x:v>
      </x:c>
      <x:c r="P341" s="80" t="n">
        <x:v>662.3190728608032</x:v>
      </x:c>
      <x:c r="Q341" s="81" t="n">
        <x:v>8.983041239972277</x:v>
      </x:c>
      <x:c r="R341" s="81" t="n">
        <x:v>44.853306388150465</x:v>
      </x:c>
      <x:c r="S341" s="81" t="n">
        <x:v>0.00005848980636576469</x:v>
      </x:c>
      <x:c r="T341" s="81" t="n">
        <x:v>3.625242249365976e-8</x:v>
      </x:c>
    </x:row>
    <x:row r="342">
      <x:c r="A342" s="59" t="n">
        <x:v>339</x:v>
      </x:c>
      <x:c r="B342" s="193" t="n">
        <x:v>0.49318500105291607</x:v>
      </x:c>
      <x:c r="C342" s="83" t="n">
        <x:v>1.0841930092751366</x:v>
      </x:c>
      <x:c r="D342" s="83" t="n">
        <x:v>0.6277578346329011</x:v>
      </x:c>
      <x:c r="E342" s="81" t="n">
        <x:v>-0.05777168468019151</x:v>
      </x:c>
      <x:c r="F342" s="81" t="n">
        <x:v>0.8196283809724264</x:v>
      </x:c>
      <x:c r="G342" s="81" t="n">
        <x:v>-0.016851064827886675</x:v>
      </x:c>
      <x:c r="H342" s="59" t="n">
        <x:v>0</x:v>
      </x:c>
      <x:c r="I342" s="81" t="n">
        <x:v>0</x:v>
      </x:c>
      <x:c r="J342" s="79" t="n">
        <x:v>1.0659332224257538e-23</x:v>
      </x:c>
      <x:c r="K342" s="81" t="n">
        <x:v>-1</x:v>
      </x:c>
      <x:c r="L342" s="81" t="n">
        <x:v>-1</x:v>
      </x:c>
      <x:c r="M342" s="80" t="n">
        <x:v>0.000002</x:v>
      </x:c>
      <x:c r="N342" s="82" t="n">
        <x:v>0.2195796644695745</x:v>
      </x:c>
      <x:c r="O342" s="82" t="n">
        <x:v>0.170012184277232</x:v>
      </x:c>
      <x:c r="P342" s="80" t="n">
        <x:v>505.6023159016207</x:v>
      </x:c>
      <x:c r="Q342" s="81" t="n">
        <x:v>3470097.7376288585</x:v>
      </x:c>
      <x:c r="R342" s="81" t="n">
        <x:v>3.7509669233646483</x:v>
      </x:c>
      <x:c r="S342" s="81" t="n">
        <x:v>2.145655315601978e-10</x:v>
      </x:c>
      <x:c r="T342" s="81" t="n">
        <x:v>2.309044076359567e-19</x:v>
      </x:c>
    </x:row>
    <x:row r="343">
      <x:c r="A343" s="59" t="n">
        <x:v>340</x:v>
      </x:c>
      <x:c r="B343" s="193" t="n">
        <x:v>0.3429983165115118</x:v>
      </x:c>
      <x:c r="C343" s="83" t="n">
        <x:v>0.7830670234378296</x:v>
      </x:c>
      <x:c r="D343" s="83" t="n">
        <x:v>0.32732585838803485</x:v>
      </x:c>
      <x:c r="E343" s="81" t="n">
        <x:v>0.023258366371071162</x:v>
      </x:c>
      <x:c r="F343" s="81" t="n">
        <x:v>0.37351144504500555</x:v>
      </x:c>
      <x:c r="G343" s="81" t="n">
        <x:v>-0.00031468219938083405</x:v>
      </x:c>
      <x:c r="H343" s="59" t="n">
        <x:v>66</x:v>
      </x:c>
      <x:c r="I343" s="81" t="n">
        <x:v>0.32448758725076915</x:v>
      </x:c>
      <x:c r="J343" s="79" t="n">
        <x:v>0.00016843101935607078</x:v>
      </x:c>
      <x:c r="K343" s="81" t="n">
        <x:v>-0.8075074064502048</x:v>
      </x:c>
      <x:c r="L343" s="81" t="n">
        <x:v>-0.8419029219955041</x:v>
      </x:c>
      <x:c r="M343" s="80" t="n">
        <x:v>4050.8300491649075</x:v>
      </x:c>
      <x:c r="N343" s="82" t="n">
        <x:v>0.1838023802114767</x:v>
      </x:c>
      <x:c r="O343" s="82" t="n">
        <x:v>0.06485239017054112</x:v>
      </x:c>
      <x:c r="P343" s="80" t="n">
        <x:v>3395.1483275166725</x:v>
      </x:c>
      <x:c r="Q343" s="81" t="n">
        <x:v>0.005465725117791824</x:v>
      </x:c>
      <x:c r="R343" s="81" t="n">
        <x:v>25.970651726908905</x:v>
      </x:c>
      <x:c r="S343" s="81" t="n">
        <x:v>4.325140212210428</x:v>
      </x:c>
      <x:c r="T343" s="81" t="n">
        <x:v>3.6485836010841504</x:v>
      </x:c>
    </x:row>
    <x:row r="344">
      <x:c r="A344" s="59" t="n">
        <x:v>341</x:v>
      </x:c>
      <x:c r="B344" s="193" t="n">
        <x:v>0.8842389913275839</x:v>
      </x:c>
      <x:c r="C344" s="83" t="n">
        <x:v>0.8128468892439933</x:v>
      </x:c>
      <x:c r="D344" s="83" t="n">
        <x:v>1.3796766581199762</x:v>
      </x:c>
      <x:c r="E344" s="81" t="n">
        <x:v>-0.00025128789488812334</x:v>
      </x:c>
      <x:c r="F344" s="81" t="n">
        <x:v>0.6918724485556595</x:v>
      </x:c>
      <x:c r="G344" s="81" t="n">
        <x:v>0.020167251904294525</x:v>
      </x:c>
      <x:c r="H344" s="59" t="n">
        <x:v>0</x:v>
      </x:c>
      <x:c r="I344" s="81" t="n">
        <x:v>0</x:v>
      </x:c>
      <x:c r="J344" s="79" t="n">
        <x:v>4.077783802869905e-7</x:v>
      </x:c>
      <x:c r="K344" s="81" t="n">
        <x:v>-0.9995339675653863</x:v>
      </x:c>
      <x:c r="L344" s="81" t="n">
        <x:v>-0.9995339675653863</x:v>
      </x:c>
      <x:c r="M344" s="80" t="n">
        <x:v>197.9271921484359</x:v>
      </x:c>
      <x:c r="N344" s="82" t="n">
        <x:v>0.3127360572153179</x:v>
      </x:c>
      <x:c r="O344" s="82" t="n">
        <x:v>0.2043971966449306</x:v>
      </x:c>
      <x:c r="P344" s="80" t="n">
        <x:v>3501.6752797171775</x:v>
      </x:c>
      <x:c r="Q344" s="81" t="n">
        <x:v>0.27371127213396934</x:v>
      </x:c>
      <x:c r="R344" s="81" t="n">
        <x:v>12.573744634191108</x:v>
      </x:c>
      <x:c r="S344" s="81" t="n">
        <x:v>0.09374990851860326</x:v>
      </x:c>
      <x:c r="T344" s="81" t="n">
        <x:v>0.008833369986596501</x:v>
      </x:c>
    </x:row>
    <x:row r="345">
      <x:c r="A345" s="59" t="n">
        <x:v>342</x:v>
      </x:c>
      <x:c r="B345" s="193" t="n">
        <x:v>0.5874281825497747</x:v>
      </x:c>
      <x:c r="C345" s="83" t="n">
        <x:v>0.8819461988620312</x:v>
      </x:c>
      <x:c r="D345" s="83" t="n">
        <x:v>0.7190094063434795</x:v>
      </x:c>
      <x:c r="E345" s="81" t="n">
        <x:v>0.17442232706020544</x:v>
      </x:c>
      <x:c r="F345" s="81" t="n">
        <x:v>0.6929442387656308</x:v>
      </x:c>
      <x:c r="G345" s="81" t="n">
        <x:v>0.037249185610184476</x:v>
      </x:c>
      <x:c r="H345" s="59" t="n">
        <x:v>0</x:v>
      </x:c>
      <x:c r="I345" s="81" t="n">
        <x:v>0</x:v>
      </x:c>
      <x:c r="J345" s="79" t="n">
        <x:v>0.031156412925498284</x:v>
      </x:c>
      <x:c r="K345" s="81" t="n">
        <x:v>34.60732905771233</x:v>
      </x:c>
      <x:c r="L345" s="81" t="n">
        <x:v>-0.7625821652269742</x:v>
      </x:c>
      <x:c r="M345" s="80" t="n">
        <x:v>94321.41698546725</x:v>
      </x:c>
      <x:c r="N345" s="82" t="n">
        <x:v>0.24203015736177913</x:v>
      </x:c>
      <x:c r="O345" s="82" t="n">
        <x:v>0.15843047100772994</x:v>
      </x:c>
      <x:c r="P345" s="80" t="n">
        <x:v>113257.52130054988</x:v>
      </x:c>
      <x:c r="Q345" s="81" t="n">
        <x:v>0.0026802432598669445</x:v>
      </x:c>
      <x:c r="R345" s="81" t="n">
        <x:v>394.5165747257894</x:v>
      </x:c>
      <x:c r="S345" s="81" t="n">
        <x:v>683.494439721769</x:v>
      </x:c>
      <x:c r="T345" s="81" t="n">
        <x:v>674.9159252445148</x:v>
      </x:c>
    </x:row>
    <x:row r="346">
      <x:c r="A346" s="59" t="n">
        <x:v>343</x:v>
      </x:c>
      <x:c r="B346" s="193" t="n">
        <x:v>0.39872725643217566</x:v>
      </x:c>
      <x:c r="C346" s="83" t="n">
        <x:v>1.59061372511158</x:v>
      </x:c>
      <x:c r="D346" s="83" t="n">
        <x:v>0.2984270337893456</x:v>
      </x:c>
      <x:c r="E346" s="81" t="n">
        <x:v>0.025478212499559266</x:v>
      </x:c>
      <x:c r="F346" s="81" t="n">
        <x:v>0.599994812544901</x:v>
      </x:c>
      <x:c r="G346" s="81" t="n">
        <x:v>-0.013416477769339628</x:v>
      </x:c>
      <x:c r="H346" s="59" t="n">
        <x:v>0</x:v>
      </x:c>
      <x:c r="I346" s="81" t="n">
        <x:v>0</x:v>
      </x:c>
      <x:c r="J346" s="79" t="n">
        <x:v>0.00009277892932180114</x:v>
      </x:c>
      <x:c r="K346" s="81" t="n">
        <x:v>-0.8939669379179416</x:v>
      </x:c>
      <x:c r="L346" s="81" t="n">
        <x:v>-0.8978672700095485</x:v>
      </x:c>
      <x:c r="M346" s="80" t="n">
        <x:v>4361.43917561137</x:v>
      </x:c>
      <x:c r="N346" s="82" t="n">
        <x:v>0.19707805861820235</x:v>
      </x:c>
      <x:c r="O346" s="82" t="n">
        <x:v>0.11170091042516231</x:v>
      </x:c>
      <x:c r="P346" s="80" t="n">
        <x:v>3681.918092358904</x:v>
      </x:c>
      <x:c r="Q346" s="81" t="n">
        <x:v>0.007947793420286191</x:v>
      </x:c>
      <x:c r="R346" s="81" t="n">
        <x:v>12.253940285111538</x:v>
      </x:c>
      <x:c r="S346" s="81" t="n">
        <x:v>1.2743910246460894</x:v>
      </x:c>
      <x:c r="T346" s="81" t="n">
        <x:v>2.0097941658480387</x:v>
      </x:c>
    </x:row>
    <x:row r="347">
      <x:c r="A347" s="59" t="n">
        <x:v>344</x:v>
      </x:c>
      <x:c r="B347" s="193" t="n">
        <x:v>0.6779367711395026</x:v>
      </x:c>
      <x:c r="C347" s="83" t="n">
        <x:v>0.2639688521046907</x:v>
      </x:c>
      <x:c r="D347" s="83" t="n">
        <x:v>0.5011385100046003</x:v>
      </x:c>
      <x:c r="E347" s="81" t="n">
        <x:v>0.08680829042030626</x:v>
      </x:c>
      <x:c r="F347" s="81" t="n">
        <x:v>0.8679536829935387</x:v>
      </x:c>
      <x:c r="G347" s="81" t="n">
        <x:v>0.0029286639276452776</x:v>
      </x:c>
      <x:c r="H347" s="59" t="n">
        <x:v>35</x:v>
      </x:c>
      <x:c r="I347" s="81" t="n">
        <x:v>0.4530571088194847</x:v>
      </x:c>
      <x:c r="J347" s="79" t="n">
        <x:v>0.0003271238242653111</x:v>
      </x:c>
      <x:c r="K347" s="81" t="n">
        <x:v>-0.6261442008396445</x:v>
      </x:c>
      <x:c r="L347" s="81" t="n">
        <x:v>-0.8606950047157256</x:v>
      </x:c>
      <x:c r="M347" s="80" t="n">
        <x:v>4619.716359848625</x:v>
      </x:c>
      <x:c r="N347" s="82" t="n">
        <x:v>0.26359100019988835</x:v>
      </x:c>
      <x:c r="O347" s="82" t="n">
        <x:v>0.21612154832593902</x:v>
      </x:c>
      <x:c r="P347" s="80" t="n">
        <x:v>4761.34741263409</x:v>
      </x:c>
      <x:c r="Q347" s="81" t="n">
        <x:v>0.00588338269988418</x:v>
      </x:c>
      <x:c r="R347" s="81" t="n">
        <x:v>90.1350744198725</x:v>
      </x:c>
      <x:c r="S347" s="81" t="n">
        <x:v>23.90512634329326</x:v>
      </x:c>
      <x:c r="T347" s="81" t="n">
        <x:v>7.086216216593412</x:v>
      </x:c>
    </x:row>
    <x:row r="348">
      <x:c r="A348" s="59" t="n">
        <x:v>345</x:v>
      </x:c>
      <x:c r="B348" s="193" t="n">
        <x:v>0.982009351067245</x:v>
      </x:c>
      <x:c r="C348" s="83" t="n">
        <x:v>0.19493691785066225</x:v>
      </x:c>
      <x:c r="D348" s="83" t="n">
        <x:v>0.9651037267691945</x:v>
      </x:c>
      <x:c r="E348" s="81" t="n">
        <x:v>0.04848753372577532</x:v>
      </x:c>
      <x:c r="F348" s="81" t="n">
        <x:v>0.7162366856238804</x:v>
      </x:c>
      <x:c r="G348" s="81" t="n">
        <x:v>0.0008777410358067639</x:v>
      </x:c>
      <x:c r="H348" s="59" t="n">
        <x:v>0</x:v>
      </x:c>
      <x:c r="I348" s="81" t="n">
        <x:v>0</x:v>
      </x:c>
      <x:c r="J348" s="79" t="n">
        <x:v>0.00029527776916044057</x:v>
      </x:c>
      <x:c r="K348" s="81" t="n">
        <x:v>-0.6625396923880679</x:v>
      </x:c>
      <x:c r="L348" s="81" t="n">
        <x:v>-0.8680853568644019</x:v>
      </x:c>
      <x:c r="M348" s="80" t="n">
        <x:v>4193.50877883964</x:v>
      </x:c>
      <x:c r="N348" s="82" t="n">
        <x:v>0.33602679009955044</x:v>
      </x:c>
      <x:c r="O348" s="82" t="n">
        <x:v>0.22735337575297093</x:v>
      </x:c>
      <x:c r="P348" s="80" t="n">
        <x:v>8085.025028775214</x:v>
      </x:c>
      <x:c r="Q348" s="81" t="n">
        <x:v>0.010626801032709481</x:v>
      </x:c>
      <x:c r="R348" s="81" t="n">
        <x:v>117.67828289655321</x:v>
      </x:c>
      <x:c r="S348" s="81" t="n">
        <x:v>29.687519775953707</x:v>
      </x:c>
      <x:c r="T348" s="81" t="n">
        <x:v>6.396361136103661</x:v>
      </x:c>
    </x:row>
    <x:row r="349">
      <x:c r="A349" s="59" t="n">
        <x:v>346</x:v>
      </x:c>
      <x:c r="B349" s="193" t="n">
        <x:v>0.7735093036666514</x:v>
      </x:c>
      <x:c r="C349" s="83" t="n">
        <x:v>0.13666868113064443</x:v>
      </x:c>
      <x:c r="D349" s="83" t="n">
        <x:v>0.34963797244197625</x:v>
      </x:c>
      <x:c r="E349" s="81" t="n">
        <x:v>0.05547862527992352</x:v>
      </x:c>
      <x:c r="F349" s="81" t="n">
        <x:v>0.40471524682361637</x:v>
      </x:c>
      <x:c r="G349" s="81" t="n">
        <x:v>-0.037309446793638734</x:v>
      </x:c>
      <x:c r="H349" s="59" t="n">
        <x:v>0</x:v>
      </x:c>
      <x:c r="I349" s="81" t="n">
        <x:v>0</x:v>
      </x:c>
      <x:c r="J349" s="79" t="n">
        <x:v>0.00007369842943297795</x:v>
      </x:c>
      <x:c r="K349" s="81" t="n">
        <x:v>-0.9157732235051681</x:v>
      </x:c>
      <x:c r="L349" s="81" t="n">
        <x:v>-0.9257417663512311</x:v>
      </x:c>
      <x:c r="M349" s="80" t="n">
        <x:v>1767.6195832812207</x:v>
      </x:c>
      <x:c r="N349" s="82" t="n">
        <x:v>0.2863581694328401</x:v>
      </x:c>
      <x:c r="O349" s="82" t="n">
        <x:v>0.10947881430589045</x:v>
      </x:c>
      <x:c r="P349" s="80" t="n">
        <x:v>1616.4772749923018</x:v>
      </x:c>
      <x:c r="Q349" s="81" t="n">
        <x:v>0.004015612606960946</x:v>
      </x:c>
      <x:c r="R349" s="81" t="n">
        <x:v>139.58652748855016</x:v>
      </x:c>
      <x:c r="S349" s="81" t="n">
        <x:v>10.170860530954737</x:v>
      </x:c>
      <x:c r="T349" s="81" t="n">
        <x:v>1.5964688813428416</x:v>
      </x:c>
    </x:row>
    <x:row r="350">
      <x:c r="A350" s="59" t="n">
        <x:v>347</x:v>
      </x:c>
      <x:c r="B350" s="193" t="n">
        <x:v>0.9756233869120479</x:v>
      </x:c>
      <x:c r="C350" s="83" t="n">
        <x:v>0.25359416574755095</x:v>
      </x:c>
      <x:c r="D350" s="83" t="n">
        <x:v>0.5755231094780007</x:v>
      </x:c>
      <x:c r="E350" s="81" t="n">
        <x:v>-0.10808356810965078</x:v>
      </x:c>
      <x:c r="F350" s="81" t="n">
        <x:v>0.5732032728148624</x:v>
      </x:c>
      <x:c r="G350" s="81" t="n">
        <x:v>0.019417739777256998</x:v>
      </x:c>
      <x:c r="H350" s="59" t="n">
        <x:v>82</x:v>
      </x:c>
      <x:c r="I350" s="81" t="n">
        <x:v>0.4471686805598438</x:v>
      </x:c>
      <x:c r="J350" s="79" t="n">
        <x:v>3.7854739719990196e-34</x:v>
      </x:c>
      <x:c r="K350" s="81" t="n">
        <x:v>-1</x:v>
      </x:c>
      <x:c r="L350" s="81" t="n">
        <x:v>-1</x:v>
      </x:c>
      <x:c r="M350" s="80" t="n">
        <x:v>0.000002</x:v>
      </x:c>
      <x:c r="N350" s="82" t="n">
        <x:v>0.33450553370095437</x:v>
      </x:c>
      <x:c r="O350" s="82" t="n">
        <x:v>0.18112688153772658</x:v>
      </x:c>
      <x:c r="P350" s="80" t="n">
        <x:v>174.9887941455091</x:v>
      </x:c>
      <x:c r="Q350" s="81" t="n">
        <x:v>54712603095025920</x:v>
      </x:c>
      <x:c r="R350" s="81" t="n">
        <x:v>8.211598075599545</x:v>
      </x:c>
      <x:c r="S350" s="81" t="n">
        <x:v>5.081924214627852e-10</x:v>
      </x:c>
      <x:c r="T350" s="81" t="n">
        <x:v>8.200163075287289e-30</x:v>
      </x:c>
    </x:row>
    <x:row r="351">
      <x:c r="A351" s="59" t="n">
        <x:v>348</x:v>
      </x:c>
      <x:c r="B351" s="193" t="n">
        <x:v>0.6430808188393713</x:v>
      </x:c>
      <x:c r="C351" s="83" t="n">
        <x:v>0.14251914145641048</x:v>
      </x:c>
      <x:c r="D351" s="83" t="n">
        <x:v>0.22004920214250254</x:v>
      </x:c>
      <x:c r="E351" s="81" t="n">
        <x:v>-0.042408009537495045</x:v>
      </x:c>
      <x:c r="F351" s="81" t="n">
        <x:v>0.5191017076373101</x:v>
      </x:c>
      <x:c r="G351" s="81" t="n">
        <x:v>0.012906234623623706</x:v>
      </x:c>
      <x:c r="H351" s="59" t="n">
        <x:v>0</x:v>
      </x:c>
      <x:c r="I351" s="81" t="n">
        <x:v>0</x:v>
      </x:c>
      <x:c r="J351" s="79" t="n">
        <x:v>1.5726880406589368e-11</x:v>
      </x:c>
      <x:c r="K351" s="81" t="n">
        <x:v>-0.9999999820264224</x:v>
      </x:c>
      <x:c r="L351" s="81" t="n">
        <x:v>-0.9999999820264224</x:v>
      </x:c>
      <x:c r="M351" s="80" t="n">
        <x:v>0.7864144850642266</x:v>
      </x:c>
      <x:c r="N351" s="82" t="n">
        <x:v>0.2552876588128916</x:v>
      </x:c>
      <x:c r="O351" s="82" t="n">
        <x:v>0.12518526698822838</x:v>
      </x:c>
      <x:c r="P351" s="80" t="n">
        <x:v>209.8481915630511</x:v>
      </x:c>
      <x:c r="Q351" s="81" t="n">
        <x:v>1.2356984717221486</x:v>
      </x:c>
      <x:c r="R351" s="81" t="n">
        <x:v>45.87129593803123</x:v>
      </x:c>
      <x:c r="S351" s="81" t="n">
        <x:v>0.00008126948147184657</x:v>
      </x:c>
      <x:c r="T351" s="81" t="n">
        <x:v>3.4067856483364213e-7</x:v>
      </x:c>
    </x:row>
    <x:row r="352">
      <x:c r="A352" s="59" t="n">
        <x:v>349</x:v>
      </x:c>
      <x:c r="B352" s="193" t="n">
        <x:v>0.728355759754777</x:v>
      </x:c>
      <x:c r="C352" s="83" t="n">
        <x:v>0.66872192578233</x:v>
      </x:c>
      <x:c r="D352" s="83" t="n">
        <x:v>0.31005433599411447</x:v>
      </x:c>
      <x:c r="E352" s="81" t="n">
        <x:v>0.18823775197650114</x:v>
      </x:c>
      <x:c r="F352" s="81" t="n">
        <x:v>0.7131455941242166</x:v>
      </x:c>
      <x:c r="G352" s="81" t="n">
        <x:v>0.009843106707887107</x:v>
      </x:c>
      <x:c r="H352" s="59" t="n">
        <x:v>0</x:v>
      </x:c>
      <x:c r="I352" s="81" t="n">
        <x:v>0</x:v>
      </x:c>
      <x:c r="J352" s="79" t="n">
        <x:v>0.0017278274495699426</x:v>
      </x:c>
      <x:c r="K352" s="81" t="n">
        <x:v>0.9746599423656488</x:v>
      </x:c>
      <x:c r="L352" s="81" t="n">
        <x:v>-0.7706382969299123</x:v>
      </x:c>
      <x:c r="M352" s="80" t="n">
        <x:v>14901.794002399192</x:v>
      </x:c>
      <x:c r="N352" s="82" t="n">
        <x:v>0.27560174864408304</x:v>
      </x:c>
      <x:c r="O352" s="82" t="n">
        <x:v>0.18566545834747</x:v>
      </x:c>
      <x:c r="P352" s="80" t="n">
        <x:v>9449.030897864393</x:v>
      </x:c>
      <x:c r="Q352" s="81" t="n">
        <x:v>0.0025716677552862577</x:v>
      </x:c>
      <x:c r="R352" s="81" t="n">
        <x:v>88.08173152466844</x:v>
      </x:c>
      <x:c r="S352" s="81" t="n">
        <x:v>49.56174349071606</x:v>
      </x:c>
      <x:c r="T352" s="81" t="n">
        <x:v>37.428514783709424</x:v>
      </x:c>
    </x:row>
    <x:row r="353">
      <x:c r="A353" s="59" t="n">
        <x:v>350</x:v>
      </x:c>
      <x:c r="B353" s="193" t="n">
        <x:v>0.36386823542416097</x:v>
      </x:c>
      <x:c r="C353" s="83" t="n">
        <x:v>1.4866295602350157</x:v>
      </x:c>
      <x:c r="D353" s="83" t="n">
        <x:v>1.1830710185577227</x:v>
      </x:c>
      <x:c r="E353" s="81" t="n">
        <x:v>-0.08127677551895582</x:v>
      </x:c>
      <x:c r="F353" s="81" t="n">
        <x:v>0.4506208864273503</x:v>
      </x:c>
      <x:c r="G353" s="81" t="n">
        <x:v>0.004275143857785392</x:v>
      </x:c>
      <x:c r="H353" s="59" t="n">
        <x:v>0</x:v>
      </x:c>
      <x:c r="I353" s="81" t="n">
        <x:v>0</x:v>
      </x:c>
      <x:c r="J353" s="79" t="n">
        <x:v>4.715523556621184e-42</x:v>
      </x:c>
      <x:c r="K353" s="81" t="n">
        <x:v>-1</x:v>
      </x:c>
      <x:c r="L353" s="81" t="n">
        <x:v>-1</x:v>
      </x:c>
      <x:c r="M353" s="80" t="n">
        <x:v>0.000002</x:v>
      </x:c>
      <x:c r="N353" s="82" t="n">
        <x:v>0.18877398620744926</x:v>
      </x:c>
      <x:c r="O353" s="82" t="n">
        <x:v>0.08035712791333083</x:v>
      </x:c>
      <x:c r="P353" s="80" t="n">
        <x:v>541.7473952362686</x:v>
      </x:c>
      <x:c r="Q353" s="81" t="n">
        <x:v>5.699480757447763e+24</x:v>
      </x:c>
      <x:c r="R353" s="81" t="n">
        <x:v>1.5354660215385998</x:v>
      </x:c>
      <x:c r="S353" s="81" t="n">
        <x:v>4.389804527799612e-10</x:v>
      </x:c>
      <x:c r="T353" s="81" t="n">
        <x:v>1.0214853525787877e-37</x:v>
      </x:c>
    </x:row>
    <x:row r="354">
      <x:c r="A354" s="59" t="n">
        <x:v>351</x:v>
      </x:c>
      <x:c r="B354" s="193" t="n">
        <x:v>0.30816000252962117</x:v>
      </x:c>
      <x:c r="C354" s="83" t="n">
        <x:v>0.17847412607577104</x:v>
      </x:c>
      <x:c r="D354" s="83" t="n">
        <x:v>1.0830958996912248</x:v>
      </x:c>
      <x:c r="E354" s="81" t="n">
        <x:v>-0.05073266896620645</x:v>
      </x:c>
      <x:c r="F354" s="81" t="n">
        <x:v>0.5508331463555806</x:v>
      </x:c>
      <x:c r="G354" s="81" t="n">
        <x:v>-0.025463460530016413</x:v>
      </x:c>
      <x:c r="H354" s="59" t="n">
        <x:v>21</x:v>
      </x:c>
      <x:c r="I354" s="81" t="n">
        <x:v>0.24808383975178006</x:v>
      </x:c>
      <x:c r="J354" s="79" t="n">
        <x:v>1.3353999570036912e-27</x:v>
      </x:c>
      <x:c r="K354" s="81" t="n">
        <x:v>-1</x:v>
      </x:c>
      <x:c r="L354" s="81" t="n">
        <x:v>-1</x:v>
      </x:c>
      <x:c r="M354" s="80" t="n">
        <x:v>0.000002</x:v>
      </x:c>
      <x:c r="N354" s="82" t="n">
        <x:v>0.17550324060260286</x:v>
      </x:c>
      <x:c r="O354" s="82" t="n">
        <x:v>0.09132215426517538</x:v>
      </x:c>
      <x:c r="P354" s="80" t="n">
        <x:v>355.6827333258117</x:v>
      </x:c>
      <x:c r="Q354" s="81" t="n">
        <x:v>31331989192.118935</x:v>
      </x:c>
      <x:c r="R354" s="81" t="n">
        <x:v>14.531433393073117</x:v>
      </x:c>
      <x:c r="S354" s="81" t="n">
        <x:v>5.882494295158364e-10</x:v>
      </x:c>
      <x:c r="T354" s="81" t="n">
        <x:v>2.892767853949661e-23</x:v>
      </x:c>
    </x:row>
    <x:row r="355">
      <x:c r="A355" s="59" t="n">
        <x:v>352</x:v>
      </x:c>
      <x:c r="B355" s="193" t="n">
        <x:v>0.8415540276095272</x:v>
      </x:c>
      <x:c r="C355" s="83" t="n">
        <x:v>0.27045815790251404</x:v>
      </x:c>
      <x:c r="D355" s="83" t="n">
        <x:v>0.31637559182986025</x:v>
      </x:c>
      <x:c r="E355" s="81" t="n">
        <x:v>0.0797814941887324</x:v>
      </x:c>
      <x:c r="F355" s="81" t="n">
        <x:v>0.48831186654279013</x:v>
      </x:c>
      <x:c r="G355" s="81" t="n">
        <x:v>-0.020534833430736348</x:v>
      </x:c>
      <x:c r="H355" s="59" t="n">
        <x:v>0</x:v>
      </x:c>
      <x:c r="I355" s="81" t="n">
        <x:v>0</x:v>
      </x:c>
      <x:c r="J355" s="79" t="n">
        <x:v>0.00014262138283139273</x:v>
      </x:c>
      <x:c r="K355" s="81" t="n">
        <x:v>-0.8370041339069797</x:v>
      </x:c>
      <x:c r="L355" s="81" t="n">
        <x:v>-0.8743677751088812</x:v>
      </x:c>
      <x:c r="M355" s="80" t="n">
        <x:v>2822.18394262482</x:v>
      </x:c>
      <x:c r="N355" s="82" t="n">
        <x:v>0.3025676985146074</x:v>
      </x:c>
      <x:c r="O355" s="82" t="n">
        <x:v>0.13956958331788508</x:v>
      </x:c>
      <x:c r="P355" s="80" t="n">
        <x:v>2141.947508640926</x:v>
      </x:c>
      <x:c r="Q355" s="81" t="n">
        <x:v>0.0038097232291046577</x:v>
      </x:c>
      <x:c r="R355" s="81" t="n">
        <x:v>78.65076903515696</x:v>
      </x:c>
      <x:c r="S355" s="81" t="n">
        <x:v>10.048677118014922</x:v>
      </x:c>
      <x:c r="T355" s="81" t="n">
        <x:v>3.089490525866181</x:v>
      </x:c>
    </x:row>
    <x:row r="356">
      <x:c r="A356" s="59" t="n">
        <x:v>353</x:v>
      </x:c>
      <x:c r="B356" s="193" t="n">
        <x:v>0.8047102181240917</x:v>
      </x:c>
      <x:c r="C356" s="83" t="n">
        <x:v>0.4545290087017857</x:v>
      </x:c>
      <x:c r="D356" s="83" t="n">
        <x:v>0.6291761332544092</x:v>
      </x:c>
      <x:c r="E356" s="81" t="n">
        <x:v>-0.08723411863437287</x:v>
      </x:c>
      <x:c r="F356" s="81" t="n">
        <x:v>0.5570922051905655</x:v>
      </x:c>
      <x:c r="G356" s="81" t="n">
        <x:v>0.06687248476445867</x:v>
      </x:c>
      <x:c r="H356" s="59" t="n">
        <x:v>0</x:v>
      </x:c>
      <x:c r="I356" s="81" t="n">
        <x:v>0</x:v>
      </x:c>
      <x:c r="J356" s="79" t="n">
        <x:v>8.3178364550318e-38</x:v>
      </x:c>
      <x:c r="K356" s="81" t="n">
        <x:v>-1</x:v>
      </x:c>
      <x:c r="L356" s="81" t="n">
        <x:v>-1</x:v>
      </x:c>
      <x:c r="M356" s="80" t="n">
        <x:v>0.000002</x:v>
      </x:c>
      <x:c r="N356" s="82" t="n">
        <x:v>0.2937908122737484</x:v>
      </x:c>
      <x:c r="O356" s="82" t="n">
        <x:v>0.15460952065012853</x:v>
      </x:c>
      <x:c r="P356" s="80" t="n">
        <x:v>251.76702272714041</x:v>
      </x:c>
      <x:c r="Q356" s="81" t="n">
        <x:v>302706062580621000000</x:v>
      </x:c>
      <x:c r="R356" s="81" t="n">
        <x:v>5.542186708700774</x:v>
      </x:c>
      <x:c r="S356" s="81" t="n">
        <x:v>8.328936539786563e-10</x:v>
      </x:c>
      <x:c r="T356" s="81" t="n">
        <x:v>1.801824972760583e-33</x:v>
      </x:c>
    </x:row>
    <x:row r="357">
      <x:c r="A357" s="59" t="n">
        <x:v>354</x:v>
      </x:c>
      <x:c r="B357" s="193" t="n">
        <x:v>0.31481717564165596</x:v>
      </x:c>
      <x:c r="C357" s="83" t="n">
        <x:v>0.19566016383220594</x:v>
      </x:c>
      <x:c r="D357" s="83" t="n">
        <x:v>0.4743291644856308</x:v>
      </x:c>
      <x:c r="E357" s="81" t="n">
        <x:v>-0.057861285782048154</x:v>
      </x:c>
      <x:c r="F357" s="81" t="n">
        <x:v>0.881230492494069</x:v>
      </x:c>
      <x:c r="G357" s="81" t="n">
        <x:v>0.0031575287623899157</x:v>
      </x:c>
      <x:c r="H357" s="59" t="n">
        <x:v>18</x:v>
      </x:c>
      <x:c r="I357" s="81" t="n">
        <x:v>0.27104067951440813</x:v>
      </x:c>
      <x:c r="J357" s="79" t="n">
        <x:v>1.1402584512496002e-21</x:v>
      </x:c>
      <x:c r="K357" s="81" t="n">
        <x:v>-1</x:v>
      </x:c>
      <x:c r="L357" s="81" t="n">
        <x:v>-1</x:v>
      </x:c>
      <x:c r="M357" s="80" t="n">
        <x:v>0.000007248038413529817</x:v>
      </x:c>
      <x:c r="N357" s="82" t="n">
        <x:v>0.1770891040598859</x:v>
      </x:c>
      <x:c r="O357" s="82" t="n">
        <x:v>0.14741860555601297</x:v>
      </x:c>
      <x:c r="P357" s="80" t="n">
        <x:v>243.23116104205602</x:v>
      </x:c>
      <x:c r="Q357" s="81" t="n">
        <x:v>117387.70632230179</x:v>
      </x:c>
      <x:c r="R357" s="81" t="n">
        <x:v>19.79741346154398</x:v>
      </x:c>
      <x:c r="S357" s="81" t="n">
        <x:v>1.3825481501606835e-9</x:v>
      </x:c>
      <x:c r="T357" s="81" t="n">
        <x:v>2.470048748818518e-17</x:v>
      </x:c>
    </x:row>
    <x:row r="358">
      <x:c r="A358" s="59" t="n">
        <x:v>355</x:v>
      </x:c>
      <x:c r="B358" s="193" t="n">
        <x:v>0.37683652210980656</x:v>
      </x:c>
      <x:c r="C358" s="83" t="n">
        <x:v>0.3732022403597798</x:v>
      </x:c>
      <x:c r="D358" s="83" t="n">
        <x:v>0.5150876212627759</x:v>
      </x:c>
      <x:c r="E358" s="81" t="n">
        <x:v>-0.06534753375811858</x:v>
      </x:c>
      <x:c r="F358" s="81" t="n">
        <x:v>0.7497324829455465</x:v>
      </x:c>
      <x:c r="G358" s="81" t="n">
        <x:v>-0.003795612428578641</x:v>
      </x:c>
      <x:c r="H358" s="59" t="n">
        <x:v>0</x:v>
      </x:c>
      <x:c r="I358" s="81" t="n">
        <x:v>0</x:v>
      </x:c>
      <x:c r="J358" s="79" t="n">
        <x:v>1.3202397946509226e-23</x:v>
      </x:c>
      <x:c r="K358" s="81" t="n">
        <x:v>-1</x:v>
      </x:c>
      <x:c r="L358" s="81" t="n">
        <x:v>-1</x:v>
      </x:c>
      <x:c r="M358" s="80" t="n">
        <x:v>0.000002</x:v>
      </x:c>
      <x:c r="N358" s="82" t="n">
        <x:v>0.19186327525134547</x:v>
      </x:c>
      <x:c r="O358" s="82" t="n">
        <x:v>0.13588425050809505</x:v>
      </x:c>
      <x:c r="P358" s="80" t="n">
        <x:v>282.24238287423293</x:v>
      </x:c>
      <x:c r="Q358" s="81" t="n">
        <x:v>2494618.1873987075</x:v>
      </x:c>
      <x:c r="R358" s="81" t="n">
        <x:v>9.955818990885172</x:v>
      </x:c>
      <x:c r="S358" s="81" t="n">
        <x:v>3.137305857106453e-10</x:v>
      </x:c>
      <x:c r="T358" s="81" t="n">
        <x:v>2.8599276324978455e-19</x:v>
      </x:c>
    </x:row>
    <x:row r="359">
      <x:c r="A359" s="59" t="n">
        <x:v>356</x:v>
      </x:c>
      <x:c r="B359" s="193" t="n">
        <x:v>0.7392405644059181</x:v>
      </x:c>
      <x:c r="C359" s="83" t="n">
        <x:v>0.24581441147001154</x:v>
      </x:c>
      <x:c r="D359" s="83" t="n">
        <x:v>0.7614471676003534</x:v>
      </x:c>
      <x:c r="E359" s="81" t="n">
        <x:v>0.05666245737648571</x:v>
      </x:c>
      <x:c r="F359" s="81" t="n">
        <x:v>0.3724789245170541</x:v>
      </x:c>
      <x:c r="G359" s="81" t="n">
        <x:v>0.009428955208481754</x:v>
      </x:c>
      <x:c r="H359" s="59" t="n">
        <x:v>7</x:v>
      </x:c>
      <x:c r="I359" s="81" t="n">
        <x:v>0.3209628202021122</x:v>
      </x:c>
      <x:c r="J359" s="79" t="n">
        <x:v>0.0017661445193268498</x:v>
      </x:c>
      <x:c r="K359" s="81" t="n">
        <x:v>1.0184508792306857</x:v>
      </x:c>
      <x:c r="L359" s="81" t="n">
        <x:v>-0.7064406776728615</x:v>
      </x:c>
      <x:c r="M359" s="80" t="n">
        <x:v>10609.239827871268</x:v>
      </x:c>
      <x:c r="N359" s="82" t="n">
        <x:v>0.27819471320207223</x:v>
      </x:c>
      <x:c r="O359" s="82" t="n">
        <x:v>0.09788621119602338</x:v>
      </x:c>
      <x:c r="P359" s="80" t="n">
        <x:v>15160.138040234897</x:v>
      </x:c>
      <x:c r="Q359" s="81" t="n">
        <x:v>0.004105377670363117</x:v>
      </x:c>
      <x:c r="R359" s="81" t="n">
        <x:v>123.64329547531857</x:v>
      </x:c>
      <x:c r="S359" s="81" t="n">
        <x:v>136.7452249641904</x:v>
      </x:c>
      <x:c r="T359" s="81" t="n">
        <x:v>38.25854616920559</x:v>
      </x:c>
    </x:row>
    <x:row r="360">
      <x:c r="A360" s="59" t="n">
        <x:v>357</x:v>
      </x:c>
      <x:c r="B360" s="193" t="n">
        <x:v>0.626176386512816</x:v>
      </x:c>
      <x:c r="C360" s="83" t="n">
        <x:v>1.1986831068300012</x:v>
      </x:c>
      <x:c r="D360" s="83" t="n">
        <x:v>0.6660860710427415</x:v>
      </x:c>
      <x:c r="E360" s="81" t="n">
        <x:v>0.038427025836537496</x:v>
      </x:c>
      <x:c r="F360" s="81" t="n">
        <x:v>0.34995654873782767</x:v>
      </x:c>
      <x:c r="G360" s="81" t="n">
        <x:v>-0.0008470525517741264</x:v>
      </x:c>
      <x:c r="H360" s="59" t="n">
        <x:v>0</x:v>
      </x:c>
      <x:c r="I360" s="81" t="n">
        <x:v>0</x:v>
      </x:c>
      <x:c r="J360" s="79" t="n">
        <x:v>0.001951277182845578</x:v>
      </x:c>
      <x:c r="K360" s="81" t="n">
        <x:v>1.2300310661092322</x:v>
      </x:c>
      <x:c r="L360" s="81" t="n">
        <x:v>-0.5509608683166813</x:v>
      </x:c>
      <x:c r="M360" s="80" t="n">
        <x:v>18226.219992796</x:v>
      </x:c>
      <x:c r="N360" s="82" t="n">
        <x:v>0.2512607060745997</x:v>
      </x:c>
      <x:c r="O360" s="82" t="n">
        <x:v>0.08306338826679092</x:v>
      </x:c>
      <x:c r="P360" s="80" t="n">
        <x:v>24186.467337961712</x:v>
      </x:c>
      <x:c r="Q360" s="81" t="n">
        <x:v>0.004839853585390723</x:v>
      </x:c>
      <x:c r="R360" s="81" t="n">
        <x:v>42.64743004277182</x:v>
      </x:c>
      <x:c r="S360" s="81" t="n">
        <x:v>32.70236754591177</x:v>
      </x:c>
      <x:c r="T360" s="81" t="n">
        <x:v>42.26892384620273</x:v>
      </x:c>
    </x:row>
    <x:row r="361">
      <x:c r="A361" s="59" t="n">
        <x:v>358</x:v>
      </x:c>
      <x:c r="B361" s="193" t="n">
        <x:v>0.6372042819857597</x:v>
      </x:c>
      <x:c r="C361" s="83" t="n">
        <x:v>1.5394625801650887</x:v>
      </x:c>
      <x:c r="D361" s="83" t="n">
        <x:v>1.0531913455245256</x:v>
      </x:c>
      <x:c r="E361" s="81" t="n">
        <x:v>-0.03232073807148964</x:v>
      </x:c>
      <x:c r="F361" s="81" t="n">
        <x:v>0.656445337459445</x:v>
      </x:c>
      <x:c r="G361" s="81" t="n">
        <x:v>0.032621047433823734</x:v>
      </x:c>
      <x:c r="H361" s="59" t="n">
        <x:v>38</x:v>
      </x:c>
      <x:c r="I361" s="81" t="n">
        <x:v>0.3454437356442213</x:v>
      </x:c>
      <x:c r="J361" s="79" t="n">
        <x:v>2.2365651983518597e-26</x:v>
      </x:c>
      <x:c r="K361" s="81" t="n">
        <x:v>-1</x:v>
      </x:c>
      <x:c r="L361" s="81" t="n">
        <x:v>-1</x:v>
      </x:c>
      <x:c r="M361" s="80" t="n">
        <x:v>0.000002</x:v>
      </x:c>
      <x:c r="N361" s="82" t="n">
        <x:v>0.25388775754929505</x:v>
      </x:c>
      <x:c r="O361" s="82" t="n">
        <x:v>0.15743861826288133</x:v>
      </x:c>
      <x:c r="P361" s="80" t="n">
        <x:v>1119.4358852683913</x:v>
      </x:c>
      <x:c r="Q361" s="81" t="n">
        <x:v>2885005333.5934706</x:v>
      </x:c>
      <x:c r="R361" s="81" t="n">
        <x:v>3.426193468355976</x:v>
      </x:c>
      <x:c r="S361" s="81" t="n">
        <x:v>5.368892885583826e-10</x:v>
      </x:c>
      <x:c r="T361" s="81" t="n">
        <x:v>4.844888510833555e-22</x:v>
      </x:c>
    </x:row>
    <x:row r="362">
      <x:c r="A362" s="59" t="n">
        <x:v>359</x:v>
      </x:c>
      <x:c r="B362" s="193" t="n">
        <x:v>0.22930876426398755</x:v>
      </x:c>
      <x:c r="C362" s="83" t="n">
        <x:v>0.30295000302033004</x:v>
      </x:c>
      <x:c r="D362" s="83" t="n">
        <x:v>0.48506796667003066</x:v>
      </x:c>
      <x:c r="E362" s="81" t="n">
        <x:v>0.06527159485137679</x:v>
      </x:c>
      <x:c r="F362" s="81" t="n">
        <x:v>0.5295407900004647</x:v>
      </x:c>
      <x:c r="G362" s="81" t="n">
        <x:v>-0.037457157835487136</x:v>
      </x:c>
      <x:c r="H362" s="59" t="n">
        <x:v>0</x:v>
      </x:c>
      <x:c r="I362" s="81" t="n">
        <x:v>0</x:v>
      </x:c>
      <x:c r="J362" s="79" t="n">
        <x:v>0.000512577229650455</x:v>
      </x:c>
      <x:c r="K362" s="81" t="n">
        <x:v>-0.41419745182805146</x:v>
      </x:c>
      <x:c r="L362" s="81" t="n">
        <x:v>-0.7923938372034272</x:v>
      </x:c>
      <x:c r="M362" s="80" t="n">
        <x:v>5542.560548771225</x:v>
      </x:c>
      <x:c r="N362" s="82" t="n">
        <x:v>0.15671939718701167</x:v>
      </x:c>
      <x:c r="O362" s="82" t="n">
        <x:v>0.07839585723437673</x:v>
      </x:c>
      <x:c r="P362" s="80" t="n">
        <x:v>5825.443338931775</x:v>
      </x:c>
      <x:c r="Q362" s="81" t="n">
        <x:v>0.0026495888511114066</x:v>
      </x:c>
      <x:c r="R362" s="81" t="n">
        <x:v>148.2039510728211</x:v>
      </x:c>
      <x:c r="S362" s="81" t="n">
        <x:v>32.01967559342991</x:v>
      </x:c>
      <x:c r="T362" s="81" t="n">
        <x:v>11.10354186266692</x:v>
      </x:c>
    </x:row>
    <x:row r="363">
      <x:c r="A363" s="59" t="n">
        <x:v>360</x:v>
      </x:c>
      <x:c r="B363" s="193" t="n">
        <x:v>0.5031977035105228</x:v>
      </x:c>
      <x:c r="C363" s="83" t="n">
        <x:v>2.239268194635933</x:v>
      </x:c>
      <x:c r="D363" s="83" t="n">
        <x:v>0.4481352784457988</x:v>
      </x:c>
      <x:c r="E363" s="81" t="n">
        <x:v>-0.16489542073799268</x:v>
      </x:c>
      <x:c r="F363" s="81" t="n">
        <x:v>0.8126453803735786</x:v>
      </x:c>
      <x:c r="G363" s="81" t="n">
        <x:v>-0.005373619678621033</x:v>
      </x:c>
      <x:c r="H363" s="59" t="n">
        <x:v>0</x:v>
      </x:c>
      <x:c r="I363" s="81" t="n">
        <x:v>0</x:v>
      </x:c>
      <x:c r="J363" s="79" t="n">
        <x:v>7.439764225953033e-35</x:v>
      </x:c>
      <x:c r="K363" s="81" t="n">
        <x:v>-1</x:v>
      </x:c>
      <x:c r="L363" s="81" t="n">
        <x:v>-1</x:v>
      </x:c>
      <x:c r="M363" s="80" t="n">
        <x:v>0.000002</x:v>
      </x:c>
      <x:c r="N363" s="82" t="n">
        <x:v>0.22196487793314745</x:v>
      </x:c>
      <x:c r="O363" s="82" t="n">
        <x:v>0.1703947748822388</x:v>
      </x:c>
      <x:c r="P363" s="80" t="n">
        <x:v>328.8944266208464</x:v>
      </x:c>
      <x:c r="Q363" s="81" t="n">
        <x:v>191828871292377820</x:v>
      </x:c>
      <x:c r="R363" s="81" t="n">
        <x:v>1.101250644928521</x:v>
      </x:c>
      <x:c r="S363" s="81" t="n">
        <x:v>1.1350003994480135e-10</x:v>
      </x:c>
      <x:c r="T363" s="81" t="n">
        <x:v>1.611615357700819e-30</x:v>
      </x:c>
    </x:row>
    <x:row r="364">
      <x:c r="A364" s="59" t="n">
        <x:v>361</x:v>
      </x:c>
      <x:c r="B364" s="193" t="n">
        <x:v>0.9966573478654028</x:v>
      </x:c>
      <x:c r="C364" s="83" t="n">
        <x:v>0.754427576516136</x:v>
      </x:c>
      <x:c r="D364" s="83" t="n">
        <x:v>0.9612703824631633</x:v>
      </x:c>
      <x:c r="E364" s="81" t="n">
        <x:v>0.03910678425924899</x:v>
      </x:c>
      <x:c r="F364" s="81" t="n">
        <x:v>0.5219749572803267</x:v>
      </x:c>
      <x:c r="G364" s="81" t="n">
        <x:v>-0.013242049174633326</x:v>
      </x:c>
      <x:c r="H364" s="59" t="n">
        <x:v>0</x:v>
      </x:c>
      <x:c r="I364" s="81" t="n">
        <x:v>0</x:v>
      </x:c>
      <x:c r="J364" s="79" t="n">
        <x:v>0.0005207760769945237</x:v>
      </x:c>
      <x:c r="K364" s="81" t="n">
        <x:v>-0.4048273405776871</x:v>
      </x:c>
      <x:c r="L364" s="81" t="n">
        <x:v>-0.787840209642304</x:v>
      </x:c>
      <x:c r="M364" s="80" t="n">
        <x:v>7802.122422008901</x:v>
      </x:c>
      <x:c r="N364" s="82" t="n">
        <x:v>0.33951621758681166</x:v>
      </x:c>
      <x:c r="O364" s="82" t="n">
        <x:v>0.16740989854768368</x:v>
      </x:c>
      <x:c r="P364" s="80" t="n">
        <x:v>15205.010515036101</x:v>
      </x:c>
      <x:c r="Q364" s="81" t="n">
        <x:v>0.009437948901603807</x:v>
      </x:c>
      <x:c r="R364" s="81" t="n">
        <x:v>51.490230771998434</x:v>
      </x:c>
      <x:c r="S364" s="81" t="n">
        <x:v>14.465847819441745</x:v>
      </x:c>
      <x:c r="T364" s="81" t="n">
        <x:v>11.281146796020211</x:v>
      </x:c>
    </x:row>
    <x:row r="365">
      <x:c r="A365" s="59" t="n">
        <x:v>362</x:v>
      </x:c>
      <x:c r="B365" s="193" t="n">
        <x:v>0.9474388228729367</x:v>
      </x:c>
      <x:c r="C365" s="83" t="n">
        <x:v>0.2724149147957673</x:v>
      </x:c>
      <x:c r="D365" s="83" t="n">
        <x:v>1.0405866737560858</x:v>
      </x:c>
      <x:c r="E365" s="81" t="n">
        <x:v>0.021061539718645172</x:v>
      </x:c>
      <x:c r="F365" s="81" t="n">
        <x:v>0.7847192787216045</x:v>
      </x:c>
      <x:c r="G365" s="81" t="n">
        <x:v>0.011681206155351013</x:v>
      </x:c>
      <x:c r="H365" s="59" t="n">
        <x:v>0</x:v>
      </x:c>
      <x:c r="I365" s="81" t="n">
        <x:v>0</x:v>
      </x:c>
      <x:c r="J365" s="79" t="n">
        <x:v>0.00007417462113193286</x:v>
      </x:c>
      <x:c r="K365" s="81" t="n">
        <x:v>-0.9152290044206481</x:v>
      </x:c>
      <x:c r="L365" s="81" t="n">
        <x:v>-0.9499573335854168</x:v>
      </x:c>
      <x:c r="M365" s="80" t="n">
        <x:v>2050.50040757005</x:v>
      </x:c>
      <x:c r="N365" s="82" t="n">
        <x:v>0.32779144208626254</x:v>
      </x:c>
      <x:c r="O365" s="82" t="n">
        <x:v>0.24298690823268207</x:v>
      </x:c>
      <x:c r="P365" s="80" t="n">
        <x:v>5024.103471882037</x:v>
      </x:c>
      <x:c r="Q365" s="81" t="n">
        <x:v>0.023903601118286943</x:v>
      </x:c>
      <x:c r="R365" s="81" t="n">
        <x:v>45.027189998258024</x:v>
      </x:c>
      <x:c r="S365" s="81" t="n">
        <x:v>5.91691041046175</x:v>
      </x:c>
      <x:c r="T365" s="81" t="n">
        <x:v>1.6067842331730544</x:v>
      </x:c>
    </x:row>
    <x:row r="366">
      <x:c r="A366" s="59" t="n">
        <x:v>363</x:v>
      </x:c>
      <x:c r="B366" s="193" t="n">
        <x:v>0.4760544542223215</x:v>
      </x:c>
      <x:c r="C366" s="83" t="n">
        <x:v>1.6783076038999534</x:v>
      </x:c>
      <x:c r="D366" s="83" t="n">
        <x:v>0.5853622816324988</x:v>
      </x:c>
      <x:c r="E366" s="81" t="n">
        <x:v>-0.05049529420268682</x:v>
      </x:c>
      <x:c r="F366" s="81" t="n">
        <x:v>0.29338733927579597</x:v>
      </x:c>
      <x:c r="G366" s="81" t="n">
        <x:v>-0.03359749983290962</x:v>
      </x:c>
      <x:c r="H366" s="59" t="n">
        <x:v>0</x:v>
      </x:c>
      <x:c r="I366" s="81" t="n">
        <x:v>0</x:v>
      </x:c>
      <x:c r="J366" s="79" t="n">
        <x:v>8.531251986338314e-19</x:v>
      </x:c>
      <x:c r="K366" s="81" t="n">
        <x:v>-0.999999999999999</x:v>
      </x:c>
      <x:c r="L366" s="81" t="n">
        <x:v>-0.999999999999999</x:v>
      </x:c>
      <x:c r="M366" s="80" t="n">
        <x:v>0.0004399281398585461</x:v>
      </x:c>
      <x:c r="N366" s="82" t="n">
        <x:v>0.21549884701677363</x:v>
      </x:c>
      <x:c r="O366" s="82" t="n">
        <x:v>0.05972515166734272</x:v>
      </x:c>
      <x:c r="P366" s="80" t="n">
        <x:v>800.1879713527316</x:v>
      </x:c>
      <x:c r="Q366" s="81" t="n">
        <x:v>10836.196676807487</x:v>
      </x:c>
      <x:c r="R366" s="81" t="n">
        <x:v>3.487945155126941</x:v>
      </x:c>
      <x:c r="S366" s="81" t="n">
        <x:v>2.886011322759764e-8</x:v>
      </x:c>
      <x:c r="T366" s="81" t="n">
        <x:v>1.8480554361703824e-14</x:v>
      </x:c>
    </x:row>
    <x:row r="367">
      <x:c r="A367" s="59" t="n">
        <x:v>364</x:v>
      </x:c>
      <x:c r="B367" s="193" t="n">
        <x:v>0.578306076489389</x:v>
      </x:c>
      <x:c r="C367" s="83" t="n">
        <x:v>0.501905284560159</x:v>
      </x:c>
      <x:c r="D367" s="83" t="n">
        <x:v>0.6097076120951243</x:v>
      </x:c>
      <x:c r="E367" s="81" t="n">
        <x:v>-0.07056942504135687</x:v>
      </x:c>
      <x:c r="F367" s="81" t="n">
        <x:v>0.8974065062822775</x:v>
      </x:c>
      <x:c r="G367" s="81" t="n">
        <x:v>0.017305682662241906</x:v>
      </x:c>
      <x:c r="H367" s="59" t="n">
        <x:v>0</x:v>
      </x:c>
      <x:c r="I367" s="81" t="n">
        <x:v>0</x:v>
      </x:c>
      <x:c r="J367" s="79" t="n">
        <x:v>5.219423715962041e-28</x:v>
      </x:c>
      <x:c r="K367" s="81" t="n">
        <x:v>-1</x:v>
      </x:c>
      <x:c r="L367" s="81" t="n">
        <x:v>-1</x:v>
      </x:c>
      <x:c r="M367" s="80" t="n">
        <x:v>0.000002</x:v>
      </x:c>
      <x:c r="N367" s="82" t="n">
        <x:v>0.23985710065870658</x:v>
      </x:c>
      <x:c r="O367" s="82" t="n">
        <x:v>0.2033352787559864</x:v>
      </x:c>
      <x:c r="P367" s="80" t="n">
        <x:v>292.32301761854364</x:v>
      </x:c>
      <x:c r="Q367" s="81" t="n">
        <x:v>58717898434.283806</x:v>
      </x:c>
      <x:c r="R367" s="81" t="n">
        <x:v>5.901068739170215</x:v>
      </x:c>
      <x:c r="S367" s="81" t="n">
        <x:v>4.381700965827552e-10</x:v>
      </x:c>
      <x:c r="T367" s="81" t="n">
        <x:v>1.1306411283369347e-23</x:v>
      </x:c>
    </x:row>
    <x:row r="368">
      <x:c r="A368" s="59" t="n">
        <x:v>365</x:v>
      </x:c>
      <x:c r="B368" s="193" t="n">
        <x:v>0.8845368571579457</x:v>
      </x:c>
      <x:c r="C368" s="83" t="n">
        <x:v>0.16436821356390108</x:v>
      </x:c>
      <x:c r="D368" s="83" t="n">
        <x:v>0.768689665603546</x:v>
      </x:c>
      <x:c r="E368" s="81" t="n">
        <x:v>-0.026562181936018663</x:v>
      </x:c>
      <x:c r="F368" s="81" t="n">
        <x:v>0.8070425273384899</x:v>
      </x:c>
      <x:c r="G368" s="81" t="n">
        <x:v>0.012203587343766855</x:v>
      </x:c>
      <x:c r="H368" s="59" t="n">
        <x:v>0</x:v>
      </x:c>
      <x:c r="I368" s="81" t="n">
        <x:v>0</x:v>
      </x:c>
      <x:c r="J368" s="79" t="n">
        <x:v>1.642912224214255e-18</x:v>
      </x:c>
      <x:c r="K368" s="81" t="n">
        <x:v>-0.9999999999999981</x:v>
      </x:c>
      <x:c r="L368" s="81" t="n">
        <x:v>-0.9999999999999981</x:v>
      </x:c>
      <x:c r="M368" s="80" t="n">
        <x:v>0.00026515451420155284</x:v>
      </x:c>
      <x:c r="N368" s="82" t="n">
        <x:v>0.31280701444109427</x:v>
      </x:c>
      <x:c r="O368" s="82" t="n">
        <x:v>0.23847554261970533</x:v>
      </x:c>
      <x:c r="P368" s="80" t="n">
        <x:v>405.99673052498304</x:v>
      </x:c>
      <x:c r="Q368" s="81" t="n">
        <x:v>6300.42365816213</x:v>
      </x:c>
      <x:c r="R368" s="81" t="n">
        <x:v>23.462559787927358</x:v>
      </x:c>
      <x:c r="S368" s="81" t="n">
        <x:v>9.302815824066323e-8</x:v>
      </x:c>
      <x:c r="T368" s="81" t="n">
        <x:v>3.558906561395673e-14</x:v>
      </x:c>
    </x:row>
    <x:row r="369">
      <x:c r="A369" s="59" t="n">
        <x:v>366</x:v>
      </x:c>
      <x:c r="B369" s="193" t="n">
        <x:v>0.5063229190185666</x:v>
      </x:c>
      <x:c r="C369" s="83" t="n">
        <x:v>1.0934608692808523</x:v>
      </x:c>
      <x:c r="D369" s="83" t="n">
        <x:v>2.361050544175283</x:v>
      </x:c>
      <x:c r="E369" s="81" t="n">
        <x:v>-0.017274354186778078</x:v>
      </x:c>
      <x:c r="F369" s="81" t="n">
        <x:v>0.3592367942561395</x:v>
      </x:c>
      <x:c r="G369" s="81" t="n">
        <x:v>-0.014866774785738624</x:v>
      </x:c>
      <x:c r="H369" s="59" t="n">
        <x:v>24</x:v>
      </x:c>
      <x:c r="I369" s="81" t="n">
        <x:v>0.41515919296070936</x:v>
      </x:c>
      <x:c r="J369" s="79" t="n">
        <x:v>5.854732075259183e-25</x:v>
      </x:c>
      <x:c r="K369" s="81" t="n">
        <x:v>-1</x:v>
      </x:c>
      <x:c r="L369" s="81" t="n">
        <x:v>-1</x:v>
      </x:c>
      <x:c r="M369" s="80" t="n">
        <x:v>0.000002</x:v>
      </x:c>
      <x:c r="N369" s="82" t="n">
        <x:v>0.2227093628649541</x:v>
      </x:c>
      <x:c r="O369" s="82" t="n">
        <x:v>0.07557710106311295</x:v>
      </x:c>
      <x:c r="P369" s="80" t="n">
        <x:v>1843.6071151684635</x:v>
      </x:c>
      <x:c r="Q369" s="81" t="n">
        <x:v>203200162.71278006</x:v>
      </x:c>
      <x:c r="R369" s="81" t="n">
        <x:v>5.154762723747381</x:v>
      </x:c>
      <x:c r="S369" s="81" t="n">
        <x:v>8.233793482905558e-10</x:v>
      </x:c>
      <x:c r="T369" s="81" t="n">
        <x:v>1.2682627891346365e-20</x:v>
      </x:c>
    </x:row>
    <x:row r="370">
      <x:c r="A370" s="59" t="n">
        <x:v>367</x:v>
      </x:c>
      <x:c r="B370" s="193" t="n">
        <x:v>0.25185685437172656</x:v>
      </x:c>
      <x:c r="C370" s="83" t="n">
        <x:v>0.2940756691267722</x:v>
      </x:c>
      <x:c r="D370" s="83" t="n">
        <x:v>0.984525807532437</x:v>
      </x:c>
      <x:c r="E370" s="81" t="n">
        <x:v>-0.06215235807570084</x:v>
      </x:c>
      <x:c r="F370" s="81" t="n">
        <x:v>0.5606626734486782</x:v>
      </x:c>
      <x:c r="G370" s="81" t="n">
        <x:v>0.058243199206999344</x:v>
      </x:c>
      <x:c r="H370" s="59" t="n">
        <x:v>0</x:v>
      </x:c>
      <x:c r="I370" s="81" t="n">
        <x:v>0</x:v>
      </x:c>
      <x:c r="J370" s="79" t="n">
        <x:v>6.054708368643589e-39</x:v>
      </x:c>
      <x:c r="K370" s="81" t="n">
        <x:v>-1</x:v>
      </x:c>
      <x:c r="L370" s="81" t="n">
        <x:v>-1</x:v>
      </x:c>
      <x:c r="M370" s="80" t="n">
        <x:v>0.000002</x:v>
      </x:c>
      <x:c r="N370" s="82" t="n">
        <x:v>0.16209077502736474</x:v>
      </x:c>
      <x:c r="O370" s="82" t="n">
        <x:v>0.08584813883994422</x:v>
      </x:c>
      <x:c r="P370" s="80" t="n">
        <x:v>332.1498335590542</x:v>
      </x:c>
      <x:c r="Q370" s="81" t="n">
        <x:v>5.702046812138726e+21</x:v>
      </x:c>
      <x:c r="R370" s="81" t="n">
        <x:v>8.245175441644218</x:v>
      </x:c>
      <x:c r="S370" s="81" t="n">
        <x:v>1.327073430602174e-9</x:v>
      </x:c>
      <x:c r="T370" s="81" t="n">
        <x:v>1.311582020202488e-34</x:v>
      </x:c>
    </x:row>
    <x:row r="371">
      <x:c r="A371" s="59" t="n">
        <x:v>368</x:v>
      </x:c>
      <x:c r="B371" s="193" t="n">
        <x:v>0.5541222197934985</x:v>
      </x:c>
      <x:c r="C371" s="83" t="n">
        <x:v>0.5008306412509271</x:v>
      </x:c>
      <x:c r="D371" s="83" t="n">
        <x:v>0.8142687296888177</x:v>
      </x:c>
      <x:c r="E371" s="81" t="n">
        <x:v>-0.10762772330837797</x:v>
      </x:c>
      <x:c r="F371" s="81" t="n">
        <x:v>0.7514948909287341</x:v>
      </x:c>
      <x:c r="G371" s="81" t="n">
        <x:v>0.01407421661804556</x:v>
      </x:c>
      <x:c r="H371" s="59" t="n">
        <x:v>0</x:v>
      </x:c>
      <x:c r="I371" s="81" t="n">
        <x:v>0</x:v>
      </x:c>
      <x:c r="J371" s="79" t="n">
        <x:v>4.700368277132288e-41</x:v>
      </x:c>
      <x:c r="K371" s="81" t="n">
        <x:v>-1</x:v>
      </x:c>
      <x:c r="L371" s="81" t="n">
        <x:v>-1</x:v>
      </x:c>
      <x:c r="M371" s="80" t="n">
        <x:v>0.000002</x:v>
      </x:c>
      <x:c r="N371" s="82" t="n">
        <x:v>0.23409605254643254</x:v>
      </x:c>
      <x:c r="O371" s="82" t="n">
        <x:v>0.16618471042030392</x:v>
      </x:c>
      <x:c r="P371" s="80" t="n">
        <x:v>232.52907606166522</x:v>
      </x:c>
      <x:c r="Q371" s="81" t="n">
        <x:v>4.423159275072881e+23</x:v>
      </x:c>
      <x:c r="R371" s="81" t="n">
        <x:v>3.404208034623673</x:v>
      </x:c>
      <x:c r="S371" s="81" t="n">
        <x:v>5.633634755344792e-10</x:v>
      </x:c>
      <x:c r="T371" s="81" t="n">
        <x:v>1.0182023881685249e-36</x:v>
      </x:c>
    </x:row>
    <x:row r="372">
      <x:c r="A372" s="59" t="n">
        <x:v>369</x:v>
      </x:c>
      <x:c r="B372" s="193" t="n">
        <x:v>0.9287424001842737</x:v>
      </x:c>
      <x:c r="C372" s="83" t="n">
        <x:v>1.8890164614319893</x:v>
      </x:c>
      <x:c r="D372" s="83" t="n">
        <x:v>0.726323335417304</x:v>
      </x:c>
      <x:c r="E372" s="81" t="n">
        <x:v>-0.04035775445850665</x:v>
      </x:c>
      <x:c r="F372" s="81" t="n">
        <x:v>0.8828599808970466</x:v>
      </x:c>
      <x:c r="G372" s="81" t="n">
        <x:v>-0.015412850391835868</x:v>
      </x:c>
      <x:c r="H372" s="59" t="n">
        <x:v>0</x:v>
      </x:c>
      <x:c r="I372" s="81" t="n">
        <x:v>0</x:v>
      </x:c>
      <x:c r="J372" s="79" t="n">
        <x:v>1.1312602243246308e-20</x:v>
      </x:c>
      <x:c r="K372" s="81" t="n">
        <x:v>-1</x:v>
      </x:c>
      <x:c r="L372" s="81" t="n">
        <x:v>-1</x:v>
      </x:c>
      <x:c r="M372" s="80" t="n">
        <x:v>0.00005498354242936214</x:v>
      </x:c>
      <x:c r="N372" s="82" t="n">
        <x:v>0.32333760364389735</x:v>
      </x:c>
      <x:c r="O372" s="82" t="n">
        <x:v>0.2696615262890898</x:v>
      </x:c>
      <x:c r="P372" s="80" t="n">
        <x:v>927.0474475226225</x:v>
      </x:c>
      <x:c r="Q372" s="81" t="n">
        <x:v>126558.31206088932</x:v>
      </x:c>
      <x:c r="R372" s="81" t="n">
        <x:v>2.77670665957082</x:v>
      </x:c>
      <x:c r="S372" s="81" t="n">
        <x:v>5.252818372294581e-9</x:v>
      </x:c>
      <x:c r="T372" s="81" t="n">
        <x:v>2.450556624788875e-16</x:v>
      </x:c>
    </x:row>
    <x:row r="373">
      <x:c r="A373" s="59" t="n">
        <x:v>370</x:v>
      </x:c>
      <x:c r="B373" s="193" t="n">
        <x:v>0.5575514161959291</x:v>
      </x:c>
      <x:c r="C373" s="83" t="n">
        <x:v>0.19963186560653506</x:v>
      </x:c>
      <x:c r="D373" s="83" t="n">
        <x:v>0.20838044057597083</x:v>
      </x:c>
      <x:c r="E373" s="81" t="n">
        <x:v>0.062190816357580156</x:v>
      </x:c>
      <x:c r="F373" s="81" t="n">
        <x:v>0.4271975536947139</x:v>
      </x:c>
      <x:c r="G373" s="81" t="n">
        <x:v>-0.0014289482391070395</x:v>
      </x:c>
      <x:c r="H373" s="59" t="n">
        <x:v>90</x:v>
      </x:c>
      <x:c r="I373" s="81" t="n">
        <x:v>0.14476027749478818</x:v>
      </x:c>
      <x:c r="J373" s="79" t="n">
        <x:v>0.00010575814948805116</x:v>
      </x:c>
      <x:c r="K373" s="81" t="n">
        <x:v>-0.8791335434422273</x:v>
      </x:c>
      <x:c r="L373" s="81" t="n">
        <x:v>-0.9065427502188582</x:v>
      </x:c>
      <x:c r="M373" s="80" t="n">
        <x:v>2209.1958599107697</x:v>
      </x:c>
      <x:c r="N373" s="82" t="n">
        <x:v>0.23491295142692403</x:v>
      </x:c>
      <x:c r="O373" s="82" t="n">
        <x:v>0.09479963392223861</x:v>
      </x:c>
      <x:c r="P373" s="80" t="n">
        <x:v>1208.0922746346941</x:v>
      </x:c>
      <x:c r="Q373" s="81" t="n">
        <x:v>0.003164729797336006</x:v>
      </x:c>
      <x:c r="R373" s="81" t="n">
        <x:v>86.25691930567574</x:v>
      </x:c>
      <x:c r="S373" s="81" t="n">
        <x:v>10.011285204652914</x:v>
      </x:c>
      <x:c r="T373" s="81" t="n">
        <x:v>2.290952411131398</x:v>
      </x:c>
    </x:row>
    <x:row r="374">
      <x:c r="A374" s="59" t="n">
        <x:v>371</x:v>
      </x:c>
      <x:c r="B374" s="193" t="n">
        <x:v>0.3871164508163929</x:v>
      </x:c>
      <x:c r="C374" s="83" t="n">
        <x:v>2.6907185211665756</x:v>
      </x:c>
      <x:c r="D374" s="83" t="n">
        <x:v>0.6340295299354842</x:v>
      </x:c>
      <x:c r="E374" s="81" t="n">
        <x:v>-0.0736601881680133</x:v>
      </x:c>
      <x:c r="F374" s="81" t="n">
        <x:v>0.5266849054023623</x:v>
      </x:c>
      <x:c r="G374" s="81" t="n">
        <x:v>0.08</x:v>
      </x:c>
      <x:c r="H374" s="59" t="n">
        <x:v>0</x:v>
      </x:c>
      <x:c r="I374" s="81" t="n">
        <x:v>0</x:v>
      </x:c>
      <x:c r="J374" s="79" t="n">
        <x:v>1.9624197133158472e-36</x:v>
      </x:c>
      <x:c r="K374" s="81" t="n">
        <x:v>-1</x:v>
      </x:c>
      <x:c r="L374" s="81" t="n">
        <x:v>-1</x:v>
      </x:c>
      <x:c r="M374" s="80" t="n">
        <x:v>0.000002</x:v>
      </x:c>
      <x:c r="N374" s="82" t="n">
        <x:v>0.19431214701791763</x:v>
      </x:c>
      <x:c r="O374" s="82" t="n">
        <x:v>0.09667668809279462</x:v>
      </x:c>
      <x:c r="P374" s="80" t="n">
        <x:v>801.614403116947</x:v>
      </x:c>
      <x:c r="Q374" s="81" t="n">
        <x:v>15005032098498896000</x:v>
      </x:c>
      <x:c r="R374" s="81" t="n">
        <x:v>1.6482756045261102</x:v>
      </x:c>
      <x:c r="S374" s="81" t="n">
        <x:v>3.838471843788404e-10</x:v>
      </x:c>
      <x:c r="T374" s="81" t="n">
        <x:v>4.251029538277498e-32</x:v>
      </x:c>
    </x:row>
    <x:row r="375">
      <x:c r="A375" s="59" t="n">
        <x:v>372</x:v>
      </x:c>
      <x:c r="B375" s="193" t="n">
        <x:v>0.9585295839235186</x:v>
      </x:c>
      <x:c r="C375" s="83" t="n">
        <x:v>0.15014239464977067</x:v>
      </x:c>
      <x:c r="D375" s="83" t="n">
        <x:v>0.7536073148428543</x:v>
      </x:c>
      <x:c r="E375" s="81" t="n">
        <x:v>-0.07050549396323479</x:v>
      </x:c>
      <x:c r="F375" s="81" t="n">
        <x:v>0.43409546463517473</x:v>
      </x:c>
      <x:c r="G375" s="81" t="n">
        <x:v>0.007137941296969798</x:v>
      </x:c>
      <x:c r="H375" s="59" t="n">
        <x:v>0</x:v>
      </x:c>
      <x:c r="I375" s="81" t="n">
        <x:v>0</x:v>
      </x:c>
      <x:c r="J375" s="79" t="n">
        <x:v>5.0858420642461116e-30</x:v>
      </x:c>
      <x:c r="K375" s="81" t="n">
        <x:v>-1</x:v>
      </x:c>
      <x:c r="L375" s="81" t="n">
        <x:v>-1</x:v>
      </x:c>
      <x:c r="M375" s="80" t="n">
        <x:v>0.000002</x:v>
      </x:c>
      <x:c r="N375" s="82" t="n">
        <x:v>0.33043346932028056</x:v>
      </x:c>
      <x:c r="O375" s="82" t="n">
        <x:v>0.1355002886767247</x:v>
      </x:c>
      <x:c r="P375" s="80" t="n">
        <x:v>240.50585183314612</x:v>
      </x:c>
      <x:c r="Q375" s="81" t="n">
        <x:v>6031118650781.011</x:v>
      </x:c>
      <x:c r="R375" s="81" t="n">
        <x:v>16.327783569359624</x:v>
      </x:c>
      <x:c r="S375" s="81" t="n">
        <x:v>6.25863914186466e-10</x:v>
      </x:c>
      <x:c r="T375" s="81" t="n">
        <x:v>1.1017044261950256e-25</x:v>
      </x:c>
    </x:row>
    <x:row r="376">
      <x:c r="A376" s="59" t="n">
        <x:v>373</x:v>
      </x:c>
      <x:c r="B376" s="193" t="n">
        <x:v>0.9590966891497374</x:v>
      </x:c>
      <x:c r="C376" s="83" t="n">
        <x:v>2.1222469696918793</x:v>
      </x:c>
      <x:c r="D376" s="83" t="n">
        <x:v>0.9694013623285102</x:v>
      </x:c>
      <x:c r="E376" s="81" t="n">
        <x:v>-0.11580702685315833</x:v>
      </x:c>
      <x:c r="F376" s="81" t="n">
        <x:v>0.8118662942782976</x:v>
      </x:c>
      <x:c r="G376" s="81" t="n">
        <x:v>-0.04673330335621992</x:v>
      </x:c>
      <x:c r="H376" s="59" t="n">
        <x:v>0</x:v>
      </x:c>
      <x:c r="I376" s="81" t="n">
        <x:v>0</x:v>
      </x:c>
      <x:c r="J376" s="79" t="n">
        <x:v>1.7660788630162497e-38</x:v>
      </x:c>
      <x:c r="K376" s="81" t="n">
        <x:v>-1</x:v>
      </x:c>
      <x:c r="L376" s="81" t="n">
        <x:v>-1</x:v>
      </x:c>
      <x:c r="M376" s="80" t="n">
        <x:v>0.000002</x:v>
      </x:c>
      <x:c r="N376" s="82" t="n">
        <x:v>0.33056856441838905</x:v>
      </x:c>
      <x:c r="O376" s="82" t="n">
        <x:v>0.25352278969015984</x:v>
      </x:c>
      <x:c r="P376" s="80" t="n">
        <x:v>480.9505212941793</x:v>
      </x:c>
      <x:c r="Q376" s="81" t="n">
        <x:v>1.1021453897855942e+21</x:v>
      </x:c>
      <x:c r="R376" s="81" t="n">
        <x:v>0.9509122402617428</x:v>
      </x:c>
      <x:c r="S376" s="81" t="n">
        <x:v>1.5193200356848764e-10</x:v>
      </x:c>
      <x:c r="T376" s="81" t="n">
        <x:v>3.825712391017587e-34</x:v>
      </x:c>
    </x:row>
    <x:row r="377">
      <x:c r="A377" s="59" t="n">
        <x:v>374</x:v>
      </x:c>
      <x:c r="B377" s="193" t="n">
        <x:v>0.8299654403701424</x:v>
      </x:c>
      <x:c r="C377" s="83" t="n">
        <x:v>0.15225726953415847</x:v>
      </x:c>
      <x:c r="D377" s="83" t="n">
        <x:v>0.30557980725556955</x:v>
      </x:c>
      <x:c r="E377" s="81" t="n">
        <x:v>-0.048338140091424724</x:v>
      </x:c>
      <x:c r="F377" s="81" t="n">
        <x:v>0.773926076234784</x:v>
      </x:c>
      <x:c r="G377" s="81" t="n">
        <x:v>0.008409883400670786</x:v>
      </x:c>
      <x:c r="H377" s="59" t="n">
        <x:v>0</x:v>
      </x:c>
      <x:c r="I377" s="81" t="n">
        <x:v>0</x:v>
      </x:c>
      <x:c r="J377" s="79" t="n">
        <x:v>7.541945440347836e-15</x:v>
      </x:c>
      <x:c r="K377" s="81" t="n">
        <x:v>-0.9999999999913807</x:v>
      </x:c>
      <x:c r="L377" s="81" t="n">
        <x:v>-0.9999999999913807</x:v>
      </x:c>
      <x:c r="M377" s="80" t="n">
        <x:v>0.017563014100406234</x:v>
      </x:c>
      <x:c r="N377" s="82" t="n">
        <x:v>0.2998070797481749</x:v>
      </x:c>
      <x:c r="O377" s="82" t="n">
        <x:v>0.2191857449799923</x:v>
      </x:c>
      <x:c r="P377" s="80" t="n">
        <x:v>195.71887054646217</x:v>
      </x:c>
      <x:c r="Q377" s="81" t="n">
        <x:v>51.00547172761048</x:v>
      </x:c>
      <x:c r="R377" s="81" t="n">
        <x:v>29.192263884521434</x:v>
      </x:c>
      <x:c r="S377" s="81" t="n">
        <x:v>0.000002332989256713104</x:v>
      </x:c>
      <x:c r="T377" s="81" t="n">
        <x:v>1.6337500395786018e-10</x:v>
      </x:c>
    </x:row>
    <x:row r="378">
      <x:c r="A378" s="59" t="n">
        <x:v>375</x:v>
      </x:c>
      <x:c r="B378" s="193" t="n">
        <x:v>0.5544035984203219</x:v>
      </x:c>
      <x:c r="C378" s="83" t="n">
        <x:v>0.2531235465176185</x:v>
      </x:c>
      <x:c r="D378" s="83" t="n">
        <x:v>0.8735552492299536</x:v>
      </x:c>
      <x:c r="E378" s="81" t="n">
        <x:v>-0.005300801763119581</x:v>
      </x:c>
      <x:c r="F378" s="81" t="n">
        <x:v>0.7257690204656684</x:v>
      </x:c>
      <x:c r="G378" s="81" t="n">
        <x:v>0.004940873267700371</x:v>
      </x:c>
      <x:c r="H378" s="59" t="n">
        <x:v>0</x:v>
      </x:c>
      <x:c r="I378" s="81" t="n">
        <x:v>0</x:v>
      </x:c>
      <x:c r="J378" s="79" t="n">
        <x:v>5.83293497589181e-9</x:v>
      </x:c>
      <x:c r="K378" s="81" t="n">
        <x:v>-0.999993333788599</x:v>
      </x:c>
      <x:c r="L378" s="81" t="n">
        <x:v>-0.999993333788599</x:v>
      </x:c>
      <x:c r="M378" s="80" t="n">
        <x:v>16.466751427115963</x:v>
      </x:c>
      <x:c r="N378" s="82" t="n">
        <x:v>0.23416308221119114</x:v>
      </x:c>
      <x:c r="O378" s="82" t="n">
        <x:v>0.16054167658622878</x:v>
      </x:c>
      <x:c r="P378" s="80" t="n">
        <x:v>1039.183638252097</x:v>
      </x:c>
      <x:c r="Q378" s="81" t="n">
        <x:v>0.4788172527727044</x:v>
      </x:c>
      <x:c r="R378" s="81" t="n">
        <x:v>28.79523974226995</x:v>
      </x:c>
      <x:c r="S378" s="81" t="n">
        <x:v>0.005820877680372957</x:v>
      </x:c>
      <x:c r="T378" s="81" t="n">
        <x:v>0.00012635410615332101</x:v>
      </x:c>
    </x:row>
    <x:row r="379">
      <x:c r="A379" s="59" t="n">
        <x:v>376</x:v>
      </x:c>
      <x:c r="B379" s="193" t="n">
        <x:v>0.6366641605272889</x:v>
      </x:c>
      <x:c r="C379" s="83" t="n">
        <x:v>1.0136892625435256</x:v>
      </x:c>
      <x:c r="D379" s="83" t="n">
        <x:v>1.0686177116515785</x:v>
      </x:c>
      <x:c r="E379" s="81" t="n">
        <x:v>0.013893276580019468</x:v>
      </x:c>
      <x:c r="F379" s="81" t="n">
        <x:v>0.428651101118885</x:v>
      </x:c>
      <x:c r="G379" s="81" t="n">
        <x:v>-0.010470369446014758</x:v>
      </x:c>
      <x:c r="H379" s="59" t="n">
        <x:v>0</x:v>
      </x:c>
      <x:c r="I379" s="81" t="n">
        <x:v>0</x:v>
      </x:c>
      <x:c r="J379" s="79" t="n">
        <x:v>0.0002746890655712076</x:v>
      </x:c>
      <x:c r="K379" s="81" t="n">
        <x:v>-0.6860696393471912</x:v>
      </x:c>
      <x:c r="L379" s="81" t="n">
        <x:v>-0.784953667558216</x:v>
      </x:c>
      <x:c r="M379" s="80" t="n">
        <x:v>5995.066769103669</x:v>
      </x:c>
      <x:c r="N379" s="82" t="n">
        <x:v>0.2537590904906101</x:v>
      </x:c>
      <x:c r="O379" s="82" t="n">
        <x:v>0.10275346943406626</x:v>
      </x:c>
      <x:c r="P379" s="80" t="n">
        <x:v>14623.888191343287</x:v>
      </x:c>
      <x:c r="Q379" s="81" t="n">
        <x:v>0.014817282623749865</x:v>
      </x:c>
      <x:c r="R379" s="81" t="n">
        <x:v>26.252719745634774</x:v>
      </x:c>
      <x:c r="S379" s="81" t="n">
        <x:v>6.273191166653246</x:v>
      </x:c>
      <x:c r="T379" s="81" t="n">
        <x:v>5.9503648667083455</x:v>
      </x:c>
    </x:row>
    <x:row r="380">
      <x:c r="A380" s="59" t="n">
        <x:v>377</x:v>
      </x:c>
      <x:c r="B380" s="193" t="n">
        <x:v>0.6842145467177034</x:v>
      </x:c>
      <x:c r="C380" s="83" t="n">
        <x:v>0.16052406195164143</x:v>
      </x:c>
      <x:c r="D380" s="83" t="n">
        <x:v>0.3123848841452518</x:v>
      </x:c>
      <x:c r="E380" s="81" t="n">
        <x:v>-0.03857767520075653</x:v>
      </x:c>
      <x:c r="F380" s="81" t="n">
        <x:v>0.8489370425464585</x:v>
      </x:c>
      <x:c r="G380" s="81" t="n">
        <x:v>0.017894762101474185</x:v>
      </x:c>
      <x:c r="H380" s="59" t="n">
        <x:v>16</x:v>
      </x:c>
      <x:c r="I380" s="81" t="n">
        <x:v>0.16606719978153706</x:v>
      </x:c>
      <x:c r="J380" s="79" t="n">
        <x:v>9.419506842000885e-14</x:v>
      </x:c>
      <x:c r="K380" s="81" t="n">
        <x:v>-0.9999999998923484</x:v>
      </x:c>
      <x:c r="L380" s="81" t="n">
        <x:v>-0.9999999998923484</x:v>
      </x:c>
      <x:c r="M380" s="80" t="n">
        <x:v>0.06228291120822178</x:v>
      </x:c>
      <x:c r="N380" s="82" t="n">
        <x:v>0.265086484050908</x:v>
      </x:c>
      <x:c r="O380" s="82" t="n">
        <x:v>0.21258568204772912</x:v>
      </x:c>
      <x:c r="P380" s="80" t="n">
        <x:v>215.38671107927132</x:v>
      </x:c>
      <x:c r="Q380" s="81" t="n">
        <x:v>17.969878016588456</x:v>
      </x:c>
      <x:c r="R380" s="81" t="n">
        <x:v>29.233477748569936</x:v>
      </x:c>
      <x:c r="S380" s="81" t="n">
        <x:v>0.000009392365455599398</x:v>
      </x:c>
      <x:c r="T380" s="81" t="n">
        <x:v>2.0404708304572558e-9</x:v>
      </x:c>
    </x:row>
    <x:row r="381">
      <x:c r="A381" s="59" t="n">
        <x:v>378</x:v>
      </x:c>
      <x:c r="B381" s="193" t="n">
        <x:v>0.4291946414858103</x:v>
      </x:c>
      <x:c r="C381" s="83" t="n">
        <x:v>0.5907502040111767</x:v>
      </x:c>
      <x:c r="D381" s="83" t="n">
        <x:v>0.5927056382619488</x:v>
      </x:c>
      <x:c r="E381" s="81" t="n">
        <x:v>0.09595360780427031</x:v>
      </x:c>
      <x:c r="F381" s="81" t="n">
        <x:v>0.6001088626100681</x:v>
      </x:c>
      <x:c r="G381" s="81" t="n">
        <x:v>0.005246466032293582</x:v>
      </x:c>
      <x:c r="H381" s="59" t="n">
        <x:v>0</x:v>
      </x:c>
      <x:c r="I381" s="81" t="n">
        <x:v>0</x:v>
      </x:c>
      <x:c r="J381" s="79" t="n">
        <x:v>0.003409502463943797</x:v>
      </x:c>
      <x:c r="K381" s="81" t="n">
        <x:v>2.896574244507197</x:v>
      </x:c>
      <x:c r="L381" s="81" t="n">
        <x:v>-0.7102077973919747</x:v>
      </x:c>
      <x:c r="M381" s="80" t="n">
        <x:v>19711.166549377387</x:v>
      </x:c>
      <x:c r="N381" s="82" t="n">
        <x:v>0.20433596100144769</x:v>
      </x:c>
      <x:c r="O381" s="82" t="n">
        <x:v>0.11583659609803193</x:v>
      </x:c>
      <x:c r="P381" s="80" t="n">
        <x:v>21965.10341270172</x:v>
      </x:c>
      <x:c r="Q381" s="81" t="n">
        <x:v>0.002967734287650056</x:v>
      </x:c>
      <x:c r="R381" s="81" t="n">
        <x:v>160.7359854407832</x:v>
      </x:c>
      <x:c r="S381" s="81" t="n">
        <x:v>110.8733752616915</x:v>
      </x:c>
      <x:c r="T381" s="81" t="n">
        <x:v>73.85726706018995</x:v>
      </x:c>
    </x:row>
    <x:row r="382">
      <x:c r="A382" s="59" t="n">
        <x:v>379</x:v>
      </x:c>
      <x:c r="B382" s="193" t="n">
        <x:v>0.9460652850568294</x:v>
      </x:c>
      <x:c r="C382" s="83" t="n">
        <x:v>2.07031643167099</x:v>
      </x:c>
      <x:c r="D382" s="83" t="n">
        <x:v>1.1514669223268144</x:v>
      </x:c>
      <x:c r="E382" s="81" t="n">
        <x:v>-0.07773365449017286</x:v>
      </x:c>
      <x:c r="F382" s="81" t="n">
        <x:v>0.38766145197441804</x:v>
      </x:c>
      <x:c r="G382" s="81" t="n">
        <x:v>0.00044841820065940566</x:v>
      </x:c>
      <x:c r="H382" s="59" t="n">
        <x:v>0</x:v>
      </x:c>
      <x:c r="I382" s="81" t="n">
        <x:v>0</x:v>
      </x:c>
      <x:c r="J382" s="79" t="n">
        <x:v>8.988704527371452e-40</x:v>
      </x:c>
      <x:c r="K382" s="81" t="n">
        <x:v>-1</x:v>
      </x:c>
      <x:c r="L382" s="81" t="n">
        <x:v>-1</x:v>
      </x:c>
      <x:c r="M382" s="80" t="n">
        <x:v>0.000002</x:v>
      </x:c>
      <x:c r="N382" s="82" t="n">
        <x:v>0.3274642396246314</x:v>
      </x:c>
      <x:c r="O382" s="82" t="n">
        <x:v>0.11991884589076922</x:v>
      </x:c>
      <x:c r="P382" s="80" t="n">
        <x:v>687.4910567716119</x:v>
      </x:c>
      <x:c r="Q382" s="81" t="n">
        <x:v>3.116018701308057e+22</x:v>
      </x:c>
      <x:c r="R382" s="81" t="n">
        <x:v>1.3159945691188892</x:v>
      </x:c>
      <x:c r="S382" s="81" t="n">
        <x:v>3.3032489766324865e-10</x:v>
      </x:c>
      <x:c r="T382" s="81" t="n">
        <x:v>1.9471496437497672e-35</x:v>
      </x:c>
    </x:row>
    <x:row r="383">
      <x:c r="A383" s="59" t="n">
        <x:v>380</x:v>
      </x:c>
      <x:c r="B383" s="193" t="n">
        <x:v>0.685393106751144</x:v>
      </x:c>
      <x:c r="C383" s="83" t="n">
        <x:v>0.1458556720239291</x:v>
      </x:c>
      <x:c r="D383" s="83" t="n">
        <x:v>1.0898434500995295</x:v>
      </x:c>
      <x:c r="E383" s="81" t="n">
        <x:v>-0.06989095420987755</x:v>
      </x:c>
      <x:c r="F383" s="81" t="n">
        <x:v>0.38975291909882803</x:v>
      </x:c>
      <x:c r="G383" s="81" t="n">
        <x:v>-0.0369038255712627</x:v>
      </x:c>
      <x:c r="H383" s="59" t="n">
        <x:v>90</x:v>
      </x:c>
      <x:c r="I383" s="81" t="n">
        <x:v>0.4228424448519945</x:v>
      </x:c>
      <x:c r="J383" s="79" t="n">
        <x:v>1.6661621377183363e-31</x:v>
      </x:c>
      <x:c r="K383" s="81" t="n">
        <x:v>-1</x:v>
      </x:c>
      <x:c r="L383" s="81" t="n">
        <x:v>-1</x:v>
      </x:c>
      <x:c r="M383" s="80" t="n">
        <x:v>0.000002</x:v>
      </x:c>
      <x:c r="N383" s="82" t="n">
        <x:v>0.26536723914887406</x:v>
      </x:c>
      <x:c r="O383" s="82" t="n">
        <x:v>0.0977029382380758</x:v>
      </x:c>
      <x:c r="P383" s="80" t="n">
        <x:v>267.94815319455097</x:v>
      </x:c>
      <x:c r="Q383" s="81" t="n">
        <x:v>185607741235924</x:v>
      </x:c>
      <x:c r="R383" s="81" t="n">
        <x:v>12.894642043586153</x:v>
      </x:c>
      <x:c r="S383" s="81" t="n">
        <x:v>5.272935699419452e-10</x:v>
      </x:c>
      <x:c r="T383" s="81" t="n">
        <x:v>3.6092709500112175e-27</x:v>
      </x:c>
    </x:row>
    <x:row r="384">
      <x:c r="A384" s="59" t="n">
        <x:v>381</x:v>
      </x:c>
      <x:c r="B384" s="193" t="n">
        <x:v>0.5331890078261494</x:v>
      </x:c>
      <x:c r="C384" s="83" t="n">
        <x:v>1.7033735649456296</x:v>
      </x:c>
      <x:c r="D384" s="83" t="n">
        <x:v>0.7476759151713884</x:v>
      </x:c>
      <x:c r="E384" s="81" t="n">
        <x:v>-0.011613897145086472</x:v>
      </x:c>
      <x:c r="F384" s="81" t="n">
        <x:v>0.7234388542710803</x:v>
      </x:c>
      <x:c r="G384" s="81" t="n">
        <x:v>-0.019996750794586078</x:v>
      </x:c>
      <x:c r="H384" s="59" t="n">
        <x:v>0</x:v>
      </x:c>
      <x:c r="I384" s="81" t="n">
        <x:v>0</x:v>
      </x:c>
      <x:c r="J384" s="79" t="n">
        <x:v>9.937151352639487e-10</x:v>
      </x:c>
      <x:c r="K384" s="81" t="n">
        <x:v>-0.9999988643255597</x:v>
      </x:c>
      <x:c r="L384" s="81" t="n">
        <x:v>-0.9999988643255597</x:v>
      </x:c>
      <x:c r="M384" s="80" t="n">
        <x:v>14.701280141874806</x:v>
      </x:c>
      <x:c r="N384" s="82" t="n">
        <x:v>0.2291093689580856</x:v>
      </x:c>
      <x:c r="O384" s="82" t="n">
        <x:v>0.15657254866443882</x:v>
      </x:c>
      <x:c r="P384" s="80" t="n">
        <x:v>2082.963033325772</x:v>
      </x:c>
      <x:c r="Q384" s="81" t="n">
        <x:v>1.2734820861516072</x:v>
      </x:c>
      <x:c r="R384" s="81" t="n">
        <x:v>5.954114313327188</x:v>
      </x:c>
      <x:c r="S384" s="81" t="n">
        <x:v>0.0014225608103791588</x:v>
      </x:c>
      <x:c r="T384" s="81" t="n">
        <x:v>0.000021526039327758074</x:v>
      </x:c>
    </x:row>
    <x:row r="385">
      <x:c r="A385" s="59" t="n">
        <x:v>382</x:v>
      </x:c>
      <x:c r="B385" s="193" t="n">
        <x:v>0.8521030995994807</x:v>
      </x:c>
      <x:c r="C385" s="83" t="n">
        <x:v>2.584211024235092</x:v>
      </x:c>
      <x:c r="D385" s="83" t="n">
        <x:v>1.5288780023947253</x:v>
      </x:c>
      <x:c r="E385" s="81" t="n">
        <x:v>-0.03626698967621671</x:v>
      </x:c>
      <x:c r="F385" s="81" t="n">
        <x:v>0.3989121942315251</x:v>
      </x:c>
      <x:c r="G385" s="81" t="n">
        <x:v>-0.05</x:v>
      </x:c>
      <x:c r="H385" s="59" t="n">
        <x:v>0</x:v>
      </x:c>
      <x:c r="I385" s="81" t="n">
        <x:v>0</x:v>
      </x:c>
      <x:c r="J385" s="79" t="n">
        <x:v>2.827964753882408e-26</x:v>
      </x:c>
      <x:c r="K385" s="81" t="n">
        <x:v>-1</x:v>
      </x:c>
      <x:c r="L385" s="81" t="n">
        <x:v>-1</x:v>
      </x:c>
      <x:c r="M385" s="80" t="n">
        <x:v>0.000002</x:v>
      </x:c>
      <x:c r="N385" s="82" t="n">
        <x:v>0.3050806852577139</x:v>
      </x:c>
      <x:c r="O385" s="82" t="n">
        <x:v>0.11496429155090862</x:v>
      </x:c>
      <x:c r="P385" s="80" t="n">
        <x:v>1595.8659251031831</x:v>
      </x:c>
      <x:c r="Q385" s="81" t="n">
        <x:v>2041178400.0356698</x:v>
      </x:c>
      <x:c r="R385" s="81" t="n">
        <x:v>2.061616825322677</x:v>
      </x:c>
      <x:c r="S385" s="81" t="n">
        <x:v>2.0019530951218027e-10</x:v>
      </x:c>
      <x:c r="T385" s="81" t="n">
        <x:v>6.125989063597882e-22</x:v>
      </x:c>
    </x:row>
    <x:row r="386">
      <x:c r="A386" s="59" t="n">
        <x:v>383</x:v>
      </x:c>
      <x:c r="B386" s="193" t="n">
        <x:v>0.204346969909966</x:v>
      </x:c>
      <x:c r="C386" s="83" t="n">
        <x:v>2.4151392270559686</x:v>
      </x:c>
      <x:c r="D386" s="83" t="n">
        <x:v>0.8953790260329165</x:v>
      </x:c>
      <x:c r="E386" s="81" t="n">
        <x:v>0.06149153079111956</x:v>
      </x:c>
      <x:c r="F386" s="81" t="n">
        <x:v>0.6396440049866214</x:v>
      </x:c>
      <x:c r="G386" s="81" t="n">
        <x:v>-0.029193715571221298</x:v>
      </x:c>
      <x:c r="H386" s="59" t="n">
        <x:v>0</x:v>
      </x:c>
      <x:c r="I386" s="81" t="n">
        <x:v>0</x:v>
      </x:c>
      <x:c r="J386" s="79" t="n">
        <x:v>0.010281701177317462</x:v>
      </x:c>
      <x:c r="K386" s="81" t="n">
        <x:v>10.750515631219958</x:v>
      </x:c>
      <x:c r="L386" s="81" t="n">
        <x:v>-0.5774946321213322</x:v>
      </x:c>
      <x:c r="M386" s="80" t="n">
        <x:v>70144.48706861876</x:v>
      </x:c>
      <x:c r="N386" s="82" t="n">
        <x:v>0.15077302973823972</x:v>
      </x:c>
      <x:c r="O386" s="82" t="n">
        <x:v>0.09110305437552482</x:v>
      </x:c>
      <x:c r="P386" s="80" t="n">
        <x:v>112897.44861143941</x:v>
      </x:c>
      <x:c r="Q386" s="81" t="n">
        <x:v>0.0036556596669954197</x:v>
      </x:c>
      <x:c r="R386" s="81" t="n">
        <x:v>112.69484134749203</x:v>
      </x:c>
      <x:c r="S386" s="81" t="n">
        <x:v>84.98073578350679</x:v>
      </x:c>
      <x:c r="T386" s="81" t="n">
        <x:v>222.72409470789074</x:v>
      </x:c>
    </x:row>
    <x:row r="387">
      <x:c r="A387" s="59" t="n">
        <x:v>384</x:v>
      </x:c>
      <x:c r="B387" s="193" t="n">
        <x:v>0.9466310285031796</x:v>
      </x:c>
      <x:c r="C387" s="83" t="n">
        <x:v>0.5395231894086255</x:v>
      </x:c>
      <x:c r="D387" s="83" t="n">
        <x:v>0.856172480849849</x:v>
      </x:c>
      <x:c r="E387" s="81" t="n">
        <x:v>0.024040022884603968</x:v>
      </x:c>
      <x:c r="F387" s="81" t="n">
        <x:v>0.7191909694694913</x:v>
      </x:c>
      <x:c r="G387" s="81" t="n">
        <x:v>0.01650720484107804</x:v>
      </x:c>
      <x:c r="H387" s="59" t="n">
        <x:v>0</x:v>
      </x:c>
      <x:c r="I387" s="81" t="n">
        <x:v>0</x:v>
      </x:c>
      <x:c r="J387" s="79" t="n">
        <x:v>0.0001264175984820677</x:v>
      </x:c>
      <x:c r="K387" s="81" t="n">
        <x:v>-0.8555227445919227</x:v>
      </x:c>
      <x:c r="L387" s="81" t="n">
        <x:v>-0.9215698552582573</x:v>
      </x:c>
      <x:c r="M387" s="80" t="n">
        <x:v>3226.5932330371097</x:v>
      </x:c>
      <x:c r="N387" s="82" t="n">
        <x:v>0.32759901032124183</x:v>
      </x:c>
      <x:c r="O387" s="82" t="n">
        <x:v>0.22256545053389346</x:v>
      </x:c>
      <x:c r="P387" s="80" t="n">
        <x:v>6400.354733368573</x:v>
      </x:c>
      <x:c r="Q387" s="81" t="n">
        <x:v>0.019295429599904917</x:v>
      </x:c>
      <x:c r="R387" s="81" t="n">
        <x:v>28.467595665312476</x:v>
      </x:c>
      <x:c r="S387" s="81" t="n">
        <x:v>5.329570065541339</x:v>
      </x:c>
      <x:c r="T387" s="81" t="n">
        <x:v>2.738481180447051</x:v>
      </x:c>
    </x:row>
    <x:row r="388">
      <x:c r="A388" s="59" t="n">
        <x:v>385</x:v>
      </x:c>
      <x:c r="B388" s="193" t="n">
        <x:v>0.8999959781765938</x:v>
      </x:c>
      <x:c r="C388" s="83" t="n">
        <x:v>1.599391805707698</x:v>
      </x:c>
      <x:c r="D388" s="83" t="n">
        <x:v>1.1398434274448912</x:v>
      </x:c>
      <x:c r="E388" s="81" t="n">
        <x:v>-0.05418200075357066</x:v>
      </x:c>
      <x:c r="F388" s="81" t="n">
        <x:v>0.7746078878408298</x:v>
      </x:c>
      <x:c r="G388" s="81" t="n">
        <x:v>0.0019932665087177893</x:v>
      </x:c>
      <x:c r="H388" s="59" t="n">
        <x:v>0</x:v>
      </x:c>
      <x:c r="I388" s="81" t="n">
        <x:v>0</x:v>
      </x:c>
      <x:c r="J388" s="79" t="n">
        <x:v>2.6543819563956485e-32</x:v>
      </x:c>
      <x:c r="K388" s="81" t="n">
        <x:v>-1</x:v>
      </x:c>
      <x:c r="L388" s="81" t="n">
        <x:v>-1</x:v>
      </x:c>
      <x:c r="M388" s="80" t="n">
        <x:v>0.000002</x:v>
      </x:c>
      <x:c r="N388" s="82" t="n">
        <x:v>0.31648966692625524</x:v>
      </x:c>
      <x:c r="O388" s="82" t="n">
        <x:v>0.23158604835128346</x:v>
      </x:c>
      <x:c r="P388" s="80" t="n">
        <x:v>748.8467624376692</x:v>
      </x:c>
      <x:c r="Q388" s="81" t="n">
        <x:v>1480784784693921.5</x:v>
      </x:c>
      <x:c r="R388" s="81" t="n">
        <x:v>2.039782104799542</x:v>
      </x:c>
      <x:c r="S388" s="81" t="n">
        <x:v>3.935494685864785e-10</x:v>
      </x:c>
      <x:c r="T388" s="81" t="n">
        <x:v>5.749970827312314e-28</x:v>
      </x:c>
    </x:row>
    <x:row r="389">
      <x:c r="A389" s="59" t="n">
        <x:v>386</x:v>
      </x:c>
      <x:c r="B389" s="193" t="n">
        <x:v>0.9872335575520992</x:v>
      </x:c>
      <x:c r="C389" s="83" t="n">
        <x:v>0.24151163989897068</x:v>
      </x:c>
      <x:c r="D389" s="83" t="n">
        <x:v>0.9638395597550395</x:v>
      </x:c>
      <x:c r="E389" s="81" t="n">
        <x:v>-0.06258048451664285</x:v>
      </x:c>
      <x:c r="F389" s="81" t="n">
        <x:v>0.29768458707258105</x:v>
      </x:c>
      <x:c r="G389" s="81" t="n">
        <x:v>0.004024753705059567</x:v>
      </x:c>
      <x:c r="H389" s="59" t="n">
        <x:v>0</x:v>
      </x:c>
      <x:c r="I389" s="81" t="n">
        <x:v>0</x:v>
      </x:c>
      <x:c r="J389" s="79" t="n">
        <x:v>8.933141037386668e-32</x:v>
      </x:c>
      <x:c r="K389" s="81" t="n">
        <x:v>-1</x:v>
      </x:c>
      <x:c r="L389" s="81" t="n">
        <x:v>-1</x:v>
      </x:c>
      <x:c r="M389" s="80" t="n">
        <x:v>0.000002</x:v>
      </x:c>
      <x:c r="N389" s="82" t="n">
        <x:v>0.3372712940381142</x:v>
      </x:c>
      <x:c r="O389" s="82" t="n">
        <x:v>0.09484330293582192</x:v>
      </x:c>
      <x:c r="P389" s="80" t="n">
        <x:v>311.9920055484274</x:v>
      </x:c>
      <x:c r="Q389" s="81" t="n">
        <x:v>383984350152620.06</x:v>
      </x:c>
      <x:c r="R389" s="81" t="n">
        <x:v>9.951766960402802</x:v>
      </x:c>
      <x:c r="S389" s="81" t="n">
        <x:v>7.141374979366485e-10</x:v>
      </x:c>
      <x:c r="T389" s="81" t="n">
        <x:v>1.9351133787462935e-27</x:v>
      </x:c>
    </x:row>
    <x:row r="390">
      <x:c r="A390" s="59" t="n">
        <x:v>387</x:v>
      </x:c>
      <x:c r="B390" s="193" t="n">
        <x:v>0.8880410304293036</x:v>
      </x:c>
      <x:c r="C390" s="83" t="n">
        <x:v>0.43388094016990353</x:v>
      </x:c>
      <x:c r="D390" s="83" t="n">
        <x:v>0.7330047556668616</x:v>
      </x:c>
      <x:c r="E390" s="81" t="n">
        <x:v>-0.2</x:v>
      </x:c>
      <x:c r="F390" s="81" t="n">
        <x:v>0.5382187292794698</x:v>
      </x:c>
      <x:c r="G390" s="81" t="n">
        <x:v>0.024325214788948824</x:v>
      </x:c>
      <x:c r="H390" s="59" t="n">
        <x:v>0</x:v>
      </x:c>
      <x:c r="I390" s="81" t="n">
        <x:v>0</x:v>
      </x:c>
      <x:c r="J390" s="79" t="n">
        <x:v>1.1575058377481312e-59</x:v>
      </x:c>
      <x:c r="K390" s="81" t="n">
        <x:v>-1</x:v>
      </x:c>
      <x:c r="L390" s="81" t="n">
        <x:v>-1</x:v>
      </x:c>
      <x:c r="M390" s="80" t="n">
        <x:v>0.000002</x:v>
      </x:c>
      <x:c r="N390" s="82" t="n">
        <x:v>0.3136417742175805</x:v>
      </x:c>
      <x:c r="O390" s="82" t="n">
        <x:v>0.159464365918659</x:v>
      </x:c>
      <x:c r="P390" s="80" t="n">
        <x:v>136.10363265483556</x:v>
      </x:c>
      <x:c r="Q390" s="81" t="n">
        <x:v>1.0471836707790023e+42</x:v>
      </x:c>
      <x:c r="R390" s="81" t="n">
        <x:v>2.3023972435876203</x:v>
      </x:c>
      <x:c r="S390" s="81" t="n">
        <x:v>5.99917888109615e-10</x:v>
      </x:c>
      <x:c r="T390" s="81" t="n">
        <x:v>2.507410353456834e-55</x:v>
      </x:c>
    </x:row>
    <x:row r="391">
      <x:c r="A391" s="59" t="n">
        <x:v>388</x:v>
      </x:c>
      <x:c r="B391" s="193" t="n">
        <x:v>0.4042976012453437</x:v>
      </x:c>
      <x:c r="C391" s="83" t="n">
        <x:v>0.1783374585166561</x:v>
      </x:c>
      <x:c r="D391" s="83" t="n">
        <x:v>0.655406233192572</x:v>
      </x:c>
      <x:c r="E391" s="81" t="n">
        <x:v>0.08411262198038598</x:v>
      </x:c>
      <x:c r="F391" s="81" t="n">
        <x:v>0.7705630256910808</x:v>
      </x:c>
      <x:c r="G391" s="81" t="n">
        <x:v>0.050688991571350574</x:v>
      </x:c>
      <x:c r="H391" s="59" t="n">
        <x:v>0</x:v>
      </x:c>
      <x:c r="I391" s="81" t="n">
        <x:v>0</x:v>
      </x:c>
      <x:c r="J391" s="79" t="n">
        <x:v>0.003214838615944205</x:v>
      </x:c>
      <x:c r="K391" s="81" t="n">
        <x:v>2.6741012753648064</x:v>
      </x:c>
      <x:c r="L391" s="81" t="n">
        <x:v>-0.755865664660578</x:v>
      </x:c>
      <x:c r="M391" s="80" t="n">
        <x:v>15005.855928401204</x:v>
      </x:c>
      <x:c r="N391" s="82" t="n">
        <x:v>0.19840501919666412</x:v>
      </x:c>
      <x:c r="O391" s="82" t="n">
        <x:v>0.14442147050291265</x:v>
      </x:c>
      <x:c r="P391" s="80" t="n">
        <x:v>19464.76896738673</x:v>
      </x:c>
      <x:c r="Q391" s="81" t="n">
        <x:v>0.004271828585724912</x:v>
      </x:c>
      <x:c r="R391" s="81" t="n">
        <x:v>273.38664665999215</x:v>
      </x:c>
      <x:c r="S391" s="81" t="n">
        <x:v>341.8162451851882</x:v>
      </x:c>
      <x:c r="T391" s="81" t="n">
        <x:v>69.64042311867254</x:v>
      </x:c>
    </x:row>
    <x:row r="392">
      <x:c r="A392" s="59" t="n">
        <x:v>389</x:v>
      </x:c>
      <x:c r="B392" s="193" t="n">
        <x:v>0.5272330731153488</x:v>
      </x:c>
      <x:c r="C392" s="83" t="n">
        <x:v>0.45872193425428026</x:v>
      </x:c>
      <x:c r="D392" s="83" t="n">
        <x:v>1.21189150020212</x:v>
      </x:c>
      <x:c r="E392" s="81" t="n">
        <x:v>0.03858917563541291</x:v>
      </x:c>
      <x:c r="F392" s="81" t="n">
        <x:v>0.4163017981336452</x:v>
      </x:c>
      <x:c r="G392" s="81" t="n">
        <x:v>0.02089143498696312</x:v>
      </x:c>
      <x:c r="H392" s="59" t="n">
        <x:v>0</x:v>
      </x:c>
      <x:c r="I392" s="81" t="n">
        <x:v>0</x:v>
      </x:c>
      <x:c r="J392" s="79" t="n">
        <x:v>0.00451011635862484</x:v>
      </x:c>
      <x:c r="K392" s="81" t="n">
        <x:v>4.154418695571246</x:v>
      </x:c>
      <x:c r="L392" s="81" t="n">
        <x:v>-0.6547194496917172</x:v>
      </x:c>
      <x:c r="M392" s="80" t="n">
        <x:v>20376.62303164061</x:v>
      </x:c>
      <x:c r="N392" s="82" t="n">
        <x:v>0.2276905536361971</x:v>
      </x:c>
      <x:c r="O392" s="82" t="n">
        <x:v>0.08954147449013639</x:v>
      </x:c>
      <x:c r="P392" s="80" t="n">
        <x:v>45826.730182488565</x:v>
      </x:c>
      <x:c r="Q392" s="81" t="n">
        <x:v>0.005459437848521191</x:v>
      </x:c>
      <x:c r="R392" s="81" t="n">
        <x:v>182.89151219097513</x:v>
      </x:c>
      <x:c r="S392" s="81" t="n">
        <x:v>192.38988090729984</x:v>
      </x:c>
      <x:c r="T392" s="81" t="n">
        <x:v>97.69896690034395</x:v>
      </x:c>
    </x:row>
    <x:row r="393">
      <x:c r="A393" s="59" t="n">
        <x:v>390</x:v>
      </x:c>
      <x:c r="B393" s="193" t="n">
        <x:v>0.8920181501656772</x:v>
      </x:c>
      <x:c r="C393" s="83" t="n">
        <x:v>1.3411392388204342</x:v>
      </x:c>
      <x:c r="D393" s="83" t="n">
        <x:v>0.20755297911052825</x:v>
      </x:c>
      <x:c r="E393" s="81" t="n">
        <x:v>-0.12839083707246374</x:v>
      </x:c>
      <x:c r="F393" s="81" t="n">
        <x:v>0.4369021465070546</x:v>
      </x:c>
      <x:c r="G393" s="81" t="n">
        <x:v>-0.03322643575958594</x:v>
      </x:c>
      <x:c r="H393" s="59" t="n">
        <x:v>0</x:v>
      </x:c>
      <x:c r="I393" s="81" t="n">
        <x:v>0</x:v>
      </x:c>
      <x:c r="J393" s="79" t="n">
        <x:v>1.2686205395433499e-17</x:v>
      </x:c>
      <x:c r="K393" s="81" t="n">
        <x:v>-0.9999999999999855</x:v>
      </x:c>
      <x:c r="L393" s="81" t="n">
        <x:v>-0.9999999999999855</x:v>
      </x:c>
      <x:c r="M393" s="80" t="n">
        <x:v>0.0014771350253551417</x:v>
      </x:c>
      <x:c r="N393" s="82" t="n">
        <x:v>0.31458919870978</x:v>
      </x:c>
      <x:c r="O393" s="82" t="n">
        <x:v>0.12983713611921513</x:v>
      </x:c>
      <x:c r="P393" s="80" t="n">
        <x:v>252.66752883827724</x:v>
      </x:c>
      <x:c r="Q393" s="81" t="n">
        <x:v>1033.660661558684</x:v>
      </x:c>
      <x:c r="R393" s="81" t="n">
        <x:v>3.7485339242254976</x:v>
      </x:c>
      <x:c r="S393" s="81" t="n">
        <x:v>3.935318663162134e-8</x:v>
      </x:c>
      <x:c r="T393" s="81" t="n">
        <x:v>2.7481090563200706e-13</x:v>
      </x:c>
    </x:row>
    <x:row r="394">
      <x:c r="A394" s="59" t="n">
        <x:v>391</x:v>
      </x:c>
      <x:c r="B394" s="193" t="n">
        <x:v>0.38998828250914813</x:v>
      </x:c>
      <x:c r="C394" s="83" t="n">
        <x:v>0.13835934508697487</x:v>
      </x:c>
      <x:c r="D394" s="83" t="n">
        <x:v>0.9459382949906796</x:v>
      </x:c>
      <x:c r="E394" s="81" t="n">
        <x:v>0.03980561984976406</x:v>
      </x:c>
      <x:c r="F394" s="81" t="n">
        <x:v>0.8744429651065729</x:v>
      </x:c>
      <x:c r="G394" s="81" t="n">
        <x:v>0.05324511461034266</x:v>
      </x:c>
      <x:c r="H394" s="59" t="n">
        <x:v>85</x:v>
      </x:c>
      <x:c r="I394" s="81" t="n">
        <x:v>0.216639319434762</x:v>
      </x:c>
      <x:c r="J394" s="79" t="n">
        <x:v>0.00111882774400696</x:v>
      </x:c>
      <x:c r="K394" s="81" t="n">
        <x:v>0.27866027886509714</x:v>
      </x:c>
      <x:c r="L394" s="81" t="n">
        <x:v>-0.8764497477344543</x:v>
      </x:c>
      <x:c r="M394" s="80" t="n">
        <x:v>7912.815456477549</x:v>
      </x:c>
      <x:c r="N394" s="82" t="n">
        <x:v>0.19499627117397622</x:v>
      </x:c>
      <x:c r="O394" s="82" t="n">
        <x:v>0.1610752212932802</x:v>
      </x:c>
      <x:c r="P394" s="80" t="n">
        <x:v>15466.255879962784</x:v>
      </x:c>
      <x:c r="Q394" s="81" t="n">
        <x:v>0.009415070951759622</x:v>
      </x:c>
      <x:c r="R394" s="81" t="n">
        <x:v>183.92097536041405</x:v>
      </x:c>
      <x:c r="S394" s="81" t="n">
        <x:v>155.723323435179</x:v>
      </x:c>
      <x:c r="T394" s="81" t="n">
        <x:v>24.23625158137854</x:v>
      </x:c>
    </x:row>
    <x:row r="395">
      <x:c r="A395" s="59" t="n">
        <x:v>392</x:v>
      </x:c>
      <x:c r="B395" s="193" t="n">
        <x:v>0.49800570867955685</x:v>
      </x:c>
      <x:c r="C395" s="83" t="n">
        <x:v>1.3095203157228283</x:v>
      </x:c>
      <x:c r="D395" s="83" t="n">
        <x:v>1.7375822156687668</x:v>
      </x:c>
      <x:c r="E395" s="81" t="n">
        <x:v>0.0721116096016483</x:v>
      </x:c>
      <x:c r="F395" s="81" t="n">
        <x:v>0.26331442382652315</x:v>
      </x:c>
      <x:c r="G395" s="81" t="n">
        <x:v>-0.021275466283489124</x:v>
      </x:c>
      <x:c r="H395" s="59" t="n">
        <x:v>0</x:v>
      </x:c>
      <x:c r="I395" s="81" t="n">
        <x:v>0</x:v>
      </x:c>
      <x:c r="J395" s="79" t="n">
        <x:v>0.09994317579857864</x:v>
      </x:c>
      <x:c r="K395" s="81" t="n">
        <x:v>113.22077234123275</x:v>
      </x:c>
      <x:c r="L395" s="81" t="n">
        <x:v>-0.7092459367666581</x:v>
      </x:c>
      <x:c r="M395" s="80" t="n">
        <x:v>181877.55865385736</x:v>
      </x:c>
      <x:c r="N395" s="82" t="n">
        <x:v>0.22072804741450822</x:v>
      </x:c>
      <x:c r="O395" s="82" t="n">
        <x:v>0.05490388963126246</x:v>
      </x:c>
      <x:c r="P395" s="80" t="n">
        <x:v>468156.606917861</x:v>
      </x:c>
      <x:c r="Q395" s="81" t="n">
        <x:v>0.002147346675035423</x:v>
      </x:c>
      <x:c r="R395" s="81" t="n">
        <x:v>1873.0972859688725</x:v>
      </x:c>
      <x:c r="S395" s="81" t="n">
        <x:v>1465.9095426713493</x:v>
      </x:c>
      <x:c r="T395" s="81" t="n">
        <x:v>2164.9873856553436</x:v>
      </x:c>
    </x:row>
    <x:row r="396">
      <x:c r="A396" s="59" t="n">
        <x:v>393</x:v>
      </x:c>
      <x:c r="B396" s="193" t="n">
        <x:v>0.4431089906021953</x:v>
      </x:c>
      <x:c r="C396" s="83" t="n">
        <x:v>0.7717859056355498</x:v>
      </x:c>
      <x:c r="D396" s="83" t="n">
        <x:v>0.6432487701379016</x:v>
      </x:c>
      <x:c r="E396" s="81" t="n">
        <x:v>-0.08056287479073106</x:v>
      </x:c>
      <x:c r="F396" s="81" t="n">
        <x:v>0.5094774422701449</x:v>
      </x:c>
      <x:c r="G396" s="81" t="n">
        <x:v>0.01698035821196604</x:v>
      </x:c>
      <x:c r="H396" s="59" t="n">
        <x:v>0</x:v>
      </x:c>
      <x:c r="I396" s="81" t="n">
        <x:v>0</x:v>
      </x:c>
      <x:c r="J396" s="79" t="n">
        <x:v>1.0439501989393046e-30</x:v>
      </x:c>
      <x:c r="K396" s="81" t="n">
        <x:v>-1</x:v>
      </x:c>
      <x:c r="L396" s="81" t="n">
        <x:v>-1</x:v>
      </x:c>
      <x:c r="M396" s="80" t="n">
        <x:v>0.000002</x:v>
      </x:c>
      <x:c r="N396" s="82" t="n">
        <x:v>0.20765061985501662</x:v>
      </x:c>
      <x:c r="O396" s="82" t="n">
        <x:v>0.0999376501421341</x:v>
      </x:c>
      <x:c r="P396" s="80" t="n">
        <x:v>343.84687797515704</x:v>
      </x:c>
      <x:c r="Q396" s="81" t="n">
        <x:v>25955542279005.74</x:v>
      </x:c>
      <x:c r="R396" s="81" t="n">
        <x:v>3.9255982967144623</x:v>
      </x:c>
      <x:c r="S396" s="81" t="n">
        <x:v>3.903384833146875e-10</x:v>
      </x:c>
      <x:c r="T396" s="81" t="n">
        <x:v>2.2614240481120713e-26</x:v>
      </x:c>
    </x:row>
    <x:row r="397">
      <x:c r="A397" s="59" t="n">
        <x:v>394</x:v>
      </x:c>
      <x:c r="B397" s="193" t="n">
        <x:v>0.38721461612731223</x:v>
      </x:c>
      <x:c r="C397" s="83" t="n">
        <x:v>0.13745258407245214</x:v>
      </x:c>
      <x:c r="D397" s="83" t="n">
        <x:v>0.37052267402417793</x:v>
      </x:c>
      <x:c r="E397" s="81" t="n">
        <x:v>-0.1566851761239856</x:v>
      </x:c>
      <x:c r="F397" s="81" t="n">
        <x:v>0.5375201404327528</x:v>
      </x:c>
      <x:c r="G397" s="81" t="n">
        <x:v>-0.005003239316671214</x:v>
      </x:c>
      <x:c r="H397" s="59" t="n">
        <x:v>0</x:v>
      </x:c>
      <x:c r="I397" s="81" t="n">
        <x:v>0</x:v>
      </x:c>
      <x:c r="J397" s="79" t="n">
        <x:v>3.374342040067957e-30</x:v>
      </x:c>
      <x:c r="K397" s="81" t="n">
        <x:v>-1</x:v>
      </x:c>
      <x:c r="L397" s="81" t="n">
        <x:v>-1</x:v>
      </x:c>
      <x:c r="M397" s="80" t="n">
        <x:v>0.000002</x:v>
      </x:c>
      <x:c r="N397" s="82" t="n">
        <x:v>0.194335531835578</x:v>
      </x:c>
      <x:c r="O397" s="82" t="n">
        <x:v>0.098677445131829</x:v>
      </x:c>
      <x:c r="P397" s="80" t="n">
        <x:v>113.36464846948613</x:v>
      </x:c>
      <x:c r="Q397" s="81" t="n">
        <x:v>4419701695972.822</x:v>
      </x:c>
      <x:c r="R397" s="81" t="n">
        <x:v>17.03063911787616</x:v>
      </x:c>
      <x:c r="S397" s="81" t="n">
        <x:v>2.6846182667324595e-10</x:v>
      </x:c>
      <x:c r="T397" s="81" t="n">
        <x:v>7.309561551612753e-26</x:v>
      </x:c>
    </x:row>
    <x:row r="398">
      <x:c r="A398" s="59" t="n">
        <x:v>395</x:v>
      </x:c>
      <x:c r="B398" s="193" t="n">
        <x:v>0.697067628055811</x:v>
      </x:c>
      <x:c r="C398" s="83" t="n">
        <x:v>0.5149998897267785</x:v>
      </x:c>
      <x:c r="D398" s="83" t="n">
        <x:v>2.2272213967675425</x:v>
      </x:c>
      <x:c r="E398" s="81" t="n">
        <x:v>0.1764906055802531</x:v>
      </x:c>
      <x:c r="F398" s="81" t="n">
        <x:v>0.8828790503321216</x:v>
      </x:c>
      <x:c r="G398" s="81" t="n">
        <x:v>0.01071561020438039</x:v>
      </x:c>
      <x:c r="H398" s="59" t="n">
        <x:v>47</x:v>
      </x:c>
      <x:c r="I398" s="81" t="n">
        <x:v>0.4370918295346201</x:v>
      </x:c>
      <x:c r="J398" s="79" t="n">
        <x:v>0.07442702604701852</x:v>
      </x:c>
      <x:c r="K398" s="81" t="n">
        <x:v>84.05945833944975</x:v>
      </x:c>
      <x:c r="L398" s="81" t="n">
        <x:v>-0.9834765137714873</x:v>
      </x:c>
      <x:c r="M398" s="80" t="n">
        <x:v>188524.90067483854</x:v>
      </x:c>
      <x:c r="N398" s="82" t="n">
        <x:v>0.2681483290209205</x:v>
      </x:c>
      <x:c r="O398" s="82" t="n">
        <x:v>0.22363884903413028</x:v>
      </x:c>
      <x:c r="P398" s="80" t="n">
        <x:v>444403.88501552853</x:v>
      </x:c>
      <x:c r="Q398" s="81" t="n">
        <x:v>0.004888456435780683</x:v>
      </x:c>
      <x:c r="R398" s="81" t="n">
        <x:v>1580.1351659723975</x:v>
      </x:c>
      <x:c r="S398" s="81" t="n">
        <x:v>2833.435609359001</x:v>
      </x:c>
      <x:c r="T398" s="81" t="n">
        <x:v>1612.2518746890612</x:v>
      </x:c>
    </x:row>
    <x:row r="399">
      <x:c r="A399" s="59" t="n">
        <x:v>396</x:v>
      </x:c>
      <x:c r="B399" s="193" t="n">
        <x:v>0.5525660110637546</x:v>
      </x:c>
      <x:c r="C399" s="83" t="n">
        <x:v>0.14075843085744957</x:v>
      </x:c>
      <x:c r="D399" s="83" t="n">
        <x:v>1.1651327031523888</x:v>
      </x:c>
      <x:c r="E399" s="81" t="n">
        <x:v>0.05035746988019856</x:v>
      </x:c>
      <x:c r="F399" s="81" t="n">
        <x:v>0.3068295460543595</x:v>
      </x:c>
      <x:c r="G399" s="81" t="n">
        <x:v>-0.009425027976533683</x:v>
      </x:c>
      <x:c r="H399" s="59" t="n">
        <x:v>0</x:v>
      </x:c>
      <x:c r="I399" s="81" t="n">
        <x:v>0</x:v>
      </x:c>
      <x:c r="J399" s="79" t="n">
        <x:v>0.0038638312549295075</x:v>
      </x:c>
      <x:c r="K399" s="81" t="n">
        <x:v>3.415807148490866</x:v>
      </x:c>
      <x:c r="L399" s="81" t="n">
        <x:v>-0.6945905071254621</x:v>
      </x:c>
      <x:c r="M399" s="80" t="n">
        <x:v>14869.961508883549</x:v>
      </x:c>
      <x:c r="N399" s="82" t="n">
        <x:v>0.23372533444809374</x:v>
      </x:c>
      <x:c r="O399" s="82" t="n">
        <x:v>0.06774447934045309</x:v>
      </x:c>
      <x:c r="P399" s="80" t="n">
        <x:v>31107.57539981706</x:v>
      </x:c>
      <x:c r="Q399" s="81" t="n">
        <x:v>0.003198922537364193</x:v>
      </x:c>
      <x:c r="R399" s="81" t="n">
        <x:v>890.7679227797819</x:v>
      </x:c>
      <x:c r="S399" s="81" t="n">
        <x:v>515.8697669231686</x:v>
      </x:c>
      <x:c r="T399" s="81" t="n">
        <x:v>83.69902057227013</x:v>
      </x:c>
    </x:row>
    <x:row r="400">
      <x:c r="A400" s="59" t="n">
        <x:v>397</x:v>
      </x:c>
      <x:c r="B400" s="193" t="n">
        <x:v>0.3353103615343571</x:v>
      </x:c>
      <x:c r="C400" s="83" t="n">
        <x:v>2.2103421417219664</x:v>
      </x:c>
      <x:c r="D400" s="83" t="n">
        <x:v>0.18690224940839423</x:v>
      </x:c>
      <x:c r="E400" s="81" t="n">
        <x:v>-0.03623274287449695</x:v>
      </x:c>
      <x:c r="F400" s="81" t="n">
        <x:v>0.5463210813817568</x:v>
      </x:c>
      <x:c r="G400" s="81" t="n">
        <x:v>-0.010964226209271302</x:v>
      </x:c>
      <x:c r="H400" s="59" t="n">
        <x:v>0</x:v>
      </x:c>
      <x:c r="I400" s="81" t="n">
        <x:v>0</x:v>
      </x:c>
      <x:c r="J400" s="79" t="n">
        <x:v>1.2096917091928498e-8</x:v>
      </x:c>
      <x:c r="K400" s="81" t="n">
        <x:v>-0.9999861749518949</x:v>
      </x:c>
      <x:c r="L400" s="81" t="n">
        <x:v>-0.9999861749518949</x:v>
      </x:c>
      <x:c r="M400" s="80" t="n">
        <x:v>60.688505407508686</x:v>
      </x:c>
      <x:c r="N400" s="82" t="n">
        <x:v>0.18197096518676267</x:v>
      </x:c>
      <x:c r="O400" s="82" t="n">
        <x:v>0.09391198058170408</x:v>
      </x:c>
      <x:c r="P400" s="80" t="n">
        <x:v>884.6151399863085</x:v>
      </x:c>
      <x:c r="Q400" s="81" t="n">
        <x:v>0.1393720140535296</x:v>
      </x:c>
      <x:c r="R400" s="81" t="n">
        <x:v>5.09266767465643</x:v>
      </x:c>
      <x:c r="S400" s="81" t="n">
        <x:v>0.0014713313930728776</x:v>
      </x:c>
      <x:c r="T400" s="81" t="n">
        <x:v>0.0002620456344325631</x:v>
      </x:c>
    </x:row>
    <x:row r="401">
      <x:c r="A401" s="59" t="n">
        <x:v>398</x:v>
      </x:c>
      <x:c r="B401" s="193" t="n">
        <x:v>0.6684235595166683</x:v>
      </x:c>
      <x:c r="C401" s="83" t="n">
        <x:v>1.9211834205543992</x:v>
      </x:c>
      <x:c r="D401" s="83" t="n">
        <x:v>2.134981281159344</x:v>
      </x:c>
      <x:c r="E401" s="81" t="n">
        <x:v>-0.08537984315808765</x:v>
      </x:c>
      <x:c r="F401" s="81" t="n">
        <x:v>0.7849729428882711</x:v>
      </x:c>
      <x:c r="G401" s="81" t="n">
        <x:v>0.009594087694343618</x:v>
      </x:c>
      <x:c r="H401" s="59" t="n">
        <x:v>0</x:v>
      </x:c>
      <x:c r="I401" s="81" t="n">
        <x:v>0</x:v>
      </x:c>
      <x:c r="J401" s="79" t="n">
        <x:v>2.6532263338124496e-65</x:v>
      </x:c>
      <x:c r="K401" s="81" t="n">
        <x:v>-1</x:v>
      </x:c>
      <x:c r="L401" s="81" t="n">
        <x:v>-1</x:v>
      </x:c>
      <x:c r="M401" s="80" t="n">
        <x:v>0.000002</x:v>
      </x:c>
      <x:c r="N401" s="82" t="n">
        <x:v>0.2613247748186113</x:v>
      </x:c>
      <x:c r="O401" s="82" t="n">
        <x:v>0.19377877854125122</x:v>
      </x:c>
      <x:c r="P401" s="80" t="n">
        <x:v>693.8603873832282</x:v>
      </x:c>
      <x:c r="Q401" s="81" t="n">
        <x:v>9.679365762298444e+47</x:v>
      </x:c>
      <x:c r="R401" s="81" t="n">
        <x:v>0.9577262996878708</x:v>
      </x:c>
      <x:c r="S401" s="81" t="n">
        <x:v>7.191046007188504e-10</x:v>
      </x:c>
      <x:c r="T401" s="81" t="n">
        <x:v>5.747467496499366e-61</x:v>
      </x:c>
    </x:row>
    <x:row r="402">
      <x:c r="A402" s="59" t="n">
        <x:v>399</x:v>
      </x:c>
      <x:c r="B402" s="193" t="n">
        <x:v>0.30880059078335764</x:v>
      </x:c>
      <x:c r="C402" s="83" t="n">
        <x:v>0.11662719450631598</x:v>
      </x:c>
      <x:c r="D402" s="83" t="n">
        <x:v>0.4955822509879685</x:v>
      </x:c>
      <x:c r="E402" s="81" t="n">
        <x:v>-0.022994142894486248</x:v>
      </x:c>
      <x:c r="F402" s="81" t="n">
        <x:v>0.6151623559882864</x:v>
      </x:c>
      <x:c r="G402" s="81" t="n">
        <x:v>0.016060398036138412</x:v>
      </x:c>
      <x:c r="H402" s="59" t="n">
        <x:v>0</x:v>
      </x:c>
      <x:c r="I402" s="81" t="n">
        <x:v>0</x:v>
      </x:c>
      <x:c r="J402" s="79" t="n">
        <x:v>9.29521562207908e-13</x:v>
      </x:c>
      <x:c r="K402" s="81" t="n">
        <x:v>-0.9999999989376896</x:v>
      </x:c>
      <x:c r="L402" s="81" t="n">
        <x:v>-0.9999999989376896</x:v>
      </x:c>
      <x:c r="M402" s="80" t="n">
        <x:v>0.18763293209463439</x:v>
      </x:c>
      <x:c r="N402" s="82" t="n">
        <x:v>0.17565584073567295</x:v>
      </x:c>
      <x:c r="O402" s="82" t="n">
        <x:v>0.10207591662468653</x:v>
      </x:c>
      <x:c r="P402" s="80" t="n">
        <x:v>438.4253241632626</x:v>
      </x:c>
      <x:c r="Q402" s="81" t="n">
        <x:v>9.062303195631351</x:v>
      </x:c>
      <x:c r="R402" s="81" t="n">
        <x:v>56.585048006389655</x:v>
      </x:c>
      <x:c r="S402" s="81" t="n">
        <x:v>0.00004563794847124071</x:v>
      </x:c>
      <x:c r="T402" s="81" t="n">
        <x:v>2.0135466386724424e-8</x:v>
      </x:c>
    </x:row>
    <x:row r="403">
      <x:c r="A403" s="59" t="n">
        <x:v>400</x:v>
      </x:c>
      <x:c r="B403" s="193" t="n">
        <x:v>0.8089063867926598</x:v>
      </x:c>
      <x:c r="C403" s="83" t="n">
        <x:v>0.5125612356083914</x:v>
      </x:c>
      <x:c r="D403" s="83" t="n">
        <x:v>0.4037193274793503</x:v>
      </x:c>
      <x:c r="E403" s="81" t="n">
        <x:v>0.07898008664911213</x:v>
      </x:c>
      <x:c r="F403" s="81" t="n">
        <x:v>0.26321852607652546</x:v>
      </x:c>
      <x:c r="G403" s="81" t="n">
        <x:v>-0.020161993296329252</x:v>
      </x:c>
      <x:c r="H403" s="59" t="n">
        <x:v>0</x:v>
      </x:c>
      <x:c r="I403" s="81" t="n">
        <x:v>0</x:v>
      </x:c>
      <x:c r="J403" s="79" t="n">
        <x:v>0.0012026632281740837</x:v>
      </x:c>
      <x:c r="K403" s="81" t="n">
        <x:v>0.3744722607703814</x:v>
      </x:c>
      <x:c r="L403" s="81" t="n">
        <x:v>-0.6571160401017216</x:v>
      </x:c>
      <x:c r="M403" s="80" t="n">
        <x:v>9958.03839392327</x:v>
      </x:c>
      <x:c r="N403" s="82" t="n">
        <x:v>0.29479041832876374</x:v>
      </x:c>
      <x:c r="O403" s="82" t="n">
        <x:v>0.0732994571255301</x:v>
      </x:c>
      <x:c r="P403" s="80" t="n">
        <x:v>8322.690453430965</x:v>
      </x:c>
      <x:c r="Q403" s="81" t="n">
        <x:v>0.0021262366422071253</x:v>
      </x:c>
      <x:c r="R403" s="81" t="n">
        <x:v>106.82215966870199</x:v>
      </x:c>
      <x:c r="S403" s="81" t="n">
        <x:v>44.54294064033015</x:v>
      </x:c>
      <x:c r="T403" s="81" t="n">
        <x:v>26.052311199675287</x:v>
      </x:c>
    </x:row>
    <x:row r="404">
      <x:c r="A404" s="59" t="n">
        <x:v>401</x:v>
      </x:c>
      <x:c r="B404" s="193" t="n">
        <x:v>0.8597516991198064</x:v>
      </x:c>
      <x:c r="C404" s="83" t="n">
        <x:v>1.7596894586089544</x:v>
      </x:c>
      <x:c r="D404" s="83" t="n">
        <x:v>2.061551503377624</x:v>
      </x:c>
      <x:c r="E404" s="81" t="n">
        <x:v>0.045953913582631206</x:v>
      </x:c>
      <x:c r="F404" s="81" t="n">
        <x:v>0.29918908096151425</x:v>
      </x:c>
      <x:c r="G404" s="81" t="n">
        <x:v>0.0005784540157822823</x:v>
      </x:c>
      <x:c r="H404" s="59" t="n">
        <x:v>0</x:v>
      </x:c>
      <x:c r="I404" s="81" t="n">
        <x:v>0</x:v>
      </x:c>
      <x:c r="J404" s="79" t="n">
        <x:v>0.05102501336884046</x:v>
      </x:c>
      <x:c r="K404" s="81" t="n">
        <x:v>57.31430099296053</x:v>
      </x:c>
      <x:c r="L404" s="81" t="n">
        <x:v>-0.6689835316601577</x:v>
      </x:c>
      <x:c r="M404" s="80" t="n">
        <x:v>148536.54397459253</x:v>
      </x:c>
      <x:c r="N404" s="82" t="n">
        <x:v>0.3069027250746966</x:v>
      </x:c>
      <x:c r="O404" s="82" t="n">
        <x:v>0.08673960222950138</x:v>
      </x:c>
      <x:c r="P404" s="80" t="n">
        <x:v>478174.08208669425</x:v>
      </x:c>
      <x:c r="Q404" s="81" t="n">
        <x:v>0.005002681250934042</x:v>
      </x:c>
      <x:c r="R404" s="81" t="n">
        <x:v>495.50318913140455</x:v>
      </x:c>
      <x:c r="S404" s="81" t="n">
        <x:v>589.089329735409</x:v>
      </x:c>
      <x:c r="T404" s="81" t="n">
        <x:v>1105.3131883568374</x:v>
      </x:c>
    </x:row>
    <x:row r="405">
      <x:c r="A405" s="59" t="n">
        <x:v>402</x:v>
      </x:c>
      <x:c r="B405" s="193" t="n">
        <x:v>0.7533722558990121</x:v>
      </x:c>
      <x:c r="C405" s="83" t="n">
        <x:v>0.10526515388036117</x:v>
      </x:c>
      <x:c r="D405" s="83" t="n">
        <x:v>0.30719564986739506</x:v>
      </x:c>
      <x:c r="E405" s="81" t="n">
        <x:v>-0.14101215692507188</x:v>
      </x:c>
      <x:c r="F405" s="81" t="n">
        <x:v>0.6671570477890783</x:v>
      </x:c>
      <x:c r="G405" s="81" t="n">
        <x:v>-0.03817418233833911</x:v>
      </x:c>
      <x:c r="H405" s="59" t="n">
        <x:v>43</x:v>
      </x:c>
      <x:c r="I405" s="81" t="n">
        <x:v>0.26080997772514825</x:v>
      </x:c>
      <x:c r="J405" s="79" t="n">
        <x:v>5.2173064665918746e-24</x:v>
      </x:c>
      <x:c r="K405" s="81" t="n">
        <x:v>-1</x:v>
      </x:c>
      <x:c r="L405" s="81" t="n">
        <x:v>-1</x:v>
      </x:c>
      <x:c r="M405" s="80" t="n">
        <x:v>0.000002</x:v>
      </x:c>
      <x:c r="N405" s="82" t="n">
        <x:v>0.28156114708494284</x:v>
      </x:c>
      <x:c r="O405" s="82" t="n">
        <x:v>0.17744826032109498</x:v>
      </x:c>
      <x:c r="P405" s="80" t="n">
        <x:v>106.62005821264378</x:v>
      </x:c>
      <x:c r="Q405" s="81" t="n">
        <x:v>3133157.080072429</x:v>
      </x:c>
      <x:c r="R405" s="81" t="n">
        <x:v>25.231974883387313</x:v>
      </x:c>
      <x:c r="S405" s="81" t="n">
        <x:v>1.5163260466173563e-10</x:v>
      </x:c>
      <x:c r="T405" s="81" t="n">
        <x:v>1.1301824858991625e-19</x:v>
      </x:c>
    </x:row>
    <x:row r="406">
      <x:c r="A406" s="59" t="n">
        <x:v>403</x:v>
      </x:c>
      <x:c r="B406" s="193" t="n">
        <x:v>0.4588353993371129</x:v>
      </x:c>
      <x:c r="C406" s="83" t="n">
        <x:v>0.8121346835373492</x:v>
      </x:c>
      <x:c r="D406" s="83" t="n">
        <x:v>0.4002778702725098</x:v>
      </x:c>
      <x:c r="E406" s="81" t="n">
        <x:v>0.18756832637992332</x:v>
      </x:c>
      <x:c r="F406" s="81" t="n">
        <x:v>0.3203373780590482</x:v>
      </x:c>
      <x:c r="G406" s="81" t="n">
        <x:v>-0.007169440750455527</x:v>
      </x:c>
      <x:c r="H406" s="59" t="n">
        <x:v>48</x:v>
      </x:c>
      <x:c r="I406" s="81" t="n">
        <x:v>0.1110482276417315</x:v>
      </x:c>
      <x:c r="J406" s="79" t="n">
        <x:v>0.0198928347949581</x:v>
      </x:c>
      <x:c r="K406" s="81" t="n">
        <x:v>21.734668337094973</x:v>
      </x:c>
      <x:c r="L406" s="81" t="n">
        <x:v>-0.8053376046067482</x:v>
      </x:c>
      <x:c r="M406" s="80" t="n">
        <x:v>56578.26904834482</x:v>
      </x:c>
      <x:c r="N406" s="82" t="n">
        <x:v>0.21139694528583794</x:v>
      </x:c>
      <x:c r="O406" s="82" t="n">
        <x:v>0.06397013479352992</x:v>
      </x:c>
      <x:c r="P406" s="80" t="n">
        <x:v>41612.28047451078</x:v>
      </x:c>
      <x:c r="Q406" s="81" t="n">
        <x:v>0.0009471401150532977</x:v>
      </x:c>
      <x:c r="R406" s="81" t="n">
        <x:v>497.7336225360893</x:v>
      </x:c>
      <x:c r="S406" s="81" t="n">
        <x:v>460.6292033119016</x:v>
      </x:c>
      <x:c r="T406" s="81" t="n">
        <x:v>430.92223207722503</x:v>
      </x:c>
    </x:row>
    <x:row r="407">
      <x:c r="A407" s="59" t="n">
        <x:v>404</x:v>
      </x:c>
      <x:c r="B407" s="193" t="n">
        <x:v>0.287533468939364</x:v>
      </x:c>
      <x:c r="C407" s="83" t="n">
        <x:v>1.7072926027867146</x:v>
      </x:c>
      <x:c r="D407" s="83" t="n">
        <x:v>0.818549466996426</x:v>
      </x:c>
      <x:c r="E407" s="81" t="n">
        <x:v>0.029524814894439602</x:v>
      </x:c>
      <x:c r="F407" s="81" t="n">
        <x:v>0.33383322015870365</x:v>
      </x:c>
      <x:c r="G407" s="81" t="n">
        <x:v>0.05745465674432178</x:v>
      </x:c>
      <x:c r="H407" s="59" t="n">
        <x:v>25</x:v>
      </x:c>
      <x:c r="I407" s="81" t="n">
        <x:v>0.1860442016273737</x:v>
      </x:c>
      <x:c r="J407" s="79" t="n">
        <x:v>0.023820272353641928</x:v>
      </x:c>
      <x:c r="K407" s="81" t="n">
        <x:v>26.223168404162205</x:v>
      </x:c>
      <x:c r="L407" s="81" t="n">
        <x:v>-0.4593924284252979</x:v>
      </x:c>
      <x:c r="M407" s="80" t="n">
        <x:v>80932.28962994083</x:v>
      </x:c>
      <x:c r="N407" s="82" t="n">
        <x:v>0.17058961355389915</x:v>
      </x:c>
      <x:c r="O407" s="82" t="n">
        <x:v>0.05379638325229101</x:v>
      </x:c>
      <x:c r="P407" s="80" t="n">
        <x:v>133963.47804139863</x:v>
      </x:c>
      <x:c r="Q407" s="81" t="n">
        <x:v>0.004567013252715967</x:v>
      </x:c>
      <x:c r="R407" s="81" t="n">
        <x:v>35.46752869999705</x:v>
      </x:c>
      <x:c r="S407" s="81" t="n">
        <x:v>280.6856007854545</x:v>
      </x:c>
      <x:c r="T407" s="81" t="n">
        <x:v>515.9991040553159</x:v>
      </x:c>
    </x:row>
    <x:row r="408">
      <x:c r="A408" s="59" t="n">
        <x:v>405</x:v>
      </x:c>
      <x:c r="B408" s="193" t="n">
        <x:v>0.391583308018744</x:v>
      </x:c>
      <x:c r="C408" s="83" t="n">
        <x:v>0.234743947280294</x:v>
      </x:c>
      <x:c r="D408" s="83" t="n">
        <x:v>0.4464599789579016</x:v>
      </x:c>
      <x:c r="E408" s="81" t="n">
        <x:v>0.2</x:v>
      </x:c>
      <x:c r="F408" s="81" t="n">
        <x:v>0.5384309508255682</x:v>
      </x:c>
      <x:c r="G408" s="81" t="n">
        <x:v>-0.021510539297823303</x:v>
      </x:c>
      <x:c r="H408" s="59" t="n">
        <x:v>78</x:v>
      </x:c>
      <x:c r="I408" s="81" t="n">
        <x:v>0.29390483247116206</x:v>
      </x:c>
      <x:c r="J408" s="79" t="n">
        <x:v>0.00400995943795747</x:v>
      </x:c>
      <x:c r="K408" s="81" t="n">
        <x:v>3.5828107862371095</x:v>
      </x:c>
      <x:c r="L408" s="81" t="n">
        <x:v>-0.9414689762808759</x:v>
      </x:c>
      <x:c r="M408" s="80" t="n">
        <x:v>17718.541778854822</x:v>
      </x:c>
      <x:c r="N408" s="82" t="n">
        <x:v>0.1953762361570902</x:v>
      </x:c>
      <x:c r="O408" s="82" t="n">
        <x:v>0.09937398305627938</x:v>
      </x:c>
      <x:c r="P408" s="80" t="n">
        <x:v>14663.086743563752</x:v>
      </x:c>
      <x:c r="Q408" s="81" t="n">
        <x:v>0.0013698522402772599</x:v>
      </x:c>
      <x:c r="R408" s="81" t="n">
        <x:v>785.9957183933146</x:v>
      </x:c>
      <x:c r="S408" s="81" t="n">
        <x:v>319.70425399117374</x:v>
      </x:c>
      <x:c r="T408" s="81" t="n">
        <x:v>86.86447604650743</x:v>
      </x:c>
    </x:row>
    <x:row r="409">
      <x:c r="A409" s="59" t="n">
        <x:v>406</x:v>
      </x:c>
      <x:c r="B409" s="193" t="n">
        <x:v>0.6202271284535528</x:v>
      </x:c>
      <x:c r="C409" s="83" t="n">
        <x:v>0.18101996880865204</x:v>
      </x:c>
      <x:c r="D409" s="83" t="n">
        <x:v>1.3733633186079148</x:v>
      </x:c>
      <x:c r="E409" s="81" t="n">
        <x:v>-0.046659819682750854</x:v>
      </x:c>
      <x:c r="F409" s="81" t="n">
        <x:v>0.28055183606920764</x:v>
      </x:c>
      <x:c r="G409" s="81" t="n">
        <x:v>0.015887839675302714</x:v>
      </x:c>
      <x:c r="H409" s="59" t="n">
        <x:v>0</x:v>
      </x:c>
      <x:c r="I409" s="81" t="n">
        <x:v>0</x:v>
      </x:c>
      <x:c r="J409" s="79" t="n">
        <x:v>3.4571261463034483e-34</x:v>
      </x:c>
      <x:c r="K409" s="81" t="n">
        <x:v>-1</x:v>
      </x:c>
      <x:c r="L409" s="81" t="n">
        <x:v>-1</x:v>
      </x:c>
      <x:c r="M409" s="80" t="n">
        <x:v>0.000002</x:v>
      </x:c>
      <x:c r="N409" s="82" t="n">
        <x:v>0.2498434812562948</x:v>
      </x:c>
      <x:c r="O409" s="82" t="n">
        <x:v>0.06621434384598492</x:v>
      </x:c>
      <x:c r="P409" s="80" t="n">
        <x:v>409.7507583870965</x:v>
      </x:c>
      <x:c r="Q409" s="81" t="n">
        <x:v>131081701640593020</x:v>
      </x:c>
      <x:c r="R409" s="81" t="n">
        <x:v>12.943002438388532</x:v>
      </x:c>
      <x:c r="S409" s="81" t="n">
        <x:v>1.234020603134438e-9</x:v>
      </x:c>
      <x:c r="T409" s="81" t="n">
        <x:v>7.488889999303667e-30</x:v>
      </x:c>
    </x:row>
    <x:row r="410">
      <x:c r="A410" s="59" t="n">
        <x:v>407</x:v>
      </x:c>
      <x:c r="B410" s="193" t="n">
        <x:v>0.8644861340522767</x:v>
      </x:c>
      <x:c r="C410" s="83" t="n">
        <x:v>0.12173225900468597</x:v>
      </x:c>
      <x:c r="D410" s="83" t="n">
        <x:v>0.5362011545731357</x:v>
      </x:c>
      <x:c r="E410" s="81" t="n">
        <x:v>-0.010556268181244834</x:v>
      </x:c>
      <x:c r="F410" s="81" t="n">
        <x:v>0.5469114600680769</x:v>
      </x:c>
      <x:c r="G410" s="81" t="n">
        <x:v>0.02295195693139535</x:v>
      </x:c>
      <x:c r="H410" s="59" t="n">
        <x:v>0</x:v>
      </x:c>
      <x:c r="I410" s="81" t="n">
        <x:v>0</x:v>
      </x:c>
      <x:c r="J410" s="79" t="n">
        <x:v>6.339141579546193e-10</x:v>
      </x:c>
      <x:c r="K410" s="81" t="n">
        <x:v>-0.9999992755266767</x:v>
      </x:c>
      <x:c r="L410" s="81" t="n">
        <x:v>-0.9999992755266767</x:v>
      </x:c>
      <x:c r="M410" s="80" t="n">
        <x:v>4.875292720411538</x:v>
      </x:c>
      <x:c r="N410" s="82" t="n">
        <x:v>0.30803055624626563</x:v>
      </x:c>
      <x:c r="O410" s="82" t="n">
        <x:v>0.15914088383030656</x:v>
      </x:c>
      <x:c r="P410" s="80" t="n">
        <x:v>525.5820895987978</x:v>
      </x:c>
      <x:c r="Q410" s="81" t="n">
        <x:v>0.7130457558557365</x:v>
      </x:c>
      <x:c r="R410" s="81" t="n">
        <x:v>53.61022311062914</x:v>
      </x:c>
      <x:c r="S410" s="81" t="n">
        <x:v>0.0014621174011885526</x:v>
      </x:c>
      <x:c r="T410" s="81" t="n">
        <x:v>0.000013731964634844016</x:v>
      </x:c>
    </x:row>
    <x:row r="411">
      <x:c r="A411" s="59" t="n">
        <x:v>408</x:v>
      </x:c>
      <x:c r="B411" s="193" t="n">
        <x:v>0.21682628672569992</x:v>
      </x:c>
      <x:c r="C411" s="83" t="n">
        <x:v>1.429073348701746</x:v>
      </x:c>
      <x:c r="D411" s="83" t="n">
        <x:v>0.3918683525615161</x:v>
      </x:c>
      <x:c r="E411" s="81" t="n">
        <x:v>0.15092650035445096</x:v>
      </x:c>
      <x:c r="F411" s="81" t="n">
        <x:v>0.2911519227665849</x:v>
      </x:c>
      <x:c r="G411" s="81" t="n">
        <x:v>0.01575729819138642</x:v>
      </x:c>
      <x:c r="H411" s="59" t="n">
        <x:v>0</x:v>
      </x:c>
      <x:c r="I411" s="81" t="n">
        <x:v>0</x:v>
      </x:c>
      <x:c r="J411" s="79" t="n">
        <x:v>0.08266383012441476</x:v>
      </x:c>
      <x:c r="K411" s="81" t="n">
        <x:v>93.47294871361689</x:v>
      </x:c>
      <x:c r="L411" s="81" t="n">
        <x:v>-0.4538928696909126</x:v>
      </x:c>
      <x:c r="M411" s="80" t="n">
        <x:v>150861.05376328432</x:v>
      </x:c>
      <x:c r="N411" s="82" t="n">
        <x:v>0.15374583699093794</x:v>
      </x:c>
      <x:c r="O411" s="82" t="n">
        <x:v>0.04228574334549384</x:v>
      </x:c>
      <x:c r="P411" s="80" t="n">
        <x:v>109679.03812398488</x:v>
      </x:c>
      <x:c r="Q411" s="81" t="n">
        <x:v>0.0007910599874144814</x:v>
      </x:c>
      <x:c r="R411" s="81" t="n">
        <x:v>349.2208048336161</x:v>
      </x:c>
      <x:c r="S411" s="81" t="n">
        <x:v>1088.5677305029799</x:v>
      </x:c>
      <x:c r="T411" s="81" t="n">
        <x:v>1790.6790337540926</x:v>
      </x:c>
    </x:row>
    <x:row r="412">
      <x:c r="A412" s="59" t="n">
        <x:v>409</x:v>
      </x:c>
      <x:c r="B412" s="193" t="n">
        <x:v>0.371819119155407</x:v>
      </x:c>
      <x:c r="C412" s="83" t="n">
        <x:v>0.23842626699041547</x:v>
      </x:c>
      <x:c r="D412" s="83" t="n">
        <x:v>1.7472631457195082</x:v>
      </x:c>
      <x:c r="E412" s="81" t="n">
        <x:v>0.10867479190694762</x:v>
      </x:c>
      <x:c r="F412" s="81" t="n">
        <x:v>0.7204946769052185</x:v>
      </x:c>
      <x:c r="G412" s="81" t="n">
        <x:v>0.014694207440880678</x:v>
      </x:c>
      <x:c r="H412" s="59" t="n">
        <x:v>0</x:v>
      </x:c>
      <x:c r="I412" s="81" t="n">
        <x:v>0</x:v>
      </x:c>
      <x:c r="J412" s="79" t="n">
        <x:v>0.03147684548982379</x:v>
      </x:c>
      <x:c r="K412" s="81" t="n">
        <x:v>34.97353770265576</x:v>
      </x:c>
      <x:c r="L412" s="81" t="n">
        <x:v>-0.814751658678439</x:v>
      </x:c>
      <x:c r="M412" s="80" t="n">
        <x:v>70225.91778559</x:v>
      </x:c>
      <x:c r="N412" s="82" t="n">
        <x:v>0.19066803579130193</x:v>
      </x:c>
      <x:c r="O412" s="82" t="n">
        <x:v>0.12977158558733545</x:v>
      </x:c>
      <x:c r="P412" s="80" t="n">
        <x:v>166281.34929804967</x:v>
      </x:c>
      <x:c r="Q412" s="81" t="n">
        <x:v>0.0036213169514512106</x:v>
      </x:c>
      <x:c r="R412" s="81" t="n">
        <x:v>2074.052613095735</x:v>
      </x:c>
      <x:c r="S412" s="81" t="n">
        <x:v>2506.6995947293094</x:v>
      </x:c>
      <x:c r="T412" s="81" t="n">
        <x:v>681.857194162325</x:v>
      </x:c>
    </x:row>
    <x:row r="413">
      <x:c r="A413" s="59" t="n">
        <x:v>410</x:v>
      </x:c>
      <x:c r="B413" s="193" t="n">
        <x:v>0.585482326336205</x:v>
      </x:c>
      <x:c r="C413" s="83" t="n">
        <x:v>0.9519501997873656</x:v>
      </x:c>
      <x:c r="D413" s="83" t="n">
        <x:v>1.6938755029595893</x:v>
      </x:c>
      <x:c r="E413" s="81" t="n">
        <x:v>-0.01819127789417532</x:v>
      </x:c>
      <x:c r="F413" s="81" t="n">
        <x:v>0.5073183499625884</x:v>
      </x:c>
      <x:c r="G413" s="81" t="n">
        <x:v>0.021592522097575877</x:v>
      </x:c>
      <x:c r="H413" s="59" t="n">
        <x:v>25</x:v>
      </x:c>
      <x:c r="I413" s="81" t="n">
        <x:v>0.46974069541320207</x:v>
      </x:c>
      <x:c r="J413" s="79" t="n">
        <x:v>2.0518904828437845e-24</x:v>
      </x:c>
      <x:c r="K413" s="81" t="n">
        <x:v>-1</x:v>
      </x:c>
      <x:c r="L413" s="81" t="n">
        <x:v>-1</x:v>
      </x:c>
      <x:c r="M413" s="80" t="n">
        <x:v>0.000002</x:v>
      </x:c>
      <x:c r="N413" s="82" t="n">
        <x:v>0.24156661792690293</x:v>
      </x:c>
      <x:c r="O413" s="82" t="n">
        <x:v>0.11576797375927005</x:v>
      </x:c>
      <x:c r="P413" s="80" t="n">
        <x:v>1476.0467510333103</x:v>
      </x:c>
      <x:c r="Q413" s="81" t="n">
        <x:v>55107002.42398951</x:v>
      </x:c>
      <x:c r="R413" s="81" t="n">
        <x:v>5.956925727792635</x:v>
      </x:c>
      <x:c r="S413" s="81" t="n">
        <x:v>9.85815421969766e-10</x:v>
      </x:c>
      <x:c r="T413" s="81" t="n">
        <x:v>4.444842758505002e-20</x:v>
      </x:c>
    </x:row>
    <x:row r="414">
      <x:c r="A414" s="59" t="n">
        <x:v>411</x:v>
      </x:c>
      <x:c r="B414" s="193" t="n">
        <x:v>0.9238631492480636</x:v>
      </x:c>
      <x:c r="C414" s="83" t="n">
        <x:v>0.9256868830299559</x:v>
      </x:c>
      <x:c r="D414" s="83" t="n">
        <x:v>0.6761844078739735</x:v>
      </x:c>
      <x:c r="E414" s="81" t="n">
        <x:v>0.023183568084389445</x:v>
      </x:c>
      <x:c r="F414" s="81" t="n">
        <x:v>0.7062857574317605</x:v>
      </x:c>
      <x:c r="G414" s="81" t="n">
        <x:v>-0.016843565646854918</x:v>
      </x:c>
      <x:c r="H414" s="59" t="n">
        <x:v>0</x:v>
      </x:c>
      <x:c r="I414" s="81" t="n">
        <x:v>0</x:v>
      </x:c>
      <x:c r="J414" s="79" t="n">
        <x:v>0.000056002882009217456</x:v>
      </x:c>
      <x:c r="K414" s="81" t="n">
        <x:v>-0.9359967062751801</x:v>
      </x:c>
      <x:c r="L414" s="81" t="n">
        <x:v>-0.938425681394345</x:v>
      </x:c>
      <x:c r="M414" s="80" t="n">
        <x:v>2597.01322168855</x:v>
      </x:c>
      <x:c r="N414" s="82" t="n">
        <x:v>0.3221752745849373</x:v>
      </x:c>
      <x:c r="O414" s="82" t="n">
        <x:v>0.214953043077271</x:v>
      </x:c>
      <x:c r="P414" s="80" t="n">
        <x:v>4594.073320187001</x:v>
      </x:c>
      <x:c r="Q414" s="81" t="n">
        <x:v>0.018150542324251267</x:v>
      </x:c>
      <x:c r="R414" s="81" t="n">
        <x:v>17.503517763190025</x:v>
      </x:c>
      <x:c r="S414" s="81" t="n">
        <x:v>1.4553730656084034</x:v>
      </x:c>
      <x:c r="T414" s="81" t="n">
        <x:v>1.2131446908856853</x:v>
      </x:c>
    </x:row>
    <x:row r="415">
      <x:c r="A415" s="59" t="n">
        <x:v>412</x:v>
      </x:c>
      <x:c r="B415" s="193" t="n">
        <x:v>0.406765359826386</x:v>
      </x:c>
      <x:c r="C415" s="83" t="n">
        <x:v>1.995653564363998</x:v>
      </x:c>
      <x:c r="D415" s="83" t="n">
        <x:v>0.43191538480304736</x:v>
      </x:c>
      <x:c r="E415" s="81" t="n">
        <x:v>-0.04893278915387422</x:v>
      </x:c>
      <x:c r="F415" s="81" t="n">
        <x:v>0.4545579718542285</x:v>
      </x:c>
      <x:c r="G415" s="81" t="n">
        <x:v>-0.021929485653266346</x:v>
      </x:c>
      <x:c r="H415" s="59" t="n">
        <x:v>43</x:v>
      </x:c>
      <x:c r="I415" s="81" t="n">
        <x:v>0.13901629168540242</x:v>
      </x:c>
      <x:c r="J415" s="79" t="n">
        <x:v>1.5584171778216725e-15</x:v>
      </x:c>
      <x:c r="K415" s="81" t="n">
        <x:v>-0.999999999998219</x:v>
      </x:c>
      <x:c r="L415" s="81" t="n">
        <x:v>-0.999999999998219</x:v>
      </x:c>
      <x:c r="M415" s="80" t="n">
        <x:v>0.020804076527900988</x:v>
      </x:c>
      <x:c r="N415" s="82" t="n">
        <x:v>0.1989928855611418</x:v>
      </x:c>
      <x:c r="O415" s="82" t="n">
        <x:v>0.08544718705323404</x:v>
      </x:c>
      <x:c r="P415" s="80" t="n">
        <x:v>858.7400436288347</x:v>
      </x:c>
      <x:c r="Q415" s="81" t="n">
        <x:v>289.0490696527279</x:v>
      </x:c>
      <x:c r="R415" s="81" t="n">
        <x:v>3.588894729661541</x:v>
      </x:c>
      <x:c r="S415" s="81" t="n">
        <x:v>0.0000010352193252576468</x:v>
      </x:c>
      <x:c r="T415" s="81" t="n">
        <x:v>3.375871843788764e-11</x:v>
      </x:c>
    </x:row>
    <x:row r="416">
      <x:c r="A416" s="59" t="n">
        <x:v>413</x:v>
      </x:c>
      <x:c r="B416" s="193" t="n">
        <x:v>0.3533108200877905</x:v>
      </x:c>
      <x:c r="C416" s="83" t="n">
        <x:v>0.6166738886594737</x:v>
      </x:c>
      <x:c r="D416" s="83" t="n">
        <x:v>0.37720639209623896</x:v>
      </x:c>
      <x:c r="E416" s="81" t="n">
        <x:v>0.020636371704359235</x:v>
      </x:c>
      <x:c r="F416" s="81" t="n">
        <x:v>0.6284389478620143</x:v>
      </x:c>
      <x:c r="G416" s="81" t="n">
        <x:v>-0.021491158349474914</x:v>
      </x:c>
      <x:c r="H416" s="59" t="n">
        <x:v>0</x:v>
      </x:c>
      <x:c r="I416" s="81" t="n">
        <x:v>0</x:v>
      </x:c>
      <x:c r="J416" s="79" t="n">
        <x:v>0.00003320077548977756</x:v>
      </x:c>
      <x:c r="K416" s="81" t="n">
        <x:v>-0.9620562565831113</x:v>
      </x:c>
      <x:c r="L416" s="81" t="n">
        <x:v>-0.9620562565831113</x:v>
      </x:c>
      <x:c r="M416" s="80" t="n">
        <x:v>1629.4340679879242</x:v>
      </x:c>
      <x:c r="N416" s="82" t="n">
        <x:v>0.18625901192278832</x:v>
      </x:c>
      <x:c r="O416" s="82" t="n">
        <x:v>0.11057356946969116</x:v>
      </x:c>
      <x:c r="P416" s="80" t="n">
        <x:v>1962.209112316118</x:v>
      </x:c>
      <x:c r="Q416" s="81" t="n">
        <x:v>0.009261574780387036</x:v>
      </x:c>
      <x:c r="R416" s="81" t="n">
        <x:v>25.09812969742114</x:v>
      </x:c>
      <x:c r="S416" s="81" t="n">
        <x:v>1.130166287112914</x:v>
      </x:c>
      <x:c r="T416" s="81" t="n">
        <x:v>0.7192012816783612</x:v>
      </x:c>
    </x:row>
    <x:row r="417">
      <x:c r="A417" s="59" t="n">
        <x:v>414</x:v>
      </x:c>
      <x:c r="B417" s="193" t="n">
        <x:v>0.37419874351471666</x:v>
      </x:c>
      <x:c r="C417" s="83" t="n">
        <x:v>0.44980078227437015</x:v>
      </x:c>
      <x:c r="D417" s="83" t="n">
        <x:v>1.814632465954755</x:v>
      </x:c>
      <x:c r="E417" s="81" t="n">
        <x:v>0.11637206713346011</x:v>
      </x:c>
      <x:c r="F417" s="81" t="n">
        <x:v>0.7641182344872505</x:v>
      </x:c>
      <x:c r="G417" s="81" t="n">
        <x:v>0.001337804606102124</x:v>
      </x:c>
      <x:c r="H417" s="59" t="n">
        <x:v>0</x:v>
      </x:c>
      <x:c r="I417" s="81" t="n">
        <x:v>0</x:v>
      </x:c>
      <x:c r="J417" s="79" t="n">
        <x:v>0.036163226134518826</x:v>
      </x:c>
      <x:c r="K417" s="81" t="n">
        <x:v>40.32940129659295</x:v>
      </x:c>
      <x:c r="L417" s="81" t="n">
        <x:v>-0.8226670450381323</x:v>
      </x:c>
      <x:c r="M417" s="80" t="n">
        <x:v>89111.98289912223</x:v>
      </x:c>
      <x:c r="N417" s="82" t="n">
        <x:v>0.19123490693164646</x:v>
      </x:c>
      <x:c r="O417" s="82" t="n">
        <x:v>0.13803800507213948</x:v>
      </x:c>
      <x:c r="P417" s="80" t="n">
        <x:v>209140.00604062204</x:v>
      </x:c>
      <x:c r="Q417" s="81" t="n">
        <x:v>0.0036354571595668267</x:v>
      </x:c>
      <x:c r="R417" s="81" t="n">
        <x:v>1549.590823121295</x:v>
      </x:c>
      <x:c r="S417" s="81" t="n">
        <x:v>1546.2569036052246</x:v>
      </x:c>
      <x:c r="T417" s="81" t="n">
        <x:v>783.3744303225192</x:v>
      </x:c>
    </x:row>
    <x:row r="418">
      <x:c r="A418" s="59" t="n">
        <x:v>415</x:v>
      </x:c>
      <x:c r="B418" s="193" t="n">
        <x:v>0.26623530052602296</x:v>
      </x:c>
      <x:c r="C418" s="83" t="n">
        <x:v>0.11620276001731922</x:v>
      </x:c>
      <x:c r="D418" s="83" t="n">
        <x:v>1.7621266330592087</x:v>
      </x:c>
      <x:c r="E418" s="81" t="n">
        <x:v>-0.013214291423682504</x:v>
      </x:c>
      <x:c r="F418" s="81" t="n">
        <x:v>0.690023788320832</x:v>
      </x:c>
      <x:c r="G418" s="81" t="n">
        <x:v>-0.01310576223382267</x:v>
      </x:c>
      <x:c r="H418" s="59" t="n">
        <x:v>0</x:v>
      </x:c>
      <x:c r="I418" s="81" t="n">
        <x:v>0</x:v>
      </x:c>
      <x:c r="J418" s="79" t="n">
        <x:v>1.0446250298476907e-17</x:v>
      </x:c>
      <x:c r="K418" s="81" t="n">
        <x:v>-0.999999999999988</x:v>
      </x:c>
      <x:c r="L418" s="81" t="n">
        <x:v>-0.999999999999988</x:v>
      </x:c>
      <x:c r="M418" s="80" t="n">
        <x:v>0.0006392557750364862</x:v>
      </x:c>
      <x:c r="N418" s="82" t="n">
        <x:v>0.1655159904971835</x:v>
      </x:c>
      <x:c r="O418" s="82" t="n">
        <x:v>0.10788845212205239</x:v>
      </x:c>
      <x:c r="P418" s="80" t="n">
        <x:v>1001.6406469799263</x:v>
      </x:c>
      <x:c r="Q418" s="81" t="n">
        <x:v>4739.5262592350355</x:v>
      </x:c>
      <x:c r="R418" s="81" t="n">
        <x:v>41.168835836880234</x:v>
      </x:c>
      <x:c r="S418" s="81" t="n">
        <x:v>3.912592906376129e-7</x:v>
      </x:c>
      <x:c r="T418" s="81" t="n">
        <x:v>2.2628858791900144e-13</x:v>
      </x:c>
    </x:row>
    <x:row r="419">
      <x:c r="A419" s="59" t="n">
        <x:v>416</x:v>
      </x:c>
      <x:c r="B419" s="193" t="n">
        <x:v>0.7266928786411881</x:v>
      </x:c>
      <x:c r="C419" s="83" t="n">
        <x:v>0.2192812656258972</x:v>
      </x:c>
      <x:c r="D419" s="83" t="n">
        <x:v>0.8073829642712441</x:v>
      </x:c>
      <x:c r="E419" s="81" t="n">
        <x:v>-0.14848319293912685</x:v>
      </x:c>
      <x:c r="F419" s="81" t="n">
        <x:v>0.4781344546820037</x:v>
      </x:c>
      <x:c r="G419" s="81" t="n">
        <x:v>0.014560542625371962</x:v>
      </x:c>
      <x:c r="H419" s="59" t="n">
        <x:v>0</x:v>
      </x:c>
      <x:c r="I419" s="81" t="n">
        <x:v>0</x:v>
      </x:c>
      <x:c r="J419" s="79" t="n">
        <x:v>4.308792363930144e-50</x:v>
      </x:c>
      <x:c r="K419" s="81" t="n">
        <x:v>-1</x:v>
      </x:c>
      <x:c r="L419" s="81" t="n">
        <x:v>-1</x:v>
      </x:c>
      <x:c r="M419" s="80" t="n">
        <x:v>0.000002</x:v>
      </x:c>
      <x:c r="N419" s="82" t="n">
        <x:v>0.2752056191838055</x:v>
      </x:c>
      <x:c r="O419" s="82" t="n">
        <x:v>0.12430204663072587</x:v>
      </x:c>
      <x:c r="P419" s="80" t="n">
        <x:v>148.15877155060826</x:v>
      </x:c>
      <x:c r="Q419" s="81" t="n">
        <x:v>3.626490806269208e+32</x:v>
      </x:c>
      <x:c r="R419" s="81" t="n">
        <x:v>5.392725785436161</x:v>
      </x:c>
      <x:c r="S419" s="81" t="n">
        <x:v>6.916107456366e-10</x:v>
      </x:c>
      <x:c r="T419" s="81" t="n">
        <x:v>9.333784964085061e-46</x:v>
      </x:c>
    </x:row>
    <x:row r="420">
      <x:c r="A420" s="59" t="n">
        <x:v>417</x:v>
      </x:c>
      <x:c r="B420" s="193" t="n">
        <x:v>0.4935765853151679</x:v>
      </x:c>
      <x:c r="C420" s="83" t="n">
        <x:v>0.5496346210937313</x:v>
      </x:c>
      <x:c r="D420" s="83" t="n">
        <x:v>0.3409705887745844</x:v>
      </x:c>
      <x:c r="E420" s="81" t="n">
        <x:v>0.053206193447852074</x:v>
      </x:c>
      <x:c r="F420" s="81" t="n">
        <x:v>0.5296866641263478</x:v>
      </x:c>
      <x:c r="G420" s="81" t="n">
        <x:v>0.04047249888505293</x:v>
      </x:c>
      <x:c r="H420" s="59" t="n">
        <x:v>0</x:v>
      </x:c>
      <x:c r="I420" s="81" t="n">
        <x:v>0</x:v>
      </x:c>
      <x:c r="J420" s="79" t="n">
        <x:v>0.0006929869304268385</x:v>
      </x:c>
      <x:c r="K420" s="81" t="n">
        <x:v>-0.20801493665504167</x:v>
      </x:c>
      <x:c r="L420" s="81" t="n">
        <x:v>-0.7708519598582222</x:v>
      </x:c>
      <x:c r="M420" s="80" t="n">
        <x:v>7601.855829658252</x:v>
      </x:c>
      <x:c r="N420" s="82" t="n">
        <x:v>0.21967294718304764</x:v>
      </x:c>
      <x:c r="O420" s="82" t="n">
        <x:v>0.10991742794413914</x:v>
      </x:c>
      <x:c r="P420" s="80" t="n">
        <x:v>5900.44556507452</x:v>
      </x:c>
      <x:c r="Q420" s="81" t="n">
        <x:v>0.0045471198920193495</x:v>
      </x:c>
      <x:c r="R420" s="81" t="n">
        <x:v>42.63577578929423</x:v>
      </x:c>
      <x:c r="S420" s="81" t="n">
        <x:v>24.651732295035693</x:v>
      </x:c>
      <x:c r="T420" s="81" t="n">
        <x:v>15.011609855402051</x:v>
      </x:c>
    </x:row>
    <x:row r="421">
      <x:c r="A421" s="59" t="n">
        <x:v>418</x:v>
      </x:c>
      <x:c r="B421" s="193" t="n">
        <x:v>0.4144206812605262</x:v>
      </x:c>
      <x:c r="C421" s="83" t="n">
        <x:v>1.4083032347443518</x:v>
      </x:c>
      <x:c r="D421" s="83" t="n">
        <x:v>1.6957720076233707</x:v>
      </x:c>
      <x:c r="E421" s="81" t="n">
        <x:v>-0.03014498717692367</x:v>
      </x:c>
      <x:c r="F421" s="81" t="n">
        <x:v>0.7918855561991223</x:v>
      </x:c>
      <x:c r="G421" s="81" t="n">
        <x:v>-0.0339483313158255</x:v>
      </x:c>
      <x:c r="H421" s="59" t="n">
        <x:v>0</x:v>
      </x:c>
      <x:c r="I421" s="81" t="n">
        <x:v>0</x:v>
      </x:c>
      <x:c r="J421" s="79" t="n">
        <x:v>2.641882331487032e-26</x:v>
      </x:c>
      <x:c r="K421" s="81" t="n">
        <x:v>-1</x:v>
      </x:c>
      <x:c r="L421" s="81" t="n">
        <x:v>-1</x:v>
      </x:c>
      <x:c r="M421" s="80" t="n">
        <x:v>0.000002</x:v>
      </x:c>
      <x:c r="N421" s="82" t="n">
        <x:v>0.200816526664031</x:v>
      </x:c>
      <x:c r="O421" s="82" t="n">
        <x:v>0.15022174920995898</x:v>
      </x:c>
      <x:c r="P421" s="80" t="n">
        <x:v>1228.73365463561</x:v>
      </x:c>
      <x:c r="Q421" s="81" t="n">
        <x:v>2613151449.79219</x:v>
      </x:c>
      <x:c r="R421" s="81" t="n">
        <x:v>3.1022682576529674</x:v>
      </x:c>
      <x:c r="S421" s="81" t="n">
        <x:v>4.0519559792181154e-10</x:v>
      </x:c>
      <x:c r="T421" s="81" t="n">
        <x:v>5.72289391081817e-22</x:v>
      </x:c>
    </x:row>
    <x:row r="422">
      <x:c r="A422" s="59" t="n">
        <x:v>419</x:v>
      </x:c>
      <x:c r="B422" s="193" t="n">
        <x:v>0.37137146275490523</x:v>
      </x:c>
      <x:c r="C422" s="83" t="n">
        <x:v>0.7362801992612249</x:v>
      </x:c>
      <x:c r="D422" s="83" t="n">
        <x:v>0.34659902378450924</x:v>
      </x:c>
      <x:c r="E422" s="81" t="n">
        <x:v>-0.00987090607592803</x:v>
      </x:c>
      <x:c r="F422" s="81" t="n">
        <x:v>0.8637274838401936</x:v>
      </x:c>
      <x:c r="G422" s="81" t="n">
        <x:v>0.003340994712524434</x:v>
      </x:c>
      <x:c r="H422" s="59" t="n">
        <x:v>16</x:v>
      </x:c>
      <x:c r="I422" s="81" t="n">
        <x:v>0.1786440096795559</x:v>
      </x:c>
      <x:c r="J422" s="79" t="n">
        <x:v>4.0258449631896766e-8</x:v>
      </x:c>
      <x:c r="K422" s="81" t="n">
        <x:v>-0.9999539903432778</x:v>
      </x:c>
      <x:c r="L422" s="81" t="n">
        <x:v>-0.9999539903432778</x:v>
      </x:c>
      <x:c r="M422" s="80" t="n">
        <x:v>59.76772285902466</x:v>
      </x:c>
      <x:c r="N422" s="82" t="n">
        <x:v>0.19056139564314503</x:v>
      </x:c>
      <x:c r="O422" s="82" t="n">
        <x:v>0.15548289050602715</x:v>
      </x:c>
      <x:c r="P422" s="80" t="n">
        <x:v>712.4328238493775</x:v>
      </x:c>
      <x:c r="Q422" s="81" t="n">
        <x:v>0.12075703951750785</x:v>
      </x:c>
      <x:c r="R422" s="81" t="n">
        <x:v>11.460011664897378</x:v>
      </x:c>
      <x:c r="S422" s="81" t="n">
        <x:v>0.006503122801625063</x:v>
      </x:c>
      <x:c r="T422" s="81" t="n">
        <x:v>0.0008720859120462035</x:v>
      </x:c>
    </x:row>
    <x:row r="423">
      <x:c r="A423" s="59" t="n">
        <x:v>420</x:v>
      </x:c>
      <x:c r="B423" s="193" t="n">
        <x:v>0.22228733748197557</x:v>
      </x:c>
      <x:c r="C423" s="83" t="n">
        <x:v>1.4685740389210977</x:v>
      </x:c>
      <x:c r="D423" s="83" t="n">
        <x:v>0.26063075011742975</x:v>
      </x:c>
      <x:c r="E423" s="81" t="n">
        <x:v>0.0820686361584675</x:v>
      </x:c>
      <x:c r="F423" s="81" t="n">
        <x:v>0.6553045295877382</x:v>
      </x:c>
      <x:c r="G423" s="81" t="n">
        <x:v>-0.027087106547342157</x:v>
      </x:c>
      <x:c r="H423" s="59" t="n">
        <x:v>0</x:v>
      </x:c>
      <x:c r="I423" s="81" t="n">
        <x:v>0</x:v>
      </x:c>
      <x:c r="J423" s="79" t="n">
        <x:v>0.0006907759354319694</x:v>
      </x:c>
      <x:c r="K423" s="81" t="n">
        <x:v>-0.21054178807774915</x:v>
      </x:c>
      <x:c r="L423" s="81" t="n">
        <x:v>-0.6794840757405627</x:v>
      </x:c>
      <x:c r="M423" s="80" t="n">
        <x:v>11842.547925079522</x:v>
      </x:c>
      <x:c r="N423" s="82" t="n">
        <x:v>0.15504676167578435</x:v>
      </x:c>
      <x:c r="O423" s="82" t="n">
        <x:v>0.09597913060080447</x:v>
      </x:c>
      <x:c r="P423" s="80" t="n">
        <x:v>6821.875091110997</x:v>
      </x:c>
      <x:c r="Q423" s="81" t="n">
        <x:v>0.002601354442288114</x:v>
      </x:c>
      <x:c r="R423" s="81" t="n">
        <x:v>26.713120550602685</x:v>
      </x:c>
      <x:c r="S423" s="81" t="n">
        <x:v>9.157176401878807</x:v>
      </x:c>
      <x:c r="T423" s="81" t="n">
        <x:v>14.963714876726511</x:v>
      </x:c>
    </x:row>
    <x:row r="424">
      <x:c r="A424" s="59" t="n">
        <x:v>421</x:v>
      </x:c>
      <x:c r="B424" s="193" t="n">
        <x:v>0.9322648905217648</x:v>
      </x:c>
      <x:c r="C424" s="83" t="n">
        <x:v>1.963806180439593</x:v>
      </x:c>
      <x:c r="D424" s="83" t="n">
        <x:v>0.4433494650912078</x:v>
      </x:c>
      <x:c r="E424" s="81" t="n">
        <x:v>-0.0009958573209936105</x:v>
      </x:c>
      <x:c r="F424" s="81" t="n">
        <x:v>0.5980337899876759</x:v>
      </x:c>
      <x:c r="G424" s="81" t="n">
        <x:v>-0.02688124033148519</x:v>
      </x:c>
      <x:c r="H424" s="59" t="n">
        <x:v>0</x:v>
      </x:c>
      <x:c r="I424" s="81" t="n">
        <x:v>0</x:v>
      </x:c>
      <x:c r="J424" s="79" t="n">
        <x:v>0.0000013439631297703084</x:v>
      </x:c>
      <x:c r="K424" s="81" t="n">
        <x:v>-0.9984640421374054</x:v>
      </x:c>
      <x:c r="L424" s="81" t="n">
        <x:v>-0.9984640421374054</x:v>
      </x:c>
      <x:c r="M424" s="80" t="n">
        <x:v>586.4264045854488</x:v>
      </x:c>
      <x:c r="N424" s="82" t="n">
        <x:v>0.32417672688898147</x:v>
      </x:c>
      <x:c r="O424" s="82" t="n">
        <x:v>0.18313801302799726</x:v>
      </x:c>
      <x:c r="P424" s="80" t="n">
        <x:v>2315.895875088207</x:v>
      </x:c>
      <x:c r="Q424" s="81" t="n">
        <x:v>0.05617613910396719</x:v>
      </x:c>
      <x:c r="R424" s="81" t="n">
        <x:v>6.456161695002978</x:v>
      </x:c>
      <x:c r="S424" s="81" t="n">
        <x:v>0.04046381295404621</x:v>
      </x:c>
      <x:c r="T424" s="81" t="n">
        <x:v>0.029113175556904552</x:v>
      </x:c>
    </x:row>
    <x:row r="425">
      <x:c r="A425" s="59" t="n">
        <x:v>422</x:v>
      </x:c>
      <x:c r="B425" s="193" t="n">
        <x:v>0.821252659149468</x:v>
      </x:c>
      <x:c r="C425" s="83" t="n">
        <x:v>0.20877030837992683</x:v>
      </x:c>
      <x:c r="D425" s="83" t="n">
        <x:v>0.188805273139118</x:v>
      </x:c>
      <x:c r="E425" s="81" t="n">
        <x:v>0.032691492245464325</x:v>
      </x:c>
      <x:c r="F425" s="81" t="n">
        <x:v>0.8063286334858276</x:v>
      </x:c>
      <x:c r="G425" s="81" t="n">
        <x:v>-0.014418504493002554</x:v>
      </x:c>
      <x:c r="H425" s="59" t="n">
        <x:v>0</x:v>
      </x:c>
      <x:c r="I425" s="81" t="n">
        <x:v>0</x:v>
      </x:c>
      <x:c r="J425" s="79" t="n">
        <x:v>0.0000032698349996608916</x:v>
      </x:c>
      <x:c r="K425" s="81" t="n">
        <x:v>-0.9962630457146733</x:v>
      </x:c>
      <x:c r="L425" s="81" t="n">
        <x:v>-0.9962630457146733</x:v>
      </x:c>
      <x:c r="M425" s="80" t="n">
        <x:v>381.7117961648266</x:v>
      </x:c>
      <x:c r="N425" s="82" t="n">
        <x:v>0.2977315318967622</x:v>
      </x:c>
      <x:c r="O425" s="82" t="n">
        <x:v>0.2267816214473638</x:v>
      </x:c>
      <x:c r="P425" s="80" t="n">
        <x:v>348.21383954025475</x:v>
      </x:c>
      <x:c r="Q425" s="81" t="n">
        <x:v>0.011306432293236841</x:v>
      </x:c>
      <x:c r="R425" s="81" t="n">
        <x:v>37.003168246379836</x:v>
      </x:c>
      <x:c r="S425" s="81" t="n">
        <x:v>0.31341567000200576</x:v>
      </x:c>
      <x:c r="T425" s="81" t="n">
        <x:v>0.07083176485913563</x:v>
      </x:c>
    </x:row>
    <x:row r="426">
      <x:c r="A426" s="59" t="n">
        <x:v>423</x:v>
      </x:c>
      <x:c r="B426" s="193" t="n">
        <x:v>0.5435505852103233</x:v>
      </x:c>
      <x:c r="C426" s="83" t="n">
        <x:v>0.4783157329241043</x:v>
      </x:c>
      <x:c r="D426" s="83" t="n">
        <x:v>1.0651246973045507</x:v>
      </x:c>
      <x:c r="E426" s="81" t="n">
        <x:v>-0.01564464981261717</x:v>
      </x:c>
      <x:c r="F426" s="81" t="n">
        <x:v>0.4413098291610368</x:v>
      </x:c>
      <x:c r="G426" s="81" t="n">
        <x:v>-0.015425448929469471</x:v>
      </x:c>
      <x:c r="H426" s="59" t="n">
        <x:v>0</x:v>
      </x:c>
      <x:c r="I426" s="81" t="n">
        <x:v>0</x:v>
      </x:c>
      <x:c r="J426" s="79" t="n">
        <x:v>6.624471707460662e-14</x:v>
      </x:c>
      <x:c r="K426" s="81" t="n">
        <x:v>-0.9999999999242918</x:v>
      </x:c>
      <x:c r="L426" s="81" t="n">
        <x:v>-0.9999999999242918</x:v>
      </x:c>
      <x:c r="M426" s="80" t="n">
        <x:v>0.06657149182385001</x:v>
      </x:c>
      <x:c r="N426" s="82" t="n">
        <x:v>0.23157769097057157</x:v>
      </x:c>
      <x:c r="O426" s="82" t="n">
        <x:v>0.09654088186925362</x:v>
      </x:c>
      <x:c r="P426" s="80" t="n">
        <x:v>1086.110857748134</x:v>
      </x:c>
      <x:c r="Q426" s="81" t="n">
        <x:v>65.88606619982907</x:v>
      </x:c>
      <x:c r="R426" s="81" t="n">
        <x:v>14.094501829348369</x:v>
      </x:c>
      <x:c r="S426" s="81" t="n">
        <x:v>0.000017865584251469567</x:v>
      </x:c>
      <x:c r="T426" s="81" t="n">
        <x:v>1.4350051985727488e-9</x:v>
      </x:c>
    </x:row>
    <x:row r="427">
      <x:c r="A427" s="59" t="n">
        <x:v>424</x:v>
      </x:c>
      <x:c r="B427" s="193" t="n">
        <x:v>0.20706716552376747</x:v>
      </x:c>
      <x:c r="C427" s="83" t="n">
        <x:v>0.5441035087741707</x:v>
      </x:c>
      <x:c r="D427" s="83" t="n">
        <x:v>0.507673309064033</x:v>
      </x:c>
      <x:c r="E427" s="81" t="n">
        <x:v>-0.03448406387683043</x:v>
      </x:c>
      <x:c r="F427" s="81" t="n">
        <x:v>0.5552474690484814</x:v>
      </x:c>
      <x:c r="G427" s="81" t="n">
        <x:v>0.022295508170993676</x:v>
      </x:c>
      <x:c r="H427" s="59" t="n">
        <x:v>0</x:v>
      </x:c>
      <x:c r="I427" s="81" t="n">
        <x:v>0</x:v>
      </x:c>
      <x:c r="J427" s="79" t="n">
        <x:v>9.975187213104854e-17</x:v>
      </x:c>
      <x:c r="K427" s="81" t="n">
        <x:v>-0.999999999999886</x:v>
      </x:c>
      <x:c r="L427" s="81" t="n">
        <x:v>-0.999999999999886</x:v>
      </x:c>
      <x:c r="M427" s="80" t="n">
        <x:v>0.0027238449606763917</x:v>
      </x:c>
      <x:c r="N427" s="82" t="n">
        <x:v>0.15142103133711493</x:v>
      </x:c>
      <x:c r="O427" s="82" t="n">
        <x:v>0.07942253218407917</x:v>
      </x:c>
      <x:c r="P427" s="80" t="n">
        <x:v>556.3363223452136</x:v>
      </x:c>
      <x:c r="Q427" s="81" t="n">
        <x:v>827.4257065976101</x:v>
      </x:c>
      <x:c r="R427" s="81" t="n">
        <x:v>12.134106676401464</x:v>
      </x:c>
      <x:c r="S427" s="81" t="n">
        <x:v>5.362087803328719e-7</x:v>
      </x:c>
      <x:c r="T427" s="81" t="n">
        <x:v>2.160843330558806e-12</x:v>
      </x:c>
    </x:row>
    <x:row r="428">
      <x:c r="A428" s="59" t="n">
        <x:v>425</x:v>
      </x:c>
      <x:c r="B428" s="193" t="n">
        <x:v>0.6187682503834366</x:v>
      </x:c>
      <x:c r="C428" s="83" t="n">
        <x:v>0.6111840374670433</x:v>
      </x:c>
      <x:c r="D428" s="83" t="n">
        <x:v>1.769704929169604</x:v>
      </x:c>
      <x:c r="E428" s="81" t="n">
        <x:v>-0.050235422599877365</x:v>
      </x:c>
      <x:c r="F428" s="81" t="n">
        <x:v>0.8779695048346184</x:v>
      </x:c>
      <x:c r="G428" s="81" t="n">
        <x:v>-0.03478293824415965</x:v>
      </x:c>
      <x:c r="H428" s="59" t="n">
        <x:v>0</x:v>
      </x:c>
      <x:c r="I428" s="81" t="n">
        <x:v>0</x:v>
      </x:c>
      <x:c r="J428" s="79" t="n">
        <x:v>9.244054587182137e-35</x:v>
      </x:c>
      <x:c r="K428" s="81" t="n">
        <x:v>-1</x:v>
      </x:c>
      <x:c r="L428" s="81" t="n">
        <x:v>-1</x:v>
      </x:c>
      <x:c r="M428" s="80" t="n">
        <x:v>0.000002</x:v>
      </x:c>
      <x:c r="N428" s="82" t="n">
        <x:v>0.24949594914602938</x:v>
      </x:c>
      <x:c r="O428" s="82" t="n">
        <x:v>0.2069254327323943</x:v>
      </x:c>
      <x:c r="P428" s="80" t="n">
        <x:v>527.2932193272658</x:v>
      </x:c>
      <x:c r="Q428" s="81" t="n">
        <x:v>456887105994282940</x:v>
      </x:c>
      <x:c r="R428" s="81" t="n">
        <x:v>3.2092887441611953</x:v>
      </x:c>
      <x:c r="S428" s="81" t="n">
        <x:v>6.254566240505585e-10</x:v>
      </x:c>
      <x:c r="T428" s="81" t="n">
        <x:v>2.0024640415562387e-30</x:v>
      </x:c>
    </x:row>
    <x:row r="429">
      <x:c r="A429" s="59" t="n">
        <x:v>426</x:v>
      </x:c>
      <x:c r="B429" s="193" t="n">
        <x:v>0.34297046363353734</x:v>
      </x:c>
      <x:c r="C429" s="83" t="n">
        <x:v>0.89288804529833</x:v>
      </x:c>
      <x:c r="D429" s="83" t="n">
        <x:v>0.4967024059523588</x:v>
      </x:c>
      <x:c r="E429" s="81" t="n">
        <x:v>-0.09813034886053243</x:v>
      </x:c>
      <x:c r="F429" s="81" t="n">
        <x:v>0.8958801932632924</x:v>
      </x:c>
      <x:c r="G429" s="81" t="n">
        <x:v>0.016744464012616304</x:v>
      </x:c>
      <x:c r="H429" s="59" t="n">
        <x:v>27</x:v>
      </x:c>
      <x:c r="I429" s="81" t="n">
        <x:v>0.2518371006473899</x:v>
      </x:c>
      <x:c r="J429" s="79" t="n">
        <x:v>8.578499060700425e-30</x:v>
      </x:c>
      <x:c r="K429" s="81" t="n">
        <x:v>-1</x:v>
      </x:c>
      <x:c r="L429" s="81" t="n">
        <x:v>-1</x:v>
      </x:c>
      <x:c r="M429" s="80" t="n">
        <x:v>0.000002</x:v>
      </x:c>
      <x:c r="N429" s="82" t="n">
        <x:v>0.18379574513370178</x:v>
      </x:c>
      <x:c r="O429" s="82" t="n">
        <x:v>0.15554509844554137</x:v>
      </x:c>
      <x:c r="P429" s="80" t="n">
        <x:v>290.1178318513928</x:v>
      </x:c>
      <x:c r="Q429" s="81" t="n">
        <x:v>2635324165539.809</x:v>
      </x:c>
      <x:c r="R429" s="81" t="n">
        <x:v>3.3893330401712958</x:v>
      </x:c>
      <x:c r="S429" s="81" t="n">
        <x:v>2.8133204815288065e-10</x:v>
      </x:c>
      <x:c r="T429" s="81" t="n">
        <x:v>1.8582901839844043e-25</x:v>
      </x:c>
    </x:row>
    <x:row r="430">
      <x:c r="A430" s="59" t="n">
        <x:v>427</x:v>
      </x:c>
      <x:c r="B430" s="193" t="n">
        <x:v>0.5553203413262964</x:v>
      </x:c>
      <x:c r="C430" s="83" t="n">
        <x:v>2.0181146605563325</x:v>
      </x:c>
      <x:c r="D430" s="83" t="n">
        <x:v>0.20828867518849764</x:v>
      </x:c>
      <x:c r="E430" s="81" t="n">
        <x:v>0.023070058099454942</x:v>
      </x:c>
      <x:c r="F430" s="81" t="n">
        <x:v>0.6049014374846593</x:v>
      </x:c>
      <x:c r="G430" s="81" t="n">
        <x:v>-0.020622959111946504</x:v>
      </x:c>
      <x:c r="H430" s="59" t="n">
        <x:v>37</x:v>
      </x:c>
      <x:c r="I430" s="81" t="n">
        <x:v>0.29254752174019816</x:v>
      </x:c>
      <x:c r="J430" s="79" t="n">
        <x:v>0.00003299029125643866</x:v>
      </x:c>
      <x:c r="K430" s="81" t="n">
        <x:v>-0.9622968099926416</x:v>
      </x:c>
      <x:c r="L430" s="81" t="n">
        <x:v>-0.9622968099926416</x:v>
      </x:c>
      <x:c r="M430" s="80" t="n">
        <x:v>2998.9087760759626</x:v>
      </x:c>
      <x:c r="N430" s="82" t="n">
        <x:v>0.23438146756032346</x:v>
      </x:c>
      <x:c r="O430" s="82" t="n">
        <x:v>0.13393029568183207</x:v>
      </x:c>
      <x:c r="P430" s="80" t="n">
        <x:v>2163.8057462469005</x:v>
      </x:c>
      <x:c r="Q430" s="81" t="n">
        <x:v>0.00910705633629285</x:v>
      </x:c>
      <x:c r="R430" s="81" t="n">
        <x:v>8.350444839304153</x:v>
      </x:c>
      <x:c r="S430" s="81" t="n">
        <x:v>0.37561724940091723</x:v>
      </x:c>
      <x:c r="T430" s="81" t="n">
        <x:v>0.7146417336510258</x:v>
      </x:c>
    </x:row>
    <x:row r="431">
      <x:c r="A431" s="59" t="n">
        <x:v>428</x:v>
      </x:c>
      <x:c r="B431" s="193" t="n">
        <x:v>0.7193880349397659</x:v>
      </x:c>
      <x:c r="C431" s="83" t="n">
        <x:v>0.1626777248707035</x:v>
      </x:c>
      <x:c r="D431" s="83" t="n">
        <x:v>0.9889221591221277</x:v>
      </x:c>
      <x:c r="E431" s="81" t="n">
        <x:v>-0.004679587740141846</x:v>
      </x:c>
      <x:c r="F431" s="81" t="n">
        <x:v>0.6799102011951619</x:v>
      </x:c>
      <x:c r="G431" s="81" t="n">
        <x:v>0.00592501488073564</x:v>
      </x:c>
      <x:c r="H431" s="59" t="n">
        <x:v>88</x:v>
      </x:c>
      <x:c r="I431" s="81" t="n">
        <x:v>0.2740169413387775</x:v>
      </x:c>
      <x:c r="J431" s="79" t="n">
        <x:v>4.017145344326305e-9</x:v>
      </x:c>
      <x:c r="K431" s="81" t="n">
        <x:v>-0.9999954089767493</x:v>
      </x:c>
      <x:c r="L431" s="81" t="n">
        <x:v>-0.9999954089767493</x:v>
      </x:c>
      <x:c r="M431" s="80" t="n">
        <x:v>12.685968873051603</x:v>
      </x:c>
      <x:c r="N431" s="82" t="n">
        <x:v>0.27346546844830727</x:v>
      </x:c>
      <x:c r="O431" s="82" t="n">
        <x:v>0.17564063282762718</x:v>
      </x:c>
      <x:c r="P431" s="80" t="n">
        <x:v>1001.91150479122</x:v>
      </x:c>
      <x:c r="Q431" s="81" t="n">
        <x:v>0.6073979269607085</x:v>
      </x:c>
      <x:c r="R431" s="81" t="n">
        <x:v>40.77812352110674</x:v>
      </x:c>
      <x:c r="S431" s="81" t="n">
        <x:v>0.005589002719252651</x:v>
      </x:c>
      <x:c r="T431" s="81" t="n">
        <x:v>0.00008702013846686499</x:v>
      </x:c>
    </x:row>
    <x:row r="432">
      <x:c r="A432" s="59" t="n">
        <x:v>429</x:v>
      </x:c>
      <x:c r="B432" s="193" t="n">
        <x:v>0.34759278502315283</x:v>
      </x:c>
      <x:c r="C432" s="83" t="n">
        <x:v>2.954838874126206</x:v>
      </x:c>
      <x:c r="D432" s="83" t="n">
        <x:v>1.3394458685624644</x:v>
      </x:c>
      <x:c r="E432" s="81" t="n">
        <x:v>-0.018747905438757474</x:v>
      </x:c>
      <x:c r="F432" s="81" t="n">
        <x:v>0.455238208163064</x:v>
      </x:c>
      <x:c r="G432" s="81" t="n">
        <x:v>-0.005509866681851929</x:v>
      </x:c>
      <x:c r="H432" s="59" t="n">
        <x:v>0</x:v>
      </x:c>
      <x:c r="I432" s="81" t="n">
        <x:v>0</x:v>
      </x:c>
      <x:c r="J432" s="79" t="n">
        <x:v>6.961800675164953e-19</x:v>
      </x:c>
      <x:c r="K432" s="81" t="n">
        <x:v>-0.9999999999999992</x:v>
      </x:c>
      <x:c r="L432" s="81" t="n">
        <x:v>-0.9999999999999992</x:v>
      </x:c>
      <x:c r="M432" s="80" t="n">
        <x:v>0.0005870017130432239</x:v>
      </x:c>
      <x:c r="N432" s="82" t="n">
        <x:v>0.18489686875723418</x:v>
      </x:c>
      <x:c r="O432" s="82" t="n">
        <x:v>0.07951319479800029</x:v>
      </x:c>
      <x:c r="P432" s="80" t="n">
        <x:v>3130.9298268005036</x:v>
      </x:c>
      <x:c r="Q432" s="81" t="n">
        <x:v>46280.33283073635</x:v>
      </x:c>
      <x:c r="R432" s="81" t="n">
        <x:v>3.387878297362993</x:v>
      </x:c>
      <x:c r="S432" s="81" t="n">
        <x:v>8.520210210922774e-8</x:v>
      </x:c>
      <x:c r="T432" s="81" t="n">
        <x:v>1.508078017608215e-14</x:v>
      </x:c>
    </x:row>
    <x:row r="433">
      <x:c r="A433" s="59" t="n">
        <x:v>430</x:v>
      </x:c>
      <x:c r="B433" s="193" t="n">
        <x:v>0.8553046675398945</x:v>
      </x:c>
      <x:c r="C433" s="83" t="n">
        <x:v>0.14606733542495381</x:v>
      </x:c>
      <x:c r="D433" s="83" t="n">
        <x:v>1.030066865183084</x:v>
      </x:c>
      <x:c r="E433" s="81" t="n">
        <x:v>0.058020448061751995</x:v>
      </x:c>
      <x:c r="F433" s="81" t="n">
        <x:v>0.3435157087165862</x:v>
      </x:c>
      <x:c r="G433" s="81" t="n">
        <x:v>0.0338555926225506</x:v>
      </x:c>
      <x:c r="H433" s="59" t="n">
        <x:v>0</x:v>
      </x:c>
      <x:c r="I433" s="81" t="n">
        <x:v>0</x:v>
      </x:c>
      <x:c r="J433" s="79" t="n">
        <x:v>0.005244081082427885</x:v>
      </x:c>
      <x:c r="K433" s="81" t="n">
        <x:v>4.993235522774726</x:v>
      </x:c>
      <x:c r="L433" s="81" t="n">
        <x:v>-0.7142059667839621</x:v>
      </x:c>
      <x:c r="M433" s="80" t="n">
        <x:v>18518.168173356964</x:v>
      </x:c>
      <x:c r="N433" s="82" t="n">
        <x:v>0.3058433587705193</x:v>
      </x:c>
      <x:c r="O433" s="82" t="n">
        <x:v>0.09924681950429964</x:v>
      </x:c>
      <x:c r="P433" s="80" t="n">
        <x:v>35095.466044817396</x:v>
      </x:c>
      <x:c r="Q433" s="81" t="n">
        <x:v>0.004196241369093391</x:v>
      </x:c>
      <x:c r="R433" s="81" t="n">
        <x:v>578.3836491865636</x:v>
      </x:c>
      <x:c r="S433" s="81" t="n">
        <x:v>678.0331176828214</x:v>
      </x:c>
      <x:c r="T433" s="81" t="n">
        <x:v>113.59824522377902</x:v>
      </x:c>
    </x:row>
    <x:row r="434">
      <x:c r="A434" s="59" t="n">
        <x:v>431</x:v>
      </x:c>
      <x:c r="B434" s="193" t="n">
        <x:v>0.8357510441914202</x:v>
      </x:c>
      <x:c r="C434" s="83" t="n">
        <x:v>0.20957481262348604</x:v>
      </x:c>
      <x:c r="D434" s="83" t="n">
        <x:v>0.4170663035445116</x:v>
      </x:c>
      <x:c r="E434" s="81" t="n">
        <x:v>-0.047756302278077256</x:v>
      </x:c>
      <x:c r="F434" s="81" t="n">
        <x:v>0.455138797510881</x:v>
      </x:c>
      <x:c r="G434" s="81" t="n">
        <x:v>0.016094689735596513</x:v>
      </x:c>
      <x:c r="H434" s="59" t="n">
        <x:v>0</x:v>
      </x:c>
      <x:c r="I434" s="81" t="n">
        <x:v>0</x:v>
      </x:c>
      <x:c r="J434" s="79" t="n">
        <x:v>3.8700314196059674e-18</x:v>
      </x:c>
      <x:c r="K434" s="81" t="n">
        <x:v>-0.9999999999999956</x:v>
      </x:c>
      <x:c r="L434" s="81" t="n">
        <x:v>-0.9999999999999956</x:v>
      </x:c>
      <x:c r="M434" s="80" t="n">
        <x:v>0.0004222465409201386</x:v>
      </x:c>
      <x:c r="N434" s="82" t="n">
        <x:v>0.30118531905847495</x:v>
      </x:c>
      <x:c r="O434" s="82" t="n">
        <x:v>0.1294936875924352</x:v>
      </x:c>
      <x:c r="P434" s="80" t="n">
        <x:v>282.4771068809428</x:v>
      </x:c>
      <x:c r="Q434" s="81" t="n">
        <x:v>2417.9373487395214</x:v>
      </x:c>
      <x:c r="R434" s="81" t="n">
        <x:v>23.515572530798245</x:v>
      </x:c>
      <x:c r="S434" s="81" t="n">
        <x:v>8.115158362223498e-8</x:v>
      </x:c>
      <x:c r="T434" s="81" t="n">
        <x:v>8.383332967548066e-14</x:v>
      </x:c>
    </x:row>
    <x:row r="435">
      <x:c r="A435" s="59" t="n">
        <x:v>432</x:v>
      </x:c>
      <x:c r="B435" s="193" t="n">
        <x:v>0.4982723090797663</x:v>
      </x:c>
      <x:c r="C435" s="83" t="n">
        <x:v>0.7846260276608596</x:v>
      </x:c>
      <x:c r="D435" s="83" t="n">
        <x:v>0.2041257841213439</x:v>
      </x:c>
      <x:c r="E435" s="81" t="n">
        <x:v>-0.009680624597402227</x:v>
      </x:c>
      <x:c r="F435" s="81" t="n">
        <x:v>0.46690270043909554</x:v>
      </x:c>
      <x:c r="G435" s="81" t="n">
        <x:v>-0.013400792132431226</x:v>
      </x:c>
      <x:c r="H435" s="59" t="n">
        <x:v>53</x:v>
      </x:c>
      <x:c r="I435" s="81" t="n">
        <x:v>0.25868209898471833</x:v>
      </x:c>
      <x:c r="J435" s="79" t="n">
        <x:v>4.940833913156907e-7</x:v>
      </x:c>
      <x:c r="K435" s="81" t="n">
        <x:v>-0.9994353332670678</x:v>
      </x:c>
      <x:c r="L435" s="81" t="n">
        <x:v>-0.9994353332670678</x:v>
      </x:c>
      <x:c r="M435" s="80" t="n">
        <x:v>214.41658060503482</x:v>
      </x:c>
      <x:c r="N435" s="82" t="n">
        <x:v>0.22079155662859562</x:v>
      </x:c>
      <x:c r="O435" s="82" t="n">
        <x:v>0.0973822464935245</x:v>
      </x:c>
      <x:c r="P435" s="80" t="n">
        <x:v>619.0841142081041</x:v>
      </x:c>
      <x:c r="Q435" s="81" t="n">
        <x:v>0.024220520542208936</x:v>
      </x:c>
      <x:c r="R435" s="81" t="n">
        <x:v>14.387857481025781</x:v>
      </x:c>
      <x:c r="S435" s="81" t="n">
        <x:v>0.02088086397459171</x:v>
      </x:c>
      <x:c r="T435" s="81" t="n">
        <x:v>0.010702924948233397</x:v>
      </x:c>
    </x:row>
    <x:row r="436">
      <x:c r="A436" s="59" t="n">
        <x:v>433</x:v>
      </x:c>
      <x:c r="B436" s="193" t="n">
        <x:v>0.3588249601423741</x:v>
      </x:c>
      <x:c r="C436" s="83" t="n">
        <x:v>1.911626062286853</x:v>
      </x:c>
      <x:c r="D436" s="83" t="n">
        <x:v>0.3629895715821204</x:v>
      </x:c>
      <x:c r="E436" s="81" t="n">
        <x:v>0.04075865665206082</x:v>
      </x:c>
      <x:c r="F436" s="81" t="n">
        <x:v>0.6627691814326682</x:v>
      </x:c>
      <x:c r="G436" s="81" t="n">
        <x:v>0.026567192538155635</x:v>
      </x:c>
      <x:c r="H436" s="59" t="n">
        <x:v>0</x:v>
      </x:c>
      <x:c r="I436" s="81" t="n">
        <x:v>0</x:v>
      </x:c>
      <x:c r="J436" s="79" t="n">
        <x:v>0.001005590362866192</x:v>
      </x:c>
      <x:c r="K436" s="81" t="n">
        <x:v>0.14924612898993384</x:v>
      </x:c>
      <x:c r="L436" s="81" t="n">
        <x:v>-0.6272374245392722</x:v>
      </x:c>
      <x:c r="M436" s="80" t="n">
        <x:v>16793.391966797197</x:v>
      </x:c>
      <x:c r="N436" s="82" t="n">
        <x:v>0.18757258347391612</x:v>
      </x:c>
      <x:c r="O436" s="82" t="n">
        <x:v>0.11743636702437132</x:v>
      </x:c>
      <x:c r="P436" s="80" t="n">
        <x:v>13468.952316804343</x:v>
      </x:c>
      <x:c r="Q436" s="81" t="n">
        <x:v>0.006260298463209911</x:v>
      </x:c>
      <x:c r="R436" s="81" t="n">
        <x:v>15.248703352290033</x:v>
      </x:c>
      <x:c r="S436" s="81" t="n">
        <x:v>11.073778342413254</x:v>
      </x:c>
      <x:c r="T436" s="81" t="n">
        <x:v>21.783282683847307</x:v>
      </x:c>
    </x:row>
    <x:row r="437">
      <x:c r="A437" s="59" t="n">
        <x:v>434</x:v>
      </x:c>
      <x:c r="B437" s="193" t="n">
        <x:v>0.9093096727505328</x:v>
      </x:c>
      <x:c r="C437" s="83" t="n">
        <x:v>1.02926011004924</x:v>
      </x:c>
      <x:c r="D437" s="83" t="n">
        <x:v>0.19087694436600894</x:v>
      </x:c>
      <x:c r="E437" s="81" t="n">
        <x:v>0.00025008486130573574</x:v>
      </x:c>
      <x:c r="F437" s="81" t="n">
        <x:v>0.390518381271977</x:v>
      </x:c>
      <x:c r="G437" s="81" t="n">
        <x:v>-0.040859515783645134</x:v>
      </x:c>
      <x:c r="H437" s="59" t="n">
        <x:v>17</x:v>
      </x:c>
      <x:c r="I437" s="81" t="n">
        <x:v>0.13525547515600922</x:v>
      </x:c>
      <x:c r="J437" s="79" t="n">
        <x:v>0.0000020030523549328248</x:v>
      </x:c>
      <x:c r="K437" s="81" t="n">
        <x:v>-0.9977107973086482</x:v>
      </x:c>
      <x:c r="L437" s="81" t="n">
        <x:v>-0.9977107973086482</x:v>
      </x:c>
      <x:c r="M437" s="80" t="n">
        <x:v>489.95699429928806</x:v>
      </x:c>
      <x:c r="N437" s="82" t="n">
        <x:v>0.31870836360554106</x:v>
      </x:c>
      <x:c r="O437" s="82" t="n">
        <x:v>0.1175725351564942</x:v>
      </x:c>
      <x:c r="P437" s="80" t="n">
        <x:v>699.325746977226</x:v>
      </x:c>
      <x:c r="Q437" s="81" t="n">
        <x:v>0.013127561415814632</x:v>
      </x:c>
      <x:c r="R437" s="81" t="n">
        <x:v>11.035284130830247</x:v>
      </x:c>
      <x:c r="S437" s="81" t="n">
        <x:v>0.048452226582252525</x:v>
      </x:c>
      <x:c r="T437" s="81" t="n">
        <x:v>0.04339048711016114</x:v>
      </x:c>
    </x:row>
    <x:row r="438">
      <x:c r="A438" s="59" t="n">
        <x:v>435</x:v>
      </x:c>
      <x:c r="B438" s="193" t="n">
        <x:v>0.47400632929056885</x:v>
      </x:c>
      <x:c r="C438" s="83" t="n">
        <x:v>0.4115454726677066</x:v>
      </x:c>
      <x:c r="D438" s="83" t="n">
        <x:v>1.6004435125327043</x:v>
      </x:c>
      <x:c r="E438" s="81" t="n">
        <x:v>0.05577653604128004</x:v>
      </x:c>
      <x:c r="F438" s="81" t="n">
        <x:v>0.7960417382419109</x:v>
      </x:c>
      <x:c r="G438" s="81" t="n">
        <x:v>-0.03907074605296195</x:v>
      </x:c>
      <x:c r="H438" s="59" t="n">
        <x:v>33</x:v>
      </x:c>
      <x:c r="I438" s="81" t="n">
        <x:v>0.17779588866978885</x:v>
      </x:c>
      <x:c r="J438" s="79" t="n">
        <x:v>0.0012861129327060021</x:v>
      </x:c>
      <x:c r="K438" s="81" t="n">
        <x:v>0.4698433516640026</x:v>
      </x:c>
      <x:c r="L438" s="81" t="n">
        <x:v>-0.814821339484723</x:v>
      </x:c>
      <x:c r="M438" s="80" t="n">
        <x:v>11197.00259290275</x:v>
      </x:c>
      <x:c r="N438" s="82" t="n">
        <x:v>0.21501094525568779</x:v>
      </x:c>
      <x:c r="O438" s="82" t="n">
        <x:v>0.16168411346665695</x:v>
      </x:c>
      <x:c r="P438" s="80" t="n">
        <x:v>31292.193727102138</x:v>
      </x:c>
      <x:c r="Q438" s="81" t="n">
        <x:v>0.00700476913944802</x:v>
      </x:c>
      <x:c r="R438" s="81" t="n">
        <x:v>272.3449360599619</x:v>
      </x:c>
      <x:c r="S438" s="81" t="n">
        <x:v>61.619620115628535</x:v>
      </x:c>
      <x:c r="T438" s="81" t="n">
        <x:v>27.86001398883198</x:v>
      </x:c>
    </x:row>
    <x:row r="439">
      <x:c r="A439" s="59" t="n">
        <x:v>436</x:v>
      </x:c>
      <x:c r="B439" s="193" t="n">
        <x:v>0.5231586985290051</x:v>
      </x:c>
      <x:c r="C439" s="83" t="n">
        <x:v>1.0262152250593777</x:v>
      </x:c>
      <x:c r="D439" s="83" t="n">
        <x:v>0.9905137309182429</x:v>
      </x:c>
      <x:c r="E439" s="81" t="n">
        <x:v>0.042589358537198266</x:v>
      </x:c>
      <x:c r="F439" s="81" t="n">
        <x:v>0.3280019838362932</x:v>
      </x:c>
      <x:c r="G439" s="81" t="n">
        <x:v>0.018249528115053093</x:v>
      </x:c>
      <x:c r="H439" s="59" t="n">
        <x:v>0</x:v>
      </x:c>
      <x:c r="I439" s="81" t="n">
        <x:v>0</x:v>
      </x:c>
      <x:c r="J439" s="79" t="n">
        <x:v>0.010586302951016124</x:v>
      </x:c>
      <x:c r="K439" s="81" t="n">
        <x:v>11.098631944018429</x:v>
      </x:c>
      <x:c r="L439" s="81" t="n">
        <x:v>-0.5173813136039822</x:v>
      </x:c>
      <x:c r="M439" s="80" t="n">
        <x:v>42385.77808775624</x:v>
      </x:c>
      <x:c r="N439" s="82" t="n">
        <x:v>0.22671996121520638</x:v>
      </x:c>
      <x:c r="O439" s="82" t="n">
        <x:v>0.07024851870014821</x:v>
      </x:c>
      <x:c r="P439" s="80" t="n">
        <x:v>77505.23520049496</x:v>
      </x:c>
      <x:c r="Q439" s="81" t="n">
        <x:v>0.00396684787712421</x:v>
      </x:c>
      <x:c r="R439" s="81" t="n">
        <x:v>119.61283432537833</x:v>
      </x:c>
      <x:c r="S439" s="81" t="n">
        <x:v>203.25250479599939</x:v>
      </x:c>
      <x:c r="T439" s="81" t="n">
        <x:v>229.32243413863782</x:v>
      </x:c>
    </x:row>
    <x:row r="440">
      <x:c r="A440" s="59" t="n">
        <x:v>437</x:v>
      </x:c>
      <x:c r="B440" s="193" t="n">
        <x:v>0.6203590374439956</x:v>
      </x:c>
      <x:c r="C440" s="83" t="n">
        <x:v>0.11777964662368295</x:v>
      </x:c>
      <x:c r="D440" s="83" t="n">
        <x:v>1.3515686777564075</x:v>
      </x:c>
      <x:c r="E440" s="81" t="n">
        <x:v>0.0020641016981536096</x:v>
      </x:c>
      <x:c r="F440" s="81" t="n">
        <x:v>0.2709503111895174</x:v>
      </x:c>
      <x:c r="G440" s="81" t="n">
        <x:v>-0.032327550170089814</x:v>
      </x:c>
      <x:c r="H440" s="59" t="n">
        <x:v>88</x:v>
      </x:c>
      <x:c r="I440" s="81" t="n">
        <x:v>0.33942829286679627</x:v>
      </x:c>
      <x:c r="J440" s="79" t="n">
        <x:v>0.000007653235878641354</x:v>
      </x:c>
      <x:c r="K440" s="81" t="n">
        <x:v>-0.9912534447101242</x:v>
      </x:c>
      <x:c r="L440" s="81" t="n">
        <x:v>-0.9912534447101242</x:v>
      </x:c>
      <x:c r="M440" s="80" t="n">
        <x:v>531.646765012175</x:v>
      </x:c>
      <x:c r="N440" s="82" t="n">
        <x:v>0.24987490445111182</x:v>
      </x:c>
      <x:c r="O440" s="82" t="n">
        <x:v>0.06395628616453096</x:v>
      </x:c>
      <x:c r="P440" s="80" t="n">
        <x:v>3394.6513120843606</x:v>
      </x:c>
      <x:c r="Q440" s="81" t="n">
        <x:v>0.034387948092548255</x:v>
      </x:c>
      <x:c r="R440" s="81" t="n">
        <x:v>114.62236738085147</x:v>
      </x:c>
      <x:c r="S440" s="81" t="n">
        <x:v>1.3960137919218614</x:v>
      </x:c>
      <x:c r="T440" s="81" t="n">
        <x:v>0.16578579782271705</x:v>
      </x:c>
    </x:row>
    <x:row r="441">
      <x:c r="A441" s="59" t="n">
        <x:v>438</x:v>
      </x:c>
      <x:c r="B441" s="193" t="n">
        <x:v>0.7479187034070491</x:v>
      </x:c>
      <x:c r="C441" s="83" t="n">
        <x:v>0.11906030424980597</x:v>
      </x:c>
      <x:c r="D441" s="83" t="n">
        <x:v>0.5245198153866184</x:v>
      </x:c>
      <x:c r="E441" s="81" t="n">
        <x:v>0.05507191783150273</x:v>
      </x:c>
      <x:c r="F441" s="81" t="n">
        <x:v>0.3408510234905407</x:v>
      </x:c>
      <x:c r="G441" s="81" t="n">
        <x:v>0.03008953710490387</x:v>
      </x:c>
      <x:c r="H441" s="59" t="n">
        <x:v>0</x:v>
      </x:c>
      <x:c r="I441" s="81" t="n">
        <x:v>0</x:v>
      </x:c>
      <x:c r="J441" s="79" t="n">
        <x:v>0.0011436045917463814</x:v>
      </x:c>
      <x:c r="K441" s="81" t="n">
        <x:v>0.3069766762815789</x:v>
      </x:c>
      <x:c r="L441" s="81" t="n">
        <x:v>-0.7326212672824097</x:v>
      </x:c>
      <x:c r="M441" s="80" t="n">
        <x:v>7369.130967145852</x:v>
      </x:c>
      <x:c r="N441" s="82" t="n">
        <x:v>0.2802620086272481</x:v>
      </x:c>
      <x:c r="O441" s="82" t="n">
        <x:v>0.09024014293090421</x:v>
      </x:c>
      <x:c r="P441" s="80" t="n">
        <x:v>8101.529470947696</x:v>
      </x:c>
      <x:c r="Q441" s="81" t="n">
        <x:v>0.0037139935212429968</x:v>
      </x:c>
      <x:c r="R441" s="81" t="n">
        <x:v>270.15888257882483</x:v>
      </x:c>
      <x:c r="S441" s="81" t="n">
        <x:v>180.61857010802558</x:v>
      </x:c>
      <x:c r="T441" s="81" t="n">
        <x:v>24.772972196703563</x:v>
      </x:c>
    </x:row>
    <x:row r="442">
      <x:c r="A442" s="59" t="n">
        <x:v>439</x:v>
      </x:c>
      <x:c r="B442" s="193" t="n">
        <x:v>0.38910151161253453</x:v>
      </x:c>
      <x:c r="C442" s="83" t="n">
        <x:v>1.5079628104080354</x:v>
      </x:c>
      <x:c r="D442" s="83" t="n">
        <x:v>0.26135348794279384</x:v>
      </x:c>
      <x:c r="E442" s="81" t="n">
        <x:v>0.006786308445960052</x:v>
      </x:c>
      <x:c r="F442" s="81" t="n">
        <x:v>0.457390046142973</x:v>
      </x:c>
      <x:c r="G442" s="81" t="n">
        <x:v>-0.0011638463551355523</x:v>
      </x:c>
      <x:c r="H442" s="59" t="n">
        <x:v>53</x:v>
      </x:c>
      <x:c r="I442" s="81" t="n">
        <x:v>0.2906793222762645</x:v>
      </x:c>
      <x:c r="J442" s="79" t="n">
        <x:v>0.000017779104511193415</x:v>
      </x:c>
      <x:c r="K442" s="81" t="n">
        <x:v>-0.9796810234157789</x:v>
      </x:c>
      <x:c r="L442" s="81" t="n">
        <x:v>-0.9796810234157789</x:v>
      </x:c>
      <x:c r="M442" s="80" t="n">
        <x:v>1811.6690687751625</x:v>
      </x:c>
      <x:c r="N442" s="82" t="n">
        <x:v>0.19478502571944856</x:v>
      </x:c>
      <x:c r="O442" s="82" t="n">
        <x:v>0.08416145169878593</x:v>
      </x:c>
      <x:c r="P442" s="80" t="n">
        <x:v>2173.645652956809</x:v>
      </x:c>
      <x:c r="Q442" s="81" t="n">
        <x:v>0.012915440436687605</x:v>
      </x:c>
      <x:c r="R442" s="81" t="n">
        <x:v>10.605471312468577</x:v>
      </x:c>
      <x:c r="S442" s="81" t="n">
        <x:v>0.30121458160390097</x:v>
      </x:c>
      <x:c r="T442" s="81" t="n">
        <x:v>0.3851342193943889</x:v>
      </x:c>
    </x:row>
    <x:row r="443">
      <x:c r="A443" s="59" t="n">
        <x:v>440</x:v>
      </x:c>
      <x:c r="B443" s="193" t="n">
        <x:v>0.5859040666371584</x:v>
      </x:c>
      <x:c r="C443" s="83" t="n">
        <x:v>0.24602257930559426</x:v>
      </x:c>
      <x:c r="D443" s="83" t="n">
        <x:v>0.7940753645350134</x:v>
      </x:c>
      <x:c r="E443" s="81" t="n">
        <x:v>0.13947297738934908</x:v>
      </x:c>
      <x:c r="F443" s="81" t="n">
        <x:v>0.675694254715927</x:v>
      </x:c>
      <x:c r="G443" s="81" t="n">
        <x:v>0.002237110471410189</x:v>
      </x:c>
      <x:c r="H443" s="59" t="n">
        <x:v>0</x:v>
      </x:c>
      <x:c r="I443" s="81" t="n">
        <x:v>0</x:v>
      </x:c>
      <x:c r="J443" s="79" t="n">
        <x:v>0.0049190026795555165</x:v>
      </x:c>
      <x:c r="K443" s="81" t="n">
        <x:v>4.621717348063448</x:v>
      </x:c>
      <x:c r="L443" s="81" t="n">
        <x:v>-0.8019218351313673</x:v>
      </x:c>
      <x:c r="M443" s="80" t="n">
        <x:v>21996.27257467675</x:v>
      </x:c>
      <x:c r="N443" s="82" t="n">
        <x:v>0.24166708437422063</x:v>
      </x:c>
      <x:c r="O443" s="82" t="n">
        <x:v>0.15425479416519033</x:v>
      </x:c>
      <x:c r="P443" s="80" t="n">
        <x:v>28989.031598812144</x:v>
      </x:c>
      <x:c r="Q443" s="81" t="n">
        <x:v>0.002995955601255227</x:v>
      </x:c>
      <x:c r="R443" s="81" t="n">
        <x:v>593.0723169993194</x:v>
      </x:c>
      <x:c r="S443" s="81" t="n">
        <x:v>378.2432286006122</x:v>
      </x:c>
      <x:c r="T443" s="81" t="n">
        <x:v>106.55633730015997</x:v>
      </x:c>
    </x:row>
    <x:row r="444">
      <x:c r="A444" s="59" t="n">
        <x:v>441</x:v>
      </x:c>
      <x:c r="B444" s="193" t="n">
        <x:v>0.25962913334369664</x:v>
      </x:c>
      <x:c r="C444" s="83" t="n">
        <x:v>1.9420634929033331</x:v>
      </x:c>
      <x:c r="D444" s="83" t="n">
        <x:v>1.8478702685499402</x:v>
      </x:c>
      <x:c r="E444" s="81" t="n">
        <x:v>0.13047911953239846</x:v>
      </x:c>
      <x:c r="F444" s="81" t="n">
        <x:v>0.7802606798708439</x:v>
      </x:c>
      <x:c r="G444" s="81" t="n">
        <x:v>0.0018379900893640496</x:v>
      </x:c>
      <x:c r="H444" s="59" t="n">
        <x:v>0</x:v>
      </x:c>
      <x:c r="I444" s="81" t="n">
        <x:v>0</x:v>
      </x:c>
      <x:c r="J444" s="79" t="n">
        <x:v>0.2660233700405689</x:v>
      </x:c>
      <x:c r="K444" s="81" t="n">
        <x:v>303.0267086177931</x:v>
      </x:c>
      <x:c r="L444" s="81" t="n">
        <x:v>-0.800223510260566</x:v>
      </x:c>
      <x:c r="M444" s="80" t="n">
        <x:v>521624.98521097645</x:v>
      </x:c>
      <x:c r="N444" s="82" t="n">
        <x:v>0.16394227760871882</x:v>
      </x:c>
      <x:c r="O444" s="82" t="n">
        <x:v>0.12083747117335891</x:v>
      </x:c>
      <x:c r="P444" s="80" t="n">
        <x:v>1184936.135132094</x:v>
      </x:c>
      <x:c r="Q444" s="81" t="n">
        <x:v>0.0030521275611719717</x:v>
      </x:c>
      <x:c r="R444" s="81" t="n">
        <x:v>2015.640345118547</x:v>
      </x:c>
      <x:c r="S444" s="81" t="n">
        <x:v>2702.1708031632725</x:v>
      </x:c>
      <x:c r="T444" s="81" t="n">
        <x:v>5762.646982402037</x:v>
      </x:c>
    </x:row>
    <x:row r="445">
      <x:c r="A445" s="59" t="n">
        <x:v>442</x:v>
      </x:c>
      <x:c r="B445" s="193" t="n">
        <x:v>0.43068735711276535</x:v>
      </x:c>
      <x:c r="C445" s="83" t="n">
        <x:v>0.4134881133808036</x:v>
      </x:c>
      <x:c r="D445" s="83" t="n">
        <x:v>0.9651181937206492</x:v>
      </x:c>
      <x:c r="E445" s="81" t="n">
        <x:v>-0.0642492191562191</x:v>
      </x:c>
      <x:c r="F445" s="81" t="n">
        <x:v>0.34413813514402136</x:v>
      </x:c>
      <x:c r="G445" s="81" t="n">
        <x:v>0.0297460832320628</x:v>
      </x:c>
      <x:c r="H445" s="59" t="n">
        <x:v>0</x:v>
      </x:c>
      <x:c r="I445" s="81" t="n">
        <x:v>0</x:v>
      </x:c>
      <x:c r="J445" s="79" t="n">
        <x:v>2.5511875553987346e-35</x:v>
      </x:c>
      <x:c r="K445" s="81" t="n">
        <x:v>-1</x:v>
      </x:c>
      <x:c r="L445" s="81" t="n">
        <x:v>-1</x:v>
      </x:c>
      <x:c r="M445" s="80" t="n">
        <x:v>0.000002</x:v>
      </x:c>
      <x:c r="N445" s="82" t="n">
        <x:v>0.20469155385220655</x:v>
      </x:c>
      <x:c r="O445" s="82" t="n">
        <x:v>0.06654319751662592</x:v>
      </x:c>
      <x:c r="P445" s="80" t="n">
        <x:v>357.6800115649822</x:v>
      </x:c>
      <x:c r="Q445" s="81" t="n">
        <x:v>1311680008969020700</x:v>
      </x:c>
      <x:c r="R445" s="81" t="n">
        <x:v>6.138819983878213</x:v>
      </x:c>
      <x:c r="S445" s="81" t="n">
        <x:v>8.544288903819289e-10</x:v>
      </x:c>
      <x:c r="T445" s="81" t="n">
        <x:v>5.526429225153465e-31</x:v>
      </x:c>
    </x:row>
    <x:row r="446">
      <x:c r="A446" s="59" t="n">
        <x:v>443</x:v>
      </x:c>
      <x:c r="B446" s="193" t="n">
        <x:v>0.8115016812458635</x:v>
      </x:c>
      <x:c r="C446" s="83" t="n">
        <x:v>1.106775793508822</x:v>
      </x:c>
      <x:c r="D446" s="83" t="n">
        <x:v>0.5861128344363361</x:v>
      </x:c>
      <x:c r="E446" s="81" t="n">
        <x:v>-0.0455607612697874</x:v>
      </x:c>
      <x:c r="F446" s="81" t="n">
        <x:v>0.45131872356869285</x:v>
      </x:c>
      <x:c r="G446" s="81" t="n">
        <x:v>0.01932476278594666</x:v>
      </x:c>
      <x:c r="H446" s="59" t="n">
        <x:v>0</x:v>
      </x:c>
      <x:c r="I446" s="81" t="n">
        <x:v>0</x:v>
      </x:c>
      <x:c r="J446" s="79" t="n">
        <x:v>1.4584884489500423e-22</x:v>
      </x:c>
      <x:c r="K446" s="81" t="n">
        <x:v>-1</x:v>
      </x:c>
      <x:c r="L446" s="81" t="n">
        <x:v>-1</x:v>
      </x:c>
      <x:c r="M446" s="80" t="n">
        <x:v>0.000004581051268367558</x:v>
      </x:c>
      <x:c r="N446" s="82" t="n">
        <x:v>0.2954086661292882</x:v>
      </x:c>
      <x:c r="O446" s="82" t="n">
        <x:v>0.1259440122525539</x:v>
      </x:c>
      <x:c r="P446" s="80" t="n">
        <x:v>628.3544573246359</x:v>
      </x:c>
      <x:c r="Q446" s="81" t="n">
        <x:v>728090.3324815165</x:v>
      </x:c>
      <x:c r="R446" s="81" t="n">
        <x:v>4.781917514161328</x:v>
      </x:c>
      <x:c r="S446" s="81" t="n">
        <x:v>7.516164938776704e-10</x:v>
      </x:c>
      <x:c r="T446" s="81" t="n">
        <x:v>3.1594044004210807e-18</x:v>
      </x:c>
    </x:row>
    <x:row r="447">
      <x:c r="A447" s="59" t="n">
        <x:v>444</x:v>
      </x:c>
      <x:c r="B447" s="193" t="n">
        <x:v>0.3652769224718213</x:v>
      </x:c>
      <x:c r="C447" s="83" t="n">
        <x:v>0.8243741533447582</x:v>
      </x:c>
      <x:c r="D447" s="83" t="n">
        <x:v>0.9363840782539218</x:v>
      </x:c>
      <x:c r="E447" s="81" t="n">
        <x:v>0.0856150950370295</x:v>
      </x:c>
      <x:c r="F447" s="81" t="n">
        <x:v>0.5412965231458657</x:v>
      </x:c>
      <x:c r="G447" s="81" t="n">
        <x:v>0.027371158819689746</x:v>
      </x:c>
      <x:c r="H447" s="59" t="n">
        <x:v>0</x:v>
      </x:c>
      <x:c r="I447" s="81" t="n">
        <x:v>0</x:v>
      </x:c>
      <x:c r="J447" s="79" t="n">
        <x:v>0.0230730183587733</x:v>
      </x:c>
      <x:c r="K447" s="81" t="n">
        <x:v>25.36916383859806</x:v>
      </x:c>
      <x:c r="L447" s="81" t="n">
        <x:v>-0.6787699660980985</x:v>
      </x:c>
      <x:c r="M447" s="80" t="n">
        <x:v>66051.06138896979</x:v>
      </x:c>
      <x:c r="N447" s="82" t="n">
        <x:v>0.18910956187508432</x:v>
      </x:c>
      <x:c r="O447" s="82" t="n">
        <x:v>0.09669848453752747</x:v>
      </x:c>
      <x:c r="P447" s="80" t="n">
        <x:v>106807.20364174618</x:v>
      </x:c>
      <x:c r="Q447" s="81" t="n">
        <x:v>0.0029700054983816454</x:v>
      </x:c>
      <x:c r="R447" s="81" t="n">
        <x:v>346.0957695118126</x:v>
      </x:c>
      <x:c r="S447" s="81" t="n">
        <x:v>541.6554767454767</x:v>
      </x:c>
      <x:c r="T447" s="81" t="n">
        <x:v>499.8119511072088</x:v>
      </x:c>
    </x:row>
    <x:row r="448">
      <x:c r="A448" s="59" t="n">
        <x:v>445</x:v>
      </x:c>
      <x:c r="B448" s="193" t="n">
        <x:v>0.9511631414294244</x:v>
      </x:c>
      <x:c r="C448" s="83" t="n">
        <x:v>0.6020433229191654</x:v>
      </x:c>
      <x:c r="D448" s="83" t="n">
        <x:v>0.6407511721721785</x:v>
      </x:c>
      <x:c r="E448" s="81" t="n">
        <x:v>0.12881357758124287</x:v>
      </x:c>
      <x:c r="F448" s="81" t="n">
        <x:v>0.6960325954016298</x:v>
      </x:c>
      <x:c r="G448" s="81" t="n">
        <x:v>0.004747909037001553</x:v>
      </x:c>
      <x:c r="H448" s="59" t="n">
        <x:v>0</x:v>
      </x:c>
      <x:c r="I448" s="81" t="n">
        <x:v>0</x:v>
      </x:c>
      <x:c r="J448" s="79" t="n">
        <x:v>0.002257182427145247</x:v>
      </x:c>
      <x:c r="K448" s="81" t="n">
        <x:v>1.5796370595945683</x:v>
      </x:c>
      <x:c r="L448" s="81" t="n">
        <x:v>-0.7989368448482843</x:v>
      </x:c>
      <x:c r="M448" s="80" t="n">
        <x:v>17643.166287443688</x:v>
      </x:c>
      <x:c r="N448" s="82" t="n">
        <x:v>0.3286786445973907</x:v>
      </x:c>
      <x:c r="O448" s="82" t="n">
        <x:v>0.2161085788712396</x:v>
      </x:c>
      <x:c r="P448" s="80" t="n">
        <x:v>20359.026630309323</x:v>
      </x:c>
      <x:c r="Q448" s="81" t="n">
        <x:v>0.004337105299414396</x:v>
      </x:c>
      <x:c r="R448" s="81" t="n">
        <x:v>131.91987461202046</x:v>
      </x:c>
      <x:c r="S448" s="81" t="n">
        <x:v>73.23460579519123</x:v>
      </x:c>
      <x:c r="T448" s="81" t="n">
        <x:v>48.89549929592963</x:v>
      </x:c>
    </x:row>
    <x:row r="449">
      <x:c r="A449" s="59" t="n">
        <x:v>446</x:v>
      </x:c>
      <x:c r="B449" s="193" t="n">
        <x:v>0.3523856261745095</x:v>
      </x:c>
      <x:c r="C449" s="83" t="n">
        <x:v>0.9514856010117538</x:v>
      </x:c>
      <x:c r="D449" s="83" t="n">
        <x:v>0.88410367995989</x:v>
      </x:c>
      <x:c r="E449" s="81" t="n">
        <x:v>-0.03566207325075504</x:v>
      </x:c>
      <x:c r="F449" s="81" t="n">
        <x:v>0.7201306638424285</x:v>
      </x:c>
      <x:c r="G449" s="81" t="n">
        <x:v>-0.0060294165706474105</x:v>
      </x:c>
      <x:c r="H449" s="59" t="n">
        <x:v>0</x:v>
      </x:c>
      <x:c r="I449" s="81" t="n">
        <x:v>0</x:v>
      </x:c>
      <x:c r="J449" s="79" t="n">
        <x:v>1.0316637818838835e-22</x:v>
      </x:c>
      <x:c r="K449" s="81" t="n">
        <x:v>-1</x:v>
      </x:c>
      <x:c r="L449" s="81" t="n">
        <x:v>-1</x:v>
      </x:c>
      <x:c r="M449" s="80" t="n">
        <x:v>0.000003570606823421909</x:v>
      </x:c>
      <x:c r="N449" s="82" t="n">
        <x:v>0.18603861338525896</x:v>
      </x:c>
      <x:c r="O449" s="82" t="n">
        <x:v>0.12655675763126611</x:v>
      </x:c>
      <x:c r="P449" s="80" t="n">
        <x:v>761.5713776103236</x:v>
      </x:c>
      <x:c r="Q449" s="81" t="n">
        <x:v>1015266.6798770836</x:v>
      </x:c>
      <x:c r="R449" s="81" t="n">
        <x:v>5.075710097982498</x:v>
      </x:c>
      <x:c r="S449" s="81" t="n">
        <x:v>6.964402015388479e-10</x:v>
      </x:c>
      <x:c r="T449" s="81" t="n">
        <x:v>2.234808986375895e-18</x:v>
      </x:c>
    </x:row>
    <x:row r="450">
      <x:c r="A450" s="59" t="n">
        <x:v>447</x:v>
      </x:c>
      <x:c r="B450" s="193" t="n">
        <x:v>0.5664261683821679</x:v>
      </x:c>
      <x:c r="C450" s="83" t="n">
        <x:v>0.5195435124799848</x:v>
      </x:c>
      <x:c r="D450" s="83" t="n">
        <x:v>0.8675917588755371</x:v>
      </x:c>
      <x:c r="E450" s="81" t="n">
        <x:v>-0.13419419472949512</x:v>
      </x:c>
      <x:c r="F450" s="81" t="n">
        <x:v>0.3914789100061171</x:v>
      </x:c>
      <x:c r="G450" s="81" t="n">
        <x:v>-0.01318268448250033</x:v>
      </x:c>
      <x:c r="H450" s="59" t="n">
        <x:v>38</x:v>
      </x:c>
      <x:c r="I450" s="81" t="n">
        <x:v>0.4496706109493971</x:v>
      </x:c>
      <x:c r="J450" s="79" t="n">
        <x:v>3.8128150274399286e-44</x:v>
      </x:c>
      <x:c r="K450" s="81" t="n">
        <x:v>-1</x:v>
      </x:c>
      <x:c r="L450" s="81" t="n">
        <x:v>-1</x:v>
      </x:c>
      <x:c r="M450" s="80" t="n">
        <x:v>0.000002</x:v>
      </x:c>
      <x:c r="N450" s="82" t="n">
        <x:v>0.23702708379928944</x:v>
      </x:c>
      <x:c r="O450" s="82" t="n">
        <x:v>0.08765511939058165</x:v>
      </x:c>
      <x:c r="P450" s="80" t="n">
        <x:v>206.0316422580799</x:v>
      </x:c>
      <x:c r="Q450" s="81" t="n">
        <x:v>4.478192475292706e+26</x:v>
      </x:c>
      <x:c r="R450" s="81" t="n">
        <x:v>2.63581694995884</x:v>
      </x:c>
      <x:c r="S450" s="81" t="n">
        <x:v>4.2558565429042307e-10</x:v>
      </x:c>
      <x:c r="T450" s="81" t="n">
        <x:v>8.259389770523958e-40</x:v>
      </x:c>
    </x:row>
    <x:row r="451">
      <x:c r="A451" s="59" t="n">
        <x:v>448</x:v>
      </x:c>
      <x:c r="B451" s="193" t="n">
        <x:v>0.25770707167685036</x:v>
      </x:c>
      <x:c r="C451" s="83" t="n">
        <x:v>0.14247324780488815</x:v>
      </x:c>
      <x:c r="D451" s="83" t="n">
        <x:v>2.5388373094440913</x:v>
      </x:c>
      <x:c r="E451" s="81" t="n">
        <x:v>-0.044108831497908084</x:v>
      </x:c>
      <x:c r="F451" s="81" t="n">
        <x:v>0.8263613161165267</x:v>
      </x:c>
      <x:c r="G451" s="81" t="n">
        <x:v>-0.023866956578498008</x:v>
      </x:c>
      <x:c r="H451" s="59" t="n">
        <x:v>73</x:v>
      </x:c>
      <x:c r="I451" s="81" t="n">
        <x:v>0.449694754742086</x:v>
      </x:c>
      <x:c r="J451" s="79" t="n">
        <x:v>2.7448933380414643e-41</x:v>
      </x:c>
      <x:c r="K451" s="81" t="n">
        <x:v>-1</x:v>
      </x:c>
      <x:c r="L451" s="81" t="n">
        <x:v>-1</x:v>
      </x:c>
      <x:c r="M451" s="80" t="n">
        <x:v>0.000002</x:v>
      </x:c>
      <x:c r="N451" s="82" t="n">
        <x:v>0.16348440648101967</x:v>
      </x:c>
      <x:c r="O451" s="82" t="n">
        <x:v>0.12761956367889618</x:v>
      </x:c>
      <x:c r="P451" s="80" t="n">
        <x:v>454.05637547575714</x:v>
      </x:c>
      <x:c r="Q451" s="81" t="n">
        <x:v>1.7421660417834296e+24</x:v>
      </x:c>
      <x:c r="R451" s="81" t="n">
        <x:v>9.34199208345662</x:v>
      </x:c>
      <x:c r="S451" s="81" t="n">
        <x:v>1.450950560998493e-9</x:v>
      </x:c>
      <x:c r="T451" s="81" t="n">
        <x:v>5.946038240575575e-37</x:v>
      </x:c>
    </x:row>
    <x:row r="452">
      <x:c r="A452" s="59" t="n">
        <x:v>449</x:v>
      </x:c>
      <x:c r="B452" s="193" t="n">
        <x:v>0.49230540040880444</x:v>
      </x:c>
      <x:c r="C452" s="83" t="n">
        <x:v>0.7313876818015195</x:v>
      </x:c>
      <x:c r="D452" s="83" t="n">
        <x:v>0.4993712906061841</x:v>
      </x:c>
      <x:c r="E452" s="81" t="n">
        <x:v>-0.08035992002945377</x:v>
      </x:c>
      <x:c r="F452" s="81" t="n">
        <x:v>0.47315940926782785</x:v>
      </x:c>
      <x:c r="G452" s="81" t="n">
        <x:v>-0.047508936474838226</x:v>
      </x:c>
      <x:c r="H452" s="59" t="n">
        <x:v>0</x:v>
      </x:c>
      <x:c r="I452" s="81" t="n">
        <x:v>0</x:v>
      </x:c>
      <x:c r="J452" s="79" t="n">
        <x:v>1.6531988121119986e-22</x:v>
      </x:c>
      <x:c r="K452" s="81" t="n">
        <x:v>-1</x:v>
      </x:c>
      <x:c r="L452" s="81" t="n">
        <x:v>-1</x:v>
      </x:c>
      <x:c r="M452" s="80" t="n">
        <x:v>0.00000400728088292819</x:v>
      </x:c>
      <x:c r="N452" s="82" t="n">
        <x:v>0.21937012710363504</x:v>
      </x:c>
      <x:c r="O452" s="82" t="n">
        <x:v>0.09805187652279182</x:v>
      </x:c>
      <x:c r="P452" s="80" t="n">
        <x:v>320.5810461811175</x:v>
      </x:c>
      <x:c r="Q452" s="81" t="n">
        <x:v>329168.65309737675</x:v>
      </x:c>
      <x:c r="R452" s="81" t="n">
        <x:v>5.074229186185141</x:v>
      </x:c>
      <x:c r="S452" s="81" t="n">
        <x:v>2.92307271242645e-10</x:v>
      </x:c>
      <x:c r="T452" s="81" t="n">
        <x:v>3.581189556569781e-18</x:v>
      </x:c>
    </x:row>
    <x:row r="453">
      <x:c r="A453" s="59" t="n">
        <x:v>450</x:v>
      </x:c>
      <x:c r="B453" s="193" t="n">
        <x:v>0.6226827310398222</x:v>
      </x:c>
      <x:c r="C453" s="83" t="n">
        <x:v>0.1780698714560795</x:v>
      </x:c>
      <x:c r="D453" s="83" t="n">
        <x:v>0.5981803577098157</x:v>
      </x:c>
      <x:c r="E453" s="81" t="n">
        <x:v>0.021284917739976778</x:v>
      </x:c>
      <x:c r="F453" s="81" t="n">
        <x:v>0.28368340206798165</x:v>
      </x:c>
      <x:c r="G453" s="81" t="n">
        <x:v>-0.05</x:v>
      </x:c>
      <x:c r="H453" s="59" t="n">
        <x:v>0</x:v>
      </x:c>
      <x:c r="I453" s="81" t="n">
        <x:v>0</x:v>
      </x:c>
      <x:c r="J453" s="79" t="n">
        <x:v>0.00007031536592806813</x:v>
      </x:c>
      <x:c r="K453" s="81" t="n">
        <x:v>-0.9196395817964935</x:v>
      </x:c>
      <x:c r="L453" s="81" t="n">
        <x:v>-0.9292811136416685</x:v>
      </x:c>
      <x:c r="M453" s="80" t="n">
        <x:v>1745.2390869282142</x:v>
      </x:c>
      <x:c r="N453" s="82" t="n">
        <x:v>0.2504284518348927</x:v>
      </x:c>
      <x:c r="O453" s="82" t="n">
        <x:v>0.06711020061700253</x:v>
      </x:c>
      <x:c r="P453" s="80" t="n">
        <x:v>2836.1087633047814</x:v>
      </x:c>
      <x:c r="Q453" s="81" t="n">
        <x:v>0.005769832736476117</x:v>
      </x:c>
      <x:c r="R453" s="81" t="n">
        <x:v>115.48189700498578</x:v>
      </x:c>
      <x:c r="S453" s="81" t="n">
        <x:v>7.544707541248364</x:v>
      </x:c>
      <x:c r="T453" s="81" t="n">
        <x:v>1.5231843398573697</x:v>
      </x:c>
    </x:row>
    <x:row r="454">
      <x:c r="A454" s="59" t="n">
        <x:v>451</x:v>
      </x:c>
      <x:c r="B454" s="193" t="n">
        <x:v>0.39778833203017716</x:v>
      </x:c>
      <x:c r="C454" s="83" t="n">
        <x:v>0.8710840892810361</x:v>
      </x:c>
      <x:c r="D454" s="83" t="n">
        <x:v>0.7155728195285818</x:v>
      </x:c>
      <x:c r="E454" s="81" t="n">
        <x:v>-0.06563935807690363</x:v>
      </x:c>
      <x:c r="F454" s="81" t="n">
        <x:v>0.5316940817516298</x:v>
      </x:c>
      <x:c r="G454" s="81" t="n">
        <x:v>-0.027683690358015628</x:v>
      </x:c>
      <x:c r="H454" s="59" t="n">
        <x:v>0</x:v>
      </x:c>
      <x:c r="I454" s="81" t="n">
        <x:v>0</x:v>
      </x:c>
      <x:c r="J454" s="79" t="n">
        <x:v>1.2609799423559786e-25</x:v>
      </x:c>
      <x:c r="K454" s="81" t="n">
        <x:v>-1</x:v>
      </x:c>
      <x:c r="L454" s="81" t="n">
        <x:v>-1</x:v>
      </x:c>
      <x:c r="M454" s="80" t="n">
        <x:v>0.000002</x:v>
      </x:c>
      <x:c r="N454" s="82" t="n">
        <x:v>0.19685438922081352</x:v>
      </x:c>
      <x:c r="O454" s="82" t="n">
        <x:v>0.09887303619751726</x:v>
      </x:c>
      <x:c r="P454" s="80" t="n">
        <x:v>438.4198745551052</x:v>
      </x:c>
      <x:c r="Q454" s="81" t="n">
        <x:v>260095327.01733443</x:v>
      </x:c>
      <x:c r="R454" s="81" t="n">
        <x:v>3.952273094320631</x:v>
      </x:c>
      <x:c r="S454" s="81" t="n">
        <x:v>2.380802735078803e-10</x:v>
      </x:c>
      <x:c r="T454" s="81" t="n">
        <x:v>2.7315578547023935e-21</x:v>
      </x:c>
    </x:row>
    <x:row r="455">
      <x:c r="A455" s="59" t="n">
        <x:v>452</x:v>
      </x:c>
      <x:c r="B455" s="193" t="n">
        <x:v>0.5383107636123896</x:v>
      </x:c>
      <x:c r="C455" s="83" t="n">
        <x:v>1.3822900021121056</x:v>
      </x:c>
      <x:c r="D455" s="83" t="n">
        <x:v>1.3920333089108639</x:v>
      </x:c>
      <x:c r="E455" s="81" t="n">
        <x:v>0.06554451758062704</x:v>
      </x:c>
      <x:c r="F455" s="81" t="n">
        <x:v>0.2977959125651978</x:v>
      </x:c>
      <x:c r="G455" s="81" t="n">
        <x:v>-0.0064160003715148005</x:v>
      </x:c>
      <x:c r="H455" s="59" t="n">
        <x:v>0</x:v>
      </x:c>
      <x:c r="I455" s="81" t="n">
        <x:v>0</x:v>
      </x:c>
      <x:c r="J455" s="79" t="n">
        <x:v>0.05290216647679974</x:v>
      </x:c>
      <x:c r="K455" s="81" t="n">
        <x:v>59.45961883062828</x:v>
      </x:c>
      <x:c r="L455" s="81" t="n">
        <x:v>-0.6531221255757544</x:v>
      </x:c>
      <x:c r="M455" s="80" t="n">
        <x:v>127593.6777683543</x:v>
      </x:c>
      <x:c r="N455" s="82" t="n">
        <x:v>0.23032946721928915</x:v>
      </x:c>
      <x:c r="O455" s="82" t="n">
        <x:v>0.06479465433759364</x:v>
      </x:c>
      <x:c r="P455" s="80" t="n">
        <x:v>283478.6831051845</x:v>
      </x:c>
      <x:c r="Q455" s="81" t="n">
        <x:v>0.0026466861353252624</x:v>
      </x:c>
      <x:c r="R455" s="81" t="n">
        <x:v>680.3504019646812</x:v>
      </x:c>
      <x:c r="S455" s="81" t="n">
        <x:v>742.4186738848921</x:v>
      </x:c>
      <x:c r="T455" s="81" t="n">
        <x:v>1145.9764229119014</x:v>
      </x:c>
    </x:row>
    <x:row r="456">
      <x:c r="A456" s="59" t="n">
        <x:v>453</x:v>
      </x:c>
      <x:c r="B456" s="193" t="n">
        <x:v>0.9811815194785596</x:v>
      </x:c>
      <x:c r="C456" s="83" t="n">
        <x:v>0.11758919316231745</x:v>
      </x:c>
      <x:c r="D456" s="83" t="n">
        <x:v>1.0427630417417975</x:v>
      </x:c>
      <x:c r="E456" s="81" t="n">
        <x:v>0.03565788374632018</x:v>
      </x:c>
      <x:c r="F456" s="81" t="n">
        <x:v>0.8056529688532464</x:v>
      </x:c>
      <x:c r="G456" s="81" t="n">
        <x:v>-0.019761054823145108</x:v>
      </x:c>
      <x:c r="H456" s="59" t="n">
        <x:v>0</x:v>
      </x:c>
      <x:c r="I456" s="81" t="n">
        <x:v>0</x:v>
      </x:c>
      <x:c r="J456" s="79" t="n">
        <x:v>0.00007622396368609223</x:v>
      </x:c>
      <x:c r="K456" s="81" t="n">
        <x:v>-0.912886898644466</x:v>
      </x:c>
      <x:c r="L456" s="81" t="n">
        <x:v>-0.9270577604315915</x:v>
      </x:c>
      <x:c r="M456" s="80" t="n">
        <x:v>1894.1965993473477</x:v>
      </x:c>
      <x:c r="N456" s="82" t="n">
        <x:v>0.3358295850932832</x:v>
      </x:c>
      <x:c r="O456" s="82" t="n">
        <x:v>0.2555864975148601</x:v>
      </x:c>
      <x:c r="P456" s="80" t="n">
        <x:v>4398.640134980246</x:v>
      </x:c>
      <x:c r="Q456" s="81" t="n">
        <x:v>0.015387297953580308</x:v>
      </x:c>
      <x:c r="R456" s="81" t="n">
        <x:v>124.60070326803287</x:v>
      </x:c>
      <x:c r="S456" s="81" t="n">
        <x:v>12.663166321042699</x:v>
      </x:c>
      <x:c r="T456" s="81" t="n">
        <x:v>1.6511774670601134</x:v>
      </x:c>
    </x:row>
    <x:row r="457">
      <x:c r="A457" s="59" t="n">
        <x:v>454</x:v>
      </x:c>
      <x:c r="B457" s="193" t="n">
        <x:v>0.9798301691189408</x:v>
      </x:c>
      <x:c r="C457" s="83" t="n">
        <x:v>0.3347468984937715</x:v>
      </x:c>
      <x:c r="D457" s="83" t="n">
        <x:v>1.046310150782069</x:v>
      </x:c>
      <x:c r="E457" s="81" t="n">
        <x:v>-0.14787245751110967</x:v>
      </x:c>
      <x:c r="F457" s="81" t="n">
        <x:v>0.8520581965101883</x:v>
      </x:c>
      <x:c r="G457" s="81" t="n">
        <x:v>-0.03350047763506391</x:v>
      </x:c>
      <x:c r="H457" s="59" t="n">
        <x:v>0</x:v>
      </x:c>
      <x:c r="I457" s="81" t="n">
        <x:v>0</x:v>
      </x:c>
      <x:c r="J457" s="79" t="n">
        <x:v>5.5497081325438166e-49</x:v>
      </x:c>
      <x:c r="K457" s="81" t="n">
        <x:v>-1</x:v>
      </x:c>
      <x:c r="L457" s="81" t="n">
        <x:v>-1</x:v>
      </x:c>
      <x:c r="M457" s="80" t="n">
        <x:v>0.000002</x:v>
      </x:c>
      <x:c r="N457" s="82" t="n">
        <x:v>0.33550766809980254</x:v>
      </x:c>
      <x:c r="O457" s="82" t="n">
        <x:v>0.27004904819983244</x:v>
      </x:c>
      <x:c r="P457" s="80" t="n">
        <x:v>169.03591327484514</x:v>
      </x:c>
      <x:c r="Q457" s="81" t="n">
        <x:v>2.825732211983323e+31</x:v>
      </x:c>
      <x:c r="R457" s="81" t="n">
        <x:v>2.7136596985632297</x:v>
      </x:c>
      <x:c r="S457" s="81" t="n">
        <x:v>4.5364795411695127e-10</x:v>
      </x:c>
      <x:c r="T457" s="81" t="n">
        <x:v>1.2021879438012727e-44</x:v>
      </x:c>
    </x:row>
    <x:row r="458">
      <x:c r="A458" s="59" t="n">
        <x:v>455</x:v>
      </x:c>
      <x:c r="B458" s="193" t="n">
        <x:v>0.53253024648875</x:v>
      </x:c>
      <x:c r="C458" s="83" t="n">
        <x:v>0.8427308389649286</x:v>
      </x:c>
      <x:c r="D458" s="83" t="n">
        <x:v>0.9541400570787132</x:v>
      </x:c>
      <x:c r="E458" s="81" t="n">
        <x:v>-0.1579170237436823</x:v>
      </x:c>
      <x:c r="F458" s="81" t="n">
        <x:v>0.3744185513933189</x:v>
      </x:c>
      <x:c r="G458" s="81" t="n">
        <x:v>0.049416957752813545</x:v>
      </x:c>
      <x:c r="H458" s="59" t="n">
        <x:v>0</x:v>
      </x:c>
      <x:c r="I458" s="81" t="n">
        <x:v>0</x:v>
      </x:c>
      <x:c r="J458" s="79" t="n">
        <x:v>1.3828197740205239e-67</x:v>
      </x:c>
      <x:c r="K458" s="81" t="n">
        <x:v>-1</x:v>
      </x:c>
      <x:c r="L458" s="81" t="n">
        <x:v>-1</x:v>
      </x:c>
      <x:c r="M458" s="80" t="n">
        <x:v>0.000002</x:v>
      </x:c>
      <x:c r="N458" s="82" t="n">
        <x:v>0.22895243965574172</x:v>
      </x:c>
      <x:c r="O458" s="82" t="n">
        <x:v>0.08097921754887773</x:v>
      </x:c>
      <x:c r="P458" s="80" t="n">
        <x:v>227.0025466648806</x:v>
      </x:c>
      <x:c r="Q458" s="81" t="n">
        <x:v>1.0712176223954136e+50</x:v>
      </x:c>
      <x:c r="R458" s="81" t="n">
        <x:v>1.3809156993616796</x:v>
      </x:c>
      <x:c r="S458" s="81" t="n">
        <x:v>8.156852531089405e-10</x:v>
      </x:c>
      <x:c r="T458" s="81" t="n">
        <x:v>2.995489530393515e-63</x:v>
      </x:c>
    </x:row>
    <x:row r="459">
      <x:c r="A459" s="59" t="n">
        <x:v>456</x:v>
      </x:c>
      <x:c r="B459" s="193" t="n">
        <x:v>0.7551065778359771</x:v>
      </x:c>
      <x:c r="C459" s="83" t="n">
        <x:v>0.1178841644770562</x:v>
      </x:c>
      <x:c r="D459" s="83" t="n">
        <x:v>1.471594681373641</x:v>
      </x:c>
      <x:c r="E459" s="81" t="n">
        <x:v>-0.11503013300286982</x:v>
      </x:c>
      <x:c r="F459" s="81" t="n">
        <x:v>0.7151317035430111</x:v>
      </x:c>
      <x:c r="G459" s="81" t="n">
        <x:v>0.02909068268681891</x:v>
      </x:c>
      <x:c r="H459" s="59" t="n">
        <x:v>62</x:v>
      </x:c>
      <x:c r="I459" s="81" t="n">
        <x:v>0.45338238719850776</x:v>
      </x:c>
      <x:c r="J459" s="79" t="n">
        <x:v>5.6287360763669886e-67</x:v>
      </x:c>
      <x:c r="K459" s="81" t="n">
        <x:v>-1</x:v>
      </x:c>
      <x:c r="L459" s="81" t="n">
        <x:v>-1</x:v>
      </x:c>
      <x:c r="M459" s="80" t="n">
        <x:v>0.000002</x:v>
      </x:c>
      <x:c r="N459" s="82" t="n">
        <x:v>0.2819742950888643</x:v>
      </x:c>
      <x:c r="O459" s="82" t="n">
        <x:v>0.19048750492279834</x:v>
      </x:c>
      <x:c r="P459" s="80" t="n">
        <x:v>188.37696829098743</x:v>
      </x:c>
      <x:c r="Q459" s="81" t="n">
        <x:v>3.4790357982866897e+49</x:v>
      </x:c>
      <x:c r="R459" s="81" t="n">
        <x:v>6.717285421464674</x:v>
      </x:c>
      <x:c r="S459" s="81" t="n">
        <x:v>1.6346127158380034e-9</x:v>
      </x:c>
      <x:c r="T459" s="81" t="n">
        <x:v>1.2193071217865974e-62</x:v>
      </x:c>
    </x:row>
    <x:row r="460">
      <x:c r="A460" s="59" t="n">
        <x:v>457</x:v>
      </x:c>
      <x:c r="B460" s="193" t="n">
        <x:v>0.3101000810042024</x:v>
      </x:c>
      <x:c r="C460" s="83" t="n">
        <x:v>0.2381015215508318</x:v>
      </x:c>
      <x:c r="D460" s="83" t="n">
        <x:v>0.34342338272058814</x:v>
      </x:c>
      <x:c r="E460" s="81" t="n">
        <x:v>-0.0973889574497109</x:v>
      </x:c>
      <x:c r="F460" s="81" t="n">
        <x:v>0.7669233474181966</x:v>
      </x:c>
      <x:c r="G460" s="81" t="n">
        <x:v>-0.03939143279569654</x:v>
      </x:c>
      <x:c r="H460" s="59" t="n">
        <x:v>0</x:v>
      </x:c>
      <x:c r="I460" s="81" t="n">
        <x:v>0</x:v>
      </x:c>
      <x:c r="J460" s="79" t="n">
        <x:v>1.7610995932573305e-20</x:v>
      </x:c>
      <x:c r="K460" s="81" t="n">
        <x:v>-1</x:v>
      </x:c>
      <x:c r="L460" s="81" t="n">
        <x:v>-1</x:v>
      </x:c>
      <x:c r="M460" s="80" t="n">
        <x:v>0.000029380632234790766</x:v>
      </x:c>
      <x:c r="N460" s="82" t="n">
        <x:v>0.17596540367171984</x:v>
      </x:c>
      <x:c r="O460" s="82" t="n">
        <x:v>0.12748238831782147</x:v>
      </x:c>
      <x:c r="P460" s="80" t="n">
        <x:v>170.20615443518673</x:v>
      </x:c>
      <x:c r="Q460" s="81" t="n">
        <x:v>18988.595296514184</x:v>
      </x:c>
      <x:c r="R460" s="81" t="n">
        <x:v>15.225305639969845</x:v>
      </x:c>
      <x:c r="S460" s="81" t="n">
        <x:v>2.2779618444379896e-9</x:v>
      </x:c>
      <x:c r="T460" s="81" t="n">
        <x:v>3.814926205636045e-16</x:v>
      </x:c>
    </x:row>
    <x:row r="461">
      <x:c r="A461" s="59" t="n">
        <x:v>458</x:v>
      </x:c>
      <x:c r="B461" s="193" t="n">
        <x:v>0.40092245452106</x:v>
      </x:c>
      <x:c r="C461" s="83" t="n">
        <x:v>0.6238165173606844</x:v>
      </x:c>
      <x:c r="D461" s="83" t="n">
        <x:v>1.1811478247872427</x:v>
      </x:c>
      <x:c r="E461" s="81" t="n">
        <x:v>-0.044079658033769294</x:v>
      </x:c>
      <x:c r="F461" s="81" t="n">
        <x:v>0.26254310661461205</x:v>
      </x:c>
      <x:c r="G461" s="81" t="n">
        <x:v>0.01041487758763585</x:v>
      </x:c>
      <x:c r="H461" s="59" t="n">
        <x:v>83</x:v>
      </x:c>
      <x:c r="I461" s="81" t="n">
        <x:v>0.164172135386616</x:v>
      </x:c>
      <x:c r="J461" s="79" t="n">
        <x:v>4.6479071617141126e-30</x:v>
      </x:c>
      <x:c r="K461" s="81" t="n">
        <x:v>-1</x:v>
      </x:c>
      <x:c r="L461" s="81" t="n">
        <x:v>-1</x:v>
      </x:c>
      <x:c r="M461" s="80" t="n">
        <x:v>0.000002</x:v>
      </x:c>
      <x:c r="N461" s="82" t="n">
        <x:v>0.19760099596293876</x:v>
      </x:c>
      <x:c r="O461" s="82" t="n">
        <x:v>0.04900729037349206</x:v>
      </x:c>
      <x:c r="P461" s="80" t="n">
        <x:v>592.5789610453271</x:v>
      </x:c>
      <x:c r="Q461" s="81" t="n">
        <x:v>10295152261784.525</x:v>
      </x:c>
      <x:c r="R461" s="81" t="n">
        <x:v>5.335183985810308</x:v>
      </x:c>
      <x:c r="S461" s="81" t="n">
        <x:v>7.228000073637868e-10</x:v>
      </x:c>
      <x:c r="T461" s="81" t="n">
        <x:v>1.006838165227815e-25</x:v>
      </x:c>
    </x:row>
    <x:row r="462">
      <x:c r="A462" s="59" t="n">
        <x:v>459</x:v>
      </x:c>
      <x:c r="B462" s="193" t="n">
        <x:v>0.9481835046783089</x:v>
      </x:c>
      <x:c r="C462" s="83" t="n">
        <x:v>0.8320050239508623</x:v>
      </x:c>
      <x:c r="D462" s="83" t="n">
        <x:v>0.45221559908895126</x:v>
      </x:c>
      <x:c r="E462" s="81" t="n">
        <x:v>-0.1259557543586667</x:v>
      </x:c>
      <x:c r="F462" s="81" t="n">
        <x:v>0.4251782775274478</x:v>
      </x:c>
      <x:c r="G462" s="81" t="n">
        <x:v>0.012249647594764684</x:v>
      </x:c>
      <x:c r="H462" s="59" t="n">
        <x:v>0</x:v>
      </x:c>
      <x:c r="I462" s="81" t="n">
        <x:v>0</x:v>
      </x:c>
      <x:c r="J462" s="79" t="n">
        <x:v>7.920623046435642e-32</x:v>
      </x:c>
      <x:c r="K462" s="81" t="n">
        <x:v>-1</x:v>
      </x:c>
      <x:c r="L462" s="81" t="n">
        <x:v>-1</x:v>
      </x:c>
      <x:c r="M462" s="80" t="n">
        <x:v>0.000002</x:v>
      </x:c>
      <x:c r="N462" s="82" t="n">
        <x:v>0.32796883925508585</x:v>
      </x:c>
      <x:c r="O462" s="82" t="n">
        <x:v>0.1317269368144415</x:v>
      </x:c>
      <x:c r="P462" s="80" t="n">
        <x:v>228.65019516082387</x:v>
      </x:c>
      <x:c r="Q462" s="81" t="n">
        <x:v>228002058218759.97</x:v>
      </x:c>
      <x:c r="R462" s="81" t="n">
        <x:v>3.1742860297305815</x:v>
      </x:c>
      <x:c r="S462" s="81" t="n">
        <x:v>2.5075861839626717e-10</x:v>
      </x:c>
      <x:c r="T462" s="81" t="n">
        <x:v>1.71577987641934e-27</x:v>
      </x:c>
    </x:row>
    <x:row r="463">
      <x:c r="A463" s="59" t="n">
        <x:v>460</x:v>
      </x:c>
      <x:c r="B463" s="193" t="n">
        <x:v>0.6769372396171094</x:v>
      </x:c>
      <x:c r="C463" s="83" t="n">
        <x:v>1.1788072064388875</x:v>
      </x:c>
      <x:c r="D463" s="83" t="n">
        <x:v>0.9304095670236376</x:v>
      </x:c>
      <x:c r="E463" s="81" t="n">
        <x:v>-0.05284658505148308</x:v>
      </x:c>
      <x:c r="F463" s="81" t="n">
        <x:v>0.4578099507023581</x:v>
      </x:c>
      <x:c r="G463" s="81" t="n">
        <x:v>-0.0013544224600839545</x:v>
      </x:c>
      <x:c r="H463" s="59" t="n">
        <x:v>0</x:v>
      </x:c>
      <x:c r="I463" s="81" t="n">
        <x:v>0</x:v>
      </x:c>
      <x:c r="J463" s="79" t="n">
        <x:v>2.676990159832118e-28</x:v>
      </x:c>
      <x:c r="K463" s="81" t="n">
        <x:v>-1</x:v>
      </x:c>
      <x:c r="L463" s="81" t="n">
        <x:v>-1</x:v>
      </x:c>
      <x:c r="M463" s="80" t="n">
        <x:v>0.000002</x:v>
      </x:c>
      <x:c r="N463" s="82" t="n">
        <x:v>0.2633528930500381</x:v>
      </x:c>
      <x:c r="O463" s="82" t="n">
        <x:v>0.1138922738028301</x:v>
      </x:c>
      <x:c r="P463" s="80" t="n">
        <x:v>639.7661645879987</x:v>
      </x:c>
      <x:c r="Q463" s="81" t="n">
        <x:v>150347492966.11578</x:v>
      </x:c>
      <x:c r="R463" s="81" t="n">
        <x:v>3.08875169433214</x:v>
      </x:c>
      <x:c r="S463" s="81" t="n">
        <x:v>3.6795775870011445e-10</x:v>
      </x:c>
      <x:c r="T463" s="81" t="n">
        <x:v>5.7989451318220384e-24</x:v>
      </x:c>
    </x:row>
    <x:row r="464">
      <x:c r="A464" s="59" t="n">
        <x:v>461</x:v>
      </x:c>
      <x:c r="B464" s="193" t="n">
        <x:v>0.6240658462047577</x:v>
      </x:c>
      <x:c r="C464" s="83" t="n">
        <x:v>0.8847834905412952</x:v>
      </x:c>
      <x:c r="D464" s="83" t="n">
        <x:v>2.079596490990227</x:v>
      </x:c>
      <x:c r="E464" s="81" t="n">
        <x:v>0.1384717132356272</x:v>
      </x:c>
      <x:c r="F464" s="81" t="n">
        <x:v>0.7900217923917808</x:v>
      </x:c>
      <x:c r="G464" s="81" t="n">
        <x:v>-0.02266838615810628</x:v>
      </x:c>
      <x:c r="H464" s="59" t="n">
        <x:v>0</x:v>
      </x:c>
      <x:c r="I464" s="81" t="n">
        <x:v>0</x:v>
      </x:c>
      <x:c r="J464" s="79" t="n">
        <x:v>0.0397392502008637</x:v>
      </x:c>
      <x:c r="K464" s="81" t="n">
        <x:v>44.41628594384423</x:v>
      </x:c>
      <x:c r="L464" s="81" t="n">
        <x:v>-0.8471989268333993</x:v>
      </x:c>
      <x:c r="M464" s="80" t="n">
        <x:v>131201.17786790238</x:v>
      </x:c>
      <x:c r="N464" s="82" t="n">
        <x:v>0.2507579358005895</x:v>
      </x:c>
      <x:c r="O464" s="82" t="n">
        <x:v>0.1871391701276225</x:v>
      </x:c>
      <x:c r="P464" s="80" t="n">
        <x:v>313846.6561281552</x:v>
      </x:c>
      <x:c r="Q464" s="81" t="n">
        <x:v>0.0043509443750651975</x:v>
      </x:c>
      <x:c r="R464" s="81" t="n">
        <x:v>1202.7771149465975</x:v>
      </x:c>
      <x:c r="S464" s="81" t="n">
        <x:v>886.3386879495664</x:v>
      </x:c>
      <x:c r="T464" s="81" t="n">
        <x:v>860.8389188438723</x:v>
      </x:c>
    </x:row>
    <x:row r="465">
      <x:c r="A465" s="59" t="n">
        <x:v>462</x:v>
      </x:c>
      <x:c r="B465" s="193" t="n">
        <x:v>0.3792005030438304</x:v>
      </x:c>
      <x:c r="C465" s="83" t="n">
        <x:v>0.6228116675920908</x:v>
      </x:c>
      <x:c r="D465" s="83" t="n">
        <x:v>0.6051498940315628</x:v>
      </x:c>
      <x:c r="E465" s="81" t="n">
        <x:v>-0.002251164848125137</x:v>
      </x:c>
      <x:c r="F465" s="81" t="n">
        <x:v>0.5377885620575398</x:v>
      </x:c>
      <x:c r="G465" s="81" t="n">
        <x:v>0.0005457866992263958</x:v>
      </x:c>
      <x:c r="H465" s="59" t="n">
        <x:v>0</x:v>
      </x:c>
      <x:c r="I465" s="81" t="n">
        <x:v>0</x:v>
      </x:c>
      <x:c r="J465" s="79" t="n">
        <x:v>6.227022416334539e-7</x:v>
      </x:c>
      <x:c r="K465" s="81" t="n">
        <x:v>-0.999288340295276</x:v>
      </x:c>
      <x:c r="L465" s="81" t="n">
        <x:v>-0.999288340295276</x:v>
      </x:c>
      <x:c r="M465" s="80" t="n">
        <x:v>218.81492961650653</x:v>
      </x:c>
      <x:c r="N465" s="82" t="n">
        <x:v>0.19242641983447245</x:v>
      </x:c>
      <x:c r="O465" s="82" t="n">
        <x:v>0.09775685086351109</x:v>
      </x:c>
      <x:c r="P465" s="80" t="n">
        <x:v>1725.0703987954719</x:v>
      </x:c>
      <x:c r="Q465" s="81" t="n">
        <x:v>0.06667890920897118</x:v>
      </x:c>
      <x:c r="R465" s="81" t="n">
        <x:v>18.511421551994896</x:v>
      </x:c>
      <x:c r="S465" s="81" t="n">
        <x:v>0.054736688997847824</x:v>
      </x:c>
      <x:c r="T465" s="81" t="n">
        <x:v>0.013489090049256837</x:v>
      </x:c>
    </x:row>
    <x:row r="466">
      <x:c r="A466" s="59" t="n">
        <x:v>463</x:v>
      </x:c>
      <x:c r="B466" s="193" t="n">
        <x:v>0.3361944915726781</x:v>
      </x:c>
      <x:c r="C466" s="83" t="n">
        <x:v>0.10355275049373341</x:v>
      </x:c>
      <x:c r="D466" s="83" t="n">
        <x:v>0.6770109524899625</x:v>
      </x:c>
      <x:c r="E466" s="81" t="n">
        <x:v>-0.040099882258311695</x:v>
      </x:c>
      <x:c r="F466" s="81" t="n">
        <x:v>0.37120683743851257</x:v>
      </x:c>
      <x:c r="G466" s="81" t="n">
        <x:v>0.0056385687463666005</x:v>
      </x:c>
      <x:c r="H466" s="59" t="n">
        <x:v>47</x:v>
      </x:c>
      <x:c r="I466" s="81" t="n">
        <x:v>0.3923257968388498</x:v>
      </x:c>
      <x:c r="J466" s="79" t="n">
        <x:v>2.047029011496896e-21</x:v>
      </x:c>
      <x:c r="K466" s="81" t="n">
        <x:v>-1</x:v>
      </x:c>
      <x:c r="L466" s="81" t="n">
        <x:v>-1</x:v>
      </x:c>
      <x:c r="M466" s="80" t="n">
        <x:v>0.000008956124428881089</x:v>
      </x:c>
      <x:c r="N466" s="82" t="n">
        <x:v>0.18218158153932884</x:v>
      </x:c>
      <x:c r="O466" s="82" t="n">
        <x:v>0.06388389347951336</x:v>
      </x:c>
      <x:c r="P466" s="80" t="n">
        <x:v>375.00834658946445</x:v>
      </x:c>
      <x:c r="Q466" s="81" t="n">
        <x:v>114628.56702400386</x:v>
      </x:c>
      <x:c r="R466" s="81" t="n">
        <x:v>45.18971707278054</x:v>
      </x:c>
      <x:c r="S466" s="81" t="n">
        <x:v>2.7252827994552403e-9</x:v>
      </x:c>
      <x:c r="T466" s="81" t="n">
        <x:v>4.434311750201894e-17</x:v>
      </x:c>
    </x:row>
    <x:row r="467">
      <x:c r="A467" s="59" t="n">
        <x:v>464</x:v>
      </x:c>
      <x:c r="B467" s="193" t="n">
        <x:v>0.26894005946815014</x:v>
      </x:c>
      <x:c r="C467" s="83" t="n">
        <x:v>0.3189785905762833</x:v>
      </x:c>
      <x:c r="D467" s="83" t="n">
        <x:v>0.7502947868734229</x:v>
      </x:c>
      <x:c r="E467" s="81" t="n">
        <x:v>-0.14409094887910773</x:v>
      </x:c>
      <x:c r="F467" s="81" t="n">
        <x:v>0.3795601538033225</x:v>
      </x:c>
      <x:c r="G467" s="81" t="n">
        <x:v>-0.020783323662329323</x:v>
      </x:c>
      <x:c r="H467" s="59" t="n">
        <x:v>0</x:v>
      </x:c>
      <x:c r="I467" s="81" t="n">
        <x:v>0</x:v>
      </x:c>
      <x:c r="J467" s="79" t="n">
        <x:v>6.863059180178594e-41</x:v>
      </x:c>
      <x:c r="K467" s="81" t="n">
        <x:v>-1</x:v>
      </x:c>
      <x:c r="L467" s="81" t="n">
        <x:v>-1</x:v>
      </x:c>
      <x:c r="M467" s="80" t="n">
        <x:v>0.000002</x:v>
      </x:c>
      <x:c r="N467" s="82" t="n">
        <x:v>0.1661603147914284</x:v>
      </x:c>
      <x:c r="O467" s="82" t="n">
        <x:v>0.0595770317662415</x:v>
      </x:c>
      <x:c r="P467" s="80" t="n">
        <x:v>164.86403463468443</x:v>
      </x:c>
      <x:c r="Q467" s="81" t="n">
        <x:v>2.3372270594435184e+23</x:v>
      </x:c>
      <x:c r="R467" s="81" t="n">
        <x:v>4.4149140663447515</x:v>
      </x:c>
      <x:c r="S467" s="81" t="n">
        <x:v>3.8594347362967314e-10</x:v>
      </x:c>
      <x:c r="T467" s="81" t="n">
        <x:v>1.4866884540509145e-36</x:v>
      </x:c>
    </x:row>
    <x:row r="468">
      <x:c r="A468" s="59" t="n">
        <x:v>465</x:v>
      </x:c>
      <x:c r="B468" s="193" t="n">
        <x:v>0.8108577610924841</x:v>
      </x:c>
      <x:c r="C468" s="83" t="n">
        <x:v>2.7166733312284777</x:v>
      </x:c>
      <x:c r="D468" s="83" t="n">
        <x:v>0.5060130938935861</x:v>
      </x:c>
      <x:c r="E468" s="81" t="n">
        <x:v>0.1283711724863387</x:v>
      </x:c>
      <x:c r="F468" s="81" t="n">
        <x:v>0.775928211491555</x:v>
      </x:c>
      <x:c r="G468" s="81" t="n">
        <x:v>-0.0033229103782678087</x:v>
      </x:c>
      <x:c r="H468" s="59" t="n">
        <x:v>0</x:v>
      </x:c>
      <x:c r="I468" s="81" t="n">
        <x:v>0</x:v>
      </x:c>
      <x:c r="J468" s="79" t="n">
        <x:v>0.0058256240954175816</x:v>
      </x:c>
      <x:c r="K468" s="81" t="n">
        <x:v>5.657856109048665</x:v>
      </x:c>
      <x:c r="L468" s="81" t="n">
        <x:v>-0.6937840897757805</x:v>
      </x:c>
      <x:c r="M468" s="80" t="n">
        <x:v>61192.150984792235</x:v>
      </x:c>
      <x:c r="N468" s="82" t="n">
        <x:v>0.2952552722752501</x:v>
      </x:c>
      <x:c r="O468" s="82" t="n">
        <x:v>0.216416388640955</x:v>
      </x:c>
      <x:c r="P468" s="80" t="n">
        <x:v>57642.24326325967</x:v>
      </x:c>
      <x:c r="Q468" s="81" t="n">
        <x:v>0.004303617290865045</x:v>
      </x:c>
      <x:c r="R468" s="81" t="n">
        <x:v>60.6768972997646</x:v>
      </x:c>
      <x:c r="S468" s="81" t="n">
        <x:v>43.71000234346385</x:v>
      </x:c>
      <x:c r="T468" s="81" t="n">
        <x:v>126.19573652099471</x:v>
      </x:c>
    </x:row>
    <x:row r="469">
      <x:c r="A469" s="59" t="n">
        <x:v>466</x:v>
      </x:c>
      <x:c r="B469" s="193" t="n">
        <x:v>0.47800995223224163</x:v>
      </x:c>
      <x:c r="C469" s="83" t="n">
        <x:v>0.9526307636430428</x:v>
      </x:c>
      <x:c r="D469" s="83" t="n">
        <x:v>2.2202495227213124</x:v>
      </x:c>
      <x:c r="E469" s="81" t="n">
        <x:v>-0.030414412023312302</x:v>
      </x:c>
      <x:c r="F469" s="81" t="n">
        <x:v>0.8819705931236967</x:v>
      </x:c>
      <x:c r="G469" s="81" t="n">
        <x:v>0.01339736228302377</x:v>
      </x:c>
      <x:c r="H469" s="59" t="n">
        <x:v>0</x:v>
      </x:c>
      <x:c r="I469" s="81" t="n">
        <x:v>0</x:v>
      </x:c>
      <x:c r="J469" s="79" t="n">
        <x:v>3.5819996277015217e-35</x:v>
      </x:c>
      <x:c r="K469" s="81" t="n">
        <x:v>-1</x:v>
      </x:c>
      <x:c r="L469" s="81" t="n">
        <x:v>-1</x:v>
      </x:c>
      <x:c r="M469" s="80" t="n">
        <x:v>0.000002</x:v>
      </x:c>
      <x:c r="N469" s="82" t="n">
        <x:v>0.2159646833083243</x:v>
      </x:c>
      <x:c r="O469" s="82" t="n">
        <x:v>0.17993174162700792</x:v>
      </x:c>
      <x:c r="P469" s="80" t="n">
        <x:v>1016.5268766032063</x:v>
      </x:c>
      <x:c r="Q469" s="81" t="n">
        <x:v>1910740742182603000</x:v>
      </x:c>
      <x:c r="R469" s="81" t="n">
        <x:v>3.3278296288410587</x:v>
      </x:c>
      <x:c r="S469" s="81" t="n">
        <x:v>1.1711332026985079e-9</x:v>
      </x:c>
      <x:c r="T469" s="81" t="n">
        <x:v>7.759393222629835e-31</x:v>
      </x:c>
    </x:row>
    <x:row r="470">
      <x:c r="A470" s="59" t="n">
        <x:v>467</x:v>
      </x:c>
      <x:c r="B470" s="193" t="n">
        <x:v>0.7736808735877276</x:v>
      </x:c>
      <x:c r="C470" s="83" t="n">
        <x:v>0.37160612767040135</x:v>
      </x:c>
      <x:c r="D470" s="83" t="n">
        <x:v>0.3568689095466463</x:v>
      </x:c>
      <x:c r="E470" s="81" t="n">
        <x:v>0.018183161876063617</x:v>
      </x:c>
      <x:c r="F470" s="81" t="n">
        <x:v>0.2904870828730054</x:v>
      </x:c>
      <x:c r="G470" s="81" t="n">
        <x:v>-0.03819200951366778</x:v>
      </x:c>
      <x:c r="H470" s="59" t="n">
        <x:v>65</x:v>
      </x:c>
      <x:c r="I470" s="81" t="n">
        <x:v>0.2878090294077993</x:v>
      </x:c>
      <x:c r="J470" s="79" t="n">
        <x:v>0.000024968582662673073</x:v>
      </x:c>
      <x:c r="K470" s="81" t="n">
        <x:v>-0.971464476956945</x:v>
      </x:c>
      <x:c r="L470" s="81" t="n">
        <x:v>-0.971464476956945</x:v>
      </x:c>
      <x:c r="M470" s="80" t="n">
        <x:v>1190.7985121832278</x:v>
      </x:c>
      <x:c r="N470" s="82" t="n">
        <x:v>0.2863990406049768</x:v>
      </x:c>
      <x:c r="O470" s="82" t="n">
        <x:v>0.07859036865572716</x:v>
      </x:c>
      <x:c r="P470" s="80" t="n">
        <x:v>1433.4002865797345</x:v>
      </x:c>
      <x:c r="Q470" s="81" t="n">
        <x:v>0.007017967555619403</x:v>
      </x:c>
      <x:c r="R470" s="81" t="n">
        <x:v>42.326556817619654</x:v>
      </x:c>
      <x:c r="S470" s="81" t="n">
        <x:v>1.333806888880447</x:v>
      </x:c>
      <x:c r="T470" s="81" t="n">
        <x:v>0.5408740123620196</x:v>
      </x:c>
    </x:row>
    <x:row r="471">
      <x:c r="A471" s="59" t="n">
        <x:v>468</x:v>
      </x:c>
      <x:c r="B471" s="193" t="n">
        <x:v>0.24990659803152085</x:v>
      </x:c>
      <x:c r="C471" s="83" t="n">
        <x:v>0.9713766524550466</x:v>
      </x:c>
      <x:c r="D471" s="83" t="n">
        <x:v>1.0598663471786216</x:v>
      </x:c>
      <x:c r="E471" s="81" t="n">
        <x:v>-0.044654403783904985</x:v>
      </x:c>
      <x:c r="F471" s="81" t="n">
        <x:v>0.63768527477514</x:v>
      </x:c>
      <x:c r="G471" s="81" t="n">
        <x:v>-0.031484165441674976</x:v>
      </x:c>
      <x:c r="H471" s="59" t="n">
        <x:v>0</x:v>
      </x:c>
      <x:c r="I471" s="81" t="n">
        <x:v>0</x:v>
      </x:c>
      <x:c r="J471" s="79" t="n">
        <x:v>1.8059456682849456e-25</x:v>
      </x:c>
      <x:c r="K471" s="81" t="n">
        <x:v>-1</x:v>
      </x:c>
      <x:c r="L471" s="81" t="n">
        <x:v>-1</x:v>
      </x:c>
      <x:c r="M471" s="80" t="n">
        <x:v>0.000002</x:v>
      </x:c>
      <x:c r="N471" s="82" t="n">
        <x:v>0.1616261873998213</x:v>
      </x:c>
      <x:c r="O471" s="82" t="n">
        <x:v>0.09736190411535654</x:v>
      </x:c>
      <x:c r="P471" s="80" t="n">
        <x:v>681.5333513227644</x:v>
      </x:c>
      <x:c r="Q471" s="81" t="n">
        <x:v>261696831.74785528</x:v>
      </x:c>
      <x:c r="R471" s="81" t="n">
        <x:v>3.8544780168836774</x:v>
      </x:c>
      <x:c r="S471" s="81" t="n">
        <x:v>3.1911760258907846e-10</x:v>
      </x:c>
      <x:c r="T471" s="81" t="n">
        <x:v>3.912072595026965e-21</x:v>
      </x:c>
    </x:row>
    <x:row r="472">
      <x:c r="A472" s="59" t="n">
        <x:v>469</x:v>
      </x:c>
      <x:c r="B472" s="193" t="n">
        <x:v>0.9680055731907486</x:v>
      </x:c>
      <x:c r="C472" s="83" t="n">
        <x:v>0.37089113276101027</x:v>
      </x:c>
      <x:c r="D472" s="83" t="n">
        <x:v>0.5629340316619171</x:v>
      </x:c>
      <x:c r="E472" s="81" t="n">
        <x:v>0.0424973762318422</x:v>
      </x:c>
      <x:c r="F472" s="81" t="n">
        <x:v>0.3518057321547531</x:v>
      </x:c>
      <x:c r="G472" s="81" t="n">
        <x:v>-0.020418478361849263</x:v>
      </x:c>
      <x:c r="H472" s="59" t="n">
        <x:v>0</x:v>
      </x:c>
      <x:c r="I472" s="81" t="n">
        <x:v>0</x:v>
      </x:c>
      <x:c r="J472" s="79" t="n">
        <x:v>0.00023682881160343834</x:v>
      </x:c>
      <x:c r="K472" s="81" t="n">
        <x:v>-0.7293385010246418</x:v>
      </x:c>
      <x:c r="L472" s="81" t="n">
        <x:v>-0.8230408226960381</x:v>
      </x:c>
      <x:c r="M472" s="80" t="n">
        <x:v>3903.3748749883353</x:v>
      </x:c>
      <x:c r="N472" s="82" t="n">
        <x:v>0.3326908276385338</x:v>
      </x:c>
      <x:c r="O472" s="82" t="n">
        <x:v>0.11056423889305385</x:v>
      </x:c>
      <x:c r="P472" s="80" t="n">
        <x:v>4957.012657623883</x:v>
      </x:c>
      <x:c r="Q472" s="81" t="n">
        <x:v>0.005490868491298059</x:v>
      </x:c>
      <x:c r="R472" s="81" t="n">
        <x:v>71.2991833998756</x:v>
      </x:c>
      <x:c r="S472" s="81" t="n">
        <x:v>12.424520459806596</x:v>
      </x:c>
      <x:c r="T472" s="81" t="n">
        <x:v>5.130229108533909</x:v>
      </x:c>
    </x:row>
    <x:row r="473">
      <x:c r="A473" s="59" t="n">
        <x:v>470</x:v>
      </x:c>
      <x:c r="B473" s="193" t="n">
        <x:v>0.8486137211322784</x:v>
      </x:c>
      <x:c r="C473" s="83" t="n">
        <x:v>0.6878049774256385</x:v>
      </x:c>
      <x:c r="D473" s="83" t="n">
        <x:v>0.7112981271760574</x:v>
      </x:c>
      <x:c r="E473" s="81" t="n">
        <x:v>-0.036616018993801784</x:v>
      </x:c>
      <x:c r="F473" s="81" t="n">
        <x:v>0.6660275731584988</x:v>
      </x:c>
      <x:c r="G473" s="81" t="n">
        <x:v>-0.04456409879129598</x:v>
      </x:c>
      <x:c r="H473" s="59" t="n">
        <x:v>0</x:v>
      </x:c>
      <x:c r="I473" s="81" t="n">
        <x:v>0</x:v>
      </x:c>
      <x:c r="J473" s="79" t="n">
        <x:v>8.571091506102745e-17</x:v>
      </x:c>
      <x:c r="K473" s="81" t="n">
        <x:v>-0.9999999999999021</x:v>
      </x:c>
      <x:c r="L473" s="81" t="n">
        <x:v>-0.9999999999999021</x:v>
      </x:c>
      <x:c r="M473" s="80" t="n">
        <x:v>0.002760313779039122</x:v>
      </x:c>
      <x:c r="N473" s="82" t="n">
        <x:v>0.3042494498809798</x:v>
      </x:c>
      <x:c r="O473" s="82" t="n">
        <x:v>0.19142248620927452</x:v>
      </x:c>
      <x:c r="P473" s="80" t="n">
        <x:v>551.30060622112</x:v>
      </x:c>
      <x:c r="Q473" s="81" t="n">
        <x:v>920.9350650825835</x:v>
      </x:c>
      <x:c r="R473" s="81" t="n">
        <x:v>6.639111936795369</x:v>
      </x:c>
      <x:c r="S473" s="81" t="n">
        <x:v>3.01272150936481e-7</x:v>
      </x:c>
      <x:c r="T473" s="81" t="n">
        <x:v>1.856685545935394e-12</x:v>
      </x:c>
    </x:row>
    <x:row r="474">
      <x:c r="A474" s="59" t="n">
        <x:v>471</x:v>
      </x:c>
      <x:c r="B474" s="193" t="n">
        <x:v>0.42896289806813004</x:v>
      </x:c>
      <x:c r="C474" s="83" t="n">
        <x:v>1.1117290831922388</x:v>
      </x:c>
      <x:c r="D474" s="83" t="n">
        <x:v>0.43173313232067956</x:v>
      </x:c>
      <x:c r="E474" s="81" t="n">
        <x:v>0.11502119293136151</x:v>
      </x:c>
      <x:c r="F474" s="81" t="n">
        <x:v>0.8327731768134982</x:v>
      </x:c>
      <x:c r="G474" s="81" t="n">
        <x:v>-0.0041410090338527454</x:v>
      </x:c>
      <x:c r="H474" s="59" t="n">
        <x:v>0</x:v>
      </x:c>
      <x:c r="I474" s="81" t="n">
        <x:v>0</x:v>
      </x:c>
      <x:c r="J474" s="79" t="n">
        <x:v>0.0018548416321731973</x:v>
      </x:c>
      <x:c r="K474" s="81" t="n">
        <x:v>1.1198190081979402</x:v>
      </x:c>
      <x:c r="L474" s="81" t="n">
        <x:v>-0.72344249696264</x:v>
      </x:c>
      <x:c r="M474" s="80" t="n">
        <x:v>18619.554739319294</x:v>
      </x:c>
      <x:c r="N474" s="82" t="n">
        <x:v>0.20428075537416734</x:v>
      </x:c>
      <x:c r="O474" s="82" t="n">
        <x:v>0.16070342221772935</x:v>
      </x:c>
      <x:c r="P474" s="80" t="n">
        <x:v>15929.503621706066</x:v>
      </x:c>
      <x:c r="Q474" s="81" t="n">
        <x:v>0.003406752720984643</x:v>
      </x:c>
      <x:c r="R474" s="81" t="n">
        <x:v>64.7930739179944</x:v>
      </x:c>
      <x:c r="S474" s="81" t="n">
        <x:v>32.726382340305776</x:v>
      </x:c>
      <x:c r="T474" s="81" t="n">
        <x:v>40.17991927869529</x:v>
      </x:c>
    </x:row>
    <x:row r="475">
      <x:c r="A475" s="59" t="n">
        <x:v>472</x:v>
      </x:c>
      <x:c r="B475" s="193" t="n">
        <x:v>0.7440389327704906</x:v>
      </x:c>
      <x:c r="C475" s="83" t="n">
        <x:v>0.16204534906368123</x:v>
      </x:c>
      <x:c r="D475" s="83" t="n">
        <x:v>0.503994640813149</x:v>
      </x:c>
      <x:c r="E475" s="81" t="n">
        <x:v>-0.021263287544200492</x:v>
      </x:c>
      <x:c r="F475" s="81" t="n">
        <x:v>0.5683187866350636</x:v>
      </x:c>
      <x:c r="G475" s="81" t="n">
        <x:v>0.01651657288171459</x:v>
      </x:c>
      <x:c r="H475" s="59" t="n">
        <x:v>0</x:v>
      </x:c>
      <x:c r="I475" s="81" t="n">
        <x:v>0</x:v>
      </x:c>
      <x:c r="J475" s="79" t="n">
        <x:v>1.3331096686378746e-12</x:v>
      </x:c>
      <x:c r="K475" s="81" t="n">
        <x:v>-0.999999998476446</x:v>
      </x:c>
      <x:c r="L475" s="81" t="n">
        <x:v>-0.999999998476446</x:v>
      </x:c>
      <x:c r="M475" s="80" t="n">
        <x:v>0.23371842009881888</x:v>
      </x:c>
      <x:c r="N475" s="82" t="n">
        <x:v>0.2793377745159203</x:v>
      </x:c>
      <x:c r="O475" s="82" t="n">
        <x:v>0.1499659362469245</x:v>
      </x:c>
      <x:c r="P475" s="80" t="n">
        <x:v>423.1616115005658</x:v>
      </x:c>
      <x:c r="Q475" s="81" t="n">
        <x:v>8.491275667922997</x:v>
      </x:c>
      <x:c r="R475" s="81" t="n">
        <x:v>36.51589253586101</x:v>
      </x:c>
      <x:c r="S475" s="81" t="n">
        <x:v>0.000055747960633453914</x:v>
      </x:c>
      <x:c r="T475" s="81" t="n">
        <x:v>2.8878065893291534e-8</x:v>
      </x:c>
    </x:row>
    <x:row r="476">
      <x:c r="A476" s="59" t="n">
        <x:v>473</x:v>
      </x:c>
      <x:c r="B476" s="193" t="n">
        <x:v>0.5847502516582608</x:v>
      </x:c>
      <x:c r="C476" s="83" t="n">
        <x:v>1.226075146900721</x:v>
      </x:c>
      <x:c r="D476" s="83" t="n">
        <x:v>1.1579171329230673</x:v>
      </x:c>
      <x:c r="E476" s="81" t="n">
        <x:v>-0.008954963044360262</x:v>
      </x:c>
      <x:c r="F476" s="81" t="n">
        <x:v>0.6744504962000064</x:v>
      </x:c>
      <x:c r="G476" s="81" t="n">
        <x:v>-0.008386992394006613</x:v>
      </x:c>
      <x:c r="H476" s="59" t="n">
        <x:v>0</x:v>
      </x:c>
      <x:c r="I476" s="81" t="n">
        <x:v>0</x:v>
      </x:c>
      <x:c r="J476" s="79" t="n">
        <x:v>5.152375656036228e-11</x:v>
      </x:c>
      <x:c r="K476" s="81" t="n">
        <x:v>-0.9999999411157068</x:v>
      </x:c>
      <x:c r="L476" s="81" t="n">
        <x:v>-0.9999999411157068</x:v>
      </x:c>
      <x:c r="M476" s="80" t="n">
        <x:v>2.7685734884653774</x:v>
      </x:c>
      <x:c r="N476" s="82" t="n">
        <x:v>0.24139222401221652</x:v>
      </x:c>
      <x:c r="O476" s="82" t="n">
        <x:v>0.15379573657018084</x:v>
      </x:c>
      <x:c r="P476" s="80" t="n">
        <x:v>2301.2386321925774</x:v>
      </x:c>
      <x:c r="Q476" s="81" t="n">
        <x:v>6.0796558030542505</x:v>
      </x:c>
      <x:c r="R476" s="81" t="n">
        <x:v>7.612132963439268</x:v>
      </x:c>
      <x:c r="S476" s="81" t="n">
        <x:v>0.0005806746697593885</x:v>
      </x:c>
      <x:c r="T476" s="81" t="n">
        <x:v>0.0000011161170547509009</x:v>
      </x:c>
    </x:row>
    <x:row r="477">
      <x:c r="A477" s="59" t="n">
        <x:v>474</x:v>
      </x:c>
      <x:c r="B477" s="193" t="n">
        <x:v>0.49677423369139434</x:v>
      </x:c>
      <x:c r="C477" s="83" t="n">
        <x:v>0.15957177580527748</x:v>
      </x:c>
      <x:c r="D477" s="83" t="n">
        <x:v>0.9534054867891031</x:v>
      </x:c>
      <x:c r="E477" s="81" t="n">
        <x:v>0.020334284197757374</x:v>
      </x:c>
      <x:c r="F477" s="81" t="n">
        <x:v>0.330999336601235</x:v>
      </x:c>
      <x:c r="G477" s="81" t="n">
        <x:v>-0.013222721000073594</x:v>
      </x:c>
      <x:c r="H477" s="59" t="n">
        <x:v>0</x:v>
      </x:c>
      <x:c r="I477" s="81" t="n">
        <x:v>0</x:v>
      </x:c>
      <x:c r="J477" s="79" t="n">
        <x:v>0.0003313072516243802</x:v>
      </x:c>
      <x:c r="K477" s="81" t="n">
        <x:v>-0.6213631410007083</x:v>
      </x:c>
      <x:c r="L477" s="81" t="n">
        <x:v>-0.7742770571288722</x:v>
      </x:c>
      <x:c r="M477" s="80" t="n">
        <x:v>3852.2967425892984</x:v>
      </x:c>
      <x:c r="N477" s="82" t="n">
        <x:v>0.22043468698217183</x:v>
      </x:c>
      <x:c r="O477" s="82" t="n">
        <x:v>0.06892519446794426</x:v>
      </x:c>
      <x:c r="P477" s="80" t="n">
        <x:v>8095.45578953351</x:v>
      </x:c>
      <x:c r="Q477" s="81" t="n">
        <x:v>0.006982708386391274</x:v>
      </x:c>
      <x:c r="R477" s="81" t="n">
        <x:v>170.51385187471212</x:v>
      </x:c>
      <x:c r="S477" s="81" t="n">
        <x:v>39.75285225567048</x:v>
      </x:c>
      <x:c r="T477" s="81" t="n">
        <x:v>7.176838386529689</x:v>
      </x:c>
    </x:row>
    <x:row r="478">
      <x:c r="A478" s="59" t="n">
        <x:v>475</x:v>
      </x:c>
      <x:c r="B478" s="193" t="n">
        <x:v>0.9245083045214415</x:v>
      </x:c>
      <x:c r="C478" s="83" t="n">
        <x:v>2.579598612363731</x:v>
      </x:c>
      <x:c r="D478" s="83" t="n">
        <x:v>0.7754835845712919</x:v>
      </x:c>
      <x:c r="E478" s="81" t="n">
        <x:v>0.14604909863231272</x:v>
      </x:c>
      <x:c r="F478" s="81" t="n">
        <x:v>0.31673518850002436</x:v>
      </x:c>
      <x:c r="G478" s="81" t="n">
        <x:v>-0.02704251778682111</x:v>
      </x:c>
      <x:c r="H478" s="59" t="n">
        <x:v>0</x:v>
      </x:c>
      <x:c r="I478" s="81" t="n">
        <x:v>0</x:v>
      </x:c>
      <x:c r="J478" s="79" t="n">
        <x:v>0.05351302781331456</x:v>
      </x:c>
      <x:c r="K478" s="81" t="n">
        <x:v>60.1577460723595</x:v>
      </x:c>
      <x:c r="L478" s="81" t="n">
        <x:v>-0.7069263075889225</x:v>
      </x:c>
      <x:c r="M478" s="80" t="n">
        <x:v>197937.47181339134</x:v>
      </x:c>
      <x:c r="N478" s="82" t="n">
        <x:v>0.32232896266771716</x:v>
      </x:c>
      <x:c r="O478" s="82" t="n">
        <x:v>0.09644208423838602</x:v>
      </x:c>
      <x:c r="P478" s="80" t="n">
        <x:v>250306.0669423644</x:v>
      </x:c>
      <x:c r="Q478" s="81" t="n">
        <x:v>0.0018678126813091432</x:v>
      </x:c>
      <x:c r="R478" s="81" t="n">
        <x:v>612.7721586796065</x:v>
      </x:c>
      <x:c r="S478" s="81" t="n">
        <x:v>400.2985768426438</x:v>
      </x:c>
      <x:c r="T478" s="81" t="n">
        <x:v>1159.2090131049974</x:v>
      </x:c>
    </x:row>
    <x:row r="479">
      <x:c r="A479" s="59" t="n">
        <x:v>476</x:v>
      </x:c>
      <x:c r="B479" s="193" t="n">
        <x:v>0.6292613273486496</x:v>
      </x:c>
      <x:c r="C479" s="83" t="n">
        <x:v>0.9176181763525271</x:v>
      </x:c>
      <x:c r="D479" s="83" t="n">
        <x:v>1.4751577276934953</x:v>
      </x:c>
      <x:c r="E479" s="81" t="n">
        <x:v>0.17094943819905037</x:v>
      </x:c>
      <x:c r="F479" s="81" t="n">
        <x:v>0.5066040446166881</x:v>
      </x:c>
      <x:c r="G479" s="81" t="n">
        <x:v>0.010146178150138423</x:v>
      </x:c>
      <x:c r="H479" s="59" t="n">
        <x:v>0</x:v>
      </x:c>
      <x:c r="I479" s="81" t="n">
        <x:v>0</x:v>
      </x:c>
      <x:c r="J479" s="79" t="n">
        <x:v>0.15097908855701594</x:v>
      </x:c>
      <x:c r="K479" s="81" t="n">
        <x:v>171.54752977944682</x:v>
      </x:c>
      <x:c r="L479" s="81" t="n">
        <x:v>-0.8147979640979004</x:v>
      </x:c>
      <x:c r="M479" s="80" t="n">
        <x:v>268630.91819611314</x:v>
      </x:c>
      <x:c r="N479" s="82" t="n">
        <x:v>0.25199559682433603</x:v>
      </x:c>
      <x:c r="O479" s="82" t="n">
        <x:v>0.12059590110249177</x:v>
      </x:c>
      <x:c r="P479" s="80" t="n">
        <x:v>496681.65318088303</x:v>
      </x:c>
      <x:c r="Q479" s="81" t="n">
        <x:v>0.002367260916739093</x:v>
      </x:c>
      <x:c r="R479" s="81" t="n">
        <x:v>2143.71225139878</x:v>
      </x:c>
      <x:c r="S479" s="81" t="n">
        <x:v>3167.8486864299425</x:v>
      </x:c>
      <x:c r="T479" s="81" t="n">
        <x:v>3270.5366785866054</x:v>
      </x:c>
    </x:row>
    <x:row r="480">
      <x:c r="A480" s="59" t="n">
        <x:v>477</x:v>
      </x:c>
      <x:c r="B480" s="193" t="n">
        <x:v>0.5924244720488787</x:v>
      </x:c>
      <x:c r="C480" s="83" t="n">
        <x:v>0.32033757937427154</x:v>
      </x:c>
      <x:c r="D480" s="83" t="n">
        <x:v>0.857405781765818</x:v>
      </x:c>
      <x:c r="E480" s="81" t="n">
        <x:v>0.07514970429436423</x:v>
      </x:c>
      <x:c r="F480" s="81" t="n">
        <x:v>0.2701588367111981</x:v>
      </x:c>
      <x:c r="G480" s="81" t="n">
        <x:v>-0.006114483786335399</x:v>
      </x:c>
      <x:c r="H480" s="59" t="n">
        <x:v>0</x:v>
      </x:c>
      <x:c r="I480" s="81" t="n">
        <x:v>0</x:v>
      </x:c>
      <x:c r="J480" s="79" t="n">
        <x:v>0.008200468315944408</x:v>
      </x:c>
      <x:c r="K480" s="81" t="n">
        <x:v>8.371963789650753</x:v>
      </x:c>
      <x:c r="L480" s="81" t="n">
        <x:v>-0.6649199715047578</x:v>
      </x:c>
      <x:c r="M480" s="80" t="n">
        <x:v>25639.28718973383</x:v>
      </x:c>
      <x:c r="N480" s="82" t="n">
        <x:v>0.243220367200894</x:v>
      </x:c>
      <x:c r="O480" s="82" t="n">
        <x:v>0.06207118824028377</x:v>
      </x:c>
      <x:c r="P480" s="80" t="n">
        <x:v>38987.960433533284</x:v>
      </x:c>
      <x:c r="Q480" s="81" t="n">
        <x:v>0.002048220061341858</x:v>
      </x:c>
      <x:c r="R480" s="81" t="n">
        <x:v>628.5747647782223</x:v>
      </x:c>
      <x:c r="S480" s="81" t="n">
        <x:v>482.5271286039303</x:v>
      </x:c>
      <x:c r="T480" s="81" t="n">
        <x:v>177.64004714305327</x:v>
      </x:c>
    </x:row>
    <x:row r="481">
      <x:c r="A481" s="59" t="n">
        <x:v>478</x:v>
      </x:c>
      <x:c r="B481" s="193" t="n">
        <x:v>0.5344516979530454</x:v>
      </x:c>
      <x:c r="C481" s="83" t="n">
        <x:v>0.11999914849352354</x:v>
      </x:c>
      <x:c r="D481" s="83" t="n">
        <x:v>0.4462886424746167</x:v>
      </x:c>
      <x:c r="E481" s="81" t="n">
        <x:v>-0.0808188645661647</x:v>
      </x:c>
      <x:c r="F481" s="81" t="n">
        <x:v>0.6578543503885157</x:v>
      </x:c>
      <x:c r="G481" s="81" t="n">
        <x:v>-0.04068233822398895</x:v>
      </x:c>
      <x:c r="H481" s="59" t="n">
        <x:v>0</x:v>
      </x:c>
      <x:c r="I481" s="81" t="n">
        <x:v>0</x:v>
      </x:c>
      <x:c r="J481" s="79" t="n">
        <x:v>1.2535207798637377e-21</x:v>
      </x:c>
      <x:c r="K481" s="81" t="n">
        <x:v>-1</x:v>
      </x:c>
      <x:c r="L481" s="81" t="n">
        <x:v>-1</x:v>
      </x:c>
      <x:c r="M481" s="80" t="n">
        <x:v>0.000007117483021498697</x:v>
      </x:c>
      <x:c r="N481" s="82" t="n">
        <x:v>0.22941016542175205</x:v>
      </x:c>
      <x:c r="O481" s="82" t="n">
        <x:v>0.14256514198367848</x:v>
      </x:c>
      <x:c r="P481" s="80" t="n">
        <x:v>182.4845889983739</x:v>
      </x:c>
      <x:c r="Q481" s="81" t="n">
        <x:v>76700.79405614983</x:v>
      </x:c>
      <x:c r="R481" s="81" t="n">
        <x:v>27.010482322727338</x:v>
      </x:c>
      <x:c r="S481" s="81" t="n">
        <x:v>7.817393354156302e-10</x:v>
      </x:c>
      <x:c r="T481" s="81" t="n">
        <x:v>2.7153996802455392e-17</x:v>
      </x:c>
    </x:row>
    <x:row r="482">
      <x:c r="A482" s="59" t="n">
        <x:v>479</x:v>
      </x:c>
      <x:c r="B482" s="193" t="n">
        <x:v>0.9068672707304359</x:v>
      </x:c>
      <x:c r="C482" s="83" t="n">
        <x:v>1.3075744442513106</x:v>
      </x:c>
      <x:c r="D482" s="83" t="n">
        <x:v>1.0799728757065847</x:v>
      </x:c>
      <x:c r="E482" s="81" t="n">
        <x:v>-0.00939055517707991</x:v>
      </x:c>
      <x:c r="F482" s="81" t="n">
        <x:v>0.7304784337524325</x:v>
      </x:c>
      <x:c r="G482" s="81" t="n">
        <x:v>-0.05</x:v>
      </x:c>
      <x:c r="H482" s="59" t="n">
        <x:v>0</x:v>
      </x:c>
      <x:c r="I482" s="81" t="n">
        <x:v>0</x:v>
      </x:c>
      <x:c r="J482" s="79" t="n">
        <x:v>7.049501934453033e-10</x:v>
      </x:c>
      <x:c r="K482" s="81" t="n">
        <x:v>-0.9999991943426361</x:v>
      </x:c>
      <x:c r="L482" s="81" t="n">
        <x:v>-0.9999991943426361</x:v>
      </x:c>
      <x:c r="M482" s="80" t="n">
        <x:v>10.574562620953662</x:v>
      </x:c>
      <x:c r="N482" s="82" t="n">
        <x:v>0.31812653764931614</x:v>
      </x:c>
      <x:c r="O482" s="82" t="n">
        <x:v>0.21952209527440883</x:v>
      </x:c>
      <x:c r="P482" s="80" t="n">
        <x:v>1983.2094598101326</x:v>
      </x:c>
      <x:c r="Q482" s="81" t="n">
        <x:v>1.5806576879311243</x:v>
      </x:c>
      <x:c r="R482" s="81" t="n">
        <x:v>6.504382348733811</x:v>
      </x:c>
      <x:c r="S482" s="81" t="n">
        <x:v>0.0011840281223988824</x:v>
      </x:c>
      <x:c r="T482" s="81" t="n">
        <x:v>0.000015270760250807252</x:v>
      </x:c>
    </x:row>
    <x:row r="483">
      <x:c r="A483" s="59" t="n">
        <x:v>480</x:v>
      </x:c>
      <x:c r="B483" s="193" t="n">
        <x:v>0.772134422697127</x:v>
      </x:c>
      <x:c r="C483" s="83" t="n">
        <x:v>0.2669076205940098</x:v>
      </x:c>
      <x:c r="D483" s="83" t="n">
        <x:v>0.4947190085975254</x:v>
      </x:c>
      <x:c r="E483" s="81" t="n">
        <x:v>0.1295909237930559</x:v>
      </x:c>
      <x:c r="F483" s="81" t="n">
        <x:v>0.6356724123936146</x:v>
      </x:c>
      <x:c r="G483" s="81" t="n">
        <x:v>-0.037590983266720085</x:v>
      </x:c>
      <x:c r="H483" s="59" t="n">
        <x:v>0</x:v>
      </x:c>
      <x:c r="I483" s="81" t="n">
        <x:v>0</x:v>
      </x:c>
      <x:c r="J483" s="79" t="n">
        <x:v>0.00045653782615940653</x:v>
      </x:c>
      <x:c r="K483" s="81" t="n">
        <x:v>-0.47824248438924966</x:v>
      </x:c>
      <x:c r="L483" s="81" t="n">
        <x:v>-0.8438389545167515</x:v>
      </x:c>
      <x:c r="M483" s="80" t="n">
        <x:v>5607.039316785815</x:v>
      </x:c>
      <x:c r="N483" s="82" t="n">
        <x:v>0.2860306470068814</x:v>
      </x:c>
      <x:c r="O483" s="82" t="n">
        <x:v>0.17175796036520088</x:v>
      </x:c>
      <x:c r="P483" s="80" t="n">
        <x:v>5765.484880080166</x:v>
      </x:c>
      <x:c r="Q483" s="81" t="n">
        <x:v>0.003223167739106792</x:v>
      </x:c>
      <x:c r="R483" s="81" t="n">
        <x:v>191.23463382531148</x:v>
      </x:c>
      <x:c r="S483" s="81" t="n">
        <x:v>32.43323108274118</x:v>
      </x:c>
      <x:c r="T483" s="81" t="n">
        <x:v>9.889606036750376</x:v>
      </x:c>
    </x:row>
    <x:row r="484">
      <x:c r="A484" s="59" t="n">
        <x:v>481</x:v>
      </x:c>
      <x:c r="B484" s="193" t="n">
        <x:v>0.619887170009315</x:v>
      </x:c>
      <x:c r="C484" s="83" t="n">
        <x:v>0.18286636883663746</x:v>
      </x:c>
      <x:c r="D484" s="83" t="n">
        <x:v>0.4144672130065059</x:v>
      </x:c>
      <x:c r="E484" s="81" t="n">
        <x:v>-0.09188366633633177</x:v>
      </x:c>
      <x:c r="F484" s="81" t="n">
        <x:v>0.44791376533685257</x:v>
      </x:c>
      <x:c r="G484" s="81" t="n">
        <x:v>0.01152639046305958</x:v>
      </x:c>
      <x:c r="H484" s="59" t="n">
        <x:v>0</x:v>
      </x:c>
      <x:c r="I484" s="81" t="n">
        <x:v>0</x:v>
      </x:c>
      <x:c r="J484" s="79" t="n">
        <x:v>7.675505537160215e-26</x:v>
      </x:c>
      <x:c r="K484" s="81" t="n">
        <x:v>-1</x:v>
      </x:c>
      <x:c r="L484" s="81" t="n">
        <x:v>-1</x:v>
      </x:c>
      <x:c r="M484" s="80" t="n">
        <x:v>0.000002</x:v>
      </x:c>
      <x:c r="N484" s="82" t="n">
        <x:v>0.24976249678065662</x:v>
      </x:c>
      <x:c r="O484" s="82" t="n">
        <x:v>0.10567994498027442</x:v>
      </x:c>
      <x:c r="P484" s="80" t="n">
        <x:v>181.99925981365936</x:v>
      </x:c>
      <x:c r="Q484" s="81" t="n">
        <x:v>312770558.0851965</x:v>
      </x:c>
      <x:c r="R484" s="81" t="n">
        <x:v>18.32736957594915</x:v>
      </x:c>
      <x:c r="S484" s="81" t="n">
        <x:v>3.5287001325707757e-10</x:v>
      </x:c>
      <x:c r="T484" s="81" t="n">
        <x:v>1.6626820724578115e-21</x:v>
      </x:c>
    </x:row>
    <x:row r="485">
      <x:c r="A485" s="59" t="n">
        <x:v>482</x:v>
      </x:c>
      <x:c r="B485" s="193" t="n">
        <x:v>0.30171365402638917</x:v>
      </x:c>
      <x:c r="C485" s="83" t="n">
        <x:v>0.6854100650839996</x:v>
      </x:c>
      <x:c r="D485" s="83" t="n">
        <x:v>0.39645305980580947</x:v>
      </x:c>
      <x:c r="E485" s="81" t="n">
        <x:v>-0.06557512211725747</x:v>
      </x:c>
      <x:c r="F485" s="81" t="n">
        <x:v>0.5261663086013868</x:v>
      </x:c>
      <x:c r="G485" s="81" t="n">
        <x:v>0.03333305168015677</x:v>
      </x:c>
      <x:c r="H485" s="59" t="n">
        <x:v>0</x:v>
      </x:c>
      <x:c r="I485" s="81" t="n">
        <x:v>0</x:v>
      </x:c>
      <x:c r="J485" s="79" t="n">
        <x:v>2.3018786681694622e-23</x:v>
      </x:c>
      <x:c r="K485" s="81" t="n">
        <x:v>-1</x:v>
      </x:c>
      <x:c r="L485" s="81" t="n">
        <x:v>-1</x:v>
      </x:c>
      <x:c r="M485" s="80" t="n">
        <x:v>0.000002</x:v>
      </x:c>
      <x:c r="N485" s="82" t="n">
        <x:v>0.17396759952009883</x:v>
      </x:c>
      <x:c r="O485" s="82" t="n">
        <x:v>0.08646938073983025</x:v>
      </x:c>
      <x:c r="P485" s="80" t="n">
        <x:v>355.77523169943987</x:v>
      </x:c>
      <x:c r="Q485" s="81" t="n">
        <x:v>1426124.1571751002</x:v>
      </x:c>
      <x:c r="R485" s="81" t="n">
        <x:v>7.465880113047089</x:v>
      </x:c>
      <x:c r="S485" s="81" t="n">
        <x:v>3.0707717290349127e-10</x:v>
      </x:c>
      <x:c r="T485" s="81" t="n">
        <x:v>4.986371745820472e-19</x:v>
      </x:c>
    </x:row>
    <x:row r="486">
      <x:c r="A486" s="59" t="n">
        <x:v>483</x:v>
      </x:c>
      <x:c r="B486" s="193" t="n">
        <x:v>0.8101233454421164</x:v>
      </x:c>
      <x:c r="C486" s="83" t="n">
        <x:v>0.5255540049636761</x:v>
      </x:c>
      <x:c r="D486" s="83" t="n">
        <x:v>1.080411195730929</x:v>
      </x:c>
      <x:c r="E486" s="81" t="n">
        <x:v>-0.10407057256916519</x:v>
      </x:c>
      <x:c r="F486" s="81" t="n">
        <x:v>0.569142577785533</x:v>
      </x:c>
      <x:c r="G486" s="81" t="n">
        <x:v>0.018804951658144924</x:v>
      </x:c>
      <x:c r="H486" s="59" t="n">
        <x:v>0</x:v>
      </x:c>
      <x:c r="I486" s="81" t="n">
        <x:v>0</x:v>
      </x:c>
      <x:c r="J486" s="79" t="n">
        <x:v>5.739118329126832e-49</x:v>
      </x:c>
      <x:c r="K486" s="81" t="n">
        <x:v>-1</x:v>
      </x:c>
      <x:c r="L486" s="81" t="n">
        <x:v>-1</x:v>
      </x:c>
      <x:c r="M486" s="80" t="n">
        <x:v>0.000002</x:v>
      </x:c>
      <x:c r="N486" s="82" t="n">
        <x:v>0.295080320697039</x:v>
      </x:c>
      <x:c r="O486" s="82" t="n">
        <x:v>0.15864714654085343</x:v>
      </x:c>
      <x:c r="P486" s="80" t="n">
        <x:v>259.5870104166125</x:v>
      </x:c>
      <x:c r="Q486" s="81" t="n">
        <x:v>3.7343800351497587e+31</x:v>
      </x:c>
      <x:c r="R486" s="81" t="n">
        <x:v>2.6797961015617733</x:v>
      </x:c>
      <x:c r="S486" s="81" t="n">
        <x:v>7.782276706660735e-10</x:v>
      </x:c>
      <x:c r="T486" s="81" t="n">
        <x:v>1.2432183276208912e-44</x:v>
      </x:c>
    </x:row>
    <x:row r="487">
      <x:c r="A487" s="59" t="n">
        <x:v>484</x:v>
      </x:c>
      <x:c r="B487" s="193" t="n">
        <x:v>0.9732843676581979</x:v>
      </x:c>
      <x:c r="C487" s="83" t="n">
        <x:v>0.2375227691571828</x:v>
      </x:c>
      <x:c r="D487" s="83" t="n">
        <x:v>0.7173684492875434</x:v>
      </x:c>
      <x:c r="E487" s="81" t="n">
        <x:v>0.09207786276866146</x:v>
      </x:c>
      <x:c r="F487" s="81" t="n">
        <x:v>0.3650152905844152</x:v>
      </x:c>
      <x:c r="G487" s="81" t="n">
        <x:v>-0.000554315541582848</x:v>
      </x:c>
      <x:c r="H487" s="59" t="n">
        <x:v>0</x:v>
      </x:c>
      <x:c r="I487" s="81" t="n">
        <x:v>0</x:v>
      </x:c>
      <x:c r="J487" s="79" t="n">
        <x:v>0.0025362291520954344</x:v>
      </x:c>
      <x:c r="K487" s="81" t="n">
        <x:v>1.8985476023947827</x:v>
      </x:c>
      <x:c r="L487" s="81" t="n">
        <x:v>-0.7557705113050559</x:v>
      </x:c>
      <x:c r="M487" s="80" t="n">
        <x:v>13559.824681268974</x:v>
      </x:c>
      <x:c r="N487" s="82" t="n">
        <x:v>0.3339483354580762</x:v>
      </x:c>
      <x:c r="O487" s="82" t="n">
        <x:v>0.1151492947725761</x:v>
      </x:c>
      <x:c r="P487" s="80" t="n">
        <x:v>17842.52601593562</x:v>
      </x:c>
      <x:c r="Q487" s="81" t="n">
        <x:v>0.0030807942500782714</x:v>
      </x:c>
      <x:c r="R487" s="81" t="n">
        <x:v>376.3242426860114</x:v>
      </x:c>
      <x:c r="S487" s="81" t="n">
        <x:v>201.95004645342092</x:v>
      </x:c>
      <x:c r="T487" s="81" t="n">
        <x:v>54.94026057851221</x:v>
      </x:c>
    </x:row>
    <x:row r="488">
      <x:c r="A488" s="59" t="n">
        <x:v>485</x:v>
      </x:c>
      <x:c r="B488" s="193" t="n">
        <x:v>0.8959840144962072</x:v>
      </x:c>
      <x:c r="C488" s="83" t="n">
        <x:v>0.9562938575113011</x:v>
      </x:c>
      <x:c r="D488" s="83" t="n">
        <x:v>0.7216214505157063</x:v>
      </x:c>
      <x:c r="E488" s="81" t="n">
        <x:v>0.04832592406220782</x:v>
      </x:c>
      <x:c r="F488" s="81" t="n">
        <x:v>0.7436733262846247</x:v>
      </x:c>
      <x:c r="G488" s="81" t="n">
        <x:v>-0.03051932768483927</x:v>
      </x:c>
      <x:c r="H488" s="59" t="n">
        <x:v>0</x:v>
      </x:c>
      <x:c r="I488" s="81" t="n">
        <x:v>0</x:v>
      </x:c>
      <x:c r="J488" s="79" t="n">
        <x:v>0.00020913419483818056</x:v>
      </x:c>
      <x:c r="K488" s="81" t="n">
        <x:v>-0.7609894916135079</x:v>
      </x:c>
      <x:c r="L488" s="81" t="n">
        <x:v>-0.8580681175629508</x:v>
      </x:c>
      <x:c r="M488" s="80" t="n">
        <x:v>5400.810912357127</x:v>
      </x:c>
      <x:c r="N488" s="82" t="n">
        <x:v>0.3155339419532685</x:v>
      </x:c>
      <x:c r="O488" s="82" t="n">
        <x:v>0.2216660741221984</x:v>
      </x:c>
      <x:c r="P488" s="80" t="n">
        <x:v>8564.192071831942</x:v>
      </x:c>
      <x:c r="Q488" s="81" t="n">
        <x:v>0.009921488365415274</x:v>
      </x:c>
      <x:c r="R488" s="81" t="n">
        <x:v>31.247443243877722</x:v>
      </x:c>
      <x:c r="S488" s="81" t="n">
        <x:v>4.686698376481677</x:v>
      </x:c>
      <x:c r="T488" s="81" t="n">
        <x:v>4.530303245979973</x:v>
      </x:c>
    </x:row>
    <x:row r="489">
      <x:c r="A489" s="59" t="n">
        <x:v>486</x:v>
      </x:c>
      <x:c r="B489" s="193" t="n">
        <x:v>0.9560274474322796</x:v>
      </x:c>
      <x:c r="C489" s="83" t="n">
        <x:v>0.15647879876796011</x:v>
      </x:c>
      <x:c r="D489" s="83" t="n">
        <x:v>0.41135974101413547</x:v>
      </x:c>
      <x:c r="E489" s="81" t="n">
        <x:v>-0.006938716523891591</x:v>
      </x:c>
      <x:c r="F489" s="81" t="n">
        <x:v>0.8455492271925323</x:v>
      </x:c>
      <x:c r="G489" s="81" t="n">
        <x:v>0.03231913775620443</x:v>
      </x:c>
      <x:c r="H489" s="59" t="n">
        <x:v>23</x:v>
      </x:c>
      <x:c r="I489" s="81" t="n">
        <x:v>0.4304233552888036</x:v>
      </x:c>
      <x:c r="J489" s="79" t="n">
        <x:v>5.9884348689192105e-9</x:v>
      </x:c>
      <x:c r="K489" s="81" t="n">
        <x:v>-0.9999931560744355</x:v>
      </x:c>
      <x:c r="L489" s="81" t="n">
        <x:v>-0.9999931560744355</x:v>
      </x:c>
      <x:c r="M489" s="80" t="n">
        <x:v>15.395459976123677</x:v>
      </x:c>
      <x:c r="N489" s="82" t="n">
        <x:v>0.32983741349300844</x:v>
      </x:c>
      <x:c r="O489" s="82" t="n">
        <x:v>0.26345700775463443</x:v>
      </x:c>
      <x:c r="P489" s="80" t="n">
        <x:v>369.47135411357345</x:v>
      </x:c>
      <x:c r="Q489" s="81" t="n">
        <x:v>0.2991290094912441</x:v>
      </x:c>
      <x:c r="R489" s="81" t="n">
        <x:v>33.633943319879904</x:v>
      </x:c>
      <x:c r="S489" s="81" t="n">
        <x:v>0.004275529828341423</x:v>
      </x:c>
      <x:c r="T489" s="81" t="n">
        <x:v>0.00012972257332664316</x:v>
      </x:c>
    </x:row>
    <x:row r="490">
      <x:c r="A490" s="59" t="n">
        <x:v>487</x:v>
      </x:c>
      <x:c r="B490" s="193" t="n">
        <x:v>0.8229256179183722</x:v>
      </x:c>
      <x:c r="C490" s="83" t="n">
        <x:v>2.2756555719923455</x:v>
      </x:c>
      <x:c r="D490" s="83" t="n">
        <x:v>0.6191322831358309</x:v>
      </x:c>
      <x:c r="E490" s="81" t="n">
        <x:v>0.010759223289250554</x:v>
      </x:c>
      <x:c r="F490" s="81" t="n">
        <x:v>0.3375445879995823</x:v>
      </x:c>
      <x:c r="G490" s="81" t="n">
        <x:v>-0.029650223213961293</x:v>
      </x:c>
      <x:c r="H490" s="59" t="n">
        <x:v>83</x:v>
      </x:c>
      <x:c r="I490" s="81" t="n">
        <x:v>0.35905639203265316</x:v>
      </x:c>
      <x:c r="J490" s="79" t="n">
        <x:v>0.00011641481253282814</x:v>
      </x:c>
      <x:c r="K490" s="81" t="n">
        <x:v>-0.8669544999624821</x:v>
      </x:c>
      <x:c r="L490" s="81" t="n">
        <x:v>-0.8774330164352652</x:v>
      </x:c>
      <x:c r="M490" s="80" t="n">
        <x:v>6137.582345495951</x:v>
      </x:c>
      <x:c r="N490" s="82" t="n">
        <x:v>0.2981300620434923</x:v>
      </x:c>
      <x:c r="O490" s="82" t="n">
        <x:v>0.09506220013625347</x:v>
      </x:c>
      <x:c r="P490" s="80" t="n">
        <x:v>10123.24388272064</x:v>
      </x:c>
      <x:c r="Q490" s="81" t="n">
        <x:v>0.015548188748014037</x:v>
      </x:c>
      <x:c r="R490" s="81" t="n">
        <x:v>10.280165943839954</x:v>
      </x:c>
      <x:c r="S490" s="81" t="n">
        <x:v>1.30625911327117</x:v>
      </x:c>
      <x:c r="T490" s="81" t="n">
        <x:v>2.521798998512402</x:v>
      </x:c>
    </x:row>
    <x:row r="491">
      <x:c r="A491" s="59" t="n">
        <x:v>488</x:v>
      </x:c>
      <x:c r="B491" s="193" t="n">
        <x:v>0.7989545727148653</x:v>
      </x:c>
      <x:c r="C491" s="83" t="n">
        <x:v>0.8341367690925816</x:v>
      </x:c>
      <x:c r="D491" s="83" t="n">
        <x:v>0.6735846886975279</x:v>
      </x:c>
      <x:c r="E491" s="81" t="n">
        <x:v>-0.022486963059301805</x:v>
      </x:c>
      <x:c r="F491" s="81" t="n">
        <x:v>0.6377870109165087</x:v>
      </x:c>
      <x:c r="G491" s="81" t="n">
        <x:v>-0.005593533513069006</x:v>
      </x:c>
      <x:c r="H491" s="59" t="n">
        <x:v>0</x:v>
      </x:c>
      <x:c r="I491" s="81" t="n">
        <x:v>0</x:v>
      </x:c>
      <x:c r="J491" s="79" t="n">
        <x:v>7.615268625106642e-14</x:v>
      </x:c>
      <x:c r="K491" s="81" t="n">
        <x:v>-0.9999999999129684</x:v>
      </x:c>
      <x:c r="L491" s="81" t="n">
        <x:v>-0.9999999999129684</x:v>
      </x:c>
      <x:c r="M491" s="80" t="n">
        <x:v>0.08853795234370278</x:v>
      </x:c>
      <x:c r="N491" s="82" t="n">
        <x:v>0.2924197096189192</x:v>
      </x:c>
      <x:c r="O491" s="82" t="n">
        <x:v>0.17617864016895712</x:v>
      </x:c>
      <x:c r="P491" s="80" t="n">
        <x:v>822.3405736151474</x:v>
      </x:c>
      <x:c r="Q491" s="81" t="n">
        <x:v>53.383465739141386</x:v>
      </x:c>
      <x:c r="R491" s="81" t="n">
        <x:v>7.665195043076248</x:v>
      </x:c>
      <x:c r="S491" s="81" t="n">
        <x:v>0.000013676599755990903</x:v>
      </x:c>
      <x:c r="T491" s="81" t="n">
        <x:v>1.6496334422031913e-9</x:v>
      </x:c>
    </x:row>
    <x:row r="492">
      <x:c r="A492" s="59" t="n">
        <x:v>489</x:v>
      </x:c>
      <x:c r="B492" s="193" t="n">
        <x:v>0.32957365959882734</x:v>
      </x:c>
      <x:c r="C492" s="83" t="n">
        <x:v>0.6250793102859149</x:v>
      </x:c>
      <x:c r="D492" s="83" t="n">
        <x:v>0.3853058568385824</x:v>
      </x:c>
      <x:c r="E492" s="81" t="n">
        <x:v>0.0026918620531839648</x:v>
      </x:c>
      <x:c r="F492" s="81" t="n">
        <x:v>0.8481536411447451</x:v>
      </x:c>
      <x:c r="G492" s="81" t="n">
        <x:v>-0.003284857034623594</x:v>
      </x:c>
      <x:c r="H492" s="59" t="n">
        <x:v>61</x:v>
      </x:c>
      <x:c r="I492" s="81" t="n">
        <x:v>0.4508817980997265</x:v>
      </x:c>
      <x:c r="J492" s="79" t="n">
        <x:v>0.000001681594630570878</x:v>
      </x:c>
      <x:c r="K492" s="81" t="n">
        <x:v>-0.9980781775650619</x:v>
      </x:c>
      <x:c r="L492" s="81" t="n">
        <x:v>-0.9980781775650619</x:v>
      </x:c>
      <x:c r="M492" s="80" t="n">
        <x:v>361.1226267598647</x:v>
      </x:c>
      <x:c r="N492" s="82" t="n">
        <x:v>0.18060437522255832</x:v>
      </x:c>
      <x:c r="O492" s="82" t="n">
        <x:v>0.14470173545808182</x:v>
      </x:c>
      <x:c r="P492" s="80" t="n">
        <x:v>1059.5293598208407</x:v>
      </x:c>
      <x:c r="Q492" s="81" t="n">
        <x:v>0.03424179098146852</x:v>
      </x:c>
      <x:c r="R492" s="81" t="n">
        <x:v>16.82285833933634</x:v>
      </x:c>
      <x:c r="S492" s="81" t="n">
        <x:v>0.08621428861036204</x:v>
      </x:c>
      <x:c r="T492" s="81" t="n">
        <x:v>0.036427010987812584</x:v>
      </x:c>
    </x:row>
    <x:row r="493">
      <x:c r="A493" s="59" t="n">
        <x:v>490</x:v>
      </x:c>
      <x:c r="B493" s="193" t="n">
        <x:v>0.287760940566659</x:v>
      </x:c>
      <x:c r="C493" s="83" t="n">
        <x:v>0.6615820180598908</x:v>
      </x:c>
      <x:c r="D493" s="83" t="n">
        <x:v>0.6857007259023234</x:v>
      </x:c>
      <x:c r="E493" s="81" t="n">
        <x:v>-0.11284202582388338</x:v>
      </x:c>
      <x:c r="F493" s="81" t="n">
        <x:v>0.39608123728539796</x:v>
      </x:c>
      <x:c r="G493" s="81" t="n">
        <x:v>-0.009158049696033713</x:v>
      </x:c>
      <x:c r="H493" s="59" t="n">
        <x:v>0</x:v>
      </x:c>
      <x:c r="I493" s="81" t="n">
        <x:v>0</x:v>
      </x:c>
      <x:c r="J493" s="79" t="n">
        <x:v>5.198534716659289e-35</x:v>
      </x:c>
      <x:c r="K493" s="81" t="n">
        <x:v>-1</x:v>
      </x:c>
      <x:c r="L493" s="81" t="n">
        <x:v>-1</x:v>
      </x:c>
      <x:c r="M493" s="80" t="n">
        <x:v>0.000002</x:v>
      </x:c>
      <x:c r="N493" s="82" t="n">
        <x:v>0.17064380156061393</x:v>
      </x:c>
      <x:c r="O493" s="82" t="n">
        <x:v>0.06384776943372614</x:v>
      </x:c>
      <x:c r="P493" s="80" t="n">
        <x:v>250.22539981665187</x:v>
      </x:c>
      <x:c r="Q493" s="81" t="n">
        <x:v>383244998897847000</x:v>
      </x:c>
      <x:c r="R493" s="81" t="n">
        <x:v>3.1851503380049704</x:v>
      </x:c>
      <x:c r="S493" s="81" t="n">
        <x:v>3.232240158919641e-10</x:v>
      </x:c>
      <x:c r="T493" s="81" t="n">
        <x:v>1.1261161150353198e-30</x:v>
      </x:c>
    </x:row>
    <x:row r="494">
      <x:c r="A494" s="59" t="n">
        <x:v>491</x:v>
      </x:c>
      <x:c r="B494" s="193" t="n">
        <x:v>0.6803097873926163</x:v>
      </x:c>
      <x:c r="C494" s="83" t="n">
        <x:v>0.48357767050489225</x:v>
      </x:c>
      <x:c r="D494" s="83" t="n">
        <x:v>2.9966329271025276</x:v>
      </x:c>
      <x:c r="E494" s="81" t="n">
        <x:v>0.13906963817527737</x:v>
      </x:c>
      <x:c r="F494" s="81" t="n">
        <x:v>0.8818885037791916</x:v>
      </x:c>
      <x:c r="G494" s="81" t="n">
        <x:v>0.008485356270354525</x:v>
      </x:c>
      <x:c r="H494" s="59" t="n">
        <x:v>0</x:v>
      </x:c>
      <x:c r="I494" s="81" t="n">
        <x:v>0</x:v>
      </x:c>
      <x:c r="J494" s="79" t="n">
        <x:v>0.08021507760051111</x:v>
      </x:c>
      <x:c r="K494" s="81" t="n">
        <x:v>90.67437440058413</x:v>
      </x:c>
      <x:c r="L494" s="81" t="n">
        <x:v>-0.8594798391755449</x:v>
      </x:c>
      <x:c r="M494" s="80" t="n">
        <x:v>196628.8677413411</x:v>
      </x:c>
      <x:c r="N494" s="82" t="n">
        <x:v>0.2641562971654348</x:v>
      </x:c>
      <x:c r="O494" s="82" t="n">
        <x:v>0.2200622713958094</x:v>
      </x:c>
      <x:c r="P494" s="80" t="n">
        <x:v>596286.0991705464</x:v>
      </x:c>
      <x:c r="Q494" s="81" t="n">
        <x:v>0.006113085560122375</x:v>
      </x:c>
      <x:c r="R494" s="81" t="n">
        <x:v>1805.127275656034</x:v>
      </x:c>
      <x:c r="S494" s="81" t="n">
        <x:v>3285.328651671831</x:v>
      </x:c>
      <x:c r="T494" s="81" t="n">
        <x:v>1737.6337079228665</x:v>
      </x:c>
    </x:row>
    <x:row r="495">
      <x:c r="A495" s="59" t="n">
        <x:v>492</x:v>
      </x:c>
      <x:c r="B495" s="193" t="n">
        <x:v>0.45447943173348904</x:v>
      </x:c>
      <x:c r="C495" s="83" t="n">
        <x:v>1.439965175323666</x:v>
      </x:c>
      <x:c r="D495" s="83" t="n">
        <x:v>0.376412179001553</x:v>
      </x:c>
      <x:c r="E495" s="81" t="n">
        <x:v>-0.032618170323949876</x:v>
      </x:c>
      <x:c r="F495" s="81" t="n">
        <x:v>0.35172534523298965</x:v>
      </x:c>
      <x:c r="G495" s="81" t="n">
        <x:v>0.008558687441677267</x:v>
      </x:c>
      <x:c r="H495" s="59" t="n">
        <x:v>0</x:v>
      </x:c>
      <x:c r="I495" s="81" t="n">
        <x:v>0</x:v>
      </x:c>
      <x:c r="J495" s="79" t="n">
        <x:v>2.445523311591058e-12</x:v>
      </x:c>
      <x:c r="K495" s="81" t="n">
        <x:v>-0.9999999972051162</x:v>
      </x:c>
      <x:c r="L495" s="81" t="n">
        <x:v>-0.9999999972051162</x:v>
      </x:c>
      <x:c r="M495" s="80" t="n">
        <x:v>0.66409706613368</x:v>
      </x:c>
      <x:c r="N495" s="82" t="n">
        <x:v>0.21035927212826216</x:v>
      </x:c>
      <x:c r="O495" s="82" t="n">
        <x:v>0.06989341583555801</x:v>
      </x:c>
      <x:c r="P495" s="80" t="n">
        <x:v>929.5018890216706</x:v>
      </x:c>
      <x:c r="Q495" s="81" t="n">
        <x:v>8.679081666334909</x:v>
      </x:c>
      <x:c r="R495" s="81" t="n">
        <x:v>6.390737502182692</x:v>
      </x:c>
      <x:c r="S495" s="81" t="n">
        <x:v>0.000051149566834629243</x:v>
      </x:c>
      <x:c r="T495" s="81" t="n">
        <x:v>5.297537404245684e-8</x:v>
      </x:c>
    </x:row>
    <x:row r="496">
      <x:c r="A496" s="59" t="n">
        <x:v>493</x:v>
      </x:c>
      <x:c r="B496" s="193" t="n">
        <x:v>0.7592926651239396</x:v>
      </x:c>
      <x:c r="C496" s="83" t="n">
        <x:v>0.6266210865654992</x:v>
      </x:c>
      <x:c r="D496" s="83" t="n">
        <x:v>0.7815283506340898</x:v>
      </x:c>
      <x:c r="E496" s="81" t="n">
        <x:v>0.054362798518285224</x:v>
      </x:c>
      <x:c r="F496" s="81" t="n">
        <x:v>0.6663534715655259</x:v>
      </x:c>
      <x:c r="G496" s="81" t="n">
        <x:v>0.016751556001183842</x:v>
      </x:c>
      <x:c r="H496" s="59" t="n">
        <x:v>0</x:v>
      </x:c>
      <x:c r="I496" s="81" t="n">
        <x:v>0</x:v>
      </x:c>
      <x:c r="J496" s="79" t="n">
        <x:v>0.0010473019192151533</x:v>
      </x:c>
      <x:c r="K496" s="81" t="n">
        <x:v>0.19691647910303245</x:v>
      </x:c>
      <x:c r="L496" s="81" t="n">
        <x:v>-0.7752809503844108</x:v>
      </x:c>
      <x:c r="M496" s="80" t="n">
        <x:v>10733.510727830515</x:v>
      </x:c>
      <x:c r="N496" s="82" t="n">
        <x:v>0.28297149956999357</x:v>
      </x:c>
      <x:c r="O496" s="82" t="n">
        <x:v>0.17812230347562968</x:v>
      </x:c>
      <x:c r="P496" s="80" t="n">
        <x:v>16515.713256919607</x:v>
      </x:c>
      <x:c r="Q496" s="81" t="n">
        <x:v>0.007557376796862284</x:v>
      </x:c>
      <x:c r="R496" s="81" t="n">
        <x:v>62.59546329308118</x:v>
      </x:c>
      <x:c r="S496" s="81" t="n">
        <x:v>33.92530799589667</x:v>
      </x:c>
      <x:c r="T496" s="81" t="n">
        <x:v>22.686846059835588</x:v>
      </x:c>
    </x:row>
    <x:row r="497">
      <x:c r="A497" s="59" t="n">
        <x:v>494</x:v>
      </x:c>
      <x:c r="B497" s="193" t="n">
        <x:v>0.8053205139935018</x:v>
      </x:c>
      <x:c r="C497" s="83" t="n">
        <x:v>0.29548070558303974</x:v>
      </x:c>
      <x:c r="D497" s="83" t="n">
        <x:v>0.8986726447673951</x:v>
      </x:c>
      <x:c r="E497" s="81" t="n">
        <x:v>0.09380971377317324</x:v>
      </x:c>
      <x:c r="F497" s="81" t="n">
        <x:v>0.3853459018864669</x:v>
      </x:c>
      <x:c r="G497" s="81" t="n">
        <x:v>0.039970882263610646</x:v>
      </x:c>
      <x:c r="H497" s="59" t="n">
        <x:v>0</x:v>
      </x:c>
      <x:c r="I497" s="81" t="n">
        <x:v>0</x:v>
      </x:c>
      <x:c r="J497" s="79" t="n">
        <x:v>0.014159713820186498</x:v>
      </x:c>
      <x:c r="K497" s="81" t="n">
        <x:v>15.18253008021314</x:v>
      </x:c>
      <x:c r="L497" s="81" t="n">
        <x:v>-0.7251294369047968</x:v>
      </x:c>
      <x:c r="M497" s="80" t="n">
        <x:v>38234.6451834553</x:v>
      </x:c>
      <x:c r="N497" s="82" t="n">
        <x:v>0.2939361961928893</x:v>
      </x:c>
      <x:c r="O497" s="82" t="n">
        <x:v>0.10699777734519124</x:v>
      </x:c>
      <x:c r="P497" s="80" t="n">
        <x:v>60619.901905995575</x:v>
      </x:c>
      <x:c r="Q497" s="81" t="n">
        <x:v>0.0030279863129112805</x:v>
      </x:c>
      <x:c r="R497" s="81" t="n">
        <x:v>570.015472018207</x:v>
      </x:c>
      <x:c r="S497" s="81" t="n">
        <x:v>909.7737882317814</x:v>
      </x:c>
      <x:c r="T497" s="81" t="n">
        <x:v>306.73031510400915</x:v>
      </x:c>
    </x:row>
    <x:row r="498">
      <x:c r="A498" s="59" t="n">
        <x:v>495</x:v>
      </x:c>
      <x:c r="B498" s="193" t="n">
        <x:v>0.23302137907594445</x:v>
      </x:c>
      <x:c r="C498" s="83" t="n">
        <x:v>1.9309137249344384</x:v>
      </x:c>
      <x:c r="D498" s="83" t="n">
        <x:v>0.852371137453154</x:v>
      </x:c>
      <x:c r="E498" s="81" t="n">
        <x:v>0.2</x:v>
      </x:c>
      <x:c r="F498" s="81" t="n">
        <x:v>0.44004803168354556</x:v>
      </x:c>
      <x:c r="G498" s="81" t="n">
        <x:v>0.0697623915115335</x:v>
      </x:c>
      <x:c r="H498" s="59" t="n">
        <x:v>0</x:v>
      </x:c>
      <x:c r="I498" s="81" t="n">
        <x:v>0</x:v>
      </x:c>
      <x:c r="J498" s="79" t="n">
        <x:v>1.6595465372912348</x:v>
      </x:c>
      <x:c r="K498" s="81" t="n">
        <x:v>1895.6246140471258</x:v>
      </x:c>
      <x:c r="L498" s="81" t="n">
        <x:v>-0.7007251628950404</x:v>
      </x:c>
      <x:c r="M498" s="80" t="n">
        <x:v>1335138.2358186871</x:v>
      </x:c>
      <x:c r="N498" s="82" t="n">
        <x:v>0.1576038116467476</x:v>
      </x:c>
      <x:c r="O498" s="82" t="n">
        <x:v>0.06551454682608272</x:v>
      </x:c>
      <x:c r="P498" s="80" t="n">
        <x:v>1914475.6676163333</x:v>
      </x:c>
      <x:c r="Q498" s="81" t="n">
        <x:v>0.0011619707106820321</x:v>
      </x:c>
      <x:c r="R498" s="81" t="n">
        <x:v>3084.9068063099458</x:v>
      </x:c>
      <x:c r="S498" s="81" t="n">
        <x:v>16384.732658460125</x:v>
      </x:c>
      <x:c r="T498" s="81" t="n">
        <x:v>35949.40115155543</x:v>
      </x:c>
    </x:row>
    <x:row r="499">
      <x:c r="A499" s="59" t="n">
        <x:v>496</x:v>
      </x:c>
      <x:c r="B499" s="193" t="n">
        <x:v>0.7132524812594057</x:v>
      </x:c>
      <x:c r="C499" s="83" t="n">
        <x:v>0.3141331967471709</x:v>
      </x:c>
      <x:c r="D499" s="83" t="n">
        <x:v>0.6630504273917138</x:v>
      </x:c>
      <x:c r="E499" s="81" t="n">
        <x:v>0.002984449580963124</x:v>
      </x:c>
      <x:c r="F499" s="81" t="n">
        <x:v>0.7474101423867978</x:v>
      </x:c>
      <x:c r="G499" s="81" t="n">
        <x:v>0.03155348081659109</x:v>
      </x:c>
      <x:c r="H499" s="59" t="n">
        <x:v>0</x:v>
      </x:c>
      <x:c r="I499" s="81" t="n">
        <x:v>0</x:v>
      </x:c>
      <x:c r="J499" s="79" t="n">
        <x:v>0.0000016475322392688434</x:v>
      </x:c>
      <x:c r="K499" s="81" t="n">
        <x:v>-0.9981171060122642</x:v>
      </x:c>
      <x:c r="L499" s="81" t="n">
        <x:v>-0.9981171060122642</x:v>
      </x:c>
      <x:c r="M499" s="80" t="n">
        <x:v>290.80156203975565</x:v>
      </x:c>
      <x:c r="N499" s="82" t="n">
        <x:v>0.27200386452001407</x:v>
      </x:c>
      <x:c r="O499" s="82" t="n">
        <x:v>0.19204588378550608</x:v>
      </x:c>
      <x:c r="P499" s="80" t="n">
        <x:v>1341.622326110105</x:v>
      </x:c>
      <x:c r="Q499" s="81" t="n">
        <x:v>0.07363315863674579</x:v>
      </x:c>
      <x:c r="R499" s="81" t="n">
        <x:v>26.38720117137946</x:v>
      </x:c>
      <x:c r="S499" s="81" t="n">
        <x:v>0.1914494725837633</x:v>
      </x:c>
      <x:c r="T499" s="81" t="n">
        <x:v>0.03568914522654457</x:v>
      </x:c>
    </x:row>
    <x:row r="500">
      <x:c r="A500" s="59" t="n">
        <x:v>497</x:v>
      </x:c>
      <x:c r="B500" s="193" t="n">
        <x:v>0.7588927498087288</x:v>
      </x:c>
      <x:c r="C500" s="83" t="n">
        <x:v>0.4885631244925511</x:v>
      </x:c>
      <x:c r="D500" s="83" t="n">
        <x:v>0.2614299512599338</x:v>
      </x:c>
      <x:c r="E500" s="81" t="n">
        <x:v>0.04682012920365999</x:v>
      </x:c>
      <x:c r="F500" s="81" t="n">
        <x:v>0.3426573017379269</x:v>
      </x:c>
      <x:c r="G500" s="81" t="n">
        <x:v>0.020882191413608128</x:v>
      </x:c>
      <x:c r="H500" s="59" t="n">
        <x:v>13</x:v>
      </x:c>
      <x:c r="I500" s="81" t="n">
        <x:v>0.3309281838126481</x:v>
      </x:c>
      <x:c r="J500" s="79" t="n">
        <x:v>0.00025419513464593733</x:v>
      </x:c>
      <x:c r="K500" s="81" t="n">
        <x:v>-0.7094912746903573</x:v>
      </x:c>
      <x:c r="L500" s="81" t="n">
        <x:v>-0.8433243312655091</x:v>
      </x:c>
      <x:c r="M500" s="80" t="n">
        <x:v>4262.366616341052</x:v>
      </x:c>
      <x:c r="N500" s="82" t="n">
        <x:v>0.282876232243498</x:v>
      </x:c>
      <x:c r="O500" s="82" t="n">
        <x:v>0.0915645554767978</x:v>
      </x:c>
      <x:c r="P500" s="80" t="n">
        <x:v>2615.656073977511</x:v>
      </x:c>
      <x:c r="Q500" s="81" t="n">
        <x:v>0.004180656997457578</x:v>
      </x:c>
      <x:c r="R500" s="81" t="n">
        <x:v>28.394089619617418</x:v>
      </x:c>
      <x:c r="S500" s="81" t="n">
        <x:v>10.099729938812702</x:v>
      </x:c>
      <x:c r="T500" s="81" t="n">
        <x:v>5.506421580123959</x:v>
      </x:c>
    </x:row>
    <x:row r="501">
      <x:c r="A501" s="59" t="n">
        <x:v>498</x:v>
      </x:c>
      <x:c r="B501" s="193" t="n">
        <x:v>0.23507139552384615</x:v>
      </x:c>
      <x:c r="C501" s="83" t="n">
        <x:v>0.2873441844762037</x:v>
      </x:c>
      <x:c r="D501" s="83" t="n">
        <x:v>0.6497300907377136</x:v>
      </x:c>
      <x:c r="E501" s="81" t="n">
        <x:v>-0.07969453714102423</x:v>
      </x:c>
      <x:c r="F501" s="81" t="n">
        <x:v>0.4946914420463145</x:v>
      </x:c>
      <x:c r="G501" s="81" t="n">
        <x:v>-0.0008711865912345399</x:v>
      </x:c>
      <x:c r="H501" s="59" t="n">
        <x:v>0</x:v>
      </x:c>
      <x:c r="I501" s="81" t="n">
        <x:v>0</x:v>
      </x:c>
      <x:c r="J501" s="79" t="n">
        <x:v>7.372829692417539e-29</x:v>
      </x:c>
      <x:c r="K501" s="81" t="n">
        <x:v>-1</x:v>
      </x:c>
      <x:c r="L501" s="81" t="n">
        <x:v>-1</x:v>
      </x:c>
      <x:c r="M501" s="80" t="n">
        <x:v>0.000002</x:v>
      </x:c>
      <x:c r="N501" s="82" t="n">
        <x:v>0.15809216400244627</x:v>
      </x:c>
      <x:c r="O501" s="82" t="n">
        <x:v>0.07387809416148068</x:v>
      </x:c>
      <x:c r="P501" s="80" t="n">
        <x:v>252.00920912035147</x:v>
      </x:c>
      <x:c r="Q501" s="81" t="n">
        <x:v>371221353903.1235</x:v>
      </x:c>
      <x:c r="R501" s="81" t="n">
        <x:v>9.805814315346634</x:v>
      </x:c>
      <x:c r="S501" s="81" t="n">
        <x:v>4.3745877051499356e-10</x:v>
      </x:c>
      <x:c r="T501" s="81" t="n">
        <x:v>1.5971158764094576e-24</x:v>
      </x:c>
    </x:row>
    <x:row r="502">
      <x:c r="A502" s="59" t="n">
        <x:v>499</x:v>
      </x:c>
      <x:c r="B502" s="193" t="n">
        <x:v>0.7761704938486218</x:v>
      </x:c>
      <x:c r="C502" s="83" t="n">
        <x:v>0.4246659305856866</x:v>
      </x:c>
      <x:c r="D502" s="83" t="n">
        <x:v>0.6285367822624615</x:v>
      </x:c>
      <x:c r="E502" s="81" t="n">
        <x:v>-0.12109469927871593</x:v>
      </x:c>
      <x:c r="F502" s="81" t="n">
        <x:v>0.3029594429186545</x:v>
      </x:c>
      <x:c r="G502" s="81" t="n">
        <x:v>0.003577589130348682</x:v>
      </x:c>
      <x:c r="H502" s="59" t="n">
        <x:v>86</x:v>
      </x:c>
      <x:c r="I502" s="81" t="n">
        <x:v>0.36010691961273555</x:v>
      </x:c>
      <x:c r="J502" s="79" t="n">
        <x:v>3.166285085121357e-36</x:v>
      </x:c>
      <x:c r="K502" s="81" t="n">
        <x:v>-1</x:v>
      </x:c>
      <x:c r="L502" s="81" t="n">
        <x:v>-1</x:v>
      </x:c>
      <x:c r="M502" s="80" t="n">
        <x:v>0.000002</x:v>
      </x:c>
      <x:c r="N502" s="82" t="n">
        <x:v>0.28699211483150144</x:v>
      </x:c>
      <x:c r="O502" s="82" t="n">
        <x:v>0.08213445882111235</x:v>
      </x:c>
      <x:c r="P502" s="80" t="n">
        <x:v>196.93560389476653</x:v>
      </x:c>
      <x:c r="Q502" s="81" t="n">
        <x:v>5906931737267196000</x:v>
      </x:c>
      <x:c r="R502" s="81" t="n">
        <x:v>4.691885177376034</x:v>
      </x:c>
      <x:c r="S502" s="81" t="n">
        <x:v>4.036376900433048e-10</x:v>
      </x:c>
      <x:c r="T502" s="81" t="n">
        <x:v>6.858864763804998e-32</x:v>
      </x:c>
    </x:row>
    <x:row r="503">
      <x:c r="A503" s="59" t="n">
        <x:v>500</x:v>
      </x:c>
      <x:c r="B503" s="193" t="n">
        <x:v>0.551382215693593</x:v>
      </x:c>
      <x:c r="C503" s="83" t="n">
        <x:v>2.9092636784998884</x:v>
      </x:c>
      <x:c r="D503" s="83" t="n">
        <x:v>1.3191362073336101</x:v>
      </x:c>
      <x:c r="E503" s="81" t="n">
        <x:v>-0.0588866567194556</x:v>
      </x:c>
      <x:c r="F503" s="81" t="n">
        <x:v>0.5852235236205161</x:v>
      </x:c>
      <x:c r="G503" s="81" t="n">
        <x:v>0.028522082729100392</x:v>
      </x:c>
      <x:c r="H503" s="59" t="n">
        <x:v>0</x:v>
      </x:c>
      <x:c r="I503" s="81" t="n">
        <x:v>0</x:v>
      </x:c>
      <x:c r="J503" s="79" t="n">
        <x:v>1.2265848809611094e-40</x:v>
      </x:c>
      <x:c r="K503" s="81" t="n">
        <x:v>-1</x:v>
      </x:c>
      <x:c r="L503" s="81" t="n">
        <x:v>-1</x:v>
      </x:c>
      <x:c r="M503" s="80" t="n">
        <x:v>0.000002</x:v>
      </x:c>
      <x:c r="N503" s="82" t="n">
        <x:v>0.23344333219475835</x:v>
      </x:c>
      <x:c r="O503" s="82" t="n">
        <x:v>0.1290548083740937</x:v>
      </x:c>
      <x:c r="P503" s="80" t="n">
        <x:v>1132.7239600698465</x:v>
      </x:c>
      <x:c r="Q503" s="81" t="n">
        <x:v>2.9616229820287195e+23</x:v>
      </x:c>
      <x:c r="R503" s="81" t="n">
        <x:v>1.336961836725707</x:v>
      </x:c>
      <x:c r="S503" s="81" t="n">
        <x:v>4.16195934017856e-10</x:v>
      </x:c>
      <x:c r="T503" s="81" t="n">
        <x:v>2.6570506425253394e-36</x:v>
      </x:c>
    </x:row>
    <x:row r="504">
      <x:c r="A504" s="59" t="n">
        <x:v>501</x:v>
      </x:c>
      <x:c r="B504" s="193" t="n">
        <x:v>0.738385709747672</x:v>
      </x:c>
      <x:c r="C504" s="83" t="n">
        <x:v>0.43417369888694174</x:v>
      </x:c>
      <x:c r="D504" s="83" t="n">
        <x:v>0.40410239982308377</x:v>
      </x:c>
      <x:c r="E504" s="81" t="n">
        <x:v>-0.09615871892606746</x:v>
      </x:c>
      <x:c r="F504" s="81" t="n">
        <x:v>0.8707619493943639</x:v>
      </x:c>
      <x:c r="G504" s="81" t="n">
        <x:v>-0.005739117808028341</x:v>
      </x:c>
      <x:c r="H504" s="59" t="n">
        <x:v>0</x:v>
      </x:c>
      <x:c r="I504" s="81" t="n">
        <x:v>0</x:v>
      </x:c>
      <x:c r="J504" s="79" t="n">
        <x:v>4.812903269035082e-25</x:v>
      </x:c>
      <x:c r="K504" s="81" t="n">
        <x:v>-1</x:v>
      </x:c>
      <x:c r="L504" s="81" t="n">
        <x:v>-1</x:v>
      </x:c>
      <x:c r="M504" s="80" t="n">
        <x:v>0.000002</x:v>
      </x:c>
      <x:c r="N504" s="82" t="n">
        <x:v>0.2779910707939533</x:v>
      </x:c>
      <x:c r="O504" s="82" t="n">
        <x:v>0.22866580854647295</x:v>
      </x:c>
      <x:c r="P504" s="80" t="n">
        <x:v>194.82608935085437</x:v>
      </x:c>
      <x:c r="Q504" s="81" t="n">
        <x:v>47848953.26061083</x:v>
      </x:c>
      <x:c r="R504" s="81" t="n">
        <x:v>6.849947484149999</x:v>
      </x:c>
      <x:c r="S504" s="81" t="n">
        <x:v>2.3013433096773247e-10</x:v>
      </x:c>
      <x:c r="T504" s="81" t="n">
        <x:v>1.0425799243001949e-20</x:v>
      </x:c>
    </x:row>
    <x:row r="505">
      <x:c r="A505" s="59" t="n">
        <x:v>502</x:v>
      </x:c>
      <x:c r="B505" s="193" t="n">
        <x:v>0.7890468433499336</x:v>
      </x:c>
      <x:c r="C505" s="83" t="n">
        <x:v>0.5617277933760729</x:v>
      </x:c>
      <x:c r="D505" s="83" t="n">
        <x:v>2.738003815490668</x:v>
      </x:c>
      <x:c r="E505" s="81" t="n">
        <x:v>0.1411210935081581</x:v>
      </x:c>
      <x:c r="F505" s="81" t="n">
        <x:v>0.47452685668831696</x:v>
      </x:c>
      <x:c r="G505" s="81" t="n">
        <x:v>0.029151013903510044</x:v>
      </x:c>
      <x:c r="H505" s="59" t="n">
        <x:v>30</x:v>
      </x:c>
      <x:c r="I505" s="81" t="n">
        <x:v>0.1616426185704768</x:v>
      </x:c>
      <x:c r="J505" s="79" t="n">
        <x:v>0.3170635641233117</x:v>
      </x:c>
      <x:c r="K505" s="81" t="n">
        <x:v>361.35835899807057</x:v>
      </x:c>
      <x:c r="L505" s="81" t="n">
        <x:v>-0.9617508402492749</x:v>
      </x:c>
      <x:c r="M505" s="80" t="n">
        <x:v>421544.1721112968</x:v>
      </x:c>
      <x:c r="N505" s="82" t="n">
        <x:v>0.29005950271426684</x:v>
      </x:c>
      <x:c r="O505" s="82" t="n">
        <x:v>0.13002259726729595</x:v>
      </x:c>
      <x:c r="P505" s="80" t="n">
        <x:v>1271906.1095714718</x:v>
      </x:c>
      <x:c r="Q505" s="81" t="n">
        <x:v>0.0037133629821917836</x:v>
      </x:c>
      <x:c r="R505" s="81" t="n">
        <x:v>4017.340187352361</x:v>
      </x:c>
      <x:c r="S505" s="81" t="n">
        <x:v>10966.80695674052</x:v>
      </x:c>
      <x:c r="T505" s="81" t="n">
        <x:v>6868.2890181648245</x:v>
      </x:c>
    </x:row>
    <x:row r="506">
      <x:c r="A506" s="59" t="n">
        <x:v>503</x:v>
      </x:c>
      <x:c r="B506" s="193" t="n">
        <x:v>0.3518323732540012</x:v>
      </x:c>
      <x:c r="C506" s="83" t="n">
        <x:v>0.4874754168503834</x:v>
      </x:c>
      <x:c r="D506" s="83" t="n">
        <x:v>1.2378591089421507</x:v>
      </x:c>
      <x:c r="E506" s="81" t="n">
        <x:v>-0.13891557232453186</x:v>
      </x:c>
      <x:c r="F506" s="81" t="n">
        <x:v>0.8275482587516308</x:v>
      </x:c>
      <x:c r="G506" s="81" t="n">
        <x:v>0.03735752374469244</x:v>
      </x:c>
      <x:c r="H506" s="59" t="n">
        <x:v>0</x:v>
      </x:c>
      <x:c r="I506" s="81" t="n">
        <x:v>0</x:v>
      </x:c>
      <x:c r="J506" s="79" t="n">
        <x:v>3.4707145329054806e-70</x:v>
      </x:c>
      <x:c r="K506" s="81" t="n">
        <x:v>-1</x:v>
      </x:c>
      <x:c r="L506" s="81" t="n">
        <x:v>-1</x:v>
      </x:c>
      <x:c r="M506" s="80" t="n">
        <x:v>0.000002</x:v>
      </x:c>
      <x:c r="N506" s="82" t="n">
        <x:v>0.18590681816610155</x:v>
      </x:c>
      <x:c r="O506" s="82" t="n">
        <x:v>0.14533144409010504</x:v>
      </x:c>
      <x:c r="P506" s="80" t="n">
        <x:v>212.5241496184272</x:v>
      </x:c>
      <x:c r="Q506" s="81" t="n">
        <x:v>4.7721765826486193e+52</x:v>
      </x:c>
      <x:c r="R506" s="81" t="n">
        <x:v>1.9117923639762169</x:v>
      </x:c>
      <x:c r="S506" s="81" t="n">
        <x:v>1.1389949623555364e-9</x:v>
      </x:c>
      <x:c r="T506" s="81" t="n">
        <x:v>7.51832541132629e-66</x:v>
      </x:c>
    </x:row>
    <x:row r="507">
      <x:c r="A507" s="59" t="n">
        <x:v>504</x:v>
      </x:c>
      <x:c r="B507" s="193" t="n">
        <x:v>0.6643511857837439</x:v>
      </x:c>
      <x:c r="C507" s="83" t="n">
        <x:v>2.1618405834113097</x:v>
      </x:c>
      <x:c r="D507" s="83" t="n">
        <x:v>0.7384510817799165</x:v>
      </x:c>
      <x:c r="E507" s="81" t="n">
        <x:v>0.10119771622617289</x:v>
      </x:c>
      <x:c r="F507" s="81" t="n">
        <x:v>0.7825928153004498</x:v>
      </x:c>
      <x:c r="G507" s="81" t="n">
        <x:v>0.018868083694339944</x:v>
      </x:c>
      <x:c r="H507" s="59" t="n">
        <x:v>0</x:v>
      </x:c>
      <x:c r="I507" s="81" t="n">
        <x:v>0</x:v>
      </x:c>
      <x:c r="J507" s="79" t="n">
        <x:v>0.012301218452755313</x:v>
      </x:c>
      <x:c r="K507" s="81" t="n">
        <x:v>13.058535374577502</x:v>
      </x:c>
      <x:c r="L507" s="81" t="n">
        <x:v>-0.6940796793809139</x:v>
      </x:c>
      <x:c r="M507" s="80" t="n">
        <x:v>80823.67121038874</x:v>
      </x:c>
      <x:c r="N507" s="82" t="n">
        <x:v>0.26035465903842114</x:v>
      </x:c>
      <x:c r="O507" s="82" t="n">
        <x:v>0.1924740355310444</x:v>
      </x:c>
      <x:c r="P507" s="80" t="n">
        <x:v>105578.86824634927</x:v>
      </x:c>
      <x:c r="Q507" s="81" t="n">
        <x:v>0.004931380300880639</x:v>
      </x:c>
      <x:c r="R507" s="81" t="n">
        <x:v>97.05557118428143</x:v>
      </x:c>
      <x:c r="S507" s="81" t="n">
        <x:v>116.87305996989278</x:v>
      </x:c>
      <x:c r="T507" s="81" t="n">
        <x:v>266.471247942721</x:v>
      </x:c>
    </x:row>
    <x:row r="508">
      <x:c r="A508" s="59" t="n">
        <x:v>505</x:v>
      </x:c>
      <x:c r="B508" s="193" t="n">
        <x:v>0.30144806597381835</x:v>
      </x:c>
      <x:c r="C508" s="83" t="n">
        <x:v>2.5418583801861137</x:v>
      </x:c>
      <x:c r="D508" s="83" t="n">
        <x:v>0.697141604216688</x:v>
      </x:c>
      <x:c r="E508" s="81" t="n">
        <x:v>0.061214753964711544</x:v>
      </x:c>
      <x:c r="F508" s="81" t="n">
        <x:v>0.6208050615154207</x:v>
      </x:c>
      <x:c r="G508" s="81" t="n">
        <x:v>0.0045164366197181305</x:v>
      </x:c>
      <x:c r="H508" s="59" t="n">
        <x:v>0</x:v>
      </x:c>
      <x:c r="I508" s="81" t="n">
        <x:v>0</x:v>
      </x:c>
      <x:c r="J508" s="79" t="n">
        <x:v>0.01138113405957581</x:v>
      </x:c>
      <x:c r="K508" s="81" t="n">
        <x:v>12.007010353800927</x:v>
      </x:c>
      <x:c r="L508" s="81" t="n">
        <x:v>-0.49158194928841914</x:v>
      </x:c>
      <x:c r="M508" s="80" t="n">
        <x:v>75884.21920001756</x:v>
      </x:c>
      <x:c r="N508" s="82" t="n">
        <x:v>0.17390433146620046</x:v>
      </x:c>
      <x:c r="O508" s="82" t="n">
        <x:v>0.10198506808566639</x:v>
      </x:c>
      <x:c r="P508" s="80" t="n">
        <x:v>97558.15167423642</x:v>
      </x:c>
      <x:c r="Q508" s="81" t="n">
        <x:v>0.0040810194773771786</x:v>
      </x:c>
      <x:c r="R508" s="81" t="n">
        <x:v>58.72343013449875</x:v>
      </x:c>
      <x:c r="S508" s="81" t="n">
        <x:v>90.41762357973721</x:v>
      </x:c>
      <x:c r="T508" s="81" t="n">
        <x:v>246.54021124056027</x:v>
      </x:c>
    </x:row>
    <x:row r="509">
      <x:c r="A509" s="59" t="n">
        <x:v>506</x:v>
      </x:c>
      <x:c r="B509" s="193" t="n">
        <x:v>0.4498479025438428</x:v>
      </x:c>
      <x:c r="C509" s="83" t="n">
        <x:v>0.23947023894828748</x:v>
      </x:c>
      <x:c r="D509" s="83" t="n">
        <x:v>0.8455303163496799</x:v>
      </x:c>
      <x:c r="E509" s="81" t="n">
        <x:v>-0.1839052195025172</x:v>
      </x:c>
      <x:c r="F509" s="81" t="n">
        <x:v>0.27578731689136476</x:v>
      </x:c>
      <x:c r="G509" s="81" t="n">
        <x:v>0.016161209669616126</x:v>
      </x:c>
      <x:c r="H509" s="59" t="n">
        <x:v>0</x:v>
      </x:c>
      <x:c r="I509" s="81" t="n">
        <x:v>0</x:v>
      </x:c>
      <x:c r="J509" s="79" t="n">
        <x:v>6.419924678897188e-60</x:v>
      </x:c>
      <x:c r="K509" s="81" t="n">
        <x:v>-1</x:v>
      </x:c>
      <x:c r="L509" s="81" t="n">
        <x:v>-1</x:v>
      </x:c>
      <x:c r="M509" s="80" t="n">
        <x:v>0.000002</x:v>
      </x:c>
      <x:c r="N509" s="82" t="n">
        <x:v>0.20925595503411598</x:v>
      </x:c>
      <x:c r="O509" s="82" t="n">
        <x:v>0.05451588384735062</x:v>
      </x:c>
      <x:c r="P509" s="80" t="n">
        <x:v>132.06461735826753</x:v>
      </x:c>
      <x:c r="Q509" s="81" t="n">
        <x:v>2.025758865370674e+42</x:v>
      </x:c>
      <x:c r="R509" s="81" t="n">
        <x:v>3.9446141943346524</x:v>
      </x:c>
      <x:c r="S509" s="81" t="n">
        <x:v>7.262881706902355e-10</x:v>
      </x:c>
      <x:c r="T509" s="81" t="n">
        <x:v>1.3906958464759448e-55</x:v>
      </x:c>
    </x:row>
    <x:row r="510">
      <x:c r="A510" s="59" t="n">
        <x:v>507</x:v>
      </x:c>
      <x:c r="B510" s="193" t="n">
        <x:v>0.49144404977560047</x:v>
      </x:c>
      <x:c r="C510" s="83" t="n">
        <x:v>1.1118549787217906</x:v>
      </x:c>
      <x:c r="D510" s="83" t="n">
        <x:v>0.5925321934840965</x:v>
      </x:c>
      <x:c r="E510" s="81" t="n">
        <x:v>0.04660684661699782</x:v>
      </x:c>
      <x:c r="F510" s="81" t="n">
        <x:v>0.7408071805373766</x:v>
      </x:c>
      <x:c r="G510" s="81" t="n">
        <x:v>0.0022555076934192785</x:v>
      </x:c>
      <x:c r="H510" s="59" t="n">
        <x:v>0</x:v>
      </x:c>
      <x:c r="I510" s="81" t="n">
        <x:v>0</x:v>
      </x:c>
      <x:c r="J510" s="79" t="n">
        <x:v>0.0006695969783571987</x:v>
      </x:c>
      <x:c r="K510" s="81" t="n">
        <x:v>-0.2347463104489157</x:v>
      </x:c>
      <x:c r="L510" s="81" t="n">
        <x:v>-0.7434410153579781</x:v>
      </x:c>
      <x:c r="M510" s="80" t="n">
        <x:v>10373.938089070625</x:v>
      </x:c>
      <x:c r="N510" s="82" t="n">
        <x:v>0.21916493723248123</x:v>
      </x:c>
      <x:c r="O510" s="82" t="n">
        <x:v>0.15337239540086464</x:v>
      </x:c>
      <x:c r="P510" s="80" t="n">
        <x:v>12860.365327089126</x:v>
      </x:c>
      <x:c r="Q510" s="81" t="n">
        <x:v>0.007245108805755741</x:v>
      </x:c>
      <x:c r="R510" s="81" t="n">
        <x:v>31.30098250676008</x:v>
      </x:c>
      <x:c r="S510" s="81" t="n">
        <x:v>12.547446607659307</x:v>
      </x:c>
      <x:c r="T510" s="81" t="n">
        <x:v>14.50493242818172</x:v>
      </x:c>
    </x:row>
    <x:row r="511">
      <x:c r="A511" s="59" t="n">
        <x:v>508</x:v>
      </x:c>
      <x:c r="B511" s="193" t="n">
        <x:v>0.3254824254661799</x:v>
      </x:c>
      <x:c r="C511" s="83" t="n">
        <x:v>0.2793751698294175</x:v>
      </x:c>
      <x:c r="D511" s="83" t="n">
        <x:v>1.3421240978041715</x:v>
      </x:c>
      <x:c r="E511" s="81" t="n">
        <x:v>-0.03587928667637943</x:v>
      </x:c>
      <x:c r="F511" s="81" t="n">
        <x:v>0.2886800359701738</x:v>
      </x:c>
      <x:c r="G511" s="81" t="n">
        <x:v>-0.04046972417055464</x:v>
      </x:c>
      <x:c r="H511" s="59" t="n">
        <x:v>0</x:v>
      </x:c>
      <x:c r="I511" s="81" t="n">
        <x:v>0</x:v>
      </x:c>
      <x:c r="J511" s="79" t="n">
        <x:v>7.329770276092202e-25</x:v>
      </x:c>
      <x:c r="K511" s="81" t="n">
        <x:v>-1</x:v>
      </x:c>
      <x:c r="L511" s="81" t="n">
        <x:v>-1</x:v>
      </x:c>
      <x:c r="M511" s="80" t="n">
        <x:v>0.000002</x:v>
      </x:c>
      <x:c r="N511" s="82" t="n">
        <x:v>0.17962976654152155</x:v>
      </x:c>
      <x:c r="O511" s="82" t="n">
        <x:v>0.0489853254808711</x:v>
      </x:c>
      <x:c r="P511" s="80" t="n">
        <x:v>559.581025200059</x:v>
      </x:c>
      <x:c r="Q511" s="81" t="n">
        <x:v>79573742.90228675</x:v>
      </x:c>
      <x:c r="R511" s="81" t="n">
        <x:v>11.735421010814207</x:v>
      </x:c>
      <x:c r="S511" s="81" t="n">
        <x:v>5.559206838069499e-10</x:v>
      </x:c>
      <x:c r="T511" s="81" t="n">
        <x:v>1.5877882667519543e-20</x:v>
      </x:c>
    </x:row>
    <x:row r="512">
      <x:c r="A512" s="59" t="n">
        <x:v>509</x:v>
      </x:c>
      <x:c r="B512" s="193" t="n">
        <x:v>0.5121998503804207</x:v>
      </x:c>
      <x:c r="C512" s="83" t="n">
        <x:v>2.5820592186769415</x:v>
      </x:c>
      <x:c r="D512" s="83" t="n">
        <x:v>0.7102037344338464</x:v>
      </x:c>
      <x:c r="E512" s="81" t="n">
        <x:v>0.11504916525087579</x:v>
      </x:c>
      <x:c r="F512" s="81" t="n">
        <x:v>0.8161329465918243</x:v>
      </x:c>
      <x:c r="G512" s="81" t="n">
        <x:v>-0.03839583164605904</x:v>
      </x:c>
      <x:c r="H512" s="59" t="n">
        <x:v>0</x:v>
      </x:c>
      <x:c r="I512" s="81" t="n">
        <x:v>0</x:v>
      </x:c>
      <x:c r="J512" s="79" t="n">
        <x:v>0.006020117121285015</x:v>
      </x:c>
      <x:c r="K512" s="81" t="n">
        <x:v>5.880133852897161</x:v>
      </x:c>
      <x:c r="L512" s="81" t="n">
        <x:v>-0.7288767416049422</x:v>
      </x:c>
      <x:c r="M512" s="80" t="n">
        <x:v>60189.19633579889</x:v>
      </x:c>
      <x:c r="N512" s="82" t="n">
        <x:v>0.224109358107811</x:v>
      </x:c>
      <x:c r="O512" s="82" t="n">
        <x:v>0.17277935318536058</x:v>
      </x:c>
      <x:c r="P512" s="80" t="n">
        <x:v>77633.25998554236</x:v>
      </x:c>
      <x:c r="Q512" s="81" t="n">
        <x:v>0.0038244091782799828</x:v>
      </x:c>
      <x:c r="R512" s="81" t="n">
        <x:v>126.50549982636376</x:v>
      </x:c>
      <x:c r="S512" s="81" t="n">
        <x:v>46.874803158226165</x:v>
      </x:c>
      <x:c r="T512" s="81" t="n">
        <x:v>130.40888008218744</x:v>
      </x:c>
    </x:row>
    <x:row r="513">
      <x:c r="A513" s="59" t="n">
        <x:v>510</x:v>
      </x:c>
      <x:c r="B513" s="193" t="n">
        <x:v>0.5673870872706175</x:v>
      </x:c>
      <x:c r="C513" s="83" t="n">
        <x:v>0.8499504558335831</x:v>
      </x:c>
      <x:c r="D513" s="83" t="n">
        <x:v>2.177573191790013</x:v>
      </x:c>
      <x:c r="E513" s="81" t="n">
        <x:v>-0.025809228628804016</x:v>
      </x:c>
      <x:c r="F513" s="81" t="n">
        <x:v>0.8928119668038562</x:v>
      </x:c>
      <x:c r="G513" s="81" t="n">
        <x:v>-0.0023022156846546934</x:v>
      </x:c>
      <x:c r="H513" s="59" t="n">
        <x:v>0</x:v>
      </x:c>
      <x:c r="I513" s="81" t="n">
        <x:v>0</x:v>
      </x:c>
      <x:c r="J513" s="79" t="n">
        <x:v>3.4975172471063734e-30</x:v>
      </x:c>
      <x:c r="K513" s="81" t="n">
        <x:v>-1</x:v>
      </x:c>
      <x:c r="L513" s="81" t="n">
        <x:v>-1</x:v>
      </x:c>
      <x:c r="M513" s="80" t="n">
        <x:v>0.000002</x:v>
      </x:c>
      <x:c r="N513" s="82" t="n">
        <x:v>0.23725599269574732</x:v>
      </x:c>
      <x:c r="O513" s="82" t="n">
        <x:v>0.20010048226968966</x:v>
      </x:c>
      <x:c r="P513" s="80" t="n">
        <x:v>1072.648528148201</x:v>
      </x:c>
      <x:c r="Q513" s="81" t="n">
        <x:v>22957601512995.723</x:v>
      </x:c>
      <x:c r="R513" s="81" t="n">
        <x:v>4.068523659189145</x:v>
      </x:c>
      <x:c r="S513" s="81" t="n">
        <x:v>1.0026238488091426e-9</x:v>
      </x:c>
      <x:c r="T513" s="81" t="n">
        <x:v>7.576385941905391e-26</x:v>
      </x:c>
    </x:row>
    <x:row r="514">
      <x:c r="A514" s="59" t="n">
        <x:v>511</x:v>
      </x:c>
      <x:c r="B514" s="193" t="n">
        <x:v>0.594962358660996</x:v>
      </x:c>
      <x:c r="C514" s="83" t="n">
        <x:v>0.31465711063744517</x:v>
      </x:c>
      <x:c r="D514" s="83" t="n">
        <x:v>0.3504035983541492</x:v>
      </x:c>
      <x:c r="E514" s="81" t="n">
        <x:v>0.014886614098244513</x:v>
      </x:c>
      <x:c r="F514" s="81" t="n">
        <x:v>0.458971911505796</x:v>
      </x:c>
      <x:c r="G514" s="81" t="n">
        <x:v>-0.025098761584969043</x:v>
      </x:c>
      <x:c r="H514" s="59" t="n">
        <x:v>0</x:v>
      </x:c>
      <x:c r="I514" s="81" t="n">
        <x:v>0</x:v>
      </x:c>
      <x:c r="J514" s="79" t="n">
        <x:v>0.000010942689050984698</x:v>
      </x:c>
      <x:c r="K514" s="81" t="n">
        <x:v>-0.9874940696560175</x:v>
      </x:c>
      <x:c r="L514" s="81" t="n">
        <x:v>-0.9874940696560175</x:v>
      </x:c>
      <x:c r="M514" s="80" t="n">
        <x:v>754.3579415837941</x:v>
      </x:c>
      <x:c r="N514" s="82" t="n">
        <x:v>0.24382493937727426</x:v>
      </x:c>
      <x:c r="O514" s="82" t="n">
        <x:v>0.10571464965185967</x:v>
      </x:c>
      <x:c r="P514" s="80" t="n">
        <x:v>1081.2758425515415</x:v>
      </x:c>
      <x:c r="Q514" s="81" t="n">
        <x:v>0.010542042317509631</x:v>
      </x:c>
      <x:c r="R514" s="81" t="n">
        <x:v>40.23713035798288</x:v>
      </x:c>
      <x:c r="S514" s="81" t="n">
        <x:v>0.7114204900817888</x:v>
      </x:c>
      <x:c r="T514" s="81" t="n">
        <x:v>0.23704253513292545</x:v>
      </x:c>
    </x:row>
    <x:row r="515">
      <x:c r="A515" s="59" t="n">
        <x:v>512</x:v>
      </x:c>
      <x:c r="B515" s="193" t="n">
        <x:v>0.259139265678823</x:v>
      </x:c>
      <x:c r="C515" s="83" t="n">
        <x:v>1.3536528986869805</x:v>
      </x:c>
      <x:c r="D515" s="83" t="n">
        <x:v>1.0480556846700722</x:v>
      </x:c>
      <x:c r="E515" s="81" t="n">
        <x:v>0.0633484481595987</x:v>
      </x:c>
      <x:c r="F515" s="81" t="n">
        <x:v>0.7646102700731717</x:v>
      </x:c>
      <x:c r="G515" s="81" t="n">
        <x:v>-0.016893585711114663</x:v>
      </x:c>
      <x:c r="H515" s="59" t="n">
        <x:v>0</x:v>
      </x:c>
      <x:c r="I515" s="81" t="n">
        <x:v>0</x:v>
      </x:c>
      <x:c r="J515" s="79" t="n">
        <x:v>0.005910686520722304</x:v>
      </x:c>
      <x:c r="K515" s="81" t="n">
        <x:v>5.7550703093969195</x:v>
      </x:c>
      <x:c r="L515" s="81" t="n">
        <x:v>-0.6889354339729332</x:v>
      </x:c>
      <x:c r="M515" s="80" t="n">
        <x:v>38530.68871501989</x:v>
      </x:c>
      <x:c r="N515" s="82" t="n">
        <x:v>0.16382558194592717</x:v>
      </x:c>
      <x:c r="O515" s="82" t="n">
        <x:v>0.11832943429447759</x:v>
      </x:c>
      <x:c r="P515" s="80" t="n">
        <x:v>71324.08457843779</x:v>
      </x:c>
      <x:c r="Q515" s="81" t="n">
        <x:v>0.004554560834890831</x:v>
      </x:c>
      <x:c r="R515" s="81" t="n">
        <x:v>150.030838797425</x:v>
      </x:c>
      <x:c r="S515" s="81" t="n">
        <x:v>87.52251598623016</x:v>
      </x:c>
      <x:c r="T515" s="81" t="n">
        <x:v>128.0383743630133</x:v>
      </x:c>
    </x:row>
    <x:row r="516">
      <x:c r="A516" s="59" t="n">
        <x:v>513</x:v>
      </x:c>
      <x:c r="B516" s="193" t="n">
        <x:v>0.707352856732905</x:v>
      </x:c>
      <x:c r="C516" s="83" t="n">
        <x:v>2.951780901355277</x:v>
      </x:c>
      <x:c r="D516" s="83" t="n">
        <x:v>1.004390352015534</x:v>
      </x:c>
      <x:c r="E516" s="81" t="n">
        <x:v>0.021519844595196548</x:v>
      </x:c>
      <x:c r="F516" s="81" t="n">
        <x:v>0.5130487099057064</x:v>
      </x:c>
      <x:c r="G516" s="81" t="n">
        <x:v>-0.034365257426295946</x:v>
      </x:c>
      <x:c r="H516" s="59" t="n">
        <x:v>0</x:v>
      </x:c>
      <x:c r="I516" s="81" t="n">
        <x:v>0</x:v>
      </x:c>
      <x:c r="J516" s="79" t="n">
        <x:v>0.0008208125578592249</x:v>
      </x:c>
      <x:c r="K516" s="81" t="n">
        <x:v>-0.06192850530374283</x:v>
      </x:c>
      <x:c r="L516" s="81" t="n">
        <x:v>-0.6788055766851786</x:v>
      </x:c>
      <x:c r="M516" s="80" t="n">
        <x:v>20611.313747287204</x:v>
      </x:c>
      <x:c r="N516" s="82" t="n">
        <x:v>0.27059846333984194</x:v>
      </x:c>
      <x:c r="O516" s="82" t="n">
        <x:v>0.1311459452708215</x:v>
      </x:c>
      <x:c r="P516" s="80" t="n">
        <x:v>42778.44466647598</x:v>
      </x:c>
      <x:c r="Q516" s="81" t="n">
        <x:v>0.012896557584925496</x:v>
      </x:c>
      <x:c r="R516" s="81" t="n">
        <x:v>17.325087612445248</x:v>
      </x:c>
      <x:c r="S516" s="81" t="n">
        <x:v>6.694783329852148</x:v>
      </x:c>
      <x:c r="T516" s="81" t="n">
        <x:v>17.780592016948816</x:v>
      </x:c>
    </x:row>
    <x:row r="517">
      <x:c r="A517" s="59" t="n">
        <x:v>514</x:v>
      </x:c>
      <x:c r="B517" s="193" t="n">
        <x:v>0.9836884524673224</x:v>
      </x:c>
      <x:c r="C517" s="83" t="n">
        <x:v>0.9712988704188369</x:v>
      </x:c>
      <x:c r="D517" s="83" t="n">
        <x:v>0.9611279709424775</x:v>
      </x:c>
      <x:c r="E517" s="81" t="n">
        <x:v>0.06551152562891069</x:v>
      </x:c>
      <x:c r="F517" s="81" t="n">
        <x:v>0.37600649577798323</x:v>
      </x:c>
      <x:c r="G517" s="81" t="n">
        <x:v>0.03298463762682227</x:v>
      </x:c>
      <x:c r="H517" s="59" t="n">
        <x:v>0</x:v>
      </x:c>
      <x:c r="I517" s="81" t="n">
        <x:v>0</x:v>
      </x:c>
      <x:c r="J517" s="79" t="n">
        <x:v>0.011745256957237623</x:v>
      </x:c>
      <x:c r="K517" s="81" t="n">
        <x:v>12.42315080827157</x:v>
      </x:c>
      <x:c r="L517" s="81" t="n">
        <x:v>-0.6634470956181086</x:v>
      </x:c>
      <x:c r="M517" s="80" t="n">
        <x:v>48172.63222043735</x:v>
      </x:c>
      <x:c r="N517" s="82" t="n">
        <x:v>0.3364267835362</x:v>
      </x:c>
      <x:c r="O517" s="82" t="n">
        <x:v>0.11949695891640352</x:v>
      </x:c>
      <x:c r="P517" s="80" t="n">
        <x:v>83839.64030154549</x:v>
      </x:c>
      <x:c r="Q517" s="81" t="n">
        <x:v>0.004579533581754027</x:v>
      </x:c>
      <x:c r="R517" s="81" t="n">
        <x:v>153.87655028806498</x:v>
      </x:c>
      <x:c r="S517" s="81" t="n">
        <x:v>240.57061628133596</x:v>
      </x:c>
      <x:c r="T517" s="81" t="n">
        <x:v>254.4279081640085</x:v>
      </x:c>
    </x:row>
    <x:row r="518">
      <x:c r="A518" s="59" t="n">
        <x:v>515</x:v>
      </x:c>
      <x:c r="B518" s="193" t="n">
        <x:v>0.5400617018342018</x:v>
      </x:c>
      <x:c r="C518" s="83" t="n">
        <x:v>0.20359964056908697</x:v>
      </x:c>
      <x:c r="D518" s="83" t="n">
        <x:v>0.4621243911029879</x:v>
      </x:c>
      <x:c r="E518" s="81" t="n">
        <x:v>-0.0061174637655008034</x:v>
      </x:c>
      <x:c r="F518" s="81" t="n">
        <x:v>0.6767212859936991</x:v>
      </x:c>
      <x:c r="G518" s="81" t="n">
        <x:v>-0.024109686369319275</x:v>
      </x:c>
      <x:c r="H518" s="59" t="n">
        <x:v>0</x:v>
      </x:c>
      <x:c r="I518" s="81" t="n">
        <x:v>0</x:v>
      </x:c>
      <x:c r="J518" s="79" t="n">
        <x:v>6.96532464389446e-8</x:v>
      </x:c>
      <x:c r="K518" s="81" t="n">
        <x:v>-0.999920396289784</x:v>
      </x:c>
      <x:c r="L518" s="81" t="n">
        <x:v>-0.999920396289784</x:v>
      </x:c>
      <x:c r="M518" s="80" t="n">
        <x:v>54.45326965003641</x:v>
      </x:c>
      <x:c r="N518" s="82" t="n">
        <x:v>0.23074657353381617</x:v>
      </x:c>
      <x:c r="O518" s="82" t="n">
        <x:v>0.1475081579955476</x:v>
      </x:c>
      <x:c r="P518" s="80" t="n">
        <x:v>586.8101378814957</x:v>
      </x:c>
      <x:c r="Q518" s="81" t="n">
        <x:v>0.08051259303757782</x:v>
      </x:c>
      <x:c r="R518" s="81" t="n">
        <x:v>37.837657757743266</x:v>
      </x:c>
      <x:c r="S518" s="81" t="n">
        <x:v>0.013202225476781763</x:v>
      </x:c>
      <x:c r="T518" s="81" t="n">
        <x:v>0.0015088413861709872</x:v>
      </x:c>
    </x:row>
    <x:row r="519">
      <x:c r="A519" s="59" t="n">
        <x:v>516</x:v>
      </x:c>
      <x:c r="B519" s="193" t="n">
        <x:v>0.6925485551357269</x:v>
      </x:c>
      <x:c r="C519" s="83" t="n">
        <x:v>0.12348289984335223</x:v>
      </x:c>
      <x:c r="D519" s="83" t="n">
        <x:v>0.40957317788739644</x:v>
      </x:c>
      <x:c r="E519" s="81" t="n">
        <x:v>-0.06239310077707783</x:v>
      </x:c>
      <x:c r="F519" s="81" t="n">
        <x:v>0.3835222934023477</x:v>
      </x:c>
      <x:c r="G519" s="81" t="n">
        <x:v>0.005508968025461657</x:v>
      </x:c>
      <x:c r="H519" s="59" t="n">
        <x:v>0</x:v>
      </x:c>
      <x:c r="I519" s="81" t="n">
        <x:v>0</x:v>
      </x:c>
      <x:c r="J519" s="79" t="n">
        <x:v>1.5077369671556995e-20</x:v>
      </x:c>
      <x:c r="K519" s="81" t="n">
        <x:v>-1</x:v>
      </x:c>
      <x:c r="L519" s="81" t="n">
        <x:v>-1</x:v>
      </x:c>
      <x:c r="M519" s="80" t="n">
        <x:v>0.000024675063503818893</x:v>
      </x:c>
      <x:c r="N519" s="82" t="n">
        <x:v>0.2670718011187393</x:v>
      </x:c>
      <x:c r="O519" s="82" t="n">
        <x:v>0.09675860332315185</x:v>
      </x:c>
      <x:c r="P519" s="80" t="n">
        <x:v>229.161215388057</x:v>
      </x:c>
      <x:c r="Q519" s="81" t="n">
        <x:v>28147.908246759715</x:v>
      </x:c>
      <x:c r="R519" s="81" t="n">
        <x:v>36.32120567349603</x:v>
      </x:c>
      <x:c r="S519" s="81" t="n">
        <x:v>4.4402427173012e-9</x:v>
      </x:c>
      <x:c r="T519" s="81" t="n">
        <x:v>3.266087442885478e-16</x:v>
      </x:c>
    </x:row>
    <x:row r="520">
      <x:c r="A520" s="59" t="n">
        <x:v>517</x:v>
      </x:c>
      <x:c r="B520" s="193" t="n">
        <x:v>0.6988280631601811</x:v>
      </x:c>
      <x:c r="C520" s="83" t="n">
        <x:v>1.1956084830897573</x:v>
      </x:c>
      <x:c r="D520" s="83" t="n">
        <x:v>0.28752606102969536</x:v>
      </x:c>
      <x:c r="E520" s="81" t="n">
        <x:v>-0.041710268021740986</x:v>
      </x:c>
      <x:c r="F520" s="81" t="n">
        <x:v>0.5158992311684415</x:v>
      </x:c>
      <x:c r="G520" s="81" t="n">
        <x:v>0.010088192715132472</x:v>
      </x:c>
      <x:c r="H520" s="59" t="n">
        <x:v>0</x:v>
      </x:c>
      <x:c r="I520" s="81" t="n">
        <x:v>0</x:v>
      </x:c>
      <x:c r="J520" s="79" t="n">
        <x:v>1.3932034897826396e-12</x:v>
      </x:c>
      <x:c r="K520" s="81" t="n">
        <x:v>-0.9999999984077674</x:v>
      </x:c>
      <x:c r="L520" s="81" t="n">
        <x:v>-0.9999999984077674</x:v>
      </x:c>
      <x:c r="M520" s="80" t="n">
        <x:v>0.4514183799564746</x:v>
      </x:c>
      <x:c r="N520" s="82" t="n">
        <x:v>0.26856769767093946</x:v>
      </x:c>
      <x:c r="O520" s="82" t="n">
        <x:v>0.13088491601007016</x:v>
      </x:c>
      <x:c r="P520" s="80" t="n">
        <x:v>555.9714162882356</x:v>
      </x:c>
      <x:c r="Q520" s="81" t="n">
        <x:v>8.16761085321763</x:v>
      </x:c>
      <x:c r="R520" s="81" t="n">
        <x:v>6.502919746212659</x:v>
      </x:c>
      <x:c r="S520" s="81" t="n">
        <x:v>0.00003006266318533368</x:v>
      </x:c>
      <x:c r="T520" s="81" t="n">
        <x:v>3.0179829257269964e-8</x:v>
      </x:c>
    </x:row>
    <x:row r="521">
      <x:c r="A521" s="59" t="n">
        <x:v>518</x:v>
      </x:c>
      <x:c r="B521" s="193" t="n">
        <x:v>0.5839783653616906</x:v>
      </x:c>
      <x:c r="C521" s="83" t="n">
        <x:v>0.27918336193490423</x:v>
      </x:c>
      <x:c r="D521" s="83" t="n">
        <x:v>1.172790875063725</x:v>
      </x:c>
      <x:c r="E521" s="81" t="n">
        <x:v>0.08592575818966398</x:v>
      </x:c>
      <x:c r="F521" s="81" t="n">
        <x:v>0.76686540072551</x:v>
      </x:c>
      <x:c r="G521" s="81" t="n">
        <x:v>-0.03537437980053797</x:v>
      </x:c>
      <x:c r="H521" s="59" t="n">
        <x:v>0</x:v>
      </x:c>
      <x:c r="I521" s="81" t="n">
        <x:v>0</x:v>
      </x:c>
      <x:c r="J521" s="79" t="n">
        <x:v>0.001307111922519042</x:v>
      </x:c>
      <x:c r="K521" s="81" t="n">
        <x:v>0.49384219716461963</x:v>
      </x:c>
      <x:c r="L521" s="81" t="n">
        <x:v>-0.8284832272553563</x:v>
      </x:c>
      <x:c r="M521" s="80" t="n">
        <x:v>10604.219394861502</x:v>
      </x:c>
      <x:c r="N521" s="82" t="n">
        <x:v>0.2412083462235052</x:v>
      </x:c>
      <x:c r="O521" s="82" t="n">
        <x:v>0.17473601084470322</x:v>
      </x:c>
      <x:c r="P521" s="80" t="n">
        <x:v>21629.556044903085</x:v>
      </x:c>
      <x:c r="Q521" s="81" t="n">
        <x:v>0.005059315226688429</x:v>
      </x:c>
      <x:c r="R521" s="81" t="n">
        <x:v>375.7566771397244</x:v>
      </x:c>
      <x:c r="S521" s="81" t="n">
        <x:v>89.88562522458696</x:v>
      </x:c>
      <x:c r="T521" s="81" t="n">
        <x:v>28.314897953579713</x:v>
      </x:c>
    </x:row>
    <x:row r="522">
      <x:c r="A522" s="59" t="n">
        <x:v>519</x:v>
      </x:c>
      <x:c r="B522" s="193" t="n">
        <x:v>0.8402607556432486</x:v>
      </x:c>
      <x:c r="C522" s="83" t="n">
        <x:v>0.9878705077093756</x:v>
      </x:c>
      <x:c r="D522" s="83" t="n">
        <x:v>0.48831204826989966</x:v>
      </x:c>
      <x:c r="E522" s="81" t="n">
        <x:v>-0.041588879224695126</x:v>
      </x:c>
      <x:c r="F522" s="81" t="n">
        <x:v>0.6450679132482038</x:v>
      </x:c>
      <x:c r="G522" s="81" t="n">
        <x:v>-0.003548986647850713</x:v>
      </x:c>
      <x:c r="H522" s="59" t="n">
        <x:v>0</x:v>
      </x:c>
      <x:c r="I522" s="81" t="n">
        <x:v>0</x:v>
      </x:c>
      <x:c r="J522" s="79" t="n">
        <x:v>8.690076120770421e-17</x:v>
      </x:c>
      <x:c r="K522" s="81" t="n">
        <x:v>-0.9999999999999006</x:v>
      </x:c>
      <x:c r="L522" s="81" t="n">
        <x:v>-0.9999999999999006</x:v>
      </x:c>
      <x:c r="M522" s="80" t="n">
        <x:v>0.0032736093996705673</x:v>
      </x:c>
      <x:c r="N522" s="82" t="n">
        <x:v>0.3022596168833901</x:v>
      </x:c>
      <x:c r="O522" s="82" t="n">
        <x:v>0.1841859545995528</x:v>
      </x:c>
      <x:c r="P522" s="80" t="n">
        <x:v>551.9237324760375</x:v>
      </x:c>
      <x:c r="Q522" s="81" t="n">
        <x:v>952.978666226183</x:v>
      </x:c>
      <x:c r="R522" s="81" t="n">
        <x:v>5.597675221368852</x:v>
      </x:c>
      <x:c r="S522" s="81" t="n">
        <x:v>3.5029700280392155e-7</x:v>
      </x:c>
      <x:c r="T522" s="81" t="n">
        <x:v>1.8824602111673395e-12</x:v>
      </x:c>
    </x:row>
    <x:row r="523">
      <x:c r="A523" s="59" t="n">
        <x:v>520</x:v>
      </x:c>
      <x:c r="B523" s="193" t="n">
        <x:v>0.20678383186459542</x:v>
      </x:c>
      <x:c r="C523" s="83" t="n">
        <x:v>0.33959994982555475</x:v>
      </x:c>
      <x:c r="D523" s="83" t="n">
        <x:v>0.8253491869877974</x:v>
      </x:c>
      <x:c r="E523" s="81" t="n">
        <x:v>-0.01214999717369256</x:v>
      </x:c>
      <x:c r="F523" s="81" t="n">
        <x:v>0.33003360495204104</x:v>
      </x:c>
      <x:c r="G523" s="81" t="n">
        <x:v>0.011323531317625287</x:v>
      </x:c>
      <x:c r="H523" s="59" t="n">
        <x:v>0</x:v>
      </x:c>
      <x:c r="I523" s="81" t="n">
        <x:v>0</x:v>
      </x:c>
      <x:c r="J523" s="79" t="n">
        <x:v>3.4166303258866284e-11</x:v>
      </x:c>
      <x:c r="K523" s="81" t="n">
        <x:v>-0.9999999609527963</x:v>
      </x:c>
      <x:c r="L523" s="81" t="n">
        <x:v>-0.9999999609527963</x:v>
      </x:c>
      <x:c r="M523" s="80" t="n">
        <x:v>1.3575480153993833</x:v>
      </x:c>
      <x:c r="N523" s="82" t="n">
        <x:v>0.1513535359469941</x:v>
      </x:c>
      <x:c r="O523" s="82" t="n">
        <x:v>0.0471869249632831</x:v>
      </x:c>
      <x:c r="P523" s="80" t="n">
        <x:v>1223.4045054185754</x:v>
      </x:c>
      <x:c r="Q523" s="81" t="n">
        <x:v>3.335054830277318</x:v>
      </x:c>
      <x:c r="R523" s="81" t="n">
        <x:v>27.369794444889028</x:v>
      </x:c>
      <x:c r="S523" s="81" t="n">
        <x:v>0.0004315733821063275</x:v>
      </x:c>
      <x:c r="T523" s="81" t="n">
        <x:v>7.401167211155658e-7</x:v>
      </x:c>
    </x:row>
    <x:row r="524">
      <x:c r="A524" s="59" t="n">
        <x:v>521</x:v>
      </x:c>
      <x:c r="B524" s="193" t="n">
        <x:v>0.8402553830295802</x:v>
      </x:c>
      <x:c r="C524" s="83" t="n">
        <x:v>0.8392383596998501</x:v>
      </x:c>
      <x:c r="D524" s="83" t="n">
        <x:v>0.6199703280704902</x:v>
      </x:c>
      <x:c r="E524" s="81" t="n">
        <x:v>0.04148336409369756</x:v>
      </x:c>
      <x:c r="F524" s="81" t="n">
        <x:v>0.49441608012421057</x:v>
      </x:c>
      <x:c r="G524" s="81" t="n">
        <x:v>0.016677836086993494</x:v>
      </x:c>
      <x:c r="H524" s="59" t="n">
        <x:v>0</x:v>
      </x:c>
      <x:c r="I524" s="81" t="n">
        <x:v>0</x:v>
      </x:c>
      <x:c r="J524" s="79" t="n">
        <x:v>0.0007210825457598546</x:v>
      </x:c>
      <x:c r="K524" s="81" t="n">
        <x:v>-0.17590566198873758</x:v>
      </x:c>
      <x:c r="L524" s="81" t="n">
        <x:v>-0.7515653330541966</x:v>
      </x:c>
      <x:c r="M524" s="80" t="n">
        <x:v>9392.854395752058</x:v>
      </x:c>
      <x:c r="N524" s="82" t="n">
        <x:v>0.3022583370260778</x:v>
      </x:c>
      <x:c r="O524" s="82" t="n">
        <x:v>0.14116980588023922</x:v>
      </x:c>
      <x:c r="P524" s="80" t="n">
        <x:v>12264.886925493864</x:v>
      </x:c>
      <x:c r="Q524" s="81" t="n">
        <x:v>0.00748273801267424</x:v>
      </x:c>
      <x:c r="R524" s="81" t="n">
        <x:v>36.64852966041203</x:v>
      </x:c>
      <x:c r="S524" s="81" t="n">
        <x:v>17.710904889736117</x:v>
      </x:c>
      <x:c r="T524" s="81" t="n">
        <x:v>15.620222222401395</x:v>
      </x:c>
    </x:row>
    <x:row r="525">
      <x:c r="A525" s="59" t="n">
        <x:v>522</x:v>
      </x:c>
      <x:c r="B525" s="193" t="n">
        <x:v>0.7170853184536099</x:v>
      </x:c>
      <x:c r="C525" s="83" t="n">
        <x:v>2.7984691328394655</x:v>
      </x:c>
      <x:c r="D525" s="83" t="n">
        <x:v>0.322529170550919</x:v>
      </x:c>
      <x:c r="E525" s="81" t="n">
        <x:v>-0.11307788582320549</x:v>
      </x:c>
      <x:c r="F525" s="81" t="n">
        <x:v>0.852610400156118</x:v>
      </x:c>
      <x:c r="G525" s="81" t="n">
        <x:v>-0.013442642015500494</x:v>
      </x:c>
      <x:c r="H525" s="59" t="n">
        <x:v>83</x:v>
      </x:c>
      <x:c r="I525" s="81" t="n">
        <x:v>0.14426077092066408</x:v>
      </x:c>
      <x:c r="J525" s="79" t="n">
        <x:v>3.6024582218751534e-24</x:v>
      </x:c>
      <x:c r="K525" s="81" t="n">
        <x:v>-1</x:v>
      </x:c>
      <x:c r="L525" s="81" t="n">
        <x:v>-1</x:v>
      </x:c>
      <x:c r="M525" s="80" t="n">
        <x:v>0.000002</x:v>
      </x:c>
      <x:c r="N525" s="82" t="n">
        <x:v>0.27291691820537095</x:v>
      </x:c>
      <x:c r="O525" s="82" t="n">
        <x:v>0.21981231810301516</x:v>
      </x:c>
      <x:c r="P525" s="80" t="n">
        <x:v>493.14071040360835</x:v>
      </x:c>
      <x:c r="Q525" s="81" t="n">
        <x:v>5520059.03317245</x:v>
      </x:c>
      <x:c r="R525" s="81" t="n">
        <x:v>1.5930456178103671</x:v>
      </x:c>
      <x:c r="S525" s="81" t="n">
        <x:v>6.308890279268033e-11</x:v>
      </x:c>
      <x:c r="T525" s="81" t="n">
        <x:v>7.803711004169437e-20</x:v>
      </x:c>
    </x:row>
    <x:row r="526">
      <x:c r="A526" s="59" t="n">
        <x:v>523</x:v>
      </x:c>
      <x:c r="B526" s="193" t="n">
        <x:v>0.30361219830811026</x:v>
      </x:c>
      <x:c r="C526" s="83" t="n">
        <x:v>2.693073374998205</x:v>
      </x:c>
      <x:c r="D526" s="83" t="n">
        <x:v>0.3399686205719319</x:v>
      </x:c>
      <x:c r="E526" s="81" t="n">
        <x:v>0.0008407224432781876</x:v>
      </x:c>
      <x:c r="F526" s="81" t="n">
        <x:v>0.5790348587324843</x:v>
      </x:c>
      <x:c r="G526" s="81" t="n">
        <x:v>-0.014126707520368731</x:v>
      </x:c>
      <x:c r="H526" s="59" t="n">
        <x:v>0</x:v>
      </x:c>
      <x:c r="I526" s="81" t="n">
        <x:v>0</x:v>
      </x:c>
      <x:c r="J526" s="79" t="n">
        <x:v>0.000010780409770917805</x:v>
      </x:c>
      <x:c r="K526" s="81" t="n">
        <x:v>-0.9876795316903797</x:v>
      </x:c>
      <x:c r="L526" s="81" t="n">
        <x:v>-0.9876795316903797</x:v>
      </x:c>
      <x:c r="M526" s="80" t="n">
        <x:v>2065.512001005925</x:v>
      </x:c>
      <x:c r="N526" s="82" t="n">
        <x:v>0.1744198683657101</x:v>
      </x:c>
      <x:c r="O526" s="82" t="n">
        <x:v>0.09540510325657257</x:v>
      </x:c>
      <x:c r="P526" s="80" t="n">
        <x:v>3931.961598454023</x:v>
      </x:c>
      <x:c r="Q526" s="81" t="n">
        <x:v>0.024002877651112052</x:v>
      </x:c>
      <x:c r="R526" s="81" t="n">
        <x:v>6.276599334743807</x:v>
      </x:c>
      <x:c r="S526" s="81" t="n">
        <x:v>0.1448493338489825</x:v>
      </x:c>
      <x:c r="T526" s="81" t="n">
        <x:v>0.23352721163544007</x:v>
      </x:c>
    </x:row>
    <x:row r="527">
      <x:c r="A527" s="59" t="n">
        <x:v>524</x:v>
      </x:c>
      <x:c r="B527" s="193" t="n">
        <x:v>0.5331125009804965</x:v>
      </x:c>
      <x:c r="C527" s="83" t="n">
        <x:v>0.5461064227844503</x:v>
      </x:c>
      <x:c r="D527" s="83" t="n">
        <x:v>0.26845086551593816</x:v>
      </x:c>
      <x:c r="E527" s="81" t="n">
        <x:v>-0.07440436101764016</x:v>
      </x:c>
      <x:c r="F527" s="81" t="n">
        <x:v>0.25428431095788256</x:v>
      </x:c>
      <x:c r="G527" s="81" t="n">
        <x:v>-0.04538182661109007</x:v>
      </x:c>
      <x:c r="H527" s="59" t="n">
        <x:v>0</x:v>
      </x:c>
      <x:c r="I527" s="81" t="n">
        <x:v>0</x:v>
      </x:c>
      <x:c r="J527" s="79" t="n">
        <x:v>1.2740695992911907e-13</x:v>
      </x:c>
      <x:c r="K527" s="81" t="n">
        <x:v>-0.999999999854392</x:v>
      </x:c>
      <x:c r="L527" s="81" t="n">
        <x:v>-0.999999999854392</x:v>
      </x:c>
      <x:c r="M527" s="80" t="n">
        <x:v>0.09646369598577118</x:v>
      </x:c>
      <x:c r="N527" s="82" t="n">
        <x:v>0.2290911435929476</x:v>
      </x:c>
      <x:c r="O527" s="82" t="n">
        <x:v>0.05502991063783208</x:v>
      </x:c>
      <x:c r="P527" s="80" t="n">
        <x:v>282.0524362065257</x:v>
      </x:c>
      <x:c r="Q527" s="81" t="n">
        <x:v>11.041947584362212</x:v>
      </x:c>
      <x:c r="R527" s="81" t="n">
        <x:v>11.711254583688262</x:v>
      </x:c>
      <x:c r="S527" s="81" t="n">
        <x:v>0.0000042672994441926745</x:v>
      </x:c>
      <x:c r="T527" s="81" t="n">
        <x:v>2.759912909383069e-9</x:v>
      </x:c>
    </x:row>
    <x:row r="528">
      <x:c r="A528" s="59" t="n">
        <x:v>525</x:v>
      </x:c>
      <x:c r="B528" s="193" t="n">
        <x:v>0.8335094507783651</x:v>
      </x:c>
      <x:c r="C528" s="83" t="n">
        <x:v>0.32013143557953505</x:v>
      </x:c>
      <x:c r="D528" s="83" t="n">
        <x:v>0.40145881651144044</x:v>
      </x:c>
      <x:c r="E528" s="81" t="n">
        <x:v>-0.048025260063268356</x:v>
      </x:c>
      <x:c r="F528" s="81" t="n">
        <x:v>0.8603802601224743</x:v>
      </x:c>
      <x:c r="G528" s="81" t="n">
        <x:v>-0.01289394013406455</x:v>
      </x:c>
      <x:c r="H528" s="59" t="n">
        <x:v>0</x:v>
      </x:c>
      <x:c r="I528" s="81" t="n">
        <x:v>0</x:v>
      </x:c>
      <x:c r="J528" s="79" t="n">
        <x:v>5.413172258606554e-16</x:v>
      </x:c>
      <x:c r="K528" s="81" t="n">
        <x:v>-0.9999999999993814</x:v>
      </x:c>
      <x:c r="L528" s="81" t="n">
        <x:v>-0.9999999999993814</x:v>
      </x:c>
      <x:c r="M528" s="80" t="n">
        <x:v>0.005411370733972084</x:v>
      </x:c>
      <x:c r="N528" s="82" t="n">
        <x:v>0.3006513294776086</x:v>
      </x:c>
      <x:c r="O528" s="82" t="n">
        <x:v>0.24435684448066017</x:v>
      </x:c>
      <x:c r="P528" s="80" t="n">
        <x:v>258.64049994700093</x:v>
      </x:c>
      <x:c r="Q528" s="81" t="n">
        <x:v>220.34476413848444</x:v>
      </x:c>
      <x:c r="R528" s="81" t="n">
        <x:v>12.944972621386595</x:v>
      </x:c>
      <x:c r="S528" s="81" t="n">
        <x:v>6.356015002973948e-7</x:v>
      </x:c>
      <x:c r="T528" s="81" t="n">
        <x:v>1.1726112926290769e-11</x:v>
      </x:c>
    </x:row>
    <x:row r="529">
      <x:c r="A529" s="59" t="n">
        <x:v>526</x:v>
      </x:c>
      <x:c r="B529" s="193" t="n">
        <x:v>0.7027082731947303</x:v>
      </x:c>
      <x:c r="C529" s="83" t="n">
        <x:v>2.7219616333574743</x:v>
      </x:c>
      <x:c r="D529" s="83" t="n">
        <x:v>0.586792283295847</x:v>
      </x:c>
      <x:c r="E529" s="81" t="n">
        <x:v>0.08536088326497274</x:v>
      </x:c>
      <x:c r="F529" s="81" t="n">
        <x:v>0.8167363049462438</x:v>
      </x:c>
      <x:c r="G529" s="81" t="n">
        <x:v>0.05379318832312065</x:v>
      </x:c>
      <x:c r="H529" s="59" t="n">
        <x:v>69</x:v>
      </x:c>
      <x:c r="I529" s="81" t="n">
        <x:v>0.2044289717450738</x:v>
      </x:c>
      <x:c r="J529" s="79" t="n">
        <x:v>0.013402920740857584</x:v>
      </x:c>
      <x:c r="K529" s="81" t="n">
        <x:v>14.31762370383724</x:v>
      </x:c>
      <x:c r="L529" s="81" t="n">
        <x:v>-0.7393997764000477</x:v>
      </x:c>
      <x:c r="M529" s="80" t="n">
        <x:v>94816.91183405404</x:v>
      </x:c>
      <x:c r="N529" s="82" t="n">
        <x:v>0.2694920364551068</x:v>
      </x:c>
      <x:c r="O529" s="82" t="n">
        <x:v>0.20792118373304314</x:v>
      </x:c>
      <x:c r="P529" s="80" t="n">
        <x:v>110363.28467440196</x:v>
      </x:c>
      <x:c r="Q529" s="81" t="n">
        <x:v>0.006191191520675456</x:v>
      </x:c>
      <x:c r="R529" s="81" t="n">
        <x:v>41.39177291005462</x:v>
      </x:c>
      <x:c r="S529" s="81" t="n">
        <x:v>104.63424971155614</x:v>
      </x:c>
      <x:c r="T529" s="81" t="n">
        <x:v>290.3365247605802</x:v>
      </x:c>
    </x:row>
    <x:row r="530">
      <x:c r="A530" s="59" t="n">
        <x:v>527</x:v>
      </x:c>
      <x:c r="B530" s="193" t="n">
        <x:v>0.4018186302855611</x:v>
      </x:c>
      <x:c r="C530" s="83" t="n">
        <x:v>0.21608175139034141</x:v>
      </x:c>
      <x:c r="D530" s="83" t="n">
        <x:v>1.3706724611335268</x:v>
      </x:c>
      <x:c r="E530" s="81" t="n">
        <x:v>0.04744508794056767</x:v>
      </x:c>
      <x:c r="F530" s="81" t="n">
        <x:v>0.6302552466280759</x:v>
      </x:c>
      <x:c r="G530" s="81" t="n">
        <x:v>0.021980681612296167</x:v>
      </x:c>
      <x:c r="H530" s="59" t="n">
        <x:v>0</x:v>
      </x:c>
      <x:c r="I530" s="81" t="n">
        <x:v>0</x:v>
      </x:c>
      <x:c r="J530" s="79" t="n">
        <x:v>0.0038455270017403727</x:v>
      </x:c>
      <x:c r="K530" s="81" t="n">
        <x:v>3.394888001988998</x:v>
      </x:c>
      <x:c r="L530" s="81" t="n">
        <x:v>-0.7428481799160996</x:v>
      </x:c>
      <x:c r="M530" s="80" t="n">
        <x:v>16879.15109262331</x:v>
      </x:c>
      <x:c r="N530" s="82" t="n">
        <x:v>0.19781448183333852</x:v>
      </x:c>
      <x:c r="O530" s="82" t="n">
        <x:v>0.11777293395161428</x:v>
      </x:c>
      <x:c r="P530" s="80" t="n">
        <x:v>41124.80268471025</x:v>
      </x:c>
      <x:c r="Q530" s="81" t="n">
        <x:v>0.006028182768865439</x:v>
      </x:c>
      <x:c r="R530" s="81" t="n">
        <x:v>391.06484273057123</x:v>
      </x:c>
      <x:c r="S530" s="81" t="n">
        <x:v>341.69906196904594</x:v>
      </x:c>
      <x:c r="T530" s="81" t="n">
        <x:v>83.30251048599683</x:v>
      </x:c>
    </x:row>
    <x:row r="531">
      <x:c r="A531" s="59" t="n">
        <x:v>528</x:v>
      </x:c>
      <x:c r="B531" s="193" t="n">
        <x:v>0.9011865882202983</x:v>
      </x:c>
      <x:c r="C531" s="83" t="n">
        <x:v>0.6199606839507799</x:v>
      </x:c>
      <x:c r="D531" s="83" t="n">
        <x:v>0.4218265867840326</x:v>
      </x:c>
      <x:c r="E531" s="81" t="n">
        <x:v>0.02102962201357644</x:v>
      </x:c>
      <x:c r="F531" s="81" t="n">
        <x:v>0.5907444418291561</x:v>
      </x:c>
      <x:c r="G531" s="81" t="n">
        <x:v>0.049117590762556534</x:v>
      </x:c>
      <x:c r="H531" s="59" t="n">
        <x:v>0</x:v>
      </x:c>
      <x:c r="I531" s="81" t="n">
        <x:v>0</x:v>
      </x:c>
      <x:c r="J531" s="79" t="n">
        <x:v>0.00007632450968755487</x:v>
      </x:c>
      <x:c r="K531" s="81" t="n">
        <x:v>-0.9127719889285087</x:v>
      </x:c>
      <x:c r="L531" s="81" t="n">
        <x:v>-0.9613087503872665</x:v>
      </x:c>
      <x:c r="M531" s="80" t="n">
        <x:v>2527.207283655133</x:v>
      </x:c>
      <x:c r="N531" s="82" t="n">
        <x:v>0.3167732925626043</x:v>
      </x:c>
      <x:c r="O531" s="82" t="n">
        <x:v>0.1767743075424126</x:v>
      </x:c>
      <x:c r="P531" s="80" t="n">
        <x:v>2992.905891270872</x:v>
      </x:c>
      <x:c r="Q531" s="81" t="n">
        <x:v>0.016624990801565046</x:v>
      </x:c>
      <x:c r="R531" s="81" t="n">
        <x:v>20.22799198817931</x:v>
      </x:c>
      <x:c r="S531" s="81" t="n">
        <x:v>2.8108062311505586</x:v>
      </x:c>
      <x:c r="T531" s="81" t="n">
        <x:v>1.653355512965753</x:v>
      </x:c>
    </x:row>
    <x:row r="532">
      <x:c r="A532" s="59" t="n">
        <x:v>529</x:v>
      </x:c>
      <x:c r="B532" s="193" t="n">
        <x:v>0.6011056244373322</x:v>
      </x:c>
      <x:c r="C532" s="83" t="n">
        <x:v>0.24270261392440298</x:v>
      </x:c>
      <x:c r="D532" s="83" t="n">
        <x:v>0.343632962996345</x:v>
      </x:c>
      <x:c r="E532" s="81" t="n">
        <x:v>-0.1605011112370575</x:v>
      </x:c>
      <x:c r="F532" s="81" t="n">
        <x:v>0.5965403820504435</x:v>
      </x:c>
      <x:c r="G532" s="81" t="n">
        <x:v>-0.008859965094895774</x:v>
      </x:c>
      <x:c r="H532" s="59" t="n">
        <x:v>81</x:v>
      </x:c>
      <x:c r="I532" s="81" t="n">
        <x:v>0.4125950910151005</x:v>
      </x:c>
      <x:c r="J532" s="79" t="n">
        <x:v>4.071602951051378e-29</x:v>
      </x:c>
      <x:c r="K532" s="81" t="n">
        <x:v>-1</x:v>
      </x:c>
      <x:c r="L532" s="81" t="n">
        <x:v>-1</x:v>
      </x:c>
      <x:c r="M532" s="80" t="n">
        <x:v>0.000002</x:v>
      </x:c>
      <x:c r="N532" s="82" t="n">
        <x:v>0.24528838047143056</x:v>
      </x:c>
      <x:c r="O532" s="82" t="n">
        <x:v>0.13822537143827027</x:v>
      </x:c>
      <x:c r="P532" s="80" t="n">
        <x:v>117.33607723801885</x:v>
      </x:c>
      <x:c r="Q532" s="81" t="n">
        <x:v>358754120290.9445</x:v>
      </x:c>
      <x:c r="R532" s="81" t="n">
        <x:v>9.826128615764674</x:v>
      </x:c>
      <x:c r="S532" s="81" t="n">
        <x:v>2.1737408850189577e-10</x:v>
      </x:c>
      <x:c r="T532" s="81" t="n">
        <x:v>8.819980912142149e-25</x:v>
      </x:c>
    </x:row>
    <x:row r="533">
      <x:c r="A533" s="59" t="n">
        <x:v>530</x:v>
      </x:c>
      <x:c r="B533" s="193" t="n">
        <x:v>0.41250020526349546</x:v>
      </x:c>
      <x:c r="C533" s="83" t="n">
        <x:v>0.12147899316834103</x:v>
      </x:c>
      <x:c r="D533" s="83" t="n">
        <x:v>0.8374014967945644</x:v>
      </x:c>
      <x:c r="E533" s="81" t="n">
        <x:v>0.02680434446486238</x:v>
      </x:c>
      <x:c r="F533" s="81" t="n">
        <x:v>0.494602630333975</x:v>
      </x:c>
      <x:c r="G533" s="81" t="n">
        <x:v>0.021990842290592998</x:v>
      </x:c>
      <x:c r="H533" s="59" t="n">
        <x:v>0</x:v>
      </x:c>
      <x:c r="I533" s="81" t="n">
        <x:v>0</x:v>
      </x:c>
      <x:c r="J533" s="79" t="n">
        <x:v>0.0005160095151789152</x:v>
      </x:c>
      <x:c r="K533" s="81" t="n">
        <x:v>-0.4102748397955255</x:v>
      </x:c>
      <x:c r="L533" s="81" t="n">
        <x:v>-0.7925369322868699</x:v>
      </x:c>
      <x:c r="M533" s="80" t="n">
        <x:v>4794.391928324352</x:v>
      </x:c>
      <x:c r="N533" s="82" t="n">
        <x:v>0.20035903327261337</x:v>
      </x:c>
      <x:c r="O533" s="82" t="n">
        <x:v>0.09361302755277448</x:v>
      </x:c>
      <x:c r="P533" s="80" t="n">
        <x:v>8628.543093100647</x:v>
      </x:c>
      <x:c r="Q533" s="81" t="n">
        <x:v>0.007497677868491583</x:v>
      </x:c>
      <x:c r="R533" s="81" t="n">
        <x:v>200.8942900419241</x:v>
      </x:c>
      <x:c r="S533" s="81" t="n">
        <x:v>80.95945847330336</x:v>
      </x:c>
      <x:c r="T533" s="81" t="n">
        <x:v>11.17789266064496</x:v>
      </x:c>
    </x:row>
    <x:row r="534">
      <x:c r="A534" s="59" t="n">
        <x:v>531</x:v>
      </x:c>
      <x:c r="B534" s="193" t="n">
        <x:v>0.9795887790620328</x:v>
      </x:c>
      <x:c r="C534" s="83" t="n">
        <x:v>0.1287693346639581</x:v>
      </x:c>
      <x:c r="D534" s="83" t="n">
        <x:v>0.4393061355061857</x:v>
      </x:c>
      <x:c r="E534" s="81" t="n">
        <x:v>-0.04080355800708023</x:v>
      </x:c>
      <x:c r="F534" s="81" t="n">
        <x:v>0.7716592579032294</x:v>
      </x:c>
      <x:c r="G534" s="81" t="n">
        <x:v>-0.01793715631196685</x:v>
      </x:c>
      <x:c r="H534" s="59" t="n">
        <x:v>0</x:v>
      </x:c>
      <x:c r="I534" s="81" t="n">
        <x:v>0</x:v>
      </x:c>
      <x:c r="J534" s="79" t="n">
        <x:v>4.1588201946485064e-15</x:v>
      </x:c>
      <x:c r="K534" s="81" t="n">
        <x:v>-0.999999999995247</x:v>
      </x:c>
      <x:c r="L534" s="81" t="n">
        <x:v>-0.999999999995247</x:v>
      </x:c>
      <x:c r="M534" s="80" t="n">
        <x:v>0.012786855248075121</x:v>
      </x:c>
      <x:c r="N534" s="82" t="n">
        <x:v>0.3354501644621836</x:v>
      </x:c>
      <x:c r="O534" s="82" t="n">
        <x:v>0.24452570625634928</x:v>
      </x:c>
      <x:c r="P534" s="80" t="n">
        <x:v>236.88845462859257</x:v>
      </x:c>
      <x:c r="Q534" s="81" t="n">
        <x:v>79.20722925206685</x:v>
      </x:c>
      <x:c r="R534" s="81" t="n">
        <x:v>30.369978923384984</x:v>
      </x:c>
      <x:c r="S534" s="81" t="n">
        <x:v>0.0000017992888835305798</x:v>
      </x:c>
      <x:c r="T534" s="81" t="n">
        <x:v>9.008912503209418e-11</x:v>
      </x:c>
    </x:row>
    <x:row r="535">
      <x:c r="A535" s="59" t="n">
        <x:v>532</x:v>
      </x:c>
      <x:c r="B535" s="193" t="n">
        <x:v>0.2700643302872777</x:v>
      </x:c>
      <x:c r="C535" s="83" t="n">
        <x:v>0.13264007861887764</x:v>
      </x:c>
      <x:c r="D535" s="83" t="n">
        <x:v>0.9283651691111763</x:v>
      </x:c>
      <x:c r="E535" s="81" t="n">
        <x:v>0.04316346205038245</x:v>
      </x:c>
      <x:c r="F535" s="81" t="n">
        <x:v>0.5333679035189562</x:v>
      </x:c>
      <x:c r="G535" s="81" t="n">
        <x:v>-0.020443085857500053</x:v>
      </x:c>
      <x:c r="H535" s="59" t="n">
        <x:v>0</x:v>
      </x:c>
      <x:c r="I535" s="81" t="n">
        <x:v>0</x:v>
      </x:c>
      <x:c r="J535" s="79" t="n">
        <x:v>0.0008344690773810869</x:v>
      </x:c>
      <x:c r="K535" s="81" t="n">
        <x:v>-0.04632105442161483</x:v>
      </x:c>
      <x:c r="L535" s="81" t="n">
        <x:v>-0.7428008525457641</x:v>
      </x:c>
      <x:c r="M535" s="80" t="n">
        <x:v>6389.227591890625</x:v>
      </x:c>
      <x:c r="N535" s="82" t="n">
        <x:v>0.16642813718062247</x:v>
      </x:c>
      <x:c r="O535" s="82" t="n">
        <x:v>0.08385415205009</x:v>
      </x:c>
      <x:c r="P535" s="80" t="n">
        <x:v>11797.106018074333</x:v>
      </x:c>
      <x:c r="Q535" s="81" t="n">
        <x:v>0.004334457074081694</x:v>
      </x:c>
      <x:c r="R535" s="81" t="n">
        <x:v>389.7455879175356</x:v>
      </x:c>
      <x:c r="S535" s="81" t="n">
        <x:v>118.6681298585998</x:v>
      </x:c>
      <x:c r="T535" s="81" t="n">
        <x:v>18.07642204496767</x:v>
      </x:c>
    </x:row>
    <x:row r="536">
      <x:c r="A536" s="59" t="n">
        <x:v>533</x:v>
      </x:c>
      <x:c r="B536" s="193" t="n">
        <x:v>0.7945453070104123</x:v>
      </x:c>
      <x:c r="C536" s="83" t="n">
        <x:v>1.7127819411053573</x:v>
      </x:c>
      <x:c r="D536" s="83" t="n">
        <x:v>1.847385969586523</x:v>
      </x:c>
      <x:c r="E536" s="81" t="n">
        <x:v>0.08526851979491624</x:v>
      </x:c>
      <x:c r="F536" s="81" t="n">
        <x:v>0.5504573555663228</x:v>
      </x:c>
      <x:c r="G536" s="81" t="n">
        <x:v>0.0026225471084578046</x:v>
      </x:c>
      <x:c r="H536" s="59" t="n">
        <x:v>0</x:v>
      </x:c>
      <x:c r="I536" s="81" t="n">
        <x:v>0</x:v>
      </x:c>
      <x:c r="J536" s="79" t="n">
        <x:v>0.05467967754185566</x:v>
      </x:c>
      <x:c r="K536" s="81" t="n">
        <x:v>61.49106004783505</x:v>
      </x:c>
      <x:c r="L536" s="81" t="n">
        <x:v>-0.7766309647492333</x:v>
      </x:c>
      <x:c r="M536" s="80" t="n">
        <x:v>181178.52449948958</x:v>
      </x:c>
      <x:c r="N536" s="82" t="n">
        <x:v>0.2913693398543865</x:v>
      </x:c>
      <x:c r="O536" s="82" t="n">
        <x:v>0.15150901378816375</x:v>
      </x:c>
      <x:c r="P536" s="80" t="n">
        <x:v>468654.0650802198</x:v>
      </x:c>
      <x:c r="Q536" s="81" t="n">
        <x:v>0.0051173022536254165</x:v>
      </x:c>
      <x:c r="R536" s="81" t="n">
        <x:v>617.2688636360328</x:v>
      </x:c>
      <x:c r="S536" s="81" t="n">
        <x:v>651.909912965735</x:v>
      </x:c>
      <x:c r="T536" s="81" t="n">
        <x:v>1184.4811932772593</x:v>
      </x:c>
    </x:row>
    <x:row r="537">
      <x:c r="A537" s="59" t="n">
        <x:v>534</x:v>
      </x:c>
      <x:c r="B537" s="193" t="n">
        <x:v>0.4344018485397101</x:v>
      </x:c>
      <x:c r="C537" s="83" t="n">
        <x:v>1.2731593634976464</x:v>
      </x:c>
      <x:c r="D537" s="83" t="n">
        <x:v>0.322535240642433</x:v>
      </x:c>
      <x:c r="E537" s="81" t="n">
        <x:v>-0.14192498532759174</x:v>
      </x:c>
      <x:c r="F537" s="81" t="n">
        <x:v>0.6282654508715495</x:v>
      </x:c>
      <x:c r="G537" s="81" t="n">
        <x:v>-0.05</x:v>
      </x:c>
      <x:c r="H537" s="59" t="n">
        <x:v>0</x:v>
      </x:c>
      <x:c r="I537" s="81" t="n">
        <x:v>0</x:v>
      </x:c>
      <x:c r="J537" s="79" t="n">
        <x:v>5.091339566016044e-24</x:v>
      </x:c>
      <x:c r="K537" s="81" t="n">
        <x:v>-1</x:v>
      </x:c>
      <x:c r="L537" s="81" t="n">
        <x:v>-1</x:v>
      </x:c>
      <x:c r="M537" s="80" t="n">
        <x:v>0.000002</x:v>
      </x:c>
      <x:c r="N537" s="82" t="n">
        <x:v>0.20557641535681875</x:v>
      </x:c>
      <x:c r="O537" s="82" t="n">
        <x:v>0.122007747361893</x:v>
      </x:c>
      <x:c r="P537" s="80" t="n">
        <x:v>246.4331810779424</x:v>
      </x:c>
      <x:c r="Q537" s="81" t="n">
        <x:v>3192577.5477183876</x:v>
      </x:c>
      <x:c r="R537" s="81" t="n">
        <x:v>2.645597279814611</x:v>
      </x:c>
      <x:c r="S537" s="81" t="n">
        <x:v>6.659197985273095e-11</x:v>
      </x:c>
      <x:c r="T537" s="81" t="n">
        <x:v>1.102895305100906e-19</x:v>
      </x:c>
    </x:row>
    <x:row r="538">
      <x:c r="A538" s="59" t="n">
        <x:v>535</x:v>
      </x:c>
      <x:c r="B538" s="193" t="n">
        <x:v>0.5994663637131452</x:v>
      </x:c>
      <x:c r="C538" s="83" t="n">
        <x:v>0.27367028898308154</x:v>
      </x:c>
      <x:c r="D538" s="83" t="n">
        <x:v>1.193947793189459</x:v>
      </x:c>
      <x:c r="E538" s="81" t="n">
        <x:v>-0.06583830114342722</x:v>
      </x:c>
      <x:c r="F538" s="81" t="n">
        <x:v>0.8995721181621775</x:v>
      </x:c>
      <x:c r="G538" s="81" t="n">
        <x:v>0.030111279565211053</x:v>
      </x:c>
      <x:c r="H538" s="59" t="n">
        <x:v>0</x:v>
      </x:c>
      <x:c r="I538" s="81" t="n">
        <x:v>0</x:v>
      </x:c>
      <x:c r="J538" s="79" t="n">
        <x:v>8.604471293471508e-41</x:v>
      </x:c>
      <x:c r="K538" s="81" t="n">
        <x:v>-1</x:v>
      </x:c>
      <x:c r="L538" s="81" t="n">
        <x:v>-1</x:v>
      </x:c>
      <x:c r="M538" s="80" t="n">
        <x:v>0.000002</x:v>
      </x:c>
      <x:c r="N538" s="82" t="n">
        <x:v>0.24489787783079084</x:v>
      </x:c>
      <x:c r="O538" s="82" t="n">
        <x:v>0.208109521090641</x:v>
      </x:c>
      <x:c r="P538" s="80" t="n">
        <x:v>303.78118291315803</x:v>
      </x:c>
      <x:c r="Q538" s="81" t="n">
        <x:v>3.800872641709735e+23</x:v>
      </x:c>
      <x:c r="R538" s="81" t="n">
        <x:v>6.377045268749084</x:v>
      </x:c>
      <x:c r="S538" s="81" t="n">
        <x:v>1.1781199064014904e-9</x:v>
      </x:c>
      <x:c r="T538" s="81" t="n">
        <x:v>1.8639163366333874e-36</x:v>
      </x:c>
    </x:row>
    <x:row r="539">
      <x:c r="A539" s="59" t="n">
        <x:v>536</x:v>
      </x:c>
      <x:c r="B539" s="193" t="n">
        <x:v>0.34030593987554314</x:v>
      </x:c>
      <x:c r="C539" s="83" t="n">
        <x:v>0.11665428044927614</x:v>
      </x:c>
      <x:c r="D539" s="83" t="n">
        <x:v>0.8705752892427183</x:v>
      </x:c>
      <x:c r="E539" s="81" t="n">
        <x:v>0.08662721972267969</x:v>
      </x:c>
      <x:c r="F539" s="81" t="n">
        <x:v>0.8515433606575243</x:v>
      </x:c>
      <x:c r="G539" s="81" t="n">
        <x:v>-0.022892272701303354</x:v>
      </x:c>
      <x:c r="H539" s="59" t="n">
        <x:v>13</x:v>
      </x:c>
      <x:c r="I539" s="81" t="n">
        <x:v>0.16830256562680007</x:v>
      </x:c>
      <x:c r="J539" s="79" t="n">
        <x:v>0.0009893528228698048</x:v>
      </x:c>
      <x:c r="K539" s="81" t="n">
        <x:v>0.13068894042263413</x:v>
      </x:c>
      <x:c r="L539" s="81" t="n">
        <x:v>-0.8070490938189838</x:v>
      </x:c>
      <x:c r="M539" s="80" t="n">
        <x:v>7643.923497623085</x:v>
      </x:c>
      <x:c r="N539" s="82" t="n">
        <x:v>0.1831610056147272</x:v>
      </x:c>
      <x:c r="O539" s="82" t="n">
        <x:v>0.14733662870995307</x:v>
      </x:c>
      <x:c r="P539" s="80" t="n">
        <x:v>12029.248476743938</x:v>
      </x:c>
      <x:c r="Q539" s="81" t="n">
        <x:v>0.004162602346079184</x:v>
      </x:c>
      <x:c r="R539" s="81" t="n">
        <x:v>433.5719107601562</x:v>
      </x:c>
      <x:c r="S539" s="81" t="n">
        <x:v>159.5926158197263</x:v>
      </x:c>
      <x:c r="T539" s="81" t="n">
        <x:v>21.43154211741684</x:v>
      </x:c>
    </x:row>
    <x:row r="540">
      <x:c r="A540" s="59" t="n">
        <x:v>537</x:v>
      </x:c>
      <x:c r="B540" s="193" t="n">
        <x:v>0.706163988634944</x:v>
      </x:c>
      <x:c r="C540" s="83" t="n">
        <x:v>0.13103532491381786</x:v>
      </x:c>
      <x:c r="D540" s="83" t="n">
        <x:v>0.30134467067626625</x:v>
      </x:c>
      <x:c r="E540" s="81" t="n">
        <x:v>0.07712825954283371</x:v>
      </x:c>
      <x:c r="F540" s="81" t="n">
        <x:v>0.6560512127471156</x:v>
      </x:c>
      <x:c r="G540" s="81" t="n">
        <x:v>0.02071314421038266</x:v>
      </x:c>
      <x:c r="H540" s="59" t="n">
        <x:v>0</x:v>
      </x:c>
      <x:c r="I540" s="81" t="n">
        <x:v>0</x:v>
      </x:c>
      <x:c r="J540" s="79" t="n">
        <x:v>0.00017195549461045782</x:v>
      </x:c>
      <x:c r="K540" s="81" t="n">
        <x:v>-0.8034794347309053</x:v>
      </x:c>
      <x:c r="L540" s="81" t="n">
        <x:v>-0.9071321663350355</x:v>
      </x:c>
      <x:c r="M540" s="80" t="n">
        <x:v>2803.3615907208346</x:v>
      </x:c>
      <x:c r="N540" s="82" t="n">
        <x:v>0.27031525266763057</x:v>
      </x:c>
      <x:c r="O540" s="82" t="n">
        <x:v>0.1675248493876204</x:v>
      </x:c>
      <x:c r="P540" s="80" t="n">
        <x:v>1991.7866264486556</x:v>
      </x:c>
      <x:c r="Q540" s="81" t="n">
        <x:v>0.004819711493190937</x:v>
      </x:c>
      <x:c r="R540" s="81" t="n">
        <x:v>118.00807283869148</x:v>
      </x:c>
      <x:c r="S540" s="81" t="n">
        <x:v>24.81466614113934</x:v>
      </x:c>
      <x:c r="T540" s="81" t="n">
        <x:v>3.724931429796142</x:v>
      </x:c>
    </x:row>
    <x:row r="541">
      <x:c r="A541" s="59" t="n">
        <x:v>538</x:v>
      </x:c>
      <x:c r="B541" s="193" t="n">
        <x:v>0.8699321422725916</x:v>
      </x:c>
      <x:c r="C541" s="83" t="n">
        <x:v>1.0563466881940047</x:v>
      </x:c>
      <x:c r="D541" s="83" t="n">
        <x:v>1.8898914644114553</x:v>
      </x:c>
      <x:c r="E541" s="81" t="n">
        <x:v>-0.02128134200902386</x:v>
      </x:c>
      <x:c r="F541" s="81" t="n">
        <x:v>0.7013614090741612</x:v>
      </x:c>
      <x:c r="G541" s="81" t="n">
        <x:v>0.01586710218551037</x:v>
      </x:c>
      <x:c r="H541" s="59" t="n">
        <x:v>0</x:v>
      </x:c>
      <x:c r="I541" s="81" t="n">
        <x:v>0</x:v>
      </x:c>
      <x:c r="J541" s="79" t="n">
        <x:v>4.2884882572307884e-27</x:v>
      </x:c>
      <x:c r="K541" s="81" t="n">
        <x:v>-1</x:v>
      </x:c>
      <x:c r="L541" s="81" t="n">
        <x:v>-1</x:v>
      </x:c>
      <x:c r="M541" s="80" t="n">
        <x:v>0.000002</x:v>
      </x:c>
      <x:c r="N541" s="82" t="n">
        <x:v>0.30932789751699863</x:v>
      </x:c>
      <x:c r="O541" s="82" t="n">
        <x:v>0.20494243769387888</x:v>
      </x:c>
      <x:c r="P541" s="80" t="n">
        <x:v>1347.185447136274</x:v>
      </x:c>
      <x:c r="Q541" s="81" t="n">
        <x:v>22606689134.821438</x:v>
      </x:c>
      <x:c r="R541" s="81" t="n">
        <x:v>4.386305474938788</x:v>
      </x:c>
      <x:c r="S541" s="81" t="n">
        <x:v>9.750499690637982e-10</x:v>
      </x:c>
      <x:c r="T541" s="81" t="n">
        <x:v>9.289801836142743e-23</x:v>
      </x:c>
    </x:row>
    <x:row r="542">
      <x:c r="A542" s="59" t="n">
        <x:v>539</x:v>
      </x:c>
      <x:c r="B542" s="193" t="n">
        <x:v>0.9137718249112368</x:v>
      </x:c>
      <x:c r="C542" s="83" t="n">
        <x:v>0.5510501887393309</x:v>
      </x:c>
      <x:c r="D542" s="83" t="n">
        <x:v>0.5633395668338865</x:v>
      </x:c>
      <x:c r="E542" s="81" t="n">
        <x:v>0.05485045678021942</x:v>
      </x:c>
      <x:c r="F542" s="81" t="n">
        <x:v>0.3292289231903851</x:v>
      </x:c>
      <x:c r="G542" s="81" t="n">
        <x:v>-0.01641066482304574</x:v>
      </x:c>
      <x:c r="H542" s="59" t="n">
        <x:v>35</x:v>
      </x:c>
      <x:c r="I542" s="81" t="n">
        <x:v>0.3101792026311159</x:v>
      </x:c>
      <x:c r="J542" s="79" t="n">
        <x:v>0.0007027948844329838</x:v>
      </x:c>
      <x:c r="K542" s="81" t="n">
        <x:v>-0.19680584636230414</x:v>
      </x:c>
      <x:c r="L542" s="81" t="n">
        <x:v>-0.7274948406908528</x:v>
      </x:c>
      <x:c r="M542" s="80" t="n">
        <x:v>7801.659410949752</x:v>
      </x:c>
      <x:c r="N542" s="82" t="n">
        <x:v>0.3197713319155736</x:v>
      </x:c>
      <x:c r="O542" s="82" t="n">
        <x:v>0.09945083852706979</x:v>
      </x:c>
      <x:c r="P542" s="80" t="n">
        <x:v>8915.361424189226</x:v>
      </x:c>
      <x:c r="Q542" s="81" t="n">
        <x:v>0.00410997882885186</x:v>
      </x:c>
      <x:c r="R542" s="81" t="n">
        <x:v>76.69201404469533</x:v>
      </x:c>
      <x:c r="S542" s="81" t="n">
        <x:v>24.747450110311927</x:v>
      </x:c>
      <x:c r="T542" s="81" t="n">
        <x:v>15.224071552088443</x:v>
      </x:c>
    </x:row>
    <x:row r="543">
      <x:c r="A543" s="59" t="n">
        <x:v>540</x:v>
      </x:c>
      <x:c r="B543" s="193" t="n">
        <x:v>0.536098157055676</x:v>
      </x:c>
      <x:c r="C543" s="83" t="n">
        <x:v>1.7174553307411284</x:v>
      </x:c>
      <x:c r="D543" s="83" t="n">
        <x:v>0.3656377132491261</x:v>
      </x:c>
      <x:c r="E543" s="81" t="n">
        <x:v>0.1363483408462709</x:v>
      </x:c>
      <x:c r="F543" s="81" t="n">
        <x:v>0.6661411163862795</x:v>
      </x:c>
      <x:c r="G543" s="81" t="n">
        <x:v>0.009106273543499075</x:v>
      </x:c>
      <x:c r="H543" s="59" t="n">
        <x:v>0</x:v>
      </x:c>
      <x:c r="I543" s="81" t="n">
        <x:v>0</x:v>
      </x:c>
      <x:c r="J543" s="79" t="n">
        <x:v>0.005229494647716494</x:v>
      </x:c>
      <x:c r="K543" s="81" t="n">
        <x:v>4.976565311675993</x:v>
      </x:c>
      <x:c r="L543" s="81" t="n">
        <x:v>-0.643172366694285</x:v>
      </x:c>
      <x:c r="M543" s="80" t="n">
        <x:v>40799.6273110711</x:v>
      </x:c>
      <x:c r="N543" s="82" t="n">
        <x:v>0.2298023828511071</x:v>
      </x:c>
      <x:c r="O543" s="82" t="n">
        <x:v>0.14460779701167473</x:v>
      </x:c>
      <x:c r="P543" s="80" t="n">
        <x:v>29345.054922714266</x:v>
      </x:c>
      <x:c r="Q543" s="81" t="n">
        <x:v>0.0026845890464366096</x:v>
      </x:c>
      <x:c r="R543" s="81" t="n">
        <x:v>63.294563060613854</x:v>
      </x:c>
      <x:c r="S543" s="81" t="n">
        <x:v>59.540483900583006</x:v>
      </x:c>
      <x:c r="T543" s="81" t="n">
        <x:v>113.28227120254627</x:v>
      </x:c>
    </x:row>
    <x:row r="544">
      <x:c r="A544" s="59" t="n">
        <x:v>541</x:v>
      </x:c>
      <x:c r="B544" s="193" t="n">
        <x:v>0.31580771245062356</x:v>
      </x:c>
      <x:c r="C544" s="83" t="n">
        <x:v>2.358276777507206</x:v>
      </x:c>
      <x:c r="D544" s="83" t="n">
        <x:v>1.6924132185969991</x:v>
      </x:c>
      <x:c r="E544" s="81" t="n">
        <x:v>0.07242550510652618</x:v>
      </x:c>
      <x:c r="F544" s="81" t="n">
        <x:v>0.3911419913289137</x:v>
      </x:c>
      <x:c r="G544" s="81" t="n">
        <x:v>0.010220519311331413</x:v>
      </x:c>
      <x:c r="H544" s="59" t="n">
        <x:v>0</x:v>
      </x:c>
      <x:c r="I544" s="81" t="n">
        <x:v>0</x:v>
      </x:c>
      <x:c r="J544" s="79" t="n">
        <x:v>0.2980807623899449</x:v>
      </x:c>
      <x:c r="K544" s="81" t="n">
        <x:v>339.6637284456514</x:v>
      </x:c>
      <x:c r="L544" s="81" t="n">
        <x:v>-0.6688192771663732</x:v>
      </x:c>
      <x:c r="M544" s="80" t="n">
        <x:v>483317.38703038334</x:v>
      </x:c>
      <x:c r="N544" s="82" t="n">
        <x:v>0.1773250685003469</x:v>
      </x:c>
      <x:c r="O544" s="82" t="n">
        <x:v>0.06552024618761883</x:v>
      </x:c>
      <x:c r="P544" s="80" t="n">
        <x:v>1211416.121141567</x:v>
      </x:c>
      <x:c r="Q544" s="81" t="n">
        <x:v>0.0026862678085067242</x:v>
      </x:c>
      <x:c r="R544" s="81" t="n">
        <x:v>1401.7483830557603</x:v>
      </x:c>
      <x:c r="S544" s="81" t="n">
        <x:v>2473.9942010321915</x:v>
      </x:c>
      <x:c r="T544" s="81" t="n">
        <x:v>6457.080089003299</x:v>
      </x:c>
    </x:row>
    <x:row r="545">
      <x:c r="A545" s="59" t="n">
        <x:v>542</x:v>
      </x:c>
      <x:c r="B545" s="193" t="n">
        <x:v>0.8633829450234771</x:v>
      </x:c>
      <x:c r="C545" s="83" t="n">
        <x:v>0.1871613475249252</x:v>
      </x:c>
      <x:c r="D545" s="83" t="n">
        <x:v>0.38466769243888416</x:v>
      </x:c>
      <x:c r="E545" s="81" t="n">
        <x:v>0.08584677777897964</x:v>
      </x:c>
      <x:c r="F545" s="81" t="n">
        <x:v>0.3258102588588372</x:v>
      </x:c>
      <x:c r="G545" s="81" t="n">
        <x:v>-0.017548764542043127</x:v>
      </x:c>
      <x:c r="H545" s="59" t="n">
        <x:v>0</x:v>
      </x:c>
      <x:c r="I545" s="81" t="n">
        <x:v>0</x:v>
      </x:c>
      <x:c r="J545" s="79" t="n">
        <x:v>0.0005096323821052273</x:v>
      </x:c>
      <x:c r="K545" s="81" t="n">
        <x:v>-0.4175629918797401</x:v>
      </x:c>
      <x:c r="L545" s="81" t="n">
        <x:v>-0.7700016961558636</x:v>
      </x:c>
      <x:c r="M545" s="80" t="n">
        <x:v>5123.246355423637</x:v>
      </x:c>
      <x:c r="N545" s="82" t="n">
        <x:v>0.30776775593481137</x:v>
      </x:c>
      <x:c r="O545" s="82" t="n">
        <x:v>0.0947237351171167</x:v>
      </x:c>
      <x:c r="P545" s="80" t="n">
        <x:v>4254.81805271919</x:v>
      </x:c>
      <x:c r="Q545" s="81" t="n">
        <x:v>0.0025050507062885675</x:v>
      </x:c>
      <x:c r="R545" s="81" t="n">
        <x:v>198.61167076868105</x:v>
      </x:c>
      <x:c r="S545" s="81" t="n">
        <x:v>51.19211832168372</x:v>
      </x:c>
      <x:c r="T545" s="81" t="n">
        <x:v>11.039750035589654</x:v>
      </x:c>
    </x:row>
    <x:row r="546">
      <x:c r="A546" s="59" t="n">
        <x:v>543</x:v>
      </x:c>
      <x:c r="B546" s="193" t="n">
        <x:v>0.6684664161875844</x:v>
      </x:c>
      <x:c r="C546" s="83" t="n">
        <x:v>0.9118889985783848</x:v>
      </x:c>
      <x:c r="D546" s="83" t="n">
        <x:v>1.7591612379206425</x:v>
      </x:c>
      <x:c r="E546" s="81" t="n">
        <x:v>-0.04295707588542112</x:v>
      </x:c>
      <x:c r="F546" s="81" t="n">
        <x:v>0.3915214413660578</x:v>
      </x:c>
      <x:c r="G546" s="81" t="n">
        <x:v>-0.02045679936889544</x:v>
      </x:c>
      <x:c r="H546" s="59" t="n">
        <x:v>0</x:v>
      </x:c>
      <x:c r="I546" s="81" t="n">
        <x:v>0</x:v>
      </x:c>
      <x:c r="J546" s="79" t="n">
        <x:v>2.633117062579004e-33</x:v>
      </x:c>
      <x:c r="K546" s="81" t="n">
        <x:v>-1</x:v>
      </x:c>
      <x:c r="L546" s="81" t="n">
        <x:v>-1</x:v>
      </x:c>
      <x:c r="M546" s="80" t="n">
        <x:v>0.000002</x:v>
      </x:c>
      <x:c r="N546" s="82" t="n">
        <x:v>0.2613349840811863</x:v>
      </x:c>
      <x:c r="O546" s="82" t="n">
        <x:v>0.0966549374089299</x:v>
      </x:c>
      <x:c r="P546" s="80" t="n">
        <x:v>744.021991835093</x:v>
      </x:c>
      <x:c r="Q546" s="81" t="n">
        <x:v>18627576586183476</x:v>
      </x:c>
      <x:c r="R546" s="81" t="n">
        <x:v>3.0027459055808</x:v>
      </x:c>
      <x:c r="S546" s="81" t="n">
        <x:v>6.268074415899759e-10</x:v>
      </x:c>
      <x:c r="T546" s="81" t="n">
        <x:v>5.703906424713062e-29</x:v>
      </x:c>
    </x:row>
    <x:row r="547">
      <x:c r="A547" s="59" t="n">
        <x:v>544</x:v>
      </x:c>
      <x:c r="B547" s="193" t="n">
        <x:v>0.6729436624795199</x:v>
      </x:c>
      <x:c r="C547" s="83" t="n">
        <x:v>2.8188832644377904</x:v>
      </x:c>
      <x:c r="D547" s="83" t="n">
        <x:v>1.1465452651763792</x:v>
      </x:c>
      <x:c r="E547" s="81" t="n">
        <x:v>0.12896743579963693</x:v>
      </x:c>
      <x:c r="F547" s="81" t="n">
        <x:v>0.6120650143013335</x:v>
      </x:c>
      <x:c r="G547" s="81" t="n">
        <x:v>-0.03408944533851238</x:v>
      </x:c>
      <x:c r="H547" s="59" t="n">
        <x:v>0</x:v>
      </x:c>
      <x:c r="I547" s="81" t="n">
        <x:v>0</x:v>
      </x:c>
      <x:c r="J547" s="79" t="n">
        <x:v>0.03852538944256596</x:v>
      </x:c>
      <x:c r="K547" s="81" t="n">
        <x:v>43.02901650578968</x:v>
      </x:c>
      <x:c r="L547" s="81" t="n">
        <x:v>-0.772085886063941</x:v>
      </x:c>
      <x:c r="M547" s="80" t="n">
        <x:v>192514.72816953226</x:v>
      </x:c>
      <x:c r="N547" s="82" t="n">
        <x:v>0.26240154809629324</x:v>
      </x:c>
      <x:c r="O547" s="82" t="n">
        <x:v>0.15171722502558466</x:v>
      </x:c>
      <x:c r="P547" s="80" t="n">
        <x:v>333412.6161268677</x:v>
      </x:c>
      <x:c r="Q547" s="81" t="n">
        <x:v>0.0033258268320667333</x:v>
      </x:c>
      <x:c r="R547" s="81" t="n">
        <x:v>557.404781361684</x:v>
      </x:c>
      <x:c r="S547" s="81" t="n">
        <x:v>272.12420069160936</x:v>
      </x:c>
      <x:c r="T547" s="81" t="n">
        <x:v>834.5440446950563</x:v>
      </x:c>
    </x:row>
    <x:row r="548">
      <x:c r="A548" s="59" t="n">
        <x:v>545</x:v>
      </x:c>
      <x:c r="B548" s="193" t="n">
        <x:v>0.20806466974318027</x:v>
      </x:c>
      <x:c r="C548" s="83" t="n">
        <x:v>0.37736061468861554</x:v>
      </x:c>
      <x:c r="D548" s="83" t="n">
        <x:v>0.33679925161832364</x:v>
      </x:c>
      <x:c r="E548" s="81" t="n">
        <x:v>-0.07447365787522353</x:v>
      </x:c>
      <x:c r="F548" s="81" t="n">
        <x:v>0.26319379940396176</x:v>
      </x:c>
      <x:c r="G548" s="81" t="n">
        <x:v>-0.05</x:v>
      </x:c>
      <x:c r="H548" s="59" t="n">
        <x:v>0</x:v>
      </x:c>
      <x:c r="I548" s="81" t="n">
        <x:v>0</x:v>
      </x:c>
      <x:c r="J548" s="79" t="n">
        <x:v>1.5508682165159637e-15</x:v>
      </x:c>
      <x:c r="K548" s="81" t="n">
        <x:v>-0.9999999999982275</x:v>
      </x:c>
      <x:c r="L548" s="81" t="n">
        <x:v>-0.9999999999982275</x:v>
      </x:c>
      <x:c r="M548" s="80" t="n">
        <x:v>0.009542107822253103</x:v>
      </x:c>
      <x:c r="N548" s="82" t="n">
        <x:v>0.15165865554538327</x:v>
      </x:c>
      <x:c r="O548" s="82" t="n">
        <x:v>0.037706289445706094</x:v>
      </x:c>
      <x:c r="P548" s="80" t="n">
        <x:v>268.8891478515526</x:v>
      </x:c>
      <x:c r="Q548" s="81" t="n">
        <x:v>89.66484342544001</x:v>
      </x:c>
      <x:c r="R548" s="81" t="n">
        <x:v>14.83232803479908</x:v>
      </x:c>
      <x:c r="S548" s="81" t="n">
        <x:v>5.621807893918649e-7</x:v>
      </x:c>
      <x:c r="T548" s="81" t="n">
        <x:v>3.359519145496889e-11</x:v>
      </x:c>
    </x:row>
    <x:row r="549">
      <x:c r="A549" s="59" t="n">
        <x:v>546</x:v>
      </x:c>
      <x:c r="B549" s="193" t="n">
        <x:v>0.6504074828699231</x:v>
      </x:c>
      <x:c r="C549" s="83" t="n">
        <x:v>1.1514125259390624</x:v>
      </x:c>
      <x:c r="D549" s="83" t="n">
        <x:v>0.6367285608557496</x:v>
      </x:c>
      <x:c r="E549" s="81" t="n">
        <x:v>-0.10335829955435069</x:v>
      </x:c>
      <x:c r="F549" s="81" t="n">
        <x:v>0.43258513220353056</x:v>
      </x:c>
      <x:c r="G549" s="81" t="n">
        <x:v>-0.03831677610940371</x:v>
      </x:c>
      <x:c r="H549" s="59" t="n">
        <x:v>67</x:v>
      </x:c>
      <x:c r="I549" s="81" t="n">
        <x:v>0.4332020305097103</x:v>
      </x:c>
      <x:c r="J549" s="79" t="n">
        <x:v>2.800782648442463e-29</x:v>
      </x:c>
      <x:c r="K549" s="81" t="n">
        <x:v>-1</x:v>
      </x:c>
      <x:c r="L549" s="81" t="n">
        <x:v>-1</x:v>
      </x:c>
      <x:c r="M549" s="80" t="n">
        <x:v>0.000002</x:v>
      </x:c>
      <x:c r="N549" s="82" t="n">
        <x:v>0.2570330075599196</x:v>
      </x:c>
      <x:c r="O549" s="82" t="n">
        <x:v>0.10503436848997927</x:v>
      </x:c>
      <x:c r="P549" s="80" t="n">
        <x:v>341.04566581462103</x:v>
      </x:c>
      <x:c r="Q549" s="81" t="n">
        <x:v>769992693776.013</x:v>
      </x:c>
      <x:c r="R549" s="81" t="n">
        <x:v>2.26683210320464</x:v>
      </x:c>
      <x:c r="S549" s="81" t="n">
        <x:v>1.6117260725268073e-10</x:v>
      </x:c>
      <x:c r="T549" s="81" t="n">
        <x:v>6.067106688765573e-25</x:v>
      </x:c>
    </x:row>
    <x:row r="550">
      <x:c r="A550" s="59" t="n">
        <x:v>547</x:v>
      </x:c>
      <x:c r="B550" s="193" t="n">
        <x:v>0.5066092399880291</x:v>
      </x:c>
      <x:c r="C550" s="83" t="n">
        <x:v>0.11891688532487481</x:v>
      </x:c>
      <x:c r="D550" s="83" t="n">
        <x:v>0.8410292632091224</x:v>
      </x:c>
      <x:c r="E550" s="81" t="n">
        <x:v>0.116906578951609</x:v>
      </x:c>
      <x:c r="F550" s="81" t="n">
        <x:v>0.3463313458254561</x:v>
      </x:c>
      <x:c r="G550" s="81" t="n">
        <x:v>-0.033189063692209524</x:v>
      </x:c>
      <x:c r="H550" s="59" t="n">
        <x:v>0</x:v>
      </x:c>
      <x:c r="I550" s="81" t="n">
        <x:v>0</x:v>
      </x:c>
      <x:c r="J550" s="79" t="n">
        <x:v>0.005714739167637635</x:v>
      </x:c>
      <x:c r="K550" s="81" t="n">
        <x:v>5.531130477300154</x:v>
      </x:c>
      <x:c r="L550" s="81" t="n">
        <x:v>-0.767134800689936</x:v>
      </x:c>
      <x:c r="M550" s="80" t="n">
        <x:v>19298.427338843267</x:v>
      </x:c>
      <x:c r="N550" s="82" t="n">
        <x:v>0.2227775698883983</x:v>
      </x:c>
      <x:c r="O550" s="82" t="n">
        <x:v>0.07288433651350419</x:v>
      </x:c>
      <x:c r="P550" s="80" t="n">
        <x:v>28114.284511151338</x:v>
      </x:c>
      <x:c r="Q550" s="81" t="n">
        <x:v>0.0016121959176919414</x:v>
      </x:c>
      <x:c r="R550" s="81" t="n">
        <x:v>2523.586135189873</x:v>
      </x:c>
      <x:c r="S550" s="81" t="n">
        <x:v>896.9395075235225</x:v>
      </x:c>
      <x:c r="T550" s="81" t="n">
        <x:v>123.7937268991802</x:v>
      </x:c>
    </x:row>
    <x:row r="551">
      <x:c r="A551" s="59" t="n">
        <x:v>548</x:v>
      </x:c>
      <x:c r="B551" s="193" t="n">
        <x:v>0.7161464348435402</x:v>
      </x:c>
      <x:c r="C551" s="83" t="n">
        <x:v>1.7438602771837801</x:v>
      </x:c>
      <x:c r="D551" s="83" t="n">
        <x:v>0.6711256302499171</x:v>
      </x:c>
      <x:c r="E551" s="81" t="n">
        <x:v>0.05889910564364854</x:v>
      </x:c>
      <x:c r="F551" s="81" t="n">
        <x:v>0.8292751663248055</x:v>
      </x:c>
      <x:c r="G551" s="81" t="n">
        <x:v>-0.016973939196676804</x:v>
      </x:c>
      <x:c r="H551" s="59" t="n">
        <x:v>0</x:v>
      </x:c>
      <x:c r="I551" s="81" t="n">
        <x:v>0</x:v>
      </x:c>
      <x:c r="J551" s="79" t="n">
        <x:v>0.0007962923385954895</x:v>
      </x:c>
      <x:c r="K551" s="81" t="n">
        <x:v>-0.08995161303372612</x:v>
      </x:c>
      <x:c r="L551" s="81" t="n">
        <x:v>-0.7488646345073843</x:v>
      </x:c>
      <x:c r="M551" s="80" t="n">
        <x:v>15135.696852750618</x:v>
      </x:c>
      <x:c r="N551" s="82" t="n">
        <x:v>0.2726932585253845</x:v>
      </x:c>
      <x:c r="O551" s="82" t="n">
        <x:v>0.21362102937046462</x:v>
      </x:c>
      <x:c r="P551" s="80" t="n">
        <x:v>20513.624424834423</x:v>
      </x:c>
      <x:c r="Q551" s="81" t="n">
        <x:v>0.008197290318734828</x:v>
      </x:c>
      <x:c r="R551" s="81" t="n">
        <x:v>29.82848959482207</x:v>
      </x:c>
      <x:c r="S551" s="81" t="n">
        <x:v>9.86654057800325</x:v>
      </x:c>
      <x:c r="T551" s="81" t="n">
        <x:v>17.249430534683356</x:v>
      </x:c>
    </x:row>
    <x:row r="552">
      <x:c r="A552" s="59" t="n">
        <x:v>549</x:v>
      </x:c>
      <x:c r="B552" s="193" t="n">
        <x:v>0.788680591247976</x:v>
      </x:c>
      <x:c r="C552" s="83" t="n">
        <x:v>0.5708770275979284</x:v>
      </x:c>
      <x:c r="D552" s="83" t="n">
        <x:v>2.751672210267032</x:v>
      </x:c>
      <x:c r="E552" s="81" t="n">
        <x:v>0.07341853766837929</x:v>
      </x:c>
      <x:c r="F552" s="81" t="n">
        <x:v>0.5311651903553867</x:v>
      </x:c>
      <x:c r="G552" s="81" t="n">
        <x:v>-0.01531812340945826</x:v>
      </x:c>
      <x:c r="H552" s="59" t="n">
        <x:v>0</x:v>
      </x:c>
      <x:c r="I552" s="81" t="n">
        <x:v>0</x:v>
      </x:c>
      <x:c r="J552" s="79" t="n">
        <x:v>0.023450287019580688</x:v>
      </x:c>
      <x:c r="K552" s="81" t="n">
        <x:v>25.800328022377933</x:v>
      </x:c>
      <x:c r="L552" s="81" t="n">
        <x:v>-0.8257690093421839</x:v>
      </x:c>
      <x:c r="M552" s="80" t="n">
        <x:v>72894.46882669997</x:v>
      </x:c>
      <x:c r="N552" s="82" t="n">
        <x:v>0.2899722545963538</x:v>
      </x:c>
      <x:c r="O552" s="82" t="n">
        <x:v>0.14549798980756848</x:v>
      </x:c>
      <x:c r="P552" s="80" t="n">
        <x:v>256545.67272336344</x:v>
      </x:c>
      <x:c r="Q552" s="81" t="n">
        <x:v>0.005758979176470591</x:v>
      </x:c>
      <x:c r="R552" s="81" t="n">
        <x:v>1191.14804839889</x:v>
      </x:c>
      <x:c r="S552" s="81" t="n">
        <x:v>811.4486800902541</x:v>
      </x:c>
      <x:c r="T552" s="81" t="n">
        <x:v>507.98441396047247</x:v>
      </x:c>
    </x:row>
    <x:row r="553">
      <x:c r="A553" s="59" t="n">
        <x:v>550</x:v>
      </x:c>
      <x:c r="B553" s="193" t="n">
        <x:v>0.5074237784370781</x:v>
      </x:c>
      <x:c r="C553" s="83" t="n">
        <x:v>0.5846531430648056</x:v>
      </x:c>
      <x:c r="D553" s="83" t="n">
        <x:v>0.42058590419781033</x:v>
      </x:c>
      <x:c r="E553" s="81" t="n">
        <x:v>-0.16844548033179688</x:v>
      </x:c>
      <x:c r="F553" s="81" t="n">
        <x:v>0.3533980066771619</x:v>
      </x:c>
      <x:c r="G553" s="81" t="n">
        <x:v>0.021690171962630064</x:v>
      </x:c>
      <x:c r="H553" s="59" t="n">
        <x:v>0</x:v>
      </x:c>
      <x:c r="I553" s="81" t="n">
        <x:v>0</x:v>
      </x:c>
      <x:c r="J553" s="79" t="n">
        <x:v>3.973074659709899e-37</x:v>
      </x:c>
      <x:c r="K553" s="81" t="n">
        <x:v>-1</x:v>
      </x:c>
      <x:c r="L553" s="81" t="n">
        <x:v>-1</x:v>
      </x:c>
      <x:c r="M553" s="80" t="n">
        <x:v>0.000002</x:v>
      </x:c>
      <x:c r="N553" s="82" t="n">
        <x:v>0.2229716082195576</x:v>
      </x:c>
      <x:c r="O553" s="82" t="n">
        <x:v>0.07443627020174759</x:v>
      </x:c>
      <x:c r="P553" s="80" t="n">
        <x:v>157.1790259077566</x:v>
      </x:c>
      <x:c r="Q553" s="81" t="n">
        <x:v>35270950652992050000</x:v>
      </x:c>
      <x:c r="R553" s="81" t="n">
        <x:v>3.6771400824996614</x:v>
      </x:c>
      <x:c r="S553" s="81" t="n">
        <x:v>3.0186196500368384e-10</x:v>
      </x:c>
      <x:c r="T553" s="81" t="n">
        <x:v>8.606547122210979e-33</x:v>
      </x:c>
    </x:row>
    <x:row r="554">
      <x:c r="A554" s="59" t="n">
        <x:v>551</x:v>
      </x:c>
      <x:c r="B554" s="193" t="n">
        <x:v>0.9884783059358597</x:v>
      </x:c>
      <x:c r="C554" s="83" t="n">
        <x:v>0.40540434879835774</x:v>
      </x:c>
      <x:c r="D554" s="83" t="n">
        <x:v>0.3606261883725561</x:v>
      </x:c>
      <x:c r="E554" s="81" t="n">
        <x:v>0.10910743685186586</x:v>
      </x:c>
      <x:c r="F554" s="81" t="n">
        <x:v>0.6415521695045754</x:v>
      </x:c>
      <x:c r="G554" s="81" t="n">
        <x:v>-0.012179331902151728</x:v>
      </x:c>
      <x:c r="H554" s="59" t="n">
        <x:v>43</x:v>
      </x:c>
      <x:c r="I554" s="81" t="n">
        <x:v>0.2045887427404523</x:v>
      </x:c>
      <x:c r="J554" s="79" t="n">
        <x:v>0.00025367091868975237</x:v>
      </x:c>
      <x:c r="K554" s="81" t="n">
        <x:v>-0.710090378640283</x:v>
      </x:c>
      <x:c r="L554" s="81" t="n">
        <x:v>-0.8560194207532139</x:v>
      </x:c>
      <x:c r="M554" s="80" t="n">
        <x:v>4396.999286335839</x:v>
      </x:c>
      <x:c r="N554" s="82" t="n">
        <x:v>0.33756781644215805</x:v>
      </x:c>
      <x:c r="O554" s="82" t="n">
        <x:v>0.20458036743691488</x:v>
      </x:c>
      <x:c r="P554" s="80" t="n">
        <x:v>3474.432485489825</x:v>
      </x:c>
      <x:c r="Q554" s="81" t="n">
        <x:v>0.004397498557075317</x:v>
      </x:c>
      <x:c r="R554" s="81" t="n">
        <x:v>62.40917082666887</x:v>
      </x:c>
      <x:c r="S554" s="81" t="n">
        <x:v>12.086638325421482</x:v>
      </x:c>
      <x:c r="T554" s="81" t="n">
        <x:v>5.495065918034664</x:v>
      </x:c>
    </x:row>
    <x:row r="555">
      <x:c r="A555" s="59" t="n">
        <x:v>552</x:v>
      </x:c>
      <x:c r="B555" s="193" t="n">
        <x:v>0.48024594131857157</x:v>
      </x:c>
      <x:c r="C555" s="83" t="n">
        <x:v>2.9776326803115842</x:v>
      </x:c>
      <x:c r="D555" s="83" t="n">
        <x:v>0.9042362682670112</x:v>
      </x:c>
      <x:c r="E555" s="81" t="n">
        <x:v>-0.023518492397093235</x:v>
      </x:c>
      <x:c r="F555" s="81" t="n">
        <x:v>0.5033827025676146</x:v>
      </x:c>
      <x:c r="G555" s="81" t="n">
        <x:v>-0.05</x:v>
      </x:c>
      <x:c r="H555" s="59" t="n">
        <x:v>0</x:v>
      </x:c>
      <x:c r="I555" s="81" t="n">
        <x:v>0</x:v>
      </x:c>
      <x:c r="J555" s="79" t="n">
        <x:v>7.484668408043548e-14</x:v>
      </x:c>
      <x:c r="K555" s="81" t="n">
        <x:v>-0.999999999914461</x:v>
      </x:c>
      <x:c r="L555" s="81" t="n">
        <x:v>-0.999999999914461</x:v>
      </x:c>
      <x:c r="M555" s="80" t="n">
        <x:v>0.1903598654179191</x:v>
      </x:c>
      <x:c r="N555" s="82" t="n">
        <x:v>0.2164973378334835</x:v>
      </x:c>
      <x:c r="O555" s="82" t="n">
        <x:v>0.102948918903688</x:v>
      </x:c>
      <x:c r="P555" s="80" t="n">
        <x:v>2387.9782925172995</x:v>
      </x:c>
      <x:c r="Q555" s="81" t="n">
        <x:v>111.79350020750948</x:v>
      </x:c>
      <x:c r="R555" s="81" t="n">
        <x:v>3.1569338740988817</x:v>
      </x:c>
      <x:c r="S555" s="81" t="n">
        <x:v>0.000010384498432719993</x:v>
      </x:c>
      <x:c r="T555" s="81" t="n">
        <x:v>1.6213425838983393e-9</x:v>
      </x:c>
    </x:row>
    <x:row r="556">
      <x:c r="A556" s="59" t="n">
        <x:v>553</x:v>
      </x:c>
      <x:c r="B556" s="193" t="n">
        <x:v>0.8704457607120275</x:v>
      </x:c>
      <x:c r="C556" s="83" t="n">
        <x:v>0.5182945574695009</x:v>
      </x:c>
      <x:c r="D556" s="83" t="n">
        <x:v>0.3107294859951918</x:v>
      </x:c>
      <x:c r="E556" s="81" t="n">
        <x:v>0.07896542124271179</x:v>
      </x:c>
      <x:c r="F556" s="81" t="n">
        <x:v>0.545898449223023</x:v>
      </x:c>
      <x:c r="G556" s="81" t="n">
        <x:v>-0.019413663717318033</x:v>
      </x:c>
      <x:c r="H556" s="59" t="n">
        <x:v>0</x:v>
      </x:c>
      <x:c r="I556" s="81" t="n">
        <x:v>0</x:v>
      </x:c>
      <x:c r="J556" s="79" t="n">
        <x:v>0.00015069896509541504</x:v>
      </x:c>
      <x:c r="K556" s="81" t="n">
        <x:v>-0.8277726113195256</x:v>
      </x:c>
      <x:c r="L556" s="81" t="n">
        <x:v>-0.8695932950205354</x:v>
      </x:c>
      <x:c r="M556" s="80" t="n">
        <x:v>3460.0627535581966</x:v>
      </x:c>
      <x:c r="N556" s="82" t="n">
        <x:v>0.3094502510596181</x:v>
      </x:c>
      <x:c r="O556" s="82" t="n">
        <x:v>0.15957822930675636</x:v>
      </x:c>
      <x:c r="P556" s="80" t="n">
        <x:v>2575.7941445810584</x:v>
      </x:c>
      <x:c r="Q556" s="81" t="n">
        <x:v>0.0043947875830682645</x:v>
      </x:c>
      <x:c r="R556" s="81" t="n">
        <x:v>41.97000707739531</x:v>
      </x:c>
      <x:c r="S556" s="81" t="n">
        <x:v>5.661465238077777</x:v>
      </x:c>
      <x:c r="T556" s="81" t="n">
        <x:v>3.264468592837416</x:v>
      </x:c>
    </x:row>
    <x:row r="557">
      <x:c r="A557" s="59" t="n">
        <x:v>554</x:v>
      </x:c>
      <x:c r="B557" s="193" t="n">
        <x:v>0.4960515156388283</x:v>
      </x:c>
      <x:c r="C557" s="83" t="n">
        <x:v>0.2948389612303123</x:v>
      </x:c>
      <x:c r="D557" s="83" t="n">
        <x:v>0.16258475096004044</x:v>
      </x:c>
      <x:c r="E557" s="81" t="n">
        <x:v>-0.01165438296703432</x:v>
      </x:c>
      <x:c r="F557" s="81" t="n">
        <x:v>0.5585767641314305</x:v>
      </x:c>
      <x:c r="G557" s="81" t="n">
        <x:v>0.015398851560112184</x:v>
      </x:c>
      <x:c r="H557" s="59" t="n">
        <x:v>0</x:v>
      </x:c>
      <x:c r="I557" s="81" t="n">
        <x:v>0</x:v>
      </x:c>
      <x:c r="J557" s="79" t="n">
        <x:v>1.5194144882731157e-7</x:v>
      </x:c>
      <x:c r="K557" s="81" t="n">
        <x:v>-0.9998263526299116</x:v>
      </x:c>
      <x:c r="L557" s="81" t="n">
        <x:v>-0.9998263526299116</x:v>
      </x:c>
      <x:c r="M557" s="80" t="n">
        <x:v>86.42299037706366</x:v>
      </x:c>
      <x:c r="N557" s="82" t="n">
        <x:v>0.22026252199108717</x:v>
      </x:c>
      <x:c r="O557" s="82" t="n">
        <x:v>0.1162236245483371</x:v>
      </x:c>
      <x:c r="P557" s="80" t="n">
        <x:v>306.2261376184121</x:v>
      </x:c>
      <x:c r="Q557" s="81" t="n">
        <x:v>0.029392097068607338</x:v>
      </x:c>
      <x:c r="R557" s="81" t="n">
        <x:v>30.996429133913033</x:v>
      </x:c>
      <x:c r="S557" s="81" t="n">
        <x:v>0.015340952976595799</x:v>
      </x:c>
      <x:c r="T557" s="81" t="n">
        <x:v>0.003291383503084607</x:v>
      </x:c>
    </x:row>
    <x:row r="558">
      <x:c r="A558" s="59" t="n">
        <x:v>555</x:v>
      </x:c>
      <x:c r="B558" s="193" t="n">
        <x:v>0.26098660025745635</x:v>
      </x:c>
      <x:c r="C558" s="83" t="n">
        <x:v>0.9693564913431036</x:v>
      </x:c>
      <x:c r="D558" s="83" t="n">
        <x:v>0.48738413499646677</x:v>
      </x:c>
      <x:c r="E558" s="81" t="n">
        <x:v>-0.06046807052721678</x:v>
      </x:c>
      <x:c r="F558" s="81" t="n">
        <x:v>0.6636222414206714</x:v>
      </x:c>
      <x:c r="G558" s="81" t="n">
        <x:v>-0.039255451260284756</x:v>
      </x:c>
      <x:c r="H558" s="59" t="n">
        <x:v>0</x:v>
      </x:c>
      <x:c r="I558" s="81" t="n">
        <x:v>0</x:v>
      </x:c>
      <x:c r="J558" s="79" t="n">
        <x:v>1.881609583169189e-18</x:v>
      </x:c>
      <x:c r="K558" s="81" t="n">
        <x:v>-0.9999999999999979</x:v>
      </x:c>
      <x:c r="L558" s="81" t="n">
        <x:v>-0.9999999999999979</x:v>
      </x:c>
      <x:c r="M558" s="80" t="n">
        <x:v>0.0004798495235685302</x:v>
      </x:c>
      <x:c r="N558" s="82" t="n">
        <x:v>0.16426565168008095</x:v>
      </x:c>
      <x:c r="O558" s="82" t="n">
        <x:v>0.10297662070818679</x:v>
      </x:c>
      <x:c r="P558" s="80" t="n">
        <x:v>458.57408679976885</x:v>
      </x:c>
      <x:c r="Q558" s="81" t="n">
        <x:v>4517.638900769925</x:v>
      </x:c>
      <x:c r="R558" s="81" t="n">
        <x:v>5.056348711208574</x:v>
      </x:c>
      <x:c r="S558" s="81" t="n">
        <x:v>3.309931486784589e-8</x:v>
      </x:c>
      <x:c r="T558" s="81" t="n">
        <x:v>4.0759771537572437e-14</x:v>
      </x:c>
    </x:row>
    <x:row r="559">
      <x:c r="A559" s="59" t="n">
        <x:v>556</x:v>
      </x:c>
      <x:c r="B559" s="193" t="n">
        <x:v>0.3732175558805466</x:v>
      </x:c>
      <x:c r="C559" s="83" t="n">
        <x:v>1.331123072127688</x:v>
      </x:c>
      <x:c r="D559" s="83" t="n">
        <x:v>1.3045711582157375</x:v>
      </x:c>
      <x:c r="E559" s="81" t="n">
        <x:v>0.03641487941283778</x:v>
      </x:c>
      <x:c r="F559" s="81" t="n">
        <x:v>0.7997904766001739</x:v>
      </x:c>
      <x:c r="G559" s="81" t="n">
        <x:v>-0.0011278026886293343</x:v>
      </x:c>
      <x:c r="H559" s="59" t="n">
        <x:v>0</x:v>
      </x:c>
      <x:c r="I559" s="81" t="n">
        <x:v>0</x:v>
      </x:c>
      <x:c r="J559" s="79" t="n">
        <x:v>0.0027311521221902364</x:v>
      </x:c>
      <x:c r="K559" s="81" t="n">
        <x:v>2.1213167110745563</x:v>
      </x:c>
      <x:c r="L559" s="81" t="n">
        <x:v>-0.6816166106327504</x:v>
      </x:c>
      <x:c r="M559" s="80" t="n">
        <x:v>24815.285425540224</x:v>
      </x:c>
      <x:c r="N559" s="82" t="n">
        <x:v>0.19100116963991864</x:v>
      </x:c>
      <x:c r="O559" s="82" t="n">
        <x:v>0.1443056040692592</x:v>
      </x:c>
      <x:c r="P559" s="80" t="n">
        <x:v>59759.55519038019</x:v>
      </x:c>
      <x:c r="Q559" s="81" t="n">
        <x:v>0.009156695449338703</x:v>
      </x:c>
      <x:c r="R559" s="81" t="n">
        <x:v>67.09889188073014</x:v>
      </x:c>
      <x:c r="S559" s="81" t="n">
        <x:v>44.28420604232916</x:v>
      </x:c>
      <x:c r="T559" s="81" t="n">
        <x:v>59.16271767033218</x:v>
      </x:c>
    </x:row>
    <x:row r="560">
      <x:c r="A560" s="59" t="n">
        <x:v>557</x:v>
      </x:c>
      <x:c r="B560" s="193" t="n">
        <x:v>0.33562703654170034</x:v>
      </x:c>
      <x:c r="C560" s="83" t="n">
        <x:v>0.22072746335174917</x:v>
      </x:c>
      <x:c r="D560" s="83" t="n">
        <x:v>0.6105608935943821</x:v>
      </x:c>
      <x:c r="E560" s="81" t="n">
        <x:v>-0.03844656059704734</x:v>
      </x:c>
      <x:c r="F560" s="81" t="n">
        <x:v>0.7794563909876161</x:v>
      </x:c>
      <x:c r="G560" s="81" t="n">
        <x:v>0.0018559761070497845</x:v>
      </x:c>
      <x:c r="H560" s="59" t="n">
        <x:v>0</x:v>
      </x:c>
      <x:c r="I560" s="81" t="n">
        <x:v>0</x:v>
      </x:c>
      <x:c r="J560" s="79" t="n">
        <x:v>4.235163215078593e-19</x:v>
      </x:c>
      <x:c r="K560" s="81" t="n">
        <x:v>-0.9999999999999996</x:v>
      </x:c>
      <x:c r="L560" s="81" t="n">
        <x:v>-0.9999999999999996</x:v>
      </x:c>
      <x:c r="M560" s="80" t="n">
        <x:v>0.00014141910794931867</x:v>
      </x:c>
      <x:c r="N560" s="82" t="n">
        <x:v>0.18204640311116813</x:v>
      </x:c>
      <x:c r="O560" s="82" t="n">
        <x:v>0.13404322454421438</x:v>
      </x:c>
      <x:c r="P560" s="80" t="n">
        <x:v>371.51638569215476</x:v>
      </x:c>
      <x:c r="Q560" s="81" t="n">
        <x:v>9110.22439842211</x:v>
      </x:c>
      <x:c r="R560" s="81" t="n">
        <x:v>20.474541334761874</x:v>
      </x:c>
      <x:c r="S560" s="81" t="n">
        <x:v>3.319409597915752e-8</x:v>
      </x:c>
      <x:c r="T560" s="81" t="n">
        <x:v>9.174288152815616e-15</x:v>
      </x:c>
    </x:row>
    <x:row r="561">
      <x:c r="A561" s="59" t="n">
        <x:v>558</x:v>
      </x:c>
      <x:c r="B561" s="193" t="n">
        <x:v>0.20738204531371596</x:v>
      </x:c>
      <x:c r="C561" s="83" t="n">
        <x:v>1.2863141507775562</x:v>
      </x:c>
      <x:c r="D561" s="83" t="n">
        <x:v>1.1919618810347197</x:v>
      </x:c>
      <x:c r="E561" s="81" t="n">
        <x:v>-0.04810982158280241</x:v>
      </x:c>
      <x:c r="F561" s="81" t="n">
        <x:v>0.7345240880153142</x:v>
      </x:c>
      <x:c r="G561" s="81" t="n">
        <x:v>-0.0015247966879379403</x:v>
      </x:c>
      <x:c r="H561" s="59" t="n">
        <x:v>0</x:v>
      </x:c>
      <x:c r="I561" s="81" t="n">
        <x:v>0</x:v>
      </x:c>
      <x:c r="J561" s="79" t="n">
        <x:v>1.346003975599898e-30</x:v>
      </x:c>
      <x:c r="K561" s="81" t="n">
        <x:v>-1</x:v>
      </x:c>
      <x:c r="L561" s="81" t="n">
        <x:v>-1</x:v>
      </x:c>
      <x:c r="M561" s="80" t="n">
        <x:v>0.000002</x:v>
      </x:c>
      <x:c r="N561" s="82" t="n">
        <x:v>0.1514960416070768</x:v>
      </x:c>
      <x:c r="O561" s="82" t="n">
        <x:v>0.10511828576049749</x:v>
      </x:c>
      <x:c r="P561" s="80" t="n">
        <x:v>761.8318385956406</x:v>
      </x:c>
      <x:c r="Q561" s="81" t="n">
        <x:v>32698023588373.375</x:v>
      </x:c>
      <x:c r="R561" s="81" t="n">
        <x:v>2.714663081054483</x:v>
      </x:c>
      <x:c r="S561" s="81" t="n">
        <x:v>4.4829874385636137e-10</x:v>
      </x:c>
      <x:c r="T561" s="81" t="n">
        <x:v>2.9157384733187214e-26</x:v>
      </x:c>
    </x:row>
    <x:row r="562">
      <x:c r="A562" s="59" t="n">
        <x:v>559</x:v>
      </x:c>
      <x:c r="B562" s="193" t="n">
        <x:v>0.2962996866554022</x:v>
      </x:c>
      <x:c r="C562" s="83" t="n">
        <x:v>1.2376976578274066</x:v>
      </x:c>
      <x:c r="D562" s="83" t="n">
        <x:v>2.1166627801282565</x:v>
      </x:c>
      <x:c r="E562" s="81" t="n">
        <x:v>-0.006138258469604672</x:v>
      </x:c>
      <x:c r="F562" s="81" t="n">
        <x:v>0.7737037902814337</x:v>
      </x:c>
      <x:c r="G562" s="81" t="n">
        <x:v>-0.022950408774981695</x:v>
      </x:c>
      <x:c r="H562" s="59" t="n">
        <x:v>0</x:v>
      </x:c>
      <x:c r="I562" s="81" t="n">
        <x:v>0</x:v>
      </x:c>
      <x:c r="J562" s="79" t="n">
        <x:v>1.2117639606440062e-11</x:v>
      </x:c>
      <x:c r="K562" s="81" t="n">
        <x:v>-0.9999999861512691</x:v>
      </x:c>
      <x:c r="L562" s="81" t="n">
        <x:v>-0.9999999861512691</x:v>
      </x:c>
      <x:c r="M562" s="80" t="n">
        <x:v>1.3525290164134613</x:v>
      </x:c>
      <x:c r="N562" s="82" t="n">
        <x:v>0.1726778909804416</x:v>
      </x:c>
      <x:c r="O562" s="82" t="n">
        <x:v>0.12620669734019288</x:v>
      </x:c>
      <x:c r="P562" s="80" t="n">
        <x:v>3925.9282208237455</x:v>
      </x:c>
      <x:c r="Q562" s="81" t="n">
        <x:v>18.436932781983792</x:v>
      </x:c>
      <x:c r="R562" s="81" t="n">
        <x:v>8.57327217818685</x:v>
      </x:c>
      <x:c r="S562" s="81" t="n">
        <x:v>0.00043084269225504264</x:v>
      </x:c>
      <x:c r="T562" s="81" t="n">
        <x:v>2.6249452933867467e-7</x:v>
      </x:c>
    </x:row>
    <x:row r="563">
      <x:c r="A563" s="59" t="n">
        <x:v>560</x:v>
      </x:c>
      <x:c r="B563" s="193" t="n">
        <x:v>0.8946372149512172</x:v>
      </x:c>
      <x:c r="C563" s="83" t="n">
        <x:v>0.4438976560690035</x:v>
      </x:c>
      <x:c r="D563" s="83" t="n">
        <x:v>0.589541766947333</x:v>
      </x:c>
      <x:c r="E563" s="81" t="n">
        <x:v>-0.10910532893434118</x:v>
      </x:c>
      <x:c r="F563" s="81" t="n">
        <x:v>0.8934039377374575</x:v>
      </x:c>
      <x:c r="G563" s="81" t="n">
        <x:v>-0.02050142210871153</x:v>
      </x:c>
      <x:c r="H563" s="59" t="n">
        <x:v>0</x:v>
      </x:c>
      <x:c r="I563" s="81" t="n">
        <x:v>0</x:v>
      </x:c>
      <x:c r="J563" s="79" t="n">
        <x:v>1.6049506240464372e-30</x:v>
      </x:c>
      <x:c r="K563" s="81" t="n">
        <x:v>-1</x:v>
      </x:c>
      <x:c r="L563" s="81" t="n">
        <x:v>-1</x:v>
      </x:c>
      <x:c r="M563" s="80" t="n">
        <x:v>0.000002</x:v>
      </x:c>
      <x:c r="N563" s="82" t="n">
        <x:v>0.3152131090491603</x:v>
      </x:c>
      <x:c r="O563" s="82" t="n">
        <x:v>0.26602538154948013</x:v>
      </x:c>
      <x:c r="P563" s="80" t="n">
        <x:v>195.58437892401398</x:v>
      </x:c>
      <x:c r="Q563" s="81" t="n">
        <x:v>12795579341580.945</x:v>
      </x:c>
      <x:c r="R563" s="81" t="n">
        <x:v>4.507678109632971</x:v>
      </x:c>
      <x:c r="S563" s="81" t="n">
        <x:v>2.779896495087407e-10</x:v>
      </x:c>
      <x:c r="T563" s="81" t="n">
        <x:v>3.4766734475828265e-26</x:v>
      </x:c>
    </x:row>
    <x:row r="564">
      <x:c r="A564" s="59" t="n">
        <x:v>561</x:v>
      </x:c>
      <x:c r="B564" s="193" t="n">
        <x:v>0.7253408264368773</x:v>
      </x:c>
      <x:c r="C564" s="83" t="n">
        <x:v>0.1938044076533794</x:v>
      </x:c>
      <x:c r="D564" s="83" t="n">
        <x:v>1.0869167801536463</x:v>
      </x:c>
      <x:c r="E564" s="81" t="n">
        <x:v>0.05329148859015019</x:v>
      </x:c>
      <x:c r="F564" s="81" t="n">
        <x:v>0.6160285837599077</x:v>
      </x:c>
      <x:c r="G564" s="81" t="n">
        <x:v>0.001054262082933027</x:v>
      </x:c>
      <x:c r="H564" s="59" t="n">
        <x:v>36</x:v>
      </x:c>
      <x:c r="I564" s="81" t="n">
        <x:v>0.47433712640777237</x:v>
      </x:c>
      <x:c r="J564" s="79" t="n">
        <x:v>0.0009509662731971964</x:v>
      </x:c>
      <x:c r="K564" s="81" t="n">
        <x:v>0.08681859793965319</x:v>
      </x:c>
      <x:c r="L564" s="81" t="n">
        <x:v>-0.8948528753928997</x:v>
      </x:c>
      <x:c r="M564" s="80" t="n">
        <x:v>7809.260193381118</x:v>
      </x:c>
      <x:c r="N564" s="82" t="n">
        <x:v>0.2748835349977601</x:v>
      </x:c>
      <x:c r="O564" s="82" t="n">
        <x:v>0.15996336557787347</x:v>
      </x:c>
      <x:c r="P564" s="80" t="n">
        <x:v>15561.144263616769</x:v>
      </x:c>
      <x:c r="Q564" s="81" t="n">
        <x:v>0.007181545093245961</x:v>
      </x:c>
      <x:c r="R564" s="81" t="n">
        <x:v>237.00403879174718</x:v>
      </x:c>
      <x:c r="S564" s="81" t="n">
        <x:v>94.40534350295704</x:v>
      </x:c>
      <x:c r="T564" s="81" t="n">
        <x:v>20.600005645256715</x:v>
      </x:c>
    </x:row>
    <x:row r="565">
      <x:c r="A565" s="59" t="n">
        <x:v>562</x:v>
      </x:c>
      <x:c r="B565" s="193" t="n">
        <x:v>0.5744703173637391</x:v>
      </x:c>
      <x:c r="C565" s="83" t="n">
        <x:v>0.6720752502111529</x:v>
      </x:c>
      <x:c r="D565" s="83" t="n">
        <x:v>0.48861124875125683</x:v>
      </x:c>
      <x:c r="E565" s="81" t="n">
        <x:v>0.12411668102168552</x:v>
      </x:c>
      <x:c r="F565" s="81" t="n">
        <x:v>0.59159525729483</x:v>
      </x:c>
      <x:c r="G565" s="81" t="n">
        <x:v>-0.01022994984189076</x:v>
      </x:c>
      <x:c r="H565" s="59" t="n">
        <x:v>34</x:v>
      </x:c>
      <x:c r="I565" s="81" t="n">
        <x:v>0.3690092850476504</x:v>
      </x:c>
      <x:c r="J565" s="79" t="n">
        <x:v>0.0022548240983582516</x:v>
      </x:c>
      <x:c r="K565" s="81" t="n">
        <x:v>1.576941826695145</x:v>
      </x:c>
      <x:c r="L565" s="81" t="n">
        <x:v>-0.8485961912582525</x:v>
      </x:c>
      <x:c r="M565" s="80" t="n">
        <x:v>16745.33569115784</x:v>
      </x:c>
      <x:c r="N565" s="82" t="n">
        <x:v>0.23894335091449334</x:v>
      </x:c>
      <x:c r="O565" s="82" t="n">
        <x:v>0.13353360550448792</x:v>
      </x:c>
      <x:c r="P565" s="80" t="n">
        <x:v>15476.354907774456</x:v>
      </x:c>
      <x:c r="Q565" s="81" t="n">
        <x:v>0.0027295109516720156</x:v>
      </x:c>
      <x:c r="R565" s="81" t="n">
        <x:v>139.59422974702494</x:v>
      </x:c>
      <x:c r="S565" s="81" t="n">
        <x:v>64.39336638057407</x:v>
      </x:c>
      <x:c r="T565" s="81" t="n">
        <x:v>48.844412745654665</x:v>
      </x:c>
    </x:row>
    <x:row r="566">
      <x:c r="A566" s="59" t="n">
        <x:v>563</x:v>
      </x:c>
      <x:c r="B566" s="193" t="n">
        <x:v>0.7935859641060234</x:v>
      </x:c>
      <x:c r="C566" s="83" t="n">
        <x:v>2.154003303963812</x:v>
      </x:c>
      <x:c r="D566" s="83" t="n">
        <x:v>0.9825627189273738</x:v>
      </x:c>
      <x:c r="E566" s="81" t="n">
        <x:v>0.1228951901699498</x:v>
      </x:c>
      <x:c r="F566" s="81" t="n">
        <x:v>0.8604082687525079</x:v>
      </x:c>
      <x:c r="G566" s="81" t="n">
        <x:v>-0.0074183635748121665</x:v>
      </x:c>
      <x:c r="H566" s="59" t="n">
        <x:v>30</x:v>
      </x:c>
      <x:c r="I566" s="81" t="n">
        <x:v>0.18641924485564232</x:v>
      </x:c>
      <x:c r="J566" s="79" t="n">
        <x:v>0.01294684513158051</x:v>
      </x:c>
      <x:c r="K566" s="81" t="n">
        <x:v>13.796394436092013</x:v>
      </x:c>
      <x:c r="L566" s="81" t="n">
        <x:v>-0.7768944076101669</x:v>
      </x:c>
      <x:c r="M566" s="80" t="n">
        <x:v>91016.86990091411</x:v>
      </x:c>
      <x:c r="N566" s="82" t="n">
        <x:v>0.29114080638688156</x:v>
      </x:c>
      <x:c r="O566" s="82" t="n">
        <x:v>0.23663479160731093</x:v>
      </x:c>
      <x:c r="P566" s="80" t="n">
        <x:v>140690.3834505858</x:v>
      </x:c>
      <x:c r="Q566" s="81" t="n">
        <x:v>0.005279024535499361</x:v>
      </x:c>
      <x:c r="R566" s="81" t="n">
        <x:v>177.7304674422462</x:v>
      </x:c>
      <x:c r="S566" s="81" t="n">
        <x:v>124.04999771430568</x:v>
      </x:c>
      <x:c r="T566" s="81" t="n">
        <x:v>280.45693135062197</x:v>
      </x:c>
    </x:row>
    <x:row r="567">
      <x:c r="A567" s="59" t="n">
        <x:v>564</x:v>
      </x:c>
      <x:c r="B567" s="193" t="n">
        <x:v>0.8040467839688064</x:v>
      </x:c>
      <x:c r="C567" s="83" t="n">
        <x:v>0.12965131068666993</x:v>
      </x:c>
      <x:c r="D567" s="83" t="n">
        <x:v>1.8895098042792813</x:v>
      </x:c>
      <x:c r="E567" s="81" t="n">
        <x:v>0.043860454837290036</x:v>
      </x:c>
      <x:c r="F567" s="81" t="n">
        <x:v>0.8093814468826167</x:v>
      </x:c>
      <x:c r="G567" s="81" t="n">
        <x:v>-0.01100920410731397</x:v>
      </x:c>
      <x:c r="H567" s="59" t="n">
        <x:v>0</x:v>
      </x:c>
      <x:c r="I567" s="81" t="n">
        <x:v>0</x:v>
      </x:c>
      <x:c r="J567" s="79" t="n">
        <x:v>0.0007214361992669233</x:v>
      </x:c>
      <x:c r="K567" s="81" t="n">
        <x:v>-0.17550148655208764</x:v>
      </x:c>
      <x:c r="L567" s="81" t="n">
        <x:v>-0.8456140964696846</x:v>
      </x:c>
      <x:c r="M567" s="80" t="n">
        <x:v>6875.9948709520195</x:v>
      </x:c>
      <x:c r="N567" s="82" t="n">
        <x:v>0.29363276981856906</x:v>
      </x:c>
      <x:c r="O567" s="82" t="n">
        <x:v>0.22450639107208686</x:v>
      </x:c>
      <x:c r="P567" s="80" t="n">
        <x:v>22470.164601243432</x:v>
      </x:c>
      <x:c r="Q567" s="81" t="n">
        <x:v>0.012248455741796596</x:v>
      </x:c>
      <x:c r="R567" s="81" t="n">
        <x:v>349.48759167836766</x:v>
      </x:c>
      <x:c r="S567" s="81" t="n">
        <x:v>107.88052793412754</x:v>
      </x:c>
      <x:c r="T567" s="81" t="n">
        <x:v>15.627883129467625</x:v>
      </x:c>
    </x:row>
    <x:row r="568">
      <x:c r="A568" s="59" t="n">
        <x:v>565</x:v>
      </x:c>
      <x:c r="B568" s="193" t="n">
        <x:v>0.9662743359804153</x:v>
      </x:c>
      <x:c r="C568" s="83" t="n">
        <x:v>2.3164709461692166</x:v>
      </x:c>
      <x:c r="D568" s="83" t="n">
        <x:v>0.7212961273760633</x:v>
      </x:c>
      <x:c r="E568" s="81" t="n">
        <x:v>0.07602112969833687</x:v>
      </x:c>
      <x:c r="F568" s="81" t="n">
        <x:v>0.7781460982980207</x:v>
      </x:c>
      <x:c r="G568" s="81" t="n">
        <x:v>-0.007953838279904714</x:v>
      </x:c>
      <x:c r="H568" s="59" t="n">
        <x:v>86</x:v>
      </x:c>
      <x:c r="I568" s="81" t="n">
        <x:v>0.3282999411225319</x:v>
      </x:c>
      <x:c r="J568" s="79" t="n">
        <x:v>0.0022450378546842284</x:v>
      </x:c>
      <x:c r="K568" s="81" t="n">
        <x:v>1.5657575482105468</x:v>
      </x:c>
      <x:c r="L568" s="81" t="n">
        <x:v>-0.8364739730241767</x:v>
      </x:c>
      <x:c r="M568" s="80" t="n">
        <x:v>32605.786821892485</x:v>
      </x:c>
      <x:c r="N568" s="82" t="n">
        <x:v>0.33227841447433426</x:v>
      </x:c>
      <x:c r="O568" s="82" t="n">
        <x:v>0.24424979929922952</x:v>
      </x:c>
      <x:c r="P568" s="80" t="n">
        <x:v>43950.700948026846</x:v>
      </x:c>
      <x:c r="Q568" s="81" t="n">
        <x:v>0.007746704951813008</x:v>
      </x:c>
      <x:c r="R568" s="81" t="n">
        <x:v>40.28489786726721</x:v>
      </x:c>
      <x:c r="S568" s="81" t="n">
        <x:v>21.002575020215318</x:v>
      </x:c>
      <x:c r="T568" s="81" t="n">
        <x:v>48.63242134216045</x:v>
      </x:c>
    </x:row>
    <x:row r="569">
      <x:c r="A569" s="59" t="n">
        <x:v>566</x:v>
      </x:c>
      <x:c r="B569" s="193" t="n">
        <x:v>0.5243739221245051</x:v>
      </x:c>
      <x:c r="C569" s="83" t="n">
        <x:v>0.16065072722591286</x:v>
      </x:c>
      <x:c r="D569" s="83" t="n">
        <x:v>0.8842034272874408</x:v>
      </x:c>
      <x:c r="E569" s="81" t="n">
        <x:v>0.048987280078244225</x:v>
      </x:c>
      <x:c r="F569" s="81" t="n">
        <x:v>0.8210126908379607</x:v>
      </x:c>
      <x:c r="G569" s="81" t="n">
        <x:v>0.03167283716959745</x:v>
      </x:c>
      <x:c r="H569" s="59" t="n">
        <x:v>0</x:v>
      </x:c>
      <x:c r="I569" s="81" t="n">
        <x:v>0</x:v>
      </x:c>
      <x:c r="J569" s="79" t="n">
        <x:v>0.0008066202670288742</x:v>
      </x:c>
      <x:c r="K569" s="81" t="n">
        <x:v>-0.07814826625271509</x:v>
      </x:c>
      <x:c r="L569" s="81" t="n">
        <x:v>-0.821401856449736</x:v>
      </x:c>
      <x:c r="M569" s="80" t="n">
        <x:v>6860.326462981766</x:v>
      </x:c>
      <x:c r="N569" s="82" t="n">
        <x:v>0.22700945026109703</x:v>
      </x:c>
      <x:c r="O569" s="82" t="n">
        <x:v>0.1760616424985333</x:v>
      </x:c>
      <x:c r="P569" s="80" t="n">
        <x:v>12080.000161498545</x:v>
      </x:c>
      <x:c r="Q569" s="81" t="n">
        <x:v>0.008314159600669514</x:v>
      </x:c>
      <x:c r="R569" s="81" t="n">
        <x:v>170.7409546068754</x:v>
      </x:c>
      <x:c r="S569" s="81" t="n">
        <x:v>96.70535043937558</x:v>
      </x:c>
      <x:c r="T569" s="81" t="n">
        <x:v>17.473156012681894</x:v>
      </x:c>
    </x:row>
    <x:row r="570">
      <x:c r="A570" s="59" t="n">
        <x:v>567</x:v>
      </x:c>
      <x:c r="B570" s="193" t="n">
        <x:v>0.801661590486765</x:v>
      </x:c>
      <x:c r="C570" s="83" t="n">
        <x:v>2.235453453784444</x:v>
      </x:c>
      <x:c r="D570" s="83" t="n">
        <x:v>1.2725983058420711</x:v>
      </x:c>
      <x:c r="E570" s="81" t="n">
        <x:v>-0.05828332851086083</x:v>
      </x:c>
      <x:c r="F570" s="81" t="n">
        <x:v>0.8007350239902735</x:v>
      </x:c>
      <x:c r="G570" s="81" t="n">
        <x:v>0.031812482263104784</x:v>
      </x:c>
      <x:c r="H570" s="59" t="n">
        <x:v>0</x:v>
      </x:c>
      <x:c r="I570" s="81" t="n">
        <x:v>0</x:v>
      </x:c>
      <x:c r="J570" s="79" t="n">
        <x:v>5.83054105728761e-40</x:v>
      </x:c>
      <x:c r="K570" s="81" t="n">
        <x:v>-1</x:v>
      </x:c>
      <x:c r="L570" s="81" t="n">
        <x:v>-1</x:v>
      </x:c>
      <x:c r="M570" s="80" t="n">
        <x:v>0.000002</x:v>
      </x:c>
      <x:c r="N570" s="82" t="n">
        <x:v>0.2930645720087691</x:v>
      </x:c>
      <x:c r="O570" s="82" t="n">
        <x:v>0.2216782515396371</x:v>
      </x:c>
      <x:c r="P570" s="80" t="n">
        <x:v>915.1958612797625</x:v>
      </x:c>
      <x:c r="Q570" s="81" t="n">
        <x:v>6.2913457304705335e+22</x:v>
      </x:c>
      <x:c r="R570" s="81" t="n">
        <x:v>1.5139298766768643</x:v>
      </x:c>
      <x:c r="S570" s="81" t="n">
        <x:v>5.043550988475093e-10</x:v>
      </x:c>
      <x:c r="T570" s="81" t="n">
        <x:v>1.2630224864990502e-35</x:v>
      </x:c>
    </x:row>
    <x:row r="571">
      <x:c r="A571" s="59" t="n">
        <x:v>568</x:v>
      </x:c>
      <x:c r="B571" s="193" t="n">
        <x:v>0.9022735627368093</x:v>
      </x:c>
      <x:c r="C571" s="83" t="n">
        <x:v>1.96321017644509</x:v>
      </x:c>
      <x:c r="D571" s="83" t="n">
        <x:v>0.3051506366013606</x:v>
      </x:c>
      <x:c r="E571" s="81" t="n">
        <x:v>0.030811615895884645</x:v>
      </x:c>
      <x:c r="F571" s="81" t="n">
        <x:v>0.7109540545381605</x:v>
      </x:c>
      <x:c r="G571" s="81" t="n">
        <x:v>-0.030004941666345597</x:v>
      </x:c>
      <x:c r="H571" s="59" t="n">
        <x:v>0</x:v>
      </x:c>
      <x:c r="I571" s="81" t="n">
        <x:v>0</x:v>
      </x:c>
      <x:c r="J571" s="79" t="n">
        <x:v>0.00003673416417442662</x:v>
      </x:c>
      <x:c r="K571" s="81" t="n">
        <x:v>-0.9580180980863696</x:v>
      </x:c>
      <x:c r="L571" s="81" t="n">
        <x:v>-0.9581530968982563</x:v>
      </x:c>
      <x:c r="M571" s="80" t="n">
        <x:v>3154.5235227476855</x:v>
      </x:c>
      <x:c r="N571" s="82" t="n">
        <x:v>0.31703223027320926</x:v>
      </x:c>
      <x:c r="O571" s="82" t="n">
        <x:v>0.21291972327981606</x:v>
      </x:c>
      <x:c r="P571" s="80" t="n">
        <x:v>2970.655489558323</x:v>
      </x:c>
      <x:c r="Q571" s="81" t="n">
        <x:v>0.012382753394224526</x:v>
      </x:c>
      <x:c r="R571" s="81" t="n">
        <x:v>8.576292153643804</x:v>
      </x:c>
      <x:c r="S571" s="81" t="n">
        <x:v>0.44876303050311767</x:v>
      </x:c>
      <x:c r="T571" s="81" t="n">
        <x:v>0.7957421947498001</x:v>
      </x:c>
    </x:row>
    <x:row r="572">
      <x:c r="A572" s="59" t="n">
        <x:v>569</x:v>
      </x:c>
      <x:c r="B572" s="193" t="n">
        <x:v>0.9446216637268663</x:v>
      </x:c>
      <x:c r="C572" s="83" t="n">
        <x:v>0.33105739033027287</x:v>
      </x:c>
      <x:c r="D572" s="83" t="n">
        <x:v>0.9821568533014872</x:v>
      </x:c>
      <x:c r="E572" s="81" t="n">
        <x:v>0.008483197392936449</x:v>
      </x:c>
      <x:c r="F572" s="81" t="n">
        <x:v>0.27666278472170236</x:v>
      </x:c>
      <x:c r="G572" s="81" t="n">
        <x:v>0.02444091011958559</x:v>
      </x:c>
      <x:c r="H572" s="59" t="n">
        <x:v>0</x:v>
      </x:c>
      <x:c r="I572" s="81" t="n">
        <x:v>0</x:v>
      </x:c>
      <x:c r="J572" s="79" t="n">
        <x:v>0.00011090961508713191</x:v>
      </x:c>
      <x:c r="K572" s="81" t="n">
        <x:v>-0.8732461541861349</x:v>
      </x:c>
      <x:c r="L572" s="81" t="n">
        <x:v>-0.9161673558328962</x:v>
      </x:c>
      <x:c r="M572" s="80" t="n">
        <x:v>2477.262409587516</x:v>
      </x:c>
      <x:c r="N572" s="82" t="n">
        <x:v>0.32712034195593465</x:v>
      </x:c>
      <x:c r="O572" s="82" t="n">
        <x:v>0.08549274022246753</x:v>
      </x:c>
      <x:c r="P572" s="80" t="n">
        <x:v>6551.367337270452</x:v>
      </x:c>
      <x:c r="Q572" s="81" t="n">
        <x:v>0.019182320253719045</x:v>
      </x:c>
      <x:c r="R572" s="81" t="n">
        <x:v>50.2043230800379</x:v>
      </x:c>
      <x:c r="S572" s="81" t="n">
        <x:v>7.301090692506895</x:v>
      </x:c>
      <x:c r="T572" s="81" t="n">
        <x:v>2.402544402785979</x:v>
      </x:c>
    </x:row>
    <x:row r="573">
      <x:c r="A573" s="59" t="n">
        <x:v>570</x:v>
      </x:c>
      <x:c r="B573" s="193" t="n">
        <x:v>0.57027592882514</x:v>
      </x:c>
      <x:c r="C573" s="83" t="n">
        <x:v>0.16632944199186286</x:v>
      </x:c>
      <x:c r="D573" s="83" t="n">
        <x:v>0.6361258447890393</x:v>
      </x:c>
      <x:c r="E573" s="81" t="n">
        <x:v>0.11143815695800587</x:v>
      </x:c>
      <x:c r="F573" s="81" t="n">
        <x:v>0.4847419028519653</x:v>
      </x:c>
      <x:c r="G573" s="81" t="n">
        <x:v>-0.018377841017583316</x:v>
      </x:c>
      <x:c r="H573" s="59" t="n">
        <x:v>0</x:v>
      </x:c>
      <x:c r="I573" s="81" t="n">
        <x:v>0</x:v>
      </x:c>
      <x:c r="J573" s="79" t="n">
        <x:v>0.0019166762692948297</x:v>
      </x:c>
      <x:c r="K573" s="81" t="n">
        <x:v>1.1904871649083768</x:v>
      </x:c>
      <x:c r="L573" s="81" t="n">
        <x:v>-0.7727623092791109</x:v>
      </x:c>
      <x:c r="M573" s="80" t="n">
        <x:v>11021.928214901913</x:v>
      </x:c>
      <x:c r="N573" s="82" t="n">
        <x:v>0.23794416891981376</x:v>
      </x:c>
      <x:c r="O573" s="82" t="n">
        <x:v>0.10895735992630308</x:v>
      </x:c>
      <x:c r="P573" s="80" t="n">
        <x:v>13087.6755995019</x:v>
      </x:c>
      <x:c r="Q573" s="81" t="n">
        <x:v>0.002425678878084749</x:v>
      </x:c>
      <x:c r="R573" s="81" t="n">
        <x:v>594.1085991685154</x:v>
      </x:c>
      <x:c r="S573" s="81" t="n">
        <x:v>216.26887446182332</x:v>
      </x:c>
      <x:c r="T573" s="81" t="n">
        <x:v>41.519392517315474</x:v>
      </x:c>
    </x:row>
    <x:row r="574">
      <x:c r="A574" s="59" t="n">
        <x:v>571</x:v>
      </x:c>
      <x:c r="B574" s="193" t="n">
        <x:v>0.8963129978626967</x:v>
      </x:c>
      <x:c r="C574" s="83" t="n">
        <x:v>0.2635264750413287</x:v>
      </x:c>
      <x:c r="D574" s="83" t="n">
        <x:v>0.38793990237515175</x:v>
      </x:c>
      <x:c r="E574" s="81" t="n">
        <x:v>-0.025624252892527833</x:v>
      </x:c>
      <x:c r="F574" s="81" t="n">
        <x:v>0.4580453994451091</x:v>
      </x:c>
      <x:c r="G574" s="81" t="n">
        <x:v>0.01299029583504825</x:v>
      </x:c>
      <x:c r="H574" s="59" t="n">
        <x:v>0</x:v>
      </x:c>
      <x:c r="I574" s="81" t="n">
        <x:v>0</x:v>
      </x:c>
      <x:c r="J574" s="79" t="n">
        <x:v>7.106861792639913e-12</x:v>
      </x:c>
      <x:c r="K574" s="81" t="n">
        <x:v>-0.9999999918778723</x:v>
      </x:c>
      <x:c r="L574" s="81" t="n">
        <x:v>-0.9999999918778723</x:v>
      </x:c>
      <x:c r="M574" s="80" t="n">
        <x:v>0.5853248355821499</x:v>
      </x:c>
      <x:c r="N574" s="82" t="n">
        <x:v>0.3156123119596044</x:v>
      </x:c>
      <x:c r="O574" s="82" t="n">
        <x:v>0.13656311168932297</x:v>
      </x:c>
      <x:c r="P574" s="80" t="n">
        <x:v>392.36560335071437</x:v>
      </x:c>
      <x:c r="Q574" s="81" t="n">
        <x:v>3.3190811652842114</x:v>
      </x:c>
      <x:c r="R574" s="81" t="n">
        <x:v>24.82593803960348</x:v>
      </x:c>
      <x:c r="S574" s="81" t="n">
        <x:v>0.00009472114032983121</x:v>
      </x:c>
      <x:c r="T574" s="81" t="n">
        <x:v>1.5395014226554283e-7</x:v>
      </x:c>
    </x:row>
    <x:row r="575">
      <x:c r="A575" s="59" t="n">
        <x:v>572</x:v>
      </x:c>
      <x:c r="B575" s="193" t="n">
        <x:v>0.9192833999171854</x:v>
      </x:c>
      <x:c r="C575" s="83" t="n">
        <x:v>1.1608128061052758</x:v>
      </x:c>
      <x:c r="D575" s="83" t="n">
        <x:v>1.1979664090318023</x:v>
      </x:c>
      <x:c r="E575" s="81" t="n">
        <x:v>0.14653989179513688</x:v>
      </x:c>
      <x:c r="F575" s="81" t="n">
        <x:v>0.6205422081402503</x:v>
      </x:c>
      <x:c r="G575" s="81" t="n">
        <x:v>-0.008628284959612998</x:v>
      </x:c>
      <x:c r="H575" s="59" t="n">
        <x:v>0</x:v>
      </x:c>
      <x:c r="I575" s="81" t="n">
        <x:v>0</x:v>
      </x:c>
      <x:c r="J575" s="79" t="n">
        <x:v>0.02230822468706944</x:v>
      </x:c>
      <x:c r="K575" s="81" t="n">
        <x:v>24.495113928079363</x:v>
      </x:c>
      <x:c r="L575" s="81" t="n">
        <x:v>-0.812089249513876</x:v>
      </x:c>
      <x:c r="M575" s="80" t="n">
        <x:v>93786.19512859563</x:v>
      </x:c>
      <x:c r="N575" s="82" t="n">
        <x:v>0.32108429242402164</x:v>
      </x:c>
      <x:c r="O575" s="82" t="n">
        <x:v>0.18821807563367865</x:v>
      </x:c>
      <x:c r="P575" s="80" t="n">
        <x:v>158958.86822562414</x:v>
      </x:c>
      <x:c r="Q575" s="81" t="n">
        <x:v>0.0037719770148129505</x:v>
      </x:c>
      <x:c r="R575" s="81" t="n">
        <x:v>511.9112169161761</x:v>
      </x:c>
      <x:c r="S575" s="81" t="n">
        <x:v>379.5211544820832</x:v>
      </x:c>
      <x:c r="T575" s="81" t="n">
        <x:v>483.2448504658918</x:v>
      </x:c>
    </x:row>
    <x:row r="576">
      <x:c r="A576" s="59" t="n">
        <x:v>573</x:v>
      </x:c>
      <x:c r="B576" s="193" t="n">
        <x:v>0.37132985405623914</x:v>
      </x:c>
      <x:c r="C576" s="83" t="n">
        <x:v>0.4523064750954456</x:v>
      </x:c>
      <x:c r="D576" s="83" t="n">
        <x:v>0.6452209009055394</x:v>
      </x:c>
      <x:c r="E576" s="81" t="n">
        <x:v>0.005687095885500316</x:v>
      </x:c>
      <x:c r="F576" s="81" t="n">
        <x:v>0.7405403372365982</x:v>
      </x:c>
      <x:c r="G576" s="81" t="n">
        <x:v>-0.035612303486818875</x:v>
      </x:c>
      <x:c r="H576" s="59" t="n">
        <x:v>0</x:v>
      </x:c>
      <x:c r="I576" s="81" t="n">
        <x:v>0</x:v>
      </x:c>
      <x:c r="J576" s="79" t="n">
        <x:v>0.0000042742491761924</x:v>
      </x:c>
      <x:c r="K576" s="81" t="n">
        <x:v>-0.9951151437986373</x:v>
      </x:c>
      <x:c r="L576" s="81" t="n">
        <x:v>-0.9951151437986373</x:v>
      </x:c>
      <x:c r="M576" s="80" t="n">
        <x:v>518.162852324809</x:v>
      </x:c>
      <x:c r="N576" s="82" t="n">
        <x:v>0.1905514836709596</x:v>
      </x:c>
      <x:c r="O576" s="82" t="n">
        <x:v>0.13330056678078547</x:v>
      </x:c>
      <x:c r="P576" s="80" t="n">
        <x:v>1702.4229059968588</x:v>
      </x:c>
      <x:c r="Q576" s="81" t="n">
        <x:v>0.02780027243023134</x:v>
      </x:c>
      <x:c r="R576" s="81" t="n">
        <x:v>25.322687200674185</x:v>
      </x:c>
      <x:c r="S576" s="81" t="n">
        <x:v>0.24085659505498214</x:v>
      </x:c>
      <x:c r="T576" s="81" t="n">
        <x:v>0.09258956877910113</x:v>
      </x:c>
    </x:row>
    <x:row r="577">
      <x:c r="A577" s="59" t="n">
        <x:v>574</x:v>
      </x:c>
      <x:c r="B577" s="193" t="n">
        <x:v>0.4917688239365816</x:v>
      </x:c>
      <x:c r="C577" s="83" t="n">
        <x:v>2.797318682154758</x:v>
      </x:c>
      <x:c r="D577" s="83" t="n">
        <x:v>1.7167982873848437</x:v>
      </x:c>
      <x:c r="E577" s="81" t="n">
        <x:v>-0.03591394099157169</x:v>
      </x:c>
      <x:c r="F577" s="81" t="n">
        <x:v>0.81997088015778</x:v>
      </x:c>
      <x:c r="G577" s="81" t="n">
        <x:v>-0.032284677576851786</x:v>
      </x:c>
      <x:c r="H577" s="59" t="n">
        <x:v>0</x:v>
      </x:c>
      <x:c r="I577" s="81" t="n">
        <x:v>0</x:v>
      </x:c>
      <x:c r="J577" s="79" t="n">
        <x:v>4.332768443913923e-29</x:v>
      </x:c>
      <x:c r="K577" s="81" t="n">
        <x:v>-1</x:v>
      </x:c>
      <x:c r="L577" s="81" t="n">
        <x:v>-1</x:v>
      </x:c>
      <x:c r="M577" s="80" t="n">
        <x:v>0.000002</x:v>
      </x:c>
      <x:c r="N577" s="82" t="n">
        <x:v>0.21924230452714263</x:v>
      </x:c>
      <x:c r="O577" s="82" t="n">
        <x:v>0.16982191336665298</x:v>
      </x:c>
      <x:c r="P577" s="80" t="n">
        <x:v>1713.9897255248839</x:v>
      </x:c>
      <x:c r="Q577" s="81" t="n">
        <x:v>1344899816596.9097</x:v>
      </x:c>
      <x:c r="R577" s="81" t="n">
        <x:v>1.8985934592593705</x:v>
      </x:c>
      <x:c r="S577" s="81" t="n">
        <x:v>2.6566989564465315e-10</x:v>
      </x:c>
      <x:c r="T577" s="81" t="n">
        <x:v>9.38572238783369e-25</x:v>
      </x:c>
    </x:row>
    <x:row r="578">
      <x:c r="A578" s="59" t="n">
        <x:v>575</x:v>
      </x:c>
      <x:c r="B578" s="193" t="n">
        <x:v>0.2504958374425769</x:v>
      </x:c>
      <x:c r="C578" s="83" t="n">
        <x:v>1.8359372478948066</x:v>
      </x:c>
      <x:c r="D578" s="83" t="n">
        <x:v>0.30634517914421266</x:v>
      </x:c>
      <x:c r="E578" s="81" t="n">
        <x:v>-0.03532942600403382</x:v>
      </x:c>
      <x:c r="F578" s="81" t="n">
        <x:v>0.25318048587068914</x:v>
      </x:c>
      <x:c r="G578" s="81" t="n">
        <x:v>-0.03908805714872274</x:v>
      </x:c>
      <x:c r="H578" s="59" t="n">
        <x:v>69</x:v>
      </x:c>
      <x:c r="I578" s="81" t="n">
        <x:v>0.2653151279315352</x:v>
      </x:c>
      <x:c r="J578" s="79" t="n">
        <x:v>1.6119671208709328e-9</x:v>
      </x:c>
      <x:c r="K578" s="81" t="n">
        <x:v>-0.9999981577518618</x:v>
      </x:c>
      <x:c r="L578" s="81" t="n">
        <x:v>-0.9999981577518618</x:v>
      </x:c>
      <x:c r="M578" s="80" t="n">
        <x:v>19.628468234097856</x:v>
      </x:c>
      <x:c r="N578" s="82" t="n">
        <x:v>0.16176655527577385</x:v>
      </x:c>
      <x:c r="O578" s="82" t="n">
        <x:v>0.038689214139475146</x:v>
      </x:c>
      <x:c r="P578" s="80" t="n">
        <x:v>1060.397732629265</x:v>
      </x:c>
      <x:c r="Q578" s="81" t="n">
        <x:v>0.3577339607294443</x:v>
      </x:c>
      <x:c r="R578" s="81" t="n">
        <x:v>5.828723792318763</x:v>
      </x:c>
      <x:c r="S578" s="81" t="n">
        <x:v>0.0005956125330193404</x:v>
      </x:c>
      <x:c r="T578" s="81" t="n">
        <x:v>0.000034918727115597265</x:v>
      </x:c>
    </x:row>
    <x:row r="579">
      <x:c r="A579" s="59" t="n">
        <x:v>576</x:v>
      </x:c>
      <x:c r="B579" s="193" t="n">
        <x:v>0.8001893565058709</x:v>
      </x:c>
      <x:c r="C579" s="83" t="n">
        <x:v>0.899798070599858</x:v>
      </x:c>
      <x:c r="D579" s="83" t="n">
        <x:v>1.5682536795072233</x:v>
      </x:c>
      <x:c r="E579" s="81" t="n">
        <x:v>0.0009664676182735868</x:v>
      </x:c>
      <x:c r="F579" s="81" t="n">
        <x:v>0.6105867374804803</x:v>
      </x:c>
      <x:c r="G579" s="81" t="n">
        <x:v>-0.008557862105611507</x:v>
      </x:c>
      <x:c r="H579" s="59" t="n">
        <x:v>0</x:v>
      </x:c>
      <x:c r="I579" s="81" t="n">
        <x:v>0</x:v>
      </x:c>
      <x:c r="J579" s="79" t="n">
        <x:v>0.0000022415086148769986</x:v>
      </x:c>
      <x:c r="K579" s="81" t="n">
        <x:v>-0.997438275868712</x:v>
      </x:c>
      <x:c r="L579" s="81" t="n">
        <x:v>-0.997438275868712</x:v>
      </x:c>
      <x:c r="M579" s="80" t="n">
        <x:v>488.1107700225132</x:v>
      </x:c>
      <x:c r="N579" s="82" t="n">
        <x:v>0.292713858270133</x:v>
      </x:c>
      <x:c r="O579" s="82" t="n">
        <x:v>0.1688346542618598</x:v>
      </x:c>
      <x:c r="P579" s="80" t="n">
        <x:v>5182.639119486293</x:v>
      </x:c>
      <x:c r="Q579" s="81" t="n">
        <x:v>0.13699485790161925</x:v>
      </x:c>
      <x:c r="R579" s="81" t="n">
        <x:v>13.980594803820164</x:v>
      </x:c>
      <x:c r="S579" s="81" t="n">
        <x:v>0.20566881292557646</x:v>
      </x:c>
      <x:c r="T579" s="81" t="n">
        <x:v>0.048555970302831826</x:v>
      </x:c>
    </x:row>
    <x:row r="580">
      <x:c r="A580" s="59" t="n">
        <x:v>577</x:v>
      </x:c>
      <x:c r="B580" s="193" t="n">
        <x:v>0.9307411463931203</x:v>
      </x:c>
      <x:c r="C580" s="83" t="n">
        <x:v>2.732969323600159</x:v>
      </x:c>
      <x:c r="D580" s="83" t="n">
        <x:v>0.6747542622330595</x:v>
      </x:c>
      <x:c r="E580" s="81" t="n">
        <x:v>-0.13753054651938423</x:v>
      </x:c>
      <x:c r="F580" s="81" t="n">
        <x:v>0.5876006743521429</x:v>
      </x:c>
      <x:c r="G580" s="81" t="n">
        <x:v>-0.021712130927173164</x:v>
      </x:c>
      <x:c r="H580" s="59" t="n">
        <x:v>0</x:v>
      </x:c>
      <x:c r="I580" s="81" t="n">
        <x:v>0</x:v>
      </x:c>
      <x:c r="J580" s="79" t="n">
        <x:v>1.3279530140341717e-37</x:v>
      </x:c>
      <x:c r="K580" s="81" t="n">
        <x:v>-1</x:v>
      </x:c>
      <x:c r="L580" s="81" t="n">
        <x:v>-1</x:v>
      </x:c>
      <x:c r="M580" s="80" t="n">
        <x:v>0.000002</x:v>
      </x:c>
      <x:c r="N580" s="82" t="n">
        <x:v>0.32381374246733613</x:v>
      </x:c>
      <x:c r="O580" s="82" t="n">
        <x:v>0.1797415586442726</x:v>
      </x:c>
      <x:c r="P580" s="80" t="n">
        <x:v>473.75331155496826</x:v>
      </x:c>
      <x:c r="Q580" s="81" t="n">
        <x:v>125827622588305490000</x:v>
      </x:c>
      <x:c r="R580" s="81" t="n">
        <x:v>0.8684543786682991</x:v>
      </x:c>
      <x:c r="S580" s="81" t="n">
        <x:v>1.212289802245482e-10</x:v>
      </x:c>
      <x:c r="T580" s="81" t="n">
        <x:v>2.876636149646811e-33</x:v>
      </x:c>
    </x:row>
    <x:row r="581">
      <x:c r="A581" s="59" t="n">
        <x:v>578</x:v>
      </x:c>
      <x:c r="B581" s="193" t="n">
        <x:v>0.33323833663016555</x:v>
      </x:c>
      <x:c r="C581" s="83" t="n">
        <x:v>2.517384991672556</x:v>
      </x:c>
      <x:c r="D581" s="83" t="n">
        <x:v>1.3407655157827705</x:v>
      </x:c>
      <x:c r="E581" s="81" t="n">
        <x:v>0.05584300652077796</x:v>
      </x:c>
      <x:c r="F581" s="81" t="n">
        <x:v>0.5530107912723907</x:v>
      </x:c>
      <x:c r="G581" s="81" t="n">
        <x:v>-0.025291156992549586</x:v>
      </x:c>
      <x:c r="H581" s="59" t="n">
        <x:v>8</x:v>
      </x:c>
      <x:c r="I581" s="81" t="n">
        <x:v>0.20339499767869712</x:v>
      </x:c>
      <x:c r="J581" s="79" t="n">
        <x:v>0.021823271726655973</x:v>
      </x:c>
      <x:c r="K581" s="81" t="n">
        <x:v>23.940881973321115</x:v>
      </x:c>
      <x:c r="L581" s="81" t="n">
        <x:v>-0.5836370153345383</x:v>
      </x:c>
      <x:c r="M581" s="80" t="n">
        <x:v>112098.07535009366</x:v>
      </x:c>
      <x:c r="N581" s="82" t="n">
        <x:v>0.18147737000411734</x:v>
      </x:c>
      <x:c r="O581" s="82" t="n">
        <x:v>0.0948040792593849</x:v>
      </x:c>
      <x:c r="P581" s="80" t="n">
        <x:v>249367.32595175476</x:v>
      </x:c>
      <x:c r="Q581" s="81" t="n">
        <x:v>0.0043951711897241</x:v>
      </x:c>
      <x:c r="R581" s="81" t="n">
        <x:v>178.35637391880314</x:v>
      </x:c>
      <x:c r="S581" s="81" t="n">
        <x:v>175.34106436489859</x:v>
      </x:c>
      <x:c r="T581" s="81" t="n">
        <x:v>472.73971058473245</x:v>
      </x:c>
    </x:row>
    <x:row r="582">
      <x:c r="A582" s="59" t="n">
        <x:v>579</x:v>
      </x:c>
      <x:c r="B582" s="193" t="n">
        <x:v>0.4165370654314757</x:v>
      </x:c>
      <x:c r="C582" s="83" t="n">
        <x:v>1.0454935903121845</x:v>
      </x:c>
      <x:c r="D582" s="83" t="n">
        <x:v>2.1677260262203344</x:v>
      </x:c>
      <x:c r="E582" s="81" t="n">
        <x:v>0.052133296605753686</x:v>
      </x:c>
      <x:c r="F582" s="81" t="n">
        <x:v>0.6014508016873151</x:v>
      </x:c>
      <x:c r="G582" s="81" t="n">
        <x:v>-0.02271080063869607</x:v>
      </x:c>
      <x:c r="H582" s="59" t="n">
        <x:v>71</x:v>
      </x:c>
      <x:c r="I582" s="81" t="n">
        <x:v>0.11650017267093063</x:v>
      </x:c>
      <x:c r="J582" s="79" t="n">
        <x:v>0.013796695353295097</x:v>
      </x:c>
      <x:c r="K582" s="81" t="n">
        <x:v>14.767651832337256</x:v>
      </x:c>
      <x:c r="L582" s="81" t="n">
        <x:v>-0.8793947879966552</x:v>
      </x:c>
      <x:c r="M582" s="80" t="n">
        <x:v>57939.40612153871</x:v>
      </x:c>
      <x:c r="N582" s="82" t="n">
        <x:v>0.20132068905575431</x:v>
      </x:c>
      <x:c r="O582" s="82" t="n">
        <x:v>0.11438246672507112</x:v>
      </x:c>
      <x:c r="P582" s="80" t="n">
        <x:v>192831.17819682034</x:v>
      </x:c>
      <x:c r="Q582" s="81" t="n">
        <x:v>0.005697617172228838</x:v>
      </x:c>
      <x:c r="R582" s="81" t="n">
        <x:v>506.25543595652624</x:v>
      </x:c>
      <x:c r="S582" s="81" t="n">
        <x:v>266.227934702186</x:v>
      </x:c>
      <x:c r="T582" s="81" t="n">
        <x:v>298.8665425622625</x:v>
      </x:c>
    </x:row>
    <x:row r="583">
      <x:c r="A583" s="59" t="n">
        <x:v>580</x:v>
      </x:c>
      <x:c r="B583" s="193" t="n">
        <x:v>0.7821027033030987</x:v>
      </x:c>
      <x:c r="C583" s="83" t="n">
        <x:v>0.10048542129765772</x:v>
      </x:c>
      <x:c r="D583" s="83" t="n">
        <x:v>0.3443698892091364</x:v>
      </x:c>
      <x:c r="E583" s="81" t="n">
        <x:v>0.042688068522788926</x:v>
      </x:c>
      <x:c r="F583" s="81" t="n">
        <x:v>0.7307672258815728</x:v>
      </x:c>
      <x:c r="G583" s="81" t="n">
        <x:v>-0.0293766764131842</x:v>
      </x:c>
      <x:c r="H583" s="59" t="n">
        <x:v>0</x:v>
      </x:c>
      <x:c r="I583" s="81" t="n">
        <x:v>0</x:v>
      </x:c>
      <x:c r="J583" s="79" t="n">
        <x:v>0.000014262425867279038</x:v>
      </x:c>
      <x:c r="K583" s="81" t="n">
        <x:v>-0.9837000847231097</x:v>
      </x:c>
      <x:c r="L583" s="81" t="n">
        <x:v>-0.9837000847231097</x:v>
      </x:c>
      <x:c r="M583" s="80" t="n">
        <x:v>744.7673684159544</x:v>
      </x:c>
      <x:c r="N583" s="82" t="n">
        <x:v>0.28840527835248525</x:v>
      </x:c>
      <x:c r="O583" s="82" t="n">
        <x:v>0.1990917242442769</x:v>
      </x:c>
      <x:c r="P583" s="80" t="n">
        <x:v>811.0507965771288</x:v>
      </x:c>
      <x:c r="Q583" s="81" t="n">
        <x:v>0.00898324653004407</x:v>
      </x:c>
      <x:c r="R583" s="81" t="n">
        <x:v>100.0665763295282</x:v>
      </x:c>
      <x:c r="S583" s="81" t="n">
        <x:v>2.70944802101282</x:v>
      </x:c>
      <x:c r="T583" s="81" t="n">
        <x:v>0.30895528228694463</x:v>
      </x:c>
    </x:row>
    <x:row r="584">
      <x:c r="A584" s="59" t="n">
        <x:v>581</x:v>
      </x:c>
      <x:c r="B584" s="193" t="n">
        <x:v>0.6000732176005841</x:v>
      </x:c>
      <x:c r="C584" s="83" t="n">
        <x:v>0.23087745741844184</x:v>
      </x:c>
      <x:c r="D584" s="83" t="n">
        <x:v>1.9303199166445089</x:v>
      </x:c>
      <x:c r="E584" s="81" t="n">
        <x:v>-0.09580690271056337</x:v>
      </x:c>
      <x:c r="F584" s="81" t="n">
        <x:v>0.7728503619320691</x:v>
      </x:c>
      <x:c r="G584" s="81" t="n">
        <x:v>-0.03059577788467434</x:v>
      </x:c>
      <x:c r="H584" s="59" t="n">
        <x:v>47</x:v>
      </x:c>
      <x:c r="I584" s="81" t="n">
        <x:v>0.43288041017949586</x:v>
      </x:c>
      <x:c r="J584" s="79" t="n">
        <x:v>1.1705090016194702e-55</x:v>
      </x:c>
      <x:c r="K584" s="81" t="n">
        <x:v>-1</x:v>
      </x:c>
      <x:c r="L584" s="81" t="n">
        <x:v>-1</x:v>
      </x:c>
      <x:c r="M584" s="80" t="n">
        <x:v>0.000002</x:v>
      </x:c>
      <x:c r="N584" s="82" t="n">
        <x:v>0.24504244180528914</x:v>
      </x:c>
      <x:c r="O584" s="82" t="n">
        <x:v>0.17889889907858178</x:v>
      </x:c>
      <x:c r="P584" s="80" t="n">
        <x:v>256.5346265270706</x:v>
      </x:c>
      <x:c r="Q584" s="81" t="n">
        <x:v>1.9740460276703834e+38</x:v>
      </x:c>
      <x:c r="R584" s="81" t="n">
        <x:v>3.4912542215804803</x:v>
      </x:c>
      <x:c r="S584" s="81" t="n">
        <x:v>9.413004807898894e-10</x:v>
      </x:c>
      <x:c r="T584" s="81" t="n">
        <x:v>2.5355780452778286e-51</x:v>
      </x:c>
    </x:row>
    <x:row r="585">
      <x:c r="A585" s="59" t="n">
        <x:v>582</x:v>
      </x:c>
      <x:c r="B585" s="193" t="n">
        <x:v>0.8048787349835038</x:v>
      </x:c>
      <x:c r="C585" s="83" t="n">
        <x:v>0.12300599462373567</x:v>
      </x:c>
      <x:c r="D585" s="83" t="n">
        <x:v>0.6262118160673733</x:v>
      </x:c>
      <x:c r="E585" s="81" t="n">
        <x:v>-0.01994165967896186</x:v>
      </x:c>
      <x:c r="F585" s="81" t="n">
        <x:v>0.35037631799932567</x:v>
      </x:c>
      <x:c r="G585" s="81" t="n">
        <x:v>-0.0024383843020593173</x:v>
      </x:c>
      <x:c r="H585" s="59" t="n">
        <x:v>0</x:v>
      </x:c>
      <x:c r="I585" s="81" t="n">
        <x:v>0</x:v>
      </x:c>
      <x:c r="J585" s="79" t="n">
        <x:v>1.6706095744332222e-12</x:v>
      </x:c>
      <x:c r="K585" s="81" t="n">
        <x:v>-0.9999999980907319</x:v>
      </x:c>
      <x:c r="L585" s="81" t="n">
        <x:v>-0.9999999980907319</x:v>
      </x:c>
      <x:c r="M585" s="80" t="n">
        <x:v>0.2527646591572354</x:v>
      </x:c>
      <x:c r="N585" s="82" t="n">
        <x:v>0.2938309561493517</x:v>
      </x:c>
      <x:c r="O585" s="82" t="n">
        <x:v>0.0972530509655679</x:v>
      </x:c>
      <x:c r="P585" s="80" t="n">
        <x:v>535.939395727933</x:v>
      </x:c>
      <x:c r="Q585" s="81" t="n">
        <x:v>7.806693519260991</x:v>
      </x:c>
      <x:c r="R585" s="81" t="n">
        <x:v>53.09849751022604</x:v>
      </x:c>
      <x:c r="S585" s="81" t="n">
        <x:v>0.00006161894240690758</x:v>
      </x:c>
      <x:c r="T585" s="81" t="n">
        <x:v>3.618905068908573e-8</x:v>
      </x:c>
    </x:row>
    <x:row r="586">
      <x:c r="A586" s="59" t="n">
        <x:v>583</x:v>
      </x:c>
      <x:c r="B586" s="193" t="n">
        <x:v>0.7233819859102368</x:v>
      </x:c>
      <x:c r="C586" s="83" t="n">
        <x:v>2.832767521742511</x:v>
      </x:c>
      <x:c r="D586" s="83" t="n">
        <x:v>1.1899610406836094</x:v>
      </x:c>
      <x:c r="E586" s="81" t="n">
        <x:v>0.03551879966827084</x:v>
      </x:c>
      <x:c r="F586" s="81" t="n">
        <x:v>0.7817171127418988</x:v>
      </x:c>
      <x:c r="G586" s="81" t="n">
        <x:v>-0.0024775663820069457</x:v>
      </x:c>
      <x:c r="H586" s="59" t="n">
        <x:v>0</x:v>
      </x:c>
      <x:c r="I586" s="81" t="n">
        <x:v>0</x:v>
      </x:c>
      <x:c r="J586" s="79" t="n">
        <x:v>0.0028105262152013535</x:v>
      </x:c>
      <x:c r="K586" s="81" t="n">
        <x:v>2.2120299602301188</x:v>
      </x:c>
      <x:c r="L586" s="81" t="n">
        <x:v>-0.6468173644736845</x:v>
      </x:c>
      <x:c r="M586" s="80" t="n">
        <x:v>40550.004509516446</x:v>
      </x:c>
      <x:c r="N586" s="82" t="n">
        <x:v>0.27441690245605416</x:v>
      </x:c>
      <x:c r="O586" s="82" t="n">
        <x:v>0.2026429126005114</x:v>
      </x:c>
      <x:c r="P586" s="80" t="n">
        <x:v>90255.07049504871</x:v>
      </x:c>
      <x:c r="Q586" s="81" t="n">
        <x:v>0.013095099735142633</x:v>
      </x:c>
      <x:c r="R586" s="81" t="n">
        <x:v>32.85435048684034</x:v>
      </x:c>
      <x:c r="S586" s="81" t="n">
        <x:v>23.938219041959126</x:v>
      </x:c>
      <x:c r="T586" s="81" t="n">
        <x:v>60.8821338159951</x:v>
      </x:c>
    </x:row>
    <x:row r="587">
      <x:c r="A587" s="59" t="n">
        <x:v>584</x:v>
      </x:c>
      <x:c r="B587" s="193" t="n">
        <x:v>0.8395080519840121</x:v>
      </x:c>
      <x:c r="C587" s="83" t="n">
        <x:v>1.318015788994136</x:v>
      </x:c>
      <x:c r="D587" s="83" t="n">
        <x:v>0.43121825376040385</x:v>
      </x:c>
      <x:c r="E587" s="81" t="n">
        <x:v>0.015590613451335477</x:v>
      </x:c>
      <x:c r="F587" s="81" t="n">
        <x:v>0.5054787554428912</x:v>
      </x:c>
      <x:c r="G587" s="81" t="n">
        <x:v>0.04839729808898551</x:v>
      </x:c>
      <x:c r="H587" s="59" t="n">
        <x:v>0</x:v>
      </x:c>
      <x:c r="I587" s="81" t="n">
        <x:v>0</x:v>
      </x:c>
      <x:c r="J587" s="79" t="n">
        <x:v>0.00012504112266514136</x:v>
      </x:c>
      <x:c r="K587" s="81" t="n">
        <x:v>-0.857095859811267</x:v>
      </x:c>
      <x:c r="L587" s="81" t="n">
        <x:v>-0.9261900031954695</x:v>
      </x:c>
      <x:c r="M587" s="80" t="n">
        <x:v>4568.4418369641835</x:v>
      </x:c>
      <x:c r="N587" s="82" t="n">
        <x:v>0.3020803087585663</x:v>
      </x:c>
      <x:c r="O587" s="82" t="n">
        <x:v>0.1442435046823187</x:v>
      </x:c>
      <x:c r="P587" s="80" t="n">
        <x:v>5611.268336744434</x:v>
      </x:c>
      <x:c r="Q587" s="81" t="n">
        <x:v>0.017839542301579917</x:v>
      </x:c>
      <x:c r="R587" s="81" t="n">
        <x:v>12.384081672064049</x:v>
      </x:c>
      <x:c r="S587" s="81" t="n">
        <x:v>2.4305055057416047</x:v>
      </x:c>
      <x:c r="T587" s="81" t="n">
        <x:v>2.7086637091040244</x:v>
      </x:c>
    </x:row>
    <x:row r="588">
      <x:c r="A588" s="59" t="n">
        <x:v>585</x:v>
      </x:c>
      <x:c r="B588" s="193" t="n">
        <x:v>0.8118990417569876</x:v>
      </x:c>
      <x:c r="C588" s="83" t="n">
        <x:v>0.24719462245629603</x:v>
      </x:c>
      <x:c r="D588" s="83" t="n">
        <x:v>0.34830370721562254</x:v>
      </x:c>
      <x:c r="E588" s="81" t="n">
        <x:v>-0.06591458956741873</x:v>
      </x:c>
      <x:c r="F588" s="81" t="n">
        <x:v>0.5388427668716759</x:v>
      </x:c>
      <x:c r="G588" s="81" t="n">
        <x:v>0.008581735668830059</x:v>
      </x:c>
      <x:c r="H588" s="59" t="n">
        <x:v>0</x:v>
      </x:c>
      <x:c r="I588" s="81" t="n">
        <x:v>0</x:v>
      </x:c>
      <x:c r="J588" s="79" t="n">
        <x:v>1.9721009214994567e-19</x:v>
      </x:c>
      <x:c r="K588" s="81" t="n">
        <x:v>-0.9999999999999998</x:v>
      </x:c>
      <x:c r="L588" s="81" t="n">
        <x:v>-0.9999999999999998</x:v>
      </x:c>
      <x:c r="M588" s="80" t="n">
        <x:v>0.00009870268334536759</x:v>
      </x:c>
      <x:c r="N588" s="82" t="n">
        <x:v>0.29550332485354747</x:v>
      </x:c>
      <x:c r="O588" s="82" t="n">
        <x:v>0.1504164626205187</x:v>
      </x:c>
      <x:c r="P588" s="80" t="n">
        <x:v>217.75393527895042</x:v>
      </x:c>
      <x:c r="Q588" s="81" t="n">
        <x:v>8175.329195436061</x:v>
      </x:c>
      <x:c r="R588" s="81" t="n">
        <x:v>17.7954898875836</x:v>
      </x:c>
      <x:c r="S588" s="81" t="n">
        <x:v>1.4071793894195856e-8</x:v>
      </x:c>
      <x:c r="T588" s="81" t="n">
        <x:v>4.272001148823134e-15</x:v>
      </x:c>
    </x:row>
    <x:row r="589">
      <x:c r="A589" s="59" t="n">
        <x:v>586</x:v>
      </x:c>
      <x:c r="B589" s="193" t="n">
        <x:v>0.6098177000880242</x:v>
      </x:c>
      <x:c r="C589" s="83" t="n">
        <x:v>0.9343424468598645</x:v>
      </x:c>
      <x:c r="D589" s="83" t="n">
        <x:v>0.28436144199667995</x:v>
      </x:c>
      <x:c r="E589" s="81" t="n">
        <x:v>-0.07167483625365835</x:v>
      </x:c>
      <x:c r="F589" s="81" t="n">
        <x:v>0.6426539163920097</x:v>
      </x:c>
      <x:c r="G589" s="81" t="n">
        <x:v>-0.015992554024306074</x:v>
      </x:c>
      <x:c r="H589" s="59" t="n">
        <x:v>33</x:v>
      </x:c>
      <x:c r="I589" s="81" t="n">
        <x:v>0.30420121932402255</x:v>
      </x:c>
      <x:c r="J589" s="79" t="n">
        <x:v>6.416583797795939e-16</x:v>
      </x:c>
      <x:c r="K589" s="81" t="n">
        <x:v>-0.9999999999992667</x:v>
      </x:c>
      <x:c r="L589" s="81" t="n">
        <x:v>-0.9999999999992667</x:v>
      </x:c>
      <x:c r="M589" s="80" t="n">
        <x:v>0.008630816763926555</x:v>
      </x:c>
      <x:c r="N589" s="82" t="n">
        <x:v>0.24736376024284398</x:v>
      </x:c>
      <x:c r="O589" s="82" t="n">
        <x:v>0.15017034360576856</x:v>
      </x:c>
      <x:c r="P589" s="80" t="n">
        <x:v>323.5493653170556</x:v>
      </x:c>
      <x:c r="Q589" s="81" t="n">
        <x:v>203.14227458562942</x:v>
      </x:c>
      <x:c r="R589" s="81" t="n">
        <x:v>5.9370319617083815</x:v>
      </x:c>
      <x:c r="S589" s="81" t="n">
        <x:v>4.7191056685130505e-7</x:v>
      </x:c>
      <x:c r="T589" s="81" t="n">
        <x:v>1.3899721386906574e-11</x:v>
      </x:c>
    </x:row>
    <x:row r="590">
      <x:c r="A590" s="59" t="n">
        <x:v>587</x:v>
      </x:c>
      <x:c r="B590" s="193" t="n">
        <x:v>0.5787062292918563</x:v>
      </x:c>
      <x:c r="C590" s="83" t="n">
        <x:v>0.23796527742355653</x:v>
      </x:c>
      <x:c r="D590" s="83" t="n">
        <x:v>1.2562108655506772</x:v>
      </x:c>
      <x:c r="E590" s="81" t="n">
        <x:v>-0.0624480198436935</x:v>
      </x:c>
      <x:c r="F590" s="81" t="n">
        <x:v>0.6498258058563806</x:v>
      </x:c>
      <x:c r="G590" s="81" t="n">
        <x:v>-0.0463610608538476</x:v>
      </x:c>
      <x:c r="H590" s="59" t="n">
        <x:v>0</x:v>
      </x:c>
      <x:c r="I590" s="81" t="n">
        <x:v>0</x:v>
      </x:c>
      <x:c r="J590" s="79" t="n">
        <x:v>4.050972396944001e-31</x:v>
      </x:c>
      <x:c r="K590" s="81" t="n">
        <x:v>-1</x:v>
      </x:c>
      <x:c r="L590" s="81" t="n">
        <x:v>-1</x:v>
      </x:c>
      <x:c r="M590" s="80" t="n">
        <x:v>0.000002</x:v>
      </x:c>
      <x:c r="N590" s="82" t="n">
        <x:v>0.23995242455911947</x:v>
      </x:c>
      <x:c r="O590" s="82" t="n">
        <x:v>0.14729670722706553</x:v>
      </x:c>
      <x:c r="P590" s="80" t="n">
        <x:v>318.4798788232525</x:v>
      </x:c>
      <x:c r="Q590" s="81" t="n">
        <x:v>84844664487253.28</x:v>
      </x:c>
      <x:c r="R590" s="81" t="n">
        <x:v>7.696021904043375</x:v>
      </x:c>
      <x:c r="S590" s="81" t="n">
        <x:v>4.989188300491216e-10</x:v>
      </x:c>
      <x:c r="T590" s="81" t="n">
        <x:v>8.775290627843431e-27</x:v>
      </x:c>
    </x:row>
    <x:row r="591">
      <x:c r="A591" s="59" t="n">
        <x:v>588</x:v>
      </x:c>
      <x:c r="B591" s="193" t="n">
        <x:v>0.47559988442808393</x:v>
      </x:c>
      <x:c r="C591" s="83" t="n">
        <x:v>0.10223664838811669</x:v>
      </x:c>
      <x:c r="D591" s="83" t="n">
        <x:v>0.8365302824637459</x:v>
      </x:c>
      <x:c r="E591" s="81" t="n">
        <x:v>-0.14568798733140806</x:v>
      </x:c>
      <x:c r="F591" s="81" t="n">
        <x:v>0.4865474523976445</x:v>
      </x:c>
      <x:c r="G591" s="81" t="n">
        <x:v>0.0005222916435664288</x:v>
      </x:c>
      <x:c r="H591" s="59" t="n">
        <x:v>0</x:v>
      </x:c>
      <x:c r="I591" s="81" t="n">
        <x:v>0</x:v>
      </x:c>
      <x:c r="J591" s="79" t="n">
        <x:v>8.041673708506347e-48</x:v>
      </x:c>
      <x:c r="K591" s="81" t="n">
        <x:v>-1</x:v>
      </x:c>
      <x:c r="L591" s="81" t="n">
        <x:v>-1</x:v>
      </x:c>
      <x:c r="M591" s="80" t="n">
        <x:v>0.000002</x:v>
      </x:c>
      <x:c r="N591" s="82" t="n">
        <x:v>0.21539055996860285</x:v>
      </x:c>
      <x:c r="O591" s="82" t="n">
        <x:v>0.09899717691590303</x:v>
      </x:c>
      <x:c r="P591" s="80" t="n">
        <x:v>137.54596576322766</x:v>
      </x:c>
      <x:c r="Q591" s="81" t="n">
        <x:v>1.9755633895234399e+30</x:v>
      </x:c>
      <x:c r="R591" s="81" t="n">
        <x:v>11.170035536141427</x:v>
      </x:c>
      <x:c r="S591" s="81" t="n">
        <x:v>6.690675257800139e-10</x:v>
      </x:c>
      <x:c r="T591" s="81" t="n">
        <x:v>1.7420020926251248e-43</x:v>
      </x:c>
    </x:row>
    <x:row r="592">
      <x:c r="A592" s="59" t="n">
        <x:v>589</x:v>
      </x:c>
      <x:c r="B592" s="193" t="n">
        <x:v>0.5856258474290371</x:v>
      </x:c>
      <x:c r="C592" s="83" t="n">
        <x:v>2.119825748945859</x:v>
      </x:c>
      <x:c r="D592" s="83" t="n">
        <x:v>0.5646338759461738</x:v>
      </x:c>
      <x:c r="E592" s="81" t="n">
        <x:v>0.0012013442626296973</x:v>
      </x:c>
      <x:c r="F592" s="81" t="n">
        <x:v>0.7446731153177097</x:v>
      </x:c>
      <x:c r="G592" s="81" t="n">
        <x:v>-0.012505226263650672</x:v>
      </x:c>
      <x:c r="H592" s="59" t="n">
        <x:v>35</x:v>
      </x:c>
      <x:c r="I592" s="81" t="n">
        <x:v>0.46485224142670634</x:v>
      </x:c>
      <x:c r="J592" s="79" t="n">
        <x:v>0.000003349736642313747</x:v>
      </x:c>
      <x:c r="K592" s="81" t="n">
        <x:v>-0.9961717295516415</x:v>
      </x:c>
      <x:c r="L592" s="81" t="n">
        <x:v>-0.9961717295516415</x:v>
      </x:c>
      <x:c r="M592" s="80" t="n">
        <x:v>975.8423388918383</x:v>
      </x:c>
      <x:c r="N592" s="82" t="n">
        <x:v>0.24160080734223588</x:v>
      </x:c>
      <x:c r="O592" s="82" t="n">
        <x:v>0.1699554117392737</x:v>
      </x:c>
      <x:c r="P592" s="80" t="n">
        <x:v>3653.689971945598</x:v>
      </x:c>
      <x:c r="Q592" s="81" t="n">
        <x:v>0.061318921835547616</x:v>
      </x:c>
      <x:c r="R592" s="81" t="n">
        <x:v>6.813901156725809</x:v>
      </x:c>
      <x:c r="S592" s="81" t="n">
        <x:v>0.09605660673156112</x:v>
      </x:c>
      <x:c r="T592" s="81" t="n">
        <x:v>0.07256260888179508</x:v>
      </x:c>
    </x:row>
    <x:row r="593">
      <x:c r="A593" s="59" t="n">
        <x:v>590</x:v>
      </x:c>
      <x:c r="B593" s="193" t="n">
        <x:v>0.27399128302931786</x:v>
      </x:c>
      <x:c r="C593" s="83" t="n">
        <x:v>0.30983623719703796</x:v>
      </x:c>
      <x:c r="D593" s="83" t="n">
        <x:v>0.5838662156131378</x:v>
      </x:c>
      <x:c r="E593" s="81" t="n">
        <x:v>0.029061621547784744</x:v>
      </x:c>
      <x:c r="F593" s="81" t="n">
        <x:v>0.6530954904155806</x:v>
      </x:c>
      <x:c r="G593" s="81" t="n">
        <x:v>-0.020680759797057725</x:v>
      </x:c>
      <x:c r="H593" s="59" t="n">
        <x:v>0</x:v>
      </x:c>
      <x:c r="I593" s="81" t="n">
        <x:v>0</x:v>
      </x:c>
      <x:c r="J593" s="79" t="n">
        <x:v>0.0001210836603655547</x:v>
      </x:c>
      <x:c r="K593" s="81" t="n">
        <x:v>-0.8616186738679374</x:v>
      </x:c>
      <x:c r="L593" s="81" t="n">
        <x:v>-0.8803181854234291</x:v>
      </x:c>
      <x:c r="M593" s="80" t="n">
        <x:v>2603.2788725387004</x:v>
      </x:c>
      <x:c r="N593" s="82" t="n">
        <x:v>0.1673636109541401</x:v>
      </x:c>
      <x:c r="O593" s="82" t="n">
        <x:v>0.1032544230270926</x:v>
      </x:c>
      <x:c r="P593" s="80" t="n">
        <x:v>3714.2550029548443</x:v>
      </x:c>
      <x:c r="Q593" s="81" t="n">
        <x:v>0.007113680190529029</x:v>
      </x:c>
      <x:c r="R593" s="81" t="n">
        <x:v>66.02910545966655</x:v>
      </x:c>
      <x:c r="S593" s="81" t="n">
        <x:v>7.661444633198265</x:v>
      </x:c>
      <x:c r="T593" s="81" t="n">
        <x:v>2.6229364356873877</x:v>
      </x:c>
    </x:row>
    <x:row r="594">
      <x:c r="A594" s="59" t="n">
        <x:v>591</x:v>
      </x:c>
      <x:c r="B594" s="193" t="n">
        <x:v>0.9817797059193254</x:v>
      </x:c>
      <x:c r="C594" s="83" t="n">
        <x:v>0.9637369467626178</x:v>
      </x:c>
      <x:c r="D594" s="83" t="n">
        <x:v>0.8061459429517215</x:v>
      </x:c>
      <x:c r="E594" s="81" t="n">
        <x:v>0.1361730623253597</x:v>
      </x:c>
      <x:c r="F594" s="81" t="n">
        <x:v>0.48733064358821143</x:v>
      </x:c>
      <x:c r="G594" s="81" t="n">
        <x:v>-0.01599342416625505</x:v>
      </x:c>
      <x:c r="H594" s="59" t="n">
        <x:v>55</x:v>
      </x:c>
      <x:c r="I594" s="81" t="n">
        <x:v>0.410911219008267</x:v>
      </x:c>
      <x:c r="J594" s="79" t="n">
        <x:v>0.007669125503303366</x:v>
      </x:c>
      <x:c r="K594" s="81" t="n">
        <x:v>7.764714860918133</x:v>
      </x:c>
      <x:c r="L594" s="81" t="n">
        <x:v>-0.9455841152138421</x:v>
      </x:c>
      <x:c r="M594" s="80" t="n">
        <x:v>41628.698686106225</x:v>
      </x:c>
      <x:c r="N594" s="82" t="n">
        <x:v>0.33597208431946946</x:v>
      </x:c>
      <x:c r="O594" s="82" t="n">
        <x:v>0.15466706930113916</x:v>
      </x:c>
      <x:c r="P594" s="80" t="n">
        <x:v>55340.899495038175</x:v>
      </x:c>
      <x:c r="Q594" s="81" t="n">
        <x:v>0.0031020154578768906</x:v>
      </x:c>
      <x:c r="R594" s="81" t="n">
        <x:v>300.3089532038684</x:v>
      </x:c>
      <x:c r="S594" s="81" t="n">
        <x:v>154.60008448311373</x:v>
      </x:c>
      <x:c r="T594" s="81" t="n">
        <x:v>166.13000178342952</x:v>
      </x:c>
    </x:row>
    <x:row r="595">
      <x:c r="A595" s="59" t="n">
        <x:v>592</x:v>
      </x:c>
      <x:c r="B595" s="193" t="n">
        <x:v>0.8962978208437562</x:v>
      </x:c>
      <x:c r="C595" s="83" t="n">
        <x:v>0.9027412481143524</x:v>
      </x:c>
      <x:c r="D595" s="83" t="n">
        <x:v>2.5850359318133096</x:v>
      </x:c>
      <x:c r="E595" s="81" t="n">
        <x:v>0.09096512784039872</x:v>
      </x:c>
      <x:c r="F595" s="81" t="n">
        <x:v>0.5616804089746439</x:v>
      </x:c>
      <x:c r="G595" s="81" t="n">
        <x:v>-0.02668952708395624</x:v>
      </x:c>
      <x:c r="H595" s="59" t="n">
        <x:v>0</x:v>
      </x:c>
      <x:c r="I595" s="81" t="n">
        <x:v>0</x:v>
      </x:c>
      <x:c r="J595" s="79" t="n">
        <x:v>0.028398849229835772</x:v>
      </x:c>
      <x:c r="K595" s="81" t="n">
        <x:v>31.455827691240884</x:v>
      </x:c>
      <x:c r="L595" s="81" t="n">
        <x:v>-0.836395754462827</x:v>
      </x:c>
      <x:c r="M595" s="80" t="n">
        <x:v>100716.54544926787</x:v>
      </x:c>
      <x:c r="N595" s="82" t="n">
        <x:v>0.31560869650912377</x:v>
      </x:c>
      <x:c r="O595" s="82" t="n">
        <x:v>0.1674592645981843</x:v>
      </x:c>
      <x:c r="P595" s="80" t="n">
        <x:v>318980.9252676618</x:v>
      </x:c>
      <x:c r="Q595" s="81" t="n">
        <x:v>0.005506529635641134</x:v>
      </x:c>
      <x:c r="R595" s="81" t="n">
        <x:v>1063.6109590900337</x:v>
      </x:c>
      <x:c r="S595" s="81" t="n">
        <x:v>630.0213721063335</x:v>
      </x:c>
      <x:c r="T595" s="81" t="n">
        <x:v>615.1810752305194</x:v>
      </x:c>
    </x:row>
    <x:row r="596">
      <x:c r="A596" s="59" t="n">
        <x:v>593</x:v>
      </x:c>
      <x:c r="B596" s="193" t="n">
        <x:v>0.47147955987602475</x:v>
      </x:c>
      <x:c r="C596" s="83" t="n">
        <x:v>0.555043472340389</x:v>
      </x:c>
      <x:c r="D596" s="83" t="n">
        <x:v>0.6718026780803288</x:v>
      </x:c>
      <x:c r="E596" s="81" t="n">
        <x:v>0.11629401039453828</x:v>
      </x:c>
      <x:c r="F596" s="81" t="n">
        <x:v>0.807661160430871</x:v>
      </x:c>
      <x:c r="G596" s="81" t="n">
        <x:v>0.02067976029746569</x:v>
      </x:c>
      <x:c r="H596" s="59" t="n">
        <x:v>46</x:v>
      </x:c>
      <x:c r="I596" s="81" t="n">
        <x:v>0.43932366212829954</x:v>
      </x:c>
      <x:c r="J596" s="79" t="n">
        <x:v>0.004752624340453771</x:v>
      </x:c>
      <x:c r="K596" s="81" t="n">
        <x:v>4.43157067480431</x:v>
      </x:c>
      <x:c r="L596" s="81" t="n">
        <x:v>-0.9167327489920448</x:v>
      </x:c>
      <x:c r="M596" s="80" t="n">
        <x:v>25104.98506166541</x:v>
      </x:c>
      <x:c r="N596" s="82" t="n">
        <x:v>0.21440902140421678</x:v>
      </x:c>
      <x:c r="O596" s="82" t="n">
        <x:v>0.16358489331799755</x:v>
      </x:c>
      <x:c r="P596" s="80" t="n">
        <x:v>30108.072063298776</x:v>
      </x:c>
      <x:c r="Q596" s="81" t="n">
        <x:v>0.0037192856668648413</x:v>
      </x:c>
      <x:c r="R596" s="81" t="n">
        <x:v>186.76005894569846</x:v>
      </x:c>
      <x:c r="S596" s="81" t="n">
        <x:v>165.64408537318081</x:v>
      </x:c>
      <x:c r="T596" s="81" t="n">
        <x:v>102.9522192348354</x:v>
      </x:c>
    </x:row>
    <x:row r="597">
      <x:c r="A597" s="59" t="n">
        <x:v>594</x:v>
      </x:c>
      <x:c r="B597" s="193" t="n">
        <x:v>0.6778472913429141</x:v>
      </x:c>
      <x:c r="C597" s="83" t="n">
        <x:v>0.323606392101054</x:v>
      </x:c>
      <x:c r="D597" s="83" t="n">
        <x:v>0.5552047237895883</x:v>
      </x:c>
      <x:c r="E597" s="81" t="n">
        <x:v>-0.0726462207921977</x:v>
      </x:c>
      <x:c r="F597" s="81" t="n">
        <x:v>0.5604217104846612</x:v>
      </x:c>
      <x:c r="G597" s="81" t="n">
        <x:v>-0.009174343569115164</x:v>
      </x:c>
      <x:c r="H597" s="59" t="n">
        <x:v>18</x:v>
      </x:c>
      <x:c r="I597" s="81" t="n">
        <x:v>0.1327173737809062</x:v>
      </x:c>
      <x:c r="J597" s="79" t="n">
        <x:v>3.993582022181038e-25</x:v>
      </x:c>
      <x:c r="K597" s="81" t="n">
        <x:v>-1</x:v>
      </x:c>
      <x:c r="L597" s="81" t="n">
        <x:v>-1</x:v>
      </x:c>
      <x:c r="M597" s="80" t="n">
        <x:v>0.000002</x:v>
      </x:c>
      <x:c r="N597" s="82" t="n">
        <x:v>0.26356968443459466</x:v>
      </x:c>
      <x:c r="O597" s="82" t="n">
        <x:v>0.1395344194437302</x:v>
      </x:c>
      <x:c r="P597" s="80" t="n">
        <x:v>252.411702362692</x:v>
      </x:c>
      <x:c r="Q597" s="81" t="n">
        <x:v>74692272.51741658</x:v>
      </x:c>
      <x:c r="R597" s="81" t="n">
        <x:v>9.830103627188032</x:v>
      </x:c>
      <x:c r="S597" s="81" t="n">
        <x:v>3.2847188362264044e-10</x:v>
      </x:c>
      <x:c r="T597" s="81" t="n">
        <x:v>8.65097054653017e-21</x:v>
      </x:c>
    </x:row>
    <x:row r="598">
      <x:c r="A598" s="59" t="n">
        <x:v>595</x:v>
      </x:c>
      <x:c r="B598" s="193" t="n">
        <x:v>0.44919800832867623</x:v>
      </x:c>
      <x:c r="C598" s="83" t="n">
        <x:v>0.1708058962976529</x:v>
      </x:c>
      <x:c r="D598" s="83" t="n">
        <x:v>0.5131109565198629</x:v>
      </x:c>
      <x:c r="E598" s="81" t="n">
        <x:v>-0.07228389592396132</x:v>
      </x:c>
      <x:c r="F598" s="81" t="n">
        <x:v>0.6494445753050968</x:v>
      </x:c>
      <x:c r="G598" s="81" t="n">
        <x:v>-0.0299918211042712</x:v>
      </x:c>
      <x:c r="H598" s="59" t="n">
        <x:v>0</x:v>
      </x:c>
      <x:c r="I598" s="81" t="n">
        <x:v>0</x:v>
      </x:c>
      <x:c r="J598" s="79" t="n">
        <x:v>5.793688753282713e-23</x:v>
      </x:c>
      <x:c r="K598" s="81" t="n">
        <x:v>-1</x:v>
      </x:c>
      <x:c r="L598" s="81" t="n">
        <x:v>-1</x:v>
      </x:c>
      <x:c r="M598" s="80" t="n">
        <x:v>0.000002</x:v>
      </x:c>
      <x:c r="N598" s="82" t="n">
        <x:v>0.20910113804654687</x:v>
      </x:c>
      <x:c r="O598" s="82" t="n">
        <x:v>0.12828309576829866</x:v>
      </x:c>
      <x:c r="P598" s="80" t="n">
        <x:v>219.75034058367564</x:v>
      </x:c>
      <x:c r="Q598" s="81" t="n">
        <x:v>517258.77791833266</x:v>
      </x:c>
      <x:c r="R598" s="81" t="n">
        <x:v>19.390807300542424</x:v>
      </x:c>
      <x:c r="S598" s="81" t="n">
        <x:v>2.650520436365156e-10</x:v>
      </x:c>
      <x:c r="T598" s="81" t="n">
        <x:v>1.2550394728850207e-18</x:v>
      </x:c>
    </x:row>
    <x:row r="599">
      <x:c r="A599" s="59" t="n">
        <x:v>596</x:v>
      </x:c>
      <x:c r="B599" s="193" t="n">
        <x:v>0.21092756651341915</x:v>
      </x:c>
      <x:c r="C599" s="83" t="n">
        <x:v>0.13030668877672175</x:v>
      </x:c>
      <x:c r="D599" s="83" t="n">
        <x:v>1.2716007042897775</x:v>
      </x:c>
      <x:c r="E599" s="81" t="n">
        <x:v>0.06971792859781768</x:v>
      </x:c>
      <x:c r="F599" s="81" t="n">
        <x:v>0.7492551559349523</x:v>
      </x:c>
      <x:c r="G599" s="81" t="n">
        <x:v>-0.023133614415884997</x:v>
      </x:c>
      <x:c r="H599" s="59" t="n">
        <x:v>33</x:v>
      </x:c>
      <x:c r="I599" s="81" t="n">
        <x:v>0.49364795386791227</x:v>
      </x:c>
      <x:c r="J599" s="79" t="n">
        <x:v>0.00269599901195004</x:v>
      </x:c>
      <x:c r="K599" s="81" t="n">
        <x:v>2.0811417279429034</x:v>
      </x:c>
      <x:c r="L599" s="81" t="n">
        <x:v>-0.9550822718831183</x:v>
      </x:c>
      <x:c r="M599" s="80" t="n">
        <x:v>13236.168939107049</x:v>
      </x:c>
      <x:c r="N599" s="82" t="n">
        <x:v>0.15234065123536863</x:v>
      </x:c>
      <x:c r="O599" s="82" t="n">
        <x:v>0.10782426089119174</x:v>
      </x:c>
      <x:c r="P599" s="80" t="n">
        <x:v>28193.527754305465</x:v>
      </x:c>
      <x:c r="Q599" s="81" t="n">
        <x:v>0.003939423602843199</x:v>
      </x:c>
      <x:c r="R599" s="81" t="n">
        <x:v>1094.253109531464</x:v>
      </x:c>
      <x:c r="S599" s="81" t="n">
        <x:v>389.3568110832746</x:v>
      </x:c>
      <x:c r="T599" s="81" t="n">
        <x:v>58.40122455558509</x:v>
      </x:c>
    </x:row>
    <x:row r="600">
      <x:c r="A600" s="59" t="n">
        <x:v>597</x:v>
      </x:c>
      <x:c r="B600" s="193" t="n">
        <x:v>0.810029092617333</x:v>
      </x:c>
      <x:c r="C600" s="83" t="n">
        <x:v>1.330435963077555</x:v>
      </x:c>
      <x:c r="D600" s="83" t="n">
        <x:v>1.0073151407272893</x:v>
      </x:c>
      <x:c r="E600" s="81" t="n">
        <x:v>0.05025544400086078</x:v>
      </x:c>
      <x:c r="F600" s="81" t="n">
        <x:v>0.4930153754539788</x:v>
      </x:c>
      <x:c r="G600" s="81" t="n">
        <x:v>-0.0309642314892986</x:v>
      </x:c>
      <x:c r="H600" s="59" t="n">
        <x:v>0</x:v>
      </x:c>
      <x:c r="I600" s="81" t="n">
        <x:v>0</x:v>
      </x:c>
      <x:c r="J600" s="79" t="n">
        <x:v>0.0016873583946895613</x:v>
      </x:c>
      <x:c r="K600" s="81" t="n">
        <x:v>0.9284095939309274</x:v>
      </x:c>
      <x:c r="L600" s="81" t="n">
        <x:v>-0.7176887675188637</x:v>
      </x:c>
      <x:c r="M600" s="80" t="n">
        <x:v>19143.803234353225</x:v>
      </x:c>
      <x:c r="N600" s="82" t="n">
        <x:v>0.29505786790693517</x:v>
      </x:c>
      <x:c r="O600" s="82" t="n">
        <x:v>0.13741641219449666</x:v>
      </x:c>
      <x:c r="P600" s="80" t="n">
        <x:v>36826.876087959114</x:v>
      </x:c>
      <x:c r="Q600" s="81" t="n">
        <x:v>0.006287051696869879</x:v>
      </x:c>
      <x:c r="R600" s="81" t="n">
        <x:v>75.41239221115661</x:v>
      </x:c>
      <x:c r="S600" s="81" t="n">
        <x:v>26.136204297213848</x:v>
      </x:c>
      <x:c r="T600" s="81" t="n">
        <x:v>36.55186670218363</x:v>
      </x:c>
    </x:row>
    <x:row r="601">
      <x:c r="A601" s="59" t="n">
        <x:v>598</x:v>
      </x:c>
      <x:c r="B601" s="193" t="n">
        <x:v>0.5941526900976897</x:v>
      </x:c>
      <x:c r="C601" s="83" t="n">
        <x:v>1.455276067422738</x:v>
      </x:c>
      <x:c r="D601" s="83" t="n">
        <x:v>0.1</x:v>
      </x:c>
      <x:c r="E601" s="81" t="n">
        <x:v>0.036292032920773626</x:v>
      </x:c>
      <x:c r="F601" s="81" t="n">
        <x:v>0.5156777243129909</x:v>
      </x:c>
      <x:c r="G601" s="81" t="n">
        <x:v>-0.02231256862397466</x:v>
      </x:c>
      <x:c r="H601" s="59" t="n">
        <x:v>0</x:v>
      </x:c>
      <x:c r="I601" s="81" t="n">
        <x:v>0</x:v>
      </x:c>
      <x:c r="J601" s="79" t="n">
        <x:v>0.000017604202565657485</x:v>
      </x:c>
      <x:c r="K601" s="81" t="n">
        <x:v>-0.9798809113535343</x:v>
      </x:c>
      <x:c r="L601" s="81" t="n">
        <x:v>-0.9798809113535343</x:v>
      </x:c>
      <x:c r="M601" s="80" t="n">
        <x:v>1775.6979765855172</x:v>
      </x:c>
      <x:c r="N601" s="82" t="n">
        <x:v>0.243632061144209</x:v>
      </x:c>
      <x:c r="O601" s="82" t="n">
        <x:v>0.11868169845017414</x:v>
      </x:c>
      <x:c r="P601" s="80" t="n">
        <x:v>763.7409111231038</x:v>
      </x:c>
      <x:c r="Q601" s="81" t="n">
        <x:v>0.004538351193103979</x:v>
      </x:c>
      <x:c r="R601" s="81" t="n">
        <x:v>10.281978772735</x:v>
      </x:c>
      <x:c r="S601" s="81" t="n">
        <x:v>0.249695160745688</x:v>
      </x:c>
      <x:c r="T601" s="81" t="n">
        <x:v>0.38134546140479886</x:v>
      </x:c>
    </x:row>
    <x:row r="602">
      <x:c r="A602" s="59" t="n">
        <x:v>599</x:v>
      </x:c>
      <x:c r="B602" s="193" t="n">
        <x:v>0.6345106285065413</x:v>
      </x:c>
      <x:c r="C602" s="83" t="n">
        <x:v>0.19967885062136703</x:v>
      </x:c>
      <x:c r="D602" s="83" t="n">
        <x:v>0.5433016130547857</x:v>
      </x:c>
      <x:c r="E602" s="81" t="n">
        <x:v>-0.08007833960890766</x:v>
      </x:c>
      <x:c r="F602" s="81" t="n">
        <x:v>0.2520844638696872</x:v>
      </x:c>
      <x:c r="G602" s="81" t="n">
        <x:v>-0.0041989093068300195</x:v>
      </x:c>
      <x:c r="H602" s="59" t="n">
        <x:v>0</x:v>
      </x:c>
      <x:c r="I602" s="81" t="n">
        <x:v>0</x:v>
      </x:c>
      <x:c r="J602" s="79" t="n">
        <x:v>3.281328515526664e-26</x:v>
      </x:c>
      <x:c r="K602" s="81" t="n">
        <x:v>-1</x:v>
      </x:c>
      <x:c r="L602" s="81" t="n">
        <x:v>-1</x:v>
      </x:c>
      <x:c r="M602" s="80" t="n">
        <x:v>0.000002</x:v>
      </x:c>
      <x:c r="N602" s="82" t="n">
        <x:v>0.25324607878454264</x:v>
      </x:c>
      <x:c r="O602" s="82" t="n">
        <x:v>0.06030589289388346</x:v>
      </x:c>
      <x:c r="P602" s="80" t="n">
        <x:v>228.7669676389313</x:v>
      </x:c>
      <x:c r="Q602" s="81" t="n">
        <x:v>830396070.4735924</x:v>
      </x:c>
      <x:c r="R602" s="81" t="n">
        <x:v>16.43235681880479</x:v>
      </x:c>
      <x:c r="S602" s="81" t="n">
        <x:v>3.769178475375193e-10</x:v>
      </x:c>
      <x:c r="T602" s="81" t="n">
        <x:v>7.108073950565251e-22</x:v>
      </x:c>
    </x:row>
    <x:row r="603">
      <x:c r="A603" s="59" t="n">
        <x:v>600</x:v>
      </x:c>
      <x:c r="B603" s="193" t="n">
        <x:v>0.2912600882351399</x:v>
      </x:c>
      <x:c r="C603" s="83" t="n">
        <x:v>0.5252269702601158</x:v>
      </x:c>
      <x:c r="D603" s="83" t="n">
        <x:v>1.9594671787112832</x:v>
      </x:c>
      <x:c r="E603" s="81" t="n">
        <x:v>-0.008970065143964414</x:v>
      </x:c>
      <x:c r="F603" s="81" t="n">
        <x:v>0.3361311106942594</x:v>
      </x:c>
      <x:c r="G603" s="81" t="n">
        <x:v>0.02087417807246713</x:v>
      </x:c>
      <x:c r="H603" s="59" t="n">
        <x:v>18</x:v>
      </x:c>
      <x:c r="I603" s="81" t="n">
        <x:v>0.10522769428789616</x:v>
      </x:c>
      <x:c r="J603" s="79" t="n">
        <x:v>1.3920131402767227e-16</x:v>
      </x:c>
      <x:c r="K603" s="81" t="n">
        <x:v>-0.9999999999998409</x:v>
      </x:c>
      <x:c r="L603" s="81" t="n">
        <x:v>-0.9999999999998409</x:v>
      </x:c>
      <x:c r="M603" s="80" t="n">
        <x:v>0.0031767954544505905</x:v>
      </x:c>
      <x:c r="N603" s="82" t="n">
        <x:v>0.17147736414426468</x:v>
      </x:c>
      <x:c r="O603" s="82" t="n">
        <x:v>0.054448566656462805</x:v>
      </x:c>
      <x:c r="P603" s="80" t="n">
        <x:v>2163.5094190249984</x:v>
      </x:c>
      <x:c r="Q603" s="81" t="n">
        <x:v>2592.932351693159</x:v>
      </x:c>
      <x:c r="R603" s="81" t="n">
        <x:v>14.84864945233307</x:v>
      </x:c>
      <x:c r="S603" s="81" t="n">
        <x:v>0.000002401268766630214</x:v>
      </x:c>
      <x:c r="T603" s="81" t="n">
        <x:v>3.015404368817793e-12</x:v>
      </x:c>
    </x:row>
    <x:row r="604">
      <x:c r="A604" s="59" t="n">
        <x:v>601</x:v>
      </x:c>
      <x:c r="B604" s="193" t="n">
        <x:v>0.868477711826563</x:v>
      </x:c>
      <x:c r="C604" s="83" t="n">
        <x:v>0.3472855000612049</x:v>
      </x:c>
      <x:c r="D604" s="83" t="n">
        <x:v>0.3647595624805184</x:v>
      </x:c>
      <x:c r="E604" s="81" t="n">
        <x:v>0.056335847345074866</x:v>
      </x:c>
      <x:c r="F604" s="81" t="n">
        <x:v>0.3829520728904754</x:v>
      </x:c>
      <x:c r="G604" s="81" t="n">
        <x:v>-0.03238883510594611</x:v>
      </x:c>
      <x:c r="H604" s="59" t="n">
        <x:v>0</x:v>
      </x:c>
      <x:c r="I604" s="81" t="n">
        <x:v>0</x:v>
      </x:c>
      <x:c r="J604" s="79" t="n">
        <x:v>0.0001245147220837892</x:v>
      </x:c>
      <x:c r="K604" s="81" t="n">
        <x:v>-0.8576974604756694</x:v>
      </x:c>
      <x:c r="L604" s="81" t="n">
        <x:v>-0.8882898114416036</x:v>
      </x:c>
      <x:c r="M604" s="80" t="n">
        <x:v>2736.906428315141</x:v>
      </x:c>
      <x:c r="N604" s="82" t="n">
        <x:v>0.30898142491418407</x:v>
      </x:c>
      <x:c r="O604" s="82" t="n">
        <x:v>0.11177578746557931</x:v>
      </x:c>
      <x:c r="P604" s="80" t="n">
        <x:v>2464.513065281561</x:v>
      </x:c>
      <x:c r="Q604" s="81" t="n">
        <x:v>0.004113907931912982</x:v>
      </x:c>
      <x:c r="R604" s="81" t="n">
        <x:v>64.72218171031295</x:v>
      </x:c>
      <x:c r="S604" s="81" t="n">
        <x:v>6.886719444879381</x:v>
      </x:c>
      <x:c r="T604" s="81" t="n">
        <x:v>2.6972607232640926</x:v>
      </x:c>
    </x:row>
    <x:row r="605">
      <x:c r="A605" s="59" t="n">
        <x:v>602</x:v>
      </x:c>
      <x:c r="B605" s="193" t="n">
        <x:v>0.8474261090159416</x:v>
      </x:c>
      <x:c r="C605" s="83" t="n">
        <x:v>2.765175737668702</x:v>
      </x:c>
      <x:c r="D605" s="83" t="n">
        <x:v>0.9007215045142614</x:v>
      </x:c>
      <x:c r="E605" s="81" t="n">
        <x:v>-0.08222735207398815</x:v>
      </x:c>
      <x:c r="F605" s="81" t="n">
        <x:v>0.7507753536105156</x:v>
      </x:c>
      <x:c r="G605" s="81" t="n">
        <x:v>0.01794017731447442</x:v>
      </x:c>
      <x:c r="H605" s="59" t="n">
        <x:v>0</x:v>
      </x:c>
      <x:c r="I605" s="81" t="n">
        <x:v>0</x:v>
      </x:c>
      <x:c r="J605" s="79" t="n">
        <x:v>5.560661115661655e-38</x:v>
      </x:c>
      <x:c r="K605" s="81" t="n">
        <x:v>-1</x:v>
      </x:c>
      <x:c r="L605" s="81" t="n">
        <x:v>-1</x:v>
      </x:c>
      <x:c r="M605" s="80" t="n">
        <x:v>0.000002</x:v>
      </x:c>
      <x:c r="N605" s="82" t="n">
        <x:v>0.3039665384071414</x:v>
      </x:c>
      <x:c r="O605" s="82" t="n">
        <x:v>0.21557913588244126</x:v>
      </x:c>
      <x:c r="P605" s="80" t="n">
        <x:v>761.680135067855</x:v>
      </x:c>
      <x:c r="Q605" s="81" t="n">
        <x:v>478157060946439400000</x:v>
      </x:c>
      <x:c r="R605" s="81" t="n">
        <x:v>1.1720516996276438</x:v>
      </x:c>
      <x:c r="S605" s="81" t="n">
        <x:v>2.601737643013418e-10</x:v>
      </x:c>
      <x:c r="T605" s="81" t="n">
        <x:v>1.2045605990722249e-33</x:v>
      </x:c>
    </x:row>
    <x:row r="606">
      <x:c r="A606" s="59" t="n">
        <x:v>603</x:v>
      </x:c>
      <x:c r="B606" s="193" t="n">
        <x:v>0.5558477573096752</x:v>
      </x:c>
      <x:c r="C606" s="83" t="n">
        <x:v>0.3825520247784155</x:v>
      </x:c>
      <x:c r="D606" s="83" t="n">
        <x:v>0.18083788398690032</x:v>
      </x:c>
      <x:c r="E606" s="81" t="n">
        <x:v>0.03148110343495427</x:v>
      </x:c>
      <x:c r="F606" s="81" t="n">
        <x:v>0.8044198896386661</x:v>
      </x:c>
      <x:c r="G606" s="81" t="n">
        <x:v>0.02607069193013751</x:v>
      </x:c>
      <x:c r="H606" s="59" t="n">
        <x:v>0</x:v>
      </x:c>
      <x:c r="I606" s="81" t="n">
        <x:v>0</x:v>
      </x:c>
      <x:c r="J606" s="79" t="n">
        <x:v>0.000012743102599737046</x:v>
      </x:c>
      <x:c r="K606" s="81" t="n">
        <x:v>-0.9854364541717291</x:v>
      </x:c>
      <x:c r="L606" s="81" t="n">
        <x:v>-0.9886321601061964</x:v>
      </x:c>
      <x:c r="M606" s="80" t="n">
        <x:v>863.953477736538</x:v>
      </x:c>
      <x:c r="N606" s="82" t="n">
        <x:v>0.23450710793661403</x:v>
      </x:c>
      <x:c r="O606" s="82" t="n">
        <x:v>0.1782008424283475</x:v>
      </x:c>
      <x:c r="P606" s="80" t="n">
        <x:v>608.19459269726</x:v>
      </x:c>
      <x:c r="Q606" s="81" t="n">
        <x:v>0.01006773955411596</x:v>
      </x:c>
      <x:c r="R606" s="81" t="n">
        <x:v>25.70340240640416</x:v>
      </x:c>
      <x:c r="S606" s="81" t="n">
        <x:v>0.6880168581765117</x:v>
      </x:c>
      <x:c r="T606" s="81" t="n">
        <x:v>0.2760434232962895</x:v>
      </x:c>
    </x:row>
    <x:row r="607">
      <x:c r="A607" s="59" t="n">
        <x:v>604</x:v>
      </x:c>
      <x:c r="B607" s="193" t="n">
        <x:v>0.6352447280660272</x:v>
      </x:c>
      <x:c r="C607" s="83" t="n">
        <x:v>0.2560393169594977</x:v>
      </x:c>
      <x:c r="D607" s="83" t="n">
        <x:v>1.016493514339958</x:v>
      </x:c>
      <x:c r="E607" s="81" t="n">
        <x:v>0.04848678966583833</x:v>
      </x:c>
      <x:c r="F607" s="81" t="n">
        <x:v>0.8452286494430155</x:v>
      </x:c>
      <x:c r="G607" s="81" t="n">
        <x:v>0.013561752876719594</x:v>
      </x:c>
      <x:c r="H607" s="59" t="n">
        <x:v>26</x:v>
      </x:c>
      <x:c r="I607" s="81" t="n">
        <x:v>0.37674582879990337</x:v>
      </x:c>
      <x:c r="J607" s="79" t="n">
        <x:v>0.0006213826532591996</x:v>
      </x:c>
      <x:c r="K607" s="81" t="n">
        <x:v>-0.2898483962752003</x:v>
      </x:c>
      <x:c r="L607" s="81" t="n">
        <x:v>-0.8322774852692558</x:v>
      </x:c>
      <x:c r="M607" s="80" t="n">
        <x:v>6536.851686270488</x:v>
      </x:c>
      <x:c r="N607" s="82" t="n">
        <x:v>0.25342095506397877</x:v>
      </x:c>
      <x:c r="O607" s="82" t="n">
        <x:v>0.20234276225305486</x:v>
      </x:c>
      <x:c r="P607" s="80" t="n">
        <x:v>12657.481993461744</x:v>
      </x:c>
      <x:c r="Q607" s="81" t="n">
        <x:v>0.00976211169053221</x:v>
      </x:c>
      <x:c r="R607" s="81" t="n">
        <x:v>108.11706659389905</x:v>
      </x:c>
      <x:c r="S607" s="81" t="n">
        <x:v>47.90219008615422</x:v>
      </x:c>
      <x:c r="T607" s="81" t="n">
        <x:v>13.460504884119842</x:v>
      </x:c>
    </x:row>
    <x:row r="608">
      <x:c r="A608" s="59" t="n">
        <x:v>605</x:v>
      </x:c>
      <x:c r="B608" s="193" t="n">
        <x:v>0.5995697757229209</x:v>
      </x:c>
      <x:c r="C608" s="83" t="n">
        <x:v>0.22716409354009076</x:v>
      </x:c>
      <x:c r="D608" s="83" t="n">
        <x:v>0.4369237984724075</x:v>
      </x:c>
      <x:c r="E608" s="81" t="n">
        <x:v>-0.024044551305885262</x:v>
      </x:c>
      <x:c r="F608" s="81" t="n">
        <x:v>0.5465722401160746</x:v>
      </x:c>
      <x:c r="G608" s="81" t="n">
        <x:v>-0.008560875549877663</x:v>
      </x:c>
      <x:c r="H608" s="59" t="n">
        <x:v>0</x:v>
      </x:c>
      <x:c r="I608" s="81" t="n">
        <x:v>0</x:v>
      </x:c>
      <x:c r="J608" s="79" t="n">
        <x:v>2.449251848584511e-11</x:v>
      </x:c>
      <x:c r="K608" s="81" t="n">
        <x:v>-0.9999999720085503</x:v>
      </x:c>
      <x:c r="L608" s="81" t="n">
        <x:v>-0.9999999720085503</x:v>
      </x:c>
      <x:c r="M608" s="80" t="n">
        <x:v>1.0534199341059691</x:v>
      </x:c>
      <x:c r="N608" s="82" t="n">
        <x:v>0.24492251251049452</x:v>
      </x:c>
      <x:c r="O608" s="82" t="n">
        <x:v>0.12645826479212743</x:v>
      </x:c>
      <x:c r="P608" s="80" t="n">
        <x:v>421.31188688025605</x:v>
      </x:c>
      <x:c r="Q608" s="81" t="n">
        <x:v>1.8396404471154122</x:v>
      </x:c>
      <x:c r="R608" s="81" t="n">
        <x:v>28.87167246459974</x:v>
      </x:c>
      <x:c r="S608" s="81" t="n">
        <x:v>0.00015274102331501696</x:v>
      </x:c>
      <x:c r="T608" s="81" t="n">
        <x:v>5.305614229394852e-7</x:v>
      </x:c>
    </x:row>
    <x:row r="609">
      <x:c r="A609" s="59" t="n">
        <x:v>606</x:v>
      </x:c>
      <x:c r="B609" s="193" t="n">
        <x:v>0.20980402994900943</x:v>
      </x:c>
      <x:c r="C609" s="83" t="n">
        <x:v>0.18601684542473793</x:v>
      </x:c>
      <x:c r="D609" s="83" t="n">
        <x:v>0.546816655099485</x:v>
      </x:c>
      <x:c r="E609" s="81" t="n">
        <x:v>0.14419005145946961</x:v>
      </x:c>
      <x:c r="F609" s="81" t="n">
        <x:v>0.32970531249884516</x:v>
      </x:c>
      <x:c r="G609" s="81" t="n">
        <x:v>0.027748369876558737</x:v>
      </x:c>
      <x:c r="H609" s="59" t="n">
        <x:v>0</x:v>
      </x:c>
      <x:c r="I609" s="81" t="n">
        <x:v>0</x:v>
      </x:c>
      <x:c r="J609" s="79" t="n">
        <x:v>0.03944144677069756</x:v>
      </x:c>
      <x:c r="K609" s="81" t="n">
        <x:v>44.0759391665115</x:v>
      </x:c>
      <x:c r="L609" s="81" t="n">
        <x:v>-0.6417364523212961</x:v>
      </x:c>
      <x:c r="M609" s="80" t="n">
        <x:v>55866.2799664348</x:v>
      </x:c>
      <x:c r="N609" s="82" t="n">
        <x:v>0.1520730037594155</x:v>
      </x:c>
      <x:c r="O609" s="82" t="n">
        <x:v>0.047364069643928045</x:v>
      </x:c>
      <x:c r="P609" s="80" t="n">
        <x:v>55027.22362089041</x:v>
      </x:c>
      <x:c r="Q609" s="81" t="n">
        <x:v>0.000903110578884481</x:v>
      </x:c>
      <x:c r="R609" s="81" t="n">
        <x:v>2132.121777025918</x:v>
      </x:c>
      <x:c r="S609" s="81" t="n">
        <x:v>3954.43299846603</x:v>
      </x:c>
      <x:c r="T609" s="81" t="n">
        <x:v>854.3878463763139</x:v>
      </x:c>
    </x:row>
    <x:row r="610">
      <x:c r="A610" s="59" t="n">
        <x:v>607</x:v>
      </x:c>
      <x:c r="B610" s="193" t="n">
        <x:v>0.8469192882999779</x:v>
      </x:c>
      <x:c r="C610" s="83" t="n">
        <x:v>0.1554407428963535</x:v>
      </x:c>
      <x:c r="D610" s="83" t="n">
        <x:v>0.6252746843403421</x:v>
      </x:c>
      <x:c r="E610" s="81" t="n">
        <x:v>-0.07327051713029041</x:v>
      </x:c>
      <x:c r="F610" s="81" t="n">
        <x:v>0.8656844669836573</x:v>
      </x:c>
      <x:c r="G610" s="81" t="n">
        <x:v>0.024615113849078454</x:v>
      </x:c>
      <x:c r="H610" s="59" t="n">
        <x:v>0</x:v>
      </x:c>
      <x:c r="I610" s="81" t="n">
        <x:v>0</x:v>
      </x:c>
      <x:c r="J610" s="79" t="n">
        <x:v>1.5636442435677823e-29</x:v>
      </x:c>
      <x:c r="K610" s="81" t="n">
        <x:v>-1</x:v>
      </x:c>
      <x:c r="L610" s="81" t="n">
        <x:v>-1</x:v>
      </x:c>
      <x:c r="M610" s="80" t="n">
        <x:v>0.000002</x:v>
      </x:c>
      <x:c r="N610" s="82" t="n">
        <x:v>0.3038458042097106</x:v>
      </x:c>
      <x:c r="O610" s="82" t="n">
        <x:v>0.24847563574035766</x:v>
      </x:c>
      <x:c r="P610" s="80" t="n">
        <x:v>204.64423830218294</x:v>
      </x:c>
      <x:c r="Q610" s="81" t="n">
        <x:v>1892503944572.9568</x:v>
      </x:c>
      <x:c r="R610" s="81" t="n">
        <x:v>15.253434867512228</x:v>
      </x:c>
      <x:c r="S610" s="81" t="n">
        <x:v>6.372597572002671e-10</x:v>
      </x:c>
      <x:c r="T610" s="81" t="n">
        <x:v>3.387194809377856e-25</x:v>
      </x:c>
    </x:row>
    <x:row r="611">
      <x:c r="A611" s="59" t="n">
        <x:v>608</x:v>
      </x:c>
      <x:c r="B611" s="193" t="n">
        <x:v>0.8789743935689331</x:v>
      </x:c>
      <x:c r="C611" s="83" t="n">
        <x:v>0.3813498980550515</x:v>
      </x:c>
      <x:c r="D611" s="83" t="n">
        <x:v>0.6135080858918036</x:v>
      </x:c>
      <x:c r="E611" s="81" t="n">
        <x:v>-0.018489109127465275</x:v>
      </x:c>
      <x:c r="F611" s="81" t="n">
        <x:v>0.46205461423378436</x:v>
      </x:c>
      <x:c r="G611" s="81" t="n">
        <x:v>0.023998134235847315</x:v>
      </x:c>
      <x:c r="H611" s="59" t="n">
        <x:v>0</x:v>
      </x:c>
      <x:c r="I611" s="81" t="n">
        <x:v>0</x:v>
      </x:c>
      <x:c r="J611" s="79" t="n">
        <x:v>3.7474005259365046e-13</x:v>
      </x:c>
      <x:c r="K611" s="81" t="n">
        <x:v>-0.9999999995717257</x:v>
      </x:c>
      <x:c r="L611" s="81" t="n">
        <x:v>-0.9999999995717257</x:v>
      </x:c>
      <x:c r="M611" s="80" t="n">
        <x:v>0.14757635118820822</x:v>
      </x:c>
      <x:c r="N611" s="82" t="n">
        <x:v>0.31148193131799906</x:v>
      </x:c>
      <x:c r="O611" s="82" t="n">
        <x:v>0.13595560358587877</x:v>
      </x:c>
      <x:c r="P611" s="80" t="n">
        <x:v>656.1294014859149</x:v>
      </x:c>
      <x:c r="Q611" s="81" t="n">
        <x:v>21.897535718820524</x:v>
      </x:c>
      <x:c r="R611" s="81" t="n">
        <x:v>17.44980198593716</x:v>
      </x:c>
      <x:c r="S611" s="81" t="n">
        <x:v>0.00003947673656900582</x:v>
      </x:c>
      <x:c r="T611" s="81" t="n">
        <x:v>8.11768767884812e-9</x:v>
      </x:c>
    </x:row>
    <x:row r="612">
      <x:c r="A612" s="59" t="n">
        <x:v>609</x:v>
      </x:c>
      <x:c r="B612" s="193" t="n">
        <x:v>0.5063838211819529</x:v>
      </x:c>
      <x:c r="C612" s="83" t="n">
        <x:v>0.9765608645433741</x:v>
      </x:c>
      <x:c r="D612" s="83" t="n">
        <x:v>0.9904252113006984</x:v>
      </x:c>
      <x:c r="E612" s="81" t="n">
        <x:v>0.00016625831602770115</x:v>
      </x:c>
      <x:c r="F612" s="81" t="n">
        <x:v>0.7530596645665355</x:v>
      </x:c>
      <x:c r="G612" s="81" t="n">
        <x:v>-0.015401153794307919</x:v>
      </x:c>
      <x:c r="H612" s="59" t="n">
        <x:v>0</x:v>
      </x:c>
      <x:c r="I612" s="81" t="n">
        <x:v>0</x:v>
      </x:c>
      <x:c r="J612" s="79" t="n">
        <x:v>0.0000011838752058453888</x:v>
      </x:c>
      <x:c r="K612" s="81" t="n">
        <x:v>-0.9986469997647481</x:v>
      </x:c>
      <x:c r="L612" s="81" t="n">
        <x:v>-0.9986469997647481</x:v>
      </x:c>
      <x:c r="M612" s="80" t="n">
        <x:v>367.3623642675651</x:v>
      </x:c>
      <x:c r="N612" s="82" t="n">
        <x:v>0.22272387090218837</x:v>
      </x:c>
      <x:c r="O612" s="82" t="n">
        <x:v>0.15844082471322565</x:v>
      </x:c>
      <x:c r="P612" s="80" t="n">
        <x:v>3193.755401222783</x:v>
      </x:c>
      <x:c r="Q612" s="81" t="n">
        <x:v>0.10208825455201122</x:v>
      </x:c>
      <x:c r="R612" s="81" t="n">
        <x:v>12.12907692830218</x:v>
      </x:c>
      <x:c r="S612" s="81" t="n">
        <x:v>0.08953591149486054</x:v>
      </x:c>
      <x:c r="T612" s="81" t="n">
        <x:v>0.025645321617665084</x:v>
      </x:c>
    </x:row>
    <x:row r="613">
      <x:c r="A613" s="59" t="n">
        <x:v>610</x:v>
      </x:c>
      <x:c r="B613" s="193" t="n">
        <x:v>0.7316160790622235</x:v>
      </x:c>
      <x:c r="C613" s="83" t="n">
        <x:v>0.14574907847077068</x:v>
      </x:c>
      <x:c r="D613" s="83" t="n">
        <x:v>0.5045880806915977</x:v>
      </x:c>
      <x:c r="E613" s="81" t="n">
        <x:v>-0.10058332671852518</x:v>
      </x:c>
      <x:c r="F613" s="81" t="n">
        <x:v>0.4325569515000097</x:v>
      </x:c>
      <x:c r="G613" s="81" t="n">
        <x:v>-0.029083174599261026</x:v>
      </x:c>
      <x:c r="H613" s="59" t="n">
        <x:v>12</x:v>
      </x:c>
      <x:c r="I613" s="81" t="n">
        <x:v>0.3309737127274275</x:v>
      </x:c>
      <x:c r="J613" s="79" t="n">
        <x:v>2.319729244790389e-26</x:v>
      </x:c>
      <x:c r="K613" s="81" t="n">
        <x:v>-1</x:v>
      </x:c>
      <x:c r="L613" s="81" t="n">
        <x:v>-1</x:v>
      </x:c>
      <x:c r="M613" s="80" t="n">
        <x:v>0.000002</x:v>
      </x:c>
      <x:c r="N613" s="82" t="n">
        <x:v>0.276378417834104</x:v>
      </x:c>
      <x:c r="O613" s="82" t="n">
        <x:v>0.1129323496283902</x:v>
      </x:c>
      <x:c r="P613" s="80" t="n">
        <x:v>163.5466867783891</x:v>
      </x:c>
      <x:c r="Q613" s="81" t="n">
        <x:v>952915600.7298281</x:v>
      </x:c>
      <x:c r="R613" s="81" t="n">
        <x:v>17.453069315423154</x:v>
      </x:c>
      <x:c r="S613" s="81" t="n">
        <x:v>2.6940123033427146e-10</x:v>
      </x:c>
      <x:c r="T613" s="81" t="n">
        <x:v>5.025039991953522e-22</x:v>
      </x:c>
    </x:row>
    <x:row r="614">
      <x:c r="A614" s="59" t="n">
        <x:v>611</x:v>
      </x:c>
      <x:c r="B614" s="193" t="n">
        <x:v>0.4600481651723385</x:v>
      </x:c>
      <x:c r="C614" s="83" t="n">
        <x:v>0.9574122170705786</x:v>
      </x:c>
      <x:c r="D614" s="83" t="n">
        <x:v>0.22204040089060853</x:v>
      </x:c>
      <x:c r="E614" s="81" t="n">
        <x:v>0.013169533538768154</x:v>
      </x:c>
      <x:c r="F614" s="81" t="n">
        <x:v>0.28182160870637746</x:v>
      </x:c>
      <x:c r="G614" s="81" t="n">
        <x:v>-0.02009954553907542</x:v>
      </x:c>
      <x:c r="H614" s="59" t="n">
        <x:v>0</x:v>
      </x:c>
      <x:c r="I614" s="81" t="n">
        <x:v>0</x:v>
      </x:c>
      <x:c r="J614" s="79" t="n">
        <x:v>0.00003678148962333521</x:v>
      </x:c>
      <x:c r="K614" s="81" t="n">
        <x:v>-0.9579640118590455</x:v>
      </x:c>
      <x:c r="L614" s="81" t="n">
        <x:v>-0.9579640118590455</x:v>
      </x:c>
      <x:c r="M614" s="80" t="n">
        <x:v>2038.9044731898796</x:v>
      </x:c>
      <x:c r="N614" s="82" t="n">
        <x:v>0.21168584884714822</x:v>
      </x:c>
      <x:c r="O614" s="82" t="n">
        <x:v>0.05635559741001584</x:v>
      </x:c>
      <x:c r="P614" s="80" t="n">
        <x:v>1693.9032163577838</x:v>
      </x:c>
      <x:c r="Q614" s="81" t="n">
        <x:v>0.005431486241767115</x:v>
      </x:c>
      <x:c r="R614" s="81" t="n">
        <x:v>17.995197065295216</x:v>
      </x:c>
      <x:c r="S614" s="81" t="n">
        <x:v>0.7937583708599458</x:v>
      </x:c>
      <x:c r="T614" s="81" t="n">
        <x:v>0.796767367294988</x:v>
      </x:c>
    </x:row>
    <x:row r="615">
      <x:c r="A615" s="59" t="n">
        <x:v>612</x:v>
      </x:c>
      <x:c r="B615" s="193" t="n">
        <x:v>0.4711602833122015</x:v>
      </x:c>
      <x:c r="C615" s="83" t="n">
        <x:v>1.727986655609186</x:v>
      </x:c>
      <x:c r="D615" s="83" t="n">
        <x:v>0.5139775684744139</x:v>
      </x:c>
      <x:c r="E615" s="81" t="n">
        <x:v>-0.019190904215341358</x:v>
      </x:c>
      <x:c r="F615" s="81" t="n">
        <x:v>0.43023383744293825</x:v>
      </x:c>
      <x:c r="G615" s="81" t="n">
        <x:v>-0.05</x:v>
      </x:c>
      <x:c r="H615" s="59" t="n">
        <x:v>0</x:v>
      </x:c>
      <x:c r="I615" s="81" t="n">
        <x:v>0</x:v>
      </x:c>
      <x:c r="J615" s="79" t="n">
        <x:v>4.087582827713356e-9</x:v>
      </x:c>
      <x:c r="K615" s="81" t="n">
        <x:v>-0.9999953284767683</x:v>
      </x:c>
      <x:c r="L615" s="81" t="n">
        <x:v>-0.9999953284767683</x:v>
      </x:c>
      <x:c r="M615" s="80" t="n">
        <x:v>30.02528344065285</x:v>
      </x:c>
      <x:c r="N615" s="82" t="n">
        <x:v>0.21433296374027858</x:v>
      </x:c>
      <x:c r="O615" s="82" t="n">
        <x:v>0.08710929028196043</x:v>
      </x:c>
      <x:c r="P615" s="80" t="n">
        <x:v>1572.3802498974198</x:v>
      </x:c>
      <x:c r="Q615" s="81" t="n">
        <x:v>0.3842507199963463</x:v>
      </x:c>
      <x:c r="R615" s="81" t="n">
        <x:v>6.0718929631999</x:v>
      </x:c>
      <x:c r="S615" s="81" t="n">
        <x:v>0.0013855494812363368</x:v>
      </x:c>
      <x:c r="T615" s="81" t="n">
        <x:v>0.00008854596813749309</x:v>
      </x:c>
    </x:row>
    <x:row r="616">
      <x:c r="A616" s="59" t="n">
        <x:v>613</x:v>
      </x:c>
      <x:c r="B616" s="193" t="n">
        <x:v>0.44726499523967506</x:v>
      </x:c>
      <x:c r="C616" s="83" t="n">
        <x:v>2.797901587678875</x:v>
      </x:c>
      <x:c r="D616" s="83" t="n">
        <x:v>2.825146269193649</x:v>
      </x:c>
      <x:c r="E616" s="81" t="n">
        <x:v>0.061514885691160356</x:v>
      </x:c>
      <x:c r="F616" s="81" t="n">
        <x:v>0.826572303485591</x:v>
      </x:c>
      <x:c r="G616" s="81" t="n">
        <x:v>0.025321915833249123</x:v>
      </x:c>
      <x:c r="H616" s="59" t="n">
        <x:v>33</x:v>
      </x:c>
      <x:c r="I616" s="81" t="n">
        <x:v>0.2564854180440307</x:v>
      </x:c>
      <x:c r="J616" s="79" t="n">
        <x:v>0.19236332314087148</x:v>
      </x:c>
      <x:c r="K616" s="81" t="n">
        <x:v>218.84379787528172</x:v>
      </x:c>
      <x:c r="L616" s="81" t="n">
        <x:v>-0.9166454552876694</x:v>
      </x:c>
      <x:c r="M616" s="80" t="n">
        <x:v>525056.2876698396</x:v>
      </x:c>
      <x:c r="N616" s="82" t="n">
        <x:v>0.2086406580847514</x:v>
      </x:c>
      <x:c r="O616" s="82" t="n">
        <x:v>0.16291112198741178</x:v>
      </x:c>
      <x:c r="P616" s="80" t="n">
        <x:v>2012047.9872704707</x:v>
      </x:c>
      <x:c r="Q616" s="81" t="n">
        <x:v>0.008200014788784007</x:v>
      </x:c>
      <x:c r="R616" s="81" t="n">
        <x:v>755.0830516978051</x:v>
      </x:c>
      <x:c r="S616" s="81" t="n">
        <x:v>1516.9234996089863</x:v>
      </x:c>
      <x:c r="T616" s="81" t="n">
        <x:v>4167.009550527534</x:v>
      </x:c>
    </x:row>
    <x:row r="617">
      <x:c r="A617" s="59" t="n">
        <x:v>614</x:v>
      </x:c>
      <x:c r="B617" s="193" t="n">
        <x:v>0.6951806414872408</x:v>
      </x:c>
      <x:c r="C617" s="83" t="n">
        <x:v>0.16497145591565734</x:v>
      </x:c>
      <x:c r="D617" s="83" t="n">
        <x:v>1.4447503062547227</x:v>
      </x:c>
      <x:c r="E617" s="81" t="n">
        <x:v>0.11433268367659938</x:v>
      </x:c>
      <x:c r="F617" s="81" t="n">
        <x:v>0.7980796974734403</x:v>
      </x:c>
      <x:c r="G617" s="81" t="n">
        <x:v>0.009244116717740707</x:v>
      </x:c>
      <x:c r="H617" s="59" t="n">
        <x:v>0</x:v>
      </x:c>
      <x:c r="I617" s="81" t="n">
        <x:v>0</x:v>
      </x:c>
      <x:c r="J617" s="79" t="n">
        <x:v>0.007421702998023549</x:v>
      </x:c>
      <x:c r="K617" s="81" t="n">
        <x:v>7.4819462834554855</x:v>
      </x:c>
      <x:c r="L617" s="81" t="n">
        <x:v>-0.834321532506437</x:v>
      </x:c>
      <x:c r="M617" s="80" t="n">
        <x:v>29796.193535522936</x:v>
      </x:c>
      <x:c r="N617" s="82" t="n">
        <x:v>0.26769881343928864</x:v>
      </x:c>
      <x:c r="O617" s="82" t="n">
        <x:v>0.20181974396906321</x:v>
      </x:c>
      <x:c r="P617" s="80" t="n">
        <x:v>61675.38827793983</x:v>
      </x:c>
      <x:c r="Q617" s="81" t="n">
        <x:v>0.005101656363811456</x:v>
      </x:c>
      <x:c r="R617" s="81" t="n">
        <x:v>1007.6046988268024</x:v>
      </x:c>
      <x:c r="S617" s="81" t="n">
        <x:v>854.8410945921526</x:v>
      </x:c>
      <x:c r="T617" s="81" t="n">
        <x:v>160.77029014151003</x:v>
      </x:c>
    </x:row>
    <x:row r="618">
      <x:c r="A618" s="59" t="n">
        <x:v>615</x:v>
      </x:c>
      <x:c r="B618" s="193" t="n">
        <x:v>0.22919478099793197</x:v>
      </x:c>
      <x:c r="C618" s="83" t="n">
        <x:v>1.8890247219079028</x:v>
      </x:c>
      <x:c r="D618" s="83" t="n">
        <x:v>0.8890771774378409</x:v>
      </x:c>
      <x:c r="E618" s="81" t="n">
        <x:v>0.02439439146650249</x:v>
      </x:c>
      <x:c r="F618" s="81" t="n">
        <x:v>0.3531663001165725</x:v>
      </x:c>
      <x:c r="G618" s="81" t="n">
        <x:v>0.0431907494641905</x:v>
      </x:c>
      <x:c r="H618" s="59" t="n">
        <x:v>32</x:v>
      </x:c>
      <x:c r="I618" s="81" t="n">
        <x:v>0.12280747508630158</x:v>
      </x:c>
      <x:c r="J618" s="79" t="n">
        <x:v>0.016469119688094926</x:v>
      </x:c>
      <x:c r="K618" s="81" t="n">
        <x:v>17.821851072108487</x:v>
      </x:c>
      <x:c r="L618" s="81" t="n">
        <x:v>-0.34274471522634076</x:v>
      </x:c>
      <x:c r="M618" s="80" t="n">
        <x:v>70149.8887455956</x:v>
      </x:c>
      <x:c r="N618" s="82" t="n">
        <x:v>0.15669224423585107</x:v>
      </x:c>
      <x:c r="O618" s="82" t="n">
        <x:v>0.05227544015588715</x:v>
      </x:c>
      <x:c r="P618" s="80" t="n">
        <x:v>122424.0390580854</x:v>
      </x:c>
      <x:c r="Q618" s="81" t="n">
        <x:v>0.0052808128292618555</x:v>
      </x:c>
      <x:c r="R618" s="81" t="n">
        <x:v>33.97957056247491</x:v>
      </x:c>
      <x:c r="S618" s="81" t="n">
        <x:v>177.9991045490943</x:v>
      </x:c>
      <x:c r="T618" s="81" t="n">
        <x:v>356.75708814208673</x:v>
      </x:c>
    </x:row>
    <x:row r="619">
      <x:c r="A619" s="59" t="n">
        <x:v>616</x:v>
      </x:c>
      <x:c r="B619" s="193" t="n">
        <x:v>0.8141580043360592</x:v>
      </x:c>
      <x:c r="C619" s="83" t="n">
        <x:v>1.500609548201601</x:v>
      </x:c>
      <x:c r="D619" s="83" t="n">
        <x:v>0.3646061936803823</x:v>
      </x:c>
      <x:c r="E619" s="81" t="n">
        <x:v>-0.019802082612782837</x:v>
      </x:c>
      <x:c r="F619" s="81" t="n">
        <x:v>0.8795290333335288</x:v>
      </x:c>
      <x:c r="G619" s="81" t="n">
        <x:v>0.028256508885190802</x:v>
      </x:c>
      <x:c r="H619" s="59" t="n">
        <x:v>0</x:v>
      </x:c>
      <x:c r="I619" s="81" t="n">
        <x:v>0</x:v>
      </x:c>
      <x:c r="J619" s="79" t="n">
        <x:v>1.0184206680666788e-10</x:v>
      </x:c>
      <x:c r="K619" s="81" t="n">
        <x:v>-0.9999998836090666</x:v>
      </x:c>
      <x:c r="L619" s="81" t="n">
        <x:v>-0.9999998836090666</x:v>
      </x:c>
      <x:c r="M619" s="80" t="n">
        <x:v>4.368026996942188</x:v>
      </x:c>
      <x:c r="N619" s="82" t="n">
        <x:v>0.29604145209543037</x:v>
      </x:c>
      <x:c r="O619" s="82" t="n">
        <x:v>0.24596518967859365</x:v>
      </x:c>
      <x:c r="P619" s="80" t="n">
        <x:v>870.5956833088113</x:v>
      </x:c>
      <x:c r="Q619" s="81" t="n">
        <x:v>2.20590501620017</x:v>
      </x:c>
      <x:c r="R619" s="81" t="n">
        <x:v>5.336758124796542</x:v>
      </x:c>
      <x:c r="S619" s="81" t="n">
        <x:v>0.00040067687846968207</x:v>
      </x:c>
      <x:c r="T619" s="81" t="n">
        <x:v>0.000002206121510585823</x:v>
      </x:c>
    </x:row>
    <x:row r="620">
      <x:c r="A620" s="59" t="n">
        <x:v>617</x:v>
      </x:c>
      <x:c r="B620" s="193" t="n">
        <x:v>0.7132139822468162</x:v>
      </x:c>
      <x:c r="C620" s="83" t="n">
        <x:v>0.6174557211574505</x:v>
      </x:c>
      <x:c r="D620" s="83" t="n">
        <x:v>1.296056277966167</x:v>
      </x:c>
      <x:c r="E620" s="81" t="n">
        <x:v>0.005961211927485363</x:v>
      </x:c>
      <x:c r="F620" s="81" t="n">
        <x:v>0.8911868969211355</x:v>
      </x:c>
      <x:c r="G620" s="81" t="n">
        <x:v>0.008079083045967323</x:v>
      </x:c>
      <x:c r="H620" s="59" t="n">
        <x:v>0</x:v>
      </x:c>
      <x:c r="I620" s="81" t="n">
        <x:v>0</x:v>
      </x:c>
      <x:c r="J620" s="79" t="n">
        <x:v>0.000013813635322890511</x:v>
      </x:c>
      <x:c r="K620" s="81" t="n">
        <x:v>-0.9842129882024109</x:v>
      </x:c>
      <x:c r="L620" s="81" t="n">
        <x:v>-0.9865708021008741</x:v>
      </x:c>
      <x:c r="M620" s="80" t="n">
        <x:v>1058.5922805664877</x:v>
      </x:c>
      <x:c r="N620" s="82" t="n">
        <x:v>0.27199469333335863</x:v>
      </x:c>
      <x:c r="O620" s="82" t="n">
        <x:v>0.22898137834621402</x:v>
      </x:c>
      <x:c r="P620" s="80" t="n">
        <x:v>4650.810494892564</x:v>
      </x:c>
      <x:c r="Q620" s="81" t="n">
        <x:v>0.06785936791968436</x:v>
      </x:c>
      <x:c r="R620" s="81" t="n">
        <x:v>17.846535531287888</x:v>
      </x:c>
      <x:c r="S620" s="81" t="n">
        <x:v>0.8270439141111275</x:v>
      </x:c>
      <x:c r="T620" s="81" t="n">
        <x:v>0.2992334992873657</x:v>
      </x:c>
    </x:row>
    <x:row r="621">
      <x:c r="A621" s="59" t="n">
        <x:v>618</x:v>
      </x:c>
      <x:c r="B621" s="193" t="n">
        <x:v>0.9765275401994586</x:v>
      </x:c>
      <x:c r="C621" s="83" t="n">
        <x:v>0.5576877374239105</x:v>
      </x:c>
      <x:c r="D621" s="83" t="n">
        <x:v>0.6999805116408689</x:v>
      </x:c>
      <x:c r="E621" s="81" t="n">
        <x:v>-0.04183200722479504</x:v>
      </x:c>
      <x:c r="F621" s="81" t="n">
        <x:v>0.2612483943696134</x:v>
      </x:c>
      <x:c r="G621" s="81" t="n">
        <x:v>-0.02272883594608899</x:v>
      </x:c>
      <x:c r="H621" s="59" t="n">
        <x:v>0</x:v>
      </x:c>
      <x:c r="I621" s="81" t="n">
        <x:v>0</x:v>
      </x:c>
      <x:c r="J621" s="79" t="n">
        <x:v>8.637443412718926e-20</x:v>
      </x:c>
      <x:c r="K621" s="81" t="n">
        <x:v>-0.9999999999999999</x:v>
      </x:c>
      <x:c r="L621" s="81" t="n">
        <x:v>-0.9999999999999999</x:v>
      </x:c>
      <x:c r="M621" s="80" t="n">
        <x:v>0.00008167971758602379</x:v>
      </x:c>
      <x:c r="N621" s="82" t="n">
        <x:v>0.33472091996688963</x:v>
      </x:c>
      <x:c r="O621" s="82" t="n">
        <x:v>0.08260520784897285</x:v>
      </x:c>
      <x:c r="P621" s="80" t="n">
        <x:v>521.9921258940715</x:v>
      </x:c>
      <x:c r="Q621" s="81" t="n">
        <x:v>23789.35877085408</x:v>
      </x:c>
      <x:c r="R621" s="81" t="n">
        <x:v>8.64474047949923</x:v>
      </x:c>
      <x:c r="S621" s="81" t="n">
        <x:v>1.2686471235995318e-8</x:v>
      </x:c>
      <x:c r="T621" s="81" t="n">
        <x:v>1.8710588175160094e-15</x:v>
      </x:c>
    </x:row>
    <x:row r="622">
      <x:c r="A622" s="59" t="n">
        <x:v>619</x:v>
      </x:c>
      <x:c r="B622" s="193" t="n">
        <x:v>0.2801033528521657</x:v>
      </x:c>
      <x:c r="C622" s="83" t="n">
        <x:v>0.4836359416377373</x:v>
      </x:c>
      <x:c r="D622" s="83" t="n">
        <x:v>1.0229827035264822</x:v>
      </x:c>
      <x:c r="E622" s="81" t="n">
        <x:v>-0.09311617313415098</x:v>
      </x:c>
      <x:c r="F622" s="81" t="n">
        <x:v>0.40486329116392883</x:v>
      </x:c>
      <x:c r="G622" s="81" t="n">
        <x:v>-0.01645450375822228</x:v>
      </x:c>
      <x:c r="H622" s="59" t="n">
        <x:v>86</x:v>
      </x:c>
      <x:c r="I622" s="81" t="n">
        <x:v>0.13998505529016259</x:v>
      </x:c>
      <x:c r="J622" s="79" t="n">
        <x:v>1.6589581970406947e-38</x:v>
      </x:c>
      <x:c r="K622" s="81" t="n">
        <x:v>-1</x:v>
      </x:c>
      <x:c r="L622" s="81" t="n">
        <x:v>-1</x:v>
      </x:c>
      <x:c r="M622" s="80" t="n">
        <x:v>0.000002</x:v>
      </x:c>
      <x:c r="N622" s="82" t="n">
        <x:v>0.1688196205872518</x:v>
      </x:c>
      <x:c r="O622" s="82" t="n">
        <x:v>0.06456575932813416</x:v>
      </x:c>
      <x:c r="P622" s="80" t="n">
        <x:v>279.7787591910484</x:v>
      </x:c>
      <x:c r="Q622" s="81" t="n">
        <x:v>1.429553980670682e+21</x:v>
      </x:c>
      <x:c r="R622" s="81" t="n">
        <x:v>3.5575513208896097</x:v>
      </x:c>
      <x:c r="S622" s="81" t="n">
        <x:v>4.936027554963751e-10</x:v>
      </x:c>
      <x:c r="T622" s="81" t="n">
        <x:v>3.5936656417253007e-34</x:v>
      </x:c>
    </x:row>
    <x:row r="623">
      <x:c r="A623" s="59" t="n">
        <x:v>620</x:v>
      </x:c>
      <x:c r="B623" s="193" t="n">
        <x:v>0.4773376857861877</x:v>
      </x:c>
      <x:c r="C623" s="83" t="n">
        <x:v>0.16442978183799326</x:v>
      </x:c>
      <x:c r="D623" s="83" t="n">
        <x:v>1.4348930076782636</x:v>
      </x:c>
      <x:c r="E623" s="81" t="n">
        <x:v>-0.09744146755884807</x:v>
      </x:c>
      <x:c r="F623" s="81" t="n">
        <x:v>0.4553749183542095</x:v>
      </x:c>
      <x:c r="G623" s="81" t="n">
        <x:v>-0.007905552926981847</x:v>
      </x:c>
      <x:c r="H623" s="59" t="n">
        <x:v>0</x:v>
      </x:c>
      <x:c r="I623" s="81" t="n">
        <x:v>0</x:v>
      </x:c>
      <x:c r="J623" s="79" t="n">
        <x:v>1.3370960418386794e-50</x:v>
      </x:c>
      <x:c r="K623" s="81" t="n">
        <x:v>-1</x:v>
      </x:c>
      <x:c r="L623" s="81" t="n">
        <x:v>-1</x:v>
      </x:c>
      <x:c r="M623" s="80" t="n">
        <x:v>0.000002</x:v>
      </x:c>
      <x:c r="N623" s="82" t="n">
        <x:v>0.21580453683587827</x:v>
      </x:c>
      <x:c r="O623" s="82" t="n">
        <x:v>0.09283262238376731</x:v>
      </x:c>
      <x:c r="P623" s="80" t="n">
        <x:v>224.83132337087523</x:v>
      </x:c>
      <x:c r="Q623" s="81" t="n">
        <x:v>1.701648079632553e+33</x:v>
      </x:c>
      <x:c r="R623" s="81" t="n">
        <x:v>6.3619095637172025</x:v>
      </x:c>
      <x:c r="S623" s="81" t="n">
        <x:v>9.801037476045316e-10</x:v>
      </x:c>
      <x:c r="T623" s="81" t="n">
        <x:v>2.8964419439947398e-46</x:v>
      </x:c>
    </x:row>
    <x:row r="624">
      <x:c r="A624" s="59" t="n">
        <x:v>621</x:v>
      </x:c>
      <x:c r="B624" s="193" t="n">
        <x:v>0.7538258405402303</x:v>
      </x:c>
      <x:c r="C624" s="83" t="n">
        <x:v>0.11912412271771754</x:v>
      </x:c>
      <x:c r="D624" s="83" t="n">
        <x:v>0.4419350395298834</x:v>
      </x:c>
      <x:c r="E624" s="81" t="n">
        <x:v>-0.00003925353796709821</x:v>
      </x:c>
      <x:c r="F624" s="81" t="n">
        <x:v>0.282911776273977</x:v>
      </x:c>
      <x:c r="G624" s="81" t="n">
        <x:v>-0.008635615565168104</x:v>
      </x:c>
      <x:c r="H624" s="59" t="n">
        <x:v>0</x:v>
      </x:c>
      <x:c r="I624" s="81" t="n">
        <x:v>0</x:v>
      </x:c>
      <x:c r="J624" s="79" t="n">
        <x:v>0.000001474564075709957</x:v>
      </x:c>
      <x:c r="K624" s="81" t="n">
        <x:v>-0.9983147839134743</x:v>
      </x:c>
      <x:c r="L624" s="81" t="n">
        <x:v>-0.9983147839134743</x:v>
      </x:c>
      <x:c r="M624" s="80" t="n">
        <x:v>231.9097947870533</x:v>
      </x:c>
      <x:c r="N624" s="82" t="n">
        <x:v>0.28166919945119295</x:v>
      </x:c>
      <x:c r="O624" s="82" t="n">
        <x:v>0.07527683080008964</x:v>
      </x:c>
      <x:c r="P624" s="80" t="n">
        <x:v>904.950187289803</x:v>
      </x:c>
      <x:c r="Q624" s="81" t="n">
        <x:v>0.02425212946929452</x:v>
      </x:c>
      <x:c r="R624" s="81" t="n">
        <x:v>93.25046171069182</x:v>
      </x:c>
      <x:c r="S624" s="81" t="n">
        <x:v>0.26614076014040716</x:v>
      </x:c>
      <x:c r="T624" s="81" t="n">
        <x:v>0.0319422771764472</x:v>
      </x:c>
    </x:row>
    <x:row r="625">
      <x:c r="A625" s="59" t="n">
        <x:v>622</x:v>
      </x:c>
      <x:c r="B625" s="193" t="n">
        <x:v>0.6198839882388711</x:v>
      </x:c>
      <x:c r="C625" s="83" t="n">
        <x:v>2.6769572011084986</x:v>
      </x:c>
      <x:c r="D625" s="83" t="n">
        <x:v>0.881650142981103</x:v>
      </x:c>
      <x:c r="E625" s="81" t="n">
        <x:v>-0.07880429369243835</x:v>
      </x:c>
      <x:c r="F625" s="81" t="n">
        <x:v>0.7284695293637924</x:v>
      </x:c>
      <x:c r="G625" s="81" t="n">
        <x:v>-0.001323165414322583</x:v>
      </x:c>
      <x:c r="H625" s="59" t="n">
        <x:v>0</x:v>
      </x:c>
      <x:c r="I625" s="81" t="n">
        <x:v>0</x:v>
      </x:c>
      <x:c r="J625" s="79" t="n">
        <x:v>3.4510503840102326e-34</x:v>
      </x:c>
      <x:c r="K625" s="81" t="n">
        <x:v>-1</x:v>
      </x:c>
      <x:c r="L625" s="81" t="n">
        <x:v>-1</x:v>
      </x:c>
      <x:c r="M625" s="80" t="n">
        <x:v>0.000002</x:v>
      </x:c>
      <x:c r="N625" s="82" t="n">
        <x:v>0.24976173882327846</x:v>
      </x:c>
      <x:c r="O625" s="82" t="n">
        <x:v>0.17187323122093803</x:v>
      </x:c>
      <x:c r="P625" s="80" t="n">
        <x:v>772.9894967013269</x:v>
      </x:c>
      <x:c r="Q625" s="81" t="n">
        <x:v>80137591654489820</x:v>
      </x:c>
      <x:c r="R625" s="81" t="n">
        <x:v>1.2702464429466125</x:v>
      </x:c>
      <x:c r="S625" s="81" t="n">
        <x:v>2.0668820277360867e-10</x:v>
      </x:c>
      <x:c r="T625" s="81" t="n">
        <x:v>7.475728571704484e-30</x:v>
      </x:c>
    </x:row>
    <x:row r="626">
      <x:c r="A626" s="59" t="n">
        <x:v>623</x:v>
      </x:c>
      <x:c r="B626" s="193" t="n">
        <x:v>0.9458646861836315</x:v>
      </x:c>
      <x:c r="C626" s="83" t="n">
        <x:v>0.10767612895653553</x:v>
      </x:c>
      <x:c r="D626" s="83" t="n">
        <x:v>0.46609605731807263</x:v>
      </x:c>
      <x:c r="E626" s="81" t="n">
        <x:v>-0.0385533858922619</x:v>
      </x:c>
      <x:c r="F626" s="81" t="n">
        <x:v>0.28749519363045695</x:v>
      </x:c>
      <x:c r="G626" s="81" t="n">
        <x:v>0.035528438010671855</x:v>
      </x:c>
      <x:c r="H626" s="59" t="n">
        <x:v>39</x:v>
      </x:c>
      <x:c r="I626" s="81" t="n">
        <x:v>0.24492331268265843</x:v>
      </x:c>
      <x:c r="J626" s="79" t="n">
        <x:v>2.3973622211722815e-18</x:v>
      </x:c>
      <x:c r="K626" s="81" t="n">
        <x:v>-0.9999999999999972</x:v>
      </x:c>
      <x:c r="L626" s="81" t="n">
        <x:v>-0.9999999999999972</x:v>
      </x:c>
      <x:c r="M626" s="80" t="n">
        <x:v>0.00030454532026596255</x:v>
      </x:c>
      <x:c r="N626" s="82" t="n">
        <x:v>0.3274164532118075</x:v>
      </x:c>
      <x:c r="O626" s="82" t="n">
        <x:v>0.08892052741992262</x:v>
      </x:c>
      <x:c r="P626" s="80" t="n">
        <x:v>326.54426355570195</x:v>
      </x:c>
      <x:c r="Q626" s="81" t="n">
        <x:v>3456.5972967287817</x:v>
      </x:c>
      <x:c r="R626" s="81" t="n">
        <x:v>52.008525889414294</x:v>
      </x:c>
      <x:c r="S626" s="81" t="n">
        <x:v>9.05047400564661e-8</x:v>
      </x:c>
      <x:c r="T626" s="81" t="n">
        <x:v>5.193209967776991e-14</x:v>
      </x:c>
    </x:row>
    <x:row r="627">
      <x:c r="A627" s="59" t="n">
        <x:v>624</x:v>
      </x:c>
      <x:c r="B627" s="193" t="n">
        <x:v>0.49407241567969323</x:v>
      </x:c>
      <x:c r="C627" s="83" t="n">
        <x:v>0.31295890699883844</x:v>
      </x:c>
      <x:c r="D627" s="83" t="n">
        <x:v>1.0461584271463642</x:v>
      </x:c>
      <x:c r="E627" s="81" t="n">
        <x:v>0.1232594005910622</x:v>
      </x:c>
      <x:c r="F627" s="81" t="n">
        <x:v>0.5283697447157465</x:v>
      </x:c>
      <x:c r="G627" s="81" t="n">
        <x:v>0.00862495474277635</x:v>
      </x:c>
      <x:c r="H627" s="59" t="n">
        <x:v>0</x:v>
      </x:c>
      <x:c r="I627" s="81" t="n">
        <x:v>0</x:v>
      </x:c>
      <x:c r="J627" s="79" t="n">
        <x:v>0.01772855790173159</x:v>
      </x:c>
      <x:c r="K627" s="81" t="n">
        <x:v>19.261209030550393</x:v>
      </x:c>
      <x:c r="L627" s="81" t="n">
        <x:v>-0.7799520344310211</x:v>
      </x:c>
      <x:c r="M627" s="80" t="n">
        <x:v>46948.69173955213</x:v>
      </x:c>
      <x:c r="N627" s="82" t="n">
        <x:v>0.219791063272697</x:v>
      </x:c>
      <x:c r="O627" s="82" t="n">
        <x:v>0.10970310328966806</x:v>
      </x:c>
      <x:c r="P627" s="80" t="n">
        <x:v>76125.7389969643</x:v>
      </x:c>
      <x:c r="Q627" s="81" t="n">
        <x:v>0.0024909201115047054</x:v>
      </x:c>
      <x:c r="R627" s="81" t="n">
        <x:v>1148.633128995885</x:v>
      </x:c>
      <x:c r="S627" s="81" t="n">
        <x:v>1071.6722351492185</x:v>
      </x:c>
      <x:c r="T627" s="81" t="n">
        <x:v>384.0392694791186</x:v>
      </x:c>
    </x:row>
    <x:row r="628">
      <x:c r="A628" s="59" t="n">
        <x:v>625</x:v>
      </x:c>
      <x:c r="B628" s="193" t="n">
        <x:v>0.6468224294483662</x:v>
      </x:c>
      <x:c r="C628" s="83" t="n">
        <x:v>0.1653116763520637</x:v>
      </x:c>
      <x:c r="D628" s="83" t="n">
        <x:v>0.7473960284812287</x:v>
      </x:c>
      <x:c r="E628" s="81" t="n">
        <x:v>-0.004886066731392148</x:v>
      </x:c>
      <x:c r="F628" s="81" t="n">
        <x:v>0.5376423215377144</x:v>
      </x:c>
      <x:c r="G628" s="81" t="n">
        <x:v>-0.016612716217585605</x:v>
      </x:c>
      <x:c r="H628" s="59" t="n">
        <x:v>29</x:v>
      </x:c>
      <x:c r="I628" s="81" t="n">
        <x:v>0.2579610451124609</x:v>
      </x:c>
      <x:c r="J628" s="79" t="n">
        <x:v>3.459167832453867e-8</x:v>
      </x:c>
      <x:c r="K628" s="81" t="n">
        <x:v>-0.9999604666533434</x:v>
      </x:c>
      <x:c r="L628" s="81" t="n">
        <x:v>-0.9999604666533434</x:v>
      </x:c>
      <x:c r="M628" s="80" t="n">
        <x:v>37.1904542238615</x:v>
      </x:c>
      <x:c r="N628" s="82" t="n">
        <x:v>0.25617898061515276</x:v>
      </x:c>
      <x:c r="O628" s="82" t="n">
        <x:v>0.1301091629096333</x:v>
      </x:c>
      <x:c r="P628" s="80" t="n">
        <x:v>881.7058932697172</x:v>
      </x:c>
      <x:c r="Q628" s="81" t="n">
        <x:v>0.16789271222992286</x:v>
      </x:c>
      <x:c r="R628" s="81" t="n">
        <x:v>47.457961569597465</x:v>
      </x:c>
      <x:c r="S628" s="81" t="n">
        <x:v>0.012466724991160368</x:v>
      </x:c>
      <x:c r="T628" s="81" t="n">
        <x:v>0.0007493312737250309</x:v>
      </x:c>
    </x:row>
    <x:row r="629">
      <x:c r="A629" s="59" t="n">
        <x:v>626</x:v>
      </x:c>
      <x:c r="B629" s="193" t="n">
        <x:v>0.40161345303058626</x:v>
      </x:c>
      <x:c r="C629" s="83" t="n">
        <x:v>1.4941381058014143</x:v>
      </x:c>
      <x:c r="D629" s="83" t="n">
        <x:v>0.39553870976548555</x:v>
      </x:c>
      <x:c r="E629" s="81" t="n">
        <x:v>-0.03668944966942688</x:v>
      </x:c>
      <x:c r="F629" s="81" t="n">
        <x:v>0.2686045282287523</x:v>
      </x:c>
      <x:c r="G629" s="81" t="n">
        <x:v>0.021617233733248965</x:v>
      </x:c>
      <x:c r="H629" s="59" t="n">
        <x:v>0</x:v>
      </x:c>
      <x:c r="I629" s="81" t="n">
        <x:v>0</x:v>
      </x:c>
      <x:c r="J629" s="79" t="n">
        <x:v>2.2657192609947465e-14</x:v>
      </x:c>
      <x:c r="K629" s="81" t="n">
        <x:v>-0.999999999974106</x:v>
      </x:c>
      <x:c r="L629" s="81" t="n">
        <x:v>-0.999999999974106</x:v>
      </x:c>
      <x:c r="M629" s="80" t="n">
        <x:v>0.06578909827482575</x:v>
      </x:c>
      <x:c r="N629" s="82" t="n">
        <x:v>0.19776560476413005</x:v>
      </x:c>
      <x:c r="O629" s="82" t="n">
        <x:v>0.05018050567162512</x:v>
      </x:c>
      <x:c r="P629" s="80" t="n">
        <x:v>927.1474395538153</x:v>
      </x:c>
      <x:c r="Q629" s="81" t="n">
        <x:v>82.87129010760268</x:v>
      </x:c>
      <x:c r="R629" s="81" t="n">
        <x:v>5.943457246227796</x:v>
      </x:c>
      <x:c r="S629" s="81" t="n">
        <x:v>0.000006149168763429717</x:v>
      </x:c>
      <x:c r="T629" s="81" t="n">
        <x:v>4.908042575488916e-10</x:v>
      </x:c>
    </x:row>
    <x:row r="630">
      <x:c r="A630" s="59" t="n">
        <x:v>627</x:v>
      </x:c>
      <x:c r="B630" s="193" t="n">
        <x:v>0.416151224821806</x:v>
      </x:c>
      <x:c r="C630" s="83" t="n">
        <x:v>1.9259342901907714</x:v>
      </x:c>
      <x:c r="D630" s="83" t="n">
        <x:v>1.0391042506263106</x:v>
      </x:c>
      <x:c r="E630" s="81" t="n">
        <x:v>-0.051111380328448704</x:v>
      </x:c>
      <x:c r="F630" s="81" t="n">
        <x:v>0.41984541853889823</x:v>
      </x:c>
      <x:c r="G630" s="81" t="n">
        <x:v>-0.009093094486703056</x:v>
      </x:c>
      <x:c r="H630" s="59" t="n">
        <x:v>25</x:v>
      </x:c>
      <x:c r="I630" s="81" t="n">
        <x:v>0.322151860781014</x:v>
      </x:c>
      <x:c r="J630" s="79" t="n">
        <x:v>8.023510353097875e-29</x:v>
      </x:c>
      <x:c r="K630" s="81" t="n">
        <x:v>-1</x:v>
      </x:c>
      <x:c r="L630" s="81" t="n">
        <x:v>-1</x:v>
      </x:c>
      <x:c r="M630" s="80" t="n">
        <x:v>0.000002</x:v>
      </x:c>
      <x:c r="N630" s="82" t="n">
        <x:v>0.20122877458801955</x:v>
      </x:c>
      <x:c r="O630" s="82" t="n">
        <x:v>0.07980873787447411</x:v>
      </x:c>
      <x:c r="P630" s="80" t="n">
        <x:v>924.8235212405351</x:v>
      </x:c>
      <x:c r="Q630" s="81" t="n">
        <x:v>517799363359.1435</x:v>
      </x:c>
      <x:c r="R630" s="81" t="n">
        <x:v>2.171625990043702</x:v>
      </x:c>
      <x:c r="S630" s="81" t="n">
        <x:v>2.7837595997108913e-10</x:v>
      </x:c>
      <x:c r="T630" s="81" t="n">
        <x:v>1.7380675132977913e-24</x:v>
      </x:c>
    </x:row>
    <x:row r="631">
      <x:c r="A631" s="59" t="n">
        <x:v>628</x:v>
      </x:c>
      <x:c r="B631" s="193" t="n">
        <x:v>0.3322534443810582</x:v>
      </x:c>
      <x:c r="C631" s="83" t="n">
        <x:v>0.908866801062589</x:v>
      </x:c>
      <x:c r="D631" s="83" t="n">
        <x:v>0.7139070532029756</x:v>
      </x:c>
      <x:c r="E631" s="81" t="n">
        <x:v>0.019979708094450696</x:v>
      </x:c>
      <x:c r="F631" s="81" t="n">
        <x:v>0.6043240921921097</x:v>
      </x:c>
      <x:c r="G631" s="81" t="n">
        <x:v>-0.009763837194765122</x:v>
      </x:c>
      <x:c r="H631" s="59" t="n">
        <x:v>0</x:v>
      </x:c>
      <x:c r="I631" s="81" t="n">
        <x:v>0</x:v>
      </x:c>
      <x:c r="J631" s="79" t="n">
        <x:v>0.00022769434263881117</x:v>
      </x:c>
      <x:c r="K631" s="81" t="n">
        <x:v>-0.739777894127073</x:v>
      </x:c>
      <x:c r="L631" s="81" t="n">
        <x:v>-0.8108370188979488</x:v>
      </x:c>
      <x:c r="M631" s="80" t="n">
        <x:v>5165.030877609254</x:v>
      </x:c>
      <x:c r="N631" s="82" t="n">
        <x:v>0.18124275020365035</x:v>
      </x:c>
      <x:c r="O631" s="82" t="n">
        <x:v>0.10346691346349408</x:v>
      </x:c>
      <x:c r="P631" s="80" t="n">
        <x:v>8636.468071859374</x:v>
      </x:c>
      <x:c r="Q631" s="81" t="n">
        <x:v>0.010359231735790593</x:v>
      </x:c>
      <x:c r="R631" s="81" t="n">
        <x:v>26.541340410355833</x:v>
      </x:c>
      <x:c r="S631" s="81" t="n">
        <x:v>5.416574357336795</x:v>
      </x:c>
      <x:c r="T631" s="81" t="n">
        <x:v>4.93235656821226</x:v>
      </x:c>
    </x:row>
    <x:row r="632">
      <x:c r="A632" s="59" t="n">
        <x:v>629</x:v>
      </x:c>
      <x:c r="B632" s="193" t="n">
        <x:v>0.30057945996522906</x:v>
      </x:c>
      <x:c r="C632" s="83" t="n">
        <x:v>0.156750924224817</x:v>
      </x:c>
      <x:c r="D632" s="83" t="n">
        <x:v>1.4336395718079813</x:v>
      </x:c>
      <x:c r="E632" s="81" t="n">
        <x:v>0.027698310397389056</x:v>
      </x:c>
      <x:c r="F632" s="81" t="n">
        <x:v>0.6761441469774582</x:v>
      </x:c>
      <x:c r="G632" s="81" t="n">
        <x:v>0.04676910988202182</x:v>
      </x:c>
      <x:c r="H632" s="59" t="n">
        <x:v>0</x:v>
      </x:c>
      <x:c r="I632" s="81" t="n">
        <x:v>0</x:v>
      </x:c>
      <x:c r="J632" s="79" t="n">
        <x:v>0.002354575973663362</x:v>
      </x:c>
      <x:c r="K632" s="81" t="n">
        <x:v>1.6909439699009856</x:v>
      </x:c>
      <x:c r="L632" s="81" t="n">
        <x:v>-0.7265111546463676</x:v>
      </x:c>
      <x:c r="M632" s="80" t="n">
        <x:v>11680.464282040308</x:v>
      </x:c>
      <x:c r="N632" s="82" t="n">
        <x:v>0.173697413228592</x:v>
      </x:c>
      <x:c r="O632" s="82" t="n">
        <x:v>0.11094394012271462</x:v>
      </x:c>
      <x:c r="P632" s="80" t="n">
        <x:v>33200.446597141454</x:v>
      </x:c>
      <x:c r="Q632" s="81" t="n">
        <x:v>0.009232069856078488</x:v>
      </x:c>
      <x:c r="R632" s="81" t="n">
        <x:v>261.62692113435327</x:v>
      </x:c>
      <x:c r="S632" s="81" t="n">
        <x:v>290.18924156931865</x:v>
      </x:c>
      <x:c r="T632" s="81" t="n">
        <x:v>51.00525614497059</x:v>
      </x:c>
    </x:row>
    <x:row r="633">
      <x:c r="A633" s="59" t="n">
        <x:v>630</x:v>
      </x:c>
      <x:c r="B633" s="193" t="n">
        <x:v>0.4848456546664238</x:v>
      </x:c>
      <x:c r="C633" s="83" t="n">
        <x:v>1.0013975083431643</x:v>
      </x:c>
      <x:c r="D633" s="83" t="n">
        <x:v>1.6729229318027046</x:v>
      </x:c>
      <x:c r="E633" s="81" t="n">
        <x:v>-0.11376711377452957</x:v>
      </x:c>
      <x:c r="F633" s="81" t="n">
        <x:v>0.2694979593507014</x:v>
      </x:c>
      <x:c r="G633" s="81" t="n">
        <x:v>-0.005228648868169027</x:v>
      </x:c>
      <x:c r="H633" s="59" t="n">
        <x:v>0</x:v>
      </x:c>
      <x:c r="I633" s="81" t="n">
        <x:v>0</x:v>
      </x:c>
      <x:c r="J633" s="79" t="n">
        <x:v>4.486705044878172e-63</x:v>
      </x:c>
      <x:c r="K633" s="81" t="n">
        <x:v>-1</x:v>
      </x:c>
      <x:c r="L633" s="81" t="n">
        <x:v>-1</x:v>
      </x:c>
      <x:c r="M633" s="80" t="n">
        <x:v>0.000002</x:v>
      </x:c>
      <x:c r="N633" s="82" t="n">
        <x:v>0.2175930757975671</x:v>
      </x:c>
      <x:c r="O633" s="82" t="n">
        <x:v>0.055395118291143526</x:v>
      </x:c>
      <x:c r="P633" s="80" t="n">
        <x:v>364.5522796316258</x:v>
      </x:c>
      <x:c r="Q633" s="81" t="n">
        <x:v>4.408033952773894e+45</x:v>
      </x:c>
      <x:c r="R633" s="81" t="n">
        <x:v>1.1534519579887608</x:v>
      </x:c>
      <x:c r="S633" s="81" t="n">
        <x:v>6.869837473721184e-10</x:v>
      </x:c>
      <x:c r="T633" s="81" t="n">
        <x:v>9.719182673256198e-59</x:v>
      </x:c>
    </x:row>
    <x:row r="634">
      <x:c r="A634" s="59" t="n">
        <x:v>631</x:v>
      </x:c>
      <x:c r="B634" s="193" t="n">
        <x:v>0.5593593230471015</x:v>
      </x:c>
      <x:c r="C634" s="83" t="n">
        <x:v>0.5055021169491654</x:v>
      </x:c>
      <x:c r="D634" s="83" t="n">
        <x:v>0.5463693984970769</x:v>
      </x:c>
      <x:c r="E634" s="81" t="n">
        <x:v>-0.004897982499615148</x:v>
      </x:c>
      <x:c r="F634" s="81" t="n">
        <x:v>0.3686085653142072</x:v>
      </x:c>
      <x:c r="G634" s="81" t="n">
        <x:v>-0.01029951814550676</x:v>
      </x:c>
      <x:c r="H634" s="59" t="n">
        <x:v>0</x:v>
      </x:c>
      <x:c r="I634" s="81" t="n">
        <x:v>0</x:v>
      </x:c>
      <x:c r="J634" s="79" t="n">
        <x:v>2.7747834023872595e-7</x:v>
      </x:c>
      <x:c r="K634" s="81" t="n">
        <x:v>-0.99968288189687</x:v>
      </x:c>
      <x:c r="L634" s="81" t="n">
        <x:v>-0.99968288189687</x:v>
      </x:c>
      <x:c r="M634" s="80" t="n">
        <x:v>135.67139007109114</x:v>
      </x:c>
      <x:c r="N634" s="82" t="n">
        <x:v>0.23534362873712675</x:v>
      </x:c>
      <x:c r="O634" s="82" t="n">
        <x:v>0.0819480851454249</x:v>
      </x:c>
      <x:c r="P634" s="80" t="n">
        <x:v>1329.5269443284262</x:v>
      </x:c>
      <x:c r="Q634" s="81" t="n">
        <x:v>0.06604591308105144</x:v>
      </x:c>
      <x:c r="R634" s="81" t="n">
        <x:v>22.088287235950254</x:v>
      </x:c>
      <x:c r="S634" s="81" t="n">
        <x:v>0.029329221866045523</x:v>
      </x:c>
      <x:c r="T634" s="81" t="n">
        <x:v>0.00601078664560474</x:v>
      </x:c>
    </x:row>
    <x:row r="635">
      <x:c r="A635" s="59" t="n">
        <x:v>632</x:v>
      </x:c>
      <x:c r="B635" s="193" t="n">
        <x:v>0.6372307792305947</x:v>
      </x:c>
      <x:c r="C635" s="83" t="n">
        <x:v>0.35968687436471497</x:v>
      </x:c>
      <x:c r="D635" s="83" t="n">
        <x:v>1.6659778512626375</x:v>
      </x:c>
      <x:c r="E635" s="81" t="n">
        <x:v>-0.016786477252660352</x:v>
      </x:c>
      <x:c r="F635" s="81" t="n">
        <x:v>0.7767642007907852</x:v>
      </x:c>
      <x:c r="G635" s="81" t="n">
        <x:v>0.023793424286099544</x:v>
      </x:c>
      <x:c r="H635" s="59" t="n">
        <x:v>62</x:v>
      </x:c>
      <x:c r="I635" s="81" t="n">
        <x:v>0.3380748067982495</x:v>
      </x:c>
      <x:c r="J635" s="79" t="n">
        <x:v>1.4301330481862656e-23</x:v>
      </x:c>
      <x:c r="K635" s="81" t="n">
        <x:v>-1</x:v>
      </x:c>
      <x:c r="L635" s="81" t="n">
        <x:v>-1</x:v>
      </x:c>
      <x:c r="M635" s="80" t="n">
        <x:v>0.000002</x:v>
      </x:c>
      <x:c r="N635" s="82" t="n">
        <x:v>0.25389406968983796</x:v>
      </x:c>
      <x:c r="O635" s="82" t="n">
        <x:v>0.18629993381385976</x:v>
      </x:c>
      <x:c r="P635" s="80" t="n">
        <x:v>954.593106717622</x:v>
      </x:c>
      <x:c r="Q635" s="81" t="n">
        <x:v>8556350.22592053</x:v>
      </x:c>
      <x:c r="R635" s="81" t="n">
        <x:v>11.710672512671575</x:v>
      </x:c>
      <x:c r="S635" s="81" t="n">
        <x:v>1.4288429951969548e-9</x:v>
      </x:c>
      <x:c r="T635" s="81" t="n">
        <x:v>3.097980411761265e-19</x:v>
      </x:c>
    </x:row>
    <x:row r="636">
      <x:c r="A636" s="59" t="n">
        <x:v>633</x:v>
      </x:c>
      <x:c r="B636" s="193" t="n">
        <x:v>0.3989348204806447</x:v>
      </x:c>
      <x:c r="C636" s="83" t="n">
        <x:v>1.0483728242452903</x:v>
      </x:c>
      <x:c r="D636" s="83" t="n">
        <x:v>0.40644465640401983</x:v>
      </x:c>
      <x:c r="E636" s="81" t="n">
        <x:v>-0.05620498178744463</x:v>
      </x:c>
      <x:c r="F636" s="81" t="n">
        <x:v>0.41766258039278914</x:v>
      </x:c>
      <x:c r="G636" s="81" t="n">
        <x:v>-0.0060445426826611845</x:v>
      </x:c>
      <x:c r="H636" s="59" t="n">
        <x:v>0</x:v>
      </x:c>
      <x:c r="I636" s="81" t="n">
        <x:v>0</x:v>
      </x:c>
      <x:c r="J636" s="79" t="n">
        <x:v>1.1085707274754117e-17</x:v>
      </x:c>
      <x:c r="K636" s="81" t="n">
        <x:v>-0.9999999999999873</x:v>
      </x:c>
      <x:c r="L636" s="81" t="n">
        <x:v>-0.9999999999999873</x:v>
      </x:c>
      <x:c r="M636" s="80" t="n">
        <x:v>0.0012084028170494625</x:v>
      </x:c>
      <x:c r="N636" s="82" t="n">
        <x:v>0.19712750426637343</x:v>
      </x:c>
      <x:c r="O636" s="82" t="n">
        <x:v>0.07777566492663658</x:v>
      </x:c>
      <x:c r="P636" s="80" t="n">
        <x:v>505.8309070752053</x:v>
      </x:c>
      <x:c r="Q636" s="81" t="n">
        <x:v>2069.1211969884007</x:v>
      </x:c>
      <x:c r="R636" s="81" t="n">
        <x:v>5.787242731279004</x:v>
      </x:c>
      <x:c r="S636" s="81" t="n">
        <x:v>1.016523309327819e-7</x:v>
      </x:c>
      <x:c r="T636" s="81" t="n">
        <x:v>2.401406220999e-13</x:v>
      </x:c>
    </x:row>
    <x:row r="637">
      <x:c r="A637" s="59" t="n">
        <x:v>634</x:v>
      </x:c>
      <x:c r="B637" s="193" t="n">
        <x:v>0.4994260393083096</x:v>
      </x:c>
      <x:c r="C637" s="83" t="n">
        <x:v>0.13399280504561542</x:v>
      </x:c>
      <x:c r="D637" s="83" t="n">
        <x:v>0.34304075953951635</x:v>
      </x:c>
      <x:c r="E637" s="81" t="n">
        <x:v>-0.08286828229557035</x:v>
      </x:c>
      <x:c r="F637" s="81" t="n">
        <x:v>0.7414089526981116</x:v>
      </x:c>
      <x:c r="G637" s="81" t="n">
        <x:v>0.032016839597840976</x:v>
      </x:c>
      <x:c r="H637" s="59" t="n">
        <x:v>0</x:v>
      </x:c>
      <x:c r="I637" s="81" t="n">
        <x:v>0</x:v>
      </x:c>
      <x:c r="J637" s="79" t="n">
        <x:v>3.7594389421660645e-24</x:v>
      </x:c>
      <x:c r="K637" s="81" t="n">
        <x:v>-1</x:v>
      </x:c>
      <x:c r="L637" s="81" t="n">
        <x:v>-1</x:v>
      </x:c>
      <x:c r="M637" s="80" t="n">
        <x:v>0.000002</x:v>
      </x:c>
      <x:c r="N637" s="82" t="n">
        <x:v>0.22106639680147597</x:v>
      </x:c>
      <x:c r="O637" s="82" t="n">
        <x:v>0.1548287118156624</x:v>
      </x:c>
      <x:c r="P637" s="80" t="n">
        <x:v>166.6707941780074</x:v>
      </x:c>
      <x:c r="Q637" s="81" t="n">
        <x:v>7021971.484185383</x:v>
      </x:c>
      <x:c r="R637" s="81" t="n">
        <x:v>27.50324805904524</x:v>
      </x:c>
      <x:c r="S637" s="81" t="n">
        <x:v>3.8883206276143553e-10</x:v>
      </x:c>
      <x:c r="T637" s="81" t="n">
        <x:v>8.143765516651467e-20</x:v>
      </x:c>
    </x:row>
    <x:row r="638">
      <x:c r="A638" s="59" t="n">
        <x:v>635</x:v>
      </x:c>
      <x:c r="B638" s="193" t="n">
        <x:v>0.8541355151683092</x:v>
      </x:c>
      <x:c r="C638" s="83" t="n">
        <x:v>0.17456951966349493</x:v>
      </x:c>
      <x:c r="D638" s="83" t="n">
        <x:v>0.5369849070248008</x:v>
      </x:c>
      <x:c r="E638" s="81" t="n">
        <x:v>0.13333437657633518</x:v>
      </x:c>
      <x:c r="F638" s="81" t="n">
        <x:v>0.533277650596574</x:v>
      </x:c>
      <x:c r="G638" s="81" t="n">
        <x:v>0.002443545882749013</x:v>
      </x:c>
      <x:c r="H638" s="59" t="n">
        <x:v>0</x:v>
      </x:c>
      <x:c r="I638" s="81" t="n">
        <x:v>0</x:v>
      </x:c>
      <x:c r="J638" s="79" t="n">
        <x:v>0.0016461970943188755</x:v>
      </x:c>
      <x:c r="K638" s="81" t="n">
        <x:v>0.8813681077930007</x:v>
      </x:c>
      <x:c r="L638" s="81" t="n">
        <x:v>-0.796370425245045</x:v>
      </x:c>
      <x:c r="M638" s="80" t="n">
        <x:v>10617.12631014735</x:v>
      </x:c>
      <x:c r="N638" s="82" t="n">
        <x:v>0.3055648447540005</x:v>
      </x:c>
      <x:c r="O638" s="82" t="n">
        <x:v>0.15393157464781818</x:v>
      </x:c>
      <x:c r="P638" s="80" t="n">
        <x:v>10715.70102981073</x:v>
      </x:c>
      <x:c r="Q638" s="81" t="n">
        <x:v>0.0029383219230034365</x:v>
      </x:c>
      <x:c r="R638" s="81" t="n">
        <x:v>370.0256544157434</x:v>
      </x:c>
      <x:c r="S638" s="81" t="n">
        <x:v>177.52994482096253</x:v>
      </x:c>
      <x:c r="T638" s="81" t="n">
        <x:v>35.660223072014205</x:v>
      </x:c>
    </x:row>
    <x:row r="639">
      <x:c r="A639" s="59" t="n">
        <x:v>636</x:v>
      </x:c>
      <x:c r="B639" s="193" t="n">
        <x:v>0.36668272428214554</x:v>
      </x:c>
      <x:c r="C639" s="83" t="n">
        <x:v>0.7972369650101228</x:v>
      </x:c>
      <x:c r="D639" s="83" t="n">
        <x:v>0.48254933123012683</x:v>
      </x:c>
      <x:c r="E639" s="81" t="n">
        <x:v>0.0642206371838477</x:v>
      </x:c>
      <x:c r="F639" s="81" t="n">
        <x:v>0.8121392495930195</x:v>
      </x:c>
      <x:c r="G639" s="81" t="n">
        <x:v>-0.021710573146644076</x:v>
      </x:c>
      <x:c r="H639" s="59" t="n">
        <x:v>0</x:v>
      </x:c>
      <x:c r="I639" s="81" t="n">
        <x:v>0</x:v>
      </x:c>
      <x:c r="J639" s="79" t="n">
        <x:v>0.00039323416068740805</x:v>
      </x:c>
      <x:c r="K639" s="81" t="n">
        <x:v>-0.5505895306429622</x:v>
      </x:c>
      <x:c r="L639" s="81" t="n">
        <x:v>-0.7865748892366969</x:v>
      </x:c>
      <x:c r="M639" s="80" t="n">
        <x:v>6748.896606608425</x:v>
      </x:c>
      <x:c r="N639" s="82" t="n">
        <x:v>0.1894444502250873</x:v>
      </x:c>
      <x:c r="O639" s="82" t="n">
        <x:v>0.14533938857979187</x:v>
      </x:c>
      <x:c r="P639" s="80" t="n">
        <x:v>7063.18621317275</x:v>
      </x:c>
      <x:c r="Q639" s="81" t="n">
        <x:v>0.004993567418473259</x:v>
      </x:c>
      <x:c r="R639" s="81" t="n">
        <x:v>43.81998270382167</x:v>
      </x:c>
      <x:c r="S639" s="81" t="n">
        <x:v>9.80299264599861</x:v>
      </x:c>
      <x:c r="T639" s="81" t="n">
        <x:v>8.518310436850383</x:v>
      </x:c>
    </x:row>
    <x:row r="640">
      <x:c r="A640" s="59" t="n">
        <x:v>637</x:v>
      </x:c>
      <x:c r="B640" s="193" t="n">
        <x:v>0.38567654173821214</x:v>
      </x:c>
      <x:c r="C640" s="83" t="n">
        <x:v>2.5161723377131424</x:v>
      </x:c>
      <x:c r="D640" s="83" t="n">
        <x:v>0.6199750091549049</x:v>
      </x:c>
      <x:c r="E640" s="81" t="n">
        <x:v>0.06631693131450252</x:v>
      </x:c>
      <x:c r="F640" s="81" t="n">
        <x:v>0.3013693348271772</x:v>
      </x:c>
      <x:c r="G640" s="81" t="n">
        <x:v>0.012498201099689774</x:v>
      </x:c>
      <x:c r="H640" s="59" t="n">
        <x:v>0</x:v>
      </x:c>
      <x:c r="I640" s="81" t="n">
        <x:v>0</x:v>
      </x:c>
      <x:c r="J640" s="79" t="n">
        <x:v>0.042447586632391364</x:v>
      </x:c>
      <x:c r="K640" s="81" t="n">
        <x:v>47.511527579875846</x:v>
      </x:c>
      <x:c r="L640" s="81" t="n">
        <x:v>-0.3005497047592003</x:v>
      </x:c>
      <x:c r="M640" s="80" t="n">
        <x:v>145492.37045936365</x:v>
      </x:c>
      <x:c r="N640" s="82" t="n">
        <x:v>0.19396913367719973</x:v>
      </x:c>
      <x:c r="O640" s="82" t="n">
        <x:v>0.05522079153301396</x:v>
      </x:c>
      <x:c r="P640" s="80" t="n">
        <x:v>163957.44095473381</x:v>
      </x:c>
      <x:c r="Q640" s="81" t="n">
        <x:v>0.002192605074137741</x:v>
      </x:c>
      <x:c r="R640" s="81" t="n">
        <x:v>84.21301519778903</x:v>
      </x:c>
      <x:c r="S640" s="81" t="n">
        <x:v>327.0541307713695</x:v>
      </x:c>
      <x:c r="T640" s="81" t="n">
        <x:v>919.5073988427996</x:v>
      </x:c>
    </x:row>
    <x:row r="641">
      <x:c r="A641" s="59" t="n">
        <x:v>638</x:v>
      </x:c>
      <x:c r="B641" s="193" t="n">
        <x:v>0.70443854033947</x:v>
      </x:c>
      <x:c r="C641" s="83" t="n">
        <x:v>0.341982716288222</x:v>
      </x:c>
      <x:c r="D641" s="83" t="n">
        <x:v>0.3404128381137192</x:v>
      </x:c>
      <x:c r="E641" s="81" t="n">
        <x:v>-0.09777021331747232</x:v>
      </x:c>
      <x:c r="F641" s="81" t="n">
        <x:v>0.6319330126163549</x:v>
      </x:c>
      <x:c r="G641" s="81" t="n">
        <x:v>-0.04351843847769092</x:v>
      </x:c>
      <x:c r="H641" s="59" t="n">
        <x:v>0</x:v>
      </x:c>
      <x:c r="I641" s="81" t="n">
        <x:v>0</x:v>
      </x:c>
      <x:c r="J641" s="79" t="n">
        <x:v>4.307420522885113e-20</x:v>
      </x:c>
      <x:c r="K641" s="81" t="n">
        <x:v>-1</x:v>
      </x:c>
      <x:c r="L641" s="81" t="n">
        <x:v>-1</x:v>
      </x:c>
      <x:c r="M641" s="80" t="n">
        <x:v>0.00004974036884139844</x:v>
      </x:c>
      <x:c r="N641" s="82" t="n">
        <x:v>0.2699042185314932</x:v>
      </x:c>
      <x:c r="O641" s="82" t="n">
        <x:v>0.16112081802393638</x:v>
      </x:c>
      <x:c r="P641" s="80" t="n">
        <x:v>179.09447568400105</x:v>
      </x:c>
      <x:c r="Q641" s="81" t="n">
        <x:v>13096.68287484631</x:v>
      </x:c>
      <x:c r="R641" s="81" t="n">
        <x:v>10.344208199417334</x:v>
      </x:c>
      <x:c r="S641" s="81" t="n">
        <x:v>3.339529314320696e-9</x:v>
      </x:c>
      <x:c r="T641" s="81" t="n">
        <x:v>9.330813256878555e-16</x:v>
      </x:c>
    </x:row>
    <x:row r="642">
      <x:c r="A642" s="59" t="n">
        <x:v>639</x:v>
      </x:c>
      <x:c r="B642" s="193" t="n">
        <x:v>0.48589505907148123</x:v>
      </x:c>
      <x:c r="C642" s="83" t="n">
        <x:v>0.514440893703828</x:v>
      </x:c>
      <x:c r="D642" s="83" t="n">
        <x:v>1.7581841559201055</x:v>
      </x:c>
      <x:c r="E642" s="81" t="n">
        <x:v>-0.045156722311979695</x:v>
      </x:c>
      <x:c r="F642" s="81" t="n">
        <x:v>0.7859212560695596</x:v>
      </x:c>
      <x:c r="G642" s="81" t="n">
        <x:v>0.0183666228422098</x:v>
      </x:c>
      <x:c r="H642" s="59" t="n">
        <x:v>0</x:v>
      </x:c>
      <x:c r="I642" s="81" t="n">
        <x:v>0</x:v>
      </x:c>
      <x:c r="J642" s="79" t="n">
        <x:v>2.7482880960495797e-39</x:v>
      </x:c>
      <x:c r="K642" s="81" t="n">
        <x:v>-1</x:v>
      </x:c>
      <x:c r="L642" s="81" t="n">
        <x:v>-1</x:v>
      </x:c>
      <x:c r="M642" s="80" t="n">
        <x:v>0.000002</x:v>
      </x:c>
      <x:c r="N642" s="82" t="n">
        <x:v>0.2178430636031844</x:v>
      </x:c>
      <x:c r="O642" s="82" t="n">
        <x:v>0.1617311641897034</x:v>
      </x:c>
      <x:c r="P642" s="80" t="n">
        <x:v>545.1747893750033</x:v>
      </x:c>
      <x:c r="Q642" s="81" t="n">
        <x:v>1.7013417178585253e+22</x:v>
      </x:c>
      <x:c r="R642" s="81" t="n">
        <x:v>4.122207110323415</x:v>
      </x:c>
      <x:c r="S642" s="81" t="n">
        <x:v>1.2690635808813754e-9</x:v>
      </x:c>
      <x:c r="T642" s="81" t="n">
        <x:v>5.953392027571233e-35</x:v>
      </x:c>
    </x:row>
    <x:row r="643">
      <x:c r="A643" s="59" t="n">
        <x:v>640</x:v>
      </x:c>
      <x:c r="B643" s="193" t="n">
        <x:v>0.5372709214687348</x:v>
      </x:c>
      <x:c r="C643" s="83" t="n">
        <x:v>1.8932496289285878</x:v>
      </x:c>
      <x:c r="D643" s="83" t="n">
        <x:v>0.5479580102986702</x:v>
      </x:c>
      <x:c r="E643" s="81" t="n">
        <x:v>-0.03267691603898993</x:v>
      </x:c>
      <x:c r="F643" s="81" t="n">
        <x:v>0.5417773441411555</x:v>
      </x:c>
      <x:c r="G643" s="81" t="n">
        <x:v>0.015331645109866857</x:v>
      </x:c>
      <x:c r="H643" s="59" t="n">
        <x:v>27</x:v>
      </x:c>
      <x:c r="I643" s="81" t="n">
        <x:v>0.24518699115142228</x:v>
      </x:c>
      <x:c r="J643" s="79" t="n">
        <x:v>2.007418370772034e-16</x:v>
      </x:c>
      <x:c r="K643" s="81" t="n">
        <x:v>-0.9999999999997706</x:v>
      </x:c>
      <x:c r="L643" s="81" t="n">
        <x:v>-0.9999999999997706</x:v>
      </x:c>
      <x:c r="M643" s="80" t="n">
        <x:v>0.0072328495593558155</x:v>
      </x:c>
      <x:c r="N643" s="82" t="n">
        <x:v>0.2300817573236303</x:v>
      </x:c>
      <x:c r="O643" s="82" t="n">
        <x:v>0.11775353875965174</x:v>
      </x:c>
      <x:c r="P643" s="80" t="n">
        <x:v>1130.493464807856</x:v>
      </x:c>
      <x:c r="Q643" s="81" t="n">
        <x:v>1150.1563011332448</x:v>
      </x:c>
      <x:c r="R643" s="81" t="n">
        <x:v>4.08501715040777</x:v>
      </x:c>
      <x:c r="S643" s="81" t="n">
        <x:v>7.52811689727648e-7</x:v>
      </x:c>
      <x:c r="T643" s="81" t="n">
        <x:v>4.348506454520794e-12</x:v>
      </x:c>
    </x:row>
    <x:row r="644">
      <x:c r="A644" s="59" t="n">
        <x:v>641</x:v>
      </x:c>
      <x:c r="B644" s="193" t="n">
        <x:v>0.4597179898992181</x:v>
      </x:c>
      <x:c r="C644" s="83" t="n">
        <x:v>2.7090036215910818</x:v>
      </x:c>
      <x:c r="D644" s="83" t="n">
        <x:v>0.7662466731235877</x:v>
      </x:c>
      <x:c r="E644" s="81" t="n">
        <x:v>0.11510497296397193</x:v>
      </x:c>
      <x:c r="F644" s="81" t="n">
        <x:v>0.6289162293192931</x:v>
      </x:c>
      <x:c r="G644" s="81" t="n">
        <x:v>0.03299088120926149</x:v>
      </x:c>
      <x:c r="H644" s="59" t="n">
        <x:v>0</x:v>
      </x:c>
      <x:c r="I644" s="81" t="n">
        <x:v>0</x:v>
      </x:c>
      <x:c r="J644" s="79" t="n">
        <x:v>0.07913185774471407</x:v>
      </x:c>
      <x:c r="K644" s="81" t="n">
        <x:v>89.4364088511018</x:v>
      </x:c>
      <x:c r="L644" s="81" t="n">
        <x:v>-0.6385966170211306</x:v>
      </x:c>
      <x:c r="M644" s="80" t="n">
        <x:v>258352.62049564655</x:v>
      </x:c>
      <x:c r="N644" s="82" t="n">
        <x:v>0.21160719490630425</x:v>
      </x:c>
      <x:c r="O644" s="82" t="n">
        <x:v>0.1257170477921714</x:v>
      </x:c>
      <x:c r="P644" s="80" t="n">
        <x:v>341440.8422973768</x:v>
      </x:c>
      <x:c r="Q644" s="81" t="n">
        <x:v>0.003048845749749432</x:v>
      </x:c>
      <x:c r="R644" s="81" t="n">
        <x:v>248.12511597072262</x:v>
      </x:c>
      <x:c r="S644" s="81" t="n">
        <x:v>580.0548979867083</x:v>
      </x:c>
      <x:c r="T644" s="81" t="n">
        <x:v>1714.168800939939</x:v>
      </x:c>
    </x:row>
    <x:row r="645">
      <x:c r="A645" s="59" t="n">
        <x:v>642</x:v>
      </x:c>
      <x:c r="B645" s="193" t="n">
        <x:v>0.4588675282895565</x:v>
      </x:c>
      <x:c r="C645" s="83" t="n">
        <x:v>1.1333262953186736</x:v>
      </x:c>
      <x:c r="D645" s="83" t="n">
        <x:v>0.5095950266486922</x:v>
      </x:c>
      <x:c r="E645" s="81" t="n">
        <x:v>0.0970488020507329</x:v>
      </x:c>
      <x:c r="F645" s="81" t="n">
        <x:v>0.4308620509575121</x:v>
      </x:c>
      <x:c r="G645" s="81" t="n">
        <x:v>0.04420158810414124</x:v>
      </x:c>
      <x:c r="H645" s="59" t="n">
        <x:v>0</x:v>
      </x:c>
      <x:c r="I645" s="81" t="n">
        <x:v>0</x:v>
      </x:c>
      <x:c r="J645" s="79" t="n">
        <x:v>0.020125198479596554</x:v>
      </x:c>
      <x:c r="K645" s="81" t="n">
        <x:v>22.000226833824634</x:v>
      </x:c>
      <x:c r="L645" s="81" t="n">
        <x:v>-0.5465893100978287</x:v>
      </x:c>
      <x:c r="M645" s="80" t="n">
        <x:v>65465.9465135734</x:v>
      </x:c>
      <x:c r="N645" s="82" t="n">
        <x:v>0.21140459900472777</x:v>
      </x:c>
      <x:c r="O645" s="82" t="n">
        <x:v>0.08604459944522581</x:v>
      </x:c>
      <x:c r="P645" s="80" t="n">
        <x:v>65267.66192664483</x:v>
      </x:c>
      <x:c r="Q645" s="81" t="n">
        <x:v>0.0022706932663772894</x:v>
      </x:c>
      <x:c r="R645" s="81" t="n">
        <x:v>129.12007608570286</x:v>
      </x:c>
      <x:c r="S645" s="81" t="n">
        <x:v>342.21308490749</x:v>
      </x:c>
      <x:c r="T645" s="81" t="n">
        <x:v>435.9557367873465</x:v>
      </x:c>
    </x:row>
    <x:row r="646">
      <x:c r="A646" s="59" t="n">
        <x:v>643</x:v>
      </x:c>
      <x:c r="B646" s="193" t="n">
        <x:v>0.5876494919881226</x:v>
      </x:c>
      <x:c r="C646" s="83" t="n">
        <x:v>1.5688186265823645</x:v>
      </x:c>
      <x:c r="D646" s="83" t="n">
        <x:v>0.6135967354604852</x:v>
      </x:c>
      <x:c r="E646" s="81" t="n">
        <x:v>-0.02515210624615337</x:v>
      </x:c>
      <x:c r="F646" s="81" t="n">
        <x:v>0.3105999464518391</x:v>
      </x:c>
      <x:c r="G646" s="81" t="n">
        <x:v>0.015080371344649877</x:v>
      </x:c>
      <x:c r="H646" s="59" t="n">
        <x:v>0</x:v>
      </x:c>
      <x:c r="I646" s="81" t="n">
        <x:v>0</x:v>
      </x:c>
      <x:c r="J646" s="79" t="n">
        <x:v>1.1752955875564096e-14</x:v>
      </x:c>
      <x:c r="K646" s="81" t="n">
        <x:v>-0.9999999999865681</x:v>
      </x:c>
      <x:c r="L646" s="81" t="n">
        <x:v>-0.9999999999865681</x:v>
      </x:c>
      <x:c r="M646" s="80" t="n">
        <x:v>0.04884859428304944</x:v>
      </x:c>
      <x:c r="N646" s="82" t="n">
        <x:v>0.24208287741954537</x:v>
      </x:c>
      <x:c r="O646" s="82" t="n">
        <x:v>0.07102911297282731</x:v>
      </x:c>
      <x:c r="P646" s="80" t="n">
        <x:v>1351.4458220123777</x:v>
      </x:c>
      <x:c r="Q646" s="81" t="n">
        <x:v>171.107137912187</x:v>
      </x:c>
      <x:c r="R646" s="81" t="n">
        <x:v>5.601694069353567</x:v>
      </x:c>
      <x:c r="S646" s="81" t="n">
        <x:v>0.000006356395579466147</x:v>
      </x:c>
      <x:c r="T646" s="81" t="n">
        <x:v>2.5459468354338605e-10</x:v>
      </x:c>
    </x:row>
    <x:row r="647">
      <x:c r="A647" s="59" t="n">
        <x:v>644</x:v>
      </x:c>
      <x:c r="B647" s="193" t="n">
        <x:v>0.2679422412067652</x:v>
      </x:c>
      <x:c r="C647" s="83" t="n">
        <x:v>0.24604320815379327</x:v>
      </x:c>
      <x:c r="D647" s="83" t="n">
        <x:v>0.6474452535292692</x:v>
      </x:c>
      <x:c r="E647" s="81" t="n">
        <x:v>-0.04848937168236712</x:v>
      </x:c>
      <x:c r="F647" s="81" t="n">
        <x:v>0.5799536834820174</x:v>
      </x:c>
      <x:c r="G647" s="81" t="n">
        <x:v>-0.02431792365145566</x:v>
      </x:c>
      <x:c r="H647" s="59" t="n">
        <x:v>0</x:v>
      </x:c>
      <x:c r="I647" s="81" t="n">
        <x:v>0</x:v>
      </x:c>
      <x:c r="J647" s="79" t="n">
        <x:v>8.410440021377461e-21</x:v>
      </x:c>
      <x:c r="K647" s="81" t="n">
        <x:v>-1</x:v>
      </x:c>
      <x:c r="L647" s="81" t="n">
        <x:v>-1</x:v>
      </x:c>
      <x:c r="M647" s="80" t="n">
        <x:v>0.000020456225738336988</x:v>
      </x:c>
      <x:c r="N647" s="82" t="n">
        <x:v>0.16592261577247414</x:v>
      </x:c>
      <x:c r="O647" s="82" t="n">
        <x:v>0.09090124652708655</x:v>
      </x:c>
      <x:c r="P647" s="80" t="n">
        <x:v>352.1386992864366</x:v>
      </x:c>
      <x:c r="Q647" s="81" t="n">
        <x:v>53123.78864577138</x:v>
      </x:c>
      <x:c r="R647" s="81" t="n">
        <x:v>16.8128788169324</x:v>
      </x:c>
      <x:c r="S647" s="81" t="n">
        <x:v>3.6095163195028937e-9</x:v>
      </x:c>
      <x:c r="T647" s="81" t="n">
        <x:v>1.8218849269698735e-16</x:v>
      </x:c>
    </x:row>
    <x:row r="648">
      <x:c r="A648" s="59" t="n">
        <x:v>645</x:v>
      </x:c>
      <x:c r="B648" s="193" t="n">
        <x:v>0.6578767631202936</x:v>
      </x:c>
      <x:c r="C648" s="83" t="n">
        <x:v>0.5744396918468548</x:v>
      </x:c>
      <x:c r="D648" s="83" t="n">
        <x:v>0.4308244089302238</x:v>
      </x:c>
      <x:c r="E648" s="81" t="n">
        <x:v>0.006059476142528686</x:v>
      </x:c>
      <x:c r="F648" s="81" t="n">
        <x:v>0.4821304281358607</x:v>
      </x:c>
      <x:c r="G648" s="81" t="n">
        <x:v>0.009944490714568276</x:v>
      </x:c>
      <x:c r="H648" s="59" t="n">
        <x:v>0</x:v>
      </x:c>
      <x:c r="I648" s="81" t="n">
        <x:v>0</x:v>
      </x:c>
      <x:c r="J648" s="79" t="n">
        <x:v>0.000006986295620030006</x:v>
      </x:c>
      <x:c r="K648" s="81" t="n">
        <x:v>-0.9920156621485371</x:v>
      </x:c>
      <x:c r="L648" s="81" t="n">
        <x:v>-0.9920156621485371</x:v>
      </x:c>
      <x:c r="M648" s="80" t="n">
        <x:v>717.0672352940493</x:v>
      </x:c>
      <x:c r="N648" s="82" t="n">
        <x:v>0.2588123301645624</x:v>
      </x:c>
      <x:c r="O648" s="82" t="n">
        <x:v>0.11787465813136652</x:v>
      </x:c>
      <x:c r="P648" s="80" t="n">
        <x:v>1594.0928179680025</x:v>
      </x:c>
      <x:c r="Q648" s="81" t="n">
        <x:v>0.024134923918112245</x:v>
      </x:c>
      <x:c r="R648" s="81" t="n">
        <x:v>21.086089584433584</x:v>
      </x:c>
      <x:c r="S648" s="81" t="n">
        <x:v>0.32339085350755276</x:v>
      </x:c>
      <x:c r="T648" s="81" t="n">
        <x:v>0.15133841574443196</x:v>
      </x:c>
    </x:row>
    <x:row r="649">
      <x:c r="A649" s="59" t="n">
        <x:v>646</x:v>
      </x:c>
      <x:c r="B649" s="193" t="n">
        <x:v>0.28265391290187836</x:v>
      </x:c>
      <x:c r="C649" s="83" t="n">
        <x:v>0.8538405703956089</x:v>
      </x:c>
      <x:c r="D649" s="83" t="n">
        <x:v>1.2384738193756868</x:v>
      </x:c>
      <x:c r="E649" s="81" t="n">
        <x:v>-0.024032187713185132</x:v>
      </x:c>
      <x:c r="F649" s="81" t="n">
        <x:v>0.79820462660864</x:v>
      </x:c>
      <x:c r="G649" s="81" t="n">
        <x:v>-0.028073926904588827</x:v>
      </x:c>
      <x:c r="H649" s="59" t="n">
        <x:v>0</x:v>
      </x:c>
      <x:c r="I649" s="81" t="n">
        <x:v>0</x:v>
      </x:c>
      <x:c r="J649" s="79" t="n">
        <x:v>1.2572345035433796e-19</x:v>
      </x:c>
      <x:c r="K649" s="81" t="n">
        <x:v>-0.9999999999999999</x:v>
      </x:c>
      <x:c r="L649" s="81" t="n">
        <x:v>-0.9999999999999999</x:v>
      </x:c>
      <x:c r="M649" s="80" t="n">
        <x:v>0.00011721537637399962</x:v>
      </x:c>
      <x:c r="N649" s="82" t="n">
        <x:v>0.1694272118140941</x:v>
      </x:c>
      <x:c r="O649" s="82" t="n">
        <x:v>0.1277521878566542</x:v>
      </x:c>
      <x:c r="P649" s="80" t="n">
        <x:v>1045.9648964702817</x:v>
      </x:c>
      <x:c r="Q649" s="81" t="n">
        <x:v>40128.53295178351</x:v>
      </x:c>
      <x:c r="R649" s="81" t="n">
        <x:v>6.087921018887786</x:v>
      </x:c>
      <x:c r="S649" s="81" t="n">
        <x:v>2.526640157661763e-8</x:v>
      </x:c>
      <x:c r="T649" s="81" t="n">
        <x:v>2.7234444165229196e-15</x:v>
      </x:c>
    </x:row>
    <x:row r="650">
      <x:c r="A650" s="59" t="n">
        <x:v>647</x:v>
      </x:c>
      <x:c r="B650" s="193" t="n">
        <x:v>0.6320618556812405</x:v>
      </x:c>
      <x:c r="C650" s="83" t="n">
        <x:v>0.47807432259491744</x:v>
      </x:c>
      <x:c r="D650" s="83" t="n">
        <x:v>0.2637973138290333</x:v>
      </x:c>
      <x:c r="E650" s="81" t="n">
        <x:v>-0.06646003142437658</x:v>
      </x:c>
      <x:c r="F650" s="81" t="n">
        <x:v>0.5346040706732311</x:v>
      </x:c>
      <x:c r="G650" s="81" t="n">
        <x:v>-0.05</x:v>
      </x:c>
      <x:c r="H650" s="59" t="n">
        <x:v>0</x:v>
      </x:c>
      <x:c r="I650" s="81" t="n">
        <x:v>0</x:v>
      </x:c>
      <x:c r="J650" s="79" t="n">
        <x:v>1.004391467484788e-12</x:v>
      </x:c>
      <x:c r="K650" s="81" t="n">
        <x:v>-0.999999998852124</x:v>
      </x:c>
      <x:c r="L650" s="81" t="n">
        <x:v>-0.999999998852124</x:v>
      </x:c>
      <x:c r="M650" s="80" t="n">
        <x:v>0.2581412652540081</x:v>
      </x:c>
      <x:c r="N650" s="82" t="n">
        <x:v>0.2526627351830654</x:v>
      </x:c>
      <x:c r="O650" s="82" t="n">
        <x:v>0.1275981554835055</x:v>
      </x:c>
      <x:c r="P650" s="80" t="n">
        <x:v>247.71917750551194</x:v>
      </x:c>
      <x:c r="Q650" s="81" t="n">
        <x:v>4.16210334170321</x:v>
      </x:c>
      <x:c r="R650" s="81" t="n">
        <x:v>11.941705878201141</x:v>
      </x:c>
      <x:c r="S650" s="81" t="n">
        <x:v>0.000011051467378402266</x:v>
      </x:c>
      <x:c r="T650" s="81" t="n">
        <x:v>2.175731199243471e-8</x:v>
      </x:c>
    </x:row>
    <x:row r="651">
      <x:c r="A651" s="59" t="n">
        <x:v>648</x:v>
      </x:c>
      <x:c r="B651" s="193" t="n">
        <x:v>0.22078452277928592</x:v>
      </x:c>
      <x:c r="C651" s="83" t="n">
        <x:v>0.12802919702540805</x:v>
      </x:c>
      <x:c r="D651" s="83" t="n">
        <x:v>1.6254040050011318</x:v>
      </x:c>
      <x:c r="E651" s="81" t="n">
        <x:v>0.07685149331163403</x:v>
      </x:c>
      <x:c r="F651" s="81" t="n">
        <x:v>0.7705997885786928</x:v>
      </x:c>
      <x:c r="G651" s="81" t="n">
        <x:v>-0.05</x:v>
      </x:c>
      <x:c r="H651" s="59" t="n">
        <x:v>30</x:v>
      </x:c>
      <x:c r="I651" s="81" t="n">
        <x:v>0.13705567661672832</x:v>
      </x:c>
      <x:c r="J651" s="79" t="n">
        <x:v>0.002771794584663299</x:v>
      </x:c>
      <x:c r="K651" s="81" t="n">
        <x:v>2.167765239615199</x:v>
      </x:c>
      <x:c r="L651" s="81" t="n">
        <x:v>-0.855177892410558</x:v>
      </x:c>
      <x:c r="M651" s="80" t="n">
        <x:v>14081.047917435688</x:v>
      </x:c>
      <x:c r="N651" s="82" t="n">
        <x:v>0.154688763035828</x:v>
      </x:c>
      <x:c r="O651" s="82" t="n">
        <x:v>0.112605238306391</x:v>
      </x:c>
      <x:c r="P651" s="80" t="n">
        <x:v>37361.78335422312</x:v>
      </x:c>
      <x:c r="Q651" s="81" t="n">
        <x:v>0.0037444121001009084</x:v>
      </x:c>
      <x:c r="R651" s="81" t="n">
        <x:v>1862.818159188601</x:v>
      </x:c>
      <x:c r="S651" s="81" t="n">
        <x:v>407.06549031167583</x:v>
      </x:c>
      <x:c r="T651" s="81" t="n">
        <x:v>60.04312213890224</x:v>
      </x:c>
    </x:row>
    <x:row r="652">
      <x:c r="A652" s="59" t="n">
        <x:v>649</x:v>
      </x:c>
      <x:c r="B652" s="193" t="n">
        <x:v>0.5922618305310607</x:v>
      </x:c>
      <x:c r="C652" s="83" t="n">
        <x:v>0.5366939239560786</x:v>
      </x:c>
      <x:c r="D652" s="83" t="n">
        <x:v>0.5006874135583634</x:v>
      </x:c>
      <x:c r="E652" s="81" t="n">
        <x:v>0.0006151892929063073</x:v>
      </x:c>
      <x:c r="F652" s="81" t="n">
        <x:v>0.7356152084190399</x:v>
      </x:c>
      <x:c r="G652" s="81" t="n">
        <x:v>0.031484781719688756</x:v>
      </x:c>
      <x:c r="H652" s="59" t="n">
        <x:v>63</x:v>
      </x:c>
      <x:c r="I652" s="81" t="n">
        <x:v>0.4900693956762553</x:v>
      </x:c>
      <x:c r="J652" s="79" t="n">
        <x:v>7.391496093864841e-7</x:v>
      </x:c>
      <x:c r="K652" s="81" t="n">
        <x:v>-0.9991552575892726</x:v>
      </x:c>
      <x:c r="L652" s="81" t="n">
        <x:v>-0.9991552575892726</x:v>
      </x:c>
      <x:c r="M652" s="80" t="n">
        <x:v>226.04511205185437</x:v>
      </x:c>
      <x:c r="N652" s="82" t="n">
        <x:v>0.24318162294182097</x:v>
      </x:c>
      <x:c r="O652" s="82" t="n">
        <x:v>0.16898664893084012</x:v>
      </x:c>
      <x:c r="P652" s="80" t="n">
        <x:v>1188.4711888637587</x:v>
      </x:c>
      <x:c r="Q652" s="81" t="n">
        <x:v>0.07760005463059227</x:v>
      </x:c>
      <x:c r="R652" s="81" t="n">
        <x:v>17.30091375478398</x:v>
      </x:c>
      <x:c r="S652" s="81" t="n">
        <x:v>0.07280051807244932</x:v>
      </x:c>
      <x:c r="T652" s="81" t="n">
        <x:v>0.016011594264913998</x:v>
      </x:c>
    </x:row>
    <x:row r="653">
      <x:c r="A653" s="59" t="n">
        <x:v>650</x:v>
      </x:c>
      <x:c r="B653" s="193" t="n">
        <x:v>0.32225574105978017</x:v>
      </x:c>
      <x:c r="C653" s="83" t="n">
        <x:v>1.0132913460340505</x:v>
      </x:c>
      <x:c r="D653" s="83" t="n">
        <x:v>1.1879990611181215</x:v>
      </x:c>
      <x:c r="E653" s="81" t="n">
        <x:v>-0.14669205020839285</x:v>
      </x:c>
      <x:c r="F653" s="81" t="n">
        <x:v>0.2786006954032928</x:v>
      </x:c>
      <x:c r="G653" s="81" t="n">
        <x:v>-0.010035866333658867</x:v>
      </x:c>
      <x:c r="H653" s="59" t="n">
        <x:v>0</x:v>
      </x:c>
      <x:c r="I653" s="81" t="n">
        <x:v>0</x:v>
      </x:c>
      <x:c r="J653" s="79" t="n">
        <x:v>2.7204850000562373e-58</x:v>
      </x:c>
      <x:c r="K653" s="81" t="n">
        <x:v>-1</x:v>
      </x:c>
      <x:c r="L653" s="81" t="n">
        <x:v>-1</x:v>
      </x:c>
      <x:c r="M653" s="80" t="n">
        <x:v>0.000002</x:v>
      </x:c>
      <x:c r="N653" s="82" t="n">
        <x:v>0.17886110981558442</x:v>
      </x:c>
      <x:c r="O653" s="82" t="n">
        <x:v>0.04707269456086948</x:v>
      </x:c>
      <x:c r="P653" s="80" t="n">
        <x:v>277.9836931951734</x:v>
      </x:c>
      <x:c r="Q653" s="81" t="n">
        <x:v>5.80481908069773e+40</x:v>
      </x:c>
      <x:c r="R653" s="81" t="n">
        <x:v>1.1143231332975778</x:v>
      </x:c>
      <x:c r="S653" s="81" t="n">
        <x:v>4.572113594877661e-10</x:v>
      </x:c>
      <x:c r="T653" s="81" t="n">
        <x:v>5.893164451624415e-54</x:v>
      </x:c>
    </x:row>
    <x:row r="654">
      <x:c r="A654" s="59" t="n">
        <x:v>651</x:v>
      </x:c>
      <x:c r="B654" s="193" t="n">
        <x:v>0.9834296962246298</x:v>
      </x:c>
      <x:c r="C654" s="83" t="n">
        <x:v>2.46869672508997</x:v>
      </x:c>
      <x:c r="D654" s="83" t="n">
        <x:v>0.22075668036800525</x:v>
      </x:c>
      <x:c r="E654" s="81" t="n">
        <x:v>-0.11455198247295051</x:v>
      </x:c>
      <x:c r="F654" s="81" t="n">
        <x:v>0.4277485148399137</x:v>
      </x:c>
      <x:c r="G654" s="81" t="n">
        <x:v>0.011624854992440778</x:v>
      </x:c>
      <x:c r="H654" s="59" t="n">
        <x:v>0</x:v>
      </x:c>
      <x:c r="I654" s="81" t="n">
        <x:v>0</x:v>
      </x:c>
      <x:c r="J654" s="79" t="n">
        <x:v>9.9176340307962e-21</x:v>
      </x:c>
      <x:c r="K654" s="81" t="n">
        <x:v>-1</x:v>
      </x:c>
      <x:c r="L654" s="81" t="n">
        <x:v>-1</x:v>
      </x:c>
      <x:c r="M654" s="80" t="n">
        <x:v>0.00006182457449381303</x:v>
      </x:c>
      <x:c r="N654" s="82" t="n">
        <x:v>0.3363651429475114</x:v>
      </x:c>
      <x:c r="O654" s="82" t="n">
        <x:v>0.13591595352931685</x:v>
      </x:c>
      <x:c r="P654" s="80" t="n">
        <x:v>431.62658434077326</x:v>
      </x:c>
      <x:c r="Q654" s="81" t="n">
        <x:v>61265.441242739136</x:v>
      </x:c>
      <x:c r="R654" s="81" t="n">
        <x:v>2.3268531707253044</x:v>
      </x:c>
      <x:c r="S654" s="81" t="n">
        <x:v>2.097911746843045e-9</x:v>
      </x:c>
      <x:c r="T654" s="81" t="n">
        <x:v>2.148376054758638e-16</x:v>
      </x:c>
    </x:row>
    <x:row r="655">
      <x:c r="A655" s="59" t="n">
        <x:v>652</x:v>
      </x:c>
      <x:c r="B655" s="193" t="n">
        <x:v>0.3762072863057256</x:v>
      </x:c>
      <x:c r="C655" s="83" t="n">
        <x:v>0.1126843124882666</x:v>
      </x:c>
      <x:c r="D655" s="83" t="n">
        <x:v>0.7566679088398505</x:v>
      </x:c>
      <x:c r="E655" s="81" t="n">
        <x:v>0.08075236353156157</x:v>
      </x:c>
      <x:c r="F655" s="81" t="n">
        <x:v>0.5293205265537836</x:v>
      </x:c>
      <x:c r="G655" s="81" t="n">
        <x:v>0.02255598198475328</x:v>
      </x:c>
      <x:c r="H655" s="59" t="n">
        <x:v>0</x:v>
      </x:c>
      <x:c r="I655" s="81" t="n">
        <x:v>0</x:v>
      </x:c>
      <x:c r="J655" s="79" t="n">
        <x:v>0.004288016552446489</x:v>
      </x:c>
      <x:c r="K655" s="81" t="n">
        <x:v>3.9005903456531312</x:v>
      </x:c>
      <x:c r="L655" s="81" t="n">
        <x:v>-0.7236093520514809</x:v>
      </x:c>
      <x:c r="M655" s="80" t="n">
        <x:v>16076.506686277273</x:v>
      </x:c>
      <x:c r="N655" s="82" t="n">
        <x:v>0.19171337948464218</x:v>
      </x:c>
      <x:c r="O655" s="82" t="n">
        <x:v>0.09586103210946723</x:v>
      </x:c>
      <x:c r="P655" s="80" t="n">
        <x:v>22452.792200396125</x:v>
      </x:c>
      <x:c r="Q655" s="81" t="n">
        <x:v>0.0029370842572535023</x:v>
      </x:c>
      <x:c r="R655" s="81" t="n">
        <x:v>774.8369178457609</x:v>
      </x:c>
      <x:c r="S655" s="81" t="n">
        <x:v>713.2528315641936</x:v>
      </x:c>
      <x:c r="T655" s="81" t="n">
        <x:v>92.88780020596457</x:v>
      </x:c>
    </x:row>
    <x:row r="656">
      <x:c r="A656" s="59" t="n">
        <x:v>653</x:v>
      </x:c>
      <x:c r="B656" s="193" t="n">
        <x:v>0.670751933939755</x:v>
      </x:c>
      <x:c r="C656" s="83" t="n">
        <x:v>0.3664173346846128</x:v>
      </x:c>
      <x:c r="D656" s="83" t="n">
        <x:v>0.3921742106022359</x:v>
      </x:c>
      <x:c r="E656" s="81" t="n">
        <x:v>-0.035603805122216954</x:v>
      </x:c>
      <x:c r="F656" s="81" t="n">
        <x:v>0.8142729584127665</x:v>
      </x:c>
      <x:c r="G656" s="81" t="n">
        <x:v>0.01794122037488753</x:v>
      </x:c>
      <x:c r="H656" s="59" t="n">
        <x:v>0</x:v>
      </x:c>
      <x:c r="I656" s="81" t="n">
        <x:v>0</x:v>
      </x:c>
      <x:c r="J656" s="79" t="n">
        <x:v>9.698161077216653e-15</x:v>
      </x:c>
      <x:c r="K656" s="81" t="n">
        <x:v>-0.9999999999889164</x:v>
      </x:c>
      <x:c r="L656" s="81" t="n">
        <x:v>-0.9999999999889164</x:v>
      </x:c>
      <x:c r="M656" s="80" t="n">
        <x:v>0.023609344642971212</x:v>
      </x:c>
      <x:c r="N656" s="82" t="n">
        <x:v>0.2618794372632109</x:v>
      </x:c>
      <x:c r="O656" s="82" t="n">
        <x:v>0.20143844173260214</x:v>
      </x:c>
      <x:c r="P656" s="80" t="n">
        <x:v>330.84386325465096</x:v>
      </x:c>
      <x:c r="Q656" s="81" t="n">
        <x:v>71.51357794888362</x:v>
      </x:c>
      <x:c r="R656" s="81" t="n">
        <x:v>14.160956433801825</x:v>
      </x:c>
      <x:c r="S656" s="81" t="n">
        <x:v>0.0000038117666501800445</x:v>
      </x:c>
      <x:c r="T656" s="81" t="n">
        <x:v>2.1008334214376946e-10</x:v>
      </x:c>
    </x:row>
    <x:row r="657">
      <x:c r="A657" s="59" t="n">
        <x:v>654</x:v>
      </x:c>
      <x:c r="B657" s="193" t="n">
        <x:v>0.5182463806122541</x:v>
      </x:c>
      <x:c r="C657" s="83" t="n">
        <x:v>0.2462547230348074</x:v>
      </x:c>
      <x:c r="D657" s="83" t="n">
        <x:v>0.3598307292957039</x:v>
      </x:c>
      <x:c r="E657" s="81" t="n">
        <x:v>-0.02835369121208458</x:v>
      </x:c>
      <x:c r="F657" s="81" t="n">
        <x:v>0.32532698691356926</x:v>
      </x:c>
      <x:c r="G657" s="81" t="n">
        <x:v>-0.02812788778413812</x:v>
      </x:c>
      <x:c r="H657" s="59" t="n">
        <x:v>62</x:v>
      </x:c>
      <x:c r="I657" s="81" t="n">
        <x:v>0.45554195949807763</x:v>
      </x:c>
      <x:c r="J657" s="79" t="n">
        <x:v>3.134451203481224e-10</x:v>
      </x:c>
      <x:c r="K657" s="81" t="n">
        <x:v>-0.9999996417770053</x:v>
      </x:c>
      <x:c r="L657" s="81" t="n">
        <x:v>-0.9999996417770053</x:v>
      </x:c>
      <x:c r="M657" s="80" t="n">
        <x:v>3.8127251562859907</x:v>
      </x:c>
      <x:c r="N657" s="82" t="n">
        <x:v>0.22554975498147545</x:v>
      </x:c>
      <x:c r="O657" s="82" t="n">
        <x:v>0.06931598393457289</x:v>
      </x:c>
      <x:c r="P657" s="80" t="n">
        <x:v>426.2021500845616</x:v>
      </x:c>
      <x:c r="Q657" s="81" t="n">
        <x:v>0.4403625285167848</x:v>
      </x:c>
      <x:c r="R657" s="81" t="n">
        <x:v>32.85915534259834</x:v>
      </x:c>
      <x:c r="S657" s="81" t="n">
        <x:v>0.0003692873237363346</x:v>
      </x:c>
      <x:c r="T657" s="81" t="n">
        <x:v>0.000006789905626138379</x:v>
      </x:c>
    </x:row>
    <x:row r="658">
      <x:c r="A658" s="59" t="n">
        <x:v>655</x:v>
      </x:c>
      <x:c r="B658" s="193" t="n">
        <x:v>0.7010550536215305</x:v>
      </x:c>
      <x:c r="C658" s="83" t="n">
        <x:v>0.5729820411652331</x:v>
      </x:c>
      <x:c r="D658" s="83" t="n">
        <x:v>0.8692723293517143</x:v>
      </x:c>
      <x:c r="E658" s="81" t="n">
        <x:v>-0.015019985690971287</x:v>
      </x:c>
      <x:c r="F658" s="81" t="n">
        <x:v>0.3586861592484638</x:v>
      </x:c>
      <x:c r="G658" s="81" t="n">
        <x:v>-0.04317563630433893</x:v>
      </x:c>
      <x:c r="H658" s="59" t="n">
        <x:v>0</x:v>
      </x:c>
      <x:c r="I658" s="81" t="n">
        <x:v>0</x:v>
      </x:c>
      <x:c r="J658" s="79" t="n">
        <x:v>6.325119103608751e-11</x:v>
      </x:c>
      <x:c r="K658" s="81" t="n">
        <x:v>-0.9999999277129246</x:v>
      </x:c>
      <x:c r="L658" s="81" t="n">
        <x:v>-0.9999999277129246</x:v>
      </x:c>
      <x:c r="M658" s="80" t="n">
        <x:v>2.166885633515564</x:v>
      </x:c>
      <x:c r="N658" s="82" t="n">
        <x:v>0.2690982085549037</x:v>
      </x:c>
      <x:c r="O658" s="82" t="n">
        <x:v>0.09117932381427724</x:v>
      </x:c>
      <x:c r="P658" s="80" t="n">
        <x:v>1120.0273044575322</x:v>
      </x:c>
      <x:c r="Q658" s="81" t="n">
        <x:v>2.325854408233617</x:v>
      </x:c>
      <x:c r="R658" s="81" t="n">
        <x:v>13.589366787484304</x:v>
      </x:c>
      <x:c r="S658" s="81" t="n">
        <x:v>0.0003132642326108484</x:v>
      </x:c>
      <x:c r="T658" s="81" t="n">
        <x:v>0.0000013701588890549674</x:v>
      </x:c>
    </x:row>
    <x:row r="659">
      <x:c r="A659" s="59" t="n">
        <x:v>656</x:v>
      </x:c>
      <x:c r="B659" s="193" t="n">
        <x:v>0.47776453308761124</x:v>
      </x:c>
      <x:c r="C659" s="83" t="n">
        <x:v>1.2367553019060809</x:v>
      </x:c>
      <x:c r="D659" s="83" t="n">
        <x:v>0.8996457117761104</x:v>
      </x:c>
      <x:c r="E659" s="81" t="n">
        <x:v>-0.16548599567945602</x:v>
      </x:c>
      <x:c r="F659" s="81" t="n">
        <x:v>0.6157083798199892</x:v>
      </x:c>
      <x:c r="G659" s="81" t="n">
        <x:v>0.04034416041578953</x:v>
      </x:c>
      <x:c r="H659" s="59" t="n">
        <x:v>0</x:v>
      </x:c>
      <x:c r="I659" s="81" t="n">
        <x:v>0</x:v>
      </x:c>
      <x:c r="J659" s="79" t="n">
        <x:v>1.2633084539200227e-64</x:v>
      </x:c>
      <x:c r="K659" s="81" t="n">
        <x:v>-1</x:v>
      </x:c>
      <x:c r="L659" s="81" t="n">
        <x:v>-1</x:v>
      </x:c>
      <x:c r="M659" s="80" t="n">
        <x:v>0.000002</x:v>
      </x:c>
      <x:c r="N659" s="82" t="n">
        <x:v>0.21590621986646438</x:v>
      </x:c>
      <x:c r="O659" s="82" t="n">
        <x:v>0.1255773054393072</x:v>
      </x:c>
      <x:c r="P659" s="80" t="n">
        <x:v>261.22672568473746</x:v>
      </x:c>
      <x:c r="Q659" s="81" t="n">
        <x:v>1.126240681910619e+47</x:v>
      </x:c>
      <x:c r="R659" s="81" t="n">
        <x:v>1.0249948993520355</x:v>
      </x:c>
      <x:c r="S659" s="81" t="n">
        <x:v>5.700912680219643e-10</x:v>
      </x:c>
      <x:c r="T659" s="81" t="n">
        <x:v>2.736601919115224e-60</x:v>
      </x:c>
    </x:row>
    <x:row r="660">
      <x:c r="A660" s="59" t="n">
        <x:v>657</x:v>
      </x:c>
      <x:c r="B660" s="193" t="n">
        <x:v>0.39275366943329576</x:v>
      </x:c>
      <x:c r="C660" s="83" t="n">
        <x:v>0.37860244079754135</x:v>
      </x:c>
      <x:c r="D660" s="83" t="n">
        <x:v>0.20166905758316786</x:v>
      </x:c>
      <x:c r="E660" s="81" t="n">
        <x:v>0.12972081202273417</x:v>
      </x:c>
      <x:c r="F660" s="81" t="n">
        <x:v>0.2849603781825863</x:v>
      </x:c>
      <x:c r="G660" s="81" t="n">
        <x:v>-0.01821928295707674</x:v>
      </x:c>
      <x:c r="H660" s="59" t="n">
        <x:v>0</x:v>
      </x:c>
      <x:c r="I660" s="81" t="n">
        <x:v>0</x:v>
      </x:c>
      <x:c r="J660" s="79" t="n">
        <x:v>0.0013331733271708902</x:v>
      </x:c>
      <x:c r="K660" s="81" t="n">
        <x:v>0.5236266596238748</x:v>
      </x:c>
      <x:c r="L660" s="81" t="n">
        <x:v>-0.5939862846566636</x:v>
      </x:c>
      <x:c r="M660" s="80" t="n">
        <x:v>9375.367725701251</x:v>
      </x:c>
      <x:c r="N660" s="82" t="n">
        <x:v>0.19565503819031302</x:v>
      </x:c>
      <x:c r="O660" s="82" t="n">
        <x:v>0.0526679550164256</x:v>
      </x:c>
      <x:c r="P660" s="80" t="n">
        <x:v>4128.609552982555</x:v>
      </x:c>
      <x:c r="Q660" s="81" t="n">
        <x:v>0.0009663462076775065</x:v>
      </x:c>
      <x:c r="R660" s="81" t="n">
        <x:v>130.05493747294975</x:v>
      </x:c>
      <x:c r="S660" s="81" t="n">
        <x:v>65.92167530407</x:v>
      </x:c>
      <x:c r="T660" s="81" t="n">
        <x:v>28.879444876097185</x:v>
      </x:c>
    </x:row>
    <x:row r="661">
      <x:c r="A661" s="59" t="n">
        <x:v>658</x:v>
      </x:c>
      <x:c r="B661" s="193" t="n">
        <x:v>0.8576241260394455</x:v>
      </x:c>
      <x:c r="C661" s="83" t="n">
        <x:v>0.632724138860823</x:v>
      </x:c>
      <x:c r="D661" s="83" t="n">
        <x:v>0.741510484635345</x:v>
      </x:c>
      <x:c r="E661" s="81" t="n">
        <x:v>0.08038453983522452</x:v>
      </x:c>
      <x:c r="F661" s="81" t="n">
        <x:v>0.2902614951366559</x:v>
      </x:c>
      <x:c r="G661" s="81" t="n">
        <x:v>0.02725996226358232</x:v>
      </x:c>
      <x:c r="H661" s="59" t="n">
        <x:v>0</x:v>
      </x:c>
      <x:c r="I661" s="81" t="n">
        <x:v>0</x:v>
      </x:c>
      <x:c r="J661" s="79" t="n">
        <x:v>0.0126540526036678</x:v>
      </x:c>
      <x:c r="K661" s="81" t="n">
        <x:v>13.461774404191774</x:v>
      </x:c>
      <x:c r="L661" s="81" t="n">
        <x:v>-0.6365309173125991</x:v>
      </x:c>
      <x:c r="M661" s="80" t="n">
        <x:v>40504.78562657503</x:v>
      </x:c>
      <x:c r="N661" s="82" t="n">
        <x:v>0.3063958972749592</x:v>
      </x:c>
      <x:c r="O661" s="82" t="n">
        <x:v>0.08401238530558722</x:v>
      </x:c>
      <x:c r="P661" s="80" t="n">
        <x:v>55021.68098183831</x:v>
      </x:c>
      <x:c r="Q661" s="81" t="n">
        <x:v>0.0026366229346568263</x:v>
      </x:c>
      <x:c r="R661" s="81" t="n">
        <x:v>252.63491702031584</x:v>
      </x:c>
      <x:c r="S661" s="81" t="n">
        <x:v>383.2397302532252</x:v>
      </x:c>
      <x:c r="T661" s="81" t="n">
        <x:v>274.1144059657705</x:v>
      </x:c>
    </x:row>
    <x:row r="662">
      <x:c r="A662" s="59" t="n">
        <x:v>659</x:v>
      </x:c>
      <x:c r="B662" s="193" t="n">
        <x:v>0.7776458371430637</x:v>
      </x:c>
      <x:c r="C662" s="83" t="n">
        <x:v>0.11993669174863085</x:v>
      </x:c>
      <x:c r="D662" s="83" t="n">
        <x:v>0.1528700524596103</x:v>
      </x:c>
      <x:c r="E662" s="81" t="n">
        <x:v>-0.144783187802475</x:v>
      </x:c>
      <x:c r="F662" s="81" t="n">
        <x:v>0.7009838865022175</x:v>
      </x:c>
      <x:c r="G662" s="81" t="n">
        <x:v>-0.04819539261836689</x:v>
      </x:c>
      <x:c r="H662" s="59" t="n">
        <x:v>0</x:v>
      </x:c>
      <x:c r="I662" s="81" t="n">
        <x:v>0</x:v>
      </x:c>
      <x:c r="J662" s="79" t="n">
        <x:v>4.151484545916725e-15</x:v>
      </x:c>
      <x:c r="K662" s="81" t="n">
        <x:v>-0.9999999999952555</x:v>
      </x:c>
      <x:c r="L662" s="81" t="n">
        <x:v>-0.9999999999952555</x:v>
      </x:c>
      <x:c r="M662" s="80" t="n">
        <x:v>0.012675482450098282</x:v>
      </x:c>
      <x:c r="N662" s="82" t="n">
        <x:v>0.2873435692669244</x:v>
      </x:c>
      <x:c r="O662" s="82" t="n">
        <x:v>0.19027444283456288</x:v>
      </x:c>
      <x:c r="P662" s="80" t="n">
        <x:v>83.68135827637288</x:v>
      </x:c>
      <x:c r="Q662" s="81" t="n">
        <x:v>24.383149366377086</x:v>
      </x:c>
      <x:c r="R662" s="81" t="n">
        <x:v>32.857747175191236</x:v>
      </x:c>
      <x:c r="S662" s="81" t="n">
        <x:v>4.261219181351464e-7</x:v>
      </x:c>
      <x:c r="T662" s="81" t="n">
        <x:v>8.993021886523479e-11</x:v>
      </x:c>
    </x:row>
    <x:row r="663">
      <x:c r="A663" s="59" t="n">
        <x:v>660</x:v>
      </x:c>
      <x:c r="B663" s="193" t="n">
        <x:v>0.6020096510648727</x:v>
      </x:c>
      <x:c r="C663" s="83" t="n">
        <x:v>1.7470977712250562</x:v>
      </x:c>
      <x:c r="D663" s="83" t="n">
        <x:v>2.7086607170415826</x:v>
      </x:c>
      <x:c r="E663" s="81" t="n">
        <x:v>-0.08322073092353334</x:v>
      </x:c>
      <x:c r="F663" s="81" t="n">
        <x:v>0.8071705634822138</x:v>
      </x:c>
      <x:c r="G663" s="81" t="n">
        <x:v>0.009111247861495295</x:v>
      </x:c>
      <x:c r="H663" s="59" t="n">
        <x:v>25</x:v>
      </x:c>
      <x:c r="I663" s="81" t="n">
        <x:v>0.42236096877604723</x:v>
      </x:c>
      <x:c r="J663" s="79" t="n">
        <x:v>3.2218766762626175e-75</x:v>
      </x:c>
      <x:c r="K663" s="81" t="n">
        <x:v>-1</x:v>
      </x:c>
      <x:c r="L663" s="81" t="n">
        <x:v>-1</x:v>
      </x:c>
      <x:c r="M663" s="80" t="n">
        <x:v>0.000002</x:v>
      </x:c>
      <x:c r="N663" s="82" t="n">
        <x:v>0.24550373656461003</x:v>
      </x:c>
      <x:c r="O663" s="82" t="n">
        <x:v>0.1871950513555482</x:v>
      </x:c>
      <x:c r="P663" s="80" t="n">
        <x:v>713.9902787777769</x:v>
      </x:c>
      <x:c r="Q663" s="81" t="n">
        <x:v>8.16152518909586e+57</x:v>
      </x:c>
      <x:c r="R663" s="81" t="n">
        <x:v>0.9601291616251864</x:v>
      </x:c>
      <x:c r="S663" s="81" t="n">
        <x:v>9.645165199974638e-10</x:v>
      </x:c>
      <x:c r="T663" s="81" t="n">
        <x:v>6.979288287079761e-71</x:v>
      </x:c>
    </x:row>
    <x:row r="664">
      <x:c r="A664" s="59" t="n">
        <x:v>661</x:v>
      </x:c>
      <x:c r="B664" s="193" t="n">
        <x:v>0.6028063893318176</x:v>
      </x:c>
      <x:c r="C664" s="83" t="n">
        <x:v>2.730326524914803</x:v>
      </x:c>
      <x:c r="D664" s="83" t="n">
        <x:v>0.5992958048747239</x:v>
      </x:c>
      <x:c r="E664" s="81" t="n">
        <x:v>-0.07187562595715963</x:v>
      </x:c>
      <x:c r="F664" s="81" t="n">
        <x:v>0.6293426059302873</x:v>
      </x:c>
      <x:c r="G664" s="81" t="n">
        <x:v>0.0019533736016331144</x:v>
      </x:c>
      <x:c r="H664" s="59" t="n">
        <x:v>71</x:v>
      </x:c>
      <x:c r="I664" s="81" t="n">
        <x:v>0.3447290237993002</x:v>
      </x:c>
      <x:c r="J664" s="79" t="n">
        <x:v>4.982346881672985e-27</x:v>
      </x:c>
      <x:c r="K664" s="81" t="n">
        <x:v>-1</x:v>
      </x:c>
      <x:c r="L664" s="81" t="n">
        <x:v>-1</x:v>
      </x:c>
      <x:c r="M664" s="80" t="n">
        <x:v>0.000002</x:v>
      </x:c>
      <x:c r="N664" s="82" t="n">
        <x:v>0.24569353455863863</x:v>
      </x:c>
      <x:c r="O664" s="82" t="n">
        <x:v>0.14606689724701358</x:v>
      </x:c>
      <x:c r="P664" s="80" t="n">
        <x:v>803.3500719453419</x:v>
      </x:c>
      <x:c r="Q664" s="81" t="n">
        <x:v>6046772032.412279</x:v>
      </x:c>
      <x:c r="R664" s="81" t="n">
        <x:v>1.6909211721771589</x:v>
      </x:c>
      <x:c r="S664" s="81" t="n">
        <x:v>1.441152336187102e-10</x:v>
      </x:c>
      <x:c r="T664" s="81" t="n">
        <x:v>1.0792851101230122e-22</x:v>
      </x:c>
    </x:row>
    <x:row r="665">
      <x:c r="A665" s="59" t="n">
        <x:v>662</x:v>
      </x:c>
      <x:c r="B665" s="193" t="n">
        <x:v>0.837118717096746</x:v>
      </x:c>
      <x:c r="C665" s="83" t="n">
        <x:v>0.5424725260034359</x:v>
      </x:c>
      <x:c r="D665" s="83" t="n">
        <x:v>0.3306134466092825</x:v>
      </x:c>
      <x:c r="E665" s="81" t="n">
        <x:v>0.019188134320784343</x:v>
      </x:c>
      <x:c r="F665" s="81" t="n">
        <x:v>0.5300922127324157</x:v>
      </x:c>
      <x:c r="G665" s="81" t="n">
        <x:v>0.015976912970078316</x:v>
      </x:c>
      <x:c r="H665" s="59" t="n">
        <x:v>0</x:v>
      </x:c>
      <x:c r="I665" s="81" t="n">
        <x:v>0</x:v>
      </x:c>
      <x:c r="J665" s="79" t="n">
        <x:v>0.00002252184162337069</x:v>
      </x:c>
      <x:c r="K665" s="81" t="n">
        <x:v>-0.9742607524304335</x:v>
      </x:c>
      <x:c r="L665" s="81" t="n">
        <x:v>-0.9785890967658258</x:v>
      </x:c>
      <x:c r="M665" s="80" t="n">
        <x:v>1282.0424908378332</x:v>
      </x:c>
      <x:c r="N665" s="82" t="n">
        <x:v>0.3015111243883905</x:v>
      </x:c>
      <x:c r="O665" s="82" t="n">
        <x:v>0.15098218509465997</x:v>
      </x:c>
      <x:c r="P665" s="80" t="n">
        <x:v>1464.4468486822186</x:v>
      </x:c>
      <x:c r="Q665" s="81" t="n">
        <x:v>0.013915364163065939</x:v>
      </x:c>
      <x:c r="R665" s="81" t="n">
        <x:v>22.18981299873042</x:v>
      </x:c>
      <x:c r="S665" s="81" t="n">
        <x:v>0.9192434220079216</x:v>
      </x:c>
      <x:c r="T665" s="81" t="n">
        <x:v>0.48787225967876896</x:v>
      </x:c>
    </x:row>
    <x:row r="666">
      <x:c r="A666" s="59" t="n">
        <x:v>663</x:v>
      </x:c>
      <x:c r="B666" s="193" t="n">
        <x:v>0.7387184772640467</x:v>
      </x:c>
      <x:c r="C666" s="83" t="n">
        <x:v>2.7183984781544455</x:v>
      </x:c>
      <x:c r="D666" s="83" t="n">
        <x:v>1.8973294675672745</x:v>
      </x:c>
      <x:c r="E666" s="81" t="n">
        <x:v>-0.028210476744046226</x:v>
      </x:c>
      <x:c r="F666" s="81" t="n">
        <x:v>0.7862424054299482</x:v>
      </x:c>
      <x:c r="G666" s="81" t="n">
        <x:v>-0.05</x:v>
      </x:c>
      <x:c r="H666" s="59" t="n">
        <x:v>0</x:v>
      </x:c>
      <x:c r="I666" s="81" t="n">
        <x:v>0</x:v>
      </x:c>
      <x:c r="J666" s="79" t="n">
        <x:v>6.57039537647242e-26</x:v>
      </x:c>
      <x:c r="K666" s="81" t="n">
        <x:v>-1</x:v>
      </x:c>
      <x:c r="L666" s="81" t="n">
        <x:v>-1</x:v>
      </x:c>
      <x:c r="M666" s="80" t="n">
        <x:v>0.000002</x:v>
      </x:c>
      <x:c r="N666" s="82" t="n">
        <x:v>0.2780703422557445</x:v>
      </x:c>
      <x:c r="O666" s="82" t="n">
        <x:v>0.20652949197213938</x:v>
      </x:c>
      <x:c r="P666" s="80" t="n">
        <x:v>2058.6517111396124</x:v>
      </x:c>
      <x:c r="Q666" s="81" t="n">
        <x:v>1120662645.2863016</x:v>
      </x:c>
      <x:c r="R666" s="81" t="n">
        <x:v>2.253111555534841</x:v>
      </x:c>
      <x:c r="S666" s="81" t="n">
        <x:v>2.3947570495410164e-10</x:v>
      </x:c>
      <x:c r="T666" s="81" t="n">
        <x:v>1.423291084675867e-21</x:v>
      </x:c>
    </x:row>
    <x:row r="667">
      <x:c r="A667" s="59" t="n">
        <x:v>664</x:v>
      </x:c>
      <x:c r="B667" s="193" t="n">
        <x:v>0.5199376178905368</x:v>
      </x:c>
      <x:c r="C667" s="83" t="n">
        <x:v>0.38857953652062427</x:v>
      </x:c>
      <x:c r="D667" s="83" t="n">
        <x:v>0.8446910463191555</x:v>
      </x:c>
      <x:c r="E667" s="81" t="n">
        <x:v>-0.1042415047426876</x:v>
      </x:c>
      <x:c r="F667" s="81" t="n">
        <x:v>0.3591714412905276</x:v>
      </x:c>
      <x:c r="G667" s="81" t="n">
        <x:v>-0.014557146445373998</x:v>
      </x:c>
      <x:c r="H667" s="59" t="n">
        <x:v>0</x:v>
      </x:c>
      <x:c r="I667" s="81" t="n">
        <x:v>0</x:v>
      </x:c>
      <x:c r="J667" s="79" t="n">
        <x:v>5.673796100326667e-37</x:v>
      </x:c>
      <x:c r="K667" s="81" t="n">
        <x:v>-1</x:v>
      </x:c>
      <x:c r="L667" s="81" t="n">
        <x:v>-1</x:v>
      </x:c>
      <x:c r="M667" s="80" t="n">
        <x:v>0.000002</x:v>
      </x:c>
      <x:c r="N667" s="82" t="n">
        <x:v>0.2259526394118613</x:v>
      </x:c>
      <x:c r="O667" s="82" t="n">
        <x:v>0.07666376750415922</x:v>
      </x:c>
      <x:c r="P667" s="80" t="n">
        <x:v>229.04973306026997</x:v>
      </x:c>
      <x:c r="Q667" s="81" t="n">
        <x:v>37717636569831310000</x:v>
      </x:c>
      <x:c r="R667" s="81" t="n">
        <x:v>4.532589079012143</x:v>
      </x:c>
      <x:c r="S667" s="81" t="n">
        <x:v>4.4580726564302043e-10</x:v>
      </x:c>
      <x:c r="T667" s="81" t="n">
        <x:v>1.2290681067353489e-32</x:v>
      </x:c>
    </x:row>
    <x:row r="668">
      <x:c r="A668" s="59" t="n">
        <x:v>665</x:v>
      </x:c>
      <x:c r="B668" s="193" t="n">
        <x:v>0.4735820610076189</x:v>
      </x:c>
      <x:c r="C668" s="83" t="n">
        <x:v>1.4092036490135111</x:v>
      </x:c>
      <x:c r="D668" s="83" t="n">
        <x:v>0.5505367028926271</x:v>
      </x:c>
      <x:c r="E668" s="81" t="n">
        <x:v>-0.09860845248431266</x:v>
      </x:c>
      <x:c r="F668" s="81" t="n">
        <x:v>0.7721486500347965</x:v>
      </x:c>
      <x:c r="G668" s="81" t="n">
        <x:v>-0.001292942983130792</x:v>
      </x:c>
      <x:c r="H668" s="59" t="n">
        <x:v>0</x:v>
      </x:c>
      <x:c r="I668" s="81" t="n">
        <x:v>0</x:v>
      </x:c>
      <x:c r="J668" s="79" t="n">
        <x:v>8.26918485549325e-30</x:v>
      </x:c>
      <x:c r="K668" s="81" t="n">
        <x:v>-1</x:v>
      </x:c>
      <x:c r="L668" s="81" t="n">
        <x:v>-1</x:v>
      </x:c>
      <x:c r="M668" s="80" t="n">
        <x:v>0.000002</x:v>
      </x:c>
      <x:c r="N668" s="82" t="n">
        <x:v>0.21490987659565872</x:v>
      </x:c>
      <x:c r="O668" s="82" t="n">
        <x:v>0.15675746552343803</x:v>
      </x:c>
      <x:c r="P668" s="80" t="n">
        <x:v>381.95067837251355</x:v>
      </x:c>
      <x:c r="Q668" s="81" t="n">
        <x:v>2721829353023.5557</x:v>
      </x:c>
      <x:c r="R668" s="81" t="n">
        <x:v>2.171505417454161</x:v>
      </x:c>
      <x:c r="S668" s="81" t="n">
        <x:v>1.9705190997261017e-10</x:v>
      </x:c>
      <x:c r="T668" s="81" t="n">
        <x:v>1.7912859741294815e-25</x:v>
      </x:c>
    </x:row>
    <x:row r="669">
      <x:c r="A669" s="59" t="n">
        <x:v>666</x:v>
      </x:c>
      <x:c r="B669" s="193" t="n">
        <x:v>0.9995652599260212</x:v>
      </x:c>
      <x:c r="C669" s="83" t="n">
        <x:v>0.7338931245282371</x:v>
      </x:c>
      <x:c r="D669" s="83" t="n">
        <x:v>0.6771375681302346</x:v>
      </x:c>
      <x:c r="E669" s="81" t="n">
        <x:v>-0.0572654012924385</x:v>
      </x:c>
      <x:c r="F669" s="81" t="n">
        <x:v>0.8474466175190173</x:v>
      </x:c>
      <x:c r="G669" s="81" t="n">
        <x:v>-0.00846043978740575</x:v>
      </x:c>
      <x:c r="H669" s="59" t="n">
        <x:v>0</x:v>
      </x:c>
      <x:c r="I669" s="81" t="n">
        <x:v>0</x:v>
      </x:c>
      <x:c r="J669" s="79" t="n">
        <x:v>6.385110502525756e-25</x:v>
      </x:c>
      <x:c r="K669" s="81" t="n">
        <x:v>-1</x:v>
      </x:c>
      <x:c r="L669" s="81" t="n">
        <x:v>-1</x:v>
      </x:c>
      <x:c r="M669" s="80" t="n">
        <x:v>0.000002</x:v>
      </x:c>
      <x:c r="N669" s="82" t="n">
        <x:v>0.3402089367630019</x:v>
      </x:c>
      <x:c r="O669" s="82" t="n">
        <x:v>0.27235102250635557</x:v>
      </x:c>
      <x:c r="P669" s="80" t="n">
        <x:v>391.48558393227285</x:v>
      </x:c>
      <x:c r="Q669" s="81" t="n">
        <x:v>58414154.52261612</x:v>
      </x:c>
      <x:c r="R669" s="81" t="n">
        <x:v>4.401709330000553</x:v>
      </x:c>
      <x:c r="S669" s="81" t="n">
        <x:v>3.085064540842926e-10</x:v>
      </x:c>
      <x:c r="T669" s="81" t="n">
        <x:v>1.3831543358041172e-20</x:v>
      </x:c>
    </x:row>
    <x:row r="670">
      <x:c r="A670" s="59" t="n">
        <x:v>667</x:v>
      </x:c>
      <x:c r="B670" s="193" t="n">
        <x:v>0.6434497157111765</x:v>
      </x:c>
      <x:c r="C670" s="83" t="n">
        <x:v>0.32370244340492293</x:v>
      </x:c>
      <x:c r="D670" s="83" t="n">
        <x:v>1.8552201947876827</x:v>
      </x:c>
      <x:c r="E670" s="81" t="n">
        <x:v>-0.06520489771335833</x:v>
      </x:c>
      <x:c r="F670" s="81" t="n">
        <x:v>0.4750713164219633</x:v>
      </x:c>
      <x:c r="G670" s="81" t="n">
        <x:v>-0.002863350708554622</x:v>
      </x:c>
      <x:c r="H670" s="59" t="n">
        <x:v>31</x:v>
      </x:c>
      <x:c r="I670" s="81" t="n">
        <x:v>0.29039360489696264</x:v>
      </x:c>
      <x:c r="J670" s="79" t="n">
        <x:v>4.880563003241326e-47</x:v>
      </x:c>
      <x:c r="K670" s="81" t="n">
        <x:v>-1</x:v>
      </x:c>
      <x:c r="L670" s="81" t="n">
        <x:v>-1</x:v>
      </x:c>
      <x:c r="M670" s="80" t="n">
        <x:v>0.000002</x:v>
      </x:c>
      <x:c r="N670" s="82" t="n">
        <x:v>0.2553755369645719</x:v>
      </x:c>
      <x:c r="O670" s="82" t="n">
        <x:v>0.11460644579625974</x:v>
      </x:c>
      <x:c r="P670" s="80" t="n">
        <x:v>367.27561351972815</x:v>
      </x:c>
      <x:c r="Q670" s="81" t="n">
        <x:v>6.762041226983475e+29</x:v>
      </x:c>
      <x:c r="R670" s="81" t="n">
        <x:v>4.143052811459272</x:v>
      </x:c>
      <x:c r="S670" s="81" t="n">
        <x:v>1.1856535099957672e-9</x:v>
      </x:c>
      <x:c r="T670" s="81" t="n">
        <x:v>1.0572364998895606e-42</x:v>
      </x:c>
    </x:row>
    <x:row r="671">
      <x:c r="A671" s="59" t="n">
        <x:v>668</x:v>
      </x:c>
      <x:c r="B671" s="193" t="n">
        <x:v>0.24701903872191908</x:v>
      </x:c>
      <x:c r="C671" s="83" t="n">
        <x:v>1.5073350564332557</x:v>
      </x:c>
      <x:c r="D671" s="83" t="n">
        <x:v>1.0990336455982355</x:v>
      </x:c>
      <x:c r="E671" s="81" t="n">
        <x:v>0.0770757433691689</x:v>
      </x:c>
      <x:c r="F671" s="81" t="n">
        <x:v>0.8198215712211095</x:v>
      </x:c>
      <x:c r="G671" s="81" t="n">
        <x:v>0.04609509118768086</x:v>
      </x:c>
      <x:c r="H671" s="59" t="n">
        <x:v>0</x:v>
      </x:c>
      <x:c r="I671" s="81" t="n">
        <x:v>0</x:v>
      </x:c>
      <x:c r="J671" s="79" t="n">
        <x:v>0.04511899652901143</x:v>
      </x:c>
      <x:c r="K671" s="81" t="n">
        <x:v>50.56456746172736</x:v>
      </x:c>
      <x:c r="L671" s="81" t="n">
        <x:v>-0.664708154164297</x:v>
      </x:c>
      <x:c r="M671" s="80" t="n">
        <x:v>133714.7598305529</x:v>
      </x:c>
      <x:c r="N671" s="82" t="n">
        <x:v>0.160938316630537</x:v>
      </x:c>
      <x:c r="O671" s="82" t="n">
        <x:v>0.12463778937877877</x:v>
      </x:c>
      <x:c r="P671" s="80" t="n">
        <x:v>256525.32244705324</x:v>
      </x:c>
      <x:c r="Q671" s="81" t="n">
        <x:v>0.004365742895038838</x:v>
      </x:c>
      <x:c r="R671" s="81" t="n">
        <x:v>241.55355457713094</x:v>
      </x:c>
      <x:c r="S671" s="81" t="n">
        <x:v>602.6120204377999</x:v>
      </x:c>
      <x:c r="T671" s="81" t="n">
        <x:v>977.3759694769095</x:v>
      </x:c>
    </x:row>
    <x:row r="672">
      <x:c r="A672" s="59" t="n">
        <x:v>669</x:v>
      </x:c>
      <x:c r="B672" s="193" t="n">
        <x:v>0.4582709971815348</x:v>
      </x:c>
      <x:c r="C672" s="83" t="n">
        <x:v>0.3607306695937448</x:v>
      </x:c>
      <x:c r="D672" s="83" t="n">
        <x:v>0.8266815252139277</x:v>
      </x:c>
      <x:c r="E672" s="81" t="n">
        <x:v>0.19845485619053718</x:v>
      </x:c>
      <x:c r="F672" s="81" t="n">
        <x:v>0.4295074421563186</x:v>
      </x:c>
      <x:c r="G672" s="81" t="n">
        <x:v>0.004209948284537783</x:v>
      </x:c>
      <x:c r="H672" s="59" t="n">
        <x:v>0</x:v>
      </x:c>
      <x:c r="I672" s="81" t="n">
        <x:v>0</x:v>
      </x:c>
      <x:c r="J672" s="79" t="n">
        <x:v>0.04901300998471371</x:v>
      </x:c>
      <x:c r="K672" s="81" t="n">
        <x:v>55.01486855395853</x:v>
      </x:c>
      <x:c r="L672" s="81" t="n">
        <x:v>-0.7856896937627043</x:v>
      </x:c>
      <x:c r="M672" s="80" t="n">
        <x:v>87838.96259947961</x:v>
      </x:c>
      <x:c r="N672" s="82" t="n">
        <x:v>0.21126249410983897</x:v>
      </x:c>
      <x:c r="O672" s="82" t="n">
        <x:v>0.08571642269729406</x:v>
      </x:c>
      <x:c r="P672" s="80" t="n">
        <x:v>108444.42400778616</x:v>
      </x:c>
      <x:c r="Q672" s="81" t="n">
        <x:v>0.0013120296683933107</x:v>
      </x:c>
      <x:c r="R672" s="81" t="n">
        <x:v>2483.3839097036457</x:v>
      </x:c>
      <x:c r="S672" s="81" t="n">
        <x:v>2550.907529621556</x:v>
      </x:c>
      <x:c r="T672" s="81" t="n">
        <x:v>1061.7288024122774</x:v>
      </x:c>
    </x:row>
    <x:row r="673">
      <x:c r="A673" s="59" t="n">
        <x:v>670</x:v>
      </x:c>
      <x:c r="B673" s="193" t="n">
        <x:v>0.3561535969376564</x:v>
      </x:c>
      <x:c r="C673" s="83" t="n">
        <x:v>0.18514707849651713</x:v>
      </x:c>
      <x:c r="D673" s="83" t="n">
        <x:v>2.179021783362897</x:v>
      </x:c>
      <x:c r="E673" s="81" t="n">
        <x:v>0.06848612685722757</x:v>
      </x:c>
      <x:c r="F673" s="81" t="n">
        <x:v>0.48677731276256964</x:v>
      </x:c>
      <x:c r="G673" s="81" t="n">
        <x:v>-0.04927428159984933</x:v>
      </x:c>
      <x:c r="H673" s="59" t="n">
        <x:v>0</x:v>
      </x:c>
      <x:c r="I673" s="81" t="n">
        <x:v>0</x:v>
      </x:c>
      <x:c r="J673" s="79" t="n">
        <x:v>0.008094425678311763</x:v>
      </x:c>
      <x:c r="K673" s="81" t="n">
        <x:v>8.250772203784873</x:v>
      </x:c>
      <x:c r="L673" s="81" t="n">
        <x:v>-0.8141692447707767</x:v>
      </x:c>
      <x:c r="M673" s="80" t="n">
        <x:v>26700.86301247543</x:v>
      </x:c>
      <x:c r="N673" s="82" t="n">
        <x:v>0.18693621467049226</x:v>
      </x:c>
      <x:c r="O673" s="82" t="n">
        <x:v>0.085959665135837</x:v>
      </x:c>
      <x:c r="P673" s="80" t="n">
        <x:v>88353.331339261</x:v>
      </x:c>
      <x:c r="Q673" s="81" t="n">
        <x:v>0.0032921462133521325</x:v>
      </x:c>
      <x:c r="R673" s="81" t="n">
        <x:v>3070.3049429812</x:v>
      </x:c>
      <x:c r="S673" s="81" t="n">
        <x:v>824.0596323570318</x:v>
      </x:c>
      <x:c r="T673" s="81" t="n">
        <x:v>175.34293209760997</x:v>
      </x:c>
    </x:row>
    <x:row r="674">
      <x:c r="A674" s="59" t="n">
        <x:v>671</x:v>
      </x:c>
      <x:c r="B674" s="193" t="n">
        <x:v>0.3649473050609231</x:v>
      </x:c>
      <x:c r="C674" s="83" t="n">
        <x:v>0.6942187195626716</x:v>
      </x:c>
      <x:c r="D674" s="83" t="n">
        <x:v>1.3294731821851977</x:v>
      </x:c>
      <x:c r="E674" s="81" t="n">
        <x:v>-0.005753247158375001</x:v>
      </x:c>
      <x:c r="F674" s="81" t="n">
        <x:v>0.2658364725415595</x:v>
      </x:c>
      <x:c r="G674" s="81" t="n">
        <x:v>0.027390348383978275</x:v>
      </x:c>
      <x:c r="H674" s="59" t="n">
        <x:v>0</x:v>
      </x:c>
      <x:c r="I674" s="81" t="n">
        <x:v>0</x:v>
      </x:c>
      <x:c r="J674" s="79" t="n">
        <x:v>3.5040089880337517e-10</x:v>
      </x:c>
      <x:c r="K674" s="81" t="n">
        <x:v>-0.9999995995418299</x:v>
      </x:c>
      <x:c r="L674" s="81" t="n">
        <x:v>-0.9999995995418299</x:v>
      </x:c>
      <x:c r="M674" s="80" t="n">
        <x:v>5.479560478776337</x:v>
      </x:c>
      <x:c r="N674" s="82" t="n">
        <x:v>0.1890310408274817</x:v>
      </x:c>
      <x:c r="O674" s="82" t="n">
        <x:v>0.04746993455792851</x:v>
      </x:c>
      <x:c r="P674" s="80" t="n">
        <x:v>3136.1752266971534</x:v>
      </x:c>
      <x:c r="Q674" s="81" t="n">
        <x:v>2.7431488751149335</x:v>
      </x:c>
      <x:c r="R674" s="81" t="n">
        <x:v>16.87253429001355</x:v>
      </x:c>
      <x:c r="S674" s="81" t="n">
        <x:v>0.002680921007969222</x:v>
      </x:c>
      <x:c r="T674" s="81" t="n">
        <x:v>0.000007590448470043422</x:v>
      </x:c>
    </x:row>
    <x:row r="675">
      <x:c r="A675" s="59" t="n">
        <x:v>672</x:v>
      </x:c>
      <x:c r="B675" s="193" t="n">
        <x:v>0.5946387350559235</x:v>
      </x:c>
      <x:c r="C675" s="83" t="n">
        <x:v>2.3945721463139553</x:v>
      </x:c>
      <x:c r="D675" s="83" t="n">
        <x:v>0.8264869588609215</x:v>
      </x:c>
      <x:c r="E675" s="81" t="n">
        <x:v>0.06796857815785305</x:v>
      </x:c>
      <x:c r="F675" s="81" t="n">
        <x:v>0.6695148073369637</x:v>
      </x:c>
      <x:c r="G675" s="81" t="n">
        <x:v>0.03506298320026951</x:v>
      </x:c>
      <x:c r="H675" s="59" t="n">
        <x:v>0</x:v>
      </x:c>
      <x:c r="I675" s="81" t="n">
        <x:v>0</x:v>
      </x:c>
      <x:c r="J675" s="79" t="n">
        <x:v>0.017046866123311796</x:v>
      </x:c>
      <x:c r="K675" s="81" t="n">
        <x:v>18.48213271235634</x:v>
      </x:c>
      <x:c r="L675" s="81" t="n">
        <x:v>-0.5992563818618997</x:v>
      </x:c>
      <x:c r="M675" s="80" t="n">
        <x:v>97451.4615446339</x:v>
      </x:c>
      <x:c r="N675" s="82" t="n">
        <x:v>0.24374784616660336</x:v>
      </x:c>
      <x:c r="O675" s="82" t="n">
        <x:v>0.15416007580669314</x:v>
      </x:c>
      <x:c r="P675" s="80" t="n">
        <x:v>148695.95759865773</x:v>
      </x:c>
      <x:c r="Q675" s="81" t="n">
        <x:v>0.005707544430971635</x:v>
      </x:c>
      <x:c r="R675" s="81" t="n">
        <x:v>72.80895901998677</x:v>
      </x:c>
      <x:c r="S675" s="81" t="n">
        <x:v>148.8366131698838</x:v>
      </x:c>
      <x:c r="T675" s="81" t="n">
        <x:v>369.2723372759816</x:v>
      </x:c>
    </x:row>
    <x:row r="676">
      <x:c r="A676" s="59" t="n">
        <x:v>673</x:v>
      </x:c>
      <x:c r="B676" s="193" t="n">
        <x:v>0.3260388566181064</x:v>
      </x:c>
      <x:c r="C676" s="83" t="n">
        <x:v>1.0077126528851488</x:v>
      </x:c>
      <x:c r="D676" s="83" t="n">
        <x:v>0.39322275041086024</x:v>
      </x:c>
      <x:c r="E676" s="81" t="n">
        <x:v>-0.059592280780158075</x:v>
      </x:c>
      <x:c r="F676" s="81" t="n">
        <x:v>0.8509598465985618</x:v>
      </x:c>
      <x:c r="G676" s="81" t="n">
        <x:v>-0.018165392503154614</x:v>
      </x:c>
      <x:c r="H676" s="59" t="n">
        <x:v>0</x:v>
      </x:c>
      <x:c r="I676" s="81" t="n">
        <x:v>0</x:v>
      </x:c>
      <x:c r="J676" s="79" t="n">
        <x:v>2.858139270813495e-17</x:v>
      </x:c>
      <x:c r="K676" s="81" t="n">
        <x:v>-0.9999999999999674</x:v>
      </x:c>
      <x:c r="L676" s="81" t="n">
        <x:v>-0.9999999999999674</x:v>
      </x:c>
      <x:c r="M676" s="80" t="n">
        <x:v>0.00189917850324359</x:v>
      </x:c>
      <x:c r="N676" s="82" t="n">
        <x:v>0.17976231887499433</x:v>
      </x:c>
      <x:c r="O676" s="82" t="n">
        <x:v>0.14450360157833475</x:v>
      </x:c>
      <x:c r="P676" s="80" t="n">
        <x:v>429.7057986162715</x:v>
      </x:c>
      <x:c r="Q676" s="81" t="n">
        <x:v>1193.4225443990686</x:v>
      </x:c>
      <x:c r="R676" s="81" t="n">
        <x:v>5.287416697110135</x:v>
      </x:c>
      <x:c r="S676" s="81" t="n">
        <x:v>1.351890316485233e-7</x:v>
      </x:c>
      <x:c r="T676" s="81" t="n">
        <x:v>6.191353655029022e-13</x:v>
      </x:c>
    </x:row>
    <x:row r="677">
      <x:c r="A677" s="59" t="n">
        <x:v>674</x:v>
      </x:c>
      <x:c r="B677" s="193" t="n">
        <x:v>0.9769337521865964</x:v>
      </x:c>
      <x:c r="C677" s="83" t="n">
        <x:v>0.12160865093399091</x:v>
      </x:c>
      <x:c r="D677" s="83" t="n">
        <x:v>1.719744614604726</x:v>
      </x:c>
      <x:c r="E677" s="81" t="n">
        <x:v>-0.029845760320524755</x:v>
      </x:c>
      <x:c r="F677" s="81" t="n">
        <x:v>0.8569846082362347</x:v>
      </x:c>
      <x:c r="G677" s="81" t="n">
        <x:v>-0.012158896008070727</x:v>
      </x:c>
      <x:c r="H677" s="59" t="n">
        <x:v>0</x:v>
      </x:c>
      <x:c r="I677" s="81" t="n">
        <x:v>0</x:v>
      </x:c>
      <x:c r="J677" s="79" t="n">
        <x:v>6.7352252160223e-28</x:v>
      </x:c>
      <x:c r="K677" s="81" t="n">
        <x:v>-1</x:v>
      </x:c>
      <x:c r="L677" s="81" t="n">
        <x:v>-1</x:v>
      </x:c>
      <x:c r="M677" s="80" t="n">
        <x:v>0.000002</x:v>
      </x:c>
      <x:c r="N677" s="82" t="n">
        <x:v>0.3348176872787008</x:v>
      </x:c>
      <x:c r="O677" s="82" t="n">
        <x:v>0.27105183762710183</x:v>
      </x:c>
      <x:c r="P677" s="80" t="n">
        <x:v>486.8988532619093</x:v>
      </x:c>
      <x:c r="Q677" s="81" t="n">
        <x:v>103498061831.89287</x:v>
      </x:c>
      <x:c r="R677" s="81" t="n">
        <x:v>17.960065858197662</x:v>
      </x:c>
      <x:c r="S677" s="81" t="n">
        <x:v>1.1574076469949125e-9</x:v>
      </x:c>
      <x:c r="T677" s="81" t="n">
        <x:v>1.4589968265190392e-23</x:v>
      </x:c>
    </x:row>
    <x:row r="678">
      <x:c r="A678" s="59" t="n">
        <x:v>675</x:v>
      </x:c>
      <x:c r="B678" s="193" t="n">
        <x:v>0.7551226535812021</x:v>
      </x:c>
      <x:c r="C678" s="83" t="n">
        <x:v>2.308740543724086</x:v>
      </x:c>
      <x:c r="D678" s="83" t="n">
        <x:v>0.6073406763373032</x:v>
      </x:c>
      <x:c r="E678" s="81" t="n">
        <x:v>0.09526759853022992</x:v>
      </x:c>
      <x:c r="F678" s="81" t="n">
        <x:v>0.3468080676277168</x:v>
      </x:c>
      <x:c r="G678" s="81" t="n">
        <x:v>0.003883821291780433</x:v>
      </x:c>
      <x:c r="H678" s="59" t="n">
        <x:v>0</x:v>
      </x:c>
      <x:c r="I678" s="81" t="n">
        <x:v>0</x:v>
      </x:c>
      <x:c r="J678" s="79" t="n">
        <x:v>0.02319920771918567</x:v>
      </x:c>
      <x:c r="K678" s="81" t="n">
        <x:v>25.51338025049791</x:v>
      </x:c>
      <x:c r="L678" s="81" t="n">
        <x:v>-0.5500813386073411</x:v>
      </x:c>
      <x:c r="M678" s="80" t="n">
        <x:v>106855.70281909392</x:v>
      </x:c>
      <x:c r="N678" s="82" t="n">
        <x:v>0.2819781246327969</x:v>
      </x:c>
      <x:c r="O678" s="82" t="n">
        <x:v>0.09237948810040611</x:v>
      </x:c>
      <x:c r="P678" s="80" t="n">
        <x:v>116826.2804689125</x:v>
      </x:c>
      <x:c r="Q678" s="81" t="n">
        <x:v>0.0025099437850425793</x:v>
      </x:c>
      <x:c r="R678" s="81" t="n">
        <x:v>128.68863745841477</x:v>
      </x:c>
      <x:c r="S678" s="81" t="n">
        <x:v>196.31862045118385</x:v>
      </x:c>
      <x:c r="T678" s="81" t="n">
        <x:v>502.5454881527725</x:v>
      </x:c>
    </x:row>
    <x:row r="679">
      <x:c r="A679" s="59" t="n">
        <x:v>676</x:v>
      </x:c>
      <x:c r="B679" s="193" t="n">
        <x:v>0.9160734333097935</x:v>
      </x:c>
      <x:c r="C679" s="83" t="n">
        <x:v>1.7860116271572566</x:v>
      </x:c>
      <x:c r="D679" s="83" t="n">
        <x:v>0.3847221068357396</x:v>
      </x:c>
      <x:c r="E679" s="81" t="n">
        <x:v>0.014382062022093531</x:v>
      </x:c>
      <x:c r="F679" s="81" t="n">
        <x:v>0.4231464359094389</x:v>
      </x:c>
      <x:c r="G679" s="81" t="n">
        <x:v>-0.020919849636861956</x:v>
      </x:c>
      <x:c r="H679" s="59" t="n">
        <x:v>42</x:v>
      </x:c>
      <x:c r="I679" s="81" t="n">
        <x:v>0.1439010936766863</x:v>
      </x:c>
      <x:c r="J679" s="79" t="n">
        <x:v>0.00003922549459065801</x:v>
      </x:c>
      <x:c r="K679" s="81" t="n">
        <x:v>-0.9551708633249623</x:v>
      </x:c>
      <x:c r="L679" s="81" t="n">
        <x:v>-0.955174029668501</x:v>
      </x:c>
      <x:c r="M679" s="80" t="n">
        <x:v>3026.0612344373276</x:v>
      </x:c>
      <x:c r="N679" s="82" t="n">
        <x:v>0.32031961819126736</x:v>
      </x:c>
      <x:c r="O679" s="82" t="n">
        <x:v>0.12803985310462934</x:v>
      </x:c>
      <x:c r="P679" s="80" t="n">
        <x:v>3814.7371407203163</x:v>
      </x:c>
      <x:c r="Q679" s="81" t="n">
        <x:v>0.014289331836964065</x:v>
      </x:c>
      <x:c r="R679" s="81" t="n">
        <x:v>9.918459010993717</x:v>
      </x:c>
      <x:c r="S679" s="81" t="n">
        <x:v>0.5514636108363196</x:v>
      </x:c>
      <x:c r="T679" s="81" t="n">
        <x:v>0.8497098506857161</x:v>
      </x:c>
    </x:row>
    <x:row r="680">
      <x:c r="A680" s="59" t="n">
        <x:v>677</x:v>
      </x:c>
      <x:c r="B680" s="193" t="n">
        <x:v>0.2241870064288378</x:v>
      </x:c>
      <x:c r="C680" s="83" t="n">
        <x:v>0.31781261227967367</x:v>
      </x:c>
      <x:c r="D680" s="83" t="n">
        <x:v>0.4285806961158831</x:v>
      </x:c>
      <x:c r="E680" s="81" t="n">
        <x:v>0.10225564376466417</x:v>
      </x:c>
      <x:c r="F680" s="81" t="n">
        <x:v>0.7655125872697681</x:v>
      </x:c>
      <x:c r="G680" s="81" t="n">
        <x:v>-0.011396535196334372</x:v>
      </x:c>
      <x:c r="H680" s="59" t="n">
        <x:v>0</x:v>
      </x:c>
      <x:c r="I680" s="81" t="n">
        <x:v>0</x:v>
      </x:c>
      <x:c r="J680" s="79" t="n">
        <x:v>0.0009461745019830213</x:v>
      </x:c>
      <x:c r="K680" s="81" t="n">
        <x:v>0.08134228798059584</x:v>
      </x:c>
      <x:c r="L680" s="81" t="n">
        <x:v>-0.7543340719811157</x:v>
      </x:c>
      <x:c r="M680" s="80" t="n">
        <x:v>8079.638821131801</x:v>
      </x:c>
      <x:c r="N680" s="82" t="n">
        <x:v>0.15549929843771976</x:v>
      </x:c>
      <x:c r="O680" s="82" t="n">
        <x:v>0.11244799391711535</x:v>
      </x:c>
      <x:c r="P680" s="80" t="n">
        <x:v>7087.321454310759</x:v>
      </x:c>
      <x:c r="Q680" s="81" t="n">
        <x:v>0.0026025885184679464</x:v>
      </x:c>
      <x:c r="R680" s="81" t="n">
        <x:v>161.0158413060191</x:v>
      </x:c>
      <x:c r="S680" s="81" t="n">
        <x:v>56.37276531777889</x:v>
      </x:c>
      <x:c r="T680" s="81" t="n">
        <x:v>20.49620541927087</x:v>
      </x:c>
    </x:row>
    <x:row r="681">
      <x:c r="A681" s="59" t="n">
        <x:v>678</x:v>
      </x:c>
      <x:c r="B681" s="193" t="n">
        <x:v>0.8309519274160266</x:v>
      </x:c>
      <x:c r="C681" s="83" t="n">
        <x:v>0.611168635862177</x:v>
      </x:c>
      <x:c r="D681" s="83" t="n">
        <x:v>0.594271930812098</x:v>
      </x:c>
      <x:c r="E681" s="81" t="n">
        <x:v>0.11770517690646705</x:v>
      </x:c>
      <x:c r="F681" s="81" t="n">
        <x:v>0.8362645469605923</x:v>
      </x:c>
      <x:c r="G681" s="81" t="n">
        <x:v>0.013314727332729618</x:v>
      </x:c>
      <x:c r="H681" s="59" t="n">
        <x:v>0</x:v>
      </x:c>
      <x:c r="I681" s="81" t="n">
        <x:v>0</x:v>
      </x:c>
      <x:c r="J681" s="79" t="n">
        <x:v>0.001604289075294754</x:v>
      </x:c>
      <x:c r="K681" s="81" t="n">
        <x:v>0.8334732289082905</x:v>
      </x:c>
      <x:c r="L681" s="81" t="n">
        <x:v>-0.8028406275303607</x:v>
      </x:c>
      <x:c r="M681" s="80" t="n">
        <x:v>14531.668181727928</x:v>
      </x:c>
      <x:c r="N681" s="82" t="n">
        <x:v>0.3000420794591367</x:v>
      </x:c>
      <x:c r="O681" s="82" t="n">
        <x:v>0.237026440166302</x:v>
      </x:c>
      <x:c r="P681" s="80" t="n">
        <x:v>16146.74314465667</x:v>
      </x:c>
      <x:c r="Q681" s="81" t="n">
        <x:v>0.00509353849647992</x:v>
      </x:c>
      <x:c r="R681" s="81" t="n">
        <x:v>89.53066021413876</x:v>
      </x:c>
      <x:c r="S681" s="81" t="n">
        <x:v>51.764378606093395</x:v>
      </x:c>
      <x:c r="T681" s="81" t="n">
        <x:v>34.75240388556089</x:v>
      </x:c>
    </x:row>
    <x:row r="682">
      <x:c r="A682" s="59" t="n">
        <x:v>679</x:v>
      </x:c>
      <x:c r="B682" s="193" t="n">
        <x:v>0.5279046932235361</x:v>
      </x:c>
      <x:c r="C682" s="83" t="n">
        <x:v>0.40831359816355894</x:v>
      </x:c>
      <x:c r="D682" s="83" t="n">
        <x:v>1.901466916967387</x:v>
      </x:c>
      <x:c r="E682" s="81" t="n">
        <x:v>-0.037526160211539955</x:v>
      </x:c>
      <x:c r="F682" s="81" t="n">
        <x:v>0.30341939731733875</x:v>
      </x:c>
      <x:c r="G682" s="81" t="n">
        <x:v>-0.027552246731302195</x:v>
      </x:c>
      <x:c r="H682" s="59" t="n">
        <x:v>0</x:v>
      </x:c>
      <x:c r="I682" s="81" t="n">
        <x:v>0</x:v>
      </x:c>
      <x:c r="J682" s="79" t="n">
        <x:v>2.138822402730445e-31</x:v>
      </x:c>
      <x:c r="K682" s="81" t="n">
        <x:v>-1</x:v>
      </x:c>
      <x:c r="L682" s="81" t="n">
        <x:v>-1</x:v>
      </x:c>
      <x:c r="M682" s="80" t="n">
        <x:v>0.000002</x:v>
      </x:c>
      <x:c r="N682" s="82" t="n">
        <x:v>0.2278505461388442</x:v>
      </x:c>
      <x:c r="O682" s="82" t="n">
        <x:v>0.06530769519113838</x:v>
      </x:c>
      <x:c r="P682" s="80" t="n">
        <x:v>622.794669154874</x:v>
      </x:c>
      <x:c r="Q682" s="81" t="n">
        <x:v>261146977752937.47</x:v>
      </x:c>
      <x:c r="R682" s="81" t="n">
        <x:v>5.984124088261223</x:v>
      </x:c>
      <x:c r="S682" s="81" t="n">
        <x:v>8.419117045289262e-10</x:v>
      </x:c>
      <x:c r="T682" s="81" t="n">
        <x:v>4.6331562761229786e-27</x:v>
      </x:c>
    </x:row>
    <x:row r="683">
      <x:c r="A683" s="59" t="n">
        <x:v>680</x:v>
      </x:c>
      <x:c r="B683" s="193" t="n">
        <x:v>0.611902703717351</x:v>
      </x:c>
      <x:c r="C683" s="83" t="n">
        <x:v>0.17625497139048463</x:v>
      </x:c>
      <x:c r="D683" s="83" t="n">
        <x:v>0.5594533622700726</x:v>
      </x:c>
      <x:c r="E683" s="81" t="n">
        <x:v>-0.1271566649293464</x:v>
      </x:c>
      <x:c r="F683" s="81" t="n">
        <x:v>0.4653597127879039</x:v>
      </x:c>
      <x:c r="G683" s="81" t="n">
        <x:v>-0.02239309780973037</x:v>
      </x:c>
      <x:c r="H683" s="59" t="n">
        <x:v>0</x:v>
      </x:c>
      <x:c r="I683" s="81" t="n">
        <x:v>0</x:v>
      </x:c>
      <x:c r="J683" s="79" t="n">
        <x:v>7.713900333052043e-32</x:v>
      </x:c>
      <x:c r="K683" s="81" t="n">
        <x:v>-1</x:v>
      </x:c>
      <x:c r="L683" s="81" t="n">
        <x:v>-1</x:v>
      </x:c>
      <x:c r="M683" s="80" t="n">
        <x:v>0.000002</x:v>
      </x:c>
      <x:c r="N683" s="82" t="n">
        <x:v>0.2478604472011675</x:v>
      </x:c>
      <x:c r="O683" s="82" t="n">
        <x:v>0.10895996461577402</x:v>
      </x:c>
      <x:c r="P683" s="80" t="n">
        <x:v>149.1909532696314</x:v>
      </x:c>
      <x:c r="Q683" s="81" t="n">
        <x:v>232148527041410.66</x:v>
      </x:c>
      <x:c r="R683" s="81" t="n">
        <x:v>11.083276937009867</x:v>
      </x:c>
      <x:c r="S683" s="81" t="n">
        <x:v>3.1629938113967907e-10</x:v>
      </x:c>
      <x:c r="T683" s="81" t="n">
        <x:v>1.6709992234905287e-27</x:v>
      </x:c>
    </x:row>
    <x:row r="684">
      <x:c r="A684" s="59" t="n">
        <x:v>681</x:v>
      </x:c>
      <x:c r="B684" s="193" t="n">
        <x:v>0.859713850170374</x:v>
      </x:c>
      <x:c r="C684" s="83" t="n">
        <x:v>0.1335366467005695</x:v>
      </x:c>
      <x:c r="D684" s="83" t="n">
        <x:v>0.7653108520620648</x:v>
      </x:c>
      <x:c r="E684" s="81" t="n">
        <x:v>0.027015062989662834</x:v>
      </x:c>
      <x:c r="F684" s="81" t="n">
        <x:v>0.8887717191595584</x:v>
      </x:c>
      <x:c r="G684" s="81" t="n">
        <x:v>-0.007661604790865069</x:v>
      </x:c>
      <x:c r="H684" s="59" t="n">
        <x:v>0</x:v>
      </x:c>
      <x:c r="I684" s="81" t="n">
        <x:v>0</x:v>
      </x:c>
      <x:c r="J684" s="79" t="n">
        <x:v>0.000029652733079485482</x:v>
      </x:c>
      <x:c r="K684" s="81" t="n">
        <x:v>-0.9661111621948737</x:v>
      </x:c>
      <x:c r="L684" s="81" t="n">
        <x:v>-0.9719801997252562</x:v>
      </x:c>
      <x:c r="M684" s="80" t="n">
        <x:v>1138.9636245037632</x:v>
      </x:c>
      <x:c r="N684" s="82" t="n">
        <x:v>0.3068937087452739</x:v>
      </x:c>
      <x:c r="O684" s="82" t="n">
        <x:v>0.25766127663952365</x:v>
      </x:c>
      <x:c r="P684" s="80" t="n">
        <x:v>2254.273060145288</x:v>
      </x:c>
      <x:c r="Q684" s="81" t="n">
        <x:v>0.019338449897040103</x:v>
      </x:c>
      <x:c r="R684" s="81" t="n">
        <x:v>73.7818773751356</x:v>
      </x:c>
      <x:c r="S684" s="81" t="n">
        <x:v>4.437436587970466</x:v>
      </x:c>
      <x:c r="T684" s="81" t="n">
        <x:v>0.6423429369171998</x:v>
      </x:c>
    </x:row>
    <x:row r="685">
      <x:c r="A685" s="59" t="n">
        <x:v>682</x:v>
      </x:c>
      <x:c r="B685" s="193" t="n">
        <x:v>0.9970595769584178</x:v>
      </x:c>
      <x:c r="C685" s="83" t="n">
        <x:v>0.3881168779685153</x:v>
      </x:c>
      <x:c r="D685" s="83" t="n">
        <x:v>0.3632378642210118</x:v>
      </x:c>
      <x:c r="E685" s="81" t="n">
        <x:v>-0.033194827659604624</x:v>
      </x:c>
      <x:c r="F685" s="81" t="n">
        <x:v>0.827371354191564</x:v>
      </x:c>
      <x:c r="G685" s="81" t="n">
        <x:v>0.0204976292768667</x:v>
      </x:c>
      <x:c r="H685" s="59" t="n">
        <x:v>16</x:v>
      </x:c>
      <x:c r="I685" s="81" t="n">
        <x:v>0.2638043224811554</x:v>
      </x:c>
      <x:c r="J685" s="79" t="n">
        <x:v>6.288538893666679e-14</x:v>
      </x:c>
      <x:c r="K685" s="81" t="n">
        <x:v>-0.9999999999281309</x:v>
      </x:c>
      <x:c r="L685" s="81" t="n">
        <x:v>-0.9999999999281309</x:v>
      </x:c>
      <x:c r="M685" s="80" t="n">
        <x:v>0.06090464941968801</x:v>
      </x:c>
      <x:c r="N685" s="82" t="n">
        <x:v>0.3396120360985633</x:v>
      </x:c>
      <x:c r="O685" s="82" t="n">
        <x:v>0.26543274340982287</x:v>
      </x:c>
      <x:c r="P685" s="80" t="n">
        <x:v>290.3651852396055</x:v>
      </x:c>
      <x:c r="Q685" s="81" t="n">
        <x:v>30.43338487936997</x:v>
      </x:c>
      <x:c r="R685" s="81" t="n">
        <x:v>12.004018282437348</x:v>
      </x:c>
      <x:c r="S685" s="81" t="n">
        <x:v>0.000009211245828676685</x:v>
      </x:c>
      <x:c r="T685" s="81" t="n">
        <x:v>1.3622348169553557e-9</x:v>
      </x:c>
    </x:row>
    <x:row r="686">
      <x:c r="A686" s="59" t="n">
        <x:v>683</x:v>
      </x:c>
      <x:c r="B686" s="193" t="n">
        <x:v>0.4779413929209113</x:v>
      </x:c>
      <x:c r="C686" s="83" t="n">
        <x:v>0.17434067531060454</x:v>
      </x:c>
      <x:c r="D686" s="83" t="n">
        <x:v>1.6173040287977447</x:v>
      </x:c>
      <x:c r="E686" s="81" t="n">
        <x:v>0.050371468709431176</x:v>
      </x:c>
      <x:c r="F686" s="81" t="n">
        <x:v>0.8662592811160721</x:v>
      </x:c>
      <x:c r="G686" s="81" t="n">
        <x:v>-0.00008576537491015133</x:v>
      </x:c>
      <x:c r="H686" s="59" t="n">
        <x:v>0</x:v>
      </x:c>
      <x:c r="I686" s="81" t="n">
        <x:v>0</x:v>
      </x:c>
      <x:c r="J686" s="79" t="n">
        <x:v>0.001571236365044688</x:v>
      </x:c>
      <x:c r="K686" s="81" t="n">
        <x:v>0.795698702908215</x:v>
      </x:c>
      <x:c r="L686" s="81" t="n">
        <x:v>-0.8128492324619779</x:v>
      </x:c>
      <x:c r="M686" s="80" t="n">
        <x:v>10673.284537040337</x:v>
      </x:c>
      <x:c r="N686" s="82" t="n">
        <x:v>0.2159483511948783</x:v>
      </x:c>
      <x:c r="O686" s="82" t="n">
        <x:v>0.17671309569707372</x:v>
      </x:c>
      <x:c r="P686" s="80" t="n">
        <x:v>29505.57521245868</x:v>
      </x:c>
      <x:c r="Q686" s="81" t="n">
        <x:v>0.008540118777120662</x:v>
      </x:c>
      <x:c r="R686" s="81" t="n">
        <x:v>378.46841110227484</x:v>
      </x:c>
      <x:c r="S686" s="81" t="n">
        <x:v>174.03246592720703</x:v>
      </x:c>
      <x:c r="T686" s="81" t="n">
        <x:v>34.03641002023354</x:v>
      </x:c>
    </x:row>
    <x:row r="687">
      <x:c r="A687" s="59" t="n">
        <x:v>684</x:v>
      </x:c>
      <x:c r="B687" s="193" t="n">
        <x:v>0.26111667640507225</x:v>
      </x:c>
      <x:c r="C687" s="83" t="n">
        <x:v>0.8958594664001377</x:v>
      </x:c>
      <x:c r="D687" s="83" t="n">
        <x:v>0.4023635435670196</x:v>
      </x:c>
      <x:c r="E687" s="81" t="n">
        <x:v>-0.051260076279957004</x:v>
      </x:c>
      <x:c r="F687" s="81" t="n">
        <x:v>0.843466246756725</x:v>
      </x:c>
      <x:c r="G687" s="81" t="n">
        <x:v>0.00235716213711124</x:v>
      </x:c>
      <x:c r="H687" s="59" t="n">
        <x:v>0</x:v>
      </x:c>
      <x:c r="I687" s="81" t="n">
        <x:v>0</x:v>
      </x:c>
      <x:c r="J687" s="79" t="n">
        <x:v>2.834077689738899e-17</x:v>
      </x:c>
      <x:c r="K687" s="81" t="n">
        <x:v>-0.9999999999999676</x:v>
      </x:c>
      <x:c r="L687" s="81" t="n">
        <x:v>-0.9999999999999676</x:v>
      </x:c>
      <x:c r="M687" s="80" t="n">
        <x:v>0.0017858478493576308</x:v>
      </x:c>
      <x:c r="N687" s="82" t="n">
        <x:v>0.1642966382573707</x:v>
      </x:c>
      <x:c r="O687" s="82" t="n">
        <x:v>0.1309083434068843</x:v>
      </x:c>
      <x:c r="P687" s="80" t="n">
        <x:v>457.9175562753738</x:v>
      </x:c>
      <x:c r="Q687" s="81" t="n">
        <x:v>1305.349286265929</x:v>
      </x:c>
      <x:c r="R687" s="81" t="n">
        <x:v>6.422932638239638</x:v>
      </x:c>
      <x:c r="S687" s="81" t="n">
        <x:v>1.7801264356775255e-7</x:v>
      </x:c>
      <x:c r="T687" s="81" t="n">
        <x:v>6.139231017250922e-13</x:v>
      </x:c>
    </x:row>
    <x:row r="688">
      <x:c r="A688" s="59" t="n">
        <x:v>685</x:v>
      </x:c>
      <x:c r="B688" s="193" t="n">
        <x:v>0.8780466854572297</x:v>
      </x:c>
      <x:c r="C688" s="83" t="n">
        <x:v>0.35786041449361694</x:v>
      </x:c>
      <x:c r="D688" s="83" t="n">
        <x:v>1.17904003493625</x:v>
      </x:c>
      <x:c r="E688" s="81" t="n">
        <x:v>0.05830989370102937</x:v>
      </x:c>
      <x:c r="F688" s="81" t="n">
        <x:v>0.4137018412933685</x:v>
      </x:c>
      <x:c r="G688" s="81" t="n">
        <x:v>-0.033677782338565464</x:v>
      </x:c>
      <x:c r="H688" s="59" t="n">
        <x:v>0</x:v>
      </x:c>
      <x:c r="I688" s="81" t="n">
        <x:v>0</x:v>
      </x:c>
      <x:c r="J688" s="79" t="n">
        <x:v>0.0013395147738088713</x:v>
      </x:c>
      <x:c r="K688" s="81" t="n">
        <x:v>0.5308740272101389</x:v>
      </x:c>
      <x:c r="L688" s="81" t="n">
        <x:v>-0.7811276131840581</x:v>
      </x:c>
      <x:c r="M688" s="80" t="n">
        <x:v>10462.780891265322</x:v>
      </x:c>
      <x:c r="N688" s="82" t="n">
        <x:v>0.31126093385126447</x:v>
      </x:c>
      <x:c r="O688" s="82" t="n">
        <x:v>0.12164184867389805</x:v>
      </x:c>
      <x:c r="P688" s="80" t="n">
        <x:v>22843.89827338651</x:v>
      </x:c>
      <x:c r="Q688" s="81" t="n">
        <x:v>0.0049052163220825945</x:v>
      </x:c>
      <x:c r="R688" s="81" t="n">
        <x:v>277.9182220037774</x:v>
      </x:c>
      <x:c r="S688" s="81" t="n">
        <x:v>72.26259683511692</x:v>
      </x:c>
      <x:c r="T688" s="81" t="n">
        <x:v>29.016814455043775</x:v>
      </x:c>
    </x:row>
    <x:row r="689">
      <x:c r="A689" s="59" t="n">
        <x:v>686</x:v>
      </x:c>
      <x:c r="B689" s="193" t="n">
        <x:v>0.6089675640687346</x:v>
      </x:c>
      <x:c r="C689" s="83" t="n">
        <x:v>2.139003445335398</x:v>
      </x:c>
      <x:c r="D689" s="83" t="n">
        <x:v>1.1956300352196043</x:v>
      </x:c>
      <x:c r="E689" s="81" t="n">
        <x:v>0.05465293901609043</x:v>
      </x:c>
      <x:c r="F689" s="81" t="n">
        <x:v>0.5107583228033037</x:v>
      </x:c>
      <x:c r="G689" s="81" t="n">
        <x:v>-0.024635197899944047</x:v>
      </x:c>
      <x:c r="H689" s="59" t="n">
        <x:v>0</x:v>
      </x:c>
      <x:c r="I689" s="81" t="n">
        <x:v>0</x:v>
      </x:c>
      <x:c r="J689" s="79" t="n">
        <x:v>0.008265749666031826</x:v>
      </x:c>
      <x:c r="K689" s="81" t="n">
        <x:v>8.446571046893517</x:v>
      </x:c>
      <x:c r="L689" s="81" t="n">
        <x:v>-0.6562319325691492</x:v>
      </x:c>
      <x:c r="M689" s="80" t="n">
        <x:v>59971.51964352095</x:v>
      </x:c>
      <x:c r="N689" s="82" t="n">
        <x:v>0.24716124190299896</x:v>
      </x:c>
      <x:c r="O689" s="82" t="n">
        <x:v>0.11925229967255349</x:v>
      </x:c>
      <x:c r="P689" s="80" t="n">
        <x:v>125684.54357258229</x:v>
      </x:c>
      <x:c r="Q689" s="81" t="n">
        <x:v>0.005331044965945208</x:v>
      </x:c>
      <x:c r="R689" s="81" t="n">
        <x:v>131.04869026186228</x:v>
      </x:c>
      <x:c r="S689" s="81" t="n">
        <x:v>79.49769345483969</x:v>
      </x:c>
      <x:c r="T689" s="81" t="n">
        <x:v>179.05418370944219</x:v>
      </x:c>
    </x:row>
    <x:row r="690">
      <x:c r="A690" s="59" t="n">
        <x:v>687</x:v>
      </x:c>
      <x:c r="B690" s="193" t="n">
        <x:v>0.997309354133904</x:v>
      </x:c>
      <x:c r="C690" s="83" t="n">
        <x:v>1.3991439372347934</x:v>
      </x:c>
      <x:c r="D690" s="83" t="n">
        <x:v>0.7476071263924864</x:v>
      </x:c>
      <x:c r="E690" s="81" t="n">
        <x:v>-0.1691581773630516</x:v>
      </x:c>
      <x:c r="F690" s="81" t="n">
        <x:v>0.47627326304791495</x:v>
      </x:c>
      <x:c r="G690" s="81" t="n">
        <x:v>-0.03995724589537265</x:v>
      </x:c>
      <x:c r="H690" s="59" t="n">
        <x:v>0</x:v>
      </x:c>
      <x:c r="I690" s="81" t="n">
        <x:v>0</x:v>
      </x:c>
      <x:c r="J690" s="79" t="n">
        <x:v>3.016244617929187e-42</x:v>
      </x:c>
      <x:c r="K690" s="81" t="n">
        <x:v>-1</x:v>
      </x:c>
      <x:c r="L690" s="81" t="n">
        <x:v>-1</x:v>
      </x:c>
      <x:c r="M690" s="80" t="n">
        <x:v>0.000002</x:v>
      </x:c>
      <x:c r="N690" s="82" t="n">
        <x:v>0.33967153770508574</x:v>
      </x:c>
      <x:c r="O690" s="82" t="n">
        <x:v>0.15282214847639597</x:v>
      </x:c>
      <x:c r="P690" s="80" t="n">
        <x:v>262.34398762232735</x:v>
      </x:c>
      <x:c r="Q690" s="81" t="n">
        <x:v>4.629227405902732e+24</x:v>
      </x:c>
      <x:c r="R690" s="81" t="n">
        <x:v>1.0484263045338926</x:v>
      </x:c>
      <x:c r="S690" s="81" t="n">
        <x:v>1.6620977174329425e-10</x:v>
      </x:c>
      <x:c r="T690" s="81" t="n">
        <x:v>6.53384435474421e-38</x:v>
      </x:c>
    </x:row>
    <x:row r="691">
      <x:c r="A691" s="59" t="n">
        <x:v>688</x:v>
      </x:c>
      <x:c r="B691" s="193" t="n">
        <x:v>0.49301653373986487</x:v>
      </x:c>
      <x:c r="C691" s="83" t="n">
        <x:v>0.26567337031141125</x:v>
      </x:c>
      <x:c r="D691" s="83" t="n">
        <x:v>1.263055429924005</x:v>
      </x:c>
      <x:c r="E691" s="81" t="n">
        <x:v>0.004790922296696373</x:v>
      </x:c>
      <x:c r="F691" s="81" t="n">
        <x:v>0.26925846029771494</x:v>
      </x:c>
      <x:c r="G691" s="81" t="n">
        <x:v>0.03649956514869659</x:v>
      </x:c>
      <x:c r="H691" s="59" t="n">
        <x:v>0</x:v>
      </x:c>
      <x:c r="I691" s="81" t="n">
        <x:v>0</x:v>
      </x:c>
      <x:c r="J691" s="79" t="n">
        <x:v>0.00015232020536409198</x:v>
      </x:c>
      <x:c r="K691" s="81" t="n">
        <x:v>-0.8259197652981806</x:v>
      </x:c>
      <x:c r="L691" s="81" t="n">
        <x:v>-0.8884083654370616</x:v>
      </x:c>
      <x:c r="M691" s="80" t="n">
        <x:v>2734.9608937628855</x:v>
      </x:c>
      <x:c r="N691" s="82" t="n">
        <x:v>0.21953953239684348</x:v>
      </x:c>
      <x:c r="O691" s="82" t="n">
        <x:v>0.05584098041907117</x:v>
      </x:c>
      <x:c r="P691" s="80" t="n">
        <x:v>9671.752582565836</x:v>
      </x:c>
      <x:c r="Q691" s="81" t="n">
        <x:v>0.02177034087772147</x:v>
      </x:c>
      <x:c r="R691" s="81" t="n">
        <x:v>66.93113914986691</x:v>
      </x:c>
      <x:c r="S691" s="81" t="n">
        <x:v>12.498850378114351</x:v>
      </x:c>
      <x:c r="T691" s="81" t="n">
        <x:v>3.299588196579806</x:v>
      </x:c>
    </x:row>
    <x:row r="692">
      <x:c r="A692" s="59" t="n">
        <x:v>689</x:v>
      </x:c>
      <x:c r="B692" s="193" t="n">
        <x:v>0.9170392833650112</x:v>
      </x:c>
      <x:c r="C692" s="83" t="n">
        <x:v>0.34311173082915764</x:v>
      </x:c>
      <x:c r="D692" s="83" t="n">
        <x:v>0.587752267122246</x:v>
      </x:c>
      <x:c r="E692" s="81" t="n">
        <x:v>0.14126265489548234</x:v>
      </x:c>
      <x:c r="F692" s="81" t="n">
        <x:v>0.39285101067507644</x:v>
      </x:c>
      <x:c r="G692" s="81" t="n">
        <x:v>-0.010669582990738358</x:v>
      </x:c>
      <x:c r="H692" s="59" t="n">
        <x:v>0</x:v>
      </x:c>
      <x:c r="I692" s="81" t="n">
        <x:v>0</x:v>
      </x:c>
      <x:c r="J692" s="79" t="n">
        <x:v>0.0036617030745218914</x:v>
      </x:c>
      <x:c r="K692" s="81" t="n">
        <x:v>3.184803513739305</x:v>
      </x:c>
      <x:c r="L692" s="81" t="n">
        <x:v>-0.767294939473667</x:v>
      </x:c>
      <x:c r="M692" s="80" t="n">
        <x:v>18396.20644870751</x:v>
      </x:c>
      <x:c r="N692" s="82" t="n">
        <x:v>0.3205497017841087</x:v>
      </x:c>
      <x:c r="O692" s="82" t="n">
        <x:v>0.11895814787862165</x:v>
      </x:c>
      <x:c r="P692" s="80" t="n">
        <x:v>19552.79265209509</x:v>
      </x:c>
      <x:c r="Q692" s="81" t="n">
        <x:v>0.00218668289655728</x:v>
      </x:c>
      <x:c r="R692" s="81" t="n">
        <x:v>414.930261233923</x:v>
      </x:c>
      <x:c r="S692" s="81" t="n">
        <x:v>201.62167824203635</x:v>
      </x:c>
      <x:c r="T692" s="81" t="n">
        <x:v>79.32048289452122</x:v>
      </x:c>
    </x:row>
    <x:row r="693">
      <x:c r="A693" s="59" t="n">
        <x:v>690</x:v>
      </x:c>
      <x:c r="B693" s="193" t="n">
        <x:v>0.47632640637457374</x:v>
      </x:c>
      <x:c r="C693" s="83" t="n">
        <x:v>0.18592162400237008</x:v>
      </x:c>
      <x:c r="D693" s="83" t="n">
        <x:v>0.6311086732971021</x:v>
      </x:c>
      <x:c r="E693" s="81" t="n">
        <x:v>-0.10831739254350066</x:v>
      </x:c>
      <x:c r="F693" s="81" t="n">
        <x:v>0.4175463192514144</x:v>
      </x:c>
      <x:c r="G693" s="81" t="n">
        <x:v>-0.04673603289269067</x:v>
      </x:c>
      <x:c r="H693" s="59" t="n">
        <x:v>0</x:v>
      </x:c>
      <x:c r="I693" s="81" t="n">
        <x:v>0</x:v>
      </x:c>
      <x:c r="J693" s="79" t="n">
        <x:v>7.162198503795129e-29</x:v>
      </x:c>
      <x:c r="K693" s="81" t="n">
        <x:v>-1</x:v>
      </x:c>
      <x:c r="L693" s="81" t="n">
        <x:v>-1</x:v>
      </x:c>
      <x:c r="M693" s="80" t="n">
        <x:v>0.000002</x:v>
      </x:c>
      <x:c r="N693" s="82" t="n">
        <x:v>0.21556363111854324</x:v>
      </x:c>
      <x:c r="O693" s="82" t="n">
        <x:v>0.08502587150069595</x:v>
      </x:c>
      <x:c r="P693" s="80" t="n">
        <x:v>177.35163485723515</x:v>
      </x:c>
      <x:c r="Q693" s="81" t="n">
        <x:v>288612009815.48065</x:v>
      </x:c>
      <x:c r="R693" s="81" t="n">
        <x:v>11.300808126062082</x:v>
      </x:c>
      <x:c r="S693" s="81" t="n">
        <x:v>2.6040296389693684e-10</x:v>
      </x:c>
      <x:c r="T693" s="81" t="n">
        <x:v>1.5514885624133384e-24</x:v>
      </x:c>
    </x:row>
    <x:row r="694">
      <x:c r="A694" s="59" t="n">
        <x:v>691</x:v>
      </x:c>
      <x:c r="B694" s="193" t="n">
        <x:v>0.5970002667978407</x:v>
      </x:c>
      <x:c r="C694" s="83" t="n">
        <x:v>1.3956962343127972</x:v>
      </x:c>
      <x:c r="D694" s="83" t="n">
        <x:v>0.7469684244061184</x:v>
      </x:c>
      <x:c r="E694" s="81" t="n">
        <x:v>0.16082464625488616</x:v>
      </x:c>
      <x:c r="F694" s="81" t="n">
        <x:v>0.39161704869475217</x:v>
      </x:c>
      <x:c r="G694" s="81" t="n">
        <x:v>0.0296479374237139</x:v>
      </x:c>
      <x:c r="H694" s="59" t="n">
        <x:v>0</x:v>
      </x:c>
      <x:c r="I694" s="81" t="n">
        <x:v>0</x:v>
      </x:c>
      <x:c r="J694" s="79" t="n">
        <x:v>0.11869330663191545</x:v>
      </x:c>
      <x:c r="K694" s="81" t="n">
        <x:v>134.64949329361767</x:v>
      </x:c>
      <x:c r="L694" s="81" t="n">
        <x:v>-0.7033584474983225</x:v>
      </x:c>
      <x:c r="M694" s="80" t="n">
        <x:v>225934.93025173782</x:v>
      </x:c>
      <x:c r="N694" s="82" t="n">
        <x:v>0.24431040730624812</x:v>
      </x:c>
      <x:c r="O694" s="82" t="n">
        <x:v>0.09038045008842088</x:v>
      </x:c>
      <x:c r="P694" s="80" t="n">
        <x:v>276385.10124248615</x:v>
      </x:c>
      <x:c r="Q694" s="81" t="n">
        <x:v>0.0016700900387697608</x:v>
      </x:c>
      <x:c r="R694" s="81" t="n">
        <x:v>812.0840795512634</x:v>
      </x:c>
      <x:c r="S694" s="81" t="n">
        <x:v>1628.073354488056</x:v>
      </x:c>
      <x:c r="T694" s="81" t="n">
        <x:v>2571.1561551506475</x:v>
      </x:c>
    </x:row>
    <x:row r="695">
      <x:c r="A695" s="59" t="n">
        <x:v>692</x:v>
      </x:c>
      <x:c r="B695" s="193" t="n">
        <x:v>0.42158193662762644</x:v>
      </x:c>
      <x:c r="C695" s="83" t="n">
        <x:v>0.10159956793760772</x:v>
      </x:c>
      <x:c r="D695" s="83" t="n">
        <x:v>0.644760564217274</x:v>
      </x:c>
      <x:c r="E695" s="81" t="n">
        <x:v>0.022045995177291652</x:v>
      </x:c>
      <x:c r="F695" s="81" t="n">
        <x:v>0.6997098183841445</x:v>
      </x:c>
      <x:c r="G695" s="81" t="n">
        <x:v>0.014092706085987415</x:v>
      </x:c>
      <x:c r="H695" s="59" t="n">
        <x:v>0</x:v>
      </x:c>
      <x:c r="I695" s="81" t="n">
        <x:v>0</x:v>
      </x:c>
      <x:c r="J695" s="79" t="n">
        <x:v>0.00007712604621327764</x:v>
      </x:c>
      <x:c r="K695" s="81" t="n">
        <x:v>-0.9118559471848255</x:v>
      </x:c>
      <x:c r="L695" s="81" t="n">
        <x:v>-0.9432525135743598</x:v>
      </x:c>
      <x:c r="M695" s="80" t="n">
        <x:v>1752.2830751012461</x:v>
      </x:c>
      <x:c r="N695" s="82" t="n">
        <x:v>0.2025224719660123</x:v>
      </x:c>
      <x:c r="O695" s="82" t="n">
        <x:v>0.13386348571577586</x:v>
      </x:c>
      <x:c r="P695" s="80" t="n">
        <x:v>2871.766101665739</x:v>
      </x:c>
      <x:c r="Q695" s="81" t="n">
        <x:v>0.012167437123057939</x:v>
      </x:c>
      <x:c r="R695" s="81" t="n">
        <x:v>133.55250366760384</x:v>
      </x:c>
      <x:c r="S695" s="81" t="n">
        <x:v>14.637778104178103</x:v>
      </x:c>
      <x:c r="T695" s="81" t="n">
        <x:v>1.6707185440428232</x:v>
      </x:c>
    </x:row>
    <x:row r="696">
      <x:c r="A696" s="59" t="n">
        <x:v>693</x:v>
      </x:c>
      <x:c r="B696" s="193" t="n">
        <x:v>0.7006622308865189</x:v>
      </x:c>
      <x:c r="C696" s="83" t="n">
        <x:v>0.33747945423293335</x:v>
      </x:c>
      <x:c r="D696" s="83" t="n">
        <x:v>0.22154323025664235</x:v>
      </x:c>
      <x:c r="E696" s="81" t="n">
        <x:v>0.04994834599776564</x:v>
      </x:c>
      <x:c r="F696" s="81" t="n">
        <x:v>0.8995022805407643</x:v>
      </x:c>
      <x:c r="G696" s="81" t="n">
        <x:v>0.0047663283075078736</x:v>
      </x:c>
      <x:c r="H696" s="59" t="n">
        <x:v>11</x:v>
      </x:c>
      <x:c r="I696" s="81" t="n">
        <x:v>0.42203584741801026</x:v>
      </x:c>
      <x:c r="J696" s="79" t="n">
        <x:v>0.000018703248437927135</x:v>
      </x:c>
      <x:c r="K696" s="81" t="n">
        <x:v>-0.9786248589280833</x:v>
      </x:c>
      <x:c r="L696" s="81" t="n">
        <x:v>-0.9830326757955914</x:v>
      </x:c>
      <x:c r="M696" s="80" t="n">
        <x:v>1031.8758574066248</x:v>
      </x:c>
      <x:c r="N696" s="82" t="n">
        <x:v>0.26900463081399795</x:v>
      </x:c>
      <x:c r="O696" s="82" t="n">
        <x:v>0.2285772307674259</x:v>
      </x:c>
      <x:c r="P696" s="80" t="n">
        <x:v>688.440512765367</x:v>
      </x:c>
      <x:c r="Q696" s="81" t="n">
        <x:v>0.00911106983600079</x:v>
      </x:c>
      <x:c r="R696" s="81" t="n">
        <x:v>21.984251600291444</x:v>
      </x:c>
      <x:c r="S696" s="81" t="n">
        <x:v>1.1120017673306892</x:v>
      </x:c>
      <x:c r="T696" s="81" t="n">
        <x:v>0.4051531944561855</x:v>
      </x:c>
    </x:row>
    <x:row r="697">
      <x:c r="A697" s="59" t="n">
        <x:v>694</x:v>
      </x:c>
      <x:c r="B697" s="193" t="n">
        <x:v>0.6608225788921118</x:v>
      </x:c>
      <x:c r="C697" s="83" t="n">
        <x:v>0.6809142121043765</x:v>
      </x:c>
      <x:c r="D697" s="83" t="n">
        <x:v>0.6296172853005877</x:v>
      </x:c>
      <x:c r="E697" s="81" t="n">
        <x:v>-0.010674381630192662</x:v>
      </x:c>
      <x:c r="F697" s="81" t="n">
        <x:v>0.7592713668709621</x:v>
      </x:c>
      <x:c r="G697" s="81" t="n">
        <x:v>0.0007557108217135758</x:v>
      </x:c>
      <x:c r="H697" s="59" t="n">
        <x:v>0</x:v>
      </x:c>
      <x:c r="I697" s="81" t="n">
        <x:v>0</x:v>
      </x:c>
      <x:c r="J697" s="79" t="n">
        <x:v>8.955939953263072e-10</x:v>
      </x:c>
      <x:c r="K697" s="81" t="n">
        <x:v>-0.9999989764640054</x:v>
      </x:c>
      <x:c r="L697" s="81" t="n">
        <x:v>-0.9999989764640054</x:v>
      </x:c>
      <x:c r="M697" s="80" t="n">
        <x:v>8.67918432084352</x:v>
      </x:c>
      <x:c r="N697" s="82" t="n">
        <x:v>0.2595140787154554</x:v>
      </x:c>
      <x:c r="O697" s="82" t="n">
        <x:v>0.18613536174183</x:v>
      </x:c>
      <x:c r="P697" s="80" t="n">
        <x:v>961.9096745447234</x:v>
      </x:c>
      <x:c r="Q697" s="81" t="n">
        <x:v>0.8912023365466886</x:v>
      </x:c>
      <x:c r="R697" s="81" t="n">
        <x:v>11.14480272149873</x:v>
      </x:c>
      <x:c r="S697" s="81" t="n">
        <x:v>0.0014810510393261566</x:v>
      </x:c>
      <x:c r="T697" s="81" t="n">
        <x:v>0.000019400521216754267</x:v>
      </x:c>
    </x:row>
    <x:row r="698">
      <x:c r="A698" s="59" t="n">
        <x:v>695</x:v>
      </x:c>
      <x:c r="B698" s="193" t="n">
        <x:v>0.5879415381699801</x:v>
      </x:c>
      <x:c r="C698" s="83" t="n">
        <x:v>0.5593634877649603</x:v>
      </x:c>
      <x:c r="D698" s="83" t="n">
        <x:v>1.2540902259551139</x:v>
      </x:c>
      <x:c r="E698" s="81" t="n">
        <x:v>-0.18226770544493853</x:v>
      </x:c>
      <x:c r="F698" s="81" t="n">
        <x:v>0.40948253703536464</x:v>
      </x:c>
      <x:c r="G698" s="81" t="n">
        <x:v>0.02251703564171878</x:v>
      </x:c>
      <x:c r="H698" s="59" t="n">
        <x:v>57</x:v>
      </x:c>
      <x:c r="I698" s="81" t="n">
        <x:v>0.14732605842873456</x:v>
      </x:c>
      <x:c r="J698" s="79" t="n">
        <x:v>4.906969957500078e-80</x:v>
      </x:c>
      <x:c r="K698" s="81" t="n">
        <x:v>-1</x:v>
      </x:c>
      <x:c r="L698" s="81" t="n">
        <x:v>-1</x:v>
      </x:c>
      <x:c r="M698" s="80" t="n">
        <x:v>0.000002</x:v>
      </x:c>
      <x:c r="N698" s="82" t="n">
        <x:v>0.24215244829592977</x:v>
      </x:c>
      <x:c r="O698" s="82" t="n">
        <x:v>0.09366885071073432</x:v>
      </x:c>
      <x:c r="P698" s="80" t="n">
        <x:v>186.62056053184293</x:v>
      </x:c>
      <x:c r="Q698" s="81" t="n">
        <x:v>2.6704687633047036e+62</x:v>
      </x:c>
      <x:c r="R698" s="81" t="n">
        <x:v>1.3013301869279776</x:v>
      </x:c>
      <x:c r="S698" s="81" t="n">
        <x:v>9.237275881781795e-10</x:v>
      </x:c>
      <x:c r="T698" s="81" t="n">
        <x:v>1.0629568227036962e-75</x:v>
      </x:c>
    </x:row>
    <x:row r="699">
      <x:c r="A699" s="59" t="n">
        <x:v>696</x:v>
      </x:c>
      <x:c r="B699" s="193" t="n">
        <x:v>0.20201969221234323</x:v>
      </x:c>
      <x:c r="C699" s="83" t="n">
        <x:v>0.45758814872597725</x:v>
      </x:c>
      <x:c r="D699" s="83" t="n">
        <x:v>0.5429903229311175</x:v>
      </x:c>
      <x:c r="E699" s="81" t="n">
        <x:v>0.019963055751093133</x:v>
      </x:c>
      <x:c r="F699" s="81" t="n">
        <x:v>0.7052781812031754</x:v>
      </x:c>
      <x:c r="G699" s="81" t="n">
        <x:v>0.030340160207156314</x:v>
      </x:c>
      <x:c r="H699" s="59" t="n">
        <x:v>0</x:v>
      </x:c>
      <x:c r="I699" s="81" t="n">
        <x:v>0</x:v>
      </x:c>
      <x:c r="J699" s="79" t="n">
        <x:v>0.00019477895110604</x:v>
      </x:c>
      <x:c r="K699" s="81" t="n">
        <x:v>-0.77739548445024</x:v>
      </x:c>
      <x:c r="L699" s="81" t="n">
        <x:v>-0.8824749777409275</x:v>
      </x:c>
      <x:c r="M699" s="80" t="n">
        <x:v>3643.0982591105744</x:v>
      </x:c>
      <x:c r="N699" s="82" t="n">
        <x:v>0.1502186285542092</x:v>
      </x:c>
      <x:c r="O699" s="82" t="n">
        <x:v>0.10008181737717953</x:v>
      </x:c>
      <x:c r="P699" s="80" t="n">
        <x:v>4937.228470305215</x:v>
      </x:c>
      <x:c r="Q699" s="81" t="n">
        <x:v>0.010079320008211809</x:v>
      </x:c>
      <x:c r="R699" s="81" t="n">
        <x:v>38.64666970289469</x:v>
      </x:c>
      <x:c r="S699" s="81" t="n">
        <x:v>8.772650585052494</x:v>
      </x:c>
      <x:c r="T699" s="81" t="n">
        <x:v>4.219337326098386</x:v>
      </x:c>
    </x:row>
    <x:row r="700">
      <x:c r="A700" s="59" t="n">
        <x:v>697</x:v>
      </x:c>
      <x:c r="B700" s="193" t="n">
        <x:v>0.6942232994362711</x:v>
      </x:c>
      <x:c r="C700" s="83" t="n">
        <x:v>0.13078121761325354</x:v>
      </x:c>
      <x:c r="D700" s="83" t="n">
        <x:v>3</x:v>
      </x:c>
      <x:c r="E700" s="81" t="n">
        <x:v>0.07211301849667406</x:v>
      </x:c>
      <x:c r="F700" s="81" t="n">
        <x:v>0.4367802409920841</x:v>
      </x:c>
      <x:c r="G700" s="81" t="n">
        <x:v>-0.0033812497270857157</x:v>
      </x:c>
      <x:c r="H700" s="59" t="n">
        <x:v>0</x:v>
      </x:c>
      <x:c r="I700" s="81" t="n">
        <x:v>0</x:v>
      </x:c>
      <x:c r="J700" s="79" t="n">
        <x:v>0.03272206910330539</x:v>
      </x:c>
      <x:c r="K700" s="81" t="n">
        <x:v>36.39665040377759</x:v>
      </x:c>
      <x:c r="L700" s="81" t="n">
        <x:v>-0.8268063165950383</x:v>
      </x:c>
      <x:c r="M700" s="80" t="n">
        <x:v>65981.62025558225</x:v>
      </x:c>
      <x:c r="N700" s="82" t="n">
        <x:v>0.2674707566125842</x:v>
      </x:c>
      <x:c r="O700" s="82" t="n">
        <x:v>0.11035962895620814</x:v>
      </x:c>
      <x:c r="P700" s="80" t="n">
        <x:v>245958.13480411965</x:v>
      </x:c>
      <x:c r="Q700" s="81" t="n">
        <x:v>0.004606906571459957</x:v>
      </x:c>
      <x:c r="R700" s="81" t="n">
        <x:v>5253.414970785868</x:v>
      </x:c>
      <x:c r="S700" s="81" t="n">
        <x:v>4722.699353963836</x:v>
      </x:c>
      <x:c r="T700" s="81" t="n">
        <x:v>708.8314562264104</x:v>
      </x:c>
    </x:row>
    <x:row r="701">
      <x:c r="A701" s="59" t="n">
        <x:v>698</x:v>
      </x:c>
      <x:c r="B701" s="193" t="n">
        <x:v>0.4748207779601217</x:v>
      </x:c>
      <x:c r="C701" s="83" t="n">
        <x:v>0.6923151675785392</x:v>
      </x:c>
      <x:c r="D701" s="83" t="n">
        <x:v>1.0461604866788172</x:v>
      </x:c>
      <x:c r="E701" s="81" t="n">
        <x:v>-0.114516433170907</x:v>
      </x:c>
      <x:c r="F701" s="81" t="n">
        <x:v>0.7119277562014759</x:v>
      </x:c>
      <x:c r="G701" s="81" t="n">
        <x:v>0.011424642847849387</x:v>
      </x:c>
      <x:c r="H701" s="59" t="n">
        <x:v>0</x:v>
      </x:c>
      <x:c r="I701" s="81" t="n">
        <x:v>0</x:v>
      </x:c>
      <x:c r="J701" s="79" t="n">
        <x:v>1.4099985024993446e-49</x:v>
      </x:c>
      <x:c r="K701" s="81" t="n">
        <x:v>-1</x:v>
      </x:c>
      <x:c r="L701" s="81" t="n">
        <x:v>-1</x:v>
      </x:c>
      <x:c r="M701" s="80" t="n">
        <x:v>0.000002</x:v>
      </x:c>
      <x:c r="N701" s="82" t="n">
        <x:v>0.2152049621996877</x:v>
      </x:c>
      <x:c r="O701" s="82" t="n">
        <x:v>0.14473019531731782</x:v>
      </x:c>
      <x:c r="P701" s="80" t="n">
        <x:v>267.6840717065354</x:v>
      </x:c>
      <x:c r="Q701" s="81" t="n">
        <x:v>1.394423885751095e+32</x:v>
      </x:c>
      <x:c r="R701" s="81" t="n">
        <x:v>2.0218442589660293</x:v>
      </x:c>
      <x:c r="S701" s="81" t="n">
        <x:v>6.217929543510427e-10</x:v>
      </x:c>
      <x:c r="T701" s="81" t="n">
        <x:v>3.054364589990765e-45</x:v>
      </x:c>
    </x:row>
    <x:row r="702">
      <x:c r="A702" s="59" t="n">
        <x:v>699</x:v>
      </x:c>
      <x:c r="B702" s="193" t="n">
        <x:v>0.7315327635034918</x:v>
      </x:c>
      <x:c r="C702" s="83" t="n">
        <x:v>1.5132153321812756</x:v>
      </x:c>
      <x:c r="D702" s="83" t="n">
        <x:v>0.7823926524657167</x:v>
      </x:c>
      <x:c r="E702" s="81" t="n">
        <x:v>0.0259579012807393</x:v>
      </x:c>
      <x:c r="F702" s="81" t="n">
        <x:v>0.6713231009780429</x:v>
      </x:c>
      <x:c r="G702" s="81" t="n">
        <x:v>0.008744637444779666</x:v>
      </x:c>
      <x:c r="H702" s="59" t="n">
        <x:v>0</x:v>
      </x:c>
      <x:c r="I702" s="81" t="n">
        <x:v>0</x:v>
      </x:c>
      <x:c r="J702" s="79" t="n">
        <x:v>0.00043971737142317716</x:v>
      </x:c>
      <x:c r="K702" s="81" t="n">
        <x:v>-0.4974658612306546</x:v>
      </x:c>
      <x:c r="L702" s="81" t="n">
        <x:v>-0.7775365518359384</x:v>
      </x:c>
      <x:c r="M702" s="80" t="n">
        <x:v>9753.128564763654</x:v>
      </x:c>
      <x:c r="N702" s="82" t="n">
        <x:v>0.2763585705058475</x:v>
      </x:c>
      <x:c r="O702" s="82" t="n">
        <x:v>0.17525703960425495</x:v>
      </x:c>
      <x:c r="P702" s="80" t="n">
        <x:v>16575.692727436555</x:v>
      </x:c>
      <x:c r="Q702" s="81" t="n">
        <x:v>0.014272838411829799</x:v>
      </x:c>
      <x:c r="R702" s="81" t="n">
        <x:v>18.666670209019703</x:v>
      </x:c>
      <x:c r="S702" s="81" t="n">
        <x:v>6.907755687442213</x:v>
      </x:c>
      <x:c r="T702" s="81" t="n">
        <x:v>9.525238264424283</x:v>
      </x:c>
    </x:row>
    <x:row r="703">
      <x:c r="A703" s="59" t="n">
        <x:v>700</x:v>
      </x:c>
      <x:c r="B703" s="193" t="n">
        <x:v>0.6086078155785799</x:v>
      </x:c>
      <x:c r="C703" s="83" t="n">
        <x:v>0.7824080195816223</x:v>
      </x:c>
      <x:c r="D703" s="83" t="n">
        <x:v>0.18817508050465406</x:v>
      </x:c>
      <x:c r="E703" s="81" t="n">
        <x:v>0.002710890941418748</x:v>
      </x:c>
      <x:c r="F703" s="81" t="n">
        <x:v>0.35526721191126853</x:v>
      </x:c>
      <x:c r="G703" s="81" t="n">
        <x:v>0.013638503280047799</x:v>
      </x:c>
      <x:c r="H703" s="59" t="n">
        <x:v>68</x:v>
      </x:c>
      <x:c r="I703" s="81" t="n">
        <x:v>0.11664482699707152</x:v>
      </x:c>
      <x:c r="J703" s="79" t="n">
        <x:v>0.000004458943677930625</x:v>
      </x:c>
      <x:c r="K703" s="81" t="n">
        <x:v>-0.9949040643680793</x:v>
      </x:c>
      <x:c r="L703" s="81" t="n">
        <x:v>-0.9949040643680793</x:v>
      </x:c>
      <x:c r="M703" s="80" t="n">
        <x:v>642.7809470796534</x:v>
      </x:c>
      <x:c r="N703" s="82" t="n">
        <x:v>0.24707554306735985</x:v>
      </x:c>
      <x:c r="O703" s="82" t="n">
        <x:v>0.08291933838156657</x:v>
      </x:c>
      <x:c r="P703" s="80" t="n">
        <x:v>866.9596861466312</x:v>
      </x:c>
      <x:c r="Q703" s="81" t="n">
        <x:v>0.012635574870966641</x:v>
      </x:c>
      <x:c r="R703" s="81" t="n">
        <x:v>16.89536024148823</x:v>
      </x:c>
      <x:c r="S703" s="81" t="n">
        <x:v>0.14117341327900806</x:v>
      </x:c>
      <x:c r="T703" s="81" t="n">
        <x:v>0.09659045491532937</x:v>
      </x:c>
    </x:row>
    <x:row r="704">
      <x:c r="A704" s="59" t="n">
        <x:v>701</x:v>
      </x:c>
      <x:c r="B704" s="193" t="n">
        <x:v>0.5787194771692157</x:v>
      </x:c>
      <x:c r="C704" s="83" t="n">
        <x:v>2.3143928460204726</x:v>
      </x:c>
      <x:c r="D704" s="83" t="n">
        <x:v>0.5227471750448678</x:v>
      </x:c>
      <x:c r="E704" s="81" t="n">
        <x:v>0.12602692910382493</x:v>
      </x:c>
      <x:c r="F704" s="81" t="n">
        <x:v>0.3864436527946964</x:v>
      </x:c>
      <x:c r="G704" s="81" t="n">
        <x:v>0.03461448494058346</x:v>
      </x:c>
      <x:c r="H704" s="59" t="n">
        <x:v>0</x:v>
      </x:c>
      <x:c r="I704" s="81" t="n">
        <x:v>0</x:v>
      </x:c>
      <x:c r="J704" s="79" t="n">
        <x:v>0.07053846842033686</x:v>
      </x:c>
      <x:c r="K704" s="81" t="n">
        <x:v>79.61539248038498</x:v>
      </x:c>
      <x:c r="L704" s="81" t="n">
        <x:v>-0.5392937410476744</x:v>
      </x:c>
      <x:c r="M704" s="80" t="n">
        <x:v>200844.51913544827</x:v>
      </x:c>
      <x:c r="N704" s="82" t="n">
        <x:v>0.23995558045190407</x:v>
      </x:c>
      <x:c r="O704" s="82" t="n">
        <x:v>0.0875967462635749</x:v>
      </x:c>
      <x:c r="P704" s="80" t="n">
        <x:v>193982.00727888118</x:v>
      </x:c>
      <x:c r="Q704" s="81" t="n">
        <x:v>0.0019107152227043661</x:v>
      </x:c>
      <x:c r="R704" s="81" t="n">
        <x:v>192.62017432673235</x:v>
      </x:c>
      <x:c r="S704" s="81" t="n">
        <x:v>588.9927235905824</x:v>
      </x:c>
      <x:c r="T704" s="81" t="n">
        <x:v>1528.0172269215504</x:v>
      </x:c>
    </x:row>
    <x:row r="705">
      <x:c r="A705" s="59" t="n">
        <x:v>702</x:v>
      </x:c>
      <x:c r="B705" s="193" t="n">
        <x:v>0.2512137215584517</x:v>
      </x:c>
      <x:c r="C705" s="83" t="n">
        <x:v>1.399123162646892</x:v>
      </x:c>
      <x:c r="D705" s="83" t="n">
        <x:v>0.645196640837462</x:v>
      </x:c>
      <x:c r="E705" s="81" t="n">
        <x:v>-0.007146480921990565</x:v>
      </x:c>
      <x:c r="F705" s="81" t="n">
        <x:v>0.5236796022974886</x:v>
      </x:c>
      <x:c r="G705" s="81" t="n">
        <x:v>0.028054308835875615</x:v>
      </x:c>
      <x:c r="H705" s="59" t="n">
        <x:v>0</x:v>
      </x:c>
      <x:c r="I705" s="81" t="n">
        <x:v>0</x:v>
      </x:c>
      <x:c r="J705" s="79" t="n">
        <x:v>2.226846139013157e-8</x:v>
      </x:c>
      <x:c r="K705" s="81" t="n">
        <x:v>-0.9999745503298398</x:v>
      </x:c>
      <x:c r="L705" s="81" t="n">
        <x:v>-0.9999745503298398</x:v>
      </x:c>
      <x:c r="M705" s="80" t="n">
        <x:v>61.47853893754262</x:v>
      </x:c>
      <x:c r="N705" s="82" t="n">
        <x:v>0.16193756873250245</x:v>
      </x:c>
      <x:c r="O705" s="82" t="n">
        <x:v>0.08010953569984011</x:v>
      </x:c>
      <x:c r="P705" s="80" t="n">
        <x:v>2690.0675586317625</x:v>
      </x:c>
      <x:c r="Q705" s="81" t="n">
        <x:v>0.3686604261632853</x:v>
      </x:c>
      <x:c r="R705" s="81" t="n">
        <x:v>9.16963708033818</x:v>
      </x:c>
      <x:c r="S705" s="81" t="n">
        <x:v>0.010567484997782891</x:v>
      </x:c>
      <x:c r="T705" s="81" t="n">
        <x:v>0.00048238349064222506</x:v>
      </x:c>
    </x:row>
    <x:row r="706">
      <x:c r="A706" s="59" t="n">
        <x:v>703</x:v>
      </x:c>
      <x:c r="B706" s="193" t="n">
        <x:v>0.2017966140061617</x:v>
      </x:c>
      <x:c r="C706" s="83" t="n">
        <x:v>0.16796872053207917</x:v>
      </x:c>
      <x:c r="D706" s="83" t="n">
        <x:v>0.6367987346447908</x:v>
      </x:c>
      <x:c r="E706" s="81" t="n">
        <x:v>-0.02143803042843378</x:v>
      </x:c>
      <x:c r="F706" s="81" t="n">
        <x:v>0.8543952348991297</x:v>
      </x:c>
      <x:c r="G706" s="81" t="n">
        <x:v>-0.05</x:v>
      </x:c>
      <x:c r="H706" s="59" t="n">
        <x:v>0</x:v>
      </x:c>
      <x:c r="I706" s="81" t="n">
        <x:v>0</x:v>
      </x:c>
      <x:c r="J706" s="79" t="n">
        <x:v>2.8352553678928257e-11</x:v>
      </x:c>
      <x:c r="K706" s="81" t="n">
        <x:v>-0.9999999675970815</x:v>
      </x:c>
      <x:c r="L706" s="81" t="n">
        <x:v>-0.9999999675970815</x:v>
      </x:c>
      <x:c r="M706" s="80" t="n">
        <x:v>1.0784698048205044</x:v>
      </x:c>
      <x:c r="N706" s="82" t="n">
        <x:v>0.1501654871427804</x:v>
      </x:c>
      <x:c r="O706" s="82" t="n">
        <x:v>0.12119923781929703</x:v>
      </x:c>
      <x:c r="P706" s="80" t="n">
        <x:v>504.5249870831248</x:v>
      </x:c>
      <x:c r="Q706" s="81" t="n">
        <x:v>1.8192077290912088</x:v>
      </x:c>
      <x:c r="R706" s="81" t="n">
        <x:v>35.66210399605921</x:v>
      </x:c>
      <x:c r="S706" s="81" t="n">
        <x:v>0.0001431206513738604</x:v>
      </x:c>
      <x:c r="T706" s="81" t="n">
        <x:v>6.141782125245279e-7</x:v>
      </x:c>
    </x:row>
    <x:row r="707">
      <x:c r="A707" s="59" t="n">
        <x:v>704</x:v>
      </x:c>
      <x:c r="B707" s="193" t="n">
        <x:v>0.4006343575194478</x:v>
      </x:c>
      <x:c r="C707" s="83" t="n">
        <x:v>0.7715882272043503</x:v>
      </x:c>
      <x:c r="D707" s="83" t="n">
        <x:v>2.444486084423059</x:v>
      </x:c>
      <x:c r="E707" s="81" t="n">
        <x:v>-0.049717413794521374</x:v>
      </x:c>
      <x:c r="F707" s="81" t="n">
        <x:v>0.4618710461771116</x:v>
      </x:c>
      <x:c r="G707" s="81" t="n">
        <x:v>0.023141349194968228</x:v>
      </x:c>
      <x:c r="H707" s="59" t="n">
        <x:v>76</x:v>
      </x:c>
      <x:c r="I707" s="81" t="n">
        <x:v>0.1005828001536429</x:v>
      </x:c>
      <x:c r="J707" s="79" t="n">
        <x:v>1.806089711779591e-52</x:v>
      </x:c>
      <x:c r="K707" s="81" t="n">
        <x:v>-1</x:v>
      </x:c>
      <x:c r="L707" s="81" t="n">
        <x:v>-1</x:v>
      </x:c>
      <x:c r="M707" s="80" t="n">
        <x:v>0.000002</x:v>
      </x:c>
      <x:c r="N707" s="82" t="n">
        <x:v>0.19753236585533593</x:v>
      </x:c>
      <x:c r="O707" s="82" t="n">
        <x:v>0.08618465454540582</x:v>
      </x:c>
      <x:c r="P707" s="80" t="n">
        <x:v>655.9754521299469</x:v>
      </x:c>
      <x:c r="Q707" s="81" t="n">
        <x:v>2.361670771727567e+35</x:v>
      </x:c>
      <x:c r="R707" s="81" t="n">
        <x:v>2.389191786396968</x:v>
      </x:c>
      <x:c r="S707" s="81" t="n">
        <x:v>1.5966600843815905e-9</x:v>
      </x:c>
      <x:c r="T707" s="81" t="n">
        <x:v>3.9123846246842186e-48</x:v>
      </x:c>
    </x:row>
    <x:row r="708">
      <x:c r="A708" s="59" t="n">
        <x:v>705</x:v>
      </x:c>
      <x:c r="B708" s="193" t="n">
        <x:v>0.7470810297876598</x:v>
      </x:c>
      <x:c r="C708" s="83" t="n">
        <x:v>0.42903493746102805</x:v>
      </x:c>
      <x:c r="D708" s="83" t="n">
        <x:v>0.3044797810188925</x:v>
      </x:c>
      <x:c r="E708" s="81" t="n">
        <x:v>0.0024102036729117546</x:v>
      </x:c>
      <x:c r="F708" s="81" t="n">
        <x:v>0.8860757159534842</x:v>
      </x:c>
      <x:c r="G708" s="81" t="n">
        <x:v>-0.014875218910369399</x:v>
      </x:c>
      <x:c r="H708" s="59" t="n">
        <x:v>0</x:v>
      </x:c>
      <x:c r="I708" s="81" t="n">
        <x:v>0</x:v>
      </x:c>
      <x:c r="J708" s="79" t="n">
        <x:v>4.1434187533325586e-7</x:v>
      </x:c>
      <x:c r="K708" s="81" t="n">
        <x:v>-0.9995264664281905</x:v>
      </x:c>
      <x:c r="L708" s="81" t="n">
        <x:v>-0.9995264664281905</x:v>
      </x:c>
      <x:c r="M708" s="80" t="n">
        <x:v>157.72358256429516</x:v>
      </x:c>
      <x:c r="N708" s="82" t="n">
        <x:v>0.28006245906472904</x:v>
      </x:c>
      <x:c r="O708" s="82" t="n">
        <x:v>0.2344210862061656</x:v>
      </x:c>
      <x:c r="P708" s="80" t="n">
        <x:v>498.94362590430205</x:v>
      </x:c>
      <x:c r="Q708" s="81" t="n">
        <x:v>0.04072556217639065</x:v>
      </x:c>
      <x:c r="R708" s="81" t="n">
        <x:v>17.135037453909828</x:v>
      </x:c>
      <x:c r="S708" s="81" t="n">
        <x:v>0.03030238953804017</x:v>
      </x:c>
      <x:c r="T708" s="81" t="n">
        <x:v>0.008975549618846869</x:v>
      </x:c>
    </x:row>
    <x:row r="709">
      <x:c r="A709" s="59" t="n">
        <x:v>706</x:v>
      </x:c>
      <x:c r="B709" s="193" t="n">
        <x:v>0.6496808459982276</x:v>
      </x:c>
      <x:c r="C709" s="83" t="n">
        <x:v>0.9736177977157922</x:v>
      </x:c>
      <x:c r="D709" s="83" t="n">
        <x:v>0.7759393898041809</x:v>
      </x:c>
      <x:c r="E709" s="81" t="n">
        <x:v>0.034901831848933876</x:v>
      </x:c>
      <x:c r="F709" s="81" t="n">
        <x:v>0.38665371532551945</x:v>
      </x:c>
      <x:c r="G709" s="81" t="n">
        <x:v>-0.0023708418610030053</x:v>
      </x:c>
      <x:c r="H709" s="59" t="n">
        <x:v>0</x:v>
      </x:c>
      <x:c r="I709" s="81" t="n">
        <x:v>0</x:v>
      </x:c>
      <x:c r="J709" s="79" t="n">
        <x:v>0.0013423771464517481</x:v>
      </x:c>
      <x:c r="K709" s="81" t="n">
        <x:v>0.5341453102305695</x:v>
      </x:c>
      <x:c r="L709" s="81" t="n">
        <x:v>-0.6290649794406017</x:v>
      </x:c>
      <x:c r="M709" s="80" t="n">
        <x:v>13643.131447594871</x:v>
      </x:c>
      <x:c r="N709" s="82" t="n">
        <x:v>0.25685990903264033</x:v>
      </x:c>
      <x:c r="O709" s="82" t="n">
        <x:v>0.09381870929981312</x:v>
      </x:c>
      <x:c r="P709" s="80" t="n">
        <x:v>21263.92714103167</x:v>
      </x:c>
      <x:c r="Q709" s="81" t="n">
        <x:v>0.005939289872224476</x:v>
      </x:c>
      <x:c r="R709" s="81" t="n">
        <x:v>48.22635767518584</x:v>
      </x:c>
      <x:c r="S709" s="81" t="n">
        <x:v>27.95467412005187</x:v>
      </x:c>
      <x:c r="T709" s="81" t="n">
        <x:v>29.07881969567534</x:v>
      </x:c>
    </x:row>
    <x:row r="710">
      <x:c r="A710" s="59" t="n">
        <x:v>707</x:v>
      </x:c>
      <x:c r="B710" s="193" t="n">
        <x:v>0.9823552729561926</x:v>
      </x:c>
      <x:c r="C710" s="83" t="n">
        <x:v>1.2734803492007318</x:v>
      </x:c>
      <x:c r="D710" s="83" t="n">
        <x:v>0.3769056850890117</x:v>
      </x:c>
      <x:c r="E710" s="81" t="n">
        <x:v>0.09208545241038764</x:v>
      </x:c>
      <x:c r="F710" s="81" t="n">
        <x:v>0.5846088609308936</x:v>
      </x:c>
      <x:c r="G710" s="81" t="n">
        <x:v>-0.02576551604844643</x:v>
      </x:c>
      <x:c r="H710" s="59" t="n">
        <x:v>0</x:v>
      </x:c>
      <x:c r="I710" s="81" t="n">
        <x:v>0</x:v>
      </x:c>
      <x:c r="J710" s="79" t="n">
        <x:v>0.00044544726200577777</x:v>
      </x:c>
      <x:c r="K710" s="81" t="n">
        <x:v>-0.49091741485053964</x:v>
      </x:c>
      <x:c r="L710" s="81" t="n">
        <x:v>-0.7823991133920045</x:v>
      </x:c>
      <x:c r="M710" s="80" t="n">
        <x:v>9174.989292305854</x:v>
      </x:c>
      <x:c r="N710" s="82" t="n">
        <x:v>0.336109195179533</x:v>
      </x:c>
      <x:c r="O710" s="82" t="n">
        <x:v>0.18561656417251254</x:v>
      </x:c>
      <x:c r="P710" s="80" t="n">
        <x:v>7562.180236808569</x:v>
      </x:c>
      <x:c r="Q710" s="81" t="n">
        <x:v>0.00458735651151234</x:v>
      </x:c>
      <x:c r="R710" s="81" t="n">
        <x:v>31.30256855958419</x:v>
      </x:c>
      <x:c r="S710" s="81" t="n">
        <x:v>7.022029549956125</x:v>
      </x:c>
      <x:c r="T710" s="81" t="n">
        <x:v>9.64936020405042</x:v>
      </x:c>
    </x:row>
    <x:row r="711">
      <x:c r="A711" s="59" t="n">
        <x:v>708</x:v>
      </x:c>
      <x:c r="B711" s="193" t="n">
        <x:v>0.8372949708253146</x:v>
      </x:c>
      <x:c r="C711" s="83" t="n">
        <x:v>0.3901628145485634</x:v>
      </x:c>
      <x:c r="D711" s="83" t="n">
        <x:v>1.9565712807622526</x:v>
      </x:c>
      <x:c r="E711" s="81" t="n">
        <x:v>0.03127450712031105</x:v>
      </x:c>
      <x:c r="F711" s="81" t="n">
        <x:v>0.49045358971925457</x:v>
      </x:c>
      <x:c r="G711" s="81" t="n">
        <x:v>-0.011840020080806611</x:v>
      </x:c>
      <x:c r="H711" s="59" t="n">
        <x:v>62</x:v>
      </x:c>
      <x:c r="I711" s="81" t="n">
        <x:v>0.48042672919109464</x:v>
      </x:c>
      <x:c r="J711" s="79" t="n">
        <x:v>0.0013992384790671966</x:v>
      </x:c>
      <x:c r="K711" s="81" t="n">
        <x:v>0.5991296903625105</x:v>
      </x:c>
      <x:c r="L711" s="81" t="n">
        <x:v>-0.9310429259928293</x:v>
      </x:c>
      <x:c r="M711" s="80" t="n">
        <x:v>10974.407535675376</x:v>
      </x:c>
      <x:c r="N711" s="82" t="n">
        <x:v>0.30155311133129287</x:v>
      </x:c>
      <x:c r="O711" s="82" t="n">
        <x:v>0.1397116665474813</x:v>
      </x:c>
      <x:c r="P711" s="80" t="n">
        <x:v>38179.64454049889</x:v>
      </x:c>
      <x:c r="Q711" s="81" t="n">
        <x:v>0.01056567985373276</x:v>
      </x:c>
      <x:c r="R711" s="81" t="n">
        <x:v>187.76018607174004</x:v>
      </x:c>
      <x:c r="S711" s="81" t="n">
        <x:v>72.59787117178978</x:v>
      </x:c>
      <x:c r="T711" s="81" t="n">
        <x:v>30.31056030087781</x:v>
      </x:c>
    </x:row>
    <x:row r="712">
      <x:c r="A712" s="59" t="n">
        <x:v>709</x:v>
      </x:c>
      <x:c r="B712" s="193" t="n">
        <x:v>0.3753810213878751</x:v>
      </x:c>
      <x:c r="C712" s="83" t="n">
        <x:v>1.5057538899764271</x:v>
      </x:c>
      <x:c r="D712" s="83" t="n">
        <x:v>0.30641462144161535</x:v>
      </x:c>
      <x:c r="E712" s="81" t="n">
        <x:v>-0.055998982505758514</x:v>
      </x:c>
      <x:c r="F712" s="81" t="n">
        <x:v>0.35188440908677876</x:v>
      </x:c>
      <x:c r="G712" s="81" t="n">
        <x:v>0.02177430004403426</x:v>
      </x:c>
      <x:c r="H712" s="59" t="n">
        <x:v>90</x:v>
      </x:c>
      <x:c r="I712" s="81" t="n">
        <x:v>0.1057139084674418</x:v>
      </x:c>
      <x:c r="J712" s="79" t="n">
        <x:v>3.1744965256144376e-16</x:v>
      </x:c>
      <x:c r="K712" s="81" t="n">
        <x:v>-0.9999999999996372</x:v>
      </x:c>
      <x:c r="L712" s="81" t="n">
        <x:v>-0.9999999999996372</x:v>
      </x:c>
      <x:c r="M712" s="80" t="n">
        <x:v>0.007872181754062886</x:v>
      </x:c>
      <x:c r="N712" s="82" t="n">
        <x:v>0.1915165476887429</x:v>
      </x:c>
      <x:c r="O712" s="82" t="n">
        <x:v>0.06366155922344216</x:v>
      </x:c>
      <x:c r="P712" s="80" t="n">
        <x:v>615.6909675612092</x:v>
      </x:c>
      <x:c r="Q712" s="81" t="n">
        <x:v>472.3524431604106</x:v>
      </x:c>
      <x:c r="R712" s="81" t="n">
        <x:v>5.109438670835391</x:v>
      </x:c>
      <x:c r="S712" s="81" t="n">
        <x:v>5.721723301320199e-7</x:v>
      </x:c>
      <x:c r="T712" s="81" t="n">
        <x:v>6.8766525366504476e-12</x:v>
      </x:c>
    </x:row>
    <x:row r="713">
      <x:c r="A713" s="59" t="n">
        <x:v>710</x:v>
      </x:c>
      <x:c r="B713" s="193" t="n">
        <x:v>0.855512751825154</x:v>
      </x:c>
      <x:c r="C713" s="83" t="n">
        <x:v>2.276902280678249</x:v>
      </x:c>
      <x:c r="D713" s="83" t="n">
        <x:v>0.45103727510292385</x:v>
      </x:c>
      <x:c r="E713" s="81" t="n">
        <x:v>0.08480938101067904</x:v>
      </x:c>
      <x:c r="F713" s="81" t="n">
        <x:v>0.6105892766616308</x:v>
      </x:c>
      <x:c r="G713" s="81" t="n">
        <x:v>0.009851125001198854</x:v>
      </x:c>
      <x:c r="H713" s="59" t="n">
        <x:v>0</x:v>
      </x:c>
      <x:c r="I713" s="81" t="n">
        <x:v>0</x:v>
      </x:c>
      <x:c r="J713" s="79" t="n">
        <x:v>0.0029230322859030403</x:v>
      </x:c>
      <x:c r="K713" s="81" t="n">
        <x:v>2.3406083267463322</x:v>
      </x:c>
      <x:c r="L713" s="81" t="n">
        <x:v>-0.6323733734338487</x:v>
      </x:c>
      <x:c r="M713" s="80" t="n">
        <x:v>35222.47578204509</x:v>
      </x:c>
      <x:c r="N713" s="82" t="n">
        <x:v>0.30589292834884846</x:v>
      </x:c>
      <x:c r="O713" s="82" t="n">
        <x:v>0.17643695408199472</x:v>
      </x:c>
      <x:c r="P713" s="80" t="n">
        <x:v>31503.075558001663</x:v>
      </x:c>
      <x:c r="Q713" s="81" t="n">
        <x:v>0.004953521918584369</x:v>
      </x:c>
      <x:c r="R713" s="81" t="n">
        <x:v>30.88479008998086</x:v>
      </x:c>
      <x:c r="S713" s="81" t="n">
        <x:v>26.40830292403247</x:v>
      </x:c>
      <x:c r="T713" s="81" t="n">
        <x:v>63.31926093280484</x:v>
      </x:c>
    </x:row>
    <x:row r="714">
      <x:c r="A714" s="59" t="n">
        <x:v>711</x:v>
      </x:c>
      <x:c r="B714" s="193" t="n">
        <x:v>0.4146300721913576</x:v>
      </x:c>
      <x:c r="C714" s="83" t="n">
        <x:v>0.5415021367068457</x:v>
      </x:c>
      <x:c r="D714" s="83" t="n">
        <x:v>1.2420192854410457</x:v>
      </x:c>
      <x:c r="E714" s="81" t="n">
        <x:v>-0.17105854357514402</x:v>
      </x:c>
      <x:c r="F714" s="81" t="n">
        <x:v>0.6009493177989498</x:v>
      </x:c>
      <x:c r="G714" s="81" t="n">
        <x:v>-0.031050531161530476</x:v>
      </x:c>
      <x:c r="H714" s="59" t="n">
        <x:v>0</x:v>
      </x:c>
      <x:c r="I714" s="81" t="n">
        <x:v>0</x:v>
      </x:c>
      <x:c r="J714" s="79" t="n">
        <x:v>4.7801988678682236e-61</x:v>
      </x:c>
      <x:c r="K714" s="81" t="n">
        <x:v>-1</x:v>
      </x:c>
      <x:c r="L714" s="81" t="n">
        <x:v>-1</x:v>
      </x:c>
      <x:c r="M714" s="80" t="n">
        <x:v>0.000002</x:v>
      </x:c>
      <x:c r="N714" s="82" t="n">
        <x:v>0.20086640750983503</x:v>
      </x:c>
      <x:c r="O714" s="82" t="n">
        <x:v>0.11402920609291206</x:v>
      </x:c>
      <x:c r="P714" s="80" t="n">
        <x:v>191.19400143604545</x:v>
      </x:c>
      <x:c r="Q714" s="81" t="n">
        <x:v>2.8932280916270716e+43</x:v>
      </x:c>
      <x:c r="R714" s="81" t="n">
        <x:v>1.4336718713445886</x:v>
      </x:c>
      <x:c r="S714" s="81" t="n">
        <x:v>4.808600720330168e-10</x:v>
      </x:c>
      <x:c r="T714" s="81" t="n">
        <x:v>1.0354954369986953e-56</x:v>
      </x:c>
    </x:row>
    <x:row r="715">
      <x:c r="A715" s="59" t="n">
        <x:v>712</x:v>
      </x:c>
      <x:c r="B715" s="193" t="n">
        <x:v>0.7288333952426911</x:v>
      </x:c>
      <x:c r="C715" s="83" t="n">
        <x:v>2.3534598494759615</x:v>
      </x:c>
      <x:c r="D715" s="83" t="n">
        <x:v>0.5924434883014658</x:v>
      </x:c>
      <x:c r="E715" s="81" t="n">
        <x:v>0.05499072197079885</x:v>
      </x:c>
      <x:c r="F715" s="81" t="n">
        <x:v>0.8449884997797199</x:v>
      </x:c>
      <x:c r="G715" s="81" t="n">
        <x:v>-0.007773372725800018</x:v>
      </x:c>
      <x:c r="H715" s="59" t="n">
        <x:v>0</x:v>
      </x:c>
      <x:c r="I715" s="81" t="n">
        <x:v>0</x:v>
      </x:c>
      <x:c r="J715" s="79" t="n">
        <x:v>0.0009208672867597803</x:v>
      </x:c>
      <x:c r="K715" s="81" t="n">
        <x:v>0.052419756296891995</x:v>
      </x:c>
      <x:c r="L715" s="81" t="n">
        <x:v>-0.7123847115291357</x:v>
      </x:c>
      <x:c r="M715" s="80" t="n">
        <x:v>19541.685810541327</x:v>
      </x:c>
      <x:c r="N715" s="82" t="n">
        <x:v>0.2757155303729698</x:v>
      </x:c>
      <x:c r="O715" s="82" t="n">
        <x:v>0.22008121229461472</x:v>
      </x:c>
      <x:c r="P715" s="80" t="n">
        <x:v>23620.811327438496</x:v>
      </x:c>
      <x:c r="Q715" s="81" t="n">
        <x:v>0.008973520515562097</x:v>
      </x:c>
      <x:c r="R715" s="81" t="n">
        <x:v>20.450592809148986</x:v>
      </x:c>
      <x:c r="S715" s="81" t="n">
        <x:v>8.709588312872349</x:v>
      </x:c>
      <x:c r="T715" s="81" t="n">
        <x:v>19.947995886337846</x:v>
      </x:c>
    </x:row>
    <x:row r="716">
      <x:c r="A716" s="59" t="n">
        <x:v>713</x:v>
      </x:c>
      <x:c r="B716" s="193" t="n">
        <x:v>0.6877333067357541</x:v>
      </x:c>
      <x:c r="C716" s="83" t="n">
        <x:v>0.29417321123278206</x:v>
      </x:c>
      <x:c r="D716" s="83" t="n">
        <x:v>0.40600019295615053</x:v>
      </x:c>
      <x:c r="E716" s="81" t="n">
        <x:v>-0.025604840048261034</x:v>
      </x:c>
      <x:c r="F716" s="81" t="n">
        <x:v>0.4317202138248831</x:v>
      </x:c>
      <x:c r="G716" s="81" t="n">
        <x:v>-0.0334915375299536</x:v>
      </x:c>
      <x:c r="H716" s="59" t="n">
        <x:v>75</x:v>
      </x:c>
      <x:c r="I716" s="81" t="n">
        <x:v>0.4492001173086465</x:v>
      </x:c>
      <x:c r="J716" s="79" t="n">
        <x:v>2.2189000771359755e-10</x:v>
      </x:c>
      <x:c r="K716" s="81" t="n">
        <x:v>-0.9999997464114198</x:v>
      </x:c>
      <x:c r="L716" s="81" t="n">
        <x:v>-0.9999997464114198</x:v>
      </x:c>
      <x:c r="M716" s="80" t="n">
        <x:v>3.332967652653461</x:v>
      </x:c>
      <x:c r="N716" s="82" t="n">
        <x:v>0.2659247186639577</x:v>
      </x:c>
      <x:c r="O716" s="82" t="n">
        <x:v>0.10845061865554219</x:v>
      </x:c>
      <x:c r="P716" s="80" t="n">
        <x:v>438.78567914496335</x:v>
      </x:c>
      <x:c r="Q716" s="81" t="n">
        <x:v>0.598888749815143</x:v>
      </x:c>
      <x:c r="R716" s="81" t="n">
        <x:v>24.26008752758294</x:v>
      </x:c>
      <x:c r="S716" s="81" t="n">
        <x:v>0.0003207348620155416</x:v>
      </x:c>
      <x:c r="T716" s="81" t="n">
        <x:v>0.000004806622001596808</x:v>
      </x:c>
    </x:row>
    <x:row r="717">
      <x:c r="A717" s="59" t="n">
        <x:v>714</x:v>
      </x:c>
      <x:c r="B717" s="193" t="n">
        <x:v>0.5231589371338488</x:v>
      </x:c>
      <x:c r="C717" s="83" t="n">
        <x:v>0.9071307856966264</x:v>
      </x:c>
      <x:c r="D717" s="83" t="n">
        <x:v>0.3812863156329369</x:v>
      </x:c>
      <x:c r="E717" s="81" t="n">
        <x:v>-0.022985139147941785</x:v>
      </x:c>
      <x:c r="F717" s="81" t="n">
        <x:v>0.2631332850782201</x:v>
      </x:c>
      <x:c r="G717" s="81" t="n">
        <x:v>-0.003837549395089844</x:v>
      </x:c>
      <x:c r="H717" s="59" t="n">
        <x:v>0</x:v>
      </x:c>
      <x:c r="I717" s="81" t="n">
        <x:v>0</x:v>
      </x:c>
      <x:c r="J717" s="79" t="n">
        <x:v>7.427303661422315e-10</x:v>
      </x:c>
      <x:c r="K717" s="81" t="n">
        <x:v>-0.9999991511652958</x:v>
      </x:c>
      <x:c r="L717" s="81" t="n">
        <x:v>-0.9999991511652958</x:v>
      </x:c>
      <x:c r="M717" s="80" t="n">
        <x:v>8.970295715311561</x:v>
      </x:c>
      <x:c r="N717" s="82" t="n">
        <x:v>0.2267200180553541</x:v>
      </x:c>
      <x:c r="O717" s="82" t="n">
        <x:v>0.05635553759611779</x:v>
      </x:c>
      <x:c r="P717" s="80" t="n">
        <x:v>913.0464905518327</x:v>
      </x:c>
      <x:c r="Q717" s="81" t="n">
        <x:v>0.5376436372171032</x:v>
      </x:c>
      <x:c r="R717" s="81" t="n">
        <x:v>11.268303809687522</x:v>
      </x:c>
      <x:c r="S717" s="81" t="n">
        <x:v>0.0007772709422005843</x:v>
      </x:c>
      <x:c r="T717" s="81" t="n">
        <x:v>0.000016089161273820305</x:v>
      </x:c>
    </x:row>
    <x:row r="718">
      <x:c r="A718" s="59" t="n">
        <x:v>715</x:v>
      </x:c>
      <x:c r="B718" s="193" t="n">
        <x:v>0.7535559101030231</x:v>
      </x:c>
      <x:c r="C718" s="83" t="n">
        <x:v>0.16284101693385894</x:v>
      </x:c>
      <x:c r="D718" s="83" t="n">
        <x:v>0.5343660573686855</x:v>
      </x:c>
      <x:c r="E718" s="81" t="n">
        <x:v>-0.038869781274536046</x:v>
      </x:c>
      <x:c r="F718" s="81" t="n">
        <x:v>0.26742700120666996</x:v>
      </x:c>
      <x:c r="G718" s="81" t="n">
        <x:v>-0.021932279969810464</x:v>
      </x:c>
      <x:c r="H718" s="59" t="n">
        <x:v>60</x:v>
      </x:c>
      <x:c r="I718" s="81" t="n">
        <x:v>0.386534064821899</x:v>
      </x:c>
      <x:c r="J718" s="79" t="n">
        <x:v>1.2908194737517823e-15</x:v>
      </x:c>
      <x:c r="K718" s="81" t="n">
        <x:v>-0.9999999999985247</x:v>
      </x:c>
      <x:c r="L718" s="81" t="n">
        <x:v>-0.9999999999985247</x:v>
      </x:c>
      <x:c r="M718" s="80" t="n">
        <x:v>0.007351602428896213</x:v>
      </x:c>
      <x:c r="N718" s="82" t="n">
        <x:v>0.28160489695985436</x:v>
      </x:c>
      <x:c r="O718" s="82" t="n">
        <x:v>0.07114041575372672</x:v>
      </x:c>
      <x:c r="P718" s="80" t="n">
        <x:v>375.6790490656582</x:v>
      </x:c>
      <x:c r="Q718" s="81" t="n">
        <x:v>153.75152567635106</x:v>
      </x:c>
      <x:c r="R718" s="81" t="n">
        <x:v>34.32049089496736</x:v>
      </x:c>
      <x:c r="S718" s="81" t="n">
        <x:v>0.000001165410364065638</x:v>
      </x:c>
      <x:c r="T718" s="81" t="n">
        <x:v>2.7961967943294253e-11</x:v>
      </x:c>
    </x:row>
    <x:row r="719">
      <x:c r="A719" s="59" t="n">
        <x:v>716</x:v>
      </x:c>
      <x:c r="B719" s="193" t="n">
        <x:v>0.3058828506618738</x:v>
      </x:c>
      <x:c r="C719" s="83" t="n">
        <x:v>0.4447168655058937</x:v>
      </x:c>
      <x:c r="D719" s="83" t="n">
        <x:v>0.5393486284295609</x:v>
      </x:c>
      <x:c r="E719" s="81" t="n">
        <x:v>-0.05973541646296646</x:v>
      </x:c>
      <x:c r="F719" s="81" t="n">
        <x:v>0.2580882600857876</x:v>
      </x:c>
      <x:c r="G719" s="81" t="n">
        <x:v>0.006233783702255608</x:v>
      </x:c>
      <x:c r="H719" s="59" t="n">
        <x:v>14</x:v>
      </x:c>
      <x:c r="I719" s="81" t="n">
        <x:v>0.1322639737278223</x:v>
      </x:c>
      <x:c r="J719" s="79" t="n">
        <x:v>1.0856277124508647e-23</x:v>
      </x:c>
      <x:c r="K719" s="81" t="n">
        <x:v>-1</x:v>
      </x:c>
      <x:c r="L719" s="81" t="n">
        <x:v>-1</x:v>
      </x:c>
      <x:c r="M719" s="80" t="n">
        <x:v>0.000002</x:v>
      </x:c>
      <x:c r="N719" s="82" t="n">
        <x:v>0.17496078033110846</x:v>
      </x:c>
      <x:c r="O719" s="82" t="n">
        <x:v>0.04265597750091109</x:v>
      </x:c>
      <x:c r="P719" s="80" t="n">
        <x:v>354.03149250337947</x:v>
      </x:c>
      <x:c r="Q719" s="81" t="n">
        <x:v>3301257.7432677243</x:v>
      </x:c>
      <x:c r="R719" s="81" t="n">
        <x:v>10.102398606920973</x:v>
      </x:c>
      <x:c r="S719" s="81" t="n">
        <x:v>3.527178928625567e-10</x:v>
      </x:c>
      <x:c r="T719" s="81" t="n">
        <x:v>2.3517066414927907e-19</x:v>
      </x:c>
    </x:row>
    <x:row r="720">
      <x:c r="A720" s="59" t="n">
        <x:v>717</x:v>
      </x:c>
      <x:c r="B720" s="193" t="n">
        <x:v>0.921145622059703</x:v>
      </x:c>
      <x:c r="C720" s="83" t="n">
        <x:v>0.20194150458025645</x:v>
      </x:c>
      <x:c r="D720" s="83" t="n">
        <x:v>0.8299053295166265</x:v>
      </x:c>
      <x:c r="E720" s="81" t="n">
        <x:v>-0.14005170579335366</x:v>
      </x:c>
      <x:c r="F720" s="81" t="n">
        <x:v>0.31920418394729494</x:v>
      </x:c>
      <x:c r="G720" s="81" t="n">
        <x:v>-0.019930987476070874</x:v>
      </x:c>
      <x:c r="H720" s="59" t="n">
        <x:v>0</x:v>
      </x:c>
      <x:c r="I720" s="81" t="n">
        <x:v>0</x:v>
      </x:c>
      <x:c r="J720" s="79" t="n">
        <x:v>6.833911456687333e-43</x:v>
      </x:c>
      <x:c r="K720" s="81" t="n">
        <x:v>-1</x:v>
      </x:c>
      <x:c r="L720" s="81" t="n">
        <x:v>-1</x:v>
      </x:c>
      <x:c r="M720" s="80" t="n">
        <x:v>0.000002</x:v>
      </x:c>
      <x:c r="N720" s="82" t="n">
        <x:v>0.32152790865503456</x:v>
      </x:c>
      <x:c r="O720" s="82" t="n">
        <x:v>0.09695231706520019</x:v>
      </x:c>
      <x:c r="P720" s="80" t="n">
        <x:v>154.6871650260787</x:v>
      </x:c>
      <x:c r="Q720" s="81" t="n">
        <x:v>2.406365538489956e+25</x:v>
      </x:c>
      <x:c r="R720" s="81" t="n">
        <x:v>6.147811977263924</x:v>
      </x:c>
      <x:c r="S720" s="81" t="n">
        <x:v>4.734476883418345e-10</x:v>
      </x:c>
      <x:c r="T720" s="81" t="n">
        <x:v>1.4803744207840179e-38</x:v>
      </x:c>
    </x:row>
    <x:row r="721">
      <x:c r="A721" s="59" t="n">
        <x:v>718</x:v>
      </x:c>
      <x:c r="B721" s="193" t="n">
        <x:v>0.9755578642711045</x:v>
      </x:c>
      <x:c r="C721" s="83" t="n">
        <x:v>1.1567986146811684</x:v>
      </x:c>
      <x:c r="D721" s="83" t="n">
        <x:v>0.44489760209359847</x:v>
      </x:c>
      <x:c r="E721" s="81" t="n">
        <x:v>-0.0030912174294207124</x:v>
      </x:c>
      <x:c r="F721" s="81" t="n">
        <x:v>0.5912684522103518</x:v>
      </x:c>
      <x:c r="G721" s="81" t="n">
        <x:v>0.003987545672952164</x:v>
      </x:c>
      <x:c r="H721" s="59" t="n">
        <x:v>81</x:v>
      </x:c>
      <x:c r="I721" s="81" t="n">
        <x:v>0.3713430194184184</x:v>
      </x:c>
      <x:c r="J721" s="79" t="n">
        <x:v>2.918280305458244e-7</x:v>
      </x:c>
      <x:c r="K721" s="81" t="n">
        <x:v>-0.9996664822508048</x:v>
      </x:c>
      <x:c r="L721" s="81" t="n">
        <x:v>-0.9996664822508048</x:v>
      </x:c>
      <x:c r="M721" s="80" t="n">
        <x:v>199.3078346872951</x:v>
      </x:c>
      <x:c r="N721" s="82" t="n">
        <x:v>0.3344899249793324</x:v>
      </x:c>
      <x:c r="O721" s="82" t="n">
        <x:v>0.18682659140807006</x:v>
      </x:c>
      <x:c r="P721" s="80" t="n">
        <x:v>1390.8644130103235</x:v>
      </x:c>
      <x:c r="Q721" s="81" t="n">
        <x:v>0.09686793588833985</x:v>
      </x:c>
      <x:c r="R721" s="81" t="n">
        <x:v>8.80990984612089</x:v>
      </x:c>
      <x:c r="S721" s="81" t="n">
        <x:v>0.023696013497750464</x:v>
      </x:c>
      <x:c r="T721" s="81" t="n">
        <x:v>0.006321632266175572</x:v>
      </x:c>
    </x:row>
    <x:row r="722">
      <x:c r="A722" s="59" t="n">
        <x:v>719</x:v>
      </x:c>
      <x:c r="B722" s="193" t="n">
        <x:v>0.4093810450285673</x:v>
      </x:c>
      <x:c r="C722" s="83" t="n">
        <x:v>2.3938309318311664</x:v>
      </x:c>
      <x:c r="D722" s="83" t="n">
        <x:v>0.681024596427474</x:v>
      </x:c>
      <x:c r="E722" s="81" t="n">
        <x:v>0.0336880258732429</x:v>
      </x:c>
      <x:c r="F722" s="81" t="n">
        <x:v>0.49347689395071936</x:v>
      </x:c>
      <x:c r="G722" s="81" t="n">
        <x:v>0.010009252908358374</x:v>
      </x:c>
      <x:c r="H722" s="59" t="n">
        <x:v>0</x:v>
      </x:c>
      <x:c r="I722" s="81" t="n">
        <x:v>0</x:v>
      </x:c>
      <x:c r="J722" s="79" t="n">
        <x:v>0.0037726147432042495</x:v>
      </x:c>
      <x:c r="K722" s="81" t="n">
        <x:v>3.3115597065191427</x:v>
      </x:c>
      <x:c r="L722" s="81" t="n">
        <x:v>-0.39801233655763024</x:v>
      </x:c>
      <x:c r="M722" s="80" t="n">
        <x:v>38916.20593837359</x:v>
      </x:c>
      <x:c r="N722" s="82" t="n">
        <x:v>0.199615990820399</x:v>
      </x:c>
      <x:c r="O722" s="82" t="n">
        <x:v>0.09305358149566795</x:v>
      </x:c>
      <x:c r="P722" s="80" t="n">
        <x:v>51984.08644004809</x:v>
      </x:c>
      <x:c r="Q722" s="81" t="n">
        <x:v>0.006315708616508206</x:v>
      </x:c>
      <x:c r="R722" s="81" t="n">
        <x:v>23.60677137599829</x:v>
      </x:c>
      <x:c r="S722" s="81" t="n">
        <x:v>33.23814768433483</x:v>
      </x:c>
      <x:c r="T722" s="81" t="n">
        <x:v>81.72307178266325</x:v>
      </x:c>
    </x:row>
    <x:row r="723">
      <x:c r="A723" s="59" t="n">
        <x:v>720</x:v>
      </x:c>
      <x:c r="B723" s="193" t="n">
        <x:v>0.40651969201862814</x:v>
      </x:c>
      <x:c r="C723" s="83" t="n">
        <x:v>0.8678954760568711</x:v>
      </x:c>
      <x:c r="D723" s="83" t="n">
        <x:v>0.5111029354327805</x:v>
      </x:c>
      <x:c r="E723" s="81" t="n">
        <x:v>0.10536465164892095</x:v>
      </x:c>
      <x:c r="F723" s="81" t="n">
        <x:v>0.2761872949777171</x:v>
      </x:c>
      <x:c r="G723" s="81" t="n">
        <x:v>0.050826498309832574</x:v>
      </x:c>
      <x:c r="H723" s="59" t="n">
        <x:v>0</x:v>
      </x:c>
      <x:c r="I723" s="81" t="n">
        <x:v>0</x:v>
      </x:c>
      <x:c r="J723" s="79" t="n">
        <x:v>0.059130249685189346</x:v>
      </x:c>
      <x:c r="K723" s="81" t="n">
        <x:v>66.57742821164497</x:v>
      </x:c>
      <x:c r="L723" s="81" t="n">
        <x:v>-0.4797055466031923</x:v>
      </x:c>
      <x:c r="M723" s="80" t="n">
        <x:v>101040.46750690749</x:v>
      </x:c>
      <x:c r="N723" s="82" t="n">
        <x:v>0.1989343628830626</x:v>
      </x:c>
      <x:c r="O723" s="82" t="n">
        <x:v>0.05190204211312076</x:v>
      </x:c>
      <x:c r="P723" s="80" t="n">
        <x:v>100695.7308189769</x:v>
      </x:c>
      <x:c r="Q723" s="81" t="n">
        <x:v>0.0013187415352626923</x:v>
      </x:c>
      <x:c r="R723" s="81" t="n">
        <x:v>296.44061571962374</x:v>
      </x:c>
      <x:c r="S723" s="81" t="n">
        <x:v>1288.9798585295114</x:v>
      </x:c>
      <x:c r="T723" s="81" t="n">
        <x:v>1280.8903024763238</x:v>
      </x:c>
    </x:row>
    <x:row r="724">
      <x:c r="A724" s="59" t="n">
        <x:v>721</x:v>
      </x:c>
      <x:c r="B724" s="193" t="n">
        <x:v>0.7903522007167341</x:v>
      </x:c>
      <x:c r="C724" s="83" t="n">
        <x:v>0.8109868805332321</x:v>
      </x:c>
      <x:c r="D724" s="83" t="n">
        <x:v>2.573360312412798</x:v>
      </x:c>
      <x:c r="E724" s="81" t="n">
        <x:v>-0.021342709012572653</x:v>
      </x:c>
      <x:c r="F724" s="81" t="n">
        <x:v>0.5622709660907277</x:v>
      </x:c>
      <x:c r="G724" s="81" t="n">
        <x:v>0.04609064093422752</x:v>
      </x:c>
      <x:c r="H724" s="59" t="n">
        <x:v>0</x:v>
      </x:c>
      <x:c r="I724" s="81" t="n">
        <x:v>0</x:v>
      </x:c>
      <x:c r="J724" s="79" t="n">
        <x:v>4.2711734716043724e-35</x:v>
      </x:c>
      <x:c r="K724" s="81" t="n">
        <x:v>-1</x:v>
      </x:c>
      <x:c r="L724" s="81" t="n">
        <x:v>-1</x:v>
      </x:c>
      <x:c r="M724" s="80" t="n">
        <x:v>0.000002</x:v>
      </x:c>
      <x:c r="N724" s="82" t="n">
        <x:v>0.2903704633144893</x:v>
      </x:c>
      <x:c r="O724" s="82" t="n">
        <x:v>0.15423006366807618</x:v>
      </x:c>
      <x:c r="P724" s="80" t="n">
        <x:v>1295.241373518057</x:v>
      </x:c>
      <x:c r="Q724" s="81" t="n">
        <x:v>2263442886315525400</x:v>
      </x:c>
      <x:c r="R724" s="81" t="n">
        <x:v>4.655442300623528</x:v>
      </x:c>
      <x:c r="S724" s="81" t="n">
        <x:v>2.153687824614986e-9</x:v>
      </x:c>
      <x:c r="T724" s="81" t="n">
        <x:v>9.252294230278721e-31</x:v>
      </x:c>
    </x:row>
    <x:row r="725">
      <x:c r="A725" s="59" t="n">
        <x:v>722</x:v>
      </x:c>
      <x:c r="B725" s="193" t="n">
        <x:v>0.2577585531398654</x:v>
      </x:c>
      <x:c r="C725" s="83" t="n">
        <x:v>0.7769094735769841</x:v>
      </x:c>
      <x:c r="D725" s="83" t="n">
        <x:v>0.5134463777685693</x:v>
      </x:c>
      <x:c r="E725" s="81" t="n">
        <x:v>0.09577857520829416</x:v>
      </x:c>
      <x:c r="F725" s="81" t="n">
        <x:v>0.7437022020923905</x:v>
      </x:c>
      <x:c r="G725" s="81" t="n">
        <x:v>0.004801386545587117</x:v>
      </x:c>
      <x:c r="H725" s="59" t="n">
        <x:v>0</x:v>
      </x:c>
      <x:c r="I725" s="81" t="n">
        <x:v>0</x:v>
      </x:c>
      <x:c r="J725" s="79" t="n">
        <x:v>0.0031100655040167545</x:v>
      </x:c>
      <x:c r="K725" s="81" t="n">
        <x:v>2.5543605760191483</x:v>
      </x:c>
      <x:c r="L725" s="81" t="n">
        <x:v>-0.6842268554984887</x:v>
      </x:c>
      <x:c r="M725" s="80" t="n">
        <x:v>20436.338459434697</x:v>
      </x:c>
      <x:c r="N725" s="82" t="n">
        <x:v>0.16349667033078719</x:v>
      </x:c>
      <x:c r="O725" s="82" t="n">
        <x:v>0.11486267383375556</x:v>
      </x:c>
      <x:c r="P725" s="80" t="n">
        <x:v>20227.94514269553</x:v>
      </x:c>
      <x:c r="Q725" s="81" t="n">
        <x:v>0.002915303165271438</x:v>
      </x:c>
      <x:c r="R725" s="81" t="n">
        <x:v>109.19455156489425</x:v>
      </x:c>
      <x:c r="S725" s="81" t="n">
        <x:v>77.29953493481979</x:v>
      </x:c>
      <x:c r="T725" s="81" t="n">
        <x:v>67.37080877165664</x:v>
      </x:c>
    </x:row>
    <x:row r="726">
      <x:c r="A726" s="59" t="n">
        <x:v>723</x:v>
      </x:c>
      <x:c r="B726" s="193" t="n">
        <x:v>0.22066292632371187</x:v>
      </x:c>
      <x:c r="C726" s="83" t="n">
        <x:v>0.3974743729780641</x:v>
      </x:c>
      <x:c r="D726" s="83" t="n">
        <x:v>0.485306085607883</x:v>
      </x:c>
      <x:c r="E726" s="81" t="n">
        <x:v>0.10335609135910995</x:v>
      </x:c>
      <x:c r="F726" s="81" t="n">
        <x:v>0.4101946163224056</x:v>
      </x:c>
      <x:c r="G726" s="81" t="n">
        <x:v>0.02549846042818711</x:v>
      </x:c>
      <x:c r="H726" s="59" t="n">
        <x:v>0</x:v>
      </x:c>
      <x:c r="I726" s="81" t="n">
        <x:v>0</x:v>
      </x:c>
      <x:c r="J726" s="79" t="n">
        <x:v>0.011962806123858085</x:v>
      </x:c>
      <x:c r="K726" s="81" t="n">
        <x:v>12.671778427266384</x:v>
      </x:c>
      <x:c r="L726" s="81" t="n">
        <x:v>-0.5822980837217363</x:v>
      </x:c>
      <x:c r="M726" s="80" t="n">
        <x:v>32373.14967880759</x:v>
      </x:c>
      <x:c r="N726" s="82" t="n">
        <x:v>0.15465979648017675</x:v>
      </x:c>
      <x:c r="O726" s="82" t="n">
        <x:v>0.05992917957457564</x:v>
      </x:c>
      <x:c r="P726" s="80" t="n">
        <x:v>30059.985933301836</x:v>
      </x:c>
      <x:c r="Q726" s="81" t="n">
        <x:v>0.0014677860534179073</x:v>
      </x:c>
      <x:c r="R726" s="81" t="n">
        <x:v>344.513874302926</x:v>
      </x:c>
      <x:c r="S726" s="81" t="n">
        <x:v>566.0979868143562</x:v>
      </x:c>
      <x:c r="T726" s="81" t="n">
        <x:v>259.14049807052044</x:v>
      </x:c>
    </x:row>
    <x:row r="727">
      <x:c r="A727" s="59" t="n">
        <x:v>724</x:v>
      </x:c>
      <x:c r="B727" s="193" t="n">
        <x:v>0.7772416327148677</x:v>
      </x:c>
      <x:c r="C727" s="83" t="n">
        <x:v>0.28174166953397317</x:v>
      </x:c>
      <x:c r="D727" s="83" t="n">
        <x:v>0.3864200962635561</x:v>
      </x:c>
      <x:c r="E727" s="81" t="n">
        <x:v>0.018671558067456368</x:v>
      </x:c>
      <x:c r="F727" s="81" t="n">
        <x:v>0.4397831087349914</x:v>
      </x:c>
      <x:c r="G727" s="81" t="n">
        <x:v>-0.05</x:v>
      </x:c>
      <x:c r="H727" s="59" t="n">
        <x:v>0</x:v>
      </x:c>
      <x:c r="I727" s="81" t="n">
        <x:v>0</x:v>
      </x:c>
      <x:c r="J727" s="79" t="n">
        <x:v>0.000009483289876538965</x:v>
      </x:c>
      <x:c r="K727" s="81" t="n">
        <x:v>-0.9891619544268127</x:v>
      </x:c>
      <x:c r="L727" s="81" t="n">
        <x:v>-0.9891619544268127</x:v>
      </x:c>
      <x:c r="M727" s="80" t="n">
        <x:v>687.3765998799928</x:v>
      </x:c>
      <x:c r="N727" s="82" t="n">
        <x:v>0.287247280193295</x:v>
      </x:c>
      <x:c r="O727" s="82" t="n">
        <x:v>0.11933433353700029</x:v>
      </x:c>
      <x:c r="P727" s="80" t="n">
        <x:v>1049.4443044081586</x:v>
      </x:c>
      <x:c r="Q727" s="81" t="n">
        <x:v>0.009789177871963897</x:v>
      </x:c>
      <x:c r="R727" s="81" t="n">
        <x:v>44.62792904150148</x:v>
      </x:c>
      <x:c r="S727" s="81" t="n">
        <x:v>0.6746919318831607</x:v>
      </x:c>
      <x:c r="T727" s="81" t="n">
        <x:v>0.2054287628261646</x:v>
      </x:c>
    </x:row>
    <x:row r="728">
      <x:c r="A728" s="59" t="n">
        <x:v>725</x:v>
      </x:c>
      <x:c r="B728" s="193" t="n">
        <x:v>0.887651513516903</x:v>
      </x:c>
      <x:c r="C728" s="83" t="n">
        <x:v>0.16183502321996807</x:v>
      </x:c>
      <x:c r="D728" s="83" t="n">
        <x:v>1.0115454386851785</x:v>
      </x:c>
      <x:c r="E728" s="81" t="n">
        <x:v>-0.0798844487712608</x:v>
      </x:c>
      <x:c r="F728" s="81" t="n">
        <x:v>0.6018534297356382</x:v>
      </x:c>
      <x:c r="G728" s="81" t="n">
        <x:v>0.03054653388420066</x:v>
      </x:c>
      <x:c r="H728" s="59" t="n">
        <x:v>32</x:v>
      </x:c>
      <x:c r="I728" s="81" t="n">
        <x:v>0.13468248192220927</x:v>
      </x:c>
      <x:c r="J728" s="79" t="n">
        <x:v>1.6348349647024043e-41</x:v>
      </x:c>
      <x:c r="K728" s="81" t="n">
        <x:v>-1</x:v>
      </x:c>
      <x:c r="L728" s="81" t="n">
        <x:v>-1</x:v>
      </x:c>
      <x:c r="M728" s="80" t="n">
        <x:v>0.000002</x:v>
      </x:c>
      <x:c r="N728" s="82" t="n">
        <x:v>0.313548983985604</x:v>
      </x:c>
      <x:c r="O728" s="82" t="n">
        <x:v>0.17826540880056743</x:v>
      </x:c>
      <x:c r="P728" s="80" t="n">
        <x:v>231.7869326105194</x:v>
      </x:c>
      <x:c r="Q728" s="81" t="n">
        <x:v>1.6704594118677398e+24</x:v>
      </x:c>
      <x:c r="R728" s="81" t="n">
        <x:v>10.149952939276812</x:v>
      </x:c>
      <x:c r="S728" s="81" t="n">
        <x:v>1.0998520179351407e-9</x:v>
      </x:c>
      <x:c r="T728" s="81" t="n">
        <x:v>3.541409453850216e-37</x:v>
      </x:c>
    </x:row>
    <x:row r="729">
      <x:c r="A729" s="59" t="n">
        <x:v>726</x:v>
      </x:c>
      <x:c r="B729" s="193" t="n">
        <x:v>0.2455274570733309</x:v>
      </x:c>
      <x:c r="C729" s="83" t="n">
        <x:v>0.6795487796911626</x:v>
      </x:c>
      <x:c r="D729" s="83" t="n">
        <x:v>0.9032722586395783</x:v>
      </x:c>
      <x:c r="E729" s="81" t="n">
        <x:v>0.14106342491811877</x:v>
      </x:c>
      <x:c r="F729" s="81" t="n">
        <x:v>0.36481311059324073</x:v>
      </x:c>
      <x:c r="G729" s="81" t="n">
        <x:v>0.033276916934729166</x:v>
      </x:c>
      <x:c r="H729" s="59" t="n">
        <x:v>0</x:v>
      </x:c>
      <x:c r="I729" s="81" t="n">
        <x:v>0</x:v>
      </x:c>
      <x:c r="J729" s="79" t="n">
        <x:v>0.1923418971334407</x:v>
      </x:c>
      <x:c r="K729" s="81" t="n">
        <x:v>218.81931100964653</x:v>
      </x:c>
      <x:c r="L729" s="81" t="n">
        <x:v>-0.7000470908010474</x:v>
      </x:c>
      <x:c r="M729" s="80" t="n">
        <x:v>207956.26684536398</x:v>
      </x:c>
      <x:c r="N729" s="82" t="n">
        <x:v>0.16058299391468756</x:v>
      </x:c>
      <x:c r="O729" s="82" t="n">
        <x:v>0.055340226210330086</x:v>
      </x:c>
      <x:c r="P729" s="80" t="n">
        <x:v>299812.0347573456</x:v>
      </x:c>
      <x:c r="Q729" s="81" t="n">
        <x:v>0.001183680697410675</x:v>
      </x:c>
      <x:c r="R729" s="81" t="n">
        <x:v>2344.243485880099</x:v>
      </x:c>
      <x:c r="S729" s="81" t="n">
        <x:v>5335.416954116003</x:v>
      </x:c>
      <x:c r="T729" s="81" t="n">
        <x:v>4166.545416428913</x:v>
      </x:c>
    </x:row>
    <x:row r="730">
      <x:c r="A730" s="59" t="n">
        <x:v>727</x:v>
      </x:c>
      <x:c r="B730" s="193" t="n">
        <x:v>0.8018744586035609</x:v>
      </x:c>
      <x:c r="C730" s="83" t="n">
        <x:v>1.4901381452459517</x:v>
      </x:c>
      <x:c r="D730" s="83" t="n">
        <x:v>0.3410374262138245</x:v>
      </x:c>
      <x:c r="E730" s="81" t="n">
        <x:v>-0.18136445669533205</x:v>
      </x:c>
      <x:c r="F730" s="81" t="n">
        <x:v>0.8357414798811078</x:v>
      </x:c>
      <x:c r="G730" s="81" t="n">
        <x:v>-0.010523916373364205</x:v>
      </x:c>
      <x:c r="H730" s="59" t="n">
        <x:v>89</x:v>
      </x:c>
      <x:c r="I730" s="81" t="n">
        <x:v>0.2778445980511606</x:v>
      </x:c>
      <x:c r="J730" s="79" t="n">
        <x:v>5.068810835627553e-31</x:v>
      </x:c>
      <x:c r="K730" s="81" t="n">
        <x:v>-1</x:v>
      </x:c>
      <x:c r="L730" s="81" t="n">
        <x:v>-1</x:v>
      </x:c>
      <x:c r="M730" s="80" t="n">
        <x:v>0.000002</x:v>
      </x:c>
      <x:c r="N730" s="82" t="n">
        <x:v>0.2931152811854669</x:v>
      </x:c>
      <x:c r="O730" s="82" t="n">
        <x:v>0.23140959382139364</x:v>
      </x:c>
      <x:c r="P730" s="80" t="n">
        <x:v>216.6041966199772</x:v>
      </x:c>
      <x:c r="Q730" s="81" t="n">
        <x:v>25960941474350.48</x:v>
      </x:c>
      <x:c r="R730" s="81" t="n">
        <x:v>1.6560404768259185</x:v>
      </x:c>
      <x:c r="S730" s="81" t="n">
        <x:v>1.0548253087896485e-10</x:v>
      </x:c>
      <x:c r="T730" s="81" t="n">
        <x:v>1.0980150902471966e-26</x:v>
      </x:c>
    </x:row>
    <x:row r="731">
      <x:c r="A731" s="59" t="n">
        <x:v>728</x:v>
      </x:c>
      <x:c r="B731" s="193" t="n">
        <x:v>0.20897737070918085</x:v>
      </x:c>
      <x:c r="C731" s="83" t="n">
        <x:v>0.4637165212252652</x:v>
      </x:c>
      <x:c r="D731" s="83" t="n">
        <x:v>0.41634745992230743</x:v>
      </x:c>
      <x:c r="E731" s="81" t="n">
        <x:v>-0.04949348132476881</x:v>
      </x:c>
      <x:c r="F731" s="81" t="n">
        <x:v>0.4995021097594872</x:v>
      </x:c>
      <x:c r="G731" s="81" t="n">
        <x:v>-0.024469477450477107</x:v>
      </x:c>
      <x:c r="H731" s="59" t="n">
        <x:v>0</x:v>
      </x:c>
      <x:c r="I731" s="81" t="n">
        <x:v>0</x:v>
      </x:c>
      <x:c r="J731" s="79" t="n">
        <x:v>2.99719823820484e-15</x:v>
      </x:c>
      <x:c r="K731" s="81" t="n">
        <x:v>-0.9999999999965746</x:v>
      </x:c>
      <x:c r="L731" s="81" t="n">
        <x:v>-0.9999999999965746</x:v>
      </x:c>
      <x:c r="M731" s="80" t="n">
        <x:v>0.014083650747685006</x:v>
      </x:c>
      <x:c r="N731" s="82" t="n">
        <x:v>0.15187607802862757</x:v>
      </x:c>
      <x:c r="O731" s="82" t="n">
        <x:v>0.07166343850832128</x:v>
      </x:c>
      <x:c r="P731" s="80" t="n">
        <x:v>386.236585394715</x:v>
      </x:c>
      <x:c r="Q731" s="81" t="n">
        <x:v>100.64300692614913</x:v>
      </x:c>
      <x:c r="R731" s="81" t="n">
        <x:v>12.918851412009383</x:v>
      </x:c>
      <x:c r="S731" s="81" t="n">
        <x:v>0.0000013373313324327759</x:v>
      </x:c>
      <x:c r="T731" s="81" t="n">
        <x:v>6.492585738019127e-11</x:v>
      </x:c>
    </x:row>
    <x:row r="732">
      <x:c r="A732" s="59" t="n">
        <x:v>729</x:v>
      </x:c>
      <x:c r="B732" s="193" t="n">
        <x:v>0.20758260283619168</x:v>
      </x:c>
      <x:c r="C732" s="83" t="n">
        <x:v>0.43552063414492953</x:v>
      </x:c>
      <x:c r="D732" s="83" t="n">
        <x:v>0.47392010268290985</x:v>
      </x:c>
      <x:c r="E732" s="81" t="n">
        <x:v>0.09619448025287852</x:v>
      </x:c>
      <x:c r="F732" s="81" t="n">
        <x:v>0.3097657042206265</x:v>
      </x:c>
      <x:c r="G732" s="81" t="n">
        <x:v>-0.022984514682807128</x:v>
      </x:c>
      <x:c r="H732" s="59" t="n">
        <x:v>0</x:v>
      </x:c>
      <x:c r="I732" s="81" t="n">
        <x:v>0</x:v>
      </x:c>
      <x:c r="J732" s="79" t="n">
        <x:v>0.005921804946089925</x:v>
      </x:c>
      <x:c r="K732" s="81" t="n">
        <x:v>5.7677770812456295</x:v>
      </x:c>
      <x:c r="L732" s="81" t="n">
        <x:v>-0.5652170482744452</x:v>
      </x:c>
      <x:c r="M732" s="80" t="n">
        <x:v>21861.493462972234</x:v>
      </x:c>
      <x:c r="N732" s="82" t="n">
        <x:v>0.15154381816938406</x:v>
      </x:c>
      <x:c r="O732" s="82" t="n">
        <x:v>0.04434477953417134</x:v>
      </x:c>
      <x:c r="P732" s="80" t="n">
        <x:v>19815.616082286477</x:v>
      </x:c>
      <x:c r="Q732" s="81" t="n">
        <x:v>0.00113480368742224</x:v>
      </x:c>
      <x:c r="R732" s="81" t="n">
        <x:v>340.19552217035977</x:v>
      </x:c>
      <x:c r="S732" s="81" t="n">
        <x:v>255.05939839252528</x:v>
      </x:c>
      <x:c r="T732" s="81" t="n">
        <x:v>128.27922373043546</x:v>
      </x:c>
    </x:row>
    <x:row r="733">
      <x:c r="A733" s="59" t="n">
        <x:v>730</x:v>
      </x:c>
      <x:c r="B733" s="193" t="n">
        <x:v>0.5391928384080529</x:v>
      </x:c>
      <x:c r="C733" s="83" t="n">
        <x:v>2.590976425931917</x:v>
      </x:c>
      <x:c r="D733" s="83" t="n">
        <x:v>2.3434641085403998</x:v>
      </x:c>
      <x:c r="E733" s="81" t="n">
        <x:v>0.05791407535339314</x:v>
      </x:c>
      <x:c r="F733" s="81" t="n">
        <x:v>0.6323993462952786</x:v>
      </x:c>
      <x:c r="G733" s="81" t="n">
        <x:v>-0.015831975214768784</x:v>
      </x:c>
      <x:c r="H733" s="59" t="n">
        <x:v>0</x:v>
      </x:c>
      <x:c r="I733" s="81" t="n">
        <x:v>0</x:v>
      </x:c>
      <x:c r="J733" s="79" t="n">
        <x:v>0.052897059813522156</x:v>
      </x:c>
      <x:c r="K733" s="81" t="n">
        <x:v>59.453782644025324</x:v>
      </x:c>
      <x:c r="L733" s="81" t="n">
        <x:v>-0.7492802840268273</x:v>
      </x:c>
      <x:c r="M733" s="80" t="n">
        <x:v>213858.78852050618</x:v>
      </x:c>
      <x:c r="N733" s="82" t="n">
        <x:v>0.23053959397451834</x:v>
      </x:c>
      <x:c r="O733" s="82" t="n">
        <x:v>0.13772344517858914</x:v>
      </x:c>
      <x:c r="P733" s="80" t="n">
        <x:v>720810.5318073079</x:v>
      </x:c>
      <x:c r="Q733" s="81" t="n">
        <x:v>0.006538544337677733</x:v>
      </x:c>
      <x:c r="R733" s="81" t="n">
        <x:v>563.9317210000258</x:v>
      </x:c>
      <x:c r="S733" s="81" t="n">
        <x:v>431.6658825573735</x:v>
      </x:c>
      <x:c r="T733" s="81" t="n">
        <x:v>1145.8658014363434</x:v>
      </x:c>
    </x:row>
    <x:row r="734">
      <x:c r="A734" s="59" t="n">
        <x:v>731</x:v>
      </x:c>
      <x:c r="B734" s="193" t="n">
        <x:v>0.5120045863091947</x:v>
      </x:c>
      <x:c r="C734" s="83" t="n">
        <x:v>1.7069270759686328</x:v>
      </x:c>
      <x:c r="D734" s="83" t="n">
        <x:v>0.7738514000348685</x:v>
      </x:c>
      <x:c r="E734" s="81" t="n">
        <x:v>-0.06972070183988331</x:v>
      </x:c>
      <x:c r="F734" s="81" t="n">
        <x:v>0.3543153125792742</x:v>
      </x:c>
      <x:c r="G734" s="81" t="n">
        <x:v>0.046665897825100784</x:v>
      </x:c>
      <x:c r="H734" s="59" t="n">
        <x:v>0</x:v>
      </x:c>
      <x:c r="I734" s="81" t="n">
        <x:v>0</x:v>
      </x:c>
      <x:c r="J734" s="79" t="n">
        <x:v>6.448110189438942e-35</x:v>
      </x:c>
      <x:c r="K734" s="81" t="n">
        <x:v>-1</x:v>
      </x:c>
      <x:c r="L734" s="81" t="n">
        <x:v>-1</x:v>
      </x:c>
      <x:c r="M734" s="80" t="n">
        <x:v>0.000002</x:v>
      </x:c>
      <x:c r="N734" s="82" t="n">
        <x:v>0.22406284254484346</x:v>
      </x:c>
      <x:c r="O734" s="82" t="n">
        <x:v>0.07499472292952024</x:v>
      </x:c>
      <x:c r="P734" s="80" t="n">
        <x:v>631.1048433723115</x:v>
      </x:c>
      <x:c r="Q734" s="81" t="n">
        <x:v>480696545425261700</x:v>
      </x:c>
      <x:c r="R734" s="81" t="n">
        <x:v>2.1259916972898716</x:v>
      </x:c>
      <x:c r="S734" s="81" t="n">
        <x:v>4.361976891231549e-10</x:v>
      </x:c>
      <x:c r="T734" s="81" t="n">
        <x:v>1.3968014434107603e-30</x:v>
      </x:c>
    </x:row>
    <x:row r="735">
      <x:c r="A735" s="59" t="n">
        <x:v>732</x:v>
      </x:c>
      <x:c r="B735" s="193" t="n">
        <x:v>0.9689433569088579</x:v>
      </x:c>
      <x:c r="C735" s="83" t="n">
        <x:v>1.0461489569341436</x:v>
      </x:c>
      <x:c r="D735" s="83" t="n">
        <x:v>1.0337173553409889</x:v>
      </x:c>
      <x:c r="E735" s="81" t="n">
        <x:v>0.17725256266953332</x:v>
      </x:c>
      <x:c r="F735" s="81" t="n">
        <x:v>0.46198824925813825</x:v>
      </x:c>
      <x:c r="G735" s="81" t="n">
        <x:v>0.04501417733528679</x:v>
      </x:c>
      <x:c r="H735" s="59" t="n">
        <x:v>0</x:v>
      </x:c>
      <x:c r="I735" s="81" t="n">
        <x:v>0</x:v>
      </x:c>
      <x:c r="J735" s="79" t="n">
        <x:v>0.11958840299446095</x:v>
      </x:c>
      <x:c r="K735" s="81" t="n">
        <x:v>135.67246056509825</x:v>
      </x:c>
      <x:c r="L735" s="81" t="n">
        <x:v>-0.781437840754771</x:v>
      </x:c>
      <x:c r="M735" s="80" t="n">
        <x:v>241967.98631229997</x:v>
      </x:c>
      <x:c r="N735" s="82" t="n">
        <x:v>0.33291422530363196</x:v>
      </x:c>
      <x:c r="O735" s="82" t="n">
        <x:v>0.14528949826376705</x:v>
      </x:c>
      <x:c r="P735" s="80" t="n">
        <x:v>378121.3134824186</x:v>
      </x:c>
      <x:c r="Q735" s="81" t="n">
        <x:v>0.002672811742127989</x:v>
      </x:c>
      <x:c r="R735" s="81" t="n">
        <x:v>895.3602301997959</x:v>
      </x:c>
      <x:c r="S735" s="81" t="n">
        <x:v>2223.3019801579153</x:v>
      </x:c>
      <x:c r="T735" s="81" t="n">
        <x:v>2590.5458965549287</x:v>
      </x:c>
    </x:row>
    <x:row r="736">
      <x:c r="A736" s="59" t="n">
        <x:v>733</x:v>
      </x:c>
      <x:c r="B736" s="193" t="n">
        <x:v>0.45090157724916935</x:v>
      </x:c>
      <x:c r="C736" s="83" t="n">
        <x:v>1.9124759869159405</x:v>
      </x:c>
      <x:c r="D736" s="83" t="n">
        <x:v>0.4022054877343877</x:v>
      </x:c>
      <x:c r="E736" s="81" t="n">
        <x:v>-0.11145176516873724</x:v>
      </x:c>
      <x:c r="F736" s="81" t="n">
        <x:v>0.7936596076702699</x:v>
      </x:c>
      <x:c r="G736" s="81" t="n">
        <x:v>-0.013405449942283047</x:v>
      </x:c>
      <x:c r="H736" s="59" t="n">
        <x:v>63</x:v>
      </x:c>
      <x:c r="I736" s="81" t="n">
        <x:v>0.4069734356366098</x:v>
      </x:c>
      <x:c r="J736" s="79" t="n">
        <x:v>2.77026663059791e-26</x:v>
      </x:c>
      <x:c r="K736" s="81" t="n">
        <x:v>-1</x:v>
      </x:c>
      <x:c r="L736" s="81" t="n">
        <x:v>-1</x:v>
      </x:c>
      <x:c r="M736" s="80" t="n">
        <x:v>0.000002</x:v>
      </x:c>
      <x:c r="N736" s="82" t="n">
        <x:v>0.2095069601053256</x:v>
      </x:c>
      <x:c r="O736" s="82" t="n">
        <x:v>0.15707377277074022</x:v>
      </x:c>
      <x:c r="P736" s="80" t="n">
        <x:v>400.1547985915422</x:v>
      </x:c>
      <x:c r="Q736" s="81" t="n">
        <x:v>727238561.3977033</x:v>
      </x:c>
      <x:c r="R736" s="81" t="n">
        <x:v>1.9280131701043783</x:v>
      </x:c>
      <x:c r="S736" s="81" t="n">
        <x:v>1.0265436207239111e-10</x:v>
      </x:c>
      <x:c r="T736" s="81" t="n">
        <x:v>6.001002331798729e-22</x:v>
      </x:c>
    </x:row>
    <x:row r="737">
      <x:c r="A737" s="59" t="n">
        <x:v>734</x:v>
      </x:c>
      <x:c r="B737" s="193" t="n">
        <x:v>0.24643333461135628</x:v>
      </x:c>
      <x:c r="C737" s="83" t="n">
        <x:v>0.8732853150555382</x:v>
      </x:c>
      <x:c r="D737" s="83" t="n">
        <x:v>1.1019206199243967</x:v>
      </x:c>
      <x:c r="E737" s="81" t="n">
        <x:v>-0.03143775997200326</x:v>
      </x:c>
      <x:c r="F737" s="81" t="n">
        <x:v>0.6419451393419877</x:v>
      </x:c>
      <x:c r="G737" s="81" t="n">
        <x:v>0.0051668265113486884</x:v>
      </x:c>
      <x:c r="H737" s="59" t="n">
        <x:v>0</x:v>
      </x:c>
      <x:c r="I737" s="81" t="n">
        <x:v>0</x:v>
      </x:c>
      <x:c r="J737" s="79" t="n">
        <x:v>1.729827626194594e-24</x:v>
      </x:c>
      <x:c r="K737" s="81" t="n">
        <x:v>-1</x:v>
      </x:c>
      <x:c r="L737" s="81" t="n">
        <x:v>-1</x:v>
      </x:c>
      <x:c r="M737" s="80" t="n">
        <x:v>0.000002</x:v>
      </x:c>
      <x:c r="N737" s="82" t="n">
        <x:v>0.160798790929449</x:v>
      </x:c>
      <x:c r="O737" s="82" t="n">
        <x:v>0.09751055663026933</x:v>
      </x:c>
      <x:c r="P737" s="80" t="n">
        <x:v>866.6969894798262</x:v>
      </x:c>
      <x:c r="Q737" s="81" t="n">
        <x:v>38316285.88659546</x:v>
      </x:c>
      <x:c r="R737" s="81" t="n">
        <x:v>5.424969230183161</x:v>
      </x:c>
      <x:c r="S737" s="81" t="n">
        <x:v>5.486321803936215e-10</x:v>
      </x:c>
      <x:c r="T737" s="81" t="n">
        <x:v>3.747184297622335e-20</x:v>
      </x:c>
    </x:row>
    <x:row r="738">
      <x:c r="A738" s="59" t="n">
        <x:v>735</x:v>
      </x:c>
      <x:c r="B738" s="193" t="n">
        <x:v>0.9483342504128813</x:v>
      </x:c>
      <x:c r="C738" s="83" t="n">
        <x:v>1.3076977841136446</x:v>
      </x:c>
      <x:c r="D738" s="83" t="n">
        <x:v>0.43116524106654386</x:v>
      </x:c>
      <x:c r="E738" s="81" t="n">
        <x:v>-0.061333536803507775</x:v>
      </x:c>
      <x:c r="F738" s="81" t="n">
        <x:v>0.28841793520841746</x:v>
      </x:c>
      <x:c r="G738" s="81" t="n">
        <x:v>-0.021234884063877996</x:v>
      </x:c>
      <x:c r="H738" s="59" t="n">
        <x:v>0</x:v>
      </x:c>
      <x:c r="I738" s="81" t="n">
        <x:v>0</x:v>
      </x:c>
      <x:c r="J738" s="79" t="n">
        <x:v>2.189079567088171e-18</x:v>
      </x:c>
      <x:c r="K738" s="81" t="n">
        <x:v>-0.9999999999999974</x:v>
      </x:c>
      <x:c r="L738" s="81" t="n">
        <x:v>-0.9999999999999974</x:v>
      </x:c>
      <x:c r="M738" s="80" t="n">
        <x:v>0.0006063738554737553</x:v>
      </x:c>
      <x:c r="N738" s="82" t="n">
        <x:v>0.3280047497155435</x:v>
      </x:c>
      <x:c r="O738" s="82" t="n">
        <x:v>0.08936620956010728</x:v>
      </x:c>
      <x:c r="P738" s="80" t="n">
        <x:v>535.9299447594332</x:v>
      </x:c>
      <x:c r="Q738" s="81" t="n">
        <x:v>4841.693988464777</x:v>
      </x:c>
      <x:c r="R738" s="81" t="n">
        <x:v>4.289801097461313</x:v>
      </x:c>
      <x:c r="S738" s="81" t="n">
        <x:v>3.9759212216338244e-8</x:v>
      </x:c>
      <x:c r="T738" s="81" t="n">
        <x:v>4.7420242663623186e-14</x:v>
      </x:c>
    </x:row>
    <x:row r="739">
      <x:c r="A739" s="59" t="n">
        <x:v>736</x:v>
      </x:c>
      <x:c r="B739" s="193" t="n">
        <x:v>0.8442659053951502</x:v>
      </x:c>
      <x:c r="C739" s="83" t="n">
        <x:v>0.37099174347693964</x:v>
      </x:c>
      <x:c r="D739" s="83" t="n">
        <x:v>0.6210844929305422</x:v>
      </x:c>
      <x:c r="E739" s="81" t="n">
        <x:v>0.060276333680145795</x:v>
      </x:c>
      <x:c r="F739" s="81" t="n">
        <x:v>0.8453609315794893</x:v>
      </x:c>
      <x:c r="G739" s="81" t="n">
        <x:v>0.01477938237599155</x:v>
      </x:c>
      <x:c r="H739" s="59" t="n">
        <x:v>0</x:v>
      </x:c>
      <x:c r="I739" s="81" t="n">
        <x:v>0</x:v>
      </x:c>
      <x:c r="J739" s="79" t="n">
        <x:v>0.00029305380140570014</x:v>
      </x:c>
      <x:c r="K739" s="81" t="n">
        <x:v>-0.665081369822057</x:v>
      </x:c>
      <x:c r="L739" s="81" t="n">
        <x:v>-0.8740283976600678</x:v>
      </x:c>
      <x:c r="M739" s="80" t="n">
        <x:v>4687.456351891197</x:v>
      </x:c>
      <x:c r="N739" s="82" t="n">
        <x:v>0.30321371865085084</x:v>
      </x:c>
      <x:c r="O739" s="82" t="n">
        <x:v>0.24213744837863496</x:v>
      </x:c>
      <x:c r="P739" s="80" t="n">
        <x:v>6109.102771032156</x:v>
      </x:c>
      <x:c r="Q739" s="81" t="n">
        <x:v>0.009099115071420623</x:v>
      </x:c>
      <x:c r="R739" s="81" t="n">
        <x:v>53.74559679528392</x:v>
      </x:c>
      <x:c r="S739" s="81" t="n">
        <x:v>15.836908296173483</x:v>
      </x:c>
      <x:c r="T739" s="81" t="n">
        <x:v>6.3481851391269295</x:v>
      </x:c>
    </x:row>
    <x:row r="740">
      <x:c r="A740" s="59" t="n">
        <x:v>737</x:v>
      </x:c>
      <x:c r="B740" s="193" t="n">
        <x:v>0.9093563664704563</x:v>
      </x:c>
      <x:c r="C740" s="83" t="n">
        <x:v>0.4246745307247043</x:v>
      </x:c>
      <x:c r="D740" s="83" t="n">
        <x:v>0.4372466126398032</x:v>
      </x:c>
      <x:c r="E740" s="81" t="n">
        <x:v>0.05099338564623849</x:v>
      </x:c>
      <x:c r="F740" s="81" t="n">
        <x:v>0.8476697748876177</x:v>
      </x:c>
      <x:c r="G740" s="81" t="n">
        <x:v>0.0014718339897098554</x:v>
      </x:c>
      <x:c r="H740" s="59" t="n">
        <x:v>0</x:v>
      </x:c>
      <x:c r="I740" s="81" t="n">
        <x:v>0</x:v>
      </x:c>
      <x:c r="J740" s="79" t="n">
        <x:v>0.00006899943448700288</x:v>
      </x:c>
      <x:c r="K740" s="81" t="n">
        <x:v>-0.9211435034434252</x:v>
      </x:c>
      <x:c r="L740" s="81" t="n">
        <x:v>-0.9448062264103895</x:v>
      </x:c>
      <x:c r="M740" s="80" t="n">
        <x:v>2205.3439325979884</x:v>
      </x:c>
      <x:c r="N740" s="82" t="n">
        <x:v>0.318719486925134</x:v>
      </x:c>
      <x:c r="O740" s="82" t="n">
        <x:v>0.2552150360669186</x:v>
      </x:c>
      <x:c r="P740" s="80" t="n">
        <x:v>2359.0931954635776</x:v>
      </x:c>
      <x:c r="Q740" s="81" t="n">
        <x:v>0.010599350601658817</x:v>
      </x:c>
      <x:c r="R740" s="81" t="n">
        <x:v>30.421187821836394</x:v>
      </x:c>
      <x:c r="S740" s="81" t="n">
        <x:v>3.3326922177619016</x:v>
      </x:c>
      <x:c r="T740" s="81" t="n">
        <x:v>1.494678391877137</x:v>
      </x:c>
    </x:row>
    <x:row r="741">
      <x:c r="A741" s="59" t="n">
        <x:v>738</x:v>
      </x:c>
      <x:c r="B741" s="193" t="n">
        <x:v>0.9095748091116549</x:v>
      </x:c>
      <x:c r="C741" s="83" t="n">
        <x:v>0.2835640224009777</x:v>
      </x:c>
      <x:c r="D741" s="83" t="n">
        <x:v>0.7872838967436178</x:v>
      </x:c>
      <x:c r="E741" s="81" t="n">
        <x:v>0.04599841895124856</x:v>
      </x:c>
      <x:c r="F741" s="81" t="n">
        <x:v>0.36704455367289485</x:v>
      </x:c>
      <x:c r="G741" s="81" t="n">
        <x:v>-0.009373679220102014</x:v>
      </x:c>
      <x:c r="H741" s="59" t="n">
        <x:v>0</x:v>
      </x:c>
      <x:c r="I741" s="81" t="n">
        <x:v>0</x:v>
      </x:c>
      <x:c r="J741" s="79" t="n">
        <x:v>0.0006466906146590207</x:v>
      </x:c>
      <x:c r="K741" s="81" t="n">
        <x:v>-0.260925011818262</x:v>
      </x:c>
      <x:c r="L741" s="81" t="n">
        <x:v>-0.7665519432042173</x:v>
      </x:c>
      <x:c r="M741" s="80" t="n">
        <x:v>6347.2805172960825</x:v>
      </x:c>
      <x:c r="N741" s="82" t="n">
        <x:v>0.3187715240580671</x:v>
      </x:c>
      <x:c r="O741" s="82" t="n">
        <x:v>0.11052721954436308</x:v>
      </x:c>
      <x:c r="P741" s="80" t="n">
        <x:v>10135.29888612724</x:v>
      </x:c>
      <x:c r="Q741" s="81" t="n">
        <x:v>0.0053427135375215635</x:v>
      </x:c>
      <x:c r="R741" s="81" t="n">
        <x:v>139.0832378531081</x:v>
      </x:c>
      <x:c r="S741" s="81" t="n">
        <x:v>43.929026410650394</x:v>
      </x:c>
      <x:c r="T741" s="81" t="n">
        <x:v>14.008730580866656</x:v>
      </x:c>
    </x:row>
    <x:row r="742">
      <x:c r="A742" s="59" t="n">
        <x:v>739</x:v>
      </x:c>
      <x:c r="B742" s="193" t="n">
        <x:v>0.8343042466789485</x:v>
      </x:c>
      <x:c r="C742" s="83" t="n">
        <x:v>0.5520623487786434</x:v>
      </x:c>
      <x:c r="D742" s="83" t="n">
        <x:v>0.43134803560446894</x:v>
      </x:c>
      <x:c r="E742" s="81" t="n">
        <x:v>0.07243541988406267</x:v>
      </x:c>
      <x:c r="F742" s="81" t="n">
        <x:v>0.7585606127162464</x:v>
      </x:c>
      <x:c r="G742" s="81" t="n">
        <x:v>-0.003010895214540419</x:v>
      </x:c>
      <x:c r="H742" s="59" t="n">
        <x:v>81</x:v>
      </x:c>
      <x:c r="I742" s="81" t="n">
        <x:v>0.3657866255380213</x:v>
      </x:c>
      <x:c r="J742" s="79" t="n">
        <x:v>0.00021123440142789684</x:v>
      </x:c>
      <x:c r="K742" s="81" t="n">
        <x:v>-0.758589255510975</x:v>
      </x:c>
      <x:c r="L742" s="81" t="n">
        <x:v>-0.9106635678398709</x:v>
      </x:c>
      <x:c r="M742" s="80" t="n">
        <x:v>4333.854819363283</x:v>
      </x:c>
      <x:c r="N742" s="82" t="n">
        <x:v>0.3008406647635507</x:v>
      </x:c>
      <x:c r="O742" s="82" t="n">
        <x:v>0.21557469001424878</x:v>
      </x:c>
      <x:c r="P742" s="80" t="n">
        <x:v>4123.863311204124</x:v>
      </x:c>
      <x:c r="Q742" s="81" t="n">
        <x:v>0.006716070125910544</x:v>
      </x:c>
      <x:c r="R742" s="81" t="n">
        <x:v>38.55839293204939</x:v>
      </x:c>
      <x:c r="S742" s="81" t="n">
        <x:v>7.6467041108704406</x:v>
      </x:c>
      <x:c r="T742" s="81" t="n">
        <x:v>4.575798305924532</x:v>
      </x:c>
    </x:row>
    <x:row r="743">
      <x:c r="A743" s="59" t="n">
        <x:v>740</x:v>
      </x:c>
      <x:c r="B743" s="193" t="n">
        <x:v>0.5765276908874513</x:v>
      </x:c>
      <x:c r="C743" s="83" t="n">
        <x:v>1.2983120154823309</x:v>
      </x:c>
      <x:c r="D743" s="83" t="n">
        <x:v>0.9115005806974228</x:v>
      </x:c>
      <x:c r="E743" s="81" t="n">
        <x:v>0.05240601332656675</x:v>
      </x:c>
      <x:c r="F743" s="81" t="n">
        <x:v>0.4820435915607959</x:v>
      </x:c>
      <x:c r="G743" s="81" t="n">
        <x:v>-0.026204327209118212</x:v>
      </x:c>
      <x:c r="H743" s="59" t="n">
        <x:v>0</x:v>
      </x:c>
      <x:c r="I743" s="81" t="n">
        <x:v>0</x:v>
      </x:c>
      <x:c r="J743" s="79" t="n">
        <x:v>0.0025765454689178667</x:v>
      </x:c>
      <x:c r="K743" s="81" t="n">
        <x:v>1.9446233930489907</x:v>
      </x:c>
      <x:c r="L743" s="81" t="n">
        <x:v>-0.6646449798513362</x:v>
      </x:c>
      <x:c r="M743" s="80" t="n">
        <x:v>23209.93885748512</x:v>
      </x:c>
      <x:c r="N743" s="82" t="n">
        <x:v>0.2394334558635952</x:v>
      </x:c>
      <x:c r="O743" s="82" t="n">
        <x:v>0.10902901521076555</x:v>
      </x:c>
      <x:c r="P743" s="80" t="n">
        <x:v>39980.01252567211</x:v>
      </x:c>
      <x:c r="Q743" s="81" t="n">
        <x:v>0.004833400831581618</x:v>
      </x:c>
      <x:c r="R743" s="81" t="n">
        <x:v>86.74700636227782</x:v>
      </x:c>
      <x:c r="S743" s="81" t="n">
        <x:v>39.90815867985166</x:v>
      </x:c>
      <x:c r="T743" s="81" t="n">
        <x:v>55.81360002024216</x:v>
      </x:c>
    </x:row>
    <x:row r="744">
      <x:c r="A744" s="59" t="n">
        <x:v>741</x:v>
      </x:c>
      <x:c r="B744" s="193" t="n">
        <x:v>0.2735105009749532</x:v>
      </x:c>
      <x:c r="C744" s="83" t="n">
        <x:v>0.21051861731835253</x:v>
      </x:c>
      <x:c r="D744" s="83" t="n">
        <x:v>0.803327169816638</x:v>
      </x:c>
      <x:c r="E744" s="81" t="n">
        <x:v>-0.07943959838407824</x:v>
      </x:c>
      <x:c r="F744" s="81" t="n">
        <x:v>0.44772285320796074</x:v>
      </x:c>
      <x:c r="G744" s="81" t="n">
        <x:v>-0.028406852079614305</x:v>
      </x:c>
      <x:c r="H744" s="59" t="n">
        <x:v>0</x:v>
      </x:c>
      <x:c r="I744" s="81" t="n">
        <x:v>0</x:v>
      </x:c>
      <x:c r="J744" s="79" t="n">
        <x:v>1.8316325824550107e-29</x:v>
      </x:c>
      <x:c r="K744" s="81" t="n">
        <x:v>-1</x:v>
      </x:c>
      <x:c r="L744" s="81" t="n">
        <x:v>-1</x:v>
      </x:c>
      <x:c r="M744" s="80" t="n">
        <x:v>0.000002</x:v>
      </x:c>
      <x:c r="N744" s="82" t="n">
        <x:v>0.16724907965412694</x:v>
      </x:c>
      <x:c r="O744" s="82" t="n">
        <x:v>0.07073656088194658</x:v>
      </x:c>
      <x:c r="P744" s="80" t="n">
        <x:v>246.0553627328435</x:v>
      </x:c>
      <x:c r="Q744" s="81" t="n">
        <x:v>1498710487891.361</x:v>
      </x:c>
      <x:c r="R744" s="81" t="n">
        <x:v>10.976659437508927</x:v>
      </x:c>
      <x:c r="S744" s="81" t="n">
        <x:v>4.094043779942009e-10</x:v>
      </x:c>
      <x:c r="T744" s="81" t="n">
        <x:v>3.9677160591356907e-25</x:v>
      </x:c>
    </x:row>
    <x:row r="745">
      <x:c r="A745" s="59" t="n">
        <x:v>742</x:v>
      </x:c>
      <x:c r="B745" s="193" t="n">
        <x:v>0.3939520280808211</x:v>
      </x:c>
      <x:c r="C745" s="83" t="n">
        <x:v>0.12255142520049661</x:v>
      </x:c>
      <x:c r="D745" s="83" t="n">
        <x:v>2.4880038814266587</x:v>
      </x:c>
      <x:c r="E745" s="81" t="n">
        <x:v>0.004758983910940887</x:v>
      </x:c>
      <x:c r="F745" s="81" t="n">
        <x:v>0.2803898459067568</x:v>
      </x:c>
      <x:c r="G745" s="81" t="n">
        <x:v>-0.0005393472199121313</x:v>
      </x:c>
      <x:c r="H745" s="59" t="n">
        <x:v>0</x:v>
      </x:c>
      <x:c r="I745" s="81" t="n">
        <x:v>0</x:v>
      </x:c>
      <x:c r="J745" s="79" t="n">
        <x:v>0.0002602386043249495</x:v>
      </x:c>
      <x:c r="K745" s="81" t="n">
        <x:v>-0.7025844522000577</x:v>
      </x:c>
      <x:c r="L745" s="81" t="n">
        <x:v>-0.7936979471741517</x:v>
      </x:c>
      <x:c r="M745" s="80" t="n">
        <x:v>3224.583746856747</x:v>
      </x:c>
      <x:c r="N745" s="82" t="n">
        <x:v>0.19594050968937815</x:v>
      </x:c>
      <x:c r="O745" s="82" t="n">
        <x:v>0.05189881684734266</x:v>
      </x:c>
      <x:c r="P745" s="80" t="n">
        <x:v>18736.364078444753</x:v>
      </x:c>
      <x:c r="Q745" s="81" t="n">
        <x:v>0.021392285514597816</x:v>
      </x:c>
      <x:c r="R745" s="81" t="n">
        <x:v>184.7899457006578</x:v>
      </x:c>
      <x:c r="S745" s="81" t="n">
        <x:v>42.54987707028754</x:v>
      </x:c>
      <x:c r="T745" s="81" t="n">
        <x:v>5.637336327590268</x:v>
      </x:c>
    </x:row>
    <x:row r="746">
      <x:c r="A746" s="59" t="n">
        <x:v>743</x:v>
      </x:c>
      <x:c r="B746" s="193" t="n">
        <x:v>0.6497983328998089</x:v>
      </x:c>
      <x:c r="C746" s="83" t="n">
        <x:v>2.919549913362702</x:v>
      </x:c>
      <x:c r="D746" s="83" t="n">
        <x:v>0.3164607325606219</x:v>
      </x:c>
      <x:c r="E746" s="81" t="n">
        <x:v>0.08676884179156032</x:v>
      </x:c>
      <x:c r="F746" s="81" t="n">
        <x:v>0.7426583104883321</x:v>
      </x:c>
      <x:c r="G746" s="81" t="n">
        <x:v>-0.013908709159776392</x:v>
      </x:c>
      <x:c r="H746" s="59" t="n">
        <x:v>0</x:v>
      </x:c>
      <x:c r="I746" s="81" t="n">
        <x:v>0</x:v>
      </x:c>
      <x:c r="J746" s="79" t="n">
        <x:v>0.0011279978939636609</x:v>
      </x:c>
      <x:c r="K746" s="81" t="n">
        <x:v>0.2891404502441839</x:v>
      </x:c>
      <x:c r="L746" s="81" t="n">
        <x:v>-0.6397198988302668</x:v>
      </x:c>
      <x:c r="M746" s="80" t="n">
        <x:v>24701.20844713775</x:v>
      </x:c>
      <x:c r="N746" s="82" t="n">
        <x:v>0.25688789661547634</x:v>
      </x:c>
      <x:c r="O746" s="82" t="n">
        <x:v>0.18022026745875555</x:v>
      </x:c>
      <x:c r="P746" s="80" t="n">
        <x:v>16532.81944059306</x:v>
      </x:c>
      <x:c r="Q746" s="81" t="n">
        <x:v>0.004761855680808515</x:v>
      </x:c>
      <x:c r="R746" s="81" t="n">
        <x:v>16.87024827745221</x:v>
      </x:c>
      <x:c r="S746" s="81" t="n">
        <x:v>7.970575260545884</x:v>
      </x:c>
      <x:c r="T746" s="81" t="n">
        <x:v>24.434897049887933</x:v>
      </x:c>
    </x:row>
    <x:row r="747">
      <x:c r="A747" s="59" t="n">
        <x:v>744</x:v>
      </x:c>
      <x:c r="B747" s="193" t="n">
        <x:v>0.3748485701158643</x:v>
      </x:c>
      <x:c r="C747" s="83" t="n">
        <x:v>2.0131765138671778</x:v>
      </x:c>
      <x:c r="D747" s="83" t="n">
        <x:v>0.9102556307619848</x:v>
      </x:c>
      <x:c r="E747" s="81" t="n">
        <x:v>-0.001211520558774168</x:v>
      </x:c>
      <x:c r="F747" s="81" t="n">
        <x:v>0.8093020931584761</x:v>
      </x:c>
      <x:c r="G747" s="81" t="n">
        <x:v>0.0016862969872862858</x:v>
      </x:c>
      <x:c r="H747" s="59" t="n">
        <x:v>0</x:v>
      </x:c>
      <x:c r="I747" s="81" t="n">
        <x:v>0</x:v>
      </x:c>
      <x:c r="J747" s="79" t="n">
        <x:v>0.0000011446754973010728</x:v>
      </x:c>
      <x:c r="K747" s="81" t="n">
        <x:v>-0.9986917994316559</x:v>
      </x:c>
      <x:c r="L747" s="81" t="n">
        <x:v>-0.9986917994316559</x:v>
      </x:c>
      <x:c r="M747" s="80" t="n">
        <x:v>550.3545680059385</x:v>
      </x:c>
      <x:c r="N747" s="82" t="n">
        <x:v>0.19138970781228845</x:v>
      </x:c>
      <x:c r="O747" s="82" t="n">
        <x:v>0.14631881825667614</x:v>
      </x:c>
      <x:c r="P747" s="80" t="n">
        <x:v>5522.948195884738</x:v>
      </x:c>
      <x:c r="Q747" s="81" t="n">
        <x:v>0.1442646921611541</x:v>
      </x:c>
      <x:c r="R747" s="81" t="n">
        <x:v>7.487808020289445</x:v>
      </x:c>
      <x:c r="S747" s="81" t="n">
        <x:v>0.08523751792174283</x:v>
      </x:c>
      <x:c r="T747" s="81" t="n">
        <x:v>0.02479617034903972</x:v>
      </x:c>
    </x:row>
    <x:row r="748">
      <x:c r="A748" s="59" t="n">
        <x:v>745</x:v>
      </x:c>
      <x:c r="B748" s="193" t="n">
        <x:v>0.8929781099781395</x:v>
      </x:c>
      <x:c r="C748" s="83" t="n">
        <x:v>0.17648239471867322</x:v>
      </x:c>
      <x:c r="D748" s="83" t="n">
        <x:v>0.36450398017507524</x:v>
      </x:c>
      <x:c r="E748" s="81" t="n">
        <x:v>-0.09790665653136076</x:v>
      </x:c>
      <x:c r="F748" s="81" t="n">
        <x:v>0.27581383179640395</x:v>
      </x:c>
      <x:c r="G748" s="81" t="n">
        <x:v>0.00940023655826893</x:v>
      </x:c>
      <x:c r="H748" s="59" t="n">
        <x:v>0</x:v>
      </x:c>
      <x:c r="I748" s="81" t="n">
        <x:v>0</x:v>
      </x:c>
      <x:c r="J748" s="79" t="n">
        <x:v>6.418706570086868e-25</x:v>
      </x:c>
      <x:c r="K748" s="81" t="n">
        <x:v>-1</x:v>
      </x:c>
      <x:c r="L748" s="81" t="n">
        <x:v>-1</x:v>
      </x:c>
      <x:c r="M748" s="80" t="n">
        <x:v>0.000002</x:v>
      </x:c>
      <x:c r="N748" s="82" t="n">
        <x:v>0.31481787913635567</x:v>
      </x:c>
      <x:c r="O748" s="82" t="n">
        <x:v>0.08202502520683567</x:v>
      </x:c>
      <x:c r="P748" s="80" t="n">
        <x:v>172.38653123056397</x:v>
      </x:c>
      <x:c r="Q748" s="81" t="n">
        <x:v>35293967.13299748</x:v>
      </x:c>
      <x:c r="R748" s="81" t="n">
        <x:v>20.81787272283554</x:v>
      </x:c>
      <x:c r="S748" s="81" t="n">
        <x:v>3.0412982243165663e-10</x:v>
      </x:c>
      <x:c r="T748" s="81" t="n">
        <x:v>1.390431977513644e-20</x:v>
      </x:c>
    </x:row>
    <x:row r="749">
      <x:c r="A749" s="59" t="n">
        <x:v>746</x:v>
      </x:c>
      <x:c r="B749" s="193" t="n">
        <x:v>0.34306322392076255</x:v>
      </x:c>
      <x:c r="C749" s="83" t="n">
        <x:v>0.11666142238609299</x:v>
      </x:c>
      <x:c r="D749" s="83" t="n">
        <x:v>1.1268280729077271</x:v>
      </x:c>
      <x:c r="E749" s="81" t="n">
        <x:v>-0.03274492422623205</x:v>
      </x:c>
      <x:c r="F749" s="81" t="n">
        <x:v>0.39308755602687595</x:v>
      </x:c>
      <x:c r="G749" s="81" t="n">
        <x:v>0.002012529739421926</x:v>
      </x:c>
      <x:c r="H749" s="59" t="n">
        <x:v>0</x:v>
      </x:c>
      <x:c r="I749" s="81" t="n">
        <x:v>0</x:v>
      </x:c>
      <x:c r="J749" s="79" t="n">
        <x:v>9.622773545442822e-25</x:v>
      </x:c>
      <x:c r="K749" s="81" t="n">
        <x:v>-1</x:v>
      </x:c>
      <x:c r="L749" s="81" t="n">
        <x:v>-1</x:v>
      </x:c>
      <x:c r="M749" s="80" t="n">
        <x:v>0.000002</x:v>
      </x:c>
      <x:c r="N749" s="82" t="n">
        <x:v>0.18381784237337398</x:v>
      </x:c>
      <x:c r="O749" s="82" t="n">
        <x:v>0.0682571108166079</x:v>
      </x:c>
      <x:c r="P749" s="80" t="n">
        <x:v>494.3533927455641</x:v>
      </x:c>
      <x:c r="Q749" s="81" t="n">
        <x:v>66213053.264109306</x:v>
      </x:c>
      <x:c r="R749" s="81" t="n">
        <x:v>31.784688542399003</x:v>
      </x:c>
      <x:c r="S749" s="81" t="n">
        <x:v>9.058652580535123e-10</x:v>
      </x:c>
      <x:c r="T749" s="81" t="n">
        <x:v>2.084502836180431e-20</x:v>
      </x:c>
    </x:row>
    <x:row r="750">
      <x:c r="A750" s="59" t="n">
        <x:v>747</x:v>
      </x:c>
      <x:c r="B750" s="193" t="n">
        <x:v>0.8670033743605019</x:v>
      </x:c>
      <x:c r="C750" s="83" t="n">
        <x:v>0.8153910660340715</x:v>
      </x:c>
      <x:c r="D750" s="83" t="n">
        <x:v>0.5777365934338949</x:v>
      </x:c>
      <x:c r="E750" s="81" t="n">
        <x:v>-0.026982951637897365</x:v>
      </x:c>
      <x:c r="F750" s="81" t="n">
        <x:v>0.37491536962334066</x:v>
      </x:c>
      <x:c r="G750" s="81" t="n">
        <x:v>-0.011914508929373858</x:v>
      </x:c>
      <x:c r="H750" s="59" t="n">
        <x:v>0</x:v>
      </x:c>
      <x:c r="I750" s="81" t="n">
        <x:v>0</x:v>
      </x:c>
      <x:c r="J750" s="79" t="n">
        <x:v>1.703491821134165e-13</x:v>
      </x:c>
      <x:c r="K750" s="81" t="n">
        <x:v>-0.9999999998053152</x:v>
      </x:c>
      <x:c r="L750" s="81" t="n">
        <x:v>-0.9999999998053152</x:v>
      </x:c>
      <x:c r="M750" s="80" t="n">
        <x:v>0.1309147766562956</x:v>
      </x:c>
      <x:c r="N750" s="82" t="n">
        <x:v>0.30863021008594077</x:v>
      </x:c>
      <x:c r="O750" s="82" t="n">
        <x:v>0.10930565246402228</x:v>
      </x:c>
      <x:c r="P750" s="80" t="n">
        <x:v>772.9720527893742</x:v>
      </x:c>
      <x:c r="Q750" s="81" t="n">
        <x:v>29.536888532848195</x:v>
      </x:c>
      <x:c r="R750" s="81" t="n">
        <x:v>8.655305231377586</x:v>
      </x:c>
      <x:c r="S750" s="81" t="n">
        <x:v>0.00001619675608568498</x:v>
      </x:c>
      <x:c r="T750" s="81" t="n">
        <x:v>3.690135194177977e-9</x:v>
      </x:c>
    </x:row>
    <x:row r="751">
      <x:c r="A751" s="59" t="n">
        <x:v>748</x:v>
      </x:c>
      <x:c r="B751" s="193" t="n">
        <x:v>0.244581014290452</x:v>
      </x:c>
      <x:c r="C751" s="83" t="n">
        <x:v>1.6795194738239037</x:v>
      </x:c>
      <x:c r="D751" s="83" t="n">
        <x:v>0.47539901859325895</x:v>
      </x:c>
      <x:c r="E751" s="81" t="n">
        <x:v>0.04684975930607852</x:v>
      </x:c>
      <x:c r="F751" s="81" t="n">
        <x:v>0.5146572654251941</x:v>
      </x:c>
      <x:c r="G751" s="81" t="n">
        <x:v>0.04127316486388388</x:v>
      </x:c>
      <x:c r="H751" s="59" t="n">
        <x:v>0</x:v>
      </x:c>
      <x:c r="I751" s="81" t="n">
        <x:v>0</x:v>
      </x:c>
      <x:c r="J751" s="79" t="n">
        <x:v>0.006471307511924927</x:v>
      </x:c>
      <x:c r="K751" s="81" t="n">
        <x:v>6.395780013628489</x:v>
      </x:c>
      <x:c r="L751" s="81" t="n">
        <x:v>-0.3626761693401718</x:v>
      </x:c>
      <x:c r="M751" s="80" t="n">
        <x:v>40908.26397721251</x:v>
      </x:c>
      <x:c r="N751" s="82" t="n">
        <x:v>0.1603575334980036</x:v>
      </x:c>
      <x:c r="O751" s="82" t="n">
        <x:v>0.0779611824616211</x:v>
      </x:c>
      <x:c r="P751" s="80" t="n">
        <x:v>40081.03626022666</x:v>
      </x:c>
      <x:c r="Q751" s="81" t="n">
        <x:v>0.0039038340322977163</x:v>
      </x:c>
      <x:c r="R751" s="81" t="n">
        <x:v>30.359292574073493</x:v>
      </x:c>
      <x:c r="S751" s="81" t="n">
        <x:v>76.9475350796871</x:v>
      </x:c>
      <x:c r="T751" s="81" t="n">
        <x:v>140.18264899096178</x:v>
      </x:c>
    </x:row>
    <x:row r="752">
      <x:c r="A752" s="59" t="n">
        <x:v>749</x:v>
      </x:c>
      <x:c r="B752" s="193" t="n">
        <x:v>0.9786557169631125</x:v>
      </x:c>
      <x:c r="C752" s="83" t="n">
        <x:v>0.684230931819144</x:v>
      </x:c>
      <x:c r="D752" s="83" t="n">
        <x:v>0.6636010569141585</x:v>
      </x:c>
      <x:c r="E752" s="81" t="n">
        <x:v>0.024395570462871087</x:v>
      </x:c>
      <x:c r="F752" s="81" t="n">
        <x:v>0.8101394277182408</x:v>
      </x:c>
      <x:c r="G752" s="81" t="n">
        <x:v>-0.0022645554319481367</x:v>
      </x:c>
      <x:c r="H752" s="59" t="n">
        <x:v>0</x:v>
      </x:c>
      <x:c r="I752" s="81" t="n">
        <x:v>0</x:v>
      </x:c>
      <x:c r="J752" s="79" t="n">
        <x:v>0.000044647353222795564</x:v>
      </x:c>
      <x:c r="K752" s="81" t="n">
        <x:v>-0.9489744534596622</x:v>
      </x:c>
      <x:c r="L752" s="81" t="n">
        <x:v>-0.9591159725755448</x:v>
      </x:c>
      <x:c r="M752" s="80" t="n">
        <x:v>2043.857413379948</x:v>
      </x:c>
      <x:c r="N752" s="82" t="n">
        <x:v>0.3352278915753065</x:v>
      </x:c>
      <x:c r="O752" s="82" t="n">
        <x:v>0.2565493131411842</x:v>
      </x:c>
      <x:c r="P752" s="80" t="n">
        <x:v>3546.3715832036696</x:v>
      </x:c>
      <x:c r="Q752" s="81" t="n">
        <x:v>0.02094027970268791</x:v>
      </x:c>
      <x:c r="R752" s="81" t="n">
        <x:v>18.7769704697585</x:v>
      </x:c>
      <x:c r="S752" s="81" t="n">
        <x:v>1.5623536319545708</x:v>
      </x:c>
      <x:c r="T752" s="81" t="n">
        <x:v>0.9671591457635625</x:v>
      </x:c>
    </x:row>
    <x:row r="753">
      <x:c r="A753" s="59" t="n">
        <x:v>750</x:v>
      </x:c>
      <x:c r="B753" s="193" t="n">
        <x:v>0.5283200334757567</x:v>
      </x:c>
      <x:c r="C753" s="83" t="n">
        <x:v>2.3198466141800305</x:v>
      </x:c>
      <x:c r="D753" s="83" t="n">
        <x:v>0.5920315365919077</x:v>
      </x:c>
      <x:c r="E753" s="81" t="n">
        <x:v>0.02240811658745213</x:v>
      </x:c>
      <x:c r="F753" s="81" t="n">
        <x:v>0.6209441371494904</x:v>
      </x:c>
      <x:c r="G753" s="81" t="n">
        <x:v>-0.03759325040163644</x:v>
      </x:c>
      <x:c r="H753" s="59" t="n">
        <x:v>0</x:v>
      </x:c>
      <x:c r="I753" s="81" t="n">
        <x:v>0</x:v>
      </x:c>
      <x:c r="J753" s="79" t="n">
        <x:v>0.00019547405920942708</x:v>
      </x:c>
      <x:c r="K753" s="81" t="n">
        <x:v>-0.7766010751892262</x:v>
      </x:c>
      <x:c r="L753" s="81" t="n">
        <x:v>-0.8380373831862074</x:v>
      </x:c>
      <x:c r="M753" s="80" t="n">
        <x:v>8226.891664220337</x:v>
      </x:c>
      <x:c r="N753" s="82" t="n">
        <x:v>0.2279494879745529</x:v>
      </x:c>
      <x:c r="O753" s="82" t="n">
        <x:v>0.13370944734702125</x:v>
      </x:c>
      <x:c r="P753" s="80" t="n">
        <x:v>11721.935536952551</x:v>
      </x:c>
      <x:c r="Q753" s="81" t="n">
        <x:v>0.011544113180125147</x:v>
      </x:c>
      <x:c r="R753" s="81" t="n">
        <x:v>12.18624482929729</x:v>
      </x:c>
      <x:c r="S753" s="81" t="n">
        <x:v>1.9770982047028889</x:v>
      </x:c>
      <x:c r="T753" s="81" t="n">
        <x:v>4.234394885191091</x:v>
      </x:c>
    </x:row>
    <x:row r="754">
      <x:c r="A754" s="59" t="n">
        <x:v>751</x:v>
      </x:c>
      <x:c r="B754" s="193" t="n">
        <x:v>0.5097045904025436</x:v>
      </x:c>
      <x:c r="C754" s="83" t="n">
        <x:v>2.1873265837359948</x:v>
      </x:c>
      <x:c r="D754" s="83" t="n">
        <x:v>0.22998768879980863</x:v>
      </x:c>
      <x:c r="E754" s="81" t="n">
        <x:v>0.11978511328849636</x:v>
      </x:c>
      <x:c r="F754" s="81" t="n">
        <x:v>0.277165298780892</x:v>
      </x:c>
      <x:c r="G754" s="81" t="n">
        <x:v>0.018824530955408307</x:v>
      </x:c>
      <x:c r="H754" s="59" t="n">
        <x:v>0</x:v>
      </x:c>
      <x:c r="I754" s="81" t="n">
        <x:v>0</x:v>
      </x:c>
      <x:c r="J754" s="79" t="n">
        <x:v>0.015217824018945883</x:v>
      </x:c>
      <x:c r="K754" s="81" t="n">
        <x:v>16.391798878795296</x:v>
      </x:c>
      <x:c r="L754" s="81" t="n">
        <x:v>-0.21761894606848708</x:v>
      </x:c>
      <x:c r="M754" s="80" t="n">
        <x:v>75158.68633480906</x:v>
      </x:c>
      <x:c r="N754" s="82" t="n">
        <x:v>0.22351494039495598</x:v>
      </x:c>
      <x:c r="O754" s="82" t="n">
        <x:v>0.05852162208749459</x:v>
      </x:c>
      <x:c r="P754" s="80" t="n">
        <x:v>34890.81482246132</x:v>
      </x:c>
      <x:c r="Q754" s="81" t="n">
        <x:v>0.0012641325132082208</x:v>
      </x:c>
      <x:c r="R754" s="81" t="n">
        <x:v>38.3291375746476</x:v>
      </x:c>
      <x:c r="S754" s="81" t="n">
        <x:v>132.48014550695405</x:v>
      </x:c>
      <x:c r="T754" s="81" t="n">
        <x:v>329.65129209561604</x:v>
      </x:c>
    </x:row>
    <x:row r="755">
      <x:c r="A755" s="59" t="n">
        <x:v>752</x:v>
      </x:c>
      <x:c r="B755" s="193" t="n">
        <x:v>0.26769395601004364</x:v>
      </x:c>
      <x:c r="C755" s="83" t="n">
        <x:v>0.15019292002575602</x:v>
      </x:c>
      <x:c r="D755" s="83" t="n">
        <x:v>1.5311790458770902</x:v>
      </x:c>
      <x:c r="E755" s="81" t="n">
        <x:v>0.14608458723736362</x:v>
      </x:c>
      <x:c r="F755" s="81" t="n">
        <x:v>0.48281771612819285</x:v>
      </x:c>
      <x:c r="G755" s="81" t="n">
        <x:v>-0.03205389488011831</x:v>
      </x:c>
      <x:c r="H755" s="59" t="n">
        <x:v>0</x:v>
      </x:c>
      <x:c r="I755" s="81" t="n">
        <x:v>0</x:v>
      </x:c>
      <x:c r="J755" s="79" t="n">
        <x:v>0.039586620522671416</x:v>
      </x:c>
      <x:c r="K755" s="81" t="n">
        <x:v>44.24185202591019</x:v>
      </x:c>
      <x:c r="L755" s="81" t="n">
        <x:v>-0.8261224628599382</x:v>
      </x:c>
      <x:c r="M755" s="80" t="n">
        <x:v>69290.9149930066</x:v>
      </x:c>
      <x:c r="N755" s="82" t="n">
        <x:v>0.1658634695832676</x:v>
      </x:c>
      <x:c r="O755" s="82" t="n">
        <x:v>0.07564929500334222</x:v>
      </x:c>
      <x:c r="P755" s="80" t="n">
        <x:v>138232.42252093603</x:v>
      </x:c>
      <x:c r="Q755" s="81" t="n">
        <x:v>0.0015658793401944987</x:v>
      </x:c>
      <x:c r="R755" s="81" t="n">
        <x:v>9440.318453557267</x:v>
      </x:c>
      <x:c r="S755" s="81" t="n">
        <x:v>4924.0431858722595</x:v>
      </x:c>
      <x:c r="T755" s="81" t="n">
        <x:v>857.532626790187</x:v>
      </x:c>
    </x:row>
    <x:row r="756">
      <x:c r="A756" s="59" t="n">
        <x:v>753</x:v>
      </x:c>
      <x:c r="B756" s="193" t="n">
        <x:v>0.6621382683515549</x:v>
      </x:c>
      <x:c r="C756" s="83" t="n">
        <x:v>0.24101492540182395</x:v>
      </x:c>
      <x:c r="D756" s="83" t="n">
        <x:v>1.2492437506823153</x:v>
      </x:c>
      <x:c r="E756" s="81" t="n">
        <x:v>0.00586127601342173</x:v>
      </x:c>
      <x:c r="F756" s="81" t="n">
        <x:v>0.44339676516829063</x:v>
      </x:c>
      <x:c r="G756" s="81" t="n">
        <x:v>0.006072959993713717</x:v>
      </x:c>
      <x:c r="H756" s="59" t="n">
        <x:v>0</x:v>
      </x:c>
      <x:c r="I756" s="81" t="n">
        <x:v>0</x:v>
      </x:c>
      <x:c r="J756" s="79" t="n">
        <x:v>0.00003082188389898256</x:v>
      </x:c>
      <x:c r="K756" s="81" t="n">
        <x:v>-0.9647749898297342</x:v>
      </x:c>
      <x:c r="L756" s="81" t="n">
        <x:v>-0.9690386983118331</x:v>
      </x:c>
      <x:c r="M756" s="80" t="n">
        <x:v>1209.1867740076564</x:v>
      </x:c>
      <x:c r="N756" s="82" t="n">
        <x:v>0.25982750061387205</x:v>
      </x:c>
      <x:c r="O756" s="82" t="n">
        <x:v>0.10882998715106204</x:v>
      </x:c>
      <x:c r="P756" s="80" t="n">
        <x:v>4761.3538812335755</x:v>
      </x:c>
      <x:c r="Q756" s="81" t="n">
        <x:v>0.03274453481426954</x:v>
      </x:c>
      <x:c r="R756" s="81" t="n">
        <x:v>55.91345008874005</x:v>
      </x:c>
      <x:c r="S756" s="81" t="n">
        <x:v>2.951074835809973</x:v>
      </x:c>
      <x:c r="T756" s="81" t="n">
        <x:v>0.6676692961799978</x:v>
      </x:c>
    </x:row>
    <x:row r="757">
      <x:c r="A757" s="59" t="n">
        <x:v>754</x:v>
      </x:c>
      <x:c r="B757" s="193" t="n">
        <x:v>0.8232282787561418</x:v>
      </x:c>
      <x:c r="C757" s="83" t="n">
        <x:v>2.233254431159523</x:v>
      </x:c>
      <x:c r="D757" s="83" t="n">
        <x:v>0.7393966652786637</x:v>
      </x:c>
      <x:c r="E757" s="81" t="n">
        <x:v>0.0660416735195886</x:v>
      </x:c>
      <x:c r="F757" s="81" t="n">
        <x:v>0.7720788317848929</x:v>
      </x:c>
      <x:c r="G757" s="81" t="n">
        <x:v>-0.05</x:v>
      </x:c>
      <x:c r="H757" s="59" t="n">
        <x:v>0</x:v>
      </x:c>
      <x:c r="I757" s="81" t="n">
        <x:v>0</x:v>
      </x:c>
      <x:c r="J757" s="79" t="n">
        <x:v>0.0007576445746380792</x:v>
      </x:c>
      <x:c r="K757" s="81" t="n">
        <x:v>-0.1341204861279094</x:v>
      </x:c>
      <x:c r="L757" s="81" t="n">
        <x:v>-0.8339347363325347</x:v>
      </x:c>
      <x:c r="M757" s="80" t="n">
        <x:v>17434.595430311663</x:v>
      </x:c>
      <x:c r="N757" s="82" t="n">
        <x:v>0.29820216152993967</x:v>
      </x:c>
      <x:c r="O757" s="82" t="n">
        <x:v>0.21749204383059137</x:v>
      </x:c>
      <x:c r="P757" s="80" t="n">
        <x:v>26668.942341341677</x:v>
      </x:c>
      <x:c r="Q757" s="81" t="n">
        <x:v>0.00747564694361179</x:v>
      </x:c>
      <x:c r="R757" s="81" t="n">
        <x:v>36.97778613978588</x:v>
      </x:c>
      <x:c r="S757" s="81" t="n">
        <x:v>7.294866964780005</x:v>
      </x:c>
      <x:c r="T757" s="81" t="n">
        <x:v>16.41223559082638</x:v>
      </x:c>
    </x:row>
    <x:row r="758">
      <x:c r="A758" s="59" t="n">
        <x:v>755</x:v>
      </x:c>
      <x:c r="B758" s="193" t="n">
        <x:v>0.5830519743263722</x:v>
      </x:c>
      <x:c r="C758" s="83" t="n">
        <x:v>0.41617923870603024</x:v>
      </x:c>
      <x:c r="D758" s="83" t="n">
        <x:v>0.4657504128072791</x:v>
      </x:c>
      <x:c r="E758" s="81" t="n">
        <x:v>-0.02372605298555765</x:v>
      </x:c>
      <x:c r="F758" s="81" t="n">
        <x:v>0.4796425873879343</x:v>
      </x:c>
      <x:c r="G758" s="81" t="n">
        <x:v>0.022528857763010317</x:v>
      </x:c>
      <x:c r="H758" s="59" t="n">
        <x:v>0</x:v>
      </x:c>
      <x:c r="I758" s="81" t="n">
        <x:v>0</x:v>
      </x:c>
      <x:c r="J758" s="79" t="n">
        <x:v>9.654840895938776e-13</x:v>
      </x:c>
      <x:c r="K758" s="81" t="n">
        <x:v>-0.9999999988965896</x:v>
      </x:c>
      <x:c r="L758" s="81" t="n">
        <x:v>-0.9999999988965896</x:v>
      </x:c>
      <x:c r="M758" s="80" t="n">
        <x:v>0.24251575665237574</x:v>
      </x:c>
      <x:c r="N758" s="82" t="n">
        <x:v>0.24098766250906034</x:v>
      </x:c>
      <x:c r="O758" s="82" t="n">
        <x:v>0.10919015641828665</x:v>
      </x:c>
      <x:c r="P758" s="80" t="n">
        <x:v>561.947777612666</x:v>
      </x:c>
      <x:c r="Q758" s="81" t="n">
        <x:v>10.93818158310624</x:v>
      </x:c>
      <x:c r="R758" s="81" t="n">
        <x:v>17.403392163781703</x:v>
      </x:c>
      <x:c r="S758" s="81" t="n">
        <x:v>0.00004716856191650158</x:v>
      </x:c>
      <x:c r="T758" s="81" t="n">
        <x:v>2.091449324398401e-8</x:v>
      </x:c>
    </x:row>
    <x:row r="759">
      <x:c r="A759" s="59" t="n">
        <x:v>756</x:v>
      </x:c>
      <x:c r="B759" s="193" t="n">
        <x:v>0.30988361146301036</x:v>
      </x:c>
      <x:c r="C759" s="83" t="n">
        <x:v>1.6566103801789458</x:v>
      </x:c>
      <x:c r="D759" s="83" t="n">
        <x:v>1.1895285908632605</x:v>
      </x:c>
      <x:c r="E759" s="81" t="n">
        <x:v>-0.12854131507939742</x:v>
      </x:c>
      <x:c r="F759" s="81" t="n">
        <x:v>0.3355097263935022</x:v>
      </x:c>
      <x:c r="G759" s="81" t="n">
        <x:v>-0.02469736841851113</x:v>
      </x:c>
      <x:c r="H759" s="59" t="n">
        <x:v>89</x:v>
      </x:c>
      <x:c r="I759" s="81" t="n">
        <x:v>0.4167942150495947</x:v>
      </x:c>
      <x:c r="J759" s="79" t="n">
        <x:v>1.5443561353731364e-50</x:v>
      </x:c>
      <x:c r="K759" s="81" t="n">
        <x:v>-1</x:v>
      </x:c>
      <x:c r="L759" s="81" t="n">
        <x:v>-1</x:v>
      </x:c>
      <x:c r="M759" s="80" t="n">
        <x:v>0.000002</x:v>
      </x:c>
      <x:c r="N759" s="82" t="n">
        <x:v>0.17591383656820397</x:v>
      </x:c>
      <x:c r="O759" s="82" t="n">
        <x:v>0.05575400338135712</x:v>
      </x:c>
      <x:c r="P759" s="80" t="n">
        <x:v>405.0127582130011</x:v>
      </x:c>
      <x:c r="Q759" s="81" t="n">
        <x:v>1.1484763791098517e+33</x:v>
      </x:c>
      <x:c r="R759" s="81" t="n">
        <x:v>0.9241679155888657</x:v>
      </x:c>
      <x:c r="S759" s="81" t="n">
        <x:v>2.8934353143302456e-10</x:v>
      </x:c>
      <x:c r="T759" s="81" t="n">
        <x:v>3.345412556011481e-46</x:v>
      </x:c>
    </x:row>
    <x:row r="760">
      <x:c r="A760" s="59" t="n">
        <x:v>757</x:v>
      </x:c>
      <x:c r="B760" s="193" t="n">
        <x:v>0.8406598137691617</x:v>
      </x:c>
      <x:c r="C760" s="83" t="n">
        <x:v>0.11457734237992571</x:v>
      </x:c>
      <x:c r="D760" s="83" t="n">
        <x:v>0.9544222440973847</x:v>
      </x:c>
      <x:c r="E760" s="81" t="n">
        <x:v>-0.14867912519285426</x:v>
      </x:c>
      <x:c r="F760" s="81" t="n">
        <x:v>0.7891828459105454</x:v>
      </x:c>
      <x:c r="G760" s="81" t="n">
        <x:v>-0.004721672552883289</x:v>
      </x:c>
      <x:c r="H760" s="59" t="n">
        <x:v>0</x:v>
      </x:c>
      <x:c r="I760" s="81" t="n">
        <x:v>0</x:v>
      </x:c>
      <x:c r="J760" s="79" t="n">
        <x:v>8.851612348750138e-52</x:v>
      </x:c>
      <x:c r="K760" s="81" t="n">
        <x:v>-1</x:v>
      </x:c>
      <x:c r="L760" s="81" t="n">
        <x:v>-1</x:v>
      </x:c>
      <x:c r="M760" s="80" t="n">
        <x:v>0.000002</x:v>
      </x:c>
      <x:c r="N760" s="82" t="n">
        <x:v>0.30235468001132243</x:v>
      </x:c>
      <x:c r="O760" s="82" t="n">
        <x:v>0.22540589699124922</x:v>
      </x:c>
      <x:c r="P760" s="80" t="n">
        <x:v>137.01424041591557</x:v>
      </x:c>
      <x:c r="Q760" s="81" t="n">
        <x:v>1.7632794525735367e+34</x:v>
      </x:c>
      <x:c r="R760" s="81" t="n">
        <x:v>7.956216611308503</x:v>
      </x:c>
      <x:c r="S760" s="81" t="n">
        <x:v>7.081519249598747e-10</x:v>
      </x:c>
      <x:c r="T760" s="81" t="n">
        <x:v>1.917452484837655e-47</x:v>
      </x:c>
    </x:row>
    <x:row r="761">
      <x:c r="A761" s="59" t="n">
        <x:v>758</x:v>
      </x:c>
      <x:c r="B761" s="193" t="n">
        <x:v>0.9127445140853525</x:v>
      </x:c>
      <x:c r="C761" s="83" t="n">
        <x:v>0.3274800014852979</x:v>
      </x:c>
      <x:c r="D761" s="83" t="n">
        <x:v>0.8061371804615107</x:v>
      </x:c>
      <x:c r="E761" s="81" t="n">
        <x:v>-0.12330278455904123</x:v>
      </x:c>
      <x:c r="F761" s="81" t="n">
        <x:v>0.5082175734685734</x:v>
      </x:c>
      <x:c r="G761" s="81" t="n">
        <x:v>0.020171579538815668</x:v>
      </x:c>
      <x:c r="H761" s="59" t="n">
        <x:v>35</x:v>
      </x:c>
      <x:c r="I761" s="81" t="n">
        <x:v>0.41514564901590345</x:v>
      </x:c>
      <x:c r="J761" s="79" t="n">
        <x:v>1.9707097721262008e-45</x:v>
      </x:c>
      <x:c r="K761" s="81" t="n">
        <x:v>-1</x:v>
      </x:c>
      <x:c r="L761" s="81" t="n">
        <x:v>-1</x:v>
      </x:c>
      <x:c r="M761" s="80" t="n">
        <x:v>0.000002</x:v>
      </x:c>
      <x:c r="N761" s="82" t="n">
        <x:v>0.3195266072147698</x:v>
      </x:c>
      <x:c r="O761" s="82" t="n">
        <x:v>0.15340080835154637</x:v>
      </x:c>
      <x:c r="P761" s="80" t="n">
        <x:v>184.58896408975218</x:v>
      </x:c>
      <x:c r="Q761" s="81" t="n">
        <x:v>9.338907675427598e+27</x:v>
      </x:c>
      <x:c r="R761" s="81" t="n">
        <x:v>4.41170509575349</x:v>
      </x:c>
      <x:c r="S761" s="81" t="n">
        <x:v>6.782803797008454e-10</x:v>
      </x:c>
      <x:c r="T761" s="81" t="n">
        <x:v>4.268987615562263e-41</x:v>
      </x:c>
    </x:row>
    <x:row r="762">
      <x:c r="A762" s="59" t="n">
        <x:v>759</x:v>
      </x:c>
      <x:c r="B762" s="193" t="n">
        <x:v>0.25012056715786457</x:v>
      </x:c>
      <x:c r="C762" s="83" t="n">
        <x:v>1.1629107484500212</x:v>
      </x:c>
      <x:c r="D762" s="83" t="n">
        <x:v>0.2050965401959514</x:v>
      </x:c>
      <x:c r="E762" s="81" t="n">
        <x:v>0.07912258797882342</x:v>
      </x:c>
      <x:c r="F762" s="81" t="n">
        <x:v>0.7729458297253586</x:v>
      </x:c>
      <x:c r="G762" s="81" t="n">
        <x:v>-0.03913453112053736</x:v>
      </x:c>
      <x:c r="H762" s="59" t="n">
        <x:v>0</x:v>
      </x:c>
      <x:c r="I762" s="81" t="n">
        <x:v>0</x:v>
      </x:c>
      <x:c r="J762" s="79" t="n">
        <x:v>0.00015373912171634017</x:v>
      </x:c>
      <x:c r="K762" s="81" t="n">
        <x:v>-0.8242981466098969</x:v>
      </x:c>
      <x:c r="L762" s="81" t="n">
        <x:v>-0.8706156292466576</x:v>
      </x:c>
      <x:c r="M762" s="80" t="n">
        <x:v>4799.715158438826</x:v>
      </x:c>
      <x:c r="N762" s="82" t="n">
        <x:v>0.16167715885763762</x:v>
      </x:c>
      <x:c r="O762" s="82" t="n">
        <x:v>0.1180507278148872</x:v>
      </x:c>
      <x:c r="P762" s="80" t="n">
        <x:v>2524.780688305252</x:v>
      </x:c>
      <x:c r="Q762" s="81" t="n">
        <x:v>0.003097197753447528</x:v>
      </x:c>
      <x:c r="R762" s="81" t="n">
        <x:v>21.48892097047347</x:v>
      </x:c>
      <x:c r="S762" s="81" t="n">
        <x:v>2.587205211641202</x:v>
      </x:c>
      <x:c r="T762" s="81" t="n">
        <x:v>3.330325022574894</x:v>
      </x:c>
    </x:row>
    <x:row r="763">
      <x:c r="A763" s="59" t="n">
        <x:v>760</x:v>
      </x:c>
      <x:c r="B763" s="193" t="n">
        <x:v>0.5049676783382893</x:v>
      </x:c>
      <x:c r="C763" s="83" t="n">
        <x:v>0.4101635523760938</x:v>
      </x:c>
      <x:c r="D763" s="83" t="n">
        <x:v>0.6860235388898335</x:v>
      </x:c>
      <x:c r="E763" s="81" t="n">
        <x:v>-0.05172659920542379</x:v>
      </x:c>
      <x:c r="F763" s="81" t="n">
        <x:v>0.6667564387666062</x:v>
      </x:c>
      <x:c r="G763" s="81" t="n">
        <x:v>0.005419618198737793</x:v>
      </x:c>
      <x:c r="H763" s="59" t="n">
        <x:v>0</x:v>
      </x:c>
      <x:c r="I763" s="81" t="n">
        <x:v>0</x:v>
      </x:c>
      <x:c r="J763" s="79" t="n">
        <x:v>1.0082678160349579e-24</x:v>
      </x:c>
      <x:c r="K763" s="81" t="n">
        <x:v>-1</x:v>
      </x:c>
      <x:c r="L763" s="81" t="n">
        <x:v>-1</x:v>
      </x:c>
      <x:c r="M763" s="80" t="n">
        <x:v>0.000002</x:v>
      </x:c>
      <x:c r="N763" s="82" t="n">
        <x:v>0.22238651912414945</x:v>
      </x:c>
      <x:c r="O763" s="82" t="n">
        <x:v>0.14007048012573653</x:v>
      </x:c>
      <x:c r="P763" s="80" t="n">
        <x:v>370.24121227951855</x:v>
      </x:c>
      <x:c r="Q763" s="81" t="n">
        <x:v>40738762.04582172</x:v>
      </x:c>
      <x:c r="R763" s="81" t="n">
        <x:v>8.875478375605635</x:v>
      </x:c>
      <x:c r="S763" s="81" t="n">
        <x:v>4.551275502978203e-10</x:v>
      </x:c>
      <x:c r="T763" s="81" t="n">
        <x:v>2.1841282164949885e-20</x:v>
      </x:c>
    </x:row>
    <x:row r="764">
      <x:c r="A764" s="59" t="n">
        <x:v>761</x:v>
      </x:c>
      <x:c r="B764" s="193" t="n">
        <x:v>0.716492384299636</x:v>
      </x:c>
      <x:c r="C764" s="83" t="n">
        <x:v>0.5630572837343528</x:v>
      </x:c>
      <x:c r="D764" s="83" t="n">
        <x:v>0.6031319033469682</x:v>
      </x:c>
      <x:c r="E764" s="81" t="n">
        <x:v>0.03192084521816772</x:v>
      </x:c>
      <x:c r="F764" s="81" t="n">
        <x:v>0.8627833207021468</x:v>
      </x:c>
      <x:c r="G764" s="81" t="n">
        <x:v>-0.042853492635801384</x:v>
      </x:c>
      <x:c r="H764" s="59" t="n">
        <x:v>0</x:v>
      </x:c>
      <x:c r="I764" s="81" t="n">
        <x:v>0</x:v>
      </x:c>
      <x:c r="J764" s="79" t="n">
        <x:v>0.00002952603560931017</x:v>
      </x:c>
      <x:c r="K764" s="81" t="n">
        <x:v>-0.9662559593036455</x:v>
      </x:c>
      <x:c r="L764" s="81" t="n">
        <x:v>-0.9665362174109172</x:v>
      </x:c>
      <x:c r="M764" s="80" t="n">
        <x:v>1536.7038620284636</x:v>
      </x:c>
      <x:c r="N764" s="82" t="n">
        <x:v>0.27277567017237897</x:v>
      </x:c>
      <x:c r="O764" s="82" t="n">
        <x:v>0.22231988751960002</x:v>
      </x:c>
      <x:c r="P764" s="80" t="n">
        <x:v>2596.034450985584</x:v>
      </x:c>
      <x:c r="Q764" s="81" t="n">
        <x:v>0.013569314489770919</x:v>
      </x:c>
      <x:c r="R764" s="81" t="n">
        <x:v>25.784344215439052</x:v>
      </x:c>
      <x:c r="S764" s="81" t="n">
        <x:v>1.131096983541725</x:v>
      </x:c>
      <x:c r="T764" s="81" t="n">
        <x:v>0.6395983931048559</x:v>
      </x:c>
    </x:row>
    <x:row r="765">
      <x:c r="A765" s="59" t="n">
        <x:v>762</x:v>
      </x:c>
      <x:c r="B765" s="193" t="n">
        <x:v>0.8526097714900971</x:v>
      </x:c>
      <x:c r="C765" s="83" t="n">
        <x:v>2.0079785986552863</x:v>
      </x:c>
      <x:c r="D765" s="83" t="n">
        <x:v>0.6336881695377278</x:v>
      </x:c>
      <x:c r="E765" s="81" t="n">
        <x:v>-0.035169304559026913</x:v>
      </x:c>
      <x:c r="F765" s="81" t="n">
        <x:v>0.6950083616422489</x:v>
      </x:c>
      <x:c r="G765" s="81" t="n">
        <x:v>0.02384534268527344</x:v>
      </x:c>
      <x:c r="H765" s="59" t="n">
        <x:v>0</x:v>
      </x:c>
      <x:c r="I765" s="81" t="n">
        <x:v>0</x:v>
      </x:c>
      <x:c r="J765" s="79" t="n">
        <x:v>3.797825592141313e-20</x:v>
      </x:c>
      <x:c r="K765" s="81" t="n">
        <x:v>-1</x:v>
      </x:c>
      <x:c r="L765" s="81" t="n">
        <x:v>-1</x:v>
      </x:c>
      <x:c r="M765" s="80" t="n">
        <x:v>0.00010471258032358916</x:v>
      </x:c>
      <x:c r="N765" s="82" t="n">
        <x:v>0.3052013840021565</x:v>
      </x:c>
      <x:c r="O765" s="82" t="n">
        <x:v>0.20037681544444305</x:v>
      </x:c>
      <x:c r="P765" s="80" t="n">
        <x:v>1088.5694316369152</x:v>
      </x:c>
      <x:c r="Q765" s="81" t="n">
        <x:v>81974.01255028544</x:v>
      </x:c>
      <x:c r="R765" s="81" t="n">
        <x:v>3.24510234231743</x:v>
      </x:c>
      <x:c r="S765" s="81" t="n">
        <x:v>1.3626904684184182e-8</x:v>
      </x:c>
      <x:c r="T765" s="81" t="n">
        <x:v>8.226919381144896e-16</x:v>
      </x:c>
    </x:row>
    <x:row r="766">
      <x:c r="A766" s="59" t="n">
        <x:v>763</x:v>
      </x:c>
      <x:c r="B766" s="193" t="n">
        <x:v>0.5639584843069315</x:v>
      </x:c>
      <x:c r="C766" s="83" t="n">
        <x:v>0.5641802602628527</x:v>
      </x:c>
      <x:c r="D766" s="83" t="n">
        <x:v>0.6967933410496563</x:v>
      </x:c>
      <x:c r="E766" s="81" t="n">
        <x:v>-0.010292398285254658</x:v>
      </x:c>
      <x:c r="F766" s="81" t="n">
        <x:v>0.32297646928345786</x:v>
      </x:c>
      <x:c r="G766" s="81" t="n">
        <x:v>-0.017338287125197308</x:v>
      </x:c>
      <x:c r="H766" s="59" t="n">
        <x:v>0</x:v>
      </x:c>
      <x:c r="I766" s="81" t="n">
        <x:v>0</x:v>
      </x:c>
      <x:c r="J766" s="79" t="n">
        <x:v>5.826015480730853e-9</x:v>
      </x:c>
      <x:c r="K766" s="81" t="n">
        <x:v>-0.9999933416965935</x:v>
      </x:c>
      <x:c r="L766" s="81" t="n">
        <x:v>-0.9999933416965935</x:v>
      </x:c>
      <x:c r="M766" s="80" t="n">
        <x:v>20.542681150271775</x:v>
      </x:c>
      <x:c r="N766" s="82" t="n">
        <x:v>0.23643923518349186</x:v>
      </x:c>
      <x:c r="O766" s="82" t="n">
        <x:v>0.07213754700497461</x:v>
      </x:c>
      <x:c r="P766" s="80" t="n">
        <x:v>1330.3820572227523</x:v>
      </x:c>
      <x:c r="Q766" s="81" t="n">
        <x:v>0.3347642172266082</x:v>
      </x:c>
      <x:c r="R766" s="81" t="n">
        <x:v>17.702473839867306</x:v>
      </x:c>
      <x:c r="S766" s="81" t="n">
        <x:v>0.0034694963410953324</x:v>
      </x:c>
      <x:c r="T766" s="81" t="n">
        <x:v>0.0001262042147813601</x:v>
      </x:c>
    </x:row>
    <x:row r="767">
      <x:c r="A767" s="59" t="n">
        <x:v>764</x:v>
      </x:c>
      <x:c r="B767" s="193" t="n">
        <x:v>0.6641887765377761</x:v>
      </x:c>
      <x:c r="C767" s="83" t="n">
        <x:v>0.4338100640416135</x:v>
      </x:c>
      <x:c r="D767" s="83" t="n">
        <x:v>1.1785327499985057</x:v>
      </x:c>
      <x:c r="E767" s="81" t="n">
        <x:v>0.0825358755837478</x:v>
      </x:c>
      <x:c r="F767" s="81" t="n">
        <x:v>0.42612803539959715</x:v>
      </x:c>
      <x:c r="G767" s="81" t="n">
        <x:v>0.02503180028824403</x:v>
      </x:c>
      <x:c r="H767" s="59" t="n">
        <x:v>37</x:v>
      </x:c>
      <x:c r="I767" s="81" t="n">
        <x:v>0.24091617278754712</x:v>
      </x:c>
      <x:c r="J767" s="79" t="n">
        <x:v>0.017751408833040414</x:v>
      </x:c>
      <x:c r="K767" s="81" t="n">
        <x:v>19.28732438061762</x:v>
      </x:c>
      <x:c r="L767" s="81" t="n">
        <x:v>-0.9007762214742878</x:v>
      </x:c>
      <x:c r="M767" s="80" t="n">
        <x:v>48121.88309712824</x:v>
      </x:c>
      <x:c r="N767" s="82" t="n">
        <x:v>0.2603159701108584</x:v>
      </x:c>
      <x:c r="O767" s="82" t="n">
        <x:v>0.1047880749613846</x:v>
      </x:c>
      <x:c r="P767" s="80" t="n">
        <x:v>92796.29825935898</x:v>
      </x:c>
      <x:c r="Q767" s="81" t="n">
        <x:v>0.0034394276628094012</x:v>
      </x:c>
      <x:c r="R767" s="81" t="n">
        <x:v>607.0873457423753</x:v>
      </x:c>
      <x:c r="S767" s="81" t="n">
        <x:v>784.6095174382061</x:v>
      </x:c>
      <x:c r="T767" s="81" t="n">
        <x:v>384.5342705398592</x:v>
      </x:c>
    </x:row>
    <x:row r="768">
      <x:c r="A768" s="59" t="n">
        <x:v>765</x:v>
      </x:c>
      <x:c r="B768" s="193" t="n">
        <x:v>0.9083699407055974</x:v>
      </x:c>
      <x:c r="C768" s="83" t="n">
        <x:v>0.16589901454576386</x:v>
      </x:c>
      <x:c r="D768" s="83" t="n">
        <x:v>0.9742488528530309</x:v>
      </x:c>
      <x:c r="E768" s="81" t="n">
        <x:v>0.0629019654984101</x:v>
      </x:c>
      <x:c r="F768" s="81" t="n">
        <x:v>0.3813579667010345</x:v>
      </x:c>
      <x:c r="G768" s="81" t="n">
        <x:v>-0.02794488492302924</x:v>
      </x:c>
      <x:c r="H768" s="59" t="n">
        <x:v>46</x:v>
      </x:c>
      <x:c r="I768" s="81" t="n">
        <x:v>0.23252749629318714</x:v>
      </x:c>
      <x:c r="J768" s="79" t="n">
        <x:v>0.0009910770999028797</x:v>
      </x:c>
      <x:c r="K768" s="81" t="n">
        <x:v>0.13265954274614833</x:v>
      </x:c>
      <x:c r="L768" s="81" t="n">
        <x:v>-0.8600798618619898</x:v>
      </x:c>
      <x:c r="M768" s="80" t="n">
        <x:v>7609.58872079948</x:v>
      </x:c>
      <x:c r="N768" s="82" t="n">
        <x:v>0.3184845018124615</x:v>
      </x:c>
      <x:c r="O768" s="82" t="n">
        <x:v>0.11473398253298943</x:v>
      </x:c>
      <x:c r="P768" s="80" t="n">
        <x:v>13915.788646323446</x:v>
      </x:c>
      <x:c r="Q768" s="81" t="n">
        <x:v>0.00432032317524494</x:v>
      </x:c>
      <x:c r="R768" s="81" t="n">
        <x:v>434.3897364761158</x:v>
      </x:c>
      <x:c r="S768" s="81" t="n">
        <x:v>113.00790302925809</x:v>
      </x:c>
      <x:c r="T768" s="81" t="n">
        <x:v>21.468893722427925</x:v>
      </x:c>
    </x:row>
    <x:row r="769">
      <x:c r="A769" s="59" t="n">
        <x:v>766</x:v>
      </x:c>
      <x:c r="B769" s="193" t="n">
        <x:v>0.43921918943524363</x:v>
      </x:c>
      <x:c r="C769" s="83" t="n">
        <x:v>0.17264090840357865</x:v>
      </x:c>
      <x:c r="D769" s="83" t="n">
        <x:v>0.6223964217896497</x:v>
      </x:c>
      <x:c r="E769" s="81" t="n">
        <x:v>0.015364548122243112</x:v>
      </x:c>
      <x:c r="F769" s="81" t="n">
        <x:v>0.5665457134251484</x:v>
      </x:c>
      <x:c r="G769" s="81" t="n">
        <x:v>0.009887021153313835</x:v>
      </x:c>
      <x:c r="H769" s="59" t="n">
        <x:v>0</x:v>
      </x:c>
      <x:c r="I769" s="81" t="n">
        <x:v>0</x:v>
      </x:c>
      <x:c r="J769" s="79" t="n">
        <x:v>0.00005034860164970701</x:v>
      </x:c>
      <x:c r="K769" s="81" t="n">
        <x:v>-0.9424587409717634</x:v>
      </x:c>
      <x:c r="L769" s="81" t="n">
        <x:v>-0.9553943475440796</x:v>
      </x:c>
      <x:c r="M769" s="80" t="n">
        <x:v>1475.0542108327243</x:v>
      </x:c>
      <x:c r="N769" s="82" t="n">
        <x:v>0.2067239962832769</x:v>
      </x:c>
      <x:c r="O769" s="82" t="n">
        <x:v>0.11063608307755869</x:v>
      </x:c>
      <x:c r="P769" s="80" t="n">
        <x:v>2605.916603616814</x:v>
      </x:c>
      <x:c r="Q769" s="81" t="n">
        <x:v>0.01358670276141576</x:v>
      </x:c>
      <x:c r="R769" s="81" t="n">
        <x:v>79.2761141064672</x:v>
      </x:c>
      <x:c r="S769" s="81" t="n">
        <x:v>5.806651260267906</x:v>
      </x:c>
      <x:c r="T769" s="81" t="n">
        <x:v>1.0906606337653695</x:v>
      </x:c>
    </x:row>
    <x:row r="770">
      <x:c r="A770" s="59" t="n">
        <x:v>767</x:v>
      </x:c>
      <x:c r="B770" s="193" t="n">
        <x:v>0.37305177785456184</x:v>
      </x:c>
      <x:c r="C770" s="83" t="n">
        <x:v>1.6540809683141708</x:v>
      </x:c>
      <x:c r="D770" s="83" t="n">
        <x:v>1.4335673292129811</x:v>
      </x:c>
      <x:c r="E770" s="81" t="n">
        <x:v>0.0693969912742691</x:v>
      </x:c>
      <x:c r="F770" s="81" t="n">
        <x:v>0.8278570286580361</x:v>
      </x:c>
      <x:c r="G770" s="81" t="n">
        <x:v>0.0048978740941885415</x:v>
      </x:c>
      <x:c r="H770" s="59" t="n">
        <x:v>62</x:v>
      </x:c>
      <x:c r="I770" s="81" t="n">
        <x:v>0.44406616007909183</x:v>
      </x:c>
      <x:c r="J770" s="79" t="n">
        <x:v>0.019743202615967632</x:v>
      </x:c>
      <x:c r="K770" s="81" t="n">
        <x:v>21.56366013253444</x:v>
      </x:c>
      <x:c r="L770" s="81" t="n">
        <x:v>-0.940656363780162</x:v>
      </x:c>
      <x:c r="M770" s="80" t="n">
        <x:v>90958.00639135504</x:v>
      </x:c>
      <x:c r="N770" s="82" t="n">
        <x:v>0.19096167820579138</x:v>
      </x:c>
      <x:c r="O770" s="82" t="n">
        <x:v>0.14933874760535384</x:v>
      </x:c>
      <x:c r="P770" s="80" t="n">
        <x:v>206215.09768963733</x:v>
      </x:c>
      <x:c r="Q770" s="81" t="n">
        <x:v>0.005766518660920491</x:v>
      </x:c>
      <x:c r="R770" s="81" t="n">
        <x:v>252.14611104410457</x:v>
      </x:c>
      <x:c r="S770" s="81" t="n">
        <x:v>245.69206176347478</x:v>
      </x:c>
      <x:c r="T770" s="81" t="n">
        <x:v>427.6808724004486</x:v>
      </x:c>
    </x:row>
    <x:row r="771">
      <x:c r="A771" s="59" t="n">
        <x:v>768</x:v>
      </x:c>
      <x:c r="B771" s="193" t="n">
        <x:v>0.25818674322217705</x:v>
      </x:c>
      <x:c r="C771" s="83" t="n">
        <x:v>0.8909105022795932</x:v>
      </x:c>
      <x:c r="D771" s="83" t="n">
        <x:v>0.4513826835071013</x:v>
      </x:c>
      <x:c r="E771" s="81" t="n">
        <x:v>-0.0522138985599754</x:v>
      </x:c>
      <x:c r="F771" s="81" t="n">
        <x:v>0.44008426927030087</x:v>
      </x:c>
      <x:c r="G771" s="81" t="n">
        <x:v>0.024028073524354095</x:v>
      </x:c>
      <x:c r="H771" s="59" t="n">
        <x:v>0</x:v>
      </x:c>
      <x:c r="I771" s="81" t="n">
        <x:v>0</x:v>
      </x:c>
      <x:c r="J771" s="79" t="n">
        <x:v>7.796846483108953e-21</x:v>
      </x:c>
      <x:c r="K771" s="81" t="n">
        <x:v>-1</x:v>
      </x:c>
      <x:c r="L771" s="81" t="n">
        <x:v>-1</x:v>
      </x:c>
      <x:c r="M771" s="80" t="n">
        <x:v>0.00002989292291119403</x:v>
      </x:c>
      <x:c r="N771" s="82" t="n">
        <x:v>0.16359867323695812</x:v>
      </x:c>
      <x:c r="O771" s="82" t="n">
        <x:v>0.06801215942966825</x:v>
      </x:c>
      <x:c r="P771" s="80" t="n">
        <x:v>509.9305297556454</x:v>
      </x:c>
      <x:c r="Q771" s="81" t="n">
        <x:v>78042.66697366294</x:v>
      </x:c>
      <x:c r="R771" s="81" t="n">
        <x:v>6.648784197715399</x:v>
      </x:c>
      <x:c r="S771" s="81" t="n">
        <x:v>4.43223521695873e-9</x:v>
      </x:c>
      <x:c r="T771" s="81" t="n">
        <x:v>1.688967170489111e-16</x:v>
      </x:c>
    </x:row>
    <x:row r="772">
      <x:c r="A772" s="59" t="n">
        <x:v>769</x:v>
      </x:c>
      <x:c r="B772" s="193" t="n">
        <x:v>0.7235952908173204</x:v>
      </x:c>
      <x:c r="C772" s="83" t="n">
        <x:v>1.366159636409541</x:v>
      </x:c>
      <x:c r="D772" s="83" t="n">
        <x:v>0.24408832192984264</x:v>
      </x:c>
      <x:c r="E772" s="81" t="n">
        <x:v>-0.13543712721396026</x:v>
      </x:c>
      <x:c r="F772" s="81" t="n">
        <x:v>0.4026126795215532</x:v>
      </x:c>
      <x:c r="G772" s="81" t="n">
        <x:v>0.030316872774269</x:v>
      </x:c>
      <x:c r="H772" s="59" t="n">
        <x:v>0</x:v>
      </x:c>
      <x:c r="I772" s="81" t="n">
        <x:v>0</x:v>
      </x:c>
      <x:c r="J772" s="79" t="n">
        <x:v>8.738941429525235e-26</x:v>
      </x:c>
      <x:c r="K772" s="81" t="n">
        <x:v>-1</x:v>
      </x:c>
      <x:c r="L772" s="81" t="n">
        <x:v>-1</x:v>
      </x:c>
      <x:c r="M772" s="80" t="n">
        <x:v>0.000002</x:v>
      </x:c>
      <x:c r="N772" s="82" t="n">
        <x:v>0.2744677156843885</x:v>
      </x:c>
      <x:c r="O772" s="82" t="n">
        <x:v>0.10438777906548828</x:v>
      </x:c>
      <x:c r="P772" s="80" t="n">
        <x:v>259.208706639093</x:v>
      </x:c>
      <x:c r="Q772" s="81" t="n">
        <x:v>193803372.4504054</x:v>
      </x:c>
      <x:c r="R772" s="81" t="n">
        <x:v>3.2247779009681126</x:v>
      </x:c>
      <x:c r="S772" s="81" t="n">
        <x:v>1.299626662408615e-10</x:v>
      </x:c>
      <x:c r="T772" s="81" t="n">
        <x:v>1.8930455038804242e-21</x:v>
      </x:c>
    </x:row>
    <x:row r="773">
      <x:c r="A773" s="59" t="n">
        <x:v>770</x:v>
      </x:c>
      <x:c r="B773" s="193" t="n">
        <x:v>0.7516654374077916</x:v>
      </x:c>
      <x:c r="C773" s="83" t="n">
        <x:v>0.26840479146278445</x:v>
      </x:c>
      <x:c r="D773" s="83" t="n">
        <x:v>0.6769244989983417</x:v>
      </x:c>
      <x:c r="E773" s="81" t="n">
        <x:v>-0.1296103176812512</x:v>
      </x:c>
      <x:c r="F773" s="81" t="n">
        <x:v>0.3060485871275887</x:v>
      </x:c>
      <x:c r="G773" s="81" t="n">
        <x:v>-0.012925710515258652</x:v>
      </x:c>
      <x:c r="H773" s="59" t="n">
        <x:v>0</x:v>
      </x:c>
      <x:c r="I773" s="81" t="n">
        <x:v>0</x:v>
      </x:c>
      <x:c r="J773" s="79" t="n">
        <x:v>4.455879821712699e-37</x:v>
      </x:c>
      <x:c r="K773" s="81" t="n">
        <x:v>-1</x:v>
      </x:c>
      <x:c r="L773" s="81" t="n">
        <x:v>-1</x:v>
      </x:c>
      <x:c r="M773" s="80" t="n">
        <x:v>0.000002</x:v>
      </x:c>
      <x:c r="N773" s="82" t="n">
        <x:v>0.2811545509174875</x:v>
      </x:c>
      <x:c r="O773" s="82" t="n">
        <x:v>0.08128425664224835</x:v>
      </x:c>
      <x:c r="P773" s="80" t="n">
        <x:v>167.5316209125663</x:v>
      </x:c>
      <x:c r="Q773" s="81" t="n">
        <x:v>39513946489472560000</x:v>
      </x:c>
      <x:c r="R773" s="81" t="n">
        <x:v>6.267721238609136</x:v>
      </x:c>
      <x:c r="S773" s="81" t="n">
        <x:v>3.9906427433995344e-10</x:v>
      </x:c>
      <x:c r="T773" s="81" t="n">
        <x:v>9.652408510057947e-33</x:v>
      </x:c>
    </x:row>
    <x:row r="774">
      <x:c r="A774" s="59" t="n">
        <x:v>771</x:v>
      </x:c>
      <x:c r="B774" s="193" t="n">
        <x:v>0.5047553615644574</x:v>
      </x:c>
      <x:c r="C774" s="83" t="n">
        <x:v>2.7604467074252783</x:v>
      </x:c>
      <x:c r="D774" s="83" t="n">
        <x:v>1.5543687541328413</x:v>
      </x:c>
      <x:c r="E774" s="81" t="n">
        <x:v>0.10637749650087618</x:v>
      </x:c>
      <x:c r="F774" s="81" t="n">
        <x:v>0.8050960706430488</x:v>
      </x:c>
      <x:c r="G774" s="81" t="n">
        <x:v>-0.016965679763178098</x:v>
      </x:c>
      <x:c r="H774" s="59" t="n">
        <x:v>22</x:v>
      </x:c>
      <x:c r="I774" s="81" t="n">
        <x:v>0.39613877329975367</x:v>
      </x:c>
      <x:c r="J774" s="79" t="n">
        <x:v>0.05929211927772238</x:v>
      </x:c>
      <x:c r="K774" s="81" t="n">
        <x:v>66.76242203168272</x:v>
      </x:c>
      <x:c r="L774" s="81" t="n">
        <x:v>-0.9385372332702093</x:v>
      </x:c>
      <x:c r="M774" s="80" t="n">
        <x:v>253890.70237891184</x:v>
      </x:c>
      <x:c r="N774" s="82" t="n">
        <x:v>0.2223359412876832</x:v>
      </x:c>
      <x:c r="O774" s="82" t="n">
        <x:v>0.16909404850637474</x:v>
      </x:c>
      <x:c r="P774" s="80" t="n">
        <x:v>544606.1317618653</x:v>
      </x:c>
      <x:c r="Q774" s="81" t="n">
        <x:v>0.004672506130864318</x:v>
      </x:c>
      <x:c r="R774" s="81" t="n">
        <x:v>458.1419596213706</x:v>
      </x:c>
      <x:c r="S774" s="81" t="n">
        <x:v>439.15419920590034</x:v>
      </x:c>
      <x:c r="T774" s="81" t="n">
        <x:v>1284.3967512473882</x:v>
      </x:c>
    </x:row>
    <x:row r="775">
      <x:c r="A775" s="59" t="n">
        <x:v>772</x:v>
      </x:c>
      <x:c r="B775" s="193" t="n">
        <x:v>0.3458641514182091</x:v>
      </x:c>
      <x:c r="C775" s="83" t="n">
        <x:v>0.22949758140540474</x:v>
      </x:c>
      <x:c r="D775" s="83" t="n">
        <x:v>0.5350047068197241</x:v>
      </x:c>
      <x:c r="E775" s="81" t="n">
        <x:v>-0.1367703362294103</x:v>
      </x:c>
      <x:c r="F775" s="81" t="n">
        <x:v>0.8894615027471445</x:v>
      </x:c>
      <x:c r="G775" s="81" t="n">
        <x:v>-0.03222024484070376</x:v>
      </x:c>
      <x:c r="H775" s="59" t="n">
        <x:v>0</x:v>
      </x:c>
      <x:c r="I775" s="81" t="n">
        <x:v>0</x:v>
      </x:c>
      <x:c r="J775" s="79" t="n">
        <x:v>2.3218340396510247e-31</x:v>
      </x:c>
      <x:c r="K775" s="81" t="n">
        <x:v>-1</x:v>
      </x:c>
      <x:c r="L775" s="81" t="n">
        <x:v>-1</x:v>
      </x:c>
      <x:c r="M775" s="80" t="n">
        <x:v>0.000002</x:v>
      </x:c>
      <x:c r="N775" s="82" t="n">
        <x:v>0.18448507582065649</x:v>
      </x:c>
      <x:c r="O775" s="82" t="n">
        <x:v>0.1550098645596797</x:v>
      </x:c>
      <x:c r="P775" s="80" t="n">
        <x:v>142.8543535917593</x:v>
      </x:c>
      <x:c r="Q775" s="81" t="n">
        <x:v>72317673265694.7</x:v>
      </x:c>
      <x:c r="R775" s="81" t="n">
        <x:v>8.032645259667577</x:v>
      </x:c>
      <x:c r="S775" s="81" t="n">
        <x:v>2.5590681256605406e-10</x:v>
      </x:c>
      <x:c r="T775" s="81" t="n">
        <x:v>5.029599437144509e-27</x:v>
      </x:c>
    </x:row>
    <x:row r="776">
      <x:c r="A776" s="59" t="n">
        <x:v>773</x:v>
      </x:c>
      <x:c r="B776" s="193" t="n">
        <x:v>0.955332076177001</x:v>
      </x:c>
      <x:c r="C776" s="83" t="n">
        <x:v>0.35334881340391455</x:v>
      </x:c>
      <x:c r="D776" s="83" t="n">
        <x:v>1.0993120792210282</x:v>
      </x:c>
      <x:c r="E776" s="81" t="n">
        <x:v>0.019530668279875374</x:v>
      </x:c>
      <x:c r="F776" s="81" t="n">
        <x:v>0.4538875293568708</x:v>
      </x:c>
      <x:c r="G776" s="81" t="n">
        <x:v>0.03049265029080213</x:v>
      </x:c>
      <x:c r="H776" s="59" t="n">
        <x:v>0</x:v>
      </x:c>
      <x:c r="I776" s="81" t="n">
        <x:v>0</x:v>
      </x:c>
      <x:c r="J776" s="79" t="n">
        <x:v>0.0003651642101725256</x:v>
      </x:c>
      <x:c r="K776" s="81" t="n">
        <x:v>-0.5826694740885421</x:v>
      </x:c>
      <x:c r="L776" s="81" t="n">
        <x:v>-0.8481981357691953</x:v>
      </x:c>
      <x:c r="M776" s="80" t="n">
        <x:v>4873.713026578631</x:v>
      </x:c>
      <x:c r="N776" s="82" t="n">
        <x:v>0.32967176302178997</x:v>
      </x:c>
      <x:c r="O776" s="82" t="n">
        <x:v>0.1413516697519362</x:v>
      </x:c>
      <x:c r="P776" s="80" t="n">
        <x:v>11755.193691276194</x:v>
      </x:c>
      <x:c r="Q776" s="81" t="n">
        <x:v>0.015377604406005167</x:v>
      </x:c>
      <x:c r="R776" s="81" t="n">
        <x:v>57.82309622911166</x:v>
      </x:c>
      <x:c r="S776" s="81" t="n">
        <x:v>21.726359085088642</x:v>
      </x:c>
      <x:c r="T776" s="81" t="n">
        <x:v>7.910254025843734</x:v>
      </x:c>
    </x:row>
    <x:row r="777">
      <x:c r="A777" s="59" t="n">
        <x:v>774</x:v>
      </x:c>
      <x:c r="B777" s="193" t="n">
        <x:v>0.5788410967215896</x:v>
      </x:c>
      <x:c r="C777" s="83" t="n">
        <x:v>1.3999992914030308</x:v>
      </x:c>
      <x:c r="D777" s="83" t="n">
        <x:v>0.5974748306395842</x:v>
      </x:c>
      <x:c r="E777" s="81" t="n">
        <x:v>-0.03238270784351436</x:v>
      </x:c>
      <x:c r="F777" s="81" t="n">
        <x:v>0.7714529605582356</x:v>
      </x:c>
      <x:c r="G777" s="81" t="n">
        <x:v>-0.011933016016695969</x:v>
      </x:c>
      <x:c r="H777" s="59" t="n">
        <x:v>0</x:v>
      </x:c>
      <x:c r="I777" s="81" t="n">
        <x:v>0</x:v>
      </x:c>
      <x:c r="J777" s="79" t="n">
        <x:v>1.4243648395549464e-15</x:v>
      </x:c>
      <x:c r="K777" s="81" t="n">
        <x:v>-0.9999999999983722</x:v>
      </x:c>
      <x:c r="L777" s="81" t="n">
        <x:v>-0.9999999999983722</x:v>
      </x:c>
      <x:c r="M777" s="80" t="n">
        <x:v>0.015936436707025447</x:v>
      </x:c>
      <x:c r="N777" s="82" t="n">
        <x:v>0.23998455250964607</x:v>
      </x:c>
      <x:c r="O777" s="82" t="n">
        <x:v>0.17488947721158415</x:v>
      </x:c>
      <x:c r="P777" s="80" t="n">
        <x:v>882.087646648502</x:v>
      </x:c>
      <x:c r="Q777" s="81" t="n">
        <x:v>360.2874515096897</x:v>
      </x:c>
      <x:c r="R777" s="81" t="n">
        <x:v>4.600853629995856</x:v>
      </x:c>
      <x:c r="S777" s="81" t="n">
        <x:v>0.0000015512810273609688</x:v>
      </x:c>
      <x:c r="T777" s="81" t="n">
        <x:v>3.085485212539456e-11</x:v>
      </x:c>
    </x:row>
    <x:row r="778">
      <x:c r="A778" s="59" t="n">
        <x:v>775</x:v>
      </x:c>
      <x:c r="B778" s="193" t="n">
        <x:v>0.5150599149987102</x:v>
      </x:c>
      <x:c r="C778" s="83" t="n">
        <x:v>2.8774181582368517</x:v>
      </x:c>
      <x:c r="D778" s="83" t="n">
        <x:v>0.838302819869219</x:v>
      </x:c>
      <x:c r="E778" s="81" t="n">
        <x:v>-0.15742692357794139</x:v>
      </x:c>
      <x:c r="F778" s="81" t="n">
        <x:v>0.6145153807126917</x:v>
      </x:c>
      <x:c r="G778" s="81" t="n">
        <x:v>-0.0026677211047936807</x:v>
      </x:c>
      <x:c r="H778" s="59" t="n">
        <x:v>60</x:v>
      </x:c>
      <x:c r="I778" s="81" t="n">
        <x:v>0.14820696879178286</x:v>
      </x:c>
      <x:c r="J778" s="79" t="n">
        <x:v>2.9868286937564634e-50</x:v>
      </x:c>
      <x:c r="K778" s="81" t="n">
        <x:v>-1</x:v>
      </x:c>
      <x:c r="L778" s="81" t="n">
        <x:v>-1</x:v>
      </x:c>
      <x:c r="M778" s="80" t="n">
        <x:v>0.000002</x:v>
      </x:c>
      <x:c r="N778" s="82" t="n">
        <x:v>0.22479067912609885</x:v>
      </x:c>
      <x:c r="O778" s="82" t="n">
        <x:v>0.1304914324496824</x:v>
      </x:c>
      <x:c r="P778" s="80" t="n">
        <x:v>465.1893902672646</x:v>
      </x:c>
      <x:c r="Q778" s="81" t="n">
        <x:v>4.972777847969705e+32</x:v>
      </x:c>
      <x:c r="R778" s="81" t="n">
        <x:v>0.6623501215669351</x:v>
      </x:c>
      <x:c r="S778" s="81" t="n">
        <x:v>1.8333591188922297e-10</x:v>
      </x:c>
      <x:c r="T778" s="81" t="n">
        <x:v>6.470123040845111e-46</x:v>
      </x:c>
    </x:row>
    <x:row r="779">
      <x:c r="A779" s="59" t="n">
        <x:v>776</x:v>
      </x:c>
      <x:c r="B779" s="193" t="n">
        <x:v>0.23918529953807594</x:v>
      </x:c>
      <x:c r="C779" s="83" t="n">
        <x:v>0.6363204813514656</x:v>
      </x:c>
      <x:c r="D779" s="83" t="n">
        <x:v>0.18555476029818468</x:v>
      </x:c>
      <x:c r="E779" s="81" t="n">
        <x:v>-0.126387240851528</x:v>
      </x:c>
      <x:c r="F779" s="81" t="n">
        <x:v>0.713705789425876</x:v>
      </x:c>
      <x:c r="G779" s="81" t="n">
        <x:v>-0.046637339840155806</x:v>
      </x:c>
      <x:c r="H779" s="59" t="n">
        <x:v>61</x:v>
      </x:c>
      <x:c r="I779" s="81" t="n">
        <x:v>0.494396507088095</x:v>
      </x:c>
      <x:c r="J779" s="79" t="n">
        <x:v>2.5815049230727877e-15</x:v>
      </x:c>
      <x:c r="K779" s="81" t="n">
        <x:v>-0.9999999999970497</x:v>
      </x:c>
      <x:c r="L779" s="81" t="n">
        <x:v>-0.9999999999970497</x:v>
      </x:c>
      <x:c r="M779" s="80" t="n">
        <x:v>0.01461466070929872</x:v>
      </x:c>
      <x:c r="N779" s="82" t="n">
        <x:v>0.159072173074336</x:v>
      </x:c>
      <x:c r="O779" s="82" t="n">
        <x:v>0.10724680810227202</x:v>
      </x:c>
      <x:c r="P779" s="80" t="n">
        <x:v>169.76149162785947</x:v>
      </x:c>
      <x:c r="Q779" s="81" t="n">
        <x:v>50.96255908994811</x:v>
      </x:c>
      <x:c r="R779" s="81" t="n">
        <x:v>8.104280798564085</x:v>
      </x:c>
      <x:c r="S779" s="81" t="n">
        <x:v>4.1660161862107405e-7</x:v>
      </x:c>
      <x:c r="T779" s="81" t="n">
        <x:v>5.5921032624813177e-11</x:v>
      </x:c>
    </x:row>
    <x:row r="780">
      <x:c r="A780" s="59" t="n">
        <x:v>777</x:v>
      </x:c>
      <x:c r="B780" s="193" t="n">
        <x:v>0.852219744026661</x:v>
      </x:c>
      <x:c r="C780" s="83" t="n">
        <x:v>1.9102213200754439</x:v>
      </x:c>
      <x:c r="D780" s="83" t="n">
        <x:v>0.5991750253738904</x:v>
      </x:c>
      <x:c r="E780" s="81" t="n">
        <x:v>-0.0069739817735425536</x:v>
      </x:c>
      <x:c r="F780" s="81" t="n">
        <x:v>0.6693673609406687</x:v>
      </x:c>
      <x:c r="G780" s="81" t="n">
        <x:v>0.018576311939637193</x:v>
      </x:c>
      <x:c r="H780" s="59" t="n">
        <x:v>0</x:v>
      </x:c>
      <x:c r="I780" s="81" t="n">
        <x:v>0</x:v>
      </x:c>
      <x:c r="J780" s="79" t="n">
        <x:v>1.9131353257274354e-8</x:v>
      </x:c>
      <x:c r="K780" s="81" t="n">
        <x:v>-0.9999781355962774</x:v>
      </x:c>
      <x:c r="L780" s="81" t="n">
        <x:v>-0.9999781355962774</x:v>
      </x:c>
      <x:c r="M780" s="80" t="n">
        <x:v>69.13796744437418</x:v>
      </x:c>
      <x:c r="N780" s="82" t="n">
        <x:v>0.30510847214735143</x:v>
      </x:c>
      <x:c r="O780" s="82" t="n">
        <x:v>0.19292554726795597</x:v>
      </x:c>
      <x:c r="P780" s="80" t="n">
        <x:v>2362.499290278357</x:v>
      </x:c>
      <x:c r="Q780" s="81" t="n">
        <x:v>0.4693774501991714</x:v>
      </x:c>
      <x:c r="R780" s="81" t="n">
        <x:v>5.862023467792762</x:v>
      </x:c>
      <x:c r="S780" s="81" t="n">
        <x:v>0.008070047934693696</x:v>
      </x:c>
      <x:c r="T780" s="81" t="n">
        <x:v>0.00041442687948989814</x:v>
      </x:c>
    </x:row>
    <x:row r="781">
      <x:c r="A781" s="59" t="n">
        <x:v>778</x:v>
      </x:c>
      <x:c r="B781" s="193" t="n">
        <x:v>0.8790941176936031</x:v>
      </x:c>
      <x:c r="C781" s="83" t="n">
        <x:v>0.5538449823558482</x:v>
      </x:c>
      <x:c r="D781" s="83" t="n">
        <x:v>0.7477113330728324</x:v>
      </x:c>
      <x:c r="E781" s="81" t="n">
        <x:v>0.02335716138858754</x:v>
      </x:c>
      <x:c r="F781" s="81" t="n">
        <x:v>0.6498418530332857</x:v>
      </x:c>
      <x:c r="G781" s="81" t="n">
        <x:v>0.02566611034421656</x:v>
      </x:c>
      <x:c r="H781" s="59" t="n">
        <x:v>0</x:v>
      </x:c>
      <x:c r="I781" s="81" t="n">
        <x:v>0</x:v>
      </x:c>
      <x:c r="J781" s="79" t="n">
        <x:v>0.00015167302651248989</x:v>
      </x:c>
      <x:c r="K781" s="81" t="n">
        <x:v>-0.8266593982714401</x:v>
      </x:c>
      <x:c r="L781" s="81" t="n">
        <x:v>-0.9153918761057591</x:v>
      </x:c>
      <x:c r="M781" s="80" t="n">
        <x:v>3533.210254341395</x:v>
      </x:c>
      <x:c r="N781" s="82" t="n">
        <x:v>0.3115104518493231</x:v>
      </x:c>
      <x:c r="O781" s="82" t="n">
        <x:v>0.19122789447200558</x:v>
      </x:c>
      <x:c r="P781" s="80" t="n">
        <x:v>6228.16776495958</x:v>
      </x:c>
      <x:c r="Q781" s="81" t="n">
        <x:v>0.01698128122381102</x:v>
      </x:c>
      <x:c r="R781" s="81" t="n">
        <x:v>28.415794678887167</x:v>
      </x:c>
      <x:c r="S781" s="81" t="n">
        <x:v>6.118267837311887</x:v>
      </x:c>
      <x:c r="T781" s="81" t="n">
        <x:v>3.285568889720824</x:v>
      </x:c>
    </x:row>
    <x:row r="782">
      <x:c r="A782" s="59" t="n">
        <x:v>779</x:v>
      </x:c>
      <x:c r="B782" s="193" t="n">
        <x:v>0.9281652325764298</x:v>
      </x:c>
      <x:c r="C782" s="83" t="n">
        <x:v>0.5864942983155689</x:v>
      </x:c>
      <x:c r="D782" s="83" t="n">
        <x:v>1.1833623385860723</x:v>
      </x:c>
      <x:c r="E782" s="81" t="n">
        <x:v>0.06751572846313118</x:v>
      </x:c>
      <x:c r="F782" s="81" t="n">
        <x:v>0.6734208892681637</x:v>
      </x:c>
      <x:c r="G782" s="81" t="n">
        <x:v>0.029822752128654952</x:v>
      </x:c>
      <x:c r="H782" s="59" t="n">
        <x:v>32</x:v>
      </x:c>
      <x:c r="I782" s="81" t="n">
        <x:v>0.31721346350386737</x:v>
      </x:c>
      <x:c r="J782" s="79" t="n">
        <x:v>0.0040667974979844606</x:v>
      </x:c>
      <x:c r="K782" s="81" t="n">
        <x:v>3.6477685691250983</x:v>
      </x:c>
      <x:c r="L782" s="81" t="n">
        <x:v>-0.8357028761436036</x:v>
      </x:c>
      <x:c r="M782" s="80" t="n">
        <x:v>24244.286977603748</x:v>
      </x:c>
      <x:c r="N782" s="82" t="n">
        <x:v>0.3232001114978163</x:v>
      </x:c>
      <x:c r="O782" s="82" t="n">
        <x:v>0.20560280136822753</x:v>
      </x:c>
      <x:c r="P782" s="80" t="n">
        <x:v>49699.577126203956</x:v>
      </x:c>
      <x:c r="Q782" s="81" t="n">
        <x:v>0.007808970127323261</x:v>
      </x:c>
      <x:c r="R782" s="81" t="n">
        <x:v>140.45371193611757</x:v>
      </x:c>
      <x:c r="S782" s="81" t="n">
        <x:v>140.6470293225822</x:v>
      </x:c>
      <x:c r="T782" s="81" t="n">
        <x:v>88.09571251663475</x:v>
      </x:c>
    </x:row>
    <x:row r="783">
      <x:c r="A783" s="59" t="n">
        <x:v>780</x:v>
      </x:c>
      <x:c r="B783" s="193" t="n">
        <x:v>0.992100577056408</x:v>
      </x:c>
      <x:c r="C783" s="83" t="n">
        <x:v>1.4018294811456604</x:v>
      </x:c>
      <x:c r="D783" s="83" t="n">
        <x:v>0.3634057444841531</x:v>
      </x:c>
      <x:c r="E783" s="81" t="n">
        <x:v>0.10650058547899342</x:v>
      </x:c>
      <x:c r="F783" s="81" t="n">
        <x:v>0.3021612342679873</x:v>
      </x:c>
      <x:c r="G783" s="81" t="n">
        <x:v>-0.05</x:v>
      </x:c>
      <x:c r="H783" s="59" t="n">
        <x:v>0</x:v>
      </x:c>
      <x:c r="I783" s="81" t="n">
        <x:v>0</x:v>
      </x:c>
      <x:c r="J783" s="79" t="n">
        <x:v>0.0012947898535378424</x:v>
      </x:c>
      <x:c r="K783" s="81" t="n">
        <x:v>0.47975983261467725</x:v>
      </x:c>
      <x:c r="L783" s="81" t="n">
        <x:v>-0.7757230036387862</x:v>
      </x:c>
      <x:c r="M783" s="80" t="n">
        <x:v>16436.830262083236</x:v>
      </x:c>
      <x:c r="N783" s="82" t="n">
        <x:v>0.3384307093406563</x:v>
      </x:c>
      <x:c r="O783" s="82" t="n">
        <x:v>0.09660051725601446</x:v>
      </x:c>
      <x:c r="P783" s="80" t="n">
        <x:v>12740.483771110747</x:v>
      </x:c>
      <x:c r="Q783" s="81" t="n">
        <x:v>0.002131949207068625</x:v>
      </x:c>
      <x:c r="R783" s="81" t="n">
        <x:v>61.2665541946267</x:v>
      </x:c>
      <x:c r="S783" s="81" t="n">
        <x:v>17.794735261947153</x:v>
      </x:c>
      <x:c r="T783" s="81" t="n">
        <x:v>28.04797503766961</x:v>
      </x:c>
    </x:row>
    <x:row r="784">
      <x:c r="A784" s="59" t="n">
        <x:v>781</x:v>
      </x:c>
      <x:c r="B784" s="193" t="n">
        <x:v>0.7802271053195</x:v>
      </x:c>
      <x:c r="C784" s="83" t="n">
        <x:v>0.4482551229350584</x:v>
      </x:c>
      <x:c r="D784" s="83" t="n">
        <x:v>0.3656057271720974</x:v>
      </x:c>
      <x:c r="E784" s="81" t="n">
        <x:v>0.05731523039884162</x:v>
      </x:c>
      <x:c r="F784" s="81" t="n">
        <x:v>0.2986495134420693</x:v>
      </x:c>
      <x:c r="G784" s="81" t="n">
        <x:v>-0.030580143368566882</x:v>
      </x:c>
      <x:c r="H784" s="59" t="n">
        <x:v>0</x:v>
      </x:c>
      <x:c r="I784" s="81" t="n">
        <x:v>0</x:v>
      </x:c>
      <x:c r="J784" s="79" t="n">
        <x:v>0.0002945963582954519</x:v>
      </x:c>
      <x:c r="K784" s="81" t="n">
        <x:v>-0.6633184476623406</x:v>
      </x:c>
      <x:c r="L784" s="81" t="n">
        <x:v>-0.8038636416430037</x:v>
      </x:c>
      <x:c r="M784" s="80" t="n">
        <x:v>4529.269339392915</x:v>
      </x:c>
      <x:c r="N784" s="82" t="n">
        <x:v>0.2879584757453298</x:v>
      </x:c>
      <x:c r="O784" s="82" t="n">
        <x:v>0.08123863533599876</x:v>
      </x:c>
      <x:c r="P784" s="80" t="n">
        <x:v>3812.9095983498064</x:v>
      </x:c>
      <x:c r="Q784" s="81" t="n">
        <x:v>0.00300141467738947</x:v>
      </x:c>
      <x:c r="R784" s="81" t="n">
        <x:v>67.20554212537488</x:v>
      </x:c>
      <x:c r="S784" s="81" t="n">
        <x:v>12.565331689443072</x:v>
      </x:c>
      <x:c r="T784" s="81" t="n">
        <x:v>6.3816002890987376</x:v>
      </x:c>
    </x:row>
    <x:row r="785">
      <x:c r="A785" s="59" t="n">
        <x:v>782</x:v>
      </x:c>
      <x:c r="B785" s="193" t="n">
        <x:v>0.892521851696074</x:v>
      </x:c>
      <x:c r="C785" s="83" t="n">
        <x:v>0.5382845262808069</x:v>
      </x:c>
      <x:c r="D785" s="83" t="n">
        <x:v>1.7487449488537967</x:v>
      </x:c>
      <x:c r="E785" s="81" t="n">
        <x:v>0.2</x:v>
      </x:c>
      <x:c r="F785" s="81" t="n">
        <x:v>0.3646764906006865</x:v>
      </x:c>
      <x:c r="G785" s="81" t="n">
        <x:v>-0.02557815260281933</x:v>
      </x:c>
      <x:c r="H785" s="59" t="n">
        <x:v>0</x:v>
      </x:c>
      <x:c r="I785" s="81" t="n">
        <x:v>0</x:v>
      </x:c>
      <x:c r="J785" s="79" t="n">
        <x:v>0.11650671109959997</x:v>
      </x:c>
      <x:c r="K785" s="81" t="n">
        <x:v>132.1505269709714</x:v>
      </x:c>
      <x:c r="L785" s="81" t="n">
        <x:v>-0.8473683420179152</x:v>
      </x:c>
      <x:c r="M785" s="80" t="n">
        <x:v>200057.32773843576</x:v>
      </x:c>
      <x:c r="N785" s="82" t="n">
        <x:v>0.3147091898587239</x:v>
      </x:c>
      <x:c r="O785" s="82" t="n">
        <x:v>0.10841469032243087</x:v>
      </x:c>
      <x:c r="P785" s="80" t="n">
        <x:v>379459.95244856493</x:v>
      </x:c>
      <x:c r="Q785" s="81" t="n">
        <x:v>0.0018812204982014797</x:v>
      </x:c>
      <x:c r="R785" s="81" t="n">
        <x:v>4840.0470168218135</x:v>
      </x:c>
      <x:c r="S785" s="81" t="n">
        <x:v>4100.7315873822445</x:v>
      </x:c>
      <x:c r="T785" s="81" t="n">
        <x:v>2523.7897221033936</x:v>
      </x:c>
    </x:row>
    <x:row r="786">
      <x:c r="A786" s="59" t="n">
        <x:v>783</x:v>
      </x:c>
      <x:c r="B786" s="193" t="n">
        <x:v>0.23019166849553585</x:v>
      </x:c>
      <x:c r="C786" s="83" t="n">
        <x:v>1.7344962619556108</x:v>
      </x:c>
      <x:c r="D786" s="83" t="n">
        <x:v>0.5119645608025164</x:v>
      </x:c>
      <x:c r="E786" s="81" t="n">
        <x:v>-0.11095806020170802</x:v>
      </x:c>
      <x:c r="F786" s="81" t="n">
        <x:v>0.8337218227912672</x:v>
      </x:c>
      <x:c r="G786" s="81" t="n">
        <x:v>-0.024758025664666092</x:v>
      </x:c>
      <x:c r="H786" s="59" t="n">
        <x:v>0</x:v>
      </x:c>
      <x:c r="I786" s="81" t="n">
        <x:v>0</x:v>
      </x:c>
      <x:c r="J786" s="79" t="n">
        <x:v>2.0187740872487723e-28</x:v>
      </x:c>
      <x:c r="K786" s="81" t="n">
        <x:v>-1</x:v>
      </x:c>
      <x:c r="L786" s="81" t="n">
        <x:v>-1</x:v>
      </x:c>
      <x:c r="M786" s="80" t="n">
        <x:v>0.000002</x:v>
      </x:c>
      <x:c r="N786" s="82" t="n">
        <x:v>0.15692972152942086</x:v>
      </x:c>
      <x:c r="O786" s="82" t="n">
        <x:v>0.12359397931806294</x:v>
      </x:c>
      <x:c r="P786" s="80" t="n">
        <x:v>395.9134151288783</x:v>
      </x:c>
      <x:c r="Q786" s="81" t="n">
        <x:v>100194962723.4213</x:v>
      </x:c>
      <x:c r="R786" s="81" t="n">
        <x:v>1.7929276049144254</x:v>
      </x:c>
      <x:c r="S786" s="81" t="n">
        <x:v>1.2089287033610026e-10</x:v>
      </x:c>
      <x:c r="T786" s="81" t="n">
        <x:v>4.373105415611208e-24</x:v>
      </x:c>
    </x:row>
    <x:row r="787">
      <x:c r="A787" s="59" t="n">
        <x:v>784</x:v>
      </x:c>
      <x:c r="B787" s="193" t="n">
        <x:v>0.6380922170355916</x:v>
      </x:c>
      <x:c r="C787" s="83" t="n">
        <x:v>2.6961483373266795</x:v>
      </x:c>
      <x:c r="D787" s="83" t="n">
        <x:v>2.050638368863324</x:v>
      </x:c>
      <x:c r="E787" s="81" t="n">
        <x:v>-0.10078729605648704</x:v>
      </x:c>
      <x:c r="F787" s="81" t="n">
        <x:v>0.30608034702017906</x:v>
      </x:c>
      <x:c r="G787" s="81" t="n">
        <x:v>0.0002281354316144714</x:v>
      </x:c>
      <x:c r="H787" s="59" t="n">
        <x:v>70</x:v>
      </x:c>
      <x:c r="I787" s="81" t="n">
        <x:v>0.11082331268116832</x:v>
      </x:c>
      <x:c r="J787" s="79" t="n">
        <x:v>1.7824693160496641e-68</x:v>
      </x:c>
      <x:c r="K787" s="81" t="n">
        <x:v>-1</x:v>
      </x:c>
      <x:c r="L787" s="81" t="n">
        <x:v>-1</x:v>
      </x:c>
      <x:c r="M787" s="80" t="n">
        <x:v>0.000002</x:v>
      </x:c>
      <x:c r="N787" s="82" t="n">
        <x:v>0.25409928032694734</x:v>
      </x:c>
      <x:c r="O787" s="82" t="n">
        <x:v>0.07346996313617694</x:v>
      </x:c>
      <x:c r="P787" s="80" t="n">
        <x:v>779.6797079755158</x:v>
      </x:c>
      <x:c r="Q787" s="81" t="n">
        <x:v>1.2378566478424736e+51</x:v>
      </x:c>
      <x:c r="R787" s="81" t="n">
        <x:v>0.754083773593496</x:v>
      </x:c>
      <x:c r="S787" s="81" t="n">
        <x:v>4.873591271420406e-10</x:v>
      </x:c>
      <x:c r="T787" s="81" t="n">
        <x:v>3.861217690683102e-64</x:v>
      </x:c>
    </x:row>
    <x:row r="788">
      <x:c r="A788" s="59" t="n">
        <x:v>785</x:v>
      </x:c>
      <x:c r="B788" s="193" t="n">
        <x:v>0.3671755135059357</x:v>
      </x:c>
      <x:c r="C788" s="83" t="n">
        <x:v>0.881216938161614</x:v>
      </x:c>
      <x:c r="D788" s="83" t="n">
        <x:v>0.4165428306018582</x:v>
      </x:c>
      <x:c r="E788" s="81" t="n">
        <x:v>0.08061492817190563</x:v>
      </x:c>
      <x:c r="F788" s="81" t="n">
        <x:v>0.6240265851723962</x:v>
      </x:c>
      <x:c r="G788" s="81" t="n">
        <x:v>0.00374092331501482</x:v>
      </x:c>
      <x:c r="H788" s="59" t="n">
        <x:v>60</x:v>
      </x:c>
      <x:c r="I788" s="81" t="n">
        <x:v>0.36355908280238514</x:v>
      </x:c>
      <x:c r="J788" s="79" t="n">
        <x:v>0.0015713611871615595</x:v>
      </x:c>
      <x:c r="K788" s="81" t="n">
        <x:v>0.7958413567560683</x:v>
      </x:c>
      <x:c r="L788" s="81" t="n">
        <x:v>-0.8267064015705279</x:v>
      </x:c>
      <x:c r="M788" s="80" t="n">
        <x:v>14487.484613482271</x:v>
      </x:c>
      <x:c r="N788" s="82" t="n">
        <x:v>0.18956184185799207</x:v>
      </x:c>
      <x:c r="O788" s="82" t="n">
        <x:v>0.11174419052624135</x:v>
      </x:c>
      <x:c r="P788" s="80" t="n">
        <x:v>12133.352854476703</x:v>
      </x:c>
      <x:c r="Q788" s="81" t="n">
        <x:v>0.0032982999607494615</x:v>
      </x:c>
      <x:c r="R788" s="81" t="n">
        <x:v>57.89007816442908</x:v>
      </x:c>
      <x:c r="S788" s="81" t="n">
        <x:v>34.68631971175322</x:v>
      </x:c>
      <x:c r="T788" s="81" t="n">
        <x:v>34.03911393979902</x:v>
      </x:c>
    </x:row>
    <x:row r="789">
      <x:c r="A789" s="59" t="n">
        <x:v>786</x:v>
      </x:c>
      <x:c r="B789" s="193" t="n">
        <x:v>0.5802332509309054</x:v>
      </x:c>
      <x:c r="C789" s="83" t="n">
        <x:v>0.36124581933299005</x:v>
      </x:c>
      <x:c r="D789" s="83" t="n">
        <x:v>1.6244743742310543</x:v>
      </x:c>
      <x:c r="E789" s="81" t="n">
        <x:v>0.04407050118707027</x:v>
      </x:c>
      <x:c r="F789" s="81" t="n">
        <x:v>0.43841959539568054</x:v>
      </x:c>
      <x:c r="G789" s="81" t="n">
        <x:v>0.027306296915795503</x:v>
      </x:c>
      <x:c r="H789" s="59" t="n">
        <x:v>0</x:v>
      </x:c>
      <x:c r="I789" s="81" t="n">
        <x:v>0</x:v>
      </x:c>
      <x:c r="J789" s="79" t="n">
        <x:v>0.009427741572389707</x:v>
      </x:c>
      <x:c r="K789" s="81" t="n">
        <x:v>9.774561797016808</x:v>
      </x:c>
      <x:c r="L789" s="81" t="n">
        <x:v>-0.7065845253190871</x:v>
      </x:c>
      <x:c r="M789" s="80" t="n">
        <x:v>30548.557623364362</x:v>
      </x:c>
      <x:c r="N789" s="82" t="n">
        <x:v>0.24031618974519653</x:v>
      </x:c>
      <x:c r="O789" s="82" t="n">
        <x:v>0.09952769090929339</x:v>
      </x:c>
      <x:c r="P789" s="80" t="n">
        <x:v>85762.17368638128</x:v>
      </x:c>
      <x:c r="Q789" s="81" t="n">
        <x:v>0.005622220628620968</x:v>
      </x:c>
      <x:c r="R789" s="81" t="n">
        <x:v>407.38072877199386</x:v>
      </x:c>
      <x:c r="S789" s="81" t="n">
        <x:v>507.46510412060604</x:v>
      </x:c>
      <x:c r="T789" s="81" t="n">
        <x:v>204.22546528416876</x:v>
      </x:c>
    </x:row>
    <x:row r="790">
      <x:c r="A790" s="59" t="n">
        <x:v>787</x:v>
      </x:c>
      <x:c r="B790" s="193" t="n">
        <x:v>0.9588483732193709</x:v>
      </x:c>
      <x:c r="C790" s="83" t="n">
        <x:v>0.18727300272332464</x:v>
      </x:c>
      <x:c r="D790" s="83" t="n">
        <x:v>0.44485926649253466</x:v>
      </x:c>
      <x:c r="E790" s="81" t="n">
        <x:v>0.03226887811938319</x:v>
      </x:c>
      <x:c r="F790" s="81" t="n">
        <x:v>0.6094424516661092</x:v>
      </x:c>
      <x:c r="G790" s="81" t="n">
        <x:v>0.032980443150763414</x:v>
      </x:c>
      <x:c r="H790" s="59" t="n">
        <x:v>0</x:v>
      </x:c>
      <x:c r="I790" s="81" t="n">
        <x:v>0</x:v>
      </x:c>
      <x:c r="J790" s="79" t="n">
        <x:v>0.00006966036912106432</x:v>
      </x:c>
      <x:c r="K790" s="81" t="n">
        <x:v>-0.9203881495759265</x:v>
      </x:c>
      <x:c r="L790" s="81" t="n">
        <x:v>-0.9625801423389404</x:v>
      </x:c>
      <x:c r="M790" s="80" t="n">
        <x:v>1810.5943972591945</x:v>
      </x:c>
      <x:c r="N790" s="82" t="n">
        <x:v>0.33050941090785213</x:v>
      </x:c>
      <x:c r="O790" s="82" t="n">
        <x:v>0.19027751647660776</x:v>
      </x:c>
      <x:c r="P790" s="80" t="n">
        <x:v>2080.9252852726754</x:v>
      </x:c>
      <x:c r="Q790" s="81" t="n">
        <x:v>0.01212096681177849</x:v>
      </x:c>
      <x:c r="R790" s="81" t="n">
        <x:v>59.45342794423175</x:v>
      </x:c>
      <x:c r="S790" s="81" t="n">
        <x:v>7.35969035796467</x:v>
      </x:c>
      <x:c r="T790" s="81" t="n">
        <x:v>1.5089956790160766</x:v>
      </x:c>
    </x:row>
    <x:row r="791">
      <x:c r="A791" s="59" t="n">
        <x:v>788</x:v>
      </x:c>
      <x:c r="B791" s="193" t="n">
        <x:v>0.7678249465301634</x:v>
      </x:c>
      <x:c r="C791" s="83" t="n">
        <x:v>0.444977197936515</x:v>
      </x:c>
      <x:c r="D791" s="83" t="n">
        <x:v>1.0380564275501938</x:v>
      </x:c>
      <x:c r="E791" s="81" t="n">
        <x:v>0.09738298856570118</x:v>
      </x:c>
      <x:c r="F791" s="81" t="n">
        <x:v>0.48887518686242404</x:v>
      </x:c>
      <x:c r="G791" s="81" t="n">
        <x:v>-0.008288010208861161</x:v>
      </x:c>
      <x:c r="H791" s="59" t="n">
        <x:v>0</x:v>
      </x:c>
      <x:c r="I791" s="81" t="n">
        <x:v>0</x:v>
      </x:c>
      <x:c r="J791" s="79" t="n">
        <x:v>0.005730731725429428</x:v>
      </x:c>
      <x:c r="K791" s="81" t="n">
        <x:v>5.549407686205061</x:v>
      </x:c>
      <x:c r="L791" s="81" t="n">
        <x:v>-0.7793621521703862</x:v>
      </x:c>
      <x:c r="M791" s="80" t="n">
        <x:v>26225.129543932395</x:v>
      </x:c>
      <x:c r="N791" s="82" t="n">
        <x:v>0.2850040489812324</x:v>
      </x:c>
      <x:c r="O791" s="82" t="n">
        <x:v>0.13161941820781045</x:v>
      </x:c>
      <x:c r="P791" s="80" t="n">
        <x:v>44915.60445903245</x:v>
      </x:c>
      <x:c r="Q791" s="81" t="n">
        <x:v>0.0035099512646003346</x:v>
      </x:c>
      <x:c r="R791" s="81" t="n">
        <x:v>445.72837156708835</x:v>
      </x:c>
      <x:c r="S791" s="81" t="n">
        <x:v>247.17650100751231</x:v>
      </x:c>
      <x:c r="T791" s="81" t="n">
        <x:v>124.14016061620931</x:v>
      </x:c>
    </x:row>
    <x:row r="792">
      <x:c r="A792" s="59" t="n">
        <x:v>789</x:v>
      </x:c>
      <x:c r="B792" s="193" t="n">
        <x:v>0.8515946596860886</x:v>
      </x:c>
      <x:c r="C792" s="83" t="n">
        <x:v>2.2577134403049772</x:v>
      </x:c>
      <x:c r="D792" s="83" t="n">
        <x:v>1.6904751739618884</x:v>
      </x:c>
      <x:c r="E792" s="81" t="n">
        <x:v>0.0727043706454048</x:v>
      </x:c>
      <x:c r="F792" s="81" t="n">
        <x:v>0.3149558272678405</x:v>
      </x:c>
      <x:c r="G792" s="81" t="n">
        <x:v>0.06062944693006951</x:v>
      </x:c>
      <x:c r="H792" s="59" t="n">
        <x:v>0</x:v>
      </x:c>
      <x:c r="I792" s="81" t="n">
        <x:v>0</x:v>
      </x:c>
      <x:c r="J792" s="79" t="n">
        <x:v>0.442844951138154</x:v>
      </x:c>
      <x:c r="K792" s="81" t="n">
        <x:v>505.10851558646175</x:v>
      </x:c>
      <x:c r="L792" s="81" t="n">
        <x:v>-0.663980749453493</x:v>
      </x:c>
      <x:c r="M792" s="80" t="n">
        <x:v>644981.5756345559</x:v>
      </x:c>
      <x:c r="N792" s="82" t="n">
        <x:v>0.30495956533709534</x:v>
      </x:c>
      <x:c r="O792" s="82" t="n">
        <x:v>0.09073249424017119</x:v>
      </x:c>
      <x:c r="P792" s="80" t="n">
        <x:v>1794048.9472086446</x:v>
      </x:c>
      <x:c r="Q792" s="81" t="n">
        <x:v>0.003827456497883806</x:v>
      </x:c>
      <x:c r="R792" s="81" t="n">
        <x:v>900.8449867848389</x:v>
      </x:c>
      <x:c r="S792" s="81" t="n">
        <x:v>3954.5580283208</x:v>
      </x:c>
      <x:c r="T792" s="81" t="n">
        <x:v>9592.988469242695</x:v>
      </x:c>
    </x:row>
    <x:row r="793">
      <x:c r="A793" s="59" t="n">
        <x:v>790</x:v>
      </x:c>
      <x:c r="B793" s="193" t="n">
        <x:v>0.31312326323240997</x:v>
      </x:c>
      <x:c r="C793" s="83" t="n">
        <x:v>0.12380468944726045</x:v>
      </x:c>
      <x:c r="D793" s="83" t="n">
        <x:v>1.0220839465082387</x:v>
      </x:c>
      <x:c r="E793" s="81" t="n">
        <x:v>-0.11198974995520483</x:v>
      </x:c>
      <x:c r="F793" s="81" t="n">
        <x:v>0.3646559651242569</x:v>
      </x:c>
      <x:c r="G793" s="81" t="n">
        <x:v>-0.005985093642535715</x:v>
      </x:c>
      <x:c r="H793" s="59" t="n">
        <x:v>27</x:v>
      </x:c>
      <x:c r="I793" s="81" t="n">
        <x:v>0.15174723006784918</x:v>
      </x:c>
      <x:c r="J793" s="79" t="n">
        <x:v>9.142277384950598e-45</x:v>
      </x:c>
      <x:c r="K793" s="81" t="n">
        <x:v>-1</x:v>
      </x:c>
      <x:c r="L793" s="81" t="n">
        <x:v>-1</x:v>
      </x:c>
      <x:c r="M793" s="80" t="n">
        <x:v>0.000002</x:v>
      </x:c>
      <x:c r="N793" s="82" t="n">
        <x:v>0.17668558236314566</x:v>
      </x:c>
      <x:c r="O793" s="82" t="n">
        <x:v>0.06086328322987042</x:v>
      </x:c>
      <x:c r="P793" s="80" t="n">
        <x:v>182.0874887022574</x:v>
      </x:c>
      <x:c r="Q793" s="81" t="n">
        <x:v>2.1941328321586868e+27</x:v>
      </x:c>
      <x:c r="R793" s="81" t="n">
        <x:v>10.270843027122627</x:v>
      </x:c>
      <x:c r="S793" s="81" t="n">
        <x:v>7.405938173901447e-10</x:v>
      </x:c>
      <x:c r="T793" s="81" t="n">
        <x:v>1.9804168775334892e-40</x:v>
      </x:c>
    </x:row>
    <x:row r="794">
      <x:c r="A794" s="59" t="n">
        <x:v>791</x:v>
      </x:c>
      <x:c r="B794" s="193" t="n">
        <x:v>0.3349451690912247</x:v>
      </x:c>
      <x:c r="C794" s="83" t="n">
        <x:v>2.511283184479666</x:v>
      </x:c>
      <x:c r="D794" s="83" t="n">
        <x:v>0.7097066446568507</x:v>
      </x:c>
      <x:c r="E794" s="81" t="n">
        <x:v>-0.019544663044114726</x:v>
      </x:c>
      <x:c r="F794" s="81" t="n">
        <x:v>0.842515715083573</x:v>
      </x:c>
      <x:c r="G794" s="81" t="n">
        <x:v>-0.005146080105273683</x:v>
      </x:c>
      <x:c r="H794" s="59" t="n">
        <x:v>0</x:v>
      </x:c>
      <x:c r="I794" s="81" t="n">
        <x:v>0</x:v>
      </x:c>
      <x:c r="J794" s="79" t="n">
        <x:v>9.67894088988121e-13</x:v>
      </x:c>
      <x:c r="K794" s="81" t="n">
        <x:v>-0.9999999988938353</x:v>
      </x:c>
      <x:c r="L794" s="81" t="n">
        <x:v>-0.9999999988938353</x:v>
      </x:c>
      <x:c r="M794" s="80" t="n">
        <x:v>0.6020448833391372</x:v>
      </x:c>
      <x:c r="N794" s="82" t="n">
        <x:v>0.18188396949945027</x:v>
      </x:c>
      <x:c r="O794" s="82" t="n">
        <x:v>0.14475826725815308</x:v>
      </x:c>
      <x:c r="P794" s="80" t="n">
        <x:v>2147.6558935993903</x:v>
      </x:c>
      <x:c r="Q794" s="81" t="n">
        <x:v>32.75942250714705</x:v>
      </x:c>
      <x:c r="R794" s="81" t="n">
        <x:v>3.9235542922140008</x:v>
      </x:c>
      <x:c r="S794" s="81" t="n">
        <x:v>0.000051354175054924756</x:v>
      </x:c>
      <x:c r="T794" s="81" t="n">
        <x:v>2.0966699092420217e-8</x:v>
      </x:c>
    </x:row>
    <x:row r="795">
      <x:c r="A795" s="59" t="n">
        <x:v>792</x:v>
      </x:c>
      <x:c r="B795" s="193" t="n">
        <x:v>0.42444506324827674</x:v>
      </x:c>
      <x:c r="C795" s="83" t="n">
        <x:v>1.5957475059386004</x:v>
      </x:c>
      <x:c r="D795" s="83" t="n">
        <x:v>2.3468311572381433</x:v>
      </x:c>
      <x:c r="E795" s="81" t="n">
        <x:v>0.16554546364693498</x:v>
      </x:c>
      <x:c r="F795" s="81" t="n">
        <x:v>0.8684075786499307</x:v>
      </x:c>
      <x:c r="G795" s="81" t="n">
        <x:v>0.03422185541669925</x:v>
      </x:c>
      <x:c r="H795" s="59" t="n">
        <x:v>0</x:v>
      </x:c>
      <x:c r="I795" s="81" t="n">
        <x:v>0</x:v>
      </x:c>
      <x:c r="J795" s="79" t="n">
        <x:v>0.5895799384856191</x:v>
      </x:c>
      <x:c r="K795" s="81" t="n">
        <x:v>672.8056439835648</x:v>
      </x:c>
      <x:c r="L795" s="81" t="n">
        <x:v>-0.8311318524120417</x:v>
      </x:c>
      <x:c r="M795" s="80" t="n">
        <x:v>974504.1302372334</x:v>
      </x:c>
      <x:c r="N795" s="82" t="n">
        <x:v>0.20320452241067538</x:v>
      </x:c>
      <x:c r="O795" s="82" t="n">
        <x:v>0.16669705062266332</x:v>
      </x:c>
      <x:c r="P795" s="80" t="n">
        <x:v>2592939.7453667987</x:v>
      </x:c>
      <x:c r="Q795" s="81" t="n">
        <x:v>0.004118566874001558</x:v>
      </x:c>
      <x:c r="R795" s="81" t="n">
        <x:v>2387.028983172648</x:v>
      </x:c>
      <x:c r="S795" s="81" t="n">
        <x:v>7480.823314192477</x:v>
      </x:c>
      <x:c r="T795" s="81" t="n">
        <x:v>12771.588649827276</x:v>
      </x:c>
    </x:row>
    <x:row r="796">
      <x:c r="A796" s="59" t="n">
        <x:v>793</x:v>
      </x:c>
      <x:c r="B796" s="193" t="n">
        <x:v>0.2407980877906084</x:v>
      </x:c>
      <x:c r="C796" s="83" t="n">
        <x:v>0.9052628875934942</x:v>
      </x:c>
      <x:c r="D796" s="83" t="n">
        <x:v>0.5451385404183464</x:v>
      </x:c>
      <x:c r="E796" s="81" t="n">
        <x:v>-0.09273254932255139</x:v>
      </x:c>
      <x:c r="F796" s="81" t="n">
        <x:v>0.3086928832344711</x:v>
      </x:c>
      <x:c r="G796" s="81" t="n">
        <x:v>0.012698197852147234</x:v>
      </x:c>
      <x:c r="H796" s="59" t="n">
        <x:v>0</x:v>
      </x:c>
      <x:c r="I796" s="81" t="n">
        <x:v>0</x:v>
      </x:c>
      <x:c r="J796" s="79" t="n">
        <x:v>7.022935534205207e-30</x:v>
      </x:c>
      <x:c r="K796" s="81" t="n">
        <x:v>-1</x:v>
      </x:c>
      <x:c r="L796" s="81" t="n">
        <x:v>-1</x:v>
      </x:c>
      <x:c r="M796" s="80" t="n">
        <x:v>0.000002</x:v>
      </x:c>
      <x:c r="N796" s="82" t="n">
        <x:v>0.15945636947586903</x:v>
      </x:c>
      <x:c r="O796" s="82" t="n">
        <x:v>0.04649855220847738</x:v>
      </x:c>
      <x:c r="P796" s="80" t="n">
        <x:v>332.2221551233358</x:v>
      </x:c>
      <x:c r="Q796" s="81" t="n">
        <x:v>3389672965239.219</x:v>
      </x:c>
      <x:c r="R796" s="81" t="n">
        <x:v>3.619816123461186</x:v>
      </x:c>
      <x:c r="S796" s="81" t="n">
        <x:v>2.9223341306802336e-10</x:v>
      </x:c>
      <x:c r="T796" s="81" t="n">
        <x:v>1.5213211627843012e-25</x:v>
      </x:c>
    </x:row>
    <x:row r="797">
      <x:c r="A797" s="59" t="n">
        <x:v>794</x:v>
      </x:c>
      <x:c r="B797" s="193" t="n">
        <x:v>0.939746586792171</x:v>
      </x:c>
      <x:c r="C797" s="83" t="n">
        <x:v>0.7742158889154919</x:v>
      </x:c>
      <x:c r="D797" s="83" t="n">
        <x:v>1.2695096136033677</x:v>
      </x:c>
      <x:c r="E797" s="81" t="n">
        <x:v>-0.016037985375740155</x:v>
      </x:c>
      <x:c r="F797" s="81" t="n">
        <x:v>0.36612063421634955</x:v>
      </x:c>
      <x:c r="G797" s="81" t="n">
        <x:v>-0.038400964220368816</x:v>
      </x:c>
      <x:c r="H797" s="59" t="n">
        <x:v>0</x:v>
      </x:c>
      <x:c r="I797" s="81" t="n">
        <x:v>0</x:v>
      </x:c>
      <x:c r="J797" s="79" t="n">
        <x:v>2.1564620032465037e-14</x:v>
      </x:c>
      <x:c r="K797" s="81" t="n">
        <x:v>-0.9999999999753547</x:v>
      </x:c>
      <x:c r="L797" s="81" t="n">
        <x:v>-0.9999999999753547</x:v>
      </x:c>
      <x:c r="M797" s="80" t="n">
        <x:v>0.04565904618436575</x:v>
      </x:c>
      <x:c r="N797" s="82" t="n">
        <x:v>0.32595900722239735</x:v>
      </x:c>
      <x:c r="O797" s="82" t="n">
        <x:v>0.11273483518560935</x:v>
      </x:c>
      <x:c r="P797" s="80" t="n">
        <x:v>1362.2146703010212</x:v>
      </x:c>
      <x:c r="Q797" s="81" t="n">
        <x:v>135.47628290703562</x:v>
      </x:c>
      <x:c r="R797" s="81" t="n">
        <x:v>8.55807321035648</x:v>
      </x:c>
      <x:c r="S797" s="81" t="n">
        <x:v>0.00000910935995826644</x:v>
      </x:c>
      <x:c r="T797" s="81" t="n">
        <x:v>4.671367501952175e-10</x:v>
      </x:c>
    </x:row>
    <x:row r="798">
      <x:c r="A798" s="59" t="n">
        <x:v>795</x:v>
      </x:c>
      <x:c r="B798" s="193" t="n">
        <x:v>0.2724764017388225</x:v>
      </x:c>
      <x:c r="C798" s="83" t="n">
        <x:v>1.4688484622412132</x:v>
      </x:c>
      <x:c r="D798" s="83" t="n">
        <x:v>1.504773947984738</x:v>
      </x:c>
      <x:c r="E798" s="81" t="n">
        <x:v>0.05452853007766091</x:v>
      </x:c>
      <x:c r="F798" s="81" t="n">
        <x:v>0.34949060158105566</x:v>
      </x:c>
      <x:c r="G798" s="81" t="n">
        <x:v>-0.014856164700374012</x:v>
      </x:c>
      <x:c r="H798" s="59" t="n">
        <x:v>0</x:v>
      </x:c>
      <x:c r="I798" s="81" t="n">
        <x:v>0</x:v>
      </x:c>
      <x:c r="J798" s="79" t="n">
        <x:v>0.05029928001021935</x:v>
      </x:c>
      <x:c r="K798" s="81" t="n">
        <x:v>56.48489144025069</x:v>
      </x:c>
      <x:c r="L798" s="81" t="n">
        <x:v>-0.6163261136715206</x:v>
      </x:c>
      <x:c r="M798" s="80" t="n">
        <x:v>123719.28959912571</x:v>
      </x:c>
      <x:c r="N798" s="82" t="n">
        <x:v>0.1670027378267201</x:v>
      </x:c>
      <x:c r="O798" s="82" t="n">
        <x:v>0.055135337089080194</x:v>
      </x:c>
      <x:c r="P798" s="80" t="n">
        <x:v>301197.5834328536</x:v>
      </x:c>
      <x:c r="Q798" s="81" t="n">
        <x:v>0.002682040069698946</x:v>
      </x:c>
      <x:c r="R798" s="81" t="n">
        <x:v>627.8393498354936</x:v>
      </x:c>
      <x:c r="S798" s="81" t="n">
        <x:v>664.6273367860977</x:v>
      </x:c>
      <x:c r="T798" s="81" t="n">
        <x:v>1089.5922193741176</x:v>
      </x:c>
    </x:row>
    <x:row r="799">
      <x:c r="A799" s="59" t="n">
        <x:v>796</x:v>
      </x:c>
      <x:c r="B799" s="193" t="n">
        <x:v>0.6873459240421653</x:v>
      </x:c>
      <x:c r="C799" s="83" t="n">
        <x:v>0.16197934074013454</x:v>
      </x:c>
      <x:c r="D799" s="83" t="n">
        <x:v>0.6371746183845862</x:v>
      </x:c>
      <x:c r="E799" s="81" t="n">
        <x:v>0.056565425810091836</x:v>
      </x:c>
      <x:c r="F799" s="81" t="n">
        <x:v>0.5054103218019008</x:v>
      </x:c>
      <x:c r="G799" s="81" t="n">
        <x:v>-0.03289255316618183</x:v>
      </x:c>
      <x:c r="H799" s="59" t="n">
        <x:v>84</x:v>
      </x:c>
      <x:c r="I799" s="81" t="n">
        <x:v>0.1177428662776947</x:v>
      </x:c>
      <x:c r="J799" s="79" t="n">
        <x:v>0.0002280334463478125</x:v>
      </x:c>
      <x:c r="K799" s="81" t="n">
        <x:v>-0.7393903470310714</x:v>
      </x:c>
      <x:c r="L799" s="81" t="n">
        <x:v>-0.8653464985130084</x:v>
      </x:c>
      <x:c r="M799" s="80" t="n">
        <x:v>3356.4531443047294</x:v>
      </x:c>
      <x:c r="N799" s="82" t="n">
        <x:v>0.26583243684291996</x:v>
      </x:c>
      <x:c r="O799" s="82" t="n">
        <x:v>0.12691794201208878</x:v>
      </x:c>
      <x:c r="P799" s="80" t="n">
        <x:v>4683.018410819209</x:v>
      </x:c>
      <x:c r="Q799" s="81" t="n">
        <x:v>0.004932895223918452</x:v>
      </x:c>
      <x:c r="R799" s="81" t="n">
        <x:v>187.7686517785297</x:v>
      </x:c>
      <x:c r="S799" s="81" t="n">
        <x:v>26.705088323083608</x:v>
      </x:c>
      <x:c r="T799" s="81" t="n">
        <x:v>4.93970229488695</x:v>
      </x:c>
    </x:row>
    <x:row r="800">
      <x:c r="A800" s="59" t="n">
        <x:v>797</x:v>
      </x:c>
      <x:c r="B800" s="193" t="n">
        <x:v>0.7846380770206451</x:v>
      </x:c>
      <x:c r="C800" s="83" t="n">
        <x:v>0.6055466323770983</x:v>
      </x:c>
      <x:c r="D800" s="83" t="n">
        <x:v>1.128380929882536</x:v>
      </x:c>
      <x:c r="E800" s="81" t="n">
        <x:v>0.12664157331523002</x:v>
      </x:c>
      <x:c r="F800" s="81" t="n">
        <x:v>0.791331699769944</x:v>
      </x:c>
      <x:c r="G800" s="81" t="n">
        <x:v>-0.014039718045917984</x:v>
      </x:c>
      <x:c r="H800" s="59" t="n">
        <x:v>0</x:v>
      </x:c>
      <x:c r="I800" s="81" t="n">
        <x:v>0</x:v>
      </x:c>
      <x:c r="J800" s="79" t="n">
        <x:v>0.0050921199799840115</x:v>
      </x:c>
      <x:c r="K800" s="81" t="n">
        <x:v>4.8195656914103</x:v>
      </x:c>
      <x:c r="L800" s="81" t="n">
        <x:v>-0.8263674926670266</x:v>
      </x:c>
      <x:c r="M800" s="80" t="n">
        <x:v>30421.919578090958</x:v>
      </x:c>
      <x:c r="N800" s="82" t="n">
        <x:v>0.28900925191026194</x:v>
      </x:c>
      <x:c r="O800" s="82" t="n">
        <x:v>0.21604352319598324</x:v>
      </x:c>
      <x:c r="P800" s="80" t="n">
        <x:v>52401.14327069025</x:v>
      </x:c>
      <x:c r="Q800" s="81" t="n">
        <x:v>0.004695699657708092</x:v>
      </x:c>
      <x:c r="R800" s="81" t="n">
        <x:v>328.69805656672156</x:v>
      </x:c>
      <x:c r="S800" s="81" t="n">
        <x:v>164.80134752647027</x:v>
      </x:c>
      <x:c r="T800" s="81" t="n">
        <x:v>110.30643598045154</x:v>
      </x:c>
    </x:row>
    <x:row r="801">
      <x:c r="A801" s="59" t="n">
        <x:v>798</x:v>
      </x:c>
      <x:c r="B801" s="193" t="n">
        <x:v>0.7078338757157325</x:v>
      </x:c>
      <x:c r="C801" s="83" t="n">
        <x:v>2.2433440616404843</x:v>
      </x:c>
      <x:c r="D801" s="83" t="n">
        <x:v>2.5850028280235424</x:v>
      </x:c>
      <x:c r="E801" s="81" t="n">
        <x:v>0.005714695606650603</x:v>
      </x:c>
      <x:c r="F801" s="81" t="n">
        <x:v>0.7170236553181895</x:v>
      </x:c>
      <x:c r="G801" s="81" t="n">
        <x:v>0.023973349612793706</x:v>
      </x:c>
      <x:c r="H801" s="59" t="n">
        <x:v>0</x:v>
      </x:c>
      <x:c r="I801" s="81" t="n">
        <x:v>0</x:v>
      </x:c>
      <x:c r="J801" s="79" t="n">
        <x:v>0.0004818375447504605</x:v>
      </x:c>
      <x:c r="K801" s="81" t="n">
        <x:v>-0.449328520285188</x:v>
      </x:c>
      <x:c r="L801" s="81" t="n">
        <x:v>-0.766044612641832</x:v>
      </x:c>
      <x:c r="M801" s="80" t="n">
        <x:v>12946.725701700952</x:v>
      </x:c>
      <x:c r="N801" s="82" t="n">
        <x:v>0.2707130510806574</x:v>
      </x:c>
      <x:c r="O801" s="82" t="n">
        <x:v>0.18336380783185938</x:v>
      </x:c>
      <x:c r="P801" s="80" t="n">
        <x:v>74236.13121380104</x:v>
      </x:c>
      <x:c r="Q801" s="81" t="n">
        <x:v>0.06600378643477192</x:v>
      </x:c>
      <x:c r="R801" s="81" t="n">
        <x:v>16.385635638403084</x:v>
      </x:c>
      <x:c r="S801" s="81" t="n">
        <x:v>10.038646499506395</x:v>
      </x:c>
      <x:c r="T801" s="81" t="n">
        <x:v>10.437653176263435</x:v>
      </x:c>
    </x:row>
    <x:row r="802">
      <x:c r="A802" s="59" t="n">
        <x:v>799</x:v>
      </x:c>
      <x:c r="B802" s="193" t="n">
        <x:v>0.2384714636951685</x:v>
      </x:c>
      <x:c r="C802" s="83" t="n">
        <x:v>0.2404798094404431</x:v>
      </x:c>
      <x:c r="D802" s="83" t="n">
        <x:v>0.7008413885795246</x:v>
      </x:c>
      <x:c r="E802" s="81" t="n">
        <x:v>-0.0641071175347675</x:v>
      </x:c>
      <x:c r="F802" s="81" t="n">
        <x:v>0.6080311586498284</x:v>
      </x:c>
      <x:c r="G802" s="81" t="n">
        <x:v>-0.029089404231676403</x:v>
      </x:c>
      <x:c r="H802" s="59" t="n">
        <x:v>33</x:v>
      </x:c>
      <x:c r="I802" s="81" t="n">
        <x:v>0.1148976543918252</x:v>
      </x:c>
      <x:c r="J802" s="79" t="n">
        <x:v>6.849430111830088e-25</x:v>
      </x:c>
      <x:c r="K802" s="81" t="n">
        <x:v>-1</x:v>
      </x:c>
      <x:c r="L802" s="81" t="n">
        <x:v>-1</x:v>
      </x:c>
      <x:c r="M802" s="80" t="n">
        <x:v>0.000002</x:v>
      </x:c>
      <x:c r="N802" s="82" t="n">
        <x:v>0.15890212399213335</x:v>
      </x:c>
      <x:c r="O802" s="82" t="n">
        <x:v>0.09126966983657674</x:v>
      </x:c>
      <x:c r="P802" s="80" t="n">
        <x:v>287.26541735079184</x:v>
      </x:c>
      <x:c r="Q802" s="81" t="n">
        <x:v>48957525.68036036</x:v>
      </x:c>
      <x:c r="R802" s="81" t="n">
        <x:v>12.90843224870928</x:v>
      </x:c>
      <x:c r="S802" s="81" t="n">
        <x:v>3.455797153215656e-10</x:v>
      </x:c>
      <x:c r="T802" s="81" t="n">
        <x:v>1.483736100294194e-20</x:v>
      </x:c>
    </x:row>
    <x:row r="803">
      <x:c r="A803" s="59" t="n">
        <x:v>800</x:v>
      </x:c>
      <x:c r="B803" s="193" t="n">
        <x:v>0.36013398543000225</x:v>
      </x:c>
      <x:c r="C803" s="83" t="n">
        <x:v>2.912856574702765</x:v>
      </x:c>
      <x:c r="D803" s="83" t="n">
        <x:v>0.8526476725595011</x:v>
      </x:c>
      <x:c r="E803" s="81" t="n">
        <x:v>0.06720064978920073</x:v>
      </x:c>
      <x:c r="F803" s="81" t="n">
        <x:v>0.6793469141703099</x:v>
      </x:c>
      <x:c r="G803" s="81" t="n">
        <x:v>-0.03048567177287044</x:v>
      </x:c>
      <x:c r="H803" s="59" t="n">
        <x:v>75</x:v>
      </x:c>
      <x:c r="I803" s="81" t="n">
        <x:v>0.43715926650911574</x:v>
      </x:c>
      <x:c r="J803" s="79" t="n">
        <x:v>0.008145701978604702</x:v>
      </x:c>
      <x:c r="K803" s="81" t="n">
        <x:v>8.309373689833947</x:v>
      </x:c>
      <x:c r="L803" s="81" t="n">
        <x:v>-0.8786753983637162</x:v>
      </x:c>
      <x:c r="M803" s="80" t="n">
        <x:v>71922.03534083419</x:v>
      </x:c>
      <x:c r="N803" s="82" t="n">
        <x:v>0.18788441784165347</x:v>
      </x:c>
      <x:c r="O803" s="82" t="n">
        <x:v>0.12057390105787365</x:v>
      </x:c>
      <x:c r="P803" s="80" t="n">
        <x:v>109335.36355287621</x:v>
      </x:c>
      <x:c r="Q803" s="81" t="n">
        <x:v>0.004513400921208434</x:v>
      </x:c>
      <x:c r="R803" s="81" t="n">
        <x:v>89.51630754753208</x:v>
      </x:c>
      <x:c r="S803" s="81" t="n">
        <x:v>56.92488973419593</x:v>
      </x:c>
      <x:c r="T803" s="81" t="n">
        <x:v>176.4536887093572</x:v>
      </x:c>
    </x:row>
    <x:row r="804">
      <x:c r="A804" s="59" t="n">
        <x:v>801</x:v>
      </x:c>
      <x:c r="B804" s="193" t="n">
        <x:v>0.6965337950736284</x:v>
      </x:c>
      <x:c r="C804" s="83" t="n">
        <x:v>0.46698964607553006</x:v>
      </x:c>
      <x:c r="D804" s="83" t="n">
        <x:v>0.4396193123930256</x:v>
      </x:c>
      <x:c r="E804" s="81" t="n">
        <x:v>0.0418682694375905</x:v>
      </x:c>
      <x:c r="F804" s="81" t="n">
        <x:v>0.39284156358335165</x:v>
      </x:c>
      <x:c r="G804" s="81" t="n">
        <x:v>0.0238496152487628</x:v>
      </x:c>
      <x:c r="H804" s="59" t="n">
        <x:v>0</x:v>
      </x:c>
      <x:c r="I804" s="81" t="n">
        <x:v>0</x:v>
      </x:c>
      <x:c r="J804" s="79" t="n">
        <x:v>0.0005342386937799103</x:v>
      </x:c>
      <x:c r="K804" s="81" t="n">
        <x:v>-0.3894414928229596</x:v>
      </x:c>
      <x:c r="L804" s="81" t="n">
        <x:v>-0.7719937922368048</x:v>
      </x:c>
      <x:c r="M804" s="80" t="n">
        <x:v>6270.705747887517</x:v>
      </x:c>
      <x:c r="N804" s="82" t="n">
        <x:v>0.2680211599951959</x:v>
      </x:c>
      <x:c r="O804" s="82" t="n">
        <x:v>0.09946206124544692</x:v>
      </x:c>
      <x:c r="P804" s="80" t="n">
        <x:v>6147.261001774723</x:v>
      </x:c>
      <x:c r="Q804" s="81" t="n">
        <x:v>0.005122521367681998</x:v>
      </x:c>
      <x:c r="R804" s="81" t="n">
        <x:v>52.13567639696645</x:v>
      </x:c>
      <x:c r="S804" s="81" t="n">
        <x:v>22.37802519181594</x:v>
      </x:c>
      <x:c r="T804" s="81" t="n">
        <x:v>11.572776467434839</x:v>
      </x:c>
    </x:row>
    <x:row r="805">
      <x:c r="A805" s="59" t="n">
        <x:v>802</x:v>
      </x:c>
      <x:c r="B805" s="193" t="n">
        <x:v>0.637024629302323</x:v>
      </x:c>
      <x:c r="C805" s="83" t="n">
        <x:v>0.44297998826737056</x:v>
      </x:c>
      <x:c r="D805" s="83" t="n">
        <x:v>1.478695107016423</x:v>
      </x:c>
      <x:c r="E805" s="81" t="n">
        <x:v>0.05180258974016809</x:v>
      </x:c>
      <x:c r="F805" s="81" t="n">
        <x:v>0.5859661769005471</x:v>
      </x:c>
      <x:c r="G805" s="81" t="n">
        <x:v>-0.0015478913611944578</x:v>
      </x:c>
      <x:c r="H805" s="59" t="n">
        <x:v>0</x:v>
      </x:c>
      <x:c r="I805" s="81" t="n">
        <x:v>0</x:v>
      </x:c>
      <x:c r="J805" s="79" t="n">
        <x:v>0.003148159936277493</x:v>
      </x:c>
      <x:c r="K805" s="81" t="n">
        <x:v>2.597897070031421</x:v>
      </x:c>
      <x:c r="L805" s="81" t="n">
        <x:v>-0.7669519415938024</x:v>
      </x:c>
      <x:c r="M805" s="80" t="n">
        <x:v>18214.000530896436</x:v>
      </x:c>
      <x:c r="N805" s="82" t="n">
        <x:v>0.25384496091161257</x:v>
      </x:c>
      <x:c r="O805" s="82" t="n">
        <x:v>0.14051155399134777</x:v>
      </x:c>
      <x:c r="P805" s="80" t="n">
        <x:v>46164.338912966195</x:v>
      </x:c>
      <x:c r="Q805" s="81" t="n">
        <x:v>0.006606241602967068</x:v>
      </x:c>
      <x:c r="R805" s="81" t="n">
        <x:v>250.75352171299076</x:v>
      </x:c>
      <x:c r="S805" s="81" t="n">
        <x:v>140.3192761769341</x:v>
      </x:c>
      <x:c r="T805" s="81" t="n">
        <x:v>68.19601734291932</x:v>
      </x:c>
    </x:row>
    <x:row r="806">
      <x:c r="A806" s="59" t="n">
        <x:v>803</x:v>
      </x:c>
      <x:c r="B806" s="193" t="n">
        <x:v>0.5528619144111873</x:v>
      </x:c>
      <x:c r="C806" s="83" t="n">
        <x:v>1.0794842986579318</x:v>
      </x:c>
      <x:c r="D806" s="83" t="n">
        <x:v>0.8700813271228223</x:v>
      </x:c>
      <x:c r="E806" s="81" t="n">
        <x:v>0.09727311035022489</x:v>
      </x:c>
      <x:c r="F806" s="81" t="n">
        <x:v>0.6146279237349518</x:v>
      </x:c>
      <x:c r="G806" s="81" t="n">
        <x:v>0.014744907912789186</x:v>
      </x:c>
      <x:c r="H806" s="59" t="n">
        <x:v>0</x:v>
      </x:c>
      <x:c r="I806" s="81" t="n">
        <x:v>0</x:v>
      </x:c>
      <x:c r="J806" s="79" t="n">
        <x:v>0.01284800857849717</x:v>
      </x:c>
      <x:c r="K806" s="81" t="n">
        <x:v>13.683438375425338</x:v>
      </x:c>
      <x:c r="L806" s="81" t="n">
        <x:v>-0.718203864072851</x:v>
      </x:c>
      <x:c r="M806" s="80" t="n">
        <x:v>55843.520630658284</x:v>
      </x:c>
      <x:c r="N806" s="82" t="n">
        <x:v>0.23379582417364</x:v>
      </x:c>
      <x:c r="O806" s="82" t="n">
        <x:v>0.13574379262039063</x:v>
      </x:c>
      <x:c r="P806" s="80" t="n">
        <x:v>83091.89245595565</x:v>
      </x:c>
      <x:c r="Q806" s="81" t="n">
        <x:v>0.0036484955210444475</x:v>
      </x:c>
      <x:c r="R806" s="81" t="n">
        <x:v>220.02115011797375</x:v>
      </x:c>
      <x:c r="S806" s="81" t="n">
        <x:v>234.16085052253152</x:v>
      </x:c>
      <x:c r="T806" s="81" t="n">
        <x:v>278.3159158289786</x:v>
      </x:c>
    </x:row>
    <x:row r="807">
      <x:c r="A807" s="59" t="n">
        <x:v>804</x:v>
      </x:c>
      <x:c r="B807" s="193" t="n">
        <x:v>0.26124455947428943</x:v>
      </x:c>
      <x:c r="C807" s="83" t="n">
        <x:v>0.11906196809487173</x:v>
      </x:c>
      <x:c r="D807" s="83" t="n">
        <x:v>0.48375501610004884</x:v>
      </x:c>
      <x:c r="E807" s="81" t="n">
        <x:v>-0.07787072561449235</x:v>
      </x:c>
      <x:c r="F807" s="81" t="n">
        <x:v>0.26984799874480814</x:v>
      </x:c>
      <x:c r="G807" s="81" t="n">
        <x:v>-0.03862183398303262</x:v>
      </x:c>
      <x:c r="H807" s="59" t="n">
        <x:v>0</x:v>
      </x:c>
      <x:c r="I807" s="81" t="n">
        <x:v>0</x:v>
      </x:c>
      <x:c r="J807" s="79" t="n">
        <x:v>3.0265721897280363e-22</x:v>
      </x:c>
      <x:c r="K807" s="81" t="n">
        <x:v>-1</x:v>
      </x:c>
      <x:c r="L807" s="81" t="n">
        <x:v>-1</x:v>
      </x:c>
      <x:c r="M807" s="80" t="n">
        <x:v>0.0000035015488367577036</x:v>
      </x:c>
      <x:c r="N807" s="82" t="n">
        <x:v>0.16432710240226595</x:v>
      </x:c>
      <x:c r="O807" s="82" t="n">
        <x:v>0.04188893711729907</x:v>
      </x:c>
      <x:c r="P807" s="80" t="n">
        <x:v>218.09273357413733</x:v>
      </x:c>
      <x:c r="Q807" s="81" t="n">
        <x:v>161758.23836426443</x:v>
      </x:c>
      <x:c r="R807" s="81" t="n">
        <x:v>32.044007171734066</x:v>
      </x:c>
      <x:c r="S807" s="81" t="n">
        <x:v>4.2953269014141154e-10</x:v>
      </x:c>
      <x:c r="T807" s="81" t="n">
        <x:v>6.5562161299958005e-18</x:v>
      </x:c>
    </x:row>
    <x:row r="808">
      <x:c r="A808" s="59" t="n">
        <x:v>805</x:v>
      </x:c>
      <x:c r="B808" s="193" t="n">
        <x:v>0.5188982922583818</x:v>
      </x:c>
      <x:c r="C808" s="83" t="n">
        <x:v>0.33817386973026764</x:v>
      </x:c>
      <x:c r="D808" s="83" t="n">
        <x:v>0.25723985912037955</x:v>
      </x:c>
      <x:c r="E808" s="81" t="n">
        <x:v>-0.2</x:v>
      </x:c>
      <x:c r="F808" s="81" t="n">
        <x:v>0.5173259292263538</x:v>
      </x:c>
      <x:c r="G808" s="81" t="n">
        <x:v>-0.02012473429256423</x:v>
      </x:c>
      <x:c r="H808" s="59" t="n">
        <x:v>0</x:v>
      </x:c>
      <x:c r="I808" s="81" t="n">
        <x:v>0</x:v>
      </x:c>
      <x:c r="J808" s="79" t="n">
        <x:v>3.388448774090582e-27</x:v>
      </x:c>
      <x:c r="K808" s="81" t="n">
        <x:v>-1</x:v>
      </x:c>
      <x:c r="L808" s="81" t="n">
        <x:v>-1</x:v>
      </x:c>
      <x:c r="M808" s="80" t="n">
        <x:v>0.000002</x:v>
      </x:c>
      <x:c r="N808" s="82" t="n">
        <x:v>0.2257050525589261</x:v>
      </x:c>
      <x:c r="O808" s="82" t="n">
        <x:v>0.11030024307360822</x:v>
      </x:c>
      <x:c r="P808" s="80" t="n">
        <x:v>102.90765521472682</x:v>
      </x:c>
      <x:c r="Q808" s="81" t="n">
        <x:v>3577215690.5226173</x:v>
      </x:c>
      <x:c r="R808" s="81" t="n">
        <x:v>7.860515982132818</x:v>
      </x:c>
      <x:c r="S808" s="81" t="n">
        <x:v>1.3149457402028675e-10</x:v>
      </x:c>
      <x:c r="T808" s="81" t="n">
        <x:v>7.340119817314984e-23</x:v>
      </x:c>
    </x:row>
    <x:row r="809">
      <x:c r="A809" s="59" t="n">
        <x:v>806</x:v>
      </x:c>
      <x:c r="B809" s="193" t="n">
        <x:v>0.5903665088117123</x:v>
      </x:c>
      <x:c r="C809" s="83" t="n">
        <x:v>0.14462405600148082</x:v>
      </x:c>
      <x:c r="D809" s="83" t="n">
        <x:v>0.24388672881714646</x:v>
      </x:c>
      <x:c r="E809" s="81" t="n">
        <x:v>0.02132703350161012</x:v>
      </x:c>
      <x:c r="F809" s="81" t="n">
        <x:v>0.6341838146443479</x:v>
      </x:c>
      <x:c r="G809" s="81" t="n">
        <x:v>-0.00994644005643123</x:v>
      </x:c>
      <x:c r="H809" s="59" t="n">
        <x:v>8</x:v>
      </x:c>
      <x:c r="I809" s="81" t="n">
        <x:v>0.24510440584272147</x:v>
      </x:c>
      <x:c r="J809" s="79" t="n">
        <x:v>0.000005601427418100244</x:v>
      </x:c>
      <x:c r="K809" s="81" t="n">
        <x:v>-0.9935983686650283</x:v>
      </x:c>
      <x:c r="L809" s="81" t="n">
        <x:v>-0.9935983686650283</x:v>
      </x:c>
      <x:c r="M809" s="80" t="n">
        <x:v>471.11283394051975</x:v>
      </x:c>
      <x:c r="N809" s="82" t="n">
        <x:v>0.24273012177099</x:v>
      </x:c>
      <x:c r="O809" s="82" t="n">
        <x:v>0.14541518815621687</x:v>
      </x:c>
      <x:c r="P809" s="80" t="n">
        <x:v>487.0101745801797</x:v>
      </x:c>
      <x:c r="Q809" s="81" t="n">
        <x:v>0.010741654483480618</x:v>
      </x:c>
      <x:c r="R809" s="81" t="n">
        <x:v>49.86798864829466</x:v>
      </x:c>
      <x:c r="S809" s="81" t="n">
        <x:v>0.7589060572292804</x:v>
      </x:c>
      <x:c r="T809" s="81" t="n">
        <x:v>0.1213391470198156</x:v>
      </x:c>
    </x:row>
    <x:row r="810">
      <x:c r="A810" s="59" t="n">
        <x:v>807</x:v>
      </x:c>
      <x:c r="B810" s="193" t="n">
        <x:v>0.975726031512022</x:v>
      </x:c>
      <x:c r="C810" s="83" t="n">
        <x:v>0.22196840725585207</x:v>
      </x:c>
      <x:c r="D810" s="83" t="n">
        <x:v>0.9482208110583782</x:v>
      </x:c>
      <x:c r="E810" s="81" t="n">
        <x:v>0.006375847580318928</x:v>
      </x:c>
      <x:c r="F810" s="81" t="n">
        <x:v>0.792187491140794</x:v>
      </x:c>
      <x:c r="G810" s="81" t="n">
        <x:v>-0.01177482190562535</x:v>
      </x:c>
      <x:c r="H810" s="59" t="n">
        <x:v>37</x:v>
      </x:c>
      <x:c r="I810" s="81" t="n">
        <x:v>0.3745834310539067</x:v>
      </x:c>
      <x:c r="J810" s="79" t="n">
        <x:v>0.000002761661865796576</x:v>
      </x:c>
      <x:c r="K810" s="81" t="n">
        <x:v>-0.9968438150105182</x:v>
      </x:c>
      <x:c r="L810" s="81" t="n">
        <x:v>-0.9968438150105182</x:v>
      </x:c>
      <x:c r="M810" s="80" t="n">
        <x:v>354.65685927513294</x:v>
      </x:c>
      <x:c r="N810" s="82" t="n">
        <x:v>0.3345299855692549</x:v>
      </x:c>
      <x:c r="O810" s="82" t="n">
        <x:v>0.25034214792559023</x:v>
      </x:c>
      <x:c r="P810" s="80" t="n">
        <x:v>1531.0700964815237</x:v>
      </x:c>
      <x:c r="Q810" s="81" t="n">
        <x:v>0.06226920567020994</x:v>
      </x:c>
      <x:c r="R810" s="81" t="n">
        <x:v>33.60994543185672</x:v>
      </x:c>
      <x:c r="S810" s="81" t="n">
        <x:v>0.33603467959404965</x:v>
      </x:c>
      <x:c r="T810" s="81" t="n">
        <x:v>0.05982362532630285</x:v>
      </x:c>
    </x:row>
    <x:row r="811">
      <x:c r="A811" s="59" t="n">
        <x:v>808</x:v>
      </x:c>
      <x:c r="B811" s="193" t="n">
        <x:v>0.31197407003492117</x:v>
      </x:c>
      <x:c r="C811" s="83" t="n">
        <x:v>1.2862311142508285</x:v>
      </x:c>
      <x:c r="D811" s="83" t="n">
        <x:v>1.260056270727454</x:v>
      </x:c>
      <x:c r="E811" s="81" t="n">
        <x:v>-0.05481389705276755</x:v>
      </x:c>
      <x:c r="F811" s="81" t="n">
        <x:v>0.3234653893858194</x:v>
      </x:c>
      <x:c r="G811" s="81" t="n">
        <x:v>-0.0069456560757962214</x:v>
      </x:c>
      <x:c r="H811" s="59" t="n">
        <x:v>0</x:v>
      </x:c>
      <x:c r="I811" s="81" t="n">
        <x:v>0</x:v>
      </x:c>
      <x:c r="J811" s="79" t="n">
        <x:v>3.320117931499355e-33</x:v>
      </x:c>
      <x:c r="K811" s="81" t="n">
        <x:v>-1</x:v>
      </x:c>
      <x:c r="L811" s="81" t="n">
        <x:v>-1</x:v>
      </x:c>
      <x:c r="M811" s="80" t="n">
        <x:v>0.000002</x:v>
      </x:c>
      <x:c r="N811" s="82" t="n">
        <x:v>0.1764118229961315</x:v>
      </x:c>
      <x:c r="O811" s="82" t="n">
        <x:v>0.053904676986281125</x:v>
      </x:c>
      <x:c r="P811" s="80" t="n">
        <x:v>703.1285331451344</x:v>
      </x:c>
      <x:c r="Q811" s="81" t="n">
        <x:v>11709179236981076</x:v>
      </x:c>
      <x:c r="R811" s="81" t="n">
        <x:v>2.396108951950134</x:v>
      </x:c>
      <x:c r="S811" s="81" t="n">
        <x:v>4.4355308438795115e-10</x:v>
      </x:c>
      <x:c r="T811" s="81" t="n">
        <x:v>7.192100294141786e-29</x:v>
      </x:c>
    </x:row>
    <x:row r="812">
      <x:c r="A812" s="59" t="n">
        <x:v>809</x:v>
      </x:c>
      <x:c r="B812" s="193" t="n">
        <x:v>0.6422154480591417</x:v>
      </x:c>
      <x:c r="C812" s="83" t="n">
        <x:v>1.282649453525855</x:v>
      </x:c>
      <x:c r="D812" s="83" t="n">
        <x:v>3</x:v>
      </x:c>
      <x:c r="E812" s="81" t="n">
        <x:v>0.03195670957246178</x:v>
      </x:c>
      <x:c r="F812" s="81" t="n">
        <x:v>0.5167656953330152</x:v>
      </x:c>
      <x:c r="G812" s="81" t="n">
        <x:v>0.049386630552416884</x:v>
      </x:c>
      <x:c r="H812" s="59" t="n">
        <x:v>0</x:v>
      </x:c>
      <x:c r="I812" s="81" t="n">
        <x:v>0</x:v>
      </x:c>
      <x:c r="J812" s="79" t="n">
        <x:v>0.05295721377899398</x:v>
      </x:c>
      <x:c r="K812" s="81" t="n">
        <x:v>59.522530033135986</x:v>
      </x:c>
      <x:c r="L812" s="81" t="n">
        <x:v>-0.6897935341966598</x:v>
      </x:c>
      <x:c r="M812" s="80" t="n">
        <x:v>138512.45657170017</x:v>
      </x:c>
      <x:c r="N812" s="82" t="n">
        <x:v>0.25508151126733863</x:v>
      </x:c>
      <x:c r="O812" s="82" t="n">
        <x:v>0.12452128656643674</x:v>
      </x:c>
      <x:c r="P812" s="80" t="n">
        <x:v>687632.1223382994</x:v>
      </x:c>
      <x:c r="Q812" s="81" t="n">
        <x:v>0.010510324971650756</x:v>
      </x:c>
      <x:c r="R812" s="81" t="n">
        <x:v>338.8953922876619</x:v>
      </x:c>
      <x:c r="S812" s="81" t="n">
        <x:v>912.6128630472963</x:v>
      </x:c>
      <x:c r="T812" s="81" t="n">
        <x:v>1147.1688676577544</x:v>
      </x:c>
    </x:row>
    <x:row r="813">
      <x:c r="A813" s="59" t="n">
        <x:v>810</x:v>
      </x:c>
      <x:c r="B813" s="193" t="n">
        <x:v>0.5689878148958087</x:v>
      </x:c>
      <x:c r="C813" s="83" t="n">
        <x:v>2.887621382806628</x:v>
      </x:c>
      <x:c r="D813" s="83" t="n">
        <x:v>0.8673976229686238</x:v>
      </x:c>
      <x:c r="E813" s="81" t="n">
        <x:v>0.07088831471486418</x:v>
      </x:c>
      <x:c r="F813" s="81" t="n">
        <x:v>0.25204691583057864</x:v>
      </x:c>
      <x:c r="G813" s="81" t="n">
        <x:v>0.01890164050305941</x:v>
      </x:c>
      <x:c r="H813" s="59" t="n">
        <x:v>0</x:v>
      </x:c>
      <x:c r="I813" s="81" t="n">
        <x:v>0</x:v>
      </x:c>
      <x:c r="J813" s="79" t="n">
        <x:v>0.13856297840979911</x:v>
      </x:c>
      <x:c r="K813" s="81" t="n">
        <x:v>157.357689611199</x:v>
      </x:c>
      <x:c r="L813" s="81" t="n">
        <x:v>-0.43062576551896314</x:v>
      </x:c>
      <x:c r="M813" s="80" t="n">
        <x:v>316551.1319348105</x:v>
      </x:c>
      <x:c r="N813" s="82" t="n">
        <x:v>0.23763731602971117</x:v>
      </x:c>
      <x:c r="O813" s="82" t="n">
        <x:v>0.056580524371541055</x:v>
      </x:c>
      <x:c r="P813" s="80" t="n">
        <x:v>474347.744406253</x:v>
      </x:c>
      <x:c r="Q813" s="81" t="n">
        <x:v>0.0022328864540834587</x:v>
      </x:c>
      <x:c r="R813" s="81" t="n">
        <x:v>237.37461304677623</x:v>
      </x:c>
      <x:c r="S813" s="81" t="n">
        <x:v>932.0638502153466</x:v>
      </x:c>
      <x:c r="T813" s="81" t="n">
        <x:v>3001.5766257080977</x:v>
      </x:c>
    </x:row>
    <x:row r="814">
      <x:c r="A814" s="59" t="n">
        <x:v>811</x:v>
      </x:c>
      <x:c r="B814" s="193" t="n">
        <x:v>0.7900423619896173</x:v>
      </x:c>
      <x:c r="C814" s="83" t="n">
        <x:v>0.9146573052294974</x:v>
      </x:c>
      <x:c r="D814" s="83" t="n">
        <x:v>0.3328802464944509</x:v>
      </x:c>
      <x:c r="E814" s="81" t="n">
        <x:v>0.0579999412373161</x:v>
      </x:c>
      <x:c r="F814" s="81" t="n">
        <x:v>0.8687390091363341</x:v>
      </x:c>
      <x:c r="G814" s="81" t="n">
        <x:v>-0.0405325739780434</x:v>
      </x:c>
      <x:c r="H814" s="59" t="n">
        <x:v>40</x:v>
      </x:c>
      <x:c r="I814" s="81" t="n">
        <x:v>0.356657187268138</x:v>
      </x:c>
      <x:c r="J814" s="79" t="n">
        <x:v>0.00004079428578973765</x:v>
      </x:c>
      <x:c r="K814" s="81" t="n">
        <x:v>-0.9533779590974427</x:v>
      </x:c>
      <x:c r="L814" s="81" t="n">
        <x:v>-0.9549539675362569</x:v>
      </x:c>
      <x:c r="M814" s="80" t="n">
        <x:v>2213.6604251098674</x:v>
      </x:c>
      <x:c r="N814" s="82" t="n">
        <x:v>0.2902966539202144</x:v>
      </x:c>
      <x:c r="O814" s="82" t="n">
        <x:v>0.23823320585976676</x:v>
      </x:c>
      <x:c r="P814" s="80" t="n">
        <x:v>2018.8667547634514</x:v>
      </x:c>
      <x:c r="Q814" s="81" t="n">
        <x:v>0.008381855470538786</x:v>
      </x:c>
      <x:c r="R814" s="81" t="n">
        <x:v>17.62717239292524</x:v>
      </x:c>
      <x:c r="S814" s="81" t="n">
        <x:v>0.936012522765197</x:v>
      </x:c>
      <x:c r="T814" s="81" t="n">
        <x:v>0.8836932930728133</x:v>
      </x:c>
    </x:row>
    <x:row r="815">
      <x:c r="A815" s="59" t="n">
        <x:v>812</x:v>
      </x:c>
      <x:c r="B815" s="193" t="n">
        <x:v>0.5422321924939753</x:v>
      </x:c>
      <x:c r="C815" s="83" t="n">
        <x:v>0.7325687799640406</x:v>
      </x:c>
      <x:c r="D815" s="83" t="n">
        <x:v>0.9647127024676927</x:v>
      </x:c>
      <x:c r="E815" s="81" t="n">
        <x:v>0.05052081947915947</x:v>
      </x:c>
      <x:c r="F815" s="81" t="n">
        <x:v>0.6312049804371782</x:v>
      </x:c>
      <x:c r="G815" s="81" t="n">
        <x:v>0.004959781574721103</x:v>
      </x:c>
      <x:c r="H815" s="59" t="n">
        <x:v>71</x:v>
      </x:c>
      <x:c r="I815" s="81" t="n">
        <x:v>0.4744229423813522</x:v>
      </x:c>
      <x:c r="J815" s="79" t="n">
        <x:v>0.0020201873003917363</x:v>
      </x:c>
      <x:c r="K815" s="81" t="n">
        <x:v>1.3087854861619848</x:v>
      </x:c>
      <x:c r="L815" s="81" t="n">
        <x:v>-0.9047319358721514</x:v>
      </x:c>
      <x:c r="M815" s="80" t="n">
        <x:v>16040.318114408226</x:v>
      </x:c>
      <x:c r="N815" s="82" t="n">
        <x:v>0.23126362510567433</x:v>
      </x:c>
      <x:c r="O815" s="82" t="n">
        <x:v>0.1378950535485139</x:v>
      </x:c>
      <x:c r="P815" s="80" t="n">
        <x:v>28720.410004260837</x:v>
      </x:c>
      <x:c r="Q815" s="81" t="n">
        <x:v>0.006519395185871419</x:v>
      </x:c>
      <x:c r="R815" s="81" t="n">
        <x:v>92.53432265107371</x:v>
      </x:c>
      <x:c r="S815" s="81" t="n">
        <x:v>55.538070886037936</x:v>
      </x:c>
      <x:c r="T815" s="81" t="n">
        <x:v>43.761667438142716</x:v>
      </x:c>
    </x:row>
    <x:row r="816">
      <x:c r="A816" s="59" t="n">
        <x:v>813</x:v>
      </x:c>
      <x:c r="B816" s="193" t="n">
        <x:v>0.6532663319259882</x:v>
      </x:c>
      <x:c r="C816" s="83" t="n">
        <x:v>1.0183576128804173</x:v>
      </x:c>
      <x:c r="D816" s="83" t="n">
        <x:v>0.9285252350166169</x:v>
      </x:c>
      <x:c r="E816" s="81" t="n">
        <x:v>-0.009756830662802855</x:v>
      </x:c>
      <x:c r="F816" s="81" t="n">
        <x:v>0.6516251503140666</x:v>
      </x:c>
      <x:c r="G816" s="81" t="n">
        <x:v>-0.02724429899281361</x:v>
      </x:c>
      <x:c r="H816" s="59" t="n">
        <x:v>23</x:v>
      </x:c>
      <x:c r="I816" s="81" t="n">
        <x:v>0.18824078971520067</x:v>
      </x:c>
      <x:c r="J816" s="79" t="n">
        <x:v>6.233307178375557e-10</x:v>
      </x:c>
      <x:c r="K816" s="81" t="n">
        <x:v>-0.9999992876220367</x:v>
      </x:c>
      <x:c r="L816" s="81" t="n">
        <x:v>-0.9999992876220367</x:v>
      </x:c>
      <x:c r="M816" s="80" t="n">
        <x:v>8.698882508803225</x:v>
      </x:c>
      <x:c r="N816" s="82" t="n">
        <x:v>0.25771403900849427</x:v>
      </x:c>
      <x:c r="O816" s="82" t="n">
        <x:v>0.1586378653842347</x:v>
      </x:c>
      <x:c r="P816" s="80" t="n">
        <x:v>1650.0032052707004</x:v>
      </x:c>
      <x:c r="Q816" s="81" t="n">
        <x:v>1.424998288367045</x:v>
      </x:c>
      <x:c r="R816" s="81" t="n">
        <x:v>8.440029708623188</x:v>
      </x:c>
      <x:c r="S816" s="81" t="n">
        <x:v>0.0012800587280072824</x:v>
      </x:c>
      <x:c r="T816" s="81" t="n">
        <x:v>0.00001350270421593898</x:v>
      </x:c>
    </x:row>
    <x:row r="817">
      <x:c r="A817" s="59" t="n">
        <x:v>814</x:v>
      </x:c>
      <x:c r="B817" s="193" t="n">
        <x:v>0.532035824470222</x:v>
      </x:c>
      <x:c r="C817" s="83" t="n">
        <x:v>2.8916744009595337</x:v>
      </x:c>
      <x:c r="D817" s="83" t="n">
        <x:v>0.8553650025436862</x:v>
      </x:c>
      <x:c r="E817" s="81" t="n">
        <x:v>0.1583686176811145</x:v>
      </x:c>
      <x:c r="F817" s="81" t="n">
        <x:v>0.5463554813992233</x:v>
      </x:c>
      <x:c r="G817" s="81" t="n">
        <x:v>-0.018017631247510206</x:v>
      </x:c>
      <x:c r="H817" s="59" t="n">
        <x:v>0</x:v>
      </x:c>
      <x:c r="I817" s="81" t="n">
        <x:v>0</x:v>
      </x:c>
      <x:c r="J817" s="79" t="n">
        <x:v>0.0796788402670986</x:v>
      </x:c>
      <x:c r="K817" s="81" t="n">
        <x:v>90.06153173382697</x:v>
      </x:c>
      <x:c r="L817" s="81" t="n">
        <x:v>-0.735421314403899</x:v>
      </x:c>
      <x:c r="M817" s="80" t="n">
        <x:v>282810.76822940767</x:v>
      </x:c>
      <x:c r="N817" s="82" t="n">
        <x:v>0.22883465906051562</x:v>
      </x:c>
      <x:c r="O817" s="82" t="n">
        <x:v>0.1181049361892646</x:v>
      </x:c>
      <x:c r="P817" s="80" t="n">
        <x:v>373588.846262928</x:v>
      </x:c>
      <x:c r="Q817" s="81" t="n">
        <x:v>0.0021782761458673285</x:v>
      </x:c>
      <x:c r="R817" s="81" t="n">
        <x:v>697.9263455954631</x:v>
      </x:c>
      <x:c r="S817" s="81" t="n">
        <x:v>536.2181061347262</x:v>
      </x:c>
      <x:c r="T817" s="81" t="n">
        <x:v>1726.017636557521</x:v>
      </x:c>
    </x:row>
    <x:row r="818">
      <x:c r="A818" s="59" t="n">
        <x:v>815</x:v>
      </x:c>
      <x:c r="B818" s="193" t="n">
        <x:v>0.3469969142228365</x:v>
      </x:c>
      <x:c r="C818" s="83" t="n">
        <x:v>0.9645190084617499</x:v>
      </x:c>
      <x:c r="D818" s="83" t="n">
        <x:v>3</x:v>
      </x:c>
      <x:c r="E818" s="81" t="n">
        <x:v>0.11596652713644993</x:v>
      </x:c>
      <x:c r="F818" s="81" t="n">
        <x:v>0.572533823561389</x:v>
      </x:c>
      <x:c r="G818" s="81" t="n">
        <x:v>0.025723499139483803</x:v>
      </x:c>
      <x:c r="H818" s="59" t="n">
        <x:v>50</x:v>
      </x:c>
      <x:c r="I818" s="81" t="n">
        <x:v>0.12030167439952494</x:v>
      </x:c>
      <x:c r="J818" s="79" t="n">
        <x:v>0.6401151967058952</x:v>
      </x:c>
      <x:c r="K818" s="81" t="n">
        <x:v>730.5602248067374</x:v>
      </x:c>
      <x:c r="L818" s="81" t="n">
        <x:v>-0.9602270325674703</x:v>
      </x:c>
      <x:c r="M818" s="80" t="n">
        <x:v>703256.1428048463</x:v>
      </x:c>
      <x:c r="N818" s="82" t="n">
        <x:v>0.1847549211600214</x:v>
      </x:c>
      <x:c r="O818" s="82" t="n">
        <x:v>0.09992360767762196</x:v>
      </x:c>
      <x:c r="P818" s="80" t="n">
        <x:v>2351215.2705384884</x:v>
      </x:c>
      <x:c r="Q818" s="81" t="n">
        <x:v>0.003353669659070615</x:v>
      </x:c>
      <x:c r="R818" s="81" t="n">
        <x:v>5083.566697417376</x:v>
      </x:c>
      <x:c r="S818" s="81" t="n">
        <x:v>12996.737414289126</x:v>
      </x:c>
      <x:c r="T818" s="81" t="n">
        <x:v>13866.292672423377</x:v>
      </x:c>
    </x:row>
    <x:row r="819">
      <x:c r="A819" s="59" t="n">
        <x:v>816</x:v>
      </x:c>
      <x:c r="B819" s="193" t="n">
        <x:v>0.29229398258030415</x:v>
      </x:c>
      <x:c r="C819" s="83" t="n">
        <x:v>0.4866583758467211</x:v>
      </x:c>
      <x:c r="D819" s="83" t="n">
        <x:v>0.13588982423500065</x:v>
      </x:c>
      <x:c r="E819" s="81" t="n">
        <x:v>-0.031434517349159606</x:v>
      </x:c>
      <x:c r="F819" s="81" t="n">
        <x:v>0.7535096016246826</x:v>
      </x:c>
      <x:c r="G819" s="81" t="n">
        <x:v>-0.05</x:v>
      </x:c>
      <x:c r="H819" s="59" t="n">
        <x:v>0</x:v>
      </x:c>
      <x:c r="I819" s="81" t="n">
        <x:v>0</x:v>
      </x:c>
      <x:c r="J819" s="79" t="n">
        <x:v>8.46032258921748e-8</x:v>
      </x:c>
      <x:c r="K819" s="81" t="n">
        <x:v>-0.9999033105989804</x:v>
      </x:c>
      <x:c r="L819" s="81" t="n">
        <x:v>-0.9999033105989804</x:v>
      </x:c>
      <x:c r="M819" s="80" t="n">
        <x:v>74.10656828494801</x:v>
      </x:c>
      <x:c r="N819" s="82" t="n">
        <x:v>0.17172365716280188</x:v>
      </x:c>
      <x:c r="O819" s="82" t="n">
        <x:v>0.12223339139450241</x:v>
      </x:c>
      <x:c r="P819" s="80" t="n">
        <x:v>241.1668425470954</x:v>
      </x:c>
      <x:c r="Q819" s="81" t="n">
        <x:v>0.021171918522951222</x:v>
      </x:c>
      <x:c r="R819" s="81" t="n">
        <x:v>18.012999253172534</x:v>
      </x:c>
      <x:c r="S819" s="81" t="n">
        <x:v>0.004834046149103933</x:v>
      </x:c>
      <x:c r="T819" s="81" t="n">
        <x:v>0.0018326905802098091</x:v>
      </x:c>
    </x:row>
    <x:row r="820">
      <x:c r="A820" s="59" t="n">
        <x:v>817</x:v>
      </x:c>
      <x:c r="B820" s="193" t="n">
        <x:v>0.32859507147222755</x:v>
      </x:c>
      <x:c r="C820" s="83" t="n">
        <x:v>0.7647301950207596</x:v>
      </x:c>
      <x:c r="D820" s="83" t="n">
        <x:v>0.2376552054837738</x:v>
      </x:c>
      <x:c r="E820" s="81" t="n">
        <x:v>0.12700570139454181</x:v>
      </x:c>
      <x:c r="F820" s="81" t="n">
        <x:v>0.7188138480996713</x:v>
      </x:c>
      <x:c r="G820" s="81" t="n">
        <x:v>0.013916393812898812</x:v>
      </x:c>
      <x:c r="H820" s="59" t="n">
        <x:v>0</x:v>
      </x:c>
      <x:c r="I820" s="81" t="n">
        <x:v>0</x:v>
      </x:c>
      <x:c r="J820" s="79" t="n">
        <x:v>0.0011640533015099467</x:v>
      </x:c>
      <x:c r="K820" s="81" t="n">
        <x:v>0.3303466302970821</x:v>
      </x:c>
      <x:c r="L820" s="81" t="n">
        <x:v>-0.7053864551831286</x:v>
      </x:c>
      <x:c r="M820" s="80" t="n">
        <x:v>11638.752751153643</x:v>
      </x:c>
      <x:c r="N820" s="82" t="n">
        <x:v>0.18037125718227473</x:v>
      </x:c>
      <x:c r="O820" s="82" t="n">
        <x:v>0.12247704777572346</x:v>
      </x:c>
      <x:c r="P820" s="80" t="n">
        <x:v>6037.168207491432</x:v>
      </x:c>
      <x:c r="Q820" s="81" t="n">
        <x:v>0.002308900756112802</x:v>
      </x:c>
      <x:c r="R820" s="81" t="n">
        <x:v>50.51720250731879</x:v>
      </x:c>
      <x:c r="S820" s="81" t="n">
        <x:v>29.168099204045717</x:v>
      </x:c>
      <x:c r="T820" s="81" t="n">
        <x:v>25.215935894197717</x:v>
      </x:c>
    </x:row>
    <x:row r="821">
      <x:c r="A821" s="59" t="n">
        <x:v>818</x:v>
      </x:c>
      <x:c r="B821" s="193" t="n">
        <x:v>0.3592712765559554</x:v>
      </x:c>
      <x:c r="C821" s="83" t="n">
        <x:v>2.396398008383177</x:v>
      </x:c>
      <x:c r="D821" s="83" t="n">
        <x:v>0.8235643362160249</x:v>
      </x:c>
      <x:c r="E821" s="81" t="n">
        <x:v>0.022321862718129092</x:v>
      </x:c>
      <x:c r="F821" s="81" t="n">
        <x:v>0.8266217374592089</x:v>
      </x:c>
      <x:c r="G821" s="81" t="n">
        <x:v>-0.0233681630735751</x:v>
      </x:c>
      <x:c r="H821" s="59" t="n">
        <x:v>0</x:v>
      </x:c>
      <x:c r="I821" s="81" t="n">
        <x:v>0</x:v>
      </x:c>
      <x:c r="J821" s="79" t="n">
        <x:v>0.0004470413529395643</x:v>
      </x:c>
      <x:c r="K821" s="81" t="n">
        <x:v>-0.48909559664049784</x:v>
      </x:c>
      <x:c r="L821" s="81" t="n">
        <x:v>-0.7214076010718957</x:v>
      </x:c>
      <x:c r="M821" s="80" t="n">
        <x:v>12998.554862184752</x:v>
      </x:c>
      <x:c r="N821" s="82" t="n">
        <x:v>0.18767890441206397</x:v>
      </x:c>
      <x:c r="O821" s="82" t="n">
        <x:v>0.1465524971919444</x:v>
      </x:c>
      <x:c r="P821" s="80" t="n">
        <x:v>23299.810185104507</x:v>
      </x:c>
      <x:c r="Q821" s="81" t="n">
        <x:v>0.013547346208927015</x:v>
      </x:c>
      <x:c r="R821" s="81" t="n">
        <x:v>15.189515334821115</x:v>
      </x:c>
      <x:c r="S821" s="81" t="n">
        <x:v>4.521587706457568</x:v>
      </x:c>
      <x:c r="T821" s="81" t="n">
        <x:v>9.683891693926135</x:v>
      </x:c>
    </x:row>
    <x:row r="822">
      <x:c r="A822" s="59" t="n">
        <x:v>819</x:v>
      </x:c>
      <x:c r="B822" s="193" t="n">
        <x:v>0.4407523667439819</x:v>
      </x:c>
      <x:c r="C822" s="83" t="n">
        <x:v>0.4599597815699557</x:v>
      </x:c>
      <x:c r="D822" s="83" t="n">
        <x:v>0.5092244735204653</x:v>
      </x:c>
      <x:c r="E822" s="81" t="n">
        <x:v>0.046484312770431226</x:v>
      </x:c>
      <x:c r="F822" s="81" t="n">
        <x:v>0.7249199422309176</x:v>
      </x:c>
      <x:c r="G822" s="81" t="n">
        <x:v>0.0022318078461117195</x:v>
      </x:c>
      <x:c r="H822" s="59" t="n">
        <x:v>0</x:v>
      </x:c>
      <x:c r="I822" s="81" t="n">
        <x:v>0</x:v>
      </x:c>
      <x:c r="J822" s="79" t="n">
        <x:v>0.0002701295089424887</x:v>
      </x:c>
      <x:c r="K822" s="81" t="n">
        <x:v>-0.6912805612085843</x:v>
      </x:c>
      <x:c r="L822" s="81" t="n">
        <x:v>-0.8383717572120483</x:v>
      </x:c>
      <x:c r="M822" s="80" t="n">
        <x:v>4489.62738940571</x:v>
      </x:c>
      <x:c r="N822" s="82" t="n">
        <x:v>0.207089227865293</x:v>
      </x:c>
      <x:c r="O822" s="82" t="n">
        <x:v>0.1418138011269727</x:v>
      </x:c>
      <x:c r="P822" s="80" t="n">
        <x:v>5095.099041066003</x:v>
      </x:c>
      <x:c r="Q822" s="81" t="n">
        <x:v>0.006558326202407426</x:v>
      </x:c>
      <x:c r="R822" s="81" t="n">
        <x:v>49.657109123722904</x:v>
      </x:c>
      <x:c r="S822" s="81" t="n">
        <x:v>11.639098665862537</x:v>
      </x:c>
      <x:c r="T822" s="81" t="n">
        <x:v>5.851594915618819</x:v>
      </x:c>
    </x:row>
    <x:row r="823">
      <x:c r="A823" s="59" t="n">
        <x:v>820</x:v>
      </x:c>
      <x:c r="B823" s="193" t="n">
        <x:v>0.9856939716264606</x:v>
      </x:c>
      <x:c r="C823" s="83" t="n">
        <x:v>1.5006162112228851</x:v>
      </x:c>
      <x:c r="D823" s="83" t="n">
        <x:v>0.30485231077870556</x:v>
      </x:c>
      <x:c r="E823" s="81" t="n">
        <x:v>0.12393705049575711</x:v>
      </x:c>
      <x:c r="F823" s="81" t="n">
        <x:v>0.8588395048864186</x:v>
      </x:c>
      <x:c r="G823" s="81" t="n">
        <x:v>-0.04307949860092443</x:v>
      </x:c>
      <x:c r="H823" s="59" t="n">
        <x:v>0</x:v>
      </x:c>
      <x:c r="I823" s="81" t="n">
        <x:v>0</x:v>
      </x:c>
      <x:c r="J823" s="79" t="n">
        <x:v>0.00019750991105342507</x:v>
      </x:c>
      <x:c r="K823" s="81" t="n">
        <x:v>-0.7742743873675142</x:v>
      </x:c>
      <x:c r="L823" s="81" t="n">
        <x:v>-0.8824800883225302</x:v>
      </x:c>
      <x:c r="M823" s="80" t="n">
        <x:v>6713.969590128076</x:v>
      </x:c>
      <x:c r="N823" s="82" t="n">
        <x:v>0.3369045358033912</x:v>
      </x:c>
      <x:c r="O823" s="82" t="n">
        <x:v>0.2733315805844339</x:v>
      </x:c>
      <x:c r="P823" s="80" t="n">
        <x:v>4876.179005045561</x:v>
      </x:c>
      <x:c r="Q823" s="81" t="n">
        <x:v>0.005084653169413446</x:v>
      </x:c>
      <x:c r="R823" s="81" t="n">
        <x:v>22.023916809276987</x:v>
      </x:c>
      <x:c r="S823" s="81" t="n">
        <x:v>2.6789957244885025</x:v>
      </x:c>
      <x:c r="T823" s="81" t="n">
        <x:v>4.278495880842878</x:v>
      </x:c>
    </x:row>
    <x:row r="824">
      <x:c r="A824" s="59" t="n">
        <x:v>821</x:v>
      </x:c>
      <x:c r="B824" s="193" t="n">
        <x:v>0.3494373630732298</x:v>
      </x:c>
      <x:c r="C824" s="83" t="n">
        <x:v>1.069827923972414</x:v>
      </x:c>
      <x:c r="D824" s="83" t="n">
        <x:v>0.990604218309081</x:v>
      </x:c>
      <x:c r="E824" s="81" t="n">
        <x:v>0.007578464281741453</x:v>
      </x:c>
      <x:c r="F824" s="81" t="n">
        <x:v>0.3298966489848681</x:v>
      </x:c>
      <x:c r="G824" s="81" t="n">
        <x:v>0.023551856552685376</x:v>
      </x:c>
      <x:c r="H824" s="59" t="n">
        <x:v>77</x:v>
      </x:c>
      <x:c r="I824" s="81" t="n">
        <x:v>0.3778939003124834</x:v>
      </x:c>
      <x:c r="J824" s="79" t="n">
        <x:v>0.00045626435640862143</x:v>
      </x:c>
      <x:c r="K824" s="81" t="n">
        <x:v>-0.47855502124728977</x:v>
      </x:c>
      <x:c r="L824" s="81" t="n">
        <x:v>-0.7481417292994652</x:v>
      </x:c>
      <x:c r="M824" s="80" t="n">
        <x:v>7763.2835718706465</x:v>
      </x:c>
      <x:c r="N824" s="82" t="n">
        <x:v>0.18533628183460102</x:v>
      </x:c>
      <x:c r="O824" s="82" t="n">
        <x:v>0.05775762038996227</x:v>
      </x:c>
      <x:c r="P824" s="80" t="n">
        <x:v>17905.797454743493</x:v>
      </x:c>
      <x:c r="Q824" s="81" t="n">
        <x:v>0.015845079369666223</x:v>
      </x:c>
      <x:c r="R824" s="81" t="n">
        <x:v>22.508013980402833</x:v>
      </x:c>
      <x:c r="S824" s="81" t="n">
        <x:v>10.090442578225634</x:v>
      </x:c>
      <x:c r="T824" s="81" t="n">
        <x:v>9.883682084903969</x:v>
      </x:c>
    </x:row>
    <x:row r="825">
      <x:c r="A825" s="59" t="n">
        <x:v>822</x:v>
      </x:c>
      <x:c r="B825" s="193" t="n">
        <x:v>0.4779014497995377</x:v>
      </x:c>
      <x:c r="C825" s="83" t="n">
        <x:v>1.1806042815246474</x:v>
      </x:c>
      <x:c r="D825" s="83" t="n">
        <x:v>1.6185466195672964</x:v>
      </x:c>
      <x:c r="E825" s="81" t="n">
        <x:v>-0.10847130541854189</x:v>
      </x:c>
      <x:c r="F825" s="81" t="n">
        <x:v>0.5005501797073522</x:v>
      </x:c>
      <x:c r="G825" s="81" t="n">
        <x:v>-0.005334860790500758</x:v>
      </x:c>
      <x:c r="H825" s="59" t="n">
        <x:v>0</x:v>
      </x:c>
      <x:c r="I825" s="81" t="n">
        <x:v>0</x:v>
      </x:c>
      <x:c r="J825" s="79" t="n">
        <x:v>9.320425469224644e-60</x:v>
      </x:c>
      <x:c r="K825" s="81" t="n">
        <x:v>-1</x:v>
      </x:c>
      <x:c r="L825" s="81" t="n">
        <x:v>-1</x:v>
      </x:c>
      <x:c r="M825" s="80" t="n">
        <x:v>0.000002</x:v>
      </x:c>
      <x:c r="N825" s="82" t="n">
        <x:v>0.21593883599443356</x:v>
      </x:c>
      <x:c r="O825" s="82" t="n">
        <x:v>0.10210554305320195</x:v>
      </x:c>
      <x:c r="P825" s="80" t="n">
        <x:v>405.42866945893974</x:v>
      </x:c>
      <x:c r="Q825" s="81" t="n">
        <x:v>2.214974095743913e+42</x:v>
      </x:c>
      <x:c r="R825" s="81" t="n">
        <x:v>1.105246225634795</x:v>
      </x:c>
      <x:c r="S825" s="81" t="n">
        <x:v>6.092394828934211e-10</x:v>
      </x:c>
      <x:c r="T825" s="81" t="n">
        <x:v>2.019007641950389e-55</x:v>
      </x:c>
    </x:row>
    <x:row r="826">
      <x:c r="A826" s="59" t="n">
        <x:v>823</x:v>
      </x:c>
      <x:c r="B826" s="193" t="n">
        <x:v>0.3448339376598597</x:v>
      </x:c>
      <x:c r="C826" s="83" t="n">
        <x:v>1.2527193847839577</x:v>
      </x:c>
      <x:c r="D826" s="83" t="n">
        <x:v>1.459085240203307</x:v>
      </x:c>
      <x:c r="E826" s="81" t="n">
        <x:v>0.15800322877024744</x:v>
      </x:c>
      <x:c r="F826" s="81" t="n">
        <x:v>0.7281277045491152</x:v>
      </x:c>
      <x:c r="G826" s="81" t="n">
        <x:v>0.0027125105456573054</x:v>
      </x:c>
      <x:c r="H826" s="59" t="n">
        <x:v>0</x:v>
      </x:c>
      <x:c r="I826" s="81" t="n">
        <x:v>0</x:v>
      </x:c>
      <x:c r="J826" s="79" t="n">
        <x:v>0.13056296985119784</x:v>
      </x:c>
      <x:c r="K826" s="81" t="n">
        <x:v>148.21482268708326</x:v>
      </x:c>
      <x:c r="L826" s="81" t="n">
        <x:v>-0.8080134580145286</x:v>
      </x:c>
      <x:c r="M826" s="80" t="n">
        <x:v>274785.23776334286</x:v>
      </x:c>
      <x:c r="N826" s="82" t="n">
        <x:v>0.1842396595869098</x:v>
      </x:c>
      <x:c r="O826" s="82" t="n">
        <x:v>0.12672480167461012</x:v>
      </x:c>
      <x:c r="P826" s="80" t="n">
        <x:v>511987.5892930564</x:v>
      </x:c>
      <x:c r="Q826" s="81" t="n">
        <x:v>0.00259661964006468</x:v>
      </x:c>
      <x:c r="R826" s="81" t="n">
        <x:v>1640.983626996914</x:v>
      </x:c>
      <x:c r="S826" s="81" t="n">
        <x:v>2023.9325489643945</x:v>
      </x:c>
      <x:c r="T826" s="81" t="n">
        <x:v>2828.2789745566834</x:v>
      </x:c>
    </x:row>
    <x:row r="827">
      <x:c r="A827" s="59" t="n">
        <x:v>824</x:v>
      </x:c>
      <x:c r="B827" s="193" t="n">
        <x:v>0.7123241320252418</x:v>
      </x:c>
      <x:c r="C827" s="83" t="n">
        <x:v>1.6233544888943994</x:v>
      </x:c>
      <x:c r="D827" s="83" t="n">
        <x:v>0.9724531097411468</x:v>
      </x:c>
      <x:c r="E827" s="81" t="n">
        <x:v>0.04490041540576292</x:v>
      </x:c>
      <x:c r="F827" s="81" t="n">
        <x:v>0.7286008453462274</x:v>
      </x:c>
      <x:c r="G827" s="81" t="n">
        <x:v>0.01901135313995586</x:v>
      </x:c>
      <x:c r="H827" s="59" t="n">
        <x:v>0</x:v>
      </x:c>
      <x:c r="I827" s="81" t="n">
        <x:v>0</x:v>
      </x:c>
      <x:c r="J827" s="79" t="n">
        <x:v>0.0027568057414978104</x:v>
      </x:c>
      <x:c r="K827" s="81" t="n">
        <x:v>2.150635133140355</x:v>
      </x:c>
      <x:c r="L827" s="81" t="n">
        <x:v>-0.6862593067070148</x:v>
      </x:c>
      <x:c r="M827" s="80" t="n">
        <x:v>28250.281362706315</x:v>
      </x:c>
      <x:c r="N827" s="82" t="n">
        <x:v>0.27178271432588824</x:v>
      </x:c>
      <x:c r="O827" s="82" t="n">
        <x:v>0.18706065224435564</x:v>
      </x:c>
      <x:c r="P827" s="80" t="n">
        <x:v>52227.277015842636</x:v>
      </x:c>
      <x:c r="Q827" s="81" t="n">
        <x:v>0.009704758613434592</x:v>
      </x:c>
      <x:c r="R827" s="81" t="n">
        <x:v>42.0948415860757</x:v>
      </x:c>
      <x:c r="S827" s="81" t="n">
        <x:v>37.51555510034898</x:v>
      </x:c>
      <x:c r="T827" s="81" t="n">
        <x:v>59.718431072007895</x:v>
      </x:c>
    </x:row>
    <x:row r="828">
      <x:c r="A828" s="59" t="n">
        <x:v>825</x:v>
      </x:c>
      <x:c r="B828" s="193" t="n">
        <x:v>0.9004325635731221</x:v>
      </x:c>
      <x:c r="C828" s="83" t="n">
        <x:v>0.17449109524853273</x:v>
      </x:c>
      <x:c r="D828" s="83" t="n">
        <x:v>0.5412006121818603</x:v>
      </x:c>
      <x:c r="E828" s="81" t="n">
        <x:v>0.043688886135255</x:v>
      </x:c>
      <x:c r="F828" s="81" t="n">
        <x:v>0.55074850844685</x:v>
      </x:c>
      <x:c r="G828" s="81" t="n">
        <x:v>0.025801253373979555</x:v>
      </x:c>
      <x:c r="H828" s="59" t="n">
        <x:v>79</x:v>
      </x:c>
      <x:c r="I828" s="81" t="n">
        <x:v>0.27330003334209324</x:v>
      </x:c>
      <x:c r="J828" s="79" t="n">
        <x:v>0.00022371749663149178</x:v>
      </x:c>
      <x:c r="K828" s="81" t="n">
        <x:v>-0.7443228609925808</x:v>
      </x:c>
      <x:c r="L828" s="81" t="n">
        <x:v>-0.920756422266148</x:v>
      </x:c>
      <x:c r="M828" s="80" t="n">
        <x:v>3336.2769858779156</x:v>
      </x:c>
      <x:c r="N828" s="82" t="n">
        <x:v>0.3165936697536846</x:v>
      </x:c>
      <x:c r="O828" s="82" t="n">
        <x:v>0.1647124770594965</x:v>
      </x:c>
      <x:c r="P828" s="80" t="n">
        <x:v>4044.213802564113</x:v>
      </x:c>
      <x:c r="Q828" s="81" t="n">
        <x:v>0.008271955165862299</x:v>
      </x:c>
      <x:c r="R828" s="81" t="n">
        <x:v>94.94768127151613</x:v>
      </x:c>
      <x:c r="S828" s="81" t="n">
        <x:v>24.758430167006214</x:v>
      </x:c>
      <x:c r="T828" s="81" t="n">
        <x:v>4.84620940136725</x:v>
      </x:c>
    </x:row>
    <x:row r="829">
      <x:c r="A829" s="59" t="n">
        <x:v>826</x:v>
      </x:c>
      <x:c r="B829" s="193" t="n">
        <x:v>0.40770799927413465</x:v>
      </x:c>
      <x:c r="C829" s="83" t="n">
        <x:v>0.18757288715791295</x:v>
      </x:c>
      <x:c r="D829" s="83" t="n">
        <x:v>1.173467567540909</x:v>
      </x:c>
      <x:c r="E829" s="81" t="n">
        <x:v>-0.09595140734197193</x:v>
      </x:c>
      <x:c r="F829" s="81" t="n">
        <x:v>0.31130159251624717</x:v>
      </x:c>
      <x:c r="G829" s="81" t="n">
        <x:v>-0.0008716481869277112</x:v>
      </x:c>
      <x:c r="H829" s="59" t="n">
        <x:v>31</x:v>
      </x:c>
      <x:c r="I829" s="81" t="n">
        <x:v>0.24160440843552353</x:v>
      </x:c>
      <x:c r="J829" s="79" t="n">
        <x:v>3.292839659408418e-45</x:v>
      </x:c>
      <x:c r="K829" s="81" t="n">
        <x:v>-1</x:v>
      </x:c>
      <x:c r="L829" s="81" t="n">
        <x:v>-1</x:v>
      </x:c>
      <x:c r="M829" s="80" t="n">
        <x:v>0.000002</x:v>
      </x:c>
      <x:c r="N829" s="82" t="n">
        <x:v>0.1992174399520853</x:v>
      </x:c>
      <x:c r="O829" s="82" t="n">
        <x:v>0.05858408336524708</x:v>
      </x:c>
      <x:c r="P829" s="80" t="n">
        <x:v>224.19410636333672</x:v>
      </x:c>
      <x:c r="Q829" s="81" t="n">
        <x:v>7.007517111293243e+27</x:v>
      </x:c>
      <x:c r="R829" s="81" t="n">
        <x:v>7.116587276889297</x:v>
      </x:c>
      <x:c r="S829" s="81" t="n">
        <x:v>8.564602254542821e-10</x:v>
      </x:c>
      <x:c r="T829" s="81" t="n">
        <x:v>7.133009601348138e-41</x:v>
      </x:c>
    </x:row>
    <x:row r="830">
      <x:c r="A830" s="59" t="n">
        <x:v>827</x:v>
      </x:c>
      <x:c r="B830" s="193" t="n">
        <x:v>0.47423154674470425</x:v>
      </x:c>
      <x:c r="C830" s="83" t="n">
        <x:v>2.9086384265810867</x:v>
      </x:c>
      <x:c r="D830" s="83" t="n">
        <x:v>0.18508613660368956</x:v>
      </x:c>
      <x:c r="E830" s="81" t="n">
        <x:v>-0.09860914084355667</x:v>
      </x:c>
      <x:c r="F830" s="81" t="n">
        <x:v>0.5237460779026151</x:v>
      </x:c>
      <x:c r="G830" s="81" t="n">
        <x:v>-0.04845769737380455</x:v>
      </x:c>
      <x:c r="H830" s="59" t="n">
        <x:v>0</x:v>
      </x:c>
      <x:c r="I830" s="81" t="n">
        <x:v>0</x:v>
      </x:c>
      <x:c r="J830" s="79" t="n">
        <x:v>1.2550370591811825e-12</x:v>
      </x:c>
      <x:c r="K830" s="81" t="n">
        <x:v>-0.9999999985656719</x:v>
      </x:c>
      <x:c r="L830" s="81" t="n">
        <x:v>-0.9999999985656719</x:v>
      </x:c>
      <x:c r="M830" s="80" t="n">
        <x:v>0.7628370075892484</x:v>
      </x:c>
      <x:c r="N830" s="82" t="n">
        <x:v>0.21506459627608987</x:v>
      </x:c>
      <x:c r="O830" s="82" t="n">
        <x:v>0.10640466009854566</x:v>
      </x:c>
      <x:c r="P830" s="80" t="n">
        <x:v>546.6755650569756</x:v>
      </x:c>
      <x:c r="Q830" s="81" t="n">
        <x:v>6.8379481742725465</x:v>
      </x:c>
      <x:c r="R830" s="81" t="n">
        <x:v>2.5870045967509374</x:v>
      </x:c>
      <x:c r="S830" s="81" t="n">
        <x:v>0.000008824405296809266</x:v>
      </x:c>
      <x:c r="T830" s="81" t="n">
        <x:v>2.7186842722841334e-8</x:v>
      </x:c>
    </x:row>
    <x:row r="831">
      <x:c r="A831" s="59" t="n">
        <x:v>828</x:v>
      </x:c>
      <x:c r="B831" s="193" t="n">
        <x:v>0.6993535356596112</x:v>
      </x:c>
      <x:c r="C831" s="83" t="n">
        <x:v>0.9928398966730648</x:v>
      </x:c>
      <x:c r="D831" s="83" t="n">
        <x:v>1.6339620446810892</x:v>
      </x:c>
      <x:c r="E831" s="81" t="n">
        <x:v>-0.0173173756354794</x:v>
      </x:c>
      <x:c r="F831" s="81" t="n">
        <x:v>0.508354632195551</x:v>
      </x:c>
      <x:c r="G831" s="81" t="n">
        <x:v>0.017366481389229155</x:v>
      </x:c>
      <x:c r="H831" s="59" t="n">
        <x:v>0</x:v>
      </x:c>
      <x:c r="I831" s="81" t="n">
        <x:v>0</x:v>
      </x:c>
      <x:c r="J831" s="79" t="n">
        <x:v>2.5651910280486665e-23</x:v>
      </x:c>
      <x:c r="K831" s="81" t="n">
        <x:v>-1</x:v>
      </x:c>
      <x:c r="L831" s="81" t="n">
        <x:v>-1</x:v>
      </x:c>
      <x:c r="M831" s="80" t="n">
        <x:v>0.000002</x:v>
      </x:c>
      <x:c r="N831" s="82" t="n">
        <x:v>0.2686928750729129</x:v>
      </x:c>
      <x:c r="O831" s="82" t="n">
        <x:v>0.1290309448598516</x:v>
      </x:c>
      <x:c r="P831" s="80" t="n">
        <x:v>1559.412778720335</x:v>
      </x:c>
      <x:c r="Q831" s="81" t="n">
        <x:v>4626467.036349927</x:v>
      </x:c>
      <x:c r="R831" s="81" t="n">
        <x:v>6.01208339253896</x:v>
      </x:c>
      <x:c r="S831" s="81" t="n">
        <x:v>8.856232300835808e-10</x:v>
      </x:c>
      <x:c r="T831" s="81" t="n">
        <x:v>5.556763804178223e-19</x:v>
      </x:c>
    </x:row>
    <x:row r="832">
      <x:c r="A832" s="59" t="n">
        <x:v>829</x:v>
      </x:c>
      <x:c r="B832" s="193" t="n">
        <x:v>0.8337910434231162</x:v>
      </x:c>
      <x:c r="C832" s="83" t="n">
        <x:v>0.7487373927333176</x:v>
      </x:c>
      <x:c r="D832" s="83" t="n">
        <x:v>0.5332749038892013</x:v>
      </x:c>
      <x:c r="E832" s="81" t="n">
        <x:v>-0.013547951506558882</x:v>
      </x:c>
      <x:c r="F832" s="81" t="n">
        <x:v>0.67525458924938</x:v>
      </x:c>
      <x:c r="G832" s="81" t="n">
        <x:v>-0.019094468520573615</x:v>
      </x:c>
      <x:c r="H832" s="59" t="n">
        <x:v>28</x:v>
      </x:c>
      <x:c r="I832" s="81" t="n">
        <x:v>0.3855475414544344</x:v>
      </x:c>
      <x:c r="J832" s="79" t="n">
        <x:v>1.3656081170390473e-9</x:v>
      </x:c>
      <x:c r="K832" s="81" t="n">
        <x:v>-0.9999984393050091</x:v>
      </x:c>
      <x:c r="L832" s="81" t="n">
        <x:v>-0.9999984393050091</x:v>
      </x:c>
      <x:c r="M832" s="80" t="n">
        <x:v>11.142282303435609</x:v>
      </x:c>
      <x:c r="N832" s="82" t="n">
        <x:v>0.3007184101254504</x:v>
      </x:c>
      <x:c r="O832" s="82" t="n">
        <x:v>0.19182203894646366</x:v>
      </x:c>
      <x:c r="P832" s="80" t="n">
        <x:v>791.5705932549997</x:v>
      </x:c>
      <x:c r="Q832" s="81" t="n">
        <x:v>0.5873105793529637</x:v>
      </x:c>
      <x:c r="R832" s="81" t="n">
        <x:v>9.908921922155987</x:v>
      </x:c>
      <x:c r="S832" s="81" t="n">
        <x:v>0.001224588610853877</x:v>
      </x:c>
      <x:c r="T832" s="81" t="n">
        <x:v>0.000029582053236896746</x:v>
      </x:c>
    </x:row>
    <x:row r="833">
      <x:c r="A833" s="59" t="n">
        <x:v>830</x:v>
      </x:c>
      <x:c r="B833" s="193" t="n">
        <x:v>0.6272181309759617</x:v>
      </x:c>
      <x:c r="C833" s="83" t="n">
        <x:v>0.6138179783003093</x:v>
      </x:c>
      <x:c r="D833" s="83" t="n">
        <x:v>0.6353310457388364</x:v>
      </x:c>
      <x:c r="E833" s="81" t="n">
        <x:v>-0.08534176326711393</x:v>
      </x:c>
      <x:c r="F833" s="81" t="n">
        <x:v>0.6300698582548648</x:v>
      </x:c>
      <x:c r="G833" s="81" t="n">
        <x:v>-0.0046362149905278946</x:v>
      </x:c>
      <x:c r="H833" s="59" t="n">
        <x:v>0</x:v>
      </x:c>
      <x:c r="I833" s="81" t="n">
        <x:v>0</x:v>
      </x:c>
      <x:c r="J833" s="79" t="n">
        <x:v>2.4337609483390313e-29</x:v>
      </x:c>
      <x:c r="K833" s="81" t="n">
        <x:v>-1</x:v>
      </x:c>
      <x:c r="L833" s="81" t="n">
        <x:v>-1</x:v>
      </x:c>
      <x:c r="M833" s="80" t="n">
        <x:v>0.000002</x:v>
      </x:c>
      <x:c r="N833" s="82" t="n">
        <x:v>0.25150886913842985</x:v>
      </x:c>
      <x:c r="O833" s="82" t="n">
        <x:v>0.14969694946926415</x:v>
      </x:c>
      <x:c r="P833" s="80" t="n">
        <x:v>287.2137732273336</x:v>
      </x:c>
      <x:c r="Q833" s="81" t="n">
        <x:v>1055654457565.0481</x:v>
      </x:c>
      <x:c r="R833" s="81" t="n">
        <x:v>4.378906010440185</x:v>
      </x:c>
      <x:c r="S833" s="81" t="n">
        <x:v>3.259082089439738e-10</x:v>
      </x:c>
      <x:c r="T833" s="81" t="n">
        <x:v>5.272057557460091e-25</x:v>
      </x:c>
    </x:row>
    <x:row r="834">
      <x:c r="A834" s="59" t="n">
        <x:v>831</x:v>
      </x:c>
      <x:c r="B834" s="193" t="n">
        <x:v>0.875724570080638</x:v>
      </x:c>
      <x:c r="C834" s="83" t="n">
        <x:v>2.8398884887152445</x:v>
      </x:c>
      <x:c r="D834" s="83" t="n">
        <x:v>1.216626752612501</x:v>
      </x:c>
      <x:c r="E834" s="81" t="n">
        <x:v>-0.060473258064419826</x:v>
      </x:c>
      <x:c r="F834" s="81" t="n">
        <x:v>0.7640975364833139</x:v>
      </x:c>
      <x:c r="G834" s="81" t="n">
        <x:v>0.017539010406694828</x:v>
      </x:c>
      <x:c r="H834" s="59" t="n">
        <x:v>0</x:v>
      </x:c>
      <x:c r="I834" s="81" t="n">
        <x:v>0</x:v>
      </x:c>
      <x:c r="J834" s="79" t="n">
        <x:v>8.685564488730167e-38</x:v>
      </x:c>
      <x:c r="K834" s="81" t="n">
        <x:v>-1</x:v>
      </x:c>
      <x:c r="L834" s="81" t="n">
        <x:v>-1</x:v>
      </x:c>
      <x:c r="M834" s="80" t="n">
        <x:v>0.000002</x:v>
      </x:c>
      <x:c r="N834" s="82" t="n">
        <x:v>0.3107077624288971</x:v>
      </x:c>
      <x:c r="O834" s="82" t="n">
        <x:v>0.22427034168713564</x:v>
      </x:c>
      <x:c r="P834" s="80" t="n">
        <x:v>1052.7005000938407</x:v>
      </x:c>
      <x:c r="Q834" s="81" t="n">
        <x:v>407880653010647060000</x:v>
      </x:c>
      <x:c r="R834" s="81" t="n">
        <x:v>1.3294588481122067</x:v>
      </x:c>
      <x:c r="S834" s="81" t="n">
        <x:v>3.429368744661242e-10</x:v>
      </x:c>
      <x:c r="T834" s="81" t="n">
        <x:v>1.8814828931686047e-33</x:v>
      </x:c>
    </x:row>
    <x:row r="835">
      <x:c r="A835" s="59" t="n">
        <x:v>832</x:v>
      </x:c>
      <x:c r="B835" s="193" t="n">
        <x:v>0.7273925989866257</x:v>
      </x:c>
      <x:c r="C835" s="83" t="n">
        <x:v>1.2939754757390993</x:v>
      </x:c>
      <x:c r="D835" s="83" t="n">
        <x:v>0.465498453424677</x:v>
      </x:c>
      <x:c r="E835" s="81" t="n">
        <x:v>0.017896151173540615</x:v>
      </x:c>
      <x:c r="F835" s="81" t="n">
        <x:v>0.862423925625626</x:v>
      </x:c>
      <x:c r="G835" s="81" t="n">
        <x:v>-0.0027617244611383676</x:v>
      </x:c>
      <x:c r="H835" s="59" t="n">
        <x:v>0</x:v>
      </x:c>
      <x:c r="I835" s="81" t="n">
        <x:v>0</x:v>
      </x:c>
      <x:c r="J835" s="79" t="n">
        <x:v>0.00002695951749854925</x:v>
      </x:c>
      <x:c r="K835" s="81" t="n">
        <x:v>-0.9691891228588009</x:v>
      </x:c>
      <x:c r="L835" s="81" t="n">
        <x:v>-0.9714044753797542</x:v>
      </x:c>
      <x:c r="M835" s="80" t="n">
        <x:v>2096.044914255777</x:v>
      </x:c>
      <x:c r="N835" s="82" t="n">
        <x:v>0.2753723056898452</x:v>
      </x:c>
      <x:c r="O835" s="82" t="n">
        <x:v>0.2243427293151908</x:v>
      </x:c>
      <x:c r="P835" s="80" t="n">
        <x:v>3093.684645516359</x:v>
      </x:c>
      <x:c r="Q835" s="81" t="n">
        <x:v>0.02256404233301109</x:v>
      </x:c>
      <x:c r="R835" s="81" t="n">
        <x:v>10.581585998266759</x:v>
      </x:c>
      <x:c r="S835" s="81" t="n">
        <x:v>0.5699617240477456</x:v>
      </x:c>
      <x:c r="T835" s="81" t="n">
        <x:v>0.5840020075542138</x:v>
      </x:c>
    </x:row>
    <x:row r="836">
      <x:c r="A836" s="59" t="n">
        <x:v>833</x:v>
      </x:c>
      <x:c r="B836" s="193" t="n">
        <x:v>0.5769823560491205</x:v>
      </x:c>
      <x:c r="C836" s="83" t="n">
        <x:v>0.3419409095535676</x:v>
      </x:c>
      <x:c r="D836" s="83" t="n">
        <x:v>0.9941660008936788</x:v>
      </x:c>
      <x:c r="E836" s="81" t="n">
        <x:v>-0.017461431812883395</x:v>
      </x:c>
      <x:c r="F836" s="81" t="n">
        <x:v>0.28452573614194987</x:v>
      </x:c>
      <x:c r="G836" s="81" t="n">
        <x:v>0.006076148407325683</x:v>
      </x:c>
      <x:c r="H836" s="59" t="n">
        <x:v>0</x:v>
      </x:c>
      <x:c r="I836" s="81" t="n">
        <x:v>0</x:v>
      </x:c>
      <x:c r="J836" s="79" t="n">
        <x:v>1.8485966855914996e-15</x:v>
      </x:c>
      <x:c r="K836" s="81" t="n">
        <x:v>-0.9999999999978874</x:v>
      </x:c>
      <x:c r="L836" s="81" t="n">
        <x:v>-0.9999999999978874</x:v>
      </x:c>
      <x:c r="M836" s="80" t="n">
        <x:v>0.010147631495489884</x:v>
      </x:c>
      <x:c r="N836" s="82" t="n">
        <x:v>0.239541765630077</x:v>
      </x:c>
      <x:c r="O836" s="82" t="n">
        <x:v>0.06438337574591431</x:v>
      </x:c>
      <x:c r="P836" s="80" t="n">
        <x:v>957.4232544314914</x:v>
      </x:c>
      <x:c r="Q836" s="81" t="n">
        <x:v>323.0836803588083</x:v>
      </x:c>
      <x:c r="R836" s="81" t="n">
        <x:v>19.93149284613152</x:v>
      </x:c>
      <x:c r="S836" s="81" t="n">
        <x:v>0.0000036759032400592624</x:v>
      </x:c>
      <x:c r="T836" s="81" t="n">
        <x:v>4.004464010164857e-11</x:v>
      </x:c>
    </x:row>
    <x:row r="837">
      <x:c r="A837" s="59" t="n">
        <x:v>834</x:v>
      </x:c>
      <x:c r="B837" s="193" t="n">
        <x:v>0.7426683109253644</x:v>
      </x:c>
      <x:c r="C837" s="83" t="n">
        <x:v>2.3938305109898352</x:v>
      </x:c>
      <x:c r="D837" s="83" t="n">
        <x:v>1.242292638002695</x:v>
      </x:c>
      <x:c r="E837" s="81" t="n">
        <x:v>-0.017508255620600332</x:v>
      </x:c>
      <x:c r="F837" s="81" t="n">
        <x:v>0.7125015271478332</x:v>
      </x:c>
      <x:c r="G837" s="81" t="n">
        <x:v>-0.02008540874278085</x:v>
      </x:c>
      <x:c r="H837" s="59" t="n">
        <x:v>0</x:v>
      </x:c>
      <x:c r="I837" s="81" t="n">
        <x:v>0</x:v>
      </x:c>
      <x:c r="J837" s="79" t="n">
        <x:v>3.6456926969835917e-16</x:v>
      </x:c>
      <x:c r="K837" s="81" t="n">
        <x:v>-0.9999999999995833</x:v>
      </x:c>
      <x:c r="L837" s="81" t="n">
        <x:v>-0.9999999999995833</x:v>
      </x:c>
      <x:c r="M837" s="80" t="n">
        <x:v>0.011423701493296811</x:v>
      </x:c>
      <x:c r="N837" s="82" t="n">
        <x:v>0.27901126669325166</x:v>
      </x:c>
      <x:c r="O837" s="82" t="n">
        <x:v>0.1877926031737406</x:v>
      </x:c>
      <x:c r="P837" s="80" t="n">
        <x:v>2501.954735761889</x:v>
      </x:c>
      <x:c r="Q837" s="81" t="n">
        <x:v>1839.4220204631483</x:v>
      </x:c>
      <x:c r="R837" s="81" t="n">
        <x:v>3.6552492140963895</x:v>
      </x:c>
      <x:c r="S837" s="81" t="n">
        <x:v>0.0000014790303719051694</x:v>
      </x:c>
      <x:c r="T837" s="81" t="n">
        <x:v>7.897366316287836e-12</x:v>
      </x:c>
    </x:row>
    <x:row r="838">
      <x:c r="A838" s="59" t="n">
        <x:v>835</x:v>
      </x:c>
      <x:c r="B838" s="193" t="n">
        <x:v>0.5617238353937865</x:v>
      </x:c>
      <x:c r="C838" s="83" t="n">
        <x:v>2.251269666825727</x:v>
      </x:c>
      <x:c r="D838" s="83" t="n">
        <x:v>0.24647241650314733</x:v>
      </x:c>
      <x:c r="E838" s="81" t="n">
        <x:v>0.08048614609551168</x:v>
      </x:c>
      <x:c r="F838" s="81" t="n">
        <x:v>0.4131399593083188</x:v>
      </x:c>
      <x:c r="G838" s="81" t="n">
        <x:v>0.008218718611585544</x:v>
      </x:c>
      <x:c r="H838" s="59" t="n">
        <x:v>30</x:v>
      </x:c>
      <x:c r="I838" s="81" t="n">
        <x:v>0.11147322608157993</x:v>
      </x:c>
      <x:c r="J838" s="79" t="n">
        <x:v>0.00249345536583356</x:v>
      </x:c>
      <x:c r="K838" s="81" t="n">
        <x:v>1.8496632752383544</x:v>
      </x:c>
      <x:c r="L838" s="81" t="n">
        <x:v>-0.41795424743649445</x:v>
      </x:c>
      <x:c r="M838" s="80" t="n">
        <x:v>29901.493808998086</x:v>
      </x:c>
      <x:c r="N838" s="82" t="n">
        <x:v>0.23590689991271385</x:v>
      </x:c>
      <x:c r="O838" s="82" t="n">
        <x:v>0.09206801668871624</x:v>
      </x:c>
      <x:c r="P838" s="80" t="n">
        <x:v>15282.4711773057</x:v>
      </x:c>
      <x:c r="Q838" s="81" t="n">
        <x:v>0.0026895872386103166</x:v>
      </x:c>
      <x:c r="R838" s="81" t="n">
        <x:v>19.27909877577609</x:v>
      </x:c>
      <x:c r="S838" s="81" t="n">
        <x:v>21.742800543281668</x:v>
      </x:c>
      <x:c r="T838" s="81" t="n">
        <x:v>54.01368698352952</x:v>
      </x:c>
    </x:row>
    <x:row r="839">
      <x:c r="A839" s="59" t="n">
        <x:v>836</x:v>
      </x:c>
      <x:c r="B839" s="193" t="n">
        <x:v>0.9648201547563076</x:v>
      </x:c>
      <x:c r="C839" s="83" t="n">
        <x:v>0.20213497125465035</x:v>
      </x:c>
      <x:c r="D839" s="83" t="n">
        <x:v>0.3376365985569662</x:v>
      </x:c>
      <x:c r="E839" s="81" t="n">
        <x:v>-0.010337453942643855</x:v>
      </x:c>
      <x:c r="F839" s="81" t="n">
        <x:v>0.7749276109738276</x:v>
      </x:c>
      <x:c r="G839" s="81" t="n">
        <x:v>0.0391987627432993</x:v>
      </x:c>
      <x:c r="H839" s="59" t="n">
        <x:v>0</x:v>
      </x:c>
      <x:c r="I839" s="81" t="n">
        <x:v>0</x:v>
      </x:c>
      <x:c r="J839" s="79" t="n">
        <x:v>2.836158773569408e-9</x:v>
      </x:c>
      <x:c r="K839" s="81" t="n">
        <x:v>-0.9999967586756874</x:v>
      </x:c>
      <x:c r="L839" s="81" t="n">
        <x:v>-0.9999967586756874</x:v>
      </x:c>
      <x:c r="M839" s="80" t="n">
        <x:v>11.026613700008639</x:v>
      </x:c>
      <x:c r="N839" s="82" t="n">
        <x:v>0.3319320012408543</x:v>
      </x:c>
      <x:c r="O839" s="82" t="n">
        <x:v>0.2429859718221659</x:v>
      </x:c>
      <x:c r="P839" s="80" t="n">
        <x:v>344.1359942948322</x:v>
      </x:c>
      <x:c r="Q839" s="81" t="n">
        <x:v>0.33633767381887925</x:v>
      </x:c>
      <x:c r="R839" s="81" t="n">
        <x:v>28.227758834936367</x:v>
      </x:c>
      <x:c r="S839" s="81" t="n">
        <x:v>0.002451428602223913</x:v>
      </x:c>
      <x:c r="T839" s="81" t="n">
        <x:v>0.00006143739099174017</x:v>
      </x:c>
    </x:row>
    <x:row r="840">
      <x:c r="A840" s="59" t="n">
        <x:v>837</x:v>
      </x:c>
      <x:c r="B840" s="193" t="n">
        <x:v>0.7781296640634536</x:v>
      </x:c>
      <x:c r="C840" s="83" t="n">
        <x:v>0.39485482320753784</x:v>
      </x:c>
      <x:c r="D840" s="83" t="n">
        <x:v>0.5571422879880561</x:v>
      </x:c>
      <x:c r="E840" s="81" t="n">
        <x:v>-0.10275284093989166</x:v>
      </x:c>
      <x:c r="F840" s="81" t="n">
        <x:v>0.5575916092144326</x:v>
      </x:c>
      <x:c r="G840" s="81" t="n">
        <x:v>-0.010341161689526299</x:v>
      </x:c>
      <x:c r="H840" s="59" t="n">
        <x:v>0</x:v>
      </x:c>
      <x:c r="I840" s="81" t="n">
        <x:v>0</x:v>
      </x:c>
      <x:c r="J840" s="79" t="n">
        <x:v>1.379850910126087e-29</x:v>
      </x:c>
      <x:c r="K840" s="81" t="n">
        <x:v>-1</x:v>
      </x:c>
      <x:c r="L840" s="81" t="n">
        <x:v>-1</x:v>
      </x:c>
      <x:c r="M840" s="80" t="n">
        <x:v>0.000002</x:v>
      </x:c>
      <x:c r="N840" s="82" t="n">
        <x:v>0.28745882591111577</x:v>
      </x:c>
      <x:c r="O840" s="82" t="n">
        <x:v>0.1514128796013317</x:v>
      </x:c>
      <x:c r="P840" s="80" t="n">
        <x:v>206.1062066331319</x:v>
      </x:c>
      <x:c r="Q840" s="81" t="n">
        <x:v>1571256125489.888</x:v>
      </x:c>
      <x:c r="R840" s="81" t="n">
        <x:v>6.085278689813682</x:v>
      </x:c>
      <x:c r="S840" s="81" t="n">
        <x:v>3.083293705041213e-10</x:v>
      </x:c>
      <x:c r="T840" s="81" t="n">
        <x:v>2.9890583230301044e-25</x:v>
      </x:c>
    </x:row>
    <x:row r="841">
      <x:c r="A841" s="59" t="n">
        <x:v>838</x:v>
      </x:c>
      <x:c r="B841" s="193" t="n">
        <x:v>0.4740298042073846</x:v>
      </x:c>
      <x:c r="C841" s="83" t="n">
        <x:v>0.10918969168961325</x:v>
      </x:c>
      <x:c r="D841" s="83" t="n">
        <x:v>1.16586929067716</x:v>
      </x:c>
      <x:c r="E841" s="81" t="n">
        <x:v>-0.027634897200784412</x:v>
      </x:c>
      <x:c r="F841" s="81" t="n">
        <x:v>0.6113610769505613</x:v>
      </x:c>
      <x:c r="G841" s="81" t="n">
        <x:v>0.03362574605298375</x:v>
      </x:c>
      <x:c r="H841" s="59" t="n">
        <x:v>0</x:v>
      </x:c>
      <x:c r="I841" s="81" t="n">
        <x:v>0</x:v>
      </x:c>
      <x:c r="J841" s="79" t="n">
        <x:v>1.548285162827959e-25</x:v>
      </x:c>
      <x:c r="K841" s="81" t="n">
        <x:v>-1</x:v>
      </x:c>
      <x:c r="L841" s="81" t="n">
        <x:v>-1</x:v>
      </x:c>
      <x:c r="M841" s="80" t="n">
        <x:v>0.000002</x:v>
      </x:c>
      <x:c r="N841" s="82" t="n">
        <x:v>0.215016537421028</x:v>
      </x:c>
      <x:c r="O841" s="82" t="n">
        <x:v>0.12417683631696247</x:v>
      </x:c>
      <x:c r="P841" s="80" t="n">
        <x:v>518.6466843848817</x:v>
      </x:c>
      <x:c r="Q841" s="81" t="n">
        <x:v>485204521.88308597</x:v>
      </x:c>
      <x:c r="R841" s="81" t="n">
        <x:v>33.42409722720238</x:v>
      </x:c>
      <x:c r="S841" s="81" t="n">
        <x:v>1.3768982617112195e-9</x:v>
      </x:c>
      <x:c r="T841" s="81" t="n">
        <x:v>3.353923687271436e-21</x:v>
      </x:c>
    </x:row>
    <x:row r="842">
      <x:c r="A842" s="59" t="n">
        <x:v>839</x:v>
      </x:c>
      <x:c r="B842" s="193" t="n">
        <x:v>0.6075193785130978</x:v>
      </x:c>
      <x:c r="C842" s="83" t="n">
        <x:v>1.625223605621445</x:v>
      </x:c>
      <x:c r="D842" s="83" t="n">
        <x:v>0.5929465482634608</x:v>
      </x:c>
      <x:c r="E842" s="81" t="n">
        <x:v>0.008303145453073235</x:v>
      </x:c>
      <x:c r="F842" s="81" t="n">
        <x:v>0.5478140770690516</x:v>
      </x:c>
      <x:c r="G842" s="81" t="n">
        <x:v>-0.008850474930133922</x:v>
      </x:c>
      <x:c r="H842" s="59" t="n">
        <x:v>0</x:v>
      </x:c>
      <x:c r="I842" s="81" t="n">
        <x:v>0</x:v>
      </x:c>
      <x:c r="J842" s="79" t="n">
        <x:v>0.00003488307024824229</x:v>
      </x:c>
      <x:c r="K842" s="81" t="n">
        <x:v>-0.9601336340020088</x:v>
      </x:c>
      <x:c r="L842" s="81" t="n">
        <x:v>-0.9601336340020088</x:v>
      </x:c>
      <x:c r="M842" s="80" t="n">
        <x:v>2687.0306172223645</x:v>
      </x:c>
      <x:c r="N842" s="82" t="n">
        <x:v>0.24681625695016687</x:v>
      </x:c>
      <x:c r="O842" s="82" t="n">
        <x:v>0.12772558241527485</x:v>
      </x:c>
      <x:c r="P842" s="80" t="n">
        <x:v>5479.982652689344</x:v>
      </x:c>
      <x:c r="Q842" s="81" t="n">
        <x:v>0.024078873917635503</x:v>
      </x:c>
      <x:c r="R842" s="81" t="n">
        <x:v>10.731471793508183</x:v>
      </x:c>
      <x:c r="S842" s="81" t="n">
        <x:v>0.6390938132721574</x:v>
      </x:c>
      <x:c r="T842" s="81" t="n">
        <x:v>0.7556434589648875</x:v>
      </x:c>
    </x:row>
    <x:row r="843">
      <x:c r="A843" s="59" t="n">
        <x:v>840</x:v>
      </x:c>
      <x:c r="B843" s="193" t="n">
        <x:v>0.3545470472425223</x:v>
      </x:c>
      <x:c r="C843" s="83" t="n">
        <x:v>2.355867631798903</x:v>
      </x:c>
      <x:c r="D843" s="83" t="n">
        <x:v>0.8903865490979718</x:v>
      </x:c>
      <x:c r="E843" s="81" t="n">
        <x:v>-0.11148664411830014</x:v>
      </x:c>
      <x:c r="F843" s="81" t="n">
        <x:v>0.7736691730911843</x:v>
      </x:c>
      <x:c r="G843" s="81" t="n">
        <x:v>-0.013579929958866414</x:v>
      </x:c>
      <x:c r="H843" s="59" t="n">
        <x:v>88</x:v>
      </x:c>
      <x:c r="I843" s="81" t="n">
        <x:v>0.4588350568898022</x:v>
      </x:c>
      <x:c r="J843" s="79" t="n">
        <x:v>2.9765648401474267e-40</x:v>
      </x:c>
      <x:c r="K843" s="81" t="n">
        <x:v>-1</x:v>
      </x:c>
      <x:c r="L843" s="81" t="n">
        <x:v>-1</x:v>
      </x:c>
      <x:c r="M843" s="80" t="n">
        <x:v>0.000002</x:v>
      </x:c>
      <x:c r="N843" s="82" t="n">
        <x:v>0.18655350441030474</x:v>
      </x:c>
      <x:c r="O843" s="82" t="n">
        <x:v>0.1363419955613706</x:v>
      </x:c>
      <x:c r="P843" s="80" t="n">
        <x:v>533.8995446174079</x:v>
      </x:c>
      <x:c r="Q843" s="81" t="n">
        <x:v>6.766449723007619e+22</x:v>
      </x:c>
      <x:c r="R843" s="81" t="n">
        <x:v>0.9966710921861723</x:v>
      </x:c>
      <x:c r="S843" s="81" t="n">
        <x:v>1.9680267215773155e-10</x:v>
      </x:c>
      <x:c r="T843" s="81" t="n">
        <x:v>6.447889293103733e-36</x:v>
      </x:c>
    </x:row>
    <x:row r="844">
      <x:c r="A844" s="59" t="n">
        <x:v>841</x:v>
      </x:c>
      <x:c r="B844" s="193" t="n">
        <x:v>0.6221553735435009</x:v>
      </x:c>
      <x:c r="C844" s="83" t="n">
        <x:v>0.9166618648854236</x:v>
      </x:c>
      <x:c r="D844" s="83" t="n">
        <x:v>0.2435729572455098</x:v>
      </x:c>
      <x:c r="E844" s="81" t="n">
        <x:v>-0.05070405707766628</x:v>
      </x:c>
      <x:c r="F844" s="81" t="n">
        <x:v>0.8259627297520638</x:v>
      </x:c>
      <x:c r="G844" s="81" t="n">
        <x:v>0.010677330246631934</x:v>
      </x:c>
      <x:c r="H844" s="59" t="n">
        <x:v>0</x:v>
      </x:c>
      <x:c r="I844" s="81" t="n">
        <x:v>0</x:v>
      </x:c>
      <x:c r="J844" s="79" t="n">
        <x:v>3.856661928609621e-13</x:v>
      </x:c>
      <x:c r="K844" s="81" t="n">
        <x:v>-0.9999999995592387</x:v>
      </x:c>
      <x:c r="L844" s="81" t="n">
        <x:v>-0.9999999995592387</x:v>
      </x:c>
      <x:c r="M844" s="80" t="n">
        <x:v>0.20772050374813028</x:v>
      </x:c>
      <x:c r="N844" s="82" t="n">
        <x:v>0.25030282539131576</x:v>
      </x:c>
      <x:c r="O844" s="82" t="n">
        <x:v>0.19529770719158746</x:v>
      </x:c>
      <x:c r="P844" s="80" t="n">
        <x:v>349.37007555864005</x:v>
      </x:c>
      <x:c r="Q844" s="81" t="n">
        <x:v>11.26621310004596</x:v>
      </x:c>
      <x:c r="R844" s="81" t="n">
        <x:v>6.957743656128301</x:v>
      </x:c>
      <x:c r="S844" s="81" t="n">
        <x:v>0.000013530973119618297</x:v>
      </x:c>
      <x:c r="T844" s="81" t="n">
        <x:v>8.354371731197065e-9</x:v>
      </x:c>
    </x:row>
    <x:row r="845">
      <x:c r="A845" s="59" t="n">
        <x:v>842</x:v>
      </x:c>
      <x:c r="B845" s="193" t="n">
        <x:v>0.9232008304446937</x:v>
      </x:c>
      <x:c r="C845" s="83" t="n">
        <x:v>0.47068957902300634</x:v>
      </x:c>
      <x:c r="D845" s="83" t="n">
        <x:v>0.3924132206606956</x:v>
      </x:c>
      <x:c r="E845" s="81" t="n">
        <x:v>-0.13572328685995808</x:v>
      </x:c>
      <x:c r="F845" s="81" t="n">
        <x:v>0.6565232345368713</x:v>
      </x:c>
      <x:c r="G845" s="81" t="n">
        <x:v>-0.022153551948425013</x:v>
      </x:c>
      <x:c r="H845" s="59" t="n">
        <x:v>0</x:v>
      </x:c>
      <x:c r="I845" s="81" t="n">
        <x:v>0</x:v>
      </x:c>
      <x:c r="J845" s="79" t="n">
        <x:v>1.3610606580858132e-27</x:v>
      </x:c>
      <x:c r="K845" s="81" t="n">
        <x:v>-1</x:v>
      </x:c>
      <x:c r="L845" s="81" t="n">
        <x:v>-1</x:v>
      </x:c>
      <x:c r="M845" s="80" t="n">
        <x:v>0.000002</x:v>
      </x:c>
      <x:c r="N845" s="82" t="n">
        <x:v>0.322017497827497</x:v>
      </x:c>
      <x:c r="O845" s="82" t="n">
        <x:v>0.1997103227039221</x:v>
      </x:c>
      <x:c r="P845" s="80" t="n">
        <x:v>158.90512368122847</x:v>
      </x:c>
      <x:c r="Q845" s="81" t="n">
        <x:v>12420397135.808592</x:v>
      </x:c>
      <x:c r="R845" s="81" t="n">
        <x:v>5.1808757992443635</x:v>
      </x:c>
      <x:c r="S845" s="81" t="n">
        <x:v>1.77972588136394e-10</x:v>
      </x:c>
      <x:c r="T845" s="81" t="n">
        <x:v>2.9483545347870095e-23</x:v>
      </x:c>
    </x:row>
    <x:row r="846">
      <x:c r="A846" s="59" t="n">
        <x:v>843</x:v>
      </x:c>
      <x:c r="B846" s="193" t="n">
        <x:v>0.4618225792422891</x:v>
      </x:c>
      <x:c r="C846" s="83" t="n">
        <x:v>0.7671366054967483</x:v>
      </x:c>
      <x:c r="D846" s="83" t="n">
        <x:v>0.44930118214030634</x:v>
      </x:c>
      <x:c r="E846" s="81" t="n">
        <x:v>0.04874135530030211</x:v>
      </x:c>
      <x:c r="F846" s="81" t="n">
        <x:v>0.3082013640203513</x:v>
      </x:c>
      <x:c r="G846" s="81" t="n">
        <x:v>0.018688957105705978</x:v>
      </x:c>
      <x:c r="H846" s="59" t="n">
        <x:v>0</x:v>
      </x:c>
      <x:c r="I846" s="81" t="n">
        <x:v>0</x:v>
      </x:c>
      <x:c r="J846" s="79" t="n">
        <x:v>0.002575310449436608</x:v>
      </x:c>
      <x:c r="K846" s="81" t="n">
        <x:v>1.9432119422132668</x:v>
      </x:c>
      <x:c r="L846" s="81" t="n">
        <x:v>-0.49281416793926347</x:v>
      </x:c>
      <x:c r="M846" s="80" t="n">
        <x:v>16762.650871026333</x:v>
      </x:c>
      <x:c r="N846" s="82" t="n">
        <x:v>0.21210854754887393</x:v>
      </x:c>
      <x:c r="O846" s="82" t="n">
        <x:v>0.06175379736261744</x:v>
      </x:c>
      <x:c r="P846" s="80" t="n">
        <x:v>15421.196476258241</x:v>
      </x:c>
      <x:c r="Q846" s="81" t="n">
        <x:v>0.002881673264735313</x:v>
      </x:c>
      <x:c r="R846" s="81" t="n">
        <x:v>56.63237094938928</x:v>
      </x:c>
      <x:c r="S846" s="81" t="n">
        <x:v>64.77143029866906</x:v>
      </x:c>
      <x:c r="T846" s="81" t="n">
        <x:v>55.78684680195988</x:v>
      </x:c>
    </x:row>
    <x:row r="847">
      <x:c r="A847" s="59" t="n">
        <x:v>844</x:v>
      </x:c>
      <x:c r="B847" s="193" t="n">
        <x:v>0.46294644717127087</x:v>
      </x:c>
      <x:c r="C847" s="83" t="n">
        <x:v>0.7397987494854708</x:v>
      </x:c>
      <x:c r="D847" s="83" t="n">
        <x:v>0.6094104748320996</x:v>
      </x:c>
      <x:c r="E847" s="81" t="n">
        <x:v>-0.049728881927976504</x:v>
      </x:c>
      <x:c r="F847" s="81" t="n">
        <x:v>0.6630514337099158</x:v>
      </x:c>
      <x:c r="G847" s="81" t="n">
        <x:v>-0.023895387958435804</x:v>
      </x:c>
      <x:c r="H847" s="59" t="n">
        <x:v>0</x:v>
      </x:c>
      <x:c r="I847" s="81" t="n">
        <x:v>0</x:v>
      </x:c>
      <x:c r="J847" s="79" t="n">
        <x:v>2.604958988687581e-20</x:v>
      </x:c>
      <x:c r="K847" s="81" t="n">
        <x:v>-1</x:v>
      </x:c>
      <x:c r="L847" s="81" t="n">
        <x:v>-1</x:v>
      </x:c>
      <x:c r="M847" s="80" t="n">
        <x:v>0.00005018591779588954</x:v>
      </x:c>
      <x:c r="N847" s="82" t="n">
        <x:v>0.21237627396208125</x:v>
      </x:c>
      <x:c r="O847" s="82" t="n">
        <x:v>0.13302220955117258</x:v>
      </x:c>
      <x:c r="P847" s="80" t="n">
        <x:v>472.2898986852651</x:v>
      </x:c>
      <x:c r="Q847" s="81" t="n">
        <x:v>41078.46257703581</x:v>
      </x:c>
      <x:c r="R847" s="81" t="n">
        <x:v>6.055537639605167</x:v>
      </x:c>
      <x:c r="S847" s="81" t="n">
        <x:v>5.993324697881249e-9</x:v>
      </x:c>
      <x:c r="T847" s="81" t="n">
        <x:v>5.642909889139545e-16</x:v>
      </x:c>
    </x:row>
    <x:row r="848">
      <x:c r="A848" s="59" t="n">
        <x:v>845</x:v>
      </x:c>
      <x:c r="B848" s="193" t="n">
        <x:v>0.9673890948295594</x:v>
      </x:c>
      <x:c r="C848" s="83" t="n">
        <x:v>0.6527680355832213</x:v>
      </x:c>
      <x:c r="D848" s="83" t="n">
        <x:v>0.9094787896533719</x:v>
      </x:c>
      <x:c r="E848" s="81" t="n">
        <x:v>0.060059384390043075</x:v>
      </x:c>
      <x:c r="F848" s="81" t="n">
        <x:v>0.8773487268015743</x:v>
      </x:c>
      <x:c r="G848" s="81" t="n">
        <x:v>0.022626188131779475</x:v>
      </x:c>
      <x:c r="H848" s="59" t="n">
        <x:v>0</x:v>
      </x:c>
      <x:c r="I848" s="81" t="n">
        <x:v>0</x:v>
      </x:c>
      <x:c r="J848" s="79" t="n">
        <x:v>0.0008988980855648296</x:v>
      </x:c>
      <x:c r="K848" s="81" t="n">
        <x:v>0.027312097788376732</x:v>
      </x:c>
      <x:c r="L848" s="81" t="n">
        <x:v>-0.8230610906900377</x:v>
      </x:c>
      <x:c r="M848" s="80" t="n">
        <x:v>10683.983754463861</x:v>
      </x:c>
      <x:c r="N848" s="82" t="n">
        <x:v>0.33254397093392907</x:v>
      </x:c>
      <x:c r="O848" s="82" t="n">
        <x:v>0.2756082861336916</x:v>
      </x:c>
      <x:c r="P848" s="80" t="n">
        <x:v>18545.296882359842</x:v>
      </x:c>
      <x:c r="Q848" s="81" t="n">
        <x:v>0.010888032959026898</x:v>
      </x:c>
      <x:c r="R848" s="81" t="n">
        <x:v>51.90105112580114</x:v>
      </x:c>
      <x:c r="S848" s="81" t="n">
        <x:v>29.114812458357047</x:v>
      </x:c>
      <x:c r="T848" s="81" t="n">
        <x:v>19.472095024873838</x:v>
      </x:c>
    </x:row>
    <x:row r="849">
      <x:c r="A849" s="59" t="n">
        <x:v>846</x:v>
      </x:c>
      <x:c r="B849" s="193" t="n">
        <x:v>0.5472476165741682</x:v>
      </x:c>
      <x:c r="C849" s="83" t="n">
        <x:v>0.2876875208342514</x:v>
      </x:c>
      <x:c r="D849" s="83" t="n">
        <x:v>1.0969545235274838</x:v>
      </x:c>
      <x:c r="E849" s="81" t="n">
        <x:v>-0.03030814028459427</x:v>
      </x:c>
      <x:c r="F849" s="81" t="n">
        <x:v>0.3376109658391215</x:v>
      </x:c>
      <x:c r="G849" s="81" t="n">
        <x:v>-0.03305599449979057</x:v>
      </x:c>
      <x:c r="H849" s="59" t="n">
        <x:v>0</x:v>
      </x:c>
      <x:c r="I849" s="81" t="n">
        <x:v>0</x:v>
      </x:c>
      <x:c r="J849" s="79" t="n">
        <x:v>8.389458172759168e-21</x:v>
      </x:c>
      <x:c r="K849" s="81" t="n">
        <x:v>-1</x:v>
      </x:c>
      <x:c r="L849" s="81" t="n">
        <x:v>-1</x:v>
      </x:c>
      <x:c r="M849" s="80" t="n">
        <x:v>0.000021113427303142583</x:v>
      </x:c>
      <x:c r="N849" s="82" t="n">
        <x:v>0.2324583931607777</x:v>
      </x:c>
      <x:c r="O849" s="82" t="n">
        <x:v>0.07413660902077487</x:v>
      </x:c>
      <x:c r="P849" s="80" t="n">
        <x:v>604.7063681587318</x:v>
      </x:c>
      <x:c r="Q849" s="81" t="n">
        <x:v>86416.65398703639</x:v>
      </x:c>
      <x:c r="R849" s="81" t="n">
        <x:v>14.81010433732401</x:v>
      </x:c>
      <x:c r="S849" s="81" t="n">
        <x:v>5.462389615977096e-9</x:v>
      </x:c>
      <x:c r="T849" s="81" t="n">
        <x:v>1.817339800479408e-16</x:v>
      </x:c>
    </x:row>
    <x:row r="850">
      <x:c r="A850" s="59" t="n">
        <x:v>847</x:v>
      </x:c>
      <x:c r="B850" s="193" t="n">
        <x:v>0.20065580476075412</x:v>
      </x:c>
      <x:c r="C850" s="83" t="n">
        <x:v>1.8716105242457441</x:v>
      </x:c>
      <x:c r="D850" s="83" t="n">
        <x:v>0.6251004089635298</x:v>
      </x:c>
      <x:c r="E850" s="81" t="n">
        <x:v>-0.044085261364829736</x:v>
      </x:c>
      <x:c r="F850" s="81" t="n">
        <x:v>0.6595616188831628</x:v>
      </x:c>
      <x:c r="G850" s="81" t="n">
        <x:v>0.024864056041110957</x:v>
      </x:c>
      <x:c r="H850" s="59" t="n">
        <x:v>48</x:v>
      </x:c>
      <x:c r="I850" s="81" t="n">
        <x:v>0.12348686447367073</x:v>
      </x:c>
      <x:c r="J850" s="79" t="n">
        <x:v>1.3820402891822782e-23</x:v>
      </x:c>
      <x:c r="K850" s="81" t="n">
        <x:v>-1</x:v>
      </x:c>
      <x:c r="L850" s="81" t="n">
        <x:v>-1</x:v>
      </x:c>
      <x:c r="M850" s="80" t="n">
        <x:v>0.000002</x:v>
      </x:c>
      <x:c r="N850" s="82" t="n">
        <x:v>0.14989372499035084</x:v>
      </x:c>
      <x:c r="O850" s="82" t="n">
        <x:v>0.09339202011077988</x:v>
      </x:c>
      <x:c r="P850" s="80" t="n">
        <x:v>950.6135334073987</x:v>
      </x:c>
      <x:c r="Q850" s="81" t="n">
        <x:v>3461916.925245356</x:v>
      </x:c>
      <x:c r="R850" s="81" t="n">
        <x:v>3.2848589365831202</x:v>
      </x:c>
      <x:c r="S850" s="81" t="n">
        <x:v>2.5709948438575253e-10</x:v>
      </x:c>
      <x:c r="T850" s="81" t="n">
        <x:v>2.993800996055249e-19</x:v>
      </x:c>
    </x:row>
    <x:row r="851">
      <x:c r="A851" s="59" t="n">
        <x:v>848</x:v>
      </x:c>
      <x:c r="B851" s="193" t="n">
        <x:v>0.9378451159223915</x:v>
      </x:c>
      <x:c r="C851" s="83" t="n">
        <x:v>2.9757713131004437</x:v>
      </x:c>
      <x:c r="D851" s="83" t="n">
        <x:v>0.8343901499682592</x:v>
      </x:c>
      <x:c r="E851" s="81" t="n">
        <x:v>-0.11159939296493128</x:v>
      </x:c>
      <x:c r="F851" s="81" t="n">
        <x:v>0.25438513573026283</x:v>
      </x:c>
      <x:c r="G851" s="81" t="n">
        <x:v>-0.03424620727656864</x:v>
      </x:c>
      <x:c r="H851" s="59" t="n">
        <x:v>0</x:v>
      </x:c>
      <x:c r="I851" s="81" t="n">
        <x:v>0</x:v>
      </x:c>
      <x:c r="J851" s="79" t="n">
        <x:v>4.416840574668154e-36</x:v>
      </x:c>
      <x:c r="K851" s="81" t="n">
        <x:v>-1</x:v>
      </x:c>
      <x:c r="L851" s="81" t="n">
        <x:v>-1</x:v>
      </x:c>
      <x:c r="M851" s="80" t="n">
        <x:v>0.000002</x:v>
      </x:c>
      <x:c r="N851" s="82" t="n">
        <x:v>0.3255060412086371</x:v>
      </x:c>
      <x:c r="O851" s="82" t="n">
        <x:v>0.07822070502410385</x:v>
      </x:c>
      <x:c r="P851" s="80" t="n">
        <x:v>631.29341941308</x:v>
      </x:c>
      <x:c r="Q851" s="81" t="n">
        <x:v>4555851356864709000</x:v>
      </x:c>
      <x:c r="R851" s="81" t="n">
        <x:v>0.9143025513123033</x:v>
      </x:c>
      <x:c r="S851" s="81" t="n">
        <x:v>1.2031691413763853e-10</x:v>
      </x:c>
      <x:c r="T851" s="81" t="n">
        <x:v>9.567840977836176e-32</x:v>
      </x:c>
    </x:row>
    <x:row r="852">
      <x:c r="A852" s="59" t="n">
        <x:v>849</x:v>
      </x:c>
      <x:c r="B852" s="193" t="n">
        <x:v>0.9800721053034067</x:v>
      </x:c>
      <x:c r="C852" s="83" t="n">
        <x:v>0.443049568737505</x:v>
      </x:c>
      <x:c r="D852" s="83" t="n">
        <x:v>0.3303141913040182</x:v>
      </x:c>
      <x:c r="E852" s="81" t="n">
        <x:v>0.011246588803498807</x:v>
      </x:c>
      <x:c r="F852" s="81" t="n">
        <x:v>0.8082763668848202</x:v>
      </x:c>
      <x:c r="G852" s="81" t="n">
        <x:v>0.02007005277274555</x:v>
      </x:c>
      <x:c r="H852" s="59" t="n">
        <x:v>0</x:v>
      </x:c>
      <x:c r="I852" s="81" t="n">
        <x:v>0</x:v>
      </x:c>
      <x:c r="J852" s="79" t="n">
        <x:v>0.0000026004984102962725</x:v>
      </x:c>
      <x:c r="K852" s="81" t="n">
        <x:v>-0.9970280018168043</x:v>
      </x:c>
      <x:c r="L852" s="81" t="n">
        <x:v>-0.9971525271010494</x:v>
      </x:c>
      <x:c r="M852" s="80" t="n">
        <x:v>404.01724039935505</x:v>
      </x:c>
      <x:c r="N852" s="82" t="n">
        <x:v>0.33556530183524597</x:v>
      </x:c>
      <x:c r="O852" s="82" t="n">
        <x:v>0.2562169576623766</x:v>
      </x:c>
      <x:c r="P852" s="80" t="n">
        <x:v>726.2130330788734</x:v>
      </x:c>
      <x:c r="Q852" s="81" t="n">
        <x:v>0.03376228394816855</x:v>
      </x:c>
      <x:c r="R852" s="81" t="n">
        <x:v>17.258649592269524</x:v>
      </x:c>
      <x:c r="S852" s="81" t="n">
        <x:v>0.1610745464619485</x:v>
      </x:c>
      <x:c r="T852" s="81" t="n">
        <x:v>0.05633247302501943</x:v>
      </x:c>
    </x:row>
    <x:row r="853">
      <x:c r="A853" s="59" t="n">
        <x:v>850</x:v>
      </x:c>
      <x:c r="B853" s="193" t="n">
        <x:v>0.3972097234800458</x:v>
      </x:c>
      <x:c r="C853" s="83" t="n">
        <x:v>0.1635957477083867</x:v>
      </x:c>
      <x:c r="D853" s="83" t="n">
        <x:v>0.3257943248598453</x:v>
      </x:c>
      <x:c r="E853" s="81" t="n">
        <x:v>0.009914138907148295</x:v>
      </x:c>
      <x:c r="F853" s="81" t="n">
        <x:v>0.4981766679440625</x:v>
      </x:c>
      <x:c r="G853" s="81" t="n">
        <x:v>0.014289745066220534</x:v>
      </x:c>
      <x:c r="H853" s="59" t="n">
        <x:v>0</x:v>
      </x:c>
      <x:c r="I853" s="81" t="n">
        <x:v>0</x:v>
      </x:c>
      <x:c r="J853" s="79" t="n">
        <x:v>0.000009159061058543151</x:v>
      </x:c>
      <x:c r="K853" s="81" t="n">
        <x:v>-0.9895325016473793</x:v>
      </x:c>
      <x:c r="L853" s="81" t="n">
        <x:v>-0.989583162389567</x:v>
      </x:c>
      <x:c r="M853" s="80" t="n">
        <x:v>608.5058882950448</x:v>
      </x:c>
      <x:c r="N853" s="82" t="n">
        <x:v>0.1967165538152622</x:v>
      </x:c>
      <x:c r="O853" s="82" t="n">
        <x:v>0.09257532235654599</x:v>
      </x:c>
      <x:c r="P853" s="80" t="n">
        <x:v>935.7003377990183</x:v>
      </x:c>
      <x:c r="Q853" s="81" t="n">
        <x:v>0.013109233904999974</x:v>
      </x:c>
      <x:c r="R853" s="81" t="n">
        <x:v>71.62519425677266</x:v>
      </x:c>
      <x:c r="S853" s="81" t="n">
        <x:v>1.1290405474223895</x:v>
      </x:c>
      <x:c r="T853" s="81" t="n">
        <x:v>0.1984052587658017</x:v>
      </x:c>
    </x:row>
    <x:row r="854">
      <x:c r="A854" s="59" t="n">
        <x:v>851</x:v>
      </x:c>
      <x:c r="B854" s="193" t="n">
        <x:v>0.4269939538091421</x:v>
      </x:c>
      <x:c r="C854" s="83" t="n">
        <x:v>1.1437157239779252</x:v>
      </x:c>
      <x:c r="D854" s="83" t="n">
        <x:v>1.0454212733165709</x:v>
      </x:c>
      <x:c r="E854" s="81" t="n">
        <x:v>-0.12728891372989895</x:v>
      </x:c>
      <x:c r="F854" s="81" t="n">
        <x:v>0.7865927945706063</x:v>
      </x:c>
      <x:c r="G854" s="81" t="n">
        <x:v>-0.008132355727527569</x:v>
      </x:c>
      <x:c r="H854" s="59" t="n">
        <x:v>0</x:v>
      </x:c>
      <x:c r="I854" s="81" t="n">
        <x:v>0</x:v>
      </x:c>
      <x:c r="J854" s="79" t="n">
        <x:v>3.3097164794621975e-49</x:v>
      </x:c>
      <x:c r="K854" s="81" t="n">
        <x:v>-1</x:v>
      </x:c>
      <x:c r="L854" s="81" t="n">
        <x:v>-1</x:v>
      </x:c>
      <x:c r="M854" s="80" t="n">
        <x:v>0.000002</x:v>
      </x:c>
      <x:c r="N854" s="82" t="n">
        <x:v>0.2038117159339717</x:v>
      </x:c>
      <x:c r="O854" s="82" t="n">
        <x:v>0.15144329532963924</x:v>
      </x:c>
      <x:c r="P854" s="80" t="n">
        <x:v>314.3737940434811</x:v>
      </x:c>
      <x:c r="Q854" s="81" t="n">
        <x:v>5.405659228455524e+31</x:v>
      </x:c>
      <x:c r="R854" s="81" t="n">
        <x:v>1.2556842145326503</x:v>
      </x:c>
      <x:c r="S854" s="81" t="n">
        <x:v>3.8679591634999407e-10</x:v>
      </x:c>
      <x:c r="T854" s="81" t="n">
        <x:v>7.169568478164346e-45</x:v>
      </x:c>
    </x:row>
    <x:row r="855">
      <x:c r="A855" s="59" t="n">
        <x:v>852</x:v>
      </x:c>
      <x:c r="B855" s="193" t="n">
        <x:v>0.21297196317464115</x:v>
      </x:c>
      <x:c r="C855" s="83" t="n">
        <x:v>0.47862878496638883</x:v>
      </x:c>
      <x:c r="D855" s="83" t="n">
        <x:v>1.2915747173667473</x:v>
      </x:c>
      <x:c r="E855" s="81" t="n">
        <x:v>-0.10269189269529093</x:v>
      </x:c>
      <x:c r="F855" s="81" t="n">
        <x:v>0.8234802447725088</x:v>
      </x:c>
      <x:c r="G855" s="81" t="n">
        <x:v>0.06024590016571804</x:v>
      </x:c>
      <x:c r="H855" s="59" t="n">
        <x:v>0</x:v>
      </x:c>
      <x:c r="I855" s="81" t="n">
        <x:v>0</x:v>
      </x:c>
      <x:c r="J855" s="79" t="n">
        <x:v>8.020597420088894e-65</x:v>
      </x:c>
      <x:c r="K855" s="81" t="n">
        <x:v>-1</x:v>
      </x:c>
      <x:c r="L855" s="81" t="n">
        <x:v>-1</x:v>
      </x:c>
      <x:c r="M855" s="80" t="n">
        <x:v>0.000002</x:v>
      </x:c>
      <x:c r="N855" s="82" t="n">
        <x:v>0.15282766485250898</x:v>
      </x:c>
      <x:c r="O855" s="82" t="n">
        <x:v>0.11888473774883761</x:v>
      </x:c>
      <x:c r="P855" s="80" t="n">
        <x:v>268.03031247696765</x:v>
      </x:c>
      <x:c r="Q855" s="81" t="n">
        <x:v>2.7046190709621534e+47</x:v>
      </x:c>
      <x:c r="R855" s="81" t="n">
        <x:v>2.5680290073113428</x:v>
      </x:c>
      <x:c r="S855" s="81" t="n">
        <x:v>1.5591149635219024e-9</x:v>
      </x:c>
      <x:c r="T855" s="81" t="n">
        <x:v>1.7374365084123339e-60</x:v>
      </x:c>
    </x:row>
    <x:row r="856">
      <x:c r="A856" s="59" t="n">
        <x:v>853</x:v>
      </x:c>
      <x:c r="B856" s="193" t="n">
        <x:v>0.5878927322104573</x:v>
      </x:c>
      <x:c r="C856" s="83" t="n">
        <x:v>1.4201239838714241</x:v>
      </x:c>
      <x:c r="D856" s="83" t="n">
        <x:v>1.6567718501852968</x:v>
      </x:c>
      <x:c r="E856" s="81" t="n">
        <x:v>0.023778043664452447</x:v>
      </x:c>
      <x:c r="F856" s="81" t="n">
        <x:v>0.5506849347846583</x:v>
      </x:c>
      <x:c r="G856" s="81" t="n">
        <x:v>0.026719341110259223</x:v>
      </x:c>
      <x:c r="H856" s="59" t="n">
        <x:v>38</x:v>
      </x:c>
      <x:c r="I856" s="81" t="n">
        <x:v>0.274178162496537</x:v>
      </x:c>
      <x:c r="J856" s="79" t="n">
        <x:v>0.004940937994726925</x:v>
      </x:c>
      <x:c r="K856" s="81" t="n">
        <x:v>4.646786279687915</x:v>
      </x:c>
      <x:c r="L856" s="81" t="n">
        <x:v>-0.6679629676054725</x:v>
      </x:c>
      <x:c r="M856" s="80" t="n">
        <x:v>34520.327680621886</x:v>
      </x:c>
      <x:c r="N856" s="82" t="n">
        <x:v>0.24214082180126018</x:v>
      </x:c>
      <x:c r="O856" s="82" t="n">
        <x:v>0.12596275461330034</x:v>
      </x:c>
      <x:c r="P856" s="80" t="n">
        <x:v>106485.01741150585</x:v>
      </x:c>
      <x:c r="Q856" s="81" t="n">
        <x:v>0.012435995943831801</x:v>
      </x:c>
      <x:c r="R856" s="81" t="n">
        <x:v>57.83677283478167</x:v>
      </x:c>
      <x:c r="S856" s="81" t="n">
        <x:v>79.1307466857826</x:v>
      </x:c>
      <x:c r="T856" s="81" t="n">
        <x:v>107.03150411637344</x:v>
      </x:c>
    </x:row>
    <x:row r="857">
      <x:c r="A857" s="59" t="n">
        <x:v>854</x:v>
      </x:c>
      <x:c r="B857" s="193" t="n">
        <x:v>0.45428985301405195</x:v>
      </x:c>
      <x:c r="C857" s="83" t="n">
        <x:v>0.34499984078461465</x:v>
      </x:c>
      <x:c r="D857" s="83" t="n">
        <x:v>1.0274926398605944</x:v>
      </x:c>
      <x:c r="E857" s="81" t="n">
        <x:v>-0.017401886007242726</x:v>
      </x:c>
      <x:c r="F857" s="81" t="n">
        <x:v>0.34752317749662326</x:v>
      </x:c>
      <x:c r="G857" s="81" t="n">
        <x:v>-0.024352065667807166</x:v>
      </x:c>
      <x:c r="H857" s="59" t="n">
        <x:v>77</x:v>
      </x:c>
      <x:c r="I857" s="81" t="n">
        <x:v>0.3350301703438163</x:v>
      </x:c>
      <x:c r="J857" s="79" t="n">
        <x:v>6.115059872544326e-14</x:v>
      </x:c>
      <x:c r="K857" s="81" t="n">
        <x:v>-0.9999999999301136</x:v>
      </x:c>
      <x:c r="L857" s="81" t="n">
        <x:v>-0.9999999999301136</x:v>
      </x:c>
      <x:c r="M857" s="80" t="n">
        <x:v>0.05819934309107305</x:v>
      </x:c>
      <x:c r="N857" s="82" t="n">
        <x:v>0.21031411092269175</x:v>
      </x:c>
      <x:c r="O857" s="82" t="n">
        <x:v>0.06904355245218362</x:v>
      </x:c>
      <x:c r="P857" s="80" t="n">
        <x:v>953.2070008174607</x:v>
      </x:c>
      <x:c r="Q857" s="81" t="n">
        <x:v>56.19687544136984</x:v>
      </x:c>
      <x:c r="R857" s="81" t="n">
        <x:v>19.303234955872494</x:v>
      </x:c>
      <x:c r="S857" s="81" t="n">
        <x:v>0.00001480889413070408</x:v>
      </x:c>
      <x:c r="T857" s="81" t="n">
        <x:v>1.324655473552995e-9</x:v>
      </x:c>
    </x:row>
    <x:row r="858">
      <x:c r="A858" s="59" t="n">
        <x:v>855</x:v>
      </x:c>
      <x:c r="B858" s="193" t="n">
        <x:v>0.6793864017352462</x:v>
      </x:c>
      <x:c r="C858" s="83" t="n">
        <x:v>2.3555328852527113</x:v>
      </x:c>
      <x:c r="D858" s="83" t="n">
        <x:v>0.5422956371177705</x:v>
      </x:c>
      <x:c r="E858" s="81" t="n">
        <x:v>-0.05144449428881684</x:v>
      </x:c>
      <x:c r="F858" s="81" t="n">
        <x:v>0.7110079739242792</x:v>
      </x:c>
      <x:c r="G858" s="81" t="n">
        <x:v>0.020100453975927537</x:v>
      </x:c>
      <x:c r="H858" s="59" t="n">
        <x:v>0</x:v>
      </x:c>
      <x:c r="I858" s="81" t="n">
        <x:v>0</x:v>
      </x:c>
      <x:c r="J858" s="79" t="n">
        <x:v>2.14166041168973e-23</x:v>
      </x:c>
      <x:c r="K858" s="81" t="n">
        <x:v>-1</x:v>
      </x:c>
      <x:c r="L858" s="81" t="n">
        <x:v>-1</x:v>
      </x:c>
      <x:c r="M858" s="80" t="n">
        <x:v>0.000002803571761317659</x:v>
      </x:c>
      <x:c r="N858" s="82" t="n">
        <x:v>0.26393632938836825</x:v>
      </x:c>
      <x:c r="O858" s="82" t="n">
        <x:v>0.17727381287931762</x:v>
      </x:c>
      <x:c r="P858" s="80" t="n">
        <x:v>910.1994149661015</x:v>
      </x:c>
      <x:c r="Q858" s="81" t="n">
        <x:v>2702547.408972913</x:v>
      </x:c>
      <x:c r="R858" s="81" t="n">
        <x:v>2.492516859612741</x:v>
      </x:c>
      <x:c r="S858" s="81" t="n">
        <x:v>2.7061424985848446e-10</x:v>
      </x:c>
      <x:c r="T858" s="81" t="n">
        <x:v>4.639304023128348e-19</x:v>
      </x:c>
    </x:row>
    <x:row r="859">
      <x:c r="A859" s="59" t="n">
        <x:v>856</x:v>
      </x:c>
      <x:c r="B859" s="193" t="n">
        <x:v>0.5188389845192433</x:v>
      </x:c>
      <x:c r="C859" s="83" t="n">
        <x:v>1.1281969361026905</x:v>
      </x:c>
      <x:c r="D859" s="83" t="n">
        <x:v>0.7754605605594165</x:v>
      </x:c>
      <x:c r="E859" s="81" t="n">
        <x:v>-0.006597822585231544</x:v>
      </x:c>
      <x:c r="F859" s="81" t="n">
        <x:v>0.7486314808018506</x:v>
      </x:c>
      <x:c r="G859" s="81" t="n">
        <x:v>-0.0032352064461082654</x:v>
      </x:c>
      <x:c r="H859" s="59" t="n">
        <x:v>71</x:v>
      </x:c>
      <x:c r="I859" s="81" t="n">
        <x:v>0.3777294083498418</x:v>
      </x:c>
      <x:c r="J859" s="79" t="n">
        <x:v>1.1580189372494669e-8</x:v>
      </x:c>
      <x:c r="K859" s="81" t="n">
        <x:v>-0.99998676549786</x:v>
      </x:c>
      <x:c r="L859" s="81" t="n">
        <x:v>-0.99998676549786</x:v>
      </x:c>
      <x:c r="M859" s="80" t="n">
        <x:v>39.36455737217378</x:v>
      </x:c>
      <x:c r="N859" s="82" t="n">
        <x:v>0.22569092434344362</x:v>
      </x:c>
      <x:c r="O859" s="82" t="n">
        <x:v>0.15960743668559027</x:v>
      </x:c>
      <x:c r="P859" s="80" t="n">
        <x:v>1917.5561750722172</x:v>
      </x:c>
      <x:c r="Q859" s="81" t="n">
        <x:v>0.47280929157312074</x:v>
      </x:c>
      <x:c r="R859" s="81" t="n">
        <x:v>8.851187449870354</x:v>
      </x:c>
      <x:c r="S859" s="81" t="n">
        <x:v>0.00629150848026135</x:v>
      </x:c>
      <x:c r="T859" s="81" t="n">
        <x:v>0.0002508521838997594</x:v>
      </x:c>
    </x:row>
    <x:row r="860">
      <x:c r="A860" s="59" t="n">
        <x:v>857</x:v>
      </x:c>
      <x:c r="B860" s="193" t="n">
        <x:v>0.9230246525257826</x:v>
      </x:c>
      <x:c r="C860" s="83" t="n">
        <x:v>1.0354448804140544</x:v>
      </x:c>
      <x:c r="D860" s="83" t="n">
        <x:v>1.401699498874185</x:v>
      </x:c>
      <x:c r="E860" s="81" t="n">
        <x:v>-0.19914278118265116</x:v>
      </x:c>
      <x:c r="F860" s="81" t="n">
        <x:v>0.583957509661559</x:v>
      </x:c>
      <x:c r="G860" s="81" t="n">
        <x:v>-0.007902722346463489</x:v>
      </x:c>
      <x:c r="H860" s="59" t="n">
        <x:v>0</x:v>
      </x:c>
      <x:c r="I860" s="81" t="n">
        <x:v>0</x:v>
      </x:c>
      <x:c r="J860" s="79" t="n">
        <x:v>6.550689201137462e-81</x:v>
      </x:c>
      <x:c r="K860" s="81" t="n">
        <x:v>-1</x:v>
      </x:c>
      <x:c r="L860" s="81" t="n">
        <x:v>-1</x:v>
      </x:c>
      <x:c r="M860" s="80" t="n">
        <x:v>0.000002</x:v>
      </x:c>
      <x:c r="N860" s="82" t="n">
        <x:v>0.3219755289438763</x:v>
      </x:c>
      <x:c r="O860" s="82" t="n">
        <x:v>0.17761312479360203</x:v>
      </x:c>
      <x:c r="P860" s="80" t="n">
        <x:v>237.9491287416999</x:v>
      </x:c>
      <x:c r="Q860" s="81" t="n">
        <x:v>1.857009543234589e+63</x:v>
      </x:c>
      <x:c r="R860" s="81" t="n">
        <x:v>0.7117093113002159</x:v>
      </x:c>
      <x:c r="S860" s="81" t="n">
        <x:v>5.477425542300279e-10</x:v>
      </x:c>
      <x:c r="T860" s="81" t="n">
        <x:v>1.419022296869316e-76</x:v>
      </x:c>
    </x:row>
    <x:row r="861">
      <x:c r="A861" s="59" t="n">
        <x:v>858</x:v>
      </x:c>
      <x:c r="B861" s="193" t="n">
        <x:v>0.6242782792076469</x:v>
      </x:c>
      <x:c r="C861" s="83" t="n">
        <x:v>0.18429633083584335</x:v>
      </x:c>
      <x:c r="D861" s="83" t="n">
        <x:v>1.4630408516615816</x:v>
      </x:c>
      <x:c r="E861" s="81" t="n">
        <x:v>0.10603164302493506</x:v>
      </x:c>
      <x:c r="F861" s="81" t="n">
        <x:v>0.46074426736449825</x:v>
      </x:c>
      <x:c r="G861" s="81" t="n">
        <x:v>0.01128813963344185</x:v>
      </x:c>
      <x:c r="H861" s="59" t="n">
        <x:v>0</x:v>
      </x:c>
      <x:c r="I861" s="81" t="n">
        <x:v>0</x:v>
      </x:c>
      <x:c r="J861" s="79" t="n">
        <x:v>0.023688585004296714</x:v>
      </x:c>
      <x:c r="K861" s="81" t="n">
        <x:v>26.072668576339105</x:v>
      </x:c>
      <x:c r="L861" s="81" t="n">
        <x:v>-0.7978814725201379</x:v>
      </x:c>
      <x:c r="M861" s="80" t="n">
        <x:v>52918.5121343541</x:v>
      </x:c>
      <x:c r="N861" s="82" t="n">
        <x:v>0.2508085413249968</x:v>
      </x:c>
      <x:c r="O861" s="82" t="n">
        <x:v>0.10916243249592009</x:v>
      </x:c>
      <x:c r="P861" s="80" t="n">
        <x:v>111861.789620131</x:v>
      </x:c>
      <x:c r="Q861" s="81" t="n">
        <x:v>0.0029676775503384447</x:v>
      </x:c>
      <x:c r="R861" s="81" t="n">
        <x:v>2329.8857130974798</x:v>
      </x:c>
      <x:c r="S861" s="81" t="n">
        <x:v>2421.8252561723416</x:v>
      </x:c>
      <x:c r="T861" s="81" t="n">
        <x:v>513.146468566152</x:v>
      </x:c>
    </x:row>
    <x:row r="862">
      <x:c r="A862" s="59" t="n">
        <x:v>859</x:v>
      </x:c>
      <x:c r="B862" s="193" t="n">
        <x:v>0.40796870142221453</x:v>
      </x:c>
      <x:c r="C862" s="83" t="n">
        <x:v>0.12085888030169739</x:v>
      </x:c>
      <x:c r="D862" s="83" t="n">
        <x:v>1.5409652675923913</x:v>
      </x:c>
      <x:c r="E862" s="81" t="n">
        <x:v>0.004086214777400198</x:v>
      </x:c>
      <x:c r="F862" s="81" t="n">
        <x:v>0.43830287978053095</x:v>
      </x:c>
      <x:c r="G862" s="81" t="n">
        <x:v>-0.0013743612754606829</x:v>
      </x:c>
      <x:c r="H862" s="59" t="n">
        <x:v>0</x:v>
      </x:c>
      <x:c r="I862" s="81" t="n">
        <x:v>0</x:v>
      </x:c>
      <x:c r="J862" s="79" t="n">
        <x:v>0.000027837953988358448</x:v>
      </x:c>
      <x:c r="K862" s="81" t="n">
        <x:v>-0.9681851954418761</x:v>
      </x:c>
      <x:c r="L862" s="81" t="n">
        <x:v>-0.9692854061590054</x:v>
      </x:c>
      <x:c r="M862" s="80" t="n">
        <x:v>1032.1202912111771</x:v>
      </x:c>
      <x:c r="N862" s="82" t="n">
        <x:v>0.19927954409192317</x:v>
      </x:c>
      <x:c r="O862" s="82" t="n">
        <x:v>0.08251026594296514</x:v>
      </x:c>
      <x:c r="P862" s="80" t="n">
        <x:v>5279.932295802204</x:v>
      </x:c>
      <x:c r="Q862" s="81" t="n">
        <x:v>0.03385111173038046</x:v>
      </x:c>
      <x:c r="R862" s="81" t="n">
        <x:v>115.67563403584532</x:v>
      </x:c>
      <x:c r="S862" s="81" t="n">
        <x:v>4.89008020004247</x:v>
      </x:c>
      <x:c r="T862" s="81" t="n">
        <x:v>0.6030308597428724</x:v>
      </x:c>
    </x:row>
    <x:row r="863">
      <x:c r="A863" s="59" t="n">
        <x:v>860</x:v>
      </x:c>
      <x:c r="B863" s="193" t="n">
        <x:v>0.49820616096258163</x:v>
      </x:c>
      <x:c r="C863" s="83" t="n">
        <x:v>1.8350975369153788</x:v>
      </x:c>
      <x:c r="D863" s="83" t="n">
        <x:v>0.7338831208253839</x:v>
      </x:c>
      <x:c r="E863" s="81" t="n">
        <x:v>0.126008984960436</x:v>
      </x:c>
      <x:c r="F863" s="81" t="n">
        <x:v>0.386321337451227</x:v>
      </x:c>
      <x:c r="G863" s="81" t="n">
        <x:v>0.026671168981519833</x:v>
      </x:c>
      <x:c r="H863" s="59" t="n">
        <x:v>13</x:v>
      </x:c>
      <x:c r="I863" s="81" t="n">
        <x:v>0.16895925858989358</x:v>
      </x:c>
      <x:c r="J863" s="79" t="n">
        <x:v>0.10830068485686549</x:v>
      </x:c>
      <x:c r="K863" s="81" t="n">
        <x:v>122.77221126498914</x:v>
      </x:c>
      <x:c r="L863" s="81" t="n">
        <x:v>-0.6527219318666967</x:v>
      </x:c>
      <x:c r="M863" s="80" t="n">
        <x:v>231473.95242293322</x:v>
      </x:c>
      <x:c r="N863" s="82" t="n">
        <x:v>0.22077579890680513</x:v>
      </x:c>
      <x:c r="O863" s="82" t="n">
        <x:v>0.08056958056553482</x:v>
      </x:c>
      <x:c r="P863" s="80" t="n">
        <x:v>285740.34722053516</x:v>
      </x:c>
      <x:c r="Q863" s="81" t="n">
        <x:v>0.0018432514862605938</x:v>
      </x:c>
      <x:c r="R863" s="81" t="n">
        <x:v>334.84533599952255</x:v>
      </x:c>
      <x:c r="S863" s="81" t="n">
        <x:v>1135.3893617645429</x:v>
      </x:c>
      <x:c r="T863" s="81" t="n">
        <x:v>2346.029278131895</x:v>
      </x:c>
    </x:row>
    <x:row r="864">
      <x:c r="A864" s="59" t="n">
        <x:v>861</x:v>
      </x:c>
      <x:c r="B864" s="193" t="n">
        <x:v>0.8722298868000509</x:v>
      </x:c>
      <x:c r="C864" s="83" t="n">
        <x:v>0.11169935570070735</x:v>
      </x:c>
      <x:c r="D864" s="83" t="n">
        <x:v>0.8360595845659955</x:v>
      </x:c>
      <x:c r="E864" s="81" t="n">
        <x:v>-0.04653912788114086</x:v>
      </x:c>
      <x:c r="F864" s="81" t="n">
        <x:v>0.4500925937318243</x:v>
      </x:c>
      <x:c r="G864" s="81" t="n">
        <x:v>0.0009852583242184044</x:v>
      </x:c>
      <x:c r="H864" s="59" t="n">
        <x:v>0</x:v>
      </x:c>
      <x:c r="I864" s="81" t="n">
        <x:v>0</x:v>
      </x:c>
      <x:c r="J864" s="79" t="n">
        <x:v>2.37361055559135e-25</x:v>
      </x:c>
      <x:c r="K864" s="81" t="n">
        <x:v>-1</x:v>
      </x:c>
      <x:c r="L864" s="81" t="n">
        <x:v>-1</x:v>
      </x:c>
      <x:c r="M864" s="80" t="n">
        <x:v>0.000002</x:v>
      </x:c>
      <x:c r="N864" s="82" t="n">
        <x:v>0.30987526334614957</x:v>
      </x:c>
      <x:c r="O864" s="82" t="n">
        <x:v>0.13175275868659758</x:v>
      </x:c>
      <x:c r="P864" s="80" t="n">
        <x:v>323.36098373382373</x:v>
      </x:c>
      <x:c r="Q864" s="81" t="n">
        <x:v>191391464.74305704</x:v>
      </x:c>
      <x:c r="R864" s="81" t="n">
        <x:v>28.016642672071853</x:v>
      </x:c>
      <x:c r="S864" s="81" t="n">
        <x:v>6.667414292468478e-10</x:v>
      </x:c>
      <x:c r="T864" s="81" t="n">
        <x:v>5.141758674619512e-21</x:v>
      </x:c>
    </x:row>
    <x:row r="865">
      <x:c r="A865" s="59" t="n">
        <x:v>862</x:v>
      </x:c>
      <x:c r="B865" s="193" t="n">
        <x:v>0.7494271812960507</x:v>
      </x:c>
      <x:c r="C865" s="83" t="n">
        <x:v>0.5679600101618344</x:v>
      </x:c>
      <x:c r="D865" s="83" t="n">
        <x:v>2.415573107106784</x:v>
      </x:c>
      <x:c r="E865" s="81" t="n">
        <x:v>0.15085805858323423</x:v>
      </x:c>
      <x:c r="F865" s="81" t="n">
        <x:v>0.8898357220226899</x:v>
      </x:c>
      <x:c r="G865" s="81" t="n">
        <x:v>0.012466012850765273</x:v>
      </x:c>
      <x:c r="H865" s="59" t="n">
        <x:v>0</x:v>
      </x:c>
      <x:c r="I865" s="81" t="n">
        <x:v>0</x:v>
      </x:c>
      <x:c r="J865" s="79" t="n">
        <x:v>0.06309540056442259</x:v>
      </x:c>
      <x:c r="K865" s="81" t="n">
        <x:v>71.10902921648297</x:v>
      </x:c>
      <x:c r="L865" s="81" t="n">
        <x:v>-0.8544363659996317</x:v>
      </x:c>
      <x:c r="M865" s="80" t="n">
        <x:v>173613.9386123604</x:v>
      </x:c>
      <x:c r="N865" s="82" t="n">
        <x:v>0.2806213563443686</x:v>
      </x:c>
      <x:c r="O865" s="82" t="n">
        <x:v>0.23588563695078985</x:v>
      </x:c>
      <x:c r="P865" s="80" t="n">
        <x:v>454194.53285255085</x:v>
      </x:c>
      <x:c r="Q865" s="81" t="n">
        <x:v>0.005796272664314082</x:v>
      </x:c>
      <x:c r="R865" s="81" t="n">
        <x:v>1259.0380039650813</x:v>
      </x:c>
      <x:c r="S865" s="81" t="n">
        <x:v>2209.075911319902</x:v>
      </x:c>
      <x:c r="T865" s="81" t="n">
        <x:v>1366.78412731396</x:v>
      </x:c>
    </x:row>
    <x:row r="866">
      <x:c r="A866" s="59" t="n">
        <x:v>863</x:v>
      </x:c>
      <x:c r="B866" s="193" t="n">
        <x:v>0.6829394718632102</x:v>
      </x:c>
      <x:c r="C866" s="83" t="n">
        <x:v>1.159172532906355</x:v>
      </x:c>
      <x:c r="D866" s="83" t="n">
        <x:v>0.26667071749318827</x:v>
      </x:c>
      <x:c r="E866" s="81" t="n">
        <x:v>-0.07733943444845545</x:v>
      </x:c>
      <x:c r="F866" s="81" t="n">
        <x:v>0.866848886909429</x:v>
      </x:c>
      <x:c r="G866" s="81" t="n">
        <x:v>-0.023135859429721274</x:v>
      </x:c>
      <x:c r="H866" s="59" t="n">
        <x:v>48</x:v>
      </x:c>
      <x:c r="I866" s="81" t="n">
        <x:v>0.19876917246729137</x:v>
      </x:c>
      <x:c r="J866" s="79" t="n">
        <x:v>1.1423579586143122e-15</x:v>
      </x:c>
      <x:c r="K866" s="81" t="n">
        <x:v>-0.9999999999986945</x:v>
      </x:c>
      <x:c r="L866" s="81" t="n">
        <x:v>-0.9999999999986945</x:v>
      </x:c>
      <x:c r="M866" s="80" t="n">
        <x:v>0.01284370157233285</x:v>
      </x:c>
      <x:c r="N866" s="82" t="n">
        <x:v>0.264782737312914</x:v>
      </x:c>
      <x:c r="O866" s="82" t="n">
        <x:v>0.21682232909463836</x:v>
      </x:c>
      <x:c r="P866" s="80" t="n">
        <x:v>321.64139182845435</x:v>
      </x:c>
      <x:c r="Q866" s="81" t="n">
        <x:v>158.1938174556294</x:v>
      </x:c>
      <x:c r="R866" s="81" t="n">
        <x:v>4.482568161353793</x:v>
      </x:c>
      <x:c r="S866" s="81" t="n">
        <x:v>5.386686636579614e-7</x:v>
      </x:c>
      <x:c r="T866" s="81" t="n">
        <x:v>2.4745967401389583e-11</x:v>
      </x:c>
    </x:row>
    <x:row r="867">
      <x:c r="A867" s="59" t="n">
        <x:v>864</x:v>
      </x:c>
      <x:c r="B867" s="193" t="n">
        <x:v>0.9744205005466939</x:v>
      </x:c>
      <x:c r="C867" s="83" t="n">
        <x:v>0.20316487834777736</x:v>
      </x:c>
      <x:c r="D867" s="83" t="n">
        <x:v>0.579383865895738</x:v>
      </x:c>
      <x:c r="E867" s="81" t="n">
        <x:v>0.006105353460040823</x:v>
      </x:c>
      <x:c r="F867" s="81" t="n">
        <x:v>0.7832086980924942</x:v>
      </x:c>
      <x:c r="G867" s="81" t="n">
        <x:v>-0.04241890028314022</x:v>
      </x:c>
      <x:c r="H867" s="59" t="n">
        <x:v>0</x:v>
      </x:c>
      <x:c r="I867" s="81" t="n">
        <x:v>0</x:v>
      </x:c>
      <x:c r="J867" s="79" t="n">
        <x:v>7.624622488918203e-7</x:v>
      </x:c>
      <x:c r="K867" s="81" t="n">
        <x:v>-0.9991286145726951</x:v>
      </x:c>
      <x:c r="L867" s="81" t="n">
        <x:v>-0.9991286145726951</x:v>
      </x:c>
      <x:c r="M867" s="80" t="n">
        <x:v>181.59103078633396</x:v>
      </x:c>
      <x:c r="N867" s="82" t="n">
        <x:v>0.3342189836146074</x:v>
      </x:c>
      <x:c r="O867" s="82" t="n">
        <x:v>0.2472746284505058</x:v>
      </x:c>
      <x:c r="P867" s="80" t="n">
        <x:v>735.2801317067858</x:v>
      </x:c>
      <x:c r="Q867" s="81" t="n">
        <x:v>0.044437759273171513</x:v>
      </x:c>
      <x:c r="R867" s="81" t="n">
        <x:v>33.6886609211267</x:v>
      </x:c>
      <x:c r="S867" s="81" t="n">
        <x:v>0.0925007014201187</x:v>
      </x:c>
      <x:c r="T867" s="81" t="n">
        <x:v>0.016516596933201236</x:v>
      </x:c>
    </x:row>
    <x:row r="868">
      <x:c r="A868" s="59" t="n">
        <x:v>865</x:v>
      </x:c>
      <x:c r="B868" s="193" t="n">
        <x:v>0.5564632706344128</x:v>
      </x:c>
      <x:c r="C868" s="83" t="n">
        <x:v>0.5556503197310163</x:v>
      </x:c>
      <x:c r="D868" s="83" t="n">
        <x:v>0.4405074871743066</x:v>
      </x:c>
      <x:c r="E868" s="81" t="n">
        <x:v>-0.0074010600323116665</x:v>
      </x:c>
      <x:c r="F868" s="81" t="n">
        <x:v>0.4706164372037165</x:v>
      </x:c>
      <x:c r="G868" s="81" t="n">
        <x:v>-0.003176918150572078</x:v>
      </x:c>
      <x:c r="H868" s="59" t="n">
        <x:v>0</x:v>
      </x:c>
      <x:c r="I868" s="81" t="n">
        <x:v>0</x:v>
      </x:c>
      <x:c r="J868" s="79" t="n">
        <x:v>9.697196866011173e-8</x:v>
      </x:c>
      <x:c r="K868" s="81" t="n">
        <x:v>-0.9998891748929599</x:v>
      </x:c>
      <x:c r="L868" s="81" t="n">
        <x:v>-0.9998891748929599</x:v>
      </x:c>
      <x:c r="M868" s="80" t="n">
        <x:v>83.00504273050768</x:v>
      </x:c>
      <x:c r="N868" s="82" t="n">
        <x:v>0.23465373475144144</x:v>
      </x:c>
      <x:c r="O868" s="82" t="n">
        <x:v>0.1043195018126836</x:v>
      </x:c>
      <x:c r="P868" s="80" t="n">
        <x:v>971.8568194782109</x:v>
      </x:c>
      <x:c r="Q868" s="81" t="n">
        <x:v>0.08831492704874613</x:v>
      </x:c>
      <x:c r="R868" s="81" t="n">
        <x:v>18.181933639943836</x:v>
      </x:c>
      <x:c r="S868" s="81" t="n">
        <x:v>0.013219953501987281</x:v>
      </x:c>
      <x:c r="T868" s="81" t="n">
        <x:v>0.002100624552239744</x:v>
      </x:c>
    </x:row>
    <x:row r="869">
      <x:c r="A869" s="59" t="n">
        <x:v>866</x:v>
      </x:c>
      <x:c r="B869" s="193" t="n">
        <x:v>0.3785922033712268</x:v>
      </x:c>
      <x:c r="C869" s="83" t="n">
        <x:v>0.10040601684097435</x:v>
      </x:c>
      <x:c r="D869" s="83" t="n">
        <x:v>0.9458125219973054</x:v>
      </x:c>
      <x:c r="E869" s="81" t="n">
        <x:v>-0.06944212607521384</x:v>
      </x:c>
      <x:c r="F869" s="81" t="n">
        <x:v>0.8384819953353144</x:v>
      </x:c>
      <x:c r="G869" s="81" t="n">
        <x:v>-0.020849349386700633</x:v>
      </x:c>
      <x:c r="H869" s="59" t="n">
        <x:v>0</x:v>
      </x:c>
      <x:c r="I869" s="81" t="n">
        <x:v>0</x:v>
      </x:c>
      <x:c r="J869" s="79" t="n">
        <x:v>1.1482291488472377e-30</x:v>
      </x:c>
      <x:c r="K869" s="81" t="n">
        <x:v>-1</x:v>
      </x:c>
      <x:c r="L869" s="81" t="n">
        <x:v>-1</x:v>
      </x:c>
      <x:c r="M869" s="80" t="n">
        <x:v>0.000002</x:v>
      </x:c>
      <x:c r="N869" s="82" t="n">
        <x:v>0.19228151144683944</x:v>
      </x:c>
      <x:c r="O869" s="82" t="n">
        <x:v>0.1523008091211584</x:v>
      </x:c>
      <x:c r="P869" s="80" t="n">
        <x:v>241.32668061816435</x:v>
      </x:c>
      <x:c r="Q869" s="81" t="n">
        <x:v>27095708518388.035</x:v>
      </x:c>
      <x:c r="R869" s="81" t="n">
        <x:v>19.745625872165714</x:v>
      </x:c>
      <x:c r="S869" s="81" t="n">
        <x:v>5.826735856847219e-10</x:v>
      </x:c>
      <x:c r="T869" s="81" t="n">
        <x:v>2.4873150199929869e-26</x:v>
      </x:c>
    </x:row>
    <x:row r="870">
      <x:c r="A870" s="59" t="n">
        <x:v>867</x:v>
      </x:c>
      <x:c r="B870" s="193" t="n">
        <x:v>0.26066822074353696</x:v>
      </x:c>
      <x:c r="C870" s="83" t="n">
        <x:v>1.4401571631863899</x:v>
      </x:c>
      <x:c r="D870" s="83" t="n">
        <x:v>0.9166340181423478</x:v>
      </x:c>
      <x:c r="E870" s="81" t="n">
        <x:v>-0.012900149139158401</x:v>
      </x:c>
      <x:c r="F870" s="81" t="n">
        <x:v>0.7938554542372004</x:v>
      </x:c>
      <x:c r="G870" s="81" t="n">
        <x:v>-0.00037769156177252074</x:v>
      </x:c>
      <x:c r="H870" s="59" t="n">
        <x:v>0</x:v>
      </x:c>
      <x:c r="I870" s="81" t="n">
        <x:v>0</x:v>
      </x:c>
      <x:c r="J870" s="79" t="n">
        <x:v>6.340592740299504e-12</x:v>
      </x:c>
      <x:c r="K870" s="81" t="n">
        <x:v>-0.9999999927536083</x:v>
      </x:c>
      <x:c r="L870" s="81" t="n">
        <x:v>-0.9999999927536083</x:v>
      </x:c>
      <x:c r="M870" s="80" t="n">
        <x:v>1.0679119550884768</x:v>
      </x:c>
      <x:c r="N870" s="82" t="n">
        <x:v>0.1641898077102495</x:v>
      </x:c>
      <x:c r="O870" s="82" t="n">
        <x:v>0.12312849441783089</x:v>
      </x:c>
      <x:c r="P870" s="80" t="n">
        <x:v>2038.4552506364482</x:v>
      </x:c>
      <x:c r="Q870" s="81" t="n">
        <x:v>13.33796357889462</x:v>
      </x:c>
      <x:c r="R870" s="81" t="n">
        <x:v>6.589446860186973</x:v>
      </x:c>
      <x:c r="S870" s="81" t="n">
        <x:v>0.00017905974003413667</x:v>
      </x:c>
      <x:c r="T870" s="81" t="n">
        <x:v>1.3735108165855885e-7</x:v>
      </x:c>
    </x:row>
    <x:row r="871">
      <x:c r="A871" s="59" t="n">
        <x:v>868</x:v>
      </x:c>
      <x:c r="B871" s="193" t="n">
        <x:v>0.49048691354691987</x:v>
      </x:c>
      <x:c r="C871" s="83" t="n">
        <x:v>0.2996470966219253</x:v>
      </x:c>
      <x:c r="D871" s="83" t="n">
        <x:v>0.836133139008988</x:v>
      </x:c>
      <x:c r="E871" s="81" t="n">
        <x:v>0.08372648719515559</x:v>
      </x:c>
      <x:c r="F871" s="81" t="n">
        <x:v>0.3935853517614305</x:v>
      </x:c>
      <x:c r="G871" s="81" t="n">
        <x:v>0.021842217478282563</x:v>
      </x:c>
      <x:c r="H871" s="59" t="n">
        <x:v>0</x:v>
      </x:c>
      <x:c r="I871" s="81" t="n">
        <x:v>0</x:v>
      </x:c>
      <x:c r="J871" s="79" t="n">
        <x:v>0.010767246407975953</x:v>
      </x:c>
      <x:c r="K871" s="81" t="n">
        <x:v>11.305424466258232</x:v>
      </x:c>
      <x:c r="L871" s="81" t="n">
        <x:v>-0.6884505886848755</x:v>
      </x:c>
      <x:c r="M871" s="80" t="n">
        <x:v>30703.307025935614</x:v>
      </x:c>
      <x:c r="N871" s="82" t="n">
        <x:v>0.2189369294365052</x:v>
      </x:c>
      <x:c r="O871" s="82" t="n">
        <x:v>0.08140084092119088</x:v>
      </x:c>
      <x:c r="P871" s="80" t="n">
        <x:v>45605.610738352174</x:v>
      </x:c>
      <x:c r="Q871" s="81" t="n">
        <x:v>0.00247601113561878</x:v>
      </x:c>
      <x:c r="R871" s="81" t="n">
        <x:v>566.7642415725479</x:v>
      </x:c>
      <x:c r="S871" s="81" t="n">
        <x:v>679.1956039598057</x:v>
      </x:c>
      <x:c r="T871" s="81" t="n">
        <x:v>233.24206445561313</x:v>
      </x:c>
    </x:row>
    <x:row r="872">
      <x:c r="A872" s="59" t="n">
        <x:v>869</x:v>
      </x:c>
      <x:c r="B872" s="193" t="n">
        <x:v>0.8443964594975115</x:v>
      </x:c>
      <x:c r="C872" s="83" t="n">
        <x:v>1.7998281628521884</x:v>
      </x:c>
      <x:c r="D872" s="83" t="n">
        <x:v>2.694912668310532</x:v>
      </x:c>
      <x:c r="E872" s="81" t="n">
        <x:v>0.001109169490664098</x:v>
      </x:c>
      <x:c r="F872" s="81" t="n">
        <x:v>0.47627873565070333</x:v>
      </x:c>
      <x:c r="G872" s="81" t="n">
        <x:v>-0.009849938070673052</x:v>
      </x:c>
      <x:c r="H872" s="59" t="n">
        <x:v>31</x:v>
      </x:c>
      <x:c r="I872" s="81" t="n">
        <x:v>0.4170591708272696</x:v>
      </x:c>
      <x:c r="J872" s="79" t="n">
        <x:v>0.000015141571401670184</x:v>
      </x:c>
      <x:c r="K872" s="81" t="n">
        <x:v>-0.9826953469695198</x:v>
      </x:c>
      <x:c r="L872" s="81" t="n">
        <x:v>-0.9826953469695198</x:v>
      </x:c>
      <x:c r="M872" s="80" t="n">
        <x:v>1875.3318322770272</x:v>
      </x:c>
      <x:c r="N872" s="82" t="n">
        <x:v>0.3032448190859228</x:v>
      </x:c>
      <x:c r="O872" s="82" t="n">
        <x:v>0.1364349146751028</x:v>
      </x:c>
      <x:c r="P872" s="80" t="n">
        <x:v>20761.02622794447</x:v>
      </x:c>
      <x:c r="Q872" s="81" t="n">
        <x:v>0.15685905047501308</x:v>
      </x:c>
      <x:c r="R872" s="81" t="n">
        <x:v>12.978919999538862</x:v>
      </x:c>
      <x:c r="S872" s="81" t="n">
        <x:v>0.8583797986394551</x:v>
      </x:c>
      <x:c r="T872" s="81" t="n">
        <x:v>0.32799949392924793</x:v>
      </x:c>
    </x:row>
    <x:row r="873">
      <x:c r="A873" s="59" t="n">
        <x:v>870</x:v>
      </x:c>
      <x:c r="B873" s="193" t="n">
        <x:v>0.45868555512279274</x:v>
      </x:c>
      <x:c r="C873" s="83" t="n">
        <x:v>0.5961089853023825</x:v>
      </x:c>
      <x:c r="D873" s="83" t="n">
        <x:v>1.6778281305739091</x:v>
      </x:c>
      <x:c r="E873" s="81" t="n">
        <x:v>-0.03140311192541822</x:v>
      </x:c>
      <x:c r="F873" s="81" t="n">
        <x:v>0.7088073814869859</x:v>
      </x:c>
      <x:c r="G873" s="81" t="n">
        <x:v>0.0005281146571478289</x:v>
      </x:c>
      <x:c r="H873" s="59" t="n">
        <x:v>0</x:v>
      </x:c>
      <x:c r="I873" s="81" t="n">
        <x:v>0</x:v>
      </x:c>
      <x:c r="J873" s="79" t="n">
        <x:v>2.2375791814360722e-29</x:v>
      </x:c>
      <x:c r="K873" s="81" t="n">
        <x:v>-1</x:v>
      </x:c>
      <x:c r="L873" s="81" t="n">
        <x:v>-1</x:v>
      </x:c>
      <x:c r="M873" s="80" t="n">
        <x:v>0.000002</x:v>
      </x:c>
      <x:c r="N873" s="82" t="n">
        <x:v>0.2113612495844079</x:v>
      </x:c>
      <x:c r="O873" s="82" t="n">
        <x:v>0.14152219027522928</x:v>
      </x:c>
      <x:c r="P873" s="80" t="n">
        <x:v>765.2733903011678</x:v>
      </x:c>
      <x:c r="Q873" s="81" t="n">
        <x:v>2965323905298.5894</x:v>
      </x:c>
      <x:c r="R873" s="81" t="n">
        <x:v>5.326078153316738</x:v>
      </x:c>
      <x:c r="S873" s="81" t="n">
        <x:v>9.267846075610393e-10</x:v>
      </x:c>
      <x:c r="T873" s="81" t="n">
        <x:v>4.84708501956869e-25</x:v>
      </x:c>
    </x:row>
    <x:row r="874">
      <x:c r="A874" s="59" t="n">
        <x:v>871</x:v>
      </x:c>
      <x:c r="B874" s="193" t="n">
        <x:v>0.7338811384513975</x:v>
      </x:c>
      <x:c r="C874" s="83" t="n">
        <x:v>0.17163681781117895</x:v>
      </x:c>
      <x:c r="D874" s="83" t="n">
        <x:v>1.3223612498907462</x:v>
      </x:c>
      <x:c r="E874" s="81" t="n">
        <x:v>0.10365758038636155</x:v>
      </x:c>
      <x:c r="F874" s="81" t="n">
        <x:v>0.4133394300122746</x:v>
      </x:c>
      <x:c r="G874" s="81" t="n">
        <x:v>-0.019199084374169745</x:v>
      </x:c>
      <x:c r="H874" s="59" t="n">
        <x:v>82</x:v>
      </x:c>
      <x:c r="I874" s="81" t="n">
        <x:v>0.38077113274484875</x:v>
      </x:c>
      <x:c r="J874" s="79" t="n">
        <x:v>0.008640055445859439</x:v>
      </x:c>
      <x:c r="K874" s="81" t="n">
        <x:v>8.874349080982217</x:v>
      </x:c>
      <x:c r="L874" s="81" t="n">
        <x:v>-0.9719449193078336</x:v>
      </x:c>
      <x:c r="M874" s="80" t="n">
        <x:v>28136.911549316676</x:v>
      </x:c>
      <x:c r="N874" s="82" t="n">
        <x:v>0.27691799745046897</x:v>
      </x:c>
      <x:c r="O874" s="82" t="n">
        <x:v>0.10812570705617763</x:v>
      </x:c>
      <x:c r="P874" s="80" t="n">
        <x:v>56040.55492031029</x:v>
      </x:c>
      <x:c r="Q874" s="81" t="n">
        <x:v>0.002892635240676745</x:v>
      </x:c>
      <x:c r="R874" s="81" t="n">
        <x:v>1948.9601939176105</x:v>
      </x:c>
      <x:c r="S874" s="81" t="n">
        <x:v>946.5705555563645</x:v>
      </x:c>
      <x:c r="T874" s="81" t="n">
        <x:v>187.1624640920653</x:v>
      </x:c>
    </x:row>
    <x:row r="875">
      <x:c r="A875" s="59" t="n">
        <x:v>872</x:v>
      </x:c>
      <x:c r="B875" s="193" t="n">
        <x:v>0.45571184121072295</x:v>
      </x:c>
      <x:c r="C875" s="83" t="n">
        <x:v>0.5207247862337581</x:v>
      </x:c>
      <x:c r="D875" s="83" t="n">
        <x:v>0.7865957484674473</x:v>
      </x:c>
      <x:c r="E875" s="81" t="n">
        <x:v>-0.016533892606862447</x:v>
      </x:c>
      <x:c r="F875" s="81" t="n">
        <x:v>0.29113761947955935</x:v>
      </x:c>
      <x:c r="G875" s="81" t="n">
        <x:v>0.028861972400299987</x:v>
      </x:c>
      <x:c r="H875" s="59" t="n">
        <x:v>0</x:v>
      </x:c>
      <x:c r="I875" s="81" t="n">
        <x:v>0</x:v>
      </x:c>
      <x:c r="J875" s="79" t="n">
        <x:v>5.279670803710745e-14</x:v>
      </x:c>
      <x:c r="K875" s="81" t="n">
        <x:v>-0.9999999999396609</x:v>
      </x:c>
      <x:c r="L875" s="81" t="n">
        <x:v>-0.9999999999396609</x:v>
      </x:c>
      <x:c r="M875" s="80" t="n">
        <x:v>0.06115739853923165</x:v>
      </x:c>
      <x:c r="N875" s="82" t="n">
        <x:v>0.210652855173417</x:v>
      </x:c>
      <x:c r="O875" s="82" t="n">
        <x:v>0.05793441398471693</x:v>
      </x:c>
      <x:c r="P875" s="80" t="n">
        <x:v>1101.734536047631</x:v>
      </x:c>
      <x:c r="Q875" s="81" t="n">
        <x:v>71.9297573577491</x:v>
      </x:c>
      <x:c r="R875" s="81" t="n">
        <x:v>16.020784726295638</x:v>
      </x:c>
      <x:c r="S875" s="81" t="n">
        <x:v>0.000020301965333769434</x:v>
      </x:c>
      <x:c r="T875" s="81" t="n">
        <x:v>1.1436919628692783e-9</x:v>
      </x:c>
    </x:row>
    <x:row r="876">
      <x:c r="A876" s="59" t="n">
        <x:v>873</x:v>
      </x:c>
      <x:c r="B876" s="193" t="n">
        <x:v>0.6538589393720031</x:v>
      </x:c>
      <x:c r="C876" s="83" t="n">
        <x:v>0.2917303846562421</x:v>
      </x:c>
      <x:c r="D876" s="83" t="n">
        <x:v>0.22075558634133782</x:v>
      </x:c>
      <x:c r="E876" s="81" t="n">
        <x:v>0.049956873142092566</x:v>
      </x:c>
      <x:c r="F876" s="81" t="n">
        <x:v>0.79987313906895</x:v>
      </x:c>
      <x:c r="G876" s="81" t="n">
        <x:v>0.014001280240945027</x:v>
      </x:c>
      <x:c r="H876" s="59" t="n">
        <x:v>0</x:v>
      </x:c>
      <x:c r="I876" s="81" t="n">
        <x:v>0</x:v>
      </x:c>
      <x:c r="J876" s="79" t="n">
        <x:v>0.000029215174162691766</x:v>
      </x:c>
      <x:c r="K876" s="81" t="n">
        <x:v>-0.9666112295283522</x:v>
      </x:c>
      <x:c r="L876" s="81" t="n">
        <x:v>-0.976578572532814</x:v>
      </x:c>
      <x:c r="M876" s="80" t="n">
        <x:v>1248.3279661855302</x:v>
      </x:c>
      <x:c r="N876" s="82" t="n">
        <x:v>0.2578552092135245</x:v>
      </x:c>
      <x:c r="O876" s="82" t="n">
        <x:v>0.1948354433559355</x:v>
      </x:c>
      <x:c r="P876" s="80" t="n">
        <x:v>830.6629948123253</x:v>
      </x:c>
      <x:c r="Q876" s="81" t="n">
        <x:v>0.007765078507883783</x:v>
      </x:c>
      <x:c r="R876" s="81" t="n">
        <x:v>35.89157659590244</x:v>
      </x:c>
      <x:c r="S876" s="81" t="n">
        <x:v>1.9751030495716428</x:v>
      </x:c>
      <x:c r="T876" s="81" t="n">
        <x:v>0.6328644554924292</x:v>
      </x:c>
    </x:row>
    <x:row r="877">
      <x:c r="A877" s="59" t="n">
        <x:v>874</x:v>
      </x:c>
      <x:c r="B877" s="193" t="n">
        <x:v>0.5777723677456379</x:v>
      </x:c>
      <x:c r="C877" s="83" t="n">
        <x:v>0.27109262106195087</x:v>
      </x:c>
      <x:c r="D877" s="83" t="n">
        <x:v>0.37995476669269923</x:v>
      </x:c>
      <x:c r="E877" s="81" t="n">
        <x:v>-0.06732627369982788</x:v>
      </x:c>
      <x:c r="F877" s="81" t="n">
        <x:v>0.7454998333822005</x:v>
      </x:c>
      <x:c r="G877" s="81" t="n">
        <x:v>-0.015617196628717174</x:v>
      </x:c>
      <x:c r="H877" s="59" t="n">
        <x:v>0</x:v>
      </x:c>
      <x:c r="I877" s="81" t="n">
        <x:v>0</x:v>
      </x:c>
      <x:c r="J877" s="79" t="n">
        <x:v>7.331529027245976e-19</x:v>
      </x:c>
      <x:c r="K877" s="81" t="n">
        <x:v>-0.9999999999999991</x:v>
      </x:c>
      <x:c r="L877" s="81" t="n">
        <x:v>-0.9999999999999991</x:v>
      </x:c>
      <x:c r="M877" s="80" t="n">
        <x:v>0.0001935885856033119</x:v>
      </x:c>
      <x:c r="N877" s="82" t="n">
        <x:v>0.23972996122890625</x:v>
      </x:c>
      <x:c r="O877" s="82" t="n">
        <x:v>0.1688265741188587</x:v>
      </x:c>
      <x:c r="P877" s="80" t="n">
        <x:v>220.39015806117055</x:v>
      </x:c>
      <x:c r="Q877" s="81" t="n">
        <x:v>4228.264243828228</x:v>
      </x:c>
      <x:c r="R877" s="81" t="n">
        <x:v>14.901197061318749</x:v>
      </x:c>
      <x:c r="S877" s="81" t="n">
        <x:v>2.1803800746187872e-8</x:v>
      </x:c>
      <x:c r="T877" s="81" t="n">
        <x:v>1.5881692506492542e-14</x:v>
      </x:c>
    </x:row>
    <x:row r="878">
      <x:c r="A878" s="59" t="n">
        <x:v>875</x:v>
      </x:c>
      <x:c r="B878" s="193" t="n">
        <x:v>0.6229096159338952</x:v>
      </x:c>
      <x:c r="C878" s="83" t="n">
        <x:v>0.45650470701895096</x:v>
      </x:c>
      <x:c r="D878" s="83" t="n">
        <x:v>0.5406283168966689</x:v>
      </x:c>
      <x:c r="E878" s="81" t="n">
        <x:v>-0.015214892674868976</x:v>
      </x:c>
      <x:c r="F878" s="81" t="n">
        <x:v>0.6914147211238741</x:v>
      </x:c>
      <x:c r="G878" s="81" t="n">
        <x:v>0.037572706738313456</x:v>
      </x:c>
      <x:c r="H878" s="59" t="n">
        <x:v>20</x:v>
      </x:c>
      <x:c r="I878" s="81" t="n">
        <x:v>0.34403532883152366</x:v>
      </x:c>
      <x:c r="J878" s="79" t="n">
        <x:v>7.458657958128683e-12</x:v>
      </x:c>
      <x:c r="K878" s="81" t="n">
        <x:v>-0.9999999914758195</x:v>
      </x:c>
      <x:c r="L878" s="81" t="n">
        <x:v>-0.9999999914758195</x:v>
      </x:c>
      <x:c r="M878" s="80" t="n">
        <x:v>0.6911224495395674</x:v>
      </x:c>
      <x:c r="N878" s="82" t="n">
        <x:v>0.25048250007075235</x:v>
      </x:c>
      <x:c r="O878" s="82" t="n">
        <x:v>0.16360137642060138</x:v>
      </x:c>
      <x:c r="P878" s="80" t="n">
        <x:v>631.9925700148297</x:v>
      </x:c>
      <x:c r="Q878" s="81" t="n">
        <x:v>6.223039556242671</x:v>
      </x:c>
      <x:c r="R878" s="81" t="n">
        <x:v>14.605020302789928</x:v>
      </x:c>
      <x:c r="S878" s="81" t="n">
        <x:v>0.00018079415202756533</x:v>
      </x:c>
      <x:c r="T878" s="81" t="n">
        <x:v>1.6157081525816487e-7</x:v>
      </x:c>
    </x:row>
    <x:row r="879">
      <x:c r="A879" s="59" t="n">
        <x:v>876</x:v>
      </x:c>
      <x:c r="B879" s="193" t="n">
        <x:v>0.2886207489296794</x:v>
      </x:c>
      <x:c r="C879" s="83" t="n">
        <x:v>0.18410766463996714</x:v>
      </x:c>
      <x:c r="D879" s="83" t="n">
        <x:v>0.6472898902944242</x:v>
      </x:c>
      <x:c r="E879" s="81" t="n">
        <x:v>0.06528085651845776</x:v>
      </x:c>
      <x:c r="F879" s="81" t="n">
        <x:v>0.8508225313504226</x:v>
      </x:c>
      <x:c r="G879" s="81" t="n">
        <x:v>0.003582579811183575</x:v>
      </x:c>
      <x:c r="H879" s="59" t="n">
        <x:v>0</x:v>
      </x:c>
      <x:c r="I879" s="81" t="n">
        <x:v>0</x:v>
      </x:c>
      <x:c r="J879" s="79" t="n">
        <x:v>0.0006770808701617616</x:v>
      </x:c>
      <x:c r="K879" s="81" t="n">
        <x:v>-0.2261932912437009</x:v>
      </x:c>
      <x:c r="L879" s="81" t="n">
        <x:v>-0.7974327717469293</x:v>
      </x:c>
      <x:c r="M879" s="80" t="n">
        <x:v>6196.962719647145</x:v>
      </x:c>
      <x:c r="N879" s="82" t="n">
        <x:v>0.1708486240340921</x:v>
      </x:c>
      <x:c r="O879" s="82" t="n">
        <x:v>0.13731608398666398</x:v>
      </x:c>
      <x:c r="P879" s="80" t="n">
        <x:v>8054.436586399729</x:v>
      </x:c>
      <x:c r="Q879" s="81" t="n">
        <x:v>0.004835468892430899</x:v>
      </x:c>
      <x:c r="R879" s="81" t="n">
        <x:v>191.57849846028813</x:v>
      </x:c>
      <x:c r="S879" s="81" t="n">
        <x:v>69.92363323431871</x:v>
      </x:c>
      <x:c r="T879" s="81" t="n">
        <x:v>14.667049863644664</x:v>
      </x:c>
    </x:row>
    <x:row r="880">
      <x:c r="A880" s="59" t="n">
        <x:v>877</x:v>
      </x:c>
      <x:c r="B880" s="193" t="n">
        <x:v>0.28785082418471575</x:v>
      </x:c>
      <x:c r="C880" s="83" t="n">
        <x:v>0.3131648077656874</x:v>
      </x:c>
      <x:c r="D880" s="83" t="n">
        <x:v>1.7343146581037907</x:v>
      </x:c>
      <x:c r="E880" s="81" t="n">
        <x:v>0.03824156607326625</x:v>
      </x:c>
      <x:c r="F880" s="81" t="n">
        <x:v>0.6053655083291233</x:v>
      </x:c>
      <x:c r="G880" s="81" t="n">
        <x:v>-0.023350897821317974</x:v>
      </x:c>
      <x:c r="H880" s="59" t="n">
        <x:v>0</x:v>
      </x:c>
      <x:c r="I880" s="81" t="n">
        <x:v>0</x:v>
      </x:c>
      <x:c r="J880" s="79" t="n">
        <x:v>0.002311429627807104</x:v>
      </x:c>
      <x:c r="K880" s="81" t="n">
        <x:v>1.641633860350976</x:v>
      </x:c>
      <x:c r="L880" s="81" t="n">
        <x:v>-0.7472468648532719</x:v>
      </x:c>
      <x:c r="M880" s="80" t="n">
        <x:v>13350.65139904306</x:v>
      </x:c>
      <x:c r="N880" s="82" t="n">
        <x:v>0.17066521352375263</x:v>
      </x:c>
      <x:c r="O880" s="82" t="n">
        <x:v>0.09759636059954918</x:v>
      </x:c>
      <x:c r="P880" s="80" t="n">
        <x:v>41207.2067932092</x:v>
      </x:c>
      <x:c r="Q880" s="81" t="n">
        <x:v>0.005975698654801839</x:v>
      </x:c>
      <x:c r="R880" s="81" t="n">
        <x:v>383.6023424931602</x:v>
      </x:c>
      <x:c r="S880" s="81" t="n">
        <x:v>143.03389823743595</x:v>
      </x:c>
      <x:c r="T880" s="81" t="n">
        <x:v>50.07061209579429</x:v>
      </x:c>
    </x:row>
    <x:row r="881">
      <x:c r="A881" s="59" t="n">
        <x:v>878</x:v>
      </x:c>
      <x:c r="B881" s="193" t="n">
        <x:v>0.3591711308807135</x:v>
      </x:c>
      <x:c r="C881" s="83" t="n">
        <x:v>0.21903679742417836</x:v>
      </x:c>
      <x:c r="D881" s="83" t="n">
        <x:v>1.2860363640959136</x:v>
      </x:c>
      <x:c r="E881" s="81" t="n">
        <x:v>-0.005682954606803402</x:v>
      </x:c>
      <x:c r="F881" s="81" t="n">
        <x:v>0.6402868639677763</x:v>
      </x:c>
      <x:c r="G881" s="81" t="n">
        <x:v>-0.011226937795538822</x:v>
      </x:c>
      <x:c r="H881" s="59" t="n">
        <x:v>0</x:v>
      </x:c>
      <x:c r="I881" s="81" t="n">
        <x:v>0</x:v>
      </x:c>
      <x:c r="J881" s="79" t="n">
        <x:v>1.2099333313782572e-9</x:v>
      </x:c>
      <x:c r="K881" s="81" t="n">
        <x:v>-0.9999986172190498</x:v>
      </x:c>
      <x:c r="L881" s="81" t="n">
        <x:v>-0.9999986172190498</x:v>
      </x:c>
      <x:c r="M881" s="80" t="n">
        <x:v>7.312806530417489</x:v>
      </x:c>
      <x:c r="N881" s="82" t="n">
        <x:v>0.18765504783448994</x:v>
      </x:c>
      <x:c r="O881" s="82" t="n">
        <x:v>0.11350259348127965</x:v>
      </x:c>
      <x:c r="P881" s="80" t="n">
        <x:v>1463.4605746600334</x:v>
      </x:c>
      <x:c r="Q881" s="81" t="n">
        <x:v>1.0391717238693652</x:v>
      </x:c>
      <x:c r="R881" s="81" t="n">
        <x:v>35.57209114373179</x:v>
      </x:c>
      <x:c r="S881" s="81" t="n">
        <x:v>0.003085497409032267</x:v>
      </x:c>
      <x:c r="T881" s="81" t="n">
        <x:v>0.000026209797507306422</x:v>
      </x:c>
    </x:row>
    <x:row r="882">
      <x:c r="A882" s="59" t="n">
        <x:v>879</x:v>
      </x:c>
      <x:c r="B882" s="193" t="n">
        <x:v>0.43163906261324886</x:v>
      </x:c>
      <x:c r="C882" s="83" t="n">
        <x:v>0.24800630939156956</x:v>
      </x:c>
      <x:c r="D882" s="83" t="n">
        <x:v>0.29871963847127814</x:v>
      </x:c>
      <x:c r="E882" s="81" t="n">
        <x:v>-0.014372072658108003</x:v>
      </x:c>
      <x:c r="F882" s="81" t="n">
        <x:v>0.5636659452691675</x:v>
      </x:c>
      <x:c r="G882" s="81" t="n">
        <x:v>0.01236866755895882</x:v>
      </x:c>
      <x:c r="H882" s="59" t="n">
        <x:v>0</x:v>
      </x:c>
      <x:c r="I882" s="81" t="n">
        <x:v>0</x:v>
      </x:c>
      <x:c r="J882" s="79" t="n">
        <x:v>1.2918233377819926e-8</x:v>
      </x:c>
      <x:c r="K882" s="81" t="n">
        <x:v>-0.999985236304711</x:v>
      </x:c>
      <x:c r="L882" s="81" t="n">
        <x:v>-0.999985236304711</x:v>
      </x:c>
      <x:c r="M882" s="80" t="n">
        <x:v>24.377258351515223</x:v>
      </x:c>
      <x:c r="N882" s="82" t="n">
        <x:v>0.20491826794689963</x:v>
      </x:c>
      <x:c r="O882" s="82" t="n">
        <x:v>0.10911222584293388</x:v>
      </x:c>
      <x:c r="P882" s="80" t="n">
        <x:v>445.4756583253479</x:v>
      </x:c>
      <x:c r="Q882" s="81" t="n">
        <x:v>0.11896718075968288</x:v>
      </x:c>
      <x:c r="R882" s="81" t="n">
        <x:v>34.3864142920531</x:v>
      </x:c>
      <x:c r="S882" s="81" t="n">
        <x:v>0.003966691826315786</x:v>
      </x:c>
      <x:c r="T882" s="81" t="n">
        <x:v>0.00027983713829843814</x:v>
      </x:c>
    </x:row>
    <x:row r="883">
      <x:c r="A883" s="59" t="n">
        <x:v>880</x:v>
      </x:c>
      <x:c r="B883" s="193" t="n">
        <x:v>0.7222123384475709</x:v>
      </x:c>
      <x:c r="C883" s="83" t="n">
        <x:v>0.39245686365143334</x:v>
      </x:c>
      <x:c r="D883" s="83" t="n">
        <x:v>1.443189278035786</x:v>
      </x:c>
      <x:c r="E883" s="81" t="n">
        <x:v>0.025907918620895087</x:v>
      </x:c>
      <x:c r="F883" s="81" t="n">
        <x:v>0.5304948787670583</x:v>
      </x:c>
      <x:c r="G883" s="81" t="n">
        <x:v>-0.007471875048931204</x:v>
      </x:c>
      <x:c r="H883" s="59" t="n">
        <x:v>0</x:v>
      </x:c>
      <x:c r="I883" s="81" t="n">
        <x:v>0</x:v>
      </x:c>
      <x:c r="J883" s="79" t="n">
        <x:v>0.0005523379101653697</x:v>
      </x:c>
      <x:c r="K883" s="81" t="n">
        <x:v>-0.3687566740967203</x:v>
      </x:c>
      <x:c r="L883" s="81" t="n">
        <x:v>-0.7886329009357866</x:v>
      </x:c>
      <x:c r="M883" s="80" t="n">
        <x:v>6402.071541965034</x:v>
      </x:c>
      <x:c r="N883" s="82" t="n">
        <x:v>0.27413827049955697</x:v>
      </x:c>
      <x:c r="O883" s="82" t="n">
        <x:v>0.13737946036401388</x:v>
      </x:c>
      <x:c r="P883" s="80" t="n">
        <x:v>18420.099674123117</x:v>
      </x:c>
      <x:c r="Q883" s="81" t="n">
        <x:v>0.011597967810928918</x:v>
      </x:c>
      <x:c r="R883" s="81" t="n">
        <x:v>94.18985101950499</x:v>
      </x:c>
      <x:c r="S883" s="81" t="n">
        <x:v>28.84536256504439</x:v>
      </x:c>
      <x:c r="T883" s="81" t="n">
        <x:v>11.96484500890021</x:v>
      </x:c>
    </x:row>
    <x:row r="884">
      <x:c r="A884" s="59" t="n">
        <x:v>881</x:v>
      </x:c>
      <x:c r="B884" s="193" t="n">
        <x:v>0.5110114302486182</x:v>
      </x:c>
      <x:c r="C884" s="83" t="n">
        <x:v>0.45130615272769825</x:v>
      </x:c>
      <x:c r="D884" s="83" t="n">
        <x:v>0.2419098609164752</x:v>
      </x:c>
      <x:c r="E884" s="81" t="n">
        <x:v>-0.03613546251804412</x:v>
      </x:c>
      <x:c r="F884" s="81" t="n">
        <x:v>0.7795922265853733</x:v>
      </x:c>
      <x:c r="G884" s="81" t="n">
        <x:v>0.04399044687981507</x:v>
      </x:c>
      <x:c r="H884" s="59" t="n">
        <x:v>81</x:v>
      </x:c>
      <x:c r="I884" s="81" t="n">
        <x:v>0.2680415051057935</x:v>
      </x:c>
      <x:c r="J884" s="79" t="n">
        <x:v>1.936832044587433e-12</x:v>
      </x:c>
      <x:c r="K884" s="81" t="n">
        <x:v>-0.9999999977864776</x:v>
      </x:c>
      <x:c r="L884" s="81" t="n">
        <x:v>-0.9999999977864776</x:v>
      </x:c>
      <x:c r="M884" s="80" t="n">
        <x:v>0.3516479198249333</x:v>
      </x:c>
      <x:c r="N884" s="82" t="n">
        <x:v>0.22382625414953805</x:v>
      </x:c>
      <x:c r="O884" s="82" t="n">
        <x:v>0.16483501369833145</x:v>
      </x:c>
      <x:c r="P884" s="80" t="n">
        <x:v>298.9783375651296</x:v>
      </x:c>
      <x:c r="Q884" s="81" t="n">
        <x:v>5.249333934412035</x:v>
      </x:c>
      <x:c r="R884" s="81" t="n">
        <x:v>14.728251394255416</x:v>
      </x:c>
      <x:c r="S884" s="81" t="n">
        <x:v>0.00004469308846710113</x:v>
      </x:c>
      <x:c r="T884" s="81" t="n">
        <x:v>4.195601061462843e-8</x:v>
      </x:c>
    </x:row>
    <x:row r="885">
      <x:c r="A885" s="59" t="n">
        <x:v>882</x:v>
      </x:c>
      <x:c r="B885" s="193" t="n">
        <x:v>0.8638789173215629</x:v>
      </x:c>
      <x:c r="C885" s="83" t="n">
        <x:v>1.3792378927838551</x:v>
      </x:c>
      <x:c r="D885" s="83" t="n">
        <x:v>0.44224448516180154</x:v>
      </x:c>
      <x:c r="E885" s="81" t="n">
        <x:v>0.10537182557963261</x:v>
      </x:c>
      <x:c r="F885" s="81" t="n">
        <x:v>0.38514184755040337</x:v>
      </x:c>
      <x:c r="G885" s="81" t="n">
        <x:v>-0.002402282533004946</x:v>
      </x:c>
      <x:c r="H885" s="59" t="n">
        <x:v>0</x:v>
      </x:c>
      <x:c r="I885" s="81" t="n">
        <x:v>0</x:v>
      </x:c>
      <x:c r="J885" s="79" t="n">
        <x:v>0.004385821969808189</x:v>
      </x:c>
      <x:c r="K885" s="81" t="n">
        <x:v>4.012367965495074</x:v>
      </x:c>
      <x:c r="L885" s="81" t="n">
        <x:v>-0.6272221076443205</x:v>
      </x:c>
      <x:c r="M885" s="80" t="n">
        <x:v>31926.967255394462</x:v>
      </x:c>
      <x:c r="N885" s="82" t="n">
        <x:v>0.3078859058356959</x:v>
      </x:c>
      <x:c r="O885" s="82" t="n">
        <x:v>0.11201636097128803</x:v>
      </x:c>
      <x:c r="P885" s="80" t="n">
        <x:v>27339.401832548745</x:v>
      </x:c>
      <x:c r="Q885" s="81" t="n">
        <x:v>0.0026103667131816516</x:v>
      </x:c>
      <x:c r="R885" s="81" t="n">
        <x:v>78.1627981786846</x:v>
      </x:c>
      <x:c r="S885" s="81" t="n">
        <x:v>61.80445615042442</x:v>
      </x:c>
      <x:c r="T885" s="81" t="n">
        <x:v>95.00647907668193</x:v>
      </x:c>
    </x:row>
    <x:row r="886">
      <x:c r="A886" s="59" t="n">
        <x:v>883</x:v>
      </x:c>
      <x:c r="B886" s="193" t="n">
        <x:v>0.44877953827381134</x:v>
      </x:c>
      <x:c r="C886" s="83" t="n">
        <x:v>0.39599852268851093</x:v>
      </x:c>
      <x:c r="D886" s="83" t="n">
        <x:v>0.613999878383881</x:v>
      </x:c>
      <x:c r="E886" s="81" t="n">
        <x:v>-0.03485392572758534</x:v>
      </x:c>
      <x:c r="F886" s="81" t="n">
        <x:v>0.8060441326000728</x:v>
      </x:c>
      <x:c r="G886" s="81" t="n">
        <x:v>0.01113661276945213</x:v>
      </x:c>
      <x:c r="H886" s="59" t="n">
        <x:v>0</x:v>
      </x:c>
      <x:c r="I886" s="81" t="n">
        <x:v>0</x:v>
      </x:c>
      <x:c r="J886" s="79" t="n">
        <x:v>1.114235464433867e-18</x:v>
      </x:c>
      <x:c r="K886" s="81" t="n">
        <x:v>-0.9999999999999988</x:v>
      </x:c>
      <x:c r="L886" s="81" t="n">
        <x:v>-0.9999999999999988</x:v>
      </x:c>
      <x:c r="M886" s="80" t="n">
        <x:v>0.00026195445112956454</x:v>
      </x:c>
      <x:c r="N886" s="82" t="n">
        <x:v>0.2090014506331645</x:v>
      </x:c>
      <x:c r="O886" s="82" t="n">
        <x:v>0.15913989357780697</x:v>
      </x:c>
      <x:c r="P886" s="80" t="n">
        <x:v>449.0567669880517</x:v>
      </x:c>
      <x:c r="Q886" s="81" t="n">
        <x:v>7050.8325333456605</x:v>
      </x:c>
      <x:c r="R886" s="81" t="n">
        <x:v>12.152828025789569</x:v>
      </x:c>
      <x:c r="S886" s="81" t="n">
        <x:v>6.054320047627012e-8</x:v>
      </x:c>
      <x:c r="T886" s="81" t="n">
        <x:v>2.413677277987251e-14</x:v>
      </x:c>
    </x:row>
    <x:row r="887">
      <x:c r="A887" s="59" t="n">
        <x:v>884</x:v>
      </x:c>
      <x:c r="B887" s="193" t="n">
        <x:v>0.8049497896805407</x:v>
      </x:c>
      <x:c r="C887" s="83" t="n">
        <x:v>0.293472355480738</x:v>
      </x:c>
      <x:c r="D887" s="83" t="n">
        <x:v>0.166614497094826</x:v>
      </x:c>
      <x:c r="E887" s="81" t="n">
        <x:v>-0.02488192053245408</x:v>
      </x:c>
      <x:c r="F887" s="81" t="n">
        <x:v>0.7959799976088107</x:v>
      </x:c>
      <x:c r="G887" s="81" t="n">
        <x:v>-0.004061353053513714</x:v>
      </x:c>
      <x:c r="H887" s="59" t="n">
        <x:v>0</x:v>
      </x:c>
      <x:c r="I887" s="81" t="n">
        <x:v>0</x:v>
      </x:c>
      <x:c r="J887" s="79" t="n">
        <x:v>7.576719327123357e-9</x:v>
      </x:c>
      <x:c r="K887" s="81" t="n">
        <x:v>-0.9999913408921975</x:v>
      </x:c>
      <x:c r="L887" s="81" t="n">
        <x:v>-0.9999913408921975</x:v>
      </x:c>
      <x:c r="M887" s="80" t="n">
        <x:v>19.363827458690185</x:v>
      </x:c>
      <x:c r="N887" s="82" t="n">
        <x:v>0.29384788271046103</x:v>
      </x:c>
      <x:c r="O887" s="82" t="n">
        <x:v>0.22095084256424102</x:v>
      </x:c>
      <x:c r="P887" s="80" t="n">
        <x:v>193.19152510364017</x:v>
      </x:c>
      <x:c r="Q887" s="81" t="n">
        <x:v>0.08860208129173161</x:v>
      </x:c>
      <x:c r="R887" s="81" t="n">
        <x:v>21.003995973339865</x:v>
      </x:c>
      <x:c r="S887" s="81" t="n">
        <x:v>0.0015292303667681654</x:v>
      </x:c>
      <x:c r="T887" s="81" t="n">
        <x:v>0.0001641282822644345</x:v>
      </x:c>
    </x:row>
    <x:row r="888">
      <x:c r="A888" s="59" t="n">
        <x:v>885</x:v>
      </x:c>
      <x:c r="B888" s="193" t="n">
        <x:v>0.6176112115383148</x:v>
      </x:c>
      <x:c r="C888" s="83" t="n">
        <x:v>0.6062207283682217</x:v>
      </x:c>
      <x:c r="D888" s="83" t="n">
        <x:v>0.19582330866052902</x:v>
      </x:c>
      <x:c r="E888" s="81" t="n">
        <x:v>0.09342204772409148</x:v>
      </x:c>
      <x:c r="F888" s="81" t="n">
        <x:v>0.40572467969032006</x:v>
      </x:c>
      <x:c r="G888" s="81" t="n">
        <x:v>-0.0040953694484446804</x:v>
      </x:c>
      <x:c r="H888" s="59" t="n">
        <x:v>64</x:v>
      </x:c>
      <x:c r="I888" s="81" t="n">
        <x:v>0.4106467788107694</x:v>
      </x:c>
      <x:c r="J888" s="79" t="n">
        <x:v>0.00036088610665164497</x:v>
      </x:c>
      <x:c r="K888" s="81" t="n">
        <x:v>-0.5875587352552629</x:v>
      </x:c>
      <x:c r="L888" s="81" t="n">
        <x:v>-0.8351554449179748</x:v>
      </x:c>
      <x:c r="M888" s="80" t="n">
        <x:v>5566.462453330086</x:v>
      </x:c>
      <x:c r="N888" s="82" t="n">
        <x:v>0.24922032079864306</x:v>
      </x:c>
      <x:c r="O888" s="82" t="n">
        <x:v>0.0955181315667663</x:v>
      </x:c>
      <x:c r="P888" s="80" t="n">
        <x:v>2518.0754459100353</x:v>
      </x:c>
      <x:c r="Q888" s="81" t="n">
        <x:v>0.0023345702393900263</x:v>
      </x:c>
      <x:c r="R888" s="81" t="n">
        <x:v>42.79423623466908</x:v>
      </x:c>
      <x:c r="S888" s="81" t="n">
        <x:v>11.360973500444947</x:v>
      </x:c>
      <x:c r="T888" s="81" t="n">
        <x:v>7.817580963543806</x:v>
      </x:c>
    </x:row>
    <x:row r="889">
      <x:c r="A889" s="59" t="n">
        <x:v>886</x:v>
      </x:c>
      <x:c r="B889" s="193" t="n">
        <x:v>0.9725449135527016</x:v>
      </x:c>
      <x:c r="C889" s="83" t="n">
        <x:v>0.2185785556343272</x:v>
      </x:c>
      <x:c r="D889" s="83" t="n">
        <x:v>1.1082983757951623</x:v>
      </x:c>
      <x:c r="E889" s="81" t="n">
        <x:v>-0.11397648121035495</x:v>
      </x:c>
      <x:c r="F889" s="81" t="n">
        <x:v>0.7693465501302853</x:v>
      </x:c>
      <x:c r="G889" s="81" t="n">
        <x:v>0.014666313916101143</x:v>
      </x:c>
      <x:c r="H889" s="59" t="n">
        <x:v>0</x:v>
      </x:c>
      <x:c r="I889" s="81" t="n">
        <x:v>0</x:v>
      </x:c>
      <x:c r="J889" s="79" t="n">
        <x:v>6.6220343758015795e-52</x:v>
      </x:c>
      <x:c r="K889" s="81" t="n">
        <x:v>-1</x:v>
      </x:c>
      <x:c r="L889" s="81" t="n">
        <x:v>-1</x:v>
      </x:c>
      <x:c r="M889" s="80" t="n">
        <x:v>0.000002</x:v>
      </x:c>
      <x:c r="N889" s="82" t="n">
        <x:v>0.3337721836253826</x:v>
      </x:c>
      <x:c r="O889" s="82" t="n">
        <x:v>0.24257335367224178</x:v>
      </x:c>
      <x:c r="P889" s="80" t="n">
        <x:v>188.62400933343955</x:v>
      </x:c>
      <x:c r="Q889" s="81" t="n">
        <x:v>2.9817013858873013e+34</x:v>
      </x:c>
      <x:c r="R889" s="81" t="n">
        <x:v>4.885896999109369</x:v>
      </x:c>
      <x:c r="S889" s="81" t="n">
        <x:v>9.511303812076777e-10</x:v>
      </x:c>
      <x:c r="T889" s="81" t="n">
        <x:v>1.4344772193230996e-47</x:v>
      </x:c>
    </x:row>
    <x:row r="890">
      <x:c r="A890" s="59" t="n">
        <x:v>887</x:v>
      </x:c>
      <x:c r="B890" s="193" t="n">
        <x:v>0.5822327032685279</x:v>
      </x:c>
      <x:c r="C890" s="83" t="n">
        <x:v>0.8218000733307205</x:v>
      </x:c>
      <x:c r="D890" s="83" t="n">
        <x:v>0.8843844113997501</x:v>
      </x:c>
      <x:c r="E890" s="81" t="n">
        <x:v>-0.07974053445841374</x:v>
      </x:c>
      <x:c r="F890" s="81" t="n">
        <x:v>0.3362996590207331</x:v>
      </x:c>
      <x:c r="G890" s="81" t="n">
        <x:v>0.022533538004846584</x:v>
      </x:c>
      <x:c r="H890" s="59" t="n">
        <x:v>0</x:v>
      </x:c>
      <x:c r="I890" s="81" t="n">
        <x:v>0</x:v>
      </x:c>
      <x:c r="J890" s="79" t="n">
        <x:v>3.3817234000385657e-37</x:v>
      </x:c>
      <x:c r="K890" s="81" t="n">
        <x:v>-1</x:v>
      </x:c>
      <x:c r="L890" s="81" t="n">
        <x:v>-1</x:v>
      </x:c>
      <x:c r="M890" s="80" t="n">
        <x:v>0.000002</x:v>
      </x:c>
      <x:c r="N890" s="82" t="n">
        <x:v>0.24079249678174988</x:v>
      </x:c>
      <x:c r="O890" s="82" t="n">
        <x:v>0.07649628048879206</x:v>
      </x:c>
      <x:c r="P890" s="80" t="n">
        <x:v>381.25901798097857</x:v>
      </x:c>
      <x:c r="Q890" s="81" t="n">
        <x:v>80890399767347950000</x:v>
      </x:c>
      <x:c r="R890" s="81" t="n">
        <x:v>2.9748094399364775</x:v>
      </x:c>
      <x:c r="S890" s="81" t="n">
        <x:v>5.576839328045995e-10</x:v>
      </x:c>
      <x:c r="T890" s="81" t="n">
        <x:v>7.325551188821754e-33</x:v>
      </x:c>
    </x:row>
    <x:row r="891">
      <x:c r="A891" s="59" t="n">
        <x:v>888</x:v>
      </x:c>
      <x:c r="B891" s="193" t="n">
        <x:v>0.21623012255877258</x:v>
      </x:c>
      <x:c r="C891" s="83" t="n">
        <x:v>0.552030698741566</x:v>
      </x:c>
      <x:c r="D891" s="83" t="n">
        <x:v>0.9044497910740966</x:v>
      </x:c>
      <x:c r="E891" s="81" t="n">
        <x:v>0.05615223370074058</x:v>
      </x:c>
      <x:c r="F891" s="81" t="n">
        <x:v>0.6000092932023109</x:v>
      </x:c>
      <x:c r="G891" s="81" t="n">
        <x:v>0.022443577838760664</x:v>
      </x:c>
      <x:c r="H891" s="59" t="n">
        <x:v>0</x:v>
      </x:c>
      <x:c r="I891" s="81" t="n">
        <x:v>0</x:v>
      </x:c>
      <x:c r="J891" s="79" t="n">
        <x:v>0.006702009234598475</x:v>
      </x:c>
      <x:c r="K891" s="81" t="n">
        <x:v>6.6594391252554015</x:v>
      </x:c>
      <x:c r="L891" s="81" t="n">
        <x:v>-0.6404153683707194</x:v>
      </x:c>
      <x:c r="M891" s="80" t="n">
        <x:v>26897.060731431877</x:v>
      </x:c>
      <x:c r="N891" s="82" t="n">
        <x:v>0.1536038195082976</x:v>
      </x:c>
      <x:c r="O891" s="82" t="n">
        <x:v>0.08706245991415054</x:v>
      </x:c>
      <x:c r="P891" s="80" t="n">
        <x:v>45003.423485293024</x:v>
      </x:c>
      <x:c r="Q891" s="81" t="n">
        <x:v>0.00374769523864214</x:v>
      </x:c>
      <x:c r="R891" s="81" t="n">
        <x:v>192.979110022026</x:v>
      </x:c>
      <x:c r="S891" s="81" t="n">
        <x:v>234.83080089045714</x:v>
      </x:c>
      <x:c r="T891" s="81" t="n">
        <x:v>145.18015197649626</x:v>
      </x:c>
    </x:row>
    <x:row r="892">
      <x:c r="A892" s="59" t="n">
        <x:v>889</x:v>
      </x:c>
      <x:c r="B892" s="193" t="n">
        <x:v>0.8562274470925331</x:v>
      </x:c>
      <x:c r="C892" s="83" t="n">
        <x:v>0.6959981850773187</x:v>
      </x:c>
      <x:c r="D892" s="83" t="n">
        <x:v>0.30914127703636235</x:v>
      </x:c>
      <x:c r="E892" s="81" t="n">
        <x:v>-0.16629738788982767</x:v>
      </x:c>
      <x:c r="F892" s="81" t="n">
        <x:v>0.4332197360461578</x:v>
      </x:c>
      <x:c r="G892" s="81" t="n">
        <x:v>0.011377209883334774</x:v>
      </x:c>
      <x:c r="H892" s="59" t="n">
        <x:v>18</x:v>
      </x:c>
      <x:c r="I892" s="81" t="n">
        <x:v>0.19823098815977575</x:v>
      </x:c>
      <x:c r="J892" s="79" t="n">
        <x:v>4.756726993206637e-30</x:v>
      </x:c>
      <x:c r="K892" s="81" t="n">
        <x:v>-1</x:v>
      </x:c>
      <x:c r="L892" s="81" t="n">
        <x:v>-1</x:v>
      </x:c>
      <x:c r="M892" s="80" t="n">
        <x:v>0.000002</x:v>
      </x:c>
      <x:c r="N892" s="82" t="n">
        <x:v>0.30606318216207434</x:v>
      </x:c>
      <x:c r="O892" s="82" t="n">
        <x:v>0.12525361370362065</x:v>
      </x:c>
      <x:c r="P892" s="80" t="n">
        <x:v>156.93899474262383</x:v>
      </x:c>
      <x:c r="Q892" s="81" t="n">
        <x:v>2978588100099.3213</x:v>
      </x:c>
      <x:c r="R892" s="81" t="n">
        <x:v>3.978638320173109</x:v>
      </x:c>
      <x:c r="S892" s="81" t="n">
        <x:v>1.8323673202215175e-10</x:v>
      </x:c>
      <x:c r="T892" s="81" t="n">
        <x:v>1.0304109165045264e-25</x:v>
      </x:c>
    </x:row>
    <x:row r="893">
      <x:c r="A893" s="59" t="n">
        <x:v>890</x:v>
      </x:c>
      <x:c r="B893" s="193" t="n">
        <x:v>0.6502310773357749</x:v>
      </x:c>
      <x:c r="C893" s="83" t="n">
        <x:v>0.3424505928935199</x:v>
      </x:c>
      <x:c r="D893" s="83" t="n">
        <x:v>1.2994661748677694</x:v>
      </x:c>
      <x:c r="E893" s="81" t="n">
        <x:v>0.017205119984308636</x:v>
      </x:c>
      <x:c r="F893" s="81" t="n">
        <x:v>0.8858830749173648</x:v>
      </x:c>
      <x:c r="G893" s="81" t="n">
        <x:v>0.04597316092868359</x:v>
      </x:c>
      <x:c r="H893" s="59" t="n">
        <x:v>66</x:v>
      </x:c>
      <x:c r="I893" s="81" t="n">
        <x:v>0.3814933145418763</x:v>
      </x:c>
      <x:c r="J893" s="79" t="n">
        <x:v>0.00024193765702694176</x:v>
      </x:c>
      <x:c r="K893" s="81" t="n">
        <x:v>-0.723499820540638</x:v>
      </x:c>
      <x:c r="L893" s="81" t="n">
        <x:v>-0.9312130390435445</x:v>
      </x:c>
      <x:c r="M893" s="80" t="n">
        <x:v>3996.5608779076265</x:v>
      </x:c>
      <x:c r="N893" s="82" t="n">
        <x:v>0.2569909844540817</x:v>
      </x:c>
      <x:c r="O893" s="82" t="n">
        <x:v>0.21506276956085896</x:v>
      </x:c>
      <x:c r="P893" s="80" t="n">
        <x:v>11616.258563313828</x:v>
      </x:c>
      <x:c r="Q893" s="81" t="n">
        <x:v>0.027022844809992303</x:v>
      </x:c>
      <x:c r="R893" s="81" t="n">
        <x:v>43.55839407062637</x:v>
      </x:c>
      <x:c r="S893" s="81" t="n">
        <x:v>16.082366108523427</x:v>
      </x:c>
      <x:c r="T893" s="81" t="n">
        <x:v>5.240897854136302</x:v>
      </x:c>
    </x:row>
    <x:row r="894">
      <x:c r="A894" s="59" t="n">
        <x:v>891</x:v>
      </x:c>
      <x:c r="B894" s="193" t="n">
        <x:v>0.4676290275529027</x:v>
      </x:c>
      <x:c r="C894" s="83" t="n">
        <x:v>1.114848120629179</x:v>
      </x:c>
      <x:c r="D894" s="83" t="n">
        <x:v>0.47617590851734304</x:v>
      </x:c>
      <x:c r="E894" s="81" t="n">
        <x:v>0.04087725612598695</x:v>
      </x:c>
      <x:c r="F894" s="81" t="n">
        <x:v>0.3517760937451385</x:v>
      </x:c>
      <x:c r="G894" s="81" t="n">
        <x:v>-0.003798008119547856</x:v>
      </x:c>
      <x:c r="H894" s="59" t="n">
        <x:v>0</x:v>
      </x:c>
      <x:c r="I894" s="81" t="n">
        <x:v>0</x:v>
      </x:c>
      <x:c r="J894" s="79" t="n">
        <x:v>0.0012965990299567854</x:v>
      </x:c>
      <x:c r="K894" s="81" t="n">
        <x:v>0.4818274628077548</x:v>
      </x:c>
      <x:c r="L894" s="81" t="n">
        <x:v>-0.5428819437283949</x:v>
      </x:c>
      <x:c r="M894" s="80" t="n">
        <x:v>13935.259647507562</x:v>
      </x:c>
      <x:c r="N894" s="82" t="n">
        <x:v>0.21349175240736817</x:v>
      </x:c>
      <x:c r="O894" s="82" t="n">
        <x:v>0.07094444016048491</x:v>
      </x:c>
      <x:c r="P894" s="80" t="n">
        <x:v>13737.062764718194</x:v>
      </x:c>
      <x:c r="Q894" s="81" t="n">
        <x:v>0.0038149262577312553</x:v>
      </x:c>
      <x:c r="R894" s="81" t="n">
        <x:v>35.272742602501474</x:v>
      </x:c>
      <x:c r="S894" s="81" t="n">
        <x:v>22.956416358306466</x:v>
      </x:c>
      <x:c r="T894" s="81" t="n">
        <x:v>28.08716574873257</x:v>
      </x:c>
    </x:row>
    <x:row r="895">
      <x:c r="A895" s="59" t="n">
        <x:v>892</x:v>
      </x:c>
      <x:c r="B895" s="193" t="n">
        <x:v>0.8666316600516439</x:v>
      </x:c>
      <x:c r="C895" s="83" t="n">
        <x:v>1.0089651909638317</x:v>
      </x:c>
      <x:c r="D895" s="83" t="n">
        <x:v>0.15815567466315095</x:v>
      </x:c>
      <x:c r="E895" s="81" t="n">
        <x:v>-0.021436609395148444</x:v>
      </x:c>
      <x:c r="F895" s="81" t="n">
        <x:v>0.6392287468654103</x:v>
      </x:c>
      <x:c r="G895" s="81" t="n">
        <x:v>-0.01604805317417029</x:v>
      </x:c>
      <x:c r="H895" s="59" t="n">
        <x:v>0</x:v>
      </x:c>
      <x:c r="I895" s="81" t="n">
        <x:v>0</x:v>
      </x:c>
      <x:c r="J895" s="79" t="n">
        <x:v>6.397456948534273e-8</x:v>
      </x:c>
      <x:c r="K895" s="81" t="n">
        <x:v>-0.9999268862063024</x:v>
      </x:c>
      <x:c r="L895" s="81" t="n">
        <x:v>-0.9999268862063024</x:v>
      </x:c>
      <x:c r="M895" s="80" t="n">
        <x:v>87.11808749388534</x:v>
      </x:c>
      <x:c r="N895" s="82" t="n">
        <x:v>0.30854166076792794</x:v>
      </x:c>
      <x:c r="O895" s="82" t="n">
        <x:v>0.18631209622104872</x:v>
      </x:c>
      <x:c r="P895" s="80" t="n">
        <x:v>391.2573004061162</x:v>
      </x:c>
      <x:c r="Q895" s="81" t="n">
        <x:v>0.0478770227813842</x:v>
      </x:c>
      <x:c r="R895" s="81" t="n">
        <x:v>8.648920434635265</x:v>
      </x:c>
      <x:c r="S895" s="81" t="n">
        <x:v>0.0036669545603950425</x:v>
      </x:c>
      <x:c r="T895" s="81" t="n">
        <x:v>0.0013858288455595395</x:v>
      </x:c>
    </x:row>
    <x:row r="896">
      <x:c r="A896" s="59" t="n">
        <x:v>893</x:v>
      </x:c>
      <x:c r="B896" s="193" t="n">
        <x:v>0.4394787034019828</x:v>
      </x:c>
      <x:c r="C896" s="83" t="n">
        <x:v>0.2729015947498426</x:v>
      </x:c>
      <x:c r="D896" s="83" t="n">
        <x:v>0.5128876097024162</x:v>
      </x:c>
      <x:c r="E896" s="81" t="n">
        <x:v>-0.14243077886397212</x:v>
      </x:c>
      <x:c r="F896" s="81" t="n">
        <x:v>0.5098642808734439</x:v>
      </x:c>
      <x:c r="G896" s="81" t="n">
        <x:v>0.012356498932917364</x:v>
      </x:c>
      <x:c r="H896" s="59" t="n">
        <x:v>0</x:v>
      </x:c>
      <x:c r="I896" s="81" t="n">
        <x:v>0</x:v>
      </x:c>
      <x:c r="J896" s="79" t="n">
        <x:v>1.79836582146503e-36</x:v>
      </x:c>
      <x:c r="K896" s="81" t="n">
        <x:v>-1</x:v>
      </x:c>
      <x:c r="L896" s="81" t="n">
        <x:v>-1</x:v>
      </x:c>
      <x:c r="M896" s="80" t="n">
        <x:v>0.000002</x:v>
      </x:c>
      <x:c r="N896" s="82" t="n">
        <x:v>0.20678581737604118</x:v>
      </x:c>
      <x:c r="O896" s="82" t="n">
        <x:v>0.0995970049793242</x:v>
      </x:c>
      <x:c r="P896" s="80" t="n">
        <x:v>146.70694153049206</x:v>
      </x:c>
      <x:c r="Q896" s="81" t="n">
        <x:v>9010373773189009000</x:v>
      </x:c>
      <x:c r="R896" s="81" t="n">
        <x:v>7.155082533943087</x:v>
      </x:c>
      <x:c r="S896" s="81" t="n">
        <x:v>4.098473186440997e-10</x:v>
      </x:c>
      <x:c r="T896" s="81" t="n">
        <x:v>3.895652991968334e-32</x:v>
      </x:c>
    </x:row>
    <x:row r="897">
      <x:c r="A897" s="59" t="n">
        <x:v>894</x:v>
      </x:c>
      <x:c r="B897" s="193" t="n">
        <x:v>0.8067925414070487</x:v>
      </x:c>
      <x:c r="C897" s="83" t="n">
        <x:v>0.5043313052049089</x:v>
      </x:c>
      <x:c r="D897" s="83" t="n">
        <x:v>1.4115945552141695</x:v>
      </x:c>
      <x:c r="E897" s="81" t="n">
        <x:v>-0.044085258501666925</x:v>
      </x:c>
      <x:c r="F897" s="81" t="n">
        <x:v>0.819979362608865</x:v>
      </x:c>
      <x:c r="G897" s="81" t="n">
        <x:v>0.020737103633984275</x:v>
      </x:c>
      <x:c r="H897" s="59" t="n">
        <x:v>0</x:v>
      </x:c>
      <x:c r="I897" s="81" t="n">
        <x:v>0</x:v>
      </x:c>
      <x:c r="J897" s="79" t="n">
        <x:v>2.1165211205555817e-34</x:v>
      </x:c>
      <x:c r="K897" s="81" t="n">
        <x:v>-1</x:v>
      </x:c>
      <x:c r="L897" s="81" t="n">
        <x:v>-1</x:v>
      </x:c>
      <x:c r="M897" s="80" t="n">
        <x:v>0.000002</x:v>
      </x:c>
      <x:c r="N897" s="82" t="n">
        <x:v>0.2942868607233105</x:v>
      </x:c>
      <x:c r="O897" s="82" t="n">
        <x:v>0.22795269768263107</x:v>
      </x:c>
      <x:c r="P897" s="80" t="n">
        <x:v>506.5491506828763</x:v>
      </x:c>
      <x:c r="Q897" s="81" t="n">
        <x:v>226055337972556830</x:v>
      </x:c>
      <x:c r="R897" s="81" t="n">
        <x:v>4.724479599466789</x:v>
      </x:c>
      <x:c r="S897" s="81" t="n">
        <x:v>1.0551715105330605e-9</x:v>
      </x:c>
      <x:c r="T897" s="81" t="n">
        <x:v>4.5848468300735294e-30</x:v>
      </x:c>
    </x:row>
    <x:row r="898">
      <x:c r="A898" s="59" t="n">
        <x:v>895</x:v>
      </x:c>
      <x:c r="B898" s="193" t="n">
        <x:v>0.9601836510002613</x:v>
      </x:c>
      <x:c r="C898" s="83" t="n">
        <x:v>0.21011982150236644</x:v>
      </x:c>
      <x:c r="D898" s="83" t="n">
        <x:v>0.5744107084022229</x:v>
      </x:c>
      <x:c r="E898" s="81" t="n">
        <x:v>0.08144955270228685</x:v>
      </x:c>
      <x:c r="F898" s="81" t="n">
        <x:v>0.28942108686314894</x:v>
      </x:c>
      <x:c r="G898" s="81" t="n">
        <x:v>-0.026029874858879084</x:v>
      </x:c>
      <x:c r="H898" s="59" t="n">
        <x:v>0</x:v>
      </x:c>
      <x:c r="I898" s="81" t="n">
        <x:v>0</x:v>
      </x:c>
      <x:c r="J898" s="79" t="n">
        <x:v>0.0009990842957993055</x:v>
      </x:c>
      <x:c r="K898" s="81" t="n">
        <x:v>0.1418106237706349</x:v>
      </x:c>
      <x:c r="L898" s="81" t="n">
        <x:v>-0.7464880654571355</x:v>
      </x:c>
      <x:c r="M898" s="80" t="n">
        <x:v>7597.329723934548</x:v>
      </x:c>
      <x:c r="N898" s="82" t="n">
        <x:v>0.33082749911171866</x:v>
      </x:c>
      <x:c r="O898" s="82" t="n">
        <x:v>0.0904487801035789</x:v>
      </x:c>
      <x:c r="P898" s="80" t="n">
        <x:v>8776.39619658223</x:v>
      </x:c>
      <x:c r="Q898" s="81" t="n">
        <x:v>0.002583055393332792</x:v>
      </x:c>
      <x:c r="R898" s="81" t="n">
        <x:v>306.49890610632735</x:v>
      </x:c>
      <x:c r="S898" s="81" t="n">
        <x:v>89.51842891430206</x:v>
      </x:c>
      <x:c r="T898" s="81" t="n">
        <x:v>21.642347067008153</x:v>
      </x:c>
    </x:row>
    <x:row r="899">
      <x:c r="A899" s="59" t="n">
        <x:v>896</x:v>
      </x:c>
      <x:c r="B899" s="193" t="n">
        <x:v>0.3511143036186695</x:v>
      </x:c>
      <x:c r="C899" s="83" t="n">
        <x:v>0.2820312106245794</x:v>
      </x:c>
      <x:c r="D899" s="83" t="n">
        <x:v>0.6990752744610889</x:v>
      </x:c>
      <x:c r="E899" s="81" t="n">
        <x:v>-0.0181176125813523</x:v>
      </x:c>
      <x:c r="F899" s="81" t="n">
        <x:v>0.826770937431138</x:v>
      </x:c>
      <x:c r="G899" s="81" t="n">
        <x:v>-0.022223962180860594</x:v>
      </x:c>
      <x:c r="H899" s="59" t="n">
        <x:v>0</x:v>
      </x:c>
      <x:c r="I899" s="81" t="n">
        <x:v>0</x:v>
      </x:c>
      <x:c r="J899" s="79" t="n">
        <x:v>6.211169522031788e-12</x:v>
      </x:c>
      <x:c r="K899" s="81" t="n">
        <x:v>-0.9999999929015205</x:v>
      </x:c>
      <x:c r="L899" s="81" t="n">
        <x:v>-0.9999999929015205</x:v>
      </x:c>
      <x:c r="M899" s="80" t="n">
        <x:v>0.5553140519763676</x:v>
      </x:c>
      <x:c r="N899" s="82" t="n">
        <x:v>0.18573576051516003</x:v>
      </x:c>
      <x:c r="O899" s="82" t="n">
        <x:v>0.14506133574696656</x:v>
      </x:c>
      <x:c r="P899" s="80" t="n">
        <x:v>617.5649665800788</x:v>
      </x:c>
      <x:c r="Q899" s="81" t="n">
        <x:v>5.058661161194915</x:v>
      </x:c>
      <x:c r="R899" s="81" t="n">
        <x:v>21.479919080762226</x:v>
      </x:c>
      <x:c r="S899" s="81" t="n">
        <x:v>0.00010323394296207755</x:v>
      </x:c>
      <x:c r="T899" s="81" t="n">
        <x:v>1.345474921916279e-7</x:v>
      </x:c>
    </x:row>
    <x:row r="900">
      <x:c r="A900" s="59" t="n">
        <x:v>897</x:v>
      </x:c>
      <x:c r="B900" s="193" t="n">
        <x:v>0.9794497160241009</x:v>
      </x:c>
      <x:c r="C900" s="83" t="n">
        <x:v>2.6023593262959013</x:v>
      </x:c>
      <x:c r="D900" s="83" t="n">
        <x:v>1.3118845435867883</x:v>
      </x:c>
      <x:c r="E900" s="81" t="n">
        <x:v>0.06878262869706545</x:v>
      </x:c>
      <x:c r="F900" s="81" t="n">
        <x:v>0.6201953264535405</x:v>
      </x:c>
      <x:c r="G900" s="81" t="n">
        <x:v>0.004561009030012822</x:v>
      </x:c>
      <x:c r="H900" s="59" t="n">
        <x:v>0</x:v>
      </x:c>
      <x:c r="I900" s="81" t="n">
        <x:v>0</x:v>
      </x:c>
      <x:c r="J900" s="79" t="n">
        <x:v>0.016721429214072613</x:v>
      </x:c>
      <x:c r="K900" s="81" t="n">
        <x:v>18.110204816082987</x:v>
      </x:c>
      <x:c r="L900" s="81" t="n">
        <x:v>-0.7139196899988766</x:v>
      </x:c>
      <x:c r="M900" s="80" t="n">
        <x:v>110376.82968087921</x:v>
      </x:c>
      <x:c r="N900" s="82" t="n">
        <x:v>0.33541703703911624</x:v>
      </x:c>
      <x:c r="O900" s="82" t="n">
        <x:v>0.19650995187926376</x:v>
      </x:c>
      <x:c r="P900" s="80" t="n">
        <x:v>236502.3408874175</x:v>
      </x:c>
      <x:c r="Q900" s="81" t="n">
        <x:v>0.007393197245757589</x:v>
      </x:c>
      <x:c r="R900" s="81" t="n">
        <x:v>140.9779776393458</x:v>
      </x:c>
      <x:c r="S900" s="81" t="n">
        <x:v>138.929109553858</x:v>
      </x:c>
      <x:c r="T900" s="81" t="n">
        <x:v>362.2226633217594</x:v>
      </x:c>
    </x:row>
    <x:row r="901">
      <x:c r="A901" s="59" t="n">
        <x:v>898</x:v>
      </x:c>
      <x:c r="B901" s="193" t="n">
        <x:v>0.5265946986153722</x:v>
      </x:c>
      <x:c r="C901" s="83" t="n">
        <x:v>2.1299028085330747</x:v>
      </x:c>
      <x:c r="D901" s="83" t="n">
        <x:v>0.776286493331258</x:v>
      </x:c>
      <x:c r="E901" s="81" t="n">
        <x:v>0.06316333395860907</x:v>
      </x:c>
      <x:c r="F901" s="81" t="n">
        <x:v>0.8223054633592256</x:v>
      </x:c>
      <x:c r="G901" s="81" t="n">
        <x:v>0.024435084443742486</x:v>
      </x:c>
      <x:c r="H901" s="59" t="n">
        <x:v>0</x:v>
      </x:c>
      <x:c r="I901" s="81" t="n">
        <x:v>0</x:v>
      </x:c>
      <x:c r="J901" s="79" t="n">
        <x:v>0.006414251160055628</x:v>
      </x:c>
      <x:c r="K901" s="81" t="n">
        <x:v>6.33057275434929</x:v>
      </x:c>
      <x:c r="L901" s="81" t="n">
        <x:v>-0.6368729715237201</x:v>
      </x:c>
      <x:c r="M901" s="80" t="n">
        <x:v>52823.29736448149</x:v>
      </x:c>
      <x:c r="N901" s="82" t="n">
        <x:v>0.22753848086078077</x:v>
      </x:c>
      <x:c r="O901" s="82" t="n">
        <x:v>0.1767498165788448</x:v>
      </x:c>
      <x:c r="P901" s="80" t="n">
        <x:v>76947.02085003705</x:v>
      </x:c>
      <x:c r="Q901" s="81" t="n">
        <x:v>0.006779772038218288</x:v>
      </x:c>
      <x:c r="R901" s="81" t="n">
        <x:v>49.37511563782082</x:v>
      </x:c>
      <x:c r="S901" s="81" t="n">
        <x:v>64.01576486075446</x:v>
      </x:c>
      <x:c r="T901" s="81" t="n">
        <x:v>138.94668384295113</x:v>
      </x:c>
    </x:row>
    <x:row r="902">
      <x:c r="A902" s="59" t="n">
        <x:v>899</x:v>
      </x:c>
      <x:c r="B902" s="193" t="n">
        <x:v>0.384142291918397</x:v>
      </x:c>
      <x:c r="C902" s="83" t="n">
        <x:v>1.4531674075703855</x:v>
      </x:c>
      <x:c r="D902" s="83" t="n">
        <x:v>0.42920963821735225</x:v>
      </x:c>
      <x:c r="E902" s="81" t="n">
        <x:v>-0.007057831870441026</x:v>
      </x:c>
      <x:c r="F902" s="81" t="n">
        <x:v>0.7691416358808055</x:v>
      </x:c>
      <x:c r="G902" s="81" t="n">
        <x:v>0.007095752247116911</x:v>
      </x:c>
      <x:c r="H902" s="59" t="n">
        <x:v>0</x:v>
      </x:c>
      <x:c r="I902" s="81" t="n">
        <x:v>0</x:v>
      </x:c>
      <x:c r="J902" s="79" t="n">
        <x:v>1.2672640466149917e-7</x:v>
      </x:c>
      <x:c r="K902" s="81" t="n">
        <x:v>-0.999855169823244</x:v>
      </x:c>
      <x:c r="L902" s="81" t="n">
        <x:v>-0.999855169823244</x:v>
      </x:c>
      <x:c r="M902" s="80" t="n">
        <x:v>149.5752079016503</x:v>
      </x:c>
      <x:c r="N902" s="82" t="n">
        <x:v>0.19360364660293566</x:v>
      </x:c>
      <x:c r="O902" s="82" t="n">
        <x:v>0.14066653723288375</x:v>
      </x:c>
      <x:c r="P902" s="80" t="n">
        <x:v>1660.9291497101808</x:v>
      </x:c>
      <x:c r="Q902" s="81" t="n">
        <x:v>0.12827504188004793</x:v>
      </x:c>
      <x:c r="R902" s="81" t="n">
        <x:v>7.838594088536279</x:v>
      </x:c>
      <x:c r="S902" s="81" t="n">
        <x:v>0.014209569064792371</x:v>
      </x:c>
      <x:c r="T902" s="81" t="n">
        <x:v>0.0027451705964851095</x:v>
      </x:c>
    </x:row>
    <x:row r="903">
      <x:c r="A903" s="59" t="n">
        <x:v>900</x:v>
      </x:c>
      <x:c r="B903" s="193" t="n">
        <x:v>0.34975409768521787</x:v>
      </x:c>
      <x:c r="C903" s="83" t="n">
        <x:v>0.7824412774677848</x:v>
      </x:c>
      <x:c r="D903" s="83" t="n">
        <x:v>0.2780841661401232</x:v>
      </x:c>
      <x:c r="E903" s="81" t="n">
        <x:v>0.004468352702128874</x:v>
      </x:c>
      <x:c r="F903" s="81" t="n">
        <x:v>0.7867973422748037</x:v>
      </x:c>
      <x:c r="G903" s="81" t="n">
        <x:v>0.01786163790655053</x:v>
      </x:c>
      <x:c r="H903" s="59" t="n">
        <x:v>0</x:v>
      </x:c>
      <x:c r="I903" s="81" t="n">
        <x:v>0</x:v>
      </x:c>
      <x:c r="J903" s="79" t="n">
        <x:v>0.0000030086249445513923</x:v>
      </x:c>
      <x:c r="K903" s="81" t="n">
        <x:v>-0.9965615714919412</x:v>
      </x:c>
      <x:c r="L903" s="81" t="n">
        <x:v>-0.9965615714919412</x:v>
      </x:c>
      <x:c r="M903" s="80" t="n">
        <x:v>530.218388167475</x:v>
      </x:c>
      <x:c r="N903" s="82" t="n">
        <x:v>0.1854117339579506</x:v>
      </x:c>
      <x:c r="O903" s="82" t="n">
        <x:v>0.13780692482734688</x:v>
      </x:c>
      <x:c r="P903" s="80" t="n">
        <x:v>1038.3187351430765</x:v>
      </x:c>
      <x:c r="Q903" s="81" t="n">
        <x:v>0.025179487055448892</x:v>
      </x:c>
      <x:c r="R903" s="81" t="n">
        <x:v>14.41901731385367</x:v>
      </x:c>
      <x:c r="S903" s="81" t="n">
        <x:v>0.11665689042988513</x:v>
      </x:c>
      <x:c r="T903" s="81" t="n">
        <x:v>0.06517338478666203</x:v>
      </x:c>
    </x:row>
    <x:row r="904">
      <x:c r="A904" s="59" t="n">
        <x:v>901</x:v>
      </x:c>
      <x:c r="B904" s="193" t="n">
        <x:v>0.7583506988361479</x:v>
      </x:c>
      <x:c r="C904" s="83" t="n">
        <x:v>0.12769657201083995</x:v>
      </x:c>
      <x:c r="D904" s="83" t="n">
        <x:v>0.534664911087374</x:v>
      </x:c>
      <x:c r="E904" s="81" t="n">
        <x:v>0.0785790646147754</x:v>
      </x:c>
      <x:c r="F904" s="81" t="n">
        <x:v>0.40600027876207606</x:v>
      </x:c>
      <x:c r="G904" s="81" t="n">
        <x:v>0.023842321372805057</x:v>
      </x:c>
      <x:c r="H904" s="59" t="n">
        <x:v>0</x:v>
      </x:c>
      <x:c r="I904" s="81" t="n">
        <x:v>0</x:v>
      </x:c>
      <x:c r="J904" s="79" t="n">
        <x:v>0.0015629092661397098</x:v>
      </x:c>
      <x:c r="K904" s="81" t="n">
        <x:v>0.7861820184453827</x:v>
      </x:c>
      <x:c r="L904" s="81" t="n">
        <x:v>-0.7442892223822014</x:v>
      </x:c>
      <x:c r="M904" s="80" t="n">
        <x:v>9137.030012670904</x:v>
      </x:c>
      <x:c r="N904" s="82" t="n">
        <x:v>0.28274710553837373</x:v>
      </x:c>
      <x:c r="O904" s="82" t="n">
        <x:v>0.108441481305986</x:v>
      </x:c>
      <x:c r="P904" s="80" t="n">
        <x:v>9788.646301125316</x:v>
      </x:c>
      <x:c r="Q904" s="81" t="n">
        <x:v>0.0032674539109070694</x:v>
      </x:c>
      <x:c r="R904" s="81" t="n">
        <x:v>337.2804689927268</x:v>
      </x:c>
      <x:c r="S904" s="81" t="n">
        <x:v>229.94942953079246</x:v>
      </x:c>
      <x:c r="T904" s="81" t="n">
        <x:v>33.85602687806969</x:v>
      </x:c>
    </x:row>
    <x:row r="905">
      <x:c r="A905" s="59" t="n">
        <x:v>902</x:v>
      </x:c>
      <x:c r="B905" s="193" t="n">
        <x:v>0.7523161919787527</x:v>
      </x:c>
      <x:c r="C905" s="83" t="n">
        <x:v>1.7793020838801779</x:v>
      </x:c>
      <x:c r="D905" s="83" t="n">
        <x:v>2.0734199652305993</x:v>
      </x:c>
      <x:c r="E905" s="81" t="n">
        <x:v>-0.09975652417397746</x:v>
      </x:c>
      <x:c r="F905" s="81" t="n">
        <x:v>0.2885336282197386</x:v>
      </x:c>
      <x:c r="G905" s="81" t="n">
        <x:v>-0.023560139693906516</x:v>
      </x:c>
      <x:c r="H905" s="59" t="n">
        <x:v>0</x:v>
      </x:c>
      <x:c r="I905" s="81" t="n">
        <x:v>0</x:v>
      </x:c>
      <x:c r="J905" s="79" t="n">
        <x:v>4.803153958313745e-62</x:v>
      </x:c>
      <x:c r="K905" s="81" t="n">
        <x:v>-1</x:v>
      </x:c>
      <x:c r="L905" s="81" t="n">
        <x:v>-1</x:v>
      </x:c>
      <x:c r="M905" s="80" t="n">
        <x:v>0.000002</x:v>
      </x:c>
      <x:c r="N905" s="82" t="n">
        <x:v>0.2813095728579385</x:v>
      </x:c>
      <x:c r="O905" s="82" t="n">
        <x:v>0.07667466550520284</x:v>
      </x:c>
      <x:c r="P905" s="80" t="n">
        <x:v>591.0066943088992</x:v>
      </x:c>
      <x:c r="Q905" s="81" t="n">
        <x:v>4.636855179307462e+44</x:v>
      </x:c>
      <x:c r="R905" s="81" t="n">
        <x:v>0.8811660382422558</x:v>
      </x:c>
      <x:c r="S905" s="81" t="n">
        <x:v>4.889628659993826e-10</x:v>
      </x:c>
      <x:c r="T905" s="81" t="n">
        <x:v>1.0404680107491324e-57</x:v>
      </x:c>
    </x:row>
    <x:row r="906">
      <x:c r="A906" s="59" t="n">
        <x:v>903</x:v>
      </x:c>
      <x:c r="B906" s="193" t="n">
        <x:v>0.30980250071734194</x:v>
      </x:c>
      <x:c r="C906" s="83" t="n">
        <x:v>0.9539072769506753</x:v>
      </x:c>
      <x:c r="D906" s="83" t="n">
        <x:v>1.5598878312188005</x:v>
      </x:c>
      <x:c r="E906" s="81" t="n">
        <x:v>0.054672601405411116</x:v>
      </x:c>
      <x:c r="F906" s="81" t="n">
        <x:v>0.6244150361511857</x:v>
      </x:c>
      <x:c r="G906" s="81" t="n">
        <x:v>-0.0031050742562482117</x:v>
      </x:c>
      <x:c r="H906" s="59" t="n">
        <x:v>0</x:v>
      </x:c>
      <x:c r="I906" s="81" t="n">
        <x:v>0</x:v>
      </x:c>
      <x:c r="J906" s="79" t="n">
        <x:v>0.012944053627315714</x:v>
      </x:c>
      <x:c r="K906" s="81" t="n">
        <x:v>13.793204145503674</x:v>
      </x:c>
      <x:c r="L906" s="81" t="n">
        <x:v>-0.7108338821107252</x:v>
      </x:c>
      <x:c r="M906" s="80" t="n">
        <x:v>51197.11130097896</x:v>
      </x:c>
      <x:c r="N906" s="82" t="n">
        <x:v>0.17589451446775933</x:v>
      </x:c>
      <x:c r="O906" s="82" t="n">
        <x:v>0.10375202691027144</x:v>
      </x:c>
      <x:c r="P906" s="80" t="n">
        <x:v>130897.4335019493</x:v>
      </x:c>
      <x:c r="Q906" s="81" t="n">
        <x:v>0.00479825147717483</x:v>
      </x:c>
      <x:c r="R906" s="81" t="n">
        <x:v>336.3367335413467</x:v>
      </x:c>
      <x:c r="S906" s="81" t="n">
        <x:v>269.9553809255174</x:v>
      </x:c>
      <x:c r="T906" s="81" t="n">
        <x:v>280.39646127378074</x:v>
      </x:c>
    </x:row>
    <x:row r="907">
      <x:c r="A907" s="59" t="n">
        <x:v>904</x:v>
      </x:c>
      <x:c r="B907" s="193" t="n">
        <x:v>0.5260142548009754</x:v>
      </x:c>
      <x:c r="C907" s="83" t="n">
        <x:v>0.13169310689591146</x:v>
      </x:c>
      <x:c r="D907" s="83" t="n">
        <x:v>0.45381938149221895</x:v>
      </x:c>
      <x:c r="E907" s="81" t="n">
        <x:v>0.04964771062674167</x:v>
      </x:c>
      <x:c r="F907" s="81" t="n">
        <x:v>0.4997280165203847</x:v>
      </x:c>
      <x:c r="G907" s="81" t="n">
        <x:v>0.03865456859423875</x:v>
      </x:c>
      <x:c r="H907" s="59" t="n">
        <x:v>0</x:v>
      </x:c>
      <x:c r="I907" s="81" t="n">
        <x:v>0</x:v>
      </x:c>
      <x:c r="J907" s="79" t="n">
        <x:v>0.0005917305730877679</x:v>
      </x:c>
      <x:c r="K907" s="81" t="n">
        <x:v>-0.32373648789969367</x:v>
      </x:c>
      <x:c r="L907" s="81" t="n">
        <x:v>-0.8097435288585004</x:v>
      </x:c>
      <x:c r="M907" s="80" t="n">
        <x:v>5239.717968469437</x:v>
      </x:c>
      <x:c r="N907" s="82" t="n">
        <x:v>0.22740020826086996</x:v>
      </x:c>
      <x:c r="O907" s="82" t="n">
        <x:v>0.10734838081326206</x:v>
      </x:c>
      <x:c r="P907" s="80" t="n">
        <x:v>5283.5954248653115</x:v>
      </x:c>
      <x:c r="Q907" s="81" t="n">
        <x:v>0.004781341527685242</x:v>
      </x:c>
      <x:c r="R907" s="81" t="n">
        <x:v>168.23261197867973</x:v>
      </x:c>
      <x:c r="S907" s="81" t="n">
        <x:v>84.95045661513208</x:v>
      </x:c>
      <x:c r="T907" s="81" t="n">
        <x:v>12.818176090616529</x:v>
      </x:c>
    </x:row>
    <x:row r="908">
      <x:c r="A908" s="59" t="n">
        <x:v>905</x:v>
      </x:c>
      <x:c r="B908" s="193" t="n">
        <x:v>0.5296721268445254</x:v>
      </x:c>
      <x:c r="C908" s="83" t="n">
        <x:v>2.646794736538241</x:v>
      </x:c>
      <x:c r="D908" s="83" t="n">
        <x:v>1.3405501426016877</x:v>
      </x:c>
      <x:c r="E908" s="81" t="n">
        <x:v>0.01180613555448929</x:v>
      </x:c>
      <x:c r="F908" s="81" t="n">
        <x:v>0.41019928803434597</x:v>
      </x:c>
      <x:c r="G908" s="81" t="n">
        <x:v>0.06198600536484997</x:v>
      </x:c>
      <x:c r="H908" s="59" t="n">
        <x:v>0</x:v>
      </x:c>
      <x:c r="I908" s="81" t="n">
        <x:v>0</x:v>
      </x:c>
      <x:c r="J908" s="79" t="n">
        <x:v>0.00717032145947065</x:v>
      </x:c>
      <x:c r="K908" s="81" t="n">
        <x:v>7.194653096537888</x:v>
      </x:c>
      <x:c r="L908" s="81" t="n">
        <x:v>-0.25626410408662814</x:v>
      </x:c>
      <x:c r="M908" s="80" t="n">
        <x:v>57349.38071763331</x:v>
      </x:c>
      <x:c r="N908" s="82" t="n">
        <x:v>0.22827158196674407</x:v>
      </x:c>
      <x:c r="O908" s="82" t="n">
        <x:v>0.08845404392070177</x:v>
      </x:c>
      <x:c r="P908" s="80" t="n">
        <x:v>164769.52285036666</x:v>
      </x:c>
      <x:c r="Q908" s="81" t="n">
        <x:v>0.017179215566725754</x:v>
      </x:c>
      <x:c r="R908" s="81" t="n">
        <x:v>17.89281778834987</x:v>
      </x:c>
      <x:c r="S908" s="81" t="n">
        <x:v>69.63444366384822</x:v>
      </x:c>
      <x:c r="T908" s="81" t="n">
        <x:v>155.32481719545825</x:v>
      </x:c>
    </x:row>
    <x:row r="909">
      <x:c r="A909" s="59" t="n">
        <x:v>906</x:v>
      </x:c>
      <x:c r="B909" s="193" t="n">
        <x:v>0.7700757440179586</x:v>
      </x:c>
      <x:c r="C909" s="83" t="n">
        <x:v>0.7937566284209785</x:v>
      </x:c>
      <x:c r="D909" s="83" t="n">
        <x:v>0.764776821198445</x:v>
      </x:c>
      <x:c r="E909" s="81" t="n">
        <x:v>0.036775096699741695</x:v>
      </x:c>
      <x:c r="F909" s="81" t="n">
        <x:v>0.6117819326813333</x:v>
      </x:c>
      <x:c r="G909" s="81" t="n">
        <x:v>0.0189894155317357</x:v>
      </x:c>
      <x:c r="H909" s="59" t="n">
        <x:v>19</x:v>
      </x:c>
      <x:c r="I909" s="81" t="n">
        <x:v>0.2871435805223882</x:v>
      </x:c>
      <x:c r="J909" s="79" t="n">
        <x:v>0.0006416834683924751</x:v>
      </x:c>
      <x:c r="K909" s="81" t="n">
        <x:v>-0.2666474646943141</x:v>
      </x:c>
      <x:c r="L909" s="81" t="n">
        <x:v>-0.7832718723276144</x:v>
      </x:c>
      <x:c r="M909" s="80" t="n">
        <x:v>8746.408612909454</x:v>
      </x:c>
      <x:c r="N909" s="82" t="n">
        <x:v>0.28554023114527805</x:v>
      </x:c>
      <x:c r="O909" s="82" t="n">
        <x:v>0.16501935896561573</x:v>
      </x:c>
      <x:c r="P909" s="80" t="n">
        <x:v>13696.422751065576</x:v>
      </x:c>
      <x:c r="Q909" s="81" t="n">
        <x:v>0.00999147341056463</x:v>
      </x:c>
      <x:c r="R909" s="81" t="n">
        <x:v>30.486560106244983</x:v>
      </x:c>
      <x:c r="S909" s="81" t="n">
        <x:v>17.128555534255817</x:v>
      </x:c>
      <x:c r="T909" s="81" t="n">
        <x:v>13.90026486103552</x:v>
      </x:c>
    </x:row>
    <x:row r="910">
      <x:c r="A910" s="59" t="n">
        <x:v>907</x:v>
      </x:c>
      <x:c r="B910" s="193" t="n">
        <x:v>0.3018769608810544</x:v>
      </x:c>
      <x:c r="C910" s="83" t="n">
        <x:v>0.42391544909259526</x:v>
      </x:c>
      <x:c r="D910" s="83" t="n">
        <x:v>1.0137132064623715</x:v>
      </x:c>
      <x:c r="E910" s="81" t="n">
        <x:v>0.021928701970999977</x:v>
      </x:c>
      <x:c r="F910" s="81" t="n">
        <x:v>0.25200523076346143</x:v>
      </x:c>
      <x:c r="G910" s="81" t="n">
        <x:v>0.03717581531193879</x:v>
      </x:c>
      <x:c r="H910" s="59" t="n">
        <x:v>0</x:v>
      </x:c>
      <x:c r="I910" s="81" t="n">
        <x:v>0</x:v>
      </x:c>
      <x:c r="J910" s="79" t="n">
        <x:v>0.0058684864187702945</x:v>
      </x:c>
      <x:c r="K910" s="81" t="n">
        <x:v>5.706841621451765</x:v>
      </x:c>
      <x:c r="L910" s="81" t="n">
        <x:v>-0.37035667235413594</x:v>
      </x:c>
      <x:c r="M910" s="80" t="n">
        <x:v>20641.175009843926</x:v>
      </x:c>
      <x:c r="N910" s="82" t="n">
        <x:v>0.17400650227488368</x:v>
      </x:c>
      <x:c r="O910" s="82" t="n">
        <x:v>0.041423422120551466</x:v>
      </x:c>
      <x:c r="P910" s="80" t="n">
        <x:v>41937.49816426659</x:v>
      </x:c>
      <x:c r="Q910" s="81" t="n">
        <x:v>0.004334946838992914</x:v>
      </x:c>
      <x:c r="R910" s="81" t="n">
        <x:v>116.69063824682077</x:v>
      </x:c>
      <x:c r="S910" s="81" t="n">
        <x:v>267.2497476148891</x:v>
      </x:c>
      <x:c r="T910" s="81" t="n">
        <x:v>127.12422802266086</x:v>
      </x:c>
    </x:row>
    <x:row r="911">
      <x:c r="A911" s="59" t="n">
        <x:v>908</x:v>
      </x:c>
      <x:c r="B911" s="193" t="n">
        <x:v>0.5436195133253932</x:v>
      </x:c>
      <x:c r="C911" s="83" t="n">
        <x:v>0.7497152503294485</x:v>
      </x:c>
      <x:c r="D911" s="83" t="n">
        <x:v>0.6146728313232979</x:v>
      </x:c>
      <x:c r="E911" s="81" t="n">
        <x:v>0.13027643738526123</x:v>
      </x:c>
      <x:c r="F911" s="81" t="n">
        <x:v>0.6217120315064677</x:v>
      </x:c>
      <x:c r="G911" s="81" t="n">
        <x:v>-0.014879018842818004</x:v>
      </x:c>
      <x:c r="H911" s="59" t="n">
        <x:v>72</x:v>
      </x:c>
      <x:c r="I911" s="81" t="n">
        <x:v>0.3982605352066457</x:v>
      </x:c>
      <x:c r="J911" s="79" t="n">
        <x:v>0.003950740374621025</x:v>
      </x:c>
      <x:c r="K911" s="81" t="n">
        <x:v>3.5151318567097425</x:v>
      </x:c>
      <x:c r="L911" s="81" t="n">
        <x:v>-0.9322596023900402</x:v>
      </x:c>
      <x:c r="M911" s="80" t="n">
        <x:v>24499.522318463394</x:v>
      </x:c>
      <x:c r="N911" s="82" t="n">
        <x:v>0.23159411093998344</x:v>
      </x:c>
      <x:c r="O911" s="82" t="n">
        <x:v>0.13601528806862023</x:v>
      </x:c>
      <x:c r="P911" s="80" t="n">
        <x:v>26995.315980956322</x:v>
      </x:c>
      <x:c r="Q911" s="81" t="n">
        <x:v>0.0027365873842837758</x:v>
      </x:c>
      <x:c r="R911" s="81" t="n">
        <x:v>214.66006814721453</x:v>
      </x:c>
      <x:c r="S911" s="81" t="n">
        <x:v>101.33972957471047</x:v>
      </x:c>
      <x:c r="T911" s="81" t="n">
        <x:v>85.58166184644523</x:v>
      </x:c>
    </x:row>
    <x:row r="912">
      <x:c r="A912" s="59" t="n">
        <x:v>909</x:v>
      </x:c>
      <x:c r="B912" s="193" t="n">
        <x:v>0.3704308450222016</x:v>
      </x:c>
      <x:c r="C912" s="83" t="n">
        <x:v>0.7757295966343511</x:v>
      </x:c>
      <x:c r="D912" s="83" t="n">
        <x:v>0.5661699047137145</x:v>
      </x:c>
      <x:c r="E912" s="81" t="n">
        <x:v>0.04506611752022343</x:v>
      </x:c>
      <x:c r="F912" s="81" t="n">
        <x:v>0.6365130098420195</x:v>
      </x:c>
      <x:c r="G912" s="81" t="n">
        <x:v>-0.0433447775750804</x:v>
      </x:c>
      <x:c r="H912" s="59" t="n">
        <x:v>0</x:v>
      </x:c>
      <x:c r="I912" s="81" t="n">
        <x:v>0</x:v>
      </x:c>
      <x:c r="J912" s="79" t="n">
        <x:v>0.00025000404242273054</x:v>
      </x:c>
      <x:c r="K912" s="81" t="n">
        <x:v>-0.7142810943740222</x:v>
      </x:c>
      <x:c r="L912" s="81" t="n">
        <x:v>-0.8512163429813657</x:v>
      </x:c>
      <x:c r="M912" s="80" t="n">
        <x:v>5164.0752571017065</x:v>
      </x:c>
      <x:c r="N912" s="82" t="n">
        <x:v>0.1903373228626324</x:v>
      </x:c>
      <x:c r="O912" s="82" t="n">
        <x:v>0.11444641238262013</x:v>
      </x:c>
      <x:c r="P912" s="80" t="n">
        <x:v>6687.466150490592</x:v>
      </x:c>
      <x:c r="Q912" s="81" t="n">
        <x:v>0.005323609499386674</x:v>
      </x:c>
      <x:c r="R912" s="81" t="n">
        <x:v>43.5534005273535</x:v>
      </x:c>
      <x:c r="S912" s="81" t="n">
        <x:v>6.423709375303453</x:v>
      </x:c>
      <x:c r="T912" s="81" t="n">
        <x:v>5.415633372496381</x:v>
      </x:c>
    </x:row>
    <x:row r="913">
      <x:c r="A913" s="59" t="n">
        <x:v>910</x:v>
      </x:c>
      <x:c r="B913" s="193" t="n">
        <x:v>0.6417352225631476</x:v>
      </x:c>
      <x:c r="C913" s="83" t="n">
        <x:v>0.6085502542629141</x:v>
      </x:c>
      <x:c r="D913" s="83" t="n">
        <x:v>1.5620339963844758</x:v>
      </x:c>
      <x:c r="E913" s="81" t="n">
        <x:v>0.03160456037749851</x:v>
      </x:c>
      <x:c r="F913" s="81" t="n">
        <x:v>0.6588383428636007</x:v>
      </x:c>
      <x:c r="G913" s="81" t="n">
        <x:v>-0.039636391944844224</x:v>
      </x:c>
      <x:c r="H913" s="59" t="n">
        <x:v>0</x:v>
      </x:c>
      <x:c r="I913" s="81" t="n">
        <x:v>0</x:v>
      </x:c>
      <x:c r="J913" s="79" t="n">
        <x:v>0.00046429152151896406</x:v>
      </x:c>
      <x:c r="K913" s="81" t="n">
        <x:v>-0.46938111826404105</x:v>
      </x:c>
      <x:c r="L913" s="81" t="n">
        <x:v>-0.8365990888306919</x:v>
      </x:c>
      <x:c r="M913" s="80" t="n">
        <x:v>6864.086062106688</x:v>
      </x:c>
      <x:c r="N913" s="82" t="n">
        <x:v>0.2549671125499648</x:v>
      </x:c>
      <x:c r="O913" s="82" t="n">
        <x:v>0.15868430486156113</x:v>
      </x:c>
      <x:c r="P913" s="80" t="n">
        <x:v>21527.644229552057</x:v>
      </x:c>
      <x:c r="Q913" s="81" t="n">
        <x:v>0.011045873514018631</x:v>
      </x:c>
      <x:c r="R913" s="81" t="n">
        <x:v>88.49566152379198</x:v>
      </x:c>
      <x:c r="S913" s="81" t="n">
        <x:v>16.004630512012817</x:v>
      </x:c>
      <x:c r="T913" s="81" t="n">
        <x:v>10.057568006254803</x:v>
      </x:c>
    </x:row>
    <x:row r="914">
      <x:c r="A914" s="59" t="n">
        <x:v>911</x:v>
      </x:c>
      <x:c r="B914" s="193" t="n">
        <x:v>0.4136259311810136</x:v>
      </x:c>
      <x:c r="C914" s="83" t="n">
        <x:v>0.46262907990625957</x:v>
      </x:c>
      <x:c r="D914" s="83" t="n">
        <x:v>1.4046700331672564</x:v>
      </x:c>
      <x:c r="E914" s="81" t="n">
        <x:v>0.00846245376101676</x:v>
      </x:c>
      <x:c r="F914" s="81" t="n">
        <x:v>0.49130974324652926</x:v>
      </x:c>
      <x:c r="G914" s="81" t="n">
        <x:v>-0.009843815571714244</x:v>
      </x:c>
      <x:c r="H914" s="59" t="n">
        <x:v>0</x:v>
      </x:c>
      <x:c r="I914" s="81" t="n">
        <x:v>0</x:v>
      </x:c>
      <x:c r="J914" s="79" t="n">
        <x:v>0.0001132353332962918</x:v>
      </x:c>
      <x:c r="K914" s="81" t="n">
        <x:v>-0.8705881905185237</x:v>
      </x:c>
      <x:c r="L914" s="81" t="n">
        <x:v>-0.887021035997229</x:v>
      </x:c>
      <x:c r="M914" s="80" t="n">
        <x:v>2767.8420805984283</x:v>
      </x:c>
      <x:c r="N914" s="82" t="n">
        <x:v>0.200627202293527</x:v>
      </x:c>
      <x:c r="O914" s="82" t="n">
        <x:v>0.09311424702831365</x:v>
      </x:c>
      <x:c r="P914" s="80" t="n">
        <x:v>9795.102809234453</x:v>
      </x:c>
      <x:c r="Q914" s="81" t="n">
        <x:v>0.020988485477561804</x:v>
      </x:c>
      <x:c r="R914" s="81" t="n">
        <x:v>43.20481748830352</x:v>
      </x:c>
      <x:c r="S914" s="81" t="n">
        <x:v>5.584912288461482</x:v>
      </x:c>
      <x:c r="T914" s="81" t="n">
        <x:v>2.4529245367489794</x:v>
      </x:c>
    </x:row>
    <x:row r="915">
      <x:c r="A915" s="59" t="n">
        <x:v>912</x:v>
      </x:c>
      <x:c r="B915" s="193" t="n">
        <x:v>0.40947056692093614</x:v>
      </x:c>
      <x:c r="C915" s="83" t="n">
        <x:v>2.583357703700587</x:v>
      </x:c>
      <x:c r="D915" s="83" t="n">
        <x:v>0.41577668714023636</x:v>
      </x:c>
      <x:c r="E915" s="81" t="n">
        <x:v>-0.059474006170087634</x:v>
      </x:c>
      <x:c r="F915" s="81" t="n">
        <x:v>0.28468646897235883</x:v>
      </x:c>
      <x:c r="G915" s="81" t="n">
        <x:v>-0.04194630789533649</x:v>
      </x:c>
      <x:c r="H915" s="59" t="n">
        <x:v>0</x:v>
      </x:c>
      <x:c r="I915" s="81" t="n">
        <x:v>0</x:v>
      </x:c>
      <x:c r="J915" s="79" t="n">
        <x:v>8.182363570151222e-16</x:v>
      </x:c>
      <x:c r="K915" s="81" t="n">
        <x:v>-0.9999999999990649</x:v>
      </x:c>
      <x:c r="L915" s="81" t="n">
        <x:v>-0.9999999999990649</x:v>
      </x:c>
      <x:c r="M915" s="80" t="n">
        <x:v>0.018048687768903553</x:v>
      </x:c>
      <x:c r="N915" s="82" t="n">
        <x:v>0.1996373166136967</x:v>
      </x:c>
      <x:c r="O915" s="82" t="n">
        <x:v>0.053688280075864805</x:v>
      </x:c>
      <x:c r="P915" s="80" t="n">
        <x:v>907.5965491485233</x:v>
      </x:c>
      <x:c r="Q915" s="81" t="n">
        <x:v>396.9104237516158</x:v>
      </x:c>
      <x:c r="R915" s="81" t="n">
        <x:v>2.7078803692482114</x:v>
      </x:c>
      <x:c r="S915" s="81" t="n">
        <x:v>5.604220939052661e-7</x:v>
      </x:c>
      <x:c r="T915" s="81" t="n">
        <x:v>1.772478588225446e-11</x:v>
      </x:c>
    </x:row>
    <x:row r="916">
      <x:c r="A916" s="59" t="n">
        <x:v>913</x:v>
      </x:c>
      <x:c r="B916" s="193" t="n">
        <x:v>0.7762445515021683</x:v>
      </x:c>
      <x:c r="C916" s="83" t="n">
        <x:v>0.1592470175477141</x:v>
      </x:c>
      <x:c r="D916" s="83" t="n">
        <x:v>3</x:v>
      </x:c>
      <x:c r="E916" s="81" t="n">
        <x:v>0.1502899926691487</x:v>
      </x:c>
      <x:c r="F916" s="81" t="n">
        <x:v>0.4859071997925639</x:v>
      </x:c>
      <x:c r="G916" s="81" t="n">
        <x:v>0.02103785449957149</x:v>
      </x:c>
      <x:c r="H916" s="59" t="n">
        <x:v>0</x:v>
      </x:c>
      <x:c r="I916" s="81" t="n">
        <x:v>0</x:v>
      </x:c>
      <x:c r="J916" s="79" t="n">
        <x:v>0.20263493480698652</x:v>
      </x:c>
      <x:c r="K916" s="81" t="n">
        <x:v>230.58278263655606</x:v>
      </x:c>
      <x:c r="L916" s="81" t="n">
        <x:v>-0.8529662012248131</x:v>
      </x:c>
      <x:c r="M916" s="80" t="n">
        <x:v>265542.1769295957</x:v>
      </x:c>
      <x:c r="N916" s="82" t="n">
        <x:v>0.28700975675315704</x:v>
      </x:c>
      <x:c r="O916" s="82" t="n">
        <x:v>0.13174099420811156</x:v>
      </x:c>
      <x:c r="P916" s="80" t="n">
        <x:v>815362.4275157639</x:v>
      </x:c>
      <x:c r="Q916" s="81" t="n">
        <x:v>0.0036337909613387747</x:v>
      </x:c>
      <x:c r="R916" s="81" t="n">
        <x:v>9801.711735795796</x:v>
      </x:c>
      <x:c r="S916" s="81" t="n">
        <x:v>24038.090053542903</x:v>
      </x:c>
      <x:c r="T916" s="81" t="n">
        <x:v>4389.515084395166</x:v>
      </x:c>
    </x:row>
    <x:row r="917">
      <x:c r="A917" s="59" t="n">
        <x:v>914</x:v>
      </x:c>
      <x:c r="B917" s="193" t="n">
        <x:v>0.5809237062931061</x:v>
      </x:c>
      <x:c r="C917" s="83" t="n">
        <x:v>0.190182820191495</x:v>
      </x:c>
      <x:c r="D917" s="83" t="n">
        <x:v>0.32358596233282444</x:v>
      </x:c>
      <x:c r="E917" s="81" t="n">
        <x:v>-0.05019963868735311</x:v>
      </x:c>
      <x:c r="F917" s="81" t="n">
        <x:v>0.823449475702364</x:v>
      </x:c>
      <x:c r="G917" s="81" t="n">
        <x:v>0.02485311321931189</x:v>
      </x:c>
      <x:c r="H917" s="59" t="n">
        <x:v>40</x:v>
      </x:c>
      <x:c r="I917" s="81" t="n">
        <x:v>0.4962126434780657</x:v>
      </x:c>
      <x:c r="J917" s="79" t="n">
        <x:v>9.785693291237972e-17</x:v>
      </x:c>
      <x:c r="K917" s="81" t="n">
        <x:v>-0.9999999999998882</x:v>
      </x:c>
      <x:c r="L917" s="81" t="n">
        <x:v>-0.9999999999998882</x:v>
      </x:c>
      <x:c r="M917" s="80" t="n">
        <x:v>0.0020794672376601192</x:v>
      </x:c>
      <x:c r="N917" s="82" t="n">
        <x:v>0.24048066915851096</x:v>
      </x:c>
      <x:c r="O917" s="82" t="n">
        <x:v>0.18706307576931488</x:v>
      </x:c>
      <x:c r="P917" s="80" t="n">
        <x:v>216.13590748361113</x:v>
      </x:c>
      <x:c r="Q917" s="81" t="n">
        <x:v>449.0445237399143</x:v>
      </x:c>
      <x:c r="R917" s="81" t="n">
        <x:v>24.606244903641276</x:v>
      </x:c>
      <x:c r="S917" s="81" t="n">
        <x:v>3.483084738191999e-7</x:v>
      </x:c>
      <x:c r="T917" s="81" t="n">
        <x:v>2.119794810014796e-12</x:v>
      </x:c>
    </x:row>
    <x:row r="918">
      <x:c r="A918" s="59" t="n">
        <x:v>915</x:v>
      </x:c>
      <x:c r="B918" s="193" t="n">
        <x:v>0.45011461284011606</x:v>
      </x:c>
      <x:c r="C918" s="83" t="n">
        <x:v>0.11953530830123824</x:v>
      </x:c>
      <x:c r="D918" s="83" t="n">
        <x:v>0.5792690129756434</x:v>
      </x:c>
      <x:c r="E918" s="81" t="n">
        <x:v>-0.006057064141604482</x:v>
      </x:c>
      <x:c r="F918" s="81" t="n">
        <x:v>0.42189969039754943</x:v>
      </x:c>
      <x:c r="G918" s="81" t="n">
        <x:v>0.0145772493339154</x:v>
      </x:c>
      <x:c r="H918" s="59" t="n">
        <x:v>0</x:v>
      </x:c>
      <x:c r="I918" s="81" t="n">
        <x:v>0</x:v>
      </x:c>
      <x:c r="J918" s="79" t="n">
        <x:v>3.8965991370036124e-8</x:v>
      </x:c>
      <x:c r="K918" s="81" t="n">
        <x:v>-0.9999554674384342</x:v>
      </x:c>
      <x:c r="L918" s="81" t="n">
        <x:v>-0.9999554674384342</x:v>
      </x:c>
      <x:c r="M918" s="80" t="n">
        <x:v>37.917344131776694</x:v>
      </x:c>
      <x:c r="N918" s="82" t="n">
        <x:v>0.20931949042750647</x:v>
      </x:c>
      <x:c r="O918" s="82" t="n">
        <x:v>0.08342377100015115</x:v>
      </x:c>
      <x:c r="P918" s="80" t="n">
        <x:v>874.0395885131386</x:v>
      </x:c>
      <x:c r="Q918" s="81" t="n">
        <x:v>0.13464144025780653</x:v>
      </x:c>
      <x:c r="R918" s="81" t="n">
        <x:v>78.16984067321339</x:v>
      </x:c>
      <x:c r="S918" s="81" t="n">
        <x:v>0.016393309146590842</x:v>
      </x:c>
      <x:c r="T918" s="81" t="n">
        <x:v>0.000844088444374638</x:v>
      </x:c>
    </x:row>
    <x:row r="919">
      <x:c r="A919" s="59" t="n">
        <x:v>916</x:v>
      </x:c>
      <x:c r="B919" s="193" t="n">
        <x:v>0.3003963774070144</x:v>
      </x:c>
      <x:c r="C919" s="83" t="n">
        <x:v>1.7221812684971678</x:v>
      </x:c>
      <x:c r="D919" s="83" t="n">
        <x:v>0.5221423004449922</x:v>
      </x:c>
      <x:c r="E919" s="81" t="n">
        <x:v>0.02168366864468658</x:v>
      </x:c>
      <x:c r="F919" s="81" t="n">
        <x:v>0.6762511019245722</x:v>
      </x:c>
      <x:c r="G919" s="81" t="n">
        <x:v>0.05900768742993964</x:v>
      </x:c>
      <x:c r="H919" s="59" t="n">
        <x:v>0</x:v>
      </x:c>
      <x:c r="I919" s="81" t="n">
        <x:v>0</x:v>
      </x:c>
      <x:c r="J919" s="79" t="n">
        <x:v>0.0011575380957051528</x:v>
      </x:c>
      <x:c r="K919" s="81" t="n">
        <x:v>0.3229006808058892</x:v>
      </x:c>
      <x:c r="L919" s="81" t="n">
        <x:v>-0.6642940876788686</x:v>
      </x:c>
      <x:c r="M919" s="80" t="n">
        <x:v>16769.180728635423</x:v>
      </x:c>
      <x:c r="N919" s="82" t="n">
        <x:v>0.17365379953042714</x:v>
      </x:c>
      <x:c r="O919" s="82" t="n">
        <x:v>0.11093362830997316</x:v>
      </x:c>
      <x:c r="P919" s="80" t="n">
        <x:v>20512.80266584676</x:v>
      </x:c>
      <x:c r="Q919" s="81" t="n">
        <x:v>0.010964573404486975</x:v>
      </x:c>
      <x:c r="R919" s="81" t="n">
        <x:v>14.632263990185013</x:v>
      </x:c>
      <x:c r="S919" s="81" t="n">
        <x:v>15.356394068148367</x:v>
      </x:c>
      <x:c r="T919" s="81" t="n">
        <x:v>25.074802312343614</x:v>
      </x:c>
    </x:row>
    <x:row r="920">
      <x:c r="A920" s="59" t="n">
        <x:v>917</x:v>
      </x:c>
      <x:c r="B920" s="193" t="n">
        <x:v>0.675301955640316</x:v>
      </x:c>
      <x:c r="C920" s="83" t="n">
        <x:v>0.2709474486732502</x:v>
      </x:c>
      <x:c r="D920" s="83" t="n">
        <x:v>0.750647585554486</x:v>
      </x:c>
      <x:c r="E920" s="81" t="n">
        <x:v>0.08864080628682056</x:v>
      </x:c>
      <x:c r="F920" s="81" t="n">
        <x:v>0.4465743495500647</x:v>
      </x:c>
      <x:c r="G920" s="81" t="n">
        <x:v>0.009686077066796197</x:v>
      </x:c>
      <x:c r="H920" s="59" t="n">
        <x:v>0</x:v>
      </x:c>
      <x:c r="I920" s="81" t="n">
        <x:v>0</x:v>
      </x:c>
      <x:c r="J920" s="79" t="n">
        <x:v>0.0037337776467776607</x:v>
      </x:c>
      <x:c r="K920" s="81" t="n">
        <x:v>3.267174453460184</x:v>
      </x:c>
      <x:c r="L920" s="81" t="n">
        <x:v>-0.7392724066065282</x:v>
      </x:c>
      <x:c r="M920" s="80" t="n">
        <x:v>17162.945105585</x:v>
      </x:c>
      <x:c r="N920" s="82" t="n">
        <x:v>0.2629633377451914</x:v>
      </x:c>
      <x:c r="O920" s="82" t="n">
        <x:v>0.11093278589302555</x:v>
      </x:c>
      <x:c r="P920" s="80" t="n">
        <x:v>23388.267334788703</x:v>
      </x:c>
      <x:c r="Q920" s="81" t="n">
        <x:v>0.0031100689569979003</x:v>
      </x:c>
      <x:c r="R920" s="81" t="n">
        <x:v>366.22630579943115</x:v>
      </x:c>
      <x:c r="S920" s="81" t="n">
        <x:v>261.23003373934586</x:v>
      </x:c>
      <x:c r="T920" s="81" t="n">
        <x:v>80.8817754841696</x:v>
      </x:c>
    </x:row>
    <x:row r="921">
      <x:c r="A921" s="59" t="n">
        <x:v>918</x:v>
      </x:c>
      <x:c r="B921" s="193" t="n">
        <x:v>0.2856647130101919</x:v>
      </x:c>
      <x:c r="C921" s="83" t="n">
        <x:v>1.2001846251898443</x:v>
      </x:c>
      <x:c r="D921" s="83" t="n">
        <x:v>0.3658164522153565</x:v>
      </x:c>
      <x:c r="E921" s="81" t="n">
        <x:v>0.08450844536863977</x:v>
      </x:c>
      <x:c r="F921" s="81" t="n">
        <x:v>0.3163379068369977</x:v>
      </x:c>
      <x:c r="G921" s="81" t="n">
        <x:v>0.04380995252959207</x:v>
      </x:c>
      <x:c r="H921" s="59" t="n">
        <x:v>84</x:v>
      </x:c>
      <x:c r="I921" s="81" t="n">
        <x:v>0.10499501572921872</x:v>
      </x:c>
      <x:c r="J921" s="79" t="n">
        <x:v>0.0219215575152277</x:v>
      </x:c>
      <x:c r="K921" s="81" t="n">
        <x:v>24.05320858883166</x:v>
      </x:c>
      <x:c r="L921" s="81" t="n">
        <x:v>-0.5868313141546333</x:v>
      </x:c>
      <x:c r="M921" s="80" t="n">
        <x:v>64552.74329139207</x:v>
      </x:c>
      <x:c r="N921" s="82" t="n">
        <x:v>0.1701444408523966</x:v>
      </x:c>
      <x:c r="O921" s="82" t="n">
        <x:v>0.05084402720115155</x:v>
      </x:c>
      <x:c r="P921" s="80" t="n">
        <x:v>47657.11209689438</x:v>
      </x:c>
      <x:c r="Q921" s="81" t="n">
        <x:v>0.001543447781324895</x:v>
      </x:c>
      <x:c r="R921" s="81" t="n">
        <x:v>76.51216177762812</x:v>
      </x:c>
      <x:c r="S921" s="81" t="n">
        <x:v>347.6261625531219</x:v>
      </x:c>
      <x:c r="T921" s="81" t="n">
        <x:v>474.86879534461457</x:v>
      </x:c>
    </x:row>
    <x:row r="922">
      <x:c r="A922" s="59" t="n">
        <x:v>919</x:v>
      </x:c>
      <x:c r="B922" s="193" t="n">
        <x:v>0.7911700349301101</x:v>
      </x:c>
      <x:c r="C922" s="83" t="n">
        <x:v>1.1606560448481487</x:v>
      </x:c>
      <x:c r="D922" s="83" t="n">
        <x:v>0.7232206975954008</x:v>
      </x:c>
      <x:c r="E922" s="81" t="n">
        <x:v>-0.12079645425572609</x:v>
      </x:c>
      <x:c r="F922" s="81" t="n">
        <x:v>0.7100847339839675</x:v>
      </x:c>
      <x:c r="G922" s="81" t="n">
        <x:v>0.028759882343788956</x:v>
      </x:c>
      <x:c r="H922" s="59" t="n">
        <x:v>0</x:v>
      </x:c>
      <x:c r="I922" s="81" t="n">
        <x:v>0</x:v>
      </x:c>
      <x:c r="J922" s="79" t="n">
        <x:v>1.6717909055922063e-43</x:v>
      </x:c>
      <x:c r="K922" s="81" t="n">
        <x:v>-1</x:v>
      </x:c>
      <x:c r="L922" s="81" t="n">
        <x:v>-1</x:v>
      </x:c>
      <x:c r="M922" s="80" t="n">
        <x:v>0.000002</x:v>
      </x:c>
      <x:c r="N922" s="82" t="n">
        <x:v>0.2905652867585071</x:v>
      </x:c>
      <x:c r="O922" s="82" t="n">
        <x:v>0.19490583748009438</x:v>
      </x:c>
      <x:c r="P922" s="80" t="n">
        <x:v>301.89089847124393</x:v>
      </x:c>
      <x:c r="Q922" s="81" t="n">
        <x:v>1.1212059774524058e+26</x:v>
      </x:c>
      <x:c r="R922" s="81" t="n">
        <x:v>1.6748875078717747</x:v>
      </x:c>
      <x:c r="S922" s="81" t="n">
        <x:v>4.1400910628730856e-10</x:v>
      </x:c>
      <x:c r="T922" s="81" t="n">
        <x:v>3.621464090109417e-39</x:v>
      </x:c>
    </x:row>
    <x:row r="923">
      <x:c r="A923" s="59" t="n">
        <x:v>920</x:v>
      </x:c>
      <x:c r="B923" s="193" t="n">
        <x:v>0.792614484205842</x:v>
      </x:c>
      <x:c r="C923" s="83" t="n">
        <x:v>0.10658846498778601</x:v>
      </x:c>
      <x:c r="D923" s="83" t="n">
        <x:v>1.7018275101340155</x:v>
      </x:c>
      <x:c r="E923" s="81" t="n">
        <x:v>-0.05014159843031948</x:v>
      </x:c>
      <x:c r="F923" s="81" t="n">
        <x:v>0.8248342878650874</x:v>
      </x:c>
      <x:c r="G923" s="81" t="n">
        <x:v>0.002320625207241024</x:v>
      </x:c>
      <x:c r="H923" s="59" t="n">
        <x:v>0</x:v>
      </x:c>
      <x:c r="I923" s="81" t="n">
        <x:v>0</x:v>
      </x:c>
      <x:c r="J923" s="79" t="n">
        <x:v>1.3880141937954108e-38</x:v>
      </x:c>
      <x:c r="K923" s="81" t="n">
        <x:v>-1</x:v>
      </x:c>
      <x:c r="L923" s="81" t="n">
        <x:v>-1</x:v>
      </x:c>
      <x:c r="M923" s="80" t="n">
        <x:v>0.000002</x:v>
      </x:c>
      <x:c r="N923" s="82" t="n">
        <x:v>0.29090938165941055</x:v>
      </x:c>
      <x:c r="O923" s="82" t="n">
        <x:v>0.22667069440103518</x:v>
      </x:c>
      <x:c r="P923" s="80" t="n">
        <x:v>344.8464359028237</x:v>
      </x:c>
      <x:c r="Q923" s="81" t="n">
        <x:v>3.048249993880642e+21</x:v>
      </x:c>
      <x:c r="R923" s="81" t="n">
        <x:v>14.071608220879765</x:v>
      </x:c>
      <x:c r="S923" s="81" t="n">
        <x:v>1.3857385233017053e-9</x:v>
      </x:c>
      <x:c r="T923" s="81" t="n">
        <x:v>3.0067417776816064e-34</x:v>
      </x:c>
    </x:row>
    <x:row r="924">
      <x:c r="A924" s="59" t="n">
        <x:v>921</x:v>
      </x:c>
      <x:c r="B924" s="193" t="n">
        <x:v>0.4259394876658917</x:v>
      </x:c>
      <x:c r="C924" s="83" t="n">
        <x:v>0.10840309996080855</x:v>
      </x:c>
      <x:c r="D924" s="83" t="n">
        <x:v>0.6348255994076386</x:v>
      </x:c>
      <x:c r="E924" s="81" t="n">
        <x:v>0.04119588020584325</x:v>
      </x:c>
      <x:c r="F924" s="81" t="n">
        <x:v>0.4794308094191365</x:v>
      </x:c>
      <x:c r="G924" s="81" t="n">
        <x:v>-0.01696413855101737</x:v>
      </x:c>
      <x:c r="H924" s="59" t="n">
        <x:v>31</x:v>
      </x:c>
      <x:c r="I924" s="81" t="n">
        <x:v>0.13116530580446126</x:v>
      </x:c>
      <x:c r="J924" s="79" t="n">
        <x:v>0.0002906365072603798</x:v>
      </x:c>
      <x:c r="K924" s="81" t="n">
        <x:v>-0.667843991702423</x:v>
      </x:c>
      <x:c r="L924" s="81" t="n">
        <x:v>-0.8102351843948066</x:v>
      </x:c>
      <x:c r="M924" s="80" t="n">
        <x:v>3529.2174846701632</x:v>
      </x:c>
      <x:c r="N924" s="82" t="n">
        <x:v>0.20356052232740904</x:v>
      </x:c>
      <x:c r="O924" s="82" t="n">
        <x:v>0.09219140588797077</x:v>
      </x:c>
      <x:c r="P924" s="80" t="n">
        <x:v>4838.604219364709</x:v>
      </x:c>
      <x:c r="Q924" s="81" t="n">
        <x:v>0.004822518697519619</x:v>
      </x:c>
      <x:c r="R924" s="81" t="n">
        <x:v>255.85409324683158</x:v>
      </x:c>
      <x:c r="S924" s="81" t="n">
        <x:v>50.527897071737826</x:v>
      </x:c>
      <x:c r="T924" s="81" t="n">
        <x:v>6.295821270456354</x:v>
      </x:c>
    </x:row>
    <x:row r="925">
      <x:c r="A925" s="59" t="n">
        <x:v>922</x:v>
      </x:c>
      <x:c r="B925" s="193" t="n">
        <x:v>0.44190535154193644</x:v>
      </x:c>
      <x:c r="C925" s="83" t="n">
        <x:v>0.15504956404486755</x:v>
      </x:c>
      <x:c r="D925" s="83" t="n">
        <x:v>0.3391312743607893</x:v>
      </x:c>
      <x:c r="E925" s="81" t="n">
        <x:v>-0.008649432980453729</x:v>
      </x:c>
      <x:c r="F925" s="81" t="n">
        <x:v>0.35369016430340705</x:v>
      </x:c>
      <x:c r="G925" s="81" t="n">
        <x:v>0.005284196469585389</x:v>
      </x:c>
      <x:c r="H925" s="59" t="n">
        <x:v>0</x:v>
      </x:c>
      <x:c r="I925" s="81" t="n">
        <x:v>0</x:v>
      </x:c>
      <x:c r="J925" s="79" t="n">
        <x:v>1.345791689810239e-7</x:v>
      </x:c>
      <x:c r="K925" s="81" t="n">
        <x:v>-0.9998461952354503</x:v>
      </x:c>
      <x:c r="L925" s="81" t="n">
        <x:v>-0.9998461952354503</x:v>
      </x:c>
      <x:c r="M925" s="80" t="n">
        <x:v>72.56863978158648</x:v>
      </x:c>
      <x:c r="N925" s="82" t="n">
        <x:v>0.20736389046263068</x:v>
      </x:c>
      <x:c r="O925" s="82" t="n">
        <x:v>0.06928305938693004</x:v>
      </x:c>
      <x:c r="P925" s="80" t="n">
        <x:v>611.0674081350681</x:v>
      </x:c>
      <x:c r="Q925" s="81" t="n">
        <x:v>0.04676177490632085</x:v>
      </x:c>
      <x:c r="R925" s="81" t="n">
        <x:v>66.62333021931396</x:v>
      </x:c>
      <x:c r="S925" s="81" t="n">
        <x:v>0.026144534961426037</x:v>
      </x:c>
      <x:c r="T925" s="81" t="n">
        <x:v>0.0029152786159516793</x:v>
      </x:c>
    </x:row>
    <x:row r="926">
      <x:c r="A926" s="59" t="n">
        <x:v>923</x:v>
      </x:c>
      <x:c r="B926" s="193" t="n">
        <x:v>0.7594694776460529</x:v>
      </x:c>
      <x:c r="C926" s="83" t="n">
        <x:v>1.5573416251746326</x:v>
      </x:c>
      <x:c r="D926" s="83" t="n">
        <x:v>2.1022867466518864</x:v>
      </x:c>
      <x:c r="E926" s="81" t="n">
        <x:v>-0.03834275270270666</x:v>
      </x:c>
      <x:c r="F926" s="81" t="n">
        <x:v>0.47231660225661476</x:v>
      </x:c>
      <x:c r="G926" s="81" t="n">
        <x:v>0.004865517790219324</x:v>
      </x:c>
      <x:c r="H926" s="59" t="n">
        <x:v>0</x:v>
      </x:c>
      <x:c r="I926" s="81" t="n">
        <x:v>0</x:v>
      </x:c>
      <x:c r="J926" s="79" t="n">
        <x:v>6.744812554654642e-38</x:v>
      </x:c>
      <x:c r="K926" s="81" t="n">
        <x:v>-1</x:v>
      </x:c>
      <x:c r="L926" s="81" t="n">
        <x:v>-1</x:v>
      </x:c>
      <x:c r="M926" s="80" t="n">
        <x:v>0.000002</x:v>
      </x:c>
      <x:c r="N926" s="82" t="n">
        <x:v>0.2830136196279956</x:v>
      </x:c>
      <x:c r="O926" s="82" t="n">
        <x:v>0.12627328804987137</x:v>
      </x:c>
      <x:c r="P926" s="80" t="n">
        <x:v>1129.8872647177104</x:v>
      </x:c>
      <x:c r="Q926" s="81" t="n">
        <x:v>811114871058157100000</x:v>
      </x:c>
      <x:c r="R926" s="81" t="n">
        <x:v>2.196623725725782</x:v>
      </x:c>
      <x:c r="S926" s="81" t="n">
        <x:v>7.639306899573618e-10</x:v>
      </x:c>
      <x:c r="T926" s="81" t="n">
        <x:v>1.4610736533794204e-33</x:v>
      </x:c>
    </x:row>
    <x:row r="927">
      <x:c r="A927" s="59" t="n">
        <x:v>924</x:v>
      </x:c>
      <x:c r="B927" s="193" t="n">
        <x:v>0.7056735245510937</x:v>
      </x:c>
      <x:c r="C927" s="83" t="n">
        <x:v>2.356286733648223</x:v>
      </x:c>
      <x:c r="D927" s="83" t="n">
        <x:v>1.4626142825115556</x:v>
      </x:c>
      <x:c r="E927" s="81" t="n">
        <x:v>-0.04499272004314345</x:v>
      </x:c>
      <x:c r="F927" s="81" t="n">
        <x:v>0.827282408240717</x:v>
      </x:c>
      <x:c r="G927" s="81" t="n">
        <x:v>-0.01175926098857883</x:v>
      </x:c>
      <x:c r="H927" s="59" t="n">
        <x:v>0</x:v>
      </x:c>
      <x:c r="I927" s="81" t="n">
        <x:v>0</x:v>
      </x:c>
      <x:c r="J927" s="79" t="n">
        <x:v>4.95063369783434e-32</x:v>
      </x:c>
      <x:c r="K927" s="81" t="n">
        <x:v>-1</x:v>
      </x:c>
      <x:c r="L927" s="81" t="n">
        <x:v>-1</x:v>
      </x:c>
      <x:c r="M927" s="80" t="n">
        <x:v>0.000002</x:v>
      </x:c>
      <x:c r="N927" s="82" t="n">
        <x:v>0.2701984149266558</x:v>
      </x:c>
      <x:c r="O927" s="82" t="n">
        <x:v>0.21115799430967752</x:v>
      </x:c>
      <x:c r="P927" s="80" t="n">
        <x:v>1204.480549199868</x:v>
      </x:c>
      <x:c r="Q927" s="81" t="n">
        <x:v>947774507140212.8</x:v>
      </x:c>
      <x:c r="R927" s="81" t="n">
        <x:v>1.7549154490196048</x:v>
      </x:c>
      <x:c r="S927" s="81" t="n">
        <x:v>3.3057628153772817e-10</x:v>
      </x:c>
      <x:c r="T927" s="81" t="n">
        <x:v>1.0724153421352502e-27</x:v>
      </x:c>
    </x:row>
    <x:row r="928">
      <x:c r="A928" s="59" t="n">
        <x:v>925</x:v>
      </x:c>
      <x:c r="B928" s="193" t="n">
        <x:v>0.5357977401465177</x:v>
      </x:c>
      <x:c r="C928" s="83" t="n">
        <x:v>0.15217986002115907</x:v>
      </x:c>
      <x:c r="D928" s="83" t="n">
        <x:v>0.5430569830984946</x:v>
      </x:c>
      <x:c r="E928" s="81" t="n">
        <x:v>-0.02863403041310967</x:v>
      </x:c>
      <x:c r="F928" s="81" t="n">
        <x:v>0.6716877741855569</x:v>
      </x:c>
      <x:c r="G928" s="81" t="n">
        <x:v>0.013053948270965902</x:v>
      </x:c>
      <x:c r="H928" s="59" t="n">
        <x:v>84</x:v>
      </x:c>
      <x:c r="I928" s="81" t="n">
        <x:v>0.32894420102238653</x:v>
      </x:c>
      <x:c r="J928" s="79" t="n">
        <x:v>2.4909475249502675e-15</x:v>
      </x:c>
      <x:c r="K928" s="81" t="n">
        <x:v>-0.9999999999971532</x:v>
      </x:c>
      <x:c r="L928" s="81" t="n">
        <x:v>-0.9999999999971532</x:v>
      </x:c>
      <x:c r="M928" s="80" t="n">
        <x:v>0.010109227602542327</x:v>
      </x:c>
      <x:c r="N928" s="82" t="n">
        <x:v>0.2297308179105283</x:v>
      </x:c>
      <x:c r="O928" s="82" t="n">
        <x:v>0.14576647250803562</x:v>
      </x:c>
      <x:c r="P928" s="80" t="n">
        <x:v>381.36459564095185</x:v>
      </x:c>
      <x:c r="Q928" s="81" t="n">
        <x:v>147.2536562065473</x:v>
      </x:c>
      <x:c r="R928" s="81" t="n">
        <x:v>34.32124259158767</x:v>
      </x:c>
      <x:c r="S928" s="81" t="n">
        <x:v>0.0000025320976814935337</x:v>
      </x:c>
      <x:c r="T928" s="81" t="n">
        <x:v>5.395936167483107e-11</x:v>
      </x:c>
    </x:row>
    <x:row r="929">
      <x:c r="A929" s="59" t="n">
        <x:v>926</x:v>
      </x:c>
      <x:c r="B929" s="193" t="n">
        <x:v>0.5540051011368632</x:v>
      </x:c>
      <x:c r="C929" s="83" t="n">
        <x:v>0.9113076322281598</x:v>
      </x:c>
      <x:c r="D929" s="83" t="n">
        <x:v>1.0415937383964793</x:v>
      </x:c>
      <x:c r="E929" s="81" t="n">
        <x:v>-0.11492091092085252</x:v>
      </x:c>
      <x:c r="F929" s="81" t="n">
        <x:v>0.8002835912397132</x:v>
      </x:c>
      <x:c r="G929" s="81" t="n">
        <x:v>0.006963674795919542</x:v>
      </x:c>
      <x:c r="H929" s="59" t="n">
        <x:v>0</x:v>
      </x:c>
      <x:c r="I929" s="81" t="n">
        <x:v>0</x:v>
      </x:c>
      <x:c r="J929" s="79" t="n">
        <x:v>9.858708642330248e-49</x:v>
      </x:c>
      <x:c r="K929" s="81" t="n">
        <x:v>-1</x:v>
      </x:c>
      <x:c r="L929" s="81" t="n">
        <x:v>-1</x:v>
      </x:c>
      <x:c r="M929" s="80" t="n">
        <x:v>0.000002</x:v>
      </x:c>
      <x:c r="N929" s="82" t="n">
        <x:v>0.23406815268644737</x:v>
      </x:c>
      <x:c r="O929" s="82" t="n">
        <x:v>0.17695269518332896</x:v>
      </x:c>
      <x:c r="P929" s="80" t="n">
        <x:v>300.33949968732725</x:v>
      </x:c>
      <x:c r="Q929" s="81" t="n">
        <x:v>1.9880155189922123e+31</x:v>
      </x:c>
      <x:c r="R929" s="81" t="n">
        <x:v>1.620397333097887</x:v>
      </x:c>
      <x:c r="S929" s="81" t="n">
        <x:v>5.19445301641875e-10</x:v>
      </x:c>
      <x:c r="T929" s="81" t="n">
        <x:v>2.1356115291465307e-44</x:v>
      </x:c>
    </x:row>
    <x:row r="930">
      <x:c r="A930" s="59" t="n">
        <x:v>927</x:v>
      </x:c>
      <x:c r="B930" s="193" t="n">
        <x:v>0.7068470863625407</x:v>
      </x:c>
      <x:c r="C930" s="83" t="n">
        <x:v>2.4094753245332363</x:v>
      </x:c>
      <x:c r="D930" s="83" t="n">
        <x:v>0.600405825858627</x:v>
      </x:c>
      <x:c r="E930" s="81" t="n">
        <x:v>-0.17511055706290937</x:v>
      </x:c>
      <x:c r="F930" s="81" t="n">
        <x:v>0.5687986479839311</x:v>
      </x:c>
      <x:c r="G930" s="81" t="n">
        <x:v>-0.010202388245466838</x:v>
      </x:c>
      <x:c r="H930" s="59" t="n">
        <x:v>0</x:v>
      </x:c>
      <x:c r="I930" s="81" t="n">
        <x:v>0</x:v>
      </x:c>
      <x:c r="J930" s="79" t="n">
        <x:v>3.1770645776695404e-42</x:v>
      </x:c>
      <x:c r="K930" s="81" t="n">
        <x:v>-1</x:v>
      </x:c>
      <x:c r="L930" s="81" t="n">
        <x:v>-1</x:v>
      </x:c>
      <x:c r="M930" s="80" t="n">
        <x:v>0.000002</x:v>
      </x:c>
      <x:c r="N930" s="82" t="n">
        <x:v>0.2704779793544265</x:v>
      </x:c>
      <x:c r="O930" s="82" t="n">
        <x:v>0.14533205367542265</x:v>
      </x:c>
      <x:c r="P930" s="80" t="n">
        <x:v>349.579636228619</x:v>
      </x:c>
      <x:c r="Q930" s="81" t="n">
        <x:v>4.267122954015538e+24</x:v>
      </x:c>
      <x:c r="R930" s="81" t="n">
        <x:v>0.8099310149372311</x:v>
      </x:c>
      <x:c r="S930" s="81" t="n">
        <x:v>1.3616829661943695e-10</x:v>
      </x:c>
      <x:c r="T930" s="81" t="n">
        <x:v>6.882215498063849e-38</x:v>
      </x:c>
    </x:row>
    <x:row r="931">
      <x:c r="A931" s="59" t="n">
        <x:v>928</x:v>
      </x:c>
      <x:c r="B931" s="193" t="n">
        <x:v>0.6202585734426975</x:v>
      </x:c>
      <x:c r="C931" s="83" t="n">
        <x:v>2.384040963761319</x:v>
      </x:c>
      <x:c r="D931" s="83" t="n">
        <x:v>0.7126236184266476</x:v>
      </x:c>
      <x:c r="E931" s="81" t="n">
        <x:v>-0.08492919277413143</x:v>
      </x:c>
      <x:c r="F931" s="81" t="n">
        <x:v>0.6375673995935358</x:v>
      </x:c>
      <x:c r="G931" s="81" t="n">
        <x:v>-0.004788012293007065</x:v>
      </x:c>
      <x:c r="H931" s="59" t="n">
        <x:v>78</x:v>
      </x:c>
      <x:c r="I931" s="81" t="n">
        <x:v>0.21096062706783414</x:v>
      </x:c>
      <x:c r="J931" s="79" t="n">
        <x:v>2.5514206975285005e-31</x:v>
      </x:c>
      <x:c r="K931" s="81" t="n">
        <x:v>-1</x:v>
      </x:c>
      <x:c r="L931" s="81" t="n">
        <x:v>-1</x:v>
      </x:c>
      <x:c r="M931" s="80" t="n">
        <x:v>0.000002</x:v>
      </x:c>
      <x:c r="N931" s="82" t="n">
        <x:v>0.24985097204230255</x:v>
      </x:c>
      <x:c r="O931" s="82" t="n">
        <x:v>0.15047975922350781</x:v>
      </x:c>
      <x:c r="P931" s="80" t="n">
        <x:v>646.6654933535478</x:v>
      </x:c>
      <x:c r="Q931" s="81" t="n">
        <x:v>101147959427060.94</x:v>
      </x:c>
      <x:c r="R931" s="81" t="n">
        <x:v>1.443326251535685</x:v>
      </x:c>
      <x:c r="S931" s="81" t="n">
        <x:v>1.7400770932021634e-10</x:v>
      </x:c>
      <x:c r="T931" s="81" t="n">
        <x:v>5.526934261906575e-27</x:v>
      </x:c>
    </x:row>
    <x:row r="932">
      <x:c r="A932" s="59" t="n">
        <x:v>929</x:v>
      </x:c>
      <x:c r="B932" s="193" t="n">
        <x:v>0.456999414972961</x:v>
      </x:c>
      <x:c r="C932" s="83" t="n">
        <x:v>0.9196033868433208</x:v>
      </x:c>
      <x:c r="D932" s="83" t="n">
        <x:v>1.7710179713753227</x:v>
      </x:c>
      <x:c r="E932" s="81" t="n">
        <x:v>-0.1528480884169249</x:v>
      </x:c>
      <x:c r="F932" s="81" t="n">
        <x:v>0.8803112417226657</x:v>
      </x:c>
      <x:c r="G932" s="81" t="n">
        <x:v>-0.006591341049314948</x:v>
      </x:c>
      <x:c r="H932" s="59" t="n">
        <x:v>8</x:v>
      </x:c>
      <x:c r="I932" s="81" t="n">
        <x:v>0.21222667619585991</x:v>
      </x:c>
      <x:c r="J932" s="79" t="n">
        <x:v>1.1890781302802948e-79</x:v>
      </x:c>
      <x:c r="K932" s="81" t="n">
        <x:v>-1</x:v>
      </x:c>
      <x:c r="L932" s="81" t="n">
        <x:v>-1</x:v>
      </x:c>
      <x:c r="M932" s="80" t="n">
        <x:v>0.000002</x:v>
      </x:c>
      <x:c r="N932" s="82" t="n">
        <x:v>0.21095957938559023</x:v>
      </x:c>
      <x:c r="O932" s="82" t="n">
        <x:v>0.17543104106779273</x:v>
      </x:c>
      <x:c r="P932" s="80" t="n">
        <x:v>288.5738459102154</x:v>
      </x:c>
      <x:c r="Q932" s="81" t="n">
        <x:v>1.2814347046308671e+62</x:v>
      </x:c>
      <x:c r="R932" s="81" t="n">
        <x:v>0.8637800709374022</x:v>
      </x:c>
      <x:c r="S932" s="81" t="n">
        <x:v>7.457138072502158e-10</x:v>
      </x:c>
      <x:c r="T932" s="81" t="n">
        <x:v>2.5758028320049556e-75</x:v>
      </x:c>
    </x:row>
    <x:row r="933">
      <x:c r="A933" s="59" t="n">
        <x:v>930</x:v>
      </x:c>
      <x:c r="B933" s="193" t="n">
        <x:v>0.7246377427130939</x:v>
      </x:c>
      <x:c r="C933" s="83" t="n">
        <x:v>0.10203723996560518</x:v>
      </x:c>
      <x:c r="D933" s="83" t="n">
        <x:v>0.5385821932612218</x:v>
      </x:c>
      <x:c r="E933" s="81" t="n">
        <x:v>-0.004793063743594496</x:v>
      </x:c>
      <x:c r="F933" s="81" t="n">
        <x:v>0.8000007553957403</x:v>
      </x:c>
      <x:c r="G933" s="81" t="n">
        <x:v>-0.01642560709657916</x:v>
      </x:c>
      <x:c r="H933" s="59" t="n">
        <x:v>14</x:v>
      </x:c>
      <x:c r="I933" s="81" t="n">
        <x:v>0.22671510623767974</x:v>
      </x:c>
      <x:c r="J933" s="79" t="n">
        <x:v>3.171641607419787e-8</x:v>
      </x:c>
      <x:c r="K933" s="81" t="n">
        <x:v>-0.9999637526673437</x:v>
      </x:c>
      <x:c r="L933" s="81" t="n">
        <x:v>-0.9999637526673437</x:v>
      </x:c>
      <x:c r="M933" s="80" t="n">
        <x:v>33.67984502989296</x:v>
      </x:c>
      <x:c r="N933" s="82" t="n">
        <x:v>0.27471604727193455</x:v>
      </x:c>
      <x:c r="O933" s="82" t="n">
        <x:v>0.20760861346362672</x:v>
      </x:c>
      <x:c r="P933" s="80" t="n">
        <x:v>480.8538277134745</x:v>
      </x:c>
      <x:c r="Q933" s="81" t="n">
        <x:v>0.13611705309841107</x:v>
      </x:c>
      <x:c r="R933" s="81" t="n">
        <x:v>55.016818238611044</x:v>
      </x:c>
      <x:c r="S933" s="81" t="n">
        <x:v>0.011702897299463394</x:v>
      </x:c>
      <x:c r="T933" s="81" t="n">
        <x:v>0.0006870468160549619</x:v>
      </x:c>
    </x:row>
    <x:row r="934">
      <x:c r="A934" s="59" t="n">
        <x:v>931</x:v>
      </x:c>
      <x:c r="B934" s="193" t="n">
        <x:v>0.6438620034605265</x:v>
      </x:c>
      <x:c r="C934" s="83" t="n">
        <x:v>0.15820739117049462</x:v>
      </x:c>
      <x:c r="D934" s="83" t="n">
        <x:v>1.0819355459574826</x:v>
      </x:c>
      <x:c r="E934" s="81" t="n">
        <x:v>-0.09409725224547794</x:v>
      </x:c>
      <x:c r="F934" s="81" t="n">
        <x:v>0.4739142585778609</x:v>
      </x:c>
      <x:c r="G934" s="81" t="n">
        <x:v>-0.00803211769825578</x:v>
      </x:c>
      <x:c r="H934" s="59" t="n">
        <x:v>0</x:v>
      </x:c>
      <x:c r="I934" s="81" t="n">
        <x:v>0</x:v>
      </x:c>
      <x:c r="J934" s="79" t="n">
        <x:v>2.679889312190277e-41</x:v>
      </x:c>
      <x:c r="K934" s="81" t="n">
        <x:v>-1</x:v>
      </x:c>
      <x:c r="L934" s="81" t="n">
        <x:v>-1</x:v>
      </x:c>
      <x:c r="M934" s="80" t="n">
        <x:v>0.000002</x:v>
      </x:c>
      <x:c r="N934" s="82" t="n">
        <x:v>0.2554737516368623</x:v>
      </x:c>
      <x:c r="O934" s="82" t="n">
        <x:v>0.11437128562464807</x:v>
      </x:c>
      <x:c r="P934" s="80" t="n">
        <x:v>213.14258749658177</x:v>
      </x:c>
      <x:c r="Q934" s="81" t="n">
        <x:v>8.765101105246961e+23</x:v>
      </x:c>
      <x:c r="R934" s="81" t="n">
        <x:v>8.833783984325162</x:v>
      </x:c>
      <x:c r="S934" s="81" t="n">
        <x:v>7.418340487308015e-10</x:v>
      </x:c>
      <x:c r="T934" s="81" t="n">
        <x:v>5.805225328778314e-37</x:v>
      </x:c>
    </x:row>
    <x:row r="935">
      <x:c r="A935" s="59" t="n">
        <x:v>932</x:v>
      </x:c>
      <x:c r="B935" s="193" t="n">
        <x:v>0.9559393053874374</x:v>
      </x:c>
      <x:c r="C935" s="83" t="n">
        <x:v>0.15197774080936302</x:v>
      </x:c>
      <x:c r="D935" s="83" t="n">
        <x:v>0.7463386604553981</x:v>
      </x:c>
      <x:c r="E935" s="81" t="n">
        <x:v>0.056001223696352354</x:v>
      </x:c>
      <x:c r="F935" s="81" t="n">
        <x:v>0.40511987800709903</x:v>
      </x:c>
      <x:c r="G935" s="81" t="n">
        <x:v>-0.008136736316462974</x:v>
      </x:c>
      <x:c r="H935" s="59" t="n">
        <x:v>0</x:v>
      </x:c>
      <x:c r="I935" s="81" t="n">
        <x:v>0</x:v>
      </x:c>
      <x:c r="J935" s="79" t="n">
        <x:v>0.0005606408452284274</x:v>
      </x:c>
      <x:c r="K935" s="81" t="n">
        <x:v>-0.35926760545322567</x:v>
      </x:c>
      <x:c r="L935" s="81" t="n">
        <x:v>-0.7986446735537694</x:v>
      </x:c>
      <x:c r="M935" s="80" t="n">
        <x:v>5418.11629198994</x:v>
      </x:c>
      <x:c r="N935" s="82" t="n">
        <x:v>0.3298164164052637</x:v>
      </x:c>
      <x:c r="O935" s="82" t="n">
        <x:v>0.12621958957375318</x:v>
      </x:c>
      <x:c r="P935" s="80" t="n">
        <x:v>8147.408324404027</x:v>
      </x:c>
      <x:c r="Q935" s="81" t="n">
        <x:v>0.0050963426155800256</x:v>
      </x:c>
      <x:c r="R935" s="81" t="n">
        <x:v>241.7506836078384</x:v>
      </x:c>
      <x:c r="S935" s="81" t="n">
        <x:v>69.9573788509207</x:v>
      </x:c>
      <x:c r="T935" s="81" t="n">
        <x:v>12.144704709493105</x:v>
      </x:c>
    </x:row>
    <x:row r="936">
      <x:c r="A936" s="59" t="n">
        <x:v>933</x:v>
      </x:c>
      <x:c r="B936" s="193" t="n">
        <x:v>0.42620203327387574</x:v>
      </x:c>
      <x:c r="C936" s="83" t="n">
        <x:v>0.3184994602299588</x:v>
      </x:c>
      <x:c r="D936" s="83" t="n">
        <x:v>0.6347655978098798</x:v>
      </x:c>
      <x:c r="E936" s="81" t="n">
        <x:v>0.09389397869185619</x:v>
      </x:c>
      <x:c r="F936" s="81" t="n">
        <x:v>0.773026383726392</x:v>
      </x:c>
      <x:c r="G936" s="81" t="n">
        <x:v>-0.0041905022092699265</x:v>
      </x:c>
      <x:c r="H936" s="59" t="n">
        <x:v>43</x:v>
      </x:c>
      <x:c r="I936" s="81" t="n">
        <x:v>0.16927241394296288</x:v>
      </x:c>
      <x:c r="J936" s="79" t="n">
        <x:v>0.0012615940878833607</x:v>
      </x:c>
      <x:c r="K936" s="81" t="n">
        <x:v>0.4418218147238411</x:v>
      </x:c>
      <x:c r="L936" s="81" t="n">
        <x:v>-0.7883884060860582</x:v>
      </x:c>
      <x:c r="M936" s="80" t="n">
        <x:v>9928.508847393623</x:v>
      </x:c>
      <x:c r="N936" s="82" t="n">
        <x:v>0.2036230656139612</x:v>
      </x:c>
      <x:c r="O936" s="82" t="n">
        <x:v>0.14869358427175036</x:v>
      </x:c>
      <x:c r="P936" s="80" t="n">
        <x:v>11933.862344369183</x:v>
      </x:c>
      <x:c r="Q936" s="81" t="n">
        <x:v>0.003864439490648254</x:v>
      </x:c>
      <x:c r="R936" s="81" t="n">
        <x:v>185.94198233012395</x:v>
      </x:c>
      <x:c r="S936" s="81" t="n">
        <x:v>75.69931633039714</x:v>
      </x:c>
      <x:c r="T936" s="81" t="n">
        <x:v>27.328882279961327</x:v>
      </x:c>
    </x:row>
    <x:row r="937">
      <x:c r="A937" s="59" t="n">
        <x:v>934</x:v>
      </x:c>
      <x:c r="B937" s="193" t="n">
        <x:v>0.5124021448194981</x:v>
      </x:c>
      <x:c r="C937" s="83" t="n">
        <x:v>0.7137507054536402</x:v>
      </x:c>
      <x:c r="D937" s="83" t="n">
        <x:v>2.6325592781321543</x:v>
      </x:c>
      <x:c r="E937" s="81" t="n">
        <x:v>0.045890175763124444</x:v>
      </x:c>
      <x:c r="F937" s="81" t="n">
        <x:v>0.630920233624056</x:v>
      </x:c>
      <x:c r="G937" s="81" t="n">
        <x:v>0.03798228504007115</x:v>
      </x:c>
      <x:c r="H937" s="59" t="n">
        <x:v>0</x:v>
      </x:c>
      <x:c r="I937" s="81" t="n">
        <x:v>0</x:v>
      </x:c>
      <x:c r="J937" s="79" t="n">
        <x:v>0.03393757957343164</x:v>
      </x:c>
      <x:c r="K937" s="81" t="n">
        <x:v>37.78580522677902</x:v>
      </x:c>
      <x:c r="L937" s="81" t="n">
        <x:v>-0.7531349281359003</x:v>
      </x:c>
      <x:c r="M937" s="80" t="n">
        <x:v>88476.56351138675</x:v>
      </x:c>
      <x:c r="N937" s="82" t="n">
        <x:v>0.22415754843621993</x:v>
      </x:c>
      <x:c r="O937" s="82" t="n">
        <x:v>0.13359763356677448</x:v>
      </x:c>
      <x:c r="P937" s="80" t="n">
        <x:v>359991.5001737625</x:v>
      </x:c>
      <x:c r="Q937" s="81" t="n">
        <x:v>0.008063454313857929</x:v>
      </x:c>
      <x:c r="R937" s="81" t="n">
        <x:v>529.4605027790699</x:v>
      </x:c>
      <x:c r="S937" s="81" t="n">
        <x:v>979.1807933512711</x:v>
      </x:c>
      <x:c r="T937" s="81" t="n">
        <x:v>735.1620667351146</x:v>
      </x:c>
    </x:row>
    <x:row r="938">
      <x:c r="A938" s="59" t="n">
        <x:v>935</x:v>
      </x:c>
      <x:c r="B938" s="193" t="n">
        <x:v>0.5834025720134377</x:v>
      </x:c>
      <x:c r="C938" s="83" t="n">
        <x:v>2.6896844929376185</x:v>
      </x:c>
      <x:c r="D938" s="83" t="n">
        <x:v>0.8036825898363925</x:v>
      </x:c>
      <x:c r="E938" s="81" t="n">
        <x:v>-0.032459656395812754</x:v>
      </x:c>
      <x:c r="F938" s="81" t="n">
        <x:v>0.8201555719133466</x:v>
      </x:c>
      <x:c r="G938" s="81" t="n">
        <x:v>-0.014643913077785651</x:v>
      </x:c>
      <x:c r="H938" s="59" t="n">
        <x:v>53</x:v>
      </x:c>
      <x:c r="I938" s="81" t="n">
        <x:v>0.18464211430400612</x:v>
      </x:c>
      <x:c r="J938" s="79" t="n">
        <x:v>7.827378696006452e-19</x:v>
      </x:c>
      <x:c r="K938" s="81" t="n">
        <x:v>-0.9999999999999991</x:v>
      </x:c>
      <x:c r="L938" s="81" t="n">
        <x:v>-0.9999999999999991</x:v>
      </x:c>
      <x:c r="M938" s="80" t="n">
        <x:v>0.0005805910093570403</x:v>
      </x:c>
      <x:c r="N938" s="82" t="n">
        <x:v>0.24107118145182613</x:v>
      </x:c>
      <x:c r="O938" s="82" t="n">
        <x:v>0.18677230470703632</x:v>
      </x:c>
      <x:c r="P938" s="80" t="n">
        <x:v>1560.3976380381819</x:v>
      </x:c>
      <x:c r="Q938" s="81" t="n">
        <x:v>23831.299252004846</x:v>
      </x:c>
      <x:c r="R938" s="81" t="n">
        <x:v>2.647816325373174</x:v>
      </x:c>
      <x:c r="S938" s="81" t="n">
        <x:v>4.8288528206171576e-8</x:v>
      </x:c>
      <x:c r="T938" s="81" t="n">
        <x:v>1.6955811143878363e-14</x:v>
      </x:c>
    </x:row>
    <x:row r="939">
      <x:c r="A939" s="59" t="n">
        <x:v>936</x:v>
      </x:c>
      <x:c r="B939" s="193" t="n">
        <x:v>0.7603305216878653</x:v>
      </x:c>
      <x:c r="C939" s="83" t="n">
        <x:v>0.10061904309944437</x:v>
      </x:c>
      <x:c r="D939" s="83" t="n">
        <x:v>1.1729231464681087</x:v>
      </x:c>
      <x:c r="E939" s="81" t="n">
        <x:v>0.0056143517919187945</x:v>
      </x:c>
      <x:c r="F939" s="81" t="n">
        <x:v>0.8127680625650101</x:v>
      </x:c>
      <x:c r="G939" s="81" t="n">
        <x:v>0.010487858180739992</x:v>
      </x:c>
      <x:c r="H939" s="59" t="n">
        <x:v>0</x:v>
      </x:c>
      <x:c r="I939" s="81" t="n">
        <x:v>0</x:v>
      </x:c>
      <x:c r="J939" s="79" t="n">
        <x:v>0.000005372279538121512</x:v>
      </x:c>
      <x:c r="K939" s="81" t="n">
        <x:v>-0.9938602519564326</x:v>
      </x:c>
      <x:c r="L939" s="81" t="n">
        <x:v>-0.9946354124636235</x:v>
      </x:c>
      <x:c r="M939" s="80" t="n">
        <x:v>447.759275779095</x:v>
      </x:c>
      <x:c r="N939" s="82" t="n">
        <x:v>0.283218736463331</x:v>
      </x:c>
      <x:c r="O939" s="82" t="n">
        <x:v>0.21745007039204348</x:v>
      </x:c>
      <x:c r="P939" s="80" t="n">
        <x:v>2084.5237446191654</x:v>
      </x:c>
      <x:c r="Q939" s="81" t="n">
        <x:v>0.06586743908744119</x:v>
      </x:c>
      <x:c r="R939" s="81" t="n">
        <x:v>75.99389963380844</x:v>
      </x:c>
      <x:c r="S939" s="81" t="n">
        <x:v>1.2296816126567072</x:v>
      </x:c>
      <x:c r="T939" s="81" t="n">
        <x:v>0.11637530365943008</x:v>
      </x:c>
    </x:row>
    <x:row r="940">
      <x:c r="A940" s="59" t="n">
        <x:v>937</x:v>
      </x:c>
      <x:c r="B940" s="193" t="n">
        <x:v>0.2865278529003263</x:v>
      </x:c>
      <x:c r="C940" s="83" t="n">
        <x:v>1.7626178523777984</x:v>
      </x:c>
      <x:c r="D940" s="83" t="n">
        <x:v>1.006662094007563</x:v>
      </x:c>
      <x:c r="E940" s="81" t="n">
        <x:v>0.031725052253895526</x:v>
      </x:c>
      <x:c r="F940" s="81" t="n">
        <x:v>0.8686158409924246</x:v>
      </x:c>
      <x:c r="G940" s="81" t="n">
        <x:v>-0.0014657197595735708</x:v>
      </x:c>
      <x:c r="H940" s="59" t="n">
        <x:v>0</x:v>
      </x:c>
      <x:c r="I940" s="81" t="n">
        <x:v>0</x:v>
      </x:c>
      <x:c r="J940" s="79" t="n">
        <x:v>0.0017201108516374044</x:v>
      </x:c>
      <x:c r="K940" s="81" t="n">
        <x:v>0.9658409732998909</x:v>
      </x:c>
      <x:c r="L940" s="81" t="n">
        <x:v>-0.6349805989223227</x:v>
      </x:c>
      <x:c r="M940" s="80" t="n">
        <x:v>22031.950026589926</x:v>
      </x:c>
      <x:c r="N940" s="82" t="n">
        <x:v>0.1703500569580996</x:v>
      </x:c>
      <x:c r="O940" s="82" t="n">
        <x:v>0.1397786913981496</x:v>
      </x:c>
      <x:c r="P940" s="80" t="n">
        <x:v>43329.43876074141</x:v>
      </x:c>
      <x:c r="Q940" s="81" t="n">
        <x:v>0.009837382106125864</x:v>
      </x:c>
      <x:c r="R940" s="81" t="n">
        <x:v>33.58978513027162</x:v>
      </x:c>
      <x:c r="S940" s="81" t="n">
        <x:v>21.67141220075039</x:v>
      </x:c>
      <x:c r="T940" s="81" t="n">
        <x:v>37.261356425466055</x:v>
      </x:c>
    </x:row>
    <x:row r="941">
      <x:c r="A941" s="59" t="n">
        <x:v>938</x:v>
      </x:c>
      <x:c r="B941" s="193" t="n">
        <x:v>0.6019015295431018</x:v>
      </x:c>
      <x:c r="C941" s="83" t="n">
        <x:v>0.47856680016021275</x:v>
      </x:c>
      <x:c r="D941" s="83" t="n">
        <x:v>0.43716823929426385</x:v>
      </x:c>
      <x:c r="E941" s="81" t="n">
        <x:v>0.15627578212918752</x:v>
      </x:c>
      <x:c r="F941" s="81" t="n">
        <x:v>0.5933611159794965</x:v>
      </x:c>
      <x:c r="G941" s="81" t="n">
        <x:v>0.021728368070846747</x:v>
      </x:c>
      <x:c r="H941" s="59" t="n">
        <x:v>66</x:v>
      </x:c>
      <x:c r="I941" s="81" t="n">
        <x:v>0.3786660315468907</x:v>
      </x:c>
      <x:c r="J941" s="79" t="n">
        <x:v>0.004614153409500119</x:v>
      </x:c>
      <x:c r="K941" s="81" t="n">
        <x:v>4.273318182285851</x:v>
      </x:c>
      <x:c r="L941" s="81" t="n">
        <x:v>-0.9189986468354511</x:v>
      </x:c>
      <x:c r="M941" s="80" t="n">
        <x:v>22735.996948123437</x:v>
      </x:c>
      <x:c r="N941" s="82" t="n">
        <x:v>0.2454779799908458</x:v>
      </x:c>
      <x:c r="O941" s="82" t="n">
        <x:v>0.13759497242627622</x:v>
      </x:c>
      <x:c r="P941" s="80" t="n">
        <x:v>18864.49728532679</x:v>
      </x:c>
      <x:c r="Q941" s="81" t="n">
        <x:v>0.002357637172053227</x:v>
      </x:c>
      <x:c r="R941" s="81" t="n">
        <x:v>201.4721766890385</x:v>
      </x:c>
      <x:c r="S941" s="81" t="n">
        <x:v>183.3345793145022</x:v>
      </x:c>
      <x:c r="T941" s="81" t="n">
        <x:v>99.95263655798722</x:v>
      </x:c>
    </x:row>
    <x:row r="942">
      <x:c r="A942" s="59" t="n">
        <x:v>939</x:v>
      </x:c>
      <x:c r="B942" s="193" t="n">
        <x:v>0.5968667363747955</x:v>
      </x:c>
      <x:c r="C942" s="83" t="n">
        <x:v>0.1838549841999928</x:v>
      </x:c>
      <x:c r="D942" s="83" t="n">
        <x:v>1.4009939172535177</x:v>
      </x:c>
      <x:c r="E942" s="81" t="n">
        <x:v>-0.0166878418198152</x:v>
      </x:c>
      <x:c r="F942" s="81" t="n">
        <x:v>0.4760668791364878</x:v>
      </x:c>
      <x:c r="G942" s="81" t="n">
        <x:v>-0.01029869122783017</x:v>
      </x:c>
      <x:c r="H942" s="59" t="n">
        <x:v>0</x:v>
      </x:c>
      <x:c r="I942" s="81" t="n">
        <x:v>0</x:v>
      </x:c>
      <x:c r="J942" s="79" t="n">
        <x:v>5.846558380224212e-18</x:v>
      </x:c>
      <x:c r="K942" s="81" t="n">
        <x:v>-0.9999999999999933</x:v>
      </x:c>
      <x:c r="L942" s="81" t="n">
        <x:v>-0.9999999999999933</x:v>
      </x:c>
      <x:c r="M942" s="80" t="n">
        <x:v>0.0005076496231429463</x:v>
      </x:c>
      <x:c r="N942" s="82" t="n">
        <x:v>0.24427859785578335</x:v>
      </x:c>
      <x:c r="O942" s="82" t="n">
        <x:v>0.10985613822737918</x:v>
      </x:c>
      <x:c r="P942" s="80" t="n">
        <x:v>851.1822883544226</x:v>
      </x:c>
      <x:c r="Q942" s="81" t="n">
        <x:v>5343.366286071815</x:v>
      </x:c>
      <x:c r="R942" s="81" t="n">
        <x:v>26.52074890220355</x:v>
      </x:c>
      <x:c r="S942" s="81" t="n">
        <x:v>2.414628149183244e-7</x:v>
      </x:c>
      <x:c r="T942" s="81" t="n">
        <x:v>1.2664921883403845e-13</x:v>
      </x:c>
    </x:row>
    <x:row r="943">
      <x:c r="A943" s="59" t="n">
        <x:v>940</x:v>
      </x:c>
      <x:c r="B943" s="193" t="n">
        <x:v>0.9116393625736237</x:v>
      </x:c>
      <x:c r="C943" s="83" t="n">
        <x:v>1.4472703495781785</x:v>
      </x:c>
      <x:c r="D943" s="83" t="n">
        <x:v>0.8814227851365556</x:v>
      </x:c>
      <x:c r="E943" s="81" t="n">
        <x:v>-0.00296326735224828</x:v>
      </x:c>
      <x:c r="F943" s="81" t="n">
        <x:v>0.5530477577121928</x:v>
      </x:c>
      <x:c r="G943" s="81" t="n">
        <x:v>0.029871634904119607</x:v>
      </x:c>
      <x:c r="H943" s="59" t="n">
        <x:v>0</x:v>
      </x:c>
      <x:c r="I943" s="81" t="n">
        <x:v>0</x:v>
      </x:c>
      <x:c r="J943" s="79" t="n">
        <x:v>8.67067509939274e-8</x:v>
      </x:c>
      <x:c r="K943" s="81" t="n">
        <x:v>-0.9999009065702926</x:v>
      </x:c>
      <x:c r="L943" s="81" t="n">
        <x:v>-0.9999009065702926</x:v>
      </x:c>
      <x:c r="M943" s="80" t="n">
        <x:v>123.49549876773403</x:v>
      </x:c>
      <x:c r="N943" s="82" t="n">
        <x:v>0.3192633394030855</x:v>
      </x:c>
      <x:c r="O943" s="82" t="n">
        <x:v>0.16679484712198883</x:v>
      </x:c>
      <x:c r="P943" s="80" t="n">
        <x:v>3328.0836568129234</x:v>
      </x:c>
      <x:c r="Q943" s="81" t="n">
        <x:v>0.3692420482524121</x:v>
      </x:c>
      <x:c r="R943" s="81" t="n">
        <x:v>8.248595152004933</x:v>
      </x:c>
      <x:c r="S943" s="81" t="n">
        <x:v>0.029214182401043152</x:v>
      </x:c>
      <x:c r="T943" s="81" t="n">
        <x:v>0.0018782575263701143</x:v>
      </x:c>
    </x:row>
    <x:row r="944">
      <x:c r="A944" s="59" t="n">
        <x:v>941</x:v>
      </x:c>
      <x:c r="B944" s="193" t="n">
        <x:v>0.691907687857747</x:v>
      </x:c>
      <x:c r="C944" s="83" t="n">
        <x:v>1.9745163087676418</x:v>
      </x:c>
      <x:c r="D944" s="83" t="n">
        <x:v>3</x:v>
      </x:c>
      <x:c r="E944" s="81" t="n">
        <x:v>0.1252380476035928</x:v>
      </x:c>
      <x:c r="F944" s="81" t="n">
        <x:v>0.3914768814458512</x:v>
      </x:c>
      <x:c r="G944" s="81" t="n">
        <x:v>-0.004857377118673557</x:v>
      </x:c>
      <x:c r="H944" s="59" t="n">
        <x:v>0</x:v>
      </x:c>
      <x:c r="I944" s="81" t="n">
        <x:v>0</x:v>
      </x:c>
      <x:c r="J944" s="79" t="n">
        <x:v>0.9709060514375013</x:v>
      </x:c>
      <x:c r="K944" s="81" t="n">
        <x:v>1108.606915928573</x:v>
      </x:c>
      <x:c r="L944" s="81" t="n">
        <x:v>-0.8265250977628664</x:v>
      </x:c>
      <x:c r="M944" s="80" t="n">
        <x:v>1237072.8895735908</x:v>
      </x:c>
      <x:c r="N944" s="82" t="n">
        <x:v>0.2669191345168629</x:v>
      </x:c>
      <x:c r="O944" s="82" t="n">
        <x:v>0.09870900401466177</x:v>
      </x:c>
      <x:c r="P944" s="80" t="n">
        <x:v>3762852.545258129</x:v>
      </x:c>
      <x:c r="Q944" s="81" t="n">
        <x:v>0.00299447414009153</x:v>
      </x:c>
      <x:c r="R944" s="81" t="n">
        <x:v>6046.7687200715145</x:v>
      </x:c>
      <x:c r="S944" s="81" t="n">
        <x:v>9679.740657195627</x:v>
      </x:c>
      <x:c r="T944" s="81" t="n">
        <x:v>21031.944774847976</x:v>
      </x:c>
    </x:row>
    <x:row r="945">
      <x:c r="A945" s="59" t="n">
        <x:v>942</x:v>
      </x:c>
      <x:c r="B945" s="193" t="n">
        <x:v>0.7074723863974215</x:v>
      </x:c>
      <x:c r="C945" s="83" t="n">
        <x:v>0.33217572993494493</x:v>
      </x:c>
      <x:c r="D945" s="83" t="n">
        <x:v>1.2416663716672904</x:v>
      </x:c>
      <x:c r="E945" s="81" t="n">
        <x:v>-0.07458011553698342</x:v>
      </x:c>
      <x:c r="F945" s="81" t="n">
        <x:v>0.7938918587518856</x:v>
      </x:c>
      <x:c r="G945" s="81" t="n">
        <x:v>-0.006399033385158019</x:v>
      </x:c>
      <x:c r="H945" s="59" t="n">
        <x:v>0</x:v>
      </x:c>
      <x:c r="I945" s="81" t="n">
        <x:v>0</x:v>
      </x:c>
      <x:c r="J945" s="79" t="n">
        <x:v>2.6775634736398095e-39</x:v>
      </x:c>
      <x:c r="K945" s="81" t="n">
        <x:v>-1</x:v>
      </x:c>
      <x:c r="L945" s="81" t="n">
        <x:v>-1</x:v>
      </x:c>
      <x:c r="M945" s="80" t="n">
        <x:v>0.000002</x:v>
      </x:c>
      <x:c r="N945" s="82" t="n">
        <x:v>0.27062693754711076</x:v>
      </x:c>
      <x:c r="O945" s="82" t="n">
        <x:v>0.20295666280599897</x:v>
      </x:c>
      <x:c r="P945" s="80" t="n">
        <x:v>294.0467738772965</x:v>
      </x:c>
      <x:c r="Q945" s="81" t="n">
        <x:v>1.0871032003947286e+22</x:v>
      </x:c>
      <x:c r="R945" s="81" t="n">
        <x:v>4.703542524236671</x:v>
      </x:c>
      <x:c r="S945" s="81" t="n">
        <x:v>7.551390101290287e-10</x:v>
      </x:c>
      <x:c r="T945" s="81" t="n">
        <x:v>5.800187054696469e-35</x:v>
      </x:c>
    </x:row>
    <x:row r="946">
      <x:c r="A946" s="59" t="n">
        <x:v>943</x:v>
      </x:c>
      <x:c r="B946" s="193" t="n">
        <x:v>0.9037386326119303</x:v>
      </x:c>
      <x:c r="C946" s="83" t="n">
        <x:v>2.196043384398328</x:v>
      </x:c>
      <x:c r="D946" s="83" t="n">
        <x:v>0.731938478216362</x:v>
      </x:c>
      <x:c r="E946" s="81" t="n">
        <x:v>-0.014194167520647671</x:v>
      </x:c>
      <x:c r="F946" s="81" t="n">
        <x:v>0.4244947946746834</x:v>
      </x:c>
      <x:c r="G946" s="81" t="n">
        <x:v>0.0016117712194914922</x:v>
      </x:c>
      <x:c r="H946" s="59" t="n">
        <x:v>11</x:v>
      </x:c>
      <x:c r="I946" s="81" t="n">
        <x:v>0.28101126225665213</x:v>
      </x:c>
      <x:c r="J946" s="79" t="n">
        <x:v>3.8243682664990626e-11</x:v>
      </x:c>
      <x:c r="K946" s="81" t="n">
        <x:v>-0.9999999562929341</x:v>
      </x:c>
      <x:c r="L946" s="81" t="n">
        <x:v>-0.9999999562929341</x:v>
      </x:c>
      <x:c r="M946" s="80" t="n">
        <x:v>3.4259953878148273</x:v>
      </x:c>
      <x:c r="N946" s="82" t="n">
        <x:v>0.3173812373875234</x:v>
      </x:c>
      <x:c r="O946" s="82" t="n">
        <x:v>0.1272695650756506</x:v>
      </x:c>
      <x:c r="P946" s="80" t="n">
        <x:v>2272.077244109311</x:v>
      </x:c>
      <x:c r="Q946" s="81" t="n">
        <x:v>6.446130562832736</x:v>
      </x:c>
      <x:c r="R946" s="81" t="n">
        <x:v>4.485372519661421</x:v>
      </x:c>
      <x:c r="S946" s="81" t="n">
        <x:v>0.00035813477736815</x:v>
      </x:c>
      <x:c r="T946" s="81" t="n">
        <x:v>8.28441660865135e-7</x:v>
      </x:c>
    </x:row>
    <x:row r="947">
      <x:c r="A947" s="59" t="n">
        <x:v>944</x:v>
      </x:c>
      <x:c r="B947" s="193" t="n">
        <x:v>0.5931253543123602</x:v>
      </x:c>
      <x:c r="C947" s="83" t="n">
        <x:v>0.4520399642425932</x:v>
      </x:c>
      <x:c r="D947" s="83" t="n">
        <x:v>0.23645654352714202</x:v>
      </x:c>
      <x:c r="E947" s="81" t="n">
        <x:v>-0.08137562780986649</x:v>
      </x:c>
      <x:c r="F947" s="81" t="n">
        <x:v>0.2906042718794197</x:v>
      </x:c>
      <x:c r="G947" s="81" t="n">
        <x:v>-0.01164209127600969</x:v>
      </x:c>
      <x:c r="H947" s="59" t="n">
        <x:v>79</x:v>
      </x:c>
      <x:c r="I947" s="81" t="n">
        <x:v>0.16809051800519229</x:v>
      </x:c>
      <x:c r="J947" s="79" t="n">
        <x:v>2.3576396444446004e-15</x:v>
      </x:c>
      <x:c r="K947" s="81" t="n">
        <x:v>-0.9999999999973056</x:v>
      </x:c>
      <x:c r="L947" s="81" t="n">
        <x:v>-0.9999999999973056</x:v>
      </x:c>
      <x:c r="M947" s="80" t="n">
        <x:v>0.012395730599638744</x:v>
      </x:c>
      <x:c r="N947" s="82" t="n">
        <x:v>0.24338733049759742</x:v>
      </x:c>
      <x:c r="O947" s="82" t="n">
        <x:v>0.06681452777750843</x:v>
      </x:c>
      <x:c r="P947" s="80" t="n">
        <x:v>233.19962312709083</x:v>
      </x:c>
      <x:c r="Q947" s="81" t="n">
        <x:v>70.57185634288312</x:v>
      </x:c>
      <x:c r="R947" s="81" t="n">
        <x:v>13.72795250885516</x:v>
      </x:c>
      <x:c r="S947" s="81" t="n">
        <x:v>7.921591268359658e-7</x:v>
      </x:c>
      <x:c r="T947" s="81" t="n">
        <x:v>5.107162194275701e-11</x:v>
      </x:c>
    </x:row>
    <x:row r="948">
      <x:c r="A948" s="59" t="n">
        <x:v>945</x:v>
      </x:c>
      <x:c r="B948" s="193" t="n">
        <x:v>0.3891193363815546</x:v>
      </x:c>
      <x:c r="C948" s="83" t="n">
        <x:v>0.46496396537226536</x:v>
      </x:c>
      <x:c r="D948" s="83" t="n">
        <x:v>1.3160371657661392</x:v>
      </x:c>
      <x:c r="E948" s="81" t="n">
        <x:v>0.025940350950025594</x:v>
      </x:c>
      <x:c r="F948" s="81" t="n">
        <x:v>0.5274558713543229</x:v>
      </x:c>
      <x:c r="G948" s="81" t="n">
        <x:v>-0.016277544608535904</x:v>
      </x:c>
      <x:c r="H948" s="59" t="n">
        <x:v>82</x:v>
      </x:c>
      <x:c r="I948" s="81" t="n">
        <x:v>0.2189781801775098</x:v>
      </x:c>
      <x:c r="J948" s="79" t="n">
        <x:v>0.0008164653519831954</x:v>
      </x:c>
      <x:c r="K948" s="81" t="n">
        <x:v>-0.06689674059063377</x:v>
      </x:c>
      <x:c r="L948" s="81" t="n">
        <x:v>-0.8362209493410129</x:v>
      </x:c>
      <x:c r="M948" s="80" t="n">
        <x:v>8034.362445163597</x:v>
      </x:c>
      <x:c r="N948" s="82" t="n">
        <x:v>0.19478927191364362</x:v>
      </x:c>
      <x:c r="O948" s="82" t="n">
        <x:v>0.09705593709575003</x:v>
      </x:c>
      <x:c r="P948" s="80" t="n">
        <x:v>20823.884472338763</x:v>
      </x:c>
      <x:c r="Q948" s="81" t="n">
        <x:v>0.008291438144617922</x:v>
      </x:c>
      <x:c r="R948" s="81" t="n">
        <x:v>102.56600520208644</x:v>
      </x:c>
      <x:c r="S948" s="81" t="n">
        <x:v>35.25484748922108</x:v>
      </x:c>
      <x:c r="T948" s="81" t="n">
        <x:v>17.686422046770772</x:v>
      </x:c>
    </x:row>
    <x:row r="949">
      <x:c r="A949" s="59" t="n">
        <x:v>946</x:v>
      </x:c>
      <x:c r="B949" s="193" t="n">
        <x:v>0.5494959373027086</x:v>
      </x:c>
      <x:c r="C949" s="83" t="n">
        <x:v>1.0081135813494468</x:v>
      </x:c>
      <x:c r="D949" s="83" t="n">
        <x:v>0.8098532124016332</x:v>
      </x:c>
      <x:c r="E949" s="81" t="n">
        <x:v>-0.06161039655868626</x:v>
      </x:c>
      <x:c r="F949" s="81" t="n">
        <x:v>0.5750648664077744</x:v>
      </x:c>
      <x:c r="G949" s="81" t="n">
        <x:v>-0.018970003827609272</x:v>
      </x:c>
      <x:c r="H949" s="59" t="n">
        <x:v>0</x:v>
      </x:c>
      <x:c r="I949" s="81" t="n">
        <x:v>0</x:v>
      </x:c>
      <x:c r="J949" s="79" t="n">
        <x:v>4.838919559983404e-27</x:v>
      </x:c>
      <x:c r="K949" s="81" t="n">
        <x:v>-1</x:v>
      </x:c>
      <x:c r="L949" s="81" t="n">
        <x:v>-1</x:v>
      </x:c>
      <x:c r="M949" s="80" t="n">
        <x:v>0.000002</x:v>
      </x:c>
      <x:c r="N949" s="82" t="n">
        <x:v>0.23299398531432958</x:v>
      </x:c>
      <x:c r="O949" s="82" t="n">
        <x:v>0.12657049745365245</x:v>
      </x:c>
      <x:c r="P949" s="80" t="n">
        <x:v>500.5941710631818</x:v>
      </x:c>
      <x:c r="Q949" s="81" t="n">
        <x:v>7193786711.1277895</x:v>
      </x:c>
      <x:c r="R949" s="81" t="n">
        <x:v>3.3130695838016657</x:v>
      </x:c>
      <x:c r="S949" s="81" t="n">
        <x:v>2.798487016515107e-10</x:v>
      </x:c>
      <x:c r="T949" s="81" t="n">
        <x:v>1.0482156209122551e-22</x:v>
      </x:c>
    </x:row>
    <x:row r="950">
      <x:c r="A950" s="59" t="n">
        <x:v>947</x:v>
      </x:c>
      <x:c r="B950" s="193" t="n">
        <x:v>0.5041272105649114</x:v>
      </x:c>
      <x:c r="C950" s="83" t="n">
        <x:v>0.508968137368697</x:v>
      </x:c>
      <x:c r="D950" s="83" t="n">
        <x:v>1.6000511462958114</x:v>
      </x:c>
      <x:c r="E950" s="81" t="n">
        <x:v>0.2</x:v>
      </x:c>
      <x:c r="F950" s="81" t="n">
        <x:v>0.7458506506634877</x:v>
      </x:c>
      <x:c r="G950" s="81" t="n">
        <x:v>0.04194342233390444</x:v>
      </x:c>
      <x:c r="H950" s="59" t="n">
        <x:v>0</x:v>
      </x:c>
      <x:c r="I950" s="81" t="n">
        <x:v>0</x:v>
      </x:c>
      <x:c r="J950" s="79" t="n">
        <x:v>0.1744835958780337</x:v>
      </x:c>
      <x:c r="K950" s="81" t="n">
        <x:v>198.40982386060995</x:v>
      </x:c>
      <x:c r="L950" s="81" t="n">
        <x:v>-0.8316284174646071</x:v>
      </x:c>
      <x:c r="M950" s="80" t="n">
        <x:v>284583.89288351464</x:v>
      </x:c>
      <x:c r="N950" s="82" t="n">
        <x:v>0.22218630394176</x:v>
      </x:c>
      <x:c r="O950" s="82" t="n">
        <x:v>0.1565453238333118</x:v>
      </x:c>
      <x:c r="P950" s="80" t="n">
        <x:v>575982.4186597562</x:v>
      </x:c>
      <x:c r="Q950" s="81" t="n">
        <x:v>0.0029940964276007694</x:v>
      </x:c>
      <x:c r="R950" s="81" t="n">
        <x:v>2312.175286548213</x:v>
      </x:c>
      <x:c r="S950" s="81" t="n">
        <x:v>6602.584331392689</x:v>
      </x:c>
      <x:c r="T950" s="81" t="n">
        <x:v>3779.6956226510065</x:v>
      </x:c>
    </x:row>
    <x:row r="951">
      <x:c r="A951" s="59" t="n">
        <x:v>948</x:v>
      </x:c>
      <x:c r="B951" s="193" t="n">
        <x:v>0.23024950865656138</x:v>
      </x:c>
      <x:c r="C951" s="83" t="n">
        <x:v>2.220616495134832</x:v>
      </x:c>
      <x:c r="D951" s="83" t="n">
        <x:v>0.9541337702563554</x:v>
      </x:c>
      <x:c r="E951" s="81" t="n">
        <x:v>-0.009557500874985097</x:v>
      </x:c>
      <x:c r="F951" s="81" t="n">
        <x:v>0.6350242082378827</x:v>
      </x:c>
      <x:c r="G951" s="81" t="n">
        <x:v>0.02391526341629166</x:v>
      </x:c>
      <x:c r="H951" s="59" t="n">
        <x:v>0</x:v>
      </x:c>
      <x:c r="I951" s="81" t="n">
        <x:v>0</x:v>
      </x:c>
      <x:c r="J951" s="79" t="n">
        <x:v>4.8978588740067166e-11</x:v>
      </x:c>
      <x:c r="K951" s="81" t="n">
        <x:v>-0.99999994402447</x:v>
      </x:c>
      <x:c r="L951" s="81" t="n">
        <x:v>-0.99999994402447</x:v>
      </x:c>
      <x:c r="M951" s="80" t="n">
        <x:v>3.905657619523373</x:v>
      </x:c>
      <x:c r="N951" s="82" t="n">
        <x:v>0.15694350014028025</x:v>
      </x:c>
      <x:c r="O951" s="82" t="n">
        <x:v>0.09414658199198564</x:v>
      </x:c>
      <x:c r="P951" s="80" t="n">
        <x:v>3787.761369623829</x:v>
      </x:c>
      <x:c r="Q951" s="81" t="n">
        <x:v>8.48663972727382</x:v>
      </x:c>
      <x:c r="R951" s="81" t="n">
        <x:v>5.777815333084977</x:v>
      </x:c>
      <x:c r="S951" s="81" t="n">
        <x:v>0.0006923223425970716</x:v>
      </x:c>
      <x:c r="T951" s="81" t="n">
        <x:v>0.0000010609831631041119</x:v>
      </x:c>
    </x:row>
    <x:row r="952">
      <x:c r="A952" s="59" t="n">
        <x:v>949</x:v>
      </x:c>
      <x:c r="B952" s="193" t="n">
        <x:v>0.9935130344703793</x:v>
      </x:c>
      <x:c r="C952" s="83" t="n">
        <x:v>0.19266473611538532</x:v>
      </x:c>
      <x:c r="D952" s="83" t="n">
        <x:v>0.5536773821081158</x:v>
      </x:c>
      <x:c r="E952" s="81" t="n">
        <x:v>0.11387835634151648</x:v>
      </x:c>
      <x:c r="F952" s="81" t="n">
        <x:v>0.8836872271378525</x:v>
      </x:c>
      <x:c r="G952" s="81" t="n">
        <x:v>0.007104814193339639</x:v>
      </x:c>
      <x:c r="H952" s="59" t="n">
        <x:v>0</x:v>
      </x:c>
      <x:c r="I952" s="81" t="n">
        <x:v>0</x:v>
      </x:c>
      <x:c r="J952" s="79" t="n">
        <x:v>0.0004247604383572707</x:v>
      </x:c>
      <x:c r="K952" s="81" t="n">
        <x:v>-0.514559499020262</x:v>
      </x:c>
      <x:c r="L952" s="81" t="n">
        <x:v>-0.8677747775966782</x:v>
      </x:c>
      <x:c r="M952" s="80" t="n">
        <x:v>5361.524767339366</x:v>
      </x:c>
      <x:c r="N952" s="82" t="n">
        <x:v>0.33876718318024085</x:v>
      </x:c>
      <x:c r="O952" s="82" t="n">
        <x:v>0.28279443089360945</x:v>
      </x:c>
      <x:c r="P952" s="80" t="n">
        <x:v>5820.706533721947</x:v>
      </x:c>
      <x:c r="Q952" s="81" t="n">
        <x:v>0.00612228271343433</x:v>
      </x:c>
      <x:c r="R952" s="81" t="n">
        <x:v>128.03927693742705</x:v>
      </x:c>
      <x:c r="S952" s="81" t="n">
        <x:v>42.238290735410885</x:v>
      </x:c>
      <x:c r="T952" s="81" t="n">
        <x:v>9.20123843995363</x:v>
      </x:c>
    </x:row>
    <x:row r="953">
      <x:c r="A953" s="59" t="n">
        <x:v>950</x:v>
      </x:c>
      <x:c r="B953" s="193" t="n">
        <x:v>0.4868746306747198</x:v>
      </x:c>
      <x:c r="C953" s="83" t="n">
        <x:v>2.959292696453204</x:v>
      </x:c>
      <x:c r="D953" s="83" t="n">
        <x:v>0.8022518049101068</x:v>
      </x:c>
      <x:c r="E953" s="81" t="n">
        <x:v>0.007066893828806268</x:v>
      </x:c>
      <x:c r="F953" s="81" t="n">
        <x:v>0.8473022404476069</x:v>
      </x:c>
      <x:c r="G953" s="81" t="n">
        <x:v>-0.030667153771923444</x:v>
      </x:c>
      <x:c r="H953" s="59" t="n">
        <x:v>0</x:v>
      </x:c>
      <x:c r="I953" s="81" t="n">
        <x:v>0</x:v>
      </x:c>
      <x:c r="J953" s="79" t="n">
        <x:v>0.00003799529416193246</x:v>
      </x:c>
      <x:c r="K953" s="81" t="n">
        <x:v>-0.9565768066720772</x:v>
      </x:c>
      <x:c r="L953" s="81" t="n">
        <x:v>-0.9566434911951067</x:v>
      </x:c>
      <x:c r="M953" s="80" t="n">
        <x:v>4229.801570914674</x:v>
      </x:c>
      <x:c r="N953" s="82" t="n">
        <x:v>0.2180764159260434</x:v>
      </x:c>
      <x:c r="O953" s="82" t="n">
        <x:v>0.1745492542122979</x:v>
      </x:c>
      <x:c r="P953" s="80" t="n">
        <x:v>11091.169445660576</x:v>
      </x:c>
      <x:c r="Q953" s="81" t="n">
        <x:v>0.03801772116370201</x:v>
      </x:c>
      <x:c r="R953" s="81" t="n">
        <x:v>7.263894897125175</x:v>
      </x:c>
      <x:c r="S953" s="81" t="n">
        <x:v>0.4975003564547739</x:v>
      </x:c>
      <x:c r="T953" s="81" t="n">
        <x:v>0.8230610236023516</x:v>
      </x:c>
    </x:row>
    <x:row r="954">
      <x:c r="A954" s="59" t="n">
        <x:v>951</x:v>
      </x:c>
      <x:c r="B954" s="193" t="n">
        <x:v>0.7533084470778704</x:v>
      </x:c>
      <x:c r="C954" s="83" t="n">
        <x:v>0.598128503654666</x:v>
      </x:c>
      <x:c r="D954" s="83" t="n">
        <x:v>0.4780984903678068</x:v>
      </x:c>
      <x:c r="E954" s="81" t="n">
        <x:v>0.042677715068776594</x:v>
      </x:c>
      <x:c r="F954" s="81" t="n">
        <x:v>0.6860494591994211</x:v>
      </x:c>
      <x:c r="G954" s="81" t="n">
        <x:v>0.006295142897310907</x:v>
      </x:c>
      <x:c r="H954" s="59" t="n">
        <x:v>9</x:v>
      </x:c>
      <x:c r="I954" s="81" t="n">
        <x:v>0.26748536694794894</x:v>
      </x:c>
      <x:c r="J954" s="79" t="n">
        <x:v>0.00015695994888033834</x:v>
      </x:c>
      <x:c r="K954" s="81" t="n">
        <x:v>-0.8206172012796134</x:v>
      </x:c>
      <x:c r="L954" s="81" t="n">
        <x:v>-0.8914436927409195</x:v>
      </x:c>
      <x:c r="M954" s="80" t="n">
        <x:v>3707.0019478984746</x:v>
      </x:c>
      <x:c r="N954" s="82" t="n">
        <x:v>0.28154594662733173</x:v>
      </x:c>
      <x:c r="O954" s="82" t="n">
        <x:v>0.182463351361517</x:v>
      </x:c>
      <x:c r="P954" s="80" t="n">
        <x:v>4015.4263543526404</x:v>
      </x:c>
      <x:c r="Q954" s="81" t="n">
        <x:v>0.00912192222660565</x:v>
      </x:c>
      <x:c r="R954" s="81" t="n">
        <x:v>22.465859799079695</x:v>
      </x:c>
      <x:c r="S954" s="81" t="n">
        <x:v>5.417015346322421</x:v>
      </x:c>
      <x:c r="T954" s="81" t="n">
        <x:v>3.400095170718729</x:v>
      </x:c>
    </x:row>
    <x:row r="955">
      <x:c r="A955" s="59" t="n">
        <x:v>952</x:v>
      </x:c>
      <x:c r="B955" s="193" t="n">
        <x:v>0.7805095847696066</x:v>
      </x:c>
      <x:c r="C955" s="83" t="n">
        <x:v>1.4641265445933502</x:v>
      </x:c>
      <x:c r="D955" s="83" t="n">
        <x:v>1.3863649982216806</x:v>
      </x:c>
      <x:c r="E955" s="81" t="n">
        <x:v>0.04844863749515665</x:v>
      </x:c>
      <x:c r="F955" s="81" t="n">
        <x:v>0.3172998947906308</x:v>
      </x:c>
      <x:c r="G955" s="81" t="n">
        <x:v>-0.00702699595622211</x:v>
      </x:c>
      <x:c r="H955" s="59" t="n">
        <x:v>0</x:v>
      </x:c>
      <x:c r="I955" s="81" t="n">
        <x:v>0</x:v>
      </x:c>
      <x:c r="J955" s="79" t="n">
        <x:v>0.01581514651868155</x:v>
      </x:c>
      <x:c r="K955" s="81" t="n">
        <x:v>17.07445316420749</x:v>
      </x:c>
      <x:c r="L955" s="81" t="n">
        <x:v>-0.6286578453092984</x:v>
      </x:c>
      <x:c r="M955" s="80" t="n">
        <x:v>66913.28019248137</x:v>
      </x:c>
      <x:c r="N955" s="82" t="n">
        <x:v>0.28802576764683485</x:v>
      </x:c>
      <x:c r="O955" s="82" t="n">
        <x:v>0.08633208163533741</x:v>
      </x:c>
      <x:c r="P955" s="80" t="n">
        <x:v>157703.0202929899</x:v>
      </x:c>
      <x:c r="Q955" s="81" t="n">
        <x:v>0.004439146705325737</x:v>
      </x:c>
      <x:c r="R955" s="81" t="n">
        <x:v>224.37234020700166</x:v>
      </x:c>
      <x:c r="S955" s="81" t="n">
        <x:v>216.31791698789462</x:v>
      </x:c>
      <x:c r="T955" s="81" t="n">
        <x:v>342.59060152582754</x:v>
      </x:c>
    </x:row>
    <x:row r="956">
      <x:c r="A956" s="59" t="n">
        <x:v>953</x:v>
      </x:c>
      <x:c r="B956" s="193" t="n">
        <x:v>0.4118306921795011</x:v>
      </x:c>
      <x:c r="C956" s="83" t="n">
        <x:v>0.2752814489617881</x:v>
      </x:c>
      <x:c r="D956" s="83" t="n">
        <x:v>0.46086225196597924</x:v>
      </x:c>
      <x:c r="E956" s="81" t="n">
        <x:v>-0.08651137196540291</x:v>
      </x:c>
      <x:c r="F956" s="81" t="n">
        <x:v>0.3423127349466085</x:v>
      </x:c>
      <x:c r="G956" s="81" t="n">
        <x:v>0.009251362006745428</x:v>
      </x:c>
      <x:c r="H956" s="59" t="n">
        <x:v>0</x:v>
      </x:c>
      <x:c r="I956" s="81" t="n">
        <x:v>0</x:v>
      </x:c>
      <x:c r="J956" s="79" t="n">
        <x:v>3.476358065183804e-26</x:v>
      </x:c>
      <x:c r="K956" s="81" t="n">
        <x:v>-1</x:v>
      </x:c>
      <x:c r="L956" s="81" t="n">
        <x:v>-1</x:v>
      </x:c>
      <x:c r="M956" s="80" t="n">
        <x:v>0.000002</x:v>
      </x:c>
      <x:c r="N956" s="82" t="n">
        <x:v>0.20019954270263532</x:v>
      </x:c>
      <x:c r="O956" s="82" t="n">
        <x:v>0.06473767221317973</x:v>
      </x:c>
      <x:c r="P956" s="80" t="n">
        <x:v>221.9081402334271</x:v>
      </x:c>
      <x:c r="Q956" s="81" t="n">
        <x:v>729846240.6755046</x:v>
      </x:c>
      <x:c r="R956" s="81" t="n">
        <x:v>12.885374936102444</x:v>
      </x:c>
      <x:c r="S956" s="81" t="n">
        <x:v>3.5410159993653823e-10</x:v>
      </x:c>
      <x:c r="T956" s="81" t="n">
        <x:v>7.530550534347929e-22</x:v>
      </x:c>
    </x:row>
    <x:row r="957">
      <x:c r="A957" s="59" t="n">
        <x:v>954</x:v>
      </x:c>
      <x:c r="B957" s="193" t="n">
        <x:v>0.8543219910934567</x:v>
      </x:c>
      <x:c r="C957" s="83" t="n">
        <x:v>0.11740281444876058</x:v>
      </x:c>
      <x:c r="D957" s="83" t="n">
        <x:v>0.5956870178398779</x:v>
      </x:c>
      <x:c r="E957" s="81" t="n">
        <x:v>-0.11744944269003547</x:v>
      </x:c>
      <x:c r="F957" s="81" t="n">
        <x:v>0.699325976613909</x:v>
      </x:c>
      <x:c r="G957" s="81" t="n">
        <x:v>-0.015830975794478255</x:v>
      </x:c>
      <x:c r="H957" s="59" t="n">
        <x:v>0</x:v>
      </x:c>
      <x:c r="I957" s="81" t="n">
        <x:v>0</x:v>
      </x:c>
      <x:c r="J957" s="79" t="n">
        <x:v>2.724917637917788e-32</x:v>
      </x:c>
      <x:c r="K957" s="81" t="n">
        <x:v>-1</x:v>
      </x:c>
      <x:c r="L957" s="81" t="n">
        <x:v>-1</x:v>
      </x:c>
      <x:c r="M957" s="80" t="n">
        <x:v>0.000002</x:v>
      </x:c>
      <x:c r="N957" s="82" t="n">
        <x:v>0.30560926681579414</x:v>
      </x:c>
      <x:c r="O957" s="82" t="n">
        <x:v>0.20189107537554885</x:v>
      </x:c>
      <x:c r="P957" s="80" t="n">
        <x:v>144.37103714124297</x:v>
      </x:c>
      <x:c r="Q957" s="81" t="n">
        <x:v>705372207485004.6</x:v>
      </x:c>
      <x:c r="R957" s="81" t="n">
        <x:v>15.095973247943089</x:v>
      </x:c>
      <x:c r="S957" s="81" t="n">
        <x:v>3.845862315273922e-10</x:v>
      </x:c>
      <x:c r="T957" s="81" t="n">
        <x:v>5.902766512974534e-28</x:v>
      </x:c>
    </x:row>
    <x:row r="958">
      <x:c r="A958" s="59" t="n">
        <x:v>955</x:v>
      </x:c>
      <x:c r="B958" s="193" t="n">
        <x:v>0.6875528071075678</x:v>
      </x:c>
      <x:c r="C958" s="83" t="n">
        <x:v>0.10352360841894337</x:v>
      </x:c>
      <x:c r="D958" s="83" t="n">
        <x:v>0.7732574664985695</x:v>
      </x:c>
      <x:c r="E958" s="81" t="n">
        <x:v>-0.0613387553343817</x:v>
      </x:c>
      <x:c r="F958" s="81" t="n">
        <x:v>0.6189019214827567</x:v>
      </x:c>
      <x:c r="G958" s="81" t="n">
        <x:v>0.03169678256543972</x:v>
      </x:c>
      <x:c r="H958" s="59" t="n">
        <x:v>0</x:v>
      </x:c>
      <x:c r="I958" s="81" t="n">
        <x:v>0</x:v>
      </x:c>
      <x:c r="J958" s="79" t="n">
        <x:v>1.1470071807536275e-30</x:v>
      </x:c>
      <x:c r="K958" s="81" t="n">
        <x:v>-1</x:v>
      </x:c>
      <x:c r="L958" s="81" t="n">
        <x:v>-1</x:v>
      </x:c>
      <x:c r="M958" s="80" t="n">
        <x:v>0.000002</x:v>
      </x:c>
      <x:c r="N958" s="82" t="n">
        <x:v>0.26588172026815593</x:v>
      </x:c>
      <x:c r="O958" s="82" t="n">
        <x:v>0.15544660912946004</x:v>
      </x:c>
      <x:c r="P958" s="80" t="n">
        <x:v>251.98458409634867</x:v>
      </x:c>
      <x:c r="Q958" s="81" t="n">
        <x:v>30475281656768.836</x:v>
      </x:c>
      <x:c r="R958" s="81" t="n">
        <x:v>24.781965788435343</x:v>
      </x:c>
      <x:c r="S958" s="81" t="n">
        <x:v>8.972845562531693e-10</x:v>
      </x:c>
      <x:c r="T958" s="81" t="n">
        <x:v>2.4846679703198095e-26</x:v>
      </x:c>
    </x:row>
    <x:row r="959">
      <x:c r="A959" s="59" t="n">
        <x:v>956</x:v>
      </x:c>
      <x:c r="B959" s="193" t="n">
        <x:v>0.8139922745525838</x:v>
      </x:c>
      <x:c r="C959" s="83" t="n">
        <x:v>1.4152725717116357</x:v>
      </x:c>
      <x:c r="D959" s="83" t="n">
        <x:v>0.13611992689352853</x:v>
      </x:c>
      <x:c r="E959" s="81" t="n">
        <x:v>-0.04685765059908891</x:v>
      </x:c>
      <x:c r="F959" s="81" t="n">
        <x:v>0.680993462970946</x:v>
      </x:c>
      <x:c r="G959" s="81" t="n">
        <x:v>-0.008322741321011132</x:v>
      </x:c>
      <x:c r="H959" s="59" t="n">
        <x:v>0</x:v>
      </x:c>
      <x:c r="I959" s="81" t="n">
        <x:v>0</x:v>
      </x:c>
      <x:c r="J959" s="79" t="n">
        <x:v>3.6992728939474234e-9</x:v>
      </x:c>
      <x:c r="K959" s="81" t="n">
        <x:v>-0.9999957722595497</x:v>
      </x:c>
      <x:c r="L959" s="81" t="n">
        <x:v>-0.9999957722595497</x:v>
      </x:c>
      <x:c r="M959" s="80" t="n">
        <x:v>25.292732955724915</x:v>
      </x:c>
      <x:c r="N959" s="82" t="n">
        <x:v>0.2960019721535734</x:v>
      </x:c>
      <x:c r="O959" s="82" t="n">
        <x:v>0.1904182149007177</x:v>
      </x:c>
      <x:c r="P959" s="80" t="n">
        <x:v>365.57911211370356</x:v>
      </x:c>
      <x:c r="Q959" s="81" t="n">
        <x:v>0.14618990783503952</x:v>
      </x:c>
      <x:c r="R959" s="81" t="n">
        <x:v>5.96992684176023</x:v>
      </x:c>
      <x:c r="S959" s="81" t="n">
        <x:v>0.0006193804705961904</x:v>
      </x:c>
      <x:c r="T959" s="81" t="n">
        <x:v>0.00008013432720642854</x:v>
      </x:c>
    </x:row>
    <x:row r="960">
      <x:c r="A960" s="59" t="n">
        <x:v>957</x:v>
      </x:c>
      <x:c r="B960" s="193" t="n">
        <x:v>0.3104906538501382</x:v>
      </x:c>
      <x:c r="C960" s="83" t="n">
        <x:v>0.13280245639489177</x:v>
      </x:c>
      <x:c r="D960" s="83" t="n">
        <x:v>1.034541122041998</x:v>
      </x:c>
      <x:c r="E960" s="81" t="n">
        <x:v>-0.13049135987445187</x:v>
      </x:c>
      <x:c r="F960" s="81" t="n">
        <x:v>0.7619013993418776</x:v>
      </x:c>
      <x:c r="G960" s="81" t="n">
        <x:v>-0.019075852308252372</x:v>
      </x:c>
      <x:c r="H960" s="59" t="n">
        <x:v>0</x:v>
      </x:c>
      <x:c r="I960" s="81" t="n">
        <x:v>0</x:v>
      </x:c>
      <x:c r="J960" s="79" t="n">
        <x:v>2.505549485249892e-47</x:v>
      </x:c>
      <x:c r="K960" s="81" t="n">
        <x:v>-1</x:v>
      </x:c>
      <x:c r="L960" s="81" t="n">
        <x:v>-1</x:v>
      </x:c>
      <x:c r="M960" s="80" t="n">
        <x:v>0.000002</x:v>
      </x:c>
      <x:c r="N960" s="82" t="n">
        <x:v>0.17605844544686253</x:v>
      </x:c>
      <x:c r="O960" s="82" t="n">
        <x:v>0.1267145763387136</x:v>
      </x:c>
      <x:c r="P960" s="80" t="n">
        <x:v>160.39110222761585</x:v>
      </x:c>
      <x:c r="Q960" s="81" t="n">
        <x:v>6.985175256287577e+29</x:v>
      </x:c>
      <x:c r="R960" s="81" t="n">
        <x:v>7.751633363429453</x:v>
      </x:c>
      <x:c r="S960" s="81" t="n">
        <x:v>6.328906742897367e-10</x:v>
      </x:c>
      <x:c r="T960" s="81" t="n">
        <x:v>5.427567201420071e-43</x:v>
      </x:c>
    </x:row>
    <x:row r="961">
      <x:c r="A961" s="59" t="n">
        <x:v>958</x:v>
      </x:c>
      <x:c r="B961" s="193" t="n">
        <x:v>0.8061274925246835</x:v>
      </x:c>
      <x:c r="C961" s="83" t="n">
        <x:v>1.228989130882509</x:v>
      </x:c>
      <x:c r="D961" s="83" t="n">
        <x:v>0.18987337357708184</x:v>
      </x:c>
      <x:c r="E961" s="81" t="n">
        <x:v>-0.08123091116261778</x:v>
      </x:c>
      <x:c r="F961" s="81" t="n">
        <x:v>0.453732356603723</x:v>
      </x:c>
      <x:c r="G961" s="81" t="n">
        <x:v>0.011446120991012734</x:v>
      </x:c>
      <x:c r="H961" s="59" t="n">
        <x:v>0</x:v>
      </x:c>
      <x:c r="I961" s="81" t="n">
        <x:v>0</x:v>
      </x:c>
      <x:c r="J961" s="79" t="n">
        <x:v>1.060304113533812e-14</x:v>
      </x:c>
      <x:c r="K961" s="81" t="n">
        <x:v>-0.9999999999878822</x:v>
      </x:c>
      <x:c r="L961" s="81" t="n">
        <x:v>-0.9999999999878822</x:v>
      </x:c>
      <x:c r="M961" s="80" t="n">
        <x:v>0.04026535346967716</x:v>
      </x:c>
      <x:c r="N961" s="82" t="n">
        <x:v>0.2941284336098648</x:v>
      </x:c>
      <x:c r="O961" s="82" t="n">
        <x:v>0.12606882432396388</x:v>
      </x:c>
      <x:c r="P961" s="80" t="n">
        <x:v>326.34323184297006</x:v>
      </x:c>
      <x:c r="Q961" s="81" t="n">
        <x:v>51.05486618710607</x:v>
      </x:c>
      <x:c r="R961" s="81" t="n">
        <x:v>5.601490770109019</x:v>
      </x:c>
      <x:c r="S961" s="81" t="n">
        <x:v>0.0000017861143311866845</x:v>
      </x:c>
      <x:c r="T961" s="81" t="n">
        <x:v>2.2968501975417726e-10</x:v>
      </x:c>
    </x:row>
    <x:row r="962">
      <x:c r="A962" s="59" t="n">
        <x:v>959</x:v>
      </x:c>
      <x:c r="B962" s="193" t="n">
        <x:v>0.5606111487373711</x:v>
      </x:c>
      <x:c r="C962" s="83" t="n">
        <x:v>0.11621228884670116</x:v>
      </x:c>
      <x:c r="D962" s="83" t="n">
        <x:v>1.0476982233353422</x:v>
      </x:c>
      <x:c r="E962" s="81" t="n">
        <x:v>-0.04411717834499523</x:v>
      </x:c>
      <x:c r="F962" s="81" t="n">
        <x:v>0.27095387554727496</x:v>
      </x:c>
      <x:c r="G962" s="81" t="n">
        <x:v>-0.012719348793205807</x:v>
      </x:c>
      <x:c r="H962" s="59" t="n">
        <x:v>0</x:v>
      </x:c>
      <x:c r="I962" s="81" t="n">
        <x:v>0</x:v>
      </x:c>
      <x:c r="J962" s="79" t="n">
        <x:v>2.7356936069188186e-26</x:v>
      </x:c>
      <x:c r="K962" s="81" t="n">
        <x:v>-1</x:v>
      </x:c>
      <x:c r="L962" s="81" t="n">
        <x:v>-1</x:v>
      </x:c>
      <x:c r="M962" s="80" t="n">
        <x:v>0.000002</x:v>
      </x:c>
      <x:c r="N962" s="82" t="n">
        <x:v>0.23564183708828065</x:v>
      </x:c>
      <x:c r="O962" s="82" t="n">
        <x:v>0.06031408017817813</x:v>
      </x:c>
      <x:c r="P962" s="80" t="n">
        <x:v>386.99030028366343</x:v>
      </x:c>
      <x:c r="Q962" s="81" t="n">
        <x:v>1747707937.3970203</x:v>
      </x:c>
      <x:c r="R962" s="81" t="n">
        <x:v>26.66382494182301</x:v>
      </x:c>
      <x:c r="S962" s="81" t="n">
        <x:v>7.036463851170522e-10</x:v>
      </x:c>
      <x:c r="T962" s="81" t="n">
        <x:v>5.926109614460984e-22</x:v>
      </x:c>
    </x:row>
    <x:row r="963">
      <x:c r="A963" s="59" t="n">
        <x:v>960</x:v>
      </x:c>
      <x:c r="B963" s="193" t="n">
        <x:v>0.5473009422421455</x:v>
      </x:c>
      <x:c r="C963" s="83" t="n">
        <x:v>0.9636306278219049</x:v>
      </x:c>
      <x:c r="D963" s="83" t="n">
        <x:v>0.6141203097752913</x:v>
      </x:c>
      <x:c r="E963" s="81" t="n">
        <x:v>-0.03456398735266982</x:v>
      </x:c>
      <x:c r="F963" s="81" t="n">
        <x:v>0.38525615110993383</x:v>
      </x:c>
      <x:c r="G963" s="81" t="n">
        <x:v>-0.01586521722312543</x:v>
      </x:c>
      <x:c r="H963" s="59" t="n">
        <x:v>24</x:v>
      </x:c>
      <x:c r="I963" s="81" t="n">
        <x:v>0.4305307720787823</x:v>
      </x:c>
      <x:c r="J963" s="79" t="n">
        <x:v>3.332263874232544e-16</x:v>
      </x:c>
      <x:c r="K963" s="81" t="n">
        <x:v>-0.9999999999996192</x:v>
      </x:c>
      <x:c r="L963" s="81" t="n">
        <x:v>-0.9999999999996192</x:v>
      </x:c>
      <x:c r="M963" s="80" t="n">
        <x:v>0.006319749991312357</x:v>
      </x:c>
      <x:c r="N963" s="82" t="n">
        <x:v>0.23247109633474602</x:v>
      </x:c>
      <x:c r="O963" s="82" t="n">
        <x:v>0.08460372542724098</x:v>
      </x:c>
      <x:c r="P963" s="80" t="n">
        <x:v>730.322214206098</x:v>
      </x:c>
      <x:c r="Q963" s="81" t="n">
        <x:v>573.396250295848</x:v>
      </x:c>
      <x:c r="R963" s="81" t="n">
        <x:v>6.61087542741356</x:v>
      </x:c>
      <x:c r="S963" s="81" t="n">
        <x:v>7.372930614029931e-7</x:v>
      </x:c>
      <x:c r="T963" s="81" t="n">
        <x:v>7.218411057827386e-12</x:v>
      </x:c>
    </x:row>
    <x:row r="964">
      <x:c r="A964" s="59" t="n">
        <x:v>961</x:v>
      </x:c>
      <x:c r="B964" s="193" t="n">
        <x:v>0.4449658177793026</x:v>
      </x:c>
      <x:c r="C964" s="83" t="n">
        <x:v>0.3007006294546397</x:v>
      </x:c>
      <x:c r="D964" s="83" t="n">
        <x:v>0.4483422018238042</x:v>
      </x:c>
      <x:c r="E964" s="81" t="n">
        <x:v>-0.018130235663812062</x:v>
      </x:c>
      <x:c r="F964" s="81" t="n">
        <x:v>0.5817467223620043</x:v>
      </x:c>
      <x:c r="G964" s="81" t="n">
        <x:v>-0.0031366369575087194</x:v>
      </x:c>
      <x:c r="H964" s="59" t="n">
        <x:v>0</x:v>
      </x:c>
      <x:c r="I964" s="81" t="n">
        <x:v>0</x:v>
      </x:c>
      <x:c r="J964" s="79" t="n">
        <x:v>3.3074906314659264e-10</x:v>
      </x:c>
      <x:c r="K964" s="81" t="n">
        <x:v>-0.9999996220010707</x:v>
      </x:c>
      <x:c r="L964" s="81" t="n">
        <x:v>-0.9999996220010707</x:v>
      </x:c>
      <x:c r="M964" s="80" t="n">
        <x:v>4.08739745180218</x:v>
      </x:c>
      <x:c r="N964" s="82" t="n">
        <x:v>0.20809295090411328</x:v>
      </x:c>
      <x:c r="O964" s="82" t="n">
        <x:v>0.11435686888793507</x:v>
      </x:c>
      <x:c r="P964" s="80" t="n">
        <x:v>543.2345050875218</x:v>
      </x:c>
      <x:c r="Q964" s="81" t="n">
        <x:v>0.6881090997493478</x:v>
      </x:c>
      <x:c r="R964" s="81" t="n">
        <x:v>25.127475055736987</x:v>
      </x:c>
      <x:c r="S964" s="81" t="n">
        <x:v>0.0006236434171322602</x:v>
      </x:c>
      <x:c r="T964" s="81" t="n">
        <x:v>0.000007164746805453021</x:v>
      </x:c>
    </x:row>
    <x:row r="965">
      <x:c r="A965" s="59" t="n">
        <x:v>962</x:v>
      </x:c>
      <x:c r="B965" s="193" t="n">
        <x:v>0.8064389368519187</x:v>
      </x:c>
      <x:c r="C965" s="83" t="n">
        <x:v>0.8207507105456647</x:v>
      </x:c>
      <x:c r="D965" s="83" t="n">
        <x:v>0.5554694612185281</x:v>
      </x:c>
      <x:c r="E965" s="81" t="n">
        <x:v>0.11678354803397109</x:v>
      </x:c>
      <x:c r="F965" s="81" t="n">
        <x:v>0.34925834883470086</x:v>
      </x:c>
      <x:c r="G965" s="81" t="n">
        <x:v>0.04520481594425501</x:v>
      </x:c>
      <x:c r="H965" s="59" t="n">
        <x:v>67</x:v>
      </x:c>
      <x:c r="I965" s="81" t="n">
        <x:v>0.37488309973850853</x:v>
      </x:c>
      <x:c r="J965" s="79" t="n">
        <x:v>0.021336808607093083</x:v>
      </x:c>
      <x:c r="K965" s="81" t="n">
        <x:v>23.384924122392096</x:v>
      </x:c>
      <x:c r="L965" s="81" t="n">
        <x:v>-0.9186920851749799</x:v>
      </x:c>
      <x:c r="M965" s="80" t="n">
        <x:v>61567.38759730868</x:v>
      </x:c>
      <x:c r="N965" s="82" t="n">
        <x:v>0.2942026254881932</x:v>
      </x:c>
      <x:c r="O965" s="82" t="n">
        <x:v>0.09706536286394399</x:v>
      </x:c>
      <x:c r="P965" s="80" t="n">
        <x:v>64643.54557130322</x:v>
      </x:c>
      <x:c r="Q965" s="81" t="n">
        <x:v>0.002254825407478986</x:v>
      </x:c>
      <x:c r="R965" s="81" t="n">
        <x:v>224.4635774736749</x:v>
      </x:c>
      <x:c r="S965" s="81" t="n">
        <x:v>498.05108820508576</x:v>
      </x:c>
      <x:c r="T965" s="81" t="n">
        <x:v>462.2018573593881</x:v>
      </x:c>
    </x:row>
    <x:row r="966">
      <x:c r="A966" s="59" t="n">
        <x:v>963</x:v>
      </x:c>
      <x:c r="B966" s="193" t="n">
        <x:v>0.9593309419229628</x:v>
      </x:c>
      <x:c r="C966" s="83" t="n">
        <x:v>0.1327679707307849</x:v>
      </x:c>
      <x:c r="D966" s="83" t="n">
        <x:v>0.6582707264720647</x:v>
      </x:c>
      <x:c r="E966" s="81" t="n">
        <x:v>0.018968555705480998</x:v>
      </x:c>
      <x:c r="F966" s="81" t="n">
        <x:v>0.47886985045624897</x:v>
      </x:c>
      <x:c r="G966" s="81" t="n">
        <x:v>-0.04179864825145372</x:v>
      </x:c>
      <x:c r="H966" s="59" t="n">
        <x:v>80</x:v>
      </x:c>
      <x:c r="I966" s="81" t="n">
        <x:v>0.37668595910072333</x:v>
      </x:c>
      <x:c r="J966" s="79" t="n">
        <x:v>0.000014918911750464532</x:v>
      </x:c>
      <x:c r="K966" s="81" t="n">
        <x:v>-0.9829498151423263</x:v>
      </x:c>
      <x:c r="L966" s="81" t="n">
        <x:v>-0.9829498151423263</x:v>
      </x:c>
      <x:c r="M966" s="80" t="n">
        <x:v>775.5668570722445</x:v>
      </x:c>
      <x:c r="N966" s="82" t="n">
        <x:v>0.33062436782121063</x:v>
      </x:c>
      <x:c r="O966" s="82" t="n">
        <x:v>0.14956269963105906</x:v>
      </x:c>
      <x:c r="P966" s="80" t="n">
        <x:v>1629.9640730565852</x:v>
      </x:c>
      <x:c r="Q966" s="81" t="n">
        <x:v>0.014413859737867735</x:v>
      </x:c>
      <x:c r="R966" s="81" t="n">
        <x:v>90.45381607196761</x:v>
      </x:c>
      <x:c r="S966" s="81" t="n">
        <x:v>2.2062105396056055</x:v>
      </x:c>
      <x:c r="T966" s="81" t="n">
        <x:v>0.3231761997693129</x:v>
      </x:c>
    </x:row>
    <x:row r="967">
      <x:c r="A967" s="59" t="n">
        <x:v>964</x:v>
      </x:c>
      <x:c r="B967" s="193" t="n">
        <x:v>0.41558637693524364</x:v>
      </x:c>
      <x:c r="C967" s="83" t="n">
        <x:v>1.9024057835198633</x:v>
      </x:c>
      <x:c r="D967" s="83" t="n">
        <x:v>1.1951308641153875</x:v>
      </x:c>
      <x:c r="E967" s="81" t="n">
        <x:v>-0.029594786538025636</x:v>
      </x:c>
      <x:c r="F967" s="81" t="n">
        <x:v>0.51022030999884</x:v>
      </x:c>
      <x:c r="G967" s="81" t="n">
        <x:v>-0.015324448782251011</x:v>
      </x:c>
      <x:c r="H967" s="59" t="n">
        <x:v>0</x:v>
      </x:c>
      <x:c r="I967" s="81" t="n">
        <x:v>0</x:v>
      </x:c>
      <x:c r="J967" s="79" t="n">
        <x:v>1.352414418028191e-23</x:v>
      </x:c>
      <x:c r="K967" s="81" t="n">
        <x:v>-1</x:v>
      </x:c>
      <x:c r="L967" s="81" t="n">
        <x:v>-1</x:v>
      </x:c>
      <x:c r="M967" s="80" t="n">
        <x:v>0.000002</x:v>
      </x:c>
      <x:c r="N967" s="82" t="n">
        <x:v>0.20109421723054252</x:v>
      </x:c>
      <x:c r="O967" s="82" t="n">
        <x:v>0.09692331645654147</x:v>
      </x:c>
      <x:c r="P967" s="80" t="n">
        <x:v>1480.8971771141735</x:v>
      </x:c>
      <x:c r="Q967" s="81" t="n">
        <x:v>5196801.533123498</x:v>
      </x:c>
      <x:c r="R967" s="81" t="n">
        <x:v>3.1956960938131247</x:v>
      </x:c>
      <x:c r="S967" s="81" t="n">
        <x:v>2.9892448398386064e-10</x:v>
      </x:c>
      <x:c r="T967" s="81" t="n">
        <x:v>2.929624891158489e-19</x:v>
      </x:c>
    </x:row>
    <x:row r="968">
      <x:c r="A968" s="59" t="n">
        <x:v>965</x:v>
      </x:c>
      <x:c r="B968" s="193" t="n">
        <x:v>0.9526781493797898</x:v>
      </x:c>
      <x:c r="C968" s="83" t="n">
        <x:v>0.8198010678474851</x:v>
      </x:c>
      <x:c r="D968" s="83" t="n">
        <x:v>0.8455509047123231</x:v>
      </x:c>
      <x:c r="E968" s="81" t="n">
        <x:v>0.041292637561783384</x:v>
      </x:c>
      <x:c r="F968" s="81" t="n">
        <x:v>0.3662517422577366</x:v>
      </x:c>
      <x:c r="G968" s="81" t="n">
        <x:v>-0.011713046705765609</x:v>
      </x:c>
      <x:c r="H968" s="59" t="n">
        <x:v>0</x:v>
      </x:c>
      <x:c r="I968" s="81" t="n">
        <x:v>0</x:v>
      </x:c>
      <x:c r="J968" s="79" t="n">
        <x:v>0.001070219184738898</x:v>
      </x:c>
      <x:c r="K968" s="81" t="n">
        <x:v>0.22310763970159786</x:v>
      </x:c>
      <x:c r="L968" s="81" t="n">
        <x:v>-0.7014570104846513</x:v>
      </x:c>
      <x:c r="M968" s="80" t="n">
        <x:v>11493.591508307287</x:v>
      </x:c>
      <x:c r="N968" s="82" t="n">
        <x:v>0.32903954789756684</x:v>
      </x:c>
      <x:c r="O968" s="82" t="n">
        <x:v>0.11384101020072226</x:v>
      </x:c>
      <x:c r="P968" s="80" t="n">
        <x:v>19329.109502596</x:v>
      </x:c>
      <x:c r="Q968" s="81" t="n">
        <x:v>0.006143536636061983</x:v>
      </x:c>
      <x:c r="R968" s="81" t="n">
        <x:v>63.573392813227244</x:v>
      </x:c>
      <x:c r="S968" s="81" t="n">
        <x:v>26.342458553629957</x:v>
      </x:c>
      <x:c r="T968" s="81" t="n">
        <x:v>23.183284064493495</x:v>
      </x:c>
    </x:row>
    <x:row r="969">
      <x:c r="A969" s="59" t="n">
        <x:v>966</x:v>
      </x:c>
      <x:c r="B969" s="193" t="n">
        <x:v>0.29631169158965354</x:v>
      </x:c>
      <x:c r="C969" s="83" t="n">
        <x:v>0.5107087159116015</x:v>
      </x:c>
      <x:c r="D969" s="83" t="n">
        <x:v>0.5746567707599404</x:v>
      </x:c>
      <x:c r="E969" s="81" t="n">
        <x:v>0.03779382911641399</x:v>
      </x:c>
      <x:c r="F969" s="81" t="n">
        <x:v>0.7315039016888477</x:v>
      </x:c>
      <x:c r="G969" s="81" t="n">
        <x:v>0.015249837676885961</x:v>
      </x:c>
      <x:c r="H969" s="59" t="n">
        <x:v>0</x:v>
      </x:c>
      <x:c r="I969" s="81" t="n">
        <x:v>0</x:v>
      </x:c>
      <x:c r="J969" s="79" t="n">
        <x:v>0.00045957134242433534</x:v>
      </x:c>
      <x:c r="K969" s="81" t="n">
        <x:v>-0.47477560865790236</x:v>
      </x:c>
      <x:c r="L969" s="81" t="n">
        <x:v>-0.7911465472347085</x:v>
      </x:c>
      <x:c r="M969" s="80" t="n">
        <x:v>6051.466929164487</x:v>
      </x:c>
      <x:c r="N969" s="82" t="n">
        <x:v>0.17268075078087292</x:v>
      </x:c>
      <x:c r="O969" s="82" t="n">
        <x:v>0.11932502031143026</x:v>
      </x:c>
      <x:c r="P969" s="80" t="n">
        <x:v>7586.8343944465205</x:v>
      </x:c>
      <x:c r="Q969" s="81" t="n">
        <x:v>0.0067986941274957025</x:v>
      </x:c>
      <x:c r="R969" s="81" t="n">
        <x:v>49.30401873566348</x:v>
      </x:c>
      <x:c r="S969" s="81" t="n">
        <x:v>17.960868123768275</x:v>
      </x:c>
      <x:c r="T969" s="81" t="n">
        <x:v>9.955318621879622</x:v>
      </x:c>
    </x:row>
    <x:row r="970">
      <x:c r="A970" s="59" t="n">
        <x:v>967</x:v>
      </x:c>
      <x:c r="B970" s="193" t="n">
        <x:v>0.21451482083648443</x:v>
      </x:c>
      <x:c r="C970" s="83" t="n">
        <x:v>1.5997275409650775</x:v>
      </x:c>
      <x:c r="D970" s="83" t="n">
        <x:v>1.279598465748096</x:v>
      </x:c>
      <x:c r="E970" s="81" t="n">
        <x:v>-0.04952739585963662</x:v>
      </x:c>
      <x:c r="F970" s="81" t="n">
        <x:v>0.4362799436086789</x:v>
      </x:c>
      <x:c r="G970" s="81" t="n">
        <x:v>0.021697450336082058</x:v>
      </x:c>
      <x:c r="H970" s="59" t="n">
        <x:v>0</x:v>
      </x:c>
      <x:c r="I970" s="81" t="n">
        <x:v>0</x:v>
      </x:c>
      <x:c r="J970" s="79" t="n">
        <x:v>5.483219479216013e-35</x:v>
      </x:c>
      <x:c r="K970" s="81" t="n">
        <x:v>-1</x:v>
      </x:c>
      <x:c r="L970" s="81" t="n">
        <x:v>-1</x:v>
      </x:c>
      <x:c r="M970" s="80" t="n">
        <x:v>0.000002</x:v>
      </x:c>
      <x:c r="N970" s="82" t="n">
        <x:v>0.15319520247614124</x:v>
      </x:c>
      <x:c r="O970" s="82" t="n">
        <x:v>0.06313662389434029</x:v>
      </x:c>
      <x:c r="P970" s="80" t="n">
        <x:v>874.2297616900659</x:v>
      </x:c>
      <x:c r="Q970" s="81" t="n">
        <x:v>780741845919346400</x:v>
      </x:c>
      <x:c r="R970" s="81" t="n">
        <x:v>2.2485499311221124</x:v>
      </x:c>
      <x:c r="S970" s="81" t="n">
        <x:v>5.598496553790038e-10</x:v>
      </x:c>
      <x:c r="T970" s="81" t="n">
        <x:v>1.1877850498974397e-30</x:v>
      </x:c>
    </x:row>
    <x:row r="971">
      <x:c r="A971" s="59" t="n">
        <x:v>968</x:v>
      </x:c>
      <x:c r="B971" s="193" t="n">
        <x:v>0.2444660009816289</x:v>
      </x:c>
      <x:c r="C971" s="83" t="n">
        <x:v>0.10888495603551686</x:v>
      </x:c>
      <x:c r="D971" s="83" t="n">
        <x:v>0.5240884730531579</x:v>
      </x:c>
      <x:c r="E971" s="81" t="n">
        <x:v>0.08000070394005981</x:v>
      </x:c>
      <x:c r="F971" s="81" t="n">
        <x:v>0.5388962653814815</x:v>
      </x:c>
      <x:c r="G971" s="81" t="n">
        <x:v>0.04632690192243785</x:v>
      </x:c>
      <x:c r="H971" s="59" t="n">
        <x:v>52</x:v>
      </x:c>
      <x:c r="I971" s="81" t="n">
        <x:v>0.17748625623062253</x:v>
      </x:c>
      <x:c r="J971" s="79" t="n">
        <x:v>0.004443381929453056</x:v>
      </x:c>
      <x:c r="K971" s="81" t="n">
        <x:v>4.078150776517779</x:v>
      </x:c>
      <x:c r="L971" s="81" t="n">
        <x:v>-0.8005025454457585</x:v>
      </x:c>
      <x:c r="M971" s="80" t="n">
        <x:v>15518.481919916163</x:v>
      </x:c>
      <x:c r="N971" s="82" t="n">
        <x:v>0.16033013517134242</x:v>
      </x:c>
      <x:c r="O971" s="82" t="n">
        <x:v>0.08161900093612531</x:v>
      </x:c>
      <x:c r="P971" s="80" t="n">
        <x:v>16408.494044645056</x:v>
      </x:c>
      <x:c r="Q971" s="81" t="n">
        <x:v>0.0025145371236827327</x:v>
      </x:c>
      <x:c r="R971" s="81" t="n">
        <x:v>528.4911883024245</x:v>
      </x:c>
      <x:c r="S971" s="81" t="n">
        <x:v>763.6418243842487</x:v>
      </x:c>
      <x:c r="T971" s="81" t="n">
        <x:v>96.2533534685975</x:v>
      </x:c>
    </x:row>
    <x:row r="972">
      <x:c r="A972" s="59" t="n">
        <x:v>969</x:v>
      </x:c>
      <x:c r="B972" s="193" t="n">
        <x:v>0.7239402087405324</x:v>
      </x:c>
      <x:c r="C972" s="83" t="n">
        <x:v>0.7420769570585198</x:v>
      </x:c>
      <x:c r="D972" s="83" t="n">
        <x:v>0.38812870908492614</x:v>
      </x:c>
      <x:c r="E972" s="81" t="n">
        <x:v>0.013347212147423617</x:v>
      </x:c>
      <x:c r="F972" s="81" t="n">
        <x:v>0.3021905645495281</x:v>
      </x:c>
      <x:c r="G972" s="81" t="n">
        <x:v>0.02869520258456821</x:v>
      </x:c>
      <x:c r="H972" s="59" t="n">
        <x:v>55</x:v>
      </x:c>
      <x:c r="I972" s="81" t="n">
        <x:v>0.29592643715441225</x:v>
      </x:c>
      <x:c r="J972" s="79" t="n">
        <x:v>0.00008908836498903181</x:v>
      </x:c>
      <x:c r="K972" s="81" t="n">
        <x:v>-0.8981847257268207</x:v>
      </x:c>
      <x:c r="L972" s="81" t="n">
        <x:v>-0.9240040081508476</x:v>
      </x:c>
      <x:c r="M972" s="80" t="n">
        <x:v>2863.9332479746768</x:v>
      </x:c>
      <x:c r="N972" s="82" t="n">
        <x:v>0.27454988160090865</x:v>
      </x:c>
      <x:c r="O972" s="82" t="n">
        <x:v>0.07837419671452128</x:v>
      </x:c>
      <x:c r="P972" s="80" t="n">
        <x:v>3337.9135784167024</x:v>
      </x:c>
      <x:c r="Q972" s="81" t="n">
        <x:v>0.010830967812558333</x:v>
      </x:c>
      <x:c r="R972" s="81" t="n">
        <x:v>22.702755223047394</x:v>
      </x:c>
      <x:c r="S972" s="81" t="n">
        <x:v>2.627483073457834</x:v>
      </x:c>
      <x:c r="T972" s="81" t="n">
        <x:v>1.9298484850894249</x:v>
      </x:c>
    </x:row>
    <x:row r="973">
      <x:c r="A973" s="59" t="n">
        <x:v>970</x:v>
      </x:c>
      <x:c r="B973" s="193" t="n">
        <x:v>0.37225830350071193</x:v>
      </x:c>
      <x:c r="C973" s="83" t="n">
        <x:v>0.1302525524871399</x:v>
      </x:c>
      <x:c r="D973" s="83" t="n">
        <x:v>1.7115097656223837</x:v>
      </x:c>
      <x:c r="E973" s="81" t="n">
        <x:v>-0.16862356396128472</x:v>
      </x:c>
      <x:c r="F973" s="81" t="n">
        <x:v>0.8721082662814297</x:v>
      </x:c>
      <x:c r="G973" s="81" t="n">
        <x:v>-0.015313856094919613</x:v>
      </x:c>
      <x:c r="H973" s="59" t="n">
        <x:v>0</x:v>
      </x:c>
      <x:c r="I973" s="81" t="n">
        <x:v>0</x:v>
      </x:c>
      <x:c r="J973" s="79" t="n">
        <x:v>5.035520554872426e-80</x:v>
      </x:c>
      <x:c r="K973" s="81" t="n">
        <x:v>-1</x:v>
      </x:c>
      <x:c r="L973" s="81" t="n">
        <x:v>-1</x:v>
      </x:c>
      <x:c r="M973" s="80" t="n">
        <x:v>0.000002</x:v>
      </x:c>
      <x:c r="N973" s="82" t="n">
        <x:v>0.19077265773706042</x:v>
      </x:c>
      <x:c r="O973" s="82" t="n">
        <x:v>0.15716559278331269</x:v>
      </x:c>
      <x:c r="P973" s="80" t="n">
        <x:v>156.91287744569544</x:v>
      </x:c>
      <x:c r="Q973" s="81" t="n">
        <x:v>2.7803969469498785e+62</x:v>
      </x:c>
      <x:c r="R973" s="81" t="n">
        <x:v>3.5366550737075126</x:v>
      </x:c>
      <x:c r="S973" s="81" t="n">
        <x:v>1.0994231648528517e-9</x:v>
      </x:c>
      <x:c r="T973" s="81" t="n">
        <x:v>1.0908036886358422e-75</x:v>
      </x:c>
    </x:row>
    <x:row r="974">
      <x:c r="A974" s="59" t="n">
        <x:v>971</x:v>
      </x:c>
      <x:c r="B974" s="193" t="n">
        <x:v>0.31576927062124016</x:v>
      </x:c>
      <x:c r="C974" s="83" t="n">
        <x:v>1.5383980309322336</x:v>
      </x:c>
      <x:c r="D974" s="83" t="n">
        <x:v>0.2126847156797026</x:v>
      </x:c>
      <x:c r="E974" s="81" t="n">
        <x:v>-0.10638184156449855</x:v>
      </x:c>
      <x:c r="F974" s="81" t="n">
        <x:v>0.30519232009537517</x:v>
      </x:c>
      <x:c r="G974" s="81" t="n">
        <x:v>0.014620668643181052</x:v>
      </x:c>
      <x:c r="H974" s="59" t="n">
        <x:v>0</x:v>
      </x:c>
      <x:c r="I974" s="81" t="n">
        <x:v>0</x:v>
      </x:c>
      <x:c r="J974" s="79" t="n">
        <x:v>3.48454576635755e-19</x:v>
      </x:c>
      <x:c r="K974" s="81" t="n">
        <x:v>-0.9999999999999996</x:v>
      </x:c>
      <x:c r="L974" s="81" t="n">
        <x:v>-0.9999999999999996</x:v>
      </x:c>
      <x:c r="M974" s="80" t="n">
        <x:v>0.0002668170812512907</x:v>
      </x:c>
      <x:c r="N974" s="82" t="n">
        <x:v>0.17731591093580348</x:v>
      </x:c>
      <x:c r="O974" s="82" t="n">
        <x:v>0.051120165378912896</x:v>
      </x:c>
      <x:c r="P974" s="80" t="n">
        <x:v>352.14268393698626</x:v>
      </x:c>
      <x:c r="Q974" s="81" t="n">
        <x:v>8043.957028069131</x:v>
      </x:c>
      <x:c r="R974" s="81" t="n">
        <x:v>4.148229915900248</x:v>
      </x:c>
      <x:c r="S974" s="81" t="n">
        <x:v>1.2307625741301403e-8</x:v>
      </x:c>
      <x:c r="T974" s="81" t="n">
        <x:v>7.548286882644887e-15</x:v>
      </x:c>
    </x:row>
    <x:row r="975">
      <x:c r="A975" s="59" t="n">
        <x:v>972</x:v>
      </x:c>
      <x:c r="B975" s="193" t="n">
        <x:v>0.609162249788642</x:v>
      </x:c>
      <x:c r="C975" s="83" t="n">
        <x:v>2.416901672358015</x:v>
      </x:c>
      <x:c r="D975" s="83" t="n">
        <x:v>1.5567545196322152</x:v>
      </x:c>
      <x:c r="E975" s="81" t="n">
        <x:v>-0.09212548679950128</x:v>
      </x:c>
      <x:c r="F975" s="81" t="n">
        <x:v>0.6016010814695619</x:v>
      </x:c>
      <x:c r="G975" s="81" t="n">
        <x:v>-0.007951404240205307</x:v>
      </x:c>
      <x:c r="H975" s="59" t="n">
        <x:v>0</x:v>
      </x:c>
      <x:c r="I975" s="81" t="n">
        <x:v>0</x:v>
      </x:c>
      <x:c r="J975" s="79" t="n">
        <x:v>6.788364120509451e-52</x:v>
      </x:c>
      <x:c r="K975" s="81" t="n">
        <x:v>-1</x:v>
      </x:c>
      <x:c r="L975" s="81" t="n">
        <x:v>-1</x:v>
      </x:c>
      <x:c r="M975" s="80" t="n">
        <x:v>0.000002</x:v>
      </x:c>
      <x:c r="N975" s="82" t="n">
        <x:v>0.24720761969183824</x:v>
      </x:c>
      <x:c r="O975" s="82" t="n">
        <x:v>0.14048870298583682</x:v>
      </x:c>
      <x:c r="P975" s="80" t="n">
        <x:v>711.2051481712778</x:v>
      </x:c>
      <x:c r="Q975" s="81" t="n">
        <x:v>3.527949974299431e+34</x:v>
      </x:c>
      <x:c r="R975" s="81" t="n">
        <x:v>0.9070738406620802</x:v>
      </x:c>
      <x:c r="S975" s="81" t="n">
        <x:v>3.621673357749786e-10</x:v>
      </x:c>
      <x:c r="T975" s="81" t="n">
        <x:v>1.4705078733697103e-47</x:v>
      </x:c>
    </x:row>
    <x:row r="976">
      <x:c r="A976" s="59" t="n">
        <x:v>973</x:v>
      </x:c>
      <x:c r="B976" s="193" t="n">
        <x:v>0.4919293912127614</x:v>
      </x:c>
      <x:c r="C976" s="83" t="n">
        <x:v>0.11767496442694017</x:v>
      </x:c>
      <x:c r="D976" s="83" t="n">
        <x:v>1.5662903662827004</x:v>
      </x:c>
      <x:c r="E976" s="81" t="n">
        <x:v>-0.10456697409118348</x:v>
      </x:c>
      <x:c r="F976" s="81" t="n">
        <x:v>0.4581373193766922</x:v>
      </x:c>
      <x:c r="G976" s="81" t="n">
        <x:v>-0.01411536304324828</x:v>
      </x:c>
      <x:c r="H976" s="59" t="n">
        <x:v>0</x:v>
      </x:c>
      <x:c r="I976" s="81" t="n">
        <x:v>0</x:v>
      </x:c>
      <x:c r="J976" s="79" t="n">
        <x:v>8.797834656073488e-55</x:v>
      </x:c>
      <x:c r="K976" s="81" t="n">
        <x:v>-1</x:v>
      </x:c>
      <x:c r="L976" s="81" t="n">
        <x:v>-1</x:v>
      </x:c>
      <x:c r="M976" s="80" t="n">
        <x:v>0.000002</x:v>
      </x:c>
      <x:c r="N976" s="82" t="n">
        <x:v>0.219280554662965</x:v>
      </x:c>
      <x:c r="O976" s="82" t="n">
        <x:v>0.0949001138177906</x:v>
      </x:c>
      <x:c r="P976" s="80" t="n">
        <x:v>209.30112876934948</x:v>
      </x:c>
      <x:c r="Q976" s="81" t="n">
        <x:v>2.4255851130183295e+37</x:v>
      </x:c>
      <x:c r="R976" s="81" t="n">
        <x:v>7.372568808736089</x:v>
      </x:c>
      <x:c r="S976" s="81" t="n">
        <x:v>1.0326307776632825e-9</x:v>
      </x:c>
      <x:c r="T976" s="81" t="n">
        <x:v>1.9058030625189924e-50</x:v>
      </x:c>
    </x:row>
    <x:row r="977">
      <x:c r="A977" s="59" t="n">
        <x:v>974</x:v>
      </x:c>
      <x:c r="B977" s="193" t="n">
        <x:v>0.8883132491260768</x:v>
      </x:c>
      <x:c r="C977" s="83" t="n">
        <x:v>0.2947376713910815</x:v>
      </x:c>
      <x:c r="D977" s="83" t="n">
        <x:v>0.8788568857529915</x:v>
      </x:c>
      <x:c r="E977" s="81" t="n">
        <x:v>0.017065031193194892</x:v>
      </x:c>
      <x:c r="F977" s="81" t="n">
        <x:v>0.8222914766753092</x:v>
      </x:c>
      <x:c r="G977" s="81" t="n">
        <x:v>-0.019962011048387355</x:v>
      </x:c>
      <x:c r="H977" s="59" t="n">
        <x:v>0</x:v>
      </x:c>
      <x:c r="I977" s="81" t="n">
        <x:v>0</x:v>
      </x:c>
      <x:c r="J977" s="79" t="n">
        <x:v>0.000016844884793877952</x:v>
      </x:c>
      <x:c r="K977" s="81" t="n">
        <x:v>-0.9807487030927109</x:v>
      </x:c>
      <x:c r="L977" s="81" t="n">
        <x:v>-0.9807563438723927</x:v>
      </x:c>
      <x:c r="M977" s="80" t="n">
        <x:v>955.8737868881633</x:v>
      </x:c>
      <x:c r="N977" s="82" t="n">
        <x:v>0.31370662181525244</x:v>
      </x:c>
      <x:c r="O977" s="82" t="n">
        <x:v>0.24368029768656913</x:v>
      </x:c>
      <x:c r="P977" s="80" t="n">
        <x:v>2467.981734840316</x:v>
      </x:c>
      <x:c r="Q977" s="81" t="n">
        <x:v>0.02716674204405935</x:v>
      </x:c>
      <x:c r="R977" s="81" t="n">
        <x:v>34.57082771277788</x:v>
      </x:c>
      <x:c r="S977" s="81" t="n">
        <x:v>1.2872155202596505</x:v>
      </x:c>
      <x:c r="T977" s="81" t="n">
        <x:v>0.3648969807109324</x:v>
      </x:c>
    </x:row>
    <x:row r="978">
      <x:c r="A978" s="59" t="n">
        <x:v>975</x:v>
      </x:c>
      <x:c r="B978" s="193" t="n">
        <x:v>0.8511820817366242</x:v>
      </x:c>
      <x:c r="C978" s="83" t="n">
        <x:v>0.1863986153804789</x:v>
      </x:c>
      <x:c r="D978" s="83" t="n">
        <x:v>0.6400472460098718</x:v>
      </x:c>
      <x:c r="E978" s="81" t="n">
        <x:v>-0.026906873539245035</x:v>
      </x:c>
      <x:c r="F978" s="81" t="n">
        <x:v>0.7052141629043036</x:v>
      </x:c>
      <x:c r="G978" s="81" t="n">
        <x:v>-0.031575010730150385</x:v>
      </x:c>
      <x:c r="H978" s="59" t="n">
        <x:v>16</x:v>
      </x:c>
      <x:c r="I978" s="81" t="n">
        <x:v>0.25604810686782004</x:v>
      </x:c>
      <x:c r="J978" s="79" t="n">
        <x:v>6.06073323119147e-14</x:v>
      </x:c>
      <x:c r="K978" s="81" t="n">
        <x:v>-0.9999999999307345</x:v>
      </x:c>
      <x:c r="L978" s="81" t="n">
        <x:v>-0.9999999999307345</x:v>
      </x:c>
      <x:c r="M978" s="80" t="n">
        <x:v>0.05110399153969827</x:v>
      </x:c>
      <x:c r="N978" s="82" t="n">
        <x:v>0.30486128153369657</x:v>
      </x:c>
      <x:c r="O978" s="82" t="n">
        <x:v>0.2030926649973597</x:v>
      </x:c>
      <x:c r="P978" s="80" t="n">
        <x:v>376.58744575698006</x:v>
      </x:c>
      <x:c r="Q978" s="81" t="n">
        <x:v>32.49073366906042</x:v>
      </x:c>
      <x:c r="R978" s="81" t="n">
        <x:v>23.25588467508954</x:v>
      </x:c>
      <x:c r="S978" s="81" t="n">
        <x:v>0.000008367650435350585</x:v>
      </x:c>
      <x:c r="T978" s="81" t="n">
        <x:v>1.3128871369663135e-9</x:v>
      </x:c>
    </x:row>
    <x:row r="979">
      <x:c r="A979" s="59" t="n">
        <x:v>976</x:v>
      </x:c>
      <x:c r="B979" s="193" t="n">
        <x:v>0.3094191025942564</x:v>
      </x:c>
      <x:c r="C979" s="83" t="n">
        <x:v>0.1126536685235243</x:v>
      </x:c>
      <x:c r="D979" s="83" t="n">
        <x:v>0.4099655854037615</x:v>
      </x:c>
      <x:c r="E979" s="81" t="n">
        <x:v>-0.11058453681016324</x:v>
      </x:c>
      <x:c r="F979" s="81" t="n">
        <x:v>0.39410263932077216</x:v>
      </x:c>
      <x:c r="G979" s="81" t="n">
        <x:v>0.00033986711135171663</x:v>
      </x:c>
      <x:c r="H979" s="59" t="n">
        <x:v>0</x:v>
      </x:c>
      <x:c r="I979" s="81" t="n">
        <x:v>0</x:v>
      </x:c>
      <x:c r="J979" s="79" t="n">
        <x:v>4.602912453669031e-27</x:v>
      </x:c>
      <x:c r="K979" s="81" t="n">
        <x:v>-1</x:v>
      </x:c>
      <x:c r="L979" s="81" t="n">
        <x:v>-1</x:v>
      </x:c>
      <x:c r="M979" s="80" t="n">
        <x:v>0.000002</x:v>
      </x:c>
      <x:c r="N979" s="82" t="n">
        <x:v>0.17580318184612553</x:v>
      </x:c>
      <x:c r="O979" s="82" t="n">
        <x:v>0.06544960295431038</x:v>
      </x:c>
      <x:c r="P979" s="80" t="n">
        <x:v>153.5476907675374</x:v>
      </x:c>
      <x:c r="Q979" s="81" t="n">
        <x:v>4407773863.410308</x:v>
      </x:c>
      <x:c r="R979" s="81" t="n">
        <x:v>27.16391103257114</x:v>
      </x:c>
      <x:c r="S979" s="81" t="n">
        <x:v>3.241059676258666e-10</x:v>
      </x:c>
      <x:c r="T979" s="81" t="n">
        <x:v>9.970913291321552e-23</x:v>
      </x:c>
    </x:row>
    <x:row r="980">
      <x:c r="A980" s="59" t="n">
        <x:v>977</x:v>
      </x:c>
      <x:c r="B980" s="193" t="n">
        <x:v>0.46691576503217225</x:v>
      </x:c>
      <x:c r="C980" s="83" t="n">
        <x:v>0.1783677703026672</x:v>
      </x:c>
      <x:c r="D980" s="83" t="n">
        <x:v>0.3598908687864584</x:v>
      </x:c>
      <x:c r="E980" s="81" t="n">
        <x:v>-0.09096886081068199</x:v>
      </x:c>
      <x:c r="F980" s="81" t="n">
        <x:v>0.8787838381482288</x:v>
      </x:c>
      <x:c r="G980" s="81" t="n">
        <x:v>0.029832843167800372</x:v>
      </x:c>
      <x:c r="H980" s="59" t="n">
        <x:v>79</x:v>
      </x:c>
      <x:c r="I980" s="81" t="n">
        <x:v>0.18071410078555347</x:v>
      </x:c>
      <x:c r="J980" s="79" t="n">
        <x:v>1.5679792982827008e-25</x:v>
      </x:c>
      <x:c r="K980" s="81" t="n">
        <x:v>-1</x:v>
      </x:c>
      <x:c r="L980" s="81" t="n">
        <x:v>-1</x:v>
      </x:c>
      <x:c r="M980" s="80" t="n">
        <x:v>0.000002</x:v>
      </x:c>
      <x:c r="N980" s="82" t="n">
        <x:v>0.2133218399012577</x:v>
      </x:c>
      <x:c r="O980" s="82" t="n">
        <x:v>0.17708766999353548</x:v>
      </x:c>
      <x:c r="P980" s="80" t="n">
        <x:v>162.47634722964727</x:v>
      </x:c>
      <x:c r="Q980" s="81" t="n">
        <x:v>154516220.0009979</x:v>
      </x:c>
      <x:c r="R980" s="81" t="n">
        <x:v>18.43384586011598</x:v>
      </x:c>
      <x:c r="S980" s="81" t="n">
        <x:v>3.825804076519695e-10</x:v>
      </x:c>
      <x:c r="T980" s="81" t="n">
        <x:v>3.396585484327828e-21</x:v>
      </x:c>
    </x:row>
    <x:row r="981">
      <x:c r="A981" s="59" t="n">
        <x:v>978</x:v>
      </x:c>
      <x:c r="B981" s="193" t="n">
        <x:v>0.9362174732610584</x:v>
      </x:c>
      <x:c r="C981" s="83" t="n">
        <x:v>1.6951631113941463</x:v>
      </x:c>
      <x:c r="D981" s="83" t="n">
        <x:v>2.9162023913197945</x:v>
      </x:c>
      <x:c r="E981" s="81" t="n">
        <x:v>-0.05011746441181467</x:v>
      </x:c>
      <x:c r="F981" s="81" t="n">
        <x:v>0.6869248619535938</x:v>
      </x:c>
      <x:c r="G981" s="81" t="n">
        <x:v>-0.007579877439646485</x:v>
      </x:c>
      <x:c r="H981" s="59" t="n">
        <x:v>0</x:v>
      </x:c>
      <x:c r="I981" s="81" t="n">
        <x:v>0</x:v>
      </x:c>
      <x:c r="J981" s="79" t="n">
        <x:v>1.572797028432054e-52</x:v>
      </x:c>
      <x:c r="K981" s="81" t="n">
        <x:v>-1</x:v>
      </x:c>
      <x:c r="L981" s="81" t="n">
        <x:v>-1</x:v>
      </x:c>
      <x:c r="M981" s="80" t="n">
        <x:v>0.000002</x:v>
      </x:c>
      <x:c r="N981" s="82" t="n">
        <x:v>0.32511830620840754</x:v>
      </x:c>
      <x:c r="O981" s="82" t="n">
        <x:v>0.21097043613185493</x:v>
      </x:c>
      <x:c r="P981" s="80" t="n">
        <x:v>1021.7977232928787</x:v>
      </x:c>
      <x:c r="Q981" s="81" t="n">
        <x:v>2.6913545356286346e+35</x:v>
      </x:c>
      <x:c r="R981" s="81" t="n">
        <x:v>1.4675853789080122</x:v>
      </x:c>
      <x:c r="S981" s="81" t="n">
        <x:v>8.640377413843613e-10</x:v>
      </x:c>
      <x:c r="T981" s="81" t="n">
        <x:v>3.407021739647414e-48</x:v>
      </x:c>
    </x:row>
    <x:row r="982">
      <x:c r="A982" s="59" t="n">
        <x:v>979</x:v>
      </x:c>
      <x:c r="B982" s="193" t="n">
        <x:v>0.6254592083394528</x:v>
      </x:c>
      <x:c r="C982" s="83" t="n">
        <x:v>0.915275750898311</x:v>
      </x:c>
      <x:c r="D982" s="83" t="n">
        <x:v>0.6193775893739145</x:v>
      </x:c>
      <x:c r="E982" s="81" t="n">
        <x:v>-0.031596413656088236</x:v>
      </x:c>
      <x:c r="F982" s="81" t="n">
        <x:v>0.8978561144787819</x:v>
      </x:c>
      <x:c r="G982" s="81" t="n">
        <x:v>-0.015557862468894132</x:v>
      </x:c>
      <x:c r="H982" s="59" t="n">
        <x:v>13</x:v>
      </x:c>
      <x:c r="I982" s="81" t="n">
        <x:v>0.1525913627818227</x:v>
      </x:c>
      <x:c r="J982" s="79" t="n">
        <x:v>1.0511104203513284e-15</x:v>
      </x:c>
      <x:c r="K982" s="81" t="n">
        <x:v>-0.9999999999987987</x:v>
      </x:c>
      <x:c r="L982" s="81" t="n">
        <x:v>-0.9999999999987987</x:v>
      </x:c>
      <x:c r="M982" s="80" t="n">
        <x:v>0.010929614430774014</x:v>
      </x:c>
      <x:c r="N982" s="82" t="n">
        <x:v>0.251089860786614</x:v>
      </x:c>
      <x:c r="O982" s="82" t="n">
        <x:v>0.21296432706473997</x:v>
      </x:c>
      <x:c r="P982" s="80" t="n">
        <x:v>636.5529096669078</x:v>
      </x:c>
      <x:c r="Q982" s="81" t="n">
        <x:v>342.90685159699626</x:v>
      </x:c>
      <x:c r="R982" s="81" t="n">
        <x:v>5.761629373570668</x:v>
      </x:c>
      <x:c r="S982" s="81" t="n">
        <x:v>0.0000013202167578002384</x:v>
      </x:c>
      <x:c r="T982" s="81" t="n">
        <x:v>2.276934650923786e-11</x:v>
      </x:c>
    </x:row>
    <x:row r="983">
      <x:c r="A983" s="59" t="n">
        <x:v>980</x:v>
      </x:c>
      <x:c r="B983" s="193" t="n">
        <x:v>0.8191470028832555</x:v>
      </x:c>
      <x:c r="C983" s="83" t="n">
        <x:v>1.7726593384077618</x:v>
      </x:c>
      <x:c r="D983" s="83" t="n">
        <x:v>1.1202189885722824</x:v>
      </x:c>
      <x:c r="E983" s="81" t="n">
        <x:v>0.10717441988613813</x:v>
      </x:c>
      <x:c r="F983" s="81" t="n">
        <x:v>0.39491887285839766</x:v>
      </x:c>
      <x:c r="G983" s="81" t="n">
        <x:v>-0.048997113212802666</x:v>
      </x:c>
      <x:c r="H983" s="59" t="n">
        <x:v>0</x:v>
      </x:c>
      <x:c r="I983" s="81" t="n">
        <x:v>0</x:v>
      </x:c>
      <x:c r="J983" s="79" t="n">
        <x:v>0.016098777038491295</x:v>
      </x:c>
      <x:c r="K983" s="81" t="n">
        <x:v>17.39860232970434</x:v>
      </x:c>
      <x:c r="L983" s="81" t="n">
        <x:v>-0.7706196160420856</x:v>
      </x:c>
      <x:c r="M983" s="80" t="n">
        <x:v>82466.97871129181</x:v>
      </x:c>
      <x:c r="N983" s="82" t="n">
        <x:v>0.2972299250930956</x:v>
      </x:c>
      <x:c r="O983" s="82" t="n">
        <x:v>0.11088463281928183</x:v>
      </x:c>
      <x:c r="P983" s="80" t="n">
        <x:v>152518.17746815702</x:v>
      </x:c>
      <x:c r="Q983" s="81" t="n">
        <x:v>0.002757845518773425</x:v>
      </x:c>
      <x:c r="R983" s="81" t="n">
        <x:v>547.3809134820559</x:v>
      </x:c>
      <x:c r="S983" s="81" t="n">
        <x:v>177.29454467531195</x:v>
      </x:c>
      <x:c r="T983" s="81" t="n">
        <x:v>348.734657812497</x:v>
      </x:c>
    </x:row>
    <x:row r="984">
      <x:c r="A984" s="59" t="n">
        <x:v>981</x:v>
      </x:c>
      <x:c r="B984" s="193" t="n">
        <x:v>0.4978658670559526</x:v>
      </x:c>
      <x:c r="C984" s="83" t="n">
        <x:v>0.10491478970837179</x:v>
      </x:c>
      <x:c r="D984" s="83" t="n">
        <x:v>0.5085075274684782</x:v>
      </x:c>
      <x:c r="E984" s="81" t="n">
        <x:v>0.053847400430866686</x:v>
      </x:c>
      <x:c r="F984" s="81" t="n">
        <x:v>0.766248352616094</x:v>
      </x:c>
      <x:c r="G984" s="81" t="n">
        <x:v>-0.017430256293158523</x:v>
      </x:c>
      <x:c r="H984" s="59" t="n">
        <x:v>0</x:v>
      </x:c>
      <x:c r="I984" s="81" t="n">
        <x:v>0</x:v>
      </x:c>
      <x:c r="J984" s="79" t="n">
        <x:v>0.00010514336454607843</x:v>
      </x:c>
      <x:c r="K984" s="81" t="n">
        <x:v>-0.8798361548044817</x:v>
      </x:c>
      <x:c r="L984" s="81" t="n">
        <x:v>-0.9031898514120407</x:v>
      </x:c>
      <x:c r="M984" s="80" t="n">
        <x:v>2128.0917944716407</x:v>
      </x:c>
      <x:c r="N984" s="82" t="n">
        <x:v>0.22069473451773533</x:v>
      </x:c>
      <x:c r="O984" s="82" t="n">
        <x:v>0.1597469103518584</x:v>
      </x:c>
      <x:c r="P984" s="80" t="n">
        <x:v>2539.196929442721</x:v>
      </x:c>
      <x:c r="Q984" s="81" t="n">
        <x:v>0.006339208789666519</x:v>
      </x:c>
      <x:c r="R984" s="81" t="n">
        <x:v>169.37604981062995</x:v>
      </x:c>
      <x:c r="S984" s="81" t="n">
        <x:v>18.971990554211494</x:v>
      </x:c>
      <x:c r="T984" s="81" t="n">
        <x:v>2.2776348270779936</x:v>
      </x:c>
    </x:row>
    <x:row r="985">
      <x:c r="A985" s="59" t="n">
        <x:v>982</x:v>
      </x:c>
      <x:c r="B985" s="193" t="n">
        <x:v>0.4658392457291484</x:v>
      </x:c>
      <x:c r="C985" s="83" t="n">
        <x:v>0.3236548828400114</x:v>
      </x:c>
      <x:c r="D985" s="83" t="n">
        <x:v>1.004230853426916</x:v>
      </x:c>
      <x:c r="E985" s="81" t="n">
        <x:v>0.05794732729247981</x:v>
      </x:c>
      <x:c r="F985" s="81" t="n">
        <x:v>0.26796743968734515</x:v>
      </x:c>
      <x:c r="G985" s="81" t="n">
        <x:v>-0.024716614372412005</x:v>
      </x:c>
      <x:c r="H985" s="59" t="n">
        <x:v>0</x:v>
      </x:c>
      <x:c r="I985" s="81" t="n">
        <x:v>0</x:v>
      </x:c>
      <x:c r="J985" s="79" t="n">
        <x:v>0.005558166060328809</x:v>
      </x:c>
      <x:c r="K985" s="81" t="n">
        <x:v>5.352189783232925</x:v>
      </x:c>
      <x:c r="L985" s="81" t="n">
        <x:v>-0.6524305137978528</x:v>
      </x:c>
      <x:c r="M985" s="80" t="n">
        <x:v>20295.76454182372</x:v>
      </x:c>
      <x:c r="N985" s="82" t="n">
        <x:v>0.21306539281854045</x:v>
      </x:c>
      <x:c r="O985" s="82" t="n">
        <x:v>0.05393440397194803</x:v>
      </x:c>
      <x:c r="P985" s="80" t="n">
        <x:v>36814.96420467469</x:v>
      </x:c>
      <x:c r="Q985" s="81" t="n">
        <x:v>0.0022394437654783455</x:v>
      </x:c>
      <x:c r="R985" s="81" t="n">
        <x:v>583.477190898541</x:v>
      </x:c>
      <x:c r="S985" s="81" t="n">
        <x:v>324.0984604499716</x:v>
      </x:c>
      <x:c r="T985" s="81" t="n">
        <x:v>120.40201156146037</x:v>
      </x:c>
    </x:row>
    <x:row r="986">
      <x:c r="A986" s="59" t="n">
        <x:v>983</x:v>
      </x:c>
      <x:c r="B986" s="193" t="n">
        <x:v>0.8656858259811997</x:v>
      </x:c>
      <x:c r="C986" s="83" t="n">
        <x:v>0.16886104483948627</x:v>
      </x:c>
      <x:c r="D986" s="83" t="n">
        <x:v>0.3063439427046597</x:v>
      </x:c>
      <x:c r="E986" s="81" t="n">
        <x:v>-0.17317211766584145</x:v>
      </x:c>
      <x:c r="F986" s="81" t="n">
        <x:v>0.3195345497573726</x:v>
      </x:c>
      <x:c r="G986" s="81" t="n">
        <x:v>0.00859244099068279</x:v>
      </x:c>
      <x:c r="H986" s="59" t="n">
        <x:v>0</x:v>
      </x:c>
      <x:c r="I986" s="81" t="n">
        <x:v>0</x:v>
      </x:c>
      <x:c r="J986" s="79" t="n">
        <x:v>4.234366893137017e-30</x:v>
      </x:c>
      <x:c r="K986" s="81" t="n">
        <x:v>-1</x:v>
      </x:c>
      <x:c r="L986" s="81" t="n">
        <x:v>-1</x:v>
      </x:c>
      <x:c r="M986" s="80" t="n">
        <x:v>0.000002</x:v>
      </x:c>
      <x:c r="N986" s="82" t="n">
        <x:v>0.30831634535795865</x:v>
      </x:c>
      <x:c r="O986" s="82" t="n">
        <x:v>0.0930647713134256</x:v>
      </x:c>
      <x:c r="P986" s="80" t="n">
        <x:v>104.49288423446332</x:v>
      </x:c>
      <x:c r="Q986" s="81" t="n">
        <x:v>3232139379204.386</x:v>
      </x:c>
      <x:c r="R986" s="81" t="n">
        <x:v>15.180375085364421</x:v>
      </x:c>
      <x:c r="S986" s="81" t="n">
        <x:v>2.5477588048903546e-10</x:v>
      </x:c>
      <x:c r="T986" s="81" t="n">
        <x:v>9.172563145635628e-26</x:v>
      </x:c>
    </x:row>
    <x:row r="987">
      <x:c r="A987" s="59" t="n">
        <x:v>984</x:v>
      </x:c>
      <x:c r="B987" s="193" t="n">
        <x:v>0.40334730818867687</x:v>
      </x:c>
      <x:c r="C987" s="83" t="n">
        <x:v>2.5023460982512695</x:v>
      </x:c>
      <x:c r="D987" s="83" t="n">
        <x:v>1.053034137340695</x:v>
      </x:c>
      <x:c r="E987" s="81" t="n">
        <x:v>-0.043958936337862686</x:v>
      </x:c>
      <x:c r="F987" s="81" t="n">
        <x:v>0.7180304940673523</x:v>
      </x:c>
      <x:c r="G987" s="81" t="n">
        <x:v>-0.04690318434847652</x:v>
      </x:c>
      <x:c r="H987" s="59" t="n">
        <x:v>0</x:v>
      </x:c>
      <x:c r="I987" s="81" t="n">
        <x:v>0</x:v>
      </x:c>
      <x:c r="J987" s="79" t="n">
        <x:v>1.7725386055746936e-24</x:v>
      </x:c>
      <x:c r="K987" s="81" t="n">
        <x:v>-1</x:v>
      </x:c>
      <x:c r="L987" s="81" t="n">
        <x:v>-1</x:v>
      </x:c>
      <x:c r="M987" s="80" t="n">
        <x:v>0.000002</x:v>
      </x:c>
      <x:c r="N987" s="82" t="n">
        <x:v>0.19817864157257134</x:v>
      </x:c>
      <x:c r="O987" s="82" t="n">
        <x:v>0.1344221005838645</x:v>
      </x:c>
      <x:c r="P987" s="80" t="n">
        <x:v>1242.7949926021677</x:v>
      </x:c>
      <x:c r="Q987" s="81" t="n">
        <x:v>27066701.846548356</x:v>
      </x:c>
      <x:c r="R987" s="81" t="n">
        <x:v>2.0487278589980416</x:v>
      </x:c>
      <x:c r="S987" s="81" t="n">
        <x:v>1.468096337450042e-10</x:v>
      </x:c>
      <x:c r="T987" s="81" t="n">
        <x:v>3.83970560370256e-20</x:v>
      </x:c>
    </x:row>
    <x:row r="988">
      <x:c r="A988" s="59" t="n">
        <x:v>985</x:v>
      </x:c>
      <x:c r="B988" s="193" t="n">
        <x:v>0.5903674772009253</x:v>
      </x:c>
      <x:c r="C988" s="83" t="n">
        <x:v>2.0531336046531945</x:v>
      </x:c>
      <x:c r="D988" s="83" t="n">
        <x:v>2.6082876470007568</x:v>
      </x:c>
      <x:c r="E988" s="81" t="n">
        <x:v>-0.1269214509956587</x:v>
      </x:c>
      <x:c r="F988" s="81" t="n">
        <x:v>0.5075356052257121</x:v>
      </x:c>
      <x:c r="G988" s="81" t="n">
        <x:v>-0.0074562357679376495</x:v>
      </x:c>
      <x:c r="H988" s="59" t="n">
        <x:v>62</x:v>
      </x:c>
      <x:c r="I988" s="81" t="n">
        <x:v>0.2078212338499725</x:v>
      </x:c>
      <x:c r="J988" s="79" t="n">
        <x:v>3.90063351485637e-91</x:v>
      </x:c>
      <x:c r="K988" s="81" t="n">
        <x:v>-1</x:v>
      </x:c>
      <x:c r="L988" s="81" t="n">
        <x:v>-1</x:v>
      </x:c>
      <x:c r="M988" s="80" t="n">
        <x:v>0.000002</x:v>
      </x:c>
      <x:c r="N988" s="82" t="n">
        <x:v>0.24273035245945807</x:v>
      </x:c>
      <x:c r="O988" s="82" t="n">
        <x:v>0.1163754955072798</x:v>
      </x:c>
      <x:c r="P988" s="80" t="n">
        <x:v>600.7144296321067</x:v>
      </x:c>
      <x:c r="Q988" s="81" t="n">
        <x:v>4.5985220202859653e+73</x:v>
      </x:c>
      <x:c r="R988" s="81" t="n">
        <x:v>0.6573516803105105</x:v>
      </x:c>
      <x:c r="S988" s="81" t="n">
        <x:v>6.832317521328007e-10</x:v>
      </x:c>
      <x:c r="T988" s="81" t="n">
        <x:v>8.449623786968562e-87</x:v>
      </x:c>
    </x:row>
    <x:row r="989">
      <x:c r="A989" s="59" t="n">
        <x:v>986</x:v>
      </x:c>
      <x:c r="B989" s="193" t="n">
        <x:v>0.28266814146190883</x:v>
      </x:c>
      <x:c r="C989" s="83" t="n">
        <x:v>0.3851534094388752</x:v>
      </x:c>
      <x:c r="D989" s="83" t="n">
        <x:v>1.366343610527623</x:v>
      </x:c>
      <x:c r="E989" s="81" t="n">
        <x:v>0.011919429443583743</x:v>
      </x:c>
      <x:c r="F989" s="81" t="n">
        <x:v>0.4859516244148836</x:v>
      </x:c>
      <x:c r="G989" s="81" t="n">
        <x:v>-0.016926418001374798</x:v>
      </x:c>
      <x:c r="H989" s="59" t="n">
        <x:v>13</x:v>
      </x:c>
      <x:c r="I989" s="81" t="n">
        <x:v>0.33663114262744787</x:v>
      </x:c>
      <x:c r="J989" s="79" t="n">
        <x:v>0.0002378389933206622</x:v>
      </x:c>
      <x:c r="K989" s="81" t="n">
        <x:v>-0.7281840076335289</x:v>
      </x:c>
      <x:c r="L989" s="81" t="n">
        <x:v>-0.8009733822578363</x:v>
      </x:c>
      <x:c r="M989" s="80" t="n">
        <x:v>3848.9340931006755</x:v>
      </x:c>
      <x:c r="N989" s="82" t="n">
        <x:v>0.16943060132387913</x:v>
      </x:c>
      <x:c r="O989" s="82" t="n">
        <x:v>0.07777783180326685</x:v>
      </x:c>
      <x:c r="P989" s="80" t="n">
        <x:v>11271.179401548028</x:v>
      </x:c>
      <x:c r="Q989" s="81" t="n">
        <x:v>0.013450706076222226</x:v>
      </x:c>
      <x:c r="R989" s="81" t="n">
        <x:v>43.49766888545347</x:v>
      </x:c>
      <x:c r="S989" s="81" t="n">
        <x:v>12.832091709806463</x:v>
      </x:c>
      <x:c r="T989" s="81" t="n">
        <x:v>5.152111849977077</x:v>
      </x:c>
    </x:row>
    <x:row r="990">
      <x:c r="A990" s="59" t="n">
        <x:v>987</x:v>
      </x:c>
      <x:c r="B990" s="193" t="n">
        <x:v>0.9131489148363472</x:v>
      </x:c>
      <x:c r="C990" s="83" t="n">
        <x:v>0.18673297229604863</x:v>
      </x:c>
      <x:c r="D990" s="83" t="n">
        <x:v>0.7171509883288238</x:v>
      </x:c>
      <x:c r="E990" s="81" t="n">
        <x:v>0.1844602013259177</x:v>
      </x:c>
      <x:c r="F990" s="81" t="n">
        <x:v>0.601929381035734</x:v>
      </x:c>
      <x:c r="G990" s="81" t="n">
        <x:v>-0.004757709711832657</x:v>
      </x:c>
      <x:c r="H990" s="59" t="n">
        <x:v>0</x:v>
      </x:c>
      <x:c r="I990" s="81" t="n">
        <x:v>0</x:v>
      </x:c>
      <x:c r="J990" s="79" t="n">
        <x:v>0.004104167757437382</x:v>
      </x:c>
      <x:c r="K990" s="81" t="n">
        <x:v>3.6904774370712934</x:v>
      </x:c>
      <x:c r="L990" s="81" t="n">
        <x:v>-0.8263233797536611</x:v>
      </x:c>
      <x:c r="M990" s="80" t="n">
        <x:v>20044.339831169804</x:v>
      </x:c>
      <x:c r="N990" s="82" t="n">
        <x:v>0.31962294305617117</x:v>
      </x:c>
      <x:c r="O990" s="82" t="n">
        <x:v>0.18174163482458017</x:v>
      </x:c>
      <x:c r="P990" s="80" t="n">
        <x:v>23390.85347104813</x:v>
      </x:c>
      <x:c r="Q990" s="81" t="n">
        <x:v>0.002782097982234439</x:v>
      </x:c>
      <x:c r="R990" s="81" t="n">
        <x:v>748.9231052672718</x:v>
      </x:c>
      <x:c r="S990" s="81" t="n">
        <x:v>413.81820916582984</x:v>
      </x:c>
      <x:c r="T990" s="81" t="n">
        <x:v>88.90523392385215</x:v>
      </x:c>
    </x:row>
    <x:row r="991">
      <x:c r="A991" s="59" t="n">
        <x:v>988</x:v>
      </x:c>
      <x:c r="B991" s="193" t="n">
        <x:v>0.7375236170366406</x:v>
      </x:c>
      <x:c r="C991" s="83" t="n">
        <x:v>0.23693601837725323</x:v>
      </x:c>
      <x:c r="D991" s="83" t="n">
        <x:v>1.5995326384666855</x:v>
      </x:c>
      <x:c r="E991" s="81" t="n">
        <x:v>-0.016028240216669393</x:v>
      </x:c>
      <x:c r="F991" s="81" t="n">
        <x:v>0.4623338044504635</x:v>
      </x:c>
      <x:c r="G991" s="81" t="n">
        <x:v>-0.019720436807860002</x:v>
      </x:c>
      <x:c r="H991" s="59" t="n">
        <x:v>0</x:v>
      </x:c>
      <x:c r="I991" s="81" t="n">
        <x:v>0</x:v>
      </x:c>
      <x:c r="J991" s="79" t="n">
        <x:v>2.075515643412747e-18</x:v>
      </x:c>
      <x:c r="K991" s="81" t="n">
        <x:v>-0.9999999999999977</x:v>
      </x:c>
      <x:c r="L991" s="81" t="n">
        <x:v>-0.9999999999999977</x:v>
      </x:c>
      <x:c r="M991" s="80" t="n">
        <x:v>0.00031649645270638615</x:v>
      </x:c>
      <x:c r="N991" s="82" t="n">
        <x:v>0.2777857041459472</x:v>
      </x:c>
      <x:c r="O991" s="82" t="n">
        <x:v>0.12132113995418682</x:v>
      </x:c>
      <x:c r="P991" s="80" t="n">
        <x:v>942.6803952277072</x:v>
      </x:c>
      <x:c r="Q991" s="81" t="n">
        <x:v>9763.980222491338</x:v>
      </x:c>
      <x:c r="R991" s="81" t="n">
        <x:v>19.692121708810756</x:v>
      </x:c>
      <x:c r="S991" s="81" t="n">
        <x:v>1.462894040644662e-7</x:v>
      </x:c>
      <x:c r="T991" s="81" t="n">
        <x:v>4.4960200141877385e-14</x:v>
      </x:c>
    </x:row>
    <x:row r="992">
      <x:c r="A992" s="59" t="n">
        <x:v>989</x:v>
      </x:c>
      <x:c r="B992" s="193" t="n">
        <x:v>0.9468071980401873</x:v>
      </x:c>
      <x:c r="C992" s="83" t="n">
        <x:v>1.4101786591249463</x:v>
      </x:c>
      <x:c r="D992" s="83" t="n">
        <x:v>0.26544276345338746</x:v>
      </x:c>
      <x:c r="E992" s="81" t="n">
        <x:v>0.08599995654867625</x:v>
      </x:c>
      <x:c r="F992" s="81" t="n">
        <x:v>0.6099063720786944</x:v>
      </x:c>
      <x:c r="G992" s="81" t="n">
        <x:v>0.03862464696679116</x:v>
      </x:c>
      <x:c r="H992" s="59" t="n">
        <x:v>0</x:v>
      </x:c>
      <x:c r="I992" s="81" t="n">
        <x:v>0</x:v>
      </x:c>
      <x:c r="J992" s="79" t="n">
        <x:v>0.000891010684039571</x:v>
      </x:c>
      <x:c r="K992" s="81" t="n">
        <x:v>0.018297924616652583</x:v>
      </x:c>
      <x:c r="L992" s="81" t="n">
        <x:v>-0.7544352878166167</x:v>
      </x:c>
      <x:c r="M992" s="80" t="n">
        <x:v>13705.115586370763</x:v>
      </x:c>
      <x:c r="N992" s="82" t="n">
        <x:v>0.3276409772081359</x:v>
      </x:c>
      <x:c r="O992" s="82" t="n">
        <x:v>0.18876971717978322</x:v>
      </x:c>
      <x:c r="P992" s="80" t="n">
        <x:v>8212.978477386525</x:v>
      </x:c>
      <x:c r="Q992" s="81" t="n">
        <x:v>0.00503833104146607</x:v>
      </x:c>
      <x:c r="R992" s="81" t="n">
        <x:v>19.100442019202195</x:v>
      </x:c>
      <x:c r="S992" s="81" t="n">
        <x:v>12.858753490302835</x:v>
      </x:c>
      <x:c r="T992" s="81" t="n">
        <x:v>19.301236687910457</x:v>
      </x:c>
    </x:row>
    <x:row r="993">
      <x:c r="A993" s="59" t="n">
        <x:v>990</x:v>
      </x:c>
      <x:c r="B993" s="193" t="n">
        <x:v>0.8412585461512208</x:v>
      </x:c>
      <x:c r="C993" s="83" t="n">
        <x:v>0.7583414896847123</x:v>
      </x:c>
      <x:c r="D993" s="83" t="n">
        <x:v>1.2170451389408712</x:v>
      </x:c>
      <x:c r="E993" s="81" t="n">
        <x:v>0.03415789847383944</x:v>
      </x:c>
      <x:c r="F993" s="81" t="n">
        <x:v>0.5382420232170262</x:v>
      </x:c>
      <x:c r="G993" s="81" t="n">
        <x:v>-0.007593627493760583</x:v>
      </x:c>
      <x:c r="H993" s="59" t="n">
        <x:v>38</x:v>
      </x:c>
      <x:c r="I993" s="81" t="n">
        <x:v>0.34126144936308267</x:v>
      </x:c>
      <x:c r="J993" s="79" t="n">
        <x:v>0.0008791942703870388</x:v>
      </x:c>
      <x:c r="K993" s="81" t="n">
        <x:v>0.004793451870901633</x:v>
      </x:c>
      <x:c r="L993" s="81" t="n">
        <x:v>-0.7709518943466915</x:v>
      </x:c>
      <x:c r="M993" s="80" t="n">
        <x:v>10343.569375531482</x:v>
      </x:c>
      <x:c r="N993" s="82" t="n">
        <x:v>0.30249730929096097</x:v>
      </x:c>
      <x:c r="O993" s="82" t="n">
        <x:v>0.15380486047872283</x:v>
      </x:c>
      <x:c r="P993" s="80" t="n">
        <x:v>24098.359339519684</x:v>
      </x:c>
      <x:c r="Q993" s="81" t="n">
        <x:v>0.010220411765239567</x:v>
      </x:c>
      <x:c r="R993" s="81" t="n">
        <x:v>64.64433676383432</x:v>
      </x:c>
      <x:c r="S993" s="81" t="n">
        <x:v>24.47118356434728</x:v>
      </x:c>
      <x:c r="T993" s="81" t="n">
        <x:v>19.045267370375704</x:v>
      </x:c>
    </x:row>
    <x:row r="994">
      <x:c r="A994" s="59" t="n">
        <x:v>991</x:v>
      </x:c>
      <x:c r="B994" s="193" t="n">
        <x:v>0.9046711871400477</x:v>
      </x:c>
      <x:c r="C994" s="83" t="n">
        <x:v>0.8375785129115502</x:v>
      </x:c>
      <x:c r="D994" s="83" t="n">
        <x:v>0.8232388678291401</x:v>
      </x:c>
      <x:c r="E994" s="81" t="n">
        <x:v>0.015439903346267053</x:v>
      </x:c>
      <x:c r="F994" s="81" t="n">
        <x:v>0.6161444527795539</x:v>
      </x:c>
      <x:c r="G994" s="81" t="n">
        <x:v>-0.041937068092222</x:v>
      </x:c>
      <x:c r="H994" s="59" t="n">
        <x:v>42</x:v>
      </x:c>
      <x:c r="I994" s="81" t="n">
        <x:v>0.28325248714536433</x:v>
      </x:c>
      <x:c r="J994" s="79" t="n">
        <x:v>0.000026505438982714906</x:v>
      </x:c>
      <x:c r="K994" s="81" t="n">
        <x:v>-0.9697080697340401</x:v>
      </x:c>
      <x:c r="L994" s="81" t="n">
        <x:v>-0.9697619959639282</x:v>
      </x:c>
      <x:c r="M994" s="80" t="n">
        <x:v>1676.7267848017223</x:v>
      </x:c>
      <x:c r="N994" s="82" t="n">
        <x:v>0.31760338936151816</x:v>
      </x:c>
      <x:c r="O994" s="82" t="n">
        <x:v>0.18485815453939045</x:v>
      </x:c>
      <x:c r="P994" s="80" t="n">
        <x:v>4068.2445610416457</x:v>
      </x:c>
      <x:c r="Q994" s="81" t="n">
        <x:v>0.0218509093493826</x:v>
      </x:c>
      <x:c r="R994" s="81" t="n">
        <x:v>18.78842072907205</x:v>
      </x:c>
      <x:c r="S994" s="81" t="n">
        <x:v>0.7861883252970686</x:v>
      </x:c>
      <x:c r="T994" s="81" t="n">
        <x:v>0.5741656755483177</x:v>
      </x:c>
    </x:row>
    <x:row r="995">
      <x:c r="A995" s="59" t="n">
        <x:v>992</x:v>
      </x:c>
      <x:c r="B995" s="193" t="n">
        <x:v>0.8599531549960375</x:v>
      </x:c>
      <x:c r="C995" s="83" t="n">
        <x:v>2.5577095703745436</x:v>
      </x:c>
      <x:c r="D995" s="83" t="n">
        <x:v>0.38900557162320254</x:v>
      </x:c>
      <x:c r="E995" s="81" t="n">
        <x:v>0.08679045425446569</x:v>
      </x:c>
      <x:c r="F995" s="81" t="n">
        <x:v>0.5694084405549802</x:v>
      </x:c>
      <x:c r="G995" s="81" t="n">
        <x:v>0.012765144734707726</x:v>
      </x:c>
      <x:c r="H995" s="59" t="n">
        <x:v>0</x:v>
      </x:c>
      <x:c r="I995" s="81" t="n">
        <x:v>0</x:v>
      </x:c>
      <x:c r="J995" s="79" t="n">
        <x:v>0.003216076565169128</x:v>
      </x:c>
      <x:c r="K995" s="81" t="n">
        <x:v>2.675516074479004</x:v>
      </x:c>
      <x:c r="L995" s="81" t="n">
        <x:v>-0.586988354064831</x:v>
      </x:c>
      <x:c r="M995" s="80" t="n">
        <x:v>39489.073703478345</x:v>
      </x:c>
      <x:c r="N995" s="82" t="n">
        <x:v>0.3069507156417126</x:v>
      </x:c>
      <x:c r="O995" s="82" t="n">
        <x:v>0.1651062420679213</x:v>
      </x:c>
      <x:c r="P995" s="80" t="n">
        <x:v>30912.870873402608</x:v>
      </x:c>
      <x:c r="Q995" s="81" t="n">
        <x:v>0.0045278148861244046</x:v>
      </x:c>
      <x:c r="R995" s="81" t="n">
        <x:v>25.810214689350424</x:v>
      </x:c>
      <x:c r="S995" s="81" t="n">
        <x:v>25.723794025253394</x:v>
      </x:c>
      <x:c r="T995" s="81" t="n">
        <x:v>69.66723980159885</x:v>
      </x:c>
    </x:row>
    <x:row r="996">
      <x:c r="A996" s="59" t="n">
        <x:v>993</x:v>
      </x:c>
      <x:c r="B996" s="193" t="n">
        <x:v>0.7824242968112232</x:v>
      </x:c>
      <x:c r="C996" s="83" t="n">
        <x:v>0.10342743283802079</x:v>
      </x:c>
      <x:c r="D996" s="83" t="n">
        <x:v>0.7224114048145777</x:v>
      </x:c>
      <x:c r="E996" s="81" t="n">
        <x:v>0.00476161043782909</x:v>
      </x:c>
      <x:c r="F996" s="81" t="n">
        <x:v>0.2644504381576553</x:v>
      </x:c>
      <x:c r="G996" s="81" t="n">
        <x:v>-0.033045163757836185</x:v>
      </x:c>
      <x:c r="H996" s="59" t="n">
        <x:v>0</x:v>
      </x:c>
      <x:c r="I996" s="81" t="n">
        <x:v>0</x:v>
      </x:c>
      <x:c r="J996" s="79" t="n">
        <x:v>0.000007918124092341132</x:v>
      </x:c>
      <x:c r="K996" s="81" t="n">
        <x:v>-0.9909507153230387</x:v>
      </x:c>
      <x:c r="L996" s="81" t="n">
        <x:v>-0.9909507153230387</x:v>
      </x:c>
      <x:c r="M996" s="80" t="n">
        <x:v>535.0238600385002</x:v>
      </x:c>
      <x:c r="N996" s="82" t="n">
        <x:v>0.288481887955999</x:v>
      </x:c>
      <x:c r="O996" s="82" t="n">
        <x:v>0.07206655871942606</x:v>
      </x:c>
      <x:c r="P996" s="80" t="n">
        <x:v>1787.1093217326609</x:v>
      </x:c>
      <x:c r="Q996" s="81" t="n">
        <x:v>0.017861693046777836</x:v>
      </x:c>
      <x:c r="R996" s="81" t="n">
        <x:v>125.31410159136524</x:v>
      </x:c>
      <x:c r="S996" s="81" t="n">
        <x:v>1.5241398510462767</x:v>
      </x:c>
      <x:c r="T996" s="81" t="n">
        <x:v>0.17152385484048246</x:v>
      </x:c>
    </x:row>
    <x:row r="997">
      <x:c r="A997" s="59" t="n">
        <x:v>994</x:v>
      </x:c>
      <x:c r="B997" s="193" t="n">
        <x:v>0.9519766222685575</x:v>
      </x:c>
      <x:c r="C997" s="83" t="n">
        <x:v>0.5132882486255316</x:v>
      </x:c>
      <x:c r="D997" s="83" t="n">
        <x:v>0.11681479755624594</x:v>
      </x:c>
      <x:c r="E997" s="81" t="n">
        <x:v>-0.023199889341779488</x:v>
      </x:c>
      <x:c r="F997" s="81" t="n">
        <x:v>0.28379948493093254</x:v>
      </x:c>
      <x:c r="G997" s="81" t="n">
        <x:v>-0.029728147082008362</x:v>
      </x:c>
      <x:c r="H997" s="59" t="n">
        <x:v>0</x:v>
      </x:c>
      <x:c r="I997" s="81" t="n">
        <x:v>0</x:v>
      </x:c>
      <x:c r="J997" s="79" t="n">
        <x:v>3.2811349959771746e-7</x:v>
      </x:c>
      <x:c r="K997" s="81" t="n">
        <x:v>-0.9996250131433169</x:v>
      </x:c>
      <x:c r="L997" s="81" t="n">
        <x:v>-0.9996250131433169</x:v>
      </x:c>
      <x:c r="M997" s="80" t="n">
        <x:v>148.25738408306304</x:v>
      </x:c>
      <x:c r="N997" s="82" t="n">
        <x:v>0.32887243098603774</x:v>
      </x:c>
      <x:c r="O997" s="82" t="n">
        <x:v>0.08816780185098695</x:v>
      </x:c>
      <x:c r="P997" s="80" t="n">
        <x:v>280.49050931117216</x:v>
      </x:c>
      <x:c r="Q997" s="81" t="n">
        <x:v>0.012275015262312764</x:v>
      </x:c>
      <x:c r="R997" s="81" t="n">
        <x:v>20.569005630174868</x:v>
      </x:c>
      <x:c r="S997" s="81" t="n">
        <x:v>0.015380366895909398</x:v>
      </x:c>
      <x:c r="T997" s="81" t="n">
        <x:v>0.007107654744971497</x:v>
      </x:c>
    </x:row>
    <x:row r="998">
      <x:c r="A998" s="59" t="n">
        <x:v>995</x:v>
      </x:c>
      <x:c r="B998" s="193" t="n">
        <x:v>0.7967517515644431</x:v>
      </x:c>
      <x:c r="C998" s="83" t="n">
        <x:v>0.33077749228712283</x:v>
      </x:c>
      <x:c r="D998" s="83" t="n">
        <x:v>1.0301467842071739</x:v>
      </x:c>
      <x:c r="E998" s="81" t="n">
        <x:v>-0.02652965284922139</x:v>
      </x:c>
      <x:c r="F998" s="81" t="n">
        <x:v>0.4023131548194215</x:v>
      </x:c>
      <x:c r="G998" s="81" t="n">
        <x:v>0.017087270699656026</x:v>
      </x:c>
      <x:c r="H998" s="59" t="n">
        <x:v>0</x:v>
      </x:c>
      <x:c r="I998" s="81" t="n">
        <x:v>0</x:v>
      </x:c>
      <x:c r="J998" s="79" t="n">
        <x:v>7.829055643207632e-23</x:v>
      </x:c>
      <x:c r="K998" s="81" t="n">
        <x:v>-1</x:v>
      </x:c>
      <x:c r="L998" s="81" t="n">
        <x:v>-1</x:v>
      </x:c>
      <x:c r="M998" s="80" t="n">
        <x:v>0.0000021219646509416957</x:v>
      </x:c>
      <x:c r="N998" s="82" t="n">
        <x:v>0.2918949563179919</x:v>
      </x:c>
      <x:c r="O998" s="82" t="n">
        <x:v>0.11093325750303004</x:v>
      </x:c>
      <x:c r="P998" s="80" t="n">
        <x:v>649.0146243037059</x:v>
      </x:c>
      <x:c r="Q998" s="81" t="n">
        <x:v>1059335.4333508473</x:v>
      </x:c>
      <x:c r="R998" s="81" t="n">
        <x:v>13.887999002712862</x:v>
      </x:c>
      <x:c r="S998" s="81" t="n">
        <x:v>9.429566553685054e-10</x:v>
      </x:c>
      <x:c r="T998" s="81" t="n">
        <x:v>1.6959443777630453e-18</x:v>
      </x:c>
    </x:row>
    <x:row r="999">
      <x:c r="A999" s="59" t="n">
        <x:v>996</x:v>
      </x:c>
      <x:c r="B999" s="193" t="n">
        <x:v>0.7407826296985149</x:v>
      </x:c>
      <x:c r="C999" s="83" t="n">
        <x:v>0.6019701923926454</x:v>
      </x:c>
      <x:c r="D999" s="83" t="n">
        <x:v>0.2012899530101053</x:v>
      </x:c>
      <x:c r="E999" s="81" t="n">
        <x:v>-0.08938555809854613</x:v>
      </x:c>
      <x:c r="F999" s="81" t="n">
        <x:v>0.7288504505762831</x:v>
      </x:c>
      <x:c r="G999" s="81" t="n">
        <x:v>-0.02467332786743101</x:v>
      </x:c>
      <x:c r="H999" s="59" t="n">
        <x:v>0</x:v>
      </x:c>
      <x:c r="I999" s="81" t="n">
        <x:v>0</x:v>
      </x:c>
      <x:c r="J999" s="79" t="n">
        <x:v>2.2144674446353282e-14</x:v>
      </x:c>
      <x:c r="K999" s="81" t="n">
        <x:v>-0.9999999999746918</x:v>
      </x:c>
      <x:c r="L999" s="81" t="n">
        <x:v>-0.9999999999746918</x:v>
      </x:c>
      <x:c r="M999" s="80" t="n">
        <x:v>0.04177515683205638</x:v>
      </x:c>
      <x:c r="N999" s="82" t="n">
        <x:v>0.2785620620684932</x:v>
      </x:c>
      <x:c r="O999" s="82" t="n">
        <x:v>0.19179237499252155</x:v>
      </x:c>
      <x:c r="P999" s="80" t="n">
        <x:v>189.44825597869166</x:v>
      </x:c>
      <x:c r="Q999" s="81" t="n">
        <x:v>23.219465538805615</x:v>
      </x:c>
      <x:c r="R999" s="81" t="n">
        <x:v>8.408251477256819</x:v>
      </x:c>
      <x:c r="S999" s="81" t="n">
        <x:v>0.0000017417793937088606</x:v>
      </x:c>
      <x:c r="T999" s="81" t="n">
        <x:v>4.797019951859576e-10</x:v>
      </x:c>
    </x:row>
    <x:row r="1000">
      <x:c r="A1000" s="59" t="n">
        <x:v>997</x:v>
      </x:c>
      <x:c r="B1000" s="193" t="n">
        <x:v>0.2442432899028063</x:v>
      </x:c>
      <x:c r="C1000" s="83" t="n">
        <x:v>0.20701175974259284</x:v>
      </x:c>
      <x:c r="D1000" s="83" t="n">
        <x:v>3</x:v>
      </x:c>
      <x:c r="E1000" s="81" t="n">
        <x:v>0.11585116909135933</x:v>
      </x:c>
      <x:c r="F1000" s="81" t="n">
        <x:v>0.8120473765768111</x:v>
      </x:c>
      <x:c r="G1000" s="81" t="n">
        <x:v>-0.011940406035582584</x:v>
      </x:c>
      <x:c r="H1000" s="59" t="n">
        <x:v>0</x:v>
      </x:c>
      <x:c r="I1000" s="81" t="n">
        <x:v>0</x:v>
      </x:c>
      <x:c r="J1000" s="79" t="n">
        <x:v>0.07460151766682992</x:v>
      </x:c>
      <x:c r="K1000" s="81" t="n">
        <x:v>84.25887733351992</x:v>
      </x:c>
      <x:c r="L1000" s="81" t="n">
        <x:v>-0.8510674100407655</x:v>
      </x:c>
      <x:c r="M1000" s="80" t="n">
        <x:v>130845.8018378407</x:v>
      </x:c>
      <x:c r="N1000" s="82" t="n">
        <x:v>0.16027708121653392</x:v>
      </x:c>
      <x:c r="O1000" s="82" t="n">
        <x:v>0.12294864150362839</x:v>
      </x:c>
      <x:c r="P1000" s="80" t="n">
        <x:v>409316.5250890761</x:v>
      </x:c>
      <x:c r="Q1000" s="81" t="n">
        <x:v>0.0036743729026703863</x:v>
      </x:c>
      <x:c r="R1000" s="81" t="n">
        <x:v>6399.288067676913</x:v>
      </x:c>
      <x:c r="S1000" s="81" t="n">
        <x:v>6822.590736646688</x:v>
      </x:c>
      <x:c r="T1000" s="81" t="n">
        <x:v>1616.031744127627</x:v>
      </x:c>
    </x:row>
    <x:row r="1001">
      <x:c r="A1001" s="59" t="n">
        <x:v>998</x:v>
      </x:c>
      <x:c r="B1001" s="193" t="n">
        <x:v>0.884523629769683</x:v>
      </x:c>
      <x:c r="C1001" s="83" t="n">
        <x:v>0.10959421713260382</x:v>
      </x:c>
      <x:c r="D1001" s="83" t="n">
        <x:v>0.5617759842849929</x:v>
      </x:c>
      <x:c r="E1001" s="81" t="n">
        <x:v>-0.0799380266214135</x:v>
      </x:c>
      <x:c r="F1001" s="81" t="n">
        <x:v>0.8740046992315911</x:v>
      </x:c>
      <x:c r="G1001" s="81" t="n">
        <x:v>0.01915765297798934</x:v>
      </x:c>
      <x:c r="H1001" s="59" t="n">
        <x:v>0</x:v>
      </x:c>
      <x:c r="I1001" s="81" t="n">
        <x:v>0</x:v>
      </x:c>
      <x:c r="J1001" s="79" t="n">
        <x:v>9.720121741838027e-29</x:v>
      </x:c>
      <x:c r="K1001" s="81" t="n">
        <x:v>-1</x:v>
      </x:c>
      <x:c r="L1001" s="81" t="n">
        <x:v>-1</x:v>
      </x:c>
      <x:c r="M1001" s="80" t="n">
        <x:v>0.000002</x:v>
      </x:c>
      <x:c r="N1001" s="82" t="n">
        <x:v>0.31280386342919675</x:v>
      </x:c>
      <x:c r="O1001" s="82" t="n">
        <x:v>0.258259804492397</x:v>
      </x:c>
      <x:c r="P1001" s="80" t="n">
        <x:v>176.6121980056207</x:v>
      </x:c>
      <x:c r="Q1001" s="81" t="n">
        <x:v>280781511461.1619</x:v>
      </x:c>
      <x:c r="R1001" s="81" t="n">
        <x:v>21.200111680257034</x:v>
      </x:c>
      <x:c r="S1001" s="81" t="n">
        <x:v>5.586928230325285e-10</x:v>
      </x:c>
      <x:c r="T1001" s="81" t="n">
        <x:v>2.1055905808441258e-24</x:v>
      </x:c>
    </x:row>
    <x:row r="1002">
      <x:c r="A1002" s="59" t="n">
        <x:v>999</x:v>
      </x:c>
      <x:c r="B1002" s="193" t="n">
        <x:v>0.5324576595798135</x:v>
      </x:c>
      <x:c r="C1002" s="83" t="n">
        <x:v>0.5095079635994973</x:v>
      </x:c>
      <x:c r="D1002" s="83" t="n">
        <x:v>0.6191937159965414</x:v>
      </x:c>
      <x:c r="E1002" s="81" t="n">
        <x:v>-0.11463547373648895</x:v>
      </x:c>
      <x:c r="F1002" s="81" t="n">
        <x:v>0.5279689294169657</x:v>
      </x:c>
      <x:c r="G1002" s="81" t="n">
        <x:v>0.008460753542177762</x:v>
      </x:c>
      <x:c r="H1002" s="59" t="n">
        <x:v>36</x:v>
      </x:c>
      <x:c r="I1002" s="81" t="n">
        <x:v>0.13224991392344237</x:v>
      </x:c>
      <x:c r="J1002" s="79" t="n">
        <x:v>1.9374684620763788e-35</x:v>
      </x:c>
      <x:c r="K1002" s="81" t="n">
        <x:v>-1</x:v>
      </x:c>
      <x:c r="L1002" s="81" t="n">
        <x:v>-1</x:v>
      </x:c>
      <x:c r="M1002" s="80" t="n">
        <x:v>0.000002</x:v>
      </x:c>
      <x:c r="N1002" s="82" t="n">
        <x:v>0.22893514809302856</x:v>
      </x:c>
      <x:c r="O1002" s="82" t="n">
        <x:v>0.11418045824362404</x:v>
      </x:c>
      <x:c r="P1002" s="80" t="n">
        <x:v>214.84310283550255</x:v>
      </x:c>
      <x:c r="Q1002" s="81" t="n">
        <x:v>1013850663503002100</x:v>
      </x:c>
      <x:c r="R1002" s="81" t="n">
        <x:v>4.14286988453127</x:v>
      </x:c>
      <x:c r="S1002" s="81" t="n">
        <x:v>3.981191678657258e-10</x:v>
      </x:c>
      <x:c r="T1002" s="81" t="n">
        <x:v>4.196979680687788e-31</x:v>
      </x:c>
    </x:row>
    <x:row r="1003">
      <x:c r="A1003" s="59" t="n">
        <x:v>1000</x:v>
      </x:c>
      <x:c r="B1003" s="193" t="n">
        <x:v>0.24084591642022135</x:v>
      </x:c>
      <x:c r="C1003" s="83" t="n">
        <x:v>0.17937353305714443</x:v>
      </x:c>
      <x:c r="D1003" s="83" t="n">
        <x:v>0.5670682782673138</x:v>
      </x:c>
      <x:c r="E1003" s="81" t="n">
        <x:v>-0.01511738137082612</x:v>
      </x:c>
      <x:c r="F1003" s="81" t="n">
        <x:v>0.5750521002802997</x:v>
      </x:c>
      <x:c r="G1003" s="81" t="n">
        <x:v>-0.04111125200147654</x:v>
      </x:c>
      <x:c r="H1003" s="59" t="n">
        <x:v>0</x:v>
      </x:c>
      <x:c r="I1003" s="81" t="n">
        <x:v>0</x:v>
      </x:c>
      <x:c r="J1003" s="79" t="n">
        <x:v>2.5426129887730497e-9</x:v>
      </x:c>
      <x:c r="K1003" s="81" t="n">
        <x:v>-0.9999970941565842</x:v>
      </x:c>
      <x:c r="L1003" s="81" t="n">
        <x:v>-0.9999970941565842</x:v>
      </x:c>
      <x:c r="M1003" s="80" t="n">
        <x:v>10.244750593405419</x:v>
      </x:c>
      <x:c r="N1003" s="82" t="n">
        <x:v>0.15946776315222957</x:v>
      </x:c>
      <x:c r="O1003" s="82" t="n">
        <x:v>0.08662655394664699</x:v>
      </x:c>
      <x:c r="P1003" s="80" t="n">
        <x:v>634.6170979901456</x:v>
      </x:c>
      <x:c r="Q1003" s="81" t="n">
        <x:v>0.26147867829502563</x:v>
      </x:c>
      <x:c r="R1003" s="81" t="n">
        <x:v>44.08691446249949</x:v>
      </x:c>
      <x:c r="S1003" s="81" t="n">
        <x:v>0.0015713634746870723</x:v>
      </x:c>
      <x:c r="T1003" s="81" t="n">
        <x:v>0.00005507854841826402</x:v>
      </x:c>
    </x:row>
    <x:row r="1004">
      <x:c r="A1004" s="59" t="n">
        <x:v>1001</x:v>
      </x:c>
      <x:c r="B1004" s="193" t="n">
        <x:v>0.5499289738014341</x:v>
      </x:c>
      <x:c r="C1004" s="83" t="n">
        <x:v>0.32449367793939904</x:v>
      </x:c>
      <x:c r="D1004" s="83" t="n">
        <x:v>2.2152763484916775</x:v>
      </x:c>
      <x:c r="E1004" s="81" t="n">
        <x:v>-0.058744220694937406</x:v>
      </x:c>
      <x:c r="F1004" s="81" t="n">
        <x:v>0.8776505670044571</x:v>
      </x:c>
      <x:c r="G1004" s="81" t="n">
        <x:v>0.028108668694393126</x:v>
      </x:c>
      <x:c r="H1004" s="59" t="n">
        <x:v>0</x:v>
      </x:c>
      <x:c r="I1004" s="81" t="n">
        <x:v>0</x:v>
      </x:c>
      <x:c r="J1004" s="79" t="n">
        <x:v>6.056467723417999e-56</x:v>
      </x:c>
      <x:c r="K1004" s="81" t="n">
        <x:v>-1</x:v>
      </x:c>
      <x:c r="L1004" s="81" t="n">
        <x:v>-1</x:v>
      </x:c>
      <x:c r="M1004" s="80" t="n">
        <x:v>0.000002</x:v>
      </x:c>
      <x:c r="N1004" s="82" t="n">
        <x:v>0.2330971427277604</x:v>
      </x:c>
      <x:c r="O1004" s="82" t="n">
        <x:v>0.19325446182523182</x:v>
      </x:c>
      <x:c r="P1004" s="80" t="n">
        <x:v>406.49155463526614</x:v>
      </x:c>
      <x:c r="Q1004" s="81" t="n">
        <x:v>6.0117553683587255e+38</x:v>
      </x:c>
      <x:c r="R1004" s="81" t="n">
        <x:v>3.805640824737801</x:v>
      </x:c>
      <x:c r="S1004" s="81" t="n">
        <x:v>2.0528484201720875e-9</x:v>
      </x:c>
      <x:c r="T1004" s="81" t="n">
        <x:v>1.3119631348571959e-51</x:v>
      </x:c>
    </x:row>
    <x:row r="1005">
      <x:c r="A1005" s="59" t="n">
        <x:v>1002</x:v>
      </x:c>
      <x:c r="B1005" s="193" t="n">
        <x:v>0.9219584304839372</x:v>
      </x:c>
      <x:c r="C1005" s="83" t="n">
        <x:v>0.3178564234131939</x:v>
      </x:c>
      <x:c r="D1005" s="83" t="n">
        <x:v>1.235873143823898</x:v>
      </x:c>
      <x:c r="E1005" s="81" t="n">
        <x:v>-0.0037103331957003063</x:v>
      </x:c>
      <x:c r="F1005" s="81" t="n">
        <x:v>0.3855167797883041</x:v>
      </x:c>
      <x:c r="G1005" s="81" t="n">
        <x:v>-0.0013745599293280503</x:v>
      </x:c>
      <x:c r="H1005" s="59" t="n">
        <x:v>0</x:v>
      </x:c>
      <x:c r="I1005" s="81" t="n">
        <x:v>0</x:v>
      </x:c>
      <x:c r="J1005" s="79" t="n">
        <x:v>1.4840150863706337e-8</x:v>
      </x:c>
      <x:c r="K1005" s="81" t="n">
        <x:v>-0.9999830398275843</x:v>
      </x:c>
      <x:c r="L1005" s="81" t="n">
        <x:v>-0.9999830398275843</x:v>
      </x:c>
      <x:c r="M1005" s="80" t="n">
        <x:v>27.584381828888404</x:v>
      </x:c>
      <x:c r="N1005" s="82" t="n">
        <x:v>0.32172153486184546</x:v>
      </x:c>
      <x:c r="O1005" s="82" t="n">
        <x:v>0.11716404567613796</x:v>
      </x:c>
      <x:c r="P1005" s="80" t="n">
        <x:v>1827.4954773100555</x:v>
      </x:c>
      <x:c r="Q1005" s="81" t="n">
        <x:v>0.44254944897303855</x:v>
      </x:c>
      <x:c r="R1005" s="81" t="n">
        <x:v>27.819763422026877</x:v>
      </x:c>
      <x:c r="S1005" s="81" t="n">
        <x:v>0.012113997080262963</x:v>
      </x:c>
      <x:c r="T1005" s="81" t="n">
        <x:v>0.0003214700670098518</x:v>
      </x:c>
    </x:row>
    <x:row r="1006">
      <x:c r="A1006" s="59" t="n">
        <x:v>1003</x:v>
      </x:c>
      <x:c r="B1006" s="193" t="n">
        <x:v>0.7944201186299324</x:v>
      </x:c>
      <x:c r="C1006" s="83" t="n">
        <x:v>2.3757068196124043</x:v>
      </x:c>
      <x:c r="D1006" s="83" t="n">
        <x:v>1.2875211222143883</x:v>
      </x:c>
      <x:c r="E1006" s="81" t="n">
        <x:v>0.05259528464857046</x:v>
      </x:c>
      <x:c r="F1006" s="81" t="n">
        <x:v>0.8721192366094329</x:v>
      </x:c>
      <x:c r="G1006" s="81" t="n">
        <x:v>0.02589753970746573</x:v>
      </x:c>
      <x:c r="H1006" s="59" t="n">
        <x:v>83</x:v>
      </x:c>
      <x:c r="I1006" s="81" t="n">
        <x:v>0.3171443181112409</x:v>
      </x:c>
      <x:c r="J1006" s="79" t="n">
        <x:v>0.008527000765450838</x:v>
      </x:c>
      <x:c r="K1006" s="81" t="n">
        <x:v>8.745143731943816</x:v>
      </x:c>
      <x:c r="L1006" s="81" t="n">
        <x:v>-0.8388440602448357</x:v>
      </x:c>
      <x:c r="M1006" s="80" t="n">
        <x:v>70831.46967919993</x:v>
      </x:c>
      <x:c r="N1006" s="82" t="n">
        <x:v>0.29133951763487426</x:v>
      </x:c>
      <x:c r="O1006" s="82" t="n">
        <x:v>0.24001932201231288</x:v>
      </x:c>
      <x:c r="P1006" s="80" t="n">
        <x:v>159634.47843777167</x:v>
      </x:c>
      <x:c r="Q1006" s="81" t="n">
        <x:v>0.01143375036905961</x:v>
      </x:c>
      <x:c r="R1006" s="81" t="n">
        <x:v>63.90968666352928</x:v>
      </x:c>
      <x:c r="S1006" s="81" t="n">
        <x:v>83.44960519826198</x:v>
      </x:c>
      <x:c r="T1006" s="81" t="n">
        <x:v>184.71345289126856</x:v>
      </x:c>
    </x:row>
    <x:row r="1007">
      <x:c r="A1007" s="59" t="n">
        <x:v>1004</x:v>
      </x:c>
      <x:c r="B1007" s="193" t="n">
        <x:v>0.7303760558366776</x:v>
      </x:c>
      <x:c r="C1007" s="83" t="n">
        <x:v>0.11441614736412128</x:v>
      </x:c>
      <x:c r="D1007" s="83" t="n">
        <x:v>2.0124733021524133</x:v>
      </x:c>
      <x:c r="E1007" s="81" t="n">
        <x:v>0.08046685259913465</x:v>
      </x:c>
      <x:c r="F1007" s="81" t="n">
        <x:v>0.4136977192480117</x:v>
      </x:c>
      <x:c r="G1007" s="81" t="n">
        <x:v>-0.04738060046663389</x:v>
      </x:c>
      <x:c r="H1007" s="59" t="n">
        <x:v>0</x:v>
      </x:c>
      <x:c r="I1007" s="81" t="n">
        <x:v>0</x:v>
      </x:c>
      <x:c r="J1007" s="79" t="n">
        <x:v>0.005787646547115821</x:v>
      </x:c>
      <x:c r="K1007" s="81" t="n">
        <x:v>5.6144531967037965</x:v>
      </x:c>
      <x:c r="L1007" s="81" t="n">
        <x:v>-0.8311964740990241</x:v>
      </x:c>
      <x:c r="M1007" s="80" t="n">
        <x:v>21908.23898423625</x:v>
      </x:c>
      <x:c r="N1007" s="82" t="n">
        <x:v>0.2760830210513438</x:v>
      </x:c>
      <x:c r="O1007" s="82" t="n">
        <x:v>0.10789312373903973</x:v>
      </x:c>
      <x:c r="P1007" s="80" t="n">
        <x:v>65663.82160194262</x:v>
      </x:c>
      <x:c r="Q1007" s="81" t="n">
        <x:v>0.0035681655344893047</x:v>
      </x:c>
      <x:c r="R1007" s="81" t="n">
        <x:v>3569.428181897206</x:v>
      </x:c>
      <x:c r="S1007" s="81" t="n">
        <x:v>949.4717145776449</x:v>
      </x:c>
      <x:c r="T1007" s="81" t="n">
        <x:v>125.37305991146683</x:v>
      </x:c>
    </x:row>
    <x:row r="1008">
      <x:c r="A1008" s="59" t="n">
        <x:v>1005</x:v>
      </x:c>
      <x:c r="B1008" s="193" t="n">
        <x:v>0.518739565461874</x:v>
      </x:c>
      <x:c r="C1008" s="83" t="n">
        <x:v>1.275797487895881</x:v>
      </x:c>
      <x:c r="D1008" s="83" t="n">
        <x:v>2.5000817340394654</x:v>
      </x:c>
      <x:c r="E1008" s="81" t="n">
        <x:v>-0.05901566512889323</x:v>
      </x:c>
      <x:c r="F1008" s="81" t="n">
        <x:v>0.5426883443142287</x:v>
      </x:c>
      <x:c r="G1008" s="81" t="n">
        <x:v>-0.021397347642970854</x:v>
      </x:c>
      <x:c r="H1008" s="59" t="n">
        <x:v>0</x:v>
      </x:c>
      <x:c r="I1008" s="81" t="n">
        <x:v>0</x:v>
      </x:c>
      <x:c r="J1008" s="79" t="n">
        <x:v>5.775506060281008e-50</x:v>
      </x:c>
      <x:c r="K1008" s="81" t="n">
        <x:v>-1</x:v>
      </x:c>
      <x:c r="L1008" s="81" t="n">
        <x:v>-1</x:v>
      </x:c>
      <x:c r="M1008" s="80" t="n">
        <x:v>0.000002</x:v>
      </x:c>
      <x:c r="N1008" s="82" t="n">
        <x:v>0.22566724085987083</x:v>
      </x:c>
      <x:c r="O1008" s="82" t="n">
        <x:v>0.1156884373399792</x:v>
      </x:c>
      <x:c r="P1008" s="80" t="n">
        <x:v>741.2030132323689</x:v>
      </x:c>
      <x:c r="Q1008" s="81" t="n">
        <x:v>6.2768223230592165e+32</x:v>
      </x:c>
      <x:c r="R1008" s="81" t="n">
        <x:v>1.5241539936719002</x:v>
      </x:c>
      <x:c r="S1008" s="81" t="n">
        <x:v>7.396661767316251e-10</x:v>
      </x:c>
      <x:c r="T1008" s="81" t="n">
        <x:v>1.2511007046128109e-45</x:v>
      </x:c>
    </x:row>
    <x:row r="1009">
      <x:c r="A1009" s="59" t="n">
        <x:v>1006</x:v>
      </x:c>
      <x:c r="B1009" s="193" t="n">
        <x:v>0.28863091412931685</x:v>
      </x:c>
      <x:c r="C1009" s="83" t="n">
        <x:v>0.251803974641706</x:v>
      </x:c>
      <x:c r="D1009" s="83" t="n">
        <x:v>1.3440786432525769</x:v>
      </x:c>
      <x:c r="E1009" s="81" t="n">
        <x:v>0.009389788363196601</x:v>
      </x:c>
      <x:c r="F1009" s="81" t="n">
        <x:v>0.4624233188340441</x:v>
      </x:c>
      <x:c r="G1009" s="81" t="n">
        <x:v>0.030740418988982932</x:v>
      </x:c>
      <x:c r="H1009" s="59" t="n">
        <x:v>0</x:v>
      </x:c>
      <x:c r="I1009" s="81" t="n">
        <x:v>0</x:v>
      </x:c>
      <x:c r="J1009" s="79" t="n">
        <x:v>0.0003610339079400529</x:v>
      </x:c>
      <x:c r="K1009" s="81" t="n">
        <x:v>-0.5873898194970824</x:v>
      </x:c>
      <x:c r="L1009" s="81" t="n">
        <x:v>-0.8141874978127313</x:v>
      </x:c>
      <x:c r="M1009" s="80" t="n">
        <x:v>4294.367920044657</x:v>
      </x:c>
      <x:c r="N1009" s="82" t="n">
        <x:v>0.17085104557524317</x:v>
      </x:c>
      <x:c r="O1009" s="82" t="n">
        <x:v>0.0746325549037105</x:v>
      </x:c>
      <x:c r="P1009" s="80" t="n">
        <x:v>13400.63823579883</x:v>
      </x:c>
      <x:c r="Q1009" s="81" t="n">
        <x:v>0.016203361122042775</x:v>
      </x:c>
      <x:c r="R1009" s="81" t="n">
        <x:v>82.72094417601338</x:v>
      </x:c>
      <x:c r="S1009" s="81" t="n">
        <x:v>29.560433451672452</x:v>
      </x:c>
      <x:c r="T1009" s="81" t="n">
        <x:v>7.820782662133331</x:v>
      </x:c>
    </x:row>
    <x:row r="1010">
      <x:c r="A1010" s="59" t="n">
        <x:v>1007</x:v>
      </x:c>
      <x:c r="B1010" s="193" t="n">
        <x:v>0.2748233370482922</x:v>
      </x:c>
      <x:c r="C1010" s="83" t="n">
        <x:v>0.7564237345943065</x:v>
      </x:c>
      <x:c r="D1010" s="83" t="n">
        <x:v>1.687586467432076</x:v>
      </x:c>
      <x:c r="E1010" s="81" t="n">
        <x:v>0.11278276373417122</x:v>
      </x:c>
      <x:c r="F1010" s="81" t="n">
        <x:v>0.5199841402820311</x:v>
      </x:c>
      <x:c r="G1010" s="81" t="n">
        <x:v>0.0004020592064724339</x:v>
      </x:c>
      <x:c r="H1010" s="59" t="n">
        <x:v>0</x:v>
      </x:c>
      <x:c r="I1010" s="81" t="n">
        <x:v>0</x:v>
      </x:c>
      <x:c r="J1010" s="79" t="n">
        <x:v>0.11440775216877587</x:v>
      </x:c>
      <x:c r="K1010" s="81" t="n">
        <x:v>129.7517167643153</x:v>
      </x:c>
      <x:c r="L1010" s="81" t="n">
        <x:v>-0.7864605835117016</x:v>
      </x:c>
      <x:c r="M1010" s="80" t="n">
        <x:v>182532.1908884993</x:v>
      </x:c>
      <x:c r="N1010" s="82" t="n">
        <x:v>0.16756182182247287</x:v>
      </x:c>
      <x:c r="O1010" s="82" t="n">
        <x:v>0.08230687505296176</x:v>
      </x:c>
      <x:c r="P1010" s="80" t="n">
        <x:v>409772.27514882036</x:v>
      </x:c>
      <x:c r="Q1010" s="81" t="n">
        <x:v>0.0022299259660407043</x:v>
      </x:c>
      <x:c r="R1010" s="81" t="n">
        <x:v>2615.320813653139</x:v>
      </x:c>
      <x:c r="S1010" s="81" t="n">
        <x:v>2891.4500025574357</x:v>
      </x:c>
      <x:c r="T1010" s="81" t="n">
        <x:v>2478.3216891743514</x:v>
      </x:c>
    </x:row>
    <x:row r="1011">
      <x:c r="A1011" s="59" t="n">
        <x:v>1008</x:v>
      </x:c>
      <x:c r="B1011" s="193" t="n">
        <x:v>0.9442502913996578</x:v>
      </x:c>
      <x:c r="C1011" s="83" t="n">
        <x:v>0.6232452275107181</x:v>
      </x:c>
      <x:c r="D1011" s="83" t="n">
        <x:v>0.5630484899632642</x:v>
      </x:c>
      <x:c r="E1011" s="81" t="n">
        <x:v>0.07846454251764544</x:v>
      </x:c>
      <x:c r="F1011" s="81" t="n">
        <x:v>0.48970556493150075</x:v>
      </x:c>
      <x:c r="G1011" s="81" t="n">
        <x:v>0.016194970318680803</x:v>
      </x:c>
      <x:c r="H1011" s="59" t="n">
        <x:v>0</x:v>
      </x:c>
      <x:c r="I1011" s="81" t="n">
        <x:v>0</x:v>
      </x:c>
      <x:c r="J1011" s="79" t="n">
        <x:v>0.0015522341505349385</x:v>
      </x:c>
      <x:c r="K1011" s="81" t="n">
        <x:v>0.7739818863256442</x:v>
      </x:c>
      <x:c r="L1011" s="81" t="n">
        <x:v>-0.7428099129931598</x:v>
      </x:c>
      <x:c r="M1011" s="80" t="n">
        <x:v>13114.175636108648</x:v>
      </x:c>
      <x:c r="N1011" s="82" t="n">
        <x:v>0.3270318741043623</x:v>
      </x:c>
      <x:c r="O1011" s="82" t="n">
        <x:v>0.1512850678254775</x:v>
      </x:c>
      <x:c r="P1011" s="80" t="n">
        <x:v>14594.457124543627</x:v>
      </x:c>
      <x:c r="Q1011" s="81" t="n">
        <x:v>0.004564895604399156</x:v>
      </x:c>
      <x:c r="R1011" s="81" t="n">
        <x:v>77.98564628687522</x:v>
      </x:c>
      <x:c r="S1011" s="81" t="n">
        <x:v>48.82963220531865</x:v>
      </x:c>
      <x:c r="T1011" s="81" t="n">
        <x:v>33.62478056795322</x:v>
      </x:c>
    </x:row>
    <x:row r="1012">
      <x:c r="A1012" s="59" t="n">
        <x:v>1009</x:v>
      </x:c>
      <x:c r="B1012" s="193" t="n">
        <x:v>0.9263679575175048</x:v>
      </x:c>
      <x:c r="C1012" s="83" t="n">
        <x:v>0.16542185839776558</x:v>
      </x:c>
      <x:c r="D1012" s="83" t="n">
        <x:v>1.2897623251360328</x:v>
      </x:c>
      <x:c r="E1012" s="81" t="n">
        <x:v>0.004792533539207054</x:v>
      </x:c>
      <x:c r="F1012" s="81" t="n">
        <x:v>0.6795147829805501</x:v>
      </x:c>
      <x:c r="G1012" s="81" t="n">
        <x:v>-0.013923232521456531</x:v>
      </x:c>
      <x:c r="H1012" s="59" t="n">
        <x:v>34</x:v>
      </x:c>
      <x:c r="I1012" s="81" t="n">
        <x:v>0.12111148396506906</x:v>
      </x:c>
      <x:c r="J1012" s="79" t="n">
        <x:v>0.0000036791606735942515</x:v>
      </x:c>
      <x:c r="K1012" s="81" t="n">
        <x:v>-0.9957952449444637</x:v>
      </x:c>
      <x:c r="L1012" s="81" t="n">
        <x:v>-0.9957952449444637</x:v>
      </x:c>
      <x:c r="M1012" s="80" t="n">
        <x:v>390.34987673662715</x:v>
      </x:c>
      <x:c r="N1012" s="82" t="n">
        <x:v>0.32277196687987325</x:v>
      </x:c>
      <x:c r="O1012" s="82" t="n">
        <x:v>0.2071885065206862</x:v>
      </x:c>
      <x:c r="P1012" s="80" t="n">
        <x:v>2205.5237308934957</x:v>
      </x:c>
      <x:c r="Q1012" s="81" t="n">
        <x:v>0.0680440348183337</x:v>
      </x:c>
      <x:c r="R1012" s="81" t="n">
        <x:v>49.93643676505043</x:v>
      </x:c>
      <x:c r="S1012" s="81" t="n">
        <x:v>0.573274982746942</x:v>
      </x:c>
      <x:c r="T1012" s="81" t="n">
        <x:v>0.07969865260419365</x:v>
      </x:c>
    </x:row>
    <x:row r="1013">
      <x:c r="A1013" s="59" t="n">
        <x:v>1010</x:v>
      </x:c>
      <x:c r="B1013" s="193" t="n">
        <x:v>0.26772314906120304</x:v>
      </x:c>
      <x:c r="C1013" s="83" t="n">
        <x:v>0.3826507024537468</x:v>
      </x:c>
      <x:c r="D1013" s="83" t="n">
        <x:v>1.3268217627242873</x:v>
      </x:c>
      <x:c r="E1013" s="81" t="n">
        <x:v>-0.011375720325547683</x:v>
      </x:c>
      <x:c r="F1013" s="81" t="n">
        <x:v>0.3004413464455865</x:v>
      </x:c>
      <x:c r="G1013" s="81" t="n">
        <x:v>0.009210704085664235</x:v>
      </x:c>
      <x:c r="H1013" s="59" t="n">
        <x:v>7</x:v>
      </x:c>
      <x:c r="I1013" s="81" t="n">
        <x:v>0.11346242604777218</x:v>
      </x:c>
      <x:c r="J1013" s="79" t="n">
        <x:v>3.1111414340713774e-14</x:v>
      </x:c>
      <x:c r="K1013" s="81" t="n">
        <x:v>-0.9999999999644441</x:v>
      </x:c>
      <x:c r="L1013" s="81" t="n">
        <x:v>-0.9999999999644441</x:v>
      </x:c>
      <x:c r="M1013" s="80" t="n">
        <x:v>0.04271579960747245</x:v>
      </x:c>
      <x:c r="N1013" s="82" t="n">
        <x:v>0.1658704239154235</x:v>
      </x:c>
      <x:c r="O1013" s="82" t="n">
        <x:v>0.04707600454034083</x:v>
      </x:c>
      <x:c r="P1013" s="80" t="n">
        <x:v>1408.3956896740885</x:v>
      </x:c>
      <x:c r="Q1013" s="81" t="n">
        <x:v>123.29208994989895</x:v>
      </x:c>
      <x:c r="R1013" s="81" t="n">
        <x:v>18.14836614648393</x:v>
      </x:c>
      <x:c r="S1013" s="81" t="n">
        <x:v>0.00002074501679809489</x:v>
      </x:c>
      <x:c r="T1013" s="81" t="n">
        <x:v>6.739411576563089e-10</x:v>
      </x:c>
    </x:row>
    <x:row r="1014">
      <x:c r="A1014" s="59" t="n">
        <x:v>1011</x:v>
      </x:c>
      <x:c r="B1014" s="193" t="n">
        <x:v>0.8107824470847846</x:v>
      </x:c>
      <x:c r="C1014" s="83" t="n">
        <x:v>2.9446774238107505</x:v>
      </x:c>
      <x:c r="D1014" s="83" t="n">
        <x:v>1.258865376360201</x:v>
      </x:c>
      <x:c r="E1014" s="81" t="n">
        <x:v>0.014591368614016297</x:v>
      </x:c>
      <x:c r="F1014" s="81" t="n">
        <x:v>0.45570197436027227</x:v>
      </x:c>
      <x:c r="G1014" s="81" t="n">
        <x:v>-0.03052053311142643</x:v>
      </x:c>
      <x:c r="H1014" s="59" t="n">
        <x:v>61</x:v>
      </x:c>
      <x:c r="I1014" s="81" t="n">
        <x:v>0.24527884079143406</x:v>
      </x:c>
      <x:c r="J1014" s="79" t="n">
        <x:v>0.0006811624240107761</x:v>
      </x:c>
      <x:c r="K1014" s="81" t="n">
        <x:v>-0.22152865827339874</x:v>
      </x:c>
      <x:c r="L1014" s="81" t="n">
        <x:v>-0.6701162116481845</x:v>
      </x:c>
      <x:c r="M1014" s="80" t="n">
        <x:v>18571.591188513026</x:v>
      </x:c>
      <x:c r="N1014" s="82" t="n">
        <x:v>0.29523733106647887</x:v>
      </x:c>
      <x:c r="O1014" s="82" t="n">
        <x:v>0.1270934364697857</x:v>
      </x:c>
      <x:c r="P1014" s="80" t="n">
        <x:v>48256.18273886482</x:v>
      </x:c>
      <x:c r="Q1014" s="81" t="n">
        <x:v>0.01832996315139339</x:v>
      </x:c>
      <x:c r="R1014" s="81" t="n">
        <x:v>15.860797598773301</x:v>
      </x:c>
      <x:c r="S1014" s="81" t="n">
        <x:v>6.101386680438232</x:v>
      </x:c>
      <x:c r="T1014" s="81" t="n">
        <x:v>14.755465230940958</x:v>
      </x:c>
    </x:row>
    <x:row r="1015">
      <x:c r="A1015" s="59" t="n">
        <x:v>1012</x:v>
      </x:c>
      <x:c r="B1015" s="193" t="n">
        <x:v>0.21940140258520843</x:v>
      </x:c>
      <x:c r="C1015" s="83" t="n">
        <x:v>1.5076720257997769</x:v>
      </x:c>
      <x:c r="D1015" s="83" t="n">
        <x:v>0.2822610740356473</x:v>
      </x:c>
      <x:c r="E1015" s="81" t="n">
        <x:v>0.1266051116880605</x:v>
      </x:c>
      <x:c r="F1015" s="81" t="n">
        <x:v>0.28172803493216636</x:v>
      </x:c>
      <x:c r="G1015" s="81" t="n">
        <x:v>-0.03687769937830049</x:v>
      </x:c>
      <x:c r="H1015" s="59" t="n">
        <x:v>0</x:v>
      </x:c>
      <x:c r="I1015" s="81" t="n">
        <x:v>0</x:v>
      </x:c>
      <x:c r="J1015" s="79" t="n">
        <x:v>0.008963178293493591</x:v>
      </x:c>
      <x:c r="K1015" s="81" t="n">
        <x:v>9.243632335421248</x:v>
      </x:c>
      <x:c r="L1015" s="81" t="n">
        <x:v>-0.48391028912457545</x:v>
      </x:c>
      <x:c r="M1015" s="80" t="n">
        <x:v>45013.15765254583</x:v>
      </x:c>
      <x:c r="N1015" s="82" t="n">
        <x:v>0.1543592778720952</x:v>
      </x:c>
      <x:c r="O1015" s="82" t="n">
        <x:v>0.04108031320335459</x:v>
      </x:c>
      <x:c r="P1015" s="80" t="n">
        <x:v>24951.98526539276</x:v>
      </x:c>
      <x:c r="Q1015" s="81" t="n">
        <x:v>0.0008411981862093987</x:v>
      </x:c>
      <x:c r="R1015" s="81" t="n">
        <x:v>91.68290327349081</x:v>
      </x:c>
      <x:c r="S1015" s="81" t="n">
        <x:v>111.96202058498118</x:v>
      </x:c>
      <x:c r="T1015" s="81" t="n">
        <x:v>194.16201041981893</x:v>
      </x:c>
    </x:row>
    <x:row r="1016">
      <x:c r="A1016" s="59" t="n">
        <x:v>1013</x:v>
      </x:c>
      <x:c r="B1016" s="193" t="n">
        <x:v>0.27970026731491093</x:v>
      </x:c>
      <x:c r="C1016" s="83" t="n">
        <x:v>1.7116830897316688</x:v>
      </x:c>
      <x:c r="D1016" s="83" t="n">
        <x:v>0.9007953448800057</x:v>
      </x:c>
      <x:c r="E1016" s="81" t="n">
        <x:v>0.06488239490333193</x:v>
      </x:c>
      <x:c r="F1016" s="81" t="n">
        <x:v>0.37316025380278006</x:v>
      </x:c>
      <x:c r="G1016" s="81" t="n">
        <x:v>-0.03984075431879474</x:v>
      </x:c>
      <x:c r="H1016" s="59" t="n">
        <x:v>0</x:v>
      </x:c>
      <x:c r="I1016" s="81" t="n">
        <x:v>0</x:v>
      </x:c>
      <x:c r="J1016" s="79" t="n">
        <x:v>0.013349668811851428</x:v>
      </x:c>
      <x:c r="K1016" s="81" t="n">
        <x:v>14.256764356401634</x:v>
      </x:c>
      <x:c r="L1016" s="81" t="n">
        <x:v>-0.6289128419699317</x:v>
      </x:c>
      <x:c r="M1016" s="80" t="n">
        <x:v>63402.49259454037</x:v>
      </x:c>
      <x:c r="N1016" s="82" t="n">
        <x:v>0.16872359805442383</x:v>
      </x:c>
      <x:c r="O1016" s="82" t="n">
        <x:v>0.05947605437850022</x:v>
      </x:c>
      <x:c r="P1016" s="80" t="n">
        <x:v>102453.42558104586</x:v>
      </x:c>
      <x:c r="Q1016" s="81" t="n">
        <x:v>0.0023073503265192644</x:v>
      </x:c>
      <x:c r="R1016" s="81" t="n">
        <x:v>215.92074828181924</x:v>
      </x:c>
      <x:c r="S1016" s="81" t="n">
        <x:v>150.77866718836643</x:v>
      </x:c>
      <x:c r="T1016" s="81" t="n">
        <x:v>289.18297171767415</x:v>
      </x:c>
    </x:row>
    <x:row r="1017">
      <x:c r="A1017" s="59" t="n">
        <x:v>1014</x:v>
      </x:c>
      <x:c r="B1017" s="193" t="n">
        <x:v>0.5223944492638111</x:v>
      </x:c>
      <x:c r="C1017" s="83" t="n">
        <x:v>0.16746576135482366</x:v>
      </x:c>
      <x:c r="D1017" s="83" t="n">
        <x:v>0.7009533567729477</x:v>
      </x:c>
      <x:c r="E1017" s="81" t="n">
        <x:v>-0.07982970660384824</x:v>
      </x:c>
      <x:c r="F1017" s="81" t="n">
        <x:v>0.814076368464157</x:v>
      </x:c>
      <x:c r="G1017" s="81" t="n">
        <x:v>0.027424706760263724</x:v>
      </x:c>
      <x:c r="H1017" s="59" t="n">
        <x:v>0</x:v>
      </x:c>
      <x:c r="I1017" s="81" t="n">
        <x:v>0</x:v>
      </x:c>
      <x:c r="J1017" s="79" t="n">
        <x:v>4.463291483044045e-33</x:v>
      </x:c>
      <x:c r="K1017" s="81" t="n">
        <x:v>-1</x:v>
      </x:c>
      <x:c r="L1017" s="81" t="n">
        <x:v>-1</x:v>
      </x:c>
      <x:c r="M1017" s="80" t="n">
        <x:v>0.000002</x:v>
      </x:c>
      <x:c r="N1017" s="82" t="n">
        <x:v>0.22653790271056354</x:v>
      </x:c>
      <x:c r="O1017" s="82" t="n">
        <x:v>0.17421155822180748</x:v>
      </x:c>
      <x:c r="P1017" s="80" t="n">
        <x:v>213.08324955931764</x:v>
      </x:c>
      <x:c r="Q1017" s="81" t="n">
        <x:v>6122521075330306</x:v>
      </x:c>
      <x:c r="R1017" s="81" t="n">
        <x:v>13.386644434235523</x:v>
      </x:c>
      <x:c r="S1017" s="81" t="n">
        <x:v>7.3098332291127e-10</x:v>
      </x:c>
      <x:c r="T1017" s="81" t="n">
        <x:v>9.668463786629755e-29</x:v>
      </x:c>
    </x:row>
    <x:row r="1018">
      <x:c r="A1018" s="59" t="n">
        <x:v>1015</x:v>
      </x:c>
      <x:c r="B1018" s="193" t="n">
        <x:v>0.8076747316867114</x:v>
      </x:c>
      <x:c r="C1018" s="83" t="n">
        <x:v>1.6510286146779862</x:v>
      </x:c>
      <x:c r="D1018" s="83" t="n">
        <x:v>0.27098696274166</x:v>
      </x:c>
      <x:c r="E1018" s="81" t="n">
        <x:v>-0.02269528293429645</x:v>
      </x:c>
      <x:c r="F1018" s="81" t="n">
        <x:v>0.5810660931747407</x:v>
      </x:c>
      <x:c r="G1018" s="81" t="n">
        <x:v>0.04879352616267157</x:v>
      </x:c>
      <x:c r="H1018" s="59" t="n">
        <x:v>54</x:v>
      </x:c>
      <x:c r="I1018" s="81" t="n">
        <x:v>0.30486560314893724</x:v>
      </x:c>
      <x:c r="J1018" s="79" t="n">
        <x:v>2.430190010408659e-10</x:v>
      </x:c>
      <x:c r="K1018" s="81" t="n">
        <x:v>-0.9999997222639988</x:v>
      </x:c>
      <x:c r="L1018" s="81" t="n">
        <x:v>-0.9999997222639988</x:v>
      </x:c>
      <x:c r="M1018" s="80" t="n">
        <x:v>7.1442593386121835</x:v>
      </x:c>
      <x:c r="N1018" s="82" t="n">
        <x:v>0.2944970149889935</x:v>
      </x:c>
      <x:c r="O1018" s="82" t="n">
        <x:v>0.16165061934020084</x:v>
      </x:c>
      <x:c r="P1018" s="80" t="n">
        <x:v>888.2417003194432</x:v>
      </x:c>
      <x:c r="Q1018" s="81" t="n">
        <x:v>1.323227666649259</x:v>
      </x:c>
      <x:c r="R1018" s="81" t="n">
        <x:v>5.85033206518995</x:v>
      </x:c>
      <x:c r="S1018" s="81" t="n">
        <x:v>0.000586259362878044</x:v>
      </x:c>
      <x:c r="T1018" s="81" t="n">
        <x:v>0.000005264322126288889</x:v>
      </x:c>
    </x:row>
    <x:row r="1019">
      <x:c r="A1019" s="59" t="n">
        <x:v>1016</x:v>
      </x:c>
      <x:c r="B1019" s="193" t="n">
        <x:v>0.7510488143190741</x:v>
      </x:c>
      <x:c r="C1019" s="83" t="n">
        <x:v>1.8120180898309188</x:v>
      </x:c>
      <x:c r="D1019" s="83" t="n">
        <x:v>0.9418324594896105</x:v>
      </x:c>
      <x:c r="E1019" s="81" t="n">
        <x:v>0.11218779350432258</x:v>
      </x:c>
      <x:c r="F1019" s="81" t="n">
        <x:v>0.268997397122439</x:v>
      </x:c>
      <x:c r="G1019" s="81" t="n">
        <x:v>-0.0007512029160362571</x:v>
      </x:c>
      <x:c r="H1019" s="59" t="n">
        <x:v>0</x:v>
      </x:c>
      <x:c r="I1019" s="81" t="n">
        <x:v>0</x:v>
      </x:c>
      <x:c r="J1019" s="79" t="n">
        <x:v>0.09700601002973544</x:v>
      </x:c>
      <x:c r="K1019" s="81" t="n">
        <x:v>109.8640114625548</x:v>
      </x:c>
      <x:c r="L1019" s="81" t="n">
        <x:v>-0.6697228494308967</x:v>
      </x:c>
      <x:c r="M1019" s="80" t="n">
        <x:v>215016.82020416716</x:v>
      </x:c>
      <x:c r="N1019" s="82" t="n">
        <x:v>0.281007659736072</x:v>
      </x:c>
      <x:c r="O1019" s="82" t="n">
        <x:v>0.07140640645578801</x:v>
      </x:c>
      <x:c r="P1019" s="80" t="n">
        <x:v>321909.6434309659</x:v>
      </x:c>
      <x:c r="Q1019" s="81" t="n">
        <x:v>0.001804078453692833</x:v>
      </x:c>
      <x:c r="R1019" s="81" t="n">
        <x:v>825.3727473682534</x:v>
      </x:c>
      <x:c r="S1019" s="81" t="n">
        <x:v>1028.0578811824578</x:v>
      </x:c>
      <x:c r="T1019" s="81" t="n">
        <x:v>2101.361962625564</x:v>
      </x:c>
    </x:row>
    <x:row r="1020">
      <x:c r="A1020" s="59" t="n">
        <x:v>1017</x:v>
      </x:c>
      <x:c r="B1020" s="193" t="n">
        <x:v>0.36416829824447633</x:v>
      </x:c>
      <x:c r="C1020" s="83" t="n">
        <x:v>0.3033980244443349</x:v>
      </x:c>
      <x:c r="D1020" s="83" t="n">
        <x:v>2.3445509181393613</x:v>
      </x:c>
      <x:c r="E1020" s="81" t="n">
        <x:v>-0.03894841380489703</x:v>
      </x:c>
      <x:c r="F1020" s="81" t="n">
        <x:v>0.6904232362634503</x:v>
      </x:c>
      <x:c r="G1020" s="81" t="n">
        <x:v>0.0067398711624891685</x:v>
      </x:c>
      <x:c r="H1020" s="59" t="n">
        <x:v>0</x:v>
      </x:c>
      <x:c r="I1020" s="81" t="n">
        <x:v>0</x:v>
      </x:c>
      <x:c r="J1020" s="79" t="n">
        <x:v>7.033539986890109e-41</x:v>
      </x:c>
      <x:c r="K1020" s="81" t="n">
        <x:v>-1</x:v>
      </x:c>
      <x:c r="L1020" s="81" t="n">
        <x:v>-1</x:v>
      </x:c>
      <x:c r="M1020" s="80" t="n">
        <x:v>0.000002</x:v>
      </x:c>
      <x:c r="N1020" s="82" t="n">
        <x:v>0.1888454667974264</x:v>
      </x:c>
      <x:c r="O1020" s="82" t="n">
        <x:v>0.12316658644685634</x:v>
      </x:c>
      <x:c r="P1020" s="80" t="n">
        <x:v>564.8701022618357</x:v>
      </x:c>
      <x:c r="Q1020" s="81" t="n">
        <x:v>7.661698346393866e+23</x:v>
      </x:c>
      <x:c r="R1020" s="81" t="n">
        <x:v>5.935690544079338</x:v>
      </x:c>
      <x:c r="S1020" s="81" t="n">
        <x:v>1.7099371761294859e-9</x:v>
      </x:c>
      <x:c r="T1020" s="81" t="n">
        <x:v>1.5236183187542957e-36</x:v>
      </x:c>
    </x:row>
    <x:row r="1021">
      <x:c r="A1021" s="59" t="n">
        <x:v>1018</x:v>
      </x:c>
      <x:c r="B1021" s="193" t="n">
        <x:v>0.7843801068142058</x:v>
      </x:c>
      <x:c r="C1021" s="83" t="n">
        <x:v>0.15076121633982695</x:v>
      </x:c>
      <x:c r="D1021" s="83" t="n">
        <x:v>0.5579472329052704</x:v>
      </x:c>
      <x:c r="E1021" s="81" t="n">
        <x:v>0.004434207786637864</x:v>
      </x:c>
      <x:c r="F1021" s="81" t="n">
        <x:v>0.6106308691087179</x:v>
      </x:c>
      <x:c r="G1021" s="81" t="n">
        <x:v>-0.03001509258016767</x:v>
      </x:c>
      <x:c r="H1021" s="59" t="n">
        <x:v>73</x:v>
      </x:c>
      <x:c r="I1021" s="81" t="n">
        <x:v>0.27570906318724153</x:v>
      </x:c>
      <x:c r="J1021" s="79" t="n">
        <x:v>0.0000011321138162254525</x:v>
      </x:c>
      <x:c r="K1021" s="81" t="n">
        <x:v>-0.9987061556385994</x:v>
      </x:c>
      <x:c r="L1021" s="81" t="n">
        <x:v>-0.9987061556385994</x:v>
      </x:c>
      <x:c r="M1021" s="80" t="n">
        <x:v>210.89761867306757</x:v>
      </x:c>
      <x:c r="N1021" s="82" t="n">
        <x:v>0.2889477985701467</x:v>
      </x:c>
      <x:c r="O1021" s="82" t="n">
        <x:v>0.16667447168324667</x:v>
      </x:c>
      <x:c r="P1021" s="80" t="n">
        <x:v>821.9692511010661</x:v>
      </x:c>
      <x:c r="Q1021" s="81" t="n">
        <x:v>0.036460389772325484</x:v>
      </x:c>
      <x:c r="R1021" s="81" t="n">
        <x:v>54.81274794360102</x:v>
      </x:c>
      <x:c r="S1021" s="81" t="n">
        <x:v>0.17057572584449845</x:v>
      </x:c>
      <x:c r="T1021" s="81" t="n">
        <x:v>0.024524056912038756</x:v>
      </x:c>
    </x:row>
    <x:row r="1022">
      <x:c r="A1022" s="59" t="n">
        <x:v>1019</x:v>
      </x:c>
      <x:c r="B1022" s="193" t="n">
        <x:v>0.8485520880669355</x:v>
      </x:c>
      <x:c r="C1022" s="83" t="n">
        <x:v>0.26235924916483866</x:v>
      </x:c>
      <x:c r="D1022" s="83" t="n">
        <x:v>0.6525532337798428</x:v>
      </x:c>
      <x:c r="E1022" s="81" t="n">
        <x:v>-0.08131689187587059</x:v>
      </x:c>
      <x:c r="F1022" s="81" t="n">
        <x:v>0.40634160067420455</x:v>
      </x:c>
      <x:c r="G1022" s="81" t="n">
        <x:v>-0.04397246699250079</x:v>
      </x:c>
      <x:c r="H1022" s="59" t="n">
        <x:v>0</x:v>
      </x:c>
      <x:c r="I1022" s="81" t="n">
        <x:v>0</x:v>
      </x:c>
      <x:c r="J1022" s="79" t="n">
        <x:v>8.471091278519833e-26</x:v>
      </x:c>
      <x:c r="K1022" s="81" t="n">
        <x:v>-1</x:v>
      </x:c>
      <x:c r="L1022" s="81" t="n">
        <x:v>-1</x:v>
      </x:c>
      <x:c r="M1022" s="80" t="n">
        <x:v>0.000002</x:v>
      </x:c>
      <x:c r="N1022" s="82" t="n">
        <x:v>0.3042347677291952</x:v>
      </x:c>
      <x:c r="O1022" s="82" t="n">
        <x:v>0.11678069950719168</x:v>
      </x:c>
      <x:c r="P1022" s="80" t="n">
        <x:v>234.11582802096683</x:v>
      </x:c>
      <x:c r="Q1022" s="81" t="n">
        <x:v>317122938.12264055</x:v>
      </x:c>
      <x:c r="R1022" s="81" t="n">
        <x:v>9.94241775086997</x:v>
      </x:c>
      <x:c r="S1022" s="81" t="n">
        <x:v>2.620154803912805e-10</x:v>
      </x:c>
      <x:c r="T1022" s="81" t="n">
        <x:v>1.8350233134167886e-21</x:v>
      </x:c>
    </x:row>
    <x:row r="1023">
      <x:c r="A1023" s="59" t="n">
        <x:v>1020</x:v>
      </x:c>
      <x:c r="B1023" s="193" t="n">
        <x:v>0.4742327405139804</x:v>
      </x:c>
      <x:c r="C1023" s="83" t="n">
        <x:v>2.971441199380304</x:v>
      </x:c>
      <x:c r="D1023" s="83" t="n">
        <x:v>0.5369175816986013</x:v>
      </x:c>
      <x:c r="E1023" s="81" t="n">
        <x:v>0.12931163600182768</x:v>
      </x:c>
      <x:c r="F1023" s="81" t="n">
        <x:v>0.792734893981833</x:v>
      </x:c>
      <x:c r="G1023" s="81" t="n">
        <x:v>-0.03180851839357171</x:v>
      </x:c>
      <x:c r="H1023" s="59" t="n">
        <x:v>0</x:v>
      </x:c>
      <x:c r="I1023" s="81" t="n">
        <x:v>0</x:v>
      </x:c>
      <x:c r="J1023" s="79" t="n">
        <x:v>0.006963964119361988</x:v>
      </x:c>
      <x:c r="K1023" s="81" t="n">
        <x:v>6.958816136413701</x:v>
      </x:c>
      <x:c r="L1023" s="81" t="n">
        <x:v>-0.6818791259240307</x:v>
      </x:c>
      <x:c r="M1023" s="80" t="n">
        <x:v>69908.24065038661</x:v>
      </x:c>
      <x:c r="N1023" s="82" t="n">
        <x:v>0.21506488065431467</x:v>
      </x:c>
      <x:c r="O1023" s="82" t="n">
        <x:v>0.16105284991619137</x:v>
      </x:c>
      <x:c r="P1023" s="80" t="n">
        <x:v>70076.64073319103</x:v>
      </x:c>
      <x:c r="Q1023" s="81" t="n">
        <x:v>0.0031896816362499097</x:v>
      </x:c>
      <x:c r="R1023" s="81" t="n">
        <x:v>96.6589381232012</x:v>
      </x:c>
      <x:c r="S1023" s="81" t="n">
        <x:v>46.637620488454424</x:v>
      </x:c>
      <x:c r="T1023" s="81" t="n">
        <x:v>150.85466668540212</x:v>
      </x:c>
    </x:row>
    <x:row r="1024">
      <x:c r="A1024" s="59" t="n">
        <x:v>1021</x:v>
      </x:c>
      <x:c r="B1024" s="193" t="n">
        <x:v>0.3799162639304996</x:v>
      </x:c>
      <x:c r="C1024" s="83" t="n">
        <x:v>0.1407475371612631</x:v>
      </x:c>
      <x:c r="D1024" s="83" t="n">
        <x:v>1.5835350528279621</x:v>
      </x:c>
      <x:c r="E1024" s="81" t="n">
        <x:v>-0.08190856204231453</x:v>
      </x:c>
      <x:c r="F1024" s="81" t="n">
        <x:v>0.8006175292772241</x:v>
      </x:c>
      <x:c r="G1024" s="81" t="n">
        <x:v>0.013798108520774921</x:v>
      </x:c>
      <x:c r="H1024" s="59" t="n">
        <x:v>62</x:v>
      </x:c>
      <x:c r="I1024" s="81" t="n">
        <x:v>0.3494584755040705</x:v>
      </x:c>
      <x:c r="J1024" s="79" t="n">
        <x:v>1.4258886120722065e-52</x:v>
      </x:c>
      <x:c r="K1024" s="81" t="n">
        <x:v>-1</x:v>
      </x:c>
      <x:c r="L1024" s="81" t="n">
        <x:v>-1</x:v>
      </x:c>
      <x:c r="M1024" s="80" t="n">
        <x:v>0.000002</x:v>
      </x:c>
      <x:c r="N1024" s="82" t="n">
        <x:v>0.19259692749819382</x:v>
      </x:c>
      <x:c r="O1024" s="82" t="n">
        <x:v>0.14566170562040764</x:v>
      </x:c>
      <x:c r="P1024" s="80" t="n">
        <x:v>252.81523020251683</x:v>
      </x:c>
      <x:c r="Q1024" s="81" t="n">
        <x:v>1.871416510107112e+35</x:v>
      </x:c>
      <x:c r="R1024" s="81" t="n">
        <x:v>7.719755602969827</x:v>
      </x:c>
      <x:c r="S1024" s="81" t="n">
        <x:v>1.4366529855253258e-9</x:v>
      </x:c>
      <x:c r="T1024" s="81" t="n">
        <x:v>3.08878603648478e-48</x:v>
      </x:c>
    </x:row>
    <x:row r="1025">
      <x:c r="A1025" s="59" t="n">
        <x:v>1022</x:v>
      </x:c>
      <x:c r="B1025" s="193" t="n">
        <x:v>0.9074400056153535</x:v>
      </x:c>
      <x:c r="C1025" s="83" t="n">
        <x:v>0.6487943170202166</x:v>
      </x:c>
      <x:c r="D1025" s="83" t="n">
        <x:v>0.640904008502705</x:v>
      </x:c>
      <x:c r="E1025" s="81" t="n">
        <x:v>0.1453006836745692</x:v>
      </x:c>
      <x:c r="F1025" s="81" t="n">
        <x:v>0.8774657469126396</x:v>
      </x:c>
      <x:c r="G1025" s="81" t="n">
        <x:v>0.04556607456134194</x:v>
      </x:c>
      <x:c r="H1025" s="59" t="n">
        <x:v>0</x:v>
      </x:c>
      <x:c r="I1025" s="81" t="n">
        <x:v>0</x:v>
      </x:c>
      <x:c r="J1025" s="79" t="n">
        <x:v>0.005342721193839892</x:v>
      </x:c>
      <x:c r="K1025" s="81" t="n">
        <x:v>5.105967078674163</x:v>
      </x:c>
      <x:c r="L1025" s="81" t="n">
        <x:v>-0.7938439121800589</x:v>
      </x:c>
      <x:c r="M1025" s="80" t="n">
        <x:v>31292.650447759013</x:v>
      </x:c>
      <x:c r="N1025" s="82" t="n">
        <x:v>0.31826297383768243</x:v>
      </x:c>
      <x:c r="O1025" s="82" t="n">
        <x:v>0.2638075560205907</x:v>
      </x:c>
      <x:c r="P1025" s="80" t="n">
        <x:v>36593.50097218665</x:v>
      </x:c>
      <x:c r="Q1025" s="81" t="n">
        <x:v>0.005004152934624597</x:v>
      </x:c>
      <x:c r="R1025" s="81" t="n">
        <x:v>119.31890278502509</x:v>
      </x:c>
      <x:c r="S1025" s="81" t="n">
        <x:v>163.0145052047564</x:v>
      </x:c>
      <x:c r="T1025" s="81" t="n">
        <x:v>115.73500538994607</x:v>
      </x:c>
    </x:row>
    <x:row r="1026">
      <x:c r="A1026" s="59" t="n">
        <x:v>1023</x:v>
      </x:c>
      <x:c r="B1026" s="193" t="n">
        <x:v>0.6198123458772897</x:v>
      </x:c>
      <x:c r="C1026" s="83" t="n">
        <x:v>2.536695259401231</x:v>
      </x:c>
      <x:c r="D1026" s="83" t="n">
        <x:v>1.597490833938579</x:v>
      </x:c>
      <x:c r="E1026" s="81" t="n">
        <x:v>0.05755173178681339</x:v>
      </x:c>
      <x:c r="F1026" s="81" t="n">
        <x:v>0.6683976248372346</x:v>
      </x:c>
      <x:c r="G1026" s="81" t="n">
        <x:v>0.025967068225636897</x:v>
      </x:c>
      <x:c r="H1026" s="59" t="n">
        <x:v>0</x:v>
      </x:c>
      <x:c r="I1026" s="81" t="n">
        <x:v>0</x:v>
      </x:c>
      <x:c r="J1026" s="79" t="n">
        <x:v>0.042869818430392614</x:v>
      </x:c>
      <x:c r="K1026" s="81" t="n">
        <x:v>47.994078206162996</x:v>
      </x:c>
      <x:c r="L1026" s="81" t="n">
        <x:v>-0.6801178743259093</x:v>
      </x:c>
      <x:c r="M1026" s="80" t="n">
        <x:v>181375.6445183697</x:v>
      </x:c>
      <x:c r="N1026" s="82" t="n">
        <x:v>0.24974467226945565</x:v>
      </x:c>
      <x:c r="O1026" s="82" t="n">
        <x:v>0.157689244381494</x:v>
      </x:c>
      <x:c r="P1026" s="80" t="n">
        <x:v>471452.55709471094</x:v>
      </x:c>
      <x:c r="Q1026" s="81" t="n">
        <x:v>0.007298995012890382</x:v>
      </x:c>
      <x:c r="R1026" s="81" t="n">
        <x:v>205.1606845640607</x:v>
      </x:c>
      <x:c r="S1026" s="81" t="n">
        <x:v>364.85382805801413</x:v>
      </x:c>
      <x:c r="T1026" s="81" t="n">
        <x:v>928.653861412066</x:v>
      </x:c>
    </x:row>
    <x:row r="1027">
      <x:c r="A1027" s="59" t="n">
        <x:v>1024</x:v>
      </x:c>
      <x:c r="B1027" s="193" t="n">
        <x:v>0.36335838437080387</x:v>
      </x:c>
      <x:c r="C1027" s="83" t="n">
        <x:v>0.13859654790539142</x:v>
      </x:c>
      <x:c r="D1027" s="83" t="n">
        <x:v>2.86704412232285</x:v>
      </x:c>
      <x:c r="E1027" s="81" t="n">
        <x:v>0.05917845864413526</x:v>
      </x:c>
      <x:c r="F1027" s="81" t="n">
        <x:v>0.44051419994793833</x:v>
      </x:c>
      <x:c r="G1027" s="81" t="n">
        <x:v>0.004378126383296521</x:v>
      </x:c>
      <x:c r="H1027" s="59" t="n">
        <x:v>22</x:v>
      </x:c>
      <x:c r="I1027" s="81" t="n">
        <x:v>0.17177503099665048</x:v>
      </x:c>
      <x:c r="J1027" s="79" t="n">
        <x:v>0.044286132469201135</x:v>
      </x:c>
      <x:c r="K1027" s="81" t="n">
        <x:v>49.61272282194416</x:v>
      </x:c>
      <x:c r="L1027" s="81" t="n">
        <x:v>-0.941301492485988</x:v>
      </x:c>
      <x:c r="M1027" s="80" t="n">
        <x:v>70788.48590157474</x:v>
      </x:c>
      <x:c r="N1027" s="82" t="n">
        <x:v>0.18865253012683258</x:v>
      </x:c>
      <x:c r="O1027" s="82" t="n">
        <x:v>0.07850430776401426</x:v>
      </x:c>
      <x:c r="P1027" s="80" t="n">
        <x:v>270214.6305019237</x:v>
      </x:c>
      <x:c r="Q1027" s="81" t="n">
        <x:v>0.003878404576995843</x:v>
      </x:c>
      <x:c r="R1027" s="81" t="n">
        <x:v>4708.6054518720875</x:v>
      </x:c>
      <x:c r="S1027" s="81" t="n">
        <x:v>6018.5282826916355</x:v>
      </x:c>
      <x:c r="T1027" s="81" t="n">
        <x:v>959.3343156166304</x:v>
      </x:c>
    </x:row>
    <x:row r="1028">
      <x:c r="A1028" s="59" t="n">
        <x:v>1025</x:v>
      </x:c>
      <x:c r="B1028" s="193" t="n">
        <x:v>0.8725888274610043</x:v>
      </x:c>
      <x:c r="C1028" s="83" t="n">
        <x:v>1.9071278458562142</x:v>
      </x:c>
      <x:c r="D1028" s="83" t="n">
        <x:v>0.15168365150706475</x:v>
      </x:c>
      <x:c r="E1028" s="81" t="n">
        <x:v>-0.19804890372887787</x:v>
      </x:c>
      <x:c r="F1028" s="81" t="n">
        <x:v>0.37826666483888405</x:v>
      </x:c>
      <x:c r="G1028" s="81" t="n">
        <x:v>-0.04932047420587838</x:v>
      </x:c>
      <x:c r="H1028" s="59" t="n">
        <x:v>0</x:v>
      </x:c>
      <x:c r="I1028" s="81" t="n">
        <x:v>0</x:v>
      </x:c>
      <x:c r="J1028" s="79" t="n">
        <x:v>7.908995977877067e-18</x:v>
      </x:c>
      <x:c r="K1028" s="81" t="n">
        <x:v>-0.999999999999991</x:v>
      </x:c>
      <x:c r="L1028" s="81" t="n">
        <x:v>-0.999999999999991</x:v>
      </x:c>
      <x:c r="M1028" s="80" t="n">
        <x:v>0.001449241891498406</x:v>
      </x:c>
      <x:c r="N1028" s="82" t="n">
        <x:v>0.30996076974172593</x:v>
      </x:c>
      <x:c r="O1028" s="82" t="n">
        <x:v>0.11075816269900195</x:v>
      </x:c>
      <x:c r="P1028" s="80" t="n">
        <x:v>217.16039809814976</x:v>
      </x:c>
      <x:c r="Q1028" s="81" t="n">
        <x:v>1119.659692072865</x:v>
      </x:c>
      <x:c r="R1028" s="81" t="n">
        <x:v>2.546844543765602</x:v>
      </x:c>
      <x:c r="S1028" s="81" t="n">
        <x:v>1.8474863788103946e-8</x:v>
      </x:c>
      <x:c r="T1028" s="81" t="n">
        <x:v>1.7132611995251623e-13</x:v>
      </x:c>
    </x:row>
    <x:row r="1029">
      <x:c r="A1029" s="59" t="n">
        <x:v>1026</x:v>
      </x:c>
      <x:c r="B1029" s="193" t="n">
        <x:v>0.8038168247789146</x:v>
      </x:c>
      <x:c r="C1029" s="83" t="n">
        <x:v>2.784551552944142</x:v>
      </x:c>
      <x:c r="D1029" s="83" t="n">
        <x:v>2.4527650197245876</x:v>
      </x:c>
      <x:c r="E1029" s="81" t="n">
        <x:v>0.05091571945773619</x:v>
      </x:c>
      <x:c r="F1029" s="81" t="n">
        <x:v>0.8788833135738969</x:v>
      </x:c>
      <x:c r="G1029" s="81" t="n">
        <x:v>0.0301878254938469</x:v>
      </x:c>
      <x:c r="H1029" s="59" t="n">
        <x:v>0</x:v>
      </x:c>
      <x:c r="I1029" s="81" t="n">
        <x:v>0</x:v>
      </x:c>
      <x:c r="J1029" s="79" t="n">
        <x:v>0.045114800343086556</x:v>
      </x:c>
      <x:c r="K1029" s="81" t="n">
        <x:v>50.559771820670356</x:v>
      </x:c>
      <x:c r="L1029" s="81" t="n">
        <x:v>-0.7473633014776302</x:v>
      </x:c>
      <x:c r="M1029" s="80" t="n">
        <x:v>223920.84290364513</x:v>
      </x:c>
      <x:c r="N1029" s="82" t="n">
        <x:v>0.29357798922780204</x:v>
      </x:c>
      <x:c r="O1029" s="82" t="n">
        <x:v>0.24373935217097167</x:v>
      </x:c>
      <x:c r="P1029" s="80" t="n">
        <x:v>830312.7928344463</x:v>
      </x:c>
      <x:c r="Q1029" s="81" t="n">
        <x:v>0.013328633291146684</x:v>
      </x:c>
      <x:c r="R1029" s="81" t="n">
        <x:v>213.4355527485932</x:v>
      </x:c>
      <x:c r="S1029" s="81" t="n">
        <x:v>395.0798836158705</x:v>
      </x:c>
      <x:c r="T1029" s="81" t="n">
        <x:v>977.2850709285832</x:v>
      </x:c>
    </x:row>
    <x:row r="1030">
      <x:c r="A1030" s="59" t="n">
        <x:v>1027</x:v>
      </x:c>
      <x:c r="B1030" s="193" t="n">
        <x:v>0.29946049191057683</x:v>
      </x:c>
      <x:c r="C1030" s="83" t="n">
        <x:v>0.1506365555326727</x:v>
      </x:c>
      <x:c r="D1030" s="83" t="n">
        <x:v>0.4697628694556093</x:v>
      </x:c>
      <x:c r="E1030" s="81" t="n">
        <x:v>-0.020976554063387293</x:v>
      </x:c>
      <x:c r="F1030" s="81" t="n">
        <x:v>0.8781523422221653</x:v>
      </x:c>
      <x:c r="G1030" s="81" t="n">
        <x:v>-0.0055714367947429224</x:v>
      </x:c>
      <x:c r="H1030" s="59" t="n">
        <x:v>42</x:v>
      </x:c>
      <x:c r="I1030" s="81" t="n">
        <x:v>0.3463612006045878</x:v>
      </x:c>
      <x:c r="J1030" s="79" t="n">
        <x:v>2.6850532109813157e-11</x:v>
      </x:c>
      <x:c r="K1030" s="81" t="n">
        <x:v>-0.9999999693136776</x:v>
      </x:c>
      <x:c r="L1030" s="81" t="n">
        <x:v>-0.9999999693136776</x:v>
      </x:c>
      <x:c r="M1030" s="80" t="n">
        <x:v>1.0340128579168484</x:v>
      </x:c>
      <x:c r="N1030" s="82" t="n">
        <x:v>0.1734308540573227</x:v>
      </x:c>
      <x:c r="O1030" s="82" t="n">
        <x:v>0.1438689813534448</x:v>
      </x:c>
      <x:c r="P1030" s="80" t="n">
        <x:v>399.4653200182607</x:v>
      </x:c>
      <x:c r="Q1030" s="81" t="n">
        <x:v>1.8792341255860525</x:v>
      </x:c>
      <x:c r="R1030" s="81" t="n">
        <x:v>40.791809647180585</x:v>
      </x:c>
      <x:c r="S1030" s="81" t="n">
        <x:v>0.00017921666030410932</x:v>
      </x:c>
      <x:c r="T1030" s="81" t="n">
        <x:v>5.816411460951992e-7</x:v>
      </x:c>
    </x:row>
    <x:row r="1031">
      <x:c r="A1031" s="59" t="n">
        <x:v>1028</x:v>
      </x:c>
      <x:c r="B1031" s="193" t="n">
        <x:v>0.7627009887248277</x:v>
      </x:c>
      <x:c r="C1031" s="83" t="n">
        <x:v>0.13551459008260475</x:v>
      </x:c>
      <x:c r="D1031" s="83" t="n">
        <x:v>0.3294574474662188</x:v>
      </x:c>
      <x:c r="E1031" s="81" t="n">
        <x:v>-0.015306163866575842</x:v>
      </x:c>
      <x:c r="F1031" s="81" t="n">
        <x:v>0.8450255612609908</x:v>
      </x:c>
      <x:c r="G1031" s="81" t="n">
        <x:v>-0.004995805874999258</x:v>
      </x:c>
      <x:c r="H1031" s="59" t="n">
        <x:v>0</x:v>
      </x:c>
      <x:c r="I1031" s="81" t="n">
        <x:v>0</x:v>
      </x:c>
      <x:c r="J1031" s="79" t="n">
        <x:v>2.4083533053985526e-9</x:v>
      </x:c>
      <x:c r="K1031" s="81" t="n">
        <x:v>-0.9999972475962224</x:v>
      </x:c>
      <x:c r="L1031" s="81" t="n">
        <x:v>-0.9999972475962224</x:v>
      </x:c>
      <x:c r="M1031" s="80" t="n">
        <x:v>9.600161307774462</x:v>
      </x:c>
      <x:c r="N1031" s="82" t="n">
        <x:v>0.2837834261577925</x:v>
      </x:c>
      <x:c r="O1031" s="82" t="n">
        <x:v>0.22653109053529086</x:v>
      </x:c>
      <x:c r="P1031" s="80" t="n">
        <x:v>285.3813653275012</x:v>
      </x:c>
      <x:c r="Q1031" s="81" t="n">
        <x:v>0.2373300288991414</x:v>
      </x:c>
      <x:c r="R1031" s="81" t="n">
        <x:v>40.61131229050558</x:v>
      </x:c>
      <x:c r="S1031" s="81" t="n">
        <x:v>0.0014895636863085304</x:v>
      </x:c>
      <x:c r="T1031" s="81" t="n">
        <x:v>0.0000521701905580568</x:v>
      </x:c>
    </x:row>
    <x:row r="1032">
      <x:c r="A1032" s="59" t="n">
        <x:v>1029</x:v>
      </x:c>
      <x:c r="B1032" s="193" t="n">
        <x:v>0.4909721046686173</x:v>
      </x:c>
      <x:c r="C1032" s="83" t="n">
        <x:v>1.289135494484086</x:v>
      </x:c>
      <x:c r="D1032" s="83" t="n">
        <x:v>0.7681990559514806</x:v>
      </x:c>
      <x:c r="E1032" s="81" t="n">
        <x:v>-0.03077170856368351</x:v>
      </x:c>
      <x:c r="F1032" s="81" t="n">
        <x:v>0.7072483197203838</x:v>
      </x:c>
      <x:c r="G1032" s="81" t="n">
        <x:v>0.020546589442944258</x:v>
      </x:c>
      <x:c r="H1032" s="59" t="n">
        <x:v>0</x:v>
      </x:c>
      <x:c r="I1032" s="81" t="n">
        <x:v>0</x:v>
      </x:c>
      <x:c r="J1032" s="79" t="n">
        <x:v>1.0467632692900589e-20</x:v>
      </x:c>
      <x:c r="K1032" s="81" t="n">
        <x:v>-1</x:v>
      </x:c>
      <x:c r="L1032" s="81" t="n">
        <x:v>-1</x:v>
      </x:c>
      <x:c r="M1032" s="80" t="n">
        <x:v>0.00004191328776532767</x:v>
      </x:c>
      <x:c r="N1032" s="82" t="n">
        <x:v>0.21905251105902696</x:v>
      </x:c>
      <x:c r="O1032" s="82" t="n">
        <x:v>0.14634945253495454</x:v>
      </x:c>
      <x:c r="P1032" s="80" t="n">
        <x:v>967.545790715436</x:v>
      </x:c>
      <x:c r="Q1032" s="81" t="n">
        <x:v>135481.1604402539</x:v>
      </x:c>
      <x:c r="R1032" s="81" t="n">
        <x:v>4.6809249316046</x:v>
      </x:c>
      <x:c r="S1032" s="81" t="n">
        <x:v>8.363302946682807e-9</x:v>
      </x:c>
      <x:c r="T1032" s="81" t="n">
        <x:v>2.2675177726467196e-16</x:v>
      </x:c>
    </x:row>
    <x:row r="1033">
      <x:c r="A1033" s="59" t="n">
        <x:v>1030</x:v>
      </x:c>
      <x:c r="B1033" s="193" t="n">
        <x:v>0.45996755324304106</x:v>
      </x:c>
      <x:c r="C1033" s="83" t="n">
        <x:v>0.17535010097295572</x:v>
      </x:c>
      <x:c r="D1033" s="83" t="n">
        <x:v>0.2020830390149579</x:v>
      </x:c>
      <x:c r="E1033" s="81" t="n">
        <x:v>0.1155344800993856</x:v>
      </x:c>
      <x:c r="F1033" s="81" t="n">
        <x:v>0.4952396363951266</x:v>
      </x:c>
      <x:c r="G1033" s="81" t="n">
        <x:v>-0.027666257472682657</x:v>
      </x:c>
      <x:c r="H1033" s="59" t="n">
        <x:v>0</x:v>
      </x:c>
      <x:c r="I1033" s="81" t="n">
        <x:v>0</x:v>
      </x:c>
      <x:c r="J1033" s="79" t="n">
        <x:v>0.00017470503740490607</x:v>
      </x:c>
      <x:c r="K1033" s="81" t="n">
        <x:v>-0.8003371001086788</x:v>
      </x:c>
      <x:c r="L1033" s="81" t="n">
        <x:v>-0.8579186007253642</x:v>
      </x:c>
      <x:c r="M1033" s="80" t="n">
        <x:v>2859.6596291722126</x:v>
      </x:c>
      <x:c r="N1033" s="82" t="n">
        <x:v>0.21166664557411582</x:v>
      </x:c>
      <x:c r="O1033" s="82" t="n">
        <x:v>0.09902361234980427</x:v>
      </x:c>
      <x:c r="P1033" s="80" t="n">
        <x:v>1439.563217125177</x:v>
      </x:c>
      <x:c r="Q1033" s="81" t="n">
        <x:v>0.0019144254905006973</x:v>
      </x:c>
      <x:c r="R1033" s="81" t="n">
        <x:v>139.81633251199713</x:v>
      </x:c>
      <x:c r="S1033" s="81" t="n">
        <x:v>18.669565523170572</x:v>
      </x:c>
      <x:c r="T1033" s="81" t="n">
        <x:v>3.7844925295784515</x:v>
      </x:c>
    </x:row>
    <x:row r="1034">
      <x:c r="A1034" s="59" t="n">
        <x:v>1031</x:v>
      </x:c>
      <x:c r="B1034" s="193" t="n">
        <x:v>0.22845485955476763</x:v>
      </x:c>
      <x:c r="C1034" s="83" t="n">
        <x:v>0.12682141311716788</x:v>
      </x:c>
      <x:c r="D1034" s="83" t="n">
        <x:v>1.0421796830063381</x:v>
      </x:c>
      <x:c r="E1034" s="81" t="n">
        <x:v>0.06283340143806579</x:v>
      </x:c>
      <x:c r="F1034" s="81" t="n">
        <x:v>0.6378704662551172</x:v>
      </x:c>
      <x:c r="G1034" s="81" t="n">
        <x:v>-0.05</x:v>
      </x:c>
      <x:c r="H1034" s="59" t="n">
        <x:v>0</x:v>
      </x:c>
      <x:c r="I1034" s="81" t="n">
        <x:v>0</x:v>
      </x:c>
      <x:c r="J1034" s="79" t="n">
        <x:v>0.0009222920027941695</x:v>
      </x:c>
      <x:c r="K1034" s="81" t="n">
        <x:v>0.0540480031933368</x:v>
      </x:c>
      <x:c r="L1034" s="81" t="n">
        <x:v>-0.8442288599151672</x:v>
      </x:c>
      <x:c r="M1034" s="80" t="n">
        <x:v>7015.456152606406</x:v>
      </x:c>
      <x:c r="N1034" s="82" t="n">
        <x:v>0.15651598107456238</x:v>
      </x:c>
      <x:c r="O1034" s="82" t="n">
        <x:v>0.09431095101162389</x:v>
      </x:c>
      <x:c r="P1034" s="80" t="n">
        <x:v>14336.077261807193</x:v>
      </x:c>
      <x:c r="Q1034" s="81" t="n">
        <x:v>0.003479840258051208</x:v>
      </x:c>
      <x:c r="R1034" s="81" t="n">
        <x:v>765.9994883735126</x:v>
      </x:c>
      <x:c r="S1034" s="81" t="n">
        <x:v>136.6436605912626</x:v>
      </x:c>
      <x:c r="T1034" s="81" t="n">
        <x:v>19.978858346110083</x:v>
      </x:c>
    </x:row>
    <x:row r="1035">
      <x:c r="A1035" s="59" t="n">
        <x:v>1032</x:v>
      </x:c>
      <x:c r="B1035" s="193" t="n">
        <x:v>0.7417715180665254</x:v>
      </x:c>
      <x:c r="C1035" s="83" t="n">
        <x:v>1.5019265324174689</x:v>
      </x:c>
      <x:c r="D1035" s="83" t="n">
        <x:v>0.8015375690136897</x:v>
      </x:c>
      <x:c r="E1035" s="81" t="n">
        <x:v>0.09759283207394719</x:v>
      </x:c>
      <x:c r="F1035" s="81" t="n">
        <x:v>0.44414740450447426</x:v>
      </x:c>
      <x:c r="G1035" s="81" t="n">
        <x:v>-0.02414282055841948</x:v>
      </x:c>
      <x:c r="H1035" s="59" t="n">
        <x:v>21</x:v>
      </x:c>
      <x:c r="I1035" s="81" t="n">
        <x:v>0.28359651956707244</x:v>
      </x:c>
      <x:c r="J1035" s="79" t="n">
        <x:v>0.008241040908435634</x:v>
      </x:c>
      <x:c r="K1035" s="81" t="n">
        <x:v>8.418332466783582</x:v>
      </x:c>
      <x:c r="L1035" s="81" t="n">
        <x:v>-0.819077641174109</x:v>
      </x:c>
      <x:c r="M1035" s="80" t="n">
        <x:v>49592.5162066104</x:v>
      </x:c>
      <x:c r="N1035" s="82" t="n">
        <x:v>0.2787976338194102</x:v>
      </x:c>
      <x:c r="O1035" s="82" t="n">
        <x:v>0.1169734108930897</x:v>
      </x:c>
      <x:c r="P1035" s="80" t="n">
        <x:v>68308.44417904978</x:v>
      </x:c>
      <x:c r="Q1035" s="81" t="n">
        <x:v>0.003093697666029791</x:v>
      </x:c>
      <x:c r="R1035" s="81" t="n">
        <x:v>138.78261116481767</x:v>
      </x:c>
      <x:c r="S1035" s="81" t="n">
        <x:v>107.49357175277964</x:v>
      </x:c>
      <x:c r="T1035" s="81" t="n">
        <x:v>178.5189380752752</x:v>
      </x:c>
    </x:row>
    <x:row r="1036">
      <x:c r="A1036" s="59" t="n">
        <x:v>1033</x:v>
      </x:c>
      <x:c r="B1036" s="193" t="n">
        <x:v>0.9590451318770647</x:v>
      </x:c>
      <x:c r="C1036" s="83" t="n">
        <x:v>0.7846708877607627</x:v>
      </x:c>
      <x:c r="D1036" s="83" t="n">
        <x:v>0.5555604517573913</x:v>
      </x:c>
      <x:c r="E1036" s="81" t="n">
        <x:v>-0.0931777604347909</x:v>
      </x:c>
      <x:c r="F1036" s="81" t="n">
        <x:v>0.520912612194661</x:v>
      </x:c>
      <x:c r="G1036" s="81" t="n">
        <x:v>0.026052008628856607</x:v>
      </x:c>
      <x:c r="H1036" s="59" t="n">
        <x:v>73</x:v>
      </x:c>
      <x:c r="I1036" s="81" t="n">
        <x:v>0.2039042292162776</x:v>
      </x:c>
      <x:c r="J1036" s="79" t="n">
        <x:v>1.1236189524428806e-31</x:v>
      </x:c>
      <x:c r="K1036" s="81" t="n">
        <x:v>-1</x:v>
      </x:c>
      <x:c r="L1036" s="81" t="n">
        <x:v>-1</x:v>
      </x:c>
      <x:c r="M1036" s="80" t="n">
        <x:v>0.000002</x:v>
      </x:c>
      <x:c r="N1036" s="82" t="n">
        <x:v>0.3305562825093395</x:v>
      </x:c>
      <x:c r="O1036" s="82" t="n">
        <x:v>0.16266017310533348</x:v>
      </x:c>
      <x:c r="P1036" s="80" t="n">
        <x:v>289.3119228788901</x:v>
      </x:c>
      <x:c r="Q1036" s="81" t="n">
        <x:v>210937728583828.03</x:v>
      </x:c>
      <x:c r="R1036" s="81" t="n">
        <x:v>3.6008832690480994</x:v>
      </x:c>
      <x:c r="S1036" s="81" t="n">
        <x:v>3.7288194088731004e-10</x:v>
      </x:c>
      <x:c r="T1036" s="81" t="n">
        <x:v>2.4340039616358727e-27</x:v>
      </x:c>
    </x:row>
    <x:row r="1037">
      <x:c r="A1037" s="59" t="n">
        <x:v>1034</x:v>
      </x:c>
      <x:c r="B1037" s="193" t="n">
        <x:v>0.451541543006897</x:v>
      </x:c>
      <x:c r="C1037" s="83" t="n">
        <x:v>2.9950118486847708</x:v>
      </x:c>
      <x:c r="D1037" s="83" t="n">
        <x:v>0.516189436214907</x:v>
      </x:c>
      <x:c r="E1037" s="81" t="n">
        <x:v>0.0666930138436405</x:v>
      </x:c>
      <x:c r="F1037" s="81" t="n">
        <x:v>0.7977113523054868</x:v>
      </x:c>
      <x:c r="G1037" s="81" t="n">
        <x:v>-0.020080337133791037</x:v>
      </x:c>
      <x:c r="H1037" s="59" t="n">
        <x:v>0</x:v>
      </x:c>
      <x:c r="I1037" s="81" t="n">
        <x:v>0</x:v>
      </x:c>
      <x:c r="J1037" s="79" t="n">
        <x:v>0.0021261201675932487</x:v>
      </x:c>
      <x:c r="K1037" s="81" t="n">
        <x:v>1.4298516201065703</x:v>
      </x:c>
      <x:c r="L1037" s="81" t="n">
        <x:v>-0.5992834574265286</x:v>
      </x:c>
      <x:c r="M1037" s="80" t="n">
        <x:v>35251.25968644039</x:v>
      </x:c>
      <x:c r="N1037" s="82" t="n">
        <x:v>0.20965941194817406</x:v>
      </x:c>
      <x:c r="O1037" s="82" t="n">
        <x:v>0.15799053792727621</x:v>
      </x:c>
      <x:c r="P1037" s="80" t="n">
        <x:v>36092.947942452534</x:v>
      </x:c>
      <x:c r="Q1037" s="81" t="n">
        <x:v>0.005475477711289904</x:v>
      </x:c>
      <x:c r="R1037" s="81" t="n">
        <x:v>25.895335972063467</x:v>
      </x:c>
      <x:c r="S1037" s="81" t="n">
        <x:v>14.837040629842312</x:v>
      </x:c>
      <x:c r="T1037" s="81" t="n">
        <x:v>46.05640461639475</x:v>
      </x:c>
    </x:row>
    <x:row r="1038">
      <x:c r="A1038" s="59" t="n">
        <x:v>1035</x:v>
      </x:c>
      <x:c r="B1038" s="193" t="n">
        <x:v>0.6817356094717979</x:v>
      </x:c>
      <x:c r="C1038" s="83" t="n">
        <x:v>0.11034526295366506</x:v>
      </x:c>
      <x:c r="D1038" s="83" t="n">
        <x:v>0.3885993223303791</x:v>
      </x:c>
      <x:c r="E1038" s="81" t="n">
        <x:v>-0.16394424269699173</x:v>
      </x:c>
      <x:c r="F1038" s="81" t="n">
        <x:v>0.7383358132909053</x:v>
      </x:c>
      <x:c r="G1038" s="81" t="n">
        <x:v>-0.022913052810329022</x:v>
      </x:c>
      <x:c r="H1038" s="59" t="n">
        <x:v>83</x:v>
      </x:c>
      <x:c r="I1038" s="81" t="n">
        <x:v>0.28741129273548727</x:v>
      </x:c>
      <x:c r="J1038" s="79" t="n">
        <x:v>5.1918239034215055e-30</x:v>
      </x:c>
      <x:c r="K1038" s="81" t="n">
        <x:v>-1</x:v>
      </x:c>
      <x:c r="L1038" s="81" t="n">
        <x:v>-1</x:v>
      </x:c>
      <x:c r="M1038" s="80" t="n">
        <x:v>0.000002</x:v>
      </x:c>
      <x:c r="N1038" s="82" t="n">
        <x:v>0.26449595471886</x:v>
      </x:c>
      <x:c r="O1038" s="82" t="n">
        <x:v>0.18447771497269577</x:v>
      </x:c>
      <x:c r="P1038" s="80" t="n">
        <x:v>102.08430648299685</x:v>
      </x:c>
      <x:c r="Q1038" s="81" t="n">
        <x:v>2762554496012.341</x:v>
      </x:c>
      <x:c r="R1038" s="81" t="n">
        <x:v>17.574656606046126</x:v>
      </x:c>
      <x:c r="S1038" s="81" t="n">
        <x:v>2.3124313174620899e-10</x:v>
      </x:c>
      <x:c r="T1038" s="81" t="n">
        <x:v>1.1246624063762545e-25</x:v>
      </x:c>
    </x:row>
    <x:row r="1039">
      <x:c r="A1039" s="59" t="n">
        <x:v>1036</x:v>
      </x:c>
      <x:c r="B1039" s="193" t="n">
        <x:v>0.5130677683278919</x:v>
      </x:c>
      <x:c r="C1039" s="83" t="n">
        <x:v>0.8264676677028785</x:v>
      </x:c>
      <x:c r="D1039" s="83" t="n">
        <x:v>0.7701493299346154</x:v>
      </x:c>
      <x:c r="E1039" s="81" t="n">
        <x:v>0.08113865347893967</x:v>
      </x:c>
      <x:c r="F1039" s="81" t="n">
        <x:v>0.7375778469839134</x:v>
      </x:c>
      <x:c r="G1039" s="81" t="n">
        <x:v>0.006109272088550376</x:v>
      </x:c>
      <x:c r="H1039" s="59" t="n">
        <x:v>39</x:v>
      </x:c>
      <x:c r="I1039" s="81" t="n">
        <x:v>0.293659711163491</x:v>
      </x:c>
      <x:c r="J1039" s="79" t="n">
        <x:v>0.0031032299317774537</x:v>
      </x:c>
      <x:c r="K1039" s="81" t="n">
        <x:v>2.5465484934599476</x:v>
      </x:c>
      <x:c r="L1039" s="81" t="n">
        <x:v>-0.8144882596588552</x:v>
      </x:c>
      <x:c r="M1039" s="80" t="n">
        <x:v>22050.664704114104</x:v>
      </x:c>
      <x:c r="N1039" s="82" t="n">
        <x:v>0.22431611243636007</x:v>
      </x:c>
      <x:c r="O1039" s="82" t="n">
        <x:v>0.15629290946435107</x:v>
      </x:c>
      <x:c r="P1039" s="80" t="n">
        <x:v>30780.006625322654</x:v>
      </x:c>
      <x:c r="Q1039" s="81" t="n">
        <x:v>0.00477806735579081</x:v>
      </x:c>
      <x:c r="R1039" s="81" t="n">
        <x:v>112.73748376579128</x:v>
      </x:c>
      <x:c r="S1039" s="81" t="n">
        <x:v>74.4037252010667</x:v>
      </x:c>
      <x:c r="T1039" s="81" t="n">
        <x:v>67.22273535340096</x:v>
      </x:c>
    </x:row>
    <x:row r="1040">
      <x:c r="A1040" s="59" t="n">
        <x:v>1037</x:v>
      </x:c>
      <x:c r="B1040" s="193" t="n">
        <x:v>0.4835419002920389</x:v>
      </x:c>
      <x:c r="C1040" s="83" t="n">
        <x:v>2.7584319652015976</x:v>
      </x:c>
      <x:c r="D1040" s="83" t="n">
        <x:v>0.6826672510289864</x:v>
      </x:c>
      <x:c r="E1040" s="81" t="n">
        <x:v>0.1103437805802445</x:v>
      </x:c>
      <x:c r="F1040" s="81" t="n">
        <x:v>0.6163241590955295</x:v>
      </x:c>
      <x:c r="G1040" s="81" t="n">
        <x:v>0.01657748467325088</x:v>
      </x:c>
      <x:c r="H1040" s="59" t="n">
        <x:v>0</x:v>
      </x:c>
      <x:c r="I1040" s="81" t="n">
        <x:v>0</x:v>
      </x:c>
      <x:c r="J1040" s="79" t="n">
        <x:v>0.038706963540759094</x:v>
      </x:c>
      <x:c r="K1040" s="81" t="n">
        <x:v>43.23652976086754</x:v>
      </x:c>
      <x:c r="L1040" s="81" t="n">
        <x:v>-0.6209673481625542</x:v>
      </x:c>
      <x:c r="M1040" s="80" t="n">
        <x:v>169875.22073875478</x:v>
      </x:c>
      <x:c r="N1040" s="82" t="n">
        <x:v>0.2172824970601942</x:v>
      </x:c>
      <x:c r="O1040" s="82" t="n">
        <x:v>0.12650418042218955</x:v>
      </x:c>
      <x:c r="P1040" s="80" t="n">
        <x:v>202670.3005138487</x:v>
      </x:c>
      <x:c r="Q1040" s="81" t="n">
        <x:v>0.0030767685450826957</x:v>
      </x:c>
      <x:c r="R1040" s="81" t="n">
        <x:v>166.5701297437288</x:v>
      </x:c>
      <x:c r="S1040" s="81" t="n">
        <x:v>278.52239581331384</x:v>
      </x:c>
      <x:c r="T1040" s="81" t="n">
        <x:v>838.4773360779728</x:v>
      </x:c>
    </x:row>
    <x:row r="1041">
      <x:c r="A1041" s="59" t="n">
        <x:v>1038</x:v>
      </x:c>
      <x:c r="B1041" s="193" t="n">
        <x:v>0.22475213557481766</x:v>
      </x:c>
      <x:c r="C1041" s="83" t="n">
        <x:v>2.7004395945127206</x:v>
      </x:c>
      <x:c r="D1041" s="83" t="n">
        <x:v>0.32685369353685834</x:v>
      </x:c>
      <x:c r="E1041" s="81" t="n">
        <x:v>-0.09807155885686646</x:v>
      </x:c>
      <x:c r="F1041" s="81" t="n">
        <x:v>0.27066642489517106</x:v>
      </x:c>
      <x:c r="G1041" s="81" t="n">
        <x:v>-0.007309401176964792</x:v>
      </x:c>
      <x:c r="H1041" s="59" t="n">
        <x:v>0</x:v>
      </x:c>
      <x:c r="I1041" s="81" t="n">
        <x:v>0</x:v>
      </x:c>
      <x:c r="J1041" s="79" t="n">
        <x:v>1.3644660477775529e-22</x:v>
      </x:c>
      <x:c r="K1041" s="81" t="n">
        <x:v>-1</x:v>
      </x:c>
      <x:c r="L1041" s="81" t="n">
        <x:v>-1</x:v>
      </x:c>
      <x:c r="M1041" s="80" t="n">
        <x:v>0.000007783455449667924</x:v>
      </x:c>
      <x:c r="N1041" s="82" t="n">
        <x:v>0.1556339227964636</x:v>
      </x:c>
      <x:c r="O1041" s="82" t="n">
        <x:v>0.039793266693173776</x:v>
      </x:c>
      <x:c r="P1041" s="80" t="n">
        <x:v>592.7457967513425</x:v>
      </x:c>
      <x:c r="Q1041" s="81" t="n">
        <x:v>645152.047210587</x:v>
      </x:c>
      <x:c r="R1041" s="81" t="n">
        <x:v>2.0532209089271367</x:v>
      </x:c>
      <x:c r="S1041" s="81" t="n">
        <x:v>2.91399271338602e-10</x:v>
      </x:c>
      <x:c r="T1041" s="81" t="n">
        <x:v>2.955731352330526e-18</x:v>
      </x:c>
    </x:row>
    <x:row r="1042">
      <x:c r="A1042" s="59" t="n">
        <x:v>1039</x:v>
      </x:c>
      <x:c r="B1042" s="193" t="n">
        <x:v>0.42351044919341807</x:v>
      </x:c>
      <x:c r="C1042" s="83" t="n">
        <x:v>0.9903296603154051</x:v>
      </x:c>
      <x:c r="D1042" s="83" t="n">
        <x:v>0.40813447796745533</x:v>
      </x:c>
      <x:c r="E1042" s="81" t="n">
        <x:v>-0.05020235401120412</x:v>
      </x:c>
      <x:c r="F1042" s="81" t="n">
        <x:v>0.271031150163617</x:v>
      </x:c>
      <x:c r="G1042" s="81" t="n">
        <x:v>-0.02100676427064964</x:v>
      </x:c>
      <x:c r="H1042" s="59" t="n">
        <x:v>61</x:v>
      </x:c>
      <x:c r="I1042" s="81" t="n">
        <x:v>0.4736944667063654</x:v>
      </x:c>
      <x:c r="J1042" s="79" t="n">
        <x:v>2.922390704219407e-15</x:v>
      </x:c>
      <x:c r="K1042" s="81" t="n">
        <x:v>-0.9999999999966601</x:v>
      </x:c>
      <x:c r="L1042" s="81" t="n">
        <x:v>-0.9999999999966601</x:v>
      </x:c>
      <x:c r="M1042" s="80" t="n">
        <x:v>0.018910919390117287</x:v>
      </x:c>
      <x:c r="N1042" s="82" t="n">
        <x:v>0.2029818798187947</x:v>
      </x:c>
      <x:c r="O1042" s="82" t="n">
        <x:v>0.051969366174645766</x:v>
      </x:c>
      <x:c r="P1042" s="80" t="n">
        <x:v>557.5843367914637</x:v>
      </x:c>
      <x:c r="Q1042" s="81" t="n">
        <x:v>136.73529146667076</x:v>
      </x:c>
      <x:c r="R1042" s="81" t="n">
        <x:v>6.8848528607922885</x:v>
      </x:c>
      <x:c r="S1042" s="81" t="n">
        <x:v>0.000001353011404479134</x:v>
      </x:c>
      <x:c r="T1042" s="81" t="n">
        <x:v>6.330536287282392e-11</x:v>
      </x:c>
    </x:row>
    <x:row r="1043">
      <x:c r="A1043" s="59" t="n">
        <x:v>1040</x:v>
      </x:c>
      <x:c r="B1043" s="193" t="n">
        <x:v>0.8373042156919837</x:v>
      </x:c>
      <x:c r="C1043" s="83" t="n">
        <x:v>0.3147632050476326</x:v>
      </x:c>
      <x:c r="D1043" s="83" t="n">
        <x:v>0.4804651742609674</x:v>
      </x:c>
      <x:c r="E1043" s="81" t="n">
        <x:v>0.009927395669376941</x:v>
      </x:c>
      <x:c r="F1043" s="81" t="n">
        <x:v>0.8923178686061874</x:v>
      </x:c>
      <x:c r="G1043" s="81" t="n">
        <x:v>0.021762059028218726</x:v>
      </x:c>
      <x:c r="H1043" s="59" t="n">
        <x:v>29</x:v>
      </x:c>
      <x:c r="I1043" s="81" t="n">
        <x:v>0.4938393425196409</x:v>
      </x:c>
      <x:c r="J1043" s="79" t="n">
        <x:v>0.0000036279658956275907</x:v>
      </x:c>
      <x:c r="K1043" s="81" t="n">
        <x:v>-0.9958537532621399</x:v>
      </x:c>
      <x:c r="L1043" s="81" t="n">
        <x:v>-0.9963826738567051</x:v>
      </x:c>
      <x:c r="M1043" s="80" t="n">
        <x:v>436.84236206120687</x:v>
      </x:c>
      <x:c r="N1043" s="82" t="n">
        <x:v>0.30155531363187493</x:v>
      </x:c>
      <x:c r="O1043" s="82" t="n">
        <x:v>0.25418944747285166</x:v>
      </x:c>
      <x:c r="P1043" s="80" t="n">
        <x:v>952.9322085518395</x:v>
      </x:c>
      <x:c r="Q1043" s="81" t="n">
        <x:v>0.04207276967712852</x:v>
      </x:c>
      <x:c r="R1043" s="81" t="n">
        <x:v>23.471616308569047</x:v>
      </x:c>
      <x:c r="S1043" s="81" t="n">
        <x:v>0.30559245375607585</x:v>
      </x:c>
      <x:c r="T1043" s="81" t="n">
        <x:v>0.07858966194401469</x:v>
      </x:c>
    </x:row>
    <x:row r="1044">
      <x:c r="A1044" s="59" t="n">
        <x:v>1041</x:v>
      </x:c>
      <x:c r="B1044" s="193" t="n">
        <x:v>0.24543130472302438</x:v>
      </x:c>
      <x:c r="C1044" s="83" t="n">
        <x:v>0.4712579892546086</x:v>
      </x:c>
      <x:c r="D1044" s="83" t="n">
        <x:v>0.34117842873302195</x:v>
      </x:c>
      <x:c r="E1044" s="81" t="n">
        <x:v>0.10196330536123331</x:v>
      </x:c>
      <x:c r="F1044" s="81" t="n">
        <x:v>0.5472961059072987</x:v>
      </x:c>
      <x:c r="G1044" s="81" t="n">
        <x:v>-0.014456062984415442</x:v>
      </x:c>
      <x:c r="H1044" s="59" t="n">
        <x:v>0</x:v>
      </x:c>
      <x:c r="I1044" s="81" t="n">
        <x:v>0</x:v>
      </x:c>
      <x:c r="J1044" s="79" t="n">
        <x:v>0.001222624502136768</x:v>
      </x:c>
      <x:c r="K1044" s="81" t="n">
        <x:v>0.3972851452991635</x:v>
      </x:c>
      <x:c r="L1044" s="81" t="n">
        <x:v>-0.6810837207654139</x:v>
      </x:c>
      <x:c r="M1044" s="80" t="n">
        <x:v>9905.114517034528</x:v>
      </x:c>
      <x:c r="N1044" s="82" t="n">
        <x:v>0.16056008862198817</x:v>
      </x:c>
      <x:c r="O1044" s="82" t="n">
        <x:v>0.0830100927517829</x:v>
      </x:c>
      <x:c r="P1044" s="80" t="n">
        <x:v>7057.91110312059</x:v>
      </x:c>
      <x:c r="Q1044" s="81" t="n">
        <x:v>0.0019100601615065443</x:v>
      </x:c>
      <x:c r="R1044" s="81" t="n">
        <x:v>116.0165462213266</x:v>
      </x:c>
      <x:c r="S1044" s="81" t="n">
        <x:v>49.09414288666797</x:v>
      </x:c>
      <x:c r="T1044" s="81" t="n">
        <x:v>26.48471597354316</x:v>
      </x:c>
    </x:row>
    <x:row r="1045">
      <x:c r="A1045" s="59" t="n">
        <x:v>1042</x:v>
      </x:c>
      <x:c r="B1045" s="193" t="n">
        <x:v>0.7758446725085377</x:v>
      </x:c>
      <x:c r="C1045" s="83" t="n">
        <x:v>2.2823146553383067</x:v>
      </x:c>
      <x:c r="D1045" s="83" t="n">
        <x:v>0.7492295733635437</x:v>
      </x:c>
      <x:c r="E1045" s="81" t="n">
        <x:v>0.060502348234590005</x:v>
      </x:c>
      <x:c r="F1045" s="81" t="n">
        <x:v>0.6296068702475168</x:v>
      </x:c>
      <x:c r="G1045" s="81" t="n">
        <x:v>-0.008233579090566035</x:v>
      </x:c>
      <x:c r="H1045" s="59" t="n">
        <x:v>0</x:v>
      </x:c>
      <x:c r="I1045" s="81" t="n">
        <x:v>0</x:v>
      </x:c>
      <x:c r="J1045" s="79" t="n">
        <x:v>0.0029492155614248006</x:v>
      </x:c>
      <x:c r="K1045" s="81" t="n">
        <x:v>2.3705320701997725</x:v>
      </x:c>
      <x:c r="L1045" s="81" t="n">
        <x:v>-0.6537701698795438</x:v>
      </x:c>
      <x:c r="M1045" s="80" t="n">
        <x:v>35766.71525875794</x:v>
      </x:c>
      <x:c r="N1045" s="82" t="n">
        <x:v>0.28691449807914327</x:v>
      </x:c>
      <x:c r="O1045" s="82" t="n">
        <x:v>0.1706447354262308</x:v>
      </x:c>
      <x:c r="P1045" s="80" t="n">
        <x:v>50702.93817271878</x:v>
      </x:c>
      <x:c r="Q1045" s="81" t="n">
        <x:v>0.006621708544065354</x:v>
      </x:c>
      <x:c r="R1045" s="81" t="n">
        <x:v>42.793471539352</x:v>
      </x:c>
      <x:c r="S1045" s="81" t="n">
        <x:v>27.40198382430951</x:v>
      </x:c>
      <x:c r="T1045" s="81" t="n">
        <x:v>63.88644784443544</x:v>
      </x:c>
    </x:row>
    <x:row r="1046">
      <x:c r="A1046" s="59" t="n">
        <x:v>1043</x:v>
      </x:c>
      <x:c r="B1046" s="193" t="n">
        <x:v>0.7409076519310476</x:v>
      </x:c>
      <x:c r="C1046" s="83" t="n">
        <x:v>0.4156168760665054</x:v>
      </x:c>
      <x:c r="D1046" s="83" t="n">
        <x:v>0.7890977847609749</x:v>
      </x:c>
      <x:c r="E1046" s="81" t="n">
        <x:v>0.07922061434147432</x:v>
      </x:c>
      <x:c r="F1046" s="81" t="n">
        <x:v>0.7683098739595152</x:v>
      </x:c>
      <x:c r="G1046" s="81" t="n">
        <x:v>-0.022396524877154343</x:v>
      </x:c>
      <x:c r="H1046" s="59" t="n">
        <x:v>0</x:v>
      </x:c>
      <x:c r="I1046" s="81" t="n">
        <x:v>0</x:v>
      </x:c>
      <x:c r="J1046" s="79" t="n">
        <x:v>0.0005640533779407603</x:v>
      </x:c>
      <x:c r="K1046" s="81" t="n">
        <x:v>-0.3553675680677024</x:v>
      </x:c>
      <x:c r="L1046" s="81" t="n">
        <x:v>-0.826497709306095</x:v>
      </x:c>
      <x:c r="M1046" s="80" t="n">
        <x:v>7048.5475014602935</x:v>
      </x:c>
      <x:c r="N1046" s="82" t="n">
        <x:v>0.2785918447084491</x:v>
      </x:c>
      <x:c r="O1046" s="82" t="n">
        <x:v>0.20219748783604627</x:v>
      </x:c>
      <x:c r="P1046" s="80" t="n">
        <x:v>10781.892183465936</x:v>
      </x:c>
      <x:c r="Q1046" s="81" t="n">
        <x:v>0.006024925604439761</x:v>
      </x:c>
      <x:c r="R1046" s="81" t="n">
        <x:v>113.28610487807555</x:v>
      </x:c>
      <x:c r="S1046" s="81" t="n">
        <x:v>26.59830201060768</x:v>
      </x:c>
      <x:c r="T1046" s="81" t="n">
        <x:v>12.2186276183491</x:v>
      </x:c>
    </x:row>
    <x:row r="1047">
      <x:c r="A1047" s="59" t="n">
        <x:v>1044</x:v>
      </x:c>
      <x:c r="B1047" s="193" t="n">
        <x:v>0.5456003488972783</x:v>
      </x:c>
      <x:c r="C1047" s="83" t="n">
        <x:v>0.2694870350481912</x:v>
      </x:c>
      <x:c r="D1047" s="83" t="n">
        <x:v>1.0079749319625873</x:v>
      </x:c>
      <x:c r="E1047" s="81" t="n">
        <x:v>0.06388705147451526</x:v>
      </x:c>
      <x:c r="F1047" s="81" t="n">
        <x:v>0.34788194769062103</x:v>
      </x:c>
      <x:c r="G1047" s="81" t="n">
        <x:v>-0.016029701005904527</x:v>
      </x:c>
      <x:c r="H1047" s="59" t="n">
        <x:v>16</x:v>
      </x:c>
      <x:c r="I1047" s="81" t="n">
        <x:v>0.10850527193397284</x:v>
      </x:c>
      <x:c r="J1047" s="79" t="n">
        <x:v>0.003952497631965057</x:v>
      </x:c>
      <x:c r="K1047" s="81" t="n">
        <x:v>3.517140150817208</x:v>
      </x:c>
      <x:c r="L1047" s="81" t="n">
        <x:v>-0.646238670956716</x:v>
      </x:c>
      <x:c r="M1047" s="80" t="n">
        <x:v>16910.692467376557</x:v>
      </x:c>
      <x:c r="N1047" s="82" t="n">
        <x:v>0.23206598311387366</x:v>
      </x:c>
      <x:c r="O1047" s="82" t="n">
        <x:v>0.07626307628173372</x:v>
      </x:c>
      <x:c r="P1047" s="80" t="n">
        <x:v>30010.12649918511</x:v>
      </x:c>
      <x:c r="Q1047" s="81" t="n">
        <x:v>0.002908804200031841</x:v>
      </x:c>
      <x:c r="R1047" s="81" t="n">
        <x:v>391.3825706722863</x:v>
      </x:c>
      <x:c r="S1047" s="81" t="n">
        <x:v>277.4289103030072</x:v>
      </x:c>
      <x:c r="T1047" s="81" t="n">
        <x:v>85.6197278769949</x:v>
      </x:c>
    </x:row>
    <x:row r="1048">
      <x:c r="A1048" s="59" t="n">
        <x:v>1045</x:v>
      </x:c>
      <x:c r="B1048" s="193" t="n">
        <x:v>0.24198752865195275</x:v>
      </x:c>
      <x:c r="C1048" s="83" t="n">
        <x:v>0.13257394150446974</x:v>
      </x:c>
      <x:c r="D1048" s="83" t="n">
        <x:v>0.39878962304276366</x:v>
      </x:c>
      <x:c r="E1048" s="81" t="n">
        <x:v>0.06685093754050307</x:v>
      </x:c>
      <x:c r="F1048" s="81" t="n">
        <x:v>0.4594507367815822</x:v>
      </x:c>
      <x:c r="G1048" s="81" t="n">
        <x:v>0.06651209588522866</x:v>
      </x:c>
      <x:c r="H1048" s="59" t="n">
        <x:v>0</x:v>
      </x:c>
      <x:c r="I1048" s="81" t="n">
        <x:v>0</x:v>
      </x:c>
      <x:c r="J1048" s="79" t="n">
        <x:v>0.0038203767511253337</x:v>
      </x:c>
      <x:c r="K1048" s="81" t="n">
        <x:v>3.366144858428953</x:v>
      </x:c>
      <x:c r="L1048" s="81" t="n">
        <x:v>-0.6161120584993272</x:v>
      </x:c>
      <x:c r="M1048" s="80" t="n">
        <x:v>13898.439625879026</x:v>
      </x:c>
      <x:c r="N1048" s="82" t="n">
        <x:v>0.15973971659105737</x:v>
      </x:c>
      <x:c r="O1048" s="82" t="n">
        <x:v>0.06933025598476017</x:v>
      </x:c>
      <x:c r="P1048" s="80" t="n">
        <x:v>12363.249323143718</x:v>
      </x:c>
      <x:c r="Q1048" s="81" t="n">
        <x:v>0.0024402735555939716</x:v>
      </x:c>
      <x:c r="R1048" s="81" t="n">
        <x:v>282.0483175087022</x:v>
      </x:c>
      <x:c r="S1048" s="81" t="n">
        <x:v>540.007445764217</x:v>
      </x:c>
      <x:c r="T1048" s="81" t="n">
        <x:v>82.75770114916561</x:v>
      </x:c>
    </x:row>
    <x:row r="1049">
      <x:c r="A1049" s="59" t="n">
        <x:v>1046</x:v>
      </x:c>
      <x:c r="B1049" s="193" t="n">
        <x:v>0.33619595132768154</x:v>
      </x:c>
      <x:c r="C1049" s="83" t="n">
        <x:v>2.5940722024852314</x:v>
      </x:c>
      <x:c r="D1049" s="83" t="n">
        <x:v>0.9060021239452543</x:v>
      </x:c>
      <x:c r="E1049" s="81" t="n">
        <x:v>-0.06756135129742803</x:v>
      </x:c>
      <x:c r="F1049" s="81" t="n">
        <x:v>0.8778749888180756</x:v>
      </x:c>
      <x:c r="G1049" s="81" t="n">
        <x:v>0.0067154581778749904</x:v>
      </x:c>
      <x:c r="H1049" s="59" t="n">
        <x:v>0</x:v>
      </x:c>
      <x:c r="I1049" s="81" t="n">
        <x:v>0</x:v>
      </x:c>
      <x:c r="J1049" s="79" t="n">
        <x:v>9.535083450515032e-33</x:v>
      </x:c>
      <x:c r="K1049" s="81" t="n">
        <x:v>-1</x:v>
      </x:c>
      <x:c r="L1049" s="81" t="n">
        <x:v>-1</x:v>
      </x:c>
      <x:c r="M1049" s="80" t="n">
        <x:v>0.000002</x:v>
      </x:c>
      <x:c r="N1049" s="82" t="n">
        <x:v>0.18218192928034121</x:v>
      </x:c>
      <x:c r="O1049" s="82" t="n">
        <x:v>0.1510806743437707</x:v>
      </x:c>
      <x:c r="P1049" s="80" t="n">
        <x:v>866.5205533569585</x:v>
      </x:c>
      <x:c r="Q1049" s="81" t="n">
        <x:v>3347840956912910</x:v>
      </x:c>
      <x:c r="R1049" s="81" t="n">
        <x:v>1.4734261856460675</x:v>
      </x:c>
      <x:c r="S1049" s="81" t="n">
        <x:v>2.395586340012832e-10</x:v>
      </x:c>
      <x:c r="T1049" s="81" t="n">
        <x:v>2.065507247152102e-28</x:v>
      </x:c>
    </x:row>
    <x:row r="1050">
      <x:c r="A1050" s="59" t="n">
        <x:v>1047</x:v>
      </x:c>
      <x:c r="B1050" s="193" t="n">
        <x:v>0.7592732790857555</x:v>
      </x:c>
      <x:c r="C1050" s="83" t="n">
        <x:v>1.7290223366645996</x:v>
      </x:c>
      <x:c r="D1050" s="83" t="n">
        <x:v>0.4501013061155051</x:v>
      </x:c>
      <x:c r="E1050" s="81" t="n">
        <x:v>0.061739436536829104</x:v>
      </x:c>
      <x:c r="F1050" s="81" t="n">
        <x:v>0.8309910533251241</x:v>
      </x:c>
      <x:c r="G1050" s="81" t="n">
        <x:v>-0.01141991805470991</x:v>
      </x:c>
      <x:c r="H1050" s="59" t="n">
        <x:v>0</x:v>
      </x:c>
      <x:c r="I1050" s="81" t="n">
        <x:v>0</x:v>
      </x:c>
      <x:c r="J1050" s="79" t="n">
        <x:v>0.00039254822580735973</x:v>
      </x:c>
      <x:c r="K1050" s="81" t="n">
        <x:v>-0.5513734562201602</x:v>
      </x:c>
      <x:c r="L1050" s="81" t="n">
        <x:v>-0.7882260564119704</x:v>
      </x:c>
      <x:c r="M1050" s="80" t="n">
        <x:v>10188.772654047581</x:v>
      </x:c>
      <x:c r="N1050" s="82" t="n">
        <x:v>0.2829668814522098</x:v>
      </x:c>
      <x:c r="O1050" s="82" t="n">
        <x:v>0.22212779138338917</x:v>
      </x:c>
      <x:c r="P1050" s="80" t="n">
        <x:v>9993.17941397984</x:v>
      </x:c>
      <x:c r="Q1050" s="81" t="n">
        <x:v>0.007908432854490298</x:v>
      </x:c>
      <x:c r="R1050" s="81" t="n">
        <x:v>18.58071578801626</x:v>
      </x:c>
      <x:c r="S1050" s="81" t="n">
        <x:v>4.892393525633604</x:v>
      </x:c>
      <x:c r="T1050" s="81" t="n">
        <x:v>8.503451589802351</x:v>
      </x:c>
    </x:row>
    <x:row r="1051">
      <x:c r="A1051" s="59" t="n">
        <x:v>1048</x:v>
      </x:c>
      <x:c r="B1051" s="193" t="n">
        <x:v>0.7689121726900339</x:v>
      </x:c>
      <x:c r="C1051" s="83" t="n">
        <x:v>0.4335577089728558</x:v>
      </x:c>
      <x:c r="D1051" s="83" t="n">
        <x:v>0.6084693123255251</x:v>
      </x:c>
      <x:c r="E1051" s="81" t="n">
        <x:v>-0.1476027050639276</x:v>
      </x:c>
      <x:c r="F1051" s="81" t="n">
        <x:v>0.4549355045659468</x:v>
      </x:c>
      <x:c r="G1051" s="81" t="n">
        <x:v>0.05116904138235523</x:v>
      </x:c>
      <x:c r="H1051" s="59" t="n">
        <x:v>14</x:v>
      </x:c>
      <x:c r="I1051" s="81" t="n">
        <x:v>0.3584151604212821</x:v>
      </x:c>
      <x:c r="J1051" s="79" t="n">
        <x:v>3.131996952542542e-48</x:v>
      </x:c>
      <x:c r="K1051" s="81" t="n">
        <x:v>-1</x:v>
      </x:c>
      <x:c r="L1051" s="81" t="n">
        <x:v>-1</x:v>
      </x:c>
      <x:c r="M1051" s="80" t="n">
        <x:v>0.000002</x:v>
      </x:c>
      <x:c r="N1051" s="82" t="n">
        <x:v>0.285263046638004</x:v>
      </x:c>
      <x:c r="O1051" s="82" t="n">
        <x:v>0.12259317416529054</x:v>
      </x:c>
      <x:c r="P1051" s="80" t="n">
        <x:v>165.11730224922957</x:v>
      </x:c>
      <x:c r="Q1051" s="81" t="n">
        <x:v>5.014997453091286e+30</x:v>
      </x:c>
      <x:c r="R1051" s="81" t="n">
        <x:v>3.766608770988381</x:v>
      </x:c>
      <x:c r="S1051" s="81" t="n">
        <x:v>6.823550969366661e-10</x:v>
      </x:c>
      <x:c r="T1051" s="81" t="n">
        <x:v>6.784589182788422e-44</x:v>
      </x:c>
    </x:row>
    <x:row r="1052">
      <x:c r="A1052" s="59" t="n">
        <x:v>1049</x:v>
      </x:c>
      <x:c r="B1052" s="193" t="n">
        <x:v>0.6175391845405103</x:v>
      </x:c>
      <x:c r="C1052" s="83" t="n">
        <x:v>1.3836052863132409</x:v>
      </x:c>
      <x:c r="D1052" s="83" t="n">
        <x:v>0.8589828208620044</x:v>
      </x:c>
      <x:c r="E1052" s="81" t="n">
        <x:v>0.017589898612595366</x:v>
      </x:c>
      <x:c r="F1052" s="81" t="n">
        <x:v>0.48901839437894523</x:v>
      </x:c>
      <x:c r="G1052" s="81" t="n">
        <x:v>0.00702996512785992</x:v>
      </x:c>
      <x:c r="H1052" s="59" t="n">
        <x:v>0</x:v>
      </x:c>
      <x:c r="I1052" s="81" t="n">
        <x:v>0</x:v>
      </x:c>
      <x:c r="J1052" s="79" t="n">
        <x:v>0.00047093356783777093</x:v>
      </x:c>
      <x:c r="K1052" s="81" t="n">
        <x:v>-0.4617902081854046</x:v>
      </x:c>
      <x:c r="L1052" s="81" t="n">
        <x:v>-0.7304542488904071</x:v>
      </x:c>
      <x:c r="M1052" s="80" t="n">
        <x:v>9355.0080970324</x:v>
      </x:c>
      <x:c r="N1052" s="82" t="n">
        <x:v>0.24920316261725975</x:v>
      </x:c>
      <x:c r="O1052" s="82" t="n">
        <x:v>0.11511970998667716</x:v>
      </x:c>
      <x:c r="P1052" s="80" t="n">
        <x:v>17780.138522054043</x:v>
      </x:c>
      <x:c r="Q1052" s="81" t="n">
        <x:v>0.013520082503829745</x:v>
      </x:c>
      <x:c r="R1052" s="81" t="n">
        <x:v>20.321240515111853</x:v>
      </x:c>
      <x:c r="S1052" s="81" t="n">
        <x:v>7.952496272192222</x:v>
      </x:c>
      <x:c r="T1052" s="81" t="n">
        <x:v>10.201449230563064</x:v>
      </x:c>
    </x:row>
    <x:row r="1053">
      <x:c r="A1053" s="59" t="n">
        <x:v>1050</x:v>
      </x:c>
      <x:c r="B1053" s="193" t="n">
        <x:v>0.5729602063074708</x:v>
      </x:c>
      <x:c r="C1053" s="83" t="n">
        <x:v>0.13894599076004305</x:v>
      </x:c>
      <x:c r="D1053" s="83" t="n">
        <x:v>0.6111135460296865</x:v>
      </x:c>
      <x:c r="E1053" s="81" t="n">
        <x:v>-0.023451936426325135</x:v>
      </x:c>
      <x:c r="F1053" s="81" t="n">
        <x:v>0.32009141906164584</x:v>
      </x:c>
      <x:c r="G1053" s="81" t="n">
        <x:v>0.032995212866239486</x:v>
      </x:c>
      <x:c r="H1053" s="59" t="n">
        <x:v>0</x:v>
      </x:c>
      <x:c r="I1053" s="81" t="n">
        <x:v>0</x:v>
      </x:c>
      <x:c r="J1053" s="79" t="n">
        <x:v>2.0394921050207395e-15</x:v>
      </x:c>
      <x:c r="K1053" s="81" t="n">
        <x:v>-0.9999999999976692</x:v>
      </x:c>
      <x:c r="L1053" s="81" t="n">
        <x:v>-0.9999999999976692</x:v>
      </x:c>
      <x:c r="M1053" s="80" t="n">
        <x:v>0.009045068070738243</x:v>
      </x:c>
      <x:c r="N1053" s="82" t="n">
        <x:v>0.23858361414630797</x:v>
      </x:c>
      <x:c r="O1053" s="82" t="n">
        <x:v>0.07214156954896228</x:v>
      </x:c>
      <x:c r="P1053" s="80" t="n">
        <x:v>539.4376340132935</x:v>
      </x:c>
      <x:c r="Q1053" s="81" t="n">
        <x:v>195.49213768211794</x:v>
      </x:c>
      <x:c r="R1053" s="81" t="n">
        <x:v>48.42107855664017</x:v>
      </x:c>
      <x:c r="S1053" s="81" t="n">
        <x:v>0.00000328842709736041</x:v>
      </x:c>
      <x:c r="T1053" s="81" t="n">
        <x:v>4.417985165302662e-11</x:v>
      </x:c>
    </x:row>
    <x:row r="1054">
      <x:c r="A1054" s="59" t="n">
        <x:v>1051</x:v>
      </x:c>
      <x:c r="B1054" s="193" t="n">
        <x:v>0.47049873843789103</x:v>
      </x:c>
      <x:c r="C1054" s="83" t="n">
        <x:v>2.7202538970606893</x:v>
      </x:c>
      <x:c r="D1054" s="83" t="n">
        <x:v>0.5902271262248696</x:v>
      </x:c>
      <x:c r="E1054" s="81" t="n">
        <x:v>0.014454017043487134</x:v>
      </x:c>
      <x:c r="F1054" s="81" t="n">
        <x:v>0.48381721988553184</x:v>
      </x:c>
      <x:c r="G1054" s="81" t="n">
        <x:v>-0.0040847174511504224</x:v>
      </x:c>
      <x:c r="H1054" s="59" t="n">
        <x:v>0</x:v>
      </x:c>
      <x:c r="I1054" s="81" t="n">
        <x:v>0</x:v>
      </x:c>
      <x:c r="J1054" s="79" t="n">
        <x:v>0.00037665543624848904</x:v>
      </x:c>
      <x:c r="K1054" s="81" t="n">
        <x:v>-0.569536644287441</x:v>
      </x:c>
      <x:c r="L1054" s="81" t="n">
        <x:v>-0.6861767335985434</x:v>
      </x:c>
      <x:c r="M1054" s="80" t="n">
        <x:v>12663.657095757479</x:v>
      </x:c>
      <x:c r="N1054" s="82" t="n">
        <x:v>0.21417537134725118</x:v>
      </x:c>
      <x:c r="O1054" s="82" t="n">
        <x:v>0.0978862727431282</x:v>
      </x:c>
      <x:c r="P1054" s="80" t="n">
        <x:v>17630.427882842225</x:v>
      </x:c>
      <x:c r="Q1054" s="81" t="n">
        <x:v>0.013255796723656241</x:v>
      </x:c>
      <x:c r="R1054" s="81" t="n">
        <x:v>9.924830503428437</x:v>
      </x:c>
      <x:c r="S1054" s="81" t="n">
        <x:v>3.4193055611296033</x:v>
      </x:c>
      <x:c r="T1054" s="81" t="n">
        <x:v>8.159179070514252</x:v>
      </x:c>
    </x:row>
    <x:row r="1055">
      <x:c r="A1055" s="59" t="n">
        <x:v>1052</x:v>
      </x:c>
      <x:c r="B1055" s="193" t="n">
        <x:v>0.4689341066405177</x:v>
      </x:c>
      <x:c r="C1055" s="83" t="n">
        <x:v>0.258717026544144</x:v>
      </x:c>
      <x:c r="D1055" s="83" t="n">
        <x:v>2.4895766820918985</x:v>
      </x:c>
      <x:c r="E1055" s="81" t="n">
        <x:v>0.13681384266351168</x:v>
      </x:c>
      <x:c r="F1055" s="81" t="n">
        <x:v>0.41944569470360876</x:v>
      </x:c>
      <x:c r="G1055" s="81" t="n">
        <x:v>-0.05</x:v>
      </x:c>
      <x:c r="H1055" s="59" t="n">
        <x:v>69</x:v>
      </x:c>
      <x:c r="I1055" s="81" t="n">
        <x:v>0.49587567932903764</x:v>
      </x:c>
      <x:c r="J1055" s="79" t="n">
        <x:v>0.06691713081019779</x:v>
      </x:c>
      <x:c r="K1055" s="81" t="n">
        <x:v>75.47672092594034</x:v>
      </x:c>
      <x:c r="L1055" s="81" t="n">
        <x:v>-0.9958957103433606</x:v>
      </x:c>
      <x:c r="M1055" s="80" t="n">
        <x:v>113333.13863200208</x:v>
      </x:c>
      <x:c r="N1055" s="82" t="n">
        <x:v>0.2138026467162709</x:v>
      </x:c>
      <x:c r="O1055" s="82" t="n">
        <x:v>0.08471489171327386</x:v>
      </x:c>
      <x:c r="P1055" s="80" t="n">
        <x:v>305892.78794078284</x:v>
      </x:c>
      <x:c r="Q1055" s="81" t="n">
        <x:v>0.002105034538546911</x:v>
      </x:c>
      <x:c r="R1055" s="81" t="n">
        <x:v>10337.813425320568</x:v>
      </x:c>
      <x:c r="S1055" s="81" t="n">
        <x:v>4860.230701524161</x:v>
      </x:c>
      <x:c r="T1055" s="81" t="n">
        <x:v>1449.5711481122173</x:v>
      </x:c>
    </x:row>
    <x:row r="1056">
      <x:c r="A1056" s="59" t="n">
        <x:v>1053</x:v>
      </x:c>
      <x:c r="B1056" s="193" t="n">
        <x:v>0.8079044772312045</x:v>
      </x:c>
      <x:c r="C1056" s="83" t="n">
        <x:v>0.935127404301107</x:v>
      </x:c>
      <x:c r="D1056" s="83" t="n">
        <x:v>1.1261819384103884</x:v>
      </x:c>
      <x:c r="E1056" s="81" t="n">
        <x:v>-0.055248890162240834</x:v>
      </x:c>
      <x:c r="F1056" s="81" t="n">
        <x:v>0.36664019611198456</x:v>
      </x:c>
      <x:c r="G1056" s="81" t="n">
        <x:v>-0.028738159263486326</x:v>
      </x:c>
      <x:c r="H1056" s="59" t="n">
        <x:v>0</x:v>
      </x:c>
      <x:c r="I1056" s="81" t="n">
        <x:v>0</x:v>
      </x:c>
      <x:c r="J1056" s="79" t="n">
        <x:v>2.9959422094089027e-29</x:v>
      </x:c>
      <x:c r="K1056" s="81" t="n">
        <x:v>-1</x:v>
      </x:c>
      <x:c r="L1056" s="81" t="n">
        <x:v>-1</x:v>
      </x:c>
      <x:c r="M1056" s="80" t="n">
        <x:v>0.000002</x:v>
      </x:c>
      <x:c r="N1056" s="82" t="n">
        <x:v>0.2945517446854212</x:v>
      </x:c>
      <x:c r="O1056" s="82" t="n">
        <x:v>0.10201701637909014</x:v>
      </x:c>
      <x:c r="P1056" s="80" t="n">
        <x:v>565.045416002981</x:v>
      </x:c>
      <x:c r="Q1056" s="81" t="n">
        <x:v>1287931351191.4612</x:v>
      </x:c>
      <x:c r="R1056" s="81" t="n">
        <x:v>3.1317323609420313</x:v>
      </x:c>
      <x:c r="S1056" s="81" t="n">
        <x:v>3.5754310297858287e-10</x:v>
      </x:c>
      <x:c r="T1056" s="81" t="n">
        <x:v>6.48986490542851e-25</x:v>
      </x:c>
    </x:row>
    <x:row r="1057">
      <x:c r="A1057" s="59" t="n">
        <x:v>1054</x:v>
      </x:c>
      <x:c r="B1057" s="193" t="n">
        <x:v>0.6579437922686339</x:v>
      </x:c>
      <x:c r="C1057" s="83" t="n">
        <x:v>0.837127623855831</x:v>
      </x:c>
      <x:c r="D1057" s="83" t="n">
        <x:v>1.1115624860655973</x:v>
      </x:c>
      <x:c r="E1057" s="81" t="n">
        <x:v>0.04108444371749438</x:v>
      </x:c>
      <x:c r="F1057" s="81" t="n">
        <x:v>0.3689419450587593</x:v>
      </x:c>
      <x:c r="G1057" s="81" t="n">
        <x:v>0.01635781839419971</x:v>
      </x:c>
      <x:c r="H1057" s="59" t="n">
        <x:v>0</x:v>
      </x:c>
      <x:c r="I1057" s="81" t="n">
        <x:v>0</x:v>
      </x:c>
      <x:c r="J1057" s="79" t="n">
        <x:v>0.0060119340073075365</x:v>
      </x:c>
      <x:c r="K1057" s="81" t="n">
        <x:v>5.870781722637186</x:v>
      </x:c>
      <x:c r="L1057" s="81" t="n">
        <x:v>-0.6112274278050271</x:v>
      </x:c>
      <x:c r="M1057" s="80" t="n">
        <x:v>29333.144466281363</x:v>
      </x:c>
      <x:c r="N1057" s="82" t="n">
        <x:v>0.25882829776449395</x:v>
      </x:c>
      <x:c r="O1057" s="82" t="n">
        <x:v>0.09020710202718762</x:v>
      </x:c>
      <x:c r="P1057" s="80" t="n">
        <x:v>60169.900636583356</x:v>
      </x:c>
      <x:c r="Q1057" s="81" t="n">
        <x:v>0.005197919111028184</x:v>
      </x:c>
      <x:c r="R1057" s="81" t="n">
        <x:v>122.53300696663209</x:v>
      </x:c>
      <x:c r="S1057" s="81" t="n">
        <x:v>143.13861467155317</x:v>
      </x:c>
      <x:c r="T1057" s="81" t="n">
        <x:v>130.2316159679039</x:v>
      </x:c>
    </x:row>
    <x:row r="1058">
      <x:c r="A1058" s="59" t="n">
        <x:v>1055</x:v>
      </x:c>
      <x:c r="B1058" s="193" t="n">
        <x:v>0.8005487697198987</x:v>
      </x:c>
      <x:c r="C1058" s="83" t="n">
        <x:v>0.4709458664756921</x:v>
      </x:c>
      <x:c r="D1058" s="83" t="n">
        <x:v>0.5753355218025988</x:v>
      </x:c>
      <x:c r="E1058" s="81" t="n">
        <x:v>-0.043723689778148035</x:v>
      </x:c>
      <x:c r="F1058" s="81" t="n">
        <x:v>0.7792913708486594</x:v>
      </x:c>
      <x:c r="G1058" s="81" t="n">
        <x:v>-0.010757208515555393</x:v>
      </x:c>
      <x:c r="H1058" s="59" t="n">
        <x:v>0</x:v>
      </x:c>
      <x:c r="I1058" s="81" t="n">
        <x:v>0</x:v>
      </x:c>
      <x:c r="J1058" s="79" t="n">
        <x:v>4.2550024806930275e-19</x:v>
      </x:c>
      <x:c r="K1058" s="81" t="n">
        <x:v>-0.9999999999999996</x:v>
      </x:c>
      <x:c r="L1058" s="81" t="n">
        <x:v>-0.9999999999999996</x:v>
      </x:c>
      <x:c r="M1058" s="80" t="n">
        <x:v>0.0001708012693026387</x:v>
      </x:c>
      <x:c r="N1058" s="82" t="n">
        <x:v>0.29279947723671185</x:v>
      </x:c>
      <x:c r="O1058" s="82" t="n">
        <x:v>0.21554656495516344</x:v>
      </x:c>
      <x:c r="P1058" s="80" t="n">
        <x:v>377.76421726555424</x:v>
      </x:c>
      <x:c r="Q1058" s="81" t="n">
        <x:v>9678.863910453978</x:v>
      </x:c>
      <x:c r="R1058" s="81" t="n">
        <x:v>8.708532543164994</x:v>
      </x:c>
      <x:c r="S1058" s="81" t="n">
        <x:v>2.6773421852664548e-8</x:v>
      </x:c>
      <x:c r="T1058" s="81" t="n">
        <x:v>9.217264333483e-15</x:v>
      </x:c>
    </x:row>
    <x:row r="1059">
      <x:c r="A1059" s="59" t="n">
        <x:v>1056</x:v>
      </x:c>
      <x:c r="B1059" s="193" t="n">
        <x:v>0.582859268039465</x:v>
      </x:c>
      <x:c r="C1059" s="83" t="n">
        <x:v>0.10030499496920785</x:v>
      </x:c>
      <x:c r="D1059" s="83" t="n">
        <x:v>0.8091442809064875</x:v>
      </x:c>
      <x:c r="E1059" s="81" t="n">
        <x:v>-0.05365704946915478</x:v>
      </x:c>
      <x:c r="F1059" s="81" t="n">
        <x:v>0.6317075244616717</x:v>
      </x:c>
      <x:c r="G1059" s="81" t="n">
        <x:v>0.02913950367104918</x:v>
      </x:c>
      <x:c r="H1059" s="59" t="n">
        <x:v>0</x:v>
      </x:c>
      <x:c r="I1059" s="81" t="n">
        <x:v>0</x:v>
      </x:c>
      <x:c r="J1059" s="79" t="n">
        <x:v>4.787185515668604e-29</x:v>
      </x:c>
      <x:c r="K1059" s="81" t="n">
        <x:v>-1</x:v>
      </x:c>
      <x:c r="L1059" s="81" t="n">
        <x:v>-1</x:v>
      </x:c>
      <x:c r="M1059" s="80" t="n">
        <x:v>0.000002</x:v>
      </x:c>
      <x:c r="N1059" s="82" t="n">
        <x:v>0.24094175625827638</x:v>
      </x:c>
      <x:c r="O1059" s="82" t="n">
        <x:v>0.14378019339627213</x:v>
      </x:c>
      <x:c r="P1059" s="80" t="n">
        <x:v>282.9488313553381</x:v>
      </x:c>
      <x:c r="Q1059" s="81" t="n">
        <x:v>828680334481.6266</x:v>
      </x:c>
      <x:c r="R1059" s="81" t="n">
        <x:v>27.881887069644367</x:v>
      </x:c>
      <x:c r="S1059" s="81" t="n">
        <x:v>9.136650655445962e-10</x:v>
      </x:c>
      <x:c r="T1059" s="81" t="n">
        <x:v>1.0370088974460924e-24</x:v>
      </x:c>
    </x:row>
    <x:row r="1060">
      <x:c r="A1060" s="59" t="n">
        <x:v>1057</x:v>
      </x:c>
      <x:c r="B1060" s="193" t="n">
        <x:v>0.8995024852454663</x:v>
      </x:c>
      <x:c r="C1060" s="83" t="n">
        <x:v>0.1325769651270735</x:v>
      </x:c>
      <x:c r="D1060" s="83" t="n">
        <x:v>0.6830613049951315</x:v>
      </x:c>
      <x:c r="E1060" s="81" t="n">
        <x:v>-0.04610587337575194</x:v>
      </x:c>
      <x:c r="F1060" s="81" t="n">
        <x:v>0.4210087760584429</x:v>
      </x:c>
      <x:c r="G1060" s="81" t="n">
        <x:v>0.02941729649472398</x:v>
      </x:c>
      <x:c r="H1060" s="59" t="n">
        <x:v>0</x:v>
      </x:c>
      <x:c r="I1060" s="81" t="n">
        <x:v>0</x:v>
      </x:c>
      <x:c r="J1060" s="79" t="n">
        <x:v>5.399742417124945e-25</x:v>
      </x:c>
      <x:c r="K1060" s="81" t="n">
        <x:v>-1</x:v>
      </x:c>
      <x:c r="L1060" s="81" t="n">
        <x:v>-1</x:v>
      </x:c>
      <x:c r="M1060" s="80" t="n">
        <x:v>0.000002</x:v>
      </x:c>
      <x:c r="N1060" s="82" t="n">
        <x:v>0.3163721076570684</x:v>
      </x:c>
      <x:c r="O1060" s="82" t="n">
        <x:v>0.12582307031075654</x:v>
      </x:c>
      <x:c r="P1060" s="80" t="n">
        <x:v>317.2214391566533</x:v>
      </x:c>
      <x:c r="Q1060" s="81" t="n">
        <x:v>84886992.10959129</x:v>
      </x:c>
      <x:c r="R1060" s="81" t="n">
        <x:v>27.795340932471223</x:v>
      </x:c>
      <x:c r="S1060" s="81" t="n">
        <x:v>7.517824361731018e-10</x:v>
      </x:c>
      <x:c r="T1060" s="81" t="n">
        <x:v>1.1697020957612856e-20</x:v>
      </x:c>
    </x:row>
    <x:row r="1061">
      <x:c r="A1061" s="59" t="n">
        <x:v>1058</x:v>
      </x:c>
      <x:c r="B1061" s="193" t="n">
        <x:v>0.9447801530361175</x:v>
      </x:c>
      <x:c r="C1061" s="83" t="n">
        <x:v>0.2395721703368847</x:v>
      </x:c>
      <x:c r="D1061" s="83" t="n">
        <x:v>0.3190048502867988</x:v>
      </x:c>
      <x:c r="E1061" s="81" t="n">
        <x:v>-0.01034433151465921</x:v>
      </x:c>
      <x:c r="F1061" s="81" t="n">
        <x:v>0.8639736609184183</x:v>
      </x:c>
      <x:c r="G1061" s="81" t="n">
        <x:v>-0.020823005980560666</x:v>
      </x:c>
      <x:c r="H1061" s="59" t="n">
        <x:v>0</x:v>
      </x:c>
      <x:c r="I1061" s="81" t="n">
        <x:v>0</x:v>
      </x:c>
      <x:c r="J1061" s="79" t="n">
        <x:v>1.5505039121942378e-8</x:v>
      </x:c>
      <x:c r="K1061" s="81" t="n">
        <x:v>-0.9999822799552892</x:v>
      </x:c>
      <x:c r="L1061" s="81" t="n">
        <x:v>-0.9999822799552892</x:v>
      </x:c>
      <x:c r="M1061" s="80" t="n">
        <x:v>26.517410179810156</x:v>
      </x:c>
      <x:c r="N1061" s="82" t="n">
        <x:v>0.32715809708107263</x:v>
      </x:c>
      <x:c r="O1061" s="82" t="n">
        <x:v>0.26701097836192644</x:v>
      </x:c>
      <x:c r="P1061" s="80" t="n">
        <x:v>310.2864022292211</x:v>
      </x:c>
      <x:c r="Q1061" s="81" t="n">
        <x:v>0.11663132306200154</x:v>
      </x:c>
      <x:c r="R1061" s="81" t="n">
        <x:v>23.09497715785814</x:v>
      </x:c>
      <x:c r="S1061" s="81" t="n">
        <x:v>0.003533149446389273</x:v>
      </x:c>
      <x:c r="T1061" s="81" t="n">
        <x:v>0.00033587299828004123</x:v>
      </x:c>
    </x:row>
    <x:row r="1062">
      <x:c r="A1062" s="59" t="n">
        <x:v>1059</x:v>
      </x:c>
      <x:c r="B1062" s="193" t="n">
        <x:v>0.78428224157542</x:v>
      </x:c>
      <x:c r="C1062" s="83" t="n">
        <x:v>0.4149095925081872</x:v>
      </x:c>
      <x:c r="D1062" s="83" t="n">
        <x:v>0.42669955215950933</x:v>
      </x:c>
      <x:c r="E1062" s="81" t="n">
        <x:v>0.07160151508988312</x:v>
      </x:c>
      <x:c r="F1062" s="81" t="n">
        <x:v>0.6455283410381526</x:v>
      </x:c>
      <x:c r="G1062" s="81" t="n">
        <x:v>-0.011210097741298938</x:v>
      </x:c>
      <x:c r="H1062" s="59" t="n">
        <x:v>0</x:v>
      </x:c>
      <x:c r="I1062" s="81" t="n">
        <x:v>0</x:v>
      </x:c>
      <x:c r="J1062" s="79" t="n">
        <x:v>0.00020652577950967872</x:v>
      </x:c>
      <x:c r="K1062" s="81" t="n">
        <x:v>-0.7639705377032243</x:v>
      </x:c>
      <x:c r="L1062" s="81" t="n">
        <x:v>-0.8597316496082761</x:v>
      </x:c>
      <x:c r="M1062" s="80" t="n">
        <x:v>3874.660563124899</x:v>
      </x:c>
      <x:c r="N1062" s="82" t="n">
        <x:v>0.2889244852352943</x:v>
      </x:c>
      <x:c r="O1062" s="82" t="n">
        <x:v>0.17618567885863914</x:v>
      </x:c>
      <x:c r="P1062" s="80" t="n">
        <x:v>3709.8367444617684</x:v>
      </x:c>
      <x:c r="Q1062" s="81" t="n">
        <x:v>0.005444966349324531</x:v>
      </x:c>
      <x:c r="R1062" s="81" t="n">
        <x:v>55.193442711514855</x:v>
      </x:c>
      <x:c r="S1062" s="81" t="n">
        <x:v>9.718110631312395</x:v>
      </x:c>
      <x:c r="T1062" s="81" t="n">
        <x:v>4.4737992752222535</x:v>
      </x:c>
    </x:row>
    <x:row r="1063">
      <x:c r="A1063" s="59" t="n">
        <x:v>1060</x:v>
      </x:c>
      <x:c r="B1063" s="193" t="n">
        <x:v>0.20975789539515974</x:v>
      </x:c>
      <x:c r="C1063" s="83" t="n">
        <x:v>0.21335529048332194</x:v>
      </x:c>
      <x:c r="D1063" s="83" t="n">
        <x:v>1.0160939420010742</x:v>
      </x:c>
      <x:c r="E1063" s="81" t="n">
        <x:v>0.11587332145255323</x:v>
      </x:c>
      <x:c r="F1063" s="81" t="n">
        <x:v>0.4903288794215769</x:v>
      </x:c>
      <x:c r="G1063" s="81" t="n">
        <x:v>-0.0076523680183743425</x:v>
      </x:c>
      <x:c r="H1063" s="59" t="n">
        <x:v>0</x:v>
      </x:c>
      <x:c r="I1063" s="81" t="n">
        <x:v>0</x:v>
      </x:c>
      <x:c r="J1063" s="79" t="n">
        <x:v>0.02027341597994001</x:v>
      </x:c>
      <x:c r="K1063" s="81" t="n">
        <x:v>22.169618262788585</x:v>
      </x:c>
      <x:c r="L1063" s="81" t="n">
        <x:v>-0.7567989435995213</x:v>
      </x:c>
      <x:c r="M1063" s="80" t="n">
        <x:v>43415.71288300454</x:v>
      </x:c>
      <x:c r="N1063" s="82" t="n">
        <x:v>0.15206201364366553</x:v>
      </x:c>
      <x:c r="O1063" s="82" t="n">
        <x:v>0.07043348089095336</x:v>
      </x:c>
      <x:c r="P1063" s="80" t="n">
        <x:v>69587.27977776848</x:v>
      </x:c>
      <x:c r="Q1063" s="81" t="n">
        <x:v>0.0016588101801405695</x:v>
      </x:c>
      <x:c r="R1063" s="81" t="n">
        <x:v>2473.684439485611</x:v>
      </x:c>
      <x:c r="S1063" s="81" t="n">
        <x:v>1780.1668537412093</x:v>
      </x:c>
      <x:c r="T1063" s="81" t="n">
        <x:v>439.16645143607514</x:v>
      </x:c>
    </x:row>
    <x:row r="1064">
      <x:c r="A1064" s="59" t="n">
        <x:v>1061</x:v>
      </x:c>
      <x:c r="B1064" s="193" t="n">
        <x:v>0.7405318306759001</x:v>
      </x:c>
      <x:c r="C1064" s="83" t="n">
        <x:v>1.738358243907451</x:v>
      </x:c>
      <x:c r="D1064" s="83" t="n">
        <x:v>1.6818963410771754</x:v>
      </x:c>
      <x:c r="E1064" s="81" t="n">
        <x:v>-0.11030204464683889</x:v>
      </x:c>
      <x:c r="F1064" s="81" t="n">
        <x:v>0.6313414380419999</x:v>
      </x:c>
      <x:c r="G1064" s="81" t="n">
        <x:v>-0.0050035488935446515</x:v>
      </x:c>
      <x:c r="H1064" s="59" t="n">
        <x:v>0</x:v>
      </x:c>
      <x:c r="I1064" s="81" t="n">
        <x:v>0</x:v>
      </x:c>
      <x:c r="J1064" s="79" t="n">
        <x:v>3.363499311237438e-62</x:v>
      </x:c>
      <x:c r="K1064" s="81" t="n">
        <x:v>-1</x:v>
      </x:c>
      <x:c r="L1064" s="81" t="n">
        <x:v>-1</x:v>
      </x:c>
      <x:c r="M1064" s="80" t="n">
        <x:v>0.000002</x:v>
      </x:c>
      <x:c r="N1064" s="82" t="n">
        <x:v>0.2785023170388246</x:v>
      </x:c>
      <x:c r="O1064" s="82" t="n">
        <x:v>0.16609786483434139</x:v>
      </x:c>
      <x:c r="P1064" s="80" t="n">
        <x:v>506.77699566617457</x:v>
      </x:c>
      <x:c r="Q1064" s="81" t="n">
        <x:v>6.045901044131457e+44</x:v>
      </x:c>
      <x:c r="R1064" s="81" t="n">
        <x:v>0.8636509099982256</x:v>
      </x:c>
      <x:c r="S1064" s="81" t="n">
        <x:v>5.061839504559673e-10</x:v>
      </x:c>
      <x:c r="T1064" s="81" t="n">
        <x:v>7.286073833760496e-58</x:v>
      </x:c>
    </x:row>
    <x:row r="1065">
      <x:c r="A1065" s="59" t="n">
        <x:v>1062</x:v>
      </x:c>
      <x:c r="B1065" s="193" t="n">
        <x:v>0.34407163262367246</x:v>
      </x:c>
      <x:c r="C1065" s="83" t="n">
        <x:v>2.0374838772979755</x:v>
      </x:c>
      <x:c r="D1065" s="83" t="n">
        <x:v>1.1661880748511984</x:v>
      </x:c>
      <x:c r="E1065" s="81" t="n">
        <x:v>-0.087248442109107</x:v>
      </x:c>
      <x:c r="F1065" s="81" t="n">
        <x:v>0.3467374536325224</x:v>
      </x:c>
      <x:c r="G1065" s="81" t="n">
        <x:v>0.01660547793450218</x:v>
      </x:c>
      <x:c r="H1065" s="59" t="n">
        <x:v>0</x:v>
      </x:c>
      <x:c r="I1065" s="81" t="n">
        <x:v>0</x:v>
      </x:c>
      <x:c r="J1065" s="79" t="n">
        <x:v>9.039008879441243e-46</x:v>
      </x:c>
      <x:c r="K1065" s="81" t="n">
        <x:v>-1</x:v>
      </x:c>
      <x:c r="L1065" s="81" t="n">
        <x:v>-1</x:v>
      </x:c>
      <x:c r="M1065" s="80" t="n">
        <x:v>0.000002</x:v>
      </x:c>
      <x:c r="N1065" s="82" t="n">
        <x:v>0.18405806423407028</x:v>
      </x:c>
      <x:c r="O1065" s="82" t="n">
        <x:v>0.060287399022647514</x:v>
      </x:c>
      <x:c r="P1065" s="80" t="n">
        <x:v>627.4082198058389</x:v>
      </x:c>
      <x:c r="Q1065" s="81" t="n">
        <x:v>2.7851276256453683e+28</x:v>
      </x:c>
      <x:c r="R1065" s="81" t="n">
        <x:v>1.201064738072976</x:v>
      </x:c>
      <x:c r="S1065" s="81" t="n">
        <x:v>4.109416323707783e-10</x:v>
      </x:c>
      <x:c r="T1065" s="81" t="n">
        <x:v>1.9580466646623451e-41</x:v>
      </x:c>
    </x:row>
    <x:row r="1066">
      <x:c r="A1066" s="59" t="n">
        <x:v>1063</x:v>
      </x:c>
      <x:c r="B1066" s="193" t="n">
        <x:v>0.9945987535640597</x:v>
      </x:c>
      <x:c r="C1066" s="83" t="n">
        <x:v>0.42251424726128967</x:v>
      </x:c>
      <x:c r="D1066" s="83" t="n">
        <x:v>1.3129554589599943</x:v>
      </x:c>
      <x:c r="E1066" s="81" t="n">
        <x:v>0.12261619053704535</x:v>
      </x:c>
      <x:c r="F1066" s="81" t="n">
        <x:v>0.8234579985612073</x:v>
      </x:c>
      <x:c r="G1066" s="81" t="n">
        <x:v>-0.003468162917384346</x:v>
      </x:c>
      <x:c r="H1066" s="59" t="n">
        <x:v>63</x:v>
      </x:c>
      <x:c r="I1066" s="81" t="n">
        <x:v>0.453956778626889</x:v>
      </x:c>
      <x:c r="J1066" s="79" t="n">
        <x:v>0.004553879655576196</x:v>
      </x:c>
      <x:c r="K1066" s="81" t="n">
        <x:v>4.204433892087081</x:v>
      </x:c>
      <x:c r="L1066" s="81" t="n">
        <x:v>-0.958738027167245</x:v>
      </x:c>
      <x:c r="M1066" s="80" t="n">
        <x:v>27321.590376844157</x:v>
      </x:c>
      <x:c r="N1066" s="82" t="n">
        <x:v>0.3390258218255885</x:v>
      </x:c>
      <x:c r="O1066" s="82" t="n">
        <x:v>0.26372127796700356</x:v>
      </x:c>
      <x:c r="P1066" s="80" t="n">
        <x:v>51966.99028277063</x:v>
      </x:c>
      <x:c r="Q1066" s="81" t="n">
        <x:v>0.006167735064370097</x:v>
      </x:c>
      <x:c r="R1066" s="81" t="n">
        <x:v>339.4141795087954</x:v>
      </x:c>
      <x:c r="S1066" s="81" t="n">
        <x:v>211.65921091734074</x:v>
      </x:c>
      <x:c r="T1066" s="81" t="n">
        <x:v>98.64697545717952</x:v>
      </x:c>
    </x:row>
    <x:row r="1067">
      <x:c r="A1067" s="59" t="n">
        <x:v>1064</x:v>
      </x:c>
      <x:c r="B1067" s="193" t="n">
        <x:v>0.9923705102875828</x:v>
      </x:c>
      <x:c r="C1067" s="83" t="n">
        <x:v>0.39157083387026126</x:v>
      </x:c>
      <x:c r="D1067" s="83" t="n">
        <x:v>0.34124301791921385</x:v>
      </x:c>
      <x:c r="E1067" s="81" t="n">
        <x:v>-0.06971348455874252</x:v>
      </x:c>
      <x:c r="F1067" s="81" t="n">
        <x:v>0.37346822175895794</x:v>
      </x:c>
      <x:c r="G1067" s="81" t="n">
        <x:v>-0.007683591559104009</x:v>
      </x:c>
      <x:c r="H1067" s="59" t="n">
        <x:v>0</x:v>
      </x:c>
      <x:c r="I1067" s="81" t="n">
        <x:v>0</x:v>
      </x:c>
      <x:c r="J1067" s="79" t="n">
        <x:v>2.3288857644984515e-18</x:v>
      </x:c>
      <x:c r="K1067" s="81" t="n">
        <x:v>-0.9999999999999973</x:v>
      </x:c>
      <x:c r="L1067" s="81" t="n">
        <x:v>-0.9999999999999973</x:v>
      </x:c>
      <x:c r="M1067" s="80" t="n">
        <x:v>0.00037711262872398024</x:v>
      </x:c>
      <x:c r="N1067" s="82" t="n">
        <x:v>0.3384950124975703</x:v>
      </x:c>
      <x:c r="O1067" s="82" t="n">
        <x:v>0.11941994578293375</x:v>
      </x:c>
      <x:c r="P1067" s="80" t="n">
        <x:v>248.9790568282547</x:v>
      </x:c>
      <x:c r="Q1067" s="81" t="n">
        <x:v>2509.792393172154</x:v>
      </x:c>
      <x:c r="R1067" s="81" t="n">
        <x:v>12.245607465363657</x:v>
      </x:c>
      <x:c r="S1067" s="81" t="n">
        <x:v>3.845779942515595e-8</x:v>
      </x:c>
      <x:c r="T1067" s="81" t="n">
        <x:v>5.0448750127101275e-14</x:v>
      </x:c>
    </x:row>
    <x:row r="1068">
      <x:c r="A1068" s="59" t="n">
        <x:v>1065</x:v>
      </x:c>
      <x:c r="B1068" s="193" t="n">
        <x:v>0.7593415034934878</x:v>
      </x:c>
      <x:c r="C1068" s="83" t="n">
        <x:v>0.4461893222550903</x:v>
      </x:c>
      <x:c r="D1068" s="83" t="n">
        <x:v>1.8208238975078272</x:v>
      </x:c>
      <x:c r="E1068" s="81" t="n">
        <x:v>-0.08401911745360437</x:v>
      </x:c>
      <x:c r="F1068" s="81" t="n">
        <x:v>0.5517605204484426</x:v>
      </x:c>
      <x:c r="G1068" s="81" t="n">
        <x:v>-0.008170106027885194</x:v>
      </x:c>
      <x:c r="H1068" s="59" t="n">
        <x:v>0</x:v>
      </x:c>
      <x:c r="I1068" s="81" t="n">
        <x:v>0</x:v>
      </x:c>
      <x:c r="J1068" s="79" t="n">
        <x:v>9.640304547816934e-54</x:v>
      </x:c>
      <x:c r="K1068" s="81" t="n">
        <x:v>-1</x:v>
      </x:c>
      <x:c r="L1068" s="81" t="n">
        <x:v>-1</x:v>
      </x:c>
      <x:c r="M1068" s="80" t="n">
        <x:v>0.000002</x:v>
      </x:c>
      <x:c r="N1068" s="82" t="n">
        <x:v>0.28298313378533935</x:v>
      </x:c>
      <x:c r="O1068" s="82" t="n">
        <x:v>0.14749663628344253</x:v>
      </x:c>
      <x:c r="P1068" s="80" t="n">
        <x:v>329.00915079185756</x:v>
      </x:c>
      <x:c r="Q1068" s="81" t="n">
        <x:v>2.703727218560107e+36</x:v>
      </x:c>
      <x:c r="R1068" s="81" t="n">
        <x:v>2.495366620172766</x:v>
      </x:c>
      <x:c r="S1068" s="81" t="n">
        <x:v>9.98158307729061e-10</x:v>
      </x:c>
      <x:c r="T1068" s="81" t="n">
        <x:v>2.08830043403487e-49</x:v>
      </x:c>
    </x:row>
    <x:row r="1069">
      <x:c r="A1069" s="59" t="n">
        <x:v>1066</x:v>
      </x:c>
      <x:c r="B1069" s="193" t="n">
        <x:v>0.7892038134858013</x:v>
      </x:c>
      <x:c r="C1069" s="83" t="n">
        <x:v>1.6484181407539171</x:v>
      </x:c>
      <x:c r="D1069" s="83" t="n">
        <x:v>0.4178844809246481</x:v>
      </x:c>
      <x:c r="E1069" s="81" t="n">
        <x:v>0.01893044707674028</x:v>
      </x:c>
      <x:c r="F1069" s="81" t="n">
        <x:v>0.42361064855940644</x:v>
      </x:c>
      <x:c r="G1069" s="81" t="n">
        <x:v>0.009995958267744194</x:v>
      </x:c>
      <x:c r="H1069" s="59" t="n">
        <x:v>0</x:v>
      </x:c>
      <x:c r="I1069" s="81" t="n">
        <x:v>0</x:v>
      </x:c>
      <x:c r="J1069" s="79" t="n">
        <x:v>0.00015623227592919802</x:v>
      </x:c>
      <x:c r="K1069" s="81" t="n">
        <x:v>-0.821448827509488</x:v>
      </x:c>
      <x:c r="L1069" s="81" t="n">
        <x:v>-0.8610163194745937</x:v>
      </x:c>
      <x:c r="M1069" s="80" t="n">
        <x:v>5815.8397289330505</x:v>
      </x:c>
      <x:c r="N1069" s="82" t="n">
        <x:v>0.29009689594382054</x:v>
      </x:c>
      <x:c r="O1069" s="82" t="n">
        <x:v>0.11608627946491848</x:v>
      </x:c>
      <x:c r="P1069" s="80" t="n">
        <x:v>6440.300992945499</x:v>
      </x:c>
      <x:c r="Q1069" s="81" t="n">
        <x:v>0.011666437134307506</x:v>
      </x:c>
      <x:c r="R1069" s="81" t="n">
        <x:v>12.241286234668149</x:v>
      </x:c>
      <x:c r="S1069" s="81" t="n">
        <x:v>2.2209559471870075</x:v>
      </x:c>
      <x:c r="T1069" s="81" t="n">
        <x:v>3.3843321859274873</x:v>
      </x:c>
    </x:row>
    <x:row r="1070">
      <x:c r="A1070" s="59" t="n">
        <x:v>1067</x:v>
      </x:c>
      <x:c r="B1070" s="193" t="n">
        <x:v>0.6336535310372711</x:v>
      </x:c>
      <x:c r="C1070" s="83" t="n">
        <x:v>0.1461989961161842</x:v>
      </x:c>
      <x:c r="D1070" s="83" t="n">
        <x:v>2.18486857783972</x:v>
      </x:c>
      <x:c r="E1070" s="81" t="n">
        <x:v>0.06431553023136996</x:v>
      </x:c>
      <x:c r="F1070" s="81" t="n">
        <x:v>0.46034759756876154</x:v>
      </x:c>
      <x:c r="G1070" s="81" t="n">
        <x:v>-0.013459171164179827</x:v>
      </x:c>
      <x:c r="H1070" s="59" t="n">
        <x:v>0</x:v>
      </x:c>
      <x:c r="I1070" s="81" t="n">
        <x:v>0</x:v>
      </x:c>
      <x:c r="J1070" s="79" t="n">
        <x:v>0.009738233899197781</x:v>
      </x:c>
      <x:c r="K1070" s="81" t="n">
        <x:v>10.12941017051175</x:v>
      </x:c>
      <x:c r="L1070" s="81" t="n">
        <x:v>-0.8061054319249626</x:v>
      </x:c>
      <x:c r="M1070" s="80" t="n">
        <x:v>29866.631013363334</x:v>
      </x:c>
      <x:c r="N1070" s="82" t="n">
        <x:v>0.25304190209678484</x:v>
      </x:c>
      <x:c r="O1070" s="82" t="n">
        <x:v>0.11003966671795541</x:v>
      </x:c>
      <x:c r="P1070" s="80" t="n">
        <x:v>94938.110088095</x:v>
      </x:c>
      <x:c r="Q1070" s="81" t="n">
        <x:v>0.004578056372782237</x:v>
      </x:c>
      <x:c r="R1070" s="81" t="n">
        <x:v>2259.8376576676674</x:v>
      </x:c>
      <x:c r="S1070" s="81" t="n">
        <x:v>1258.960326422583</x:v>
      </x:c>
      <x:c r="T1070" s="81" t="n">
        <x:v>210.95140695563418</x:v>
      </x:c>
    </x:row>
    <x:row r="1071">
      <x:c r="A1071" s="59" t="n">
        <x:v>1068</x:v>
      </x:c>
      <x:c r="B1071" s="193" t="n">
        <x:v>0.9073784567415715</x:v>
      </x:c>
      <x:c r="C1071" s="83" t="n">
        <x:v>0.17687125341069285</x:v>
      </x:c>
      <x:c r="D1071" s="83" t="n">
        <x:v>0.33190051403219245</x:v>
      </x:c>
      <x:c r="E1071" s="81" t="n">
        <x:v>0.08753378746399185</x:v>
      </x:c>
      <x:c r="F1071" s="81" t="n">
        <x:v>0.41886967787286267</x:v>
      </x:c>
      <x:c r="G1071" s="81" t="n">
        <x:v>0.011023017818381373</x:v>
      </x:c>
      <x:c r="H1071" s="59" t="n">
        <x:v>0</x:v>
      </x:c>
      <x:c r="I1071" s="81" t="n">
        <x:v>0</x:v>
      </x:c>
      <x:c r="J1071" s="79" t="n">
        <x:v>0.00042281983957081045</x:v>
      </x:c>
      <x:c r="K1071" s="81" t="n">
        <x:v>-0.516777326204788</x:v>
      </x:c>
      <x:c r="L1071" s="81" t="n">
        <x:v>-0.8187091210127412</x:v>
      </x:c>
      <x:c r="M1071" s="80" t="n">
        <x:v>4652.383964583506</x:v>
      </x:c>
      <x:c r="N1071" s="82" t="n">
        <x:v>0.3182483117419061</x:v>
      </x:c>
      <x:c r="O1071" s="82" t="n">
        <x:v>0.12592616374615595</x:v>
      </x:c>
      <x:c r="P1071" s="80" t="n">
        <x:v>3403.36301224955</x:v>
      </x:c>
      <x:c r="Q1071" s="81" t="n">
        <x:v>0.0032798813936987235</x:v>
      </x:c>
      <x:c r="R1071" s="81" t="n">
        <x:v>141.2220772571429</x:v>
      </x:c>
      <x:c r="S1071" s="81" t="n">
        <x:v>45.095145160439834</x:v>
      </x:c>
      <x:c r="T1071" s="81" t="n">
        <x:v>9.159200833486416</x:v>
      </x:c>
    </x:row>
    <x:row r="1072">
      <x:c r="A1072" s="59" t="n">
        <x:v>1069</x:v>
      </x:c>
      <x:c r="B1072" s="193" t="n">
        <x:v>0.8318779962137341</x:v>
      </x:c>
      <x:c r="C1072" s="83" t="n">
        <x:v>0.8616888093333899</x:v>
      </x:c>
      <x:c r="D1072" s="83" t="n">
        <x:v>0.7997461121143834</x:v>
      </x:c>
      <x:c r="E1072" s="81" t="n">
        <x:v>0.001361290910233834</x:v>
      </x:c>
      <x:c r="F1072" s="81" t="n">
        <x:v>0.8866772355278955</x:v>
      </x:c>
      <x:c r="G1072" s="81" t="n">
        <x:v>0.0017322036724070232</x:v>
      </x:c>
      <x:c r="H1072" s="59" t="n">
        <x:v>8</x:v>
      </x:c>
      <x:c r="I1072" s="81" t="n">
        <x:v>0.20944614224135877</x:v>
      </x:c>
      <x:c r="J1072" s="79" t="n">
        <x:v>8.093602586726499e-7</x:v>
      </x:c>
      <x:c r="K1072" s="81" t="n">
        <x:v>-0.9990750168472312</x:v>
      </x:c>
      <x:c r="L1072" s="81" t="n">
        <x:v>-0.9990750168472312</x:v>
      </x:c>
      <x:c r="M1072" s="80" t="n">
        <x:v>287.4140792595761</x:v>
      </x:c>
      <x:c r="N1072" s="82" t="n">
        <x:v>0.3002626864105406</x:v>
      </x:c>
      <x:c r="O1072" s="82" t="n">
        <x:v>0.2514999287020775</x:v>
      </x:c>
      <x:c r="P1072" s="80" t="n">
        <x:v>1901.2445487747568</x:v>
      </x:c>
      <x:c r="Q1072" s="81" t="n">
        <x:v>0.1201680250433359</x:v>
      </x:c>
      <x:c r="R1072" s="81" t="n">
        <x:v>9.120259892556664</x:v>
      </x:c>
      <x:c r="S1072" s="81" t="n">
        <x:v>0.07288285160129307</x:v>
      </x:c>
      <x:c r="T1072" s="81" t="n">
        <x:v>0.01753251021368838</x:v>
      </x:c>
    </x:row>
    <x:row r="1073">
      <x:c r="A1073" s="59" t="n">
        <x:v>1070</x:v>
      </x:c>
      <x:c r="B1073" s="193" t="n">
        <x:v>0.9519314544275403</x:v>
      </x:c>
      <x:c r="C1073" s="83" t="n">
        <x:v>0.5728516085229673</x:v>
      </x:c>
      <x:c r="D1073" s="83" t="n">
        <x:v>1.3660772000856403</x:v>
      </x:c>
      <x:c r="E1073" s="81" t="n">
        <x:v>0.0486255521781609</x:v>
      </x:c>
      <x:c r="F1073" s="81" t="n">
        <x:v>0.6346311006811447</x:v>
      </x:c>
      <x:c r="G1073" s="81" t="n">
        <x:v>-0.03748532977225491</x:v>
      </x:c>
      <x:c r="H1073" s="59" t="n">
        <x:v>0</x:v>
      </x:c>
      <x:c r="I1073" s="81" t="n">
        <x:v>0</x:v>
      </x:c>
      <x:c r="J1073" s="79" t="n">
        <x:v>0.0005786287007533843</x:v>
      </x:c>
      <x:c r="K1073" s="81" t="n">
        <x:v>-0.33871005628184636</x:v>
      </x:c>
      <x:c r="L1073" s="81" t="n">
        <x:v>-0.8327428341294469</x:v>
      </x:c>
      <x:c r="M1073" s="80" t="n">
        <x:v>7887.059351847925</x:v>
      </x:c>
      <x:c r="N1073" s="82" t="n">
        <x:v>0.3288616711594108</x:v>
      </x:c>
      <x:c r="O1073" s="82" t="n">
        <x:v>0.19715398173015802</x:v>
      </x:c>
      <x:c r="P1073" s="80" t="n">
        <x:v>20591.507544588556</x:v>
      </x:c>
      <x:c r="Q1073" s="81" t="n">
        <x:v>0.009313642780900194</x:v>
      </x:c>
      <x:c r="R1073" s="81" t="n">
        <x:v>108.3985102089303</x:v>
      </x:c>
      <x:c r="S1073" s="81" t="n">
        <x:v>20.72405061505012</x:v>
      </x:c>
      <x:c r="T1073" s="81" t="n">
        <x:v>12.53436093159483</x:v>
      </x:c>
    </x:row>
    <x:row r="1074">
      <x:c r="A1074" s="59" t="n">
        <x:v>1071</x:v>
      </x:c>
      <x:c r="B1074" s="193" t="n">
        <x:v>0.23879137076437473</x:v>
      </x:c>
      <x:c r="C1074" s="83" t="n">
        <x:v>1.1467122377850343</x:v>
      </x:c>
      <x:c r="D1074" s="83" t="n">
        <x:v>1.3850622431172952</x:v>
      </x:c>
      <x:c r="E1074" s="81" t="n">
        <x:v>-0.021679144795177626</x:v>
      </x:c>
      <x:c r="F1074" s="81" t="n">
        <x:v>0.6198970158002339</x:v>
      </x:c>
      <x:c r="G1074" s="81" t="n">
        <x:v>0.020924104811081447</x:v>
      </x:c>
      <x:c r="H1074" s="59" t="n">
        <x:v>0</x:v>
      </x:c>
      <x:c r="I1074" s="81" t="n">
        <x:v>0</x:v>
      </x:c>
      <x:c r="J1074" s="79" t="n">
        <x:v>4.4693966712526e-24</x:v>
      </x:c>
      <x:c r="K1074" s="81" t="n">
        <x:v>-1</x:v>
      </x:c>
      <x:c r="L1074" s="81" t="n">
        <x:v>-1</x:v>
      </x:c>
      <x:c r="M1074" s="80" t="n">
        <x:v>0.000002</x:v>
      </x:c>
      <x:c r="N1074" s="82" t="n">
        <x:v>0.15897833185427587</x:v>
      </x:c>
      <x:c r="O1074" s="82" t="n">
        <x:v>0.0930954430574853</x:v>
      </x:c>
      <x:c r="P1074" s="80" t="n">
        <x:v>1426.2853068548486</x:v>
      </x:c>
      <x:c r="Q1074" s="81" t="n">
        <x:v>21301897.077085678</x:v>
      </x:c>
      <x:c r="R1074" s="81" t="n">
        <x:v>5.242020110749643</x:v>
      </x:c>
      <x:c r="S1074" s="81" t="n">
        <x:v>7.271432382178371e-10</x:v>
      </x:c>
      <x:c r="T1074" s="81" t="n">
        <x:v>9.681688957185883e-20</x:v>
      </x:c>
    </x:row>
    <x:row r="1075">
      <x:c r="A1075" s="59" t="n">
        <x:v>1072</x:v>
      </x:c>
      <x:c r="B1075" s="193" t="n">
        <x:v>0.3163967240601778</x:v>
      </x:c>
      <x:c r="C1075" s="83" t="n">
        <x:v>0.2819866365529515</x:v>
      </x:c>
      <x:c r="D1075" s="83" t="n">
        <x:v>0.43131318153198517</x:v>
      </x:c>
      <x:c r="E1075" s="81" t="n">
        <x:v>-0.006133301603868224</x:v>
      </x:c>
      <x:c r="F1075" s="81" t="n">
        <x:v>0.4513597112614661</x:v>
      </x:c>
      <x:c r="G1075" s="81" t="n">
        <x:v>0.03669205548197876</x:v>
      </x:c>
      <x:c r="H1075" s="59" t="n">
        <x:v>0</x:v>
      </x:c>
      <x:c r="I1075" s="81" t="n">
        <x:v>0</x:v>
      </x:c>
      <x:c r="J1075" s="79" t="n">
        <x:v>9.077929850279222e-8</x:v>
      </x:c>
      <x:c r="K1075" s="81" t="n">
        <x:v>-0.9998962522302826</x:v>
      </x:c>
      <x:c r="L1075" s="81" t="n">
        <x:v>-0.9998962522302826</x:v>
      </x:c>
      <x:c r="M1075" s="80" t="n">
        <x:v>66.18994087517069</x:v>
      </x:c>
      <x:c r="N1075" s="82" t="n">
        <x:v>0.17746538210971038</x:v>
      </x:c>
      <x:c r="O1075" s="82" t="n">
        <x:v>0.07566715082980272</x:v>
      </x:c>
      <x:c r="P1075" s="80" t="n">
        <x:v>929.7794231282877</x:v>
      </x:c>
      <x:c r="Q1075" s="81" t="n">
        <x:v>0.09493311336969995</x:v>
      </x:c>
      <x:c r="R1075" s="81" t="n">
        <x:v>37.64017189234974</x:v>
      </x:c>
      <x:c r="S1075" s="81" t="n">
        <x:v>0.021235954005616772</x:v>
      </x:c>
      <x:c r="T1075" s="81" t="n">
        <x:v>0.0019664777966759517</x:v>
      </x:c>
    </x:row>
    <x:row r="1076">
      <x:c r="A1076" s="59" t="n">
        <x:v>1073</x:v>
      </x:c>
      <x:c r="B1076" s="193" t="n">
        <x:v>0.9724822031334044</x:v>
      </x:c>
      <x:c r="C1076" s="83" t="n">
        <x:v>0.45092259793726647</x:v>
      </x:c>
      <x:c r="D1076" s="83" t="n">
        <x:v>1.203537149954985</x:v>
      </x:c>
      <x:c r="E1076" s="81" t="n">
        <x:v>-0.000524417599045667</x:v>
      </x:c>
      <x:c r="F1076" s="81" t="n">
        <x:v>0.3810748366522603</x:v>
      </x:c>
      <x:c r="G1076" s="81" t="n">
        <x:v>-0.02403960930596337</x:v>
      </x:c>
      <x:c r="H1076" s="59" t="n">
        <x:v>0</x:v>
      </x:c>
      <x:c r="I1076" s="81" t="n">
        <x:v>0</x:v>
      </x:c>
      <x:c r="J1076" s="79" t="n">
        <x:v>6.784872947189179e-7</x:v>
      </x:c>
      <x:c r="K1076" s="81" t="n">
        <x:v>-0.9992245859488926</x:v>
      </x:c>
      <x:c r="L1076" s="81" t="n">
        <x:v>-0.9992245859488926</x:v>
      </x:c>
      <x:c r="M1076" s="80" t="n">
        <x:v>204.18482092686847</x:v>
      </x:c>
      <x:c r="N1076" s="82" t="n">
        <x:v>0.33375724482768515</x:v>
      </x:c>
      <x:c r="O1076" s="82" t="n">
        <x:v>0.12014671904812149</x:v>
      </x:c>
      <x:c r="P1076" s="80" t="n">
        <x:v>2574.227990012597</x:v>
      </x:c>
      <x:c r="Q1076" s="81" t="n">
        <x:v>0.10324640316634336</x:v>
      </x:c>
      <x:c r="R1076" s="81" t="n">
        <x:v>23.70872978446989</x:v>
      </x:c>
      <x:c r="S1076" s="81" t="n">
        <x:v>0.08334655100423208</x:v>
      </x:c>
      <x:c r="T1076" s="81" t="n">
        <x:v>0.014697516090085735</x:v>
      </x:c>
    </x:row>
    <x:row r="1077">
      <x:c r="A1077" s="59" t="n">
        <x:v>1074</x:v>
      </x:c>
      <x:c r="B1077" s="193" t="n">
        <x:v>0.9174670293927194</x:v>
      </x:c>
      <x:c r="C1077" s="83" t="n">
        <x:v>1.4735613001662022</x:v>
      </x:c>
      <x:c r="D1077" s="83" t="n">
        <x:v>0.3541758474566389</x:v>
      </x:c>
      <x:c r="E1077" s="81" t="n">
        <x:v>0.011802099110430208</x:v>
      </x:c>
      <x:c r="F1077" s="81" t="n">
        <x:v>0.6003196965204551</x:v>
      </x:c>
      <x:c r="G1077" s="81" t="n">
        <x:v>-0.0014153770640548673</x:v>
      </x:c>
      <x:c r="H1077" s="59" t="n">
        <x:v>8</x:v>
      </x:c>
      <x:c r="I1077" s="81" t="n">
        <x:v>0.4499101994559169</x:v>
      </x:c>
      <x:c r="J1077" s="79" t="n">
        <x:v>0.000012947281138732706</x:v>
      </x:c>
      <x:c r="K1077" s="81" t="n">
        <x:v>-0.9852031072700198</x:v>
      </x:c>
      <x:c r="L1077" s="81" t="n">
        <x:v>-0.9852031072700198</x:v>
      </x:c>
      <x:c r="M1077" s="80" t="n">
        <x:v>1541.022785302192</x:v>
      </x:c>
      <x:c r="N1077" s="82" t="n">
        <x:v>0.32065159890814715</x:v>
      </x:c>
      <x:c r="O1077" s="82" t="n">
        <x:v>0.1818389623689342</x:v>
      </x:c>
      <x:c r="P1077" s="80" t="n">
        <x:v>2106.746235600454</x:v>
      </x:c>
      <x:c r="Q1077" s="81" t="n">
        <x:v>0.023368287477212184</x:v>
      </x:c>
      <x:c r="R1077" s="81" t="n">
        <x:v>6.635460535046534</x:v>
      </x:c>
      <x:c r="S1077" s="81" t="n">
        <x:v>0.2592444104645008</x:v>
      </x:c>
      <x:c r="T1077" s="81" t="n">
        <x:v>0.28046637621743764</x:v>
      </x:c>
    </x:row>
    <x:row r="1078">
      <x:c r="A1078" s="59" t="n">
        <x:v>1075</x:v>
      </x:c>
      <x:c r="B1078" s="193" t="n">
        <x:v>0.4243722587823868</x:v>
      </x:c>
      <x:c r="C1078" s="83" t="n">
        <x:v>1.319351333256805</x:v>
      </x:c>
      <x:c r="D1078" s="83" t="n">
        <x:v>0.6533623740549529</x:v>
      </x:c>
      <x:c r="E1078" s="81" t="n">
        <x:v>0.05510199658599132</x:v>
      </x:c>
      <x:c r="F1078" s="81" t="n">
        <x:v>0.5635084119159728</x:v>
      </x:c>
      <x:c r="G1078" s="81" t="n">
        <x:v>0.04187915113762901</x:v>
      </x:c>
      <x:c r="H1078" s="59" t="n">
        <x:v>0</x:v>
      </x:c>
      <x:c r="I1078" s="81" t="n">
        <x:v>0</x:v>
      </x:c>
      <x:c r="J1078" s="79" t="n">
        <x:v>0.007180760304834031</x:v>
      </x:c>
      <x:c r="K1078" s="81" t="n">
        <x:v>7.206583205524607</x:v>
      </x:c>
      <x:c r="L1078" s="81" t="n">
        <x:v>-0.549870240926797</x:v>
      </x:c>
      <x:c r="M1078" s="80" t="n">
        <x:v>39902.15641498345</x:v>
      </x:c>
      <x:c r="N1078" s="82" t="n">
        <x:v>0.20318717902181677</x:v>
      </x:c>
      <x:c r="O1078" s="82" t="n">
        <x:v>0.10816024095406147</x:v>
      </x:c>
      <x:c r="P1078" s="80" t="n">
        <x:v>51902.40959068527</x:v>
      </x:c>
      <x:c r="Q1078" s="81" t="n">
        <x:v>0.004684324074605219</x:v>
      </x:c>
      <x:c r="R1078" s="81" t="n">
        <x:v>55.48129472940372</x:v>
      </x:c>
      <x:c r="S1078" s="81" t="n">
        <x:v>109.53202012522198</x:v>
      </x:c>
      <x:c r="T1078" s="81" t="n">
        <x:v>155.5509453763165</x:v>
      </x:c>
    </x:row>
    <x:row r="1079">
      <x:c r="A1079" s="59" t="n">
        <x:v>1076</x:v>
      </x:c>
      <x:c r="B1079" s="193" t="n">
        <x:v>0.9386414518579842</x:v>
      </x:c>
      <x:c r="C1079" s="83" t="n">
        <x:v>0.12448165409367294</x:v>
      </x:c>
      <x:c r="D1079" s="83" t="n">
        <x:v>1.0335779248467813</x:v>
      </x:c>
      <x:c r="E1079" s="81" t="n">
        <x:v>0.0557245269613983</x:v>
      </x:c>
      <x:c r="F1079" s="81" t="n">
        <x:v>0.3857113820384257</x:v>
      </x:c>
      <x:c r="G1079" s="81" t="n">
        <x:v>0.0010796564334976124</x:v>
      </x:c>
      <x:c r="H1079" s="59" t="n">
        <x:v>60</x:v>
      </x:c>
      <x:c r="I1079" s="81" t="n">
        <x:v>0.2600764514878392</x:v>
      </x:c>
      <x:c r="J1079" s="79" t="n">
        <x:v>0.0015141501139857981</x:v>
      </x:c>
      <x:c r="K1079" s="81" t="n">
        <x:v>0.7304572731266266</x:v>
      </x:c>
      <x:c r="L1079" s="81" t="n">
        <x:v>-0.8948319464354477</x:v>
      </x:c>
      <x:c r="M1079" s="80" t="n">
        <x:v>9269.186297914757</x:v>
      </x:c>
      <x:c r="N1079" s="82" t="n">
        <x:v>0.32569574335979407</x:v>
      </x:c>
      <x:c r="O1079" s="82" t="n">
        <x:v>0.1186712396958054</x:v>
      </x:c>
      <x:c r="P1079" s="80" t="n">
        <x:v>17554.10886767312</x:v>
      </x:c>
      <x:c r="Q1079" s="81" t="n">
        <x:v>0.005099803214819982</x:v>
      </x:c>
      <x:c r="R1079" s="81" t="n">
        <x:v>489.04080112491835</x:v>
      </x:c>
      <x:c r="S1079" s="81" t="n">
        <x:v>229.80996467635632</x:v>
      </x:c>
      <x:c r="T1079" s="81" t="n">
        <x:v>32.79979719049987</x:v>
      </x:c>
    </x:row>
    <x:row r="1080">
      <x:c r="A1080" s="59" t="n">
        <x:v>1077</x:v>
      </x:c>
      <x:c r="B1080" s="193" t="n">
        <x:v>0.8355697391554713</x:v>
      </x:c>
      <x:c r="C1080" s="83" t="n">
        <x:v>1.4034968858491015</x:v>
      </x:c>
      <x:c r="D1080" s="83" t="n">
        <x:v>0.4932099232759315</x:v>
      </x:c>
      <x:c r="E1080" s="81" t="n">
        <x:v>-0.03437898375831426</x:v>
      </x:c>
      <x:c r="F1080" s="81" t="n">
        <x:v>0.3765788960386999</x:v>
      </x:c>
      <x:c r="G1080" s="81" t="n">
        <x:v>0.01683708681950497</x:v>
      </x:c>
      <x:c r="H1080" s="59" t="n">
        <x:v>0</x:v>
      </x:c>
      <x:c r="I1080" s="81" t="n">
        <x:v>0</x:v>
      </x:c>
      <x:c r="J1080" s="79" t="n">
        <x:v>6.464993673533618e-16</x:v>
      </x:c>
      <x:c r="K1080" s="81" t="n">
        <x:v>-0.9999999999992611</x:v>
      </x:c>
      <x:c r="L1080" s="81" t="n">
        <x:v>-0.9999999999992611</x:v>
      </x:c>
      <x:c r="M1080" s="80" t="n">
        <x:v>0.010764643559297423</x:v>
      </x:c>
      <x:c r="N1080" s="82" t="n">
        <x:v>0.30114212879944224</x:v>
      </x:c>
      <x:c r="O1080" s="82" t="n">
        <x:v>0.10712687491369564</x:v>
      </x:c>
      <x:c r="P1080" s="80" t="n">
        <x:v>882.0008250043905</x:v>
      </x:c>
      <x:c r="Q1080" s="81" t="n">
        <x:v>506.03138601704563</x:v>
      </x:c>
      <x:c r="R1080" s="81" t="n">
        <x:v>5.301700777469721</x:v>
      </x:c>
      <x:c r="S1080" s="81" t="n">
        <x:v>0.0000012342334979981223</x:v>
      </x:c>
      <x:c r="T1080" s="81" t="n">
        <x:v>1.4004587746691296e-11</x:v>
      </x:c>
    </x:row>
    <x:row r="1081">
      <x:c r="A1081" s="59" t="n">
        <x:v>1078</x:v>
      </x:c>
      <x:c r="B1081" s="193" t="n">
        <x:v>0.6776556981727482</x:v>
      </x:c>
      <x:c r="C1081" s="83" t="n">
        <x:v>0.42213572094001234</x:v>
      </x:c>
      <x:c r="D1081" s="83" t="n">
        <x:v>0.7682572349811259</x:v>
      </x:c>
      <x:c r="E1081" s="81" t="n">
        <x:v>0.07490328380608935</x:v>
      </x:c>
      <x:c r="F1081" s="81" t="n">
        <x:v>0.6072194693959319</x:v>
      </x:c>
      <x:c r="G1081" s="81" t="n">
        <x:v>-0.016225290843367043</x:v>
      </x:c>
      <x:c r="H1081" s="59" t="n">
        <x:v>48</x:v>
      </x:c>
      <x:c r="I1081" s="81" t="n">
        <x:v>0.450924682803452</x:v>
      </x:c>
      <x:c r="J1081" s="79" t="n">
        <x:v>0.0009832437499614044</x:v>
      </x:c>
      <x:c r="K1081" s="81" t="n">
        <x:v>0.12370714281303363</x:v>
      </x:c>
      <x:c r="L1081" s="81" t="n">
        <x:v>-0.9022964135000733</x:v>
      </x:c>
      <x:c r="M1081" s="80" t="n">
        <x:v>9256.745369996082</x:v>
      </x:c>
      <x:c r="N1081" s="82" t="n">
        <x:v>0.2635240433490896</x:v>
      </x:c>
      <x:c r="O1081" s="82" t="n">
        <x:v>0.1511599972165662</x:v>
      </x:c>
      <x:c r="P1081" s="80" t="n">
        <x:v>13437.233337190331</x:v>
      </x:c>
      <x:c r="Q1081" s="81" t="n">
        <x:v>0.0048609133630892224</x:v>
      </x:c>
      <x:c r="R1081" s="81" t="n">
        <x:v>143.08289975747547</x:v>
      </x:c>
      <x:c r="S1081" s="81" t="n">
        <x:v>45.16296896898699</x:v>
      </x:c>
      <x:c r="T1081" s="81" t="n">
        <x:v>21.29920626077575</x:v>
      </x:c>
    </x:row>
    <x:row r="1082">
      <x:c r="A1082" s="59" t="n">
        <x:v>1079</x:v>
      </x:c>
      <x:c r="B1082" s="193" t="n">
        <x:v>0.4531877657398582</x:v>
      </x:c>
      <x:c r="C1082" s="83" t="n">
        <x:v>2.0413084298561053</x:v>
      </x:c>
      <x:c r="D1082" s="83" t="n">
        <x:v>0.7990341250640545</x:v>
      </x:c>
      <x:c r="E1082" s="81" t="n">
        <x:v>0.021516888939109968</x:v>
      </x:c>
      <x:c r="F1082" s="81" t="n">
        <x:v>0.6628663035226054</x:v>
      </x:c>
      <x:c r="G1082" s="81" t="n">
        <x:v>-0.017779516964839603</x:v>
      </x:c>
      <x:c r="H1082" s="59" t="n">
        <x:v>0</x:v>
      </x:c>
      <x:c r="I1082" s="81" t="n">
        <x:v>0</x:v>
      </x:c>
      <x:c r="J1082" s="79" t="n">
        <x:v>0.000439461612288872</x:v>
      </x:c>
      <x:c r="K1082" s="81" t="n">
        <x:v>-0.4977581573841462</x:v>
      </x:c>
      <x:c r="L1082" s="81" t="n">
        <x:v>-0.7120512892562959</x:v>
      </x:c>
      <x:c r="M1082" s="80" t="n">
        <x:v>11515.889061070206</x:v>
      </x:c>
      <x:c r="N1082" s="82" t="n">
        <x:v>0.2100515730698419</x:v>
      </x:c>
      <x:c r="O1082" s="82" t="n">
        <x:v>0.13152939503224267</x:v>
      </x:c>
      <x:c r="P1082" s="80" t="n">
        <x:v>20138.04576051011</x:v>
      </x:c>
      <x:c r="Q1082" s="81" t="n">
        <x:v>0.012584759987647662</x:v>
      </x:c>
      <x:c r="R1082" s="81" t="n">
        <x:v>16.473871123690135</x:v>
      </x:c>
      <x:c r="S1082" s="81" t="n">
        <x:v>5.084568923002754</x:v>
      </x:c>
      <x:c r="T1082" s="81" t="n">
        <x:v>9.519697963196988</x:v>
      </x:c>
    </x:row>
    <x:row r="1083">
      <x:c r="A1083" s="59" t="n">
        <x:v>1080</x:v>
      </x:c>
      <x:c r="B1083" s="193" t="n">
        <x:v>0.4378274315968156</x:v>
      </x:c>
      <x:c r="C1083" s="83" t="n">
        <x:v>0.3195110985283935</x:v>
      </x:c>
      <x:c r="D1083" s="83" t="n">
        <x:v>0.7418066109016899</x:v>
      </x:c>
      <x:c r="E1083" s="81" t="n">
        <x:v>-0.013235507953112537</x:v>
      </x:c>
      <x:c r="F1083" s="81" t="n">
        <x:v>0.3153195819933899</x:v>
      </x:c>
      <x:c r="G1083" s="81" t="n">
        <x:v>-0.04308777493466564</x:v>
      </x:c>
      <x:c r="H1083" s="59" t="n">
        <x:v>0</x:v>
      </x:c>
      <x:c r="I1083" s="81" t="n">
        <x:v>0</x:v>
      </x:c>
      <x:c r="J1083" s="79" t="n">
        <x:v>1.7822128440954221e-9</x:v>
      </x:c>
      <x:c r="K1083" s="81" t="n">
        <x:v>-0.9999979631853211</x:v>
      </x:c>
      <x:c r="L1083" s="81" t="n">
        <x:v>-0.9999979631853211</x:v>
      </x:c>
      <x:c r="M1083" s="80" t="n">
        <x:v>9.601420339266891</x:v>
      </x:c>
      <x:c r="N1083" s="82" t="n">
        <x:v>0.2063924534707038</x:v>
      </x:c>
      <x:c r="O1083" s="82" t="n">
        <x:v>0.061477429114546435</x:v>
      </x:c>
      <x:c r="P1083" s="80" t="n">
        <x:v>999.7609967214703</x:v>
      </x:c>
      <x:c r="Q1083" s="81" t="n">
        <x:v>0.4067863923900804</x:v>
      </x:c>
      <x:c r="R1083" s="81" t="n">
        <x:v>27.57290467771492</x:v>
      </x:c>
      <x:c r="S1083" s="81" t="n">
        <x:v>0.0015029434060251788</x:v>
      </x:c>
      <x:c r="T1083" s="81" t="n">
        <x:v>0.00003860662116436765</x:v>
      </x:c>
    </x:row>
    <x:row r="1084">
      <x:c r="A1084" s="59" t="n">
        <x:v>1081</x:v>
      </x:c>
      <x:c r="B1084" s="193" t="n">
        <x:v>0.798905473947525</x:v>
      </x:c>
      <x:c r="C1084" s="83" t="n">
        <x:v>0.18903939123859684</x:v>
      </x:c>
      <x:c r="D1084" s="83" t="n">
        <x:v>2.032696358544999</x:v>
      </x:c>
      <x:c r="E1084" s="81" t="n">
        <x:v>0.06222534162057297</x:v>
      </x:c>
      <x:c r="F1084" s="81" t="n">
        <x:v>0.6991673735901713</x:v>
      </x:c>
      <x:c r="G1084" s="81" t="n">
        <x:v>0.004484355706602655</x:v>
      </x:c>
      <x:c r="H1084" s="59" t="n">
        <x:v>0</x:v>
      </x:c>
      <x:c r="I1084" s="81" t="n">
        <x:v>0</x:v>
      </x:c>
      <x:c r="J1084" s="79" t="n">
        <x:v>0.004090691737840046</x:v>
      </x:c>
      <x:c r="K1084" s="81" t="n">
        <x:v>3.675076271817195</x:v>
      </x:c>
      <x:c r="L1084" s="81" t="n">
        <x:v>-0.8242260898666864</x:v>
      </x:c>
      <x:c r="M1084" s="80" t="n">
        <x:v>20133.54716971109</x:v>
      </x:c>
      <x:c r="N1084" s="82" t="n">
        <x:v>0.2924080133719369</x:v>
      </x:c>
      <x:c r="O1084" s="82" t="n">
        <x:v>0.1931262758807049</x:v>
      </x:c>
      <x:c r="P1084" s="80" t="n">
        <x:v>61808.53616853215</x:v>
      </x:c>
      <x:c r="Q1084" s="81" t="n">
        <x:v>0.008222397380457004</x:v>
      </x:c>
      <x:c r="R1084" s="81" t="n">
        <x:v>636.279612188287</x:v>
      </x:c>
      <x:c r="S1084" s="81" t="n">
        <x:v>418.43294106096397</x:v>
      </x:c>
      <x:c r="T1084" s="81" t="n">
        <x:v>88.61331391826941</x:v>
      </x:c>
    </x:row>
    <x:row r="1085">
      <x:c r="A1085" s="59" t="n">
        <x:v>1082</x:v>
      </x:c>
      <x:c r="B1085" s="193" t="n">
        <x:v>0.4628644799813628</x:v>
      </x:c>
      <x:c r="C1085" s="83" t="n">
        <x:v>0.7239902652662086</x:v>
      </x:c>
      <x:c r="D1085" s="83" t="n">
        <x:v>0.627412580506838</x:v>
      </x:c>
      <x:c r="E1085" s="81" t="n">
        <x:v>0.02717560467882729</x:v>
      </x:c>
      <x:c r="F1085" s="81" t="n">
        <x:v>0.4873569033341483</x:v>
      </x:c>
      <x:c r="G1085" s="81" t="n">
        <x:v>0.017120655728789676</x:v>
      </x:c>
      <x:c r="H1085" s="59" t="n">
        <x:v>0</x:v>
      </x:c>
      <x:c r="I1085" s="81" t="n">
        <x:v>0</x:v>
      </x:c>
      <x:c r="J1085" s="79" t="n">
        <x:v>0.0005555963369037076</x:v>
      </x:c>
      <x:c r="K1085" s="81" t="n">
        <x:v>-0.3650327578243341</x:v>
      </x:c>
      <x:c r="L1085" s="81" t="n">
        <x:v>-0.7407410482784174</x:v>
      </x:c>
      <x:c r="M1085" s="80" t="n">
        <x:v>7442.992712974379</x:v>
      </x:c>
      <x:c r="N1085" s="82" t="n">
        <x:v>0.2123567478405603</x:v>
      </x:c>
      <x:c r="O1085" s="82" t="n">
        <x:v>0.09776516322171526</x:v>
      </x:c>
      <x:c r="P1085" s="80" t="n">
        <x:v>10272.24565874283</x:v>
      </x:c>
      <x:c r="Q1085" s="81" t="n">
        <x:v>0.007611242912354943</x:v>
      </x:c>
      <x:c r="R1085" s="81" t="n">
        <x:v>36.30722463563883</x:v>
      </x:c>
      <x:c r="S1085" s="81" t="n">
        <x:v>15.741985675179727</x:v>
      </x:c>
      <x:c r="T1085" s="81" t="n">
        <x:v>12.035429645912357</x:v>
      </x:c>
    </x:row>
    <x:row r="1086">
      <x:c r="A1086" s="59" t="n">
        <x:v>1083</x:v>
      </x:c>
      <x:c r="B1086" s="193" t="n">
        <x:v>0.3903428351506591</x:v>
      </x:c>
      <x:c r="C1086" s="83" t="n">
        <x:v>2.9603175596557225</x:v>
      </x:c>
      <x:c r="D1086" s="83" t="n">
        <x:v>1.52160095532891</x:v>
      </x:c>
      <x:c r="E1086" s="81" t="n">
        <x:v>0.03547312586459222</x:v>
      </x:c>
      <x:c r="F1086" s="81" t="n">
        <x:v>0.7145265204831959</x:v>
      </x:c>
      <x:c r="G1086" s="81" t="n">
        <x:v>0.010139207802212351</x:v>
      </x:c>
      <x:c r="H1086" s="59" t="n">
        <x:v>85</x:v>
      </x:c>
      <x:c r="I1086" s="81" t="n">
        <x:v>0.32620478682219983</x:v>
      </x:c>
      <x:c r="J1086" s="79" t="n">
        <x:v>0.01628655768645282</x:v>
      </x:c>
      <x:c r="K1086" s="81" t="n">
        <x:v>17.613208784517507</x:v>
      </x:c>
      <x:c r="L1086" s="81" t="n">
        <x:v>-0.8206467314250826</x:v>
      </x:c>
      <x:c r="M1086" s="80" t="n">
        <x:v>106507.71219415683</x:v>
      </x:c>
      <x:c r="N1086" s="82" t="n">
        <x:v>0.19508073226104594</x:v>
      </x:c>
      <x:c r="O1086" s="82" t="n">
        <x:v>0.1316751045084794</x:v>
      </x:c>
      <x:c r="P1086" s="80" t="n">
        <x:v>280931.9008948152</x:v>
      </x:c>
      <x:c r="Q1086" s="81" t="n">
        <x:v>0.009247146085095035</x:v>
      </x:c>
      <x:c r="R1086" s="81" t="n">
        <x:v>79.03079433706236</x:v>
      </x:c>
      <x:c r="S1086" s="81" t="n">
        <x:v>123.0041359058254</x:v>
      </x:c>
      <x:c r="T1086" s="81" t="n">
        <x:v>352.8023966136555</x:v>
      </x:c>
    </x:row>
    <x:row r="1087">
      <x:c r="A1087" s="59" t="n">
        <x:v>1084</x:v>
      </x:c>
      <x:c r="B1087" s="193" t="n">
        <x:v>0.22226624451577665</x:v>
      </x:c>
      <x:c r="C1087" s="83" t="n">
        <x:v>1.3708471908188848</x:v>
      </x:c>
      <x:c r="D1087" s="83" t="n">
        <x:v>0.8030875968623321</x:v>
      </x:c>
      <x:c r="E1087" s="81" t="n">
        <x:v>0.01339973129783315</x:v>
      </x:c>
      <x:c r="F1087" s="81" t="n">
        <x:v>0.7398394215386361</x:v>
      </x:c>
      <x:c r="G1087" s="81" t="n">
        <x:v>-0.025201110661763115</x:v>
      </x:c>
      <x:c r="H1087" s="59" t="n">
        <x:v>0</x:v>
      </x:c>
      <x:c r="I1087" s="81" t="n">
        <x:v>0</x:v>
      </x:c>
      <x:c r="J1087" s="79" t="n">
        <x:v>0.0001297456749668847</x:v>
      </x:c>
      <x:c r="K1087" s="81" t="n">
        <x:v>-0.8517192286092746</x:v>
      </x:c>
      <x:c r="L1087" s="81" t="n">
        <x:v>-0.8700845857363594</x:v>
      </x:c>
      <x:c r="M1087" s="80" t="n">
        <x:v>4762.477513092616</x:v>
      </x:c>
      <x:c r="N1087" s="82" t="n">
        <x:v>0.1550417369357425</x:v>
      </x:c>
      <x:c r="O1087" s="82" t="n">
        <x:v>0.10835701570818679</x:v>
      </x:c>
      <x:c r="P1087" s="80" t="n">
        <x:v>9723.527227754419</x:v>
      </x:c>
      <x:c r="Q1087" s="81" t="n">
        <x:v>0.015113146018347633</x:v>
      </x:c>
      <x:c r="R1087" s="81" t="n">
        <x:v>17.03990670201845</x:v>
      </x:c>
      <x:c r="S1087" s="81" t="n">
        <x:v>2.282322688706564</x:v>
      </x:c>
      <x:c r="T1087" s="81" t="n">
        <x:v>2.810574583028595</x:v>
      </x:c>
    </x:row>
    <x:row r="1088">
      <x:c r="A1088" s="59" t="n">
        <x:v>1085</x:v>
      </x:c>
      <x:c r="B1088" s="193" t="n">
        <x:v>0.858490726724267</x:v>
      </x:c>
      <x:c r="C1088" s="83" t="n">
        <x:v>0.24044374210579988</x:v>
      </x:c>
      <x:c r="D1088" s="83" t="n">
        <x:v>0.37737289345097275</x:v>
      </x:c>
      <x:c r="E1088" s="81" t="n">
        <x:v>-0.10233542421494274</x:v>
      </x:c>
      <x:c r="F1088" s="81" t="n">
        <x:v>0.5566067687817849</x:v>
      </x:c>
      <x:c r="G1088" s="81" t="n">
        <x:v>0.009876874672631744</x:v>
      </x:c>
      <x:c r="H1088" s="59" t="n">
        <x:v>0</x:v>
      </x:c>
      <x:c r="I1088" s="81" t="n">
        <x:v>0</x:v>
      </x:c>
      <x:c r="J1088" s="79" t="n">
        <x:v>5.756158754697662e-26</x:v>
      </x:c>
      <x:c r="K1088" s="81" t="n">
        <x:v>-1</x:v>
      </x:c>
      <x:c r="L1088" s="81" t="n">
        <x:v>-1</x:v>
      </x:c>
      <x:c r="M1088" s="80" t="n">
        <x:v>0.000002</x:v>
      </x:c>
      <x:c r="N1088" s="82" t="n">
        <x:v>0.3066023378068463</x:v>
      </x:c>
      <x:c r="O1088" s="82" t="n">
        <x:v>0.16121107991332925</x:v>
      </x:c>
      <x:c r="P1088" s="80" t="n">
        <x:v>163.83427736936974</x:v>
      </x:c>
      <x:c r="Q1088" s="81" t="n">
        <x:v>378050491.96573967</x:v>
      </x:c>
      <x:c r="R1088" s="81" t="n">
        <x:v>12.790773659229492</x:v>
      </x:c>
      <x:c r="S1088" s="81" t="n">
        <x:v>3.0035182008105227e-10</x:v>
      </x:c>
      <x:c r="T1088" s="81" t="n">
        <x:v>1.2469096558293719e-21</x:v>
      </x:c>
    </x:row>
    <x:row r="1089">
      <x:c r="A1089" s="59" t="n">
        <x:v>1086</x:v>
      </x:c>
      <x:c r="B1089" s="193" t="n">
        <x:v>0.4001953573897481</x:v>
      </x:c>
      <x:c r="C1089" s="83" t="n">
        <x:v>0.19056245865183946</x:v>
      </x:c>
      <x:c r="D1089" s="83" t="n">
        <x:v>0.15272227159149054</x:v>
      </x:c>
      <x:c r="E1089" s="81" t="n">
        <x:v>0.10810715688569313</x:v>
      </x:c>
      <x:c r="F1089" s="81" t="n">
        <x:v>0.8611057423753664</x:v>
      </x:c>
      <x:c r="G1089" s="81" t="n">
        <x:v>-0.03725438529668302</x:v>
      </x:c>
      <x:c r="H1089" s="59" t="n">
        <x:v>0</x:v>
      </x:c>
      <x:c r="I1089" s="81" t="n">
        <x:v>0</x:v>
      </x:c>
      <x:c r="J1089" s="79" t="n">
        <x:v>0.00002727060629052072</x:v>
      </x:c>
      <x:c r="K1089" s="81" t="n">
        <x:v>-0.9688335928108335</x:v>
      </x:c>
      <x:c r="L1089" s="81" t="n">
        <x:v>-0.9688335928108335</x:v>
      </x:c>
      <x:c r="M1089" s="80" t="n">
        <x:v>1117.200364896498</x:v>
      </x:c>
      <x:c r="N1089" s="82" t="n">
        <x:v>0.19742778779318915</x:v>
      </x:c>
      <x:c r="O1089" s="82" t="n">
        <x:v>0.16059636329034732</x:v>
      </x:c>
      <x:c r="P1089" s="80" t="n">
        <x:v>537.028435044437</x:v>
      </x:c>
      <x:c r="Q1089" s="81" t="n">
        <x:v>0.003103077689664213</x:v>
      </x:c>
      <x:c r="R1089" s="81" t="n">
        <x:v>70.04670615790707</x:v>
      </x:c>
      <x:c r="S1089" s="81" t="n">
        <x:v>2.7010025592645297</x:v>
      </x:c>
      <x:c r="T1089" s="81" t="n">
        <x:v>0.5907408699633325</x:v>
      </x:c>
    </x:row>
    <x:row r="1090">
      <x:c r="A1090" s="59" t="n">
        <x:v>1087</x:v>
      </x:c>
      <x:c r="B1090" s="193" t="n">
        <x:v>0.4083805836737156</x:v>
      </x:c>
      <x:c r="C1090" s="83" t="n">
        <x:v>0.44509882786911303</x:v>
      </x:c>
      <x:c r="D1090" s="83" t="n">
        <x:v>0.8897803564584047</x:v>
      </x:c>
      <x:c r="E1090" s="81" t="n">
        <x:v>-0.11962231200199698</x:v>
      </x:c>
      <x:c r="F1090" s="81" t="n">
        <x:v>0.8264158839941956</x:v>
      </x:c>
      <x:c r="G1090" s="81" t="n">
        <x:v>-0.030396602201037418</x:v>
      </x:c>
      <x:c r="H1090" s="59" t="n">
        <x:v>0</x:v>
      </x:c>
      <x:c r="I1090" s="81" t="n">
        <x:v>0</x:v>
      </x:c>
      <x:c r="J1090" s="79" t="n">
        <x:v>3.5724802215536713e-39</x:v>
      </x:c>
      <x:c r="K1090" s="81" t="n">
        <x:v>-1</x:v>
      </x:c>
      <x:c r="L1090" s="81" t="n">
        <x:v>-1</x:v>
      </x:c>
      <x:c r="M1090" s="80" t="n">
        <x:v>0.000002</x:v>
      </x:c>
      <x:c r="N1090" s="82" t="n">
        <x:v>0.1993776621670229</x:v>
      </x:c>
      <x:c r="O1090" s="82" t="n">
        <x:v>0.15564891478185913</x:v>
      </x:c>
      <x:c r="P1090" s="80" t="n">
        <x:v>210.69044018146965</x:v>
      </x:c>
      <x:c r="Q1090" s="81" t="n">
        <x:v>5.292785826833645e+21</x:v>
      </x:c>
      <x:c r="R1090" s="81" t="n">
        <x:v>3.1882545090418777</x:v>
      </x:c>
      <x:c r="S1090" s="81" t="n">
        <x:v>3.7049692169149113e-10</x:v>
      </x:c>
      <x:c r="T1090" s="81" t="n">
        <x:v>7.738772110618585e-35</x:v>
      </x:c>
    </x:row>
    <x:row r="1091">
      <x:c r="A1091" s="59" t="n">
        <x:v>1088</x:v>
      </x:c>
      <x:c r="B1091" s="193" t="n">
        <x:v>0.600788064301014</x:v>
      </x:c>
      <x:c r="C1091" s="83" t="n">
        <x:v>0.2629267745990772</x:v>
      </x:c>
      <x:c r="D1091" s="83" t="n">
        <x:v>1.3980392335462155</x:v>
      </x:c>
      <x:c r="E1091" s="81" t="n">
        <x:v>0.02526927536932574</x:v>
      </x:c>
      <x:c r="F1091" s="81" t="n">
        <x:v>0.3526497267303057</x:v>
      </x:c>
      <x:c r="G1091" s="81" t="n">
        <x:v>-0.010024794563013301</x:v>
      </x:c>
      <x:c r="H1091" s="59" t="n">
        <x:v>68</x:v>
      </x:c>
      <x:c r="I1091" s="81" t="n">
        <x:v>0.3113017576746643</x:v>
      </x:c>
      <x:c r="J1091" s="79" t="n">
        <x:v>0.0010679584974167516</x:v>
      </x:c>
      <x:c r="K1091" s="81" t="n">
        <x:v>0.2205239970477162</x:v>
      </x:c>
      <x:c r="L1091" s="81" t="n">
        <x:v>-0.8721297861216482</x:v>
      </x:c>
      <x:c r="M1091" s="80" t="n">
        <x:v>7987.884005123522</x:v>
      </x:c>
      <x:c r="N1091" s="82" t="n">
        <x:v>0.24521273169270724</x:v>
      </x:c>
      <x:c r="O1091" s="82" t="n">
        <x:v>0.08168785813007941</x:v>
      </x:c>
      <x:c r="P1091" s="80" t="n">
        <x:v>21477.627132969206</x:v>
      </x:c>
      <x:c r="Q1091" s="81" t="n">
        <x:v>0.007309483744654326</x:v>
      </x:c>
      <x:c r="R1091" s="81" t="n">
        <x:v>191.37941793555163</x:v>
      </x:c>
      <x:c r="S1091" s="81" t="n">
        <x:v>78.92168836951345</x:v>
      </x:c>
      <x:c r="T1091" s="81" t="n">
        <x:v>23.134312641519887</x:v>
      </x:c>
    </x:row>
    <x:row r="1092">
      <x:c r="A1092" s="59" t="n">
        <x:v>1089</x:v>
      </x:c>
      <x:c r="B1092" s="193" t="n">
        <x:v>0.41670135706663136</x:v>
      </x:c>
      <x:c r="C1092" s="83" t="n">
        <x:v>0.2088069694597424</x:v>
      </x:c>
      <x:c r="D1092" s="83" t="n">
        <x:v>1.8805103415749922</x:v>
      </x:c>
      <x:c r="E1092" s="81" t="n">
        <x:v>-0.08010695510029038</x:v>
      </x:c>
      <x:c r="F1092" s="81" t="n">
        <x:v>0.25255630041938276</x:v>
      </x:c>
      <x:c r="G1092" s="81" t="n">
        <x:v>0.018128617810440194</x:v>
      </x:c>
      <x:c r="H1092" s="59" t="n">
        <x:v>0</x:v>
      </x:c>
      <x:c r="I1092" s="81" t="n">
        <x:v>0</x:v>
      </x:c>
      <x:c r="J1092" s="79" t="n">
        <x:v>4.036766872282964e-59</x:v>
      </x:c>
      <x:c r="K1092" s="81" t="n">
        <x:v>-1</x:v>
      </x:c>
      <x:c r="L1092" s="81" t="n">
        <x:v>-1</x:v>
      </x:c>
      <x:c r="M1092" s="80" t="n">
        <x:v>0.000002</x:v>
      </x:c>
      <x:c r="N1092" s="82" t="n">
        <x:v>0.20135982640371677</x:v>
      </x:c>
      <x:c r="O1092" s="82" t="n">
        <x:v>0.04803988699405114</x:v>
      </x:c>
      <x:c r="P1092" s="80" t="n">
        <x:v>293.1448883288064</x:v>
      </x:c>
      <x:c r="Q1092" s="81" t="n">
        <x:v>6.7477295893277345e+41</x:v>
      </x:c>
      <x:c r="R1092" s="81" t="n">
        <x:v>4.979212878709592</x:v>
      </x:c>
      <x:c r="S1092" s="81" t="n">
        <x:v>1.6957235681090178e-9</x:v>
      </x:c>
      <x:c r="T1092" s="81" t="n">
        <x:v>8.744518360050238e-55</x:v>
      </x:c>
    </x:row>
    <x:row r="1093">
      <x:c r="A1093" s="59" t="n">
        <x:v>1090</x:v>
      </x:c>
      <x:c r="B1093" s="193" t="n">
        <x:v>0.6593636993318797</x:v>
      </x:c>
      <x:c r="C1093" s="83" t="n">
        <x:v>1.4966317884028912</x:v>
      </x:c>
      <x:c r="D1093" s="83" t="n">
        <x:v>0.9429906444376697</x:v>
      </x:c>
      <x:c r="E1093" s="81" t="n">
        <x:v>-0.05121574817442251</x:v>
      </x:c>
      <x:c r="F1093" s="81" t="n">
        <x:v>0.7883759353659116</x:v>
      </x:c>
      <x:c r="G1093" s="81" t="n">
        <x:v>-0.020575634490677713</x:v>
      </x:c>
      <x:c r="H1093" s="59" t="n">
        <x:v>0</x:v>
      </x:c>
      <x:c r="I1093" s="81" t="n">
        <x:v>0</x:v>
      </x:c>
      <x:c r="J1093" s="79" t="n">
        <x:v>1.2588336594198941e-26</x:v>
      </x:c>
      <x:c r="K1093" s="81" t="n">
        <x:v>-1</x:v>
      </x:c>
      <x:c r="L1093" s="81" t="n">
        <x:v>-1</x:v>
      </x:c>
      <x:c r="M1093" s="80" t="n">
        <x:v>0.000002</x:v>
      </x:c>
      <x:c r="N1093" s="82" t="n">
        <x:v>0.2591665462502161</x:v>
      </x:c>
      <x:c r="O1093" s="82" t="n">
        <x:v>0.19301152507549202</x:v>
      </x:c>
      <x:c r="P1093" s="80" t="n">
        <x:v>730.7384800184499</x:v>
      </x:c>
      <x:c r="Q1093" s="81" t="n">
        <x:v>3293933227.9839272</x:v>
      </x:c>
      <x:c r="R1093" s="81" t="n">
        <x:v>2.5241602419451765</x:v>
      </x:c>
      <x:c r="S1093" s="81" t="n">
        <x:v>2.569230045058322e-10</x:v>
      </x:c>
      <x:c r="T1093" s="81" t="n">
        <x:v>2.726908537282228e-22</x:v>
      </x:c>
    </x:row>
    <x:row r="1094">
      <x:c r="A1094" s="59" t="n">
        <x:v>1091</x:v>
      </x:c>
      <x:c r="B1094" s="193" t="n">
        <x:v>0.8738385431468487</x:v>
      </x:c>
      <x:c r="C1094" s="83" t="n">
        <x:v>0.12818066561989042</x:v>
      </x:c>
      <x:c r="D1094" s="83" t="n">
        <x:v>0.41791559610246476</x:v>
      </x:c>
      <x:c r="E1094" s="81" t="n">
        <x:v>0.011312292546270156</x:v>
      </x:c>
      <x:c r="F1094" s="81" t="n">
        <x:v>0.5175466874032282</x:v>
      </x:c>
      <x:c r="G1094" s="81" t="n">
        <x:v>-0.0199266660935713</x:v>
      </x:c>
      <x:c r="H1094" s="59" t="n">
        <x:v>0</x:v>
      </x:c>
      <x:c r="I1094" s="81" t="n">
        <x:v>0</x:v>
      </x:c>
      <x:c r="J1094" s="79" t="n">
        <x:v>0.0000036241286972068683</x:v>
      </x:c>
      <x:c r="K1094" s="81" t="n">
        <x:v>-0.9958581386317635</x:v>
      </x:c>
      <x:c r="L1094" s="81" t="n">
        <x:v>-0.9958581386317635</x:v>
      </x:c>
      <x:c r="M1094" s="80" t="n">
        <x:v>372.68385975812083</x:v>
      </x:c>
      <x:c r="N1094" s="82" t="n">
        <x:v>0.31025847545026314</x:v>
      </x:c>
      <x:c r="O1094" s="82" t="n">
        <x:v>0.15168552155023843</x:v>
      </x:c>
      <x:c r="P1094" s="80" t="n">
        <x:v>770.8025753724947</x:v>
      </x:c>
      <x:c r="Q1094" s="81" t="n">
        <x:v>0.019033162943594712</x:v>
      </x:c>
      <x:c r="R1094" s="81" t="n">
        <x:v>72.01179731379129</x:v>
      </x:c>
      <x:c r="S1094" s="81" t="n">
        <x:v>0.5728992361853845</x:v>
      </x:c>
      <x:c r="T1094" s="81" t="n">
        <x:v>0.07850653984877666</x:v>
      </x:c>
    </x:row>
    <x:row r="1095">
      <x:c r="A1095" s="59" t="n">
        <x:v>1092</x:v>
      </x:c>
      <x:c r="B1095" s="193" t="n">
        <x:v>0.7600123578682543</x:v>
      </x:c>
      <x:c r="C1095" s="83" t="n">
        <x:v>0.12584703624228227</x:v>
      </x:c>
      <x:c r="D1095" s="83" t="n">
        <x:v>0.6034579028675374</x:v>
      </x:c>
      <x:c r="E1095" s="81" t="n">
        <x:v>0.008613209041840467</x:v>
      </x:c>
      <x:c r="F1095" s="81" t="n">
        <x:v>0.8367347172577866</x:v>
      </x:c>
      <x:c r="G1095" s="81" t="n">
        <x:v>0.0037724180972932755</x:v>
      </x:c>
      <x:c r="H1095" s="59" t="n">
        <x:v>0</x:v>
      </x:c>
      <x:c r="I1095" s="81" t="n">
        <x:v>0</x:v>
      </x:c>
      <x:c r="J1095" s="79" t="n">
        <x:v>0.000002924043414598265</x:v>
      </x:c>
      <x:c r="K1095" s="81" t="n">
        <x:v>-0.996658236097602</x:v>
      </x:c>
      <x:c r="L1095" s="81" t="n">
        <x:v>-0.996748103416512</x:v>
      </x:c>
      <x:c r="M1095" s="80" t="n">
        <x:v>335.7748558269176</x:v>
      </x:c>
      <x:c r="N1095" s="82" t="n">
        <x:v>0.28314294387592837</x:v>
      </x:c>
      <x:c r="O1095" s="82" t="n">
        <x:v>0.2238022631105332</x:v>
      </x:c>
      <x:c r="P1095" s="80" t="n">
        <x:v>966.8448168611878</x:v>
      </x:c>
      <x:c r="Q1095" s="81" t="n">
        <x:v>0.040782743834820924</x:v>
      </x:c>
      <x:c r="R1095" s="81" t="n">
        <x:v>57.8114716639916</x:v>
      </x:c>
      <x:c r="S1095" s="81" t="n">
        <x:v>0.5145848354056849</x:v>
      </x:c>
      <x:c r="T1095" s="81" t="n">
        <x:v>0.06334116418785897</x:v>
      </x:c>
    </x:row>
    <x:row r="1096">
      <x:c r="A1096" s="59" t="n">
        <x:v>1093</x:v>
      </x:c>
      <x:c r="B1096" s="193" t="n">
        <x:v>0.5567767422646284</x:v>
      </x:c>
      <x:c r="C1096" s="83" t="n">
        <x:v>0.18514676737227403</x:v>
      </x:c>
      <x:c r="D1096" s="83" t="n">
        <x:v>2.0502587392330236</x:v>
      </x:c>
      <x:c r="E1096" s="81" t="n">
        <x:v>-0.1168255337564652</x:v>
      </x:c>
      <x:c r="F1096" s="81" t="n">
        <x:v>0.6565856860135681</x:v>
      </x:c>
      <x:c r="G1096" s="81" t="n">
        <x:v>-0.022361835699500177</x:v>
      </x:c>
      <x:c r="H1096" s="59" t="n">
        <x:v>0</x:v>
      </x:c>
      <x:c r="I1096" s="81" t="n">
        <x:v>0</x:v>
      </x:c>
      <x:c r="J1096" s="79" t="n">
        <x:v>1.7387341663790455e-68</x:v>
      </x:c>
      <x:c r="K1096" s="81" t="n">
        <x:v>-1</x:v>
      </x:c>
      <x:c r="L1096" s="81" t="n">
        <x:v>-1</x:v>
      </x:c>
      <x:c r="M1096" s="80" t="n">
        <x:v>0.000002</x:v>
      </x:c>
      <x:c r="N1096" s="82" t="n">
        <x:v>0.23472840957135188</x:v>
      </x:c>
      <x:c r="O1096" s="82" t="n">
        <x:v>0.1455888141431811</x:v>
      </x:c>
      <x:c r="P1096" s="80" t="n">
        <x:v>221.7883558582412</x:v>
      </x:c>
      <x:c r="Q1096" s="81" t="n">
        <x:v>1.1107317175742397e+51</x:v>
      </x:c>
      <x:c r="R1096" s="81" t="n">
        <x:v>3.2717190131950846</x:v>
      </x:c>
      <x:c r="S1096" s="81" t="n">
        <x:v>1.1509101729038449e-9</x:v>
      </x:c>
      <x:c r="T1096" s="81" t="n">
        <x:v>3.7664778081547906e-64</x:v>
      </x:c>
    </x:row>
    <x:row r="1097">
      <x:c r="A1097" s="59" t="n">
        <x:v>1094</x:v>
      </x:c>
      <x:c r="B1097" s="193" t="n">
        <x:v>0.8163096798583866</x:v>
      </x:c>
      <x:c r="C1097" s="83" t="n">
        <x:v>0.2708668489348557</x:v>
      </x:c>
      <x:c r="D1097" s="83" t="n">
        <x:v>0.284581892235501</x:v>
      </x:c>
      <x:c r="E1097" s="81" t="n">
        <x:v>0.041300226168984565</x:v>
      </x:c>
      <x:c r="F1097" s="81" t="n">
        <x:v>0.3374082578229718</x:v>
      </x:c>
      <x:c r="G1097" s="81" t="n">
        <x:v>0.03378326479132735</x:v>
      </x:c>
      <x:c r="H1097" s="59" t="n">
        <x:v>0</x:v>
      </x:c>
      <x:c r="I1097" s="81" t="n">
        <x:v>0</x:v>
      </x:c>
      <x:c r="J1097" s="79" t="n">
        <x:v>0.00021358324085953942</x:v>
      </x:c>
      <x:c r="K1097" s="81" t="n">
        <x:v>-0.7559048675890978</x:v>
      </x:c>
      <x:c r="L1097" s="81" t="n">
        <x:v>-0.8822648998644819</x:v>
      </x:c>
      <x:c r="M1097" s="80" t="n">
        <x:v>3345.1893807471542</x:v>
      </x:c>
      <x:c r="N1097" s="82" t="n">
        <x:v>0.2965540215487651</x:v>
      </x:c>
      <x:c r="O1097" s="82" t="n">
        <x:v>0.094521469989254</x:v>
      </x:c>
      <x:c r="P1097" s="80" t="n">
        <x:v>2390.6145211248745</x:v>
      </x:c>
      <x:c r="Q1097" s="81" t="n">
        <x:v>0.004747691899927688</x:v>
      </x:c>
      <x:c r="R1097" s="81" t="n">
        <x:v>63.47345678220608</x:v>
      </x:c>
      <x:c r="S1097" s="81" t="n">
        <x:v>15.149901530054922</x:v>
      </x:c>
      <x:c r="T1097" s="81" t="n">
        <x:v>4.626679296045205</x:v>
      </x:c>
    </x:row>
    <x:row r="1098">
      <x:c r="A1098" s="59" t="n">
        <x:v>1095</x:v>
      </x:c>
      <x:c r="B1098" s="193" t="n">
        <x:v>0.526810609176755</x:v>
      </x:c>
      <x:c r="C1098" s="83" t="n">
        <x:v>1.2755406924836292</x:v>
      </x:c>
      <x:c r="D1098" s="83" t="n">
        <x:v>1.3781819735882728</x:v>
      </x:c>
      <x:c r="E1098" s="81" t="n">
        <x:v>0.07397423906403168</x:v>
      </x:c>
      <x:c r="F1098" s="81" t="n">
        <x:v>0.3721475613769144</x:v>
      </x:c>
      <x:c r="G1098" s="81" t="n">
        <x:v>0.03391919079278881</x:v>
      </x:c>
      <x:c r="H1098" s="59" t="n">
        <x:v>0</x:v>
      </x:c>
      <x:c r="I1098" s="81" t="n">
        <x:v>0</x:v>
      </x:c>
      <x:c r="J1098" s="79" t="n">
        <x:v>0.10385512122832231</x:v>
      </x:c>
      <x:c r="K1098" s="81" t="n">
        <x:v>117.69156711808266</x:v>
      </x:c>
      <x:c r="L1098" s="81" t="n">
        <x:v>-0.6680333544225169</x:v>
      </x:c>
      <x:c r="M1098" s="80" t="n">
        <x:v>190910.76981672435</x:v>
      </x:c>
      <x:c r="N1098" s="82" t="n">
        <x:v>0.22758991480482485</x:v>
      </x:c>
      <x:c r="O1098" s="82" t="n">
        <x:v>0.08000905346313768</x:v>
      </x:c>
      <x:c r="P1098" s="80" t="n">
        <x:v>425954.50236145343</x:v>
      </x:c>
      <x:c r="Q1098" s="81" t="n">
        <x:v>0.0030285908076124737</x:v>
      </x:c>
      <x:c r="R1098" s="81" t="n">
        <x:v>694.8924568916419</x:v>
      </x:c>
      <x:c r="S1098" s="81" t="n">
        <x:v>1591.7029681336162</x:v>
      </x:c>
      <x:c r="T1098" s="81" t="n">
        <x:v>2249.7286642978784</x:v>
      </x:c>
    </x:row>
    <x:row r="1099">
      <x:c r="A1099" s="59" t="n">
        <x:v>1096</x:v>
      </x:c>
      <x:c r="B1099" s="193" t="n">
        <x:v>0.88825122974813</x:v>
      </x:c>
      <x:c r="C1099" s="83" t="n">
        <x:v>1.2814287021306083</x:v>
      </x:c>
      <x:c r="D1099" s="83" t="n">
        <x:v>1.39635841543422</x:v>
      </x:c>
      <x:c r="E1099" s="81" t="n">
        <x:v>0.0026595446033109067</x:v>
      </x:c>
      <x:c r="F1099" s="81" t="n">
        <x:v>0.7142288483330048</x:v>
      </x:c>
      <x:c r="G1099" s="81" t="n">
        <x:v>-0.013925541876992062</x:v>
      </x:c>
      <x:c r="H1099" s="59" t="n">
        <x:v>0</x:v>
      </x:c>
      <x:c r="I1099" s="81" t="n">
        <x:v>0</x:v>
      </x:c>
      <x:c r="J1099" s="79" t="n">
        <x:v>0.000005628182080912123</x:v>
      </x:c>
      <x:c r="K1099" s="81" t="n">
        <x:v>-0.993567791907529</x:v>
      </x:c>
      <x:c r="L1099" s="81" t="n">
        <x:v>-0.993567791907529</x:v>
      </x:c>
      <x:c r="M1099" s="80" t="n">
        <x:v>935.4661962450009</x:v>
      </x:c>
      <x:c r="N1099" s="82" t="n">
        <x:v>0.3136918476365625</x:v>
      </x:c>
      <x:c r="O1099" s="82" t="n">
        <x:v>0.21164672946811722</x:v>
      </x:c>
      <x:c r="P1099" s="80" t="n">
        <x:v>6274.446838353908</x:v>
      </x:c>
      <x:c r="Q1099" s="81" t="n">
        <x:v>0.10381768657696244</x:v>
      </x:c>
      <x:c r="R1099" s="81" t="n">
        <x:v>10.848445915778083</x:v>
      </x:c>
      <x:c r="S1099" s="81" t="n">
        <x:v>0.293718346060803</x:v>
      </x:c>
      <x:c r="T1099" s="81" t="n">
        <x:v>0.12191871142761385</x:v>
      </x:c>
    </x:row>
    <x:row r="1100">
      <x:c r="A1100" s="59" t="n">
        <x:v>1097</x:v>
      </x:c>
      <x:c r="B1100" s="193" t="n">
        <x:v>0.7922334292903543</x:v>
      </x:c>
      <x:c r="C1100" s="83" t="n">
        <x:v>0.32542152785805245</x:v>
      </x:c>
      <x:c r="D1100" s="83" t="n">
        <x:v>0.8223563118392877</x:v>
      </x:c>
      <x:c r="E1100" s="81" t="n">
        <x:v>-0.03050676422360868</x:v>
      </x:c>
      <x:c r="F1100" s="81" t="n">
        <x:v>0.5077161640394479</x:v>
      </x:c>
      <x:c r="G1100" s="81" t="n">
        <x:v>0.031047166676933458</x:v>
      </x:c>
      <x:c r="H1100" s="59" t="n">
        <x:v>0</x:v>
      </x:c>
      <x:c r="I1100" s="81" t="n">
        <x:v>0</x:v>
      </x:c>
      <x:c r="J1100" s="79" t="n">
        <x:v>6.138086841920741e-23</x:v>
      </x:c>
      <x:c r="K1100" s="81" t="n">
        <x:v>-1</x:v>
      </x:c>
      <x:c r="L1100" s="81" t="n">
        <x:v>-1</x:v>
      </x:c>
      <x:c r="M1100" s="80" t="n">
        <x:v>0.000002</x:v>
      </x:c>
      <x:c r="N1100" s="82" t="n">
        <x:v>0.29081860723376135</x:v>
      </x:c>
      <x:c r="O1100" s="82" t="n">
        <x:v>0.1394807012711718</x:v>
      </x:c>
      <x:c r="P1100" s="80" t="n">
        <x:v>525.4693753077789</x:v>
      </x:c>
      <x:c r="Q1100" s="81" t="n">
        <x:v>1111773.889426435</x:v>
      </x:c>
      <x:c r="R1100" s="81" t="n">
        <x:v>13.85400769676526</x:v>
      </x:c>
      <x:c r="S1100" s="81" t="n">
        <x:v>7.884344723921615e-10</x:v>
      </x:c>
      <x:c r="T1100" s="81" t="n">
        <x:v>1.329643617849138e-18</x:v>
      </x:c>
    </x:row>
    <x:row r="1101">
      <x:c r="A1101" s="59" t="n">
        <x:v>1098</x:v>
      </x:c>
      <x:c r="B1101" s="193" t="n">
        <x:v>0.9042962515726687</x:v>
      </x:c>
      <x:c r="C1101" s="83" t="n">
        <x:v>0.22479938296928054</x:v>
      </x:c>
      <x:c r="D1101" s="83" t="n">
        <x:v>1.7219932141206644</x:v>
      </x:c>
      <x:c r="E1101" s="81" t="n">
        <x:v>-0.01821054676752092</x:v>
      </x:c>
      <x:c r="F1101" s="81" t="n">
        <x:v>0.559188297262881</x:v>
      </x:c>
      <x:c r="G1101" s="81" t="n">
        <x:v>0.04804902069935926</x:v>
      </x:c>
      <x:c r="H1101" s="59" t="n">
        <x:v>0</x:v>
      </x:c>
      <x:c r="I1101" s="81" t="n">
        <x:v>0</x:v>
      </x:c>
      <x:c r="J1101" s="79" t="n">
        <x:v>2.1802821705543362e-26</x:v>
      </x:c>
      <x:c r="K1101" s="81" t="n">
        <x:v>-1</x:v>
      </x:c>
      <x:c r="L1101" s="81" t="n">
        <x:v>-1</x:v>
      </x:c>
      <x:c r="M1101" s="80" t="n">
        <x:v>0.000002</x:v>
      </x:c>
      <x:c r="N1101" s="82" t="n">
        <x:v>0.31751407267932635</x:v>
      </x:c>
      <x:c r="O1101" s="82" t="n">
        <x:v>0.16772275765121306</x:v>
      </x:c>
      <x:c r="P1101" s="80" t="n">
        <x:v>827.8297061463035</x:v>
      </x:c>
      <x:c r="Q1101" s="81" t="n">
        <x:v>5180798524.275514</x:v>
      </x:c>
      <x:c r="R1101" s="81" t="n">
        <x:v>16.631372827130452</x:v>
      </x:c>
      <x:c r="S1101" s="81" t="n">
        <x:v>2.179950708501692e-9</x:v>
      </x:c>
      <x:c r="T1101" s="81" t="n">
        <x:v>4.72296718480555e-22</x:v>
      </x:c>
    </x:row>
    <x:row r="1102">
      <x:c r="A1102" s="59" t="n">
        <x:v>1099</x:v>
      </x:c>
      <x:c r="B1102" s="193" t="n">
        <x:v>0.7330725863575935</x:v>
      </x:c>
      <x:c r="C1102" s="83" t="n">
        <x:v>1.1754351028911887</x:v>
      </x:c>
      <x:c r="D1102" s="83" t="n">
        <x:v>0.4784749336212176</x:v>
      </x:c>
      <x:c r="E1102" s="81" t="n">
        <x:v>-0.08197341084638003</x:v>
      </x:c>
      <x:c r="F1102" s="81" t="n">
        <x:v>0.8524717954918742</x:v>
      </x:c>
      <x:c r="G1102" s="81" t="n">
        <x:v>0.01930806988107763</x:v>
      </x:c>
      <x:c r="H1102" s="59" t="n">
        <x:v>0</x:v>
      </x:c>
      <x:c r="I1102" s="81" t="n">
        <x:v>0</x:v>
      </x:c>
      <x:c r="J1102" s="79" t="n">
        <x:v>4.442506437362399e-27</x:v>
      </x:c>
      <x:c r="K1102" s="81" t="n">
        <x:v>-1</x:v>
      </x:c>
      <x:c r="L1102" s="81" t="n">
        <x:v>-1</x:v>
      </x:c>
      <x:c r="M1102" s="80" t="n">
        <x:v>0.000002</x:v>
      </x:c>
      <x:c r="N1102" s="82" t="n">
        <x:v>0.27672538518137296</x:v>
      </x:c>
      <x:c r="O1102" s="82" t="n">
        <x:v>0.22284349517075133</x:v>
      </x:c>
      <x:c r="P1102" s="80" t="n">
        <x:v>370.90658078804506</x:v>
      </x:c>
      <x:c r="Q1102" s="81" t="n">
        <x:v>6002197994.980996</x:v>
      </x:c>
      <x:c r="R1102" s="81" t="n">
        <x:v>3.040251165294459</x:v>
      </x:c>
      <x:c r="S1102" s="81" t="n">
        <x:v>2.4314590475794766e-10</x:v>
      </x:c>
      <x:c r="T1102" s="81" t="n">
        <x:v>9.623438839852274e-23</x:v>
      </x:c>
    </x:row>
    <x:row r="1103">
      <x:c r="A1103" s="59" t="n">
        <x:v>1100</x:v>
      </x:c>
      <x:c r="B1103" s="193" t="n">
        <x:v>0.4853060740977526</x:v>
      </x:c>
      <x:c r="C1103" s="83" t="n">
        <x:v>0.2965133017139711</x:v>
      </x:c>
      <x:c r="D1103" s="83" t="n">
        <x:v>1.6699485349598946</x:v>
      </x:c>
      <x:c r="E1103" s="81" t="n">
        <x:v>0.07153149070136473</x:v>
      </x:c>
      <x:c r="F1103" s="81" t="n">
        <x:v>0.6604873373173177</x:v>
      </x:c>
      <x:c r="G1103" s="81" t="n">
        <x:v>0.0015649262722979619</x:v>
      </x:c>
      <x:c r="H1103" s="59" t="n">
        <x:v>0</x:v>
      </x:c>
      <x:c r="I1103" s="81" t="n">
        <x:v>0</x:v>
      </x:c>
      <x:c r="J1103" s="79" t="n">
        <x:v>0.008032950752492284</x:v>
      </x:c>
      <x:c r="K1103" s="81" t="n">
        <x:v>8.180515145705469</x:v>
      </x:c>
      <x:c r="L1103" s="81" t="n">
        <x:v>-0.79423931400118</x:v>
      </x:c>
      <x:c r="M1103" s="80" t="n">
        <x:v>29938.762338018765</x:v>
      </x:c>
      <x:c r="N1103" s="82" t="n">
        <x:v>0.21770275633897412</x:v>
      </x:c>
      <x:c r="O1103" s="82" t="n">
        <x:v>0.13583114617614495</x:v>
      </x:c>
      <x:c r="P1103" s="80" t="n">
        <x:v>76739.36465206929</x:v>
      </x:c>
      <x:c r="Q1103" s="81" t="n">
        <x:v>0.005027946141686944</x:v>
      </x:c>
      <x:c r="R1103" s="81" t="n">
        <x:v>736.2352332423683</x:v>
      </x:c>
      <x:c r="S1103" s="81" t="n">
        <x:v>521.1661526002591</x:v>
      </x:c>
      <x:c r="T1103" s="81" t="n">
        <x:v>174.01125099112303</x:v>
      </x:c>
    </x:row>
    <x:row r="1104">
      <x:c r="A1104" s="59" t="n">
        <x:v>1101</x:v>
      </x:c>
      <x:c r="B1104" s="193" t="n">
        <x:v>0.3424463666975498</x:v>
      </x:c>
      <x:c r="C1104" s="83" t="n">
        <x:v>2.7565882794812224</x:v>
      </x:c>
      <x:c r="D1104" s="83" t="n">
        <x:v>0.6505064405761826</x:v>
      </x:c>
      <x:c r="E1104" s="81" t="n">
        <x:v>-0.12294815433209838</x:v>
      </x:c>
      <x:c r="F1104" s="81" t="n">
        <x:v>0.28106140877353025</x:v>
      </x:c>
      <x:c r="G1104" s="81" t="n">
        <x:v>0.023637276392016994</x:v>
      </x:c>
      <x:c r="H1104" s="59" t="n">
        <x:v>0</x:v>
      </x:c>
      <x:c r="I1104" s="81" t="n">
        <x:v>0</x:v>
      </x:c>
      <x:c r="J1104" s="79" t="n">
        <x:v>1.4209419504980146e-40</x:v>
      </x:c>
      <x:c r="K1104" s="81" t="n">
        <x:v>-1</x:v>
      </x:c>
      <x:c r="L1104" s="81" t="n">
        <x:v>-1</x:v>
      </x:c>
      <x:c r="M1104" s="80" t="n">
        <x:v>0.000002</x:v>
      </x:c>
      <x:c r="N1104" s="82" t="n">
        <x:v>0.18367089541673193</x:v>
      </x:c>
      <x:c r="O1104" s="82" t="n">
        <x:v>0.048765480055469816</x:v>
      </x:c>
      <x:c r="P1104" s="80" t="n">
        <x:v>531.8840528764409</x:v>
      </x:c>
      <x:c r="Q1104" s="81" t="n">
        <x:v>1.2985424664790773e+23</x:v>
      </x:c>
      <x:c r="R1104" s="81" t="n">
        <x:v>1.0135025291306994</x:v>
      </x:c>
      <x:c r="S1104" s="81" t="n">
        <x:v>2.0156087477968992e-10</x:v>
      </x:c>
      <x:c r="T1104" s="81" t="n">
        <x:v>3.0780704875504385e-36</x:v>
      </x:c>
    </x:row>
    <x:row r="1105">
      <x:c r="A1105" s="59" t="n">
        <x:v>1102</x:v>
      </x:c>
      <x:c r="B1105" s="193" t="n">
        <x:v>0.6797512996941806</x:v>
      </x:c>
      <x:c r="C1105" s="83" t="n">
        <x:v>0.13071247301805272</x:v>
      </x:c>
      <x:c r="D1105" s="83" t="n">
        <x:v>0.7528157990329276</x:v>
      </x:c>
      <x:c r="E1105" s="81" t="n">
        <x:v>-0.06433337525983614</x:v>
      </x:c>
      <x:c r="F1105" s="81" t="n">
        <x:v>0.6363479680614545</x:v>
      </x:c>
      <x:c r="G1105" s="81" t="n">
        <x:v>0.015087339199147537</x:v>
      </x:c>
      <x:c r="H1105" s="59" t="n">
        <x:v>0</x:v>
      </x:c>
      <x:c r="I1105" s="81" t="n">
        <x:v>0</x:v>
      </x:c>
      <x:c r="J1105" s="79" t="n">
        <x:v>2.2276293791803556e-29</x:v>
      </x:c>
      <x:c r="K1105" s="81" t="n">
        <x:v>-1</x:v>
      </x:c>
      <x:c r="L1105" s="81" t="n">
        <x:v>-1</x:v>
      </x:c>
      <x:c r="M1105" s="80" t="n">
        <x:v>0.000002</x:v>
      </x:c>
      <x:c r="N1105" s="82" t="n">
        <x:v>0.2640232549240232</x:v>
      </x:c>
      <x:c r="O1105" s="82" t="n">
        <x:v>0.15871127639083565</x:v>
      </x:c>
      <x:c r="P1105" s="80" t="n">
        <x:v>247.5636609141858</x:v>
      </x:c>
      <x:c r="Q1105" s="81" t="n">
        <x:v>1500352159500.4531</x:v>
      </x:c>
      <x:c r="R1105" s="81" t="n">
        <x:v>19.45633864669099</x:v>
      </x:c>
      <x:c r="S1105" s="81" t="n">
        <x:v>6.997863745651082e-10</x:v>
      </x:c>
      <x:c r="T1105" s="81" t="n">
        <x:v>4.825531575622898e-25</x:v>
      </x:c>
    </x:row>
    <x:row r="1106">
      <x:c r="A1106" s="59" t="n">
        <x:v>1103</x:v>
      </x:c>
      <x:c r="B1106" s="193" t="n">
        <x:v>0.45259518530219794</x:v>
      </x:c>
      <x:c r="C1106" s="83" t="n">
        <x:v>1.112725357095113</x:v>
      </x:c>
      <x:c r="D1106" s="83" t="n">
        <x:v>1.1821190617559776</x:v>
      </x:c>
      <x:c r="E1106" s="81" t="n">
        <x:v>0.18266346052332658</x:v>
      </x:c>
      <x:c r="F1106" s="81" t="n">
        <x:v>0.4122596672154032</x:v>
      </x:c>
      <x:c r="G1106" s="81" t="n">
        <x:v>0.041436899040018654</x:v>
      </x:c>
      <x:c r="H1106" s="59" t="n">
        <x:v>0</x:v>
      </x:c>
      <x:c r="I1106" s="81" t="n">
        <x:v>0</x:v>
      </x:c>
      <x:c r="J1106" s="79" t="n">
        <x:v>0.5355383158144883</x:v>
      </x:c>
      <x:c r="K1106" s="81" t="n">
        <x:v>611.0437895022724</x:v>
      </x:c>
      <x:c r="L1106" s="81" t="n">
        <x:v>-0.7710740922579922</x:v>
      </x:c>
      <x:c r="M1106" s="80" t="n">
        <x:v>566042.7908993585</x:v>
      </x:c>
      <x:c r="N1106" s="82" t="n">
        <x:v>0.20991040929870788</x:v>
      </x:c>
      <x:c r="O1106" s="82" t="n">
        <x:v>0.08174774200842513</x:v>
      </x:c>
      <x:c r="P1106" s="80" t="n">
        <x:v>949715.8287668931</x:v>
      </x:c>
      <x:c r="Q1106" s="81" t="n">
        <x:v>0.0015536249842916603</x:v>
      </x:c>
      <x:c r="R1106" s="81" t="n">
        <x:v>3240.2326143474024</x:v>
      </x:c>
      <x:c r="S1106" s="81" t="n">
        <x:v>9186.259647600284</x:v>
      </x:c>
      <x:c r="T1106" s="81" t="n">
        <x:v>11600.929118063546</x:v>
      </x:c>
    </x:row>
    <x:row r="1107">
      <x:c r="A1107" s="59" t="n">
        <x:v>1104</x:v>
      </x:c>
      <x:c r="B1107" s="193" t="n">
        <x:v>0.7835109639912845</x:v>
      </x:c>
      <x:c r="C1107" s="83" t="n">
        <x:v>0.10557478340246118</x:v>
      </x:c>
      <x:c r="D1107" s="83" t="n">
        <x:v>2.4186214154726704</x:v>
      </x:c>
      <x:c r="E1107" s="81" t="n">
        <x:v>-0.05281678182364382</x:v>
      </x:c>
      <x:c r="F1107" s="81" t="n">
        <x:v>0.5131249107653275</x:v>
      </x:c>
      <x:c r="G1107" s="81" t="n">
        <x:v>-0.0018615310487638548</x:v>
      </x:c>
      <x:c r="H1107" s="59" t="n">
        <x:v>0</x:v>
      </x:c>
      <x:c r="I1107" s="81" t="n">
        <x:v>0</x:v>
      </x:c>
      <x:c r="J1107" s="79" t="n">
        <x:v>7.363352529784683e-49</x:v>
      </x:c>
      <x:c r="K1107" s="81" t="n">
        <x:v>-1</x:v>
      </x:c>
      <x:c r="L1107" s="81" t="n">
        <x:v>-1</x:v>
      </x:c>
      <x:c r="M1107" s="80" t="n">
        <x:v>0.000002</x:v>
      </x:c>
      <x:c r="N1107" s="82" t="n">
        <x:v>0.2887407524532989</x:v>
      </x:c>
      <x:c r="O1107" s="82" t="n">
        <x:v>0.13995941697577985</x:v>
      </x:c>
      <x:c r="P1107" s="80" t="n">
        <x:v>377.6134343406537</x:v>
      </x:c>
      <x:c r="Q1107" s="81" t="n">
        <x:v>5.468901116451802e+31</x:v>
      </x:c>
      <x:c r="R1107" s="81" t="n">
        <x:v>10.576576533108154</x:v>
      </x:c>
      <x:c r="S1107" s="81" t="n">
        <x:v>1.8734345921956692e-9</x:v>
      </x:c>
      <x:c r="T1107" s="81" t="n">
        <x:v>1.595062916075949e-44</x:v>
      </x:c>
    </x:row>
    <x:row r="1108">
      <x:c r="A1108" s="59" t="n">
        <x:v>1105</x:v>
      </x:c>
      <x:c r="B1108" s="193" t="n">
        <x:v>0.9767571097239853</x:v>
      </x:c>
      <x:c r="C1108" s="83" t="n">
        <x:v>2.377639453919249</x:v>
      </x:c>
      <x:c r="D1108" s="83" t="n">
        <x:v>0.5840398376120626</x:v>
      </x:c>
      <x:c r="E1108" s="81" t="n">
        <x:v>-0.027581882610377622</x:v>
      </x:c>
      <x:c r="F1108" s="81" t="n">
        <x:v>0.7382850773399696</x:v>
      </x:c>
      <x:c r="G1108" s="81" t="n">
        <x:v>0.012552517308049597</x:v>
      </x:c>
      <x:c r="H1108" s="59" t="n">
        <x:v>0</x:v>
      </x:c>
      <x:c r="I1108" s="81" t="n">
        <x:v>0</x:v>
      </x:c>
      <x:c r="J1108" s="79" t="n">
        <x:v>2.7460107990514564e-15</x:v>
      </x:c>
      <x:c r="K1108" s="81" t="n">
        <x:v>-0.9999999999968617</x:v>
      </x:c>
      <x:c r="L1108" s="81" t="n">
        <x:v>-0.9999999999968617</x:v>
      </x:c>
      <x:c r="M1108" s="80" t="n">
        <x:v>0.03111172697435654</x:v>
      </x:c>
      <x:c r="N1108" s="82" t="n">
        <x:v>0.3347756077320605</x:v>
      </x:c>
      <x:c r="O1108" s="82" t="n">
        <x:v>0.2334795455110867</x:v>
      </x:c>
      <x:c r="P1108" s="80" t="n">
        <x:v>1387.0888847055999</x:v>
      </x:c>
      <x:c r="Q1108" s="81" t="n">
        <x:v>426.34542366323427</x:v>
      </x:c>
      <x:c r="R1108" s="81" t="n">
        <x:v>3.289135926151848</x:v>
      </x:c>
      <x:c r="S1108" s="81" t="n">
        <x:v>0.0000028442956056448712</x:v>
      </x:c>
      <x:c r="T1108" s="81" t="n">
        <x:v>5.948458905089449e-11</x:v>
      </x:c>
    </x:row>
    <x:row r="1109">
      <x:c r="A1109" s="59" t="n">
        <x:v>1106</x:v>
      </x:c>
      <x:c r="B1109" s="193" t="n">
        <x:v>0.868911549448967</x:v>
      </x:c>
      <x:c r="C1109" s="83" t="n">
        <x:v>0.10430571745837006</x:v>
      </x:c>
      <x:c r="D1109" s="83" t="n">
        <x:v>0.4796560446349668</x:v>
      </x:c>
      <x:c r="E1109" s="81" t="n">
        <x:v>-0.03745598991083766</x:v>
      </x:c>
      <x:c r="F1109" s="81" t="n">
        <x:v>0.8675620617461391</x:v>
      </x:c>
      <x:c r="G1109" s="81" t="n">
        <x:v>-0.015511322383152918</x:v>
      </x:c>
      <x:c r="H1109" s="59" t="n">
        <x:v>0</x:v>
      </x:c>
      <x:c r="I1109" s="81" t="n">
        <x:v>0</x:v>
      </x:c>
      <x:c r="J1109" s="79" t="n">
        <x:v>2.6190942771909024e-15</x:v>
      </x:c>
      <x:c r="K1109" s="81" t="n">
        <x:v>-0.9999999999970067</x:v>
      </x:c>
      <x:c r="L1109" s="81" t="n">
        <x:v>-0.9999999999970067</x:v>
      </x:c>
      <x:c r="M1109" s="80" t="n">
        <x:v>0.009934111715524415</x:v>
      </x:c>
      <x:c r="N1109" s="82" t="n">
        <x:v>0.30908477317029626</x:v>
      </x:c>
      <x:c r="O1109" s="82" t="n">
        <x:v>0.25330811576711665</x:v>
      </x:c>
      <x:c r="P1109" s="80" t="n">
        <x:v>247.20007935254264</x:v>
      </x:c>
      <x:c r="Q1109" s="81" t="n">
        <x:v>106.10522925880532</x:v>
      </x:c>
      <x:c r="R1109" s="81" t="n">
        <x:v>36.376030112021674</x:v>
      </x:c>
      <x:c r="S1109" s="81" t="n">
        <x:v>0.0000016089999921087065</x:v>
      </x:c>
      <x:c r="T1109" s="81" t="n">
        <x:v>5.6735300100810347e-11</x:v>
      </x:c>
    </x:row>
    <x:row r="1110">
      <x:c r="A1110" s="59" t="n">
        <x:v>1107</x:v>
      </x:c>
      <x:c r="B1110" s="193" t="n">
        <x:v>0.8360228072851896</x:v>
      </x:c>
      <x:c r="C1110" s="83" t="n">
        <x:v>0.10314108740614689</x:v>
      </x:c>
      <x:c r="D1110" s="83" t="n">
        <x:v>0.2259927594256175</x:v>
      </x:c>
      <x:c r="E1110" s="81" t="n">
        <x:v>0.04490806685162779</x:v>
      </x:c>
      <x:c r="F1110" s="81" t="n">
        <x:v>0.2799596051336266</x:v>
      </x:c>
      <x:c r="G1110" s="81" t="n">
        <x:v>-0.0162362477403008</x:v>
      </x:c>
      <x:c r="H1110" s="59" t="n">
        <x:v>0</x:v>
      </x:c>
      <x:c r="I1110" s="81" t="n">
        <x:v>0</x:v>
      </x:c>
      <x:c r="J1110" s="79" t="n">
        <x:v>0.00005575361281422933</x:v>
      </x:c>
      <x:c r="K1110" s="81" t="n">
        <x:v>-0.9362815853551665</x:v>
      </x:c>
      <x:c r="L1110" s="81" t="n">
        <x:v>-0.9370815121855842</x:v>
      </x:c>
      <x:c r="M1110" s="80" t="n">
        <x:v>1454.127976403588</x:v>
      </x:c>
      <x:c r="N1110" s="82" t="n">
        <x:v>0.3012500581229687</x:v>
      </x:c>
      <x:c r="O1110" s="82" t="n">
        <x:v>0.07966974984343535</x:v>
      </x:c>
      <x:c r="P1110" s="80" t="n">
        <x:v>958.613319374511</x:v>
      </x:c>
      <x:c r="Q1110" s="81" t="n">
        <x:v>0.0033770446235971002</x:v>
      </x:c>
      <x:c r="R1110" s="81" t="n">
        <x:v>156.3969023170988</x:v>
      </x:c>
      <x:c r="S1110" s="81" t="n">
        <x:v>10.148441110767719</x:v>
      </x:c>
      <x:c r="T1110" s="81" t="n">
        <x:v>1.2077449759129555</x:v>
      </x:c>
    </x:row>
    <x:row r="1111">
      <x:c r="A1111" s="59" t="n">
        <x:v>1108</x:v>
      </x:c>
      <x:c r="B1111" s="193" t="n">
        <x:v>0.7019982540979981</x:v>
      </x:c>
      <x:c r="C1111" s="83" t="n">
        <x:v>0.21119724937875875</x:v>
      </x:c>
      <x:c r="D1111" s="83" t="n">
        <x:v>1.3143707522303176</x:v>
      </x:c>
      <x:c r="E1111" s="81" t="n">
        <x:v>-0.02295947364091733</x:v>
      </x:c>
      <x:c r="F1111" s="81" t="n">
        <x:v>0.8764272266649641</x:v>
      </x:c>
      <x:c r="G1111" s="81" t="n">
        <x:v>-0.0012049917716937032</x:v>
      </x:c>
      <x:c r="H1111" s="59" t="n">
        <x:v>57</x:v>
      </x:c>
      <x:c r="I1111" s="81" t="n">
        <x:v>0.44582324549555785</x:v>
      </x:c>
      <x:c r="J1111" s="79" t="n">
        <x:v>7.453806248993504e-23</x:v>
      </x:c>
      <x:c r="K1111" s="81" t="n">
        <x:v>-1</x:v>
      </x:c>
      <x:c r="L1111" s="81" t="n">
        <x:v>-1</x:v>
      </x:c>
      <x:c r="M1111" s="80" t="n">
        <x:v>0.000002</x:v>
      </x:c>
      <x:c r="N1111" s="82" t="n">
        <x:v>0.26932289659340763</x:v>
      </x:c>
      <x:c r="O1111" s="82" t="n">
        <x:v>0.22297700574741333</x:v>
      </x:c>
      <x:c r="P1111" s="80" t="n">
        <x:v>595.986815172893</x:v>
      </x:c>
      <x:c r="Q1111" s="81" t="n">
        <x:v>1207572.448029527</x:v>
      </x:c>
      <x:c r="R1111" s="81" t="n">
        <x:v>16.206579244515645</x:v>
      </x:c>
      <x:c r="S1111" s="81" t="n">
        <x:v>9.36776969327612e-10</x:v>
      </x:c>
      <x:c r="T1111" s="81" t="n">
        <x:v>1.6146571664595242e-18</x:v>
      </x:c>
    </x:row>
    <x:row r="1112">
      <x:c r="A1112" s="59" t="n">
        <x:v>1109</x:v>
      </x:c>
      <x:c r="B1112" s="193" t="n">
        <x:v>0.971553977020085</x:v>
      </x:c>
      <x:c r="C1112" s="83" t="n">
        <x:v>1.907195046068439</x:v>
      </x:c>
      <x:c r="D1112" s="83" t="n">
        <x:v>0.6740934019755207</x:v>
      </x:c>
      <x:c r="E1112" s="81" t="n">
        <x:v>0.0015183298887745534</x:v>
      </x:c>
      <x:c r="F1112" s="81" t="n">
        <x:v>0.2583125526551157</x:v>
      </x:c>
      <x:c r="G1112" s="81" t="n">
        <x:v>0.021224498444457018</x:v>
      </x:c>
      <x:c r="H1112" s="59" t="n">
        <x:v>0</x:v>
      </x:c>
      <x:c r="I1112" s="81" t="n">
        <x:v>0</x:v>
      </x:c>
      <x:c r="J1112" s="79" t="n">
        <x:v>0.00001835231480341842</x:v>
      </x:c>
      <x:c r="K1112" s="81" t="n">
        <x:v>-0.9790259259389503</x:v>
      </x:c>
      <x:c r="L1112" s="81" t="n">
        <x:v>-0.9790259259389503</x:v>
      </x:c>
      <x:c r="M1112" s="80" t="n">
        <x:v>2128.137488699155</x:v>
      </x:c>
      <x:c r="N1112" s="82" t="n">
        <x:v>0.3335361239632535</x:v>
      </x:c>
      <x:c r="O1112" s="82" t="n">
        <x:v>0.08138780399301045</x:v>
      </x:c>
      <x:c r="P1112" s="80" t="n">
        <x:v>7477.756556836441</x:v>
      </x:c>
      <x:c r="Q1112" s="81" t="n">
        <x:v>0.04237716578290754</x:v>
      </x:c>
      <x:c r="R1112" s="81" t="n">
        <x:v>9.416487364176952</x:v>
      </x:c>
      <x:c r="S1112" s="81" t="n">
        <x:v>0.45863344918348986</x:v>
      </x:c>
      <x:c r="T1112" s="81" t="n">
        <x:v>0.39755120576768566</x:v>
      </x:c>
    </x:row>
    <x:row r="1113">
      <x:c r="A1113" s="59" t="n">
        <x:v>1110</x:v>
      </x:c>
      <x:c r="B1113" s="193" t="n">
        <x:v>0.4577494351193309</x:v>
      </x:c>
      <x:c r="C1113" s="83" t="n">
        <x:v>0.7819625859732706</x:v>
      </x:c>
      <x:c r="D1113" s="83" t="n">
        <x:v>0.20394798772224654</x:v>
      </x:c>
      <x:c r="E1113" s="81" t="n">
        <x:v>0.12084594786165084</x:v>
      </x:c>
      <x:c r="F1113" s="81" t="n">
        <x:v>0.2896795662119985</x:v>
      </x:c>
      <x:c r="G1113" s="81" t="n">
        <x:v>0.013664721151315501</x:v>
      </x:c>
      <x:c r="H1113" s="59" t="n">
        <x:v>0</x:v>
      </x:c>
      <x:c r="I1113" s="81" t="n">
        <x:v>0</x:v>
      </x:c>
      <x:c r="J1113" s="79" t="n">
        <x:v>0.003423583117182469</x:v>
      </x:c>
      <x:c r="K1113" s="81" t="n">
        <x:v>2.912666419637108</x:v>
      </x:c>
      <x:c r="L1113" s="81" t="n">
        <x:v>-0.4623091433137815</x:v>
      </x:c>
      <x:c r="M1113" s="80" t="n">
        <x:v>19654.099206415336</x:v>
      </x:c>
      <x:c r="N1113" s="82" t="n">
        <x:v>0.21113824824733296</x:v>
      </x:c>
      <x:c r="O1113" s="82" t="n">
        <x:v>0.05777709704301627</x:v>
      </x:c>
      <x:c r="P1113" s="80" t="n">
        <x:v>8509.80632436729</x:v>
      </x:c>
      <x:c r="Q1113" s="81" t="n">
        <x:v>0.0011630947699545274</x:v>
      </x:c>
      <x:c r="R1113" s="81" t="n">
        <x:v>65.90000889855065</x:v>
      </x:c>
      <x:c r="S1113" s="81" t="n">
        <x:v>82.58217609935069</x:v>
      </x:c>
      <x:c r="T1113" s="81" t="n">
        <x:v>74.16228475049178</x:v>
      </x:c>
    </x:row>
    <x:row r="1114">
      <x:c r="A1114" s="59" t="n">
        <x:v>1111</x:v>
      </x:c>
      <x:c r="B1114" s="193" t="n">
        <x:v>0.7660777674987913</x:v>
      </x:c>
      <x:c r="C1114" s="83" t="n">
        <x:v>0.4918832426260899</x:v>
      </x:c>
      <x:c r="D1114" s="83" t="n">
        <x:v>0.4575377741753111</x:v>
      </x:c>
      <x:c r="E1114" s="81" t="n">
        <x:v>-0.09254359337373667</x:v>
      </x:c>
      <x:c r="F1114" s="81" t="n">
        <x:v>0.3268749307957478</x:v>
      </x:c>
      <x:c r="G1114" s="81" t="n">
        <x:v>-0.05</x:v>
      </x:c>
      <x:c r="H1114" s="59" t="n">
        <x:v>0</x:v>
      </x:c>
      <x:c r="I1114" s="81" t="n">
        <x:v>0</x:v>
      </x:c>
      <x:c r="J1114" s="79" t="n">
        <x:v>4.222381519948873e-23</x:v>
      </x:c>
      <x:c r="K1114" s="81" t="n">
        <x:v>-1</x:v>
      </x:c>
      <x:c r="L1114" s="81" t="n">
        <x:v>-1</x:v>
      </x:c>
      <x:c r="M1114" s="80" t="n">
        <x:v>0.000002</x:v>
      </x:c>
      <x:c r="N1114" s="82" t="n">
        <x:v>0.2845878381763525</x:v>
      </x:c>
      <x:c r="O1114" s="82" t="n">
        <x:v>0.08787571926217738</x:v>
      </x:c>
      <x:c r="P1114" s="80" t="n">
        <x:v>241.79447948772477</x:v>
      </x:c>
      <x:c r="Q1114" s="81" t="n">
        <x:v>564845.591504142</x:v>
      </x:c>
      <x:c r="R1114" s="81" t="n">
        <x:v>6.951924047726668</x:v>
      </x:c>
      <x:c r="S1114" s="81" t="n">
        <x:v>1.4393511571277538e-10</x:v>
      </x:c>
      <x:c r="T1114" s="81" t="n">
        <x:v>9.146600210640448e-19</x:v>
      </x:c>
    </x:row>
    <x:row r="1115">
      <x:c r="A1115" s="59" t="n">
        <x:v>1112</x:v>
      </x:c>
      <x:c r="B1115" s="193" t="n">
        <x:v>0.9771206149831415</x:v>
      </x:c>
      <x:c r="C1115" s="83" t="n">
        <x:v>2.247174730488883</x:v>
      </x:c>
      <x:c r="D1115" s="83" t="n">
        <x:v>3</x:v>
      </x:c>
      <x:c r="E1115" s="81" t="n">
        <x:v>-0.009155017513173706</x:v>
      </x:c>
      <x:c r="F1115" s="81" t="n">
        <x:v>0.7970869082142599</x:v>
      </x:c>
      <x:c r="G1115" s="81" t="n">
        <x:v>-0.014914863181880329</x:v>
      </x:c>
      <x:c r="H1115" s="59" t="n">
        <x:v>0</x:v>
      </x:c>
      <x:c r="I1115" s="81" t="n">
        <x:v>0</x:v>
      </x:c>
      <x:c r="J1115" s="79" t="n">
        <x:v>1.122307286369432e-19</x:v>
      </x:c>
      <x:c r="K1115" s="81" t="n">
        <x:v>-0.9999999999999999</x:v>
      </x:c>
      <x:c r="L1115" s="81" t="n">
        <x:v>-0.9999999999999999</x:v>
      </x:c>
      <x:c r="M1115" s="80" t="n">
        <x:v>0.00019401742168181094</x:v>
      </x:c>
      <x:c r="N1115" s="82" t="n">
        <x:v>0.3348622015005152</x:v>
      </x:c>
      <x:c r="O1115" s="82" t="n">
        <x:v>0.25214057916007687</x:v>
      </x:c>
      <x:c r="P1115" s="80" t="n">
        <x:v>4613.602405378263</x:v>
      </x:c>
      <x:c r="Q1115" s="81" t="n">
        <x:v>192482.97731384216</x:v>
      </x:c>
      <x:c r="R1115" s="81" t="n">
        <x:v>4.82839718695743</x:v>
      </x:c>
      <x:c r="S1115" s="81" t="n">
        <x:v>6.835440324087354e-8</x:v>
      </x:c>
      <x:c r="T1115" s="81" t="n">
        <x:v>2.43116260655533e-15</x:v>
      </x:c>
    </x:row>
    <x:row r="1116">
      <x:c r="A1116" s="59" t="n">
        <x:v>1113</x:v>
      </x:c>
      <x:c r="B1116" s="193" t="n">
        <x:v>0.6414778472855687</x:v>
      </x:c>
      <x:c r="C1116" s="83" t="n">
        <x:v>1.2547440963215124</x:v>
      </x:c>
      <x:c r="D1116" s="83" t="n">
        <x:v>0.4595794827990941</x:v>
      </x:c>
      <x:c r="E1116" s="81" t="n">
        <x:v>0.028667010133094903</x:v>
      </x:c>
      <x:c r="F1116" s="81" t="n">
        <x:v>0.4081579801044427</x:v>
      </x:c>
      <x:c r="G1116" s="81" t="n">
        <x:v>0.02613034385284274</x:v>
      </x:c>
      <x:c r="H1116" s="59" t="n">
        <x:v>0</x:v>
      </x:c>
      <x:c r="I1116" s="81" t="n">
        <x:v>0</x:v>
      </x:c>
      <x:c r="J1116" s="79" t="n">
        <x:v>0.0006658021374668435</x:v>
      </x:c>
      <x:c r="K1116" s="81" t="n">
        <x:v>-0.23908327146646446</x:v>
      </x:c>
      <x:c r="L1116" s="81" t="n">
        <x:v>-0.6969571547553269</x:v>
      </x:c>
      <x:c r="M1116" s="80" t="n">
        <x:v>10504.098208787009</x:v>
      </x:c>
      <x:c r="N1116" s="82" t="n">
        <x:v>0.25490580093305915</x:v>
      </x:c>
      <x:c r="O1116" s="82" t="n">
        <x:v>0.09828312408599384</x:v>
      </x:c>
      <x:c r="P1116" s="80" t="n">
        <x:v>10901.538565831557</x:v>
      </x:c>
      <x:c r="Q1116" s="81" t="n">
        <x:v>0.007242516485244144</x:v>
      </x:c>
      <x:c r="R1116" s="81" t="n">
        <x:v>20.465842328790227</x:v>
      </x:c>
      <x:c r="S1116" s="81" t="n">
        <x:v>11.167476863316711</x:v>
      </x:c>
      <x:c r="T1116" s="81" t="n">
        <x:v>14.422727889527215</x:v>
      </x:c>
    </x:row>
    <x:row r="1117">
      <x:c r="A1117" s="59" t="n">
        <x:v>1114</x:v>
      </x:c>
      <x:c r="B1117" s="193" t="n">
        <x:v>0.480368646979332</x:v>
      </x:c>
      <x:c r="C1117" s="83" t="n">
        <x:v>0.18903601985567287</x:v>
      </x:c>
      <x:c r="D1117" s="83" t="n">
        <x:v>0.6563815708444318</x:v>
      </x:c>
      <x:c r="E1117" s="81" t="n">
        <x:v>-0.09430004642509181</x:v>
      </x:c>
      <x:c r="F1117" s="81" t="n">
        <x:v>0.3390727089252323</x:v>
      </x:c>
      <x:c r="G1117" s="81" t="n">
        <x:v>0.02672363763507579</x:v>
      </x:c>
      <x:c r="H1117" s="59" t="n">
        <x:v>0</x:v>
      </x:c>
      <x:c r="I1117" s="81" t="n">
        <x:v>0</x:v>
      </x:c>
      <x:c r="J1117" s="79" t="n">
        <x:v>7.716157935939521e-35</x:v>
      </x:c>
      <x:c r="K1117" s="81" t="n">
        <x:v>-1</x:v>
      </x:c>
      <x:c r="L1117" s="81" t="n">
        <x:v>-1</x:v>
      </x:c>
      <x:c r="M1117" s="80" t="n">
        <x:v>0.000002</x:v>
      </x:c>
      <x:c r="N1117" s="82" t="n">
        <x:v>0.21652656862260794</x:v>
      </x:c>
      <x:c r="O1117" s="82" t="n">
        <x:v>0.06935455209641475</x:v>
      </x:c>
      <x:c r="P1117" s="80" t="n">
        <x:v>203.23088605527388</x:v>
      </x:c>
      <x:c r="Q1117" s="81" t="n">
        <x:v>303821290343319360</x:v>
      </x:c>
      <x:c r="R1117" s="81" t="n">
        <x:v>12.347436484870757</x:v>
      </x:c>
      <x:c r="S1117" s="81" t="n">
        <x:v>6.665260511002349e-10</x:v>
      </x:c>
      <x:c r="T1117" s="81" t="n">
        <x:v>1.671488269564376e-30</x:v>
      </x:c>
    </x:row>
    <x:row r="1118">
      <x:c r="A1118" s="59" t="n">
        <x:v>1115</x:v>
      </x:c>
      <x:c r="B1118" s="193" t="n">
        <x:v>0.8957774566486478</x:v>
      </x:c>
      <x:c r="C1118" s="83" t="n">
        <x:v>1.1366400326902617</x:v>
      </x:c>
      <x:c r="D1118" s="83" t="n">
        <x:v>0.5989084895435605</x:v>
      </x:c>
      <x:c r="E1118" s="81" t="n">
        <x:v>0.2</x:v>
      </x:c>
      <x:c r="F1118" s="81" t="n">
        <x:v>0.2983200549148023</x:v>
      </x:c>
      <x:c r="G1118" s="81" t="n">
        <x:v>0.0025053486513709976</x:v>
      </x:c>
      <x:c r="H1118" s="59" t="n">
        <x:v>0</x:v>
      </x:c>
      <x:c r="I1118" s="81" t="n">
        <x:v>0</x:v>
      </x:c>
      <x:c r="J1118" s="79" t="n">
        <x:v>0.0521372380792245</x:v>
      </x:c>
      <x:c r="K1118" s="81" t="n">
        <x:v>58.585414947685145</x:v>
      </x:c>
      <x:c r="L1118" s="81" t="n">
        <x:v>-0.7274063826504471</x:v>
      </x:c>
      <x:c r="M1118" s="80" t="n">
        <x:v>125753.82982936174</x:v>
      </x:c>
      <x:c r="N1118" s="82" t="n">
        <x:v>0.31548473600102017</x:v>
      </x:c>
      <x:c r="O1118" s="82" t="n">
        <x:v>0.08890613771216259</x:v>
      </x:c>
      <x:c r="P1118" s="80" t="n">
        <x:v>124251.48050669015</x:v>
      </x:c>
      <x:c r="Q1118" s="81" t="n">
        <x:v>0.0013003505845807389</x:v>
      </x:c>
      <x:c r="R1118" s="81" t="n">
        <x:v>824.3461518713865</x:v>
      </x:c>
      <x:c r="S1118" s="81" t="n">
        <x:v>870.084387114002</x:v>
      </x:c>
      <x:c r="T1118" s="81" t="n">
        <x:v>1129.406403814074</x:v>
      </x:c>
    </x:row>
    <x:row r="1119">
      <x:c r="A1119" s="59" t="n">
        <x:v>1116</x:v>
      </x:c>
      <x:c r="B1119" s="193" t="n">
        <x:v>0.26145961564034226</x:v>
      </x:c>
      <x:c r="C1119" s="83" t="n">
        <x:v>0.15402144639192408</x:v>
      </x:c>
      <x:c r="D1119" s="83" t="n">
        <x:v>0.5846719467759456</x:v>
      </x:c>
      <x:c r="E1119" s="81" t="n">
        <x:v>0.04052656742989629</x:v>
      </x:c>
      <x:c r="F1119" s="81" t="n">
        <x:v>0.5641244844882749</x:v>
      </x:c>
      <x:c r="G1119" s="81" t="n">
        <x:v>-0.039556342130732544</x:v>
      </x:c>
      <x:c r="H1119" s="59" t="n">
        <x:v>0</x:v>
      </x:c>
      <x:c r="I1119" s="81" t="n">
        <x:v>0</x:v>
      </x:c>
      <x:c r="J1119" s="79" t="n">
        <x:v>0.0001690882971011326</x:v>
      </x:c>
      <x:c r="K1119" s="81" t="n">
        <x:v>-0.8067562318844199</x:v>
      </x:c>
      <x:c r="L1119" s="81" t="n">
        <x:v>-0.8741921813301896</x:v>
      </x:c>
      <x:c r="M1119" s="80" t="n">
        <x:v>2750.5086980316205</x:v>
      </x:c>
      <x:c r="N1119" s="82" t="n">
        <x:v>0.16437833281332279</x:v>
      </x:c>
      <x:c r="O1119" s="82" t="n">
        <x:v>0.08759724810044993</x:v>
      </x:c>
      <x:c r="P1119" s="80" t="n">
        <x:v>3780.76212827594</x:v>
      </x:c>
      <x:c r="Q1119" s="81" t="n">
        <x:v>0.004462639389401005</x:v>
      </x:c>
      <x:c r="R1119" s="81" t="n">
        <x:v>175.04755535671177</x:v>
      </x:c>
      <x:c r="S1119" s="81" t="n">
        <x:v>20.772626877698865</x:v>
      </x:c>
      <x:c r="T1119" s="81" t="n">
        <x:v>3.662821672023567</x:v>
      </x:c>
    </x:row>
    <x:row r="1120">
      <x:c r="A1120" s="59" t="n">
        <x:v>1117</x:v>
      </x:c>
      <x:c r="B1120" s="193" t="n">
        <x:v>0.4910785306245089</x:v>
      </x:c>
      <x:c r="C1120" s="83" t="n">
        <x:v>0.3468288772339483</x:v>
      </x:c>
      <x:c r="D1120" s="83" t="n">
        <x:v>0.5194545597049378</x:v>
      </x:c>
      <x:c r="E1120" s="81" t="n">
        <x:v>0.06246274594487961</x:v>
      </x:c>
      <x:c r="F1120" s="81" t="n">
        <x:v>0.4191300518461503</x:v>
      </x:c>
      <x:c r="G1120" s="81" t="n">
        <x:v>0.036017636249985545</x:v>
      </x:c>
      <x:c r="H1120" s="59" t="n">
        <x:v>0</x:v>
      </x:c>
      <x:c r="I1120" s="81" t="n">
        <x:v>0</x:v>
      </x:c>
      <x:c r="J1120" s="79" t="n">
        <x:v>0.002635536397968004</x:v>
      </x:c>
      <x:c r="K1120" s="81" t="n">
        <x:v>2.0120415976777193</x:v>
      </x:c>
      <x:c r="L1120" s="81" t="n">
        <x:v>-0.6511477431186741</x:v>
      </x:c>
      <x:c r="M1120" s="80" t="n">
        <x:v>13743.442336913573</x:v>
      </x:c>
      <x:c r="N1120" s="82" t="n">
        <x:v>0.2190778637172077</x:v>
      </x:c>
      <x:c r="O1120" s="82" t="n">
        <x:v>0.0867397648212043</x:v>
      </x:c>
      <x:c r="P1120" s="80" t="n">
        <x:v>14637.649928725497</x:v>
      </x:c>
      <x:c r="Q1120" s="81" t="n">
        <x:v>0.0032383401195871585</x:v>
      </x:c>
      <x:c r="R1120" s="81" t="n">
        <x:v>131.38789181936525</x:v>
      </x:c>
      <x:c r="S1120" s="81" t="n">
        <x:v>144.8529882557379</x:v>
      </x:c>
      <x:c r="T1120" s="81" t="n">
        <x:v>57.09147233359578</x:v>
      </x:c>
    </x:row>
    <x:row r="1121">
      <x:c r="A1121" s="59" t="n">
        <x:v>1118</x:v>
      </x:c>
      <x:c r="B1121" s="193" t="n">
        <x:v>0.8145541738718749</x:v>
      </x:c>
      <x:c r="C1121" s="83" t="n">
        <x:v>2.1243522306198845</x:v>
      </x:c>
      <x:c r="D1121" s="83" t="n">
        <x:v>0.6987062667659383</x:v>
      </x:c>
      <x:c r="E1121" s="81" t="n">
        <x:v>0.052188668082405666</x:v>
      </x:c>
      <x:c r="F1121" s="81" t="n">
        <x:v>0.5807919032289647</x:v>
      </x:c>
      <x:c r="G1121" s="81" t="n">
        <x:v>0.0056598106115896595</x:v>
      </x:c>
      <x:c r="H1121" s="59" t="n">
        <x:v>0</x:v>
      </x:c>
      <x:c r="I1121" s="81" t="n">
        <x:v>0</x:v>
      </x:c>
      <x:c r="J1121" s="79" t="n">
        <x:v>0.002560147679824104</x:v>
      </x:c>
      <x:c r="K1121" s="81" t="n">
        <x:v>1.9258830626561192</x:v>
      </x:c>
      <x:c r="L1121" s="81" t="n">
        <x:v>-0.6288134838936978</x:v>
      </x:c>
      <x:c r="M1121" s="80" t="n">
        <x:v>31096.505864047816</x:v>
      </x:c>
      <x:c r="N1121" s="82" t="n">
        <x:v>0.29613582710704084</x:v>
      </x:c>
      <x:c r="O1121" s="82" t="n">
        <x:v>0.16247346684411473</x:v>
      </x:c>
      <x:c r="P1121" s="80" t="n">
        <x:v>42184.37219436891</x:v>
      </x:c>
      <x:c r="Q1121" s="81" t="n">
        <x:v>0.007186629477505457</x:v>
      </x:c>
      <x:c r="R1121" s="81" t="n">
        <x:v>32.46456916794386</x:v>
      </x:c>
      <x:c r="S1121" s="81" t="n">
        <x:v>25.789183274939813</x:v>
      </x:c>
      <x:c r="T1121" s="81" t="n">
        <x:v>55.45838810850364</x:v>
      </x:c>
    </x:row>
    <x:row r="1122">
      <x:c r="A1122" s="59" t="n">
        <x:v>1119</x:v>
      </x:c>
      <x:c r="B1122" s="193" t="n">
        <x:v>0.7034184105694294</x:v>
      </x:c>
      <x:c r="C1122" s="83" t="n">
        <x:v>0.684776598145423</x:v>
      </x:c>
      <x:c r="D1122" s="83" t="n">
        <x:v>0.5436935606697</x:v>
      </x:c>
      <x:c r="E1122" s="81" t="n">
        <x:v>0.028576912580437576</x:v>
      </x:c>
      <x:c r="F1122" s="81" t="n">
        <x:v>0.25441903768805785</x:v>
      </x:c>
      <x:c r="G1122" s="81" t="n">
        <x:v>0.03829347351993453</x:v>
      </x:c>
      <x:c r="H1122" s="59" t="n">
        <x:v>0</x:v>
      </x:c>
      <x:c r="I1122" s="81" t="n">
        <x:v>0</x:v>
      </x:c>
      <x:c r="J1122" s="79" t="n">
        <x:v>0.0016034233735544234</x:v>
      </x:c>
      <x:c r="K1122" s="81" t="n">
        <x:v>0.8324838554907699</x:v>
      </x:c>
      <x:c r="L1122" s="81" t="n">
        <x:v>-0.5687639183750339</x:v>
      </x:c>
      <x:c r="M1122" s="80" t="n">
        <x:v>12375.483760042554</x:v>
      </x:c>
      <x:c r="N1122" s="82" t="n">
        <x:v>0.26966120449283654</x:v>
      </x:c>
      <x:c r="O1122" s="82" t="n">
        <x:v>0.06480955172136939</x:v>
      </x:c>
      <x:c r="P1122" s="80" t="n">
        <x:v>14594.90005567789</x:v>
      </x:c>
      <x:c r="Q1122" s="81" t="n">
        <x:v>0.004964571076865846</x:v>
      </x:c>
      <x:c r="R1122" s="81" t="n">
        <x:v>43.99210206638745</x:v>
      </x:c>
      <x:c r="S1122" s="81" t="n">
        <x:v>46.305088200154586</x:v>
      </x:c>
      <x:c r="T1122" s="81" t="n">
        <x:v>34.73365089584868</x:v>
      </x:c>
    </x:row>
    <x:row r="1123">
      <x:c r="A1123" s="59" t="n">
        <x:v>1120</x:v>
      </x:c>
      <x:c r="B1123" s="193" t="n">
        <x:v>0.2333129657432437</x:v>
      </x:c>
      <x:c r="C1123" s="83" t="n">
        <x:v>0.30656021428461844</x:v>
      </x:c>
      <x:c r="D1123" s="83" t="n">
        <x:v>1.1291197059404965</x:v>
      </x:c>
      <x:c r="E1123" s="81" t="n">
        <x:v>-0.10334346682920931</x:v>
      </x:c>
      <x:c r="F1123" s="81" t="n">
        <x:v>0.5208601934951731</x:v>
      </x:c>
      <x:c r="G1123" s="81" t="n">
        <x:v>0.03859907521617324</x:v>
      </x:c>
      <x:c r="H1123" s="59" t="n">
        <x:v>54</x:v>
      </x:c>
      <x:c r="I1123" s="81" t="n">
        <x:v>0.3857873026281595</x:v>
      </x:c>
      <x:c r="J1123" s="79" t="n">
        <x:v>2.728871366001513e-54</x:v>
      </x:c>
      <x:c r="K1123" s="81" t="n">
        <x:v>-1</x:v>
      </x:c>
      <x:c r="L1123" s="81" t="n">
        <x:v>-1</x:v>
      </x:c>
      <x:c r="M1123" s="80" t="n">
        <x:v>0.000002</x:v>
      </x:c>
      <x:c r="N1123" s="82" t="n">
        <x:v>0.1576732730581483</x:v>
      </x:c>
      <x:c r="O1123" s="82" t="n">
        <x:v>0.07758007458644424</x:v>
      </x:c>
      <x:c r="P1123" s="80" t="n">
        <x:v>230.15563172049644</x:v>
      </x:c>
      <x:c r="Q1123" s="81" t="n">
        <x:v>7.903863620070666e+36</x:v>
      </x:c>
      <x:c r="R1123" s="81" t="n">
        <x:v>4.301888155270751</x:v>
      </x:c>
      <x:c r="S1123" s="81" t="n">
        <x:v>1.2001379371400157e-9</x:v>
      </x:c>
      <x:c r="T1123" s="81" t="n">
        <x:v>5.911331151189378e-50</x:v>
      </x:c>
    </x:row>
    <x:row r="1124">
      <x:c r="A1124" s="59" t="n">
        <x:v>1121</x:v>
      </x:c>
      <x:c r="B1124" s="193" t="n">
        <x:v>0.7228556076064707</x:v>
      </x:c>
      <x:c r="C1124" s="83" t="n">
        <x:v>0.5706504308031469</x:v>
      </x:c>
      <x:c r="D1124" s="83" t="n">
        <x:v>0.5028666464487975</x:v>
      </x:c>
      <x:c r="E1124" s="81" t="n">
        <x:v>-0.04252640571499391</x:v>
      </x:c>
      <x:c r="F1124" s="81" t="n">
        <x:v>0.5521513326326386</x:v>
      </x:c>
      <x:c r="G1124" s="81" t="n">
        <x:v>0.024047417767910643</x:v>
      </x:c>
      <x:c r="H1124" s="59" t="n">
        <x:v>34</x:v>
      </x:c>
      <x:c r="I1124" s="81" t="n">
        <x:v>0.19930107602849603</x:v>
      </x:c>
      <x:c r="J1124" s="79" t="n">
        <x:v>9.980474352999337e-20</x:v>
      </x:c>
      <x:c r="K1124" s="81" t="n">
        <x:v>-0.9999999999999999</x:v>
      </x:c>
      <x:c r="L1124" s="81" t="n">
        <x:v>-0.9999999999999999</x:v>
      </x:c>
      <x:c r="M1124" s="80" t="n">
        <x:v>0.00008851353789796583</x:v>
      </x:c>
      <x:c r="N1124" s="82" t="n">
        <x:v>0.2742915092745042</x:v>
      </x:c>
      <x:c r="O1124" s="82" t="n">
        <x:v>0.14306764576024503</x:v>
      </x:c>
      <x:c r="P1124" s="80" t="n">
        <x:v>435.2627146223816</x:v>
      </x:c>
      <x:c r="Q1124" s="81" t="n">
        <x:v>21960.972806419537</x:v>
      </x:c>
      <x:c r="R1124" s="81" t="n">
        <x:v>9.067796318358443</x:v>
      </x:c>
      <x:c r="S1124" s="81" t="n">
        <x:v>1.7510678029686924e-8</x:v>
      </x:c>
      <x:c r="T1124" s="81" t="n">
        <x:v>2.161988640489804e-15</x:v>
      </x:c>
    </x:row>
    <x:row r="1125">
      <x:c r="A1125" s="59" t="n">
        <x:v>1122</x:v>
      </x:c>
      <x:c r="B1125" s="193" t="n">
        <x:v>0.4958916436880827</x:v>
      </x:c>
      <x:c r="C1125" s="83" t="n">
        <x:v>0.11000319544426866</x:v>
      </x:c>
      <x:c r="D1125" s="83" t="n">
        <x:v>0.7772605209721801</x:v>
      </x:c>
      <x:c r="E1125" s="81" t="n">
        <x:v>-0.04784726714598644</x:v>
      </x:c>
      <x:c r="F1125" s="81" t="n">
        <x:v>0.2743552878848277</x:v>
      </x:c>
      <x:c r="G1125" s="81" t="n">
        <x:v>0.016758037153457674</x:v>
      </x:c>
      <x:c r="H1125" s="59" t="n">
        <x:v>0</x:v>
      </x:c>
      <x:c r="I1125" s="81" t="n">
        <x:v>0</x:v>
      </x:c>
      <x:c r="J1125" s="79" t="n">
        <x:v>7.488968766112629e-26</x:v>
      </x:c>
      <x:c r="K1125" s="81" t="n">
        <x:v>-1</x:v>
      </x:c>
      <x:c r="L1125" s="81" t="n">
        <x:v>-1</x:v>
      </x:c>
      <x:c r="M1125" s="80" t="n">
        <x:v>0.000002</x:v>
      </x:c>
      <x:c r="N1125" s="82" t="n">
        <x:v>0.22022443749482037</x:v>
      </x:c>
      <x:c r="O1125" s="82" t="n">
        <x:v>0.057075508098071694</x:v>
      </x:c>
      <x:c r="P1125" s="80" t="n">
        <x:v>343.2819437092228</x:v>
      </x:c>
      <x:c r="Q1125" s="81" t="n">
        <x:v>590763465.2244521</x:v>
      </x:c>
      <x:c r="R1125" s="81" t="n">
        <x:v>33.79976445798104</x:v>
      </x:c>
      <x:c r="S1125" s="81" t="n">
        <x:v>7.50863149579277e-10</x:v>
      </x:c>
      <x:c r="T1125" s="81" t="n">
        <x:v>1.6222741353423447e-21</x:v>
      </x:c>
    </x:row>
    <x:row r="1126">
      <x:c r="A1126" s="59" t="n">
        <x:v>1123</x:v>
      </x:c>
      <x:c r="B1126" s="193" t="n">
        <x:v>0.9942628521472217</x:v>
      </x:c>
      <x:c r="C1126" s="83" t="n">
        <x:v>0.4231894212183748</x:v>
      </x:c>
      <x:c r="D1126" s="83" t="n">
        <x:v>0.6810035479202906</x:v>
      </x:c>
      <x:c r="E1126" s="81" t="n">
        <x:v>0.1348383646794166</x:v>
      </x:c>
      <x:c r="F1126" s="81" t="n">
        <x:v>0.5405499279149808</x:v>
      </x:c>
      <x:c r="G1126" s="81" t="n">
        <x:v>0.031835594998950834</x:v>
      </x:c>
      <x:c r="H1126" s="59" t="n">
        <x:v>83</x:v>
      </x:c>
      <x:c r="I1126" s="81" t="n">
        <x:v>0.38796316199004655</x:v>
      </x:c>
      <x:c r="J1126" s="79" t="n">
        <x:v>0.006593380834630388</x:v>
      </x:c>
      <x:c r="K1126" s="81" t="n">
        <x:v>6.535292382434729</x:v>
      </x:c>
      <x:c r="L1126" s="81" t="n">
        <x:v>-0.9309460981735217</x:v>
      </x:c>
      <x:c r="M1126" s="80" t="n">
        <x:v>29007.899582105656</x:v>
      </x:c>
      <x:c r="N1126" s="82" t="n">
        <x:v>0.3389458038099458</x:v>
      </x:c>
      <x:c r="O1126" s="82" t="n">
        <x:v>0.17307606683837737</x:v>
      </x:c>
      <x:c r="P1126" s="80" t="n">
        <x:v>34817.13140030213</x:v>
      </x:c>
      <x:c r="Q1126" s="81" t="n">
        <x:v>0.003528401734579529</x:v>
      </x:c>
      <x:c r="R1126" s="81" t="n">
        <x:v>263.277179324995</x:v>
      </x:c>
      <x:c r="S1126" s="81" t="n">
        <x:v>299.0864510348883</x:v>
      </x:c>
      <x:c r="T1126" s="81" t="n">
        <x:v>142.82702367358135</x:v>
      </x:c>
    </x:row>
    <x:row r="1127">
      <x:c r="A1127" s="59" t="n">
        <x:v>1124</x:v>
      </x:c>
      <x:c r="B1127" s="193" t="n">
        <x:v>0.38069714419543743</x:v>
      </x:c>
      <x:c r="C1127" s="83" t="n">
        <x:v>0.9872546466628123</x:v>
      </x:c>
      <x:c r="D1127" s="83" t="n">
        <x:v>1.0145289377992992</x:v>
      </x:c>
      <x:c r="E1127" s="81" t="n">
        <x:v>0.08532127720654571</x:v>
      </x:c>
      <x:c r="F1127" s="81" t="n">
        <x:v>0.3734266424784437</x:v>
      </x:c>
      <x:c r="G1127" s="81" t="n">
        <x:v>-0.0026332727889241507</x:v>
      </x:c>
      <x:c r="H1127" s="59" t="n">
        <x:v>35</x:v>
      </x:c>
      <x:c r="I1127" s="81" t="n">
        <x:v>0.17231078427284957</x:v>
      </x:c>
      <x:c r="J1127" s="79" t="n">
        <x:v>0.03246844062578624</x:v>
      </x:c>
      <x:c r="K1127" s="81" t="n">
        <x:v>36.10678928661285</x:v>
      </x:c>
      <x:c r="L1127" s="81" t="n">
        <x:v>-0.8598225066966757</x:v>
      </x:c>
      <x:c r="M1127" s="80" t="n">
        <x:v>82699.31220093695</x:v>
      </x:c>
      <x:c r="N1127" s="82" t="n">
        <x:v>0.192782947818807</x:v>
      </x:c>
      <x:c r="O1127" s="82" t="n">
        <x:v>0.0680056284651124</x:v>
      </x:c>
      <x:c r="P1127" s="80" t="n">
        <x:v>136793.01004496397</x:v>
      </x:c>
      <x:c r="Q1127" s="81" t="n">
        <x:v>0.002146816686364783</x:v>
      </x:c>
      <x:c r="R1127" s="81" t="n">
        <x:v>606.9788194600144</x:v>
      </x:c>
      <x:c r="S1127" s="81" t="n">
        <x:v>629.8083486637956</x:v>
      </x:c>
      <x:c r="T1127" s="81" t="n">
        <x:v>703.3373096767896</x:v>
      </x:c>
    </x:row>
    <x:row r="1128">
      <x:c r="A1128" s="59" t="n">
        <x:v>1125</x:v>
      </x:c>
      <x:c r="B1128" s="193" t="n">
        <x:v>0.7297425037249923</x:v>
      </x:c>
      <x:c r="C1128" s="83" t="n">
        <x:v>0.6379780339643869</x:v>
      </x:c>
      <x:c r="D1128" s="83" t="n">
        <x:v>0.9380159422300665</x:v>
      </x:c>
      <x:c r="E1128" s="81" t="n">
        <x:v>0.03537510121214804</x:v>
      </x:c>
      <x:c r="F1128" s="81" t="n">
        <x:v>0.49359330991283057</x:v>
      </x:c>
      <x:c r="G1128" s="81" t="n">
        <x:v>0.03791677309011723</x:v>
      </x:c>
      <x:c r="H1128" s="59" t="n">
        <x:v>80</x:v>
      </x:c>
      <x:c r="I1128" s="81" t="n">
        <x:v>0.17639464559033513</x:v>
      </x:c>
      <x:c r="J1128" s="79" t="n">
        <x:v>0.0019443748800381556</x:v>
      </x:c>
      <x:c r="K1128" s="81" t="n">
        <x:v>1.2221427200436068</x:v>
      </x:c>
      <x:c r="L1128" s="81" t="n">
        <x:v>-0.7981220280748783</x:v>
      </x:c>
      <x:c r="M1128" s="80" t="n">
        <x:v>14437.74336811023</x:v>
      </x:c>
      <x:c r="N1128" s="82" t="n">
        <x:v>0.2759320970592379</x:v>
      </x:c>
      <x:c r="O1128" s="82" t="n">
        <x:v>0.12865966850893723</x:v>
      </x:c>
      <x:c r="P1128" s="80" t="n">
        <x:v>27208.52737950796</x:v>
      </x:c>
      <x:c r="Q1128" s="81" t="n">
        <x:v>0.00835232104935529</x:v>
      </x:c>
      <x:c r="R1128" s="81" t="n">
        <x:v>63.69227170486021</x:v>
      </x:c>
      <x:c r="S1128" s="81" t="n">
        <x:v>62.445847110883214</x:v>
      </x:c>
      <x:c r="T1128" s="81" t="n">
        <x:v>42.1194048981541</x:v>
      </x:c>
    </x:row>
    <x:row r="1129">
      <x:c r="A1129" s="59" t="n">
        <x:v>1126</x:v>
      </x:c>
      <x:c r="B1129" s="193" t="n">
        <x:v>0.40554416831582785</x:v>
      </x:c>
      <x:c r="C1129" s="83" t="n">
        <x:v>0.5722361123852615</x:v>
      </x:c>
      <x:c r="D1129" s="83" t="n">
        <x:v>0.8584184228804799</x:v>
      </x:c>
      <x:c r="E1129" s="81" t="n">
        <x:v>0.11419504816173717</x:v>
      </x:c>
      <x:c r="F1129" s="81" t="n">
        <x:v>0.47379865742987026</x:v>
      </x:c>
      <x:c r="G1129" s="81" t="n">
        <x:v>-0.01694376470597441</x:v>
      </x:c>
      <x:c r="H1129" s="59" t="n">
        <x:v>50</x:v>
      </x:c>
      <x:c r="I1129" s="81" t="n">
        <x:v>0.16807465525344015</x:v>
      </x:c>
      <x:c r="J1129" s="79" t="n">
        <x:v>0.011199186469327172</x:v>
      </x:c>
      <x:c r="K1129" s="81" t="n">
        <x:v>11.799070250659627</x:v>
      </x:c>
      <x:c r="L1129" s="81" t="n">
        <x:v>-0.8943108368201678</x:v>
      </x:c>
      <x:c r="M1129" s="80" t="n">
        <x:v>38894.925753947675</x:v>
      </x:c>
      <x:c r="N1129" s="82" t="n">
        <x:v>0.1987019748459861</x:v>
      </x:c>
      <x:c r="O1129" s="82" t="n">
        <x:v>0.08893382081545889</x:v>
      </x:c>
      <x:c r="P1129" s="80" t="n">
        <x:v>55524.01544334565</x:v>
      </x:c>
      <x:c r="Q1129" s="81" t="n">
        <x:v>0.0020772435212798204</x:v>
      </x:c>
      <x:c r="R1129" s="81" t="n">
        <x:v>658.0657995203314</x:v>
      </x:c>
      <x:c r="S1129" s="81" t="n">
        <x:v>371.6665826968973</x:v>
      </x:c>
      <x:c r="T1129" s="81" t="n">
        <x:v>242.5988292043063</x:v>
      </x:c>
    </x:row>
    <x:row r="1130">
      <x:c r="A1130" s="59" t="n">
        <x:v>1127</x:v>
      </x:c>
      <x:c r="B1130" s="193" t="n">
        <x:v>0.3119313605129719</x:v>
      </x:c>
      <x:c r="C1130" s="83" t="n">
        <x:v>2.9064748155113644</x:v>
      </x:c>
      <x:c r="D1130" s="83" t="n">
        <x:v>1.3918633915610008</x:v>
      </x:c>
      <x:c r="E1130" s="81" t="n">
        <x:v>0.0005819705211218392</x:v>
      </x:c>
      <x:c r="F1130" s="81" t="n">
        <x:v>0.6191744736279361</x:v>
      </x:c>
      <x:c r="G1130" s="81" t="n">
        <x:v>0.011159545815496066</x:v>
      </x:c>
      <x:c r="H1130" s="59" t="n">
        <x:v>0</x:v>
      </x:c>
      <x:c r="I1130" s="81" t="n">
        <x:v>0</x:v>
      </x:c>
      <x:c r="J1130" s="79" t="n">
        <x:v>0.000016346897935535537</x:v>
      </x:c>
      <x:c r="K1130" s="81" t="n">
        <x:v>-0.9813178309308165</x:v>
      </x:c>
      <x:c r="L1130" s="81" t="n">
        <x:v>-0.9813178309308165</x:v>
      </x:c>
      <x:c r="M1130" s="80" t="n">
        <x:v>2695.846222512174</x:v>
      </x:c>
      <x:c r="N1130" s="82" t="n">
        <x:v>0.1764016487871996</x:v>
      </x:c>
      <x:c r="O1130" s="82" t="n">
        <x:v>0.10317788602808774</x:v>
      </x:c>
      <x:c r="P1130" s="80" t="n">
        <x:v>19789.7154392252</x:v>
      </x:c>
      <x:c r="Q1130" s="81" t="n">
        <x:v>0.11043317619918522</x:v>
      </x:c>
      <x:c r="R1130" s="81" t="n">
        <x:v>8.073887261589066</x:v>
      </x:c>
      <x:c r="S1130" s="81" t="n">
        <x:v>0.5871694993465013</x:v>
      </x:c>
      <x:c r="T1130" s="81" t="n">
        <x:v>0.3541094981447762</x:v>
      </x:c>
    </x:row>
    <x:row r="1131">
      <x:c r="A1131" s="59" t="n">
        <x:v>1128</x:v>
      </x:c>
      <x:c r="B1131" s="193" t="n">
        <x:v>0.46172412987798456</x:v>
      </x:c>
      <x:c r="C1131" s="83" t="n">
        <x:v>0.9769963698754708</x:v>
      </x:c>
      <x:c r="D1131" s="83" t="n">
        <x:v>0.32621289616641147</x:v>
      </x:c>
      <x:c r="E1131" s="81" t="n">
        <x:v>-0.13936520388314516</x:v>
      </x:c>
      <x:c r="F1131" s="81" t="n">
        <x:v>0.4830405712709762</x:v>
      </x:c>
      <x:c r="G1131" s="81" t="n">
        <x:v>-0.023224451935531132</x:v>
      </x:c>
      <x:c r="H1131" s="59" t="n">
        <x:v>0</x:v>
      </x:c>
      <x:c r="I1131" s="81" t="n">
        <x:v>0</x:v>
      </x:c>
      <x:c r="J1131" s="79" t="n">
        <x:v>1.4112633521745796e-25</x:v>
      </x:c>
      <x:c r="K1131" s="81" t="n">
        <x:v>-1</x:v>
      </x:c>
      <x:c r="L1131" s="81" t="n">
        <x:v>-1</x:v>
      </x:c>
      <x:c r="M1131" s="80" t="n">
        <x:v>0.000002</x:v>
      </x:c>
      <x:c r="N1131" s="82" t="n">
        <x:v>0.212085095064371</x:v>
      </x:c>
      <x:c r="O1131" s="82" t="n">
        <x:v>0.09677533856337688</x:v>
      </x:c>
      <x:c r="P1131" s="80" t="n">
        <x:v>219.51261403142442</x:v>
      </x:c>
      <x:c r="Q1131" s="81" t="n">
        <x:v>117029496.00277</x:v>
      </x:c>
      <x:c r="R1131" s="81" t="n">
        <x:v>3.4134408606179796</x:v>
      </x:c>
      <x:c r="S1131" s="81" t="n">
        <x:v>1.0860150432672711e-10</x:v>
      </x:c>
      <x:c r="T1131" s="81" t="n">
        <x:v>3.0571045305317314e-21</x:v>
      </x:c>
    </x:row>
    <x:row r="1132">
      <x:c r="A1132" s="59" t="n">
        <x:v>1129</x:v>
      </x:c>
      <x:c r="B1132" s="193" t="n">
        <x:v>0.6957944916561246</x:v>
      </x:c>
      <x:c r="C1132" s="83" t="n">
        <x:v>0.2487288885437935</x:v>
      </x:c>
      <x:c r="D1132" s="83" t="n">
        <x:v>1.4141265902902735</x:v>
      </x:c>
      <x:c r="E1132" s="81" t="n">
        <x:v>-0.007299372779811435</x:v>
      </x:c>
      <x:c r="F1132" s="81" t="n">
        <x:v>0.291960256814491</x:v>
      </x:c>
      <x:c r="G1132" s="81" t="n">
        <x:v>0.00015526582334693292</x:v>
      </x:c>
      <x:c r="H1132" s="59" t="n">
        <x:v>0</x:v>
      </x:c>
      <x:c r="I1132" s="81" t="n">
        <x:v>0</x:v>
      </x:c>
      <x:c r="J1132" s="79" t="n">
        <x:v>3.302187652054906e-11</x:v>
      </x:c>
      <x:c r="K1132" s="81" t="n">
        <x:v>-0.9999999622607125</x:v>
      </x:c>
      <x:c r="L1132" s="81" t="n">
        <x:v>-0.9999999622607125</x:v>
      </x:c>
      <x:c r="M1132" s="80" t="n">
        <x:v>1.2441367243003183</x:v>
      </x:c>
      <x:c r="N1132" s="82" t="n">
        <x:v>0.2678450440592075</x:v>
      </x:c>
      <x:c r="O1132" s="82" t="n">
        <x:v>0.07387173408168302</x:v>
      </x:c>
      <x:c r="P1132" s="80" t="n">
        <x:v>1661.1034393287514</x:v>
      </x:c>
      <x:c r="Q1132" s="81" t="n">
        <x:v>5.230542958134425</x:v>
      </x:c>
      <x:c r="R1132" s="81" t="n">
        <x:v>33.21499932738334</x:v>
      </x:c>
      <x:c r="S1132" s="81" t="n">
        <x:v>0.00063341068075547</x:v>
      </x:c>
      <x:c r="T1132" s="81" t="n">
        <x:v>7.153259394292115e-7</x:v>
      </x:c>
    </x:row>
    <x:row r="1133">
      <x:c r="A1133" s="59" t="n">
        <x:v>1130</x:v>
      </x:c>
      <x:c r="B1133" s="193" t="n">
        <x:v>0.9329611510038376</x:v>
      </x:c>
      <x:c r="C1133" s="83" t="n">
        <x:v>0.5300052046349775</x:v>
      </x:c>
      <x:c r="D1133" s="83" t="n">
        <x:v>0.7476369991922018</x:v>
      </x:c>
      <x:c r="E1133" s="81" t="n">
        <x:v>0.00854473015085211</x:v>
      </x:c>
      <x:c r="F1133" s="81" t="n">
        <x:v>0.31543004484847187</x:v>
      </x:c>
      <x:c r="G1133" s="81" t="n">
        <x:v>0.017869438555585433</x:v>
      </x:c>
      <x:c r="H1133" s="59" t="n">
        <x:v>0</x:v>
      </x:c>
      <x:c r="I1133" s="81" t="n">
        <x:v>0</x:v>
      </x:c>
      <x:c r="J1133" s="79" t="n">
        <x:v>0.000056813618257722876</x:v>
      </x:c>
      <x:c r="K1133" s="81" t="n">
        <x:v>-0.9350701505626025</x:v>
      </x:c>
      <x:c r="L1133" s="81" t="n">
        <x:v>-0.947640098961982</x:v>
      </x:c>
      <x:c r="M1133" s="80" t="n">
        <x:v>2018.1691056446562</x:v>
      </x:c>
      <x:c r="N1133" s="82" t="n">
        <x:v>0.3243425891906956</x:v>
      </x:c>
      <x:c r="O1133" s="82" t="n">
        <x:v>0.09664468588530875</x:v>
      </x:c>
      <x:c r="P1133" s="80" t="n">
        <x:v>4603.843916714821</x:v>
      </x:c>
      <x:c r="Q1133" s="81" t="n">
        <x:v>0.020210989820404937</x:v>
      </x:c>
      <x:c r="R1133" s="81" t="n">
        <x:v>29.380865943822567</x:v>
      </x:c>
      <x:c r="S1133" s="81" t="n">
        <x:v>2.5297144827845344</x:v>
      </x:c>
      <x:c r="T1133" s="81" t="n">
        <x:v>1.230707008043239</x:v>
      </x:c>
    </x:row>
    <x:row r="1134">
      <x:c r="A1134" s="59" t="n">
        <x:v>1131</x:v>
      </x:c>
      <x:c r="B1134" s="193" t="n">
        <x:v>0.5777319883927703</x:v>
      </x:c>
      <x:c r="C1134" s="83" t="n">
        <x:v>0.1190820116791013</x:v>
      </x:c>
      <x:c r="D1134" s="83" t="n">
        <x:v>2.1541230449500013</x:v>
      </x:c>
      <x:c r="E1134" s="81" t="n">
        <x:v>0.02558354089029829</x:v>
      </x:c>
      <x:c r="F1134" s="81" t="n">
        <x:v>0.6710250781732612</x:v>
      </x:c>
      <x:c r="G1134" s="81" t="n">
        <x:v>-0.004942769231678809</x:v>
      </x:c>
      <x:c r="H1134" s="59" t="n">
        <x:v>0</x:v>
      </x:c>
      <x:c r="I1134" s="81" t="n">
        <x:v>0</x:v>
      </x:c>
      <x:c r="J1134" s="79" t="n">
        <x:v>0.0007202700900875475</x:v>
      </x:c>
      <x:c r="K1134" s="81" t="n">
        <x:v>-0.1768341827570885</x:v>
      </x:c>
      <x:c r="L1134" s="81" t="n">
        <x:v>-0.8121046229305687</x:v>
      </x:c>
      <x:c r="M1134" s="80" t="n">
        <x:v>6269.797912752982</x:v>
      </x:c>
      <x:c r="N1134" s="82" t="n">
        <x:v>0.2397203421099406</x:v>
      </x:c>
      <x:c r="O1134" s="82" t="n">
        <x:v>0.15195485553368468</x:v>
      </x:c>
      <x:c r="P1134" s="80" t="n">
        <x:v>25028.695057906425</x:v>
      </x:c>
      <x:c r="Q1134" s="81" t="n">
        <x:v>0.01346701916012223</x:v>
      </x:c>
      <x:c r="R1134" s="81" t="n">
        <x:v>353.72319208015426</x:v>
      </x:c>
      <x:c r="S1134" s="81" t="n">
        <x:v>117.3899107312691</x:v>
      </x:c>
      <x:c r="T1134" s="81" t="n">
        <x:v>15.602622658770422</x:v>
      </x:c>
    </x:row>
    <x:row r="1135">
      <x:c r="A1135" s="59" t="n">
        <x:v>1132</x:v>
      </x:c>
      <x:c r="B1135" s="193" t="n">
        <x:v>0.7310018209740521</x:v>
      </x:c>
      <x:c r="C1135" s="83" t="n">
        <x:v>0.19968068505272085</x:v>
      </x:c>
      <x:c r="D1135" s="83" t="n">
        <x:v>0.7981428361003939</x:v>
      </x:c>
      <x:c r="E1135" s="81" t="n">
        <x:v>-0.05862391072938367</x:v>
      </x:c>
      <x:c r="F1135" s="81" t="n">
        <x:v>0.522045632568188</x:v>
      </x:c>
      <x:c r="G1135" s="81" t="n">
        <x:v>0.0037474286003251166</x:v>
      </x:c>
      <x:c r="H1135" s="59" t="n">
        <x:v>0</x:v>
      </x:c>
      <x:c r="I1135" s="81" t="n">
        <x:v>0</x:v>
      </x:c>
      <x:c r="J1135" s="79" t="n">
        <x:v>7.138595650555646e-28</x:v>
      </x:c>
      <x:c r="K1135" s="81" t="n">
        <x:v>-1</x:v>
      </x:c>
      <x:c r="L1135" s="81" t="n">
        <x:v>-1</x:v>
      </x:c>
      <x:c r="M1135" s="80" t="n">
        <x:v>0.000002</x:v>
      </x:c>
      <x:c r="N1135" s="82" t="n">
        <x:v>0.27623209004016236</x:v>
      </x:c>
      <x:c r="O1135" s="82" t="n">
        <x:v>0.1362239716351353</x:v>
      </x:c>
      <x:c r="P1135" s="80" t="n">
        <x:v>293.15244407322683</x:v>
      </x:c>
      <x:c r="Q1135" s="81" t="n">
        <x:v>51103298243.362434</x:v>
      </x:c>
      <x:c r="R1135" s="81" t="n">
        <x:v>13.905902290066798</x:v>
      </x:c>
      <x:c r="S1135" s="81" t="n">
        <x:v>6.099344291975468e-10</x:v>
      </x:c>
      <x:c r="T1135" s="81" t="n">
        <x:v>1.546375669099648e-23</x:v>
      </x:c>
    </x:row>
    <x:row r="1136">
      <x:c r="A1136" s="59" t="n">
        <x:v>1133</x:v>
      </x:c>
      <x:c r="B1136" s="193" t="n">
        <x:v>0.5272570895031095</x:v>
      </x:c>
      <x:c r="C1136" s="83" t="n">
        <x:v>0.16310889622013608</x:v>
      </x:c>
      <x:c r="D1136" s="83" t="n">
        <x:v>0.28564457508363195</x:v>
      </x:c>
      <x:c r="E1136" s="81" t="n">
        <x:v>0.061403807627696</x:v>
      </x:c>
      <x:c r="F1136" s="81" t="n">
        <x:v>0.7851131220930256</x:v>
      </x:c>
      <x:c r="G1136" s="81" t="n">
        <x:v>0.008143391336000536</x:v>
      </x:c>
      <x:c r="H1136" s="59" t="n">
        <x:v>0</x:v>
      </x:c>
      <x:c r="I1136" s="81" t="n">
        <x:v>0</x:v>
      </x:c>
      <x:c r="J1136" s="79" t="n">
        <x:v>0.00007367907183363009</x:v>
      </x:c>
      <x:c r="K1136" s="81" t="n">
        <x:v>-0.9157953464758513</x:v>
      </x:c>
      <x:c r="L1136" s="81" t="n">
        <x:v>-0.9438345373368487</x:v>
      </x:c>
      <x:c r="M1136" s="80" t="n">
        <x:v>1830.2008633923685</x:v>
      </x:c>
      <x:c r="N1136" s="82" t="n">
        <x:v>0.22769627479006888</x:v>
      </x:c>
      <x:c r="O1136" s="82" t="n">
        <x:v>0.16887256632926984</x:v>
      </x:c>
      <x:c r="P1136" s="80" t="n">
        <x:v>1341.1580270409113</x:v>
      </x:c>
      <x:c r="Q1136" s="81" t="n">
        <x:v>0.005803328968848363</x:v>
      </x:c>
      <x:c r="R1136" s="81" t="n">
        <x:v>80.63851694254754</x:v>
      </x:c>
      <x:c r="S1136" s="81" t="n">
        <x:v>8.616793564144215</x:v>
      </x:c>
      <x:c r="T1136" s="81" t="n">
        <x:v>1.5960495534790848</x:v>
      </x:c>
    </x:row>
    <x:row r="1137">
      <x:c r="A1137" s="59" t="n">
        <x:v>1134</x:v>
      </x:c>
      <x:c r="B1137" s="193" t="n">
        <x:v>0.7778207955881953</x:v>
      </x:c>
      <x:c r="C1137" s="83" t="n">
        <x:v>0.8866118413797895</x:v>
      </x:c>
      <x:c r="D1137" s="83" t="n">
        <x:v>0.577050804852772</x:v>
      </x:c>
      <x:c r="E1137" s="81" t="n">
        <x:v>-0.054979644016843146</x:v>
      </x:c>
      <x:c r="F1137" s="81" t="n">
        <x:v>0.5394750527921133</x:v>
      </x:c>
      <x:c r="G1137" s="81" t="n">
        <x:v>-0.0036715315067740763</x:v>
      </x:c>
      <x:c r="H1137" s="59" t="n">
        <x:v>71</x:v>
      </x:c>
      <x:c r="I1137" s="81" t="n">
        <x:v>0.3765141216106713</x:v>
      </x:c>
      <x:c r="J1137" s="79" t="n">
        <x:v>3.8416204592825805e-23</x:v>
      </x:c>
      <x:c r="K1137" s="81" t="n">
        <x:v>-1</x:v>
      </x:c>
      <x:c r="L1137" s="81" t="n">
        <x:v>-1</x:v>
      </x:c>
      <x:c r="M1137" s="80" t="n">
        <x:v>0.0000021093800454975616</x:v>
      </x:c>
      <x:c r="N1137" s="82" t="n">
        <x:v>0.2873852476490254</x:v>
      </x:c>
      <x:c r="O1137" s="82" t="n">
        <x:v>0.1464558685604299</x:v>
      </x:c>
      <x:c r="P1137" s="80" t="n">
        <x:v>468.96749311690826</x:v>
      </x:c>
      <x:c r="Q1137" s="81" t="n">
        <x:v>1064259.014159698</x:v>
      </x:c>
      <x:c r="R1137" s="81" t="n">
        <x:v>4.924802045944357</x:v>
      </x:c>
      <x:c r="S1137" s="81" t="n">
        <x:v>2.8645639686950985e-10</x:v>
      </x:c>
      <x:c r="T1137" s="81" t="n">
        <x:v>8.321788624752264e-19</x:v>
      </x:c>
    </x:row>
    <x:row r="1138">
      <x:c r="A1138" s="59" t="n">
        <x:v>1135</x:v>
      </x:c>
      <x:c r="B1138" s="193" t="n">
        <x:v>0.6204172344878316</x:v>
      </x:c>
      <x:c r="C1138" s="83" t="n">
        <x:v>2.4166247891817223</x:v>
      </x:c>
      <x:c r="D1138" s="83" t="n">
        <x:v>0.286716704191236</x:v>
      </x:c>
      <x:c r="E1138" s="81" t="n">
        <x:v>-0.016570931662749453</x:v>
      </x:c>
      <x:c r="F1138" s="81" t="n">
        <x:v>0.4454286862397566</x:v>
      </x:c>
      <x:c r="G1138" s="81" t="n">
        <x:v>0.034366822824838945</x:v>
      </x:c>
      <x:c r="H1138" s="59" t="n">
        <x:v>85</x:v>
      </x:c>
      <x:c r="I1138" s="81" t="n">
        <x:v>0.46688179960474374</x:v>
      </x:c>
      <x:c r="J1138" s="79" t="n">
        <x:v>1.4014364323367833e-8</x:v>
      </x:c>
      <x:c r="K1138" s="81" t="n">
        <x:v>-0.9999839835836304</x:v>
      </x:c>
      <x:c r="L1138" s="81" t="n">
        <x:v>-0.9999839835836304</x:v>
      </x:c>
      <x:c r="M1138" s="80" t="n">
        <x:v>69.50341801329608</x:v>
      </x:c>
      <x:c r="N1138" s="82" t="n">
        <x:v>0.2498887680781481</x:v>
      </x:c>
      <x:c r="O1138" s="82" t="n">
        <x:v>0.10514675172329681</x:v>
      </x:c>
      <x:c r="P1138" s="80" t="n">
        <x:v>1728.2542975055435</x:v>
      </x:c>
      <x:c r="Q1138" s="81" t="n">
        <x:v>0.29315466674572016</x:v>
      </x:c>
      <x:c r="R1138" s="81" t="n">
        <x:v>5.221539796416589</x:v>
      </x:c>
      <x:c r="S1138" s="81" t="n">
        <x:v>0.004017009367204768</x:v>
      </x:c>
      <x:c r="T1138" s="81" t="n">
        <x:v>0.00030358172767310795</x:v>
      </x:c>
    </x:row>
    <x:row r="1139">
      <x:c r="A1139" s="59" t="n">
        <x:v>1136</x:v>
      </x:c>
      <x:c r="B1139" s="193" t="n">
        <x:v>0.9309683287516237</x:v>
      </x:c>
      <x:c r="C1139" s="83" t="n">
        <x:v>0.3343274150023407</x:v>
      </x:c>
      <x:c r="D1139" s="83" t="n">
        <x:v>0.8703614654323235</x:v>
      </x:c>
      <x:c r="E1139" s="81" t="n">
        <x:v>0.024843940831203316</x:v>
      </x:c>
      <x:c r="F1139" s="81" t="n">
        <x:v>0.2699716216651723</x:v>
      </x:c>
      <x:c r="G1139" s="81" t="n">
        <x:v>-0.004012417077328214</x:v>
      </x:c>
      <x:c r="H1139" s="59" t="n">
        <x:v>0</x:v>
      </x:c>
      <x:c r="I1139" s="81" t="n">
        <x:v>0</x:v>
      </x:c>
      <x:c r="J1139" s="79" t="n">
        <x:v>0.00047431632537468115</x:v>
      </x:c>
      <x:c r="K1139" s="81" t="n">
        <x:v>-0.45792419957179287</x:v>
      </x:c>
      <x:c r="L1139" s="81" t="n">
        <x:v>-0.7485306443134916</x:v>
      </x:c>
      <x:c r="M1139" s="80" t="n">
        <x:v>5370.415708969243</x:v>
      </x:c>
      <x:c r="N1139" s="82" t="n">
        <x:v>0.3238678615648011</x:v>
      </x:c>
      <x:c r="O1139" s="82" t="n">
        <x:v>0.082595599708313</x:v>
      </x:c>
      <x:c r="P1139" s="80" t="n">
        <x:v>10002.82867091634</x:v>
      </x:c>
      <x:c r="Q1139" s="81" t="n">
        <x:v>0.007015050746679474</x:v>
      </x:c>
      <x:c r="R1139" s="81" t="n">
        <x:v>88.65183877243946</x:v>
      </x:c>
      <x:c r="S1139" s="81" t="n">
        <x:v>27.836257972080816</x:v>
      </x:c>
      <x:c r="T1139" s="81" t="n">
        <x:v>10.274727144113672</x:v>
      </x:c>
    </x:row>
    <x:row r="1140">
      <x:c r="A1140" s="59" t="n">
        <x:v>1137</x:v>
      </x:c>
      <x:c r="B1140" s="193" t="n">
        <x:v>0.8078315384685995</x:v>
      </x:c>
      <x:c r="C1140" s="83" t="n">
        <x:v>0.18125343208554776</x:v>
      </x:c>
      <x:c r="D1140" s="83" t="n">
        <x:v>1.5908715478399313</x:v>
      </x:c>
      <x:c r="E1140" s="81" t="n">
        <x:v>0.07247533201391264</x:v>
      </x:c>
      <x:c r="F1140" s="81" t="n">
        <x:v>0.6296446292544715</x:v>
      </x:c>
      <x:c r="G1140" s="81" t="n">
        <x:v>0.006123743907481553</x:v>
      </x:c>
      <x:c r="H1140" s="59" t="n">
        <x:v>0</x:v>
      </x:c>
      <x:c r="I1140" s="81" t="n">
        <x:v>0</x:v>
      </x:c>
      <x:c r="J1140" s="79" t="n">
        <x:v>0.004120922599804333</x:v>
      </x:c>
      <x:c r="K1140" s="81" t="n">
        <x:v>3.70962582834781</x:v>
      </x:c>
      <x:c r="L1140" s="81" t="n">
        <x:v>-0.8145900660947792</x:v>
      </x:c>
      <x:c r="M1140" s="80" t="n">
        <x:v>19503.759669430234</x:v>
      </x:c>
      <x:c r="N1140" s="82" t="n">
        <x:v>0.29453436930456667</x:v>
      </x:c>
      <x:c r="O1140" s="82" t="n">
        <x:v>0.17518722168224363</x:v>
      </x:c>
      <x:c r="P1140" s="80" t="n">
        <x:v>48554.96932096673</x:v>
      </x:c>
      <x:c r="Q1140" s="81" t="n">
        <x:v>0.006352418266259122</x:v>
      </x:c>
      <x:c r="R1140" s="81" t="n">
        <x:v>655.3273341766338</x:v>
      </x:c>
      <x:c r="S1140" s="81" t="n">
        <x:v>435.2127279516444</x:v>
      </x:c>
      <x:c r="T1140" s="81" t="n">
        <x:v>89.26818038901351</x:v>
      </x:c>
    </x:row>
    <x:row r="1141">
      <x:c r="A1141" s="59" t="n">
        <x:v>1138</x:v>
      </x:c>
      <x:c r="B1141" s="193" t="n">
        <x:v>0.7016540832817555</x:v>
      </x:c>
      <x:c r="C1141" s="83" t="n">
        <x:v>1.713319780438155</x:v>
      </x:c>
      <x:c r="D1141" s="83" t="n">
        <x:v>0.776290755565373</x:v>
      </x:c>
      <x:c r="E1141" s="81" t="n">
        <x:v>0.07420943605739933</x:v>
      </x:c>
      <x:c r="F1141" s="81" t="n">
        <x:v>0.8337229551165365</x:v>
      </x:c>
      <x:c r="G1141" s="81" t="n">
        <x:v>-0.012889726995498701</x:v>
      </x:c>
      <x:c r="H1141" s="59" t="n">
        <x:v>0</x:v>
      </x:c>
      <x:c r="I1141" s="81" t="n">
        <x:v>0</x:v>
      </x:c>
      <x:c r="J1141" s="79" t="n">
        <x:v>0.0019744854283836205</x:v>
      </x:c>
      <x:c r="K1141" s="81" t="n">
        <x:v>1.2565547752955664</x:v>
      </x:c>
      <x:c r="L1141" s="81" t="n">
        <x:v>-0.7390353737567967</x:v>
      </x:c>
      <x:c r="M1141" s="80" t="n">
        <x:v>25115.576651128427</x:v>
      </x:c>
      <x:c r="N1141" s="82" t="n">
        <x:v>0.2692409086517757</x:v>
      </x:c>
      <x:c r="O1141" s="82" t="n">
        <x:v>0.21204778907376998</x:v>
      </x:c>
      <x:c r="P1141" s="80" t="n">
        <x:v>36512.86660923817</x:v>
      </x:c>
      <x:c r="Q1141" s="81" t="n">
        <x:v>0.006811026965026136</x:v>
      </x:c>
      <x:c r="R1141" s="81" t="n">
        <x:v>54.08760413064017</x:v>
      </x:c>
      <x:c r="S1141" s="81" t="n">
        <x:v>24.262542459503365</x:v>
      </x:c>
      <x:c r="T1141" s="81" t="n">
        <x:v>42.771665113243486</x:v>
      </x:c>
    </x:row>
    <x:row r="1142">
      <x:c r="A1142" s="59" t="n">
        <x:v>1139</x:v>
      </x:c>
      <x:c r="B1142" s="193" t="n">
        <x:v>0.9089792020618916</x:v>
      </x:c>
      <x:c r="C1142" s="83" t="n">
        <x:v>0.742522086004143</x:v>
      </x:c>
      <x:c r="D1142" s="83" t="n">
        <x:v>0.8272912803402879</x:v>
      </x:c>
      <x:c r="E1142" s="81" t="n">
        <x:v>-0.0077664793719819545</x:v>
      </x:c>
      <x:c r="F1142" s="81" t="n">
        <x:v>0.6828289905330167</x:v>
      </x:c>
      <x:c r="G1142" s="81" t="n">
        <x:v>-0.024424520215730754</x:v>
      </x:c>
      <x:c r="H1142" s="59" t="n">
        <x:v>0</x:v>
      </x:c>
      <x:c r="I1142" s="81" t="n">
        <x:v>0</x:v>
      </x:c>
      <x:c r="J1142" s="79" t="n">
        <x:v>3.6304802960289137e-9</x:v>
      </x:c>
      <x:c r="K1142" s="81" t="n">
        <x:v>-0.9999958508796617</x:v>
      </x:c>
      <x:c r="L1142" s="81" t="n">
        <x:v>-0.9999958508796617</x:v>
      </x:c>
      <x:c r="M1142" s="80" t="n">
        <x:v>18.077361247517487</x:v>
      </x:c>
      <x:c r="N1142" s="82" t="n">
        <x:v>0.31862963929118115</x:v>
      </x:c>
      <x:c r="O1142" s="82" t="n">
        <x:v>0.20552708620867294</x:v>
      </x:c>
      <x:c r="P1142" s="80" t="n">
        <x:v>1267.0277597742247</x:v>
      </x:c>
      <x:c r="Q1142" s="81" t="n">
        <x:v>0.5984989336406108</x:v>
      </x:c>
      <x:c r="R1142" s="81" t="n">
        <x:v>10.359771013156868</x:v>
      </x:c>
      <x:c r="S1142" s="81" t="n">
        <x:v>0.002900574998300622</x:v>
      </x:c>
      <x:c r="T1142" s="81" t="n">
        <x:v>0.00007864412934619454</x:v>
      </x:c>
    </x:row>
    <x:row r="1143">
      <x:c r="A1143" s="59" t="n">
        <x:v>1140</x:v>
      </x:c>
      <x:c r="B1143" s="193" t="n">
        <x:v>0.37384180035442116</x:v>
      </x:c>
      <x:c r="C1143" s="83" t="n">
        <x:v>1.5835691125500309</x:v>
      </x:c>
      <x:c r="D1143" s="83" t="n">
        <x:v>0.1</x:v>
      </x:c>
      <x:c r="E1143" s="81" t="n">
        <x:v>0.053994022805909835</x:v>
      </x:c>
      <x:c r="F1143" s="81" t="n">
        <x:v>0.7745841628871858</x:v>
      </x:c>
      <x:c r="G1143" s="81" t="n">
        <x:v>-0.020939323138496557</x:v>
      </x:c>
      <x:c r="H1143" s="59" t="n">
        <x:v>62</x:v>
      </x:c>
      <x:c r="I1143" s="81" t="n">
        <x:v>0.16347231045365335</x:v>
      </x:c>
      <x:c r="J1143" s="79" t="n">
        <x:v>0.000027124677254758042</x:v>
      </x:c>
      <x:c r="K1143" s="81" t="n">
        <x:v>-0.969000368851705</x:v>
      </x:c>
      <x:c r="L1143" s="81" t="n">
        <x:v>-0.969000368851705</x:v>
      </x:c>
      <x:c r="M1143" s="80" t="n">
        <x:v>2333.6240396314074</x:v>
      </x:c>
      <x:c r="N1143" s="82" t="n">
        <x:v>0.19114987637817982</x:v>
      </x:c>
      <x:c r="O1143" s="82" t="n">
        <x:v>0.13986645788063792</x:v>
      </x:c>
      <x:c r="P1143" s="80" t="n">
        <x:v>870.6437170365047</x:v>
      </x:c>
      <x:c r="Q1143" s="81" t="n">
        <x:v>0.004334917036216387</x:v>
      </x:c>
      <x:c r="R1143" s="81" t="n">
        <x:v>9.778818365336656</x:v>
      </x:c>
      <x:c r="S1143" s="81" t="n">
        <x:v>0.35035187747985486</x:v>
      </x:c>
      <x:c r="T1143" s="81" t="n">
        <x:v>0.5875797284536435</x:v>
      </x:c>
    </x:row>
    <x:row r="1144">
      <x:c r="A1144" s="59" t="n">
        <x:v>1141</x:v>
      </x:c>
      <x:c r="B1144" s="193" t="n">
        <x:v>0.703208532370627</x:v>
      </x:c>
      <x:c r="C1144" s="83" t="n">
        <x:v>0.14936516339286152</x:v>
      </x:c>
      <x:c r="D1144" s="83" t="n">
        <x:v>0.7540758811025439</x:v>
      </x:c>
      <x:c r="E1144" s="81" t="n">
        <x:v>-0.06808765233517182</x:v>
      </x:c>
      <x:c r="F1144" s="81" t="n">
        <x:v>0.7196470138500445</x:v>
      </x:c>
      <x:c r="G1144" s="81" t="n">
        <x:v>0.029776255760028982</x:v>
      </x:c>
      <x:c r="H1144" s="59" t="n">
        <x:v>0</x:v>
      </x:c>
      <x:c r="I1144" s="81" t="n">
        <x:v>0</x:v>
      </x:c>
      <x:c r="J1144" s="79" t="n">
        <x:v>8.07022064408739e-32</x:v>
      </x:c>
      <x:c r="K1144" s="81" t="n">
        <x:v>-1</x:v>
      </x:c>
      <x:c r="L1144" s="81" t="n">
        <x:v>-1</x:v>
      </x:c>
      <x:c r="M1144" s="80" t="n">
        <x:v>0.000002</x:v>
      </x:c>
      <x:c r="N1144" s="82" t="n">
        <x:v>0.2696112075706652</x:v>
      </x:c>
      <x:c r="O1144" s="82" t="n">
        <x:v>0.18328562765139111</x:v>
      </x:c>
      <x:c r="P1144" s="80" t="n">
        <x:v>237.73481994572626</x:v>
      </x:c>
      <x:c r="Q1144" s="81" t="n">
        <x:v>392688268345437.8</x:v>
      </x:c>
      <x:c r="R1144" s="81" t="n">
        <x:v>15.83430933276389</x:v>
      </x:c>
      <x:c r="S1144" s="81" t="n">
        <x:v>8.212954642696738e-10</x:v>
      </x:c>
      <x:c r="T1144" s="81" t="n">
        <x:v>1.748185982114151e-27</x:v>
      </x:c>
    </x:row>
    <x:row r="1145">
      <x:c r="A1145" s="59" t="n">
        <x:v>1142</x:v>
      </x:c>
      <x:c r="B1145" s="193" t="n">
        <x:v>0.3987355692312122</x:v>
      </x:c>
      <x:c r="C1145" s="83" t="n">
        <x:v>0.1452057764260291</x:v>
      </x:c>
      <x:c r="D1145" s="83" t="n">
        <x:v>0.3967709648466733</x:v>
      </x:c>
      <x:c r="E1145" s="81" t="n">
        <x:v>-0.03114102581873499</x:v>
      </x:c>
      <x:c r="F1145" s="81" t="n">
        <x:v>0.7952223318628967</x:v>
      </x:c>
      <x:c r="G1145" s="81" t="n">
        <x:v>-0.033044430599814344</x:v>
      </x:c>
      <x:c r="H1145" s="59" t="n">
        <x:v>75</x:v>
      </x:c>
      <x:c r="I1145" s="81" t="n">
        <x:v>0.30902417646721003</x:v>
      </x:c>
      <x:c r="J1145" s="79" t="n">
        <x:v>1.6758432056126132e-11</x:v>
      </x:c>
      <x:c r="K1145" s="81" t="n">
        <x:v>-0.9999999808475062</x:v>
      </x:c>
      <x:c r="L1145" s="81" t="n">
        <x:v>-0.9999999808475062</x:v>
      </x:c>
      <x:c r="M1145" s="80" t="n">
        <x:v>0.8136078119959205</x:v>
      </x:c>
      <x:c r="N1145" s="82" t="n">
        <x:v>0.19708003888279768</x:v>
      </x:c>
      <x:c r="O1145" s="82" t="n">
        <x:v>0.148047864993962</x:v>
      </x:c>
      <x:c r="P1145" s="80" t="n">
        <x:v>304.54728688479844</x:v>
      </x:c>
      <x:c r="Q1145" s="81" t="n">
        <x:v>1.6141720284978538</x:v>
      </x:c>
      <x:c r="R1145" s="81" t="n">
        <x:v>38.86789865624375</x:v>
      </x:c>
      <x:c r="S1145" s="81" t="n">
        <x:v>0.00008551388061620392</x:v>
      </x:c>
      <x:c r="T1145" s="81" t="n">
        <x:v>3.63024225665953e-7</x:v>
      </x:c>
    </x:row>
    <x:row r="1146">
      <x:c r="A1146" s="59" t="n">
        <x:v>1143</x:v>
      </x:c>
      <x:c r="B1146" s="193" t="n">
        <x:v>0.24736562706530096</x:v>
      </x:c>
      <x:c r="C1146" s="83" t="n">
        <x:v>1.1260949269172773</x:v>
      </x:c>
      <x:c r="D1146" s="83" t="n">
        <x:v>2.917213349681822</x:v>
      </x:c>
      <x:c r="E1146" s="81" t="n">
        <x:v>0.13060817679127565</x:v>
      </x:c>
      <x:c r="F1146" s="81" t="n">
        <x:v>0.2798122846521437</x:v>
      </x:c>
      <x:c r="G1146" s="81" t="n">
        <x:v>0.005866450222403829</x:v>
      </x:c>
      <x:c r="H1146" s="59" t="n">
        <x:v>0</x:v>
      </x:c>
      <x:c r="I1146" s="81" t="n">
        <x:v>0</x:v>
      </x:c>
      <x:c r="J1146" s="79" t="n">
        <x:v>3.416406524674318</x:v>
      </x:c>
      <x:c r="K1146" s="81" t="n">
        <x:v>3903.4645996277923</x:v>
      </x:c>
      <x:c r="L1146" s="81" t="n">
        <x:v>-0.8121135146231557</x:v>
      </x:c>
      <x:c r="M1146" s="80" t="n">
        <x:v>1728862.9447609875</x:v>
      </x:c>
      <x:c r="N1146" s="82" t="n">
        <x:v>0.16102088047246216</x:v>
      </x:c>
      <x:c r="O1146" s="82" t="n">
        <x:v>0.042561793118471115</x:v>
      </x:c>
      <x:c r="P1146" s="80" t="n">
        <x:v>5186028.672475558</x:v>
      </x:c>
      <x:c r="Q1146" s="81" t="n">
        <x:v>0.0013319031289362154</x:v>
      </x:c>
      <x:c r="R1146" s="81" t="n">
        <x:v>27244.56053473253</x:v>
      </x:c>
      <x:c r="S1146" s="81" t="n">
        <x:v>57519.68707649183</x:v>
      </x:c>
      <x:c r="T1146" s="81" t="n">
        <x:v>74006.82408869083</x:v>
      </x:c>
    </x:row>
    <x:row r="1147">
      <x:c r="A1147" s="59" t="n">
        <x:v>1144</x:v>
      </x:c>
      <x:c r="B1147" s="193" t="n">
        <x:v>0.7366288498044014</x:v>
      </x:c>
      <x:c r="C1147" s="83" t="n">
        <x:v>0.1773339584931377</x:v>
      </x:c>
      <x:c r="D1147" s="83" t="n">
        <x:v>0.39730700138263086</x:v>
      </x:c>
      <x:c r="E1147" s="81" t="n">
        <x:v>0.033762139631836156</x:v>
      </x:c>
      <x:c r="F1147" s="81" t="n">
        <x:v>0.295575578592252</x:v>
      </x:c>
      <x:c r="G1147" s="81" t="n">
        <x:v>0.010950568949643044</x:v>
      </x:c>
      <x:c r="H1147" s="59" t="n">
        <x:v>29</x:v>
      </x:c>
      <x:c r="I1147" s="81" t="n">
        <x:v>0.4323171657510102</x:v>
      </x:c>
      <x:c r="J1147" s="79" t="n">
        <x:v>0.00021560049152483752</x:v>
      </x:c>
      <x:c r="K1147" s="81" t="n">
        <x:v>-0.7535994382573286</x:v>
      </x:c>
      <x:c r="L1147" s="81" t="n">
        <x:v>-0.8540380345775378</x:v>
      </x:c>
      <x:c r="M1147" s="80" t="n">
        <x:v>3110.35827703271</x:v>
      </x:c>
      <x:c r="N1147" s="82" t="n">
        <x:v>0.27757255381434204</x:v>
      </x:c>
      <x:c r="O1147" s="82" t="n">
        <x:v>0.07750255346976433</x:v>
      </x:c>
      <x:c r="P1147" s="80" t="n">
        <x:v>2837.374879067221</x:v>
      </x:c>
      <x:c r="Q1147" s="81" t="n">
        <x:v>0.00489581835790701</x:v>
      </x:c>
      <x:c r="R1147" s="81" t="n">
        <x:v>107.13706789748235</x:v>
      </x:c>
      <x:c r="S1147" s="81" t="n">
        <x:v>23.115030164436867</x:v>
      </x:c>
      <x:c r="T1147" s="81" t="n">
        <x:v>4.6703773495559</x:v>
      </x:c>
    </x:row>
    <x:row r="1148">
      <x:c r="A1148" s="59" t="n">
        <x:v>1145</x:v>
      </x:c>
      <x:c r="B1148" s="193" t="n">
        <x:v>0.8153977589681745</x:v>
      </x:c>
      <x:c r="C1148" s="83" t="n">
        <x:v>0.7101356077873235</x:v>
      </x:c>
      <x:c r="D1148" s="83" t="n">
        <x:v>0.30309832025975836</x:v>
      </x:c>
      <x:c r="E1148" s="81" t="n">
        <x:v>0.04864131909409475</x:v>
      </x:c>
      <x:c r="F1148" s="81" t="n">
        <x:v>0.255768570699729</x:v>
      </x:c>
      <x:c r="G1148" s="81" t="n">
        <x:v>-0.04924108753756748</x:v>
      </x:c>
      <x:c r="H1148" s="59" t="n">
        <x:v>0</x:v>
      </x:c>
      <x:c r="I1148" s="81" t="n">
        <x:v>0</x:v>
      </x:c>
      <x:c r="J1148" s="79" t="n">
        <x:v>0.0001747097937731256</x:v>
      </x:c>
      <x:c r="K1148" s="81" t="n">
        <x:v>-0.800331664259285</x:v>
      </x:c>
      <x:c r="L1148" s="81" t="n">
        <x:v>-0.8641140410626142</x:v>
      </x:c>
      <x:c r="M1148" s="80" t="n">
        <x:v>4013.9302577494036</x:v>
      </x:c>
      <x:c r="N1148" s="82" t="n">
        <x:v>0.2963367848941997</x:v>
      </x:c>
      <x:c r="O1148" s="82" t="n">
        <x:v>0.07159846030350278</x:v>
      </x:c>
      <x:c r="P1148" s="80" t="n">
        <x:v>3028.2216881938643</x:v>
      </x:c>
      <x:c r="Q1148" s="81" t="n">
        <x:v>0.0029154846912994325</x:v>
      </x:c>
      <x:c r="R1148" s="81" t="n">
        <x:v>37.61270311443591</x:v>
      </x:c>
      <x:c r="S1148" s="81" t="n">
        <x:v>4.745338297784396</x:v>
      </x:c>
      <x:c r="T1148" s="81" t="n">
        <x:v>3.7845955628982795</x:v>
      </x:c>
    </x:row>
    <x:row r="1149">
      <x:c r="A1149" s="59" t="n">
        <x:v>1146</x:v>
      </x:c>
      <x:c r="B1149" s="193" t="n">
        <x:v>0.20286666490137578</x:v>
      </x:c>
      <x:c r="C1149" s="83" t="n">
        <x:v>1.4786329985505593</x:v>
      </x:c>
      <x:c r="D1149" s="83" t="n">
        <x:v>2.1782248435235463</x:v>
      </x:c>
      <x:c r="E1149" s="81" t="n">
        <x:v>-0.1066161454276563</x:v>
      </x:c>
      <x:c r="F1149" s="81" t="n">
        <x:v>0.5298603350063786</x:v>
      </x:c>
      <x:c r="G1149" s="81" t="n">
        <x:v>0.010617384417194661</x:v>
      </x:c>
      <x:c r="H1149" s="59" t="n">
        <x:v>0</x:v>
      </x:c>
      <x:c r="I1149" s="81" t="n">
        <x:v>0</x:v>
      </x:c>
      <x:c r="J1149" s="79" t="n">
        <x:v>3.5129325560739306e-77</x:v>
      </x:c>
      <x:c r="K1149" s="81" t="n">
        <x:v>-1</x:v>
      </x:c>
      <x:c r="L1149" s="81" t="n">
        <x:v>-1</x:v>
      </x:c>
      <x:c r="M1149" s="80" t="n">
        <x:v>0.000002</x:v>
      </x:c>
      <x:c r="N1149" s="82" t="n">
        <x:v>0.15042039332947452</x:v>
      </x:c>
      <x:c r="O1149" s="82" t="n">
        <x:v>0.07529030761470804</x:v>
      </x:c>
      <x:c r="P1149" s="80" t="n">
        <x:v>511.5392016543622</x:v>
      </x:c>
      <x:c r="Q1149" s="81" t="n">
        <x:v>5.9689647512614055e+59</x:v>
      </x:c>
      <x:c r="R1149" s="81" t="n">
        <x:v>0.8830493924007788</x:v>
      </x:c>
      <x:c r="S1149" s="81" t="n">
        <x:v>8.753872603636418e-10</x:v>
      </x:c>
      <x:c r="T1149" s="81" t="n">
        <x:v>7.609778866628939e-73</x:v>
      </x:c>
    </x:row>
    <x:row r="1150">
      <x:c r="A1150" s="59" t="n">
        <x:v>1147</x:v>
      </x:c>
      <x:c r="B1150" s="193" t="n">
        <x:v>0.6216392327100039</x:v>
      </x:c>
      <x:c r="C1150" s="83" t="n">
        <x:v>1.4938220333926173</x:v>
      </x:c>
      <x:c r="D1150" s="83" t="n">
        <x:v>0.6827803482570369</x:v>
      </x:c>
      <x:c r="E1150" s="81" t="n">
        <x:v>-0.04020118496910774</x:v>
      </x:c>
      <x:c r="F1150" s="81" t="n">
        <x:v>0.5183136010775342</x:v>
      </x:c>
      <x:c r="G1150" s="81" t="n">
        <x:v>0.016899927820137974</x:v>
      </x:c>
      <x:c r="H1150" s="59" t="n">
        <x:v>60</x:v>
      </x:c>
      <x:c r="I1150" s="81" t="n">
        <x:v>0.24556925026699902</x:v>
      </x:c>
      <x:c r="J1150" s="79" t="n">
        <x:v>1.0025983208435395e-22</x:v>
      </x:c>
      <x:c r="K1150" s="81" t="n">
        <x:v>-1</x:v>
      </x:c>
      <x:c r="L1150" s="81" t="n">
        <x:v>-1</x:v>
      </x:c>
      <x:c r="M1150" s="80" t="n">
        <x:v>0.0000044983738106223546</x:v>
      </x:c>
      <x:c r="N1150" s="82" t="n">
        <x:v>0.2501798709671363</x:v>
      </x:c>
      <x:c r="O1150" s="82" t="n">
        <x:v>0.12249430877653122</x:v>
      </x:c>
      <x:c r="P1150" s="80" t="n">
        <x:v>868.0045069188477</x:v>
      </x:c>
      <x:c r="Q1150" s="81" t="n">
        <x:v>1172659.3261394424</x:v>
      </x:c>
      <x:c r="R1150" s="81" t="n">
        <x:v>3.836990804320982</x:v>
      </x:c>
      <x:c r="S1150" s="81" t="n">
        <x:v>7.055289114256645e-10</x:v>
      </x:c>
      <x:c r="T1150" s="81" t="n">
        <x:v>2.171846852135313e-18</x:v>
      </x:c>
    </x:row>
    <x:row r="1151">
      <x:c r="A1151" s="59" t="n">
        <x:v>1148</x:v>
      </x:c>
      <x:c r="B1151" s="193" t="n">
        <x:v>0.6545898767188192</x:v>
      </x:c>
      <x:c r="C1151" s="83" t="n">
        <x:v>1.2342290364044641</x:v>
      </x:c>
      <x:c r="D1151" s="83" t="n">
        <x:v>0.2638282008400644</x:v>
      </x:c>
      <x:c r="E1151" s="81" t="n">
        <x:v>-0.03294179250015531</x:v>
      </x:c>
      <x:c r="F1151" s="81" t="n">
        <x:v>0.2644185880664736</x:v>
      </x:c>
      <x:c r="G1151" s="81" t="n">
        <x:v>0.020464949480587743</x:v>
      </x:c>
      <x:c r="H1151" s="59" t="n">
        <x:v>14</x:v>
      </x:c>
      <x:c r="I1151" s="81" t="n">
        <x:v>0.2790724833495915</x:v>
      </x:c>
      <x:c r="J1151" s="79" t="n">
        <x:v>1.030188154928451e-10</x:v>
      </x:c>
      <x:c r="K1151" s="81" t="n">
        <x:v>-0.9999998822642109</x:v>
      </x:c>
      <x:c r="L1151" s="81" t="n">
        <x:v>-0.9999998822642109</x:v>
      </x:c>
      <x:c r="M1151" s="80" t="n">
        <x:v>3.924991738241941</x:v>
      </x:c>
      <x:c r="N1151" s="82" t="n">
        <x:v>0.25802933219461116</x:v>
      </x:c>
      <x:c r="O1151" s="82" t="n">
        <x:v>0.06445134756258071</x:v>
      </x:c>
      <x:c r="P1151" s="80" t="n">
        <x:v>686.3845509825151</x:v>
      </x:c>
      <x:c r="Q1151" s="81" t="n">
        <x:v>1.2024162160264058</x:v>
      </x:c>
      <x:c r="R1151" s="81" t="n">
        <x:v>7.351766946859532</x:v>
      </x:c>
      <x:c r="S1151" s="81" t="n">
        <x:v>0.00026702147524410914</x:v>
      </x:c>
      <x:c r="T1151" s="81" t="n">
        <x:v>0.000002231612456228721</x:v>
      </x:c>
    </x:row>
    <x:row r="1152">
      <x:c r="A1152" s="59" t="n">
        <x:v>1149</x:v>
      </x:c>
      <x:c r="B1152" s="193" t="n">
        <x:v>0.9260215602815152</x:v>
      </x:c>
      <x:c r="C1152" s="83" t="n">
        <x:v>1.753524257801599</x:v>
      </x:c>
      <x:c r="D1152" s="83" t="n">
        <x:v>0.8204363206594544</x:v>
      </x:c>
      <x:c r="E1152" s="81" t="n">
        <x:v>0.013139014447363552</x:v>
      </x:c>
      <x:c r="F1152" s="81" t="n">
        <x:v>0.26929774617310615</x:v>
      </x:c>
      <x:c r="G1152" s="81" t="n">
        <x:v>0.0011363416453567896</x:v>
      </x:c>
      <x:c r="H1152" s="59" t="n">
        <x:v>0</x:v>
      </x:c>
      <x:c r="I1152" s="81" t="n">
        <x:v>0</x:v>
      </x:c>
      <x:c r="J1152" s="79" t="n">
        <x:v>0.00053229015995802</x:v>
      </x:c>
      <x:c r="K1152" s="81" t="n">
        <x:v>-0.39166838861940567</x:v>
      </x:c>
      <x:c r="L1152" s="81" t="n">
        <x:v>-0.6431533087963643</x:v>
      </x:c>
      <x:c r="M1152" s="80" t="n">
        <x:v>11255.761600915117</x:v>
      </x:c>
      <x:c r="N1152" s="82" t="n">
        <x:v>0.32268944856331216</x:v>
      </x:c>
      <x:c r="O1152" s="82" t="n">
        <x:v>0.08208965405189841</x:v>
      </x:c>
      <x:c r="P1152" s="80" t="n">
        <x:v>20714.040064703575</x:v>
      </x:c>
      <x:c r="Q1152" s="81" t="n">
        <x:v>0.012657470273936029</x:v>
      </x:c>
      <x:c r="R1152" s="81" t="n">
        <x:v>16.334185267780562</x:v>
      </x:c>
      <x:c r="S1152" s="81" t="n">
        <x:v>7.142982090404544</x:v>
      </x:c>
      <x:c r="T1152" s="81" t="n">
        <x:v>11.530566970776286</x:v>
      </x:c>
    </x:row>
    <x:row r="1153">
      <x:c r="A1153" s="59" t="n">
        <x:v>1150</x:v>
      </x:c>
      <x:c r="B1153" s="193" t="n">
        <x:v>0.9510116754099727</x:v>
      </x:c>
      <x:c r="C1153" s="83" t="n">
        <x:v>1.4005394511218492</x:v>
      </x:c>
      <x:c r="D1153" s="83" t="n">
        <x:v>0.6665416145666453</x:v>
      </x:c>
      <x:c r="E1153" s="81" t="n">
        <x:v>-0.009660914812478242</x:v>
      </x:c>
      <x:c r="F1153" s="81" t="n">
        <x:v>0.6291899290750735</x:v>
      </x:c>
      <x:c r="G1153" s="81" t="n">
        <x:v>-0.014384972025727444</x:v>
      </x:c>
      <x:c r="H1153" s="59" t="n">
        <x:v>90</x:v>
      </x:c>
      <x:c r="I1153" s="81" t="n">
        <x:v>0.46554674245417116</x:v>
      </x:c>
      <x:c r="J1153" s="79" t="n">
        <x:v>4.169210312731539e-9</x:v>
      </x:c>
      <x:c r="K1153" s="81" t="n">
        <x:v>-0.999995235188214</x:v>
      </x:c>
      <x:c r="L1153" s="81" t="n">
        <x:v>-0.999995235188214</x:v>
      </x:c>
      <x:c r="M1153" s="80" t="n">
        <x:v>26.682607841750404</x:v>
      </x:c>
      <x:c r="N1153" s="82" t="n">
        <x:v>0.32864256255156965</x:v>
      </x:c>
      <x:c r="O1153" s="82" t="n">
        <x:v>0.19533340145227318</x:v>
      </x:c>
      <x:c r="P1153" s="80" t="n">
        <x:v>1654.5736694647435</x:v>
      </x:c>
      <x:c r="Q1153" s="81" t="n">
        <x:v>0.6331878842508022</x:v>
      </x:c>
      <x:c r="R1153" s="81" t="n">
        <x:v>6.6886257559810876</x:v>
      </x:c>
      <x:c r="S1153" s="81" t="n">
        <x:v>0.0028057725299373373</x:v>
      </x:c>
      <x:c r="T1153" s="81" t="n">
        <x:v>0.00009031419767367771</x:v>
      </x:c>
    </x:row>
    <x:row r="1154">
      <x:c r="A1154" s="59" t="n">
        <x:v>1151</x:v>
      </x:c>
      <x:c r="B1154" s="193" t="n">
        <x:v>0.8676257008686663</x:v>
      </x:c>
      <x:c r="C1154" s="83" t="n">
        <x:v>0.11274157023924973</x:v>
      </x:c>
      <x:c r="D1154" s="83" t="n">
        <x:v>1.1116818651716245</x:v>
      </x:c>
      <x:c r="E1154" s="81" t="n">
        <x:v>-0.08902989290546007</x:v>
      </x:c>
      <x:c r="F1154" s="81" t="n">
        <x:v>0.4645242041442543</x:v>
      </x:c>
      <x:c r="G1154" s="81" t="n">
        <x:v>0.035338917643339594</x:v>
      </x:c>
      <x:c r="H1154" s="59" t="n">
        <x:v>86</x:v>
      </x:c>
      <x:c r="I1154" s="81" t="n">
        <x:v>0.23815629538148642</x:v>
      </x:c>
      <x:c r="J1154" s="79" t="n">
        <x:v>4.6576600682696666e-48</x:v>
      </x:c>
      <x:c r="K1154" s="81" t="n">
        <x:v>-1</x:v>
      </x:c>
      <x:c r="L1154" s="81" t="n">
        <x:v>-1</x:v>
      </x:c>
      <x:c r="M1154" s="80" t="n">
        <x:v>0.000002</x:v>
      </x:c>
      <x:c r="N1154" s="82" t="n">
        <x:v>0.3087784599288078</x:v>
      </x:c>
      <x:c r="O1154" s="82" t="n">
        <x:v>0.1354959413592427</x:v>
      </x:c>
      <x:c r="P1154" s="80" t="n">
        <x:v>212.9599936585785</x:v>
      </x:c>
      <x:c r="Q1154" s="81" t="n">
        <x:v>5.305556721773574e+30</x:v>
      </x:c>
      <x:c r="R1154" s="81" t="n">
        <x:v>12.264278548315348</x:v>
      </x:c>
      <x:c r="S1154" s="81" t="n">
        <x:v>1.3353482465911502e-9</x:v>
      </x:c>
      <x:c r="T1154" s="81" t="n">
        <x:v>1.008950857715074e-43</x:v>
      </x:c>
    </x:row>
    <x:row r="1155">
      <x:c r="A1155" s="59" t="n">
        <x:v>1152</x:v>
      </x:c>
      <x:c r="B1155" s="193" t="n">
        <x:v>0.22403859607875348</x:v>
      </x:c>
      <x:c r="C1155" s="83" t="n">
        <x:v>0.6818438664511297</x:v>
      </x:c>
      <x:c r="D1155" s="83" t="n">
        <x:v>1.120032216623904</x:v>
      </x:c>
      <x:c r="E1155" s="81" t="n">
        <x:v>-0.02267159326923608</x:v>
      </x:c>
      <x:c r="F1155" s="81" t="n">
        <x:v>0.701479062694125</x:v>
      </x:c>
      <x:c r="G1155" s="81" t="n">
        <x:v>-0.030288009720108977</x:v>
      </x:c>
      <x:c r="H1155" s="59" t="n">
        <x:v>0</x:v>
      </x:c>
      <x:c r="I1155" s="81" t="n">
        <x:v>0</x:v>
      </x:c>
      <x:c r="J1155" s="79" t="n">
        <x:v>2.816850101745692e-17</x:v>
      </x:c>
      <x:c r="K1155" s="81" t="n">
        <x:v>-0.9999999999999678</x:v>
      </x:c>
      <x:c r="L1155" s="81" t="n">
        <x:v>-0.9999999999999678</x:v>
      </x:c>
      <x:c r="M1155" s="80" t="n">
        <x:v>0.0015794145667176913</x:v>
      </x:c>
      <x:c r="N1155" s="82" t="n">
        <x:v>0.15546394430963562</x:v>
      </x:c>
      <x:c r="O1155" s="82" t="n">
        <x:v>0.10301852725449637</x:v>
      </x:c>
      <x:c r="P1155" s="80" t="n">
        <x:v>982.0843595140068</x:v>
      </x:c>
      <x:c r="Q1155" s="81" t="n">
        <x:v>2554.757986434277</x:v>
      </x:c>
      <x:c r="R1155" s="81" t="n">
        <x:v>8.21540175203845</x:v>
      </x:c>
      <x:c r="S1155" s="81" t="n">
        <x:v>3.278449515618972e-7</x:v>
      </x:c>
      <x:c r="T1155" s="81" t="n">
        <x:v>6.101912300497586e-13</x:v>
      </x:c>
    </x:row>
    <x:row r="1156">
      <x:c r="A1156" s="59" t="n">
        <x:v>1153</x:v>
      </x:c>
      <x:c r="B1156" s="193" t="n">
        <x:v>0.8560666350647808</x:v>
      </x:c>
      <x:c r="C1156" s="83" t="n">
        <x:v>0.4333768980711133</x:v>
      </x:c>
      <x:c r="D1156" s="83" t="n">
        <x:v>1.1477615128539245</x:v>
      </x:c>
      <x:c r="E1156" s="81" t="n">
        <x:v>0.005065697406122365</x:v>
      </x:c>
      <x:c r="F1156" s="81" t="n">
        <x:v>0.40183234608266505</x:v>
      </x:c>
      <x:c r="G1156" s="81" t="n">
        <x:v>-0.01939976364303501</x:v>
      </x:c>
      <x:c r="H1156" s="59" t="n">
        <x:v>0</x:v>
      </x:c>
      <x:c r="I1156" s="81" t="n">
        <x:v>0</x:v>
      </x:c>
      <x:c r="J1156" s="79" t="n">
        <x:v>0.000014289956819878907</x:v>
      </x:c>
      <x:c r="K1156" s="81" t="n">
        <x:v>-0.9836686207772812</x:v>
      </x:c>
      <x:c r="L1156" s="81" t="n">
        <x:v>-0.9836686207772812</x:v>
      </x:c>
      <x:c r="M1156" s="80" t="n">
        <x:v>942.2803406571802</x:v>
      </x:c>
      <x:c r="N1156" s="82" t="n">
        <x:v>0.3060248737218384</x:v>
      </x:c>
      <x:c r="O1156" s="82" t="n">
        <x:v>0.11616426857292075</x:v>
      </x:c>
      <x:c r="P1156" s="80" t="n">
        <x:v>4045.9658160583813</x:v>
      </x:c>
      <x:c r="Q1156" s="81" t="n">
        <x:v>0.03547232720342438</x:v>
      </x:c>
      <x:c r="R1156" s="81" t="n">
        <x:v>31.372864043243062</x:v>
      </x:c>
      <x:c r="S1156" s="81" t="n">
        <x:v>0.8740578271932877</x:v>
      </x:c>
      <x:c r="T1156" s="81" t="n">
        <x:v>0.30955166282636154</x:v>
      </x:c>
    </x:row>
    <x:row r="1157">
      <x:c r="A1157" s="59" t="n">
        <x:v>1154</x:v>
      </x:c>
      <x:c r="B1157" s="193" t="n">
        <x:v>0.2268314814195037</x:v>
      </x:c>
      <x:c r="C1157" s="83" t="n">
        <x:v>0.16474142031222463</x:v>
      </x:c>
      <x:c r="D1157" s="83" t="n">
        <x:v>1.06621152106643</x:v>
      </x:c>
      <x:c r="E1157" s="81" t="n">
        <x:v>0.024578445979887294</x:v>
      </x:c>
      <x:c r="F1157" s="81" t="n">
        <x:v>0.5603845766629092</x:v>
      </x:c>
      <x:c r="G1157" s="81" t="n">
        <x:v>-0.019106147546034388</x:v>
      </x:c>
      <x:c r="H1157" s="59" t="n">
        <x:v>23</x:v>
      </x:c>
      <x:c r="I1157" s="81" t="n">
        <x:v>0.1438521101139486</x:v>
      </x:c>
      <x:c r="J1157" s="79" t="n">
        <x:v>0.0003811584020613026</x:v>
      </x:c>
      <x:c r="K1157" s="81" t="n">
        <x:v>-0.5643903976442255</x:v>
      </x:c>
      <x:c r="L1157" s="81" t="n">
        <x:v>-0.7766434946010212</x:v>
      </x:c>
      <x:c r="M1157" s="80" t="n">
        <x:v>4240.928383779396</x:v>
      </x:c>
      <x:c r="N1157" s="82" t="n">
        <x:v>0.15612926196440244</x:v>
      </x:c>
      <x:c r="O1157" s="82" t="n">
        <x:v>0.08264972681232621</x:v>
      </x:c>
      <x:c r="P1157" s="80" t="n">
        <x:v>9401.77627647579</x:v>
      </x:c>
      <x:c r="Q1157" s="81" t="n">
        <x:v>0.007179601998874153</x:v>
      </x:c>
      <x:c r="R1157" s="81" t="n">
        <x:v>170.35384133307787</x:v>
      </x:c>
      <x:c r="S1157" s="81" t="n">
        <x:v>44.335146295766954</x:v>
      </x:c>
      <x:c r="T1157" s="81" t="n">
        <x:v>8.256723140981116</x:v>
      </x:c>
    </x:row>
    <x:row r="1158">
      <x:c r="A1158" s="59" t="n">
        <x:v>1155</x:v>
      </x:c>
      <x:c r="B1158" s="193" t="n">
        <x:v>0.9896783985197544</x:v>
      </x:c>
      <x:c r="C1158" s="83" t="n">
        <x:v>1.2541903869235536</x:v>
      </x:c>
      <x:c r="D1158" s="83" t="n">
        <x:v>0.8062643442093866</x:v>
      </x:c>
      <x:c r="E1158" s="81" t="n">
        <x:v>0.00649696349467587</x:v>
      </x:c>
      <x:c r="F1158" s="81" t="n">
        <x:v>0.5228949471958912</x:v>
      </x:c>
      <x:c r="G1158" s="81" t="n">
        <x:v>0.03591392066609276</x:v>
      </x:c>
      <x:c r="H1158" s="59" t="n">
        <x:v>0</x:v>
      </x:c>
      <x:c r="I1158" s="81" t="n">
        <x:v>0</x:v>
      </x:c>
      <x:c r="J1158" s="79" t="n">
        <x:v>0.00003938565972079032</x:v>
      </x:c>
      <x:c r="K1158" s="81" t="n">
        <x:v>-0.9549878174619539</x:v>
      </x:c>
      <x:c r="L1158" s="81" t="n">
        <x:v>-0.9677639589154741</x:v>
      </x:c>
      <x:c r="M1158" s="80" t="n">
        <x:v>2470.896361860942</x:v>
      </x:c>
      <x:c r="N1158" s="82" t="n">
        <x:v>0.33785370099737805</x:v>
      </x:c>
      <x:c r="O1158" s="82" t="n">
        <x:v>0.1668837567951562</x:v>
      </x:c>
      <x:c r="P1158" s="80" t="n">
        <x:v>6653.059212545889</x:v>
      </x:c>
      <x:c r="Q1158" s="81" t="n">
        <x:v>0.0451727139266005</x:v>
      </x:c>
      <x:c r="R1158" s="81" t="n">
        <x:v>11.922028397222569</x:v>
      </x:c>
      <x:c r="S1158" s="81" t="n">
        <x:v>1.1800838871436485</x:v>
      </x:c>
      <x:c r="T1158" s="81" t="n">
        <x:v>0.8531793770799655</x:v>
      </x:c>
    </x:row>
    <x:row r="1159">
      <x:c r="A1159" s="59" t="n">
        <x:v>1156</x:v>
      </x:c>
      <x:c r="B1159" s="193" t="n">
        <x:v>0.5117574244737626</x:v>
      </x:c>
      <x:c r="C1159" s="83" t="n">
        <x:v>0.12671546009681367</x:v>
      </x:c>
      <x:c r="D1159" s="83" t="n">
        <x:v>2.018150958980398</x:v>
      </x:c>
      <x:c r="E1159" s="81" t="n">
        <x:v>-0.03786575856906059</x:v>
      </x:c>
      <x:c r="F1159" s="81" t="n">
        <x:v>0.48664627857506276</x:v>
      </x:c>
      <x:c r="G1159" s="81" t="n">
        <x:v>-0.015925342074110307</x:v>
      </x:c>
      <x:c r="H1159" s="59" t="n">
        <x:v>0</x:v>
      </x:c>
      <x:c r="I1159" s="81" t="n">
        <x:v>0</x:v>
      </x:c>
      <x:c r="J1159" s="79" t="n">
        <x:v>7.752587136130475e-34</x:v>
      </x:c>
      <x:c r="K1159" s="81" t="n">
        <x:v>-1</x:v>
      </x:c>
      <x:c r="L1159" s="81" t="n">
        <x:v>-1</x:v>
      </x:c>
      <x:c r="M1159" s="80" t="n">
        <x:v>0.000002</x:v>
      </x:c>
      <x:c r="N1159" s="82" t="n">
        <x:v>0.22400396396135927</x:v>
      </x:c>
      <x:c r="O1159" s="82" t="n">
        <x:v>0.10297695652323785</x:v>
      </x:c>
      <x:c r="P1159" s="80" t="n">
        <x:v>483.6761717870178</x:v>
      </x:c>
      <x:c r="Q1159" s="81" t="n">
        <x:v>71423753079841490</x:v>
      </x:c>
      <x:c r="R1159" s="81" t="n">
        <x:v>15.04217757617762</x:v>
      </x:c>
      <x:c r="S1159" s="81" t="n">
        <x:v>1.2906785256690856e-9</x:v>
      </x:c>
      <x:c r="T1159" s="81" t="n">
        <x:v>1.6793796296550212e-29</x:v>
      </x:c>
    </x:row>
    <x:row r="1160">
      <x:c r="A1160" s="59" t="n">
        <x:v>1157</x:v>
      </x:c>
      <x:c r="B1160" s="193" t="n">
        <x:v>0.9224420823156834</x:v>
      </x:c>
      <x:c r="C1160" s="83" t="n">
        <x:v>2.790081246006417</x:v>
      </x:c>
      <x:c r="D1160" s="83" t="n">
        <x:v>0.24673274061136408</x:v>
      </x:c>
      <x:c r="E1160" s="81" t="n">
        <x:v>-0.144305426303277</x:v>
      </x:c>
      <x:c r="F1160" s="81" t="n">
        <x:v>0.7534674514899962</x:v>
      </x:c>
      <x:c r="G1160" s="81" t="n">
        <x:v>0.018401309527367692</x:v>
      </x:c>
      <x:c r="H1160" s="59" t="n">
        <x:v>29</x:v>
      </x:c>
      <x:c r="I1160" s="81" t="n">
        <x:v>0.48546722820028665</x:v>
      </x:c>
      <x:c r="J1160" s="79" t="n">
        <x:v>4.9972931297489926e-26</x:v>
      </x:c>
      <x:c r="K1160" s="81" t="n">
        <x:v>-1</x:v>
      </x:c>
      <x:c r="L1160" s="81" t="n">
        <x:v>-1</x:v>
      </x:c>
      <x:c r="M1160" s="80" t="n">
        <x:v>0.000002</x:v>
      </x:c>
      <x:c r="N1160" s="82" t="n">
        <x:v>0.321836749796639</x:v>
      </x:c>
      <x:c r="O1160" s="82" t="n">
        <x:v>0.22907150639871013</x:v>
      </x:c>
      <x:c r="P1160" s="80" t="n">
        <x:v>383.6206889721575</x:v>
      </x:c>
      <x:c r="Q1160" s="81" t="n">
        <x:v>320567338.4157267</x:v>
      </x:c>
      <x:c r="R1160" s="81" t="n">
        <x:v>1.5459280150036074</x:v>
      </x:c>
      <x:c r="S1160" s="81" t="n">
        <x:v>7.119173596041232e-11</x:v>
      </x:c>
      <x:c r="T1160" s="81" t="n">
        <x:v>1.0825227937656299e-21</x:v>
      </x:c>
    </x:row>
    <x:row r="1161">
      <x:c r="A1161" s="59" t="n">
        <x:v>1158</x:v>
      </x:c>
      <x:c r="B1161" s="193" t="n">
        <x:v>0.5125229423865676</x:v>
      </x:c>
      <x:c r="C1161" s="83" t="n">
        <x:v>0.14814329686844224</x:v>
      </x:c>
      <x:c r="D1161" s="83" t="n">
        <x:v>1.8507833932172892</x:v>
      </x:c>
      <x:c r="E1161" s="81" t="n">
        <x:v>0.09066353873772412</x:v>
      </x:c>
      <x:c r="F1161" s="81" t="n">
        <x:v>0.6065906082978472</x:v>
      </x:c>
      <x:c r="G1161" s="81" t="n">
        <x:v>-0.04542853187883118</x:v>
      </x:c>
      <x:c r="H1161" s="59" t="n">
        <x:v>0</x:v>
      </x:c>
      <x:c r="I1161" s="81" t="n">
        <x:v>0</x:v>
      </x:c>
      <x:c r="J1161" s="79" t="n">
        <x:v>0.004956011542570669</x:v>
      </x:c>
      <x:c r="K1161" s="81" t="n">
        <x:v>4.664013191509336</x:v>
      </x:c>
      <x:c r="L1161" s="81" t="n">
        <x:v>-0.8386321973177991</x:v>
      </x:c>
      <x:c r="M1161" s="80" t="n">
        <x:v>21237.399541783114</x:v>
      </x:c>
      <x:c r="N1161" s="82" t="n">
        <x:v>0.2241863246816501</x:v>
      </x:c>
      <x:c r="O1161" s="82" t="n">
        <x:v>0.12846231407850076</x:v>
      </x:c>
      <x:c r="P1161" s="80" t="n">
        <x:v>58051.62059217995</x:v>
      </x:c>
      <x:c r="Q1161" s="81" t="n">
        <x:v>0.0038117029956429337</x:v>
      </x:c>
      <x:c r="R1161" s="81" t="n">
        <x:v>2309.5128960948323</x:v>
      </x:c>
      <x:c r="S1161" s="81" t="n">
        <x:v>630.3180657162529</x:v>
      </x:c>
      <x:c r="T1161" s="81" t="n">
        <x:v>107.35803007152765</x:v>
      </x:c>
    </x:row>
    <x:row r="1162">
      <x:c r="A1162" s="59" t="n">
        <x:v>1159</x:v>
      </x:c>
      <x:c r="B1162" s="193" t="n">
        <x:v>0.5440170519053936</x:v>
      </x:c>
      <x:c r="C1162" s="83" t="n">
        <x:v>1.2866342918806333</x:v>
      </x:c>
      <x:c r="D1162" s="83" t="n">
        <x:v>0.7461497132419632</x:v>
      </x:c>
      <x:c r="E1162" s="81" t="n">
        <x:v>0.010157832271080148</x:v>
      </x:c>
      <x:c r="F1162" s="81" t="n">
        <x:v>0.2971581820398569</x:v>
      </x:c>
      <x:c r="G1162" s="81" t="n">
        <x:v>0.015799557821034132</x:v>
      </x:c>
      <x:c r="H1162" s="59" t="n">
        <x:v>0</x:v>
      </x:c>
      <x:c r="I1162" s="81" t="n">
        <x:v>0</x:v>
      </x:c>
      <x:c r="J1162" s="79" t="n">
        <x:v>0.000381745355025024</x:v>
      </x:c>
      <x:c r="K1162" s="81" t="n">
        <x:v>-0.5637195942571154</x:v>
      </x:c>
      <x:c r="L1162" s="81" t="n">
        <x:v>-0.7154838589360245</x:v>
      </x:c>
      <x:c r="M1162" s="80" t="n">
        <x:v>7836.927005535017</x:v>
      </x:c>
      <x:c r="N1162" s="82" t="n">
        <x:v>0.23168881208358783</x:v>
      </x:c>
      <x:c r="O1162" s="82" t="n">
        <x:v>0.06503747881561944</x:v>
      </x:c>
      <x:c r="P1162" s="80" t="n">
        <x:v>14213.615321011257</x:v>
      </x:c>
      <x:c r="Q1162" s="81" t="n">
        <x:v>0.012553197644676646</x:v>
      </x:c>
      <x:c r="R1162" s="81" t="n">
        <x:v>18.471751391859915</x:v>
      </x:c>
      <x:c r="S1162" s="81" t="n">
        <x:v>6.875469740535466</x:v>
      </x:c>
      <x:c r="T1162" s="81" t="n">
        <x:v>8.269437823622287</x:v>
      </x:c>
    </x:row>
    <x:row r="1163">
      <x:c r="A1163" s="59" t="n">
        <x:v>1160</x:v>
      </x:c>
      <x:c r="B1163" s="193" t="n">
        <x:v>0.8209137292578816</x:v>
      </x:c>
      <x:c r="C1163" s="83" t="n">
        <x:v>1.5951251892126586</x:v>
      </x:c>
      <x:c r="D1163" s="83" t="n">
        <x:v>0.6047125198479382</x:v>
      </x:c>
      <x:c r="E1163" s="81" t="n">
        <x:v>-0.01891319191259175</x:v>
      </x:c>
      <x:c r="F1163" s="81" t="n">
        <x:v>0.5464170999010094</x:v>
      </x:c>
      <x:c r="G1163" s="81" t="n">
        <x:v>-0.009919153981760546</x:v>
      </x:c>
      <x:c r="H1163" s="59" t="n">
        <x:v>16</x:v>
      </x:c>
      <x:c r="I1163" s="81" t="n">
        <x:v>0.25639487905427816</x:v>
      </x:c>
      <x:c r="J1163" s="79" t="n">
        <x:v>1.8350900526558704e-11</x:v>
      </x:c>
      <x:c r="K1163" s="81" t="n">
        <x:v>-0.9999999790275422</x:v>
      </x:c>
      <x:c r="L1163" s="81" t="n">
        <x:v>-0.9999999790275422</x:v>
      </x:c>
      <x:c r="M1163" s="80" t="n">
        <x:v>1.9290735049201966</x:v>
      </x:c>
      <x:c r="N1163" s="82" t="n">
        <x:v>0.29765079244165094</x:v>
      </x:c>
      <x:c r="O1163" s="82" t="n">
        <x:v>0.15363928129483312</x:v>
      </x:c>
      <x:c r="P1163" s="80" t="n">
        <x:v>1328.5018688077191</x:v>
      </x:c>
      <x:c r="Q1163" s="81" t="n">
        <x:v>5.703394590565757</x:v>
      </x:c>
      <x:c r="R1163" s="81" t="n">
        <x:v>5.244130475063927</x:v>
      </x:c>
      <x:c r="S1163" s="81" t="n">
        <x:v>0.00017811185925412716</x:v>
      </x:c>
      <x:c r="T1163" s="81" t="n">
        <x:v>3.9752056944322775e-7</x:v>
      </x:c>
    </x:row>
    <x:row r="1164">
      <x:c r="A1164" s="59" t="n">
        <x:v>1161</x:v>
      </x:c>
      <x:c r="B1164" s="193" t="n">
        <x:v>0.4515623295679689</x:v>
      </x:c>
      <x:c r="C1164" s="83" t="n">
        <x:v>0.7881111451237419</x:v>
      </x:c>
      <x:c r="D1164" s="83" t="n">
        <x:v>0.9650648553918751</x:v>
      </x:c>
      <x:c r="E1164" s="81" t="n">
        <x:v>-0.09229315710800917</x:v>
      </x:c>
      <x:c r="F1164" s="81" t="n">
        <x:v>0.7928817481850274</x:v>
      </x:c>
      <x:c r="G1164" s="81" t="n">
        <x:v>0.06072045879272179</x:v>
      </x:c>
      <x:c r="H1164" s="59" t="n">
        <x:v>32</x:v>
      </x:c>
      <x:c r="I1164" s="81" t="n">
        <x:v>0.1630223546177149</x:v>
      </x:c>
      <x:c r="J1164" s="79" t="n">
        <x:v>5.959054048945516e-50</x:v>
      </x:c>
      <x:c r="K1164" s="81" t="n">
        <x:v>-1</x:v>
      </x:c>
      <x:c r="L1164" s="81" t="n">
        <x:v>-1</x:v>
      </x:c>
      <x:c r="M1164" s="80" t="n">
        <x:v>0.000002</x:v>
      </x:c>
      <x:c r="N1164" s="82" t="n">
        <x:v>0.20966436369676944</x:v>
      </x:c>
      <x:c r="O1164" s="82" t="n">
        <x:v>0.1570377206356444</x:v>
      </x:c>
      <x:c r="P1164" s="80" t="n">
        <x:v>328.4772978482652</x:v>
      </x:c>
      <x:c r="Q1164" s="81" t="n">
        <x:v>4.012242622472566e+32</x:v>
      </x:c>
      <x:c r="R1164" s="81" t="n">
        <x:v>2.3744762036056195</x:v>
      </x:c>
      <x:c r="S1164" s="81" t="n">
        <x:v>9.685995567120812e-10</x:v>
      </x:c>
      <x:c r="T1164" s="81" t="n">
        <x:v>1.2908612062124327e-45</x:v>
      </x:c>
    </x:row>
    <x:row r="1165">
      <x:c r="A1165" s="59" t="n">
        <x:v>1162</x:v>
      </x:c>
      <x:c r="B1165" s="193" t="n">
        <x:v>0.5061582362279295</x:v>
      </x:c>
      <x:c r="C1165" s="83" t="n">
        <x:v>0.5951687373603791</x:v>
      </x:c>
      <x:c r="D1165" s="83" t="n">
        <x:v>3</x:v>
      </x:c>
      <x:c r="E1165" s="81" t="n">
        <x:v>-0.0003785049628881838</x:v>
      </x:c>
      <x:c r="F1165" s="81" t="n">
        <x:v>0.2505099722417071</x:v>
      </x:c>
      <x:c r="G1165" s="81" t="n">
        <x:v>-0.014419150174346758</x:v>
      </x:c>
      <x:c r="H1165" s="59" t="n">
        <x:v>0</x:v>
      </x:c>
      <x:c r="I1165" s="81" t="n">
        <x:v>0</x:v>
      </x:c>
      <x:c r="J1165" s="79" t="n">
        <x:v>0.0000024990301755015134</x:v>
      </x:c>
      <x:c r="K1165" s="81" t="n">
        <x:v>-0.9971439655137125</x:v>
      </x:c>
      <x:c r="L1165" s="81" t="n">
        <x:v>-0.9971439655137125</x:v>
      </x:c>
      <x:c r="M1165" s="80" t="n">
        <x:v>429.9977377553452</x:v>
      </x:c>
      <x:c r="N1165" s="82" t="n">
        <x:v>0.22267013233642205</x:v>
      </x:c>
      <x:c r="O1165" s="82" t="n">
        <x:v>0.05269360698285246</x:v>
      </x:c>
      <x:c r="P1165" s="80" t="n">
        <x:v>11152.522659874214</x:v>
      </x:c>
      <x:c r="Q1165" s="81" t="n">
        <x:v>0.15501946576353048</x:v>
      </x:c>
      <x:c r="R1165" s="81" t="n">
        <x:v>27.775127674120245</x:v>
      </x:c>
      <x:c r="S1165" s="81" t="n">
        <x:v>0.37593323299290465</x:v>
      </x:c>
      <x:c r="T1165" s="81" t="n">
        <x:v>0.05413444953196876</x:v>
      </x:c>
    </x:row>
    <x:row r="1166">
      <x:c r="A1166" s="59" t="n">
        <x:v>1163</x:v>
      </x:c>
      <x:c r="B1166" s="193" t="n">
        <x:v>0.6757350977510215</x:v>
      </x:c>
      <x:c r="C1166" s="83" t="n">
        <x:v>0.1318503329028837</x:v>
      </x:c>
      <x:c r="D1166" s="83" t="n">
        <x:v>0.6559313492570528</x:v>
      </x:c>
      <x:c r="E1166" s="81" t="n">
        <x:v>-0.12508191176362407</x:v>
      </x:c>
      <x:c r="F1166" s="81" t="n">
        <x:v>0.5139935881248676</x:v>
      </x:c>
      <x:c r="G1166" s="81" t="n">
        <x:v>-0.014346503020000468</x:v>
      </x:c>
      <x:c r="H1166" s="59" t="n">
        <x:v>76</x:v>
      </x:c>
      <x:c r="I1166" s="81" t="n">
        <x:v>0.2908889537677169</x:v>
      </x:c>
      <x:c r="J1166" s="79" t="n">
        <x:v>1.8705517808066293e-35</x:v>
      </x:c>
      <x:c r="K1166" s="81" t="n">
        <x:v>-1</x:v>
      </x:c>
      <x:c r="L1166" s="81" t="n">
        <x:v>-1</x:v>
      </x:c>
      <x:c r="M1166" s="80" t="n">
        <x:v>0.000002</x:v>
      </x:c>
      <x:c r="N1166" s="82" t="n">
        <x:v>0.263066520317376</x:v>
      </x:c>
      <x:c r="O1166" s="82" t="n">
        <x:v>0.12773038566466935</x:v>
      </x:c>
      <x:c r="P1166" s="80" t="n">
        <x:v>148.5937697642308</x:v>
      </x:c>
      <x:c r="Q1166" s="81" t="n">
        <x:v>971437128436006700</x:v>
      </x:c>
      <x:c r="R1166" s="81" t="n">
        <x:v>12.592354637872152</x:v>
      </x:c>
      <x:c r="S1166" s="81" t="n">
        <x:v>4.258128276847112e-10</x:v>
      </x:c>
      <x:c r="T1166" s="81" t="n">
        <x:v>4.05202353967932e-31</x:v>
      </x:c>
    </x:row>
    <x:row r="1167">
      <x:c r="A1167" s="59" t="n">
        <x:v>1164</x:v>
      </x:c>
      <x:c r="B1167" s="193" t="n">
        <x:v>0.9717021089047193</x:v>
      </x:c>
      <x:c r="C1167" s="83" t="n">
        <x:v>0.1331378248566901</x:v>
      </x:c>
      <x:c r="D1167" s="83" t="n">
        <x:v>0.4440033209525461</x:v>
      </x:c>
      <x:c r="E1167" s="81" t="n">
        <x:v>-0.05088189993374953</x:v>
      </x:c>
      <x:c r="F1167" s="81" t="n">
        <x:v>0.38643441470339895</x:v>
      </x:c>
      <x:c r="G1167" s="81" t="n">
        <x:v>-0.02675696948075798</x:v>
      </x:c>
      <x:c r="H1167" s="59" t="n">
        <x:v>0</x:v>
      </x:c>
      <x:c r="I1167" s="81" t="n">
        <x:v>0</x:v>
      </x:c>
      <x:c r="J1167" s="79" t="n">
        <x:v>2.066067310294147e-16</x:v>
      </x:c>
      <x:c r="K1167" s="81" t="n">
        <x:v>-0.9999999999997639</x:v>
      </x:c>
      <x:c r="L1167" s="81" t="n">
        <x:v>-0.9999999999997639</x:v>
      </x:c>
      <x:c r="M1167" s="80" t="n">
        <x:v>0.002873624439341541</x:v>
      </x:c>
      <x:c r="N1167" s="82" t="n">
        <x:v>0.3335714117556461</x:v>
      </x:c>
      <x:c r="O1167" s="82" t="n">
        <x:v>0.1217686696467987</x:v>
      </x:c>
      <x:c r="P1167" s="80" t="n">
        <x:v>258.41792302846176</x:v>
      </x:c>
      <x:c r="Q1167" s="81" t="n">
        <x:v>290.1575646669187</x:v>
      </x:c>
      <x:c r="R1167" s="81" t="n">
        <x:v>34.480271092192744</x:v>
      </x:c>
      <x:c r="S1167" s="81" t="n">
        <x:v>3.660000189073095e-7</x:v>
      </x:c>
      <x:c r="T1167" s="81" t="n">
        <x:v>4.475552861874645e-12</x:v>
      </x:c>
    </x:row>
    <x:row r="1168">
      <x:c r="A1168" s="59" t="n">
        <x:v>1165</x:v>
      </x:c>
      <x:c r="B1168" s="193" t="n">
        <x:v>0.39176954906433825</x:v>
      </x:c>
      <x:c r="C1168" s="83" t="n">
        <x:v>0.2410722300431763</x:v>
      </x:c>
      <x:c r="D1168" s="83" t="n">
        <x:v>0.7137390260430282</x:v>
      </x:c>
      <x:c r="E1168" s="81" t="n">
        <x:v>0.027695571941690755</x:v>
      </x:c>
      <x:c r="F1168" s="81" t="n">
        <x:v>0.37960628115106376</x:v>
      </x:c>
      <x:c r="G1168" s="81" t="n">
        <x:v>-0.03316015421245381</x:v>
      </x:c>
      <x:c r="H1168" s="59" t="n">
        <x:v>0</x:v>
      </x:c>
      <x:c r="I1168" s="81" t="n">
        <x:v>0</x:v>
      </x:c>
      <x:c r="J1168" s="79" t="n">
        <x:v>0.00024359504695628143</x:v>
      </x:c>
      <x:c r="K1168" s="81" t="n">
        <x:v>-0.7216056606213926</x:v>
      </x:c>
      <x:c r="L1168" s="81" t="n">
        <x:v>-0.8259582714920518</x:v>
      </x:c>
      <x:c r="M1168" s="80" t="n">
        <x:v>3512.6016558988968</x:v>
      </x:c>
      <x:c r="N1168" s="82" t="n">
        <x:v>0.19542060226617036</x:v>
      </x:c>
      <x:c r="O1168" s="82" t="n">
        <x:v>0.07007686731906115</x:v>
      </x:c>
      <x:c r="P1168" s="80" t="n">
        <x:v>5730.568333045955</x:v>
      </x:c>
      <x:c r="Q1168" s="81" t="n">
        <x:v>0.005150232500828999</x:v>
      </x:c>
      <x:c r="R1168" s="81" t="n">
        <x:v>118.04992644705636</x:v>
      </x:c>
      <x:c r="S1168" s="81" t="n">
        <x:v>19.365153035005303</x:v>
      </x:c>
      <x:c r="T1168" s="81" t="n">
        <x:v>5.276800538451278</x:v>
      </x:c>
    </x:row>
    <x:row r="1169">
      <x:c r="A1169" s="59" t="n">
        <x:v>1166</x:v>
      </x:c>
      <x:c r="B1169" s="193" t="n">
        <x:v>0.296461783349514</x:v>
      </x:c>
      <x:c r="C1169" s="83" t="n">
        <x:v>0.8850066986725172</x:v>
      </x:c>
      <x:c r="D1169" s="83" t="n">
        <x:v>0.7543234339500877</x:v>
      </x:c>
      <x:c r="E1169" s="81" t="n">
        <x:v>-0.15368965160700435</x:v>
      </x:c>
      <x:c r="F1169" s="81" t="n">
        <x:v>0.7227963601704688</x:v>
      </x:c>
      <x:c r="G1169" s="81" t="n">
        <x:v>-0.04672376876234299</x:v>
      </x:c>
      <x:c r="H1169" s="59" t="n">
        <x:v>0</x:v>
      </x:c>
      <x:c r="I1169" s="81" t="n">
        <x:v>0</x:v>
      </x:c>
      <x:c r="J1169" s="79" t="n">
        <x:v>5.377626956055526e-39</x:v>
      </x:c>
      <x:c r="K1169" s="81" t="n">
        <x:v>-1</x:v>
      </x:c>
      <x:c r="L1169" s="81" t="n">
        <x:v>-1</x:v>
      </x:c>
      <x:c r="M1169" s="80" t="n">
        <x:v>0.000002</x:v>
      </x:c>
      <x:c r="N1169" s="82" t="n">
        <x:v>0.1727165054522918</x:v>
      </x:c>
      <x:c r="O1169" s="82" t="n">
        <x:v>0.11792903401318348</x:v>
      </x:c>
      <x:c r="P1169" s="80" t="n">
        <x:v>222.4150137990231</x:v>
      </x:c>
      <x:c r="Q1169" s="81" t="n">
        <x:v>2.8199960498036623e+21</x:v>
      </x:c>
      <x:c r="R1169" s="81" t="n">
        <x:v>1.6458545940708338</x:v>
      </x:c>
      <x:c r="S1169" s="81" t="n">
        <x:v>1.9584407793386102e-10</x:v>
      </x:c>
      <x:c r="T1169" s="81" t="n">
        <x:v>1.1649114040646619e-34</x:v>
      </x:c>
    </x:row>
    <x:row r="1170">
      <x:c r="A1170" s="59" t="n">
        <x:v>1167</x:v>
      </x:c>
      <x:c r="B1170" s="193" t="n">
        <x:v>0.3669348679482937</x:v>
      </x:c>
      <x:c r="C1170" s="83" t="n">
        <x:v>2.4204711343570318</x:v>
      </x:c>
      <x:c r="D1170" s="83" t="n">
        <x:v>0.8387592580751995</x:v>
      </x:c>
      <x:c r="E1170" s="81" t="n">
        <x:v>0.04567329854322304</x:v>
      </x:c>
      <x:c r="F1170" s="81" t="n">
        <x:v>0.6402958004386164</x:v>
      </x:c>
      <x:c r="G1170" s="81" t="n">
        <x:v>0.0007687524778847284</x:v>
      </x:c>
      <x:c r="H1170" s="59" t="n">
        <x:v>0</x:v>
      </x:c>
      <x:c r="I1170" s="81" t="n">
        <x:v>0</x:v>
      </x:c>
      <x:c r="J1170" s="79" t="n">
        <x:v>0.006094108508415225</x:v>
      </x:c>
      <x:c r="K1170" s="81" t="n">
        <x:v>5.964695438188829</x:v>
      </x:c>
      <x:c r="L1170" s="81" t="n">
        <x:v>-0.5210930949468782</x:v>
      </x:c>
      <x:c r="M1170" s="80" t="n">
        <x:v>52606.12500439988</x:v>
      </x:c>
      <x:c r="N1170" s="82" t="n">
        <x:v>0.18950451557405745</x:v>
      </x:c>
      <x:c r="O1170" s="82" t="n">
        <x:v>0.11462283826899392</x:v>
      </x:c>
      <x:c r="P1170" s="80" t="n">
        <x:v>82305.5748033584</x:v>
      </x:c>
      <x:c r="Q1170" s="81" t="n">
        <x:v>0.005928083903715622</x:v>
      </x:c>
      <x:c r="R1170" s="81" t="n">
        <x:v>44.97174977284592</x:v>
      </x:c>
      <x:c r="S1170" s="81" t="n">
        <x:v>52.681750556746195</x:v>
      </x:c>
      <x:c r="T1170" s="81" t="n">
        <x:v>132.01169506684317</x:v>
      </x:c>
    </x:row>
    <x:row r="1171">
      <x:c r="A1171" s="59" t="n">
        <x:v>1168</x:v>
      </x:c>
      <x:c r="B1171" s="193" t="n">
        <x:v>0.6078093500807882</x:v>
      </x:c>
      <x:c r="C1171" s="83" t="n">
        <x:v>1.5496851290344718</x:v>
      </x:c>
      <x:c r="D1171" s="83" t="n">
        <x:v>0.612521166229437</x:v>
      </x:c>
      <x:c r="E1171" s="81" t="n">
        <x:v>0.05160739653275804</x:v>
      </x:c>
      <x:c r="F1171" s="81" t="n">
        <x:v>0.6921710407012143</x:v>
      </x:c>
      <x:c r="G1171" s="81" t="n">
        <x:v>0.005734683437278924</x:v>
      </x:c>
      <x:c r="H1171" s="59" t="n">
        <x:v>0</x:v>
      </x:c>
      <x:c r="I1171" s="81" t="n">
        <x:v>0</x:v>
      </x:c>
      <x:c r="J1171" s="79" t="n">
        <x:v>0.0012744455723451796</x:v>
      </x:c>
      <x:c r="K1171" s="81" t="n">
        <x:v>0.4565092255373484</x:v>
      </x:c>
      <x:c r="L1171" s="81" t="n">
        <x:v>-0.6869496954962475</x:v>
      </x:c>
      <x:c r="M1171" s="80" t="n">
        <x:v>17583.555703980233</x:v>
      </x:c>
      <x:c r="N1171" s="82" t="n">
        <x:v>0.2468853336145577</x:v>
      </x:c>
      <x:c r="O1171" s="82" t="n">
        <x:v>0.16142829439794887</x:v>
      </x:c>
      <x:c r="P1171" s="80" t="n">
        <x:v>21743.34179862995</x:v>
      </x:c>
      <x:c r="Q1171" s="81" t="n">
        <x:v>0.007059682290437659</x:v>
      </x:c>
      <x:c r="R1171" s="81" t="n">
        <x:v>30.065545147668043</x:v>
      </x:c>
      <x:c r="S1171" s="81" t="n">
        <x:v>17.344499226381902</x:v>
      </x:c>
      <x:c r="T1171" s="81" t="n">
        <x:v>27.607273491011668</x:v>
      </x:c>
    </x:row>
    <x:row r="1172">
      <x:c r="A1172" s="59" t="n">
        <x:v>1169</x:v>
      </x:c>
      <x:c r="B1172" s="193" t="n">
        <x:v>0.6676687056198716</x:v>
      </x:c>
      <x:c r="C1172" s="83" t="n">
        <x:v>1.2272127382934688</x:v>
      </x:c>
      <x:c r="D1172" s="83" t="n">
        <x:v>0.4141192494770477</x:v>
      </x:c>
      <x:c r="E1172" s="81" t="n">
        <x:v>0.08851164036745669</x:v>
      </x:c>
      <x:c r="F1172" s="81" t="n">
        <x:v>0.8341854090453126</x:v>
      </x:c>
      <x:c r="G1172" s="81" t="n">
        <x:v>-0.01648133674184455</x:v>
      </x:c>
      <x:c r="H1172" s="59" t="n">
        <x:v>73</x:v>
      </x:c>
      <x:c r="I1172" s="81" t="n">
        <x:v>0.31363312881439925</x:v>
      </x:c>
      <x:c r="J1172" s="79" t="n">
        <x:v>0.00048709452669313006</x:v>
      </x:c>
      <x:c r="K1172" s="81" t="n">
        <x:v>-0.443320540922137</x:v>
      </x:c>
      <x:c r="L1172" s="81" t="n">
        <x:v>-0.8501858399544346</x:v>
      </x:c>
      <x:c r="M1172" s="80" t="n">
        <x:v>9523.730532446578</x:v>
      </x:c>
      <x:c r="N1172" s="82" t="n">
        <x:v>0.26114495446688385</x:v>
      </x:c>
      <x:c r="O1172" s="82" t="n">
        <x:v>0.20578568954875617</x:v>
      </x:c>
      <x:c r="P1172" s="80" t="n">
        <x:v>8364.199254549807</x:v>
      </x:c>
      <x:c r="Q1172" s="81" t="n">
        <x:v>0.005381194395839991</x:v>
      </x:c>
      <x:c r="R1172" s="81" t="n">
        <x:v>31.12270728536232</x:v>
      </x:c>
      <x:c r="S1172" s="81" t="n">
        <x:v>8.055452267467846</x:v>
      </x:c>
      <x:c r="T1172" s="81" t="n">
        <x:v>10.551530882285455</x:v>
      </x:c>
    </x:row>
    <x:row r="1173">
      <x:c r="A1173" s="59" t="n">
        <x:v>1170</x:v>
      </x:c>
      <x:c r="B1173" s="193" t="n">
        <x:v>0.2573163274675608</x:v>
      </x:c>
      <x:c r="C1173" s="83" t="n">
        <x:v>0.34895642520262404</x:v>
      </x:c>
      <x:c r="D1173" s="83" t="n">
        <x:v>0.7257629901114374</x:v>
      </x:c>
      <x:c r="E1173" s="81" t="n">
        <x:v>0.11647421598905877</x:v>
      </x:c>
      <x:c r="F1173" s="81" t="n">
        <x:v>0.30768213582923637</x:v>
      </x:c>
      <x:c r="G1173" s="81" t="n">
        <x:v>-0.03378516424746516</x:v>
      </x:c>
      <x:c r="H1173" s="59" t="n">
        <x:v>0</x:v>
      </x:c>
      <x:c r="I1173" s="81" t="n">
        <x:v>0</x:v>
      </x:c>
      <x:c r="J1173" s="79" t="n">
        <x:v>0.013647349235480557</x:v>
      </x:c>
      <x:c r="K1173" s="81" t="n">
        <x:v>14.596970554834924</x:v>
      </x:c>
      <x:c r="L1173" s="81" t="n">
        <x:v>-0.693261228864458</x:v>
      </x:c>
      <x:c r="M1173" s="80" t="n">
        <x:v>34568.744418521244</x:v>
      </x:c>
      <x:c r="N1173" s="82" t="n">
        <x:v>0.16339132388391314</x:v>
      </x:c>
      <x:c r="O1173" s="82" t="n">
        <x:v>0.04749000498363597</x:v>
      </x:c>
      <x:c r="P1173" s="80" t="n">
        <x:v>44155.6376033726</x:v>
      </x:c>
      <x:c r="Q1173" s="81" t="n">
        <x:v>0.0010659646851298753</x:v>
      </x:c>
      <x:c r="R1173" s="81" t="n">
        <x:v>1489.9547412786997</x:v>
      </x:c>
      <x:c r="S1173" s="81" t="n">
        <x:v>732.0804219697177</x:v>
      </x:c>
      <x:c r="T1173" s="81" t="n">
        <x:v>295.63137959509095</x:v>
      </x:c>
    </x:row>
    <x:row r="1174">
      <x:c r="A1174" s="59" t="n">
        <x:v>1171</x:v>
      </x:c>
      <x:c r="B1174" s="193" t="n">
        <x:v>0.23170687053352595</x:v>
      </x:c>
      <x:c r="C1174" s="83" t="n">
        <x:v>0.5663778954101175</x:v>
      </x:c>
      <x:c r="D1174" s="83" t="n">
        <x:v>0.4579371311010336</x:v>
      </x:c>
      <x:c r="E1174" s="81" t="n">
        <x:v>0.18687717186614358</x:v>
      </x:c>
      <x:c r="F1174" s="81" t="n">
        <x:v>0.6517407885403372</x:v>
      </x:c>
      <x:c r="G1174" s="81" t="n">
        <x:v>-0.006772914949535011</x:v>
      </x:c>
      <x:c r="H1174" s="59" t="n">
        <x:v>0</x:v>
      </x:c>
      <x:c r="I1174" s="81" t="n">
        <x:v>0</x:v>
      </x:c>
      <x:c r="J1174" s="79" t="n">
        <x:v>0.008820782714669809</x:v>
      </x:c>
      <x:c r="K1174" s="81" t="n">
        <x:v>9.08089453105121</x:v>
      </x:c>
      <x:c r="L1174" s="81" t="n">
        <x:v>-0.7300061071241162</x:v>
      </x:c>
      <x:c r="M1174" s="80" t="n">
        <x:v>33728.29732656672</x:v>
      </x:c>
      <x:c r="N1174" s="82" t="n">
        <x:v>0.15729067106490843</x:v>
      </x:c>
      <x:c r="O1174" s="82" t="n">
        <x:v>0.09683866838485769</x:v>
      </x:c>
      <x:c r="P1174" s="80" t="n">
        <x:v>28198.219059687028</x:v>
      </x:c>
      <x:c r="Q1174" s="81" t="n">
        <x:v>0.001407626337977324</x:v>
      </x:c>
      <x:c r="R1174" s="81" t="n">
        <x:v>444.7181890778955</x:v>
      </x:c>
      <x:c r="S1174" s="81" t="n">
        <x:v>293.7764704929388</x:v>
      </x:c>
      <x:c r="T1174" s="81" t="n">
        <x:v>191.0774113017372</x:v>
      </x:c>
    </x:row>
    <x:row r="1175">
      <x:c r="A1175" s="59" t="n">
        <x:v>1172</x:v>
      </x:c>
      <x:c r="B1175" s="193" t="n">
        <x:v>0.35614164471626286</x:v>
      </x:c>
      <x:c r="C1175" s="83" t="n">
        <x:v>0.14325569392925064</x:v>
      </x:c>
      <x:c r="D1175" s="83" t="n">
        <x:v>0.7275959830364622</x:v>
      </x:c>
      <x:c r="E1175" s="81" t="n">
        <x:v>-0.01055056987869648</x:v>
      </x:c>
      <x:c r="F1175" s="81" t="n">
        <x:v>0.756993779342156</x:v>
      </x:c>
      <x:c r="G1175" s="81" t="n">
        <x:v>0.02387147543184813</x:v>
      </x:c>
      <x:c r="H1175" s="59" t="n">
        <x:v>64</x:v>
      </x:c>
      <x:c r="I1175" s="81" t="n">
        <x:v>0.4700625245459378</x:v>
      </x:c>
      <x:c r="J1175" s="79" t="n">
        <x:v>4.9577845966443495e-11</x:v>
      </x:c>
      <x:c r="K1175" s="81" t="n">
        <x:v>-0.9999999433396046</x:v>
      </x:c>
      <x:c r="L1175" s="81" t="n">
        <x:v>-0.9999999433396046</x:v>
      </x:c>
      <x:c r="M1175" s="80" t="n">
        <x:v>1.3948089649940862</x:v>
      </x:c>
      <x:c r="N1175" s="82" t="n">
        <x:v>0.18693336742725242</x:v>
      </x:c>
      <x:c r="O1175" s="82" t="n">
        <x:v>0.1336749658921754</x:v>
      </x:c>
      <x:c r="P1175" s="80" t="n">
        <x:v>703.5162822052166</x:v>
      </x:c>
      <x:c r="Q1175" s="81" t="n">
        <x:v>2.695422126275209</x:v>
      </x:c>
      <x:c r="R1175" s="81" t="n">
        <x:v>47.314679682888105</x:v>
      </x:c>
      <x:c r="S1175" s="81" t="n">
        <x:v>0.0005350088026353547</x:v>
      </x:c>
      <x:c r="T1175" s="81" t="n">
        <x:v>0.0000010739643829372925</x:v>
      </x:c>
    </x:row>
    <x:row r="1176">
      <x:c r="A1176" s="59" t="n">
        <x:v>1173</x:v>
      </x:c>
      <x:c r="B1176" s="193" t="n">
        <x:v>0.9792386019602419</x:v>
      </x:c>
      <x:c r="C1176" s="83" t="n">
        <x:v>1.5976023773713397</x:v>
      </x:c>
      <x:c r="D1176" s="83" t="n">
        <x:v>0.7388119170563778</x:v>
      </x:c>
      <x:c r="E1176" s="81" t="n">
        <x:v>0.06603381153358802</x:v>
      </x:c>
      <x:c r="F1176" s="81" t="n">
        <x:v>0.45449136276729407</x:v>
      </x:c>
      <x:c r="G1176" s="81" t="n">
        <x:v>-0.004264449970644467</x:v>
      </x:c>
      <x:c r="H1176" s="59" t="n">
        <x:v>0</x:v>
      </x:c>
      <x:c r="I1176" s="81" t="n">
        <x:v>0</x:v>
      </x:c>
      <x:c r="J1176" s="79" t="n">
        <x:v>0.003347790728273717</x:v>
      </x:c>
      <x:c r="K1176" s="81" t="n">
        <x:v>2.8260465465985343</x:v>
      </x:c>
      <x:c r="L1176" s="81" t="n">
        <x:v>-0.6652876872667708</x:v>
      </x:c>
      <x:c r="M1176" s="80" t="n">
        <x:v>30645.774359850846</x:v>
      </x:c>
      <x:c r="N1176" s="82" t="n">
        <x:v>0.33536674571071623</x:v>
      </x:c>
      <x:c r="O1176" s="82" t="n">
        <x:v>0.14398477521331196</x:v>
      </x:c>
      <x:c r="P1176" s="80" t="n">
        <x:v>42471.221319014614</x:v>
      </x:c>
      <x:c r="Q1176" s="81" t="n">
        <x:v>0.0051790493817127905</x:v>
      </x:c>
      <x:c r="R1176" s="81" t="n">
        <x:v>63.66313757020506</x:v>
      </x:c>
      <x:c r="S1176" s="81" t="n">
        <x:v>42.74427314758875</x:v>
      </x:c>
      <x:c r="T1176" s="81" t="n">
        <x:v>72.52045613533117</x:v>
      </x:c>
    </x:row>
    <x:row r="1177">
      <x:c r="A1177" s="59" t="n">
        <x:v>1174</x:v>
      </x:c>
      <x:c r="B1177" s="193" t="n">
        <x:v>0.36440083235502246</x:v>
      </x:c>
      <x:c r="C1177" s="83" t="n">
        <x:v>2.7681140185846385</x:v>
      </x:c>
      <x:c r="D1177" s="83" t="n">
        <x:v>0.9693409934672017</x:v>
      </x:c>
      <x:c r="E1177" s="81" t="n">
        <x:v>-0.020948506821823667</x:v>
      </x:c>
      <x:c r="F1177" s="81" t="n">
        <x:v>0.7044534859480336</x:v>
      </x:c>
      <x:c r="G1177" s="81" t="n">
        <x:v>0.005343401196802087</x:v>
      </x:c>
      <x:c r="H1177" s="59" t="n">
        <x:v>0</x:v>
      </x:c>
      <x:c r="I1177" s="81" t="n">
        <x:v>0</x:v>
      </x:c>
      <x:c r="J1177" s="79" t="n">
        <x:v>4.631157586204463e-17</x:v>
      </x:c>
      <x:c r="K1177" s="81" t="n">
        <x:v>-0.999999999999947</x:v>
      </x:c>
      <x:c r="L1177" s="81" t="n">
        <x:v>-0.999999999999947</x:v>
      </x:c>
      <x:c r="M1177" s="80" t="n">
        <x:v>0.004534152083571071</x:v>
      </x:c>
      <x:c r="N1177" s="82" t="n">
        <x:v>0.1889008607825729</x:v>
      </x:c>
      <x:c r="O1177" s="82" t="n">
        <x:v>0.12570634562487285</x:v>
      </x:c>
      <x:c r="P1177" s="80" t="n">
        <x:v>2462.60539198785</x:v>
      </x:c>
      <x:c r="Q1177" s="81" t="n">
        <x:v>4819.710296018374</x:v>
      </x:c>
      <x:c r="R1177" s="81" t="n">
        <x:v>3.3927608420564597</x:v>
      </x:c>
      <x:c r="S1177" s="81" t="n">
        <x:v>5.684920819929323e-7</x:v>
      </x:c>
      <x:c r="T1177" s="81" t="n">
        <x:v>1.00320984149248e-12</x:v>
      </x:c>
    </x:row>
    <x:row r="1178">
      <x:c r="A1178" s="59" t="n">
        <x:v>1175</x:v>
      </x:c>
      <x:c r="B1178" s="193" t="n">
        <x:v>0.8476824432611465</x:v>
      </x:c>
      <x:c r="C1178" s="83" t="n">
        <x:v>0.12207991801050605</x:v>
      </x:c>
      <x:c r="D1178" s="83" t="n">
        <x:v>0.4669375777900382</x:v>
      </x:c>
      <x:c r="E1178" s="81" t="n">
        <x:v>-0.061495528288727376</x:v>
      </x:c>
      <x:c r="F1178" s="81" t="n">
        <x:v>0.6621102106524632</x:v>
      </x:c>
      <x:c r="G1178" s="81" t="n">
        <x:v>-0.0106902828965168</x:v>
      </x:c>
      <x:c r="H1178" s="59" t="n">
        <x:v>0</x:v>
      </x:c>
      <x:c r="I1178" s="81" t="n">
        <x:v>0</x:v>
      </x:c>
      <x:c r="J1178" s="79" t="n">
        <x:v>4.445104829544543e-21</x:v>
      </x:c>
      <x:c r="K1178" s="81" t="n">
        <x:v>-1</x:v>
      </x:c>
      <x:c r="L1178" s="81" t="n">
        <x:v>-1</x:v>
      </x:c>
      <x:c r="M1178" s="80" t="n">
        <x:v>0.000013404143502854255</x:v>
      </x:c>
      <x:c r="N1178" s="82" t="n">
        <x:v>0.30402760203061635</x:v>
      </x:c>
      <x:c r="O1178" s="82" t="n">
        <x:v>0.19015784248858997</x:v>
      </x:c>
      <x:c r="P1178" s="80" t="n">
        <x:v>209.84219151833835</x:v>
      </x:c>
      <x:c r="Q1178" s="81" t="n">
        <x:v>52577.078413152994</x:v>
      </x:c>
      <x:c r="R1178" s="81" t="n">
        <x:v>28.207410582091267</x:v>
      </x:c>
      <x:c r="S1178" s="81" t="n">
        <x:v>2.2506074344384157e-9</x:v>
      </x:c>
      <x:c r="T1178" s="81" t="n">
        <x:v>9.629067524604764e-17</x:v>
      </x:c>
    </x:row>
    <x:row r="1179">
      <x:c r="A1179" s="59" t="n">
        <x:v>1176</x:v>
      </x:c>
      <x:c r="B1179" s="193" t="n">
        <x:v>0.24973011035472156</x:v>
      </x:c>
      <x:c r="C1179" s="83" t="n">
        <x:v>0.21462202111907053</x:v>
      </x:c>
      <x:c r="D1179" s="83" t="n">
        <x:v>0.4214289831404006</x:v>
      </x:c>
      <x:c r="E1179" s="81" t="n">
        <x:v>0.026177255410939557</x:v>
      </x:c>
      <x:c r="F1179" s="81" t="n">
        <x:v>0.7389136248617434</x:v>
      </x:c>
      <x:c r="G1179" s="81" t="n">
        <x:v>-0.009311376804502836</x:v>
      </x:c>
      <x:c r="H1179" s="59" t="n">
        <x:v>0</x:v>
      </x:c>
      <x:c r="I1179" s="81" t="n">
        <x:v>0</x:v>
      </x:c>
      <x:c r="J1179" s="79" t="n">
        <x:v>0.0000462891840900282</x:v>
      </x:c>
      <x:c r="K1179" s="81" t="n">
        <x:v>-0.947098075325682</x:v>
      </x:c>
      <x:c r="L1179" s="81" t="n">
        <x:v>-0.95026364360618</x:v>
      </x:c>
      <x:c r="M1179" s="80" t="n">
        <x:v>1466.774875822761</x:v>
      </x:c>
      <x:c r="N1179" s="82" t="n">
        <x:v>0.1615841447260639</x:v>
      </x:c>
      <x:c r="O1179" s="82" t="n">
        <x:v>0.11278812067086434</x:v>
      </x:c>
      <x:c r="P1179" s="80" t="n">
        <x:v>1758.6778235556862</x:v>
      </x:c>
      <x:c r="Q1179" s="81" t="n">
        <x:v>0.008166644888300259</x:v>
      </x:c>
      <x:c r="R1179" s="81" t="n">
        <x:v>67.69506242264487</x:v>
      </x:c>
      <x:c r="S1179" s="81" t="n">
        <x:v>4.208475997180428</x:v>
      </x:c>
      <x:c r="T1179" s="81" t="n">
        <x:v>1.002724786824458</x:v>
      </x:c>
    </x:row>
    <x:row r="1180">
      <x:c r="A1180" s="59" t="n">
        <x:v>1177</x:v>
      </x:c>
      <x:c r="B1180" s="193" t="n">
        <x:v>0.3422867003828287</x:v>
      </x:c>
      <x:c r="C1180" s="83" t="n">
        <x:v>1.0310126731254161</x:v>
      </x:c>
      <x:c r="D1180" s="83" t="n">
        <x:v>1.963116663943085</x:v>
      </x:c>
      <x:c r="E1180" s="81" t="n">
        <x:v>-0.024181911004535345</x:v>
      </x:c>
      <x:c r="F1180" s="81" t="n">
        <x:v>0.45516265382757415</x:v>
      </x:c>
      <x:c r="G1180" s="81" t="n">
        <x:v>0.031753575473135655</x:v>
      </x:c>
      <x:c r="H1180" s="59" t="n">
        <x:v>0</x:v>
      </x:c>
      <x:c r="I1180" s="81" t="n">
        <x:v>0</x:v>
      </x:c>
      <x:c r="J1180" s="79" t="n">
        <x:v>8.12028345756022e-31</x:v>
      </x:c>
      <x:c r="K1180" s="81" t="n">
        <x:v>-1</x:v>
      </x:c>
      <x:c r="L1180" s="81" t="n">
        <x:v>-1</x:v>
      </x:c>
      <x:c r="M1180" s="80" t="n">
        <x:v>0.000002</x:v>
      </x:c>
      <x:c r="N1180" s="82" t="n">
        <x:v>0.18363285990682188</x:v>
      </x:c>
      <x:c r="O1180" s="82" t="n">
        <x:v>0.07895651311938634</x:v>
      </x:c>
      <x:c r="P1180" s="80" t="n">
        <x:v>1317.6861297047674</x:v>
      </x:c>
      <x:c r="Q1180" s="81" t="n">
        <x:v>105368329313227.95</x:v>
      </x:c>
      <x:c r="R1180" s="81" t="n">
        <x:v>4.393239167457926</x:v>
      </x:c>
      <x:c r="S1180" s="81" t="n">
        <x:v>1.238545703339546e-9</x:v>
      </x:c>
      <x:c r="T1180" s="81" t="n">
        <x:v>1.759030680493311e-26</x:v>
      </x:c>
    </x:row>
    <x:row r="1181">
      <x:c r="A1181" s="59" t="n">
        <x:v>1178</x:v>
      </x:c>
      <x:c r="B1181" s="193" t="n">
        <x:v>0.7473695991560818</x:v>
      </x:c>
      <x:c r="C1181" s="83" t="n">
        <x:v>0.25419477528343565</x:v>
      </x:c>
      <x:c r="D1181" s="83" t="n">
        <x:v>2.4575057837094167</x:v>
      </x:c>
      <x:c r="E1181" s="81" t="n">
        <x:v>0.0012448086904164235</x:v>
      </x:c>
      <x:c r="F1181" s="81" t="n">
        <x:v>0.7297008218592964</x:v>
      </x:c>
      <x:c r="G1181" s="81" t="n">
        <x:v>0.030590878041161736</x:v>
      </x:c>
      <x:c r="H1181" s="59" t="n">
        <x:v>0</x:v>
      </x:c>
      <x:c r="I1181" s="81" t="n">
        <x:v>0</x:v>
      </x:c>
      <x:c r="J1181" s="79" t="n">
        <x:v>0.0000028954790261045645</x:v>
      </x:c>
      <x:c r="K1181" s="81" t="n">
        <x:v>-0.9966908811130234</x:v>
      </x:c>
      <x:c r="L1181" s="81" t="n">
        <x:v>-0.9968504203724705</x:v>
      </x:c>
      <x:c r="M1181" s="80" t="n">
        <x:v>369.66529246841435</x:v>
      </x:c>
      <x:c r="N1181" s="82" t="n">
        <x:v>0.28013120169896283</x:v>
      </x:c>
      <x:c r="O1181" s="82" t="n">
        <x:v>0.19309777142714007</x:v>
      </x:c>
      <x:c r="P1181" s="80" t="n">
        <x:v>4991.330939809224</x:v>
      </x:c>
      <x:c r="Q1181" s="81" t="n">
        <x:v>0.21778873379823824</x:v>
      </x:c>
      <x:c r="R1181" s="81" t="n">
        <x:v>34.95795330801762</x:v>
      </x:c>
      <x:c r="S1181" s="81" t="n">
        <x:v>0.669437390520059</x:v>
      </x:c>
      <x:c r="T1181" s="81" t="n">
        <x:v>0.06272239717076465</x:v>
      </x:c>
    </x:row>
    <x:row r="1182">
      <x:c r="A1182" s="59" t="n">
        <x:v>1179</x:v>
      </x:c>
      <x:c r="B1182" s="193" t="n">
        <x:v>0.8262660820037127</x:v>
      </x:c>
      <x:c r="C1182" s="83" t="n">
        <x:v>1.0895134509251714</x:v>
      </x:c>
      <x:c r="D1182" s="83" t="n">
        <x:v>0.38120056750752446</x:v>
      </x:c>
      <x:c r="E1182" s="81" t="n">
        <x:v>-0.053680900977335404</x:v>
      </x:c>
      <x:c r="F1182" s="81" t="n">
        <x:v>0.5240919690695591</x:v>
      </x:c>
      <x:c r="G1182" s="81" t="n">
        <x:v>-0.01981661562462909</x:v>
      </x:c>
      <x:c r="H1182" s="59" t="n">
        <x:v>0</x:v>
      </x:c>
      <x:c r="I1182" s="81" t="n">
        <x:v>0</x:v>
      </x:c>
      <x:c r="J1182" s="79" t="n">
        <x:v>1.2632108245675763e-15</x:v>
      </x:c>
      <x:c r="K1182" s="81" t="n">
        <x:v>-0.9999999999985564</x:v>
      </x:c>
      <x:c r="L1182" s="81" t="n">
        <x:v>-0.9999999999985564</x:v>
      </x:c>
      <x:c r="M1182" s="80" t="n">
        <x:v>0.013068522851588655</x:v>
      </x:c>
      <x:c r="N1182" s="82" t="n">
        <x:v>0.29892582322232186</x:v>
      </x:c>
      <x:c r="O1182" s="82" t="n">
        <x:v>0.14799324080853882</x:v>
      </x:c>
      <x:c r="P1182" s="80" t="n">
        <x:v>477.19407265632253</x:v>
      </x:c>
      <x:c r="Q1182" s="81" t="n">
        <x:v>205.11298950875192</x:v>
      </x:c>
      <x:c r="R1182" s="81" t="n">
        <x:v>5.346734236729292</x:v>
      </x:c>
      <x:c r="S1182" s="81" t="n">
        <x:v>8.445745705405799e-7</x:v>
      </x:c>
      <x:c r="T1182" s="81" t="n">
        <x:v>2.7363904326231973e-11</x:v>
      </x:c>
    </x:row>
    <x:row r="1183">
      <x:c r="A1183" s="59" t="n">
        <x:v>1180</x:v>
      </x:c>
      <x:c r="B1183" s="193" t="n">
        <x:v>0.7799249306321145</x:v>
      </x:c>
      <x:c r="C1183" s="83" t="n">
        <x:v>0.27448304517675864</x:v>
      </x:c>
      <x:c r="D1183" s="83" t="n">
        <x:v>0.49424392858391414</x:v>
      </x:c>
      <x:c r="E1183" s="81" t="n">
        <x:v>-0.015277473042167634</x:v>
      </x:c>
      <x:c r="F1183" s="81" t="n">
        <x:v>0.6997932184836828</x:v>
      </x:c>
      <x:c r="G1183" s="81" t="n">
        <x:v>0.017508098554903078</x:v>
      </x:c>
      <x:c r="H1183" s="59" t="n">
        <x:v>0</x:v>
      </x:c>
      <x:c r="I1183" s="81" t="n">
        <x:v>0</x:v>
      </x:c>
      <x:c r="J1183" s="79" t="n">
        <x:v>6.811672613536514e-11</x:v>
      </x:c>
      <x:c r="K1183" s="81" t="n">
        <x:v>-0.999999922152313</x:v>
      </x:c>
      <x:c r="L1183" s="81" t="n">
        <x:v>-0.999999922152313</x:v>
      </x:c>
      <x:c r="M1183" s="80" t="n">
        <x:v>1.8217347992073714</x:v>
      </x:c>
      <x:c r="N1183" s="82" t="n">
        <x:v>0.2878864920690191</x:v>
      </x:c>
      <x:c r="O1183" s="82" t="n">
        <x:v>0.19031015334209694</x:v>
      </x:c>
      <x:c r="P1183" s="80" t="n">
        <x:v>490.4004044098138</x:v>
      </x:c>
      <x:c r="Q1183" s="81" t="n">
        <x:v>1.7700983632549223</x:v>
      </x:c>
      <x:c r="R1183" s="81" t="n">
        <x:v>22.283244450969505</x:v>
      </x:c>
      <x:c r="S1183" s="81" t="n">
        <x:v>0.0003938804706696419</x:v>
      </x:c>
      <x:c r="T1183" s="81" t="n">
        <x:v>0.0000014755570018348618</x:v>
      </x:c>
    </x:row>
    <x:row r="1184">
      <x:c r="A1184" s="59" t="n">
        <x:v>1181</x:v>
      </x:c>
      <x:c r="B1184" s="193" t="n">
        <x:v>0.8026491269469263</x:v>
      </x:c>
      <x:c r="C1184" s="83" t="n">
        <x:v>0.1161901236937953</x:v>
      </x:c>
      <x:c r="D1184" s="83" t="n">
        <x:v>0.6845243880696541</x:v>
      </x:c>
      <x:c r="E1184" s="81" t="n">
        <x:v>0.0027974380572276776</x:v>
      </x:c>
      <x:c r="F1184" s="81" t="n">
        <x:v>0.6682306045899168</x:v>
      </x:c>
      <x:c r="G1184" s="81" t="n">
        <x:v>0.011622735913053432</x:v>
      </x:c>
      <x:c r="H1184" s="59" t="n">
        <x:v>0</x:v>
      </x:c>
      <x:c r="I1184" s="81" t="n">
        <x:v>0</x:v>
      </x:c>
      <x:c r="J1184" s="79" t="n">
        <x:v>9.877975713369583e-7</x:v>
      </x:c>
      <x:c r="K1184" s="81" t="n">
        <x:v>-0.9988710884899006</x:v>
      </x:c>
      <x:c r="L1184" s="81" t="n">
        <x:v>-0.9988710884899006</x:v>
      </x:c>
      <x:c r="M1184" s="80" t="n">
        <x:v>191.11061279396816</x:v>
      </x:c>
      <x:c r="N1184" s="82" t="n">
        <x:v>0.2932998217098881</x:v>
      </x:c>
      <x:c r="O1184" s="82" t="n">
        <x:v>0.18514377008775063</x:v>
      </x:c>
      <x:c r="P1184" s="80" t="n">
        <x:v>995.8538030132229</x:v>
      </x:c>
      <x:c r="Q1184" s="81" t="n">
        <x:v>0.06683982349708756</x:v>
      </x:c>
      <x:c r="R1184" s="81" t="n">
        <x:v>64.39372009605088</x:v>
      </x:c>
      <x:c r="S1184" s="81" t="n">
        <x:v>0.2171699622899119</x:v>
      </x:c>
      <x:c r="T1184" s="81" t="n">
        <x:v>0.021397851973760408</x:v>
      </x:c>
    </x:row>
    <x:row r="1185">
      <x:c r="A1185" s="59" t="n">
        <x:v>1182</x:v>
      </x:c>
      <x:c r="B1185" s="193" t="n">
        <x:v>0.5882426178082825</x:v>
      </x:c>
      <x:c r="C1185" s="83" t="n">
        <x:v>0.23727404078225073</x:v>
      </x:c>
      <x:c r="D1185" s="83" t="n">
        <x:v>2.5532724542032885</x:v>
      </x:c>
      <x:c r="E1185" s="81" t="n">
        <x:v>0.10503704035450664</x:v>
      </x:c>
      <x:c r="F1185" s="81" t="n">
        <x:v>0.7719861557590776</x:v>
      </x:c>
      <x:c r="G1185" s="81" t="n">
        <x:v>0.005639712504649967</x:v>
      </x:c>
      <x:c r="H1185" s="59" t="n">
        <x:v>53</x:v>
      </x:c>
      <x:c r="I1185" s="81" t="n">
        <x:v>0.3376019299961627</x:v>
      </x:c>
      <x:c r="J1185" s="79" t="n">
        <x:v>0.030669752703722124</x:v>
      </x:c>
      <x:c r="K1185" s="81" t="n">
        <x:v>34.051145947111</x:v>
      </x:c>
      <x:c r="L1185" s="81" t="n">
        <x:v>-0.9755095128102756</x:v>
      </x:c>
      <x:c r="M1185" s="80" t="n">
        <x:v>79552.40892828202</x:v>
      </x:c>
      <x:c r="N1185" s="82" t="n">
        <x:v>0.24222417111101655</x:v>
      </x:c>
      <x:c r="O1185" s="82" t="n">
        <x:v>0.17664361028622094</x:v>
      </x:c>
      <x:c r="P1185" s="80" t="n">
        <x:v>238556.56303782022</x:v>
      </x:c>
      <x:c r="Q1185" s="81" t="n">
        <x:v>0.005566783112327733</x:v>
      </x:c>
      <x:c r="R1185" s="81" t="n">
        <x:v>2101.523100102354</x:v>
      </x:c>
      <x:c r="S1185" s="81" t="n">
        <x:v>2481.7249396255575</x:v>
      </x:c>
      <x:c r="T1185" s="81" t="n">
        <x:v>664.3738023549137</x:v>
      </x:c>
    </x:row>
    <x:row r="1186">
      <x:c r="A1186" s="59" t="n">
        <x:v>1183</x:v>
      </x:c>
      <x:c r="B1186" s="193" t="n">
        <x:v>0.768084922619164</x:v>
      </x:c>
      <x:c r="C1186" s="83" t="n">
        <x:v>0.33592797337033176</x:v>
      </x:c>
      <x:c r="D1186" s="83" t="n">
        <x:v>2.222588363428224</x:v>
      </x:c>
      <x:c r="E1186" s="81" t="n">
        <x:v>-0.006808352602915984</x:v>
      </x:c>
      <x:c r="F1186" s="81" t="n">
        <x:v>0.3918258640333079</x:v>
      </x:c>
      <x:c r="G1186" s="81" t="n">
        <x:v>0.02070718219074763</x:v>
      </x:c>
      <x:c r="H1186" s="59" t="n">
        <x:v>0</x:v>
      </x:c>
      <x:c r="I1186" s="81" t="n">
        <x:v>0</x:v>
      </x:c>
      <x:c r="J1186" s="79" t="n">
        <x:v>2.880552983618314e-15</x:v>
      </x:c>
      <x:c r="K1186" s="81" t="n">
        <x:v>-0.999999999996708</x:v>
      </x:c>
      <x:c r="L1186" s="81" t="n">
        <x:v>-0.999999999996708</x:v>
      </x:c>
      <x:c r="M1186" s="80" t="n">
        <x:v>0.012602310452140442</x:v>
      </x:c>
      <x:c r="N1186" s="82" t="n">
        <x:v>0.28506598016018375</x:v>
      </x:c>
      <x:c r="O1186" s="82" t="n">
        <x:v>0.10551384112933064</x:v>
      </x:c>
      <x:c r="P1186" s="80" t="n">
        <x:v>2082.8563929125708</x:v>
      </x:c>
      <x:c r="Q1186" s="81" t="n">
        <x:v>653.465316216188</x:v>
      </x:c>
      <x:c r="R1186" s="81" t="n">
        <x:v>20.78500372414529</x:v>
      </x:c>
      <x:c r="S1186" s="81" t="n">
        <x:v>0.000012237366219073494</x:v>
      </x:c>
      <x:c r="T1186" s="81" t="n">
        <x:v>6.239906650369025e-11</x:v>
      </x:c>
    </x:row>
    <x:row r="1187">
      <x:c r="A1187" s="59" t="n">
        <x:v>1184</x:v>
      </x:c>
      <x:c r="B1187" s="193" t="n">
        <x:v>0.22709260676056148</x:v>
      </x:c>
      <x:c r="C1187" s="83" t="n">
        <x:v>0.24564564875514017</x:v>
      </x:c>
      <x:c r="D1187" s="83" t="n">
        <x:v>0.452966449478767</x:v>
      </x:c>
      <x:c r="E1187" s="81" t="n">
        <x:v>-0.06416537520301045</x:v>
      </x:c>
      <x:c r="F1187" s="81" t="n">
        <x:v>0.6548875763081015</x:v>
      </x:c>
      <x:c r="G1187" s="81" t="n">
        <x:v>0.023039481108369574</x:v>
      </x:c>
      <x:c r="H1187" s="59" t="n">
        <x:v>0</x:v>
      </x:c>
      <x:c r="I1187" s="81" t="n">
        <x:v>0</x:v>
      </x:c>
      <x:c r="J1187" s="79" t="n">
        <x:v>9.854236370546944e-24</x:v>
      </x:c>
      <x:c r="K1187" s="81" t="n">
        <x:v>-1</x:v>
      </x:c>
      <x:c r="L1187" s="81" t="n">
        <x:v>-1</x:v>
      </x:c>
      <x:c r="M1187" s="80" t="n">
        <x:v>0.000002</x:v>
      </x:c>
      <x:c r="N1187" s="82" t="n">
        <x:v>0.15619146691674252</x:v>
      </x:c>
      <x:c r="O1187" s="82" t="n">
        <x:v>0.09662622152387332</x:v>
      </x:c>
      <x:c r="P1187" s="80" t="n">
        <x:v>260.77126542021426</x:v>
      </x:c>
      <x:c r="Q1187" s="81" t="n">
        <x:v>3400010.1330855535</x:v>
      </x:c>
      <x:c r="R1187" s="81" t="n">
        <x:v>17.294105436276578</x:v>
      </x:c>
      <x:c r="S1187" s="81" t="n">
        <x:v>4.202745496903149e-10</x:v>
      </x:c>
      <x:c r="T1187" s="81" t="n">
        <x:v>2.1346427374387723e-19</x:v>
      </x:c>
    </x:row>
    <x:row r="1188">
      <x:c r="A1188" s="59" t="n">
        <x:v>1185</x:v>
      </x:c>
      <x:c r="B1188" s="193" t="n">
        <x:v>0.8345166416838765</x:v>
      </x:c>
      <x:c r="C1188" s="83" t="n">
        <x:v>0.9878260875037866</x:v>
      </x:c>
      <x:c r="D1188" s="83" t="n">
        <x:v>1.2963298989828895</x:v>
      </x:c>
      <x:c r="E1188" s="81" t="n">
        <x:v>-0.004513905791553209</x:v>
      </x:c>
      <x:c r="F1188" s="81" t="n">
        <x:v>0.3704317137249745</x:v>
      </x:c>
      <x:c r="G1188" s="81" t="n">
        <x:v>0.014831112812585444</x:v>
      </x:c>
      <x:c r="H1188" s="59" t="n">
        <x:v>31</x:v>
      </x:c>
      <x:c r="I1188" s="81" t="n">
        <x:v>0.1661242010071874</x:v>
      </x:c>
      <x:c r="J1188" s="79" t="n">
        <x:v>3.823217204523502e-9</x:v>
      </x:c>
      <x:c r="K1188" s="81" t="n">
        <x:v>-0.9999956306089092</x:v>
      </x:c>
      <x:c r="L1188" s="81" t="n">
        <x:v>-0.9999956306089092</x:v>
      </x:c>
      <x:c r="M1188" s="80" t="n">
        <x:v>21.161377681197166</x:v>
      </x:c>
      <x:c r="N1188" s="82" t="n">
        <x:v>0.3008912612361307</x:v>
      </x:c>
      <x:c r="O1188" s="82" t="n">
        <x:v>0.1052903761940293</x:v>
      </x:c>
      <x:c r="P1188" s="80" t="n">
        <x:v>3254.9921202765345</x:v>
      </x:c>
      <x:c r="Q1188" s="81" t="n">
        <x:v>1.194378865184278</x:v>
      </x:c>
      <x:c r="R1188" s="81" t="n">
        <x:v>11.621290564130678</x:v>
      </x:c>
      <x:c r="S1188" s="81" t="n">
        <x:v>0.007403173909044914</x:v>
      </x:c>
      <x:c r="T1188" s="81" t="n">
        <x:v>0.00008281923157110228</x:v>
      </x:c>
    </x:row>
    <x:row r="1189">
      <x:c r="A1189" s="59" t="n">
        <x:v>1186</x:v>
      </x:c>
      <x:c r="B1189" s="193" t="n">
        <x:v>0.6041192784905434</x:v>
      </x:c>
      <x:c r="C1189" s="83" t="n">
        <x:v>2.47117217127117</x:v>
      </x:c>
      <x:c r="D1189" s="83" t="n">
        <x:v>0.9940511617564873</x:v>
      </x:c>
      <x:c r="E1189" s="81" t="n">
        <x:v>-0.06302322525808014</x:v>
      </x:c>
      <x:c r="F1189" s="81" t="n">
        <x:v>0.4975974775152281</x:v>
      </x:c>
      <x:c r="G1189" s="81" t="n">
        <x:v>0.003243841791784636</x:v>
      </x:c>
      <x:c r="H1189" s="59" t="n">
        <x:v>0</x:v>
      </x:c>
      <x:c r="I1189" s="81" t="n">
        <x:v>0</x:v>
      </x:c>
      <x:c r="J1189" s="79" t="n">
        <x:v>9.348611743640025e-33</x:v>
      </x:c>
      <x:c r="K1189" s="81" t="n">
        <x:v>-1</x:v>
      </x:c>
      <x:c r="L1189" s="81" t="n">
        <x:v>-1</x:v>
      </x:c>
      <x:c r="M1189" s="80" t="n">
        <x:v>0.000002</x:v>
      </x:c>
      <x:c r="N1189" s="82" t="n">
        <x:v>0.246006289372919</x:v>
      </x:c>
      <x:c r="O1189" s="82" t="n">
        <x:v>0.11563660225485378</x:v>
      </x:c>
      <x:c r="P1189" s="80" t="n">
        <x:v>907.6107806309258</x:v>
      </x:c>
      <x:c r="Q1189" s="81" t="n">
        <x:v>3644935151779535.5</x:v>
      </x:c>
      <x:c r="R1189" s="81" t="n">
        <x:v>1.5589257116294035</x:v>
      </x:c>
      <x:c r="S1189" s="81" t="n">
        <x:v>2.609450940038963e-10</x:v>
      </x:c>
      <x:c r="T1189" s="81" t="n">
        <x:v>2.025113404356909e-28</x:v>
      </x:c>
    </x:row>
    <x:row r="1190">
      <x:c r="A1190" s="59" t="n">
        <x:v>1187</x:v>
      </x:c>
      <x:c r="B1190" s="193" t="n">
        <x:v>0.4831887539476156</x:v>
      </x:c>
      <x:c r="C1190" s="83" t="n">
        <x:v>0.3236215538544228</x:v>
      </x:c>
      <x:c r="D1190" s="83" t="n">
        <x:v>0.42526886143920567</x:v>
      </x:c>
      <x:c r="E1190" s="81" t="n">
        <x:v>-0.18949238311920924</x:v>
      </x:c>
      <x:c r="F1190" s="81" t="n">
        <x:v>0.7314387265476399</x:v>
      </x:c>
      <x:c r="G1190" s="81" t="n">
        <x:v>-0.0252715284133549</x:v>
      </x:c>
      <x:c r="H1190" s="59" t="n">
        <x:v>0</x:v>
      </x:c>
      <x:c r="I1190" s="81" t="n">
        <x:v>0</x:v>
      </x:c>
      <x:c r="J1190" s="79" t="n">
        <x:v>7.32557795746117e-34</x:v>
      </x:c>
      <x:c r="K1190" s="81" t="n">
        <x:v>-1</x:v>
      </x:c>
      <x:c r="L1190" s="81" t="n">
        <x:v>-1</x:v>
      </x:c>
      <x:c r="M1190" s="80" t="n">
        <x:v>0.000002</x:v>
      </x:c>
      <x:c r="N1190" s="82" t="n">
        <x:v>0.2171983709794587</x:v>
      </x:c>
      <x:c r="O1190" s="82" t="n">
        <x:v>0.15007399930099707</x:v>
      </x:c>
      <x:c r="P1190" s="80" t="n">
        <x:v>114.91447125109745</x:v>
      </x:c>
      <x:c r="Q1190" s="81" t="n">
        <x:v>17311026229277572</x:v>
      </x:c>
      <x:c r="R1190" s="81" t="n">
        <x:v>5.300725131685223</x:v>
      </x:c>
      <x:c r="S1190" s="81" t="n">
        <x:v>2.0613652854081483e-10</x:v>
      </x:c>
      <x:c r="T1190" s="81" t="n">
        <x:v>1.5868801190089684e-29</x:v>
      </x:c>
    </x:row>
    <x:row r="1191">
      <x:c r="A1191" s="59" t="n">
        <x:v>1188</x:v>
      </x:c>
      <x:c r="B1191" s="193" t="n">
        <x:v>0.5269988523796201</x:v>
      </x:c>
      <x:c r="C1191" s="83" t="n">
        <x:v>0.4459458443908336</x:v>
      </x:c>
      <x:c r="D1191" s="83" t="n">
        <x:v>0.51134242054843</x:v>
      </x:c>
      <x:c r="E1191" s="81" t="n">
        <x:v>0.10292317868868237</x:v>
      </x:c>
      <x:c r="F1191" s="81" t="n">
        <x:v>0.8449124687234871</x:v>
      </x:c>
      <x:c r="G1191" s="81" t="n">
        <x:v>0.009588662403758035</x:v>
      </x:c>
      <x:c r="H1191" s="59" t="n">
        <x:v>0</x:v>
      </x:c>
      <x:c r="I1191" s="81" t="n">
        <x:v>0</x:v>
      </x:c>
      <x:c r="J1191" s="79" t="n">
        <x:v>0.0010733308381165251</x:v>
      </x:c>
      <x:c r="K1191" s="81" t="n">
        <x:v>0.22666381499031463</x:v>
      </x:c>
      <x:c r="L1191" s="81" t="n">
        <x:v>-0.7919921048143653</x:v>
      </x:c>
      <x:c r="M1191" s="80" t="n">
        <x:v>9966.14425031712</x:v>
      </x:c>
      <x:c r="N1191" s="82" t="n">
        <x:v>0.2276347578653075</x:v>
      </x:c>
      <x:c r="O1191" s="82" t="n">
        <x:v>0.1816859051551997</x:v>
      </x:c>
      <x:c r="P1191" s="80" t="n">
        <x:v>10048.356928939023</x:v>
      </x:c>
      <x:c r="Q1191" s="81" t="n">
        <x:v>0.004281564013841398</x:v>
      </x:c>
      <x:c r="R1191" s="81" t="n">
        <x:v>97.94896769696162</x:v>
      </x:c>
      <x:c r="S1191" s="81" t="n">
        <x:v>46.57699545577431</x:v>
      </x:c>
      <x:c r="T1191" s="81" t="n">
        <x:v>23.250689270074233</x:v>
      </x:c>
    </x:row>
    <x:row r="1192">
      <x:c r="A1192" s="59" t="n">
        <x:v>1189</x:v>
      </x:c>
      <x:c r="B1192" s="193" t="n">
        <x:v>0.8340447818860413</x:v>
      </x:c>
      <x:c r="C1192" s="83" t="n">
        <x:v>0.43242896660306573</x:v>
      </x:c>
      <x:c r="D1192" s="83" t="n">
        <x:v>1.7042289424963992</x:v>
      </x:c>
      <x:c r="E1192" s="81" t="n">
        <x:v>0.1481168510986961</x:v>
      </x:c>
      <x:c r="F1192" s="81" t="n">
        <x:v>0.6529914362006821</x:v>
      </x:c>
      <x:c r="G1192" s="81" t="n">
        <x:v>-0.041414774577401524</x:v>
      </x:c>
      <x:c r="H1192" s="59" t="n">
        <x:v>42</x:v>
      </x:c>
      <x:c r="I1192" s="81" t="n">
        <x:v>0.4982184046879411</x:v>
      </x:c>
      <x:c r="J1192" s="79" t="n">
        <x:v>0.010856395751417256</x:v>
      </x:c>
      <x:c r="K1192" s="81" t="n">
        <x:v>11.407309430191152</x:v>
      </x:c>
      <x:c r="L1192" s="81" t="n">
        <x:v>-0.9819120017288903</x:v>
      </x:c>
      <x:c r="M1192" s="80" t="n">
        <x:v>46471.74697671323</x:v>
      </x:c>
      <x:c r="N1192" s="82" t="n">
        <x:v>0.3007788553849154</x:v>
      </x:c>
      <x:c r="O1192" s="82" t="n">
        <x:v>0.18553494925752795</x:v>
      </x:c>
      <x:c r="P1192" s="80" t="n">
        <x:v>99794.25381587949</x:v>
      </x:c>
      <x:c r="Q1192" s="81" t="n">
        <x:v>0.0038524447427626322</x:v>
      </x:c>
      <x:c r="R1192" s="81" t="n">
        <x:v>1217.85037672172</x:v>
      </x:c>
      <x:c r="S1192" s="81" t="n">
        <x:v>482.2347989002326</x:v>
      </x:c>
      <x:c r="T1192" s="81" t="n">
        <x:v>235.17323386710814</x:v>
      </x:c>
    </x:row>
    <x:row r="1193">
      <x:c r="A1193" s="59" t="n">
        <x:v>1190</x:v>
      </x:c>
      <x:c r="B1193" s="193" t="n">
        <x:v>0.630470279417932</x:v>
      </x:c>
      <x:c r="C1193" s="83" t="n">
        <x:v>0.17982923894643948</x:v>
      </x:c>
      <x:c r="D1193" s="83" t="n">
        <x:v>2.1407169165147013</x:v>
      </x:c>
      <x:c r="E1193" s="81" t="n">
        <x:v>-0.050789851070015546</x:v>
      </x:c>
      <x:c r="F1193" s="81" t="n">
        <x:v>0.582418509060517</x:v>
      </x:c>
      <x:c r="G1193" s="81" t="n">
        <x:v>0.013049342624409098</x:v>
      </x:c>
      <x:c r="H1193" s="59" t="n">
        <x:v>0</x:v>
      </x:c>
      <x:c r="I1193" s="81" t="n">
        <x:v>0</x:v>
      </x:c>
      <x:c r="J1193" s="79" t="n">
        <x:v>9.959591969557888e-47</x:v>
      </x:c>
      <x:c r="K1193" s="81" t="n">
        <x:v>-1</x:v>
      </x:c>
      <x:c r="L1193" s="81" t="n">
        <x:v>-1</x:v>
      </x:c>
      <x:c r="M1193" s="80" t="n">
        <x:v>0.000002</x:v>
      </x:c>
      <x:c r="N1193" s="82" t="n">
        <x:v>0.2522835918750904</x:v>
      </x:c>
      <x:c r="O1193" s="82" t="n">
        <x:v>0.13880180561529723</x:v>
      </x:c>
      <x:c r="P1193" s="80" t="n">
        <x:v>403.9953801071338</x:v>
      </x:c>
      <x:c r="Q1193" s="81" t="n">
        <x:v>4.196547903169946e+29</x:v>
      </x:c>
      <x:c r="R1193" s="81" t="n">
        <x:v>7.609510473786233</x:v>
      </x:c>
      <x:c r="S1193" s="81" t="n">
        <x:v>1.861014746121269e-9</x:v>
      </x:c>
      <x:c r="T1193" s="81" t="n">
        <x:v>2.1574650603281853e-42</x:v>
      </x:c>
    </x:row>
    <x:row r="1194">
      <x:c r="A1194" s="59" t="n">
        <x:v>1191</x:v>
      </x:c>
      <x:c r="B1194" s="193" t="n">
        <x:v>0.9384875249117612</x:v>
      </x:c>
      <x:c r="C1194" s="83" t="n">
        <x:v>0.1411187845738107</x:v>
      </x:c>
      <x:c r="D1194" s="83" t="n">
        <x:v>0.5460782169348217</x:v>
      </x:c>
      <x:c r="E1194" s="81" t="n">
        <x:v>-0.01385127210064862</x:v>
      </x:c>
      <x:c r="F1194" s="81" t="n">
        <x:v>0.7334985833032988</x:v>
      </x:c>
      <x:c r="G1194" s="81" t="n">
        <x:v>-0.001059529881763943</x:v>
      </x:c>
      <x:c r="H1194" s="59" t="n">
        <x:v>0</x:v>
      </x:c>
      <x:c r="I1194" s="81" t="n">
        <x:v>0</x:v>
      </x:c>
      <x:c r="J1194" s="79" t="n">
        <x:v>1.361850969828194e-10</x:v>
      </x:c>
      <x:c r="K1194" s="81" t="n">
        <x:v>-0.9999998443598892</x:v>
      </x:c>
      <x:c r="L1194" s="81" t="n">
        <x:v>-0.9999998443598892</x:v>
      </x:c>
      <x:c r="M1194" s="80" t="n">
        <x:v>2.3039121262791786</x:v>
      </x:c>
      <x:c r="N1194" s="82" t="n">
        <x:v>0.32565907507507347</x:v>
      </x:c>
      <x:c r="O1194" s="82" t="n">
        <x:v>0.22564899640514288</x:v>
      </x:c>
      <x:c r="P1194" s="80" t="n">
        <x:v>422.4950478027535</x:v>
      </x:c>
      <x:c r="Q1194" s="81" t="n">
        <x:v>1.2179873500214602</x:v>
      </x:c>
      <x:c r="R1194" s="81" t="n">
        <x:v>37.02563660872775</x:v>
      </x:c>
      <x:c r="S1194" s="81" t="n">
        <x:v>0.0005017521892314095</x:v>
      </x:c>
      <x:c r="T1194" s="81" t="n">
        <x:v>0.000002950066522563382</x:v>
      </x:c>
    </x:row>
    <x:row r="1195">
      <x:c r="A1195" s="59" t="n">
        <x:v>1192</x:v>
      </x:c>
      <x:c r="B1195" s="193" t="n">
        <x:v>0.5543142775073648</x:v>
      </x:c>
      <x:c r="C1195" s="83" t="n">
        <x:v>0.28326531843295777</x:v>
      </x:c>
      <x:c r="D1195" s="83" t="n">
        <x:v>0.7674467669174615</x:v>
      </x:c>
      <x:c r="E1195" s="81" t="n">
        <x:v>0.0587989173473571</x:v>
      </x:c>
      <x:c r="F1195" s="81" t="n">
        <x:v>0.756936181942001</x:v>
      </x:c>
      <x:c r="G1195" s="81" t="n">
        <x:v>-0.02195473442684173</x:v>
      </x:c>
      <x:c r="H1195" s="59" t="n">
        <x:v>0</x:v>
      </x:c>
      <x:c r="I1195" s="81" t="n">
        <x:v>0</x:v>
      </x:c>
      <x:c r="J1195" s="79" t="n">
        <x:v>0.00033559617746361907</x:v>
      </x:c>
      <x:c r="K1195" s="81" t="n">
        <x:v>-0.6164615114701496</x:v>
      </x:c>
      <x:c r="L1195" s="81" t="n">
        <x:v>-0.8332328096219422</x:v>
      </x:c>
      <x:c r="M1195" s="80" t="n">
        <x:v>4668.337374885453</x:v>
      </x:c>
      <x:c r="N1195" s="82" t="n">
        <x:v>0.23414180429495754</x:v>
      </x:c>
      <x:c r="O1195" s="82" t="n">
        <x:v>0.16742070553783114</x:v>
      </x:c>
      <x:c r="P1195" s="80" t="n">
        <x:v>7380.294419324979</x:v>
      </x:c>
      <x:c r="Q1195" s="81" t="n">
        <x:v>0.006405142974887588</x:v>
      </x:c>
      <x:c r="R1195" s="81" t="n">
        <x:v>118.35768746352197</x:v>
      </x:c>
      <x:c r="S1195" s="81" t="n">
        <x:v>22.98177881663296</x:v>
      </x:c>
      <x:c r="T1195" s="81" t="n">
        <x:v>7.269745883872748</x:v>
      </x:c>
    </x:row>
    <x:row r="1196">
      <x:c r="A1196" s="59" t="n">
        <x:v>1193</x:v>
      </x:c>
      <x:c r="B1196" s="193" t="n">
        <x:v>0.6712161207571625</x:v>
      </x:c>
      <x:c r="C1196" s="83" t="n">
        <x:v>2.386411080611551</x:v>
      </x:c>
      <x:c r="D1196" s="83" t="n">
        <x:v>0.5546225616624434</x:v>
      </x:c>
      <x:c r="E1196" s="81" t="n">
        <x:v>0.11404101844805052</x:v>
      </x:c>
      <x:c r="F1196" s="81" t="n">
        <x:v>0.29164191798772665</x:v>
      </x:c>
      <x:c r="G1196" s="81" t="n">
        <x:v>-0.015898245857463238</x:v>
      </x:c>
      <x:c r="H1196" s="59" t="n">
        <x:v>46</x:v>
      </x:c>
      <x:c r="I1196" s="81" t="n">
        <x:v>0.23126925183460117</x:v>
      </x:c>
      <x:c r="J1196" s="79" t="n">
        <x:v>0.03007887310237307</x:v>
      </x:c>
      <x:c r="K1196" s="81" t="n">
        <x:v>33.37585497414066</x:v>
      </x:c>
      <x:c r="L1196" s="81" t="n">
        <x:v>-0.8235983748346482</x:v>
      </x:c>
      <x:c r="M1196" s="80" t="n">
        <x:v>123620.28182912375</x:v>
      </x:c>
      <x:c r="N1196" s="82" t="n">
        <x:v>0.26199001526662036</x:v>
      </x:c>
      <x:c r="O1196" s="82" t="n">
        <x:v>0.07217813027197229</x:v>
      </x:c>
      <x:c r="P1196" s="80" t="n">
        <x:v>120647.84892865494</x:v>
      </x:c>
      <x:c r="Q1196" s="81" t="n">
        <x:v>0.0017253553818536084</x:v>
      </x:c>
      <x:c r="R1196" s="81" t="n">
        <x:v>200.7161106332537</x:v>
      </x:c>
      <x:c r="S1196" s="81" t="n">
        <x:v>242.06704487856507</x:v>
      </x:c>
      <x:c r="T1196" s="81" t="n">
        <x:v>651.5740601700155</x:v>
      </x:c>
    </x:row>
    <x:row r="1197">
      <x:c r="A1197" s="59" t="n">
        <x:v>1194</x:v>
      </x:c>
      <x:c r="B1197" s="193" t="n">
        <x:v>0.24668974019587042</x:v>
      </x:c>
      <x:c r="C1197" s="83" t="n">
        <x:v>1.386772957904228</x:v>
      </x:c>
      <x:c r="D1197" s="83" t="n">
        <x:v>2.27496393370023</x:v>
      </x:c>
      <x:c r="E1197" s="81" t="n">
        <x:v>0.028595834121585124</x:v>
      </x:c>
      <x:c r="F1197" s="81" t="n">
        <x:v>0.8175667069270276</x:v>
      </x:c>
      <x:c r="G1197" s="81" t="n">
        <x:v>-0.013435273870010532</x:v>
      </x:c>
      <x:c r="H1197" s="59" t="n">
        <x:v>0</x:v>
      </x:c>
      <x:c r="I1197" s="81" t="n">
        <x:v>0</x:v>
      </x:c>
      <x:c r="J1197" s="79" t="n">
        <x:v>0.005731945434244189</x:v>
      </x:c>
      <x:c r="K1197" s="81" t="n">
        <x:v>5.55079478199336</x:v>
      </x:c>
      <x:c r="L1197" s="81" t="n">
        <x:v>-0.6881880519220278</x:v>
      </x:c>
      <x:c r="M1197" s="80" t="n">
        <x:v>38483.56614226867</x:v>
      </x:c>
      <x:c r="N1197" s="82" t="n">
        <x:v>0.160859871547285</x:v>
      </x:c>
      <x:c r="O1197" s="82" t="n">
        <x:v>0.12423439722286919</x:v>
      </x:c>
      <x:c r="P1197" s="80" t="n">
        <x:v>150504.75638521468</x:v>
      </x:c>
      <x:c r="Q1197" s="81" t="n">
        <x:v>0.010324259387314967</x:v>
      </x:c>
      <x:c r="R1197" s="81" t="n">
        <x:v>142.9849219700305</x:v>
      </x:c>
      <x:c r="S1197" s="81" t="n">
        <x:v>90.70399103193475</x:v>
      </x:c>
      <x:c r="T1197" s="81" t="n">
        <x:v>124.16645219892942</x:v>
      </x:c>
    </x:row>
    <x:row r="1198">
      <x:c r="A1198" s="59" t="n">
        <x:v>1195</x:v>
      </x:c>
      <x:c r="B1198" s="193" t="n">
        <x:v>0.776799531839788</x:v>
      </x:c>
      <x:c r="C1198" s="83" t="n">
        <x:v>1.7143476794922248</x:v>
      </x:c>
      <x:c r="D1198" s="83" t="n">
        <x:v>0.7772465842166982</x:v>
      </x:c>
      <x:c r="E1198" s="81" t="n">
        <x:v>0.1584727022721131</x:v>
      </x:c>
      <x:c r="F1198" s="81" t="n">
        <x:v>0.8521676325239241</x:v>
      </x:c>
      <x:c r="G1198" s="81" t="n">
        <x:v>0.0013987170487961714</x:v>
      </x:c>
      <x:c r="H1198" s="59" t="n">
        <x:v>0</x:v>
      </x:c>
      <x:c r="I1198" s="81" t="n">
        <x:v>0</x:v>
      </x:c>
      <x:c r="J1198" s="79" t="n">
        <x:v>0.01298033650930866</x:v>
      </x:c>
      <x:c r="K1198" s="81" t="n">
        <x:v>13.834670296352755</x:v>
      </x:c>
      <x:c r="L1198" s="81" t="n">
        <x:v>-0.7820374218754568</x:v>
      </x:c>
      <x:c r="M1198" s="80" t="n">
        <x:v>80446.60218167678</x:v>
      </x:c>
      <x:c r="N1198" s="82" t="n">
        <x:v>0.28714196347545945</x:v>
      </x:c>
      <x:c r="O1198" s="82" t="n">
        <x:v>0.23114933172349467</x:v>
      </x:c>
      <x:c r="P1198" s="80" t="n">
        <x:v>100812.02234183258</x:v>
      </x:c>
      <x:c r="Q1198" s="81" t="n">
        <x:v>0.004088651769332696</x:v>
      </x:c>
      <x:c r="R1198" s="81" t="n">
        <x:v>191.296031030421</x:v>
      </x:c>
      <x:c r="S1198" s="81" t="n">
        <x:v>152.10610197275582</x:v>
      </x:c>
      <x:c r="T1198" s="81" t="n">
        <x:v>281.1824277112318</x:v>
      </x:c>
    </x:row>
    <x:row r="1199">
      <x:c r="A1199" s="59" t="n">
        <x:v>1196</x:v>
      </x:c>
      <x:c r="B1199" s="193" t="n">
        <x:v>0.5716246765106916</x:v>
      </x:c>
      <x:c r="C1199" s="83" t="n">
        <x:v>0.9739618549984205</x:v>
      </x:c>
      <x:c r="D1199" s="83" t="n">
        <x:v>0.6442152206973192</x:v>
      </x:c>
      <x:c r="E1199" s="81" t="n">
        <x:v>0.07419496050993638</x:v>
      </x:c>
      <x:c r="F1199" s="81" t="n">
        <x:v>0.8356125195045024</x:v>
      </x:c>
      <x:c r="G1199" s="81" t="n">
        <x:v>-0.05</x:v>
      </x:c>
      <x:c r="H1199" s="59" t="n">
        <x:v>0</x:v>
      </x:c>
      <x:c r="I1199" s="81" t="n">
        <x:v>0</x:v>
      </x:c>
      <x:c r="J1199" s="79" t="n">
        <x:v>0.0003615515628066655</x:v>
      </x:c>
      <x:c r="K1199" s="81" t="n">
        <x:v>-0.5867982139352393</x:v>
      </x:c>
      <x:c r="L1199" s="81" t="n">
        <x:v>-0.8705108194976547</x:v>
      </x:c>
      <x:c r="M1199" s="80" t="n">
        <x:v>7339.243623181205</x:v>
      </x:c>
      <x:c r="N1199" s="82" t="n">
        <x:v>0.2382654659075313</x:v>
      </x:c>
      <x:c r="O1199" s="82" t="n">
        <x:v>0.18807755937459797</x:v>
      </x:c>
      <x:c r="P1199" s="80" t="n">
        <x:v>10230.957248614937</x:v>
      </x:c>
      <x:c r="Q1199" s="81" t="n">
        <x:v>0.005715358347427857</x:v>
      </x:c>
      <x:c r="R1199" s="81" t="n">
        <x:v>53.44833521793907</x:v>
      </x:c>
      <x:c r="S1199" s="81" t="n">
        <x:v>7.4952744876852915</x:v>
      </x:c>
      <x:c r="T1199" s="81" t="n">
        <x:v>7.831996196698191</x:v>
      </x:c>
    </x:row>
    <x:row r="1200">
      <x:c r="A1200" s="59" t="n">
        <x:v>1197</x:v>
      </x:c>
      <x:c r="B1200" s="193" t="n">
        <x:v>0.4960766164585948</x:v>
      </x:c>
      <x:c r="C1200" s="83" t="n">
        <x:v>0.8252572771930716</x:v>
      </x:c>
      <x:c r="D1200" s="83" t="n">
        <x:v>1.97025357154569</x:v>
      </x:c>
      <x:c r="E1200" s="81" t="n">
        <x:v>-0.013605986089577048</x:v>
      </x:c>
      <x:c r="F1200" s="81" t="n">
        <x:v>0.4484698125626892</x:v>
      </x:c>
      <x:c r="G1200" s="81" t="n">
        <x:v>-0.01734782849561214</x:v>
      </x:c>
      <x:c r="H1200" s="59" t="n">
        <x:v>0</x:v>
      </x:c>
      <x:c r="I1200" s="81" t="n">
        <x:v>0</x:v>
      </x:c>
      <x:c r="J1200" s="79" t="n">
        <x:v>5.595910930866048e-19</x:v>
      </x:c>
      <x:c r="K1200" s="81" t="n">
        <x:v>-0.9999999999999993</x:v>
      </x:c>
      <x:c r="L1200" s="81" t="n">
        <x:v>-0.9999999999999993</x:v>
      </x:c>
      <x:c r="M1200" s="80" t="n">
        <x:v>0.0002429632910226894</x:v>
      </x:c>
      <x:c r="N1200" s="82" t="n">
        <x:v>0.22026850147699564</x:v>
      </x:c>
      <x:c r="O1200" s="82" t="n">
        <x:v>0.09331609448425893</x:v>
      </x:c>
      <x:c r="P1200" s="80" t="n">
        <x:v>1844.6696291461465</x:v>
      </x:c>
      <x:c r="Q1200" s="81" t="n">
        <x:v>32671.842472996028</x:v>
      </x:c>
      <x:c r="R1200" s="81" t="n">
        <x:v>7.792801436654049</x:v>
      </x:c>
      <x:c r="S1200" s="81" t="n">
        <x:v>9.682472890198489e-8</x:v>
      </x:c>
      <x:c r="T1200" s="81" t="n">
        <x:v>1.212196478626222e-14</x:v>
      </x:c>
    </x:row>
    <x:row r="1201">
      <x:c r="A1201" s="59" t="n">
        <x:v>1198</x:v>
      </x:c>
      <x:c r="B1201" s="193" t="n">
        <x:v>0.9382064759731292</x:v>
      </x:c>
      <x:c r="C1201" s="83" t="n">
        <x:v>0.10347149881262095</x:v>
      </x:c>
      <x:c r="D1201" s="83" t="n">
        <x:v>0.7410217494170309</x:v>
      </x:c>
      <x:c r="E1201" s="81" t="n">
        <x:v>-0.002211777256509726</x:v>
      </x:c>
      <x:c r="F1201" s="81" t="n">
        <x:v>0.5976066398783587</x:v>
      </x:c>
      <x:c r="G1201" s="81" t="n">
        <x:v>0.012593846743870547</x:v>
      </x:c>
      <x:c r="H1201" s="59" t="n">
        <x:v>8</x:v>
      </x:c>
      <x:c r="I1201" s="81" t="n">
        <x:v>0.3591917594894767</x:v>
      </x:c>
      <x:c r="J1201" s="79" t="n">
        <x:v>5.9241316184028875e-8</x:v>
      </x:c>
      <x:c r="K1201" s="81" t="n">
        <x:v>-0.9999322956386468</x:v>
      </x:c>
      <x:c r="L1201" s="81" t="n">
        <x:v>-0.9999322956386468</x:v>
      </x:c>
      <x:c r="M1201" s="80" t="n">
        <x:v>46.038749657888715</x:v>
      </x:c>
      <x:c r="N1201" s="82" t="n">
        <x:v>0.3255921239482238</x:v>
      </x:c>
      <x:c r="O1201" s="82" t="n">
        <x:v>0.18380623820115383</x:v>
      </x:c>
      <x:c r="P1201" s="80" t="n">
        <x:v>716.0148617046935</x:v>
      </x:c>
      <x:c r="Q1201" s="81" t="n">
        <x:v>0.18364310534873754</x:v>
      </x:c>
      <x:c r="R1201" s="81" t="n">
        <x:v>48.444744659430185</x:v>
      </x:c>
      <x:c r="S1201" s="81" t="n">
        <x:v>0.0264904225134363</x:v>
      </x:c>
      <x:c r="T1201" s="81" t="n">
        <x:v>0.0012832962453236984</x:v>
      </x:c>
    </x:row>
    <x:row r="1202">
      <x:c r="A1202" s="59" t="n">
        <x:v>1199</x:v>
      </x:c>
      <x:c r="B1202" s="193" t="n">
        <x:v>0.3244054038077593</x:v>
      </x:c>
      <x:c r="C1202" s="83" t="n">
        <x:v>0.12063990920128428</x:v>
      </x:c>
      <x:c r="D1202" s="83" t="n">
        <x:v>0.6911683297491662</x:v>
      </x:c>
      <x:c r="E1202" s="81" t="n">
        <x:v>0.08791918446480418</x:v>
      </x:c>
      <x:c r="F1202" s="81" t="n">
        <x:v>0.7742802466033026</x:v>
      </x:c>
      <x:c r="G1202" s="81" t="n">
        <x:v>0.01606657927859489</x:v>
      </x:c>
      <x:c r="H1202" s="59" t="n">
        <x:v>0</x:v>
      </x:c>
      <x:c r="I1202" s="81" t="n">
        <x:v>0</x:v>
      </x:c>
      <x:c r="J1202" s="79" t="n">
        <x:v>0.001975195175405644</x:v>
      </x:c>
      <x:c r="K1202" s="81" t="n">
        <x:v>1.2573659147493075</x:v>
      </x:c>
      <x:c r="L1202" s="81" t="n">
        <x:v>-0.7729270204023524</x:v>
      </x:c>
      <x:c r="M1202" s="80" t="n">
        <x:v>10885.367253139126</x:v>
      </x:c>
      <x:c r="N1202" s="82" t="n">
        <x:v>0.17937319978832994</x:v>
      </x:c>
      <x:c r="O1202" s="82" t="n">
        <x:v>0.13119783758643647</x:v>
      </x:c>
      <x:c r="P1202" s="80" t="n">
        <x:v>14107.254632871922</x:v>
      </x:c>
      <x:c r="Q1202" s="81" t="n">
        <x:v>0.003660695902564512</x:v>
      </x:c>
      <x:c r="R1202" s="81" t="n">
        <x:v>484.44384371921336</x:v>
      </x:c>
      <x:c r="S1202" s="81" t="n">
        <x:v>307.8308388865014</x:v>
      </x:c>
      <x:c r="T1202" s="81" t="n">
        <x:v>42.78703978327382</x:v>
      </x:c>
    </x:row>
    <x:row r="1203">
      <x:c r="A1203" s="59" t="n">
        <x:v>1200</x:v>
      </x:c>
      <x:c r="B1203" s="193" t="n">
        <x:v>0.34219720158725975</x:v>
      </x:c>
      <x:c r="C1203" s="83" t="n">
        <x:v>0.441068930516433</x:v>
      </x:c>
      <x:c r="D1203" s="83" t="n">
        <x:v>0.8400690697263714</x:v>
      </x:c>
      <x:c r="E1203" s="81" t="n">
        <x:v>-0.10275967422759191</x:v>
      </x:c>
      <x:c r="F1203" s="81" t="n">
        <x:v>0.6464615853037685</x:v>
      </x:c>
      <x:c r="G1203" s="81" t="n">
        <x:v>-0.014648664315085491</x:v>
      </x:c>
      <x:c r="H1203" s="59" t="n">
        <x:v>0</x:v>
      </x:c>
      <x:c r="I1203" s="81" t="n">
        <x:v>0</x:v>
      </x:c>
      <x:c r="J1203" s="79" t="n">
        <x:v>1.4539546908335035e-36</x:v>
      </x:c>
      <x:c r="K1203" s="81" t="n">
        <x:v>-1</x:v>
      </x:c>
      <x:c r="L1203" s="81" t="n">
        <x:v>-1</x:v>
      </x:c>
      <x:c r="M1203" s="80" t="n">
        <x:v>0.000002</x:v>
      </x:c>
      <x:c r="N1203" s="82" t="n">
        <x:v>0.1836115396156151</x:v>
      </x:c>
      <x:c r="O1203" s="82" t="n">
        <x:v>0.112127886704725</x:v>
      </x:c>
      <x:c r="P1203" s="80" t="n">
        <x:v>237.04275749013013</x:v>
      </x:c>
      <x:c r="Q1203" s="81" t="n">
        <x:v>14910839165939057000</x:v>
      </x:c>
      <x:c r="R1203" s="81" t="n">
        <x:v>4.023305687262826</x:v>
      </x:c>
      <x:c r="S1203" s="81" t="n">
        <x:v>4.2673622719316936e-10</x:v>
      </x:c>
      <x:c r="T1203" s="81" t="n">
        <x:v>3.14958329052189e-32</x:v>
      </x:c>
    </x:row>
    <x:row r="1204">
      <x:c r="A1204" s="59" t="n">
        <x:v>1201</x:v>
      </x:c>
      <x:c r="B1204" s="193" t="n">
        <x:v>0.7535144513472916</x:v>
      </x:c>
      <x:c r="C1204" s="83" t="n">
        <x:v>0.1719505953341638</x:v>
      </x:c>
      <x:c r="D1204" s="83" t="n">
        <x:v>1.2298730611493625</x:v>
      </x:c>
      <x:c r="E1204" s="81" t="n">
        <x:v>-0.09268765215554188</x:v>
      </x:c>
      <x:c r="F1204" s="81" t="n">
        <x:v>0.37611523244995626</x:v>
      </x:c>
      <x:c r="G1204" s="81" t="n">
        <x:v>0.021537817466335603</x:v>
      </x:c>
      <x:c r="H1204" s="59" t="n">
        <x:v>0</x:v>
      </x:c>
      <x:c r="I1204" s="81" t="n">
        <x:v>0</x:v>
      </x:c>
      <x:c r="J1204" s="79" t="n">
        <x:v>7.905197514167437e-50</x:v>
      </x:c>
      <x:c r="K1204" s="81" t="n">
        <x:v>-1</x:v>
      </x:c>
      <x:c r="L1204" s="81" t="n">
        <x:v>-1</x:v>
      </x:c>
      <x:c r="M1204" s="80" t="n">
        <x:v>0.000002</x:v>
      </x:c>
      <x:c r="N1204" s="82" t="n">
        <x:v>0.2815950207068877</x:v>
      </x:c>
      <x:c r="O1204" s="82" t="n">
        <x:v>0.10004994067244337</x:v>
      </x:c>
      <x:c r="P1204" s="80" t="n">
        <x:v>226.2480638629696</x:v>
      </x:c>
      <x:c r="Q1204" s="81" t="n">
        <x:v>3.0127023744391186e+32</x:v>
      </x:c>
      <x:c r="R1204" s="81" t="n">
        <x:v>7.405057714171203</x:v>
      </x:c>
      <x:c r="S1204" s="81" t="n">
        <x:v>1.1913815936258463e-9</x:v>
      </x:c>
      <x:c r="T1204" s="81" t="n">
        <x:v>1.7124383693568687e-45</x:v>
      </x:c>
    </x:row>
    <x:row r="1205">
      <x:c r="A1205" s="59" t="n">
        <x:v>1202</x:v>
      </x:c>
      <x:c r="B1205" s="193" t="n">
        <x:v>0.22041960675269368</x:v>
      </x:c>
      <x:c r="C1205" s="83" t="n">
        <x:v>0.20460409558068138</x:v>
      </x:c>
      <x:c r="D1205" s="83" t="n">
        <x:v>1.5878395558437235</x:v>
      </x:c>
      <x:c r="E1205" s="81" t="n">
        <x:v>0.11878994500659101</x:v>
      </x:c>
      <x:c r="F1205" s="81" t="n">
        <x:v>0.3047944698482752</x:v>
      </x:c>
      <x:c r="G1205" s="81" t="n">
        <x:v>-0.0010077948825420644</x:v>
      </x:c>
      <x:c r="H1205" s="59" t="n">
        <x:v>0</x:v>
      </x:c>
      <x:c r="I1205" s="81" t="n">
        <x:v>0</x:v>
      </x:c>
      <x:c r="J1205" s="79" t="n">
        <x:v>0.17422439434045764</x:v>
      </x:c>
      <x:c r="K1205" s="81" t="n">
        <x:v>198.1135935319516</x:v>
      </x:c>
      <x:c r="L1205" s="81" t="n">
        <x:v>-0.7756464962384443</x:v>
      </x:c>
      <x:c r="M1205" s="80" t="n">
        <x:v>153216.42233524783</x:v>
      </x:c>
      <x:c r="N1205" s="82" t="n">
        <x:v>0.15460183319611823</x:v>
      </x:c>
      <x:c r="O1205" s="82" t="n">
        <x:v>0.044513594380372834</x:v>
      </x:c>
      <x:c r="P1205" s="80" t="n">
        <x:v>324881.516924804</x:v>
      </x:c>
      <x:c r="Q1205" s="81" t="n">
        <x:v>0.001157766836809848</x:v>
      </x:c>
      <x:c r="R1205" s="81" t="n">
        <x:v>14130.259408597107</x:v>
      </x:c>
      <x:c r="S1205" s="81" t="n">
        <x:v>15905.209940926881</x:v>
      </x:c>
      <x:c r="T1205" s="81" t="n">
        <x:v>3774.0807514533417</x:v>
      </x:c>
    </x:row>
    <x:row r="1206">
      <x:c r="A1206" s="59" t="n">
        <x:v>1203</x:v>
      </x:c>
      <x:c r="B1206" s="193" t="n">
        <x:v>0.24812036883085967</x:v>
      </x:c>
      <x:c r="C1206" s="83" t="n">
        <x:v>0.45213300674790646</x:v>
      </x:c>
      <x:c r="D1206" s="83" t="n">
        <x:v>2.131340552514213</x:v>
      </x:c>
      <x:c r="E1206" s="81" t="n">
        <x:v>0.10351897737102751</x:v>
      </x:c>
      <x:c r="F1206" s="81" t="n">
        <x:v>0.42860175946261736</x:v>
      </x:c>
      <x:c r="G1206" s="81" t="n">
        <x:v>0.015311231299357223</x:v>
      </x:c>
      <x:c r="H1206" s="59" t="n">
        <x:v>0</x:v>
      </x:c>
      <x:c r="I1206" s="81" t="n">
        <x:v>0</x:v>
      </x:c>
      <x:c r="J1206" s="79" t="n">
        <x:v>0.24323828078306056</x:v>
      </x:c>
      <x:c r="K1206" s="81" t="n">
        <x:v>276.9866066092121</x:v>
      </x:c>
      <x:c r="L1206" s="81" t="n">
        <x:v>-0.790879670278965</x:v>
      </x:c>
      <x:c r="M1206" s="80" t="n">
        <x:v>245410.69498166617</x:v>
      </x:c>
      <x:c r="N1206" s="82" t="n">
        <x:v>0.16120067411242625</x:v>
      </x:c>
      <x:c r="O1206" s="82" t="n">
        <x:v>0.06526671359320146</x:v>
      </x:c>
      <x:c r="P1206" s="80" t="n">
        <x:v>664928.92036614</x:v>
      </x:c>
      <x:c r="Q1206" s="81" t="n">
        <x:v>0.0020496773196396322</x:v>
      </x:c>
      <x:c r="R1206" s="81" t="n">
        <x:v>6231.9144580732955</x:v>
      </x:c>
      <x:c r="S1206" s="81" t="n">
        <x:v>10190.539484447138</x:v>
      </x:c>
      <x:c r="T1206" s="81" t="n">
        <x:v>5269.072204240563</x:v>
      </x:c>
    </x:row>
    <x:row r="1207">
      <x:c r="A1207" s="59" t="n">
        <x:v>1204</x:v>
      </x:c>
      <x:c r="B1207" s="193" t="n">
        <x:v>0.2677402770146728</x:v>
      </x:c>
      <x:c r="C1207" s="83" t="n">
        <x:v>0.6946807522580598</x:v>
      </x:c>
      <x:c r="D1207" s="83" t="n">
        <x:v>0.365326650139458</x:v>
      </x:c>
      <x:c r="E1207" s="81" t="n">
        <x:v>0.09201309117827028</x:v>
      </x:c>
      <x:c r="F1207" s="81" t="n">
        <x:v>0.4050999630359001</x:v>
      </x:c>
      <x:c r="G1207" s="81" t="n">
        <x:v>0.04386614834110649</x:v>
      </x:c>
      <x:c r="H1207" s="59" t="n">
        <x:v>19</x:v>
      </x:c>
      <x:c r="I1207" s="81" t="n">
        <x:v>0.30138552794232965</x:v>
      </x:c>
      <x:c r="J1207" s="79" t="n">
        <x:v>0.010023906393747515</x:v>
      </x:c>
      <x:c r="K1207" s="81" t="n">
        <x:v>10.455893021425732</x:v>
      </x:c>
      <x:c r="L1207" s="81" t="n">
        <x:v>-0.7273118404399206</x:v>
      </x:c>
      <x:c r="M1207" s="80" t="n">
        <x:v>34093.49310148203</x:v>
      </x:c>
      <x:c r="N1207" s="82" t="n">
        <x:v>0.16587450411508925</x:v>
      </x:c>
      <x:c r="O1207" s="82" t="n">
        <x:v>0.06347647231090914</x:v>
      </x:c>
      <x:c r="P1207" s="80" t="n">
        <x:v>25200.58066151786</x:v>
      </x:c>
      <x:c r="Q1207" s="81" t="n">
        <x:v>0.0017574391285894878</x:v>
      </x:c>
      <x:c r="R1207" s="81" t="n">
        <x:v>67.61924176711882</x:v>
      </x:c>
      <x:c r="S1207" s="81" t="n">
        <x:v>273.76879162661027</x:v>
      </x:c>
      <x:c r="T1207" s="81" t="n">
        <x:v>217.1396968732502</x:v>
      </x:c>
    </x:row>
    <x:row r="1208">
      <x:c r="A1208" s="59" t="n">
        <x:v>1205</x:v>
      </x:c>
      <x:c r="B1208" s="193" t="n">
        <x:v>0.6721123725175857</x:v>
      </x:c>
      <x:c r="C1208" s="83" t="n">
        <x:v>1.6106462622478013</x:v>
      </x:c>
      <x:c r="D1208" s="83" t="n">
        <x:v>0.9711077525331395</x:v>
      </x:c>
      <x:c r="E1208" s="81" t="n">
        <x:v>0.06834070639584432</x:v>
      </x:c>
      <x:c r="F1208" s="81" t="n">
        <x:v>0.5046884679235518</x:v>
      </x:c>
      <x:c r="G1208" s="81" t="n">
        <x:v>0.0034176186365184784</x:v>
      </x:c>
      <x:c r="H1208" s="59" t="n">
        <x:v>76</x:v>
      </x:c>
      <x:c r="I1208" s="81" t="n">
        <x:v>0.44828102653846147</x:v>
      </x:c>
      <x:c r="J1208" s="79" t="n">
        <x:v>0.010588113496587568</x:v>
      </x:c>
      <x:c r="K1208" s="81" t="n">
        <x:v>11.100701138957222</x:v>
      </x:c>
      <x:c r="L1208" s="81" t="n">
        <x:v>-0.9131299314165894</x:v>
      </x:c>
      <x:c r="M1208" s="80" t="n">
        <x:v>58686.68138431116</x:v>
      </x:c>
      <x:c r="N1208" s="82" t="n">
        <x:v>0.2622035192406735</x:v>
      </x:c>
      <x:c r="O1208" s="82" t="n">
        <x:v>0.12500657016969843</x:v>
      </x:c>
      <x:c r="P1208" s="80" t="n">
        <x:v>98532.99676267909</x:v>
      </x:c>
      <x:c r="Q1208" s="81" t="n">
        <x:v>0.004675740018681357</x:v>
      </x:c>
      <x:c r="R1208" s="81" t="n">
        <x:v>136.78181835237334</x:v>
      </x:c>
      <x:c r="S1208" s="81" t="n">
        <x:v>132.59737607283378</x:v>
      </x:c>
      <x:c r="T1208" s="81" t="n">
        <x:v>229.3616545085331</x:v>
      </x:c>
    </x:row>
    <x:row r="1209">
      <x:c r="A1209" s="59" t="n">
        <x:v>1206</x:v>
      </x:c>
      <x:c r="B1209" s="193" t="n">
        <x:v>0.38644737638533116</x:v>
      </x:c>
      <x:c r="C1209" s="83" t="n">
        <x:v>0.42969989733044806</x:v>
      </x:c>
      <x:c r="D1209" s="83" t="n">
        <x:v>0.33868831217090567</x:v>
      </x:c>
      <x:c r="E1209" s="81" t="n">
        <x:v>0.03096246590289053</x:v>
      </x:c>
      <x:c r="F1209" s="81" t="n">
        <x:v>0.3204771344200708</x:v>
      </x:c>
      <x:c r="G1209" s="81" t="n">
        <x:v>-0.021371456644478194</x:v>
      </x:c>
      <x:c r="H1209" s="59" t="n">
        <x:v>0</x:v>
      </x:c>
      <x:c r="I1209" s="81" t="n">
        <x:v>0</x:v>
      </x:c>
      <x:c r="J1209" s="79" t="n">
        <x:v>0.0001646389932824562</x:v>
      </x:c>
      <x:c r="K1209" s="81" t="n">
        <x:v>-0.8118411505343357</x:v>
      </x:c>
      <x:c r="L1209" s="81" t="n">
        <x:v>-0.8396326611214138</x:v>
      </x:c>
      <x:c r="M1209" s="80" t="n">
        <x:v>3233.6403925888335</x:v>
      </x:c>
      <x:c r="N1209" s="82" t="n">
        <x:v>0.19415276094329326</x:v>
      </x:c>
      <x:c r="O1209" s="82" t="n">
        <x:v>0.05877756106041466</x:v>
      </x:c>
      <x:c r="P1209" s="80" t="n">
        <x:v>2776.703171027968</x:v>
      </x:c>
      <x:c r="Q1209" s="81" t="n">
        <x:v>0.0036560234383063136</x:v>
      </x:c>
      <x:c r="R1209" s="81" t="n">
        <x:v>51.05081535267797</x:v>
      </x:c>
      <x:c r="S1209" s="81" t="n">
        <x:v>7.380036804325015</x:v>
      </x:c>
      <x:c r="T1209" s="81" t="n">
        <x:v>3.56644003750561</x:v>
      </x:c>
    </x:row>
    <x:row r="1210">
      <x:c r="A1210" s="59" t="n">
        <x:v>1207</x:v>
      </x:c>
      <x:c r="B1210" s="193" t="n">
        <x:v>0.4322803942486644</x:v>
      </x:c>
      <x:c r="C1210" s="83" t="n">
        <x:v>0.13720040559332586</x:v>
      </x:c>
      <x:c r="D1210" s="83" t="n">
        <x:v>2.3155673945173554</x:v>
      </x:c>
      <x:c r="E1210" s="81" t="n">
        <x:v>-0.07170196698712637</x:v>
      </x:c>
      <x:c r="F1210" s="81" t="n">
        <x:v>0.8093224635114894</x:v>
      </x:c>
      <x:c r="G1210" s="81" t="n">
        <x:v>-0.021498509360581706</x:v>
      </x:c>
      <x:c r="H1210" s="59" t="n">
        <x:v>0</x:v>
      </x:c>
      <x:c r="I1210" s="81" t="n">
        <x:v>0</x:v>
      </x:c>
      <x:c r="J1210" s="79" t="n">
        <x:v>1.0847735047271471e-53</x:v>
      </x:c>
      <x:c r="K1210" s="81" t="n">
        <x:v>-1</x:v>
      </x:c>
      <x:c r="L1210" s="81" t="n">
        <x:v>-1</x:v>
      </x:c>
      <x:c r="M1210" s="80" t="n">
        <x:v>0.000002</x:v>
      </x:c>
      <x:c r="N1210" s="82" t="n">
        <x:v>0.2050710451674239</x:v>
      </x:c>
      <x:c r="O1210" s="82" t="n">
        <x:v>0.15678224593938617</x:v>
      </x:c>
      <x:c r="P1210" s="80" t="n">
        <x:v>306.75271784232245</x:v>
      </x:c>
      <x:c r="Q1210" s="81" t="n">
        <x:v>2.783547841222233e+36</x:v>
      </x:c>
      <x:c r="R1210" s="81" t="n">
        <x:v>6.318695745016274</x:v>
      </x:c>
      <x:c r="S1210" s="81" t="n">
        <x:v>1.3692707793927228e-9</x:v>
      </x:c>
      <x:c r="T1210" s="81" t="n">
        <x:v>2.3498562410709497e-49</x:v>
      </x:c>
    </x:row>
    <x:row r="1211">
      <x:c r="A1211" s="59" t="n">
        <x:v>1208</x:v>
      </x:c>
      <x:c r="B1211" s="193" t="n">
        <x:v>0.51471903976053</x:v>
      </x:c>
      <x:c r="C1211" s="83" t="n">
        <x:v>0.13821205590630842</x:v>
      </x:c>
      <x:c r="D1211" s="83" t="n">
        <x:v>1.129010402818436</x:v>
      </x:c>
      <x:c r="E1211" s="81" t="n">
        <x:v>0.024004047526440087</x:v>
      </x:c>
      <x:c r="F1211" s="81" t="n">
        <x:v>0.34334859857335687</x:v>
      </x:c>
      <x:c r="G1211" s="81" t="n">
        <x:v>-0.005736905594298933</x:v>
      </x:c>
      <x:c r="H1211" s="59" t="n">
        <x:v>0</x:v>
      </x:c>
      <x:c r="I1211" s="81" t="n">
        <x:v>0</x:v>
      </x:c>
      <x:c r="J1211" s="79" t="n">
        <x:v>0.0006860347677858272</x:v>
      </x:c>
      <x:c r="K1211" s="81" t="n">
        <x:v>-0.21596026538762603</x:v>
      </x:c>
      <x:c r="L1211" s="81" t="n">
        <x:v>-0.7234634945056994</x:v>
      </x:c>
      <x:c r="M1211" s="80" t="n">
        <x:v>5618.689634757383</x:v>
      </x:c>
      <x:c r="N1211" s="82" t="n">
        <x:v>0.22470947625295382</x:v>
      </x:c>
      <x:c r="O1211" s="82" t="n">
        <x:v>0.07288322953333316</x:v>
      </x:c>
      <x:c r="P1211" s="80" t="n">
        <x:v>13000.66779397</x:v>
      </x:c>
      <x:c r="Q1211" s="81" t="n">
        <x:v>0.0065290017139815765</x:v>
      </x:c>
      <x:c r="R1211" s="81" t="n">
        <x:v>260.12508432890604</x:v>
      </x:c>
      <x:c r="S1211" s="81" t="n">
        <x:v>94.48804298696894</x:v>
      </x:c>
      <x:c r="T1211" s="81" t="n">
        <x:v>14.861010834502938</x:v>
      </x:c>
    </x:row>
    <x:row r="1212">
      <x:c r="A1212" s="59" t="n">
        <x:v>1209</x:v>
      </x:c>
      <x:c r="B1212" s="193" t="n">
        <x:v>0.21092627421021462</x:v>
      </x:c>
      <x:c r="C1212" s="83" t="n">
        <x:v>0.10999852530248595</x:v>
      </x:c>
      <x:c r="D1212" s="83" t="n">
        <x:v>2.1858822285479906</x:v>
      </x:c>
      <x:c r="E1212" s="81" t="n">
        <x:v>0.060032020645252857</x:v>
      </x:c>
      <x:c r="F1212" s="81" t="n">
        <x:v>0.6333597566816025</x:v>
      </x:c>
      <x:c r="G1212" s="81" t="n">
        <x:v>-0.03585960610479299</x:v>
      </x:c>
      <x:c r="H1212" s="59" t="n">
        <x:v>0</x:v>
      </x:c>
      <x:c r="I1212" s="81" t="n">
        <x:v>0</x:v>
      </x:c>
      <x:c r="J1212" s="79" t="n">
        <x:v>0.0065512200659040174</x:v>
      </x:c>
      <x:c r="K1212" s="81" t="n">
        <x:v>6.4871086467474495</x:v>
      </x:c>
      <x:c r="L1212" s="81" t="n">
        <x:v>-0.8051263758952796</x:v>
      </x:c>
      <x:c r="M1212" s="80" t="n">
        <x:v>22162.364461487385</x:v>
      </x:c>
      <x:c r="N1212" s="82" t="n">
        <x:v>0.1523403433845146</x:v>
      </x:c>
      <x:c r="O1212" s="82" t="n">
        <x:v>0.09114573199466913</x:v>
      </x:c>
      <x:c r="P1212" s="80" t="n">
        <x:v>74211.4469947276</x:v>
      </x:c>
      <x:c r="Q1212" s="81" t="n">
        <x:v>0.003916623495149357</x:v>
      </x:c>
      <x:c r="R1212" s="81" t="n">
        <x:v>3342.994419973428</x:v>
      </x:c>
      <x:c r="S1212" s="81" t="n">
        <x:v>1118.7079781153059</x:v>
      </x:c>
      <x:c r="T1212" s="81" t="n">
        <x:v>141.9137293767693</x:v>
      </x:c>
    </x:row>
    <x:row r="1213">
      <x:c r="A1213" s="59" t="n">
        <x:v>1210</x:v>
      </x:c>
      <x:c r="B1213" s="193" t="n">
        <x:v>0.6177132029086352</x:v>
      </x:c>
      <x:c r="C1213" s="83" t="n">
        <x:v>1.8144077758974082</x:v>
      </x:c>
      <x:c r="D1213" s="83" t="n">
        <x:v>0.2433076501538173</x:v>
      </x:c>
      <x:c r="E1213" s="81" t="n">
        <x:v>-0.09441201735619018</x:v>
      </x:c>
      <x:c r="F1213" s="81" t="n">
        <x:v>0.6574772019288503</x:v>
      </x:c>
      <x:c r="G1213" s="81" t="n">
        <x:v>0.005985270629373918</x:v>
      </x:c>
      <x:c r="H1213" s="59" t="n">
        <x:v>0</x:v>
      </x:c>
      <x:c r="I1213" s="81" t="n">
        <x:v>0</x:v>
      </x:c>
      <x:c r="J1213" s="79" t="n">
        <x:v>7.070687351449275e-19</x:v>
      </x:c>
      <x:c r="K1213" s="81" t="n">
        <x:v>-0.9999999999999992</x:v>
      </x:c>
      <x:c r="L1213" s="81" t="n">
        <x:v>-0.9999999999999992</x:v>
      </x:c>
      <x:c r="M1213" s="80" t="n">
        <x:v>0.0004209759793765508</x:v>
      </x:c>
      <x:c r="N1213" s="82" t="n">
        <x:v>0.24924461705539147</x:v>
      </x:c>
      <x:c r="O1213" s="82" t="n">
        <x:v>0.15480230666341918</x:v>
      </x:c>
      <x:c r="P1213" s="80" t="n">
        <x:v>398.7494901515849</x:v>
      </x:c>
      <x:c r="Q1213" s="81" t="n">
        <x:v>6971.301486390363</x:v>
      </x:c>
      <x:c r="R1213" s="81" t="n">
        <x:v>3.154078821162135</x:v>
      </x:c>
      <x:c r="S1213" s="81" t="n">
        <x:v>1.797914896863253e-8</x:v>
      </x:c>
      <x:c r="T1213" s="81" t="n">
        <x:v>1.5316652489261982e-14</x:v>
      </x:c>
    </x:row>
    <x:row r="1214">
      <x:c r="A1214" s="59" t="n">
        <x:v>1211</x:v>
      </x:c>
      <x:c r="B1214" s="193" t="n">
        <x:v>0.9104461396113039</x:v>
      </x:c>
      <x:c r="C1214" s="83" t="n">
        <x:v>1.7048291535890927</x:v>
      </x:c>
      <x:c r="D1214" s="83" t="n">
        <x:v>0.6490398067834717</x:v>
      </x:c>
      <x:c r="E1214" s="81" t="n">
        <x:v>0.06725093111935565</x:v>
      </x:c>
      <x:c r="F1214" s="81" t="n">
        <x:v>0.7192270504194311</x:v>
      </x:c>
      <x:c r="G1214" s="81" t="n">
        <x:v>0.037652633480787664</x:v>
      </x:c>
      <x:c r="H1214" s="59" t="n">
        <x:v>0</x:v>
      </x:c>
      <x:c r="I1214" s="81" t="n">
        <x:v>0</x:v>
      </x:c>
      <x:c r="J1214" s="79" t="n">
        <x:v>0.003360925318455675</x:v>
      </x:c>
      <x:c r="K1214" s="81" t="n">
        <x:v>2.841057506806486</x:v>
      </x:c>
      <x:c r="L1214" s="81" t="n">
        <x:v>-0.6920965811558353</x:v>
      </x:c>
      <x:c r="M1214" s="80" t="n">
        <x:v>32851.01864304724</x:v>
      </x:c>
      <x:c r="N1214" s="82" t="n">
        <x:v>0.31897909132053054</x:v>
      </x:c>
      <x:c r="O1214" s="82" t="n">
        <x:v>0.21672008951194938</x:v>
      </x:c>
      <x:c r="P1214" s="80" t="n">
        <x:v>42141.98620165747</x:v>
      </x:c>
      <x:c r="Q1214" s="81" t="n">
        <x:v>0.007713720233525327</x:v>
      </x:c>
      <x:c r="R1214" s="81" t="n">
        <x:v>35.03607556243231</x:v>
      </x:c>
      <x:c r="S1214" s="81" t="n">
        <x:v>42.31436211111038</x:v>
      </x:c>
      <x:c r="T1214" s="81" t="n">
        <x:v>72.80498003436156</x:v>
      </x:c>
    </x:row>
    <x:row r="1215">
      <x:c r="A1215" s="59" t="n">
        <x:v>1212</x:v>
      </x:c>
      <x:c r="B1215" s="193" t="n">
        <x:v>0.7532636916264892</x:v>
      </x:c>
      <x:c r="C1215" s="83" t="n">
        <x:v>0.6960636944378148</x:v>
      </x:c>
      <x:c r="D1215" s="83" t="n">
        <x:v>0.3818423237189187</x:v>
      </x:c>
      <x:c r="E1215" s="81" t="n">
        <x:v>-0.0882474283771412</x:v>
      </x:c>
      <x:c r="F1215" s="81" t="n">
        <x:v>0.5476402027881704</x:v>
      </x:c>
      <x:c r="G1215" s="81" t="n">
        <x:v>0.01472848801478994</x:v>
      </x:c>
      <x:c r="H1215" s="59" t="n">
        <x:v>0</x:v>
      </x:c>
      <x:c r="I1215" s="81" t="n">
        <x:v>0</x:v>
      </x:c>
      <x:c r="J1215" s="79" t="n">
        <x:v>7.525327486084901e-25</x:v>
      </x:c>
      <x:c r="K1215" s="81" t="n">
        <x:v>-1</x:v>
      </x:c>
      <x:c r="L1215" s="81" t="n">
        <x:v>-1</x:v>
      </x:c>
      <x:c r="M1215" s="80" t="n">
        <x:v>0.000002</x:v>
      </x:c>
      <x:c r="N1215" s="82" t="n">
        <x:v>0.28153528503964814</x:v>
      </x:c>
      <x:c r="O1215" s="82" t="n">
        <x:v>0.14564617968425828</x:v>
      </x:c>
      <x:c r="P1215" s="80" t="n">
        <x:v>265.1860843673447</x:v>
      </x:c>
      <x:c r="Q1215" s="81" t="n">
        <x:v>33105106.388527233</x:v>
      </x:c>
      <x:c r="R1215" s="81" t="n">
        <x:v>5.5707279586002985</x:v>
      </x:c>
      <x:c r="S1215" s="81" t="n">
        <x:v>2.3561479590392765e-10</x:v>
      </x:c>
      <x:c r="T1215" s="81" t="n">
        <x:v>1.630150227878886e-20</x:v>
      </x:c>
    </x:row>
    <x:row r="1216">
      <x:c r="A1216" s="59" t="n">
        <x:v>1213</x:v>
      </x:c>
      <x:c r="B1216" s="193" t="n">
        <x:v>0.8122015094384551</x:v>
      </x:c>
      <x:c r="C1216" s="83" t="n">
        <x:v>0.16593067850774335</x:v>
      </x:c>
      <x:c r="D1216" s="83" t="n">
        <x:v>0.9789057235092128</x:v>
      </x:c>
      <x:c r="E1216" s="81" t="n">
        <x:v>0.00808498535272283</x:v>
      </x:c>
      <x:c r="F1216" s="81" t="n">
        <x:v>0.28781793811358514</x:v>
      </x:c>
      <x:c r="G1216" s="81" t="n">
        <x:v>0.009640507586495518</x:v>
      </x:c>
      <x:c r="H1216" s="59" t="n">
        <x:v>0</x:v>
      </x:c>
      <x:c r="I1216" s="81" t="n">
        <x:v>0</x:v>
      </x:c>
      <x:c r="J1216" s="79" t="n">
        <x:v>0.0000629854227171926</x:v>
      </x:c>
      <x:c r="K1216" s="81" t="n">
        <x:v>-0.9280166597517798</x:v>
      </x:c>
      <x:c r="L1216" s="81" t="n">
        <x:v>-0.9407589297994925</x:v>
      </x:c>
      <x:c r="M1216" s="80" t="n">
        <x:v>1627.7407589972488</x:v>
      </x:c>
      <x:c r="N1216" s="82" t="n">
        <x:v>0.29557537832654174</x:v>
      </x:c>
      <x:c r="O1216" s="82" t="n">
        <x:v>0.08036316890100954</x:v>
      </x:c>
      <x:c r="P1216" s="80" t="n">
        <x:v>4572.151062827603</x:v>
      </x:c>
      <x:c r="Q1216" s="81" t="n">
        <x:v>0.018184083212435982</x:v>
      </x:c>
      <x:c r="R1216" s="81" t="n">
        <x:v>92.87142657451783</x:v>
      </x:c>
      <x:c r="S1216" s="81" t="n">
        <x:v>7.725150439709004</x:v>
      </x:c>
      <x:c r="T1216" s="81" t="n">
        <x:v>1.364401767037213</x:v>
      </x:c>
    </x:row>
    <x:row r="1217">
      <x:c r="A1217" s="59" t="n">
        <x:v>1214</x:v>
      </x:c>
      <x:c r="B1217" s="193" t="n">
        <x:v>0.5349135592579841</x:v>
      </x:c>
      <x:c r="C1217" s="83" t="n">
        <x:v>2.982270446408349</x:v>
      </x:c>
      <x:c r="D1217" s="83" t="n">
        <x:v>1.9702403869177354</x:v>
      </x:c>
      <x:c r="E1217" s="81" t="n">
        <x:v>0.00014642770800750494</x:v>
      </x:c>
      <x:c r="F1217" s="81" t="n">
        <x:v>0.4784064812236466</x:v>
      </x:c>
      <x:c r="G1217" s="81" t="n">
        <x:v>0.0036308491182624166</x:v>
      </x:c>
      <x:c r="H1217" s="59" t="n">
        <x:v>0</x:v>
      </x:c>
      <x:c r="I1217" s="81" t="n">
        <x:v>0</x:v>
      </x:c>
      <x:c r="J1217" s="79" t="n">
        <x:v>0.000010956994145659667</x:v>
      </x:c>
      <x:c r="K1217" s="81" t="n">
        <x:v>-0.987477720976389</x:v>
      </x:c>
      <x:c r="L1217" s="81" t="n">
        <x:v>-0.987477720976389</x:v>
      </x:c>
      <x:c r="M1217" s="80" t="n">
        <x:v>2245.688570816167</x:v>
      </x:c>
      <x:c r="N1217" s="82" t="n">
        <x:v>0.22952018944448793</x:v>
      </x:c>
      <x:c r="O1217" s="82" t="n">
        <x:v>0.10372630087039304</x:v>
      </x:c>
      <x:c r="P1217" s="80" t="n">
        <x:v>25935.96285950365</x:v>
      </x:c>
      <x:c r="Q1217" s="81" t="n">
        <x:v>0.16995704741387618</x:v>
      </x:c>
      <x:c r="R1217" s="81" t="n">
        <x:v>8.905502704778224</x:v>
      </x:c>
      <x:c r="S1217" s="81" t="n">
        <x:v>0.5781947633430223</x:v>
      </x:c>
      <x:c r="T1217" s="81" t="n">
        <x:v>0.2373524147147423</x:v>
      </x:c>
    </x:row>
    <x:row r="1218">
      <x:c r="A1218" s="59" t="n">
        <x:v>1215</x:v>
      </x:c>
      <x:c r="B1218" s="193" t="n">
        <x:v>0.6856941659003497</x:v>
      </x:c>
      <x:c r="C1218" s="83" t="n">
        <x:v>0.12544197093355242</x:v>
      </x:c>
      <x:c r="D1218" s="83" t="n">
        <x:v>0.38999133931946894</x:v>
      </x:c>
      <x:c r="E1218" s="81" t="n">
        <x:v>0.003167379472824303</x:v>
      </x:c>
      <x:c r="F1218" s="81" t="n">
        <x:v>0.686430567316711</x:v>
      </x:c>
      <x:c r="G1218" s="81" t="n">
        <x:v>-0.02998549473177999</x:v>
      </x:c>
      <x:c r="H1218" s="59" t="n">
        <x:v>0</x:v>
      </x:c>
      <x:c r="I1218" s="81" t="n">
        <x:v>0</x:v>
      </x:c>
      <x:c r="J1218" s="79" t="n">
        <x:v>5.825629646430479e-7</x:v>
      </x:c>
      <x:c r="K1218" s="81" t="n">
        <x:v>-0.9993342137546937</x:v>
      </x:c>
      <x:c r="L1218" s="81" t="n">
        <x:v>-0.9993342137546937</x:v>
      </x:c>
      <x:c r="M1218" s="80" t="n">
        <x:v>147.4446602655631</x:v>
      </x:c>
      <x:c r="N1218" s="82" t="n">
        <x:v>0.26543895708307386</x:v>
      </x:c>
      <x:c r="O1218" s="82" t="n">
        <x:v>0.1721203493679034</x:v>
      </x:c>
      <x:c r="P1218" s="80" t="n">
        <x:v>515.4859386332874</x:v>
      </x:c>
      <x:c r="Q1218" s="81" t="n">
        <x:v>0.0315153979290815</x:v>
      </x:c>
      <x:c r="R1218" s="81" t="n">
        <x:v>61.056772863084646</x:v>
      </x:c>
      <x:c r="S1218" s="81" t="n">
        <x:v>0.10181488774811605</x:v>
      </x:c>
      <x:c r="T1218" s="81" t="n">
        <x:v>0.012619585676805318</x:v>
      </x:c>
    </x:row>
    <x:row r="1219">
      <x:c r="A1219" s="59" t="n">
        <x:v>1216</x:v>
      </x:c>
      <x:c r="B1219" s="193" t="n">
        <x:v>0.5988495949655772</x:v>
      </x:c>
      <x:c r="C1219" s="83" t="n">
        <x:v>0.11597962334704232</x:v>
      </x:c>
      <x:c r="D1219" s="83" t="n">
        <x:v>1.4422598451903195</x:v>
      </x:c>
      <x:c r="E1219" s="81" t="n">
        <x:v>-0.053667869658555065</x:v>
      </x:c>
      <x:c r="F1219" s="81" t="n">
        <x:v>0.33349282807903363</x:v>
      </x:c>
      <x:c r="G1219" s="81" t="n">
        <x:v>0.019368854389915046</x:v>
      </x:c>
      <x:c r="H1219" s="59" t="n">
        <x:v>0</x:v>
      </x:c>
      <x:c r="I1219" s="81" t="n">
        <x:v>0</x:v>
      </x:c>
      <x:c r="J1219" s="79" t="n">
        <x:v>1.129459162839078e-38</x:v>
      </x:c>
      <x:c r="K1219" s="81" t="n">
        <x:v>-1</x:v>
      </x:c>
      <x:c r="L1219" s="81" t="n">
        <x:v>-1</x:v>
      </x:c>
      <x:c r="M1219" s="80" t="n">
        <x:v>0.000002</x:v>
      </x:c>
      <x:c r="N1219" s="82" t="n">
        <x:v>0.2447509519507062</x:v>
      </x:c>
      <x:c r="O1219" s="82" t="n">
        <x:v>0.07710487370532287</x:v>
      </x:c>
      <x:c r="P1219" s="80" t="n">
        <x:v>345.2265941536733</x:v>
      </x:c>
      <x:c r="Q1219" s="81" t="n">
        <x:v>3.5116696053736727e+21</x:v>
      </x:c>
      <x:c r="R1219" s="81" t="n">
        <x:v>16.19761423146129</x:v>
      </x:c>
      <x:c r="S1219" s="81" t="n">
        <x:v>1.42973725794168e-9</x:v>
      </x:c>
      <x:c r="T1219" s="81" t="n">
        <x:v>2.4466551323999695e-34</x:v>
      </x:c>
    </x:row>
    <x:row r="1220">
      <x:c r="A1220" s="59" t="n">
        <x:v>1217</x:v>
      </x:c>
      <x:c r="B1220" s="193" t="n">
        <x:v>0.7306851252913475</x:v>
      </x:c>
      <x:c r="C1220" s="83" t="n">
        <x:v>1.4020162922959738</x:v>
      </x:c>
      <x:c r="D1220" s="83" t="n">
        <x:v>0.19626061305361256</x:v>
      </x:c>
      <x:c r="E1220" s="81" t="n">
        <x:v>0.023426355047981497</x:v>
      </x:c>
      <x:c r="F1220" s="81" t="n">
        <x:v>0.6148340376559644</x:v>
      </x:c>
      <x:c r="G1220" s="81" t="n">
        <x:v>0.017841311024320225</x:v>
      </x:c>
      <x:c r="H1220" s="59" t="n">
        <x:v>0</x:v>
      </x:c>
      <x:c r="I1220" s="81" t="n">
        <x:v>0</x:v>
      </x:c>
      <x:c r="J1220" s="79" t="n">
        <x:v>0.000026103063702091864</x:v>
      </x:c>
      <x:c r="K1220" s="81" t="n">
        <x:v>-0.9701679271976092</x:v>
      </x:c>
      <x:c r="L1220" s="81" t="n">
        <x:v>-0.9728868188535258</x:v>
      </x:c>
      <x:c r="M1220" s="80" t="n">
        <x:v>2131.906786848288</x:v>
      </x:c>
      <x:c r="N1220" s="82" t="n">
        <x:v>0.27615664719049837</x:v>
      </x:c>
      <x:c r="O1220" s="82" t="n">
        <x:v>0.1603926066666909</x:v>
      </x:c>
      <x:c r="P1220" s="80" t="n">
        <x:v>1572.460838228822</x:v>
      </x:c>
      <x:c r="Q1220" s="81" t="n">
        <x:v>0.011412073859299165</x:v>
      </x:c>
      <x:c r="R1220" s="81" t="n">
        <x:v>9.911471393145543</x:v>
      </x:c>
      <x:c r="S1220" s="81" t="n">
        <x:v>0.44225952988908784</x:v>
      </x:c>
      <x:c r="T1220" s="81" t="n">
        <x:v>0.5654493484965932</x:v>
      </x:c>
    </x:row>
    <x:row r="1221">
      <x:c r="A1221" s="59" t="n">
        <x:v>1218</x:v>
      </x:c>
      <x:c r="B1221" s="193" t="n">
        <x:v>0.796694364771247</x:v>
      </x:c>
      <x:c r="C1221" s="83" t="n">
        <x:v>0.9320804004159242</x:v>
      </x:c>
      <x:c r="D1221" s="83" t="n">
        <x:v>1.1524702387346535</x:v>
      </x:c>
      <x:c r="E1221" s="81" t="n">
        <x:v>-0.07329228923223642</x:v>
      </x:c>
      <x:c r="F1221" s="81" t="n">
        <x:v>0.3940755567396991</x:v>
      </x:c>
      <x:c r="G1221" s="81" t="n">
        <x:v>0.06400118999598009</x:v>
      </x:c>
      <x:c r="H1221" s="59" t="n">
        <x:v>0</x:v>
      </x:c>
      <x:c r="I1221" s="81" t="n">
        <x:v>0</x:v>
      </x:c>
      <x:c r="J1221" s="79" t="n">
        <x:v>6.286892680365431e-49</x:v>
      </x:c>
      <x:c r="K1221" s="81" t="n">
        <x:v>-1</x:v>
      </x:c>
      <x:c r="L1221" s="81" t="n">
        <x:v>-1</x:v>
      </x:c>
      <x:c r="M1221" s="80" t="n">
        <x:v>0.000002</x:v>
      </x:c>
      <x:c r="N1221" s="82" t="n">
        <x:v>0.2918812857078505</x:v>
      </x:c>
      <x:c r="O1221" s="82" t="n">
        <x:v>0.10865674484762505</x:v>
      </x:c>
      <x:c r="P1221" s="80" t="n">
        <x:v>450.11900719083417</x:v>
      </x:c>
      <x:c r="Q1221" s="81" t="n">
        <x:v>4.705637593237091e+31</x:v>
      </x:c>
      <x:c r="R1221" s="81" t="n">
        <x:v>2.341599134422877</x:v>
      </x:c>
      <x:c r="S1221" s="81" t="n">
        <x:v>1.1114868955733925e-9</x:v>
      </x:c>
      <x:c r="T1221" s="81" t="n">
        <x:v>1.361878211213861e-44</x:v>
      </x:c>
    </x:row>
    <x:row r="1222">
      <x:c r="A1222" s="59" t="n">
        <x:v>1219</x:v>
      </x:c>
      <x:c r="B1222" s="193" t="n">
        <x:v>0.9231064759194851</x:v>
      </x:c>
      <x:c r="C1222" s="83" t="n">
        <x:v>1.5910864306346393</x:v>
      </x:c>
      <x:c r="D1222" s="83" t="n">
        <x:v>1.0353457816579692</x:v>
      </x:c>
      <x:c r="E1222" s="81" t="n">
        <x:v>0.03196170879893146</x:v>
      </x:c>
      <x:c r="F1222" s="81" t="n">
        <x:v>0.8695324543630705</x:v>
      </x:c>
      <x:c r="G1222" s="81" t="n">
        <x:v>-0.0473121011263391</x:v>
      </x:c>
      <x:c r="H1222" s="59" t="n">
        <x:v>0</x:v>
      </x:c>
      <x:c r="I1222" s="81" t="n">
        <x:v>0</x:v>
      </x:c>
      <x:c r="J1222" s="79" t="n">
        <x:v>0.00015548197425464035</x:v>
      </x:c>
      <x:c r="K1222" s="81" t="n">
        <x:v>-0.8223063151375538</x:v>
      </x:c>
      <x:c r="L1222" s="81" t="n">
        <x:v>-0.8974691473774844</x:v>
      </x:c>
      <x:c r="M1222" s="80" t="n">
        <x:v>6072.594715290794</x:v>
      </x:c>
      <x:c r="N1222" s="82" t="n">
        <x:v>0.3219950208104449</x:v>
      </x:c>
      <x:c r="O1222" s="82" t="n">
        <x:v>0.26448795218613097</x:v>
      </x:c>
      <x:c r="P1222" s="80" t="n">
        <x:v>14334.633274301392</x:v>
      </x:c>
      <x:c r="Q1222" s="81" t="n">
        <x:v>0.017286743634991372</x:v>
      </x:c>
      <x:c r="R1222" s="81" t="n">
        <x:v>21.03922447617028</x:v>
      </x:c>
      <x:c r="S1222" s="81" t="n">
        <x:v>2.4226660333049357</x:v>
      </x:c>
      <x:c r="T1222" s="81" t="n">
        <x:v>3.3680790135835625</x:v>
      </x:c>
    </x:row>
    <x:row r="1223">
      <x:c r="A1223" s="59" t="n">
        <x:v>1220</x:v>
      </x:c>
      <x:c r="B1223" s="193" t="n">
        <x:v>0.35377857685089115</x:v>
      </x:c>
      <x:c r="C1223" s="83" t="n">
        <x:v>0.32603385312196537</x:v>
      </x:c>
      <x:c r="D1223" s="83" t="n">
        <x:v>1.928287326761447</x:v>
      </x:c>
      <x:c r="E1223" s="81" t="n">
        <x:v>0.05592782538348275</x:v>
      </x:c>
      <x:c r="F1223" s="81" t="n">
        <x:v>0.6561153433402069</x:v>
      </x:c>
      <x:c r="G1223" s="81" t="n">
        <x:v>-0.022201264671189862</x:v>
      </x:c>
      <x:c r="H1223" s="59" t="n">
        <x:v>79</x:v>
      </x:c>
      <x:c r="I1223" s="81" t="n">
        <x:v>0.33750833077356224</x:v>
      </x:c>
      <x:c r="J1223" s="79" t="n">
        <x:v>0.005176752400093303</x:v>
      </x:c>
      <x:c r="K1223" s="81" t="n">
        <x:v>4.91628845724949</x:v>
      </x:c>
      <x:c r="L1223" s="81" t="n">
        <x:v>-0.9532906469885236</x:v>
      </x:c>
      <x:c r="M1223" s="80" t="n">
        <x:v>22730.535894364508</x:v>
      </x:c>
      <x:c r="N1223" s="82" t="n">
        <x:v>0.18637044035419834</x:v>
      </x:c>
      <x:c r="O1223" s="82" t="n">
        <x:v>0.11551228292610434</x:v>
      </x:c>
      <x:c r="P1223" s="80" t="n">
        <x:v>69022.76906265813</x:v>
      </x:c>
      <x:c r="Q1223" s="81" t="n">
        <x:v>0.005320867610387046</x:v>
      </x:c>
      <x:c r="R1223" s="81" t="n">
        <x:v>728.8962998559251</x:v>
      </x:c>
      <x:c r="S1223" s="81" t="n">
        <x:v>306.34156173931484</x:v>
      </x:c>
      <x:c r="T1223" s="81" t="n">
        <x:v>112.13975897114145</x:v>
      </x:c>
    </x:row>
    <x:row r="1224">
      <x:c r="A1224" s="59" t="n">
        <x:v>1221</x:v>
      </x:c>
      <x:c r="B1224" s="193" t="n">
        <x:v>0.5708787778392435</x:v>
      </x:c>
      <x:c r="C1224" s="83" t="n">
        <x:v>0.22481319324069077</x:v>
      </x:c>
      <x:c r="D1224" s="83" t="n">
        <x:v>0.6912250880949438</x:v>
      </x:c>
      <x:c r="E1224" s="81" t="n">
        <x:v>-0.03896220068579101</x:v>
      </x:c>
      <x:c r="F1224" s="81" t="n">
        <x:v>0.696663517295383</x:v>
      </x:c>
      <x:c r="G1224" s="81" t="n">
        <x:v>-0.008669870741822612</x:v>
      </x:c>
      <x:c r="H1224" s="59" t="n">
        <x:v>37</x:v>
      </x:c>
      <x:c r="I1224" s="81" t="n">
        <x:v>0.46827099118381743</x:v>
      </x:c>
      <x:c r="J1224" s="79" t="n">
        <x:v>3.195093667757872e-20</x:v>
      </x:c>
      <x:c r="K1224" s="81" t="n">
        <x:v>-1</x:v>
      </x:c>
      <x:c r="L1224" s="81" t="n">
        <x:v>-1</x:v>
      </x:c>
      <x:c r="M1224" s="80" t="n">
        <x:v>0.00003911692325073213</x:v>
      </x:c>
      <x:c r="N1224" s="82" t="n">
        <x:v>0.23808777885839236</x:v>
      </x:c>
      <x:c r="O1224" s="82" t="n">
        <x:v>0.15668633181958283</x:v>
      </x:c>
      <x:c r="P1224" s="80" t="n">
        <x:v>370.64999849975345</x:v>
      </x:c>
      <x:c r="Q1224" s="81" t="n">
        <x:v>32976.31023426738</x:v>
      </x:c>
      <x:c r="R1224" s="81" t="n">
        <x:v>17.818664094214586</x:v>
      </x:c>
      <x:c r="S1224" s="81" t="n">
        <x:v>9.11432290925651e-9</x:v>
      </x:c>
      <x:c r="T1224" s="81" t="n">
        <x:v>6.921270443340701e-16</x:v>
      </x:c>
    </x:row>
    <x:row r="1225">
      <x:c r="A1225" s="59" t="n">
        <x:v>1222</x:v>
      </x:c>
      <x:c r="B1225" s="193" t="n">
        <x:v>0.8227755753323436</x:v>
      </x:c>
      <x:c r="C1225" s="83" t="n">
        <x:v>0.711442902982762</x:v>
      </x:c>
      <x:c r="D1225" s="83" t="n">
        <x:v>1.7662921244573093</x:v>
      </x:c>
      <x:c r="E1225" s="81" t="n">
        <x:v>-0.002594959196551281</x:v>
      </x:c>
      <x:c r="F1225" s="81" t="n">
        <x:v>0.6434886354953051</x:v>
      </x:c>
      <x:c r="G1225" s="81" t="n">
        <x:v>0.037447080752531406</x:v>
      </x:c>
      <x:c r="H1225" s="59" t="n">
        <x:v>0</x:v>
      </x:c>
      <x:c r="I1225" s="81" t="n">
        <x:v>0</x:v>
      </x:c>
      <x:c r="J1225" s="79" t="n">
        <x:v>2.229191223149675e-9</x:v>
      </x:c>
      <x:c r="K1225" s="81" t="n">
        <x:v>-0.9999974523528878</x:v>
      </x:c>
      <x:c r="L1225" s="81" t="n">
        <x:v>-0.9999974523528878</x:v>
      </x:c>
      <x:c r="M1225" s="80" t="n">
        <x:v>13.9229642349673</x:v>
      </x:c>
      <x:c r="N1225" s="82" t="n">
        <x:v>0.2980943190862021</x:v>
      </x:c>
      <x:c r="O1225" s="82" t="n">
        <x:v>0.18120305806461953</x:v>
      </x:c>
      <x:c r="P1225" s="80" t="n">
        <x:v>3222.024730137759</x:v>
      </x:c>
      <x:c r="Q1225" s="81" t="n">
        <x:v>2.293544651622271</x:v>
      </x:c>
      <x:c r="R1225" s="81" t="n">
        <x:v>13.229504791466445</x:v>
      </x:c>
      <x:c r="S1225" s="81" t="n">
        <x:v>0.010043416752035612</x:v>
      </x:c>
      <x:c r="T1225" s="81" t="n">
        <x:v>0.00004828914870645216</x:v>
      </x:c>
    </x:row>
    <x:row r="1226">
      <x:c r="A1226" s="59" t="n">
        <x:v>1223</x:v>
      </x:c>
      <x:c r="B1226" s="193" t="n">
        <x:v>0.8291717607527971</x:v>
      </x:c>
      <x:c r="C1226" s="83" t="n">
        <x:v>2.7376516541406266</x:v>
      </x:c>
      <x:c r="D1226" s="83" t="n">
        <x:v>1.0488848915340452</x:v>
      </x:c>
      <x:c r="E1226" s="81" t="n">
        <x:v>-0.029628174187172153</x:v>
      </x:c>
      <x:c r="F1226" s="81" t="n">
        <x:v>0.27385769797256215</x:v>
      </x:c>
      <x:c r="G1226" s="81" t="n">
        <x:v>0.013720185677202387</x:v>
      </x:c>
      <x:c r="H1226" s="59" t="n">
        <x:v>0</x:v>
      </x:c>
      <x:c r="I1226" s="81" t="n">
        <x:v>0</x:v>
      </x:c>
      <x:c r="J1226" s="79" t="n">
        <x:v>3.777196598915121e-24</x:v>
      </x:c>
      <x:c r="K1226" s="81" t="n">
        <x:v>-1</x:v>
      </x:c>
      <x:c r="L1226" s="81" t="n">
        <x:v>-1</x:v>
      </x:c>
      <x:c r="M1226" s="80" t="n">
        <x:v>0.000002</x:v>
      </x:c>
      <x:c r="N1226" s="82" t="n">
        <x:v>0.2996180103818304</x:v>
      </x:c>
      <x:c r="O1226" s="82" t="n">
        <x:v>0.07751108403670222</x:v>
      </x:c>
      <x:c r="P1226" s="80" t="n">
        <x:v>1925.75105041467</x:v>
      </x:c>
      <x:c r="Q1226" s="81" t="n">
        <x:v>18586633.67857172</x:v>
      </x:c>
      <x:c r="R1226" s="81" t="n">
        <x:v>2.7476405024941455</x:v>
      </x:c>
      <x:c r="S1226" s="81" t="n">
        <x:v>2.9015936721985025e-10</x:v>
      </x:c>
      <x:c r="T1226" s="81" t="n">
        <x:v>8.182232478055598e-20</x:v>
      </x:c>
    </x:row>
    <x:row r="1227">
      <x:c r="A1227" s="59" t="n">
        <x:v>1224</x:v>
      </x:c>
      <x:c r="B1227" s="193" t="n">
        <x:v>0.58404081761837</x:v>
      </x:c>
      <x:c r="C1227" s="83" t="n">
        <x:v>1.1201266892365216</x:v>
      </x:c>
      <x:c r="D1227" s="83" t="n">
        <x:v>1.3643443621376194</x:v>
      </x:c>
      <x:c r="E1227" s="81" t="n">
        <x:v>-0.0875528860051762</x:v>
      </x:c>
      <x:c r="F1227" s="81" t="n">
        <x:v>0.5304025904741139</x:v>
      </x:c>
      <x:c r="G1227" s="81" t="n">
        <x:v>0.011271138064006968</x:v>
      </x:c>
      <x:c r="H1227" s="59" t="n">
        <x:v>0</x:v>
      </x:c>
      <x:c r="I1227" s="81" t="n">
        <x:v>0</x:v>
      </x:c>
      <x:c r="J1227" s="79" t="n">
        <x:v>1.5501934635329855e-49</x:v>
      </x:c>
      <x:c r="K1227" s="81" t="n">
        <x:v>-1</x:v>
      </x:c>
      <x:c r="L1227" s="81" t="n">
        <x:v>-1</x:v>
      </x:c>
      <x:c r="M1227" s="80" t="n">
        <x:v>0.000002</x:v>
      </x:c>
      <x:c r="N1227" s="82" t="n">
        <x:v>0.24122322352202608</x:v>
      </x:c>
      <x:c r="O1227" s="82" t="n">
        <x:v>0.12086364709694356</x:v>
      </x:c>
      <x:c r="P1227" s="80" t="n">
        <x:v>442.8639663157727</x:v>
      </x:c>
      <x:c r="Q1227" s="81" t="n">
        <x:v>1.6187836848386853e+32</x:v>
      </x:c>
      <x:c r="R1227" s="81" t="n">
        <x:v>1.5465978664177105</x:v>
      </x:c>
      <x:c r="S1227" s="81" t="n">
        <x:v>6.460838910896807e-10</x:v>
      </x:c>
      <x:c r="T1227" s="81" t="n">
        <x:v>3.358057483222392e-45</x:v>
      </x:c>
    </x:row>
    <x:row r="1228">
      <x:c r="A1228" s="59" t="n">
        <x:v>1225</x:v>
      </x:c>
      <x:c r="B1228" s="193" t="n">
        <x:v>0.6028196427971124</x:v>
      </x:c>
      <x:c r="C1228" s="83" t="n">
        <x:v>2.4088600255110464</x:v>
      </x:c>
      <x:c r="D1228" s="83" t="n">
        <x:v>1.0076531149112091</x:v>
      </x:c>
      <x:c r="E1228" s="81" t="n">
        <x:v>0.022027747208714716</x:v>
      </x:c>
      <x:c r="F1228" s="81" t="n">
        <x:v>0.4592968826531433</x:v>
      </x:c>
      <x:c r="G1228" s="81" t="n">
        <x:v>-0.016903712752988312</x:v>
      </x:c>
      <x:c r="H1228" s="59" t="n">
        <x:v>34</x:v>
      </x:c>
      <x:c r="I1228" s="81" t="n">
        <x:v>0.2713052504695952</x:v>
      </x:c>
      <x:c r="J1228" s="79" t="n">
        <x:v>0.0014527790196194605</x:v>
      </x:c>
      <x:c r="K1228" s="81" t="n">
        <x:v>0.6603188795650978</x:v>
      </x:c>
      <x:c r="L1228" s="81" t="n">
        <x:v>-0.5336757327412962</x:v>
      </x:c>
      <x:c r="M1228" s="80" t="n">
        <x:v>23867.308156617804</x:v>
      </x:c>
      <x:c r="N1228" s="82" t="n">
        <x:v>0.24569669178257456</x:v>
      </x:c>
      <x:c r="O1228" s="82" t="n">
        <x:v>0.10660160623296895</x:v>
      </x:c>
      <x:c r="P1228" s="80" t="n">
        <x:v>46908.73507473051</x:v>
      </x:c>
      <x:c r="Q1228" s="81" t="n">
        <x:v>0.010721481584986158</x:v>
      </x:c>
      <x:c r="R1228" s="81" t="n">
        <x:v>21.93411077907423</x:v>
      </x:c>
      <x:c r="S1228" s="81" t="n">
        <x:v>13.761460036592638</x:v>
      </x:c>
      <x:c r="T1228" s="81" t="n">
        <x:v>31.470365299974787</x:v>
      </x:c>
    </x:row>
    <x:row r="1229">
      <x:c r="A1229" s="59" t="n">
        <x:v>1226</x:v>
      </x:c>
      <x:c r="B1229" s="193" t="n">
        <x:v>0.9675180928781628</x:v>
      </x:c>
      <x:c r="C1229" s="83" t="n">
        <x:v>0.2404880598701115</x:v>
      </x:c>
      <x:c r="D1229" s="83" t="n">
        <x:v>1.0328752881196186</x:v>
      </x:c>
      <x:c r="E1229" s="81" t="n">
        <x:v>-0.05126127013191429</x:v>
      </x:c>
      <x:c r="F1229" s="81" t="n">
        <x:v>0.6259983398485929</x:v>
      </x:c>
      <x:c r="G1229" s="81" t="n">
        <x:v>-0.0020454799395471087</x:v>
      </x:c>
      <x:c r="H1229" s="59" t="n">
        <x:v>0</x:v>
      </x:c>
      <x:c r="I1229" s="81" t="n">
        <x:v>0</x:v>
      </x:c>
      <x:c r="J1229" s="79" t="n">
        <x:v>3.5150281505589464e-29</x:v>
      </x:c>
      <x:c r="K1229" s="81" t="n">
        <x:v>-1</x:v>
      </x:c>
      <x:c r="L1229" s="81" t="n">
        <x:v>-1</x:v>
      </x:c>
      <x:c r="M1229" s="80" t="n">
        <x:v>0.000002</x:v>
      </x:c>
      <x:c r="N1229" s="82" t="n">
        <x:v>0.3325747006878199</x:v>
      </x:c>
      <x:c r="O1229" s="82" t="n">
        <x:v>0.1966678328648379</x:v>
      </x:c>
      <x:c r="P1229" s="80" t="n">
        <x:v>341.98918564748817</x:v>
      </x:c>
      <x:c r="Q1229" s="81" t="n">
        <x:v>1178656608507.7114</x:v>
      </x:c>
      <x:c r="R1229" s="81" t="n">
        <x:v>9.997757560834708</x:v>
      </x:c>
      <x:c r="S1229" s="81" t="n">
        <x:v>7.114431317880808e-10</x:v>
      </x:c>
      <x:c r="T1229" s="81" t="n">
        <x:v>7.614318381797688e-25</x:v>
      </x:c>
    </x:row>
    <x:row r="1230">
      <x:c r="A1230" s="59" t="n">
        <x:v>1227</x:v>
      </x:c>
      <x:c r="B1230" s="193" t="n">
        <x:v>0.6414635021239519</x:v>
      </x:c>
      <x:c r="C1230" s="83" t="n">
        <x:v>0.5715499627172861</x:v>
      </x:c>
      <x:c r="D1230" s="83" t="n">
        <x:v>0.3114511054852339</x:v>
      </x:c>
      <x:c r="E1230" s="81" t="n">
        <x:v>0.03696689870759403</x:v>
      </x:c>
      <x:c r="F1230" s="81" t="n">
        <x:v>0.39028721302747726</x:v>
      </x:c>
      <x:c r="G1230" s="81" t="n">
        <x:v>0.05644222395374298</x:v>
      </x:c>
      <x:c r="H1230" s="59" t="n">
        <x:v>0</x:v>
      </x:c>
      <x:c r="I1230" s="81" t="n">
        <x:v>0</x:v>
      </x:c>
      <x:c r="J1230" s="79" t="n">
        <x:v>0.0005271755756519694</x:v>
      </x:c>
      <x:c r="K1230" s="81" t="n">
        <x:v>-0.3975136278263206</x:v>
      </x:c>
      <x:c r="L1230" s="81" t="n">
        <x:v>-0.8123965031863392</x:v>
      </x:c>
      <x:c r="M1230" s="80" t="n">
        <x:v>6540.987858805431</x:v>
      </x:c>
      <x:c r="N1230" s="82" t="n">
        <x:v>0.25490238364659024</x:v>
      </x:c>
      <x:c r="O1230" s="82" t="n">
        <x:v>0.09397864115855384</x:v>
      </x:c>
      <x:c r="P1230" s="80" t="n">
        <x:v>4994.652766036909</x:v>
      </x:c>
      <x:c r="Q1230" s="81" t="n">
        <x:v>0.0054055119564000885</x:v>
      </x:c>
      <x:c r="R1230" s="81" t="n">
        <x:v>34.222017735785194</x:v>
      </x:c>
      <x:c r="S1230" s="81" t="n">
        <x:v>18.266874042603504</x:v>
      </x:c>
      <x:c r="T1230" s="81" t="n">
        <x:v>11.419773908448683</x:v>
      </x:c>
    </x:row>
    <x:row r="1231">
      <x:c r="A1231" s="59" t="n">
        <x:v>1228</x:v>
      </x:c>
      <x:c r="B1231" s="193" t="n">
        <x:v>0.4512205557897687</x:v>
      </x:c>
      <x:c r="C1231" s="83" t="n">
        <x:v>2.403038107785488</x:v>
      </x:c>
      <x:c r="D1231" s="83" t="n">
        <x:v>0.8289210393752313</x:v>
      </x:c>
      <x:c r="E1231" s="81" t="n">
        <x:v>0.016737873989603653</x:v>
      </x:c>
      <x:c r="F1231" s="81" t="n">
        <x:v>0.5576650699134916</x:v>
      </x:c>
      <x:c r="G1231" s="81" t="n">
        <x:v>0.003746775832625929</x:v>
      </x:c>
      <x:c r="H1231" s="59" t="n">
        <x:v>54</x:v>
      </x:c>
      <x:c r="I1231" s="81" t="n">
        <x:v>0.49058801867067814</x:v>
      </x:c>
      <x:c r="J1231" s="79" t="n">
        <x:v>0.0008077854289226911</x:v>
      </x:c>
      <x:c r="K1231" s="81" t="n">
        <x:v>-0.07681665265978155</x:v>
      </x:c>
      <x:c r="L1231" s="81" t="n">
        <x:v>-0.6353506253494118</x:v>
      </x:c>
      <x:c r="M1231" s="80" t="n">
        <x:v>17362.83957042099</x:v>
      </x:c>
      <x:c r="N1231" s="82" t="n">
        <x:v>0.20958294677454378</x:v>
      </x:c>
      <x:c r="O1231" s="82" t="n">
        <x:v>0.11040794509789614</x:v>
      </x:c>
      <x:c r="P1231" s="80" t="n">
        <x:v>30009.759120529976</x:v>
      </x:c>
      <x:c r="Q1231" s="81" t="n">
        <x:v>0.014259174995834624</x:v>
      </x:c>
      <x:c r="R1231" s="81" t="n">
        <x:v>14.101622177275683</x:v>
      </x:c>
      <x:c r="S1231" s="81" t="n">
        <x:v>8.208862088118135</x:v>
      </x:c>
      <x:c r="T1231" s="81" t="n">
        <x:v>17.49839596310576</x:v>
      </x:c>
    </x:row>
    <x:row r="1232">
      <x:c r="A1232" s="59" t="n">
        <x:v>1229</x:v>
      </x:c>
      <x:c r="B1232" s="193" t="n">
        <x:v>0.7532572343945503</x:v>
      </x:c>
      <x:c r="C1232" s="83" t="n">
        <x:v>0.5249963937740207</x:v>
      </x:c>
      <x:c r="D1232" s="83" t="n">
        <x:v>1.8533123954734219</x:v>
      </x:c>
      <x:c r="E1232" s="81" t="n">
        <x:v>-0.08856453295335882</x:v>
      </x:c>
      <x:c r="F1232" s="81" t="n">
        <x:v>0.6611205064575187</x:v>
      </x:c>
      <x:c r="G1232" s="81" t="n">
        <x:v>-0.05</x:v>
      </x:c>
      <x:c r="H1232" s="59" t="n">
        <x:v>0</x:v>
      </x:c>
      <x:c r="I1232" s="81" t="n">
        <x:v>0</x:v>
      </x:c>
      <x:c r="J1232" s="79" t="n">
        <x:v>8.56835808607528e-48</x:v>
      </x:c>
      <x:c r="K1232" s="81" t="n">
        <x:v>-1</x:v>
      </x:c>
      <x:c r="L1232" s="81" t="n">
        <x:v>-1</x:v>
      </x:c>
      <x:c r="M1232" s="80" t="n">
        <x:v>0.000002</x:v>
      </x:c>
      <x:c r="N1232" s="82" t="n">
        <x:v>0.28153374680592663</x:v>
      </x:c>
      <x:c r="O1232" s="82" t="n">
        <x:v>0.17582556847564398</x:v>
      </x:c>
      <x:c r="P1232" s="80" t="n">
        <x:v>333.92819139959374</x:v>
      </x:c>
      <x:c r="Q1232" s="81" t="n">
        <x:v>2.89795432690632e+30</x:v>
      </x:c>
      <x:c r="R1232" s="81" t="n">
        <x:v>2.0552773961759754</x:v>
      </x:c>
      <x:c r="S1232" s="81" t="n">
        <x:v>5.703670795118702e-10</x:v>
      </x:c>
      <x:c r="T1232" s="81" t="n">
        <x:v>1.856093427480895e-43</x:v>
      </x:c>
    </x:row>
    <x:row r="1233">
      <x:c r="A1233" s="59" t="n">
        <x:v>1230</x:v>
      </x:c>
      <x:c r="B1233" s="193" t="n">
        <x:v>0.28486380670219663</x:v>
      </x:c>
      <x:c r="C1233" s="83" t="n">
        <x:v>0.17406845745151667</x:v>
      </x:c>
      <x:c r="D1233" s="83" t="n">
        <x:v>1.5161298277948996</x:v>
      </x:c>
      <x:c r="E1233" s="81" t="n">
        <x:v>-0.13051398744921727</x:v>
      </x:c>
      <x:c r="F1233" s="81" t="n">
        <x:v>0.7297180979163387</x:v>
      </x:c>
      <x:c r="G1233" s="81" t="n">
        <x:v>0.016696658038109453</x:v>
      </x:c>
      <x:c r="H1233" s="59" t="n">
        <x:v>0</x:v>
      </x:c>
      <x:c r="I1233" s="81" t="n">
        <x:v>0</x:v>
      </x:c>
      <x:c r="J1233" s="79" t="n">
        <x:v>1.049951148337032e-70</x:v>
      </x:c>
      <x:c r="K1233" s="81" t="n">
        <x:v>-1</x:v>
      </x:c>
      <x:c r="L1233" s="81" t="n">
        <x:v>-1</x:v>
      </x:c>
      <x:c r="M1233" s="80" t="n">
        <x:v>0.000002</x:v>
      </x:c>
      <x:c r="N1233" s="82" t="n">
        <x:v>0.1699536499528389</x:v>
      </x:c>
      <x:c r="O1233" s="82" t="n">
        <x:v>0.11715384729964859</x:v>
      </x:c>
      <x:c r="P1233" s="80" t="n">
        <x:v>185.8466581124685</x:v>
      </x:c>
      <x:c r="Q1233" s="81" t="n">
        <x:v>1.6666507031800259e+53</x:v>
      </x:c>
      <x:c r="R1233" s="81" t="n">
        <x:v>4.136586107812117</x:v>
      </x:c>
      <x:c r="S1233" s="81" t="n">
        <x:v>1.383701448902307e-9</x:v>
      </x:c>
      <x:c r="T1233" s="81" t="n">
        <x:v>2.2744234146463305e-66</x:v>
      </x:c>
    </x:row>
    <x:row r="1234">
      <x:c r="A1234" s="59" t="n">
        <x:v>1231</x:v>
      </x:c>
      <x:c r="B1234" s="193" t="n">
        <x:v>0.6716580929234623</x:v>
      </x:c>
      <x:c r="C1234" s="83" t="n">
        <x:v>2.7427703041921685</x:v>
      </x:c>
      <x:c r="D1234" s="83" t="n">
        <x:v>0.886142829764613</x:v>
      </x:c>
      <x:c r="E1234" s="81" t="n">
        <x:v>-0.13091912966134595</x:v>
      </x:c>
      <x:c r="F1234" s="81" t="n">
        <x:v>0.4483352454961278</x:v>
      </x:c>
      <x:c r="G1234" s="81" t="n">
        <x:v>-0.019170569217424424</x:v>
      </x:c>
      <x:c r="H1234" s="59" t="n">
        <x:v>0</x:v>
      </x:c>
      <x:c r="I1234" s="81" t="n">
        <x:v>0</x:v>
      </x:c>
      <x:c r="J1234" s="79" t="n">
        <x:v>1.974199737070464e-43</x:v>
      </x:c>
      <x:c r="K1234" s="81" t="n">
        <x:v>-1</x:v>
      </x:c>
      <x:c r="L1234" s="81" t="n">
        <x:v>-1</x:v>
      </x:c>
      <x:c r="M1234" s="80" t="n">
        <x:v>0.000002</x:v>
      </x:c>
      <x:c r="N1234" s="82" t="n">
        <x:v>0.2620953013236109</x:v>
      </x:c>
      <x:c r="O1234" s="82" t="n">
        <x:v>0.11100257640399372</x:v>
      </x:c>
      <x:c r="P1234" s="80" t="n">
        <x:v>525.6243100187851</x:v>
      </x:c>
      <x:c r="Q1234" s="81" t="n">
        <x:v>8.83959061463585e+25</x:v>
      </x:c>
      <x:c r="R1234" s="81" t="n">
        <x:v>0.7905366179301484</x:v>
      </x:c>
      <x:c r="S1234" s="81" t="n">
        <x:v>1.638835788694014e-10</x:v>
      </x:c>
      <x:c r="T1234" s="81" t="n">
        <x:v>4.276547641567376e-39</x:v>
      </x:c>
    </x:row>
    <x:row r="1235">
      <x:c r="A1235" s="59" t="n">
        <x:v>1232</x:v>
      </x:c>
      <x:c r="B1235" s="193" t="n">
        <x:v>0.7225781787186862</x:v>
      </x:c>
      <x:c r="C1235" s="83" t="n">
        <x:v>1.8177528978146769</x:v>
      </x:c>
      <x:c r="D1235" s="83" t="n">
        <x:v>0.38964354957669445</x:v>
      </x:c>
      <x:c r="E1235" s="81" t="n">
        <x:v>-0.03834732550339314</x:v>
      </x:c>
      <x:c r="F1235" s="81" t="n">
        <x:v>0.3246505843475461</x:v>
      </x:c>
      <x:c r="G1235" s="81" t="n">
        <x:v>0.013222722486365203</x:v>
      </x:c>
      <x:c r="H1235" s="59" t="n">
        <x:v>0</x:v>
      </x:c>
      <x:c r="I1235" s="81" t="n">
        <x:v>0</x:v>
      </x:c>
      <x:c r="J1235" s="79" t="n">
        <x:v>2.970202994128479e-14</x:v>
      </x:c>
      <x:c r="K1235" s="81" t="n">
        <x:v>-0.9999999999660548</x:v>
      </x:c>
      <x:c r="L1235" s="81" t="n">
        <x:v>-0.9999999999660548</x:v>
      </x:c>
      <x:c r="M1235" s="80" t="n">
        <x:v>0.08506584428025343</x:v>
      </x:c>
      <x:c r="N1235" s="82" t="n">
        <x:v>0.27422542051164217</x:v>
      </x:c>
      <x:c r="O1235" s="82" t="n">
        <x:v>0.08409977654727174</x:v>
      </x:c>
      <x:c r="P1235" s="80" t="n">
        <x:v>956.6737233983293</x:v>
      </x:c>
      <x:c r="Q1235" s="81" t="n">
        <x:v>78.32772089212757</x:v>
      </x:c>
      <x:c r="R1235" s="81" t="n">
        <x:v>4.681674866472916</x:v>
      </x:c>
      <x:c r="S1235" s="81" t="n">
        <x:v>0.0000062552462235878675</x:v>
      </x:c>
      <x:c r="T1235" s="81" t="n">
        <x:v>6.43410814569627e-10</x:v>
      </x:c>
    </x:row>
    <x:row r="1236">
      <x:c r="A1236" s="59" t="n">
        <x:v>1233</x:v>
      </x:c>
      <x:c r="B1236" s="193" t="n">
        <x:v>0.24222420863807204</x:v>
      </x:c>
      <x:c r="C1236" s="83" t="n">
        <x:v>0.269068925931827</x:v>
      </x:c>
      <x:c r="D1236" s="83" t="n">
        <x:v>1.920173064272328</x:v>
      </x:c>
      <x:c r="E1236" s="81" t="n">
        <x:v>0.0250845878350587</x:v>
      </x:c>
      <x:c r="F1236" s="81" t="n">
        <x:v>0.2702484396286309</x:v>
      </x:c>
      <x:c r="G1236" s="81" t="n">
        <x:v>0.029555185046416008</x:v>
      </x:c>
      <x:c r="H1236" s="59" t="n">
        <x:v>0</x:v>
      </x:c>
      <x:c r="I1236" s="81" t="n">
        <x:v>0</x:v>
      </x:c>
      <x:c r="J1236" s="79" t="n">
        <x:v>0.02136947325948259</x:v>
      </x:c>
      <x:c r="K1236" s="81" t="n">
        <x:v>23.422255153694394</x:v>
      </x:c>
      <x:c r="L1236" s="81" t="n">
        <x:v>-0.5086357655940914</x:v>
      </x:c>
      <x:c r="M1236" s="80" t="n">
        <x:v>39137.02031815806</x:v>
      </x:c>
      <x:c r="N1236" s="82" t="n">
        <x:v>0.1597960982015008</x:v>
      </x:c>
      <x:c r="O1236" s="82" t="n">
        <x:v>0.04079437724621224</x:v>
      </x:c>
      <x:c r="P1236" s="80" t="n">
        <x:v>135023.82906343395</x:v>
      </x:c>
      <x:c r="Q1236" s="81" t="n">
        <x:v>0.003978106458759418</x:v>
      </x:c>
      <x:c r="R1236" s="81" t="n">
        <x:v>632.9518219760255</x:v>
      </x:c>
      <x:c r="S1236" s="81" t="n">
        <x:v>1512.301451102758</x:v>
      </x:c>
      <x:c r="T1236" s="81" t="n">
        <x:v>462.9094450442405</x:v>
      </x:c>
    </x:row>
    <x:row r="1237">
      <x:c r="A1237" s="59" t="n">
        <x:v>1234</x:v>
      </x:c>
      <x:c r="B1237" s="193" t="n">
        <x:v>0.20117857642471793</x:v>
      </x:c>
      <x:c r="C1237" s="83" t="n">
        <x:v>0.5145063971923396</x:v>
      </x:c>
      <x:c r="D1237" s="83" t="n">
        <x:v>0.5838677086382943</x:v>
      </x:c>
      <x:c r="E1237" s="81" t="n">
        <x:v>-0.1154837219870711</x:v>
      </x:c>
      <x:c r="F1237" s="81" t="n">
        <x:v>0.48145425681723286</x:v>
      </x:c>
      <x:c r="G1237" s="81" t="n">
        <x:v>0.04663434918587704</x:v>
      </x:c>
      <x:c r="H1237" s="59" t="n">
        <x:v>0</x:v>
      </x:c>
      <x:c r="I1237" s="81" t="n">
        <x:v>0</x:v>
      </x:c>
      <x:c r="J1237" s="79" t="n">
        <x:v>1.4921098670520912e-39</x:v>
      </x:c>
      <x:c r="K1237" s="81" t="n">
        <x:v>-1</x:v>
      </x:c>
      <x:c r="L1237" s="81" t="n">
        <x:v>-1</x:v>
      </x:c>
      <x:c r="M1237" s="80" t="n">
        <x:v>0.000002</x:v>
      </x:c>
      <x:c r="N1237" s="82" t="n">
        <x:v>0.15001825900267576</x:v>
      </x:c>
      <x:c r="O1237" s="82" t="n">
        <x:v>0.06822917088805049</x:v>
      </x:c>
      <x:c r="P1237" s="80" t="n">
        <x:v>217.2872782469703</x:v>
      </x:c>
      <x:c r="Q1237" s="81" t="n">
        <x:v>1.3077853358672522e+22</x:v>
      </x:c>
      <x:c r="R1237" s="81" t="n">
        <x:v>4.444758435512251</x:v>
      </x:c>
      <x:c r="S1237" s="81" t="n">
        <x:v>5.880123102591014e-10</x:v>
      </x:c>
      <x:c r="T1237" s="81" t="n">
        <x:v>3.232235732322598e-35</x:v>
      </x:c>
    </x:row>
    <x:row r="1238">
      <x:c r="A1238" s="59" t="n">
        <x:v>1235</x:v>
      </x:c>
      <x:c r="B1238" s="193" t="n">
        <x:v>0.5701562162488699</x:v>
      </x:c>
      <x:c r="C1238" s="83" t="n">
        <x:v>0.19328654155699232</x:v>
      </x:c>
      <x:c r="D1238" s="83" t="n">
        <x:v>1.0767293272641358</x:v>
      </x:c>
      <x:c r="E1238" s="81" t="n">
        <x:v>0.021445786286263174</x:v>
      </x:c>
      <x:c r="F1238" s="81" t="n">
        <x:v>0.27943110540509225</x:v>
      </x:c>
      <x:c r="G1238" s="81" t="n">
        <x:v>0.015037130557324205</x:v>
      </x:c>
      <x:c r="H1238" s="59" t="n">
        <x:v>30</x:v>
      </x:c>
      <x:c r="I1238" s="81" t="n">
        <x:v>0.38384480001404886</x:v>
      </x:c>
      <x:c r="J1238" s="79" t="n">
        <x:v>0.0011693303099953368</x:v>
      </x:c>
      <x:c r="K1238" s="81" t="n">
        <x:v>0.33637749713752796</x:v>
      </x:c>
      <x:c r="L1238" s="81" t="n">
        <x:v>-0.7888167107478081</x:v>
      </x:c>
      <x:c r="M1238" s="80" t="n">
        <x:v>7654.018686026781</x:v>
      </x:c>
      <x:c r="N1238" s="82" t="n">
        <x:v>0.2379156511395354</x:v>
      </x:c>
      <x:c r="O1238" s="82" t="n">
        <x:v>0.06280131006419525</x:v>
      </x:c>
      <x:c r="P1238" s="80" t="n">
        <x:v>16235.594302934522</x:v>
      </x:c>
      <x:c r="Q1238" s="81" t="n">
        <x:v>0.006634601807715542</x:v>
      </x:c>
      <x:c r="R1238" s="81" t="n">
        <x:v>177.60977163396043</x:v>
      </x:c>
      <x:c r="S1238" s="81" t="n">
        <x:v>116.02194304254587</x:v>
      </x:c>
      <x:c r="T1238" s="81" t="n">
        <x:v>25.330247418857397</x:v>
      </x:c>
    </x:row>
    <x:row r="1239">
      <x:c r="A1239" s="59" t="n">
        <x:v>1236</x:v>
      </x:c>
      <x:c r="B1239" s="193" t="n">
        <x:v>0.415383268147707</x:v>
      </x:c>
      <x:c r="C1239" s="83" t="n">
        <x:v>0.20453595206511838</x:v>
      </x:c>
      <x:c r="D1239" s="83" t="n">
        <x:v>0.6962855386622401</x:v>
      </x:c>
      <x:c r="E1239" s="81" t="n">
        <x:v>-0.1368827969935319</x:v>
      </x:c>
      <x:c r="F1239" s="81" t="n">
        <x:v>0.876034877775237</x:v>
      </x:c>
      <x:c r="G1239" s="81" t="n">
        <x:v>-0.049286371833295366</x:v>
      </x:c>
      <x:c r="H1239" s="59" t="n">
        <x:v>0</x:v>
      </x:c>
      <x:c r="I1239" s="81" t="n">
        <x:v>0</x:v>
      </x:c>
      <x:c r="J1239" s="79" t="n">
        <x:v>2.5375757361391113e-34</x:v>
      </x:c>
      <x:c r="K1239" s="81" t="n">
        <x:v>-1</x:v>
      </x:c>
      <x:c r="L1239" s="81" t="n">
        <x:v>-1</x:v>
      </x:c>
      <x:c r="M1239" s="80" t="n">
        <x:v>0.000002</x:v>
      </x:c>
      <x:c r="N1239" s="82" t="n">
        <x:v>0.20104583290906144</x:v>
      </x:c>
      <x:c r="O1239" s="82" t="n">
        <x:v>0.16637474961933743</x:v>
      </x:c>
      <x:c r="P1239" s="80" t="n">
        <x:v>147.63310826887613</x:v>
      </x:c>
      <x:c r="Q1239" s="81" t="n">
        <x:v>66121487056191736</x:v>
      </x:c>
      <x:c r="R1239" s="81" t="n">
        <x:v>7.003435004811157</x:v>
      </x:c>
      <x:c r="S1239" s="81" t="n">
        <x:v>2.7378519977138947e-10</x:v>
      </x:c>
      <x:c r="T1239" s="81" t="n">
        <x:v>5.496943052878635e-30</x:v>
      </x:c>
    </x:row>
    <x:row r="1240">
      <x:c r="A1240" s="59" t="n">
        <x:v>1237</x:v>
      </x:c>
      <x:c r="B1240" s="193" t="n">
        <x:v>0.5644447969272732</x:v>
      </x:c>
      <x:c r="C1240" s="83" t="n">
        <x:v>0.24606638398903033</x:v>
      </x:c>
      <x:c r="D1240" s="83" t="n">
        <x:v>0.37349557402215977</x:v>
      </x:c>
      <x:c r="E1240" s="81" t="n">
        <x:v>0.07045575294635226</x:v>
      </x:c>
      <x:c r="F1240" s="81" t="n">
        <x:v>0.41935286960797385</x:v>
      </x:c>
      <x:c r="G1240" s="81" t="n">
        <x:v>-0.034042414268825094</x:v>
      </x:c>
      <x:c r="H1240" s="59" t="n">
        <x:v>0</x:v>
      </x:c>
      <x:c r="I1240" s="81" t="n">
        <x:v>0</x:v>
      </x:c>
      <x:c r="J1240" s="79" t="n">
        <x:v>0.0002423300343426752</x:v>
      </x:c>
      <x:c r="K1240" s="81" t="n">
        <x:v>-0.7230513893226569</x:v>
      </x:c>
      <x:c r="L1240" s="81" t="n">
        <x:v>-0.8411953918484971</x:v>
      </x:c>
      <x:c r="M1240" s="80" t="n">
        <x:v>3593.162453764476</x:v>
      </x:c>
      <x:c r="N1240" s="82" t="n">
        <x:v>0.23655508396801878</x:v>
      </x:c>
      <x:c r="O1240" s="82" t="n">
        <x:v>0.09370933312543636</x:v>
      </x:c>
      <x:c r="P1240" s="80" t="n">
        <x:v>3108.406435133684</x:v>
      </x:c>
      <x:c r="Q1240" s="81" t="n">
        <x:v>0.0028772421010379453</x:v>
      </x:c>
      <x:c r="R1240" s="81" t="n">
        <x:v>122.54837231841692</x:v>
      </x:c>
      <x:c r="S1240" s="81" t="n">
        <x:v>18.61653792424335</x:v>
      </x:c>
      <x:c r="T1240" s="81" t="n">
        <x:v>5.249397603440769</x:v>
      </x:c>
    </x:row>
    <x:row r="1241">
      <x:c r="A1241" s="59" t="n">
        <x:v>1238</x:v>
      </x:c>
      <x:c r="B1241" s="193" t="n">
        <x:v>0.7778493965044617</x:v>
      </x:c>
      <x:c r="C1241" s="83" t="n">
        <x:v>1.4045876745358838</x:v>
      </x:c>
      <x:c r="D1241" s="83" t="n">
        <x:v>0.9384708052433784</x:v>
      </x:c>
      <x:c r="E1241" s="81" t="n">
        <x:v>0.037068750065290236</x:v>
      </x:c>
      <x:c r="F1241" s="81" t="n">
        <x:v>0.5269633814459667</x:v>
      </x:c>
      <x:c r="G1241" s="81" t="n">
        <x:v>-0.011549725529033205</x:v>
      </x:c>
      <x:c r="H1241" s="59" t="n">
        <x:v>0</x:v>
      </x:c>
      <x:c r="I1241" s="81" t="n">
        <x:v>0</x:v>
      </x:c>
      <x:c r="J1241" s="79" t="n">
        <x:v>0.0011782144341670388</x:v>
      </x:c>
      <x:c r="K1241" s="81" t="n">
        <x:v>0.34653078190518727</x:v>
      </x:c>
      <x:c r="L1241" s="81" t="n">
        <x:v>-0.6894239222209113</x:v>
      </x:c>
      <x:c r="M1241" s="80" t="n">
        <x:v>15927.386562119036</x:v>
      </x:c>
      <x:c r="N1241" s="82" t="n">
        <x:v>0.28739206092354724</x:v>
      </x:c>
      <x:c r="O1241" s="82" t="n">
        <x:v>0.14306261063320092</x:v>
      </x:c>
      <x:c r="P1241" s="80" t="n">
        <x:v>29510.686969424998</x:v>
      </x:c>
      <x:c r="Q1241" s="81" t="n">
        <x:v>0.008586775867705424</x:v>
      </x:c>
      <x:c r="R1241" s="81" t="n">
        <x:v>40.14648746496168</x:v>
      </x:c>
      <x:c r="S1241" s="81" t="n">
        <x:v>18.018792968758344</x:v>
      </x:c>
      <x:c r="T1241" s="81" t="n">
        <x:v>25.522696944406732</x:v>
      </x:c>
    </x:row>
    <x:row r="1242">
      <x:c r="A1242" s="59" t="n">
        <x:v>1239</x:v>
      </x:c>
      <x:c r="B1242" s="193" t="n">
        <x:v>0.6660508666187526</x:v>
      </x:c>
      <x:c r="C1242" s="83" t="n">
        <x:v>1.025319874456166</x:v>
      </x:c>
      <x:c r="D1242" s="83" t="n">
        <x:v>0.4591714187557744</x:v>
      </x:c>
      <x:c r="E1242" s="81" t="n">
        <x:v>-0.07610338500385778</x:v>
      </x:c>
      <x:c r="F1242" s="81" t="n">
        <x:v>0.37529387756949295</x:v>
      </x:c>
      <x:c r="G1242" s="81" t="n">
        <x:v>0.004568988590295334</x:v>
      </x:c>
      <x:c r="H1242" s="59" t="n">
        <x:v>31</x:v>
      </x:c>
      <x:c r="I1242" s="81" t="n">
        <x:v>0.32169735254719856</x:v>
      </x:c>
      <x:c r="J1242" s="79" t="n">
        <x:v>1.412204803924895e-24</x:v>
      </x:c>
      <x:c r="K1242" s="81" t="n">
        <x:v>-1</x:v>
      </x:c>
      <x:c r="L1242" s="81" t="n">
        <x:v>-1</x:v>
      </x:c>
      <x:c r="M1242" s="80" t="n">
        <x:v>0.000002</x:v>
      </x:c>
      <x:c r="N1242" s="82" t="n">
        <x:v>0.2607595548823361</x:v>
      </x:c>
      <x:c r="O1242" s="82" t="n">
        <x:v>0.0924448351615361</x:v>
      </x:c>
      <x:c r="P1242" s="80" t="n">
        <x:v>392.79875000696853</x:v>
      </x:c>
      <x:c r="Q1242" s="81" t="n">
        <x:v>20227729.618090756</x:v>
      </x:c>
      <x:c r="R1242" s="81" t="n">
        <x:v>4.226319955110465</x:v>
      </x:c>
      <x:c r="S1242" s="81" t="n">
        <x:v>2.0992902892255567e-10</x:v>
      </x:c>
      <x:c r="T1242" s="81" t="n">
        <x:v>3.059143920562466e-20</x:v>
      </x:c>
    </x:row>
    <x:row r="1243">
      <x:c r="A1243" s="59" t="n">
        <x:v>1240</x:v>
      </x:c>
      <x:c r="B1243" s="193" t="n">
        <x:v>0.2751824522390962</x:v>
      </x:c>
      <x:c r="C1243" s="83" t="n">
        <x:v>0.34244469868081434</x:v>
      </x:c>
      <x:c r="D1243" s="83" t="n">
        <x:v>0.745201351604277</x:v>
      </x:c>
      <x:c r="E1243" s="81" t="n">
        <x:v>-0.1430321003420148</x:v>
      </x:c>
      <x:c r="F1243" s="81" t="n">
        <x:v>0.6018007390783169</x:v>
      </x:c>
      <x:c r="G1243" s="81" t="n">
        <x:v>-0.019778642269279917</x:v>
      </x:c>
      <x:c r="H1243" s="59" t="n">
        <x:v>0</x:v>
      </x:c>
      <x:c r="I1243" s="81" t="n">
        <x:v>0</x:v>
      </x:c>
      <x:c r="J1243" s="79" t="n">
        <x:v>1.0437975568668224e-40</x:v>
      </x:c>
      <x:c r="K1243" s="81" t="n">
        <x:v>-1</x:v>
      </x:c>
      <x:c r="L1243" s="81" t="n">
        <x:v>-1</x:v>
      </x:c>
      <x:c r="M1243" s="80" t="n">
        <x:v>0.000002</x:v>
      </x:c>
      <x:c r="N1243" s="82" t="n">
        <x:v>0.16764736979433223</x:v>
      </x:c>
      <x:c r="O1243" s="82" t="n">
        <x:v>0.09530603517017397</x:v>
      </x:c>
      <x:c r="P1243" s="80" t="n">
        <x:v>166.65690307438138</x:v>
      </x:c>
      <x:c r="Q1243" s="81" t="n">
        <x:v>1.5466905643108248e+23</x:v>
      </x:c>
      <x:c r="R1243" s="81" t="n">
        <x:v>4.097930911919574</x:v>
      </x:c>
      <x:c r="S1243" s="81" t="n">
        <x:v>3.8135135559943124e-10</x:v>
      </x:c>
      <x:c r="T1243" s="81" t="n">
        <x:v>2.2610933920579655e-36</x:v>
      </x:c>
    </x:row>
    <x:row r="1244">
      <x:c r="A1244" s="59" t="n">
        <x:v>1241</x:v>
      </x:c>
      <x:c r="B1244" s="193" t="n">
        <x:v>0.3392224544659257</x:v>
      </x:c>
      <x:c r="C1244" s="83" t="n">
        <x:v>2.4149356096339654</x:v>
      </x:c>
      <x:c r="D1244" s="83" t="n">
        <x:v>1.122815544526877</x:v>
      </x:c>
      <x:c r="E1244" s="81" t="n">
        <x:v>-0.06845719699223304</x:v>
      </x:c>
      <x:c r="F1244" s="81" t="n">
        <x:v>0.6667540933005511</x:v>
      </x:c>
      <x:c r="G1244" s="81" t="n">
        <x:v>-0.04695649775897548</x:v>
      </x:c>
      <x:c r="H1244" s="59" t="n">
        <x:v>0</x:v>
      </x:c>
      <x:c r="I1244" s="81" t="n">
        <x:v>0</x:v>
      </x:c>
      <x:c r="J1244" s="79" t="n">
        <x:v>4.2817654874630595e-31</x:v>
      </x:c>
      <x:c r="K1244" s="81" t="n">
        <x:v>-1</x:v>
      </x:c>
      <x:c r="L1244" s="81" t="n">
        <x:v>-1</x:v>
      </x:c>
      <x:c r="M1244" s="80" t="n">
        <x:v>0.000002</x:v>
      </x:c>
      <x:c r="N1244" s="82" t="n">
        <x:v>0.18290289907480486</x:v>
      </x:c>
      <x:c r="O1244" s="82" t="n">
        <x:v>0.11520125801260321</x:v>
      </x:c>
      <x:c r="P1244" s="80" t="n">
        <x:v>847.0673370981216</x:v>
      </x:c>
      <x:c r="Q1244" s="81" t="n">
        <x:v>73639348869630.36</x:v>
      </x:c>
      <x:c r="R1244" s="81" t="n">
        <x:v>1.382138107922011</x:v>
      </x:c>
      <x:c r="S1244" s="81" t="n">
        <x:v>1.6043587511203277e-10</x:v>
      </x:c>
      <x:c r="T1244" s="81" t="n">
        <x:v>9.275238849097853e-27</x:v>
      </x:c>
    </x:row>
    <x:row r="1245">
      <x:c r="A1245" s="59" t="n">
        <x:v>1242</x:v>
      </x:c>
      <x:c r="B1245" s="193" t="n">
        <x:v>0.5772007208317518</x:v>
      </x:c>
      <x:c r="C1245" s="83" t="n">
        <x:v>0.18122383927974522</x:v>
      </x:c>
      <x:c r="D1245" s="83" t="n">
        <x:v>1.966389318622152</x:v>
      </x:c>
      <x:c r="E1245" s="81" t="n">
        <x:v>-0.0540200558520199</x:v>
      </x:c>
      <x:c r="F1245" s="81" t="n">
        <x:v>0.7386506041046232</x:v>
      </x:c>
      <x:c r="G1245" s="81" t="n">
        <x:v>-0.005350287899335749</x:v>
      </x:c>
      <x:c r="H1245" s="59" t="n">
        <x:v>0</x:v>
      </x:c>
      <x:c r="I1245" s="81" t="n">
        <x:v>0</x:v>
      </x:c>
      <x:c r="J1245" s="79" t="n">
        <x:v>7.1489343335904416e-43</x:v>
      </x:c>
      <x:c r="K1245" s="81" t="n">
        <x:v>-1</x:v>
      </x:c>
      <x:c r="L1245" s="81" t="n">
        <x:v>-1</x:v>
      </x:c>
      <x:c r="M1245" s="80" t="n">
        <x:v>0.000002</x:v>
      </x:c>
      <x:c r="N1245" s="82" t="n">
        <x:v>0.23959378421563887</x:v>
      </x:c>
      <x:c r="O1245" s="82" t="n">
        <x:v>0.16718047165960404</x:v>
      </x:c>
      <x:c r="P1245" s="80" t="n">
        <x:v>373.8161050873383</x:v>
      </x:c>
      <x:c r="Q1245" s="81" t="n">
        <x:v>5.513753405276531e+25</x:v>
      </x:c>
      <x:c r="R1245" s="81" t="n">
        <x:v>7.525408440161649</x:v>
      </x:c>
      <x:c r="S1245" s="81" t="n">
        <x:v>1.3661394671313268e-9</x:v>
      </x:c>
      <x:c r="T1245" s="81" t="n">
        <x:v>1.5486152535610953e-38</x:v>
      </x:c>
    </x:row>
    <x:row r="1246">
      <x:c r="A1246" s="59" t="n">
        <x:v>1243</x:v>
      </x:c>
      <x:c r="B1246" s="193" t="n">
        <x:v>0.8540030231699347</x:v>
      </x:c>
      <x:c r="C1246" s="83" t="n">
        <x:v>0.13957818766503124</x:v>
      </x:c>
      <x:c r="D1246" s="83" t="n">
        <x:v>0.4294968084887454</x:v>
      </x:c>
      <x:c r="E1246" s="81" t="n">
        <x:v>-0.15213905601763242</x:v>
      </x:c>
      <x:c r="F1246" s="81" t="n">
        <x:v>0.7308385036536493</x:v>
      </x:c>
      <x:c r="G1246" s="81" t="n">
        <x:v>-0.005820385297814604</x:v>
      </x:c>
      <x:c r="H1246" s="59" t="n">
        <x:v>0</x:v>
      </x:c>
      <x:c r="I1246" s="81" t="n">
        <x:v>0</x:v>
      </x:c>
      <x:c r="J1246" s="79" t="n">
        <x:v>3.5442198285167343e-32</x:v>
      </x:c>
      <x:c r="K1246" s="81" t="n">
        <x:v>-1</x:v>
      </x:c>
      <x:c r="L1246" s="81" t="n">
        <x:v>-1</x:v>
      </x:c>
      <x:c r="M1246" s="80" t="n">
        <x:v>0.000002</x:v>
      </x:c>
      <x:c r="N1246" s="82" t="n">
        <x:v>0.3055332826757629</x:v>
      </x:c>
      <x:c r="O1246" s="82" t="n">
        <x:v>0.2109360881999471</x:v>
      </x:c>
      <x:c r="P1246" s="80" t="n">
        <x:v>112.16999591440153</x:v>
      </x:c>
      <x:c r="Q1246" s="81" t="n">
        <x:v>431656546455141.75</x:v>
      </x:c>
      <x:c r="R1246" s="81" t="n">
        <x:v>13.334087763243925</x:v>
      </x:c>
      <x:c r="S1246" s="81" t="n">
        <x:v>3.075216109024433e-10</x:v>
      </x:c>
      <x:c r="T1246" s="81" t="n">
        <x:v>7.677553929437374e-28</x:v>
      </x:c>
    </x:row>
    <x:row r="1247">
      <x:c r="A1247" s="59" t="n">
        <x:v>1244</x:v>
      </x:c>
      <x:c r="B1247" s="193" t="n">
        <x:v>0.7096441138535738</x:v>
      </x:c>
      <x:c r="C1247" s="83" t="n">
        <x:v>0.7578336732266806</x:v>
      </x:c>
      <x:c r="D1247" s="83" t="n">
        <x:v>0.365813773608052</x:v>
      </x:c>
      <x:c r="E1247" s="81" t="n">
        <x:v>-0.0681135798148659</x:v>
      </x:c>
      <x:c r="F1247" s="81" t="n">
        <x:v>0.7968954887939618</x:v>
      </x:c>
      <x:c r="G1247" s="81" t="n">
        <x:v>-0.010788569982043491</x:v>
      </x:c>
      <x:c r="H1247" s="59" t="n">
        <x:v>0</x:v>
      </x:c>
      <x:c r="I1247" s="81" t="n">
        <x:v>0</x:v>
      </x:c>
      <x:c r="J1247" s="79" t="n">
        <x:v>7.525049713757946e-19</x:v>
      </x:c>
      <x:c r="K1247" s="81" t="n">
        <x:v>-0.9999999999999991</x:v>
      </x:c>
      <x:c r="L1247" s="81" t="n">
        <x:v>-0.9999999999999991</x:v>
      </x:c>
      <x:c r="M1247" s="80" t="n">
        <x:v>0.0002712220185449367</x:v>
      </x:c>
      <x:c r="N1247" s="82" t="n">
        <x:v>0.27114428374705596</x:v>
      </x:c>
      <x:c r="O1247" s="82" t="n">
        <x:v>0.20411398572336</x:v>
      </x:c>
      <x:c r="P1247" s="80" t="n">
        <x:v>307.5819788623905</x:v>
      </x:c>
      <x:c r="Q1247" s="81" t="n">
        <x:v>5709.0476397579305</x:v>
      </x:c>
      <x:c r="R1247" s="81" t="n">
        <x:v>5.859219263473984</x:v>
      </x:c>
      <x:c r="S1247" s="81" t="n">
        <x:v>2.260208609059475e-8</x:v>
      </x:c>
      <x:c r="T1247" s="81" t="n">
        <x:v>1.630090056328489e-14</x:v>
      </x:c>
    </x:row>
    <x:row r="1248">
      <x:c r="A1248" s="59" t="n">
        <x:v>1245</x:v>
      </x:c>
      <x:c r="B1248" s="193" t="n">
        <x:v>0.6392475333064795</x:v>
      </x:c>
      <x:c r="C1248" s="83" t="n">
        <x:v>0.6734017926247995</x:v>
      </x:c>
      <x:c r="D1248" s="83" t="n">
        <x:v>0.6978693786504215</x:v>
      </x:c>
      <x:c r="E1248" s="81" t="n">
        <x:v>-0.07854616933792845</x:v>
      </x:c>
      <x:c r="F1248" s="81" t="n">
        <x:v>0.39793866948457435</x:v>
      </x:c>
      <x:c r="G1248" s="81" t="n">
        <x:v>0.016663277717102184</x:v>
      </x:c>
      <x:c r="H1248" s="59" t="n">
        <x:v>0</x:v>
      </x:c>
      <x:c r="I1248" s="81" t="n">
        <x:v>0</x:v>
      </x:c>
      <x:c r="J1248" s="79" t="n">
        <x:v>1.391512330802148e-31</x:v>
      </x:c>
      <x:c r="K1248" s="81" t="n">
        <x:v>-1</x:v>
      </x:c>
      <x:c r="L1248" s="81" t="n">
        <x:v>-1</x:v>
      </x:c>
      <x:c r="M1248" s="80" t="n">
        <x:v>0.000002</x:v>
      </x:c>
      <x:c r="N1248" s="82" t="n">
        <x:v>0.2543744983248528</x:v>
      </x:c>
      <x:c r="O1248" s="82" t="n">
        <x:v>0.09562262363840301</x:v>
      </x:c>
      <x:c r="P1248" s="80" t="n">
        <x:v>336.02865229411793</x:v>
      </x:c>
      <x:c r="Q1248" s="81" t="n">
        <x:v>199352402090850.2</x:v>
      </x:c>
      <x:c r="R1248" s="81" t="n">
        <x:v>4.244294237933288</x:v>
      </x:c>
      <x:c r="S1248" s="81" t="n">
        <x:v>4.466834397265334e-10</x:v>
      </x:c>
      <x:c r="T1248" s="81" t="n">
        <x:v>3.0143195061581793e-27</x:v>
      </x:c>
    </x:row>
    <x:row r="1249">
      <x:c r="A1249" s="59" t="n">
        <x:v>1246</x:v>
      </x:c>
      <x:c r="B1249" s="193" t="n">
        <x:v>0.4312920277938247</x:v>
      </x:c>
      <x:c r="C1249" s="83" t="n">
        <x:v>0.10788480220545284</x:v>
      </x:c>
      <x:c r="D1249" s="83" t="n">
        <x:v>0.161558336768112</x:v>
      </x:c>
      <x:c r="E1249" s="81" t="n">
        <x:v>0.002289520024100725</x:v>
      </x:c>
      <x:c r="F1249" s="81" t="n">
        <x:v>0.8904864833690226</x:v>
      </x:c>
      <x:c r="G1249" s="81" t="n">
        <x:v>-0.032952433873573016</x:v>
      </x:c>
      <x:c r="H1249" s="59" t="n">
        <x:v>66</x:v>
      </x:c>
      <x:c r="I1249" s="81" t="n">
        <x:v>0.30950532760471106</x:v>
      </x:c>
      <x:c r="J1249" s="79" t="n">
        <x:v>3.504226255335851e-7</x:v>
      </x:c>
      <x:c r="K1249" s="81" t="n">
        <x:v>-0.9995995169993902</x:v>
      </x:c>
      <x:c r="L1249" s="81" t="n">
        <x:v>-0.9995995169993902</x:v>
      </x:c>
      <x:c r="M1249" s="80" t="n">
        <x:v>112.29990845613393</x:v>
      </x:c>
      <x:c r="N1249" s="82" t="n">
        <x:v>0.20483559774601034</x:v>
      </x:c>
      <x:c r="O1249" s="82" t="n">
        <x:v>0.1723073118632046</x:v>
      </x:c>
      <x:c r="P1249" s="80" t="n">
        <x:v>204.9178124287259</x:v>
      </x:c>
      <x:c r="Q1249" s="81" t="n">
        <x:v>0.01554216664721569</x:v>
      </x:c>
      <x:c r="R1249" s="81" t="n">
        <x:v>68.12512870805732</x:v>
      </x:c>
      <x:c r="S1249" s="81" t="n">
        <x:v>0.06515629096491958</x:v>
      </x:c>
      <x:c r="T1249" s="81" t="n">
        <x:v>0.007590919118453983</x:v>
      </x:c>
    </x:row>
    <x:row r="1250">
      <x:c r="A1250" s="59" t="n">
        <x:v>1247</x:v>
      </x:c>
      <x:c r="B1250" s="193" t="n">
        <x:v>0.7245629156008364</x:v>
      </x:c>
      <x:c r="C1250" s="83" t="n">
        <x:v>1.2747363050837381</x:v>
      </x:c>
      <x:c r="D1250" s="83" t="n">
        <x:v>0.45886786270681273</x:v>
      </x:c>
      <x:c r="E1250" s="81" t="n">
        <x:v>-0.05119778049884772</x:v>
      </x:c>
      <x:c r="F1250" s="81" t="n">
        <x:v>0.44667882373323664</x:v>
      </x:c>
      <x:c r="G1250" s="81" t="n">
        <x:v>-0.012117185681074413</x:v>
      </x:c>
      <x:c r="H1250" s="59" t="n">
        <x:v>69</x:v>
      </x:c>
      <x:c r="I1250" s="81" t="n">
        <x:v>0.2244518761523068</x:v>
      </x:c>
      <x:c r="J1250" s="79" t="n">
        <x:v>1.1915168731910805e-17</x:v>
      </x:c>
      <x:c r="K1250" s="81" t="n">
        <x:v>-0.9999999999999863</x:v>
      </x:c>
      <x:c r="L1250" s="81" t="n">
        <x:v>-0.9999999999999863</x:v>
      </x:c>
      <x:c r="M1250" s="80" t="n">
        <x:v>0.0013910888063483182</x:v>
      </x:c>
      <x:c r="N1250" s="82" t="n">
        <x:v>0.2746982220507868</x:v>
      </x:c>
      <x:c r="O1250" s="82" t="n">
        <x:v>0.11591033317460682</x:v>
      </x:c>
      <x:c r="P1250" s="80" t="n">
        <x:v>597.051118976319</x:v>
      </x:c>
      <x:c r="Q1250" s="81" t="n">
        <x:v>2421.318562600378</x:v>
      </x:c>
      <x:c r="R1250" s="81" t="n">
        <x:v>4.611538746493705</x:v>
      </x:c>
      <x:c r="S1250" s="81" t="n">
        <x:v>1.102162683705504e-7</x:v>
      </x:c>
      <x:c r="T1250" s="81" t="n">
        <x:v>2.581085681580747e-13</x:v>
      </x:c>
    </x:row>
    <x:row r="1251">
      <x:c r="A1251" s="59" t="n">
        <x:v>1248</x:v>
      </x:c>
      <x:c r="B1251" s="193" t="n">
        <x:v>0.7374946877360344</x:v>
      </x:c>
      <x:c r="C1251" s="83" t="n">
        <x:v>0.2566226715549751</x:v>
      </x:c>
      <x:c r="D1251" s="83" t="n">
        <x:v>1.1351062295484386</x:v>
      </x:c>
      <x:c r="E1251" s="81" t="n">
        <x:v>0.17041516591372674</x:v>
      </x:c>
      <x:c r="F1251" s="81" t="n">
        <x:v>0.6509617452742532</x:v>
      </x:c>
      <x:c r="G1251" s="81" t="n">
        <x:v>0.0002491299453901602</x:v>
      </x:c>
      <x:c r="H1251" s="59" t="n">
        <x:v>0</x:v>
      </x:c>
      <x:c r="I1251" s="81" t="n">
        <x:v>0</x:v>
      </x:c>
      <x:c r="J1251" s="79" t="n">
        <x:v>0.014143834818810522</x:v>
      </x:c>
      <x:c r="K1251" s="81" t="n">
        <x:v>15.164382650069168</x:v>
      </x:c>
      <x:c r="L1251" s="81" t="n">
        <x:v>-0.8327519885709962</x:v>
      </x:c>
      <x:c r="M1251" s="80" t="n">
        <x:v>46346.70782197412</x:v>
      </x:c>
      <x:c r="N1251" s="82" t="n">
        <x:v>0.27777881264411863</x:v>
      </x:c>
      <x:c r="O1251" s="82" t="n">
        <x:v>0.17081481164823417</x:v>
      </x:c>
      <x:c r="P1251" s="80" t="n">
        <x:v>73200.01526198324</x:v>
      </x:c>
      <x:c r="Q1251" s="81" t="n">
        <x:v>0.003042983912067142</x:v>
      </x:c>
      <x:c r="R1251" s="81" t="n">
        <x:v>1256.039029919528</x:v>
      </x:c>
      <x:c r="S1251" s="81" t="n">
        <x:v>1043.9168982532562</x:v>
      </x:c>
      <x:c r="T1251" s="81" t="n">
        <x:v>306.38634126686526</x:v>
      </x:c>
    </x:row>
    <x:row r="1252">
      <x:c r="A1252" s="59" t="n">
        <x:v>1249</x:v>
      </x:c>
      <x:c r="B1252" s="193" t="n">
        <x:v>0.520618355460465</x:v>
      </x:c>
      <x:c r="C1252" s="83" t="n">
        <x:v>1.994809640416932</x:v>
      </x:c>
      <x:c r="D1252" s="83" t="n">
        <x:v>1.2502935963339987</x:v>
      </x:c>
      <x:c r="E1252" s="81" t="n">
        <x:v>-0.003212766547124167</x:v>
      </x:c>
      <x:c r="F1252" s="81" t="n">
        <x:v>0.46955115869641306</x:v>
      </x:c>
      <x:c r="G1252" s="81" t="n">
        <x:v>0.020258074782580283</x:v>
      </x:c>
      <x:c r="H1252" s="59" t="n">
        <x:v>0</x:v>
      </x:c>
      <x:c r="I1252" s="81" t="n">
        <x:v>0</x:v>
      </x:c>
      <x:c r="J1252" s="79" t="n">
        <x:v>6.700601228115667e-8</x:v>
      </x:c>
      <x:c r="K1252" s="81" t="n">
        <x:v>-0.9999234217002501</x:v>
      </x:c>
      <x:c r="L1252" s="81" t="n">
        <x:v>-0.9999234217002501</x:v>
      </x:c>
      <x:c r="M1252" s="80" t="n">
        <x:v>132.90500948930946</x:v>
      </x:c>
      <x:c r="N1252" s="82" t="n">
        <x:v>0.2261148038648478</x:v>
      </x:c>
      <x:c r="O1252" s="82" t="n">
        <x:v>0.10029582502940329</x:v>
      </x:c>
      <x:c r="P1252" s="80" t="n">
        <x:v>6828.814894347715</x:v>
      </x:c>
      <x:c r="Q1252" s="81" t="n">
        <x:v>0.5576051327937672</x:v>
      </x:c>
      <x:c r="R1252" s="81" t="n">
        <x:v>7.965628708188189</x:v>
      </x:c>
      <x:c r="S1252" s="81" t="n">
        <x:v>0.031968820003486734</x:v>
      </x:c>
      <x:c r="T1252" s="81" t="n">
        <x:v>0.0014514965148209184</x:v>
      </x:c>
    </x:row>
    <x:row r="1253">
      <x:c r="A1253" s="59" t="n">
        <x:v>1250</x:v>
      </x:c>
      <x:c r="B1253" s="193" t="n">
        <x:v>0.8277426714077591</x:v>
      </x:c>
      <x:c r="C1253" s="83" t="n">
        <x:v>0.654904739837775</x:v>
      </x:c>
      <x:c r="D1253" s="83" t="n">
        <x:v>0.7709060958440954</x:v>
      </x:c>
      <x:c r="E1253" s="81" t="n">
        <x:v>-0.005974254445977719</x:v>
      </x:c>
      <x:c r="F1253" s="81" t="n">
        <x:v>0.8314562449930236</x:v>
      </x:c>
      <x:c r="G1253" s="81" t="n">
        <x:v>0.013817892355415213</x:v>
      </x:c>
      <x:c r="H1253" s="59" t="n">
        <x:v>58</x:v>
      </x:c>
      <x:c r="I1253" s="81" t="n">
        <x:v>0.3809576582163573</x:v>
      </x:c>
      <x:c r="J1253" s="79" t="n">
        <x:v>3.368208460585516e-9</x:v>
      </x:c>
      <x:c r="K1253" s="81" t="n">
        <x:v>-0.9999961506189022</x:v>
      </x:c>
      <x:c r="L1253" s="81" t="n">
        <x:v>-0.9999961506189022</x:v>
      </x:c>
      <x:c r="M1253" s="80" t="n">
        <x:v>16.538309567652767</x:v>
      </x:c>
      <x:c r="N1253" s="82" t="n">
        <x:v>0.29927757450441705</x:v>
      </x:c>
      <x:c r="O1253" s="82" t="n">
        <x:v>0.2350631311824205</x:v>
      </x:c>
      <x:c r="P1253" s="80" t="n">
        <x:v>1152.6818217638865</x:v>
      </x:c>
      <x:c r="Q1253" s="81" t="n">
        <x:v>0.7539281029038364</x:v>
      </x:c>
      <x:c r="R1253" s="81" t="n">
        <x:v>11.141338133298506</x:v>
      </x:c>
      <x:c r="S1253" s="81" t="n">
        <x:v>0.0041276091097200585</x:v>
      </x:c>
      <x:c r="T1253" s="81" t="n">
        <x:v>0.0000729627487935895</x:v>
      </x:c>
    </x:row>
    <x:row r="1254">
      <x:c r="A1254" s="59" t="n">
        <x:v>1251</x:v>
      </x:c>
      <x:c r="B1254" s="193" t="n">
        <x:v>0.49858882222324613</x:v>
      </x:c>
      <x:c r="C1254" s="83" t="n">
        <x:v>2.4047271291308276</x:v>
      </x:c>
      <x:c r="D1254" s="83" t="n">
        <x:v>1.9372105042000372</x:v>
      </x:c>
      <x:c r="E1254" s="81" t="n">
        <x:v>0.1439361660417254</x:v>
      </x:c>
      <x:c r="F1254" s="81" t="n">
        <x:v>0.5988326790626162</x:v>
      </x:c>
      <x:c r="G1254" s="81" t="n">
        <x:v>0.029669226790081323</x:v>
      </x:c>
      <x:c r="H1254" s="59" t="n">
        <x:v>65</x:v>
      </x:c>
      <x:c r="I1254" s="81" t="n">
        <x:v>0.2860533491708338</x:v>
      </x:c>
      <x:c r="J1254" s="79" t="n">
        <x:v>0.8228701848560622</x:v>
      </x:c>
      <x:c r="K1254" s="81" t="n">
        <x:v>939.4230684069283</x:v>
      </x:c>
      <x:c r="L1254" s="81" t="n">
        <x:v>-0.9759585024037678</x:v>
      </x:c>
      <x:c r="M1254" s="80" t="n">
        <x:v>1242046.8502436033</x:v>
      </x:c>
      <x:c r="N1254" s="82" t="n">
        <x:v>0.22086695599399395</x:v>
      </x:c>
      <x:c r="O1254" s="82" t="n">
        <x:v>0.12494163357076496</x:v>
      </x:c>
      <x:c r="P1254" s="80" t="n">
        <x:v>2963950.097238805</x:v>
      </x:c>
      <x:c r="Q1254" s="81" t="n">
        <x:v>0.0032259003773438665</x:v>
      </x:c>
      <x:c r="R1254" s="81" t="n">
        <x:v>2621.8707685758022</x:v>
      </x:c>
      <x:c r="S1254" s="81" t="n">
        <x:v>6827.610984920965</x:v>
      </x:c>
      <x:c r="T1254" s="81" t="n">
        <x:v>17825.164709951034</x:v>
      </x:c>
    </x:row>
    <x:row r="1255">
      <x:c r="A1255" s="59" t="n">
        <x:v>1252</x:v>
      </x:c>
      <x:c r="B1255" s="193" t="n">
        <x:v>0.6355392590165139</x:v>
      </x:c>
      <x:c r="C1255" s="83" t="n">
        <x:v>0.10999999421718734</x:v>
      </x:c>
      <x:c r="D1255" s="83" t="n">
        <x:v>0.6658634589358468</x:v>
      </x:c>
      <x:c r="E1255" s="81" t="n">
        <x:v>-0.15021695861417134</x:v>
      </x:c>
      <x:c r="F1255" s="81" t="n">
        <x:v>0.40517721525393424</x:v>
      </x:c>
      <x:c r="G1255" s="81" t="n">
        <x:v>-0.01982343025072857</x:v>
      </x:c>
      <x:c r="H1255" s="59" t="n">
        <x:v>0</x:v>
      </x:c>
      <x:c r="I1255" s="81" t="n">
        <x:v>0</x:v>
      </x:c>
      <x:c r="J1255" s="79" t="n">
        <x:v>4.450951319639455e-39</x:v>
      </x:c>
      <x:c r="K1255" s="81" t="n">
        <x:v>-1</x:v>
      </x:c>
      <x:c r="L1255" s="81" t="n">
        <x:v>-1</x:v>
      </x:c>
      <x:c r="M1255" s="80" t="n">
        <x:v>0.000002</x:v>
      </x:c>
      <x:c r="N1255" s="82" t="n">
        <x:v>0.2534911178588401</x:v>
      </x:c>
      <x:c r="O1255" s="82" t="n">
        <x:v>0.09702389464044661</x:v>
      </x:c>
      <x:c r="P1255" s="80" t="n">
        <x:v>128.54947302517178</x:v>
      </x:c>
      <x:c r="Q1255" s="81" t="n">
        <x:v>3.475383688139299e+21</x:v>
      </x:c>
      <x:c r="R1255" s="81" t="n">
        <x:v>12.707068364340374</x:v>
      </x:c>
      <x:c r="S1255" s="81" t="n">
        <x:v>4.118782265470236e-10</x:v>
      </x:c>
      <x:c r="T1255" s="81" t="n">
        <x:v>9.641732298567272e-35</x:v>
      </x:c>
    </x:row>
    <x:row r="1256">
      <x:c r="A1256" s="59" t="n">
        <x:v>1253</x:v>
      </x:c>
      <x:c r="B1256" s="193" t="n">
        <x:v>0.8195112382993102</x:v>
      </x:c>
      <x:c r="C1256" s="83" t="n">
        <x:v>0.7117365328326384</x:v>
      </x:c>
      <x:c r="D1256" s="83" t="n">
        <x:v>0.20481934238058763</x:v>
      </x:c>
      <x:c r="E1256" s="81" t="n">
        <x:v>0.07313898088714023</x:v>
      </x:c>
      <x:c r="F1256" s="81" t="n">
        <x:v>0.5440071173361503</x:v>
      </x:c>
      <x:c r="G1256" s="81" t="n">
        <x:v>-0.05</x:v>
      </x:c>
      <x:c r="H1256" s="59" t="n">
        <x:v>0</x:v>
      </x:c>
      <x:c r="I1256" s="81" t="n">
        <x:v>0</x:v>
      </x:c>
      <x:c r="J1256" s="79" t="n">
        <x:v>0.000039203234436188036</x:v>
      </x:c>
      <x:c r="K1256" s="81" t="n">
        <x:v>-0.9551963035014994</x:v>
      </x:c>
      <x:c r="L1256" s="81" t="n">
        <x:v>-0.9572299737155643</x:v>
      </x:c>
      <x:c r="M1256" s="80" t="n">
        <x:v>1908.3306311396263</x:v>
      </x:c>
      <x:c r="N1256" s="82" t="n">
        <x:v>0.2973166927986137</x:v>
      </x:c>
      <x:c r="O1256" s="82" t="n">
        <x:v>0.15278995986485977</x:v>
      </x:c>
      <x:c r="P1256" s="80" t="n">
        <x:v>1179.0628462245108</x:v>
      </x:c>
      <x:c r="Q1256" s="81" t="n">
        <x:v>0.004106555250777506</x:v>
      </x:c>
      <x:c r="R1256" s="81" t="n">
        <x:v>24.275795262722568</x:v>
      </x:c>
      <x:c r="S1256" s="81" t="n">
        <x:v>1.0804521248878554</x:v>
      </x:c>
      <x:c r="T1256" s="81" t="n">
        <x:v>0.8492276471411002</x:v>
      </x:c>
    </x:row>
    <x:row r="1257">
      <x:c r="A1257" s="59" t="n">
        <x:v>1254</x:v>
      </x:c>
      <x:c r="B1257" s="193" t="n">
        <x:v>0.8849727373570204</x:v>
      </x:c>
      <x:c r="C1257" s="83" t="n">
        <x:v>0.8583601267249477</x:v>
      </x:c>
      <x:c r="D1257" s="83" t="n">
        <x:v>0.9042358778992678</x:v>
      </x:c>
      <x:c r="E1257" s="81" t="n">
        <x:v>0.05323725501058663</x:v>
      </x:c>
      <x:c r="F1257" s="81" t="n">
        <x:v>0.46772101580863823</x:v>
      </x:c>
      <x:c r="G1257" s="81" t="n">
        <x:v>-0.008226728116448184</x:v>
      </x:c>
      <x:c r="H1257" s="59" t="n">
        <x:v>0</x:v>
      </x:c>
      <x:c r="I1257" s="81" t="n">
        <x:v>0</x:v>
      </x:c>
      <x:c r="J1257" s="79" t="n">
        <x:v>0.0016448221681397035</x:v>
      </x:c>
      <x:c r="K1257" s="81" t="n">
        <x:v>0.8797967635882329</x:v>
      </x:c>
      <x:c r="L1257" s="81" t="n">
        <x:v>-0.723873783131803</x:v>
      </x:c>
      <x:c r="M1257" s="80" t="n">
        <x:v>15285.114358391962</x:v>
      </x:c>
      <x:c r="N1257" s="82" t="n">
        <x:v>0.3129108492772679</x:v>
      </x:c>
      <x:c r="O1257" s="82" t="n">
        <x:v>0.13825423624250693</x:v>
      </x:c>
      <x:c r="P1257" s="80" t="n">
        <x:v>26238.154711319432</x:v>
      </x:c>
      <x:c r="Q1257" s="81" t="n">
        <x:v>0.006010096352449765</x:v>
      </x:c>
      <x:c r="R1257" s="81" t="n">
        <x:v>82.97079128923725</x:v>
      </x:c>
      <x:c r="S1257" s="81" t="n">
        <x:v>38.66519375004611</x:v>
      </x:c>
      <x:c r="T1257" s="81" t="n">
        <x:v>35.63043916920814</x:v>
      </x:c>
    </x:row>
    <x:row r="1258">
      <x:c r="A1258" s="59" t="n">
        <x:v>1255</x:v>
      </x:c>
      <x:c r="B1258" s="193" t="n">
        <x:v>0.6690639294683933</x:v>
      </x:c>
      <x:c r="C1258" s="83" t="n">
        <x:v>0.11523584125687013</x:v>
      </x:c>
      <x:c r="D1258" s="83" t="n">
        <x:v>0.4975307498304271</x:v>
      </x:c>
      <x:c r="E1258" s="81" t="n">
        <x:v>-0.015143022834099256</x:v>
      </x:c>
      <x:c r="F1258" s="81" t="n">
        <x:v>0.6743442920502276</x:v>
      </x:c>
      <x:c r="G1258" s="81" t="n">
        <x:v>0.028994584095676304</x:v>
      </x:c>
      <x:c r="H1258" s="59" t="n">
        <x:v>47</x:v>
      </x:c>
      <x:c r="I1258" s="81" t="n">
        <x:v>0.4212366695515811</x:v>
      </x:c>
      <x:c r="J1258" s="79" t="n">
        <x:v>2.7021907278854908e-11</x:v>
      </x:c>
      <x:c r="K1258" s="81" t="n">
        <x:v>-0.9999999691178203</x:v>
      </x:c>
      <x:c r="L1258" s="81" t="n">
        <x:v>-0.9999999691178203</x:v>
      </x:c>
      <x:c r="M1258" s="80" t="n">
        <x:v>1.005383580255815</x:v>
      </x:c>
      <x:c r="N1258" s="82" t="n">
        <x:v>0.26147732294804876</x:v>
      </x:c>
      <x:c r="O1258" s="82" t="n">
        <x:v>0.16656611547202152</x:v>
      </x:c>
      <x:c r="P1258" s="80" t="n">
        <x:v>427.3009873596116</x:v>
      </x:c>
      <x:c r="Q1258" s="81" t="n">
        <x:v>2.4967671617906104</x:v>
      </x:c>
      <x:c r="R1258" s="81" t="n">
        <x:v>52.22872651013597</x:v>
      </x:c>
      <x:c r="S1258" s="81" t="n">
        <x:v>0.00028839442248431845</x:v>
      </x:c>
      <x:c r="T1258" s="81" t="n">
        <x:v>5.853535064061993e-7</x:v>
      </x:c>
    </x:row>
    <x:row r="1259">
      <x:c r="A1259" s="59" t="n">
        <x:v>1256</x:v>
      </x:c>
      <x:c r="B1259" s="193" t="n">
        <x:v>0.9141025446355344</x:v>
      </x:c>
      <x:c r="C1259" s="83" t="n">
        <x:v>1.6977906987330549</x:v>
      </x:c>
      <x:c r="D1259" s="83" t="n">
        <x:v>0.5329510656760171</x:v>
      </x:c>
      <x:c r="E1259" s="81" t="n">
        <x:v>0.05795099123608332</x:v>
      </x:c>
      <x:c r="F1259" s="81" t="n">
        <x:v>0.27960042995400725</x:v>
      </x:c>
      <x:c r="G1259" s="81" t="n">
        <x:v>0.0006821261084932116</x:v>
      </x:c>
      <x:c r="H1259" s="59" t="n">
        <x:v>0</x:v>
      </x:c>
      <x:c r="I1259" s="81" t="n">
        <x:v>0</x:v>
      </x:c>
      <x:c r="J1259" s="79" t="n">
        <x:v>0.004385092523643756</x:v>
      </x:c>
      <x:c r="K1259" s="81" t="n">
        <x:v>4.011534312735722</x:v>
      </x:c>
      <x:c r="L1259" s="81" t="n">
        <x:v>-0.47953755477763116</x:v>
      </x:c>
      <x:c r="M1259" s="80" t="n">
        <x:v>34221.33807156934</x:v>
      </x:c>
      <x:c r="N1259" s="82" t="n">
        <x:v>0.31985011555489595</x:v>
      </x:c>
      <x:c r="O1259" s="82" t="n">
        <x:v>0.0844802691261686</x:v>
      </x:c>
      <x:c r="P1259" s="80" t="n">
        <x:v>35363.66959700764</x:v>
      </x:c>
      <x:c r="Q1259" s="81" t="n">
        <x:v>0.003423999481129129</x:v>
      </x:c>
      <x:c r="R1259" s="81" t="n">
        <x:v>44.476000468061926</x:v>
      </x:c>
      <x:c r="S1259" s="81" t="n">
        <x:v>51.09903312842983</x:v>
      </x:c>
      <x:c r="T1259" s="81" t="n">
        <x:v>94.99067768021942</x:v>
      </x:c>
    </x:row>
    <x:row r="1260">
      <x:c r="A1260" s="59" t="n">
        <x:v>1257</x:v>
      </x:c>
      <x:c r="B1260" s="193" t="n">
        <x:v>0.2989539342001081</x:v>
      </x:c>
      <x:c r="C1260" s="83" t="n">
        <x:v>0.15666091921873526</x:v>
      </x:c>
      <x:c r="D1260" s="83" t="n">
        <x:v>0.7908058715843269</x:v>
      </x:c>
      <x:c r="E1260" s="81" t="n">
        <x:v>0.03682419690607062</x:v>
      </x:c>
      <x:c r="F1260" s="81" t="n">
        <x:v>0.7027801410527901</x:v>
      </x:c>
      <x:c r="G1260" s="81" t="n">
        <x:v>-0.007328363564410568</x:v>
      </x:c>
      <x:c r="H1260" s="59" t="n">
        <x:v>11</x:v>
      </x:c>
      <x:c r="I1260" s="81" t="n">
        <x:v>0.43349920818582177</x:v>
      </x:c>
      <x:c r="J1260" s="79" t="n">
        <x:v>0.00031936897580336926</x:v>
      </x:c>
      <x:c r="K1260" s="81" t="n">
        <x:v>-0.6350068847961494</x:v>
      </x:c>
      <x:c r="L1260" s="81" t="n">
        <x:v>-0.8159157083353858</x:v>
      </x:c>
      <x:c r="M1260" s="80" t="n">
        <x:v>3923.311056699673</x:v>
      </x:c>
      <x:c r="N1260" s="82" t="n">
        <x:v>0.17331018251273203</x:v>
      </x:c>
      <x:c r="O1260" s="82" t="n">
        <x:v>0.11505738580831444</x:v>
      </x:c>
      <x:c r="P1260" s="80" t="n">
        <x:v>6279.867581351421</x:v>
      </x:c>
      <x:c r="Q1260" s="81" t="n">
        <x:v>0.006916576987099001</x:v>
      </x:c>
      <x:c r="R1260" s="81" t="n">
        <x:v>97.401908120159</x:v>
      </x:c>
      <x:c r="S1260" s="81" t="n">
        <x:v>38.962309261243306</x:v>
      </x:c>
      <x:c r="T1260" s="81" t="n">
        <x:v>6.918229268373864</x:v>
      </x:c>
    </x:row>
    <x:row r="1261">
      <x:c r="A1261" s="59" t="n">
        <x:v>1258</x:v>
      </x:c>
      <x:c r="B1261" s="193" t="n">
        <x:v>0.6712655983865261</x:v>
      </x:c>
      <x:c r="C1261" s="83" t="n">
        <x:v>1.2821117178995123</x:v>
      </x:c>
      <x:c r="D1261" s="83" t="n">
        <x:v>1.5877483571179114</x:v>
      </x:c>
      <x:c r="E1261" s="81" t="n">
        <x:v>-0.059961462517670434</x:v>
      </x:c>
      <x:c r="F1261" s="81" t="n">
        <x:v>0.800736890162807</x:v>
      </x:c>
      <x:c r="G1261" s="81" t="n">
        <x:v>-0.03867327183708219</x:v>
      </x:c>
      <x:c r="H1261" s="59" t="n">
        <x:v>88</x:v>
      </x:c>
      <x:c r="I1261" s="81" t="n">
        <x:v>0.3476461969316006</x:v>
      </x:c>
      <x:c r="J1261" s="79" t="n">
        <x:v>8.411967001958534e-36</x:v>
      </x:c>
      <x:c r="K1261" s="81" t="n">
        <x:v>-1</x:v>
      </x:c>
      <x:c r="L1261" s="81" t="n">
        <x:v>-1</x:v>
      </x:c>
      <x:c r="M1261" s="80" t="n">
        <x:v>0.000002</x:v>
      </x:c>
      <x:c r="N1261" s="82" t="n">
        <x:v>0.2620018017656401</x:v>
      </x:c>
      <x:c r="O1261" s="82" t="n">
        <x:v>0.19818238785239475</x:v>
      </x:c>
      <x:c r="P1261" s="80" t="n">
        <x:v>650.905318059172</x:v>
      </x:c>
      <x:c r="Q1261" s="81" t="n">
        <x:v>4245365626511632000</x:v>
      </x:c>
      <x:c r="R1261" s="81" t="n">
        <x:v>1.8138231575900028</x:v>
      </x:c>
      <x:c r="S1261" s="81" t="n">
        <x:v>3.771779146114535e-10</x:v>
      </x:c>
      <x:c r="T1261" s="81" t="n">
        <x:v>1.8222157043010667e-31</x:v>
      </x:c>
    </x:row>
    <x:row r="1262">
      <x:c r="A1262" s="59" t="n">
        <x:v>1259</x:v>
      </x:c>
      <x:c r="B1262" s="193" t="n">
        <x:v>0.5822562722489237</x:v>
      </x:c>
      <x:c r="C1262" s="83" t="n">
        <x:v>0.1451072057777468</x:v>
      </x:c>
      <x:c r="D1262" s="83" t="n">
        <x:v>0.8428622805615368</x:v>
      </x:c>
      <x:c r="E1262" s="81" t="n">
        <x:v>-0.054076443740986226</x:v>
      </x:c>
      <x:c r="F1262" s="81" t="n">
        <x:v>0.26309130610898135</x:v>
      </x:c>
      <x:c r="G1262" s="81" t="n">
        <x:v>-0.008069582185325271</x:v>
      </x:c>
      <x:c r="H1262" s="59" t="n">
        <x:v>0</x:v>
      </x:c>
      <x:c r="I1262" s="81" t="n">
        <x:v>0</x:v>
      </x:c>
      <x:c r="J1262" s="79" t="n">
        <x:v>1.7808560564505276e-26</x:v>
      </x:c>
      <x:c r="K1262" s="81" t="n">
        <x:v>-1</x:v>
      </x:c>
      <x:c r="L1262" s="81" t="n">
        <x:v>-1</x:v>
      </x:c>
      <x:c r="M1262" s="80" t="n">
        <x:v>0.000002</x:v>
      </x:c>
      <x:c r="N1262" s="82" t="n">
        <x:v>0.2407981113547983</x:v>
      </x:c>
      <x:c r="O1262" s="82" t="n">
        <x:v>0.059845364317391805</x:v>
      </x:c>
      <x:c r="P1262" s="80" t="n">
        <x:v>324.2348380625099</x:v>
      </x:c>
      <x:c r="Q1262" s="81" t="n">
        <x:v>2211209890.582006</x:v>
      </x:c>
      <x:c r="R1262" s="81" t="n">
        <x:v>21.686738178756816</x:v>
      </x:c>
      <x:c r="S1262" s="81" t="n">
        <x:v>5.84255232973109e-10</x:v>
      </x:c>
      <x:c r="T1262" s="81" t="n">
        <x:v>3.857723018181443e-22</x:v>
      </x:c>
    </x:row>
    <x:row r="1263">
      <x:c r="A1263" s="59" t="n">
        <x:v>1260</x:v>
      </x:c>
      <x:c r="B1263" s="193" t="n">
        <x:v>0.8289083493873477</x:v>
      </x:c>
      <x:c r="C1263" s="83" t="n">
        <x:v>1.963051289179915</x:v>
      </x:c>
      <x:c r="D1263" s="83" t="n">
        <x:v>0.42371104411847155</x:v>
      </x:c>
      <x:c r="E1263" s="81" t="n">
        <x:v>-0.02316363635286305</x:v>
      </x:c>
      <x:c r="F1263" s="81" t="n">
        <x:v>0.4950512962881476</x:v>
      </x:c>
      <x:c r="G1263" s="81" t="n">
        <x:v>0.015709289670729258</x:v>
      </x:c>
      <x:c r="H1263" s="59" t="n">
        <x:v>0</x:v>
      </x:c>
      <x:c r="I1263" s="81" t="n">
        <x:v>0</x:v>
      </x:c>
      <x:c r="J1263" s="79" t="n">
        <x:v>2.1616953697437845e-11</x:v>
      </x:c>
      <x:c r="K1263" s="81" t="n">
        <x:v>-0.99999997529491</x:v>
      </x:c>
      <x:c r="L1263" s="81" t="n">
        <x:v>-0.99999997529491</x:v>
      </x:c>
      <x:c r="M1263" s="80" t="n">
        <x:v>2.3900593696795562</x:v>
      </x:c>
      <x:c r="N1263" s="82" t="n">
        <x:v>0.2995552608556171</x:v>
      </x:c>
      <x:c r="O1263" s="82" t="n">
        <x:v>0.14008708393282554</x:v>
      </x:c>
      <x:c r="P1263" s="80" t="n">
        <x:v>1314.5645408996024</x:v>
      </x:c>
      <x:c r="Q1263" s="81" t="n">
        <x:v>4.920428912876391</x:v>
      </x:c>
      <x:c r="R1263" s="81" t="n">
        <x:v>4.893387882079716</x:v>
      </x:c>
      <x:c r="S1263" s="81" t="n">
        <x:v>0.00018541455925944836</x:v>
      </x:c>
      <x:c r="T1263" s="81" t="n">
        <x:v>4.6827041163438957e-7</x:v>
      </x:c>
    </x:row>
    <x:row r="1264">
      <x:c r="A1264" s="59" t="n">
        <x:v>1261</x:v>
      </x:c>
      <x:c r="B1264" s="193" t="n">
        <x:v>0.8646929647773505</x:v>
      </x:c>
      <x:c r="C1264" s="83" t="n">
        <x:v>2.320924279297169</x:v>
      </x:c>
      <x:c r="D1264" s="83" t="n">
        <x:v>0.35877163579505544</x:v>
      </x:c>
      <x:c r="E1264" s="81" t="n">
        <x:v>-0.0207403195784368</x:v>
      </x:c>
      <x:c r="F1264" s="81" t="n">
        <x:v>0.27302507538115606</x:v>
      </x:c>
      <x:c r="G1264" s="81" t="n">
        <x:v>-0.022910993473173165</x:v>
      </x:c>
      <x:c r="H1264" s="59" t="n">
        <x:v>0</x:v>
      </x:c>
      <x:c r="I1264" s="81" t="n">
        <x:v>0</x:v>
      </x:c>
      <x:c r="J1264" s="79" t="n">
        <x:v>1.3826061748687456e-8</x:v>
      </x:c>
      <x:c r="K1264" s="81" t="n">
        <x:v>-0.999984198786573</x:v>
      </x:c>
      <x:c r="L1264" s="81" t="n">
        <x:v>-0.999984198786573</x:v>
      </x:c>
      <x:c r="M1264" s="80" t="n">
        <x:v>67.10271704325527</x:v>
      </x:c>
      <x:c r="N1264" s="82" t="n">
        <x:v>0.3080798272030546</x:v>
      </x:c>
      <x:c r="O1264" s="82" t="n">
        <x:v>0.07945783718932396</x:v>
      </x:c>
      <x:c r="P1264" s="80" t="n">
        <x:v>1724.665621886931</x:v>
      </x:c>
      <x:c r="Q1264" s="81" t="n">
        <x:v>0.2327797079751576</x:v>
      </x:c>
      <x:c r="R1264" s="81" t="n">
        <x:v>5.172284158411708</x:v>
      </x:c>
      <x:c r="S1264" s="81" t="n">
        <x:v>0.0025328286028484938</x:v>
      </x:c>
      <x:c r="T1264" s="81" t="n">
        <x:v>0.0002995026827997386</x:v>
      </x:c>
    </x:row>
    <x:row r="1265">
      <x:c r="A1265" s="59" t="n">
        <x:v>1262</x:v>
      </x:c>
      <x:c r="B1265" s="193" t="n">
        <x:v>0.2747208803892136</x:v>
      </x:c>
      <x:c r="C1265" s="83" t="n">
        <x:v>0.14788866340970086</x:v>
      </x:c>
      <x:c r="D1265" s="83" t="n">
        <x:v>2.7234777506774988</x:v>
      </x:c>
      <x:c r="E1265" s="81" t="n">
        <x:v>-0.054299079135923835</x:v>
      </x:c>
      <x:c r="F1265" s="81" t="n">
        <x:v>0.40836685673566536</x:v>
      </x:c>
      <x:c r="G1265" s="81" t="n">
        <x:v>0.0191498960569673</x:v>
      </x:c>
      <x:c r="H1265" s="59" t="n">
        <x:v>0</x:v>
      </x:c>
      <x:c r="I1265" s="81" t="n">
        <x:v>0</x:v>
      </x:c>
      <x:c r="J1265" s="79" t="n">
        <x:v>1.2727368761445855e-58</x:v>
      </x:c>
      <x:c r="K1265" s="81" t="n">
        <x:v>-1</x:v>
      </x:c>
      <x:c r="L1265" s="81" t="n">
        <x:v>-1</x:v>
      </x:c>
      <x:c r="M1265" s="80" t="n">
        <x:v>0.000002</x:v>
      </x:c>
      <x:c r="N1265" s="82" t="n">
        <x:v>0.167537414725218</x:v>
      </x:c>
      <x:c r="O1265" s="82" t="n">
        <x:v>0.06462986349910646</x:v>
      </x:c>
      <x:c r="P1265" s="80" t="n">
        <x:v>406.33223769203903</x:v>
      </x:c>
      <x:c r="Q1265" s="81" t="n">
        <x:v>3.08196382173498e+41</x:v>
      </x:c>
      <x:c r="R1265" s="81" t="n">
        <x:v>7.113486189552838</x:v>
      </x:c>
      <x:c r="S1265" s="81" t="n">
        <x:v>2.6179295546839563e-9</x:v>
      </x:c>
      <x:c r="T1265" s="81" t="n">
        <x:v>2.7570259400848487e-54</x:v>
      </x:c>
    </x:row>
    <x:row r="1266">
      <x:c r="A1266" s="59" t="n">
        <x:v>1263</x:v>
      </x:c>
      <x:c r="B1266" s="193" t="n">
        <x:v>0.4048057032749057</x:v>
      </x:c>
      <x:c r="C1266" s="83" t="n">
        <x:v>2.559819861613586</x:v>
      </x:c>
      <x:c r="D1266" s="83" t="n">
        <x:v>0.9931571802627336</x:v>
      </x:c>
      <x:c r="E1266" s="81" t="n">
        <x:v>-0.021158261453650434</x:v>
      </x:c>
      <x:c r="F1266" s="81" t="n">
        <x:v>0.2909860517946072</x:v>
      </x:c>
      <x:c r="G1266" s="81" t="n">
        <x:v>0.030066636996566976</x:v>
      </x:c>
      <x:c r="H1266" s="59" t="n">
        <x:v>0</x:v>
      </x:c>
      <x:c r="I1266" s="81" t="n">
        <x:v>0</x:v>
      </x:c>
      <x:c r="J1266" s="79" t="n">
        <x:v>1.7339948414432428e-19</x:v>
      </x:c>
      <x:c r="K1266" s="81" t="n">
        <x:v>-0.9999999999999998</x:v>
      </x:c>
      <x:c r="L1266" s="81" t="n">
        <x:v>-0.9999999999999998</x:v>
      </x:c>
      <x:c r="M1266" s="80" t="n">
        <x:v>0.00026421858835348885</x:v>
      </x:c>
      <x:c r="N1266" s="82" t="n">
        <x:v>0.198526058627019</x:v>
      </x:c>
      <x:c r="O1266" s="82" t="n">
        <x:v>0.05457083942558144</x:v>
      </x:c>
      <x:c r="P1266" s="80" t="n">
        <x:v>2487.7253055359624</x:v>
      </x:c>
      <x:c r="Q1266" s="81" t="n">
        <x:v>74283.68035081786</x:v>
      </x:c>
      <x:c r="R1266" s="81" t="n">
        <x:v>3.756410948444871</x:v>
      </x:c>
      <x:c r="S1266" s="81" t="n">
        <x:v>4.9059432084348714e-8</x:v>
      </x:c>
      <x:c r="T1266" s="81" t="n">
        <x:v>3.7562113956453325e-15</x:v>
      </x:c>
    </x:row>
    <x:row r="1267">
      <x:c r="A1267" s="59" t="n">
        <x:v>1264</x:v>
      </x:c>
      <x:c r="B1267" s="193" t="n">
        <x:v>0.5934111945331098</x:v>
      </x:c>
      <x:c r="C1267" s="83" t="n">
        <x:v>0.23367617052191667</x:v>
      </x:c>
      <x:c r="D1267" s="83" t="n">
        <x:v>2.858679607162448</x:v>
      </x:c>
      <x:c r="E1267" s="81" t="n">
        <x:v>-0.1130214755350979</x:v>
      </x:c>
      <x:c r="F1267" s="81" t="n">
        <x:v>0.5017432354157791</x:v>
      </x:c>
      <x:c r="G1267" s="81" t="n">
        <x:v>0.008012573547533501</x:v>
      </x:c>
      <x:c r="H1267" s="59" t="n">
        <x:v>0</x:v>
      </x:c>
      <x:c r="I1267" s="81" t="n">
        <x:v>0</x:v>
      </x:c>
      <x:c r="J1267" s="79" t="n">
        <x:v>3.8998802498489097e-95</x:v>
      </x:c>
      <x:c r="K1267" s="81" t="n">
        <x:v>-1</x:v>
      </x:c>
      <x:c r="L1267" s="81" t="n">
        <x:v>-1</x:v>
      </x:c>
      <x:c r="M1267" s="80" t="n">
        <x:v>0.000002</x:v>
      </x:c>
      <x:c r="N1267" s="82" t="n">
        <x:v>0.24345542299768405</x:v>
      </x:c>
      <x:c r="O1267" s="82" t="n">
        <x:v>0.11539099567484129</x:v>
      </x:c>
      <x:c r="P1267" s="80" t="n">
        <x:v>268.35599519613675</x:v>
      </x:c>
      <x:c r="Q1267" s="81" t="n">
        <x:v>5.101361503366856e+77</x:v>
      </x:c>
      <x:c r="R1267" s="81" t="n">
        <x:v>2.1116855301068997</x:v>
      </x:c>
      <x:c r="S1267" s="81" t="n">
        <x:v>2.2368531023098406e-9</x:v>
      </x:c>
      <x:c r="T1267" s="81" t="n">
        <x:v>8.447992050508141e-91</x:v>
      </x:c>
    </x:row>
    <x:row r="1268">
      <x:c r="A1268" s="59" t="n">
        <x:v>1265</x:v>
      </x:c>
      <x:c r="B1268" s="193" t="n">
        <x:v>0.7330114258453251</x:v>
      </x:c>
      <x:c r="C1268" s="83" t="n">
        <x:v>0.7695354708609669</x:v>
      </x:c>
      <x:c r="D1268" s="83" t="n">
        <x:v>0.20301333972560232</x:v>
      </x:c>
      <x:c r="E1268" s="81" t="n">
        <x:v>0.009348684798532233</x:v>
      </x:c>
      <x:c r="F1268" s="81" t="n">
        <x:v>0.5769534576800652</x:v>
      </x:c>
      <x:c r="G1268" s="81" t="n">
        <x:v>-0.012967256211708956</x:v>
      </x:c>
      <x:c r="H1268" s="59" t="n">
        <x:v>0</x:v>
      </x:c>
      <x:c r="I1268" s="81" t="n">
        <x:v>0</x:v>
      </x:c>
      <x:c r="J1268" s="79" t="n">
        <x:v>0.0000028926856608989776</x:v>
      </x:c>
      <x:c r="K1268" s="81" t="n">
        <x:v>-0.9966940735304012</x:v>
      </x:c>
      <x:c r="L1268" s="81" t="n">
        <x:v>-0.9966940735304012</x:v>
      </x:c>
      <x:c r="M1268" s="80" t="n">
        <x:v>516.9854235116479</x:v>
      </x:c>
      <x:c r="N1268" s="82" t="n">
        <x:v>0.276710815600591</x:v>
      </x:c>
      <x:c r="O1268" s="82" t="n">
        <x:v>0.15081267968927256</x:v>
      </x:c>
      <x:c r="P1268" s="80" t="n">
        <x:v>678.7750156671952</x:v>
      </x:c>
      <x:c r="Q1268" s="81" t="n">
        <x:v>0.014848018063633497</x:v>
      </x:c>
      <x:c r="R1268" s="81" t="n">
        <x:v>14.219520184179721</x:v>
      </x:c>
      <x:c r="S1268" s="81" t="n">
        <x:v>0.09227644006796275</x:v>
      </x:c>
      <x:c r="T1268" s="81" t="n">
        <x:v>0.06266188678188314</x:v>
      </x:c>
    </x:row>
    <x:row r="1269">
      <x:c r="A1269" s="59" t="n">
        <x:v>1266</x:v>
      </x:c>
      <x:c r="B1269" s="193" t="n">
        <x:v>0.6186449343338609</x:v>
      </x:c>
      <x:c r="C1269" s="83" t="n">
        <x:v>0.3469566267823021</x:v>
      </x:c>
      <x:c r="D1269" s="83" t="n">
        <x:v>0.6296777167477182</x:v>
      </x:c>
      <x:c r="E1269" s="81" t="n">
        <x:v>-0.008092212883628373</x:v>
      </x:c>
      <x:c r="F1269" s="81" t="n">
        <x:v>0.2834837526315823</x:v>
      </x:c>
      <x:c r="G1269" s="81" t="n">
        <x:v>0.004722143678968057</x:v>
      </x:c>
      <x:c r="H1269" s="59" t="n">
        <x:v>0</x:v>
      </x:c>
      <x:c r="I1269" s="81" t="n">
        <x:v>0</x:v>
      </x:c>
      <x:c r="J1269" s="79" t="n">
        <x:v>1.812843680314341e-8</x:v>
      </x:c>
      <x:c r="K1269" s="81" t="n">
        <x:v>-0.9999792817865107</x:v>
      </x:c>
      <x:c r="L1269" s="81" t="n">
        <x:v>-0.9999792817865107</x:v>
      </x:c>
      <x:c r="M1269" s="80" t="n">
        <x:v>31.152186131877716</x:v>
      </x:c>
      <x:c r="N1269" s="82" t="n">
        <x:v>0.24946657295084435</x:v>
      </x:c>
      <x:c r="O1269" s="82" t="n">
        <x:v>0.06680538573067207</x:v>
      </x:c>
      <x:c r="P1269" s="80" t="n">
        <x:v>1191.7653648798018</x:v>
      </x:c>
      <x:c r="Q1269" s="81" t="n">
        <x:v>0.1987901662294676</x:v>
      </x:c>
      <x:c r="R1269" s="81" t="n">
        <x:v>29.780002316839383</x:v>
      </x:c>
      <x:c r="S1269" s="81" t="n">
        <x:v>0.007799719536286761</x:v>
      </x:c>
      <x:c r="T1269" s="81" t="n">
        <x:v>0.00039270151950698514</x:v>
      </x:c>
    </x:row>
    <x:row r="1270">
      <x:c r="A1270" s="59" t="n">
        <x:v>1267</x:v>
      </x:c>
      <x:c r="B1270" s="193" t="n">
        <x:v>0.5034503050148487</x:v>
      </x:c>
      <x:c r="C1270" s="83" t="n">
        <x:v>1.9123604344060359</x:v>
      </x:c>
      <x:c r="D1270" s="83" t="n">
        <x:v>0.4810392779874895</x:v>
      </x:c>
      <x:c r="E1270" s="81" t="n">
        <x:v>-0.06017684168660964</x:v>
      </x:c>
      <x:c r="F1270" s="81" t="n">
        <x:v>0.6189036319265142</x:v>
      </x:c>
      <x:c r="G1270" s="81" t="n">
        <x:v>-0.03685603030489173</x:v>
      </x:c>
      <x:c r="H1270" s="59" t="n">
        <x:v>81</x:v>
      </x:c>
      <x:c r="I1270" s="81" t="n">
        <x:v>0.17424281388521196</x:v>
      </x:c>
      <x:c r="J1270" s="79" t="n">
        <x:v>2.303542089814243e-18</x:v>
      </x:c>
      <x:c r="K1270" s="81" t="n">
        <x:v>-0.9999999999999973</x:v>
      </x:c>
      <x:c r="L1270" s="81" t="n">
        <x:v>-0.9999999999999973</x:v>
      </x:c>
      <x:c r="M1270" s="80" t="n">
        <x:v>0.0007849376108580656</x:v>
      </x:c>
      <x:c r="N1270" s="82" t="n">
        <x:v>0.22202505234775619</x:v>
      </x:c>
      <x:c r="O1270" s="82" t="n">
        <x:v>0.12980635478539349</x:v>
      </x:c>
      <x:c r="P1270" s="80" t="n">
        <x:v>690.618599922773</x:v>
      </x:c>
      <x:c r="Q1270" s="81" t="n">
        <x:v>6063.90514461384</x:v>
      </x:c>
      <x:c r="R1270" s="81" t="n">
        <x:v>2.8877995323567207</x:v>
      </x:c>
      <x:c r="S1270" s="81" t="n">
        <x:v>3.7265322424940084e-8</x:v>
      </x:c>
      <x:c r="T1270" s="81" t="n">
        <x:v>4.9899750802644705e-14</x:v>
      </x:c>
    </x:row>
    <x:row r="1271">
      <x:c r="A1271" s="59" t="n">
        <x:v>1268</x:v>
      </x:c>
      <x:c r="B1271" s="193" t="n">
        <x:v>0.41385776773095134</x:v>
      </x:c>
      <x:c r="C1271" s="83" t="n">
        <x:v>0.23606768450650017</x:v>
      </x:c>
      <x:c r="D1271" s="83" t="n">
        <x:v>0.7364278707140308</x:v>
      </x:c>
      <x:c r="E1271" s="81" t="n">
        <x:v>-0.08475387502899066</x:v>
      </x:c>
      <x:c r="F1271" s="81" t="n">
        <x:v>0.8373899856582284</x:v>
      </x:c>
      <x:c r="G1271" s="81" t="n">
        <x:v>-0.0031601641594835098</x:v>
      </x:c>
      <x:c r="H1271" s="59" t="n">
        <x:v>41</x:v>
      </x:c>
      <x:c r="I1271" s="81" t="n">
        <x:v>0.40605074139311914</x:v>
      </x:c>
      <x:c r="J1271" s="79" t="n">
        <x:v>1.1764444738959689e-31</x:v>
      </x:c>
      <x:c r="K1271" s="81" t="n">
        <x:v>-1</x:v>
      </x:c>
      <x:c r="L1271" s="81" t="n">
        <x:v>-1</x:v>
      </x:c>
      <x:c r="M1271" s="80" t="n">
        <x:v>0.000002</x:v>
      </x:c>
      <x:c r="N1271" s="82" t="n">
        <x:v>0.20068243010665757</x:v>
      </x:c>
      <x:c r="O1271" s="82" t="n">
        <x:v>0.15874792453927455</x:v>
      </x:c>
      <x:c r="P1271" s="80" t="n">
        <x:v>221.76042406099734</x:v>
      </x:c>
      <x:c r="Q1271" s="81" t="n">
        <x:v>219783463761187.5</x:v>
      </x:c>
      <x:c r="R1271" s="81" t="n">
        <x:v>9.068787880833888</x:v>
      </x:c>
      <x:c r="S1271" s="81" t="n">
        <x:v>5.021894530962912e-10</x:v>
      </x:c>
      <x:c r="T1271" s="81" t="n">
        <x:v>2.548435574072415e-27</x:v>
      </x:c>
    </x:row>
    <x:row r="1272">
      <x:c r="A1272" s="59" t="n">
        <x:v>1269</x:v>
      </x:c>
      <x:c r="B1272" s="193" t="n">
        <x:v>0.9520901031792164</x:v>
      </x:c>
      <x:c r="C1272" s="83" t="n">
        <x:v>0.8507358525833325</x:v>
      </x:c>
      <x:c r="D1272" s="83" t="n">
        <x:v>1.5015485197660388</x:v>
      </x:c>
      <x:c r="E1272" s="81" t="n">
        <x:v>-0.14746853434311288</x:v>
      </x:c>
      <x:c r="F1272" s="81" t="n">
        <x:v>0.5062418037443421</x:v>
      </x:c>
      <x:c r="G1272" s="81" t="n">
        <x:v>-0.006407435244993343</x:v>
      </x:c>
      <x:c r="H1272" s="59" t="n">
        <x:v>0</x:v>
      </x:c>
      <x:c r="I1272" s="81" t="n">
        <x:v>0</x:v>
      </x:c>
      <x:c r="J1272" s="79" t="n">
        <x:v>1.5908626442160407e-69</x:v>
      </x:c>
      <x:c r="K1272" s="81" t="n">
        <x:v>-1</x:v>
      </x:c>
      <x:c r="L1272" s="81" t="n">
        <x:v>-1</x:v>
      </x:c>
      <x:c r="M1272" s="80" t="n">
        <x:v>0.000002</x:v>
      </x:c>
      <x:c r="N1272" s="82" t="n">
        <x:v>0.32889946426672395</x:v>
      </x:c>
      <x:c r="O1272" s="82" t="n">
        <x:v>0.15728674060506354</x:v>
      </x:c>
      <x:c r="P1272" s="80" t="n">
        <x:v>269.34836712430007</x:v>
      </x:c>
      <x:c r="Q1272" s="81" t="n">
        <x:v>9.881060042392356e+51</x:v>
      </x:c>
      <x:c r="R1272" s="81" t="n">
        <x:v>1.0361890597190786</x:v>
      </x:c>
      <x:c r="S1272" s="81" t="n">
        <x:v>6.572547833774608e-10</x:v>
      </x:c>
      <x:c r="T1272" s="81" t="n">
        <x:v>3.4461558075554127e-65</x:v>
      </x:c>
    </x:row>
    <x:row r="1273">
      <x:c r="A1273" s="59" t="n">
        <x:v>1270</x:v>
      </x:c>
      <x:c r="B1273" s="193" t="n">
        <x:v>0.6629881631582976</x:v>
      </x:c>
      <x:c r="C1273" s="83" t="n">
        <x:v>0.12167967628085355</x:v>
      </x:c>
      <x:c r="D1273" s="83" t="n">
        <x:v>0.7761233860502981</x:v>
      </x:c>
      <x:c r="E1273" s="81" t="n">
        <x:v>-0.02817957994080778</x:v>
      </x:c>
      <x:c r="F1273" s="81" t="n">
        <x:v>0.791001649654936</x:v>
      </x:c>
      <x:c r="G1273" s="81" t="n">
        <x:v>0.029086648789275773</x:v>
      </x:c>
      <x:c r="H1273" s="59" t="n">
        <x:v>0</x:v>
      </x:c>
      <x:c r="I1273" s="81" t="n">
        <x:v>0</x:v>
      </x:c>
      <x:c r="J1273" s="79" t="n">
        <x:v>7.677937103909529e-21</x:v>
      </x:c>
      <x:c r="K1273" s="81" t="n">
        <x:v>-1</x:v>
      </x:c>
      <x:c r="L1273" s="81" t="n">
        <x:v>-1</x:v>
      </x:c>
      <x:c r="M1273" s="80" t="n">
        <x:v>0.000017596755892292158</x:v>
      </x:c>
      <x:c r="N1273" s="82" t="n">
        <x:v>0.2600299614923657</x:v>
      </x:c>
      <x:c r="O1273" s="82" t="n">
        <x:v>0.19429951777725651</x:v>
      </x:c>
      <x:c r="P1273" s="80" t="n">
        <x:v>402.52385438627107</x:v>
      </x:c>
      <x:c r="Q1273" s="81" t="n">
        <x:v>84467.03574477673</x:v>
      </x:c>
      <x:c r="R1273" s="81" t="n">
        <x:v>32.62135345245795</x:v>
      </x:c>
      <x:c r="S1273" s="81" t="n">
        <x:v>8.023029349298252e-9</x:v>
      </x:c>
      <x:c r="T1273" s="81" t="n">
        <x:v>1.6632088029021443e-16</x:v>
      </x:c>
    </x:row>
    <x:row r="1274">
      <x:c r="A1274" s="59" t="n">
        <x:v>1271</x:v>
      </x:c>
      <x:c r="B1274" s="193" t="n">
        <x:v>0.8076009916141629</x:v>
      </x:c>
      <x:c r="C1274" s="83" t="n">
        <x:v>2.3773569513625215</x:v>
      </x:c>
      <x:c r="D1274" s="83" t="n">
        <x:v>0.7670621609948478</x:v>
      </x:c>
      <x:c r="E1274" s="81" t="n">
        <x:v>-0.0758032987533778</x:v>
      </x:c>
      <x:c r="F1274" s="81" t="n">
        <x:v>0.8468368978938088</x:v>
      </x:c>
      <x:c r="G1274" s="81" t="n">
        <x:v>-0.005134187793076606</x:v>
      </x:c>
      <x:c r="H1274" s="59" t="n">
        <x:v>0</x:v>
      </x:c>
      <x:c r="I1274" s="81" t="n">
        <x:v>0</x:v>
      </x:c>
      <x:c r="J1274" s="79" t="n">
        <x:v>1.1547922729765027e-30</x:v>
      </x:c>
      <x:c r="K1274" s="81" t="n">
        <x:v>-1</x:v>
      </x:c>
      <x:c r="L1274" s="81" t="n">
        <x:v>-1</x:v>
      </x:c>
      <x:c r="M1274" s="80" t="n">
        <x:v>0.000002</x:v>
      </x:c>
      <x:c r="N1274" s="82" t="n">
        <x:v>0.29447944872108633</x:v>
      </x:c>
      <x:c r="O1274" s="82" t="n">
        <x:v>0.2355731047891875</x:v>
      </x:c>
      <x:c r="P1274" s="80" t="n">
        <x:v>700.6201828777147</x:v>
      </x:c>
      <x:c r="Q1274" s="81" t="n">
        <x:v>24827654783587.992</x:v>
      </x:c>
      <x:c r="R1274" s="81" t="n">
        <x:v>1.4826434558749204</x:v>
      </x:c>
      <x:c r="S1274" s="81" t="n">
        <x:v>1.8687844137877722e-10</x:v>
      </x:c>
      <x:c r="T1274" s="81" t="n">
        <x:v>2.5015321797308217e-26</x:v>
      </x:c>
    </x:row>
    <x:row r="1275">
      <x:c r="A1275" s="59" t="n">
        <x:v>1272</x:v>
      </x:c>
      <x:c r="B1275" s="193" t="n">
        <x:v>0.9892708148807288</x:v>
      </x:c>
      <x:c r="C1275" s="83" t="n">
        <x:v>0.9589302209525657</x:v>
      </x:c>
      <x:c r="D1275" s="83" t="n">
        <x:v>0.800907101168189</x:v>
      </x:c>
      <x:c r="E1275" s="81" t="n">
        <x:v>-0.1724276650601998</x:v>
      </x:c>
      <x:c r="F1275" s="81" t="n">
        <x:v>0.36731504744384436</x:v>
      </x:c>
      <x:c r="G1275" s="81" t="n">
        <x:v>-0.00972465302528386</x:v>
      </x:c>
      <x:c r="H1275" s="59" t="n">
        <x:v>0</x:v>
      </x:c>
      <x:c r="I1275" s="81" t="n">
        <x:v>0</x:v>
      </x:c>
      <x:c r="J1275" s="79" t="n">
        <x:v>4.780929530044093e-50</x:v>
      </x:c>
      <x:c r="K1275" s="81" t="n">
        <x:v>-1</x:v>
      </x:c>
      <x:c r="L1275" s="81" t="n">
        <x:v>-1</x:v>
      </x:c>
      <x:c r="M1275" s="80" t="n">
        <x:v>0.000002</x:v>
      </x:c>
      <x:c r="N1275" s="82" t="n">
        <x:v>0.3377566069323684</x:v>
      </x:c>
      <x:c r="O1275" s="82" t="n">
        <x:v>0.11719619588702061</x:v>
      </x:c>
      <x:c r="P1275" s="80" t="n">
        <x:v>215.0328619011864</x:v>
      </x:c>
      <x:c r="Q1275" s="81" t="n">
        <x:v>2.873171627885238e+32</x:v>
      </x:c>
      <x:c r="R1275" s="81" t="n">
        <x:v>1.3058159457323855</x:v>
      </x:c>
      <x:c r="S1275" s="81" t="n">
        <x:v>3.1800324661798225e-10</x:v>
      </x:c>
      <x:c r="T1275" s="81" t="n">
        <x:v>1.0356537143779454e-45</x:v>
      </x:c>
    </x:row>
    <x:row r="1276">
      <x:c r="A1276" s="59" t="n">
        <x:v>1273</x:v>
      </x:c>
      <x:c r="B1276" s="193" t="n">
        <x:v>0.808893127553165</x:v>
      </x:c>
      <x:c r="C1276" s="83" t="n">
        <x:v>0.5980342887851438</x:v>
      </x:c>
      <x:c r="D1276" s="83" t="n">
        <x:v>1.8638867702949298</x:v>
      </x:c>
      <x:c r="E1276" s="81" t="n">
        <x:v>0.06856174763252829</x:v>
      </x:c>
      <x:c r="F1276" s="81" t="n">
        <x:v>0.5503534961258993</x:v>
      </x:c>
      <x:c r="G1276" s="81" t="n">
        <x:v>0.0430205934001965</x:v>
      </x:c>
      <x:c r="H1276" s="59" t="n">
        <x:v>0</x:v>
      </x:c>
      <x:c r="I1276" s="81" t="n">
        <x:v>0</x:v>
      </x:c>
      <x:c r="J1276" s="79" t="n">
        <x:v>0.028366419101146456</x:v>
      </x:c>
      <x:c r="K1276" s="81" t="n">
        <x:v>31.418764687024527</x:v>
      </x:c>
      <x:c r="L1276" s="81" t="n">
        <x:v>-0.7700794400484602</x:v>
      </x:c>
      <x:c r="M1276" s="80" t="n">
        <x:v>78116.79747850081</x:v>
      </x:c>
      <x:c r="N1276" s="82" t="n">
        <x:v>0.29478725972930564</x:v>
      </x:c>
      <x:c r="O1276" s="82" t="n">
        <x:v>0.1532573746070798</x:v>
      </x:c>
      <x:c r="P1276" s="80" t="n">
        <x:v>228129.94885581188</x:v>
      </x:c>
      <x:c r="Q1276" s="81" t="n">
        <x:v>0.0063467004117863475</x:v>
      </x:c>
      <x:c r="R1276" s="81" t="n">
        <x:v>497.65277339722246</x:v>
      </x:c>
      <x:c r="S1276" s="81" t="n">
        <x:v>950.1538803297746</x:v>
      </x:c>
      <x:c r="T1276" s="81" t="n">
        <x:v>614.4785678410299</x:v>
      </x:c>
    </x:row>
    <x:row r="1277">
      <x:c r="A1277" s="59" t="n">
        <x:v>1274</x:v>
      </x:c>
      <x:c r="B1277" s="193" t="n">
        <x:v>0.37004534099251035</x:v>
      </x:c>
      <x:c r="C1277" s="83" t="n">
        <x:v>0.3499949047651478</x:v>
      </x:c>
      <x:c r="D1277" s="83" t="n">
        <x:v>1.0037557432433195</x:v>
      </x:c>
      <x:c r="E1277" s="81" t="n">
        <x:v>-0.016519251797170686</x:v>
      </x:c>
      <x:c r="F1277" s="81" t="n">
        <x:v>0.8659935221658088</x:v>
      </x:c>
      <x:c r="G1277" s="81" t="n">
        <x:v>-0.0020097653883057107</x:v>
      </x:c>
      <x:c r="H1277" s="59" t="n">
        <x:v>0</x:v>
      </x:c>
      <x:c r="I1277" s="81" t="n">
        <x:v>0</x:v>
      </x:c>
      <x:c r="J1277" s="79" t="n">
        <x:v>6.156804521258582e-15</x:v>
      </x:c>
      <x:c r="K1277" s="81" t="n">
        <x:v>-0.9999999999929636</x:v>
      </x:c>
      <x:c r="L1277" s="81" t="n">
        <x:v>-0.9999999999929636</x:v>
      </x:c>
      <x:c r="M1277" s="80" t="n">
        <x:v>0.01859745338110212</x:v>
      </x:c>
      <x:c r="N1277" s="82" t="n">
        <x:v>0.1902454885745595</x:v>
      </x:c>
      <x:c r="O1277" s="82" t="n">
        <x:v>0.15563237754800743</x:v>
      </x:c>
      <x:c r="P1277" s="80" t="n">
        <x:v>811.4844581774624</x:v>
      </x:c>
      <x:c r="Q1277" s="81" t="n">
        <x:v>187.73442606307773</x:v>
      </x:c>
      <x:c r="R1277" s="81" t="n">
        <x:v>15.878627195080888</x:v>
      </x:c>
      <x:c r="S1277" s="81" t="n">
        <x:v>0.000006099751486090503</x:v>
      </x:c>
      <x:c r="T1277" s="81" t="n">
        <x:v>1.3336982758416794e-10</x:v>
      </x:c>
    </x:row>
    <x:row r="1278">
      <x:c r="A1278" s="59" t="n">
        <x:v>1275</x:v>
      </x:c>
      <x:c r="B1278" s="193" t="n">
        <x:v>0.2901613682508469</x:v>
      </x:c>
      <x:c r="C1278" s="83" t="n">
        <x:v>2.3676990631886414</x:v>
      </x:c>
      <x:c r="D1278" s="83" t="n">
        <x:v>0.2638528852301164</x:v>
      </x:c>
      <x:c r="E1278" s="81" t="n">
        <x:v>-0.10531016906670299</x:v>
      </x:c>
      <x:c r="F1278" s="81" t="n">
        <x:v>0.2947569814277813</x:v>
      </x:c>
      <x:c r="G1278" s="81" t="n">
        <x:v>-0.029385896098459364</x:v>
      </x:c>
      <x:c r="H1278" s="59" t="n">
        <x:v>74</x:v>
      </x:c>
      <x:c r="I1278" s="81" t="n">
        <x:v>0.14934098180383445</x:v>
      </x:c>
      <x:c r="J1278" s="79" t="n">
        <x:v>3.160513005752572e-18</x:v>
      </x:c>
      <x:c r="K1278" s="81" t="n">
        <x:v>-0.9999999999999963</x:v>
      </x:c>
      <x:c r="L1278" s="81" t="n">
        <x:v>-0.9999999999999963</x:v>
      </x:c>
      <x:c r="M1278" s="80" t="n">
        <x:v>0.0010627056891314166</x:v>
      </x:c>
      <x:c r="N1278" s="82" t="n">
        <x:v>0.17121562844300647</x:v>
      </x:c>
      <x:c r="O1278" s="82" t="n">
        <x:v>0.04767365468330349</x:v>
      </x:c>
      <x:c r="P1278" s="80" t="n">
        <x:v>490.76573544392636</x:v>
      </x:c>
      <x:c r="Q1278" s="81" t="n">
        <x:v>3564.7900619418065</x:v>
      </x:c>
      <x:c r="R1278" s="81" t="n">
        <x:v>2.4993593184225555</x:v>
      </x:c>
      <x:c r="S1278" s="81" t="n">
        <x:v>2.6340748917121406e-8</x:v>
      </x:c>
      <x:c r="T1278" s="81" t="n">
        <x:v>6.846361179720773e-14</x:v>
      </x:c>
    </x:row>
    <x:row r="1279">
      <x:c r="A1279" s="59" t="n">
        <x:v>1276</x:v>
      </x:c>
      <x:c r="B1279" s="193" t="n">
        <x:v>0.5818868704140187</x:v>
      </x:c>
      <x:c r="C1279" s="83" t="n">
        <x:v>0.8410549600320328</x:v>
      </x:c>
      <x:c r="D1279" s="83" t="n">
        <x:v>0.7261426459836494</x:v>
      </x:c>
      <x:c r="E1279" s="81" t="n">
        <x:v>0.2</x:v>
      </x:c>
      <x:c r="F1279" s="81" t="n">
        <x:v>0.8856363366707228</x:v>
      </x:c>
      <x:c r="G1279" s="81" t="n">
        <x:v>0.023035589384701936</x:v>
      </x:c>
      <x:c r="H1279" s="59" t="n">
        <x:v>0</x:v>
      </x:c>
      <x:c r="I1279" s="81" t="n">
        <x:v>0</x:v>
      </x:c>
      <x:c r="J1279" s="79" t="n">
        <x:v>0.01884162461467161</x:v>
      </x:c>
      <x:c r="K1279" s="81" t="n">
        <x:v>20.533285273910412</x:v>
      </x:c>
      <x:c r="L1279" s="81" t="n">
        <x:v>-0.7973199369457071</x:v>
      </x:c>
      <x:c r="M1279" s="80" t="n">
        <x:v>73563.25921770034</x:v>
      </x:c>
      <x:c r="N1279" s="82" t="n">
        <x:v>0.24071011291143957</x:v>
      </x:c>
      <x:c r="O1279" s="82" t="n">
        <x:v>0.2013820257882659</x:v>
      </x:c>
      <x:c r="P1279" s="80" t="n">
        <x:v>85108.43356562978</x:v>
      </x:c>
      <x:c r="Q1279" s="81" t="n">
        <x:v>0.0030184242398507925</x:v>
      </x:c>
      <x:c r="R1279" s="81" t="n">
        <x:v>349.1133401109207</x:v>
      </x:c>
      <x:c r="S1279" s="81" t="n">
        <x:v>435.0464870939593</x:v>
      </x:c>
      <x:c r="T1279" s="81" t="n">
        <x:v>408.15072454999375</x:v>
      </x:c>
    </x:row>
    <x:row r="1280">
      <x:c r="A1280" s="59" t="n">
        <x:v>1277</x:v>
      </x:c>
      <x:c r="B1280" s="193" t="n">
        <x:v>0.48443747125566006</x:v>
      </x:c>
      <x:c r="C1280" s="83" t="n">
        <x:v>0.17445215839182393</x:v>
      </x:c>
      <x:c r="D1280" s="83" t="n">
        <x:v>1.2846828666046144</x:v>
      </x:c>
      <x:c r="E1280" s="81" t="n">
        <x:v>0.030916868945802253</x:v>
      </x:c>
      <x:c r="F1280" s="81" t="n">
        <x:v>0.3944772071321495</x:v>
      </x:c>
      <x:c r="G1280" s="81" t="n">
        <x:v>0.0014902810578730306</x:v>
      </x:c>
      <x:c r="H1280" s="59" t="n">
        <x:v>70</x:v>
      </x:c>
      <x:c r="I1280" s="81" t="n">
        <x:v>0.49926239326596267</x:v>
      </x:c>
      <x:c r="J1280" s="79" t="n">
        <x:v>0.0015847942133500094</x:v>
      </x:c>
      <x:c r="K1280" s="81" t="n">
        <x:v>0.8111933866857253</x:v>
      </x:c>
      <x:c r="L1280" s="81" t="n">
        <x:v>-0.9277258086366263</x:v>
      </x:c>
      <x:c r="M1280" s="80" t="n">
        <x:v>9278.333796134952</x:v>
      </x:c>
      <x:c r="N1280" s="82" t="n">
        <x:v>0.2174958388556843</x:v>
      </x:c>
      <x:c r="O1280" s="82" t="n">
        <x:v>0.08104828117767936</x:v>
      </x:c>
      <x:c r="P1280" s="80" t="n">
        <x:v>22312.411519799818</x:v>
      </x:c>
      <x:c r="Q1280" s="81" t="n">
        <x:v>0.006164704998104175</x:v>
      </x:c>
      <x:c r="R1280" s="81" t="n">
        <x:v>319.7109937750916</x:v>
      </x:c>
      <x:c r="S1280" s="81" t="n">
        <x:v>173.3230274050234</x:v>
      </x:c>
      <x:c r="T1280" s="81" t="n">
        <x:v>34.330102614281245</x:v>
      </x:c>
    </x:row>
    <x:row r="1281">
      <x:c r="A1281" s="59" t="n">
        <x:v>1278</x:v>
      </x:c>
      <x:c r="B1281" s="193" t="n">
        <x:v>0.8211823342368008</x:v>
      </x:c>
      <x:c r="C1281" s="83" t="n">
        <x:v>1.292645742416998</x:v>
      </x:c>
      <x:c r="D1281" s="83" t="n">
        <x:v>0.16449789828821867</x:v>
      </x:c>
      <x:c r="E1281" s="81" t="n">
        <x:v>0.1754263073662555</x:v>
      </x:c>
      <x:c r="F1281" s="81" t="n">
        <x:v>0.6014385713031516</x:v>
      </x:c>
      <x:c r="G1281" s="81" t="n">
        <x:v>-0.05</x:v>
      </x:c>
      <x:c r="H1281" s="59" t="n">
        <x:v>0</x:v>
      </x:c>
      <x:c r="I1281" s="81" t="n">
        <x:v>0</x:v>
      </x:c>
      <x:c r="J1281" s="79" t="n">
        <x:v>0.0002107536446055166</x:v>
      </x:c>
      <x:c r="K1281" s="81" t="n">
        <x:v>-0.7591386918794096</x:v>
      </x:c>
      <x:c r="L1281" s="81" t="n">
        <x:v>-0.8782768262452274</x:v>
      </x:c>
      <x:c r="M1281" s="80" t="n">
        <x:v>6165.8575976190605</x:v>
      </x:c>
      <x:c r="N1281" s="82" t="n">
        <x:v>0.2977147791839729</x:v>
      </x:c>
      <x:c r="O1281" s="82" t="n">
        <x:v>0.1691463431556592</x:v>
      </x:c>
      <x:c r="P1281" s="80" t="n">
        <x:v>2635.0452943374</x:v>
      </x:c>
      <x:c r="Q1281" s="81" t="n">
        <x:v>0.002277006543578217</x:v>
      </x:c>
      <x:c r="R1281" s="81" t="n">
        <x:v>26.281341130631397</x:v>
      </x:c>
      <x:c r="S1281" s="81" t="n">
        <x:v>3.1493675035001374</x:v>
      </x:c>
      <x:c r="T1281" s="81" t="n">
        <x:v>4.565384063554263</x:v>
      </x:c>
    </x:row>
    <x:row r="1282">
      <x:c r="A1282" s="59" t="n">
        <x:v>1279</x:v>
      </x:c>
      <x:c r="B1282" s="193" t="n">
        <x:v>0.31080158669501545</x:v>
      </x:c>
      <x:c r="C1282" s="83" t="n">
        <x:v>0.2972468116146336</x:v>
      </x:c>
      <x:c r="D1282" s="83" t="n">
        <x:v>1.266726341396537</x:v>
      </x:c>
      <x:c r="E1282" s="81" t="n">
        <x:v>-0.06181914402616169</x:v>
      </x:c>
      <x:c r="F1282" s="81" t="n">
        <x:v>0.6080868794349954</x:v>
      </x:c>
      <x:c r="G1282" s="81" t="n">
        <x:v>0.012882346800450972</x:v>
      </x:c>
      <x:c r="H1282" s="59" t="n">
        <x:v>0</x:v>
      </x:c>
      <x:c r="I1282" s="81" t="n">
        <x:v>0</x:v>
      </x:c>
      <x:c r="J1282" s="79" t="n">
        <x:v>4.353374639337949e-38</x:v>
      </x:c>
      <x:c r="K1282" s="81" t="n">
        <x:v>-1</x:v>
      </x:c>
      <x:c r="L1282" s="81" t="n">
        <x:v>-1</x:v>
      </x:c>
      <x:c r="M1282" s="80" t="n">
        <x:v>0.000002</x:v>
      </x:c>
      <x:c r="N1282" s="82" t="n">
        <x:v>0.17613251548050324</x:v>
      </x:c>
      <x:c r="O1282" s="82" t="n">
        <x:v>0.1011756754214175</x:v>
      </x:c>
      <x:c r="P1282" s="80" t="n">
        <x:v>347.1448729745135</x:v>
      </x:c>
      <x:c r="Q1282" s="81" t="n">
        <x:v>797069740157686400000</x:v>
      </x:c>
      <x:c r="R1282" s="81" t="n">
        <x:v>6.547532638369648</x:v>
      </x:c>
      <x:c r="S1282" s="81" t="n">
        <x:v>9.99536874440709e-10</x:v>
      </x:c>
      <x:c r="T1282" s="81" t="n">
        <x:v>9.430359905906234e-34</x:v>
      </x:c>
    </x:row>
    <x:row r="1283">
      <x:c r="A1283" s="59" t="n">
        <x:v>1280</x:v>
      </x:c>
      <x:c r="B1283" s="193" t="n">
        <x:v>0.8038435623049736</x:v>
      </x:c>
      <x:c r="C1283" s="83" t="n">
        <x:v>0.7310784422255276</x:v>
      </x:c>
      <x:c r="D1283" s="83" t="n">
        <x:v>0.2491824922709174</x:v>
      </x:c>
      <x:c r="E1283" s="81" t="n">
        <x:v>0.018413802384963162</x:v>
      </x:c>
      <x:c r="F1283" s="81" t="n">
        <x:v>0.5733853816520422</x:v>
      </x:c>
      <x:c r="G1283" s="81" t="n">
        <x:v>0.023861435945311427</x:v>
      </x:c>
      <x:c r="H1283" s="59" t="n">
        <x:v>0</x:v>
      </x:c>
      <x:c r="I1283" s="81" t="n">
        <x:v>0</x:v>
      </x:c>
      <x:c r="J1283" s="79" t="n">
        <x:v>0.00001541379252503696</x:v>
      </x:c>
      <x:c r="K1283" s="81" t="n">
        <x:v>-0.9823842371142435</x:v>
      </x:c>
      <x:c r="L1283" s="81" t="n">
        <x:v>-0.984680136735093</x:v>
      </x:c>
      <x:c r="M1283" s="80" t="n">
        <x:v>1182.4844705931505</x:v>
      </x:c>
      <x:c r="N1283" s="82" t="n">
        <x:v>0.2935843586078379</x:v>
      </x:c>
      <x:c r="O1283" s="82" t="n">
        <x:v>0.15901953243001674</x:v>
      </x:c>
      <x:c r="P1283" s="80" t="n">
        <x:v>1176.156529468117</x:v>
      </x:c>
      <x:c r="Q1283" s="81" t="n">
        <x:v>0.014325731517792338</x:v>
      </x:c>
      <x:c r="R1283" s="81" t="n">
        <x:v>16.010310696989134</x:v>
      </x:c>
      <x:c r="S1283" s="81" t="n">
        <x:v>0.4923441434605969</x:v>
      </x:c>
      <x:c r="T1283" s="81" t="n">
        <x:v>0.3338963977797495</x:v>
      </x:c>
    </x:row>
    <x:row r="1284">
      <x:c r="A1284" s="59" t="n">
        <x:v>1281</x:v>
      </x:c>
      <x:c r="B1284" s="193" t="n">
        <x:v>0.4025062741711736</x:v>
      </x:c>
      <x:c r="C1284" s="83" t="n">
        <x:v>0.22249398150283603</x:v>
      </x:c>
      <x:c r="D1284" s="83" t="n">
        <x:v>0.2885761883686057</x:v>
      </x:c>
      <x:c r="E1284" s="81" t="n">
        <x:v>0.003282793020710523</x:v>
      </x:c>
      <x:c r="F1284" s="81" t="n">
        <x:v>0.7155961058218964</x:v>
      </x:c>
      <x:c r="G1284" s="81" t="n">
        <x:v>-0.0003861936792817568</x:v>
      </x:c>
      <x:c r="H1284" s="59" t="n">
        <x:v>0</x:v>
      </x:c>
      <x:c r="I1284" s="81" t="n">
        <x:v>0</x:v>
      </x:c>
      <x:c r="J1284" s="79" t="n">
        <x:v>0.0000011127788853656014</x:v>
      </x:c>
      <x:c r="K1284" s="81" t="n">
        <x:v>-0.9987282527024394</x:v>
      </x:c>
      <x:c r="L1284" s="81" t="n">
        <x:v>-0.9987282527024394</x:v>
      </x:c>
      <x:c r="M1284" s="80" t="n">
        <x:v>221.06165490947703</x:v>
      </x:c>
      <x:c r="N1284" s="82" t="n">
        <x:v>0.19797829150021423</x:v>
      </x:c>
      <x:c r="O1284" s="82" t="n">
        <x:v>0.13383092585563697</x:v>
      </x:c>
      <x:c r="P1284" s="80" t="n">
        <x:v>545.2301616760054</x:v>
      </x:c>
      <x:c r="Q1284" s="81" t="n">
        <x:v>0.02369522424445832</x:v>
      </x:c>
      <x:c r="R1284" s="81" t="n">
        <x:v>41.296088945702984</x:v>
      </x:c>
      <x:c r="S1284" s="81" t="n">
        <x:v>0.1157939931992776</x:v>
      </x:c>
      <x:c r="T1284" s="81" t="n">
        <x:v>0.02410522009722252</x:v>
      </x:c>
    </x:row>
    <x:row r="1285">
      <x:c r="A1285" s="59" t="n">
        <x:v>1282</x:v>
      </x:c>
      <x:c r="B1285" s="193" t="n">
        <x:v>0.7586249662563205</x:v>
      </x:c>
      <x:c r="C1285" s="83" t="n">
        <x:v>0.5873363958884178</x:v>
      </x:c>
      <x:c r="D1285" s="83" t="n">
        <x:v>0.8472232110890906</x:v>
      </x:c>
      <x:c r="E1285" s="81" t="n">
        <x:v>-0.05437605436909717</x:v>
      </x:c>
      <x:c r="F1285" s="81" t="n">
        <x:v>0.7646155239897781</x:v>
      </x:c>
      <x:c r="G1285" s="81" t="n">
        <x:v>0.011116198498667762</x:v>
      </x:c>
      <x:c r="H1285" s="59" t="n">
        <x:v>0</x:v>
      </x:c>
      <x:c r="I1285" s="81" t="n">
        <x:v>0</x:v>
      </x:c>
      <x:c r="J1285" s="79" t="n">
        <x:v>1.9750499061508558e-28</x:v>
      </x:c>
      <x:c r="K1285" s="81" t="n">
        <x:v>-1</x:v>
      </x:c>
      <x:c r="L1285" s="81" t="n">
        <x:v>-1</x:v>
      </x:c>
      <x:c r="M1285" s="80" t="n">
        <x:v>0.000002</x:v>
      </x:c>
      <x:c r="N1285" s="82" t="n">
        <x:v>0.28281244118037285</x:v>
      </x:c>
      <x:c r="O1285" s="82" t="n">
        <x:v>0.2042737509569988</x:v>
      </x:c>
      <x:c r="P1285" s="80" t="n">
        <x:v>409.65065311836895</x:v>
      </x:c>
      <x:c r="Q1285" s="81" t="n">
        <x:v>198337379163.6127</x:v>
      </x:c>
      <x:c r="R1285" s="81" t="n">
        <x:v>5.0675111166728914</x:v>
      </x:c>
      <x:c r="S1285" s="81" t="n">
        <x:v>5.348672067106018e-10</x:v>
      </x:c>
      <x:c r="T1285" s="81" t="n">
        <x:v>4.278389293406049e-24</x:v>
      </x:c>
    </x:row>
    <x:row r="1286">
      <x:c r="A1286" s="59" t="n">
        <x:v>1283</x:v>
      </x:c>
      <x:c r="B1286" s="193" t="n">
        <x:v>0.6334827162325383</x:v>
      </x:c>
      <x:c r="C1286" s="83" t="n">
        <x:v>0.19772100820773278</x:v>
      </x:c>
      <x:c r="D1286" s="83" t="n">
        <x:v>1.002769041988838</x:v>
      </x:c>
      <x:c r="E1286" s="81" t="n">
        <x:v>0.02843808760820598</x:v>
      </x:c>
      <x:c r="F1286" s="81" t="n">
        <x:v>0.8516624081181362</x:v>
      </x:c>
      <x:c r="G1286" s="81" t="n">
        <x:v>-0.05</x:v>
      </x:c>
      <x:c r="H1286" s="59" t="n">
        <x:v>0</x:v>
      </x:c>
      <x:c r="I1286" s="81" t="n">
        <x:v>0</x:v>
      </x:c>
      <x:c r="J1286" s="79" t="n">
        <x:v>0.00003895547035304032</x:v>
      </x:c>
      <x:c r="K1286" s="81" t="n">
        <x:v>-0.9554794624536682</x:v>
      </x:c>
      <x:c r="L1286" s="81" t="n">
        <x:v>-0.958524660709899</x:v>
      </x:c>
      <x:c r="M1286" s="80" t="n">
        <x:v>1386.7917089926402</x:v>
      </x:c>
      <x:c r="N1286" s="82" t="n">
        <x:v>0.25300121080752</x:v>
      </x:c>
      <x:c r="O1286" s="82" t="n">
        <x:v>0.20354527232612277</x:v>
      </x:c>
      <x:c r="P1286" s="80" t="n">
        <x:v>3582.3079220486957</x:v>
      </x:c>
      <x:c r="Q1286" s="81" t="n">
        <x:v>0.014433862361367565</x:v>
      </x:c>
      <x:c r="R1286" s="81" t="n">
        <x:v>80.4386509068352</x:v>
      </x:c>
      <x:c r="S1286" s="81" t="n">
        <x:v>3.938636014986434</x:v>
      </x:c>
      <x:c r="T1286" s="81" t="n">
        <x:v>0.8438605361768229</x:v>
      </x:c>
    </x:row>
    <x:row r="1287">
      <x:c r="A1287" s="59" t="n">
        <x:v>1284</x:v>
      </x:c>
      <x:c r="B1287" s="193" t="n">
        <x:v>0.4608141237869859</x:v>
      </x:c>
      <x:c r="C1287" s="83" t="n">
        <x:v>1.593305467686809</x:v>
      </x:c>
      <x:c r="D1287" s="83" t="n">
        <x:v>1.0958488619130582</x:v>
      </x:c>
      <x:c r="E1287" s="81" t="n">
        <x:v>0.09734986848044327</x:v>
      </x:c>
      <x:c r="F1287" s="81" t="n">
        <x:v>0.5229196261963807</x:v>
      </x:c>
      <x:c r="G1287" s="81" t="n">
        <x:v>-0.024077775037593382</x:v>
      </x:c>
      <x:c r="H1287" s="59" t="n">
        <x:v>26</x:v>
      </x:c>
      <x:c r="I1287" s="81" t="n">
        <x:v>0.3415070440620184</x:v>
      </x:c>
      <x:c r="J1287" s="79" t="n">
        <x:v>0.02234218742173136</x:v>
      </x:c>
      <x:c r="K1287" s="81" t="n">
        <x:v>24.533928481978702</x:v>
      </x:c>
      <x:c r="L1287" s="81" t="n">
        <x:v>-0.9221180043477512</x:v>
      </x:c>
      <x:c r="M1287" s="80" t="n">
        <x:v>91509.95235748535</x:v>
      </x:c>
      <x:c r="N1287" s="82" t="n">
        <x:v>0.211868314550881</x:v>
      </x:c>
      <x:c r="O1287" s="82" t="n">
        <x:v>0.10465787093973333</x:v>
      </x:c>
      <x:c r="P1287" s="80" t="n">
        <x:v>158369.90900617238</x:v>
      </x:c>
      <x:c r="Q1287" s="81" t="n">
        <x:v>0.0029301192596392464</x:v>
      </x:c>
      <x:c r="R1287" s="81" t="n">
        <x:v>383.96229671046734</x:v>
      </x:c>
      <x:c r="S1287" s="81" t="n">
        <x:v>273.98980677702946</x:v>
      </x:c>
      <x:c r="T1287" s="81" t="n">
        <x:v>483.98055744676265</x:v>
      </x:c>
    </x:row>
    <x:row r="1288">
      <x:c r="A1288" s="59" t="n">
        <x:v>1285</x:v>
      </x:c>
      <x:c r="B1288" s="193" t="n">
        <x:v>0.627390681579709</x:v>
      </x:c>
      <x:c r="C1288" s="83" t="n">
        <x:v>0.10671906552340939</x:v>
      </x:c>
      <x:c r="D1288" s="83" t="n">
        <x:v>2.4930542878961597</x:v>
      </x:c>
      <x:c r="E1288" s="81" t="n">
        <x:v>0.028042421511274597</x:v>
      </x:c>
      <x:c r="F1288" s="81" t="n">
        <x:v>0.8038422813173384</x:v>
      </x:c>
      <x:c r="G1288" s="81" t="n">
        <x:v>0.03903149710766335</x:v>
      </x:c>
      <x:c r="H1288" s="59" t="n">
        <x:v>0</x:v>
      </x:c>
      <x:c r="I1288" s="81" t="n">
        <x:v>0</x:v>
      </x:c>
      <x:c r="J1288" s="79" t="n">
        <x:v>0.002105769054723189</x:v>
      </x:c>
      <x:c r="K1288" s="81" t="n">
        <x:v>1.4065932053979306</x:v>
      </x:c>
      <x:c r="L1288" s="81" t="n">
        <x:v>-0.8063742324463159</x:v>
      </x:c>
      <x:c r="M1288" s="80" t="n">
        <x:v>11920.880565412619</x:v>
      </x:c>
      <x:c r="N1288" s="82" t="n">
        <x:v>0.2515499739275664</x:v>
      </x:c>
      <x:c r="O1288" s="82" t="n">
        <x:v>0.19101438055231812</x:v>
      </x:c>
      <x:c r="P1288" s="80" t="n">
        <x:v>52851.845806057856</x:v>
      </x:c>
      <x:c r="Q1288" s="81" t="n">
        <x:v>0.016579945711428238</x:v>
      </x:c>
      <x:c r="R1288" s="81" t="n">
        <x:v>415.825140514847</x:v>
      </x:c>
      <x:c r="S1288" s="81" t="n">
        <x:v>385.46681995181973</x:v>
      </x:c>
      <x:c r="T1288" s="81" t="n">
        <x:v>45.61555508068935</x:v>
      </x:c>
    </x:row>
    <x:row r="1289">
      <x:c r="A1289" s="59" t="n">
        <x:v>1286</x:v>
      </x:c>
      <x:c r="B1289" s="193" t="n">
        <x:v>0.9145231395959854</x:v>
      </x:c>
      <x:c r="C1289" s="83" t="n">
        <x:v>2.668843131213745</x:v>
      </x:c>
      <x:c r="D1289" s="83" t="n">
        <x:v>1.0079372016756099</x:v>
      </x:c>
      <x:c r="E1289" s="81" t="n">
        <x:v>-0.14050017157554093</x:v>
      </x:c>
      <x:c r="F1289" s="81" t="n">
        <x:v>0.2580657497863285</x:v>
      </x:c>
      <x:c r="G1289" s="81" t="n">
        <x:v>0.0022399690815094724</x:v>
      </x:c>
      <x:c r="H1289" s="59" t="n">
        <x:v>0</x:v>
      </x:c>
      <x:c r="I1289" s="81" t="n">
        <x:v>0</x:v>
      </x:c>
      <x:c r="J1289" s="79" t="n">
        <x:v>1.2598301210301496e-53</x:v>
      </x:c>
      <x:c r="K1289" s="81" t="n">
        <x:v>-1</x:v>
      </x:c>
      <x:c r="L1289" s="81" t="n">
        <x:v>-1</x:v>
      </x:c>
      <x:c r="M1289" s="80" t="n">
        <x:v>0.000002</x:v>
      </x:c>
      <x:c r="N1289" s="82" t="n">
        <x:v>0.3199503091606311</x:v>
      </x:c>
      <x:c r="O1289" s="82" t="n">
        <x:v>0.07799806797274077</x:v>
      </x:c>
      <x:c r="P1289" s="80" t="n">
        <x:v>503.10380468856204</x:v>
      </x:c>
      <x:c r="Q1289" s="81" t="n">
        <x:v>1.301671253375023e+36</x:v>
      </x:c>
      <x:c r="R1289" s="81" t="n">
        <x:v>0.7065802983176184</x:v>
      </x:c>
      <x:c r="S1289" s="81" t="n">
        <x:v>2.4730392584279295e-10</x:v>
      </x:c>
      <x:c r="T1289" s="81" t="n">
        <x:v>2.7290670906794507e-49</x:v>
      </x:c>
    </x:row>
    <x:row r="1290">
      <x:c r="A1290" s="59" t="n">
        <x:v>1287</x:v>
      </x:c>
      <x:c r="B1290" s="193" t="n">
        <x:v>0.593264072202146</x:v>
      </x:c>
      <x:c r="C1290" s="83" t="n">
        <x:v>0.3774730494191483</x:v>
      </x:c>
      <x:c r="D1290" s="83" t="n">
        <x:v>0.4142899276284099</x:v>
      </x:c>
      <x:c r="E1290" s="81" t="n">
        <x:v>-0.03521632208335384</x:v>
      </x:c>
      <x:c r="F1290" s="81" t="n">
        <x:v>0.4335607626941055</x:v>
      </x:c>
      <x:c r="G1290" s="81" t="n">
        <x:v>0.009202288318382636</x:v>
      </x:c>
      <x:c r="H1290" s="59" t="n">
        <x:v>0</x:v>
      </x:c>
      <x:c r="I1290" s="81" t="n">
        <x:v>0</x:v>
      </x:c>
      <x:c r="J1290" s="79" t="n">
        <x:v>3.4626914419202926e-14</x:v>
      </x:c>
      <x:c r="K1290" s="81" t="n">
        <x:v>-0.9999999999604264</x:v>
      </x:c>
      <x:c r="L1290" s="81" t="n">
        <x:v>-0.9999999999604264</x:v>
      </x:c>
      <x:c r="M1290" s="80" t="n">
        <x:v>0.04488991470438058</x:v>
      </x:c>
      <x:c r="N1290" s="82" t="n">
        <x:v>0.2434203756999049</x:v>
      </x:c>
      <x:c r="O1290" s="82" t="n">
        <x:v>0.09969602477517717</x:v>
      </x:c>
      <x:c r="P1290" s="80" t="n">
        <x:v>423.2443646539482</x:v>
      </x:c>
      <x:c r="Q1290" s="81" t="n">
        <x:v>38.48772688021976</x:v>
      </x:c>
      <x:c r="R1290" s="81" t="n">
        <x:v>17.34436159396524</x:v>
      </x:c>
      <x:c r="S1290" s="81" t="n">
        <x:v>0.000006825867751211179</x:v>
      </x:c>
      <x:c r="T1290" s="81" t="n">
        <x:v>7.500945644635763e-10</x:v>
      </x:c>
    </x:row>
    <x:row r="1291">
      <x:c r="A1291" s="59" t="n">
        <x:v>1288</x:v>
      </x:c>
      <x:c r="B1291" s="193" t="n">
        <x:v>0.32180799096822743</x:v>
      </x:c>
      <x:c r="C1291" s="83" t="n">
        <x:v>0.852635868984265</x:v>
      </x:c>
      <x:c r="D1291" s="83" t="n">
        <x:v>1.2922071446436043</x:v>
      </x:c>
      <x:c r="E1291" s="81" t="n">
        <x:v>-0.009195071091577476</x:v>
      </x:c>
      <x:c r="F1291" s="81" t="n">
        <x:v>0.38166833294089886</x:v>
      </x:c>
      <x:c r="G1291" s="81" t="n">
        <x:v>0.023067503056800494</x:v>
      </x:c>
      <x:c r="H1291" s="59" t="n">
        <x:v>0</x:v>
      </x:c>
      <x:c r="I1291" s="81" t="n">
        <x:v>0</x:v>
      </x:c>
      <x:c r="J1291" s="79" t="n">
        <x:v>6.872301613222069e-13</x:v>
      </x:c>
      <x:c r="K1291" s="81" t="n">
        <x:v>-0.9999999992145941</x:v>
      </x:c>
      <x:c r="L1291" s="81" t="n">
        <x:v>-0.9999999992145941</x:v>
      </x:c>
      <x:c r="M1291" s="80" t="n">
        <x:v>0.2677995814892755</x:v>
      </x:c>
      <x:c r="N1291" s="82" t="n">
        <x:v>0.17875444734846238</x:v>
      </x:c>
      <x:c r="O1291" s="82" t="n">
        <x:v>0.06444866497058223</x:v>
      </x:c>
      <x:c r="P1291" s="80" t="n">
        <x:v>2380.5973374902533</x:v>
      </x:c>
      <x:c r="Q1291" s="81" t="n">
        <x:v>43.185725732002616</x:v>
      </x:c>
      <x:c r="R1291" s="81" t="n">
        <x:v>11.543353094086676</x:v>
      </x:c>
      <x:c r="S1291" s="81" t="n">
        <x:v>0.00011134395817030427</x:v>
      </x:c>
      <x:c r="T1291" s="81" t="n">
        <x:v>1.4886905668307017e-8</x:v>
      </x:c>
    </x:row>
    <x:row r="1292">
      <x:c r="A1292" s="59" t="n">
        <x:v>1289</x:v>
      </x:c>
      <x:c r="B1292" s="193" t="n">
        <x:v>0.4116982813924551</x:v>
      </x:c>
      <x:c r="C1292" s="83" t="n">
        <x:v>0.1002953898180871</x:v>
      </x:c>
      <x:c r="D1292" s="83" t="n">
        <x:v>0.6315607974248175</x:v>
      </x:c>
      <x:c r="E1292" s="81" t="n">
        <x:v>0.07190128317078133</x:v>
      </x:c>
      <x:c r="F1292" s="81" t="n">
        <x:v>0.4048912330530584</x:v>
      </x:c>
      <x:c r="G1292" s="81" t="n">
        <x:v>0.02651903497559723</x:v>
      </x:c>
      <x:c r="H1292" s="59" t="n">
        <x:v>0</x:v>
      </x:c>
      <x:c r="I1292" s="81" t="n">
        <x:v>0</x:v>
      </x:c>
      <x:c r="J1292" s="79" t="n">
        <x:v>0.0037548526169064143</x:v>
      </x:c>
      <x:c r="K1292" s="81" t="n">
        <x:v>3.291260133607331</x:v>
      </x:c>
      <x:c r="L1292" s="81" t="n">
        <x:v>-0.6737204295538712</x:v>
      </x:c>
      <x:c r="M1292" s="80" t="n">
        <x:v>14042.08933081322</x:v>
      </x:c>
      <x:c r="N1292" s="82" t="n">
        <x:v>0.20016799997045898</x:v>
      </x:c>
      <x:c r="O1292" s="82" t="n">
        <x:v>0.07656035965525021</x:v>
      </x:c>
      <x:c r="P1292" s="80" t="n">
        <x:v>17176.815969907297</x:v>
      </x:c>
      <x:c r="Q1292" s="81" t="n">
        <x:v>0.0025580747554408336</x:v>
      </x:c>
      <x:c r="R1292" s="81" t="n">
        <x:v>681.3877272064983</x:v>
      </x:c>
      <x:c r="S1292" s="81" t="n">
        <x:v>700.2776632150446</x:v>
      </x:c>
      <x:c r="T1292" s="81" t="n">
        <x:v>81.33830534843737</x:v>
      </x:c>
    </x:row>
    <x:row r="1293">
      <x:c r="A1293" s="59" t="n">
        <x:v>1290</x:v>
      </x:c>
      <x:c r="B1293" s="193" t="n">
        <x:v>0.27370833270251754</x:v>
      </x:c>
      <x:c r="C1293" s="83" t="n">
        <x:v>0.13923416468421831</x:v>
      </x:c>
      <x:c r="D1293" s="83" t="n">
        <x:v>1.3294180105323374</x:v>
      </x:c>
      <x:c r="E1293" s="81" t="n">
        <x:v>-0.07730654669241656</x:v>
      </x:c>
      <x:c r="F1293" s="81" t="n">
        <x:v>0.31385753834620117</x:v>
      </x:c>
      <x:c r="G1293" s="81" t="n">
        <x:v>0.022275458724033373</x:v>
      </x:c>
      <x:c r="H1293" s="59" t="n">
        <x:v>51</x:v>
      </x:c>
      <x:c r="I1293" s="81" t="n">
        <x:v>0.2985400356352329</x:v>
      </x:c>
      <x:c r="J1293" s="79" t="n">
        <x:v>1.0852784325719872e-46</x:v>
      </x:c>
      <x:c r="K1293" s="81" t="n">
        <x:v>-1</x:v>
      </x:c>
      <x:c r="L1293" s="81" t="n">
        <x:v>-1</x:v>
      </x:c>
      <x:c r="M1293" s="80" t="n">
        <x:v>0.000002</x:v>
      </x:c>
      <x:c r="N1293" s="82" t="n">
        <x:v>0.16729620688097788</x:v>
      </x:c>
      <x:c r="O1293" s="82" t="n">
        <x:v>0.049600904971154845</x:v>
      </x:c>
      <x:c r="P1293" s="80" t="n">
        <x:v>262.8165965640626</x:v>
      </x:c>
      <x:c r="Q1293" s="81" t="n">
        <x:v>2.594039912577987e+29</x:v>
      </x:c>
      <x:c r="R1293" s="81" t="n">
        <x:v>10.46408846872973</x:v>
      </x:c>
      <x:c r="S1293" s="81" t="n">
        <x:v>1.3364802330611751e-9</x:v>
      </x:c>
      <x:c r="T1293" s="81" t="n">
        <x:v>2.3509500250196886e-42</x:v>
      </x:c>
    </x:row>
    <x:row r="1294">
      <x:c r="A1294" s="59" t="n">
        <x:v>1291</x:v>
      </x:c>
      <x:c r="B1294" s="193" t="n">
        <x:v>0.7139860352501273</x:v>
      </x:c>
      <x:c r="C1294" s="83" t="n">
        <x:v>0.3020611353270861</x:v>
      </x:c>
      <x:c r="D1294" s="83" t="n">
        <x:v>0.34027903895292955</x:v>
      </x:c>
      <x:c r="E1294" s="81" t="n">
        <x:v>-0.026617626436974386</x:v>
      </x:c>
      <x:c r="F1294" s="81" t="n">
        <x:v>0.6736820529331453</x:v>
      </x:c>
      <x:c r="G1294" s="81" t="n">
        <x:v>-0.003306612421826219</x:v>
      </x:c>
      <x:c r="H1294" s="59" t="n">
        <x:v>0</x:v>
      </x:c>
      <x:c r="I1294" s="81" t="n">
        <x:v>0</x:v>
      </x:c>
      <x:c r="J1294" s="79" t="n">
        <x:v>5.7454107980164686e-11</x:v>
      </x:c>
      <x:c r="K1294" s="81" t="n">
        <x:v>-0.9999999343381623</x:v>
      </x:c>
      <x:c r="L1294" s="81" t="n">
        <x:v>-0.9999999343381623</x:v>
      </x:c>
      <x:c r="M1294" s="80" t="n">
        <x:v>1.7097205425880069</x:v>
      </x:c>
      <x:c r="N1294" s="82" t="n">
        <x:v>0.27217861083474115</x:v>
      </x:c>
      <x:c r="O1294" s="82" t="n">
        <x:v>0.17321277233488622</x:v>
      </x:c>
      <x:c r="P1294" s="80" t="n">
        <x:v>339.69834552383617</x:v>
      </x:c>
      <x:c r="Q1294" s="81" t="n">
        <x:v>1.1462983088581142</x:v>
      </x:c>
      <x:c r="R1294" s="81" t="n">
        <x:v>20.383795878201884</x:v>
      </x:c>
      <x:c r="S1294" s="81" t="n">
        <x:v>0.00019476070313185297</x:v>
      </x:c>
      <x:c r="T1294" s="81" t="n">
        <x:v>0.000001244581413760774</x:v>
      </x:c>
    </x:row>
    <x:row r="1295">
      <x:c r="A1295" s="59" t="n">
        <x:v>1292</x:v>
      </x:c>
      <x:c r="B1295" s="193" t="n">
        <x:v>0.2835859248414636</x:v>
      </x:c>
      <x:c r="C1295" s="83" t="n">
        <x:v>0.4688551513869674</x:v>
      </x:c>
      <x:c r="D1295" s="83" t="n">
        <x:v>1.7261334003754274</x:v>
      </x:c>
      <x:c r="E1295" s="81" t="n">
        <x:v>0.026220293847540155</x:v>
      </x:c>
      <x:c r="F1295" s="81" t="n">
        <x:v>0.748473227827344</x:v>
      </x:c>
      <x:c r="G1295" s="81" t="n">
        <x:v>-0.03703429262832333</x:v>
      </x:c>
      <x:c r="H1295" s="59" t="n">
        <x:v>0</x:v>
      </x:c>
      <x:c r="I1295" s="81" t="n">
        <x:v>0</x:v>
      </x:c>
      <x:c r="J1295" s="79" t="n">
        <x:v>0.0005983243334478397</x:v>
      </x:c>
      <x:c r="K1295" s="81" t="n">
        <x:v>-0.31620076177389744</x:v>
      </x:c>
      <x:c r="L1295" s="81" t="n">
        <x:v>-0.8079609091587417</x:v>
      </x:c>
      <x:c r="M1295" s="80" t="n">
        <x:v>7041.265952472873</x:v>
      </x:c>
      <x:c r="N1295" s="82" t="n">
        <x:v>0.1696492345333273</x:v>
      </x:c>
      <x:c r="O1295" s="82" t="n">
        <x:v>0.11994968641586824</x:v>
      </x:c>
      <x:c r="P1295" s="80" t="n">
        <x:v>24213.901631370336</x:v>
      </x:c>
      <x:c r="Q1295" s="81" t="n">
        <x:v>0.01000633320993827</x:v>
      </x:c>
      <x:c r="R1295" s="81" t="n">
        <x:v>123.21018818512486</x:v>
      </x:c>
      <x:c r="S1295" s="81" t="n">
        <x:v>26.041865656136796</x:v>
      </x:c>
      <x:c r="T1295" s="81" t="n">
        <x:v>12.961011335639755</x:v>
      </x:c>
    </x:row>
    <x:row r="1296">
      <x:c r="A1296" s="59" t="n">
        <x:v>1293</x:v>
      </x:c>
      <x:c r="B1296" s="193" t="n">
        <x:v>0.37564965430647135</x:v>
      </x:c>
      <x:c r="C1296" s="83" t="n">
        <x:v>0.5856579383330414</x:v>
      </x:c>
      <x:c r="D1296" s="83" t="n">
        <x:v>0.389411089808742</x:v>
      </x:c>
      <x:c r="E1296" s="81" t="n">
        <x:v>-0.1254749500100767</x:v>
      </x:c>
      <x:c r="F1296" s="81" t="n">
        <x:v>0.3315575628192164</x:v>
      </x:c>
      <x:c r="G1296" s="81" t="n">
        <x:v>-0.011532663402631087</x:v>
      </x:c>
      <x:c r="H1296" s="59" t="n">
        <x:v>83</x:v>
      </x:c>
      <x:c r="I1296" s="81" t="n">
        <x:v>0.332967827282846</x:v>
      </x:c>
      <x:c r="J1296" s="79" t="n">
        <x:v>3.247719559343692e-27</x:v>
      </x:c>
      <x:c r="K1296" s="81" t="n">
        <x:v>-1</x:v>
      </x:c>
      <x:c r="L1296" s="81" t="n">
        <x:v>-1</x:v>
      </x:c>
      <x:c r="M1296" s="80" t="n">
        <x:v>0.000002</x:v>
      </x:c>
      <x:c r="N1296" s="82" t="n">
        <x:v>0.19158054108681974</x:v>
      </x:c>
      <x:c r="O1296" s="82" t="n">
        <x:v>0.06000414833148625</x:v>
      </x:c>
      <x:c r="P1296" s="80" t="n">
        <x:v>200.26951641387024</x:v>
      </x:c>
      <x:c r="Q1296" s="81" t="n">
        <x:v>5579497433.220645</x:v>
      </x:c>
      <x:c r="R1296" s="81" t="n">
        <x:v>5.31991425621249</x:v>
      </x:c>
      <x:c r="S1296" s="81" t="n">
        <x:v>1.8681475587436432e-10</x:v>
      </x:c>
      <x:c r="T1296" s="81" t="n">
        <x:v>7.035269613901164e-23</x:v>
      </x:c>
    </x:row>
    <x:row r="1297">
      <x:c r="A1297" s="59" t="n">
        <x:v>1294</x:v>
      </x:c>
      <x:c r="B1297" s="193" t="n">
        <x:v>0.5162595544010401</x:v>
      </x:c>
      <x:c r="C1297" s="83" t="n">
        <x:v>0.3352925395906047</x:v>
      </x:c>
      <x:c r="D1297" s="83" t="n">
        <x:v>1.2964142081487182</x:v>
      </x:c>
      <x:c r="E1297" s="81" t="n">
        <x:v>0.11034170045338032</x:v>
      </x:c>
      <x:c r="F1297" s="81" t="n">
        <x:v>0.5035762994666584</x:v>
      </x:c>
      <x:c r="G1297" s="81" t="n">
        <x:v>-0.02857773344570129</x:v>
      </x:c>
      <x:c r="H1297" s="59" t="n">
        <x:v>0</x:v>
      </x:c>
      <x:c r="I1297" s="81" t="n">
        <x:v>0</x:v>
      </x:c>
      <x:c r="J1297" s="79" t="n">
        <x:v>0.010064369737193385</x:v>
      </x:c>
      <x:c r="K1297" s="81" t="n">
        <x:v>10.502136842506726</x:v>
      </x:c>
      <x:c r="L1297" s="81" t="n">
        <x:v>-0.80538217579446</x:v>
      </x:c>
      <x:c r="M1297" s="80" t="n">
        <x:v>34467.39617517974</x:v>
      </x:c>
      <x:c r="N1297" s="82" t="n">
        <x:v>0.22507645572497287</x:v>
      </x:c>
      <x:c r="O1297" s="82" t="n">
        <x:v>0.10706962747547896</x:v>
      </x:c>
      <x:c r="P1297" s="80" t="n">
        <x:v>67913.7069480609</x:v>
      </x:c>
      <x:c r="Q1297" s="81" t="n">
        <x:v>0.0026371344433331677</x:v>
      </x:c>
      <x:c r="R1297" s="81" t="n">
        <x:v>1353.2904407162482</x:v>
      </x:c>
      <x:c r="S1297" s="81" t="n">
        <x:v>568.5617793331917</x:v>
      </x:c>
      <x:c r="T1297" s="81" t="n">
        <x:v>218.01622123263516</x:v>
      </x:c>
    </x:row>
    <x:row r="1298">
      <x:c r="A1298" s="59" t="n">
        <x:v>1295</x:v>
      </x:c>
      <x:c r="B1298" s="193" t="n">
        <x:v>0.8434721851721407</x:v>
      </x:c>
      <x:c r="C1298" s="83" t="n">
        <x:v>0.35324824183089215</x:v>
      </x:c>
      <x:c r="D1298" s="83" t="n">
        <x:v>0.7103542361914013</x:v>
      </x:c>
      <x:c r="E1298" s="81" t="n">
        <x:v>-0.1066551264399526</x:v>
      </x:c>
      <x:c r="F1298" s="81" t="n">
        <x:v>0.5280633836868219</x:v>
      </x:c>
      <x:c r="G1298" s="81" t="n">
        <x:v>0.04326724532483204</x:v>
      </x:c>
      <x:c r="H1298" s="59" t="n">
        <x:v>0</x:v>
      </x:c>
      <x:c r="I1298" s="81" t="n">
        <x:v>0</x:v>
      </x:c>
      <x:c r="J1298" s="79" t="n">
        <x:v>6.067349236094067e-42</x:v>
      </x:c>
      <x:c r="K1298" s="81" t="n">
        <x:v>-1</x:v>
      </x:c>
      <x:c r="L1298" s="81" t="n">
        <x:v>-1</x:v>
      </x:c>
      <x:c r="M1298" s="80" t="n">
        <x:v>0.000002</x:v>
      </x:c>
      <x:c r="N1298" s="82" t="n">
        <x:v>0.3030246396114761</x:v>
      </x:c>
      <x:c r="O1298" s="82" t="n">
        <x:v>0.15115932345269031</x:v>
      </x:c>
      <x:c r="P1298" s="80" t="n">
        <x:v>204.9921836325083</x:v>
      </x:c>
      <x:c r="Q1298" s="81" t="n">
        <x:v>3.454827538613259e+24</x:v>
      </x:c>
      <x:c r="R1298" s="81" t="n">
        <x:v>5.278353777827023</x:v>
      </x:c>
      <x:c r="S1298" s="81" t="n">
        <x:v>7.698646998746016e-10</x:v>
      </x:c>
      <x:c r="T1298" s="81" t="n">
        <x:v>1.3143203080701037e-37</x:v>
      </x:c>
    </x:row>
    <x:row r="1299">
      <x:c r="A1299" s="59" t="n">
        <x:v>1296</x:v>
      </x:c>
      <x:c r="B1299" s="193" t="n">
        <x:v>0.2637546328827739</x:v>
      </x:c>
      <x:c r="C1299" s="83" t="n">
        <x:v>1.3723000585757816</x:v>
      </x:c>
      <x:c r="D1299" s="83" t="n">
        <x:v>1.2258778559285326</x:v>
      </x:c>
      <x:c r="E1299" s="81" t="n">
        <x:v>-0.11316453549757699</x:v>
      </x:c>
      <x:c r="F1299" s="81" t="n">
        <x:v>0.2638516407343559</x:v>
      </x:c>
      <x:c r="G1299" s="81" t="n">
        <x:v>-0.009771190758347478</x:v>
      </x:c>
      <x:c r="H1299" s="59" t="n">
        <x:v>0</x:v>
      </x:c>
      <x:c r="I1299" s="81" t="n">
        <x:v>0</x:v>
      </x:c>
      <x:c r="J1299" s="79" t="n">
        <x:v>2.9949140358704726e-50</x:v>
      </x:c>
      <x:c r="K1299" s="81" t="n">
        <x:v>-1</x:v>
      </x:c>
      <x:c r="L1299" s="81" t="n">
        <x:v>-1</x:v>
      </x:c>
      <x:c r="M1299" s="80" t="n">
        <x:v>0.000002</x:v>
      </x:c>
      <x:c r="N1299" s="82" t="n">
        <x:v>0.16492504895204335</x:v>
      </x:c>
      <x:c r="O1299" s="82" t="n">
        <x:v>0.04110714951636818</x:v>
      </x:c>
      <x:c r="P1299" s="80" t="n">
        <x:v>402.27552171565713</x:v>
      </x:c>
      <x:c r="Q1299" s="81" t="n">
        <x:v>6.635283088186257e+32</x:v>
      </x:c>
      <x:c r="R1299" s="81" t="n">
        <x:v>1.1577254437756637</x:v>
      </x:c>
      <x:c r="S1299" s="81" t="n">
        <x:v>4.0169611756256447e-10</x:v>
      </x:c>
      <x:c r="T1299" s="81" t="n">
        <x:v>6.4876376570714516e-46</x:v>
      </x:c>
    </x:row>
    <x:row r="1300">
      <x:c r="A1300" s="59" t="n">
        <x:v>1297</x:v>
      </x:c>
      <x:c r="B1300" s="193" t="n">
        <x:v>0.7778784051537515</x:v>
      </x:c>
      <x:c r="C1300" s="83" t="n">
        <x:v>2.0565202743273123</x:v>
      </x:c>
      <x:c r="D1300" s="83" t="n">
        <x:v>0.9919019892364324</x:v>
      </x:c>
      <x:c r="E1300" s="81" t="n">
        <x:v>0.01948906483879238</x:v>
      </x:c>
      <x:c r="F1300" s="81" t="n">
        <x:v>0.6475670711952262</x:v>
      </x:c>
      <x:c r="G1300" s="81" t="n">
        <x:v>-0.05</x:v>
      </x:c>
      <x:c r="H1300" s="59" t="n">
        <x:v>0</x:v>
      </x:c>
      <x:c r="I1300" s="81" t="n">
        <x:v>0</x:v>
      </x:c>
      <x:c r="J1300" s="79" t="n">
        <x:v>0.00015495626314989815</x:v>
      </x:c>
      <x:c r="K1300" s="81" t="n">
        <x:v>-0.8229071278286878</x:v>
      </x:c>
      <x:c r="L1300" s="81" t="n">
        <x:v>-0.8844341704904892</x:v>
      </x:c>
      <x:c r="M1300" s="80" t="n">
        <x:v>6852.191936992766</x:v>
      </x:c>
      <x:c r="N1300" s="82" t="n">
        <x:v>0.2873989713277202</x:v>
      </x:c>
      <x:c r="O1300" s="82" t="n">
        <x:v>0.17580892077027457</x:v>
      </x:c>
      <x:c r="P1300" s="80" t="n">
        <x:v>16263.006745050752</x:v>
      </x:c>
      <x:c r="Q1300" s="81" t="n">
        <x:v>0.01770636076168131</x:v>
      </x:c>
      <x:c r="R1300" s="81" t="n">
        <x:v>15.659453959743896</x:v>
      </x:c>
      <x:c r="S1300" s="81" t="n">
        <x:v>1.9317246705496989</x:v>
      </x:c>
      <x:c r="T1300" s="81" t="n">
        <x:v>3.3566909633122806</x:v>
      </x:c>
    </x:row>
    <x:row r="1301">
      <x:c r="A1301" s="59" t="n">
        <x:v>1298</x:v>
      </x:c>
      <x:c r="B1301" s="193" t="n">
        <x:v>0.4084915410727263</x:v>
      </x:c>
      <x:c r="C1301" s="83" t="n">
        <x:v>0.3370550090435744</x:v>
      </x:c>
      <x:c r="D1301" s="83" t="n">
        <x:v>1.4466113263468459</x:v>
      </x:c>
      <x:c r="E1301" s="81" t="n">
        <x:v>-0.01047208746865384</x:v>
      </x:c>
      <x:c r="F1301" s="81" t="n">
        <x:v>0.8548422464053147</x:v>
      </x:c>
      <x:c r="G1301" s="81" t="n">
        <x:v>-0.0014708696779915976</x:v>
      </x:c>
      <x:c r="H1301" s="59" t="n">
        <x:v>0</x:v>
      </x:c>
      <x:c r="I1301" s="81" t="n">
        <x:v>0</x:v>
      </x:c>
      <x:c r="J1301" s="79" t="n">
        <x:v>3.317712789078634e-14</x:v>
      </x:c>
      <x:c r="K1301" s="81" t="n">
        <x:v>-0.9999999999620833</x:v>
      </x:c>
      <x:c r="L1301" s="81" t="n">
        <x:v>-0.9999999999620833</x:v>
      </x:c>
      <x:c r="M1301" s="80" t="n">
        <x:v>0.04265278267229786</x:v>
      </x:c>
      <x:c r="N1301" s="82" t="n">
        <x:v>0.19940409429991846</x:v>
      </x:c>
      <x:c r="O1301" s="82" t="n">
        <x:v>0.161024140631192</x:v>
      </x:c>
      <x:c r="P1301" s="80" t="n">
        <x:v>1194.413705410596</x:v>
      </x:c>
      <x:c r="Q1301" s="81" t="n">
        <x:v>125.27250038663452</x:v>
      </x:c>
      <x:c r="R1301" s="81" t="n">
        <x:v>17.30989222143609</x:v>
      </x:c>
      <x:c r="S1301" s="81" t="n">
        <x:v>0.000020440722236219138</x:v>
      </x:c>
      <x:c r="T1301" s="81" t="n">
        <x:v>7.186890230563198e-10</x:v>
      </x:c>
    </x:row>
    <x:row r="1302">
      <x:c r="A1302" s="59" t="n">
        <x:v>1299</x:v>
      </x:c>
      <x:c r="B1302" s="193" t="n">
        <x:v>0.29379587676376107</x:v>
      </x:c>
      <x:c r="C1302" s="83" t="n">
        <x:v>2.979000858696094</x:v>
      </x:c>
      <x:c r="D1302" s="83" t="n">
        <x:v>1.4523131711309192</x:v>
      </x:c>
      <x:c r="E1302" s="81" t="n">
        <x:v>0.03773832074430443</x:v>
      </x:c>
      <x:c r="F1302" s="81" t="n">
        <x:v>0.7891356384498067</x:v>
      </x:c>
      <x:c r="G1302" s="81" t="n">
        <x:v>0.02624188113364086</x:v>
      </x:c>
      <x:c r="H1302" s="59" t="n">
        <x:v>0</x:v>
      </x:c>
      <x:c r="I1302" s="81" t="n">
        <x:v>0</x:v>
      </x:c>
      <x:c r="J1302" s="79" t="n">
        <x:v>0.02610988922020937</x:v>
      </x:c>
      <x:c r="K1302" s="81" t="n">
        <x:v>28.839873394524997</x:v>
      </x:c>
      <x:c r="L1302" s="81" t="n">
        <x:v>-0.5397944875340013</x:v>
      </x:c>
      <x:c r="M1302" s="80" t="n">
        <x:v>138756.67540217986</x:v>
      </x:c>
      <x:c r="N1302" s="82" t="n">
        <x:v>0.17208143651781727</x:v>
      </x:c>
      <x:c r="O1302" s="82" t="n">
        <x:v>0.12827931195125736</x:v>
      </x:c>
      <x:c r="P1302" s="80" t="n">
        <x:v>356645.35361168976</x:v>
      </x:c>
      <x:c r="Q1302" s="81" t="n">
        <x:v>0.008487778822804526</x:v>
      </x:c>
      <x:c r="R1302" s="81" t="n">
        <x:v>84.478294533939</x:v>
      </x:c>
      <x:c r="S1302" s="81" t="n">
        <x:v>194.0326525552046</x:v>
      </x:c>
      <x:c r="T1302" s="81" t="n">
        <x:v>565.5972041206204</x:v>
      </x:c>
    </x:row>
    <x:row r="1303">
      <x:c r="A1303" s="59" t="n">
        <x:v>1300</x:v>
      </x:c>
      <x:c r="B1303" s="193" t="n">
        <x:v>0.3186495451256633</x:v>
      </x:c>
      <x:c r="C1303" s="83" t="n">
        <x:v>2.694457101205126</x:v>
      </x:c>
      <x:c r="D1303" s="83" t="n">
        <x:v>2.330602297168421</x:v>
      </x:c>
      <x:c r="E1303" s="81" t="n">
        <x:v>-0.01653162344131549</x:v>
      </x:c>
      <x:c r="F1303" s="81" t="n">
        <x:v>0.8281410675030202</x:v>
      </x:c>
      <x:c r="G1303" s="81" t="n">
        <x:v>-0.006658428565431311</x:v>
      </x:c>
      <x:c r="H1303" s="59" t="n">
        <x:v>65</x:v>
      </x:c>
      <x:c r="I1303" s="81" t="n">
        <x:v>0.24017708553001285</x:v>
      </x:c>
      <x:c r="J1303" s="79" t="n">
        <x:v>4.158756604248997e-25</x:v>
      </x:c>
      <x:c r="K1303" s="81" t="n">
        <x:v>-1</x:v>
      </x:c>
      <x:c r="L1303" s="81" t="n">
        <x:v>-1</x:v>
      </x:c>
      <x:c r="M1303" s="80" t="n">
        <x:v>0.000002</x:v>
      </x:c>
      <x:c r="N1303" s="82" t="n">
        <x:v>0.17800204632790412</x:v>
      </x:c>
      <x:c r="O1303" s="82" t="n">
        <x:v>0.13925162077487627</x:v>
      </x:c>
      <x:c r="P1303" s="80" t="n">
        <x:v>3391.0816566519125</x:v>
      </x:c>
      <x:c r="Q1303" s="81" t="n">
        <x:v>298701007.10480094</x:v>
      </x:c>
      <x:c r="R1303" s="81" t="n">
        <x:v>3.3695466471401</x:v>
      </x:c>
      <x:c r="S1303" s="81" t="n">
        <x:v>5.094732859710411e-10</x:v>
      </x:c>
      <x:c r="T1303" s="81" t="n">
        <x:v>9.0087747525209e-21</x:v>
      </x:c>
    </x:row>
    <x:row r="1304">
      <x:c r="A1304" s="59" t="n">
        <x:v>1301</x:v>
      </x:c>
      <x:c r="B1304" s="193" t="n">
        <x:v>0.5584322713315487</x:v>
      </x:c>
      <x:c r="C1304" s="83" t="n">
        <x:v>0.44260246345553983</x:v>
      </x:c>
      <x:c r="D1304" s="83" t="n">
        <x:v>0.4515485058763825</x:v>
      </x:c>
      <x:c r="E1304" s="81" t="n">
        <x:v>0.012138298227653228</x:v>
      </x:c>
      <x:c r="F1304" s="81" t="n">
        <x:v>0.6234872974804603</x:v>
      </x:c>
      <x:c r="G1304" s="81" t="n">
        <x:v>0.010392923484363388</x:v>
      </x:c>
      <x:c r="H1304" s="59" t="n">
        <x:v>0</x:v>
      </x:c>
      <x:c r="I1304" s="81" t="n">
        <x:v>0</x:v>
      </x:c>
      <x:c r="J1304" s="79" t="n">
        <x:v>0.000015604263306380126</x:v>
      </x:c>
      <x:c r="K1304" s="81" t="n">
        <x:v>-0.9821665562212799</x:v>
      </x:c>
      <x:c r="L1304" s="81" t="n">
        <x:v>-0.9836194473305028</x:v>
      </x:c>
      <x:c r="M1304" s="80" t="n">
        <x:v>993.698340223338</x:v>
      </x:c>
      <x:c r="N1304" s="82" t="n">
        <x:v>0.2351227876362622</x:v>
      </x:c>
      <x:c r="O1304" s="82" t="n">
        <x:v>0.13848198301160144</x:v>
      </x:c>
      <x:c r="P1304" s="80" t="n">
        <x:v>1680.8526017764184</x:v>
      </x:c>
      <x:c r="Q1304" s="81" t="n">
        <x:v>0.018999093956545143</x:v>
      </x:c>
      <x:c r="R1304" s="81" t="n">
        <x:v>26.70745108546038</x:v>
      </x:c>
      <x:c r="S1304" s="81" t="n">
        <x:v>0.8107434274128016</x:v>
      </x:c>
      <x:c r="T1304" s="81" t="n">
        <x:v>0.33802241074310524</x:v>
      </x:c>
    </x:row>
    <x:row r="1305">
      <x:c r="A1305" s="59" t="n">
        <x:v>1302</x:v>
      </x:c>
      <x:c r="B1305" s="193" t="n">
        <x:v>0.7827384082600475</x:v>
      </x:c>
      <x:c r="C1305" s="83" t="n">
        <x:v>0.20132020410854365</x:v>
      </x:c>
      <x:c r="D1305" s="83" t="n">
        <x:v>0.87975716981419</x:v>
      </x:c>
      <x:c r="E1305" s="81" t="n">
        <x:v>-0.2</x:v>
      </x:c>
      <x:c r="F1305" s="81" t="n">
        <x:v>0.6644606147776357</x:v>
      </x:c>
      <x:c r="G1305" s="81" t="n">
        <x:v>-0.021236396448885805</x:v>
      </x:c>
      <x:c r="H1305" s="59" t="n">
        <x:v>0</x:v>
      </x:c>
      <x:c r="I1305" s="81" t="n">
        <x:v>0</x:v>
      </x:c>
      <x:c r="J1305" s="79" t="n">
        <x:v>6.851725569962421e-56</x:v>
      </x:c>
      <x:c r="K1305" s="81" t="n">
        <x:v>-1</x:v>
      </x:c>
      <x:c r="L1305" s="81" t="n">
        <x:v>-1</x:v>
      </x:c>
      <x:c r="M1305" s="80" t="n">
        <x:v>0.000002</x:v>
      </x:c>
      <x:c r="N1305" s="82" t="n">
        <x:v>0.28855671519269827</x:v>
      </x:c>
      <x:c r="O1305" s="82" t="n">
        <x:v>0.18112206919111046</x:v>
      </x:c>
      <x:c r="P1305" s="80" t="n">
        <x:v>118.76555290321895</x:v>
      </x:c>
      <x:c r="Q1305" s="81" t="n">
        <x:v>1.7690743736659323e+38</x:v>
      </x:c>
      <x:c r="R1305" s="81" t="n">
        <x:v>3.838851851594434</x:v>
      </x:c>
      <x:c r="S1305" s="81" t="n">
        <x:v>4.940696500320653e-10</x:v>
      </x:c>
      <x:c r="T1305" s="81" t="n">
        <x:v>1.4842333466405396e-51</x:v>
      </x:c>
    </x:row>
    <x:row r="1306">
      <x:c r="A1306" s="59" t="n">
        <x:v>1303</x:v>
      </x:c>
      <x:c r="B1306" s="193" t="n">
        <x:v>0.9803833663463593</x:v>
      </x:c>
      <x:c r="C1306" s="83" t="n">
        <x:v>1.963522639071959</x:v>
      </x:c>
      <x:c r="D1306" s="83" t="n">
        <x:v>0.22022083982103674</x:v>
      </x:c>
      <x:c r="E1306" s="81" t="n">
        <x:v>0.07808047417144595</x:v>
      </x:c>
      <x:c r="F1306" s="81" t="n">
        <x:v>0.6755300552933476</x:v>
      </x:c>
      <x:c r="G1306" s="81" t="n">
        <x:v>0.002733186704208428</x:v>
      </x:c>
      <x:c r="H1306" s="59" t="n">
        <x:v>0</x:v>
      </x:c>
      <x:c r="I1306" s="81" t="n">
        <x:v>0</x:v>
      </x:c>
      <x:c r="J1306" s="79" t="n">
        <x:v>0.0002510217625524565</x:v>
      </x:c>
      <x:c r="K1306" s="81" t="n">
        <x:v>-0.7131179856543355</x:v>
      </x:c>
      <x:c r="L1306" s="81" t="n">
        <x:v>-0.8286268392129736</x:v>
      </x:c>
      <x:c r="M1306" s="80" t="n">
        <x:v>8559.03566111629</x:v>
      </x:c>
      <x:c r="N1306" s="82" t="n">
        <x:v>0.3356394500518219</x:v>
      </x:c>
      <x:c r="O1306" s="82" t="n">
        <x:v>0.21418478605267446</x:v>
      </x:c>
      <x:c r="P1306" s="80" t="n">
        <x:v>4536.146502317474</x:v>
      </x:c>
      <x:c r="Q1306" s="81" t="n">
        <x:v>0.005945411928352325</x:v>
      </x:c>
      <x:c r="R1306" s="81" t="n">
        <x:v>11.538187513974519</x:v>
      </x:c>
      <x:c r="S1306" s="81" t="n">
        <x:v>2.6825924362391125</x:v>
      </x:c>
      <x:c r="T1306" s="81" t="n">
        <x:v>5.43767941241235</x:v>
      </x:c>
    </x:row>
    <x:row r="1307">
      <x:c r="A1307" s="59" t="n">
        <x:v>1304</x:v>
      </x:c>
      <x:c r="B1307" s="193" t="n">
        <x:v>0.8186021149158478</x:v>
      </x:c>
      <x:c r="C1307" s="83" t="n">
        <x:v>0.29567286568510853</x:v>
      </x:c>
      <x:c r="D1307" s="83" t="n">
        <x:v>0.8610458810020956</x:v>
      </x:c>
      <x:c r="E1307" s="81" t="n">
        <x:v>0.07927906649834554</x:v>
      </x:c>
      <x:c r="F1307" s="81" t="n">
        <x:v>0.6863312524626963</x:v>
      </x:c>
      <x:c r="G1307" s="81" t="n">
        <x:v>-0.023228626077336872</x:v>
      </x:c>
      <x:c r="H1307" s="59" t="n">
        <x:v>0</x:v>
      </x:c>
      <x:c r="I1307" s="81" t="n">
        <x:v>0</x:v>
      </x:c>
      <x:c r="J1307" s="79" t="n">
        <x:v>0.0006199761919303223</x:v>
      </x:c>
      <x:c r="K1307" s="81" t="n">
        <x:v>-0.29145578065106015</x:v>
      </x:c>
      <x:c r="L1307" s="81" t="n">
        <x:v>-0.828843011643108</x:v>
      </x:c>
      <x:c r="M1307" s="80" t="n">
        <x:v>6875.977142507407</x:v>
      </x:c>
      <x:c r="N1307" s="82" t="n">
        <x:v>0.2971001225626098</x:v>
      </x:c>
      <x:c r="O1307" s="82" t="n">
        <x:v>0.19262273632270765</x:v>
      </x:c>
      <x:c r="P1307" s="80" t="n">
        <x:v>11246.387629440049</x:v>
      </x:c>
      <x:c r="Q1307" s="81" t="n">
        <x:v>0.005784078676379034</x:v>
      </x:c>
      <x:c r="R1307" s="81" t="n">
        <x:v>170.81026903307196</x:v>
      </x:c>
      <x:c r="S1307" s="81" t="n">
        <x:v>40.54302966033123</x:v>
      </x:c>
      <x:c r="T1307" s="81" t="n">
        <x:v>13.430037861123012</x:v>
      </x:c>
    </x:row>
    <x:row r="1308">
      <x:c r="A1308" s="59" t="n">
        <x:v>1305</x:v>
      </x:c>
      <x:c r="B1308" s="193" t="n">
        <x:v>0.3485837567597628</x:v>
      </x:c>
      <x:c r="C1308" s="83" t="n">
        <x:v>0.4355344437629121</x:v>
      </x:c>
      <x:c r="D1308" s="83" t="n">
        <x:v>0.5624519421506677</x:v>
      </x:c>
      <x:c r="E1308" s="81" t="n">
        <x:v>-0.09112511036487217</x:v>
      </x:c>
      <x:c r="F1308" s="81" t="n">
        <x:v>0.3478267724858597</x:v>
      </x:c>
      <x:c r="G1308" s="81" t="n">
        <x:v>0.04181429214703833</x:v>
      </x:c>
      <x:c r="H1308" s="59" t="n">
        <x:v>42</x:v>
      </x:c>
      <x:c r="I1308" s="81" t="n">
        <x:v>0.23800384057685733</x:v>
      </x:c>
      <x:c r="J1308" s="79" t="n">
        <x:v>4.251712345660719e-33</x:v>
      </x:c>
      <x:c r="K1308" s="81" t="n">
        <x:v>-1</x:v>
      </x:c>
      <x:c r="L1308" s="81" t="n">
        <x:v>-1</x:v>
      </x:c>
      <x:c r="M1308" s="80" t="n">
        <x:v>0.000002</x:v>
      </x:c>
      <x:c r="N1308" s="82" t="n">
        <x:v>0.1851329368056147</x:v>
      </x:c>
      <x:c r="O1308" s="82" t="n">
        <x:v>0.06082997518137759</x:v>
      </x:c>
      <x:c r="P1308" s="80" t="n">
        <x:v>250.18589595923578</x:v>
      </x:c>
      <x:c r="Q1308" s="81" t="n">
        <x:v>5689412335057384</x:v>
      </x:c>
      <x:c r="R1308" s="81" t="n">
        <x:v>6.757824758006056</x:v>
      </x:c>
      <x:c r="S1308" s="81" t="n">
        <x:v>5.649690975733696e-10</x:v>
      </x:c>
      <x:c r="T1308" s="81" t="n">
        <x:v>9.210137182694428e-29</x:v>
      </x:c>
    </x:row>
    <x:row r="1309">
      <x:c r="A1309" s="59" t="n">
        <x:v>1306</x:v>
      </x:c>
      <x:c r="B1309" s="193" t="n">
        <x:v>0.34696378298103814</x:v>
      </x:c>
      <x:c r="C1309" s="83" t="n">
        <x:v>0.27367517953743337</x:v>
      </x:c>
      <x:c r="D1309" s="83" t="n">
        <x:v>0.8748252875376065</x:v>
      </x:c>
      <x:c r="E1309" s="81" t="n">
        <x:v>0.04071439707847575</x:v>
      </x:c>
      <x:c r="F1309" s="81" t="n">
        <x:v>0.27329889045795425</x:v>
      </x:c>
      <x:c r="G1309" s="81" t="n">
        <x:v>0.010176299026557733</x:v>
      </x:c>
      <x:c r="H1309" s="59" t="n">
        <x:v>0</x:v>
      </x:c>
      <x:c r="I1309" s="81" t="n">
        <x:v>0</x:v>
      </x:c>
      <x:c r="J1309" s="79" t="n">
        <x:v>0.005209501359866533</x:v>
      </x:c>
      <x:c r="K1309" s="81" t="n">
        <x:v>4.953715839847467</x:v>
      </x:c>
      <x:c r="L1309" s="81" t="n">
        <x:v>-0.5303987094160175</x:v>
      </x:c>
      <x:c r="M1309" s="80" t="n">
        <x:v>18075.859514535085</x:v>
      </x:c>
      <x:c r="N1309" s="82" t="n">
        <x:v>0.18474702867701442</x:v>
      </x:c>
      <x:c r="O1309" s="82" t="n">
        <x:v>0.04769647378136114</x:v>
      </x:c>
      <x:c r="P1309" s="80" t="n">
        <x:v>29920.835983158897</x:v>
      </x:c>
      <x:c r="Q1309" s="81" t="n">
        <x:v>0.002735513849989732</x:v>
      </x:c>
      <x:c r="R1309" s="81" t="n">
        <x:v>297.10042869394243</x:v>
      </x:c>
      <x:c r="S1309" s="81" t="n">
        <x:v>359.80802935393615</x:v>
      </x:c>
      <x:c r="T1309" s="81" t="n">
        <x:v>112.8491729379867</x:v>
      </x:c>
    </x:row>
    <x:row r="1310">
      <x:c r="A1310" s="59" t="n">
        <x:v>1307</x:v>
      </x:c>
      <x:c r="B1310" s="193" t="n">
        <x:v>0.8370458221063017</x:v>
      </x:c>
      <x:c r="C1310" s="83" t="n">
        <x:v>0.9629718268238521</x:v>
      </x:c>
      <x:c r="D1310" s="83" t="n">
        <x:v>0.5250372091518487</x:v>
      </x:c>
      <x:c r="E1310" s="81" t="n">
        <x:v>0.1070565664961244</x:v>
      </x:c>
      <x:c r="F1310" s="81" t="n">
        <x:v>0.7761793464655057</x:v>
      </x:c>
      <x:c r="G1310" s="81" t="n">
        <x:v>0.01171801088907341</x:v>
      </x:c>
      <x:c r="H1310" s="59" t="n">
        <x:v>0</x:v>
      </x:c>
      <x:c r="I1310" s="81" t="n">
        <x:v>0</x:v>
      </x:c>
      <x:c r="J1310" s="79" t="n">
        <x:v>0.001622608424160517</x:v>
      </x:c>
      <x:c r="K1310" s="81" t="n">
        <x:v>0.8544096276120197</x:v>
      </x:c>
      <x:c r="L1310" s="81" t="n">
        <x:v>-0.7715548860095062</x:v>
      </x:c>
      <x:c r="M1310" s="80" t="n">
        <x:v>16894.94786823187</x:v>
      </x:c>
      <x:c r="N1310" s="82" t="n">
        <x:v>0.3014937594348854</x:v>
      </x:c>
      <x:c r="O1310" s="82" t="n">
        <x:v>0.22106060351447748</x:v>
      </x:c>
      <x:c r="P1310" s="80" t="n">
        <x:v>17180.090664312098</x:v>
      </x:c>
      <x:c r="Q1310" s="81" t="n">
        <x:v>0.005076905194917909</x:v>
      </x:c>
      <x:c r="R1310" s="81" t="n">
        <x:v>58.159326058584945</x:v>
      </x:c>
      <x:c r="S1310" s="81" t="n">
        <x:v>33.77490861996938</x:v>
      </x:c>
      <x:c r="T1310" s="81" t="n">
        <x:v>35.14924097714709</x:v>
      </x:c>
    </x:row>
    <x:row r="1311">
      <x:c r="A1311" s="59" t="n">
        <x:v>1308</x:v>
      </x:c>
      <x:c r="B1311" s="193" t="n">
        <x:v>0.9749253919348122</x:v>
      </x:c>
      <x:c r="C1311" s="83" t="n">
        <x:v>0.9051555633431903</x:v>
      </x:c>
      <x:c r="D1311" s="83" t="n">
        <x:v>0.5704465164483535</x:v>
      </x:c>
      <x:c r="E1311" s="81" t="n">
        <x:v>-0.014803647602645032</x:v>
      </x:c>
      <x:c r="F1311" s="81" t="n">
        <x:v>0.47038367080967874</x:v>
      </x:c>
      <x:c r="G1311" s="81" t="n">
        <x:v>0.010559649467653677</x:v>
      </x:c>
      <x:c r="H1311" s="59" t="n">
        <x:v>0</x:v>
      </x:c>
      <x:c r="I1311" s="81" t="n">
        <x:v>0</x:v>
      </x:c>
      <x:c r="J1311" s="79" t="n">
        <x:v>1.0393123343020648e-10</x:v>
      </x:c>
      <x:c r="K1311" s="81" t="n">
        <x:v>-0.9999998812214476</x:v>
      </x:c>
      <x:c r="L1311" s="81" t="n">
        <x:v>-0.9999998812214476</x:v>
      </x:c>
      <x:c r="M1311" s="80" t="n">
        <x:v>3.3617694872015997</x:v>
      </x:c>
      <x:c r="N1311" s="82" t="n">
        <x:v>0.33433925820997046</x:v>
      </x:c>
      <x:c r="O1311" s="82" t="n">
        <x:v>0.14856296327819984</x:v>
      </x:c>
      <x:c r="P1311" s="80" t="n">
        <x:v>1043.182465833134</x:v>
      </x:c>
      <x:c r="Q1311" s="81" t="n">
        <x:v>2.2191048282612114</x:v>
      </x:c>
      <x:c r="R1311" s="81" t="n">
        <x:v>9.199009075454992</x:v>
      </x:c>
      <x:c r="S1311" s="81" t="n">
        <x:v>0.000512664434423642</x:v>
      </x:c>
      <x:c r="T1311" s="81" t="n">
        <x:v>0.0000022513774207603078</x:v>
      </x:c>
    </x:row>
    <x:row r="1312">
      <x:c r="A1312" s="59" t="n">
        <x:v>1309</x:v>
      </x:c>
      <x:c r="B1312" s="193" t="n">
        <x:v>0.24212737139314414</x:v>
      </x:c>
      <x:c r="C1312" s="83" t="n">
        <x:v>0.1975242760490312</x:v>
      </x:c>
      <x:c r="D1312" s="83" t="n">
        <x:v>0.9368263491161811</x:v>
      </x:c>
      <x:c r="E1312" s="81" t="n">
        <x:v>0.009214753327722116</x:v>
      </x:c>
      <x:c r="F1312" s="81" t="n">
        <x:v>0.5284662697697058</x:v>
      </x:c>
      <x:c r="G1312" s="81" t="n">
        <x:v>-0.006662074502407771</x:v>
      </x:c>
      <x:c r="H1312" s="59" t="n">
        <x:v>0</x:v>
      </x:c>
      <x:c r="I1312" s="81" t="n">
        <x:v>0</x:v>
      </x:c>
      <x:c r="J1312" s="79" t="n">
        <x:v>0.00005753475641152828</x:v>
      </x:c>
      <x:c r="K1312" s="81" t="n">
        <x:v>-0.934245992672539</x:v>
      </x:c>
      <x:c r="L1312" s="81" t="n">
        <x:v>-0.9376003911004819</x:v>
      </x:c>
      <x:c r="M1312" s="80" t="n">
        <x:v>1597.3669895466428</x:v>
      </x:c>
      <x:c r="N1312" s="82" t="n">
        <x:v>0.15977302975406063</x:v>
      </x:c>
      <x:c r="O1312" s="82" t="n">
        <x:v>0.07976120115320669</x:v>
      </x:c>
      <x:c r="P1312" s="80" t="n">
        <x:v>4278.3748269671305</x:v>
      </x:c>
      <x:c r="Q1312" s="81" t="n">
        <x:v>0.01564107152201353</x:v>
      </x:c>
      <x:c r="R1312" s="81" t="n">
        <x:v>81.86523020055452</x:v>
      </x:c>
      <x:c r="S1312" s="81" t="n">
        <x:v>5.917201282471763</x:v>
      </x:c>
      <x:c r="T1312" s="81" t="n">
        <x:v>1.2463284348573116</x:v>
      </x:c>
    </x:row>
    <x:row r="1313">
      <x:c r="A1313" s="59" t="n">
        <x:v>1310</x:v>
      </x:c>
      <x:c r="B1313" s="193" t="n">
        <x:v>0.35509402062743906</x:v>
      </x:c>
      <x:c r="C1313" s="83" t="n">
        <x:v>0.10837302576836907</x:v>
      </x:c>
      <x:c r="D1313" s="83" t="n">
        <x:v>0.8060915352156347</x:v>
      </x:c>
      <x:c r="E1313" s="81" t="n">
        <x:v>0.11666021803258682</x:v>
      </x:c>
      <x:c r="F1313" s="81" t="n">
        <x:v>0.6874553156318144</x:v>
      </x:c>
      <x:c r="G1313" s="81" t="n">
        <x:v>-0.011519328927258987</x:v>
      </x:c>
      <x:c r="H1313" s="59" t="n">
        <x:v>0</x:v>
      </x:c>
      <x:c r="I1313" s="81" t="n">
        <x:v>0</x:v>
      </x:c>
      <x:c r="J1313" s="79" t="n">
        <x:v>0.003121431208395083</x:v>
      </x:c>
      <x:c r="K1313" s="81" t="n">
        <x:v>2.5673499524515235</x:v>
      </x:c>
      <x:c r="L1313" s="81" t="n">
        <x:v>-0.7934138026356733</x:v>
      </x:c>
      <x:c r="M1313" s="80" t="n">
        <x:v>14471.804211923743</x:v>
      </x:c>
      <x:c r="N1313" s="82" t="n">
        <x:v>0.18668380372634255</x:v>
      </x:c>
      <x:c r="O1313" s="82" t="n">
        <x:v>0.12123333642905029</x:v>
      </x:c>
      <x:c r="P1313" s="80" t="n">
        <x:v>20143.710582630913</x:v>
      </x:c>
      <x:c r="Q1313" s="81" t="n">
        <x:v>0.0026834529261279584</x:v>
      </x:c>
      <x:c r="R1313" s="81" t="n">
        <x:v>1203.159326094339</x:v>
      </x:c>
      <x:c r="S1313" s="81" t="n">
        <x:v>539.1904294018071</x:v>
      </x:c>
      <x:c r="T1313" s="81" t="n">
        <x:v>67.61701474231499</x:v>
      </x:c>
    </x:row>
    <x:row r="1314">
      <x:c r="A1314" s="59" t="n">
        <x:v>1311</x:v>
      </x:c>
      <x:c r="B1314" s="193" t="n">
        <x:v>0.807145392894745</x:v>
      </x:c>
      <x:c r="C1314" s="83" t="n">
        <x:v>2.0430449853517287</x:v>
      </x:c>
      <x:c r="D1314" s="83" t="n">
        <x:v>1.190584186750921</x:v>
      </x:c>
      <x:c r="E1314" s="81" t="n">
        <x:v>0.12269052561448227</x:v>
      </x:c>
      <x:c r="F1314" s="81" t="n">
        <x:v>0.48122644604882225</x:v>
      </x:c>
      <x:c r="G1314" s="81" t="n">
        <x:v>0.022573665446809492</x:v>
      </x:c>
      <x:c r="H1314" s="59" t="n">
        <x:v>0</x:v>
      </x:c>
      <x:c r="I1314" s="81" t="n">
        <x:v>0</x:v>
      </x:c>
      <x:c r="J1314" s="79" t="n">
        <x:v>0.11637475628622083</x:v>
      </x:c>
      <x:c r="K1314" s="81" t="n">
        <x:v>131.9997214699667</x:v>
      </x:c>
      <x:c r="L1314" s="81" t="n">
        <x:v>-0.7437973566473773</x:v>
      </x:c>
      <x:c r="M1314" s="80" t="n">
        <x:v>301846.8483137065</x:v>
      </x:c>
      <x:c r="N1314" s="82" t="n">
        <x:v>0.2943709165636454</x:v>
      </x:c>
      <x:c r="O1314" s="82" t="n">
        <x:v>0.13381824446106594</x:v>
      </x:c>
      <x:c r="P1314" s="80" t="n">
        <x:v>536584.9524816764</x:v>
      </x:c>
      <x:c r="Q1314" s="81" t="n">
        <x:v>0.003260778368903682</x:v>
      </x:c>
      <x:c r="R1314" s="81" t="n">
        <x:v>663.8283945677517</x:v>
      </x:c>
      <x:c r="S1314" s="81" t="n">
        <x:v>1131.1568964808228</x:v>
      </x:c>
      <x:c r="T1314" s="81" t="n">
        <x:v>2520.9312927593223</x:v>
      </x:c>
    </x:row>
    <x:row r="1315">
      <x:c r="A1315" s="59" t="n">
        <x:v>1312</x:v>
      </x:c>
      <x:c r="B1315" s="193" t="n">
        <x:v>0.20912189427763225</x:v>
      </x:c>
      <x:c r="C1315" s="83" t="n">
        <x:v>1.6690798558308972</x:v>
      </x:c>
      <x:c r="D1315" s="83" t="n">
        <x:v>0.6573635267426235</x:v>
      </x:c>
      <x:c r="E1315" s="81" t="n">
        <x:v>0.000227173041365627</x:v>
      </x:c>
      <x:c r="F1315" s="81" t="n">
        <x:v>0.39484883546829225</x:v>
      </x:c>
      <x:c r="G1315" s="81" t="n">
        <x:v>-0.030021666082824302</x:v>
      </x:c>
      <x:c r="H1315" s="59" t="n">
        <x:v>0</x:v>
      </x:c>
      <x:c r="I1315" s="81" t="n">
        <x:v>0</x:v>
      </x:c>
      <x:c r="J1315" s="79" t="n">
        <x:v>0.000013783556863712751</x:v>
      </x:c>
      <x:c r="K1315" s="81" t="n">
        <x:v>-0.9842473635843283</x:v>
      </x:c>
      <x:c r="L1315" s="81" t="n">
        <x:v>-0.9842473635843283</x:v>
      </x:c>
      <x:c r="M1315" s="80" t="n">
        <x:v>1686.3423324353369</x:v>
      </x:c>
      <x:c r="N1315" s="82" t="n">
        <x:v>0.15191050625244973</x:v>
      </x:c>
      <x:c r="O1315" s="82" t="n">
        <x:v>0.056661701830359165</x:v>
      </x:c>
      <x:c r="P1315" s="80" t="n">
        <x:v>5587.915054173785</x:v>
      </x:c>
      <x:c r="Q1315" s="81" t="n">
        <x:v>0.02606011215654915</x:v>
      </x:c>
      <x:c r="R1315" s="81" t="n">
        <x:v>10.658711879375291</x:v>
      </x:c>
      <x:c r="S1315" s="81" t="n">
        <x:v>0.27950597855297027</x:v>
      </x:c>
      <x:c r="T1315" s="81" t="n">
        <x:v>0.2985819341937065</x:v>
      </x:c>
    </x:row>
    <x:row r="1316">
      <x:c r="A1316" s="59" t="n">
        <x:v>1313</x:v>
      </x:c>
      <x:c r="B1316" s="193" t="n">
        <x:v>0.7067581146955491</x:v>
      </x:c>
      <x:c r="C1316" s="83" t="n">
        <x:v>0.7435446241284213</x:v>
      </x:c>
      <x:c r="D1316" s="83" t="n">
        <x:v>2.082043129812301</x:v>
      </x:c>
      <x:c r="E1316" s="81" t="n">
        <x:v>0.07538927322290427</x:v>
      </x:c>
      <x:c r="F1316" s="81" t="n">
        <x:v>0.3588576328242198</x:v>
      </x:c>
      <x:c r="G1316" s="81" t="n">
        <x:v>0.006597120840333573</x:v>
      </x:c>
      <x:c r="H1316" s="59" t="n">
        <x:v>79</x:v>
      </x:c>
      <x:c r="I1316" s="81" t="n">
        <x:v>0.33887760462239386</x:v>
      </x:c>
      <x:c r="J1316" s="79" t="n">
        <x:v>0.0668572396663765</x:v>
      </x:c>
      <x:c r="K1316" s="81" t="n">
        <x:v>75.40827390443029</x:v>
      </x:c>
      <x:c r="L1316" s="81" t="n">
        <x:v>-0.9740217491612085</x:v>
      </x:c>
      <x:c r="M1316" s="80" t="n">
        <x:v>129661.28437683362</x:v>
      </x:c>
      <x:c r="N1316" s="82" t="n">
        <x:v>0.27045678463513045</x:v>
      </x:c>
      <x:c r="O1316" s="82" t="n">
        <x:v>0.09168346334543968</x:v>
      </x:c>
      <x:c r="P1316" s="80" t="n">
        <x:v>373732.44592034695</x:v>
      </x:c>
      <x:c r="Q1316" s="81" t="n">
        <x:v>0.0036025130484482536</x:v>
      </x:c>
      <x:c r="R1316" s="81" t="n">
        <x:v>1527.5389493396758</x:v>
      </x:c>
      <x:c r="S1316" s="81" t="n">
        <x:v>1746.8239328799448</x:v>
      </x:c>
      <x:c r="T1316" s="81" t="n">
        <x:v>1448.2737751815541</x:v>
      </x:c>
    </x:row>
    <x:row r="1317">
      <x:c r="A1317" s="59" t="n">
        <x:v>1314</x:v>
      </x:c>
      <x:c r="B1317" s="193" t="n">
        <x:v>0.700686138495803</x:v>
      </x:c>
      <x:c r="C1317" s="83" t="n">
        <x:v>2.0525720820897653</x:v>
      </x:c>
      <x:c r="D1317" s="83" t="n">
        <x:v>1.0378997933576153</x:v>
      </x:c>
      <x:c r="E1317" s="81" t="n">
        <x:v>0.09371119988442621</x:v>
      </x:c>
      <x:c r="F1317" s="81" t="n">
        <x:v>0.41205334747210143</x:v>
      </x:c>
      <x:c r="G1317" s="81" t="n">
        <x:v>-0.05</x:v>
      </x:c>
      <x:c r="H1317" s="59" t="n">
        <x:v>82</x:v>
      </x:c>
      <x:c r="I1317" s="81" t="n">
        <x:v>0.3868690474890173</x:v>
      </x:c>
      <x:c r="J1317" s="79" t="n">
        <x:v>0.013151937201511948</x:v>
      </x:c>
      <x:c r="K1317" s="81" t="n">
        <x:v>14.030785373156514</x:v>
      </x:c>
      <x:c r="L1317" s="81" t="n">
        <x:v>-0.9450695460398721</x:v>
      </x:c>
      <x:c r="M1317" s="80" t="n">
        <x:v>77541.10474919283</x:v>
      </x:c>
      <x:c r="N1317" s="82" t="n">
        <x:v>0.2690103260547968</x:v>
      </x:c>
      <x:c r="O1317" s="82" t="n">
        <x:v>0.10471124886911289</x:v>
      </x:c>
      <x:c r="P1317" s="80" t="n">
        <x:v>137210.49532650324</x:v>
      </x:c>
      <x:c r="Q1317" s="81" t="n">
        <x:v>0.0029717793732380133</x:v>
      </x:c>
      <x:c r="R1317" s="81" t="n">
        <x:v>370.1033433779806</x:v>
      </x:c>
      <x:c r="S1317" s="81" t="n">
        <x:v>125.68635950712456</x:v>
      </x:c>
      <x:c r="T1317" s="81" t="n">
        <x:v>284.89967334627727</x:v>
      </x:c>
    </x:row>
    <x:row r="1318">
      <x:c r="A1318" s="59" t="n">
        <x:v>1315</x:v>
      </x:c>
      <x:c r="B1318" s="193" t="n">
        <x:v>0.7240557745099068</x:v>
      </x:c>
      <x:c r="C1318" s="83" t="n">
        <x:v>0.289866046775012</x:v>
      </x:c>
      <x:c r="D1318" s="83" t="n">
        <x:v>0.8578334999630486</x:v>
      </x:c>
      <x:c r="E1318" s="81" t="n">
        <x:v>0.07943425415670559</x:v>
      </x:c>
      <x:c r="F1318" s="81" t="n">
        <x:v>0.42030897755175833</x:v>
      </x:c>
      <x:c r="G1318" s="81" t="n">
        <x:v>0.02052102079353038</x:v>
      </x:c>
      <x:c r="H1318" s="59" t="n">
        <x:v>25</x:v>
      </x:c>
      <x:c r="I1318" s="81" t="n">
        <x:v>0.17984875924885274</x:v>
      </x:c>
      <x:c r="J1318" s="79" t="n">
        <x:v>0.0054043303056551745</x:v>
      </x:c>
      <x:c r="K1318" s="81" t="n">
        <x:v>5.176377492177343</x:v>
      </x:c>
      <x:c r="L1318" s="81" t="n">
        <x:v>-0.7484310544989962</x:v>
      </x:c>
      <x:c r="M1318" s="80" t="n">
        <x:v>21404.99669441266</x:v>
      </x:c>
      <x:c r="N1318" s="82" t="n">
        <x:v>0.2745774115340319</x:v>
      </x:c>
      <x:c r="O1318" s="82" t="n">
        <x:v>0.10901955746572602</x:v>
      </x:c>
      <x:c r="P1318" s="80" t="n">
        <x:v>32602.30026382296</x:v>
      </x:c>
      <x:c r="Q1318" s="81" t="n">
        <x:v>0.0034744380079043584</x:v>
      </x:c>
      <x:c r="R1318" s="81" t="n">
        <x:v>323.02077493536916</x:v>
      </x:c>
      <x:c r="S1318" s="81" t="n">
        <x:v>354.6705198309489</x:v>
      </x:c>
      <x:c r="T1318" s="81" t="n">
        <x:v>117.06959325805956</x:v>
      </x:c>
    </x:row>
    <x:row r="1319">
      <x:c r="A1319" s="59" t="n">
        <x:v>1316</x:v>
      </x:c>
      <x:c r="B1319" s="193" t="n">
        <x:v>0.8762423938140274</x:v>
      </x:c>
      <x:c r="C1319" s="83" t="n">
        <x:v>0.2802592963040911</x:v>
      </x:c>
      <x:c r="D1319" s="83" t="n">
        <x:v>0.286479683036769</x:v>
      </x:c>
      <x:c r="E1319" s="81" t="n">
        <x:v>-0.11671655271249332</x:v>
      </x:c>
      <x:c r="F1319" s="81" t="n">
        <x:v>0.548975427064579</x:v>
      </x:c>
      <x:c r="G1319" s="81" t="n">
        <x:v>0.01514488984935409</x:v>
      </x:c>
      <x:c r="H1319" s="59" t="n">
        <x:v>0</x:v>
      </x:c>
      <x:c r="I1319" s="81" t="n">
        <x:v>0</x:v>
      </x:c>
      <x:c r="J1319" s="79" t="n">
        <x:v>9.631040005944359e-25</x:v>
      </x:c>
      <x:c r="K1319" s="81" t="n">
        <x:v>-1</x:v>
      </x:c>
      <x:c r="L1319" s="81" t="n">
        <x:v>-1</x:v>
      </x:c>
      <x:c r="M1319" s="80" t="n">
        <x:v>0.000002</x:v>
      </x:c>
      <x:c r="N1319" s="82" t="n">
        <x:v>0.31083111775138544</x:v>
      </x:c>
      <x:c r="O1319" s="82" t="n">
        <x:v>0.1611938013809883</x:v>
      </x:c>
      <x:c r="P1319" s="80" t="n">
        <x:v>143.7949477456493</x:v>
      </x:c>
      <x:c r="Q1319" s="81" t="n">
        <x:v>20069294.956369314</x:v>
      </x:c>
      <x:c r="R1319" s="81" t="n">
        <x:v>12.221303394814969</x:v>
      </x:c>
      <x:c r="S1319" s="81" t="n">
        <x:v>2.35355523088546e-10</x:v>
      </x:c>
      <x:c r="T1319" s="81" t="n">
        <x:v>2.086293532000015e-20</x:v>
      </x:c>
    </x:row>
    <x:row r="1320">
      <x:c r="A1320" s="59" t="n">
        <x:v>1317</x:v>
      </x:c>
      <x:c r="B1320" s="193" t="n">
        <x:v>0.9939023340120912</x:v>
      </x:c>
      <x:c r="C1320" s="83" t="n">
        <x:v>1.5713744965324246</x:v>
      </x:c>
      <x:c r="D1320" s="83" t="n">
        <x:v>0.5528660325877583</x:v>
      </x:c>
      <x:c r="E1320" s="81" t="n">
        <x:v>0.0662711784307944</x:v>
      </x:c>
      <x:c r="F1320" s="81" t="n">
        <x:v>0.6355315856053494</x:v>
      </x:c>
      <x:c r="G1320" s="81" t="n">
        <x:v>-0.008792027895657282</x:v>
      </x:c>
      <x:c r="H1320" s="59" t="n">
        <x:v>0</x:v>
      </x:c>
      <x:c r="I1320" s="81" t="n">
        <x:v>0</x:v>
      </x:c>
      <x:c r="J1320" s="79" t="n">
        <x:v>0.000796011542661539</x:v>
      </x:c>
      <x:c r="K1320" s="81" t="n">
        <x:v>-0.09027252267252683</x:v>
      </x:c>
      <x:c r="L1320" s="81" t="n">
        <x:v>-0.7470978339670142</x:v>
      </x:c>
      <x:c r="M1320" s="80" t="n">
        <x:v>14131.499858150817</x:v>
      </x:c>
      <x:c r="N1320" s="82" t="n">
        <x:v>0.3388599216304427</x:v>
      </x:c>
      <x:c r="O1320" s="82" t="n">
        <x:v>0.203436224608511</x:v>
      </x:c>
      <x:c r="P1320" s="80" t="n">
        <x:v>15974.013943088587</x:v>
      </x:c>
      <x:c r="Q1320" s="81" t="n">
        <x:v>0.006972140794789528</x:v>
      </x:c>
      <x:c r="R1320" s="81" t="n">
        <x:v>29.032934074041204</x:v>
      </x:c>
      <x:c r="S1320" s="81" t="n">
        <x:v>10.6733708915135</x:v>
      </x:c>
      <x:c r="T1320" s="81" t="n">
        <x:v>17.243347881714918</x:v>
      </x:c>
    </x:row>
    <x:row r="1321">
      <x:c r="A1321" s="59" t="n">
        <x:v>1318</x:v>
      </x:c>
      <x:c r="B1321" s="193" t="n">
        <x:v>0.2363344080746174</x:v>
      </x:c>
      <x:c r="C1321" s="83" t="n">
        <x:v>0.5052835380627656</x:v>
      </x:c>
      <x:c r="D1321" s="83" t="n">
        <x:v>0.7666082090512882</x:v>
      </x:c>
      <x:c r="E1321" s="81" t="n">
        <x:v>0.11483091733764976</x:v>
      </x:c>
      <x:c r="F1321" s="81" t="n">
        <x:v>0.4807002121815458</x:v>
      </x:c>
      <x:c r="G1321" s="81" t="n">
        <x:v>-0.03310774625591505</x:v>
      </x:c>
      <x:c r="H1321" s="59" t="n">
        <x:v>0</x:v>
      </x:c>
      <x:c r="I1321" s="81" t="n">
        <x:v>0</x:v>
      </x:c>
      <x:c r="J1321" s="79" t="n">
        <x:v>0.008268102967321679</x:v>
      </x:c>
      <x:c r="K1321" s="81" t="n">
        <x:v>8.449260534081919</x:v>
      </x:c>
      <x:c r="L1321" s="81" t="n">
        <x:v>-0.728865318721337</x:v>
      </x:c>
      <x:c r="M1321" s="80" t="n">
        <x:v>30363.977994324727</x:v>
      </x:c>
      <x:c r="N1321" s="82" t="n">
        <x:v>0.15839303727352538</x:v>
      </x:c>
      <x:c r="O1321" s="82" t="n">
        <x:v>0.07192524375591033</x:v>
      </x:c>
      <x:c r="P1321" s="80" t="n">
        <x:v>40979.11039714383</x:v>
      </x:c>
      <x:c r="Q1321" s="81" t="n">
        <x:v>0.001616548531222456</x:v>
      </x:c>
      <x:c r="R1321" s="81" t="n">
        <x:v>743.4715377071135</x:v>
      </x:c>
      <x:c r="S1321" s="81" t="n">
        <x:v>308.7816553816629</x:v>
      </x:c>
      <x:c r="T1321" s="81" t="n">
        <x:v>179.10516135315294</x:v>
      </x:c>
    </x:row>
    <x:row r="1322">
      <x:c r="A1322" s="59" t="n">
        <x:v>1319</x:v>
      </x:c>
      <x:c r="B1322" s="193" t="n">
        <x:v>0.7572383102029563</x:v>
      </x:c>
      <x:c r="C1322" s="83" t="n">
        <x:v>2.473011552330541</x:v>
      </x:c>
      <x:c r="D1322" s="83" t="n">
        <x:v>0.8538980503659976</x:v>
      </x:c>
      <x:c r="E1322" s="81" t="n">
        <x:v>-0.11682759093759412</x:v>
      </x:c>
      <x:c r="F1322" s="81" t="n">
        <x:v>0.8216912499978207</x:v>
      </x:c>
      <x:c r="G1322" s="81" t="n">
        <x:v>0.0400491349663557</x:v>
      </x:c>
      <x:c r="H1322" s="59" t="n">
        <x:v>0</x:v>
      </x:c>
      <x:c r="I1322" s="81" t="n">
        <x:v>0</x:v>
      </x:c>
      <x:c r="J1322" s="79" t="n">
        <x:v>1.0741358870525663e-49</x:v>
      </x:c>
      <x:c r="K1322" s="81" t="n">
        <x:v>-1</x:v>
      </x:c>
      <x:c r="L1322" s="81" t="n">
        <x:v>-1</x:v>
      </x:c>
      <x:c r="M1322" s="80" t="n">
        <x:v>0.000002</x:v>
      </x:c>
      <x:c r="N1322" s="82" t="n">
        <x:v>0.28248211370866083</x:v>
      </x:c>
      <x:c r="O1322" s="82" t="n">
        <x:v>0.21926562860905308</x:v>
      </x:c>
      <x:c r="P1322" s="80" t="n">
        <x:v>523.0038940186563</x:v>
      </x:c>
      <x:c r="Q1322" s="81" t="n">
        <x:v>1.7979445250154063e+32</x:v>
      </x:c>
      <x:c r="R1322" s="81" t="n">
        <x:v>0.9284905891155595</x:v>
      </x:c>
      <x:c r="S1322" s="81" t="n">
        <x:v>3.472901735359376e-10</x:v>
      </x:c>
      <x:c r="T1322" s="81" t="n">
        <x:v>2.326812838762716e-45</x:v>
      </x:c>
    </x:row>
    <x:row r="1323">
      <x:c r="A1323" s="59" t="n">
        <x:v>1320</x:v>
      </x:c>
      <x:c r="B1323" s="193" t="n">
        <x:v>0.41759845297783615</x:v>
      </x:c>
      <x:c r="C1323" s="83" t="n">
        <x:v>2.588550182450608</x:v>
      </x:c>
      <x:c r="D1323" s="83" t="n">
        <x:v>1.0581086863543563</x:v>
      </x:c>
      <x:c r="E1323" s="81" t="n">
        <x:v>-0.036504983376583824</x:v>
      </x:c>
      <x:c r="F1323" s="81" t="n">
        <x:v>0.361718809325248</x:v>
      </x:c>
      <x:c r="G1323" s="81" t="n">
        <x:v>-0.02942758780168235</x:v>
      </x:c>
      <x:c r="H1323" s="59" t="n">
        <x:v>0</x:v>
      </x:c>
      <x:c r="I1323" s="81" t="n">
        <x:v>0</x:v>
      </x:c>
      <x:c r="J1323" s="79" t="n">
        <x:v>1.2719548859776237e-23</x:v>
      </x:c>
      <x:c r="K1323" s="81" t="n">
        <x:v>-1</x:v>
      </x:c>
      <x:c r="L1323" s="81" t="n">
        <x:v>-1</x:v>
      </x:c>
      <x:c r="M1323" s="80" t="n">
        <x:v>0.0000023122867829200353</x:v>
      </x:c>
      <x:c r="N1323" s="82" t="n">
        <x:v>0.20157353147031393</x:v>
      </x:c>
      <x:c r="O1323" s="82" t="n">
        <x:v>0.06887720874032202</x:v>
      </x:c>
      <x:c r="P1323" s="80" t="n">
        <x:v>1543.1384737142077</x:v>
      </x:c>
      <x:c r="Q1323" s="81" t="n">
        <x:v>5213795.985569329</x:v>
      </x:c>
      <x:c r="R1323" s="81" t="n">
        <x:v>2.419617311314359</x:v>
      </x:c>
      <x:c r="S1323" s="81" t="n">
        <x:v>2.186762335347186e-10</x:v>
      </x:c>
      <x:c r="T1323" s="81" t="n">
        <x:v>2.7553319786576164e-19</x:v>
      </x:c>
    </x:row>
    <x:row r="1324">
      <x:c r="A1324" s="59" t="n">
        <x:v>1321</x:v>
      </x:c>
      <x:c r="B1324" s="193" t="n">
        <x:v>0.3013895656913519</x:v>
      </x:c>
      <x:c r="C1324" s="83" t="n">
        <x:v>0.8315861728596863</x:v>
      </x:c>
      <x:c r="D1324" s="83" t="n">
        <x:v>1.114623957014767</x:v>
      </x:c>
      <x:c r="E1324" s="81" t="n">
        <x:v>-0.17705544531182021</x:v>
      </x:c>
      <x:c r="F1324" s="81" t="n">
        <x:v>0.6335341025376693</x:v>
      </x:c>
      <x:c r="G1324" s="81" t="n">
        <x:v>-0.009263842812496202</x:v>
      </x:c>
      <x:c r="H1324" s="59" t="n">
        <x:v>0</x:v>
      </x:c>
      <x:c r="I1324" s="81" t="n">
        <x:v>0</x:v>
      </x:c>
      <x:c r="J1324" s="79" t="n">
        <x:v>1.5162352526814335e-63</x:v>
      </x:c>
      <x:c r="K1324" s="81" t="n">
        <x:v>-1</x:v>
      </x:c>
      <x:c r="L1324" s="81" t="n">
        <x:v>-1</x:v>
      </x:c>
      <x:c r="M1324" s="80" t="n">
        <x:v>0.000002</x:v>
      </x:c>
      <x:c r="N1324" s="82" t="n">
        <x:v>0.17389039560203662</x:v>
      </x:c>
      <x:c r="O1324" s="82" t="n">
        <x:v>0.10406783863060835</x:v>
      </x:c>
      <x:c r="P1324" s="80" t="n">
        <x:v>215.47548299670146</x:v>
      </x:c>
      <x:c r="Q1324" s="81" t="n">
        <x:v>8.857595512735322e+45</x:v>
      </x:c>
      <x:c r="R1324" s="81" t="n">
        <x:v>1.0939236566529826</x:v>
      </x:c>
      <x:c r="S1324" s="81" t="n">
        <x:v>4.760226463764482e-10</x:v>
      </x:c>
      <x:c r="T1324" s="81" t="n">
        <x:v>3.284496584696212e-59</x:v>
      </x:c>
    </x:row>
    <x:row r="1325">
      <x:c r="A1325" s="59" t="n">
        <x:v>1322</x:v>
      </x:c>
      <x:c r="B1325" s="193" t="n">
        <x:v>0.4803517708554864</x:v>
      </x:c>
      <x:c r="C1325" s="83" t="n">
        <x:v>2.0979708238594466</x:v>
      </x:c>
      <x:c r="D1325" s="83" t="n">
        <x:v>1.456861641159957</x:v>
      </x:c>
      <x:c r="E1325" s="81" t="n">
        <x:v>0.004574492747506921</x:v>
      </x:c>
      <x:c r="F1325" s="81" t="n">
        <x:v>0.4158785533509217</x:v>
      </x:c>
      <x:c r="G1325" s="81" t="n">
        <x:v>0.02201812243536209</x:v>
      </x:c>
      <x:c r="H1325" s="59" t="n">
        <x:v>0</x:v>
      </x:c>
      <x:c r="I1325" s="81" t="n">
        <x:v>0</x:v>
      </x:c>
      <x:c r="J1325" s="79" t="n">
        <x:v>0.0003551501183794335</x:v>
      </x:c>
      <x:c r="K1325" s="81" t="n">
        <x:v>-0.5941141504235046</x:v>
      </x:c>
      <x:c r="L1325" s="81" t="n">
        <x:v>-0.7332640419126776</x:v>
      </x:c>
      <x:c r="M1325" s="80" t="n">
        <x:v>10211.107814219773</x:v>
      </x:c>
      <x:c r="N1325" s="82" t="n">
        <x:v>0.21652254841348043</x:v>
      </x:c>
      <x:c r="O1325" s="82" t="n">
        <x:v>0.08506298062610314</x:v>
      </x:c>
      <x:c r="P1325" s="80" t="n">
        <x:v>37124.03208935361</x:v>
      </x:c>
      <x:c r="Q1325" s="81" t="n">
        <x:v>0.03590395487660132</x:v>
      </x:c>
      <x:c r="R1325" s="81" t="n">
        <x:v>13.238376354317635</x:v>
      </x:c>
      <x:c r="S1325" s="81" t="n">
        <x:v>5.89209055912483</x:v>
      </x:c>
      <x:c r="T1325" s="81" t="n">
        <x:v>7.6933269346481055</x:v>
      </x:c>
    </x:row>
    <x:row r="1326">
      <x:c r="A1326" s="59" t="n">
        <x:v>1323</x:v>
      </x:c>
      <x:c r="B1326" s="193" t="n">
        <x:v>0.8124523449689149</x:v>
      </x:c>
      <x:c r="C1326" s="83" t="n">
        <x:v>1.7232533787645123</x:v>
      </x:c>
      <x:c r="D1326" s="83" t="n">
        <x:v>2.0597177932561483</x:v>
      </x:c>
      <x:c r="E1326" s="81" t="n">
        <x:v>-0.017642886012702627</x:v>
      </x:c>
      <x:c r="F1326" s="81" t="n">
        <x:v>0.5455196396564134</x:v>
      </x:c>
      <x:c r="G1326" s="81" t="n">
        <x:v>-0.026227547439606064</x:v>
      </x:c>
      <x:c r="H1326" s="59" t="n">
        <x:v>0</x:v>
      </x:c>
      <x:c r="I1326" s="81" t="n">
        <x:v>0</x:v>
      </x:c>
      <x:c r="J1326" s="79" t="n">
        <x:v>5.2777165251128225e-23</x:v>
      </x:c>
      <x:c r="K1326" s="81" t="n">
        <x:v>-1</x:v>
      </x:c>
      <x:c r="L1326" s="81" t="n">
        <x:v>-1</x:v>
      </x:c>
      <x:c r="M1326" s="80" t="n">
        <x:v>0.0000035671647089034223</x:v>
      </x:c>
      <x:c r="N1326" s="82" t="n">
        <x:v>0.2956351320530636</x:v>
      </x:c>
      <x:c r="O1326" s="82" t="n">
        <x:v>0.15234821668825219</x:v>
      </x:c>
      <x:c r="P1326" s="80" t="n">
        <x:v>2241.5159126273434</x:v>
      </x:c>
      <x:c r="Q1326" s="81" t="n">
        <x:v>3937927.16296523</x:v>
      </x:c>
      <x:c r="R1326" s="81" t="n">
        <x:v>3.9328364813177092</x:v>
      </x:c>
      <x:c r="S1326" s="81" t="n">
        <x:v>8.997641417189332e-10</x:v>
      </x:c>
      <x:c r="T1326" s="81" t="n">
        <x:v>1.143268623458783e-18</x:v>
      </x:c>
    </x:row>
    <x:row r="1327">
      <x:c r="A1327" s="59" t="n">
        <x:v>1324</x:v>
      </x:c>
      <x:c r="B1327" s="193" t="n">
        <x:v>0.40789980664849285</x:v>
      </x:c>
      <x:c r="C1327" s="83" t="n">
        <x:v>0.14984206273510348</x:v>
      </x:c>
      <x:c r="D1327" s="83" t="n">
        <x:v>0.29783521262531554</x:v>
      </x:c>
      <x:c r="E1327" s="81" t="n">
        <x:v>0.11214500072873397</x:v>
      </x:c>
      <x:c r="F1327" s="81" t="n">
        <x:v>0.4071835990762338</x:v>
      </x:c>
      <x:c r="G1327" s="81" t="n">
        <x:v>0.026113106964945832</x:v>
      </x:c>
      <x:c r="H1327" s="59" t="n">
        <x:v>0</x:v>
      </x:c>
      <x:c r="I1327" s="81" t="n">
        <x:v>0</x:v>
      </x:c>
      <x:c r="J1327" s="79" t="n">
        <x:v>0.0020835368921646863</x:v>
      </x:c>
      <x:c r="K1327" s="81" t="n">
        <x:v>1.3811850196167845</x:v>
      </x:c>
      <x:c r="L1327" s="81" t="n">
        <x:v>-0.6706848816101059</x:v>
      </x:c>
      <x:c r="M1327" s="80" t="n">
        <x:v>10385.041129185767</x:v>
      </x:c>
      <x:c r="N1327" s="82" t="n">
        <x:v>0.19926313206504556</x:v>
      </x:c>
      <x:c r="O1327" s="82" t="n">
        <x:v>0.07664576636326616</x:v>
      </x:c>
      <x:c r="P1327" s="80" t="n">
        <x:v>6538.962892193849</x:v>
      </x:c>
      <x:c r="Q1327" s="81" t="n">
        <x:v>0.001646399683787839</x:v>
      </x:c>
      <x:c r="R1327" s="81" t="n">
        <x:v>301.90241191385627</x:v>
      </x:c>
      <x:c r="S1327" s="81" t="n">
        <x:v>259.95042535166994</x:v>
      </x:c>
      <x:c r="T1327" s="81" t="n">
        <x:v>45.1339579019885</x:v>
      </x:c>
    </x:row>
    <x:row r="1328">
      <x:c r="A1328" s="59" t="n">
        <x:v>1325</x:v>
      </x:c>
      <x:c r="B1328" s="193" t="n">
        <x:v>0.6803452653810382</x:v>
      </x:c>
      <x:c r="C1328" s="83" t="n">
        <x:v>0.10424052505097231</x:v>
      </x:c>
      <x:c r="D1328" s="83" t="n">
        <x:v>1.1695342080180513</x:v>
      </x:c>
      <x:c r="E1328" s="81" t="n">
        <x:v>-0.1148144213160958</x:v>
      </x:c>
      <x:c r="F1328" s="81" t="n">
        <x:v>0.5558944767108187</x:v>
      </x:c>
      <x:c r="G1328" s="81" t="n">
        <x:v>0.015157075737903137</x:v>
      </x:c>
      <x:c r="H1328" s="59" t="n">
        <x:v>0</x:v>
      </x:c>
      <x:c r="I1328" s="81" t="n">
        <x:v>0</x:v>
      </x:c>
      <x:c r="J1328" s="79" t="n">
        <x:v>4.467035799760607e-54</x:v>
      </x:c>
      <x:c r="K1328" s="81" t="n">
        <x:v>-1</x:v>
      </x:c>
      <x:c r="L1328" s="81" t="n">
        <x:v>-1</x:v>
      </x:c>
      <x:c r="M1328" s="80" t="n">
        <x:v>0.000002</x:v>
      </x:c>
      <x:c r="N1328" s="82" t="n">
        <x:v>0.2641647486874891</x:v>
      </x:c>
      <x:c r="O1328" s="82" t="n">
        <x:v>0.13871970730633018</x:v>
      </x:c>
      <x:c r="P1328" s="80" t="n">
        <x:v>176.71071836513772</x:v>
      </x:c>
      <x:c r="Q1328" s="81" t="n">
        <x:v>4.3911826815475995e+36</x:v>
      </x:c>
      <x:c r="R1328" s="81" t="n">
        <x:v>9.756713797010326</x:v>
      </x:c>
      <x:c r="S1328" s="81" t="n">
        <x:v>1.1141436275811226e-9</x:v>
      </x:c>
      <x:c r="T1328" s="81" t="n">
        <x:v>9.676574794104236e-50</x:v>
      </x:c>
    </x:row>
    <x:row r="1329">
      <x:c r="A1329" s="59" t="n">
        <x:v>1326</x:v>
      </x:c>
      <x:c r="B1329" s="193" t="n">
        <x:v>0.8458538841456176</x:v>
      </x:c>
      <x:c r="C1329" s="83" t="n">
        <x:v>0.1272291252658311</x:v>
      </x:c>
      <x:c r="D1329" s="83" t="n">
        <x:v>0.3418751844898995</x:v>
      </x:c>
      <x:c r="E1329" s="81" t="n">
        <x:v>0.029307425200916604</x:v>
      </x:c>
      <x:c r="F1329" s="81" t="n">
        <x:v>0.4113323512370698</x:v>
      </x:c>
      <x:c r="G1329" s="81" t="n">
        <x:v>0.0036227881933782904</x:v>
      </x:c>
      <x:c r="H1329" s="59" t="n">
        <x:v>0</x:v>
      </x:c>
      <x:c r="I1329" s="81" t="n">
        <x:v>0</x:v>
      </x:c>
      <x:c r="J1329" s="79" t="n">
        <x:v>0.00003944108450638196</x:v>
      </x:c>
      <x:c r="K1329" s="81" t="n">
        <x:v>-0.9549244748498492</x:v>
      </x:c>
      <x:c r="L1329" s="81" t="n">
        <x:v>-0.9626197103902141</x:v>
      </x:c>
      <x:c r="M1329" s="80" t="n">
        <x:v>1255.8599740410455</x:v>
      </x:c>
      <x:c r="N1329" s="82" t="n">
        <x:v>0.30359200496381405</x:v>
      </x:c>
      <x:c r="O1329" s="82" t="n">
        <x:v>0.11796526298192303</x:v>
      </x:c>
      <x:c r="P1329" s="80" t="n">
        <x:v>1262.0311674108111</x:v>
      </x:c>
      <x:c r="Q1329" s="81" t="n">
        <x:v>0.007672164524501426</x:v>
      </x:c>
      <x:c r="R1329" s="81" t="n">
        <x:v>101.55873416326693</x:v>
      </x:c>
      <x:c r="S1329" s="81" t="n">
        <x:v>5.934959557768077</x:v>
      </x:c>
      <x:c r="T1329" s="81" t="n">
        <x:v>0.8543799989403355</x:v>
      </x:c>
    </x:row>
    <x:row r="1330">
      <x:c r="A1330" s="59" t="n">
        <x:v>1327</x:v>
      </x:c>
      <x:c r="B1330" s="193" t="n">
        <x:v>0.789588114246726</x:v>
      </x:c>
      <x:c r="C1330" s="83" t="n">
        <x:v>2.3479308933135075</x:v>
      </x:c>
      <x:c r="D1330" s="83" t="n">
        <x:v>0.2843460118765291</x:v>
      </x:c>
      <x:c r="E1330" s="81" t="n">
        <x:v>0.010085650959232006</x:v>
      </x:c>
      <x:c r="F1330" s="81" t="n">
        <x:v>0.5004472873290069</x:v>
      </x:c>
      <x:c r="G1330" s="81" t="n">
        <x:v>0.03105551088264267</x:v>
      </x:c>
      <x:c r="H1330" s="59" t="n">
        <x:v>0</x:v>
      </x:c>
      <x:c r="I1330" s="81" t="n">
        <x:v>0</x:v>
      </x:c>
      <x:c r="J1330" s="79" t="n">
        <x:v>0.00003568377229360223</x:v>
      </x:c>
      <x:c r="K1330" s="81" t="n">
        <x:v>-0.9592185459501689</x:v>
      </x:c>
      <x:c r="L1330" s="81" t="n">
        <x:v>-0.961258017937249</x:v>
      </x:c>
      <x:c r="M1330" s="80" t="n">
        <x:v>3448.137241100119</x:v>
      </x:c>
      <x:c r="N1330" s="82" t="n">
        <x:v>0.29018844359071205</x:v>
      </x:c>
      <x:c r="O1330" s="82" t="n">
        <x:v>0.1371858740226463</x:v>
      </x:c>
      <x:c r="P1330" s="80" t="n">
        <x:v>3946.669137269454</x:v>
      </x:c>
      <x:c r="Q1330" s="81" t="n">
        <x:v>0.02021814232463932</x:v>
      </x:c>
      <x:c r="R1330" s="81" t="n">
        <x:v>6.994514327709025</x:v>
      </x:c>
      <x:c r="S1330" s="81" t="n">
        <x:v>0.46985424962103367</x:v>
      </x:c>
      <x:c r="T1330" s="81" t="n">
        <x:v>0.7729884133754451</x:v>
      </x:c>
    </x:row>
    <x:row r="1331">
      <x:c r="A1331" s="59" t="n">
        <x:v>1328</x:v>
      </x:c>
      <x:c r="B1331" s="193" t="n">
        <x:v>0.386958259344101</x:v>
      </x:c>
      <x:c r="C1331" s="83" t="n">
        <x:v>0.44233218781661326</x:v>
      </x:c>
      <x:c r="D1331" s="83" t="n">
        <x:v>0.9689852837505712</x:v>
      </x:c>
      <x:c r="E1331" s="81" t="n">
        <x:v>-0.0018660542319371629</x:v>
      </x:c>
      <x:c r="F1331" s="81" t="n">
        <x:v>0.5262857684632763</x:v>
      </x:c>
      <x:c r="G1331" s="81" t="n">
        <x:v>-0.011305253626356454</x:v>
      </x:c>
      <x:c r="H1331" s="59" t="n">
        <x:v>0</x:v>
      </x:c>
      <x:c r="I1331" s="81" t="n">
        <x:v>0</x:v>
      </x:c>
      <x:c r="J1331" s="79" t="n">
        <x:v>3.994269538195766e-7</x:v>
      </x:c>
      <x:c r="K1331" s="81" t="n">
        <x:v>-0.9995435120527776</x:v>
      </x:c>
      <x:c r="L1331" s="81" t="n">
        <x:v>-0.9995435120527776</x:v>
      </x:c>
      <x:c r="M1331" s="80" t="n">
        <x:v>155.86129620554237</x:v>
      </x:c>
      <x:c r="N1331" s="82" t="n">
        <x:v>0.19427446284312758</x:v>
      </x:c>
      <x:c r="O1331" s="82" t="n">
        <x:v>0.09658468881503343</x:v>
      </x:c>
      <x:c r="P1331" s="80" t="n">
        <x:v>2173.199200995371</x:v>
      </x:c>
      <x:c r="Q1331" s="81" t="n">
        <x:v>0.10319950902200532</x:v>
      </x:c>
      <x:c r="R1331" s="81" t="n">
        <x:v>24.811416638948465</x:v>
      </x:c>
      <x:c r="S1331" s="81" t="n">
        <x:v>0.056913267390422954</x:v>
      </x:c>
      <x:c r="T1331" s="81" t="n">
        <x:v>0.008652459856317888</x:v>
      </x:c>
    </x:row>
    <x:row r="1332">
      <x:c r="A1332" s="59" t="n">
        <x:v>1329</x:v>
      </x:c>
      <x:c r="B1332" s="193" t="n">
        <x:v>0.7237259747460485</x:v>
      </x:c>
      <x:c r="C1332" s="83" t="n">
        <x:v>2.125189988261116</x:v>
      </x:c>
      <x:c r="D1332" s="83" t="n">
        <x:v>0.39900111222062784</x:v>
      </x:c>
      <x:c r="E1332" s="81" t="n">
        <x:v>0.007420516476230668</x:v>
      </x:c>
      <x:c r="F1332" s="81" t="n">
        <x:v>0.3531298217480071</x:v>
      </x:c>
      <x:c r="G1332" s="81" t="n">
        <x:v>-0.03511317268136751</x:v>
      </x:c>
      <x:c r="H1332" s="59" t="n">
        <x:v>0</x:v>
      </x:c>
      <x:c r="I1332" s="81" t="n">
        <x:v>0</x:v>
      </x:c>
      <x:c r="J1332" s="79" t="n">
        <x:v>0.00003061360229236632</x:v>
      </x:c>
      <x:c r="K1332" s="81" t="n">
        <x:v>-0.9650130259515813</x:v>
      </x:c>
      <x:c r="L1332" s="81" t="n">
        <x:v>-0.9650130259515813</x:v>
      </x:c>
      <x:c r="M1332" s="80" t="n">
        <x:v>2968.2144496508567</x:v>
      </x:c>
      <x:c r="N1332" s="82" t="n">
        <x:v>0.27449884704653515</x:v>
      </x:c>
      <x:c r="O1332" s="82" t="n">
        <x:v>0.09156844975991314</x:v>
      </x:c>
      <x:c r="P1332" s="80" t="n">
        <x:v>4404.586476224783</x:v>
      </x:c>
      <x:c r="Q1332" s="81" t="n">
        <x:v>0.014474282480965994</x:v>
      </x:c>
      <x:c r="R1332" s="81" t="n">
        <x:v>8.683473905776301</x:v>
      </x:c>
      <x:c r="S1332" s="81" t="n">
        <x:v>0.3760951484420531</x:v>
      </x:c>
      <x:c r="T1332" s="81" t="n">
        <x:v>0.6631574618562921</x:v>
      </x:c>
    </x:row>
    <x:row r="1333">
      <x:c r="A1333" s="59" t="n">
        <x:v>1330</x:v>
      </x:c>
      <x:c r="B1333" s="193" t="n">
        <x:v>0.7975533505901695</x:v>
      </x:c>
      <x:c r="C1333" s="83" t="n">
        <x:v>2.9801276171883693</x:v>
      </x:c>
      <x:c r="D1333" s="83" t="n">
        <x:v>0.8484746565552662</x:v>
      </x:c>
      <x:c r="E1333" s="81" t="n">
        <x:v>0.11050452919652734</x:v>
      </x:c>
      <x:c r="F1333" s="81" t="n">
        <x:v>0.8620240994845517</x:v>
      </x:c>
      <x:c r="G1333" s="81" t="n">
        <x:v>-0.033587021661705616</x:v>
      </x:c>
      <x:c r="H1333" s="59" t="n">
        <x:v>66</x:v>
      </x:c>
      <x:c r="I1333" s="81" t="n">
        <x:v>0.3676170178689063</x:v>
      </x:c>
      <x:c r="J1333" s="79" t="n">
        <x:v>0.006029566600449499</x:v>
      </x:c>
      <x:c r="K1333" s="81" t="n">
        <x:v>5.890933257656571</x:v>
      </x:c>
      <x:c r="L1333" s="81" t="n">
        <x:v>-0.894064533215523</x:v>
      </x:c>
      <x:c r="M1333" s="80" t="n">
        <x:v>69597.2969352571</x:v>
      </x:c>
      <x:c r="N1333" s="82" t="n">
        <x:v>0.29208591223590197</x:v>
      </x:c>
      <x:c r="O1333" s="82" t="n">
        <x:v>0.23784879752037755</x:v>
      </x:c>
      <x:c r="P1333" s="80" t="n">
        <x:v>102193.0750590335</x:v>
      </x:c>
      <x:c r="Q1333" s="81" t="n">
        <x:v>0.005586742375180324</x:v>
      </x:c>
      <x:c r="R1333" s="81" t="n">
        <x:v>110.81527919920069</x:v>
      </x:c>
      <x:c r="S1333" s="81" t="n">
        <x:v>42.27280262109449</x:v>
      </x:c>
      <x:c r="T1333" s="81" t="n">
        <x:v>130.61357643117432</x:v>
      </x:c>
    </x:row>
    <x:row r="1334">
      <x:c r="A1334" s="59" t="n">
        <x:v>1331</x:v>
      </x:c>
      <x:c r="B1334" s="193" t="n">
        <x:v>0.2406101377680898</x:v>
      </x:c>
      <x:c r="C1334" s="83" t="n">
        <x:v>0.17465977915211112</x:v>
      </x:c>
      <x:c r="D1334" s="83" t="n">
        <x:v>1.110805673925128</x:v>
      </x:c>
      <x:c r="E1334" s="81" t="n">
        <x:v>0.06315378336902652</x:v>
      </x:c>
      <x:c r="F1334" s="81" t="n">
        <x:v>0.6613621746655554</x:v>
      </x:c>
      <x:c r="G1334" s="81" t="n">
        <x:v>0.040024830584852324</x:v>
      </x:c>
      <x:c r="H1334" s="59" t="n">
        <x:v>0</x:v>
      </x:c>
      <x:c r="I1334" s="81" t="n">
        <x:v>0</x:v>
      </x:c>
      <x:c r="J1334" s="79" t="n">
        <x:v>0.008956957769098554</x:v>
      </x:c>
      <x:c r="K1334" s="81" t="n">
        <x:v>9.236523164684062</x:v>
      </x:c>
      <x:c r="L1334" s="81" t="n">
        <x:v>-0.7146574238026897</x:v>
      </x:c>
      <x:c r="M1334" s="80" t="n">
        <x:v>26113.827339741893</x:v>
      </x:c>
      <x:c r="N1334" s="82" t="n">
        <x:v>0.1594115962564422</x:v>
      </x:c>
      <x:c r="O1334" s="82" t="n">
        <x:v>0.09959331885648705</x:v>
      </x:c>
      <x:c r="P1334" s="80" t="n">
        <x:v>52190.432138761105</x:v>
      </x:c>
      <x:c r="Q1334" s="81" t="n">
        <x:v>0.003993724373161205</x:v>
      </x:c>
      <x:c r="R1334" s="81" t="n">
        <x:v>661.9417166592638</x:v>
      </x:c>
      <x:c r="S1334" s="81" t="n">
        <x:v>970.4409544293736</x:v>
      </x:c>
      <x:c r="T1334" s="81" t="n">
        <x:v>194.02726028065425</x:v>
      </x:c>
    </x:row>
    <x:row r="1335">
      <x:c r="A1335" s="59" t="n">
        <x:v>1332</x:v>
      </x:c>
      <x:c r="B1335" s="193" t="n">
        <x:v>0.8361235545948149</x:v>
      </x:c>
      <x:c r="C1335" s="83" t="n">
        <x:v>0.43212704832666593</x:v>
      </x:c>
      <x:c r="D1335" s="83" t="n">
        <x:v>0.2643746242980693</x:v>
      </x:c>
      <x:c r="E1335" s="81" t="n">
        <x:v>0.09880792478246439</x:v>
      </x:c>
      <x:c r="F1335" s="81" t="n">
        <x:v>0.2760725050116889</x:v>
      </x:c>
      <x:c r="G1335" s="81" t="n">
        <x:v>-0.03608294905675199</x:v>
      </x:c>
      <x:c r="H1335" s="59" t="n">
        <x:v>54</x:v>
      </x:c>
      <x:c r="I1335" s="81" t="n">
        <x:v>0.12242133133113385</x:v>
      </x:c>
      <x:c r="J1335" s="79" t="n">
        <x:v>0.00042708756355192386</x:v>
      </x:c>
      <x:c r="K1335" s="81" t="n">
        <x:v>-0.5118999273692298</x:v>
      </x:c>
      <x:c r="L1335" s="81" t="n">
        <x:v>-0.7900148293376359</x:v>
      </x:c>
      <x:c r="M1335" s="80" t="n">
        <x:v>5468.588471432151</x:v>
      </x:c>
      <x:c r="N1335" s="82" t="n">
        <x:v>0.3012740580211332</x:v>
      </x:c>
      <x:c r="O1335" s="82" t="n">
        <x:v>0.07856983390061398</x:v>
      </x:c>
      <x:c r="P1335" s="80" t="n">
        <x:v>3278.189993530923</x:v>
      </x:c>
      <x:c r="Q1335" s="81" t="n">
        <x:v>0.001802533813522563</x:v>
      </x:c>
      <x:c r="R1335" s="81" t="n">
        <x:v>88.21236823336459</x:v>
      </x:c>
      <x:c r="S1335" s="81" t="n">
        <x:v>18.66128430313304</x:v>
      </x:c>
      <x:c r="T1335" s="81" t="n">
        <x:v>9.251649052294175</x:v>
      </x:c>
    </x:row>
    <x:row r="1336">
      <x:c r="A1336" s="59" t="n">
        <x:v>1333</x:v>
      </x:c>
      <x:c r="B1336" s="193" t="n">
        <x:v>0.8026334142312408</x:v>
      </x:c>
      <x:c r="C1336" s="83" t="n">
        <x:v>1.8755185869732465</x:v>
      </x:c>
      <x:c r="D1336" s="83" t="n">
        <x:v>1.2248301393406433</x:v>
      </x:c>
      <x:c r="E1336" s="81" t="n">
        <x:v>-0.060491442322696286</x:v>
      </x:c>
      <x:c r="F1336" s="81" t="n">
        <x:v>0.7239027483505197</x:v>
      </x:c>
      <x:c r="G1336" s="81" t="n">
        <x:v>-0.0056605193016742075</x:v>
      </x:c>
      <x:c r="H1336" s="59" t="n">
        <x:v>0</x:v>
      </x:c>
      <x:c r="I1336" s="81" t="n">
        <x:v>0</x:v>
      </x:c>
      <x:c r="J1336" s="79" t="n">
        <x:v>7.767980985156157e-35</x:v>
      </x:c>
      <x:c r="K1336" s="81" t="n">
        <x:v>-1</x:v>
      </x:c>
      <x:c r="L1336" s="81" t="n">
        <x:v>-1</x:v>
      </x:c>
      <x:c r="M1336" s="80" t="n">
        <x:v>0.000002</x:v>
      </x:c>
      <x:c r="N1336" s="82" t="n">
        <x:v>0.2932960786463985</x:v>
      </x:c>
      <x:c r="O1336" s="82" t="n">
        <x:v>0.2005660510880679</x:v>
      </x:c>
      <x:c r="P1336" s="80" t="n">
        <x:v>781.7230043108046</x:v>
      </x:c>
      <x:c r="Q1336" s="81" t="n">
        <x:v>455931791342201150</x:v>
      </x:c>
      <x:c r="R1336" s="81" t="n">
        <x:v>1.651496054744112</x:v>
      </x:c>
      <x:c r="S1336" s="81" t="n">
        <x:v>3.4823234613552966e-10</x:v>
      </x:c>
      <x:c r="T1336" s="81" t="n">
        <x:v>1.682714273435448e-30</x:v>
      </x:c>
    </x:row>
    <x:row r="1337">
      <x:c r="A1337" s="59" t="n">
        <x:v>1334</x:v>
      </x:c>
      <x:c r="B1337" s="193" t="n">
        <x:v>0.389806997217238</x:v>
      </x:c>
      <x:c r="C1337" s="83" t="n">
        <x:v>2.1164026339966417</x:v>
      </x:c>
      <x:c r="D1337" s="83" t="n">
        <x:v>0.31697626602918083</x:v>
      </x:c>
      <x:c r="E1337" s="81" t="n">
        <x:v>-0.11778018697910068</x:v>
      </x:c>
      <x:c r="F1337" s="81" t="n">
        <x:v>0.3392107828403823</x:v>
      </x:c>
      <x:c r="G1337" s="81" t="n">
        <x:v>-0.035532693225220055</x:v>
      </x:c>
      <x:c r="H1337" s="59" t="n">
        <x:v>0</x:v>
      </x:c>
      <x:c r="I1337" s="81" t="n">
        <x:v>0</x:v>
      </x:c>
      <x:c r="J1337" s="79" t="n">
        <x:v>2.477793111755295e-22</x:v>
      </x:c>
      <x:c r="K1337" s="81" t="n">
        <x:v>-1</x:v>
      </x:c>
      <x:c r="L1337" s="81" t="n">
        <x:v>-1</x:v>
      </x:c>
      <x:c r="M1337" s="80" t="n">
        <x:v>0.000008825589259190312</x:v>
      </x:c>
      <x:c r="N1337" s="82" t="n">
        <x:v>0.19495308561834396</x:v>
      </x:c>
      <x:c r="O1337" s="82" t="n">
        <x:v>0.06246988470165803</x:v>
      </x:c>
      <x:c r="P1337" s="80" t="n">
        <x:v>414.4255318351942</x:v>
      </x:c>
      <x:c r="Q1337" s="81" t="n">
        <x:v>341450.4129028254</x:v>
      </x:c>
      <x:c r="R1337" s="81" t="n">
        <x:v>2.159702251832621</x:v>
      </x:c>
      <x:c r="S1337" s="81" t="n">
        <x:v>2.652267718718254e-10</x:v>
      </x:c>
      <x:c r="T1337" s="81" t="n">
        <x:v>5.367440836606081e-18</x:v>
      </x:c>
    </x:row>
    <x:row r="1338">
      <x:c r="A1338" s="59" t="n">
        <x:v>1335</x:v>
      </x:c>
      <x:c r="B1338" s="193" t="n">
        <x:v>0.30882912222296</x:v>
      </x:c>
      <x:c r="C1338" s="83" t="n">
        <x:v>0.4395099207678099</x:v>
      </x:c>
      <x:c r="D1338" s="83" t="n">
        <x:v>1.7209673901311273</x:v>
      </x:c>
      <x:c r="E1338" s="81" t="n">
        <x:v>-0.028647158991130364</x:v>
      </x:c>
      <x:c r="F1338" s="81" t="n">
        <x:v>0.7517972552217543</x:v>
      </x:c>
      <x:c r="G1338" s="81" t="n">
        <x:v>0.0013555252796307732</x:v>
      </x:c>
      <x:c r="H1338" s="59" t="n">
        <x:v>62</x:v>
      </x:c>
      <x:c r="I1338" s="81" t="n">
        <x:v>0.2822546426206827</x:v>
      </x:c>
      <x:c r="J1338" s="79" t="n">
        <x:v>1.9443186394312272e-28</x:v>
      </x:c>
      <x:c r="K1338" s="81" t="n">
        <x:v>-1</x:v>
      </x:c>
      <x:c r="L1338" s="81" t="n">
        <x:v>-1</x:v>
      </x:c>
      <x:c r="M1338" s="80" t="n">
        <x:v>0.000002</x:v>
      </x:c>
      <x:c r="N1338" s="82" t="n">
        <x:v>0.17566263745955094</x:v>
      </x:c>
      <x:c r="O1338" s="82" t="n">
        <x:v>0.1247530225855566</x:v>
      </x:c>
      <x:c r="P1338" s="80" t="n">
        <x:v>747.153719752262</x:v>
      </x:c>
      <x:c r="Q1338" s="81" t="n">
        <x:v>373088819034.4282</x:v>
      </x:c>
      <x:c r="R1338" s="81" t="n">
        <x:v>7.271052235038556</x:v>
      </x:c>
      <x:c r="S1338" s="81" t="n">
        <x:v>1.0646815224064291e-9</x:v>
      </x:c>
      <x:c r="T1338" s="81" t="n">
        <x:v>4.2118186603822454e-24</x:v>
      </x:c>
    </x:row>
    <x:row r="1339">
      <x:c r="A1339" s="59" t="n">
        <x:v>1336</x:v>
      </x:c>
      <x:c r="B1339" s="193" t="n">
        <x:v>0.9452012579888105</x:v>
      </x:c>
      <x:c r="C1339" s="83" t="n">
        <x:v>1.0484418758784853</x:v>
      </x:c>
      <x:c r="D1339" s="83" t="n">
        <x:v>3</x:v>
      </x:c>
      <x:c r="E1339" s="81" t="n">
        <x:v>-0.04175871155462302</x:v>
      </x:c>
      <x:c r="F1339" s="81" t="n">
        <x:v>0.7692359049106017</x:v>
      </x:c>
      <x:c r="G1339" s="81" t="n">
        <x:v>0.051089968467035646</x:v>
      </x:c>
      <x:c r="H1339" s="59" t="n">
        <x:v>0</x:v>
      </x:c>
      <x:c r="I1339" s="81" t="n">
        <x:v>0</x:v>
      </x:c>
      <x:c r="J1339" s="79" t="n">
        <x:v>3.471659604763773e-60</x:v>
      </x:c>
      <x:c r="K1339" s="81" t="n">
        <x:v>-1</x:v>
      </x:c>
      <x:c r="L1339" s="81" t="n">
        <x:v>-1</x:v>
      </x:c>
      <x:c r="M1339" s="80" t="n">
        <x:v>0.000002</x:v>
      </x:c>
      <x:c r="N1339" s="82" t="n">
        <x:v>0.32725841217652185</x:v>
      </x:c>
      <x:c r="O1339" s="82" t="n">
        <x:v>0.23780517864817594</x:v>
      </x:c>
      <x:c r="P1339" s="80" t="n">
        <x:v>885.1146906985508</x:v>
      </x:c>
      <x:c r="Q1339" s="81" t="n">
        <x:v>1.4517028035469013e+43</x:v>
      </x:c>
      <x:c r="R1339" s="81" t="n">
        <x:v>2.0547503706540695</x:v>
      </x:c>
      <x:c r="S1339" s="81" t="n">
        <x:v>2.3522693985563614e-9</x:v>
      </x:c>
      <x:c r="T1339" s="81" t="n">
        <x:v>7.520372643301252e-56</x:v>
      </x:c>
    </x:row>
    <x:row r="1340">
      <x:c r="A1340" s="59" t="n">
        <x:v>1337</x:v>
      </x:c>
      <x:c r="B1340" s="193" t="n">
        <x:v>0.7724505858495831</x:v>
      </x:c>
      <x:c r="C1340" s="83" t="n">
        <x:v>0.16836304906236055</x:v>
      </x:c>
      <x:c r="D1340" s="83" t="n">
        <x:v>0.31647548257519686</x:v>
      </x:c>
      <x:c r="E1340" s="81" t="n">
        <x:v>0.016503551621065198</x:v>
      </x:c>
      <x:c r="F1340" s="81" t="n">
        <x:v>0.7029700685641729</x:v>
      </x:c>
      <x:c r="G1340" s="81" t="n">
        <x:v>0.008488733073402161</x:v>
      </x:c>
      <x:c r="H1340" s="59" t="n">
        <x:v>0</x:v>
      </x:c>
      <x:c r="I1340" s="81" t="n">
        <x:v>0</x:v>
      </x:c>
      <x:c r="J1340" s="79" t="n">
        <x:v>0.000004797666946357727</x:v>
      </x:c>
      <x:c r="K1340" s="81" t="n">
        <x:v>-0.9945169520613054</x:v>
      </x:c>
      <x:c r="L1340" s="81" t="n">
        <x:v>-0.9948139533212641</x:v>
      </x:c>
      <x:c r="M1340" s="80" t="n">
        <x:v>446.3715806797546</x:v>
      </x:c>
      <x:c r="N1340" s="82" t="n">
        <x:v>0.28610596299785535</x:v>
      </x:c>
      <x:c r="O1340" s="82" t="n">
        <x:v>0.18999172464809536</x:v>
      </x:c>
      <x:c r="P1340" s="80" t="n">
        <x:v>637.4077420275784</x:v>
      </x:c>
      <x:c r="Q1340" s="81" t="n">
        <x:v>0.01864780925024589</x:v>
      </x:c>
      <x:c r="R1340" s="81" t="n">
        <x:v>49.37771605193828</x:v>
      </x:c>
      <x:c r="S1340" s="81" t="n">
        <x:v>0.5886707617497603</x:v>
      </x:c>
      <x:c r="T1340" s="81" t="n">
        <x:v>0.10392794041659614</x:v>
      </x:c>
    </x:row>
    <x:row r="1341">
      <x:c r="A1341" s="59" t="n">
        <x:v>1338</x:v>
      </x:c>
      <x:c r="B1341" s="193" t="n">
        <x:v>0.8136191207915544</x:v>
      </x:c>
      <x:c r="C1341" s="83" t="n">
        <x:v>0.1967875043220226</x:v>
      </x:c>
      <x:c r="D1341" s="83" t="n">
        <x:v>1.1565196068453987</x:v>
      </x:c>
      <x:c r="E1341" s="81" t="n">
        <x:v>0.030778338857899185</x:v>
      </x:c>
      <x:c r="F1341" s="81" t="n">
        <x:v>0.7904831887572072</x:v>
      </x:c>
      <x:c r="G1341" s="81" t="n">
        <x:v>0.012609953929440119</x:v>
      </x:c>
      <x:c r="H1341" s="59" t="n">
        <x:v>0</x:v>
      </x:c>
      <x:c r="I1341" s="81" t="n">
        <x:v>0</x:v>
      </x:c>
      <x:c r="J1341" s="79" t="n">
        <x:v>0.0002286404659238065</x:v>
      </x:c>
      <x:c r="K1341" s="81" t="n">
        <x:v>-0.7386966103727926</x:v>
      </x:c>
      <x:c r="L1341" s="81" t="n">
        <x:v>-0.8883478263961504</x:v>
      </x:c>
      <x:c r="M1341" s="80" t="n">
        <x:v>3581.40199831199</x:v>
      </x:c>
      <x:c r="N1341" s="82" t="n">
        <x:v>0.29591307993106286</x:v>
      </x:c>
      <x:c r="O1341" s="82" t="n">
        <x:v>0.2209671642667683</x:v>
      </x:c>
      <x:c r="P1341" s="80" t="n">
        <x:v>8605.650969970582</x:v>
      </x:c>
      <x:c r="Q1341" s="81" t="n">
        <x:v>0.01574752194050209</x:v>
      </x:c>
      <x:c r="R1341" s="81" t="n">
        <x:v>91.99764271150904</x:v>
      </x:c>
      <x:c r="S1341" s="81" t="n">
        <x:v>23.384535171660833</x:v>
      </x:c>
      <x:c r="T1341" s="81" t="n">
        <x:v>4.952851664159758</x:v>
      </x:c>
    </x:row>
    <x:row r="1342">
      <x:c r="A1342" s="59" t="n">
        <x:v>1339</x:v>
      </x:c>
      <x:c r="B1342" s="193" t="n">
        <x:v>0.6609568348154427</x:v>
      </x:c>
      <x:c r="C1342" s="83" t="n">
        <x:v>1.3092614178303235</x:v>
      </x:c>
      <x:c r="D1342" s="83" t="n">
        <x:v>0.42088316900719525</x:v>
      </x:c>
      <x:c r="E1342" s="81" t="n">
        <x:v>-0.04103596066473246</x:v>
      </x:c>
      <x:c r="F1342" s="81" t="n">
        <x:v>0.6009415713138879</x:v>
      </x:c>
      <x:c r="G1342" s="81" t="n">
        <x:v>0.008862708680026131</x:v>
      </x:c>
      <x:c r="H1342" s="59" t="n">
        <x:v>0</x:v>
      </x:c>
      <x:c r="I1342" s="81" t="n">
        <x:v>0</x:v>
      </x:c>
      <x:c r="J1342" s="79" t="n">
        <x:v>1.0267053921166567e-15</x:v>
      </x:c>
      <x:c r="K1342" s="81" t="n">
        <x:v>-0.9999999999988266</x:v>
      </x:c>
      <x:c r="L1342" s="81" t="n">
        <x:v>-0.9999999999988266</x:v>
      </x:c>
      <x:c r="M1342" s="80" t="n">
        <x:v>0.013024934480912867</x:v>
      </x:c>
      <x:c r="N1342" s="82" t="n">
        <x:v>0.25954606099369143</x:v>
      </x:c>
      <x:c r="O1342" s="82" t="n">
        <x:v>0.1473389709312531</x:v>
      </x:c>
      <x:c r="P1342" s="80" t="n">
        <x:v>667.4946566290713</x:v>
      </x:c>
      <x:c r="Q1342" s="81" t="n">
        <x:v>325.0767652868889</x:v>
      </x:c>
      <x:c r="R1342" s="81" t="n">
        <x:v>5.11309920283377</x:v>
      </x:c>
      <x:c r="S1342" s="81" t="n">
        <x:v>0.0000012016963927110133</x:v>
      </x:c>
      <x:c r="T1342" s="81" t="n">
        <x:v>2.224068031614918e-11</x:v>
      </x:c>
    </x:row>
    <x:row r="1343">
      <x:c r="A1343" s="59" t="n">
        <x:v>1340</x:v>
      </x:c>
      <x:c r="B1343" s="193" t="n">
        <x:v>0.38341959137469533</x:v>
      </x:c>
      <x:c r="C1343" s="83" t="n">
        <x:v>0.7537338273852898</x:v>
      </x:c>
      <x:c r="D1343" s="83" t="n">
        <x:v>0.34489463100876694</x:v>
      </x:c>
      <x:c r="E1343" s="81" t="n">
        <x:v>0.014683933391653178</x:v>
      </x:c>
      <x:c r="F1343" s="81" t="n">
        <x:v>0.8257806492154487</x:v>
      </x:c>
      <x:c r="G1343" s="81" t="n">
        <x:v>-0.0034990565574273833</x:v>
      </x:c>
      <x:c r="H1343" s="59" t="n">
        <x:v>0</x:v>
      </x:c>
      <x:c r="I1343" s="81" t="n">
        <x:v>0</x:v>
      </x:c>
      <x:c r="J1343" s="79" t="n">
        <x:v>0.000012971177872982851</x:v>
      </x:c>
      <x:c r="K1343" s="81" t="n">
        <x:v>-0.9851757967165911</x:v>
      </x:c>
      <x:c r="L1343" s="81" t="n">
        <x:v>-0.985209995635337</x:v>
      </x:c>
      <x:c r="M1343" s="80" t="n">
        <x:v>1097.5493546230484</x:v>
      </x:c>
      <x:c r="N1343" s="82" t="n">
        <x:v>0.1934314857827908</x:v>
      </x:c>
      <x:c r="O1343" s="82" t="n">
        <x:v>0.15089081742730556</x:v>
      </x:c>
      <x:c r="P1343" s="80" t="n">
        <x:v>1507.9792191732367</x:v>
      </x:c>
      <x:c r="Q1343" s="81" t="n">
        <x:v>0.016166699392865577</x:v>
      </x:c>
      <x:c r="R1343" s="81" t="n">
        <x:v>16.50843448179104</x:v>
      </x:c>
      <x:c r="S1343" s="81" t="n">
        <x:v>0.4114187037892734</x:v>
      </x:c>
      <x:c r="T1343" s="81" t="n">
        <x:v>0.2809840316531043</x:v>
      </x:c>
    </x:row>
    <x:row r="1344">
      <x:c r="A1344" s="59" t="n">
        <x:v>1341</x:v>
      </x:c>
      <x:c r="B1344" s="193" t="n">
        <x:v>0.8759381076321007</x:v>
      </x:c>
      <x:c r="C1344" s="83" t="n">
        <x:v>2.617868392293569</x:v>
      </x:c>
      <x:c r="D1344" s="83" t="n">
        <x:v>0.8384663162973702</x:v>
      </x:c>
      <x:c r="E1344" s="81" t="n">
        <x:v>-0.02083008502714505</x:v>
      </x:c>
      <x:c r="F1344" s="81" t="n">
        <x:v>0.46812575958902014</x:v>
      </x:c>
      <x:c r="G1344" s="81" t="n">
        <x:v>-0.0285000868713311</x:v>
      </x:c>
      <x:c r="H1344" s="59" t="n">
        <x:v>80</x:v>
      </x:c>
      <x:c r="I1344" s="81" t="n">
        <x:v>0.10391542287543416</x:v>
      </x:c>
      <x:c r="J1344" s="79" t="n">
        <x:v>2.2262031137278632e-13</x:v>
      </x:c>
      <x:c r="K1344" s="81" t="n">
        <x:v>-0.9999999997455767</x:v>
      </x:c>
      <x:c r="L1344" s="81" t="n">
        <x:v>-0.9999999997455767</x:v>
      </x:c>
      <x:c r="M1344" s="80" t="n">
        <x:v>0.29813542082033506</x:v>
      </x:c>
      <x:c r="N1344" s="82" t="n">
        <x:v>0.3107586310774844</x:v>
      </x:c>
      <x:c r="O1344" s="82" t="n">
        <x:v>0.13742213176249093</x:v>
      </x:c>
      <x:c r="P1344" s="80" t="n">
        <x:v>2242.875148003816</x:v>
      </x:c>
      <x:c r="Q1344" s="81" t="n">
        <x:v>66.2801819621636</x:v>
      </x:c>
      <x:c r="R1344" s="81" t="n">
        <x:v>3.6028722839251714</x:v>
      </x:c>
      <x:c r="S1344" s="81" t="n">
        <x:v>0.000021807744271532246</x:v>
      </x:c>
      <x:c r="T1344" s="81" t="n">
        <x:v>4.822441973267791e-9</x:v>
      </x:c>
    </x:row>
    <x:row r="1345">
      <x:c r="A1345" s="59" t="n">
        <x:v>1342</x:v>
      </x:c>
      <x:c r="B1345" s="193" t="n">
        <x:v>0.9806609997525813</x:v>
      </x:c>
      <x:c r="C1345" s="83" t="n">
        <x:v>0.6441952777637717</x:v>
      </x:c>
      <x:c r="D1345" s="83" t="n">
        <x:v>0.7233819532668323</x:v>
      </x:c>
      <x:c r="E1345" s="81" t="n">
        <x:v>-0.011021613457906771</x:v>
      </x:c>
      <x:c r="F1345" s="81" t="n">
        <x:v>0.8853470844682306</x:v>
      </x:c>
      <x:c r="G1345" s="81" t="n">
        <x:v>0.019035857058421743</x:v>
      </x:c>
      <x:c r="H1345" s="59" t="n">
        <x:v>0</x:v>
      </x:c>
      <x:c r="I1345" s="81" t="n">
        <x:v>0</x:v>
      </x:c>
      <x:c r="J1345" s="79" t="n">
        <x:v>2.7508508507847345e-11</x:v>
      </x:c>
      <x:c r="K1345" s="81" t="n">
        <x:v>-0.9999999685617046</x:v>
      </x:c>
      <x:c r="L1345" s="81" t="n">
        <x:v>-0.9999999685617046</x:v>
      </x:c>
      <x:c r="M1345" s="80" t="n">
        <x:v>1.495504563416483</x:v>
      </x:c>
      <x:c r="N1345" s="82" t="n">
        <x:v>0.33570558753481006</x:v>
      </x:c>
      <x:c r="O1345" s="82" t="n">
        <x:v>0.2807650679685276</x:v>
      </x:c>
      <x:c r="P1345" s="80" t="n">
        <x:v>850.2349549586958</x:v>
      </x:c>
      <x:c r="Q1345" s="81" t="n">
        <x:v>4.98577298438192</x:v>
      </x:c>
      <x:c r="R1345" s="81" t="n">
        <x:v>9.371772836589479</x:v>
      </x:c>
      <x:c r="S1345" s="81" t="n">
        <x:v>0.00037051252372363947</x:v>
      </x:c>
      <x:c r="T1345" s="81" t="n">
        <x:v>5.958943513833107e-7</x:v>
      </x:c>
    </x:row>
    <x:row r="1346">
      <x:c r="A1346" s="59" t="n">
        <x:v>1343</x:v>
      </x:c>
      <x:c r="B1346" s="193" t="n">
        <x:v>0.9115301800891757</x:v>
      </x:c>
      <x:c r="C1346" s="83" t="n">
        <x:v>0.12020397881428078</x:v>
      </x:c>
      <x:c r="D1346" s="83" t="n">
        <x:v>1.2442076294384854</x:v>
      </x:c>
      <x:c r="E1346" s="81" t="n">
        <x:v>0.07714080079805634</x:v>
      </x:c>
      <x:c r="F1346" s="81" t="n">
        <x:v>0.4302880826639012</x:v>
      </x:c>
      <x:c r="G1346" s="81" t="n">
        <x:v>-0.013101111138106034</x:v>
      </x:c>
      <x:c r="H1346" s="59" t="n">
        <x:v>32</x:v>
      </x:c>
      <x:c r="I1346" s="81" t="n">
        <x:v>0.3821406214497983</x:v>
      </x:c>
      <x:c r="J1346" s="79" t="n">
        <x:v>0.00280091443541811</x:v>
      </x:c>
      <x:c r="K1346" s="81" t="n">
        <x:v>2.2010450690492687</x:v>
      </x:c>
      <x:c r="L1346" s="81" t="n">
        <x:v>-0.9318592700773211</x:v>
      </x:c>
      <x:c r="M1346" s="80" t="n">
        <x:v>13884.048833179133</x:v>
      </x:c>
      <x:c r="N1346" s="82" t="n">
        <x:v>0.3192373300881184</x:v>
      </x:c>
      <x:c r="O1346" s="82" t="n">
        <x:v>0.12976092411101672</x:v>
      </x:c>
      <x:c r="P1346" s="80" t="n">
        <x:v>28411.571168864743</x:v>
      </x:c>
      <x:c r="Q1346" s="81" t="n">
        <x:v>0.004325073392953605</x:v>
      </x:c>
      <x:c r="R1346" s="81" t="n">
        <x:v>1034.1761754938138</x:v>
      </x:c>
      <x:c r="S1346" s="81" t="n">
        <x:v>438.77083428241195</x:v>
      </x:c>
      <x:c r="T1346" s="81" t="n">
        <x:v>60.673921681268084</x:v>
      </x:c>
    </x:row>
    <x:row r="1347">
      <x:c r="A1347" s="59" t="n">
        <x:v>1344</x:v>
      </x:c>
      <x:c r="B1347" s="193" t="n">
        <x:v>0.8247669121250512</x:v>
      </x:c>
      <x:c r="C1347" s="83" t="n">
        <x:v>0.10155009378294896</x:v>
      </x:c>
      <x:c r="D1347" s="83" t="n">
        <x:v>0.6028678811948489</x:v>
      </x:c>
      <x:c r="E1347" s="81" t="n">
        <x:v>-0.03515582473104634</x:v>
      </x:c>
      <x:c r="F1347" s="81" t="n">
        <x:v>0.4844361432478763</x:v>
      </x:c>
      <x:c r="G1347" s="81" t="n">
        <x:v>-0.013461431745017377</x:v>
      </x:c>
      <x:c r="H1347" s="59" t="n">
        <x:v>44</x:v>
      </x:c>
      <x:c r="I1347" s="81" t="n">
        <x:v>0.40083661768585443</x:v>
      </x:c>
      <x:c r="J1347" s="79" t="n">
        <x:v>9.359772799611145e-17</x:v>
      </x:c>
      <x:c r="K1347" s="81" t="n">
        <x:v>-0.9999999999998931</x:v>
      </x:c>
      <x:c r="L1347" s="81" t="n">
        <x:v>-0.9999999999998931</x:v>
      </x:c>
      <x:c r="M1347" s="80" t="n">
        <x:v>0.0018823831849663264</x:v>
      </x:c>
      <x:c r="N1347" s="82" t="n">
        <x:v>0.2985686928477893</x:v>
      </x:c>
      <x:c r="O1347" s="82" t="n">
        <x:v>0.13663178638268347</x:v>
      </x:c>
      <x:c r="P1347" s="80" t="n">
        <x:v>339.3718834321439</x:v>
      </x:c>
      <x:c r="Q1347" s="81" t="n">
        <x:v>598.1501888020954</x:v>
      </x:c>
      <x:c r="R1347" s="81" t="n">
        <x:v>44.69764155783686</x:v>
      </x:c>
      <x:c r="S1347" s="81" t="n">
        <x:v>3.962712825477499e-7</x:v>
      </x:c>
      <x:c r="T1347" s="81" t="n">
        <x:v>2.0275311327505682e-12</x:v>
      </x:c>
    </x:row>
    <x:row r="1348">
      <x:c r="A1348" s="59" t="n">
        <x:v>1345</x:v>
      </x:c>
      <x:c r="B1348" s="193" t="n">
        <x:v>0.43342439606785776</x:v>
      </x:c>
      <x:c r="C1348" s="83" t="n">
        <x:v>0.9604614730936535</x:v>
      </x:c>
      <x:c r="D1348" s="83" t="n">
        <x:v>0.547719663945856</x:v>
      </x:c>
      <x:c r="E1348" s="81" t="n">
        <x:v>-0.04855524610242609</x:v>
      </x:c>
      <x:c r="F1348" s="81" t="n">
        <x:v>0.8657256667036564</x:v>
      </x:c>
      <x:c r="G1348" s="81" t="n">
        <x:v>-0.0257762665634949</x:v>
      </x:c>
      <x:c r="H1348" s="59" t="n">
        <x:v>0</x:v>
      </x:c>
      <x:c r="I1348" s="81" t="n">
        <x:v>0</x:v>
      </x:c>
      <x:c r="J1348" s="79" t="n">
        <x:v>2.4311202269391574e-18</x:v>
      </x:c>
      <x:c r="K1348" s="81" t="n">
        <x:v>-0.9999999999999972</x:v>
      </x:c>
      <x:c r="L1348" s="81" t="n">
        <x:v>-0.9999999999999972</x:v>
      </x:c>
      <x:c r="M1348" s="80" t="n">
        <x:v>0.000542775710574648</x:v>
      </x:c>
      <x:c r="N1348" s="82" t="n">
        <x:v>0.20534356785079005</x:v>
      </x:c>
      <x:c r="O1348" s="82" t="n">
        <x:v>0.16793156642084858</x:v>
      </x:c>
      <x:c r="P1348" s="80" t="n">
        <x:v>516.3579380683651</x:v>
      </x:c>
      <x:c r="Q1348" s="81" t="n">
        <x:v>4870.048864711262</x:v>
      </x:c>
      <x:c r="R1348" s="81" t="n">
        <x:v>5.059146911323795</x:v>
      </x:c>
      <x:c r="S1348" s="81" t="n">
        <x:v>5.0192890034753315e-8</x:v>
      </x:c>
      <x:c r="T1348" s="81" t="n">
        <x:v>5.266337178380604e-14</x:v>
      </x:c>
    </x:row>
    <x:row r="1349">
      <x:c r="A1349" s="59" t="n">
        <x:v>1346</x:v>
      </x:c>
      <x:c r="B1349" s="193" t="n">
        <x:v>0.7621687598526479</x:v>
      </x:c>
      <x:c r="C1349" s="83" t="n">
        <x:v>2.3493427153291964</x:v>
      </x:c>
      <x:c r="D1349" s="83" t="n">
        <x:v>2.6780043461828287</x:v>
      </x:c>
      <x:c r="E1349" s="81" t="n">
        <x:v>-0.024409271153204997</x:v>
      </x:c>
      <x:c r="F1349" s="81" t="n">
        <x:v>0.8323551417561248</x:v>
      </x:c>
      <x:c r="G1349" s="81" t="n">
        <x:v>0.0013256245759670634</x:v>
      </x:c>
      <x:c r="H1349" s="59" t="n">
        <x:v>0</x:v>
      </x:c>
      <x:c r="I1349" s="81" t="n">
        <x:v>0</x:v>
      </x:c>
      <x:c r="J1349" s="79" t="n">
        <x:v>2.4839381616983188e-33</x:v>
      </x:c>
      <x:c r="K1349" s="81" t="n">
        <x:v>-1</x:v>
      </x:c>
      <x:c r="L1349" s="81" t="n">
        <x:v>-1</x:v>
      </x:c>
      <x:c r="M1349" s="80" t="n">
        <x:v>0.000002</x:v>
      </x:c>
      <x:c r="N1349" s="82" t="n">
        <x:v>0.2836566392611481</x:v>
      </x:c>
      <x:c r="O1349" s="82" t="n">
        <x:v>0.22303476433628802</x:v>
      </x:c>
      <x:c r="P1349" s="80" t="n">
        <x:v>2203.5406255509793</x:v>
      </x:c>
      <x:c r="Q1349" s="81" t="n">
        <x:v>34132862383450850</x:v>
      </x:c>
      <x:c r="R1349" s="81" t="n">
        <x:v>2.4677070864385082</x:v>
      </x:c>
      <x:c r="S1349" s="81" t="n">
        <x:v>7.117961687452988e-10</x:v>
      </x:c>
      <x:c r="T1349" s="81" t="n">
        <x:v>5.380752356381759e-29</x:v>
      </x:c>
    </x:row>
    <x:row r="1350">
      <x:c r="A1350" s="59" t="n">
        <x:v>1347</x:v>
      </x:c>
      <x:c r="B1350" s="193" t="n">
        <x:v>0.914108612947166</x:v>
      </x:c>
      <x:c r="C1350" s="83" t="n">
        <x:v>0.16185375518332498</x:v>
      </x:c>
      <x:c r="D1350" s="83" t="n">
        <x:v>1.5204582402726823</x:v>
      </x:c>
      <x:c r="E1350" s="81" t="n">
        <x:v>-0.055200968799809846</x:v>
      </x:c>
      <x:c r="F1350" s="81" t="n">
        <x:v>0.5477812721743249</x:v>
      </x:c>
      <x:c r="G1350" s="81" t="n">
        <x:v>0.04362489761479202</x:v>
      </x:c>
      <x:c r="H1350" s="59" t="n">
        <x:v>0</x:v>
      </x:c>
      <x:c r="I1350" s="81" t="n">
        <x:v>0</x:v>
      </x:c>
      <x:c r="J1350" s="79" t="n">
        <x:v>9.763365609177562e-45</x:v>
      </x:c>
      <x:c r="K1350" s="81" t="n">
        <x:v>-1</x:v>
      </x:c>
      <x:c r="L1350" s="81" t="n">
        <x:v>-1</x:v>
      </x:c>
      <x:c r="M1350" s="80" t="n">
        <x:v>0.000002</x:v>
      </x:c>
      <x:c r="N1350" s="82" t="n">
        <x:v>0.31985156114050795</x:v>
      </x:c>
      <x:c r="O1350" s="82" t="n">
        <x:v>0.1655108987282018</x:v>
      </x:c>
      <x:c r="P1350" s="80" t="n">
        <x:v>339.8644254224014</x:v>
      </x:c>
      <x:c r="Q1350" s="81" t="n">
        <x:v>3.955339167173007e+27</x:v>
      </x:c>
      <x:c r="R1350" s="81" t="n">
        <x:v>10.133770228103163</x:v>
      </x:c>
      <x:c r="S1350" s="81" t="n">
        <x:v>1.927307683823984e-9</x:v>
      </x:c>
      <x:c r="T1350" s="81" t="n">
        <x:v>2.1149581466182746e-40</x:v>
      </x:c>
    </x:row>
    <x:row r="1351">
      <x:c r="A1351" s="59" t="n">
        <x:v>1348</x:v>
      </x:c>
      <x:c r="B1351" s="193" t="n">
        <x:v>0.6114253763109445</x:v>
      </x:c>
      <x:c r="C1351" s="83" t="n">
        <x:v>2.028913046752369</x:v>
      </x:c>
      <x:c r="D1351" s="83" t="n">
        <x:v>0.9388120071519451</x:v>
      </x:c>
      <x:c r="E1351" s="81" t="n">
        <x:v>0.05530951579112955</x:v>
      </x:c>
      <x:c r="F1351" s="81" t="n">
        <x:v>0.48280910170869906</x:v>
      </x:c>
      <x:c r="G1351" s="81" t="n">
        <x:v>0.030006247214036726</x:v>
      </x:c>
      <x:c r="H1351" s="59" t="n">
        <x:v>54</x:v>
      </x:c>
      <x:c r="I1351" s="81" t="n">
        <x:v>0.44843347780406473</x:v>
      </x:c>
      <x:c r="J1351" s="79" t="n">
        <x:v>0.0188886006459274</x:v>
      </x:c>
      <x:c r="K1351" s="81" t="n">
        <x:v>20.586972166774174</x:v>
      </x:c>
      <x:c r="L1351" s="81" t="n">
        <x:v>-0.8663754152406706</x:v>
      </x:c>
      <x:c r="M1351" s="80" t="n">
        <x:v>89226.8682864275</x:v>
      </x:c>
      <x:c r="N1351" s="82" t="n">
        <x:v>0.24774673886307277</x:v>
      </x:c>
      <x:c r="O1351" s="82" t="n">
        <x:v>0.1129937278511796</x:v>
      </x:c>
      <x:c r="P1351" s="80" t="n">
        <x:v>151576.66828350467</x:v>
      </x:c>
      <x:c r="Q1351" s="81" t="n">
        <x:v>0.005224937759571713</x:v>
      </x:c>
      <x:c r="R1351" s="81" t="n">
        <x:v>89.37474608590558</x:v>
      </x:c>
      <x:c r="S1351" s="81" t="n">
        <x:v>190.98524641122535</x:v>
      </x:c>
      <x:c r="T1351" s="81" t="n">
        <x:v>409.16832794596644</x:v>
      </x:c>
    </x:row>
    <x:row r="1352">
      <x:c r="A1352" s="59" t="n">
        <x:v>1349</x:v>
      </x:c>
      <x:c r="B1352" s="193" t="n">
        <x:v>0.47239787541329864</x:v>
      </x:c>
      <x:c r="C1352" s="83" t="n">
        <x:v>0.3865223134222982</x:v>
      </x:c>
      <x:c r="D1352" s="83" t="n">
        <x:v>1.0750181160196917</x:v>
      </x:c>
      <x:c r="E1352" s="81" t="n">
        <x:v>-0.09042714961131638</x:v>
      </x:c>
      <x:c r="F1352" s="81" t="n">
        <x:v>0.5603300475282595</x:v>
      </x:c>
      <x:c r="G1352" s="81" t="n">
        <x:v>-0.020393901970135207</x:v>
      </x:c>
      <x:c r="H1352" s="59" t="n">
        <x:v>8</x:v>
      </x:c>
      <x:c r="I1352" s="81" t="n">
        <x:v>0.16842319089919328</x:v>
      </x:c>
      <x:c r="J1352" s="79" t="n">
        <x:v>1.8889102287889368e-38</x:v>
      </x:c>
      <x:c r="K1352" s="81" t="n">
        <x:v>-1</x:v>
      </x:c>
      <x:c r="L1352" s="81" t="n">
        <x:v>-1</x:v>
      </x:c>
      <x:c r="M1352" s="80" t="n">
        <x:v>0.000002</x:v>
      </x:c>
      <x:c r="N1352" s="82" t="n">
        <x:v>0.2146277813836117</x:v>
      </x:c>
      <x:c r="O1352" s="82" t="n">
        <x:v>0.11360587476856801</x:v>
      </x:c>
      <x:c r="P1352" s="80" t="n">
        <x:v>261.44796610787915</x:v>
      </x:c>
      <x:c r="Q1352" s="81" t="n">
        <x:v>1.2896780171846972e+21</x:v>
      </x:c>
      <x:c r="R1352" s="81" t="n">
        <x:v>4.082137951619922</x:v>
      </x:c>
      <x:c r="S1352" s="81" t="n">
        <x:v>5.28590514201564e-10</x:v>
      </x:c>
      <x:c r="T1352" s="81" t="n">
        <x:v>4.091791946060571e-34</x:v>
      </x:c>
    </x:row>
    <x:row r="1353">
      <x:c r="A1353" s="59" t="n">
        <x:v>1350</x:v>
      </x:c>
      <x:c r="B1353" s="193" t="n">
        <x:v>0.5479113960638642</x:v>
      </x:c>
      <x:c r="C1353" s="83" t="n">
        <x:v>0.8479473327207874</x:v>
      </x:c>
      <x:c r="D1353" s="83" t="n">
        <x:v>0.8789515816669707</x:v>
      </x:c>
      <x:c r="E1353" s="81" t="n">
        <x:v>-0.19250457627576134</x:v>
      </x:c>
      <x:c r="F1353" s="81" t="n">
        <x:v>0.49488272420130675</x:v>
      </x:c>
      <x:c r="G1353" s="81" t="n">
        <x:v>0.03911723189372183</x:v>
      </x:c>
      <x:c r="H1353" s="59" t="n">
        <x:v>0</x:v>
      </x:c>
      <x:c r="I1353" s="81" t="n">
        <x:v>0</x:v>
      </x:c>
      <x:c r="J1353" s="79" t="n">
        <x:v>5.1211901853442486e-70</x:v>
      </x:c>
      <x:c r="K1353" s="81" t="n">
        <x:v>-1</x:v>
      </x:c>
      <x:c r="L1353" s="81" t="n">
        <x:v>-1</x:v>
      </x:c>
      <x:c r="M1353" s="80" t="n">
        <x:v>0.000002</x:v>
      </x:c>
      <x:c r="N1353" s="82" t="n">
        <x:v>0.23261651788108814</x:v>
      </x:c>
      <x:c r="O1353" s="82" t="n">
        <x:v>0.10874612375643981</x:v>
      </x:c>
      <x:c r="P1353" s="80" t="n">
        <x:v>191.75914384234432</x:v>
      </x:c>
      <x:c r="Q1353" s="81" t="n">
        <x:v>2.443671888114458e+52</x:v>
      </x:c>
      <x:c r="R1353" s="81" t="n">
        <x:v>1.1894729506724697</x:v>
      </x:c>
      <x:c r="S1353" s="81" t="n">
        <x:v>6.645558045043394e-10</x:v>
      </x:c>
      <x:c r="T1353" s="81" t="n">
        <x:v>1.1093616009518412e-65</x:v>
      </x:c>
    </x:row>
    <x:row r="1354">
      <x:c r="A1354" s="59" t="n">
        <x:v>1351</x:v>
      </x:c>
      <x:c r="B1354" s="193" t="n">
        <x:v>0.9450303342193365</x:v>
      </x:c>
      <x:c r="C1354" s="83" t="n">
        <x:v>0.5153100370182188</x:v>
      </x:c>
      <x:c r="D1354" s="83" t="n">
        <x:v>0.587502982640604</x:v>
      </x:c>
      <x:c r="E1354" s="81" t="n">
        <x:v>0.063042653780097</x:v>
      </x:c>
      <x:c r="F1354" s="81" t="n">
        <x:v>0.39903959308285264</x:v>
      </x:c>
      <x:c r="G1354" s="81" t="n">
        <x:v>0.014202426136820137</x:v>
      </x:c>
      <x:c r="H1354" s="59" t="n">
        <x:v>0</x:v>
      </x:c>
      <x:c r="I1354" s="81" t="n">
        <x:v>0</x:v>
      </x:c>
      <x:c r="J1354" s="79" t="n">
        <x:v>0.0013241939702239804</x:v>
      </x:c>
      <x:c r="K1354" s="81" t="n">
        <x:v>0.5133645373988349</x:v>
      </x:c>
      <x:c r="L1354" s="81" t="n">
        <x:v>-0.726442234174796</x:v>
      </x:c>
      <x:c r="M1354" s="80" t="n">
        <x:v>10965.898062257087</x:v>
      </x:c>
      <x:c r="N1354" s="82" t="n">
        <x:v>0.3272176949298124</x:v>
      </x:c>
      <x:c r="O1354" s="82" t="n">
        <x:v>0.12334561415321951</x:v>
      </x:c>
      <x:c r="P1354" s="80" t="n">
        <x:v>12927.351562445656</x:v>
      </x:c>
      <x:c r="Q1354" s="81" t="n">
        <x:v>0.004511136476170455</x:v>
      </x:c>
      <x:c r="R1354" s="81" t="n">
        <x:v>84.74223501175581</x:v>
      </x:c>
      <x:c r="S1354" s="81" t="n">
        <x:v>50.04533167712396</x:v>
      </x:c>
      <x:c r="T1354" s="81" t="n">
        <x:v>28.684932400722825</x:v>
      </x:c>
    </x:row>
    <x:row r="1355">
      <x:c r="A1355" s="59" t="n">
        <x:v>1352</x:v>
      </x:c>
      <x:c r="B1355" s="193" t="n">
        <x:v>0.4009892800822854</x:v>
      </x:c>
      <x:c r="C1355" s="83" t="n">
        <x:v>0.23036510759481038</x:v>
      </x:c>
      <x:c r="D1355" s="83" t="n">
        <x:v>0.7070874912612304</x:v>
      </x:c>
      <x:c r="E1355" s="81" t="n">
        <x:v>-0.13583242352284036</x:v>
      </x:c>
      <x:c r="F1355" s="81" t="n">
        <x:v>0.4600684908917174</x:v>
      </x:c>
      <x:c r="G1355" s="81" t="n">
        <x:v>0.02346334079158583</x:v>
      </x:c>
      <x:c r="H1355" s="59" t="n">
        <x:v>40</x:v>
      </x:c>
      <x:c r="I1355" s="81" t="n">
        <x:v>0.2541076771914959</x:v>
      </x:c>
      <x:c r="J1355" s="79" t="n">
        <x:v>5.707043690597709e-45</x:v>
      </x:c>
      <x:c r="K1355" s="81" t="n">
        <x:v>-1</x:v>
      </x:c>
      <x:c r="L1355" s="81" t="n">
        <x:v>-1</x:v>
      </x:c>
      <x:c r="M1355" s="80" t="n">
        <x:v>0.000002</x:v>
      </x:c>
      <x:c r="N1355" s="82" t="n">
        <x:v>0.19761691506460194</x:v>
      </x:c>
      <x:c r="O1355" s="82" t="n">
        <x:v>0.08588504501315128</x:v>
      </x:c>
      <x:c r="P1355" s="80" t="n">
        <x:v>157.66962908273098</x:v>
      </x:c>
      <x:c r="Q1355" s="81" t="n">
        <x:v>2.9600184374028213e+27</x:v>
      </x:c>
      <x:c r="R1355" s="81" t="n">
        <x:v>6.569407682525653</x:v>
      </x:c>
      <x:c r="S1355" s="81" t="n">
        <x:v>6.675587089297827e-10</x:v>
      </x:c>
      <x:c r="T1355" s="81" t="n">
        <x:v>1.2362702606558233e-40</x:v>
      </x:c>
    </x:row>
    <x:row r="1356">
      <x:c r="A1356" s="59" t="n">
        <x:v>1353</x:v>
      </x:c>
      <x:c r="B1356" s="193" t="n">
        <x:v>0.6870180360972882</x:v>
      </x:c>
      <x:c r="C1356" s="83" t="n">
        <x:v>0.3565999863581455</x:v>
      </x:c>
      <x:c r="D1356" s="83" t="n">
        <x:v>0.5342306838205245</x:v>
      </x:c>
      <x:c r="E1356" s="81" t="n">
        <x:v>0.07979662512251096</x:v>
      </x:c>
      <x:c r="F1356" s="81" t="n">
        <x:v>0.5726763353683055</x:v>
      </x:c>
      <x:c r="G1356" s="81" t="n">
        <x:v>-0.014171814956682136</x:v>
      </x:c>
      <x:c r="H1356" s="59" t="n">
        <x:v>0</x:v>
      </x:c>
      <x:c r="I1356" s="81" t="n">
        <x:v>0</x:v>
      </x:c>
      <x:c r="J1356" s="79" t="n">
        <x:v>0.0005414444233336602</x:v>
      </x:c>
      <x:c r="K1356" s="81" t="n">
        <x:v>-0.3812063733329597</x:v>
      </x:c>
      <x:c r="L1356" s="81" t="n">
        <x:v>-0.797281580519423</x:v>
      </x:c>
      <x:c r="M1356" s="80" t="n">
        <x:v>6255.097506209458</x:v>
      </x:c>
      <x:c r="N1356" s="82" t="n">
        <x:v>0.26575432778655084</x:v>
      </x:c>
      <x:c r="O1356" s="82" t="n">
        <x:v>0.1437674351038583</x:v>
      </x:c>
      <x:c r="P1356" s="80" t="n">
        <x:v>6890.386980739825</x:v>
      </x:c>
      <x:c r="Q1356" s="81" t="n">
        <x:v>0.004145569985024986</x:v>
      </x:c>
      <x:c r="R1356" s="81" t="n">
        <x:v>109.93331344636339</x:v>
      </x:c>
      <x:c r="S1356" s="81" t="n">
        <x:v>29.165261940084207</x:v>
      </x:c>
      <x:c r="T1356" s="81" t="n">
        <x:v>11.728868301256014</x:v>
      </x:c>
    </x:row>
    <x:row r="1357">
      <x:c r="A1357" s="59" t="n">
        <x:v>1354</x:v>
      </x:c>
      <x:c r="B1357" s="193" t="n">
        <x:v>0.859758217819035</x:v>
      </x:c>
      <x:c r="C1357" s="83" t="n">
        <x:v>0.973257309734683</x:v>
      </x:c>
      <x:c r="D1357" s="83" t="n">
        <x:v>1.058678165842151</x:v>
      </x:c>
      <x:c r="E1357" s="81" t="n">
        <x:v>-0.025667395912298416</x:v>
      </x:c>
      <x:c r="F1357" s="81" t="n">
        <x:v>0.662832871626597</x:v>
      </x:c>
      <x:c r="G1357" s="81" t="n">
        <x:v>-0.017752725804807738</x:v>
      </x:c>
      <x:c r="H1357" s="59" t="n">
        <x:v>0</x:v>
      </x:c>
      <x:c r="I1357" s="81" t="n">
        <x:v>0</x:v>
      </x:c>
      <x:c r="J1357" s="79" t="n">
        <x:v>2.3208733163807586e-19</x:v>
      </x:c>
      <x:c r="K1357" s="81" t="n">
        <x:v>-0.9999999999999998</x:v>
      </x:c>
      <x:c r="L1357" s="81" t="n">
        <x:v>-0.9999999999999998</x:v>
      </x:c>
      <x:c r="M1357" s="80" t="n">
        <x:v>0.0001693689925156715</x:v>
      </x:c>
      <x:c r="N1357" s="82" t="n">
        <x:v>0.30690427795107833</x:v>
      </x:c>
      <x:c r="O1357" s="82" t="n">
        <x:v>0.1921666069966778</x:v>
      </x:c>
      <x:c r="P1357" s="80" t="n">
        <x:v>961.4078381634835</x:v>
      </x:c>
      <x:c r="Q1357" s="81" t="n">
        <x:v>29455.86575412871</x:v>
      </x:c>
      <x:c r="R1357" s="81" t="n">
        <x:v>5.261821132024663</x:v>
      </x:c>
      <x:c r="S1357" s="81" t="n">
        <x:v>3.339162508056185e-8</x:v>
      </x:c>
      <x:c r="T1357" s="81" t="n">
        <x:v>5.0275183007941664e-15</x:v>
      </x:c>
    </x:row>
    <x:row r="1358">
      <x:c r="A1358" s="59" t="n">
        <x:v>1355</x:v>
      </x:c>
      <x:c r="B1358" s="193" t="n">
        <x:v>0.5948299650102854</x:v>
      </x:c>
      <x:c r="C1358" s="83" t="n">
        <x:v>2.4795460247810386</x:v>
      </x:c>
      <x:c r="D1358" s="83" t="n">
        <x:v>1.0616043532709944</x:v>
      </x:c>
      <x:c r="E1358" s="81" t="n">
        <x:v>-0.0010753206562987344</x:v>
      </x:c>
      <x:c r="F1358" s="81" t="n">
        <x:v>0.7363556058262475</x:v>
      </x:c>
      <x:c r="G1358" s="81" t="n">
        <x:v>-0.02608034810362131</x:v>
      </x:c>
      <x:c r="H1358" s="59" t="n">
        <x:v>0</x:v>
      </x:c>
      <x:c r="I1358" s="81" t="n">
        <x:v>0</x:v>
      </x:c>
      <x:c r="J1358" s="79" t="n">
        <x:v>0.0000013273896373236223</x:v>
      </x:c>
      <x:c r="K1358" s="81" t="n">
        <x:v>-0.9984829832716301</x:v>
      </x:c>
      <x:c r="L1358" s="81" t="n">
        <x:v>-0.9984829832716301</x:v>
      </x:c>
      <x:c r="M1358" s="80" t="n">
        <x:v>684.2303281226888</x:v>
      </x:c>
      <x:c r="N1358" s="82" t="n">
        <x:v>0.2437934007272939</x:v>
      </x:c>
      <x:c r="O1358" s="82" t="n">
        <x:v>0.16958228576810952</x:v>
      </x:c>
      <x:c r="P1358" s="80" t="n">
        <x:v>6905.375421724101</x:v>
      </x:c>
      <x:c r="Q1358" s="81" t="n">
        <x:v>0.14905951773272194</x:v>
      </x:c>
      <x:c r="R1358" s="81" t="n">
        <x:v>6.601021331261078</x:v>
      </x:c>
      <x:c r="S1358" s="81" t="n">
        <x:v>0.07653541348123394</x:v>
      </x:c>
      <x:c r="T1358" s="81" t="n">
        <x:v>0.02875415752694277</x:v>
      </x:c>
    </x:row>
    <x:row r="1359">
      <x:c r="A1359" s="59" t="n">
        <x:v>1356</x:v>
      </x:c>
      <x:c r="B1359" s="193" t="n">
        <x:v>0.29860946834087376</x:v>
      </x:c>
      <x:c r="C1359" s="83" t="n">
        <x:v>1.4456005392593134</x:v>
      </x:c>
      <x:c r="D1359" s="83" t="n">
        <x:v>1.012243980918393</x:v>
      </x:c>
      <x:c r="E1359" s="81" t="n">
        <x:v>-0.17652482595689456</x:v>
      </x:c>
      <x:c r="F1359" s="81" t="n">
        <x:v>0.5425879827933386</x:v>
      </x:c>
      <x:c r="G1359" s="81" t="n">
        <x:v>-0.04275501246655105</x:v>
      </x:c>
      <x:c r="H1359" s="59" t="n">
        <x:v>0</x:v>
      </x:c>
      <x:c r="I1359" s="81" t="n">
        <x:v>0</x:v>
      </x:c>
      <x:c r="J1359" s="79" t="n">
        <x:v>4.073147243122429e-52</x:v>
      </x:c>
      <x:c r="K1359" s="81" t="n">
        <x:v>-1</x:v>
      </x:c>
      <x:c r="L1359" s="81" t="n">
        <x:v>-1</x:v>
      </x:c>
      <x:c r="M1359" s="80" t="n">
        <x:v>0.000002</x:v>
      </x:c>
      <x:c r="N1359" s="82" t="n">
        <x:v>0.17322812428632745</x:v>
      </x:c>
      <x:c r="O1359" s="82" t="n">
        <x:v>0.08878907172219326</x:v>
      </x:c>
      <x:c r="P1359" s="80" t="n">
        <x:v>281.4209995098471</x:v>
      </x:c>
      <x:c r="Q1359" s="81" t="n">
        <x:v>3.3056737932264424e+34</x:v>
      </x:c>
      <x:c r="R1359" s="81" t="n">
        <x:v>0.8076602796688023</x:v>
      </x:c>
      <x:c r="S1359" s="81" t="n">
        <x:v>2.130679768340636e-10</x:v>
      </x:c>
      <x:c r="T1359" s="81" t="n">
        <x:v>8.823326185920849e-48</x:v>
      </x:c>
    </x:row>
    <x:row r="1360">
      <x:c r="A1360" s="59" t="n">
        <x:v>1357</x:v>
      </x:c>
      <x:c r="B1360" s="193" t="n">
        <x:v>0.9420563085004687</x:v>
      </x:c>
      <x:c r="C1360" s="83" t="n">
        <x:v>0.6484249224269278</x:v>
      </x:c>
      <x:c r="D1360" s="83" t="n">
        <x:v>0.5163400251066164</x:v>
      </x:c>
      <x:c r="E1360" s="81" t="n">
        <x:v>0.11421721361981906</x:v>
      </x:c>
      <x:c r="F1360" s="81" t="n">
        <x:v>0.5918939123977907</x:v>
      </x:c>
      <x:c r="G1360" s="81" t="n">
        <x:v>0.020873172634804277</x:v>
      </x:c>
      <x:c r="H1360" s="59" t="n">
        <x:v>0</x:v>
      </x:c>
      <x:c r="I1360" s="81" t="n">
        <x:v>0</x:v>
      </x:c>
      <x:c r="J1360" s="79" t="n">
        <x:v>0.0023107955815242333</x:v>
      </x:c>
      <x:c r="K1360" s="81" t="n">
        <x:v>1.6409092360276953</x:v>
      </x:c>
      <x:c r="L1360" s="81" t="n">
        <x:v>-0.7614272543281168</x:v>
      </x:c>
      <x:c r="M1360" s="80" t="n">
        <x:v>17314.050505379717</x:v>
      </x:c>
      <x:c r="N1360" s="82" t="n">
        <x:v>0.32650922624059586</x:v>
      </x:c>
      <x:c r="O1360" s="82" t="n">
        <x:v>0.1825619529207286</x:v>
      </x:c>
      <x:c r="P1360" s="80" t="n">
        <x:v>17224.614886510244</x:v>
      </x:c>
      <x:c r="Q1360" s="81" t="n">
        <x:v>0.00399978635224625</x:v>
      </x:c>
      <x:c r="R1360" s="81" t="n">
        <x:v>94.21195912089738</x:v>
      </x:c>
      <x:c r="S1360" s="81" t="n">
        <x:v>69.51337550572946</x:v>
      </x:c>
      <x:c r="T1360" s="81" t="n">
        <x:v>50.056877269045316</x:v>
      </x:c>
    </x:row>
    <x:row r="1361">
      <x:c r="A1361" s="59" t="n">
        <x:v>1358</x:v>
      </x:c>
      <x:c r="B1361" s="193" t="n">
        <x:v>0.8159060735255481</x:v>
      </x:c>
      <x:c r="C1361" s="83" t="n">
        <x:v>0.6842150624611409</x:v>
      </x:c>
      <x:c r="D1361" s="83" t="n">
        <x:v>0.6703257575292703</x:v>
      </x:c>
      <x:c r="E1361" s="81" t="n">
        <x:v>0.0029642468400577875</x:v>
      </x:c>
      <x:c r="F1361" s="81" t="n">
        <x:v>0.47595506360521544</x:v>
      </x:c>
      <x:c r="G1361" s="81" t="n">
        <x:v>0.046656886233244266</x:v>
      </x:c>
      <x:c r="H1361" s="59" t="n">
        <x:v>0</x:v>
      </x:c>
      <x:c r="I1361" s="81" t="n">
        <x:v>0</x:v>
      </x:c>
      <x:c r="J1361" s="79" t="n">
        <x:v>0.000006723030876636166</x:v>
      </x:c>
      <x:c r="K1361" s="81" t="n">
        <x:v>-0.9923165361409872</x:v>
      </x:c>
      <x:c r="L1361" s="81" t="n">
        <x:v>-0.9924935844790662</x:v>
      </x:c>
      <x:c r="M1361" s="80" t="n">
        <x:v>752.136635286033</x:v>
      </x:c>
      <x:c r="N1361" s="82" t="n">
        <x:v>0.2964578749526642</x:v>
      </x:c>
      <x:c r="O1361" s="82" t="n">
        <x:v>0.13329071101157414</x:v>
      </x:c>
      <x:c r="P1361" s="80" t="n">
        <x:v>2846.647442318963</x:v>
      </x:c>
      <x:c r="Q1361" s="81" t="n">
        <x:v>0.05665563603867237</x:v>
      </x:c>
      <x:c r="R1361" s="81" t="n">
        <x:v>17.400703721231643</x:v>
      </x:c>
      <x:c r="S1361" s="81" t="n">
        <x:v>0.4112941691290629</x:v>
      </x:c>
      <x:c r="T1361" s="81" t="n">
        <x:v>0.14563552663788465</x:v>
      </x:c>
    </x:row>
    <x:row r="1362">
      <x:c r="A1362" s="59" t="n">
        <x:v>1359</x:v>
      </x:c>
      <x:c r="B1362" s="193" t="n">
        <x:v>0.9008158156648278</x:v>
      </x:c>
      <x:c r="C1362" s="83" t="n">
        <x:v>0.44850536676463637</x:v>
      </x:c>
      <x:c r="D1362" s="83" t="n">
        <x:v>0.7280556433995685</x:v>
      </x:c>
      <x:c r="E1362" s="81" t="n">
        <x:v>0.059153030729662374</x:v>
      </x:c>
      <x:c r="F1362" s="81" t="n">
        <x:v>0.35911365834763276</x:v>
      </x:c>
      <x:c r="G1362" s="81" t="n">
        <x:v>0.01302543206934451</x:v>
      </x:c>
      <x:c r="H1362" s="59" t="n">
        <x:v>0</x:v>
      </x:c>
      <x:c r="I1362" s="81" t="n">
        <x:v>0</x:v>
      </x:c>
      <x:c r="J1362" s="79" t="n">
        <x:v>0.002149900817406356</x:v>
      </x:c>
      <x:c r="K1362" s="81" t="n">
        <x:v>1.457029505607264</x:v>
      </x:c>
      <x:c r="L1362" s="81" t="n">
        <x:v>-0.7011058045471781</x:v>
      </x:c>
      <x:c r="M1362" s="80" t="n">
        <x:v>13658.773748925385</x:v>
      </x:c>
      <x:c r="N1362" s="82" t="n">
        <x:v>0.31668496758790576</x:v>
      </x:c>
      <x:c r="O1362" s="82" t="n">
        <x:v>0.10743117204231643</x:v>
      </x:c>
      <x:c r="P1362" s="80" t="n">
        <x:v>19204.416174461574</x:v>
      </x:c>
      <x:c r="Q1362" s="81" t="n">
        <x:v>0.004245296415683242</x:v>
      </x:c>
      <x:c r="R1362" s="81" t="n">
        <x:v>132.31894996384824</x:v>
      </x:c>
      <x:c r="S1362" s="81" t="n">
        <x:v>92.70181647381972</x:v>
      </x:c>
      <x:c r="T1362" s="81" t="n">
        <x:v>46.571545409717395</x:v>
      </x:c>
    </x:row>
    <x:row r="1363">
      <x:c r="A1363" s="59" t="n">
        <x:v>1360</x:v>
      </x:c>
      <x:c r="B1363" s="193" t="n">
        <x:v>0.9762319751083852</x:v>
      </x:c>
      <x:c r="C1363" s="83" t="n">
        <x:v>2.252753099094304</x:v>
      </x:c>
      <x:c r="D1363" s="83" t="n">
        <x:v>0.5297547109925314</x:v>
      </x:c>
      <x:c r="E1363" s="81" t="n">
        <x:v>-0.07070309325492702</x:v>
      </x:c>
      <x:c r="F1363" s="81" t="n">
        <x:v>0.6734889704384841</x:v>
      </x:c>
      <x:c r="G1363" s="81" t="n">
        <x:v>-0.010687096481753611</x:v>
      </x:c>
      <x:c r="H1363" s="59" t="n">
        <x:v>50</x:v>
      </x:c>
      <x:c r="I1363" s="81" t="n">
        <x:v>0.18033456886187196</x:v>
      </x:c>
      <x:c r="J1363" s="79" t="n">
        <x:v>1.4925809572112823e-24</x:v>
      </x:c>
      <x:c r="K1363" s="81" t="n">
        <x:v>-1</x:v>
      </x:c>
      <x:c r="L1363" s="81" t="n">
        <x:v>-1</x:v>
      </x:c>
      <x:c r="M1363" s="80" t="n">
        <x:v>0.000002</x:v>
      </x:c>
      <x:c r="N1363" s="82" t="n">
        <x:v>0.3346505108203507</x:v>
      </x:c>
      <x:c r="O1363" s="82" t="n">
        <x:v>0.21290846159397692</x:v>
      </x:c>
      <x:c r="P1363" s="80" t="n">
        <x:v>667.2602451830435</x:v>
      </x:c>
      <x:c r="Q1363" s="81" t="n">
        <x:v>20496870.029537518</x:v>
      </x:c>
      <x:c r="R1363" s="81" t="n">
        <x:v>2.0137127273483157</x:v>
      </x:c>
      <x:c r="S1363" s="81" t="n">
        <x:v>1.2518554841530668e-10</x:v>
      </x:c>
      <x:c r="T1363" s="81" t="n">
        <x:v>3.233256216456713e-20</x:v>
      </x:c>
    </x:row>
    <x:row r="1364">
      <x:c r="A1364" s="59" t="n">
        <x:v>1361</x:v>
      </x:c>
      <x:c r="B1364" s="193" t="n">
        <x:v>0.3637504743412137</x:v>
      </x:c>
      <x:c r="C1364" s="83" t="n">
        <x:v>1.560960568064944</x:v>
      </x:c>
      <x:c r="D1364" s="83" t="n">
        <x:v>0.637540013691501</x:v>
      </x:c>
      <x:c r="E1364" s="81" t="n">
        <x:v>0.03716977674184163</x:v>
      </x:c>
      <x:c r="F1364" s="81" t="n">
        <x:v>0.7796443498693407</x:v>
      </x:c>
      <x:c r="G1364" s="81" t="n">
        <x:v>-0.02053829276001356</x:v>
      </x:c>
      <x:c r="H1364" s="59" t="n">
        <x:v>0</x:v>
      </x:c>
      <x:c r="I1364" s="81" t="n">
        <x:v>0</x:v>
      </x:c>
      <x:c r="J1364" s="79" t="n">
        <x:v>0.0005100322796439215</x:v>
      </x:c>
      <x:c r="K1364" s="81" t="n">
        <x:v>-0.4171059661212325</x:v>
      </x:c>
      <x:c r="L1364" s="81" t="n">
        <x:v>-0.7252521655034678</x:v>
      </x:c>
      <x:c r="M1364" s="80" t="n">
        <x:v>10679.921761422194</x:v>
      </x:c>
      <x:c r="N1364" s="82" t="n">
        <x:v>0.18874593330947098</x:v>
      </x:c>
      <x:c r="O1364" s="82" t="n">
        <x:v>0.13900969193686796</x:v>
      </x:c>
      <x:c r="P1364" s="80" t="n">
        <x:v>14585.083118011902</x:v>
      </x:c>
      <x:c r="Q1364" s="81" t="n">
        <x:v>0.007976033559031056</x:v>
      </x:c>
      <x:c r="R1364" s="81" t="n">
        <x:v>23.914491513915518</x:v>
      </x:c>
      <x:c r="S1364" s="81" t="n">
        <x:v>7.003593992005623</x:v>
      </x:c>
      <x:c r="T1364" s="81" t="n">
        <x:v>11.048412689341745</x:v>
      </x:c>
    </x:row>
    <x:row r="1365">
      <x:c r="A1365" s="59" t="n">
        <x:v>1362</x:v>
      </x:c>
      <x:c r="B1365" s="193" t="n">
        <x:v>0.7681672949343921</x:v>
      </x:c>
      <x:c r="C1365" s="83" t="n">
        <x:v>0.39868822590260516</x:v>
      </x:c>
      <x:c r="D1365" s="83" t="n">
        <x:v>0.5010266399786814</x:v>
      </x:c>
      <x:c r="E1365" s="81" t="n">
        <x:v>-0.17737596864887026</x:v>
      </x:c>
      <x:c r="F1365" s="81" t="n">
        <x:v>0.7596005666069686</x:v>
      </x:c>
      <x:c r="G1365" s="81" t="n">
        <x:v>0.026452004870919435</x:v>
      </x:c>
      <x:c r="H1365" s="59" t="n">
        <x:v>0</x:v>
      </x:c>
      <x:c r="I1365" s="81" t="n">
        <x:v>0</x:v>
      </x:c>
      <x:c r="J1365" s="79" t="n">
        <x:v>1.999456385179789e-43</x:v>
      </x:c>
      <x:c r="K1365" s="81" t="n">
        <x:v>-1</x:v>
      </x:c>
      <x:c r="L1365" s="81" t="n">
        <x:v>-1</x:v>
      </x:c>
      <x:c r="M1365" s="80" t="n">
        <x:v>0.000002</x:v>
      </x:c>
      <x:c r="N1365" s="82" t="n">
        <x:v>0.28508560279015255</x:v>
      </x:c>
      <x:c r="O1365" s="82" t="n">
        <x:v>0.20456508339385085</x:v>
      </x:c>
      <x:c r="P1365" s="80" t="n">
        <x:v>130.6370168850705</x:v>
      </x:c>
      <x:c r="Q1365" s="81" t="n">
        <x:v>6.706613100870762e+25</x:v>
      </x:c>
      <x:c r="R1365" s="81" t="n">
        <x:v>3.846126928540051</x:v>
      </x:c>
      <x:c r="S1365" s="81" t="n">
        <x:v>4.311193817474301e-10</x:v>
      </x:c>
      <x:c r="T1365" s="81" t="n">
        <x:v>4.3312590554520263e-39</x:v>
      </x:c>
    </x:row>
    <x:row r="1366">
      <x:c r="A1366" s="59" t="n">
        <x:v>1363</x:v>
      </x:c>
      <x:c r="B1366" s="193" t="n">
        <x:v>0.21115221660584213</x:v>
      </x:c>
      <x:c r="C1366" s="83" t="n">
        <x:v>1.9373118769473259</x:v>
      </x:c>
      <x:c r="D1366" s="83" t="n">
        <x:v>0.4853411890178547</x:v>
      </x:c>
      <x:c r="E1366" s="81" t="n">
        <x:v>-0.06382242718152017</x:v>
      </x:c>
      <x:c r="F1366" s="81" t="n">
        <x:v>0.7256671440321952</x:v>
      </x:c>
      <x:c r="G1366" s="81" t="n">
        <x:v>0.013046233569313956</x:v>
      </x:c>
      <x:c r="H1366" s="59" t="n">
        <x:v>83</x:v>
      </x:c>
      <x:c r="I1366" s="81" t="n">
        <x:v>0.2346798305399716</x:v>
      </x:c>
      <x:c r="J1366" s="79" t="n">
        <x:v>5.180161836164853e-24</x:v>
      </x:c>
      <x:c r="K1366" s="81" t="n">
        <x:v>-1</x:v>
      </x:c>
      <x:c r="L1366" s="81" t="n">
        <x:v>-1</x:v>
      </x:c>
      <x:c r="M1366" s="80" t="n">
        <x:v>0.000002</x:v>
      </x:c>
      <x:c r="N1366" s="82" t="n">
        <x:v>0.152394167099573</x:v>
      </x:c>
      <x:c r="O1366" s="82" t="n">
        <x:v>0.10446642831476381</x:v>
      </x:c>
      <x:c r="P1366" s="80" t="n">
        <x:v>680.8581988486078</x:v>
      </x:c>
      <x:c r="Q1366" s="81" t="n">
        <x:v>6500508.015163161</x:v>
      </x:c>
      <x:c r="R1366" s="81" t="n">
        <x:v>2.768250675307636</x:v>
      </x:c>
      <x:c r="S1366" s="81" t="n">
        <x:v>1.6946913015238922e-10</x:v>
      </x:c>
      <x:c r="T1366" s="81" t="n">
        <x:v>1.1221361479999745e-19</x:v>
      </x:c>
    </x:row>
    <x:row r="1367">
      <x:c r="A1367" s="59" t="n">
        <x:v>1364</x:v>
      </x:c>
      <x:c r="B1367" s="193" t="n">
        <x:v>0.9110891282558442</x:v>
      </x:c>
      <x:c r="C1367" s="83" t="n">
        <x:v>0.7163275805325382</x:v>
      </x:c>
      <x:c r="D1367" s="83" t="n">
        <x:v>0.6366111858141325</x:v>
      </x:c>
      <x:c r="E1367" s="81" t="n">
        <x:v>-0.06715109873769329</x:v>
      </x:c>
      <x:c r="F1367" s="81" t="n">
        <x:v>0.3449871371034533</x:v>
      </x:c>
      <x:c r="G1367" s="81" t="n">
        <x:v>-0.0032194560076521587</x:v>
      </x:c>
      <x:c r="H1367" s="59" t="n">
        <x:v>10</x:v>
      </x:c>
      <x:c r="I1367" s="81" t="n">
        <x:v>0.24382950086146593</x:v>
      </x:c>
      <x:c r="J1367" s="79" t="n">
        <x:v>2.718653885203569e-26</x:v>
      </x:c>
      <x:c r="K1367" s="81" t="n">
        <x:v>-1</x:v>
      </x:c>
      <x:c r="L1367" s="81" t="n">
        <x:v>-1</x:v>
      </x:c>
      <x:c r="M1367" s="80" t="n">
        <x:v>0.000002</x:v>
      </x:c>
      <x:c r="N1367" s="82" t="n">
        <x:v>0.3191322632716968</x:v>
      </x:c>
      <x:c r="O1367" s="82" t="n">
        <x:v>0.10400268625588921</x:v>
      </x:c>
      <x:c r="P1367" s="80" t="n">
        <x:v>366.51164889918084</x:v>
      </x:c>
      <x:c r="Q1367" s="81" t="n">
        <x:v>1180901497.3189895</x:v>
      </x:c>
      <x:c r="R1367" s="81" t="n">
        <x:v>4.727201208651681</x:v>
      </x:c>
      <x:c r="S1367" s="81" t="n">
        <x:v>3.124204198803269e-10</x:v>
      </x:c>
      <x:c r="T1367" s="81" t="n">
        <x:v>5.88919785708103e-22</x:v>
      </x:c>
    </x:row>
    <x:row r="1368">
      <x:c r="A1368" s="59" t="n">
        <x:v>1365</x:v>
      </x:c>
      <x:c r="B1368" s="193" t="n">
        <x:v>0.41101067047566175</x:v>
      </x:c>
      <x:c r="C1368" s="83" t="n">
        <x:v>0.4146288498271207</x:v>
      </x:c>
      <x:c r="D1368" s="83" t="n">
        <x:v>0.6220000047491898</x:v>
      </x:c>
      <x:c r="E1368" s="81" t="n">
        <x:v>-0.045231701927550584</x:v>
      </x:c>
      <x:c r="F1368" s="81" t="n">
        <x:v>0.7866298194276169</x:v>
      </x:c>
      <x:c r="G1368" s="81" t="n">
        <x:v>0.002551958481496629</x:v>
      </x:c>
      <x:c r="H1368" s="59" t="n">
        <x:v>80</x:v>
      </x:c>
      <x:c r="I1368" s="81" t="n">
        <x:v>0.33918182523921137</x:v>
      </x:c>
      <x:c r="J1368" s="79" t="n">
        <x:v>7.371091303281956e-22</x:v>
      </x:c>
      <x:c r="K1368" s="81" t="n">
        <x:v>-1</x:v>
      </x:c>
      <x:c r="L1368" s="81" t="n">
        <x:v>-1</x:v>
      </x:c>
      <x:c r="M1368" s="80" t="n">
        <x:v>0.000006899265270378643</x:v>
      </x:c>
      <x:c r="N1368" s="82" t="n">
        <x:v>0.20000419815737416</x:v>
      </x:c>
      <x:c r="O1368" s="82" t="n">
        <x:v>0.14862109582111416</x:v>
      </x:c>
      <x:c r="P1368" s="80" t="n">
        <x:v>393.0709052334761</x:v>
      </x:c>
      <x:c r="Q1368" s="81" t="n">
        <x:v>218476.88208615573</x:v>
      </x:c>
      <x:c r="R1368" s="81" t="n">
        <x:v>10.137850848641817</x:v>
      </x:c>
      <x:c r="S1368" s="81" t="n">
        <x:v>1.4492921847889542e-9</x:v>
      </x:c>
      <x:c r="T1368" s="81" t="n">
        <x:v>1.5967393033698454e-17</x:v>
      </x:c>
    </x:row>
    <x:row r="1369">
      <x:c r="A1369" s="59" t="n">
        <x:v>1366</x:v>
      </x:c>
      <x:c r="B1369" s="193" t="n">
        <x:v>0.7678318062797189</x:v>
      </x:c>
      <x:c r="C1369" s="83" t="n">
        <x:v>0.2247712582133918</x:v>
      </x:c>
      <x:c r="D1369" s="83" t="n">
        <x:v>0.8231549494054547</x:v>
      </x:c>
      <x:c r="E1369" s="81" t="n">
        <x:v>0.05944843105965866</x:v>
      </x:c>
      <x:c r="F1369" s="81" t="n">
        <x:v>0.5684235987602733</x:v>
      </x:c>
      <x:c r="G1369" s="81" t="n">
        <x:v>0.0434782530058263</x:v>
      </x:c>
      <x:c r="H1369" s="59" t="n">
        <x:v>0</x:v>
      </x:c>
      <x:c r="I1369" s="81" t="n">
        <x:v>0</x:v>
      </x:c>
      <x:c r="J1369" s="79" t="n">
        <x:v>0.0020286578132698197</x:v>
      </x:c>
      <x:c r="K1369" s="81" t="n">
        <x:v>1.3184660723083654</x:v>
      </x:c>
      <x:c r="L1369" s="81" t="n">
        <x:v>-0.7692129572625053</x:v>
      </x:c>
      <x:c r="M1369" s="80" t="n">
        <x:v>11931.466086529847</x:v>
      </x:c>
      <x:c r="N1369" s="82" t="n">
        <x:v>0.2850056831021968</x:v>
      </x:c>
      <x:c r="O1369" s="82" t="n">
        <x:v>0.153037041648443</x:v>
      </x:c>
      <x:c r="P1369" s="80" t="n">
        <x:v>19312.05772171003</x:v>
      </x:c>
      <x:c r="Q1369" s="81" t="n">
        <x:v>0.006165177116313865</x:v>
      </x:c>
      <x:c r="R1369" s="81" t="n">
        <x:v>179.42726171490594</x:v>
      </x:c>
      <x:c r="S1369" s="81" t="n">
        <x:v>173.7498672009213</x:v>
      </x:c>
      <x:c r="T1369" s="81" t="n">
        <x:v>43.94515724006817</x:v>
      </x:c>
    </x:row>
    <x:row r="1370">
      <x:c r="A1370" s="59" t="n">
        <x:v>1367</x:v>
      </x:c>
      <x:c r="B1370" s="193" t="n">
        <x:v>0.9696437757462264</x:v>
      </x:c>
      <x:c r="C1370" s="83" t="n">
        <x:v>1.2466847270561767</x:v>
      </x:c>
      <x:c r="D1370" s="83" t="n">
        <x:v>1.071505654749669</x:v>
      </x:c>
      <x:c r="E1370" s="81" t="n">
        <x:v>0.08510867497126545</x:v>
      </x:c>
      <x:c r="F1370" s="81" t="n">
        <x:v>0.45439850573893636</x:v>
      </x:c>
      <x:c r="G1370" s="81" t="n">
        <x:v>0.05326026681339513</x:v>
      </x:c>
      <x:c r="H1370" s="59" t="n">
        <x:v>52</x:v>
      </x:c>
      <x:c r="I1370" s="81" t="n">
        <x:v>0.3932821519672871</x:v>
      </x:c>
      <x:c r="J1370" s="79" t="n">
        <x:v>0.037867165544277964</x:v>
      </x:c>
      <x:c r="K1370" s="81" t="n">
        <x:v>42.276760622031965</x:v>
      </x:c>
      <x:c r="L1370" s="81" t="n">
        <x:v>-0.9237415930607356</x:v>
      </x:c>
      <x:c r="M1370" s="80" t="n">
        <x:v>114195.81149286</x:v>
      </x:c>
      <x:c r="N1370" s="82" t="n">
        <x:v>0.33308107820354654</x:v>
      </x:c>
      <x:c r="O1370" s="82" t="n">
        <x:v>0.1429742405129416</x:v>
      </x:c>
      <x:c r="P1370" s="80" t="n">
        <x:v>214524.27907738014</x:v>
      </x:c>
      <x:c r="Q1370" s="81" t="n">
        <x:v>0.004689629745458483</x:v>
      </x:c>
      <x:c r="R1370" s="81" t="n">
        <x:v>239.11986511117644</x:v>
      </x:c>
      <x:c r="S1370" s="81" t="n">
        <x:v>611.4068505723701</x:v>
      </x:c>
      <x:c r="T1370" s="81" t="n">
        <x:v>820.2854780110998</x:v>
      </x:c>
    </x:row>
    <x:row r="1371">
      <x:c r="A1371" s="59" t="n">
        <x:v>1368</x:v>
      </x:c>
      <x:c r="B1371" s="193" t="n">
        <x:v>0.3018451930955053</x:v>
      </x:c>
      <x:c r="C1371" s="83" t="n">
        <x:v>0.40560023427320546</x:v>
      </x:c>
      <x:c r="D1371" s="83" t="n">
        <x:v>0.27978983331602136</x:v>
      </x:c>
      <x:c r="E1371" s="81" t="n">
        <x:v>-0.03825406521306537</x:v>
      </x:c>
      <x:c r="F1371" s="81" t="n">
        <x:v>0.7406002082163468</x:v>
      </x:c>
      <x:c r="G1371" s="81" t="n">
        <x:v>0.052747018455121655</x:v>
      </x:c>
      <x:c r="H1371" s="59" t="n">
        <x:v>88</x:v>
      </x:c>
      <x:c r="I1371" s="81" t="n">
        <x:v>0.4700828591361642</x:v>
      </x:c>
      <x:c r="J1371" s="79" t="n">
        <x:v>3.630076486897068e-14</x:v>
      </x:c>
      <x:c r="K1371" s="81" t="n">
        <x:v>-0.9999999999585134</x:v>
      </x:c>
      <x:c r="L1371" s="81" t="n">
        <x:v>-0.9999999999585134</x:v>
      </x:c>
      <x:c r="M1371" s="80" t="n">
        <x:v>0.046897281698095275</x:v>
      </x:c>
      <x:c r="N1371" s="82" t="n">
        <x:v>0.17399893459271995</x:v>
      </x:c>
      <x:c r="O1371" s="82" t="n">
        <x:v>0.12173104794412848</x:v>
      </x:c>
      <x:c r="P1371" s="80" t="n">
        <x:v>334.56165983701476</x:v>
      </x:c>
      <x:c r="Q1371" s="81" t="n">
        <x:v>35.41134714043315</x:v>
      </x:c>
      <x:c r="R1371" s="81" t="n">
        <x:v>17.08165001047754</x:v>
      </x:c>
      <x:c r="S1371" s="81" t="n">
        <x:v>0.000007946240529230525</x:v>
      </x:c>
      <x:c r="T1371" s="81" t="n">
        <x:v>7.863538195879491e-10</x:v>
      </x:c>
    </x:row>
    <x:row r="1372">
      <x:c r="A1372" s="59" t="n">
        <x:v>1369</x:v>
      </x:c>
      <x:c r="B1372" s="193" t="n">
        <x:v>0.3644668696448207</x:v>
      </x:c>
      <x:c r="C1372" s="83" t="n">
        <x:v>0.172968611172052</x:v>
      </x:c>
      <x:c r="D1372" s="83" t="n">
        <x:v>0.5654986841217987</x:v>
      </x:c>
      <x:c r="E1372" s="81" t="n">
        <x:v>-0.10483664362800413</x:v>
      </x:c>
      <x:c r="F1372" s="81" t="n">
        <x:v>0.38121365833794696</x:v>
      </x:c>
      <x:c r="G1372" s="81" t="n">
        <x:v>0.016172920057734932</x:v>
      </x:c>
      <x:c r="H1372" s="59" t="n">
        <x:v>21</x:v>
      </x:c>
      <x:c r="I1372" s="81" t="n">
        <x:v>0.44822364132851367</x:v>
      </x:c>
      <x:c r="J1372" s="79" t="n">
        <x:v>8.69043102182163e-33</x:v>
      </x:c>
      <x:c r="K1372" s="81" t="n">
        <x:v>-1</x:v>
      </x:c>
      <x:c r="L1372" s="81" t="n">
        <x:v>-1</x:v>
      </x:c>
      <x:c r="M1372" s="80" t="n">
        <x:v>0.000002</x:v>
      </x:c>
      <x:c r="N1372" s="82" t="n">
        <x:v>0.18891659210320225</x:v>
      </x:c>
      <x:c r="O1372" s="82" t="n">
        <x:v>0.06803141388292033</x:v>
      </x:c>
      <x:c r="P1372" s="80" t="n">
        <x:v>178.11575768551808</x:v>
      </x:c>
      <x:c r="Q1372" s="81" t="n">
        <x:v>2449844085861690.5</x:v>
      </x:c>
      <x:c r="R1372" s="81" t="n">
        <x:v>13.972171017068748</x:v>
      </x:c>
      <x:c r="S1372" s="81" t="n">
        <x:v>5.133599579957203e-10</x:v>
      </x:c>
      <x:c r="T1372" s="81" t="n">
        <x:v>1.882537090483299e-28</x:v>
      </x:c>
    </x:row>
    <x:row r="1373">
      <x:c r="A1373" s="59" t="n">
        <x:v>1370</x:v>
      </x:c>
      <x:c r="B1373" s="193" t="n">
        <x:v>0.44188638329505925</x:v>
      </x:c>
      <x:c r="C1373" s="83" t="n">
        <x:v>0.12368899303820785</x:v>
      </x:c>
      <x:c r="D1373" s="83" t="n">
        <x:v>0.2739077403935933</x:v>
      </x:c>
      <x:c r="E1373" s="81" t="n">
        <x:v>-0.030157573838185465</x:v>
      </x:c>
      <x:c r="F1373" s="81" t="n">
        <x:v>0.3077592298970558</x:v>
      </x:c>
      <x:c r="G1373" s="81" t="n">
        <x:v>-0.0029028457211015797</x:v>
      </x:c>
      <x:c r="H1373" s="59" t="n">
        <x:v>0</x:v>
      </x:c>
      <x:c r="I1373" s="81" t="n">
        <x:v>0</x:v>
      </x:c>
      <x:c r="J1373" s="79" t="n">
        <x:v>5.939864271811506e-10</x:v>
      </x:c>
      <x:c r="K1373" s="81" t="n">
        <x:v>-0.999999321158369</x:v>
      </x:c>
      <x:c r="L1373" s="81" t="n">
        <x:v>-0.999999321158369</x:v>
      </x:c>
      <x:c r="M1373" s="80" t="n">
        <x:v>4.728081145385844</x:v>
      </x:c>
      <x:c r="N1373" s="82" t="n">
        <x:v>0.20735937187056985</x:v>
      </x:c>
      <x:c r="O1373" s="82" t="n">
        <x:v>0.060284504695984786</x:v>
      </x:c>
      <x:c r="P1373" s="80" t="n">
        <x:v>340.8269444084838</x:v>
      </x:c>
      <x:c r="Q1373" s="81" t="n">
        <x:v>0.27052818740471557</x:v>
      </x:c>
      <x:c r="R1373" s="81" t="n">
        <x:v>70.14273588269933</x:v>
      </x:c>
      <x:c r="S1373" s="81" t="n">
        <x:v>0.0005841722208000156</x:v>
      </x:c>
      <x:c r="T1373" s="81" t="n">
        <x:v>0.00001286704281530312</x:v>
      </x:c>
    </x:row>
    <x:row r="1374">
      <x:c r="A1374" s="59" t="n">
        <x:v>1371</x:v>
      </x:c>
      <x:c r="B1374" s="193" t="n">
        <x:v>0.6129942519590259</x:v>
      </x:c>
      <x:c r="C1374" s="83" t="n">
        <x:v>0.5051626587739306</x:v>
      </x:c>
      <x:c r="D1374" s="83" t="n">
        <x:v>0.8693879425357058</x:v>
      </x:c>
      <x:c r="E1374" s="81" t="n">
        <x:v>0.10963562132512987</x:v>
      </x:c>
      <x:c r="F1374" s="81" t="n">
        <x:v>0.5580603540409357</x:v>
      </x:c>
      <x:c r="G1374" s="81" t="n">
        <x:v>0.013640696117896915</x:v>
      </x:c>
      <x:c r="H1374" s="59" t="n">
        <x:v>0</x:v>
      </x:c>
      <x:c r="I1374" s="81" t="n">
        <x:v>0</x:v>
      </x:c>
      <x:c r="J1374" s="79" t="n">
        <x:v>0.009250262303899496</x:v>
      </x:c>
      <x:c r="K1374" s="81" t="n">
        <x:v>9.57172834731371</x:v>
      </x:c>
      <x:c r="L1374" s="81" t="n">
        <x:v>-0.7574476474401937</x:v>
      </x:c>
      <x:c r="M1374" s="80" t="n">
        <x:v>35484.68207809704</x:v>
      </x:c>
      <x:c r="N1374" s="82" t="n">
        <x:v>0.2481204744588641</x:v>
      </x:c>
      <x:c r="O1374" s="82" t="n">
        <x:v>0.1308020995587373</x:v>
      </x:c>
      <x:c r="P1374" s="80" t="n">
        <x:v>51946.88971499157</x:v>
      </x:c>
      <x:c r="Q1374" s="81" t="n">
        <x:v>0.0031658230542364954</x:v>
      </x:c>
      <x:c r="R1374" s="81" t="n">
        <x:v>383.9647476276561</x:v>
      </x:c>
      <x:c r="S1374" s="81" t="n">
        <x:v>351.488805989317</x:v>
      </x:c>
      <x:c r="T1374" s="81" t="n">
        <x:v>200.3808768525281</x:v>
      </x:c>
    </x:row>
    <x:row r="1375">
      <x:c r="A1375" s="59" t="n">
        <x:v>1372</x:v>
      </x:c>
      <x:c r="B1375" s="193" t="n">
        <x:v>0.5518395641818643</x:v>
      </x:c>
      <x:c r="C1375" s="83" t="n">
        <x:v>0.48238212943998315</x:v>
      </x:c>
      <x:c r="D1375" s="83" t="n">
        <x:v>1.4678599154994316</x:v>
      </x:c>
      <x:c r="E1375" s="81" t="n">
        <x:v>0.05221918511484731</x:v>
      </x:c>
      <x:c r="F1375" s="81" t="n">
        <x:v>0.6395860517863184</x:v>
      </x:c>
      <x:c r="G1375" s="81" t="n">
        <x:v>0.013541384033209317</x:v>
      </x:c>
      <x:c r="H1375" s="59" t="n">
        <x:v>0</x:v>
      </x:c>
      <x:c r="I1375" s="81" t="n">
        <x:v>0</x:v>
      </x:c>
      <x:c r="J1375" s="79" t="n">
        <x:v>0.00471363532470241</x:v>
      </x:c>
      <x:c r="K1375" s="81" t="n">
        <x:v>4.387011799659898</x:v>
      </x:c>
      <x:c r="L1375" s="81" t="n">
        <x:v>-0.7532928836421728</x:v>
      </x:c>
      <x:c r="M1375" s="80" t="n">
        <x:v>23440.82197921611</x:v>
      </x:c>
      <x:c r="N1375" s="82" t="n">
        <x:v>0.23355228117994847</x:v>
      </x:c>
      <x:c r="O1375" s="82" t="n">
        <x:v>0.1411087807594112</x:v>
      </x:c>
      <x:c r="P1375" s="80" t="n">
        <x:v>58800.04161613811</x:v>
      </x:c>
      <x:c r="Q1375" s="81" t="n">
        <x:v>0.006683814297280323</x:v>
      </x:c>
      <x:c r="R1375" s="81" t="n">
        <x:v>240.96101918762162</x:v>
      </x:c>
      <x:c r="S1375" s="81" t="n">
        <x:v>193.89857194851547</x:v>
      </x:c>
      <x:c r="T1375" s="81" t="n">
        <x:v>102.107632032094</x:v>
      </x:c>
    </x:row>
    <x:row r="1376">
      <x:c r="A1376" s="59" t="n">
        <x:v>1373</x:v>
      </x:c>
      <x:c r="B1376" s="193" t="n">
        <x:v>0.9331572584807872</x:v>
      </x:c>
      <x:c r="C1376" s="83" t="n">
        <x:v>2.291853770223099</x:v>
      </x:c>
      <x:c r="D1376" s="83" t="n">
        <x:v>2.3540974657011358</x:v>
      </x:c>
      <x:c r="E1376" s="81" t="n">
        <x:v>-0.010227193419838403</x:v>
      </x:c>
      <x:c r="F1376" s="81" t="n">
        <x:v>0.8179339096299373</x:v>
      </x:c>
      <x:c r="G1376" s="81" t="n">
        <x:v>-0.029793968685048862</x:v>
      </x:c>
      <x:c r="H1376" s="59" t="n">
        <x:v>0</x:v>
      </x:c>
      <x:c r="I1376" s="81" t="n">
        <x:v>0</x:v>
      </x:c>
      <x:c r="J1376" s="79" t="n">
        <x:v>9.281258104747603e-17</x:v>
      </x:c>
      <x:c r="K1376" s="81" t="n">
        <x:v>-0.999999999999894</x:v>
      </x:c>
      <x:c r="L1376" s="81" t="n">
        <x:v>-0.999999999999894</x:v>
      </x:c>
      <x:c r="M1376" s="80" t="n">
        <x:v>0.0056017524090741354</x:v>
      </x:c>
      <x:c r="N1376" s="82" t="n">
        <x:v>0.32438930566872026</x:v>
      </x:c>
      <x:c r="O1376" s="82" t="n">
        <x:v>0.25064305962511724</x:v>
      </x:c>
      <x:c r="P1376" s="80" t="n">
        <x:v>4034.5956128499993</x:v>
      </x:c>
      <x:c r="Q1376" s="81" t="n">
        <x:v>6022.000604640612</x:v>
      </x:c>
      <x:c r="R1376" s="81" t="n">
        <x:v>4.487900528582568</x:v>
      </x:c>
      <x:c r="S1376" s="81" t="n">
        <x:v>0.0000012544633057807632</x:v>
      </x:c>
      <x:c r="T1376" s="81" t="n">
        <x:v>2.0105231356952486e-12</x:v>
      </x:c>
    </x:row>
    <x:row r="1377">
      <x:c r="A1377" s="59" t="n">
        <x:v>1374</x:v>
      </x:c>
      <x:c r="B1377" s="193" t="n">
        <x:v>0.6902311930432916</x:v>
      </x:c>
      <x:c r="C1377" s="83" t="n">
        <x:v>0.8226864059588681</x:v>
      </x:c>
      <x:c r="D1377" s="83" t="n">
        <x:v>0.24378161955756134</x:v>
      </x:c>
      <x:c r="E1377" s="81" t="n">
        <x:v>-0.2</x:v>
      </x:c>
      <x:c r="F1377" s="81" t="n">
        <x:v>0.440399649401661</x:v>
      </x:c>
      <x:c r="G1377" s="81" t="n">
        <x:v>-0.030031382671878888</x:v>
      </x:c>
      <x:c r="H1377" s="59" t="n">
        <x:v>0</x:v>
      </x:c>
      <x:c r="I1377" s="81" t="n">
        <x:v>0</x:v>
      </x:c>
      <x:c r="J1377" s="79" t="n">
        <x:v>6.753625781027664e-26</x:v>
      </x:c>
      <x:c r="K1377" s="81" t="n">
        <x:v>-1</x:v>
      </x:c>
      <x:c r="L1377" s="81" t="n">
        <x:v>-1</x:v>
      </x:c>
      <x:c r="M1377" s="80" t="n">
        <x:v>0.000002</x:v>
      </x:c>
      <x:c r="N1377" s="82" t="n">
        <x:v>0.26651976201778155</x:v>
      </x:c>
      <x:c r="O1377" s="82" t="n">
        <x:v>0.1108784951953759</x:v>
      </x:c>
      <x:c r="P1377" s="80" t="n">
        <x:v>141.56128472786204</x:v>
      </x:c>
      <x:c r="Q1377" s="81" t="n">
        <x:v>179477106.28561312</x:v>
      </x:c>
      <x:c r="R1377" s="81" t="n">
        <x:v>3.625803371159987</x:v>
      </x:c>
      <x:c r="S1377" s="81" t="n">
        <x:v>8.084967065240305e-11</x:v>
      </x:c>
      <x:c r="T1377" s="81" t="n">
        <x:v>1.4629827906238653e-21</x:v>
      </x:c>
    </x:row>
    <x:row r="1378">
      <x:c r="A1378" s="59" t="n">
        <x:v>1375</x:v>
      </x:c>
      <x:c r="B1378" s="193" t="n">
        <x:v>0.20690655522048473</x:v>
      </x:c>
      <x:c r="C1378" s="83" t="n">
        <x:v>0.25268932768322383</x:v>
      </x:c>
      <x:c r="D1378" s="83" t="n">
        <x:v>2.576302258135831</x:v>
      </x:c>
      <x:c r="E1378" s="81" t="n">
        <x:v>0.12879316528524112</x:v>
      </x:c>
      <x:c r="F1378" s="81" t="n">
        <x:v>0.6474410583148711</x:v>
      </x:c>
      <x:c r="G1378" s="81" t="n">
        <x:v>0.03269986175960013</x:v>
      </x:c>
      <x:c r="H1378" s="59" t="n">
        <x:v>0</x:v>
      </x:c>
      <x:c r="I1378" s="81" t="n">
        <x:v>0</x:v>
      </x:c>
      <x:c r="J1378" s="79" t="n">
        <x:v>0.31312840994291646</x:v>
      </x:c>
      <x:c r="K1378" s="81" t="n">
        <x:v>356.8610399347617</x:v>
      </x:c>
      <x:c r="L1378" s="81" t="n">
        <x:v>-0.8272333271620559</x:v>
      </x:c>
      <x:c r="M1378" s="80" t="n">
        <x:v>313103.45337472303</x:v>
      </x:c>
      <x:c r="N1378" s="82" t="n">
        <x:v>0.1513827709514299</x:v>
      </x:c>
      <x:c r="O1378" s="82" t="n">
        <x:v>0.09258649201779308</x:v>
      </x:c>
      <x:c r="P1378" s="80" t="n">
        <x:v>942648.1765330008</x:v>
      </x:c>
      <x:c r="Q1378" s="81" t="n">
        <x:v>0.0027363822111725247</x:v>
      </x:c>
      <x:c r="R1378" s="81" t="n">
        <x:v>9022.011295746344</x:v>
      </x:c>
      <x:c r="S1378" s="81" t="n">
        <x:v>23449.754538578178</x:v>
      </x:c>
      <x:c r="T1378" s="81" t="n">
        <x:v>6783.044987313388</x:v>
      </x:c>
    </x:row>
    <x:row r="1379">
      <x:c r="A1379" s="59" t="n">
        <x:v>1376</x:v>
      </x:c>
      <x:c r="B1379" s="193" t="n">
        <x:v>0.6708334490656853</x:v>
      </x:c>
      <x:c r="C1379" s="83" t="n">
        <x:v>1.6622836796126</x:v>
      </x:c>
      <x:c r="D1379" s="83" t="n">
        <x:v>0.5723930973664046</x:v>
      </x:c>
      <x:c r="E1379" s="81" t="n">
        <x:v>-0.015514848119172598</x:v>
      </x:c>
      <x:c r="F1379" s="81" t="n">
        <x:v>0.7683512670919299</x:v>
      </x:c>
      <x:c r="G1379" s="81" t="n">
        <x:v>0.01799242250755581</x:v>
      </x:c>
      <x:c r="H1379" s="59" t="n">
        <x:v>75</x:v>
      </x:c>
      <x:c r="I1379" s="81" t="n">
        <x:v>0.18669973528012634</x:v>
      </x:c>
      <x:c r="J1379" s="79" t="n">
        <x:v>3.584450169592076e-11</x:v>
      </x:c>
      <x:c r="K1379" s="81" t="n">
        <x:v>-0.9999999590348552</x:v>
      </x:c>
      <x:c r="L1379" s="81" t="n">
        <x:v>-0.9999999590348552</x:v>
      </x:c>
      <x:c r="M1379" s="80" t="n">
        <x:v>2.7631978774783774</x:v>
      </x:c>
      <x:c r="N1379" s="82" t="n">
        <x:v>0.2618988556946161</x:v>
      </x:c>
      <x:c r="O1379" s="82" t="n">
        <x:v>0.1900922252066631</x:v>
      </x:c>
      <x:c r="P1379" s="80" t="n">
        <x:v>1475.5741418375135</x:v>
      </x:c>
      <x:c r="Q1379" s="81" t="n">
        <x:v>5.0712999654257285</x:v>
      </x:c>
      <x:c r="R1379" s="81" t="n">
        <x:v>5.44474206685503</x:v>
      </x:c>
      <x:c r="S1379" s="81" t="n">
        <x:v>0.0003307287162336387</x:v>
      </x:c>
      <x:c r="T1379" s="81" t="n">
        <x:v>7.764701631371782e-7</x:v>
      </x:c>
    </x:row>
    <x:row r="1380">
      <x:c r="A1380" s="59" t="n">
        <x:v>1377</x:v>
      </x:c>
      <x:c r="B1380" s="193" t="n">
        <x:v>0.6838441234081984</x:v>
      </x:c>
      <x:c r="C1380" s="83" t="n">
        <x:v>0.2218153738772003</x:v>
      </x:c>
      <x:c r="D1380" s="83" t="n">
        <x:v>1.4805223212279581</x:v>
      </x:c>
      <x:c r="E1380" s="81" t="n">
        <x:v>-0.10276217450808643</x:v>
      </x:c>
      <x:c r="F1380" s="81" t="n">
        <x:v>0.6060979419271462</x:v>
      </x:c>
      <x:c r="G1380" s="81" t="n">
        <x:v>0.00476094807217794</x:v>
      </x:c>
      <x:c r="H1380" s="59" t="n">
        <x:v>19</x:v>
      </x:c>
      <x:c r="I1380" s="81" t="n">
        <x:v>0.36708865473046903</x:v>
      </x:c>
      <x:c r="J1380" s="79" t="n">
        <x:v>2.2953168340525055e-56</x:v>
      </x:c>
      <x:c r="K1380" s="81" t="n">
        <x:v>-1</x:v>
      </x:c>
      <x:c r="L1380" s="81" t="n">
        <x:v>-1</x:v>
      </x:c>
      <x:c r="M1380" s="80" t="n">
        <x:v>0.000002</x:v>
      </x:c>
      <x:c r="N1380" s="82" t="n">
        <x:v>0.2649982422731467</x:v>
      </x:c>
      <x:c r="O1380" s="82" t="n">
        <x:v>0.1517248596567093</x:v>
      </x:c>
      <x:c r="P1380" s="80" t="n">
        <x:v>225.7733060957899</x:v>
      </x:c>
      <x:c r="Q1380" s="81" t="n">
        <x:v>9.444973303055847e+38</x:v>
      </x:c>
      <x:c r="R1380" s="81" t="n">
        <x:v>4.318355433616758</x:v>
      </x:c>
      <x:c r="S1380" s="81" t="n">
        <x:v>1.1246314801055264e-9</x:v>
      </x:c>
      <x:c r="T1380" s="81" t="n">
        <x:v>4.9721573805309344e-52</x:v>
      </x:c>
    </x:row>
    <x:row r="1381">
      <x:c r="A1381" s="59" t="n">
        <x:v>1378</x:v>
      </x:c>
      <x:c r="B1381" s="193" t="n">
        <x:v>0.5013282883912324</x:v>
      </x:c>
      <x:c r="C1381" s="83" t="n">
        <x:v>2.1241932997171857</x:v>
      </x:c>
      <x:c r="D1381" s="83" t="n">
        <x:v>1.727812418755769</x:v>
      </x:c>
      <x:c r="E1381" s="81" t="n">
        <x:v>-0.03374594527546305</x:v>
      </x:c>
      <x:c r="F1381" s="81" t="n">
        <x:v>0.874098720215261</x:v>
      </x:c>
      <x:c r="G1381" s="81" t="n">
        <x:v>-0.05</x:v>
      </x:c>
      <x:c r="H1381" s="59" t="n">
        <x:v>0</x:v>
      </x:c>
      <x:c r="I1381" s="81" t="n">
        <x:v>0</x:v>
      </x:c>
      <x:c r="J1381" s="79" t="n">
        <x:v>7.309126766250069e-27</x:v>
      </x:c>
      <x:c r="K1381" s="81" t="n">
        <x:v>-1</x:v>
      </x:c>
      <x:c r="L1381" s="81" t="n">
        <x:v>-1</x:v>
      </x:c>
      <x:c r="M1381" s="80" t="n">
        <x:v>0.000002</x:v>
      </x:c>
      <x:c r="N1381" s="82" t="n">
        <x:v>0.22151954820019887</x:v>
      </x:c>
      <x:c r="O1381" s="82" t="n">
        <x:v>0.18291254110382774</x:v>
      </x:c>
      <x:c r="P1381" s="80" t="n">
        <x:v>1464.2829446426083</x:v>
      </x:c>
      <x:c r="Q1381" s="81" t="n">
        <x:v>8466843416.282361</x:v>
      </x:c>
      <x:c r="R1381" s="81" t="n">
        <x:v>2.236685912481242</x:v>
      </x:c>
      <x:c r="S1381" s="81" t="n">
        <x:v>2.595573501371609e-10</x:v>
      </x:c>
      <x:c r="T1381" s="81" t="n">
        <x:v>1.5833164318270822e-22</x:v>
      </x:c>
    </x:row>
    <x:row r="1382">
      <x:c r="A1382" s="59" t="n">
        <x:v>1379</x:v>
      </x:c>
      <x:c r="B1382" s="193" t="n">
        <x:v>0.5058083755895495</x:v>
      </x:c>
      <x:c r="C1382" s="83" t="n">
        <x:v>0.22992707322505113</x:v>
      </x:c>
      <x:c r="D1382" s="83" t="n">
        <x:v>0.37300504242275706</x:v>
      </x:c>
      <x:c r="E1382" s="81" t="n">
        <x:v>-0.120923470876179</x:v>
      </x:c>
      <x:c r="F1382" s="81" t="n">
        <x:v>0.27462813635356725</x:v>
      </x:c>
      <x:c r="G1382" s="81" t="n">
        <x:v>-0.0012459267648214035</x:v>
      </x:c>
      <x:c r="H1382" s="59" t="n">
        <x:v>0</x:v>
      </x:c>
      <x:c r="I1382" s="81" t="n">
        <x:v>0</x:v>
      </x:c>
      <x:c r="J1382" s="79" t="n">
        <x:v>6.771389997467023e-27</x:v>
      </x:c>
      <x:c r="K1382" s="81" t="n">
        <x:v>-1</x:v>
      </x:c>
      <x:c r="L1382" s="81" t="n">
        <x:v>-1</x:v>
      </x:c>
      <x:c r="M1382" s="80" t="n">
        <x:v>0.000002</x:v>
      </x:c>
      <x:c r="N1382" s="82" t="n">
        <x:v>0.22258678897247294</x:v>
      </x:c>
      <x:c r="O1382" s="82" t="n">
        <x:v>0.05774512901802949</x:v>
      </x:c>
      <x:c r="P1382" s="80" t="n">
        <x:v>157.5086606842924</x:v>
      </x:c>
      <x:c r="Q1382" s="81" t="n">
        <x:v>2765555204.423458</x:v>
      </x:c>
      <x:c r="R1382" s="81" t="n">
        <x:v>13.82527335069754</x:v>
      </x:c>
      <x:c r="S1382" s="81" t="n">
        <x:v>2.6166881666922316e-10</x:v>
      </x:c>
      <x:c r="T1382" s="81" t="n">
        <x:v>1.4668309077364103e-22</x:v>
      </x:c>
    </x:row>
    <x:row r="1383">
      <x:c r="A1383" s="59" t="n">
        <x:v>1380</x:v>
      </x:c>
      <x:c r="B1383" s="193" t="n">
        <x:v>0.35059009157121185</x:v>
      </x:c>
      <x:c r="C1383" s="83" t="n">
        <x:v>0.42121503827019524</x:v>
      </x:c>
      <x:c r="D1383" s="83" t="n">
        <x:v>0.261186747715316</x:v>
      </x:c>
      <x:c r="E1383" s="81" t="n">
        <x:v>0.09652189581187884</x:v>
      </x:c>
      <x:c r="F1383" s="81" t="n">
        <x:v>0.49426015173085036</x:v>
      </x:c>
      <x:c r="G1383" s="81" t="n">
        <x:v>0.015565688853743098</x:v>
      </x:c>
      <x:c r="H1383" s="59" t="n">
        <x:v>0</x:v>
      </x:c>
      <x:c r="I1383" s="81" t="n">
        <x:v>0</x:v>
      </x:c>
      <x:c r="J1383" s="79" t="n">
        <x:v>0.0010655147229115482</x:v>
      </x:c>
      <x:c r="K1383" s="81" t="n">
        <x:v>0.21773111189891226</x:v>
      </x:c>
      <x:c r="L1383" s="81" t="n">
        <x:v>-0.6886454719888586</x:v>
      </x:c>
      <x:c r="M1383" s="80" t="n">
        <x:v>8791.880297715692</x:v>
      </x:c>
      <x:c r="N1383" s="82" t="n">
        <x:v>0.18561088337647963</x:v>
      </x:c>
      <x:c r="O1383" s="82" t="n">
        <x:v>0.08666225345472965</x:v>
      </x:c>
      <x:c r="P1383" s="80" t="n">
        <x:v>5005.114447503434</x:v>
      </x:c>
      <x:c r="Q1383" s="81" t="n">
        <x:v>0.0020799894683326756</x:v>
      </x:c>
      <x:c r="R1383" s="81" t="n">
        <x:v>82.27795072430358</x:v>
      </x:c>
      <x:c r="S1383" s="81" t="n">
        <x:v>47.89726652605321</x:v>
      </x:c>
      <x:c r="T1383" s="81" t="n">
        <x:v>23.08137515044181</x:v>
      </x:c>
    </x:row>
    <x:row r="1384">
      <x:c r="A1384" s="59" t="n">
        <x:v>1381</x:v>
      </x:c>
      <x:c r="B1384" s="193" t="n">
        <x:v>0.24860858581960202</x:v>
      </x:c>
      <x:c r="C1384" s="83" t="n">
        <x:v>0.8932726152433079</x:v>
      </x:c>
      <x:c r="D1384" s="83" t="n">
        <x:v>0.3533732857235449</x:v>
      </x:c>
      <x:c r="E1384" s="81" t="n">
        <x:v>-0.1525709470837707</x:v>
      </x:c>
      <x:c r="F1384" s="81" t="n">
        <x:v>0.6002190320170484</x:v>
      </x:c>
      <x:c r="G1384" s="81" t="n">
        <x:v>0.009530092816075421</x:v>
      </x:c>
      <x:c r="H1384" s="59" t="n">
        <x:v>0</x:v>
      </x:c>
      <x:c r="I1384" s="81" t="n">
        <x:v>0</x:v>
      </x:c>
      <x:c r="J1384" s="79" t="n">
        <x:v>1.2792927418163085e-30</x:v>
      </x:c>
      <x:c r="K1384" s="81" t="n">
        <x:v>-1</x:v>
      </x:c>
      <x:c r="L1384" s="81" t="n">
        <x:v>-1</x:v>
      </x:c>
      <x:c r="M1384" s="80" t="n">
        <x:v>0.000002</x:v>
      </x:c>
      <x:c r="N1384" s="82" t="n">
        <x:v>0.16131697655321334</x:v>
      </x:c>
      <x:c r="O1384" s="82" t="n">
        <x:v>0.09146622973498085</x:v>
      </x:c>
      <x:c r="P1384" s="80" t="n">
        <x:v>197.94886587837303</x:v>
      </x:c>
      <x:c r="Q1384" s="81" t="n">
        <x:v>11929457414030.973</x:v>
      </x:c>
      <x:c r="R1384" s="81" t="n">
        <x:v>3.1807947911424406</x:v>
      </x:c>
      <x:c r="S1384" s="81" t="n">
        <x:v>1.835026935384524e-10</x:v>
      </x:c>
      <x:c r="T1384" s="81" t="n">
        <x:v>2.7712273764189666e-26</x:v>
      </x:c>
    </x:row>
    <x:row r="1385">
      <x:c r="A1385" s="59" t="n">
        <x:v>1382</x:v>
      </x:c>
      <x:c r="B1385" s="193" t="n">
        <x:v>0.24152714218944313</x:v>
      </x:c>
      <x:c r="C1385" s="83" t="n">
        <x:v>1.442020030827433</x:v>
      </x:c>
      <x:c r="D1385" s="83" t="n">
        <x:v>2.1237000443422382</x:v>
      </x:c>
      <x:c r="E1385" s="81" t="n">
        <x:v>-0.03390761809134643</x:v>
      </x:c>
      <x:c r="F1385" s="81" t="n">
        <x:v>0.33639514815295113</x:v>
      </x:c>
      <x:c r="G1385" s="81" t="n">
        <x:v>-0.03808358535067697</x:v>
      </x:c>
      <x:c r="H1385" s="59" t="n">
        <x:v>36</x:v>
      </x:c>
      <x:c r="I1385" s="81" t="n">
        <x:v>0.487633038777858</x:v>
      </x:c>
      <x:c r="J1385" s="79" t="n">
        <x:v>1.0009344221564539e-30</x:v>
      </x:c>
      <x:c r="K1385" s="81" t="n">
        <x:v>-1</x:v>
      </x:c>
      <x:c r="L1385" s="81" t="n">
        <x:v>-1</x:v>
      </x:c>
      <x:c r="M1385" s="80" t="n">
        <x:v>0.000002</x:v>
      </x:c>
      <x:c r="N1385" s="82" t="n">
        <x:v>0.15963004390344143</x:v>
      </x:c>
      <x:c r="O1385" s="82" t="n">
        <x:v>0.05072654673500152</x:v>
      </x:c>
      <x:c r="P1385" s="80" t="n">
        <x:v>1222.47108787945</x:v>
      </x:c>
      <x:c r="Q1385" s="81" t="n">
        <x:v>61542286618800.33</x:v>
      </x:c>
      <x:c r="R1385" s="81" t="n">
        <x:v>2.6283503827492667</x:v>
      </x:c>
      <x:c r="S1385" s="81" t="n">
        <x:v>4.749912903053752e-10</x:v>
      </x:c>
      <x:c r="T1385" s="81" t="n">
        <x:v>2.1682424843135337e-26</x:v>
      </x:c>
    </x:row>
    <x:row r="1386">
      <x:c r="A1386" s="59" t="n">
        <x:v>1383</x:v>
      </x:c>
      <x:c r="B1386" s="193" t="n">
        <x:v>0.9879770131781698</x:v>
      </x:c>
      <x:c r="C1386" s="83" t="n">
        <x:v>0.3410816724386186</x:v>
      </x:c>
      <x:c r="D1386" s="83" t="n">
        <x:v>0.5162229020843991</x:v>
      </x:c>
      <x:c r="E1386" s="81" t="n">
        <x:v>-0.05869844198574388</x:v>
      </x:c>
      <x:c r="F1386" s="81" t="n">
        <x:v>0.5088171027717181</x:v>
      </x:c>
      <x:c r="G1386" s="81" t="n">
        <x:v>-0.0055880397735921135</x:v>
      </x:c>
      <x:c r="H1386" s="59" t="n">
        <x:v>40</x:v>
      </x:c>
      <x:c r="I1386" s="81" t="n">
        <x:v>0.3082594657316804</x:v>
      </x:c>
      <x:c r="J1386" s="79" t="n">
        <x:v>2.539169456104233e-22</x:v>
      </x:c>
      <x:c r="K1386" s="81" t="n">
        <x:v>-1</x:v>
      </x:c>
      <x:c r="L1386" s="81" t="n">
        <x:v>-1</x:v>
      </x:c>
      <x:c r="M1386" s="80" t="n">
        <x:v>0.000003844581829115382</x:v>
      </x:c>
      <x:c r="N1386" s="82" t="n">
        <x:v>0.3374483991080373</x:v>
      </x:c>
      <x:c r="O1386" s="82" t="n">
        <x:v>0.16219595334891168</x:v>
      </x:c>
      <x:c r="P1386" s="80" t="n">
        <x:v>286.6536841610218</x:v>
      </x:c>
      <x:c r="Q1386" s="81" t="n">
        <x:v>275846.78107641265</x:v>
      </x:c>
      <x:c r="R1386" s="81" t="n">
        <x:v>11.12495793183584</x:v>
      </x:c>
      <x:c r="S1386" s="81" t="n">
        <x:v>6.394067710781618e-10</x:v>
      </x:c>
      <x:c r="T1386" s="81" t="n">
        <x:v>5.500395398267088e-18</x:v>
      </x:c>
    </x:row>
    <x:row r="1387">
      <x:c r="A1387" s="59" t="n">
        <x:v>1384</x:v>
      </x:c>
      <x:c r="B1387" s="193" t="n">
        <x:v>0.8508147696033121</x:v>
      </x:c>
      <x:c r="C1387" s="83" t="n">
        <x:v>0.8034916024591322</x:v>
      </x:c>
      <x:c r="D1387" s="83" t="n">
        <x:v>0.5750239700924595</x:v>
      </x:c>
      <x:c r="E1387" s="81" t="n">
        <x:v>0.04148446324277437</x:v>
      </x:c>
      <x:c r="F1387" s="81" t="n">
        <x:v>0.40833612398710106</x:v>
      </x:c>
      <x:c r="G1387" s="81" t="n">
        <x:v>-0.016901541819395162</x:v>
      </x:c>
      <x:c r="H1387" s="59" t="n">
        <x:v>0</x:v>
      </x:c>
      <x:c r="I1387" s="81" t="n">
        <x:v>0</x:v>
      </x:c>
      <x:c r="J1387" s="79" t="n">
        <x:v>0.0003903788246394136</x:v>
      </x:c>
      <x:c r="K1387" s="81" t="n">
        <x:v>-0.55385277184067</x:v>
      </x:c>
      <x:c r="L1387" s="81" t="n">
        <x:v>-0.7665158123528956</x:v>
      </x:c>
      <x:c r="M1387" s="80" t="n">
        <x:v>6598.467587937155</x:v>
      </x:c>
      <x:c r="N1387" s="82" t="n">
        <x:v>0.3047737808964393</x:v>
      </x:c>
      <x:c r="O1387" s="82" t="n">
        <x:v>0.11756183239548995</x:v>
      </x:c>
      <x:c r="P1387" s="80" t="n">
        <x:v>8276.90300764097</x:v>
      </x:c>
      <x:c r="Q1387" s="81" t="n">
        <x:v>0.006043306462937233</x:v>
      </x:c>
      <x:c r="R1387" s="81" t="n">
        <x:v>39.4726449109008</x:v>
      </x:c>
      <x:c r="S1387" s="81" t="n">
        <x:v>9.799423224210095</x:v>
      </x:c>
      <x:c r="T1387" s="81" t="n">
        <x:v>8.456457624226402</x:v>
      </x:c>
    </x:row>
    <x:row r="1388">
      <x:c r="A1388" s="59" t="n">
        <x:v>1385</x:v>
      </x:c>
      <x:c r="B1388" s="193" t="n">
        <x:v>0.8496896410360932</x:v>
      </x:c>
      <x:c r="C1388" s="83" t="n">
        <x:v>0.4850579675877143</x:v>
      </x:c>
      <x:c r="D1388" s="83" t="n">
        <x:v>0.41146965903632793</x:v>
      </x:c>
      <x:c r="E1388" s="81" t="n">
        <x:v>-0.17170349742954902</x:v>
      </x:c>
      <x:c r="F1388" s="81" t="n">
        <x:v>0.34636841926258055</x:v>
      </x:c>
      <x:c r="G1388" s="81" t="n">
        <x:v>-0.01292375507689658</x:v>
      </x:c>
      <x:c r="H1388" s="59" t="n">
        <x:v>0</x:v>
      </x:c>
      <x:c r="I1388" s="81" t="n">
        <x:v>0</x:v>
      </x:c>
      <x:c r="J1388" s="79" t="n">
        <x:v>8.229197281180384e-33</x:v>
      </x:c>
      <x:c r="K1388" s="81" t="n">
        <x:v>-1</x:v>
      </x:c>
      <x:c r="L1388" s="81" t="n">
        <x:v>-1</x:v>
      </x:c>
      <x:c r="M1388" s="80" t="n">
        <x:v>0.000002</x:v>
      </x:c>
      <x:c r="N1388" s="82" t="n">
        <x:v>0.30450575417556686</x:v>
      </x:c>
      <x:c r="O1388" s="82" t="n">
        <x:v>0.09963335006692614</x:v>
      </x:c>
      <x:c r="P1388" s="80" t="n">
        <x:v>142.30375236757348</x:v>
      </x:c>
      <x:c r="Q1388" s="81" t="n">
        <x:v>1675235671284739.8</x:v>
      </x:c>
      <x:c r="R1388" s="81" t="n">
        <x:v>4.297245896989725</x:v>
      </x:c>
      <x:c r="S1388" s="81" t="n">
        <x:v>2.071883681454807e-10</x:v>
      </x:c>
      <x:c r="T1388" s="81" t="n">
        <x:v>1.7826237925169237e-28</x:v>
      </x:c>
    </x:row>
    <x:row r="1389">
      <x:c r="A1389" s="59" t="n">
        <x:v>1386</x:v>
      </x:c>
      <x:c r="B1389" s="193" t="n">
        <x:v>0.6068695407360792</x:v>
      </x:c>
      <x:c r="C1389" s="83" t="n">
        <x:v>1.3238136492507553</x:v>
      </x:c>
      <x:c r="D1389" s="83" t="n">
        <x:v>0.1105071625421374</x:v>
      </x:c>
      <x:c r="E1389" s="81" t="n">
        <x:v>0.08089757093825944</x:v>
      </x:c>
      <x:c r="F1389" s="81" t="n">
        <x:v>0.33106943452730775</x:v>
      </x:c>
      <x:c r="G1389" s="81" t="n">
        <x:v>0.011286038984101458</x:v>
      </x:c>
      <x:c r="H1389" s="59" t="n">
        <x:v>48</x:v>
      </x:c>
      <x:c r="I1389" s="81" t="n">
        <x:v>0.3778415569104254</x:v>
      </x:c>
      <x:c r="J1389" s="79" t="n">
        <x:v>0.00036069283429708516</x:v>
      </x:c>
      <x:c r="K1389" s="81" t="n">
        <x:v>-0.5877796179461883</x:v>
      </x:c>
      <x:c r="L1389" s="81" t="n">
        <x:v>-0.7485968319555976</x:v>
      </x:c>
      <x:c r="M1389" s="80" t="n">
        <x:v>7781.39445368113</x:v>
      </x:c>
      <x:c r="N1389" s="82" t="n">
        <x:v>0.246661453407223</x:v>
      </x:c>
      <x:c r="O1389" s="82" t="n">
        <x:v>0.077142074739605</x:v>
      </x:c>
      <x:c r="P1389" s="80" t="n">
        <x:v>2127.8191250723603</x:v>
      </x:c>
      <x:c r="Q1389" s="81" t="n">
        <x:v>0.0020948561201468282</x:v>
      </x:c>
      <x:c r="R1389" s="81" t="n">
        <x:v>16.816957727715327</x:v>
      </x:c>
      <x:c r="S1389" s="81" t="n">
        <x:v>5.258566503755973</x:v>
      </x:c>
      <x:c r="T1389" s="81" t="n">
        <x:v>7.8133942623881305</x:v>
      </x:c>
    </x:row>
    <x:row r="1390">
      <x:c r="A1390" s="59" t="n">
        <x:v>1387</x:v>
      </x:c>
      <x:c r="B1390" s="193" t="n">
        <x:v>0.8587543927133083</x:v>
      </x:c>
      <x:c r="C1390" s="83" t="n">
        <x:v>0.19647307803414954</x:v>
      </x:c>
      <x:c r="D1390" s="83" t="n">
        <x:v>0.6388426468891869</x:v>
      </x:c>
      <x:c r="E1390" s="81" t="n">
        <x:v>-0.11482033257724693</x:v>
      </x:c>
      <x:c r="F1390" s="81" t="n">
        <x:v>0.8623785103322007</x:v>
      </x:c>
      <x:c r="G1390" s="81" t="n">
        <x:v>0.03188899012688904</x:v>
      </x:c>
      <x:c r="H1390" s="59" t="n">
        <x:v>0</x:v>
      </x:c>
      <x:c r="I1390" s="81" t="n">
        <x:v>0</x:v>
      </x:c>
      <x:c r="J1390" s="79" t="n">
        <x:v>2.212545423286276e-39</x:v>
      </x:c>
      <x:c r="K1390" s="81" t="n">
        <x:v>-1</x:v>
      </x:c>
      <x:c r="L1390" s="81" t="n">
        <x:v>-1</x:v>
      </x:c>
      <x:c r="M1390" s="80" t="n">
        <x:v>0.000002</x:v>
      </x:c>
      <x:c r="N1390" s="82" t="n">
        <x:v>0.3066651479891733</x:v>
      </x:c>
      <x:c r="O1390" s="82" t="n">
        <x:v>0.24982350059385666</x:v>
      </x:c>
      <x:c r="P1390" s="80" t="n">
        <x:v>157.88978500515677</x:v>
      </x:c>
      <x:c r="Q1390" s="81" t="n">
        <x:v>8.865203027335477e+21</x:v>
      </x:c>
      <x:c r="R1390" s="81" t="n">
        <x:v>8.502807035985327</x:v>
      </x:c>
      <x:c r="S1390" s="81" t="n">
        <x:v>6.852719941660654e-10</x:v>
      </x:c>
      <x:c r="T1390" s="81" t="n">
        <x:v>4.792856433998143e-35</x:v>
      </x:c>
    </x:row>
    <x:row r="1391">
      <x:c r="A1391" s="59" t="n">
        <x:v>1388</x:v>
      </x:c>
      <x:c r="B1391" s="193" t="n">
        <x:v>0.8501861372962594</x:v>
      </x:c>
      <x:c r="C1391" s="83" t="n">
        <x:v>0.18994075795576362</x:v>
      </x:c>
      <x:c r="D1391" s="83" t="n">
        <x:v>0.5155948197216808</x:v>
      </x:c>
      <x:c r="E1391" s="81" t="n">
        <x:v>0.04102382237592716</x:v>
      </x:c>
      <x:c r="F1391" s="81" t="n">
        <x:v>0.5935738033498638</x:v>
      </x:c>
      <x:c r="G1391" s="81" t="n">
        <x:v>-0.04820328867603838</x:v>
      </x:c>
      <x:c r="H1391" s="59" t="n">
        <x:v>17</x:v>
      </x:c>
      <x:c r="I1391" s="81" t="n">
        <x:v>0.3730181318707765</x:v>
      </x:c>
      <x:c r="J1391" s="79" t="n">
        <x:v>0.000031082585828900945</x:v>
      </x:c>
      <x:c r="K1391" s="81" t="n">
        <x:v>-0.9644770447669704</x:v>
      </x:c>
      <x:c r="L1391" s="81" t="n">
        <x:v>-0.9653077515545699</x:v>
      </x:c>
      <x:c r="M1391" s="80" t="n">
        <x:v>1204.6071934652934</x:v>
      </x:c>
      <x:c r="N1391" s="82" t="n">
        <x:v>0.3046240288940434</x:v>
      </x:c>
      <x:c r="O1391" s="82" t="n">
        <x:v>0.17080863622857556</x:v>
      </x:c>
      <x:c r="P1391" s="80" t="n">
        <x:v>1647.5702028536507</x:v>
      </x:c>
      <x:c r="Q1391" s="81" t="n">
        <x:v>0.008376992253741354</x:v>
      </x:c>
      <x:c r="R1391" s="81" t="n">
        <x:v>63.88308227121202</x:v>
      </x:c>
      <x:c r="S1391" s="81" t="n">
        <x:v>3.169114229060358</x:v>
      </x:c>
      <x:c r="T1391" s="81" t="n">
        <x:v>0.6733166691514832</x:v>
      </x:c>
    </x:row>
    <x:row r="1392">
      <x:c r="A1392" s="59" t="n">
        <x:v>1389</x:v>
      </x:c>
      <x:c r="B1392" s="193" t="n">
        <x:v>0.4121179884299636</x:v>
      </x:c>
      <x:c r="C1392" s="83" t="n">
        <x:v>1.4095458449580107</x:v>
      </x:c>
      <x:c r="D1392" s="83" t="n">
        <x:v>1.4543172160315376</x:v>
      </x:c>
      <x:c r="E1392" s="81" t="n">
        <x:v>0.2</x:v>
      </x:c>
      <x:c r="F1392" s="81" t="n">
        <x:v>0.4869993144995533</x:v>
      </x:c>
      <x:c r="G1392" s="81" t="n">
        <x:v>-0.018172843852325017</x:v>
      </x:c>
      <x:c r="H1392" s="59" t="n">
        <x:v>0</x:v>
      </x:c>
      <x:c r="I1392" s="81" t="n">
        <x:v>0</x:v>
      </x:c>
      <x:c r="J1392" s="79" t="n">
        <x:v>0.30296522049599933</x:v>
      </x:c>
      <x:c r="K1392" s="81" t="n">
        <x:v>345.2459662811421</x:v>
      </x:c>
      <x:c r="L1392" s="81" t="n">
        <x:v>-0.8189512234573502</x:v>
      </x:c>
      <x:c r="M1392" s="80" t="n">
        <x:v>470636.3080301959</x:v>
      </x:c>
      <x:c r="N1392" s="82" t="n">
        <x:v>0.2002679820563004</x:v>
      </x:c>
      <x:c r="O1392" s="82" t="n">
        <x:v>0.0921320667446377</x:v>
      </x:c>
      <x:c r="P1392" s="80" t="n">
        <x:v>804026.296196648</x:v>
      </x:c>
      <x:c r="Q1392" s="81" t="n">
        <x:v>0.001578502199539978</x:v>
      </x:c>
      <x:c r="R1392" s="81" t="n">
        <x:v>4242.517753342795</x:v>
      </x:c>
      <x:c r="S1392" s="81" t="n">
        <x:v>4103.517203939536</x:v>
      </x:c>
      <x:c r="T1392" s="81" t="n">
        <x:v>6562.888115423052</x:v>
      </x:c>
    </x:row>
    <x:row r="1393">
      <x:c r="A1393" s="59" t="n">
        <x:v>1390</x:v>
      </x:c>
      <x:c r="B1393" s="193" t="n">
        <x:v>0.7794834135100246</x:v>
      </x:c>
      <x:c r="C1393" s="83" t="n">
        <x:v>0.3401481752659744</x:v>
      </x:c>
      <x:c r="D1393" s="83" t="n">
        <x:v>0.8597029072353778</x:v>
      </x:c>
      <x:c r="E1393" s="81" t="n">
        <x:v>-0.04867272708599812</x:v>
      </x:c>
      <x:c r="F1393" s="81" t="n">
        <x:v>0.5135943848988973</x:v>
      </x:c>
      <x:c r="G1393" s="81" t="n">
        <x:v>-0.023810603163542388</x:v>
      </x:c>
      <x:c r="H1393" s="59" t="n">
        <x:v>0</x:v>
      </x:c>
      <x:c r="I1393" s="81" t="n">
        <x:v>0</x:v>
      </x:c>
      <x:c r="J1393" s="79" t="n">
        <x:v>1.5146951470450508e-24</x:v>
      </x:c>
      <x:c r="K1393" s="81" t="n">
        <x:v>-1</x:v>
      </x:c>
      <x:c r="L1393" s="81" t="n">
        <x:v>-1</x:v>
      </x:c>
      <x:c r="M1393" s="80" t="n">
        <x:v>0.000002</x:v>
      </x:c>
      <x:c r="N1393" s="82" t="n">
        <x:v>0.28778131441209087</x:v>
      </x:c>
      <x:c r="O1393" s="82" t="n">
        <x:v>0.1396219826238556</x:v>
      </x:c>
      <x:c r="P1393" s="80" t="n">
        <x:v>386.36028480704385</x:v>
      </x:c>
      <x:c r="Q1393" s="81" t="n">
        <x:v>28735837.587593075</x:v>
      </x:c>
      <x:c r="R1393" s="81" t="n">
        <x:v>9.407579293019591</x:v>
      </x:c>
      <x:c r="S1393" s="81" t="n">
        <x:v>4.1914510332264724e-10</x:v>
      </x:c>
      <x:c r="T1393" s="81" t="n">
        <x:v>3.2811603796489913e-20</x:v>
      </x:c>
    </x:row>
    <x:row r="1394">
      <x:c r="A1394" s="59" t="n">
        <x:v>1391</x:v>
      </x:c>
      <x:c r="B1394" s="193" t="n">
        <x:v>0.6456094339489937</x:v>
      </x:c>
      <x:c r="C1394" s="83" t="n">
        <x:v>1.0086368048342074</x:v>
      </x:c>
      <x:c r="D1394" s="83" t="n">
        <x:v>0.2135558058624051</x:v>
      </x:c>
      <x:c r="E1394" s="81" t="n">
        <x:v>0.082340552859828</x:v>
      </x:c>
      <x:c r="F1394" s="81" t="n">
        <x:v>0.30050649979384614</x:v>
      </x:c>
      <x:c r="G1394" s="81" t="n">
        <x:v>-0.009070587716636555</x:v>
      </x:c>
      <x:c r="H1394" s="59" t="n">
        <x:v>0</x:v>
      </x:c>
      <x:c r="I1394" s="81" t="n">
        <x:v>0</x:v>
      </x:c>
      <x:c r="J1394" s="79" t="n">
        <x:v>0.0008003639519982601</x:v>
      </x:c>
      <x:c r="K1394" s="81" t="n">
        <x:v>-0.08529834057341701</x:v>
      </x:c>
      <x:c r="L1394" s="81" t="n">
        <x:v>-0.611714317354082</x:v>
      </x:c>
      <x:c r="M1394" s="80" t="n">
        <x:v>10305.783971288647</x:v>
      </x:c>
      <x:c r="N1394" s="82" t="n">
        <x:v>0.25589002234353675</x:v>
      </x:c>
      <x:c r="O1394" s="82" t="n">
        <x:v>0.0726403894738056</x:v>
      </x:c>
      <x:c r="P1394" s="80" t="n">
        <x:v>4891.258214236035</x:v>
      </x:c>
      <x:c r="Q1394" s="81" t="n">
        <x:v>0.0019685660896149697</x:v>
      </x:c>
      <x:c r="R1394" s="81" t="n">
        <x:v>33.18564926560108</x:v>
      </x:c>
      <x:c r="S1394" s="81" t="n">
        <x:v>15.19668284160122</x:v>
      </x:c>
      <x:c r="T1394" s="81" t="n">
        <x:v>17.337630570211832</x:v>
      </x:c>
    </x:row>
    <x:row r="1395">
      <x:c r="A1395" s="59" t="n">
        <x:v>1392</x:v>
      </x:c>
      <x:c r="B1395" s="193" t="n">
        <x:v>0.7651212409138679</x:v>
      </x:c>
      <x:c r="C1395" s="83" t="n">
        <x:v>0.11806815424815796</x:v>
      </x:c>
      <x:c r="D1395" s="83" t="n">
        <x:v>0.15152889747267348</x:v>
      </x:c>
      <x:c r="E1395" s="81" t="n">
        <x:v>0.039607859344750335</x:v>
      </x:c>
      <x:c r="F1395" s="81" t="n">
        <x:v>0.7554663190152496</x:v>
      </x:c>
      <x:c r="G1395" s="81" t="n">
        <x:v>0.008256946809237019</x:v>
      </x:c>
      <x:c r="H1395" s="59" t="n">
        <x:v>0</x:v>
      </x:c>
      <x:c r="I1395" s="81" t="n">
        <x:v>0</x:v>
      </x:c>
      <x:c r="J1395" s="79" t="n">
        <x:v>0.000005046214104462849</x:v>
      </x:c>
      <x:c r="K1395" s="81" t="n">
        <x:v>-0.9942328981663282</x:v>
      </x:c>
      <x:c r="L1395" s="81" t="n">
        <x:v>-0.9947205390152007</x:v>
      </x:c>
      <x:c r="M1395" s="80" t="n">
        <x:v>439.5582069409222</x:v>
      </x:c>
      <x:c r="N1395" s="82" t="n">
        <x:v>0.28435997560895043</x:v>
      </x:c>
      <x:c r="O1395" s="82" t="n">
        <x:v>0.20293386043832115</x:v>
      </x:c>
      <x:c r="P1395" s="80" t="n">
        <x:v>299.3627768040144</x:v>
      </x:c>
      <x:c r="Q1395" s="81" t="n">
        <x:v>0.008888768262270813</x:v>
      </x:c>
      <x:c r="R1395" s="81" t="n">
        <x:v>66.43751475254932</x:v>
      </x:c>
      <x:c r="S1395" s="81" t="n">
        <x:v>0.8234619077066123</x:v>
      </x:c>
      <x:c r="T1395" s="81" t="n">
        <x:v>0.10931201449407531</x:v>
      </x:c>
    </x:row>
    <x:row r="1396">
      <x:c r="A1396" s="59" t="n">
        <x:v>1393</x:v>
      </x:c>
      <x:c r="B1396" s="193" t="n">
        <x:v>0.7880164386704565</x:v>
      </x:c>
      <x:c r="C1396" s="83" t="n">
        <x:v>1.206713182524599</x:v>
      </x:c>
      <x:c r="D1396" s="83" t="n">
        <x:v>0.30107077043580643</x:v>
      </x:c>
      <x:c r="E1396" s="81" t="n">
        <x:v>-0.04741216699278268</x:v>
      </x:c>
      <x:c r="F1396" s="81" t="n">
        <x:v>0.8733427649131045</x:v>
      </x:c>
      <x:c r="G1396" s="81" t="n">
        <x:v>-0.009843916356982662</x:v>
      </x:c>
      <x:c r="H1396" s="59" t="n">
        <x:v>0</x:v>
      </x:c>
      <x:c r="I1396" s="81" t="n">
        <x:v>0</x:v>
      </x:c>
      <x:c r="J1396" s="79" t="n">
        <x:v>3.061836883060363e-13</x:v>
      </x:c>
      <x:c r="K1396" s="81" t="n">
        <x:v>-0.9999999996500758</x:v>
      </x:c>
      <x:c r="L1396" s="81" t="n">
        <x:v>-0.9999999996500758</x:v>
      </x:c>
      <x:c r="M1396" s="80" t="n">
        <x:v>0.2131608613035426</x:v>
      </x:c>
      <x:c r="N1396" s="82" t="n">
        <x:v>0.2898140409995277</x:v>
      </x:c>
      <x:c r="O1396" s="82" t="n">
        <x:v>0.23909753077978904</x:v>
      </x:c>
      <x:c r="P1396" s="80" t="n">
        <x:v>447.78623731785524</x:v>
      </x:c>
      <x:c r="Q1396" s="81" t="n">
        <x:v>15.525295178351856</x:v>
      </x:c>
      <x:c r="R1396" s="81" t="n">
        <x:v>5.0355684634807485</x:v>
      </x:c>
      <x:c r="S1396" s="81" t="n">
        <x:v>0.000011581364519933093</x:v>
      </x:c>
      <x:c r="T1396" s="81" t="n">
        <x:v>6.632607154809099e-9</x:v>
      </x:c>
    </x:row>
    <x:row r="1397">
      <x:c r="A1397" s="59" t="n">
        <x:v>1394</x:v>
      </x:c>
      <x:c r="B1397" s="193" t="n">
        <x:v>0.8382715713232756</x:v>
      </x:c>
      <x:c r="C1397" s="83" t="n">
        <x:v>1.509069695472214</x:v>
      </x:c>
      <x:c r="D1397" s="83" t="n">
        <x:v>0.5486939022464312</x:v>
      </x:c>
      <x:c r="E1397" s="81" t="n">
        <x:v>0.05094555565045198</x:v>
      </x:c>
      <x:c r="F1397" s="81" t="n">
        <x:v>0.7783415144542233</x:v>
      </x:c>
      <x:c r="G1397" s="81" t="n">
        <x:v>-0.04694588584751414</x:v>
      </x:c>
      <x:c r="H1397" s="59" t="n">
        <x:v>0</x:v>
      </x:c>
      <x:c r="I1397" s="81" t="n">
        <x:v>0</x:v>
      </x:c>
      <x:c r="J1397" s="79" t="n">
        <x:v>0.00014758850867598516</x:v>
      </x:c>
      <x:c r="K1397" s="81" t="n">
        <x:v>-0.8313274186560169</x:v>
      </x:c>
      <x:c r="L1397" s="81" t="n">
        <x:v>-0.895737093146481</x:v>
      </x:c>
      <x:c r="M1397" s="80" t="n">
        <x:v>5642.99714648742</x:v>
      </x:c>
      <x:c r="N1397" s="82" t="n">
        <x:v>0.30178575588116685</x:v>
      </x:c>
      <x:c r="O1397" s="82" t="n">
        <x:v>0.22189109552615502</x:v>
      </x:c>
      <x:c r="P1397" s="80" t="n">
        <x:v>7364.316735000869</x:v>
      </x:c>
      <x:c r="Q1397" s="81" t="n">
        <x:v>0.009133903190505758</x:v>
      </x:c>
      <x:c r="R1397" s="81" t="n">
        <x:v>19.79045146333179</x:v>
      </x:c>
      <x:c r="S1397" s="81" t="n">
        <x:v>2.132508470671346</x:v>
      </x:c>
      <x:c r="T1397" s="81" t="n">
        <x:v>3.1970893159844573</x:v>
      </x:c>
    </x:row>
    <x:row r="1398">
      <x:c r="A1398" s="59" t="n">
        <x:v>1395</x:v>
      </x:c>
      <x:c r="B1398" s="193" t="n">
        <x:v>0.9141798343509435</x:v>
      </x:c>
      <x:c r="C1398" s="83" t="n">
        <x:v>1.2502708650343977</x:v>
      </x:c>
      <x:c r="D1398" s="83" t="n">
        <x:v>0.8559537080336492</x:v>
      </x:c>
      <x:c r="E1398" s="81" t="n">
        <x:v>-0.08894327063160036</x:v>
      </x:c>
      <x:c r="F1398" s="81" t="n">
        <x:v>0.8394528702716343</x:v>
      </x:c>
      <x:c r="G1398" s="81" t="n">
        <x:v>-0.02152428105833716</x:v>
      </x:c>
      <x:c r="H1398" s="59" t="n">
        <x:v>0</x:v>
      </x:c>
      <x:c r="I1398" s="81" t="n">
        <x:v>0</x:v>
      </x:c>
      <x:c r="J1398" s="79" t="n">
        <x:v>1.9037226681177324e-33</x:v>
      </x:c>
      <x:c r="K1398" s="81" t="n">
        <x:v>-1</x:v>
      </x:c>
      <x:c r="L1398" s="81" t="n">
        <x:v>-1</x:v>
      </x:c>
      <x:c r="M1398" s="80" t="n">
        <x:v>0.000002</x:v>
      </x:c>
      <x:c r="N1398" s="82" t="n">
        <x:v>0.3198685274142888</x:v>
      </x:c>
      <x:c r="O1398" s="82" t="n">
        <x:v>0.25365228047228006</x:v>
      </x:c>
      <x:c r="P1398" s="80" t="n">
        <x:v>406.9786824853736</x:v>
      </x:c>
      <x:c r="Q1398" s="81" t="n">
        <x:v>12992217427618790</x:v>
      </x:c>
      <x:c r="R1398" s="81" t="n">
        <x:v>1.8254751672520624</x:v>
      </x:c>
      <x:c r="S1398" s="81" t="n">
        <x:v>2.557085395072017e-10</x:v>
      </x:c>
      <x:c r="T1398" s="81" t="n">
        <x:v>4.123878923526904e-29</x:v>
      </x:c>
    </x:row>
    <x:row r="1399">
      <x:c r="A1399" s="59" t="n">
        <x:v>1396</x:v>
      </x:c>
      <x:c r="B1399" s="193" t="n">
        <x:v>0.7307262841612101</x:v>
      </x:c>
      <x:c r="C1399" s="83" t="n">
        <x:v>0.5311660697718887</x:v>
      </x:c>
      <x:c r="D1399" s="83" t="n">
        <x:v>0.30555363717384726</x:v>
      </x:c>
      <x:c r="E1399" s="81" t="n">
        <x:v>-0.048585745880904876</x:v>
      </x:c>
      <x:c r="F1399" s="81" t="n">
        <x:v>0.6891678530257195</x:v>
      </x:c>
      <x:c r="G1399" s="81" t="n">
        <x:v>-0.025621344268039276</x:v>
      </x:c>
      <x:c r="H1399" s="59" t="n">
        <x:v>87</x:v>
      </x:c>
      <x:c r="I1399" s="81" t="n">
        <x:v>0.40611235583201055</x:v>
      </x:c>
      <x:c r="J1399" s="79" t="n">
        <x:v>7.60644221220787e-13</x:v>
      </x:c>
      <x:c r="K1399" s="81" t="n">
        <x:v>-0.9999999991306923</x:v>
      </x:c>
      <x:c r="L1399" s="81" t="n">
        <x:v>-0.9999999991306923</x:v>
      </x:c>
      <x:c r="M1399" s="80" t="n">
        <x:v>0.2328095750270574</x:v>
      </x:c>
      <x:c r="N1399" s="82" t="n">
        <x:v>0.2761664520050283</x:v>
      </x:c>
      <x:c r="O1399" s="82" t="n">
        <x:v>0.17979055515466624</x:v>
      </x:c>
      <x:c r="P1399" s="80" t="n">
        <x:v>300.21545792009215</x:v>
      </x:c>
      <x:c r="Q1399" s="81" t="n">
        <x:v>6.664966145631462</x:v>
      </x:c>
      <x:c r="R1399" s="81" t="n">
        <x:v>10.523470796926235</x:v>
      </x:c>
      <x:c r="S1399" s="81" t="n">
        <x:v>0.000015183461672752238</x:v>
      </x:c>
      <x:c r="T1399" s="81" t="n">
        <x:v>1.647721448469378e-8</x:v>
      </x:c>
    </x:row>
    <x:row r="1400">
      <x:c r="A1400" s="59" t="n">
        <x:v>1397</x:v>
      </x:c>
      <x:c r="B1400" s="193" t="n">
        <x:v>0.9113620985299349</x:v>
      </x:c>
      <x:c r="C1400" s="83" t="n">
        <x:v>0.5696955895013599</x:v>
      </x:c>
      <x:c r="D1400" s="83" t="n">
        <x:v>3</x:v>
      </x:c>
      <x:c r="E1400" s="81" t="n">
        <x:v>-0.04862397897507818</x:v>
      </x:c>
      <x:c r="F1400" s="81" t="n">
        <x:v>0.8231733899214305</x:v>
      </x:c>
      <x:c r="G1400" s="81" t="n">
        <x:v>-0.012420080709191095</x:v>
      </x:c>
      <x:c r="H1400" s="59" t="n">
        <x:v>72</x:v>
      </x:c>
      <x:c r="I1400" s="81" t="n">
        <x:v>0.29469700893387196</x:v>
      </x:c>
      <x:c r="J1400" s="79" t="n">
        <x:v>2.9196466179735744e-51</x:v>
      </x:c>
      <x:c r="K1400" s="81" t="n">
        <x:v>-1</x:v>
      </x:c>
      <x:c r="L1400" s="81" t="n">
        <x:v>-1</x:v>
      </x:c>
      <x:c r="M1400" s="80" t="n">
        <x:v>0.000002</x:v>
      </x:c>
      <x:c r="N1400" s="82" t="n">
        <x:v>0.319197289909178</x:v>
      </x:c>
      <x:c r="O1400" s="82" t="n">
        <x:v>0.24821124909858636</x:v>
      </x:c>
      <x:c r="P1400" s="80" t="n">
        <x:v>596.9764365855009</x:v>
      </x:c>
      <x:c r="Q1400" s="81" t="n">
        <x:v>1.4922232462090375e+34</x:v>
      </x:c>
      <x:c r="R1400" s="81" t="n">
        <x:v>2.4671203253627163</x:v>
      </x:c>
      <x:c r="S1400" s="81" t="n">
        <x:v>1.4380444383246324e-9</x:v>
      </x:c>
      <x:c r="T1400" s="81" t="n">
        <x:v>6.324591997379746e-47</x:v>
      </x:c>
    </x:row>
    <x:row r="1401">
      <x:c r="A1401" s="59" t="n">
        <x:v>1398</x:v>
      </x:c>
      <x:c r="B1401" s="193" t="n">
        <x:v>0.39050992354750635</x:v>
      </x:c>
      <x:c r="C1401" s="83" t="n">
        <x:v>0.14447328082702002</x:v>
      </x:c>
      <x:c r="D1401" s="83" t="n">
        <x:v>0.8974264717983582</x:v>
      </x:c>
      <x:c r="E1401" s="81" t="n">
        <x:v>0.0812939995132286</x:v>
      </x:c>
      <x:c r="F1401" s="81" t="n">
        <x:v>0.8572844565031119</x:v>
      </x:c>
      <x:c r="G1401" s="81" t="n">
        <x:v>0.028584138351325353</x:v>
      </x:c>
      <x:c r="H1401" s="59" t="n">
        <x:v>0</x:v>
      </x:c>
      <x:c r="I1401" s="81" t="n">
        <x:v>0</x:v>
      </x:c>
      <x:c r="J1401" s="79" t="n">
        <x:v>0.002848850166825811</x:v>
      </x:c>
      <x:c r="K1401" s="81" t="n">
        <x:v>2.2558287620866415</x:v>
      </x:c>
      <x:c r="L1401" s="81" t="n">
        <x:v>-0.7851948138929757</x:v>
      </x:c>
      <x:c r="M1401" s="80" t="n">
        <x:v>14245.37291723071</x:v>
      </x:c>
      <x:c r="N1401" s="82" t="n">
        <x:v>0.19512053585008235</x:v>
      </x:c>
      <x:c r="O1401" s="82" t="n">
        <x:v>0.15801520226726434</x:v>
      </x:c>
      <x:c r="P1401" s="80" t="n">
        <x:v>23076.270385870856</x:v>
      </x:c>
      <x:c r="Q1401" s="81" t="n">
        <x:v>0.004897579866865992</x:v>
      </x:c>
      <x:c r="R1401" s="81" t="n">
        <x:v>436.74308788241086</x:v>
      </x:c>
      <x:c r="S1401" s="81" t="n">
        <x:v>373.4602434306785</x:v>
      </x:c>
      <x:c r="T1401" s="81" t="n">
        <x:v>61.71231427776702</x:v>
      </x:c>
    </x:row>
    <x:row r="1402">
      <x:c r="A1402" s="59" t="n">
        <x:v>1399</x:v>
      </x:c>
      <x:c r="B1402" s="193" t="n">
        <x:v>0.3968274734914303</x:v>
      </x:c>
      <x:c r="C1402" s="83" t="n">
        <x:v>1.786729477991287</x:v>
      </x:c>
      <x:c r="D1402" s="83" t="n">
        <x:v>0.8077692384957886</x:v>
      </x:c>
      <x:c r="E1402" s="81" t="n">
        <x:v>-0.18212867097499671</x:v>
      </x:c>
      <x:c r="F1402" s="81" t="n">
        <x:v>0.8111330661457032</x:v>
      </x:c>
      <x:c r="G1402" s="81" t="n">
        <x:v>-0.005650437384421119</x:v>
      </x:c>
      <x:c r="H1402" s="59" t="n">
        <x:v>0</x:v>
      </x:c>
      <x:c r="I1402" s="81" t="n">
        <x:v>0</x:v>
      </x:c>
      <x:c r="J1402" s="79" t="n">
        <x:v>3.6010260400685154e-53</x:v>
      </x:c>
      <x:c r="K1402" s="81" t="n">
        <x:v>-1</x:v>
      </x:c>
      <x:c r="L1402" s="81" t="n">
        <x:v>-1</x:v>
      </x:c>
      <x:c r="M1402" s="80" t="n">
        <x:v>0.000002</x:v>
      </x:c>
      <x:c r="N1402" s="82" t="n">
        <x:v>0.19662549470078672</x:v>
      </x:c>
      <x:c r="O1402" s="82" t="n">
        <x:v>0.15066170436226461</x:v>
      </x:c>
      <x:c r="P1402" s="80" t="n">
        <x:v>294.69319705324483</x:v>
      </x:c>
      <x:c r="Q1402" s="81" t="n">
        <x:v>3.641287509478002e+35</x:v>
      </x:c>
      <x:c r="R1402" s="81" t="n">
        <x:v>0.7796272753067336</x:v>
      </x:c>
      <x:c r="S1402" s="81" t="n">
        <x:v>2.370039025450108e-10</x:v>
      </x:c>
      <x:c r="T1402" s="81" t="n">
        <x:v>7.800608585699582e-49</x:v>
      </x:c>
    </x:row>
    <x:row r="1403">
      <x:c r="A1403" s="59" t="n">
        <x:v>1400</x:v>
      </x:c>
      <x:c r="B1403" s="193" t="n">
        <x:v>0.6733638780191541</x:v>
      </x:c>
      <x:c r="C1403" s="83" t="n">
        <x:v>0.19219441403561982</x:v>
      </x:c>
      <x:c r="D1403" s="83" t="n">
        <x:v>0.6491791879406319</x:v>
      </x:c>
      <x:c r="E1403" s="81" t="n">
        <x:v>-0.08255987720045602</x:v>
      </x:c>
      <x:c r="F1403" s="81" t="n">
        <x:v>0.3800677938968875</x:v>
      </x:c>
      <x:c r="G1403" s="81" t="n">
        <x:v>0.01614227757140521</x:v>
      </x:c>
      <x:c r="H1403" s="59" t="n">
        <x:v>75</x:v>
      </x:c>
      <x:c r="I1403" s="81" t="n">
        <x:v>0.3239749813452363</x:v>
      </x:c>
      <x:c r="J1403" s="79" t="n">
        <x:v>4.964084119835487e-31</x:v>
      </x:c>
      <x:c r="K1403" s="81" t="n">
        <x:v>-1</x:v>
      </x:c>
      <x:c r="L1403" s="81" t="n">
        <x:v>-1</x:v>
      </x:c>
      <x:c r="M1403" s="80" t="n">
        <x:v>0.000002</x:v>
      </x:c>
      <x:c r="N1403" s="82" t="n">
        <x:v>0.2625016513168751</x:v>
      </x:c>
      <x:c r="O1403" s="82" t="n">
        <x:v>0.09424624407726864</x:v>
      </x:c>
      <x:c r="P1403" s="80" t="n">
        <x:v>221.9138649731776</x:v>
      </x:c>
      <x:c r="Q1403" s="81" t="n">
        <x:v>53362793599674.39</x:v>
      </x:c>
      <x:c r="R1403" s="81" t="n">
        <x:v>13.46520787505532</x:v>
      </x:c>
      <x:c r="S1403" s="81" t="n">
        <x:v>5.796087730627804e-10</x:v>
      </x:c>
      <x:c r="T1403" s="81" t="n">
        <x:v>1.0753289971928913e-26</x:v>
      </x:c>
    </x:row>
    <x:row r="1404">
      <x:c r="A1404" s="59" t="n">
        <x:v>1401</x:v>
      </x:c>
      <x:c r="B1404" s="193" t="n">
        <x:v>0.7271398514509202</x:v>
      </x:c>
      <x:c r="C1404" s="83" t="n">
        <x:v>0.5620851353096395</x:v>
      </x:c>
      <x:c r="D1404" s="83" t="n">
        <x:v>0.3824288280567354</x:v>
      </x:c>
      <x:c r="E1404" s="81" t="n">
        <x:v>-0.14952739260635178</x:v>
      </x:c>
      <x:c r="F1404" s="81" t="n">
        <x:v>0.8592584852129221</x:v>
      </x:c>
      <x:c r="G1404" s="81" t="n">
        <x:v>-0.027510797170588505</x:v>
      </x:c>
      <x:c r="H1404" s="59" t="n">
        <x:v>0</x:v>
      </x:c>
      <x:c r="I1404" s="81" t="n">
        <x:v>0</x:v>
      </x:c>
      <x:c r="J1404" s="79" t="n">
        <x:v>3.7812999388827044e-28</x:v>
      </x:c>
      <x:c r="K1404" s="81" t="n">
        <x:v>-1</x:v>
      </x:c>
      <x:c r="L1404" s="81" t="n">
        <x:v>-1</x:v>
      </x:c>
      <x:c r="M1404" s="80" t="n">
        <x:v>0.000002</x:v>
      </x:c>
      <x:c r="N1404" s="82" t="n">
        <x:v>0.2753120964878238</x:v>
      </x:c>
      <x:c r="O1404" s="82" t="n">
        <x:v>0.22347043013406448</x:v>
      </x:c>
      <x:c r="P1404" s="80" t="n">
        <x:v>155.32186093655503</x:v>
      </x:c>
      <x:c r="Q1404" s="81" t="n">
        <x:v>41072603982.445816</x:v>
      </x:c>
      <x:c r="R1404" s="81" t="n">
        <x:v>4.084782619670801</x:v>
      </x:c>
      <x:c r="S1404" s="81" t="n">
        <x:v>1.527384171961699e-10</x:v>
      </x:c>
      <x:c r="T1404" s="81" t="n">
        <x:v>8.191121208274436e-24</x:v>
      </x:c>
    </x:row>
    <x:row r="1405">
      <x:c r="A1405" s="59" t="n">
        <x:v>1402</x:v>
      </x:c>
      <x:c r="B1405" s="193" t="n">
        <x:v>0.33030389808118343</x:v>
      </x:c>
      <x:c r="C1405" s="83" t="n">
        <x:v>0.10546613656136052</x:v>
      </x:c>
      <x:c r="D1405" s="83" t="n">
        <x:v>1.8261903778261848</x:v>
      </x:c>
      <x:c r="E1405" s="81" t="n">
        <x:v>-0.06814878421526994</x:v>
      </x:c>
      <x:c r="F1405" s="81" t="n">
        <x:v>0.6581422695890069</x:v>
      </x:c>
      <x:c r="G1405" s="81" t="n">
        <x:v>-0.013103382564116845</x:v>
      </x:c>
      <x:c r="H1405" s="59" t="n">
        <x:v>0</x:v>
      </x:c>
      <x:c r="I1405" s="81" t="n">
        <x:v>0</x:v>
      </x:c>
      <x:c r="J1405" s="79" t="n">
        <x:v>5.909654602046668e-46</x:v>
      </x:c>
      <x:c r="K1405" s="81" t="n">
        <x:v>-1</x:v>
      </x:c>
      <x:c r="L1405" s="81" t="n">
        <x:v>-1</x:v>
      </x:c>
      <x:c r="M1405" s="80" t="n">
        <x:v>0.000002</x:v>
      </x:c>
      <x:c r="N1405" s="82" t="n">
        <x:v>0.18077833172102714</x:v>
      </x:c>
      <x:c r="O1405" s="82" t="n">
        <x:v>0.11239244024460196</x:v>
      </x:c>
      <x:c r="P1405" s="80" t="n">
        <x:v>293.65720127895986</x:v>
      </x:c>
      <x:c r="Q1405" s="81" t="n">
        <x:v>5.358044799938655e+28</x:v>
      </x:c>
      <x:c r="R1405" s="81" t="n">
        <x:v>10.870653910117746</x:v>
      </x:c>
      <x:c r="S1405" s="81" t="n">
        <x:v>1.2325652371532932e-9</x:v>
      </x:c>
      <x:c r="T1405" s="81" t="n">
        <x:v>1.2801602075159438e-41</x:v>
      </x:c>
    </x:row>
    <x:row r="1406">
      <x:c r="A1406" s="59" t="n">
        <x:v>1403</x:v>
      </x:c>
      <x:c r="B1406" s="193" t="n">
        <x:v>0.4315318934619427</x:v>
      </x:c>
      <x:c r="C1406" s="83" t="n">
        <x:v>0.16709280574321506</x:v>
      </x:c>
      <x:c r="D1406" s="83" t="n">
        <x:v>1.5559981120243151</x:v>
      </x:c>
      <x:c r="E1406" s="81" t="n">
        <x:v>-0.1604818205940883</x:v>
      </x:c>
      <x:c r="F1406" s="81" t="n">
        <x:v>0.8145036248140969</x:v>
      </x:c>
      <x:c r="G1406" s="81" t="n">
        <x:v>0.048641646063597443</x:v>
      </x:c>
      <x:c r="H1406" s="59" t="n">
        <x:v>0</x:v>
      </x:c>
      <x:c r="I1406" s="81" t="n">
        <x:v>0</x:v>
      </x:c>
      <x:c r="J1406" s="79" t="n">
        <x:v>1.3919517964082326e-94</x:v>
      </x:c>
      <x:c r="K1406" s="81" t="n">
        <x:v>-1</x:v>
      </x:c>
      <x:c r="L1406" s="81" t="n">
        <x:v>-1</x:v>
      </x:c>
      <x:c r="M1406" s="80" t="n">
        <x:v>0.000002</x:v>
      </x:c>
      <x:c r="N1406" s="82" t="n">
        <x:v>0.20489273824563725</x:v>
      </x:c>
      <x:c r="O1406" s="82" t="n">
        <x:v>0.15764874934938614</x:v>
      </x:c>
      <x:c r="P1406" s="80" t="n">
        <x:v>161.71428933024075</x:v>
      </x:c>
      <x:c r="Q1406" s="81" t="n">
        <x:v>1.049501597822324e+77</x:v>
      </x:c>
      <x:c r="R1406" s="81" t="n">
        <x:v>3.281331280112674</x:v>
      </x:c>
      <x:c r="S1406" s="81" t="n">
        <x:v>2.0814733134443084e-9</x:v>
      </x:c>
      <x:c r="T1406" s="81" t="n">
        <x:v>3.0152714846059328e-90</x:v>
      </x:c>
    </x:row>
    <x:row r="1407">
      <x:c r="A1407" s="59" t="n">
        <x:v>1404</x:v>
      </x:c>
      <x:c r="B1407" s="193" t="n">
        <x:v>0.36914805583655835</x:v>
      </x:c>
      <x:c r="C1407" s="83" t="n">
        <x:v>0.7987853051499922</x:v>
      </x:c>
      <x:c r="D1407" s="83" t="n">
        <x:v>0.6423681550191803</x:v>
      </x:c>
      <x:c r="E1407" s="81" t="n">
        <x:v>-0.019939002585212553</x:v>
      </x:c>
      <x:c r="F1407" s="81" t="n">
        <x:v>0.609682469512336</x:v>
      </x:c>
      <x:c r="G1407" s="81" t="n">
        <x:v>-0.00009851820336329056</x:v>
      </x:c>
      <x:c r="H1407" s="59" t="n">
        <x:v>0</x:v>
      </x:c>
      <x:c r="I1407" s="81" t="n">
        <x:v>0</x:v>
      </x:c>
      <x:c r="J1407" s="79" t="n">
        <x:v>1.3906594633190392e-12</x:v>
      </x:c>
      <x:c r="K1407" s="81" t="n">
        <x:v>-0.9999999984106749</x:v>
      </x:c>
      <x:c r="L1407" s="81" t="n">
        <x:v>-0.9999999984106749</x:v>
      </x:c>
      <x:c r="M1407" s="80" t="n">
        <x:v>0.3694935070101165</x:v>
      </x:c>
      <x:c r="N1407" s="82" t="n">
        <x:v>0.1900317384263152</x:v>
      </x:c>
      <x:c r="O1407" s="82" t="n">
        <x:v>0.1094462260974918</x:v>
      </x:c>
      <x:c r="P1407" s="80" t="n">
        <x:v>959.7754842254745</x:v>
      </x:c>
      <x:c r="Q1407" s="81" t="n">
        <x:v>13.717097416095934</x:v>
      </x:c>
      <x:c r="R1407" s="81" t="n">
        <x:v>9.70004779884453</x:v>
      </x:c>
      <x:c r="S1407" s="81" t="n">
        <x:v>0.00005921986712611131</x:v>
      </x:c>
      <x:c r="T1407" s="81" t="n">
        <x:v>3.0124720089901017e-8</x:v>
      </x:c>
    </x:row>
    <x:row r="1408">
      <x:c r="A1408" s="59" t="n">
        <x:v>1405</x:v>
      </x:c>
      <x:c r="B1408" s="193" t="n">
        <x:v>0.9003768334165216</x:v>
      </x:c>
      <x:c r="C1408" s="83" t="n">
        <x:v>0.5495507033658843</x:v>
      </x:c>
      <x:c r="D1408" s="83" t="n">
        <x:v>0.371053104434413</x:v>
      </x:c>
      <x:c r="E1408" s="81" t="n">
        <x:v>0.10105687616620974</x:v>
      </x:c>
      <x:c r="F1408" s="81" t="n">
        <x:v>0.4170426303404383</x:v>
      </x:c>
      <x:c r="G1408" s="81" t="n">
        <x:v>0.005800177483998179</x:v>
      </x:c>
      <x:c r="H1408" s="59" t="n">
        <x:v>8</x:v>
      </x:c>
      <x:c r="I1408" s="81" t="n">
        <x:v>0.2575890400446952</x:v>
      </x:c>
      <x:c r="J1408" s="79" t="n">
        <x:v>0.0011410770841329002</x:v>
      </x:c>
      <x:c r="K1408" s="81" t="n">
        <x:v>0.30408809615188614</x:v>
      </x:c>
      <x:c r="L1408" s="81" t="n">
        <x:v>-0.6055207369276863</x:v>
      </x:c>
      <x:c r="M1408" s="80" t="n">
        <x:v>10348.719513743108</x:v>
      </x:c>
      <x:c r="N1408" s="82" t="n">
        <x:v>0.3165803937854416</x:v>
      </x:c>
      <x:c r="O1408" s="82" t="n">
        <x:v>0.1247198006151204</x:v>
      </x:c>
      <x:c r="P1408" s="80" t="n">
        <x:v>7767.13628617739</x:v>
      </x:c>
      <x:c r="Q1408" s="81" t="n">
        <x:v>0.00296151254493765</x:v>
      </x:c>
      <x:c r="R1408" s="81" t="n">
        <x:v>53.00516261036476</x:v>
      </x:c>
      <x:c r="S1408" s="81" t="n">
        <x:v>39.82318306374869</x:v>
      </x:c>
      <x:c r="T1408" s="81" t="n">
        <x:v>24.71822086369247</x:v>
      </x:c>
    </x:row>
    <x:row r="1409">
      <x:c r="A1409" s="59" t="n">
        <x:v>1406</x:v>
      </x:c>
      <x:c r="B1409" s="193" t="n">
        <x:v>0.5313774565234781</x:v>
      </x:c>
      <x:c r="C1409" s="83" t="n">
        <x:v>0.18508583448841193</x:v>
      </x:c>
      <x:c r="D1409" s="83" t="n">
        <x:v>1.5561997036318527</x:v>
      </x:c>
      <x:c r="E1409" s="81" t="n">
        <x:v>-0.0015000067613841106</x:v>
      </x:c>
      <x:c r="F1409" s="81" t="n">
        <x:v>0.5970983801991678</x:v>
      </x:c>
      <x:c r="G1409" s="81" t="n">
        <x:v>-0.046970213293228216</x:v>
      </x:c>
      <x:c r="H1409" s="59" t="n">
        <x:v>0</x:v>
      </x:c>
      <x:c r="I1409" s="81" t="n">
        <x:v>0</x:v>
      </x:c>
      <x:c r="J1409" s="79" t="n">
        <x:v>1.6529007024950929e-7</x:v>
      </x:c>
      <x:c r="K1409" s="81" t="n">
        <x:v>-0.999811097062572</x:v>
      </x:c>
      <x:c r="L1409" s="81" t="n">
        <x:v>-0.999811097062572</x:v>
      </x:c>
      <x:c r="M1409" s="80" t="n">
        <x:v>82.4875578330809</x:v>
      </x:c>
      <x:c r="N1409" s="82" t="n">
        <x:v>0.2286778234712024</x:v>
      </x:c>
      <x:c r="O1409" s="82" t="n">
        <x:v>0.12898549803121456</x:v>
      </x:c>
      <x:c r="P1409" s="80" t="n">
        <x:v>2018.4340954984918</x:v>
      </x:c>
      <x:c r="Q1409" s="81" t="n">
        <x:v>0.1592358357884676</x:v>
      </x:c>
      <x:c r="R1409" s="81" t="n">
        <x:v>46.292793680312684</x:v>
      </x:c>
      <x:c r="S1409" s="81" t="n">
        <x:v>0.04312962138580509</x:v>
      </x:c>
      <x:c r="T1409" s="81" t="n">
        <x:v>0.003580543786055701</x:v>
      </x:c>
    </x:row>
    <x:row r="1410">
      <x:c r="A1410" s="59" t="n">
        <x:v>1407</x:v>
      </x:c>
      <x:c r="B1410" s="193" t="n">
        <x:v>0.3585612868890167</x:v>
      </x:c>
      <x:c r="C1410" s="83" t="n">
        <x:v>2.7553465150164898</x:v>
      </x:c>
      <x:c r="D1410" s="83" t="n">
        <x:v>1.2215114905588766</x:v>
      </x:c>
      <x:c r="E1410" s="81" t="n">
        <x:v>-0.08875963034663763</x:v>
      </x:c>
      <x:c r="F1410" s="81" t="n">
        <x:v>0.4766816654708237</x:v>
      </x:c>
      <x:c r="G1410" s="81" t="n">
        <x:v>-0.02117677386124419</x:v>
      </x:c>
      <x:c r="H1410" s="59" t="n">
        <x:v>0</x:v>
      </x:c>
      <x:c r="I1410" s="81" t="n">
        <x:v>0</x:v>
      </x:c>
      <x:c r="J1410" s="79" t="n">
        <x:v>2.4154635270298755e-41</x:v>
      </x:c>
      <x:c r="K1410" s="81" t="n">
        <x:v>-1</x:v>
      </x:c>
      <x:c r="L1410" s="81" t="n">
        <x:v>-1</x:v>
      </x:c>
      <x:c r="M1410" s="80" t="n">
        <x:v>0.000002</x:v>
      </x:c>
      <x:c r="N1410" s="82" t="n">
        <x:v>0.18750977156109297</x:v>
      </x:c>
      <x:c r="O1410" s="82" t="n">
        <x:v>0.08443515299016299</x:v>
      </x:c>
      <x:c r="P1410" s="80" t="n">
        <x:v>769.4995310157113</x:v>
      </x:c>
      <x:c r="Q1410" s="81" t="n">
        <x:v>1.0259137286831266e+24</x:v>
      </x:c>
      <x:c r="R1410" s="81" t="n">
        <x:v>0.9816807629695767</x:v>
      </x:c>
      <x:c r="S1410" s="81" t="n">
        <x:v>2.196107269001082e-10</x:v>
      </x:c>
      <x:c r="T1410" s="81" t="n">
        <x:v>5.232421348176348e-37</x:v>
      </x:c>
    </x:row>
    <x:row r="1411">
      <x:c r="A1411" s="59" t="n">
        <x:v>1408</x:v>
      </x:c>
      <x:c r="B1411" s="193" t="n">
        <x:v>0.8730406599119307</x:v>
      </x:c>
      <x:c r="C1411" s="83" t="n">
        <x:v>0.23207857648188046</x:v>
      </x:c>
      <x:c r="D1411" s="83" t="n">
        <x:v>2.58329139987174</x:v>
      </x:c>
      <x:c r="E1411" s="81" t="n">
        <x:v>0.005895528917820465</x:v>
      </x:c>
      <x:c r="F1411" s="81" t="n">
        <x:v>0.4740402513300069</x:v>
      </x:c>
      <x:c r="G1411" s="81" t="n">
        <x:v>-0.023583337603985326</x:v>
      </x:c>
      <x:c r="H1411" s="59" t="n">
        <x:v>78</x:v>
      </x:c>
      <x:c r="I1411" s="81" t="n">
        <x:v>0.20052867690101267</x:v>
      </x:c>
      <x:c r="J1411" s="79" t="n">
        <x:v>0.000044640737693528435</x:v>
      </x:c>
      <x:c r="K1411" s="81" t="n">
        <x:v>-0.948982014064539</x:v>
      </x:c>
      <x:c r="L1411" s="81" t="n">
        <x:v>-0.9493610796027491</x:v>
      </x:c>
      <x:c r="M1411" s="80" t="n">
        <x:v>1478.1718489550253</x:v>
      </x:c>
      <x:c r="N1411" s="82" t="n">
        <x:v>0.3100684047033952</x:v>
      </x:c>
      <x:c r="O1411" s="82" t="n">
        <x:v>0.13884929416860045</x:v>
      </x:c>
      <x:c r="P1411" s="80" t="n">
        <x:v>10032.247241882116</x:v>
      </x:c>
      <x:c r="Q1411" s="81" t="n">
        <x:v>0.045099107822740916</x:v>
      </x:c>
      <x:c r="R1411" s="81" t="n">
        <x:v>67.88608102362011</x:v>
      </x:c>
      <x:c r="S1411" s="81" t="n">
        <x:v>4.5927461149852284</x:v>
      </x:c>
      <x:c r="T1411" s="81" t="n">
        <x:v>0.967015838956486</x:v>
      </x:c>
    </x:row>
    <x:row r="1412">
      <x:c r="A1412" s="59" t="n">
        <x:v>1409</x:v>
      </x:c>
      <x:c r="B1412" s="193" t="n">
        <x:v>0.7436720728874207</x:v>
      </x:c>
      <x:c r="C1412" s="83" t="n">
        <x:v>1.1507848996990477</x:v>
      </x:c>
      <x:c r="D1412" s="83" t="n">
        <x:v>0.6985412665418193</x:v>
      </x:c>
      <x:c r="E1412" s="81" t="n">
        <x:v>-0.017900114875795067</x:v>
      </x:c>
      <x:c r="F1412" s="81" t="n">
        <x:v>0.7650201578973793</x:v>
      </x:c>
      <x:c r="G1412" s="81" t="n">
        <x:v>-0.013200894775869576</x:v>
      </x:c>
      <x:c r="H1412" s="59" t="n">
        <x:v>0</x:v>
      </x:c>
      <x:c r="I1412" s="81" t="n">
        <x:v>0</x:v>
      </x:c>
      <x:c r="J1412" s="79" t="n">
        <x:v>4.249780122496143e-12</x:v>
      </x:c>
      <x:c r="K1412" s="81" t="n">
        <x:v>-0.9999999951431084</x:v>
      </x:c>
      <x:c r="L1412" s="81" t="n">
        <x:v>-0.9999999951431084</x:v>
      </x:c>
      <x:c r="M1412" s="80" t="n">
        <x:v>0.7710455015433624</x:v>
      </x:c>
      <x:c r="N1412" s="82" t="n">
        <x:v>0.27925038161315036</x:v>
      </x:c>
      <x:c r="O1412" s="82" t="n">
        <x:v>0.20180763638112145</x:v>
      </x:c>
      <x:c r="P1412" s="80" t="n">
        <x:v>1110.663535910097</x:v>
      </x:c>
      <x:c r="Q1412" s="81" t="n">
        <x:v>10.39845496410525</x:v>
      </x:c>
      <x:c r="R1412" s="81" t="n">
        <x:v>6.30251958667088</x:v>
      </x:c>
      <x:c r="S1412" s="81" t="n">
        <x:v>0.00009534579565846701</x:v>
      </x:c>
      <x:c r="T1412" s="81" t="n">
        <x:v>9.205951565473289e-8</x:v>
      </x:c>
    </x:row>
    <x:row r="1413">
      <x:c r="A1413" s="59" t="n">
        <x:v>1410</x:v>
      </x:c>
      <x:c r="B1413" s="193" t="n">
        <x:v>0.7718422437086703</x:v>
      </x:c>
      <x:c r="C1413" s="83" t="n">
        <x:v>0.11615639908501689</x:v>
      </x:c>
      <x:c r="D1413" s="83" t="n">
        <x:v>0.9719895787038219</x:v>
      </x:c>
      <x:c r="E1413" s="81" t="n">
        <x:v>0.03005654307688278</x:v>
      </x:c>
      <x:c r="F1413" s="81" t="n">
        <x:v>0.26119026183150706</x:v>
      </x:c>
      <x:c r="G1413" s="81" t="n">
        <x:v>-0.03480568131284299</x:v>
      </x:c>
      <x:c r="H1413" s="59" t="n">
        <x:v>0</x:v>
      </x:c>
      <x:c r="I1413" s="81" t="n">
        <x:v>0</x:v>
      </x:c>
      <x:c r="J1413" s="79" t="n">
        <x:v>0.0004180370821819491</x:v>
      </x:c>
      <x:c r="K1413" s="81" t="n">
        <x:v>-0.522243334649201</x:v>
      </x:c>
      <x:c r="L1413" s="81" t="n">
        <x:v>-0.79835377618025</x:v>
      </x:c>
      <x:c r="M1413" s="80" t="n">
        <x:v>4262.2035509740335</x:v>
      </x:c>
      <x:c r="N1413" s="82" t="n">
        <x:v>0.2859610444934748</x:v>
      </x:c>
      <x:c r="O1413" s="82" t="n">
        <x:v>0.07055613739853592</x:v>
      </x:c>
      <x:c r="P1413" s="80" t="n">
        <x:v>8834.73058656716</x:v>
      </x:c>
      <x:c r="Q1413" s="81" t="n">
        <x:v>0.004976481631991404</x:v>
      </x:c>
      <x:c r="R1413" s="81" t="n">
        <x:v>335.42617163613176</x:v>
      </x:c>
      <x:c r="S1413" s="81" t="n">
        <x:v>67.91071558436057</x:v>
      </x:c>
      <x:c r="T1413" s="81" t="n">
        <x:v>9.055595866636024</x:v>
      </x:c>
    </x:row>
    <x:row r="1414">
      <x:c r="A1414" s="59" t="n">
        <x:v>1411</x:v>
      </x:c>
      <x:c r="B1414" s="193" t="n">
        <x:v>0.6817914629355073</x:v>
      </x:c>
      <x:c r="C1414" s="83" t="n">
        <x:v>2.744102072638267</x:v>
      </x:c>
      <x:c r="D1414" s="83" t="n">
        <x:v>2.3890293133173373</x:v>
      </x:c>
      <x:c r="E1414" s="81" t="n">
        <x:v>0.056835688167974</x:v>
      </x:c>
      <x:c r="F1414" s="81" t="n">
        <x:v>0.7104259938467294</x:v>
      </x:c>
      <x:c r="G1414" s="81" t="n">
        <x:v>0.008144159340185402</x:v>
      </x:c>
      <x:c r="H1414" s="59" t="n">
        <x:v>60</x:v>
      </x:c>
      <x:c r="I1414" s="81" t="n">
        <x:v>0.24587936559692025</x:v>
      </x:c>
      <x:c r="J1414" s="79" t="n">
        <x:v>0.061090057250492845</x:v>
      </x:c>
      <x:c r="K1414" s="81" t="n">
        <x:v>68.81720828627755</x:v>
      </x:c>
      <x:c r="L1414" s="81" t="n">
        <x:v>-0.9114901165798659</x:v>
      </x:c>
      <x:c r="M1414" s="80" t="n">
        <x:v>252596.7929258212</x:v>
      </x:c>
      <x:c r="N1414" s="82" t="n">
        <x:v>0.2645092600611679</x:v>
      </x:c>
      <x:c r="O1414" s="82" t="n">
        <x:v>0.177513205293284</x:v>
      </x:c>
      <x:c r="P1414" s="80" t="n">
        <x:v>865276.4742172108</x:v>
      </x:c>
      <x:c r="Q1414" s="81" t="n">
        <x:v>0.008816545787432748</x:v>
      </x:c>
      <x:c r="R1414" s="81" t="n">
        <x:v>395.0737407869722</x:v>
      </x:c>
      <x:c r="S1414" s="81" t="n">
        <x:v>494.37423897474906</x:v>
      </x:c>
      <x:c r="T1414" s="81" t="n">
        <x:v>1323.3440130302597</x:v>
      </x:c>
    </x:row>
    <x:row r="1415">
      <x:c r="A1415" s="59" t="n">
        <x:v>1412</x:v>
      </x:c>
      <x:c r="B1415" s="193" t="n">
        <x:v>0.9142890753224493</x:v>
      </x:c>
      <x:c r="C1415" s="83" t="n">
        <x:v>0.8085465730288033</x:v>
      </x:c>
      <x:c r="D1415" s="83" t="n">
        <x:v>0.6383278921562787</x:v>
      </x:c>
      <x:c r="E1415" s="81" t="n">
        <x:v>0.08506528553486939</x:v>
      </x:c>
      <x:c r="F1415" s="81" t="n">
        <x:v>0.26683348857332023</x:v>
      </x:c>
      <x:c r="G1415" s="81" t="n">
        <x:v>0.02244624345749556</x:v>
      </x:c>
      <x:c r="H1415" s="59" t="n">
        <x:v>0</x:v>
      </x:c>
      <x:c r="I1415" s="81" t="n">
        <x:v>0</x:v>
      </x:c>
      <x:c r="J1415" s="79" t="n">
        <x:v>0.01227001410563809</x:v>
      </x:c>
      <x:c r="K1415" s="81" t="n">
        <x:v>13.022873263586389</x:v>
      </x:c>
      <x:c r="L1415" s="81" t="n">
        <x:v>-0.6041389442328065</x:v>
      </x:c>
      <x:c r="M1415" s="80" t="n">
        <x:v>42971.66288099362</x:v>
      </x:c>
      <x:c r="N1415" s="82" t="n">
        <x:v>0.31989455066196976</x:v>
      </x:c>
      <x:c r="O1415" s="82" t="n">
        <x:v>0.08063398398768523</x:v>
      </x:c>
      <x:c r="P1415" s="80" t="n">
        <x:v>50890.4355505507</x:v>
      </x:c>
      <x:c r="Q1415" s="81" t="n">
        <x:v>0.002380595430244355</x:v>
      </x:c>
      <x:c r="R1415" s="81" t="n">
        <x:v>192.5361674304783</x:v>
      </x:c>
      <x:c r="S1415" s="81" t="n">
        <x:v>291.0871725322676</x:v>
      </x:c>
      <x:c r="T1415" s="81" t="n">
        <x:v>265.7952936582329</x:v>
      </x:c>
    </x:row>
    <x:row r="1416">
      <x:c r="A1416" s="59" t="n">
        <x:v>1413</x:v>
      </x:c>
      <x:c r="B1416" s="193" t="n">
        <x:v>0.3644261157140136</x:v>
      </x:c>
      <x:c r="C1416" s="83" t="n">
        <x:v>2.675953040550695</x:v>
      </x:c>
      <x:c r="D1416" s="83" t="n">
        <x:v>0.44352870646801446</x:v>
      </x:c>
      <x:c r="E1416" s="81" t="n">
        <x:v>-0.01988950410774443</x:v>
      </x:c>
      <x:c r="F1416" s="81" t="n">
        <x:v>0.30634853573283183</x:v>
      </x:c>
      <x:c r="G1416" s="81" t="n">
        <x:v>0.00928702410404649</x:v>
      </x:c>
      <x:c r="H1416" s="59" t="n">
        <x:v>12</x:v>
      </x:c>
      <x:c r="I1416" s="81" t="n">
        <x:v>0.37241699881851675</x:v>
      </x:c>
      <x:c r="J1416" s="79" t="n">
        <x:v>3.8776133567377223e-10</x:v>
      </x:c>
      <x:c r="K1416" s="81" t="n">
        <x:v>-0.9999995568441878</x:v>
      </x:c>
      <x:c r="L1416" s="81" t="n">
        <x:v>-0.9999995568441878</x:v>
      </x:c>
      <x:c r="M1416" s="80" t="n">
        <x:v>12.504378374167128</x:v>
      </x:c>
      <x:c r="N1416" s="82" t="n">
        <x:v>0.18890688375274783</x:v>
      </x:c>
      <x:c r="O1416" s="82" t="n">
        <x:v>0.05466816978741922</x:v>
      </x:c>
      <x:c r="P1416" s="80" t="n">
        <x:v>2097.3266231832763</x:v>
      </x:c>
      <x:c r="Q1416" s="81" t="n">
        <x:v>1.6635167105360502</x:v>
      </x:c>
      <x:c r="R1416" s="81" t="n">
        <x:v>4.089749664464807</x:v>
      </x:c>
      <x:c r="S1416" s="81" t="n">
        <x:v>0.0007566502146690076</x:v>
      </x:c>
      <x:c r="T1416" s="81" t="n">
        <x:v>0.000008399757098678503</x:v>
      </x:c>
    </x:row>
    <x:row r="1417">
      <x:c r="A1417" s="59" t="n">
        <x:v>1414</x:v>
      </x:c>
      <x:c r="B1417" s="193" t="n">
        <x:v>0.9302341185510159</x:v>
      </x:c>
      <x:c r="C1417" s="83" t="n">
        <x:v>1.5623929295965928</x:v>
      </x:c>
      <x:c r="D1417" s="83" t="n">
        <x:v>0.4875866259835906</x:v>
      </x:c>
      <x:c r="E1417" s="81" t="n">
        <x:v>-0.06456070507875103</x:v>
      </x:c>
      <x:c r="F1417" s="81" t="n">
        <x:v>0.698705285449978</x:v>
      </x:c>
      <x:c r="G1417" s="81" t="n">
        <x:v>0.0015767921593703394</x:v>
      </x:c>
      <x:c r="H1417" s="59" t="n">
        <x:v>0</x:v>
      </x:c>
      <x:c r="I1417" s="81" t="n">
        <x:v>0</x:v>
      </x:c>
      <x:c r="J1417" s="79" t="n">
        <x:v>1.55599335771367e-23</x:v>
      </x:c>
      <x:c r="K1417" s="81" t="n">
        <x:v>-1</x:v>
      </x:c>
      <x:c r="L1417" s="81" t="n">
        <x:v>-1</x:v>
      </x:c>
      <x:c r="M1417" s="80" t="n">
        <x:v>0.000002</x:v>
      </x:c>
      <x:c r="N1417" s="82" t="n">
        <x:v>0.32369295892857475</x:v>
      </x:c>
      <x:c r="O1417" s="82" t="n">
        <x:v>0.21364770056933663</x:v>
      </x:c>
      <x:c r="P1417" s="80" t="n">
        <x:v>537.358839308568</x:v>
      </x:c>
      <x:c r="Q1417" s="81" t="n">
        <x:v>2140864.7320854743</x:v>
      </x:c>
      <x:c r="R1417" s="81" t="n">
        <x:v>2.917969630680112</x:v>
      </x:c>
      <x:c r="S1417" s="81" t="n">
        <x:v>1.6991637727827066e-10</x:v>
      </x:c>
      <x:c r="T1417" s="81" t="n">
        <x:v>3.370621320261776e-19</x:v>
      </x:c>
    </x:row>
    <x:row r="1418">
      <x:c r="A1418" s="59" t="n">
        <x:v>1415</x:v>
      </x:c>
      <x:c r="B1418" s="193" t="n">
        <x:v>0.5862176612019538</x:v>
      </x:c>
      <x:c r="C1418" s="83" t="n">
        <x:v>0.14773791933407893</x:v>
      </x:c>
      <x:c r="D1418" s="83" t="n">
        <x:v>0.6352238265527185</x:v>
      </x:c>
      <x:c r="E1418" s="81" t="n">
        <x:v>0.0971420275524621</x:v>
      </x:c>
      <x:c r="F1418" s="81" t="n">
        <x:v>0.6097321704495698</x:v>
      </x:c>
      <x:c r="G1418" s="81" t="n">
        <x:v>-0.04451078548313447</x:v>
      </x:c>
      <x:c r="H1418" s="59" t="n">
        <x:v>0</x:v>
      </x:c>
      <x:c r="I1418" s="81" t="n">
        <x:v>0</x:v>
      </x:c>
      <x:c r="J1418" s="79" t="n">
        <x:v>0.00044225027074017343</x:v>
      </x:c>
      <x:c r="K1418" s="81" t="n">
        <x:v>-0.49457111915408747</x:v>
      </x:c>
      <x:c r="L1418" s="81" t="n">
        <x:v>-0.86033144161117</x:v>
      </x:c>
      <x:c r="M1418" s="80" t="n">
        <x:v>4929.9251252343</x:v>
      </x:c>
      <x:c r="N1418" s="82" t="n">
        <x:v>0.24174178847945305</x:v>
      </x:c>
      <x:c r="O1418" s="82" t="n">
        <x:v>0.13923928432020144</x:v>
      </x:c>
      <x:c r="P1418" s="80" t="n">
        <x:v>6487.503922711458</x:v>
      </x:c>
      <x:c r="Q1418" s="81" t="n">
        <x:v>0.0033755838093501786</x:v>
      </x:c>
      <x:c r="R1418" s="81" t="n">
        <x:v>373.33924716910417</x:v>
      </x:c>
      <x:c r="S1418" s="81" t="n">
        <x:v>56.33126476174326</x:v>
      </x:c>
      <x:c r="T1418" s="81" t="n">
        <x:v>9.580106393504787</x:v>
      </x:c>
    </x:row>
    <x:row r="1419">
      <x:c r="A1419" s="59" t="n">
        <x:v>1416</x:v>
      </x:c>
      <x:c r="B1419" s="193" t="n">
        <x:v>0.8999430125579237</x:v>
      </x:c>
      <x:c r="C1419" s="83" t="n">
        <x:v>0.1327412865220419</x:v>
      </x:c>
      <x:c r="D1419" s="83" t="n">
        <x:v>0.9628380623042656</x:v>
      </x:c>
      <x:c r="E1419" s="81" t="n">
        <x:v>0.016310965428586097</x:v>
      </x:c>
      <x:c r="F1419" s="81" t="n">
        <x:v>0.6830170707893558</x:v>
      </x:c>
      <x:c r="G1419" s="81" t="n">
        <x:v>0.027880113256161628</x:v>
      </x:c>
      <x:c r="H1419" s="59" t="n">
        <x:v>0</x:v>
      </x:c>
      <x:c r="I1419" s="81" t="n">
        <x:v>0</x:v>
      </x:c>
      <x:c r="J1419" s="79" t="n">
        <x:v>0.00005942667341156068</x:v>
      </x:c>
      <x:c r="K1419" s="81" t="n">
        <x:v>-0.9320838018153592</x:v>
      </x:c>
      <x:c r="L1419" s="81" t="n">
        <x:v>-0.9662781792443783</x:v>
      </x:c>
      <x:c r="M1419" s="80" t="n">
        <x:v>1602.6810225591566</x:v>
      </x:c>
      <x:c r="N1419" s="82" t="n">
        <x:v>0.3164770495227831</x:v>
      </x:c>
      <x:c r="O1419" s="82" t="n">
        <x:v>0.204194820188422</x:v>
      </x:c>
      <x:c r="P1419" s="80" t="n">
        <x:v>3884.3755692781815</x:v>
      </x:c>
      <x:c r="Q1419" s="81" t="n">
        <x:v>0.025381518886081623</x:v>
      </x:c>
      <x:c r="R1419" s="81" t="n">
        <x:v>79.96541916560385</x:v>
      </x:c>
      <x:c r="S1419" s="81" t="n">
        <x:v>9.157116238615979</x:v>
      </x:c>
      <x:c r="T1419" s="81" t="n">
        <x:v>1.2873114875474914</x:v>
      </x:c>
    </x:row>
    <x:row r="1420">
      <x:c r="A1420" s="59" t="n">
        <x:v>1417</x:v>
      </x:c>
      <x:c r="B1420" s="193" t="n">
        <x:v>0.24817657917737962</x:v>
      </x:c>
      <x:c r="C1420" s="83" t="n">
        <x:v>1.0199985842218176</x:v>
      </x:c>
      <x:c r="D1420" s="83" t="n">
        <x:v>0.46533181503010446</x:v>
      </x:c>
      <x:c r="E1420" s="81" t="n">
        <x:v>0.10105433017584864</x:v>
      </x:c>
      <x:c r="F1420" s="81" t="n">
        <x:v>0.3431251562316902</x:v>
      </x:c>
      <x:c r="G1420" s="81" t="n">
        <x:v>-0.00213241252991473</x:v>
      </x:c>
      <x:c r="H1420" s="59" t="n">
        <x:v>0</x:v>
      </x:c>
      <x:c r="I1420" s="81" t="n">
        <x:v>0</x:v>
      </x:c>
      <x:c r="J1420" s="79" t="n">
        <x:v>0.014861699433103765</x:v>
      </x:c>
      <x:c r="K1420" s="81" t="n">
        <x:v>15.98479935211859</x:v>
      </x:c>
      <x:c r="L1420" s="81" t="n">
        <x:v>-0.4954653380659054</x:v>
      </x:c>
      <x:c r="M1420" s="80" t="n">
        <x:v>49901.8077019672</x:v>
      </x:c>
      <x:c r="N1420" s="82" t="n">
        <x:v>0.16121406447091136</x:v>
      </x:c>
      <x:c r="O1420" s="82" t="n">
        <x:v>0.05225482874679336</x:v>
      </x:c>
      <x:c r="P1420" s="80" t="n">
        <x:v>43351.79488760907</x:v>
      </x:c>
      <x:c r="Q1420" s="81" t="n">
        <x:v>0.0013185378231558966</x:v>
      </x:c>
      <x:c r="R1420" s="81" t="n">
        <x:v>186.90010343540823</x:v>
      </x:c>
      <x:c r="S1420" s="81" t="n">
        <x:v>275.88286100228726</x:v>
      </x:c>
      <x:c r="T1420" s="81" t="n">
        <x:v>321.9368560682501</x:v>
      </x:c>
    </x:row>
    <x:row r="1421">
      <x:c r="A1421" s="59" t="n">
        <x:v>1418</x:v>
      </x:c>
      <x:c r="B1421" s="193" t="n">
        <x:v>0.30663936026394367</x:v>
      </x:c>
      <x:c r="C1421" s="83" t="n">
        <x:v>2.182321676665063</x:v>
      </x:c>
      <x:c r="D1421" s="83" t="n">
        <x:v>0.6512390970311603</x:v>
      </x:c>
      <x:c r="E1421" s="81" t="n">
        <x:v>-0.04673368841177134</x:v>
      </x:c>
      <x:c r="F1421" s="81" t="n">
        <x:v>0.8154636618448422</x:v>
      </x:c>
      <x:c r="G1421" s="81" t="n">
        <x:v>-0.0017207237983225326</x:v>
      </x:c>
      <x:c r="H1421" s="59" t="n">
        <x:v>0</x:v>
      </x:c>
      <x:c r="I1421" s="81" t="n">
        <x:v>0</x:v>
      </x:c>
      <x:c r="J1421" s="79" t="n">
        <x:v>1.874203351475266e-22</x:v>
      </x:c>
      <x:c r="K1421" s="81" t="n">
        <x:v>-1</x:v>
      </x:c>
      <x:c r="L1421" s="81" t="n">
        <x:v>-1</x:v>
      </x:c>
      <x:c r="M1421" s="80" t="n">
        <x:v>0.000007841413362869052</x:v>
      </x:c>
      <x:c r="N1421" s="82" t="n">
        <x:v>0.17514099510287615</x:v>
      </x:c>
      <x:c r="O1421" s="82" t="n">
        <x:v>0.1349159723885136</x:v>
      </x:c>
      <x:c r="P1421" s="80" t="n">
        <x:v>986.7619664149795</x:v>
      </x:c>
      <x:c r="Q1421" s="81" t="n">
        <x:v>946560.9507013159</x:v>
      </x:c>
      <x:c r="R1421" s="81" t="n">
        <x:v>2.666450155354491</x:v>
      </x:c>
      <x:c r="S1421" s="81" t="n">
        <x:v>7.288958553550645e-10</x:v>
      </x:c>
      <x:c r="T1421" s="81" t="n">
        <x:v>4.059933638965499e-18</x:v>
      </x:c>
    </x:row>
    <x:row r="1422">
      <x:c r="A1422" s="59" t="n">
        <x:v>1419</x:v>
      </x:c>
      <x:c r="B1422" s="193" t="n">
        <x:v>0.25195472575724126</x:v>
      </x:c>
      <x:c r="C1422" s="83" t="n">
        <x:v>0.22499068464237681</x:v>
      </x:c>
      <x:c r="D1422" s="83" t="n">
        <x:v>0.6994797368256094</x:v>
      </x:c>
      <x:c r="E1422" s="81" t="n">
        <x:v>-0.05155533348017082</x:v>
      </x:c>
      <x:c r="F1422" s="81" t="n">
        <x:v>0.7678297742502764</x:v>
      </x:c>
      <x:c r="G1422" s="81" t="n">
        <x:v>0.009583922306409653</x:v>
      </x:c>
      <x:c r="H1422" s="59" t="n">
        <x:v>0</x:v>
      </x:c>
      <x:c r="I1422" s="81" t="n">
        <x:v>0</x:v>
      </x:c>
      <x:c r="J1422" s="79" t="n">
        <x:v>4.131077299664734e-25</x:v>
      </x:c>
      <x:c r="K1422" s="81" t="n">
        <x:v>-1</x:v>
      </x:c>
      <x:c r="L1422" s="81" t="n">
        <x:v>-1</x:v>
      </x:c>
      <x:c r="M1422" s="80" t="n">
        <x:v>0.000002</x:v>
      </x:c>
      <x:c r="N1422" s="82" t="n">
        <x:v>0.16211408982648273</x:v>
      </x:c>
      <x:c r="O1422" s="82" t="n">
        <x:v>0.11758628051456015</x:v>
      </x:c>
      <x:c r="P1422" s="80" t="n">
        <x:v>325.73751098215644</x:v>
      </x:c>
      <x:c r="Q1422" s="81" t="n">
        <x:v>99744741.61867438</x:v>
      </x:c>
      <x:c r="R1422" s="81" t="n">
        <x:v>15.629524797433955</x:v>
      </x:c>
      <x:c r="S1422" s="81" t="n">
        <x:v>5.617537389942711e-10</x:v>
      </x:c>
      <x:c r="T1422" s="81" t="n">
        <x:v>8.948815335792527e-21</x:v>
      </x:c>
    </x:row>
    <x:row r="1423">
      <x:c r="A1423" s="59" t="n">
        <x:v>1420</x:v>
      </x:c>
      <x:c r="B1423" s="193" t="n">
        <x:v>0.7289886619895698</x:v>
      </x:c>
      <x:c r="C1423" s="83" t="n">
        <x:v>0.3168570531040098</x:v>
      </x:c>
      <x:c r="D1423" s="83" t="n">
        <x:v>0.2557073340943617</x:v>
      </x:c>
      <x:c r="E1423" s="81" t="n">
        <x:v>0.05017228682122684</x:v>
      </x:c>
      <x:c r="F1423" s="81" t="n">
        <x:v>0.6146456068963744</x:v>
      </x:c>
      <x:c r="G1423" s="81" t="n">
        <x:v>0.01606405487590768</x:v>
      </x:c>
      <x:c r="H1423" s="59" t="n">
        <x:v>54</x:v>
      </x:c>
      <x:c r="I1423" s="81" t="n">
        <x:v>0.4473604408092797</x:v>
      </x:c>
      <x:c r="J1423" s="79" t="n">
        <x:v>0.00006479383041144393</x:v>
      </x:c>
      <x:c r="K1423" s="81" t="n">
        <x:v>-0.9259499081012069</x:v>
      </x:c>
      <x:c r="L1423" s="81" t="n">
        <x:v>-0.9539917125652603</x:v>
      </x:c>
      <x:c r="M1423" s="80" t="n">
        <x:v>1909.7017776807656</x:v>
      </x:c>
      <x:c r="N1423" s="82" t="n">
        <x:v>0.2757525178233276</x:v>
      </x:c>
      <x:c r="O1423" s="82" t="n">
        <x:v>0.16010880286383275</x:v>
      </x:c>
      <x:c r="P1423" s="80" t="n">
        <x:v>1302.48064241196</x:v>
      </x:c>
      <x:c r="Q1423" s="81" t="n">
        <x:v>0.006658022018337511</x:v>
      </x:c>
      <x:c r="R1423" s="81" t="n">
        <x:v>40.96959604075399</x:v>
      </x:c>
      <x:c r="S1423" s="81" t="n">
        <x:v>4.002951899020493</x:v>
      </x:c>
      <x:c r="T1423" s="81" t="n">
        <x:v>1.4035758258450568</x:v>
      </x:c>
    </x:row>
    <x:row r="1424">
      <x:c r="A1424" s="59" t="n">
        <x:v>1421</x:v>
      </x:c>
      <x:c r="B1424" s="193" t="n">
        <x:v>0.6524245472624899</x:v>
      </x:c>
      <x:c r="C1424" s="83" t="n">
        <x:v>1.954213167155429</x:v>
      </x:c>
      <x:c r="D1424" s="83" t="n">
        <x:v>1.329717392291113</x:v>
      </x:c>
      <x:c r="E1424" s="81" t="n">
        <x:v>-0.030906411789628562</x:v>
      </x:c>
      <x:c r="F1424" s="81" t="n">
        <x:v>0.5912178922677414</x:v>
      </x:c>
      <x:c r="G1424" s="81" t="n">
        <x:v>0.031058999757296604</x:v>
      </x:c>
      <x:c r="H1424" s="59" t="n">
        <x:v>0</x:v>
      </x:c>
      <x:c r="I1424" s="81" t="n">
        <x:v>0</x:v>
      </x:c>
      <x:c r="J1424" s="79" t="n">
        <x:v>9.748211636811367e-29</x:v>
      </x:c>
      <x:c r="K1424" s="81" t="n">
        <x:v>-1</x:v>
      </x:c>
      <x:c r="L1424" s="81" t="n">
        <x:v>-1</x:v>
      </x:c>
      <x:c r="M1424" s="80" t="n">
        <x:v>0.000002</x:v>
      </x:c>
      <x:c r="N1424" s="82" t="n">
        <x:v>0.25751351011818624</x:v>
      </x:c>
      <x:c r="O1424" s="82" t="n">
        <x:v>0.14381974995228033</x:v>
      </x:c>
      <x:c r="P1424" s="80" t="n">
        <x:v>1444.7947402312875</x:v>
      </x:c>
      <x:c r="Q1424" s="81" t="n">
        <x:v>691258533721.0292</x:v>
      </x:c>
      <x:c r="R1424" s="81" t="n">
        <x:v>2.807895642532663</x:v>
      </x:c>
      <x:c r="S1424" s="81" t="n">
        <x:v>5.720549584376418e-10</x:v>
      </x:c>
      <x:c r="T1424" s="81" t="n">
        <x:v>2.1116754653593256e-24</x:v>
      </x:c>
    </x:row>
    <x:row r="1425">
      <x:c r="A1425" s="59" t="n">
        <x:v>1422</x:v>
      </x:c>
      <x:c r="B1425" s="193" t="n">
        <x:v>0.29981122184544806</x:v>
      </x:c>
      <x:c r="C1425" s="83" t="n">
        <x:v>0.9751210194596384</x:v>
      </x:c>
      <x:c r="D1425" s="83" t="n">
        <x:v>0.5120055390890783</x:v>
      </x:c>
      <x:c r="E1425" s="81" t="n">
        <x:v>0.06910670819441891</x:v>
      </x:c>
      <x:c r="F1425" s="81" t="n">
        <x:v>0.5755563113139943</x:v>
      </x:c>
      <x:c r="G1425" s="81" t="n">
        <x:v>-0.02583994837281302</x:v>
      </x:c>
      <x:c r="H1425" s="59" t="n">
        <x:v>54</x:v>
      </x:c>
      <x:c r="I1425" s="81" t="n">
        <x:v>0.17181341573596</x:v>
      </x:c>
      <x:c r="J1425" s="79" t="n">
        <x:v>0.0013489297801476488</x:v>
      </x:c>
      <x:c r="K1425" s="81" t="n">
        <x:v>0.5416340344544559</x:v>
      </x:c>
      <x:c r="L1425" s="81" t="n">
        <x:v>-0.6984505085375832</x:v>
      </x:c>
      <x:c r="M1425" s="80" t="n">
        <x:v>13877.871033080815</x:v>
      </x:c>
      <x:c r="N1425" s="82" t="n">
        <x:v>0.17351440450399525</x:v>
      </x:c>
      <x:c r="O1425" s="82" t="n">
        <x:v>0.09433965778461133</x:v>
      </x:c>
      <x:c r="P1425" s="80" t="n">
        <x:v>14238.091434696276</x:v>
      </x:c>
      <x:c r="Q1425" s="81" t="n">
        <x:v>0.0031609603563065663</x:v>
      </x:c>
      <x:c r="R1425" s="81" t="n">
        <x:v>67.15908186998072</x:v>
      </x:c>
      <x:c r="S1425" s="81" t="n">
        <x:v>26.90627928674267</x:v>
      </x:c>
      <x:c r="T1425" s="81" t="n">
        <x:v>29.220764047364096</x:v>
      </x:c>
    </x:row>
    <x:row r="1426">
      <x:c r="A1426" s="59" t="n">
        <x:v>1423</x:v>
      </x:c>
      <x:c r="B1426" s="193" t="n">
        <x:v>0.4106089947745204</x:v>
      </x:c>
      <x:c r="C1426" s="83" t="n">
        <x:v>2.9117904978597737</x:v>
      </x:c>
      <x:c r="D1426" s="83" t="n">
        <x:v>1.5164641875000013</x:v>
      </x:c>
      <x:c r="E1426" s="81" t="n">
        <x:v>0.04252574107961288</x:v>
      </x:c>
      <x:c r="F1426" s="81" t="n">
        <x:v>0.4200143925845623</x:v>
      </x:c>
      <x:c r="G1426" s="81" t="n">
        <x:v>-0.016038882651363637</x:v>
      </x:c>
      <x:c r="H1426" s="59" t="n">
        <x:v>0</x:v>
      </x:c>
      <x:c r="I1426" s="81" t="n">
        <x:v>0</x:v>
      </x:c>
      <x:c r="J1426" s="79" t="n">
        <x:v>0.03460671028278108</x:v>
      </x:c>
      <x:c r="K1426" s="81" t="n">
        <x:v>38.550526037464095</x:v>
      </x:c>
      <x:c r="L1426" s="81" t="n">
        <x:v>-0.5450151901938971</x:v>
      </x:c>
      <x:c r="M1426" s="80" t="n">
        <x:v>153809.48423730495</x:v>
      </x:c>
      <x:c r="N1426" s="82" t="n">
        <x:v>0.19990851147394265</x:v>
      </x:c>
      <x:c r="O1426" s="82" t="n">
        <x:v>0.07931702196336918</x:v>
      </x:c>
      <x:c r="P1426" s="80" t="n">
        <x:v>390789.3337589068</x:v>
      </x:c>
      <x:c r="Q1426" s="81" t="n">
        <x:v>0.004813622972247834</x:v>
      </x:c>
      <x:c r="R1426" s="81" t="n">
        <x:v>192.73112867412948</x:v>
      </x:c>
      <x:c r="S1426" s="81" t="n">
        <x:v>242.9225441148885</x:v>
      </x:c>
      <x:c r="T1426" s="81" t="n">
        <x:v>749.6568987586211</x:v>
      </x:c>
    </x:row>
    <x:row r="1427">
      <x:c r="A1427" s="59" t="n">
        <x:v>1424</x:v>
      </x:c>
      <x:c r="B1427" s="193" t="n">
        <x:v>0.7947564277797938</x:v>
      </x:c>
      <x:c r="C1427" s="83" t="n">
        <x:v>2.1596981180154984</x:v>
      </x:c>
      <x:c r="D1427" s="83" t="n">
        <x:v>0.40067789709728024</x:v>
      </x:c>
      <x:c r="E1427" s="81" t="n">
        <x:v>0.18316529788181787</x:v>
      </x:c>
      <x:c r="F1427" s="81" t="n">
        <x:v>0.3380817077471875</x:v>
      </x:c>
      <x:c r="G1427" s="81" t="n">
        <x:v>0.026921028242561068</x:v>
      </x:c>
      <x:c r="H1427" s="59" t="n">
        <x:v>0</x:v>
      </x:c>
      <x:c r="I1427" s="81" t="n">
        <x:v>0</x:v>
      </x:c>
      <x:c r="J1427" s="79" t="n">
        <x:v>0.06053924929152274</x:v>
      </x:c>
      <x:c r="K1427" s="81" t="n">
        <x:v>68.18771347602599</x:v>
      </x:c>
      <x:c r="L1427" s="81" t="n">
        <x:v>-0.5883804174183345</x:v>
      </x:c>
      <x:c r="M1427" s="80" t="n">
        <x:v>180328.14711121153</x:v>
      </x:c>
      <x:c r="N1427" s="82" t="n">
        <x:v>0.29141963278016764</x:v>
      </x:c>
      <x:c r="O1427" s="82" t="n">
        <x:v>0.09307036602643996</x:v>
      </x:c>
      <x:c r="P1427" s="80" t="n">
        <x:v>135021.038505381</x:v>
      </x:c>
      <x:c r="Q1427" s="81" t="n">
        <x:v>0.0014379770218485388</x:v>
      </x:c>
      <x:c r="R1427" s="81" t="n">
        <x:v>233.69825424735703</x:v>
      </x:c>
      <x:c r="S1427" s="81" t="n">
        <x:v>536.34160266646</x:v>
      </x:c>
      <x:c r="T1427" s="81" t="n">
        <x:v>1311.4123101044677</x:v>
      </x:c>
    </x:row>
    <x:row r="1428">
      <x:c r="A1428" s="59" t="n">
        <x:v>1425</x:v>
      </x:c>
      <x:c r="B1428" s="193" t="n">
        <x:v>0.6636337699368596</x:v>
      </x:c>
      <x:c r="C1428" s="83" t="n">
        <x:v>0.17197983190388333</x:v>
      </x:c>
      <x:c r="D1428" s="83" t="n">
        <x:v>0.3939171326396475</x:v>
      </x:c>
      <x:c r="E1428" s="81" t="n">
        <x:v>-0.03104083244958541</x:v>
      </x:c>
      <x:c r="F1428" s="81" t="n">
        <x:v>0.27668917628470807</x:v>
      </x:c>
      <x:c r="G1428" s="81" t="n">
        <x:v>0.016784240693368143</x:v>
      </x:c>
      <x:c r="H1428" s="59" t="n">
        <x:v>26</x:v>
      </x:c>
      <x:c r="I1428" s="81" t="n">
        <x:v>0.4739617766812444</x:v>
      </x:c>
      <x:c r="J1428" s="79" t="n">
        <x:v>3.3651583880279885e-13</x:v>
      </x:c>
      <x:c r="K1428" s="81" t="n">
        <x:v>-0.9999999996154104</x:v>
      </x:c>
      <x:c r="L1428" s="81" t="n">
        <x:v>-0.9999999996154104</x:v>
      </x:c>
      <x:c r="M1428" s="80" t="n">
        <x:v>0.118654513039938</x:v>
      </x:c>
      <x:c r="N1428" s="82" t="n">
        <x:v>0.2601837571321465</x:v>
      </x:c>
      <x:c r="O1428" s="82" t="n">
        <x:v>0.0680053833402194</x:v>
      </x:c>
      <x:c r="P1428" s="80" t="n">
        <x:v>368.98836938122895</x:v>
      </x:c>
      <x:c r="Q1428" s="81" t="n">
        <x:v>11.825327273538333</x:v>
      </x:c>
      <x:c r="R1428" s="81" t="n">
        <x:v>41.92207744430828</x:v>
      </x:c>
      <x:c r="S1428" s="81" t="n">
        <x:v>0.00002205961588976326</x:v>
      </x:c>
      <x:c r="T1428" s="81" t="n">
        <x:v>7.289667756301655e-9</x:v>
      </x:c>
    </x:row>
    <x:row r="1429">
      <x:c r="A1429" s="59" t="n">
        <x:v>1426</x:v>
      </x:c>
      <x:c r="B1429" s="193" t="n">
        <x:v>0.3684415461495519</x:v>
      </x:c>
      <x:c r="C1429" s="83" t="n">
        <x:v>0.7431359927200424</x:v>
      </x:c>
      <x:c r="D1429" s="83" t="n">
        <x:v>0.9822221223881483</x:v>
      </x:c>
      <x:c r="E1429" s="81" t="n">
        <x:v>0.0989020194615882</x:v>
      </x:c>
      <x:c r="F1429" s="81" t="n">
        <x:v>0.5737252926221117</x:v>
      </x:c>
      <x:c r="G1429" s="81" t="n">
        <x:v>-0.02374001197623382</x:v>
      </x:c>
      <x:c r="H1429" s="59" t="n">
        <x:v>39</x:v>
      </x:c>
      <x:c r="I1429" s="81" t="n">
        <x:v>0.47917425194755203</x:v>
      </x:c>
      <x:c r="J1429" s="79" t="n">
        <x:v>0.0085164121028686</x:v>
      </x:c>
      <x:c r="K1429" s="81" t="n">
        <x:v>8.7330424032784</x:v>
      </x:c>
      <x:c r="L1429" s="81" t="n">
        <x:v>-0.9571925076596829</x:v>
      </x:c>
      <x:c r="M1429" s="80" t="n">
        <x:v>37066.168389147206</x:v>
      </x:c>
      <x:c r="N1429" s="82" t="n">
        <x:v>0.18986343457181362</x:v>
      </x:c>
      <x:c r="O1429" s="82" t="n">
        <x:v>0.10290021231430241</x:v>
      </x:c>
      <x:c r="P1429" s="80" t="n">
        <x:v>60034.98943189664</x:v>
      </x:c>
      <x:c r="Q1429" s="81" t="n">
        <x:v>0.002777338678070403</x:v>
      </x:c>
      <x:c r="R1429" s="81" t="n">
        <x:v>467.2281788996226</x:v>
      </x:c>
      <x:c r="S1429" s="81" t="n">
        <x:v>220.19348843774816</x:v>
      </x:c>
      <x:c r="T1429" s="81" t="n">
        <x:v>184.48407934236607</x:v>
      </x:c>
    </x:row>
    <x:row r="1430">
      <x:c r="A1430" s="59" t="n">
        <x:v>1427</x:v>
      </x:c>
      <x:c r="B1430" s="193" t="n">
        <x:v>0.2949586655944586</x:v>
      </x:c>
      <x:c r="C1430" s="83" t="n">
        <x:v>0.8644003361095733</x:v>
      </x:c>
      <x:c r="D1430" s="83" t="n">
        <x:v>1.263384091487273</x:v>
      </x:c>
      <x:c r="E1430" s="81" t="n">
        <x:v>-0.05421276860110038</x:v>
      </x:c>
      <x:c r="F1430" s="81" t="n">
        <x:v>0.6285516328411177</x:v>
      </x:c>
      <x:c r="G1430" s="81" t="n">
        <x:v>-0.021118037788800975</x:v>
      </x:c>
      <x:c r="H1430" s="59" t="n">
        <x:v>0</x:v>
      </x:c>
      <x:c r="I1430" s="81" t="n">
        <x:v>0</x:v>
      </x:c>
      <x:c r="J1430" s="79" t="n">
        <x:v>1.7387601853267275e-31</x:v>
      </x:c>
      <x:c r="K1430" s="81" t="n">
        <x:v>-1</x:v>
      </x:c>
      <x:c r="L1430" s="81" t="n">
        <x:v>-1</x:v>
      </x:c>
      <x:c r="M1430" s="80" t="n">
        <x:v>0.000002</x:v>
      </x:c>
      <x:c r="N1430" s="82" t="n">
        <x:v>0.17235843461958014</x:v>
      </x:c>
      <x:c r="O1430" s="82" t="n">
        <x:v>0.1023397712488045</x:v>
      </x:c>
      <x:c r="P1430" s="80" t="n">
        <x:v>563.293200318485</x:v>
      </x:c>
      <x:c r="Q1430" s="81" t="n">
        <x:v>225934108183275.25</x:v>
      </x:c>
      <x:c r="R1430" s="81" t="n">
        <x:v>3.11440061960915</x:v>
      </x:c>
      <x:c r="S1430" s="81" t="n">
        <x:v>4.578458713842329e-10</x:v>
      </x:c>
      <x:c r="T1430" s="81" t="n">
        <x:v>3.7665341708759764e-27</x:v>
      </x:c>
    </x:row>
    <x:row r="1431">
      <x:c r="A1431" s="59" t="n">
        <x:v>1428</x:v>
      </x:c>
      <x:c r="B1431" s="193" t="n">
        <x:v>0.4289976740255952</x:v>
      </x:c>
      <x:c r="C1431" s="83" t="n">
        <x:v>1.1993437866664531</x:v>
      </x:c>
      <x:c r="D1431" s="83" t="n">
        <x:v>0.5466175552708303</x:v>
      </x:c>
      <x:c r="E1431" s="81" t="n">
        <x:v>-0.004013810143262214</x:v>
      </x:c>
      <x:c r="F1431" s="81" t="n">
        <x:v>0.4693843040149659</x:v>
      </x:c>
      <x:c r="G1431" s="81" t="n">
        <x:v>0.008602263560633684</x:v>
      </x:c>
      <x:c r="H1431" s="59" t="n">
        <x:v>0</x:v>
      </x:c>
      <x:c r="I1431" s="81" t="n">
        <x:v>0</x:v>
      </x:c>
      <x:c r="J1431" s="79" t="n">
        <x:v>5.15081157790022e-7</x:v>
      </x:c>
      <x:c r="K1431" s="81" t="n">
        <x:v>-0.9994113358196686</x:v>
      </x:c>
      <x:c r="L1431" s="81" t="n">
        <x:v>-0.9994113358196686</x:v>
      </x:c>
      <x:c r="M1431" s="80" t="n">
        <x:v>269.7903207559145</x:v>
      </x:c>
      <x:c r="N1431" s="82" t="n">
        <x:v>0.20428903965928472</x:v>
      </x:c>
      <x:c r="O1431" s="82" t="n">
        <x:v>0.09058255609500608</x:v>
      </x:c>
      <x:c r="P1431" s="80" t="n">
        <x:v>2396.0019632688386</x:v>
      </x:c>
      <x:c r="Q1431" s="81" t="n">
        <x:v>0.08394113881124714</x:v>
      </x:c>
      <x:c r="R1431" s="81" t="n">
        <x:v>10.896374490116616</x:v>
      </x:c>
      <x:c r="S1431" s="81" t="n">
        <x:v>0.04078134468697943</x:v>
      </x:c>
      <x:c r="T1431" s="81" t="n">
        <x:v>0.011157782412793879</x:v>
      </x:c>
    </x:row>
    <x:row r="1432">
      <x:c r="A1432" s="59" t="n">
        <x:v>1429</x:v>
      </x:c>
      <x:c r="B1432" s="193" t="n">
        <x:v>0.24176523294299843</x:v>
      </x:c>
      <x:c r="C1432" s="83" t="n">
        <x:v>2.32751299294324</x:v>
      </x:c>
      <x:c r="D1432" s="83" t="n">
        <x:v>0.8009961061296579</x:v>
      </x:c>
      <x:c r="E1432" s="81" t="n">
        <x:v>0.036234598919278965</x:v>
      </x:c>
      <x:c r="F1432" s="81" t="n">
        <x:v>0.7838538268697448</x:v>
      </x:c>
      <x:c r="G1432" s="81" t="n">
        <x:v>0.03195510805397559</x:v>
      </x:c>
      <x:c r="H1432" s="59" t="n">
        <x:v>0</x:v>
      </x:c>
      <x:c r="I1432" s="81" t="n">
        <x:v>0</x:v>
      </x:c>
      <x:c r="J1432" s="79" t="n">
        <x:v>0.006182447500111109</x:v>
      </x:c>
      <x:c r="K1432" s="81" t="n">
        <x:v>6.065654285841268</x:v>
      </x:c>
      <x:c r="L1432" s="81" t="n">
        <x:v>-0.46589800116570557</x:v>
      </x:c>
      <x:c r="M1432" s="80" t="n">
        <x:v>50936.2135061988</x:v>
      </x:c>
      <x:c r="N1432" s="82" t="n">
        <x:v>0.1596867615851399</x:v>
      </x:c>
      <x:c r="O1432" s="82" t="n">
        <x:v>0.11824286346024646</x:v>
      </x:c>
      <x:c r="P1432" s="80" t="n">
        <x:v>80309.39056010688</x:v>
      </x:c>
      <x:c r="Q1432" s="81" t="n">
        <x:v>0.007599822188608075</x:v>
      </x:c>
      <x:c r="R1432" s="81" t="n">
        <x:v>29.326368346342473</x:v>
      </x:c>
      <x:c r="S1432" s="81" t="n">
        <x:v>57.431016450970766</x:v>
      </x:c>
      <x:c r="T1432" s="81" t="n">
        <x:v>133.9253104903569</x:v>
      </x:c>
    </x:row>
    <x:row r="1433">
      <x:c r="A1433" s="59" t="n">
        <x:v>1430</x:v>
      </x:c>
      <x:c r="B1433" s="193" t="n">
        <x:v>0.5225686226040125</x:v>
      </x:c>
      <x:c r="C1433" s="83" t="n">
        <x:v>0.2495241119233556</x:v>
      </x:c>
      <x:c r="D1433" s="83" t="n">
        <x:v>0.47371827535075595</x:v>
      </x:c>
      <x:c r="E1433" s="81" t="n">
        <x:v>-0.06618373178664266</x:v>
      </x:c>
      <x:c r="F1433" s="81" t="n">
        <x:v>0.566020070691593</x:v>
      </x:c>
      <x:c r="G1433" s="81" t="n">
        <x:v>0.0043388617310881625</x:v>
      </x:c>
      <x:c r="H1433" s="59" t="n">
        <x:v>0</x:v>
      </x:c>
      <x:c r="I1433" s="81" t="n">
        <x:v>0</x:v>
      </x:c>
      <x:c r="J1433" s="79" t="n">
        <x:v>2.2627783649001614e-23</x:v>
      </x:c>
      <x:c r="K1433" s="81" t="n">
        <x:v>-1</x:v>
      </x:c>
      <x:c r="L1433" s="81" t="n">
        <x:v>-1</x:v>
      </x:c>
      <x:c r="M1433" s="80" t="n">
        <x:v>0.000002</x:v>
      </x:c>
      <x:c r="N1433" s="82" t="n">
        <x:v>0.22657939406594962</x:v>
      </x:c>
      <x:c r="O1433" s="82" t="n">
        <x:v>0.1211499346312068</x:v>
      </x:c>
      <x:c r="P1433" s="80" t="n">
        <x:v>249.78943702757311</x:v>
      </x:c>
      <x:c r="Q1433" s="81" t="n">
        <x:v>1438247.3504007834</x:v>
      </x:c>
      <x:c r="R1433" s="81" t="n">
        <x:v>15.453497570195985</x:v>
      </x:c>
      <x:c r="S1433" s="81" t="n">
        <x:v>3.500710483098394e-10</x:v>
      </x:c>
      <x:c r="T1433" s="81" t="n">
        <x:v>4.901671952485969e-19</x:v>
      </x:c>
    </x:row>
    <x:row r="1434">
      <x:c r="A1434" s="59" t="n">
        <x:v>1431</x:v>
      </x:c>
      <x:c r="B1434" s="193" t="n">
        <x:v>0.7046481704339385</x:v>
      </x:c>
      <x:c r="C1434" s="83" t="n">
        <x:v>1.6693065393327804</x:v>
      </x:c>
      <x:c r="D1434" s="83" t="n">
        <x:v>1.0679166821027009</x:v>
      </x:c>
      <x:c r="E1434" s="81" t="n">
        <x:v>0.04980730594944756</x:v>
      </x:c>
      <x:c r="F1434" s="81" t="n">
        <x:v>0.34913354682503267</x:v>
      </x:c>
      <x:c r="G1434" s="81" t="n">
        <x:v>0.014338431250572704</x:v>
      </x:c>
      <x:c r="H1434" s="59" t="n">
        <x:v>0</x:v>
      </x:c>
      <x:c r="I1434" s="81" t="n">
        <x:v>0</x:v>
      </x:c>
      <x:c r="J1434" s="79" t="n">
        <x:v>0.0173070363066162</x:v>
      </x:c>
      <x:c r="K1434" s="81" t="n">
        <x:v>18.77947006470423</x:v>
      </x:c>
      <x:c r="L1434" s="81" t="n">
        <x:v>-0.5540975211730388</x:v>
      </x:c>
      <x:c r="M1434" s="80" t="n">
        <x:v>74182.27277553463</x:v>
      </x:c>
      <x:c r="N1434" s="82" t="n">
        <x:v>0.2699541563505597</x:v>
      </x:c>
      <x:c r="O1434" s="82" t="n">
        <x:v>0.08903331435676248</x:v>
      </x:c>
      <x:c r="P1434" s="80" t="n">
        <x:v>140986.96686119298</x:v>
      </x:c>
      <x:c r="Q1434" s="81" t="n">
        <x:v>0.004428191664133471</x:v>
      </x:c>
      <x:c r="R1434" s="81" t="n">
        <x:v>125.42605765484457</x:v>
      </x:c>
      <x:c r="S1434" s="81" t="n">
        <x:v>208.59964833831393</x:v>
      </x:c>
      <x:c r="T1434" s="81" t="n">
        <x:v>374.9081914548887</x:v>
      </x:c>
    </x:row>
    <x:row r="1435">
      <x:c r="A1435" s="59" t="n">
        <x:v>1432</x:v>
      </x:c>
      <x:c r="B1435" s="193" t="n">
        <x:v>0.2182672876864672</x:v>
      </x:c>
      <x:c r="C1435" s="83" t="n">
        <x:v>0.3731274369395901</x:v>
      </x:c>
      <x:c r="D1435" s="83" t="n">
        <x:v>0.5395966589993384</x:v>
      </x:c>
      <x:c r="E1435" s="81" t="n">
        <x:v>0.1683808303871587</x:v>
      </x:c>
      <x:c r="F1435" s="81" t="n">
        <x:v>0.6228334232233466</x:v>
      </x:c>
      <x:c r="G1435" s="81" t="n">
        <x:v>0.005895666875291</x:v>
      </x:c>
      <x:c r="H1435" s="59" t="n">
        <x:v>0</x:v>
      </x:c>
      <x:c r="I1435" s="81" t="n">
        <x:v>0</x:v>
      </x:c>
      <x:c r="J1435" s="79" t="n">
        <x:v>0.011976989164664473</x:v>
      </x:c>
      <x:c r="K1435" s="81" t="n">
        <x:v>12.687987616759399</x:v>
      </x:c>
      <x:c r="L1435" s="81" t="n">
        <x:v>-0.7328003798087499</x:v>
      </x:c>
      <x:c r="M1435" s="80" t="n">
        <x:v>35779.296783308</x:v>
      </x:c>
      <x:c r="N1435" s="82" t="n">
        <x:v>0.1540891104385606</x:v>
      </x:c>
      <x:c r="O1435" s="82" t="n">
        <x:v>0.09065980904297065</x:v>
      </x:c>
      <x:c r="P1435" s="80" t="n">
        <x:v>34117.922009675334</x:v>
      </x:c>
      <x:c r="Q1435" s="81" t="n">
        <x:v>0.001469212445792463</x:v>
      </x:c>
      <x:c r="R1435" s="81" t="n">
        <x:v>698.9044773877334</x:v>
      </x:c>
      <x:c r="S1435" s="81" t="n">
        <x:v>603.518304679374</x:v>
      </x:c>
      <x:c r="T1435" s="81" t="n">
        <x:v>259.4477336990736</x:v>
      </x:c>
    </x:row>
    <x:row r="1436">
      <x:c r="A1436" s="59" t="n">
        <x:v>1433</x:v>
      </x:c>
      <x:c r="B1436" s="193" t="n">
        <x:v>0.7800961669534445</x:v>
      </x:c>
      <x:c r="C1436" s="83" t="n">
        <x:v>2.1698636834895257</x:v>
      </x:c>
      <x:c r="D1436" s="83" t="n">
        <x:v>2.1486154820635615</x:v>
      </x:c>
      <x:c r="E1436" s="81" t="n">
        <x:v>0.2</x:v>
      </x:c>
      <x:c r="F1436" s="81" t="n">
        <x:v>0.7101819745730609</x:v>
      </x:c>
      <x:c r="G1436" s="81" t="n">
        <x:v>0.032993299375553314</x:v>
      </x:c>
      <x:c r="H1436" s="59" t="n">
        <x:v>0</x:v>
      </x:c>
      <x:c r="I1436" s="81" t="n">
        <x:v>0</x:v>
      </x:c>
      <x:c r="J1436" s="79" t="n">
        <x:v>0.7843927027454213</x:v>
      </x:c>
      <x:c r="K1436" s="81" t="n">
        <x:v>895.4488031376244</x:v>
      </x:c>
      <x:c r="L1436" s="81" t="n">
        <x:v>-0.8347750926569704</x:v>
      </x:c>
      <x:c r="M1436" s="80" t="n">
        <x:v>1444596.0161144305</x:v>
      </x:c>
      <x:c r="N1436" s="82" t="n">
        <x:v>0.287927283771441</x:v>
      </x:c>
      <x:c r="O1436" s="82" t="n">
        <x:v>0.193162762228811</x:v>
      </x:c>
      <x:c r="P1436" s="80" t="n">
        <x:v>3438850.9676087196</x:v>
      </x:c>
      <x:c r="Q1436" s="81" t="n">
        <x:v>0.004105903216466195</x:v>
      </x:c>
      <x:c r="R1436" s="81" t="n">
        <x:v>2231.552947192524</x:v>
      </x:c>
      <x:c r="S1436" s="81" t="n">
        <x:v>7399.146416349396</x:v>
      </x:c>
      <x:c r="T1436" s="81" t="n">
        <x:v>16991.658442657677</x:v>
      </x:c>
    </x:row>
    <x:row r="1437">
      <x:c r="A1437" s="59" t="n">
        <x:v>1434</x:v>
      </x:c>
      <x:c r="B1437" s="193" t="n">
        <x:v>0.9285368163138628</x:v>
      </x:c>
      <x:c r="C1437" s="83" t="n">
        <x:v>0.322728607545907</x:v>
      </x:c>
      <x:c r="D1437" s="83" t="n">
        <x:v>0.3792345314647967</x:v>
      </x:c>
      <x:c r="E1437" s="81" t="n">
        <x:v>0.007980390470806353</x:v>
      </x:c>
      <x:c r="F1437" s="81" t="n">
        <x:v>0.7059846433578059</x:v>
      </x:c>
      <x:c r="G1437" s="81" t="n">
        <x:v>0.00394652492153447</x:v>
      </x:c>
      <x:c r="H1437" s="59" t="n">
        <x:v>0</x:v>
      </x:c>
      <x:c r="I1437" s="81" t="n">
        <x:v>0</x:v>
      </x:c>
      <x:c r="J1437" s="79" t="n">
        <x:v>0.0000017222162696071065</x:v>
      </x:c>
      <x:c r="K1437" s="81" t="n">
        <x:v>-0.9980317528347348</x:v>
      </x:c>
      <x:c r="L1437" s="81" t="n">
        <x:v>-0.9980317528347348</x:v>
      </x:c>
      <x:c r="M1437" s="80" t="n">
        <x:v>300.13658684688846</x:v>
      </x:c>
      <x:c r="N1437" s="82" t="n">
        <x:v>0.3232886297112679</x:v>
      </x:c>
      <x:c r="O1437" s="82" t="n">
        <x:v>0.21560390705278265</x:v>
      </x:c>
      <x:c r="P1437" s="80" t="n">
        <x:v>710.9662148553482</x:v>
      </x:c>
      <x:c r="Q1437" s="81" t="n">
        <x:v>0.03426432820229398</x:v>
      </x:c>
      <x:c r="R1437" s="81" t="n">
        <x:v>24.407278760876604</x:v>
      </x:c>
      <x:c r="S1437" s="81" t="n">
        <x:v>0.13896346508760626</x:v>
      </x:c>
      <x:c r="T1437" s="81" t="n">
        <x:v>0.03730696437527869</x:v>
      </x:c>
    </x:row>
    <x:row r="1438">
      <x:c r="A1438" s="59" t="n">
        <x:v>1435</x:v>
      </x:c>
      <x:c r="B1438" s="193" t="n">
        <x:v>0.560016180574894</x:v>
      </x:c>
      <x:c r="C1438" s="83" t="n">
        <x:v>2.629048867450126</x:v>
      </x:c>
      <x:c r="D1438" s="83" t="n">
        <x:v>0.44840795646490406</x:v>
      </x:c>
      <x:c r="E1438" s="81" t="n">
        <x:v>-0.07760413643162081</x:v>
      </x:c>
      <x:c r="F1438" s="81" t="n">
        <x:v>0.8555571904056706</x:v>
      </x:c>
      <x:c r="G1438" s="81" t="n">
        <x:v>0.014192707052644117</x:v>
      </x:c>
      <x:c r="H1438" s="59" t="n">
        <x:v>0</x:v>
      </x:c>
      <x:c r="I1438" s="81" t="n">
        <x:v>0</x:v>
      </x:c>
      <x:c r="J1438" s="79" t="n">
        <x:v>1.9998480160115279e-25</x:v>
      </x:c>
      <x:c r="K1438" s="81" t="n">
        <x:v>-1</x:v>
      </x:c>
      <x:c r="L1438" s="81" t="n">
        <x:v>-1</x:v>
      </x:c>
      <x:c r="M1438" s="80" t="n">
        <x:v>0.000002</x:v>
      </x:c>
      <x:c r="N1438" s="82" t="n">
        <x:v>0.2355001045163256</x:v>
      </x:c>
      <x:c r="O1438" s="82" t="n">
        <x:v>0.1903316846720406</x:v>
      </x:c>
      <x:c r="P1438" s="80" t="n">
        <x:v>684.6781640432739</x:v>
      </x:c>
      <x:c r="Q1438" s="81" t="n">
        <x:v>140272387.45943728</x:v>
      </x:c>
      <x:c r="R1438" s="81" t="n">
        <x:v>1.8689815054565913</x:v>
      </x:c>
      <x:c r="S1438" s="81" t="n">
        <x:v>1.2848442330998628e-10</x:v>
      </x:c>
      <x:c r="T1438" s="81" t="n">
        <x:v>4.332107413335168e-21</x:v>
      </x:c>
    </x:row>
    <x:row r="1439">
      <x:c r="A1439" s="59" t="n">
        <x:v>1436</x:v>
      </x:c>
      <x:c r="B1439" s="193" t="n">
        <x:v>0.2827014291658998</x:v>
      </x:c>
      <x:c r="C1439" s="83" t="n">
        <x:v>2.4711255087493726</x:v>
      </x:c>
      <x:c r="D1439" s="83" t="n">
        <x:v>0.453017095251187</x:v>
      </x:c>
      <x:c r="E1439" s="81" t="n">
        <x:v>0.00039280364908370345</x:v>
      </x:c>
      <x:c r="F1439" s="81" t="n">
        <x:v>0.5637249517953024</x:v>
      </x:c>
      <x:c r="G1439" s="81" t="n">
        <x:v>0.01513301558376292</x:v>
      </x:c>
      <x:c r="H1439" s="59" t="n">
        <x:v>0</x:v>
      </x:c>
      <x:c r="I1439" s="81" t="n">
        <x:v>0</x:v>
      </x:c>
      <x:c r="J1439" s="79" t="n">
        <x:v>0.000010226107045926522</x:v>
      </x:c>
      <x:c r="K1439" s="81" t="n">
        <x:v>-0.9883130205189411</x:v>
      </x:c>
      <x:c r="L1439" s="81" t="n">
        <x:v>-0.9883130205189411</x:v>
      </x:c>
      <x:c r="M1439" s="80" t="n">
        <x:v>1890.4068137158965</x:v>
      </x:c>
      <x:c r="N1439" s="82" t="n">
        <x:v>0.16943853107911397</x:v>
      </x:c>
      <x:c r="O1439" s="82" t="n">
        <x:v>0.09022987957164906</x:v>
      </x:c>
      <x:c r="P1439" s="80" t="n">
        <x:v>5404.017926447265</x:v>
      </x:c>
      <x:c r="Q1439" s="81" t="n">
        <x:v>0.038412708575730384</x:v>
      </x:c>
      <x:c r="R1439" s="81" t="n">
        <x:v>6.967745342483768</x:v>
      </x:c>
      <x:c r="S1439" s="81" t="n">
        <x:v>0.20715815098378698</x:v>
      </x:c>
      <x:c r="T1439" s="81" t="n">
        <x:v>0.22151980444778913</x:v>
      </x:c>
    </x:row>
    <x:row r="1440">
      <x:c r="A1440" s="59" t="n">
        <x:v>1437</x:v>
      </x:c>
      <x:c r="B1440" s="193" t="n">
        <x:v>0.29600429981946946</x:v>
      </x:c>
      <x:c r="C1440" s="83" t="n">
        <x:v>0.6319276647141835</x:v>
      </x:c>
      <x:c r="D1440" s="83" t="n">
        <x:v>0.6617362783289981</x:v>
      </x:c>
      <x:c r="E1440" s="81" t="n">
        <x:v>0.0015404938893723878</x:v>
      </x:c>
      <x:c r="F1440" s="81" t="n">
        <x:v>0.6330719341873192</x:v>
      </x:c>
      <x:c r="G1440" s="81" t="n">
        <x:v>-0.0049823392752980766</x:v>
      </x:c>
      <x:c r="H1440" s="59" t="n">
        <x:v>0</x:v>
      </x:c>
      <x:c r="I1440" s="81" t="n">
        <x:v>0</x:v>
      </x:c>
      <x:c r="J1440" s="79" t="n">
        <x:v>0.000003310125996955696</x:v>
      </x:c>
      <x:c r="K1440" s="81" t="n">
        <x:v>-0.9962169988606221</x:v>
      </x:c>
      <x:c r="L1440" s="81" t="n">
        <x:v>-0.9962169988606221</x:v>
      </x:c>
      <x:c r="M1440" s="80" t="n">
        <x:v>508.24347056191135</x:v>
      </x:c>
      <x:c r="N1440" s="82" t="n">
        <x:v>0.1726075242976192</x:v>
      </x:c>
      <x:c r="O1440" s="82" t="n">
        <x:v>0.1032247229360075</x:v>
      </x:c>
      <x:c r="P1440" s="80" t="n">
        <x:v>2261.931766235343</x:v>
      </x:c>
      <x:c r="Q1440" s="81" t="n">
        <x:v>0.040935734465248674</x:v>
      </x:c>
      <x:c r="R1440" s="81" t="n">
        <x:v>19.802612910083166</x:v>
      </x:c>
      <x:c r="S1440" s="81" t="n">
        <x:v>0.18259053065751532</x:v>
      </x:c>
      <x:c r="T1440" s="81" t="n">
        <x:v>0.0717045558246191</x:v>
      </x:c>
    </x:row>
    <x:row r="1441">
      <x:c r="A1441" s="59" t="n">
        <x:v>1438</x:v>
      </x:c>
      <x:c r="B1441" s="193" t="n">
        <x:v>0.7691294834017754</x:v>
      </x:c>
      <x:c r="C1441" s="83" t="n">
        <x:v>0.5885962071644828</x:v>
      </x:c>
      <x:c r="D1441" s="83" t="n">
        <x:v>1.0224982213268115</x:v>
      </x:c>
      <x:c r="E1441" s="81" t="n">
        <x:v>-0.13583630649799397</x:v>
      </x:c>
      <x:c r="F1441" s="81" t="n">
        <x:v>0.8183414802886546</x:v>
      </x:c>
      <x:c r="G1441" s="81" t="n">
        <x:v>0.06958224420726011</x:v>
      </x:c>
      <x:c r="H1441" s="59" t="n">
        <x:v>42</x:v>
      </x:c>
      <x:c r="I1441" s="81" t="n">
        <x:v>0.4501531802117825</x:v>
      </x:c>
      <x:c r="J1441" s="79" t="n">
        <x:v>1.3013668877853878e-69</x:v>
      </x:c>
      <x:c r="K1441" s="81" t="n">
        <x:v>-1</x:v>
      </x:c>
      <x:c r="L1441" s="81" t="n">
        <x:v>-1</x:v>
      </x:c>
      <x:c r="M1441" s="80" t="n">
        <x:v>0.000002</x:v>
      </x:c>
      <x:c r="N1441" s="82" t="n">
        <x:v>0.28531481412411686</x:v>
      </x:c>
      <x:c r="O1441" s="82" t="n">
        <x:v>0.22056156207552394</x:v>
      </x:c>
      <x:c r="P1441" s="80" t="n">
        <x:v>216.65793340186428</x:v>
      </x:c>
      <x:c r="Q1441" s="81" t="n">
        <x:v>1.2980604899222698e+52</x:v>
      </x:c>
      <x:c r="R1441" s="81" t="n">
        <x:v>1.9116489990812353</x:v>
      </x:c>
      <x:c r="S1441" s="81" t="n">
        <x:v>1.2781811061814758e-9</x:v>
      </x:c>
      <x:c r="T1441" s="81" t="n">
        <x:v>2.8190447958578747e-65</x:v>
      </x:c>
    </x:row>
    <x:row r="1442">
      <x:c r="A1442" s="59" t="n">
        <x:v>1439</x:v>
      </x:c>
      <x:c r="B1442" s="193" t="n">
        <x:v>0.4854254672303796</x:v>
      </x:c>
      <x:c r="C1442" s="83" t="n">
        <x:v>0.6528438140114543</x:v>
      </x:c>
      <x:c r="D1442" s="83" t="n">
        <x:v>0.25800593945365924</x:v>
      </x:c>
      <x:c r="E1442" s="81" t="n">
        <x:v>0.08341266172213624</x:v>
      </x:c>
      <x:c r="F1442" s="81" t="n">
        <x:v>0.7450391735881567</x:v>
      </x:c>
      <x:c r="G1442" s="81" t="n">
        <x:v>-0.009805338883317055</x:v>
      </x:c>
      <x:c r="H1442" s="59" t="n">
        <x:v>0</x:v>
      </x:c>
      <x:c r="I1442" s="81" t="n">
        <x:v>0</x:v>
      </x:c>
      <x:c r="J1442" s="79" t="n">
        <x:v>0.00018360923393367603</x:v>
      </x:c>
      <x:c r="K1442" s="81" t="n">
        <x:v>-0.7901608755043702</x:v>
      </x:c>
      <x:c r="L1442" s="81" t="n">
        <x:v>-0.8565966849013409</x:v>
      </x:c>
      <x:c r="M1442" s="80" t="n">
        <x:v>4130.882276848871</x:v>
      </x:c>
      <x:c r="N1442" s="82" t="n">
        <x:v>0.21773119802178695</x:v>
      </x:c>
      <x:c r="O1442" s="82" t="n">
        <x:v>0.15323949505834875</x:v>
      </x:c>
      <x:c r="P1442" s="80" t="n">
        <x:v>2560.8757448832716</x:v>
      </x:c>
      <x:c r="Q1442" s="81" t="n">
        <x:v>0.004009920371232375</x:v>
      </x:c>
      <x:c r="R1442" s="81" t="n">
        <x:v>33.23288756592071</x:v>
      </x:c>
      <x:c r="S1442" s="81" t="n">
        <x:v>5.492289374836745</x:v>
      </x:c>
      <x:c r="T1442" s="81" t="n">
        <x:v>3.977376866204236</x:v>
      </x:c>
    </x:row>
    <x:row r="1443">
      <x:c r="A1443" s="59" t="n">
        <x:v>1440</x:v>
      </x:c>
      <x:c r="B1443" s="193" t="n">
        <x:v>0.8954259123653174</x:v>
      </x:c>
      <x:c r="C1443" s="83" t="n">
        <x:v>1.3542573466806698</x:v>
      </x:c>
      <x:c r="D1443" s="83" t="n">
        <x:v>0.7127264726350326</x:v>
      </x:c>
      <x:c r="E1443" s="81" t="n">
        <x:v>-0.08167650393535011</x:v>
      </x:c>
      <x:c r="F1443" s="81" t="n">
        <x:v>0.7997926301672124</x:v>
      </x:c>
      <x:c r="G1443" s="81" t="n">
        <x:v>-0.020393605303635834</x:v>
      </x:c>
      <x:c r="H1443" s="59" t="n">
        <x:v>0</x:v>
      </x:c>
      <x:c r="I1443" s="81" t="n">
        <x:v>0</x:v>
      </x:c>
      <x:c r="J1443" s="79" t="n">
        <x:v>3.8059690847343905e-29</x:v>
      </x:c>
      <x:c r="K1443" s="81" t="n">
        <x:v>-1</x:v>
      </x:c>
      <x:c r="L1443" s="81" t="n">
        <x:v>-1</x:v>
      </x:c>
      <x:c r="M1443" s="80" t="n">
        <x:v>0.000002</x:v>
      </x:c>
      <x:c r="N1443" s="82" t="n">
        <x:v>0.3154009915612755</x:v>
      </x:c>
      <x:c r="O1443" s="82" t="n">
        <x:v>0.238293059939684</x:v>
      </x:c>
      <x:c r="P1443" s="80" t="n">
        <x:v>440.52775451301846</x:v>
      </x:c>
      <x:c r="Q1443" s="81" t="n">
        <x:v>702958684865.8748</x:v>
      </x:c>
      <x:c r="R1443" s="81" t="n">
        <x:v>2.108646883722117</x:v>
      </x:c>
      <x:c r="S1443" s="81" t="n">
        <x:v>2.0639586926931901e-10</x:v>
      </x:c>
      <x:c r="T1443" s="81" t="n">
        <x:v>8.244559964004422e-25</x:v>
      </x:c>
    </x:row>
    <x:row r="1444">
      <x:c r="A1444" s="59" t="n">
        <x:v>1441</x:v>
      </x:c>
      <x:c r="B1444" s="193" t="n">
        <x:v>0.41519525833427906</x:v>
      </x:c>
      <x:c r="C1444" s="83" t="n">
        <x:v>1.0982205973383408</x:v>
      </x:c>
      <x:c r="D1444" s="83" t="n">
        <x:v>0.46304622580593324</x:v>
      </x:c>
      <x:c r="E1444" s="81" t="n">
        <x:v>-0.122476670328864</x:v>
      </x:c>
      <x:c r="F1444" s="81" t="n">
        <x:v>0.8539220609585755</x:v>
      </x:c>
      <x:c r="G1444" s="81" t="n">
        <x:v>-0.008182943778049121</x:v>
      </x:c>
      <x:c r="H1444" s="59" t="n">
        <x:v>0</x:v>
      </x:c>
      <x:c r="I1444" s="81" t="n">
        <x:v>0</x:v>
      </x:c>
      <x:c r="J1444" s="79" t="n">
        <x:v>8.698460671269506e-30</x:v>
      </x:c>
      <x:c r="K1444" s="81" t="n">
        <x:v>-1</x:v>
      </x:c>
      <x:c r="L1444" s="81" t="n">
        <x:v>-1</x:v>
      </x:c>
      <x:c r="M1444" s="80" t="n">
        <x:v>0.000002</x:v>
      </x:c>
      <x:c r="N1444" s="82" t="n">
        <x:v>0.20100104544631914</x:v>
      </x:c>
      <x:c r="O1444" s="82" t="n">
        <x:v>0.16213900060015443</x:v>
      </x:c>
      <x:c r="P1444" s="80" t="n">
        <x:v>267.45042853987684</x:v>
      </x:c>
      <x:c r="Q1444" s="81" t="n">
        <x:v>2128513206606.2327</x:v>
      </x:c>
      <x:c r="R1444" s="81" t="n">
        <x:v>2.478896218044754</x:v>
      </x:c>
      <x:c r="S1444" s="81" t="n">
        <x:v>1.7492885024195832e-10</x:v>
      </x:c>
      <x:c r="T1444" s="81" t="n">
        <x:v>1.8842764878585558e-25</x:v>
      </x:c>
    </x:row>
    <x:row r="1445">
      <x:c r="A1445" s="59" t="n">
        <x:v>1442</x:v>
      </x:c>
      <x:c r="B1445" s="193" t="n">
        <x:v>0.29851042479276657</x:v>
      </x:c>
      <x:c r="C1445" s="83" t="n">
        <x:v>0.6875560265804777</x:v>
      </x:c>
      <x:c r="D1445" s="83" t="n">
        <x:v>0.6496065838288037</x:v>
      </x:c>
      <x:c r="E1445" s="81" t="n">
        <x:v>0.07744043919773995</x:v>
      </x:c>
      <x:c r="F1445" s="81" t="n">
        <x:v>0.49412897800793876</x:v>
      </x:c>
      <x:c r="G1445" s="81" t="n">
        <x:v>0.009660012890210897</x:v>
      </x:c>
      <x:c r="H1445" s="59" t="n">
        <x:v>0</x:v>
      </x:c>
      <x:c r="I1445" s="81" t="n">
        <x:v>0</x:v>
      </x:c>
      <x:c r="J1445" s="79" t="n">
        <x:v>0.006663239312837111</x:v>
      </x:c>
      <x:c r="K1445" s="81" t="n">
        <x:v>6.615130643242413</x:v>
      </x:c>
      <x:c r="L1445" s="81" t="n">
        <x:v>-0.6229294315755971</x:v>
      </x:c>
      <x:c r="M1445" s="80" t="n">
        <x:v>28657.56115911136</x:v>
      </x:c>
      <x:c r="N1445" s="82" t="n">
        <x:v>0.17320453025610175</x:v>
      </x:c>
      <x:c r="O1445" s="82" t="n">
        <x:v>0.08084822928500758</x:v>
      </x:c>
      <x:c r="P1445" s="80" t="n">
        <x:v>34689.02757550177</x:v>
      </x:c>
      <x:c r="Q1445" s="81" t="n">
        <x:v>0.0025525745668557535</x:v>
      </x:c>
      <x:c r="R1445" s="81" t="n">
        <x:v>178.0060602678731</x:v>
      </x:c>
      <x:c r="S1445" s="81" t="n">
        <x:v>185.734458562675</x:v>
      </x:c>
      <x:c r="T1445" s="81" t="n">
        <x:v>144.34031082790835</x:v>
      </x:c>
    </x:row>
    <x:row r="1446">
      <x:c r="A1446" s="59" t="n">
        <x:v>1443</x:v>
      </x:c>
      <x:c r="B1446" s="193" t="n">
        <x:v>0.99169962964952</x:v>
      </x:c>
      <x:c r="C1446" s="83" t="n">
        <x:v>1.4431280889804674</x:v>
      </x:c>
      <x:c r="D1446" s="83" t="n">
        <x:v>1.6340819684339452</x:v>
      </x:c>
      <x:c r="E1446" s="81" t="n">
        <x:v>0.0547258588277035</x:v>
      </x:c>
      <x:c r="F1446" s="81" t="n">
        <x:v>0.2564845192944631</x:v>
      </x:c>
      <x:c r="G1446" s="81" t="n">
        <x:v>0.01835682858416429</x:v>
      </x:c>
      <x:c r="H1446" s="59" t="n">
        <x:v>0</x:v>
      </x:c>
      <x:c r="I1446" s="81" t="n">
        <x:v>0</x:v>
      </x:c>
      <x:c r="J1446" s="79" t="n">
        <x:v>0.05963895522498224</x:v>
      </x:c>
      <x:c r="K1446" s="81" t="n">
        <x:v>67.15880597140828</x:v>
      </x:c>
      <x:c r="L1446" s="81" t="n">
        <x:v>-0.6514754426499395</x:v>
      </x:c>
      <x:c r="M1446" s="80" t="n">
        <x:v>144325.87200084754</x:v>
      </x:c>
      <x:c r="N1446" s="82" t="n">
        <x:v>0.3383351961505715</x:v>
      </x:c>
      <x:c r="O1446" s="82" t="n">
        <x:v>0.0819745946706558</x:v>
      </x:c>
      <x:c r="P1446" s="80" t="n">
        <x:v>380071.6628730329</x:v>
      </x:c>
      <x:c r="Q1446" s="81" t="n">
        <x:v>0.004004893321559236</x:v>
      </x:c>
      <x:c r="R1446" s="81" t="n">
        <x:v>482.080956231029</x:v>
      </x:c>
      <x:c r="S1446" s="81" t="n">
        <x:v>822.2422861228958</x:v>
      </x:c>
      <x:c r="T1446" s="81" t="n">
        <x:v>1291.9099750839287</x:v>
      </x:c>
    </x:row>
    <x:row r="1447">
      <x:c r="A1447" s="59" t="n">
        <x:v>1444</x:v>
      </x:c>
      <x:c r="B1447" s="193" t="n">
        <x:v>0.3149516385048628</x:v>
      </x:c>
      <x:c r="C1447" s="83" t="n">
        <x:v>0.41562100368427013</x:v>
      </x:c>
      <x:c r="D1447" s="83" t="n">
        <x:v>0.5611766664507244</x:v>
      </x:c>
      <x:c r="E1447" s="81" t="n">
        <x:v>-0.06160643625641203</x:v>
      </x:c>
      <x:c r="F1447" s="81" t="n">
        <x:v>0.5113412163686007</x:v>
      </x:c>
      <x:c r="G1447" s="81" t="n">
        <x:v>-0.010119763364840927</x:v>
      </x:c>
      <x:c r="H1447" s="59" t="n">
        <x:v>28</x:v>
      </x:c>
      <x:c r="I1447" s="81" t="n">
        <x:v>0.1361974230967462</x:v>
      </x:c>
      <x:c r="J1447" s="79" t="n">
        <x:v>1.9370804326299316e-23</x:v>
      </x:c>
      <x:c r="K1447" s="81" t="n">
        <x:v>-1</x:v>
      </x:c>
      <x:c r="L1447" s="81" t="n">
        <x:v>-1</x:v>
      </x:c>
      <x:c r="M1447" s="80" t="n">
        <x:v>0.000002</x:v>
      </x:c>
      <x:c r="N1447" s="82" t="n">
        <x:v>0.17712113563508033</x:v>
      </x:c>
      <x:c r="O1447" s="82" t="n">
        <x:v>0.0855563266899221</x:v>
      </x:c>
      <x:c r="P1447" s="80" t="n">
        <x:v>329.02099350891837</x:v>
      </x:c>
      <x:c r="Q1447" s="81" t="n">
        <x:v>1797151.1379993896</x:v>
      </x:c>
      <x:c r="R1447" s="81" t="n">
        <x:v>9.658222048512975</x:v>
      </x:c>
      <x:c r="S1447" s="81" t="n">
        <x:v>3.068402527844605e-10</x:v>
      </x:c>
      <x:c r="T1447" s="81" t="n">
        <x:v>4.1961391241914498e-19</x:v>
      </x:c>
    </x:row>
    <x:row r="1448">
      <x:c r="A1448" s="59" t="n">
        <x:v>1445</x:v>
      </x:c>
      <x:c r="B1448" s="193" t="n">
        <x:v>0.9918471863493323</x:v>
      </x:c>
      <x:c r="C1448" s="83" t="n">
        <x:v>0.553611265050593</x:v>
      </x:c>
      <x:c r="D1448" s="83" t="n">
        <x:v>1.577029657071638</x:v>
      </x:c>
      <x:c r="E1448" s="81" t="n">
        <x:v>0.09792227517160149</x:v>
      </x:c>
      <x:c r="F1448" s="81" t="n">
        <x:v>0.5008958137477748</x:v>
      </x:c>
      <x:c r="G1448" s="81" t="n">
        <x:v>-0.04188801811533242</x:v>
      </x:c>
      <x:c r="H1448" s="59" t="n">
        <x:v>0</x:v>
      </x:c>
      <x:c r="I1448" s="81" t="n">
        <x:v>0</x:v>
      </x:c>
      <x:c r="J1448" s="79" t="n">
        <x:v>0.005245181437835419</x:v>
      </x:c>
      <x:c r="K1448" s="81" t="n">
        <x:v>4.994493071811908</x:v>
      </x:c>
      <x:c r="L1448" s="81" t="n">
        <x:v>-0.8292594077921926</x:v>
      </x:c>
      <x:c r="M1448" s="80" t="n">
        <x:v>28936.8071566904</x:v>
      </x:c>
      <x:c r="N1448" s="82" t="n">
        <x:v>0.3383703469231552</x:v>
      </x:c>
      <x:c r="O1448" s="82" t="n">
        <x:v>0.1601071181744702</x:v>
      </x:c>
      <x:c r="P1448" s="80" t="n">
        <x:v>69230.24134114165</x:v>
      </x:c>
      <x:c r="Q1448" s="81" t="n">
        <x:v>0.004376629981024159</x:v>
      </x:c>
      <x:c r="R1448" s="81" t="n">
        <x:v>624.6942079424113</x:v>
      </x:c>
      <x:c r="S1448" s="81" t="n">
        <x:v>184.18477503934884</x:v>
      </x:c>
      <x:c r="T1448" s="81" t="n">
        <x:v>113.62208132422323</x:v>
      </x:c>
    </x:row>
    <x:row r="1449">
      <x:c r="A1449" s="59" t="n">
        <x:v>1446</x:v>
      </x:c>
      <x:c r="B1449" s="193" t="n">
        <x:v>0.8806473223492504</x:v>
      </x:c>
      <x:c r="C1449" s="83" t="n">
        <x:v>1.2302740528332652</x:v>
      </x:c>
      <x:c r="D1449" s="83" t="n">
        <x:v>0.8962613552049662</x:v>
      </x:c>
      <x:c r="E1449" s="81" t="n">
        <x:v>0.1426282970334722</x:v>
      </x:c>
      <x:c r="F1449" s="81" t="n">
        <x:v>0.28915157029405236</x:v>
      </x:c>
      <x:c r="G1449" s="81" t="n">
        <x:v>-0.007802499433223849</x:v>
      </x:c>
      <x:c r="H1449" s="59" t="n">
        <x:v>0</x:v>
      </x:c>
      <x:c r="I1449" s="81" t="n">
        <x:v>0</x:v>
      </x:c>
      <x:c r="J1449" s="79" t="n">
        <x:v>0.05628338674309588</x:v>
      </x:c>
      <x:c r="K1449" s="81" t="n">
        <x:v>63.32387056353815</x:v>
      </x:c>
      <x:c r="L1449" s="81" t="n">
        <x:v>-0.7365974759743275</x:v>
      </x:c>
      <x:c r="M1449" s="80" t="n">
        <x:v>136474.4092242816</x:v>
      </x:c>
      <x:c r="N1449" s="82" t="n">
        <x:v>0.3118804543208855</x:v>
      </x:c>
      <x:c r="O1449" s="82" t="n">
        <x:v>0.08518922262511315</x:v>
      </x:c>
      <x:c r="P1449" s="80" t="n">
        <x:v>189957.51822001627</x:v>
      </x:c>
      <x:c r="Q1449" s="81" t="n">
        <x:v>0.001708219867166275</x:v>
      </x:c>
      <x:c r="R1449" s="81" t="n">
        <x:v>998.282096492205</x:v>
      </x:c>
      <x:c r="S1449" s="81" t="n">
        <x:v>873.7299082962828</x:v>
      </x:c>
      <x:c r="T1449" s="81" t="n">
        <x:v>1219.2210358248067</x:v>
      </x:c>
    </x:row>
    <x:row r="1450">
      <x:c r="A1450" s="59" t="n">
        <x:v>1447</x:v>
      </x:c>
      <x:c r="B1450" s="193" t="n">
        <x:v>0.6851188482716679</x:v>
      </x:c>
      <x:c r="C1450" s="83" t="n">
        <x:v>1.4103706751371083</x:v>
      </x:c>
      <x:c r="D1450" s="83" t="n">
        <x:v>0.4438439799612718</x:v>
      </x:c>
      <x:c r="E1450" s="81" t="n">
        <x:v>0.02526280073089763</x:v>
      </x:c>
      <x:c r="F1450" s="81" t="n">
        <x:v>0.8521559421205893</x:v>
      </x:c>
      <x:c r="G1450" s="81" t="n">
        <x:v>-0.004974857583904674</x:v>
      </x:c>
      <x:c r="H1450" s="59" t="n">
        <x:v>0</x:v>
      </x:c>
      <x:c r="I1450" s="81" t="n">
        <x:v>0</x:v>
      </x:c>
      <x:c r="J1450" s="79" t="n">
        <x:v>0.00005768669397793953</x:v>
      </x:c>
      <x:c r="K1450" s="81" t="n">
        <x:v>-0.9340723497394977</x:v>
      </x:c>
      <x:c r="L1450" s="81" t="n">
        <x:v>-0.9411245003294635</x:v>
      </x:c>
      <x:c r="M1450" s="80" t="n">
        <x:v>3254.5184261185714</x:v>
      </x:c>
      <x:c r="N1450" s="82" t="n">
        <x:v>0.2653019056367163</x:v>
      </x:c>
      <x:c r="O1450" s="82" t="n">
        <x:v>0.21356515145557078</x:v>
      </x:c>
      <x:c r="P1450" s="80" t="n">
        <x:v>3990.396893580409</x:v>
      </x:c>
      <x:c r="Q1450" s="81" t="n">
        <x:v>0.016189469412712213</x:v>
      </x:c>
      <x:c r="R1450" s="81" t="n">
        <x:v>11.445907159564724</x:v>
      </x:c>
      <x:c r="S1450" s="81" t="n">
        <x:v>1.0123042386824546</x:v>
      </x:c>
      <x:c r="T1450" s="81" t="n">
        <x:v>1.249619734258788</x:v>
      </x:c>
    </x:row>
    <x:row r="1451">
      <x:c r="A1451" s="59" t="n">
        <x:v>1448</x:v>
      </x:c>
      <x:c r="B1451" s="193" t="n">
        <x:v>0.9768353398889305</x:v>
      </x:c>
      <x:c r="C1451" s="83" t="n">
        <x:v>0.5873961055355426</x:v>
      </x:c>
      <x:c r="D1451" s="83" t="n">
        <x:v>0.9071126452382955</x:v>
      </x:c>
      <x:c r="E1451" s="81" t="n">
        <x:v>-0.03308205730931445</x:v>
      </x:c>
      <x:c r="F1451" s="81" t="n">
        <x:v>0.8678752905805596</x:v>
      </x:c>
      <x:c r="G1451" s="81" t="n">
        <x:v>0.011057674111260461</x:v>
      </x:c>
      <x:c r="H1451" s="59" t="n">
        <x:v>0</x:v>
      </x:c>
      <x:c r="I1451" s="81" t="n">
        <x:v>0</x:v>
      </x:c>
      <x:c r="J1451" s="79" t="n">
        <x:v>1.3686956213268438e-23</x:v>
      </x:c>
      <x:c r="K1451" s="81" t="n">
        <x:v>-1</x:v>
      </x:c>
      <x:c r="L1451" s="81" t="n">
        <x:v>-1</x:v>
      </x:c>
      <x:c r="M1451" s="80" t="n">
        <x:v>0.000002</x:v>
      </x:c>
      <x:c r="N1451" s="82" t="n">
        <x:v>0.33479424362416615</x:v>
      </x:c>
      <x:c r="O1451" s="82" t="n">
        <x:v>0.2744771829397916</x:v>
      </x:c>
      <x:c r="P1451" s="80" t="n">
        <x:v>552.8325408192679</x:v>
      </x:c>
      <x:c r="Q1451" s="81" t="n">
        <x:v>4609249.642936425</x:v>
      </x:c>
      <x:c r="R1451" s="81" t="n">
        <x:v>6.325234062221372</x:v>
      </x:c>
      <x:c r="S1451" s="81" t="n">
        <x:v>5.722517959182863e-10</x:v>
      </x:c>
      <x:c r="T1451" s="81" t="n">
        <x:v>2.9648935320468994e-19</x:v>
      </x:c>
    </x:row>
    <x:row r="1452">
      <x:c r="A1452" s="59" t="n">
        <x:v>1449</x:v>
      </x:c>
      <x:c r="B1452" s="193" t="n">
        <x:v>0.4476858856156469</x:v>
      </x:c>
      <x:c r="C1452" s="83" t="n">
        <x:v>1.600091405494143</x:v>
      </x:c>
      <x:c r="D1452" s="83" t="n">
        <x:v>0.7247953810503429</x:v>
      </x:c>
      <x:c r="E1452" s="81" t="n">
        <x:v>0.03433404109273976</x:v>
      </x:c>
      <x:c r="F1452" s="81" t="n">
        <x:v>0.4207434921641834</x:v>
      </x:c>
      <x:c r="G1452" s="81" t="n">
        <x:v>0.024803234468773874</x:v>
      </x:c>
      <x:c r="H1452" s="59" t="n">
        <x:v>0</x:v>
      </x:c>
      <x:c r="I1452" s="81" t="n">
        <x:v>0</x:v>
      </x:c>
      <x:c r="J1452" s="79" t="n">
        <x:v>0.004671378750507114</x:v>
      </x:c>
      <x:c r="K1452" s="81" t="n">
        <x:v>4.338718572008131</x:v>
      </x:c>
      <x:c r="L1452" s="81" t="n">
        <x:v>-0.4334744837728708</x:v>
      </x:c>
      <x:c r="M1452" s="80" t="n">
        <x:v>33772.35308692272</x:v>
      </x:c>
      <x:c r="N1452" s="82" t="n">
        <x:v>0.20874092206400247</x:v>
      </x:c>
      <x:c r="O1452" s="82" t="n">
        <x:v>0.08296519659645543</x:v>
      </x:c>
      <x:c r="P1452" s="80" t="n">
        <x:v>48455.431758547595</x:v>
      </x:c>
      <x:c r="Q1452" s="81" t="n">
        <x:v>0.005559165181516</x:v>
      </x:c>
      <x:c r="R1452" s="81" t="n">
        <x:v>35.34103317864775</x:v>
      </x:c>
      <x:c r="S1452" s="81" t="n">
        <x:v>59.92474999926893</x:v>
      </x:c>
      <x:c r="T1452" s="81" t="n">
        <x:v>101.19226237966069</x:v>
      </x:c>
    </x:row>
    <x:row r="1453">
      <x:c r="A1453" s="59" t="n">
        <x:v>1450</x:v>
      </x:c>
      <x:c r="B1453" s="193" t="n">
        <x:v>0.5307542694732548</x:v>
      </x:c>
      <x:c r="C1453" s="83" t="n">
        <x:v>1.5819017407165177</x:v>
      </x:c>
      <x:c r="D1453" s="83" t="n">
        <x:v>1.2553040502229236</x:v>
      </x:c>
      <x:c r="E1453" s="81" t="n">
        <x:v>-0.053598583595517425</x:v>
      </x:c>
      <x:c r="F1453" s="81" t="n">
        <x:v>0.5087006946792827</x:v>
      </x:c>
      <x:c r="G1453" s="81" t="n">
        <x:v>-0.03900780595211598</x:v>
      </x:c>
      <x:c r="H1453" s="59" t="n">
        <x:v>0</x:v>
      </x:c>
      <x:c r="I1453" s="81" t="n">
        <x:v>0</x:v>
      </x:c>
      <x:c r="J1453" s="79" t="n">
        <x:v>1.2715835841133312e-29</x:v>
      </x:c>
      <x:c r="K1453" s="81" t="n">
        <x:v>-1</x:v>
      </x:c>
      <x:c r="L1453" s="81" t="n">
        <x:v>-1</x:v>
      </x:c>
      <x:c r="M1453" s="80" t="n">
        <x:v>0.000002</x:v>
      </x:c>
      <x:c r="N1453" s="82" t="n">
        <x:v>0.22852936863108192</x:v>
      </x:c>
      <x:c r="O1453" s="82" t="n">
        <x:v>0.10981844561077425</x:v>
      </x:c>
      <x:c r="P1453" s="80" t="n">
        <x:v>794.3462354213146</x:v>
      </x:c>
      <x:c r="Q1453" s="81" t="n">
        <x:v>3122998340400.971</x:v>
      </x:c>
      <x:c r="R1453" s="81" t="n">
        <x:v>2.0895780711551155</x:v>
      </x:c>
      <x:c r="S1453" s="81" t="n">
        <x:v>2.6246513570832703e-10</x:v>
      </x:c>
      <x:c r="T1453" s="81" t="n">
        <x:v>2.754527657756224e-25</x:v>
      </x:c>
    </x:row>
    <x:row r="1454">
      <x:c r="A1454" s="59" t="n">
        <x:v>1451</x:v>
      </x:c>
      <x:c r="B1454" s="193" t="n">
        <x:v>0.6103243660181761</x:v>
      </x:c>
      <x:c r="C1454" s="83" t="n">
        <x:v>2.881594140575378</x:v>
      </x:c>
      <x:c r="D1454" s="83" t="n">
        <x:v>2.0969630294744546</x:v>
      </x:c>
      <x:c r="E1454" s="81" t="n">
        <x:v>-0.04892435040725637</x:v>
      </x:c>
      <x:c r="F1454" s="81" t="n">
        <x:v>0.7525555229978637</x:v>
      </x:c>
      <x:c r="G1454" s="81" t="n">
        <x:v>0.03139177892083548</x:v>
      </x:c>
      <x:c r="H1454" s="59" t="n">
        <x:v>0</x:v>
      </x:c>
      <x:c r="I1454" s="81" t="n">
        <x:v>0</x:v>
      </x:c>
      <x:c r="J1454" s="79" t="n">
        <x:v>6.559092969787684e-49</x:v>
      </x:c>
      <x:c r="K1454" s="81" t="n">
        <x:v>-1</x:v>
      </x:c>
      <x:c r="L1454" s="81" t="n">
        <x:v>-1</x:v>
      </x:c>
      <x:c r="M1454" s="80" t="n">
        <x:v>0.000002</x:v>
      </x:c>
      <x:c r="N1454" s="82" t="n">
        <x:v>0.24748445756739243</x:v>
      </x:c>
      <x:c r="O1454" s="82" t="n">
        <x:v>0.1759370958655887</x:v>
      </x:c>
      <x:c r="P1454" s="80" t="n">
        <x:v>1412.3255008123842</x:v>
      </x:c>
      <x:c r="Q1454" s="81" t="n">
        <x:v>6.6034381408289245e+31</x:v>
      </x:c>
      <x:c r="R1454" s="81" t="n">
        <x:v>1.360483108350225</x:v>
      </x:c>
      <x:c r="S1454" s="81" t="n">
        <x:v>6.89296412914403e-10</x:v>
      </x:c>
      <x:c r="T1454" s="81" t="n">
        <x:v>1.4208427366316427e-44</x:v>
      </x:c>
    </x:row>
    <x:row r="1455">
      <x:c r="A1455" s="59" t="n">
        <x:v>1452</x:v>
      </x:c>
      <x:c r="B1455" s="193" t="n">
        <x:v>0.3371160199865699</x:v>
      </x:c>
      <x:c r="C1455" s="83" t="n">
        <x:v>2.8272415940792737</x:v>
      </x:c>
      <x:c r="D1455" s="83" t="n">
        <x:v>0.22876338013420972</x:v>
      </x:c>
      <x:c r="E1455" s="81" t="n">
        <x:v>-0.10982038822644563</x:v>
      </x:c>
      <x:c r="F1455" s="81" t="n">
        <x:v>0.3420509326271713</x:v>
      </x:c>
      <x:c r="G1455" s="81" t="n">
        <x:v>0.019999880793039687</x:v>
      </x:c>
      <x:c r="H1455" s="59" t="n">
        <x:v>0</x:v>
      </x:c>
      <x:c r="I1455" s="81" t="n">
        <x:v>0</x:v>
      </x:c>
      <x:c r="J1455" s="79" t="n">
        <x:v>2.5816909040247834e-21</x:v>
      </x:c>
      <x:c r="K1455" s="81" t="n">
        <x:v>-1</x:v>
      </x:c>
      <x:c r="L1455" s="81" t="n">
        <x:v>-1</x:v>
      </x:c>
      <x:c r="M1455" s="80" t="n">
        <x:v>0.00003487064788363158</x:v>
      </x:c>
      <x:c r="N1455" s="82" t="n">
        <x:v>0.1824011068861757</x:v>
      </x:c>
      <x:c r="O1455" s="82" t="n">
        <x:v>0.058937158035005176</x:v>
      </x:c>
      <x:c r="P1455" s="80" t="n">
        <x:v>528.8427315160012</x:v>
      </x:c>
      <x:c r="Q1455" s="81" t="n">
        <x:v>137876.51506204982</x:v>
      </x:c>
      <x:c r="R1455" s="81" t="n">
        <x:v>2.2492191447322365</x:v>
      </x:c>
      <x:c r="S1455" s="81" t="n">
        <x:v>1.2351603489263886e-9</x:v>
      </x:c>
      <x:c r="T1455" s="81" t="n">
        <x:v>5.592506137827059e-17</x:v>
      </x:c>
    </x:row>
    <x:row r="1456">
      <x:c r="A1456" s="59" t="n">
        <x:v>1453</x:v>
      </x:c>
      <x:c r="B1456" s="193" t="n">
        <x:v>0.9131928138434888</x:v>
      </x:c>
      <x:c r="C1456" s="83" t="n">
        <x:v>2.0302921927594832</x:v>
      </x:c>
      <x:c r="D1456" s="83" t="n">
        <x:v>0.636682434502222</x:v>
      </x:c>
      <x:c r="E1456" s="81" t="n">
        <x:v>-0.1308877407004754</x:v>
      </x:c>
      <x:c r="F1456" s="81" t="n">
        <x:v>0.5533854890847578</x:v>
      </x:c>
      <x:c r="G1456" s="81" t="n">
        <x:v>0.015900395265239314</x:v>
      </x:c>
      <x:c r="H1456" s="59" t="n">
        <x:v>15</x:v>
      </x:c>
      <x:c r="I1456" s="81" t="n">
        <x:v>0.4693909311667085</x:v>
      </x:c>
      <x:c r="J1456" s="79" t="n">
        <x:v>2.3079230703975267e-40</x:v>
      </x:c>
      <x:c r="K1456" s="81" t="n">
        <x:v>-1</x:v>
      </x:c>
      <x:c r="L1456" s="81" t="n">
        <x:v>-1</x:v>
      </x:c>
      <x:c r="M1456" s="80" t="n">
        <x:v>0.000002</x:v>
      </x:c>
      <x:c r="N1456" s="82" t="n">
        <x:v>0.3196334006227786</x:v>
      </x:c>
      <x:c r="O1456" s="82" t="n">
        <x:v>0.16709015582503334</x:v>
      </x:c>
      <x:c r="P1456" s="80" t="n">
        <x:v>393.95012019647965</x:v>
      </x:c>
      <x:c r="Q1456" s="81" t="n">
        <x:v>7.562998208185134e+22</x:v>
      </x:c>
      <x:c r="R1456" s="81" t="n">
        <x:v>1.1466484689422394</x:v>
      </x:c>
      <x:c r="S1456" s="81" t="n">
        <x:v>2.229964112966678e-10</x:v>
      </x:c>
      <x:c r="T1456" s="81" t="n">
        <x:v>4.999465240671946e-36</x:v>
      </x:c>
    </x:row>
    <x:row r="1457">
      <x:c r="A1457" s="59" t="n">
        <x:v>1454</x:v>
      </x:c>
      <x:c r="B1457" s="193" t="n">
        <x:v>0.7468344455584883</x:v>
      </x:c>
      <x:c r="C1457" s="83" t="n">
        <x:v>0.6788165508617519</x:v>
      </x:c>
      <x:c r="D1457" s="83" t="n">
        <x:v>2.1522422751281423</x:v>
      </x:c>
      <x:c r="E1457" s="81" t="n">
        <x:v>-0.013586683760522928</x:v>
      </x:c>
      <x:c r="F1457" s="81" t="n">
        <x:v>0.6615175676182844</x:v>
      </x:c>
      <x:c r="G1457" s="81" t="n">
        <x:v>0.008906579795303278</x:v>
      </x:c>
      <x:c r="H1457" s="59" t="n">
        <x:v>0</x:v>
      </x:c>
      <x:c r="I1457" s="81" t="n">
        <x:v>0</x:v>
      </x:c>
      <x:c r="J1457" s="79" t="n">
        <x:v>3.840219320636626e-23</x:v>
      </x:c>
      <x:c r="K1457" s="81" t="n">
        <x:v>-1</x:v>
      </x:c>
      <x:c r="L1457" s="81" t="n">
        <x:v>-1</x:v>
      </x:c>
      <x:c r="M1457" s="80" t="n">
        <x:v>0.000002</x:v>
      </x:c>
      <x:c r="N1457" s="82" t="n">
        <x:v>0.28000371807788627</x:v>
      </x:c>
      <x:c r="O1457" s="82" t="n">
        <x:v>0.1749750483203551</x:v>
      </x:c>
      <x:c r="P1457" s="80" t="n">
        <x:v>1560.2870514336112</x:v>
      </x:c>
      <x:c r="Q1457" s="81" t="n">
        <x:v>3924516.8594979956</x:v>
      </x:c>
      <x:c r="R1457" s="81" t="n">
        <x:v>7.64722788233465</x:v>
      </x:c>
      <x:c r="S1457" s="81" t="n">
        <x:v>1.2509654075675632e-9</x:v>
      </x:c>
      <x:c r="T1457" s="81" t="n">
        <x:v>8.318753452545849e-19</x:v>
      </x:c>
    </x:row>
    <x:row r="1458">
      <x:c r="A1458" s="59" t="n">
        <x:v>1455</x:v>
      </x:c>
      <x:c r="B1458" s="193" t="n">
        <x:v>0.3007999431341887</x:v>
      </x:c>
      <x:c r="C1458" s="83" t="n">
        <x:v>0.14996938337163224</x:v>
      </x:c>
      <x:c r="D1458" s="83" t="n">
        <x:v>0.7979900855577109</x:v>
      </x:c>
      <x:c r="E1458" s="81" t="n">
        <x:v>0.11488722166223342</x:v>
      </x:c>
      <x:c r="F1458" s="81" t="n">
        <x:v>0.6764225916936994</x:v>
      </x:c>
      <x:c r="G1458" s="81" t="n">
        <x:v>0.01583636193341577</x:v>
      </x:c>
      <x:c r="H1458" s="59" t="n">
        <x:v>67</x:v>
      </x:c>
      <x:c r="I1458" s="81" t="n">
        <x:v>0.23999638641253115</x:v>
      </x:c>
      <x:c r="J1458" s="79" t="n">
        <x:v>0.007222094754719614</x:v>
      </x:c>
      <x:c r="K1458" s="81" t="n">
        <x:v>7.253822576822417</x:v>
      </x:c>
      <x:c r="L1458" s="81" t="n">
        <x:v>-0.9262414198693473</x:v>
      </x:c>
      <x:c r="M1458" s="80" t="n">
        <x:v>23766.505607668256</x:v>
      </x:c>
      <x:c r="N1458" s="82" t="n">
        <x:v>0.17374993645349748</x:v>
      </x:c>
      <x:c r="O1458" s="82" t="n">
        <x:v>0.11102318966911418</x:v>
      </x:c>
      <x:c r="P1458" s="80" t="n">
        <x:v>32336.96493823011</x:v>
      </x:c>
      <x:c r="Q1458" s="81" t="n">
        <x:v>0.002594719817892699</x:v>
      </x:c>
      <x:c r="R1458" s="81" t="n">
        <x:v>1020.2801114969285</x:v>
      </x:c>
      <x:c r="S1458" s="81" t="n">
        <x:v>903.6912751780172</x:v>
      </x:c>
      <x:c r="T1458" s="81" t="n">
        <x:v>156.4463398030019</x:v>
      </x:c>
    </x:row>
    <x:row r="1459">
      <x:c r="A1459" s="59" t="n">
        <x:v>1456</x:v>
      </x:c>
      <x:c r="B1459" s="193" t="n">
        <x:v>0.9243907725438476</x:v>
      </x:c>
      <x:c r="C1459" s="83" t="n">
        <x:v>0.30757269004523435</x:v>
      </x:c>
      <x:c r="D1459" s="83" t="n">
        <x:v>1.3063671120633853</x:v>
      </x:c>
      <x:c r="E1459" s="81" t="n">
        <x:v>0.13053460154929739</x:v>
      </x:c>
      <x:c r="F1459" s="81" t="n">
        <x:v>0.8466731904773042</x:v>
      </x:c>
      <x:c r="G1459" s="81" t="n">
        <x:v>-0.011695615718165003</x:v>
      </x:c>
      <x:c r="H1459" s="59" t="n">
        <x:v>0</x:v>
      </x:c>
      <x:c r="I1459" s="81" t="n">
        <x:v>0</x:v>
      </x:c>
      <x:c r="J1459" s="79" t="n">
        <x:v>0.003799892483793757</x:v>
      </x:c>
      <x:c r="K1459" s="81" t="n">
        <x:v>3.3427342671928653</x:v>
      </x:c>
      <x:c r="L1459" s="81" t="n">
        <x:v>-0.8497204166650988</x:v>
      </x:c>
      <x:c r="M1459" s="80" t="n">
        <x:v>23024.491220483993</x:v>
      </x:c>
      <x:c r="N1459" s="82" t="n">
        <x:v>0.3223009643469297</x:v>
      </x:c>
      <x:c r="O1459" s="82" t="n">
        <x:v>0.2577794869858326</x:v>
      </x:c>
      <x:c r="P1459" s="80" t="n">
        <x:v>43272.1694994435</x:v>
      </x:c>
      <x:c r="Q1459" s="81" t="n">
        <x:v>0.005616463030434444</x:v>
      </x:c>
      <x:c r="R1459" s="81" t="n">
        <x:v>455.33678981105453</x:v>
      </x:c>
      <x:c r="S1459" s="81" t="n">
        <x:v>238.97128194813564</x:v>
      </x:c>
      <x:c r="T1459" s="81" t="n">
        <x:v>82.31396719711837</x:v>
      </x:c>
    </x:row>
    <x:row r="1460">
      <x:c r="A1460" s="59" t="n">
        <x:v>1457</x:v>
      </x:c>
      <x:c r="B1460" s="193" t="n">
        <x:v>0.2688222883269191</x:v>
      </x:c>
      <x:c r="C1460" s="83" t="n">
        <x:v>0.7214553217980652</x:v>
      </x:c>
      <x:c r="D1460" s="83" t="n">
        <x:v>0.7557417097649848</x:v>
      </x:c>
      <x:c r="E1460" s="81" t="n">
        <x:v>-0.03476564395368464</x:v>
      </x:c>
      <x:c r="F1460" s="81" t="n">
        <x:v>0.340798576339148</x:v>
      </x:c>
      <x:c r="G1460" s="81" t="n">
        <x:v>-0.027552170444421344</x:v>
      </x:c>
      <x:c r="H1460" s="59" t="n">
        <x:v>0</x:v>
      </x:c>
      <x:c r="I1460" s="81" t="n">
        <x:v>0</x:v>
      </x:c>
      <x:c r="J1460" s="79" t="n">
        <x:v>9.77931303039463e-18</x:v>
      </x:c>
      <x:c r="K1460" s="81" t="n">
        <x:v>-0.9999999999999888</x:v>
      </x:c>
      <x:c r="L1460" s="81" t="n">
        <x:v>-0.9999999999999888</x:v>
      </x:c>
      <x:c r="M1460" s="80" t="n">
        <x:v>0.0009539915685378613</x:v>
      </x:c>
      <x:c r="N1460" s="82" t="n">
        <x:v>0.16613225949737825</x:v>
      </x:c>
      <x:c r="O1460" s="82" t="n">
        <x:v>0.05348385287760689</x:v>
      </x:c>
      <x:c r="P1460" s="80" t="n">
        <x:v>716.2234667751667</x:v>
      </x:c>
      <x:c r="Q1460" s="81" t="n">
        <x:v>2932.8660649657977</x:v>
      </x:c>
      <x:c r="R1460" s="81" t="n">
        <x:v>7.98168099046652</x:v>
      </x:c>
      <x:c r="S1460" s="81" t="n">
        <x:v>1.3541356592332225e-7</x:v>
      </x:c>
      <x:c r="T1460" s="81" t="n">
        <x:v>2.1184127062210497e-13</x:v>
      </x:c>
    </x:row>
    <x:row r="1461">
      <x:c r="A1461" s="59" t="n">
        <x:v>1458</x:v>
      </x:c>
      <x:c r="B1461" s="193" t="n">
        <x:v>0.9641033785417676</x:v>
      </x:c>
      <x:c r="C1461" s="83" t="n">
        <x:v>2.068456807188458</x:v>
      </x:c>
      <x:c r="D1461" s="83" t="n">
        <x:v>1.2399316578420714</x:v>
      </x:c>
      <x:c r="E1461" s="81" t="n">
        <x:v>0.010747891078533087</x:v>
      </x:c>
      <x:c r="F1461" s="81" t="n">
        <x:v>0.6805057186284102</x:v>
      </x:c>
      <x:c r="G1461" s="81" t="n">
        <x:v>0.019504791147304593</x:v>
      </x:c>
      <x:c r="H1461" s="59" t="n">
        <x:v>0</x:v>
      </x:c>
      <x:c r="I1461" s="81" t="n">
        <x:v>0</x:v>
      </x:c>
      <x:c r="J1461" s="79" t="n">
        <x:v>0.00023161144435013945</x:v>
      </x:c>
      <x:c r="K1461" s="81" t="n">
        <x:v>-0.7353012064569835</x:v>
      </x:c>
      <x:c r="L1461" s="81" t="n">
        <x:v>-0.8542093909441176</x:v>
      </x:c>
      <x:c r="M1461" s="80" t="n">
        <x:v>8428.437394575472</x:v>
      </x:c>
      <x:c r="N1461" s="82" t="n">
        <x:v>0.33176125170699655</x:v>
      </x:c>
      <x:c r="O1461" s="82" t="n">
        <x:v>0.21326931886526837</x:v>
      </x:c>
      <x:c r="P1461" s="80" t="n">
        <x:v>24593.08888992786</x:v>
      </x:c>
      <x:c r="Q1461" s="81" t="n">
        <x:v>0.03997037150339608</x:v>
      </x:c>
      <x:c r="R1461" s="81" t="n">
        <x:v>11.883959630300923</x:v>
      </x:c>
      <x:c r="S1461" s="81" t="n">
        <x:v>3.9818812565721178</x:v>
      </x:c>
      <x:c r="T1461" s="81" t="n">
        <x:v>5.017209543171209</x:v>
      </x:c>
    </x:row>
    <x:row r="1462">
      <x:c r="A1462" s="59" t="n">
        <x:v>1459</x:v>
      </x:c>
      <x:c r="B1462" s="193" t="n">
        <x:v>0.24394395407289268</x:v>
      </x:c>
      <x:c r="C1462" s="83" t="n">
        <x:v>1.0343754992591592</x:v>
      </x:c>
      <x:c r="D1462" s="83" t="n">
        <x:v>0.6561109427299934</x:v>
      </x:c>
      <x:c r="E1462" s="81" t="n">
        <x:v>0.07612579155407911</x:v>
      </x:c>
      <x:c r="F1462" s="81" t="n">
        <x:v>0.4415093149989844</x:v>
      </x:c>
      <x:c r="G1462" s="81" t="n">
        <x:v>0.02920187218848418</x:v>
      </x:c>
      <x:c r="H1462" s="59" t="n">
        <x:v>62</x:v>
      </x:c>
      <x:c r="I1462" s="81" t="n">
        <x:v>0.43152959896251564</x:v>
      </x:c>
      <x:c r="J1462" s="79" t="n">
        <x:v>0.021941333687918955</x:v>
      </x:c>
      <x:c r="K1462" s="81" t="n">
        <x:v>24.075809929050237</x:v>
      </x:c>
      <x:c r="L1462" s="81" t="n">
        <x:v>-0.9184676420993468</x:v>
      </x:c>
      <x:c r="M1462" s="80" t="n">
        <x:v>63959.28353000337</x:v>
      </x:c>
      <x:c r="N1462" s="82" t="n">
        <x:v>0.16020577380930207</x:v>
      </x:c>
      <x:c r="O1462" s="82" t="n">
        <x:v>0.06681730834494472</x:v>
      </x:c>
      <x:c r="P1462" s="80" t="n">
        <x:v>77065.8248292772</x:v>
      </x:c>
      <x:c r="Q1462" s="81" t="n">
        <x:v>0.0023203446045404015</x:v>
      </x:c>
      <x:c r="R1462" s="81" t="n">
        <x:v>175.4392070811702</x:v>
      </x:c>
      <x:c r="S1462" s="81" t="n">
        <x:v>407.48444678249314</x:v>
      </x:c>
      <x:c r="T1462" s="81" t="n">
        <x:v>475.2971904208267</x:v>
      </x:c>
    </x:row>
    <x:row r="1463">
      <x:c r="A1463" s="59" t="n">
        <x:v>1460</x:v>
      </x:c>
      <x:c r="B1463" s="193" t="n">
        <x:v>0.7959196828305721</x:v>
      </x:c>
      <x:c r="C1463" s="83" t="n">
        <x:v>0.4288130281170602</x:v>
      </x:c>
      <x:c r="D1463" s="83" t="n">
        <x:v>0.43746394535151006</x:v>
      </x:c>
      <x:c r="E1463" s="81" t="n">
        <x:v>0.022657609158668796</x:v>
      </x:c>
      <x:c r="F1463" s="81" t="n">
        <x:v>0.6124699163832702</x:v>
      </x:c>
      <x:c r="G1463" s="81" t="n">
        <x:v>-0.0027084530165865936</x:v>
      </x:c>
      <x:c r="H1463" s="59" t="n">
        <x:v>51</x:v>
      </x:c>
      <x:c r="I1463" s="81" t="n">
        <x:v>0.24605734841898086</x:v>
      </x:c>
      <x:c r="J1463" s="79" t="n">
        <x:v>0.000026447814132054862</x:v>
      </x:c>
      <x:c r="K1463" s="81" t="n">
        <x:v>-0.969773926706223</x:v>
      </x:c>
      <x:c r="L1463" s="81" t="n">
        <x:v>-0.9730877386717242</x:v>
      </x:c>
      <x:c r="M1463" s="80" t="n">
        <x:v>1301.5665354688688</x:v>
      </x:c>
      <x:c r="N1463" s="82" t="n">
        <x:v>0.2916967419442953</x:v>
      </x:c>
      <x:c r="O1463" s="82" t="n">
        <x:v>0.16876690340583023</x:v>
      </x:c>
      <x:c r="P1463" s="80" t="n">
        <x:v>1722.297396007502</x:v>
      </x:c>
      <x:c r="Q1463" s="81" t="n">
        <x:v>0.014028470586022123</x:v>
      </x:c>
      <x:c r="R1463" s="81" t="n">
        <x:v>28.330182592340854</x:v>
      </x:c>
      <x:c r="S1463" s="81" t="n">
        <x:v>1.3176103339708811</x:v>
      </x:c>
      <x:c r="T1463" s="81" t="n">
        <x:v>0.5729173954753422</x:v>
      </x:c>
    </x:row>
    <x:row r="1464">
      <x:c r="A1464" s="59" t="n">
        <x:v>1461</x:v>
      </x:c>
      <x:c r="B1464" s="193" t="n">
        <x:v>0.7592060528695583</x:v>
      </x:c>
      <x:c r="C1464" s="83" t="n">
        <x:v>0.6799467670206369</x:v>
      </x:c>
      <x:c r="D1464" s="83" t="n">
        <x:v>0.5512731695207135</x:v>
      </x:c>
      <x:c r="E1464" s="81" t="n">
        <x:v>0.031100463201057804</x:v>
      </x:c>
      <x:c r="F1464" s="81" t="n">
        <x:v>0.5052145507535897</x:v>
      </x:c>
      <x:c r="G1464" s="81" t="n">
        <x:v>-0.017150283952466813</x:v>
      </x:c>
      <x:c r="H1464" s="59" t="n">
        <x:v>0</x:v>
      </x:c>
      <x:c r="I1464" s="81" t="n">
        <x:v>0</x:v>
      </x:c>
      <x:c r="J1464" s="79" t="n">
        <x:v>0.00012873748302663125</x:v>
      </x:c>
      <x:c r="K1464" s="81" t="n">
        <x:v>-0.8528714479695643</x:v>
      </x:c>
      <x:c r="L1464" s="81" t="n">
        <x:v>-0.8763669926337485</x:v>
      </x:c>
      <x:c r="M1464" s="80" t="n">
        <x:v>3449.253341419365</x:v>
      </x:c>
      <x:c r="N1464" s="82" t="n">
        <x:v>0.28295086690702015</x:v>
      </x:c>
      <x:c r="O1464" s="82" t="n">
        <x:v>0.13503856708920645</x:v>
      </x:c>
      <x:c r="P1464" s="80" t="n">
        <x:v>4615.696380768013</x:v>
      </x:c>
      <x:c r="Q1464" s="81" t="n">
        <x:v>0.008756897346580219</x:v>
      </x:c>
      <x:c r="R1464" s="81" t="n">
        <x:v>30.58203722216825</x:v>
      </x:c>
      <x:c r="S1464" s="81" t="n">
        <x:v>3.92912933963141</x:v>
      </x:c>
      <x:c r="T1464" s="81" t="n">
        <x:v>2.788734944498726</x:v>
      </x:c>
    </x:row>
    <x:row r="1465">
      <x:c r="A1465" s="59" t="n">
        <x:v>1462</x:v>
      </x:c>
      <x:c r="B1465" s="193" t="n">
        <x:v>0.4994709014892578</x:v>
      </x:c>
      <x:c r="C1465" s="83" t="n">
        <x:v>0.4710916927751683</x:v>
      </x:c>
      <x:c r="D1465" s="83" t="n">
        <x:v>0.5611483930985495</x:v>
      </x:c>
      <x:c r="E1465" s="81" t="n">
        <x:v>-0.04096723157780852</x:v>
      </x:c>
      <x:c r="F1465" s="81" t="n">
        <x:v>0.556797569221817</x:v>
      </x:c>
      <x:c r="G1465" s="81" t="n">
        <x:v>0.007516292663783929</x:v>
      </x:c>
      <x:c r="H1465" s="59" t="n">
        <x:v>0</x:v>
      </x:c>
      <x:c r="I1465" s="81" t="n">
        <x:v>0</x:v>
      </x:c>
      <x:c r="J1465" s="79" t="n">
        <x:v>3.6879365041725985e-19</x:v>
      </x:c>
      <x:c r="K1465" s="81" t="n">
        <x:v>-0.9999999999999996</x:v>
      </x:c>
      <x:c r="L1465" s="81" t="n">
        <x:v>-0.9999999999999996</x:v>
      </x:c>
      <x:c r="M1465" s="80" t="n">
        <x:v>0.00015906514370143455</x:v>
      </x:c>
      <x:c r="N1465" s="82" t="n">
        <x:v>0.22107708381414426</x:v>
      </x:c>
      <x:c r="O1465" s="82" t="n">
        <x:v>0.11628186797091314</x:v>
      </x:c>
      <x:c r="P1465" s="80" t="n">
        <x:v>447.0100434974579</x:v>
      </x:c>
      <x:c r="Q1465" s="81" t="n">
        <x:v>11070.229154638195</x:v>
      </x:c>
      <x:c r="R1465" s="81" t="n">
        <x:v>10.872403903311112</x:v>
      </x:c>
      <x:c r="S1465" s="81" t="n">
        <x:v>3.0562254136120386e-8</x:v>
      </x:c>
      <x:c r="T1465" s="81" t="n">
        <x:v>7.988875625408227e-15</x:v>
      </x:c>
    </x:row>
    <x:row r="1466">
      <x:c r="A1466" s="59" t="n">
        <x:v>1463</x:v>
      </x:c>
      <x:c r="B1466" s="193" t="n">
        <x:v>0.20681152306497097</x:v>
      </x:c>
      <x:c r="C1466" s="83" t="n">
        <x:v>0.3322410053383009</x:v>
      </x:c>
      <x:c r="D1466" s="83" t="n">
        <x:v>0.6884581111893698</x:v>
      </x:c>
      <x:c r="E1466" s="81" t="n">
        <x:v>0.13880283015726705</x:v>
      </x:c>
      <x:c r="F1466" s="81" t="n">
        <x:v>0.27679814405273645</x:v>
      </x:c>
      <x:c r="G1466" s="81" t="n">
        <x:v>-0.00036751447280347605</x:v>
      </x:c>
      <x:c r="H1466" s="59" t="n">
        <x:v>50</x:v>
      </x:c>
      <x:c r="I1466" s="81" t="n">
        <x:v>0.15890864916145803</x:v>
      </x:c>
      <x:c r="J1466" s="79" t="n">
        <x:v>0.056822657253858724</x:v>
      </x:c>
      <x:c r="K1466" s="81" t="n">
        <x:v>63.94017971869569</x:v>
      </x:c>
      <x:c r="L1466" s="81" t="n">
        <x:v>-0.9406194543694512</x:v>
      </x:c>
      <x:c r="M1466" s="80" t="n">
        <x:v>75645.68319168547</x:v>
      </x:c>
      <x:c r="N1466" s="82" t="n">
        <x:v>0.1513601325101335</x:v>
      </x:c>
      <x:c r="O1466" s="82" t="n">
        <x:v>0.03957725006342233</x:v>
      </x:c>
      <x:c r="P1466" s="80" t="n">
        <x:v>86154.88685061871</x:v>
      </x:c>
      <x:c r="Q1466" s="81" t="n">
        <x:v>0.0008187695535298307</x:v>
      </x:c>
      <x:c r="R1466" s="81" t="n">
        <x:v>2753.5432827620475</x:v>
      </x:c>
      <x:c r="S1466" s="81" t="n">
        <x:v>3194.5566933241253</x:v>
      </x:c>
      <x:c r="T1466" s="81" t="n">
        <x:v>1230.9028124336512</x:v>
      </x:c>
    </x:row>
    <x:row r="1467">
      <x:c r="A1467" s="59" t="n">
        <x:v>1464</x:v>
      </x:c>
      <x:c r="B1467" s="193" t="n">
        <x:v>0.6589213913306594</x:v>
      </x:c>
      <x:c r="C1467" s="83" t="n">
        <x:v>0.18056195127189179</x:v>
      </x:c>
      <x:c r="D1467" s="83" t="n">
        <x:v>1.138926617220179</x:v>
      </x:c>
      <x:c r="E1467" s="81" t="n">
        <x:v>-0.05013535862763348</x:v>
      </x:c>
      <x:c r="F1467" s="81" t="n">
        <x:v>0.3878494113101624</x:v>
      </x:c>
      <x:c r="G1467" s="81" t="n">
        <x:v>0.05009374651949561</x:v>
      </x:c>
      <x:c r="H1467" s="59" t="n">
        <x:v>0</x:v>
      </x:c>
      <x:c r="I1467" s="81" t="n">
        <x:v>0</x:v>
      </x:c>
      <x:c r="J1467" s="79" t="n">
        <x:v>3.1672984838349955e-36</x:v>
      </x:c>
      <x:c r="K1467" s="81" t="n">
        <x:v>-1</x:v>
      </x:c>
      <x:c r="L1467" s="81" t="n">
        <x:v>-1</x:v>
      </x:c>
      <x:c r="M1467" s="80" t="n">
        <x:v>0.000002</x:v>
      </x:c>
      <x:c r="N1467" s="82" t="n">
        <x:v>0.25906118019105046</x:v>
      </x:c>
      <x:c r="O1467" s="82" t="n">
        <x:v>0.09491534226176729</x:v>
      </x:c>
      <x:c r="P1467" s="80" t="n">
        <x:v>365.2957004230596</x:v>
      </x:c>
      <x:c r="Q1467" s="81" t="n">
        <x:v>13360015560263385000</x:v>
      </x:c>
      <x:c r="R1467" s="81" t="n">
        <x:v>13.732675988608376</x:v>
      </x:c>
      <x:c r="S1467" s="81" t="n">
        <x:v>1.5317431440615967e-9</x:v>
      </x:c>
      <x:c r="T1467" s="81" t="n">
        <x:v>6.86106000666589e-32</x:v>
      </x:c>
    </x:row>
    <x:row r="1468">
      <x:c r="A1468" s="59" t="n">
        <x:v>1465</x:v>
      </x:c>
      <x:c r="B1468" s="193" t="n">
        <x:v>0.865901930257678</x:v>
      </x:c>
      <x:c r="C1468" s="83" t="n">
        <x:v>0.672008821462605</x:v>
      </x:c>
      <x:c r="D1468" s="83" t="n">
        <x:v>0.9255262196955106</x:v>
      </x:c>
      <x:c r="E1468" s="81" t="n">
        <x:v>0.14147477700599018</x:v>
      </x:c>
      <x:c r="F1468" s="81" t="n">
        <x:v>0.3611113162129186</x:v>
      </x:c>
      <x:c r="G1468" s="81" t="n">
        <x:v>0.013785014507663349</x:v>
      </x:c>
      <x:c r="H1468" s="59" t="n">
        <x:v>0</x:v>
      </x:c>
      <x:c r="I1468" s="81" t="n">
        <x:v>0</x:v>
      </x:c>
      <x:c r="J1468" s="79" t="n">
        <x:v>0.036410947049942195</x:v>
      </x:c>
      <x:c r="K1468" s="81" t="n">
        <x:v>40.612510914219655</x:v>
      </x:c>
      <x:c r="L1468" s="81" t="n">
        <x:v>-0.759925973376658</x:v>
      </x:c>
      <x:c r="M1468" s="80" t="n">
        <x:v>87111.29910488406</x:v>
      </x:c>
      <x:c r="N1468" s="82" t="n">
        <x:v>0.30836782544857133</x:v>
      </x:c>
      <x:c r="O1468" s="82" t="n">
        <x:v>0.10519160904799467</x:v>
      </x:c>
      <x:c r="P1468" s="80" t="n">
        <x:v>125677.52792808767</x:v>
      </x:c>
      <x:c r="Q1468" s="81" t="n">
        <x:v>0.0021366580663936133</x:v>
      </x:c>
      <x:c r="R1468" s="81" t="n">
        <x:v>877.9095153138883</x:v>
      </x:c>
      <x:c r="S1468" s="81" t="n">
        <x:v>1033.555111775314</x:v>
      </x:c>
      <x:c r="T1468" s="81" t="n">
        <x:v>788.7406061796428</x:v>
      </x:c>
    </x:row>
    <x:row r="1469">
      <x:c r="A1469" s="59" t="n">
        <x:v>1466</x:v>
      </x:c>
      <x:c r="B1469" s="193" t="n">
        <x:v>0.9161712680011989</x:v>
      </x:c>
      <x:c r="C1469" s="83" t="n">
        <x:v>0.21269079064848137</x:v>
      </x:c>
      <x:c r="D1469" s="83" t="n">
        <x:v>0.821216697953336</x:v>
      </x:c>
      <x:c r="E1469" s="81" t="n">
        <x:v>-0.020506981148289853</x:v>
      </x:c>
      <x:c r="F1469" s="81" t="n">
        <x:v>0.7924833797500469</x:v>
      </x:c>
      <x:c r="G1469" s="81" t="n">
        <x:v>0.013312892770979712</x:v>
      </x:c>
      <x:c r="H1469" s="59" t="n">
        <x:v>7</x:v>
      </x:c>
      <x:c r="I1469" s="81" t="n">
        <x:v>0.22164548924192787</x:v>
      </x:c>
      <x:c r="J1469" s="79" t="n">
        <x:v>1.8009757697400355e-16</x:v>
      </x:c>
      <x:c r="K1469" s="81" t="n">
        <x:v>-0.9999999999997942</x:v>
      </x:c>
      <x:c r="L1469" s="81" t="n">
        <x:v>-0.9999999999997942</x:v>
      </x:c>
      <x:c r="M1469" s="80" t="n">
        <x:v>0.002871616680145538</x:v>
      </x:c>
      <x:c r="N1469" s="82" t="n">
        <x:v>0.3203429242491603</x:v>
      </x:c>
      <x:c r="O1469" s="82" t="n">
        <x:v>0.23981494279779733</x:v>
      </x:c>
      <x:c r="P1469" s="80" t="n">
        <x:v>454.3044170984241</x:v>
      </x:c>
      <x:c r="Q1469" s="81" t="n">
        <x:v>801.4656080151059</x:v>
      </x:c>
      <x:c r="R1469" s="81" t="n">
        <x:v>17.365868683087015</x:v>
      </x:c>
      <x:c r="S1469" s="81" t="n">
        <x:v>0.000001039632228665086</x:v>
      </x:c>
      <x:c r="T1469" s="81" t="n">
        <x:v>3.901306709740909e-12</x:v>
      </x:c>
    </x:row>
    <x:row r="1470">
      <x:c r="A1470" s="59" t="n">
        <x:v>1467</x:v>
      </x:c>
      <x:c r="B1470" s="193" t="n">
        <x:v>0.3464622875675559</x:v>
      </x:c>
      <x:c r="C1470" s="83" t="n">
        <x:v>0.3489359446155349</x:v>
      </x:c>
      <x:c r="D1470" s="83" t="n">
        <x:v>0.515721067689662</x:v>
      </x:c>
      <x:c r="E1470" s="81" t="n">
        <x:v>0.03478486028599277</x:v>
      </x:c>
      <x:c r="F1470" s="81" t="n">
        <x:v>0.7720024865469896</x:v>
      </x:c>
      <x:c r="G1470" s="81" t="n">
        <x:v>-0.03343725567381241</x:v>
      </x:c>
      <x:c r="H1470" s="59" t="n">
        <x:v>0</x:v>
      </x:c>
      <x:c r="I1470" s="81" t="n">
        <x:v>0</x:v>
      </x:c>
      <x:c r="J1470" s="79" t="n">
        <x:v>0.00006384807361332156</x:v>
      </x:c>
      <x:c r="K1470" s="81" t="n">
        <x:v>-0.9270307730133468</x:v>
      </x:c>
      <x:c r="L1470" s="81" t="n">
        <x:v>-0.9323446820858445</x:v>
      </x:c>
      <x:c r="M1470" s="80" t="n">
        <x:v>1946.227674325393</x:v>
      </x:c>
      <x:c r="N1470" s="82" t="n">
        <x:v>0.1846275630664839</x:v>
      </x:c>
      <x:c r="O1470" s="82" t="n">
        <x:v>0.13464374367873075</x:v>
      </x:c>
      <x:c r="P1470" s="80" t="n">
        <x:v>2619.2371591049637</x:v>
      </x:c>
      <x:c r="Q1470" s="81" t="n">
        <x:v>0.007660112821415206</x:v>
      </x:c>
      <x:c r="R1470" s="81" t="n">
        <x:v>51.36630476100284</x:v>
      </x:c>
      <x:c r="S1470" s="81" t="n">
        <x:v>3.620471962494925</x:v>
      </x:c>
      <x:c r="T1470" s="81" t="n">
        <x:v>1.383088668803347</x:v>
      </x:c>
    </x:row>
    <x:row r="1471">
      <x:c r="A1471" s="59" t="n">
        <x:v>1468</x:v>
      </x:c>
      <x:c r="B1471" s="193" t="n">
        <x:v>0.3158262826502323</x:v>
      </x:c>
      <x:c r="C1471" s="83" t="n">
        <x:v>0.9873295531465422</x:v>
      </x:c>
      <x:c r="D1471" s="83" t="n">
        <x:v>0.3463543759317404</x:v>
      </x:c>
      <x:c r="E1471" s="81" t="n">
        <x:v>0.13758924263725755</x:v>
      </x:c>
      <x:c r="F1471" s="81" t="n">
        <x:v>0.8964289337978698</x:v>
      </x:c>
      <x:c r="G1471" s="81" t="n">
        <x:v>-0.016056084807314384</x:v>
      </x:c>
      <x:c r="H1471" s="59" t="n">
        <x:v>0</x:v>
      </x:c>
      <x:c r="I1471" s="81" t="n">
        <x:v>0</x:v>
      </x:c>
      <x:c r="J1471" s="79" t="n">
        <x:v>0.0012931094552109345</x:v>
      </x:c>
      <x:c r="K1471" s="81" t="n">
        <x:v>0.47783937738392535</x:v>
      </x:c>
      <x:c r="L1471" s="81" t="n">
        <x:v>-0.7354752355612226</x:v>
      </x:c>
      <x:c r="M1471" s="80" t="n">
        <x:v>14362.265044986092</x:v>
      </x:c>
      <x:c r="N1471" s="82" t="n">
        <x:v>0.17732949227008507</x:v>
      </x:c>
      <x:c r="O1471" s="82" t="n">
        <x:v>0.15016467418761523</x:v>
      </x:c>
      <x:c r="P1471" s="80" t="n">
        <x:v>10271.053916080558</x:v>
      </x:c>
      <x:c r="Q1471" s="81" t="n">
        <x:v>0.0026739706459235303</x:v>
      </x:c>
      <x:c r="R1471" s="81" t="n">
        <x:v>67.77535749041203</x:v>
      </x:c>
      <x:c r="S1471" s="81" t="n">
        <x:v>25.331718495244715</x:v>
      </x:c>
      <x:c r="T1471" s="81" t="n">
        <x:v>28.01157394123093</x:v>
      </x:c>
    </x:row>
    <x:row r="1472">
      <x:c r="A1472" s="59" t="n">
        <x:v>1469</x:v>
      </x:c>
      <x:c r="B1472" s="193" t="n">
        <x:v>0.36459225527942185</x:v>
      </x:c>
      <x:c r="C1472" s="83" t="n">
        <x:v>0.799089054532129</x:v>
      </x:c>
      <x:c r="D1472" s="83" t="n">
        <x:v>0.5211834312890904</x:v>
      </x:c>
      <x:c r="E1472" s="81" t="n">
        <x:v>0.0007213111283865349</x:v>
      </x:c>
      <x:c r="F1472" s="81" t="n">
        <x:v>0.7526055105729029</x:v>
      </x:c>
      <x:c r="G1472" s="81" t="n">
        <x:v>0.005433319564907132</x:v>
      </x:c>
      <x:c r="H1472" s="59" t="n">
        <x:v>0</x:v>
      </x:c>
      <x:c r="I1472" s="81" t="n">
        <x:v>0</x:v>
      </x:c>
      <x:c r="J1472" s="79" t="n">
        <x:v>0.000001618284692792283</x:v>
      </x:c>
      <x:c r="K1472" s="81" t="n">
        <x:v>-0.998150531779666</x:v>
      </x:c>
      <x:c r="L1472" s="81" t="n">
        <x:v>-0.998150531779666</x:v>
      </x:c>
      <x:c r="M1472" s="80" t="n">
        <x:v>391.165037814702</x:v>
      </x:c>
      <x:c r="N1472" s="82" t="n">
        <x:v>0.18894646131234483</x:v>
      </x:c>
      <x:c r="O1472" s="82" t="n">
        <x:v>0.1343312630985321</x:v>
      </x:c>
      <x:c r="P1472" s="80" t="n">
        <x:v>1739.9205402764178</x:v>
      </x:c>
      <x:c r="Q1472" s="81" t="n">
        <x:v>0.05146674473489443</x:v>
      </x:c>
      <x:c r="R1472" s="81" t="n">
        <x:v>14.271293859810434</x:v>
      </x:c>
      <x:c r="S1472" s="81" t="n">
        <x:v>0.09087349368218108</x:v>
      </x:c>
      <x:c r="T1472" s="81" t="n">
        <x:v>0.035055579516057894</x:v>
      </x:c>
    </x:row>
    <x:row r="1473">
      <x:c r="A1473" s="59" t="n">
        <x:v>1470</x:v>
      </x:c>
      <x:c r="B1473" s="193" t="n">
        <x:v>0.5264822321012617</x:v>
      </x:c>
      <x:c r="C1473" s="83" t="n">
        <x:v>0.11189321021331626</x:v>
      </x:c>
      <x:c r="D1473" s="83" t="n">
        <x:v>1.1896219164292714</x:v>
      </x:c>
      <x:c r="E1473" s="81" t="n">
        <x:v>-0.19712817004585298</x:v>
      </x:c>
      <x:c r="F1473" s="81" t="n">
        <x:v>0.8939455301850103</x:v>
      </x:c>
      <x:c r="G1473" s="81" t="n">
        <x:v>-0.05</x:v>
      </x:c>
      <x:c r="H1473" s="59" t="n">
        <x:v>0</x:v>
      </x:c>
      <x:c r="I1473" s="81" t="n">
        <x:v>0</x:v>
      </x:c>
      <x:c r="J1473" s="79" t="n">
        <x:v>2.4160421085374883e-60</x:v>
      </x:c>
      <x:c r="K1473" s="81" t="n">
        <x:v>-1</x:v>
      </x:c>
      <x:c r="L1473" s="81" t="n">
        <x:v>-1</x:v>
      </x:c>
      <x:c r="M1473" s="80" t="n">
        <x:v>0.000002</x:v>
      </x:c>
      <x:c r="N1473" s="82" t="n">
        <x:v>0.22751168922837253</x:v>
      </x:c>
      <x:c r="O1473" s="82" t="n">
        <x:v>0.19212581113438704</x:v>
      </x:c>
      <x:c r="P1473" s="80" t="n">
        <x:v>121.82183939398192</x:v>
      </x:c>
      <x:c r="Q1473" s="81" t="n">
        <x:v>5.077877994969866e+42</x:v>
      </x:c>
      <x:c r="R1473" s="81" t="n">
        <x:v>4.941724633632059</x:v>
      </x:c>
      <x:c r="S1473" s="81" t="n">
        <x:v>5.021350251897432e-10</x:v>
      </x:c>
      <x:c r="T1473" s="81" t="n">
        <x:v>5.233674682038863e-56</x:v>
      </x:c>
    </x:row>
    <x:row r="1474">
      <x:c r="A1474" s="59" t="n">
        <x:v>1471</x:v>
      </x:c>
      <x:c r="B1474" s="193" t="n">
        <x:v>0.9622049616649748</x:v>
      </x:c>
      <x:c r="C1474" s="83" t="n">
        <x:v>0.20274190764172895</x:v>
      </x:c>
      <x:c r="D1474" s="83" t="n">
        <x:v>0.2729205670585573</x:v>
      </x:c>
      <x:c r="E1474" s="81" t="n">
        <x:v>-0.2</x:v>
      </x:c>
      <x:c r="F1474" s="81" t="n">
        <x:v>0.5770894829067401</x:v>
      </x:c>
      <x:c r="G1474" s="81" t="n">
        <x:v>-0.015037276400663165</x:v>
      </x:c>
      <x:c r="H1474" s="59" t="n">
        <x:v>0</x:v>
      </x:c>
      <x:c r="I1474" s="81" t="n">
        <x:v>0</x:v>
      </x:c>
      <x:c r="J1474" s="79" t="n">
        <x:v>1.898265257740463e-28</x:v>
      </x:c>
      <x:c r="K1474" s="81" t="n">
        <x:v>-1</x:v>
      </x:c>
      <x:c r="L1474" s="81" t="n">
        <x:v>-1</x:v>
      </x:c>
      <x:c r="M1474" s="80" t="n">
        <x:v>0.000002</x:v>
      </x:c>
      <x:c r="N1474" s="82" t="n">
        <x:v>0.33130901321162814</x:v>
      </x:c>
      <x:c r="O1474" s="82" t="n">
        <x:v>0.18061231217546533</x:v>
      </x:c>
      <x:c r="P1474" s="80" t="n">
        <x:v>88.88755410545383</x:v>
      </x:c>
      <x:c r="Q1474" s="81" t="n">
        <x:v>63854153531.94589</x:v>
      </x:c>
      <x:c r="R1474" s="81" t="n">
        <x:v>11.143704356003942</x:v>
      </x:c>
      <x:c r="S1474" s="81" t="n">
        <x:v>1.6531366844621795e-10</x:v>
      </x:c>
      <x:c r="T1474" s="81" t="n">
        <x:v>4.112056981177437e-24</x:v>
      </x:c>
    </x:row>
    <x:row r="1475">
      <x:c r="A1475" s="59" t="n">
        <x:v>1472</x:v>
      </x:c>
      <x:c r="B1475" s="193" t="n">
        <x:v>0.9616395069286228</x:v>
      </x:c>
      <x:c r="C1475" s="83" t="n">
        <x:v>1.5559488505499806</x:v>
      </x:c>
      <x:c r="D1475" s="83" t="n">
        <x:v>0.3827205790911082</x:v>
      </x:c>
      <x:c r="E1475" s="81" t="n">
        <x:v>0.01757812889412203</x:v>
      </x:c>
      <x:c r="F1475" s="81" t="n">
        <x:v>0.5428826529649087</x:v>
      </x:c>
      <x:c r="G1475" s="81" t="n">
        <x:v>0.0337554816360299</x:v>
      </x:c>
      <x:c r="H1475" s="59" t="n">
        <x:v>53</x:v>
      </x:c>
      <x:c r="I1475" s="81" t="n">
        <x:v>0.40335057871416213</x:v>
      </x:c>
      <x:c r="J1475" s="79" t="n">
        <x:v>0.00007984445107630054</x:v>
      </x:c>
      <x:c r="K1475" s="81" t="n">
        <x:v>-0.9087491987699422</x:v>
      </x:c>
      <x:c r="L1475" s="81" t="n">
        <x:v>-0.9428502558192575</x:v>
      </x:c>
      <x:c r="M1475" s="80" t="n">
        <x:v>4014.293698245039</x:v>
      </x:c>
      <x:c r="N1475" s="82" t="n">
        <x:v>0.3311743112911525</x:v>
      </x:c>
      <x:c r="O1475" s="82" t="n">
        <x:v>0.16983748431327522</x:v>
      </x:c>
      <x:c r="P1475" s="80" t="n">
        <x:v>4458.035006398312</x:v>
      </x:c>
      <x:c r="Q1475" s="81" t="n">
        <x:v>0.01850467813364753</x:v>
      </x:c>
      <x:c r="R1475" s="81" t="n">
        <x:v>10.192614806338282</x:v>
      </x:c>
      <x:c r="S1475" s="81" t="n">
        <x:v>1.3525594555195175</x:v>
      </x:c>
      <x:c r="T1475" s="81" t="n">
        <x:v>1.7296051282495304</x:v>
      </x:c>
    </x:row>
    <x:row r="1476">
      <x:c r="A1476" s="59" t="n">
        <x:v>1473</x:v>
      </x:c>
      <x:c r="B1476" s="193" t="n">
        <x:v>0.873719740100205</x:v>
      </x:c>
      <x:c r="C1476" s="83" t="n">
        <x:v>1.8735006874949989</x:v>
      </x:c>
      <x:c r="D1476" s="83" t="n">
        <x:v>0.5320570267909652</x:v>
      </x:c>
      <x:c r="E1476" s="81" t="n">
        <x:v>0.14700502714867658</x:v>
      </x:c>
      <x:c r="F1476" s="81" t="n">
        <x:v>0.6511308750486933</x:v>
      </x:c>
      <x:c r="G1476" s="81" t="n">
        <x:v>-0.012914368547948338</x:v>
      </x:c>
      <x:c r="H1476" s="59" t="n">
        <x:v>12</x:v>
      </x:c>
      <x:c r="I1476" s="81" t="n">
        <x:v>0.31957943663001065</x:v>
      </x:c>
      <x:c r="J1476" s="79" t="n">
        <x:v>0.005381703815730643</x:v>
      </x:c>
      <x:c r="K1476" s="81" t="n">
        <x:v>5.1505186465493065</x:v>
      </x:c>
      <x:c r="L1476" s="81" t="n">
        <x:v>-0.6776839204707175</x:v>
      </x:c>
      <x:c r="M1476" s="80" t="n">
        <x:v>46811.73140540054</x:v>
      </x:c>
      <x:c r="N1476" s="82" t="n">
        <x:v>0.31023017433699573</x:v>
      </x:c>
      <x:c r="O1476" s="82" t="n">
        <x:v>0.19081972594418956</x:v>
      </x:c>
      <x:c r="P1476" s="80" t="n">
        <x:v>44719.6396006697</x:v>
      </x:c>
      <x:c r="Q1476" s="81" t="n">
        <x:v>0.0034220361966458813</x:v>
      </x:c>
      <x:c r="R1476" s="81" t="n">
        <x:v>69.8258494822998</x:v>
      </x:c>
      <x:c r="S1476" s="81" t="n">
        <x:v>56.98924857721247</x:v>
      </x:c>
      <x:c r="T1476" s="81" t="n">
        <x:v>116.57945408770746</x:v>
      </x:c>
    </x:row>
    <x:row r="1477">
      <x:c r="A1477" s="59" t="n">
        <x:v>1474</x:v>
      </x:c>
      <x:c r="B1477" s="193" t="n">
        <x:v>0.9141878372058272</x:v>
      </x:c>
      <x:c r="C1477" s="83" t="n">
        <x:v>0.10700291639323312</x:v>
      </x:c>
      <x:c r="D1477" s="83" t="n">
        <x:v>1.1177110769816967</x:v>
      </x:c>
      <x:c r="E1477" s="81" t="n">
        <x:v>-0.06017350241485619</x:v>
      </x:c>
      <x:c r="F1477" s="81" t="n">
        <x:v>0.8143010678351857</x:v>
      </x:c>
      <x:c r="G1477" s="81" t="n">
        <x:v>-0.009547333580490647</x:v>
      </x:c>
      <x:c r="H1477" s="59" t="n">
        <x:v>0</x:v>
      </x:c>
      <x:c r="I1477" s="81" t="n">
        <x:v>0</x:v>
      </x:c>
      <x:c r="J1477" s="79" t="n">
        <x:v>2.682088171099686e-32</x:v>
      </x:c>
      <x:c r="K1477" s="81" t="n">
        <x:v>-1</x:v>
      </x:c>
      <x:c r="L1477" s="81" t="n">
        <x:v>-1</x:v>
      </x:c>
      <x:c r="M1477" s="80" t="n">
        <x:v>0.000002</x:v>
      </x:c>
      <x:c r="N1477" s="82" t="n">
        <x:v>0.31987043384437575</x:v>
      </x:c>
      <x:c r="O1477" s="82" t="n">
        <x:v>0.24605378241587078</x:v>
      </x:c>
      <x:c r="P1477" s="80" t="n">
        <x:v>265.9666735406277</x:v>
      </x:c>
      <x:c r="Q1477" s="81" t="n">
        <x:v>1327068697463525.8</x:v>
      </x:c>
      <x:c r="R1477" s="81" t="n">
        <x:v>16.570588885295837</x:v>
      </x:c>
      <x:c r="S1477" s="81" t="n">
        <x:v>7.870371328515027e-10</x:v>
      </x:c>
      <x:c r="T1477" s="81" t="n">
        <x:v>5.809988537235187e-28</x:v>
      </x:c>
    </x:row>
    <x:row r="1478">
      <x:c r="A1478" s="59" t="n">
        <x:v>1475</x:v>
      </x:c>
      <x:c r="B1478" s="193" t="n">
        <x:v>0.7471707249060273</x:v>
      </x:c>
      <x:c r="C1478" s="83" t="n">
        <x:v>0.8011206084022555</x:v>
      </x:c>
      <x:c r="D1478" s="83" t="n">
        <x:v>1.1605468239439112</x:v>
      </x:c>
      <x:c r="E1478" s="81" t="n">
        <x:v>0.13633306254213776</x:v>
      </x:c>
      <x:c r="F1478" s="81" t="n">
        <x:v>0.777369826217182</x:v>
      </x:c>
      <x:c r="G1478" s="81" t="n">
        <x:v>-0.01658537369801442</x:v>
      </x:c>
      <x:c r="H1478" s="59" t="n">
        <x:v>0</x:v>
      </x:c>
      <x:c r="I1478" s="81" t="n">
        <x:v>0</x:v>
      </x:c>
      <x:c r="J1478" s="79" t="n">
        <x:v>0.008431266746351177</x:v>
      </x:c>
      <x:c r="K1478" s="81" t="n">
        <x:v>8.635733424401346</x:v>
      </x:c>
      <x:c r="L1478" s="81" t="n">
        <x:v>-0.8234919655162791</x:v>
      </x:c>
      <x:c r="M1478" s="80" t="n">
        <x:v>45308.41891175095</x:v>
      </x:c>
      <x:c r="N1478" s="82" t="n">
        <x:v>0.28008382612370775</x:v>
      </x:c>
      <x:c r="O1478" s="82" t="n">
        <x:v>0.205677436980094</x:v>
      </x:c>
      <x:c r="P1478" s="80" t="n">
        <x:v>77719.12171685083</x:v>
      </x:c>
      <x:c r="Q1478" s="81" t="n">
        <x:v>0.004251745494383977</x:v>
      </x:c>
      <x:c r="R1478" s="81" t="n">
        <x:v>388.362079471277</x:v>
      </x:c>
      <x:c r="S1478" s="81" t="n">
        <x:v>206.94052691616514</x:v>
      </x:c>
      <x:c r="T1478" s="81" t="n">
        <x:v>182.63964502922337</x:v>
      </x:c>
    </x:row>
    <x:row r="1479">
      <x:c r="A1479" s="59" t="n">
        <x:v>1476</x:v>
      </x:c>
      <x:c r="B1479" s="193" t="n">
        <x:v>0.563800192065537</x:v>
      </x:c>
      <x:c r="C1479" s="83" t="n">
        <x:v>0.3282542556528903</x:v>
      </x:c>
      <x:c r="D1479" s="83" t="n">
        <x:v>0.6494654380924385</x:v>
      </x:c>
      <x:c r="E1479" s="81" t="n">
        <x:v>0.06882235337009533</x:v>
      </x:c>
      <x:c r="F1479" s="81" t="n">
        <x:v>0.28445672831730917</x:v>
      </x:c>
      <x:c r="G1479" s="81" t="n">
        <x:v>-0.05</x:v>
      </x:c>
      <x:c r="H1479" s="59" t="n">
        <x:v>28</x:v>
      </x:c>
      <x:c r="I1479" s="81" t="n">
        <x:v>0.25045284470543266</x:v>
      </x:c>
      <x:c r="J1479" s="79" t="n">
        <x:v>0.0012384837661824652</x:v>
      </x:c>
      <x:c r="K1479" s="81" t="n">
        <x:v>0.4154100184942462</x:v>
      </x:c>
      <x:c r="L1479" s="81" t="n">
        <x:v>-0.7987164057895341</x:v>
      </x:c>
      <x:c r="M1479" s="80" t="n">
        <x:v>9038.355938396153</x:v>
      </x:c>
      <x:c r="N1479" s="82" t="n">
        <x:v>0.23640152700361225</x:v>
      </x:c>
      <x:c r="O1479" s="82" t="n">
        <x:v>0.06352394046002958</x:v>
      </x:c>
      <x:c r="P1479" s="80" t="n">
        <x:v>11517.326191640226</x:v>
      </x:c>
      <x:c r="Q1479" s="81" t="n">
        <x:v>0.002174122644279221</x:v>
      </x:c>
      <x:c r="R1479" s="81" t="n">
        <x:v>252.41131142890558</x:v>
      </x:c>
      <x:c r="S1479" s="81" t="n">
        <x:v>71.16134639460677</x:v>
      </x:c>
      <x:c r="T1479" s="81" t="n">
        <x:v>26.82826225702238</x:v>
      </x:c>
    </x:row>
    <x:row r="1480">
      <x:c r="A1480" s="59" t="n">
        <x:v>1477</x:v>
      </x:c>
      <x:c r="B1480" s="193" t="n">
        <x:v>0.9980080297216773</x:v>
      </x:c>
      <x:c r="C1480" s="83" t="n">
        <x:v>0.21705454264523977</x:v>
      </x:c>
      <x:c r="D1480" s="83" t="n">
        <x:v>1.3474446869182688</x:v>
      </x:c>
      <x:c r="E1480" s="81" t="n">
        <x:v>-0.03249860890599888</x:v>
      </x:c>
      <x:c r="F1480" s="81" t="n">
        <x:v>0.584670184319839</x:v>
      </x:c>
      <x:c r="G1480" s="81" t="n">
        <x:v>-0.012538207696032838</x:v>
      </x:c>
      <x:c r="H1480" s="59" t="n">
        <x:v>0</x:v>
      </x:c>
      <x:c r="I1480" s="81" t="n">
        <x:v>0</x:v>
      </x:c>
      <x:c r="J1480" s="79" t="n">
        <x:v>7.873682351301115e-26</x:v>
      </x:c>
      <x:c r="K1480" s="81" t="n">
        <x:v>-1</x:v>
      </x:c>
      <x:c r="L1480" s="81" t="n">
        <x:v>-1</x:v>
      </x:c>
      <x:c r="M1480" s="80" t="n">
        <x:v>0.000002</x:v>
      </x:c>
      <x:c r="N1480" s="82" t="n">
        <x:v>0.339837975330261</x:v>
      </x:c>
      <x:c r="O1480" s="82" t="n">
        <x:v>0.18769547242978926</x:v>
      </x:c>
      <x:c r="P1480" s="80" t="n">
        <x:v>500.4737354795269</x:v>
      </x:c>
      <x:c r="Q1480" s="81" t="n">
        <x:v>815157661.4351404</x:v>
      </x:c>
      <x:c r="R1480" s="81" t="n">
        <x:v>13.053118551538663</x:v>
      </x:c>
      <x:c r="S1480" s="81" t="n">
        <x:v>8.318314457380238e-10</x:v>
      </x:c>
      <x:c r="T1480" s="81" t="n">
        <x:v>1.7056114970349436e-21</x:v>
      </x:c>
    </x:row>
    <x:row r="1481">
      <x:c r="A1481" s="59" t="n">
        <x:v>1478</x:v>
      </x:c>
      <x:c r="B1481" s="193" t="n">
        <x:v>0.7848669707775116</x:v>
      </x:c>
      <x:c r="C1481" s="83" t="n">
        <x:v>0.19855908703688718</x:v>
      </x:c>
      <x:c r="D1481" s="83" t="n">
        <x:v>0.7262477049918483</x:v>
      </x:c>
      <x:c r="E1481" s="81" t="n">
        <x:v>0.09694293687525059</x:v>
      </x:c>
      <x:c r="F1481" s="81" t="n">
        <x:v>0.6699644293054008</x:v>
      </x:c>
      <x:c r="G1481" s="81" t="n">
        <x:v>-0.01260541624001916</x:v>
      </x:c>
      <x:c r="H1481" s="59" t="n">
        <x:v>56</x:v>
      </x:c>
      <x:c r="I1481" s="81" t="n">
        <x:v>0.27425812287256124</x:v>
      </x:c>
      <x:c r="J1481" s="79" t="n">
        <x:v>0.0008151419614799292</x:v>
      </x:c>
      <x:c r="K1481" s="81" t="n">
        <x:v>-0.0684091868800808</x:v>
      </x:c>
      <x:c r="L1481" s="81" t="n">
        <x:v>-0.9013973027116331</x:v>
      </x:c>
      <x:c r="M1481" s="80" t="n">
        <x:v>7439.623621239853</x:v>
      </x:c>
      <x:c r="N1481" s="82" t="n">
        <x:v>0.28906377869490524</x:v>
      </x:c>
      <x:c r="O1481" s="82" t="n">
        <x:v>0.18294323839610555</x:v>
      </x:c>
      <x:c r="P1481" s="80" t="n">
        <x:v>10074.164640562796</x:v>
      </x:c>
      <x:c r="Q1481" s="81" t="n">
        <x:v>0.004655576450754839</x:v>
      </x:c>
      <x:c r="R1481" s="81" t="n">
        <x:v>256.63499817810685</x:v>
      </x:c>
      <x:c r="S1481" s="81" t="n">
        <x:v>78.06012149296434</x:v>
      </x:c>
      <x:c r="T1481" s="81" t="n">
        <x:v>17.6577545192185</x:v>
      </x:c>
    </x:row>
    <x:row r="1482">
      <x:c r="A1482" s="59" t="n">
        <x:v>1479</x:v>
      </x:c>
      <x:c r="B1482" s="193" t="n">
        <x:v>0.693842007406056</x:v>
      </x:c>
      <x:c r="C1482" s="83" t="n">
        <x:v>0.9535623555364161</x:v>
      </x:c>
      <x:c r="D1482" s="83" t="n">
        <x:v>1.013876445056882</x:v>
      </x:c>
      <x:c r="E1482" s="81" t="n">
        <x:v>-0.06185594397095523</x:v>
      </x:c>
      <x:c r="F1482" s="81" t="n">
        <x:v>0.5346564627368935</x:v>
      </x:c>
      <x:c r="G1482" s="81" t="n">
        <x:v>-0.03428835209777306</x:v>
      </x:c>
      <x:c r="H1482" s="59" t="n">
        <x:v>8</x:v>
      </x:c>
      <x:c r="I1482" s="81" t="n">
        <x:v>0.10485630873590708</x:v>
      </x:c>
      <x:c r="J1482" s="79" t="n">
        <x:v>6.40202070505487e-29</x:v>
      </x:c>
      <x:c r="K1482" s="81" t="n">
        <x:v>-1</x:v>
      </x:c>
      <x:c r="L1482" s="81" t="n">
        <x:v>-1</x:v>
      </x:c>
      <x:c r="M1482" s="80" t="n">
        <x:v>0.000002</x:v>
      </x:c>
      <x:c r="N1482" s="82" t="n">
        <x:v>0.26737992570176145</x:v>
      </x:c>
      <x:c r="O1482" s="82" t="n">
        <x:v>0.13504377227408598</x:v>
      </x:c>
      <x:c r="P1482" s="80" t="n">
        <x:v>495.2209979295137</x:v>
      </x:c>
      <x:c r="Q1482" s="81" t="n">
        <x:v>541703810025.8893</x:v>
      </x:c>
      <x:c r="R1482" s="81" t="n">
        <x:v>2.8869296570681313</x:v>
      </x:c>
      <x:c r="S1482" s="81" t="n">
        <x:v>2.9737610983077353e-10</x:v>
      </x:c>
      <x:c r="T1482" s="81" t="n">
        <x:v>1.3868174548587081e-24</x:v>
      </x:c>
    </x:row>
    <x:row r="1483">
      <x:c r="A1483" s="59" t="n">
        <x:v>1480</x:v>
      </x:c>
      <x:c r="B1483" s="193" t="n">
        <x:v>0.7299149420112372</x:v>
      </x:c>
      <x:c r="C1483" s="83" t="n">
        <x:v>1.2447048636275004</x:v>
      </x:c>
      <x:c r="D1483" s="83" t="n">
        <x:v>0.7333532229071223</x:v>
      </x:c>
      <x:c r="E1483" s="81" t="n">
        <x:v>-0.08806525707291195</x:v>
      </x:c>
      <x:c r="F1483" s="81" t="n">
        <x:v>0.727799332793802</x:v>
      </x:c>
      <x:c r="G1483" s="81" t="n">
        <x:v>0.03773175487792908</x:v>
      </x:c>
      <x:c r="H1483" s="59" t="n">
        <x:v>0</x:v>
      </x:c>
      <x:c r="I1483" s="81" t="n">
        <x:v>0</x:v>
      </x:c>
      <x:c r="J1483" s="79" t="n">
        <x:v>1.7521641591441244e-37</x:v>
      </x:c>
      <x:c r="K1483" s="81" t="n">
        <x:v>-1</x:v>
      </x:c>
      <x:c r="L1483" s="81" t="n">
        <x:v>-1</x:v>
      </x:c>
      <x:c r="M1483" s="80" t="n">
        <x:v>0.000002</x:v>
      </x:c>
      <x:c r="N1483" s="82" t="n">
        <x:v>0.27597317509223945</x:v>
      </x:c>
      <x:c r="O1483" s="82" t="n">
        <x:v>0.18973587967369882</x:v>
      </x:c>
      <x:c r="P1483" s="80" t="n">
        <x:v>405.1200464150118</x:v>
      </x:c>
      <x:c r="Q1483" s="81" t="n">
        <x:v>142452588259495950000</x:v>
      </x:c>
      <x:c r="R1483" s="81" t="n">
        <x:v>2.1057122486878286</x:v>
      </x:c>
      <x:c r="S1483" s="81" t="n">
        <x:v>4.4911772176124224e-10</x:v>
      </x:c>
      <x:c r="T1483" s="81" t="n">
        <x:v>3.795570104545728e-33</x:v>
      </x:c>
    </x:row>
    <x:row r="1484">
      <x:c r="A1484" s="59" t="n">
        <x:v>1481</x:v>
      </x:c>
      <x:c r="B1484" s="193" t="n">
        <x:v>0.8962328366935253</x:v>
      </x:c>
      <x:c r="C1484" s="83" t="n">
        <x:v>0.26823875328776753</x:v>
      </x:c>
      <x:c r="D1484" s="83" t="n">
        <x:v>0.8791922364824558</x:v>
      </x:c>
      <x:c r="E1484" s="81" t="n">
        <x:v>0.12309018626769672</x:v>
      </x:c>
      <x:c r="F1484" s="81" t="n">
        <x:v>0.5919780605705456</x:v>
      </x:c>
      <x:c r="G1484" s="81" t="n">
        <x:v>0.010063781864849637</x:v>
      </x:c>
      <x:c r="H1484" s="59" t="n">
        <x:v>27</x:v>
      </x:c>
      <x:c r="I1484" s="81" t="n">
        <x:v>0.19972289679571986</x:v>
      </x:c>
      <x:c r="J1484" s="79" t="n">
        <x:v>0.004435036423987554</x:v>
      </x:c>
      <x:c r="K1484" s="81" t="n">
        <x:v>4.068613055985777</x:v>
      </x:c>
      <x:c r="L1484" s="81" t="n">
        <x:v>-0.8257632779521882</x:v>
      </x:c>
      <x:c r="M1484" s="80" t="n">
        <x:v>21426.6050562018</x:v>
      </x:c>
      <x:c r="N1484" s="82" t="n">
        <x:v>0.3155932160660859</x:v>
      </x:c>
      <x:c r="O1484" s="82" t="n">
        <x:v>0.1764835424450547</x:v>
      </x:c>
      <x:c r="P1484" s="80" t="n">
        <x:v>30963.33332316415</x:v>
      </x:c>
      <x:c r="Q1484" s="81" t="n">
        <x:v>0.0038884167158490792</x:v>
      </x:c>
      <x:c r="R1484" s="81" t="n">
        <x:v>410.8168030247859</x:v>
      </x:c>
      <x:c r="S1484" s="81" t="n">
        <x:v>315.03926188209465</x:v>
      </x:c>
      <x:c r="T1484" s="81" t="n">
        <x:v>96.07257160014714</x:v>
      </x:c>
    </x:row>
    <x:row r="1485">
      <x:c r="A1485" s="59" t="n">
        <x:v>1482</x:v>
      </x:c>
      <x:c r="B1485" s="193" t="n">
        <x:v>0.4697772724553943</x:v>
      </x:c>
      <x:c r="C1485" s="83" t="n">
        <x:v>0.23098482171634724</x:v>
      </x:c>
      <x:c r="D1485" s="83" t="n">
        <x:v>0.26454963513667484</x:v>
      </x:c>
      <x:c r="E1485" s="81" t="n">
        <x:v>-0.1137771129168507</x:v>
      </x:c>
      <x:c r="F1485" s="81" t="n">
        <x:v>0.7672657512594014</x:v>
      </x:c>
      <x:c r="G1485" s="81" t="n">
        <x:v>-0.0289642185334265</x:v>
      </x:c>
      <x:c r="H1485" s="59" t="n">
        <x:v>50</x:v>
      </x:c>
      <x:c r="I1485" s="81" t="n">
        <x:v>0.4238706531934441</x:v>
      </x:c>
      <x:c r="J1485" s="79" t="n">
        <x:v>5.814754148726271e-20</x:v>
      </x:c>
      <x:c r="K1485" s="81" t="n">
        <x:v>-0.9999999999999999</x:v>
      </x:c>
      <x:c r="L1485" s="81" t="n">
        <x:v>-0.9999999999999999</x:v>
      </x:c>
      <x:c r="M1485" s="80" t="n">
        <x:v>0.00005299000623174027</x:v>
      </x:c>
      <x:c r="N1485" s="82" t="n">
        <x:v>0.21400350462273354</x:v>
      </x:c>
      <x:c r="O1485" s="82" t="n">
        <x:v>0.155109229436349</x:v>
      </x:c>
      <x:c r="P1485" s="80" t="n">
        <x:v>136.6723343228404</x:v>
      </x:c>
      <x:c r="Q1485" s="81" t="n">
        <x:v>9010.95199171095</x:v>
      </x:c>
      <x:c r="R1485" s="81" t="n">
        <x:v>15.936465852521511</x:v>
      </x:c>
      <x:c r="S1485" s="81" t="n">
        <x:v>3.6337293076879463e-9</x:v>
      </x:c>
      <x:c r="T1485" s="81" t="n">
        <x:v>1.2596026974418486e-15</x:v>
      </x:c>
    </x:row>
    <x:row r="1486">
      <x:c r="A1486" s="59" t="n">
        <x:v>1483</x:v>
      </x:c>
      <x:c r="B1486" s="193" t="n">
        <x:v>0.6456342086195945</x:v>
      </x:c>
      <x:c r="C1486" s="83" t="n">
        <x:v>0.10349396419678218</x:v>
      </x:c>
      <x:c r="D1486" s="83" t="n">
        <x:v>0.9821786553162988</x:v>
      </x:c>
      <x:c r="E1486" s="81" t="n">
        <x:v>0.07146310305726088</x:v>
      </x:c>
      <x:c r="F1486" s="81" t="n">
        <x:v>0.8448537934804335</x:v>
      </x:c>
      <x:c r="G1486" s="81" t="n">
        <x:v>-0.009499423240184577</x:v>
      </x:c>
      <x:c r="H1486" s="59" t="n">
        <x:v>0</x:v>
      </x:c>
      <x:c r="I1486" s="81" t="n">
        <x:v>0</x:v>
      </x:c>
      <x:c r="J1486" s="79" t="n">
        <x:v>0.0005943756054185491</x:v>
      </x:c>
      <x:c r="K1486" s="81" t="n">
        <x:v>-0.3207135938073723</x:v>
      </x:c>
      <x:c r="L1486" s="81" t="n">
        <x:v>-0.8428378457126134</x:v>
      </x:c>
      <x:c r="M1486" s="80" t="n">
        <x:v>5873.253282781958</x:v>
      </x:c>
      <x:c r="N1486" s="82" t="n">
        <x:v>0.2558959241345991</x:v>
      </x:c>
      <x:c r="O1486" s="82" t="n">
        <x:v>0.20422827487866016</x:v>
      </x:c>
      <x:c r="P1486" s="80" t="n">
        <x:v>10661.220611731507</x:v>
      </x:c>
      <x:c r="Q1486" s="81" t="n">
        <x:v>0.006842939126210238</x:v>
      </x:c>
      <x:c r="R1486" s="81" t="n">
        <x:v>377.5659343750196</x:v>
      </x:c>
      <x:c r="S1486" s="81" t="n">
        <x:v>108.79918019205401</x:v>
      </x:c>
      <x:c r="T1486" s="81" t="n">
        <x:v>12.875473265586558</x:v>
      </x:c>
    </x:row>
    <x:row r="1487">
      <x:c r="A1487" s="59" t="n">
        <x:v>1484</x:v>
      </x:c>
      <x:c r="B1487" s="193" t="n">
        <x:v>0.6087845632806421</x:v>
      </x:c>
      <x:c r="C1487" s="83" t="n">
        <x:v>1.0957567080324047</x:v>
      </x:c>
      <x:c r="D1487" s="83" t="n">
        <x:v>0.5081553262751431</x:v>
      </x:c>
      <x:c r="E1487" s="81" t="n">
        <x:v>-0.15779698124167157</x:v>
      </x:c>
      <x:c r="F1487" s="81" t="n">
        <x:v>0.8562294056988321</x:v>
      </x:c>
      <x:c r="G1487" s="81" t="n">
        <x:v>0.0294641356330521</x:v>
      </x:c>
      <x:c r="H1487" s="59" t="n">
        <x:v>0</x:v>
      </x:c>
      <x:c r="I1487" s="81" t="n">
        <x:v>0</x:v>
      </x:c>
      <x:c r="J1487" s="79" t="n">
        <x:v>2.336694295111345e-41</x:v>
      </x:c>
      <x:c r="K1487" s="81" t="n">
        <x:v>-1</x:v>
      </x:c>
      <x:c r="L1487" s="81" t="n">
        <x:v>-1</x:v>
      </x:c>
      <x:c r="M1487" s="80" t="n">
        <x:v>0.000002</x:v>
      </x:c>
      <x:c r="N1487" s="82" t="n">
        <x:v>0.2471176476840104</x:v>
      </x:c>
      <x:c r="O1487" s="82" t="n">
        <x:v>0.19987792946736999</x:v>
      </x:c>
      <x:c r="P1487" s="80" t="n">
        <x:v>220.24233670145333</x:v>
      </x:c>
      <x:c r="Q1487" s="81" t="n">
        <x:v>6.343466125841821e+23</x:v>
      </x:c>
      <x:c r="R1487" s="81" t="n">
        <x:v>1.784510741920306</x:v>
      </x:c>
      <x:c r="S1487" s="81" t="n">
        <x:v>3.0241007036855383e-10</x:v>
      </x:c>
      <x:c r="T1487" s="81" t="n">
        <x:v>5.061789994791034e-37</x:v>
      </x:c>
    </x:row>
    <x:row r="1488">
      <x:c r="A1488" s="59" t="n">
        <x:v>1485</x:v>
      </x:c>
      <x:c r="B1488" s="193" t="n">
        <x:v>0.7961043817922473</x:v>
      </x:c>
      <x:c r="C1488" s="83" t="n">
        <x:v>0.6471345357189987</x:v>
      </x:c>
      <x:c r="D1488" s="83" t="n">
        <x:v>1.0142138794871445</x:v>
      </x:c>
      <x:c r="E1488" s="81" t="n">
        <x:v>-0.0248325736878436</x:v>
      </x:c>
      <x:c r="F1488" s="81" t="n">
        <x:v>0.78359713741811</x:v>
      </x:c>
      <x:c r="G1488" s="81" t="n">
        <x:v>-0.02115843923733028</x:v>
      </x:c>
      <x:c r="H1488" s="59" t="n">
        <x:v>61</x:v>
      </x:c>
      <x:c r="I1488" s="81" t="n">
        <x:v>0.21331350002437832</x:v>
      </x:c>
      <x:c r="J1488" s="79" t="n">
        <x:v>3.295532755581931e-18</x:v>
      </x:c>
      <x:c r="K1488" s="81" t="n">
        <x:v>-0.9999999999999962</x:v>
      </x:c>
      <x:c r="L1488" s="81" t="n">
        <x:v>-0.9999999999999962</x:v>
      </x:c>
      <x:c r="M1488" s="80" t="n">
        <x:v>0.0005307102505049127</x:v>
      </x:c>
      <x:c r="N1488" s="82" t="n">
        <x:v>0.29174074070007167</x:v>
      </x:c>
      <x:c r="O1488" s="82" t="n">
        <x:v>0.21595380668192835</x:v>
      </x:c>
      <x:c r="P1488" s="80" t="n">
        <x:v>757.4927487226432</x:v>
      </x:c>
      <x:c r="Q1488" s="81" t="n">
        <x:v>6713.155384426507</x:v>
      </x:c>
      <x:c r="R1488" s="81" t="n">
        <x:v>7.119221815231884</x:v>
      </x:c>
      <x:c r="S1488" s="81" t="n">
        <x:v>1.1458188675935139e-7</x:v>
      </x:c>
      <x:c r="T1488" s="81" t="n">
        <x:v>7.138843435621889e-14</x:v>
      </x:c>
    </x:row>
    <x:row r="1489">
      <x:c r="A1489" s="59" t="n">
        <x:v>1486</x:v>
      </x:c>
      <x:c r="B1489" s="193" t="n">
        <x:v>0.6742094609886409</x:v>
      </x:c>
      <x:c r="C1489" s="83" t="n">
        <x:v>0.3990395734818518</x:v>
      </x:c>
      <x:c r="D1489" s="83" t="n">
        <x:v>0.7778159785645249</x:v>
      </x:c>
      <x:c r="E1489" s="81" t="n">
        <x:v>0.007543696496216354</x:v>
      </x:c>
      <x:c r="F1489" s="81" t="n">
        <x:v>0.8493594755418599</x:v>
      </x:c>
      <x:c r="G1489" s="81" t="n">
        <x:v>0.04113886296871993</x:v>
      </x:c>
      <x:c r="H1489" s="59" t="n">
        <x:v>0</x:v>
      </x:c>
      <x:c r="I1489" s="81" t="n">
        <x:v>0</x:v>
      </x:c>
      <x:c r="J1489" s="79" t="n">
        <x:v>0.00001360952715547939</x:v>
      </x:c>
      <x:c r="K1489" s="81" t="n">
        <x:v>-0.9844462546794521</x:v>
      </x:c>
      <x:c r="L1489" s="81" t="n">
        <x:v>-0.9900904517674641</x:v>
      </x:c>
      <x:c r="M1489" s="80" t="n">
        <x:v>906.8044986411165</x:v>
      </x:c>
      <x:c r="N1489" s="82" t="n">
        <x:v>0.26270308503488793</x:v>
      </x:c>
      <x:c r="O1489" s="82" t="n">
        <x:v>0.21077915103592668</x:v>
      </x:c>
      <x:c r="P1489" s="80" t="n">
        <x:v>2541.7230029668285</x:v>
      </x:c>
      <x:c r="Q1489" s="81" t="n">
        <x:v>0.04989846328709492</x:v>
      </x:c>
      <x:c r="R1489" s="81" t="n">
        <x:v>23.363823386273033</x:v>
      </x:c>
      <x:c r="S1489" s="81" t="n">
        <x:v>0.9955366553881393</x:v>
      </x:c>
      <x:c r="T1489" s="81" t="n">
        <x:v>0.2948120707683753</x:v>
      </x:c>
    </x:row>
    <x:row r="1490">
      <x:c r="A1490" s="59" t="n">
        <x:v>1487</x:v>
      </x:c>
      <x:c r="B1490" s="193" t="n">
        <x:v>0.7164900977164508</x:v>
      </x:c>
      <x:c r="C1490" s="83" t="n">
        <x:v>0.2144672500162705</x:v>
      </x:c>
      <x:c r="D1490" s="83" t="n">
        <x:v>0.5513373731593184</x:v>
      </x:c>
      <x:c r="E1490" s="81" t="n">
        <x:v>-0.06500526184863095</x:v>
      </x:c>
      <x:c r="F1490" s="81" t="n">
        <x:v>0.766011683922261</x:v>
      </x:c>
      <x:c r="G1490" s="81" t="n">
        <x:v>0.06775671679403608</x:v>
      </x:c>
      <x:c r="H1490" s="59" t="n">
        <x:v>0</x:v>
      </x:c>
      <x:c r="I1490" s="81" t="n">
        <x:v>0</x:v>
      </x:c>
      <x:c r="J1490" s="79" t="n">
        <x:v>5.7221566121891434e-30</x:v>
      </x:c>
      <x:c r="K1490" s="81" t="n">
        <x:v>-1</x:v>
      </x:c>
      <x:c r="L1490" s="81" t="n">
        <x:v>-1</x:v>
      </x:c>
      <x:c r="M1490" s="80" t="n">
        <x:v>0.000002</x:v>
      </x:c>
      <x:c r="N1490" s="82" t="n">
        <x:v>0.27277512546539084</x:v>
      </x:c>
      <x:c r="O1490" s="82" t="n">
        <x:v>0.1973836156192593</x:v>
      </x:c>
      <x:c r="P1490" s="80" t="n">
        <x:v>236.32550182163573</x:v>
      </x:c>
      <x:c r="Q1490" s="81" t="n">
        <x:v>5784133425797.583</x:v>
      </x:c>
      <x:c r="R1490" s="81" t="n">
        <x:v>14.236984318096942</x:v>
      </x:c>
      <x:c r="S1490" s="81" t="n">
        <x:v>8.829759224985262e-10</x:v>
      </x:c>
      <x:c r="T1490" s="81" t="n">
        <x:v>1.2395440494207309e-25</x:v>
      </x:c>
    </x:row>
    <x:row r="1491">
      <x:c r="A1491" s="59" t="n">
        <x:v>1488</x:v>
      </x:c>
      <x:c r="B1491" s="193" t="n">
        <x:v>0.8747849769890308</x:v>
      </x:c>
      <x:c r="C1491" s="83" t="n">
        <x:v>2.753847318129033</x:v>
      </x:c>
      <x:c r="D1491" s="83" t="n">
        <x:v>0.39468607838489095</x:v>
      </x:c>
      <x:c r="E1491" s="81" t="n">
        <x:v>0.09892406726658592</x:v>
      </x:c>
      <x:c r="F1491" s="81" t="n">
        <x:v>0.4964421292068437</x:v>
      </x:c>
      <x:c r="G1491" s="81" t="n">
        <x:v>-0.007199027622679347</x:v>
      </x:c>
      <x:c r="H1491" s="59" t="n">
        <x:v>0</x:v>
      </x:c>
      <x:c r="I1491" s="81" t="n">
        <x:v>0</x:v>
      </x:c>
      <x:c r="J1491" s="79" t="n">
        <x:v>0.003926582773928808</x:v>
      </x:c>
      <x:c r="K1491" s="81" t="n">
        <x:v>3.4875231702043523</x:v>
      </x:c>
      <x:c r="L1491" s="81" t="n">
        <x:v>-0.5752662403768519</x:v>
      </x:c>
      <x:c r="M1491" s="80" t="n">
        <x:v>46176.07891256887</x:v>
      </x:c>
      <x:c r="N1491" s="82" t="n">
        <x:v>0.31048393373710553</x:v>
      </x:c>
      <x:c r="O1491" s="82" t="n">
        <x:v>0.14560580964760694</x:v>
      </x:c>
      <x:c r="P1491" s="80" t="n">
        <x:v>35894.416236555655</x:v>
      </x:c>
      <x:c r="Q1491" s="81" t="n">
        <x:v>0.0035656454228387194</x:v>
      </x:c>
      <x:c r="R1491" s="81" t="n">
        <x:v>34.68347579729735</x:v>
      </x:c>
      <x:c r="S1491" s="81" t="n">
        <x:v>28.597863918772493</x:v>
      </x:c>
      <x:c r="T1491" s="81" t="n">
        <x:v>85.05835547411469</x:v>
      </x:c>
    </x:row>
    <x:row r="1492">
      <x:c r="A1492" s="59" t="n">
        <x:v>1489</x:v>
      </x:c>
      <x:c r="B1492" s="193" t="n">
        <x:v>0.3885400928556919</x:v>
      </x:c>
      <x:c r="C1492" s="83" t="n">
        <x:v>0.5177171650844018</x:v>
      </x:c>
      <x:c r="D1492" s="83" t="n">
        <x:v>0.7762773966368813</x:v>
      </x:c>
      <x:c r="E1492" s="81" t="n">
        <x:v>0.07915898572491147</x:v>
      </x:c>
      <x:c r="F1492" s="81" t="n">
        <x:v>0.6503531664493494</x:v>
      </x:c>
      <x:c r="G1492" s="81" t="n">
        <x:v>-0.05</x:v>
      </x:c>
      <x:c r="H1492" s="59" t="n">
        <x:v>0</x:v>
      </x:c>
      <x:c r="I1492" s="81" t="n">
        <x:v>0</x:v>
      </x:c>
      <x:c r="J1492" s="79" t="n">
        <x:v>0.0009058038065947944</x:v>
      </x:c>
      <x:c r="K1492" s="81" t="n">
        <x:v>0.0352043503940509</x:v>
      </x:c>
      <x:c r="L1492" s="81" t="n">
        <x:v>-0.8411654898306034</x:v>
      </x:c>
      <x:c r="M1492" s="80" t="n">
        <x:v>9263.198890763213</x:v>
      </x:c>
      <x:c r="N1492" s="82" t="n">
        <x:v>0.19465128524496667</x:v>
      </x:c>
      <x:c r="O1492" s="82" t="n">
        <x:v>0.11958521166371025</x:v>
      </x:c>
      <x:c r="P1492" s="80" t="n">
        <x:v>14460.326204942747</x:v>
      </x:c>
      <x:c r="Q1492" s="81" t="n">
        <x:v>0.0035299162728985455</x:v>
      </x:c>
      <x:c r="R1492" s="81" t="n">
        <x:v>183.6388788945857</x:v>
      </x:c>
      <x:c r="S1492" s="81" t="n">
        <x:v>33.68174980788095</x:v>
      </x:c>
      <x:c r="T1492" s="81" t="n">
        <x:v>19.62168801908546</x:v>
      </x:c>
    </x:row>
    <x:row r="1493">
      <x:c r="A1493" s="59" t="n">
        <x:v>1490</x:v>
      </x:c>
      <x:c r="B1493" s="193" t="n">
        <x:v>0.6532636536285281</x:v>
      </x:c>
      <x:c r="C1493" s="83" t="n">
        <x:v>1.9264283063973984</x:v>
      </x:c>
      <x:c r="D1493" s="83" t="n">
        <x:v>0.8612504109714068</x:v>
      </x:c>
      <x:c r="E1493" s="81" t="n">
        <x:v>-0.08010972516104425</x:v>
      </x:c>
      <x:c r="F1493" s="81" t="n">
        <x:v>0.7979518302250653</x:v>
      </x:c>
      <x:c r="G1493" s="81" t="n">
        <x:v>-0.012583675477726972</x:v>
      </x:c>
      <x:c r="H1493" s="59" t="n">
        <x:v>0</x:v>
      </x:c>
      <x:c r="I1493" s="81" t="n">
        <x:v>0</x:v>
      </x:c>
      <x:c r="J1493" s="79" t="n">
        <x:v>1.0259897872058129e-32</x:v>
      </x:c>
      <x:c r="K1493" s="81" t="n">
        <x:v>-1</x:v>
      </x:c>
      <x:c r="L1493" s="81" t="n">
        <x:v>-1</x:v>
      </x:c>
      <x:c r="M1493" s="80" t="n">
        <x:v>0.000002</x:v>
      </x:c>
      <x:c r="N1493" s="82" t="n">
        <x:v>0.2577134009878211</x:v>
      </x:c>
      <x:c r="O1493" s="82" t="n">
        <x:v>0.19426055237262307</x:v>
      </x:c>
      <x:c r="P1493" s="80" t="n">
        <x:v>594.836213257153</x:v>
      </x:c>
      <x:c r="Q1493" s="81" t="n">
        <x:v>2654815826102708.5</x:v>
      </x:c>
      <x:c r="R1493" s="81" t="n">
        <x:v>1.5339777914081725</x:v>
      </x:c>
      <x:c r="S1493" s="81" t="n">
        <x:v>2.2099511735202788e-10</x:v>
      </x:c>
      <x:c r="T1493" s="81" t="n">
        <x:v>2.222517875145794e-28</x:v>
      </x:c>
    </x:row>
    <x:row r="1494">
      <x:c r="A1494" s="59" t="n">
        <x:v>1491</x:v>
      </x:c>
      <x:c r="B1494" s="193" t="n">
        <x:v>0.221754789352417</x:v>
      </x:c>
      <x:c r="C1494" s="83" t="n">
        <x:v>2.4568284814175967</x:v>
      </x:c>
      <x:c r="D1494" s="83" t="n">
        <x:v>2.8219232797148237</x:v>
      </x:c>
      <x:c r="E1494" s="81" t="n">
        <x:v>0.10626161797123648</x:v>
      </x:c>
      <x:c r="F1494" s="81" t="n">
        <x:v>0.8325670421589166</x:v>
      </x:c>
      <x:c r="G1494" s="81" t="n">
        <x:v>-0.023354779727455695</x:v>
      </x:c>
      <x:c r="H1494" s="59" t="n">
        <x:v>0</x:v>
      </x:c>
      <x:c r="I1494" s="81" t="n">
        <x:v>0</x:v>
      </x:c>
      <x:c r="J1494" s="79" t="n">
        <x:v>0.33991700928659474</x:v>
      </x:c>
      <x:c r="K1494" s="81" t="n">
        <x:v>387.4765820418226</x:v>
      </x:c>
      <x:c r="L1494" s="81" t="n">
        <x:v>-0.8206115168893231</x:v>
      </x:c>
      <x:c r="M1494" s="80" t="n">
        <x:v>714611.5910207587</x:v>
      </x:c>
      <x:c r="N1494" s="82" t="n">
        <x:v>0.1549198987260462</x:v>
      </x:c>
      <x:c r="O1494" s="82" t="n">
        <x:v>0.12184209596183565</x:v>
      </x:c>
      <x:c r="P1494" s="80" t="n">
        <x:v>2209706.7158970265</x:v>
      </x:c>
      <x:c r="Q1494" s="81" t="n">
        <x:v>0.003869938169692939</x:v>
      </x:c>
      <x:c r="R1494" s="81" t="n">
        <x:v>3033.8141248301326</x:v>
      </x:c>
      <x:c r="S1494" s="81" t="n">
        <x:v>2773.8483990610853</x:v>
      </x:c>
      <x:c r="T1494" s="81" t="n">
        <x:v>7363.344534481303</x:v>
      </x:c>
    </x:row>
    <x:row r="1495">
      <x:c r="A1495" s="59" t="n">
        <x:v>1492</x:v>
      </x:c>
      <x:c r="B1495" s="193" t="n">
        <x:v>0.8803793229162693</x:v>
      </x:c>
      <x:c r="C1495" s="83" t="n">
        <x:v>1.4848430944146025</x:v>
      </x:c>
      <x:c r="D1495" s="83" t="n">
        <x:v>0.5872282024256944</x:v>
      </x:c>
      <x:c r="E1495" s="81" t="n">
        <x:v>0.15498611011974264</x:v>
      </x:c>
      <x:c r="F1495" s="81" t="n">
        <x:v>0.4648425078601577</x:v>
      </x:c>
      <x:c r="G1495" s="81" t="n">
        <x:v>-0.038094052097694044</x:v>
      </x:c>
      <x:c r="H1495" s="59" t="n">
        <x:v>0</x:v>
      </x:c>
      <x:c r="I1495" s="81" t="n">
        <x:v>0</x:v>
      </x:c>
      <x:c r="J1495" s="79" t="n">
        <x:v>0.0059282292798506836</x:v>
      </x:c>
      <x:c r="K1495" s="81" t="n">
        <x:v>5.77511917697221</x:v>
      </x:c>
      <x:c r="L1495" s="81" t="n">
        <x:v>-0.7504075818266758</x:v>
      </x:c>
      <x:c r="M1495" s="80" t="n">
        <x:v>42497.28323712048</x:v>
      </x:c>
      <x:c r="N1495" s="82" t="n">
        <x:v>0.31181661183096004</x:v>
      </x:c>
      <x:c r="O1495" s="82" t="n">
        <x:v>0.13692288007935058</x:v>
      </x:c>
      <x:c r="P1495" s="80" t="n">
        <x:v>45690.18923021632</x:v>
      </x:c>
      <x:c r="Q1495" s="81" t="n">
        <x:v>0.002323589871325835</x:v>
      </x:c>
      <x:c r="R1495" s="81" t="n">
        <x:v>223.9549840340417</x:v>
      </x:c>
      <x:c r="S1495" s="81" t="n">
        <x:v>77.2536011341698</x:v>
      </x:c>
      <x:c r="T1495" s="81" t="n">
        <x:v>128.41838882542217</x:v>
      </x:c>
    </x:row>
    <x:row r="1496">
      <x:c r="A1496" s="59" t="n">
        <x:v>1493</x:v>
      </x:c>
      <x:c r="B1496" s="193" t="n">
        <x:v>0.7434438759461046</x:v>
      </x:c>
      <x:c r="C1496" s="83" t="n">
        <x:v>0.22489853701377432</x:v>
      </x:c>
      <x:c r="D1496" s="83" t="n">
        <x:v>0.723370168520975</x:v>
      </x:c>
      <x:c r="E1496" s="81" t="n">
        <x:v>0.08420711617313204</x:v>
      </x:c>
      <x:c r="F1496" s="81" t="n">
        <x:v>0.34026749066542833</x:v>
      </x:c>
      <x:c r="G1496" s="81" t="n">
        <x:v>-0.03135439399298083</x:v>
      </x:c>
      <x:c r="H1496" s="59" t="n">
        <x:v>0</x:v>
      </x:c>
      <x:c r="I1496" s="81" t="n">
        <x:v>0</x:v>
      </x:c>
      <x:c r="J1496" s="79" t="n">
        <x:v>0.0016220142452862331</x:v>
      </x:c>
      <x:c r="K1496" s="81" t="n">
        <x:v>0.8537305660414094</x:v>
      </x:c>
      <x:c r="L1496" s="81" t="n">
        <x:v>-0.7510559750762822</x:v>
      </x:c>
      <x:c r="M1496" s="80" t="n">
        <x:v>10174.36634394397</x:v>
      </x:c>
      <x:c r="N1496" s="82" t="n">
        <x:v>0.27919602082303624</x:v>
      </x:c>
      <x:c r="O1496" s="82" t="n">
        <x:v>0.08974300850051155</x:v>
      </x:c>
      <x:c r="P1496" s="80" t="n">
        <x:v>14104.065139610238</x:v>
      </x:c>
      <x:c r="Q1496" s="81" t="n">
        <x:v>0.0025422550275744056</x:v>
      </x:c>
      <x:c r="R1496" s="81" t="n">
        <x:v>455.95669801053424</x:v>
      </x:c>
      <x:c r="S1496" s="81" t="n">
        <x:v>135.83743756038254</x:v>
      </x:c>
      <x:c r="T1496" s="81" t="n">
        <x:v>35.13636976550738</x:v>
      </x:c>
    </x:row>
    <x:row r="1497">
      <x:c r="A1497" s="59" t="n">
        <x:v>1494</x:v>
      </x:c>
      <x:c r="B1497" s="193" t="n">
        <x:v>0.26652880255132916</x:v>
      </x:c>
      <x:c r="C1497" s="83" t="n">
        <x:v>1.085629119452561</x:v>
      </x:c>
      <x:c r="D1497" s="83" t="n">
        <x:v>0.6187298032908901</x:v>
      </x:c>
      <x:c r="E1497" s="81" t="n">
        <x:v>-0.05475840097289626</x:v>
      </x:c>
      <x:c r="F1497" s="81" t="n">
        <x:v>0.41687006106367336</x:v>
      </x:c>
      <x:c r="G1497" s="81" t="n">
        <x:v>0.00398983189337618</x:v>
      </x:c>
      <x:c r="H1497" s="59" t="n">
        <x:v>22</x:v>
      </x:c>
      <x:c r="I1497" s="81" t="n">
        <x:v>0.13162266667932274</x:v>
      </x:c>
      <x:c r="J1497" s="79" t="n">
        <x:v>3.375256687380502e-24</x:v>
      </x:c>
      <x:c r="K1497" s="81" t="n">
        <x:v>-1</x:v>
      </x:c>
      <x:c r="L1497" s="81" t="n">
        <x:v>-1</x:v>
      </x:c>
      <x:c r="M1497" s="80" t="n">
        <x:v>0.000002</x:v>
      </x:c>
      <x:c r="N1497" s="82" t="n">
        <x:v>0.1655859081827745</x:v>
      </x:c>
      <x:c r="O1497" s="82" t="n">
        <x:v>0.06520712044469432</x:v>
      </x:c>
      <x:c r="P1497" s="80" t="n">
        <x:v>571.971027579858</x:v>
      </x:c>
      <x:c r="Q1497" s="81" t="n">
        <x:v>11528962.594282988</x:v>
      </x:c>
      <x:c r="R1497" s="81" t="n">
        <x:v>4.409709984861336</x:v>
      </x:c>
      <x:c r="S1497" s="81" t="n">
        <x:v>2.7277719081332353e-10</x:v>
      </x:c>
      <x:c r="T1497" s="81" t="n">
        <x:v>7.31154287737928e-20</x:v>
      </x:c>
    </x:row>
    <x:row r="1498">
      <x:c r="A1498" s="59" t="n">
        <x:v>1495</x:v>
      </x:c>
      <x:c r="B1498" s="193" t="n">
        <x:v>0.44906320590525867</x:v>
      </x:c>
      <x:c r="C1498" s="83" t="n">
        <x:v>0.1512677121186482</x:v>
      </x:c>
      <x:c r="D1498" s="83" t="n">
        <x:v>0.9354156630135397</x:v>
      </x:c>
      <x:c r="E1498" s="81" t="n">
        <x:v>0.09703003442585882</x:v>
      </x:c>
      <x:c r="F1498" s="81" t="n">
        <x:v>0.6879786849371158</x:v>
      </x:c>
      <x:c r="G1498" s="81" t="n">
        <x:v>-0.009829773865072685</x:v>
      </x:c>
      <x:c r="H1498" s="59" t="n">
        <x:v>0</x:v>
      </x:c>
      <x:c r="I1498" s="81" t="n">
        <x:v>0</x:v>
      </x:c>
      <x:c r="J1498" s="79" t="n">
        <x:v>0.002577807649277973</x:v>
      </x:c>
      <x:c r="K1498" s="81" t="n">
        <x:v>1.9460658848891126</x:v>
      </x:c>
      <x:c r="L1498" s="81" t="n">
        <x:v>-0.7977678994881376</x:v>
      </x:c>
      <x:c r="M1498" s="80" t="n">
        <x:v>13569.509662609911</x:v>
      </x:c>
      <x:c r="N1498" s="82" t="n">
        <x:v>0.20906902558174323</x:v>
      </x:c>
      <x:c r="O1498" s="82" t="n">
        <x:v>0.13587376823736888</x:v>
      </x:c>
      <x:c r="P1498" s="80" t="n">
        <x:v>21831.60259594916</x:v>
      </x:c>
      <x:c r="Q1498" s="81" t="n">
        <x:v>0.0035534990259943524</x:v>
      </x:c>
      <x:c r="R1498" s="81" t="n">
        <x:v>727.605934259581</x:v>
      </x:c>
      <x:c r="S1498" s="81" t="n">
        <x:v>321.0458941326094</x:v>
      </x:c>
      <x:c r="T1498" s="81" t="n">
        <x:v>55.84094160245844</x:v>
      </x:c>
    </x:row>
    <x:row r="1499">
      <x:c r="A1499" s="59" t="n">
        <x:v>1496</x:v>
      </x:c>
      <x:c r="B1499" s="193" t="n">
        <x:v>0.7221546337008478</x:v>
      </x:c>
      <x:c r="C1499" s="83" t="n">
        <x:v>0.22894042008570806</x:v>
      </x:c>
      <x:c r="D1499" s="83" t="n">
        <x:v>0.7917505366861259</x:v>
      </x:c>
      <x:c r="E1499" s="81" t="n">
        <x:v>-0.0858890320905496</x:v>
      </x:c>
      <x:c r="F1499" s="81" t="n">
        <x:v>0.29939119330374525</x:v>
      </x:c>
      <x:c r="G1499" s="81" t="n">
        <x:v>-0.00779845655928181</x:v>
      </x:c>
      <x:c r="H1499" s="59" t="n">
        <x:v>0</x:v>
      </x:c>
      <x:c r="I1499" s="81" t="n">
        <x:v>0</x:v>
      </x:c>
      <x:c r="J1499" s="79" t="n">
        <x:v>1.3469601859923846e-32</x:v>
      </x:c>
      <x:c r="K1499" s="81" t="n">
        <x:v>-1</x:v>
      </x:c>
      <x:c r="L1499" s="81" t="n">
        <x:v>-1</x:v>
      </x:c>
      <x:c r="M1499" s="80" t="n">
        <x:v>0.000002</x:v>
      </x:c>
      <x:c r="N1499" s="82" t="n">
        <x:v>0.2741245241469237</x:v>
      </x:c>
      <x:c r="O1499" s="82" t="n">
        <x:v>0.07752787028243911</x:v>
      </x:c>
      <x:c r="P1499" s="80" t="n">
        <x:v>233.11709576345004</x:v>
      </x:c>
      <x:c r="Q1499" s="81" t="n">
        <x:v>1896215884164825.2</x:v>
      </x:c>
      <x:c r="R1499" s="81" t="n">
        <x:v>9.439540823930724</x:v>
      </x:c>
      <x:c r="S1499" s="81" t="n">
        <x:v>5.130902237261754e-10</x:v>
      </x:c>
      <x:c r="T1499" s="81" t="n">
        <x:v>2.917809833790534e-28</x:v>
      </x:c>
    </x:row>
    <x:row r="1500">
      <x:c r="A1500" s="59" t="n">
        <x:v>1497</x:v>
      </x:c>
      <x:c r="B1500" s="193" t="n">
        <x:v>0.22894927766174078</x:v>
      </x:c>
      <x:c r="C1500" s="83" t="n">
        <x:v>0.12778788490030682</x:v>
      </x:c>
      <x:c r="D1500" s="83" t="n">
        <x:v>2.8352265965342456</x:v>
      </x:c>
      <x:c r="E1500" s="81" t="n">
        <x:v>0.04563042957151264</x:v>
      </x:c>
      <x:c r="F1500" s="81" t="n">
        <x:v>0.5411328354035505</x:v>
      </x:c>
      <x:c r="G1500" s="81" t="n">
        <x:v>-0.00474867611014166</x:v>
      </x:c>
      <x:c r="H1500" s="59" t="n">
        <x:v>0</x:v>
      </x:c>
      <x:c r="I1500" s="81" t="n">
        <x:v>0</x:v>
      </x:c>
      <x:c r="J1500" s="79" t="n">
        <x:v>0.0180704283870358</x:v>
      </x:c>
      <x:c r="K1500" s="81" t="n">
        <x:v>19.651918156612343</x:v>
      </x:c>
      <x:c r="L1500" s="81" t="n">
        <x:v>-0.7772483845222374</x:v>
      </x:c>
      <x:c r="M1500" s="80" t="n">
        <x:v>39581.231181202864</x:v>
      </x:c>
      <x:c r="N1500" s="82" t="n">
        <x:v>0.15663376073798288</x:v>
      </x:c>
      <x:c r="O1500" s="82" t="n">
        <x:v>0.08006822566025273</x:v>
      </x:c>
      <x:c r="P1500" s="80" t="n">
        <x:v>163528.87345269392</x:v>
      </x:c>
      <x:c r="Q1500" s="81" t="n">
        <x:v>0.004668439735943099</x:v>
      </x:c>
      <x:c r="R1500" s="81" t="n">
        <x:v>3636.753742963255</x:v>
      </x:c>
      <x:c r="S1500" s="81" t="n">
        <x:v>2668.147381533215</x:v>
      </x:c>
      <x:c r="T1500" s="81" t="n">
        <x:v>391.4449305690077</x:v>
      </x:c>
    </x:row>
    <x:row r="1501">
      <x:c r="A1501" s="59" t="n">
        <x:v>1498</x:v>
      </x:c>
      <x:c r="B1501" s="193" t="n">
        <x:v>0.2472268830984831</x:v>
      </x:c>
      <x:c r="C1501" s="83" t="n">
        <x:v>0.14571305991943173</x:v>
      </x:c>
      <x:c r="D1501" s="83" t="n">
        <x:v>2.4266506742580876</x:v>
      </x:c>
      <x:c r="E1501" s="81" t="n">
        <x:v>0.021022304785769257</x:v>
      </x:c>
      <x:c r="F1501" s="81" t="n">
        <x:v>0.36850651090499015</x:v>
      </x:c>
      <x:c r="G1501" s="81" t="n">
        <x:v>-0.010014141966337847</x:v>
      </x:c>
      <x:c r="H1501" s="59" t="n">
        <x:v>9</x:v>
      </x:c>
      <x:c r="I1501" s="81" t="n">
        <x:v>0.1498865293338895</x:v>
      </x:c>
      <x:c r="J1501" s="79" t="n">
        <x:v>0.004125296294630871</x:v>
      </x:c>
      <x:c r="K1501" s="81" t="n">
        <x:v>3.7146243367209957</x:v>
      </x:c>
      <x:c r="L1501" s="81" t="n">
        <x:v>-0.5736560292098096</x:v>
      </x:c>
      <x:c r="M1501" s="80" t="n">
        <x:v>15021.909301367068</x:v>
      </x:c>
      <x:c r="N1501" s="82" t="n">
        <x:v>0.16098782905811682</x:v>
      </x:c>
      <x:c r="O1501" s="82" t="n">
        <x:v>0.056041422606994615</x:v>
      </x:c>
      <x:c r="P1501" s="80" t="n">
        <x:v>63547.559596460334</x:v>
      </x:c>
      <x:c r="Q1501" s="81" t="n">
        <x:v>0.00627615893668989</x:v>
      </x:c>
      <x:c r="R1501" s="81" t="n">
        <x:v>523.0141382566059</x:v>
      </x:c>
      <x:c r="S1501" s="81" t="n">
        <x:v>538.218895737769</x:v>
      </x:c>
      <x:c r="T1501" s="81" t="n">
        <x:v>89.36292416769074</x:v>
      </x:c>
    </x:row>
    <x:row r="1502">
      <x:c r="A1502" s="59" t="n">
        <x:v>1499</x:v>
      </x:c>
      <x:c r="B1502" s="193" t="n">
        <x:v>0.5793633304536343</x:v>
      </x:c>
      <x:c r="C1502" s="83" t="n">
        <x:v>1.1026250042698404</x:v>
      </x:c>
      <x:c r="D1502" s="83" t="n">
        <x:v>2.4240148513531303</x:v>
      </x:c>
      <x:c r="E1502" s="81" t="n">
        <x:v>0.0959505411812331</x:v>
      </x:c>
      <x:c r="F1502" s="81" t="n">
        <x:v>0.28250996409915385</x:v>
      </x:c>
      <x:c r="G1502" s="81" t="n">
        <x:v>0.008572256034402393</x:v>
      </x:c>
      <x:c r="H1502" s="59" t="n">
        <x:v>86</x:v>
      </x:c>
      <x:c r="I1502" s="81" t="n">
        <x:v>0.3890081414021552</x:v>
      </x:c>
      <x:c r="J1502" s="79" t="n">
        <x:v>0.5126113204669336</x:v>
      </x:c>
      <x:c r="K1502" s="81" t="n">
        <x:v>584.841509105067</x:v>
      </x:c>
      <x:c r="L1502" s="81" t="n">
        <x:v>-0.9919547703406332</x:v>
      </x:c>
      <x:c r="M1502" s="80" t="n">
        <x:v>517197.35978927114</x:v>
      </x:c>
      <x:c r="N1502" s="82" t="n">
        <x:v>0.24010895837650148</x:v>
      </x:c>
      <x:c r="O1502" s="82" t="n">
        <x:v>0.06407860898297062</x:v>
      </x:c>
      <x:c r="P1502" s="80" t="n">
        <x:v>1528071.4568374043</x:v>
      </x:c>
      <x:c r="Q1502" s="81" t="n">
        <x:v>0.002317262225492884</x:v>
      </x:c>
      <x:c r="R1502" s="81" t="n">
        <x:v>5605.002549623073</x:v>
      </x:c>
      <x:c r="S1502" s="81" t="n">
        <x:v>8938.601198960205</x:v>
      </x:c>
      <x:c r="T1502" s="81" t="n">
        <x:v>11104.280344179571</x:v>
      </x:c>
    </x:row>
    <x:row r="1503">
      <x:c r="A1503" s="59" t="n">
        <x:v>1500</x:v>
      </x:c>
      <x:c r="B1503" s="193" t="n">
        <x:v>0.21787556130439045</x:v>
      </x:c>
      <x:c r="C1503" s="83" t="n">
        <x:v>0.4187383926442704</x:v>
      </x:c>
      <x:c r="D1503" s="83" t="n">
        <x:v>0.5428040753988802</x:v>
      </x:c>
      <x:c r="E1503" s="81" t="n">
        <x:v>-0.046870252414407496</x:v>
      </x:c>
      <x:c r="F1503" s="81" t="n">
        <x:v>0.4472124602412805</x:v>
      </x:c>
      <x:c r="G1503" s="81" t="n">
        <x:v>-0.0033391426465765525</x:v>
      </x:c>
      <x:c r="H1503" s="59" t="n">
        <x:v>0</x:v>
      </x:c>
      <x:c r="I1503" s="81" t="n">
        <x:v>0</x:v>
      </x:c>
      <x:c r="J1503" s="79" t="n">
        <x:v>1.932316129292535e-19</x:v>
      </x:c>
      <x:c r="K1503" s="81" t="n">
        <x:v>-0.9999999999999998</x:v>
      </x:c>
      <x:c r="L1503" s="81" t="n">
        <x:v>-0.9999999999999998</x:v>
      </x:c>
      <x:c r="M1503" s="80" t="n">
        <x:v>0.00011114451084504715</x:v>
      </x:c>
      <x:c r="N1503" s="82" t="n">
        <x:v>0.15399579386948026</x:v>
      </x:c>
      <x:c r="O1503" s="82" t="n">
        <x:v>0.06505694960707042</x:v>
      </x:c>
      <x:c r="P1503" s="80" t="n">
        <x:v>419.8892221174011</x:v>
      </x:c>
      <x:c r="Q1503" s="81" t="n">
        <x:v>12976.874866349477</x:v>
      </x:c>
      <x:c r="R1503" s="81" t="n">
        <x:v>12.577380652644708</x:v>
      </x:c>
      <x:c r="S1503" s="81" t="n">
        <x:v>1.8747458396038274e-8</x:v>
      </x:c>
      <x:c r="T1503" s="81" t="n">
        <x:v>4.185818603010807e-15</x:v>
      </x:c>
    </x:row>
    <x:row r="1504">
      <x:c r="A1504" s="59" t="n">
        <x:v>1501</x:v>
      </x:c>
      <x:c r="B1504" s="193" t="n">
        <x:v>0.6778200631961226</x:v>
      </x:c>
      <x:c r="C1504" s="83" t="n">
        <x:v>0.21377331325830728</x:v>
      </x:c>
      <x:c r="D1504" s="83" t="n">
        <x:v>0.3848075223180928</x:v>
      </x:c>
      <x:c r="E1504" s="81" t="n">
        <x:v>0.04281438248954337</x:v>
      </x:c>
      <x:c r="F1504" s="81" t="n">
        <x:v>0.6046799315372482</x:v>
      </x:c>
      <x:c r="G1504" s="81" t="n">
        <x:v>0.01455336534061898</x:v>
      </x:c>
      <x:c r="H1504" s="59" t="n">
        <x:v>0</x:v>
      </x:c>
      <x:c r="I1504" s="81" t="n">
        <x:v>0</x:v>
      </x:c>
      <x:c r="J1504" s="79" t="n">
        <x:v>0.00010228877430669891</x:v>
      </x:c>
      <x:c r="K1504" s="81" t="n">
        <x:v>-0.8830985436494869</x:v>
      </x:c>
      <x:c r="L1504" s="81" t="n">
        <x:v>-0.9290515581862009</x:v>
      </x:c>
      <x:c r="M1504" s="80" t="n">
        <x:v>2245.498387745359</x:v>
      </x:c>
      <x:c r="N1504" s="82" t="n">
        <x:v>0.2635631981795012</x:v>
      </x:c>
      <x:c r="O1504" s="82" t="n">
        <x:v>0.1505501754203625</x:v>
      </x:c>
      <x:c r="P1504" s="80" t="n">
        <x:v>2145.694128705065</x:v>
      </x:c>
      <x:c r="Q1504" s="81" t="n">
        <x:v>0.007310422490970817</x:v>
      </x:c>
      <x:c r="R1504" s="81" t="n">
        <x:v>67.64459710112087</x:v>
      </x:c>
      <x:c r="S1504" s="81" t="n">
        <x:v>9.270431070928629</x:v>
      </x:c>
      <x:c r="T1504" s="81" t="n">
        <x:v>2.215798170296876</x:v>
      </x:c>
    </x:row>
    <x:row r="1505">
      <x:c r="A1505" s="59" t="n">
        <x:v>1502</x:v>
      </x:c>
      <x:c r="B1505" s="193" t="n">
        <x:v>0.37099525388330223</x:v>
      </x:c>
      <x:c r="C1505" s="83" t="n">
        <x:v>0.1929962288166473</x:v>
      </x:c>
      <x:c r="D1505" s="83" t="n">
        <x:v>1.5140552746685012</x:v>
      </x:c>
      <x:c r="E1505" s="81" t="n">
        <x:v>-0.08856837333350827</x:v>
      </x:c>
      <x:c r="F1505" s="81" t="n">
        <x:v>0.34554962686961516</x:v>
      </x:c>
      <x:c r="G1505" s="81" t="n">
        <x:v>0.004916830042140752</x:v>
      </x:c>
      <x:c r="H1505" s="59" t="n">
        <x:v>0</x:v>
      </x:c>
      <x:c r="I1505" s="81" t="n">
        <x:v>0</x:v>
      </x:c>
      <x:c r="J1505" s="79" t="n">
        <x:v>7.936027678962838e-52</x:v>
      </x:c>
      <x:c r="K1505" s="81" t="n">
        <x:v>-1</x:v>
      </x:c>
      <x:c r="L1505" s="81" t="n">
        <x:v>-1</x:v>
      </x:c>
      <x:c r="M1505" s="80" t="n">
        <x:v>0.000002</x:v>
      </x:c>
      <x:c r="N1505" s="82" t="n">
        <x:v>0.19047177563601278</x:v>
      </x:c>
      <x:c r="O1505" s="82" t="n">
        <x:v>0.06217445693997634</x:v>
      </x:c>
      <x:c r="P1505" s="80" t="n">
        <x:v>253.33448621720166</x:v>
      </x:c>
      <x:c r="Q1505" s="81" t="n">
        <x:v>3.1287342126984064e+34</x:v>
      </x:c>
      <x:c r="R1505" s="81" t="n">
        <x:v>5.868102600210369</x:v>
      </x:c>
      <x:c r="S1505" s="81" t="n">
        <x:v>1.1801119889680967e-9</x:v>
      </x:c>
      <x:c r="T1505" s="81" t="n">
        <x:v>1.719116856141623e-47</x:v>
      </x:c>
    </x:row>
    <x:row r="1506">
      <x:c r="A1506" s="59" t="n">
        <x:v>1503</x:v>
      </x:c>
      <x:c r="B1506" s="193" t="n">
        <x:v>0.5272462915629148</x:v>
      </x:c>
      <x:c r="C1506" s="83" t="n">
        <x:v>2.8863160362945957</x:v>
      </x:c>
      <x:c r="D1506" s="83" t="n">
        <x:v>0.8055304292954804</x:v>
      </x:c>
      <x:c r="E1506" s="81" t="n">
        <x:v>-0.08499365498329622</x:v>
      </x:c>
      <x:c r="F1506" s="81" t="n">
        <x:v>0.729396557493601</x:v>
      </x:c>
      <x:c r="G1506" s="81" t="n">
        <x:v>0.038824537227493114</x:v>
      </x:c>
      <x:c r="H1506" s="59" t="n">
        <x:v>0</x:v>
      </x:c>
      <x:c r="I1506" s="81" t="n">
        <x:v>0</x:v>
      </x:c>
      <x:c r="J1506" s="79" t="n">
        <x:v>3.70876850458765e-39</x:v>
      </x:c>
      <x:c r="K1506" s="81" t="n">
        <x:v>-1</x:v>
      </x:c>
      <x:c r="L1506" s="81" t="n">
        <x:v>-1</x:v>
      </x:c>
      <x:c r="M1506" s="80" t="n">
        <x:v>0.000002</x:v>
      </x:c>
      <x:c r="N1506" s="82" t="n">
        <x:v>0.2276937025182529</x:v>
      </x:c>
      <x:c r="O1506" s="82" t="n">
        <x:v>0.15688653465069496</x:v>
      </x:c>
      <x:c r="P1506" s="80" t="n">
        <x:v>761.0180613142767</x:v>
      </x:c>
      <x:c r="Q1506" s="81" t="n">
        <x:v>6.953536964855464e+21</x:v>
      </x:c>
      <x:c r="R1506" s="81" t="n">
        <x:v>1.1929891810132633</x:v>
      </x:c>
      <x:c r="S1506" s="81" t="n">
        <x:v>2.8860999400713173e-10</x:v>
      </x:c>
      <x:c r="T1506" s="81" t="n">
        <x:v>8.03400228638951e-35</x:v>
      </x:c>
    </x:row>
    <x:row r="1507">
      <x:c r="A1507" s="59" t="n">
        <x:v>1504</x:v>
      </x:c>
      <x:c r="B1507" s="193" t="n">
        <x:v>0.6322729295119643</x:v>
      </x:c>
      <x:c r="C1507" s="83" t="n">
        <x:v>0.17918265453711346</x:v>
      </x:c>
      <x:c r="D1507" s="83" t="n">
        <x:v>0.5361464092375887</x:v>
      </x:c>
      <x:c r="E1507" s="81" t="n">
        <x:v>-0.09782828162872878</x:v>
      </x:c>
      <x:c r="F1507" s="81" t="n">
        <x:v>0.5131764395860956</x:v>
      </x:c>
      <x:c r="G1507" s="81" t="n">
        <x:v>-0.011434214181297225</x:v>
      </x:c>
      <x:c r="H1507" s="59" t="n">
        <x:v>0</x:v>
      </x:c>
      <x:c r="I1507" s="81" t="n">
        <x:v>0</x:v>
      </x:c>
      <x:c r="J1507" s="79" t="n">
        <x:v>3.8656969957516723e-28</x:v>
      </x:c>
      <x:c r="K1507" s="81" t="n">
        <x:v>-1</x:v>
      </x:c>
      <x:c r="L1507" s="81" t="n">
        <x:v>-1</x:v>
      </x:c>
      <x:c r="M1507" s="80" t="n">
        <x:v>0.000002</x:v>
      </x:c>
      <x:c r="N1507" s="82" t="n">
        <x:v>0.25271301692717835</x:v>
      </x:c>
      <x:c r="O1507" s="82" t="n">
        <x:v>0.12250822954144648</x:v>
      </x:c>
      <x:c r="P1507" s="80" t="n">
        <x:v>180.0980525873727</x:v>
      </x:c>
      <x:c r="Q1507" s="81" t="n">
        <x:v>58645808886.409874</x:v>
      </x:c>
      <x:c r="R1507" s="81" t="n">
        <x:v>14.104554234478018</x:v>
      </x:c>
      <x:c r="S1507" s="81" t="n">
        <x:v>3.4629077907776146e-10</x:v>
      </x:c>
      <x:c r="T1507" s="81" t="n">
        <x:v>8.373943659179934e-24</x:v>
      </x:c>
    </x:row>
    <x:row r="1508">
      <x:c r="A1508" s="59" t="n">
        <x:v>1505</x:v>
      </x:c>
      <x:c r="B1508" s="193" t="n">
        <x:v>0.3957781620323658</x:v>
      </x:c>
      <x:c r="C1508" s="83" t="n">
        <x:v>0.4950942869887343</x:v>
      </x:c>
      <x:c r="D1508" s="83" t="n">
        <x:v>0.9726941253289221</x:v>
      </x:c>
      <x:c r="E1508" s="81" t="n">
        <x:v>0.09024424525879769</x:v>
      </x:c>
      <x:c r="F1508" s="81" t="n">
        <x:v>0.538552104937844</x:v>
      </x:c>
      <x:c r="G1508" s="81" t="n">
        <x:v>-0.03446569021436476</x:v>
      </x:c>
      <x:c r="H1508" s="59" t="n">
        <x:v>0</x:v>
      </x:c>
      <x:c r="I1508" s="81" t="n">
        <x:v>0</x:v>
      </x:c>
      <x:c r="J1508" s="79" t="n">
        <x:v>0.004069180689399782</x:v>
      </x:c>
      <x:c r="K1508" s="81" t="n">
        <x:v>3.650492216456895</x:v>
      </x:c>
      <x:c r="L1508" s="81" t="n">
        <x:v>-0.7622332549654488</x:v>
      </x:c>
      <x:c r="M1508" s="80" t="n">
        <x:v>21122.075489642768</x:v>
      </x:c>
      <x:c r="N1508" s="82" t="n">
        <x:v>0.19637552903664773</x:v>
      </x:c>
      <x:c r="O1508" s="82" t="n">
        <x:v>0.09990472704010848</x:v>
      </x:c>
      <x:c r="P1508" s="80" t="n">
        <x:v>36128.862474391135</x:v>
      </x:c>
      <x:c r="Q1508" s="81" t="n">
        <x:v>0.0027675974435181013</x:v>
      </x:c>
      <x:c r="R1508" s="81" t="n">
        <x:v>471.18998843132704</x:v>
      </x:c>
      <x:c r="S1508" s="81" t="n">
        <x:v>156.85017032014358</x:v>
      </x:c>
      <x:c r="T1508" s="81" t="n">
        <x:v>88.14733764571983</x:v>
      </x:c>
    </x:row>
    <x:row r="1509">
      <x:c r="A1509" s="59" t="n">
        <x:v>1506</x:v>
      </x:c>
      <x:c r="B1509" s="193" t="n">
        <x:v>0.822403085231781</x:v>
      </x:c>
      <x:c r="C1509" s="83" t="n">
        <x:v>0.145543573837928</x:v>
      </x:c>
      <x:c r="D1509" s="83" t="n">
        <x:v>0.1557176582567325</x:v>
      </x:c>
      <x:c r="E1509" s="81" t="n">
        <x:v>-0.04223319213716767</x:v>
      </x:c>
      <x:c r="F1509" s="81" t="n">
        <x:v>0.7955390239600092</x:v>
      </x:c>
      <x:c r="G1509" s="81" t="n">
        <x:v>-0.017585732664750005</x:v>
      </x:c>
      <x:c r="H1509" s="59" t="n">
        <x:v>69</x:v>
      </x:c>
      <x:c r="I1509" s="81" t="n">
        <x:v>0.1452306010760367</x:v>
      </x:c>
      <x:c r="J1509" s="79" t="n">
        <x:v>9.164520434264588e-10</x:v>
      </x:c>
      <x:c r="K1509" s="81" t="n">
        <x:v>-0.9999989526262361</x:v>
      </x:c>
      <x:c r="L1509" s="81" t="n">
        <x:v>-0.9999989526262361</x:v>
      </x:c>
      <x:c r="M1509" s="80" t="n">
        <x:v>5.982902123829268</x:v>
      </x:c>
      <x:c r="N1509" s="82" t="n">
        <x:v>0.2980055849600581</x:v>
      </x:c>
      <x:c r="O1509" s="82" t="n">
        <x:v>0.22395297362099031</x:v>
      </x:c>
      <x:c r="P1509" s="80" t="n">
        <x:v>134.37398628531506</x:v>
      </x:c>
      <x:c r="Q1509" s="81" t="n">
        <x:v>0.15230441045755289</x:v>
      </x:c>
      <x:c r="R1509" s="81" t="n">
        <x:v>36.64715127486262</x:v>
      </x:c>
      <x:c r="S1509" s="81" t="n">
        <x:v>0.0004072484450298502</x:v>
      </x:c>
      <x:c r="T1509" s="81" t="n">
        <x:v>0.000019852352076294177</x:v>
      </x:c>
    </x:row>
    <x:row r="1510">
      <x:c r="A1510" s="59" t="n">
        <x:v>1507</x:v>
      </x:c>
      <x:c r="B1510" s="193" t="n">
        <x:v>0.3025238759815693</x:v>
      </x:c>
      <x:c r="C1510" s="83" t="n">
        <x:v>2.551182758357858</x:v>
      </x:c>
      <x:c r="D1510" s="83" t="n">
        <x:v>0.8692108730596365</x:v>
      </x:c>
      <x:c r="E1510" s="81" t="n">
        <x:v>0.1308371287722399</x:v>
      </x:c>
      <x:c r="F1510" s="81" t="n">
        <x:v>0.5476626855437644</x:v>
      </x:c>
      <x:c r="G1510" s="81" t="n">
        <x:v>0.01671819622353546</x:v>
      </x:c>
      <x:c r="H1510" s="59" t="n">
        <x:v>0</x:v>
      </x:c>
      <x:c r="I1510" s="81" t="n">
        <x:v>0</x:v>
      </x:c>
      <x:c r="J1510" s="79" t="n">
        <x:v>0.17276059579339265</x:v>
      </x:c>
      <x:c r="K1510" s="81" t="n">
        <x:v>196.44068090673449</x:v>
      </x:c>
      <x:c r="L1510" s="81" t="n">
        <x:v>-0.6707319699664356</x:v>
      </x:c>
      <x:c r="M1510" s="80" t="n">
        <x:v>384518.52422501944</x:v>
      </x:c>
      <x:c r="N1510" s="82" t="n">
        <x:v>0.1741606095814846</x:v>
      </x:c>
      <x:c r="O1510" s="82" t="n">
        <x:v>0.0901019167068452</x:v>
      </x:c>
      <x:c r="P1510" s="80" t="n">
        <x:v>532517.0495095729</x:v>
      </x:c>
      <x:c r="Q1510" s="81" t="n">
        <x:v>0.002027045690725274</x:v>
      </x:c>
      <x:c r="R1510" s="81" t="n">
        <x:v>720.1312900461702</x:v>
      </x:c>
      <x:c r="S1510" s="81" t="n">
        <x:v>1312.7154427029095</x:v>
      </x:c>
      <x:c r="T1510" s="81" t="n">
        <x:v>3742.371679130853</x:v>
      </x:c>
    </x:row>
    <x:row r="1511">
      <x:c r="A1511" s="59" t="n">
        <x:v>1508</x:v>
      </x:c>
      <x:c r="B1511" s="193" t="n">
        <x:v>0.559594401717186</x:v>
      </x:c>
      <x:c r="C1511" s="83" t="n">
        <x:v>1.9964789188900782</x:v>
      </x:c>
      <x:c r="D1511" s="83" t="n">
        <x:v>0.26721895798672823</x:v>
      </x:c>
      <x:c r="E1511" s="81" t="n">
        <x:v>-0.10670956893178893</x:v>
      </x:c>
      <x:c r="F1511" s="81" t="n">
        <x:v>0.566474932502024</x:v>
      </x:c>
      <x:c r="G1511" s="81" t="n">
        <x:v>-0.03866478551788593</x:v>
      </x:c>
      <x:c r="H1511" s="59" t="n">
        <x:v>0</x:v>
      </x:c>
      <x:c r="I1511" s="81" t="n">
        <x:v>0</x:v>
      </x:c>
      <x:c r="J1511" s="79" t="n">
        <x:v>5.32221082486367e-18</x:v>
      </x:c>
      <x:c r="K1511" s="81" t="n">
        <x:v>-0.9999999999999939</x:v>
      </x:c>
      <x:c r="L1511" s="81" t="n">
        <x:v>-0.9999999999999939</x:v>
      </x:c>
      <x:c r="M1511" s="80" t="n">
        <x:v>0.0012261004123647703</x:v>
      </x:c>
      <x:c r="N1511" s="82" t="n">
        <x:v>0.23539962888406593</x:v>
      </x:c>
      <x:c r="O1511" s="82" t="n">
        <x:v>0.12596718145188487</x:v>
      </x:c>
      <x:c r="P1511" s="80" t="n">
        <x:v>404.30272698149736</x:v>
      </x:c>
      <x:c r="Q1511" s="81" t="n">
        <x:v>2413.396370950755</x:v>
      </x:c>
      <x:c r="R1511" s="81" t="n">
        <x:v>2.6234490503326673</x:v>
      </x:c>
      <x:c r="S1511" s="81" t="n">
        <x:v>3.067736206180402e-8</x:v>
      </x:c>
      <x:c r="T1511" s="81" t="n">
        <x:v>1.152907060192902e-13</x:v>
      </x:c>
    </x:row>
    <x:row r="1512">
      <x:c r="A1512" s="59" t="n">
        <x:v>1509</x:v>
      </x:c>
      <x:c r="B1512" s="193" t="n">
        <x:v>0.2589620042592287</x:v>
      </x:c>
      <x:c r="C1512" s="83" t="n">
        <x:v>0.305268751173868</x:v>
      </x:c>
      <x:c r="D1512" s="83" t="n">
        <x:v>0.5214999566893416</x:v>
      </x:c>
      <x:c r="E1512" s="81" t="n">
        <x:v>0.1845496300122662</x:v>
      </x:c>
      <x:c r="F1512" s="81" t="n">
        <x:v>0.6933226814842783</x:v>
      </x:c>
      <x:c r="G1512" s="81" t="n">
        <x:v>0.03024764151273552</x:v>
      </x:c>
      <x:c r="H1512" s="59" t="n">
        <x:v>0</x:v>
      </x:c>
      <x:c r="I1512" s="81" t="n">
        <x:v>0</x:v>
      </x:c>
      <x:c r="J1512" s="79" t="n">
        <x:v>0.015457519051992549</x:v>
      </x:c>
      <x:c r="K1512" s="81" t="n">
        <x:v>16.66573605942006</x:v>
      </x:c>
      <x:c r="L1512" s="81" t="n">
        <x:v>-0.7420299539556935</x:v>
      </x:c>
      <x:c r="M1512" s="80" t="n">
        <x:v>41209.02974828218</x:v>
      </x:c>
      <x:c r="N1512" s="82" t="n">
        <x:v>0.1637833549521283</x:v>
      </x:c>
      <x:c r="O1512" s="82" t="n">
        <x:v>0.10726946456794643</x:v>
      </x:c>
      <x:c r="P1512" s="80" t="n">
        <x:v>38562.040134128045</x:v>
      </x:c>
      <x:c r="Q1512" s="81" t="n">
        <x:v>0.001638528849376333</x:v>
      </x:c>
      <x:c r="R1512" s="81" t="n">
        <x:v>704.9700336485024</x:v>
      </x:c>
      <x:c r="S1512" s="81" t="n">
        <x:v>951.9837920008819</x:v>
      </x:c>
      <x:c r="T1512" s="81" t="n">
        <x:v>334.84360981819987</x:v>
      </x:c>
    </x:row>
    <x:row r="1513">
      <x:c r="A1513" s="59" t="n">
        <x:v>1510</x:v>
      </x:c>
      <x:c r="B1513" s="193" t="n">
        <x:v>0.7949076345190407</x:v>
      </x:c>
      <x:c r="C1513" s="83" t="n">
        <x:v>0.2825921723181877</x:v>
      </x:c>
      <x:c r="D1513" s="83" t="n">
        <x:v>0.5764869923085504</x:v>
      </x:c>
      <x:c r="E1513" s="81" t="n">
        <x:v>-0.009212822299749958</x:v>
      </x:c>
      <x:c r="F1513" s="81" t="n">
        <x:v>0.7207330091274344</x:v>
      </x:c>
      <x:c r="G1513" s="81" t="n">
        <x:v>-0.02820216421714631</x:v>
      </x:c>
      <x:c r="H1513" s="59" t="n">
        <x:v>0</x:v>
      </x:c>
      <x:c r="I1513" s="81" t="n">
        <x:v>0</x:v>
      </x:c>
      <x:c r="J1513" s="79" t="n">
        <x:v>6.798746060906881e-9</x:v>
      </x:c>
      <x:c r="K1513" s="81" t="n">
        <x:v>-0.9999922300045018</x:v>
      </x:c>
      <x:c r="L1513" s="81" t="n">
        <x:v>-0.9999922300045018</x:v>
      </x:c>
      <x:c r="M1513" s="80" t="n">
        <x:v>18.191438111141714</x:v>
      </x:c>
      <x:c r="N1513" s="82" t="n">
        <x:v>0.2914556530605828</x:v>
      </x:c>
      <x:c r="O1513" s="82" t="n">
        <x:v>0.19843480012972908</x:v>
      </x:c>
      <x:c r="P1513" s="80" t="n">
        <x:v>606.7363903359944</x:v>
      </x:c>
      <x:c r="Q1513" s="81" t="n">
        <x:v>0.25231940520612994</x:v>
      </x:c>
      <x:c r="R1513" s="81" t="n">
        <x:v>22.783273967432525</x:v>
      </x:c>
      <x:c r="S1513" s="81" t="n">
        <x:v>0.002996344805854008</x:v>
      </x:c>
      <x:c r="T1513" s="81" t="n">
        <x:v>0.00014727568283203073</x:v>
      </x:c>
    </x:row>
    <x:row r="1514">
      <x:c r="A1514" s="59" t="n">
        <x:v>1511</x:v>
      </x:c>
      <x:c r="B1514" s="193" t="n">
        <x:v>0.9789170967414975</x:v>
      </x:c>
      <x:c r="C1514" s="83" t="n">
        <x:v>1.0619827524913386</x:v>
      </x:c>
      <x:c r="D1514" s="83" t="n">
        <x:v>1.050607435538916</x:v>
      </x:c>
      <x:c r="E1514" s="81" t="n">
        <x:v>0.004573591046783489</x:v>
      </x:c>
      <x:c r="F1514" s="81" t="n">
        <x:v>0.38083849076647314</x:v>
      </x:c>
      <x:c r="G1514" s="81" t="n">
        <x:v>0.012279451886497187</x:v>
      </x:c>
      <x:c r="H1514" s="59" t="n">
        <x:v>68</x:v>
      </x:c>
      <x:c r="I1514" s="81" t="n">
        <x:v>0.2514868134632707</x:v>
      </x:c>
      <x:c r="J1514" s="79" t="n">
        <x:v>0.00003324573618762443</x:v>
      </x:c>
      <x:c r="K1514" s="81" t="n">
        <x:v>-0.9620048729284292</x:v>
      </x:c>
      <x:c r="L1514" s="81" t="n">
        <x:v>-0.9648977498371653</x:v>
      </x:c>
      <x:c r="M1514" s="80" t="n">
        <x:v>2065.0492666055598</x:v>
      </x:c>
      <x:c r="N1514" s="82" t="n">
        <x:v>0.3352901571393888</x:v>
      </x:c>
      <x:c r="O1514" s="82" t="n">
        <x:v>0.12062368216120439</x:v>
      </x:c>
      <x:c r="P1514" s="80" t="n">
        <x:v>7446.090164010094</x:v>
      </x:c>
      <x:c r="Q1514" s="81" t="n">
        <x:v>0.04373935075118875</x:v>
      </x:c>
      <x:c r="R1514" s="81" t="n">
        <x:v>15.493912937907083</x:v>
      </x:c>
      <x:c r="S1514" s="81" t="n">
        <x:v>1.1177713294333969</x:v>
      </x:c>
      <x:c r="T1514" s="81" t="n">
        <x:v>0.7201752285527824</x:v>
      </x:c>
    </x:row>
    <x:row r="1515">
      <x:c r="A1515" s="59" t="n">
        <x:v>1512</x:v>
      </x:c>
      <x:c r="B1515" s="193" t="n">
        <x:v>0.7241046322509648</x:v>
      </x:c>
      <x:c r="C1515" s="83" t="n">
        <x:v>2.7287308613983075</x:v>
      </x:c>
      <x:c r="D1515" s="83" t="n">
        <x:v>0.18869158745001707</x:v>
      </x:c>
      <x:c r="E1515" s="81" t="n">
        <x:v>0.2</x:v>
      </x:c>
      <x:c r="F1515" s="81" t="n">
        <x:v>0.5995544354780578</x:v>
      </x:c>
      <x:c r="G1515" s="81" t="n">
        <x:v>0.02075910426119179</x:v>
      </x:c>
      <x:c r="H1515" s="59" t="n">
        <x:v>0</x:v>
      </x:c>
      <x:c r="I1515" s="81" t="n">
        <x:v>0</x:v>
      </x:c>
      <x:c r="J1515" s="79" t="n">
        <x:v>0.006099082931104014</x:v>
      </x:c>
      <x:c r="K1515" s="81" t="n">
        <x:v>5.970380492690302</x:v>
      </x:c>
      <x:c r="L1515" s="81" t="n">
        <x:v>-0.5499436942138687</x:v>
      </x:c>
      <x:c r="M1515" s="80" t="n">
        <x:v>58318.41506759227</x:v>
      </x:c>
      <x:c r="N1515" s="82" t="n">
        <x:v>0.27458905036403436</x:v>
      </x:c>
      <x:c r="O1515" s="82" t="n">
        <x:v>0.15551875726503062</x:v>
      </x:c>
      <x:c r="P1515" s="80" t="n">
        <x:v>23733.72860947436</x:v>
      </x:c>
      <x:c r="Q1515" s="81" t="n">
        <x:v>0.002043819539349417</x:v>
      </x:c>
      <x:c r="R1515" s="81" t="n">
        <x:v>30.842263158139247</x:v>
      </x:c>
      <x:c r="S1515" s="81" t="n">
        <x:v>43.45350217609509</x:v>
      </x:c>
      <x:c r="T1515" s="81" t="n">
        <x:v>132.11945192253737</x:v>
      </x:c>
    </x:row>
    <x:row r="1516">
      <x:c r="A1516" s="59" t="n">
        <x:v>1513</x:v>
      </x:c>
      <x:c r="B1516" s="193" t="n">
        <x:v>0.21434348113834858</x:v>
      </x:c>
      <x:c r="C1516" s="83" t="n">
        <x:v>0.1373428466070031</x:v>
      </x:c>
      <x:c r="D1516" s="83" t="n">
        <x:v>0.3683382290558438</x:v>
      </x:c>
      <x:c r="E1516" s="81" t="n">
        <x:v>0.04752282868520952</x:v>
      </x:c>
      <x:c r="F1516" s="81" t="n">
        <x:v>0.37257799374638123</x:v>
      </x:c>
      <x:c r="G1516" s="81" t="n">
        <x:v>0.019486297039083483</x:v>
      </x:c>
      <x:c r="H1516" s="59" t="n">
        <x:v>0</x:v>
      </x:c>
      <x:c r="I1516" s="81" t="n">
        <x:v>0</x:v>
      </x:c>
      <x:c r="J1516" s="79" t="n">
        <x:v>0.0008870415874044635</x:v>
      </x:c>
      <x:c r="K1516" s="81" t="n">
        <x:v>0.013761814176529885</x:v>
      </x:c>
      <x:c r="L1516" s="81" t="n">
        <x:v>-0.6641828209447114</x:v>
      </x:c>
      <x:c r="M1516" s="80" t="n">
        <x:v>6220.025670888591</x:v>
      </x:c>
      <x:c r="N1516" s="82" t="n">
        <x:v>0.15315438614742607</x:v>
      </x:c>
      <x:c r="O1516" s="82" t="n">
        <x:v>0.05390357638073088</x:v>
      </x:c>
      <x:c r="P1516" s="80" t="n">
        <x:v>5009.646051503808</x:v>
      </x:c>
      <x:c r="Q1516" s="81" t="n">
        <x:v>0.002478892593269723</x:v>
      </x:c>
      <x:c r="R1516" s="81" t="n">
        <x:v>208.84829473761386</x:v>
      </x:c>
      <x:c r="S1516" s="81" t="n">
        <x:v>121.08345703481164</x:v>
      </x:c>
      <x:c r="T1516" s="81" t="n">
        <x:v>19.215257389386135</x:v>
      </x:c>
    </x:row>
    <x:row r="1517">
      <x:c r="A1517" s="59" t="n">
        <x:v>1514</x:v>
      </x:c>
      <x:c r="B1517" s="193" t="n">
        <x:v>0.5521934878081083</x:v>
      </x:c>
      <x:c r="C1517" s="83" t="n">
        <x:v>1.2336915315082035</x:v>
      </x:c>
      <x:c r="D1517" s="83" t="n">
        <x:v>0.5501558100176747</x:v>
      </x:c>
      <x:c r="E1517" s="81" t="n">
        <x:v>0.04431168855469703</x:v>
      </x:c>
      <x:c r="F1517" s="81" t="n">
        <x:v>0.7110668960027398</x:v>
      </x:c>
      <x:c r="G1517" s="81" t="n">
        <x:v>-0.003228655815037151</x:v>
      </x:c>
      <x:c r="H1517" s="59" t="n">
        <x:v>0</x:v>
      </x:c>
      <x:c r="I1517" s="81" t="n">
        <x:v>0</x:v>
      </x:c>
      <x:c r="J1517" s="79" t="n">
        <x:v>0.0004831636615099447</x:v>
      </x:c>
      <x:c r="K1517" s="81" t="n">
        <x:v>-0.44781295827434886</x:v>
      </x:c>
      <x:c r="L1517" s="81" t="n">
        <x:v>-0.7613572968933782</x:v>
      </x:c>
      <x:c r="M1517" s="80" t="n">
        <x:v>9175.541225826744</x:v>
      </x:c>
      <x:c r="N1517" s="82" t="n">
        <x:v>0.23363659242378768</x:v>
      </x:c>
      <x:c r="O1517" s="82" t="n">
        <x:v>0.15693588674617295</x:v>
      </x:c>
      <x:c r="P1517" s="80" t="n">
        <x:v>10852.193330295197</x:v>
      </x:c>
      <x:c r="Q1517" s="81" t="n">
        <x:v>0.007663937141819812</x:v>
      </x:c>
      <x:c r="R1517" s="81" t="n">
        <x:v>25.477057326125987</x:v>
      </x:c>
      <x:c r="S1517" s="81" t="n">
        <x:v>8.262192647372766</x:v>
      </x:c>
      <x:c r="T1517" s="81" t="n">
        <x:v>10.466379760477404</x:v>
      </x:c>
    </x:row>
    <x:row r="1518">
      <x:c r="A1518" s="59" t="n">
        <x:v>1515</x:v>
      </x:c>
      <x:c r="B1518" s="193" t="n">
        <x:v>0.6991119373589754</x:v>
      </x:c>
      <x:c r="C1518" s="83" t="n">
        <x:v>0.1560291072057044</x:v>
      </x:c>
      <x:c r="D1518" s="83" t="n">
        <x:v>0.1</x:v>
      </x:c>
      <x:c r="E1518" s="81" t="n">
        <x:v>-0.08475335922531185</x:v>
      </x:c>
      <x:c r="F1518" s="81" t="n">
        <x:v>0.707038449542597</x:v>
      </x:c>
      <x:c r="G1518" s="81" t="n">
        <x:v>0.0036997401828765524</x:v>
      </x:c>
      <x:c r="H1518" s="59" t="n">
        <x:v>0</x:v>
      </x:c>
      <x:c r="I1518" s="81" t="n">
        <x:v>0</x:v>
      </x:c>
      <x:c r="J1518" s="79" t="n">
        <x:v>5.2908749433835994e-11</x:v>
      </x:c>
      <x:c r="K1518" s="81" t="n">
        <x:v>-0.9999999395328578</x:v>
      </x:c>
      <x:c r="L1518" s="81" t="n">
        <x:v>-0.9999999395328578</x:v>
      </x:c>
      <x:c r="M1518" s="80" t="n">
        <x:v>1.4568529990709227</x:v>
      </x:c>
      <x:c r="N1518" s="82" t="n">
        <x:v>0.26863532182773336</x:v>
      </x:c>
      <x:c r="O1518" s="82" t="n">
        <x:v>0.17942257677917375</x:v>
      </x:c>
      <x:c r="P1518" s="80" t="n">
        <x:v>93.60582853799636</x:v>
      </x:c>
      <x:c r="Q1518" s="81" t="n">
        <x:v>0.3519973088023174</x:v>
      </x:c>
      <x:c r="R1518" s="81" t="n">
        <x:v>36.62966692199109</x:v>
      </x:c>
      <x:c r="S1518" s="81" t="n">
        <x:v>0.00006505584864217603</x:v>
      </x:c>
      <x:c r="T1518" s="81" t="n">
        <x:v>0.0000011461190241333445</x:v>
      </x:c>
    </x:row>
    <x:row r="1519">
      <x:c r="A1519" s="59" t="n">
        <x:v>1516</x:v>
      </x:c>
      <x:c r="B1519" s="193" t="n">
        <x:v>0.31917773708701136</x:v>
      </x:c>
      <x:c r="C1519" s="83" t="n">
        <x:v>0.44051368713238065</x:v>
      </x:c>
      <x:c r="D1519" s="83" t="n">
        <x:v>0.4272886522494722</x:v>
      </x:c>
      <x:c r="E1519" s="81" t="n">
        <x:v>-0.035416560113156595</x:v>
      </x:c>
      <x:c r="F1519" s="81" t="n">
        <x:v>0.6962316639954225</x:v>
      </x:c>
      <x:c r="G1519" s="81" t="n">
        <x:v>-0.010697401991914851</x:v>
      </x:c>
      <x:c r="H1519" s="59" t="n">
        <x:v>43</x:v>
      </x:c>
      <x:c r="I1519" s="81" t="n">
        <x:v>0.1527095408178866</x:v>
      </x:c>
      <x:c r="J1519" s="79" t="n">
        <x:v>1.6908805833766187e-13</x:v>
      </x:c>
      <x:c r="K1519" s="81" t="n">
        <x:v>-0.9999999998067565</x:v>
      </x:c>
      <x:c r="L1519" s="81" t="n">
        <x:v>-0.9999999998067565</x:v>
      </x:c>
      <x:c r="M1519" s="80" t="n">
        <x:v>0.10349594126960997</x:v>
      </x:c>
      <x:c r="N1519" s="82" t="n">
        <x:v>0.1781278715566966</x:v>
      </x:c>
      <x:c r="O1519" s="82" t="n">
        <x:v>0.11715385697320196</x:v>
      </x:c>
      <x:c r="P1519" s="80" t="n">
        <x:v>429.122395056633</x:v>
      </x:c>
      <x:c r="Q1519" s="81" t="n">
        <x:v>18.06851066209789</x:v>
      </x:c>
      <x:c r="R1519" s="81" t="n">
        <x:v>14.25470665379634</x:v>
      </x:c>
      <x:c r="S1519" s="81" t="n">
        <x:v>0.000012114312313866383</x:v>
      </x:c>
      <x:c r="T1519" s="81" t="n">
        <x:v>3.6628164998855183e-9</x:v>
      </x:c>
    </x:row>
    <x:row r="1520">
      <x:c r="A1520" s="59" t="n">
        <x:v>1517</x:v>
      </x:c>
      <x:c r="B1520" s="193" t="n">
        <x:v>0.2650992123410106</x:v>
      </x:c>
      <x:c r="C1520" s="83" t="n">
        <x:v>0.3537429412074996</x:v>
      </x:c>
      <x:c r="D1520" s="83" t="n">
        <x:v>0.6835780726825206</x:v>
      </x:c>
      <x:c r="E1520" s="81" t="n">
        <x:v>0.10772113600661967</x:v>
      </x:c>
      <x:c r="F1520" s="81" t="n">
        <x:v>0.5174082918907517</x:v>
      </x:c>
      <x:c r="G1520" s="81" t="n">
        <x:v>-0.0023574877707767043</x:v>
      </x:c>
      <x:c r="H1520" s="59" t="n">
        <x:v>0</x:v>
      </x:c>
      <x:c r="I1520" s="81" t="n">
        <x:v>0</x:v>
      </x:c>
      <x:c r="J1520" s="79" t="n">
        <x:v>0.007509735631536574</x:v>
      </x:c>
      <x:c r="K1520" s="81" t="n">
        <x:v>7.58255500747037</x:v>
      </x:c>
      <x:c r="L1520" s="81" t="n">
        <x:v>-0.707794023599148</x:v>
      </x:c>
      <x:c r="M1520" s="80" t="n">
        <x:v>26073.766231512902</x:v>
      </x:c>
      <x:c r="N1520" s="82" t="n">
        <x:v>0.16524535298986012</x:v>
      </x:c>
      <x:c r="O1520" s="82" t="n">
        <x:v>0.0807669311086146</x:v>
      </x:c>
      <x:c r="P1520" s="80" t="n">
        <x:v>31714.00107888238</x:v>
      </x:c>
      <x:c r="Q1520" s="81" t="n">
        <x:v>0.0019149003287149294</x:v>
      </x:c>
      <x:c r="R1520" s="81" t="n">
        <x:v>554.1639419603202</x:v>
      </x:c>
      <x:c r="S1520" s="81" t="n">
        <x:v>400.29295883778593</x:v>
      </x:c>
      <x:c r="T1520" s="81" t="n">
        <x:v>162.67726917793595</x:v>
      </x:c>
    </x:row>
    <x:row r="1521">
      <x:c r="A1521" s="59" t="n">
        <x:v>1518</x:v>
      </x:c>
      <x:c r="B1521" s="193" t="n">
        <x:v>0.5733552338555455</x:v>
      </x:c>
      <x:c r="C1521" s="83" t="n">
        <x:v>0.21596767004770412</x:v>
      </x:c>
      <x:c r="D1521" s="83" t="n">
        <x:v>0.5671983762890316</x:v>
      </x:c>
      <x:c r="E1521" s="81" t="n">
        <x:v>0.01941940418632189</x:v>
      </x:c>
      <x:c r="F1521" s="81" t="n">
        <x:v>0.35908416295424106</x:v>
      </x:c>
      <x:c r="G1521" s="81" t="n">
        <x:v>0.02118928681342673</x:v>
      </x:c>
      <x:c r="H1521" s="59" t="n">
        <x:v>0</x:v>
      </x:c>
      <x:c r="I1521" s="81" t="n">
        <x:v>0</x:v>
      </x:c>
      <x:c r="J1521" s="79" t="n">
        <x:v>0.0001746178791535767</x:v>
      </x:c>
      <x:c r="K1521" s="81" t="n">
        <x:v>-0.8004367095387694</x:v>
      </x:c>
      <x:c r="L1521" s="81" t="n">
        <x:v>-0.8800633476785417</x:v>
      </x:c>
      <x:c r="M1521" s="80" t="n">
        <x:v>2871.7914059135487</x:v>
      </x:c>
      <x:c r="N1521" s="82" t="n">
        <x:v>0.23867771711502558</x:v>
      </x:c>
      <x:c r="O1521" s="82" t="n">
        <x:v>0.0809615974379748</x:v>
      </x:c>
      <x:c r="P1521" s="80" t="n">
        <x:v>4064.018276722755</x:v>
      </x:c>
      <x:c r="Q1521" s="81" t="n">
        <x:v>0.008309759500049878</x:v>
      </x:c>
      <x:c r="R1521" s="81" t="n">
        <x:v>82.49376566365416</x:v>
      </x:c>
      <x:c r="S1521" s="81" t="n">
        <x:v>15.7821957994699</x:v>
      </x:c>
      <x:c r="T1521" s="81" t="n">
        <x:v>3.7826044915690913</x:v>
      </x:c>
    </x:row>
    <x:row r="1522">
      <x:c r="A1522" s="59" t="n">
        <x:v>1519</x:v>
      </x:c>
      <x:c r="B1522" s="193" t="n">
        <x:v>0.9949473032727838</x:v>
      </x:c>
      <x:c r="C1522" s="83" t="n">
        <x:v>2.0521998824246355</x:v>
      </x:c>
      <x:c r="D1522" s="83" t="n">
        <x:v>0.897181168129105</x:v>
      </x:c>
      <x:c r="E1522" s="81" t="n">
        <x:v>0.07005550476178045</x:v>
      </x:c>
      <x:c r="F1522" s="81" t="n">
        <x:v>0.8222940630745142</x:v>
      </x:c>
      <x:c r="G1522" s="81" t="n">
        <x:v>-0.009140257669498875</x:v>
      </x:c>
      <x:c r="H1522" s="59" t="n">
        <x:v>0</x:v>
      </x:c>
      <x:c r="I1522" s="81" t="n">
        <x:v>0</x:v>
      </x:c>
      <x:c r="J1522" s="79" t="n">
        <x:v>0.00214871349228723</x:v>
      </x:c>
      <x:c r="K1522" s="81" t="n">
        <x:v>1.4556725626139775</x:v>
      </x:c>
      <x:c r="L1522" s="81" t="n">
        <x:v>-0.7517151099479751</x:v>
      </x:c>
      <x:c r="M1522" s="80" t="n">
        <x:v>30119.288593463156</x:v>
      </x:c>
      <x:c r="N1522" s="82" t="n">
        <x:v>0.3391088529015136</x:v>
      </x:c>
      <x:c r="O1522" s="82" t="n">
        <x:v>0.26341301200088024</x:v>
      </x:c>
      <x:c r="P1522" s="80" t="n">
        <x:v>49450.49055553936</x:v>
      </x:c>
      <x:c r="Q1522" s="81" t="n">
        <x:v>0.00902177676404463</x:v>
      </x:c>
      <x:c r="R1522" s="81" t="n">
        <x:v>47.673787612223464</x:v>
      </x:c>
      <x:c r="S1522" s="81" t="n">
        <x:v>23.12005005746396</x:v>
      </x:c>
      <x:c r="T1522" s="81" t="n">
        <x:v>46.54582535544616</x:v>
      </x:c>
    </x:row>
    <x:row r="1523">
      <x:c r="A1523" s="59" t="n">
        <x:v>1520</x:v>
      </x:c>
      <x:c r="B1523" s="193" t="n">
        <x:v>0.7224848782643676</x:v>
      </x:c>
      <x:c r="C1523" s="83" t="n">
        <x:v>0.1992741624615829</x:v>
      </x:c>
      <x:c r="D1523" s="83" t="n">
        <x:v>0.2641655496839192</x:v>
      </x:c>
      <x:c r="E1523" s="81" t="n">
        <x:v>0.05461631244442478</x:v>
      </x:c>
      <x:c r="F1523" s="81" t="n">
        <x:v>0.32937206502538174</x:v>
      </x:c>
      <x:c r="G1523" s="81" t="n">
        <x:v>-0.005897442078426556</x:v>
      </x:c>
      <x:c r="H1523" s="59" t="n">
        <x:v>0</x:v>
      </x:c>
      <x:c r="I1523" s="81" t="n">
        <x:v>0</x:v>
      </x:c>
      <x:c r="J1523" s="79" t="n">
        <x:v>0.00014772397714930892</x:v>
      </x:c>
      <x:c r="K1523" s="81" t="n">
        <x:v>-0.8311725975436469</x:v>
      </x:c>
      <x:c r="L1523" s="81" t="n">
        <x:v>-0.8693497975201803</x:v>
      </x:c>
      <x:c r="M1523" s="80" t="n">
        <x:v>2620.5565813827166</x:v>
      </x:c>
      <x:c r="N1523" s="82" t="n">
        <x:v>0.27420319459403997</x:v>
      </x:c>
      <x:c r="O1523" s="82" t="n">
        <x:v>0.08531594679261305</x:v>
      </x:c>
      <x:c r="P1523" s="80" t="n">
        <x:v>1737.4789811176056</x:v>
      </x:c>
      <x:c r="Q1523" s="81" t="n">
        <x:v>0.0032180306642551064</x:v>
      </x:c>
      <x:c r="R1523" s="81" t="n">
        <x:v>97.92577121243424</x:v>
      </x:c>
      <x:c r="S1523" s="81" t="n">
        <x:v>14.011736505918332</x:v>
      </x:c>
      <x:c r="T1523" s="81" t="n">
        <x:v>3.2000238588740193</x:v>
      </x:c>
    </x:row>
    <x:row r="1524">
      <x:c r="A1524" s="59" t="n">
        <x:v>1521</x:v>
      </x:c>
      <x:c r="B1524" s="193" t="n">
        <x:v>0.7070019200444222</x:v>
      </x:c>
      <x:c r="C1524" s="83" t="n">
        <x:v>0.278574427510194</x:v>
      </x:c>
      <x:c r="D1524" s="83" t="n">
        <x:v>0.6672690727679718</x:v>
      </x:c>
      <x:c r="E1524" s="81" t="n">
        <x:v>-0.09480379560909981</x:v>
      </x:c>
      <x:c r="F1524" s="81" t="n">
        <x:v>0.4611984961200506</x:v>
      </x:c>
      <x:c r="G1524" s="81" t="n">
        <x:v>-0.025383607322211867</x:v>
      </x:c>
      <x:c r="H1524" s="59" t="n">
        <x:v>75</x:v>
      </x:c>
      <x:c r="I1524" s="81" t="n">
        <x:v>0.3547912787646056</x:v>
      </x:c>
      <x:c r="J1524" s="79" t="n">
        <x:v>1.1511009674629026e-29</x:v>
      </x:c>
      <x:c r="K1524" s="81" t="n">
        <x:v>-1</x:v>
      </x:c>
      <x:c r="L1524" s="81" t="n">
        <x:v>-1</x:v>
      </x:c>
      <x:c r="M1524" s="80" t="n">
        <x:v>0.000002</x:v>
      </x:c>
      <x:c r="N1524" s="82" t="n">
        <x:v>0.27051486364058214</x:v>
      </x:c>
      <x:c r="O1524" s="82" t="n">
        <x:v>0.11785552777811001</x:v>
      </x:c>
      <x:c r="P1524" s="80" t="n">
        <x:v>211.6681758712759</x:v>
      </x:c>
      <x:c r="Q1524" s="81" t="n">
        <x:v>2026711590817.307</x:v>
      </x:c>
      <x:c r="R1524" s="81" t="n">
        <x:v>8.013792471835076</x:v>
      </x:c>
      <x:c r="S1524" s="81" t="n">
        <x:v>3.343663633239421e-10</x:v>
      </x:c>
      <x:c r="T1524" s="81" t="n">
        <x:v>2.493536006095465e-25</x:v>
      </x:c>
    </x:row>
    <x:row r="1525">
      <x:c r="A1525" s="59" t="n">
        <x:v>1522</x:v>
      </x:c>
      <x:c r="B1525" s="193" t="n">
        <x:v>0.9490065895020963</x:v>
      </x:c>
      <x:c r="C1525" s="83" t="n">
        <x:v>1.1169750054397758</x:v>
      </x:c>
      <x:c r="D1525" s="83" t="n">
        <x:v>0.5903463498572925</x:v>
      </x:c>
      <x:c r="E1525" s="81" t="n">
        <x:v>-0.1163997985017321</x:v>
      </x:c>
      <x:c r="F1525" s="81" t="n">
        <x:v>0.3386417271918617</x:v>
      </x:c>
      <x:c r="G1525" s="81" t="n">
        <x:v>-0.013839466142784494</x:v>
      </x:c>
      <x:c r="H1525" s="59" t="n">
        <x:v>0</x:v>
      </x:c>
      <x:c r="I1525" s="81" t="n">
        <x:v>0</x:v>
      </x:c>
      <x:c r="J1525" s="79" t="n">
        <x:v>2.369619748699505e-32</x:v>
      </x:c>
      <x:c r="K1525" s="81" t="n">
        <x:v>-1</x:v>
      </x:c>
      <x:c r="L1525" s="81" t="n">
        <x:v>-1</x:v>
      </x:c>
      <x:c r="M1525" s="80" t="n">
        <x:v>0.000002</x:v>
      </x:c>
      <x:c r="N1525" s="82" t="n">
        <x:v>0.32816491349295235</x:v>
      </x:c>
      <x:c r="O1525" s="82" t="n">
        <x:v>0.1049792722995192</x:v>
      </x:c>
      <x:c r="P1525" s="80" t="n">
        <x:v>300.50441299633314</x:v>
      </x:c>
      <x:c r="Q1525" s="81" t="n">
        <x:v>817680538568878.1</x:v>
      </x:c>
      <x:c r="R1525" s="81" t="n">
        <x:v>2.196981023233767</x:v>
      </x:c>
      <x:c r="S1525" s="81" t="n">
        <x:v>2.0618541663502002e-10</x:v>
      </x:c>
      <x:c r="T1525" s="81" t="n">
        <x:v>5.133113715611162e-28</x:v>
      </x:c>
    </x:row>
    <x:row r="1526">
      <x:c r="A1526" s="59" t="n">
        <x:v>1523</x:v>
      </x:c>
      <x:c r="B1526" s="193" t="n">
        <x:v>0.9541623510420323</x:v>
      </x:c>
      <x:c r="C1526" s="83" t="n">
        <x:v>1.1974737543271514</x:v>
      </x:c>
      <x:c r="D1526" s="83" t="n">
        <x:v>0.47028297911780204</x:v>
      </x:c>
      <x:c r="E1526" s="81" t="n">
        <x:v>-0.014929256740223997</x:v>
      </x:c>
      <x:c r="F1526" s="81" t="n">
        <x:v>0.35606621615588663</x:v>
      </x:c>
      <x:c r="G1526" s="81" t="n">
        <x:v>-0.025126592259190696</x:v>
      </x:c>
      <x:c r="H1526" s="59" t="n">
        <x:v>62</x:v>
      </x:c>
      <x:c r="I1526" s="81" t="n">
        <x:v>0.45531578296795494</x:v>
      </x:c>
      <x:c r="J1526" s="79" t="n">
        <x:v>7.840668562150524e-9</x:v>
      </x:c>
      <x:c r="K1526" s="81" t="n">
        <x:v>-0.999991039235929</x:v>
      </x:c>
      <x:c r="L1526" s="81" t="n">
        <x:v>-0.999991039235929</x:v>
      </x:c>
      <x:c r="M1526" s="80" t="n">
        <x:v>33.46465996530911</x:v>
      </x:c>
      <x:c r="N1526" s="82" t="n">
        <x:v>0.32939311256229387</x:v>
      </x:c>
      <x:c r="O1526" s="82" t="n">
        <x:v>0.11079399574650155</x:v>
      </x:c>
      <x:c r="P1526" s="80" t="n">
        <x:v>1214.738899376164</x:v>
      </x:c>
      <x:c r="Q1526" s="81" t="n">
        <x:v>0.2770831750493653</x:v>
      </x:c>
      <x:c r="R1526" s="81" t="n">
        <x:v>8.415938654077811</x:v>
      </x:c>
      <x:c r="S1526" s="81" t="n">
        <x:v>0.0024474574963437587</x:v>
      </x:c>
      <x:c r="T1526" s="81" t="n">
        <x:v>0.00016984599895415492</x:v>
      </x:c>
    </x:row>
    <x:row r="1527">
      <x:c r="A1527" s="59" t="n">
        <x:v>1524</x:v>
      </x:c>
      <x:c r="B1527" s="193" t="n">
        <x:v>0.9937170568853617</x:v>
      </x:c>
      <x:c r="C1527" s="83" t="n">
        <x:v>1.864330427388515</x:v>
      </x:c>
      <x:c r="D1527" s="83" t="n">
        <x:v>0.7079977681847711</x:v>
      </x:c>
      <x:c r="E1527" s="81" t="n">
        <x:v>0.088402593755049</x:v>
      </x:c>
      <x:c r="F1527" s="81" t="n">
        <x:v>0.38346694022184236</x:v>
      </x:c>
      <x:c r="G1527" s="81" t="n">
        <x:v>-0.01542648798799616</x:v>
      </x:c>
      <x:c r="H1527" s="59" t="n">
        <x:v>0</x:v>
      </x:c>
      <x:c r="I1527" s="81" t="n">
        <x:v>0</x:v>
      </x:c>
      <x:c r="J1527" s="79" t="n">
        <x:v>0.007392266638977327</x:v>
      </x:c>
      <x:c r="K1527" s="81" t="n">
        <x:v>7.448304730259803</x:v>
      </x:c>
      <x:c r="L1527" s="81" t="n">
        <x:v>-0.6575840251462708</x:v>
      </x:c>
      <x:c r="M1527" s="80" t="n">
        <x:v>51887.648348735</x:v>
      </x:c>
      <x:c r="N1527" s="82" t="n">
        <x:v>0.3388157851449097</x:v>
      </x:c>
      <x:c r="O1527" s="82" t="n">
        <x:v>0.12273332657357117</x:v>
      </x:c>
      <x:c r="P1527" s="80" t="n">
        <x:v>66482.52581014193</x:v>
      </x:c>
      <x:c r="Q1527" s="81" t="n">
        <x:v>0.0034542051536888487</x:v>
      </x:c>
      <x:c r="R1527" s="81" t="n">
        <x:v>116.38360373698077</x:v>
      </x:c>
      <x:c r="S1527" s="81" t="n">
        <x:v>78.63617928945276</x:v>
      </x:c>
      <x:c r="T1527" s="81" t="n">
        <x:v>160.1326343385453</x:v>
      </x:c>
    </x:row>
    <x:row r="1528">
      <x:c r="A1528" s="59" t="n">
        <x:v>1525</x:v>
      </x:c>
      <x:c r="B1528" s="193" t="n">
        <x:v>0.4986392566934228</x:v>
      </x:c>
      <x:c r="C1528" s="83" t="n">
        <x:v>0.14546581499555913</x:v>
      </x:c>
      <x:c r="D1528" s="83" t="n">
        <x:v>0.7133952374585985</x:v>
      </x:c>
      <x:c r="E1528" s="81" t="n">
        <x:v>0.17797492720983</x:v>
      </x:c>
      <x:c r="F1528" s="81" t="n">
        <x:v>0.42575503698317335</x:v>
      </x:c>
      <x:c r="G1528" s="81" t="n">
        <x:v>-0.02590134226312393</x:v>
      </x:c>
      <x:c r="H1528" s="59" t="n">
        <x:v>0</x:v>
      </x:c>
      <x:c r="I1528" s="81" t="n">
        <x:v>0</x:v>
      </x:c>
      <x:c r="J1528" s="79" t="n">
        <x:v>0.008699922758456224</x:v>
      </x:c>
      <x:c r="K1528" s="81" t="n">
        <x:v>8.942768866807114</x:v>
      </x:c>
      <x:c r="L1528" s="81" t="n">
        <x:v>-0.7939332276223352</x:v>
      </x:c>
      <x:c r="M1528" s="80" t="n">
        <x:v>26573.55931879477</x:v>
      </x:c>
      <x:c r="N1528" s="82" t="n">
        <x:v>0.22087897043043622</x:v>
      </x:c>
      <x:c r="O1528" s="82" t="n">
        <x:v>0.08883520437212931</x:v>
      </x:c>
      <x:c r="P1528" s="80" t="n">
        <x:v>31397.52729759081</x:v>
      </x:c>
      <x:c r="Q1528" s="81" t="n">
        <x:v>0.0013863360828698158</x:v>
      </x:c>
      <x:c r="R1528" s="81" t="n">
        <x:v>2615.2013345173227</x:v>
      </x:c>
      <x:c r="S1528" s="81" t="n">
        <x:v>1116.5242403181603</x:v>
      </x:c>
      <x:c r="T1528" s="81" t="n">
        <x:v>188.45932078637665</x:v>
      </x:c>
    </x:row>
    <x:row r="1529">
      <x:c r="A1529" s="59" t="n">
        <x:v>1526</x:v>
      </x:c>
      <x:c r="B1529" s="193" t="n">
        <x:v>0.6290282836183906</x:v>
      </x:c>
      <x:c r="C1529" s="83" t="n">
        <x:v>1.38592923836688</x:v>
      </x:c>
      <x:c r="D1529" s="83" t="n">
        <x:v>0.5516585013033459</x:v>
      </x:c>
      <x:c r="E1529" s="81" t="n">
        <x:v>-0.0024755801341480145</x:v>
      </x:c>
      <x:c r="F1529" s="81" t="n">
        <x:v>0.7344798557460308</x:v>
      </x:c>
      <x:c r="G1529" s="81" t="n">
        <x:v>0.03207775830877978</x:v>
      </x:c>
      <x:c r="H1529" s="59" t="n">
        <x:v>0</x:v>
      </x:c>
      <x:c r="I1529" s="81" t="n">
        <x:v>0</x:v>
      </x:c>
      <x:c r="J1529" s="79" t="n">
        <x:v>3.108951040059311e-7</x:v>
      </x:c>
      <x:c r="K1529" s="81" t="n">
        <x:v>-0.9996446913097075</x:v>
      </x:c>
      <x:c r="L1529" s="81" t="n">
        <x:v>-0.9996446913097075</x:v>
      </x:c>
      <x:c r="M1529" s="80" t="n">
        <x:v>227.55196561923995</x:v>
      </x:c>
      <x:c r="N1529" s="82" t="n">
        <x:v>0.2519400814382182</x:v>
      </x:c>
      <x:c r="O1529" s="82" t="n">
        <x:v>0.17480268385294492</x:v>
      </x:c>
      <x:c r="P1529" s="80" t="n">
        <x:v>2226.90816244279</x:v>
      </x:c>
      <x:c r="Q1529" s="81" t="n">
        <x:v>0.15208475121168197</x:v>
      </x:c>
      <x:c r="R1529" s="81" t="n">
        <x:v>8.180384469060566</x:v>
      </x:c>
      <x:c r="S1529" s="81" t="n">
        <x:v>0.03820710502480066</x:v>
      </x:c>
      <x:c r="T1529" s="81" t="n">
        <x:v>0.006734666704921934</x:v>
      </x:c>
    </x:row>
    <x:row r="1530">
      <x:c r="A1530" s="59" t="n">
        <x:v>1527</x:v>
      </x:c>
      <x:c r="B1530" s="193" t="n">
        <x:v>0.9024259766563774</x:v>
      </x:c>
      <x:c r="C1530" s="83" t="n">
        <x:v>1.821510388727339</x:v>
      </x:c>
      <x:c r="D1530" s="83" t="n">
        <x:v>0.9634196023123852</x:v>
      </x:c>
      <x:c r="E1530" s="81" t="n">
        <x:v>-0.02013935438313597</x:v>
      </x:c>
      <x:c r="F1530" s="81" t="n">
        <x:v>0.27743696362013</x:v>
      </x:c>
      <x:c r="G1530" s="81" t="n">
        <x:v>0.008007076409830338</x:v>
      </x:c>
      <x:c r="H1530" s="59" t="n">
        <x:v>0</x:v>
      </x:c>
      <x:c r="I1530" s="81" t="n">
        <x:v>0</x:v>
      </x:c>
      <x:c r="J1530" s="79" t="n">
        <x:v>1.1165509883839016e-16</x:v>
      </x:c>
      <x:c r="K1530" s="81" t="n">
        <x:v>-0.9999999999998724</x:v>
      </x:c>
      <x:c r="L1530" s="81" t="n">
        <x:v>-0.9999999999998724</x:v>
      </x:c>
      <x:c r="M1530" s="80" t="n">
        <x:v>0.005264978908793553</x:v>
      </x:c>
      <x:c r="N1530" s="82" t="n">
        <x:v>0.3170685381266115</x:v>
      </x:c>
      <x:c r="O1530" s="82" t="n">
        <x:v>0.08309758738077136</x:v>
      </x:c>
      <x:c r="P1530" s="80" t="n">
        <x:v>1928.6601569102058</x:v>
      </x:c>
      <x:c r="Q1530" s="81" t="n">
        <x:v>2412.6550102029614</x:v>
      </x:c>
      <x:c r="R1530" s="81" t="n">
        <x:v>4.73204616199513</x:v>
      </x:c>
      <x:c r="S1530" s="81" t="n">
        <x:v>9.04380801849034e-7</x:v>
      </x:c>
      <x:c r="T1530" s="81" t="n">
        <x:v>2.4186932083926556e-12</x:v>
      </x:c>
    </x:row>
    <x:row r="1531">
      <x:c r="A1531" s="59" t="n">
        <x:v>1528</x:v>
      </x:c>
      <x:c r="B1531" s="193" t="n">
        <x:v>0.5194496216252447</x:v>
      </x:c>
      <x:c r="C1531" s="83" t="n">
        <x:v>0.4573683261808665</x:v>
      </x:c>
      <x:c r="D1531" s="83" t="n">
        <x:v>1.0018844660871977</x:v>
      </x:c>
      <x:c r="E1531" s="81" t="n">
        <x:v>0.07303889600951713</x:v>
      </x:c>
      <x:c r="F1531" s="81" t="n">
        <x:v>0.5294973475742154</x:v>
      </x:c>
      <x:c r="G1531" s="81" t="n">
        <x:v>0.01829589026450245</x:v>
      </x:c>
      <x:c r="H1531" s="59" t="n">
        <x:v>0</x:v>
      </x:c>
      <x:c r="I1531" s="81" t="n">
        <x:v>0</x:v>
      </x:c>
      <x:c r="J1531" s="79" t="n">
        <x:v>0.007153981857577146</x:v>
      </x:c>
      <x:c r="K1531" s="81" t="n">
        <x:v>7.175979265802454</x:v>
      </x:c>
      <x:c r="L1531" s="81" t="n">
        <x:v>-0.7225797487782815</x:v>
      </x:c>
      <x:c r="M1531" s="80" t="n">
        <x:v>28245.535308531722</x:v>
      </x:c>
      <x:c r="N1531" s="82" t="n">
        <x:v>0.2258363895515389</x:v>
      </x:c>
      <x:c r="O1531" s="82" t="n">
        <x:v>0.11296103239102391</x:v>
      </x:c>
      <x:c r="P1531" s="80" t="n">
        <x:v>49525.66890223809</x:v>
      </x:c>
      <x:c r="Q1531" s="81" t="n">
        <x:v>0.003893569886215991</x:v>
      </x:c>
      <x:c r="R1531" s="81" t="n">
        <x:v>306.42744601300603</x:v>
      </x:c>
      <x:c r="S1531" s="81" t="n">
        <x:v>301.64628255027645</x:v>
      </x:c>
      <x:c r="T1531" s="81" t="n">
        <x:v>154.97086574551273</x:v>
      </x:c>
    </x:row>
    <x:row r="1532">
      <x:c r="A1532" s="59" t="n">
        <x:v>1529</x:v>
      </x:c>
      <x:c r="B1532" s="193" t="n">
        <x:v>0.5289939418435097</x:v>
      </x:c>
      <x:c r="C1532" s="83" t="n">
        <x:v>0.4517218554096173</x:v>
      </x:c>
      <x:c r="D1532" s="83" t="n">
        <x:v>0.34593487758502883</x:v>
      </x:c>
      <x:c r="E1532" s="81" t="n">
        <x:v>0.024013335640674874</x:v>
      </x:c>
      <x:c r="F1532" s="81" t="n">
        <x:v>0.8916649393155239</x:v>
      </x:c>
      <x:c r="G1532" s="81" t="n">
        <x:v>0.026406412555333353</x:v>
      </x:c>
      <x:c r="H1532" s="59" t="n">
        <x:v>0</x:v>
      </x:c>
      <x:c r="I1532" s="81" t="n">
        <x:v>0</x:v>
      </x:c>
      <x:c r="J1532" s="79" t="n">
        <x:v>0.00002721149448529444</x:v>
      </x:c>
      <x:c r="K1532" s="81" t="n">
        <x:v>-0.9689011491596635</x:v>
      </x:c>
      <x:c r="L1532" s="81" t="n">
        <x:v>-0.9796519143557647</x:v>
      </x:c>
      <x:c r="M1532" s="80" t="n">
        <x:v>1341.5372325247363</x:v>
      </x:c>
      <x:c r="N1532" s="82" t="n">
        <x:v>0.22811002558353352</x:v>
      </x:c>
      <x:c r="O1532" s="82" t="n">
        <x:v>0.19213965447861872</x:v>
      </x:c>
      <x:c r="P1532" s="80" t="n">
        <x:v>1453.6444113357145</x:v>
      </x:c>
      <x:c r="Q1532" s="81" t="n">
        <x:v>0.015166818609498471</x:v>
      </x:c>
      <x:c r="R1532" s="81" t="n">
        <x:v>23.637187387260557</x:v>
      </x:c>
      <x:c r="S1532" s="81" t="n">
        <x:v>1.3146497235937677</x:v>
      </x:c>
      <x:c r="T1532" s="81" t="n">
        <x:v>0.5894603792081046</x:v>
      </x:c>
    </x:row>
    <x:row r="1533">
      <x:c r="A1533" s="59" t="n">
        <x:v>1530</x:v>
      </x:c>
      <x:c r="B1533" s="193" t="n">
        <x:v>0.31462118960916996</x:v>
      </x:c>
      <x:c r="C1533" s="83" t="n">
        <x:v>0.33217952104685494</x:v>
      </x:c>
      <x:c r="D1533" s="83" t="n">
        <x:v>1.363225390744951</x:v>
      </x:c>
      <x:c r="E1533" s="81" t="n">
        <x:v>0.03225034048927826</x:v>
      </x:c>
      <x:c r="F1533" s="81" t="n">
        <x:v>0.33735733829671516</x:v>
      </x:c>
      <x:c r="G1533" s="81" t="n">
        <x:v>-0.04721466405940275</x:v>
      </x:c>
      <x:c r="H1533" s="59" t="n">
        <x:v>0</x:v>
      </x:c>
      <x:c r="I1533" s="81" t="n">
        <x:v>0</x:v>
      </x:c>
      <x:c r="J1533" s="79" t="n">
        <x:v>0.001631492407628563</x:v>
      </x:c>
      <x:c r="K1533" s="81" t="n">
        <x:v>0.8645627515755008</x:v>
      </x:c>
      <x:c r="L1533" s="81" t="n">
        <x:v>-0.7670577128862827</x:v>
      </x:c>
      <x:c r="M1533" s="80" t="n">
        <x:v>10407.319034824683</x:v>
      </x:c>
      <x:c r="N1533" s="82" t="n">
        <x:v>0.17704241651220934</x:v>
      </x:c>
      <x:c r="O1533" s="82" t="n">
        <x:v>0.05642069507390299</x:v>
      </x:c>
      <x:c r="P1533" s="80" t="n">
        <x:v>27668.167891358757</x:v>
      </x:c>
      <x:c r="Q1533" s="81" t="n">
        <x:v>0.0039195273767716554</x:v>
      </x:c>
      <x:c r="R1533" s="81" t="n">
        <x:v>308.9661790513927</x:v>
      </x:c>
      <x:c r="S1533" s="81" t="n">
        <x:v>93.86598760547254</x:v>
      </x:c>
      <x:c r="T1533" s="81" t="n">
        <x:v>35.34168745474805</x:v>
      </x:c>
    </x:row>
    <x:row r="1534">
      <x:c r="A1534" s="59" t="n">
        <x:v>1531</x:v>
      </x:c>
      <x:c r="B1534" s="193" t="n">
        <x:v>0.5490090874955058</x:v>
      </x:c>
      <x:c r="C1534" s="83" t="n">
        <x:v>0.15088445470826642</x:v>
      </x:c>
      <x:c r="D1534" s="83" t="n">
        <x:v>1.588716839185968</x:v>
      </x:c>
      <x:c r="E1534" s="81" t="n">
        <x:v>0.0487994725403993</x:v>
      </x:c>
      <x:c r="F1534" s="81" t="n">
        <x:v>0.2882223459193483</x:v>
      </x:c>
      <x:c r="G1534" s="81" t="n">
        <x:v>-0.02096517584960253</x:v>
      </x:c>
      <x:c r="H1534" s="59" t="n">
        <x:v>0</x:v>
      </x:c>
      <x:c r="I1534" s="81" t="n">
        <x:v>0</x:v>
      </x:c>
      <x:c r="J1534" s="79" t="n">
        <x:v>0.006302184782437991</x:v>
      </x:c>
      <x:c r="K1534" s="81" t="n">
        <x:v>6.202496894214847</x:v>
      </x:c>
      <x:c r="L1534" s="81" t="n">
        <x:v>-0.7197569864783445</x:v>
      </x:c>
      <x:c r="M1534" s="80" t="n">
        <x:v>20018.872631249702</x:v>
      </x:c>
      <x:c r="N1534" s="82" t="n">
        <x:v>0.2328780085618201</x:v>
      </x:c>
      <x:c r="O1534" s="82" t="n">
        <x:v>0.06340552007719857</x:v>
      </x:c>
      <x:c r="P1534" s="80" t="n">
        <x:v>54026.50349385042</x:v>
      </x:c>
      <x:c r="Q1534" s="81" t="n">
        <x:v>0.0031716649428889764</x:v>
      </x:c>
      <x:c r="R1534" s="81" t="n">
        <x:v>1577.4886709085656</x:v>
      </x:c>
      <x:c r="S1534" s="81" t="n">
        <x:v>785.2840415811394</x:v>
      </x:c>
      <x:c r="T1534" s="81" t="n">
        <x:v>136.51908143828825</x:v>
      </x:c>
    </x:row>
    <x:row r="1535">
      <x:c r="A1535" s="59" t="n">
        <x:v>1532</x:v>
      </x:c>
      <x:c r="B1535" s="193" t="n">
        <x:v>0.2122397631406784</x:v>
      </x:c>
      <x:c r="C1535" s="83" t="n">
        <x:v>0.9948811397844839</x:v>
      </x:c>
      <x:c r="D1535" s="83" t="n">
        <x:v>0.2586737758438713</x:v>
      </x:c>
      <x:c r="E1535" s="81" t="n">
        <x:v>0.01316690757974752</x:v>
      </x:c>
      <x:c r="F1535" s="81" t="n">
        <x:v>0.4071303256088868</x:v>
      </x:c>
      <x:c r="G1535" s="81" t="n">
        <x:v>0.04678237450525238</x:v>
      </x:c>
      <x:c r="H1535" s="59" t="n">
        <x:v>22</x:v>
      </x:c>
      <x:c r="I1535" s="81" t="n">
        <x:v>0.19219312621280552</x:v>
      </x:c>
      <x:c r="J1535" s="79" t="n">
        <x:v>0.00012239922846136322</x:v>
      </x:c>
      <x:c r="K1535" s="81" t="n">
        <x:v>-0.8601151674727278</x:v>
      </x:c>
      <x:c r="L1535" s="81" t="n">
        <x:v>-0.8948215938396626</x:v>
      </x:c>
      <x:c r="M1535" s="80" t="n">
        <x:v>3815.7383628057983</x:v>
      </x:c>
      <x:c r="N1535" s="82" t="n">
        <x:v>0.15265324107566838</x:v>
      </x:c>
      <x:c r="O1535" s="82" t="n">
        <x:v>0.058709776070520345</x:v>
      </x:c>
      <x:c r="P1535" s="80" t="n">
        <x:v>3185.402622528278</x:v>
      </x:c>
      <x:c r="Q1535" s="81" t="n">
        <x:v>0.007922934964509371</x:v>
      </x:c>
      <x:c r="R1535" s="81" t="n">
        <x:v>16.415777627675663</x:v>
      </x:c>
      <x:c r="S1535" s="81" t="n">
        <x:v>2.6658683159424714</x:v>
      </x:c>
      <x:c r="T1535" s="81" t="n">
        <x:v>2.651434512816097</x:v>
      </x:c>
    </x:row>
    <x:row r="1536">
      <x:c r="A1536" s="59" t="n">
        <x:v>1533</x:v>
      </x:c>
      <x:c r="B1536" s="193" t="n">
        <x:v>0.665462020225823</x:v>
      </x:c>
      <x:c r="C1536" s="83" t="n">
        <x:v>1.5586772965885556</x:v>
      </x:c>
      <x:c r="D1536" s="83" t="n">
        <x:v>0.5367423472724411</x:v>
      </x:c>
      <x:c r="E1536" s="81" t="n">
        <x:v>0.06825405397738396</x:v>
      </x:c>
      <x:c r="F1536" s="81" t="n">
        <x:v>0.4166820773622021</x:v>
      </x:c>
      <x:c r="G1536" s="81" t="n">
        <x:v>0.029964300915122033</x:v>
      </x:c>
      <x:c r="H1536" s="59" t="n">
        <x:v>12</x:v>
      </x:c>
      <x:c r="I1536" s="81" t="n">
        <x:v>0.19317137571051718</x:v>
      </x:c>
      <x:c r="J1536" s="79" t="n">
        <x:v>0.00766265501412649</x:v>
      </x:c>
      <x:c r="K1536" s="81" t="n">
        <x:v>7.757320016144561</x:v>
      </x:c>
      <x:c r="L1536" s="81" t="n">
        <x:v>-0.41485764894605937</x:v>
      </x:c>
      <x:c r="M1536" s="80" t="n">
        <x:v>45035.366291680024</x:v>
      </x:c>
      <x:c r="N1536" s="82" t="n">
        <x:v>0.26061928063067025</x:v>
      </x:c>
      <x:c r="O1536" s="82" t="n">
        <x:v>0.10258463184745961</x:v>
      </x:c>
      <x:c r="P1536" s="80" t="n">
        <x:v>46923.76205923268</x:v>
      </x:c>
      <x:c r="Q1536" s="81" t="n">
        <x:v>0.0036735122613939866</x:v>
      </x:c>
      <x:c r="R1536" s="81" t="n">
        <x:v>40.02437685659192</x:v>
      </x:c>
      <x:c r="S1536" s="81" t="n">
        <x:v>97.54938098798728</x:v>
      </x:c>
      <x:c r="T1536" s="81" t="n">
        <x:v>165.9898368613623</x:v>
      </x:c>
    </x:row>
    <x:row r="1537">
      <x:c r="A1537" s="59" t="n">
        <x:v>1534</x:v>
      </x:c>
      <x:c r="B1537" s="193" t="n">
        <x:v>0.33799710087478163</x:v>
      </x:c>
      <x:c r="C1537" s="83" t="n">
        <x:v>2.4112152867379066</x:v>
      </x:c>
      <x:c r="D1537" s="83" t="n">
        <x:v>0.702512170546051</x:v>
      </x:c>
      <x:c r="E1537" s="81" t="n">
        <x:v>-0.0395528223218097</x:v>
      </x:c>
      <x:c r="F1537" s="81" t="n">
        <x:v>0.5856218928121961</x:v>
      </x:c>
      <x:c r="G1537" s="81" t="n">
        <x:v>-0.03871011125373777</x:v>
      </x:c>
      <x:c r="H1537" s="59" t="n">
        <x:v>56</x:v>
      </x:c>
      <x:c r="I1537" s="81" t="n">
        <x:v>0.40806849226355557</x:v>
      </x:c>
      <x:c r="J1537" s="79" t="n">
        <x:v>1.3613972640157546e-17</x:v>
      </x:c>
      <x:c r="K1537" s="81" t="n">
        <x:v>-0.9999999999999845</x:v>
      </x:c>
      <x:c r="L1537" s="81" t="n">
        <x:v>-0.9999999999999845</x:v>
      </x:c>
      <x:c r="M1537" s="80" t="n">
        <x:v>0.0022293833770805275</x:v>
      </x:c>
      <x:c r="N1537" s="82" t="n">
        <x:v>0.18261099687401441</x:v>
      </x:c>
      <x:c r="O1537" s="82" t="n">
        <x:v>0.10102181642859794</x:v>
      </x:c>
      <x:c r="P1537" s="80" t="n">
        <x:v>1262.9134515683631</x:v>
      </x:c>
      <x:c r="Q1537" s="81" t="n">
        <x:v>4347.436176875974</x:v>
      </x:c>
      <x:c r="R1537" s="81" t="n">
        <x:v>2.801346411508898</x:v>
      </x:c>
      <x:c r="S1537" s="81" t="n">
        <x:v>1.286272381178456e-7</x:v>
      </x:c>
      <x:c r="T1537" s="81" t="n">
        <x:v>2.9490836967197157e-13</x:v>
      </x:c>
    </x:row>
    <x:row r="1538">
      <x:c r="A1538" s="59" t="n">
        <x:v>1535</x:v>
      </x:c>
      <x:c r="B1538" s="193" t="n">
        <x:v>0.41478404942899944</x:v>
      </x:c>
      <x:c r="C1538" s="83" t="n">
        <x:v>1.7636650817383595</x:v>
      </x:c>
      <x:c r="D1538" s="83" t="n">
        <x:v>0.7161678037546757</x:v>
      </x:c>
      <x:c r="E1538" s="81" t="n">
        <x:v>-0.09450529287544736</x:v>
      </x:c>
      <x:c r="F1538" s="81" t="n">
        <x:v>0.5670049280743115</x:v>
      </x:c>
      <x:c r="G1538" s="81" t="n">
        <x:v>-0.00944294061263076</x:v>
      </x:c>
      <x:c r="H1538" s="59" t="n">
        <x:v>0</x:v>
      </x:c>
      <x:c r="I1538" s="81" t="n">
        <x:v>0</x:v>
      </x:c>
      <x:c r="J1538" s="79" t="n">
        <x:v>1.1640012988586585e-32</x:v>
      </x:c>
      <x:c r="K1538" s="81" t="n">
        <x:v>-1</x:v>
      </x:c>
      <x:c r="L1538" s="81" t="n">
        <x:v>-1</x:v>
      </x:c>
      <x:c r="M1538" s="80" t="n">
        <x:v>0.000002</x:v>
      </x:c>
      <x:c r="N1538" s="82" t="n">
        <x:v>0.20090308777491445</x:v>
      </x:c>
      <x:c r="O1538" s="82" t="n">
        <x:v>0.1076079572299854</x:v>
      </x:c>
      <x:c r="P1538" s="80" t="n">
        <x:v>485.67966300434983</x:v>
      </x:c>
      <x:c r="Q1538" s="81" t="n">
        <x:v>2010032455374663.2</x:v>
      </x:c>
      <x:c r="R1538" s="81" t="n">
        <x:v>1.6303790517119374</x:v>
      </x:c>
      <x:c r="S1538" s="81" t="n">
        <x:v>2.0225567031807737e-10</x:v>
      </x:c>
      <x:c r="T1538" s="81" t="n">
        <x:v>2.5214809403237626e-28</x:v>
      </x:c>
    </x:row>
    <x:row r="1539">
      <x:c r="A1539" s="59" t="n">
        <x:v>1536</x:v>
      </x:c>
      <x:c r="B1539" s="193" t="n">
        <x:v>0.7086570417508484</x:v>
      </x:c>
      <x:c r="C1539" s="83" t="n">
        <x:v>1.4234705661647198</x:v>
      </x:c>
      <x:c r="D1539" s="83" t="n">
        <x:v>2.3001227398840087</x:v>
      </x:c>
      <x:c r="E1539" s="81" t="n">
        <x:v>0.04515224942002232</x:v>
      </x:c>
      <x:c r="F1539" s="81" t="n">
        <x:v>0.6739046224975027</x:v>
      </x:c>
      <x:c r="G1539" s="81" t="n">
        <x:v>0.013129676648186428</x:v>
      </x:c>
      <x:c r="H1539" s="59" t="n">
        <x:v>0</x:v>
      </x:c>
      <x:c r="I1539" s="81" t="n">
        <x:v>0</x:v>
      </x:c>
      <x:c r="J1539" s="79" t="n">
        <x:v>0.016539292912039347</x:v>
      </x:c>
      <x:c r="K1539" s="81" t="n">
        <x:v>17.902049042330685</x:v>
      </x:c>
      <x:c r="L1539" s="81" t="n">
        <x:v>-0.7473237141151351</x:v>
      </x:c>
      <x:c r="M1539" s="80" t="n">
        <x:v>78382.16227307377</x:v>
      </x:c>
      <x:c r="N1539" s="82" t="n">
        <x:v>0.27090914466458516</x:v>
      </x:c>
      <x:c r="O1539" s="82" t="n">
        <x:v>0.17246185071382839</x:v>
      </x:c>
      <x:c r="P1539" s="80" t="n">
        <x:v>280889.65218177513</x:v>
      </x:c>
      <x:c r="Q1539" s="81" t="n">
        <x:v>0.009962408719721335</x:v>
      </x:c>
      <x:c r="R1539" s="81" t="n">
        <x:v>233.0254567340837</x:v>
      </x:c>
      <x:c r="S1539" s="81" t="n">
        <x:v>255.17219028854817</x:v>
      </x:c>
      <x:c r="T1539" s="81" t="n">
        <x:v>358.2771933762512</x:v>
      </x:c>
    </x:row>
    <x:row r="1540">
      <x:c r="A1540" s="59" t="n">
        <x:v>1537</x:v>
      </x:c>
      <x:c r="B1540" s="193" t="n">
        <x:v>0.8336327213793993</x:v>
      </x:c>
      <x:c r="C1540" s="83" t="n">
        <x:v>1.6895625266640226</x:v>
      </x:c>
      <x:c r="D1540" s="83" t="n">
        <x:v>0.40362775745543045</x:v>
      </x:c>
      <x:c r="E1540" s="81" t="n">
        <x:v>-0.047075732862263305</x:v>
      </x:c>
      <x:c r="F1540" s="81" t="n">
        <x:v>0.7535946540534496</x:v>
      </x:c>
      <x:c r="G1540" s="81" t="n">
        <x:v>0.006129297402929615</x:v>
      </x:c>
      <x:c r="H1540" s="59" t="n">
        <x:v>0</x:v>
      </x:c>
      <x:c r="I1540" s="81" t="n">
        <x:v>0</x:v>
      </x:c>
      <x:c r="J1540" s="79" t="n">
        <x:v>1.156325243623143e-16</x:v>
      </x:c>
      <x:c r="K1540" s="81" t="n">
        <x:v>-0.9999999999998679</x:v>
      </x:c>
      <x:c r="L1540" s="81" t="n">
        <x:v>-0.9999999999998679</x:v>
      </x:c>
      <x:c r="M1540" s="80" t="n">
        <x:v>0.005107073313463899</x:v>
      </x:c>
      <x:c r="N1540" s="82" t="n">
        <x:v>0.3006806948460989</x:v>
      </x:c>
      <x:c r="O1540" s="82" t="n">
        <x:v>0.21404953858196601</x:v>
      </x:c>
      <x:c r="P1540" s="80" t="n">
        <x:v>668.9985887517995</x:v>
      </x:c>
      <x:c r="Q1540" s="81" t="n">
        <x:v>992.279293817935</x:v>
      </x:c>
      <x:c r="R1540" s="81" t="n">
        <x:v>3.6624521814780633</x:v>
      </x:c>
      <x:c r="S1540" s="81" t="n">
        <x:v>3.7625974195076793e-7</x:v>
      </x:c>
      <x:c r="T1540" s="81" t="n">
        <x:v>2.5048529288325356e-12</x:v>
      </x:c>
    </x:row>
    <x:row r="1541">
      <x:c r="A1541" s="59" t="n">
        <x:v>1538</x:v>
      </x:c>
      <x:c r="B1541" s="193" t="n">
        <x:v>0.25693414229899647</x:v>
      </x:c>
      <x:c r="C1541" s="83" t="n">
        <x:v>0.1442707664330408</x:v>
      </x:c>
      <x:c r="D1541" s="83" t="n">
        <x:v>2.736873233188299</x:v>
      </x:c>
      <x:c r="E1541" s="81" t="n">
        <x:v>0.006785794223776183</x:v>
      </x:c>
      <x:c r="F1541" s="81" t="n">
        <x:v>0.5004483047872782</x:v>
      </x:c>
      <x:c r="G1541" s="81" t="n">
        <x:v>-0.010970117900558369</x:v>
      </x:c>
      <x:c r="H1541" s="59" t="n">
        <x:v>0</x:v>
      </x:c>
      <x:c r="I1541" s="81" t="n">
        <x:v>0</x:v>
      </x:c>
      <x:c r="J1541" s="79" t="n">
        <x:v>0.00024771500390107827</x:v>
      </x:c>
      <x:c r="K1541" s="81" t="n">
        <x:v>-0.7168971383987677</x:v>
      </x:c>
      <x:c r="L1541" s="81" t="n">
        <x:v>-0.813380018633469</x:v>
      </x:c>
      <x:c r="M1541" s="80" t="n">
        <x:v>3281.557518287149</x:v>
      </x:c>
      <x:c r="N1541" s="82" t="n">
        <x:v>0.1633002802107891</x:v>
      </x:c>
      <x:c r="O1541" s="82" t="n">
        <x:v>0.07719996336902141</x:v>
      </x:c>
      <x:c r="P1541" s="80" t="n">
        <x:v>19998.22563808876</x:v>
      </x:c>
      <x:c r="Q1541" s="81" t="n">
        <x:v>0.02293482145447193</x:v>
      </x:c>
      <x:c r="R1541" s="81" t="n">
        <x:v>171.8403876983163</x:v>
      </x:c>
      <x:c r="S1541" s="81" t="n">
        <x:v>34.9047300896986</x:v>
      </x:c>
      <x:c r="T1541" s="81" t="n">
        <x:v>5.366047800644593</x:v>
      </x:c>
    </x:row>
    <x:row r="1542">
      <x:c r="A1542" s="59" t="n">
        <x:v>1539</x:v>
      </x:c>
      <x:c r="B1542" s="193" t="n">
        <x:v>0.4538071684539318</x:v>
      </x:c>
      <x:c r="C1542" s="83" t="n">
        <x:v>2.914785016366863</x:v>
      </x:c>
      <x:c r="D1542" s="83" t="n">
        <x:v>1.715082269228353</x:v>
      </x:c>
      <x:c r="E1542" s="81" t="n">
        <x:v>-0.0894600134741309</x:v>
      </x:c>
      <x:c r="F1542" s="81" t="n">
        <x:v>0.5246476712403819</x:v>
      </x:c>
      <x:c r="G1542" s="81" t="n">
        <x:v>-0.0005898617013826348</x:v>
      </x:c>
      <x:c r="H1542" s="59" t="n">
        <x:v>0</x:v>
      </x:c>
      <x:c r="I1542" s="81" t="n">
        <x:v>0</x:v>
      </x:c>
      <x:c r="J1542" s="79" t="n">
        <x:v>6.307674029218366e-56</x:v>
      </x:c>
      <x:c r="K1542" s="81" t="n">
        <x:v>-1</x:v>
      </x:c>
      <x:c r="L1542" s="81" t="n">
        <x:v>-1</x:v>
      </x:c>
      <x:c r="M1542" s="80" t="n">
        <x:v>0.000002</x:v>
      </x:c>
      <x:c r="N1542" s="82" t="n">
        <x:v>0.21019912641013536</x:v>
      </x:c>
      <x:c r="O1542" s="82" t="n">
        <x:v>0.10417646058401081</x:v>
      </x:c>
      <x:c r="P1542" s="80" t="n">
        <x:v>857.112741146994</x:v>
      </x:c>
      <x:c r="Q1542" s="81" t="n">
        <x:v>3.900388750526898e+38</x:v>
      </x:c>
      <x:c r="R1542" s="81" t="n">
        <x:v>0.8439670030259706</x:v>
      </x:c>
      <x:c r="S1542" s="81" t="n">
        <x:v>3.810337513871442e-10</x:v>
      </x:c>
      <x:c r="T1542" s="81" t="n">
        <x:v>1.3663799050778002e-51</x:v>
      </x:c>
    </x:row>
    <x:row r="1543">
      <x:c r="A1543" s="59" t="n">
        <x:v>1540</x:v>
      </x:c>
      <x:c r="B1543" s="193" t="n">
        <x:v>0.965106468833983</x:v>
      </x:c>
      <x:c r="C1543" s="83" t="n">
        <x:v>0.37556232654825483</x:v>
      </x:c>
      <x:c r="D1543" s="83" t="n">
        <x:v>0.2314028552285325</x:v>
      </x:c>
      <x:c r="E1543" s="81" t="n">
        <x:v>0.005042659823656308</x:v>
      </x:c>
      <x:c r="F1543" s="81" t="n">
        <x:v>0.41924842781154437</x:v>
      </x:c>
      <x:c r="G1543" s="81" t="n">
        <x:v>0.014739668474752221</x:v>
      </x:c>
      <x:c r="H1543" s="59" t="n">
        <x:v>0</x:v>
      </x:c>
      <x:c r="I1543" s="81" t="n">
        <x:v>0</x:v>
      </x:c>
      <x:c r="J1543" s="79" t="n">
        <x:v>0.0000018416507457973649</x:v>
      </x:c>
      <x:c r="K1543" s="81" t="n">
        <x:v>-0.9978952562905173</x:v>
      </x:c>
      <x:c r="L1543" s="81" t="n">
        <x:v>-0.9978952562905173</x:v>
      </x:c>
      <x:c r="M1543" s="80" t="n">
        <x:v>320.21943656498553</x:v>
      </x:c>
      <x:c r="N1543" s="82" t="n">
        <x:v>0.3320002066225454</x:v>
      </x:c>
      <x:c r="O1543" s="82" t="n">
        <x:v>0.13148637082361853</x:v>
      </x:c>
      <x:c r="P1543" s="80" t="n">
        <x:v>577.0440246532748</x:v>
      </x:c>
      <x:c r="Q1543" s="81" t="n">
        <x:v>0.01980715212367264</x:v>
      </x:c>
      <x:c r="R1543" s="81" t="n">
        <x:v>26.53738915828128</x:v>
      </x:c>
      <x:c r="S1543" s="81" t="n">
        <x:v>0.11948314161844414</x:v>
      </x:c>
      <x:c r="T1543" s="81" t="n">
        <x:v>0.03989417588119864</x:v>
      </x:c>
    </x:row>
    <x:row r="1544">
      <x:c r="A1544" s="59" t="n">
        <x:v>1541</x:v>
      </x:c>
      <x:c r="B1544" s="193" t="n">
        <x:v>0.5519555335864426</x:v>
      </x:c>
      <x:c r="C1544" s="83" t="n">
        <x:v>0.3014642615072256</x:v>
      </x:c>
      <x:c r="D1544" s="83" t="n">
        <x:v>1.5143574548075105</x:v>
      </x:c>
      <x:c r="E1544" s="81" t="n">
        <x:v>0.053959094239505526</x:v>
      </x:c>
      <x:c r="F1544" s="81" t="n">
        <x:v>0.4633268692996353</x:v>
      </x:c>
      <x:c r="G1544" s="81" t="n">
        <x:v>-0.006552454177616213</x:v>
      </x:c>
      <x:c r="H1544" s="59" t="n">
        <x:v>0</x:v>
      </x:c>
      <x:c r="I1544" s="81" t="n">
        <x:v>0</x:v>
      </x:c>
      <x:c r="J1544" s="79" t="n">
        <x:v>0.004955675634031775</x:v>
      </x:c>
      <x:c r="K1544" s="81" t="n">
        <x:v>4.663629296036315</x:v>
      </x:c>
      <x:c r="L1544" s="81" t="n">
        <x:v>-0.7508551464696092</x:v>
      </x:c>
      <x:c r="M1544" s="80" t="n">
        <x:v>20777.1912897804</x:v>
      </x:c>
      <x:c r="N1544" s="82" t="n">
        <x:v>0.23357990726654548</x:v>
      </x:c>
      <x:c r="O1544" s="82" t="n">
        <x:v>0.10223366027078969</x:v>
      </x:c>
      <x:c r="P1544" s="80" t="n">
        <x:v>52892.059953023294</x:v>
      </x:c>
      <x:c r="Q1544" s="81" t="n">
        <x:v>0.004670180008811914</x:v>
      </x:c>
      <x:c r="R1544" s="81" t="n">
        <x:v>549.4691370122327</x:v>
      </x:c>
      <x:c r="S1544" s="81" t="n">
        <x:v>315.43716638181604</x:v>
      </x:c>
      <x:c r="T1544" s="81" t="n">
        <x:v>107.35075355921326</x:v>
      </x:c>
    </x:row>
    <x:row r="1545">
      <x:c r="A1545" s="59" t="n">
        <x:v>1542</x:v>
      </x:c>
      <x:c r="B1545" s="193" t="n">
        <x:v>0.7216248450800777</x:v>
      </x:c>
      <x:c r="C1545" s="83" t="n">
        <x:v>0.5759628868381421</x:v>
      </x:c>
      <x:c r="D1545" s="83" t="n">
        <x:v>0.4931515644332415</x:v>
      </x:c>
      <x:c r="E1545" s="81" t="n">
        <x:v>-0.06569281771889608</x:v>
      </x:c>
      <x:c r="F1545" s="81" t="n">
        <x:v>0.35265250578522683</x:v>
      </x:c>
      <x:c r="G1545" s="81" t="n">
        <x:v>0.011435217990210673</x:v>
      </x:c>
      <x:c r="H1545" s="59" t="n">
        <x:v>0</x:v>
      </x:c>
      <x:c r="I1545" s="81" t="n">
        <x:v>0</x:v>
      </x:c>
      <x:c r="J1545" s="79" t="n">
        <x:v>3.854956161918253e-24</x:v>
      </x:c>
      <x:c r="K1545" s="81" t="n">
        <x:v>-1</x:v>
      </x:c>
      <x:c r="L1545" s="81" t="n">
        <x:v>-1</x:v>
      </x:c>
      <x:c r="M1545" s="80" t="n">
        <x:v>0.000002</x:v>
      </x:c>
      <x:c r="N1545" s="82" t="n">
        <x:v>0.2739983185639197</x:v>
      </x:c>
      <x:c r="O1545" s="82" t="n">
        <x:v>0.09127793652532107</x:v>
      </x:c>
      <x:c r="P1545" s="80" t="n">
        <x:v>342.3910390286258</x:v>
      </x:c>
      <x:c r="Q1545" s="81" t="n">
        <x:v>8501381.506148199</x:v>
      </x:c>
      <x:c r="R1545" s="81" t="n">
        <x:v>7.442964511323998</x:v>
      </x:c>
      <x:c r="S1545" s="81" t="n">
        <x:v>3.147881729977668e-10</x:v>
      </x:c>
      <x:c r="T1545" s="81" t="n">
        <x:v>8.350676668137308e-20</x:v>
      </x:c>
    </x:row>
    <x:row r="1546">
      <x:c r="A1546" s="59" t="n">
        <x:v>1543</x:v>
      </x:c>
      <x:c r="B1546" s="193" t="n">
        <x:v>0.6076893366873264</x:v>
      </x:c>
      <x:c r="C1546" s="83" t="n">
        <x:v>0.21764343042880643</x:v>
      </x:c>
      <x:c r="D1546" s="83" t="n">
        <x:v>0.6323273155720344</x:v>
      </x:c>
      <x:c r="E1546" s="81" t="n">
        <x:v>0.03385255852381565</x:v>
      </x:c>
      <x:c r="F1546" s="81" t="n">
        <x:v>0.6871901225415058</x:v>
      </x:c>
      <x:c r="G1546" s="81" t="n">
        <x:v>-0.00784362653465522</x:v>
      </x:c>
      <x:c r="H1546" s="59" t="n">
        <x:v>0</x:v>
      </x:c>
      <x:c r="I1546" s="81" t="n">
        <x:v>0</x:v>
      </x:c>
      <x:c r="J1546" s="79" t="n">
        <x:v>0.00009445450861972182</x:v>
      </x:c>
      <x:c r="K1546" s="81" t="n">
        <x:v>-0.8920519901488894</x:v>
      </x:c>
      <x:c r="L1546" s="81" t="n">
        <x:v>-0.9156314076169332</x:v>
      </x:c>
      <x:c r="M1546" s="80" t="n">
        <x:v>2185.949462337999</x:v>
      </x:c>
      <x:c r="N1546" s="82" t="n">
        <x:v>0.24685674417398404</x:v>
      </x:c>
      <x:c r="O1546" s="82" t="n">
        <x:v>0.16024808452800282</x:v>
      </x:c>
      <x:c r="P1546" s="80" t="n">
        <x:v>3302.6959930278413</x:v>
      </x:c>
      <x:c r="Q1546" s="81" t="n">
        <x:v>0.009786989292348334</x:v>
      </x:c>
      <x:c r="R1546" s="81" t="n">
        <x:v>74.64913472899593</x:v>
      </x:c>
      <x:c r="S1546" s="81" t="n">
        <x:v>8.524069826813047</x:v>
      </x:c>
      <x:c r="T1546" s="81" t="n">
        <x:v>2.046090871597858</x:v>
      </x:c>
    </x:row>
    <x:row r="1547">
      <x:c r="A1547" s="59" t="n">
        <x:v>1544</x:v>
      </x:c>
      <x:c r="B1547" s="193" t="n">
        <x:v>0.25425717122852803</x:v>
      </x:c>
      <x:c r="C1547" s="83" t="n">
        <x:v>0.5086869229206826</x:v>
      </x:c>
      <x:c r="D1547" s="83" t="n">
        <x:v>1.2168393161737678</x:v>
      </x:c>
      <x:c r="E1547" s="81" t="n">
        <x:v>0.12589686929311755</x:v>
      </x:c>
      <x:c r="F1547" s="81" t="n">
        <x:v>0.8859922572853975</x:v>
      </x:c>
      <x:c r="G1547" s="81" t="n">
        <x:v>-0.04863533693444261</x:v>
      </x:c>
      <x:c r="H1547" s="59" t="n">
        <x:v>29</x:v>
      </x:c>
      <x:c r="I1547" s="81" t="n">
        <x:v>0.11715816045179964</x:v>
      </x:c>
      <x:c r="J1547" s="79" t="n">
        <x:v>0.005655245973233963</x:v>
      </x:c>
      <x:c r="K1547" s="81" t="n">
        <x:v>5.463138255124529</x:v>
      </x:c>
      <x:c r="L1547" s="81" t="n">
        <x:v>-0.83405960052124</x:v>
      </x:c>
      <x:c r="M1547" s="80" t="n">
        <x:v>28693.775603172402</x:v>
      </x:c>
      <x:c r="N1547" s="82" t="n">
        <x:v>0.1626625755085958</x:v>
      </x:c>
      <x:c r="O1547" s="82" t="n">
        <x:v>0.136140867248679</x:v>
      </x:c>
      <x:c r="P1547" s="80" t="n">
        <x:v>54589.840076561995</x:v>
      </x:c>
      <x:c r="Q1547" s="81" t="n">
        <x:v>0.002943314377104667</x:v>
      </x:c>
      <x:c r="R1547" s="81" t="n">
        <x:v>796.3741286893979</x:v>
      </x:c>
      <x:c r="S1547" s="81" t="n">
        <x:v>212.54069154905366</x:v>
      </x:c>
      <x:c r="T1547" s="81" t="n">
        <x:v>122.50497442171365</x:v>
      </x:c>
    </x:row>
    <x:row r="1548">
      <x:c r="A1548" s="59" t="n">
        <x:v>1545</x:v>
      </x:c>
      <x:c r="B1548" s="193" t="n">
        <x:v>0.6061136597767472</x:v>
      </x:c>
      <x:c r="C1548" s="83" t="n">
        <x:v>0.4134799244532277</x:v>
      </x:c>
      <x:c r="D1548" s="83" t="n">
        <x:v>0.1569954328735202</x:v>
      </x:c>
      <x:c r="E1548" s="81" t="n">
        <x:v>0.026385052843103385</x:v>
      </x:c>
      <x:c r="F1548" s="81" t="n">
        <x:v>0.29774136405903845</x:v>
      </x:c>
      <x:c r="G1548" s="81" t="n">
        <x:v>0.05140015239120879</x:v>
      </x:c>
      <x:c r="H1548" s="59" t="n">
        <x:v>0</x:v>
      </x:c>
      <x:c r="I1548" s="81" t="n">
        <x:v>0</x:v>
      </x:c>
      <x:c r="J1548" s="79" t="n">
        <x:v>0.00007392853791978616</x:v>
      </x:c>
      <x:c r="K1548" s="81" t="n">
        <x:v>-0.9155102423773872</x:v>
      </x:c>
      <x:c r="L1548" s="81" t="n">
        <x:v>-0.9436268361080857</x:v>
      </x:c>
      <x:c r="M1548" s="80" t="n">
        <x:v>2113.233246947499</x:v>
      </x:c>
      <x:c r="N1548" s="82" t="n">
        <x:v>0.24648138838994196</x:v>
      </x:c>
      <x:c r="O1548" s="82" t="n">
        <x:v>0.06932569739972524</x:v>
      </x:c>
      <x:c r="P1548" s="80" t="n">
        <x:v>1145.8093093834093</x:v>
      </x:c>
      <x:c r="Q1548" s="81" t="n">
        <x:v>0.004740976322451766</x:v>
      </x:c>
      <x:c r="R1548" s="81" t="n">
        <x:v>36.57828147711499</x:v>
      </x:c>
      <x:c r="S1548" s="81" t="n">
        <x:v>3.5127955719739923</x:v>
      </x:c>
      <x:c r="T1548" s="81" t="n">
        <x:v>1.6014535335443691</x:v>
      </x:c>
    </x:row>
    <x:row r="1549">
      <x:c r="A1549" s="59" t="n">
        <x:v>1546</x:v>
      </x:c>
      <x:c r="B1549" s="193" t="n">
        <x:v>0.8378153139725328</x:v>
      </x:c>
      <x:c r="C1549" s="83" t="n">
        <x:v>1.5833941582642415</x:v>
      </x:c>
      <x:c r="D1549" s="83" t="n">
        <x:v>0.5296704217597458</x:v>
      </x:c>
      <x:c r="E1549" s="81" t="n">
        <x:v>-0.042676259093376814</x:v>
      </x:c>
      <x:c r="F1549" s="81" t="n">
        <x:v>0.6317589966813102</x:v>
      </x:c>
      <x:c r="G1549" s="81" t="n">
        <x:v>-0.005409686064064178</x:v>
      </x:c>
      <x:c r="H1549" s="59" t="n">
        <x:v>85</x:v>
      </x:c>
      <x:c r="I1549" s="81" t="n">
        <x:v>0.4936767072416842</x:v>
      </x:c>
      <x:c r="J1549" s="79" t="n">
        <x:v>8.318490184035599e-18</x:v>
      </x:c>
      <x:c r="K1549" s="81" t="n">
        <x:v>-0.9999999999999905</x:v>
      </x:c>
      <x:c r="L1549" s="81" t="n">
        <x:v>-0.9999999999999905</x:v>
      </x:c>
      <x:c r="M1549" s="80" t="n">
        <x:v>0.001320721276683169</x:v>
      </x:c>
      <x:c r="N1549" s="82" t="n">
        <x:v>0.3016770668253942</x:v>
      </x:c>
      <x:c r="O1549" s="82" t="n">
        <x:v>0.18003820484535923</x:v>
      </x:c>
      <x:c r="P1549" s="80" t="n">
        <x:v>766.0374119333947</x:v>
      </x:c>
      <x:c r="Q1549" s="81" t="n">
        <x:v>3918.2636440362685</x:v>
      </x:c>
      <x:c r="R1549" s="81" t="n">
        <x:v>3.759696245267391</x:v>
      </x:c>
      <x:c r="S1549" s="81" t="n">
        <x:v>1.1568154149136013e-7</x:v>
      </x:c>
      <x:c r="T1549" s="81" t="n">
        <x:v>1.801966584735143e-13</x:v>
      </x:c>
    </x:row>
    <x:row r="1550">
      <x:c r="A1550" s="59" t="n">
        <x:v>1547</x:v>
      </x:c>
      <x:c r="B1550" s="193" t="n">
        <x:v>0.7389161786064506</x:v>
      </x:c>
      <x:c r="C1550" s="83" t="n">
        <x:v>1.3800506780672435</x:v>
      </x:c>
      <x:c r="D1550" s="83" t="n">
        <x:v>2.311196422796034</x:v>
      </x:c>
      <x:c r="E1550" s="81" t="n">
        <x:v>-0.03365685063095421</x:v>
      </x:c>
      <x:c r="F1550" s="81" t="n">
        <x:v>0.8605240124627017</x:v>
      </x:c>
      <x:c r="G1550" s="81" t="n">
        <x:v>-0.02816676493309833</x:v>
      </x:c>
      <x:c r="H1550" s="59" t="n">
        <x:v>0</x:v>
      </x:c>
      <x:c r="I1550" s="81" t="n">
        <x:v>0</x:v>
      </x:c>
      <x:c r="J1550" s="79" t="n">
        <x:v>4.043293208918893e-33</x:v>
      </x:c>
      <x:c r="K1550" s="81" t="n">
        <x:v>-1</x:v>
      </x:c>
      <x:c r="L1550" s="81" t="n">
        <x:v>-1</x:v>
      </x:c>
      <x:c r="M1550" s="80" t="n">
        <x:v>0.000002</x:v>
      </x:c>
      <x:c r="N1550" s="82" t="n">
        <x:v>0.2781174384224051</x:v>
      </x:c>
      <x:c r="O1550" s="82" t="n">
        <x:v>0.22608000605412773</x:v>
      </x:c>
      <x:c r="P1550" s="80" t="n">
        <x:v>1149.8941433703912</x:v>
      </x:c>
      <x:c r="Q1550" s="81" t="n">
        <x:v>15344843965464586</x:v>
      </x:c>
      <x:c r="R1550" s="81" t="n">
        <x:v>2.421962788374333</x:v>
      </x:c>
      <x:c r="S1550" s="81" t="n">
        <x:v>6.008799068326665e-10</x:v>
      </x:c>
      <x:c r="T1550" s="81" t="n">
        <x:v>8.758655830045991e-29</x:v>
      </x:c>
    </x:row>
    <x:row r="1551">
      <x:c r="A1551" s="59" t="n">
        <x:v>1548</x:v>
      </x:c>
      <x:c r="B1551" s="193" t="n">
        <x:v>0.8252951348200441</x:v>
      </x:c>
      <x:c r="C1551" s="83" t="n">
        <x:v>0.8120157231444851</x:v>
      </x:c>
      <x:c r="D1551" s="83" t="n">
        <x:v>0.38373443994930856</x:v>
      </x:c>
      <x:c r="E1551" s="81" t="n">
        <x:v>0.02297060394225615</x:v>
      </x:c>
      <x:c r="F1551" s="81" t="n">
        <x:v>0.6059648619266227</x:v>
      </x:c>
      <x:c r="G1551" s="81" t="n">
        <x:v>0.02445604690830134</x:v>
      </x:c>
      <x:c r="H1551" s="59" t="n">
        <x:v>0</x:v>
      </x:c>
      <x:c r="I1551" s="81" t="n">
        <x:v>0</x:v>
      </x:c>
      <x:c r="J1551" s="79" t="n">
        <x:v>0.000058144727111094944</x:v>
      </x:c>
      <x:c r="K1551" s="81" t="n">
        <x:v>-0.9335488833016058</x:v>
      </x:c>
      <x:c r="L1551" s="81" t="n">
        <x:v>-0.956635950236337</x:v>
      </x:c>
      <x:c r="M1551" s="80" t="n">
        <x:v>2449.8481260150447</x:v>
      </x:c>
      <x:c r="N1551" s="82" t="n">
        <x:v>0.29869452539791214</x:v>
      </x:c>
      <x:c r="O1551" s="82" t="n">
        <x:v>0.17098013122405473</x:v>
      </x:c>
      <x:c r="P1551" s="80" t="n">
        <x:v>2697.8948405352508</x:v>
      </x:c>
      <x:c r="Q1551" s="81" t="n">
        <x:v>0.014311669897762964</x:v>
      </x:c>
      <x:c r="R1551" s="81" t="n">
        <x:v>16.90457336536223</x:v>
      </x:c>
      <x:c r="S1551" s="81" t="n">
        <x:v>1.6403420219888576</x:v>
      </x:c>
      <x:c r="T1551" s="81" t="n">
        <x:v>1.2595417319096551</x:v>
      </x:c>
    </x:row>
    <x:row r="1552">
      <x:c r="A1552" s="59" t="n">
        <x:v>1549</x:v>
      </x:c>
      <x:c r="B1552" s="193" t="n">
        <x:v>0.8629615664482118</x:v>
      </x:c>
      <x:c r="C1552" s="83" t="n">
        <x:v>1.3082694140795053</x:v>
      </x:c>
      <x:c r="D1552" s="83" t="n">
        <x:v>0.8782926119717396</x:v>
      </x:c>
      <x:c r="E1552" s="81" t="n">
        <x:v>0.13821084382084617</x:v>
      </x:c>
      <x:c r="F1552" s="81" t="n">
        <x:v>0.5998646284337156</x:v>
      </x:c>
      <x:c r="G1552" s="81" t="n">
        <x:v>-0.0012268261036195481</x:v>
      </x:c>
      <x:c r="H1552" s="59" t="n">
        <x:v>80</x:v>
      </x:c>
      <x:c r="I1552" s="81" t="n">
        <x:v>0.310818906314671</x:v>
      </x:c>
      <x:c r="J1552" s="79" t="n">
        <x:v>0.014977872312118895</x:v>
      </x:c>
      <x:c r="K1552" s="81" t="n">
        <x:v>16.11756835670731</x:v>
      </x:c>
      <x:c r="L1552" s="81" t="n">
        <x:v>-0.9276861829941867</x:v>
      </x:c>
      <x:c r="M1552" s="80" t="n">
        <x:v>72671.73051462843</x:v>
      </x:c>
      <x:c r="N1552" s="82" t="n">
        <x:v>0.30766737565733493</x:v>
      </x:c>
      <x:c r="O1552" s="82" t="n">
        <x:v>0.1743434529243145</x:v>
      </x:c>
      <x:c r="P1552" s="80" t="n">
        <x:v>101179.98979276698</x:v>
      </x:c>
      <x:c r="Q1552" s="81" t="n">
        <x:v>0.0035361108778566817</x:v>
      </x:c>
      <x:c r="R1552" s="81" t="n">
        <x:v>291.9299593525031</x:v>
      </x:c>
      <x:c r="S1552" s="81" t="n">
        <x:v>225.78962692611913</x:v>
      </x:c>
      <x:c r="T1552" s="81" t="n">
        <x:v>324.4534142585753</x:v>
      </x:c>
    </x:row>
    <x:row r="1553">
      <x:c r="A1553" s="59" t="n">
        <x:v>1550</x:v>
      </x:c>
      <x:c r="B1553" s="193" t="n">
        <x:v>0.47071490045636893</x:v>
      </x:c>
      <x:c r="C1553" s="83" t="n">
        <x:v>0.4047505367761842</x:v>
      </x:c>
      <x:c r="D1553" s="83" t="n">
        <x:v>1.8010054534205129</x:v>
      </x:c>
      <x:c r="E1553" s="81" t="n">
        <x:v>0.016460119342202685</x:v>
      </x:c>
      <x:c r="F1553" s="81" t="n">
        <x:v>0.2594079528003931</x:v>
      </x:c>
      <x:c r="G1553" s="81" t="n">
        <x:v>0.02844337195723877</x:v>
      </x:c>
      <x:c r="H1553" s="59" t="n">
        <x:v>0</x:v>
      </x:c>
      <x:c r="I1553" s="81" t="n">
        <x:v>0</x:v>
      </x:c>
      <x:c r="J1553" s="79" t="n">
        <x:v>0.005395563724788468</x:v>
      </x:c>
      <x:c r="K1553" s="81" t="n">
        <x:v>5.166358542615392</x:v>
      </x:c>
      <x:c r="L1553" s="81" t="n">
        <x:v>-0.49050579986766407</x:v>
      </x:c>
      <x:c r="M1553" s="80" t="n">
        <x:v>20090.31703988606</x:v>
      </x:c>
      <x:c r="N1553" s="82" t="n">
        <x:v>0.21422686519309064</x:v>
      </x:c>
      <x:c r="O1553" s="82" t="n">
        <x:v>0.052496235456033866</x:v>
      </x:c>
      <x:c r="P1553" s="80" t="n">
        <x:v>69691.79278412614</x:v>
      </x:c>
      <x:c r="Q1553" s="81" t="n">
        <x:v>0.007285220341408427</x:v>
      </x:c>
      <x:c r="R1553" s="81" t="n">
        <x:v>156.83548574611714</x:v>
      </x:c>
      <x:c r="S1553" s="81" t="n">
        <x:v>263.58461362424276</x:v>
      </x:c>
      <x:c r="T1553" s="81" t="n">
        <x:v>116.8796899771192</x:v>
      </x:c>
    </x:row>
    <x:row r="1554">
      <x:c r="A1554" s="59" t="n">
        <x:v>1551</x:v>
      </x:c>
      <x:c r="B1554" s="193" t="n">
        <x:v>0.9517538296058774</x:v>
      </x:c>
      <x:c r="C1554" s="83" t="n">
        <x:v>0.829696609016059</x:v>
      </x:c>
      <x:c r="D1554" s="83" t="n">
        <x:v>0.4034289561914892</x:v>
      </x:c>
      <x:c r="E1554" s="81" t="n">
        <x:v>-0.11467680978121146</x:v>
      </x:c>
      <x:c r="F1554" s="81" t="n">
        <x:v>0.2847150095622055</x:v>
      </x:c>
      <x:c r="G1554" s="81" t="n">
        <x:v>0.00834874614478325</x:v>
      </x:c>
      <x:c r="H1554" s="59" t="n">
        <x:v>0</x:v>
      </x:c>
      <x:c r="I1554" s="81" t="n">
        <x:v>0</x:v>
      </x:c>
      <x:c r="J1554" s="79" t="n">
        <x:v>3.350171014938946e-28</x:v>
      </x:c>
      <x:c r="K1554" s="81" t="n">
        <x:v>-1</x:v>
      </x:c>
      <x:c r="L1554" s="81" t="n">
        <x:v>-1</x:v>
      </x:c>
      <x:c r="M1554" s="80" t="n">
        <x:v>0.000002</x:v>
      </x:c>
      <x:c r="N1554" s="82" t="n">
        <x:v>0.3288193575964249</x:v>
      </x:c>
      <x:c r="O1554" s="82" t="n">
        <x:v>0.08843795288538611</x:v>
      </x:c>
      <x:c r="P1554" s="80" t="n">
        <x:v>247.65720419574222</x:v>
      </x:c>
      <x:c r="Q1554" s="81" t="n">
        <x:v>58613976714.46919</x:v>
      </x:c>
      <x:c r="R1554" s="81" t="n">
        <x:v>3.9569918276837583</x:v>
      </x:c>
      <x:c r="S1554" s="81" t="n">
        <x:v>2.1370910940380574e-10</x:v>
      </x:c>
      <x:c r="T1554" s="81" t="n">
        <x:v>7.257201834118753e-24</x:v>
      </x:c>
    </x:row>
    <x:row r="1555">
      <x:c r="A1555" s="59" t="n">
        <x:v>1552</x:v>
      </x:c>
      <x:c r="B1555" s="193" t="n">
        <x:v>0.30494372434914113</x:v>
      </x:c>
      <x:c r="C1555" s="83" t="n">
        <x:v>0.5792353530193834</x:v>
      </x:c>
      <x:c r="D1555" s="83" t="n">
        <x:v>0.2828200762897365</x:v>
      </x:c>
      <x:c r="E1555" s="81" t="n">
        <x:v>-0.053371500763195086</x:v>
      </x:c>
      <x:c r="F1555" s="81" t="n">
        <x:v>0.4081664748140611</x:v>
      </x:c>
      <x:c r="G1555" s="81" t="n">
        <x:v>0.01595957916502118</x:v>
      </x:c>
      <x:c r="H1555" s="59" t="n">
        <x:v>0</x:v>
      </x:c>
      <x:c r="I1555" s="81" t="n">
        <x:v>0</x:v>
      </x:c>
      <x:c r="J1555" s="79" t="n">
        <x:v>1.1889532961491131e-14</x:v>
      </x:c>
      <x:c r="K1555" s="81" t="n">
        <x:v>-0.999999999986412</x:v>
      </x:c>
      <x:c r="L1555" s="81" t="n">
        <x:v>-0.999999999986412</x:v>
      </x:c>
      <x:c r="M1555" s="80" t="n">
        <x:v>0.03020413477333507</x:v>
      </x:c>
      <x:c r="N1555" s="82" t="n">
        <x:v>0.17473706283479712</x:v>
      </x:c>
      <x:c r="O1555" s="82" t="n">
        <x:v>0.06737415072774912</x:v>
      </x:c>
      <x:c r="P1555" s="80" t="n">
        <x:v>365.844426065638</x:v>
      </x:c>
      <x:c r="Q1555" s="81" t="n">
        <x:v>50.64264698767013</x:v>
      </x:c>
      <x:c r="R1555" s="81" t="n">
        <x:v>12.563816754397145</x:v>
      </x:c>
      <x:c r="S1555" s="81" t="n">
        <x:v>0.0000029770204567497996</x:v>
      </x:c>
      <x:c r="T1555" s="81" t="n">
        <x:v>2.5755324140227893e-10</x:v>
      </x:c>
    </x:row>
    <x:row r="1556">
      <x:c r="A1556" s="59" t="n">
        <x:v>1553</x:v>
      </x:c>
      <x:c r="B1556" s="193" t="n">
        <x:v>0.7294635018333793</x:v>
      </x:c>
      <x:c r="C1556" s="83" t="n">
        <x:v>1.4137361480690782</x:v>
      </x:c>
      <x:c r="D1556" s="83" t="n">
        <x:v>1.9463219055726215</x:v>
      </x:c>
      <x:c r="E1556" s="81" t="n">
        <x:v>0.15974556477981477</x:v>
      </x:c>
      <x:c r="F1556" s="81" t="n">
        <x:v>0.43621917624259365</x:v>
      </x:c>
      <x:c r="G1556" s="81" t="n">
        <x:v>-0.042692447495007474</x:v>
      </x:c>
      <x:c r="H1556" s="59" t="n">
        <x:v>0</x:v>
      </x:c>
      <x:c r="I1556" s="81" t="n">
        <x:v>0</x:v>
      </x:c>
      <x:c r="J1556" s="79" t="n">
        <x:v>0.13137802055477543</x:v>
      </x:c>
      <x:c r="K1556" s="81" t="n">
        <x:v>149.14630920545764</x:v>
      </x:c>
      <x:c r="L1556" s="81" t="n">
        <x:v>-0.8376136402068275</x:v>
      </x:c>
      <x:c r="M1556" s="80" t="n">
        <x:v>298288.52989368956</x:v>
      </x:c>
      <x:c r="N1556" s="82" t="n">
        <x:v>0.2758656335773705</x:v>
      </x:c>
      <x:c r="O1556" s="82" t="n">
        <x:v>0.11367718119341336</x:v>
      </x:c>
      <x:c r="P1556" s="80" t="n">
        <x:v>661025.4313655572</x:v>
      </x:c>
      <x:c r="Q1556" s="81" t="n">
        <x:v>0.002339935335395409</x:v>
      </x:c>
      <x:c r="R1556" s="81" t="n">
        <x:v>3203.5335146704106</x:v>
      </x:c>
      <x:c r="S1556" s="81" t="n">
        <x:v>1794.4893369945034</x:v>
      </x:c>
      <x:c r="T1556" s="81" t="n">
        <x:v>2845.934752230501</x:v>
      </x:c>
    </x:row>
    <x:row r="1557">
      <x:c r="A1557" s="59" t="n">
        <x:v>1554</x:v>
      </x:c>
      <x:c r="B1557" s="193" t="n">
        <x:v>0.3273005967959762</x:v>
      </x:c>
      <x:c r="C1557" s="83" t="n">
        <x:v>0.47451485922340336</x:v>
      </x:c>
      <x:c r="D1557" s="83" t="n">
        <x:v>0.5908023045140052</x:v>
      </x:c>
      <x:c r="E1557" s="81" t="n">
        <x:v>-0.11815062429514689</x:v>
      </x:c>
      <x:c r="F1557" s="81" t="n">
        <x:v>0.5899990412755869</x:v>
      </x:c>
      <x:c r="G1557" s="81" t="n">
        <x:v>0.0072105860756594645</x:v>
      </x:c>
      <x:c r="H1557" s="59" t="n">
        <x:v>0</x:v>
      </x:c>
      <x:c r="I1557" s="81" t="n">
        <x:v>0</x:v>
      </x:c>
      <x:c r="J1557" s="79" t="n">
        <x:v>6.303676773066381e-35</x:v>
      </x:c>
      <x:c r="K1557" s="81" t="n">
        <x:v>-1</x:v>
      </x:c>
      <x:c r="L1557" s="81" t="n">
        <x:v>-1</x:v>
      </x:c>
      <x:c r="M1557" s="80" t="n">
        <x:v>0.000002</x:v>
      </x:c>
      <x:c r="N1557" s="82" t="n">
        <x:v>0.1800628890429914</x:v>
      </x:c>
      <x:c r="O1557" s="82" t="n">
        <x:v>0.10035672071409685</x:v>
      </x:c>
      <x:c r="P1557" s="80" t="n">
        <x:v>204.1325439438315</x:v>
      </x:c>
      <x:c r="Q1557" s="81" t="n">
        <x:v>303294932941522200</x:v>
      </x:c>
      <x:c r="R1557" s="81" t="n">
        <x:v>4.52169079060452</x:v>
      </x:c>
      <x:c r="S1557" s="81" t="n">
        <x:v>3.830544928546864e-10</x:v>
      </x:c>
      <x:c r="T1557" s="81" t="n">
        <x:v>1.3655140121264179e-30</x:v>
      </x:c>
    </x:row>
    <x:row r="1558">
      <x:c r="A1558" s="59" t="n">
        <x:v>1555</x:v>
      </x:c>
      <x:c r="B1558" s="193" t="n">
        <x:v>0.9936179274693131</x:v>
      </x:c>
      <x:c r="C1558" s="83" t="n">
        <x:v>1.0953066353617802</x:v>
      </x:c>
      <x:c r="D1558" s="83" t="n">
        <x:v>1.598681917482835</x:v>
      </x:c>
      <x:c r="E1558" s="81" t="n">
        <x:v>0.07041551166190314</x:v>
      </x:c>
      <x:c r="F1558" s="81" t="n">
        <x:v>0.8547393681015819</x:v>
      </x:c>
      <x:c r="G1558" s="81" t="n">
        <x:v>-0.004130305472849702</x:v>
      </x:c>
      <x:c r="H1558" s="59" t="n">
        <x:v>0</x:v>
      </x:c>
      <x:c r="I1558" s="81" t="n">
        <x:v>0</x:v>
      </x:c>
      <x:c r="J1558" s="79" t="n">
        <x:v>0.003949244645824476</x:v>
      </x:c>
      <x:c r="K1558" s="81" t="n">
        <x:v>3.51342245237083</x:v>
      </x:c>
      <x:c r="L1558" s="81" t="n">
        <x:v>-0.8101422320627226</x:v>
      </x:c>
      <x:c r="M1558" s="80" t="n">
        <x:v>32909.89029008294</x:v>
      </x:c>
      <x:c r="N1558" s="82" t="n">
        <x:v>0.3387921706593306</x:v>
      </x:c>
      <x:c r="O1558" s="82" t="n">
        <x:v>0.2735508160434066</x:v>
      </x:c>
      <x:c r="P1558" s="80" t="n">
        <x:v>82832.65838375555</x:v>
      </x:c>
      <x:c r="Q1558" s="81" t="n">
        <x:v>0.010058111879343362</x:v>
      </x:c>
      <x:c r="R1558" s="81" t="n">
        <x:v>134.04663831911614</x:v>
      </x:c>
      <x:c r="S1558" s="81" t="n">
        <x:v>77.97990589386094</x:v>
      </x:c>
      <x:c r="T1558" s="81" t="n">
        <x:v>85.5492610952082</x:v>
      </x:c>
    </x:row>
    <x:row r="1559">
      <x:c r="A1559" s="59" t="n">
        <x:v>1556</x:v>
      </x:c>
      <x:c r="B1559" s="193" t="n">
        <x:v>0.5903819013386965</x:v>
      </x:c>
      <x:c r="C1559" s="83" t="n">
        <x:v>0.7949664619551062</x:v>
      </x:c>
      <x:c r="D1559" s="83" t="n">
        <x:v>0.2795149381133968</x:v>
      </x:c>
      <x:c r="E1559" s="81" t="n">
        <x:v>-0.03325687120770922</x:v>
      </x:c>
      <x:c r="F1559" s="81" t="n">
        <x:v>0.2744797051884234</x:v>
      </x:c>
      <x:c r="G1559" s="81" t="n">
        <x:v>-0.011298000689747737</x:v>
      </x:c>
      <x:c r="H1559" s="59" t="n">
        <x:v>41</x:v>
      </x:c>
      <x:c r="I1559" s="81" t="n">
        <x:v>0.4423632681369781</x:v>
      </x:c>
      <x:c r="J1559" s="79" t="n">
        <x:v>4.395915756094786e-10</x:v>
      </x:c>
      <x:c r="K1559" s="81" t="n">
        <x:v>-0.9999994976096279</x:v>
      </x:c>
      <x:c r="L1559" s="81" t="n">
        <x:v>-0.9999994976096279</x:v>
      </x:c>
      <x:c r="M1559" s="80" t="n">
        <x:v>6.499897207680032</x:v>
      </x:c>
      <x:c r="N1559" s="82" t="n">
        <x:v>0.24273378855952762</x:v>
      </x:c>
      <x:c r="O1559" s="82" t="n">
        <x:v>0.06293777924413117</x:v>
      </x:c>
      <x:c r="P1559" s="80" t="n">
        <x:v>557.7887665011878</x:v>
      </x:c>
      <x:c r="Q1559" s="81" t="n">
        <x:v>0.4598451166176165</x:v>
      </x:c>
      <x:c r="R1559" s="81" t="n">
        <x:v>11.967562057795735</x:v>
      </x:c>
      <x:c r="S1559" s="81" t="n">
        <x:v>0.00040257640306896414</x:v>
      </x:c>
      <x:c r="T1559" s="81" t="n">
        <x:v>0.00000952251325245974</x:v>
      </x:c>
    </x:row>
    <x:row r="1560">
      <x:c r="A1560" s="59" t="n">
        <x:v>1557</x:v>
      </x:c>
      <x:c r="B1560" s="193" t="n">
        <x:v>0.50187897849828</x:v>
      </x:c>
      <x:c r="C1560" s="83" t="n">
        <x:v>2.4924164069836334</x:v>
      </x:c>
      <x:c r="D1560" s="83" t="n">
        <x:v>0.6332398679396236</x:v>
      </x:c>
      <x:c r="E1560" s="81" t="n">
        <x:v>-0.013985409297607642</x:v>
      </x:c>
      <x:c r="F1560" s="81" t="n">
        <x:v>0.38592781386105346</x:v>
      </x:c>
      <x:c r="G1560" s="81" t="n">
        <x:v>-0.009353068376641778</x:v>
      </x:c>
      <x:c r="H1560" s="59" t="n">
        <x:v>0</x:v>
      </x:c>
      <x:c r="I1560" s="81" t="n">
        <x:v>0</x:v>
      </x:c>
      <x:c r="J1560" s="79" t="n">
        <x:v>1.2725692638717296e-9</x:v>
      </x:c>
      <x:c r="K1560" s="81" t="n">
        <x:v>-0.999998545635127</x:v>
      </x:c>
      <x:c r="L1560" s="81" t="n">
        <x:v>-0.999998545635127</x:v>
      </x:c>
      <x:c r="M1560" s="80" t="n">
        <x:v>21.48486079069101</x:v>
      </x:c>
      <x:c r="N1560" s="82" t="n">
        <x:v>0.221650732909137</x:v>
      </x:c>
      <x:c r="O1560" s="82" t="n">
        <x:v>0.08080648073257055</x:v>
      </x:c>
      <x:c r="P1560" s="80" t="n">
        <x:v>2897.2075709203946</x:v>
      </x:c>
      <x:c r="Q1560" s="81" t="n">
        <x:v>1.2235137600881303</x:v>
      </x:c>
      <x:c r="R1560" s="81" t="n">
        <x:v>5.031333342206048</x:v>
      </x:c>
      <x:c r="S1560" s="81" t="n">
        <x:v>0.001555291660871776</x:v>
      </x:c>
      <x:c r="T1560" s="81" t="n">
        <x:v>0.00002756662855308409</x:v>
      </x:c>
    </x:row>
    <x:row r="1561">
      <x:c r="A1561" s="59" t="n">
        <x:v>1558</x:v>
      </x:c>
      <x:c r="B1561" s="193" t="n">
        <x:v>0.829437605291605</x:v>
      </x:c>
      <x:c r="C1561" s="83" t="n">
        <x:v>2.574729851044248</x:v>
      </x:c>
      <x:c r="D1561" s="83" t="n">
        <x:v>0.6696120385532</x:v>
      </x:c>
      <x:c r="E1561" s="81" t="n">
        <x:v>-0.04336036715595589</x:v>
      </x:c>
      <x:c r="F1561" s="81" t="n">
        <x:v>0.7127549615805038</x:v>
      </x:c>
      <x:c r="G1561" s="81" t="n">
        <x:v>-0.006551294401946012</x:v>
      </x:c>
      <x:c r="H1561" s="59" t="n">
        <x:v>0</x:v>
      </x:c>
      <x:c r="I1561" s="81" t="n">
        <x:v>0</x:v>
      </x:c>
      <x:c r="J1561" s="79" t="n">
        <x:v>3.1820043588208017e-21</x:v>
      </x:c>
      <x:c r="K1561" s="81" t="n">
        <x:v>-1</x:v>
      </x:c>
      <x:c r="L1561" s="81" t="n">
        <x:v>-1</x:v>
      </x:c>
      <x:c r="M1561" s="80" t="n">
        <x:v>0.00003614813179881542</x:v>
      </x:c>
      <x:c r="N1561" s="82" t="n">
        <x:v>0.29968133953555964</x:v>
      </x:c>
      <x:c r="O1561" s="82" t="n">
        <x:v>0.20177664299226378</x:v>
      </x:c>
      <x:c r="P1561" s="80" t="n">
        <x:v>1147.074661060866</x:v>
      </x:c>
      <x:c r="Q1561" s="81" t="n">
        <x:v>276115.8021736468</x:v>
      </x:c>
      <x:c r="R1561" s="81" t="n">
        <x:v>2.3718845178914423</x:v>
      </x:c>
      <x:c r="S1561" s="81" t="n">
        <x:v>2.8831481245838253e-9</x:v>
      </x:c>
      <x:c r="T1561" s="81" t="n">
        <x:v>6.892916142499977e-17</x:v>
      </x:c>
    </x:row>
    <x:row r="1562">
      <x:c r="A1562" s="59" t="n">
        <x:v>1559</x:v>
      </x:c>
      <x:c r="B1562" s="193" t="n">
        <x:v>0.5918933892622591</x:v>
      </x:c>
      <x:c r="C1562" s="83" t="n">
        <x:v>1.9382517659221985</x:v>
      </x:c>
      <x:c r="D1562" s="83" t="n">
        <x:v>1.2939304352925618</x:v>
      </x:c>
      <x:c r="E1562" s="81" t="n">
        <x:v>-0.03565034964781781</x:v>
      </x:c>
      <x:c r="F1562" s="81" t="n">
        <x:v>0.6359672165010124</x:v>
      </x:c>
      <x:c r="G1562" s="81" t="n">
        <x:v>0.008846921382449571</x:v>
      </x:c>
      <x:c r="H1562" s="59" t="n">
        <x:v>0</x:v>
      </x:c>
      <x:c r="I1562" s="81" t="n">
        <x:v>0</x:v>
      </x:c>
      <x:c r="J1562" s="79" t="n">
        <x:v>2.0651819542283767e-28</x:v>
      </x:c>
      <x:c r="K1562" s="81" t="n">
        <x:v>-1</x:v>
      </x:c>
      <x:c r="L1562" s="81" t="n">
        <x:v>-1</x:v>
      </x:c>
      <x:c r="M1562" s="80" t="n">
        <x:v>0.000002</x:v>
      </x:c>
      <x:c r="N1562" s="82" t="n">
        <x:v>0.24309385332331887</x:v>
      </x:c>
      <x:c r="O1562" s="82" t="n">
        <x:v>0.1460426310271936</x:v>
      </x:c>
      <x:c r="P1562" s="80" t="n">
        <x:v>1267.9778463349555</x:v>
      </x:c>
      <x:c r="Q1562" s="81" t="n">
        <x:v>284174982603.9321</x:v>
      </x:c>
      <x:c r="R1562" s="81" t="n">
        <x:v>2.5440477760199243</x:v>
      </x:c>
      <x:c r="S1562" s="81" t="n">
        <x:v>4.2940475622546986e-10</x:v>
      </x:c>
      <x:c r="T1562" s="81" t="n">
        <x:v>4.4736349873435514e-24</x:v>
      </x:c>
    </x:row>
    <x:row r="1563">
      <x:c r="A1563" s="59" t="n">
        <x:v>1560</x:v>
      </x:c>
      <x:c r="B1563" s="193" t="n">
        <x:v>0.3128069754689932</x:v>
      </x:c>
      <x:c r="C1563" s="83" t="n">
        <x:v>0.2691295415118161</x:v>
      </x:c>
      <x:c r="D1563" s="83" t="n">
        <x:v>0.8217877364956969</x:v>
      </x:c>
      <x:c r="E1563" s="81" t="n">
        <x:v>0.019723932681644775</x:v>
      </x:c>
      <x:c r="F1563" s="81" t="n">
        <x:v>0.6379434036207385</x:v>
      </x:c>
      <x:c r="G1563" s="81" t="n">
        <x:v>0.013166885448436187</x:v>
      </x:c>
      <x:c r="H1563" s="59" t="n">
        <x:v>23</x:v>
      </x:c>
      <x:c r="I1563" s="81" t="n">
        <x:v>0.34858601689338686</x:v>
      </x:c>
      <x:c r="J1563" s="79" t="n">
        <x:v>0.00020883707283549213</x:v>
      </x:c>
      <x:c r="K1563" s="81" t="n">
        <x:v>-0.7613290596165804</x:v>
      </x:c>
      <x:c r="L1563" s="81" t="n">
        <x:v>-0.8670997756031735</x:v>
      </x:c>
      <x:c r="M1563" s="80" t="n">
        <x:v>3344.359333481792</x:v>
      </x:c>
      <x:c r="N1563" s="82" t="n">
        <x:v>0.17661023668750445</x:v>
      </x:c>
      <x:c r="O1563" s="82" t="n">
        <x:v>0.10643120165774086</x:v>
      </x:c>
      <x:c r="P1563" s="80" t="n">
        <x:v>6148.157922926922</x:v>
      </x:c>
      <x:c r="Q1563" s="81" t="n">
        <x:v>0.011321245694628312</x:v>
      </x:c>
      <x:c r="R1563" s="81" t="n">
        <x:v>62.944119123993005</x:v>
      </x:c>
      <x:c r="S1563" s="81" t="n">
        <x:v>15.538947039909</x:v>
      </x:c>
      <x:c r="T1563" s="81" t="n">
        <x:v>4.523866934719287</x:v>
      </x:c>
    </x:row>
    <x:row r="1564">
      <x:c r="A1564" s="59" t="n">
        <x:v>1561</x:v>
      </x:c>
      <x:c r="B1564" s="193" t="n">
        <x:v>0.7781538059934974</x:v>
      </x:c>
      <x:c r="C1564" s="83" t="n">
        <x:v>0.48601615612577814</x:v>
      </x:c>
      <x:c r="D1564" s="83" t="n">
        <x:v>0.9656727567452208</x:v>
      </x:c>
      <x:c r="E1564" s="81" t="n">
        <x:v>0.12374168905213864</x:v>
      </x:c>
      <x:c r="F1564" s="81" t="n">
        <x:v>0.871086963673588</x:v>
      </x:c>
      <x:c r="G1564" s="81" t="n">
        <x:v>-0.01574991664884598</x:v>
      </x:c>
      <x:c r="H1564" s="59" t="n">
        <x:v>0</x:v>
      </x:c>
      <x:c r="I1564" s="81" t="n">
        <x:v>0</x:v>
      </x:c>
      <x:c r="J1564" s="79" t="n">
        <x:v>0.0023075505089181617</x:v>
      </x:c>
      <x:c r="K1564" s="81" t="n">
        <x:v>1.6372005816207564</x:v>
      </x:c>
      <x:c r="L1564" s="81" t="n">
        <x:v>-0.8315406375353072</x:v>
      </x:c>
      <x:c r="M1564" s="80" t="n">
        <x:v>17790.285494708452</x:v>
      </x:c>
      <x:c r="N1564" s="82" t="n">
        <x:v>0.2874645769715136</x:v>
      </x:c>
      <x:c r="O1564" s="82" t="n">
        <x:v>0.23654664473682996</x:v>
      </x:c>
      <x:c r="P1564" s="80" t="n">
        <x:v>28082.932554136198</x:v>
      </x:c>
      <x:c r="Q1564" s="81" t="n">
        <x:v>0.005076707341268681</x:v>
      </x:c>
      <x:c r="R1564" s="81" t="n">
        <x:v>230.97607958804608</x:v>
      </x:c>
      <x:c r="S1564" s="81" t="n">
        <x:v>92.7509926317169</x:v>
      </x:c>
      <x:c r="T1564" s="81" t="n">
        <x:v>49.986581911693044</x:v>
      </x:c>
    </x:row>
    <x:row r="1565">
      <x:c r="A1565" s="59" t="n">
        <x:v>1562</x:v>
      </x:c>
      <x:c r="B1565" s="193" t="n">
        <x:v>0.7507661482319237</x:v>
      </x:c>
      <x:c r="C1565" s="83" t="n">
        <x:v>0.15785375866110515</x:v>
      </x:c>
      <x:c r="D1565" s="83" t="n">
        <x:v>1.1334670587993145</x:v>
      </x:c>
      <x:c r="E1565" s="81" t="n">
        <x:v>-0.006931988684723517</x:v>
      </x:c>
      <x:c r="F1565" s="81" t="n">
        <x:v>0.4885521739022807</x:v>
      </x:c>
      <x:c r="G1565" s="81" t="n">
        <x:v>-0.0005058728515311296</x:v>
      </x:c>
      <x:c r="H1565" s="59" t="n">
        <x:v>0</x:v>
      </x:c>
      <x:c r="I1565" s="81" t="n">
        <x:v>0</x:v>
      </x:c>
      <x:c r="J1565" s="79" t="n">
        <x:v>2.5610240982523174e-10</x:v>
      </x:c>
      <x:c r="K1565" s="81" t="n">
        <x:v>-0.9999997073115316</x:v>
      </x:c>
      <x:c r="L1565" s="81" t="n">
        <x:v>-0.9999997073115316</x:v>
      </x:c>
      <x:c r="M1565" s="80" t="n">
        <x:v>3.202881589884854</x:v>
      </x:c>
      <x:c r="N1565" s="82" t="n">
        <x:v>0.28094032337412345</x:v>
      </x:c>
      <x:c r="O1565" s="82" t="n">
        <x:v>0.1296570003679752</x:v>
      </x:c>
      <x:c r="P1565" s="80" t="n">
        <x:v>1113.117745618723</x:v>
      </x:c>
      <x:c r="Q1565" s="81" t="n">
        <x:v>1.796648573799444</x:v>
      </x:c>
      <x:c r="R1565" s="81" t="n">
        <x:v>44.17067826547751</x:v>
      </x:c>
      <x:c r="S1565" s="81" t="n">
        <x:v>0.0014162245944384674</x:v>
      </x:c>
      <x:c r="T1565" s="81" t="n">
        <x:v>0.000005547737324507225</x:v>
      </x:c>
    </x:row>
    <x:row r="1566">
      <x:c r="A1566" s="59" t="n">
        <x:v>1563</x:v>
      </x:c>
      <x:c r="B1566" s="193" t="n">
        <x:v>0.4171640181913972</x:v>
      </x:c>
      <x:c r="C1566" s="83" t="n">
        <x:v>0.5032707892003246</x:v>
      </x:c>
      <x:c r="D1566" s="83" t="n">
        <x:v>1.0750330290385637</x:v>
      </x:c>
      <x:c r="E1566" s="81" t="n">
        <x:v>-0.003592360651406154</x:v>
      </x:c>
      <x:c r="F1566" s="81" t="n">
        <x:v>0.8017286518239416</x:v>
      </x:c>
      <x:c r="G1566" s="81" t="n">
        <x:v>0.0031728392137329122</x:v>
      </x:c>
      <x:c r="H1566" s="59" t="n">
        <x:v>0</x:v>
      </x:c>
      <x:c r="I1566" s="81" t="n">
        <x:v>0</x:v>
      </x:c>
      <x:c r="J1566" s="79" t="n">
        <x:v>2.1336833996620164e-8</x:v>
      </x:c>
      <x:c r="K1566" s="81" t="n">
        <x:v>-0.999975615046861</x:v>
      </x:c>
      <x:c r="L1566" s="81" t="n">
        <x:v>-0.999975615046861</x:v>
      </x:c>
      <x:c r="M1566" s="80" t="n">
        <x:v>37.708744976861425</x:v>
      </x:c>
      <x:c r="N1566" s="82" t="n">
        <x:v>0.2014700409585318</x:v>
      </x:c>
      <x:c r="O1566" s="82" t="n">
        <x:v>0.1525839386230182</x:v>
      </x:c>
      <x:c r="P1566" s="80" t="n">
        <x:v>1793.698746952373</x:v>
      </x:c>
      <x:c r="Q1566" s="81" t="n">
        <x:v>0.4111382404776456</x:v>
      </x:c>
      <x:c r="R1566" s="81" t="n">
        <x:v>17.435716882352494</x:v>
      </x:c>
      <x:c r="S1566" s="81" t="n">
        <x:v>0.013168476302664685</x:v>
      </x:c>
      <x:c r="T1566" s="81" t="n">
        <x:v>0.0004622024073519756</x:v>
      </x:c>
    </x:row>
    <x:row r="1567">
      <x:c r="A1567" s="59" t="n">
        <x:v>1564</x:v>
      </x:c>
      <x:c r="B1567" s="193" t="n">
        <x:v>0.38738146834075454</x:v>
      </x:c>
      <x:c r="C1567" s="83" t="n">
        <x:v>0.3973427100604544</x:v>
      </x:c>
      <x:c r="D1567" s="83" t="n">
        <x:v>2.370622058593851</x:v>
      </x:c>
      <x:c r="E1567" s="81" t="n">
        <x:v>-0.030069302048026523</x:v>
      </x:c>
      <x:c r="F1567" s="81" t="n">
        <x:v>0.34073130392935125</x:v>
      </x:c>
      <x:c r="G1567" s="81" t="n">
        <x:v>0.01253655322536686</x:v>
      </x:c>
      <x:c r="H1567" s="59" t="n">
        <x:v>0</x:v>
      </x:c>
      <x:c r="I1567" s="81" t="n">
        <x:v>0</x:v>
      </x:c>
      <x:c r="J1567" s="79" t="n">
        <x:v>5.505649902403041e-36</x:v>
      </x:c>
      <x:c r="K1567" s="81" t="n">
        <x:v>-1</x:v>
      </x:c>
      <x:c r="L1567" s="81" t="n">
        <x:v>-1</x:v>
      </x:c>
      <x:c r="M1567" s="80" t="n">
        <x:v>0.000002</x:v>
      </x:c>
      <x:c r="N1567" s="82" t="n">
        <x:v>0.19437527916129907</x:v>
      </x:c>
      <x:c r="O1567" s="82" t="n">
        <x:v>0.06256392794706088</x:v>
      </x:c>
      <x:c r="P1567" s="80" t="n">
        <x:v>773.0565807494485</x:v>
      </x:c>
      <x:c r="Q1567" s="81" t="n">
        <x:v>12569827170397925000</x:v>
      </x:c>
      <x:c r="R1567" s="81" t="n">
        <x:v>6.374245325031603</x:v>
      </x:c>
      <x:c r="S1567" s="81" t="n">
        <x:v>1.7293934296470269e-9</x:v>
      </x:c>
      <x:c r="T1567" s="81" t="n">
        <x:v>1.1926439692650509e-31</x:v>
      </x:c>
    </x:row>
    <x:row r="1568">
      <x:c r="A1568" s="59" t="n">
        <x:v>1565</x:v>
      </x:c>
      <x:c r="B1568" s="193" t="n">
        <x:v>0.5584085304290056</x:v>
      </x:c>
      <x:c r="C1568" s="83" t="n">
        <x:v>0.5073893473882358</x:v>
      </x:c>
      <x:c r="D1568" s="83" t="n">
        <x:v>0.7481911095757255</x:v>
      </x:c>
      <x:c r="E1568" s="81" t="n">
        <x:v>-0.100955827144512</x:v>
      </x:c>
      <x:c r="F1568" s="81" t="n">
        <x:v>0.563937679270748</x:v>
      </x:c>
      <x:c r="G1568" s="81" t="n">
        <x:v>0.03663998019929324</x:v>
      </x:c>
      <x:c r="H1568" s="59" t="n">
        <x:v>0</x:v>
      </x:c>
      <x:c r="I1568" s="81" t="n">
        <x:v>0</x:v>
      </x:c>
      <x:c r="J1568" s="79" t="n">
        <x:v>7.884720611460943e-41</x:v>
      </x:c>
      <x:c r="K1568" s="81" t="n">
        <x:v>-1</x:v>
      </x:c>
      <x:c r="L1568" s="81" t="n">
        <x:v>-1</x:v>
      </x:c>
      <x:c r="M1568" s="80" t="n">
        <x:v>0.000002</x:v>
      </x:c>
      <x:c r="N1568" s="82" t="n">
        <x:v>0.23511713210813462</x:v>
      </x:c>
      <x:c r="O1568" s="82" t="n">
        <x:v>0.12525247903549586</x:v>
      </x:c>
      <x:c r="P1568" s="80" t="n">
        <x:v>245.3624609082281</x:v>
      </x:c>
      <x:c r="Q1568" s="81" t="n">
        <x:v>2.7941324884406672e+23</x:v>
      </x:c>
      <x:c r="R1568" s="81" t="n">
        <x:v>3.941459183764844</x:v>
      </x:c>
      <x:c r="S1568" s="81" t="n">
        <x:v>6.736453533007096e-10</x:v>
      </x:c>
      <x:c r="T1568" s="81" t="n">
        <x:v>1.7080026251749744e-36</x:v>
      </x:c>
    </x:row>
    <x:row r="1569">
      <x:c r="A1569" s="59" t="n">
        <x:v>1566</x:v>
      </x:c>
      <x:c r="B1569" s="193" t="n">
        <x:v>0.27995851412415507</x:v>
      </x:c>
      <x:c r="C1569" s="83" t="n">
        <x:v>1.5178232932931057</x:v>
      </x:c>
      <x:c r="D1569" s="83" t="n">
        <x:v>0.5496516496019905</x:v>
      </x:c>
      <x:c r="E1569" s="81" t="n">
        <x:v>-0.19381627775462776</x:v>
      </x:c>
      <x:c r="F1569" s="81" t="n">
        <x:v>0.30539338698145</x:v>
      </x:c>
      <x:c r="G1569" s="81" t="n">
        <x:v>0.021264438127806023</x:v>
      </x:c>
      <x:c r="H1569" s="59" t="n">
        <x:v>0</x:v>
      </x:c>
      <x:c r="I1569" s="81" t="n">
        <x:v>0</x:v>
      </x:c>
      <x:c r="J1569" s="79" t="n">
        <x:v>6.343169860827229e-48</x:v>
      </x:c>
      <x:c r="K1569" s="81" t="n">
        <x:v>-1</x:v>
      </x:c>
      <x:c r="L1569" s="81" t="n">
        <x:v>-1</x:v>
      </x:c>
      <x:c r="M1569" s="80" t="n">
        <x:v>0.000002</x:v>
      </x:c>
      <x:c r="N1569" s="82" t="n">
        <x:v>0.16878511728651352</x:v>
      </x:c>
      <x:c r="O1569" s="82" t="n">
        <x:v>0.04869279681536134</x:v>
      </x:c>
      <x:c r="P1569" s="80" t="n">
        <x:v>236.5312752714346</x:v>
      </x:c>
      <x:c r="Q1569" s="81" t="n">
        <x:v>1.961714071372582e+30</x:v>
      </x:c>
      <x:c r="R1569" s="81" t="n">
        <x:v>1.122811255184615</x:v>
      </x:c>
      <x:c r="S1569" s="81" t="n">
        <x:v>2.4702900142158476e-10</x:v>
      </x:c>
      <x:c r="T1569" s="81" t="n">
        <x:v>1.3740690771560834e-43</x:v>
      </x:c>
    </x:row>
    <x:row r="1570">
      <x:c r="A1570" s="59" t="n">
        <x:v>1567</x:v>
      </x:c>
      <x:c r="B1570" s="193" t="n">
        <x:v>0.5526144007220865</x:v>
      </x:c>
      <x:c r="C1570" s="83" t="n">
        <x:v>1.2893958620800603</x:v>
      </x:c>
      <x:c r="D1570" s="83" t="n">
        <x:v>1.4146588100736077</x:v>
      </x:c>
      <x:c r="E1570" s="81" t="n">
        <x:v>0.037761985684122756</x:v>
      </x:c>
      <x:c r="F1570" s="81" t="n">
        <x:v>0.43243134436197583</x:v>
      </x:c>
      <x:c r="G1570" s="81" t="n">
        <x:v>0.025883205405803408</x:v>
      </x:c>
      <x:c r="H1570" s="59" t="n">
        <x:v>50</x:v>
      </x:c>
      <x:c r="I1570" s="81" t="n">
        <x:v>0.1361621044576168</x:v>
      </x:c>
      <x:c r="J1570" s="79" t="n">
        <x:v>0.014642981711827397</x:v>
      </x:c>
      <x:c r="K1570" s="81" t="n">
        <x:v>15.734836242088456</x:v>
      </x:c>
      <x:c r="L1570" s="81" t="n">
        <x:v>-0.7049723812880128</x:v>
      </x:c>
      <x:c r="M1570" s="80" t="n">
        <x:v>59464.15904200975</x:v>
      </x:c>
      <x:c r="N1570" s="82" t="n">
        <x:v>0.23373686177201458</x:v>
      </x:c>
      <x:c r="O1570" s="82" t="n">
        <x:v>0.09548063891222841</x:v>
      </x:c>
      <x:c r="P1570" s="80" t="n">
        <x:v>149874.66058864197</x:v>
      </x:c>
      <x:c r="Q1570" s="81" t="n">
        <x:v>0.006241962916907768</x:v>
      </x:c>
      <x:c r="R1570" s="81" t="n">
        <x:v>131.98079425315981</x:v>
      </x:c>
      <x:c r="S1570" s="81" t="n">
        <x:v>233.4743791287343</x:v>
      </x:c>
      <x:c r="T1570" s="81" t="n">
        <x:v>317.19895271668025</x:v>
      </x:c>
    </x:row>
    <x:row r="1571">
      <x:c r="A1571" s="59" t="n">
        <x:v>1568</x:v>
      </x:c>
      <x:c r="B1571" s="193" t="n">
        <x:v>0.4213937632739544</x:v>
      </x:c>
      <x:c r="C1571" s="83" t="n">
        <x:v>0.13168752843163892</x:v>
      </x:c>
      <x:c r="D1571" s="83" t="n">
        <x:v>1.5252200991724592</x:v>
      </x:c>
      <x:c r="E1571" s="81" t="n">
        <x:v>-0.06688439027799517</x:v>
      </x:c>
      <x:c r="F1571" s="81" t="n">
        <x:v>0.7747315732645802</x:v>
      </x:c>
      <x:c r="G1571" s="81" t="n">
        <x:v>0.021362068818055</x:v>
      </x:c>
      <x:c r="H1571" s="59" t="n">
        <x:v>0</x:v>
      </x:c>
      <x:c r="I1571" s="81" t="n">
        <x:v>0</x:v>
      </x:c>
      <x:c r="J1571" s="79" t="n">
        <x:v>2.38896059201435e-46</x:v>
      </x:c>
      <x:c r="K1571" s="81" t="n">
        <x:v>-1</x:v>
      </x:c>
      <x:c r="L1571" s="81" t="n">
        <x:v>-1</x:v>
      </x:c>
      <x:c r="M1571" s="80" t="n">
        <x:v>0.000002</x:v>
      </x:c>
      <x:c r="N1571" s="82" t="n">
        <x:v>0.20247764554491735</x:v>
      </x:c>
      <x:c r="O1571" s="82" t="n">
        <x:v>0.14818330589203563</x:v>
      </x:c>
      <x:c r="P1571" s="80" t="n">
        <x:v>288.41367052634126</x:v>
      </x:c>
      <x:c r="Q1571" s="81" t="n">
        <x:v>1.3488958046077064e+29</x:v>
      </x:c>
      <x:c r="R1571" s="81" t="n">
        <x:v>10.358086855662899</x:v>
      </x:c>
      <x:c r="S1571" s="81" t="n">
        <x:v>1.5268513272323303e-9</x:v>
      </x:c>
      <x:c r="T1571" s="81" t="n">
        <x:v>5.17501020476112e-42</x:v>
      </x:c>
    </x:row>
    <x:row r="1572">
      <x:c r="A1572" s="59" t="n">
        <x:v>1569</x:v>
      </x:c>
      <x:c r="B1572" s="193" t="n">
        <x:v>0.8567519132047892</x:v>
      </x:c>
      <x:c r="C1572" s="83" t="n">
        <x:v>0.25379980060803936</x:v>
      </x:c>
      <x:c r="D1572" s="83" t="n">
        <x:v>0.38808618414268437</x:v>
      </x:c>
      <x:c r="E1572" s="81" t="n">
        <x:v>0.02815803106143714</x:v>
      </x:c>
      <x:c r="F1572" s="81" t="n">
        <x:v>0.8506616371916608</x:v>
      </x:c>
      <x:c r="G1572" s="81" t="n">
        <x:v>-0.0043171503994969985</x:v>
      </x:c>
      <x:c r="H1572" s="59" t="n">
        <x:v>0</x:v>
      </x:c>
      <x:c r="I1572" s="81" t="n">
        <x:v>0</x:v>
      </x:c>
      <x:c r="J1572" s="79" t="n">
        <x:v>0.000011362615709832825</x:v>
      </x:c>
      <x:c r="K1572" s="81" t="n">
        <x:v>-0.9870141534744767</x:v>
      </x:c>
      <x:c r="L1572" s="81" t="n">
        <x:v>-0.9883731008055769</x:v>
      </x:c>
      <x:c r="M1572" s="80" t="n">
        <x:v>752.3605727286463</x:v>
      </x:c>
      <x:c r="N1572" s="82" t="n">
        <x:v>0.30618811982375344</x:v>
      </x:c>
      <x:c r="O1572" s="82" t="n">
        <x:v>0.2460458959574354</x:v>
      </x:c>
      <x:c r="P1572" s="80" t="n">
        <x:v>962.4347932507565</x:v>
      </x:c>
      <x:c r="Q1572" s="81" t="n">
        <x:v>0.01642626294451183</x:v>
      </x:c>
      <x:c r="R1572" s="81" t="n">
        <x:v>33.953922589103776</x:v>
      </x:c>
      <x:c r="S1572" s="81" t="n">
        <x:v>0.9305860964505304</x:v>
      </x:c>
      <x:c r="T1572" s="81" t="n">
        <x:v>0.2461390633555109</x:v>
      </x:c>
    </x:row>
    <x:row r="1573">
      <x:c r="A1573" s="59" t="n">
        <x:v>1570</x:v>
      </x:c>
      <x:c r="B1573" s="193" t="n">
        <x:v>0.6200057003647089</x:v>
      </x:c>
      <x:c r="C1573" s="83" t="n">
        <x:v>2.9851674900659115</x:v>
      </x:c>
      <x:c r="D1573" s="83" t="n">
        <x:v>0.1138880857721058</x:v>
      </x:c>
      <x:c r="E1573" s="81" t="n">
        <x:v>0.0182476069243068</x:v>
      </x:c>
      <x:c r="F1573" s="81" t="n">
        <x:v>0.4558036128873937</x:v>
      </x:c>
      <x:c r="G1573" s="81" t="n">
        <x:v>-0.041795856762004584</x:v>
      </x:c>
      <x:c r="H1573" s="59" t="n">
        <x:v>47</x:v>
      </x:c>
      <x:c r="I1573" s="81" t="n">
        <x:v>0.4546150792390108</x:v>
      </x:c>
      <x:c r="J1573" s="79" t="n">
        <x:v>0.000022346356158142437</x:v>
      </x:c>
      <x:c r="K1573" s="81" t="n">
        <x:v>-0.9744613072478372</x:v>
      </x:c>
      <x:c r="L1573" s="81" t="n">
        <x:v>-0.9744613072478372</x:v>
      </x:c>
      <x:c r="M1573" s="80" t="n">
        <x:v>3224.2964744396177</x:v>
      </x:c>
      <x:c r="N1573" s="82" t="n">
        <x:v>0.24979073293375548</x:v>
      </x:c>
      <x:c r="O1573" s="82" t="n">
        <x:v>0.10755361879076347</x:v>
      </x:c>
      <x:c r="P1573" s="80" t="n">
        <x:v>1487.3958367054236</x:v>
      </x:c>
      <x:c r="Q1573" s="81" t="n">
        <x:v>0.0058858360540802205</x:v>
      </x:c>
      <x:c r="R1573" s="81" t="n">
        <x:v>5.71229478197868</x:v>
      </x:c>
      <x:c r="S1573" s="81" t="n">
        <x:v>0.16374360053330705</x:v>
      </x:c>
      <x:c r="T1573" s="81" t="n">
        <x:v>0.48407086137869193</x:v>
      </x:c>
    </x:row>
    <x:row r="1574">
      <x:c r="A1574" s="59" t="n">
        <x:v>1571</x:v>
      </x:c>
      <x:c r="B1574" s="193" t="n">
        <x:v>0.7386307813227178</x:v>
      </x:c>
      <x:c r="C1574" s="83" t="n">
        <x:v>1.3317745091783149</x:v>
      </x:c>
      <x:c r="D1574" s="83" t="n">
        <x:v>2.0738525076814622</x:v>
      </x:c>
      <x:c r="E1574" s="81" t="n">
        <x:v>-0.05369773102947587</x:v>
      </x:c>
      <x:c r="F1574" s="81" t="n">
        <x:v>0.705533938400913</x:v>
      </x:c>
      <x:c r="G1574" s="81" t="n">
        <x:v>0.035856783450261796</x:v>
      </x:c>
      <x:c r="H1574" s="59" t="n">
        <x:v>0</x:v>
      </x:c>
      <x:c r="I1574" s="81" t="n">
        <x:v>0</x:v>
      </x:c>
      <x:c r="J1574" s="79" t="n">
        <x:v>2.5964978630644753e-52</x:v>
      </x:c>
      <x:c r="K1574" s="81" t="n">
        <x:v>-1</x:v>
      </x:c>
      <x:c r="L1574" s="81" t="n">
        <x:v>-1</x:v>
      </x:c>
      <x:c r="M1574" s="80" t="n">
        <x:v>0.000002</x:v>
      </x:c>
      <x:c r="N1574" s="82" t="n">
        <x:v>0.278049451438221</x:v>
      </x:c>
      <x:c r="O1574" s="82" t="n">
        <x:v>0.1853151365518044</x:v>
      </x:c>
      <x:c r="P1574" s="80" t="n">
        <x:v>773.7056917719422</x:v>
      </x:c>
      <x:c r="Q1574" s="81" t="n">
        <x:v>1.5267465287197526e+35</x:v>
      </x:c>
      <x:c r="R1574" s="81" t="n">
        <x:v>1.726414584010002</x:v>
      </x:c>
      <x:c r="S1574" s="81" t="n">
        <x:v>1.1960296539635566e-9</x:v>
      </x:c>
      <x:c r="T1574" s="81" t="n">
        <x:v>5.624581243790725e-48</x:v>
      </x:c>
    </x:row>
    <x:row r="1575">
      <x:c r="A1575" s="59" t="n">
        <x:v>1572</x:v>
      </x:c>
      <x:c r="B1575" s="193" t="n">
        <x:v>0.9697567693889142</x:v>
      </x:c>
      <x:c r="C1575" s="83" t="n">
        <x:v>0.9183412161725377</x:v>
      </x:c>
      <x:c r="D1575" s="83" t="n">
        <x:v>1.1277570978156422</x:v>
      </x:c>
      <x:c r="E1575" s="81" t="n">
        <x:v>-0.047580262750815255</x:v>
      </x:c>
      <x:c r="F1575" s="81" t="n">
        <x:v>0.38305616070283577</x:v>
      </x:c>
      <x:c r="G1575" s="81" t="n">
        <x:v>-0.048153100751581066</x:v>
      </x:c>
      <x:c r="H1575" s="59" t="n">
        <x:v>0</x:v>
      </x:c>
      <x:c r="I1575" s="81" t="n">
        <x:v>0</x:v>
      </x:c>
      <x:c r="J1575" s="79" t="n">
        <x:v>8.730247745284275e-26</x:v>
      </x:c>
      <x:c r="K1575" s="81" t="n">
        <x:v>-1</x:v>
      </x:c>
      <x:c r="L1575" s="81" t="n">
        <x:v>-1</x:v>
      </x:c>
      <x:c r="M1575" s="80" t="n">
        <x:v>0.000002</x:v>
      </x:c>
      <x:c r="N1575" s="82" t="n">
        <x:v>0.33310799540786545</x:v>
      </x:c>
      <x:c r="O1575" s="82" t="n">
        <x:v>0.12053646489744017</x:v>
      </x:c>
      <x:c r="P1575" s="80" t="n">
        <x:v>625.9730154546803</x:v>
      </x:c>
      <x:c r="Q1575" s="81" t="n">
        <x:v>509481834.8782079</x:v>
      </x:c>
      <x:c r="R1575" s="81" t="n">
        <x:v>3.583846432795683</x:v>
      </x:c>
      <x:c r="S1575" s="81" t="n">
        <x:v>2.8250546989887616e-10</x:v>
      </x:c>
      <x:c r="T1575" s="81" t="n">
        <x:v>1.891162262071651e-21</x:v>
      </x:c>
    </x:row>
    <x:row r="1576">
      <x:c r="A1576" s="59" t="n">
        <x:v>1573</x:v>
      </x:c>
      <x:c r="B1576" s="193" t="n">
        <x:v>0.4598666770383716</x:v>
      </x:c>
      <x:c r="C1576" s="83" t="n">
        <x:v>1.674801609511096</x:v>
      </x:c>
      <x:c r="D1576" s="83" t="n">
        <x:v>0.6467413113936687</x:v>
      </x:c>
      <x:c r="E1576" s="81" t="n">
        <x:v>0.19987738051861917</x:v>
      </x:c>
      <x:c r="F1576" s="81" t="n">
        <x:v>0.6218161456519737</x:v>
      </x:c>
      <x:c r="G1576" s="81" t="n">
        <x:v>-0.03264475444919409</x:v>
      </x:c>
      <x:c r="H1576" s="59" t="n">
        <x:v>0</x:v>
      </x:c>
      <x:c r="I1576" s="81" t="n">
        <x:v>0</x:v>
      </x:c>
      <x:c r="J1576" s="79" t="n">
        <x:v>0.02132578238523285</x:v>
      </x:c>
      <x:c r="K1576" s="81" t="n">
        <x:v>23.372322725980403</x:v>
      </x:c>
      <x:c r="L1576" s="81" t="n">
        <x:v>-0.76693054914758</x:v>
      </x:c>
      <x:c r="M1576" s="80" t="n">
        <x:v>96339.17599633394</x:v>
      </x:c>
      <x:c r="N1576" s="82" t="n">
        <x:v>0.21164261497073444</x:v>
      </x:c>
      <x:c r="O1576" s="82" t="n">
        <x:v>0.12431858409253704</x:v>
      </x:c>
      <x:c r="P1576" s="80" t="n">
        <x:v>103910.56089127732</x:v>
      </x:c>
      <x:c r="Q1576" s="81" t="n">
        <x:v>0.0017733449553959369</x:v>
      </x:c>
      <x:c r="R1576" s="81" t="n">
        <x:v>538.2548522272837</x:v>
      </x:c>
      <x:c r="S1576" s="81" t="n">
        <x:v>244.38849623604514</x:v>
      </x:c>
      <x:c r="T1576" s="81" t="n">
        <x:v>461.9630053212365</x:v>
      </x:c>
    </x:row>
    <x:row r="1577">
      <x:c r="A1577" s="59" t="n">
        <x:v>1574</x:v>
      </x:c>
      <x:c r="B1577" s="193" t="n">
        <x:v>0.34147576540708546</x:v>
      </x:c>
      <x:c r="C1577" s="83" t="n">
        <x:v>0.2671163667212281</x:v>
      </x:c>
      <x:c r="D1577" s="83" t="n">
        <x:v>1.1706106265279899</x:v>
      </x:c>
      <x:c r="E1577" s="81" t="n">
        <x:v>0.040201865536522295</x:v>
      </x:c>
      <x:c r="F1577" s="81" t="n">
        <x:v>0.6124161911662669</x:v>
      </x:c>
      <x:c r="G1577" s="81" t="n">
        <x:v>0.021874991989234774</x:v>
      </x:c>
      <x:c r="H1577" s="59" t="n">
        <x:v>0</x:v>
      </x:c>
      <x:c r="I1577" s="81" t="n">
        <x:v>0</x:v>
      </x:c>
      <x:c r="J1577" s="79" t="n">
        <x:v>0.0025175043729517566</x:v>
      </x:c>
      <x:c r="K1577" s="81" t="n">
        <x:v>1.8771478548020077</x:v>
      </x:c>
      <x:c r="L1577" s="81" t="n">
        <x:v>-0.7151786857808752</x:v>
      </x:c>
      <x:c r="M1577" s="80" t="n">
        <x:v>13266.210691438191</x:v>
      </x:c>
      <x:c r="N1577" s="82" t="n">
        <x:v>0.1834396799905691</x:v>
      </x:c>
      <x:c r="O1577" s="82" t="n">
        <x:v>0.10612333513313811</x:v>
      </x:c>
      <x:c r="P1577" s="80" t="n">
        <x:v>29225.947688367145</x:v>
      </x:c>
      <x:c r="Q1577" s="81" t="n">
        <x:v>0.006157482447924462</x:v>
      </x:c>
      <x:c r="R1577" s="81" t="n">
        <x:v>224.16368486545068</x:v>
      </x:c>
      <x:c r="S1577" s="81" t="n">
        <x:v>182.20790555644697</x:v>
      </x:c>
      <x:c r="T1577" s="81" t="n">
        <x:v>54.5346409819632</x:v>
      </x:c>
    </x:row>
    <x:row r="1578">
      <x:c r="A1578" s="59" t="n">
        <x:v>1575</x:v>
      </x:c>
      <x:c r="B1578" s="193" t="n">
        <x:v>0.4242512945085764</x:v>
      </x:c>
      <x:c r="C1578" s="83" t="n">
        <x:v>0.5901248806996744</x:v>
      </x:c>
      <x:c r="D1578" s="83" t="n">
        <x:v>0.9849768211550325</x:v>
      </x:c>
      <x:c r="E1578" s="81" t="n">
        <x:v>0.10211256849120133</x:v>
      </x:c>
      <x:c r="F1578" s="81" t="n">
        <x:v>0.4528046422987245</x:v>
      </x:c>
      <x:c r="G1578" s="81" t="n">
        <x:v>0.024124382710955357</x:v>
      </x:c>
      <x:c r="H1578" s="59" t="n">
        <x:v>0</x:v>
      </x:c>
      <x:c r="I1578" s="81" t="n">
        <x:v>0</x:v>
      </x:c>
      <x:c r="J1578" s="79" t="n">
        <x:v>0.03352819416124855</x:v>
      </x:c>
      <x:c r="K1578" s="81" t="n">
        <x:v>37.317936184284065</x:v>
      </x:c>
      <x:c r="L1578" s="81" t="n">
        <x:v>-0.7133036206360499</x:v>
      </x:c>
      <x:c r="M1578" s="80" t="n">
        <x:v>74019.27960380718</x:v>
      </x:c>
      <x:c r="N1578" s="82" t="n">
        <x:v>0.20315836306371496</x:v>
      </x:c>
      <x:c r="O1578" s="82" t="n">
        <x:v>0.0868993478935027</x:v>
      </x:c>
      <x:c r="P1578" s="80" t="n">
        <x:v>120100.4923091144</x:v>
      </x:c>
      <x:c r="Q1578" s="81" t="n">
        <x:v>0.0023293571392271483</x:v>
      </x:c>
      <x:c r="R1578" s="81" t="n">
        <x:v>736.2461844377741</x:v>
      </x:c>
      <x:c r="S1578" s="81" t="n">
        <x:v>1083.7971995894727</x:v>
      </x:c>
      <x:c r="T1578" s="81" t="n">
        <x:v>726.2938849291459</x:v>
      </x:c>
    </x:row>
    <x:row r="1579">
      <x:c r="A1579" s="59" t="n">
        <x:v>1576</x:v>
      </x:c>
      <x:c r="B1579" s="193" t="n">
        <x:v>0.9223869498819113</x:v>
      </x:c>
      <x:c r="C1579" s="83" t="n">
        <x:v>0.8108037636363895</x:v>
      </x:c>
      <x:c r="D1579" s="83" t="n">
        <x:v>0.6187386625381646</x:v>
      </x:c>
      <x:c r="E1579" s="81" t="n">
        <x:v>0.08634498914955673</x:v>
      </x:c>
      <x:c r="F1579" s="81" t="n">
        <x:v>0.5631684343563392</x:v>
      </x:c>
      <x:c r="G1579" s="81" t="n">
        <x:v>-0.046617670511286166</x:v>
      </x:c>
      <x:c r="H1579" s="59" t="n">
        <x:v>59</x:v>
      </x:c>
      <x:c r="I1579" s="81" t="n">
        <x:v>0.3941031613387168</x:v>
      </x:c>
      <x:c r="J1579" s="79" t="n">
        <x:v>0.0005052795969579888</x:v>
      </x:c>
      <x:c r="K1579" s="81" t="n">
        <x:v>-0.4225376034765842</x:v>
      </x:c>
      <x:c r="L1579" s="81" t="n">
        <x:v>-0.8897231364627766</x:v>
      </x:c>
      <x:c r="M1579" s="80" t="n">
        <x:v>8103.562162687175</x:v>
      </x:c>
      <x:c r="N1579" s="82" t="n">
        <x:v>0.3218236162171817</x:v>
      </x:c>
      <x:c r="O1579" s="82" t="n">
        <x:v>0.1712092232551257</x:v>
      </x:c>
      <x:c r="P1579" s="80" t="n">
        <x:v>10407.212962371032</x:v>
      </x:c>
      <x:c r="Q1579" s="81" t="n">
        <x:v>0.00465857206466886</x:v>
      </x:c>
      <x:c r="R1579" s="81" t="n">
        <x:v>75.83894775186167</x:v>
      </x:c>
      <x:c r="S1579" s="81" t="n">
        <x:v>12.30558743823373</x:v>
      </x:c>
      <x:c r="T1579" s="81" t="n">
        <x:v>10.945459206216455</x:v>
      </x:c>
    </x:row>
    <x:row r="1580">
      <x:c r="A1580" s="59" t="n">
        <x:v>1577</x:v>
      </x:c>
      <x:c r="B1580" s="193" t="n">
        <x:v>0.8853098521009088</x:v>
      </x:c>
      <x:c r="C1580" s="83" t="n">
        <x:v>0.13620881166244903</x:v>
      </x:c>
      <x:c r="D1580" s="83" t="n">
        <x:v>0.6933960528933301</x:v>
      </x:c>
      <x:c r="E1580" s="81" t="n">
        <x:v>-0.14835187166506708</x:v>
      </x:c>
      <x:c r="F1580" s="81" t="n">
        <x:v>0.7933123617083766</x:v>
      </x:c>
      <x:c r="G1580" s="81" t="n">
        <x:v>-0.03885639408986818</x:v>
      </x:c>
      <x:c r="H1580" s="59" t="n">
        <x:v>0</x:v>
      </x:c>
      <x:c r="I1580" s="81" t="n">
        <x:v>0</x:v>
      </x:c>
      <x:c r="J1580" s="79" t="n">
        <x:v>3.4248863430757647e-37</x:v>
      </x:c>
      <x:c r="K1580" s="81" t="n">
        <x:v>-1</x:v>
      </x:c>
      <x:c r="L1580" s="81" t="n">
        <x:v>-1</x:v>
      </x:c>
      <x:c r="M1580" s="80" t="n">
        <x:v>0.000002</x:v>
      </x:c>
      <x:c r="N1580" s="82" t="n">
        <x:v>0.3129911563301636</x:v>
      </x:c>
      <x:c r="O1580" s="82" t="n">
        <x:v>0.23455636905931274</x:v>
      </x:c>
      <x:c r="P1580" s="80" t="n">
        <x:v>127.60554407598337</x:v>
      </x:c>
      <x:c r="Q1580" s="81" t="n">
        <x:v>45659440977711630000</x:v>
      </x:c>
      <x:c r="R1580" s="81" t="n">
        <x:v>9.081675595814733</x:v>
      </x:c>
      <x:c r="S1580" s="81" t="n">
        <x:v>3.3007913439877544e-10</x:v>
      </x:c>
      <x:c r="T1580" s="81" t="n">
        <x:v>7.419051546856832e-33</x:v>
      </x:c>
    </x:row>
    <x:row r="1581">
      <x:c r="A1581" s="59" t="n">
        <x:v>1578</x:v>
      </x:c>
      <x:c r="B1581" s="193" t="n">
        <x:v>0.4799910904839635</x:v>
      </x:c>
      <x:c r="C1581" s="83" t="n">
        <x:v>1.6669577457175018</x:v>
      </x:c>
      <x:c r="D1581" s="83" t="n">
        <x:v>0.8486976988335981</x:v>
      </x:c>
      <x:c r="E1581" s="81" t="n">
        <x:v>0.04908848066353482</x:v>
      </x:c>
      <x:c r="F1581" s="81" t="n">
        <x:v>0.8026456393068656</x:v>
      </x:c>
      <x:c r="G1581" s="81" t="n">
        <x:v>0.016349305082100585</x:v>
      </x:c>
      <x:c r="H1581" s="59" t="n">
        <x:v>80</x:v>
      </x:c>
      <x:c r="I1581" s="81" t="n">
        <x:v>0.21763063687831163</x:v>
      </x:c>
      <x:c r="J1581" s="79" t="n">
        <x:v>0.0031381835534559917</x:v>
      </x:c>
      <x:c r="K1581" s="81" t="n">
        <x:v>2.586495489663991</x:v>
      </x:c>
      <x:c r="L1581" s="81" t="n">
        <x:v>-0.7787222012976132</x:v>
      </x:c>
      <x:c r="M1581" s="80" t="n">
        <x:v>30300.052681263365</x:v>
      </x:c>
      <x:c r="N1581" s="82" t="n">
        <x:v>0.2164366275862266</x:v>
      </x:c>
      <x:c r="O1581" s="82" t="n">
        <x:v>0.16410641219539893</x:v>
      </x:c>
      <x:c r="P1581" s="80" t="n">
        <x:v>48833.20550816358</x:v>
      </x:c>
      <x:c r="Q1581" s="81" t="n">
        <x:v>0.007875905591696932</x:v>
      </x:c>
      <x:c r="R1581" s="81" t="n">
        <x:v>43.601535617345476</x:v>
      </x:c>
      <x:c r="S1581" s="81" t="n">
        <x:v>40.31359911215114</x:v>
      </x:c>
      <x:c r="T1581" s="81" t="n">
        <x:v>67.9799071103753</x:v>
      </x:c>
    </x:row>
    <x:row r="1582">
      <x:c r="A1582" s="59" t="n">
        <x:v>1579</x:v>
      </x:c>
      <x:c r="B1582" s="193" t="n">
        <x:v>0.23316770102828743</x:v>
      </x:c>
      <x:c r="C1582" s="83" t="n">
        <x:v>0.5317124895378423</x:v>
      </x:c>
      <x:c r="D1582" s="83" t="n">
        <x:v>0.9473941895677477</x:v>
      </x:c>
      <x:c r="E1582" s="81" t="n">
        <x:v>0.12189701592634512</x:v>
      </x:c>
      <x:c r="F1582" s="81" t="n">
        <x:v>0.38408502954989676</x:v>
      </x:c>
      <x:c r="G1582" s="81" t="n">
        <x:v>-0.020982341344626742</x:v>
      </x:c>
      <x:c r="H1582" s="59" t="n">
        <x:v>23</x:v>
      </x:c>
      <x:c r="I1582" s="81" t="n">
        <x:v>0.260058921109885</x:v>
      </x:c>
      <x:c r="J1582" s="79" t="n">
        <x:v>0.033727276426039406</x:v>
      </x:c>
      <x:c r="K1582" s="81" t="n">
        <x:v>37.54545877261647</x:v>
      </x:c>
      <x:c r="L1582" s="81" t="n">
        <x:v>-0.9572016983945472</x:v>
      </x:c>
      <x:c r="M1582" s="80" t="n">
        <x:v>68288.60356157171</x:v>
      </x:c>
      <x:c r="N1582" s="82" t="n">
        <x:v>0.15763866827933223</x:v>
      </x:c>
      <x:c r="O1582" s="82" t="n">
        <x:v>0.057195397049100496</x:v>
      </x:c>
      <x:c r="P1582" s="80" t="n">
        <x:v>100927.20237206781</x:v>
      </x:c>
      <x:c r="Q1582" s="81" t="n">
        <x:v>0.0013326455709142932</x:v>
      </x:c>
      <x:c r="R1582" s="81" t="n">
        <x:v>1260.8122703787656</x:v>
      </x:c>
      <x:c r="S1582" s="81" t="n">
        <x:v>1193.5062845788327</x:v>
      </x:c>
      <x:c r="T1582" s="81" t="n">
        <x:v>730.6064414247343</x:v>
      </x:c>
    </x:row>
    <x:row r="1583">
      <x:c r="A1583" s="59" t="n">
        <x:v>1580</x:v>
      </x:c>
      <x:c r="B1583" s="193" t="n">
        <x:v>0.47581664305180316</x:v>
      </x:c>
      <x:c r="C1583" s="83" t="n">
        <x:v>0.28030171322968866</x:v>
      </x:c>
      <x:c r="D1583" s="83" t="n">
        <x:v>1.3432979547524422</x:v>
      </x:c>
      <x:c r="E1583" s="81" t="n">
        <x:v>0.004700955475032857</x:v>
      </x:c>
      <x:c r="F1583" s="81" t="n">
        <x:v>0.7424320406629704</x:v>
      </x:c>
      <x:c r="G1583" s="81" t="n">
        <x:v>0.038783359607827646</x:v>
      </x:c>
      <x:c r="H1583" s="59" t="n">
        <x:v>0</x:v>
      </x:c>
      <x:c r="I1583" s="81" t="n">
        <x:v>0</x:v>
      </x:c>
      <x:c r="J1583" s="79" t="n">
        <x:v>0.000024703685524059628</x:v>
      </x:c>
      <x:c r="K1583" s="81" t="n">
        <x:v>-0.9717672165439318</x:v>
      </x:c>
      <x:c r="L1583" s="81" t="n">
        <x:v>-0.9822435878214956</x:v>
      </x:c>
      <x:c r="M1583" s="80" t="n">
        <x:v>1119.2226592268494</x:v>
      </x:c>
      <x:c r="N1583" s="82" t="n">
        <x:v>0.2154421959369968</x:v>
      </x:c>
      <x:c r="O1583" s="82" t="n">
        <x:v>0.1510978953558973</x:v>
      </x:c>
      <x:c r="P1583" s="80" t="n">
        <x:v>4963.908049953568</x:v>
      </x:c>
      <x:c r="Q1583" s="81" t="n">
        <x:v>0.05812665916322828</x:v>
      </x:c>
      <x:c r="R1583" s="81" t="n">
        <x:v>39.64028236653164</x:v>
      </x:c>
      <x:c r="S1583" s="81" t="n">
        <x:v>2.455323027879895</x:v>
      </x:c>
      <x:c r="T1583" s="81" t="n">
        <x:v>0.5351357620111391</x:v>
      </x:c>
    </x:row>
    <x:row r="1584">
      <x:c r="A1584" s="59" t="n">
        <x:v>1581</x:v>
      </x:c>
      <x:c r="B1584" s="193" t="n">
        <x:v>0.9144475672394037</x:v>
      </x:c>
      <x:c r="C1584" s="83" t="n">
        <x:v>0.15468796006527866</x:v>
      </x:c>
      <x:c r="D1584" s="83" t="n">
        <x:v>0.8469255310003971</x:v>
      </x:c>
      <x:c r="E1584" s="81" t="n">
        <x:v>0.0924247724846653</x:v>
      </x:c>
      <x:c r="F1584" s="81" t="n">
        <x:v>0.6179895989014768</x:v>
      </x:c>
      <x:c r="G1584" s="81" t="n">
        <x:v>-0.016151805078863792</x:v>
      </x:c>
      <x:c r="H1584" s="59" t="n">
        <x:v>0</x:v>
      </x:c>
      <x:c r="I1584" s="81" t="n">
        <x:v>0</x:v>
      </x:c>
      <x:c r="J1584" s="79" t="n">
        <x:v>0.0008448164394924143</x:v>
      </x:c>
      <x:c r="K1584" s="81" t="n">
        <x:v>-0.034495497722954904</x:v>
      </x:c>
      <x:c r="L1584" s="81" t="n">
        <x:v>-0.8301703888986945</x:v>
      </x:c>
      <x:c r="M1584" s="80" t="n">
        <x:v>7440.977888128259</x:v>
      </x:c>
      <x:c r="N1584" s="82" t="n">
        <x:v>0.3199323064083116</x:v>
      </x:c>
      <x:c r="O1584" s="82" t="n">
        <x:v>0.18677132701073967</x:v>
      </x:c>
      <x:c r="P1584" s="80" t="n">
        <x:v>11526.37953068639</x:v>
      </x:c>
      <x:c r="Q1584" s="81" t="n">
        <x:v>0.004958895722082833</x:v>
      </x:c>
      <x:c r="R1584" s="81" t="n">
        <x:v>355.612806129888</x:v>
      </x:c>
      <x:c r="S1584" s="81" t="n">
        <x:v>103.52303604362211</x:v>
      </x:c>
      <x:c r="T1584" s="81" t="n">
        <x:v>18.300568498858425</x:v>
      </x:c>
    </x:row>
    <x:row r="1585">
      <x:c r="A1585" s="59" t="n">
        <x:v>1582</x:v>
      </x:c>
      <x:c r="B1585" s="193" t="n">
        <x:v>0.3309891548007727</x:v>
      </x:c>
      <x:c r="C1585" s="83" t="n">
        <x:v>0.19245893798206765</x:v>
      </x:c>
      <x:c r="D1585" s="83" t="n">
        <x:v>0.3107014532029095</x:v>
      </x:c>
      <x:c r="E1585" s="81" t="n">
        <x:v>-0.038048752578731894</x:v>
      </x:c>
      <x:c r="F1585" s="81" t="n">
        <x:v>0.7851977954152972</x:v>
      </x:c>
      <x:c r="G1585" s="81" t="n">
        <x:v>-0.026904477611447528</x:v>
      </x:c>
      <x:c r="H1585" s="59" t="n">
        <x:v>0</x:v>
      </x:c>
      <x:c r="I1585" s="81" t="n">
        <x:v>0</x:v>
      </x:c>
      <x:c r="J1585" s="79" t="n">
        <x:v>2.2741213937550158e-11</x:v>
      </x:c>
      <x:c r="K1585" s="81" t="n">
        <x:v>-0.9999999740100413</x:v>
      </x:c>
      <x:c r="L1585" s="81" t="n">
        <x:v>-0.9999999740100413</x:v>
      </x:c>
      <x:c r="M1585" s="80" t="n">
        <x:v>0.9864501507812219</x:v>
      </x:c>
      <x:c r="N1585" s="82" t="n">
        <x:v>0.18094157272019643</x:v>
      </x:c>
      <x:c r="O1585" s="82" t="n">
        <x:v>0.13421108095464385</x:v>
      </x:c>
      <x:c r="P1585" s="80" t="n">
        <x:v>268.58652960532305</x:v>
      </x:c>
      <x:c r="Q1585" s="81" t="n">
        <x:v>1.188358514406459</x:v>
      </x:c>
      <x:c r="R1585" s="81" t="n">
        <x:v>31.48053355003153</x:v>
      </x:c>
      <x:c r="S1585" s="81" t="n">
        <x:v>0.00008434226939214703</x:v>
      </x:c>
      <x:c r="T1585" s="81" t="n">
        <x:v>4.926243429417398e-7</x:v>
      </x:c>
    </x:row>
    <x:row r="1586">
      <x:c r="A1586" s="59" t="n">
        <x:v>1583</x:v>
      </x:c>
      <x:c r="B1586" s="193" t="n">
        <x:v>0.7195986811071635</x:v>
      </x:c>
      <x:c r="C1586" s="83" t="n">
        <x:v>2.107689790829531</x:v>
      </x:c>
      <x:c r="D1586" s="83" t="n">
        <x:v>0.5225640134554906</x:v>
      </x:c>
      <x:c r="E1586" s="81" t="n">
        <x:v>-0.1848046939889733</x:v>
      </x:c>
      <x:c r="F1586" s="81" t="n">
        <x:v>0.7153161698020996</x:v>
      </x:c>
      <x:c r="G1586" s="81" t="n">
        <x:v>-0.0026758702026244007</x:v>
      </x:c>
      <x:c r="H1586" s="59" t="n">
        <x:v>0</x:v>
      </x:c>
      <x:c r="I1586" s="81" t="n">
        <x:v>0</x:v>
      </x:c>
      <x:c r="J1586" s="79" t="n">
        <x:v>3.4314297469423324e-41</x:v>
      </x:c>
      <x:c r="K1586" s="81" t="n">
        <x:v>-1</x:v>
      </x:c>
      <x:c r="L1586" s="81" t="n">
        <x:v>-1</x:v>
      </x:c>
      <x:c r="M1586" s="80" t="n">
        <x:v>0.000002</x:v>
      </x:c>
      <x:c r="N1586" s="82" t="n">
        <x:v>0.2735156483149971</x:v>
      </x:c>
      <x:c r="O1586" s="82" t="n">
        <x:v>0.18482093475633143</x:v>
      </x:c>
      <x:c r="P1586" s="80" t="n">
        <x:v>294.89977419910065</x:v>
      </x:c>
      <x:c r="Q1586" s="81" t="n">
        <x:v>3.774448094093587e+23</x:v>
      </x:c>
      <x:c r="R1586" s="81" t="n">
        <x:v>0.9190310445586134</x:v>
      </x:c>
      <x:c r="S1586" s="81" t="n">
        <x:v>1.425764899701097e-10</x:v>
      </x:c>
      <x:c r="T1586" s="81" t="n">
        <x:v>7.433225988200298e-37</x:v>
      </x:c>
    </x:row>
    <x:row r="1587">
      <x:c r="A1587" s="59" t="n">
        <x:v>1584</x:v>
      </x:c>
      <x:c r="B1587" s="193" t="n">
        <x:v>0.3542128620669246</x:v>
      </x:c>
      <x:c r="C1587" s="83" t="n">
        <x:v>1.4202282730210407</x:v>
      </x:c>
      <x:c r="D1587" s="83" t="n">
        <x:v>0.42542653730543795</x:v>
      </x:c>
      <x:c r="E1587" s="81" t="n">
        <x:v>-0.12192409150312303</x:v>
      </x:c>
      <x:c r="F1587" s="81" t="n">
        <x:v>0.27025357126258315</x:v>
      </x:c>
      <x:c r="G1587" s="81" t="n">
        <x:v>0.0049126252324876605</x:v>
      </x:c>
      <x:c r="H1587" s="59" t="n">
        <x:v>0</x:v>
      </x:c>
      <x:c r="I1587" s="81" t="n">
        <x:v>0</x:v>
      </x:c>
      <x:c r="J1587" s="79" t="n">
        <x:v>1.2339074615138063e-29</x:v>
      </x:c>
      <x:c r="K1587" s="81" t="n">
        <x:v>-1</x:v>
      </x:c>
      <x:c r="L1587" s="81" t="n">
        <x:v>-1</x:v>
      </x:c>
      <x:c r="M1587" s="80" t="n">
        <x:v>0.000002</x:v>
      </x:c>
      <x:c r="N1587" s="82" t="n">
        <x:v>0.18647389523550503</x:v>
      </x:c>
      <x:c r="O1587" s="82" t="n">
        <x:v>0.04760586123310632</x:v>
      </x:c>
      <x:c r="P1587" s="80" t="n">
        <x:v>324.0514486314234</x:v>
      </x:c>
      <x:c r="Q1587" s="81" t="n">
        <x:v>1506559041946.0044</x:v>
      </x:c>
      <x:c r="R1587" s="81" t="n">
        <x:v>2.3300023555910037</x:v>
      </x:c>
      <x:c r="S1587" s="81" t="n">
        <x:v>1.6344314120096002e-10</x:v>
      </x:c>
      <x:c r="T1587" s="81" t="n">
        <x:v>2.672912950682311e-25</x:v>
      </x:c>
    </x:row>
    <x:row r="1588">
      <x:c r="A1588" s="59" t="n">
        <x:v>1585</x:v>
      </x:c>
      <x:c r="B1588" s="193" t="n">
        <x:v>0.6934187533333898</x:v>
      </x:c>
      <x:c r="C1588" s="83" t="n">
        <x:v>0.15548220364838997</x:v>
      </x:c>
      <x:c r="D1588" s="83" t="n">
        <x:v>1.241178889074389</x:v>
      </x:c>
      <x:c r="E1588" s="81" t="n">
        <x:v>-0.09850574652998463</x:v>
      </x:c>
      <x:c r="F1588" s="81" t="n">
        <x:v>0.7820336556178518</x:v>
      </x:c>
      <x:c r="G1588" s="81" t="n">
        <x:v>-0.007054183968753436</x:v>
      </x:c>
      <x:c r="H1588" s="59" t="n">
        <x:v>0</x:v>
      </x:c>
      <x:c r="I1588" s="81" t="n">
        <x:v>0</x:v>
      </x:c>
      <x:c r="J1588" s="79" t="n">
        <x:v>1.435515122915686e-46</x:v>
      </x:c>
      <x:c r="K1588" s="81" t="n">
        <x:v>-1</x:v>
      </x:c>
      <x:c r="L1588" s="81" t="n">
        <x:v>-1</x:v>
      </x:c>
      <x:c r="M1588" s="80" t="n">
        <x:v>0.000002</x:v>
      </x:c>
      <x:c r="N1588" s="82" t="n">
        <x:v>0.2672790986456387</x:v>
      </x:c>
      <x:c r="O1588" s="82" t="n">
        <x:v>0.19745193024776655</x:v>
      </x:c>
      <x:c r="P1588" s="80" t="n">
        <x:v>206.53695158329958</x:v>
      </x:c>
      <x:c r="Q1588" s="81" t="n">
        <x:v>1.5693788499956937e+29</x:v>
      </x:c>
      <x:c r="R1588" s="81" t="n">
        <x:v>7.131041016011264</x:v>
      </x:c>
      <x:c r="S1588" s="81" t="n">
        <x:v>8.633152628298013e-10</x:v>
      </x:c>
      <x:c r="T1588" s="81" t="n">
        <x:v>3.109639160650066e-42</x:v>
      </x:c>
    </x:row>
    <x:row r="1589">
      <x:c r="A1589" s="59" t="n">
        <x:v>1586</x:v>
      </x:c>
      <x:c r="B1589" s="193" t="n">
        <x:v>0.31283661220222714</x:v>
      </x:c>
      <x:c r="C1589" s="83" t="n">
        <x:v>0.1251237783622955</x:v>
      </x:c>
      <x:c r="D1589" s="83" t="n">
        <x:v>1.2950627285739076</x:v>
      </x:c>
      <x:c r="E1589" s="81" t="n">
        <x:v>-0.04466745406012022</x:v>
      </x:c>
      <x:c r="F1589" s="81" t="n">
        <x:v>0.5247356704086996</x:v>
      </x:c>
      <x:c r="G1589" s="81" t="n">
        <x:v>0.008800840132055046</x:v>
      </x:c>
      <x:c r="H1589" s="59" t="n">
        <x:v>0</x:v>
      </x:c>
      <x:c r="I1589" s="81" t="n">
        <x:v>0</x:v>
      </x:c>
      <x:c r="J1589" s="79" t="n">
        <x:v>1.600805465976354e-31</x:v>
      </x:c>
      <x:c r="K1589" s="81" t="n">
        <x:v>-1</x:v>
      </x:c>
      <x:c r="L1589" s="81" t="n">
        <x:v>-1</x:v>
      </x:c>
      <x:c r="M1589" s="80" t="n">
        <x:v>0.000002</x:v>
      </x:c>
      <x:c r="N1589" s="82" t="n">
        <x:v>0.17661729671304924</x:v>
      </x:c>
      <x:c r="O1589" s="82" t="n">
        <x:v>0.08754770435889947</x:v>
      </x:c>
      <x:c r="P1589" s="80" t="n">
        <x:v>391.7453431299449</x:v>
      </x:c>
      <x:c r="Q1589" s="81" t="n">
        <x:v>295150217687006.6</x:v>
      </x:c>
      <x:c r="R1589" s="81" t="n">
        <x:v>19.544246790512478</x:v>
      </x:c>
      <x:c r="S1589" s="81" t="n">
        <x:v>1.1217448127051474e-9</x:v>
      </x:c>
      <x:c r="T1589" s="81" t="n">
        <x:v>3.4676941302241666e-27</x:v>
      </x:c>
    </x:row>
    <x:row r="1590">
      <x:c r="A1590" s="59" t="n">
        <x:v>1587</x:v>
      </x:c>
      <x:c r="B1590" s="193" t="n">
        <x:v>0.7479600328952074</x:v>
      </x:c>
      <x:c r="C1590" s="83" t="n">
        <x:v>2.9580805562034644</x:v>
      </x:c>
      <x:c r="D1590" s="83" t="n">
        <x:v>0.5117942324482432</x:v>
      </x:c>
      <x:c r="E1590" s="81" t="n">
        <x:v>0.07175748763888576</x:v>
      </x:c>
      <x:c r="F1590" s="81" t="n">
        <x:v>0.530863722297363</x:v>
      </x:c>
      <x:c r="G1590" s="81" t="n">
        <x:v>0.0329641635845074</x:v>
      </x:c>
      <x:c r="H1590" s="59" t="n">
        <x:v>0</x:v>
      </x:c>
      <x:c r="I1590" s="81" t="n">
        <x:v>0</x:v>
      </x:c>
      <x:c r="J1590" s="79" t="n">
        <x:v>0.010519328573162538</x:v>
      </x:c>
      <x:c r="K1590" s="81" t="n">
        <x:v>11.022089797900044</x:v>
      </x:c>
      <x:c r="L1590" s="81" t="n">
        <x:v>-0.48396115394245753</x:v>
      </x:c>
      <x:c r="M1590" s="80" t="n">
        <x:v>81879.73848538229</x:v>
      </x:c>
      <x:c r="N1590" s="82" t="n">
        <x:v>0.2802718540862554</x:v>
      </x:c>
      <x:c r="O1590" s="82" t="n">
        <x:v>0.14055084996317826</x:v>
      </x:c>
      <x:c r="P1590" s="80" t="n">
        <x:v>82328.63195808571</x:v>
      </x:c>
      <x:c r="Q1590" s="81" t="n">
        <x:v>0.004786124889504282</x:v>
      </x:c>
      <x:c r="R1590" s="81" t="n">
        <x:v>32.76529938851249</x:v>
      </x:c>
      <x:c r="S1590" s="81" t="n">
        <x:v>73.32583150623995</x:v>
      </x:c>
      <x:c r="T1590" s="81" t="n">
        <x:v>227.87162289458297</x:v>
      </x:c>
    </x:row>
    <x:row r="1591">
      <x:c r="A1591" s="59" t="n">
        <x:v>1588</x:v>
      </x:c>
      <x:c r="B1591" s="193" t="n">
        <x:v>0.41742273047566414</x:v>
      </x:c>
      <x:c r="C1591" s="83" t="n">
        <x:v>0.4499808806193697</x:v>
      </x:c>
      <x:c r="D1591" s="83" t="n">
        <x:v>0.7111190592895122</x:v>
      </x:c>
      <x:c r="E1591" s="81" t="n">
        <x:v>-0.00499668992836762</x:v>
      </x:c>
      <x:c r="F1591" s="81" t="n">
        <x:v>0.8736172464909032</x:v>
      </x:c>
      <x:c r="G1591" s="81" t="n">
        <x:v>0.005373745391509785</x:v>
      </x:c>
      <x:c r="H1591" s="59" t="n">
        <x:v>17</x:v>
      </x:c>
      <x:c r="I1591" s="81" t="n">
        <x:v>0.42257645623758433</x:v>
      </x:c>
      <x:c r="J1591" s="79" t="n">
        <x:v>2.01174046728591e-8</x:v>
      </x:c>
      <x:c r="K1591" s="81" t="n">
        <x:v>-0.9999770086803739</x:v>
      </x:c>
      <x:c r="L1591" s="81" t="n">
        <x:v>-0.9999770086803739</x:v>
      </x:c>
      <x:c r="M1591" s="80" t="n">
        <x:v>35.31485714925619</x:v>
      </x:c>
      <x:c r="N1591" s="82" t="n">
        <x:v>0.20153167107549969</x:v>
      </x:c>
      <x:c r="O1591" s="82" t="n">
        <x:v>0.16631654208508503</x:v>
      </x:c>
      <x:c r="P1591" s="80" t="n">
        <x:v>1007.1501804385088</x:v>
      </x:c>
      <x:c r="Q1591" s="81" t="n">
        <x:v>0.287111442525021</x:v>
      </x:c>
      <x:c r="R1591" s="81" t="n">
        <x:v>16.263520744504266</x:v>
      </x:c>
      <x:c r="S1591" s="81" t="n">
        <x:v>0.008994847961500328</x:v>
      </x:c>
      <x:c r="T1591" s="81" t="n">
        <x:v>0.00043578690591782493</x:v>
      </x:c>
    </x:row>
    <x:row r="1592">
      <x:c r="A1592" s="59" t="n">
        <x:v>1589</x:v>
      </x:c>
      <x:c r="B1592" s="193" t="n">
        <x:v>0.3506409227848053</x:v>
      </x:c>
      <x:c r="C1592" s="83" t="n">
        <x:v>1.289184554357548</x:v>
      </x:c>
      <x:c r="D1592" s="83" t="n">
        <x:v>0.19716587485846657</x:v>
      </x:c>
      <x:c r="E1592" s="81" t="n">
        <x:v>-0.020836257615306126</x:v>
      </x:c>
      <x:c r="F1592" s="81" t="n">
        <x:v>0.5145777832134627</x:v>
      </x:c>
      <x:c r="G1592" s="81" t="n">
        <x:v>0.018878876982782095</x:v>
      </x:c>
      <x:c r="H1592" s="59" t="n">
        <x:v>0</x:v>
      </x:c>
      <x:c r="I1592" s="81" t="n">
        <x:v>0</x:v>
      </x:c>
      <x:c r="J1592" s="79" t="n">
        <x:v>4.877057717162803e-8</x:v>
      </x:c>
      <x:c r="K1592" s="81" t="n">
        <x:v>-0.9999442621975181</x:v>
      </x:c>
      <x:c r="L1592" s="81" t="n">
        <x:v>-0.9999442621975181</x:v>
      </x:c>
      <x:c r="M1592" s="80" t="n">
        <x:v>86.71194158054283</x:v>
      </x:c>
      <x:c r="N1592" s="82" t="n">
        <x:v>0.1856229923246428</x:v>
      </x:c>
      <x:c r="O1592" s="82" t="n">
        <x:v>0.09023057874399872</x:v>
      </x:c>
      <x:c r="P1592" s="80" t="n">
        <x:v>779.9346156582346</x:v>
      </x:c>
      <x:c r="Q1592" s="81" t="n">
        <x:v>0.0788087396321165</x:v>
      </x:c>
      <x:c r="R1592" s="81" t="n">
        <x:v>8.937986931707796</x:v>
      </x:c>
      <x:c r="S1592" s="81" t="n">
        <x:v>0.0048548094113812475</x:v>
      </x:c>
      <x:c r="T1592" s="81" t="n">
        <x:v>0.0010564771783968746</x:v>
      </x:c>
    </x:row>
    <x:row r="1593">
      <x:c r="A1593" s="59" t="n">
        <x:v>1590</x:v>
      </x:c>
      <x:c r="B1593" s="193" t="n">
        <x:v>0.9713418569415808</x:v>
      </x:c>
      <x:c r="C1593" s="83" t="n">
        <x:v>2.9917480816874766</x:v>
      </x:c>
      <x:c r="D1593" s="83" t="n">
        <x:v>1.0907393139952386</x:v>
      </x:c>
      <x:c r="E1593" s="81" t="n">
        <x:v>0.01621129588172936</x:v>
      </x:c>
      <x:c r="F1593" s="81" t="n">
        <x:v>0.8675765162217431</x:v>
      </x:c>
      <x:c r="G1593" s="81" t="n">
        <x:v>-0.01177321088561537</x:v>
      </x:c>
      <x:c r="H1593" s="59" t="n">
        <x:v>0</x:v>
      </x:c>
      <x:c r="I1593" s="81" t="n">
        <x:v>0</x:v>
      </x:c>
      <x:c r="J1593" s="79" t="n">
        <x:v>0.0002132741993208105</x:v>
      </x:c>
      <x:c r="K1593" s="81" t="n">
        <x:v>-0.7562580579190736</x:v>
      </x:c>
      <x:c r="L1593" s="81" t="n">
        <x:v>-0.8281921063717201</x:v>
      </x:c>
      <x:c r="M1593" s="80" t="n">
        <x:v>10584.869951200879</x:v>
      </x:c>
      <x:c r="N1593" s="82" t="n">
        <x:v>0.3334855929833025</x:v>
      </x:c>
      <x:c r="O1593" s="82" t="n">
        <x:v>0.273310178826935</x:v>
      </x:c>
      <x:c r="P1593" s="80" t="n">
        <x:v>26388.819286506605</x:v>
      </x:c>
      <x:c r="Q1593" s="81" t="n">
        <x:v>0.03405479656877652</x:v>
      </x:c>
      <x:c r="R1593" s="81" t="n">
        <x:v>10.215884752031062</x:v>
      </x:c>
      <x:c r="S1593" s="81" t="n">
        <x:v>2.436979874300623</x:v>
      </x:c>
      <x:c r="T1593" s="81" t="n">
        <x:v>4.619984781610922</x:v>
      </x:c>
    </x:row>
    <x:row r="1594">
      <x:c r="A1594" s="59" t="n">
        <x:v>1591</x:v>
      </x:c>
      <x:c r="B1594" s="193" t="n">
        <x:v>0.5205034537240862</x:v>
      </x:c>
      <x:c r="C1594" s="83" t="n">
        <x:v>0.19451850248658148</x:v>
      </x:c>
      <x:c r="D1594" s="83" t="n">
        <x:v>1.1277501411312234</x:v>
      </x:c>
      <x:c r="E1594" s="81" t="n">
        <x:v>0.08806826243631731</x:v>
      </x:c>
      <x:c r="F1594" s="81" t="n">
        <x:v>0.8485878895502538</x:v>
      </x:c>
      <x:c r="G1594" s="81" t="n">
        <x:v>-0.011945721660692393</x:v>
      </x:c>
      <x:c r="H1594" s="59" t="n">
        <x:v>51</x:v>
      </x:c>
      <x:c r="I1594" s="81" t="n">
        <x:v>0.10466596307232977</x:v>
      </x:c>
      <x:c r="J1594" s="79" t="n">
        <x:v>0.0018211963714465649</x:v>
      </x:c>
      <x:c r="K1594" s="81" t="n">
        <x:v>1.0813672816532174</x:v>
      </x:c>
      <x:c r="L1594" s="81" t="n">
        <x:v>-0.8519407948456063</x:v>
      </x:c>
      <x:c r="M1594" s="80" t="n">
        <x:v>12097.620474606829</x:v>
      </x:c>
      <x:c r="N1594" s="82" t="n">
        <x:v>0.22608743211683474</x:v>
      </x:c>
      <x:c r="O1594" s="82" t="n">
        <x:v>0.18123588487620398</x:v>
      </x:c>
      <x:c r="P1594" s="80" t="n">
        <x:v>22861.936424170075</x:v>
      </x:c>
      <x:c r="Q1594" s="81" t="n">
        <x:v>0.005245379380565198</x:v>
      </x:c>
      <x:c r="R1594" s="81" t="n">
        <x:v>454.71010556780845</x:v>
      </x:c>
      <x:c r="S1594" s="81" t="n">
        <x:v>178.47667331723628</x:v>
      </x:c>
      <x:c r="T1594" s="81" t="n">
        <x:v>39.45108947637795</x:v>
      </x:c>
    </x:row>
    <x:row r="1595">
      <x:c r="A1595" s="59" t="n">
        <x:v>1592</x:v>
      </x:c>
      <x:c r="B1595" s="193" t="n">
        <x:v>0.3205104121938348</x:v>
      </x:c>
      <x:c r="C1595" s="83" t="n">
        <x:v>0.13242257676556446</x:v>
      </x:c>
      <x:c r="D1595" s="83" t="n">
        <x:v>1.8473538200559338</x:v>
      </x:c>
      <x:c r="E1595" s="81" t="n">
        <x:v>-0.014801646884789034</x:v>
      </x:c>
      <x:c r="F1595" s="81" t="n">
        <x:v>0.5205026729148813</x:v>
      </x:c>
      <x:c r="G1595" s="81" t="n">
        <x:v>0.02583437332367678</x:v>
      </x:c>
      <x:c r="H1595" s="59" t="n">
        <x:v>0</x:v>
      </x:c>
      <x:c r="I1595" s="81" t="n">
        <x:v>0</x:v>
      </x:c>
      <x:c r="J1595" s="79" t="n">
        <x:v>2.782276011952569e-23</x:v>
      </x:c>
      <x:c r="K1595" s="81" t="n">
        <x:v>-1</x:v>
      </x:c>
      <x:c r="L1595" s="81" t="n">
        <x:v>-1</x:v>
      </x:c>
      <x:c r="M1595" s="80" t="n">
        <x:v>0.000002</x:v>
      </x:c>
      <x:c r="N1595" s="82" t="n">
        <x:v>0.17844533975479995</x:v>
      </x:c>
      <x:c r="O1595" s="82" t="n">
        <x:v>0.08774030028214187</x:v>
      </x:c>
      <x:c r="P1595" s="80" t="n">
        <x:v>1000.19680665345</x:v>
      </x:c>
      <x:c r="Q1595" s="81" t="n">
        <x:v>4978124.028199981</x:v>
      </x:c>
      <x:c r="R1595" s="81" t="n">
        <x:v>34.456447464064</x:v>
      </x:c>
      <x:c r="S1595" s="81" t="n">
        <x:v>1.949031439734175e-9</x:v>
      </x:c>
      <x:c r="T1595" s="81" t="n">
        <x:v>6.027017273724089e-19</x:v>
      </x:c>
    </x:row>
    <x:row r="1596">
      <x:c r="A1596" s="59" t="n">
        <x:v>1593</x:v>
      </x:c>
      <x:c r="B1596" s="193" t="n">
        <x:v>0.3818300047889352</x:v>
      </x:c>
      <x:c r="C1596" s="83" t="n">
        <x:v>0.43826183827498355</x:v>
      </x:c>
      <x:c r="D1596" s="83" t="n">
        <x:v>0.9475214393977134</x:v>
      </x:c>
      <x:c r="E1596" s="81" t="n">
        <x:v>-0.03958746269845513</x:v>
      </x:c>
      <x:c r="F1596" s="81" t="n">
        <x:v>0.348341136763338</x:v>
      </x:c>
      <x:c r="G1596" s="81" t="n">
        <x:v>-0.032914072844362145</x:v>
      </x:c>
      <x:c r="H1596" s="59" t="n">
        <x:v>0</x:v>
      </x:c>
      <x:c r="I1596" s="81" t="n">
        <x:v>0</x:v>
      </x:c>
      <x:c r="J1596" s="79" t="n">
        <x:v>8.396179462863784e-23</x:v>
      </x:c>
      <x:c r="K1596" s="81" t="n">
        <x:v>-1</x:v>
      </x:c>
      <x:c r="L1596" s="81" t="n">
        <x:v>-1</x:v>
      </x:c>
      <x:c r="M1596" s="80" t="n">
        <x:v>0.0000023746634070039</x:v>
      </x:c>
      <x:c r="N1596" s="82" t="n">
        <x:v>0.19305281645331435</x:v>
      </x:c>
      <x:c r="O1596" s="82" t="n">
        <x:v>0.06352604948383848</x:v>
      </x:c>
      <x:c r="P1596" s="80" t="n">
        <x:v>542.9169069769423</x:v>
      </x:c>
      <x:c r="Q1596" s="81" t="n">
        <x:v>750219.791032787</x:v>
      </x:c>
      <x:c r="R1596" s="81" t="n">
        <x:v>9.293523330098433</x:v>
      </x:c>
      <x:c r="S1596" s="81" t="n">
        <x:v>4.78561820598121e-10</x:v>
      </x:c>
      <x:c r="T1596" s="81" t="n">
        <x:v>1.8187957786565623e-18</x:v>
      </x:c>
    </x:row>
    <x:row r="1597">
      <x:c r="A1597" s="59" t="n">
        <x:v>1594</x:v>
      </x:c>
      <x:c r="B1597" s="193" t="n">
        <x:v>0.5616221198812128</x:v>
      </x:c>
      <x:c r="C1597" s="83" t="n">
        <x:v>2.843174050541524</x:v>
      </x:c>
      <x:c r="D1597" s="83" t="n">
        <x:v>0.6000519740432609</x:v>
      </x:c>
      <x:c r="E1597" s="81" t="n">
        <x:v>-0.06176462249761303</x:v>
      </x:c>
      <x:c r="F1597" s="81" t="n">
        <x:v>0.3166350933373906</x:v>
      </x:c>
      <x:c r="G1597" s="81" t="n">
        <x:v>0.013374242325539751</x:v>
      </x:c>
      <x:c r="H1597" s="59" t="n">
        <x:v>0</x:v>
      </x:c>
      <x:c r="I1597" s="81" t="n">
        <x:v>0</x:v>
      </x:c>
      <x:c r="J1597" s="79" t="n">
        <x:v>4.9489494562291287e-26</x:v>
      </x:c>
      <x:c r="K1597" s="81" t="n">
        <x:v>-1</x:v>
      </x:c>
      <x:c r="L1597" s="81" t="n">
        <x:v>-1</x:v>
      </x:c>
      <x:c r="M1597" s="80" t="n">
        <x:v>0.000002</x:v>
      </x:c>
      <x:c r="N1597" s="82" t="n">
        <x:v>0.23588266937045263</x:v>
      </x:c>
      <x:c r="O1597" s="82" t="n">
        <x:v>0.07055471187245015</x:v>
      </x:c>
      <x:c r="P1597" s="80" t="n">
        <x:v>976.5725169368282</x:v>
      </x:c>
      <x:c r="Q1597" s="81" t="n">
        <x:v>701730320.5949146</x:v>
      </x:c>
      <x:c r="R1597" s="81" t="n">
        <x:v>1.9454203328065998</x:v>
      </x:c>
      <x:c r="S1597" s="81" t="n">
        <x:v>1.607692186175162e-10</x:v>
      </x:c>
      <x:c r="T1597" s="81" t="n">
        <x:v>1.0720504986328755e-21</x:v>
      </x:c>
    </x:row>
    <x:row r="1598">
      <x:c r="A1598" s="59" t="n">
        <x:v>1595</x:v>
      </x:c>
      <x:c r="B1598" s="193" t="n">
        <x:v>0.7201088052242994</x:v>
      </x:c>
      <x:c r="C1598" s="83" t="n">
        <x:v>0.5938102600046484</x:v>
      </x:c>
      <x:c r="D1598" s="83" t="n">
        <x:v>0.6634968995588869</x:v>
      </x:c>
      <x:c r="E1598" s="81" t="n">
        <x:v>-0.0718676131294335</x:v>
      </x:c>
      <x:c r="F1598" s="81" t="n">
        <x:v>0.5431222497834824</x:v>
      </x:c>
      <x:c r="G1598" s="81" t="n">
        <x:v>-0.01104869280614852</x:v>
      </x:c>
      <x:c r="H1598" s="59" t="n">
        <x:v>0</x:v>
      </x:c>
      <x:c r="I1598" s="81" t="n">
        <x:v>0</x:v>
      </x:c>
      <x:c r="J1598" s="79" t="n">
        <x:v>5.184479336346969e-27</x:v>
      </x:c>
      <x:c r="K1598" s="81" t="n">
        <x:v>-1</x:v>
      </x:c>
      <x:c r="L1598" s="81" t="n">
        <x:v>-1</x:v>
      </x:c>
      <x:c r="M1598" s="80" t="n">
        <x:v>0.000002</x:v>
      </x:c>
      <x:c r="N1598" s="82" t="n">
        <x:v>0.27363716944452615</x:v>
      </x:c>
      <x:c r="O1598" s="82" t="n">
        <x:v>0.14039240889398455</x:v>
      </x:c>
      <x:c r="P1598" s="80" t="n">
        <x:v>328.5773314505598</x:v>
      </x:c>
      <x:c r="Q1598" s="81" t="n">
        <x:v>5811624964.677575</x:v>
      </x:c>
      <x:c r="R1598" s="81" t="n">
        <x:v>5.097917033492474</x:v>
      </x:c>
      <x:c r="S1598" s="81" t="n">
        <x:v>3.185672379260166e-10</x:v>
      </x:c>
      <x:c r="T1598" s="81" t="n">
        <x:v>1.123071412799913e-22</x:v>
      </x:c>
    </x:row>
    <x:row r="1599">
      <x:c r="A1599" s="59" t="n">
        <x:v>1596</x:v>
      </x:c>
      <x:c r="B1599" s="193" t="n">
        <x:v>0.7914035366848111</x:v>
      </x:c>
      <x:c r="C1599" s="83" t="n">
        <x:v>0.2669667600797698</x:v>
      </x:c>
      <x:c r="D1599" s="83" t="n">
        <x:v>0.49255704916657034</x:v>
      </x:c>
      <x:c r="E1599" s="81" t="n">
        <x:v>0.2</x:v>
      </x:c>
      <x:c r="F1599" s="81" t="n">
        <x:v>0.5760202645673417</x:v>
      </x:c>
      <x:c r="G1599" s="81" t="n">
        <x:v>0.031650293398673965</x:v>
      </x:c>
      <x:c r="H1599" s="59" t="n">
        <x:v>47</x:v>
      </x:c>
      <x:c r="I1599" s="81" t="n">
        <x:v>0.15187685191631317</x:v>
      </x:c>
      <x:c r="J1599" s="79" t="n">
        <x:v>0.007300475056938344</x:v>
      </x:c>
      <x:c r="K1599" s="81" t="n">
        <x:v>7.343400065072393</x:v>
      </x:c>
      <x:c r="L1599" s="81" t="n">
        <x:v>-0.8564390309714849</x:v>
      </x:c>
      <x:c r="M1599" s="80" t="n">
        <x:v>27809.678408922093</x:v>
      </x:c>
      <x:c r="N1599" s="82" t="n">
        <x:v>0.2906209112546345</x:v>
      </x:c>
      <x:c r="O1599" s="82" t="n">
        <x:v>0.15813775328434998</x:v>
      </x:c>
      <x:c r="P1599" s="80" t="n">
        <x:v>24849.391835012488</x:v>
      </x:c>
      <x:c r="Q1599" s="81" t="n">
        <x:v>0.0022541328378104697</x:v>
      </x:c>
      <x:c r="R1599" s="81" t="n">
        <x:v>449.1329999044149</x:v>
      </x:c>
      <x:c r="S1599" s="81" t="n">
        <x:v>515.6995870602732</x:v>
      </x:c>
      <x:c r="T1599" s="81" t="n">
        <x:v>158.1442282704386</x:v>
      </x:c>
    </x:row>
    <x:row r="1600">
      <x:c r="A1600" s="59" t="n">
        <x:v>1597</x:v>
      </x:c>
      <x:c r="B1600" s="193" t="n">
        <x:v>0.6148511167615652</x:v>
      </x:c>
      <x:c r="C1600" s="83" t="n">
        <x:v>0.1067915135354346</x:v>
      </x:c>
      <x:c r="D1600" s="83" t="n">
        <x:v>0.4553770410342471</x:v>
      </x:c>
      <x:c r="E1600" s="81" t="n">
        <x:v>0.08678194304832286</x:v>
      </x:c>
      <x:c r="F1600" s="81" t="n">
        <x:v>0.6335537296603434</x:v>
      </x:c>
      <x:c r="G1600" s="81" t="n">
        <x:v>0.014264359896512964</x:v>
      </x:c>
      <x:c r="H1600" s="59" t="n">
        <x:v>0</x:v>
      </x:c>
      <x:c r="I1600" s="81" t="n">
        <x:v>0</x:v>
      </x:c>
      <x:c r="J1600" s="79" t="n">
        <x:v>0.0005611463426537931</x:v>
      </x:c>
      <x:c r="K1600" s="81" t="n">
        <x:v>-0.35868989410995067</x:v>
      </x:c>
      <x:c r="L1600" s="81" t="n">
        <x:v>-0.8216088254634761</x:v>
      </x:c>
      <x:c r="M1600" s="80" t="n">
        <x:v>5273.42343490736</x:v>
      </x:c>
      <x:c r="N1600" s="82" t="n">
        <x:v>0.24856281447104417</x:v>
      </x:c>
      <x:c r="O1600" s="82" t="n">
        <x:v>0.14876150093234727</x:v>
      </x:c>
      <x:c r="P1600" s="80" t="n">
        <x:v>5003.022477058702</x:v>
      </x:c>
      <x:c r="Q1600" s="81" t="n">
        <x:v>0.0040034642612908075</x:v>
      </x:c>
      <x:c r="R1600" s="81" t="n">
        <x:v>259.411748073947</x:v>
      </x:c>
      <x:c r="S1600" s="81" t="n">
        <x:v>98.77988447850453</x:v>
      </x:c>
      <x:c r="T1600" s="81" t="n">
        <x:v>12.155654887338203</x:v>
      </x:c>
    </x:row>
    <x:row r="1601">
      <x:c r="A1601" s="59" t="n">
        <x:v>1598</x:v>
      </x:c>
      <x:c r="B1601" s="193" t="n">
        <x:v>0.791371599212289</x:v>
      </x:c>
      <x:c r="C1601" s="83" t="n">
        <x:v>0.5731368081154686</x:v>
      </x:c>
      <x:c r="D1601" s="83" t="n">
        <x:v>3</x:v>
      </x:c>
      <x:c r="E1601" s="81" t="n">
        <x:v>0.018170996407282217</x:v>
      </x:c>
      <x:c r="F1601" s="81" t="n">
        <x:v>0.2959502845769748</x:v>
      </x:c>
      <x:c r="G1601" s="81" t="n">
        <x:v>0.019296828464810886</x:v>
      </x:c>
      <x:c r="H1601" s="59" t="n">
        <x:v>0</x:v>
      </x:c>
      <x:c r="I1601" s="81" t="n">
        <x:v>0</x:v>
      </x:c>
      <x:c r="J1601" s="79" t="n">
        <x:v>0.008577679585359528</x:v>
      </x:c>
      <x:c r="K1601" s="81" t="n">
        <x:v>8.803062383268033</x:v>
      </x:c>
      <x:c r="L1601" s="81" t="n">
        <x:v>-0.6347728287961889</x:v>
      </x:c>
      <x:c r="M1601" s="80" t="n">
        <x:v>31164.155333440147</x:v>
      </x:c>
      <x:c r="N1601" s="82" t="n">
        <x:v>0.2906133031498523</x:v>
      </x:c>
      <x:c r="O1601" s="82" t="n">
        <x:v>0.08124659977125277</x:v>
      </x:c>
      <x:c r="P1601" s="80" t="n">
        <x:v>164375.96020476441</x:v>
      </x:c>
      <x:c r="Q1601" s="81" t="n">
        <x:v>0.01062381266723716</x:v>
      </x:c>
      <x:c r="R1601" s="81" t="n">
        <x:v>243.38460581581754</x:v>
      </x:c>
      <x:c r="S1601" s="81" t="n">
        <x:v>311.1642972967412</x:v>
      </x:c>
      <x:c r="T1601" s="81" t="n">
        <x:v>185.8112667734623</x:v>
      </x:c>
    </x:row>
    <x:row r="1602">
      <x:c r="A1602" s="59" t="n">
        <x:v>1599</x:v>
      </x:c>
      <x:c r="B1602" s="193" t="n">
        <x:v>0.245165896974504</x:v>
      </x:c>
      <x:c r="C1602" s="83" t="n">
        <x:v>0.1375575942191058</x:v>
      </x:c>
      <x:c r="D1602" s="83" t="n">
        <x:v>0.7380804174279215</x:v>
      </x:c>
      <x:c r="E1602" s="81" t="n">
        <x:v>-0.05696042493591457</x:v>
      </x:c>
      <x:c r="F1602" s="81" t="n">
        <x:v>0.7881229488993995</x:v>
      </x:c>
      <x:c r="G1602" s="81" t="n">
        <x:v>0.021796101013875385</x:v>
      </x:c>
      <x:c r="H1602" s="59" t="n">
        <x:v>0</x:v>
      </x:c>
      <x:c r="I1602" s="81" t="n">
        <x:v>0</x:v>
      </x:c>
      <x:c r="J1602" s="79" t="n">
        <x:v>6.452374384993158e-28</x:v>
      </x:c>
      <x:c r="K1602" s="81" t="n">
        <x:v>-1</x:v>
      </x:c>
      <x:c r="L1602" s="81" t="n">
        <x:v>-1</x:v>
      </x:c>
      <x:c r="M1602" s="80" t="n">
        <x:v>0.000002</x:v>
      </x:c>
      <x:c r="N1602" s="82" t="n">
        <x:v>0.16049686351989498</x:v>
      </x:c>
      <x:c r="O1602" s="82" t="n">
        <x:v>0.11948997361023335</x:v>
      </x:c>
      <x:c r="P1602" s="80" t="n">
        <x:v>281.65313706275225</x:v>
      </x:c>
      <x:c r="Q1602" s="81" t="n">
        <x:v>58097942000.16728</x:v>
      </x:c>
      <x:c r="R1602" s="81" t="n">
        <x:v>21.953093177216996</x:v>
      </x:c>
      <x:c r="S1602" s="81" t="n">
        <x:v>7.388665332467548e-10</x:v>
      </x:c>
      <x:c r="T1602" s="81" t="n">
        <x:v>1.3977251612645386e-23</x:v>
      </x:c>
    </x:row>
    <x:row r="1603">
      <x:c r="A1603" s="59" t="n">
        <x:v>1600</x:v>
      </x:c>
      <x:c r="B1603" s="193" t="n">
        <x:v>0.9154438363388182</x:v>
      </x:c>
      <x:c r="C1603" s="83" t="n">
        <x:v>0.4499327354414799</x:v>
      </x:c>
      <x:c r="D1603" s="83" t="n">
        <x:v>0.5187723982407279</x:v>
      </x:c>
      <x:c r="E1603" s="81" t="n">
        <x:v>0.12082259313006695</x:v>
      </x:c>
      <x:c r="F1603" s="81" t="n">
        <x:v>0.3257742659887299</x:v>
      </x:c>
      <x:c r="G1603" s="81" t="n">
        <x:v>-0.007265222336199766</x:v>
      </x:c>
      <x:c r="H1603" s="59" t="n">
        <x:v>0</x:v>
      </x:c>
      <x:c r="I1603" s="81" t="n">
        <x:v>0</x:v>
      </x:c>
      <x:c r="J1603" s="79" t="n">
        <x:v>0.003598640778318383</x:v>
      </x:c>
      <x:c r="K1603" s="81" t="n">
        <x:v>3.1127323180781525</x:v>
      </x:c>
      <x:c r="L1603" s="81" t="n">
        <x:v>-0.7168295115106332</x:v>
      </x:c>
      <x:c r="M1603" s="80" t="n">
        <x:v>18536.6241646567</x:v>
      </x:c>
      <x:c r="N1603" s="82" t="n">
        <x:v>0.320169636387838</x:v>
      </x:c>
      <x:c r="O1603" s="82" t="n">
        <x:v>0.09852985860639751</x:v>
      </x:c>
      <x:c r="P1603" s="80" t="n">
        <x:v>18114.32876008777</x:v>
      </x:c>
      <x:c r="Q1603" s="81" t="n">
        <x:v>0.002045929589947665</x:v>
      </x:c>
      <x:c r="R1603" s="81" t="n">
        <x:v>269.20970260549814</x:v>
      </x:c>
      <x:c r="S1603" s="81" t="n">
        <x:v>151.44635621873468</x:v>
      </x:c>
      <x:c r="T1603" s="81" t="n">
        <x:v>77.95441587993875</x:v>
      </x:c>
    </x:row>
    <x:row r="1604">
      <x:c r="A1604" s="59" t="n">
        <x:v>1601</x:v>
      </x:c>
      <x:c r="B1604" s="193" t="n">
        <x:v>0.7466218806803226</x:v>
      </x:c>
      <x:c r="C1604" s="83" t="n">
        <x:v>0.32389221924075673</x:v>
      </x:c>
      <x:c r="D1604" s="83" t="n">
        <x:v>1.0614806093407143</x:v>
      </x:c>
      <x:c r="E1604" s="81" t="n">
        <x:v>0.004535253889714989</x:v>
      </x:c>
      <x:c r="F1604" s="81" t="n">
        <x:v>0.6341064640553669</x:v>
      </x:c>
      <x:c r="G1604" s="81" t="n">
        <x:v>-0.01677916795621238</x:v>
      </x:c>
      <x:c r="H1604" s="59" t="n">
        <x:v>0</x:v>
      </x:c>
      <x:c r="I1604" s="81" t="n">
        <x:v>0</x:v>
      </x:c>
      <x:c r="J1604" s="79" t="n">
        <x:v>0.000004416451558155359</x:v>
      </x:c>
      <x:c r="K1604" s="81" t="n">
        <x:v>-0.9949526267906796</x:v>
      </x:c>
      <x:c r="L1604" s="81" t="n">
        <x:v>-0.9949526267906796</x:v>
      </x:c>
      <x:c r="M1604" s="80" t="n">
        <x:v>482.9664822373473</x:v>
      </x:c>
      <x:c r="N1604" s="82" t="n">
        <x:v>0.2799530811383155</x:v>
      </x:c>
      <x:c r="O1604" s="82" t="n">
        <x:v>0.16769432814738927</x:v>
      </x:c>
      <x:c r="P1604" s="80" t="n">
        <x:v>2394.8928549786087</x:v>
      </x:c>
      <x:c r="Q1604" s="81" t="n">
        <x:v>0.0529146554104657</x:v>
      </x:c>
      <x:c r="R1604" s="81" t="n">
        <x:v>31.024411695919483</x:v>
      </x:c>
      <x:c r="S1604" s="81" t="n">
        <x:v>0.3919347190829473</x:v>
      </x:c>
      <x:c r="T1604" s="81" t="n">
        <x:v>0.0956699828313863</x:v>
      </x:c>
    </x:row>
    <x:row r="1605">
      <x:c r="A1605" s="59" t="n">
        <x:v>1602</x:v>
      </x:c>
      <x:c r="B1605" s="193" t="n">
        <x:v>0.8146659359335899</x:v>
      </x:c>
      <x:c r="C1605" s="83" t="n">
        <x:v>1.8313925910170488</x:v>
      </x:c>
      <x:c r="D1605" s="83" t="n">
        <x:v>0.46555185431902507</x:v>
      </x:c>
      <x:c r="E1605" s="81" t="n">
        <x:v>-0.030995991490726064</x:v>
      </x:c>
      <x:c r="F1605" s="81" t="n">
        <x:v>0.6328858036431484</x:v>
      </x:c>
      <x:c r="G1605" s="81" t="n">
        <x:v>0.013495336686040221</x:v>
      </x:c>
      <x:c r="H1605" s="59" t="n">
        <x:v>0</x:v>
      </x:c>
      <x:c r="I1605" s="81" t="n">
        <x:v>0</x:v>
      </x:c>
      <x:c r="J1605" s="79" t="n">
        <x:v>2.913772504957732e-14</x:v>
      </x:c>
      <x:c r="K1605" s="81" t="n">
        <x:v>-0.9999999999666997</x:v>
      </x:c>
      <x:c r="L1605" s="81" t="n">
        <x:v>-0.9999999999666997</x:v>
      </x:c>
      <x:c r="M1605" s="80" t="n">
        <x:v>0.08466367388761686</x:v>
      </x:c>
      <x:c r="N1605" s="82" t="n">
        <x:v>0.2961624509256797</x:v>
      </x:c>
      <x:c r="O1605" s="82" t="n">
        <x:v>0.17706237749324272</x:v>
      </x:c>
      <x:c r="P1605" s="80" t="n">
        <x:v>1019.1550278529519</x:v>
      </x:c>
      <x:c r="Q1605" s="81" t="n">
        <x:v>97.61257067343755</x:v>
      </x:c>
      <x:c r="R1605" s="81" t="n">
        <x:v>4.220906324547849</x:v>
      </x:c>
      <x:c r="S1605" s="81" t="n">
        <x:v>0.0000074191579884474025</x:v>
      </x:c>
      <x:c r="T1605" s="81" t="n">
        <x:v>6.311867386139814e-10</x:v>
      </x:c>
    </x:row>
    <x:row r="1606">
      <x:c r="A1606" s="59" t="n">
        <x:v>1603</x:v>
      </x:c>
      <x:c r="B1606" s="193" t="n">
        <x:v>0.8337256712839007</x:v>
      </x:c>
      <x:c r="C1606" s="83" t="n">
        <x:v>0.1200081310363307</x:v>
      </x:c>
      <x:c r="D1606" s="83" t="n">
        <x:v>0.5519620436582198</x:v>
      </x:c>
      <x:c r="E1606" s="81" t="n">
        <x:v>0.18918262847022052</x:v>
      </x:c>
      <x:c r="F1606" s="81" t="n">
        <x:v>0.6519229096360505</x:v>
      </x:c>
      <x:c r="G1606" s="81" t="n">
        <x:v>-0.0010001926478087687</x:v>
      </x:c>
      <x:c r="H1606" s="59" t="n">
        <x:v>0</x:v>
      </x:c>
      <x:c r="I1606" s="81" t="n">
        <x:v>0</x:v>
      </x:c>
      <x:c r="J1606" s="79" t="n">
        <x:v>0.002236220726761739</x:v>
      </x:c>
      <x:c r="K1606" s="81" t="n">
        <x:v>1.555680830584845</x:v>
      </x:c>
      <x:c r="L1606" s="81" t="n">
        <x:v>-0.8240162790832761</x:v>
      </x:c>
      <x:c r="M1606" s="80" t="n">
        <x:v>13013.765466345381</x:v>
      </x:c>
      <x:c r="N1606" s="82" t="n">
        <x:v>0.30070283725616154</x:v>
      </x:c>
      <x:c r="O1606" s="82" t="n">
        <x:v>0.1851845330708205</x:v>
      </x:c>
      <x:c r="P1606" s="80" t="n">
        <x:v>12711.678210713933</x:v>
      </x:c>
      <x:c r="Q1606" s="81" t="n">
        <x:v>0.0026849314844373893</x:v>
      </x:c>
      <x:c r="R1606" s="81" t="n">
        <x:v>701.0111983615864</x:v>
      </x:c>
      <x:c r="S1606" s="81" t="n">
        <x:v>349.18567526538703</x:v>
      </x:c>
      <x:c r="T1606" s="81" t="n">
        <x:v>48.44142310163655</x:v>
      </x:c>
    </x:row>
    <x:row r="1607">
      <x:c r="A1607" s="59" t="n">
        <x:v>1604</x:v>
      </x:c>
      <x:c r="B1607" s="193" t="n">
        <x:v>0.3378944991156459</x:v>
      </x:c>
      <x:c r="C1607" s="83" t="n">
        <x:v>0.9825774885455808</x:v>
      </x:c>
      <x:c r="D1607" s="83" t="n">
        <x:v>0.48850979778710624</x:v>
      </x:c>
      <x:c r="E1607" s="81" t="n">
        <x:v>0.13149545049266378</x:v>
      </x:c>
      <x:c r="F1607" s="81" t="n">
        <x:v>0.7872995987534523</x:v>
      </x:c>
      <x:c r="G1607" s="81" t="n">
        <x:v>0.010892945143373417</x:v>
      </x:c>
      <x:c r="H1607" s="59" t="n">
        <x:v>0</x:v>
      </x:c>
      <x:c r="I1607" s="81" t="n">
        <x:v>0</x:v>
      </x:c>
      <x:c r="J1607" s="79" t="n">
        <x:v>0.005761875698260067</x:v>
      </x:c>
      <x:c r="K1607" s="81" t="n">
        <x:v>5.585000798011506</x:v>
      </x:c>
      <x:c r="L1607" s="81" t="n">
        <x:v>-0.7029527820682252</x:v>
      </x:c>
      <x:c r="M1607" s="80" t="n">
        <x:v>33022.649626320126</x:v>
      </x:c>
      <x:c r="N1607" s="82" t="n">
        <x:v>0.1825865552112052</x:v>
      </x:c>
      <x:c r="O1607" s="82" t="n">
        <x:v>0.13579374539818725</x:v>
      </x:c>
      <x:c r="P1607" s="80" t="n">
        <x:v>30276.456243898883</x:v>
      </x:c>
      <x:c r="Q1607" s="81" t="n">
        <x:v>0.0026517370648656887</x:v>
      </x:c>
      <x:c r="R1607" s="81" t="n">
        <x:v>131.04923787606543</x:v>
      </x:c>
      <x:c r="S1607" s="81" t="n">
        <x:v>113.39740523217267</x:v>
      </x:c>
      <x:c r="T1607" s="81" t="n">
        <x:v>124.81480706183972</x:v>
      </x:c>
    </x:row>
    <x:row r="1608">
      <x:c r="A1608" s="59" t="n">
        <x:v>1605</x:v>
      </x:c>
      <x:c r="B1608" s="193" t="n">
        <x:v>0.7335012437775732</x:v>
      </x:c>
      <x:c r="C1608" s="83" t="n">
        <x:v>0.43228872758991554</x:v>
      </x:c>
      <x:c r="D1608" s="83" t="n">
        <x:v>1.5350920981422882</x:v>
      </x:c>
      <x:c r="E1608" s="81" t="n">
        <x:v>-0.01985643223487807</x:v>
      </x:c>
      <x:c r="F1608" s="81" t="n">
        <x:v>0.8143459263490513</x:v>
      </x:c>
      <x:c r="G1608" s="81" t="n">
        <x:v>0.0038099465228088104</x:v>
      </x:c>
      <x:c r="H1608" s="59" t="n">
        <x:v>0</x:v>
      </x:c>
      <x:c r="I1608" s="81" t="n">
        <x:v>0</x:v>
      </x:c>
      <x:c r="J1608" s="79" t="n">
        <x:v>3.111591398624996e-23</x:v>
      </x:c>
      <x:c r="K1608" s="81" t="n">
        <x:v>-1</x:v>
      </x:c>
      <x:c r="L1608" s="81" t="n">
        <x:v>-1</x:v>
      </x:c>
      <x:c r="M1608" s="80" t="n">
        <x:v>0.000002</x:v>
      </x:c>
      <x:c r="N1608" s="82" t="n">
        <x:v>0.2768274994161386</x:v>
      </x:c>
      <x:c r="O1608" s="82" t="n">
        <x:v>0.21295561707033672</x:v>
      </x:c>
      <x:c r="P1608" s="80" t="n">
        <x:v>859.9500222697849</x:v>
      </x:c>
      <x:c r="Q1608" s="81" t="n">
        <x:v>3334648.46112817</x:v>
      </x:c>
      <x:c r="R1608" s="81" t="n">
        <x:v>9.175982215524488</x:v>
      </x:c>
      <x:c r="S1608" s="81" t="n">
        <x:v>9.833342234984586e-10</x:v>
      </x:c>
      <x:c r="T1608" s="81" t="n">
        <x:v>6.740386298023352e-19</x:v>
      </x:c>
    </x:row>
    <x:row r="1609">
      <x:c r="A1609" s="59" t="n">
        <x:v>1606</x:v>
      </x:c>
      <x:c r="B1609" s="193" t="n">
        <x:v>0.5130332484841347</x:v>
      </x:c>
      <x:c r="C1609" s="83" t="n">
        <x:v>0.1057061269525151</x:v>
      </x:c>
      <x:c r="D1609" s="83" t="n">
        <x:v>0.7201574295162496</x:v>
      </x:c>
      <x:c r="E1609" s="81" t="n">
        <x:v>-0.2</x:v>
      </x:c>
      <x:c r="F1609" s="81" t="n">
        <x:v>0.777359172492288</x:v>
      </x:c>
      <x:c r="G1609" s="81" t="n">
        <x:v>0.007761282181574404</x:v>
      </x:c>
      <x:c r="H1609" s="59" t="n">
        <x:v>0</x:v>
      </x:c>
      <x:c r="I1609" s="81" t="n">
        <x:v>0</x:v>
      </x:c>
      <x:c r="J1609" s="79" t="n">
        <x:v>5.588267068274313e-55</x:v>
      </x:c>
      <x:c r="K1609" s="81" t="n">
        <x:v>-1</x:v>
      </x:c>
      <x:c r="L1609" s="81" t="n">
        <x:v>-1</x:v>
      </x:c>
      <x:c r="M1609" s="80" t="n">
        <x:v>0.000002</x:v>
      </x:c>
      <x:c r="N1609" s="82" t="n">
        <x:v>0.22430788916233</x:v>
      </x:c>
      <x:c r="O1609" s="82" t="n">
        <x:v>0.16471654255186705</x:v>
      </x:c>
      <x:c r="P1609" s="80" t="n">
        <x:v>103.39846231444643</x:v>
      </x:c>
      <x:c r="Q1609" s="81" t="n">
        <x:v>2.1690466781780377e+37</x:v>
      </x:c>
      <x:c r="R1609" s="81" t="n">
        <x:v>8.685414323701591</x:v>
      </x:c>
      <x:c r="S1609" s="81" t="n">
        <x:v>6.268209075070492e-10</x:v>
      </x:c>
      <x:c r="T1609" s="81" t="n">
        <x:v>1.210540651106578e-50</x:v>
      </x:c>
    </x:row>
    <x:row r="1610">
      <x:c r="A1610" s="59" t="n">
        <x:v>1607</x:v>
      </x:c>
      <x:c r="B1610" s="193" t="n">
        <x:v>0.34282790385186673</x:v>
      </x:c>
      <x:c r="C1610" s="83" t="n">
        <x:v>0.7013391010512362</x:v>
      </x:c>
      <x:c r="D1610" s="83" t="n">
        <x:v>1.811098618588561</x:v>
      </x:c>
      <x:c r="E1610" s="81" t="n">
        <x:v>-0.053901514616413335</x:v>
      </x:c>
      <x:c r="F1610" s="81" t="n">
        <x:v>0.5226758793345653</x:v>
      </x:c>
      <x:c r="G1610" s="81" t="n">
        <x:v>0.04357619182131725</x:v>
      </x:c>
      <x:c r="H1610" s="59" t="n">
        <x:v>63</x:v>
      </x:c>
      <x:c r="I1610" s="81" t="n">
        <x:v>0.3419984861277044</x:v>
      </x:c>
      <x:c r="J1610" s="79" t="n">
        <x:v>2.1629951466627333e-49</x:v>
      </x:c>
      <x:c r="K1610" s="81" t="n">
        <x:v>-1</x:v>
      </x:c>
      <x:c r="L1610" s="81" t="n">
        <x:v>-1</x:v>
      </x:c>
      <x:c r="M1610" s="80" t="n">
        <x:v>0.000002</x:v>
      </x:c>
      <x:c r="N1610" s="82" t="n">
        <x:v>0.1837617847207118</x:v>
      </x:c>
      <x:c r="O1610" s="82" t="n">
        <x:v>0.09073160648924945</x:v>
      </x:c>
      <x:c r="P1610" s="80" t="n">
        <x:v>554.287297789171</x:v>
      </x:c>
      <x:c r="Q1610" s="81" t="n">
        <x:v>1.8261578556845003e+32</x:v>
      </x:c>
      <x:c r="R1610" s="81" t="n">
        <x:v>2.8397320998677915</x:v>
      </x:c>
      <x:c r="S1610" s="81" t="n">
        <x:v>1.5668688006577784e-9</x:v>
      </x:c>
      <x:c r="T1610" s="81" t="n">
        <x:v>4.6855197169201285e-45</x:v>
      </x:c>
    </x:row>
    <x:row r="1611">
      <x:c r="A1611" s="59" t="n">
        <x:v>1608</x:v>
      </x:c>
      <x:c r="B1611" s="193" t="n">
        <x:v>0.34334667921066286</x:v>
      </x:c>
      <x:c r="C1611" s="83" t="n">
        <x:v>0.317475734618969</x:v>
      </x:c>
      <x:c r="D1611" s="83" t="n">
        <x:v>0.6102360769567023</x:v>
      </x:c>
      <x:c r="E1611" s="81" t="n">
        <x:v>0.10928821216109719</x:v>
      </x:c>
      <x:c r="F1611" s="81" t="n">
        <x:v>0.4148096083314158</x:v>
      </x:c>
      <x:c r="G1611" s="81" t="n">
        <x:v>0.0027613797887736063</x:v>
      </x:c>
      <x:c r="H1611" s="59" t="n">
        <x:v>0</x:v>
      </x:c>
      <x:c r="I1611" s="81" t="n">
        <x:v>0</x:v>
      </x:c>
      <x:c r="J1611" s="79" t="n">
        <x:v>0.008092128040436337</x:v>
      </x:c>
      <x:c r="K1611" s="81" t="n">
        <x:v>8.248146331927243</x:v>
      </x:c>
      <x:c r="L1611" s="81" t="n">
        <x:v>-0.6817571461618983</x:v>
      </x:c>
      <x:c r="M1611" s="80" t="n">
        <x:v>25919.978190179394</x:v>
      </x:c>
      <x:c r="N1611" s="82" t="n">
        <x:v>0.1838853667382153</x:v>
      </x:c>
      <x:c r="O1611" s="82" t="n">
        <x:v>0.07205546407316983</x:v>
      </x:c>
      <x:c r="P1611" s="80" t="n">
        <x:v>28696.166294646955</x:v>
      </x:c>
      <x:c r="Q1611" s="81" t="n">
        <x:v>0.0016789916145137868</x:v>
      </x:c>
      <x:c r="R1611" s="81" t="n">
        <x:v>567.6234571045775</x:v>
      </x:c>
      <x:c r="S1611" s="81" t="n">
        <x:v>479.21129912257436</x:v>
      </x:c>
      <x:c r="T1611" s="81" t="n">
        <x:v>175.29316024498115</x:v>
      </x:c>
    </x:row>
    <x:row r="1612">
      <x:c r="A1612" s="59" t="n">
        <x:v>1609</x:v>
      </x:c>
      <x:c r="B1612" s="193" t="n">
        <x:v>0.7749184211716056</x:v>
      </x:c>
      <x:c r="C1612" s="83" t="n">
        <x:v>0.23151383885785087</x:v>
      </x:c>
      <x:c r="D1612" s="83" t="n">
        <x:v>0.5942497943943754</x:v>
      </x:c>
      <x:c r="E1612" s="81" t="n">
        <x:v>-0.03213152411230574</x:v>
      </x:c>
      <x:c r="F1612" s="81" t="n">
        <x:v>0.3491590350400656</x:v>
      </x:c>
      <x:c r="G1612" s="81" t="n">
        <x:v>-0.018594285852694622</x:v>
      </x:c>
      <x:c r="H1612" s="59" t="n">
        <x:v>60</x:v>
      </x:c>
      <x:c r="I1612" s="81" t="n">
        <x:v>0.20746840573847294</x:v>
      </x:c>
      <x:c r="J1612" s="79" t="n">
        <x:v>4.6240328615551065e-15</x:v>
      </x:c>
      <x:c r="K1612" s="81" t="n">
        <x:v>-0.9999999999947153</x:v>
      </x:c>
      <x:c r="L1612" s="81" t="n">
        <x:v>-0.9999999999947153</x:v>
      </x:c>
      <x:c r="M1612" s="80" t="n">
        <x:v>0.014708712573315666</x:v>
      </x:c>
      <x:c r="N1612" s="82" t="n">
        <x:v>0.2866938476434735</x:v>
      </x:c>
      <x:c r="O1612" s="82" t="n">
        <x:v>0.09456111830551994</x:v>
      </x:c>
      <x:c r="P1612" s="80" t="n">
        <x:v>447.8402595748965</x:v>
      </x:c>
      <x:c r="Q1612" s="81" t="n">
        <x:v>103.20406799881692</x:v>
      </x:c>
      <x:c r="R1612" s="81" t="n">
        <x:v>24.282559991839157</x:v>
      </x:c>
      <x:c r="S1612" s="81" t="n">
        <x:v>0.0000025488278319318323</x:v>
      </x:c>
      <x:c r="T1612" s="81" t="n">
        <x:v>1.0016664705850745e-10</x:v>
      </x:c>
    </x:row>
    <x:row r="1613">
      <x:c r="A1613" s="59" t="n">
        <x:v>1610</x:v>
      </x:c>
      <x:c r="B1613" s="193" t="n">
        <x:v>0.6394478112459183</x:v>
      </x:c>
      <x:c r="C1613" s="83" t="n">
        <x:v>1.3113956995783944</x:v>
      </x:c>
      <x:c r="D1613" s="83" t="n">
        <x:v>0.776147262683484</x:v>
      </x:c>
      <x:c r="E1613" s="81" t="n">
        <x:v>-0.08754346276407798</x:v>
      </x:c>
      <x:c r="F1613" s="81" t="n">
        <x:v>0.6286225651041605</x:v>
      </x:c>
      <x:c r="G1613" s="81" t="n">
        <x:v>0.031211958378288204</x:v>
      </x:c>
      <x:c r="H1613" s="59" t="n">
        <x:v>0</x:v>
      </x:c>
      <x:c r="I1613" s="81" t="n">
        <x:v>0</x:v>
      </x:c>
      <x:c r="J1613" s="79" t="n">
        <x:v>1.0715951741995529e-37</x:v>
      </x:c>
      <x:c r="K1613" s="81" t="n">
        <x:v>-1</x:v>
      </x:c>
      <x:c r="L1613" s="81" t="n">
        <x:v>-1</x:v>
      </x:c>
      <x:c r="M1613" s="80" t="n">
        <x:v>0.000002</x:v>
      </x:c>
      <x:c r="N1613" s="82" t="n">
        <x:v>0.2544222082852388</x:v>
      </x:c>
      <x:c r="O1613" s="82" t="n">
        <x:v>0.15108311348861425</x:v>
      </x:c>
      <x:c r="P1613" s="80" t="n">
        <x:v>430.0822124504583</x:v>
      </x:c>
      <x:c r="Q1613" s="81" t="n">
        <x:v>234200033609052880000</x:v>
      </x:c>
      <x:c r="R1613" s="81" t="n">
        <x:v>2.0010968654148344</x:v>
      </x:c>
      <x:c r="S1613" s="81" t="n">
        <x:v>4.275371716470125e-10</x:v>
      </x:c>
      <x:c r="T1613" s="81" t="n">
        <x:v>2.321309100029786e-33</x:v>
      </x:c>
    </x:row>
    <x:row r="1614">
      <x:c r="A1614" s="59" t="n">
        <x:v>1611</x:v>
      </x:c>
      <x:c r="B1614" s="193" t="n">
        <x:v>0.4275581693276763</x:v>
      </x:c>
      <x:c r="C1614" s="83" t="n">
        <x:v>0.8070062361923687</x:v>
      </x:c>
      <x:c r="D1614" s="83" t="n">
        <x:v>1.3641330663503983</x:v>
      </x:c>
      <x:c r="E1614" s="81" t="n">
        <x:v>-0.07506153767228445</x:v>
      </x:c>
      <x:c r="F1614" s="81" t="n">
        <x:v>0.45268230168148876</x:v>
      </x:c>
      <x:c r="G1614" s="81" t="n">
        <x:v>0.007034025221260867</x:v>
      </x:c>
      <x:c r="H1614" s="59" t="n">
        <x:v>0</x:v>
      </x:c>
      <x:c r="I1614" s="81" t="n">
        <x:v>0</x:v>
      </x:c>
      <x:c r="J1614" s="79" t="n">
        <x:v>4.534216119435989e-44</x:v>
      </x:c>
      <x:c r="K1614" s="81" t="n">
        <x:v>-1</x:v>
      </x:c>
      <x:c r="L1614" s="81" t="n">
        <x:v>-1</x:v>
      </x:c>
      <x:c r="M1614" s="80" t="n">
        <x:v>0.000002</x:v>
      </x:c>
      <x:c r="N1614" s="82" t="n">
        <x:v>0.20394612264952744</x:v>
      </x:c>
      <x:c r="O1614" s="82" t="n">
        <x:v>0.08721273582651622</x:v>
      </x:c>
      <x:c r="P1614" s="80" t="n">
        <x:v>427.720156769876</x:v>
      </x:c>
      <x:c r="Q1614" s="81" t="n">
        <x:v>6.381289563887214e+26</x:v>
      </x:c>
      <x:c r="R1614" s="81" t="n">
        <x:v>2.284508067318091</x:v>
      </x:c>
      <x:c r="S1614" s="81" t="n">
        <x:v>7.201754010250577e-10</x:v>
      </x:c>
      <x:c r="T1614" s="81" t="n">
        <x:v>9.822102033457343e-40</x:v>
      </x:c>
    </x:row>
    <x:row r="1615">
      <x:c r="A1615" s="59" t="n">
        <x:v>1612</x:v>
      </x:c>
      <x:c r="B1615" s="193" t="n">
        <x:v>0.25775963682681324</x:v>
      </x:c>
      <x:c r="C1615" s="83" t="n">
        <x:v>1.1826824194873329</x:v>
      </x:c>
      <x:c r="D1615" s="83" t="n">
        <x:v>0.847960683649051</x:v>
      </x:c>
      <x:c r="E1615" s="81" t="n">
        <x:v>-0.02168101543266229</x:v>
      </x:c>
      <x:c r="F1615" s="81" t="n">
        <x:v>0.8149280968122184</x:v>
      </x:c>
      <x:c r="G1615" s="81" t="n">
        <x:v>-0.025408418223753438</x:v>
      </x:c>
      <x:c r="H1615" s="59" t="n">
        <x:v>0</x:v>
      </x:c>
      <x:c r="I1615" s="81" t="n">
        <x:v>0</x:v>
      </x:c>
      <x:c r="J1615" s="79" t="n">
        <x:v>3.704212379192649e-14</x:v>
      </x:c>
      <x:c r="K1615" s="81" t="n">
        <x:v>-0.9999999999576662</x:v>
      </x:c>
      <x:c r="L1615" s="81" t="n">
        <x:v>-0.9999999999576662</x:v>
      </x:c>
      <x:c r="M1615" s="80" t="n">
        <x:v>0.07356149063410315</x:v>
      </x:c>
      <x:c r="N1615" s="82" t="n">
        <x:v>0.16349692848533737</x:v>
      </x:c>
      <x:c r="O1615" s="82" t="n">
        <x:v>0.1258635078892184</x:v>
      </x:c>
      <x:c r="P1615" s="80" t="n">
        <x:v>1227.8342863260652</x:v>
      </x:c>
      <x:c r="Q1615" s="81" t="n">
        <x:v>94.51482180031358</x:v>
      </x:c>
      <x:c r="R1615" s="81" t="n">
        <x:v>6.061767239655092</x:v>
      </x:c>
      <x:c r="S1615" s="81" t="n">
        <x:v>0.000009396229312741018</x:v>
      </x:c>
      <x:c r="T1615" s="81" t="n">
        <x:v>8.024132724081906e-10</x:v>
      </x:c>
    </x:row>
    <x:row r="1616">
      <x:c r="A1616" s="59" t="n">
        <x:v>1613</x:v>
      </x:c>
      <x:c r="B1616" s="193" t="n">
        <x:v>0.22470827493816614</x:v>
      </x:c>
      <x:c r="C1616" s="83" t="n">
        <x:v>2.4898235359688763</x:v>
      </x:c>
      <x:c r="D1616" s="83" t="n">
        <x:v>1.447863811358264</x:v>
      </x:c>
      <x:c r="E1616" s="81" t="n">
        <x:v>-0.030555110034777715</x:v>
      </x:c>
      <x:c r="F1616" s="81" t="n">
        <x:v>0.7398309929645621</x:v>
      </x:c>
      <x:c r="G1616" s="81" t="n">
        <x:v>0.006916905515562656</x:v>
      </x:c>
      <x:c r="H1616" s="59" t="n">
        <x:v>53</x:v>
      </x:c>
      <x:c r="I1616" s="81" t="n">
        <x:v>0.38355155540630226</x:v>
      </x:c>
      <x:c r="J1616" s="79" t="n">
        <x:v>9.999832703716292e-28</x:v>
      </x:c>
      <x:c r="K1616" s="81" t="n">
        <x:v>-1</x:v>
      </x:c>
      <x:c r="L1616" s="81" t="n">
        <x:v>-1</x:v>
      </x:c>
      <x:c r="M1616" s="80" t="n">
        <x:v>0.000002</x:v>
      </x:c>
      <x:c r="N1616" s="82" t="n">
        <x:v>0.15562347437042634</x:v>
      </x:c>
      <x:c r="O1616" s="82" t="n">
        <x:v>0.10876234671206053</x:v>
      </x:c>
      <x:c r="P1616" s="80" t="n">
        <x:v>1791.45077716393</x:v>
      </x:c>
      <x:c r="Q1616" s="81" t="n">
        <x:v>68138008449.04947</x:v>
      </x:c>
      <x:c r="R1616" s="81" t="n">
        <x:v>2.4694531398688593</x:v>
      </x:c>
      <x:c r="S1616" s="81" t="n">
        <x:v>3.952308900361258e-10</x:v>
      </x:c>
      <x:c r="T1616" s="81" t="n">
        <x:v>2.1661820818903214e-23</x:v>
      </x:c>
    </x:row>
    <x:row r="1617">
      <x:c r="A1617" s="59" t="n">
        <x:v>1614</x:v>
      </x:c>
      <x:c r="B1617" s="193" t="n">
        <x:v>0.91168298330158</x:v>
      </x:c>
      <x:c r="C1617" s="83" t="n">
        <x:v>0.13814784590695114</x:v>
      </x:c>
      <x:c r="D1617" s="83" t="n">
        <x:v>1.087258150143623</x:v>
      </x:c>
      <x:c r="E1617" s="81" t="n">
        <x:v>0.009877580124706261</x:v>
      </x:c>
      <x:c r="F1617" s="81" t="n">
        <x:v>0.6686259247362614</x:v>
      </x:c>
      <x:c r="G1617" s="81" t="n">
        <x:v>-0.04363816135022551</x:v>
      </x:c>
      <x:c r="H1617" s="59" t="n">
        <x:v>0</x:v>
      </x:c>
      <x:c r="I1617" s="81" t="n">
        <x:v>0</x:v>
      </x:c>
      <x:c r="J1617" s="79" t="n">
        <x:v>0.00000601014320361527</x:v>
      </x:c>
      <x:c r="K1617" s="81" t="n">
        <x:v>-0.993131264910154</x:v>
      </x:c>
      <x:c r="L1617" s="81" t="n">
        <x:v>-0.993131264910154</x:v>
      </x:c>
      <x:c r="M1617" s="80" t="n">
        <x:v>492.2619251882402</x:v>
      </x:c>
      <x:c r="N1617" s="82" t="n">
        <x:v>0.3192737306783733</x:v>
      </x:c>
      <x:c r="O1617" s="82" t="n">
        <x:v>0.20165887514694947</x:v>
      </x:c>
      <x:c r="P1617" s="80" t="n">
        <x:v>1992.175925991397</x:v>
      </x:c>
      <x:c r="Q1617" s="81" t="n">
        <x:v>0.034573932337174436</x:v>
      </x:c>
      <x:c r="R1617" s="81" t="n">
        <x:v>67.24906155304197</x:v>
      </x:c>
      <x:c r="S1617" s="81" t="n">
        <x:v>0.928807217089687</x:v>
      </x:c>
      <x:c r="T1617" s="81" t="n">
        <x:v>0.13019282325021245</x:v>
      </x:c>
    </x:row>
    <x:row r="1618">
      <x:c r="A1618" s="59" t="n">
        <x:v>1615</x:v>
      </x:c>
      <x:c r="B1618" s="193" t="n">
        <x:v>0.7229712732136251</x:v>
      </x:c>
      <x:c r="C1618" s="83" t="n">
        <x:v>0.26089674719439326</x:v>
      </x:c>
      <x:c r="D1618" s="83" t="n">
        <x:v>1.7854549823354238</x:v>
      </x:c>
      <x:c r="E1618" s="81" t="n">
        <x:v>-0.01599302660703854</x:v>
      </x:c>
      <x:c r="F1618" s="81" t="n">
        <x:v>0.738793441595044</x:v>
      </x:c>
      <x:c r="G1618" s="81" t="n">
        <x:v>0.018593026277813254</x:v>
      </x:c>
      <x:c r="H1618" s="59" t="n">
        <x:v>0</x:v>
      </x:c>
      <x:c r="I1618" s="81" t="n">
        <x:v>0</x:v>
      </x:c>
      <x:c r="J1618" s="79" t="n">
        <x:v>1.916846236474884e-23</x:v>
      </x:c>
      <x:c r="K1618" s="81" t="n">
        <x:v>-1</x:v>
      </x:c>
      <x:c r="L1618" s="81" t="n">
        <x:v>-1</x:v>
      </x:c>
      <x:c r="M1618" s="80" t="n">
        <x:v>0.000002</x:v>
      </x:c>
      <x:c r="N1618" s="82" t="n">
        <x:v>0.27431906299085834</x:v>
      </x:c>
      <x:c r="O1618" s="82" t="n">
        <x:v>0.19144761569779287</x:v>
      </x:c>
      <x:c r="P1618" s="80" t="n">
        <x:v>913.5390894724578</x:v>
      </x:c>
      <x:c r="Q1618" s="81" t="n">
        <x:v>6695262.212687796</x:v>
      </x:c>
      <x:c r="R1618" s="81" t="n">
        <x:v>15.031324822577883</x:v>
      </x:c>
      <x:c r="S1618" s="81" t="n">
        <x:v>1.5520843445560244e-9</x:v>
      </x:c>
      <x:c r="T1618" s="81" t="n">
        <x:v>4.152307437751107e-19</x:v>
      </x:c>
    </x:row>
    <x:row r="1619">
      <x:c r="A1619" s="59" t="n">
        <x:v>1616</x:v>
      </x:c>
      <x:c r="B1619" s="193" t="n">
        <x:v>0.6118299247696997</x:v>
      </x:c>
      <x:c r="C1619" s="83" t="n">
        <x:v>0.4347254966536777</x:v>
      </x:c>
      <x:c r="D1619" s="83" t="n">
        <x:v>0.2919360474438006</x:v>
      </x:c>
      <x:c r="E1619" s="81" t="n">
        <x:v>0.02455280369518376</x:v>
      </x:c>
      <x:c r="F1619" s="81" t="n">
        <x:v>0.5856010822113604</x:v>
      </x:c>
      <x:c r="G1619" s="81" t="n">
        <x:v>0.02196147103532115</x:v>
      </x:c>
      <x:c r="H1619" s="59" t="n">
        <x:v>0</x:v>
      </x:c>
      <x:c r="I1619" s="81" t="n">
        <x:v>0</x:v>
      </x:c>
      <x:c r="J1619" s="79" t="n">
        <x:v>0.00003454541506523564</x:v>
      </x:c>
      <x:c r="K1619" s="81" t="n">
        <x:v>-0.9605195256397306</x:v>
      </x:c>
      <x:c r="L1619" s="81" t="n">
        <x:v>-0.9708636867701789</x:v>
      </x:c>
      <x:c r="M1619" s="80" t="n">
        <x:v>1483.512477286112</x:v>
      </x:c>
      <x:c r="N1619" s="82" t="n">
        <x:v>0.247843109891232</x:v>
      </x:c>
      <x:c r="O1619" s="82" t="n">
        <x:v>0.1371038538031561</x:v>
      </x:c>
      <x:c r="P1619" s="80" t="n">
        <x:v>1383.6592997472587</x:v>
      </x:c>
      <x:c r="Q1619" s="81" t="n">
        <x:v>0.01033435402876125</x:v>
      </x:c>
      <x:c r="R1619" s="81" t="n">
        <x:v>28.72446311150458</x:v>
      </x:c>
      <x:c r="S1619" s="81" t="n">
        <x:v>1.6512930650773996</x:v>
      </x:c>
      <x:c r="T1619" s="81" t="n">
        <x:v>0.7483291105256923</x:v>
      </x:c>
    </x:row>
    <x:row r="1620">
      <x:c r="A1620" s="59" t="n">
        <x:v>1617</x:v>
      </x:c>
      <x:c r="B1620" s="193" t="n">
        <x:v>0.27218337878584864</x:v>
      </x:c>
      <x:c r="C1620" s="83" t="n">
        <x:v>0.5752479931568584</x:v>
      </x:c>
      <x:c r="D1620" s="83" t="n">
        <x:v>0.9593277087758065</x:v>
      </x:c>
      <x:c r="E1620" s="81" t="n">
        <x:v>-0.1310048556343043</x:v>
      </x:c>
      <x:c r="F1620" s="81" t="n">
        <x:v>0.5657597925164737</x:v>
      </x:c>
      <x:c r="G1620" s="81" t="n">
        <x:v>0.006102113130268941</x:v>
      </x:c>
      <x:c r="H1620" s="59" t="n">
        <x:v>15</x:v>
      </x:c>
      <x:c r="I1620" s="81" t="n">
        <x:v>0.47714736750349407</x:v>
      </x:c>
      <x:c r="J1620" s="79" t="n">
        <x:v>4.908909964811521e-50</x:v>
      </x:c>
      <x:c r="K1620" s="81" t="n">
        <x:v>-1</x:v>
      </x:c>
      <x:c r="L1620" s="81" t="n">
        <x:v>-1</x:v>
      </x:c>
      <x:c r="M1620" s="80" t="n">
        <x:v>0.000002</x:v>
      </x:c>
      <x:c r="N1620" s="82" t="n">
        <x:v>0.16693293426514147</x:v>
      </x:c>
      <x:c r="O1620" s="82" t="n">
        <x:v>0.08921647270864894</x:v>
      </x:c>
      <x:c r="P1620" s="80" t="n">
        <x:v>222.58293938729983</x:v>
      </x:c>
      <x:c r="Q1620" s="81" t="n">
        <x:v>3.5529313077152514e+32</x:v>
      </x:c>
      <x:c r="R1620" s="81" t="n">
        <x:v>2.261599338288046</x:v>
      </x:c>
      <x:c r="S1620" s="81" t="n">
        <x:v>5.744698456363134e-10</x:v>
      </x:c>
      <x:c r="T1620" s="81" t="n">
        <x:v>1.0633770706419665e-45</x:v>
      </x:c>
    </x:row>
    <x:row r="1621">
      <x:c r="A1621" s="59" t="n">
        <x:v>1618</x:v>
      </x:c>
      <x:c r="B1621" s="193" t="n">
        <x:v>0.6691971292719245</x:v>
      </x:c>
      <x:c r="C1621" s="83" t="n">
        <x:v>0.21684917370488774</x:v>
      </x:c>
      <x:c r="D1621" s="83" t="n">
        <x:v>0.9643633747495657</x:v>
      </x:c>
      <x:c r="E1621" s="81" t="n">
        <x:v>-0.043739529091759585</x:v>
      </x:c>
      <x:c r="F1621" s="81" t="n">
        <x:v>0.8582446115789936</x:v>
      </x:c>
      <x:c r="G1621" s="81" t="n">
        <x:v>0.021868740317374437</x:v>
      </x:c>
      <x:c r="H1621" s="59" t="n">
        <x:v>0</x:v>
      </x:c>
      <x:c r="I1621" s="81" t="n">
        <x:v>0</x:v>
      </x:c>
      <x:c r="J1621" s="79" t="n">
        <x:v>4.376537183602346e-28</x:v>
      </x:c>
      <x:c r="K1621" s="81" t="n">
        <x:v>-1</x:v>
      </x:c>
      <x:c r="L1621" s="81" t="n">
        <x:v>-1</x:v>
      </x:c>
      <x:c r="M1621" s="80" t="n">
        <x:v>0.000002</x:v>
      </x:c>
      <x:c r="N1621" s="82" t="n">
        <x:v>0.2615090536387461</x:v>
      </x:c>
      <x:c r="O1621" s="82" t="n">
        <x:v>0.21201605843533924</x:v>
      </x:c>
      <x:c r="P1621" s="80" t="n">
        <x:v>361.91318066033364</x:v>
      </x:c>
      <x:c r="Q1621" s="81" t="n">
        <x:v>110149418057.34239</x:v>
      </x:c>
      <x:c r="R1621" s="81" t="n">
        <x:v>12.68916504437831</x:v>
      </x:c>
      <x:c r="S1621" s="81" t="n">
        <x:v>9.032652089263488e-10</x:v>
      </x:c>
      <x:c r="T1621" s="81" t="n">
        <x:v>9.480535033674004e-24</x:v>
      </x:c>
    </x:row>
    <x:row r="1622">
      <x:c r="A1622" s="59" t="n">
        <x:v>1619</x:v>
      </x:c>
      <x:c r="B1622" s="193" t="n">
        <x:v>0.9206071054562928</x:v>
      </x:c>
      <x:c r="C1622" s="83" t="n">
        <x:v>2.3314843028636245</x:v>
      </x:c>
      <x:c r="D1622" s="83" t="n">
        <x:v>0.43471239656534966</x:v>
      </x:c>
      <x:c r="E1622" s="81" t="n">
        <x:v>0.035173730098687794</x:v>
      </x:c>
      <x:c r="F1622" s="81" t="n">
        <x:v>0.25950504386564716</x:v>
      </x:c>
      <x:c r="G1622" s="81" t="n">
        <x:v>0.040154487456191205</x:v>
      </x:c>
      <x:c r="H1622" s="59" t="n">
        <x:v>0</x:v>
      </x:c>
      <x:c r="I1622" s="81" t="n">
        <x:v>0</x:v>
      </x:c>
      <x:c r="J1622" s="79" t="n">
        <x:v>0.004264984981098276</x:v>
      </x:c>
      <x:c r="K1622" s="81" t="n">
        <x:v>3.874268549826602</x:v>
      </x:c>
      <x:c r="L1622" s="81" t="n">
        <x:v>-0.2923715289975276</x:v>
      </x:c>
      <x:c r="M1622" s="80" t="n">
        <x:v>39840.42686374593</x:v>
      </x:c>
      <x:c r="N1622" s="82" t="n">
        <x:v>0.3213996239029165</x:v>
      </x:c>
      <x:c r="O1622" s="82" t="n">
        <x:v>0.07878836886630909</x:v>
      </x:c>
      <x:c r="P1622" s="80" t="n">
        <x:v>36432.205594723324</x:v>
      </x:c>
      <x:c r="Q1622" s="81" t="n">
        <x:v>0.005142817600010097</x:v>
      </x:c>
      <x:c r="R1622" s="81" t="n">
        <x:v>16.51910696461481</x:v>
      </x:c>
      <x:c r="S1622" s="81" t="n">
        <x:v>37.75042229446947</x:v>
      </x:c>
      <x:c r="T1622" s="81" t="n">
        <x:v>92.38888608759397</x:v>
      </x:c>
    </x:row>
    <x:row r="1623">
      <x:c r="A1623" s="59" t="n">
        <x:v>1620</x:v>
      </x:c>
      <x:c r="B1623" s="193" t="n">
        <x:v>0.27666986882686617</x:v>
      </x:c>
      <x:c r="C1623" s="83" t="n">
        <x:v>1.1778609716605464</x:v>
      </x:c>
      <x:c r="D1623" s="83" t="n">
        <x:v>0.32406131151115203</x:v>
      </x:c>
      <x:c r="E1623" s="81" t="n">
        <x:v>-0.007303699044148072</x:v>
      </x:c>
      <x:c r="F1623" s="81" t="n">
        <x:v>0.5162063770461828</x:v>
      </x:c>
      <x:c r="G1623" s="81" t="n">
        <x:v>-0.02076392631148718</x:v>
      </x:c>
      <x:c r="H1623" s="59" t="n">
        <x:v>0</x:v>
      </x:c>
      <x:c r="I1623" s="81" t="n">
        <x:v>0</x:v>
      </x:c>
      <x:c r="J1623" s="79" t="n">
        <x:v>8.097335497195666e-7</x:v>
      </x:c>
      <x:c r="K1623" s="81" t="n">
        <x:v>-0.9990745902288919</x:v>
      </x:c>
      <x:c r="L1623" s="81" t="n">
        <x:v>-0.9990745902288919</x:v>
      </x:c>
      <x:c r="M1623" s="80" t="n">
        <x:v>334.7371188992999</x:v>
      </x:c>
      <x:c r="N1623" s="82" t="n">
        <x:v>0.1680017003145999</x:v>
      </x:c>
      <x:c r="O1623" s="82" t="n">
        <x:v>0.08192340305777657</x:v>
      </x:c>
      <x:c r="P1623" s="80" t="n">
        <x:v>1371.645506552337</x:v>
      </x:c>
      <x:c r="Q1623" s="81" t="n">
        <x:v>0.03345192599461292</x:v>
      </x:c>
      <x:c r="R1623" s="81" t="n">
        <x:v>10.877098238126726</x:v>
      </x:c>
      <x:c r="S1623" s="81" t="n">
        <x:v>0.029780293682763692</x:v>
      </x:c>
      <x:c r="T1623" s="81" t="n">
        <x:v>0.01754059651274077</x:v>
      </x:c>
    </x:row>
    <x:row r="1624">
      <x:c r="A1624" s="59" t="n">
        <x:v>1621</x:v>
      </x:c>
      <x:c r="B1624" s="193" t="n">
        <x:v>0.8258043821901084</x:v>
      </x:c>
      <x:c r="C1624" s="83" t="n">
        <x:v>1.9090631835619518</x:v>
      </x:c>
      <x:c r="D1624" s="83" t="n">
        <x:v>0.8355623701449468</x:v>
      </x:c>
      <x:c r="E1624" s="81" t="n">
        <x:v>0.0914810404540269</x:v>
      </x:c>
      <x:c r="F1624" s="81" t="n">
        <x:v>0.433693675918039</x:v>
      </x:c>
      <x:c r="G1624" s="81" t="n">
        <x:v>0.005368339866043406</x:v>
      </x:c>
      <x:c r="H1624" s="59" t="n">
        <x:v>20</x:v>
      </x:c>
      <x:c r="I1624" s="81" t="n">
        <x:v>0.4931398973800242</x:v>
      </x:c>
      <x:c r="J1624" s="79" t="n">
        <x:v>0.01963586760357527</x:v>
      </x:c>
      <x:c r="K1624" s="81" t="n">
        <x:v>21.44099154694317</x:v>
      </x:c>
      <x:c r="L1624" s="81" t="n">
        <x:v>-0.8961724264414029</x:v>
      </x:c>
      <x:c r="M1624" s="80" t="n">
        <x:v>92297.18267381494</x:v>
      </x:c>
      <x:c r="N1624" s="82" t="n">
        <x:v>0.29881583766984987</x:v>
      </x:c>
      <x:c r="O1624" s="82" t="n">
        <x:v>0.12242148497231786</x:v>
      </x:c>
      <x:c r="P1624" s="80" t="n">
        <x:v>129611.32843868695</x:v>
      </x:c>
      <x:c r="Q1624" s="81" t="n">
        <x:v>0.003573305772577499</x:v>
      </x:c>
      <x:c r="R1624" s="81" t="n">
        <x:v>104.51461336319905</x:v>
      </x:c>
      <x:c r="S1624" s="81" t="n">
        <x:v>204.30570618716584</x:v>
      </x:c>
      <x:c r="T1624" s="81" t="n">
        <x:v>425.35576169617246</x:v>
      </x:c>
    </x:row>
    <x:row r="1625">
      <x:c r="A1625" s="59" t="n">
        <x:v>1622</x:v>
      </x:c>
      <x:c r="B1625" s="193" t="n">
        <x:v>0.4206352021545172</x:v>
      </x:c>
      <x:c r="C1625" s="83" t="n">
        <x:v>0.12468155746564447</x:v>
      </x:c>
      <x:c r="D1625" s="83" t="n">
        <x:v>1.4211609464196493</x:v>
      </x:c>
      <x:c r="E1625" s="81" t="n">
        <x:v>0.017455586412715628</x:v>
      </x:c>
      <x:c r="F1625" s="81" t="n">
        <x:v>0.4451072746072896</x:v>
      </x:c>
      <x:c r="G1625" s="81" t="n">
        <x:v>-0.032488841333013045</x:v>
      </x:c>
      <x:c r="H1625" s="59" t="n">
        <x:v>81</x:v>
      </x:c>
      <x:c r="I1625" s="81" t="n">
        <x:v>0.438638292066753</x:v>
      </x:c>
      <x:c r="J1625" s="79" t="n">
        <x:v>0.00021974073516765698</x:v>
      </x:c>
      <x:c r="K1625" s="81" t="n">
        <x:v>-0.7488677312369634</x:v>
      </x:c>
      <x:c r="L1625" s="81" t="n">
        <x:v>-0.9100119217697984</x:v>
      </x:c>
      <x:c r="M1625" s="80" t="n">
        <x:v>3075.0220465382417</x:v>
      </x:c>
      <x:c r="N1625" s="82" t="n">
        <x:v>0.2022969420632464</x:v>
      </x:c>
      <x:c r="O1625" s="82" t="n">
        <x:v>0.08505991650363877</x:v>
      </x:c>
      <x:c r="P1625" s="80" t="n">
        <x:v>9476.294291439024</x:v>
      </x:c>
      <x:c r="Q1625" s="81" t="n">
        <x:v>0.010356611527025722</x:v>
      </x:c>
      <x:c r="R1625" s="81" t="n">
        <x:v>228.87846161095877</x:v>
      </x:c>
      <x:c r="S1625" s="81" t="n">
        <x:v>33.88211322470289</x:v>
      </x:c>
      <x:c r="T1625" s="81" t="n">
        <x:v>4.7600640659186935</x:v>
      </x:c>
    </x:row>
    <x:row r="1626">
      <x:c r="A1626" s="59" t="n">
        <x:v>1623</x:v>
      </x:c>
      <x:c r="B1626" s="193" t="n">
        <x:v>0.6370525501668454</x:v>
      </x:c>
      <x:c r="C1626" s="83" t="n">
        <x:v>0.33939162053848715</x:v>
      </x:c>
      <x:c r="D1626" s="83" t="n">
        <x:v>1.5404700215142602</x:v>
      </x:c>
      <x:c r="E1626" s="81" t="n">
        <x:v>0.10897106666554626</x:v>
      </x:c>
      <x:c r="F1626" s="81" t="n">
        <x:v>0.8008571242797189</x:v>
      </x:c>
      <x:c r="G1626" s="81" t="n">
        <x:v>0.010538807495814918</x:v>
      </x:c>
      <x:c r="H1626" s="59" t="n">
        <x:v>0</x:v>
      </x:c>
      <x:c r="I1626" s="81" t="n">
        <x:v>0</x:v>
      </x:c>
      <x:c r="J1626" s="79" t="n">
        <x:v>0.01156705364514164</x:v>
      </x:c>
      <x:c r="K1626" s="81" t="n">
        <x:v>12.219489880161877</x:v>
      </x:c>
      <x:c r="L1626" s="81" t="n">
        <x:v>-0.825122401865724</x:v>
      </x:c>
      <x:c r="M1626" s="80" t="n">
        <x:v>43180.20538968709</x:v>
      </x:c>
      <x:c r="N1626" s="82" t="n">
        <x:v>0.2538516121850581</x:v>
      </x:c>
      <x:c r="O1626" s="82" t="n">
        <x:v>0.1920462852784252</x:v>
      </x:c>
      <x:c r="P1626" s="80" t="n">
        <x:v>94224.40806635836</x:v>
      </x:c>
      <x:c r="Q1626" s="81" t="n">
        <x:v>0.005124199239851983</x:v>
      </x:c>
      <x:c r="R1626" s="81" t="n">
        <x:v>697.5627380540113</x:v>
      </x:c>
      <x:c r="S1626" s="81" t="n">
        <x:v>659.3555513649457</x:v>
      </x:c>
      <x:c r="T1626" s="81" t="n">
        <x:v>250.56763536712094</x:v>
      </x:c>
    </x:row>
    <x:row r="1627">
      <x:c r="A1627" s="59" t="n">
        <x:v>1624</x:v>
      </x:c>
      <x:c r="B1627" s="193" t="n">
        <x:v>0.35384291838854554</x:v>
      </x:c>
      <x:c r="C1627" s="83" t="n">
        <x:v>1.3982434387556584</x:v>
      </x:c>
      <x:c r="D1627" s="83" t="n">
        <x:v>0.3758341656111205</x:v>
      </x:c>
      <x:c r="E1627" s="81" t="n">
        <x:v>0.0647188437898619</x:v>
      </x:c>
      <x:c r="F1627" s="81" t="n">
        <x:v>0.2594753947108984</x:v>
      </x:c>
      <x:c r="G1627" s="81" t="n">
        <x:v>0.010183185946192684</x:v>
      </x:c>
      <x:c r="H1627" s="59" t="n">
        <x:v>89</x:v>
      </x:c>
      <x:c r="I1627" s="81" t="n">
        <x:v>0.1930223332718015</x:v>
      </x:c>
      <x:c r="J1627" s="79" t="n">
        <x:v>0.008863514208251632</x:v>
      </x:c>
      <x:c r="K1627" s="81" t="n">
        <x:v>9.129730523716152</x:v>
      </x:c>
      <x:c r="L1627" s="81" t="n">
        <x:v>-0.6418873276036879</x:v>
      </x:c>
      <x:c r="M1627" s="80" t="n">
        <x:v>42341.530523603346</x:v>
      </x:c>
      <x:c r="N1627" s="82" t="n">
        <x:v>0.18638576771487156</x:v>
      </x:c>
      <x:c r="O1627" s="82" t="n">
        <x:v>0.04568565648983875</x:v>
      </x:c>
      <x:c r="P1627" s="80" t="n">
        <x:v>30369.292955301342</x:v>
      </x:c>
      <x:c r="Q1627" s="81" t="n">
        <x:v>0.0017743079481291452</x:v>
      </x:c>
      <x:c r="R1627" s="81" t="n">
        <x:v>48.32164248977457</x:v>
      </x:c>
      <x:c r="S1627" s="81" t="n">
        <x:v>121.180248527529</x:v>
      </x:c>
      <x:c r="T1627" s="81" t="n">
        <x:v>192.0030687449358</x:v>
      </x:c>
    </x:row>
    <x:row r="1628">
      <x:c r="A1628" s="59" t="n">
        <x:v>1625</x:v>
      </x:c>
      <x:c r="B1628" s="193" t="n">
        <x:v>0.887964795716107</x:v>
      </x:c>
      <x:c r="C1628" s="83" t="n">
        <x:v>1.7755787502877625</x:v>
      </x:c>
      <x:c r="D1628" s="83" t="n">
        <x:v>0.4459154900403035</x:v>
      </x:c>
      <x:c r="E1628" s="81" t="n">
        <x:v>-0.013252231816349429</x:v>
      </x:c>
      <x:c r="F1628" s="81" t="n">
        <x:v>0.35432339473627505</x:v>
      </x:c>
      <x:c r="G1628" s="81" t="n">
        <x:v>-0.03373574040198311</x:v>
      </x:c>
      <x:c r="H1628" s="59" t="n">
        <x:v>0</x:v>
      </x:c>
      <x:c r="I1628" s="81" t="n">
        <x:v>0</x:v>
      </x:c>
      <x:c r="J1628" s="79" t="n">
        <x:v>5.402780508644896e-8</x:v>
      </x:c>
      <x:c r="K1628" s="81" t="n">
        <x:v>-0.999938253937044</x:v>
      </x:c>
      <x:c r="L1628" s="81" t="n">
        <x:v>-0.999938253937044</x:v>
      </x:c>
      <x:c r="M1628" s="80" t="n">
        <x:v>110.64020948192544</x:v>
      </x:c>
      <x:c r="N1628" s="82" t="n">
        <x:v>0.3136236136794964</x:v>
      </x:c>
      <x:c r="O1628" s="82" t="n">
        <x:v>0.1049734630413117</x:v>
      </x:c>
      <x:c r="P1628" s="80" t="n">
        <x:v>1749.6325160720696</x:v>
      </x:c>
      <x:c r="Q1628" s="81" t="n">
        <x:v>0.14120549770161303</x:v>
      </x:c>
      <x:c r="R1628" s="81" t="n">
        <x:v>6.575460730871539</x:v>
      </x:c>
      <x:c r="S1628" s="81" t="n">
        <x:v>0.005736387970160654</x:v>
      </x:c>
      <x:c r="T1628" s="81" t="n">
        <x:v>0.0011703602127127036</x:v>
      </x:c>
    </x:row>
    <x:row r="1629">
      <x:c r="A1629" s="59" t="n">
        <x:v>1626</x:v>
      </x:c>
      <x:c r="B1629" s="193" t="n">
        <x:v>0.40712692700326447</x:v>
      </x:c>
      <x:c r="C1629" s="83" t="n">
        <x:v>1.7470531833271978</x:v>
      </x:c>
      <x:c r="D1629" s="83" t="n">
        <x:v>1.0521714432319864</x:v>
      </x:c>
      <x:c r="E1629" s="81" t="n">
        <x:v>-0.12316894820415647</x:v>
      </x:c>
      <x:c r="F1629" s="81" t="n">
        <x:v>0.774219138873741</x:v>
      </x:c>
      <x:c r="G1629" s="81" t="n">
        <x:v>-0.04205380751360832</x:v>
      </x:c>
      <x:c r="H1629" s="59" t="n">
        <x:v>0</x:v>
      </x:c>
      <x:c r="I1629" s="81" t="n">
        <x:v>0</x:v>
      </x:c>
      <x:c r="J1629" s="79" t="n">
        <x:v>1.2864180329652892e-42</x:v>
      </x:c>
      <x:c r="K1629" s="81" t="n">
        <x:v>-1</x:v>
      </x:c>
      <x:c r="L1629" s="81" t="n">
        <x:v>-1</x:v>
      </x:c>
      <x:c r="M1629" s="80" t="n">
        <x:v>0.000002</x:v>
      </x:c>
      <x:c r="N1629" s="82" t="n">
        <x:v>0.19907901764205882</x:v>
      </x:c>
      <x:c r="O1629" s="82" t="n">
        <x:v>0.14559965096178967</x:v>
      </x:c>
      <x:c r="P1629" s="80" t="n">
        <x:v>415.75460671962907</x:v>
      </x:c>
      <x:c r="Q1629" s="81" t="n">
        <x:v>1.432044577277857e+25</x:v>
      </x:c>
      <x:c r="R1629" s="81" t="n">
        <x:v>0.9836888011791576</x:v>
      </x:c>
      <x:c r="S1629" s="81" t="n">
        <x:v>1.989331329087779e-10</x:v>
      </x:c>
      <x:c r="T1629" s="81" t="n">
        <x:v>2.7866623126548877e-38</x:v>
      </x:c>
    </x:row>
    <x:row r="1630">
      <x:c r="A1630" s="59" t="n">
        <x:v>1627</x:v>
      </x:c>
      <x:c r="B1630" s="193" t="n">
        <x:v>0.5860336031764746</x:v>
      </x:c>
      <x:c r="C1630" s="83" t="n">
        <x:v>1.441092320450072</x:v>
      </x:c>
      <x:c r="D1630" s="83" t="n">
        <x:v>0.9102041383017175</x:v>
      </x:c>
      <x:c r="E1630" s="81" t="n">
        <x:v>-0.009391549066550639</x:v>
      </x:c>
      <x:c r="F1630" s="81" t="n">
        <x:v>0.45800517526222395</x:v>
      </x:c>
      <x:c r="G1630" s="81" t="n">
        <x:v>-0.03979748908755147</x:v>
      </x:c>
      <x:c r="H1630" s="59" t="n">
        <x:v>0</x:v>
      </x:c>
      <x:c r="I1630" s="81" t="n">
        <x:v>0</x:v>
      </x:c>
      <x:c r="J1630" s="79" t="n">
        <x:v>5.367595664658827e-9</x:v>
      </x:c>
      <x:c r="K1630" s="81" t="n">
        <x:v>-0.9999938656049546</x:v>
      </x:c>
      <x:c r="L1630" s="81" t="n">
        <x:v>-0.9999938656049546</x:v>
      </x:c>
      <x:c r="M1630" s="80" t="n">
        <x:v>30.775833394889712</x:v>
      </x:c>
      <x:c r="N1630" s="82" t="n">
        <x:v>0.24169794240669576</x:v>
      </x:c>
      <x:c r="O1630" s="82" t="n">
        <x:v>0.10457172700448339</x:v>
      </x:c>
      <x:c r="P1630" s="80" t="n">
        <x:v>2503.71240353696</x:v>
      </x:c>
      <x:c r="Q1630" s="81" t="n">
        <x:v>0.5987606232971964</x:v>
      </x:c>
      <x:c r="R1630" s="81" t="n">
        <x:v>7.645370105540858</x:v>
      </x:c>
      <x:c r="S1630" s="81" t="n">
        <x:v>0.0031679696474294617</x:v>
      </x:c>
      <x:c r="T1630" s="81" t="n">
        <x:v>0.00011627384073430593</x:v>
      </x:c>
    </x:row>
    <x:row r="1631">
      <x:c r="A1631" s="59" t="n">
        <x:v>1628</x:v>
      </x:c>
      <x:c r="B1631" s="193" t="n">
        <x:v>0.9801578704267742</x:v>
      </x:c>
      <x:c r="C1631" s="83" t="n">
        <x:v>1.502603252985962</x:v>
      </x:c>
      <x:c r="D1631" s="83" t="n">
        <x:v>0.950522798096846</x:v>
      </x:c>
      <x:c r="E1631" s="81" t="n">
        <x:v>-0.0019523846134234155</x:v>
      </x:c>
      <x:c r="F1631" s="81" t="n">
        <x:v>0.8202862413716503</x:v>
      </x:c>
      <x:c r="G1631" s="81" t="n">
        <x:v>-0.04270380123399672</x:v>
      </x:c>
      <x:c r="H1631" s="59" t="n">
        <x:v>0</x:v>
      </x:c>
      <x:c r="I1631" s="81" t="n">
        <x:v>0</x:v>
      </x:c>
      <x:c r="J1631" s="79" t="n">
        <x:v>2.3075983776189243e-7</x:v>
      </x:c>
      <x:c r="K1631" s="81" t="n">
        <x:v>-0.9997362744711292</x:v>
      </x:c>
      <x:c r="L1631" s="81" t="n">
        <x:v>-0.9997362744711292</x:v>
      </x:c>
      <x:c r="M1631" s="80" t="n">
        <x:v>205.71836804895798</x:v>
      </x:c>
      <x:c r="N1631" s="82" t="n">
        <x:v>0.33558573269572806</x:v>
      </x:c>
      <x:c r="O1631" s="82" t="n">
        <x:v>0.2600398205904064</x:v>
      </x:c>
      <x:c r="P1631" s="80" t="n">
        <x:v>2771.56910852098</x:v>
      </x:c>
      <x:c r="Q1631" s="81" t="n">
        <x:v>0.1872453020323365</x:v>
      </x:c>
      <x:c r="R1631" s="81" t="n">
        <x:v>7.0119801172770435</x:v>
      </x:c>
      <x:c r="S1631" s="81" t="n">
        <x:v>0.02307836845750015</x:v>
      </x:c>
      <x:c r="T1631" s="81" t="n">
        <x:v>0.004998761885225943</x:v>
      </x:c>
    </x:row>
    <x:row r="1632">
      <x:c r="A1632" s="59" t="n">
        <x:v>1629</x:v>
      </x:c>
      <x:c r="B1632" s="193" t="n">
        <x:v>0.4571579312905669</x:v>
      </x:c>
      <x:c r="C1632" s="83" t="n">
        <x:v>0.47031943567291773</x:v>
      </x:c>
      <x:c r="D1632" s="83" t="n">
        <x:v>0.6122863429803985</x:v>
      </x:c>
      <x:c r="E1632" s="81" t="n">
        <x:v>-0.09498317654282495</x:v>
      </x:c>
      <x:c r="F1632" s="81" t="n">
        <x:v>0.5244709345162846</x:v>
      </x:c>
      <x:c r="G1632" s="81" t="n">
        <x:v>-0.028752853527863328</x:v>
      </x:c>
      <x:c r="H1632" s="59" t="n">
        <x:v>0</x:v>
      </x:c>
      <x:c r="I1632" s="81" t="n">
        <x:v>0</x:v>
      </x:c>
      <x:c r="J1632" s="79" t="n">
        <x:v>3.5453607819140847e-28</x:v>
      </x:c>
      <x:c r="K1632" s="81" t="n">
        <x:v>-1</x:v>
      </x:c>
      <x:c r="L1632" s="81" t="n">
        <x:v>-1</x:v>
      </x:c>
      <x:c r="M1632" s="80" t="n">
        <x:v>0.000002</x:v>
      </x:c>
      <x:c r="N1632" s="82" t="n">
        <x:v>0.2109973409446247</x:v>
      </x:c>
      <x:c r="O1632" s="82" t="n">
        <x:v>0.10453683551796003</x:v>
      </x:c>
      <x:c r="P1632" s="80" t="n">
        <x:v>243.27636413011507</x:v>
      </x:c>
      <x:c r="Q1632" s="81" t="n">
        <x:v>65689373780.0517</x:v>
      </x:c>
      <x:c r="R1632" s="81" t="n">
        <x:v>5.424754793881359</x:v>
      </x:c>
      <x:c r="S1632" s="81" t="n">
        <x:v>2.5579517226642476e-10</x:v>
      </x:c>
      <x:c r="T1632" s="81" t="n">
        <x:v>7.680025483591169e-24</x:v>
      </x:c>
    </x:row>
    <x:row r="1633">
      <x:c r="A1633" s="59" t="n">
        <x:v>1630</x:v>
      </x:c>
      <x:c r="B1633" s="193" t="n">
        <x:v>0.7289277713745832</x:v>
      </x:c>
      <x:c r="C1633" s="83" t="n">
        <x:v>0.12191767206868392</x:v>
      </x:c>
      <x:c r="D1633" s="83" t="n">
        <x:v>0.4671217517456676</x:v>
      </x:c>
      <x:c r="E1633" s="81" t="n">
        <x:v>-0.11994220489598155</x:v>
      </x:c>
      <x:c r="F1633" s="81" t="n">
        <x:v>0.6765743936528452</x:v>
      </x:c>
      <x:c r="G1633" s="81" t="n">
        <x:v>0.008300407159597884</x:v>
      </x:c>
      <x:c r="H1633" s="59" t="n">
        <x:v>0</x:v>
      </x:c>
      <x:c r="I1633" s="81" t="n">
        <x:v>0</x:v>
      </x:c>
      <x:c r="J1633" s="79" t="n">
        <x:v>5.146380088285602e-31</x:v>
      </x:c>
      <x:c r="K1633" s="81" t="n">
        <x:v>-1</x:v>
      </x:c>
      <x:c r="L1633" s="81" t="n">
        <x:v>-1</x:v>
      </x:c>
      <x:c r="M1633" s="80" t="n">
        <x:v>0.000002</x:v>
      </x:c>
      <x:c r="N1633" s="82" t="n">
        <x:v>0.2757380125371389</x:v>
      </x:c>
      <x:c r="O1633" s="82" t="n">
        <x:v>0.1762313385178572</x:v>
      </x:c>
      <x:c r="P1633" s="80" t="n">
        <x:v>136.4228677665684</x:v>
      </x:c>
      <x:c r="Q1633" s="81" t="n">
        <x:v>36653590714613.48</x:v>
      </x:c>
      <x:c r="R1633" s="81" t="n">
        <x:v>17.9166922704926</x:v>
      </x:c>
      <x:c r="S1633" s="81" t="n">
        <x:v>4.0332100677263553e-10</x:v>
      </x:c>
      <x:c r="T1633" s="81" t="n">
        <x:v>1.1148182838797304e-26</x:v>
      </x:c>
    </x:row>
    <x:row r="1634">
      <x:c r="A1634" s="59" t="n">
        <x:v>1631</x:v>
      </x:c>
      <x:c r="B1634" s="193" t="n">
        <x:v>0.8300488274544477</x:v>
      </x:c>
      <x:c r="C1634" s="83" t="n">
        <x:v>1.8851827340211083</x:v>
      </x:c>
      <x:c r="D1634" s="83" t="n">
        <x:v>0.43935150948221074</x:v>
      </x:c>
      <x:c r="E1634" s="81" t="n">
        <x:v>-0.15684691467220518</x:v>
      </x:c>
      <x:c r="F1634" s="81" t="n">
        <x:v>0.8178793568862602</x:v>
      </x:c>
      <x:c r="G1634" s="81" t="n">
        <x:v>-0.027574433516233926</x:v>
      </x:c>
      <x:c r="H1634" s="59" t="n">
        <x:v>0</x:v>
      </x:c>
      <x:c r="I1634" s="81" t="n">
        <x:v>0</x:v>
      </x:c>
      <x:c r="J1634" s="79" t="n">
        <x:v>3.7172074695204986e-31</x:v>
      </x:c>
      <x:c r="K1634" s="81" t="n">
        <x:v>-1</x:v>
      </x:c>
      <x:c r="L1634" s="81" t="n">
        <x:v>-1</x:v>
      </x:c>
      <x:c r="M1634" s="80" t="n">
        <x:v>0.000002</x:v>
      </x:c>
      <x:c r="N1634" s="82" t="n">
        <x:v>0.2998269441151644</x:v>
      </x:c>
      <x:c r="O1634" s="82" t="n">
        <x:v>0.23164922258603263</x:v>
      </x:c>
      <x:c r="P1634" s="80" t="n">
        <x:v>298.0381411894351</x:v>
      </x:c>
      <x:c r="Q1634" s="81" t="n">
        <x:v>40084633064697.35</x:v>
      </x:c>
      <x:c r="R1634" s="81" t="n">
        <x:v>1.3024645465889624</x:v>
      </x:c>
      <x:c r="S1634" s="81" t="n">
        <x:v>9.49282311625607e-11</x:v>
      </x:c>
      <x:c r="T1634" s="81" t="n">
        <x:v>8.05228292684507e-27</x:v>
      </x:c>
    </x:row>
    <x:row r="1635">
      <x:c r="A1635" s="59" t="n">
        <x:v>1632</x:v>
      </x:c>
      <x:c r="B1635" s="193" t="n">
        <x:v>0.8957271888852121</x:v>
      </x:c>
      <x:c r="C1635" s="83" t="n">
        <x:v>1.706454483898726</x:v>
      </x:c>
      <x:c r="D1635" s="83" t="n">
        <x:v>0.23195661829588288</x:v>
      </x:c>
      <x:c r="E1635" s="81" t="n">
        <x:v>0.003314405078576223</x:v>
      </x:c>
      <x:c r="F1635" s="81" t="n">
        <x:v>0.2883800754090771</x:v>
      </x:c>
      <x:c r="G1635" s="81" t="n">
        <x:v>-0.01423814835178426</x:v>
      </x:c>
      <x:c r="H1635" s="59" t="n">
        <x:v>44</x:v>
      </x:c>
      <x:c r="I1635" s="81" t="n">
        <x:v>0.41968837203457954</x:v>
      </x:c>
      <x:c r="J1635" s="79" t="n">
        <x:v>0.000009572200366410037</x:v>
      </x:c>
      <x:c r="K1635" s="81" t="n">
        <x:v>-0.9890603424383885</x:v>
      </x:c>
      <x:c r="L1635" s="81" t="n">
        <x:v>-0.9890603424383885</x:v>
      </x:c>
      <x:c r="M1635" s="80" t="n">
        <x:v>1429.2666915013629</x:v>
      </x:c>
      <x:c r="N1635" s="82" t="n">
        <x:v>0.31547276127724916</x:v>
      </x:c>
      <x:c r="O1635" s="82" t="n">
        <x:v>0.08594053639911949</x:v>
      </x:c>
      <x:c r="P1635" s="80" t="n">
        <x:v>1777.1977946227087</x:v>
      </x:c>
      <x:c r="Q1635" s="81" t="n">
        <x:v>0.013611438085342301</x:v>
      </x:c>
      <x:c r="R1635" s="81" t="n">
        <x:v>9.069049054424944</x:v>
      </x:c>
      <x:c r="S1635" s="81" t="n">
        <x:v>0.14965214757266865</x:v>
      </x:c>
      <x:c r="T1635" s="81" t="n">
        <x:v>0.20735475814785864</x:v>
      </x:c>
    </x:row>
    <x:row r="1636">
      <x:c r="A1636" s="59" t="n">
        <x:v>1633</x:v>
      </x:c>
      <x:c r="B1636" s="193" t="n">
        <x:v>0.22853008471429348</x:v>
      </x:c>
      <x:c r="C1636" s="83" t="n">
        <x:v>2.8739589683259394</x:v>
      </x:c>
      <x:c r="D1636" s="83" t="n">
        <x:v>0.5483191918500425</x:v>
      </x:c>
      <x:c r="E1636" s="81" t="n">
        <x:v>0.04286415327873955</x:v>
      </x:c>
      <x:c r="F1636" s="81" t="n">
        <x:v>0.29488237139303236</x:v>
      </x:c>
      <x:c r="G1636" s="81" t="n">
        <x:v>0.03420374687831313</x:v>
      </x:c>
      <x:c r="H1636" s="59" t="n">
        <x:v>0</x:v>
      </x:c>
      <x:c r="I1636" s="81" t="n">
        <x:v>0</x:v>
      </x:c>
      <x:c r="J1636" s="79" t="n">
        <x:v>0.04102209820532514</x:v>
      </x:c>
      <x:c r="K1636" s="81" t="n">
        <x:v>45.88239794894302</x:v>
      </x:c>
      <x:c r="L1636" s="81" t="n">
        <x:v>0</x:v>
      </x:c>
      <x:c r="M1636" s="80" t="n">
        <x:v>148668.7530614442</x:v>
      </x:c>
      <x:c r="N1636" s="82" t="n">
        <x:v>0.15653390111803314</x:v>
      </x:c>
      <x:c r="O1636" s="82" t="n">
        <x:v>0.04360418374550044</x:v>
      </x:c>
      <x:c r="P1636" s="80" t="n">
        <x:v>156022.1663254627</x:v>
      </x:c>
      <x:c r="Q1636" s="81" t="n">
        <x:v>0.002700923227483787</x:v>
      </x:c>
      <x:c r="R1636" s="81" t="n">
        <x:v>28.9314221487005</x:v>
      </x:c>
      <x:c r="S1636" s="81" t="n">
        <x:v>279.4095902319618</x:v>
      </x:c>
      <x:c r="T1636" s="81" t="n">
        <x:v>888.6282073588732</x:v>
      </x:c>
    </x:row>
    <x:row r="1637">
      <x:c r="A1637" s="59" t="n">
        <x:v>1634</x:v>
      </x:c>
      <x:c r="B1637" s="193" t="n">
        <x:v>0.4037767130881548</x:v>
      </x:c>
      <x:c r="C1637" s="83" t="n">
        <x:v>0.48157246426532546</x:v>
      </x:c>
      <x:c r="D1637" s="83" t="n">
        <x:v>1.837490988204454</x:v>
      </x:c>
      <x:c r="E1637" s="81" t="n">
        <x:v>0.06537203560386473</x:v>
      </x:c>
      <x:c r="F1637" s="81" t="n">
        <x:v>0.5934336601640098</x:v>
      </x:c>
      <x:c r="G1637" s="81" t="n">
        <x:v>0.0167060851892936</x:v>
      </x:c>
      <x:c r="H1637" s="59" t="n">
        <x:v>0</x:v>
      </x:c>
      <x:c r="I1637" s="81" t="n">
        <x:v>0</x:v>
      </x:c>
      <x:c r="J1637" s="79" t="n">
        <x:v>0.022501414048672126</x:v>
      </x:c>
      <x:c r="K1637" s="81" t="n">
        <x:v>24.715901769911003</x:v>
      </x:c>
      <x:c r="L1637" s="81" t="n">
        <x:v>-0.7621640200365772</x:v>
      </x:c>
      <x:c r="M1637" s="80" t="n">
        <x:v>59198.856039498525</x:v>
      </x:c>
      <x:c r="N1637" s="82" t="n">
        <x:v>0.19828093387096907</x:v>
      </x:c>
      <x:c r="O1637" s="82" t="n">
        <x:v>0.11115373841870764</x:v>
      </x:c>
      <x:c r="P1637" s="80" t="n">
        <x:v>165684.7239370913</x:v>
      </x:c>
      <x:c r="Q1637" s="81" t="n">
        <x:v>0.004619735395219067</x:v>
      </x:c>
      <x:c r="R1637" s="81" t="n">
        <x:v>790.6995948535263</x:v>
      </x:c>
      <x:c r="S1637" s="81" t="n">
        <x:v>908.728096535393</x:v>
      </x:c>
      <x:c r="T1637" s="81" t="n">
        <x:v>487.4297538129253</x:v>
      </x:c>
    </x:row>
    <x:row r="1638">
      <x:c r="A1638" s="59" t="n">
        <x:v>1635</x:v>
      </x:c>
      <x:c r="B1638" s="193" t="n">
        <x:v>0.5401218364015221</x:v>
      </x:c>
      <x:c r="C1638" s="83" t="n">
        <x:v>0.1189000975807581</x:v>
      </x:c>
      <x:c r="D1638" s="83" t="n">
        <x:v>0.6425633791061066</x:v>
      </x:c>
      <x:c r="E1638" s="81" t="n">
        <x:v>-0.08668984663786976</x:v>
      </x:c>
      <x:c r="F1638" s="81" t="n">
        <x:v>0.8552956680650823</x:v>
      </x:c>
      <x:c r="G1638" s="81" t="n">
        <x:v>0.0397936589332239</x:v>
      </x:c>
      <x:c r="H1638" s="59" t="n">
        <x:v>0</x:v>
      </x:c>
      <x:c r="I1638" s="81" t="n">
        <x:v>0</x:v>
      </x:c>
      <x:c r="J1638" s="79" t="n">
        <x:v>1.8375744363744363e-34</x:v>
      </x:c>
      <x:c r="K1638" s="81" t="n">
        <x:v>-1</x:v>
      </x:c>
      <x:c r="L1638" s="81" t="n">
        <x:v>-1</x:v>
      </x:c>
      <x:c r="M1638" s="80" t="n">
        <x:v>0.000002</x:v>
      </x:c>
      <x:c r="N1638" s="82" t="n">
        <x:v>0.23076089871527503</x:v>
      </x:c>
      <x:c r="O1638" s="82" t="n">
        <x:v>0.1864444396698819</x:v>
      </x:c>
      <x:c r="P1638" s="80" t="n">
        <x:v>185.61529962278382</x:v>
      </x:c>
      <x:c r="Q1638" s="81" t="n">
        <x:v>137812063386598910</x:v>
      </x:c>
      <x:c r="R1638" s="81" t="n">
        <x:v>18.250885381100723</x:v>
      </x:c>
      <x:c r="S1638" s="81" t="n">
        <x:v>8.08759263029266e-10</x:v>
      </x:c>
      <x:c r="T1638" s="81" t="n">
        <x:v>3.9805874119621095e-30</x:v>
      </x:c>
    </x:row>
    <x:row r="1639">
      <x:c r="A1639" s="59" t="n">
        <x:v>1636</x:v>
      </x:c>
      <x:c r="B1639" s="193" t="n">
        <x:v>0.27961589805781845</x:v>
      </x:c>
      <x:c r="C1639" s="83" t="n">
        <x:v>1.658957292541541</x:v>
      </x:c>
      <x:c r="D1639" s="83" t="n">
        <x:v>0.9299588991847494</x:v>
      </x:c>
      <x:c r="E1639" s="81" t="n">
        <x:v>-0.024827533941415965</x:v>
      </x:c>
      <x:c r="F1639" s="81" t="n">
        <x:v>0.8515897710109129</x:v>
      </x:c>
      <x:c r="G1639" s="81" t="n">
        <x:v>0.002204526660673524</x:v>
      </x:c>
      <x:c r="H1639" s="59" t="n">
        <x:v>0</x:v>
      </x:c>
      <x:c r="I1639" s="81" t="n">
        <x:v>0</x:v>
      </x:c>
      <x:c r="J1639" s="79" t="n">
        <x:v>1.3538730142253211e-18</x:v>
      </x:c>
      <x:c r="K1639" s="81" t="n">
        <x:v>-0.9999999999999984</x:v>
      </x:c>
      <x:c r="L1639" s="81" t="n">
        <x:v>-0.9999999999999984</x:v>
      </x:c>
      <x:c r="M1639" s="80" t="n">
        <x:v>0.0005498380387210763</x:v>
      </x:c>
      <x:c r="N1639" s="82" t="n">
        <x:v>0.16870349971546078</x:v>
      </x:c>
      <x:c r="O1639" s="82" t="n">
        <x:v>0.1357142559661552</x:v>
      </x:c>
      <x:c r="P1639" s="80" t="n">
        <x:v>1427.8546884983152</x:v>
      </x:c>
      <x:c r="Q1639" s="81" t="n">
        <x:v>16933.181551628666</x:v>
      </x:c>
      <x:c r="R1639" s="81" t="n">
        <x:v>4.211550493360875</x:v>
      </x:c>
      <x:c r="S1639" s="81" t="n">
        <x:v>9.057864569652183e-8</x:v>
      </x:c>
      <x:c r="T1639" s="81" t="n">
        <x:v>2.932784528964992e-14</x:v>
      </x:c>
    </x:row>
    <x:row r="1640">
      <x:c r="A1640" s="59" t="n">
        <x:v>1637</x:v>
      </x:c>
      <x:c r="B1640" s="193" t="n">
        <x:v>0.48777386937290435</x:v>
      </x:c>
      <x:c r="C1640" s="83" t="n">
        <x:v>0.8320279712960369</x:v>
      </x:c>
      <x:c r="D1640" s="83" t="n">
        <x:v>1.770043131379997</x:v>
      </x:c>
      <x:c r="E1640" s="81" t="n">
        <x:v>-0.2</x:v>
      </x:c>
      <x:c r="F1640" s="81" t="n">
        <x:v>0.8808993739192374</x:v>
      </x:c>
      <x:c r="G1640" s="81" t="n">
        <x:v>-0.016043772070417187</x:v>
      </x:c>
      <x:c r="H1640" s="59" t="n">
        <x:v>40</x:v>
      </x:c>
      <x:c r="I1640" s="81" t="n">
        <x:v>0.24036994185298682</x:v>
      </x:c>
      <x:c r="J1640" s="79" t="n">
        <x:v>7.788081817425199e-92</x:v>
      </x:c>
      <x:c r="K1640" s="81" t="n">
        <x:v>-1</x:v>
      </x:c>
      <x:c r="L1640" s="81" t="n">
        <x:v>-1</x:v>
      </x:c>
      <x:c r="M1640" s="80" t="n">
        <x:v>0.000002</x:v>
      </x:c>
      <x:c r="N1640" s="82" t="n">
        <x:v>0.21829063144467645</x:v>
      </x:c>
      <x:c r="O1640" s="82" t="n">
        <x:v>0.18164871932500012</x:v>
      </x:c>
      <x:c r="P1640" s="80" t="n">
        <x:v>234.02356349030785</x:v>
      </x:c>
      <x:c r="Q1640" s="81" t="n">
        <x:v>1.5563796587359798e+74</x:v>
      </x:c>
      <x:c r="R1640" s="81" t="n">
        <x:v>0.7079810223753906</x:v>
      </x:c>
      <x:c r="S1640" s="81" t="n">
        <x:v>6.951755653670962e-10</x:v>
      </x:c>
      <x:c r="T1640" s="81" t="n">
        <x:v>1.687068552550148e-87</x:v>
      </x:c>
    </x:row>
    <x:row r="1641">
      <x:c r="A1641" s="59" t="n">
        <x:v>1638</x:v>
      </x:c>
      <x:c r="B1641" s="193" t="n">
        <x:v>0.3266509002074599</x:v>
      </x:c>
      <x:c r="C1641" s="83" t="n">
        <x:v>0.2692438531472023</x:v>
      </x:c>
      <x:c r="D1641" s="83" t="n">
        <x:v>0.5072381636021653</x:v>
      </x:c>
      <x:c r="E1641" s="81" t="n">
        <x:v>-0.059896087141756746</x:v>
      </x:c>
      <x:c r="F1641" s="81" t="n">
        <x:v>0.2616693604271859</x:v>
      </x:c>
      <x:c r="G1641" s="81" t="n">
        <x:v>0.033738762983869255</x:v>
      </x:c>
      <x:c r="H1641" s="59" t="n">
        <x:v>0</x:v>
      </x:c>
      <x:c r="I1641" s="81" t="n">
        <x:v>0</x:v>
      </x:c>
      <x:c r="J1641" s="79" t="n">
        <x:v>8.643193154289316e-25</x:v>
      </x:c>
      <x:c r="K1641" s="81" t="n">
        <x:v>-1</x:v>
      </x:c>
      <x:c r="L1641" s="81" t="n">
        <x:v>-1</x:v>
      </x:c>
      <x:c r="M1641" s="80" t="n">
        <x:v>0.000002</x:v>
      </x:c>
      <x:c r="N1641" s="82" t="n">
        <x:v>0.17990811913379587</x:v>
      </x:c>
      <x:c r="O1641" s="82" t="n">
        <x:v>0.0444707627038187</x:v>
      </x:c>
      <x:c r="P1641" s="80" t="n">
        <x:v>313.17633846654707</x:v>
      </x:c>
      <x:c r="Q1641" s="81" t="n">
        <x:v>41360465.63678269</x:v>
      </x:c>
      <x:c r="R1641" s="81" t="n">
        <x:v>17.19560579237626</x:v>
      </x:c>
      <x:c r="S1641" s="81" t="n">
        <x:v>5.242064731423361e-10</x:v>
      </x:c>
      <x:c r="T1641" s="81" t="n">
        <x:v>1.8723043370696166e-20</x:v>
      </x:c>
    </x:row>
    <x:row r="1642">
      <x:c r="A1642" s="59" t="n">
        <x:v>1639</x:v>
      </x:c>
      <x:c r="B1642" s="193" t="n">
        <x:v>0.41245958860963583</x:v>
      </x:c>
      <x:c r="C1642" s="83" t="n">
        <x:v>0.853010398238985</x:v>
      </x:c>
      <x:c r="D1642" s="83" t="n">
        <x:v>0.8865932956816067</x:v>
      </x:c>
      <x:c r="E1642" s="81" t="n">
        <x:v>-0.07273732537346896</x:v>
      </x:c>
      <x:c r="F1642" s="81" t="n">
        <x:v>0.609741275361739</x:v>
      </x:c>
      <x:c r="G1642" s="81" t="n">
        <x:v>0.00936033027408449</x:v>
      </x:c>
      <x:c r="H1642" s="59" t="n">
        <x:v>0</x:v>
      </x:c>
      <x:c r="I1642" s="81" t="n">
        <x:v>0</x:v>
      </x:c>
      <x:c r="J1642" s="79" t="n">
        <x:v>9.755331268439446e-34</x:v>
      </x:c>
      <x:c r="K1642" s="81" t="n">
        <x:v>-1</x:v>
      </x:c>
      <x:c r="L1642" s="81" t="n">
        <x:v>-1</x:v>
      </x:c>
      <x:c r="M1642" s="80" t="n">
        <x:v>0.000002</x:v>
      </x:c>
      <x:c r="N1642" s="82" t="n">
        <x:v>0.20034935762410178</x:v>
      </x:c>
      <x:c r="O1642" s="82" t="n">
        <x:v>0.11539964982275266</x:v>
      </x:c>
      <x:c r="P1642" s="80" t="n">
        <x:v>411.25548161016775</x:v>
      </x:c>
      <x:c r="Q1642" s="81" t="n">
        <x:v>30541393168931140</x:v>
      </x:c>
      <x:c r="R1642" s="81" t="n">
        <x:v>3.0629831516109305</x:v>
      </x:c>
      <x:c r="S1642" s="81" t="n">
        <x:v>4.694397388758064e-10</x:v>
      </x:c>
      <x:c r="T1642" s="81" t="n">
        <x:v>2.113217733007131e-29</x:v>
      </x:c>
    </x:row>
    <x:row r="1643">
      <x:c r="A1643" s="59" t="n">
        <x:v>1640</x:v>
      </x:c>
      <x:c r="B1643" s="193" t="n">
        <x:v>0.6247345609590411</x:v>
      </x:c>
      <x:c r="C1643" s="83" t="n">
        <x:v>1.2930604240232006</x:v>
      </x:c>
      <x:c r="D1643" s="83" t="n">
        <x:v>0.4863044461266168</x:v>
      </x:c>
      <x:c r="E1643" s="81" t="n">
        <x:v>0.16318095605880864</x:v>
      </x:c>
      <x:c r="F1643" s="81" t="n">
        <x:v>0.3375324455439113</x:v>
      </x:c>
      <x:c r="G1643" s="81" t="n">
        <x:v>0.01108652311687574</x:v>
      </x:c>
      <x:c r="H1643" s="59" t="n">
        <x:v>85</x:v>
      </x:c>
      <x:c r="I1643" s="81" t="n">
        <x:v>0.11813455913215876</x:v>
      </x:c>
      <x:c r="J1643" s="79" t="n">
        <x:v>0.03559195232705764</x:v>
      </x:c>
      <x:c r="K1643" s="81" t="n">
        <x:v>39.67651694520874</x:v>
      </x:c>
      <x:c r="L1643" s="81" t="n">
        <x:v>-0.8300438701357756</x:v>
      </x:c>
      <x:c r="M1643" s="80" t="n">
        <x:v>99871.94301259976</x:v>
      </x:c>
      <x:c r="N1643" s="82" t="n">
        <x:v>0.25091723619346173</x:v>
      </x:c>
      <x:c r="O1643" s="82" t="n">
        <x:v>0.08000496933760874</x:v>
      </x:c>
      <x:c r="P1643" s="80" t="n">
        <x:v>86644.73227446982</x:v>
      </x:c>
      <x:c r="Q1643" s="81" t="n">
        <x:v>0.0013681191217622007</x:v>
      </x:c>
      <x:c r="R1643" s="81" t="n">
        <x:v>370.9480649000604</x:v>
      </x:c>
      <x:c r="S1643" s="81" t="n">
        <x:v>523.1065248204999</x:v>
      </x:c>
      <x:c r="T1643" s="81" t="n">
        <x:v>770.9993924369775</x:v>
      </x:c>
    </x:row>
    <x:row r="1644">
      <x:c r="A1644" s="59" t="n">
        <x:v>1641</x:v>
      </x:c>
      <x:c r="B1644" s="193" t="n">
        <x:v>0.4957125471904874</x:v>
      </x:c>
      <x:c r="C1644" s="83" t="n">
        <x:v>0.9780115238677513</x:v>
      </x:c>
      <x:c r="D1644" s="83" t="n">
        <x:v>1.0417953070494328</x:v>
      </x:c>
      <x:c r="E1644" s="81" t="n">
        <x:v>-0.057445444138296636</x:v>
      </x:c>
      <x:c r="F1644" s="81" t="n">
        <x:v>0.7489160938304849</x:v>
      </x:c>
      <x:c r="G1644" s="81" t="n">
        <x:v>-0.03832587583442577</x:v>
      </x:c>
      <x:c r="H1644" s="59" t="n">
        <x:v>0</x:v>
      </x:c>
      <x:c r="I1644" s="81" t="n">
        <x:v>0</x:v>
      </x:c>
      <x:c r="J1644" s="79" t="n">
        <x:v>6.365130090281136e-28</x:v>
      </x:c>
      <x:c r="K1644" s="81" t="n">
        <x:v>-1</x:v>
      </x:c>
      <x:c r="L1644" s="81" t="n">
        <x:v>-1</x:v>
      </x:c>
      <x:c r="M1644" s="80" t="n">
        <x:v>0.000002</x:v>
      </x:c>
      <x:c r="N1644" s="82" t="n">
        <x:v>0.22018177335103398</x:v>
      </x:c>
      <x:c r="O1644" s="82" t="n">
        <x:v>0.15577059203678312</x:v>
      </x:c>
      <x:c r="P1644" s="80" t="n">
        <x:v>538.1012657134632</x:v>
      </x:c>
      <x:c r="Q1644" s="81" t="n">
        <x:v>58423812764.08578</x:v>
      </x:c>
      <x:c r="R1644" s="81" t="n">
        <x:v>2.9748746612744887</x:v>
      </x:c>
      <x:c r="S1644" s="81" t="n">
        <x:v>2.8679011264369154e-10</x:v>
      </x:c>
      <x:c r="T1644" s="81" t="n">
        <x:v>1.378826142295741e-23</x:v>
      </x:c>
    </x:row>
    <x:row r="1645">
      <x:c r="A1645" s="59" t="n">
        <x:v>1642</x:v>
      </x:c>
      <x:c r="B1645" s="193" t="n">
        <x:v>0.9018958751112223</x:v>
      </x:c>
      <x:c r="C1645" s="83" t="n">
        <x:v>0.4684650212626478</x:v>
      </x:c>
      <x:c r="D1645" s="83" t="n">
        <x:v>0.7912387760531634</x:v>
      </x:c>
      <x:c r="E1645" s="81" t="n">
        <x:v>0.05613732990856596</x:v>
      </x:c>
      <x:c r="F1645" s="81" t="n">
        <x:v>0.6703040265478194</x:v>
      </x:c>
      <x:c r="G1645" s="81" t="n">
        <x:v>0.03208072692683536</x:v>
      </x:c>
      <x:c r="H1645" s="59" t="n">
        <x:v>0</x:v>
      </x:c>
      <x:c r="I1645" s="81" t="n">
        <x:v>0</x:v>
      </x:c>
      <x:c r="J1645" s="79" t="n">
        <x:v>0.0010589061646916443</x:v>
      </x:c>
      <x:c r="K1645" s="81" t="n">
        <x:v>0.2101784739333079</x:v>
      </x:c>
      <x:c r="L1645" s="81" t="n">
        <x:v>-0.8003424434003077</x:v>
      </x:c>
      <x:c r="M1645" s="80" t="n">
        <x:v>9993.63780944066</x:v>
      </x:c>
      <x:c r="N1645" s="82" t="n">
        <x:v>0.31694225799915154</x:v>
      </x:c>
      <x:c r="O1645" s="82" t="n">
        <x:v>0.20068869907023712</x:v>
      </x:c>
      <x:c r="P1645" s="80" t="n">
        <x:v>15689.086444471264</x:v>
      </x:c>
      <x:c r="Q1645" s="81" t="n">
        <x:v>0.00835641479038625</x:v>
      </x:c>
      <x:c r="R1645" s="81" t="n">
        <x:v>69.33080376303003</x:v>
      </x:c>
      <x:c r="S1645" s="81" t="n">
        <x:v>45.59158139570064</x:v>
      </x:c>
      <x:c r="T1645" s="81" t="n">
        <x:v>22.938219351467655</x:v>
      </x:c>
    </x:row>
    <x:row r="1646">
      <x:c r="A1646" s="59" t="n">
        <x:v>1643</x:v>
      </x:c>
      <x:c r="B1646" s="193" t="n">
        <x:v>0.6050230106338859</x:v>
      </x:c>
      <x:c r="C1646" s="83" t="n">
        <x:v>2.85637570428897</x:v>
      </x:c>
      <x:c r="D1646" s="83" t="n">
        <x:v>0.3953083785404239</x:v>
      </x:c>
      <x:c r="E1646" s="81" t="n">
        <x:v>-0.06220321978246851</x:v>
      </x:c>
      <x:c r="F1646" s="81" t="n">
        <x:v>0.5290124820196069</x:v>
      </x:c>
      <x:c r="G1646" s="81" t="n">
        <x:v>0.00559155134175909</x:v>
      </x:c>
      <x:c r="H1646" s="59" t="n">
        <x:v>0</x:v>
      </x:c>
      <x:c r="I1646" s="81" t="n">
        <x:v>0</x:v>
      </x:c>
      <x:c r="J1646" s="79" t="n">
        <x:v>1.142169511649436e-19</x:v>
      </x:c>
      <x:c r="K1646" s="81" t="n">
        <x:v>-0.9999999999999999</x:v>
      </x:c>
      <x:c r="L1646" s="81" t="n">
        <x:v>-0.9999999999999999</x:v>
      </x:c>
      <x:c r="M1646" s="80" t="n">
        <x:v>0.00023244460837265973</x:v>
      </x:c>
      <x:c r="N1646" s="82" t="n">
        <x:v>0.24622157531444114</x:v>
      </x:c>
      <x:c r="O1646" s="82" t="n">
        <x:v>0.12304471558229854</x:v>
      </x:c>
      <x:c r="P1646" s="80" t="n">
        <x:v>889.7670770571232</x:v>
      </x:c>
      <x:c r="Q1646" s="81" t="n">
        <x:v>35103.33806023307</x:v>
      </x:c>
      <x:c r="R1646" s="81" t="n">
        <x:v>2.3307533690711133</x:v>
      </x:c>
      <x:c r="S1646" s="81" t="n">
        <x:v>1.1750930532579302e-8</x:v>
      </x:c>
      <x:c r="T1646" s="81" t="n">
        <x:v>2.4741885228709338e-15</x:v>
      </x:c>
    </x:row>
    <x:row r="1647">
      <x:c r="A1647" s="59" t="n">
        <x:v>1644</x:v>
      </x:c>
      <x:c r="B1647" s="193" t="n">
        <x:v>0.7367905585095287</x:v>
      </x:c>
      <x:c r="C1647" s="83" t="n">
        <x:v>0.10549617341609355</x:v>
      </x:c>
      <x:c r="D1647" s="83" t="n">
        <x:v>1.9248502365653217</x:v>
      </x:c>
      <x:c r="E1647" s="81" t="n">
        <x:v>0.1653522082559966</x:v>
      </x:c>
      <x:c r="F1647" s="81" t="n">
        <x:v>0.6674431000603362</x:v>
      </x:c>
      <x:c r="G1647" s="81" t="n">
        <x:v>0.018203633663757053</x:v>
      </x:c>
      <x:c r="H1647" s="59" t="n">
        <x:v>69</x:v>
      </x:c>
      <x:c r="I1647" s="81" t="n">
        <x:v>0.1349906288087368</x:v>
      </x:c>
      <x:c r="J1647" s="79" t="n">
        <x:v>0.04747528940632025</x:v>
      </x:c>
      <x:c r="K1647" s="81" t="n">
        <x:v>53.25747360722315</x:v>
      </x:c>
      <x:c r="L1647" s="81" t="n">
        <x:v>-0.9455026055867402</x:v>
      </x:c>
      <x:c r="M1647" s="80" t="n">
        <x:v>100584.54244399916</x:v>
      </x:c>
      <x:c r="N1647" s="82" t="n">
        <x:v>0.27761107585994177</x:v>
      </x:c>
      <x:c r="O1647" s="82" t="n">
        <x:v>0.1750338231000058</x:v>
      </x:c>
      <x:c r="P1647" s="80" t="n">
        <x:v>225310.5452470789</x:v>
      </x:c>
      <x:c r="Q1647" s="81" t="n">
        <x:v>0.003813013516356733</x:v>
      </x:c>
      <x:c r="R1647" s="81" t="n">
        <x:v>5022.769475676527</x:v>
      </x:c>
      <x:c r="S1647" s="81" t="n">
        <x:v>8459.441867534908</x:v>
      </x:c>
      <x:c r="T1647" s="81" t="n">
        <x:v>1028.4184175032178</x:v>
      </x:c>
    </x:row>
    <x:row r="1648">
      <x:c r="A1648" s="59" t="n">
        <x:v>1645</x:v>
      </x:c>
      <x:c r="B1648" s="193" t="n">
        <x:v>0.7070268549025058</x:v>
      </x:c>
      <x:c r="C1648" s="83" t="n">
        <x:v>2.697667735137946</x:v>
      </x:c>
      <x:c r="D1648" s="83" t="n">
        <x:v>0.6052070781153479</x:v>
      </x:c>
      <x:c r="E1648" s="81" t="n">
        <x:v>0.045514980636880364</x:v>
      </x:c>
      <x:c r="F1648" s="81" t="n">
        <x:v>0.8811253624036909</x:v>
      </x:c>
      <x:c r="G1648" s="81" t="n">
        <x:v>-0.014172981866902266</x:v>
      </x:c>
      <x:c r="H1648" s="59" t="n">
        <x:v>0</x:v>
      </x:c>
      <x:c r="I1648" s="81" t="n">
        <x:v>0</x:v>
      </x:c>
      <x:c r="J1648" s="79" t="n">
        <x:v>0.0006444599640676632</x:v>
      </x:c>
      <x:c r="K1648" s="81" t="n">
        <x:v>-0.2634743267798134</x:v>
      </x:c>
      <x:c r="L1648" s="81" t="n">
        <x:v>-0.7213729140433203</x:v>
      </x:c>
      <x:c r="M1648" s="80" t="n">
        <x:v>17630.75915588814</x:v>
      </x:c>
      <x:c r="N1648" s="82" t="n">
        <x:v>0.27052080359130626</x:v>
      </x:c>
      <x:c r="O1648" s="82" t="n">
        <x:v>0.22516937009152835</x:v>
      </x:c>
      <x:c r="P1648" s="80" t="n">
        <x:v>22368.974951337324</x:v>
      </x:c>
      <x:c r="Q1648" s="81" t="n">
        <x:v>0.010801928792394413</x:v>
      </x:c>
      <x:c r="R1648" s="81" t="n">
        <x:v>15.759314427165597</x:v>
      </x:c>
      <x:c r="S1648" s="81" t="n">
        <x:v>5.543332191350565</x:v>
      </x:c>
      <x:c r="T1648" s="81" t="n">
        <x:v>13.9604098190587</x:v>
      </x:c>
    </x:row>
    <x:row r="1649">
      <x:c r="A1649" s="59" t="n">
        <x:v>1646</x:v>
      </x:c>
      <x:c r="B1649" s="193" t="n">
        <x:v>0.8674254817888141</x:v>
      </x:c>
      <x:c r="C1649" s="83" t="n">
        <x:v>0.26268136190554503</x:v>
      </x:c>
      <x:c r="D1649" s="83" t="n">
        <x:v>0.7983023635813881</x:v>
      </x:c>
      <x:c r="E1649" s="81" t="n">
        <x:v>-0.04789956390266781</x:v>
      </x:c>
      <x:c r="F1649" s="81" t="n">
        <x:v>0.4780678210780025</x:v>
      </x:c>
      <x:c r="G1649" s="81" t="n">
        <x:v>0.018479829934802985</x:v>
      </x:c>
      <x:c r="H1649" s="59" t="n">
        <x:v>38</x:v>
      </x:c>
      <x:c r="I1649" s="81" t="n">
        <x:v>0.4818909566849471</x:v>
      </x:c>
      <x:c r="J1649" s="79" t="n">
        <x:v>1.725702088390754e-26</x:v>
      </x:c>
      <x:c r="K1649" s="81" t="n">
        <x:v>-1</x:v>
      </x:c>
      <x:c r="L1649" s="81" t="n">
        <x:v>-1</x:v>
      </x:c>
      <x:c r="M1649" s="80" t="n">
        <x:v>0.000002</x:v>
      </x:c>
      <x:c r="N1649" s="82" t="n">
        <x:v>0.3087307639898792</x:v>
      </x:c>
      <x:c r="O1649" s="82" t="n">
        <x:v>0.1394249064093566</x:v>
      </x:c>
      <x:c r="P1649" s="80" t="n">
        <x:v>359.0506735532902</x:v>
      </x:c>
      <x:c r="Q1649" s="81" t="n">
        <x:v>2561044216.122339</x:v>
      </x:c>
      <x:c r="R1649" s="81" t="n">
        <x:v>12.582041982496966</x:v>
      </x:c>
      <x:c r="S1649" s="81" t="n">
        <x:v>6.920418335016253e-10</x:v>
      </x:c>
      <x:c r="T1649" s="81" t="n">
        <x:v>3.7382474820438914e-22</x:v>
      </x:c>
    </x:row>
    <x:row r="1650">
      <x:c r="A1650" s="59" t="n">
        <x:v>1647</x:v>
      </x:c>
      <x:c r="B1650" s="193" t="n">
        <x:v>0.27593238558620214</x:v>
      </x:c>
      <x:c r="C1650" s="83" t="n">
        <x:v>1.7153565214689186</x:v>
      </x:c>
      <x:c r="D1650" s="83" t="n">
        <x:v>0.285798889425843</x:v>
      </x:c>
      <x:c r="E1650" s="81" t="n">
        <x:v>-0.0833030091216208</x:v>
      </x:c>
      <x:c r="F1650" s="81" t="n">
        <x:v>0.884884177276399</x:v>
      </x:c>
      <x:c r="G1650" s="81" t="n">
        <x:v>0.007921977166267035</x:v>
      </x:c>
      <x:c r="H1650" s="59" t="n">
        <x:v>0</x:v>
      </x:c>
      <x:c r="I1650" s="81" t="n">
        <x:v>0</x:v>
      </x:c>
      <x:c r="J1650" s="79" t="n">
        <x:v>1.545834566390933e-19</x:v>
      </x:c>
      <x:c r="K1650" s="81" t="n">
        <x:v>-0.9999999999999998</x:v>
      </x:c>
      <x:c r="L1650" s="81" t="n">
        <x:v>-0.9999999999999998</x:v>
      </x:c>
      <x:c r="M1650" s="80" t="n">
        <x:v>0.00019032438736611693</x:v>
      </x:c>
      <x:c r="N1650" s="82" t="n">
        <x:v>0.16782601797886304</x:v>
      </x:c>
      <x:c r="O1650" s="82" t="n">
        <x:v>0.14028675238773497</x:v>
      </x:c>
      <x:c r="P1650" s="80" t="n">
        <x:v>442.4559780535299</x:v>
      </x:c>
      <x:c r="Q1650" s="81" t="n">
        <x:v>16172.806955246366</x:v>
      </x:c>
      <x:c r="R1650" s="81" t="n">
        <x:v>3.322281737304569</x:v>
      </x:c>
      <x:c r="S1650" s="81" t="n">
        <x:v>1.01593659281147e-8</x:v>
      </x:c>
      <x:c r="T1650" s="81" t="n">
        <x:v>3.3486151603699234e-15</x:v>
      </x:c>
    </x:row>
    <x:row r="1651">
      <x:c r="A1651" s="59" t="n">
        <x:v>1648</x:v>
      </x:c>
      <x:c r="B1651" s="193" t="n">
        <x:v>0.7236221741884947</x:v>
      </x:c>
      <x:c r="C1651" s="83" t="n">
        <x:v>2.11771277679681</x:v>
      </x:c>
      <x:c r="D1651" s="83" t="n">
        <x:v>0.3732493154013202</x:v>
      </x:c>
      <x:c r="E1651" s="81" t="n">
        <x:v>-0.06547402356686174</x:v>
      </x:c>
      <x:c r="F1651" s="81" t="n">
        <x:v>0.5445761366630905</x:v>
      </x:c>
      <x:c r="G1651" s="81" t="n">
        <x:v>-0.004043077492936156</x:v>
      </x:c>
      <x:c r="H1651" s="59" t="n">
        <x:v>0</x:v>
      </x:c>
      <x:c r="I1651" s="81" t="n">
        <x:v>0</x:v>
      </x:c>
      <x:c r="J1651" s="79" t="n">
        <x:v>8.407973773663204e-19</x:v>
      </x:c>
      <x:c r="K1651" s="81" t="n">
        <x:v>-0.999999999999999</x:v>
      </x:c>
      <x:c r="L1651" s="81" t="n">
        <x:v>-0.999999999999999</x:v>
      </x:c>
      <x:c r="M1651" s="80" t="n">
        <x:v>0.0005084085004256971</x:v>
      </x:c>
      <x:c r="N1651" s="82" t="n">
        <x:v>0.27447411980746533</x:v>
      </x:c>
      <x:c r="O1651" s="82" t="n">
        <x:v>0.1411987816987179</x:v>
      </x:c>
      <x:c r="P1651" s="80" t="n">
        <x:v>657.8501525876903</x:v>
      </x:c>
      <x:c r="Q1651" s="81" t="n">
        <x:v>9939.393986472958</x:v>
      </x:c>
      <x:c r="R1651" s="81" t="n">
        <x:v>2.856051076890569</x:v>
      </x:c>
      <x:c r="S1651" s="81" t="n">
        <x:v>2.654606062853687e-8</x:v>
      </x:c>
      <x:c r="T1651" s="81" t="n">
        <x:v>1.8213506838713723e-14</x:v>
      </x:c>
    </x:row>
    <x:row r="1652">
      <x:c r="A1652" s="59" t="n">
        <x:v>1649</x:v>
      </x:c>
      <x:c r="B1652" s="193" t="n">
        <x:v>0.293511138483882</x:v>
      </x:c>
      <x:c r="C1652" s="83" t="n">
        <x:v>2.9976746929858886</x:v>
      </x:c>
      <x:c r="D1652" s="83" t="n">
        <x:v>1.923636736543668</x:v>
      </x:c>
      <x:c r="E1652" s="81" t="n">
        <x:v>-0.023464245378194692</x:v>
      </x:c>
      <x:c r="F1652" s="81" t="n">
        <x:v>0.8238299362361431</x:v>
      </x:c>
      <x:c r="G1652" s="81" t="n">
        <x:v>0.012051658929427195</x:v>
      </x:c>
      <x:c r="H1652" s="59" t="n">
        <x:v>33</x:v>
      </x:c>
      <x:c r="I1652" s="81" t="n">
        <x:v>0.16577099738642576</x:v>
      </x:c>
      <x:c r="J1652" s="79" t="n">
        <x:v>1.7058585336751417e-28</x:v>
      </x:c>
      <x:c r="K1652" s="81" t="n">
        <x:v>-1</x:v>
      </x:c>
      <x:c r="L1652" s="81" t="n">
        <x:v>-1</x:v>
      </x:c>
      <x:c r="M1652" s="80" t="n">
        <x:v>0.000002</x:v>
      </x:c>
      <x:c r="N1652" s="82" t="n">
        <x:v>0.1720136065207072</x:v>
      </x:c>
      <x:c r="O1652" s="82" t="n">
        <x:v>0.1338663162780211</x:v>
      </x:c>
      <x:c r="P1652" s="80" t="n">
        <x:v>2669.707630821558</x:v>
      </x:c>
      <x:c r="Q1652" s="81" t="n">
        <x:v>516556549297.4022</x:v>
      </x:c>
      <x:c r="R1652" s="81" t="n">
        <x:v>2.575608118119308</x:v>
      </x:c>
      <x:c r="S1652" s="81" t="n">
        <x:v>4.87662099778369e-10</x:v>
      </x:c>
      <x:c r="T1652" s="81" t="n">
        <x:v>3.695262010246953e-24</x:v>
      </x:c>
    </x:row>
    <x:row r="1653">
      <x:c r="A1653" s="59" t="n">
        <x:v>1650</x:v>
      </x:c>
      <x:c r="B1653" s="193" t="n">
        <x:v>0.2082058135420084</x:v>
      </x:c>
      <x:c r="C1653" s="83" t="n">
        <x:v>0.17631603789976794</x:v>
      </x:c>
      <x:c r="D1653" s="83" t="n">
        <x:v>1.5144042528415644</x:v>
      </x:c>
      <x:c r="E1653" s="81" t="n">
        <x:v>-0.057389208137249244</x:v>
      </x:c>
      <x:c r="F1653" s="81" t="n">
        <x:v>0.6139964739675634</x:v>
      </x:c>
      <x:c r="G1653" s="81" t="n">
        <x:v>-0.023610604156758044</x:v>
      </x:c>
      <x:c r="H1653" s="59" t="n">
        <x:v>0</x:v>
      </x:c>
      <x:c r="I1653" s="81" t="n">
        <x:v>0</x:v>
      </x:c>
      <x:c r="J1653" s="79" t="n">
        <x:v>1.7673268611671336e-35</x:v>
      </x:c>
      <x:c r="K1653" s="81" t="n">
        <x:v>-1</x:v>
      </x:c>
      <x:c r="L1653" s="81" t="n">
        <x:v>-1</x:v>
      </x:c>
      <x:c r="M1653" s="80" t="n">
        <x:v>0.000002</x:v>
      </x:c>
      <x:c r="N1653" s="82" t="n">
        <x:v>0.15169227864471038</x:v>
      </x:c>
      <x:c r="O1653" s="82" t="n">
        <x:v>0.08798330952225514</x:v>
      </x:c>
      <x:c r="P1653" s="80" t="n">
        <x:v>346.4190364718574</x:v>
      </x:c>
      <x:c r="Q1653" s="81" t="n">
        <x:v>2106117341657728500</x:v>
      </x:c>
      <x:c r="R1653" s="81" t="n">
        <x:v>9.760346965141688</x:v>
      </x:c>
      <x:c r="S1653" s="81" t="n">
        <x:v>8.432746916427343e-10</x:v>
      </x:c>
      <x:c r="T1653" s="81" t="n">
        <x:v>3.828415827477751e-31</x:v>
      </x:c>
    </x:row>
    <x:row r="1654">
      <x:c r="A1654" s="59" t="n">
        <x:v>1651</x:v>
      </x:c>
      <x:c r="B1654" s="193" t="n">
        <x:v>0.40094380490481857</x:v>
      </x:c>
      <x:c r="C1654" s="83" t="n">
        <x:v>0.8390144528402737</x:v>
      </x:c>
      <x:c r="D1654" s="83" t="n">
        <x:v>0.6025642813977912</x:v>
      </x:c>
      <x:c r="E1654" s="81" t="n">
        <x:v>0.013487767515374565</x:v>
      </x:c>
      <x:c r="F1654" s="81" t="n">
        <x:v>0.377291553595569</x:v>
      </x:c>
      <x:c r="G1654" s="81" t="n">
        <x:v>0.016733702921420814</x:v>
      </x:c>
      <x:c r="H1654" s="59" t="n">
        <x:v>26</x:v>
      </x:c>
      <x:c r="I1654" s="81" t="n">
        <x:v>0.1371220669709146</x:v>
      </x:c>
      <x:c r="J1654" s="79" t="n">
        <x:v>0.00024949199103081884</x:v>
      </x:c>
      <x:c r="K1654" s="81" t="n">
        <x:v>-0.7148662959647785</x:v>
      </x:c>
      <x:c r="L1654" s="81" t="n">
        <x:v>-0.8093472154105075</x:v>
      </x:c>
      <x:c r="M1654" s="80" t="n">
        <x:v>5112.470987066822</x:v>
      </x:c>
      <x:c r="N1654" s="82" t="n">
        <x:v>0.19760608202466984</x:v>
      </x:c>
      <x:c r="O1654" s="82" t="n">
        <x:v>0.07042848268581192</x:v>
      </x:c>
      <x:c r="P1654" s="80" t="n">
        <x:v>7587.450754623045</x:v>
      </x:c>
      <x:c r="Q1654" s="81" t="n">
        <x:v>0.010294599078150298</x:v>
      </x:c>
      <x:c r="R1654" s="81" t="n">
        <x:v>24.127237471880857</x:v>
      </x:c>
      <x:c r="S1654" s="81" t="n">
        <x:v>6.429172193808459</x:v>
      </x:c>
      <x:c r="T1654" s="81" t="n">
        <x:v>5.404541221427154</x:v>
      </x:c>
    </x:row>
    <x:row r="1655">
      <x:c r="A1655" s="59" t="n">
        <x:v>1652</x:v>
      </x:c>
      <x:c r="B1655" s="193" t="n">
        <x:v>0.2690730713307858</x:v>
      </x:c>
      <x:c r="C1655" s="83" t="n">
        <x:v>0.47349491844555947</x:v>
      </x:c>
      <x:c r="D1655" s="83" t="n">
        <x:v>0.9792601575385724</x:v>
      </x:c>
      <x:c r="E1655" s="81" t="n">
        <x:v>0.07072751029711345</x:v>
      </x:c>
      <x:c r="F1655" s="81" t="n">
        <x:v>0.43237514852080494</x:v>
      </x:c>
      <x:c r="G1655" s="81" t="n">
        <x:v>-0.01997922148558639</x:v>
      </x:c>
      <x:c r="H1655" s="59" t="n">
        <x:v>0</x:v>
      </x:c>
      <x:c r="I1655" s="81" t="n">
        <x:v>0</x:v>
      </x:c>
      <x:c r="J1655" s="79" t="n">
        <x:v>0.007171104279981996</x:v>
      </x:c>
      <x:c r="K1655" s="81" t="n">
        <x:v>7.195547748550853</x:v>
      </x:c>
      <x:c r="L1655" s="81" t="n">
        <x:v>-0.684995909916848</x:v>
      </x:c>
      <x:c r="M1655" s="80" t="n">
        <x:v>26695.508283243817</x:v>
      </x:c>
      <x:c r="N1655" s="82" t="n">
        <x:v>0.16619200071108078</x:v>
      </x:c>
      <x:c r="O1655" s="82" t="n">
        <x:v>0.06787999195673297</x:v>
      </x:c>
      <x:c r="P1655" s="80" t="n">
        <x:v>46005.656793448004</x:v>
      </x:c>
      <x:c r="Q1655" s="81" t="n">
        <x:v>0.002368424776282331</x:v>
      </x:c>
      <x:c r="R1655" s="81" t="n">
        <x:v>504.45100193355677</x:v>
      </x:c>
      <x:c r="S1655" s="81" t="n">
        <x:v>287.6650417457421</x:v>
      </x:c>
      <x:c r="T1655" s="81" t="n">
        <x:v>155.34177479680272</x:v>
      </x:c>
    </x:row>
    <x:row r="1656">
      <x:c r="A1656" s="59" t="n">
        <x:v>1653</x:v>
      </x:c>
      <x:c r="B1656" s="193" t="n">
        <x:v>0.40681288857012987</x:v>
      </x:c>
      <x:c r="C1656" s="83" t="n">
        <x:v>0.13169640025299667</x:v>
      </x:c>
      <x:c r="D1656" s="83" t="n">
        <x:v>0.7245532683666203</x:v>
      </x:c>
      <x:c r="E1656" s="81" t="n">
        <x:v>-0.08135111362189155</x:v>
      </x:c>
      <x:c r="F1656" s="81" t="n">
        <x:v>0.4645661128917709</x:v>
      </x:c>
      <x:c r="G1656" s="81" t="n">
        <x:v>0.028505146146175005</x:v>
      </x:c>
      <x:c r="H1656" s="59" t="n">
        <x:v>0</x:v>
      </x:c>
      <x:c r="I1656" s="81" t="n">
        <x:v>0</x:v>
      </x:c>
      <x:c r="J1656" s="79" t="n">
        <x:v>4.2816970458437675e-34</x:v>
      </x:c>
      <x:c r="K1656" s="81" t="n">
        <x:v>-1</x:v>
      </x:c>
      <x:c r="L1656" s="81" t="n">
        <x:v>-1</x:v>
      </x:c>
      <x:c r="M1656" s="80" t="n">
        <x:v>0.000002</x:v>
      </x:c>
      <x:c r="N1656" s="82" t="n">
        <x:v>0.19900420779906558</x:v>
      </x:c>
      <x:c r="O1656" s="82" t="n">
        <x:v>0.0873334725350153</x:v>
      </x:c>
      <x:c r="P1656" s="80" t="n">
        <x:v>218.29207025979252</x:v>
      </x:c>
      <x:c r="Q1656" s="81" t="n">
        <x:v>62716540638627944</x:v>
      </x:c>
      <x:c r="R1656" s="81" t="n">
        <x:v>17.907815108204463</x:v>
      </x:c>
      <x:c r="S1656" s="81" t="n">
        <x:v>7.89507993576432e-10</x:v>
      </x:c>
      <x:c r="T1656" s="81" t="n">
        <x:v>9.275090589608159e-30</x:v>
      </x:c>
    </x:row>
    <x:row r="1657">
      <x:c r="A1657" s="59" t="n">
        <x:v>1654</x:v>
      </x:c>
      <x:c r="B1657" s="193" t="n">
        <x:v>0.3327966252341866</x:v>
      </x:c>
      <x:c r="C1657" s="83" t="n">
        <x:v>2.4655451888664714</x:v>
      </x:c>
      <x:c r="D1657" s="83" t="n">
        <x:v>0.6256030337709508</x:v>
      </x:c>
      <x:c r="E1657" s="81" t="n">
        <x:v>0.06282949147223986</x:v>
      </x:c>
      <x:c r="F1657" s="81" t="n">
        <x:v>0.29539525707950814</x:v>
      </x:c>
      <x:c r="G1657" s="81" t="n">
        <x:v>0.04024046027708022</x:v>
      </x:c>
      <x:c r="H1657" s="59" t="n">
        <x:v>0</x:v>
      </x:c>
      <x:c r="I1657" s="81" t="n">
        <x:v>0</x:v>
      </x:c>
      <x:c r="J1657" s="79" t="n">
        <x:v>0.08470496778973959</x:v>
      </x:c>
      <x:c r="K1657" s="81" t="n">
        <x:v>95.80567747398811</x:v>
      </x:c>
      <x:c r="L1657" s="81" t="n">
        <x:v>-0.2238046523507956</x:v>
      </x:c>
      <x:c r="M1657" s="80" t="n">
        <x:v>206856.96589925437</x:v>
      </x:c>
      <x:c r="N1657" s="82" t="n">
        <x:v>0.18137214606750637</x:v>
      </x:c>
      <x:c r="O1657" s="82" t="n">
        <x:v>0.05061101551332959</x:v>
      </x:c>
      <x:c r="P1657" s="80" t="n">
        <x:v>245280.12510480557</x:v>
      </x:c>
      <x:c r="Q1657" s="81" t="n">
        <x:v>0.002169961960870846</x:v>
      </x:c>
      <x:c r="R1657" s="81" t="n">
        <x:v>82.95087113823062</x:v>
      </x:c>
      <x:c r="S1657" s="81" t="n">
        <x:v>665.6887312105765</x:v>
      </x:c>
      <x:c r="T1657" s="81" t="n">
        <x:v>1834.894531835924</x:v>
      </x:c>
    </x:row>
    <x:row r="1658">
      <x:c r="A1658" s="59" t="n">
        <x:v>1655</x:v>
      </x:c>
      <x:c r="B1658" s="193" t="n">
        <x:v>0.5600268345326185</x:v>
      </x:c>
      <x:c r="C1658" s="83" t="n">
        <x:v>1.3812292799366863</x:v>
      </x:c>
      <x:c r="D1658" s="83" t="n">
        <x:v>0.45524892376577814</x:v>
      </x:c>
      <x:c r="E1658" s="81" t="n">
        <x:v>0.08607501221264138</x:v>
      </x:c>
      <x:c r="F1658" s="81" t="n">
        <x:v>0.6886004606029019</x:v>
      </x:c>
      <x:c r="G1658" s="81" t="n">
        <x:v>0.006544233995505595</x:v>
      </x:c>
      <x:c r="H1658" s="59" t="n">
        <x:v>0</x:v>
      </x:c>
      <x:c r="I1658" s="81" t="n">
        <x:v>0</x:v>
      </x:c>
      <x:c r="J1658" s="79" t="n">
        <x:v>0.001997404151730358</x:v>
      </x:c>
      <x:c r="K1658" s="81" t="n">
        <x:v>1.2827476019775519</x:v>
      </x:c>
      <x:c r="L1658" s="81" t="n">
        <x:v>-0.6789522839707712</x:v>
      </x:c>
      <x:c r="M1658" s="80" t="n">
        <x:v>21181.625346043653</x:v>
      </x:c>
      <x:c r="N1658" s="82" t="n">
        <x:v>0.235502642488817</x:v>
      </x:c>
      <x:c r="O1658" s="82" t="n">
        <x:v>0.15319127658082526</x:v>
      </x:c>
      <x:c r="P1658" s="80" t="n">
        <x:v>19269.491141873656</x:v>
      </x:c>
      <x:c r="Q1658" s="81" t="n">
        <x:v>0.0042101283799849485</x:v>
      </x:c>
      <x:c r="R1658" s="81" t="n">
        <x:v>43.6664486954475</x:v>
      </x:c>
      <x:c r="S1658" s="81" t="n">
        <x:v>28.91756527586274</x:v>
      </x:c>
      <x:c r="T1658" s="81" t="n">
        <x:v>43.268134697530165</x:v>
      </x:c>
    </x:row>
    <x:row r="1659">
      <x:c r="A1659" s="59" t="n">
        <x:v>1656</x:v>
      </x:c>
      <x:c r="B1659" s="193" t="n">
        <x:v>0.576418561115861</x:v>
      </x:c>
      <x:c r="C1659" s="83" t="n">
        <x:v>0.10976493947945741</x:v>
      </x:c>
      <x:c r="D1659" s="83" t="n">
        <x:v>1.733322437245312</x:v>
      </x:c>
      <x:c r="E1659" s="81" t="n">
        <x:v>0.04666579064583443</x:v>
      </x:c>
      <x:c r="F1659" s="81" t="n">
        <x:v>0.5778986429679207</x:v>
      </x:c>
      <x:c r="G1659" s="81" t="n">
        <x:v>0.049247104122657856</x:v>
      </x:c>
      <x:c r="H1659" s="59" t="n">
        <x:v>0</x:v>
      </x:c>
      <x:c r="I1659" s="81" t="n">
        <x:v>0</x:v>
      </x:c>
      <x:c r="J1659" s="79" t="n">
        <x:v>0.007815873282637309</x:v>
      </x:c>
      <x:c r="K1659" s="81" t="n">
        <x:v>7.932426608728354</x:v>
      </x:c>
      <x:c r="L1659" s="81" t="n">
        <x:v>-0.7558378708143316</x:v>
      </x:c>
      <x:c r="M1659" s="80" t="n">
        <x:v>24478.234817417928</x:v>
      </x:c>
      <x:c r="N1659" s="82" t="n">
        <x:v>0.23940745910581904</x:v>
      </x:c>
      <x:c r="O1659" s="82" t="n">
        <x:v>0.13069539747664238</x:v>
      </x:c>
      <x:c r="P1659" s="80" t="n">
        <x:v>74707.65290612393</x:v>
      </x:c>
      <x:c r="Q1659" s="81" t="n">
        <x:v>0.007196410817892224</x:v>
      </x:c>
      <x:c r="R1659" s="81" t="n">
        <x:v>862.6684424455224</x:v>
      </x:c>
      <x:c r="S1659" s="81" t="n">
        <x:v>1353.1052727755045</x:v>
      </x:c>
      <x:c r="T1659" s="81" t="n">
        <x:v>169.30887906636892</x:v>
      </x:c>
    </x:row>
    <x:row r="1660">
      <x:c r="A1660" s="59" t="n">
        <x:v>1657</x:v>
      </x:c>
      <x:c r="B1660" s="193" t="n">
        <x:v>0.6030817687511445</x:v>
      </x:c>
      <x:c r="C1660" s="83" t="n">
        <x:v>1.126788596408703</x:v>
      </x:c>
      <x:c r="D1660" s="83" t="n">
        <x:v>0.35604131875821865</x:v>
      </x:c>
      <x:c r="E1660" s="81" t="n">
        <x:v>0.1478326401507228</x:v>
      </x:c>
      <x:c r="F1660" s="81" t="n">
        <x:v>0.611015141592361</x:v>
      </x:c>
      <x:c r="G1660" s="81" t="n">
        <x:v>-0.05</x:v>
      </x:c>
      <x:c r="H1660" s="59" t="n">
        <x:v>0</x:v>
      </x:c>
      <x:c r="I1660" s="81" t="n">
        <x:v>0</x:v>
      </x:c>
      <x:c r="J1660" s="79" t="n">
        <x:v>0.0009044387797387261</x:v>
      </x:c>
      <x:c r="K1660" s="81" t="n">
        <x:v>0.03364431970140136</x:v>
      </x:c>
      <x:c r="L1660" s="81" t="n">
        <x:v>-0.8304119563209329</x:v>
      </x:c>
      <x:c r="M1660" s="80" t="n">
        <x:v>12660.762628646828</x:v>
      </x:c>
      <x:c r="N1660" s="82" t="n">
        <x:v>0.24575913509968675</x:v>
      </x:c>
      <x:c r="O1660" s="82" t="n">
        <x:v>0.14185105966367123</x:v>
      </x:c>
      <x:c r="P1660" s="80" t="n">
        <x:v>9821.558741218085</x:v>
      </x:c>
      <x:c r="Q1660" s="81" t="n">
        <x:v>0.00234176507628792</x:v>
      </x:c>
      <x:c r="R1660" s="81" t="n">
        <x:v>78.57394738339882</x:v>
      </x:c>
      <x:c r="S1660" s="81" t="n">
        <x:v>15.471832615179435</x:v>
      </x:c>
      <x:c r="T1660" s="81" t="n">
        <x:v>19.592118557230215</x:v>
      </x:c>
    </x:row>
    <x:row r="1661">
      <x:c r="A1661" s="59" t="n">
        <x:v>1658</x:v>
      </x:c>
      <x:c r="B1661" s="193" t="n">
        <x:v>0.9954546609893442</x:v>
      </x:c>
      <x:c r="C1661" s="83" t="n">
        <x:v>1.9151230742500942</x:v>
      </x:c>
      <x:c r="D1661" s="83" t="n">
        <x:v>1.0203266517348923</x:v>
      </x:c>
      <x:c r="E1661" s="81" t="n">
        <x:v>0.08341913752998371</x:v>
      </x:c>
      <x:c r="F1661" s="81" t="n">
        <x:v>0.5676093120593577</x:v>
      </x:c>
      <x:c r="G1661" s="81" t="n">
        <x:v>-0.0023318442421497005</x:v>
      </x:c>
      <x:c r="H1661" s="59" t="n">
        <x:v>0</x:v>
      </x:c>
      <x:c r="I1661" s="81" t="n">
        <x:v>0</x:v>
      </x:c>
      <x:c r="J1661" s="79" t="n">
        <x:v>0.009515039572500938</x:v>
      </x:c>
      <x:c r="K1661" s="81" t="n">
        <x:v>9.874330940001073</x:v>
      </x:c>
      <x:c r="L1661" s="81" t="n">
        <x:v>-0.7269826116399313</x:v>
      </x:c>
      <x:c r="M1661" s="80" t="n">
        <x:v>65564.65860759249</x:v>
      </x:c>
      <x:c r="N1661" s="82" t="n">
        <x:v>0.3392297150225554</x:v>
      </x:c>
      <x:c r="O1661" s="82" t="n">
        <x:v>0.1818923111285321</x:v>
      </x:c>
      <x:c r="P1661" s="80" t="n">
        <x:v>112790.85451767615</x:v>
      </x:c>
      <x:c r="Q1661" s="81" t="n">
        <x:v>0.005576792611141953</x:v>
      </x:c>
      <x:c r="R1661" s="81" t="n">
        <x:v>135.697027967314</x:v>
      </x:c>
      <x:c r="S1661" s="81" t="n">
        <x:v>102.6916720330147</x:v>
      </x:c>
      <x:c r="T1661" s="81" t="n">
        <x:v>206.11653055724605</x:v>
      </x:c>
    </x:row>
    <x:row r="1662">
      <x:c r="A1662" s="59" t="n">
        <x:v>1659</x:v>
      </x:c>
      <x:c r="B1662" s="193" t="n">
        <x:v>0.9817026162520051</x:v>
      </x:c>
      <x:c r="C1662" s="83" t="n">
        <x:v>0.10247531931718142</x:v>
      </x:c>
      <x:c r="D1662" s="83" t="n">
        <x:v>0.17376282977946733</x:v>
      </x:c>
      <x:c r="E1662" s="81" t="n">
        <x:v>-0.1576310808625256</x:v>
      </x:c>
      <x:c r="F1662" s="81" t="n">
        <x:v>0.529619436361827</x:v>
      </x:c>
      <x:c r="G1662" s="81" t="n">
        <x:v>-0.008095220401175607</x:v>
      </x:c>
      <x:c r="H1662" s="59" t="n">
        <x:v>0</x:v>
      </x:c>
      <x:c r="I1662" s="81" t="n">
        <x:v>0</x:v>
      </x:c>
      <x:c r="J1662" s="79" t="n">
        <x:v>1.4723784328897885e-20</x:v>
      </x:c>
      <x:c r="K1662" s="81" t="n">
        <x:v>-1</x:v>
      </x:c>
      <x:c r="L1662" s="81" t="n">
        <x:v>-1</x:v>
      </x:c>
      <x:c r="M1662" s="80" t="n">
        <x:v>0.00002392840018740791</x:v>
      </x:c>
      <x:c r="N1662" s="82" t="n">
        <x:v>0.3359537201152826</x:v>
      </x:c>
      <x:c r="O1662" s="82" t="n">
        <x:v>0.16807933113842516</x:v>
      </x:c>
      <x:c r="P1662" s="80" t="n">
        <x:v>84.43718841133987</x:v>
      </x:c>
      <x:c r="Q1662" s="81" t="n">
        <x:v>12055.55696869738</x:v>
      </x:c>
      <x:c r="R1662" s="81" t="n">
        <x:v>35.46138496108928</x:v>
      </x:c>
      <x:c r="S1662" s="81" t="n">
        <x:v>1.5698415277095036e-9</x:v>
      </x:c>
      <x:c r="T1662" s="81" t="n">
        <x:v>3.1894931381225026e-16</x:v>
      </x:c>
    </x:row>
    <x:row r="1663">
      <x:c r="A1663" s="59" t="n">
        <x:v>1660</x:v>
      </x:c>
      <x:c r="B1663" s="193" t="n">
        <x:v>0.9596010429784656</x:v>
      </x:c>
      <x:c r="C1663" s="83" t="n">
        <x:v>0.6638508551543719</x:v>
      </x:c>
      <x:c r="D1663" s="83" t="n">
        <x:v>0.31688570353980733</x:v>
      </x:c>
      <x:c r="E1663" s="81" t="n">
        <x:v>0.018945149808174272</x:v>
      </x:c>
      <x:c r="F1663" s="81" t="n">
        <x:v>0.3267857973347418</x:v>
      </x:c>
      <x:c r="G1663" s="81" t="n">
        <x:v>0.008034714020374487</x:v>
      </x:c>
      <x:c r="H1663" s="59" t="n">
        <x:v>0</x:v>
      </x:c>
      <x:c r="I1663" s="81" t="n">
        <x:v>0</x:v>
      </x:c>
      <x:c r="J1663" s="79" t="n">
        <x:v>0.000043588155492195844</x:v>
      </x:c>
      <x:c r="K1663" s="81" t="n">
        <x:v>-0.9501849651517762</x:v>
      </x:c>
      <x:c r="L1663" s="81" t="n">
        <x:v>-0.9547548609614748</x:v>
      </x:c>
      <x:c r="M1663" s="80" t="n">
        <x:v>1916.4097772985028</x:v>
      </x:c>
      <x:c r="N1663" s="82" t="n">
        <x:v>0.33068871095702623</x:v>
      </x:c>
      <x:c r="O1663" s="82" t="n">
        <x:v>0.10208301401616096</x:v>
      </x:c>
      <x:c r="P1663" s="80" t="n">
        <x:v>1971.1036654402435</x:v>
      </x:c>
      <x:c r="Q1663" s="81" t="n">
        <x:v>0.009409878933210299</x:v>
      </x:c>
      <x:c r="R1663" s="81" t="n">
        <x:v>22.83315474923797</x:v>
      </x:c>
      <x:c r="S1663" s="81" t="n">
        <x:v>1.3983421228140862</x:v>
      </x:c>
      <x:c r="T1663" s="81" t="n">
        <x:v>0.9442146104579735</x:v>
      </x:c>
    </x:row>
    <x:row r="1664">
      <x:c r="A1664" s="59" t="n">
        <x:v>1661</x:v>
      </x:c>
      <x:c r="B1664" s="193" t="n">
        <x:v>0.30595312509685757</x:v>
      </x:c>
      <x:c r="C1664" s="83" t="n">
        <x:v>0.7725294254967904</x:v>
      </x:c>
      <x:c r="D1664" s="83" t="n">
        <x:v>2.0823426921450747</x:v>
      </x:c>
      <x:c r="E1664" s="81" t="n">
        <x:v>0.020515580901468117</x:v>
      </x:c>
      <x:c r="F1664" s="81" t="n">
        <x:v>0.5041070724721066</x:v>
      </x:c>
      <x:c r="G1664" s="81" t="n">
        <x:v>-0.011671387579182579</x:v>
      </x:c>
      <x:c r="H1664" s="59" t="n">
        <x:v>0</x:v>
      </x:c>
      <x:c r="I1664" s="81" t="n">
        <x:v>0</x:v>
      </x:c>
      <x:c r="J1664" s="79" t="n">
        <x:v>0.0029210758846756908</x:v>
      </x:c>
      <x:c r="K1664" s="81" t="n">
        <x:v>2.338372439629361</x:v>
      </x:c>
      <x:c r="L1664" s="81" t="n">
        <x:v>-0.6339915487360575</x:v>
      </x:c>
      <x:c r="M1664" s="80" t="n">
        <x:v>18986.559133645962</x:v>
      </x:c>
      <x:c r="N1664" s="82" t="n">
        <x:v>0.17497752101916714</x:v>
      </x:c>
      <x:c r="O1664" s="82" t="n">
        <x:v>0.0833251284373782</x:v>
      </x:c>
      <x:c r="P1664" s="80" t="n">
        <x:v>72774.39914205746</x:v>
      </x:c>
      <x:c r="Q1664" s="81" t="n">
        <x:v>0.009212305668642833</x:v>
      </x:c>
      <x:c r="R1664" s="81" t="n">
        <x:v>124.44906061438517</x:v>
      </x:c>
      <x:c r="S1664" s="81" t="n">
        <x:v>78.8286621380294</x:v>
      </x:c>
      <x:c r="T1664" s="81" t="n">
        <x:v>63.27688101096778</x:v>
      </x:c>
    </x:row>
    <x:row r="1665">
      <x:c r="A1665" s="59" t="n">
        <x:v>1662</x:v>
      </x:c>
      <x:c r="B1665" s="193" t="n">
        <x:v>0.40259297657758</x:v>
      </x:c>
      <x:c r="C1665" s="83" t="n">
        <x:v>2.7600697367653417</x:v>
      </x:c>
      <x:c r="D1665" s="83" t="n">
        <x:v>0.24245794947175464</x:v>
      </x:c>
      <x:c r="E1665" s="81" t="n">
        <x:v>-0.017206816028603973</x:v>
      </x:c>
      <x:c r="F1665" s="81" t="n">
        <x:v>0.7552694200305269</x:v>
      </x:c>
      <x:c r="G1665" s="81" t="n">
        <x:v>-0.010494982246638486</x:v>
      </x:c>
      <x:c r="H1665" s="59" t="n">
        <x:v>0</x:v>
      </x:c>
      <x:c r="I1665" s="81" t="n">
        <x:v>0</x:v>
      </x:c>
      <x:c r="J1665" s="79" t="n">
        <x:v>1.2935510644362276e-7</x:v>
      </x:c>
      <x:c r="K1665" s="81" t="n">
        <x:v>-0.9998521655926359</x:v>
      </x:c>
      <x:c r="L1665" s="81" t="n">
        <x:v>-0.9998521655926359</x:v>
      </x:c>
      <x:c r="M1665" s="80" t="n">
        <x:v>231.62017904626092</x:v>
      </x:c>
      <x:c r="N1665" s="82" t="n">
        <x:v>0.19799894563909026</x:v>
      </x:c>
      <x:c r="O1665" s="82" t="n">
        <x:v>0.14126537297053</x:v>
      </x:c>
      <x:c r="P1665" s="80" t="n">
        <x:v>1536.952871929896</x:v>
      </x:c>
      <x:c r="Q1665" s="81" t="n">
        <x:v>0.08940423591714135</x:v>
      </x:c>
      <x:c r="R1665" s="81" t="n">
        <x:v>4.474747673564391</x:v>
      </x:c>
      <x:c r="S1665" s="81" t="n">
        <x:v>0.006673837876432567</x:v>
      </x:c>
      <x:c r="T1665" s="81" t="n">
        <x:v>0.0028021140161180506</x:v>
      </x:c>
    </x:row>
    <x:row r="1666">
      <x:c r="A1666" s="59" t="n">
        <x:v>1663</x:v>
      </x:c>
      <x:c r="B1666" s="193" t="n">
        <x:v>0.6866795672103763</x:v>
      </x:c>
      <x:c r="C1666" s="83" t="n">
        <x:v>0.44315550510483115</x:v>
      </x:c>
      <x:c r="D1666" s="83" t="n">
        <x:v>3</x:v>
      </x:c>
      <x:c r="E1666" s="81" t="n">
        <x:v>-0.06651637933619588</x:v>
      </x:c>
      <x:c r="F1666" s="81" t="n">
        <x:v>0.7878961785929278</x:v>
      </x:c>
      <x:c r="G1666" s="81" t="n">
        <x:v>-0.026696926552008643</x:v>
      </x:c>
      <x:c r="H1666" s="59" t="n">
        <x:v>56</x:v>
      </x:c>
      <x:c r="I1666" s="81" t="n">
        <x:v>0.2512473897077143</x:v>
      </x:c>
      <x:c r="J1666" s="79" t="n">
        <x:v>1.4830755189311368e-59</x:v>
      </x:c>
      <x:c r="K1666" s="81" t="n">
        <x:v>-1</x:v>
      </x:c>
      <x:c r="L1666" s="81" t="n">
        <x:v>-1</x:v>
      </x:c>
      <x:c r="M1666" s="80" t="n">
        <x:v>0.000002</x:v>
      </x:c>
      <x:c r="N1666" s="82" t="n">
        <x:v>0.2656736981513968</x:v>
      </x:c>
      <x:c r="O1666" s="82" t="n">
        <x:v>0.19773725323216995</x:v>
      </x:c>
      <x:c r="P1666" s="80" t="n">
        <x:v>443.9690345230924</x:v>
      </x:c>
      <x:c r="Q1666" s="81" t="n">
        <x:v>2.1840896621930578e+42</x:v>
      </x:c>
      <x:c r="R1666" s="81" t="n">
        <x:v>2.184653924627345</x:v>
      </x:c>
      <x:c r="S1666" s="81" t="n">
        <x:v>1.310179249665994e-9</x:v>
      </x:c>
      <x:c r="T1666" s="81" t="n">
        <x:v>3.212665361896403e-55</x:v>
      </x:c>
    </x:row>
    <x:row r="1667">
      <x:c r="A1667" s="59" t="n">
        <x:v>1664</x:v>
      </x:c>
      <x:c r="B1667" s="193" t="n">
        <x:v>0.30383353494107723</x:v>
      </x:c>
      <x:c r="C1667" s="83" t="n">
        <x:v>0.12051921238836197</x:v>
      </x:c>
      <x:c r="D1667" s="83" t="n">
        <x:v>0.3463272790101997</x:v>
      </x:c>
      <x:c r="E1667" s="81" t="n">
        <x:v>-0.09157498234750834</x:v>
      </x:c>
      <x:c r="F1667" s="81" t="n">
        <x:v>0.6888239191379398</x:v>
      </x:c>
      <x:c r="G1667" s="81" t="n">
        <x:v>0.016108827138744983</x:v>
      </x:c>
      <x:c r="H1667" s="59" t="n">
        <x:v>0</x:v>
      </x:c>
      <x:c r="I1667" s="81" t="n">
        <x:v>0</x:v>
      </x:c>
      <x:c r="J1667" s="79" t="n">
        <x:v>3.671050915066318e-24</x:v>
      </x:c>
      <x:c r="K1667" s="81" t="n">
        <x:v>-1</x:v>
      </x:c>
      <x:c r="L1667" s="81" t="n">
        <x:v>-1</x:v>
      </x:c>
      <x:c r="M1667" s="80" t="n">
        <x:v>0.000002</x:v>
      </x:c>
      <x:c r="N1667" s="82" t="n">
        <x:v>0.17447259490174477</x:v>
      </x:c>
      <x:c r="O1667" s="82" t="n">
        <x:v>0.11352888735828022</x:v>
      </x:c>
      <x:c r="P1667" s="80" t="n">
        <x:v>162.51079525139417</x:v>
      </x:c>
      <x:c r="Q1667" s="81" t="n">
        <x:v>6559656.878233787</x:v>
      </x:c>
      <x:c r="R1667" s="81" t="n">
        <x:v>30.804527624833657</x:v>
      </x:c>
      <x:c r="S1667" s="81" t="n">
        <x:v>3.28859880457642e-10</x:v>
      </x:c>
      <x:c r="T1667" s="81" t="n">
        <x:v>7.952297752909827e-20</x:v>
      </x:c>
    </x:row>
    <x:row r="1668">
      <x:c r="A1668" s="59" t="n">
        <x:v>1665</x:v>
      </x:c>
      <x:c r="B1668" s="193" t="n">
        <x:v>0.6148288203403354</x:v>
      </x:c>
      <x:c r="C1668" s="83" t="n">
        <x:v>0.1578493523012494</x:v>
      </x:c>
      <x:c r="D1668" s="83" t="n">
        <x:v>0.42471467333422713</x:v>
      </x:c>
      <x:c r="E1668" s="81" t="n">
        <x:v>0.11054495449796306</x:v>
      </x:c>
      <x:c r="F1668" s="81" t="n">
        <x:v>0.25207271066028625</x:v>
      </x:c>
      <x:c r="G1668" s="81" t="n">
        <x:v>0.023720664462428945</x:v>
      </x:c>
      <x:c r="H1668" s="59" t="n">
        <x:v>63</x:v>
      </x:c>
      <x:c r="I1668" s="81" t="n">
        <x:v>0.19199760090559723</x:v>
      </x:c>
      <x:c r="J1668" s="79" t="n">
        <x:v>0.006994224084324559</x:v>
      </x:c>
      <x:c r="K1668" s="81" t="n">
        <x:v>6.993398953513783</x:v>
      </x:c>
      <x:c r="L1668" s="81" t="n">
        <x:v>-0.8582849185628904</x:v>
      </x:c>
      <x:c r="M1668" s="80" t="n">
        <x:v>20204.58560776285</x:v>
      </x:c>
      <x:c r="N1668" s="82" t="n">
        <x:v>0.24855750304544924</x:v>
      </x:c>
      <x:c r="O1668" s="82" t="n">
        <x:v>0.059186635218850585</x:v>
      </x:c>
      <x:c r="P1668" s="80" t="n">
        <x:v>16631.03570946548</x:v>
      </x:c>
      <x:c r="Q1668" s="81" t="n">
        <x:v>0.001369816550318464</x:v>
      </x:c>
      <x:c r="R1668" s="81" t="n">
        <x:v>632.7460958856743</x:v>
      </x:c>
      <x:c r="S1668" s="81" t="n">
        <x:v>827.4431854225087</x:v>
      </x:c>
      <x:c r="T1668" s="81" t="n">
        <x:v>151.51016359062726</x:v>
      </x:c>
    </x:row>
    <x:row r="1669">
      <x:c r="A1669" s="59" t="n">
        <x:v>1666</x:v>
      </x:c>
      <x:c r="B1669" s="193" t="n">
        <x:v>0.6177109681069851</x:v>
      </x:c>
      <x:c r="C1669" s="83" t="n">
        <x:v>0.17763578296499377</x:v>
      </x:c>
      <x:c r="D1669" s="83" t="n">
        <x:v>0.6754351043891461</x:v>
      </x:c>
      <x:c r="E1669" s="81" t="n">
        <x:v>-0.06722651961202687</x:v>
      </x:c>
      <x:c r="F1669" s="81" t="n">
        <x:v>0.8273148464388215</x:v>
      </x:c>
      <x:c r="G1669" s="81" t="n">
        <x:v>0.013724425134723215</x:v>
      </x:c>
      <x:c r="H1669" s="59" t="n">
        <x:v>82</x:v>
      </x:c>
      <x:c r="I1669" s="81" t="n">
        <x:v>0.3306847303174436</x:v>
      </x:c>
      <x:c r="J1669" s="79" t="n">
        <x:v>2.2721426030818227e-28</x:v>
      </x:c>
      <x:c r="K1669" s="81" t="n">
        <x:v>-1</x:v>
      </x:c>
      <x:c r="L1669" s="81" t="n">
        <x:v>-1</x:v>
      </x:c>
      <x:c r="M1669" s="80" t="n">
        <x:v>0.000002</x:v>
      </x:c>
      <x:c r="N1669" s="82" t="n">
        <x:v>0.24924408468373602</x:v>
      </x:c>
      <x:c r="O1669" s="82" t="n">
        <x:v>0.19478998304349313</x:v>
      </x:c>
      <x:c r="P1669" s="80" t="n">
        <x:v>236.60959856200884</x:v>
      </x:c>
      <x:c r="Q1669" s="81" t="n">
        <x:v>141148152101.3786</x:v>
      </x:c>
      <x:c r="R1669" s="81" t="n">
        <x:v>14.561293852446422</x:v>
      </x:c>
      <x:c r="S1669" s="81" t="n">
        <x:v>5.930650366042682e-10</x:v>
      </x:c>
      <x:c r="T1669" s="81" t="n">
        <x:v>4.921956936805887e-24</x:v>
      </x:c>
    </x:row>
    <x:row r="1670">
      <x:c r="A1670" s="59" t="n">
        <x:v>1667</x:v>
      </x:c>
      <x:c r="B1670" s="193" t="n">
        <x:v>0.9917032208293677</x:v>
      </x:c>
      <x:c r="C1670" s="83" t="n">
        <x:v>0.5278321133708161</x:v>
      </x:c>
      <x:c r="D1670" s="83" t="n">
        <x:v>0.8049401328227965</x:v>
      </x:c>
      <x:c r="E1670" s="81" t="n">
        <x:v>0.010939231143611226</x:v>
      </x:c>
      <x:c r="F1670" s="81" t="n">
        <x:v>0.5824443623074331</x:v>
      </x:c>
      <x:c r="G1670" s="81" t="n">
        <x:v>-0.029267643185291223</x:v>
      </x:c>
      <x:c r="H1670" s="59" t="n">
        <x:v>0</x:v>
      </x:c>
      <x:c r="I1670" s="81" t="n">
        <x:v>0</x:v>
      </x:c>
      <x:c r="J1670" s="79" t="n">
        <x:v>0.000011470800767035165</x:v>
      </x:c>
      <x:c r="K1670" s="81" t="n">
        <x:v>-0.9868905134091027</x:v>
      </x:c>
      <x:c r="L1670" s="81" t="n">
        <x:v>-0.9868905134091027</x:v>
      </x:c>
      <x:c r="M1670" s="80" t="n">
        <x:v>908.6362912308377</x:v>
      </x:c>
      <x:c r="N1670" s="82" t="n">
        <x:v>0.33833605163694597</x:v>
      </x:c>
      <x:c r="O1670" s="82" t="n">
        <x:v>0.18615455379285356</x:v>
      </x:c>
      <x:c r="P1670" s="80" t="n">
        <x:v>2582.953283270065</x:v>
      </x:c>
      <x:c r="Q1670" s="81" t="n">
        <x:v>0.028735921767093244</x:v>
      </x:c>
      <x:c r="R1670" s="81" t="n">
        <x:v>22.417229179003595</x:v>
      </x:c>
      <x:c r="S1670" s="81" t="n">
        <x:v>0.551277721219459</x:v>
      </x:c>
      <x:c r="T1670" s="81" t="n">
        <x:v>0.24848258788620525</x:v>
      </x:c>
    </x:row>
    <x:row r="1671">
      <x:c r="A1671" s="59" t="n">
        <x:v>1668</x:v>
      </x:c>
      <x:c r="B1671" s="193" t="n">
        <x:v>0.47852400932461026</x:v>
      </x:c>
      <x:c r="C1671" s="83" t="n">
        <x:v>0.47924044875622224</x:v>
      </x:c>
      <x:c r="D1671" s="83" t="n">
        <x:v>1.117651589227025</x:v>
      </x:c>
      <x:c r="E1671" s="81" t="n">
        <x:v>-0.09878543174103216</x:v>
      </x:c>
      <x:c r="F1671" s="81" t="n">
        <x:v>0.5690866862889379</x:v>
      </x:c>
      <x:c r="G1671" s="81" t="n">
        <x:v>-0.041941393093941515</x:v>
      </x:c>
      <x:c r="H1671" s="59" t="n">
        <x:v>0</x:v>
      </x:c>
      <x:c r="I1671" s="81" t="n">
        <x:v>0</x:v>
      </x:c>
      <x:c r="J1671" s="79" t="n">
        <x:v>2.027175406875625e-38</x:v>
      </x:c>
      <x:c r="K1671" s="81" t="n">
        <x:v>-1</x:v>
      </x:c>
      <x:c r="L1671" s="81" t="n">
        <x:v>-1</x:v>
      </x:c>
      <x:c r="M1671" s="80" t="n">
        <x:v>0.000002</x:v>
      </x:c>
      <x:c r="N1671" s="82" t="n">
        <x:v>0.21608714134629703</x:v>
      </x:c>
      <x:c r="O1671" s="82" t="n">
        <x:v>0.11616580103248308</x:v>
      </x:c>
      <x:c r="P1671" s="80" t="n">
        <x:v>266.2461436558595</x:v>
      </x:c>
      <x:c r="Q1671" s="81" t="n">
        <x:v>1.1084687721511686e+21</x:v>
      </x:c>
      <x:c r="R1671" s="81" t="n">
        <x:v>3.0413558989969873</x:v>
      </x:c>
      <x:c r="S1671" s="81" t="n">
        <x:v>3.9298445663259626e-10</x:v>
      </x:c>
      <x:c r="T1671" s="81" t="n">
        <x:v>4.3913045081151846e-34</x:v>
      </x:c>
    </x:row>
    <x:row r="1672">
      <x:c r="A1672" s="59" t="n">
        <x:v>1669</x:v>
      </x:c>
      <x:c r="B1672" s="193" t="n">
        <x:v>0.8318110860884189</x:v>
      </x:c>
      <x:c r="C1672" s="83" t="n">
        <x:v>0.2050283547614346</x:v>
      </x:c>
      <x:c r="D1672" s="83" t="n">
        <x:v>0.4592251701132524</x:v>
      </x:c>
      <x:c r="E1672" s="81" t="n">
        <x:v>-0.07985557097614329</x:v>
      </x:c>
      <x:c r="F1672" s="81" t="n">
        <x:v>0.8952548070810735</x:v>
      </x:c>
      <x:c r="G1672" s="81" t="n">
        <x:v>0.016342356538414125</x:v>
      </x:c>
      <x:c r="H1672" s="59" t="n">
        <x:v>0</x:v>
      </x:c>
      <x:c r="I1672" s="81" t="n">
        <x:v>0</x:v>
      </x:c>
      <x:c r="J1672" s="79" t="n">
        <x:v>6.26047850594073e-26</x:v>
      </x:c>
      <x:c r="K1672" s="81" t="n">
        <x:v>-1</x:v>
      </x:c>
      <x:c r="L1672" s="81" t="n">
        <x:v>-1</x:v>
      </x:c>
      <x:c r="M1672" s="80" t="n">
        <x:v>0.000002</x:v>
      </x:c>
      <x:c r="N1672" s="82" t="n">
        <x:v>0.30024674716412564</x:v>
      </x:c>
      <x:c r="O1672" s="82" t="n">
        <x:v>0.253919418300911</x:v>
      </x:c>
      <x:c r="P1672" s="80" t="n">
        <x:v>182.66071341343365</x:v>
      </x:c>
      <x:c r="Q1672" s="81" t="n">
        <x:v>436362806.3154972</x:v>
      </x:c>
      <x:c r="R1672" s="81" t="n">
        <x:v>13.511543192787792</x:v>
      </x:c>
      <x:c r="S1672" s="81" t="n">
        <x:v>4.066175936184999e-10</x:v>
      </x:c>
      <x:c r="T1672" s="81" t="n">
        <x:v>1.356156324354149e-21</x:v>
      </x:c>
    </x:row>
    <x:row r="1673">
      <x:c r="A1673" s="59" t="n">
        <x:v>1670</x:v>
      </x:c>
      <x:c r="B1673" s="193" t="n">
        <x:v>0.7001117087900639</x:v>
      </x:c>
      <x:c r="C1673" s="83" t="n">
        <x:v>1.4804480462838487</x:v>
      </x:c>
      <x:c r="D1673" s="83" t="n">
        <x:v>1.0248894733888265</x:v>
      </x:c>
      <x:c r="E1673" s="81" t="n">
        <x:v>0.0035798457398006182</x:v>
      </x:c>
      <x:c r="F1673" s="81" t="n">
        <x:v>0.79260018147761</x:v>
      </x:c>
      <x:c r="G1673" s="81" t="n">
        <x:v>-0.008558979387415282</x:v>
      </x:c>
      <x:c r="H1673" s="59" t="n">
        <x:v>0</x:v>
      </x:c>
      <x:c r="I1673" s="81" t="n">
        <x:v>0</x:v>
      </x:c>
      <x:c r="J1673" s="79" t="n">
        <x:v>0.000007758148872229554</x:v>
      </x:c>
      <x:c r="K1673" s="81" t="n">
        <x:v>-0.9911335441460234</x:v>
      </x:c>
      <x:c r="L1673" s="81" t="n">
        <x:v>-0.9911335441460234</x:v>
      </x:c>
      <x:c r="M1673" s="80" t="n">
        <x:v>1193.9107599558781</x:v>
      </x:c>
      <x:c r="N1673" s="82" t="n">
        <x:v>0.2688734861283329</x:v>
      </x:c>
      <x:c r="O1673" s="82" t="n">
        <x:v>0.201313587123048</x:v>
      </x:c>
      <x:c r="P1673" s="80" t="n">
        <x:v>5617.137236822018</x:v>
      </x:c>
      <x:c r="Q1673" s="81" t="n">
        <x:v>0.07521991821862889</x:v>
      </x:c>
      <x:c r="R1673" s="81" t="n">
        <x:v>9.668008393012782</x:v>
      </x:c>
      <x:c r="S1673" s="81" t="n">
        <x:v>0.29272535894220447</x:v>
      </x:c>
      <x:c r="T1673" s="81" t="n">
        <x:v>0.1680584423118971</x:v>
      </x:c>
    </x:row>
    <x:row r="1674">
      <x:c r="A1674" s="59" t="n">
        <x:v>1671</x:v>
      </x:c>
      <x:c r="B1674" s="193" t="n">
        <x:v>0.8496146174147725</x:v>
      </x:c>
      <x:c r="C1674" s="83" t="n">
        <x:v>0.16201043042364463</x:v>
      </x:c>
      <x:c r="D1674" s="83" t="n">
        <x:v>0.4907408650052209</x:v>
      </x:c>
      <x:c r="E1674" s="81" t="n">
        <x:v>-0.06716320280542938</x:v>
      </x:c>
      <x:c r="F1674" s="81" t="n">
        <x:v>0.8783688097610138</x:v>
      </x:c>
      <x:c r="G1674" s="81" t="n">
        <x:v>0.018181063762073568</x:v>
      </x:c>
      <x:c r="H1674" s="59" t="n">
        <x:v>0</x:v>
      </x:c>
      <x:c r="I1674" s="81" t="n">
        <x:v>0</x:v>
      </x:c>
      <x:c r="J1674" s="79" t="n">
        <x:v>7.03790526979883e-25</x:v>
      </x:c>
      <x:c r="K1674" s="81" t="n">
        <x:v>-1</x:v>
      </x:c>
      <x:c r="L1674" s="81" t="n">
        <x:v>-1</x:v>
      </x:c>
      <x:c r="M1674" s="80" t="n">
        <x:v>0.000002</x:v>
      </x:c>
      <x:c r="N1674" s="82" t="n">
        <x:v>0.30448788214227546</x:v>
      </x:c>
      <x:c r="O1674" s="82" t="n">
        <x:v>0.2526491614973487</x:v>
      </x:c>
      <x:c r="P1674" s="80" t="n">
        <x:v>198.89644131146116</x:v>
      </x:c>
      <x:c r="Q1674" s="81" t="n">
        <x:v>45609029.143081464</x:v>
      </x:c>
      <x:c r="R1674" s="81" t="n">
        <x:v>17.974840405599043</x:v>
      </x:c>
      <x:c r="S1674" s="81" t="n">
        <x:v>4.6062834809681094e-10</x:v>
      </x:c>
      <x:c r="T1674" s="81" t="n">
        <x:v>1.524563934336018e-20</x:v>
      </x:c>
    </x:row>
    <x:row r="1675">
      <x:c r="A1675" s="59" t="n">
        <x:v>1672</x:v>
      </x:c>
      <x:c r="B1675" s="193" t="n">
        <x:v>0.9518344577401876</x:v>
      </x:c>
      <x:c r="C1675" s="83" t="n">
        <x:v>0.21025938014201934</x:v>
      </x:c>
      <x:c r="D1675" s="83" t="n">
        <x:v>0.6701183387676701</x:v>
      </x:c>
      <x:c r="E1675" s="81" t="n">
        <x:v>-0.0827591300774872</x:v>
      </x:c>
      <x:c r="F1675" s="81" t="n">
        <x:v>0.5751934523694218</x:v>
      </x:c>
      <x:c r="G1675" s="81" t="n">
        <x:v>-0.01748237880377428</x:v>
      </x:c>
      <x:c r="H1675" s="59" t="n">
        <x:v>0</x:v>
      </x:c>
      <x:c r="I1675" s="81" t="n">
        <x:v>0</x:v>
      </x:c>
      <x:c r="J1675" s="79" t="n">
        <x:v>1.837467744838851e-28</x:v>
      </x:c>
      <x:c r="K1675" s="81" t="n">
        <x:v>-1</x:v>
      </x:c>
      <x:c r="L1675" s="81" t="n">
        <x:v>-1</x:v>
      </x:c>
      <x:c r="M1675" s="80" t="n">
        <x:v>0.000002</x:v>
      </x:c>
      <x:c r="N1675" s="82" t="n">
        <x:v>0.32883856472979495</x:v>
      </x:c>
      <x:c r="O1675" s="82" t="n">
        <x:v>0.17867657520437352</x:v>
      </x:c>
      <x:c r="P1675" s="80" t="n">
        <x:v>212.41255966881218</x:v>
      </x:c>
      <x:c r="Q1675" s="81" t="n">
        <x:v>143843755926.1125</x:v>
      </x:c>
      <x:c r="R1675" s="81" t="n">
        <x:v>10.8926006501472</x:v>
      </x:c>
      <x:c r="S1675" s="81" t="n">
        <x:v>3.9136746594682416e-10</x:v>
      </x:c>
      <x:c r="T1675" s="81" t="n">
        <x:v>3.9803562948029315e-24</x:v>
      </x:c>
    </x:row>
    <x:row r="1676">
      <x:c r="A1676" s="59" t="n">
        <x:v>1673</x:v>
      </x:c>
      <x:c r="B1676" s="193" t="n">
        <x:v>0.45297696180641656</x:v>
      </x:c>
      <x:c r="C1676" s="83" t="n">
        <x:v>0.23748461376817362</x:v>
      </x:c>
      <x:c r="D1676" s="83" t="n">
        <x:v>1.1526766225423901</x:v>
      </x:c>
      <x:c r="E1676" s="81" t="n">
        <x:v>-0.019460104599943732</x:v>
      </x:c>
      <x:c r="F1676" s="81" t="n">
        <x:v>0.2599546638666652</x:v>
      </x:c>
      <x:c r="G1676" s="81" t="n">
        <x:v>0.010254122257292175</x:v>
      </x:c>
      <x:c r="H1676" s="59" t="n">
        <x:v>0</x:v>
      </x:c>
      <x:c r="I1676" s="81" t="n">
        <x:v>0</x:v>
      </x:c>
      <x:c r="J1676" s="79" t="n">
        <x:v>7.819052686193704e-19</x:v>
      </x:c>
      <x:c r="K1676" s="81" t="n">
        <x:v>-0.9999999999999991</x:v>
      </x:c>
      <x:c r="L1676" s="81" t="n">
        <x:v>-0.9999999999999991</x:v>
      </x:c>
      <x:c r="M1676" s="80" t="n">
        <x:v>0.00019462308707218746</x:v>
      </x:c>
      <x:c r="N1676" s="82" t="n">
        <x:v>0.21000135562032224</x:v>
      </x:c>
      <x:c r="O1676" s="82" t="n">
        <x:v>0.051569230807656075</x:v>
      </x:c>
      <x:c r="P1676" s="80" t="n">
        <x:v>865.5596689039672</x:v>
      </x:c>
      <x:c r="Q1676" s="81" t="n">
        <x:v>13171.3382426229</x:v>
      </x:c>
      <x:c r="R1676" s="81" t="n">
        <x:v>24.730566509918315</x:v>
      </x:c>
      <x:c r="S1676" s="81" t="n">
        <x:v>9.441671892888547e-8</x:v>
      </x:c>
      <x:c r="T1676" s="81" t="n">
        <x:v>1.6937775188873525e-14</x:v>
      </x:c>
    </x:row>
    <x:row r="1677">
      <x:c r="A1677" s="59" t="n">
        <x:v>1674</x:v>
      </x:c>
      <x:c r="B1677" s="193" t="n">
        <x:v>0.7843145210295916</x:v>
      </x:c>
      <x:c r="C1677" s="83" t="n">
        <x:v>0.23454861989690143</x:v>
      </x:c>
      <x:c r="D1677" s="83" t="n">
        <x:v>0.1553392354313035</x:v>
      </x:c>
      <x:c r="E1677" s="81" t="n">
        <x:v>-0.04032428013148531</x:v>
      </x:c>
      <x:c r="F1677" s="81" t="n">
        <x:v>0.624463619897142</x:v>
      </x:c>
      <x:c r="G1677" s="81" t="n">
        <x:v>0.009491872102868127</x:v>
      </x:c>
      <x:c r="H1677" s="59" t="n">
        <x:v>0</x:v>
      </x:c>
      <x:c r="I1677" s="81" t="n">
        <x:v>0</x:v>
      </x:c>
      <x:c r="J1677" s="79" t="n">
        <x:v>6.449117041759212e-10</x:v>
      </x:c>
      <x:c r="K1677" s="81" t="n">
        <x:v>-0.9999992629580524</x:v>
      </x:c>
      <x:c r="L1677" s="81" t="n">
        <x:v>-0.9999992629580524</x:v>
      </x:c>
      <x:c r="M1677" s="80" t="n">
        <x:v>5.411815242149241</x:v>
      </x:c>
      <x:c r="N1677" s="82" t="n">
        <x:v>0.28893217480651834</x:v>
      </x:c>
      <x:c r="O1677" s="82" t="n">
        <x:v>0.17044096744381734</x:v>
      </x:c>
      <x:c r="P1677" s="80" t="n">
        <x:v>172.43619716528974</x:v>
      </x:c>
      <x:c r="Q1677" s="81" t="n">
        <x:v>0.21033483700823624</x:v>
      </x:c>
      <x:c r="R1677" s="81" t="n">
        <x:v>27.583228948321313</x:v>
      </x:c>
      <x:c r="S1677" s="81" t="n">
        <x:v>0.00039043783802563786</x:v>
      </x:c>
      <x:c r="T1677" s="81" t="n">
        <x:v>0.000013970195496051236</x:v>
      </x:c>
    </x:row>
    <x:row r="1678">
      <x:c r="A1678" s="59" t="n">
        <x:v>1675</x:v>
      </x:c>
      <x:c r="B1678" s="193" t="n">
        <x:v>0.22486338783055546</x:v>
      </x:c>
      <x:c r="C1678" s="83" t="n">
        <x:v>2.0870340991127643</x:v>
      </x:c>
      <x:c r="D1678" s="83" t="n">
        <x:v>0.3639302430360629</x:v>
      </x:c>
      <x:c r="E1678" s="81" t="n">
        <x:v>-0.09932211376376826</x:v>
      </x:c>
      <x:c r="F1678" s="81" t="n">
        <x:v>0.6694705699221231</x:v>
      </x:c>
      <x:c r="G1678" s="81" t="n">
        <x:v>0.021263626873785656</x:v>
      </x:c>
      <x:c r="H1678" s="59" t="n">
        <x:v>54</x:v>
      </x:c>
      <x:c r="I1678" s="81" t="n">
        <x:v>0.3588346248492599</x:v>
      </x:c>
      <x:c r="J1678" s="79" t="n">
        <x:v>2.9646029150880597e-26</x:v>
      </x:c>
      <x:c r="K1678" s="81" t="n">
        <x:v>-1</x:v>
      </x:c>
      <x:c r="L1678" s="81" t="n">
        <x:v>-1</x:v>
      </x:c>
      <x:c r="M1678" s="80" t="n">
        <x:v>0.000002</x:v>
      </x:c>
      <x:c r="N1678" s="82" t="n">
        <x:v>0.15566042516976003</x:v>
      </x:c>
      <x:c r="O1678" s="82" t="n">
        <x:v>0.09844204891486791</x:v>
      </x:c>
      <x:c r="P1678" s="80" t="n">
        <x:v>475.65355009564536</x:v>
      </x:c>
      <x:c r="Q1678" s="81" t="n">
        <x:v>754236039.5633575</x:v>
      </x:c>
      <x:c r="R1678" s="81" t="n">
        <x:v>2.2086945113662337</x:v>
      </x:c>
      <x:c r="S1678" s="81" t="n">
        <x:v>1.3340072122714552e-10</x:v>
      </x:c>
      <x:c r="T1678" s="81" t="n">
        <x:v>6.421977151874725e-22</x:v>
      </x:c>
    </x:row>
    <x:row r="1679">
      <x:c r="A1679" s="59" t="n">
        <x:v>1676</x:v>
      </x:c>
      <x:c r="B1679" s="193" t="n">
        <x:v>0.4924899993464351</x:v>
      </x:c>
      <x:c r="C1679" s="83" t="n">
        <x:v>0.4490628212361035</x:v>
      </x:c>
      <x:c r="D1679" s="83" t="n">
        <x:v>0.19668416590799165</x:v>
      </x:c>
      <x:c r="E1679" s="81" t="n">
        <x:v>-0.011259368019528983</x:v>
      </x:c>
      <x:c r="F1679" s="81" t="n">
        <x:v>0.36429252261295914</x:v>
      </x:c>
      <x:c r="G1679" s="81" t="n">
        <x:v>0.017802070965239242</x:v>
      </x:c>
      <x:c r="H1679" s="59" t="n">
        <x:v>0</x:v>
      </x:c>
      <x:c r="I1679" s="81" t="n">
        <x:v>0</x:v>
      </x:c>
      <x:c r="J1679" s="79" t="n">
        <x:v>2.8421090196194177e-7</x:v>
      </x:c>
      <x:c r="K1679" s="81" t="n">
        <x:v>-0.9996751875406149</x:v>
      </x:c>
      <x:c r="L1679" s="81" t="n">
        <x:v>-0.9996751875406149</x:v>
      </x:c>
      <x:c r="M1679" s="80" t="n">
        <x:v>132.15564903524404</x:v>
      </x:c>
      <x:c r="N1679" s="82" t="n">
        <x:v>0.21941410203180856</x:v>
      </x:c>
      <x:c r="O1679" s="82" t="n">
        <x:v>0.07550674273512442</x:v>
      </x:c>
      <x:c r="P1679" s="80" t="n">
        <x:v>525.1046829752531</x:v>
      </x:c>
      <x:c r="Q1679" s="81" t="n">
        <x:v>0.028092529978094062</x:v>
      </x:c>
      <x:c r="R1679" s="81" t="n">
        <x:v>24.98812203968375</x:v>
      </x:c>
      <x:c r="S1679" s="81" t="n">
        <x:v>0.02156846517654444</x:v>
      </x:c>
      <x:c r="T1679" s="81" t="n">
        <x:v>0.006156628631187468</x:v>
      </x:c>
    </x:row>
    <x:row r="1680">
      <x:c r="A1680" s="59" t="n">
        <x:v>1677</x:v>
      </x:c>
      <x:c r="B1680" s="193" t="n">
        <x:v>0.4826845763251186</x:v>
      </x:c>
      <x:c r="C1680" s="83" t="n">
        <x:v>0.4434694841095916</x:v>
      </x:c>
      <x:c r="D1680" s="83" t="n">
        <x:v>1.3749689562472622</x:v>
      </x:c>
      <x:c r="E1680" s="81" t="n">
        <x:v>0.050343218189693915</x:v>
      </x:c>
      <x:c r="F1680" s="81" t="n">
        <x:v>0.25680267575662585</x:v>
      </x:c>
      <x:c r="G1680" s="81" t="n">
        <x:v>-0.05</x:v>
      </x:c>
      <x:c r="H1680" s="59" t="n">
        <x:v>0</x:v>
      </x:c>
      <x:c r="I1680" s="81" t="n">
        <x:v>0</x:v>
      </x:c>
      <x:c r="J1680" s="79" t="n">
        <x:v>0.005456287460998517</x:v>
      </x:c>
      <x:c r="K1680" s="81" t="n">
        <x:v>5.23575709828402</x:v>
      </x:c>
      <x:c r="L1680" s="81" t="n">
        <x:v>-0.7683336257748701</x:v>
      </x:c>
      <x:c r="M1680" s="80" t="n">
        <x:v>22023.52462269496</x:v>
      </x:c>
      <x:c r="N1680" s="82" t="n">
        <x:v>0.21707826641644937</x:v>
      </x:c>
      <x:c r="O1680" s="82" t="n">
        <x:v>0.05266072465407095</x:v>
      </x:c>
      <x:c r="P1680" s="80" t="n">
        <x:v>54871.39823523945</x:v>
      </x:c>
      <x:c r="Q1680" s="81" t="n">
        <x:v>0.002518022279286137</x:v>
      </x:c>
      <x:c r="R1680" s="81" t="n">
        <x:v>697.6886481736343</x:v>
      </x:c>
      <x:c r="S1680" s="81" t="n">
        <x:v>233.60566589037217</x:v>
      </x:c>
      <x:c r="T1680" s="81" t="n">
        <x:v>118.19509867665434</x:v>
      </x:c>
    </x:row>
    <x:row r="1681">
      <x:c r="A1681" s="59" t="n">
        <x:v>1678</x:v>
      </x:c>
      <x:c r="B1681" s="193" t="n">
        <x:v>0.46995700877159835</x:v>
      </x:c>
      <x:c r="C1681" s="83" t="n">
        <x:v>2.795812568932502</x:v>
      </x:c>
      <x:c r="D1681" s="83" t="n">
        <x:v>0.8195607599438193</x:v>
      </x:c>
      <x:c r="E1681" s="81" t="n">
        <x:v>-0.1360638226630627</x:v>
      </x:c>
      <x:c r="F1681" s="81" t="n">
        <x:v>0.7463627776829527</x:v>
      </x:c>
      <x:c r="G1681" s="81" t="n">
        <x:v>-0.012995755836774895</x:v>
      </x:c>
      <x:c r="H1681" s="59" t="n">
        <x:v>0</x:v>
      </x:c>
      <x:c r="I1681" s="81" t="n">
        <x:v>0</x:v>
      </x:c>
      <x:c r="J1681" s="79" t="n">
        <x:v>2.215577500908039e-43</x:v>
      </x:c>
      <x:c r="K1681" s="81" t="n">
        <x:v>-1</x:v>
      </x:c>
      <x:c r="L1681" s="81" t="n">
        <x:v>-1</x:v>
      </x:c>
      <x:c r="M1681" s="80" t="n">
        <x:v>0.000002</x:v>
      </x:c>
      <x:c r="N1681" s="82" t="n">
        <x:v>0.21404632118330913</x:v>
      </x:c>
      <x:c r="O1681" s="82" t="n">
        <x:v>0.1509137052798826</x:v>
      </x:c>
      <x:c r="P1681" s="80" t="n">
        <x:v>506.81603011089555</x:v>
      </x:c>
      <x:c r="Q1681" s="81" t="n">
        <x:v>7.613211884141125e+25</x:v>
      </x:c>
      <x:c r="R1681" s="81" t="n">
        <x:v>0.7798255365766995</x:v>
      </x:c>
      <x:c r="S1681" s="81" t="n">
        <x:v>1.613102317226538e-10</x:v>
      </x:c>
      <x:c r="T1681" s="81" t="n">
        <x:v>4.799424576095884e-39</x:v>
      </x:c>
    </x:row>
    <x:row r="1682">
      <x:c r="A1682" s="59" t="n">
        <x:v>1679</x:v>
      </x:c>
      <x:c r="B1682" s="193" t="n">
        <x:v>0.4481383873149753</x:v>
      </x:c>
      <x:c r="C1682" s="83" t="n">
        <x:v>0.352560561067956</x:v>
      </x:c>
      <x:c r="D1682" s="83" t="n">
        <x:v>0.39709422582277754</x:v>
      </x:c>
      <x:c r="E1682" s="81" t="n">
        <x:v>0.061194966304917324</x:v>
      </x:c>
      <x:c r="F1682" s="81" t="n">
        <x:v>0.308422195748426</x:v>
      </x:c>
      <x:c r="G1682" s="81" t="n">
        <x:v>-0.020566381227942368</x:v>
      </x:c>
      <x:c r="H1682" s="59" t="n">
        <x:v>0</x:v>
      </x:c>
      <x:c r="I1682" s="81" t="n">
        <x:v>0</x:v>
      </x:c>
      <x:c r="J1682" s="79" t="n">
        <x:v>0.0007810737084183682</x:v>
      </x:c>
      <x:c r="K1682" s="81" t="n">
        <x:v>-0.10734433323615056</x:v>
      </x:c>
      <x:c r="L1682" s="81" t="n">
        <x:v>-0.6640690604142796</x:v>
      </x:c>
      <x:c r="M1682" s="80" t="n">
        <x:v>6990.755374398936</x:v>
      </x:c>
      <x:c r="N1682" s="82" t="n">
        <x:v>0.20884871645318911</x:v>
      </x:c>
      <x:c r="O1682" s="82" t="n">
        <x:v>0.06084828988401511</x:v>
      </x:c>
      <x:c r="P1682" s="80" t="n">
        <x:v>5915.290562169019</x:v>
      </x:c>
      <x:c r="Q1682" s="81" t="n">
        <x:v>0.0021946045995490104</x:v>
      </x:c>
      <x:c r="R1682" s="81" t="n">
        <x:v>115.19553397936325</x:v>
      </x:c>
      <x:c r="S1682" s="81" t="n">
        <x:v>41.8741927464511</x:v>
      </x:c>
      <x:c r="T1682" s="81" t="n">
        <x:v>16.91976177944164</x:v>
      </x:c>
    </x:row>
    <x:row r="1683">
      <x:c r="A1683" s="59" t="n">
        <x:v>1680</x:v>
      </x:c>
      <x:c r="B1683" s="193" t="n">
        <x:v>0.6426787966862322</x:v>
      </x:c>
      <x:c r="C1683" s="83" t="n">
        <x:v>1.2258969073204615</x:v>
      </x:c>
      <x:c r="D1683" s="83" t="n">
        <x:v>1.2507439383045638</x:v>
      </x:c>
      <x:c r="E1683" s="81" t="n">
        <x:v>-0.06657255059139235</x:v>
      </x:c>
      <x:c r="F1683" s="81" t="n">
        <x:v>0.3865080205374397</x:v>
      </x:c>
      <x:c r="G1683" s="81" t="n">
        <x:v>-0.025571478971737234</x:v>
      </x:c>
      <x:c r="H1683" s="59" t="n">
        <x:v>0</x:v>
      </x:c>
      <x:c r="I1683" s="81" t="n">
        <x:v>0</x:v>
      </x:c>
      <x:c r="J1683" s="79" t="n">
        <x:v>1.244807983576397e-34</x:v>
      </x:c>
      <x:c r="K1683" s="81" t="n">
        <x:v>-1</x:v>
      </x:c>
      <x:c r="L1683" s="81" t="n">
        <x:v>-1</x:v>
      </x:c>
      <x:c r="M1683" s="80" t="n">
        <x:v>0.000002</x:v>
      </x:c>
      <x:c r="N1683" s="82" t="n">
        <x:v>0.2551918895980983</x:v>
      </x:c>
      <x:c r="O1683" s="82" t="n">
        <x:v>0.09317433891704444</x:v>
      </x:c>
      <x:c r="P1683" s="80" t="n">
        <x:v>572.6939345098497</x:v>
      </x:c>
      <x:c r="Q1683" s="81" t="n">
        <x:v>260008557658620220</x:v>
      </x:c>
      <x:c r="R1683" s="81" t="n">
        <x:v>2.030303111269791</x:v>
      </x:c>
      <x:c r="S1683" s="81" t="n">
        <x:v>3.5916359453326806e-10</x:v>
      </x:c>
      <x:c r="T1683" s="81" t="n">
        <x:v>2.6965258612927646e-30</x:v>
      </x:c>
    </x:row>
    <x:row r="1684">
      <x:c r="A1684" s="59" t="n">
        <x:v>1681</x:v>
      </x:c>
      <x:c r="B1684" s="193" t="n">
        <x:v>0.6518497634679079</x:v>
      </x:c>
      <x:c r="C1684" s="83" t="n">
        <x:v>0.4562659092442232</x:v>
      </x:c>
      <x:c r="D1684" s="83" t="n">
        <x:v>0.5027101702188586</x:v>
      </x:c>
      <x:c r="E1684" s="81" t="n">
        <x:v>-0.05587574670049283</x:v>
      </x:c>
      <x:c r="F1684" s="81" t="n">
        <x:v>0.8761281841318124</x:v>
      </x:c>
      <x:c r="G1684" s="81" t="n">
        <x:v>-0.024482428596512423</x:v>
      </x:c>
      <x:c r="H1684" s="59" t="n">
        <x:v>0</x:v>
      </x:c>
      <x:c r="I1684" s="81" t="n">
        <x:v>0</x:v>
      </x:c>
      <x:c r="J1684" s="79" t="n">
        <x:v>2.0013781917706452e-19</x:v>
      </x:c>
      <x:c r="K1684" s="81" t="n">
        <x:v>-0.9999999999999998</x:v>
      </x:c>
      <x:c r="L1684" s="81" t="n">
        <x:v>-0.9999999999999998</x:v>
      </x:c>
      <x:c r="M1684" s="80" t="n">
        <x:v>0.00011609499518471302</x:v>
      </x:c>
      <x:c r="N1684" s="82" t="n">
        <x:v>0.2573765858411208</x:v>
      </x:c>
      <x:c r="O1684" s="82" t="n">
        <x:v>0.213013745486444</x:v>
      </x:c>
      <x:c r="P1684" s="80" t="n">
        <x:v>306.1194794207205</x:v>
      </x:c>
      <x:c r="Q1684" s="81" t="n">
        <x:v>11072.312235408219</x:v>
      </x:c>
      <x:c r="R1684" s="81" t="n">
        <x:v>8.376184322502661</x:v>
      </x:c>
      <x:c r="S1684" s="81" t="n">
        <x:v>1.3517605628930446e-8</x:v>
      </x:c>
      <x:c r="T1684" s="81" t="n">
        <x:v>4.335422108100322e-15</x:v>
      </x:c>
    </x:row>
    <x:row r="1685">
      <x:c r="A1685" s="59" t="n">
        <x:v>1682</x:v>
      </x:c>
      <x:c r="B1685" s="193" t="n">
        <x:v>0.42550438512116673</x:v>
      </x:c>
      <x:c r="C1685" s="83" t="n">
        <x:v>0.4894198915142014</x:v>
      </x:c>
      <x:c r="D1685" s="83" t="n">
        <x:v>0.725964104181068</x:v>
      </x:c>
      <x:c r="E1685" s="81" t="n">
        <x:v>-0.026028153574120725</x:v>
      </x:c>
      <x:c r="F1685" s="81" t="n">
        <x:v>0.7215709608513863</x:v>
      </x:c>
      <x:c r="G1685" s="81" t="n">
        <x:v>-0.05</x:v>
      </x:c>
      <x:c r="H1685" s="59" t="n">
        <x:v>0</x:v>
      </x:c>
      <x:c r="I1685" s="81" t="n">
        <x:v>0</x:v>
      </x:c>
      <x:c r="J1685" s="79" t="n">
        <x:v>2.5088729739088864e-13</x:v>
      </x:c>
      <x:c r="K1685" s="81" t="n">
        <x:v>-0.9999999997132717</x:v>
      </x:c>
      <x:c r="L1685" s="81" t="n">
        <x:v>-0.9999999997132717</x:v>
      </x:c>
      <x:c r="M1685" s="80" t="n">
        <x:v>0.13027015425179933</x:v>
      </x:c>
      <x:c r="N1685" s="82" t="n">
        <x:v>0.20345687274308283</x:v>
      </x:c>
      <x:c r="O1685" s="82" t="n">
        <x:v>0.13868272087585087</x:v>
      </x:c>
      <x:c r="P1685" s="80" t="n">
        <x:v>632.4673094332209</x:v>
      </x:c>
      <x:c r="Q1685" s="81" t="n">
        <x:v>20.66428889628788</x:v>
      </x:c>
      <x:c r="R1685" s="81" t="n">
        <x:v>11.4829103355063</x:v>
      </x:c>
      <x:c r="S1685" s="81" t="n">
        <x:v>0.000015208275815460997</x:v>
      </x:c>
      <x:c r="T1685" s="81" t="n">
        <x:v>5.434766603445872e-9</x:v>
      </x:c>
    </x:row>
    <x:row r="1686">
      <x:c r="A1686" s="59" t="n">
        <x:v>1683</x:v>
      </x:c>
      <x:c r="B1686" s="193" t="n">
        <x:v>0.3923779904842377</x:v>
      </x:c>
      <x:c r="C1686" s="83" t="n">
        <x:v>0.17243254956185355</x:v>
      </x:c>
      <x:c r="D1686" s="83" t="n">
        <x:v>0.3351523077637004</x:v>
      </x:c>
      <x:c r="E1686" s="81" t="n">
        <x:v>-0.012035810841492016</x:v>
      </x:c>
      <x:c r="F1686" s="81" t="n">
        <x:v>0.45549890600377696</x:v>
      </x:c>
      <x:c r="G1686" s="81" t="n">
        <x:v>-0.012303021582344732</x:v>
      </x:c>
      <x:c r="H1686" s="59" t="n">
        <x:v>0</x:v>
      </x:c>
      <x:c r="I1686" s="81" t="n">
        <x:v>0</x:v>
      </x:c>
      <x:c r="J1686" s="79" t="n">
        <x:v>5.227965243588504e-8</x:v>
      </x:c>
      <x:c r="K1686" s="81" t="n">
        <x:v>-0.9999402518257876</x:v>
      </x:c>
      <x:c r="L1686" s="81" t="n">
        <x:v>-0.9999402518257876</x:v>
      </x:c>
      <x:c r="M1686" s="80" t="n">
        <x:v>45.97492038607754</x:v>
      </x:c>
      <x:c r="N1686" s="82" t="n">
        <x:v>0.1955655444206669</x:v>
      </x:c>
      <x:c r="O1686" s="82" t="n">
        <x:v>0.08414932204655802</x:v>
      </x:c>
      <x:c r="P1686" s="80" t="n">
        <x:v>507.714244148792</x:v>
      </x:c>
      <x:c r="Q1686" s="81" t="n">
        <x:v>0.06022464170905165</x:v>
      </x:c>
      <x:c r="R1686" s="81" t="n">
        <x:v>53.873657356436745</x:v>
      </x:c>
      <x:c r="S1686" s="81" t="n">
        <x:v>0.010621995215455152</x:v>
      </x:c>
      <x:c r="T1686" s="81" t="n">
        <x:v>0.0011324914097010962</x:v>
      </x:c>
    </x:row>
    <x:row r="1687">
      <x:c r="A1687" s="59" t="n">
        <x:v>1684</x:v>
      </x:c>
      <x:c r="B1687" s="193" t="n">
        <x:v>0.3242992851883173</x:v>
      </x:c>
      <x:c r="C1687" s="83" t="n">
        <x:v>0.39801078542065893</x:v>
      </x:c>
      <x:c r="D1687" s="83" t="n">
        <x:v>0.7360990335840893</x:v>
      </x:c>
      <x:c r="E1687" s="81" t="n">
        <x:v>0.009179481220505928</x:v>
      </x:c>
      <x:c r="F1687" s="81" t="n">
        <x:v>0.8638327689026483</x:v>
      </x:c>
      <x:c r="G1687" s="81" t="n">
        <x:v>0.0016505986919738054</x:v>
      </x:c>
      <x:c r="H1687" s="59" t="n">
        <x:v>53</x:v>
      </x:c>
      <x:c r="I1687" s="81" t="n">
        <x:v>0.4938672858290375</x:v>
      </x:c>
      <x:c r="J1687" s="79" t="n">
        <x:v>0.000016777400123429844</x:v>
      </x:c>
      <x:c r="K1687" s="81" t="n">
        <x:v>-0.9808258284303659</x:v>
      </x:c>
      <x:c r="L1687" s="81" t="n">
        <x:v>-0.9823035476460329</x:v>
      </x:c>
      <x:c r="M1687" s="80" t="n">
        <x:v>1002.5064663432917</x:v>
      </x:c>
      <x:c r="N1687" s="82" t="n">
        <x:v>0.17934792034345456</x:v>
      </x:c>
      <x:c r="O1687" s="82" t="n">
        <x:v>0.14635142708985546</x:v>
      </x:c>
      <x:c r="P1687" s="80" t="n">
        <x:v>2510.8510123540873</x:v>
      </x:c>
      <x:c r="Q1687" s="81" t="n">
        <x:v>0.02803886149460179</x:v>
      </x:c>
      <x:c r="R1687" s="81" t="n">
        <x:v>29.961465440561923</x:v>
      </x:c>
      <x:c r="S1687" s="81" t="n">
        <x:v>1.0204748175324445</x:v>
      </x:c>
      <x:c r="T1687" s="81" t="n">
        <x:v>0.36343511541519974</x:v>
      </x:c>
    </x:row>
    <x:row r="1688">
      <x:c r="A1688" s="59" t="n">
        <x:v>1685</x:v>
      </x:c>
      <x:c r="B1688" s="193" t="n">
        <x:v>0.621784095838666</x:v>
      </x:c>
      <x:c r="C1688" s="83" t="n">
        <x:v>0.14302435182142204</x:v>
      </x:c>
      <x:c r="D1688" s="83" t="n">
        <x:v>0.87917315060804</x:v>
      </x:c>
      <x:c r="E1688" s="81" t="n">
        <x:v>-0.012682712350326416</x:v>
      </x:c>
      <x:c r="F1688" s="81" t="n">
        <x:v>0.2770554829039611</x:v>
      </x:c>
      <x:c r="G1688" s="81" t="n">
        <x:v>0.015638785312467523</x:v>
      </x:c>
      <x:c r="H1688" s="59" t="n">
        <x:v>0</x:v>
      </x:c>
      <x:c r="I1688" s="81" t="n">
        <x:v>0</x:v>
      </x:c>
      <x:c r="J1688" s="79" t="n">
        <x:v>2.607454790090582e-12</x:v>
      </x:c>
      <x:c r="K1688" s="81" t="n">
        <x:v>-0.9999999970200517</x:v>
      </x:c>
      <x:c r="L1688" s="81" t="n">
        <x:v>-0.9999999970200517</x:v>
      </x:c>
      <x:c r="M1688" s="80" t="n">
        <x:v>0.3212054658478578</x:v>
      </x:c>
      <x:c r="N1688" s="82" t="n">
        <x:v>0.2502143800805672</x:v>
      </x:c>
      <x:c r="O1688" s="82" t="n">
        <x:v>0.06548622508632265</x:v>
      </x:c>
      <x:c r="P1688" s="80" t="n">
        <x:v>921.2233224435734</x:v>
      </x:c>
      <x:c r="Q1688" s="81" t="n">
        <x:v>9.924772315447203</x:v>
      </x:c>
      <x:c r="R1688" s="81" t="n">
        <x:v>54.354607833358045</x:v>
      </x:c>
      <x:c r="S1688" s="81" t="n">
        <x:v>0.00013452264914710693</x:v>
      </x:c>
      <x:c r="T1688" s="81" t="n">
        <x:v>5.6483163398665956e-8</x:v>
      </x:c>
    </x:row>
    <x:row r="1689">
      <x:c r="A1689" s="59" t="n">
        <x:v>1686</x:v>
      </x:c>
      <x:c r="B1689" s="193" t="n">
        <x:v>0.5662666095420719</x:v>
      </x:c>
      <x:c r="C1689" s="83" t="n">
        <x:v>1.2721482194260427</x:v>
      </x:c>
      <x:c r="D1689" s="83" t="n">
        <x:v>0.5836282669383538</x:v>
      </x:c>
      <x:c r="E1689" s="81" t="n">
        <x:v>0.014093800177651036</x:v>
      </x:c>
      <x:c r="F1689" s="81" t="n">
        <x:v>0.8836512908688746</x:v>
      </x:c>
      <x:c r="G1689" s="81" t="n">
        <x:v>-0.019112099145573654</x:v>
      </x:c>
      <x:c r="H1689" s="59" t="n">
        <x:v>0</x:v>
      </x:c>
      <x:c r="I1689" s="81" t="n">
        <x:v>0</x:v>
      </x:c>
      <x:c r="J1689" s="79" t="n">
        <x:v>0.000023904000146422788</x:v>
      </x:c>
      <x:c r="K1689" s="81" t="n">
        <x:v>-0.9726811426898025</x:v>
      </x:c>
      <x:c r="L1689" s="81" t="n">
        <x:v>-0.9726811426898025</x:v>
      </x:c>
      <x:c r="M1689" s="80" t="n">
        <x:v>1948.1503954255388</x:v>
      </x:c>
      <x:c r="N1689" s="82" t="n">
        <x:v>0.23698907389185048</x:v>
      </x:c>
      <x:c r="O1689" s="82" t="n">
        <x:v>0.19782454790693604</x:v>
      </x:c>
      <x:c r="P1689" s="80" t="n">
        <x:v>3696.8299746312146</x:v>
      </x:c>
      <x:c r="Q1689" s="81" t="n">
        <x:v>0.024267864693398516</x:v>
      </x:c>
      <x:c r="R1689" s="81" t="n">
        <x:v>11.622750808566357</x:v>
      </x:c>
      <x:c r="S1689" s="81" t="n">
        <x:v>0.5246435521867027</x:v>
      </x:c>
      <x:c r="T1689" s="81" t="n">
        <x:v>0.5178128308430723</x:v>
      </x:c>
    </x:row>
    <x:row r="1690">
      <x:c r="A1690" s="59" t="n">
        <x:v>1687</x:v>
      </x:c>
      <x:c r="B1690" s="193" t="n">
        <x:v>0.3283289223909378</x:v>
      </x:c>
      <x:c r="C1690" s="83" t="n">
        <x:v>0.28568072964586083</x:v>
      </x:c>
      <x:c r="D1690" s="83" t="n">
        <x:v>0.44311661680752146</x:v>
      </x:c>
      <x:c r="E1690" s="81" t="n">
        <x:v>-0.049927101505201125</x:v>
      </x:c>
      <x:c r="F1690" s="81" t="n">
        <x:v>0.7676536749699153</x:v>
      </x:c>
      <x:c r="G1690" s="81" t="n">
        <x:v>-0.006240809161868995</x:v>
      </x:c>
      <x:c r="H1690" s="59" t="n">
        <x:v>0</x:v>
      </x:c>
      <x:c r="I1690" s="81" t="n">
        <x:v>0</x:v>
      </x:c>
      <x:c r="J1690" s="79" t="n">
        <x:v>1.2284255991664492e-17</x:v>
      </x:c>
      <x:c r="K1690" s="81" t="n">
        <x:v>-0.999999999999986</x:v>
      </x:c>
      <x:c r="L1690" s="81" t="n">
        <x:v>-0.999999999999986</x:v>
      </x:c>
      <x:c r="M1690" s="80" t="n">
        <x:v>0.0007982865452551329</x:v>
      </x:c>
      <x:c r="N1690" s="82" t="n">
        <x:v>0.18030785548081615</x:v>
      </x:c>
      <x:c r="O1690" s="82" t="n">
        <x:v>0.13075277755237327</x:v>
      </x:c>
      <x:c r="P1690" s="80" t="n">
        <x:v>301.10354948596</x:v>
      </x:c>
      <x:c r="Q1690" s="81" t="n">
        <x:v>1380.3713117572115</x:v>
      </x:c>
      <x:c r="R1690" s="81" t="n">
        <x:v>16.724490303868603</x:v>
      </x:c>
      <x:c r="S1690" s="81" t="n">
        <x:v>1.1620426116157875e-7</x:v>
      </x:c>
      <x:c r="T1690" s="81" t="n">
        <x:v>2.661038040027234e-13</x:v>
      </x:c>
    </x:row>
    <x:row r="1691">
      <x:c r="A1691" s="59" t="n">
        <x:v>1688</x:v>
      </x:c>
      <x:c r="B1691" s="193" t="n">
        <x:v>0.7906817207112908</x:v>
      </x:c>
      <x:c r="C1691" s="83" t="n">
        <x:v>0.38328581901147907</x:v>
      </x:c>
      <x:c r="D1691" s="83" t="n">
        <x:v>0.6992615987483779</x:v>
      </x:c>
      <x:c r="E1691" s="81" t="n">
        <x:v>-0.028628589859791238</x:v>
      </x:c>
      <x:c r="F1691" s="81" t="n">
        <x:v>0.6098718637018465</x:v>
      </x:c>
      <x:c r="G1691" s="81" t="n">
        <x:v>-0.013597105382111709</x:v>
      </x:c>
      <x:c r="H1691" s="59" t="n">
        <x:v>0</x:v>
      </x:c>
      <x:c r="I1691" s="81" t="n">
        <x:v>0</x:v>
      </x:c>
      <x:c r="J1691" s="79" t="n">
        <x:v>4.4991064440573415e-16</x:v>
      </x:c>
      <x:c r="K1691" s="81" t="n">
        <x:v>-0.9999999999994859</x:v>
      </x:c>
      <x:c r="L1691" s="81" t="n">
        <x:v>-0.9999999999994859</x:v>
      </x:c>
      <x:c r="M1691" s="80" t="n">
        <x:v>0.005170870313750291</x:v>
      </x:c>
      <x:c r="N1691" s="82" t="n">
        <x:v>0.2904489611556931</x:v>
      </x:c>
      <x:c r="O1691" s="82" t="n">
        <x:v>0.1673321407003036</x:v>
      </x:c>
      <x:c r="P1691" s="80" t="n">
        <x:v>515.8534301768516</x:v>
      </x:c>
      <x:c r="Q1691" s="81" t="n">
        <x:v>417.10810045899007</x:v>
      </x:c>
      <x:c r="R1691" s="81" t="n">
        <x:v>12.855082970053022</x:v>
      </x:c>
      <x:c r="S1691" s="81" t="n">
        <x:v>0.000001001774584897813</x:v>
      </x:c>
      <x:c r="T1691" s="81" t="n">
        <x:v>9.746046811375533e-12</x:v>
      </x:c>
    </x:row>
    <x:row r="1692">
      <x:c r="A1692" s="59" t="n">
        <x:v>1689</x:v>
      </x:c>
      <x:c r="B1692" s="193" t="n">
        <x:v>0.7829261954873801</x:v>
      </x:c>
      <x:c r="C1692" s="83" t="n">
        <x:v>0.7066624431807291</x:v>
      </x:c>
      <x:c r="D1692" s="83" t="n">
        <x:v>0.3873194768574752</x:v>
      </x:c>
      <x:c r="E1692" s="81" t="n">
        <x:v>-0.10102365803684084</x:v>
      </x:c>
      <x:c r="F1692" s="81" t="n">
        <x:v>0.47390474202111366</x:v>
      </x:c>
      <x:c r="G1692" s="81" t="n">
        <x:v>-0.0016187146590882961</x:v>
      </x:c>
      <x:c r="H1692" s="59" t="n">
        <x:v>0</x:v>
      </x:c>
      <x:c r="I1692" s="81" t="n">
        <x:v>0</x:v>
      </x:c>
      <x:c r="J1692" s="79" t="n">
        <x:v>2.3696393034245737e-25</x:v>
      </x:c>
      <x:c r="K1692" s="81" t="n">
        <x:v>-1</x:v>
      </x:c>
      <x:c r="L1692" s="81" t="n">
        <x:v>-1</x:v>
      </x:c>
      <x:c r="M1692" s="80" t="n">
        <x:v>0.000002</x:v>
      </x:c>
      <x:c r="N1692" s="82" t="n">
        <x:v>0.28860144963125917</x:v>
      </x:c>
      <x:c r="O1692" s="82" t="n">
        <x:v>0.12919940227136403</x:v>
      </x:c>
      <x:c r="P1692" s="80" t="n">
        <x:v>244.89106744363548</x:v>
      </x:c>
      <x:c r="Q1692" s="81" t="n">
        <x:v>92915061.19406916</x:v>
      </x:c>
      <x:c r="R1692" s="81" t="n">
        <x:v>5.014068160515989</x:v>
      </x:c>
      <x:c r="S1692" s="81" t="n">
        <x:v>1.949241857015806e-10</x:v>
      </x:c>
      <x:c r="T1692" s="81" t="n">
        <x:v>5.133156075414886e-21</x:v>
      </x:c>
    </x:row>
    <x:row r="1693">
      <x:c r="A1693" s="59" t="n">
        <x:v>1690</x:v>
      </x:c>
      <x:c r="B1693" s="193" t="n">
        <x:v>0.6038756379857659</x:v>
      </x:c>
      <x:c r="C1693" s="83" t="n">
        <x:v>2.0650546652651065</x:v>
      </x:c>
      <x:c r="D1693" s="83" t="n">
        <x:v>0.8297801278919876</x:v>
      </x:c>
      <x:c r="E1693" s="81" t="n">
        <x:v>-0.05635377864999223</x:v>
      </x:c>
      <x:c r="F1693" s="81" t="n">
        <x:v>0.8239434691728093</x:v>
      </x:c>
      <x:c r="G1693" s="81" t="n">
        <x:v>-0.05</x:v>
      </x:c>
      <x:c r="H1693" s="59" t="n">
        <x:v>12</x:v>
      </x:c>
      <x:c r="I1693" s="81" t="n">
        <x:v>0.34569890052080154</x:v>
      </x:c>
      <x:c r="J1693" s="79" t="n">
        <x:v>2.080376002739695e-24</x:v>
      </x:c>
      <x:c r="K1693" s="81" t="n">
        <x:v>-1</x:v>
      </x:c>
      <x:c r="L1693" s="81" t="n">
        <x:v>-1</x:v>
      </x:c>
      <x:c r="M1693" s="80" t="n">
        <x:v>0.000002</x:v>
      </x:c>
      <x:c r="N1693" s="82" t="n">
        <x:v>0.2459482496364217</x:v>
      </x:c>
      <x:c r="O1693" s="82" t="n">
        <x:v>0.19143092316526006</x:v>
      </x:c>
      <x:c r="P1693" s="80" t="n">
        <x:v>805.4620497178304</x:v>
      </x:c>
      <x:c r="Q1693" s="81" t="n">
        <x:v>18202846.790441938</x:v>
      </x:c>
      <x:c r="R1693" s="81" t="n">
        <x:v>2.0017663924290874</x:v>
      </x:c>
      <x:c r="S1693" s="81" t="n">
        <x:v>1.2705724742817864e-10</x:v>
      </x:c>
      <x:c r="T1693" s="81" t="n">
        <x:v>4.506548613612878e-20</x:v>
      </x:c>
    </x:row>
    <x:row r="1694">
      <x:c r="A1694" s="59" t="n">
        <x:v>1691</x:v>
      </x:c>
      <x:c r="B1694" s="193" t="n">
        <x:v>0.5461113622412086</x:v>
      </x:c>
      <x:c r="C1694" s="83" t="n">
        <x:v>0.29966250814728257</x:v>
      </x:c>
      <x:c r="D1694" s="83" t="n">
        <x:v>0.3515524118795835</x:v>
      </x:c>
      <x:c r="E1694" s="81" t="n">
        <x:v>0.176599707174191</x:v>
      </x:c>
      <x:c r="F1694" s="81" t="n">
        <x:v>0.5937469207798132</x:v>
      </x:c>
      <x:c r="G1694" s="81" t="n">
        <x:v>0.025991231272171934</x:v>
      </x:c>
      <x:c r="H1694" s="59" t="n">
        <x:v>0</x:v>
      </x:c>
      <x:c r="I1694" s="81" t="n">
        <x:v>0</x:v>
      </x:c>
      <x:c r="J1694" s="79" t="n">
        <x:v>0.0035581328780893524</x:v>
      </x:c>
      <x:c r="K1694" s="81" t="n">
        <x:v>3.0664375749592603</x:v>
      </x:c>
      <x:c r="L1694" s="81" t="n">
        <x:v>-0.7432846135017709</x:v>
      </x:c>
      <x:c r="M1694" s="80" t="n">
        <x:v>17262.495187076318</x:v>
      </x:c>
      <x:c r="N1694" s="82" t="n">
        <x:v>0.23218771607389785</x:v>
      </x:c>
      <x:c r="O1694" s="82" t="n">
        <x:v>0.1302301533023515</x:v>
      </x:c>
      <x:c r="P1694" s="80" t="n">
        <x:v>12110.214316730759</x:v>
      </x:c>
      <x:c r="Q1694" s="81" t="n">
        <x:v>0.0019452472487558987</x:v>
      </x:c>
      <x:c r="R1694" s="81" t="n">
        <x:v>248.05620076973094</x:v>
      </x:c>
      <x:c r="S1694" s="81" t="n">
        <x:v>223.6690534701182</x:v>
      </x:c>
      <x:c r="T1694" s="81" t="n">
        <x:v>77.0769263233533</x:v>
      </x:c>
    </x:row>
    <x:row r="1695">
      <x:c r="A1695" s="59" t="n">
        <x:v>1692</x:v>
      </x:c>
      <x:c r="B1695" s="193" t="n">
        <x:v>0.2158381123095751</x:v>
      </x:c>
      <x:c r="C1695" s="83" t="n">
        <x:v>1.6425284964327616</x:v>
      </x:c>
      <x:c r="D1695" s="83" t="n">
        <x:v>1.244876031777009</x:v>
      </x:c>
      <x:c r="E1695" s="81" t="n">
        <x:v>0.09669355710104453</x:v>
      </x:c>
      <x:c r="F1695" s="81" t="n">
        <x:v>0.6330195931252092</x:v>
      </x:c>
      <x:c r="G1695" s="81" t="n">
        <x:v>0.003812890618651859</x:v>
      </x:c>
      <x:c r="H1695" s="59" t="n">
        <x:v>0</x:v>
      </x:c>
      <x:c r="I1695" s="81" t="n">
        <x:v>0</x:v>
      </x:c>
      <x:c r="J1695" s="79" t="n">
        <x:v>0.07793664074564464</x:v>
      </x:c>
      <x:c r="K1695" s="81" t="n">
        <x:v>88.07044656645103</x:v>
      </x:c>
      <x:c r="L1695" s="81" t="n">
        <x:v>-0.7139261649484172</x:v>
      </x:c>
      <x:c r="M1695" s="80" t="n">
        <x:v>190903.5597236644</x:v>
      </x:c>
      <x:c r="N1695" s="82" t="n">
        <x:v>0.15351043531674655</x:v>
      </x:c>
      <x:c r="O1695" s="82" t="n">
        <x:v>0.09179647351853909</x:v>
      </x:c>
      <x:c r="P1695" s="80" t="n">
        <x:v>362569.28314860485</x:v>
      </x:c>
      <x:c r="Q1695" s="81" t="n">
        <x:v>0.0026778143104928803</x:v>
      </x:c>
      <x:c r="R1695" s="81" t="n">
        <x:v>778.1332040309164</x:v>
      </x:c>
      <x:c r="S1695" s="81" t="n">
        <x:v>925.3024587625711</x:v>
      </x:c>
      <x:c r="T1695" s="81" t="n">
        <x:v>1688.2777913194213</x:v>
      </x:c>
    </x:row>
    <x:row r="1696">
      <x:c r="A1696" s="59" t="n">
        <x:v>1693</x:v>
      </x:c>
      <x:c r="B1696" s="193" t="n">
        <x:v>0.48657007496804</x:v>
      </x:c>
      <x:c r="C1696" s="83" t="n">
        <x:v>2.875309301834611</x:v>
      </x:c>
      <x:c r="D1696" s="83" t="n">
        <x:v>0.38534420372278566</x:v>
      </x:c>
      <x:c r="E1696" s="81" t="n">
        <x:v>-0.1262350537088967</x:v>
      </x:c>
      <x:c r="F1696" s="81" t="n">
        <x:v>0.8476483549922705</x:v>
      </x:c>
      <x:c r="G1696" s="81" t="n">
        <x:v>-0.011566992652952093</x:v>
      </x:c>
      <x:c r="H1696" s="59" t="n">
        <x:v>38</x:v>
      </x:c>
      <x:c r="I1696" s="81" t="n">
        <x:v>0.3628688671626151</x:v>
      </x:c>
      <x:c r="J1696" s="79" t="n">
        <x:v>1.4825805012956936e-27</x:v>
      </x:c>
      <x:c r="K1696" s="81" t="n">
        <x:v>-1</x:v>
      </x:c>
      <x:c r="L1696" s="81" t="n">
        <x:v>-1</x:v>
      </x:c>
      <x:c r="M1696" s="80" t="n">
        <x:v>0.000002</x:v>
      </x:c>
      <x:c r="N1696" s="82" t="n">
        <x:v>0.21800386504629268</x:v>
      </x:c>
      <x:c r="O1696" s="82" t="n">
        <x:v>0.17456246210638884</x:v>
      </x:c>
      <x:c r="P1696" s="80" t="n">
        <x:v>482.09142787194014</x:v>
      </x:c>
      <x:c r="Q1696" s="81" t="n">
        <x:v>12156976812.80797</x:v>
      </x:c>
      <x:c r="R1696" s="81" t="n">
        <x:v>1.3000369786482102</x:v>
      </x:c>
      <x:c r="S1696" s="81" t="n">
        <x:v>7.560862063007834e-11</x:v>
      </x:c>
      <x:c r="T1696" s="81" t="n">
        <x:v>3.2115930456248333e-23</x:v>
      </x:c>
    </x:row>
    <x:row r="1697">
      <x:c r="A1697" s="59" t="n">
        <x:v>1694</x:v>
      </x:c>
      <x:c r="B1697" s="193" t="n">
        <x:v>0.20785134304314853</x:v>
      </x:c>
      <x:c r="C1697" s="83" t="n">
        <x:v>2.478817988702379</x:v>
      </x:c>
      <x:c r="D1697" s="83" t="n">
        <x:v>1.0027968358134425</x:v>
      </x:c>
      <x:c r="E1697" s="81" t="n">
        <x:v>0.03550626755921721</x:v>
      </x:c>
      <x:c r="F1697" s="81" t="n">
        <x:v>0.8562562499195338</x:v>
      </x:c>
      <x:c r="G1697" s="81" t="n">
        <x:v>-0.015466853088887456</x:v>
      </x:c>
      <x:c r="H1697" s="59" t="n">
        <x:v>0</x:v>
      </x:c>
      <x:c r="I1697" s="81" t="n">
        <x:v>0</x:v>
      </x:c>
      <x:c r="J1697" s="79" t="n">
        <x:v>0.0032048839833200863</x:v>
      </x:c>
      <x:c r="K1697" s="81" t="n">
        <x:v>2.6627245523658134</x:v>
      </x:c>
      <x:c r="L1697" s="81" t="n">
        <x:v>-0.5583596254621446</x:v>
      </x:c>
      <x:c r="M1697" s="80" t="n">
        <x:v>37947.84677731606</x:v>
      </x:c>
      <x:c r="N1697" s="82" t="n">
        <x:v>0.15160783712556009</x:v>
      </x:c>
      <x:c r="O1697" s="82" t="n">
        <x:v>0.1226298927300825</x:v>
      </x:c>
      <x:c r="P1697" s="80" t="n">
        <x:v>71991.85148144921</x:v>
      </x:c>
      <x:c r="Q1697" s="81" t="n">
        <x:v>0.007905622191677777</x:v>
      </x:c>
      <x:c r="R1697" s="81" t="n">
        <x:v>37.664888381418294</x:v>
      </x:c>
      <x:c r="S1697" s="81" t="n">
        <x:v>28.0988462146807</x:v>
      </x:c>
      <x:c r="T1697" s="81" t="n">
        <x:v>69.42478404288927</x:v>
      </x:c>
    </x:row>
    <x:row r="1698">
      <x:c r="A1698" s="59" t="n">
        <x:v>1695</x:v>
      </x:c>
      <x:c r="B1698" s="193" t="n">
        <x:v>0.9739769324660301</x:v>
      </x:c>
      <x:c r="C1698" s="83" t="n">
        <x:v>0.3464004668423564</x:v>
      </x:c>
      <x:c r="D1698" s="83" t="n">
        <x:v>0.8088893882542504</x:v>
      </x:c>
      <x:c r="E1698" s="81" t="n">
        <x:v>0.01584314598618624</x:v>
      </x:c>
      <x:c r="F1698" s="81" t="n">
        <x:v>0.3962718055699952</x:v>
      </x:c>
      <x:c r="G1698" s="81" t="n">
        <x:v>-0.001213405569508982</x:v>
      </x:c>
      <x:c r="H1698" s="59" t="n">
        <x:v>0</x:v>
      </x:c>
      <x:c r="I1698" s="81" t="n">
        <x:v>0</x:v>
      </x:c>
      <x:c r="J1698" s="79" t="n">
        <x:v>0.00007521816208224103</x:v>
      </x:c>
      <x:c r="K1698" s="81" t="n">
        <x:v>-0.9140363861917246</x:v>
      </x:c>
      <x:c r="L1698" s="81" t="n">
        <x:v>-0.9292813814794486</x:v>
      </x:c>
      <x:c r="M1698" s="80" t="n">
        <x:v>2091.025929906325</x:v>
      </x:c>
      <x:c r="N1698" s="82" t="n">
        <x:v>0.3341133173808922</x:v>
      </x:c>
      <x:c r="O1698" s="82" t="n">
        <x:v>0.125071368564743</x:v>
      </x:c>
      <x:c r="P1698" s="80" t="n">
        <x:v>4385.416098258749</x:v>
      </x:c>
      <x:c r="Q1698" s="81" t="n">
        <x:v>0.01532471679994103</x:v>
      </x:c>
      <x:c r="R1698" s="81" t="n">
        <x:v>45.96931308027415</x:v>
      </x:c>
      <x:c r="S1698" s="81" t="n">
        <x:v>4.581711854438312</x:v>
      </x:c>
      <x:c r="T1698" s="81" t="n">
        <x:v>1.6293896084353454</x:v>
      </x:c>
    </x:row>
    <x:row r="1699">
      <x:c r="A1699" s="59" t="n">
        <x:v>1696</x:v>
      </x:c>
      <x:c r="B1699" s="193" t="n">
        <x:v>0.666655020788312</x:v>
      </x:c>
      <x:c r="C1699" s="83" t="n">
        <x:v>0.3825504167545827</x:v>
      </x:c>
      <x:c r="D1699" s="83" t="n">
        <x:v>0.28734006063036494</x:v>
      </x:c>
      <x:c r="E1699" s="81" t="n">
        <x:v>-0.036028104913610366</x:v>
      </x:c>
      <x:c r="F1699" s="81" t="n">
        <x:v>0.2861732332385145</x:v>
      </x:c>
      <x:c r="G1699" s="81" t="n">
        <x:v>-0.0036982516930440705</x:v>
      </x:c>
      <x:c r="H1699" s="59" t="n">
        <x:v>0</x:v>
      </x:c>
      <x:c r="I1699" s="81" t="n">
        <x:v>0</x:v>
      </x:c>
      <x:c r="J1699" s="79" t="n">
        <x:v>5.37943280274992e-11</x:v>
      </x:c>
      <x:c r="K1699" s="81" t="n">
        <x:v>-0.999999938520768</x:v>
      </x:c>
      <x:c r="L1699" s="81" t="n">
        <x:v>-0.999999938520768</x:v>
      </x:c>
      <x:c r="M1699" s="80" t="n">
        <x:v>1.7568606241592137</x:v>
      </x:c>
      <x:c r="N1699" s="82" t="n">
        <x:v>0.26090347573341566</x:v>
      </x:c>
      <x:c r="O1699" s="82" t="n">
        <x:v>0.07053096354173523</x:v>
      </x:c>
      <x:c r="P1699" s="80" t="n">
        <x:v>395.0040445409905</x:v>
      </x:c>
      <x:c r="Q1699" s="81" t="n">
        <x:v>0.9446010508717155</x:v>
      </x:c>
      <x:c r="R1699" s="81" t="n">
        <x:v>21.5402320011242</x:v>
      </x:c>
      <x:c r="S1699" s="81" t="n">
        <x:v>0.00015849109060585924</x:v>
      </x:c>
      <x:c r="T1699" s="81" t="n">
        <x:v>0.000001165302589884259</x:v>
      </x:c>
    </x:row>
    <x:row r="1700">
      <x:c r="A1700" s="59" t="n">
        <x:v>1697</x:v>
      </x:c>
      <x:c r="B1700" s="193" t="n">
        <x:v>0.7404401367530227</x:v>
      </x:c>
      <x:c r="C1700" s="83" t="n">
        <x:v>0.18743398137361234</x:v>
      </x:c>
      <x:c r="D1700" s="83" t="n">
        <x:v>0.6623475306151644</x:v>
      </x:c>
      <x:c r="E1700" s="81" t="n">
        <x:v>0.05039723789915177</x:v>
      </x:c>
      <x:c r="F1700" s="81" t="n">
        <x:v>0.47893634376814587</x:v>
      </x:c>
      <x:c r="G1700" s="81" t="n">
        <x:v>0.01736934461015894</x:v>
      </x:c>
      <x:c r="H1700" s="59" t="n">
        <x:v>53</x:v>
      </x:c>
      <x:c r="I1700" s="81" t="n">
        <x:v>0.4399944299831987</x:v>
      </x:c>
      <x:c r="J1700" s="79" t="n">
        <x:v>0.0006713342900570662</x:v>
      </x:c>
      <x:c r="K1700" s="81" t="n">
        <x:v>-0.2327608113633528</x:v>
      </x:c>
      <x:c r="L1700" s="81" t="n">
        <x:v>-0.8870593911345396</x:v>
      </x:c>
      <x:c r="M1700" s="80" t="n">
        <x:v>6047.566167175386</x:v>
      </x:c>
      <x:c r="N1700" s="82" t="n">
        <x:v>0.27848047382713403</x:v>
      </x:c>
      <x:c r="O1700" s="82" t="n">
        <x:v>0.12599214955580595</x:v>
      </x:c>
      <x:c r="P1700" s="80" t="n">
        <x:v>8138.5039353219645</x:v>
      </x:c>
      <x:c r="Q1700" s="81" t="n">
        <x:v>0.00576265729889079</x:v>
      </x:c>
      <x:c r="R1700" s="81" t="n">
        <x:v>156.7637460633874</x:v>
      </x:c>
      <x:c r="S1700" s="81" t="n">
        <x:v>68.40502799122739</x:v>
      </x:c>
      <x:c r="T1700" s="81" t="n">
        <x:v>14.542566392533072</x:v>
      </x:c>
    </x:row>
    <x:row r="1701">
      <x:c r="A1701" s="59" t="n">
        <x:v>1698</x:v>
      </x:c>
      <x:c r="B1701" s="193" t="n">
        <x:v>0.504290208593011</x:v>
      </x:c>
      <x:c r="C1701" s="83" t="n">
        <x:v>0.700976577890152</x:v>
      </x:c>
      <x:c r="D1701" s="83" t="n">
        <x:v>0.7610378982708876</x:v>
      </x:c>
      <x:c r="E1701" s="81" t="n">
        <x:v>-0.013862466273859118</x:v>
      </x:c>
      <x:c r="F1701" s="81" t="n">
        <x:v>0.4979174390085973</x:v>
      </x:c>
      <x:c r="G1701" s="81" t="n">
        <x:v>-0.031640534342626855</x:v>
      </x:c>
      <x:c r="H1701" s="59" t="n">
        <x:v>0</x:v>
      </x:c>
      <x:c r="I1701" s="81" t="n">
        <x:v>0</x:v>
      </x:c>
      <x:c r="J1701" s="79" t="n">
        <x:v>2.89052058701771e-10</x:v>
      </x:c>
      <x:c r="K1701" s="81" t="n">
        <x:v>-0.99999966965479</x:v>
      </x:c>
      <x:c r="L1701" s="81" t="n">
        <x:v>-0.99999966965479</x:v>
      </x:c>
      <x:c r="M1701" s="80" t="n">
        <x:v>4.997972279326613</x:v>
      </x:c>
      <x:c r="N1701" s="82" t="n">
        <x:v>0.22222513312826642</x:v>
      </x:c>
      <x:c r="O1701" s="82" t="n">
        <x:v>0.10452530756153519</x:v>
      </x:c>
      <x:c r="P1701" s="80" t="n">
        <x:v>1180.2912300043158</x:v>
      </x:c>
      <x:c r="Q1701" s="81" t="n">
        <x:v>1.2617038638376947</x:v>
      </x:c>
      <x:c r="R1701" s="81" t="n">
        <x:v>11.957622645544685</x:v>
      </x:c>
      <x:c r="S1701" s="81" t="n">
        <x:v>0.0006794062902357351</x:v>
      </x:c>
      <x:c r="T1701" s="81" t="n">
        <x:v>0.000006261498655478407</x:v>
      </x:c>
    </x:row>
    <x:row r="1702">
      <x:c r="A1702" s="59" t="n">
        <x:v>1699</x:v>
      </x:c>
      <x:c r="B1702" s="193" t="n">
        <x:v>0.30561072174459697</x:v>
      </x:c>
      <x:c r="C1702" s="83" t="n">
        <x:v>0.9056008651376125</x:v>
      </x:c>
      <x:c r="D1702" s="83" t="n">
        <x:v>0.9667427521153404</x:v>
      </x:c>
      <x:c r="E1702" s="81" t="n">
        <x:v>-0.054569362095892915</x:v>
      </x:c>
      <x:c r="F1702" s="81" t="n">
        <x:v>0.6838245559716598</x:v>
      </x:c>
      <x:c r="G1702" s="81" t="n">
        <x:v>0.004447773129337233</x:v>
      </x:c>
      <x:c r="H1702" s="59" t="n">
        <x:v>33</x:v>
      </x:c>
      <x:c r="I1702" s="81" t="n">
        <x:v>0.1075345253571868</x:v>
      </x:c>
      <x:c r="J1702" s="79" t="n">
        <x:v>8.377561848147084e-30</x:v>
      </x:c>
      <x:c r="K1702" s="81" t="n">
        <x:v>-1</x:v>
      </x:c>
      <x:c r="L1702" s="81" t="n">
        <x:v>-1</x:v>
      </x:c>
      <x:c r="M1702" s="80" t="n">
        <x:v>0.000002</x:v>
      </x:c>
      <x:c r="N1702" s="82" t="n">
        <x:v>0.17489595412059564</x:v>
      </x:c>
      <x:c r="O1702" s="82" t="n">
        <x:v>0.11297839403310396</x:v>
      </x:c>
      <x:c r="P1702" s="80" t="n">
        <x:v>544.3374727761824</x:v>
      </x:c>
      <x:c r="Q1702" s="81" t="n">
        <x:v>4660187934761.64</x:v>
      </x:c>
      <x:c r="R1702" s="81" t="n">
        <x:v>3.568357558950498</x:v>
      </x:c>
      <x:c r="S1702" s="81" t="n">
        <x:v>4.690645797636577e-10</x:v>
      </x:c>
      <x:c r="T1702" s="81" t="n">
        <x:v>1.8147627968455904e-25</x:v>
      </x:c>
    </x:row>
    <x:row r="1703">
      <x:c r="A1703" s="59" t="n">
        <x:v>1700</x:v>
      </x:c>
      <x:c r="B1703" s="193" t="n">
        <x:v>0.6105500051751733</x:v>
      </x:c>
      <x:c r="C1703" s="83" t="n">
        <x:v>1.8842882040230169</x:v>
      </x:c>
      <x:c r="D1703" s="83" t="n">
        <x:v>1.524708816881727</x:v>
      </x:c>
      <x:c r="E1703" s="81" t="n">
        <x:v>-0.007225194935324582</x:v>
      </x:c>
      <x:c r="F1703" s="81" t="n">
        <x:v>0.4277692705043592</x:v>
      </x:c>
      <x:c r="G1703" s="81" t="n">
        <x:v>-0.008743429705301892</x:v>
      </x:c>
      <x:c r="H1703" s="59" t="n">
        <x:v>0</x:v>
      </x:c>
      <x:c r="I1703" s="81" t="n">
        <x:v>0</x:v>
      </x:c>
      <x:c r="J1703" s="79" t="n">
        <x:v>5.812940480249143e-11</x:v>
      </x:c>
      <x:c r="K1703" s="81" t="n">
        <x:v>-0.9999999335663945</x:v>
      </x:c>
      <x:c r="L1703" s="81" t="n">
        <x:v>-0.9999999335663945</x:v>
      </x:c>
      <x:c r="M1703" s="80" t="n">
        <x:v>3.809577799529797</x:v>
      </x:c>
      <x:c r="N1703" s="82" t="n">
        <x:v>0.24753820904532328</x:v>
      </x:c>
      <x:c r="O1703" s="82" t="n">
        <x:v>0.10002827270135317</x:v>
      </x:c>
      <x:c r="P1703" s="80" t="n">
        <x:v>4559.649114363956</x:v>
      </x:c>
      <x:c r="Q1703" s="81" t="n">
        <x:v>9.19834759650528</x:v>
      </x:c>
      <x:c r="R1703" s="81" t="n">
        <x:v>6.767113722039812</x:v>
      </x:c>
      <x:c r="S1703" s="81" t="n">
        <x:v>0.0008087972451628292</x:v>
      </x:c>
      <x:c r="T1703" s="81" t="n">
        <x:v>0.0000012592098172533449</x:v>
      </x:c>
    </x:row>
    <x:row r="1704">
      <x:c r="A1704" s="59" t="n">
        <x:v>1701</x:v>
      </x:c>
      <x:c r="B1704" s="193" t="n">
        <x:v>0.8698802493512632</x:v>
      </x:c>
      <x:c r="C1704" s="83" t="n">
        <x:v>0.14600931877859818</x:v>
      </x:c>
      <x:c r="D1704" s="83" t="n">
        <x:v>1.1677794652694735</x:v>
      </x:c>
      <x:c r="E1704" s="81" t="n">
        <x:v>0.031248384450251812</x:v>
      </x:c>
      <x:c r="F1704" s="81" t="n">
        <x:v>0.3985722036566586</x:v>
      </x:c>
      <x:c r="G1704" s="81" t="n">
        <x:v>-0.007070281306687192</x:v>
      </x:c>
      <x:c r="H1704" s="59" t="n">
        <x:v>0</x:v>
      </x:c>
      <x:c r="I1704" s="81" t="n">
        <x:v>0</x:v>
      </x:c>
      <x:c r="J1704" s="79" t="n">
        <x:v>0.0004989168931736441</x:v>
      </x:c>
      <x:c r="K1704" s="81" t="n">
        <x:v>-0.42980926494440674</x:v>
      </x:c>
      <x:c r="L1704" s="81" t="n">
        <x:v>-0.7962942794537069</x:v>
      </x:c>
      <x:c r="M1704" s="80" t="n">
        <x:v>4993.692740120369</x:v>
      </x:c>
      <x:c r="N1704" s="82" t="n">
        <x:v>0.30931553565014613</x:v>
      </x:c>
      <x:c r="O1704" s="82" t="n">
        <x:v>0.11646077693157002</x:v>
      </x:c>
      <x:c r="P1704" s="80" t="n">
        <x:v>11768.77545409328</x:v>
      </x:c>
      <x:c r="Q1704" s="81" t="n">
        <x:v>0.008165362789056226</x:v>
      </x:c>
      <x:c r="R1704" s="81" t="n">
        <x:v>231.06642552521214</x:v>
      </x:c>
      <x:c r="S1704" s="81" t="n">
        <x:v>65.54730642959096</x:v>
      </x:c>
      <x:c r="T1704" s="81" t="n">
        <x:v>10.807629151070618</x:v>
      </x:c>
    </x:row>
    <x:row r="1705">
      <x:c r="A1705" s="59" t="n">
        <x:v>1702</x:v>
      </x:c>
      <x:c r="B1705" s="193" t="n">
        <x:v>0.6664166845381261</x:v>
      </x:c>
      <x:c r="C1705" s="83" t="n">
        <x:v>0.844270686824683</x:v>
      </x:c>
      <x:c r="D1705" s="83" t="n">
        <x:v>1.4080473310058699</x:v>
      </x:c>
      <x:c r="E1705" s="81" t="n">
        <x:v>-0.09544522477672772</x:v>
      </x:c>
      <x:c r="F1705" s="81" t="n">
        <x:v>0.6235036812373438</x:v>
      </x:c>
      <x:c r="G1705" s="81" t="n">
        <x:v>-0.0001971238179647306</x:v>
      </x:c>
      <x:c r="H1705" s="59" t="n">
        <x:v>0</x:v>
      </x:c>
      <x:c r="I1705" s="81" t="n">
        <x:v>0</x:v>
      </x:c>
      <x:c r="J1705" s="79" t="n">
        <x:v>4.777604317937833e-51</x:v>
      </x:c>
      <x:c r="K1705" s="81" t="n">
        <x:v>-1</x:v>
      </x:c>
      <x:c r="L1705" s="81" t="n">
        <x:v>-1</x:v>
      </x:c>
      <x:c r="M1705" s="80" t="n">
        <x:v>0.000002</x:v>
      </x:c>
      <x:c r="N1705" s="82" t="n">
        <x:v>0.26084669956981676</x:v>
      </x:c>
      <x:c r="O1705" s="82" t="n">
        <x:v>0.1536368201331115</x:v>
      </x:c>
      <x:c r="P1705" s="80" t="n">
        <x:v>359.6128027119554</x:v>
      </x:c>
      <x:c r="Q1705" s="81" t="n">
        <x:v>4.8531206035579817e+33</x:v>
      </x:c>
      <x:c r="R1705" s="81" t="n">
        <x:v>1.6672666023812903</x:v>
      </x:c>
      <x:c r="S1705" s="81" t="n">
        <x:v>6.671984180589807e-10</x:v>
      </x:c>
      <x:c r="T1705" s="81" t="n">
        <x:v>1.034933400839061e-46</x:v>
      </x:c>
    </x:row>
    <x:row r="1706">
      <x:c r="A1706" s="59" t="n">
        <x:v>1703</x:v>
      </x:c>
      <x:c r="B1706" s="193" t="n">
        <x:v>0.9856023265048861</x:v>
      </x:c>
      <x:c r="C1706" s="83" t="n">
        <x:v>0.15519367244630192</x:v>
      </x:c>
      <x:c r="D1706" s="83" t="n">
        <x:v>0.49852788724583613</x:v>
      </x:c>
      <x:c r="E1706" s="81" t="n">
        <x:v>0.000007608174275061942</x:v>
      </x:c>
      <x:c r="F1706" s="81" t="n">
        <x:v>0.37526980090187867</x:v>
      </x:c>
      <x:c r="G1706" s="81" t="n">
        <x:v>-0.010000388666634524</x:v>
      </x:c>
      <x:c r="H1706" s="59" t="n">
        <x:v>0</x:v>
      </x:c>
      <x:c r="I1706" s="81" t="n">
        <x:v>0</x:v>
      </x:c>
      <x:c r="J1706" s="79" t="n">
        <x:v>6.533607478638569e-7</x:v>
      </x:c>
      <x:c r="K1706" s="81" t="n">
        <x:v>-0.9992533020024413</x:v>
      </x:c>
      <x:c r="L1706" s="81" t="n">
        <x:v>-0.9992533020024413</x:v>
      </x:c>
      <x:c r="M1706" s="80" t="n">
        <x:v>159.53904423536156</x:v>
      </x:c>
      <x:c r="N1706" s="82" t="n">
        <x:v>0.3368827042170858</x:v>
      </x:c>
      <x:c r="O1706" s="82" t="n">
        <x:v>0.11942445643683533</x:v>
      </x:c>
      <x:c r="P1706" s="80" t="n">
        <x:v>820.6770336321803</x:v>
      </x:c>
      <x:c r="Q1706" s="81" t="n">
        <x:v>0.041443893709394754</x:v>
      </x:c>
      <x:c r="R1706" s="81" t="n">
        <x:v>59.13976465307999</x:v>
      </x:c>
      <x:c r="S1706" s="81" t="n">
        <x:v>0.10500241382204101</x:v>
      </x:c>
      <x:c r="T1706" s="81" t="n">
        <x:v>0.01415322022844614</x:v>
      </x:c>
    </x:row>
    <x:row r="1707">
      <x:c r="A1707" s="59" t="n">
        <x:v>1704</x:v>
      </x:c>
      <x:c r="B1707" s="193" t="n">
        <x:v>0.829197040759027</x:v>
      </x:c>
      <x:c r="C1707" s="83" t="n">
        <x:v>0.1948818082035875</x:v>
      </x:c>
      <x:c r="D1707" s="83" t="n">
        <x:v>0.348851547899409</x:v>
      </x:c>
      <x:c r="E1707" s="81" t="n">
        <x:v>0.04868142108223057</x:v>
      </x:c>
      <x:c r="F1707" s="81" t="n">
        <x:v>0.5152729445137083</x:v>
      </x:c>
      <x:c r="G1707" s="81" t="n">
        <x:v>0.015550389206100836</x:v>
      </x:c>
      <x:c r="H1707" s="59" t="n">
        <x:v>0</x:v>
      </x:c>
      <x:c r="I1707" s="81" t="n">
        <x:v>0</x:v>
      </x:c>
      <x:c r="J1707" s="79" t="n">
        <x:v>0.00011523400741298067</x:v>
      </x:c>
      <x:c r="K1707" s="81" t="n">
        <x:v>-0.8683039915280221</x:v>
      </x:c>
      <x:c r="L1707" s="81" t="n">
        <x:v>-0.9225690087198853</x:v>
      </x:c>
      <x:c r="M1707" s="80" t="n">
        <x:v>2352.2373773372246</x:v>
      </x:c>
      <x:c r="N1707" s="82" t="n">
        <x:v>0.2996240325533144</x:v>
      </x:c>
      <x:c r="O1707" s="82" t="n">
        <x:v>0.14584277732884504</x:v>
      </x:c>
      <x:c r="P1707" s="80" t="n">
        <x:v>2023.725596487642</x:v>
      </x:c>
      <x:c r="Q1707" s="81" t="n">
        <x:v>0.0062912639001810435</x:v>
      </x:c>
      <x:c r="R1707" s="81" t="n">
        <x:v>76.2777158386914</x:v>
      </x:c>
      <x:c r="S1707" s="81" t="n">
        <x:v>11.357821828041674</x:v>
      </x:c>
      <x:c r="T1707" s="81" t="n">
        <x:v>2.4962201816601226</x:v>
      </x:c>
    </x:row>
    <x:row r="1708">
      <x:c r="A1708" s="59" t="n">
        <x:v>1705</x:v>
      </x:c>
      <x:c r="B1708" s="193" t="n">
        <x:v>0.48865309599787</x:v>
      </x:c>
      <x:c r="C1708" s="83" t="n">
        <x:v>1.4380736832109935</x:v>
      </x:c>
      <x:c r="D1708" s="83" t="n">
        <x:v>3</x:v>
      </x:c>
      <x:c r="E1708" s="81" t="n">
        <x:v>-0.10401807196487338</x:v>
      </x:c>
      <x:c r="F1708" s="81" t="n">
        <x:v>0.366428304486908</x:v>
      </x:c>
      <x:c r="G1708" s="81" t="n">
        <x:v>0.03094220835838825</x:v>
      </x:c>
      <x:c r="H1708" s="59" t="n">
        <x:v>0</x:v>
      </x:c>
      <x:c r="I1708" s="81" t="n">
        <x:v>0</x:v>
      </x:c>
      <x:c r="J1708" s="79" t="n">
        <x:v>2.2340597832599e-102</x:v>
      </x:c>
      <x:c r="K1708" s="81" t="n">
        <x:v>-1</x:v>
      </x:c>
      <x:c r="L1708" s="81" t="n">
        <x:v>-1</x:v>
      </x:c>
      <x:c r="M1708" s="80" t="n">
        <x:v>0.000002</x:v>
      </x:c>
      <x:c r="N1708" s="82" t="n">
        <x:v>0.21850007971224264</x:v>
      </x:c>
      <x:c r="O1708" s="82" t="n">
        <x:v>0.07563303962239427</x:v>
      </x:c>
      <x:c r="P1708" s="80" t="n">
        <x:v>572.9306367135184</x:v>
      </x:c>
      <x:c r="Q1708" s="81" t="n">
        <x:v>9.597704917395003e+84</x:v>
      </x:c>
      <x:c r="R1708" s="81" t="n">
        <x:v>0.8460774842187644</x:v>
      </x:c>
      <x:c r="S1708" s="81" t="n">
        <x:v>1.5616945776141108e-9</x:v>
      </x:c>
      <x:c r="T1708" s="81" t="n">
        <x:v>4.8394612347573427e-98</x:v>
      </x:c>
    </x:row>
    <x:row r="1709">
      <x:c r="A1709" s="59" t="n">
        <x:v>1706</x:v>
      </x:c>
      <x:c r="B1709" s="193" t="n">
        <x:v>0.4510411120951176</x:v>
      </x:c>
      <x:c r="C1709" s="83" t="n">
        <x:v>2.378754927686997</x:v>
      </x:c>
      <x:c r="D1709" s="83" t="n">
        <x:v>1.0609100689847113</x:v>
      </x:c>
      <x:c r="E1709" s="81" t="n">
        <x:v>0.05486093093603639</x:v>
      </x:c>
      <x:c r="F1709" s="81" t="n">
        <x:v>0.27634924806188793</x:v>
      </x:c>
      <x:c r="G1709" s="81" t="n">
        <x:v>0.00497894420845724</x:v>
      </x:c>
      <x:c r="H1709" s="59" t="n">
        <x:v>0</x:v>
      </x:c>
      <x:c r="I1709" s="81" t="n">
        <x:v>0</x:v>
      </x:c>
      <x:c r="J1709" s="79" t="n">
        <x:v>0.07152147556189552</x:v>
      </x:c>
      <x:c r="K1709" s="81" t="n">
        <x:v>80.73882921359488</x:v>
      </x:c>
      <x:c r="L1709" s="81" t="n">
        <x:v>-0.44698846028614014</x:v>
      </x:c>
      <x:c r="M1709" s="80" t="n">
        <x:v>191790.76021503762</x:v>
      </x:c>
      <x:c r="N1709" s="82" t="n">
        <x:v>0.20954019992190873</x:v>
      </x:c>
      <x:c r="O1709" s="82" t="n">
        <x:v>0.05470116590246139</x:v>
      </x:c>
      <x:c r="P1709" s="80" t="n">
        <x:v>347159.5512790476</x:v>
      </x:c>
      <x:c r="Q1709" s="81" t="n">
        <x:v>0.002679235987562932</x:v>
      </x:c>
      <x:c r="R1709" s="81" t="n">
        <x:v>219.3573615637403</x:v>
      </x:c>
      <x:c r="S1709" s="81" t="n">
        <x:v>587.5813928241115</x:v>
      </x:c>
      <x:c r="T1709" s="81" t="n">
        <x:v>1549.311307727755</x:v>
      </x:c>
    </x:row>
    <x:row r="1710">
      <x:c r="A1710" s="59" t="n">
        <x:v>1707</x:v>
      </x:c>
      <x:c r="B1710" s="193" t="n">
        <x:v>0.3734005903825164</x:v>
      </x:c>
      <x:c r="C1710" s="83" t="n">
        <x:v>0.24198511456734062</x:v>
      </x:c>
      <x:c r="D1710" s="83" t="n">
        <x:v>0.5555324459956371</x:v>
      </x:c>
      <x:c r="E1710" s="81" t="n">
        <x:v>-0.12892195805925394</x:v>
      </x:c>
      <x:c r="F1710" s="81" t="n">
        <x:v>0.8481994865462185</x:v>
      </x:c>
      <x:c r="G1710" s="81" t="n">
        <x:v>0.0005397083467366836</x:v>
      </x:c>
      <x:c r="H1710" s="59" t="n">
        <x:v>0</x:v>
      </x:c>
      <x:c r="I1710" s="81" t="n">
        <x:v>0</x:v>
      </x:c>
      <x:c r="J1710" s="79" t="n">
        <x:v>1.3519672917916902e-34</x:v>
      </x:c>
      <x:c r="K1710" s="81" t="n">
        <x:v>-1</x:v>
      </x:c>
      <x:c r="L1710" s="81" t="n">
        <x:v>-1</x:v>
      </x:c>
      <x:c r="M1710" s="80" t="n">
        <x:v>0.000002</x:v>
      </x:c>
      <x:c r="N1710" s="82" t="n">
        <x:v>0.1910447718901851</x:v>
      </x:c>
      <x:c r="O1710" s="82" t="n">
        <x:v>0.15307494230033875</x:v>
      </x:c>
      <x:c r="P1710" s="80" t="n">
        <x:v>152.70566897001396</x:v>
      </x:c>
      <x:c r="Q1710" s="81" t="n">
        <x:v>130847564574917390</x:v>
      </x:c>
      <x:c r="R1710" s="81" t="n">
        <x:v>7.789440083925934</x:v>
      </x:c>
      <x:c r="S1710" s="81" t="n">
        <x:v>3.944102099841421e-10</x:v>
      </x:c>
      <x:c r="T1710" s="81" t="n">
        <x:v>2.9286563181127713e-30</x:v>
      </x:c>
    </x:row>
    <x:row r="1711">
      <x:c r="A1711" s="59" t="n">
        <x:v>1708</x:v>
      </x:c>
      <x:c r="B1711" s="193" t="n">
        <x:v>0.9230764374136926</x:v>
      </x:c>
      <x:c r="C1711" s="83" t="n">
        <x:v>0.7346604424739875</x:v>
      </x:c>
      <x:c r="D1711" s="83" t="n">
        <x:v>0.7044199279592479</x:v>
      </x:c>
      <x:c r="E1711" s="81" t="n">
        <x:v>-0.1426793810333238</x:v>
      </x:c>
      <x:c r="F1711" s="81" t="n">
        <x:v>0.4403991412022151</x:v>
      </x:c>
      <x:c r="G1711" s="81" t="n">
        <x:v>0.012395152093758403</x:v>
      </x:c>
      <x:c r="H1711" s="59" t="n">
        <x:v>31</x:v>
      </x:c>
      <x:c r="I1711" s="81" t="n">
        <x:v>0.2887745056301355</x:v>
      </x:c>
      <x:c r="J1711" s="79" t="n">
        <x:v>1.7982587536531093e-44</x:v>
      </x:c>
      <x:c r="K1711" s="81" t="n">
        <x:v>-1</x:v>
      </x:c>
      <x:c r="L1711" s="81" t="n">
        <x:v>-1</x:v>
      </x:c>
      <x:c r="M1711" s="80" t="n">
        <x:v>0.000002</x:v>
      </x:c>
      <x:c r="N1711" s="82" t="n">
        <x:v>0.32198786507514326</x:v>
      </x:c>
      <x:c r="O1711" s="82" t="n">
        <x:v>0.13395437727623088</x:v>
      </x:c>
      <x:c r="P1711" s="80" t="n">
        <x:v>212.86783773820852</x:v>
      </x:c>
      <x:c r="Q1711" s="81" t="n">
        <x:v>8.997167219161098e+26</x:v>
      </x:c>
      <x:c r="R1711" s="81" t="n">
        <x:v>2.1602169737384185</x:v>
      </x:c>
      <x:c r="S1711" s="81" t="n">
        <x:v>4.132507241318527e-10</x:v>
      </x:c>
      <x:c r="T1711" s="81" t="n">
        <x:v>3.895421059712463e-40</x:v>
      </x:c>
    </x:row>
    <x:row r="1712">
      <x:c r="A1712" s="59" t="n">
        <x:v>1709</x:v>
      </x:c>
      <x:c r="B1712" s="193" t="n">
        <x:v>0.40025288648903373</x:v>
      </x:c>
      <x:c r="C1712" s="83" t="n">
        <x:v>0.11588379821615814</x:v>
      </x:c>
      <x:c r="D1712" s="83" t="n">
        <x:v>1.0444673525686274</x:v>
      </x:c>
      <x:c r="E1712" s="81" t="n">
        <x:v>-0.006540979603267652</x:v>
      </x:c>
      <x:c r="F1712" s="81" t="n">
        <x:v>0.8990628613042645</x:v>
      </x:c>
      <x:c r="G1712" s="81" t="n">
        <x:v>0.05243556798325271</x:v>
      </x:c>
      <x:c r="H1712" s="59" t="n">
        <x:v>0</x:v>
      </x:c>
      <x:c r="I1712" s="81" t="n">
        <x:v>0</x:v>
      </x:c>
      <x:c r="J1712" s="79" t="n">
        <x:v>1.3828460946337119e-11</x:v>
      </x:c>
      <x:c r="K1712" s="81" t="n">
        <x:v>-0.9999999841960446</x:v>
      </x:c>
      <x:c r="L1712" s="81" t="n">
        <x:v>-0.9999999841960446</x:v>
      </x:c>
      <x:c r="M1712" s="80" t="n">
        <x:v>0.7203641391677186</x:v>
      </x:c>
      <x:c r="N1712" s="82" t="n">
        <x:v>0.19744149230330968</x:v>
      </x:c>
      <x:c r="O1712" s="82" t="n">
        <x:v>0.16768701148186546</x:v>
      </x:c>
      <x:c r="P1712" s="80" t="n">
        <x:v>938.7231011855545</x:v>
      </x:c>
      <x:c r="Q1712" s="81" t="n">
        <x:v>8.044905145929226</x:v>
      </x:c>
      <x:c r="R1712" s="81" t="n">
        <x:v>53.422146623314376</x:v>
      </x:c>
      <x:c r="S1712" s="81" t="n">
        <x:v>0.0005660633118860416</x:v>
      </x:c>
      <x:c r="T1712" s="81" t="n">
        <x:v>2.9955465465880465e-7</x:v>
      </x:c>
    </x:row>
    <x:row r="1713">
      <x:c r="A1713" s="59" t="n">
        <x:v>1710</x:v>
      </x:c>
      <x:c r="B1713" s="193" t="n">
        <x:v>0.3239592369645834</x:v>
      </x:c>
      <x:c r="C1713" s="83" t="n">
        <x:v>1.233951700025019</x:v>
      </x:c>
      <x:c r="D1713" s="83" t="n">
        <x:v>0.421798500956847</x:v>
      </x:c>
      <x:c r="E1713" s="81" t="n">
        <x:v>0.07060241205915425</x:v>
      </x:c>
      <x:c r="F1713" s="81" t="n">
        <x:v>0.7032242456218227</x:v>
      </x:c>
      <x:c r="G1713" s="81" t="n">
        <x:v>-0.008311656759567857</x:v>
      </x:c>
      <x:c r="H1713" s="59" t="n">
        <x:v>0</x:v>
      </x:c>
      <x:c r="I1713" s="81" t="n">
        <x:v>0</x:v>
      </x:c>
      <x:c r="J1713" s="79" t="n">
        <x:v>0.0011369883858371075</x:v>
      </x:c>
      <x:c r="K1713" s="81" t="n">
        <x:v>0.2994152980995515</x:v>
      </x:c>
      <x:c r="L1713" s="81" t="n">
        <x:v>-0.6658028875623403</x:v>
      </x:c>
      <x:c r="M1713" s="80" t="n">
        <x:v>14306.260909259925</x:v>
      </x:c>
      <x:c r="N1713" s="82" t="n">
        <x:v>0.17926691448065687</x:v>
      </x:c>
      <x:c r="O1713" s="82" t="n">
        <x:v>0.11908715531628963</x:v>
      </x:c>
      <x:c r="P1713" s="80" t="n">
        <x:v>12486.137040549971</x:v>
      </x:c>
      <x:c r="Q1713" s="81" t="n">
        <x:v>0.0038326977608525888</x:v>
      </x:c>
      <x:c r="R1713" s="81" t="n">
        <x:v>38.66623467451541</x:v>
      </x:c>
      <x:c r="S1713" s="81" t="n">
        <x:v>18.24727497336393</x:v>
      </x:c>
      <x:c r="T1713" s="81" t="n">
        <x:v>24.629650732081068</x:v>
      </x:c>
    </x:row>
    <x:row r="1714">
      <x:c r="A1714" s="59" t="n">
        <x:v>1711</x:v>
      </x:c>
      <x:c r="B1714" s="193" t="n">
        <x:v>0.5410764565691353</x:v>
      </x:c>
      <x:c r="C1714" s="83" t="n">
        <x:v>1.3028572921471293</x:v>
      </x:c>
      <x:c r="D1714" s="83" t="n">
        <x:v>2.1341242826532176</x:v>
      </x:c>
      <x:c r="E1714" s="81" t="n">
        <x:v>0.10828423619401553</x:v>
      </x:c>
      <x:c r="F1714" s="81" t="n">
        <x:v>0.28849060364300383</x:v>
      </x:c>
      <x:c r="G1714" s="81" t="n">
        <x:v>-0.00649842053754464</x:v>
      </x:c>
      <x:c r="H1714" s="59" t="n">
        <x:v>0</x:v>
      </x:c>
      <x:c r="I1714" s="81" t="n">
        <x:v>0</x:v>
      </x:c>
      <x:c r="J1714" s="79" t="n">
        <x:v>0.45041189667406945</x:v>
      </x:c>
      <x:c r="K1714" s="81" t="n">
        <x:v>513.7564533417938</x:v>
      </x:c>
      <x:c r="L1714" s="81" t="n">
        <x:v>-0.7858083809516769</x:v>
      </x:c>
      <x:c r="M1714" s="80" t="n">
        <x:v>507864.49187857076</x:v>
      </x:c>
      <x:c r="N1714" s="82" t="n">
        <x:v>0.23098830713832863</x:v>
      </x:c>
      <x:c r="O1714" s="82" t="n">
        <x:v>0.06294954716302763</x:v>
      </x:c>
      <x:c r="P1714" s="80" t="n">
        <x:v>1323949.6589059946</x:v>
      </x:c>
      <x:c r="Q1714" s="81" t="n">
        <x:v>0.0019103226468493153</x:v>
      </x:c>
      <x:c r="R1714" s="81" t="n">
        <x:v>5606.514408830827</x:v>
      </x:c>
      <x:c r="S1714" s="81" t="n">
        <x:v>6623.019771305086</x:v>
      </x:c>
      <x:c r="T1714" s="81" t="n">
        <x:v>9756.90502985124</x:v>
      </x:c>
    </x:row>
    <x:row r="1715">
      <x:c r="A1715" s="59" t="n">
        <x:v>1712</x:v>
      </x:c>
      <x:c r="B1715" s="193" t="n">
        <x:v>0.6085798159241677</x:v>
      </x:c>
      <x:c r="C1715" s="83" t="n">
        <x:v>1.7776454081922686</x:v>
      </x:c>
      <x:c r="D1715" s="83" t="n">
        <x:v>0.6092453333966725</x:v>
      </x:c>
      <x:c r="E1715" s="81" t="n">
        <x:v>0.1236833787098385</x:v>
      </x:c>
      <x:c r="F1715" s="81" t="n">
        <x:v>0.6958920001634397</x:v>
      </x:c>
      <x:c r="G1715" s="81" t="n">
        <x:v>0.00915041887508072</x:v>
      </x:c>
      <x:c r="H1715" s="59" t="n">
        <x:v>68</x:v>
      </x:c>
      <x:c r="I1715" s="81" t="n">
        <x:v>0.42471963902935383</x:v>
      </x:c>
      <x:c r="J1715" s="79" t="n">
        <x:v>0.010808606122388657</x:v>
      </x:c>
      <x:c r="K1715" s="81" t="n">
        <x:v>11.352692711301323</x:v>
      </x:c>
      <x:c r="L1715" s="81" t="n">
        <x:v>-0.9069834281846425</x:v>
      </x:c>
      <x:c r="M1715" s="80" t="n">
        <x:v>65643.64673308161</x:v>
      </x:c>
      <x:c r="N1715" s="82" t="n">
        <x:v>0.24706887302468544</x:v>
      </x:c>
      <x:c r="O1715" s="82" t="n">
        <x:v>0.16241675155605037</x:v>
      </x:c>
      <x:c r="P1715" s="80" t="n">
        <x:v>70929.05008650162</x:v>
      </x:c>
      <x:c r="Q1715" s="81" t="n">
        <x:v>0.0034946708906076155</x:v>
      </x:c>
      <x:c r="R1715" s="81" t="n">
        <x:v>123.35146626424812</x:v>
      </x:c>
      <x:c r="S1715" s="81" t="n">
        <x:v>120.660587702421</x:v>
      </x:c>
      <x:c r="T1715" s="81" t="n">
        <x:v>234.138006167114</x:v>
      </x:c>
    </x:row>
    <x:row r="1716">
      <x:c r="A1716" s="59" t="n">
        <x:v>1713</x:v>
      </x:c>
      <x:c r="B1716" s="193" t="n">
        <x:v>0.7640311324968934</x:v>
      </x:c>
      <x:c r="C1716" s="83" t="n">
        <x:v>0.41590709237007795</x:v>
      </x:c>
      <x:c r="D1716" s="83" t="n">
        <x:v>0.22977974362987474</x:v>
      </x:c>
      <x:c r="E1716" s="81" t="n">
        <x:v>-0.08891951648954473</x:v>
      </x:c>
      <x:c r="F1716" s="81" t="n">
        <x:v>0.4405188136966899</x:v>
      </x:c>
      <x:c r="G1716" s="81" t="n">
        <x:v>0.021081533141807066</x:v>
      </x:c>
      <x:c r="H1716" s="59" t="n">
        <x:v>0</x:v>
      </x:c>
      <x:c r="I1716" s="81" t="n">
        <x:v>0</x:v>
      </x:c>
      <x:c r="J1716" s="79" t="n">
        <x:v>9.166787114238113e-19</x:v>
      </x:c>
      <x:c r="K1716" s="81" t="n">
        <x:v>-0.999999999999999</x:v>
      </x:c>
      <x:c r="L1716" s="81" t="n">
        <x:v>-0.999999999999999</x:v>
      </x:c>
      <x:c r="M1716" s="80" t="n">
        <x:v>0.00024105697502965328</x:v>
      </x:c>
      <x:c r="N1716" s="82" t="n">
        <x:v>0.2841002913444941</x:v>
      </x:c>
      <x:c r="O1716" s="82" t="n">
        <x:v>0.11822439002128173</x:v>
      </x:c>
      <x:c r="P1716" s="80" t="n">
        <x:v>192.4793186186186</x:v>
      </x:c>
      <x:c r="Q1716" s="81" t="n">
        <x:v>3252.8625505044606</x:v>
      </x:c>
      <x:c r="R1716" s="81" t="n">
        <x:v>12.561956718613581</x:v>
      </x:c>
      <x:c r="S1716" s="81" t="n">
        <x:v>2.3237110179616583e-8</x:v>
      </x:c>
      <x:c r="T1716" s="81" t="n">
        <x:v>1.9857262199982753e-14</x:v>
      </x:c>
    </x:row>
    <x:row r="1717">
      <x:c r="A1717" s="59" t="n">
        <x:v>1714</x:v>
      </x:c>
      <x:c r="B1717" s="193" t="n">
        <x:v>0.9300989642739297</x:v>
      </x:c>
      <x:c r="C1717" s="83" t="n">
        <x:v>1.1675960033523944</x:v>
      </x:c>
      <x:c r="D1717" s="83" t="n">
        <x:v>0.4230280885928944</x:v>
      </x:c>
      <x:c r="E1717" s="81" t="n">
        <x:v>-0.04911830990134622</x:v>
      </x:c>
      <x:c r="F1717" s="81" t="n">
        <x:v>0.26287938497262076</x:v>
      </x:c>
      <x:c r="G1717" s="81" t="n">
        <x:v>0.02600105883310956</x:v>
      </x:c>
      <x:c r="H1717" s="59" t="n">
        <x:v>58</x:v>
      </x:c>
      <x:c r="I1717" s="81" t="n">
        <x:v>0.15068825548514725</x:v>
      </x:c>
      <x:c r="J1717" s="79" t="n">
        <x:v>3.8638607219033384e-19</x:v>
      </x:c>
      <x:c r="K1717" s="81" t="n">
        <x:v>-0.9999999999999996</x:v>
      </x:c>
      <x:c r="L1717" s="81" t="n">
        <x:v>-0.9999999999999996</x:v>
      </x:c>
      <x:c r="M1717" s="80" t="n">
        <x:v>0.00023988551906118781</x:v>
      </x:c>
      <x:c r="N1717" s="82" t="n">
        <x:v>0.3236607626456302</x:v>
      </x:c>
      <x:c r="O1717" s="82" t="n">
        <x:v>0.08037435948687754</x:v>
      </x:c>
      <x:c r="P1717" s="80" t="n">
        <x:v>603.1472217124063</x:v>
      </x:c>
      <x:c r="Q1717" s="81" t="n">
        <x:v>13394.555760659037</x:v>
      </x:c>
      <x:c r="R1717" s="81" t="n">
        <x:v>5.5993892545736985</x:v>
      </x:c>
      <x:c r="S1717" s="81" t="n">
        <x:v>2.9597576502011105e-8</x:v>
      </x:c>
      <x:c r="T1717" s="81" t="n">
        <x:v>8.369965889125615e-15</x:v>
      </x:c>
    </x:row>
    <x:row r="1718">
      <x:c r="A1718" s="59" t="n">
        <x:v>1715</x:v>
      </x:c>
      <x:c r="B1718" s="193" t="n">
        <x:v>0.4855588966980577</x:v>
      </x:c>
      <x:c r="C1718" s="83" t="n">
        <x:v>0.3291394140567989</x:v>
      </x:c>
      <x:c r="D1718" s="83" t="n">
        <x:v>0.6644060028369851</x:v>
      </x:c>
      <x:c r="E1718" s="81" t="n">
        <x:v>-0.01574626841861048</x:v>
      </x:c>
      <x:c r="F1718" s="81" t="n">
        <x:v>0.682887718139682</x:v>
      </x:c>
      <x:c r="G1718" s="81" t="n">
        <x:v>-0.014282234557416024</x:v>
      </x:c>
      <x:c r="H1718" s="59" t="n">
        <x:v>83</x:v>
      </x:c>
      <x:c r="I1718" s="81" t="n">
        <x:v>0.26112160487100483</x:v>
      </x:c>
      <x:c r="J1718" s="79" t="n">
        <x:v>3.7700891446902834e-11</x:v>
      </x:c>
      <x:c r="K1718" s="81" t="n">
        <x:v>-0.9999999569132669</x:v>
      </x:c>
      <x:c r="L1718" s="81" t="n">
        <x:v>-0.9999999569132669</x:v>
      </x:c>
      <x:c r="M1718" s="80" t="n">
        <x:v>1.414657463374277</x:v>
      </x:c>
      <x:c r="N1718" s="82" t="n">
        <x:v>0.21776298342279038</x:v>
      </x:c>
      <x:c r="O1718" s="82" t="n">
        <x:v>0.14047670167081874</x:v>
      </x:c>
      <x:c r="P1718" s="80" t="n">
        <x:v>680.9110557274454</x:v>
      </x:c>
      <x:c r="Q1718" s="81" t="n">
        <x:v>2.4265646791356823</x:v>
      </x:c>
      <x:c r="R1718" s="81" t="n">
        <x:v>20.216321304599457</x:v>
      </x:c>
      <x:c r="S1718" s="81" t="n">
        <x:v>0.00026666085836913196</x:v>
      </x:c>
      <x:c r="T1718" s="81" t="n">
        <x:v>8.166836180491564e-7</x:v>
      </x:c>
    </x:row>
    <x:row r="1719">
      <x:c r="A1719" s="59" t="n">
        <x:v>1716</x:v>
      </x:c>
      <x:c r="B1719" s="193" t="n">
        <x:v>0.4456384595483542</x:v>
      </x:c>
      <x:c r="C1719" s="83" t="n">
        <x:v>0.10563213401862112</x:v>
      </x:c>
      <x:c r="D1719" s="83" t="n">
        <x:v>0.7624820326129851</x:v>
      </x:c>
      <x:c r="E1719" s="81" t="n">
        <x:v>-0.16230786445741774</x:v>
      </x:c>
      <x:c r="F1719" s="81" t="n">
        <x:v>0.8608128466643393</x:v>
      </x:c>
      <x:c r="G1719" s="81" t="n">
        <x:v>0.024096533586961007</x:v>
      </x:c>
      <x:c r="H1719" s="59" t="n">
        <x:v>45</x:v>
      </x:c>
      <x:c r="I1719" s="81" t="n">
        <x:v>0.2652840186841786</x:v>
      </x:c>
      <x:c r="J1719" s="79" t="n">
        <x:v>3.755613265290015e-53</x:v>
      </x:c>
      <x:c r="K1719" s="81" t="n">
        <x:v>-1</x:v>
      </x:c>
      <x:c r="L1719" s="81" t="n">
        <x:v>-1</x:v>
      </x:c>
      <x:c r="M1719" s="80" t="n">
        <x:v>0.000002</x:v>
      </x:c>
      <x:c r="N1719" s="82" t="n">
        <x:v>0.20825318678553453</x:v>
      </x:c>
      <x:c r="O1719" s="82" t="n">
        <x:v>0.16934459411336303</x:v>
      </x:c>
      <x:c r="P1719" s="80" t="n">
        <x:v>121.92257913592456</x:v>
      </x:c>
      <x:c r="Q1719" s="81" t="n">
        <x:v>3.852082230349597e+35</x:v>
      </x:c>
      <x:c r="R1719" s="81" t="n">
        <x:v>10.107988733779742</x:v>
      </x:c>
      <x:c r="S1719" s="81" t="n">
        <x:v>8.071185039951856e-10</x:v>
      </x:c>
      <x:c r="T1719" s="81" t="n">
        <x:v>8.135478265308829e-49</x:v>
      </x:c>
    </x:row>
    <x:row r="1720">
      <x:c r="A1720" s="59" t="n">
        <x:v>1717</x:v>
      </x:c>
      <x:c r="B1720" s="193" t="n">
        <x:v>0.7741253430023789</x:v>
      </x:c>
      <x:c r="C1720" s="83" t="n">
        <x:v>0.4114476801467776</x:v>
      </x:c>
      <x:c r="D1720" s="83" t="n">
        <x:v>1.1893634602763157</x:v>
      </x:c>
      <x:c r="E1720" s="81" t="n">
        <x:v>-0.0885111220145358</x:v>
      </x:c>
      <x:c r="F1720" s="81" t="n">
        <x:v>0.6933200148749166</x:v>
      </x:c>
      <x:c r="G1720" s="81" t="n">
        <x:v>0.0034101591167099684</x:v>
      </x:c>
      <x:c r="H1720" s="59" t="n">
        <x:v>0</x:v>
      </x:c>
      <x:c r="I1720" s="81" t="n">
        <x:v>0</x:v>
      </x:c>
      <x:c r="J1720" s="79" t="n">
        <x:v>3.649909047341971e-44</x:v>
      </x:c>
      <x:c r="K1720" s="81" t="n">
        <x:v>-1</x:v>
      </x:c>
      <x:c r="L1720" s="81" t="n">
        <x:v>-1</x:v>
      </x:c>
      <x:c r="M1720" s="80" t="n">
        <x:v>0.000002</x:v>
      </x:c>
      <x:c r="N1720" s="82" t="n">
        <x:v>0.28650492155334806</x:v>
      </x:c>
      <x:c r="O1720" s="82" t="n">
        <x:v>0.1876449003995994</x:v>
      </x:c>
      <x:c r="P1720" s="80" t="n">
        <x:v>274.0257085725933</x:v>
      </x:c>
      <x:c r="Q1720" s="81" t="n">
        <x:v>6.806875126514887e+26</x:v>
      </x:c>
      <x:c r="R1720" s="81" t="n">
        <x:v>3.493474809162591</x:v>
      </x:c>
      <x:c r="S1720" s="81" t="n">
        <x:v>7.693824129359453e-10</x:v>
      </x:c>
      <x:c r="T1720" s="81" t="n">
        <x:v>7.906499851685784e-40</x:v>
      </x:c>
    </x:row>
    <x:row r="1721">
      <x:c r="A1721" s="59" t="n">
        <x:v>1718</x:v>
      </x:c>
      <x:c r="B1721" s="193" t="n">
        <x:v>0.5185687182471157</x:v>
      </x:c>
      <x:c r="C1721" s="83" t="n">
        <x:v>0.49891708586967204</x:v>
      </x:c>
      <x:c r="D1721" s="83" t="n">
        <x:v>0.7235429536258953</x:v>
      </x:c>
      <x:c r="E1721" s="81" t="n">
        <x:v>0.030148426048843935</x:v>
      </x:c>
      <x:c r="F1721" s="81" t="n">
        <x:v>0.4152967657777481</x:v>
      </x:c>
      <x:c r="G1721" s="81" t="n">
        <x:v>-0.0009387503986338984</x:v>
      </x:c>
      <x:c r="H1721" s="59" t="n">
        <x:v>0</x:v>
      </x:c>
      <x:c r="I1721" s="81" t="n">
        <x:v>0</x:v>
      </x:c>
      <x:c r="J1721" s="79" t="n">
        <x:v>0.0005697707209977221</x:v>
      </x:c>
      <x:c r="K1721" s="81" t="n">
        <x:v>-0.348833461716889</x:v>
      </x:c>
      <x:c r="L1721" s="81" t="n">
        <x:v>-0.7278544236439147</x:v>
      </x:c>
      <x:c r="M1721" s="80" t="n">
        <x:v>6625.961945706004</x:v>
      </x:c>
      <x:c r="N1721" s="82" t="n">
        <x:v>0.22562654184993006</x:v>
      </x:c>
      <x:c r="O1721" s="82" t="n">
        <x:v>0.08851557153010413</x:v>
      </x:c>
      <x:c r="P1721" s="80" t="n">
        <x:v>10203.235377573623</x:v>
      </x:c>
      <x:c r="Q1721" s="81" t="n">
        <x:v>0.006263113665109574</x:v>
      </x:c>
      <x:c r="R1721" s="81" t="n">
        <x:v>62.316626454682954</x:v>
      </x:c>
      <x:c r="S1721" s="81" t="n">
        <x:v>22.627350537471525</x:v>
      </x:c>
      <x:c r="T1721" s="81" t="n">
        <x:v>12.342477751175903</x:v>
      </x:c>
    </x:row>
    <x:row r="1722">
      <x:c r="A1722" s="59" t="n">
        <x:v>1719</x:v>
      </x:c>
      <x:c r="B1722" s="193" t="n">
        <x:v>0.997757613658905</x:v>
      </x:c>
      <x:c r="C1722" s="83" t="n">
        <x:v>0.25206468010336397</x:v>
      </x:c>
      <x:c r="D1722" s="83" t="n">
        <x:v>1.0932260951946278</x:v>
      </x:c>
      <x:c r="E1722" s="81" t="n">
        <x:v>-0.05072432306665076</x:v>
      </x:c>
      <x:c r="F1722" s="81" t="n">
        <x:v>0.32652800128562376</x:v>
      </x:c>
      <x:c r="G1722" s="81" t="n">
        <x:v>-0.03353079868797897</x:v>
      </x:c>
      <x:c r="H1722" s="59" t="n">
        <x:v>0</x:v>
      </x:c>
      <x:c r="I1722" s="81" t="n">
        <x:v>0</x:v>
      </x:c>
      <x:c r="J1722" s="79" t="n">
        <x:v>4.2711912469367844e-27</x:v>
      </x:c>
      <x:c r="K1722" s="81" t="n">
        <x:v>-1</x:v>
      </x:c>
      <x:c r="L1722" s="81" t="n">
        <x:v>-1</x:v>
      </x:c>
      <x:c r="M1722" s="80" t="n">
        <x:v>0.000002</x:v>
      </x:c>
      <x:c r="N1722" s="82" t="n">
        <x:v>0.33977832152880694</x:v>
      </x:c>
      <x:c r="O1722" s="82" t="n">
        <x:v>0.10480621534274379</x:v>
      </x:c>
      <x:c r="P1722" s="80" t="n">
        <x:v>377.8127853037246</x:v>
      </x:c>
      <x:c r="Q1722" s="81" t="n">
        <x:v>9797568512.197245</x:v>
      </x:c>
      <x:c r="R1722" s="81" t="n">
        <x:v>10.339782085434791</x:v>
      </x:c>
      <x:c r="S1722" s="81" t="n">
        <x:v>5.050971217157801e-10</x:v>
      </x:c>
      <x:c r="T1722" s="81" t="n">
        <x:v>9.252332735529469e-23</x:v>
      </x:c>
    </x:row>
    <x:row r="1723">
      <x:c r="A1723" s="59" t="n">
        <x:v>1720</x:v>
      </x:c>
      <x:c r="B1723" s="193" t="n">
        <x:v>0.3315984634682536</x:v>
      </x:c>
      <x:c r="C1723" s="83" t="n">
        <x:v>0.9794670644950506</x:v>
      </x:c>
      <x:c r="D1723" s="83" t="n">
        <x:v>0.6889560168307588</x:v>
      </x:c>
      <x:c r="E1723" s="81" t="n">
        <x:v>-0.05753853082928434</x:v>
      </x:c>
      <x:c r="F1723" s="81" t="n">
        <x:v>0.8858907871996052</x:v>
      </x:c>
      <x:c r="G1723" s="81" t="n">
        <x:v>-0.0023999708574031597</x:v>
      </x:c>
      <x:c r="H1723" s="59" t="n">
        <x:v>0</x:v>
      </x:c>
      <x:c r="I1723" s="81" t="n">
        <x:v>0</x:v>
      </x:c>
      <x:c r="J1723" s="79" t="n">
        <x:v>1.6475729732968837e-25</x:v>
      </x:c>
      <x:c r="K1723" s="81" t="n">
        <x:v>-1</x:v>
      </x:c>
      <x:c r="L1723" s="81" t="n">
        <x:v>-1</x:v>
      </x:c>
      <x:c r="M1723" s="80" t="n">
        <x:v>0.000002</x:v>
      </x:c>
      <x:c r="N1723" s="82" t="n">
        <x:v>0.18108672146932817</x:v>
      </x:c>
      <x:c r="O1723" s="82" t="n">
        <x:v>0.15154364647618207</x:v>
      </x:c>
      <x:c r="P1723" s="80" t="n">
        <x:v>496.1151485639024</x:v>
      </x:c>
      <x:c r="Q1723" s="81" t="n">
        <x:v>225365572.6167322</x:v>
      </x:c>
      <x:c r="R1723" s="81" t="n">
        <x:v>3.9032489002074717</x:v>
      </x:c>
      <x:c r="S1723" s="81" t="n">
        <x:v>2.9610847442007717e-10</x:v>
      </x:c>
      <x:c r="T1723" s="81" t="n">
        <x:v>3.569002761452323e-21</x:v>
      </x:c>
    </x:row>
    <x:row r="1724">
      <x:c r="A1724" s="59" t="n">
        <x:v>1721</x:v>
      </x:c>
      <x:c r="B1724" s="193" t="n">
        <x:v>0.2871125712990761</x:v>
      </x:c>
      <x:c r="C1724" s="83" t="n">
        <x:v>0.4444785866894439</x:v>
      </x:c>
      <x:c r="D1724" s="83" t="n">
        <x:v>0.9711252722841396</x:v>
      </x:c>
      <x:c r="E1724" s="81" t="n">
        <x:v>0.039905784955500505</x:v>
      </x:c>
      <x:c r="F1724" s="81" t="n">
        <x:v>0.8543508549220861</x:v>
      </x:c>
      <x:c r="G1724" s="81" t="n">
        <x:v>0.012766525852341254</x:v>
      </x:c>
      <x:c r="H1724" s="59" t="n">
        <x:v>0</x:v>
      </x:c>
      <x:c r="I1724" s="81" t="n">
        <x:v>0</x:v>
      </x:c>
      <x:c r="J1724" s="79" t="n">
        <x:v>0.001031974853479856</x:v>
      </x:c>
      <x:c r="K1724" s="81" t="n">
        <x:v>0.17939983254840697</x:v>
      </x:c>
      <x:c r="L1724" s="81" t="n">
        <x:v>-0.7584471973594064</x:v>
      </x:c>
      <x:c r="M1724" s="80" t="n">
        <x:v>9283.088931203445</x:v>
      </x:c>
      <x:c r="N1724" s="82" t="n">
        <x:v>0.17048934784415173</x:v>
      </x:c>
      <x:c r="O1724" s="82" t="n">
        <x:v>0.13759556937896772</x:v>
      </x:c>
      <x:c r="P1724" s="80" t="n">
        <x:v>17735.096477038474</x:v>
      </x:c>
      <x:c r="Q1724" s="81" t="n">
        <x:v>0.007792811651340922</x:v>
      </x:c>
      <x:c r="R1724" s="81" t="n">
        <x:v>90.00592018108232</x:v>
      </x:c>
      <x:c r="S1724" s="81" t="n">
        <x:v>46.40784786329408</x:v>
      </x:c>
      <x:c r="T1724" s="81" t="n">
        <x:v>22.354828353665184</x:v>
      </x:c>
    </x:row>
    <x:row r="1725">
      <x:c r="A1725" s="59" t="n">
        <x:v>1722</x:v>
      </x:c>
      <x:c r="B1725" s="193" t="n">
        <x:v>0.5485060440376401</x:v>
      </x:c>
      <x:c r="C1725" s="83" t="n">
        <x:v>1.57018700799174</x:v>
      </x:c>
      <x:c r="D1725" s="83" t="n">
        <x:v>0.48148169818978637</x:v>
      </x:c>
      <x:c r="E1725" s="81" t="n">
        <x:v>0.012975532904899632</x:v>
      </x:c>
      <x:c r="F1725" s="81" t="n">
        <x:v>0.7097832610830666</x:v>
      </x:c>
      <x:c r="G1725" s="81" t="n">
        <x:v>-0.0202855171463345</x:v>
      </x:c>
      <x:c r="H1725" s="59" t="n">
        <x:v>67</x:v>
      </x:c>
      <x:c r="I1725" s="81" t="n">
        <x:v>0.2460083299316466</x:v>
      </x:c>
      <x:c r="J1725" s="79" t="n">
        <x:v>0.000028359911526795763</x:v>
      </x:c>
      <x:c r="K1725" s="81" t="n">
        <x:v>-0.9675886725408048</x:v>
      </x:c>
      <x:c r="L1725" s="81" t="n">
        <x:v>-0.9675886725408048</x:v>
      </x:c>
      <x:c r="M1725" s="80" t="n">
        <x:v>2381.4305601664255</x:v>
      </x:c>
      <x:c r="N1725" s="82" t="n">
        <x:v>0.23275817417809144</x:v>
      </x:c>
      <x:c r="O1725" s="82" t="n">
        <x:v>0.1560636057373937</x:v>
      </x:c>
      <x:c r="P1725" s="80" t="n">
        <x:v>3838.240674114314</x:v>
      </x:c>
      <x:c r="Q1725" s="81" t="n">
        <x:v>0.019783850885195384</x:v>
      </x:c>
      <x:c r="R1725" s="81" t="n">
        <x:v>10.451137115800554</x:v>
      </x:c>
      <x:c r="S1725" s="81" t="n">
        <x:v>0.4896842281882191</x:v>
      </x:c>
      <x:c r="T1725" s="81" t="n">
        <x:v>0.6143375995731328</x:v>
      </x:c>
    </x:row>
    <x:row r="1726">
      <x:c r="A1726" s="59" t="n">
        <x:v>1723</x:v>
      </x:c>
      <x:c r="B1726" s="193" t="n">
        <x:v>0.8260830903425813</x:v>
      </x:c>
      <x:c r="C1726" s="83" t="n">
        <x:v>0.6674640628807577</x:v>
      </x:c>
      <x:c r="D1726" s="83" t="n">
        <x:v>1.001157178844279</x:v>
      </x:c>
      <x:c r="E1726" s="81" t="n">
        <x:v>-0.10330519130240794</x:v>
      </x:c>
      <x:c r="F1726" s="81" t="n">
        <x:v>0.8192862117080949</x:v>
      </x:c>
      <x:c r="G1726" s="81" t="n">
        <x:v>-0.0006620419254170209</x:v>
      </x:c>
      <x:c r="H1726" s="59" t="n">
        <x:v>0</x:v>
      </x:c>
      <x:c r="I1726" s="81" t="n">
        <x:v>0</x:v>
      </x:c>
      <x:c r="J1726" s="79" t="n">
        <x:v>4.511331452585771e-43</x:v>
      </x:c>
      <x:c r="K1726" s="81" t="n">
        <x:v>-1</x:v>
      </x:c>
      <x:c r="L1726" s="81" t="n">
        <x:v>-1</x:v>
      </x:c>
      <x:c r="M1726" s="80" t="n">
        <x:v>0.000002</x:v>
      </x:c>
      <x:c r="N1726" s="82" t="n">
        <x:v>0.2988822311775468</x:v>
      </x:c>
      <x:c r="O1726" s="82" t="n">
        <x:v>0.2313165382880045</x:v>
      </x:c>
      <x:c r="P1726" s="80" t="n">
        <x:v>275.7972055925222</x:v>
      </x:c>
      <x:c r="Q1726" s="81" t="n">
        <x:v>4.7825947200440234e+25</x:v>
      </x:c>
      <x:c r="R1726" s="81" t="n">
        <x:v>2.2883402623402143</x:v>
      </x:c>
      <x:c r="S1726" s="81" t="n">
        <x:v>5.217357025778898e-10</x:v>
      </x:c>
      <x:c r="T1726" s="81" t="n">
        <x:v>9.772528848835417e-39</x:v>
      </x:c>
    </x:row>
    <x:row r="1727">
      <x:c r="A1727" s="59" t="n">
        <x:v>1724</x:v>
      </x:c>
      <x:c r="B1727" s="193" t="n">
        <x:v>0.35428855009377</x:v>
      </x:c>
      <x:c r="C1727" s="83" t="n">
        <x:v>0.9577175740120641</x:v>
      </x:c>
      <x:c r="D1727" s="83" t="n">
        <x:v>1.4787208951435074</x:v>
      </x:c>
      <x:c r="E1727" s="81" t="n">
        <x:v>-0.09150987748333707</x:v>
      </x:c>
      <x:c r="F1727" s="81" t="n">
        <x:v>0.7867054949863814</x:v>
      </x:c>
      <x:c r="G1727" s="81" t="n">
        <x:v>-0.008517766118043472</x:v>
      </x:c>
      <x:c r="H1727" s="59" t="n">
        <x:v>0</x:v>
      </x:c>
      <x:c r="I1727" s="81" t="n">
        <x:v>0</x:v>
      </x:c>
      <x:c r="J1727" s="79" t="n">
        <x:v>1.2505637598332482e-49</x:v>
      </x:c>
      <x:c r="K1727" s="81" t="n">
        <x:v>-1</x:v>
      </x:c>
      <x:c r="L1727" s="81" t="n">
        <x:v>-1</x:v>
      </x:c>
      <x:c r="M1727" s="80" t="n">
        <x:v>0.000002</x:v>
      </x:c>
      <x:c r="N1727" s="82" t="n">
        <x:v>0.18649192554265026</x:v>
      </x:c>
      <x:c r="O1727" s="82" t="n">
        <x:v>0.13859359450405406</x:v>
      </x:c>
      <x:c r="P1727" s="80" t="n">
        <x:v>400.3889796970614</x:v>
      </x:c>
      <x:c r="Q1727" s="81" t="n">
        <x:v>1.926853331580039e+32</x:v>
      </x:c>
      <x:c r="R1727" s="81" t="n">
        <x:v>1.5518855131557174</x:v>
      </x:c>
      <x:c r="S1727" s="81" t="n">
        <x:v>5.962664016316078e-10</x:v>
      </x:c>
      <x:c r="T1727" s="81" t="n">
        <x:v>2.7089941292772152e-45</x:v>
      </x:c>
    </x:row>
    <x:row r="1728">
      <x:c r="A1728" s="59" t="n">
        <x:v>1725</x:v>
      </x:c>
      <x:c r="B1728" s="193" t="n">
        <x:v>0.9496338222175837</x:v>
      </x:c>
      <x:c r="C1728" s="83" t="n">
        <x:v>0.4521088106822682</x:v>
      </x:c>
      <x:c r="D1728" s="83" t="n">
        <x:v>0.28558189647566545</x:v>
      </x:c>
      <x:c r="E1728" s="81" t="n">
        <x:v>-0.03782940474057245</x:v>
      </x:c>
      <x:c r="F1728" s="81" t="n">
        <x:v>0.49406490250257773</x:v>
      </x:c>
      <x:c r="G1728" s="81" t="n">
        <x:v>-0.01853190039657203</x:v>
      </x:c>
      <x:c r="H1728" s="59" t="n">
        <x:v>0</x:v>
      </x:c>
      <x:c r="I1728" s="81" t="n">
        <x:v>0</x:v>
      </x:c>
      <x:c r="J1728" s="79" t="n">
        <x:v>3.770263767592735e-11</x:v>
      </x:c>
      <x:c r="K1728" s="81" t="n">
        <x:v>-0.9999999569112712</x:v>
      </x:c>
      <x:c r="L1728" s="81" t="n">
        <x:v>-0.9999999569112712</x:v>
      </x:c>
      <x:c r="M1728" s="80" t="n">
        <x:v>1.545573795844116</x:v>
      </x:c>
      <x:c r="N1728" s="82" t="n">
        <x:v>0.32831433208639504</x:v>
      </x:c>
      <x:c r="O1728" s="82" t="n">
        <x:v>0.1532303476663391</x:v>
      </x:c>
      <x:c r="P1728" s="80" t="n">
        <x:v>321.818225161642</x:v>
      </x:c>
      <x:c r="Q1728" s="81" t="n">
        <x:v>1.1279308254374678</x:v>
      </x:c>
      <x:c r="R1728" s="81" t="n">
        <x:v>14.345716544847651</x:v>
      </x:c>
      <x:c r="S1728" s="81" t="n">
        <x:v>0.00010939842757092948</x:v>
      </x:c>
      <x:c r="T1728" s="81" t="n">
        <x:v>8.167214451822282e-7</x:v>
      </x:c>
    </x:row>
    <x:row r="1729">
      <x:c r="A1729" s="59" t="n">
        <x:v>1726</x:v>
      </x:c>
      <x:c r="B1729" s="193" t="n">
        <x:v>0.7745403455570341</x:v>
      </x:c>
      <x:c r="C1729" s="83" t="n">
        <x:v>1.1481300800954433</x:v>
      </x:c>
      <x:c r="D1729" s="83" t="n">
        <x:v>0.772277792664397</x:v>
      </x:c>
      <x:c r="E1729" s="81" t="n">
        <x:v>-0.04636314005010305</x:v>
      </x:c>
      <x:c r="F1729" s="81" t="n">
        <x:v>0.37105615524342284</x:v>
      </x:c>
      <x:c r="G1729" s="81" t="n">
        <x:v>0.011940015264568605</x:v>
      </x:c>
      <x:c r="H1729" s="59" t="n">
        <x:v>0</x:v>
      </x:c>
      <x:c r="I1729" s="81" t="n">
        <x:v>0</x:v>
      </x:c>
      <x:c r="J1729" s="79" t="n">
        <x:v>2.4016396631299105e-25</x:v>
      </x:c>
      <x:c r="K1729" s="81" t="n">
        <x:v>-1</x:v>
      </x:c>
      <x:c r="L1729" s="81" t="n">
        <x:v>-1</x:v>
      </x:c>
      <x:c r="M1729" s="80" t="n">
        <x:v>0.000002</x:v>
      </x:c>
      <x:c r="N1729" s="82" t="n">
        <x:v>0.28660378294316496</x:v>
      </x:c>
      <x:c r="O1729" s="82" t="n">
        <x:v>0.10045984425856422</x:v>
      </x:c>
      <x:c r="P1729" s="80" t="n">
        <x:v>686.0709262748825</x:v>
      </x:c>
      <x:c r="Q1729" s="81" t="n">
        <x:v>189843855.06994244</x:v>
      </x:c>
      <x:c r="R1729" s="81" t="n">
        <x:v>4.008316830790608</x:v>
      </x:c>
      <x:c r="S1729" s="81" t="n">
        <x:v>3.6385926658045094e-10</x:v>
      </x:c>
      <x:c r="T1729" s="81" t="n">
        <x:v>5.2024758409165466e-21</x:v>
      </x:c>
    </x:row>
    <x:row r="1730">
      <x:c r="A1730" s="59" t="n">
        <x:v>1727</x:v>
      </x:c>
      <x:c r="B1730" s="193" t="n">
        <x:v>0.8216255702078343</x:v>
      </x:c>
      <x:c r="C1730" s="83" t="n">
        <x:v>0.8477115959191318</x:v>
      </x:c>
      <x:c r="D1730" s="83" t="n">
        <x:v>0.6600546922732009</x:v>
      </x:c>
      <x:c r="E1730" s="81" t="n">
        <x:v>0.0650976506352319</x:v>
      </x:c>
      <x:c r="F1730" s="81" t="n">
        <x:v>0.590957893920131</x:v>
      </x:c>
      <x:c r="G1730" s="81" t="n">
        <x:v>-0.002172199346266032</x:v>
      </x:c>
      <x:c r="H1730" s="59" t="n">
        <x:v>40</x:v>
      </x:c>
      <x:c r="I1730" s="81" t="n">
        <x:v>0.1748557647690177</x:v>
      </x:c>
      <x:c r="J1730" s="79" t="n">
        <x:v>0.0010157685663410886</x:v>
      </x:c>
      <x:c r="K1730" s="81" t="n">
        <x:v>0.16087836153267276</x:v>
      </x:c>
      <x:c r="L1730" s="81" t="n">
        <x:v>-0.757299571434501</x:v>
      </x:c>
      <x:c r="M1730" s="80" t="n">
        <x:v>11801.666448405482</x:v>
      </x:c>
      <x:c r="N1730" s="82" t="n">
        <x:v>0.2978203663029476</x:v>
      </x:c>
      <x:c r="O1730" s="82" t="n">
        <x:v>0.1662577403331341</x:v>
      </x:c>
      <x:c r="P1730" s="80" t="n">
        <x:v>15285.493524460147</x:v>
      </x:c>
      <x:c r="Q1730" s="81" t="n">
        <x:v>0.005935549452254035</x:v>
      </x:c>
      <x:c r="R1730" s="81" t="n">
        <x:v>57.51836250840635</x:v>
      </x:c>
      <x:c r="S1730" s="81" t="n">
        <x:v>24.151071560715295</x:v>
      </x:c>
      <x:c r="T1730" s="81" t="n">
        <x:v>22.003764792362603</x:v>
      </x:c>
    </x:row>
    <x:row r="1731">
      <x:c r="A1731" s="59" t="n">
        <x:v>1728</x:v>
      </x:c>
      <x:c r="B1731" s="193" t="n">
        <x:v>0.3891343848779798</x:v>
      </x:c>
      <x:c r="C1731" s="83" t="n">
        <x:v>2.726346995894546</x:v>
      </x:c>
      <x:c r="D1731" s="83" t="n">
        <x:v>2.2463001947047827</x:v>
      </x:c>
      <x:c r="E1731" s="81" t="n">
        <x:v>0.021839942808059083</x:v>
      </x:c>
      <x:c r="F1731" s="81" t="n">
        <x:v>0.5600051052868367</x:v>
      </x:c>
      <x:c r="G1731" s="81" t="n">
        <x:v>-0.01041441758212066</x:v>
      </x:c>
      <x:c r="H1731" s="59" t="n">
        <x:v>0</x:v>
      </x:c>
      <x:c r="I1731" s="81" t="n">
        <x:v>0</x:v>
      </x:c>
      <x:c r="J1731" s="79" t="n">
        <x:v>0.011707419447081289</x:v>
      </x:c>
      <x:c r="K1731" s="81" t="n">
        <x:v>12.379907939521475</x:v>
      </x:c>
      <x:c r="L1731" s="81" t="n">
        <x:v>-0.5319498074138007</x:v>
      </x:c>
      <x:c r="M1731" s="80" t="n">
        <x:v>81622.09762738046</x:v>
      </x:c>
      <x:c r="N1731" s="82" t="n">
        <x:v>0.19479285674765098</x:v>
      </x:c>
      <x:c r="O1731" s="82" t="n">
        <x:v>0.10304714289074912</x:v>
      </x:c>
      <x:c r="P1731" s="80" t="n">
        <x:v>319688.31566664</x:v>
      </x:c>
      <x:c r="Q1731" s="81" t="n">
        <x:v>0.011322116545156328</x:v>
      </x:c>
      <x:c r="R1731" s="81" t="n">
        <x:v>84.91942113829334</x:v>
      </x:c>
      <x:c r="S1731" s="81" t="n">
        <x:v>99.06200439047248</x:v>
      </x:c>
      <x:c r="T1731" s="81" t="n">
        <x:v>253.60826508644445</x:v>
      </x:c>
    </x:row>
    <x:row r="1732">
      <x:c r="A1732" s="59" t="n">
        <x:v>1729</x:v>
      </x:c>
      <x:c r="B1732" s="193" t="n">
        <x:v>0.3144780844449997</x:v>
      </x:c>
      <x:c r="C1732" s="83" t="n">
        <x:v>0.7100520366718499</x:v>
      </x:c>
      <x:c r="D1732" s="83" t="n">
        <x:v>0.5933936583396738</x:v>
      </x:c>
      <x:c r="E1732" s="81" t="n">
        <x:v>0.1562435700506626</x:v>
      </x:c>
      <x:c r="F1732" s="81" t="n">
        <x:v>0.6304228552849964</x:v>
      </x:c>
      <x:c r="G1732" s="81" t="n">
        <x:v>0.014273526641307844</x:v>
      </x:c>
      <x:c r="H1732" s="59" t="n">
        <x:v>0</x:v>
      </x:c>
      <x:c r="I1732" s="81" t="n">
        <x:v>0</x:v>
      </x:c>
      <x:c r="J1732" s="79" t="n">
        <x:v>0.017493442373663057</x:v>
      </x:c>
      <x:c r="K1732" s="81" t="n">
        <x:v>18.99250556990064</x:v>
      </x:c>
      <x:c r="L1732" s="81" t="n">
        <x:v>-0.721934385018808</x:v>
      </x:c>
      <x:c r="M1732" s="80" t="n">
        <x:v>54987.640088718596</x:v>
      </x:c>
      <x:c r="N1732" s="82" t="n">
        <x:v>0.17700832617888218</x:v>
      </x:c>
      <x:c r="O1732" s="82" t="n">
        <x:v>0.1054135858149528</x:v>
      </x:c>
      <x:c r="P1732" s="80" t="n">
        <x:v>56850.53669965858</x:v>
      </x:c>
      <x:c r="Q1732" s="81" t="n">
        <x:v>0.0018511478163161555</x:v>
      </x:c>
      <x:c r="R1732" s="81" t="n">
        <x:v>428.46401699813407</x:v>
      </x:c>
      <x:c r="S1732" s="81" t="n">
        <x:v>468.60206119943047</x:v>
      </x:c>
      <x:c r="T1732" s="81" t="n">
        <x:v>378.9461538324243</x:v>
      </x:c>
    </x:row>
    <x:row r="1733">
      <x:c r="A1733" s="59" t="n">
        <x:v>1730</x:v>
      </x:c>
      <x:c r="B1733" s="193" t="n">
        <x:v>0.41213798988610506</x:v>
      </x:c>
      <x:c r="C1733" s="83" t="n">
        <x:v>1.8035126844993505</x:v>
      </x:c>
      <x:c r="D1733" s="83" t="n">
        <x:v>0.8162487549504613</x:v>
      </x:c>
      <x:c r="E1733" s="81" t="n">
        <x:v>0.012759425340630706</x:v>
      </x:c>
      <x:c r="F1733" s="81" t="n">
        <x:v>0.4981521125882864</x:v>
      </x:c>
      <x:c r="G1733" s="81" t="n">
        <x:v>0.007463484570109376</x:v>
      </x:c>
      <x:c r="H1733" s="59" t="n">
        <x:v>80</x:v>
      </x:c>
      <x:c r="I1733" s="81" t="n">
        <x:v>0.16492585614323618</x:v>
      </x:c>
      <x:c r="J1733" s="79" t="n">
        <x:v>0.00044714846541516373</x:v>
      </x:c>
      <x:c r="K1733" s="81" t="n">
        <x:v>-0.48897318238266996</x:v>
      </x:c>
      <x:c r="L1733" s="81" t="n">
        <x:v>-0.7067526487144591</x:v>
      </x:c>
      <x:c r="M1733" s="80" t="n">
        <x:v>10508.248647347466</x:v>
      </x:c>
      <x:c r="N1733" s="82" t="n">
        <x:v>0.20027274677818066</x:v>
      </x:c>
      <x:c r="O1733" s="82" t="n">
        <x:v>0.09424423045287518</x:v>
      </x:c>
      <x:c r="P1733" s="80" t="n">
        <x:v>19490.920922271747</x:v>
      </x:c>
      <x:c r="Q1733" s="81" t="n">
        <x:v>0.015051759080560643</x:v>
      </x:c>
      <x:c r="R1733" s="81" t="n">
        <x:v>15.02678525240214</x:v>
      </x:c>
      <x:c r="S1733" s="81" t="n">
        <x:v>6.086473456477648</x:v>
      </x:c>
      <x:c r="T1733" s="81" t="n">
        <x:v>9.68621198399763</x:v>
      </x:c>
    </x:row>
    <x:row r="1734">
      <x:c r="A1734" s="59" t="n">
        <x:v>1731</x:v>
      </x:c>
      <x:c r="B1734" s="193" t="n">
        <x:v>0.33333250097930434</x:v>
      </x:c>
      <x:c r="C1734" s="83" t="n">
        <x:v>0.3820671110683298</x:v>
      </x:c>
      <x:c r="D1734" s="83" t="n">
        <x:v>0.7961803522701909</x:v>
      </x:c>
      <x:c r="E1734" s="81" t="n">
        <x:v>0.015288435017400959</x:v>
      </x:c>
      <x:c r="F1734" s="81" t="n">
        <x:v>0.7405660586664453</x:v>
      </x:c>
      <x:c r="G1734" s="81" t="n">
        <x:v>0.006552196575046548</x:v>
      </x:c>
      <x:c r="H1734" s="59" t="n">
        <x:v>0</x:v>
      </x:c>
      <x:c r="I1734" s="81" t="n">
        <x:v>0</x:v>
      </x:c>
      <x:c r="J1734" s="79" t="n">
        <x:v>0.00008198819635374343</x:v>
      </x:c>
      <x:c r="K1734" s="81" t="n">
        <x:v>-0.9062992041671504</x:v>
      </x:c>
      <x:c r="L1734" s="81" t="n">
        <x:v>-0.9296516192004473</x:v>
      </x:c>
      <x:c r="M1734" s="80" t="n">
        <x:v>2240.1850037515123</x:v>
      </x:c>
      <x:c r="N1734" s="82" t="n">
        <x:v>0.18149980171766356</x:v>
      </x:c>
      <x:c r="O1734" s="82" t="n">
        <x:v>0.12697285957836388</x:v>
      </x:c>
      <x:c r="P1734" s="80" t="n">
        <x:v>4617.663575995006</x:v>
      </x:c>
      <x:c r="Q1734" s="81" t="n">
        <x:v>0.016178935901648175</x:v>
      </x:c>
      <x:c r="R1734" s="81" t="n">
        <x:v>41.164295738639865</x:v>
      </x:c>
      <x:c r="S1734" s="81" t="n">
        <x:v>4.604585977098127</x:v>
      </x:c>
      <x:c r="T1734" s="81" t="n">
        <x:v>1.776043331224746</x:v>
      </x:c>
    </x:row>
    <x:row r="1735">
      <x:c r="A1735" s="59" t="n">
        <x:v>1732</x:v>
      </x:c>
      <x:c r="B1735" s="193" t="n">
        <x:v>0.6688592849299312</x:v>
      </x:c>
      <x:c r="C1735" s="83" t="n">
        <x:v>0.29293959224728994</x:v>
      </x:c>
      <x:c r="D1735" s="83" t="n">
        <x:v>0.3082611470805975</x:v>
      </x:c>
      <x:c r="E1735" s="81" t="n">
        <x:v>0.06353006420948963</x:v>
      </x:c>
      <x:c r="F1735" s="81" t="n">
        <x:v>0.5027174100163393</x:v>
      </x:c>
      <x:c r="G1735" s="81" t="n">
        <x:v>-0.002770769753063896</x:v>
      </x:c>
      <x:c r="H1735" s="59" t="n">
        <x:v>0</x:v>
      </x:c>
      <x:c r="I1735" s="81" t="n">
        <x:v>0</x:v>
      </x:c>
      <x:c r="J1735" s="79" t="n">
        <x:v>0.00016510753176367628</x:v>
      </x:c>
      <x:c r="K1735" s="81" t="n">
        <x:v>-0.8113056779843699</x:v>
      </x:c>
      <x:c r="L1735" s="81" t="n">
        <x:v>-0.8727192643106858</x:v>
      </x:c>
      <x:c r="M1735" s="80" t="n">
        <x:v>3052.1419913686277</x:v>
      </x:c>
      <x:c r="N1735" s="82" t="n">
        <x:v>0.2614285727819021</x:v>
      </x:c>
      <x:c r="O1735" s="82" t="n">
        <x:v>0.12415034184353126</x:v>
      </x:c>
      <x:c r="P1735" s="80" t="n">
        <x:v>2256.983507600083</x:v>
      </x:c>
      <x:c r="Q1735" s="81" t="n">
        <x:v>0.00417251495186997</x:v>
      </x:c>
      <x:c r="R1735" s="81" t="n">
        <x:v>66.65758439303683</x:v>
      </x:c>
      <x:c r="S1735" s="81" t="n">
        <x:v>10.791508485021708</x:v>
      </x:c>
      <x:c r="T1735" s="81" t="n">
        <x:v>3.576589603931035</x:v>
      </x:c>
    </x:row>
    <x:row r="1736">
      <x:c r="A1736" s="59" t="n">
        <x:v>1733</x:v>
      </x:c>
      <x:c r="B1736" s="193" t="n">
        <x:v>0.869295148178935</x:v>
      </x:c>
      <x:c r="C1736" s="83" t="n">
        <x:v>2.6127169601391653</x:v>
      </x:c>
      <x:c r="D1736" s="83" t="n">
        <x:v>0.5507578132363435</x:v>
      </x:c>
      <x:c r="E1736" s="81" t="n">
        <x:v>0.10357769041338799</x:v>
      </x:c>
      <x:c r="F1736" s="81" t="n">
        <x:v>0.5620614545885474</x:v>
      </x:c>
      <x:c r="G1736" s="81" t="n">
        <x:v>-0.013667010870080005</x:v>
      </x:c>
      <x:c r="H1736" s="59" t="n">
        <x:v>30</x:v>
      </x:c>
      <x:c r="I1736" s="81" t="n">
        <x:v>0.291644508112222</x:v>
      </x:c>
      <x:c r="J1736" s="79" t="n">
        <x:v>0.005589629427067443</x:v>
      </x:c>
      <x:c r="K1736" s="81" t="n">
        <x:v>5.3881479166485065</x:v>
      </x:c>
      <x:c r="L1736" s="81" t="n">
        <x:v>-0.6690127529254419</x:v>
      </x:c>
      <x:c r="M1736" s="80" t="n">
        <x:v>56011.60894651136</x:v>
      </x:c>
      <x:c r="N1736" s="82" t="n">
        <x:v>0.3091761535802505</x:v>
      </x:c>
      <x:c r="O1736" s="82" t="n">
        <x:v>0.16415750197402268</x:v>
      </x:c>
      <x:c r="P1736" s="80" t="n">
        <x:v>56803.02165244563</x:v>
      </x:c>
      <x:c r="Q1736" s="81" t="n">
        <x:v>0.003987584224298285</x:v>
      </x:c>
      <x:c r="R1736" s="81" t="n">
        <x:v>62.792718763735735</x:v>
      </x:c>
      <x:c r="S1736" s="81" t="n">
        <x:v>43.179705059449894</x:v>
      </x:c>
      <x:c r="T1736" s="81" t="n">
        <x:v>121.08357677644486</x:v>
      </x:c>
    </x:row>
    <x:row r="1737">
      <x:c r="A1737" s="59" t="n">
        <x:v>1734</x:v>
      </x:c>
      <x:c r="B1737" s="193" t="n">
        <x:v>0.2554354233667255</x:v>
      </x:c>
      <x:c r="C1737" s="83" t="n">
        <x:v>1.3002170601407237</x:v>
      </x:c>
      <x:c r="D1737" s="83" t="n">
        <x:v>0.853618275272834</x:v>
      </x:c>
      <x:c r="E1737" s="81" t="n">
        <x:v>0.09609238385651363</x:v>
      </x:c>
      <x:c r="F1737" s="81" t="n">
        <x:v>0.5880705934250727</x:v>
      </x:c>
      <x:c r="G1737" s="81" t="n">
        <x:v>-0.006163344029234186</x:v>
      </x:c>
      <x:c r="H1737" s="59" t="n">
        <x:v>0</x:v>
      </x:c>
      <x:c r="I1737" s="81" t="n">
        <x:v>0</x:v>
      </x:c>
      <x:c r="J1737" s="79" t="n">
        <x:v>0.020028780974518205</x:v>
      </x:c>
      <x:c r="K1737" s="81" t="n">
        <x:v>21.89003539944938</x:v>
      </x:c>
      <x:c r="L1737" s="81" t="n">
        <x:v>-0.6749629028864311</x:v>
      </x:c>
      <x:c r="M1737" s="80" t="n">
        <x:v>73801.25617202095</x:v>
      </x:c>
      <x:c r="N1737" s="82" t="n">
        <x:v>0.16294325726014214</x:v>
      </x:c>
      <x:c r="O1737" s="82" t="n">
        <x:v>0.09051838535094092</x:v>
      </x:c>
      <x:c r="P1737" s="80" t="n">
        <x:v>106868.12913879102</x:v>
      </x:c>
      <x:c r="Q1737" s="81" t="n">
        <x:v>0.002462230285615524</x:v>
      </x:c>
      <x:c r="R1737" s="81" t="n">
        <x:v>336.8053203546471</x:v>
      </x:c>
      <x:c r="S1737" s="81" t="n">
        <x:v>298.0429779533565</x:v>
      </x:c>
      <x:c r="T1737" s="81" t="n">
        <x:v>433.8671231268032</x:v>
      </x:c>
    </x:row>
    <x:row r="1738">
      <x:c r="A1738" s="59" t="n">
        <x:v>1735</x:v>
      </x:c>
      <x:c r="B1738" s="193" t="n">
        <x:v>0.5587434766814112</x:v>
      </x:c>
      <x:c r="C1738" s="83" t="n">
        <x:v>1.4950741956935318</x:v>
      </x:c>
      <x:c r="D1738" s="83" t="n">
        <x:v>1.1501006523982173</x:v>
      </x:c>
      <x:c r="E1738" s="81" t="n">
        <x:v>0.17714610410592738</x:v>
      </x:c>
      <x:c r="F1738" s="81" t="n">
        <x:v>0.7175169768393972</x:v>
      </x:c>
      <x:c r="G1738" s="81" t="n">
        <x:v>0.008195790653068247</x:v>
      </x:c>
      <x:c r="H1738" s="59" t="n">
        <x:v>0</x:v>
      </x:c>
      <x:c r="I1738" s="81" t="n">
        <x:v>0</x:v>
      </x:c>
      <x:c r="J1738" s="79" t="n">
        <x:v>0.08600196786586264</x:v>
      </x:c>
      <x:c r="K1738" s="81" t="n">
        <x:v>97.28796327527161</x:v>
      </x:c>
      <x:c r="L1738" s="81" t="n">
        <x:v>-0.8012273452676907</x:v>
      </x:c>
      <x:c r="M1738" s="80" t="n">
        <x:v>236896.7959038599</x:v>
      </x:c>
      <x:c r="N1738" s="82" t="n">
        <x:v>0.23519692258569994</x:v>
      </x:c>
      <x:c r="O1738" s="82" t="n">
        <x:v>0.1594170462140347</x:v>
      </x:c>
      <x:c r="P1738" s="80" t="n">
        <x:v>371347.9062204084</x:v>
      </x:c>
      <x:c r="Q1738" s="81" t="n">
        <x:v>0.0028534577148943844</x:v>
      </x:c>
      <x:c r="R1738" s="81" t="n">
        <x:v>890.8406144141312</x:v>
      </x:c>
      <x:c r="S1738" s="81" t="n">
        <x:v>1127.0523954115172</x:v>
      </x:c>
      <x:c r="T1738" s="81" t="n">
        <x:v>1862.9903851201898</x:v>
      </x:c>
    </x:row>
    <x:row r="1739">
      <x:c r="A1739" s="59" t="n">
        <x:v>1736</x:v>
      </x:c>
      <x:c r="B1739" s="193" t="n">
        <x:v>0.40052261389791965</x:v>
      </x:c>
      <x:c r="C1739" s="83" t="n">
        <x:v>0.7906167149246646</x:v>
      </x:c>
      <x:c r="D1739" s="83" t="n">
        <x:v>0.46384535421399353</x:v>
      </x:c>
      <x:c r="E1739" s="81" t="n">
        <x:v>-0.2</x:v>
      </x:c>
      <x:c r="F1739" s="81" t="n">
        <x:v>0.7298909358214587</x:v>
      </x:c>
      <x:c r="G1739" s="81" t="n">
        <x:v>-0.010487236529457251</x:v>
      </x:c>
      <x:c r="H1739" s="59" t="n">
        <x:v>0</x:v>
      </x:c>
      <x:c r="I1739" s="81" t="n">
        <x:v>0</x:v>
      </x:c>
      <x:c r="J1739" s="79" t="n">
        <x:v>7.789971481144636e-39</x:v>
      </x:c>
      <x:c r="K1739" s="81" t="n">
        <x:v>-1</x:v>
      </x:c>
      <x:c r="L1739" s="81" t="n">
        <x:v>-1</x:v>
      </x:c>
      <x:c r="M1739" s="80" t="n">
        <x:v>0.000002</x:v>
      </x:c>
      <x:c r="N1739" s="82" t="n">
        <x:v>0.19750574642949523</x:v>
      </x:c>
      <x:c r="O1739" s="82" t="n">
        <x:v>0.1361785319953041</x:v>
      </x:c>
      <x:c r="P1739" s="80" t="n">
        <x:v>154.65521237301945</x:v>
      </x:c>
      <x:c r="Q1739" s="81" t="n">
        <x:v>1.5560021176651426e+21</x:v>
      </x:c>
      <x:c r="R1739" s="81" t="n">
        <x:v>2.093463851279751</x:v>
      </x:c>
      <x:c r="S1739" s="81" t="n">
        <x:v>1.9960360850997562e-10</x:v>
      </x:c>
      <x:c r="T1739" s="81" t="n">
        <x:v>1.6874778949672784e-34</x:v>
      </x:c>
    </x:row>
    <x:row r="1740">
      <x:c r="A1740" s="59" t="n">
        <x:v>1737</x:v>
      </x:c>
      <x:c r="B1740" s="193" t="n">
        <x:v>0.610430208221078</x:v>
      </x:c>
      <x:c r="C1740" s="83" t="n">
        <x:v>0.6964164411670672</x:v>
      </x:c>
      <x:c r="D1740" s="83" t="n">
        <x:v>1.2780010179650805</x:v>
      </x:c>
      <x:c r="E1740" s="81" t="n">
        <x:v>0.06476836903675175</x:v>
      </x:c>
      <x:c r="F1740" s="81" t="n">
        <x:v>0.5683601222583092</x:v>
      </x:c>
      <x:c r="G1740" s="81" t="n">
        <x:v>-0.0333893260568771</x:v>
      </x:c>
      <x:c r="H1740" s="59" t="n">
        <x:v>0</x:v>
      </x:c>
      <x:c r="I1740" s="81" t="n">
        <x:v>0</x:v>
      </x:c>
      <x:c r="J1740" s="79" t="n">
        <x:v>0.002666610140311729</x:v>
      </x:c>
      <x:c r="K1740" s="81" t="n">
        <x:v>2.047554446070548</x:v>
      </x:c>
      <x:c r="L1740" s="81" t="n">
        <x:v>-0.7728321225399643</x:v>
      </x:c>
      <x:c r="M1740" s="80" t="n">
        <x:v>19176.53850093306</x:v>
      </x:c>
      <x:c r="N1740" s="82" t="n">
        <x:v>0.247509671164665</x:v>
      </x:c>
      <x:c r="O1740" s="82" t="n">
        <x:v>0.1328882903205374</x:v>
      </x:c>
      <x:c r="P1740" s="80" t="n">
        <x:v>43109.92342428596</x:v>
      </x:c>
      <x:c r="Q1740" s="81" t="n">
        <x:v>0.004979961306296551</x:v>
      </x:c>
      <x:c r="R1740" s="81" t="n">
        <x:v>243.33021424504574</x:v>
      </x:c>
      <x:c r="S1740" s="81" t="n">
        <x:v>75.52338007767858</x:v>
      </x:c>
      <x:c r="T1740" s="81" t="n">
        <x:v>57.76459743355109</x:v>
      </x:c>
    </x:row>
    <x:row r="1741">
      <x:c r="A1741" s="59" t="n">
        <x:v>1738</x:v>
      </x:c>
      <x:c r="B1741" s="193" t="n">
        <x:v>0.6031274875625968</x:v>
      </x:c>
      <x:c r="C1741" s="83" t="n">
        <x:v>0.1803521480917955</x:v>
      </x:c>
      <x:c r="D1741" s="83" t="n">
        <x:v>0.4285366060401397</x:v>
      </x:c>
      <x:c r="E1741" s="81" t="n">
        <x:v>-0.19873295923145937</x:v>
      </x:c>
      <x:c r="F1741" s="81" t="n">
        <x:v>0.5805651578935795</x:v>
      </x:c>
      <x:c r="G1741" s="81" t="n">
        <x:v>0.03189712826770901</x:v>
      </x:c>
      <x:c r="H1741" s="59" t="n">
        <x:v>0</x:v>
      </x:c>
      <x:c r="I1741" s="81" t="n">
        <x:v>0</x:v>
      </x:c>
      <x:c r="J1741" s="79" t="n">
        <x:v>4.262486263292131e-43</x:v>
      </x:c>
      <x:c r="K1741" s="81" t="n">
        <x:v>-1</x:v>
      </x:c>
      <x:c r="L1741" s="81" t="n">
        <x:v>-1</x:v>
      </x:c>
      <x:c r="M1741" s="80" t="n">
        <x:v>0.000002</x:v>
      </x:c>
      <x:c r="N1741" s="82" t="n">
        <x:v>0.2457700261778024</x:v>
      </x:c>
      <x:c r="O1741" s="82" t="n">
        <x:v>0.13478787486686125</x:v>
      </x:c>
      <x:c r="P1741" s="80" t="n">
        <x:v>99.16136721468646</x:v>
      </x:c>
      <x:c r="Q1741" s="81" t="n">
        <x:v>2.858803832621701e+25</x:v>
      </x:c>
      <x:c r="R1741" s="81" t="n">
        <x:v>8.804472479609485</x:v>
      </x:c>
      <x:c r="S1741" s="81" t="n">
        <x:v>4.660043997720374e-10</x:v>
      </x:c>
      <x:c r="T1741" s="81" t="n">
        <x:v>9.233475840466427e-39</x:v>
      </x:c>
    </x:row>
    <x:row r="1742">
      <x:c r="A1742" s="59" t="n">
        <x:v>1739</x:v>
      </x:c>
      <x:c r="B1742" s="193" t="n">
        <x:v>0.7031597912311554</x:v>
      </x:c>
      <x:c r="C1742" s="83" t="n">
        <x:v>0.18820548572002166</x:v>
      </x:c>
      <x:c r="D1742" s="83" t="n">
        <x:v>0.8649360301947011</x:v>
      </x:c>
      <x:c r="E1742" s="81" t="n">
        <x:v>-0.09464310319699032</x:v>
      </x:c>
      <x:c r="F1742" s="81" t="n">
        <x:v>0.6947921492625029</x:v>
      </x:c>
      <x:c r="G1742" s="81" t="n">
        <x:v>-0.04511355444942903</x:v>
      </x:c>
      <x:c r="H1742" s="59" t="n">
        <x:v>0</x:v>
      </x:c>
      <x:c r="I1742" s="81" t="n">
        <x:v>0</x:v>
      </x:c>
      <x:c r="J1742" s="79" t="n">
        <x:v>5.676814826552003e-32</x:v>
      </x:c>
      <x:c r="K1742" s="81" t="n">
        <x:v>-1</x:v>
      </x:c>
      <x:c r="L1742" s="81" t="n">
        <x:v>-1</x:v>
      </x:c>
      <x:c r="M1742" s="80" t="n">
        <x:v>0.000002</x:v>
      </x:c>
      <x:c r="N1742" s="82" t="n">
        <x:v>0.2695995965173467</x:v>
      </x:c>
      <x:c r="O1742" s="82" t="n">
        <x:v>0.1769477653172894</x:v>
      </x:c>
      <x:c r="P1742" s="80" t="n">
        <x:v>200.93194685116288</x:v>
      </x:c>
      <x:c r="Q1742" s="81" t="n">
        <x:v>411598370200001.4</x:v>
      </x:c>
      <x:c r="R1742" s="81" t="n">
        <x:v>8.732433680848969</x:v>
      </x:c>
      <x:c r="S1742" s="81" t="n">
        <x:v>3.6364356518024845e-10</x:v>
      </x:c>
      <x:c r="T1742" s="81" t="n">
        <x:v>1.2297220287411662e-27</x:v>
      </x:c>
    </x:row>
    <x:row r="1743">
      <x:c r="A1743" s="59" t="n">
        <x:v>1740</x:v>
      </x:c>
      <x:c r="B1743" s="193" t="n">
        <x:v>0.2879605166614056</x:v>
      </x:c>
      <x:c r="C1743" s="83" t="n">
        <x:v>0.35755199448533137</x:v>
      </x:c>
      <x:c r="D1743" s="83" t="n">
        <x:v>0.6424954111458868</x:v>
      </x:c>
      <x:c r="E1743" s="81" t="n">
        <x:v>-0.03684182740412236</x:v>
      </x:c>
      <x:c r="F1743" s="81" t="n">
        <x:v>0.3098826651577838</x:v>
      </x:c>
      <x:c r="G1743" s="81" t="n">
        <x:v>0.018535969427877313</x:v>
      </x:c>
      <x:c r="H1743" s="59" t="n">
        <x:v>0</x:v>
      </x:c>
      <x:c r="I1743" s="81" t="n">
        <x:v>0</x:v>
      </x:c>
      <x:c r="J1743" s="79" t="n">
        <x:v>2.3204144870486742e-20</x:v>
      </x:c>
      <x:c r="K1743" s="81" t="n">
        <x:v>-1</x:v>
      </x:c>
      <x:c r="L1743" s="81" t="n">
        <x:v>-1</x:v>
      </x:c>
      <x:c r="M1743" s="80" t="n">
        <x:v>0.00003696600883605415</x:v>
      </x:c>
      <x:c r="N1743" s="82" t="n">
        <x:v>0.17069134432843422</x:v>
      </x:c>
      <x:c r="O1743" s="82" t="n">
        <x:v>0.049966591309184474</x:v>
      </x:c>
      <x:c r="P1743" s="80" t="n">
        <x:v>516.6084102892778</x:v>
      </x:c>
      <x:c r="Q1743" s="81" t="n">
        <x:v>45286.9547284631</x:v>
      </x:c>
      <x:c r="R1743" s="81" t="n">
        <x:v>15.934368217899056</x:v>
      </x:c>
      <x:c r="S1743" s="81" t="n">
        <x:v>1.014306895992286e-8</x:v>
      </x:c>
      <x:c r="T1743" s="81" t="n">
        <x:v>5.026524376288371e-16</x:v>
      </x:c>
    </x:row>
    <x:row r="1744">
      <x:c r="A1744" s="59" t="n">
        <x:v>1741</x:v>
      </x:c>
      <x:c r="B1744" s="193" t="n">
        <x:v>0.7868839822709561</x:v>
      </x:c>
      <x:c r="C1744" s="83" t="n">
        <x:v>0.10852335173117082</x:v>
      </x:c>
      <x:c r="D1744" s="83" t="n">
        <x:v>0.269979632241076</x:v>
      </x:c>
      <x:c r="E1744" s="81" t="n">
        <x:v>0.04431197190932948</x:v>
      </x:c>
      <x:c r="F1744" s="81" t="n">
        <x:v>0.6245066249510274</x:v>
      </x:c>
      <x:c r="G1744" s="81" t="n">
        <x:v>-0.022234453909160797</x:v>
      </x:c>
      <x:c r="H1744" s="59" t="n">
        <x:v>0</x:v>
      </x:c>
      <x:c r="I1744" s="81" t="n">
        <x:v>0</x:v>
      </x:c>
      <x:c r="J1744" s="79" t="n">
        <x:v>0.000015112711544105844</x:v>
      </x:c>
      <x:c r="K1744" s="81" t="n">
        <x:v>-0.982728329663879</x:v>
      </x:c>
      <x:c r="L1744" s="81" t="n">
        <x:v>-0.982728329663879</x:v>
      </x:c>
      <x:c r="M1744" s="80" t="n">
        <x:v>766.2409072058203</x:v>
      </x:c>
      <x:c r="N1744" s="82" t="n">
        <x:v>0.2895442686516094</x:v>
      </x:c>
      <x:c r="O1744" s="82" t="n">
        <x:v>0.17081380399997267</x:v>
      </x:c>
      <x:c r="P1744" s="80" t="n">
        <x:v>678.5363285349299</x:v>
      </x:c>
      <x:c r="Q1744" s="81" t="n">
        <x:v>0.007304271978900584</x:v>
      </x:c>
      <x:c r="R1744" s="81" t="n">
        <x:v>96.75391231848948</x:v>
      </x:c>
      <x:c r="S1744" s="81" t="n">
        <x:v>2.6505771856159277</x:v>
      </x:c>
      <x:c r="T1744" s="81" t="n">
        <x:v>0.3273743264070098</x:v>
      </x:c>
    </x:row>
    <x:row r="1745">
      <x:c r="A1745" s="59" t="n">
        <x:v>1742</x:v>
      </x:c>
      <x:c r="B1745" s="193" t="n">
        <x:v>0.892680207081139</x:v>
      </x:c>
      <x:c r="C1745" s="83" t="n">
        <x:v>0.9492428742061608</x:v>
      </x:c>
      <x:c r="D1745" s="83" t="n">
        <x:v>0.25548216177373667</x:v>
      </x:c>
      <x:c r="E1745" s="81" t="n">
        <x:v>0.04745626486249032</x:v>
      </x:c>
      <x:c r="F1745" s="81" t="n">
        <x:v>0.2569928709883243</x:v>
      </x:c>
      <x:c r="G1745" s="81" t="n">
        <x:v>-0.034858041371932186</x:v>
      </x:c>
      <x:c r="H1745" s="59" t="n">
        <x:v>0</x:v>
      </x:c>
      <x:c r="I1745" s="81" t="n">
        <x:v>0</x:v>
      </x:c>
      <x:c r="J1745" s="79" t="n">
        <x:v>0.0001829205618739885</x:v>
      </x:c>
      <x:c r="K1745" s="81" t="n">
        <x:v>-0.7909479292868703</x:v>
      </x:c>
      <x:c r="L1745" s="81" t="n">
        <x:v>-0.8401662801678267</x:v>
      </x:c>
      <x:c r="M1745" s="80" t="n">
        <x:v>4658.444548816971</x:v>
      </x:c>
      <x:c r="N1745" s="82" t="n">
        <x:v>0.3147469130806101</x:v>
      </x:c>
      <x:c r="O1745" s="82" t="n">
        <x:v>0.07641058019912442</x:v>
      </x:c>
      <x:c r="P1745" s="80" t="n">
        <x:v>2985.383655634832</x:v>
      </x:c>
      <x:c r="Q1745" s="81" t="n">
        <x:v>0.003173803896891902</x:v>
      </x:c>
      <x:c r="R1745" s="81" t="n">
        <x:v>25.731357053904546</x:v>
      </x:c>
      <x:c r="S1745" s="81" t="n">
        <x:v>3.7601416362556552</x:v>
      </x:c>
      <x:c r="T1745" s="81" t="n">
        <x:v>3.962458725869355</x:v>
      </x:c>
    </x:row>
    <x:row r="1746">
      <x:c r="A1746" s="59" t="n">
        <x:v>1743</x:v>
      </x:c>
      <x:c r="B1746" s="193" t="n">
        <x:v>0.35544358212500815</x:v>
      </x:c>
      <x:c r="C1746" s="83" t="n">
        <x:v>2.9097151791755542</x:v>
      </x:c>
      <x:c r="D1746" s="83" t="n">
        <x:v>0.32486076071340697</x:v>
      </x:c>
      <x:c r="E1746" s="81" t="n">
        <x:v>-0.01615711797552193</x:v>
      </x:c>
      <x:c r="F1746" s="81" t="n">
        <x:v>0.852701753017027</x:v>
      </x:c>
      <x:c r="G1746" s="81" t="n">
        <x:v>-0.002649184217468847</x:v>
      </x:c>
      <x:c r="H1746" s="59" t="n">
        <x:v>0</x:v>
      </x:c>
      <x:c r="I1746" s="81" t="n">
        <x:v>0</x:v>
      </x:c>
      <x:c r="J1746" s="79" t="n">
        <x:v>3.0651464643602364e-8</x:v>
      </x:c>
      <x:c r="K1746" s="81" t="n">
        <x:v>-0.9999649697546931</x:v>
      </x:c>
      <x:c r="L1746" s="81" t="n">
        <x:v>-0.9999649697546931</x:v>
      </x:c>
      <x:c r="M1746" s="80" t="n">
        <x:v>117.48667236298067</x:v>
      </x:c>
      <x:c r="N1746" s="82" t="n">
        <x:v>0.1867670758293418</x:v>
      </x:c>
      <x:c r="O1746" s="82" t="n">
        <x:v>0.15044176392063535</x:v>
      </x:c>
      <x:c r="P1746" s="80" t="n">
        <x:v>1940.5886803028793</x:v>
      </x:c>
      <x:c r="Q1746" s="81" t="n">
        <x:v>0.2236487576979565</x:v>
      </x:c>
      <x:c r="R1746" s="81" t="n">
        <x:v>4.1912372800049775</x:v>
      </x:c>
      <x:c r="S1746" s="81" t="n">
        <x:v>0.0043795078848948565</x:v>
      </x:c>
      <x:c r="T1746" s="81" t="n">
        <x:v>0.0006639776430458762</x:v>
      </x:c>
    </x:row>
    <x:row r="1747">
      <x:c r="A1747" s="59" t="n">
        <x:v>1744</x:v>
      </x:c>
      <x:c r="B1747" s="193" t="n">
        <x:v>0.9085378518328071</x:v>
      </x:c>
      <x:c r="C1747" s="83" t="n">
        <x:v>0.17088499238144286</x:v>
      </x:c>
      <x:c r="D1747" s="83" t="n">
        <x:v>0.6068506277053836</x:v>
      </x:c>
      <x:c r="E1747" s="81" t="n">
        <x:v>-0.0003276710215513506</x:v>
      </x:c>
      <x:c r="F1747" s="81" t="n">
        <x:v>0.6169910363270901</x:v>
      </x:c>
      <x:c r="G1747" s="81" t="n">
        <x:v>-0.004066585456523356</x:v>
      </x:c>
      <x:c r="H1747" s="59" t="n">
        <x:v>0</x:v>
      </x:c>
      <x:c r="I1747" s="81" t="n">
        <x:v>0</x:v>
      </x:c>
      <x:c r="J1747" s="79" t="n">
        <x:v>2.463539946223644e-7</x:v>
      </x:c>
      <x:c r="K1747" s="81" t="n">
        <x:v>-0.9997184525775744</x:v>
      </x:c>
      <x:c r="L1747" s="81" t="n">
        <x:v>-0.9997184525775744</x:v>
      </x:c>
      <x:c r="M1747" s="80" t="n">
        <x:v>99.4359203815201</x:v>
      </x:c>
      <x:c r="N1747" s="82" t="n">
        <x:v>0.3185245013912964</x:v>
      </x:c>
      <x:c r="O1747" s="82" t="n">
        <x:v>0.18564901145252816</x:v>
      </x:c>
      <x:c r="P1747" s="80" t="n">
        <x:v>784.6591678950202</x:v>
      </x:c>
      <x:c r="Q1747" s="81" t="n">
        <x:v>0.08442452561748665</x:v>
      </x:c>
      <x:c r="R1747" s="81" t="n">
        <x:v>42.4889386215184</x:v>
      </x:c>
      <x:c r="S1747" s="81" t="n">
        <x:v>0.04835499619813794</x:v>
      </x:c>
      <x:c r="T1747" s="81" t="n">
        <x:v>0.005336565368286092</x:v>
      </x:c>
    </x:row>
    <x:row r="1748">
      <x:c r="A1748" s="59" t="n">
        <x:v>1745</x:v>
      </x:c>
      <x:c r="B1748" s="193" t="n">
        <x:v>0.594497636333108</x:v>
      </x:c>
      <x:c r="C1748" s="83" t="n">
        <x:v>0.21089259711295272</x:v>
      </x:c>
      <x:c r="D1748" s="83" t="n">
        <x:v>0.40655690413007467</x:v>
      </x:c>
      <x:c r="E1748" s="81" t="n">
        <x:v>-0.06630892051026818</x:v>
      </x:c>
      <x:c r="F1748" s="81" t="n">
        <x:v>0.5181212966213935</x:v>
      </x:c>
      <x:c r="G1748" s="81" t="n">
        <x:v>-0.012334508536044762</x:v>
      </x:c>
      <x:c r="H1748" s="59" t="n">
        <x:v>0</x:v>
      </x:c>
      <x:c r="I1748" s="81" t="n">
        <x:v>0</x:v>
      </x:c>
      <x:c r="J1748" s="79" t="n">
        <x:v>9.851582762907263e-20</x:v>
      </x:c>
      <x:c r="K1748" s="81" t="n">
        <x:v>-0.9999999999999999</x:v>
      </x:c>
      <x:c r="L1748" s="81" t="n">
        <x:v>-0.9999999999999999</x:v>
      </x:c>
      <x:c r="M1748" s="80" t="n">
        <x:v>0.00006779813181428708</x:v>
      </x:c>
      <x:c r="N1748" s="82" t="n">
        <x:v>0.24371423380522755</x:v>
      </x:c>
      <x:c r="O1748" s="82" t="n">
        <x:v>0.1192842982260626</x:v>
      </x:c>
      <x:c r="P1748" s="80" t="n">
        <x:v>230.31798032852893</x:v>
      </x:c>
      <x:c r="Q1748" s="81" t="n">
        <x:v>11178.601415060572</x:v>
      </x:c>
      <x:c r="R1748" s="81" t="n">
        <x:v>20.086249397533987</x:v>
      </x:c>
      <x:c r="S1748" s="81" t="n">
        <x:v>8.966374067502272e-9</x:v>
      </x:c>
      <x:c r="T1748" s="81" t="n">
        <x:v>2.134067908089946e-15</x:v>
      </x:c>
    </x:row>
    <x:row r="1749">
      <x:c r="A1749" s="59" t="n">
        <x:v>1746</x:v>
      </x:c>
      <x:c r="B1749" s="193" t="n">
        <x:v>0.6483598480001092</x:v>
      </x:c>
      <x:c r="C1749" s="83" t="n">
        <x:v>2.507006555024381</x:v>
      </x:c>
      <x:c r="D1749" s="83" t="n">
        <x:v>0.5571419510422557</x:v>
      </x:c>
      <x:c r="E1749" s="81" t="n">
        <x:v>0.027639827149651054</x:v>
      </x:c>
      <x:c r="F1749" s="81" t="n">
        <x:v>0.5579715586733074</x:v>
      </x:c>
      <x:c r="G1749" s="81" t="n">
        <x:v>0.03886397348608758</x:v>
      </x:c>
      <x:c r="H1749" s="59" t="n">
        <x:v>0</x:v>
      </x:c>
      <x:c r="I1749" s="81" t="n">
        <x:v>0</x:v>
      </x:c>
      <x:c r="J1749" s="79" t="n">
        <x:v>0.0015863453502084966</x:v>
      </x:c>
      <x:c r="K1749" s="81" t="n">
        <x:v>0.8129661145239964</x:v>
      </x:c>
      <x:c r="L1749" s="81" t="n">
        <x:v>-0.571368414712222</x:v>
      </x:c>
      <x:c r="M1749" s="80" t="n">
        <x:v>25612.66370812345</x:v>
      </x:c>
      <x:c r="N1749" s="82" t="n">
        <x:v>0.25654522254077594</x:v>
      </x:c>
      <x:c r="O1749" s="82" t="n">
        <x:v>0.13522186941928077</x:v>
      </x:c>
      <x:c r="P1749" s="80" t="n">
        <x:v>30994.908219851197</x:v>
      </x:c>
      <x:c r="Q1749" s="81" t="n">
        <x:v>0.010695620987396983</x:v>
      </x:c>
      <x:c r="R1749" s="81" t="n">
        <x:v>13.049726732657827</x:v>
      </x:c>
      <x:c r="S1749" s="81" t="n">
        <x:v>14.647631446843954</x:v>
      </x:c>
      <x:c r="T1749" s="81" t="n">
        <x:v>34.36370362510781</x:v>
      </x:c>
    </x:row>
    <x:row r="1750">
      <x:c r="A1750" s="59" t="n">
        <x:v>1747</x:v>
      </x:c>
      <x:c r="B1750" s="193" t="n">
        <x:v>0.2035348353907466</x:v>
      </x:c>
      <x:c r="C1750" s="83" t="n">
        <x:v>2.6801141830655193</x:v>
      </x:c>
      <x:c r="D1750" s="83" t="n">
        <x:v>1.5042235672125897</x:v>
      </x:c>
      <x:c r="E1750" s="81" t="n">
        <x:v>-0.014838812414604215</x:v>
      </x:c>
      <x:c r="F1750" s="81" t="n">
        <x:v>0.4906588213285431</x:v>
      </x:c>
      <x:c r="G1750" s="81" t="n">
        <x:v>0.03422427563914631</x:v>
      </x:c>
      <x:c r="H1750" s="59" t="n">
        <x:v>0</x:v>
      </x:c>
      <x:c r="I1750" s="81" t="n">
        <x:v>0</x:v>
      </x:c>
      <x:c r="J1750" s="79" t="n">
        <x:v>7.150675216180724e-21</x:v>
      </x:c>
      <x:c r="K1750" s="81" t="n">
        <x:v>-1</x:v>
      </x:c>
      <x:c r="L1750" s="81" t="n">
        <x:v>-1</x:v>
      </x:c>
      <x:c r="M1750" s="80" t="n">
        <x:v>0.0000557214231043546</x:v>
      </x:c>
      <x:c r="N1750" s="82" t="n">
        <x:v>0.15057956406823944</x:v>
      </x:c>
      <x:c r="O1750" s="82" t="n">
        <x:v>0.06979375885634116</x:v>
      </x:c>
      <x:c r="P1750" s="80" t="n">
        <x:v>3644.962469153949</x:v>
      </x:c>
      <x:c r="Q1750" s="81" t="n">
        <x:v>538316.7176246229</x:v>
      </x:c>
      <x:c r="R1750" s="81" t="n">
        <x:v>4.075235401132664</x:v>
      </x:c>
      <x:c r="S1750" s="81" t="n">
        <x:v>1.6022995601641966e-8</x:v>
      </x:c>
      <x:c r="T1750" s="81" t="n">
        <x:v>1.5489923667374332e-16</x:v>
      </x:c>
    </x:row>
    <x:row r="1751">
      <x:c r="A1751" s="59" t="n">
        <x:v>1748</x:v>
      </x:c>
      <x:c r="B1751" s="193" t="n">
        <x:v>0.22058552578091623</x:v>
      </x:c>
      <x:c r="C1751" s="83" t="n">
        <x:v>0.245584297380259</x:v>
      </x:c>
      <x:c r="D1751" s="83" t="n">
        <x:v>0.8002059784702951</x:v>
      </x:c>
      <x:c r="E1751" s="81" t="n">
        <x:v>-0.017880483183558015</x:v>
      </x:c>
      <x:c r="F1751" s="81" t="n">
        <x:v>0.32696974707068877</x:v>
      </x:c>
      <x:c r="G1751" s="81" t="n">
        <x:v>-0.011358928996494086</x:v>
      </x:c>
      <x:c r="H1751" s="59" t="n">
        <x:v>0</x:v>
      </x:c>
      <x:c r="I1751" s="81" t="n">
        <x:v>0</x:v>
      </x:c>
      <x:c r="J1751" s="79" t="n">
        <x:v>1.2117850158461194e-12</x:v>
      </x:c>
      <x:c r="K1751" s="81" t="n">
        <x:v>-0.9999999986151028</x:v>
      </x:c>
      <x:c r="L1751" s="81" t="n">
        <x:v>-0.9999999986151028</x:v>
      </x:c>
      <x:c r="M1751" s="80" t="n">
        <x:v>0.23888660225721503</x:v>
      </x:c>
      <x:c r="N1751" s="82" t="n">
        <x:v>0.15464135821962263</x:v>
      </x:c>
      <x:c r="O1751" s="82" t="n">
        <x:v>0.047764382622849946</x:v>
      </x:c>
      <x:c r="P1751" s="80" t="n">
        <x:v>851.1386408584859</x:v>
      </x:c>
      <x:c r="Q1751" s="81" t="n">
        <x:v>11.330017532302945</x:v>
      </x:c>
      <x:c r="R1751" s="81" t="n">
        <x:v>31.358232314197277</x:v>
      </x:c>
      <x:c r="S1751" s="81" t="n">
        <x:v>0.00006003062795355728</x:v>
      </x:c>
      <x:c r="T1751" s="81" t="n">
        <x:v>2.6249909035513366e-8</x:v>
      </x:c>
    </x:row>
    <x:row r="1752">
      <x:c r="A1752" s="59" t="n">
        <x:v>1749</x:v>
      </x:c>
      <x:c r="B1752" s="193" t="n">
        <x:v>0.3107276719063521</x:v>
      </x:c>
      <x:c r="C1752" s="83" t="n">
        <x:v>1.7058174281569412</x:v>
      </x:c>
      <x:c r="D1752" s="83" t="n">
        <x:v>0.2943644709889105</x:v>
      </x:c>
      <x:c r="E1752" s="81" t="n">
        <x:v>-0.03910616130607332</x:v>
      </x:c>
      <x:c r="F1752" s="81" t="n">
        <x:v>0.770234030415304</x:v>
      </x:c>
      <x:c r="G1752" s="81" t="n">
        <x:v>0.018182318345603615</x:v>
      </x:c>
      <x:c r="H1752" s="59" t="n">
        <x:v>0</x:v>
      </x:c>
      <x:c r="I1752" s="81" t="n">
        <x:v>0</x:v>
      </x:c>
      <x:c r="J1752" s="79" t="n">
        <x:v>1.493518790562055e-12</x:v>
      </x:c>
      <x:c r="K1752" s="81" t="n">
        <x:v>-0.9999999982931214</x:v>
      </x:c>
      <x:c r="L1752" s="81" t="n">
        <x:v>-0.9999999982931214</x:v>
      </x:c>
      <x:c r="M1752" s="80" t="n">
        <x:v>0.5759415380567705</x:v>
      </x:c>
      <x:c r="N1752" s="82" t="n">
        <x:v>0.17611490759194118</x:v>
      </x:c>
      <x:c r="O1752" s="82" t="n">
        <x:v>0.1281414882857362</x:v>
      </x:c>
      <x:c r="P1752" s="80" t="n">
        <x:v>762.5767953377282</x:v>
      </x:c>
      <x:c r="Q1752" s="81" t="n">
        <x:v>10.343414178271093</x:v>
      </x:c>
      <x:c r="R1752" s="81" t="n">
        <x:v>5.028237652371719</x:v>
      </x:c>
      <x:c r="S1752" s="81" t="n">
        <x:v>0.0000351565667701968</x:v>
      </x:c>
      <x:c r="T1752" s="81" t="n">
        <x:v>3.235287768244063e-8</x:v>
      </x:c>
    </x:row>
    <x:row r="1753">
      <x:c r="A1753" s="59" t="n">
        <x:v>1750</x:v>
      </x:c>
      <x:c r="B1753" s="193" t="n">
        <x:v>0.4115862395614386</x:v>
      </x:c>
      <x:c r="C1753" s="83" t="n">
        <x:v>2.7574460352020633</x:v>
      </x:c>
      <x:c r="D1753" s="83" t="n">
        <x:v>0.37449712051661493</x:v>
      </x:c>
      <x:c r="E1753" s="81" t="n">
        <x:v>-0.046087555144483025</x:v>
      </x:c>
      <x:c r="F1753" s="81" t="n">
        <x:v>0.5973161507747136</x:v>
      </x:c>
      <x:c r="G1753" s="81" t="n">
        <x:v>-0.015444400102381737</x:v>
      </x:c>
      <x:c r="H1753" s="59" t="n">
        <x:v>33</x:v>
      </x:c>
      <x:c r="I1753" s="81" t="n">
        <x:v>0.157538475189358</x:v>
      </x:c>
      <x:c r="J1753" s="79" t="n">
        <x:v>6.264716675915285e-14</x:v>
      </x:c>
      <x:c r="K1753" s="81" t="n">
        <x:v>-0.9999999999284033</x:v>
      </x:c>
      <x:c r="L1753" s="81" t="n">
        <x:v>-0.9999999999284033</x:v>
      </x:c>
      <x:c r="M1753" s="80" t="n">
        <x:v>0.16456125649631315</x:v>
      </x:c>
      <x:c r="N1753" s="82" t="n">
        <x:v>0.20014130950552633</x:v>
      </x:c>
      <x:c r="O1753" s="82" t="n">
        <x:v>0.11293067828378445</x:v>
      </x:c>
      <x:c r="P1753" s="80" t="n">
        <x:v>1086.4342529543314</x:v>
      </x:c>
      <x:c r="Q1753" s="81" t="n">
        <x:v>60.21955285852346</x:v>
      </x:c>
      <x:c r="R1753" s="81" t="n">
        <x:v>3.006045155105899</x:v>
      </x:c>
      <x:c r="S1753" s="81" t="n">
        <x:v>0.000006113004093636119</x:v>
      </x:c>
      <x:c r="T1753" s="81" t="n">
        <x:v>1.3570744044991775e-9</x:v>
      </x:c>
    </x:row>
    <x:row r="1754">
      <x:c r="A1754" s="59" t="n">
        <x:v>1751</x:v>
      </x:c>
      <x:c r="B1754" s="193" t="n">
        <x:v>0.29584780000150207</x:v>
      </x:c>
      <x:c r="C1754" s="83" t="n">
        <x:v>0.7825947581608569</x:v>
      </x:c>
      <x:c r="D1754" s="83" t="n">
        <x:v>1.291990739838304</x:v>
      </x:c>
      <x:c r="E1754" s="81" t="n">
        <x:v>0.18387152634101586</x:v>
      </x:c>
      <x:c r="F1754" s="81" t="n">
        <x:v>0.5017048954148777</x:v>
      </x:c>
      <x:c r="G1754" s="81" t="n">
        <x:v>0.008859678626651211</x:v>
      </x:c>
      <x:c r="H1754" s="59" t="n">
        <x:v>0</x:v>
      </x:c>
      <x:c r="I1754" s="81" t="n">
        <x:v>0</x:v>
      </x:c>
      <x:c r="J1754" s="79" t="n">
        <x:v>0.2404073511466764</x:v>
      </x:c>
      <x:c r="K1754" s="81" t="n">
        <x:v>273.7512584533445</x:v>
      </x:c>
      <x:c r="L1754" s="81" t="n">
        <x:v>-0.7998755338807547</x:v>
      </x:c>
      <x:c r="M1754" s="80" t="n">
        <x:v>304597.72085730755</x:v>
      </x:c>
      <x:c r="N1754" s="82" t="n">
        <x:v>0.17257024310660798</x:v>
      </x:c>
      <x:c r="O1754" s="82" t="n">
        <x:v>0.08178717197170167</x:v>
      </x:c>
      <x:c r="P1754" s="80" t="n">
        <x:v>506560.5331447587</x:v>
      </x:c>
      <x:c r="Q1754" s="81" t="n">
        <x:v>0.001488655094007029</x:v>
      </x:c>
      <x:c r="R1754" s="81" t="n">
        <x:v>3946.2693946574686</x:v>
      </x:c>
      <x:c r="S1754" s="81" t="n">
        <x:v>5823.776131479178</x:v>
      </x:c>
      <x:c r="T1754" s="81" t="n">
        <x:v>5207.7480877766075</x:v>
      </x:c>
    </x:row>
    <x:row r="1755">
      <x:c r="A1755" s="59" t="n">
        <x:v>1752</x:v>
      </x:c>
      <x:c r="B1755" s="193" t="n">
        <x:v>0.958746173977852</x:v>
      </x:c>
      <x:c r="C1755" s="83" t="n">
        <x:v>1.4669987276491356</x:v>
      </x:c>
      <x:c r="D1755" s="83" t="n">
        <x:v>0.48018888649404856</x:v>
      </x:c>
      <x:c r="E1755" s="81" t="n">
        <x:v>0.0560433423329869</x:v>
      </x:c>
      <x:c r="F1755" s="81" t="n">
        <x:v>0.7637462732032873</x:v>
      </x:c>
      <x:c r="G1755" s="81" t="n">
        <x:v>0.0004948461954531583</x:v>
      </x:c>
      <x:c r="H1755" s="59" t="n">
        <x:v>0</x:v>
      </x:c>
      <x:c r="I1755" s="81" t="n">
        <x:v>0</x:v>
      </x:c>
      <x:c r="J1755" s="79" t="n">
        <x:v>0.00034398548956479413</x:v>
      </x:c>
      <x:c r="K1755" s="81" t="n">
        <x:v>-0.6068737262116638</x:v>
      </x:c>
      <x:c r="L1755" s="81" t="n">
        <x:v>-0.8181084644760518</x:v>
      </x:c>
      <x:c r="M1755" s="80" t="n">
        <x:v>8659.872932898152</x:v>
      </x:c>
      <x:c r="N1755" s="82" t="n">
        <x:v>0.3304850651322866</x:v>
      </x:c>
      <x:c r="O1755" s="82" t="n">
        <x:v>0.23843603106451894</x:v>
      </x:c>
      <x:c r="P1755" s="80" t="n">
        <x:v>9080.841900029407</x:v>
      </x:c>
      <x:c r="Q1755" s="81" t="n">
        <x:v>0.009323679624988895</x:v>
      </x:c>
      <x:c r="R1755" s="81" t="n">
        <x:v>18.384137476623746</x:v>
      </x:c>
      <x:c r="S1755" s="81" t="n">
        <x:v>5.1344627298938335</x:v>
      </x:c>
      <x:c r="T1755" s="81" t="n">
        <x:v>7.451476699691269</x:v>
      </x:c>
    </x:row>
    <x:row r="1756">
      <x:c r="A1756" s="59" t="n">
        <x:v>1753</x:v>
      </x:c>
      <x:c r="B1756" s="193" t="n">
        <x:v>0.6035870257765055</x:v>
      </x:c>
      <x:c r="C1756" s="83" t="n">
        <x:v>0.9262331717371226</x:v>
      </x:c>
      <x:c r="D1756" s="83" t="n">
        <x:v>1.053850427604322</x:v>
      </x:c>
      <x:c r="E1756" s="81" t="n">
        <x:v>0.10616261873813207</x:v>
      </x:c>
      <x:c r="F1756" s="81" t="n">
        <x:v>0.7371395914000459</x:v>
      </x:c>
      <x:c r="G1756" s="81" t="n">
        <x:v>0.034145179011728685</x:v>
      </x:c>
      <x:c r="H1756" s="59" t="n">
        <x:v>73</x:v>
      </x:c>
      <x:c r="I1756" s="81" t="n">
        <x:v>0.3474048113450408</x:v>
      </x:c>
      <x:c r="J1756" s="79" t="n">
        <x:v>0.02019887748023333</x:v>
      </x:c>
      <x:c r="K1756" s="81" t="n">
        <x:v>22.08443140598095</x:v>
      </x:c>
      <x:c r="L1756" s="81" t="n">
        <x:v>-0.9316734616076929</x:v>
      </x:c>
      <x:c r="M1756" s="80" t="n">
        <x:v>73862.6681996031</x:v>
      </x:c>
      <x:c r="N1756" s="82" t="n">
        <x:v>0.24587949679669696</x:v>
      </x:c>
      <x:c r="O1756" s="82" t="n">
        <x:v>0.17121546712583655</x:v>
      </x:c>
      <x:c r="P1756" s="80" t="n">
        <x:v>127137.55012462093</x:v>
      </x:c>
      <x:c r="Q1756" s="81" t="n">
        <x:v>0.004550435415276265</x:v>
      </x:c>
      <x:c r="R1756" s="81" t="n">
        <x:v>281.46328199604943</x:v>
      </x:c>
      <x:c r="S1756" s="81" t="n">
        <x:v>433.51424360601516</x:v>
      </x:c>
      <x:c r="T1756" s="81" t="n">
        <x:v>437.5517847985463</x:v>
      </x:c>
    </x:row>
    <x:row r="1757">
      <x:c r="A1757" s="59" t="n">
        <x:v>1754</x:v>
      </x:c>
      <x:c r="B1757" s="193" t="n">
        <x:v>0.2530044727027416</x:v>
      </x:c>
      <x:c r="C1757" s="83" t="n">
        <x:v>1.9294427260457783</x:v>
      </x:c>
      <x:c r="D1757" s="83" t="n">
        <x:v>1.0860301714785563</x:v>
      </x:c>
      <x:c r="E1757" s="81" t="n">
        <x:v>-0.06448472804273765</x:v>
      </x:c>
      <x:c r="F1757" s="81" t="n">
        <x:v>0.374049470864702</x:v>
      </x:c>
      <x:c r="G1757" s="81" t="n">
        <x:v>-0.005940010435740842</x:v>
      </x:c>
      <x:c r="H1757" s="59" t="n">
        <x:v>0</x:v>
      </x:c>
      <x:c r="I1757" s="81" t="n">
        <x:v>0</x:v>
      </x:c>
      <x:c r="J1757" s="79" t="n">
        <x:v>1.1120526542536196e-33</x:v>
      </x:c>
      <x:c r="K1757" s="81" t="n">
        <x:v>-1</x:v>
      </x:c>
      <x:c r="L1757" s="81" t="n">
        <x:v>-1</x:v>
      </x:c>
      <x:c r="M1757" s="80" t="n">
        <x:v>0.000002</x:v>
      </x:c>
      <x:c r="N1757" s="82" t="n">
        <x:v>0.16236415923165623</x:v>
      </x:c>
      <x:c r="O1757" s="82" t="n">
        <x:v>0.05737070074608968</x:v>
      </x:c>
      <x:c r="P1757" s="80" t="n">
        <x:v>770.2448609942683</x:v>
      </x:c>
      <x:c r="Q1757" s="81" t="n">
        <x:v>29988311442348150</x:v>
      </x:c>
      <x:c r="R1757" s="81" t="n">
        <x:v>1.7262050155481587</x:v>
      </x:c>
      <x:c r="S1757" s="81" t="n">
        <x:v>3.0205141819510253e-10</x:v>
      </x:c>
      <x:c r="T1757" s="81" t="n">
        <x:v>2.4089488345815302e-29</x:v>
      </x:c>
    </x:row>
    <x:row r="1758">
      <x:c r="A1758" s="59" t="n">
        <x:v>1755</x:v>
      </x:c>
      <x:c r="B1758" s="193" t="n">
        <x:v>0.5583077428862453</x:v>
      </x:c>
      <x:c r="C1758" s="83" t="n">
        <x:v>0.8964588836999798</x:v>
      </x:c>
      <x:c r="D1758" s="83" t="n">
        <x:v>0.15465844455627215</x:v>
      </x:c>
      <x:c r="E1758" s="81" t="n">
        <x:v>0.07623081960835645</x:v>
      </x:c>
      <x:c r="F1758" s="81" t="n">
        <x:v>0.6269000728731045</x:v>
      </x:c>
      <x:c r="G1758" s="81" t="n">
        <x:v>0.04632500551348657</x:v>
      </x:c>
      <x:c r="H1758" s="59" t="n">
        <x:v>81</x:v>
      </x:c>
      <x:c r="I1758" s="81" t="n">
        <x:v>0.29077596524730326</x:v>
      </x:c>
      <x:c r="J1758" s="79" t="n">
        <x:v>0.00029311171467778254</x:v>
      </x:c>
      <x:c r="K1758" s="81" t="n">
        <x:v>-0.6650151832253913</x:v>
      </x:c>
      <x:c r="L1758" s="81" t="n">
        <x:v>-0.8840496105820582</x:v>
      </x:c>
      <x:c r="M1758" s="80" t="n">
        <x:v>5874.871287172002</x:v>
      </x:c>
      <x:c r="N1758" s="82" t="n">
        <x:v>0.23509312262568274</x:v>
      </x:c>
      <x:c r="O1758" s="82" t="n">
        <x:v>0.1392224226271089</x:v>
      </x:c>
      <x:c r="P1758" s="80" t="n">
        <x:v>2324.0468167657727</x:v>
      </x:c>
      <x:c r="Q1758" s="81" t="n">
        <x:v>0.004028129411985722</x:v>
      </x:c>
      <x:c r="R1758" s="81" t="n">
        <x:v>19.56560842709429</x:v>
      </x:c>
      <x:c r="S1758" s="81" t="n">
        <x:v>6.459159227125999</x:v>
      </x:c>
      <x:c r="T1758" s="81" t="n">
        <x:v>6.3494396670376005</x:v>
      </x:c>
    </x:row>
    <x:row r="1759">
      <x:c r="A1759" s="59" t="n">
        <x:v>1756</x:v>
      </x:c>
      <x:c r="B1759" s="193" t="n">
        <x:v>0.4566337335854769</x:v>
      </x:c>
      <x:c r="C1759" s="83" t="n">
        <x:v>0.203486678056836</x:v>
      </x:c>
      <x:c r="D1759" s="83" t="n">
        <x:v>0.19921490164525119</x:v>
      </x:c>
      <x:c r="E1759" s="81" t="n">
        <x:v>0.1756862881012243</x:v>
      </x:c>
      <x:c r="F1759" s="81" t="n">
        <x:v>0.607380363100674</x:v>
      </x:c>
      <x:c r="G1759" s="81" t="n">
        <x:v>-0.002619858560029829</x:v>
      </x:c>
      <x:c r="H1759" s="59" t="n">
        <x:v>0</x:v>
      </x:c>
      <x:c r="I1759" s="81" t="n">
        <x:v>0</x:v>
      </x:c>
      <x:c r="J1759" s="79" t="n">
        <x:v>0.000517841564607892</x:v>
      </x:c>
      <x:c r="K1759" s="81" t="n">
        <x:v>-0.40818106901955187</x:v>
      </x:c>
      <x:c r="L1759" s="81" t="n">
        <x:v>-0.7941454750634895</x:v>
      </x:c>
      <x:c r="M1759" s="80" t="n">
        <x:v>5332.032040369959</x:v>
      </x:c>
      <x:c r="N1759" s="82" t="n">
        <x:v>0.21087246722256542</x:v>
      </x:c>
      <x:c r="O1759" s="82" t="n">
        <x:v>0.12099058262222512</x:v>
      </x:c>
      <x:c r="P1759" s="80" t="n">
        <x:v>2436.0466778516857</x:v>
      </x:c>
      <x:c r="Q1759" s="81" t="n">
        <x:v>0.0016968974517594447</x:v>
      </x:c>
      <x:c r="R1759" s="81" t="n">
        <x:v>158.0623064154182</x:v>
      </x:c>
      <x:c r="S1759" s="81" t="n">
        <x:v>47.68633452994932</x:v>
      </x:c>
      <x:c r="T1759" s="81" t="n">
        <x:v>11.217578851042045</x:v>
      </x:c>
    </x:row>
    <x:row r="1760">
      <x:c r="A1760" s="59" t="n">
        <x:v>1757</x:v>
      </x:c>
      <x:c r="B1760" s="193" t="n">
        <x:v>0.22110417746007444</x:v>
      </x:c>
      <x:c r="C1760" s="83" t="n">
        <x:v>0.2718182148340501</x:v>
      </x:c>
      <x:c r="D1760" s="83" t="n">
        <x:v>0.14528660755627062</x:v>
      </x:c>
      <x:c r="E1760" s="81" t="n">
        <x:v>0.0524575071140237</x:v>
      </x:c>
      <x:c r="F1760" s="81" t="n">
        <x:v>0.3079177068546414</x:v>
      </x:c>
      <x:c r="G1760" s="81" t="n">
        <x:v>0.022227754898531238</x:v>
      </x:c>
      <x:c r="H1760" s="59" t="n">
        <x:v>18</x:v>
      </x:c>
      <x:c r="I1760" s="81" t="n">
        <x:v>0.19051108192652466</x:v>
      </x:c>
      <x:c r="J1760" s="79" t="n">
        <x:v>0.0002860976633625491</x:v>
      </x:c>
      <x:c r="K1760" s="81" t="n">
        <x:v>-0.6730312418713724</x:v>
      </x:c>
      <x:c r="L1760" s="81" t="n">
        <x:v>-0.796148471083401</x:v>
      </x:c>
      <x:c r="M1760" s="80" t="n">
        <x:v>3780.774318136278</x:v>
      </x:c>
      <x:c r="N1760" s="82" t="n">
        <x:v>0.15476491077431717</x:v>
      </x:c>
      <x:c r="O1760" s="82" t="n">
        <x:v>0.04501716146532858</x:v>
      </x:c>
      <x:c r="P1760" s="80" t="n">
        <x:v>1380.8501709947136</x:v>
      </x:c>
      <x:c r="Q1760" s="81" t="n">
        <x:v>0.0018009757179193145</x:v>
      </x:c>
      <x:c r="R1760" s="81" t="n">
        <x:v>60.43943521205237</x:v>
      </x:c>
      <x:c r="S1760" s="81" t="n">
        <x:v>19.80162370525525</x:v>
      </x:c>
      <x:c r="T1760" s="81" t="n">
        <x:v>6.197500002338297</x:v>
      </x:c>
    </x:row>
    <x:row r="1761">
      <x:c r="A1761" s="59" t="n">
        <x:v>1758</x:v>
      </x:c>
      <x:c r="B1761" s="193" t="n">
        <x:v>0.5929985923692584</x:v>
      </x:c>
      <x:c r="C1761" s="83" t="n">
        <x:v>0.13089969268824347</x:v>
      </x:c>
      <x:c r="D1761" s="83" t="n">
        <x:v>0.7862173356302009</x:v>
      </x:c>
      <x:c r="E1761" s="81" t="n">
        <x:v>-0.14019430135096106</x:v>
      </x:c>
      <x:c r="F1761" s="81" t="n">
        <x:v>0.26040698286378755</x:v>
      </x:c>
      <x:c r="G1761" s="81" t="n">
        <x:v>0.01986722193545913</x:v>
      </x:c>
      <x:c r="H1761" s="59" t="n">
        <x:v>0</x:v>
      </x:c>
      <x:c r="I1761" s="81" t="n">
        <x:v>0</x:v>
      </x:c>
      <x:c r="J1761" s="79" t="n">
        <x:v>2.1779569150296216e-48</x:v>
      </x:c>
      <x:c r="K1761" s="81" t="n">
        <x:v>-1</x:v>
      </x:c>
      <x:c r="L1761" s="81" t="n">
        <x:v>-1</x:v>
      </x:c>
      <x:c r="M1761" s="80" t="n">
        <x:v>0.000002</x:v>
      </x:c>
      <x:c r="N1761" s="82" t="n">
        <x:v>0.24335713342596424</x:v>
      </x:c>
      <x:c r="O1761" s="82" t="n">
        <x:v>0.05986426416565268</x:v>
      </x:c>
      <x:c r="P1761" s="80" t="n">
        <x:v>145.56558882014087</x:v>
      </x:c>
      <x:c r="Q1761" s="81" t="n">
        <x:v>7.543866986160845e+30</x:v>
      </x:c>
      <x:c r="R1761" s="81" t="n">
        <x:v>10.018541254424234</x:v>
      </x:c>
      <x:c r="S1761" s="81" t="n">
        <x:v>7.736956986979243e-10</x:v>
      </x:c>
      <x:c r="T1761" s="81" t="n">
        <x:v>4.717930173684772e-44</x:v>
      </x:c>
    </x:row>
    <x:row r="1762">
      <x:c r="A1762" s="59" t="n">
        <x:v>1759</x:v>
      </x:c>
      <x:c r="B1762" s="193" t="n">
        <x:v>0.7999631600454451</x:v>
      </x:c>
      <x:c r="C1762" s="83" t="n">
        <x:v>1.3738162569404833</x:v>
      </x:c>
      <x:c r="D1762" s="83" t="n">
        <x:v>0.6077867229825512</x:v>
      </x:c>
      <x:c r="E1762" s="81" t="n">
        <x:v>-0.060999814576636384</x:v>
      </x:c>
      <x:c r="F1762" s="81" t="n">
        <x:v>0.8191143323900179</x:v>
      </x:c>
      <x:c r="G1762" s="81" t="n">
        <x:v>0.047713927205848154</x:v>
      </x:c>
      <x:c r="H1762" s="59" t="n">
        <x:v>41</x:v>
      </x:c>
      <x:c r="I1762" s="81" t="n">
        <x:v>0.1951965669170022</x:v>
      </x:c>
      <x:c r="J1762" s="79" t="n">
        <x:v>9.171954932982096e-29</x:v>
      </x:c>
      <x:c r="K1762" s="81" t="n">
        <x:v>-1</x:v>
      </x:c>
      <x:c r="L1762" s="81" t="n">
        <x:v>-1</x:v>
      </x:c>
      <x:c r="M1762" s="80" t="n">
        <x:v>0.000002</x:v>
      </x:c>
      <x:c r="N1762" s="82" t="n">
        <x:v>0.292659974032076</x:v>
      </x:c>
      <x:c r="O1762" s="82" t="n">
        <x:v>0.22645337444292968</x:v>
      </x:c>
      <x:c r="P1762" s="80" t="n">
        <x:v>540.2004474197315</x:v>
      </x:c>
      <x:c r="Q1762" s="81" t="n">
        <x:v>383106642499.84534</x:v>
      </x:c>
      <x:c r="R1762" s="81" t="n">
        <x:v>2.9048871192444063</x:v>
      </x:c>
      <x:c r="S1762" s="81" t="n">
        <x:v>3.954527548825492e-10</x:v>
      </x:c>
      <x:c r="T1762" s="81" t="n">
        <x:v>1.986845682363032e-24</x:v>
      </x:c>
    </x:row>
    <x:row r="1763">
      <x:c r="A1763" s="59" t="n">
        <x:v>1760</x:v>
      </x:c>
      <x:c r="B1763" s="193" t="n">
        <x:v>0.2407548274844885</x:v>
      </x:c>
      <x:c r="C1763" s="83" t="n">
        <x:v>0.2431698251889947</x:v>
      </x:c>
      <x:c r="D1763" s="83" t="n">
        <x:v>1.1128909318704432</x:v>
      </x:c>
      <x:c r="E1763" s="81" t="n">
        <x:v>-0.009482937215486114</x:v>
      </x:c>
      <x:c r="F1763" s="81" t="n">
        <x:v>0.4580688459333032</x:v>
      </x:c>
      <x:c r="G1763" s="81" t="n">
        <x:v>0.01700633146953782</x:v>
      </x:c>
      <x:c r="H1763" s="59" t="n">
        <x:v>88</x:v>
      </x:c>
      <x:c r="I1763" s="81" t="n">
        <x:v>0.42975516701117156</x:v>
      </x:c>
      <x:c r="J1763" s="79" t="n">
        <x:v>5.016023140531723e-12</x:v>
      </x:c>
      <x:c r="K1763" s="81" t="n">
        <x:v>-0.9999999942674022</x:v>
      </x:c>
      <x:c r="L1763" s="81" t="n">
        <x:v>-0.9999999942674022</x:v>
      </x:c>
      <x:c r="M1763" s="80" t="n">
        <x:v>0.4840735340405189</x:v>
      </x:c>
      <x:c r="N1763" s="82" t="n">
        <x:v>0.1594460640598206</x:v>
      </x:c>
      <x:c r="O1763" s="82" t="n">
        <x:v>0.06899466346185297</x:v>
      </x:c>
      <x:c r="P1763" s="80" t="n">
        <x:v>1313.4839211617389</x:v>
      </x:c>
      <x:c r="Q1763" s="81" t="n">
        <x:v>10.361112250781398</x:v>
      </x:c>
      <x:c r="R1763" s="81" t="n">
        <x:v>33.76215525174732</x:v>
      </x:c>
      <x:c r="S1763" s="81" t="n">
        <x:v>0.00023939267763406963</x:v>
      </x:c>
      <x:c r="T1763" s="81" t="n">
        <x:v>1.086580123018357e-7</x:v>
      </x:c>
    </x:row>
    <x:row r="1764">
      <x:c r="A1764" s="59" t="n">
        <x:v>1761</x:v>
      </x:c>
      <x:c r="B1764" s="193" t="n">
        <x:v>0.30122551377862694</x:v>
      </x:c>
      <x:c r="C1764" s="83" t="n">
        <x:v>0.12082493410411331</x:v>
      </x:c>
      <x:c r="D1764" s="83" t="n">
        <x:v>1.2940341973549212</x:v>
      </x:c>
      <x:c r="E1764" s="81" t="n">
        <x:v>0.11740328220997517</x:v>
      </x:c>
      <x:c r="F1764" s="81" t="n">
        <x:v>0.7964095638599247</x:v>
      </x:c>
      <x:c r="G1764" s="81" t="n">
        <x:v>-0.013196552102560436</x:v>
      </x:c>
      <x:c r="H1764" s="59" t="n">
        <x:v>0</x:v>
      </x:c>
      <x:c r="I1764" s="81" t="n">
        <x:v>0</x:v>
      </x:c>
      <x:c r="J1764" s="79" t="n">
        <x:v>0.0079646148529143</x:v>
      </x:c>
      <x:c r="K1764" s="81" t="n">
        <x:v>8.102416974759201</x:v>
      </x:c>
      <x:c r="L1764" s="81" t="n">
        <x:v>-0.8210073820133224</x:v>
      </x:c>
      <x:c r="M1764" s="80" t="n">
        <x:v>27200.382895788916</x:v>
      </x:c>
      <x:c r="N1764" s="82" t="n">
        <x:v>0.1738513153604523</x:v>
      </x:c>
      <x:c r="O1764" s="82" t="n">
        <x:v>0.13079326747902442</x:v>
      </x:c>
      <x:c r="P1764" s="80" t="n">
        <x:v>51975.13504136795</x:v>
      </x:c>
      <x:c r="Q1764" s="81" t="n">
        <x:v>0.0030976616629737634</x:v>
      </x:c>
      <x:c r="R1764" s="81" t="n">
        <x:v>2268.4810229462882</x:v>
      </x:c>
      <x:c r="S1764" s="81" t="n">
        <x:v>1236.7046561576153</x:v>
      </x:c>
      <x:c r="T1764" s="81" t="n">
        <x:v>172.53094621401735</x:v>
      </x:c>
    </x:row>
    <x:row r="1765">
      <x:c r="A1765" s="59" t="n">
        <x:v>1762</x:v>
      </x:c>
      <x:c r="B1765" s="193" t="n">
        <x:v>0.4143214512616396</x:v>
      </x:c>
      <x:c r="C1765" s="83" t="n">
        <x:v>0.2983761480888525</x:v>
      </x:c>
      <x:c r="D1765" s="83" t="n">
        <x:v>2.683550962057063</x:v>
      </x:c>
      <x:c r="E1765" s="81" t="n">
        <x:v>0.0729162202324884</x:v>
      </x:c>
      <x:c r="F1765" s="81" t="n">
        <x:v>0.6929199139005504</x:v>
      </x:c>
      <x:c r="G1765" s="81" t="n">
        <x:v>0.02098754515539999</x:v>
      </x:c>
      <x:c r="H1765" s="59" t="n">
        <x:v>0</x:v>
      </x:c>
      <x:c r="I1765" s="81" t="n">
        <x:v>0</x:v>
      </x:c>
      <x:c r="J1765" s="79" t="n">
        <x:v>0.04140742318619798</x:v>
      </x:c>
      <x:c r="K1765" s="81" t="n">
        <x:v>46.32276935565484</x:v>
      </x:c>
      <x:c r="L1765" s="81" t="n">
        <x:v>-0.8123553248938062</x:v>
      </x:c>
      <x:c r="M1765" s="80" t="n">
        <x:v>87116.9915198391</x:v>
      </x:c>
      <x:c r="N1765" s="82" t="n">
        <x:v>0.20079288821773364</x:v>
      </x:c>
      <x:c r="O1765" s="82" t="n">
        <x:v>0.13143236155033597</x:v>
      </x:c>
      <x:c r="P1765" s="80" t="n">
        <x:v>308874.2542124967</x:v>
      </x:c>
      <x:c r="Q1765" s="81" t="n">
        <x:v>0.005504211580696903</x:v>
      </x:c>
      <x:c r="R1765" s="81" t="n">
        <x:v>1873.2454670464233</x:v>
      </x:c>
      <x:c r="S1765" s="81" t="n">
        <x:v>2682.637076743024</x:v>
      </x:c>
      <x:c r="T1765" s="81" t="n">
        <x:v>896.9751876934669</x:v>
      </x:c>
    </x:row>
    <x:row r="1766">
      <x:c r="A1766" s="59" t="n">
        <x:v>1763</x:v>
      </x:c>
      <x:c r="B1766" s="193" t="n">
        <x:v>0.6072755141183734</x:v>
      </x:c>
      <x:c r="C1766" s="83" t="n">
        <x:v>0.3022945760144803</x:v>
      </x:c>
      <x:c r="D1766" s="83" t="n">
        <x:v>1.290664659321388</x:v>
      </x:c>
      <x:c r="E1766" s="81" t="n">
        <x:v>-0.07657703429146662</x:v>
      </x:c>
      <x:c r="F1766" s="81" t="n">
        <x:v>0.32560456309001895</x:v>
      </x:c>
      <x:c r="G1766" s="81" t="n">
        <x:v>0.0125148469801624</x:v>
      </x:c>
      <x:c r="H1766" s="59" t="n">
        <x:v>0</x:v>
      </x:c>
      <x:c r="I1766" s="81" t="n">
        <x:v>0</x:v>
      </x:c>
      <x:c r="J1766" s="79" t="n">
        <x:v>6.903489554679407e-44</x:v>
      </x:c>
      <x:c r="K1766" s="81" t="n">
        <x:v>-1</x:v>
      </x:c>
      <x:c r="L1766" s="81" t="n">
        <x:v>-1</x:v>
      </x:c>
      <x:c r="M1766" s="80" t="n">
        <x:v>0.000002</x:v>
      </x:c>
      <x:c r="N1766" s="82" t="n">
        <x:v>0.2467581638788863</x:v>
      </x:c>
      <x:c r="O1766" s="82" t="n">
        <x:v>0.07589845831816117</x:v>
      </x:c>
      <x:c r="P1766" s="80" t="n">
        <x:v>298.5325368698109</x:v>
      </x:c>
      <x:c r="Q1766" s="81" t="n">
        <x:v>4.1140796671048016e+26</x:v>
      </x:c>
      <x:c r="R1766" s="81" t="n">
        <x:v>5.245160206297636</x:v>
      </x:c>
      <x:c r="S1766" s="81" t="n">
        <x:v>1.0100091974496372e-9</x:v>
      </x:c>
      <x:c r="T1766" s="81" t="n">
        <x:v>1.4954465558514803e-39</x:v>
      </x:c>
    </x:row>
    <x:row r="1767">
      <x:c r="A1767" s="59" t="n">
        <x:v>1764</x:v>
      </x:c>
      <x:c r="B1767" s="193" t="n">
        <x:v>0.6902099097147585</x:v>
      </x:c>
      <x:c r="C1767" s="83" t="n">
        <x:v>0.11094226633951466</x:v>
      </x:c>
      <x:c r="D1767" s="83" t="n">
        <x:v>1.7904424434212405</x:v>
      </x:c>
      <x:c r="E1767" s="81" t="n">
        <x:v>-0.0448358116863473</x:v>
      </x:c>
      <x:c r="F1767" s="81" t="n">
        <x:v>0.5225111845764332</x:v>
      </x:c>
      <x:c r="G1767" s="81" t="n">
        <x:v>0.018412710841060154</x:v>
      </x:c>
      <x:c r="H1767" s="59" t="n">
        <x:v>0</x:v>
      </x:c>
      <x:c r="I1767" s="81" t="n">
        <x:v>0</x:v>
      </x:c>
      <x:c r="J1767" s="79" t="n">
        <x:v>1.9716041339307398e-39</x:v>
      </x:c>
      <x:c r="K1767" s="81" t="n">
        <x:v>-1</x:v>
      </x:c>
      <x:c r="L1767" s="81" t="n">
        <x:v>-1</x:v>
      </x:c>
      <x:c r="M1767" s="80" t="n">
        <x:v>0.000002</x:v>
      </x:c>
      <x:c r="N1767" s="82" t="n">
        <x:v>0.26651469192986266</x:v>
      </x:c>
      <x:c r="O1767" s="82" t="n">
        <x:v>0.13154904148319416</x:v>
      </x:c>
      <x:c r="P1767" s="80" t="n">
        <x:v>400.764964871424</x:v>
      </x:c>
      <x:c r="Q1767" s="81" t="n">
        <x:v>2.3878008043545926e+22</x:v>
      </x:c>
      <x:c r="R1767" s="81" t="n">
        <x:v>15.6180761428733</x:v>
      </x:c>
      <x:c r="S1767" s="81" t="n">
        <x:v>1.7627038346514124e-9</x:v>
      </x:c>
      <x:c r="T1767" s="81" t="n">
        <x:v>4.2709249984896774e-35</x:v>
      </x:c>
    </x:row>
    <x:row r="1768">
      <x:c r="A1768" s="59" t="n">
        <x:v>1765</x:v>
      </x:c>
      <x:c r="B1768" s="193" t="n">
        <x:v>0.7050976919010281</x:v>
      </x:c>
      <x:c r="C1768" s="83" t="n">
        <x:v>0.10872592152400196</x:v>
      </x:c>
      <x:c r="D1768" s="83" t="n">
        <x:v>0.471072597140589</x:v>
      </x:c>
      <x:c r="E1768" s="81" t="n">
        <x:v>0.07961633358005618</x:v>
      </x:c>
      <x:c r="F1768" s="81" t="n">
        <x:v>0.713624559994787</x:v>
      </x:c>
      <x:c r="G1768" s="81" t="n">
        <x:v>0.0178479884771866</x:v>
      </x:c>
      <x:c r="H1768" s="59" t="n">
        <x:v>0</x:v>
      </x:c>
      <x:c r="I1768" s="81" t="n">
        <x:v>0</x:v>
      </x:c>
      <x:c r="J1768" s="79" t="n">
        <x:v>0.00036556536540601696</x:v>
      </x:c>
      <x:c r="K1768" s="81" t="n">
        <x:v>-0.582211010964552</x:v>
      </x:c>
      <x:c r="L1768" s="81" t="n">
        <x:v>-0.8601759550672968</x:v>
      </x:c>
      <x:c r="M1768" s="80" t="n">
        <x:v>4246.1190156154635</x:v>
      </x:c>
      <x:c r="N1768" s="82" t="n">
        <x:v>0.270061240792548</x:v>
      </x:c>
      <x:c r="O1768" s="82" t="n">
        <x:v>0.18205515836273273</x:v>
      </x:c>
      <x:c r="P1768" s="80" t="n">
        <x:v>4240.450187710471</x:v>
      </x:c>
      <x:c r="Q1768" s="81" t="n">
        <x:v>0.005280606204363637</x:v>
      </x:c>
      <x:c r="R1768" s="81" t="n">
        <x:v>194.64688338665852</x:v>
      </x:c>
      <x:c r="S1768" s="81" t="n">
        <x:v>63.476999781768356</x:v>
      </x:c>
      <x:c r="T1768" s="81" t="n">
        <x:v>7.918943924010955</x:v>
      </x:c>
    </x:row>
    <x:row r="1769">
      <x:c r="A1769" s="59" t="n">
        <x:v>1766</x:v>
      </x:c>
      <x:c r="B1769" s="193" t="n">
        <x:v>0.23993741609156133</x:v>
      </x:c>
      <x:c r="C1769" s="83" t="n">
        <x:v>0.20157293830666273</x:v>
      </x:c>
      <x:c r="D1769" s="83" t="n">
        <x:v>0.44081602329450986</x:v>
      </x:c>
      <x:c r="E1769" s="81" t="n">
        <x:v>0.03665940110135296</x:v>
      </x:c>
      <x:c r="F1769" s="81" t="n">
        <x:v>0.8601545189274475</x:v>
      </x:c>
      <x:c r="G1769" s="81" t="n">
        <x:v>-0.024401176676282773</x:v>
      </x:c>
      <x:c r="H1769" s="59" t="n">
        <x:v>26</x:v>
      </x:c>
      <x:c r="I1769" s="81" t="n">
        <x:v>0.49229107750579715</x:v>
      </x:c>
      <x:c r="J1769" s="79" t="n">
        <x:v>0.000054124455159148163</x:v>
      </x:c>
      <x:c r="K1769" s="81" t="n">
        <x:v>-0.9381434798181164</x:v>
      </x:c>
      <x:c r="L1769" s="81" t="n">
        <x:v>-0.9395936714102556</x:v>
      </x:c>
      <x:c r="M1769" s="80" t="n">
        <x:v>1591.1320296767651</x:v>
      </x:c>
      <x:c r="N1769" s="82" t="n">
        <x:v>0.15925134133956162</x:v>
      </x:c>
      <x:c r="O1769" s="82" t="n">
        <x:v>0.12939887963846716</x:v>
      </x:c>
      <x:c r="P1769" s="80" t="n">
        <x:v>1779.9545043889148</x:v>
      </x:c>
      <x:c r="Q1769" s="81" t="n">
        <x:v>0.007180144962925436</x:v>
      </x:c>
      <x:c r="R1769" s="81" t="n">
        <x:v>72.89298597803321</x:v>
      </x:c>
      <x:c r="S1769" s="81" t="n">
        <x:v>5.181707188414113</x:v>
      </x:c>
      <x:c r="T1769" s="81" t="n">
        <x:v>1.1724538642956608</x:v>
      </x:c>
    </x:row>
    <x:row r="1770">
      <x:c r="A1770" s="59" t="n">
        <x:v>1767</x:v>
      </x:c>
      <x:c r="B1770" s="193" t="n">
        <x:v>0.7916056608781219</x:v>
      </x:c>
      <x:c r="C1770" s="83" t="n">
        <x:v>0.1521391056559352</x:v>
      </x:c>
      <x:c r="D1770" s="83" t="n">
        <x:v>0.4246118095478424</x:v>
      </x:c>
      <x:c r="E1770" s="81" t="n">
        <x:v>0.05848180833826386</x:v>
      </x:c>
      <x:c r="F1770" s="81" t="n">
        <x:v>0.8888252255390399</x:v>
      </x:c>
      <x:c r="G1770" s="81" t="n">
        <x:v>0.0022405925135928827</x:v>
      </x:c>
      <x:c r="H1770" s="59" t="n">
        <x:v>0</x:v>
      </x:c>
      <x:c r="I1770" s="81" t="n">
        <x:v>0</x:v>
      </x:c>
      <x:c r="J1770" s="79" t="n">
        <x:v>0.00006316107287171008</x:v>
      </x:c>
      <x:c r="K1770" s="81" t="n">
        <x:v>-0.9278159167180456</x:v>
      </x:c>
      <x:c r="L1770" s="81" t="n">
        <x:v>-0.951461843164556</x:v>
      </x:c>
      <x:c r="M1770" s="80" t="n">
        <x:v>1724.7858558268385</x:v>
      </x:c>
      <x:c r="N1770" s="82" t="n">
        <x:v>0.2906690610273102</x:v>
      </x:c>
      <x:c r="O1770" s="82" t="n">
        <x:v>0.24405410744426576</x:v>
      </x:c>
      <x:c r="P1770" s="80" t="n">
        <x:v>1777.4117823791769</x:v>
      </x:c>
      <x:c r="Q1770" s="81" t="n">
        <x:v>0.008976353159941865</x:v>
      </x:c>
      <x:c r="R1770" s="81" t="n">
        <x:v>76.58424121378862</x:v>
      </x:c>
      <x:c r="S1770" s="81" t="n">
        <x:v>8.009774993375103</x:v>
      </x:c>
      <x:c r="T1770" s="81" t="n">
        <x:v>1.3682067328668477</x:v>
      </x:c>
    </x:row>
    <x:row r="1771">
      <x:c r="A1771" s="59" t="n">
        <x:v>1768</x:v>
      </x:c>
      <x:c r="B1771" s="193" t="n">
        <x:v>0.9370278906077147</x:v>
      </x:c>
      <x:c r="C1771" s="83" t="n">
        <x:v>2.886978219536191</x:v>
      </x:c>
      <x:c r="D1771" s="83" t="n">
        <x:v>2.126489984742384</x:v>
      </x:c>
      <x:c r="E1771" s="81" t="n">
        <x:v>-0.024169356584968705</x:v>
      </x:c>
      <x:c r="F1771" s="81" t="n">
        <x:v>0.34735111974878236</x:v>
      </x:c>
      <x:c r="G1771" s="81" t="n">
        <x:v>0.030126764217125342</x:v>
      </x:c>
      <x:c r="H1771" s="59" t="n">
        <x:v>0</x:v>
      </x:c>
      <x:c r="I1771" s="81" t="n">
        <x:v>0</x:v>
      </x:c>
      <x:c r="J1771" s="79" t="n">
        <x:v>3.035487839765919e-32</x:v>
      </x:c>
      <x:c r="K1771" s="81" t="n">
        <x:v>-1</x:v>
      </x:c>
      <x:c r="L1771" s="81" t="n">
        <x:v>-1</x:v>
      </x:c>
      <x:c r="M1771" s="80" t="n">
        <x:v>0.000002</x:v>
      </x:c>
      <x:c r="N1771" s="82" t="n">
        <x:v>0.3253113628157066</x:v>
      </x:c>
      <x:c r="O1771" s="82" t="n">
        <x:v>0.10674287064076401</x:v>
      </x:c>
      <x:c r="P1771" s="80" t="n">
        <x:v>2590.9898731744556</x:v>
      </x:c>
      <x:c r="Q1771" s="81" t="n">
        <x:v>2820155087761518</x:v>
      </x:c>
      <x:c r="R1771" s="81" t="n">
        <x:v>2.525738012959893</x:v>
      </x:c>
      <x:c r="S1771" s="81" t="n">
        <x:v>6.876886190784342e-10</x:v>
      </x:c>
      <x:c r="T1771" s="81" t="n">
        <x:v>6.575529374459669e-28</x:v>
      </x:c>
    </x:row>
    <x:row r="1772">
      <x:c r="A1772" s="59" t="n">
        <x:v>1769</x:v>
      </x:c>
      <x:c r="B1772" s="193" t="n">
        <x:v>0.35848828814923767</x:v>
      </x:c>
      <x:c r="C1772" s="83" t="n">
        <x:v>0.1094058857836997</x:v>
      </x:c>
      <x:c r="D1772" s="83" t="n">
        <x:v>1.0558793324184268</x:v>
      </x:c>
      <x:c r="E1772" s="81" t="n">
        <x:v>0.0984986049528295</x:v>
      </x:c>
      <x:c r="F1772" s="81" t="n">
        <x:v>0.6643825223203749</x:v>
      </x:c>
      <x:c r="G1772" s="81" t="n">
        <x:v>0.01899301022945495</x:v>
      </x:c>
      <x:c r="H1772" s="59" t="n">
        <x:v>0</x:v>
      </x:c>
      <x:c r="I1772" s="81" t="n">
        <x:v>0</x:v>
      </x:c>
      <x:c r="J1772" s="79" t="n">
        <x:v>0.008568301624004505</x:v>
      </x:c>
      <x:c r="K1772" s="81" t="n">
        <x:v>8.792344713148006</x:v>
      </x:c>
      <x:c r="L1772" s="81" t="n">
        <x:v>-0.7768983463732672</x:v>
      </x:c>
      <x:c r="M1772" s="80" t="n">
        <x:v>26171.35283850213</x:v>
      </x:c>
      <x:c r="N1772" s="82" t="n">
        <x:v>0.1874923818925513</x:v>
      </x:c>
      <x:c r="O1772" s="82" t="n">
        <x:v>0.11767190038448565</x:v>
      </x:c>
      <x:c r="P1772" s="80" t="n">
        <x:v>45354.46976508199</x:v>
      </x:c>
      <x:c r="Q1772" s="81" t="n">
        <x:v>0.003196929894718977</x:v>
      </x:c>
      <x:c r="R1772" s="81" t="n">
        <x:v>1527.0825504848522</x:v>
      </x:c>
      <x:c r="S1772" s="81" t="n">
        <x:v>1468.876935791378</x:v>
      </x:c>
      <x:c r="T1772" s="81" t="n">
        <x:v>185.60811965636742</x:v>
      </x:c>
    </x:row>
    <x:row r="1773">
      <x:c r="A1773" s="59" t="n">
        <x:v>1770</x:v>
      </x:c>
      <x:c r="B1773" s="193" t="n">
        <x:v>0.9073377694934608</x:v>
      </x:c>
      <x:c r="C1773" s="83" t="n">
        <x:v>0.16188776919372438</x:v>
      </x:c>
      <x:c r="D1773" s="83" t="n">
        <x:v>0.43746044786255</x:v>
      </x:c>
      <x:c r="E1773" s="81" t="n">
        <x:v>-0.004025995131580926</x:v>
      </x:c>
      <x:c r="F1773" s="81" t="n">
        <x:v>0.5723976610694081</x:v>
      </x:c>
      <x:c r="G1773" s="81" t="n">
        <x:v>0.003909212813825689</x:v>
      </x:c>
      <x:c r="H1773" s="59" t="n">
        <x:v>0</x:v>
      </x:c>
      <x:c r="I1773" s="81" t="n">
        <x:v>0</x:v>
      </x:c>
      <x:c r="J1773" s="79" t="n">
        <x:v>7.747523680415461e-8</x:v>
      </x:c>
      <x:c r="K1773" s="81" t="n">
        <x:v>-0.9999114568722238</x:v>
      </x:c>
      <x:c r="L1773" s="81" t="n">
        <x:v>-0.9999114568722238</x:v>
      </x:c>
      <x:c r="M1773" s="80" t="n">
        <x:v>55.42994355235952</x:v>
      </x:c>
      <x:c r="N1773" s="82" t="n">
        <x:v>0.3182386192765201</x:v>
      </x:c>
      <x:c r="O1773" s="82" t="n">
        <x:v>0.17207654352528853</x:v>
      </x:c>
      <x:c r="P1773" s="80" t="n">
        <x:v>539.4997471454001</x:v>
      </x:c>
      <x:c r="Q1773" s="81" t="n">
        <x:v>0.09290126134737045</x:v>
      </x:c>
      <x:c r="R1773" s="81" t="n">
        <x:v>44.27109738253161</x:v>
      </x:c>
      <x:c r="S1773" s="81" t="n">
        <x:v>0.018532170672007273</x:v>
      </x:c>
      <x:c r="T1773" s="81" t="n">
        <x:v>0.001678282774600813</x:v>
      </x:c>
    </x:row>
    <x:row r="1774">
      <x:c r="A1774" s="59" t="n">
        <x:v>1771</x:v>
      </x:c>
      <x:c r="B1774" s="193" t="n">
        <x:v>0.9594357306137682</x:v>
      </x:c>
      <x:c r="C1774" s="83" t="n">
        <x:v>0.1909802108004872</x:v>
      </x:c>
      <x:c r="D1774" s="83" t="n">
        <x:v>1.6248176043973122</x:v>
      </x:c>
      <x:c r="E1774" s="81" t="n">
        <x:v>-0.004914633712240123</x:v>
      </x:c>
      <x:c r="F1774" s="81" t="n">
        <x:v>0.39259116699686275</x:v>
      </x:c>
      <x:c r="G1774" s="81" t="n">
        <x:v>0.005457382133195774</x:v>
      </x:c>
      <x:c r="H1774" s="59" t="n">
        <x:v>0</x:v>
      </x:c>
      <x:c r="I1774" s="81" t="n">
        <x:v>0</x:v>
      </x:c>
      <x:c r="J1774" s="79" t="n">
        <x:v>1.708056501086485e-10</x:v>
      </x:c>
      <x:c r="K1774" s="81" t="n">
        <x:v>-0.9999998047935428</x:v>
      </x:c>
      <x:c r="L1774" s="81" t="n">
        <x:v>-0.9999998047935428</x:v>
      </x:c>
      <x:c r="M1774" s="80" t="n">
        <x:v>2.692140019980526</x:v>
      </x:c>
      <x:c r="N1774" s="82" t="n">
        <x:v>0.3306493304521491</x:v>
      </x:c>
      <x:c r="O1774" s="82" t="n">
        <x:v>0.12262502630254564</x:v>
      </x:c>
      <x:c r="P1774" s="80" t="n">
        <x:v>1688.686557964716</x:v>
      </x:c>
      <x:c r="Q1774" s="81" t="n">
        <x:v>3.203991958095415</x:v>
      </x:c>
      <x:c r="R1774" s="81" t="n">
        <x:v>38.53341886391913</x:v>
      </x:c>
      <x:c r="S1774" s="81" t="n">
        <x:v>0.0017645536289981085</x:v>
      </x:c>
      <x:c r="T1774" s="81" t="n">
        <x:v>0.000003700023287524384</x:v>
      </x:c>
    </x:row>
    <x:row r="1775">
      <x:c r="A1775" s="59" t="n">
        <x:v>1772</x:v>
      </x:c>
      <x:c r="B1775" s="193" t="n">
        <x:v>0.8561587592586875</x:v>
      </x:c>
      <x:c r="C1775" s="83" t="n">
        <x:v>0.1563175719666939</x:v>
      </x:c>
      <x:c r="D1775" s="83" t="n">
        <x:v>0.21354046034681562</x:v>
      </x:c>
      <x:c r="E1775" s="81" t="n">
        <x:v>-0.029929065897822144</x:v>
      </x:c>
      <x:c r="F1775" s="81" t="n">
        <x:v>0.5731206577154808</x:v>
      </x:c>
      <x:c r="G1775" s="81" t="n">
        <x:v>0.019280328580696327</x:v>
      </x:c>
      <x:c r="H1775" s="59" t="n">
        <x:v>0</x:v>
      </x:c>
      <x:c r="I1775" s="81" t="n">
        <x:v>0</x:v>
      </x:c>
      <x:c r="J1775" s="79" t="n">
        <x:v>2.964547575006887e-10</x:v>
      </x:c>
      <x:c r="K1775" s="81" t="n">
        <x:v>-0.9999996611945628</x:v>
      </x:c>
      <x:c r="L1775" s="81" t="n">
        <x:v>-0.9999996611945628</x:v>
      </x:c>
      <x:c r="M1775" s="80" t="n">
        <x:v>3.440643338051384</x:v>
      </x:c>
      <x:c r="N1775" s="82" t="n">
        <x:v>0.3060468194321555</x:v>
      </x:c>
      <x:c r="O1775" s="82" t="n">
        <x:v>0.16569327227336034</x:v>
      </x:c>
      <x:c r="P1775" s="80" t="n">
        <x:v>213.83672385928134</x:v>
      </x:c>
      <x:c r="Q1775" s="81" t="n">
        <x:v>0.39238704282765885</x:v>
      </x:c>
      <x:c r="R1775" s="81" t="n">
        <x:v>40.43252421998775</x:v>
      </x:c>
      <x:c r="S1775" s="81" t="n">
        <x:v>0.00039198983868081574</x:v>
      </x:c>
      <x:c r="T1775" s="81" t="n">
        <x:v>0.0000064218572731769534</x:v>
      </x:c>
    </x:row>
    <x:row r="1776">
      <x:c r="A1776" s="59" t="n">
        <x:v>1773</x:v>
      </x:c>
      <x:c r="B1776" s="193" t="n">
        <x:v>0.5862645661458373</x:v>
      </x:c>
      <x:c r="C1776" s="83" t="n">
        <x:v>0.12198958967446749</x:v>
      </x:c>
      <x:c r="D1776" s="83" t="n">
        <x:v>0.8755520083177949</x:v>
      </x:c>
      <x:c r="E1776" s="81" t="n">
        <x:v>-0.08596726135073159</x:v>
      </x:c>
      <x:c r="F1776" s="81" t="n">
        <x:v>0.470232261880301</x:v>
      </x:c>
      <x:c r="G1776" s="81" t="n">
        <x:v>-0.04799471596969902</x:v>
      </x:c>
      <x:c r="H1776" s="59" t="n">
        <x:v>0</x:v>
      </x:c>
      <x:c r="I1776" s="81" t="n">
        <x:v>0</x:v>
      </x:c>
      <x:c r="J1776" s="79" t="n">
        <x:v>3.1502531775907308e-30</x:v>
      </x:c>
      <x:c r="K1776" s="81" t="n">
        <x:v>-1</x:v>
      </x:c>
      <x:c r="L1776" s="81" t="n">
        <x:v>-1</x:v>
      </x:c>
      <x:c r="M1776" s="80" t="n">
        <x:v>0.000002</x:v>
      </x:c>
      <x:c r="N1776" s="82" t="n">
        <x:v>0.24175296211655373</x:v>
      </x:c>
      <x:c r="O1776" s="82" t="n">
        <x:v>0.1073878550568354</x:v>
      </x:c>
      <x:c r="P1776" s="80" t="n">
        <x:v>211.45656654577687</x:v>
      </x:c>
      <x:c r="Q1776" s="81" t="n">
        <x:v>8100894641226.935</x:v>
      </x:c>
      <x:c r="R1776" s="81" t="n">
        <x:v>15.205896747095741</x:v>
      </x:c>
      <x:c r="S1776" s="81" t="n">
        <x:v>3.7575903115207226e-10</x:v>
      </x:c>
      <x:c r="T1776" s="81" t="n">
        <x:v>6.824136151976864e-26</x:v>
      </x:c>
    </x:row>
    <x:row r="1777">
      <x:c r="A1777" s="59" t="n">
        <x:v>1774</x:v>
      </x:c>
      <x:c r="B1777" s="193" t="n">
        <x:v>0.2339980723336339</x:v>
      </x:c>
      <x:c r="C1777" s="83" t="n">
        <x:v>2.2992140604805855</x:v>
      </x:c>
      <x:c r="D1777" s="83" t="n">
        <x:v>0.42332871882058026</x:v>
      </x:c>
      <x:c r="E1777" s="81" t="n">
        <x:v>-0.04122286247241112</x:v>
      </x:c>
      <x:c r="F1777" s="81" t="n">
        <x:v>0.5894867544411682</x:v>
      </x:c>
      <x:c r="G1777" s="81" t="n">
        <x:v>0.0018985958016265688</x:v>
      </x:c>
      <x:c r="H1777" s="59" t="n">
        <x:v>0</x:v>
      </x:c>
      <x:c r="I1777" s="81" t="n">
        <x:v>0</x:v>
      </x:c>
      <x:c r="J1777" s="79" t="n">
        <x:v>4.836871958960343e-15</x:v>
      </x:c>
      <x:c r="K1777" s="81" t="n">
        <x:v>-0.9999999999944722</x:v>
      </x:c>
      <x:c r="L1777" s="81" t="n">
        <x:v>-0.9999999999944722</x:v>
      </x:c>
      <x:c r="M1777" s="80" t="n">
        <x:v>0.040299330936170503</x:v>
      </x:c>
      <x:c r="N1777" s="82" t="n">
        <x:v>0.1578364782937279</x:v>
      </x:c>
      <x:c r="O1777" s="82" t="n">
        <x:v>0.08789261282838086</x:v>
      </x:c>
      <x:c r="P1777" s="80" t="n">
        <x:v>1093.7908076023875</x:v>
      </x:c>
      <x:c r="Q1777" s="81" t="n">
        <x:v>212.5662026091853</x:v>
      </x:c>
      <x:c r="R1777" s="81" t="n">
        <x:v>3.5930614861155084</x:v>
      </x:c>
      <x:c r="S1777" s="81" t="n">
        <x:v>0.000002399716306426737</x:v>
      </x:c>
      <x:c r="T1777" s="81" t="n">
        <x:v>1.0477720658270419e-10</x:v>
      </x:c>
    </x:row>
    <x:row r="1778">
      <x:c r="A1778" s="59" t="n">
        <x:v>1775</x:v>
      </x:c>
      <x:c r="B1778" s="193" t="n">
        <x:v>0.6510576652362943</x:v>
      </x:c>
      <x:c r="C1778" s="83" t="n">
        <x:v>0.3611672694553112</x:v>
      </x:c>
      <x:c r="D1778" s="83" t="n">
        <x:v>0.7786371502940137</x:v>
      </x:c>
      <x:c r="E1778" s="81" t="n">
        <x:v>0.2</x:v>
      </x:c>
      <x:c r="F1778" s="81" t="n">
        <x:v>0.7240553372772411</x:v>
      </x:c>
      <x:c r="G1778" s="81" t="n">
        <x:v>0.044116716393354315</x:v>
      </x:c>
      <x:c r="H1778" s="59" t="n">
        <x:v>0</x:v>
      </x:c>
      <x:c r="I1778" s="81" t="n">
        <x:v>0</x:v>
      </x:c>
      <x:c r="J1778" s="79" t="n">
        <x:v>0.024839274435052922</x:v>
      </x:c>
      <x:c r="K1778" s="81" t="n">
        <x:v>27.38774221148906</x:v>
      </x:c>
      <x:c r="L1778" s="81" t="n">
        <x:v>-0.8008907876172043</x:v>
      </x:c>
      <x:c r="M1778" s="80" t="n">
        <x:v>67984.77335622728</x:v>
      </x:c>
      <x:c r="N1778" s="82" t="n">
        <x:v>0.25718789319050855</x:v>
      </x:c>
      <x:c r="O1778" s="82" t="n">
        <x:v>0.1759110909248405</x:v>
      </x:c>
      <x:c r="P1778" s="80" t="n">
        <x:v>85618.6590967832</x:v>
      </x:c>
      <x:c r="Q1778" s="81" t="n">
        <x:v>0.0027417130653421564</x:v>
      </x:c>
      <x:c r="R1778" s="81" t="n">
        <x:v>698.1273103281125</x:v>
      </x:c>
      <x:c r="S1778" s="81" t="n">
        <x:v>1309.35261475493</x:v>
      </x:c>
      <x:c r="T1778" s="81" t="n">
        <x:v>538.0729138435647</x:v>
      </x:c>
    </x:row>
    <x:row r="1779">
      <x:c r="A1779" s="59" t="n">
        <x:v>1776</x:v>
      </x:c>
      <x:c r="B1779" s="193" t="n">
        <x:v>0.7051102487370373</x:v>
      </x:c>
      <x:c r="C1779" s="83" t="n">
        <x:v>0.5636678131741203</x:v>
      </x:c>
      <x:c r="D1779" s="83" t="n">
        <x:v>0.629708537415504</x:v>
      </x:c>
      <x:c r="E1779" s="81" t="n">
        <x:v>-0.11566893298491523</x:v>
      </x:c>
      <x:c r="F1779" s="81" t="n">
        <x:v>0.384714484505821</x:v>
      </x:c>
      <x:c r="G1779" s="81" t="n">
        <x:v>0.014853702433683839</x:v>
      </x:c>
      <x:c r="H1779" s="59" t="n">
        <x:v>59</x:v>
      </x:c>
      <x:c r="I1779" s="81" t="n">
        <x:v>0.29726736349985006</x:v>
      </x:c>
      <x:c r="J1779" s="79" t="n">
        <x:v>8.119072072678656e-37</x:v>
      </x:c>
      <x:c r="K1779" s="81" t="n">
        <x:v>-1</x:v>
      </x:c>
      <x:c r="L1779" s="81" t="n">
        <x:v>-1</x:v>
      </x:c>
      <x:c r="M1779" s="80" t="n">
        <x:v>0.000002</x:v>
      </x:c>
      <x:c r="N1779" s="82" t="n">
        <x:v>0.27006423206632596</x:v>
      </x:c>
      <x:c r="O1779" s="82" t="n">
        <x:v>0.0981468913794587</x:v>
      </x:c>
      <x:c r="P1779" s="80" t="n">
        <x:v>223.73242717181117</x:v>
      </x:c>
      <x:c r="Q1779" s="81" t="n">
        <x:v>23999766420235330000</x:v>
      </x:c>
      <x:c r="R1779" s="81" t="n">
        <x:v>3.7469097313296444</x:v>
      </x:c>
      <x:c r="S1779" s="81" t="n">
        <x:v>4.220925789313567e-10</x:v>
      </x:c>
      <x:c r="T1779" s="81" t="n">
        <x:v>1.7587682680807767e-32</x:v>
      </x:c>
    </x:row>
    <x:row r="1780">
      <x:c r="A1780" s="59" t="n">
        <x:v>1777</x:v>
      </x:c>
      <x:c r="B1780" s="193" t="n">
        <x:v>0.9747477767989039</x:v>
      </x:c>
      <x:c r="C1780" s="83" t="n">
        <x:v>0.9985449875186556</x:v>
      </x:c>
      <x:c r="D1780" s="83" t="n">
        <x:v>0.8313946627477853</x:v>
      </x:c>
      <x:c r="E1780" s="81" t="n">
        <x:v>0.1066329395127412</x:v>
      </x:c>
      <x:c r="F1780" s="81" t="n">
        <x:v>0.7900798595510423</x:v>
      </x:c>
      <x:c r="G1780" s="81" t="n">
        <x:v>0.03061245819853255</x:v>
      </x:c>
      <x:c r="H1780" s="59" t="n">
        <x:v>0</x:v>
      </x:c>
      <x:c r="I1780" s="81" t="n">
        <x:v>0</x:v>
      </x:c>
      <x:c r="J1780" s="79" t="n">
        <x:v>0.005631656642466577</x:v>
      </x:c>
      <x:c r="K1780" s="81" t="n">
        <x:v>5.436179019961803</x:v>
      </x:c>
      <x:c r="L1780" s="81" t="n">
        <x:v>-0.7771711618051991</x:v>
      </x:c>
      <x:c r="M1780" s="80" t="n">
        <x:v>37157.666085657576</x:v>
      </x:c>
      <x:c r="N1780" s="82" t="n">
        <x:v>0.33429694695431394</x:v>
      </x:c>
      <x:c r="O1780" s="82" t="n">
        <x:v>0.24950217921335402</x:v>
      </x:c>
      <x:c r="P1780" s="80" t="n">
        <x:v>54062.36779255186</x:v>
      </x:c>
      <x:c r="Q1780" s="81" t="n">
        <x:v>0.006186732616028154</x:v>
      </x:c>
      <x:c r="R1780" s="81" t="n">
        <x:v>103.98383772072066</x:v>
      </x:c>
      <x:c r="S1780" s="81" t="n">
        <x:v>115.27064646737608</x:v>
      </x:c>
      <x:c r="T1780" s="81" t="n">
        <x:v>121.99397801661276</x:v>
      </x:c>
    </x:row>
    <x:row r="1781">
      <x:c r="A1781" s="59" t="n">
        <x:v>1778</x:v>
      </x:c>
      <x:c r="B1781" s="193" t="n">
        <x:v>0.6126038178801536</x:v>
      </x:c>
      <x:c r="C1781" s="83" t="n">
        <x:v>2.3108253443487716</x:v>
      </x:c>
      <x:c r="D1781" s="83" t="n">
        <x:v>0.8573003711297565</x:v>
      </x:c>
      <x:c r="E1781" s="81" t="n">
        <x:v>-0.023725273589974158</x:v>
      </x:c>
      <x:c r="F1781" s="81" t="n">
        <x:v>0.6000449965591543</x:v>
      </x:c>
      <x:c r="G1781" s="81" t="n">
        <x:v>0.008166653478143033</x:v>
      </x:c>
      <x:c r="H1781" s="59" t="n">
        <x:v>0</x:v>
      </x:c>
      <x:c r="I1781" s="81" t="n">
        <x:v>0</x:v>
      </x:c>
      <x:c r="J1781" s="79" t="n">
        <x:v>2.2508811511456126e-17</x:v>
      </x:c>
      <x:c r="K1781" s="81" t="n">
        <x:v>-0.9999999999999742</x:v>
      </x:c>
      <x:c r="L1781" s="81" t="n">
        <x:v>-0.9999999999999742</x:v>
      </x:c>
      <x:c r="M1781" s="80" t="n">
        <x:v>0.002780298456201198</x:v>
      </x:c>
      <x:c r="N1781" s="82" t="n">
        <x:v>0.24802746574063797</x:v>
      </x:c>
      <x:c r="O1781" s="82" t="n">
        <x:v>0.14059003415167806</x:v>
      </x:c>
      <x:c r="P1781" s="80" t="n">
        <x:v>1852.9622316924108</x:v>
      </x:c>
      <x:c r="Q1781" s="81" t="n">
        <x:v>5383.625605153132</x:v>
      </x:c>
      <x:c r="R1781" s="81" t="n">
        <x:v>3.5803257315730455</x:v>
      </x:c>
      <x:c r="S1781" s="81" t="n">
        <x:v>3.6360652908551435e-7</x:v>
      </x:c>
      <x:c r="T1781" s="81" t="n">
        <x:v>4.875899990071093e-13</x:v>
      </x:c>
    </x:row>
    <x:row r="1782">
      <x:c r="A1782" s="59" t="n">
        <x:v>1779</x:v>
      </x:c>
      <x:c r="B1782" s="193" t="n">
        <x:v>0.8802992437034847</x:v>
      </x:c>
      <x:c r="C1782" s="83" t="n">
        <x:v>0.38183113657872236</x:v>
      </x:c>
      <x:c r="D1782" s="83" t="n">
        <x:v>0.3272056665574322</x:v>
      </x:c>
      <x:c r="E1782" s="81" t="n">
        <x:v>-0.10319925459117003</x:v>
      </x:c>
      <x:c r="F1782" s="81" t="n">
        <x:v>0.8664747124304996</x:v>
      </x:c>
      <x:c r="G1782" s="81" t="n">
        <x:v>-0.04411539010321536</x:v>
      </x:c>
      <x:c r="H1782" s="59" t="n">
        <x:v>0</x:v>
      </x:c>
      <x:c r="I1782" s="81" t="n">
        <x:v>0</x:v>
      </x:c>
      <x:c r="J1782" s="79" t="n">
        <x:v>1.9068202795127827e-20</x:v>
      </x:c>
      <x:c r="K1782" s="81" t="n">
        <x:v>-1</x:v>
      </x:c>
      <x:c r="L1782" s="81" t="n">
        <x:v>-1</x:v>
      </x:c>
      <x:c r="M1782" s="80" t="n">
        <x:v>0.000034116131137161815</x:v>
      </x:c>
      <x:c r="N1782" s="82" t="n">
        <x:v>0.31179753546098954</x:v>
      </x:c>
      <x:c r="O1782" s="82" t="n">
        <x:v>0.255211072448573</x:v>
      </x:c>
      <x:c r="P1782" s="80" t="n">
        <x:v>162.4235881512321</x:v>
      </x:c>
      <x:c r="Q1782" s="81" t="n">
        <x:v>19319.33242961565</x:v>
      </x:c>
      <x:c r="R1782" s="81" t="n">
        <x:v>8.112911731450039</x:v>
      </x:c>
      <x:c r="S1782" s="81" t="n">
        <x:v>2.1225338460165154e-9</x:v>
      </x:c>
      <x:c r="T1782" s="81" t="n">
        <x:v>4.130589026085043e-16</x:v>
      </x:c>
    </x:row>
    <x:row r="1783">
      <x:c r="A1783" s="59" t="n">
        <x:v>1780</x:v>
      </x:c>
      <x:c r="B1783" s="193" t="n">
        <x:v>0.27000347040593625</x:v>
      </x:c>
      <x:c r="C1783" s="83" t="n">
        <x:v>0.8210813162425237</x:v>
      </x:c>
      <x:c r="D1783" s="83" t="n">
        <x:v>0.7521189310247678</x:v>
      </x:c>
      <x:c r="E1783" s="81" t="n">
        <x:v>0.03820869848749725</x:v>
      </x:c>
      <x:c r="F1783" s="81" t="n">
        <x:v>0.5369260758627206</x:v>
      </x:c>
      <x:c r="G1783" s="81" t="n">
        <x:v>-0.026875164419874344</x:v>
      </x:c>
      <x:c r="H1783" s="59" t="n">
        <x:v>90</x:v>
      </x:c>
      <x:c r="I1783" s="81" t="n">
        <x:v>0.40583691624924545</x:v>
      </x:c>
      <x:c r="J1783" s="79" t="n">
        <x:v>0.0009018143734036718</x:v>
      </x:c>
      <x:c r="K1783" s="81" t="n">
        <x:v>0.03064499817562516</x:v>
      </x:c>
      <x:c r="L1783" s="81" t="n">
        <x:v>-0.8569488516267777</x:v>
      </x:c>
      <x:c r="M1783" s="80" t="n">
        <x:v>10229.715524488694</x:v>
      </x:c>
      <x:c r="N1783" s="82" t="n">
        <x:v>0.1664136392157641</x:v>
      </x:c>
      <x:c r="O1783" s="82" t="n">
        <x:v>0.08440620142634382</x:v>
      </x:c>
      <x:c r="P1783" s="80" t="n">
        <x:v>15384.250928101945</x:v>
      </x:c>
      <x:c r="Q1783" s="81" t="n">
        <x:v>0.004989724872362891</x:v>
      </x:c>
      <x:c r="R1783" s="81" t="n">
        <x:v>61.330326039384126</x:v>
      </x:c>
      <x:c r="S1783" s="81" t="n">
        <x:v>21.770382949142874</x:v>
      </x:c>
      <x:c r="T1783" s="81" t="n">
        <x:v>19.5352681863587</x:v>
      </x:c>
    </x:row>
    <x:row r="1784">
      <x:c r="A1784" s="59" t="n">
        <x:v>1781</x:v>
      </x:c>
      <x:c r="B1784" s="193" t="n">
        <x:v>0.6655990075320006</x:v>
      </x:c>
      <x:c r="C1784" s="83" t="n">
        <x:v>0.6064209987638597</x:v>
      </x:c>
      <x:c r="D1784" s="83" t="n">
        <x:v>0.3227814019973806</x:v>
      </x:c>
      <x:c r="E1784" s="81" t="n">
        <x:v>-0.09843091603688872</x:v>
      </x:c>
      <x:c r="F1784" s="81" t="n">
        <x:v>0.73867732740473</x:v>
      </x:c>
      <x:c r="G1784" s="81" t="n">
        <x:v>0.022481277382546152</x:v>
      </x:c>
      <x:c r="H1784" s="59" t="n">
        <x:v>0</x:v>
      </x:c>
      <x:c r="I1784" s="81" t="n">
        <x:v>0</x:v>
      </x:c>
      <x:c r="J1784" s="79" t="n">
        <x:v>8.987668256347414e-25</x:v>
      </x:c>
      <x:c r="K1784" s="81" t="n">
        <x:v>-1</x:v>
      </x:c>
      <x:c r="L1784" s="81" t="n">
        <x:v>-1</x:v>
      </x:c>
      <x:c r="M1784" s="80" t="n">
        <x:v>0.000002</x:v>
      </x:c>
      <x:c r="N1784" s="82" t="n">
        <x:v>0.26065191357551365</x:v>
      </x:c>
      <x:c r="O1784" s="82" t="n">
        <x:v>0.1818807049021393</x:v>
      </x:c>
      <x:c r="P1784" s="80" t="n">
        <x:v>213.59532824597787</x:v>
      </x:c>
      <x:c r="Q1784" s="81" t="n">
        <x:v>25083549.2689832</x:v>
      </x:c>
      <x:c r="R1784" s="81" t="n">
        <x:v>6.1732329447315415</x:v>
      </x:c>
      <x:c r="S1784" s="81" t="n">
        <x:v>2.3068897403086864e-10</x:v>
      </x:c>
      <x:c r="T1784" s="81" t="n">
        <x:v>1.9469251648218928e-20</x:v>
      </x:c>
    </x:row>
    <x:row r="1785">
      <x:c r="A1785" s="59" t="n">
        <x:v>1782</x:v>
      </x:c>
      <x:c r="B1785" s="193" t="n">
        <x:v>0.7601406870409846</x:v>
      </x:c>
      <x:c r="C1785" s="83" t="n">
        <x:v>0.25804654063605864</x:v>
      </x:c>
      <x:c r="D1785" s="83" t="n">
        <x:v>0.7890873738246158</x:v>
      </x:c>
      <x:c r="E1785" s="81" t="n">
        <x:v>-0.08464596811441794</x:v>
      </x:c>
      <x:c r="F1785" s="81" t="n">
        <x:v>0.571519897109829</x:v>
      </x:c>
      <x:c r="G1785" s="81" t="n">
        <x:v>-0.02118393968060507</x:v>
      </x:c>
      <x:c r="H1785" s="59" t="n">
        <x:v>0</x:v>
      </x:c>
      <x:c r="I1785" s="81" t="n">
        <x:v>0</x:v>
      </x:c>
      <x:c r="J1785" s="79" t="n">
        <x:v>5.953555918973026e-31</x:v>
      </x:c>
      <x:c r="K1785" s="81" t="n">
        <x:v>-1</x:v>
      </x:c>
      <x:c r="L1785" s="81" t="n">
        <x:v>-1</x:v>
      </x:c>
      <x:c r="M1785" s="80" t="n">
        <x:v>0.000002</x:v>
      </x:c>
      <x:c r="N1785" s="82" t="n">
        <x:v>0.2831735142910445</x:v>
      </x:c>
      <x:c r="O1785" s="82" t="n">
        <x:v>0.15288149717671334</x:v>
      </x:c>
      <x:c r="P1785" s="80" t="n">
        <x:v>230.57953859403275</x:v>
      </x:c>
      <x:c r="Q1785" s="81" t="n">
        <x:v>43481057070537.734</x:v>
      </x:c>
      <x:c r="R1785" s="81" t="n">
        <x:v>7.963290871675184</x:v>
      </x:c>
      <x:c r="S1785" s="81" t="n">
        <x:v>4.234437361721699e-10</x:v>
      </x:c>
      <x:c r="T1785" s="81" t="n">
        <x:v>1.2896701912241636e-26</x:v>
      </x:c>
    </x:row>
    <x:row r="1786">
      <x:c r="A1786" s="59" t="n">
        <x:v>1783</x:v>
      </x:c>
      <x:c r="B1786" s="193" t="n">
        <x:v>0.4419144039973617</x:v>
      </x:c>
      <x:c r="C1786" s="83" t="n">
        <x:v>2.2822439592792283</x:v>
      </x:c>
      <x:c r="D1786" s="83" t="n">
        <x:v>0.7557505245397491</x:v>
      </x:c>
      <x:c r="E1786" s="81" t="n">
        <x:v>0.004868816100262531</x:v>
      </x:c>
      <x:c r="F1786" s="81" t="n">
        <x:v>0.5090632368694059</x:v>
      </x:c>
      <x:c r="G1786" s="81" t="n">
        <x:v>0.022740961121413328</x:v>
      </x:c>
      <x:c r="H1786" s="59" t="n">
        <x:v>0</x:v>
      </x:c>
      <x:c r="I1786" s="81" t="n">
        <x:v>0</x:v>
      </x:c>
      <x:c r="J1786" s="79" t="n">
        <x:v>0.00008813262713476739</x:v>
      </x:c>
      <x:c r="K1786" s="81" t="n">
        <x:v>-0.8992769975602658</x:v>
      </x:c>
      <x:c r="L1786" s="81" t="n">
        <x:v>-0.907241807558678</x:v>
      </x:c>
      <x:c r="M1786" s="80" t="n">
        <x:v>5322.812777982728</x:v>
      </x:c>
      <x:c r="N1786" s="82" t="n">
        <x:v>0.20736604692724647</x:v>
      </x:c>
      <x:c r="O1786" s="82" t="n">
        <x:v>0.09971955347747402</x:v>
      </x:c>
      <x:c r="P1786" s="80" t="n">
        <x:v>13207.21331422705</x:v>
      </x:c>
      <x:c r="Q1786" s="81" t="n">
        <x:v>0.033289503992795434</x:v>
      </x:c>
      <x:c r="R1786" s="81" t="n">
        <x:v>9.146100172010797</x:v>
      </x:c>
      <x:c r="S1786" s="81" t="n">
        <x:v>1.4252908971135512</x:v>
      </x:c>
      <x:c r="T1786" s="81" t="n">
        <x:v>1.9091451165808448</x:v>
      </x:c>
    </x:row>
    <x:row r="1787">
      <x:c r="A1787" s="59" t="n">
        <x:v>1784</x:v>
      </x:c>
      <x:c r="B1787" s="193" t="n">
        <x:v>0.29040920380502944</x:v>
      </x:c>
      <x:c r="C1787" s="83" t="n">
        <x:v>0.539980945615714</x:v>
      </x:c>
      <x:c r="D1787" s="83" t="n">
        <x:v>0.4224938791920438</x:v>
      </x:c>
      <x:c r="E1787" s="81" t="n">
        <x:v>-0.049886923349203575</x:v>
      </x:c>
      <x:c r="F1787" s="81" t="n">
        <x:v>0.5522829753579572</x:v>
      </x:c>
      <x:c r="G1787" s="81" t="n">
        <x:v>0.0185016993351001</x:v>
      </x:c>
      <x:c r="H1787" s="59" t="n">
        <x:v>0</x:v>
      </x:c>
      <x:c r="I1787" s="81" t="n">
        <x:v>0</x:v>
      </x:c>
      <x:c r="J1787" s="79" t="n">
        <x:v>8.2961110495662035e-19</x:v>
      </x:c>
      <x:c r="K1787" s="81" t="n">
        <x:v>-0.999999999999999</x:v>
      </x:c>
      <x:c r="L1787" s="81" t="n">
        <x:v>-0.999999999999999</x:v>
      </x:c>
      <x:c r="M1787" s="80" t="n">
        <x:v>0.00024945510840366857</x:v>
      </x:c>
      <x:c r="N1787" s="82" t="n">
        <x:v>0.17127466751892922</x:v>
      </x:c>
      <x:c r="O1787" s="82" t="n">
        <x:v>0.08935641385037758</x:v>
      </x:c>
      <x:c r="P1787" s="80" t="n">
        <x:v>397.19908210958465</x:v>
      </x:c>
      <x:c r="Q1787" s="81" t="n">
        <x:v>6392.021262822185</x:v>
      </x:c>
      <x:c r="R1787" s="81" t="n">
        <x:v>10.602573109767276</x:v>
      </x:c>
      <x:c r="S1787" s="81" t="n">
        <x:v>3.942047777234754e-8</x:v>
      </x:c>
      <x:c r="T1787" s="81" t="n">
        <x:v>1.797118775623516e-14</x:v>
      </x:c>
    </x:row>
    <x:row r="1788">
      <x:c r="A1788" s="59" t="n">
        <x:v>1785</x:v>
      </x:c>
      <x:c r="B1788" s="193" t="n">
        <x:v>0.7241935441270471</x:v>
      </x:c>
      <x:c r="C1788" s="83" t="n">
        <x:v>0.47679829471004326</x:v>
      </x:c>
      <x:c r="D1788" s="83" t="n">
        <x:v>0.8091583303711213</x:v>
      </x:c>
      <x:c r="E1788" s="81" t="n">
        <x:v>0.04948208310952554</x:v>
      </x:c>
      <x:c r="F1788" s="81" t="n">
        <x:v>0.6305241272668354</x:v>
      </x:c>
      <x:c r="G1788" s="81" t="n">
        <x:v>-0.01925390539410485</x:v>
      </x:c>
      <x:c r="H1788" s="59" t="n">
        <x:v>37</x:v>
      </x:c>
      <x:c r="I1788" s="81" t="n">
        <x:v>0.48577095819637184</x:v>
      </x:c>
      <x:c r="J1788" s="79" t="n">
        <x:v>0.0003834446993878764</x:v>
      </x:c>
      <x:c r="K1788" s="81" t="n">
        <x:v>-0.5617774864138554</x:v>
      </x:c>
      <x:c r="L1788" s="81" t="n">
        <x:v>-0.8445819717437357</x:v>
      </x:c>
      <x:c r="M1788" s="80" t="n">
        <x:v>5655.587639758375</x:v>
      </x:c>
      <x:c r="N1788" s="82" t="n">
        <x:v>0.27461023084001496</x:v>
      </x:c>
      <x:c r="O1788" s="82" t="n">
        <x:v>0.16356461839341208</x:v>
      </x:c>
      <x:c r="P1788" s="80" t="n">
        <x:v>9236.92986438614</x:v>
      </x:c>
      <x:c r="Q1788" s="81" t="n">
        <x:v>0.007492103933504308</x:v>
      </x:c>
      <x:c r="R1788" s="81" t="n">
        <x:v>73.48980426592948</x:v>
      </x:c>
      <x:c r="S1788" s="81" t="n">
        <x:v>16.05248902173193</x:v>
      </x:c>
      <x:c r="T1788" s="81" t="n">
        <x:v>8.306249332562874</x:v>
      </x:c>
    </x:row>
    <x:row r="1789">
      <x:c r="A1789" s="59" t="n">
        <x:v>1786</x:v>
      </x:c>
      <x:c r="B1789" s="193" t="n">
        <x:v>0.742385632544756</x:v>
      </x:c>
      <x:c r="C1789" s="83" t="n">
        <x:v>0.1672529285890552</x:v>
      </x:c>
      <x:c r="D1789" s="83" t="n">
        <x:v>1.542726374041419</x:v>
      </x:c>
      <x:c r="E1789" s="81" t="n">
        <x:v>0.04115296351477094</x:v>
      </x:c>
      <x:c r="F1789" s="81" t="n">
        <x:v>0.4950030329287983</x:v>
      </x:c>
      <x:c r="G1789" s="81" t="n">
        <x:v>-0.023776850585101636</x:v>
      </x:c>
      <x:c r="H1789" s="59" t="n">
        <x:v>0</x:v>
      </x:c>
      <x:c r="I1789" s="81" t="n">
        <x:v>0</x:v>
      </x:c>
      <x:c r="J1789" s="79" t="n">
        <x:v>0.0009208317299155928</x:v>
      </x:c>
      <x:c r="K1789" s="81" t="n">
        <x:v>0.05237911990353483</x:v>
      </x:c>
      <x:c r="L1789" s="81" t="n">
        <x:v>-0.797689254475457</x:v>
      </x:c>
      <x:c r="M1789" s="80" t="n">
        <x:v>7431.257463741196</x:v>
      </x:c>
      <x:c r="N1789" s="82" t="n">
        <x:v>0.2789439274027711</x:v>
      </x:c>
      <x:c r="O1789" s="82" t="n">
        <x:v>0.13043547168203856</x:v>
      </x:c>
      <x:c r="P1789" s="80" t="n">
        <x:v>21168.328851010516</x:v>
      </x:c>
      <x:c r="Q1789" s="81" t="n">
        <x:v>0.007306852784011358</x:v>
      </x:c>
      <x:c r="R1789" s="81" t="n">
        <x:v>391.5063966633076</x:v>
      </x:c>
      <x:c r="S1789" s="81" t="n">
        <x:v>105.55368632604284</x:v>
      </x:c>
      <x:c r="T1789" s="81" t="n">
        <x:v>19.94722564746436</x:v>
      </x:c>
    </x:row>
    <x:row r="1790">
      <x:c r="A1790" s="59" t="n">
        <x:v>1787</x:v>
      </x:c>
      <x:c r="B1790" s="193" t="n">
        <x:v>0.5935126498341561</x:v>
      </x:c>
      <x:c r="C1790" s="83" t="n">
        <x:v>0.14579519409095856</x:v>
      </x:c>
      <x:c r="D1790" s="83" t="n">
        <x:v>1.486350184497712</x:v>
      </x:c>
      <x:c r="E1790" s="81" t="n">
        <x:v>-0.005209681490466602</x:v>
      </x:c>
      <x:c r="F1790" s="81" t="n">
        <x:v>0.645122864167206</x:v>
      </x:c>
      <x:c r="G1790" s="81" t="n">
        <x:v>0.00655938075156802</x:v>
      </x:c>
      <x:c r="H1790" s="59" t="n">
        <x:v>0</x:v>
      </x:c>
      <x:c r="I1790" s="81" t="n">
        <x:v>0</x:v>
      </x:c>
      <x:c r="J1790" s="79" t="n">
        <x:v>1.4439226957526587e-10</x:v>
      </x:c>
      <x:c r="K1790" s="81" t="n">
        <x:v>-0.9999998349802633</x:v>
      </x:c>
      <x:c r="L1790" s="81" t="n">
        <x:v>-0.9999998349802633</x:v>
      </x:c>
      <x:c r="M1790" s="80" t="n">
        <x:v>2.381904016555821</x:v>
      </x:c>
      <x:c r="N1790" s="82" t="n">
        <x:v>0.24347959155268034</x:v>
      </x:c>
      <x:c r="O1790" s="82" t="n">
        <x:v>0.14838019607123823</x:v>
      </x:c>
      <x:c r="P1790" s="80" t="n">
        <x:v>1367.3492971029564</x:v>
      </x:c>
      <x:c r="Q1790" s="81" t="n">
        <x:v>3.156786684574725</x:v>
      </x:c>
      <x:c r="R1790" s="81" t="n">
        <x:v>45.3152842132805</x:v>
      </x:c>
      <x:c r="S1790" s="81" t="n">
        <x:v>0.0015082180845930845</x:v>
      </x:c>
      <x:c r="T1790" s="81" t="n">
        <x:v>0.0000031278517989723748</x:v>
      </x:c>
    </x:row>
    <x:row r="1791">
      <x:c r="A1791" s="59" t="n">
        <x:v>1788</x:v>
      </x:c>
      <x:c r="B1791" s="193" t="n">
        <x:v>0.3579149061813951</x:v>
      </x:c>
      <x:c r="C1791" s="83" t="n">
        <x:v>2.6269551770401462</x:v>
      </x:c>
      <x:c r="D1791" s="83" t="n">
        <x:v>1.9149264758657842</x:v>
      </x:c>
      <x:c r="E1791" s="81" t="n">
        <x:v>0.036539249594470705</x:v>
      </x:c>
      <x:c r="F1791" s="81" t="n">
        <x:v>0.7281239737174474</x:v>
      </x:c>
      <x:c r="G1791" s="81" t="n">
        <x:v>-0.0026742647412581044</x:v>
      </x:c>
      <x:c r="H1791" s="59" t="n">
        <x:v>0</x:v>
      </x:c>
      <x:c r="I1791" s="81" t="n">
        <x:v>0</x:v>
      </x:c>
      <x:c r="J1791" s="79" t="n">
        <x:v>0.018696929975639136</x:v>
      </x:c>
      <x:c r="K1791" s="81" t="n">
        <x:v>20.367919972159015</x:v>
      </x:c>
      <x:c r="L1791" s="81" t="n">
        <x:v>-0.6332633723273596</x:v>
      </x:c>
      <x:c r="M1791" s="80" t="n">
        <x:v>108711.09430799795</x:v>
      </x:c>
      <x:c r="N1791" s="82" t="n">
        <x:v>0.1873557915568992</x:v>
      </x:c>
      <x:c r="O1791" s="82" t="n">
        <x:v>0.12886749751245738</x:v>
      </x:c>
      <x:c r="P1791" s="80" t="n">
        <x:v>347109.7726489192</x:v>
      </x:c>
      <x:c r="Q1791" s="81" t="n">
        <x:v>0.008788667319458373</x:v>
      </x:c>
      <x:c r="R1791" s="81" t="n">
        <x:v>145.16453229551016</x:v>
      </x:c>
      <x:c r="S1791" s="81" t="n">
        <x:v>157.21459637324344</x:v>
      </x:c>
      <x:c r="T1791" s="81" t="n">
        <x:v>405.01632276843935</x:v>
      </x:c>
    </x:row>
    <x:row r="1792">
      <x:c r="A1792" s="59" t="n">
        <x:v>1789</x:v>
      </x:c>
      <x:c r="B1792" s="193" t="n">
        <x:v>0.46736432891339064</x:v>
      </x:c>
      <x:c r="C1792" s="83" t="n">
        <x:v>0.5542009917917698</x:v>
      </x:c>
      <x:c r="D1792" s="83" t="n">
        <x:v>0.5492682933872446</x:v>
      </x:c>
      <x:c r="E1792" s="81" t="n">
        <x:v>0.11327784208620717</x:v>
      </x:c>
      <x:c r="F1792" s="81" t="n">
        <x:v>0.669832358439453</x:v>
      </x:c>
      <x:c r="G1792" s="81" t="n">
        <x:v>0.012910712250044906</x:v>
      </x:c>
      <x:c r="H1792" s="59" t="n">
        <x:v>0</x:v>
      </x:c>
      <x:c r="I1792" s="81" t="n">
        <x:v>0</x:v>
      </x:c>
      <x:c r="J1792" s="79" t="n">
        <x:v>0.003502638845624108</x:v>
      </x:c>
      <x:c r="K1792" s="81" t="n">
        <x:v>3.0030158235704096</x:v>
      </x:c>
      <x:c r="L1792" s="81" t="n">
        <x:v>-0.7335139547036933</x:v>
      </x:c>
      <x:c r="M1792" s="80" t="n">
        <x:v>20107.203621708653</x:v>
      </x:c>
      <x:c r="N1792" s="82" t="n">
        <x:v>0.2134286962283368</x:v>
      </x:c>
      <x:c r="O1792" s="82" t="n">
        <x:v>0.13504853488848031</x:v>
      </x:c>
      <x:c r="P1792" s="80" t="n">
        <x:v>20770.938244394914</x:v>
      </x:c>
      <x:c r="Q1792" s="81" t="n">
        <x:v>0.0029975269352950384</x:v>
      </x:c>
      <x:c r="R1792" s="81" t="n">
        <x:v>161.6821858012832</x:v>
      </x:c>
      <x:c r="S1792" s="81" t="n">
        <x:v>121.33410739918409</x:v>
      </x:c>
      <x:c r="T1792" s="81" t="n">
        <x:v>75.87480442452015</x:v>
      </x:c>
    </x:row>
    <x:row r="1793">
      <x:c r="A1793" s="59" t="n">
        <x:v>1790</x:v>
      </x:c>
      <x:c r="B1793" s="193" t="n">
        <x:v>0.7102343337610364</x:v>
      </x:c>
      <x:c r="C1793" s="83" t="n">
        <x:v>1.0959773392078982</x:v>
      </x:c>
      <x:c r="D1793" s="83" t="n">
        <x:v>1.9264896864599748</x:v>
      </x:c>
      <x:c r="E1793" s="81" t="n">
        <x:v>0.06683556777108972</x:v>
      </x:c>
      <x:c r="F1793" s="81" t="n">
        <x:v>0.6107250606524759</x:v>
      </x:c>
      <x:c r="G1793" s="81" t="n">
        <x:v>-0.005905036930669614</x:v>
      </x:c>
      <x:c r="H1793" s="59" t="n">
        <x:v>0</x:v>
      </x:c>
      <x:c r="I1793" s="81" t="n">
        <x:v>0</x:v>
      </x:c>
      <x:c r="J1793" s="79" t="n">
        <x:v>0.015722685009205296</x:v>
      </x:c>
      <x:c r="K1793" s="81" t="n">
        <x:v>16.968782867663197</x:v>
      </x:c>
      <x:c r="L1793" s="81" t="n">
        <x:v>-0.7809227894447408</x:v>
      </x:c>
      <x:c r="M1793" s="80" t="n">
        <x:v>68345.48479778417</x:v>
      </x:c>
      <x:c r="N1793" s="82" t="n">
        <x:v>0.2712848851956368</x:v>
      </x:c>
      <x:c r="O1793" s="82" t="n">
        <x:v>0.15651006817338375</x:v>
      </x:c>
      <x:c r="P1793" s="80" t="n">
        <x:v>195575.69069728607</x:v>
      </x:c>
      <x:c r="Q1793" s="81" t="n">
        <x:v>0.0062756635205531925</x:v>
      </x:c>
      <x:c r="R1793" s="81" t="n">
        <x:v>403.4098256578017</x:v>
      </x:c>
      <x:c r="S1793" s="81" t="n">
        <x:v>293.2685107225229</x:v>
      </x:c>
      <x:c r="T1793" s="81" t="n">
        <x:v>340.58768336683113</x:v>
      </x:c>
    </x:row>
    <x:row r="1794">
      <x:c r="A1794" s="59" t="n">
        <x:v>1791</x:v>
      </x:c>
      <x:c r="B1794" s="193" t="n">
        <x:v>0.9370825612917544</x:v>
      </x:c>
      <x:c r="C1794" s="83" t="n">
        <x:v>0.7170667380550664</x:v>
      </x:c>
      <x:c r="D1794" s="83" t="n">
        <x:v>0.9107670373044247</x:v>
      </x:c>
      <x:c r="E1794" s="81" t="n">
        <x:v>0.10198139802467465</x:v>
      </x:c>
      <x:c r="F1794" s="81" t="n">
        <x:v>0.8289129841723479</x:v>
      </x:c>
      <x:c r="G1794" s="81" t="n">
        <x:v>-0.011999745947226213</x:v>
      </x:c>
      <x:c r="H1794" s="59" t="n">
        <x:v>0</x:v>
      </x:c>
      <x:c r="I1794" s="81" t="n">
        <x:v>0</x:v>
      </x:c>
      <x:c r="J1794" s="79" t="n">
        <x:v>0.0016332429131016904</x:v>
      </x:c>
      <x:c r="K1794" s="81" t="n">
        <x:v>0.8665633292590749</x:v>
      </x:c>
      <x:c r="L1794" s="81" t="n">
        <x:v>-0.8195937817864156</x:v>
      </x:c>
      <x:c r="M1794" s="80" t="n">
        <x:v>16162.690600315513</x:v>
      </x:c>
      <x:c r="N1794" s="82" t="n">
        <x:v>0.3253243863977198</x:v>
      </x:c>
      <x:c r="O1794" s="82" t="n">
        <x:v>0.2547396241432876</x:v>
      </x:c>
      <x:c r="P1794" s="80" t="n">
        <x:v>25516.187194170434</x:v>
      </x:c>
      <x:c r="Q1794" s="81" t="n">
        <x:v>0.006339575195367155</x:v>
      </x:c>
      <x:c r="R1794" s="81" t="n">
        <x:v>117.28919616723614</x:v>
      </x:c>
      <x:c r="S1794" s="81" t="n">
        <x:v>45.80964936429119</x:v>
      </x:c>
      <x:c r="T1794" s="81" t="n">
        <x:v>35.37960722503311</x:v>
      </x:c>
    </x:row>
    <x:row r="1795">
      <x:c r="A1795" s="59" t="n">
        <x:v>1792</x:v>
      </x:c>
      <x:c r="B1795" s="193" t="n">
        <x:v>0.8027835113927722</x:v>
      </x:c>
      <x:c r="C1795" s="83" t="n">
        <x:v>0.886539363363426</x:v>
      </x:c>
      <x:c r="D1795" s="83" t="n">
        <x:v>3</x:v>
      </x:c>
      <x:c r="E1795" s="81" t="n">
        <x:v>0.014083863448162856</x:v>
      </x:c>
      <x:c r="F1795" s="81" t="n">
        <x:v>0.715207454317715</x:v>
      </x:c>
      <x:c r="G1795" s="81" t="n">
        <x:v>-0.033907388042410586</x:v>
      </x:c>
      <x:c r="H1795" s="59" t="n">
        <x:v>0</x:v>
      </x:c>
      <x:c r="I1795" s="81" t="n">
        <x:v>0</x:v>
      </x:c>
      <x:c r="J1795" s="79" t="n">
        <x:v>0.00033702091234314244</x:v>
      </x:c>
      <x:c r="K1795" s="81" t="n">
        <x:v>-0.6148332430364086</x:v>
      </x:c>
      <x:c r="L1795" s="81" t="n">
        <x:v>-0.8366383983743099</x:v>
      </x:c>
      <x:c r="M1795" s="80" t="n">
        <x:v>6747.090639267862</x:v>
      </x:c>
      <x:c r="N1795" s="82" t="n">
        <x:v>0.293331834604597</x:v>
      </x:c>
      <x:c r="O1795" s="82" t="n">
        <x:v>0.19818107170459953</x:v>
      </x:c>
      <x:c r="P1795" s="80" t="n">
        <x:v>41108.70813630085</x:v>
      </x:c>
      <x:c r="Q1795" s="81" t="n">
        <x:v>0.030078642298835</x:v>
      </x:c>
      <x:c r="R1795" s="81" t="n">
        <x:v>52.09384845919735</x:v>
      </x:c>
      <x:c r="S1795" s="81" t="n">
        <x:v>10.188353975454374</x:v>
      </x:c>
      <x:c r="T1795" s="81" t="n">
        <x:v>7.300608751871738</x:v>
      </x:c>
    </x:row>
    <x:row r="1796">
      <x:c r="A1796" s="59" t="n">
        <x:v>1793</x:v>
      </x:c>
      <x:c r="B1796" s="193" t="n">
        <x:v>0.46745526026934386</x:v>
      </x:c>
      <x:c r="C1796" s="83" t="n">
        <x:v>0.18523986038446827</x:v>
      </x:c>
      <x:c r="D1796" s="83" t="n">
        <x:v>0.2109660138953398</x:v>
      </x:c>
      <x:c r="E1796" s="81" t="n">
        <x:v>-0.03389830223251796</x:v>
      </x:c>
      <x:c r="F1796" s="81" t="n">
        <x:v>0.5704266452346929</x:v>
      </x:c>
      <x:c r="G1796" s="81" t="n">
        <x:v>-0.01324171951559982</x:v>
      </x:c>
      <x:c r="H1796" s="59" t="n">
        <x:v>0</x:v>
      </x:c>
      <x:c r="I1796" s="81" t="n">
        <x:v>0</x:v>
      </x:c>
      <x:c r="J1796" s="79" t="n">
        <x:v>1.4812139674225757e-9</x:v>
      </x:c>
      <x:c r="K1796" s="81" t="n">
        <x:v>-0.9999983071840373</x:v>
      </x:c>
      <x:c r="L1796" s="81" t="n">
        <x:v>-0.9999983071840373</x:v>
      </x:c>
      <x:c r="M1796" s="80" t="n">
        <x:v>7.8644958911782465</x:v>
      </x:c>
      <x:c r="N1796" s="82" t="n">
        <x:v>0.21345035778228763</x:v>
      </x:c>
      <x:c r="O1796" s="82" t="n">
        <x:v>0.11501848228782319</x:v>
      </x:c>
      <x:c r="P1796" s="80" t="n">
        <x:v>240.0907690779725</x:v>
      </x:c>
      <x:c r="Q1796" s="81" t="n">
        <x:v>0.1567710324676465</x:v>
      </x:c>
      <x:c r="R1796" s="81" t="n">
        <x:v>39.86023320901872</x:v>
      </x:c>
      <x:c r="S1796" s="81" t="n">
        <x:v>0.000676312991439455</x:v>
      </x:c>
      <x:c r="T1796" s="81" t="n">
        <x:v>0.00003208632834911364</x:v>
      </x:c>
    </x:row>
    <x:row r="1797">
      <x:c r="A1797" s="59" t="n">
        <x:v>1794</x:v>
      </x:c>
      <x:c r="B1797" s="193" t="n">
        <x:v>0.33223974611610174</x:v>
      </x:c>
      <x:c r="C1797" s="83" t="n">
        <x:v>0.19103198772576435</x:v>
      </x:c>
      <x:c r="D1797" s="83" t="n">
        <x:v>0.9233510008432689</x:v>
      </x:c>
      <x:c r="E1797" s="81" t="n">
        <x:v>-0.010557702522028397</x:v>
      </x:c>
      <x:c r="F1797" s="81" t="n">
        <x:v>0.5121968574589119</x:v>
      </x:c>
      <x:c r="G1797" s="81" t="n">
        <x:v>0.04179828193483824</x:v>
      </x:c>
      <x:c r="H1797" s="59" t="n">
        <x:v>0</x:v>
      </x:c>
      <x:c r="I1797" s="81" t="n">
        <x:v>0</x:v>
      </x:c>
      <x:c r="J1797" s="79" t="n">
        <x:v>9.410575110246838e-13</x:v>
      </x:c>
      <x:c r="K1797" s="81" t="n">
        <x:v>-0.9999999989245058</x:v>
      </x:c>
      <x:c r="L1797" s="81" t="n">
        <x:v>-0.9999999989245058</x:v>
      </x:c>
      <x:c r="M1797" s="80" t="n">
        <x:v>0.20137149263354745</x:v>
      </x:c>
      <x:c r="N1797" s="82" t="n">
        <x:v>0.1812394870200949</x:v>
      </x:c>
      <x:c r="O1797" s="82" t="n">
        <x:v>0.08769214144518468</x:v>
      </x:c>
      <x:c r="P1797" s="80" t="n">
        <x:v>1012.5041580507259</x:v>
      </x:c>
      <x:c r="Q1797" s="81" t="n">
        <x:v>20.671750210488078</x:v>
      </x:c>
      <x:c r="R1797" s="81" t="n">
        <x:v>39.984487047657346</x:v>
      </x:c>
      <x:c r="S1797" s="81" t="n">
        <x:v>0.00011620043281991135</x:v>
      </x:c>
      <x:c r="T1797" s="81" t="n">
        <x:v>2.038536022360048e-8</x:v>
      </x:c>
    </x:row>
    <x:row r="1798">
      <x:c r="A1798" s="59" t="n">
        <x:v>1795</x:v>
      </x:c>
      <x:c r="B1798" s="193" t="n">
        <x:v>0.5491559548303485</x:v>
      </x:c>
      <x:c r="C1798" s="83" t="n">
        <x:v>0.13624824204385771</x:v>
      </x:c>
      <x:c r="D1798" s="83" t="n">
        <x:v>0.5860278248514637</x:v>
      </x:c>
      <x:c r="E1798" s="81" t="n">
        <x:v>0.026782561507631024</x:v>
      </x:c>
      <x:c r="F1798" s="81" t="n">
        <x:v>0.49392469741869716</x:v>
      </x:c>
      <x:c r="G1798" s="81" t="n">
        <x:v>-0.012243592541500627</x:v>
      </x:c>
      <x:c r="H1798" s="59" t="n">
        <x:v>0</x:v>
      </x:c>
      <x:c r="I1798" s="81" t="n">
        <x:v>0</x:v>
      </x:c>
      <x:c r="J1798" s="79" t="n">
        <x:v>0.00008463453757041328</x:v>
      </x:c>
      <x:c r="K1798" s="81" t="n">
        <x:v>-0.9032748142052419</x:v>
      </x:c>
      <x:c r="L1798" s="81" t="n">
        <x:v>-0.9144962242427259</x:v>
      </x:c>
      <x:c r="M1798" s="80" t="n">
        <x:v>1885.8779848373142</x:v>
      </x:c>
      <x:c r="N1798" s="82" t="n">
        <x:v>0.23291299511474206</x:v>
      </x:c>
      <x:c r="O1798" s="82" t="n">
        <x:v>0.10867393792185001</x:v>
      </x:c>
      <x:c r="P1798" s="80" t="n">
        <x:v>2791.144000171729</x:v>
      </x:c>
      <x:c r="Q1798" s="81" t="n">
        <x:v>0.008060221918915374</x:v>
      </x:c>
      <x:c r="R1798" s="81" t="n">
        <x:v>124.08219474633711</x:v>
      </x:c>
      <x:c r="S1798" s="81" t="n">
        <x:v>11.909813410817398</x:v>
      </x:c>
      <x:c r="T1798" s="81" t="n">
        <x:v>1.833368859520711</x:v>
      </x:c>
    </x:row>
    <x:row r="1799">
      <x:c r="A1799" s="59" t="n">
        <x:v>1796</x:v>
      </x:c>
      <x:c r="B1799" s="193" t="n">
        <x:v>0.717756874114275</x:v>
      </x:c>
      <x:c r="C1799" s="83" t="n">
        <x:v>0.23791380516968014</x:v>
      </x:c>
      <x:c r="D1799" s="83" t="n">
        <x:v>0.49319921550639245</x:v>
      </x:c>
      <x:c r="E1799" s="81" t="n">
        <x:v>-0.06393091486917374</x:v>
      </x:c>
      <x:c r="F1799" s="81" t="n">
        <x:v>0.6404681897722184</x:v>
      </x:c>
      <x:c r="G1799" s="81" t="n">
        <x:v>-0.0289263956827146</x:v>
      </x:c>
      <x:c r="H1799" s="59" t="n">
        <x:v>0</x:v>
      </x:c>
      <x:c r="I1799" s="81" t="n">
        <x:v>0</x:v>
      </x:c>
      <x:c r="J1799" s="79" t="n">
        <x:v>1.1663486190819742e-20</x:v>
      </x:c>
      <x:c r="K1799" s="81" t="n">
        <x:v>-1</x:v>
      </x:c>
      <x:c r="L1799" s="81" t="n">
        <x:v>-1</x:v>
      </x:c>
      <x:c r="M1799" s="80" t="n">
        <x:v>0.000023920829321012787</x:v>
      </x:c>
      <x:c r="N1799" s="82" t="n">
        <x:v>0.2730768953554099</x:v>
      </x:c>
      <x:c r="O1799" s="82" t="n">
        <x:v>0.16521651722115457</x:v>
      </x:c>
      <x:c r="P1799" s="80" t="n">
        <x:v>241.69884139497103</x:v>
      </x:c>
      <x:c r="Q1799" s="81" t="n">
        <x:v>34475.85968605071</x:v>
      </x:c>
      <x:c r="R1799" s="81" t="n">
        <x:v>14.963038547235273</x:v>
      </x:c>
      <x:c r="S1799" s="81" t="n">
        <x:v>3.0482576105509688e-9</x:v>
      </x:c>
      <x:c r="T1799" s="81" t="n">
        <x:v>2.5265657483989173e-16</x:v>
      </x:c>
    </x:row>
    <x:row r="1800">
      <x:c r="A1800" s="59" t="n">
        <x:v>1797</x:v>
      </x:c>
      <x:c r="B1800" s="193" t="n">
        <x:v>0.5245079593732953</x:v>
      </x:c>
      <x:c r="C1800" s="83" t="n">
        <x:v>0.5049350949927397</x:v>
      </x:c>
      <x:c r="D1800" s="83" t="n">
        <x:v>1.5471027889102762</x:v>
      </x:c>
      <x:c r="E1800" s="81" t="n">
        <x:v>0.039171528465111835</x:v>
      </x:c>
      <x:c r="F1800" s="81" t="n">
        <x:v>0.8539944857358933</x:v>
      </x:c>
      <x:c r="G1800" s="81" t="n">
        <x:v>-0.04077077003355011</x:v>
      </x:c>
      <x:c r="H1800" s="59" t="n">
        <x:v>0</x:v>
      </x:c>
      <x:c r="I1800" s="81" t="n">
        <x:v>0</x:v>
      </x:c>
      <x:c r="J1800" s="79" t="n">
        <x:v>0.00046301522300098654</x:v>
      </x:c>
      <x:c r="K1800" s="81" t="n">
        <x:v>-0.47083974514172966</x:v>
      </x:c>
      <x:c r="L1800" s="81" t="n">
        <x:v>-0.8488461072411166</x:v>
      </x:c>
      <x:c r="M1800" s="80" t="n">
        <x:v>6618.412197639303</x:v>
      </x:c>
      <x:c r="N1800" s="82" t="n">
        <x:v>0.2270413804469572</x:v>
      </x:c>
      <x:c r="O1800" s="82" t="n">
        <x:v>0.1831601653813322</x:v>
      </x:c>
      <x:c r="P1800" s="80" t="n">
        <x:v>20042.679280030836</x:v>
      </x:c>
      <x:c r="Q1800" s="81" t="n">
        <x:v>0.010523638946462625</x:v>
      </x:c>
      <x:c r="R1800" s="81" t="n">
        <x:v>111.02188325465876</x:v>
      </x:c>
      <x:c r="S1800" s="81" t="n">
        <x:v>18.8878004259963</x:v>
      </x:c>
      <x:c r="T1800" s="81" t="n">
        <x:v>10.029920593916009</x:v>
      </x:c>
    </x:row>
    <x:row r="1801">
      <x:c r="A1801" s="59" t="n">
        <x:v>1798</x:v>
      </x:c>
      <x:c r="B1801" s="193" t="n">
        <x:v>0.43760654460638765</x:v>
      </x:c>
      <x:c r="C1801" s="83" t="n">
        <x:v>1.4317234592036752</x:v>
      </x:c>
      <x:c r="D1801" s="83" t="n">
        <x:v>1.8272577624457602</x:v>
      </x:c>
      <x:c r="E1801" s="81" t="n">
        <x:v>-0.1936247527007169</x:v>
      </x:c>
      <x:c r="F1801" s="81" t="n">
        <x:v>0.6296069250325673</x:v>
      </x:c>
      <x:c r="G1801" s="81" t="n">
        <x:v>-0.006582380105877474</x:v>
      </x:c>
      <x:c r="H1801" s="59" t="n">
        <x:v>0</x:v>
      </x:c>
      <x:c r="I1801" s="81" t="n">
        <x:v>0</x:v>
      </x:c>
      <x:c r="J1801" s="79" t="n">
        <x:v>1.5558144985851158e-95</x:v>
      </x:c>
      <x:c r="K1801" s="81" t="n">
        <x:v>-1</x:v>
      </x:c>
      <x:c r="L1801" s="81" t="n">
        <x:v>-1</x:v>
      </x:c>
      <x:c r="M1801" s="80" t="n">
        <x:v>0.000002</x:v>
      </x:c>
      <x:c r="N1801" s="82" t="n">
        <x:v>0.20633983404795284</x:v>
      </x:c>
      <x:c r="O1801" s="82" t="n">
        <x:v>0.12272230817402005</x:v>
      </x:c>
      <x:c r="P1801" s="80" t="n">
        <x:v>322.13300875717107</x:v>
      </x:c>
      <x:c r="Q1801" s="81" t="n">
        <x:v>8.004679115769822e+77</x:v>
      </x:c>
      <x:c r="R1801" s="81" t="n">
        <x:v>0.5571014941888642</x:v>
      </x:c>
      <x:c r="S1801" s="81" t="n">
        <x:v>6.07426895299452e-10</x:v>
      </x:c>
      <x:c r="T1801" s="81" t="n">
        <x:v>3.37023387234046e-91</x:v>
      </x:c>
    </x:row>
    <x:row r="1802">
      <x:c r="A1802" s="59" t="n">
        <x:v>1799</x:v>
      </x:c>
      <x:c r="B1802" s="193" t="n">
        <x:v>0.25340090207755567</x:v>
      </x:c>
      <x:c r="C1802" s="83" t="n">
        <x:v>1.6479732321545157</x:v>
      </x:c>
      <x:c r="D1802" s="83" t="n">
        <x:v>0.7865170154412108</x:v>
      </x:c>
      <x:c r="E1802" s="81" t="n">
        <x:v>0.0578458612264449</x:v>
      </x:c>
      <x:c r="F1802" s="81" t="n">
        <x:v>0.3712215110543184</x:v>
      </x:c>
      <x:c r="G1802" s="81" t="n">
        <x:v>0.023624993698990026</x:v>
      </x:c>
      <x:c r="H1802" s="59" t="n">
        <x:v>0</x:v>
      </x:c>
      <x:c r="I1802" s="81" t="n">
        <x:v>0</x:v>
      </x:c>
      <x:c r="J1802" s="79" t="n">
        <x:v>0.036632003397651755</x:v>
      </x:c>
      <x:c r="K1802" s="81" t="n">
        <x:v>40.86514674017344</x:v>
      </x:c>
      <x:c r="L1802" s="81" t="n">
        <x:v>-0.40586369170993186</x:v>
      </x:c>
      <x:c r="M1802" s="80" t="n">
        <x:v>104894.97833749966</x:v>
      </x:c>
      <x:c r="N1802" s="82" t="n">
        <x:v>0.16245859614178768</x:v>
      </x:c>
      <x:c r="O1802" s="82" t="n">
        <x:v>0.05697007249222928</x:v>
      </x:c>
      <x:c r="P1802" s="80" t="n">
        <x:v>150466.4504792631</x:v>
      </x:c>
      <x:c r="Q1802" s="81" t="n">
        <x:v>0.002525781825379585</x:v>
      </x:c>
      <x:c r="R1802" s="81" t="n">
        <x:v>131.45307868090387</x:v>
      </x:c>
      <x:c r="S1802" s="81" t="n">
        <x:v>431.7324120842828</x:v>
      </x:c>
      <x:c r="T1802" s="81" t="n">
        <x:v>793.5291692854895</x:v>
      </x:c>
    </x:row>
    <x:row r="1803">
      <x:c r="A1803" s="59" t="n">
        <x:v>1800</x:v>
      </x:c>
      <x:c r="B1803" s="193" t="n">
        <x:v>0.4824322128668428</x:v>
      </x:c>
      <x:c r="C1803" s="83" t="n">
        <x:v>0.30409888880295816</x:v>
      </x:c>
      <x:c r="D1803" s="83" t="n">
        <x:v>1.2996470447401927</x:v>
      </x:c>
      <x:c r="E1803" s="81" t="n">
        <x:v>-0.05495151981079244</x:v>
      </x:c>
      <x:c r="F1803" s="81" t="n">
        <x:v>0.6749041733215564</x:v>
      </x:c>
      <x:c r="G1803" s="81" t="n">
        <x:v>-0.0125773194408672</x:v>
      </x:c>
      <x:c r="H1803" s="59" t="n">
        <x:v>8</x:v>
      </x:c>
      <x:c r="I1803" s="81" t="n">
        <x:v>0.3896480280905962</x:v>
      </x:c>
      <x:c r="J1803" s="79" t="n">
        <x:v>4.18088063572814e-33</x:v>
      </x:c>
      <x:c r="K1803" s="81" t="n">
        <x:v>-1</x:v>
      </x:c>
      <x:c r="L1803" s="81" t="n">
        <x:v>-1</x:v>
      </x:c>
      <x:c r="M1803" s="80" t="n">
        <x:v>0.000002</x:v>
      </x:c>
      <x:c r="N1803" s="82" t="n">
        <x:v>0.21701814870887304</x:v>
      </x:c>
      <x:c r="O1803" s="82" t="n">
        <x:v>0.13835954013011037</x:v>
      </x:c>
      <x:c r="P1803" s="80" t="n">
        <x:v>357.15758558636605</x:v>
      </x:c>
      <x:c r="Q1803" s="81" t="n">
        <x:v>9276407668780406</x:v>
      </x:c>
      <x:c r="R1803" s="81" t="n">
        <x:v>6.5053672436987595</x:v>
      </x:c>
      <x:c r="S1803" s="81" t="n">
        <x:v>7.48410784000166e-10</x:v>
      </x:c>
      <x:c r="T1803" s="81" t="n">
        <x:v>9.05670023486571e-29</x:v>
      </x:c>
    </x:row>
    <x:row r="1804">
      <x:c r="A1804" s="59" t="n">
        <x:v>1801</x:v>
      </x:c>
      <x:c r="B1804" s="193" t="n">
        <x:v>0.6697613311931492</x:v>
      </x:c>
      <x:c r="C1804" s="83" t="n">
        <x:v>0.13274506610144146</x:v>
      </x:c>
      <x:c r="D1804" s="83" t="n">
        <x:v>0.44580834104465233</x:v>
      </x:c>
      <x:c r="E1804" s="81" t="n">
        <x:v>-0.010819238818440971</x:v>
      </x:c>
      <x:c r="F1804" s="81" t="n">
        <x:v>0.6489014653721825</x:v>
      </x:c>
      <x:c r="G1804" s="81" t="n">
        <x:v>-0.03799328068898864</x:v>
      </x:c>
      <x:c r="H1804" s="59" t="n">
        <x:v>10</x:v>
      </x:c>
      <x:c r="I1804" s="81" t="n">
        <x:v>0.4703443412669003</x:v>
      </x:c>
      <x:c r="J1804" s="79" t="n">
        <x:v>1.3970266812932847e-8</x:v>
      </x:c>
      <x:c r="K1804" s="81" t="n">
        <x:v>-0.9999840339807852</x:v>
      </x:c>
      <x:c r="L1804" s="81" t="n">
        <x:v>-0.9999840339807852</x:v>
      </x:c>
      <x:c r="M1804" s="80" t="n">
        <x:v>22.997887529917637</x:v>
      </x:c>
      <x:c r="N1804" s="82" t="n">
        <x:v>0.2616434571151679</x:v>
      </x:c>
      <x:c r="O1804" s="82" t="n">
        <x:v>0.16038345896810116</x:v>
      </x:c>
      <x:c r="P1804" s="80" t="n">
        <x:v>375.0352020670245</x:v>
      </x:c>
      <x:c r="Q1804" s="81" t="n">
        <x:v>0.1246218922464955</x:v>
      </x:c>
      <x:c r="R1804" s="81" t="n">
        <x:v>38.6262104080172</x:v>
      </x:c>
      <x:c r="S1804" s="81" t="n">
        <x:v>0.004447092569753811</x:v>
      </x:c>
      <x:c r="T1804" s="81" t="n">
        <x:v>0.00030262647932255567</x:v>
      </x:c>
    </x:row>
    <x:row r="1805">
      <x:c r="A1805" s="59" t="n">
        <x:v>1802</x:v>
      </x:c>
      <x:c r="B1805" s="193" t="n">
        <x:v>0.8392339047044517</x:v>
      </x:c>
      <x:c r="C1805" s="83" t="n">
        <x:v>0.2334595678455212</x:v>
      </x:c>
      <x:c r="D1805" s="83" t="n">
        <x:v>0.9746735011133081</x:v>
      </x:c>
      <x:c r="E1805" s="81" t="n">
        <x:v>0.026215654507646118</x:v>
      </x:c>
      <x:c r="F1805" s="81" t="n">
        <x:v>0.7906122618820518</x:v>
      </x:c>
      <x:c r="G1805" s="81" t="n">
        <x:v>-0.005396971814665969</x:v>
      </x:c>
      <x:c r="H1805" s="59" t="n">
        <x:v>57</x:v>
      </x:c>
      <x:c r="I1805" s="81" t="n">
        <x:v>0.43323628501966593</x:v>
      </x:c>
      <x:c r="J1805" s="79" t="n">
        <x:v>0.00007529060015238926</x:v>
      </x:c>
      <x:c r="K1805" s="81" t="n">
        <x:v>-0.9139535998258408</x:v>
      </x:c>
      <x:c r="L1805" s="81" t="n">
        <x:v>-0.9380834591037712</x:v>
      </x:c>
      <x:c r="M1805" s="80" t="n">
        <x:v>2011.797418640765</x:v>
      </x:c>
      <x:c r="N1805" s="82" t="n">
        <x:v>0.3020150017363135</x:v>
      </x:c>
      <x:c r="O1805" s="82" t="n">
        <x:v>0.22556047649836208</x:v>
      </x:c>
      <x:c r="P1805" s="80" t="n">
        <x:v>4514.018217537822</x:v>
      </x:c>
      <x:c r="Q1805" s="81" t="n">
        <x:v>0.01817380920487488</x:v>
      </x:c>
      <x:c r="R1805" s="81" t="n">
        <x:v>59.605095024746625</x:v>
      </x:c>
      <x:c r="S1805" s="81" t="n">
        <x:v>6.6554501678348945</x:v>
      </x:c>
      <x:c r="T1805" s="81" t="n">
        <x:v>1.6309587751829402</x:v>
      </x:c>
    </x:row>
    <x:row r="1806">
      <x:c r="A1806" s="59" t="n">
        <x:v>1803</x:v>
      </x:c>
      <x:c r="B1806" s="193" t="n">
        <x:v>0.4562770968303085</x:v>
      </x:c>
      <x:c r="C1806" s="83" t="n">
        <x:v>0.6490566563456923</x:v>
      </x:c>
      <x:c r="D1806" s="83" t="n">
        <x:v>0.3885516508487929</x:v>
      </x:c>
      <x:c r="E1806" s="81" t="n">
        <x:v>0.13352715414901095</x:v>
      </x:c>
      <x:c r="F1806" s="81" t="n">
        <x:v>0.3296039674198255</x:v>
      </x:c>
      <x:c r="G1806" s="81" t="n">
        <x:v>-0.009415501995463347</x:v>
      </x:c>
      <x:c r="H1806" s="59" t="n">
        <x:v>0</x:v>
      </x:c>
      <x:c r="I1806" s="81" t="n">
        <x:v>0</x:v>
      </x:c>
      <x:c r="J1806" s="79" t="n">
        <x:v>0.00655437831159634</x:v>
      </x:c>
      <x:c r="K1806" s="81" t="n">
        <x:v>6.490718070395818</x:v>
      </x:c>
      <x:c r="L1806" s="81" t="n">
        <x:v>-0.6138745544748685</x:v>
      </x:c>
      <x:c r="M1806" s="80" t="n">
        <x:v>27340.915325875696</x:v>
      </x:c>
      <x:c r="N1806" s="82" t="n">
        <x:v>0.21078750966054502</x:v>
      </x:c>
      <x:c r="O1806" s="82" t="n">
        <x:v>0.06563088271179349</x:v>
      </x:c>
      <x:c r="P1806" s="80" t="n">
        <x:v>20519.808448181528</x:v>
      </x:c>
      <x:c r="Q1806" s="81" t="n">
        <x:v>0.0012478663669625984</x:v>
      </x:c>
      <x:c r="R1806" s="81" t="n">
        <x:v>237.5008532096448</x:v>
      </x:c>
      <x:c r="S1806" s="81" t="n">
        <x:v>190.31752536939896</x:v>
      </x:c>
      <x:c r="T1806" s="81" t="n">
        <x:v>141.98214387360758</x:v>
      </x:c>
    </x:row>
    <x:row r="1807">
      <x:c r="A1807" s="59" t="n">
        <x:v>1804</x:v>
      </x:c>
      <x:c r="B1807" s="193" t="n">
        <x:v>0.24826830066740513</x:v>
      </x:c>
      <x:c r="C1807" s="83" t="n">
        <x:v>0.20857622743079776</x:v>
      </x:c>
      <x:c r="D1807" s="83" t="n">
        <x:v>0.8355878628737655</x:v>
      </x:c>
      <x:c r="E1807" s="81" t="n">
        <x:v>-0.02434389832994378</x:v>
      </x:c>
      <x:c r="F1807" s="81" t="n">
        <x:v>0.2691428199526854</x:v>
      </x:c>
      <x:c r="G1807" s="81" t="n">
        <x:v>-0.024462204635791317</x:v>
      </x:c>
      <x:c r="H1807" s="59" t="n">
        <x:v>0</x:v>
      </x:c>
      <x:c r="I1807" s="81" t="n">
        <x:v>0</x:v>
      </x:c>
      <x:c r="J1807" s="79" t="n">
        <x:v>5.3433494551037735e-15</x:v>
      </x:c>
      <x:c r="K1807" s="81" t="n">
        <x:v>-0.9999999999938933</x:v>
      </x:c>
      <x:c r="L1807" s="81" t="n">
        <x:v>-0.9999999999938933</x:v>
      </x:c>
      <x:c r="M1807" s="80" t="n">
        <x:v>0.015513814378948524</x:v>
      </x:c>
      <x:c r="N1807" s="82" t="n">
        <x:v>0.1612359142496134</x:v>
      </x:c>
      <x:c r="O1807" s="82" t="n">
        <x:v>0.04099354956412386</x:v>
      </x:c>
      <x:c r="P1807" s="80" t="n">
        <x:v>676.5071096062477</x:v>
      </x:c>
      <x:c r="Q1807" s="81" t="n">
        <x:v>123.39933249032599</x:v>
      </x:c>
      <x:c r="R1807" s="81" t="n">
        <x:v>30.53973987820834</x:v>
      </x:c>
      <x:c r="S1807" s="81" t="n">
        <x:v>0.000003579785883731447</x:v>
      </x:c>
      <x:c r="T1807" s="81" t="n">
        <x:v>1.1574861490055378e-10</x:v>
      </x:c>
    </x:row>
    <x:row r="1808">
      <x:c r="A1808" s="59" t="n">
        <x:v>1805</x:v>
      </x:c>
      <x:c r="B1808" s="193" t="n">
        <x:v>0.37735453657805923</x:v>
      </x:c>
      <x:c r="C1808" s="83" t="n">
        <x:v>0.11361323651616625</x:v>
      </x:c>
      <x:c r="D1808" s="83" t="n">
        <x:v>1.1265770671060664</x:v>
      </x:c>
      <x:c r="E1808" s="81" t="n">
        <x:v>0.06447584184623593</x:v>
      </x:c>
      <x:c r="F1808" s="81" t="n">
        <x:v>0.6372060262016022</x:v>
      </x:c>
      <x:c r="G1808" s="81" t="n">
        <x:v>0.0005733664897693145</x:v>
      </x:c>
      <x:c r="H1808" s="59" t="n">
        <x:v>0</x:v>
      </x:c>
      <x:c r="I1808" s="81" t="n">
        <x:v>0</x:v>
      </x:c>
      <x:c r="J1808" s="79" t="n">
        <x:v>0.002589908030754995</x:v>
      </x:c>
      <x:c r="K1808" s="81" t="n">
        <x:v>1.9598948922914232</x:v>
      </x:c>
      <x:c r="L1808" s="81" t="n">
        <x:v>-0.7709121463088823</x:v>
      </x:c>
      <x:c r="M1808" s="80" t="n">
        <x:v>12627.256389779019</x:v>
      </x:c>
      <x:c r="N1808" s="82" t="n">
        <x:v>0.19198667601045463</x:v>
      </x:c>
      <x:c r="O1808" s="82" t="n">
        <x:v>0.1155638243945961</x:v>
      </x:c>
      <x:c r="P1808" s="80" t="n">
        <x:v>25007.030950785247</x:v>
      </x:c>
      <x:c r="Q1808" s="81" t="n">
        <x:v>0.004374261622691392</x:v>
      </x:c>
      <x:c r="R1808" s="81" t="n">
        <x:v>798.893150141105</x:v>
      </x:c>
      <x:c r="S1808" s="81" t="n">
        <x:v>429.1995009096244</x:v>
      </x:c>
      <x:c r="T1808" s="81" t="n">
        <x:v>56.10306228303563</x:v>
      </x:c>
    </x:row>
    <x:row r="1809">
      <x:c r="A1809" s="59" t="n">
        <x:v>1806</x:v>
      </x:c>
      <x:c r="B1809" s="193" t="n">
        <x:v>0.5915261337533593</x:v>
      </x:c>
      <x:c r="C1809" s="83" t="n">
        <x:v>0.8295730797287548</x:v>
      </x:c>
      <x:c r="D1809" s="83" t="n">
        <x:v>0.6588556123196694</x:v>
      </x:c>
      <x:c r="E1809" s="81" t="n">
        <x:v>-0.07226803959978004</x:v>
      </x:c>
      <x:c r="F1809" s="81" t="n">
        <x:v>0.4093753066495992</x:v>
      </x:c>
      <x:c r="G1809" s="81" t="n">
        <x:v>0.03266107668996245</x:v>
      </x:c>
      <x:c r="H1809" s="59" t="n">
        <x:v>0</x:v>
      </x:c>
      <x:c r="I1809" s="81" t="n">
        <x:v>0</x:v>
      </x:c>
      <x:c r="J1809" s="79" t="n">
        <x:v>6.225866323085558e-31</x:v>
      </x:c>
      <x:c r="K1809" s="81" t="n">
        <x:v>-1</x:v>
      </x:c>
      <x:c r="L1809" s="81" t="n">
        <x:v>-1</x:v>
      </x:c>
      <x:c r="M1809" s="80" t="n">
        <x:v>0.000002</x:v>
      </x:c>
      <x:c r="N1809" s="82" t="n">
        <x:v>0.24300636617505803</x:v>
      </x:c>
      <x:c r="O1809" s="82" t="n">
        <x:v>0.09397454587701769</x:v>
      </x:c>
      <x:c r="P1809" s="80" t="n">
        <x:v>392.4440348285899</x:v>
      </x:c>
      <x:c r="Q1809" s="81" t="n">
        <x:v>48145100436751.42</x:v>
      </x:c>
      <x:c r="R1809" s="81" t="n">
        <x:v>4.011232059155219</x:v>
      </x:c>
      <x:c r="S1809" s="81" t="n">
        <x:v>4.664064946788536e-10</x:v>
      </x:c>
      <x:c r="T1809" s="81" t="n">
        <x:v>1.3486585698879048e-26</x:v>
      </x:c>
    </x:row>
    <x:row r="1810">
      <x:c r="A1810" s="59" t="n">
        <x:v>1807</x:v>
      </x:c>
      <x:c r="B1810" s="193" t="n">
        <x:v>0.60533895958215</x:v>
      </x:c>
      <x:c r="C1810" s="83" t="n">
        <x:v>0.14298302881698294</x:v>
      </x:c>
      <x:c r="D1810" s="83" t="n">
        <x:v>0.364424046647985</x:v>
      </x:c>
      <x:c r="E1810" s="81" t="n">
        <x:v>0.06963475350056011</x:v>
      </x:c>
      <x:c r="F1810" s="81" t="n">
        <x:v>0.2716112672467716</x:v>
      </x:c>
      <x:c r="G1810" s="81" t="n">
        <x:v>-0.018783522404314953</x:v>
      </x:c>
      <x:c r="H1810" s="59" t="n">
        <x:v>0</x:v>
      </x:c>
      <x:c r="I1810" s="81" t="n">
        <x:v>0</x:v>
      </x:c>
      <x:c r="J1810" s="79" t="n">
        <x:v>0.0005907017817832765</x:v>
      </x:c>
      <x:c r="K1810" s="81" t="n">
        <x:v>-0.3249122493905411</x:v>
      </x:c>
      <x:c r="L1810" s="81" t="n">
        <x:v>-0.7152405132268475</x:v>
      </x:c>
      <x:c r="M1810" s="80" t="n">
        <x:v>5164.048632815418</x:v>
      </x:c>
      <x:c r="N1810" s="82" t="n">
        <x:v>0.2462968402779602</x:v>
      </x:c>
      <x:c r="O1810" s="82" t="n">
        <x:v>0.06319425001099056</x:v>
      </x:c>
      <x:c r="P1810" s="80" t="n">
        <x:v>4090.349119097823</x:v>
      </x:c>
      <x:c r="Q1810" s="81" t="n">
        <x:v>0.0020083481858864877</x:v>
      </x:c>
      <x:c r="R1810" s="81" t="n">
        <x:v>257.2120800430807</x:v>
      </x:c>
      <x:c r="S1810" s="81" t="n">
        <x:v>77.3182730385304</x:v>
      </x:c>
      <x:c r="T1810" s="81" t="n">
        <x:v>12.795890224884337</x:v>
      </x:c>
    </x:row>
    <x:row r="1811">
      <x:c r="A1811" s="59" t="n">
        <x:v>1808</x:v>
      </x:c>
      <x:c r="B1811" s="193" t="n">
        <x:v>0.8235918056219818</x:v>
      </x:c>
      <x:c r="C1811" s="83" t="n">
        <x:v>0.13930236646601463</x:v>
      </x:c>
      <x:c r="D1811" s="83" t="n">
        <x:v>1.9736466017607723</x:v>
      </x:c>
      <x:c r="E1811" s="81" t="n">
        <x:v>-0.021632104476464544</x:v>
      </x:c>
      <x:c r="F1811" s="81" t="n">
        <x:v>0.32064918369287626</x:v>
      </x:c>
      <x:c r="G1811" s="81" t="n">
        <x:v>0.010417354572112993</x:v>
      </x:c>
      <x:c r="H1811" s="59" t="n">
        <x:v>0</x:v>
      </x:c>
      <x:c r="I1811" s="81" t="n">
        <x:v>0</x:v>
      </x:c>
      <x:c r="J1811" s="79" t="n">
        <x:v>3.8954331884738275e-27</x:v>
      </x:c>
      <x:c r="K1811" s="81" t="n">
        <x:v>-1</x:v>
      </x:c>
      <x:c r="L1811" s="81" t="n">
        <x:v>-1</x:v>
      </x:c>
      <x:c r="M1811" s="80" t="n">
        <x:v>0.000002</x:v>
      </x:c>
      <x:c r="N1811" s="82" t="n">
        <x:v>0.29828876044551156</x:v>
      </x:c>
      <x:c r="O1811" s="82" t="n">
        <x:v>0.0903520415024173</x:v>
      </x:c>
      <x:c r="P1811" s="80" t="n">
        <x:v>765.4978727532248</x:v>
      </x:c>
      <x:c r="Q1811" s="81" t="n">
        <x:v>24492595002.281994</x:v>
      </x:c>
      <x:c r="R1811" s="81" t="n">
        <x:v>23.460364767219556</x:v>
      </x:c>
      <x:c r="S1811" s="81" t="n">
        <x:v>1.7214491298498303e-9</x:v>
      </x:c>
      <x:c r="T1811" s="81" t="n">
        <x:v>8.438358744678746e-23</x:v>
      </x:c>
    </x:row>
    <x:row r="1812">
      <x:c r="A1812" s="59" t="n">
        <x:v>1809</x:v>
      </x:c>
      <x:c r="B1812" s="193" t="n">
        <x:v>0.5037738075479865</x:v>
      </x:c>
      <x:c r="C1812" s="83" t="n">
        <x:v>0.10344274495135185</x:v>
      </x:c>
      <x:c r="D1812" s="83" t="n">
        <x:v>0.3395886142438486</x:v>
      </x:c>
      <x:c r="E1812" s="81" t="n">
        <x:v>0.12715025271400568</x:v>
      </x:c>
      <x:c r="F1812" s="81" t="n">
        <x:v>0.2732108277268708</x:v>
      </x:c>
      <x:c r="G1812" s="81" t="n">
        <x:v>-0.0005293472919818341</x:v>
      </x:c>
      <x:c r="H1812" s="59" t="n">
        <x:v>0</x:v>
      </x:c>
      <x:c r="I1812" s="81" t="n">
        <x:v>0</x:v>
      </x:c>
      <x:c r="J1812" s="79" t="n">
        <x:v>0.003193240613604459</x:v>
      </x:c>
      <x:c r="K1812" s="81" t="n">
        <x:v>2.649417844119382</x:v>
      </x:c>
      <x:c r="L1812" s="81" t="n">
        <x:v>-0.6411040680596446</x:v>
      </x:c>
      <x:c r="M1812" s="80" t="n">
        <x:v>12506.658828399826</x:v>
      </x:c>
      <x:c r="N1812" s="82" t="n">
        <x:v>0.22210211671682206</x:v>
      </x:c>
      <x:c r="O1812" s="82" t="n">
        <x:v>0.057322027936878545</x:v>
      </x:c>
      <x:c r="P1812" s="80" t="n">
        <x:v>8532.906563469385</x:v>
      </x:c>
      <x:c r="Q1812" s="81" t="n">
        <x:v>0.0011131602212298341</x:v>
      </x:c>
      <x:c r="R1812" s="81" t="n">
        <x:v>803.1944911288888</x:v>
      </x:c>
      <x:c r="S1812" s="81" t="n">
        <x:v>575.0408639690669</x:v>
      </x:c>
      <x:c r="T1812" s="81" t="n">
        <x:v>69.17256323482071</x:v>
      </x:c>
    </x:row>
    <x:row r="1813">
      <x:c r="A1813" s="59" t="n">
        <x:v>1810</x:v>
      </x:c>
      <x:c r="B1813" s="193" t="n">
        <x:v>0.2815122531726957</x:v>
      </x:c>
      <x:c r="C1813" s="83" t="n">
        <x:v>0.48823188714688687</x:v>
      </x:c>
      <x:c r="D1813" s="83" t="n">
        <x:v>0.9191028125058746</x:v>
      </x:c>
      <x:c r="E1813" s="81" t="n">
        <x:v>-0.056058885591573765</x:v>
      </x:c>
      <x:c r="F1813" s="81" t="n">
        <x:v>0.8850895049865358</x:v>
      </x:c>
      <x:c r="G1813" s="81" t="n">
        <x:v>0.03770696118645886</x:v>
      </x:c>
      <x:c r="H1813" s="59" t="n">
        <x:v>0</x:v>
      </x:c>
      <x:c r="I1813" s="81" t="n">
        <x:v>0</x:v>
      </x:c>
      <x:c r="J1813" s="79" t="n">
        <x:v>8.39616771114022e-33</x:v>
      </x:c>
      <x:c r="K1813" s="81" t="n">
        <x:v>-1</x:v>
      </x:c>
      <x:c r="L1813" s="81" t="n">
        <x:v>-1</x:v>
      </x:c>
      <x:c r="M1813" s="80" t="n">
        <x:v>0.000002</x:v>
      </x:c>
      <x:c r="N1813" s="82" t="n">
        <x:v>0.16915524706048327</x:v>
      </x:c>
      <x:c r="O1813" s="82" t="n">
        <x:v>0.14143067260024245</x:v>
      </x:c>
      <x:c r="P1813" s="80" t="n">
        <x:v>397.2637981433853</x:v>
      </x:c>
      <x:c r="Q1813" s="81" t="n">
        <x:v>4532704124731071</x:v>
      </x:c>
      <x:c r="R1813" s="81" t="n">
        <x:v>5.782316241497094</x:v>
      </x:c>
      <x:c r="S1813" s="81" t="n">
        <x:v>8.487376706696177e-10</x:v>
      </x:c>
      <x:c r="T1813" s="81" t="n">
        <x:v>1.8187932329766724e-28</x:v>
      </x:c>
    </x:row>
    <x:row r="1814">
      <x:c r="A1814" s="59" t="n">
        <x:v>1811</x:v>
      </x:c>
      <x:c r="B1814" s="193" t="n">
        <x:v>0.6366104116663337</x:v>
      </x:c>
      <x:c r="C1814" s="83" t="n">
        <x:v>1.8680118471193903</x:v>
      </x:c>
      <x:c r="D1814" s="83" t="n">
        <x:v>0.6621144488698607</x:v>
      </x:c>
      <x:c r="E1814" s="81" t="n">
        <x:v>0.07742395592018557</x:v>
      </x:c>
      <x:c r="F1814" s="81" t="n">
        <x:v>0.4867896631592885</x:v>
      </x:c>
      <x:c r="G1814" s="81" t="n">
        <x:v>0.006527248438226583</x:v>
      </x:c>
      <x:c r="H1814" s="59" t="n">
        <x:v>0</x:v>
      </x:c>
      <x:c r="I1814" s="81" t="n">
        <x:v>0</x:v>
      </x:c>
      <x:c r="J1814" s="79" t="n">
        <x:v>0.008933825201456401</x:v>
      </x:c>
      <x:c r="K1814" s="81" t="n">
        <x:v>9.210085944521602</x:v>
      </x:c>
      <x:c r="L1814" s="81" t="n">
        <x:v>-0.596600847731808</x:v>
      </x:c>
      <x:c r="M1814" s="80" t="n">
        <x:v>56367.58956817571</x:v>
      </x:c>
      <x:c r="N1814" s="82" t="n">
        <x:v>0.25374628650413944</x:v>
      </x:c>
      <x:c r="O1814" s="82" t="n">
        <x:v>0.11668418162441821</x:v>
      </x:c>
      <x:c r="P1814" s="80" t="n">
        <x:v>68774.04944297239</x:v>
      </x:c>
      <x:c r="Q1814" s="81" t="n">
        <x:v>0.0037161949240390314</x:v>
      </x:c>
      <x:c r="R1814" s="81" t="n">
        <x:v>82.90593560729384</x:v>
      </x:c>
      <x:c r="S1814" s="81" t="n">
        <x:v>95.38126140939208</x:v>
      </x:c>
      <x:c r="T1814" s="81" t="n">
        <x:v>193.5261583620599</x:v>
      </x:c>
    </x:row>
    <x:row r="1815">
      <x:c r="A1815" s="59" t="n">
        <x:v>1812</x:v>
      </x:c>
      <x:c r="B1815" s="193" t="n">
        <x:v>0.8562137128785252</x:v>
      </x:c>
      <x:c r="C1815" s="83" t="n">
        <x:v>2.2492098575278687</x:v>
      </x:c>
      <x:c r="D1815" s="83" t="n">
        <x:v>0.6106788109373152</x:v>
      </x:c>
      <x:c r="E1815" s="81" t="n">
        <x:v>-0.02798907698626277</x:v>
      </x:c>
      <x:c r="F1815" s="81" t="n">
        <x:v>0.830691620032303</x:v>
      </x:c>
      <x:c r="G1815" s="81" t="n">
        <x:v>-0.013913875504244003</x:v>
      </x:c>
      <x:c r="H1815" s="59" t="n">
        <x:v>0</x:v>
      </x:c>
      <x:c r="I1815" s="81" t="n">
        <x:v>0</x:v>
      </x:c>
      <x:c r="J1815" s="79" t="n">
        <x:v>2.8427170504279116e-14</x:v>
      </x:c>
      <x:c r="K1815" s="81" t="n">
        <x:v>-0.9999999999675118</x:v>
      </x:c>
      <x:c r="L1815" s="81" t="n">
        <x:v>-0.9999999999675118</x:v>
      </x:c>
      <x:c r="M1815" s="80" t="n">
        <x:v>0.09596757572766519</x:v>
      </x:c>
      <x:c r="N1815" s="82" t="n">
        <x:v>0.30605991041478103</x:v>
      </x:c>
      <x:c r="O1815" s="82" t="n">
        <x:v>0.24016914832025008</x:v>
      </x:c>
      <x:c r="P1815" s="80" t="n">
        <x:v>1315.9762719093042</x:v>
      </x:c>
      <x:c r="Q1815" s="81" t="n">
        <x:v>125.22615109901197</x:v>
      </x:c>
      <x:c r="R1815" s="81" t="n">
        <x:v>3.3234103994705455</x:v>
      </x:c>
      <x:c r="S1815" s="81" t="n">
        <x:v>0.000006852253859876023</x:v>
      </x:c>
      <x:c r="T1815" s="81" t="n">
        <x:v>6.157945758665116e-10</x:v>
      </x:c>
    </x:row>
    <x:row r="1816">
      <x:c r="A1816" s="59" t="n">
        <x:v>1813</x:v>
      </x:c>
      <x:c r="B1816" s="193" t="n">
        <x:v>0.3873171150684357</x:v>
      </x:c>
      <x:c r="C1816" s="83" t="n">
        <x:v>0.28317839349156915</x:v>
      </x:c>
      <x:c r="D1816" s="83" t="n">
        <x:v>0.3708343576954345</x:v>
      </x:c>
      <x:c r="E1816" s="81" t="n">
        <x:v>-0.10294534112666016</x:v>
      </x:c>
      <x:c r="F1816" s="81" t="n">
        <x:v>0.6516583278076724</x:v>
      </x:c>
      <x:c r="G1816" s="81" t="n">
        <x:v>-0.0023613474955829915</x:v>
      </x:c>
      <x:c r="H1816" s="59" t="n">
        <x:v>58</x:v>
      </x:c>
      <x:c r="I1816" s="81" t="n">
        <x:v>0.2069985492154956</x:v>
      </x:c>
      <x:c r="J1816" s="79" t="n">
        <x:v>6.160468084230775e-25</x:v>
      </x:c>
      <x:c r="K1816" s="81" t="n">
        <x:v>-1</x:v>
      </x:c>
      <x:c r="L1816" s="81" t="n">
        <x:v>-1</x:v>
      </x:c>
      <x:c r="M1816" s="80" t="n">
        <x:v>0.000002</x:v>
      </x:c>
      <x:c r="N1816" s="82" t="n">
        <x:v>0.19435994900520898</x:v>
      </x:c>
      <x:c r="O1816" s="82" t="n">
        <x:v>0.11964585786396326</x:v>
      </x:c>
      <x:c r="P1816" s="80" t="n">
        <x:v>175.5898193407404</x:v>
      </x:c>
      <x:c r="Q1816" s="81" t="n">
        <x:v>35134063.55687879</x:v>
      </x:c>
      <x:c r="R1816" s="81" t="n">
        <x:v>11.827912039633311</x:v>
      </x:c>
      <x:c r="S1816" s="81" t="n">
        <x:v>2.459830123405285e-10</x:v>
      </x:c>
      <x:c r="T1816" s="81" t="n">
        <x:v>1.334491883565066e-20</x:v>
      </x:c>
    </x:row>
    <x:row r="1817">
      <x:c r="A1817" s="59" t="n">
        <x:v>1814</x:v>
      </x:c>
      <x:c r="B1817" s="193" t="n">
        <x:v>0.5701797015964984</x:v>
      </x:c>
      <x:c r="C1817" s="83" t="n">
        <x:v>0.3463008110900174</x:v>
      </x:c>
      <x:c r="D1817" s="83" t="n">
        <x:v>0.3501455201239439</x:v>
      </x:c>
      <x:c r="E1817" s="81" t="n">
        <x:v>-0.2</x:v>
      </x:c>
      <x:c r="F1817" s="81" t="n">
        <x:v>0.4356989423977211</x:v>
      </x:c>
      <x:c r="G1817" s="81" t="n">
        <x:v>0.012098833083984578</x:v>
      </x:c>
      <x:c r="H1817" s="59" t="n">
        <x:v>0</x:v>
      </x:c>
      <x:c r="I1817" s="81" t="n">
        <x:v>0</x:v>
      </x:c>
      <x:c r="J1817" s="79" t="n">
        <x:v>1.4341076336801658e-35</x:v>
      </x:c>
      <x:c r="K1817" s="81" t="n">
        <x:v>-1</x:v>
      </x:c>
      <x:c r="L1817" s="81" t="n">
        <x:v>-1</x:v>
      </x:c>
      <x:c r="M1817" s="80" t="n">
        <x:v>0.000002</x:v>
      </x:c>
      <x:c r="N1817" s="82" t="n">
        <x:v>0.23792124578969087</x:v>
      </x:c>
      <x:c r="O1817" s="82" t="n">
        <x:v>0.09792434443602607</x:v>
      </x:c>
      <x:c r="P1817" s="80" t="n">
        <x:v>110.51629097778041</x:v>
      </x:c>
      <x:c r="Q1817" s="81" t="n">
        <x:v>845209371775465300</x:v>
      </x:c>
      <x:c r="R1817" s="81" t="n">
        <x:v>5.882580573689016</x:v>
      </x:c>
      <x:c r="S1817" s="81" t="n">
        <x:v>2.637279444936003e-10</x:v>
      </x:c>
      <x:c r="T1817" s="81" t="n">
        <x:v>3.10659023168018e-31</x:v>
      </x:c>
    </x:row>
    <x:row r="1818">
      <x:c r="A1818" s="59" t="n">
        <x:v>1815</x:v>
      </x:c>
      <x:c r="B1818" s="193" t="n">
        <x:v>0.6358416970819235</x:v>
      </x:c>
      <x:c r="C1818" s="83" t="n">
        <x:v>0.36021717214761517</x:v>
      </x:c>
      <x:c r="D1818" s="83" t="n">
        <x:v>0.1358656616860723</x:v>
      </x:c>
      <x:c r="E1818" s="81" t="n">
        <x:v>-0.18610855497563886</x:v>
      </x:c>
      <x:c r="F1818" s="81" t="n">
        <x:v>0.697211466776207</x:v>
      </x:c>
      <x:c r="G1818" s="81" t="n">
        <x:v>0.017910275851187523</x:v>
      </x:c>
      <x:c r="H1818" s="59" t="n">
        <x:v>0</x:v>
      </x:c>
      <x:c r="I1818" s="81" t="n">
        <x:v>0</x:v>
      </x:c>
      <x:c r="J1818" s="79" t="n">
        <x:v>8.839626864401452e-22</x:v>
      </x:c>
      <x:c r="K1818" s="81" t="n">
        <x:v>-1</x:v>
      </x:c>
      <x:c r="L1818" s="81" t="n">
        <x:v>-1</x:v>
      </x:c>
      <x:c r="M1818" s="80" t="n">
        <x:v>0.000007262853733303231</x:v>
      </x:c>
      <x:c r="N1818" s="82" t="n">
        <x:v>0.2535631642767345</x:v>
      </x:c>
      <x:c r="O1818" s="82" t="n">
        <x:v>0.16700198214827108</x:v>
      </x:c>
      <x:c r="P1818" s="80" t="n">
        <x:v>90.8870494720744</x:v>
      </x:c>
      <x:c r="Q1818" s="81" t="n">
        <x:v>52892.763592693635</x:v>
      </x:c>
      <x:c r="R1818" s="81" t="n">
        <x:v>11.379950985884394</x:v>
      </x:c>
      <x:c r="S1818" s="81" t="n">
        <x:v>4.188531201238512e-10</x:v>
      </x:c>
      <x:c r="T1818" s="81" t="n">
        <x:v>1.914856167258337e-17</x:v>
      </x:c>
    </x:row>
    <x:row r="1819">
      <x:c r="A1819" s="59" t="n">
        <x:v>1816</x:v>
      </x:c>
      <x:c r="B1819" s="193" t="n">
        <x:v>0.7940424613654613</x:v>
      </x:c>
      <x:c r="C1819" s="83" t="n">
        <x:v>0.17462013661177878</x:v>
      </x:c>
      <x:c r="D1819" s="83" t="n">
        <x:v>1.1133462162236794</x:v>
      </x:c>
      <x:c r="E1819" s="81" t="n">
        <x:v>-0.09150077398004652</x:v>
      </x:c>
      <x:c r="F1819" s="81" t="n">
        <x:v>0.863217345578596</x:v>
      </x:c>
      <x:c r="G1819" s="81" t="n">
        <x:v>-0.008109327183026989</x:v>
      </x:c>
      <x:c r="H1819" s="59" t="n">
        <x:v>0</x:v>
      </x:c>
      <x:c r="I1819" s="81" t="n">
        <x:v>0</x:v>
      </x:c>
      <x:c r="J1819" s="79" t="n">
        <x:v>2.297528956859497e-41</x:v>
      </x:c>
      <x:c r="K1819" s="81" t="n">
        <x:v>-1</x:v>
      </x:c>
      <x:c r="L1819" s="81" t="n">
        <x:v>-1</x:v>
      </x:c>
      <x:c r="M1819" s="80" t="n">
        <x:v>0.000002</x:v>
      </x:c>
      <x:c r="N1819" s="82" t="n">
        <x:v>0.29124955259340357</x:v>
      </x:c>
      <x:c r="O1819" s="82" t="n">
        <x:v>0.23749603707135813</x:v>
      </x:c>
      <x:c r="P1819" s="80" t="n">
        <x:v>212.25559897997593</x:v>
      </x:c>
      <x:c r="Q1819" s="81" t="n">
        <x:v>1.0488975903338771e+24</x:v>
      </x:c>
      <x:c r="R1819" s="81" t="n">
        <x:v>7.376116200212938</x:v>
      </x:c>
      <x:c r="S1819" s="81" t="n">
        <x:v>7.51991987805277e-10</x:v>
      </x:c>
      <x:c r="T1819" s="81" t="n">
        <x:v>4.976949321485771e-37</x:v>
      </x:c>
    </x:row>
    <x:row r="1820">
      <x:c r="A1820" s="59" t="n">
        <x:v>1817</x:v>
      </x:c>
      <x:c r="B1820" s="193" t="n">
        <x:v>0.21800233758985998</x:v>
      </x:c>
      <x:c r="C1820" s="83" t="n">
        <x:v>0.2128471004993741</x:v>
      </x:c>
      <x:c r="D1820" s="83" t="n">
        <x:v>0.22140218854749505</x:v>
      </x:c>
      <x:c r="E1820" s="81" t="n">
        <x:v>0.014004964566343255</x:v>
      </x:c>
      <x:c r="F1820" s="81" t="n">
        <x:v>0.5653040904668161</x:v>
      </x:c>
      <x:c r="G1820" s="81" t="n">
        <x:v>-0.03639872677850445</x:v>
      </x:c>
      <x:c r="H1820" s="59" t="n">
        <x:v>0</x:v>
      </x:c>
      <x:c r="I1820" s="81" t="n">
        <x:v>0</x:v>
      </x:c>
      <x:c r="J1820" s="79" t="n">
        <x:v>0.000006214475237733117</x:v>
      </x:c>
      <x:c r="K1820" s="81" t="n">
        <x:v>-0.9928977425854478</x:v>
      </x:c>
      <x:c r="L1820" s="81" t="n">
        <x:v>-0.9928977425854478</x:v>
      </x:c>
      <x:c r="M1820" s="80" t="n">
        <x:v>520.4391000793709</x:v>
      </x:c>
      <x:c r="N1820" s="82" t="n">
        <x:v>0.15402599435773437</x:v>
      </x:c>
      <x:c r="O1820" s="82" t="n">
        <x:v>0.08225211821022144</x:v>
      </x:c>
      <x:c r="P1820" s="80" t="n">
        <x:v>582.5810829916176</x:v>
      </x:c>
      <x:c r="Q1820" s="81" t="n">
        <x:v>0.00658650216299805</x:v>
      </x:c>
      <x:c r="R1820" s="81" t="n">
        <x:v>58.83913813220003</x:v>
      </x:c>
      <x:c r="S1820" s="81" t="n">
        <x:v>0.5691473774695434</x:v>
      </x:c>
      <x:c r="T1820" s="81" t="n">
        <x:v>0.13461910121082063</x:v>
      </x:c>
    </x:row>
    <x:row r="1821">
      <x:c r="A1821" s="59" t="n">
        <x:v>1818</x:v>
      </x:c>
      <x:c r="B1821" s="193" t="n">
        <x:v>0.4750720513984561</x:v>
      </x:c>
      <x:c r="C1821" s="83" t="n">
        <x:v>0.14624850659403585</x:v>
      </x:c>
      <x:c r="D1821" s="83" t="n">
        <x:v>1.8604255714523534</x:v>
      </x:c>
      <x:c r="E1821" s="81" t="n">
        <x:v>-0.015243515082798604</x:v>
      </x:c>
      <x:c r="F1821" s="81" t="n">
        <x:v>0.5609803612111137</x:v>
      </x:c>
      <x:c r="G1821" s="81" t="n">
        <x:v>-0.0089422725312668</x:v>
      </x:c>
      <x:c r="H1821" s="59" t="n">
        <x:v>58</x:v>
      </x:c>
      <x:c r="I1821" s="81" t="n">
        <x:v>0.13987599862739444</x:v>
      </x:c>
      <x:c r="J1821" s="79" t="n">
        <x:v>8.14481816420918e-21</x:v>
      </x:c>
      <x:c r="K1821" s="81" t="n">
        <x:v>-1</x:v>
      </x:c>
      <x:c r="L1821" s="81" t="n">
        <x:v>-1</x:v>
      </x:c>
      <x:c r="M1821" s="80" t="n">
        <x:v>0.00001851936396186646</x:v>
      </x:c>
      <x:c r="N1821" s="82" t="n">
        <x:v>0.21526482024407587</x:v>
      </x:c>
      <x:c r="O1821" s="82" t="n">
        <x:v>0.11407531073395831</x:v>
      </x:c>
      <x:c r="P1821" s="80" t="n">
        <x:v>947.0149884743205</x:v>
      </x:c>
      <x:c r="Q1821" s="81" t="n">
        <x:v>152965.86783103403</x:v>
      </x:c>
      <x:c r="R1821" s="81" t="n">
        <x:v>29.092811675086242</x:v>
      </x:c>
      <x:c r="S1821" s="81" t="n">
        <x:v>1.2396533201244262e-8</x:v>
      </x:c>
      <x:c r="T1821" s="81" t="n">
        <x:v>1.7643454335998967e-16</x:v>
      </x:c>
    </x:row>
    <x:row r="1822">
      <x:c r="A1822" s="59" t="n">
        <x:v>1819</x:v>
      </x:c>
      <x:c r="B1822" s="193" t="n">
        <x:v>0.45014999601989986</x:v>
      </x:c>
      <x:c r="C1822" s="83" t="n">
        <x:v>0.6941080799684766</x:v>
      </x:c>
      <x:c r="D1822" s="83" t="n">
        <x:v>0.2586603366870521</x:v>
      </x:c>
      <x:c r="E1822" s="81" t="n">
        <x:v>-0.13836056186664783</x:v>
      </x:c>
      <x:c r="F1822" s="81" t="n">
        <x:v>0.8598039041389711</x:v>
      </x:c>
      <x:c r="G1822" s="81" t="n">
        <x:v>0.026641352545381542</x:v>
      </x:c>
      <x:c r="H1822" s="59" t="n">
        <x:v>0</x:v>
      </x:c>
      <x:c r="I1822" s="81" t="n">
        <x:v>0</x:v>
      </x:c>
      <x:c r="J1822" s="79" t="n">
        <x:v>2.0772913376468315e-26</x:v>
      </x:c>
      <x:c r="K1822" s="81" t="n">
        <x:v>-1</x:v>
      </x:c>
      <x:c r="L1822" s="81" t="n">
        <x:v>-1</x:v>
      </x:c>
      <x:c r="M1822" s="80" t="n">
        <x:v>0.000002</x:v>
      </x:c>
      <x:c r="N1822" s="82" t="n">
        <x:v>0.20932791936436557</x:v>
      </x:c>
      <x:c r="O1822" s="82" t="n">
        <x:v>0.1700190211167276</x:v>
      </x:c>
      <x:c r="P1822" s="80" t="n">
        <x:v>169.91460763606707</x:v>
      </x:c>
      <x:c r="Q1822" s="81" t="n">
        <x:v>800138035.0445306</x:v>
      </x:c>
      <x:c r="R1822" s="81" t="n">
        <x:v>5.068146750947809</x:v>
      </x:c>
      <x:c r="S1822" s="81" t="n">
        <x:v>1.8417089452578082e-10</x:v>
      </x:c>
      <x:c r="T1822" s="81" t="n">
        <x:v>4.499866555571737e-22</x:v>
      </x:c>
    </x:row>
    <x:row r="1823">
      <x:c r="A1823" s="59" t="n">
        <x:v>1820</x:v>
      </x:c>
      <x:c r="B1823" s="193" t="n">
        <x:v>0.9907004514709115</x:v>
      </x:c>
      <x:c r="C1823" s="83" t="n">
        <x:v>1.332105037314185</x:v>
      </x:c>
      <x:c r="D1823" s="83" t="n">
        <x:v>1.4754204043699668</x:v>
      </x:c>
      <x:c r="E1823" s="81" t="n">
        <x:v>-0.051876957223043786</x:v>
      </x:c>
      <x:c r="F1823" s="81" t="n">
        <x:v>0.4729248060612008</x:v>
      </x:c>
      <x:c r="G1823" s="81" t="n">
        <x:v>-0.0029006317502327118</x:v>
      </x:c>
      <x:c r="H1823" s="59" t="n">
        <x:v>0</x:v>
      </x:c>
      <x:c r="I1823" s="81" t="n">
        <x:v>0</x:v>
      </x:c>
      <x:c r="J1823" s="79" t="n">
        <x:v>9.809411584145637e-36</x:v>
      </x:c>
      <x:c r="K1823" s="81" t="n">
        <x:v>-1</x:v>
      </x:c>
      <x:c r="L1823" s="81" t="n">
        <x:v>-1</x:v>
      </x:c>
      <x:c r="M1823" s="80" t="n">
        <x:v>0.000002</x:v>
      </x:c>
      <x:c r="N1823" s="82" t="n">
        <x:v>0.33809717317383625</x:v>
      </x:c>
      <x:c r="O1823" s="82" t="n">
        <x:v>0.1510443817618296</x:v>
      </x:c>
      <x:c r="P1823" s="80" t="n">
        <x:v>746.2720894687217</x:v>
      </x:c>
      <x:c r="Q1823" s="81" t="n">
        <x:v>4175825002065224700</x:v>
      </x:c>
      <x:c r="R1823" s="81" t="n">
        <x:v>2.1396563885388336</x:v>
      </x:c>
      <x:c r="S1823" s="81" t="n">
        <x:v>5.349618569214663e-10</x:v>
      </x:c>
      <x:c r="T1823" s="81" t="n">
        <x:v>2.1249327100809153e-31</x:v>
      </x:c>
    </x:row>
    <x:row r="1824">
      <x:c r="A1824" s="59" t="n">
        <x:v>1821</x:v>
      </x:c>
      <x:c r="B1824" s="193" t="n">
        <x:v>0.8571785958483815</x:v>
      </x:c>
      <x:c r="C1824" s="83" t="n">
        <x:v>0.7467996025982001</x:v>
      </x:c>
      <x:c r="D1824" s="83" t="n">
        <x:v>0.7950178018706353</x:v>
      </x:c>
      <x:c r="E1824" s="81" t="n">
        <x:v>-0.014729824675308135</x:v>
      </x:c>
      <x:c r="F1824" s="81" t="n">
        <x:v>0.4096918755560182</x:v>
      </x:c>
      <x:c r="G1824" s="81" t="n">
        <x:v>0.02864189947659115</x:v>
      </x:c>
      <x:c r="H1824" s="59" t="n">
        <x:v>31</x:v>
      </x:c>
      <x:c r="I1824" s="81" t="n">
        <x:v>0.1557701837271452</x:v>
      </x:c>
      <x:c r="J1824" s="79" t="n">
        <x:v>1.9683498759278414e-13</x:v>
      </x:c>
      <x:c r="K1824" s="81" t="n">
        <x:v>-0.9999999997750457</x:v>
      </x:c>
      <x:c r="L1824" s="81" t="n">
        <x:v>-0.9999999997750457</x:v>
      </x:c>
      <x:c r="M1824" s="80" t="n">
        <x:v>0.1353789353080096</x:v>
      </x:c>
      <x:c r="N1824" s="82" t="n">
        <x:v>0.30628976362975646</x:v>
      </x:c>
      <x:c r="O1824" s="82" t="n">
        <x:v>0.11853886818262044</x:v>
      </x:c>
      <x:c r="P1824" s="80" t="n">
        <x:v>1166.8421777113047</x:v>
      </x:c>
      <x:c r="Q1824" s="81" t="n">
        <x:v>47.84251383236777</x:v>
      </x:c>
      <x:c r="R1824" s="81" t="n">
        <x:v>10.567559220426103</x:v>
      </x:c>
      <x:c r="S1824" s="81" t="n">
        <x:v>0.00003930062084218999</x:v>
      </x:c>
      <x:c r="T1824" s="81" t="n">
        <x:v>4.263875565179552e-9</x:v>
      </x:c>
    </x:row>
    <x:row r="1825">
      <x:c r="A1825" s="59" t="n">
        <x:v>1822</x:v>
      </x:c>
      <x:c r="B1825" s="193" t="n">
        <x:v>0.2723478071391583</x:v>
      </x:c>
      <x:c r="C1825" s="83" t="n">
        <x:v>0.6040878348359582</x:v>
      </x:c>
      <x:c r="D1825" s="83" t="n">
        <x:v>0.44602505043217444</x:v>
      </x:c>
      <x:c r="E1825" s="81" t="n">
        <x:v>0.13663511437889478</x:v>
      </x:c>
      <x:c r="F1825" s="81" t="n">
        <x:v>0.7367123286938295</x:v>
      </x:c>
      <x:c r="G1825" s="81" t="n">
        <x:v>-0.0004530534355581769</x:v>
      </x:c>
      <x:c r="H1825" s="59" t="n">
        <x:v>0</x:v>
      </x:c>
      <x:c r="I1825" s="81" t="n">
        <x:v>0</x:v>
      </x:c>
      <x:c r="J1825" s="79" t="n">
        <x:v>0.0035041301237973693</x:v>
      </x:c>
      <x:c r="K1825" s="81" t="n">
        <x:v>3.004720141482708</x:v>
      </x:c>
      <x:c r="L1825" s="81" t="n">
        <x:v>-0.7179318787919473</x:v>
      </x:c>
      <x:c r="M1825" s="80" t="n">
        <x:v>20294.062088872357</x:v>
      </x:c>
      <x:c r="N1825" s="82" t="n">
        <x:v>0.16697210418193137</x:v>
      </x:c>
      <x:c r="O1825" s="82" t="n">
        <x:v>0.11620178509513297</x:v>
      </x:c>
      <x:c r="P1825" s="80" t="n">
        <x:v>17346.043043543956</x:v>
      </x:c>
      <x:c r="Q1825" s="81" t="n">
        <x:v>0.002157016037118816</x:v>
      </x:c>
      <x:c r="R1825" s="81" t="n">
        <x:v>177.32909264117714</x:v>
      </x:c>
      <x:c r="S1825" s="81" t="n">
        <x:v>110.45453156720332</x:v>
      </x:c>
      <x:c r="T1825" s="81" t="n">
        <x:v>75.9071087655401</x:v>
      </x:c>
    </x:row>
    <x:row r="1826">
      <x:c r="A1826" s="59" t="n">
        <x:v>1823</x:v>
      </x:c>
      <x:c r="B1826" s="193" t="n">
        <x:v>0.2420159621164203</x:v>
      </x:c>
      <x:c r="C1826" s="83" t="n">
        <x:v>2.5566169356500015</x:v>
      </x:c>
      <x:c r="D1826" s="83" t="n">
        <x:v>1.1425344094984724</x:v>
      </x:c>
      <x:c r="E1826" s="81" t="n">
        <x:v>-0.04481125982926043</x:v>
      </x:c>
      <x:c r="F1826" s="81" t="n">
        <x:v>0.5629562526126393</x:v>
      </x:c>
      <x:c r="G1826" s="81" t="n">
        <x:v>-0.01188271061363328</x:v>
      </x:c>
      <x:c r="H1826" s="59" t="n">
        <x:v>33</x:v>
      </x:c>
      <x:c r="I1826" s="81" t="n">
        <x:v>0.2499846598133445</x:v>
      </x:c>
      <x:c r="J1826" s="79" t="n">
        <x:v>3.819248932841563e-28</x:v>
      </x:c>
      <x:c r="K1826" s="81" t="n">
        <x:v>-1</x:v>
      </x:c>
      <x:c r="L1826" s="81" t="n">
        <x:v>-1</x:v>
      </x:c>
      <x:c r="M1826" s="80" t="n">
        <x:v>0.000002</x:v>
      </x:c>
      <x:c r="N1826" s="82" t="n">
        <x:v>0.15974648997542082</x:v>
      </x:c>
      <x:c r="O1826" s="82" t="n">
        <x:v>0.08495264660100173</x:v>
      </x:c>
      <x:c r="P1826" s="80" t="n">
        <x:v>1282.3877315568986</x:v>
      </x:c>
      <x:c r="Q1826" s="81" t="n">
        <x:v>123329657531.37889</x:v>
      </x:c>
      <x:c r="R1826" s="81" t="n">
        <x:v>1.9621103159729738</x:v>
      </x:c>
      <x:c r="S1826" s="81" t="n">
        <x:v>2.4331732450840963e-10</x:v>
      </x:c>
      <x:c r="T1826" s="81" t="n">
        <x:v>8.273327014286463e-24</x:v>
      </x:c>
    </x:row>
    <x:row r="1827">
      <x:c r="A1827" s="59" t="n">
        <x:v>1824</x:v>
      </x:c>
      <x:c r="B1827" s="193" t="n">
        <x:v>0.5423389257863165</x:v>
      </x:c>
      <x:c r="C1827" s="83" t="n">
        <x:v>2.4586147374413527</x:v>
      </x:c>
      <x:c r="D1827" s="83" t="n">
        <x:v>0.28092423248592047</x:v>
      </x:c>
      <x:c r="E1827" s="81" t="n">
        <x:v>-0.07794287991295923</x:v>
      </x:c>
      <x:c r="F1827" s="81" t="n">
        <x:v>0.6973844652529806</x:v>
      </x:c>
      <x:c r="G1827" s="81" t="n">
        <x:v>-0.04069607501429971</x:v>
      </x:c>
      <x:c r="H1827" s="59" t="n">
        <x:v>0</x:v>
      </x:c>
      <x:c r="I1827" s="81" t="n">
        <x:v>0</x:v>
      </x:c>
      <x:c r="J1827" s="79" t="n">
        <x:v>8.064935127847299e-15</x:v>
      </x:c>
      <x:c r="K1827" s="81" t="n">
        <x:v>-0.9999999999907829</x:v>
      </x:c>
      <x:c r="L1827" s="81" t="n">
        <x:v>-0.9999999999907829</x:v>
      </x:c>
      <x:c r="M1827" s="80" t="n">
        <x:v>0.05450982532334179</x:v>
      </x:c>
      <x:c r="N1827" s="82" t="n">
        <x:v>0.23128905097715938</x:v>
      </x:c>
      <x:c r="O1827" s="82" t="n">
        <x:v>0.1523695850754547</x:v>
      </x:c>
      <x:c r="P1827" s="80" t="n">
        <x:v>599.2597731329428</x:v>
      </x:c>
      <x:c r="Q1827" s="81" t="n">
        <x:v>94.41479722393866</x:v>
      </x:c>
      <x:c r="R1827" s="81" t="n">
        <x:v>2.622626982137275</x:v>
      </x:c>
      <x:c r="S1827" s="81" t="n">
        <x:v>0.0000012004305710350934</x:v>
      </x:c>
      <x:c r="T1827" s="81" t="n">
        <x:v>1.747041023902143e-10</x:v>
      </x:c>
    </x:row>
    <x:row r="1828">
      <x:c r="A1828" s="59" t="n">
        <x:v>1825</x:v>
      </x:c>
      <x:c r="B1828" s="193" t="n">
        <x:v>0.6231343945488335</x:v>
      </x:c>
      <x:c r="C1828" s="83" t="n">
        <x:v>0.7345707671745635</x:v>
      </x:c>
      <x:c r="D1828" s="83" t="n">
        <x:v>2.481324404136486</x:v>
      </x:c>
      <x:c r="E1828" s="81" t="n">
        <x:v>0.008503380984286593</x:v>
      </x:c>
      <x:c r="F1828" s="81" t="n">
        <x:v>0.45925761403050275</x:v>
      </x:c>
      <x:c r="G1828" s="81" t="n">
        <x:v>-0.020809742179142658</x:v>
      </x:c>
      <x:c r="H1828" s="59" t="n">
        <x:v>0</x:v>
      </x:c>
      <x:c r="I1828" s="81" t="n">
        <x:v>0</x:v>
      </x:c>
      <x:c r="J1828" s="79" t="n">
        <x:v>0.00029907611363003367</x:v>
      </x:c>
      <x:c r="K1828" s="81" t="n">
        <x:v>-0.6581987272799614</x:v>
      </x:c>
      <x:c r="L1828" s="81" t="n">
        <x:v>-0.7870630008625542</x:v>
      </x:c>
      <x:c r="M1828" s="80" t="n">
        <x:v>5491.746040454292</x:v>
      </x:c>
      <x:c r="N1828" s="82" t="n">
        <x:v>0.25053604655142997</x:v>
      </x:c>
      <x:c r="O1828" s="82" t="n">
        <x:v>0.10869198671788487</x:v>
      </x:c>
      <x:c r="P1828" s="80" t="n">
        <x:v>29701.821593405304</x:v>
      </x:c>
      <x:c r="Q1828" s="81" t="n">
        <x:v>0.025992106661228385</x:v>
      </x:c>
      <x:c r="R1828" s="81" t="n">
        <x:v>44.3227004675409</x:v>
      </x:c>
      <x:c r="S1828" s="81" t="n">
        <x:v>10.245114653284102</x:v>
      </x:c>
      <x:c r="T1828" s="81" t="n">
        <x:v>6.478641569933538</x:v>
      </x:c>
    </x:row>
    <x:row r="1829">
      <x:c r="A1829" s="59" t="n">
        <x:v>1826</x:v>
      </x:c>
      <x:c r="B1829" s="193" t="n">
        <x:v>0.5034412464126945</x:v>
      </x:c>
      <x:c r="C1829" s="83" t="n">
        <x:v>0.3994185227130785</x:v>
      </x:c>
      <x:c r="D1829" s="83" t="n">
        <x:v>0.8114433406404544</x:v>
      </x:c>
      <x:c r="E1829" s="81" t="n">
        <x:v>-0.18612096978846435</x:v>
      </x:c>
      <x:c r="F1829" s="81" t="n">
        <x:v>0.5719808229594492</x:v>
      </x:c>
      <x:c r="G1829" s="81" t="n">
        <x:v>-0.023967781659951407</x:v>
      </x:c>
      <x:c r="H1829" s="59" t="n">
        <x:v>69</x:v>
      </x:c>
      <x:c r="I1829" s="81" t="n">
        <x:v>0.36824240460991864</x:v>
      </x:c>
      <x:c r="J1829" s="79" t="n">
        <x:v>5.044000163453673e-50</x:v>
      </x:c>
      <x:c r="K1829" s="81" t="n">
        <x:v>-1</x:v>
      </x:c>
      <x:c r="L1829" s="81" t="n">
        <x:v>-1</x:v>
      </x:c>
      <x:c r="M1829" s="80" t="n">
        <x:v>0.000002</x:v>
      </x:c>
      <x:c r="N1829" s="82" t="n">
        <x:v>0.22202289441887404</x:v>
      </x:c>
      <x:c r="O1829" s="82" t="n">
        <x:v>0.11996378786426645</x:v>
      </x:c>
      <x:c r="P1829" s="80" t="n">
        <x:v>144.45943081428663</x:v>
      </x:c>
      <x:c r="Q1829" s="81" t="n">
        <x:v>2.552427330905976e+32</x:v>
      </x:c>
      <x:c r="R1829" s="81" t="n">
        <x:v>2.477619563343183</x:v>
      </x:c>
      <x:c r="S1829" s="81" t="n">
        <x:v>3.78119051035697e-10</x:v>
      </x:c>
      <x:c r="T1829" s="81" t="n">
        <x:v>1.092640556982981e-45</x:v>
      </x:c>
    </x:row>
    <x:row r="1830">
      <x:c r="A1830" s="59" t="n">
        <x:v>1827</x:v>
      </x:c>
      <x:c r="B1830" s="193" t="n">
        <x:v>0.6993091909214855</x:v>
      </x:c>
      <x:c r="C1830" s="83" t="n">
        <x:v>0.5438182506707814</x:v>
      </x:c>
      <x:c r="D1830" s="83" t="n">
        <x:v>0.8173415629731245</x:v>
      </x:c>
      <x:c r="E1830" s="81" t="n">
        <x:v>-0.11896102299441202</x:v>
      </x:c>
      <x:c r="F1830" s="81" t="n">
        <x:v>0.4307147245737724</x:v>
      </x:c>
      <x:c r="G1830" s="81" t="n">
        <x:v>-0.05</x:v>
      </x:c>
      <x:c r="H1830" s="59" t="n">
        <x:v>56</x:v>
      </x:c>
      <x:c r="I1830" s="81" t="n">
        <x:v>0.38318710802122957</x:v>
      </x:c>
      <x:c r="J1830" s="79" t="n">
        <x:v>1.0672182251517363e-34</x:v>
      </x:c>
      <x:c r="K1830" s="81" t="n">
        <x:v>-1</x:v>
      </x:c>
      <x:c r="L1830" s="81" t="n">
        <x:v>-1</x:v>
      </x:c>
      <x:c r="M1830" s="80" t="n">
        <x:v>0.000002</x:v>
      </x:c>
      <x:c r="N1830" s="82" t="n">
        <x:v>0.2686823113248275</x:v>
      </x:c>
      <x:c r="O1830" s="82" t="n">
        <x:v>0.10932002855323346</x:v>
      </x:c>
      <x:c r="P1830" s="80" t="n">
        <x:v>225.51272444950501</x:v>
      </x:c>
      <x:c r="Q1830" s="81" t="n">
        <x:v>178054041819965660</x:v>
      </x:c>
      <x:c r="R1830" s="81" t="n">
        <x:v>2.9913446836344377</x:v>
      </x:c>
      <x:c r="S1830" s="81" t="n">
        <x:v>2.484746287542012e-10</x:v>
      </x:c>
      <x:c r="T1830" s="81" t="n">
        <x:v>2.3118276728083057e-30</x:v>
      </x:c>
    </x:row>
    <x:row r="1831">
      <x:c r="A1831" s="59" t="n">
        <x:v>1828</x:v>
      </x:c>
      <x:c r="B1831" s="193" t="n">
        <x:v>0.6925353337079287</x:v>
      </x:c>
      <x:c r="C1831" s="83" t="n">
        <x:v>1.6287181412289389</x:v>
      </x:c>
      <x:c r="D1831" s="83" t="n">
        <x:v>0.9255308877658605</x:v>
      </x:c>
      <x:c r="E1831" s="81" t="n">
        <x:v>-0.01288455234496339</x:v>
      </x:c>
      <x:c r="F1831" s="81" t="n">
        <x:v>0.342345102771651</x:v>
      </x:c>
      <x:c r="G1831" s="81" t="n">
        <x:v>-0.02961497506976528</x:v>
      </x:c>
      <x:c r="H1831" s="59" t="n">
        <x:v>0</x:v>
      </x:c>
      <x:c r="I1831" s="81" t="n">
        <x:v>0</x:v>
      </x:c>
      <x:c r="J1831" s="79" t="n">
        <x:v>1.2665241967560998e-10</x:v>
      </x:c>
      <x:c r="K1831" s="81" t="n">
        <x:v>-0.9999998552543775</x:v>
      </x:c>
      <x:c r="L1831" s="81" t="n">
        <x:v>-0.9999998552543775</x:v>
      </x:c>
      <x:c r="M1831" s="80" t="n">
        <x:v>5.119071066270619</x:v>
      </x:c>
      <x:c r="N1831" s="82" t="n">
        <x:v>0.2670686515267357</x:v>
      </x:c>
      <x:c r="O1831" s="82" t="n">
        <x:v>0.0863690166793521</x:v>
      </x:c>
      <x:c r="P1831" s="80" t="n">
        <x:v>2411.310853737625</x:v>
      </x:c>
      <x:c r="Q1831" s="81" t="n">
        <x:v>3.1949617420353813</x:v>
      </x:c>
      <x:c r="R1831" s="81" t="n">
        <x:v>6.465701722073892</x:v>
      </x:c>
      <x:c r="S1831" s="81" t="n">
        <x:v>0.0005580263888069304</x:v>
      </x:c>
      <x:c r="T1831" s="81" t="n">
        <x:v>0.0000027435679201653095</x:v>
      </x:c>
    </x:row>
    <x:row r="1832">
      <x:c r="A1832" s="59" t="n">
        <x:v>1829</x:v>
      </x:c>
      <x:c r="B1832" s="193" t="n">
        <x:v>0.7555613610893488</x:v>
      </x:c>
      <x:c r="C1832" s="83" t="n">
        <x:v>1.0322770599015267</x:v>
      </x:c>
      <x:c r="D1832" s="83" t="n">
        <x:v>0.7600326426420938</x:v>
      </x:c>
      <x:c r="E1832" s="81" t="n">
        <x:v>-0.01813383493558748</x:v>
      </x:c>
      <x:c r="F1832" s="81" t="n">
        <x:v>0.652886656159535</x:v>
      </x:c>
      <x:c r="G1832" s="81" t="n">
        <x:v>-0.03313204379688027</x:v>
      </x:c>
      <x:c r="H1832" s="59" t="n">
        <x:v>89</x:v>
      </x:c>
      <x:c r="I1832" s="81" t="n">
        <x:v>0.23101424453780056</x:v>
      </x:c>
      <x:c r="J1832" s="79" t="n">
        <x:v>7.649876528618303e-12</x:v>
      </x:c>
      <x:c r="K1832" s="81" t="n">
        <x:v>-0.999999991257284</x:v>
      </x:c>
      <x:c r="L1832" s="81" t="n">
        <x:v>-0.999999991257284</x:v>
      </x:c>
      <x:c r="M1832" s="80" t="n">
        <x:v>0.976636287364225</x:v>
      </x:c>
      <x:c r="N1832" s="82" t="n">
        <x:v>0.2820826329870033</x:v>
      </x:c>
      <x:c r="O1832" s="82" t="n">
        <x:v>0.17397429411440854</x:v>
      </x:c>
      <x:c r="P1832" s="80" t="n">
        <x:v>1107.8215708916377</x:v>
      </x:c>
      <x:c r="Q1832" s="81" t="n">
        <x:v>7.22053950291249</x:v>
      </x:c>
      <x:c r="R1832" s="81" t="n">
        <x:v>6.951568121486182</x:v>
      </x:c>
      <x:c r="S1832" s="81" t="n">
        <x:v>0.0001082374643373889</x:v>
      </x:c>
      <x:c r="T1832" s="81" t="n">
        <x:v>1.6571302696702036e-7</x:v>
      </x:c>
    </x:row>
    <x:row r="1833">
      <x:c r="A1833" s="59" t="n">
        <x:v>1830</x:v>
      </x:c>
      <x:c r="B1833" s="193" t="n">
        <x:v>0.75790175460279</x:v>
      </x:c>
      <x:c r="C1833" s="83" t="n">
        <x:v>0.24182367945826405</x:v>
      </x:c>
      <x:c r="D1833" s="83" t="n">
        <x:v>1.2603466189825594</x:v>
      </x:c>
      <x:c r="E1833" s="81" t="n">
        <x:v>0.0019792990537677467</x:v>
      </x:c>
      <x:c r="F1833" s="81" t="n">
        <x:v>0.7462904736748897</x:v>
      </x:c>
      <x:c r="G1833" s="81" t="n">
        <x:v>-0.03899518348312262</x:v>
      </x:c>
      <x:c r="H1833" s="59" t="n">
        <x:v>0</x:v>
      </x:c>
      <x:c r="I1833" s="81" t="n">
        <x:v>0</x:v>
      </x:c>
      <x:c r="J1833" s="79" t="n">
        <x:v>8.714951724850755e-7</x:v>
      </x:c>
      <x:c r="K1833" s="81" t="n">
        <x:v>-0.99900400551716</x:v>
      </x:c>
      <x:c r="L1833" s="81" t="n">
        <x:v>-0.99900400551716</x:v>
      </x:c>
      <x:c r="M1833" s="80" t="n">
        <x:v>199.6803828785767</x:v>
      </x:c>
      <x:c r="N1833" s="82" t="n">
        <x:v>0.2826401586042834</x:v>
      </x:c>
      <x:c r="O1833" s="82" t="n">
        <x:v>0.19925659651992944</x:v>
      </x:c>
      <x:c r="P1833" s="80" t="n">
        <x:v>1820.3163319492899</x:v>
      </x:c>
      <x:c r="Q1833" s="81" t="n">
        <x:v>0.09074100566720189</x:v>
      </x:c>
      <x:c r="R1833" s="81" t="n">
        <x:v>33.34217734526647</x:v>
      </x:c>
      <x:c r="S1833" s="81" t="n">
        <x:v>0.1218735612602275</x:v>
      </x:c>
      <x:c r="T1833" s="81" t="n">
        <x:v>0.018878488101000988</x:v>
      </x:c>
    </x:row>
    <x:row r="1834">
      <x:c r="A1834" s="59" t="n">
        <x:v>1831</x:v>
      </x:c>
      <x:c r="B1834" s="193" t="n">
        <x:v>0.706260434538126</x:v>
      </x:c>
      <x:c r="C1834" s="83" t="n">
        <x:v>2.356278739929944</x:v>
      </x:c>
      <x:c r="D1834" s="83" t="n">
        <x:v>1.1516684000902955</x:v>
      </x:c>
      <x:c r="E1834" s="81" t="n">
        <x:v>-0.03466399471357016</x:v>
      </x:c>
      <x:c r="F1834" s="81" t="n">
        <x:v>0.3216476256493479</x:v>
      </x:c>
      <x:c r="G1834" s="81" t="n">
        <x:v>-0.016839423747379418</x:v>
      </x:c>
      <x:c r="H1834" s="59" t="n">
        <x:v>0</x:v>
      </x:c>
      <x:c r="I1834" s="81" t="n">
        <x:v>0</x:v>
      </x:c>
      <x:c r="J1834" s="79" t="n">
        <x:v>9.33100157968442e-25</x:v>
      </x:c>
      <x:c r="K1834" s="81" t="n">
        <x:v>-1</x:v>
      </x:c>
      <x:c r="L1834" s="81" t="n">
        <x:v>-1</x:v>
      </x:c>
      <x:c r="M1834" s="80" t="n">
        <x:v>0.000002</x:v>
      </x:c>
      <x:c r="N1834" s="82" t="n">
        <x:v>0.27033822789012907</x:v>
      </x:c>
      <x:c r="O1834" s="82" t="n">
        <x:v>0.08214076709170813</x:v>
      </x:c>
      <x:c r="P1834" s="80" t="n">
        <x:v>1512.5166844658302</x:v>
      </x:c>
      <x:c r="Q1834" s="81" t="n">
        <x:v>64623022.19653269</x:v>
      </x:c>
      <x:c r="R1834" s="81" t="n">
        <x:v>2.547573174810705</x:v>
      </x:c>
      <x:c r="S1834" s="81" t="n">
        <x:v>2.44476850996836e-10</x:v>
      </x:c>
      <x:c r="T1834" s="81" t="n">
        <x:v>2.0212986583756486e-20</x:v>
      </x:c>
    </x:row>
    <x:row r="1835">
      <x:c r="A1835" s="59" t="n">
        <x:v>1832</x:v>
      </x:c>
      <x:c r="B1835" s="193" t="n">
        <x:v>0.35204862151294947</x:v>
      </x:c>
      <x:c r="C1835" s="83" t="n">
        <x:v>1.0898032735260756</x:v>
      </x:c>
      <x:c r="D1835" s="83" t="n">
        <x:v>0.36625458424343316</x:v>
      </x:c>
      <x:c r="E1835" s="81" t="n">
        <x:v>-0.010060245673753075</x:v>
      </x:c>
      <x:c r="F1835" s="81" t="n">
        <x:v>0.7805582050699741</x:v>
      </x:c>
      <x:c r="G1835" s="81" t="n">
        <x:v>0.01793441171733177</x:v>
      </x:c>
      <x:c r="H1835" s="59" t="n">
        <x:v>24</x:v>
      </x:c>
      <x:c r="I1835" s="81" t="n">
        <x:v>0.44442157000303273</x:v>
      </x:c>
      <x:c r="J1835" s="79" t="n">
        <x:v>3.2290054825245325e-8</x:v>
      </x:c>
      <x:c r="K1835" s="81" t="n">
        <x:v>-0.9999630970801997</x:v>
      </x:c>
      <x:c r="L1835" s="81" t="n">
        <x:v>-0.9999630970801997</x:v>
      </x:c>
      <x:c r="M1835" s="80" t="n">
        <x:v>64.44391212641536</x:v>
      </x:c>
      <x:c r="N1835" s="82" t="n">
        <x:v>0.185958332556038</x:v>
      </x:c>
      <x:c r="O1835" s="82" t="n">
        <x:v>0.13711718178237306</x:v>
      </x:c>
      <x:c r="P1835" s="80" t="n">
        <x:v>1013.2575711075932</x:v>
      </x:c>
      <x:c r="Q1835" s="81" t="n">
        <x:v>0.17341539770670633</x:v>
      </x:c>
      <x:c r="R1835" s="81" t="n">
        <x:v>9.040854707746664</x:v>
      </x:c>
      <x:c r="S1835" s="81" t="n">
        <x:v>0.006751804754833256</x:v>
      </x:c>
      <x:c r="T1835" s="81" t="n">
        <x:v>0.0006994730837817725</x:v>
      </x:c>
    </x:row>
    <x:row r="1836">
      <x:c r="A1836" s="59" t="n">
        <x:v>1833</x:v>
      </x:c>
      <x:c r="B1836" s="193" t="n">
        <x:v>0.45029868334531786</x:v>
      </x:c>
      <x:c r="C1836" s="83" t="n">
        <x:v>1.6091572707250956</x:v>
      </x:c>
      <x:c r="D1836" s="83" t="n">
        <x:v>0.9720205814115501</x:v>
      </x:c>
      <x:c r="E1836" s="81" t="n">
        <x:v>-0.04958096414169603</x:v>
      </x:c>
      <x:c r="F1836" s="81" t="n">
        <x:v>0.45316631912719463</x:v>
      </x:c>
      <x:c r="G1836" s="81" t="n">
        <x:v>0.007138204798644869</x:v>
      </x:c>
      <x:c r="H1836" s="59" t="n">
        <x:v>0</x:v>
      </x:c>
      <x:c r="I1836" s="81" t="n">
        <x:v>0</x:v>
      </x:c>
      <x:c r="J1836" s="79" t="n">
        <x:v>8.330917711167679e-29</x:v>
      </x:c>
      <x:c r="K1836" s="81" t="n">
        <x:v>-1</x:v>
      </x:c>
      <x:c r="L1836" s="81" t="n">
        <x:v>-1</x:v>
      </x:c>
      <x:c r="M1836" s="80" t="n">
        <x:v>0.000002</x:v>
      </x:c>
      <x:c r="N1836" s="82" t="n">
        <x:v>0.20936333947316746</x:v>
      </x:c>
      <x:c r="O1836" s="82" t="n">
        <x:v>0.08962500706992554</x:v>
      </x:c>
      <x:c r="P1836" s="80" t="n">
        <x:v>832.8593120673263</x:v>
      </x:c>
      <x:c r="Q1836" s="81" t="n">
        <x:v>513337432455.5558</x:v>
      </x:c>
      <x:c r="R1836" s="81" t="n">
        <x:v>2.5918414944405117</x:v>
      </x:c>
      <x:c r="S1836" s="81" t="n">
        <x:v>3.558467503810359e-10</x:v>
      </x:c>
      <x:c r="T1836" s="81" t="n">
        <x:v>1.804658658432107e-24</x:v>
      </x:c>
    </x:row>
    <x:row r="1837">
      <x:c r="A1837" s="59" t="n">
        <x:v>1834</x:v>
      </x:c>
      <x:c r="B1837" s="193" t="n">
        <x:v>0.3020793426781893</x:v>
      </x:c>
      <x:c r="C1837" s="83" t="n">
        <x:v>0.6121833646438498</x:v>
      </x:c>
      <x:c r="D1837" s="83" t="n">
        <x:v>0.9721877718638259</x:v>
      </x:c>
      <x:c r="E1837" s="81" t="n">
        <x:v>-0.05560557706643444</x:v>
      </x:c>
      <x:c r="F1837" s="81" t="n">
        <x:v>0.5074315125704743</x:v>
      </x:c>
      <x:c r="G1837" s="81" t="n">
        <x:v>0.040957686092573456</x:v>
      </x:c>
      <x:c r="H1837" s="59" t="n">
        <x:v>0</x:v>
      </x:c>
      <x:c r="I1837" s="81" t="n">
        <x:v>0</x:v>
      </x:c>
      <x:c r="J1837" s="79" t="n">
        <x:v>4.646587647682239e-34</x:v>
      </x:c>
      <x:c r="K1837" s="81" t="n">
        <x:v>-1</x:v>
      </x:c>
      <x:c r="L1837" s="81" t="n">
        <x:v>-1</x:v>
      </x:c>
      <x:c r="M1837" s="80" t="n">
        <x:v>0.000002</x:v>
      </x:c>
      <x:c r="N1837" s="82" t="n">
        <x:v>0.17405471341362</x:v>
      </x:c>
      <x:c r="O1837" s="82" t="n">
        <x:v>0.08343229012990075</x:v>
      </x:c>
      <x:c r="P1837" s="80" t="n">
        <x:v>458.5159086932127</x:v>
      </x:c>
      <x:c r="Q1837" s="81" t="n">
        <x:v>82536109060093180</x:v>
      </x:c>
      <x:c r="R1837" s="81" t="n">
        <x:v>4.8935167723997814</x:v>
      </x:c>
      <x:c r="S1837" s="81" t="n">
        <x:v>8.608792742235898e-10</x:v>
      </x:c>
      <x:c r="T1837" s="81" t="n">
        <x:v>1.0065523296806277e-29</x:v>
      </x:c>
    </x:row>
    <x:row r="1838">
      <x:c r="A1838" s="59" t="n">
        <x:v>1835</x:v>
      </x:c>
      <x:c r="B1838" s="193" t="n">
        <x:v>0.8949949759989977</x:v>
      </x:c>
      <x:c r="C1838" s="83" t="n">
        <x:v>2.0958414076874927</x:v>
      </x:c>
      <x:c r="D1838" s="83" t="n">
        <x:v>0.838001977629553</x:v>
      </x:c>
      <x:c r="E1838" s="81" t="n">
        <x:v>0.09214334432212161</x:v>
      </x:c>
      <x:c r="F1838" s="81" t="n">
        <x:v>0.40699530391721056</x:v>
      </x:c>
      <x:c r="G1838" s="81" t="n">
        <x:v>0.016661250132214447</x:v>
      </x:c>
      <x:c r="H1838" s="59" t="n">
        <x:v>0</x:v>
      </x:c>
      <x:c r="I1838" s="81" t="n">
        <x:v>0</x:v>
      </x:c>
      <x:c r="J1838" s="79" t="n">
        <x:v>0.030312167835012258</x:v>
      </x:c>
      <x:c r="K1838" s="81" t="n">
        <x:v>33.642477525728296</x:v>
      </x:c>
      <x:c r="L1838" s="81" t="n">
        <x:v>-0.645072183684938</x:v>
      </x:c>
      <x:c r="M1838" s="80" t="n">
        <x:v>124718.3001739819</x:v>
      </x:c>
      <x:c r="N1838" s="82" t="n">
        <x:v>0.31529833443876115</x:v>
      </x:c>
      <x:c r="O1838" s="82" t="n">
        <x:v>0.12122215955233816</x:v>
      </x:c>
      <x:c r="P1838" s="80" t="n">
        <x:v>179814.78646713257</x:v>
      </x:c>
      <x:c r="Q1838" s="81" t="n">
        <x:v>0.0034731359879640626</x:v>
      </x:c>
      <x:c r="R1838" s="81" t="n">
        <x:v>190.68984095282795</x:v>
      </x:c>
      <x:c r="S1838" s="81" t="n">
        <x:v>287.95229575342245</x:v>
      </x:c>
      <x:c r="T1838" s="81" t="n">
        <x:v>656.6277334125148</x:v>
      </x:c>
    </x:row>
    <x:row r="1839">
      <x:c r="A1839" s="59" t="n">
        <x:v>1836</x:v>
      </x:c>
      <x:c r="B1839" s="193" t="n">
        <x:v>0.3490438925102353</x:v>
      </x:c>
      <x:c r="C1839" s="83" t="n">
        <x:v>0.9463558561583459</x:v>
      </x:c>
      <x:c r="D1839" s="83" t="n">
        <x:v>0.41105975472221623</x:v>
      </x:c>
      <x:c r="E1839" s="81" t="n">
        <x:v>-0.06887663836984148</x:v>
      </x:c>
      <x:c r="F1839" s="81" t="n">
        <x:v>0.4969493864104152</x:v>
      </x:c>
      <x:c r="G1839" s="81" t="n">
        <x:v>-0.012926502743721667</x:v>
      </x:c>
      <x:c r="H1839" s="59" t="n">
        <x:v>0</x:v>
      </x:c>
      <x:c r="I1839" s="81" t="n">
        <x:v>0</x:v>
      </x:c>
      <x:c r="J1839" s="79" t="n">
        <x:v>3.821430523081055e-20</x:v>
      </x:c>
      <x:c r="K1839" s="81" t="n">
        <x:v>-1</x:v>
      </x:c>
      <x:c r="L1839" s="81" t="n">
        <x:v>-1</x:v>
      </x:c>
      <x:c r="M1839" s="80" t="n">
        <x:v>0.00006796522607180577</x:v>
      </x:c>
      <x:c r="N1839" s="82" t="n">
        <x:v>0.1852425497689226</x:v>
      </x:c>
      <x:c r="O1839" s="82" t="n">
        <x:v>0.08696086494648424</x:v>
      </x:c>
      <x:c r="P1839" s="80" t="n">
        <x:v>402.7321335812373</x:v>
      </x:c>
      <x:c r="Q1839" s="81" t="n">
        <x:v>27879.257689507594</x:v>
      </x:c>
      <x:c r="R1839" s="81" t="n">
        <x:v>5.342293404949468</x:v>
      </x:c>
      <x:c r="S1839" s="81" t="n">
        <x:v>5.623354607566098e-9</x:v>
      </x:c>
      <x:c r="T1839" s="81" t="n">
        <x:v>8.278052815034169e-16</x:v>
      </x:c>
    </x:row>
    <x:row r="1840">
      <x:c r="A1840" s="59" t="n">
        <x:v>1837</x:v>
      </x:c>
      <x:c r="B1840" s="193" t="n">
        <x:v>0.33832561280578377</x:v>
      </x:c>
      <x:c r="C1840" s="83" t="n">
        <x:v>0.14139414590196248</x:v>
      </x:c>
      <x:c r="D1840" s="83" t="n">
        <x:v>0.32462222872683966</x:v>
      </x:c>
      <x:c r="E1840" s="81" t="n">
        <x:v>0.02985782812699762</x:v>
      </x:c>
      <x:c r="F1840" s="81" t="n">
        <x:v>0.4314102763310075</x:v>
      </x:c>
      <x:c r="G1840" s="81" t="n">
        <x:v>0.005575399457683809</x:v>
      </x:c>
      <x:c r="H1840" s="59" t="n">
        <x:v>0</x:v>
      </x:c>
      <x:c r="I1840" s="81" t="n">
        <x:v>0</x:v>
      </x:c>
      <x:c r="J1840" s="79" t="n">
        <x:v>0.00009850172671339513</x:v>
      </x:c>
      <x:c r="K1840" s="81" t="n">
        <x:v>-0.8874265980418341</x:v>
      </x:c>
      <x:c r="L1840" s="81" t="n">
        <x:v>-0.9099456839696292</x:v>
      </x:c>
      <x:c r="M1840" s="80" t="n">
        <x:v>2005.1325765702245</x:v>
      </x:c>
      <x:c r="N1840" s="82" t="n">
        <x:v>0.18268925457557783</x:v>
      </x:c>
      <x:c r="O1840" s="82" t="n">
        <x:v>0.07445166791101933</x:v>
      </x:c>
      <x:c r="P1840" s="80" t="n">
        <x:v>1760.274177094035</x:v>
      </x:c>
      <x:c r="Q1840" s="81" t="n">
        <x:v>0.004828091556328808</x:v>
      </x:c>
      <x:c r="R1840" s="81" t="n">
        <x:v>119.03804288344708</x:v>
      </x:c>
      <x:c r="S1840" s="81" t="n">
        <x:v>13.209556188930216</x:v>
      </x:c>
      <x:c r="T1840" s="81" t="n">
        <x:v>2.1337624514709828</x:v>
      </x:c>
    </x:row>
    <x:row r="1841">
      <x:c r="A1841" s="59" t="n">
        <x:v>1838</x:v>
      </x:c>
      <x:c r="B1841" s="193" t="n">
        <x:v>0.24819893315434458</x:v>
      </x:c>
      <x:c r="C1841" s="83" t="n">
        <x:v>0.5162089385077177</x:v>
      </x:c>
      <x:c r="D1841" s="83" t="n">
        <x:v>1.0028316972017466</x:v>
      </x:c>
      <x:c r="E1841" s="81" t="n">
        <x:v>-0.0006509416797673506</x:v>
      </x:c>
      <x:c r="F1841" s="81" t="n">
        <x:v>0.3310557037591934</x:v>
      </x:c>
      <x:c r="G1841" s="81" t="n">
        <x:v>-0.041884665183377495</x:v>
      </x:c>
      <x:c r="H1841" s="59" t="n">
        <x:v>0</x:v>
      </x:c>
      <x:c r="I1841" s="81" t="n">
        <x:v>0</x:v>
      </x:c>
      <x:c r="J1841" s="79" t="n">
        <x:v>0.0000038785655431969975</x:v>
      </x:c>
      <x:c r="K1841" s="81" t="n">
        <x:v>-0.9955673536649177</x:v>
      </x:c>
      <x:c r="L1841" s="81" t="n">
        <x:v>-0.9955673536649177</x:v>
      </x:c>
      <x:c r="M1841" s="80" t="n">
        <x:v>508.8423871001234</x:v>
      </x:c>
      <x:c r="N1841" s="82" t="n">
        <x:v>0.1612193896073615</x:v>
      </x:c>
      <x:c r="O1841" s="82" t="n">
        <x:v>0.0504184266622124</x:v>
      </x:c>
      <x:c r="P1841" s="80" t="n">
        <x:v>3440.6669879227607</x:v>
      </x:c>
      <x:c r="Q1841" s="81" t="n">
        <x:v>0.034516366256328763</x:v>
      </x:c>
      <x:c r="R1841" s="81" t="n">
        <x:v>28.116131536678257</x:v>
      </x:c>
      <x:c r="S1841" s="81" t="n">
        <x:v>0.2274935532743531</x:v>
      </x:c>
      <x:c r="T1841" s="81" t="n">
        <x:v>0.08401819742432466</x:v>
      </x:c>
    </x:row>
    <x:row r="1842">
      <x:c r="A1842" s="59" t="n">
        <x:v>1839</x:v>
      </x:c>
      <x:c r="B1842" s="193" t="n">
        <x:v>0.5089772183448076</x:v>
      </x:c>
      <x:c r="C1842" s="83" t="n">
        <x:v>0.4426821209901015</x:v>
      </x:c>
      <x:c r="D1842" s="83" t="n">
        <x:v>2.461607932909677</x:v>
      </x:c>
      <x:c r="E1842" s="81" t="n">
        <x:v>-0.06536173819012076</x:v>
      </x:c>
      <x:c r="F1842" s="81" t="n">
        <x:v>0.8643437145627104</x:v>
      </x:c>
      <x:c r="G1842" s="81" t="n">
        <x:v>0.016873082470000612</x:v>
      </x:c>
      <x:c r="H1842" s="59" t="n">
        <x:v>0</x:v>
      </x:c>
      <x:c r="I1842" s="81" t="n">
        <x:v>0</x:v>
      </x:c>
      <x:c r="J1842" s="79" t="n">
        <x:v>1.3666105217180605e-61</x:v>
      </x:c>
      <x:c r="K1842" s="81" t="n">
        <x:v>-1</x:v>
      </x:c>
      <x:c r="L1842" s="81" t="n">
        <x:v>-1</x:v>
      </x:c>
      <x:c r="M1842" s="80" t="n">
        <x:v>0.000002</x:v>
      </x:c>
      <x:c r="N1842" s="82" t="n">
        <x:v>0.22334166673257713</x:v>
      </x:c>
      <x:c r="O1842" s="82" t="n">
        <x:v>0.18235898776478057</x:v>
      </x:c>
      <x:c r="P1842" s="80" t="n">
        <x:v>424.8008857669799</x:v>
      </x:c>
      <x:c r="Q1842" s="81" t="n">
        <x:v>2.409481206558337e+44</x:v>
      </x:c>
      <x:c r="R1842" s="81" t="n">
        <x:v>2.538360397420331</x:v>
      </x:c>
      <x:c r="S1842" s="81" t="n">
        <x:v>1.832164569512659e-9</x:v>
      </x:c>
      <x:c r="T1842" s="81" t="n">
        <x:v>2.9603767510713294e-57</x:v>
      </x:c>
    </x:row>
    <x:row r="1843">
      <x:c r="A1843" s="59" t="n">
        <x:v>1840</x:v>
      </x:c>
      <x:c r="B1843" s="193" t="n">
        <x:v>0.2544661942869425</x:v>
      </x:c>
      <x:c r="C1843" s="83" t="n">
        <x:v>2.8900716111843785</x:v>
      </x:c>
      <x:c r="D1843" s="83" t="n">
        <x:v>0.23003789791801593</x:v>
      </x:c>
      <x:c r="E1843" s="81" t="n">
        <x:v>-0.1530474615557098</x:v>
      </x:c>
      <x:c r="F1843" s="81" t="n">
        <x:v>0.270981373405084</x:v>
      </x:c>
      <x:c r="G1843" s="81" t="n">
        <x:v>0.01744558418552857</x:v>
      </x:c>
      <x:c r="H1843" s="59" t="n">
        <x:v>0</x:v>
      </x:c>
      <x:c r="I1843" s="81" t="n">
        <x:v>0</x:v>
      </x:c>
      <x:c r="J1843" s="79" t="n">
        <x:v>1.0230067469515672e-25</x:v>
      </x:c>
      <x:c r="K1843" s="81" t="n">
        <x:v>-1</x:v>
      </x:c>
      <x:c r="L1843" s="81" t="n">
        <x:v>-1</x:v>
      </x:c>
      <x:c r="M1843" s="80" t="n">
        <x:v>0.000002</x:v>
      </x:c>
      <x:c r="N1843" s="82" t="n">
        <x:v>0.16271236872029254</x:v>
      </x:c>
      <x:c r="O1843" s="82" t="n">
        <x:v>0.041651529016494694</x:v>
      </x:c>
      <x:c r="P1843" s="80" t="n">
        <x:v>403.86356528810467</x:v>
      </x:c>
      <x:c r="Q1843" s="81" t="n">
        <x:v>148777534.11892933</x:v>
      </x:c>
      <x:c r="R1843" s="81" t="n">
        <x:v>1.6905494796202092</x:v>
      </x:c>
      <x:c r="S1843" s="81" t="n">
        <x:v>6.393402705284563e-11</x:v>
      </x:c>
      <x:c r="T1843" s="81" t="n">
        <x:v>2.216055958692029e-21</x:v>
      </x:c>
    </x:row>
    <x:row r="1844">
      <x:c r="A1844" s="59" t="n">
        <x:v>1841</x:v>
      </x:c>
      <x:c r="B1844" s="193" t="n">
        <x:v>0.7504622209817171</x:v>
      </x:c>
      <x:c r="C1844" s="83" t="n">
        <x:v>1.0748021859929324</x:v>
      </x:c>
      <x:c r="D1844" s="83" t="n">
        <x:v>1.16334045797584</x:v>
      </x:c>
      <x:c r="E1844" s="81" t="n">
        <x:v>-0.0638456547096519</x:v>
      </x:c>
      <x:c r="F1844" s="81" t="n">
        <x:v>0.600857480801642</x:v>
      </x:c>
      <x:c r="G1844" s="81" t="n">
        <x:v>0.004499371141506017</x:v>
      </x:c>
      <x:c r="H1844" s="59" t="n">
        <x:v>0</x:v>
      </x:c>
      <x:c r="I1844" s="81" t="n">
        <x:v>0</x:v>
      </x:c>
      <x:c r="J1844" s="79" t="n">
        <x:v>5.1981913352929794e-36</x:v>
      </x:c>
      <x:c r="K1844" s="81" t="n">
        <x:v>-1</x:v>
      </x:c>
      <x:c r="L1844" s="81" t="n">
        <x:v>-1</x:v>
      </x:c>
      <x:c r="M1844" s="80" t="n">
        <x:v>0.000002</x:v>
      </x:c>
      <x:c r="N1844" s="82" t="n">
        <x:v>0.2808679222044887</x:v>
      </x:c>
      <x:c r="O1844" s="82" t="n">
        <x:v>0.15942064279724116</x:v>
      </x:c>
      <x:c r="P1844" s="80" t="n">
        <x:v>532.2723378859222</x:v>
      </x:c>
      <x:c r="Q1844" s="81" t="n">
        <x:v>6475746198671052000</x:v>
      </x:c>
      <x:c r="R1844" s="81" t="n">
        <x:v>2.3385542695179624</x:v>
      </x:c>
      <x:c r="S1844" s="81" t="n">
        <x:v>5.187465441758977e-10</x:v>
      </x:c>
      <x:c r="T1844" s="81" t="n">
        <x:v>1.1260417311346095e-31</x:v>
      </x:c>
    </x:row>
    <x:row r="1845">
      <x:c r="A1845" s="59" t="n">
        <x:v>1842</x:v>
      </x:c>
      <x:c r="B1845" s="193" t="n">
        <x:v>0.7945473169907928</x:v>
      </x:c>
      <x:c r="C1845" s="83" t="n">
        <x:v>0.6239305148210263</x:v>
      </x:c>
      <x:c r="D1845" s="83" t="n">
        <x:v>1.085089675138625</x:v>
      </x:c>
      <x:c r="E1845" s="81" t="n">
        <x:v>0.01796765193223548</x:v>
      </x:c>
      <x:c r="F1845" s="81" t="n">
        <x:v>0.6190638344618492</x:v>
      </x:c>
      <x:c r="G1845" s="81" t="n">
        <x:v>-0.0004946471016369319</x:v>
      </x:c>
      <x:c r="H1845" s="59" t="n">
        <x:v>0</x:v>
      </x:c>
      <x:c r="I1845" s="81" t="n">
        <x:v>0</x:v>
      </x:c>
      <x:c r="J1845" s="79" t="n">
        <x:v>0.00014439523539620377</x:v>
      </x:c>
      <x:c r="K1845" s="81" t="n">
        <x:v>-0.83497687383291</x:v>
      </x:c>
      <x:c r="L1845" s="81" t="n">
        <x:v>-0.8880644426225143</x:v>
      </x:c>
      <x:c r="M1845" s="80" t="n">
        <x:v>3588.3086876898446</x:v>
      </x:c>
      <x:c r="N1845" s="82" t="n">
        <x:v>0.2913698186694002</x:v>
      </x:c>
      <x:c r="O1845" s="82" t="n">
        <x:v>0.170392682042574</x:v>
      </x:c>
      <x:c r="P1845" s="80" t="n">
        <x:v>8997.19554619091</x:v>
      </x:c>
      <x:c r="Q1845" s="81" t="n">
        <x:v>0.019364302923832743</x:v>
      </x:c>
      <x:c r="R1845" s="81" t="n">
        <x:v>31.198656102797276</x:v>
      </x:c>
      <x:c r="S1845" s="81" t="n">
        <x:v>5.357625154228141</x:v>
      </x:c>
      <x:c r="T1845" s="81" t="n">
        <x:v>3.1279160451289267</x:v>
      </x:c>
    </x:row>
    <x:row r="1846">
      <x:c r="A1846" s="59" t="n">
        <x:v>1843</x:v>
      </x:c>
      <x:c r="B1846" s="193" t="n">
        <x:v>0.4593516934663058</x:v>
      </x:c>
      <x:c r="C1846" s="83" t="n">
        <x:v>0.10924171808499361</x:v>
      </x:c>
      <x:c r="D1846" s="83" t="n">
        <x:v>1.110179553766359</x:v>
      </x:c>
      <x:c r="E1846" s="81" t="n">
        <x:v>-0.07094014956997355</x:v>
      </x:c>
      <x:c r="F1846" s="81" t="n">
        <x:v>0.3468169783707708</x:v>
      </x:c>
      <x:c r="G1846" s="81" t="n">
        <x:v>-0.007709636453989309</x:v>
      </x:c>
      <x:c r="H1846" s="59" t="n">
        <x:v>13</x:v>
      </x:c>
      <x:c r="I1846" s="81" t="n">
        <x:v>0.1402115517295897</x:v>
      </x:c>
      <x:c r="J1846" s="79" t="n">
        <x:v>2.0618372287711386e-35</x:v>
      </x:c>
      <x:c r="K1846" s="81" t="n">
        <x:v>-1</x:v>
      </x:c>
      <x:c r="L1846" s="81" t="n">
        <x:v>-1</x:v>
      </x:c>
      <x:c r="M1846" s="80" t="n">
        <x:v>0.000002</x:v>
      </x:c>
      <x:c r="N1846" s="82" t="n">
        <x:v>0.2115199362279266</x:v>
      </x:c>
      <x:c r="O1846" s="82" t="n">
        <x:v>0.06929830288271112</x:v>
      </x:c>
      <x:c r="P1846" s="80" t="n">
        <x:v>260.2680314846242</x:v>
      </x:c>
      <x:c r="Q1846" s="81" t="n">
        <x:v>1479154451336858000</x:v>
      </x:c>
      <x:c r="R1846" s="81" t="n">
        <x:v>16.84010192918277</x:v>
      </x:c>
      <x:c r="S1846" s="81" t="n">
        <x:v>7.979509887931287e-10</x:v>
      </x:c>
      <x:c r="T1846" s="81" t="n">
        <x:v>4.466389581776298e-31</x:v>
      </x:c>
    </x:row>
    <x:row r="1847">
      <x:c r="A1847" s="59" t="n">
        <x:v>1844</x:v>
      </x:c>
      <x:c r="B1847" s="193" t="n">
        <x:v>0.7696197280660273</x:v>
      </x:c>
      <x:c r="C1847" s="83" t="n">
        <x:v>1.8305342741097381</x:v>
      </x:c>
      <x:c r="D1847" s="83" t="n">
        <x:v>1.7077852727496245</x:v>
      </x:c>
      <x:c r="E1847" s="81" t="n">
        <x:v>-0.01746996730192494</x:v>
      </x:c>
      <x:c r="F1847" s="81" t="n">
        <x:v>0.7529710265924223</x:v>
      </x:c>
      <x:c r="G1847" s="81" t="n">
        <x:v>0.00334540570996186</x:v>
      </x:c>
      <x:c r="H1847" s="59" t="n">
        <x:v>0</x:v>
      </x:c>
      <x:c r="I1847" s="81" t="n">
        <x:v>0</x:v>
      </x:c>
      <x:c r="J1847" s="79" t="n">
        <x:v>8.466898563297429e-23</x:v>
      </x:c>
      <x:c r="K1847" s="81" t="n">
        <x:v>-1</x:v>
      </x:c>
      <x:c r="L1847" s="81" t="n">
        <x:v>-1</x:v>
      </x:c>
      <x:c r="M1847" s="80" t="n">
        <x:v>0.0000046931128976608</x:v>
      </x:c>
      <x:c r="N1847" s="82" t="n">
        <x:v>0.28543159959522907</x:v>
      </x:c>
      <x:c r="O1847" s="82" t="n">
        <x:v>0.20302581316382387</x:v>
      </x:c>
      <x:c r="P1847" s="80" t="n">
        <x:v>2189.658813041613</x:v>
      </x:c>
      <x:c r="Q1847" s="81" t="n">
        <x:v>3260850.994423481</x:v>
      </x:c>
      <x:c r="R1847" s="81" t="n">
        <x:v>3.87280413925488</x:v>
      </x:c>
      <x:c r="S1847" s="81" t="n">
        <x:v>1.371123992363052e-9</x:v>
      </x:c>
      <x:c r="T1847" s="81" t="n">
        <x:v>1.8341150797634534e-18</x:v>
      </x:c>
    </x:row>
    <x:row r="1848">
      <x:c r="A1848" s="59" t="n">
        <x:v>1845</x:v>
      </x:c>
      <x:c r="B1848" s="193" t="n">
        <x:v>0.2999802837148309</x:v>
      </x:c>
      <x:c r="C1848" s="83" t="n">
        <x:v>1.1725248823547305</x:v>
      </x:c>
      <x:c r="D1848" s="83" t="n">
        <x:v>1.2908199210508173</x:v>
      </x:c>
      <x:c r="E1848" s="81" t="n">
        <x:v>-0.009429005082148044</x:v>
      </x:c>
      <x:c r="F1848" s="81" t="n">
        <x:v>0.6524690260877832</x:v>
      </x:c>
      <x:c r="G1848" s="81" t="n">
        <x:v>-0.028162644479731925</x:v>
      </x:c>
      <x:c r="H1848" s="59" t="n">
        <x:v>0</x:v>
      </x:c>
      <x:c r="I1848" s="81" t="n">
        <x:v>0</x:v>
      </x:c>
      <x:c r="J1848" s="79" t="n">
        <x:v>5.516445083699299e-11</x:v>
      </x:c>
      <x:c r="K1848" s="81" t="n">
        <x:v>-0.9999999369549133</x:v>
      </x:c>
      <x:c r="L1848" s="81" t="n">
        <x:v>-0.9999999369549133</x:v>
      </x:c>
      <x:c r="M1848" s="80" t="n">
        <x:v>2.7955266938288816</x:v>
      </x:c>
      <x:c r="N1848" s="82" t="n">
        <x:v>0.1735546782111924</x:v>
      </x:c>
      <x:c r="O1848" s="82" t="n">
        <x:v>0.10697127353212159</x:v>
      </x:c>
      <x:c r="P1848" s="80" t="n">
        <x:v>2501.6322099627478</x:v>
      </x:c>
      <x:c r="Q1848" s="81" t="n">
        <x:v>5.456027068553055</x:v>
      </x:c>
      <x:c r="R1848" s="81" t="n">
        <x:v>8.271776330726217</x:v>
      </x:c>
      <x:c r="S1848" s="81" t="n">
        <x:v>0.0005235496055758903</x:v>
      </x:c>
      <x:c r="T1848" s="81" t="n">
        <x:v>0.0000011949824412162887</x:v>
      </x:c>
    </x:row>
    <x:row r="1849">
      <x:c r="A1849" s="59" t="n">
        <x:v>1846</x:v>
      </x:c>
      <x:c r="B1849" s="193" t="n">
        <x:v>0.6806427063420415</x:v>
      </x:c>
      <x:c r="C1849" s="83" t="n">
        <x:v>0.4896493269083362</x:v>
      </x:c>
      <x:c r="D1849" s="83" t="n">
        <x:v>0.5834366467808786</x:v>
      </x:c>
      <x:c r="E1849" s="81" t="n">
        <x:v>0.08990845505971513</x:v>
      </x:c>
      <x:c r="F1849" s="81" t="n">
        <x:v>0.8278261482017115</x:v>
      </x:c>
      <x:c r="G1849" s="81" t="n">
        <x:v>0.04783596544758257</x:v>
      </x:c>
      <x:c r="H1849" s="59" t="n">
        <x:v>0</x:v>
      </x:c>
      <x:c r="I1849" s="81" t="n">
        <x:v>0</x:v>
      </x:c>
      <x:c r="J1849" s="79" t="n">
        <x:v>0.0021142420065814707</x:v>
      </x:c>
      <x:c r="K1849" s="81" t="n">
        <x:v>1.4162765789502525</x:v>
      </x:c>
      <x:c r="L1849" s="81" t="n">
        <x:v>-0.7802812642221213</x:v>
      </x:c>
      <x:c r="M1849" s="80" t="n">
        <x:v>15143.602531956665</x:v>
      </x:c>
      <x:c r="N1849" s="82" t="n">
        <x:v>0.26423560470141816</x:v>
      </x:c>
      <x:c r="O1849" s="82" t="n">
        <x:v>0.20663382675764722</x:v>
      </x:c>
      <x:c r="P1849" s="80" t="n">
        <x:v>17728.128295455426</x:v>
      </x:c>
      <x:c r="Q1849" s="81" t="n">
        <x:v>0.00567957475824208</x:v>
      </x:c>
      <x:c r="R1849" s="81" t="n">
        <x:v>80.84812941641638</x:v>
      </x:c>
      <x:c r="S1849" s="81" t="n">
        <x:v>85.08313343196161</x:v>
      </x:c>
      <x:c r="T1849" s="81" t="n">
        <x:v>45.799097716250714</x:v>
      </x:c>
    </x:row>
    <x:row r="1850">
      <x:c r="A1850" s="59" t="n">
        <x:v>1847</x:v>
      </x:c>
      <x:c r="B1850" s="193" t="n">
        <x:v>0.7960047310218215</x:v>
      </x:c>
      <x:c r="C1850" s="83" t="n">
        <x:v>0.18632109689502896</x:v>
      </x:c>
      <x:c r="D1850" s="83" t="n">
        <x:v>0.5721868856541574</x:v>
      </x:c>
      <x:c r="E1850" s="81" t="n">
        <x:v>0.015977023050932335</x:v>
      </x:c>
      <x:c r="F1850" s="81" t="n">
        <x:v>0.7986764489323832</x:v>
      </x:c>
      <x:c r="G1850" s="81" t="n">
        <x:v>0.0314768516688974</x:v>
      </x:c>
      <x:c r="H1850" s="59" t="n">
        <x:v>86</x:v>
      </x:c>
      <x:c r="I1850" s="81" t="n">
        <x:v>0.48917460907250643</x:v>
      </x:c>
      <x:c r="J1850" s="79" t="n">
        <x:v>0.000019058395686618788</x:v>
      </x:c>
      <x:c r="K1850" s="81" t="n">
        <x:v>-0.9782189763581499</x:v>
      </x:c>
      <x:c r="L1850" s="81" t="n">
        <x:v>-0.9880008612148202</x:v>
      </x:c>
      <x:c r="M1850" s="80" t="n">
        <x:v>923.0183964040195</x:v>
      </x:c>
      <x:c r="N1850" s="82" t="n">
        <x:v>0.2917170020181043</x:v>
      </x:c>
      <x:c r="O1850" s="82" t="n">
        <x:v>0.22009164773880363</x:v>
      </x:c>
      <x:c r="P1850" s="80" t="n">
        <x:v>1623.2998912884414</x:v>
      </x:c>
      <x:c r="Q1850" s="81" t="n">
        <x:v>0.02673731335223572</x:v>
      </x:c>
      <x:c r="R1850" s="81" t="n">
        <x:v>46.09633712726328</x:v>
      </x:c>
      <x:c r="S1850" s="81" t="n">
        <x:v>2.1871219268830018</x:v>
      </x:c>
      <x:c r="T1850" s="81" t="n">
        <x:v>0.41284645922713115</x:v>
      </x:c>
    </x:row>
    <x:row r="1851">
      <x:c r="A1851" s="59" t="n">
        <x:v>1848</x:v>
      </x:c>
      <x:c r="B1851" s="193" t="n">
        <x:v>0.6375039588660002</x:v>
      </x:c>
      <x:c r="C1851" s="83" t="n">
        <x:v>0.5023447030138647</x:v>
      </x:c>
      <x:c r="D1851" s="83" t="n">
        <x:v>0.8140933650428086</x:v>
      </x:c>
      <x:c r="E1851" s="81" t="n">
        <x:v>0.09599944287511694</x:v>
      </x:c>
      <x:c r="F1851" s="81" t="n">
        <x:v>0.7107018657843582</x:v>
      </x:c>
      <x:c r="G1851" s="81" t="n">
        <x:v>-0.00157699777137329</x:v>
      </x:c>
      <x:c r="H1851" s="59" t="n">
        <x:v>0</x:v>
      </x:c>
      <x:c r="I1851" s="81" t="n">
        <x:v>0</x:v>
      </x:c>
      <x:c r="J1851" s="79" t="n">
        <x:v>0.0024246837937704885</x:v>
      </x:c>
      <x:c r="K1851" s="81" t="n">
        <x:v>1.7710671928805586</x:v>
      </x:c>
      <x:c r="L1851" s="81" t="n">
        <x:v>-0.7843108609139655</x:v>
      </x:c>
      <x:c r="M1851" s="80" t="n">
        <x:v>16731.823472107142</x:v>
      </x:c>
      <x:c r="N1851" s="82" t="n">
        <x:v>0.2539591462011098</x:v>
      </x:c>
      <x:c r="O1851" s="82" t="n">
        <x:v>0.17049916473775847</x:v>
      </x:c>
      <x:c r="P1851" s="80" t="n">
        <x:v>24207.670104736946</x:v>
      </x:c>
      <x:c r="Q1851" s="81" t="n">
        <x:v>0.00445263796811952</x:v>
      </x:c>
      <x:c r="R1851" s="81" t="n">
        <x:v>183.36767315665895</x:v>
      </x:c>
      <x:c r="S1851" s="81" t="n">
        <x:v>93.82924247807071</x:v>
      </x:c>
      <x:c r="T1851" s="81" t="n">
        <x:v>52.52394458922834</x:v>
      </x:c>
    </x:row>
    <x:row r="1852">
      <x:c r="A1852" s="59" t="n">
        <x:v>1849</x:v>
      </x:c>
      <x:c r="B1852" s="193" t="n">
        <x:v>0.975268903374672</x:v>
      </x:c>
      <x:c r="C1852" s="83" t="n">
        <x:v>0.25152461671291826</x:v>
      </x:c>
      <x:c r="D1852" s="83" t="n">
        <x:v>0.8823980849768002</x:v>
      </x:c>
      <x:c r="E1852" s="81" t="n">
        <x:v>0.10181223427759334</x:v>
      </x:c>
      <x:c r="F1852" s="81" t="n">
        <x:v>0.5337517418083735</x:v>
      </x:c>
      <x:c r="G1852" s="81" t="n">
        <x:v>0.018348326307490472</x:v>
      </x:c>
      <x:c r="H1852" s="59" t="n">
        <x:v>0</x:v>
      </x:c>
      <x:c r="I1852" s="81" t="n">
        <x:v>0</x:v>
      </x:c>
      <x:c r="J1852" s="79" t="n">
        <x:v>0.0037646745927004057</x:v>
      </x:c>
      <x:c r="K1852" s="81" t="n">
        <x:v>3.3024852488004637</x:v>
      </x:c>
      <x:c r="L1852" s="81" t="n">
        <x:v>-0.7921637923612239</x:v>
      </x:c>
      <x:c r="M1852" s="80" t="n">
        <x:v>18670.501530088703</x:v>
      </x:c>
      <x:c r="N1852" s="82" t="n">
        <x:v>0.33442108907578516</x:v>
      </x:c>
      <x:c r="O1852" s="82" t="n">
        <x:v>0.1686179884388695</x:v>
      </x:c>
      <x:c r="P1852" s="80" t="n">
        <x:v>28395.439351000983</x:v>
      </x:c>
      <x:c r="Q1852" s="81" t="n">
        <x:v>0.004314660333649359</x:v>
      </x:c>
      <x:c r="R1852" s="81" t="n">
        <x:v>362.85589602158075</x:v>
      </x:c>
      <x:c r="S1852" s="81" t="n">
        <x:v>285.66946740979233</x:v>
      </x:c>
      <x:c r="T1852" s="81" t="n">
        <x:v>81.55107078766115</x:v>
      </x:c>
    </x:row>
    <x:row r="1853">
      <x:c r="A1853" s="59" t="n">
        <x:v>1850</x:v>
      </x:c>
      <x:c r="B1853" s="193" t="n">
        <x:v>0.4942625505849719</x:v>
      </x:c>
      <x:c r="C1853" s="83" t="n">
        <x:v>0.34324389867341176</x:v>
      </x:c>
      <x:c r="D1853" s="83" t="n">
        <x:v>0.31006451716639016</x:v>
      </x:c>
      <x:c r="E1853" s="81" t="n">
        <x:v>-0.06726708140181357</x:v>
      </x:c>
      <x:c r="F1853" s="81" t="n">
        <x:v>0.48018379195127636</x:v>
      </x:c>
      <x:c r="G1853" s="81" t="n">
        <x:v>0.044856240132695326</x:v>
      </x:c>
      <x:c r="H1853" s="59" t="n">
        <x:v>17</x:v>
      </x:c>
      <x:c r="I1853" s="81" t="n">
        <x:v>0.2813432696275413</x:v>
      </x:c>
      <x:c r="J1853" s="79" t="n">
        <x:v>2.2616611139715428e-21</x:v>
      </x:c>
      <x:c r="K1853" s="81" t="n">
        <x:v>-1</x:v>
      </x:c>
      <x:c r="L1853" s="81" t="n">
        <x:v>-1</x:v>
      </x:c>
      <x:c r="M1853" s="80" t="n">
        <x:v>0.00001145635738405473</x:v>
      </x:c>
      <x:c r="N1853" s="82" t="n">
        <x:v>0.2198363569721638</x:v>
      </x:c>
      <x:c r="O1853" s="82" t="n">
        <x:v>0.09971900976908392</x:v>
      </x:c>
      <x:c r="P1853" s="80" t="n">
        <x:v>234.38558515341938</x:v>
      </x:c>
      <x:c r="Q1853" s="81" t="n">
        <x:v>81180.98961067681</x:v>
      </x:c>
      <x:c r="R1853" s="81" t="n">
        <x:v>14.86153634184708</x:v>
      </x:c>
      <x:c r="S1853" s="81" t="n">
        <x:v>2.114617562024325e-9</x:v>
      </x:c>
      <x:c r="T1853" s="81" t="n">
        <x:v>4.8992517430542176e-17</x:v>
      </x:c>
    </x:row>
    <x:row r="1854">
      <x:c r="A1854" s="59" t="n">
        <x:v>1851</x:v>
      </x:c>
      <x:c r="B1854" s="193" t="n">
        <x:v>0.9774098508059978</x:v>
      </x:c>
      <x:c r="C1854" s="83" t="n">
        <x:v>2.335305595043866</x:v>
      </x:c>
      <x:c r="D1854" s="83" t="n">
        <x:v>0.391041809987857</x:v>
      </x:c>
      <x:c r="E1854" s="81" t="n">
        <x:v>0.011447707200635052</x:v>
      </x:c>
      <x:c r="F1854" s="81" t="n">
        <x:v>0.5347435317700728</x:v>
      </x:c>
      <x:c r="G1854" s="81" t="n">
        <x:v>-0.0008316619130946247</x:v>
      </x:c>
      <x:c r="H1854" s="59" t="n">
        <x:v>29</x:v>
      </x:c>
      <x:c r="I1854" s="81" t="n">
        <x:v>0.18459882503375413</x:v>
      </x:c>
      <x:c r="J1854" s="79" t="n">
        <x:v>0.00003085818408732949</x:v>
      </x:c>
      <x:c r="K1854" s="81" t="n">
        <x:v>-0.9647335039001949</x:v>
      </x:c>
      <x:c r="L1854" s="81" t="n">
        <x:v>-0.9648172003058455</x:v>
      </x:c>
      <x:c r="M1854" s="80" t="n">
        <x:v>3208.4798431680783</x:v>
      </x:c>
      <x:c r="N1854" s="82" t="n">
        <x:v>0.33493110289669137</x:v>
      </x:c>
      <x:c r="O1854" s="82" t="n">
        <x:v>0.16918893687222286</x:v>
      </x:c>
      <x:c r="P1854" s="80" t="n">
        <x:v>4452.524630757669</x:v>
      </x:c>
      <x:c r="Q1854" s="81" t="n">
        <x:v>0.02323599115720626</x:v>
      </x:c>
      <x:c r="R1854" s="81" t="n">
        <x:v>7.135493566346697</x:v>
      </x:c>
      <x:c r="S1854" s="81" t="n">
        <x:v>0.4102567251778068</x:v>
      </x:c>
      <x:c r="T1854" s="81" t="n">
        <x:v>0.6684556375108597</x:v>
      </x:c>
    </x:row>
    <x:row r="1855">
      <x:c r="A1855" s="59" t="n">
        <x:v>1852</x:v>
      </x:c>
      <x:c r="B1855" s="193" t="n">
        <x:v>0.5464198186993598</x:v>
      </x:c>
      <x:c r="C1855" s="83" t="n">
        <x:v>1.086994163379976</x:v>
      </x:c>
      <x:c r="D1855" s="83" t="n">
        <x:v>1.4813526140012931</x:v>
      </x:c>
      <x:c r="E1855" s="81" t="n">
        <x:v>-0.040970016681975245</x:v>
      </x:c>
      <x:c r="F1855" s="81" t="n">
        <x:v>0.2593492026440799</x:v>
      </x:c>
      <x:c r="G1855" s="81" t="n">
        <x:v>-0.004790009584755107</x:v>
      </x:c>
      <x:c r="H1855" s="59" t="n">
        <x:v>0</x:v>
      </x:c>
      <x:c r="I1855" s="81" t="n">
        <x:v>0</x:v>
      </x:c>
      <x:c r="J1855" s="79" t="n">
        <x:v>3.9016611041878563e-31</x:v>
      </x:c>
      <x:c r="K1855" s="81" t="n">
        <x:v>-1</x:v>
      </x:c>
      <x:c r="L1855" s="81" t="n">
        <x:v>-1</x:v>
      </x:c>
      <x:c r="M1855" s="80" t="n">
        <x:v>0.000002</x:v>
      </x:c>
      <x:c r="N1855" s="82" t="n">
        <x:v>0.23226119618578825</x:v>
      </x:c>
      <x:c r="O1855" s="82" t="n">
        <x:v>0.056902653284891226</x:v>
      </x:c>
      <x:c r="P1855" s="80" t="n">
        <x:v>839.5753772770414</x:v>
      </x:c>
      <x:c r="Q1855" s="81" t="n">
        <x:v>131558022474339.33</x:v>
      </x:c>
      <x:c r="R1855" s="81" t="n">
        <x:v>3.1788205372369394</x:v>
      </x:c>
      <x:c r="S1855" s="81" t="n">
        <x:v>5.865033522938695e-10</x:v>
      </x:c>
      <x:c r="T1855" s="81" t="n">
        <x:v>8.451849769805833e-27</x:v>
      </x:c>
    </x:row>
    <x:row r="1856">
      <x:c r="A1856" s="59" t="n">
        <x:v>1853</x:v>
      </x:c>
      <x:c r="B1856" s="193" t="n">
        <x:v>0.3783870151266456</x:v>
      </x:c>
      <x:c r="C1856" s="83" t="n">
        <x:v>0.19666586579678721</x:v>
      </x:c>
      <x:c r="D1856" s="83" t="n">
        <x:v>0.9690561576684762</x:v>
      </x:c>
      <x:c r="E1856" s="81" t="n">
        <x:v>0.016167452831861544</x:v>
      </x:c>
      <x:c r="F1856" s="81" t="n">
        <x:v>0.3789243858540431</x:v>
      </x:c>
      <x:c r="G1856" s="81" t="n">
        <x:v>-0.0023642974518436346</x:v>
      </x:c>
      <x:c r="H1856" s="59" t="n">
        <x:v>0</x:v>
      </x:c>
      <x:c r="I1856" s="81" t="n">
        <x:v>0</x:v>
      </x:c>
      <x:c r="J1856" s="79" t="n">
        <x:v>0.00029026941388376305</x:v>
      </x:c>
      <x:c r="K1856" s="81" t="n">
        <x:v>-0.668263526989985</x:v>
      </x:c>
      <x:c r="L1856" s="81" t="n">
        <x:v>-0.7937634843546032</x:v>
      </x:c>
      <x:c r="M1856" s="80" t="n">
        <x:v>3684.84901178489</x:v>
      </x:c>
      <x:c r="N1856" s="82" t="n">
        <x:v>0.1922326317597006</x:v>
      </x:c>
      <x:c r="O1856" s="82" t="n">
        <x:v>0.06880984965362624</x:v>
      </x:c>
      <x:c r="P1856" s="80" t="n">
        <x:v>8093.083395039295</x:v>
      </x:c>
      <x:c r="Q1856" s="81" t="n">
        <x:v>0.008638528005169082</x:v>
      </x:c>
      <x:c r="R1856" s="81" t="n">
        <x:v>120.75324904804671</x:v>
      </x:c>
      <x:c r="S1856" s="81" t="n">
        <x:v>28.693217213911883</x:v>
      </x:c>
      <x:c r="T1856" s="81" t="n">
        <x:v>6.287869226473535</x:v>
      </x:c>
    </x:row>
    <x:row r="1857">
      <x:c r="A1857" s="59" t="n">
        <x:v>1854</x:v>
      </x:c>
      <x:c r="B1857" s="193" t="n">
        <x:v>0.3057848170399666</x:v>
      </x:c>
      <x:c r="C1857" s="83" t="n">
        <x:v>0.5640700201145048</x:v>
      </x:c>
      <x:c r="D1857" s="83" t="n">
        <x:v>0.46223643636649275</x:v>
      </x:c>
      <x:c r="E1857" s="81" t="n">
        <x:v>-0.02480273315685274</x:v>
      </x:c>
      <x:c r="F1857" s="81" t="n">
        <x:v>0.8413631786708721</x:v>
      </x:c>
      <x:c r="G1857" s="81" t="n">
        <x:v>0.013918049119761983</x:v>
      </x:c>
      <x:c r="H1857" s="59" t="n">
        <x:v>64</x:v>
      </x:c>
      <x:c r="I1857" s="81" t="n">
        <x:v>0.3819089596159756</x:v>
      </x:c>
      <x:c r="J1857" s="79" t="n">
        <x:v>1.0265972184547695e-12</x:v>
      </x:c>
      <x:c r="K1857" s="81" t="n">
        <x:v>-0.9999999988267461</x:v>
      </x:c>
      <x:c r="L1857" s="81" t="n">
        <x:v>-0.9999999988267461</x:v>
      </x:c>
      <x:c r="M1857" s="80" t="n">
        <x:v>0.2761611634177256</x:v>
      </x:c>
      <x:c r="N1857" s="82" t="n">
        <x:v>0.1749374268842396</x:v>
      </x:c>
      <x:c r="O1857" s="82" t="n">
        <x:v>0.13903917360110338</x:v>
      </x:c>
      <x:c r="P1857" s="80" t="n">
        <x:v>573.6581466579229</x:v>
      </x:c>
      <x:c r="Q1857" s="81" t="n">
        <x:v>11.21552378382569</x:v>
      </x:c>
      <x:c r="R1857" s="81" t="n">
        <x:v>12.253374378169813</x:v>
      </x:c>
      <x:c r="S1857" s="81" t="n">
        <x:v>0.00004346399618070058</x:v>
      </x:c>
      <x:c r="T1857" s="81" t="n">
        <x:v>2.2238337038465892e-8</x:v>
      </x:c>
    </x:row>
    <x:row r="1858">
      <x:c r="A1858" s="59" t="n">
        <x:v>1855</x:v>
      </x:c>
      <x:c r="B1858" s="193" t="n">
        <x:v>0.21001236960291864</x:v>
      </x:c>
      <x:c r="C1858" s="83" t="n">
        <x:v>0.12152927265919575</x:v>
      </x:c>
      <x:c r="D1858" s="83" t="n">
        <x:v>1.2884959698843237</x:v>
      </x:c>
      <x:c r="E1858" s="81" t="n">
        <x:v>-0.0413908615677489</x:v>
      </x:c>
      <x:c r="F1858" s="81" t="n">
        <x:v>0.5495421225670725</x:v>
      </x:c>
      <x:c r="G1858" s="81" t="n">
        <x:v>-0.011178592039338863</x:v>
      </x:c>
      <x:c r="H1858" s="59" t="n">
        <x:v>0</x:v>
      </x:c>
      <x:c r="I1858" s="81" t="n">
        <x:v>0</x:v>
      </x:c>
      <x:c r="J1858" s="79" t="n">
        <x:v>2.473362551841998e-28</x:v>
      </x:c>
      <x:c r="K1858" s="81" t="n">
        <x:v>-1</x:v>
      </x:c>
      <x:c r="L1858" s="81" t="n">
        <x:v>-1</x:v>
      </x:c>
      <x:c r="M1858" s="80" t="n">
        <x:v>0.000002</x:v>
      </x:c>
      <x:c r="N1858" s="82" t="n">
        <x:v>0.1521226341713451</x:v>
      </x:c>
      <x:c r="O1858" s="82" t="n">
        <x:v>0.07897065965775384</x:v>
      </x:c>
      <x:c r="P1858" s="80" t="n">
        <x:v>417.30635180954096</x:v>
      </x:c>
      <x:c r="Q1858" s="81" t="n">
        <x:v>205502124424.42346</x:v>
      </x:c>
      <x:c r="R1858" s="81" t="n">
        <x:v>21.947846594734617</x:v>
      </x:c>
      <x:c r="S1858" s="81" t="n">
        <x:v>8.777628399076424e-10</x:v>
      </x:c>
      <x:c r="T1858" s="81" t="n">
        <x:v>5.3578432765455426e-24</x:v>
      </x:c>
    </x:row>
    <x:row r="1859">
      <x:c r="A1859" s="59" t="n">
        <x:v>1856</x:v>
      </x:c>
      <x:c r="B1859" s="193" t="n">
        <x:v>0.7869174236431717</x:v>
      </x:c>
      <x:c r="C1859" s="83" t="n">
        <x:v>0.49013265499071795</x:v>
      </x:c>
      <x:c r="D1859" s="83" t="n">
        <x:v>1.2096828588028417</x:v>
      </x:c>
      <x:c r="E1859" s="81" t="n">
        <x:v>0.04404371746880314</x:v>
      </x:c>
      <x:c r="F1859" s="81" t="n">
        <x:v>0.33299346824642273</x:v>
      </x:c>
      <x:c r="G1859" s="81" t="n">
        <x:v>0.013819743711292638</x:v>
      </x:c>
      <x:c r="H1859" s="59" t="n">
        <x:v>0</x:v>
      </x:c>
      <x:c r="I1859" s="81" t="n">
        <x:v>0</x:v>
      </x:c>
      <x:c r="J1859" s="79" t="n">
        <x:v>0.005127244634246884</x:v>
      </x:c>
      <x:c r="K1859" s="81" t="n">
        <x:v>4.859708153425011</x:v>
      </x:c>
      <x:c r="L1859" s="81" t="n">
        <x:v>-0.6687828776481235</x:v>
      </x:c>
      <x:c r="M1859" s="80" t="n">
        <x:v>22571.61377524542</x:v>
      </x:c>
      <x:c r="N1859" s="82" t="n">
        <x:v>0.2895522350134968</x:v>
      </x:c>
      <x:c r="O1859" s="82" t="n">
        <x:v>0.09108221387493508</x:v>
      </x:c>
      <x:c r="P1859" s="80" t="n">
        <x:v>49481.913431974644</x:v>
      </x:c>
      <x:c r="Q1859" s="81" t="n">
        <x:v>0.004929422064688576</x:v>
      </x:c>
      <x:c r="R1859" s="81" t="n">
        <x:v>215.06041900487816</x:v>
      </x:c>
      <x:c r="S1859" s="81" t="n">
        <x:v>204.06218518263657</x:v>
      </x:c>
      <x:c r="T1859" s="81" t="n">
        <x:v>111.06731267660416</x:v>
      </x:c>
    </x:row>
    <x:row r="1860">
      <x:c r="A1860" s="59" t="n">
        <x:v>1857</x:v>
      </x:c>
      <x:c r="B1860" s="193" t="n">
        <x:v>0.9226533537730575</x:v>
      </x:c>
      <x:c r="C1860" s="83" t="n">
        <x:v>0.1430935880582664</x:v>
      </x:c>
      <x:c r="D1860" s="83" t="n">
        <x:v>0.6555121868321422</x:v>
      </x:c>
      <x:c r="E1860" s="81" t="n">
        <x:v>-0.03666741751381582</x:v>
      </x:c>
      <x:c r="F1860" s="81" t="n">
        <x:v>0.4090070710517466</x:v>
      </x:c>
      <x:c r="G1860" s="81" t="n">
        <x:v>-0.014348184962263337</x:v>
      </x:c>
      <x:c r="H1860" s="59" t="n">
        <x:v>0</x:v>
      </x:c>
      <x:c r="I1860" s="81" t="n">
        <x:v>0</x:v>
      </x:c>
      <x:c r="J1860" s="79" t="n">
        <x:v>4.628785471240628e-18</x:v>
      </x:c>
      <x:c r="K1860" s="81" t="n">
        <x:v>-0.9999999999999947</x:v>
      </x:c>
      <x:c r="L1860" s="81" t="n">
        <x:v>-0.9999999999999947</x:v>
      </x:c>
      <x:c r="M1860" s="80" t="n">
        <x:v>0.00043628854259093275</x:v>
      </x:c>
      <x:c r="N1860" s="82" t="n">
        <x:v>0.32188707861912547</x:v>
      </x:c>
      <x:c r="O1860" s="82" t="n">
        <x:v>0.12436704099131397</x:v>
      </x:c>
      <x:c r="P1860" s="80" t="n">
        <x:v>367.43041489349156</x:v>
      </x:c>
      <x:c r="Q1860" s="81" t="n">
        <x:v>2691.718223087473</x:v>
      </x:c>
      <x:c r="R1860" s="81" t="n">
        <x:v>31.014172449814247</x:v>
      </x:c>
      <x:c r="S1860" s="81" t="n">
        <x:v>9.558389484949694e-8</x:v>
      </x:c>
      <x:c r="T1860" s="81" t="n">
        <x:v>1.0026959896028445e-13</x:v>
      </x:c>
    </x:row>
    <x:row r="1861">
      <x:c r="A1861" s="59" t="n">
        <x:v>1858</x:v>
      </x:c>
      <x:c r="B1861" s="193" t="n">
        <x:v>0.509893111884594</x:v>
      </x:c>
      <x:c r="C1861" s="83" t="n">
        <x:v>0.7249311304845534</x:v>
      </x:c>
      <x:c r="D1861" s="83" t="n">
        <x:v>0.49415526831175277</x:v>
      </x:c>
      <x:c r="E1861" s="81" t="n">
        <x:v>-0.011689505102903485</x:v>
      </x:c>
      <x:c r="F1861" s="81" t="n">
        <x:v>0.8299412535619922</x:v>
      </x:c>
      <x:c r="G1861" s="81" t="n">
        <x:v>-0.008926557491101833</x:v>
      </x:c>
      <x:c r="H1861" s="59" t="n">
        <x:v>0</x:v>
      </x:c>
      <x:c r="I1861" s="81" t="n">
        <x:v>0</x:v>
      </x:c>
      <x:c r="J1861" s="79" t="n">
        <x:v>4.601429066709154e-9</x:v>
      </x:c>
      <x:c r="K1861" s="81" t="n">
        <x:v>-0.9999947412239237</x:v>
      </x:c>
      <x:c r="L1861" s="81" t="n">
        <x:v>-0.9999947412239237</x:v>
      </x:c>
      <x:c r="M1861" s="80" t="n">
        <x:v>20.139327747041747</x:v>
      </x:c>
      <x:c r="N1861" s="82" t="n">
        <x:v>0.2235598497467581</x:v>
      </x:c>
      <x:c r="O1861" s="82" t="n">
        <x:v>0.17527182282090098</x:v>
      </x:c>
      <x:c r="P1861" s="80" t="n">
        <x:v>843.844043010127</x:v>
      </x:c>
      <x:c r="Q1861" s="81" t="n">
        <x:v>0.3519425015205162</x:v>
      </x:c>
      <x:c r="R1861" s="81" t="n">
        <x:v>11.050810501750902</x:v>
      </x:c>
      <x:c r="S1861" s="81" t="n">
        <x:v>0.002407988811113873</x:v>
      </x:c>
      <x:c r="T1861" s="81" t="n">
        <x:v>0.0000996769995131057</x:v>
      </x:c>
    </x:row>
    <x:row r="1862">
      <x:c r="A1862" s="59" t="n">
        <x:v>1859</x:v>
      </x:c>
      <x:c r="B1862" s="193" t="n">
        <x:v>0.27095225527882577</x:v>
      </x:c>
      <x:c r="C1862" s="83" t="n">
        <x:v>0.16963779422368772</x:v>
      </x:c>
      <x:c r="D1862" s="83" t="n">
        <x:v>1.3100218372374768</x:v>
      </x:c>
      <x:c r="E1862" s="81" t="n">
        <x:v>0.053277510231437876</x:v>
      </x:c>
      <x:c r="F1862" s="81" t="n">
        <x:v>0.36301512728678065</x:v>
      </x:c>
      <x:c r="G1862" s="81" t="n">
        <x:v>0.014094423864957312</x:v>
      </x:c>
      <x:c r="H1862" s="59" t="n">
        <x:v>0</x:v>
      </x:c>
      <x:c r="I1862" s="81" t="n">
        <x:v>0</x:v>
      </x:c>
      <x:c r="J1862" s="79" t="n">
        <x:v>0.014653405795516291</x:v>
      </x:c>
      <x:c r="K1862" s="81" t="n">
        <x:v>15.746749480590047</x:v>
      </x:c>
      <x:c r="L1862" s="81" t="n">
        <x:v>-0.6610821120785638</x:v>
      </x:c>
      <x:c r="M1862" s="80" t="n">
        <x:v>31806.761743006515</x:v>
      </x:c>
      <x:c r="N1862" s="82" t="n">
        <x:v>0.16663965756220267</x:v>
      </x:c>
      <x:c r="O1862" s="82" t="n">
        <x:v>0.05714444634538112</x:v>
      </x:c>
      <x:c r="P1862" s="80" t="n">
        <x:v>71402.25780466621</x:v>
      </x:c>
      <x:c r="Q1862" s="81" t="n">
        <x:v>0.0026888421535547656</x:v>
      </x:c>
      <x:c r="R1862" s="81" t="n">
        <x:v>1360.7538908058084</x:v>
      </x:c>
      <x:c r="S1862" s="81" t="n">
        <x:v>1623.1636812493884</x:v>
      </x:c>
      <x:c r="T1862" s="81" t="n">
        <x:v>317.4247611274412</x:v>
      </x:c>
    </x:row>
    <x:row r="1863">
      <x:c r="A1863" s="59" t="n">
        <x:v>1860</x:v>
      </x:c>
      <x:c r="B1863" s="193" t="n">
        <x:v>0.35241181273013356</x:v>
      </x:c>
      <x:c r="C1863" s="83" t="n">
        <x:v>0.12139325305264996</x:v>
      </x:c>
      <x:c r="D1863" s="83" t="n">
        <x:v>0.8019577727854525</x:v>
      </x:c>
      <x:c r="E1863" s="81" t="n">
        <x:v>-0.0660863969888411</x:v>
      </x:c>
      <x:c r="F1863" s="81" t="n">
        <x:v>0.7464641041471622</x:v>
      </x:c>
      <x:c r="G1863" s="81" t="n">
        <x:v>0.037006366561509005</x:v>
      </x:c>
      <x:c r="H1863" s="59" t="n">
        <x:v>0</x:v>
      </x:c>
      <x:c r="I1863" s="81" t="n">
        <x:v>0</x:v>
      </x:c>
      <x:c r="J1863" s="79" t="n">
        <x:v>3.881445314227533e-33</x:v>
      </x:c>
      <x:c r="K1863" s="81" t="n">
        <x:v>-1</x:v>
      </x:c>
      <x:c r="L1863" s="81" t="n">
        <x:v>-1</x:v>
      </x:c>
      <x:c r="M1863" s="80" t="n">
        <x:v>0.000002</x:v>
      </x:c>
      <x:c r="N1863" s="82" t="n">
        <x:v>0.18604485151380648</x:v>
      </x:c>
      <x:c r="O1863" s="82" t="n">
        <x:v>0.13118903160640324</x:v>
      </x:c>
      <x:c r="P1863" s="80" t="n">
        <x:v>250.46443501832934</x:v>
      </x:c>
      <x:c r="Q1863" s="81" t="n">
        <x:v>8396178370965804</x:v>
      </x:c>
      <x:c r="R1863" s="81" t="n">
        <x:v>20.1000857480267</x:v>
      </x:c>
      <x:c r="S1863" s="81" t="n">
        <x:v>9.747763365336343e-10</x:v>
      </x:c>
      <x:c r="T1863" s="81" t="n">
        <x:v>8.40805795520174e-29</x:v>
      </x:c>
    </x:row>
    <x:row r="1864">
      <x:c r="A1864" s="59" t="n">
        <x:v>1861</x:v>
      </x:c>
      <x:c r="B1864" s="193" t="n">
        <x:v>0.9199955485761167</x:v>
      </x:c>
      <x:c r="C1864" s="83" t="n">
        <x:v>0.21537330123739035</x:v>
      </x:c>
      <x:c r="D1864" s="83" t="n">
        <x:v>0.5351701512836747</x:v>
      </x:c>
      <x:c r="E1864" s="81" t="n">
        <x:v>0.03623712522142655</x:v>
      </x:c>
      <x:c r="F1864" s="81" t="n">
        <x:v>0.8687357751536183</x:v>
      </x:c>
      <x:c r="G1864" s="81" t="n">
        <x:v>-0.016928073683964887</x:v>
      </x:c>
      <x:c r="H1864" s="59" t="n">
        <x:v>0</x:v>
      </x:c>
      <x:c r="I1864" s="81" t="n">
        <x:v>0</x:v>
      </x:c>
      <x:c r="J1864" s="79" t="n">
        <x:v>0.000023052749958391042</x:v>
      </x:c>
      <x:c r="K1864" s="81" t="n">
        <x:v>-0.9736540000475531</x:v>
      </x:c>
      <x:c r="L1864" s="81" t="n">
        <x:v>-0.9748650890541217</x:v>
      </x:c>
      <x:c r="M1864" s="80" t="n">
        <x:v>1067.453732520788</x:v>
      </x:c>
      <x:c r="N1864" s="82" t="n">
        <x:v>0.32125393958736687</x:v>
      </x:c>
      <x:c r="O1864" s="82" t="n">
        <x:v>0.26363745494507496</x:v>
      </x:c>
      <x:c r="P1864" s="80" t="n">
        <x:v>1566.783244244123</x:v>
      </x:c>
      <x:c r="Q1864" s="81" t="n">
        <x:v>0.01464109539514409</x:v>
      </x:c>
      <x:c r="R1864" s="81" t="n">
        <x:v>46.19321522814764</x:v>
      </x:c>
      <x:c r="S1864" s="81" t="n">
        <x:v>2.1604514824955574</x:v>
      </x:c>
      <x:c r="T1864" s="81" t="n">
        <x:v>0.4993728933045688</x:v>
      </x:c>
    </x:row>
    <x:row r="1865">
      <x:c r="A1865" s="59" t="n">
        <x:v>1862</x:v>
      </x:c>
      <x:c r="B1865" s="193" t="n">
        <x:v>0.35924254804849626</x:v>
      </x:c>
      <x:c r="C1865" s="83" t="n">
        <x:v>1.1151781096189048</x:v>
      </x:c>
      <x:c r="D1865" s="83" t="n">
        <x:v>0.2151259806426337</x:v>
      </x:c>
      <x:c r="E1865" s="81" t="n">
        <x:v>-0.02867322928172098</x:v>
      </x:c>
      <x:c r="F1865" s="81" t="n">
        <x:v>0.6289290366112255</x:v>
      </x:c>
      <x:c r="G1865" s="81" t="n">
        <x:v>-0.002315874367632073</x:v>
      </x:c>
      <x:c r="H1865" s="59" t="n">
        <x:v>0</x:v>
      </x:c>
      <x:c r="I1865" s="81" t="n">
        <x:v>0</x:v>
      </x:c>
      <x:c r="J1865" s="79" t="n">
        <x:v>6.67490558564898e-9</x:v>
      </x:c>
      <x:c r="K1865" s="81" t="n">
        <x:v>-0.9999923715364736</x:v>
      </x:c>
      <x:c r="L1865" s="81" t="n">
        <x:v>-0.9999923715364736</x:v>
      </x:c>
      <x:c r="M1865" s="80" t="n">
        <x:v>29.728054714215677</x:v>
      </x:c>
      <x:c r="N1865" s="82" t="n">
        <x:v>0.18767206074292778</x:v>
      </x:c>
      <x:c r="O1865" s="82" t="n">
        <x:v>0.11149931788142313</x:v>
      </x:c>
      <x:c r="P1865" s="80" t="n">
        <x:v>584.7911354835812</x:v>
      </x:c>
      <x:c r="Q1865" s="81" t="n">
        <x:v>0.15335601425495587</x:v>
      </x:c>
      <x:c r="R1865" s="81" t="n">
        <x:v>8.767416489492536</x:v>
      </x:c>
      <x:c r="S1865" s="81" t="n">
        <x:v>0.0014144820386837894</x:v>
      </x:c>
      <x:c r="T1865" s="81" t="n">
        <x:v>0.000144593027767044</x:v>
      </x:c>
    </x:row>
    <x:row r="1866">
      <x:c r="A1866" s="59" t="n">
        <x:v>1863</x:v>
      </x:c>
      <x:c r="B1866" s="193" t="n">
        <x:v>0.6401239084079862</x:v>
      </x:c>
      <x:c r="C1866" s="83" t="n">
        <x:v>1.9085682912868058</x:v>
      </x:c>
      <x:c r="D1866" s="83" t="n">
        <x:v>0.6401091283373093</x:v>
      </x:c>
      <x:c r="E1866" s="81" t="n">
        <x:v>-0.053817906563551364</x:v>
      </x:c>
      <x:c r="F1866" s="81" t="n">
        <x:v>0.7520310713094659</x:v>
      </x:c>
      <x:c r="G1866" s="81" t="n">
        <x:v>0.008598108113551762</x:v>
      </x:c>
      <x:c r="H1866" s="59" t="n">
        <x:v>0</x:v>
      </x:c>
      <x:c r="I1866" s="81" t="n">
        <x:v>0</x:v>
      </x:c>
      <x:c r="J1866" s="79" t="n">
        <x:v>7.26017557679776e-25</x:v>
      </x:c>
      <x:c r="K1866" s="81" t="n">
        <x:v>-1</x:v>
      </x:c>
      <x:c r="L1866" s="81" t="n">
        <x:v>-1</x:v>
      </x:c>
      <x:c r="M1866" s="80" t="n">
        <x:v>0.000002</x:v>
      </x:c>
      <x:c r="N1866" s="82" t="n">
        <x:v>0.25458326730606534</x:v>
      </x:c>
      <x:c r="O1866" s="82" t="n">
        <x:v>0.1808575245554136</x:v>
      </x:c>
      <x:c r="P1866" s="80" t="n">
        <x:v>773.7514253983223</x:v>
      </x:c>
      <x:c r="Q1866" s="81" t="n">
        <x:v>54486191.30791773</x:v>
      </x:c>
      <x:c r="R1866" s="81" t="n">
        <x:v>2.558391452890933</x:v>
      </x:c>
      <x:c r="S1866" s="81" t="n">
        <x:v>2.139519964424024e-10</x:v>
      </x:c>
      <x:c r="T1866" s="81" t="n">
        <x:v>1.5727125354799562e-20</x:v>
      </x:c>
    </x:row>
    <x:row r="1867">
      <x:c r="A1867" s="59" t="n">
        <x:v>1864</x:v>
      </x:c>
      <x:c r="B1867" s="193" t="n">
        <x:v>0.9398142093792559</x:v>
      </x:c>
      <x:c r="C1867" s="83" t="n">
        <x:v>0.3997481500591693</x:v>
      </x:c>
      <x:c r="D1867" s="83" t="n">
        <x:v>0.4992037941342438</x:v>
      </x:c>
      <x:c r="E1867" s="81" t="n">
        <x:v>0.05754083674912179</x:v>
      </x:c>
      <x:c r="F1867" s="81" t="n">
        <x:v>0.6729943251470104</x:v>
      </x:c>
      <x:c r="G1867" s="81" t="n">
        <x:v>0.017942623453904294</x:v>
      </x:c>
      <x:c r="H1867" s="59" t="n">
        <x:v>42</x:v>
      </x:c>
      <x:c r="I1867" s="81" t="n">
        <x:v>0.4781344032846392</x:v>
      </x:c>
      <x:c r="J1867" s="79" t="n">
        <x:v>0.00025365476543682045</x:v>
      </x:c>
      <x:c r="K1867" s="81" t="n">
        <x:v>-0.7101088395007766</x:v>
      </x:c>
      <x:c r="L1867" s="81" t="n">
        <x:v>-0.8830263131252202</x:v>
      </x:c>
      <x:c r="M1867" s="80" t="n">
        <x:v>4304.523524309671</x:v>
      </x:c>
      <x:c r="N1867" s="82" t="n">
        <x:v>0.3259751161905646</x:v>
      </x:c>
      <x:c r="O1867" s="82" t="n">
        <x:v>0.2072367595358366</x:v>
      </x:c>
      <x:c r="P1867" s="80" t="n">
        <x:v>4663.58964024853</x:v>
      </x:c>
      <x:c r="Q1867" s="81" t="n">
        <x:v>0.008118771162757636</x:v>
      </x:c>
      <x:c r="R1867" s="81" t="n">
        <x:v>46.58058519202047</x:v>
      </x:c>
      <x:c r="S1867" s="81" t="n">
        <x:v>12.658829512861047</x:v>
      </x:c>
      <x:c r="T1867" s="81" t="n">
        <x:v>5.494716003310068</x:v>
      </x:c>
    </x:row>
    <x:row r="1868">
      <x:c r="A1868" s="59" t="n">
        <x:v>1865</x:v>
      </x:c>
      <x:c r="B1868" s="193" t="n">
        <x:v>0.2164236005395651</x:v>
      </x:c>
      <x:c r="C1868" s="83" t="n">
        <x:v>0.11753794368643286</x:v>
      </x:c>
      <x:c r="D1868" s="83" t="n">
        <x:v>0.6614478874017191</x:v>
      </x:c>
      <x:c r="E1868" s="81" t="n">
        <x:v>0.025816810228650722</x:v>
      </x:c>
      <x:c r="F1868" s="81" t="n">
        <x:v>0.8954311028006486</x:v>
      </x:c>
      <x:c r="G1868" s="81" t="n">
        <x:v>0.021538947636828457</x:v>
      </x:c>
      <x:c r="H1868" s="59" t="n">
        <x:v>0</x:v>
      </x:c>
      <x:c r="I1868" s="81" t="n">
        <x:v>0</x:v>
      </x:c>
      <x:c r="J1868" s="79" t="n">
        <x:v>0.00014725206361490824</x:v>
      </x:c>
      <x:c r="K1868" s="81" t="n">
        <x:v>-0.8317119272972477</x:v>
      </x:c>
      <x:c r="L1868" s="81" t="n">
        <x:v>-0.9116614927831463</x:v>
      </x:c>
      <x:c r="M1868" s="80" t="n">
        <x:v>2494.224583501896</x:v>
      </x:c>
      <x:c r="N1868" s="82" t="n">
        <x:v>0.15364990959103456</x:v>
      </x:c>
      <x:c r="O1868" s="82" t="n">
        <x:v>0.1299676979057216</x:v>
      </x:c>
      <x:c r="P1868" s="80" t="n">
        <x:v>3913.9270440983405</x:v>
      </x:c>
      <x:c r="Q1868" s="81" t="n">
        <x:v>0.010417254556252241</x:v>
      </x:c>
      <x:c r="R1868" s="81" t="n">
        <x:v>131.92825637704047</x:v>
      </x:c>
      <x:c r="S1868" s="81" t="n">
        <x:v>24.118064913962094</x:v>
      </x:c>
      <x:c r="T1868" s="81" t="n">
        <x:v>3.189801181428222</x:v>
      </x:c>
    </x:row>
    <x:row r="1869">
      <x:c r="A1869" s="59" t="n">
        <x:v>1866</x:v>
      </x:c>
      <x:c r="B1869" s="193" t="n">
        <x:v>0.7118586821481585</x:v>
      </x:c>
      <x:c r="C1869" s="83" t="n">
        <x:v>2.6915571552642454</x:v>
      </x:c>
      <x:c r="D1869" s="83" t="n">
        <x:v>0.11671596593702523</x:v>
      </x:c>
      <x:c r="E1869" s="81" t="n">
        <x:v>-0.06612295823125436</x:v>
      </x:c>
      <x:c r="F1869" s="81" t="n">
        <x:v>0.8537177149904892</x:v>
      </x:c>
      <x:c r="G1869" s="81" t="n">
        <x:v>0.011195078848051139</x:v>
      </x:c>
      <x:c r="H1869" s="59" t="n">
        <x:v>0</x:v>
      </x:c>
      <x:c r="I1869" s="81" t="n">
        <x:v>0</x:v>
      </x:c>
      <x:c r="J1869" s="79" t="n">
        <x:v>3.8584441079533487e-10</x:v>
      </x:c>
      <x:c r="K1869" s="81" t="n">
        <x:v>-0.9999995590349591</x:v>
      </x:c>
      <x:c r="L1869" s="81" t="n">
        <x:v>-0.9999995590349591</x:v>
      </x:c>
      <x:c r="M1869" s="80" t="n">
        <x:v>12.526883716422908</x:v>
      </x:c>
      <x:c r="N1869" s="82" t="n">
        <x:v>0.27167183543798185</x:v>
      </x:c>
      <x:c r="O1869" s="82" t="n">
        <x:v>0.21909368101349286</x:v>
      </x:c>
      <x:c r="P1869" s="80" t="n">
        <x:v>495.87873611075855</x:v>
      </x:c>
      <x:c r="Q1869" s="81" t="n">
        <x:v>0.5221807621564769</x:v>
      </x:c>
      <x:c r="R1869" s="81" t="n">
        <x:v>3.353805796267077</x:v>
      </x:c>
      <x:c r="S1869" s="81" t="n">
        <x:v>0.0002048106245316902</x:v>
      </x:c>
      <x:c r="T1869" s="81" t="n">
        <x:v>0.00000835823232074439</x:v>
      </x:c>
    </x:row>
    <x:row r="1870">
      <x:c r="A1870" s="59" t="n">
        <x:v>1867</x:v>
      </x:c>
      <x:c r="B1870" s="193" t="n">
        <x:v>0.9841908132657409</x:v>
      </x:c>
      <x:c r="C1870" s="83" t="n">
        <x:v>2.3928838053279375</x:v>
      </x:c>
      <x:c r="D1870" s="83" t="n">
        <x:v>2.602997866963775</x:v>
      </x:c>
      <x:c r="E1870" s="81" t="n">
        <x:v>0.03892435690897206</x:v>
      </x:c>
      <x:c r="F1870" s="81" t="n">
        <x:v>0.6206271506962366</x:v>
      </x:c>
      <x:c r="G1870" s="81" t="n">
        <x:v>0.03307166965009299</x:v>
      </x:c>
      <x:c r="H1870" s="59" t="n">
        <x:v>0</x:v>
      </x:c>
      <x:c r="I1870" s="81" t="n">
        <x:v>0</x:v>
      </x:c>
      <x:c r="J1870" s="79" t="n">
        <x:v>0.036839141494851554</x:v>
      </x:c>
      <x:c r="K1870" s="81" t="n">
        <x:v>41.101875994116064</x:v>
      </x:c>
      <x:c r="L1870" s="81" t="n">
        <x:v>-0.7138780947843236</x:v>
      </x:c>
      <x:c r="M1870" s="80" t="n">
        <x:v>169093.8914736242</x:v>
      </x:c>
      <x:c r="N1870" s="82" t="n">
        <x:v>0.3365464552976479</x:v>
      </x:c>
      <x:c r="O1870" s="82" t="n">
        <x:v>0.19730892633431346</x:v>
      </x:c>
      <x:c r="P1870" s="80" t="n">
        <x:v>699576.3770093382</x:v>
      </x:c>
      <x:c r="Q1870" s="81" t="n">
        <x:v>0.013545572444007743</x:v>
      </x:c>
      <x:c r="R1870" s="81" t="n">
        <x:v>192.15359563536106</x:v>
      </x:c>
      <x:c r="S1870" s="81" t="n">
        <x:v>372.4119622517576</x:v>
      </x:c>
      <x:c r="T1870" s="81" t="n">
        <x:v>798.0162326987036</x:v>
      </x:c>
    </x:row>
    <x:row r="1871">
      <x:c r="A1871" s="59" t="n">
        <x:v>1868</x:v>
      </x:c>
      <x:c r="B1871" s="193" t="n">
        <x:v>0.962464596889913</x:v>
      </x:c>
      <x:c r="C1871" s="83" t="n">
        <x:v>0.2080263617750213</x:v>
      </x:c>
      <x:c r="D1871" s="83" t="n">
        <x:v>1.4013494776058746</x:v>
      </x:c>
      <x:c r="E1871" s="81" t="n">
        <x:v>-0.07049013896355519</x:v>
      </x:c>
      <x:c r="F1871" s="81" t="n">
        <x:v>0.5839981129509397</x:v>
      </x:c>
      <x:c r="G1871" s="81" t="n">
        <x:v>-0.04873512580605761</x:v>
      </x:c>
      <x:c r="H1871" s="59" t="n">
        <x:v>0</x:v>
      </x:c>
      <x:c r="I1871" s="81" t="n">
        <x:v>0</x:v>
      </x:c>
      <x:c r="J1871" s="79" t="n">
        <x:v>4.182731363686064e-35</x:v>
      </x:c>
      <x:c r="K1871" s="81" t="n">
        <x:v>-1</x:v>
      </x:c>
      <x:c r="L1871" s="81" t="n">
        <x:v>-1</x:v>
      </x:c>
      <x:c r="M1871" s="80" t="n">
        <x:v>0.000002</x:v>
      </x:c>
      <x:c r="N1871" s="82" t="n">
        <x:v>0.33137086319036907</x:v>
      </x:c>
      <x:c r="O1871" s="82" t="n">
        <x:v>0.1828086345182421</x:v>
      </x:c>
      <x:c r="P1871" s="80" t="n">
        <x:v>286.2466780647747</x:v>
      </x:c>
      <x:c r="Q1871" s="81" t="n">
        <x:v>733481446045566700</x:v>
      </x:c>
      <x:c r="R1871" s="81" t="n">
        <x:v>6.867189046077465</x:v>
      </x:c>
      <x:c r="S1871" s="81" t="n">
        <x:v>5.53318580295587e-10</x:v>
      </x:c>
      <x:c r="T1871" s="81" t="n">
        <x:v>9.060709315677047e-31</x:v>
      </x:c>
    </x:row>
    <x:row r="1872">
      <x:c r="A1872" s="59" t="n">
        <x:v>1869</x:v>
      </x:c>
      <x:c r="B1872" s="193" t="n">
        <x:v>0.8945716159418227</x:v>
      </x:c>
      <x:c r="C1872" s="83" t="n">
        <x:v>1.1230703240439612</x:v>
      </x:c>
      <x:c r="D1872" s="83" t="n">
        <x:v>0.2517289260622156</x:v>
      </x:c>
      <x:c r="E1872" s="81" t="n">
        <x:v>0.038732371501441966</x:v>
      </x:c>
      <x:c r="F1872" s="81" t="n">
        <x:v>0.33079459896543995</x:v>
      </x:c>
      <x:c r="G1872" s="81" t="n">
        <x:v>-0.02493049011848881</x:v>
      </x:c>
      <x:c r="H1872" s="59" t="n">
        <x:v>0</x:v>
      </x:c>
      <x:c r="I1872" s="81" t="n">
        <x:v>0</x:v>
      </x:c>
      <x:c r="J1872" s="79" t="n">
        <x:v>0.00010420872520355772</x:v>
      </x:c>
      <x:c r="K1872" s="81" t="n">
        <x:v>-0.8809043140530769</x:v>
      </x:c>
      <x:c r="L1872" s="81" t="n">
        <x:v>-0.8908048557331157</x:v>
      </x:c>
      <x:c r="M1872" s="80" t="n">
        <x:v>3809.579312279324</x:v>
      </x:c>
      <x:c r="N1872" s="82" t="n">
        <x:v>0.31519748213514104</x:v>
      </x:c>
      <x:c r="O1872" s="82" t="n">
        <x:v>0.09849452530564184</x:v>
      </x:c>
      <x:c r="P1872" s="80" t="n">
        <x:v>2608.05465733881</x:v>
      </x:c>
      <x:c r="Q1872" s="81" t="n">
        <x:v>0.004799351507266054</x:v>
      </x:c>
      <x:c r="R1872" s="81" t="n">
        <x:v>18.158546452934242</x:v>
      </x:c>
      <x:c r="S1872" s="81" t="n">
        <x:v>1.874066746508768</x:v>
      </x:c>
      <x:c r="T1872" s="81" t="n">
        <x:v>2.257388498396457</x:v>
      </x:c>
    </x:row>
    <x:row r="1873">
      <x:c r="A1873" s="59" t="n">
        <x:v>1870</x:v>
      </x:c>
      <x:c r="B1873" s="193" t="n">
        <x:v>0.6893595371395349</x:v>
      </x:c>
      <x:c r="C1873" s="83" t="n">
        <x:v>0.17209507161901205</x:v>
      </x:c>
      <x:c r="D1873" s="83" t="n">
        <x:v>0.9204501271884471</x:v>
      </x:c>
      <x:c r="E1873" s="81" t="n">
        <x:v>-0.05171730466862776</x:v>
      </x:c>
      <x:c r="F1873" s="81" t="n">
        <x:v>0.5965786369983107</x:v>
      </x:c>
      <x:c r="G1873" s="81" t="n">
        <x:v>-0.006068209635570051</x:v>
      </x:c>
      <x:c r="H1873" s="59" t="n">
        <x:v>80</x:v>
      </x:c>
      <x:c r="I1873" s="81" t="n">
        <x:v>0.2687737447209656</x:v>
      </x:c>
      <x:c r="J1873" s="79" t="n">
        <x:v>2.6600999197295994e-27</x:v>
      </x:c>
      <x:c r="K1873" s="81" t="n">
        <x:v>-1</x:v>
      </x:c>
      <x:c r="L1873" s="81" t="n">
        <x:v>-1</x:v>
      </x:c>
      <x:c r="M1873" s="80" t="n">
        <x:v>0.000002</x:v>
      </x:c>
      <x:c r="N1873" s="82" t="n">
        <x:v>0.2663121172379585</x:v>
      </x:c>
      <x:c r="O1873" s="82" t="n">
        <x:v>0.1500823311525212</x:v>
      </x:c>
      <x:c r="P1873" s="80" t="n">
        <x:v>320.44387423111175</x:v>
      </x:c>
      <x:c r="Q1873" s="81" t="n">
        <x:v>15444006932.284292</x:v>
      </x:c>
      <x:c r="R1873" s="81" t="n">
        <x:v>15.556449888698161</x:v>
      </x:c>
      <x:c r="S1873" s="81" t="n">
        <x:v>6.388221065843885e-10</x:v>
      </x:c>
      <x:c r="T1873" s="81" t="n">
        <x:v>5.762357184250372e-23</x:v>
      </x:c>
    </x:row>
    <x:row r="1874">
      <x:c r="A1874" s="59" t="n">
        <x:v>1871</x:v>
      </x:c>
      <x:c r="B1874" s="193" t="n">
        <x:v>0.8196615185588598</x:v>
      </x:c>
      <x:c r="C1874" s="83" t="n">
        <x:v>0.3518392919631491</x:v>
      </x:c>
      <x:c r="D1874" s="83" t="n">
        <x:v>0.24953186074157305</x:v>
      </x:c>
      <x:c r="E1874" s="81" t="n">
        <x:v>-0.09340967189784401</x:v>
      </x:c>
      <x:c r="F1874" s="81" t="n">
        <x:v>0.676476422091946</x:v>
      </x:c>
      <x:c r="G1874" s="81" t="n">
        <x:v>0.025106753319308575</x:v>
      </x:c>
      <x:c r="H1874" s="59" t="n">
        <x:v>13</x:v>
      </x:c>
      <x:c r="I1874" s="81" t="n">
        <x:v>0.3038579404354096</x:v>
      </x:c>
      <x:c r="J1874" s="79" t="n">
        <x:v>2.1521283467171565e-21</x:v>
      </x:c>
      <x:c r="K1874" s="81" t="n">
        <x:v>-1</x:v>
      </x:c>
      <x:c r="L1874" s="81" t="n">
        <x:v>-1</x:v>
      </x:c>
      <x:c r="M1874" s="80" t="n">
        <x:v>0.00001124774179440655</x:v>
      </x:c>
      <x:c r="N1874" s="82" t="n">
        <x:v>0.29735249237419337</x:v>
      </x:c>
      <x:c r="O1874" s="82" t="n">
        <x:v>0.1900181953630885</x:v>
      </x:c>
      <x:c r="P1874" s="80" t="n">
        <x:v>155.49820104521345</x:v>
      </x:c>
      <x:c r="Q1874" s="81" t="n">
        <x:v>61794.95397957322</x:v>
      </x:c>
      <x:c r="R1874" s="81" t="n">
        <x:v>11.166091501044658</x:v>
      </x:c>
      <x:c r="S1874" s="81" t="n">
        <x:v>1.306332677737604e-9</x:v>
      </x:c>
      <x:c r="T1874" s="81" t="n">
        <x:v>4.6619798557774053e-17</x:v>
      </x:c>
    </x:row>
    <x:row r="1875">
      <x:c r="A1875" s="59" t="n">
        <x:v>1872</x:v>
      </x:c>
      <x:c r="B1875" s="193" t="n">
        <x:v>0.4002578986808658</x:v>
      </x:c>
      <x:c r="C1875" s="83" t="n">
        <x:v>1.7401178081460325</x:v>
      </x:c>
      <x:c r="D1875" s="83" t="n">
        <x:v>0.1508158356657969</x:v>
      </x:c>
      <x:c r="E1875" s="81" t="n">
        <x:v>0.08928022734457917</x:v>
      </x:c>
      <x:c r="F1875" s="81" t="n">
        <x:v>0.3832771779736504</x:v>
      </x:c>
      <x:c r="G1875" s="81" t="n">
        <x:v>0.03733896339413431</x:v>
      </x:c>
      <x:c r="H1875" s="59" t="n">
        <x:v>0</x:v>
      </x:c>
      <x:c r="I1875" s="81" t="n">
        <x:v>0</x:v>
      </x:c>
      <x:c r="J1875" s="79" t="n">
        <x:v>0.0025042504672004866</x:v>
      </x:c>
      <x:c r="K1875" s="81" t="n">
        <x:v>1.8620005339434136</x:v>
      </x:c>
      <x:c r="L1875" s="81" t="n">
        <x:v>-0.3937518472602838</x:v>
      </x:c>
      <x:c r="M1875" s="80" t="n">
        <x:v>24860.363688117493</x:v>
      </x:c>
      <x:c r="N1875" s="82" t="n">
        <x:v>0.1974426863013825</x:v>
      </x:c>
      <x:c r="O1875" s="82" t="n">
        <x:v>0.07148665124182021</x:v>
      </x:c>
      <x:c r="P1875" s="80" t="n">
        <x:v>8462.912853932101</x:v>
      </x:c>
      <x:c r="Q1875" s="81" t="n">
        <x:v>0.0018750669265023487</x:v>
      </x:c>
      <x:c r="R1875" s="81" t="n">
        <x:v>18.113637413804597</x:v>
      </x:c>
      <x:c r="S1875" s="81" t="n">
        <x:v>27.73128103530753</x:v>
      </x:c>
      <x:c r="T1875" s="81" t="n">
        <x:v>54.24753244720948</x:v>
      </x:c>
    </x:row>
    <x:row r="1876">
      <x:c r="A1876" s="59" t="n">
        <x:v>1873</x:v>
      </x:c>
      <x:c r="B1876" s="193" t="n">
        <x:v>0.9898678116500379</x:v>
      </x:c>
      <x:c r="C1876" s="83" t="n">
        <x:v>1.1887409623344227</x:v>
      </x:c>
      <x:c r="D1876" s="83" t="n">
        <x:v>0.28337751225240887</x:v>
      </x:c>
      <x:c r="E1876" s="81" t="n">
        <x:v>-0.058886641565743476</x:v>
      </x:c>
      <x:c r="F1876" s="81" t="n">
        <x:v>0.7390440344694071</x:v>
      </x:c>
      <x:c r="G1876" s="81" t="n">
        <x:v>-0.03598614520309834</x:v>
      </x:c>
      <x:c r="H1876" s="59" t="n">
        <x:v>0</x:v>
      </x:c>
      <x:c r="I1876" s="81" t="n">
        <x:v>0</x:v>
      </x:c>
      <x:c r="J1876" s="79" t="n">
        <x:v>3.883328109087866e-13</x:v>
      </x:c>
      <x:c r="K1876" s="81" t="n">
        <x:v>-0.9999999995561911</x:v>
      </x:c>
      <x:c r="L1876" s="81" t="n">
        <x:v>-0.9999999995561911</x:v>
      </x:c>
      <x:c r="M1876" s="80" t="n">
        <x:v>0.2380180965025033</x:v>
      </x:c>
      <x:c r="N1876" s="82" t="n">
        <x:v>0.33789882275650757</x:v>
      </x:c>
      <x:c r="O1876" s="82" t="n">
        <x:v>0.2358999974966697</x:v>
      </x:c>
      <x:c r="P1876" s="80" t="n">
        <x:v>383.7529916306034</x:v>
      </x:c>
      <x:c r="Q1876" s="81" t="n">
        <x:v>11.124960780609882</x:v>
      </x:c>
      <x:c r="R1876" s="81" t="n">
        <x:v>4.779823927091759</x:v>
      </x:c>
      <x:c r="S1876" s="81" t="n">
        <x:v>0.000008830691246799108</x:v>
      </x:c>
      <x:c r="T1876" s="81" t="n">
        <x:v>8.412136499924606e-9</x:v>
      </x:c>
    </x:row>
    <x:row r="1877">
      <x:c r="A1877" s="59" t="n">
        <x:v>1874</x:v>
      </x:c>
      <x:c r="B1877" s="193" t="n">
        <x:v>0.4547758577391505</x:v>
      </x:c>
      <x:c r="C1877" s="83" t="n">
        <x:v>0.31696801983847755</x:v>
      </x:c>
      <x:c r="D1877" s="83" t="n">
        <x:v>0.5292237856298371</x:v>
      </x:c>
      <x:c r="E1877" s="81" t="n">
        <x:v>0.04217450925899277</x:v>
      </x:c>
      <x:c r="F1877" s="81" t="n">
        <x:v>0.5095977864111774</x:v>
      </x:c>
      <x:c r="G1877" s="81" t="n">
        <x:v>-0.028306095631425512</x:v>
      </x:c>
      <x:c r="H1877" s="59" t="n">
        <x:v>0</x:v>
      </x:c>
      <x:c r="I1877" s="81" t="n">
        <x:v>0</x:v>
      </x:c>
      <x:c r="J1877" s="79" t="n">
        <x:v>0.00018813649688036632</x:v>
      </x:c>
      <x:c r="K1877" s="81" t="n">
        <x:v>-0.7849868607081527</x:v>
      </x:c>
      <x:c r="L1877" s="81" t="n">
        <x:v>-0.850484460050402</x:v>
      </x:c>
      <x:c r="M1877" s="80" t="n">
        <x:v>3312.1342469175565</x:v>
      </x:c>
      <x:c r="N1877" s="82" t="n">
        <x:v>0.2104298863607983</x:v>
      </x:c>
      <x:c r="O1877" s="82" t="n">
        <x:v>0.10129917195551266</x:v>
      </x:c>
      <x:c r="P1877" s="80" t="n">
        <x:v>4075.242338091009</x:v>
      </x:c>
      <x:c r="Q1877" s="81" t="n">
        <x:v>0.004995155732799759</x:v>
      </x:c>
      <x:c r="R1877" s="81" t="n">
        <x:v>80.73636134738402</x:v>
      </x:c>
      <x:c r="S1877" s="81" t="n">
        <x:v>11.448805167311233</x:v>
      </x:c>
      <x:c r="T1877" s="81" t="n">
        <x:v>4.0754472656368375</x:v>
      </x:c>
    </x:row>
    <x:row r="1878">
      <x:c r="A1878" s="59" t="n">
        <x:v>1875</x:v>
      </x:c>
      <x:c r="B1878" s="193" t="n">
        <x:v>0.2102238530293107</x:v>
      </x:c>
      <x:c r="C1878" s="83" t="n">
        <x:v>0.41903436181485276</x:v>
      </x:c>
      <x:c r="D1878" s="83" t="n">
        <x:v>1.2527196300608456</x:v>
      </x:c>
      <x:c r="E1878" s="81" t="n">
        <x:v>-0.0004896050710551079</x:v>
      </x:c>
      <x:c r="F1878" s="81" t="n">
        <x:v>0.5573079360066913</x:v>
      </x:c>
      <x:c r="G1878" s="81" t="n">
        <x:v>-0.014159815097958115</x:v>
      </x:c>
      <x:c r="H1878" s="59" t="n">
        <x:v>0</x:v>
      </x:c>
      <x:c r="I1878" s="81" t="n">
        <x:v>0</x:v>
      </x:c>
      <x:c r="J1878" s="79" t="n">
        <x:v>0.000001373407193801437</x:v>
      </x:c>
      <x:c r="K1878" s="81" t="n">
        <x:v>-0.9984303917785127</x:v>
      </x:c>
      <x:c r="L1878" s="81" t="n">
        <x:v>-0.9984303917785127</x:v>
      </x:c>
      <x:c r="M1878" s="80" t="n">
        <x:v>283.82436447307913</x:v>
      </x:c>
      <x:c r="N1878" s="82" t="n">
        <x:v>0.15217301348882598</x:v>
      </x:c>
      <x:c r="O1878" s="82" t="n">
        <x:v>0.08011315037721106</x:v>
      </x:c>
      <x:c r="P1878" s="80" t="n">
        <x:v>3314.306053165439</x:v>
      </x:c>
      <x:c r="Q1878" s="81" t="n">
        <x:v>0.08075393280330614</x:v>
      </x:c>
      <x:c r="R1878" s="81" t="n">
        <x:v>29.602678934505445</x:v>
      </x:c>
      <x:c r="S1878" s="81" t="n">
        <x:v>0.1534949191042446</x:v>
      </x:c>
      <x:c r="T1878" s="81" t="n">
        <x:v>0.02975099826666407</x:v>
      </x:c>
    </x:row>
    <x:row r="1879">
      <x:c r="A1879" s="59" t="n">
        <x:v>1876</x:v>
      </x:c>
      <x:c r="B1879" s="193" t="n">
        <x:v>0.9110244428738952</x:v>
      </x:c>
      <x:c r="C1879" s="83" t="n">
        <x:v>0.17458750547532026</x:v>
      </x:c>
      <x:c r="D1879" s="83" t="n">
        <x:v>1.0526322971846107</x:v>
      </x:c>
      <x:c r="E1879" s="81" t="n">
        <x:v>-0.07097781021393898</x:v>
      </x:c>
      <x:c r="F1879" s="81" t="n">
        <x:v>0.7324997257674113</x:v>
      </x:c>
      <x:c r="G1879" s="81" t="n">
        <x:v>0.04571875425127264</x:v>
      </x:c>
      <x:c r="H1879" s="59" t="n">
        <x:v>0</x:v>
      </x:c>
      <x:c r="I1879" s="81" t="n">
        <x:v>0</x:v>
      </x:c>
      <x:c r="J1879" s="79" t="n">
        <x:v>5.625836067896446e-42</x:v>
      </x:c>
      <x:c r="K1879" s="81" t="n">
        <x:v>-1</x:v>
      </x:c>
      <x:c r="L1879" s="81" t="n">
        <x:v>-1</x:v>
      </x:c>
      <x:c r="M1879" s="80" t="n">
        <x:v>0.000002</x:v>
      </x:c>
      <x:c r="N1879" s="82" t="n">
        <x:v>0.3191168540008658</x:v>
      </x:c>
      <x:c r="O1879" s="82" t="n">
        <x:v>0.22081478562784068</x:v>
      </x:c>
      <x:c r="P1879" s="80" t="n">
        <x:v>253.08593571990323</x:v>
      </x:c>
      <x:c r="Q1879" s="81" t="n">
        <x:v>5.418331900028294e+24</x:v>
      </x:c>
      <x:c r="R1879" s="81" t="n">
        <x:v>9.773454128736939</x:v>
      </x:c>
      <x:c r="S1879" s="81" t="n">
        <x:v>1.3524150620874334e-9</x:v>
      </x:c>
      <x:c r="T1879" s="81" t="n">
        <x:v>1.2186789166383366e-37</x:v>
      </x:c>
    </x:row>
    <x:row r="1880">
      <x:c r="A1880" s="59" t="n">
        <x:v>1877</x:v>
      </x:c>
      <x:c r="B1880" s="193" t="n">
        <x:v>0.4245296031236649</x:v>
      </x:c>
      <x:c r="C1880" s="83" t="n">
        <x:v>1.0103560688038056</x:v>
      </x:c>
      <x:c r="D1880" s="83" t="n">
        <x:v>2.9872361355167456</x:v>
      </x:c>
      <x:c r="E1880" s="81" t="n">
        <x:v>-0.01727601830824445</x:v>
      </x:c>
      <x:c r="F1880" s="81" t="n">
        <x:v>0.4827730032033287</x:v>
      </x:c>
      <x:c r="G1880" s="81" t="n">
        <x:v>0.009296624046056934</x:v>
      </x:c>
      <x:c r="H1880" s="59" t="n">
        <x:v>0</x:v>
      </x:c>
      <x:c r="I1880" s="81" t="n">
        <x:v>0</x:v>
      </x:c>
      <x:c r="J1880" s="79" t="n">
        <x:v>6.268764361645659e-30</x:v>
      </x:c>
      <x:c r="K1880" s="81" t="n">
        <x:v>-1</x:v>
      </x:c>
      <x:c r="L1880" s="81" t="n">
        <x:v>-1</x:v>
      </x:c>
      <x:c r="M1880" s="80" t="n">
        <x:v>0.000002</x:v>
      </x:c>
      <x:c r="N1880" s="82" t="n">
        <x:v>0.20322466139411563</x:v>
      </x:c>
      <x:c r="O1880" s="82" t="n">
        <x:v>0.092680917978964</x:v>
      </x:c>
      <x:c r="P1880" s="80" t="n">
        <x:v>1830.2742265424704</x:v>
      </x:c>
      <x:c r="Q1880" s="81" t="n">
        <x:v>18976145711421.57</x:v>
      </x:c>
      <x:c r="R1880" s="81" t="n">
        <x:v>4.824503556356695</x:v>
      </x:c>
      <x:c r="S1880" s="81" t="n">
        <x:v>1.456787900341472e-9</x:v>
      </x:c>
      <x:c r="T1880" s="81" t="n">
        <x:v>1.3579512215982276e-25</x:v>
      </x:c>
    </x:row>
    <x:row r="1881">
      <x:c r="A1881" s="59" t="n">
        <x:v>1878</x:v>
      </x:c>
      <x:c r="B1881" s="193" t="n">
        <x:v>0.47097061034291987</x:v>
      </x:c>
      <x:c r="C1881" s="83" t="n">
        <x:v>0.15160164163315004</x:v>
      </x:c>
      <x:c r="D1881" s="83" t="n">
        <x:v>0.6105043706760991</x:v>
      </x:c>
      <x:c r="E1881" s="81" t="n">
        <x:v>-0.01924367160935912</x:v>
      </x:c>
      <x:c r="F1881" s="81" t="n">
        <x:v>0.3692619398469105</x:v>
      </x:c>
      <x:c r="G1881" s="81" t="n">
        <x:v>0.003621792380925048</x:v>
      </x:c>
      <x:c r="H1881" s="59" t="n">
        <x:v>0</x:v>
      </x:c>
      <x:c r="I1881" s="81" t="n">
        <x:v>0</x:v>
      </x:c>
      <x:c r="J1881" s="79" t="n">
        <x:v>3.4099223474245124e-12</x:v>
      </x:c>
      <x:c r="K1881" s="81" t="n">
        <x:v>-0.9999999961029459</x:v>
      </x:c>
      <x:c r="L1881" s="81" t="n">
        <x:v>-0.9999999961029459</x:v>
      </x:c>
      <x:c r="M1881" s="80" t="n">
        <x:v>0.3699311407137471</x:v>
      </x:c>
      <x:c r="N1881" s="82" t="n">
        <x:v>0.21428778008262764</x:v>
      </x:c>
      <x:c r="O1881" s="82" t="n">
        <x:v>0.07474857099888335</x:v>
      </x:c>
      <x:c r="P1881" s="80" t="n">
        <x:v>603.9628340544523</x:v>
      </x:c>
      <x:c r="Q1881" s="81" t="n">
        <x:v>5.796034801449442</x:v>
      </x:c>
      <x:c r="R1881" s="81" t="n">
        <x:v>48.31884531970868</x:v>
      </x:c>
      <x:c r="S1881" s="81" t="n">
        <x:v>0.00009236038603640619</x:v>
      </x:c>
      <x:c r="T1881" s="81" t="n">
        <x:v>7.386636265307992e-8</x:v>
      </x:c>
    </x:row>
    <x:row r="1882">
      <x:c r="A1882" s="59" t="n">
        <x:v>1879</x:v>
      </x:c>
      <x:c r="B1882" s="193" t="n">
        <x:v>0.8907608272507788</x:v>
      </x:c>
      <x:c r="C1882" s="83" t="n">
        <x:v>0.23658362759316862</x:v>
      </x:c>
      <x:c r="D1882" s="83" t="n">
        <x:v>0.6055310959830991</x:v>
      </x:c>
      <x:c r="E1882" s="81" t="n">
        <x:v>0.09803876367660351</x:v>
      </x:c>
      <x:c r="F1882" s="81" t="n">
        <x:v>0.31203906633891165</x:v>
      </x:c>
      <x:c r="G1882" s="81" t="n">
        <x:v>0.02964616869785841</x:v>
      </x:c>
      <x:c r="H1882" s="59" t="n">
        <x:v>0</x:v>
      </x:c>
      <x:c r="I1882" s="81" t="n">
        <x:v>0</x:v>
      </x:c>
      <x:c r="J1882" s="79" t="n">
        <x:v>0.0062637073393453264</x:v>
      </x:c>
      <x:c r="K1882" s="81" t="n">
        <x:v>6.158522673537517</x:v>
      </x:c>
      <x:c r="L1882" s="81" t="n">
        <x:v>-0.6946359002339055</x:v>
      </x:c>
      <x:c r="M1882" s="80" t="n">
        <x:v>21659.498609216473</x:v>
      </x:c>
      <x:c r="N1882" s="82" t="n">
        <x:v>0.3142896808166464</x:v>
      </x:c>
      <x:c r="O1882" s="82" t="n">
        <x:v>0.09264245037105547</x:v>
      </x:c>
      <x:c r="P1882" s="80" t="n">
        <x:v>24729.640508283246</x:v>
      </x:c>
      <x:c r="Q1882" s="81" t="n">
        <x:v>0.0023809572484119828</x:v>
      </x:c>
      <x:c r="R1882" s="81" t="n">
        <x:v>421.01327886214364</x:v>
      </x:c>
      <x:c r="S1882" s="81" t="n">
        <x:v>498.7430235044323</x:v>
      </x:c>
      <x:c r="T1882" s="81" t="n">
        <x:v>135.6855760162095</x:v>
      </x:c>
    </x:row>
    <x:row r="1883">
      <x:c r="A1883" s="59" t="n">
        <x:v>1880</x:v>
      </x:c>
      <x:c r="B1883" s="193" t="n">
        <x:v>0.9248014276847243</x:v>
      </x:c>
      <x:c r="C1883" s="83" t="n">
        <x:v>2.316657649977831</x:v>
      </x:c>
      <x:c r="D1883" s="83" t="n">
        <x:v>0.5738777379530561</x:v>
      </x:c>
      <x:c r="E1883" s="81" t="n">
        <x:v>-0.07940727290475189</x:v>
      </x:c>
      <x:c r="F1883" s="81" t="n">
        <x:v>0.30530592961004005</x:v>
      </x:c>
      <x:c r="G1883" s="81" t="n">
        <x:v>-0.013442899107046505</x:v>
      </x:c>
      <x:c r="H1883" s="59" t="n">
        <x:v>0</x:v>
      </x:c>
      <x:c r="I1883" s="81" t="n">
        <x:v>0</x:v>
      </x:c>
      <x:c r="J1883" s="79" t="n">
        <x:v>1.7159454710826048e-26</x:v>
      </x:c>
      <x:c r="K1883" s="81" t="n">
        <x:v>-1</x:v>
      </x:c>
      <x:c r="L1883" s="81" t="n">
        <x:v>-1</x:v>
      </x:c>
      <x:c r="M1883" s="80" t="n">
        <x:v>0.000002</x:v>
      </x:c>
      <x:c r="N1883" s="82" t="n">
        <x:v>0.3223987901012705</x:v>
      </x:c>
      <x:c r="O1883" s="82" t="n">
        <x:v>0.09298215006837574</x:v>
      </x:c>
      <x:c r="P1883" s="80" t="n">
        <x:v>661.937317224096</x:v>
      </x:c>
      <x:c r="Q1883" s="81" t="n">
        <x:v>1600355169.1601331</x:v>
      </x:c>
      <x:c r="R1883" s="81" t="n">
        <x:v>1.8375635023318293</x:v>
      </x:c>
      <x:c r="S1883" s="81" t="n">
        <x:v>1.2856120418546552e-10</x:v>
      </x:c>
      <x:c r="T1883" s="81" t="n">
        <x:v>3.7171125188710384e-22</x:v>
      </x:c>
    </x:row>
    <x:row r="1884">
      <x:c r="A1884" s="59" t="n">
        <x:v>1881</x:v>
      </x:c>
      <x:c r="B1884" s="193" t="n">
        <x:v>0.249320918135345</x:v>
      </x:c>
      <x:c r="C1884" s="83" t="n">
        <x:v>0.22915548188958684</x:v>
      </x:c>
      <x:c r="D1884" s="83" t="n">
        <x:v>0.926796853553683</x:v>
      </x:c>
      <x:c r="E1884" s="81" t="n">
        <x:v>0.042150558252671465</x:v>
      </x:c>
      <x:c r="F1884" s="81" t="n">
        <x:v>0.8083027726737783</x:v>
      </x:c>
      <x:c r="G1884" s="81" t="n">
        <x:v>-0.000549432362910976</x:v>
      </x:c>
      <x:c r="H1884" s="59" t="n">
        <x:v>0</x:v>
      </x:c>
      <x:c r="I1884" s="81" t="n">
        <x:v>0</x:v>
      </x:c>
      <x:c r="J1884" s="79" t="n">
        <x:v>0.0006918076364907455</x:v>
      </x:c>
      <x:c r="K1884" s="81" t="n">
        <x:v>-0.20936270115343358</x:v>
      </x:c>
      <x:c r="L1884" s="81" t="n">
        <x:v>-0.7809235802009571</x:v>
      </x:c>
      <x:c r="M1884" s="80" t="n">
        <x:v>6399.727198138617</x:v>
      </x:c>
      <x:c r="N1884" s="82" t="n">
        <x:v>0.16148666746705428</x:v>
      </x:c>
      <x:c r="O1884" s="82" t="n">
        <x:v>0.1233052825367503</x:v>
      </x:c>
      <x:c r="P1884" s="80" t="n">
        <x:v>11804.234221865281</x:v>
      </x:c>
      <x:c r="Q1884" s="81" t="n">
        <x:v>0.006549954088826336</x:v>
      </x:c>
      <x:c r="R1884" s="81" t="n">
        <x:v>163.29551661237412</x:v>
      </x:c>
      <x:c r="S1884" s="81" t="n">
        <x:v>58.23206778499906</x:v>
      </x:c>
      <x:c r="T1884" s="81" t="n">
        <x:v>14.98606377408914</x:v>
      </x:c>
    </x:row>
    <x:row r="1885">
      <x:c r="A1885" s="59" t="n">
        <x:v>1882</x:v>
      </x:c>
      <x:c r="B1885" s="193" t="n">
        <x:v>0.7605193790048361</x:v>
      </x:c>
      <x:c r="C1885" s="83" t="n">
        <x:v>0.1768020876371107</x:v>
      </x:c>
      <x:c r="D1885" s="83" t="n">
        <x:v>0.5933097112917766</x:v>
      </x:c>
      <x:c r="E1885" s="81" t="n">
        <x:v>-0.014362221516607912</x:v>
      </x:c>
      <x:c r="F1885" s="81" t="n">
        <x:v>0.7664075166569092</x:v>
      </x:c>
      <x:c r="G1885" s="81" t="n">
        <x:v>-0.017091010087146193</x:v>
      </x:c>
      <x:c r="H1885" s="59" t="n">
        <x:v>0</x:v>
      </x:c>
      <x:c r="I1885" s="81" t="n">
        <x:v>0</x:v>
      </x:c>
      <x:c r="J1885" s="79" t="n">
        <x:v>1.6199277873149315e-10</x:v>
      </x:c>
      <x:c r="K1885" s="81" t="n">
        <x:v>-0.9999998148653957</x:v>
      </x:c>
      <x:c r="L1885" s="81" t="n">
        <x:v>-0.9999998148653957</x:v>
      </x:c>
      <x:c r="M1885" s="80" t="n">
        <x:v>2.5906696835760568</x:v>
      </x:c>
      <x:c r="N1885" s="82" t="n">
        <x:v>0.28326372581730835</x:v>
      </x:c>
      <x:c r="O1885" s="82" t="n">
        <x:v>0.20507922168992498</x:v>
      </x:c>
      <x:c r="P1885" s="80" t="n">
        <x:v>477.92935720625275</x:v>
      </x:c>
      <x:c r="Q1885" s="81" t="n">
        <x:v>1.1121156568529156</x:v>
      </x:c>
      <x:c r="R1885" s="81" t="n">
        <x:v>31.052285164423918</x:v>
      </x:c>
      <x:c r="S1885" s="81" t="n">
        <x:v>0.000487271898867079</x:v>
      </x:c>
      <x:c r="T1885" s="81" t="n">
        <x:v>0.000003509117253065394</x:v>
      </x:c>
    </x:row>
    <x:row r="1886">
      <x:c r="A1886" s="59" t="n">
        <x:v>1883</x:v>
      </x:c>
      <x:c r="B1886" s="193" t="n">
        <x:v>0.8778082890436054</x:v>
      </x:c>
      <x:c r="C1886" s="83" t="n">
        <x:v>1.9586905002218793</x:v>
      </x:c>
      <x:c r="D1886" s="83" t="n">
        <x:v>0.8087978457714392</x:v>
      </x:c>
      <x:c r="E1886" s="81" t="n">
        <x:v>0.03858828148270391</x:v>
      </x:c>
      <x:c r="F1886" s="81" t="n">
        <x:v>0.5925651041790843</x:v>
      </x:c>
      <x:c r="G1886" s="81" t="n">
        <x:v>-0.031918841917141276</x:v>
      </x:c>
      <x:c r="H1886" s="59" t="n">
        <x:v>83</x:v>
      </x:c>
      <x:c r="I1886" s="81" t="n">
        <x:v>0.4949219541624189</x:v>
      </x:c>
      <x:c r="J1886" s="79" t="n">
        <x:v>0.0005912308819122829</x:v>
      </x:c>
      <x:c r="K1886" s="81" t="n">
        <x:v>-0.3243075635288195</x:v>
      </x:c>
      <x:c r="L1886" s="81" t="n">
        <x:v>-0.8410925405547791</x:v>
      </x:c>
      <x:c r="M1886" s="80" t="n">
        <x:v>13537.525531487292</x:v>
      </x:c>
      <x:c r="N1886" s="82" t="n">
        <x:v>0.31120414335560637</x:v>
      </x:c>
      <x:c r="O1886" s="82" t="n">
        <x:v>0.17420169840915387</x:v>
      </x:c>
      <x:c r="P1886" s="80" t="n">
        <x:v>22518.706950219563</x:v>
      </x:c>
      <x:c r="Q1886" s="81" t="n">
        <x:v>0.009974960752467133</x:v>
      </x:c>
      <x:c r="R1886" s="81" t="n">
        <x:v>25.385739361858658</x:v>
      </x:c>
      <x:c r="S1886" s="81" t="n">
        <x:v>6.737662528678748</x:v>
      </x:c>
      <x:c r="T1886" s="81" t="n">
        <x:v>12.807351688820166</x:v>
      </x:c>
    </x:row>
    <x:row r="1887">
      <x:c r="A1887" s="59" t="n">
        <x:v>1884</x:v>
      </x:c>
      <x:c r="B1887" s="193" t="n">
        <x:v>0.2375386793166399</x:v>
      </x:c>
      <x:c r="C1887" s="83" t="n">
        <x:v>0.42897985905193325</x:v>
      </x:c>
      <x:c r="D1887" s="83" t="n">
        <x:v>0.1758752716119668</x:v>
      </x:c>
      <x:c r="E1887" s="81" t="n">
        <x:v>-0.1042632481409434</x:v>
      </x:c>
      <x:c r="F1887" s="81" t="n">
        <x:v>0.5076411038287916</x:v>
      </x:c>
      <x:c r="G1887" s="81" t="n">
        <x:v>-0.018268701494233437</x:v>
      </x:c>
      <x:c r="H1887" s="59" t="n">
        <x:v>0</x:v>
      </x:c>
      <x:c r="I1887" s="81" t="n">
        <x:v>0</x:v>
      </x:c>
      <x:c r="J1887" s="79" t="n">
        <x:v>1.6313181022100933e-14</x:v>
      </x:c>
      <x:c r="K1887" s="81" t="n">
        <x:v>-0.9999999999813564</x:v>
      </x:c>
      <x:c r="L1887" s="81" t="n">
        <x:v>-0.9999999999813564</x:v>
      </x:c>
      <x:c r="M1887" s="80" t="n">
        <x:v>0.031998377527397474</x:v>
      </x:c>
      <x:c r="N1887" s="82" t="n">
        <x:v>0.1586799172634608</x:v>
      </x:c>
      <x:c r="O1887" s="82" t="n">
        <x:v>0.0760938726060105</x:v>
      </x:c>
      <x:c r="P1887" s="80" t="n">
        <x:v>173.7805211078232</x:v>
      </x:c>
      <x:c r="Q1887" s="81" t="n">
        <x:v>20.98294509385752</x:v>
      </x:c>
      <x:c r="R1887" s="81" t="n">
        <x:v>14.410638100219382</x:v>
      </x:c>
      <x:c r="S1887" s="81" t="n">
        <x:v>0.0000014190406945635273</x:v>
      </x:c>
      <x:c r="T1887" s="81" t="n">
        <x:v>3.5337911618837064e-10</x:v>
      </x:c>
    </x:row>
    <x:row r="1888">
      <x:c r="A1888" s="59" t="n">
        <x:v>1885</x:v>
      </x:c>
      <x:c r="B1888" s="193" t="n">
        <x:v>0.4925484456121922</x:v>
      </x:c>
      <x:c r="C1888" s="83" t="n">
        <x:v>0.3398482892537322</x:v>
      </x:c>
      <x:c r="D1888" s="83" t="n">
        <x:v>0.5714333650237867</x:v>
      </x:c>
      <x:c r="E1888" s="81" t="n">
        <x:v>-0.06138922232342311</x:v>
      </x:c>
      <x:c r="F1888" s="81" t="n">
        <x:v>0.8443487467477099</x:v>
      </x:c>
      <x:c r="G1888" s="81" t="n">
        <x:v>0.007032785146026169</x:v>
      </x:c>
      <x:c r="H1888" s="59" t="n">
        <x:v>0</x:v>
      </x:c>
      <x:c r="I1888" s="81" t="n">
        <x:v>0</x:v>
      </x:c>
      <x:c r="J1888" s="79" t="n">
        <x:v>9.777663007024069e-25</x:v>
      </x:c>
      <x:c r="K1888" s="81" t="n">
        <x:v>-1</x:v>
      </x:c>
      <x:c r="L1888" s="81" t="n">
        <x:v>-1</x:v>
      </x:c>
      <x:c r="M1888" s="80" t="n">
        <x:v>0.000002</x:v>
      </x:c>
      <x:c r="N1888" s="82" t="n">
        <x:v>0.21942802502817943</x:v>
      </x:c>
      <x:c r="O1888" s="82" t="n">
        <x:v>0.175018879540291</x:v>
      </x:c>
      <x:c r="P1888" s="80" t="n">
        <x:v>283.53137876488745</x:v>
      </x:c>
      <x:c r="Q1888" s="81" t="n">
        <x:v>35722535.590961345</x:v>
      </x:c>
      <x:c r="R1888" s="81" t="n">
        <x:v>9.934384891979347</x:v>
      </x:c>
      <x:c r="S1888" s="81" t="n">
        <x:v>4.0685968639917034e-10</x:v>
      </x:c>
      <x:c r="T1888" s="81" t="n">
        <x:v>2.1180552751353594e-20</x:v>
      </x:c>
    </x:row>
    <x:row r="1889">
      <x:c r="A1889" s="59" t="n">
        <x:v>1886</x:v>
      </x:c>
      <x:c r="B1889" s="193" t="n">
        <x:v>0.9366100599989295</x:v>
      </x:c>
      <x:c r="C1889" s="83" t="n">
        <x:v>0.18722740969517798</x:v>
      </x:c>
      <x:c r="D1889" s="83" t="n">
        <x:v>0.27347094503360553</x:v>
      </x:c>
      <x:c r="E1889" s="81" t="n">
        <x:v>-0.010478345353037112</x:v>
      </x:c>
      <x:c r="F1889" s="81" t="n">
        <x:v>0.7692329686135054</x:v>
      </x:c>
      <x:c r="G1889" s="81" t="n">
        <x:v>-0.002493243328894065</x:v>
      </x:c>
      <x:c r="H1889" s="59" t="n">
        <x:v>0</x:v>
      </x:c>
      <x:c r="I1889" s="81" t="n">
        <x:v>0</x:v>
      </x:c>
      <x:c r="J1889" s="79" t="n">
        <x:v>1.8091634393628995e-8</x:v>
      </x:c>
      <x:c r="K1889" s="81" t="n">
        <x:v>-0.9999793238464073</x:v>
      </x:c>
      <x:c r="L1889" s="81" t="n">
        <x:v>-0.9999793238464073</x:v>
      </x:c>
      <x:c r="M1889" s="80" t="n">
        <x:v>27.428393412544153</x:v>
      </x:c>
      <x:c r="N1889" s="82" t="n">
        <x:v>0.3252118277303701</x:v>
      </x:c>
      <x:c r="O1889" s="82" t="n">
        <x:v>0.23631710815191578</x:v>
      </x:c>
      <x:c r="P1889" s="80" t="n">
        <x:v>278.8050526080568</x:v>
      </x:c>
      <x:c r="Q1889" s="81" t="n">
        <x:v>0.10211657164506684</x:v>
      </x:c>
      <x:c r="R1889" s="81" t="n">
        <x:v>31.173544972671028</x:v>
      </x:c>
      <x:c r="S1889" s="81" t="n">
        <x:v>0.004499921871125311</x:v>
      </x:c>
      <x:c r="T1889" s="81" t="n">
        <x:v>0.00039190429896917667</x:v>
      </x:c>
    </x:row>
    <x:row r="1890">
      <x:c r="A1890" s="59" t="n">
        <x:v>1887</x:v>
      </x:c>
      <x:c r="B1890" s="193" t="n">
        <x:v>0.7358270971104504</x:v>
      </x:c>
      <x:c r="C1890" s="83" t="n">
        <x:v>0.17666423062249031</x:v>
      </x:c>
      <x:c r="D1890" s="83" t="n">
        <x:v>0.13575830094670974</x:v>
      </x:c>
      <x:c r="E1890" s="81" t="n">
        <x:v>-0.034215405017995255</x:v>
      </x:c>
      <x:c r="F1890" s="81" t="n">
        <x:v>0.44420086881145837</x:v>
      </x:c>
      <x:c r="G1890" s="81" t="n">
        <x:v>-0.016302574030847332</x:v>
      </x:c>
      <x:c r="H1890" s="59" t="n">
        <x:v>0</x:v>
      </x:c>
      <x:c r="I1890" s="81" t="n">
        <x:v>0</x:v>
      </x:c>
      <x:c r="J1890" s="79" t="n">
        <x:v>1.8898910697946497e-8</x:v>
      </x:c>
      <x:c r="K1890" s="81" t="n">
        <x:v>-0.9999784012449167</x:v>
      </x:c>
      <x:c r="L1890" s="81" t="n">
        <x:v>-0.9999784012449167</x:v>
      </x:c>
      <x:c r="M1890" s="80" t="n">
        <x:v>27.783580677376534</x:v>
      </x:c>
      <x:c r="N1890" s="82" t="n">
        <x:v>0.2773815612897799</x:v>
      </x:c>
      <x:c r="O1890" s="82" t="n">
        <x:v>0.11639328721125931</x:v>
      </x:c>
      <x:c r="P1890" s="80" t="n">
        <x:v>178.7423201167663</x:v>
      </x:c>
      <x:c r="Q1890" s="81" t="n">
        <x:v>0.03806972130516029</x:v>
      </x:c>
      <x:c r="R1890" s="81" t="n">
        <x:v>44.91241356436614</x:v>
      </x:c>
      <x:c r="S1890" s="81" t="n">
        <x:v>0.0031471977627413735</x:v>
      </x:c>
      <x:c r="T1890" s="81" t="n">
        <x:v>0.00040939166618180335</x:v>
      </x:c>
    </x:row>
    <x:row r="1891">
      <x:c r="A1891" s="59" t="n">
        <x:v>1888</x:v>
      </x:c>
      <x:c r="B1891" s="193" t="n">
        <x:v>0.6441130006685853</x:v>
      </x:c>
      <x:c r="C1891" s="83" t="n">
        <x:v>2.4264539152964253</x:v>
      </x:c>
      <x:c r="D1891" s="83" t="n">
        <x:v>0.9588477838431291</x:v>
      </x:c>
      <x:c r="E1891" s="81" t="n">
        <x:v>-0.16108619434745997</x:v>
      </x:c>
      <x:c r="F1891" s="81" t="n">
        <x:v>0.5943000192986801</x:v>
      </x:c>
      <x:c r="G1891" s="81" t="n">
        <x:v>0.043406530940823695</x:v>
      </x:c>
      <x:c r="H1891" s="59" t="n">
        <x:v>26</x:v>
      </x:c>
      <x:c r="I1891" s="81" t="n">
        <x:v>0.2690444646403194</x:v>
      </x:c>
      <x:c r="J1891" s="79" t="n">
        <x:v>2.77296622799819e-67</x:v>
      </x:c>
      <x:c r="K1891" s="81" t="n">
        <x:v>-1</x:v>
      </x:c>
      <x:c r="L1891" s="81" t="n">
        <x:v>-1</x:v>
      </x:c>
      <x:c r="M1891" s="80" t="n">
        <x:v>0.000002</x:v>
      </x:c>
      <x:c r="N1891" s="82" t="n">
        <x:v>0.2555335438780197</x:v>
      </x:c>
      <x:c r="O1891" s="82" t="n">
        <x:v>0.14345794462308423</x:v>
      </x:c>
      <x:c r="P1891" s="80" t="n">
        <x:v>416.5276720824455</x:v>
      </x:c>
      <x:c r="Q1891" s="81" t="n">
        <x:v>5.251173412600394e+49</x:v>
      </x:c>
      <x:c r="R1891" s="81" t="n">
        <x:v>0.6618135899569662</x:v>
      </x:c>
      <x:c r="S1891" s="81" t="n">
        <x:v>4.1108069369690075e-10</x:v>
      </x:c>
      <x:c r="T1891" s="81" t="n">
        <x:v>6.006850249149018e-63</x:v>
      </x:c>
    </x:row>
    <x:row r="1892">
      <x:c r="A1892" s="59" t="n">
        <x:v>1889</x:v>
      </x:c>
      <x:c r="B1892" s="193" t="n">
        <x:v>0.9739920182153583</x:v>
      </x:c>
      <x:c r="C1892" s="83" t="n">
        <x:v>0.5749242250055259</x:v>
      </x:c>
      <x:c r="D1892" s="83" t="n">
        <x:v>0.7185442577013326</x:v>
      </x:c>
      <x:c r="E1892" s="81" t="n">
        <x:v>0.18924345590589434</x:v>
      </x:c>
      <x:c r="F1892" s="81" t="n">
        <x:v>0.5900020078406669</x:v>
      </x:c>
      <x:c r="G1892" s="81" t="n">
        <x:v>-0.024601065098113432</x:v>
      </x:c>
      <x:c r="H1892" s="59" t="n">
        <x:v>0</x:v>
      </x:c>
      <x:c r="I1892" s="81" t="n">
        <x:v>0</x:v>
      </x:c>
      <x:c r="J1892" s="79" t="n">
        <x:v>0.00454267104171492</x:v>
      </x:c>
      <x:c r="K1892" s="81" t="n">
        <x:v>4.191624047674194</x:v>
      </x:c>
      <x:c r="L1892" s="81" t="n">
        <x:v>-0.8221582723104873</x:v>
      </x:c>
      <x:c r="M1892" s="80" t="n">
        <x:v>27094.892422370092</x:v>
      </x:c>
      <x:c r="N1892" s="82" t="n">
        <x:v>0.33411691108923963</x:v>
      </x:c>
      <x:c r="O1892" s="82" t="n">
        <x:v>0.18621852790622478</x:v>
      </x:c>
      <x:c r="P1892" s="80" t="n">
        <x:v>32015.973114090983</x:v>
      </x:c>
      <x:c r="Q1892" s="81" t="n">
        <x:v>0.002754251837117929</x:v>
      </x:c>
      <x:c r="R1892" s="81" t="n">
        <x:v>385.41361253676007</x:v>
      </x:c>
      <x:c r="S1892" s="81" t="n">
        <x:v>151.32717424410603</x:v>
      </x:c>
      <x:c r="T1892" s="81" t="n">
        <x:v>98.40417241008358</x:v>
      </x:c>
    </x:row>
    <x:row r="1893">
      <x:c r="A1893" s="59" t="n">
        <x:v>1890</x:v>
      </x:c>
      <x:c r="B1893" s="193" t="n">
        <x:v>0.41957841590046885</x:v>
      </x:c>
      <x:c r="C1893" s="83" t="n">
        <x:v>0.33564293090259</x:v>
      </x:c>
      <x:c r="D1893" s="83" t="n">
        <x:v>0.7715866139210218</x:v>
      </x:c>
      <x:c r="E1893" s="81" t="n">
        <x:v>0.022333439765217178</x:v>
      </x:c>
      <x:c r="F1893" s="81" t="n">
        <x:v>0.7466976267867722</x:v>
      </x:c>
      <x:c r="G1893" s="81" t="n">
        <x:v>-0.01361045295278777</x:v>
      </x:c>
      <x:c r="H1893" s="59" t="n">
        <x:v>0</x:v>
      </x:c>
      <x:c r="I1893" s="81" t="n">
        <x:v>0</x:v>
      </x:c>
      <x:c r="J1893" s="79" t="n">
        <x:v>0.00008006875856278994</x:v>
      </x:c>
      <x:c r="K1893" s="81" t="n">
        <x:v>-0.9084928473568115</x:v>
      </x:c>
      <x:c r="L1893" s="81" t="n">
        <x:v>-0.9186318539548259</x:v>
      </x:c>
      <x:c r="M1893" s="80" t="n">
        <x:v>2167.8589301482466</x:v>
      </x:c>
      <x:c r="N1893" s="82" t="n">
        <x:v>0.20204519576278984</x:v>
      </x:c>
      <x:c r="O1893" s="82" t="n">
        <x:v>0.14251620234257054</x:v>
      </x:c>
      <x:c r="P1893" s="80" t="n">
        <x:v>4161.919434707421</x:v>
      </x:c>
      <x:c r="Q1893" s="81" t="n">
        <x:v>0.012704212849325726</x:v>
      </x:c>
      <x:c r="R1893" s="81" t="n">
        <x:v>50.29684570456396</x:v>
      </x:c>
      <x:c r="S1893" s="81" t="n">
        <x:v>4.903436682131605</x:v>
      </x:c>
      <x:c r="T1893" s="81" t="n">
        <x:v>1.7344641181192968</x:v>
      </x:c>
    </x:row>
    <x:row r="1894">
      <x:c r="A1894" s="59" t="n">
        <x:v>1891</x:v>
      </x:c>
      <x:c r="B1894" s="193" t="n">
        <x:v>0.8734259290620685</x:v>
      </x:c>
      <x:c r="C1894" s="83" t="n">
        <x:v>0.3475265197685856</x:v>
      </x:c>
      <x:c r="D1894" s="83" t="n">
        <x:v>0.5890193803867548</x:v>
      </x:c>
      <x:c r="E1894" s="81" t="n">
        <x:v>0.07155127880633082</x:v>
      </x:c>
      <x:c r="F1894" s="81" t="n">
        <x:v>0.5497718556551263</x:v>
      </x:c>
      <x:c r="G1894" s="81" t="n">
        <x:v>0.04703210992900676</x:v>
      </x:c>
      <x:c r="H1894" s="59" t="n">
        <x:v>0</x:v>
      </x:c>
      <x:c r="I1894" s="81" t="n">
        <x:v>0</x:v>
      </x:c>
      <x:c r="J1894" s="79" t="n">
        <x:v>0.0017365738271193922</x:v>
      </x:c>
      <x:c r="K1894" s="81" t="n">
        <x:v>0.9846558024221628</x:v>
      </x:c>
      <x:c r="L1894" s="81" t="n">
        <x:v>-0.7683515465241219</x:v>
      </x:c>
      <x:c r="M1894" s="80" t="n">
        <x:v>11829.89597899136</x:v>
      </x:c>
      <x:c r="N1894" s="82" t="n">
        <x:v>0.31016018303875453</x:v>
      </x:c>
      <x:c r="O1894" s="82" t="n">
        <x:v>0.16107920944459161</x:v>
      </x:c>
      <x:c r="P1894" s="80" t="n">
        <x:v>14304.435828473232</x:v>
      </x:c>
      <x:c r="Q1894" s="81" t="n">
        <x:v>0.0053703594806546635</x:v>
      </x:c>
      <x:c r="R1894" s="81" t="n">
        <x:v>100.70205849159952</x:v>
      </x:c>
      <x:c r="S1894" s="81" t="n">
        <x:v>96.97103387189931</x:v>
      </x:c>
      <x:c r="T1894" s="81" t="n">
        <x:v>37.61798041668971</x:v>
      </x:c>
    </x:row>
    <x:row r="1895">
      <x:c r="A1895" s="59" t="n">
        <x:v>1892</x:v>
      </x:c>
      <x:c r="B1895" s="193" t="n">
        <x:v>0.4748776411637664</x:v>
      </x:c>
      <x:c r="C1895" s="83" t="n">
        <x:v>0.11504150639291287</x:v>
      </x:c>
      <x:c r="D1895" s="83" t="n">
        <x:v>1.406481245039055</x:v>
      </x:c>
      <x:c r="E1895" s="81" t="n">
        <x:v>0.06955791302537959</x:v>
      </x:c>
      <x:c r="F1895" s="81" t="n">
        <x:v>0.39594452724559237</x:v>
      </x:c>
      <x:c r="G1895" s="81" t="n">
        <x:v>0.02603873597173771</x:v>
      </x:c>
      <x:c r="H1895" s="59" t="n">
        <x:v>0</x:v>
      </x:c>
      <x:c r="I1895" s="81" t="n">
        <x:v>0</x:v>
      </x:c>
      <x:c r="J1895" s="79" t="n">
        <x:v>0.018882011246956088</x:v>
      </x:c>
      <x:c r="K1895" s="81" t="n">
        <x:v>20.579441425092675</x:v>
      </x:c>
      <x:c r="L1895" s="81" t="n">
        <x:v>-0.7344942393979892</x:v>
      </x:c>
      <x:c r="M1895" s="80" t="n">
        <x:v>38774.70003010237</x:v>
      </x:c>
      <x:c r="N1895" s="82" t="n">
        <x:v>0.21521850808098084</x:v>
      </x:c>
      <x:c r="O1895" s="82" t="n">
        <x:v>0.08049796525456769</x:v>
      </x:c>
      <x:c r="P1895" s="80" t="n">
        <x:v>88976.3090291866</x:v>
      </x:c>
      <x:c r="Q1895" s="81" t="n">
        <x:v>0.0030721184476170888</x:v>
      </x:c>
      <x:c r="R1895" s="81" t="n">
        <x:v>2334.072728309885</x:v>
      </x:c>
      <x:c r="S1895" s="81" t="n">
        <x:v>3078.3025824302395</x:v>
      </x:c>
      <x:c r="T1895" s="81" t="n">
        <x:v>409.0255871781457</x:v>
      </x:c>
    </x:row>
    <x:row r="1896">
      <x:c r="A1896" s="59" t="n">
        <x:v>1893</x:v>
      </x:c>
      <x:c r="B1896" s="193" t="n">
        <x:v>0.3106789741665125</x:v>
      </x:c>
      <x:c r="C1896" s="83" t="n">
        <x:v>0.2604448568836597</x:v>
      </x:c>
      <x:c r="D1896" s="83" t="n">
        <x:v>0.7449743851147755</x:v>
      </x:c>
      <x:c r="E1896" s="81" t="n">
        <x:v>0.021326067057079016</x:v>
      </x:c>
      <x:c r="F1896" s="81" t="n">
        <x:v>0.8870838150614873</x:v>
      </x:c>
      <x:c r="G1896" s="81" t="n">
        <x:v>-0.00657159300124734</x:v>
      </x:c>
      <x:c r="H1896" s="59" t="n">
        <x:v>0</x:v>
      </x:c>
      <x:c r="I1896" s="81" t="n">
        <x:v>0</x:v>
      </x:c>
      <x:c r="J1896" s="79" t="n">
        <x:v>0.00006584440139440166</x:v>
      </x:c>
      <x:c r="K1896" s="81" t="n">
        <x:v>-0.9247492555492552</x:v>
      </x:c>
      <x:c r="L1896" s="81" t="n">
        <x:v>-0.9361728796012461</x:v>
      </x:c>
      <x:c r="M1896" s="80" t="n">
        <x:v>1851.1573632783893</x:v>
      </x:c>
      <x:c r="N1896" s="82" t="n">
        <x:v>0.17610330687722883</x:v>
      </x:c>
      <x:c r="O1896" s="82" t="n">
        <x:v>0.14757170963712501</x:v>
      </x:c>
      <x:c r="P1896" s="80" t="n">
        <x:v>3510.1658197374463</x:v>
      </x:c>
      <x:c r="Q1896" s="81" t="n">
        <x:v>0.013710508904497496</x:v>
      </x:c>
      <x:c r="R1896" s="81" t="n">
        <x:v>57.434138112822765</x:v>
      </x:c>
      <x:c r="S1896" s="81" t="n">
        <x:v>5.145161280558952</x:v>
      </x:c>
      <x:c r="T1896" s="81" t="n">
        <x:v>1.426333486962639</x:v>
      </x:c>
    </x:row>
    <x:row r="1897">
      <x:c r="A1897" s="59" t="n">
        <x:v>1894</x:v>
      </x:c>
      <x:c r="B1897" s="193" t="n">
        <x:v>0.3285713588818908</x:v>
      </x:c>
      <x:c r="C1897" s="83" t="n">
        <x:v>1.5709956545602215</x:v>
      </x:c>
      <x:c r="D1897" s="83" t="n">
        <x:v>0.3405707526350571</x:v>
      </x:c>
      <x:c r="E1897" s="81" t="n">
        <x:v>-0.14507888114396494</x:v>
      </x:c>
      <x:c r="F1897" s="81" t="n">
        <x:v>0.854214851942379</x:v>
      </x:c>
      <x:c r="G1897" s="81" t="n">
        <x:v>-0.009314367920412516</x:v>
      </x:c>
      <x:c r="H1897" s="59" t="n">
        <x:v>0</x:v>
      </x:c>
      <x:c r="I1897" s="81" t="n">
        <x:v>0</x:v>
      </x:c>
      <x:c r="J1897" s="79" t="n">
        <x:v>8.862102158629426e-28</x:v>
      </x:c>
      <x:c r="K1897" s="81" t="n">
        <x:v>-1</x:v>
      </x:c>
      <x:c r="L1897" s="81" t="n">
        <x:v>-1</x:v>
      </x:c>
      <x:c r="M1897" s="80" t="n">
        <x:v>0.000002</x:v>
      </x:c>
      <x:c r="N1897" s="82" t="n">
        <x:v>0.18036560839864543</x:v>
      </x:c>
      <x:c r="O1897" s="82" t="n">
        <x:v>0.1455431569859442</x:v>
      </x:c>
      <x:c r="P1897" s="80" t="n">
        <x:v>275.9517449553349</x:v>
      </x:c>
      <x:c r="Q1897" s="81" t="n">
        <x:v>17992406576.5688</x:v>
      </x:c>
      <x:c r="R1897" s="81" t="n">
        <x:v>2.0381385284785587</x:v>
      </x:c>
      <x:c r="S1897" s="81" t="n">
        <x:v>1.0355310612339612e-10</x:v>
      </x:c>
      <x:c r="T1897" s="81" t="n">
        <x:v>1.9197248066730495e-23</x:v>
      </x:c>
    </x:row>
    <x:row r="1898">
      <x:c r="A1898" s="59" t="n">
        <x:v>1895</x:v>
      </x:c>
      <x:c r="B1898" s="193" t="n">
        <x:v>0.9740951724350453</x:v>
      </x:c>
      <x:c r="C1898" s="83" t="n">
        <x:v>0.161190069737414</x:v>
      </x:c>
      <x:c r="D1898" s="83" t="n">
        <x:v>0.670530251288083</x:v>
      </x:c>
      <x:c r="E1898" s="81" t="n">
        <x:v>0.11031551896058941</x:v>
      </x:c>
      <x:c r="F1898" s="81" t="n">
        <x:v>0.6203945123357699</x:v>
      </x:c>
      <x:c r="G1898" s="81" t="n">
        <x:v>-0.004253482635235253</x:v>
      </x:c>
      <x:c r="H1898" s="59" t="n">
        <x:v>43</x:v>
      </x:c>
      <x:c r="I1898" s="81" t="n">
        <x:v>0.14606921281665564</x:v>
      </x:c>
      <x:c r="J1898" s="79" t="n">
        <x:v>0.0009123157849524039</x:v>
      </x:c>
      <x:c r="K1898" s="81" t="n">
        <x:v>0.04264661137417591</x:v>
      </x:c>
      <x:c r="L1898" s="81" t="n">
        <x:v>-0.8294532567384347</x:v>
      </x:c>
      <x:c r="M1898" s="80" t="n">
        <x:v>7803.725284050381</x:v>
      </x:c>
      <x:c r="N1898" s="82" t="n">
        <x:v>0.33414148435851077</x:v>
      </x:c>
      <x:c r="O1898" s="82" t="n">
        <x:v>0.19582551935646916</x:v>
      </x:c>
      <x:c r="P1898" s="80" t="n">
        <x:v>9685.260460376368</x:v>
      </x:c>
      <x:c r="Q1898" s="81" t="n">
        <x:v>0.0044464702696075924</x:v>
      </x:c>
      <x:c r="R1898" s="81" t="n">
        <x:v>297.6588131130736</x:v>
      </x:c>
      <x:c r="S1898" s="81" t="n">
        <x:v>107.14015586189015</x:v>
      </x:c>
      <x:c r="T1898" s="81" t="n">
        <x:v>19.762751687387325</x:v>
      </x:c>
    </x:row>
    <x:row r="1899">
      <x:c r="A1899" s="59" t="n">
        <x:v>1896</x:v>
      </x:c>
      <x:c r="B1899" s="193" t="n">
        <x:v>0.9194124456495048</x:v>
      </x:c>
      <x:c r="C1899" s="83" t="n">
        <x:v>0.3778214916737367</x:v>
      </x:c>
      <x:c r="D1899" s="83" t="n">
        <x:v>1.2424635100601324</x:v>
      </x:c>
      <x:c r="E1899" s="81" t="n">
        <x:v>0.07719072065726917</x:v>
      </x:c>
      <x:c r="F1899" s="81" t="n">
        <x:v>0.8678117393166759</x:v>
      </x:c>
      <x:c r="G1899" s="81" t="n">
        <x:v>0.01681635434183026</x:v>
      </x:c>
      <x:c r="H1899" s="59" t="n">
        <x:v>0</x:v>
      </x:c>
      <x:c r="I1899" s="81" t="n">
        <x:v>0</x:v>
      </x:c>
      <x:c r="J1899" s="79" t="n">
        <x:v>0.0020976823029883484</x:v>
      </x:c>
      <x:c r="K1899" s="81" t="n">
        <x:v>1.3973512034152558</x:v>
      </x:c>
      <x:c r="L1899" s="81" t="n">
        <x:v>-0.8258705793901123</x:v>
      </x:c>
      <x:c r="M1899" s="80" t="n">
        <x:v>15624.113394740714</x:v>
      </x:c>
      <x:c r="N1899" s="82" t="n">
        <x:v>0.3211150335370677</x:v>
      </x:c>
      <x:c r="O1899" s="82" t="n">
        <x:v>0.2632431632623088</x:v>
      </x:c>
      <x:c r="P1899" s="80" t="n">
        <x:v>32494.583912290076</x:v>
      </x:c>
      <x:c r="Q1899" s="81" t="n">
        <x:v>0.008781732977138215</x:v>
      </x:c>
      <x:c r="R1899" s="81" t="n">
        <x:v>162.7171897959876</x:v>
      </x:c>
      <x:c r="S1899" s="81" t="n">
        <x:v>111.08926351461075</x:v>
      </x:c>
      <x:c r="T1899" s="81" t="n">
        <x:v>45.44037838296123</x:v>
      </x:c>
    </x:row>
    <x:row r="1900">
      <x:c r="A1900" s="59" t="n">
        <x:v>1897</x:v>
      </x:c>
      <x:c r="B1900" s="193" t="n">
        <x:v>0.5292974092066288</x:v>
      </x:c>
      <x:c r="C1900" s="83" t="n">
        <x:v>0.20388540549732037</x:v>
      </x:c>
      <x:c r="D1900" s="83" t="n">
        <x:v>0.8297901912557328</x:v>
      </x:c>
      <x:c r="E1900" s="81" t="n">
        <x:v>-0.08247350445650473</x:v>
      </x:c>
      <x:c r="F1900" s="81" t="n">
        <x:v>0.7401373098022305</x:v>
      </x:c>
      <x:c r="G1900" s="81" t="n">
        <x:v>-0.03136121761288258</x:v>
      </x:c>
      <x:c r="H1900" s="59" t="n">
        <x:v>78</x:v>
      </x:c>
      <x:c r="I1900" s="81" t="n">
        <x:v>0.3392626722343266</x:v>
      </x:c>
      <x:c r="J1900" s="79" t="n">
        <x:v>2.4089758031564298e-30</x:v>
      </x:c>
      <x:c r="K1900" s="81" t="n">
        <x:v>-1</x:v>
      </x:c>
      <x:c r="L1900" s="81" t="n">
        <x:v>-1</x:v>
      </x:c>
      <x:c r="M1900" s="80" t="n">
        <x:v>0.000002</x:v>
      </x:c>
      <x:c r="N1900" s="82" t="n">
        <x:v>0.22818231719944188</x:v>
      </x:c>
      <x:c r="O1900" s="82" t="n">
        <x:v>0.15953839741217937</x:v>
      </x:c>
      <x:c r="P1900" s="80" t="n">
        <x:v>225.7914734752578</x:v>
      </x:c>
      <x:c r="Q1900" s="81" t="n">
        <x:v>11006904270455.076</x:v>
      </x:c>
      <x:c r="R1900" s="81" t="n">
        <x:v>9.65247763838267</x:v>
      </x:c>
      <x:c r="S1900" s="81" t="n">
        <x:v>4.097539377661522e-10</x:v>
      </x:c>
      <x:c r="T1900" s="81" t="n">
        <x:v>5.218367521854147e-26</x:v>
      </x:c>
    </x:row>
    <x:row r="1901">
      <x:c r="A1901" s="59" t="n">
        <x:v>1898</x:v>
      </x:c>
      <x:c r="B1901" s="193" t="n">
        <x:v>0.3281994264572859</x:v>
      </x:c>
      <x:c r="C1901" s="83" t="n">
        <x:v>0.1287703073863552</x:v>
      </x:c>
      <x:c r="D1901" s="83" t="n">
        <x:v>0.505204812329312</x:v>
      </x:c>
      <x:c r="E1901" s="81" t="n">
        <x:v>-0.02514340207972726</x:v>
      </x:c>
      <x:c r="F1901" s="81" t="n">
        <x:v>0.4402430561720394</x:v>
      </x:c>
      <x:c r="G1901" s="81" t="n">
        <x:v>-0.0027355446277987886</x:v>
      </x:c>
      <x:c r="H1901" s="59" t="n">
        <x:v>0</x:v>
      </x:c>
      <x:c r="I1901" s="81" t="n">
        <x:v>0</x:v>
      </x:c>
      <x:c r="J1901" s="79" t="n">
        <x:v>1.8849172666257184e-12</x:v>
      </x:c>
      <x:c r="K1901" s="81" t="n">
        <x:v>-0.9999999978458088</x:v>
      </x:c>
      <x:c r="L1901" s="81" t="n">
        <x:v>-0.9999999978458088</x:v>
      </x:c>
      <x:c r="M1901" s="80" t="n">
        <x:v>0.26982016323701863</x:v>
      </x:c>
      <x:c r="N1901" s="82" t="n">
        <x:v>0.18027700712137154</x:v>
      </x:c>
      <x:c r="O1901" s="82" t="n">
        <x:v>0.07497281127993975</x:v>
      </x:c>
      <x:c r="P1901" s="80" t="n">
        <x:v>465.989888951489</x:v>
      </x:c>
      <x:c r="Q1901" s="81" t="n">
        <x:v>5.8892070900875515</x:v>
      </x:c>
      <x:c r="R1901" s="81" t="n">
        <x:v>54.49070540592745</x:v>
      </x:c>
      <x:c r="S1901" s="81" t="n">
        <x:v>0.00005267732543989028</x:v>
      </x:c>
      <x:c r="T1901" s="81" t="n">
        <x:v>4.083142318263882e-8</x:v>
      </x:c>
    </x:row>
    <x:row r="1902">
      <x:c r="A1902" s="59" t="n">
        <x:v>1899</x:v>
      </x:c>
      <x:c r="B1902" s="193" t="n">
        <x:v>0.6319306204095483</x:v>
      </x:c>
      <x:c r="C1902" s="83" t="n">
        <x:v>1.174368047741044</x:v>
      </x:c>
      <x:c r="D1902" s="83" t="n">
        <x:v>1.2044675142000107</x:v>
      </x:c>
      <x:c r="E1902" s="81" t="n">
        <x:v>-0.01163258279590167</x:v>
      </x:c>
      <x:c r="F1902" s="81" t="n">
        <x:v>0.4688037447165698</x:v>
      </x:c>
      <x:c r="G1902" s="81" t="n">
        <x:v>0.020695013421663837</x:v>
      </x:c>
      <x:c r="H1902" s="59" t="n">
        <x:v>0</x:v>
      </x:c>
      <x:c r="I1902" s="81" t="n">
        <x:v>0</x:v>
      </x:c>
      <x:c r="J1902" s="79" t="n">
        <x:v>2.513453929967666e-14</x:v>
      </x:c>
      <x:c r="K1902" s="81" t="n">
        <x:v>-0.9999999999712749</x:v>
      </x:c>
      <x:c r="L1902" s="81" t="n">
        <x:v>-0.9999999999712749</x:v>
      </x:c>
      <x:c r="M1902" s="80" t="n">
        <x:v>0.06039935278260361</x:v>
      </x:c>
      <x:c r="N1902" s="82" t="n">
        <x:v>0.252631472480687</x:v>
      </x:c>
      <x:c r="O1902" s="82" t="n">
        <x:v>0.1118792296445007</x:v>
      </x:c>
      <x:c r="P1902" s="80" t="n">
        <x:v>2145.44729330464</x:v>
      </x:c>
      <x:c r="Q1902" s="81" t="n">
        <x:v>211.07228887678664</x:v>
      </x:c>
      <x:c r="R1902" s="81" t="n">
        <x:v>7.590180470904096</x:v>
      </x:c>
      <x:c r="S1902" s="81" t="n">
        <x:v>0.000019471586781513157</x:v>
      </x:c>
      <x:c r="T1902" s="81" t="n">
        <x:v>5.4446899543923e-10</x:v>
      </x:c>
    </x:row>
    <x:row r="1903">
      <x:c r="A1903" s="59" t="n">
        <x:v>1900</x:v>
      </x:c>
      <x:c r="B1903" s="193" t="n">
        <x:v>0.34543467015028</x:v>
      </x:c>
      <x:c r="C1903" s="83" t="n">
        <x:v>2.5829143316255014</x:v>
      </x:c>
      <x:c r="D1903" s="83" t="n">
        <x:v>0.7556616032161119</x:v>
      </x:c>
      <x:c r="E1903" s="81" t="n">
        <x:v>-0.03213606552845635</x:v>
      </x:c>
      <x:c r="F1903" s="81" t="n">
        <x:v>0.8250765466014854</x:v>
      </x:c>
      <x:c r="G1903" s="81" t="n">
        <x:v>-0.011988702949052077</x:v>
      </x:c>
      <x:c r="H1903" s="59" t="n">
        <x:v>0</x:v>
      </x:c>
      <x:c r="I1903" s="81" t="n">
        <x:v>0</x:v>
      </x:c>
      <x:c r="J1903" s="79" t="n">
        <x:v>5.1674283613771885e-18</x:v>
      </x:c>
      <x:c r="K1903" s="81" t="n">
        <x:v>-0.9999999999999941</x:v>
      </x:c>
      <x:c r="L1903" s="81" t="n">
        <x:v>-0.9999999999999941</x:v>
      </x:c>
      <x:c r="M1903" s="80" t="n">
        <x:v>0.001444676309083197</x:v>
      </x:c>
      <x:c r="N1903" s="82" t="n">
        <x:v>0.18438276532986195</x:v>
      </x:c>
      <x:c r="O1903" s="82" t="n">
        <x:v>0.14370950985006653</x:v>
      </x:c>
      <x:c r="P1903" s="80" t="n">
        <x:v>1550.5100343446145</x:v>
      </x:c>
      <x:c r="Q1903" s="81" t="n">
        <x:v>9069.945813364553</x:v>
      </x:c>
      <x:c r="R1903" s="81" t="n">
        <x:v>2.8856127625974626</x:v>
      </x:c>
      <x:c r="S1903" s="81" t="n">
        <x:v>1.2002540106605633e-7</x:v>
      </x:c>
      <x:c r="T1903" s="81" t="n">
        <x:v>1.119377799361303e-13</x:v>
      </x:c>
    </x:row>
    <x:row r="1904">
      <x:c r="A1904" s="59" t="n">
        <x:v>1901</x:v>
      </x:c>
      <x:c r="B1904" s="193" t="n">
        <x:v>0.3041166299954057</x:v>
      </x:c>
      <x:c r="C1904" s="83" t="n">
        <x:v>1.992563524979203</x:v>
      </x:c>
      <x:c r="D1904" s="83" t="n">
        <x:v>0.6152027675868206</x:v>
      </x:c>
      <x:c r="E1904" s="81" t="n">
        <x:v>-0.07875406135477084</x:v>
      </x:c>
      <x:c r="F1904" s="81" t="n">
        <x:v>0.4407560129882768</x:v>
      </x:c>
      <x:c r="G1904" s="81" t="n">
        <x:v>-0.005114354661938969</x:v>
      </x:c>
      <x:c r="H1904" s="59" t="n">
        <x:v>0</x:v>
      </x:c>
      <x:c r="I1904" s="81" t="n">
        <x:v>0</x:v>
      </x:c>
      <x:c r="J1904" s="79" t="n">
        <x:v>7.083654032597612e-28</x:v>
      </x:c>
      <x:c r="K1904" s="81" t="n">
        <x:v>-1</x:v>
      </x:c>
      <x:c r="L1904" s="81" t="n">
        <x:v>-1</x:v>
      </x:c>
      <x:c r="M1904" s="80" t="n">
        <x:v>0.000002</x:v>
      </x:c>
      <x:c r="N1904" s="82" t="n">
        <x:v>0.1745400334517182</x:v>
      </x:c>
      <x:c r="O1904" s="82" t="n">
        <x:v>0.07267151975837927</x:v>
      </x:c>
      <x:c r="P1904" s="80" t="n">
        <x:v>610.3734586532013</x:v>
      </x:c>
      <x:c r="Q1904" s="81" t="n">
        <x:v>39064920355.057175</x:v>
      </x:c>
      <x:c r="R1904" s="81" t="n">
        <x:v>1.9950852218125663</x:v>
      </x:c>
      <x:c r="S1904" s="81" t="n">
        <x:v>1.6919434591913756e-10</x:v>
      </x:c>
      <x:c r="T1904" s="81" t="n">
        <x:v>1.5344741151539976e-23</x:v>
      </x:c>
    </x:row>
    <x:row r="1905">
      <x:c r="A1905" s="59" t="n">
        <x:v>1902</x:v>
      </x:c>
      <x:c r="B1905" s="193" t="n">
        <x:v>0.8312267307192087</x:v>
      </x:c>
      <x:c r="C1905" s="83" t="n">
        <x:v>0.12060317161335386</x:v>
      </x:c>
      <x:c r="D1905" s="83" t="n">
        <x:v>1.4968888262542803</x:v>
      </x:c>
      <x:c r="E1905" s="81" t="n">
        <x:v>-0.11200827797607577</x:v>
      </x:c>
      <x:c r="F1905" s="81" t="n">
        <x:v>0.48781982308719307</x:v>
      </x:c>
      <x:c r="G1905" s="81" t="n">
        <x:v>-0.006770694318946638</x:v>
      </x:c>
      <x:c r="H1905" s="59" t="n">
        <x:v>0</x:v>
      </x:c>
      <x:c r="I1905" s="81" t="n">
        <x:v>0</x:v>
      </x:c>
      <x:c r="J1905" s="79" t="n">
        <x:v>2.4158525274431114e-57</x:v>
      </x:c>
      <x:c r="K1905" s="81" t="n">
        <x:v>-1</x:v>
      </x:c>
      <x:c r="L1905" s="81" t="n">
        <x:v>-1</x:v>
      </x:c>
      <x:c r="M1905" s="80" t="n">
        <x:v>0.000002</x:v>
      </x:c>
      <x:c r="N1905" s="82" t="n">
        <x:v>0.3001075427585162</x:v>
      </x:c>
      <x:c r="O1905" s="82" t="n">
        <x:v>0.1382952606305921</x:v>
      </x:c>
      <x:c r="P1905" s="80" t="n">
        <x:v>195.3427156016507</x:v>
      </x:c>
      <x:c r="Q1905" s="81" t="n">
        <x:v>8.301991436325629e+39</x:v>
      </x:c>
      <x:c r="R1905" s="81" t="n">
        <x:v>6.846187212638489</x:v>
      </x:c>
      <x:c r="S1905" s="81" t="n">
        <x:v>1.077319103759342e-9</x:v>
      </x:c>
      <x:c r="T1905" s="81" t="n">
        <x:v>5.233264007998733e-53</x:v>
      </x:c>
    </x:row>
    <x:row r="1906">
      <x:c r="A1906" s="59" t="n">
        <x:v>1903</x:v>
      </x:c>
      <x:c r="B1906" s="193" t="n">
        <x:v>0.8103692628443242</x:v>
      </x:c>
      <x:c r="C1906" s="83" t="n">
        <x:v>0.10713241568850787</x:v>
      </x:c>
      <x:c r="D1906" s="83" t="n">
        <x:v>0.8586569703311788</x:v>
      </x:c>
      <x:c r="E1906" s="81" t="n">
        <x:v>0.04177733873095563</x:v>
      </x:c>
      <x:c r="F1906" s="81" t="n">
        <x:v>0.6095078562386333</x:v>
      </x:c>
      <x:c r="G1906" s="81" t="n">
        <x:v>-0.00998081201277143</x:v>
      </x:c>
      <x:c r="H1906" s="59" t="n">
        <x:v>0</x:v>
      </x:c>
      <x:c r="I1906" s="81" t="n">
        <x:v>0</x:v>
      </x:c>
      <x:c r="J1906" s="79" t="n">
        <x:v>0.00019724218727675187</x:v>
      </x:c>
      <x:c r="K1906" s="81" t="n">
        <x:v>-0.7745803573979979</x:v>
      </x:c>
      <x:c r="L1906" s="81" t="n">
        <x:v>-0.8723972916889612</x:v>
      </x:c>
      <x:c r="M1906" s="80" t="n">
        <x:v>3023.4683070115248</x:v>
      </x:c>
      <x:c r="N1906" s="82" t="n">
        <x:v>0.2951389028331963</x:v>
      </x:c>
      <x:c r="O1906" s="82" t="n">
        <x:v>0.16993260230628737</x:v>
      </x:c>
      <x:c r="P1906" s="80" t="n">
        <x:v>5527.9848822255</x:v>
      </x:c>
      <x:c r="Q1906" s="81" t="n">
        <x:v>0.008875384436553753</x:v>
      </x:c>
      <x:c r="R1906" s="81" t="n">
        <x:v>201.5416762336862</x:v>
      </x:c>
      <x:c r="S1906" s="81" t="n">
        <x:v>35.12847747329495</x:v>
      </x:c>
      <x:c r="T1906" s="81" t="n">
        <x:v>4.272696399340452</x:v>
      </x:c>
    </x:row>
    <x:row r="1907">
      <x:c r="A1907" s="59" t="n">
        <x:v>1904</x:v>
      </x:c>
      <x:c r="B1907" s="193" t="n">
        <x:v>0.6282362965866923</x:v>
      </x:c>
      <x:c r="C1907" s="83" t="n">
        <x:v>0.11369932191109555</x:v>
      </x:c>
      <x:c r="D1907" s="83" t="n">
        <x:v>0.30123791868434124</x:v>
      </x:c>
      <x:c r="E1907" s="81" t="n">
        <x:v>-0.12506944793459104</x:v>
      </x:c>
      <x:c r="F1907" s="81" t="n">
        <x:v>0.46864644957240675</x:v>
      </x:c>
      <x:c r="G1907" s="81" t="n">
        <x:v>-0.0021001227570211106</x:v>
      </x:c>
      <x:c r="H1907" s="59" t="n">
        <x:v>0</x:v>
      </x:c>
      <x:c r="I1907" s="81" t="n">
        <x:v>0</x:v>
      </x:c>
      <x:c r="J1907" s="79" t="n">
        <x:v>9.252923747882433e-25</x:v>
      </x:c>
      <x:c r="K1907" s="81" t="n">
        <x:v>-1</x:v>
      </x:c>
      <x:c r="L1907" s="81" t="n">
        <x:v>-1</x:v>
      </x:c>
      <x:c r="M1907" s="80" t="n">
        <x:v>0.000002</x:v>
      </x:c>
      <x:c r="N1907" s="82" t="n">
        <x:v>0.25175141527751105</x:v>
      </x:c>
      <x:c r="O1907" s="82" t="n">
        <x:v>0.11145208404120213</x:v>
      </x:c>
      <x:c r="P1907" s="80" t="n">
        <x:v>124.51735349849446</x:v>
      </x:c>
      <x:c r="Q1907" s="81" t="n">
        <x:v>19640110.01761458</x:v>
      </x:c>
      <x:c r="R1907" s="81" t="n">
        <x:v>28.842512015687205</x:v>
      </x:c>
      <x:c r="S1907" s="81" t="n">
        <x:v>2.3096025381192152e-10</x:v>
      </x:c>
      <x:c r="T1907" s="81" t="n">
        <x:v>2.0043852953971402e-20</x:v>
      </x:c>
    </x:row>
    <x:row r="1908">
      <x:c r="A1908" s="59" t="n">
        <x:v>1905</x:v>
      </x:c>
      <x:c r="B1908" s="193" t="n">
        <x:v>0.3181112058460713</x:v>
      </x:c>
      <x:c r="C1908" s="83" t="n">
        <x:v>0.22162217101813186</x:v>
      </x:c>
      <x:c r="D1908" s="83" t="n">
        <x:v>0.4488140384016416</x:v>
      </x:c>
      <x:c r="E1908" s="81" t="n">
        <x:v>-0.022566282616501114</x:v>
      </x:c>
      <x:c r="F1908" s="81" t="n">
        <x:v>0.8662185467663222</x:v>
      </x:c>
      <x:c r="G1908" s="81" t="n">
        <x:v>-0.039567766375222864</x:v>
      </x:c>
      <x:c r="H1908" s="59" t="n">
        <x:v>0</x:v>
      </x:c>
      <x:c r="I1908" s="81" t="n">
        <x:v>0</x:v>
      </x:c>
      <x:c r="J1908" s="79" t="n">
        <x:v>2.650162768428341e-10</x:v>
      </x:c>
      <x:c r="K1908" s="81" t="n">
        <x:v>-0.9999996971242551</x:v>
      </x:c>
      <x:c r="L1908" s="81" t="n">
        <x:v>-0.9999996971242551</x:v>
      </x:c>
      <x:c r="M1908" s="80" t="n">
        <x:v>3.437357910675987</x:v>
      </x:c>
      <x:c r="N1908" s="82" t="n">
        <x:v>0.17787380381764392</x:v>
      </x:c>
      <x:c r="O1908" s="82" t="n">
        <x:v>0.14554939770013603</x:v>
      </x:c>
      <x:c r="P1908" s="80" t="n">
        <x:v>409.6884229256132</x:v>
      </x:c>
      <x:c r="Q1908" s="81" t="n">
        <x:v>0.5806703348133444</x:v>
      </x:c>
      <x:c r="R1908" s="81" t="n">
        <x:v>28.307816034258657</x:v>
      </x:c>
      <x:c r="S1908" s="81" t="n">
        <x:v>0.0003648741121857802</x:v>
      </x:c>
      <x:c r="T1908" s="81" t="n">
        <x:v>0.000005740831145033917</x:v>
      </x:c>
    </x:row>
    <x:row r="1909">
      <x:c r="A1909" s="59" t="n">
        <x:v>1906</x:v>
      </x:c>
      <x:c r="B1909" s="193" t="n">
        <x:v>0.799514101445675</x:v>
      </x:c>
      <x:c r="C1909" s="83" t="n">
        <x:v>0.5550110707943526</x:v>
      </x:c>
      <x:c r="D1909" s="83" t="n">
        <x:v>0.8110655332980331</x:v>
      </x:c>
      <x:c r="E1909" s="81" t="n">
        <x:v>0.0056817728814150805</x:v>
      </x:c>
      <x:c r="F1909" s="81" t="n">
        <x:v>0.6963810271117836</x:v>
      </x:c>
      <x:c r="G1909" s="81" t="n">
        <x:v>0.004706107580013859</x:v>
      </x:c>
      <x:c r="H1909" s="59" t="n">
        <x:v>0</x:v>
      </x:c>
      <x:c r="I1909" s="81" t="n">
        <x:v>0</x:v>
      </x:c>
      <x:c r="J1909" s="79" t="n">
        <x:v>0.000006096239189523341</x:v>
      </x:c>
      <x:c r="K1909" s="81" t="n">
        <x:v>-0.9930328694976877</x:v>
      </x:c>
      <x:c r="L1909" s="81" t="n">
        <x:v>-0.9931374868582451</x:v>
      </x:c>
      <x:c r="M1909" s="80" t="n">
        <x:v>667.2922960490381</x:v>
      </x:c>
      <x:c r="N1909" s="82" t="n">
        <x:v>0.2925529998537618</x:v>
      </x:c>
      <x:c r="O1909" s="82" t="n">
        <x:v>0.1924519996130788</x:v>
      </x:c>
      <x:c r="P1909" s="80" t="n">
        <x:v>2408.3836108295814</x:v>
      </x:c>
      <x:c r="Q1909" s="81" t="n">
        <x:v>0.05153824023268855</x:v>
      </x:c>
      <x:c r="R1909" s="81" t="n">
        <x:v>18.56885098024047</x:v>
      </x:c>
      <x:c r="S1909" s="81" t="n">
        <x:v>0.3661800372049905</x:v>
      </x:c>
      <x:c r="T1909" s="81" t="n">
        <x:v>0.13205785027138886</x:v>
      </x:c>
    </x:row>
    <x:row r="1910">
      <x:c r="A1910" s="59" t="n">
        <x:v>1907</x:v>
      </x:c>
      <x:c r="B1910" s="193" t="n">
        <x:v>0.47192542608827354</x:v>
      </x:c>
      <x:c r="C1910" s="83" t="n">
        <x:v>1.2345249609521551</x:v>
      </x:c>
      <x:c r="D1910" s="83" t="n">
        <x:v>1.8409955525942612</x:v>
      </x:c>
      <x:c r="E1910" s="81" t="n">
        <x:v>0.05333542432611618</x:v>
      </x:c>
      <x:c r="F1910" s="81" t="n">
        <x:v>0.7899249168345704</x:v>
      </x:c>
      <x:c r="G1910" s="81" t="n">
        <x:v>-0.012545418532560124</x:v>
      </x:c>
      <x:c r="H1910" s="59" t="n">
        <x:v>0</x:v>
      </x:c>
      <x:c r="I1910" s="81" t="n">
        <x:v>0</x:v>
      </x:c>
      <x:c r="J1910" s="79" t="n">
        <x:v>0.007814672930077206</x:v>
      </x:c>
      <x:c r="K1910" s="81" t="n">
        <x:v>7.931054777231093</x:v>
      </x:c>
      <x:c r="L1910" s="81" t="n">
        <x:v>-0.7602068125245618</x:v>
      </x:c>
      <x:c r="M1910" s="80" t="n">
        <x:v>46588.76070676749</x:v>
      </x:c>
      <x:c r="N1910" s="82" t="n">
        <x:v>0.214515235095966</x:v>
      </x:c>
      <x:c r="O1910" s="82" t="n">
        <x:v>0.16007182507901585</x:v>
      </x:c>
      <x:c r="P1910" s="80" t="n">
        <x:v>137361.05207020103</x:v>
      </x:c>
      <x:c r="Q1910" s="81" t="n">
        <x:v>0.0075756642427635</x:v>
      </x:c>
      <x:c r="R1910" s="81" t="n">
        <x:v>228.17718282996933</x:v>
      </x:c>
      <x:c r="S1910" s="81" t="n">
        <x:v>132.57885137038042</x:v>
      </x:c>
      <x:c r="T1910" s="81" t="n">
        <x:v>169.28287680928435</x:v>
      </x:c>
    </x:row>
    <x:row r="1911">
      <x:c r="A1911" s="59" t="n">
        <x:v>1908</x:v>
      </x:c>
      <x:c r="B1911" s="193" t="n">
        <x:v>0.21008436866104604</x:v>
      </x:c>
      <x:c r="C1911" s="83" t="n">
        <x:v>0.17062272148006719</x:v>
      </x:c>
      <x:c r="D1911" s="83" t="n">
        <x:v>1.1268726071895905</x:v>
      </x:c>
      <x:c r="E1911" s="81" t="n">
        <x:v>-0.007873328436279456</x:v>
      </x:c>
      <x:c r="F1911" s="81" t="n">
        <x:v>0.353991158970166</x:v>
      </x:c>
      <x:c r="G1911" s="81" t="n">
        <x:v>-0.029944053714650067</x:v>
      </x:c>
      <x:c r="H1911" s="59" t="n">
        <x:v>0</x:v>
      </x:c>
      <x:c r="I1911" s="81" t="n">
        <x:v>0</x:v>
      </x:c>
      <x:c r="J1911" s="79" t="n">
        <x:v>2.229196991896519e-9</x:v>
      </x:c>
      <x:c r="K1911" s="81" t="n">
        <x:v>-0.999997452346295</x:v>
      </x:c>
      <x:c r="L1911" s="81" t="n">
        <x:v>-0.999997452346295</x:v>
      </x:c>
      <x:c r="M1911" s="80" t="n">
        <x:v>9.523405033686368</x:v>
      </x:c>
      <x:c r="N1911" s="82" t="n">
        <x:v>0.15213978569697362</x:v>
      </x:c>
      <x:c r="O1911" s="82" t="n">
        <x:v>0.05087520328306851</x:v>
      </x:c>
      <x:c r="P1911" s="80" t="n">
        <x:v>1457.3039065044609</x:v>
      </x:c>
      <x:c r="Q1911" s="81" t="n">
        <x:v>0.5386391894826172</x:v>
      </x:c>
      <x:c r="R1911" s="81" t="n">
        <x:v>53.94032484566959</x:v>
      </x:c>
      <x:c r="S1911" s="81" t="n">
        <x:v>0.003050405337510605</x:v>
      </x:c>
      <x:c r="T1911" s="81" t="n">
        <x:v>0.00004828927367010323</x:v>
      </x:c>
    </x:row>
    <x:row r="1912">
      <x:c r="A1912" s="59" t="n">
        <x:v>1909</x:v>
      </x:c>
      <x:c r="B1912" s="193" t="n">
        <x:v>0.4449658028781414</x:v>
      </x:c>
      <x:c r="C1912" s="83" t="n">
        <x:v>0.5233395684954766</x:v>
      </x:c>
      <x:c r="D1912" s="83" t="n">
        <x:v>0.6421779702996404</x:v>
      </x:c>
      <x:c r="E1912" s="81" t="n">
        <x:v>-0.06740673506726444</x:v>
      </x:c>
      <x:c r="F1912" s="81" t="n">
        <x:v>0.4787943891948089</x:v>
      </x:c>
      <x:c r="G1912" s="81" t="n">
        <x:v>-0.04517329339885014</x:v>
      </x:c>
      <x:c r="H1912" s="59" t="n">
        <x:v>0</x:v>
      </x:c>
      <x:c r="I1912" s="81" t="n">
        <x:v>0</x:v>
      </x:c>
      <x:c r="J1912" s="79" t="n">
        <x:v>1.3679872165698638e-23</x:v>
      </x:c>
      <x:c r="K1912" s="81" t="n">
        <x:v>-1</x:v>
      </x:c>
      <x:c r="L1912" s="81" t="n">
        <x:v>-1</x:v>
      </x:c>
      <x:c r="M1912" s="80" t="n">
        <x:v>0.000002</x:v>
      </x:c>
      <x:c r="N1912" s="82" t="n">
        <x:v>0.2080929473543771</x:v>
      </x:c>
      <x:c r="O1912" s="82" t="n">
        <x:v>0.09411901116195975</x:v>
      </x:c>
      <x:c r="P1912" s="80" t="n">
        <x:v>338.17276415870435</x:v>
      </x:c>
      <x:c r="Q1912" s="81" t="n">
        <x:v>2338510.9522483004</x:v>
      </x:c>
      <x:c r="R1912" s="81" t="n">
        <x:v>6.531910647071268</x:v>
      </x:c>
      <x:c r="S1912" s="81" t="n">
        <x:v>2.104318985726953e-10</x:v>
      </x:c>
      <x:c r="T1912" s="81" t="n">
        <x:v>2.963358972682995e-19</x:v>
      </x:c>
    </x:row>
    <x:row r="1913">
      <x:c r="A1913" s="59" t="n">
        <x:v>1910</x:v>
      </x:c>
      <x:c r="B1913" s="193" t="n">
        <x:v>0.5686815973371268</x:v>
      </x:c>
      <x:c r="C1913" s="83" t="n">
        <x:v>2.309350398374418</x:v>
      </x:c>
      <x:c r="D1913" s="83" t="n">
        <x:v>1.0054728985532377</x:v>
      </x:c>
      <x:c r="E1913" s="81" t="n">
        <x:v>-0.040090943208999044</x:v>
      </x:c>
      <x:c r="F1913" s="81" t="n">
        <x:v>0.4104702942422591</x:v>
      </x:c>
      <x:c r="G1913" s="81" t="n">
        <x:v>0.02811312304263748</x:v>
      </x:c>
      <x:c r="H1913" s="59" t="n">
        <x:v>0</x:v>
      </x:c>
      <x:c r="I1913" s="81" t="n">
        <x:v>0</x:v>
      </x:c>
      <x:c r="J1913" s="79" t="n">
        <x:v>3.2092960966483553e-28</x:v>
      </x:c>
      <x:c r="K1913" s="81" t="n">
        <x:v>-1</x:v>
      </x:c>
      <x:c r="L1913" s="81" t="n">
        <x:v>-1</x:v>
      </x:c>
      <x:c r="M1913" s="80" t="n">
        <x:v>0.000002</x:v>
      </x:c>
      <x:c r="N1913" s="82" t="n">
        <x:v>0.23756436926565355</x:v>
      </x:c>
      <x:c r="O1913" s="82" t="n">
        <x:v>0.092115768297475</x:v>
      </x:c>
      <x:c r="P1913" s="80" t="n">
        <x:v>1286.932744738523</x:v>
      </x:c>
      <x:c r="Q1913" s="81" t="n">
        <x:v>163308975362.9278</x:v>
      </x:c>
      <x:c r="R1913" s="81" t="n">
        <x:v>2.4102059622938774</x:v>
      </x:c>
      <x:c r="S1913" s="81" t="n">
        <x:v>3.7293175971064215e-10</x:v>
      </x:c>
      <x:c r="T1913" s="81" t="n">
        <x:v>6.952036005019001e-24</x:v>
      </x:c>
    </x:row>
    <x:row r="1914">
      <x:c r="A1914" s="59" t="n">
        <x:v>1911</x:v>
      </x:c>
      <x:c r="B1914" s="193" t="n">
        <x:v>0.5110740529373288</x:v>
      </x:c>
      <x:c r="C1914" s="83" t="n">
        <x:v>1.632569745447195</x:v>
      </x:c>
      <x:c r="D1914" s="83" t="n">
        <x:v>0.7195305603122634</x:v>
      </x:c>
      <x:c r="E1914" s="81" t="n">
        <x:v>0.1858089124365035</x:v>
      </x:c>
      <x:c r="F1914" s="81" t="n">
        <x:v>0.8376552403438836</x:v>
      </x:c>
      <x:c r="G1914" s="81" t="n">
        <x:v>-0.031837027175388666</x:v>
      </x:c>
      <x:c r="H1914" s="59" t="n">
        <x:v>0</x:v>
      </x:c>
      <x:c r="I1914" s="81" t="n">
        <x:v>0</x:v>
      </x:c>
      <x:c r="J1914" s="79" t="n">
        <x:v>0.011251025768638494</x:v>
      </x:c>
      <x:c r="K1914" s="81" t="n">
        <x:v>11.858315164158281</x:v>
      </x:c>
      <x:c r="L1914" s="81" t="n">
        <x:v>-0.7923099541806489</x:v>
      </x:c>
      <x:c r="M1914" s="80" t="n">
        <x:v>69782.11730142955</x:v>
      </x:c>
      <x:c r="N1914" s="82" t="n">
        <x:v>0.2238411720481644</x:v>
      </x:c>
      <x:c r="O1914" s="82" t="n">
        <x:v>0.17712351525046882</x:v>
      </x:c>
      <x:c r="P1914" s="80" t="n">
        <x:v>82691.18248348217</x:v>
      </x:c>
      <x:c r="Q1914" s="81" t="n">
        <x:v>0.0026751666641217867</x:v>
      </x:c>
      <x:c r="R1914" s="81" t="n">
        <x:v>329.3896213075647</x:v>
      </x:c>
      <x:c r="S1914" s="81" t="n">
        <x:v>134.47172766570168</x:v>
      </x:c>
      <x:c r="T1914" s="81" t="n">
        <x:v>243.72178160394196</x:v>
      </x:c>
    </x:row>
    <x:row r="1915">
      <x:c r="A1915" s="59" t="n">
        <x:v>1912</x:v>
      </x:c>
      <x:c r="B1915" s="193" t="n">
        <x:v>0.8414786726236343</x:v>
      </x:c>
      <x:c r="C1915" s="83" t="n">
        <x:v>1.0902741975514656</x:v>
      </x:c>
      <x:c r="D1915" s="83" t="n">
        <x:v>1.237649838234674</x:v>
      </x:c>
      <x:c r="E1915" s="81" t="n">
        <x:v>-0.06213697069562396</x:v>
      </x:c>
      <x:c r="F1915" s="81" t="n">
        <x:v>0.5041111265658401</x:v>
      </x:c>
      <x:c r="G1915" s="81" t="n">
        <x:v>0.013829187424026843</x:v>
      </x:c>
      <x:c r="H1915" s="59" t="n">
        <x:v>49</x:v>
      </x:c>
      <x:c r="I1915" s="81" t="n">
        <x:v>0.2862213362939656</x:v>
      </x:c>
      <x:c r="J1915" s="79" t="n">
        <x:v>5.209129833052124e-38</x:v>
      </x:c>
      <x:c r="K1915" s="81" t="n">
        <x:v>-1</x:v>
      </x:c>
      <x:c r="L1915" s="81" t="n">
        <x:v>-1</x:v>
      </x:c>
      <x:c r="M1915" s="80" t="n">
        <x:v>0.000002</x:v>
      </x:c>
      <x:c r="N1915" s="82" t="n">
        <x:v>0.30254974754406144</x:v>
      </x:c>
      <x:c r="O1915" s="82" t="n">
        <x:v>0.14407678865258125</x:v>
      </x:c>
      <x:c r="P1915" s="80" t="n">
        <x:v>558.0423103653255</x:v>
      </x:c>
      <x:c r="Q1915" s="81" t="n">
        <x:v>662918392158901200000</x:v>
      </x:c>
      <x:c r="R1915" s="81" t="n">
        <x:v>2.2973127599171597</x:v>
      </x:c>
      <x:c r="S1915" s="81" t="n">
        <x:v>6.130137963939693e-10</x:v>
      </x:c>
      <x:c r="T1915" s="81" t="n">
        <x:v>1.128411248560621e-33</x:v>
      </x:c>
    </x:row>
    <x:row r="1916">
      <x:c r="A1916" s="59" t="n">
        <x:v>1913</x:v>
      </x:c>
      <x:c r="B1916" s="193" t="n">
        <x:v>0.44164591114968066</x:v>
      </x:c>
      <x:c r="C1916" s="83" t="n">
        <x:v>1.117776886044279</x:v>
      </x:c>
      <x:c r="D1916" s="83" t="n">
        <x:v>0.6114499973048528</x:v>
      </x:c>
      <x:c r="E1916" s="81" t="n">
        <x:v>0.0910029176099674</x:v>
      </x:c>
      <x:c r="F1916" s="81" t="n">
        <x:v>0.49245318957837303</x:v>
      </x:c>
      <x:c r="G1916" s="81" t="n">
        <x:v>0.006044389407751636</x:v>
      </x:c>
      <x:c r="H1916" s="59" t="n">
        <x:v>0</x:v>
      </x:c>
      <x:c r="I1916" s="81" t="n">
        <x:v>0</x:v>
      </x:c>
      <x:c r="J1916" s="79" t="n">
        <x:v>0.008446174871978957</x:v>
      </x:c>
      <x:c r="K1916" s="81" t="n">
        <x:v>8.652771282261666</x:v>
      </x:c>
      <x:c r="L1916" s="81" t="n">
        <x:v>-0.6288122341598668</x:v>
      </x:c>
      <x:c r="M1916" s="80" t="n">
        <x:v>41107.6395301009</x:v>
      </x:c>
      <x:c r="N1916" s="82" t="n">
        <x:v>0.20730208689668814</x:v>
      </x:c>
      <x:c r="O1916" s="82" t="n">
        <x:v>0.09643608490676328</x:v>
      </x:c>
      <x:c r="P1916" s="80" t="n">
        <x:v>46333.43699811653</x:v>
      </x:c>
      <x:c r="Q1916" s="81" t="n">
        <x:v>0.0026426662654282047</x:v>
      </x:c>
      <x:c r="R1916" s="81" t="n">
        <x:v>141.88502905880247</x:v>
      </x:c>
      <x:c r="S1916" s="81" t="n">
        <x:v>146.33212199629688</x:v>
      </x:c>
      <x:c r="T1916" s="81" t="n">
        <x:v>182.96258757802687</x:v>
      </x:c>
    </x:row>
    <x:row r="1917">
      <x:c r="A1917" s="59" t="n">
        <x:v>1914</x:v>
      </x:c>
      <x:c r="B1917" s="193" t="n">
        <x:v>0.505024159885943</x:v>
      </x:c>
      <x:c r="C1917" s="83" t="n">
        <x:v>0.13740876797040677</x:v>
      </x:c>
      <x:c r="D1917" s="83" t="n">
        <x:v>1.411935149646796</x:v>
      </x:c>
      <x:c r="E1917" s="81" t="n">
        <x:v>0.05280904063537839</x:v>
      </x:c>
      <x:c r="F1917" s="81" t="n">
        <x:v>0.36728938882006334</x:v>
      </x:c>
      <x:c r="G1917" s="81" t="n">
        <x:v>-0.0011582402492577094</x:v>
      </x:c>
      <x:c r="H1917" s="59" t="n">
        <x:v>0</x:v>
      </x:c>
      <x:c r="I1917" s="81" t="n">
        <x:v>0</x:v>
      </x:c>
      <x:c r="J1917" s="79" t="n">
        <x:v>0.006150799956166917</x:v>
      </x:c>
      <x:c r="K1917" s="81" t="n">
        <x:v>6.029485664190763</x:v>
      </x:c>
      <x:c r="L1917" s="81" t="n">
        <x:v>-0.7235037072394609</x:v>
      </x:c>
      <x:c r="M1917" s="80" t="n">
        <x:v>19927.649879476143</x:v>
      </x:c>
      <x:c r="N1917" s="82" t="n">
        <x:v>0.22239997408782963</x:v>
      </x:c>
      <x:c r="O1917" s="82" t="n">
        <x:v>0.07716387977228766</x:v>
      </x:c>
      <x:c r="P1917" s="80" t="n">
        <x:v>47949.60156493446</x:v>
      </x:c>
      <x:c r="Q1917" s="81" t="n">
        <x:v>0.0035908690360905147</x:v>
      </x:c>
      <x:c r="R1917" s="81" t="n">
        <x:v>1230.7235672391403</x:v>
      </x:c>
      <x:c r="S1917" s="81" t="n">
        <x:v>842.2851441897573</x:v>
      </x:c>
      <x:c r="T1917" s="81" t="n">
        <x:v>133.23975559500082</x:v>
      </x:c>
    </x:row>
    <x:row r="1918">
      <x:c r="A1918" s="59" t="n">
        <x:v>1915</x:v>
      </x:c>
      <x:c r="B1918" s="193" t="n">
        <x:v>0.8414118701592088</x:v>
      </x:c>
      <x:c r="C1918" s="83" t="n">
        <x:v>0.17167009744343315</x:v>
      </x:c>
      <x:c r="D1918" s="83" t="n">
        <x:v>0.8001638906079204</x:v>
      </x:c>
      <x:c r="E1918" s="81" t="n">
        <x:v>0.1542723684367834</x:v>
      </x:c>
      <x:c r="F1918" s="81" t="n">
        <x:v>0.7792788592749276</x:v>
      </x:c>
      <x:c r="G1918" s="81" t="n">
        <x:v>0.00779904787812645</x:v>
      </x:c>
      <x:c r="H1918" s="59" t="n">
        <x:v>21</x:v>
      </x:c>
      <x:c r="I1918" s="81" t="n">
        <x:v>0.2060375960543752</x:v>
      </x:c>
      <x:c r="J1918" s="79" t="n">
        <x:v>0.003050905828168166</x:v>
      </x:c>
      <x:c r="K1918" s="81" t="n">
        <x:v>2.4867495179064756</x:v>
      </x:c>
      <x:c r="L1918" s="81" t="n">
        <x:v>-0.8325615595249456</x:v>
      </x:c>
      <x:c r="M1918" s="80" t="n">
        <x:v>17107.072703830214</x:v>
      </x:c>
      <x:c r="N1918" s="82" t="n">
        <x:v>0.30253383394448924</x:v>
      </x:c>
      <x:c r="O1918" s="82" t="n">
        <x:v>0.22270901011161237</x:v>
      </x:c>
      <x:c r="P1918" s="80" t="n">
        <x:v>22196.597354016118</x:v>
      </x:c>
      <x:c r="Q1918" s="81" t="n">
        <x:v>0.004035946309786632</x:v>
      </x:c>
      <x:c r="R1918" s="81" t="n">
        <x:v>456.7073007091045</x:v>
      </x:c>
      <x:c r="S1918" s="81" t="n">
        <x:v>336.26260264110294</x:v>
      </x:c>
      <x:c r="T1918" s="81" t="n">
        <x:v>66.08928103423733</x:v>
      </x:c>
    </x:row>
    <x:row r="1919">
      <x:c r="A1919" s="59" t="n">
        <x:v>1916</x:v>
      </x:c>
      <x:c r="B1919" s="193" t="n">
        <x:v>0.749136058241129</x:v>
      </x:c>
      <x:c r="C1919" s="83" t="n">
        <x:v>2.642743121880758</x:v>
      </x:c>
      <x:c r="D1919" s="83" t="n">
        <x:v>0.8692563200421967</x:v>
      </x:c>
      <x:c r="E1919" s="81" t="n">
        <x:v>-0.037985101385330115</x:v>
      </x:c>
      <x:c r="F1919" s="81" t="n">
        <x:v>0.7767912942683325</x:v>
      </x:c>
      <x:c r="G1919" s="81" t="n">
        <x:v>-0.02082042197152094</x:v>
      </x:c>
      <x:c r="H1919" s="59" t="n">
        <x:v>0</x:v>
      </x:c>
      <x:c r="I1919" s="81" t="n">
        <x:v>0</x:v>
      </x:c>
      <x:c r="J1919" s="79" t="n">
        <x:v>6.659659049346267e-22</x:v>
      </x:c>
      <x:c r="K1919" s="81" t="n">
        <x:v>-1</x:v>
      </x:c>
      <x:c r="L1919" s="81" t="n">
        <x:v>-1</x:v>
      </x:c>
      <x:c r="M1919" s="80" t="n">
        <x:v>0.000016889163208184398</x:v>
      </x:c>
      <x:c r="N1919" s="82" t="n">
        <x:v>0.28055200537412894</x:v>
      </x:c>
      <x:c r="O1919" s="82" t="n">
        <x:v>0.20586791632901566</x:v>
      </x:c>
      <x:c r="P1919" s="80" t="n">
        <x:v>1368.595585397275</x:v>
      </x:c>
      <x:c r="Q1919" s="81" t="n">
        <x:v>700001.1696338394</x:v>
      </x:c>
      <x:c r="R1919" s="81" t="n">
        <x:v>2.309229096629387</x:v>
      </x:c>
      <x:c r="S1919" s="81" t="n">
        <x:v>1.4357176584098758e-9</x:v>
      </x:c>
      <x:c r="T1919" s="81" t="n">
        <x:v>1.4426275450419673e-17</x:v>
      </x:c>
    </x:row>
    <x:row r="1920">
      <x:c r="A1920" s="59" t="n">
        <x:v>1917</x:v>
      </x:c>
      <x:c r="B1920" s="193" t="n">
        <x:v>0.5659904861822724</x:v>
      </x:c>
      <x:c r="C1920" s="83" t="n">
        <x:v>0.8016953493010256</x:v>
      </x:c>
      <x:c r="D1920" s="83" t="n">
        <x:v>0.654850569171213</x:v>
      </x:c>
      <x:c r="E1920" s="81" t="n">
        <x:v>0.15517002170997746</x:v>
      </x:c>
      <x:c r="F1920" s="81" t="n">
        <x:v>0.7511090732645244</x:v>
      </x:c>
      <x:c r="G1920" s="81" t="n">
        <x:v>-0.03098110531886243</x:v>
      </x:c>
      <x:c r="H1920" s="59" t="n">
        <x:v>0</x:v>
      </x:c>
      <x:c r="I1920" s="81" t="n">
        <x:v>0</x:v>
      </x:c>
      <x:c r="J1920" s="79" t="n">
        <x:v>0.003177291166644111</x:v>
      </x:c>
      <x:c r="K1920" s="81" t="n">
        <x:v>2.631189904736127</x:v>
      </x:c>
      <x:c r="L1920" s="81" t="n">
        <x:v>-0.796702890795948</x:v>
      </x:c>
      <x:c r="M1920" s="80" t="n">
        <x:v>23474.247160060015</x:v>
      </x:c>
      <x:c r="N1920" s="82" t="n">
        <x:v>0.23692329613023333</x:v>
      </x:c>
      <x:c r="O1920" s="82" t="n">
        <x:v>0.16810542001061643</x:v>
      </x:c>
      <x:c r="P1920" s="80" t="n">
        <x:v>27402.934671109215</x:v>
      </x:c>
      <x:c r="Q1920" s="81" t="n">
        <x:v>0.002856303908083883</x:v>
      </x:c>
      <x:c r="R1920" s="81" t="n">
        <x:v>237.44250897431985</x:v>
      </x:c>
      <x:c r="S1920" s="81" t="n">
        <x:v>76.47914677241498</x:v>
      </x:c>
      <x:c r="T1920" s="81" t="n">
        <x:v>68.8270633925211</x:v>
      </x:c>
    </x:row>
    <x:row r="1921">
      <x:c r="A1921" s="59" t="n">
        <x:v>1918</x:v>
      </x:c>
      <x:c r="B1921" s="193" t="n">
        <x:v>0.6512587724253536</x:v>
      </x:c>
      <x:c r="C1921" s="83" t="n">
        <x:v>0.49740399625342946</x:v>
      </x:c>
      <x:c r="D1921" s="83" t="n">
        <x:v>1.5007465556632873</x:v>
      </x:c>
      <x:c r="E1921" s="81" t="n">
        <x:v>0.08475748537578318</x:v>
      </x:c>
      <x:c r="F1921" s="81" t="n">
        <x:v>0.3308243083534762</x:v>
      </x:c>
      <x:c r="G1921" s="81" t="n">
        <x:v>0.016158504917595976</x:v>
      </x:c>
      <x:c r="H1921" s="59" t="n">
        <x:v>42</x:v>
      </x:c>
      <x:c r="I1921" s="81" t="n">
        <x:v>0.22896673232316972</x:v>
      </x:c>
      <x:c r="J1921" s="79" t="n">
        <x:v>0.049262891942940416</x:v>
      </x:c>
      <x:c r="K1921" s="81" t="n">
        <x:v>55.300447934789055</x:v>
      </x:c>
      <x:c r="L1921" s="81" t="n">
        <x:v>-0.9464122600253266</x:v>
      </x:c>
      <x:c r="M1921" s="80" t="n">
        <x:v>90123.98558513715</x:v>
      </x:c>
      <x:c r="N1921" s="82" t="n">
        <x:v>0.2572358006937023</x:v>
      </x:c>
      <x:c r="O1921" s="82" t="n">
        <x:v>0.08038958122242591</x:v>
      </x:c>
      <x:c r="P1921" s="80" t="n">
        <x:v>202808.37598499135</x:v>
      </x:c>
      <x:c r="Q1921" s="81" t="n">
        <x:v>0.0027149943310122698</x:v>
      </x:c>
      <x:c r="R1921" s="81" t="n">
        <x:v>1448.1238096686466</x:v>
      </x:c>
      <x:c r="S1921" s="81" t="n">
        <x:v>1889.9119694434428</x:v>
      </x:c>
      <x:c r="T1921" s="81" t="n">
        <x:v>1067.1417911745514</x:v>
      </x:c>
    </x:row>
    <x:row r="1922">
      <x:c r="A1922" s="59" t="n">
        <x:v>1919</x:v>
      </x:c>
      <x:c r="B1922" s="193" t="n">
        <x:v>0.9937818638980389</x:v>
      </x:c>
      <x:c r="C1922" s="83" t="n">
        <x:v>0.13000577991914603</x:v>
      </x:c>
      <x:c r="D1922" s="83" t="n">
        <x:v>0.7277013265724066</x:v>
      </x:c>
      <x:c r="E1922" s="81" t="n">
        <x:v>-0.08422227131328545</x:v>
      </x:c>
      <x:c r="F1922" s="81" t="n">
        <x:v>0.35764231546781955</x:v>
      </x:c>
      <x:c r="G1922" s="81" t="n">
        <x:v>0.004275036168668904</x:v>
      </x:c>
      <x:c r="H1922" s="59" t="n">
        <x:v>45</x:v>
      </x:c>
      <x:c r="I1922" s="81" t="n">
        <x:v>0.418128067906946</x:v>
      </x:c>
      <x:c r="J1922" s="79" t="n">
        <x:v>4.56982060479993e-32</x:v>
      </x:c>
      <x:c r="K1922" s="81" t="n">
        <x:v>-1</x:v>
      </x:c>
      <x:c r="L1922" s="81" t="n">
        <x:v>-1</x:v>
      </x:c>
      <x:c r="M1922" s="80" t="n">
        <x:v>0.000002</x:v>
      </x:c>
      <x:c r="N1922" s="82" t="n">
        <x:v>0.3388312233904611</x:v>
      </x:c>
      <x:c r="O1922" s="82" t="n">
        <x:v>0.11447305248223939</x:v>
      </x:c>
      <x:c r="P1922" s="80" t="n">
        <x:v>207.67184944875643</x:v>
      </x:c>
      <x:c r="Q1922" s="81" t="n">
        <x:v>569097953952520.6</x:v>
      </x:c>
      <x:c r="R1922" s="81" t="n">
        <x:v>16.96728047471168</x:v>
      </x:c>
      <x:c r="S1922" s="81" t="n">
        <x:v>5.941791301971332e-10</x:v>
      </x:c>
      <x:c r="T1922" s="81" t="n">
        <x:v>9.899229121995169e-28</x:v>
      </x:c>
    </x:row>
    <x:row r="1923">
      <x:c r="A1923" s="59" t="n">
        <x:v>1920</x:v>
      </x:c>
      <x:c r="B1923" s="193" t="n">
        <x:v>0.7344325067475439</x:v>
      </x:c>
      <x:c r="C1923" s="83" t="n">
        <x:v>2.6490432913732103</x:v>
      </x:c>
      <x:c r="D1923" s="83" t="n">
        <x:v>0.7603438461397893</x:v>
      </x:c>
      <x:c r="E1923" s="81" t="n">
        <x:v>0.02382237191583035</x:v>
      </x:c>
      <x:c r="F1923" s="81" t="n">
        <x:v>0.39010985747445376</x:v>
      </x:c>
      <x:c r="G1923" s="81" t="n">
        <x:v>-0.04567014664028398</x:v>
      </x:c>
      <x:c r="H1923" s="59" t="n">
        <x:v>0</x:v>
      </x:c>
      <x:c r="I1923" s="81" t="n">
        <x:v>0</x:v>
      </x:c>
      <x:c r="J1923" s="79" t="n">
        <x:v>0.0006296369166857434</x:v>
      </x:c>
      <x:c r="K1923" s="81" t="n">
        <x:v>-0.28041495235915026</x:v>
      </x:c>
      <x:c r="L1923" s="81" t="n">
        <x:v>-0.7238695532520192</x:v>
      </x:c>
      <x:c r="M1923" s="80" t="n">
        <x:v>16418.39130414121</x:v>
      </x:c>
      <x:c r="N1923" s="82" t="n">
        <x:v>0.2770493437167667</x:v>
      </x:c>
      <x:c r="O1923" s="82" t="n">
        <x:v>0.10209747274546412</x:v>
      </x:c>
      <x:c r="P1923" s="80" t="n">
        <x:v>26545.24411492572</x:v>
      </x:c>
      <x:c r="Q1923" s="81" t="n">
        <x:v>0.008886971941217134</x:v>
      </x:c>
      <x:c r="R1923" s="81" t="n">
        <x:v>16.441593317290632</x:v>
      </x:c>
      <x:c r="S1923" s="81" t="n">
        <x:v>5.28290778502161</x:v>
      </x:c>
      <x:c r="T1923" s="81" t="n">
        <x:v>13.639310250804995</x:v>
      </x:c>
    </x:row>
    <x:row r="1924">
      <x:c r="A1924" s="59" t="n">
        <x:v>1921</x:v>
      </x:c>
      <x:c r="B1924" s="193" t="n">
        <x:v>0.4049880849197507</x:v>
      </x:c>
      <x:c r="C1924" s="83" t="n">
        <x:v>0.26383151201881905</x:v>
      </x:c>
      <x:c r="D1924" s="83" t="n">
        <x:v>1.5537915198955294</x:v>
      </x:c>
      <x:c r="E1924" s="81" t="n">
        <x:v>0.03361647384713391</x:v>
      </x:c>
      <x:c r="F1924" s="81" t="n">
        <x:v>0.45472869039513175</x:v>
      </x:c>
      <x:c r="G1924" s="81" t="n">
        <x:v>-0.023264257392242832</x:v>
      </x:c>
      <x:c r="H1924" s="59" t="n">
        <x:v>51</x:v>
      </x:c>
      <x:c r="I1924" s="81" t="n">
        <x:v>0.49789040219038727</x:v>
      </x:c>
      <x:c r="J1924" s="79" t="n">
        <x:v>0.0016589278409031199</x:v>
      </x:c>
      <x:c r="K1924" s="81" t="n">
        <x:v>0.8959175324607085</x:v>
      </x:c>
      <x:c r="L1924" s="81" t="n">
        <x:v>-0.9336122486372451</x:v>
      </x:c>
      <x:c r="M1924" s="80" t="n">
        <x:v>10413.802032341404</x:v>
      </x:c>
      <x:c r="N1924" s="82" t="n">
        <x:v>0.19856950535447684</x:v>
      </x:c>
      <x:c r="O1924" s="82" t="n">
        <x:v>0.08529741151425282</x:v>
      </x:c>
      <x:c r="P1924" s="80" t="n">
        <x:v>29360.755104719243</x:v>
      </x:c>
      <x:c r="Q1924" s="81" t="n">
        <x:v>0.006023377026052874</x:v>
      </x:c>
      <x:c r="R1924" s="81" t="n">
        <x:v>332.9610101171262</x:v>
      </x:c>
      <x:c r="S1924" s="81" t="n">
        <x:v>121.08901784267243</x:v>
      </x:c>
      <x:c r="T1924" s="81" t="n">
        <x:v>35.93599883703904</x:v>
      </x:c>
    </x:row>
    <x:row r="1925">
      <x:c r="A1925" s="59" t="n">
        <x:v>1922</x:v>
      </x:c>
      <x:c r="B1925" s="193" t="n">
        <x:v>0.6912884421646595</x:v>
      </x:c>
      <x:c r="C1925" s="83" t="n">
        <x:v>0.6333846378440877</x:v>
      </x:c>
      <x:c r="D1925" s="83" t="n">
        <x:v>0.47196694097666964</x:v>
      </x:c>
      <x:c r="E1925" s="81" t="n">
        <x:v>-0.05278027729223375</x:v>
      </x:c>
      <x:c r="F1925" s="81" t="n">
        <x:v>0.6303603317704983</x:v>
      </x:c>
      <x:c r="G1925" s="81" t="n">
        <x:v>0.00665633100130298</x:v>
      </x:c>
      <x:c r="H1925" s="59" t="n">
        <x:v>51</x:v>
      </x:c>
      <x:c r="I1925" s="81" t="n">
        <x:v>0.47666556145995853</x:v>
      </x:c>
      <x:c r="J1925" s="79" t="n">
        <x:v>2.379359485691824e-20</x:v>
      </x:c>
      <x:c r="K1925" s="81" t="n">
        <x:v>-1</x:v>
      </x:c>
      <x:c r="L1925" s="81" t="n">
        <x:v>-1</x:v>
      </x:c>
      <x:c r="M1925" s="80" t="n">
        <x:v>0.00004503636346489852</x:v>
      </x:c>
      <x:c r="N1925" s="82" t="n">
        <x:v>0.2667716185819124</x:v>
      </x:c>
      <x:c r="O1925" s="82" t="n">
        <x:v>0.158854470413764</x:v>
      </x:c>
      <x:c r="P1925" s="80" t="n">
        <x:v>380.44842396107407</x:v>
      </x:c>
      <x:c r="Q1925" s="81" t="n">
        <x:v>38135.90546309867</x:v>
      </x:c>
      <x:c r="R1925" s="81" t="n">
        <x:v>7.372791243044891</x:v>
      </x:c>
      <x:c r="S1925" s="81" t="n">
        <x:v>6.509346183140884e-9</x:v>
      </x:c>
      <x:c r="T1925" s="81" t="n">
        <x:v>5.154212112334584e-16</x:v>
      </x:c>
    </x:row>
    <x:row r="1926">
      <x:c r="A1926" s="59" t="n">
        <x:v>1923</x:v>
      </x:c>
      <x:c r="B1926" s="193" t="n">
        <x:v>0.650517388805747</x:v>
      </x:c>
      <x:c r="C1926" s="83" t="n">
        <x:v>0.43124183298035096</x:v>
      </x:c>
      <x:c r="D1926" s="83" t="n">
        <x:v>0.32462105340146447</x:v>
      </x:c>
      <x:c r="E1926" s="81" t="n">
        <x:v>0.06580025980566333</x:v>
      </x:c>
      <x:c r="F1926" s="81" t="n">
        <x:v>0.527079155726824</x:v>
      </x:c>
      <x:c r="G1926" s="81" t="n">
        <x:v>-0.04173226537504304</x:v>
      </x:c>
      <x:c r="H1926" s="59" t="n">
        <x:v>0</x:v>
      </x:c>
      <x:c r="I1926" s="81" t="n">
        <x:v>0</x:v>
      </x:c>
      <x:c r="J1926" s="79" t="n">
        <x:v>0.00009408608969475174</x:v>
      </x:c>
      <x:c r="K1926" s="81" t="n">
        <x:v>-0.8924730403488551</x:v>
      </x:c>
      <x:c r="L1926" s="81" t="n">
        <x:v>-0.9141335571999498</x:v>
      </x:c>
      <x:c r="M1926" s="80" t="n">
        <x:v>2525.5577003788517</x:v>
      </x:c>
      <x:c r="N1926" s="82" t="n">
        <x:v>0.2570591892145691</x:v>
      </x:c>
      <x:c r="O1926" s="82" t="n">
        <x:v>0.12799114282439197</x:v>
      </x:c>
      <x:c r="P1926" s="80" t="n">
        <x:v>2104.8516911809456</x:v>
      </x:c>
      <x:c r="Q1926" s="81" t="n">
        <x:v>0.004034508703784019</x:v>
      </x:c>
      <x:c r="R1926" s="81" t="n">
        <x:v>50.7446329779312</x:v>
      </x:c>
      <x:c r="S1926" s="81" t="n">
        <x:v>4.210270486675152</x:v>
      </x:c>
      <x:c r="T1926" s="81" t="n">
        <x:v>2.0381101133437434</x:v>
      </x:c>
    </x:row>
    <x:row r="1927">
      <x:c r="A1927" s="59" t="n">
        <x:v>1924</x:v>
      </x:c>
      <x:c r="B1927" s="193" t="n">
        <x:v>0.4448221888393164</x:v>
      </x:c>
      <x:c r="C1927" s="83" t="n">
        <x:v>0.4663680341060437</x:v>
      </x:c>
      <x:c r="D1927" s="83" t="n">
        <x:v>1.8536471507599734</x:v>
      </x:c>
      <x:c r="E1927" s="81" t="n">
        <x:v>0.019432040920270274</x:v>
      </x:c>
      <x:c r="F1927" s="81" t="n">
        <x:v>0.8016604964970612</x:v>
      </x:c>
      <x:c r="G1927" s="81" t="n">
        <x:v>0.030122566218756766</x:v>
      </x:c>
      <x:c r="H1927" s="59" t="n">
        <x:v>0</x:v>
      </x:c>
      <x:c r="I1927" s="81" t="n">
        <x:v>0</x:v>
      </x:c>
      <x:c r="J1927" s="79" t="n">
        <x:v>0.001038290752303816</x:v>
      </x:c>
      <x:c r="K1927" s="81" t="n">
        <x:v>0.1866180026329325</x:v>
      </x:c>
      <x:c r="L1927" s="81" t="n">
        <x:v>-0.7750518917422106</x:v>
      </x:c>
      <x:c r="M1927" s="80" t="n">
        <x:v>9503.951589655111</x:v>
      </x:c>
      <x:c r="N1927" s="82" t="n">
        <x:v>0.2080587357975658</x:v>
      </x:c>
      <x:c r="O1927" s="82" t="n">
        <x:v>0.15756051095137483</x:v>
      </x:c>
      <x:c r="P1927" s="80" t="n">
        <x:v>34870.39324254501</x:v>
      </x:c>
      <x:c r="Q1927" s="81" t="n">
        <x:v>0.018078290428179197</x:v>
      </x:c>
      <x:c r="R1927" s="81" t="n">
        <x:v>72.79986712606298</x:v>
      </x:c>
      <x:c r="S1927" s="81" t="n">
        <x:v>48.998761894565455</x:v>
      </x:c>
      <x:c r="T1927" s="81" t="n">
        <x:v>22.491644511183605</x:v>
      </x:c>
    </x:row>
    <x:row r="1928">
      <x:c r="A1928" s="59" t="n">
        <x:v>1925</x:v>
      </x:c>
      <x:c r="B1928" s="193" t="n">
        <x:v>0.631079587340355</x:v>
      </x:c>
      <x:c r="C1928" s="83" t="n">
        <x:v>0.5213667342757655</x:v>
      </x:c>
      <x:c r="D1928" s="83" t="n">
        <x:v>0.8804613054533474</x:v>
      </x:c>
      <x:c r="E1928" s="81" t="n">
        <x:v>0.014374626643813553</x:v>
      </x:c>
      <x:c r="F1928" s="81" t="n">
        <x:v>0.7901627149782143</x:v>
      </x:c>
      <x:c r="G1928" s="81" t="n">
        <x:v>-0.010825054695137962</x:v>
      </x:c>
      <x:c r="H1928" s="59" t="n">
        <x:v>0</x:v>
      </x:c>
      <x:c r="I1928" s="81" t="n">
        <x:v>0</x:v>
      </x:c>
      <x:c r="J1928" s="79" t="n">
        <x:v>0.00003345479217280617</x:v>
      </x:c>
      <x:c r="K1928" s="81" t="n">
        <x:v>-0.9617659518025072</x:v>
      </x:c>
      <x:c r="L1928" s="81" t="n">
        <x:v>-0.9641742119378549</x:v>
      </x:c>
      <x:c r="M1928" s="80" t="n">
        <x:v>1571.9148230325939</x:v>
      </x:c>
      <x:c r="N1928" s="82" t="n">
        <x:v>0.2524287404467352</x:v>
      </x:c>
      <x:c r="O1928" s="82" t="n">
        <x:v>0.18841968574273396</x:v>
      </x:c>
      <x:c r="P1928" s="80" t="n">
        <x:v>3894.2279514682136</x:v>
      </x:c>
      <x:c r="Q1928" s="81" t="n">
        <x:v>0.02478869771378216</x:v>
      </x:c>
      <x:c r="R1928" s="81" t="n">
        <x:v>25.63052141266068</x:v>
      </x:c>
      <x:c r="S1928" s="81" t="n">
        <x:v>1.5451645999079444</x:v>
      </x:c>
      <x:c r="T1928" s="81" t="n">
        <x:v>0.724703837606855</x:v>
      </x:c>
    </x:row>
    <x:row r="1929">
      <x:c r="A1929" s="59" t="n">
        <x:v>1926</x:v>
      </x:c>
      <x:c r="B1929" s="193" t="n">
        <x:v>0.7868527950719</x:v>
      </x:c>
      <x:c r="C1929" s="83" t="n">
        <x:v>0.8577578272644029</x:v>
      </x:c>
      <x:c r="D1929" s="83" t="n">
        <x:v>0.6888373724670568</x:v>
      </x:c>
      <x:c r="E1929" s="81" t="n">
        <x:v>0.019082421283226073</x:v>
      </x:c>
      <x:c r="F1929" s="81" t="n">
        <x:v>0.3794085936853662</x:v>
      </x:c>
      <x:c r="G1929" s="81" t="n">
        <x:v>0.0006625296666016049</x:v>
      </x:c>
      <x:c r="H1929" s="59" t="n">
        <x:v>12</x:v>
      </x:c>
      <x:c r="I1929" s="81" t="n">
        <x:v>0.29241105848923327</x:v>
      </x:c>
      <x:c r="J1929" s="79" t="n">
        <x:v>0.000227889748652849</x:v>
      </x:c>
      <x:c r="K1929" s="81" t="n">
        <x:v>-0.7395545729681725</x:v>
      </x:c>
      <x:c r="L1929" s="81" t="n">
        <x:v>-0.8230799443706489</x:v>
      </x:c>
      <x:c r="M1929" s="80" t="n">
        <x:v>5023.037267905787</x:v>
      </x:c>
      <x:c r="N1929" s="82" t="n">
        <x:v>0.28953683927603435</x:v>
      </x:c>
      <x:c r="O1929" s="82" t="n">
        <x:v>0.10377241755865356</x:v>
      </x:c>
      <x:c r="P1929" s="80" t="n">
        <x:v>7842.486318580418</x:v>
      </x:c>
      <x:c r="Q1929" s="81" t="n">
        <x:v>0.011116679266199525</x:v>
      </x:c>
      <x:c r="R1929" s="81" t="n">
        <x:v>19.387369416380388</x:v>
      </x:c>
      <x:c r="S1929" s="81" t="n">
        <x:v>5.769580596575305</x:v>
      </x:c>
      <x:c r="T1929" s="81" t="n">
        <x:v>4.936589489090476</x:v>
      </x:c>
    </x:row>
    <x:row r="1930">
      <x:c r="A1930" s="59" t="n">
        <x:v>1927</x:v>
      </x:c>
      <x:c r="B1930" s="193" t="n">
        <x:v>0.516339898854494</x:v>
      </x:c>
      <x:c r="C1930" s="83" t="n">
        <x:v>0.21991949614493989</x:v>
      </x:c>
      <x:c r="D1930" s="83" t="n">
        <x:v>1.8577176403043363</x:v>
      </x:c>
      <x:c r="E1930" s="81" t="n">
        <x:v>-0.018070074348949024</x:v>
      </x:c>
      <x:c r="F1930" s="81" t="n">
        <x:v>0.6631632104981691</x:v>
      </x:c>
      <x:c r="G1930" s="81" t="n">
        <x:v>0.04957554525483064</x:v>
      </x:c>
      <x:c r="H1930" s="59" t="n">
        <x:v>0</x:v>
      </x:c>
      <x:c r="I1930" s="81" t="n">
        <x:v>0</x:v>
      </x:c>
      <x:c r="J1930" s="79" t="n">
        <x:v>2.5253636076090773e-27</x:v>
      </x:c>
      <x:c r="K1930" s="81" t="n">
        <x:v>-1</x:v>
      </x:c>
      <x:c r="L1930" s="81" t="n">
        <x:v>-1</x:v>
      </x:c>
      <x:c r="M1930" s="80" t="n">
        <x:v>0.000002</x:v>
      </x:c>
      <x:c r="N1930" s="82" t="n">
        <x:v>0.22509559528024392</x:v>
      </x:c>
      <x:c r="O1930" s="82" t="n">
        <x:v>0.14101274407572015</x:v>
      </x:c>
      <x:c r="P1930" s="80" t="n">
        <x:v>877.1007229751285</x:v>
      </x:c>
      <x:c r="Q1930" s="81" t="n">
        <x:v>45070109759.098946</x:v>
      </x:c>
      <x:c r="R1930" s="81" t="n">
        <x:v>17.04262042355064</x:v>
      </x:c>
      <x:c r="S1930" s="81" t="n">
        <x:v>2.403362950349312e-9</x:v>
      </x:c>
      <x:c r="T1930" s="81" t="n">
        <x:v>5.470488916307259e-23</x:v>
      </x:c>
    </x:row>
    <x:row r="1931">
      <x:c r="A1931" s="59" t="n">
        <x:v>1928</x:v>
      </x:c>
      <x:c r="B1931" s="193" t="n">
        <x:v>0.9007097197696567</x:v>
      </x:c>
      <x:c r="C1931" s="83" t="n">
        <x:v>0.8125458717003033</x:v>
      </x:c>
      <x:c r="D1931" s="83" t="n">
        <x:v>0.8502534955292893</x:v>
      </x:c>
      <x:c r="E1931" s="81" t="n">
        <x:v>0.01357281721268679</x:v>
      </x:c>
      <x:c r="F1931" s="81" t="n">
        <x:v>0.6879390055779369</x:v>
      </x:c>
      <x:c r="G1931" s="81" t="n">
        <x:v>0.030884431805555085</x:v>
      </x:c>
      <x:c r="H1931" s="59" t="n">
        <x:v>0</x:v>
      </x:c>
      <x:c r="I1931" s="81" t="n">
        <x:v>0</x:v>
      </x:c>
      <x:c r="J1931" s="79" t="n">
        <x:v>0.00008274935690275198</x:v>
      </x:c>
      <x:c r="K1931" s="81" t="n">
        <x:v>-0.9054293063968548</x:v>
      </x:c>
      <x:c r="L1931" s="81" t="n">
        <x:v>-0.9499792349773517</x:v>
      </x:c>
      <x:c r="M1931" s="80" t="n">
        <x:v>2967.408056830481</x:v>
      </x:c>
      <x:c r="N1931" s="82" t="n">
        <x:v>0.31665969355637813</x:v>
      </x:c>
      <x:c r="O1931" s="82" t="n">
        <x:v>0.2057849754214022</x:v>
      </x:c>
      <x:c r="P1931" s="80" t="n">
        <x:v>6571.46158001145</x:v>
      </x:c>
      <x:c r="Q1931" s="81" t="n">
        <x:v>0.030019667917047563</x:v>
      </x:c>
      <x:c r="R1931" s="81" t="n">
        <x:v>17.44708499289656</x:v>
      </x:c>
      <x:c r="S1931" s="81" t="n">
        <x:v>2.782889765317546</x:v>
      </x:c>
      <x:c r="T1931" s="81" t="n">
        <x:v>1.7925317304965793</x:v>
      </x:c>
    </x:row>
    <x:row r="1932">
      <x:c r="A1932" s="59" t="n">
        <x:v>1929</x:v>
      </x:c>
      <x:c r="B1932" s="193" t="n">
        <x:v>0.9781989706680179</x:v>
      </x:c>
      <x:c r="C1932" s="83" t="n">
        <x:v>0.10529440180710858</x:v>
      </x:c>
      <x:c r="D1932" s="83" t="n">
        <x:v>0.637763883209471</x:v>
      </x:c>
      <x:c r="E1932" s="81" t="n">
        <x:v>-0.010178693936332748</x:v>
      </x:c>
      <x:c r="F1932" s="81" t="n">
        <x:v>0.3245146142086014</x:v>
      </x:c>
      <x:c r="G1932" s="81" t="n">
        <x:v>-0.00949158853298889</x:v>
      </x:c>
      <x:c r="H1932" s="59" t="n">
        <x:v>30</x:v>
      </x:c>
      <x:c r="I1932" s="81" t="n">
        <x:v>0.12420295029878617</x:v>
      </x:c>
      <x:c r="J1932" s="79" t="n">
        <x:v>2.4913890135538164e-9</x:v>
      </x:c>
      <x:c r="K1932" s="81" t="n">
        <x:v>-0.9999971526982703</x:v>
      </x:c>
      <x:c r="L1932" s="81" t="n">
        <x:v>-0.9999971526982703</x:v>
      </x:c>
      <x:c r="M1932" s="80" t="n">
        <x:v>9.504195222804372</x:v>
      </x:c>
      <x:c r="N1932" s="82" t="n">
        <x:v>0.33511908604382223</x:v>
      </x:c>
      <x:c r="O1932" s="82" t="n">
        <x:v>0.1027316738675579</x:v>
      </x:c>
      <x:c r="P1932" s="80" t="n">
        <x:v>678.4922312051148</x:v>
      </x:c>
      <x:c r="Q1932" s="81" t="n">
        <x:v>0.36151615113286517</x:v>
      </x:c>
      <x:c r="R1932" s="81" t="n">
        <x:v>73.14683487733213</x:v>
      </x:c>
      <x:c r="S1932" s="81" t="n">
        <x:v>0.002603239467742178</x:v>
      </x:c>
      <x:c r="T1932" s="81" t="n">
        <x:v>0.00005396892528185034</x:v>
      </x:c>
    </x:row>
    <x:row r="1933">
      <x:c r="A1933" s="59" t="n">
        <x:v>1930</x:v>
      </x:c>
      <x:c r="B1933" s="193" t="n">
        <x:v>0.984467245452106</x:v>
      </x:c>
      <x:c r="C1933" s="83" t="n">
        <x:v>1.952795875843157</x:v>
      </x:c>
      <x:c r="D1933" s="83" t="n">
        <x:v>0.9955785176253623</x:v>
      </x:c>
      <x:c r="E1933" s="81" t="n">
        <x:v>-0.10554002585766595</x:v>
      </x:c>
      <x:c r="F1933" s="81" t="n">
        <x:v>0.7106046574306675</x:v>
      </x:c>
      <x:c r="G1933" s="81" t="n">
        <x:v>0.022301299234916278</x:v>
      </x:c>
      <x:c r="H1933" s="59" t="n">
        <x:v>67</x:v>
      </x:c>
      <x:c r="I1933" s="81" t="n">
        <x:v>0.3579978222027421</x:v>
      </x:c>
      <x:c r="J1933" s="79" t="n">
        <x:v>8.423130667078786e-48</x:v>
      </x:c>
      <x:c r="K1933" s="81" t="n">
        <x:v>-1</x:v>
      </x:c>
      <x:c r="L1933" s="81" t="n">
        <x:v>-1</x:v>
      </x:c>
      <x:c r="M1933" s="80" t="n">
        <x:v>0.000002</x:v>
      </x:c>
      <x:c r="N1933" s="82" t="n">
        <x:v>0.3366123066275441</x:v>
      </x:c>
      <x:c r="O1933" s="82" t="n">
        <x:v>0.22595865516935076</x:v>
      </x:c>
      <x:c r="P1933" s="80" t="n">
        <x:v>493.8833236012879</x:v>
      </x:c>
      <x:c r="Q1933" s="81" t="n">
        <x:v>2.5123407212447867e+30</x:v>
      </x:c>
      <x:c r="R1933" s="81" t="n">
        <x:v>1.0751099780140905</x:v>
      </x:c>
      <x:c r="S1933" s="81" t="n">
        <x:v>3.862688047877099e-10</x:v>
      </x:c>
      <x:c r="T1933" s="81" t="n">
        <x:v>1.8246339978933907e-43</x:v>
      </x:c>
    </x:row>
    <x:row r="1934">
      <x:c r="A1934" s="59" t="n">
        <x:v>1931</x:v>
      </x:c>
      <x:c r="B1934" s="193" t="n">
        <x:v>0.7668258782476187</x:v>
      </x:c>
      <x:c r="C1934" s="83" t="n">
        <x:v>0.3390204795619364</x:v>
      </x:c>
      <x:c r="D1934" s="83" t="n">
        <x:v>0.460744159496433</x:v>
      </x:c>
      <x:c r="E1934" s="81" t="n">
        <x:v>-0.0593234071292054</x:v>
      </x:c>
      <x:c r="F1934" s="81" t="n">
        <x:v>0.33245400469750164</x:v>
      </x:c>
      <x:c r="G1934" s="81" t="n">
        <x:v>0.007103527576298169</x:v>
      </x:c>
      <x:c r="H1934" s="59" t="n">
        <x:v>0</x:v>
      </x:c>
      <x:c r="I1934" s="81" t="n">
        <x:v>0</x:v>
      </x:c>
      <x:c r="J1934" s="79" t="n">
        <x:v>1.1056633054050993e-21</x:v>
      </x:c>
      <x:c r="K1934" s="81" t="n">
        <x:v>-1</x:v>
      </x:c>
      <x:c r="L1934" s="81" t="n">
        <x:v>-1</x:v>
      </x:c>
      <x:c r="M1934" s="80" t="n">
        <x:v>0.000007993655964517204</x:v>
      </x:c>
      <x:c r="N1934" s="82" t="n">
        <x:v>0.2847660521837998</x:v>
      </x:c>
      <x:c r="O1934" s="82" t="n">
        <x:v>0.08943154325537654</x:v>
      </x:c>
      <x:c r="P1934" s="80" t="n">
        <x:v>304.2488930650122</x:v>
      </x:c>
      <x:c r="Q1934" s="81" t="n">
        <x:v>130403.67614597671</x:v>
      </x:c>
      <x:c r="R1934" s="81" t="n">
        <x:v>13.642318591280906</x:v>
      </x:c>
      <x:c r="S1934" s="81" t="n">
        <x:v>1.3905429197505329e-9</x:v>
      </x:c>
      <x:c r="T1934" s="81" t="n">
        <x:v>2.395108110040741e-17</x:v>
      </x:c>
    </x:row>
    <x:row r="1935">
      <x:c r="A1935" s="59" t="n">
        <x:v>1932</x:v>
      </x:c>
      <x:c r="B1935" s="193" t="n">
        <x:v>0.5090682487934828</x:v>
      </x:c>
      <x:c r="C1935" s="83" t="n">
        <x:v>1.256795269647334</x:v>
      </x:c>
      <x:c r="D1935" s="83" t="n">
        <x:v>0.4379744863831491</x:v>
      </x:c>
      <x:c r="E1935" s="81" t="n">
        <x:v>-0.08182791239386518</x:v>
      </x:c>
      <x:c r="F1935" s="81" t="n">
        <x:v>0.759148112765979</x:v>
      </x:c>
      <x:c r="G1935" s="81" t="n">
        <x:v>0.015495946178991613</x:v>
      </x:c>
      <x:c r="H1935" s="59" t="n">
        <x:v>0</x:v>
      </x:c>
      <x:c r="I1935" s="81" t="n">
        <x:v>0</x:v>
      </x:c>
      <x:c r="J1935" s="79" t="n">
        <x:v>1.123301644604903e-25</x:v>
      </x:c>
      <x:c r="K1935" s="81" t="n">
        <x:v>-1</x:v>
      </x:c>
      <x:c r="L1935" s="81" t="n">
        <x:v>-1</x:v>
      </x:c>
      <x:c r="M1935" s="80" t="n">
        <x:v>0.000002</x:v>
      </x:c>
      <x:c r="N1935" s="82" t="n">
        <x:v>0.2233633518922725</x:v>
      </x:c>
      <x:c r="O1935" s="82" t="n">
        <x:v>0.16018040108179685</x:v>
      </x:c>
      <x:c r="P1935" s="80" t="n">
        <x:v>394.4083303197283</x:v>
      </x:c>
      <x:c r="Q1935" s="81" t="n">
        <x:v>237768937.6406245</x:v>
      </x:c>
      <x:c r="R1935" s="81" t="n">
        <x:v>3.2385651136927835</x:v>
      </x:c>
      <x:c r="S1935" s="81" t="n">
        <x:v>2.0498029619783512e-10</x:v>
      </x:c>
      <x:c r="T1935" s="81" t="n">
        <x:v>2.433316603583557e-21</x:v>
      </x:c>
    </x:row>
    <x:row r="1936">
      <x:c r="A1936" s="59" t="n">
        <x:v>1933</x:v>
      </x:c>
      <x:c r="B1936" s="193" t="n">
        <x:v>0.9051193771883845</x:v>
      </x:c>
      <x:c r="C1936" s="83" t="n">
        <x:v>0.301422764656498</x:v>
      </x:c>
      <x:c r="D1936" s="83" t="n">
        <x:v>0.5190504134624833</x:v>
      </x:c>
      <x:c r="E1936" s="81" t="n">
        <x:v>0.04002091837374254</x:v>
      </x:c>
      <x:c r="F1936" s="81" t="n">
        <x:v>0.4838671876350418</x:v>
      </x:c>
      <x:c r="G1936" s="81" t="n">
        <x:v>0.015759183127356392</x:v>
      </x:c>
      <x:c r="H1936" s="59" t="n">
        <x:v>50</x:v>
      </x:c>
      <x:c r="I1936" s="81" t="n">
        <x:v>0.4157101984135807</x:v>
      </x:c>
      <x:c r="J1936" s="79" t="n">
        <x:v>0.00021230310620159301</x:v>
      </x:c>
      <x:c r="K1936" s="81" t="n">
        <x:v>-0.7573678786267508</x:v>
      </x:c>
      <x:c r="L1936" s="81" t="n">
        <x:v>-0.8856829640425117</x:v>
      </x:c>
      <x:c r="M1936" s="80" t="n">
        <x:v>3532.9662285792156</x:v>
      </x:c>
      <x:c r="N1936" s="82" t="n">
        <x:v>0.3177101566345957</x:v>
      </x:c>
      <x:c r="O1936" s="82" t="n">
        <x:v>0.14522059537047524</x:v>
      </x:c>
      <x:c r="P1936" s="80" t="n">
        <x:v>4128.7093091411625</x:v>
      </x:c>
      <x:c r="Q1936" s="81" t="n">
        <x:v>0.007884881177956932</x:v>
      </x:c>
      <x:c r="R1936" s="81" t="n">
        <x:v>60.894623852395064</x:v>
      </x:c>
      <x:c r="S1936" s="81" t="n">
        <x:v>13.850747038823375</x:v>
      </x:c>
      <x:c r="T1936" s="81" t="n">
        <x:v>4.59894878453955</x:v>
      </x:c>
    </x:row>
    <x:row r="1937">
      <x:c r="A1937" s="59" t="n">
        <x:v>1934</x:v>
      </x:c>
      <x:c r="B1937" s="193" t="n">
        <x:v>0.7265061736106873</x:v>
      </x:c>
      <x:c r="C1937" s="83" t="n">
        <x:v>0.342470355720899</x:v>
      </x:c>
      <x:c r="D1937" s="83" t="n">
        <x:v>0.9389199972033704</x:v>
      </x:c>
      <x:c r="E1937" s="81" t="n">
        <x:v>0.009194372532771137</x:v>
      </x:c>
      <x:c r="F1937" s="81" t="n">
        <x:v>0.7113711966900156</x:v>
      </x:c>
      <x:c r="G1937" s="81" t="n">
        <x:v>-0.004625298084118615</x:v>
      </x:c>
      <x:c r="H1937" s="59" t="n">
        <x:v>0</x:v>
      </x:c>
      <x:c r="I1937" s="81" t="n">
        <x:v>0</x:v>
      </x:c>
      <x:c r="J1937" s="79" t="n">
        <x:v>0.000014096569771510399</x:v>
      </x:c>
      <x:c r="K1937" s="81" t="n">
        <x:v>-0.9838896345468453</x:v>
      </x:c>
      <x:c r="L1937" s="81" t="n">
        <x:v>-0.9848784606149963</x:v>
      </x:c>
      <x:c r="M1937" s="80" t="n">
        <x:v>888.5740564820147</x:v>
      </x:c>
      <x:c r="N1937" s="82" t="n">
        <x:v>0.2751611425448209</x:v>
      </x:c>
      <x:c r="O1937" s="82" t="n">
        <x:v>0.1849074130464658</x:v>
      </x:c>
      <x:c r="P1937" s="80" t="n">
        <x:v>2788.7573714876535</x:v>
      </x:c>
      <x:c r="Q1937" s="81" t="n">
        <x:v>0.03558313894728975</x:v>
      </x:c>
      <x:c r="R1937" s="81" t="n">
        <x:v>31.34896949492639</x:v>
      </x:c>
      <x:c r="S1937" s="81" t="n">
        <x:v>1.0236822601317965</x:v>
      </x:c>
      <x:c r="T1937" s="81" t="n">
        <x:v>0.3053624771523868</x:v>
      </x:c>
    </x:row>
    <x:row r="1938">
      <x:c r="A1938" s="59" t="n">
        <x:v>1935</x:v>
      </x:c>
      <x:c r="B1938" s="193" t="n">
        <x:v>0.44094041734933853</x:v>
      </x:c>
      <x:c r="C1938" s="83" t="n">
        <x:v>0.2639524230873733</x:v>
      </x:c>
      <x:c r="D1938" s="83" t="n">
        <x:v>0.6341928274982509</x:v>
      </x:c>
      <x:c r="E1938" s="81" t="n">
        <x:v>-0.01224182494019781</x:v>
      </x:c>
      <x:c r="F1938" s="81" t="n">
        <x:v>0.6171513205859811</x:v>
      </x:c>
      <x:c r="G1938" s="81" t="n">
        <x:v>-0.05</x:v>
      </x:c>
      <x:c r="H1938" s="59" t="n">
        <x:v>0</x:v>
      </x:c>
      <x:c r="I1938" s="81" t="n">
        <x:v>0</x:v>
      </x:c>
      <x:c r="J1938" s="79" t="n">
        <x:v>4.942319490475996e-9</x:v>
      </x:c>
      <x:c r="K1938" s="81" t="n">
        <x:v>-0.999994351634868</x:v>
      </x:c>
      <x:c r="L1938" s="81" t="n">
        <x:v>-0.999994351634868</x:v>
      </x:c>
      <x:c r="M1938" s="80" t="n">
        <x:v>15.292336378868406</x:v>
      </x:c>
      <x:c r="N1938" s="82" t="n">
        <x:v>0.20713402504543763</x:v>
      </x:c>
      <x:c r="O1938" s="82" t="n">
        <x:v>0.12075748209009653</x:v>
      </x:c>
      <x:c r="P1938" s="80" t="n">
        <x:v>712.2490642118161</x:v>
      </x:c>
      <x:c r="Q1938" s="81" t="n">
        <x:v>0.23822376075625878</x:v>
      </x:c>
      <x:c r="R1938" s="81" t="n">
        <x:v>28.30176545120394</x:v>
      </x:c>
      <x:c r="S1938" s="81" t="n">
        <x:v>0.0021639958092622997</x:v>
      </x:c>
      <x:c r="T1938" s="81" t="n">
        <x:v>0.00010706143033040633</x:v>
      </x:c>
    </x:row>
    <x:row r="1939">
      <x:c r="A1939" s="59" t="n">
        <x:v>1936</x:v>
      </x:c>
      <x:c r="B1939" s="193" t="n">
        <x:v>0.716814799234271</x:v>
      </x:c>
      <x:c r="C1939" s="83" t="n">
        <x:v>0.6216565823423922</x:v>
      </x:c>
      <x:c r="D1939" s="83" t="n">
        <x:v>2.317473475087014</x:v>
      </x:c>
      <x:c r="E1939" s="81" t="n">
        <x:v>-0.09939397816509844</x:v>
      </x:c>
      <x:c r="F1939" s="81" t="n">
        <x:v>0.6103506183018907</x:v>
      </x:c>
      <x:c r="G1939" s="81" t="n">
        <x:v>-0.00615560094187292</x:v>
      </x:c>
      <x:c r="H1939" s="59" t="n">
        <x:v>0</x:v>
      </x:c>
      <x:c r="I1939" s="81" t="n">
        <x:v>0</x:v>
      </x:c>
      <x:c r="J1939" s="79" t="n">
        <x:v>1.9671992560040505e-71</x:v>
      </x:c>
      <x:c r="K1939" s="81" t="n">
        <x:v>-1</x:v>
      </x:c>
      <x:c r="L1939" s="81" t="n">
        <x:v>-1</x:v>
      </x:c>
      <x:c r="M1939" s="80" t="n">
        <x:v>0.000002</x:v>
      </x:c>
      <x:c r="N1939" s="82" t="n">
        <x:v>0.27285247545508895</x:v>
      </x:c>
      <x:c r="O1939" s="82" t="n">
        <x:v>0.15731793205939848</x:v>
      </x:c>
      <x:c r="P1939" s="80" t="n">
        <x:v>353.50185070860636</x:v>
      </x:c>
      <x:c r="Q1939" s="81" t="n">
        <x:v>1.135899033901629e+54</x:v>
      </x:c>
      <x:c r="R1939" s="81" t="n">
        <x:v>1.417314397234036</x:v>
      </x:c>
      <x:c r="S1939" s="81" t="n">
        <x:v>1.1612715576273106e-9</x:v>
      </x:c>
      <x:c r="T1939" s="81" t="n">
        <x:v>4.261383071219072e-67</x:v>
      </x:c>
    </x:row>
    <x:row r="1940">
      <x:c r="A1940" s="59" t="n">
        <x:v>1937</x:v>
      </x:c>
      <x:c r="B1940" s="193" t="n">
        <x:v>0.5865430396050215</x:v>
      </x:c>
      <x:c r="C1940" s="83" t="n">
        <x:v>1.6576957897827609</x:v>
      </x:c>
      <x:c r="D1940" s="83" t="n">
        <x:v>0.7064303681743969</x:v>
      </x:c>
      <x:c r="E1940" s="81" t="n">
        <x:v>-0.007467980494518526</x:v>
      </x:c>
      <x:c r="F1940" s="81" t="n">
        <x:v>0.38908845740370457</x:v>
      </x:c>
      <x:c r="G1940" s="81" t="n">
        <x:v>-0.02211522159944882</x:v>
      </x:c>
      <x:c r="H1940" s="59" t="n">
        <x:v>0</x:v>
      </x:c>
      <x:c r="I1940" s="81" t="n">
        <x:v>0</x:v>
      </x:c>
      <x:c r="J1940" s="79" t="n">
        <x:v>7.687185818087517e-8</x:v>
      </x:c>
      <x:c r="K1940" s="81" t="n">
        <x:v>-0.9999121464477932</x:v>
      </x:c>
      <x:c r="L1940" s="81" t="n">
        <x:v>-0.9999121464477932</x:v>
      </x:c>
      <x:c r="M1940" s="80" t="n">
        <x:v>126.30303220912995</x:v>
      </x:c>
      <x:c r="N1940" s="82" t="n">
        <x:v>0.2418192997159087</x:v>
      </x:c>
      <x:c r="O1940" s="82" t="n">
        <x:v>0.08888126935458102</x:v>
      </x:c>
      <x:c r="P1940" s="80" t="n">
        <x:v>2928.4150429189845</x:v>
      </x:c>
      <x:c r="Q1940" s="81" t="n">
        <x:v>0.1980547478816304</x:v>
      </x:c>
      <x:c r="R1940" s="81" t="n">
        <x:v>7.796266470432525</x:v>
      </x:c>
      <x:c r="S1940" s="81" t="n">
        <x:v>0.012158190634099245</x:v>
      </x:c>
      <x:c r="T1940" s="81" t="n">
        <x:v>0.0016652122763127983</x:v>
      </x:c>
    </x:row>
    <x:row r="1941">
      <x:c r="A1941" s="59" t="n">
        <x:v>1938</x:v>
      </x:c>
      <x:c r="B1941" s="193" t="n">
        <x:v>0.4084745915606618</x:v>
      </x:c>
      <x:c r="C1941" s="83" t="n">
        <x:v>0.2117713251476419</x:v>
      </x:c>
      <x:c r="D1941" s="83" t="n">
        <x:v>0.44721726541569357</x:v>
      </x:c>
      <x:c r="E1941" s="81" t="n">
        <x:v>0.0509424911653476</x:v>
      </x:c>
      <x:c r="F1941" s="81" t="n">
        <x:v>0.6049607235356234</x:v>
      </x:c>
      <x:c r="G1941" s="81" t="n">
        <x:v>0.0013323049518874685</x:v>
      </x:c>
      <x:c r="H1941" s="59" t="n">
        <x:v>0</x:v>
      </x:c>
      <x:c r="I1941" s="81" t="n">
        <x:v>0</x:v>
      </x:c>
      <x:c r="J1941" s="79" t="n">
        <x:v>0.000260263209365745</x:v>
      </x:c>
      <x:c r="K1941" s="81" t="n">
        <x:v>-0.7025563321534343</x:v>
      </x:c>
      <x:c r="L1941" s="81" t="n">
        <x:v>-0.8387185601970999</x:v>
      </x:c>
      <x:c r="M1941" s="80" t="n">
        <x:v>3642.9932569303514</x:v>
      </x:c>
      <x:c r="N1941" s="82" t="n">
        <x:v>0.19940005660834131</x:v>
      </x:c>
      <x:c r="O1941" s="82" t="n">
        <x:v>0.11395237955486459</x:v>
      </x:c>
      <x:c r="P1941" s="80" t="n">
        <x:v>3673.0052459713975</x:v>
      </x:c>
      <x:c r="Q1941" s="81" t="n">
        <x:v>0.004811366680912644</x:v>
      </x:c>
      <x:c r="R1941" s="81" t="n">
        <x:v>105.5444248348499</x:v>
      </x:c>
      <x:c r="S1941" s="81" t="n">
        <x:v>23.44564097718593</x:v>
      </x:c>
      <x:c r="T1941" s="81" t="n">
        <x:v>5.637869326492096</x:v>
      </x:c>
    </x:row>
    <x:row r="1942">
      <x:c r="A1942" s="59" t="n">
        <x:v>1939</x:v>
      </x:c>
      <x:c r="B1942" s="193" t="n">
        <x:v>0.6627523632720114</x:v>
      </x:c>
      <x:c r="C1942" s="83" t="n">
        <x:v>0.5463744501497302</x:v>
      </x:c>
      <x:c r="D1942" s="83" t="n">
        <x:v>0.31715129346453996</x:v>
      </x:c>
      <x:c r="E1942" s="81" t="n">
        <x:v>-0.12726554516630098</x:v>
      </x:c>
      <x:c r="F1942" s="81" t="n">
        <x:v>0.6650278475368396</x:v>
      </x:c>
      <x:c r="G1942" s="81" t="n">
        <x:v>-0.022237260673951664</x:v>
      </x:c>
      <x:c r="H1942" s="59" t="n">
        <x:v>0</x:v>
      </x:c>
      <x:c r="I1942" s="81" t="n">
        <x:v>0</x:v>
      </x:c>
      <x:c r="J1942" s="79" t="n">
        <x:v>2.450450214242998e-24</x:v>
      </x:c>
      <x:c r="K1942" s="81" t="n">
        <x:v>-1</x:v>
      </x:c>
      <x:c r="L1942" s="81" t="n">
        <x:v>-1</x:v>
      </x:c>
      <x:c r="M1942" s="80" t="n">
        <x:v>0.000002</x:v>
      </x:c>
      <x:c r="N1942" s="82" t="n">
        <x:v>0.25997378953820466</x:v>
      </x:c>
      <x:c r="O1942" s="82" t="n">
        <x:v>0.16332036357368976</x:v>
      </x:c>
      <x:c r="P1942" s="80" t="n">
        <x:v>171.39761578450782</x:v>
      </x:c>
      <x:c r="Q1942" s="81" t="n">
        <x:v>7302377.971852964</x:v>
      </x:c>
      <x:c r="R1942" s="81" t="n">
        <x:v>5.842961075076044</x:v>
      </x:c>
      <x:c r="S1942" s="81" t="n">
        <x:v>1.3665639895115547e-10</x:v>
      </x:c>
      <x:c r="T1942" s="81" t="n">
        <x:v>5.308210151040622e-20</x:v>
      </x:c>
    </x:row>
    <x:row r="1943">
      <x:c r="A1943" s="59" t="n">
        <x:v>1940</x:v>
      </x:c>
      <x:c r="B1943" s="193" t="n">
        <x:v>0.7271478112787009</x:v>
      </x:c>
      <x:c r="C1943" s="83" t="n">
        <x:v>0.606699291000951</x:v>
      </x:c>
      <x:c r="D1943" s="83" t="n">
        <x:v>0.7272508305703335</x:v>
      </x:c>
      <x:c r="E1943" s="81" t="n">
        <x:v>0.022170515504886478</x:v>
      </x:c>
      <x:c r="F1943" s="81" t="n">
        <x:v>0.5385634107864462</x:v>
      </x:c>
      <x:c r="G1943" s="81" t="n">
        <x:v>-0.022632930014684915</x:v>
      </x:c>
      <x:c r="H1943" s="59" t="n">
        <x:v>0</x:v>
      </x:c>
      <x:c r="I1943" s="81" t="n">
        <x:v>0</x:v>
      </x:c>
      <x:c r="J1943" s="79" t="n">
        <x:v>0.00008545025889860645</x:v>
      </x:c>
      <x:c r="K1943" s="81" t="n">
        <x:v>-0.9023425612587355</x:v>
      </x:c>
      <x:c r="L1943" s="81" t="n">
        <x:v>-0.9098782113854633</x:v>
      </x:c>
      <x:c r="M1943" s="80" t="n">
        <x:v>2673.897232087649</x:v>
      </x:c>
      <x:c r="N1943" s="82" t="n">
        <x:v>0.27531399266804796</x:v>
      </x:c>
      <x:c r="O1943" s="82" t="n">
        <x:v>0.1400670788260425</x:v>
      </x:c>
      <x:c r="P1943" s="80" t="n">
        <x:v>4901.990212823122</x:v>
      </x:c>
      <x:c r="Q1943" s="81" t="n">
        <x:v>0.012394477484171482</x:v>
      </x:c>
      <x:c r="R1943" s="81" t="n">
        <x:v>31.405527950989622</x:v>
      </x:c>
      <x:c r="S1943" s="81" t="n">
        <x:v>3.0250616720005654</x:v>
      </x:c>
      <x:c r="T1943" s="81" t="n">
        <x:v>1.851039164387823</x:v>
      </x:c>
    </x:row>
    <x:row r="1944">
      <x:c r="A1944" s="59" t="n">
        <x:v>1941</x:v>
      </x:c>
      <x:c r="B1944" s="193" t="n">
        <x:v>0.7925047855824232</x:v>
      </x:c>
      <x:c r="C1944" s="83" t="n">
        <x:v>0.3935441943012833</x:v>
      </x:c>
      <x:c r="D1944" s="83" t="n">
        <x:v>0.1550851456216736</x:v>
      </x:c>
      <x:c r="E1944" s="81" t="n">
        <x:v>0.08474831962482114</x:v>
      </x:c>
      <x:c r="F1944" s="81" t="n">
        <x:v>0.3098052376881242</x:v>
      </x:c>
      <x:c r="G1944" s="81" t="n">
        <x:v>0.026808108259520003</x:v>
      </x:c>
      <x:c r="H1944" s="59" t="n">
        <x:v>82</x:v>
      </x:c>
      <x:c r="I1944" s="81" t="n">
        <x:v>0.31935675283893944</x:v>
      </x:c>
      <x:c r="J1944" s="79" t="n">
        <x:v>0.0003430667714920923</x:v>
      </x:c>
      <x:c r="K1944" s="81" t="n">
        <x:v>-0.607923689723323</x:v>
      </x:c>
      <x:c r="L1944" s="81" t="n">
        <x:v>-0.8655349239639212</x:v>
      </x:c>
      <x:c r="M1944" s="80" t="n">
        <x:v>4664.795042342133</x:v>
      </x:c>
      <x:c r="N1944" s="82" t="n">
        <x:v>0.29088324939046256</x:v>
      </x:c>
      <x:c r="O1944" s="82" t="n">
        <x:v>0.08512917226760648</x:v>
      </x:c>
      <x:c r="P1944" s="80" t="n">
        <x:v>1767.6889758154687</x:v>
      </x:c>
      <x:c r="Q1944" s="81" t="n">
        <x:v>0.0022581892820826375</x:v>
      </x:c>
      <x:c r="R1944" s="81" t="n">
        <x:v>51.78782198998071</x:v>
      </x:c>
      <x:c r="S1944" s="81" t="n">
        <x:v>16.5236061725867</x:v>
      </x:c>
      <x:c r="T1944" s="81" t="n">
        <x:v>7.431575260473635</x:v>
      </x:c>
    </x:row>
    <x:row r="1945">
      <x:c r="A1945" s="59" t="n">
        <x:v>1942</x:v>
      </x:c>
      <x:c r="B1945" s="193" t="n">
        <x:v>0.3067663095891476</x:v>
      </x:c>
      <x:c r="C1945" s="83" t="n">
        <x:v>2.830241150984025</x:v>
      </x:c>
      <x:c r="D1945" s="83" t="n">
        <x:v>0.6294963689045121</x:v>
      </x:c>
      <x:c r="E1945" s="81" t="n">
        <x:v>0.030883664281067556</x:v>
      </x:c>
      <x:c r="F1945" s="81" t="n">
        <x:v>0.3531505359453149</x:v>
      </x:c>
      <x:c r="G1945" s="81" t="n">
        <x:v>0.008312249100557575</x:v>
      </x:c>
      <x:c r="H1945" s="59" t="n">
        <x:v>31</x:v>
      </x:c>
      <x:c r="I1945" s="81" t="n">
        <x:v>0.4905553149059415</x:v>
      </x:c>
      <x:c r="J1945" s="79" t="n">
        <x:v>0.008213441805459801</x:v>
      </x:c>
      <x:c r="K1945" s="81" t="n">
        <x:v>8.386790634811202</x:v>
      </x:c>
      <x:c r="L1945" s="81" t="n">
        <x:v>-0.6435899861754687</x:v>
      </x:c>
      <x:c r="M1945" s="80" t="n">
        <x:v>63698.4704493601</x:v>
      </x:c>
      <x:c r="N1945" s="82" t="n">
        <x:v>0.1751712368124398</x:v>
      </x:c>
      <x:c r="O1945" s="82" t="n">
        <x:v>0.05843776637919984</x:v>
      </x:c>
      <x:c r="P1945" s="80" t="n">
        <x:v>73351.00737213268</x:v>
      </x:c>
      <x:c r="Q1945" s="81" t="n">
        <x:v>0.00481118920462178</x:v>
      </x:c>
      <x:c r="R1945" s="81" t="n">
        <x:v>20.746785937609463</x:v>
      </x:c>
      <x:c r="S1945" s="81" t="n">
        <x:v>59.09450951894027</x:v>
      </x:c>
      <x:c r="T1945" s="81" t="n">
        <x:v>177.92108124992777</x:v>
      </x:c>
    </x:row>
    <x:row r="1946">
      <x:c r="A1946" s="59" t="n">
        <x:v>1943</x:v>
      </x:c>
      <x:c r="B1946" s="193" t="n">
        <x:v>0.3379291458055377</x:v>
      </x:c>
      <x:c r="C1946" s="83" t="n">
        <x:v>0.2990908822442524</x:v>
      </x:c>
      <x:c r="D1946" s="83" t="n">
        <x:v>0.8995368591019957</x:v>
      </x:c>
      <x:c r="E1946" s="81" t="n">
        <x:v>0.19587544940785762</x:v>
      </x:c>
      <x:c r="F1946" s="81" t="n">
        <x:v>0.38891472507966685</x:v>
      </x:c>
      <x:c r="G1946" s="81" t="n">
        <x:v>0.03509693645568073</x:v>
      </x:c>
      <x:c r="H1946" s="59" t="n">
        <x:v>0</x:v>
      </x:c>
      <x:c r="I1946" s="81" t="n">
        <x:v>0</x:v>
      </x:c>
      <x:c r="J1946" s="79" t="n">
        <x:v>0.1689233819580714</x:v>
      </x:c>
      <x:c r="K1946" s="81" t="n">
        <x:v>192.05529366636733</x:v>
      </x:c>
      <x:c r="L1946" s="81" t="n">
        <x:v>-0.7667611269665733</x:v>
      </x:c>
      <x:c r="M1946" s="80" t="n">
        <x:v>174178.73938196228</x:v>
      </x:c>
      <x:c r="N1946" s="82" t="n">
        <x:v>0.18259480870236305</x:v>
      </x:c>
      <x:c r="O1946" s="82" t="n">
        <x:v>0.06708319745239177</x:v>
      </x:c>
      <x:c r="P1946" s="80" t="n">
        <x:v>236260.26259166235</x:v>
      </x:c>
      <x:c r="Q1946" s="81" t="n">
        <x:v>0.0011067524254726956</x:v>
      </x:c>
      <x:c r="R1946" s="81" t="n">
        <x:v>4918.546671735682</x:v>
      </x:c>
      <x:c r="S1946" s="81" t="n">
        <x:v>10576.842405130725</x:v>
      </x:c>
      <x:c r="T1946" s="81" t="n">
        <x:v>3659.2492499789582</x:v>
      </x:c>
    </x:row>
    <x:row r="1947">
      <x:c r="A1947" s="59" t="n">
        <x:v>1944</x:v>
      </x:c>
      <x:c r="B1947" s="193" t="n">
        <x:v>0.7864390391856433</x:v>
      </x:c>
      <x:c r="C1947" s="83" t="n">
        <x:v>0.292033787086948</x:v>
      </x:c>
      <x:c r="D1947" s="83" t="n">
        <x:v>1.7751298204726238</x:v>
      </x:c>
      <x:c r="E1947" s="81" t="n">
        <x:v>0.06889818334697384</x:v>
      </x:c>
      <x:c r="F1947" s="81" t="n">
        <x:v>0.6657277182326653</x:v>
      </x:c>
      <x:c r="G1947" s="81" t="n">
        <x:v>-0.0011113436508126077</x:v>
      </x:c>
      <x:c r="H1947" s="59" t="n">
        <x:v>0</x:v>
      </x:c>
      <x:c r="I1947" s="81" t="n">
        <x:v>0</x:v>
      </x:c>
      <x:c r="J1947" s="79" t="n">
        <x:v>0.004409723036436497</x:v>
      </x:c>
      <x:c r="K1947" s="81" t="n">
        <x:v>4.03968347021314</x:v>
      </x:c>
      <x:c r="L1947" s="81" t="n">
        <x:v>-0.8167724759804221</x:v>
      </x:c>
      <x:c r="M1947" s="80" t="n">
        <x:v>22177.765858375238</x:v>
      </x:c>
      <x:c r="N1947" s="82" t="n">
        <x:v>0.2894382748660048</x:v>
      </x:c>
      <x:c r="O1947" s="82" t="n">
        <x:v>0.182021857714406</x:v>
      </x:c>
      <x:c r="P1947" s="80" t="n">
        <x:v>60298.71661086934</x:v>
      </x:c>
      <x:c r="Q1947" s="81" t="n">
        <x:v>0.0069493504093411</x:v>
      </x:c>
      <x:c r="R1947" s="81" t="n">
        <x:v>488.78038068869114</x:v>
      </x:c>
      <x:c r="S1947" s="81" t="n">
        <x:v>294.22459418421886</x:v>
      </x:c>
      <x:c r="T1947" s="81" t="n">
        <x:v>95.52422836111809</x:v>
      </x:c>
    </x:row>
    <x:row r="1948">
      <x:c r="A1948" s="59" t="n">
        <x:v>1945</x:v>
      </x:c>
      <x:c r="B1948" s="193" t="n">
        <x:v>0.34504559449851513</x:v>
      </x:c>
      <x:c r="C1948" s="83" t="n">
        <x:v>2.898416764532209</x:v>
      </x:c>
      <x:c r="D1948" s="83" t="n">
        <x:v>0.8063899036796806</x:v>
      </x:c>
      <x:c r="E1948" s="81" t="n">
        <x:v>-0.10685700199391955</x:v>
      </x:c>
      <x:c r="F1948" s="81" t="n">
        <x:v>0.7050491118920036</x:v>
      </x:c>
      <x:c r="G1948" s="81" t="n">
        <x:v>0.03454188827343202</x:v>
      </x:c>
      <x:c r="H1948" s="59" t="n">
        <x:v>0</x:v>
      </x:c>
      <x:c r="I1948" s="81" t="n">
        <x:v>0</x:v>
      </x:c>
      <x:c r="J1948" s="79" t="n">
        <x:v>2.5039719865828766e-44</x:v>
      </x:c>
      <x:c r="K1948" s="81" t="n">
        <x:v>-1</x:v>
      </x:c>
      <x:c r="L1948" s="81" t="n">
        <x:v>-1</x:v>
      </x:c>
      <x:c r="M1948" s="80" t="n">
        <x:v>0.000002</x:v>
      </x:c>
      <x:c r="N1948" s="82" t="n">
        <x:v>0.18429008021444318</x:v>
      </x:c>
      <x:c r="O1948" s="82" t="n">
        <x:v>0.1227417386417537</x:v>
      </x:c>
      <x:c r="P1948" s="80" t="n">
        <x:v>635.0426038027645</x:v>
      </x:c>
      <x:c r="Q1948" s="81" t="n">
        <x:v>8.357066665840195e+26</x:v>
      </x:c>
      <x:c r="R1948" s="81" t="n">
        <x:v>0.9715921054499074</x:v>
      </x:c>
      <x:c r="S1948" s="81" t="n">
        <x:v>2.7390243472100387e-10</x:v>
      </x:c>
      <x:c r="T1948" s="81" t="n">
        <x:v>5.424149994904782e-40</x:v>
      </x:c>
    </x:row>
    <x:row r="1949">
      <x:c r="A1949" s="59" t="n">
        <x:v>1946</x:v>
      </x:c>
      <x:c r="B1949" s="193" t="n">
        <x:v>0.8367448285222054</x:v>
      </x:c>
      <x:c r="C1949" s="83" t="n">
        <x:v>0.6730746220789436</x:v>
      </x:c>
      <x:c r="D1949" s="83" t="n">
        <x:v>0.34319699182925595</x:v>
      </x:c>
      <x:c r="E1949" s="81" t="n">
        <x:v>-0.008458595920650451</x:v>
      </x:c>
      <x:c r="F1949" s="81" t="n">
        <x:v>0.8773809746140614</x:v>
      </x:c>
      <x:c r="G1949" s="81" t="n">
        <x:v>0.009246108231770491</x:v>
      </x:c>
      <x:c r="H1949" s="59" t="n">
        <x:v>0</x:v>
      </x:c>
      <x:c r="I1949" s="81" t="n">
        <x:v>0</x:v>
      </x:c>
      <x:c r="J1949" s="79" t="n">
        <x:v>2.3609318944459016e-8</x:v>
      </x:c>
      <x:c r="K1949" s="81" t="n">
        <x:v>-0.9999730179212063</x:v>
      </x:c>
      <x:c r="L1949" s="81" t="n">
        <x:v>-0.9999730179212063</x:v>
      </x:c>
      <x:c r="M1949" s="80" t="n">
        <x:v>44.13903758705138</x:v>
      </x:c>
      <x:c r="N1949" s="82" t="n">
        <x:v>0.3014220571195244</x:v>
      </x:c>
      <x:c r="O1949" s="82" t="n">
        <x:v>0.249824015193845</x:v>
      </x:c>
      <x:c r="P1949" s="80" t="n">
        <x:v>573.2911140826106</x:v>
      </x:c>
      <x:c r="Q1949" s="81" t="n">
        <x:v>0.165070793125097</x:v>
      </x:c>
      <x:c r="R1949" s="81" t="n">
        <x:v>10.57117923467048</x:v>
      </x:c>
      <x:c r="S1949" s="81" t="n">
        <x:v>0.005122784043059425</x:v>
      </x:c>
      <x:c r="T1949" s="81" t="n">
        <x:v>0.0005114293926548854</x:v>
      </x:c>
    </x:row>
    <x:row r="1950">
      <x:c r="A1950" s="59" t="n">
        <x:v>1947</x:v>
      </x:c>
      <x:c r="B1950" s="193" t="n">
        <x:v>0.8768487831577658</x:v>
      </x:c>
      <x:c r="C1950" s="83" t="n">
        <x:v>2.518076534690654</x:v>
      </x:c>
      <x:c r="D1950" s="83" t="n">
        <x:v>0.22621534486637493</x:v>
      </x:c>
      <x:c r="E1950" s="81" t="n">
        <x:v>-0.08724042409070004</x:v>
      </x:c>
      <x:c r="F1950" s="81" t="n">
        <x:v>0.5748006757930852</x:v>
      </x:c>
      <x:c r="G1950" s="81" t="n">
        <x:v>0.0034871292811833768</x:v>
      </x:c>
      <x:c r="H1950" s="59" t="n">
        <x:v>0</x:v>
      </x:c>
      <x:c r="I1950" s="81" t="n">
        <x:v>0</x:v>
      </x:c>
      <x:c r="J1950" s="79" t="n">
        <x:v>1.0790749705601764e-16</x:v>
      </x:c>
      <x:c r="K1950" s="81" t="n">
        <x:v>-0.9999999999998767</x:v>
      </x:c>
      <x:c r="L1950" s="81" t="n">
        <x:v>-0.9999999999998767</x:v>
      </x:c>
      <x:c r="M1950" s="80" t="n">
        <x:v>0.0064539716361628014</x:v>
      </x:c>
      <x:c r="N1950" s="82" t="n">
        <x:v>0.31097557106286416</x:v>
      </x:c>
      <x:c r="O1950" s="82" t="n">
        <x:v>0.16885521803242282</x:v>
      </x:c>
      <x:c r="P1950" s="80" t="n">
        <x:v>529.0551069993277</x:v>
      </x:c>
      <x:c r="Q1950" s="81" t="n">
        <x:v>752.9148545876392</x:v>
      </x:c>
      <x:c r="R1950" s="81" t="n">
        <x:v>2.6235962572429723</x:v>
      </x:c>
      <x:c r="S1950" s="81" t="n">
        <x:v>1.9736333628103811e-7</x:v>
      </x:c>
      <x:c r="T1950" s="81" t="n">
        <x:v>2.337511971950383e-12</x:v>
      </x:c>
    </x:row>
    <x:row r="1951">
      <x:c r="A1951" s="59" t="n">
        <x:v>1948</x:v>
      </x:c>
      <x:c r="B1951" s="193" t="n">
        <x:v>0.808915188163519</x:v>
      </x:c>
      <x:c r="C1951" s="83" t="n">
        <x:v>0.609098518784011</x:v>
      </x:c>
      <x:c r="D1951" s="83" t="n">
        <x:v>0.23346622860396757</x:v>
      </x:c>
      <x:c r="E1951" s="81" t="n">
        <x:v>0.083081406939938</x:v>
      </x:c>
      <x:c r="F1951" s="81" t="n">
        <x:v>0.7894742524367757</x:v>
      </x:c>
      <x:c r="G1951" s="81" t="n">
        <x:v>0.0026692412620839736</x:v>
      </x:c>
      <x:c r="H1951" s="59" t="n">
        <x:v>10</x:v>
      </x:c>
      <x:c r="I1951" s="81" t="n">
        <x:v>0.10590754710137845</x:v>
      </x:c>
      <x:c r="J1951" s="79" t="n">
        <x:v>0.00009072217557514914</x:v>
      </x:c>
      <x:c r="K1951" s="81" t="n">
        <x:v>-0.896317513628401</x:v>
      </x:c>
      <x:c r="L1951" s="81" t="n">
        <x:v>-0.927582785336173</x:v>
      </x:c>
      <x:c r="M1951" s="80" t="n">
        <x:v>2823.254071861994</x:v>
      </x:c>
      <x:c r="N1951" s="82" t="n">
        <x:v>0.2947925149803283</x:v>
      </x:c>
      <x:c r="O1951" s="82" t="n">
        <x:v>0.2198494405324578</x:v>
      </x:c>
      <x:c r="P1951" s="80" t="n">
        <x:v>1655.1977614450834</x:v>
      </x:c>
      <x:c r="Q1951" s="81" t="n">
        <x:v>0.005753225482374574</x:v>
      </x:c>
      <x:c r="R1951" s="81" t="n">
        <x:v>21.83507442219142</x:v>
      </x:c>
      <x:c r="S1951" s="81" t="n">
        <x:v>2.9651480615396775</x:v>
      </x:c>
      <x:c r="T1951" s="81" t="n">
        <x:v>1.9652403893513313</x:v>
      </x:c>
    </x:row>
    <x:row r="1952">
      <x:c r="A1952" s="59" t="n">
        <x:v>1949</x:v>
      </x:c>
      <x:c r="B1952" s="193" t="n">
        <x:v>0.675261658616364</x:v>
      </x:c>
      <x:c r="C1952" s="83" t="n">
        <x:v>0.3390676653386364</x:v>
      </x:c>
      <x:c r="D1952" s="83" t="n">
        <x:v>0.5012678535735584</x:v>
      </x:c>
      <x:c r="E1952" s="81" t="n">
        <x:v>-0.030353532776130933</x:v>
      </x:c>
      <x:c r="F1952" s="81" t="n">
        <x:v>0.5578090227791108</x:v>
      </x:c>
      <x:c r="G1952" s="81" t="n">
        <x:v>-0.019423548725682558</x:v>
      </x:c>
      <x:c r="H1952" s="59" t="n">
        <x:v>0</x:v>
      </x:c>
      <x:c r="I1952" s="81" t="n">
        <x:v>0</x:v>
      </x:c>
      <x:c r="J1952" s="79" t="n">
        <x:v>3.204239201256438e-13</x:v>
      </x:c>
      <x:c r="K1952" s="81" t="n">
        <x:v>-0.9999999996338013</x:v>
      </x:c>
      <x:c r="L1952" s="81" t="n">
        <x:v>-0.9999999996338013</x:v>
      </x:c>
      <x:c r="M1952" s="80" t="n">
        <x:v>0.1323138786870937</x:v>
      </x:c>
      <x:c r="N1952" s="82" t="n">
        <x:v>0.262953738238517</x:v>
      </x:c>
      <x:c r="O1952" s="82" t="n">
        <x:v>0.13855934637593492</x:v>
      </x:c>
      <x:c r="P1952" s="80" t="n">
        <x:v>436.7775521339007</x:v>
      </x:c>
      <x:c r="Q1952" s="81" t="n">
        <x:v>14.149496291652952</x:v>
      </x:c>
      <x:c r="R1952" s="81" t="n">
        <x:v>17.071173192449518</x:v>
      </x:c>
      <x:c r="S1952" s="81" t="n">
        <x:v>0.000017511658807551134</x:v>
      </x:c>
      <x:c r="T1952" s="81" t="n">
        <x:v>6.9410816655690085e-9</x:v>
      </x:c>
    </x:row>
    <x:row r="1953">
      <x:c r="A1953" s="59" t="n">
        <x:v>1950</x:v>
      </x:c>
      <x:c r="B1953" s="193" t="n">
        <x:v>0.5256699398159981</x:v>
      </x:c>
      <x:c r="C1953" s="83" t="n">
        <x:v>0.7927174422336325</x:v>
      </x:c>
      <x:c r="D1953" s="83" t="n">
        <x:v>0.5458798771850609</x:v>
      </x:c>
      <x:c r="E1953" s="81" t="n">
        <x:v>0.01014010016497502</x:v>
      </x:c>
      <x:c r="F1953" s="81" t="n">
        <x:v>0.47695301809581</x:v>
      </x:c>
      <x:c r="G1953" s="81" t="n">
        <x:v>-0.005852792064578685</x:v>
      </x:c>
      <x:c r="H1953" s="59" t="n">
        <x:v>0</x:v>
      </x:c>
      <x:c r="I1953" s="81" t="n">
        <x:v>0</x:v>
      </x:c>
      <x:c r="J1953" s="79" t="n">
        <x:v>0.00003312006614914139</x:v>
      </x:c>
      <x:c r="K1953" s="81" t="n">
        <x:v>-0.9621484958295528</x:v>
      </x:c>
      <x:c r="L1953" s="81" t="n">
        <x:v>-0.9622769811357526</x:v>
      </x:c>
      <x:c r="M1953" s="80" t="n">
        <x:v>1793.2525890904178</x:v>
      </x:c>
      <x:c r="N1953" s="82" t="n">
        <x:v>0.22731818597554235</x:v>
      </x:c>
      <x:c r="O1953" s="82" t="n">
        <x:v>0.10241904566988956</x:v>
      </x:c>
      <x:c r="P1953" s="80" t="n">
        <x:v>3314.281813175603</x:v>
      </x:c>
      <x:c r="Q1953" s="81" t="n">
        <x:v>0.01646238016030046</x:v>
      </x:c>
      <x:c r="R1953" s="81" t="n">
        <x:v>19.871711447117445</x:v>
      </x:c>
      <x:c r="S1953" s="81" t="n">
        <x:v>1.000617724780102</x:v>
      </x:c>
      <x:c r="T1953" s="81" t="n">
        <x:v>0.7174529411540016</x:v>
      </x:c>
    </x:row>
    <x:row r="1954">
      <x:c r="A1954" s="59" t="n">
        <x:v>1951</x:v>
      </x:c>
      <x:c r="B1954" s="193" t="n">
        <x:v>0.7797662964090706</x:v>
      </x:c>
      <x:c r="C1954" s="83" t="n">
        <x:v>0.529456217023709</x:v>
      </x:c>
      <x:c r="D1954" s="83" t="n">
        <x:v>1.6347415153773581</x:v>
      </x:c>
      <x:c r="E1954" s="81" t="n">
        <x:v>-0.043632017952920245</x:v>
      </x:c>
      <x:c r="F1954" s="81" t="n">
        <x:v>0.3960155391134322</x:v>
      </x:c>
      <x:c r="G1954" s="81" t="n">
        <x:v>0.00423565270389128</x:v>
      </x:c>
      <x:c r="H1954" s="59" t="n">
        <x:v>19</x:v>
      </x:c>
      <x:c r="I1954" s="81" t="n">
        <x:v>0.27086648577824235</x:v>
      </x:c>
      <x:c r="J1954" s="79" t="n">
        <x:v>5.042605553063945e-35</x:v>
      </x:c>
      <x:c r="K1954" s="81" t="n">
        <x:v>-1</x:v>
      </x:c>
      <x:c r="L1954" s="81" t="n">
        <x:v>-1</x:v>
      </x:c>
      <x:c r="M1954" s="80" t="n">
        <x:v>0.000002</x:v>
      </x:c>
      <x:c r="N1954" s="82" t="n">
        <x:v>0.28784870242269817</x:v>
      </x:c>
      <x:c r="O1954" s="82" t="n">
        <x:v>0.10768307413698247</x:v>
      </x:c>
      <x:c r="P1954" s="80" t="n">
        <x:v>570.3062724842101</x:v>
      </x:c>
      <x:c r="Q1954" s="81" t="n">
        <x:v>958256775184446300</x:v>
      </x:c>
      <x:c r="R1954" s="81" t="n">
        <x:v>4.559288431519804</x:v>
      </x:c>
      <x:c r="S1954" s="81" t="n">
        <x:v>9.857112599253936e-10</x:v>
      </x:c>
      <x:c r="T1954" s="81" t="n">
        <x:v>1.0923384539251647e-30</x:v>
      </x:c>
    </x:row>
    <x:row r="1955">
      <x:c r="A1955" s="59" t="n">
        <x:v>1952</x:v>
      </x:c>
      <x:c r="B1955" s="193" t="n">
        <x:v>0.6741721536964178</x:v>
      </x:c>
      <x:c r="C1955" s="83" t="n">
        <x:v>2.4642807561412963</x:v>
      </x:c>
      <x:c r="D1955" s="83" t="n">
        <x:v>3</x:v>
      </x:c>
      <x:c r="E1955" s="81" t="n">
        <x:v>0.07230149560144669</x:v>
      </x:c>
      <x:c r="F1955" s="81" t="n">
        <x:v>0.25012338561937214</x:v>
      </x:c>
      <x:c r="G1955" s="81" t="n">
        <x:v>0.028453198395588897</x:v>
      </x:c>
      <x:c r="H1955" s="59" t="n">
        <x:v>38</x:v>
      </x:c>
      <x:c r="I1955" s="81" t="n">
        <x:v>0.1630125601775944</x:v>
      </x:c>
      <x:c r="J1955" s="79" t="n">
        <x:v>1.928571056688369</x:v>
      </x:c>
      <x:c r="K1955" s="81" t="n">
        <x:v>2203.0812076438506</x:v>
      </x:c>
      <x:c r="L1955" s="81" t="n">
        <x:v>-0.9659431159143946</x:v>
      </x:c>
      <x:c r="M1955" s="80" t="n">
        <x:v>1692951.9458457944</x:v>
      </x:c>
      <x:c r="N1955" s="82" t="n">
        <x:v>0.2626941977383685</x:v>
      </x:c>
      <x:c r="O1955" s="82" t="n">
        <x:v>0.06206913896697745</x:v>
      </x:c>
      <x:c r="P1955" s="80" t="n">
        <x:v>6468312.075066029</x:v>
      </x:c>
      <x:c r="Q1955" s="81" t="n">
        <x:v>0.0030930682061599433</x:v>
      </x:c>
      <x:c r="R1955" s="81" t="n">
        <x:v>5752.507780032311</x:v>
      </x:c>
      <x:c r="S1955" s="81" t="n">
        <x:v>15469.592596096956</x:v>
      </x:c>
      <x:c r="T1955" s="81" t="n">
        <x:v>41777.059581187495</x:v>
      </x:c>
    </x:row>
    <x:row r="1956">
      <x:c r="A1956" s="59" t="n">
        <x:v>1953</x:v>
      </x:c>
      <x:c r="B1956" s="193" t="n">
        <x:v>0.6679229211062193</x:v>
      </x:c>
      <x:c r="C1956" s="83" t="n">
        <x:v>0.5789910867398361</x:v>
      </x:c>
      <x:c r="D1956" s="83" t="n">
        <x:v>0.610725548920844</x:v>
      </x:c>
      <x:c r="E1956" s="81" t="n">
        <x:v>0.03878569930768534</x:v>
      </x:c>
      <x:c r="F1956" s="81" t="n">
        <x:v>0.38726703472202645</x:v>
      </x:c>
      <x:c r="G1956" s="81" t="n">
        <x:v>0.007468516693381193</x:v>
      </x:c>
      <x:c r="H1956" s="59" t="n">
        <x:v>0</x:v>
      </x:c>
      <x:c r="I1956" s="81" t="n">
        <x:v>0</x:v>
      </x:c>
      <x:c r="J1956" s="79" t="n">
        <x:v>0.0007849211192935958</x:v>
      </x:c>
      <x:c r="K1956" s="81" t="n">
        <x:v>-0.10294729223589039</x:v>
      </x:c>
      <x:c r="L1956" s="81" t="n">
        <x:v>-0.7077939578077113</x:v>
      </x:c>
      <x:c r="M1956" s="80" t="n">
        <x:v>8290.66007780597</x:v>
      </x:c>
      <x:c r="N1956" s="82" t="n">
        <x:v>0.26120551336227216</x:v>
      </x:c>
      <x:c r="O1956" s="82" t="n">
        <x:v>0.0955572871068644</x:v>
      </x:c>
      <x:c r="P1956" s="80" t="n">
        <x:v>10634.541515479614</x:v>
      </x:c>
      <x:c r="Q1956" s="81" t="n">
        <x:v>0.005373357427783361</x:v>
      </x:c>
      <x:c r="R1956" s="81" t="n">
        <x:v>57.37928362544096</x:v>
      </x:c>
      <x:c r="S1956" s="81" t="n">
        <x:v>26.762463745924855</x:v>
      </x:c>
      <x:c r="T1956" s="81" t="n">
        <x:v>17.003105098740278</x:v>
      </x:c>
    </x:row>
    <x:row r="1957">
      <x:c r="A1957" s="59" t="n">
        <x:v>1954</x:v>
      </x:c>
      <x:c r="B1957" s="193" t="n">
        <x:v>0.3925388026982546</x:v>
      </x:c>
      <x:c r="C1957" s="83" t="n">
        <x:v>0.15667568965970646</x:v>
      </x:c>
      <x:c r="D1957" s="83" t="n">
        <x:v>0.3289191228634727</x:v>
      </x:c>
      <x:c r="E1957" s="81" t="n">
        <x:v>0.03539194242652818</x:v>
      </x:c>
      <x:c r="F1957" s="81" t="n">
        <x:v>0.37475901732686906</x:v>
      </x:c>
      <x:c r="G1957" s="81" t="n">
        <x:v>-0.03695434289094431</x:v>
      </x:c>
      <x:c r="H1957" s="59" t="n">
        <x:v>0</x:v>
      </x:c>
      <x:c r="I1957" s="81" t="n">
        <x:v>0</x:v>
      </x:c>
      <x:c r="J1957" s="79" t="n">
        <x:v>0.00006961230633194166</x:v>
      </x:c>
      <x:c r="K1957" s="81" t="n">
        <x:v>-0.920443078477781</x:v>
      </x:c>
      <x:c r="L1957" s="81" t="n">
        <x:v>-0.9262191385581182</x:v>
      </x:c>
      <x:c r="M1957" s="80" t="n">
        <x:v>1704.0708519093548</x:v>
      </x:c>
      <x:c r="N1957" s="82" t="n">
        <x:v>0.19560385290527477</x:v>
      </x:c>
      <x:c r="O1957" s="82" t="n">
        <x:v>0.06924691633228819</x:v>
      </x:c>
      <x:c r="P1957" s="80" t="n">
        <x:v>1556.3539756526834</x:v>
      </x:c>
      <x:c r="Q1957" s="81" t="n">
        <x:v>0.003664204487200015</x:v>
      </x:c>
      <x:c r="R1957" s="81" t="n">
        <x:v>121.47264067369316</x:v>
      </x:c>
      <x:c r="S1957" s="81" t="n">
        <x:v>8.38891587940747</x:v>
      </x:c>
      <x:c r="T1957" s="81" t="n">
        <x:v>1.5079545340720766</x:v>
      </x:c>
    </x:row>
    <x:row r="1958">
      <x:c r="A1958" s="59" t="n">
        <x:v>1955</x:v>
      </x:c>
      <x:c r="B1958" s="193" t="n">
        <x:v>0.7839177701622249</x:v>
      </x:c>
      <x:c r="C1958" s="83" t="n">
        <x:v>1.204487761783841</x:v>
      </x:c>
      <x:c r="D1958" s="83" t="n">
        <x:v>3</x:v>
      </x:c>
      <x:c r="E1958" s="81" t="n">
        <x:v>0.10121689487010016</x:v>
      </x:c>
      <x:c r="F1958" s="81" t="n">
        <x:v>0.3542474986752495</x:v>
      </x:c>
      <x:c r="G1958" s="81" t="n">
        <x:v>0.008248581769532422</x:v>
      </x:c>
      <x:c r="H1958" s="59" t="n">
        <x:v>0</x:v>
      </x:c>
      <x:c r="I1958" s="81" t="n">
        <x:v>0</x:v>
      </x:c>
      <x:c r="J1958" s="79" t="n">
        <x:v>0.45341135894091317</x:v>
      </x:c>
      <x:c r="K1958" s="81" t="n">
        <x:v>517.1844102181865</x:v>
      </x:c>
      <x:c r="L1958" s="81" t="n">
        <x:v>-0.8164926984485592</x:v>
      </x:c>
      <x:c r="M1958" s="80" t="n">
        <x:v>584316.2438146276</x:v>
      </x:c>
      <x:c r="N1958" s="82" t="n">
        <x:v>0.28883766131083255</x:v>
      </x:c>
      <x:c r="O1958" s="82" t="n">
        <x:v>0.09665660886865562</x:v>
      </x:c>
      <x:c r="P1958" s="80" t="n">
        <x:v>1953720.125492602</x:v>
      </x:c>
      <x:c r="Q1958" s="81" t="n">
        <x:v>0.0033901454600650063</x:v>
      </x:c>
      <x:c r="R1958" s="81" t="n">
        <x:v>4284.28504288523</x:v>
      </x:c>
      <x:c r="S1958" s="81" t="n">
        <x:v>7395.366712021305</x:v>
      </x:c>
      <x:c r="T1958" s="81" t="n">
        <x:v>9821.879931034618</x:v>
      </x:c>
    </x:row>
    <x:row r="1959">
      <x:c r="A1959" s="59" t="n">
        <x:v>1956</x:v>
      </x:c>
      <x:c r="B1959" s="193" t="n">
        <x:v>0.8413786159828305</x:v>
      </x:c>
      <x:c r="C1959" s="83" t="n">
        <x:v>0.15690337956677958</x:v>
      </x:c>
      <x:c r="D1959" s="83" t="n">
        <x:v>0.2517901260409545</x:v>
      </x:c>
      <x:c r="E1959" s="81" t="n">
        <x:v>0.05307945646948444</x:v>
      </x:c>
      <x:c r="F1959" s="81" t="n">
        <x:v>0.5648896521539428</x:v>
      </x:c>
      <x:c r="G1959" s="81" t="n">
        <x:v>-0.020136548623598365</x:v>
      </x:c>
      <x:c r="H1959" s="59" t="n">
        <x:v>0</x:v>
      </x:c>
      <x:c r="I1959" s="81" t="n">
        <x:v>0</x:v>
      </x:c>
      <x:c r="J1959" s="79" t="n">
        <x:v>0.000024095422422193784</x:v>
      </x:c>
      <x:c r="K1959" s="81" t="n">
        <x:v>-0.9724623743746357</x:v>
      </x:c>
      <x:c r="L1959" s="81" t="n">
        <x:v>-0.9724623743746357</x:v>
      </x:c>
      <x:c r="M1959" s="80" t="n">
        <x:v>1014.8535099291861</x:v>
      </x:c>
      <x:c r="N1959" s="82" t="n">
        <x:v>0.30252591217615976</x:v>
      </x:c>
      <x:c r="O1959" s="82" t="n">
        <x:v>0.16143479264066576</x:v>
      </x:c>
      <x:c r="P1959" s="80" t="n">
        <x:v>780.5668813460236</x:v>
      </x:c>
      <x:c r="Q1959" s="81" t="n">
        <x:v>0.005955424673302257</x:v>
      </x:c>
      <x:c r="R1959" s="81" t="n">
        <x:v>75.34676079869635</x:v>
      </x:c>
      <x:c r="S1959" s="81" t="n">
        <x:v>2.9308522614135857</x:v>
      </x:c>
      <x:c r="T1959" s="81" t="n">
        <x:v>0.5219594552530556</x:v>
      </x:c>
    </x:row>
    <x:row r="1960">
      <x:c r="A1960" s="59" t="n">
        <x:v>1957</x:v>
      </x:c>
      <x:c r="B1960" s="193" t="n">
        <x:v>0.20264067221432924</x:v>
      </x:c>
      <x:c r="C1960" s="83" t="n">
        <x:v>1.8179631408420334</x:v>
      </x:c>
      <x:c r="D1960" s="83" t="n">
        <x:v>0.2942708534718261</x:v>
      </x:c>
      <x:c r="E1960" s="81" t="n">
        <x:v>0.05466730390119071</x:v>
      </x:c>
      <x:c r="F1960" s="81" t="n">
        <x:v>0.2789836017414927</x:v>
      </x:c>
      <x:c r="G1960" s="81" t="n">
        <x:v>-0.01389750902967369</x:v>
      </x:c>
      <x:c r="H1960" s="59" t="n">
        <x:v>0</x:v>
      </x:c>
      <x:c r="I1960" s="81" t="n">
        <x:v>0</x:v>
      </x:c>
      <x:c r="J1960" s="79" t="n">
        <x:v>0.003925935406551328</x:v>
      </x:c>
      <x:c r="K1960" s="81" t="n">
        <x:v>3.486783321772947</x:v>
      </x:c>
      <x:c r="L1960" s="81" t="n">
        <x:v>-0.09693680122435244</x:v>
      </x:c>
      <x:c r="M1960" s="80" t="n">
        <x:v>31705.07239897046</x:v>
      </x:c>
      <x:c r="N1960" s="82" t="n">
        <x:v>0.1503665576340572</x:v>
      </x:c>
      <x:c r="O1960" s="82" t="n">
        <x:v>0.039627883369014086</x:v>
      </x:c>
      <x:c r="P1960" s="80" t="n">
        <x:v>18141.568118996758</x:v>
      </x:c>
      <x:c r="Q1960" s="81" t="n">
        <x:v>0.0017326151526739888</x:v>
      </x:c>
      <x:c r="R1960" s="81" t="n">
        <x:v>24.617555013015934</x:v>
      </x:c>
      <x:c r="S1960" s="81" t="n">
        <x:v>41.38429945683599</x:v>
      </x:c>
      <x:c r="T1960" s="81" t="n">
        <x:v>85.04433208337362</x:v>
      </x:c>
    </x:row>
    <x:row r="1961">
      <x:c r="A1961" s="59" t="n">
        <x:v>1958</x:v>
      </x:c>
      <x:c r="B1961" s="193" t="n">
        <x:v>0.7607881361618638</x:v>
      </x:c>
      <x:c r="C1961" s="83" t="n">
        <x:v>0.5268046896221745</x:v>
      </x:c>
      <x:c r="D1961" s="83" t="n">
        <x:v>1.4726078608130642</x:v>
      </x:c>
      <x:c r="E1961" s="81" t="n">
        <x:v>0.09432864407510405</x:v>
      </x:c>
      <x:c r="F1961" s="81" t="n">
        <x:v>0.4571943743736483</x:v>
      </x:c>
      <x:c r="G1961" s="81" t="n">
        <x:v>0.0421028513343489</x:v>
      </x:c>
      <x:c r="H1961" s="59" t="n">
        <x:v>16</x:v>
      </x:c>
      <x:c r="I1961" s="81" t="n">
        <x:v>0.2803570837713778</x:v>
      </x:c>
      <x:c r="J1961" s="79" t="n">
        <x:v>0.04778028251868919</x:v>
      </x:c>
      <x:c r="K1961" s="81" t="n">
        <x:v>53.606037164216225</x:v>
      </x:c>
      <x:c r="L1961" s="81" t="n">
        <x:v>-0.9261962300851787</x:v>
      </x:c>
      <x:c r="M1961" s="80" t="n">
        <x:v>99843.07530370964</x:v>
      </x:c>
      <x:c r="N1961" s="82" t="n">
        <x:v>0.28332774881130907</x:v>
      </x:c>
      <x:c r="O1961" s="82" t="n">
        <x:v>0.12236604705081137</x:v>
      </x:c>
      <x:c r="P1961" s="80" t="n">
        <x:v>226169.92436748018</x:v>
      </x:c>
      <x:c r="Q1961" s="81" t="n">
        <x:v>0.0038678013346920936</x:v>
      </x:c>
      <x:c r="R1961" s="81" t="n">
        <x:v>577.1959658381327</x:v>
      </x:c>
      <x:c r="S1961" s="81" t="n">
        <x:v>1757.7943903458124</x:v>
      </x:c>
      <x:c r="T1961" s="81" t="n">
        <x:v>1035.025234183941</x:v>
      </x:c>
    </x:row>
    <x:row r="1962">
      <x:c r="A1962" s="59" t="n">
        <x:v>1959</x:v>
      </x:c>
      <x:c r="B1962" s="193" t="n">
        <x:v>0.6294994661584496</x:v>
      </x:c>
      <x:c r="C1962" s="83" t="n">
        <x:v>0.11504917322178221</x:v>
      </x:c>
      <x:c r="D1962" s="83" t="n">
        <x:v>1.0644573175123682</x:v>
      </x:c>
      <x:c r="E1962" s="81" t="n">
        <x:v>-0.003631982580271396</x:v>
      </x:c>
      <x:c r="F1962" s="81" t="n">
        <x:v>0.380249556468334</x:v>
      </x:c>
      <x:c r="G1962" s="81" t="n">
        <x:v>-0.0371729575294552</x:v>
      </x:c>
      <x:c r="H1962" s="59" t="n">
        <x:v>10</x:v>
      </x:c>
      <x:c r="I1962" s="81" t="n">
        <x:v>0.31350047551095483</x:v>
      </x:c>
      <x:c r="J1962" s="79" t="n">
        <x:v>7.811853579233375e-8</x:v>
      </x:c>
      <x:c r="K1962" s="81" t="n">
        <x:v>-0.9999107216733802</x:v>
      </x:c>
      <x:c r="L1962" s="81" t="n">
        <x:v>-0.9999107216733802</x:v>
      </x:c>
      <x:c r="M1962" s="80" t="n">
        <x:v>53.403870570437526</x:v>
      </x:c>
      <x:c r="N1962" s="82" t="n">
        <x:v>0.25205232595393323</x:v>
      </x:c>
      <x:c r="O1962" s="82" t="n">
        <x:v>0.09053788969046878</x:v>
      </x:c>
      <x:c r="P1962" s="80" t="n">
        <x:v>1186.3401641491023</x:v>
      </x:c>
      <x:c r="Q1962" s="81" t="n">
        <x:v>0.13782653337302275</x:v>
      </x:c>
      <x:c r="R1962" s="81" t="n">
        <x:v>58.51433339697077</x:v>
      </x:c>
      <x:c r="S1962" s="81" t="n">
        <x:v>0.026776577515874228</x:v>
      </x:c>
      <x:c r="T1962" s="81" t="n">
        <x:v>0.0016922180351474612</x:v>
      </x:c>
    </x:row>
    <x:row r="1963">
      <x:c r="A1963" s="59" t="n">
        <x:v>1960</x:v>
      </x:c>
      <x:c r="B1963" s="193" t="n">
        <x:v>0.6063355846330524</x:v>
      </x:c>
      <x:c r="C1963" s="83" t="n">
        <x:v>0.8503391484563014</x:v>
      </x:c>
      <x:c r="D1963" s="83" t="n">
        <x:v>1.1020593861184569</x:v>
      </x:c>
      <x:c r="E1963" s="81" t="n">
        <x:v>-0.05946972087747815</x:v>
      </x:c>
      <x:c r="F1963" s="81" t="n">
        <x:v>0.5846289479755797</x:v>
      </x:c>
      <x:c r="G1963" s="81" t="n">
        <x:v>-0.001372041627977304</x:v>
      </x:c>
      <x:c r="H1963" s="59" t="n">
        <x:v>0</x:v>
      </x:c>
      <x:c r="I1963" s="81" t="n">
        <x:v>0</x:v>
      </x:c>
      <x:c r="J1963" s="79" t="n">
        <x:v>7.926993165383126e-33</x:v>
      </x:c>
      <x:c r="K1963" s="81" t="n">
        <x:v>-1</x:v>
      </x:c>
      <x:c r="L1963" s="81" t="n">
        <x:v>-1</x:v>
      </x:c>
      <x:c r="M1963" s="80" t="n">
        <x:v>0.000002</x:v>
      </x:c>
      <x:c r="N1963" s="82" t="n">
        <x:v>0.24653425505180504</x:v>
      </x:c>
      <x:c r="O1963" s="82" t="n">
        <x:v>0.13615341193670427</x:v>
      </x:c>
      <x:c r="P1963" s="80" t="n">
        <x:v>498.2393689701116</x:v>
      </x:c>
      <x:c r="Q1963" s="81" t="n">
        <x:v>4540241630239826</x:v>
      </x:c>
      <x:c r="R1963" s="81" t="n">
        <x:v>3.1095657709123836</x:v>
      </x:c>
      <x:c r="S1963" s="81" t="n">
        <x:v>5.131012059906873e-10</x:v>
      </x:c>
      <x:c r="T1963" s="81" t="n">
        <x:v>1.717159783257024e-28</x:v>
      </x:c>
    </x:row>
    <x:row r="1964">
      <x:c r="A1964" s="59" t="n">
        <x:v>1961</x:v>
      </x:c>
      <x:c r="B1964" s="193" t="n">
        <x:v>0.21032466106116773</x:v>
      </x:c>
      <x:c r="C1964" s="83" t="n">
        <x:v>2.0814207533944593</x:v>
      </x:c>
      <x:c r="D1964" s="83" t="n">
        <x:v>1.5152869499486799</x:v>
      </x:c>
      <x:c r="E1964" s="81" t="n">
        <x:v>0.15287725837849908</x:v>
      </x:c>
      <x:c r="F1964" s="81" t="n">
        <x:v>0.6139433983014897</x:v>
      </x:c>
      <x:c r="G1964" s="81" t="n">
        <x:v>-0.002285337966545859</x:v>
      </x:c>
      <x:c r="H1964" s="59" t="n">
        <x:v>0</x:v>
      </x:c>
      <x:c r="I1964" s="81" t="n">
        <x:v>0</x:v>
      </x:c>
      <x:c r="J1964" s="79" t="n">
        <x:v>0.4538741117251498</x:v>
      </x:c>
      <x:c r="K1964" s="81" t="n">
        <x:v>517.7132705430284</x:v>
      </x:c>
      <x:c r="L1964" s="81" t="n">
        <x:v>-0.7858726673497874</x:v>
      </x:c>
      <x:c r="M1964" s="80" t="n">
        <x:v>691255.9320444327</x:v>
      </x:c>
      <x:c r="N1964" s="82" t="n">
        <x:v>0.1521970278521649</x:v>
      </x:c>
      <x:c r="O1964" s="82" t="n">
        <x:v>0.08826843916791804</x:v>
      </x:c>
      <x:c r="P1964" s="80" t="n">
        <x:v>1317907.1031244306</x:v>
      </x:c>
      <x:c r="Q1964" s="81" t="n">
        <x:v>0.0019250264575464394</x:v>
      </x:c>
      <x:c r="R1964" s="81" t="n">
        <x:v>3267.7410772503404</x:v>
      </x:c>
      <x:c r="S1964" s="81" t="n">
        <x:v>4208.164693580847</x:v>
      </x:c>
      <x:c r="T1964" s="81" t="n">
        <x:v>9831.904166631939</x:v>
      </x:c>
    </x:row>
    <x:row r="1965">
      <x:c r="A1965" s="59" t="n">
        <x:v>1962</x:v>
      </x:c>
      <x:c r="B1965" s="193" t="n">
        <x:v>0.364337170124054</x:v>
      </x:c>
      <x:c r="C1965" s="83" t="n">
        <x:v>0.1767638930879205</x:v>
      </x:c>
      <x:c r="D1965" s="83" t="n">
        <x:v>0.6384230143079105</x:v>
      </x:c>
      <x:c r="E1965" s="81" t="n">
        <x:v>0.012221567235127484</x:v>
      </x:c>
      <x:c r="F1965" s="81" t="n">
        <x:v>0.8101607501506806</x:v>
      </x:c>
      <x:c r="G1965" s="81" t="n">
        <x:v>-0.00040893715423785367</x:v>
      </x:c>
      <x:c r="H1965" s="59" t="n">
        <x:v>0</x:v>
      </x:c>
      <x:c r="I1965" s="81" t="n">
        <x:v>0</x:v>
      </x:c>
      <x:c r="J1965" s="79" t="n">
        <x:v>0.000015713653564930928</x:v>
      </x:c>
      <x:c r="K1965" s="81" t="n">
        <x:v>-0.9820415387829361</x:v>
      </x:c>
      <x:c r="L1965" s="81" t="n">
        <x:v>-0.9834345404187246</x:v>
      </x:c>
      <x:c r="M1965" s="80" t="n">
        <x:v>820.1186697792186</x:v>
      </x:c>
      <x:c r="N1965" s="82" t="n">
        <x:v>0.18888569524548957</x:v>
      </x:c>
      <x:c r="O1965" s="82" t="n">
        <x:v>0.14455769342802602</x:v>
      </x:c>
      <x:c r="P1965" s="80" t="n">
        <x:v>1779.5416191396075</x:v>
      </x:c>
      <x:c r="Q1965" s="81" t="n">
        <x:v>0.02080421723489718</x:v>
      </x:c>
      <x:c r="R1965" s="81" t="n">
        <x:v>61.730208391309006</x:v>
      </x:c>
      <x:c r="S1965" s="81" t="n">
        <x:v>1.846641366241792</x:v>
      </x:c>
      <x:c r="T1965" s="81" t="n">
        <x:v>0.34039204256622596</x:v>
      </x:c>
    </x:row>
    <x:row r="1966">
      <x:c r="A1966" s="59" t="n">
        <x:v>1963</x:v>
      </x:c>
      <x:c r="B1966" s="193" t="n">
        <x:v>0.5438815949484705</x:v>
      </x:c>
      <x:c r="C1966" s="83" t="n">
        <x:v>0.10265152187486862</x:v>
      </x:c>
      <x:c r="D1966" s="83" t="n">
        <x:v>0.9284806703314581</x:v>
      </x:c>
      <x:c r="E1966" s="81" t="n">
        <x:v>-0.09580763875782479</x:v>
      </x:c>
      <x:c r="F1966" s="81" t="n">
        <x:v>0.8744641408906318</x:v>
      </x:c>
      <x:c r="G1966" s="81" t="n">
        <x:v>-0.018017223226404377</x:v>
      </x:c>
      <x:c r="H1966" s="59" t="n">
        <x:v>0</x:v>
      </x:c>
      <x:c r="I1966" s="81" t="n">
        <x:v>0</x:v>
      </x:c>
      <x:c r="J1966" s="79" t="n">
        <x:v>1.0189006307280733e-36</x:v>
      </x:c>
      <x:c r="K1966" s="81" t="n">
        <x:v>-1</x:v>
      </x:c>
      <x:c r="L1966" s="81" t="n">
        <x:v>-1</x:v>
      </x:c>
      <x:c r="M1966" s="80" t="n">
        <x:v>0.000002</x:v>
      </x:c>
      <x:c r="N1966" s="82" t="n">
        <x:v>0.23165654369663088</x:v>
      </x:c>
      <x:c r="O1966" s="82" t="n">
        <x:v>0.19136280107267373</x:v>
      </x:c>
      <x:c r="P1966" s="80" t="n">
        <x:v>185.9535172072649</x:v>
      </x:c>
      <x:c r="Q1966" s="81" t="n">
        <x:v>22677603445738627000</x:v>
      </x:c>
      <x:c r="R1966" s="81" t="n">
        <x:v>14.156405900750597</x:v>
      </x:c>
      <x:c r="S1966" s="81" t="n">
        <x:v>5.912472286598746e-10</x:v>
      </x:c>
      <x:c r="T1966" s="81" t="n">
        <x:v>2.2071612144967722e-32</x:v>
      </x:c>
    </x:row>
    <x:row r="1967">
      <x:c r="A1967" s="59" t="n">
        <x:v>1964</x:v>
      </x:c>
      <x:c r="B1967" s="193" t="n">
        <x:v>0.8824640985578298</x:v>
      </x:c>
      <x:c r="C1967" s="83" t="n">
        <x:v>0.8202695489654575</x:v>
      </x:c>
      <x:c r="D1967" s="83" t="n">
        <x:v>0.7789995485517759</x:v>
      </x:c>
      <x:c r="E1967" s="81" t="n">
        <x:v>-0.2</x:v>
      </x:c>
      <x:c r="F1967" s="81" t="n">
        <x:v>0.4193588426918723</x:v>
      </x:c>
      <x:c r="G1967" s="81" t="n">
        <x:v>0.013639157054462829</x:v>
      </x:c>
      <x:c r="H1967" s="59" t="n">
        <x:v>0</x:v>
      </x:c>
      <x:c r="I1967" s="81" t="n">
        <x:v>0</x:v>
      </x:c>
      <x:c r="J1967" s="79" t="n">
        <x:v>1.5001332672998687e-59</x:v>
      </x:c>
      <x:c r="K1967" s="81" t="n">
        <x:v>-1</x:v>
      </x:c>
      <x:c r="L1967" s="81" t="n">
        <x:v>-1</x:v>
      </x:c>
      <x:c r="M1967" s="80" t="n">
        <x:v>0.000002</x:v>
      </x:c>
      <x:c r="N1967" s="82" t="n">
        <x:v>0.31231324447832254</x:v>
      </x:c>
      <x:c r="O1967" s="82" t="n">
        <x:v>0.1237220618441729</x:v>
      </x:c>
      <x:c r="P1967" s="80" t="n">
        <x:v>177.39940232460077</x:v>
      </x:c>
      <x:c r="Q1967" s="81" t="n">
        <x:v>8.080090206271757e+41</x:v>
      </x:c>
      <x:c r="R1967" s="81" t="n">
        <x:v>1.294068980881979</x:v>
      </x:c>
      <x:c r="S1967" s="81" t="n">
        <x:v>4.4206559932107724e-10</x:v>
      </x:c>
      <x:c r="T1967" s="81" t="n">
        <x:v>3.2496161689434133e-55</x:v>
      </x:c>
    </x:row>
    <x:row r="1968">
      <x:c r="A1968" s="59" t="n">
        <x:v>1965</x:v>
      </x:c>
      <x:c r="B1968" s="193" t="n">
        <x:v>0.7331516904756428</x:v>
      </x:c>
      <x:c r="C1968" s="83" t="n">
        <x:v>0.4420950284643081</x:v>
      </x:c>
      <x:c r="D1968" s="83" t="n">
        <x:v>1.380222284204184</x:v>
      </x:c>
      <x:c r="E1968" s="81" t="n">
        <x:v>-0.004590445383044519</x:v>
      </x:c>
      <x:c r="F1968" s="81" t="n">
        <x:v>0.6177407994051465</x:v>
      </x:c>
      <x:c r="G1968" s="81" t="n">
        <x:v>0.02444776934098687</x:v>
      </x:c>
      <x:c r="H1968" s="59" t="n">
        <x:v>0</x:v>
      </x:c>
      <x:c r="I1968" s="81" t="n">
        <x:v>0</x:v>
      </x:c>
      <x:c r="J1968" s="79" t="n">
        <x:v>3.6090593865671716e-10</x:v>
      </x:c>
      <x:c r="K1968" s="81" t="n">
        <x:v>-0.9999995875360701</x:v>
      </x:c>
      <x:c r="L1968" s="81" t="n">
        <x:v>-0.9999995875360701</x:v>
      </x:c>
      <x:c r="M1968" s="80" t="n">
        <x:v>4.733187976896394</x:v>
      </x:c>
      <x:c r="N1968" s="82" t="n">
        <x:v>0.2767442292654944</x:v>
      </x:c>
      <x:c r="O1968" s="82" t="n">
        <x:v>0.1614937804808371</x:v>
      </x:c>
      <x:c r="P1968" s="80" t="n">
        <x:v>1846.5158967602333</x:v>
      </x:c>
      <x:c r="Q1968" s="81" t="n">
        <x:v>2.8267880944524504</x:v>
      </x:c>
      <x:c r="R1968" s="81" t="n">
        <x:v>17.804390780279977</x:v>
      </x:c>
      <x:c r="S1968" s="81" t="n">
        <x:v>0.0027221923756222907</x:v>
      </x:c>
      <x:c r="T1968" s="81" t="n">
        <x:v>0.000007818010568071285</x:v>
      </x:c>
    </x:row>
    <x:row r="1969">
      <x:c r="A1969" s="59" t="n">
        <x:v>1966</x:v>
      </x:c>
      <x:c r="B1969" s="193" t="n">
        <x:v>0.6469035625457764</x:v>
      </x:c>
      <x:c r="C1969" s="83" t="n">
        <x:v>0.6062306908211889</x:v>
      </x:c>
      <x:c r="D1969" s="83" t="n">
        <x:v>1.294216909889423</x:v>
      </x:c>
      <x:c r="E1969" s="81" t="n">
        <x:v>0.0530362801012871</x:v>
      </x:c>
      <x:c r="F1969" s="81" t="n">
        <x:v>0.4454139896202832</x:v>
      </x:c>
      <x:c r="G1969" s="81" t="n">
        <x:v>0.021050709659540746</x:v>
      </x:c>
      <x:c r="H1969" s="59" t="n">
        <x:v>54</x:v>
      </x:c>
      <x:c r="I1969" s="81" t="n">
        <x:v>0.10462352298200131</x:v>
      </x:c>
      <x:c r="J1969" s="79" t="n">
        <x:v>0.008814521243454427</x:v>
      </x:c>
      <x:c r="K1969" s="81" t="n">
        <x:v>9.073738563947918</x:v>
      </x:c>
      <x:c r="L1969" s="81" t="n">
        <x:v>-0.7872662056155335</x:v>
      </x:c>
      <x:c r="M1969" s="80" t="n">
        <x:v>34122.366907220574</x:v>
      </x:c>
      <x:c r="N1969" s="82" t="n">
        <x:v>0.2561983080402016</x:v>
      </x:c>
      <x:c r="O1969" s="82" t="n">
        <x:v>0.1077980866430476</x:v>
      </x:c>
      <x:c r="P1969" s="80" t="n">
        <x:v>76717.5085710642</x:v>
      </x:c>
      <x:c r="Q1969" s="81" t="n">
        <x:v>0.005078640461826741</x:v>
      </x:c>
      <x:c r="R1969" s="81" t="n">
        <x:v>251.59731374917453</x:v>
      </x:c>
      <x:c r="S1969" s="81" t="n">
        <x:v>286.13024125523503</x:v>
      </x:c>
      <x:c r="T1969" s="81" t="n">
        <x:v>190.94177416504803</x:v>
      </x:c>
    </x:row>
    <x:row r="1970">
      <x:c r="A1970" s="59" t="n">
        <x:v>1967</x:v>
      </x:c>
      <x:c r="B1970" s="193" t="n">
        <x:v>0.9323745066300035</x:v>
      </x:c>
      <x:c r="C1970" s="83" t="n">
        <x:v>1.6892917727504748</x:v>
      </x:c>
      <x:c r="D1970" s="83" t="n">
        <x:v>1.0902998659775804</x:v>
      </x:c>
      <x:c r="E1970" s="81" t="n">
        <x:v>-0.1341614585671694</x:v>
      </x:c>
      <x:c r="F1970" s="81" t="n">
        <x:v>0.6145544799859636</x:v>
      </x:c>
      <x:c r="G1970" s="81" t="n">
        <x:v>-0.01571446501890723</x:v>
      </x:c>
      <x:c r="H1970" s="59" t="n">
        <x:v>0</x:v>
      </x:c>
      <x:c r="I1970" s="81" t="n">
        <x:v>0</x:v>
      </x:c>
      <x:c r="J1970" s="79" t="n">
        <x:v>6.904696666364246e-51</x:v>
      </x:c>
      <x:c r="K1970" s="81" t="n">
        <x:v>-1</x:v>
      </x:c>
      <x:c r="L1970" s="81" t="n">
        <x:v>-1</x:v>
      </x:c>
      <x:c r="M1970" s="80" t="n">
        <x:v>0.000002</x:v>
      </x:c>
      <x:c r="N1970" s="82" t="n">
        <x:v>0.32420283950126605</x:v>
      </x:c>
      <x:c r="O1970" s="82" t="n">
        <x:v>0.1882123620310778</x:v>
      </x:c>
      <x:c r="P1970" s="80" t="n">
        <x:v>383.0401181509861</x:v>
      </x:c>
      <x:c r="Q1970" s="81" t="n">
        <x:v>2.4734168248466012e+33</x:v>
      </x:c>
      <x:c r="R1970" s="81" t="n">
        <x:v>0.8968424973720929</x:v>
      </x:c>
      <x:c r="S1970" s="81" t="n">
        <x:v>2.928996765613621e-10</x:v>
      </x:c>
      <x:c r="T1970" s="81" t="n">
        <x:v>1.4957080425963104e-46</x:v>
      </x:c>
    </x:row>
    <x:row r="1971">
      <x:c r="A1971" s="59" t="n">
        <x:v>1968</x:v>
      </x:c>
      <x:c r="B1971" s="193" t="n">
        <x:v>0.5706472631543875</x:v>
      </x:c>
      <x:c r="C1971" s="83" t="n">
        <x:v>0.8654709106340979</x:v>
      </x:c>
      <x:c r="D1971" s="83" t="n">
        <x:v>0.9807583951330276</x:v>
      </x:c>
      <x:c r="E1971" s="81" t="n">
        <x:v>-0.002442738167098413</x:v>
      </x:c>
      <x:c r="F1971" s="81" t="n">
        <x:v>0.7994942043442279</x:v>
      </x:c>
      <x:c r="G1971" s="81" t="n">
        <x:v>0.016712813133246397</x:v>
      </x:c>
      <x:c r="H1971" s="59" t="n">
        <x:v>0</x:v>
      </x:c>
      <x:c r="I1971" s="81" t="n">
        <x:v>0</x:v>
      </x:c>
      <x:c r="J1971" s="79" t="n">
        <x:v>7.778838441974899e-8</x:v>
      </x:c>
      <x:c r="K1971" s="81" t="n">
        <x:v>-0.9999110989892346</x:v>
      </x:c>
      <x:c r="L1971" s="81" t="n">
        <x:v>-0.9999110989892346</x:v>
      </x:c>
      <x:c r="M1971" s="80" t="n">
        <x:v>89.17694970402528</x:v>
      </x:c>
      <x:c r="N1971" s="82" t="n">
        <x:v>0.23803262771955924</x:v>
      </x:c>
      <x:c r="O1971" s="82" t="n">
        <x:v>0.17977229081924392</x:v>
      </x:c>
      <x:c r="P1971" s="80" t="n">
        <x:v>2355.532125186983</x:v>
      </x:c>
      <x:c r="Q1971" s="81" t="n">
        <x:v>0.32307508196357415</x:v>
      </x:c>
      <x:c r="R1971" s="81" t="n">
        <x:v>11.41454023067024</x:v>
      </x:c>
      <x:c r="S1971" s="81" t="n">
        <x:v>0.02696795993419063</x:v>
      </x:c>
      <x:c r="T1971" s="81" t="n">
        <x:v>0.0016850662356244677</x:v>
      </x:c>
    </x:row>
    <x:row r="1972">
      <x:c r="A1972" s="59" t="n">
        <x:v>1969</x:v>
      </x:c>
      <x:c r="B1972" s="193" t="n">
        <x:v>0.20446568578481675</x:v>
      </x:c>
      <x:c r="C1972" s="83" t="n">
        <x:v>0.35525749767552606</x:v>
      </x:c>
      <x:c r="D1972" s="83" t="n">
        <x:v>0.4814672835366183</x:v>
      </x:c>
      <x:c r="E1972" s="81" t="n">
        <x:v>-0.06808376656872842</x:v>
      </x:c>
      <x:c r="F1972" s="81" t="n">
        <x:v>0.6165822261944414</x:v>
      </x:c>
      <x:c r="G1972" s="81" t="n">
        <x:v>0.009427173126129023</x:v>
      </x:c>
      <x:c r="H1972" s="59" t="n">
        <x:v>0</x:v>
      </x:c>
      <x:c r="I1972" s="81" t="n">
        <x:v>0</x:v>
      </x:c>
      <x:c r="J1972" s="79" t="n">
        <x:v>4.412708029436372e-24</x:v>
      </x:c>
      <x:c r="K1972" s="81" t="n">
        <x:v>-1</x:v>
      </x:c>
      <x:c r="L1972" s="81" t="n">
        <x:v>-1</x:v>
      </x:c>
      <x:c r="M1972" s="80" t="n">
        <x:v>0.000002</x:v>
      </x:c>
      <x:c r="N1972" s="82" t="n">
        <x:v>0.1508013100855519</x:v>
      </x:c>
      <x:c r="O1972" s="82" t="n">
        <x:v>0.0878348891984891</x:v>
      </x:c>
      <x:c r="P1972" s="80" t="n">
        <x:v>281.3607300317177</x:v>
      </x:c>
      <x:c r="Q1972" s="81" t="n">
        <x:v>7182098.356907344</x:v>
      </x:c>
      <x:c r="R1972" s="81" t="n">
        <x:v>11.467243635962728</x:v>
      </x:c>
      <x:c r="S1972" s="81" t="n">
        <x:v>3.4884148962077463e-10</x:v>
      </x:c>
      <x:c r="T1972" s="81" t="n">
        <x:v>9.558888982638934e-20</x:v>
      </x:c>
    </x:row>
    <x:row r="1973">
      <x:c r="A1973" s="59" t="n">
        <x:v>1970</x:v>
      </x:c>
      <x:c r="B1973" s="193" t="n">
        <x:v>0.630588379316032</x:v>
      </x:c>
      <x:c r="C1973" s="83" t="n">
        <x:v>0.6656014269328574</x:v>
      </x:c>
      <x:c r="D1973" s="83" t="n">
        <x:v>0.40821083788046764</x:v>
      </x:c>
      <x:c r="E1973" s="81" t="n">
        <x:v>-0.0962644965015816</x:v>
      </x:c>
      <x:c r="F1973" s="81" t="n">
        <x:v>0.35281542895827445</x:v>
      </x:c>
      <x:c r="G1973" s="81" t="n">
        <x:v>-0.0046336303349394465</x:v>
      </x:c>
      <x:c r="H1973" s="59" t="n">
        <x:v>57</x:v>
      </x:c>
      <x:c r="I1973" s="81" t="n">
        <x:v>0.36672921916469936</x:v>
      </x:c>
      <x:c r="J1973" s="79" t="n">
        <x:v>3.8617658986655604e-25</x:v>
      </x:c>
      <x:c r="K1973" s="81" t="n">
        <x:v>-1</x:v>
      </x:c>
      <x:c r="L1973" s="81" t="n">
        <x:v>-1</x:v>
      </x:c>
      <x:c r="M1973" s="80" t="n">
        <x:v>0.000002</x:v>
      </x:c>
      <x:c r="N1973" s="82" t="n">
        <x:v>0.25231172548519093</x:v>
      </x:c>
      <x:c r="O1973" s="82" t="n">
        <x:v>0.08409224451838379</x:v>
      </x:c>
      <x:c r="P1973" s="80" t="n">
        <x:v>259.95277979800335</x:v>
      </x:c>
      <x:c r="Q1973" s="81" t="n">
        <x:v>59574178.66408816</x:v>
      </x:c>
      <x:c r="R1973" s="81" t="n">
        <x:v>5.596058060913126</x:v>
      </x:c>
      <x:c r="S1973" s="81" t="n">
        <x:v>2.0289761330476594e-10</x:v>
      </x:c>
      <x:c r="T1973" s="81" t="n">
        <x:v>8.36542804464676e-21</x:v>
      </x:c>
    </x:row>
    <x:row r="1974">
      <x:c r="A1974" s="59" t="n">
        <x:v>1971</x:v>
      </x:c>
      <x:c r="B1974" s="193" t="n">
        <x:v>0.8430952884256839</x:v>
      </x:c>
      <x:c r="C1974" s="83" t="n">
        <x:v>0.17494095597881806</x:v>
      </x:c>
      <x:c r="D1974" s="83" t="n">
        <x:v>0.7293963687220699</x:v>
      </x:c>
      <x:c r="E1974" s="81" t="n">
        <x:v>-0.07947136633787362</x:v>
      </x:c>
      <x:c r="F1974" s="81" t="n">
        <x:v>0.6995771064423024</x:v>
      </x:c>
      <x:c r="G1974" s="81" t="n">
        <x:v>0.0030060067241191174</x:v>
      </x:c>
      <x:c r="H1974" s="59" t="n">
        <x:v>0</x:v>
      </x:c>
      <x:c r="I1974" s="81" t="n">
        <x:v>0</x:v>
      </x:c>
      <x:c r="J1974" s="79" t="n">
        <x:v>4.565224795873661e-31</x:v>
      </x:c>
      <x:c r="K1974" s="81" t="n">
        <x:v>-1</x:v>
      </x:c>
      <x:c r="L1974" s="81" t="n">
        <x:v>-1</x:v>
      </x:c>
      <x:c r="M1974" s="80" t="n">
        <x:v>0.000002</x:v>
      </x:c>
      <x:c r="N1974" s="82" t="n">
        <x:v>0.3029348557396559</x:v>
      </x:c>
      <x:c r="O1974" s="82" t="n">
        <x:v>0.2001961756426643</x:v>
      </x:c>
      <x:c r="P1974" s="80" t="n">
        <x:v>213.49086234936854</x:v>
      </x:c>
      <x:c r="Q1974" s="81" t="n">
        <x:v>60108111128036.89</x:v>
      </x:c>
      <x:c r="R1974" s="81" t="n">
        <x:v>12.173948559177118</x:v>
      </x:c>
      <x:c r="S1974" s="81" t="n">
        <x:v>5.640418427532521e-10</x:v>
      </x:c>
      <x:c r="T1974" s="81" t="n">
        <x:v>9.889273596495051e-27</x:v>
      </x:c>
    </x:row>
    <x:row r="1975">
      <x:c r="A1975" s="59" t="n">
        <x:v>1972</x:v>
      </x:c>
      <x:c r="B1975" s="193" t="n">
        <x:v>0.9761170154437424</x:v>
      </x:c>
      <x:c r="C1975" s="83" t="n">
        <x:v>0.2159923141673463</x:v>
      </x:c>
      <x:c r="D1975" s="83" t="n">
        <x:v>0.6058677410085609</x:v>
      </x:c>
      <x:c r="E1975" s="81" t="n">
        <x:v>0.0017135900198488132</x:v>
      </x:c>
      <x:c r="F1975" s="81" t="n">
        <x:v>0.3541547657456249</x:v>
      </x:c>
      <x:c r="G1975" s="81" t="n">
        <x:v>-0.007340249767672308</x:v>
      </x:c>
      <x:c r="H1975" s="59" t="n">
        <x:v>0</x:v>
      </x:c>
      <x:c r="I1975" s="81" t="n">
        <x:v>0</x:v>
      </x:c>
      <x:c r="J1975" s="79" t="n">
        <x:v>0.0000015939580958562313</x:v>
      </x:c>
      <x:c r="K1975" s="81" t="n">
        <x:v>-0.9981783336047357</x:v>
      </x:c>
      <x:c r="L1975" s="81" t="n">
        <x:v>-0.9981783336047357</x:v>
      </x:c>
      <x:c r="M1975" s="80" t="n">
        <x:v>263.08274631714977</x:v>
      </x:c>
      <x:c r="N1975" s="82" t="n">
        <x:v>0.334623125272739</x:v>
      </x:c>
      <x:c r="O1975" s="82" t="n">
        <x:v>0.1119489393487818</x:v>
      </x:c>
      <x:c r="P1975" s="80" t="n">
        <x:v>1223.5974369514186</x:v>
      </x:c>
      <x:c r="Q1975" s="81" t="n">
        <x:v>0.03894356563676933</x:v>
      </x:c>
      <x:c r="R1975" s="81" t="n">
        <x:v>47.07059698928531</x:v>
      </x:c>
      <x:c r="S1975" s="81" t="n">
        <x:v>0.1897757844183045</x:v>
      </x:c>
      <x:c r="T1975" s="81" t="n">
        <x:v>0.03452861231613004</x:v>
      </x:c>
    </x:row>
    <x:row r="1976">
      <x:c r="A1976" s="59" t="n">
        <x:v>1973</x:v>
      </x:c>
      <x:c r="B1976" s="193" t="n">
        <x:v>0.26187495682388545</x:v>
      </x:c>
      <x:c r="C1976" s="83" t="n">
        <x:v>0.2677718504841722</x:v>
      </x:c>
      <x:c r="D1976" s="83" t="n">
        <x:v>0.4121971416850586</x:v>
      </x:c>
      <x:c r="E1976" s="81" t="n">
        <x:v>-0.060390266542525294</x:v>
      </x:c>
      <x:c r="F1976" s="81" t="n">
        <x:v>0.3878731019096449</x:v>
      </x:c>
      <x:c r="G1976" s="81" t="n">
        <x:v>-0.005506430057939402</x:v>
      </x:c>
      <x:c r="H1976" s="59" t="n">
        <x:v>0</x:v>
      </x:c>
      <x:c r="I1976" s="81" t="n">
        <x:v>0</x:v>
      </x:c>
      <x:c r="J1976" s="79" t="n">
        <x:v>6.031402176993221e-19</x:v>
      </x:c>
      <x:c r="K1976" s="81" t="n">
        <x:v>-0.9999999999999993</x:v>
      </x:c>
      <x:c r="L1976" s="81" t="n">
        <x:v>-0.9999999999999993</x:v>
      </x:c>
      <x:c r="M1976" s="80" t="n">
        <x:v>0.00017518135594314136</x:v>
      </x:c>
      <x:c r="N1976" s="82" t="n">
        <x:v>0.16447727487088995</x:v>
      </x:c>
      <x:c r="O1976" s="82" t="n">
        <x:v>0.06026518679088848</x:v>
      </x:c>
      <x:c r="P1976" s="80" t="n">
        <x:v>289.1950191017125</x:v>
      </x:c>
      <x:c r="Q1976" s="81" t="n">
        <x:v>5151.491847267359</x:v>
      </x:c>
      <x:c r="R1976" s="81" t="n">
        <x:v>19.408550031525113</x:v>
      </x:c>
      <x:c r="S1976" s="81" t="n">
        <x:v>2.4401568318772697e-8</x:v>
      </x:c>
      <x:c r="T1976" s="81" t="n">
        <x:v>1.3065333902657723e-14</x:v>
      </x:c>
    </x:row>
    <x:row r="1977">
      <x:c r="A1977" s="59" t="n">
        <x:v>1974</x:v>
      </x:c>
      <x:c r="B1977" s="193" t="n">
        <x:v>0.5213046269491315</x:v>
      </x:c>
      <x:c r="C1977" s="83" t="n">
        <x:v>0.11062854514986258</x:v>
      </x:c>
      <x:c r="D1977" s="83" t="n">
        <x:v>0.4513030438113723</x:v>
      </x:c>
      <x:c r="E1977" s="81" t="n">
        <x:v>-0.07907384515895595</x:v>
      </x:c>
      <x:c r="F1977" s="81" t="n">
        <x:v>0.8763827461982147</x:v>
      </x:c>
      <x:c r="G1977" s="81" t="n">
        <x:v>-0.003870825230096511</x:v>
      </x:c>
      <x:c r="H1977" s="59" t="n">
        <x:v>89</x:v>
      </x:c>
      <x:c r="I1977" s="81" t="n">
        <x:v>0.13551897499710322</x:v>
      </x:c>
      <x:c r="J1977" s="79" t="n">
        <x:v>3.480210321002468e-24</x:v>
      </x:c>
      <x:c r="K1977" s="81" t="n">
        <x:v>-1</x:v>
      </x:c>
      <x:c r="L1977" s="81" t="n">
        <x:v>-1</x:v>
      </x:c>
      <x:c r="M1977" s="80" t="n">
        <x:v>0.000002</x:v>
      </x:c>
      <x:c r="N1977" s="82" t="n">
        <x:v>0.22627828660103835</x:v>
      </x:c>
      <x:c r="O1977" s="82" t="n">
        <x:v>0.18733013332126636</x:v>
      </x:c>
      <x:c r="P1977" s="80" t="n">
        <x:v>175.8393277849053</x:v>
      </x:c>
      <x:c r="Q1977" s="81" t="n">
        <x:v>7921503.49897639</x:v>
      </x:c>
      <x:c r="R1977" s="81" t="n">
        <x:v>27.134901855947557</x:v>
      </x:c>
      <x:c r="S1977" s="81" t="n">
        <x:v>3.395554725655339e-10</x:v>
      </x:c>
      <x:c r="T1977" s="81" t="n">
        <x:v>7.538895361483033e-20</x:v>
      </x:c>
    </x:row>
    <x:row r="1978">
      <x:c r="A1978" s="59" t="n">
        <x:v>1975</x:v>
      </x:c>
      <x:c r="B1978" s="193" t="n">
        <x:v>0.42338273692876105</x:v>
      </x:c>
      <x:c r="C1978" s="83" t="n">
        <x:v>0.20204690369713174</x:v>
      </x:c>
      <x:c r="D1978" s="83" t="n">
        <x:v>1.7078387474981656</x:v>
      </x:c>
      <x:c r="E1978" s="81" t="n">
        <x:v>0.12139672008933274</x:v>
      </x:c>
      <x:c r="F1978" s="81" t="n">
        <x:v>0.48260618317872284</x:v>
      </x:c>
      <x:c r="G1978" s="81" t="n">
        <x:v>-0.0376832025457731</x:v>
      </x:c>
      <x:c r="H1978" s="59" t="n">
        <x:v>84</x:v>
      </x:c>
      <x:c r="I1978" s="81" t="n">
        <x:v>0.10448676003143192</x:v>
      </x:c>
      <x:c r="J1978" s="79" t="n">
        <x:v>0.020993162353967653</x:v>
      </x:c>
      <x:c r="K1978" s="81" t="n">
        <x:v>22.992185547391607</x:v>
      </x:c>
      <x:c r="L1978" s="81" t="n">
        <x:v>-0.9391057158052177</x:v>
      </x:c>
      <x:c r="M1978" s="80" t="n">
        <x:v>50378.25833719237</x:v>
      </x:c>
      <x:c r="N1978" s="82" t="n">
        <x:v>0.20295145636274844</x:v>
      </x:c>
      <x:c r="O1978" s="82" t="n">
        <x:v>0.09252433998812745</x:v>
      </x:c>
      <x:c r="P1978" s="80" t="n">
        <x:v>115024.39536627324</x:v>
      </x:c>
      <x:c r="Q1978" s="81" t="n">
        <x:v>0.0022330821669765424</x:v>
      </x:c>
      <x:c r="R1978" s="81" t="n">
        <x:v>4661.640258377767</x:v>
      </x:c>
      <x:c r="S1978" s="81" t="n">
        <x:v>1950.7104825270465</x:v>
      </x:c>
      <x:c r="T1978" s="81" t="n">
        <x:v>454.757729261601</x:v>
      </x:c>
    </x:row>
    <x:row r="1979">
      <x:c r="A1979" s="59" t="n">
        <x:v>1976</x:v>
      </x:c>
      <x:c r="B1979" s="193" t="n">
        <x:v>0.7292209872975945</x:v>
      </x:c>
      <x:c r="C1979" s="83" t="n">
        <x:v>0.12866732772720704</x:v>
      </x:c>
      <x:c r="D1979" s="83" t="n">
        <x:v>1.167587669577491</x:v>
      </x:c>
      <x:c r="E1979" s="81" t="n">
        <x:v>0.011143626870879907</x:v>
      </x:c>
      <x:c r="F1979" s="81" t="n">
        <x:v>0.815116910461802</x:v>
      </x:c>
      <x:c r="G1979" s="81" t="n">
        <x:v>-0.0419730453768172</x:v>
      </x:c>
      <x:c r="H1979" s="59" t="n">
        <x:v>0</x:v>
      </x:c>
      <x:c r="I1979" s="81" t="n">
        <x:v>0</x:v>
      </x:c>
      <x:c r="J1979" s="79" t="n">
        <x:v>0.000007953691416918212</x:v>
      </x:c>
      <x:c r="K1979" s="81" t="n">
        <x:v>-0.9909100669520935</x:v>
      </x:c>
      <x:c r="L1979" s="81" t="n">
        <x:v>-0.9909100669520935</x:v>
      </x:c>
      <x:c r="M1979" s="80" t="n">
        <x:v>565.7070219174258</x:v>
      </x:c>
      <x:c r="N1979" s="82" t="n">
        <x:v>0.27580786206779895</x:v>
      </x:c>
      <x:c r="O1979" s="82" t="n">
        <x:v>0.21237211237697953</x:v>
      </x:c>
      <x:c r="P1979" s="80" t="n">
        <x:v>2254.232792137075</x:v>
      </x:c>
      <x:c r="Q1979" s="81" t="n">
        <x:v>0.033797504310042685</x:v>
      </x:c>
      <x:c r="R1979" s="81" t="n">
        <x:v>73.49178593750528</x:v>
      </x:c>
      <x:c r="S1979" s="81" t="n">
        <x:v>1.3017537650661901</x:v>
      </x:c>
      <x:c r="T1979" s="81" t="n">
        <x:v>0.17229432074208714</x:v>
      </x:c>
    </x:row>
    <x:row r="1980">
      <x:c r="A1980" s="59" t="n">
        <x:v>1977</x:v>
      </x:c>
      <x:c r="B1980" s="193" t="n">
        <x:v>0.5735185485333205</x:v>
      </x:c>
      <x:c r="C1980" s="83" t="n">
        <x:v>0.3647460404264131</x:v>
      </x:c>
      <x:c r="D1980" s="83" t="n">
        <x:v>0.7722505407585131</x:v>
      </x:c>
      <x:c r="E1980" s="81" t="n">
        <x:v>-0.07795255155370477</x:v>
      </x:c>
      <x:c r="F1980" s="81" t="n">
        <x:v>0.5042059531318955</x:v>
      </x:c>
      <x:c r="G1980" s="81" t="n">
        <x:v>0.0430362856709009</x:v>
      </x:c>
      <x:c r="H1980" s="59" t="n">
        <x:v>0</x:v>
      </x:c>
      <x:c r="I1980" s="81" t="n">
        <x:v>0</x:v>
      </x:c>
      <x:c r="J1980" s="79" t="n">
        <x:v>1.820527957049954e-36</x:v>
      </x:c>
      <x:c r="K1980" s="81" t="n">
        <x:v>-1</x:v>
      </x:c>
      <x:c r="L1980" s="81" t="n">
        <x:v>-1</x:v>
      </x:c>
      <x:c r="M1980" s="80" t="n">
        <x:v>0.000002</x:v>
      </x:c>
      <x:c r="N1980" s="82" t="n">
        <x:v>0.23871662173342212</x:v>
      </x:c>
      <x:c r="O1980" s="82" t="n">
        <x:v>0.11370028955941949</x:v>
      </x:c>
      <x:c r="P1980" s="80" t="n">
        <x:v>274.4535752168172</x:v>
      </x:c>
      <x:c r="Q1980" s="81" t="n">
        <x:v>15344995244505678000</x:v>
      </x:c>
      <x:c r="R1980" s="81" t="n">
        <x:v>6.58815673577091</x:v>
      </x:c>
      <x:c r="S1980" s="81" t="n">
        <x:v>8.276627180172436e-10</x:v>
      </x:c>
      <x:c r="T1980" s="81" t="n">
        <x:v>3.9436610161252223e-32</x:v>
      </x:c>
    </x:row>
    <x:row r="1981">
      <x:c r="A1981" s="59" t="n">
        <x:v>1978</x:v>
      </x:c>
      <x:c r="B1981" s="193" t="n">
        <x:v>0.2386497188359499</x:v>
      </x:c>
      <x:c r="C1981" s="83" t="n">
        <x:v>0.18366911471515493</x:v>
      </x:c>
      <x:c r="D1981" s="83" t="n">
        <x:v>0.10786935101000658</x:v>
      </x:c>
      <x:c r="E1981" s="81" t="n">
        <x:v>0.043764156245901784</x:v>
      </x:c>
      <x:c r="F1981" s="81" t="n">
        <x:v>0.7976109484094195</x:v>
      </x:c>
      <x:c r="G1981" s="81" t="n">
        <x:v>0.02661706546025222</x:v>
      </x:c>
      <x:c r="H1981" s="59" t="n">
        <x:v>71</x:v>
      </x:c>
      <x:c r="I1981" s="81" t="n">
        <x:v>0.2641588822938502</x:v>
      </x:c>
      <x:c r="J1981" s="79" t="n">
        <x:v>0.000014114395944126907</x:v>
      </x:c>
      <x:c r="K1981" s="81" t="n">
        <x:v>-0.9838692617781407</x:v>
      </x:c>
      <x:c r="L1981" s="81" t="n">
        <x:v>-0.9866829462065695</x:v>
      </x:c>
      <x:c r="M1981" s="80" t="n">
        <x:v>774.6245828525593</x:v>
      </x:c>
      <x:c r="N1981" s="82" t="n">
        <x:v>0.1589445877089514</x:v>
      </x:c>
      <x:c r="O1981" s="82" t="n">
        <x:v>0.11975889845129281</x:v>
      </x:c>
      <x:c r="P1981" s="80" t="n">
        <x:v>347.0022059067827</x:v>
      </x:c>
      <x:c r="Q1981" s="81" t="n">
        <x:v>0.0048503470599091355</x:v>
      </x:c>
      <x:c r="R1981" s="81" t="n">
        <x:v>59.23542219784088</x:v>
      </x:c>
      <x:c r="S1981" s="81" t="n">
        <x:v>1.4710360030545</x:v>
      </x:c>
      <x:c r="T1981" s="81" t="n">
        <x:v>0.3057486309697023</x:v>
      </x:c>
    </x:row>
    <x:row r="1982">
      <x:c r="A1982" s="59" t="n">
        <x:v>1979</x:v>
      </x:c>
      <x:c r="B1982" s="193" t="n">
        <x:v>0.6964541167020798</x:v>
      </x:c>
      <x:c r="C1982" s="83" t="n">
        <x:v>0.11552216882562168</x:v>
      </x:c>
      <x:c r="D1982" s="83" t="n">
        <x:v>0.9626586474542367</x:v>
      </x:c>
      <x:c r="E1982" s="81" t="n">
        <x:v>0.08083899933148794</x:v>
      </x:c>
      <x:c r="F1982" s="81" t="n">
        <x:v>0.811971303448081</x:v>
      </x:c>
      <x:c r="G1982" s="81" t="n">
        <x:v>-0.018739945025097817</x:v>
      </x:c>
      <x:c r="H1982" s="59" t="n">
        <x:v>0</x:v>
      </x:c>
      <x:c r="I1982" s="81" t="n">
        <x:v>0</x:v>
      </x:c>
      <x:c r="J1982" s="79" t="n">
        <x:v>0.0006036513253878252</x:v>
      </x:c>
      <x:c r="K1982" s="81" t="n">
        <x:v>-0.3101127709853426</x:v>
      </x:c>
      <x:c r="L1982" s="81" t="n">
        <x:v>-0.8445807463287159</x:v>
      </x:c>
      <x:c r="M1982" s="80" t="n">
        <x:v>6048.543579230751</x:v>
      </x:c>
      <x:c r="N1982" s="82" t="n">
        <x:v>0.2680021791131234</x:v>
      </x:c>
      <x:c r="O1982" s="82" t="n">
        <x:v>0.20556536697054634</x:v>
      </x:c>
      <x:c r="P1982" s="80" t="n">
        <x:v>10683.649396002167</x:v>
      </x:c>
      <x:c r="Q1982" s="81" t="n">
        <x:v>0.006158714368906765</x:v>
      </x:c>
      <x:c r="R1982" s="81" t="n">
        <x:v>392.5032824719887</x:v>
      </x:c>
      <x:c r="S1982" s="81" t="n">
        <x:v>98.96706949181387</x:v>
      </x:c>
      <x:c r="T1982" s="81" t="n">
        <x:v>13.076405611050808</x:v>
      </x:c>
    </x:row>
    <x:row r="1983">
      <x:c r="A1983" s="59" t="n">
        <x:v>1980</x:v>
      </x:c>
      <x:c r="B1983" s="193" t="n">
        <x:v>0.8425782760605216</x:v>
      </x:c>
      <x:c r="C1983" s="83" t="n">
        <x:v>2.7171779430118916</x:v>
      </x:c>
      <x:c r="D1983" s="83" t="n">
        <x:v>0.7892275045743425</x:v>
      </x:c>
      <x:c r="E1983" s="81" t="n">
        <x:v>-0.06627007133800338</x:v>
      </x:c>
      <x:c r="F1983" s="81" t="n">
        <x:v>0.44633601868990813</x:v>
      </x:c>
      <x:c r="G1983" s="81" t="n">
        <x:v>-0.0014520550274937487</x:v>
      </x:c>
      <x:c r="H1983" s="59" t="n">
        <x:v>0</x:v>
      </x:c>
      <x:c r="I1983" s="81" t="n">
        <x:v>0</x:v>
      </x:c>
      <x:c r="J1983" s="79" t="n">
        <x:v>2.206615479789058e-29</x:v>
      </x:c>
      <x:c r="K1983" s="81" t="n">
        <x:v>-1</x:v>
      </x:c>
      <x:c r="L1983" s="81" t="n">
        <x:v>-1</x:v>
      </x:c>
      <x:c r="M1983" s="80" t="n">
        <x:v>0.000002</x:v>
      </x:c>
      <x:c r="N1983" s="82" t="n">
        <x:v>0.3028116937002924</x:v>
      </x:c>
      <x:c r="O1983" s="82" t="n">
        <x:v>0.12767489794741926</x:v>
      </x:c>
      <x:c r="P1983" s="80" t="n">
        <x:v>898.8866570182065</x:v>
      </x:c>
      <x:c r="Q1983" s="81" t="n">
        <x:v>1473051469999.797</x:v>
      </x:c>
      <x:c r="R1983" s="81" t="n">
        <x:v>1.5804982480927332</x:v>
      </x:c>
      <x:c r="S1983" s="81" t="n">
        <x:v>1.8273210357237246e-10</x:v>
      </x:c>
      <x:c r="T1983" s="81" t="n">
        <x:v>4.780010881746532e-25</x:v>
      </x:c>
    </x:row>
    <x:row r="1984">
      <x:c r="A1984" s="59" t="n">
        <x:v>1981</x:v>
      </x:c>
      <x:c r="B1984" s="193" t="n">
        <x:v>0.6150392962619662</x:v>
      </x:c>
      <x:c r="C1984" s="83" t="n">
        <x:v>2.7246423360702736</x:v>
      </x:c>
      <x:c r="D1984" s="83" t="n">
        <x:v>0.5535907721010438</x:v>
      </x:c>
      <x:c r="E1984" s="81" t="n">
        <x:v>-0.039535381822059026</x:v>
      </x:c>
      <x:c r="F1984" s="81" t="n">
        <x:v>0.6112482002237811</x:v>
      </x:c>
      <x:c r="G1984" s="81" t="n">
        <x:v>0.020133418601017094</x:v>
      </x:c>
      <x:c r="H1984" s="59" t="n">
        <x:v>0</x:v>
      </x:c>
      <x:c r="I1984" s="81" t="n">
        <x:v>0</x:v>
      </x:c>
      <x:c r="J1984" s="79" t="n">
        <x:v>2.3762521683064774e-19</x:v>
      </x:c>
      <x:c r="K1984" s="81" t="n">
        <x:v>-0.9999999999999998</x:v>
      </x:c>
      <x:c r="L1984" s="81" t="n">
        <x:v>-0.9999999999999998</x:v>
      </x:c>
      <x:c r="M1984" s="80" t="n">
        <x:v>0.00032348132961973464</x:v>
      </x:c>
      <x:c r="N1984" s="82" t="n">
        <x:v>0.2486076423564055</x:v>
      </x:c>
      <x:c r="O1984" s="82" t="n">
        <x:v>0.14354993832135202</x:v>
      </x:c>
      <x:c r="P1984" s="80" t="n">
        <x:v>1293.7941672489007</x:v>
      </x:c>
      <x:c r="Q1984" s="81" t="n">
        <x:v>36155.53114128805</x:v>
      </x:c>
      <x:c r="R1984" s="81" t="n">
        <x:v>2.742212309108722</x:v>
      </x:c>
      <x:c r="S1984" s="81" t="n">
        <x:v>2.8320494491074128e-8</x:v>
      </x:c>
      <x:c r="T1984" s="81" t="n">
        <x:v>5.147480984482431e-15</x:v>
      </x:c>
    </x:row>
    <x:row r="1985">
      <x:c r="A1985" s="59" t="n">
        <x:v>1982</x:v>
      </x:c>
      <x:c r="B1985" s="193" t="n">
        <x:v>0.6001147273927927</x:v>
      </x:c>
      <x:c r="C1985" s="83" t="n">
        <x:v>1.3185484360231692</x:v>
      </x:c>
      <x:c r="D1985" s="83" t="n">
        <x:v>2.250125391947362</x:v>
      </x:c>
      <x:c r="E1985" s="81" t="n">
        <x:v>0.09015869625183989</x:v>
      </x:c>
      <x:c r="F1985" s="81" t="n">
        <x:v>0.6390339446952567</x:v>
      </x:c>
      <x:c r="G1985" s="81" t="n">
        <x:v>0.00212666525990102</x:v>
      </x:c>
      <x:c r="H1985" s="59" t="n">
        <x:v>0</x:v>
      </x:c>
      <x:c r="I1985" s="81" t="n">
        <x:v>0</x:v>
      </x:c>
      <x:c r="J1985" s="79" t="n">
        <x:v>0.07454651174576751</x:v>
      </x:c>
      <x:c r="K1985" s="81" t="n">
        <x:v>84.19601342373431</x:v>
      </x:c>
      <x:c r="L1985" s="81" t="n">
        <x:v>-0.8035949804848401</x:v>
      </x:c>
      <x:c r="M1985" s="80" t="n">
        <x:v>201158.51319100376</x:v>
      </x:c>
      <x:c r="N1985" s="82" t="n">
        <x:v>0.24505233021610184</x:v>
      </x:c>
      <x:c r="O1985" s="82" t="n">
        <x:v>0.1479291311296814</x:v>
      </x:c>
      <x:c r="P1985" s="80" t="n">
        <x:v>581911.4165073079</x:v>
      </x:c>
      <x:c r="Q1985" s="81" t="n">
        <x:v>0.004998945278463555</x:v>
      </x:c>
      <x:c r="R1985" s="81" t="n">
        <x:v>1016.0811939956077</x:v>
      </x:c>
      <x:c r="S1985" s="81" t="n">
        <x:v>1142.673308785238</x:v>
      </x:c>
      <x:c r="T1985" s="81" t="n">
        <x:v>1614.8401957874335</x:v>
      </x:c>
    </x:row>
    <x:row r="1986">
      <x:c r="A1986" s="59" t="n">
        <x:v>1983</x:v>
      </x:c>
      <x:c r="B1986" s="193" t="n">
        <x:v>0.40041437409818176</x:v>
      </x:c>
      <x:c r="C1986" s="83" t="n">
        <x:v>0.16744538127489758</x:v>
      </x:c>
      <x:c r="D1986" s="83" t="n">
        <x:v>0.41040997542253077</x:v>
      </x:c>
      <x:c r="E1986" s="81" t="n">
        <x:v>0.010080987189153233</x:v>
      </x:c>
      <x:c r="F1986" s="81" t="n">
        <x:v>0.3142860181280412</x:v>
      </x:c>
      <x:c r="G1986" s="81" t="n">
        <x:v>-0.02247907783436906</x:v>
      </x:c>
      <x:c r="H1986" s="59" t="n">
        <x:v>73</x:v>
      </x:c>
      <x:c r="I1986" s="81" t="n">
        <x:v>0.10471634175628425</x:v>
      </x:c>
      <x:c r="J1986" s="79" t="n">
        <x:v>0.000019675961153720253</x:v>
      </x:c>
      <x:c r="K1986" s="81" t="n">
        <x:v>-0.9775131872528912</x:v>
      </x:c>
      <x:c r="L1986" s="81" t="n">
        <x:v>-0.9775131872528912</x:v>
      </x:c>
      <x:c r="M1986" s="80" t="n">
        <x:v>894.1495133543839</x:v>
      </x:c>
      <x:c r="N1986" s="82" t="n">
        <x:v>0.19747996167970117</x:v>
      </x:c>
      <x:c r="O1986" s="82" t="n">
        <x:v>0.05862988425170714</x:v>
      </x:c>
      <x:c r="P1986" s="80" t="n">
        <x:v>1412.4307000662918</x:v>
      </x:c>
      <x:c r="Q1986" s="81" t="n">
        <x:v>0.008227912591880814</x:v>
      </x:c>
      <x:c r="R1986" s="81" t="n">
        <x:v>89.03908202078027</x:v>
      </x:c>
      <x:c r="S1986" s="81" t="n">
        <x:v>2.2874447968282916</x:v>
      </x:c>
      <x:c r="T1986" s="81" t="n">
        <x:v>0.4262242755253205</x:v>
      </x:c>
    </x:row>
    <x:row r="1987">
      <x:c r="A1987" s="59" t="n">
        <x:v>1984</x:v>
      </x:c>
      <x:c r="B1987" s="193" t="n">
        <x:v>0.41947783026844265</x:v>
      </x:c>
      <x:c r="C1987" s="83" t="n">
        <x:v>2.3162191398184366</x:v>
      </x:c>
      <x:c r="D1987" s="83" t="n">
        <x:v>0.8349860733940989</x:v>
      </x:c>
      <x:c r="E1987" s="81" t="n">
        <x:v>0.10465049012981528</x:v>
      </x:c>
      <x:c r="F1987" s="81" t="n">
        <x:v>0.3410703867673874</x:v>
      </x:c>
      <x:c r="G1987" s="81" t="n">
        <x:v>0.02002238757187791</x:v>
      </x:c>
      <x:c r="H1987" s="59" t="n">
        <x:v>0</x:v>
      </x:c>
      <x:c r="I1987" s="81" t="n">
        <x:v>0</x:v>
      </x:c>
      <x:c r="J1987" s="79" t="n">
        <x:v>0.1714389302354107</x:v>
      </x:c>
      <x:c r="K1987" s="81" t="n">
        <x:v>194.93020598332654</x:v>
      </x:c>
      <x:c r="L1987" s="81" t="n">
        <x:v>-0.5845018634211073</x:v>
      </x:c>
      <x:c r="M1987" s="80" t="n">
        <x:v>330376.4011307886</x:v>
      </x:c>
      <x:c r="N1987" s="82" t="n">
        <x:v>0.20202123437926053</x:v>
      </x:c>
      <x:c r="O1987" s="82" t="n">
        <x:v>0.06508965594328162</x:v>
      </x:c>
      <x:c r="P1987" s="80" t="n">
        <x:v>460177.7263052133</x:v>
      </x:c>
      <x:c r="Q1987" s="81" t="n">
        <x:v>0.0017844094464078595</x:v>
      </x:c>
      <x:c r="R1987" s="81" t="n">
        <x:v>579.1621457719863</x:v>
      </x:c>
      <x:c r="S1987" s="81" t="n">
        <x:v>1424.4515213535656</x:v>
      </x:c>
      <x:c r="T1987" s="81" t="n">
        <x:v>3713.7415176593713</x:v>
      </x:c>
    </x:row>
    <x:row r="1988">
      <x:c r="A1988" s="59" t="n">
        <x:v>1985</x:v>
      </x:c>
      <x:c r="B1988" s="193" t="n">
        <x:v>0.46165648736059667</x:v>
      </x:c>
      <x:c r="C1988" s="83" t="n">
        <x:v>0.9851011026099505</x:v>
      </x:c>
      <x:c r="D1988" s="83" t="n">
        <x:v>1.8625047566134463</x:v>
      </x:c>
      <x:c r="E1988" s="81" t="n">
        <x:v>0.039969302402115776</x:v>
      </x:c>
      <x:c r="F1988" s="81" t="n">
        <x:v>0.7631412673625164</x:v>
      </x:c>
      <x:c r="G1988" s="81" t="n">
        <x:v>-0.029221976813504788</x:v>
      </x:c>
      <x:c r="H1988" s="59" t="n">
        <x:v>0</x:v>
      </x:c>
      <x:c r="I1988" s="81" t="n">
        <x:v>0</x:v>
      </x:c>
      <x:c r="J1988" s="79" t="n">
        <x:v>0.0024107373854276993</x:v>
      </x:c>
      <x:c r="K1988" s="81" t="n">
        <x:v>1.7551284404887997</x:v>
      </x:c>
      <x:c r="L1988" s="81" t="n">
        <x:v>-0.7622874961975841</x:v>
      </x:c>
      <x:c r="M1988" s="80" t="n">
        <x:v>20957.967093066494</x:v>
      </x:c>
      <x:c r="N1988" s="82" t="n">
        <x:v>0.21206898134843202</x:v>
      </x:c>
      <x:c r="O1988" s="82" t="n">
        <x:v>0.15288082972731537</x:v>
      </x:c>
      <x:c r="P1988" s="80" t="n">
        <x:v>68482.67042182924</x:v>
      </x:c>
      <x:c r="Q1988" s="81" t="n">
        <x:v>0.009037272142029814</x:v>
      </x:c>
      <x:c r="R1988" s="81" t="n">
        <x:v>150.58818964478235</x:v>
      </x:c>
      <x:c r="S1988" s="81" t="n">
        <x:v>51.654758958235455</x:v>
      </x:c>
      <x:c r="T1988" s="81" t="n">
        <x:v>52.22183493645736</x:v>
      </x:c>
    </x:row>
    <x:row r="1989">
      <x:c r="A1989" s="59" t="n">
        <x:v>1986</x:v>
      </x:c>
      <x:c r="B1989" s="193" t="n">
        <x:v>0.6977389043197035</x:v>
      </x:c>
      <x:c r="C1989" s="83" t="n">
        <x:v>1.6324224023107066</x:v>
      </x:c>
      <x:c r="D1989" s="83" t="n">
        <x:v>1.562274591619849</x:v>
      </x:c>
      <x:c r="E1989" s="81" t="n">
        <x:v>-0.08835302632940582</x:v>
      </x:c>
      <x:c r="F1989" s="81" t="n">
        <x:v>0.7491010743426159</x:v>
      </x:c>
      <x:c r="G1989" s="81" t="n">
        <x:v>-0.034242890801414336</x:v>
      </x:c>
      <x:c r="H1989" s="59" t="n">
        <x:v>0</x:v>
      </x:c>
      <x:c r="I1989" s="81" t="n">
        <x:v>0</x:v>
      </x:c>
      <x:c r="J1989" s="79" t="n">
        <x:v>1.24144411213437e-45</x:v>
      </x:c>
      <x:c r="K1989" s="81" t="n">
        <x:v>-1</x:v>
      </x:c>
      <x:c r="L1989" s="81" t="n">
        <x:v>-1</x:v>
      </x:c>
      <x:c r="M1989" s="80" t="n">
        <x:v>0.000002</x:v>
      </x:c>
      <x:c r="N1989" s="82" t="n">
        <x:v>0.2683082396134094</x:v>
      </x:c>
      <x:c r="O1989" s="82" t="n">
        <x:v>0.18986520022991288</x:v>
      </x:c>
      <x:c r="P1989" s="80" t="n">
        <x:v>559.47639245301</x:v>
      </x:c>
      <x:c r="Q1989" s="81" t="n">
        <x:v>2.0045458178541677e+28</x:v>
      </x:c>
      <x:c r="R1989" s="81" t="n">
        <x:v>1.1233382554021611</x:v>
      </x:c>
      <x:c r="S1989" s="81" t="n">
        <x:v>3.402505600928011e-10</x:v>
      </x:c>
      <x:c r="T1989" s="81" t="n">
        <x:v>2.6892389813424687e-41</x:v>
      </x:c>
    </x:row>
    <x:row r="1990">
      <x:c r="A1990" s="59" t="n">
        <x:v>1987</x:v>
      </x:c>
      <x:c r="B1990" s="193" t="n">
        <x:v>0.7758172539994121</x:v>
      </x:c>
      <x:c r="C1990" s="83" t="n">
        <x:v>0.23634212699052917</x:v>
      </x:c>
      <x:c r="D1990" s="83" t="n">
        <x:v>0.6297962600291899</x:v>
      </x:c>
      <x:c r="E1990" s="81" t="n">
        <x:v>0.07874309222559384</x:v>
      </x:c>
      <x:c r="F1990" s="81" t="n">
        <x:v>0.844718848366756</x:v>
      </x:c>
      <x:c r="G1990" s="81" t="n">
        <x:v>0.01057591930847415</x:v>
      </x:c>
      <x:c r="H1990" s="59" t="n">
        <x:v>0</x:v>
      </x:c>
      <x:c r="I1990" s="81" t="n">
        <x:v>0</x:v>
      </x:c>
      <x:c r="J1990" s="79" t="n">
        <x:v>0.00044504046483722054</x:v>
      </x:c>
      <x:c r="K1990" s="81" t="n">
        <x:v>-0.4913823259003194</x:v>
      </x:c>
      <x:c r="L1990" s="81" t="n">
        <x:v>-0.8531504998130672</x:v>
      </x:c>
      <x:c r="M1990" s="80" t="n">
        <x:v>5437.507230277673</x:v>
      </x:c>
      <x:c r="N1990" s="82" t="n">
        <x:v>0.28690796647617295</x:v>
      </x:c>
      <x:c r="O1990" s="82" t="n">
        <x:v>0.22894213786576625</x:v>
      </x:c>
      <x:c r="P1990" s="80" t="n">
        <x:v>6848.776494966198</x:v>
      </x:c>
      <x:c r="Q1990" s="81" t="n">
        <x:v>0.006845190875611258</x:v>
      </x:c>
      <x:c r="R1990" s="81" t="n">
        <x:v>107.10260167007422</x:v>
      </x:c>
      <x:c r="S1990" s="81" t="n">
        <x:v>36.4355091104214</x:v>
      </x:c>
      <x:c r="T1990" s="81" t="n">
        <x:v>9.640548089252091</x:v>
      </x:c>
    </x:row>
    <x:row r="1991">
      <x:c r="A1991" s="59" t="n">
        <x:v>1988</x:v>
      </x:c>
      <x:c r="B1991" s="193" t="n">
        <x:v>0.9763741893693805</x:v>
      </x:c>
      <x:c r="C1991" s="83" t="n">
        <x:v>1.4546945012282277</x:v>
      </x:c>
      <x:c r="D1991" s="83" t="n">
        <x:v>0.24654260885449047</x:v>
      </x:c>
      <x:c r="E1991" s="81" t="n">
        <x:v>0.07595573135193943</x:v>
      </x:c>
      <x:c r="F1991" s="81" t="n">
        <x:v>0.5506465676939115</x:v>
      </x:c>
      <x:c r="G1991" s="81" t="n">
        <x:v>-0.0364773247594351</x:v>
      </x:c>
      <x:c r="H1991" s="59" t="n">
        <x:v>0</x:v>
      </x:c>
      <x:c r="I1991" s="81" t="n">
        <x:v>0</x:v>
      </x:c>
      <x:c r="J1991" s="79" t="n">
        <x:v>0.00012872244552107634</x:v>
      </x:c>
      <x:c r="K1991" s="81" t="n">
        <x:v>-0.8528886336901984</x:v>
      </x:c>
      <x:c r="L1991" s="81" t="n">
        <x:v>-0.8869507396110454</x:v>
      </x:c>
      <x:c r="M1991" s="80" t="n">
        <x:v>5031.258831450339</x:v>
      </x:c>
      <x:c r="N1991" s="82" t="n">
        <x:v>0.33468438892383734</x:v>
      </x:c>
      <x:c r="O1991" s="82" t="n">
        <x:v>0.17409220817439713</x:v>
      </x:c>
      <x:c r="P1991" s="80" t="n">
        <x:v>3164.614632847696</x:v>
      </x:c>
      <x:c r="Q1991" s="81" t="n">
        <x:v>0.004794676150402523</x:v>
      </x:c>
      <x:c r="R1991" s="81" t="n">
        <x:v>16.44603669388575</x:v>
      </x:c>
      <x:c r="S1991" s="81" t="n">
        <x:v>1.794567717884561</x:v>
      </x:c>
      <x:c r="T1991" s="81" t="n">
        <x:v>2.788409199298236</x:v>
      </x:c>
    </x:row>
    <x:row r="1992">
      <x:c r="A1992" s="59" t="n">
        <x:v>1989</x:v>
      </x:c>
      <x:c r="B1992" s="193" t="n">
        <x:v>0.9476188264787198</x:v>
      </x:c>
      <x:c r="C1992" s="83" t="n">
        <x:v>0.6376956242728147</x:v>
      </x:c>
      <x:c r="D1992" s="83" t="n">
        <x:v>0.49739537796671157</x:v>
      </x:c>
      <x:c r="E1992" s="81" t="n">
        <x:v>0.1393460589550322</x:v>
      </x:c>
      <x:c r="F1992" s="81" t="n">
        <x:v>0.8275133152725175</x:v>
      </x:c>
      <x:c r="G1992" s="81" t="n">
        <x:v>-0.012685994135923412</x:v>
      </x:c>
      <x:c r="H1992" s="59" t="n">
        <x:v>0</x:v>
      </x:c>
      <x:c r="I1992" s="81" t="n">
        <x:v>0</x:v>
      </x:c>
      <x:c r="J1992" s="79" t="n">
        <x:v>0.0007478808302383947</x:v>
      </x:c>
      <x:c r="K1992" s="81" t="n">
        <x:v>-0.14527905115612028</x:v>
      </x:c>
      <x:c r="L1992" s="81" t="n">
        <x:v>-0.8268429436075164</x:v>
      </x:c>
      <x:c r="M1992" s="80" t="n">
        <x:v>9705.135135667813</x:v>
      </x:c>
      <x:c r="N1992" s="82" t="n">
        <x:v>0.3278343223202276</x:v>
      </x:c>
      <x:c r="O1992" s="82" t="n">
        <x:v>0.256271524335283</x:v>
      </x:c>
      <x:c r="P1992" s="80" t="n">
        <x:v>9428.186795374186</x:v>
      </x:c>
      <x:c r="Q1992" s="81" t="n">
        <x:v>0.004615659231589523</x:v>
      </x:c>
      <x:c r="R1992" s="81" t="n">
        <x:v>76.57345604619437</x:v>
      </x:c>
      <x:c r="S1992" s="81" t="n">
        <x:v>23.016153071972717</x:v>
      </x:c>
      <x:c r="T1992" s="81" t="n">
        <x:v>16.20073157073519</x:v>
      </x:c>
    </x:row>
    <x:row r="1993">
      <x:c r="A1993" s="59" t="n">
        <x:v>1990</x:v>
      </x:c>
      <x:c r="B1993" s="193" t="n">
        <x:v>0.33537823595106603</x:v>
      </x:c>
      <x:c r="C1993" s="83" t="n">
        <x:v>0.6767353105063001</x:v>
      </x:c>
      <x:c r="D1993" s="83" t="n">
        <x:v>0.7313902011606549</x:v>
      </x:c>
      <x:c r="E1993" s="81" t="n">
        <x:v>0.0004735341183701008</x:v>
      </x:c>
      <x:c r="F1993" s="81" t="n">
        <x:v>0.779577987617813</x:v>
      </x:c>
      <x:c r="G1993" s="81" t="n">
        <x:v>0.015694024040569417</x:v>
      </x:c>
      <x:c r="H1993" s="59" t="n">
        <x:v>0</x:v>
      </x:c>
      <x:c r="I1993" s="81" t="n">
        <x:v>0</x:v>
      </x:c>
      <x:c r="J1993" s="79" t="n">
        <x:v>0.0000014196147652494533</x:v>
      </x:c>
      <x:c r="K1993" s="81" t="n">
        <x:v>-0.9983775831254292</x:v>
      </x:c>
      <x:c r="L1993" s="81" t="n">
        <x:v>-0.9983775831254292</x:v>
      </x:c>
      <x:c r="M1993" s="80" t="n">
        <x:v>341.50718543050544</x:v>
      </x:c>
      <x:c r="N1993" s="82" t="n">
        <x:v>0.1819871341454681</x:v>
      </x:c>
      <x:c r="O1993" s="82" t="n">
        <x:v>0.13402048818603088</x:v>
      </x:c>
      <x:c r="P1993" s="80" t="n">
        <x:v>2238.8120445205122</x:v>
      </x:c>
      <x:c r="Q1993" s="81" t="n">
        <x:v>0.07777641967586997</x:v>
      </x:c>
      <x:c r="R1993" s="81" t="n">
        <x:v>16.534568992298222</x:v>
      </x:c>
      <x:c r="S1993" s="81" t="n">
        <x:v>0.11810720453017133</x:v>
      </x:c>
      <x:c r="T1993" s="81" t="n">
        <x:v>0.030751955145484268</x:v>
      </x:c>
    </x:row>
    <x:row r="1994">
      <x:c r="A1994" s="59" t="n">
        <x:v>1991</x:v>
      </x:c>
      <x:c r="B1994" s="193" t="n">
        <x:v>0.4970929741859436</x:v>
      </x:c>
      <x:c r="C1994" s="83" t="n">
        <x:v>0.14145055386452204</x:v>
      </x:c>
      <x:c r="D1994" s="83" t="n">
        <x:v>0.2947752195804172</x:v>
      </x:c>
      <x:c r="E1994" s="81" t="n">
        <x:v>-0.030334079302077085</x:v>
      </x:c>
      <x:c r="F1994" s="81" t="n">
        <x:v>0.4859401575406082</x:v>
      </x:c>
      <x:c r="G1994" s="81" t="n">
        <x:v>0.030705438993413776</x:v>
      </x:c>
      <x:c r="H1994" s="59" t="n">
        <x:v>23</x:v>
      </x:c>
      <x:c r="I1994" s="81" t="n">
        <x:v>0.2537420309148729</x:v>
      </x:c>
      <x:c r="J1994" s="79" t="n">
        <x:v>6.7130374721759755e-12</x:v>
      </x:c>
      <x:c r="K1994" s="81" t="n">
        <x:v>-0.9999999923279572</x:v>
      </x:c>
      <x:c r="L1994" s="81" t="n">
        <x:v>-0.9999999923279572</x:v>
      </x:c>
      <x:c r="M1994" s="80" t="n">
        <x:v>0.5139308794492763</x:v>
      </x:c>
      <x:c r="N1994" s="82" t="n">
        <x:v>0.22051061694435764</x:v>
      </x:c>
      <x:c r="O1994" s="82" t="n">
        <x:v>0.10122393969957143</x:v>
      </x:c>
      <x:c r="P1994" s="80" t="n">
        <x:v>290.4239741546344</x:v>
      </x:c>
      <x:c r="Q1994" s="81" t="n">
        <x:v>2.6197717885199725</x:v>
      </x:c>
      <x:c r="R1994" s="81" t="n">
        <x:v>49.39299797966537</x:v>
      </x:c>
      <x:c r="S1994" s="81" t="n">
        <x:v>0.00008701876319902374</x:v>
      </x:c>
      <x:c r="T1994" s="81" t="n">
        <x:v>1.4541904767948467e-7</x:v>
      </x:c>
    </x:row>
    <x:row r="1995">
      <x:c r="A1995" s="59" t="n">
        <x:v>1992</x:v>
      </x:c>
      <x:c r="B1995" s="193" t="n">
        <x:v>0.21613110173493624</x:v>
      </x:c>
      <x:c r="C1995" s="83" t="n">
        <x:v>0.5356244807445563</x:v>
      </x:c>
      <x:c r="D1995" s="83" t="n">
        <x:v>1.3598943762498839</x:v>
      </x:c>
      <x:c r="E1995" s="81" t="n">
        <x:v>0.11063144248610517</x:v>
      </x:c>
      <x:c r="F1995" s="81" t="n">
        <x:v>0.4568883903324604</x:v>
      </x:c>
      <x:c r="G1995" s="81" t="n">
        <x:v>-0.007072905558946735</x:v>
      </x:c>
      <x:c r="H1995" s="59" t="n">
        <x:v>57</x:v>
      </x:c>
      <x:c r="I1995" s="81" t="n">
        <x:v>0.2457868919707835</x:v>
      </x:c>
      <x:c r="J1995" s="79" t="n">
        <x:v>0.0653406553244741</x:v>
      </x:c>
      <x:c r="K1995" s="81" t="n">
        <x:v>73.67503465654184</x:v>
      </x:c>
      <x:c r="L1995" s="81" t="n">
        <x:v>-0.9725718421288861</x:v>
      </x:c>
      <x:c r="M1995" s="80" t="n">
        <x:v>107441.83715648705</x:v>
      </x:c>
      <x:c r="N1995" s="82" t="n">
        <x:v>0.15358023089141942</x:v>
      </x:c>
      <x:c r="O1995" s="82" t="n">
        <x:v>0.06628517094907142</x:v>
      </x:c>
      <x:c r="P1995" s="80" t="n">
        <x:v>209142.0403114331</x:v>
      </x:c>
      <x:c r="Q1995" s="81" t="n">
        <x:v>0.001772362261068421</x:v>
      </x:c>
      <x:c r="R1995" s="81" t="n">
        <x:v>2638.517185730244</x:v>
      </x:c>
      <x:c r="S1995" s="81" t="n">
        <x:v>2306.4543975057154</x:v>
      </x:c>
      <x:c r="T1995" s="81" t="n">
        <x:v>1415.4212472999275</x:v>
      </x:c>
    </x:row>
    <x:row r="1996">
      <x:c r="A1996" s="59" t="n">
        <x:v>1993</x:v>
      </x:c>
      <x:c r="B1996" s="193" t="n">
        <x:v>0.7290643410757185</x:v>
      </x:c>
      <x:c r="C1996" s="83" t="n">
        <x:v>0.35434614050574503</x:v>
      </x:c>
      <x:c r="D1996" s="83" t="n">
        <x:v>0.6098395990144967</x:v>
      </x:c>
      <x:c r="E1996" s="81" t="n">
        <x:v>-0.10538055863824333</x:v>
      </x:c>
      <x:c r="F1996" s="81" t="n">
        <x:v>0.34888780061155555</x:v>
      </x:c>
      <x:c r="G1996" s="81" t="n">
        <x:v>-0.034969140111449255</x:v>
      </x:c>
      <x:c r="H1996" s="59" t="n">
        <x:v>0</x:v>
      </x:c>
      <x:c r="I1996" s="81" t="n">
        <x:v>0</x:v>
      </x:c>
      <x:c r="J1996" s="79" t="n">
        <x:v>4.8674161595837263e-29</x:v>
      </x:c>
      <x:c r="K1996" s="81" t="n">
        <x:v>-1</x:v>
      </x:c>
      <x:c r="L1996" s="81" t="n">
        <x:v>-1</x:v>
      </x:c>
      <x:c r="M1996" s="80" t="n">
        <x:v>0.000002</x:v>
      </x:c>
      <x:c r="N1996" s="82" t="n">
        <x:v>0.27577054600063144</x:v>
      </x:c>
      <x:c r="O1996" s="82" t="n">
        <x:v>0.09088759357333641</x:v>
      </x:c>
      <x:c r="P1996" s="80" t="n">
        <x:v>206.605466390399</x:v>
      </x:c>
      <x:c r="Q1996" s="81" t="n">
        <x:v>435359120337.0889</x:v>
      </x:c>
      <x:c r="R1996" s="81" t="n">
        <x:v>6.484225978736612</x:v>
      </x:c>
      <x:c r="S1996" s="81" t="n">
        <x:v>2.558043965031537e-10</x:v>
      </x:c>
      <x:c r="T1996" s="81" t="n">
        <x:v>1.0543886065289126e-24</x:v>
      </x:c>
    </x:row>
    <x:row r="1997">
      <x:c r="A1997" s="59" t="n">
        <x:v>1994</x:v>
      </x:c>
      <x:c r="B1997" s="193" t="n">
        <x:v>0.7257728625088931</x:v>
      </x:c>
      <x:c r="C1997" s="83" t="n">
        <x:v>1.0594741526859117</x:v>
      </x:c>
      <x:c r="D1997" s="83" t="n">
        <x:v>0.42812079073172143</x:v>
      </x:c>
      <x:c r="E1997" s="81" t="n">
        <x:v>-0.061275738017561907</x:v>
      </x:c>
      <x:c r="F1997" s="81" t="n">
        <x:v>0.5429132943041624</x:v>
      </x:c>
      <x:c r="G1997" s="81" t="n">
        <x:v>0.006023004343764275</x:v>
      </x:c>
      <x:c r="H1997" s="59" t="n">
        <x:v>0</x:v>
      </x:c>
      <x:c r="I1997" s="81" t="n">
        <x:v>0</x:v>
      </x:c>
      <x:c r="J1997" s="79" t="n">
        <x:v>6.425386423203552e-21</x:v>
      </x:c>
      <x:c r="K1997" s="81" t="n">
        <x:v>-1</x:v>
      </x:c>
      <x:c r="L1997" s="81" t="n">
        <x:v>-1</x:v>
      </x:c>
      <x:c r="M1997" s="80" t="n">
        <x:v>0.00002956408518422497</x:v>
      </x:c>
      <x:c r="N1997" s="82" t="n">
        <x:v>0.27498645409079037</x:v>
      </x:c>
      <x:c r="O1997" s="82" t="n">
        <x:v>0.1410303939587963</x:v>
      </x:c>
      <x:c r="P1997" s="80" t="n">
        <x:v>446.9336611738238</x:v>
      </x:c>
      <x:c r="Q1997" s="81" t="n">
        <x:v>80495.13993190834</x:v>
      </x:c>
      <x:c r="R1997" s="81" t="n">
        <x:v>4.758527949044582</x:v>
      </x:c>
      <x:c r="S1997" s="81" t="n">
        <x:v>3.0576821899169095e-9</x:v>
      </x:c>
      <x:c r="T1997" s="81" t="n">
        <x:v>1.3918789795345525e-16</x:v>
      </x:c>
    </x:row>
    <x:row r="1998">
      <x:c r="A1998" s="59" t="n">
        <x:v>1995</x:v>
      </x:c>
      <x:c r="B1998" s="193" t="n">
        <x:v>0.3912017757073045</x:v>
      </x:c>
      <x:c r="C1998" s="83" t="n">
        <x:v>0.2343686365894086</x:v>
      </x:c>
      <x:c r="D1998" s="83" t="n">
        <x:v>0.7027475980191926</x:v>
      </x:c>
      <x:c r="E1998" s="81" t="n">
        <x:v>-0.06317316588124927</x:v>
      </x:c>
      <x:c r="F1998" s="81" t="n">
        <x:v>0.48014578671427444</x:v>
      </x:c>
      <x:c r="G1998" s="81" t="n">
        <x:v>-0.003930284134205857</x:v>
      </x:c>
      <x:c r="H1998" s="59" t="n">
        <x:v>0</x:v>
      </x:c>
      <x:c r="I1998" s="81" t="n">
        <x:v>0</x:v>
      </x:c>
      <x:c r="J1998" s="79" t="n">
        <x:v>1.5841310805762056e-26</x:v>
      </x:c>
      <x:c r="K1998" s="81" t="n">
        <x:v>-1</x:v>
      </x:c>
      <x:c r="L1998" s="81" t="n">
        <x:v>-1</x:v>
      </x:c>
      <x:c r="M1998" s="80" t="n">
        <x:v>0.000002</x:v>
      </x:c>
      <x:c r="N1998" s="82" t="n">
        <x:v>0.19528534800677455</x:v>
      </x:c>
      <x:c r="O1998" s="82" t="n">
        <x:v>0.08857552275092605</x:v>
      </x:c>
      <x:c r="P1998" s="80" t="n">
        <x:v>290.60569675312325</x:v>
      </x:c>
      <x:c r="Q1998" s="81" t="n">
        <x:v>2146224019.578568</x:v>
      </x:c>
      <x:c r="R1998" s="81" t="n">
        <x:v>13.363723656738333</x:v>
      </x:c>
      <x:c r="S1998" s="81" t="n">
        <x:v>4.753903784469306e-10</x:v>
      </x:c>
      <x:c r="T1998" s="81" t="n">
        <x:v>3.4315737710636463e-22</x:v>
      </x:c>
    </x:row>
    <x:row r="1999">
      <x:c r="A1999" s="59" t="n">
        <x:v>1996</x:v>
      </x:c>
      <x:c r="B1999" s="193" t="n">
        <x:v>0.5466854503378272</x:v>
      </x:c>
      <x:c r="C1999" s="83" t="n">
        <x:v>0.14332735041428896</x:v>
      </x:c>
      <x:c r="D1999" s="83" t="n">
        <x:v>0.3446934382993186</x:v>
      </x:c>
      <x:c r="E1999" s="81" t="n">
        <x:v>-0.05753303926933078</x:v>
      </x:c>
      <x:c r="F1999" s="81" t="n">
        <x:v>0.8253247611690313</x:v>
      </x:c>
      <x:c r="G1999" s="81" t="n">
        <x:v>-0.01660612626275635</x:v>
      </x:c>
      <x:c r="H1999" s="59" t="n">
        <x:v>48</x:v>
      </x:c>
      <x:c r="I1999" s="81" t="n">
        <x:v>0.45547725539654493</x:v>
      </x:c>
      <x:c r="J1999" s="79" t="n">
        <x:v>5.616225116412685e-16</x:v>
      </x:c>
      <x:c r="K1999" s="81" t="n">
        <x:v>-0.9999999999993582</x:v>
      </x:c>
      <x:c r="L1999" s="81" t="n">
        <x:v>-0.9999999999993582</x:v>
      </x:c>
      <x:c r="M1999" s="80" t="n">
        <x:v>0.0047734640280447434</x:v>
      </x:c>
      <x:c r="N1999" s="82" t="n">
        <x:v>0.23232447462266428</x:v>
      </x:c>
      <x:c r="O1999" s="82" t="n">
        <x:v>0.18113016404505428</x:v>
      </x:c>
      <x:c r="P1999" s="80" t="n">
        <x:v>198.69762196039179</x:v>
      </x:c>
      <x:c r="Q1999" s="81" t="n">
        <x:v>157.8023696108848</x:v>
      </x:c>
      <x:c r="R1999" s="81" t="n">
        <x:v>29.89063665075237</x:v>
      </x:c>
      <x:c r="S1999" s="81" t="n">
        <x:v>5.306881160401731e-7</x:v>
      </x:c>
      <x:c r="T1999" s="81" t="n">
        <x:v>1.2165969747188184e-11</x:v>
      </x:c>
    </x:row>
    <x:row r="2000">
      <x:c r="A2000" s="59" t="n">
        <x:v>1997</x:v>
      </x:c>
      <x:c r="B2000" s="193" t="n">
        <x:v>0.975538880750537</x:v>
      </x:c>
      <x:c r="C2000" s="83" t="n">
        <x:v>0.6276527644783444</x:v>
      </x:c>
      <x:c r="D2000" s="83" t="n">
        <x:v>0.5994757787891999</x:v>
      </x:c>
      <x:c r="E2000" s="81" t="n">
        <x:v>0.09198896083851399</x:v>
      </x:c>
      <x:c r="F2000" s="81" t="n">
        <x:v>0.34634943442652</x:v>
      </x:c>
      <x:c r="G2000" s="81" t="n">
        <x:v>0.0329998609512834</x:v>
      </x:c>
      <x:c r="H2000" s="59" t="n">
        <x:v>0</x:v>
      </x:c>
      <x:c r="I2000" s="81" t="n">
        <x:v>0</x:v>
      </x:c>
      <x:c r="J2000" s="79" t="n">
        <x:v>0.007138722437515845</x:v>
      </x:c>
      <x:c r="K2000" s="81" t="n">
        <x:v>7.158539928589537</x:v>
      </x:c>
      <x:c r="L2000" s="81" t="n">
        <x:v>-0.6692068628315575</x:v>
      </x:c>
      <x:c r="M2000" s="80" t="n">
        <x:v>30055.77766538514</x:v>
      </x:c>
      <x:c r="N2000" s="82" t="n">
        <x:v>0.33448540274879196</x:v>
      </x:c>
      <x:c r="O2000" s="82" t="n">
        <x:v>0.10943660058271724</x:v>
      </x:c>
      <x:c r="P2000" s="80" t="n">
        <x:v>34337.17651783772</x:v>
      </x:c>
      <x:c r="Q2000" s="81" t="n">
        <x:v>0.00297871230049263</x:v>
      </x:c>
      <x:c r="R2000" s="81" t="n">
        <x:v>160.8020936959359</x:v>
      </x:c>
      <x:c r="S2000" s="81" t="n">
        <x:v>218.9149025965797</x:v>
      </x:c>
      <x:c r="T2000" s="81" t="n">
        <x:v>154.64031339232645</x:v>
      </x:c>
    </x:row>
    <x:row r="2001">
      <x:c r="A2001" s="59" t="n">
        <x:v>1998</x:v>
      </x:c>
      <x:c r="B2001" s="193" t="n">
        <x:v>0.7289823923259975</x:v>
      </x:c>
      <x:c r="C2001" s="83" t="n">
        <x:v>0.3844450980467228</x:v>
      </x:c>
      <x:c r="D2001" s="83" t="n">
        <x:v>0.523506451361671</x:v>
      </x:c>
      <x:c r="E2001" s="81" t="n">
        <x:v>-0.04348039775353693</x:v>
      </x:c>
      <x:c r="F2001" s="81" t="n">
        <x:v>0.7305932735092938</x:v>
      </x:c>
      <x:c r="G2001" s="81" t="n">
        <x:v>0.0001390921655260101</x:v>
      </x:c>
      <x:c r="H2001" s="59" t="n">
        <x:v>0</x:v>
      </x:c>
      <x:c r="I2001" s="81" t="n">
        <x:v>0</x:v>
      </x:c>
      <x:c r="J2001" s="79" t="n">
        <x:v>1.1632658056518629e-18</x:v>
      </x:c>
      <x:c r="K2001" s="81" t="n">
        <x:v>-0.9999999999999987</x:v>
      </x:c>
      <x:c r="L2001" s="81" t="n">
        <x:v>-0.9999999999999987</x:v>
      </x:c>
      <x:c r="M2001" s="80" t="n">
        <x:v>0.0002654219448798942</x:v>
      </x:c>
      <x:c r="N2001" s="82" t="n">
        <x:v>0.2757510242719086</x:v>
      </x:c>
      <x:c r="O2001" s="82" t="n">
        <x:v>0.19031093612955316</x:v>
      </x:c>
      <x:c r="P2001" s="80" t="n">
        <x:v>349.8951769178084</x:v>
      </x:c>
      <x:c r="Q2001" s="81" t="n">
        <x:v>5531.116178044456</x:v>
      </x:c>
      <x:c r="R2001" s="81" t="n">
        <x:v>11.31581652478816</x:v>
      </x:c>
      <x:c r="S2001" s="81" t="n">
        <x:v>4.602242275924374e-8</x:v>
      </x:c>
      <x:c r="T2001" s="81" t="n">
        <x:v>2.519887701463556e-14</x:v>
      </x:c>
    </x:row>
    <x:row r="2002">
      <x:c r="A2002" s="59" t="n">
        <x:v>1999</x:v>
      </x:c>
      <x:c r="B2002" s="193" t="n">
        <x:v>0.49045766405761243</x:v>
      </x:c>
      <x:c r="C2002" s="83" t="n">
        <x:v>0.4109506612775353</x:v>
      </x:c>
      <x:c r="D2002" s="83" t="n">
        <x:v>1.6193416585112028</x:v>
      </x:c>
      <x:c r="E2002" s="81" t="n">
        <x:v>-0.09550217141908773</x:v>
      </x:c>
      <x:c r="F2002" s="81" t="n">
        <x:v>0.52830326926196</x:v>
      </x:c>
      <x:c r="G2002" s="81" t="n">
        <x:v>0.018078886395776646</x:v>
      </x:c>
      <x:c r="H2002" s="59" t="n">
        <x:v>0</x:v>
      </x:c>
      <x:c r="I2002" s="81" t="n">
        <x:v>0</x:v>
      </x:c>
      <x:c r="J2002" s="79" t="n">
        <x:v>3.0338845654083667e-60</x:v>
      </x:c>
      <x:c r="K2002" s="81" t="n">
        <x:v>-1</x:v>
      </x:c>
      <x:c r="L2002" s="81" t="n">
        <x:v>-1</x:v>
      </x:c>
      <x:c r="M2002" s="80" t="n">
        <x:v>0.000002</x:v>
      </x:c>
      <x:c r="N2002" s="82" t="n">
        <x:v>0.21892996165972445</x:v>
      </x:c>
      <x:c r="O2002" s="82" t="n">
        <x:v>0.10925955844814844</x:v>
      </x:c>
      <x:c r="P2002" s="80" t="n">
        <x:v>285.7022884522449</x:v>
      </x:c>
      <x:c r="Q2002" s="81" t="n">
        <x:v>7.638283000507667e+42</x:v>
      </x:c>
      <x:c r="R2002" s="81" t="n">
        <x:v>2.6055195491822056</x:v>
      </x:c>
      <x:c r="S2002" s="81" t="n">
        <x:v>1.2502729712120891e-9</x:v>
      </x:c>
      <x:c r="T2002" s="81" t="n">
        <x:v>6.572056332171277e-56</x:v>
      </x:c>
    </x:row>
    <x:row r="2003">
      <x:c r="A2003" s="59" t="n">
        <x:v>2000</x:v>
      </x:c>
      <x:c r="B2003" s="193" t="n">
        <x:v>0.7866629384458066</x:v>
      </x:c>
      <x:c r="C2003" s="83" t="n">
        <x:v>0.14859580262126237</x:v>
      </x:c>
      <x:c r="D2003" s="83" t="n">
        <x:v>2.9322013598616206</x:v>
      </x:c>
      <x:c r="E2003" s="81" t="n">
        <x:v>-0.0015457513531561612</x:v>
      </x:c>
      <x:c r="F2003" s="81" t="n">
        <x:v>0.6210572511772625</x:v>
      </x:c>
      <x:c r="G2003" s="81" t="n">
        <x:v>-0.020341007583451417</x:v>
      </x:c>
      <x:c r="H2003" s="59" t="n">
        <x:v>50</x:v>
      </x:c>
      <x:c r="I2003" s="81" t="n">
        <x:v>0.4332853531464934</x:v>
      </x:c>
      <x:c r="J2003" s="79" t="n">
        <x:v>1.0445798958083352e-8</x:v>
      </x:c>
      <x:c r="K2003" s="81" t="n">
        <x:v>-0.9999880619440479</x:v>
      </x:c>
      <x:c r="L2003" s="81" t="n">
        <x:v>-0.9999880619440479</x:v>
      </x:c>
      <x:c r="M2003" s="80" t="n">
        <x:v>20.179765362888713</x:v>
      </x:c>
      <x:c r="N2003" s="82" t="n">
        <x:v>0.2894916118678868</x:v>
      </x:c>
      <x:c r="O2003" s="82" t="n">
        <x:v>0.16983944540482296</x:v>
      </x:c>
      <x:c r="P2003" s="80" t="n">
        <x:v>2841.104044724895</x:v>
      </x:c>
      <x:c r="Q2003" s="81" t="n">
        <x:v>1.0353063265307083</x:v>
      </x:c>
      <x:c r="R2003" s="81" t="n">
        <x:v>47.576836757988204</x:v>
      </x:c>
      <x:c r="S2003" s="81" t="n">
        <x:v>0.019010403092616077</x:v>
      </x:c>
      <x:c r="T2003" s="81" t="n">
        <x:v>0.000226278810900702</x:v>
      </x:c>
    </x:row>
    <x:row r="2004">
      <x:c r="A2004" s="59" t="n">
        <x:v>2001</x:v>
      </x:c>
      <x:c r="B2004" s="193" t="n">
        <x:v>0.40337133128196</x:v>
      </x:c>
      <x:c r="C2004" s="83" t="n">
        <x:v>0.46289358013098136</x:v>
      </x:c>
      <x:c r="D2004" s="83" t="n">
        <x:v>0.9264528593158017</x:v>
      </x:c>
      <x:c r="E2004" s="81" t="n">
        <x:v>-0.026856122581532724</x:v>
      </x:c>
      <x:c r="F2004" s="81" t="n">
        <x:v>0.41043375503504653</x:v>
      </x:c>
      <x:c r="G2004" s="81" t="n">
        <x:v>0.05472003018434943</x:v>
      </x:c>
      <x:c r="H2004" s="59" t="n">
        <x:v>0</x:v>
      </x:c>
      <x:c r="I2004" s="81" t="n">
        <x:v>0</x:v>
      </x:c>
      <x:c r="J2004" s="79" t="n">
        <x:v>3.249282154683417e-24</x:v>
      </x:c>
      <x:c r="K2004" s="81" t="n">
        <x:v>-1</x:v>
      </x:c>
      <x:c r="L2004" s="81" t="n">
        <x:v>-1</x:v>
      </x:c>
      <x:c r="M2004" s="80" t="n">
        <x:v>0.000002</x:v>
      </x:c>
      <x:c r="N2004" s="82" t="n">
        <x:v>0.19818436432382447</x:v>
      </x:c>
      <x:c r="O2004" s="82" t="n">
        <x:v>0.07683930017863257</x:v>
      </x:c>
      <x:c r="P2004" s="80" t="n">
        <x:v>740.7792865651533</x:v>
      </x:c>
      <x:c r="Q2004" s="81" t="n">
        <x:v>23772434.636630934</x:v>
      </x:c>
      <x:c r="R2004" s="81" t="n">
        <x:v>11.686233534253269</x:v>
      </x:c>
      <x:c r="S2004" s="81" t="n">
        <x:v>1.0607602145063245e-9</x:v>
      </x:c>
      <x:c r="T2004" s="81" t="n">
        <x:v>7.038654536555819e-20</x:v>
      </x:c>
    </x:row>
    <x:row r="2005">
      <x:c r="A2005" s="59" t="n">
        <x:v>2002</x:v>
      </x:c>
      <x:c r="B2005" s="193" t="n">
        <x:v>0.43616540599614384</x:v>
      </x:c>
      <x:c r="C2005" s="83" t="n">
        <x:v>0.28340501320943406</x:v>
      </x:c>
      <x:c r="D2005" s="83" t="n">
        <x:v>0.6662309813189683</x:v>
      </x:c>
      <x:c r="E2005" s="81" t="n">
        <x:v>0.03395945292643492</x:v>
      </x:c>
      <x:c r="F2005" s="81" t="n">
        <x:v>0.6892402791650967</x:v>
      </x:c>
      <x:c r="G2005" s="81" t="n">
        <x:v>-0.008965054472554017</x:v>
      </x:c>
      <x:c r="H2005" s="59" t="n">
        <x:v>0</x:v>
      </x:c>
      <x:c r="I2005" s="81" t="n">
        <x:v>0</x:v>
      </x:c>
      <x:c r="J2005" s="79" t="n">
        <x:v>0.00016374484891662532</x:v>
      </x:c>
      <x:c r="K2005" s="81" t="n">
        <x:v>-0.812863029809571</x:v>
      </x:c>
      <x:c r="L2005" s="81" t="n">
        <x:v>-0.8706935314841326</x:v>
      </x:c>
      <x:c r="M2005" s="80" t="n">
        <x:v>3043.592547599799</x:v>
      </x:c>
      <x:c r="N2005" s="82" t="n">
        <x:v>0.2059965278096438</x:v>
      </x:c>
      <x:c r="O2005" s="82" t="n">
        <x:v>0.13412245420610738</x:v>
      </x:c>
      <x:c r="P2005" s="80" t="n">
        <x:v>4641.767267580375</x:v>
      </x:c>
      <x:c r="Q2005" s="81" t="n">
        <x:v>0.008250223515826258</x:v>
      </x:c>
      <x:c r="R2005" s="81" t="n">
        <x:v>72.56745480227654</x:v>
      </x:c>
      <x:c r="S2005" s="81" t="n">
        <x:v>11.367676879371599</x:v>
      </x:c>
      <x:c r="T2005" s="81" t="n">
        <x:v>3.5470709184285854</x:v>
      </x:c>
    </x:row>
    <x:row r="2006">
      <x:c r="A2006" s="59" t="n">
        <x:v>2003</x:v>
      </x:c>
      <x:c r="B2006" s="193" t="n">
        <x:v>0.8276375805959106</x:v>
      </x:c>
      <x:c r="C2006" s="83" t="n">
        <x:v>0.21705836559850528</x:v>
      </x:c>
      <x:c r="D2006" s="83" t="n">
        <x:v>0.40427489372323816</x:v>
      </x:c>
      <x:c r="E2006" s="81" t="n">
        <x:v>0.06452885634755233</x:v>
      </x:c>
      <x:c r="F2006" s="81" t="n">
        <x:v>0.7499162158113905</x:v>
      </x:c>
      <x:c r="G2006" s="81" t="n">
        <x:v>-0.04176393347437726</x:v>
      </x:c>
      <x:c r="H2006" s="59" t="n">
        <x:v>77</x:v>
      </x:c>
      <x:c r="I2006" s="81" t="n">
        <x:v>0.16444381345063447</x:v>
      </x:c>
      <x:c r="J2006" s="79" t="n">
        <x:v>0.00003733885692963698</x:v>
      </x:c>
      <x:c r="K2006" s="81" t="n">
        <x:v>-0.9573270206518435</x:v>
      </x:c>
      <x:c r="L2006" s="81" t="n">
        <x:v>-0.9586087294577214</x:v>
      </x:c>
      <x:c r="M2006" s="80" t="n">
        <x:v>1375.0091163604855</x:v>
      </x:c>
      <x:c r="N2006" s="82" t="n">
        <x:v>0.299252539902582</x:v>
      </x:c>
      <x:c r="O2006" s="82" t="n">
        <x:v>0.21199300531991036</x:v>
      </x:c>
      <x:c r="P2006" s="80" t="n">
        <x:v>1483.2633458492205</x:v>
      </x:c>
      <x:c r="Q2006" s="81" t="n">
        <x:v>0.006902972325356055</x:v>
      </x:c>
      <x:c r="R2006" s="81" t="n">
        <x:v>66.20768222112368</x:v>
      </x:c>
      <x:c r="S2006" s="81" t="n">
        <x:v>3.3207524400561805</x:v>
      </x:c>
      <x:c r="T2006" s="81" t="n">
        <x:v>0.8088411600044768</x:v>
      </x:c>
    </x:row>
    <x:row r="2007">
      <x:c r="A2007" s="59" t="n">
        <x:v>2004</x:v>
      </x:c>
      <x:c r="B2007" s="193" t="n">
        <x:v>0.6062029536813498</x:v>
      </x:c>
      <x:c r="C2007" s="83" t="n">
        <x:v>2.9544241361605392</x:v>
      </x:c>
      <x:c r="D2007" s="83" t="n">
        <x:v>0.5231410739196273</x:v>
      </x:c>
      <x:c r="E2007" s="81" t="n">
        <x:v>0.08232981981794309</x:v>
      </x:c>
      <x:c r="F2007" s="81" t="n">
        <x:v>0.4863137965789065</x:v>
      </x:c>
      <x:c r="G2007" s="81" t="n">
        <x:v>0.016568596063954024</x:v>
      </x:c>
      <x:c r="H2007" s="59" t="n">
        <x:v>62</x:v>
      </x:c>
      <x:c r="I2007" s="81" t="n">
        <x:v>0.45604166239500044</x:v>
      </x:c>
      <x:c r="J2007" s="79" t="n">
        <x:v>0.015576142288368218</x:v>
      </x:c>
      <x:c r="K2007" s="81" t="n">
        <x:v>16.80130547242082</x:v>
      </x:c>
      <x:c r="L2007" s="81" t="n">
        <x:v>-0.8246375551705467</x:v>
      </x:c>
      <x:c r="M2007" s="80" t="n">
        <x:v>100422.88651255633</x:v>
      </x:c>
      <x:c r="N2007" s="82" t="n">
        <x:v>0.24650265987227926</x:v>
      </x:c>
      <x:c r="O2007" s="82" t="n">
        <x:v>0.11324242014664021</x:v>
      </x:c>
      <x:c r="P2007" s="80" t="n">
        <x:v>97667.40994292528</x:v>
      </x:c>
      <x:c r="Q2007" s="81" t="n">
        <x:v>0.0035446213218347606</x:v>
      </x:c>
      <x:c r="R2007" s="81" t="n">
        <x:v>51.855286903544176</x:v>
      </x:c>
      <x:c r="S2007" s="81" t="n">
        <x:v>105.5020966312744</x:v>
      </x:c>
      <x:c r="T2007" s="81" t="n">
        <x:v>337.4132480986215</x:v>
      </x:c>
    </x:row>
    <x:row r="2008">
      <x:c r="A2008" s="59" t="n">
        <x:v>2005</x:v>
      </x:c>
      <x:c r="B2008" s="193" t="n">
        <x:v>0.286815981939435</x:v>
      </x:c>
      <x:c r="C2008" s="83" t="n">
        <x:v>0.24431743162160896</x:v>
      </x:c>
      <x:c r="D2008" s="83" t="n">
        <x:v>1.6754528182988933</x:v>
      </x:c>
      <x:c r="E2008" s="81" t="n">
        <x:v>-0.015711193098442156</x:v>
      </x:c>
      <x:c r="F2008" s="81" t="n">
        <x:v>0.5572475085500628</x:v>
      </x:c>
      <x:c r="G2008" s="81" t="n">
        <x:v>-0.005320882133066948</x:v>
      </x:c>
      <x:c r="H2008" s="59" t="n">
        <x:v>0</x:v>
      </x:c>
      <x:c r="I2008" s="81" t="n">
        <x:v>0</x:v>
      </x:c>
      <x:c r="J2008" s="79" t="n">
        <x:v>6.663968730404892e-20</x:v>
      </x:c>
      <x:c r="K2008" s="81" t="n">
        <x:v>-0.9999999999999999</x:v>
      </x:c>
      <x:c r="L2008" s="81" t="n">
        <x:v>-0.9999999999999999</x:v>
      </x:c>
      <x:c r="M2008" s="80" t="n">
        <x:v>0.000057332887059655195</x:v>
      </x:c>
      <x:c r="N2008" s="82" t="n">
        <x:v>0.17041869469763482</x:v>
      </x:c>
      <x:c r="O2008" s="82" t="n">
        <x:v>0.08970906119943997</x:v>
      </x:c>
      <x:c r="P2008" s="80" t="n">
        <x:v>1033.3576632498957</x:v>
      </x:c>
      <x:c r="Q2008" s="81" t="n">
        <x:v>56181.929130752345</x:v>
      </x:c>
      <x:c r="R2008" s="81" t="n">
        <x:v>20.209787666384702</x:v>
      </x:c>
      <x:c r="S2008" s="81" t="n">
        <x:v>3.3235329196374195e-8</x:v>
      </x:c>
      <x:c r="T2008" s="81" t="n">
        <x:v>1.4435611160490492e-15</x:v>
      </x:c>
    </x:row>
    <x:row r="2009">
      <x:c r="A2009" s="59" t="n">
        <x:v>2006</x:v>
      </x:c>
      <x:c r="B2009" s="193" t="n">
        <x:v>0.5896364877000451</x:v>
      </x:c>
      <x:c r="C2009" s="83" t="n">
        <x:v>1.215147705320764</x:v>
      </x:c>
      <x:c r="D2009" s="83" t="n">
        <x:v>0.3190061025197364</x:v>
      </x:c>
      <x:c r="E2009" s="81" t="n">
        <x:v>-0.01507436378506783</x:v>
      </x:c>
      <x:c r="F2009" s="81" t="n">
        <x:v>0.5240353004424834</x:v>
      </x:c>
      <x:c r="G2009" s="81" t="n">
        <x:v>0.012978242744937769</x:v>
      </x:c>
      <x:c r="H2009" s="59" t="n">
        <x:v>0</x:v>
      </x:c>
      <x:c r="I2009" s="81" t="n">
        <x:v>0</x:v>
      </x:c>
      <x:c r="J2009" s="79" t="n">
        <x:v>1.5602037598236347e-8</x:v>
      </x:c>
      <x:c r="K2009" s="81" t="n">
        <x:v>-0.9999821690998877</x:v>
      </x:c>
      <x:c r="L2009" s="81" t="n">
        <x:v>-0.9999821690998877</x:v>
      </x:c>
      <x:c r="M2009" s="80" t="n">
        <x:v>47.53838234327624</x:v>
      </x:c>
      <x:c r="N2009" s="82" t="n">
        <x:v>0.24255621705429503</x:v>
      </x:c>
      <x:c r="O2009" s="82" t="n">
        <x:v>0.12007259474472927</x:v>
      </x:c>
      <x:c r="P2009" s="80" t="n">
        <x:v>996.8595193865452</x:v>
      </x:c>
      <x:c r="Q2009" s="81" t="n">
        <x:v>0.19060004557793897</x:v>
      </x:c>
      <x:c r="R2009" s="81" t="n">
        <x:v>8.599895544100033</x:v>
      </x:c>
      <x:c r="S2009" s="81" t="n">
        <x:v>0.0037871441290650474</x:v>
      </x:c>
      <x:c r="T2009" s="81" t="n">
        <x:v>0.0003379741970455022</x:v>
      </x:c>
    </x:row>
    <x:row r="2010">
      <x:c r="A2010" s="59" t="n">
        <x:v>2007</x:v>
      </x:c>
      <x:c r="B2010" s="193" t="n">
        <x:v>0.41112973615527154</x:v>
      </x:c>
      <x:c r="C2010" s="83" t="n">
        <x:v>0.4868103126395739</x:v>
      </x:c>
      <x:c r="D2010" s="83" t="n">
        <x:v>1.3294082069339488</x:v>
      </x:c>
      <x:c r="E2010" s="81" t="n">
        <x:v>0.11890988117694767</x:v>
      </x:c>
      <x:c r="F2010" s="81" t="n">
        <x:v>0.7383371408446693</x:v>
      </x:c>
      <x:c r="G2010" s="81" t="n">
        <x:v>0.024219277521090717</x:v>
      </x:c>
      <x:c r="H2010" s="59" t="n">
        <x:v>0</x:v>
      </x:c>
      <x:c r="I2010" s="81" t="n">
        <x:v>0</x:v>
      </x:c>
      <x:c r="J2010" s="79" t="n">
        <x:v>0.03183619920503242</x:v>
      </x:c>
      <x:c r="K2010" s="81" t="n">
        <x:v>35.3842276628942</x:v>
      </x:c>
      <x:c r="L2010" s="81" t="n">
        <x:v>-0.793848299577354</x:v>
      </x:c>
      <x:c r="M2010" s="80" t="n">
        <x:v>80217.046618518</x:v>
      </x:c>
      <x:c r="N2010" s="82" t="n">
        <x:v>0.20003256183473864</x:v>
      </x:c>
      <x:c r="O2010" s="82" t="n">
        <x:v>0.13951675108572323</x:v>
      </x:c>
      <x:c r="P2010" s="80" t="n">
        <x:v>156615.53514551985</x:v>
      </x:c>
      <x:c r="Q2010" s="81" t="n">
        <x:v>0.0034772038166149604</x:v>
      </x:c>
      <x:c r="R2010" s="81" t="n">
        <x:v>902.3040044562437</x:v>
      </x:c>
      <x:c r="S2010" s="81" t="n">
        <x:v>1259.5848491692063</x:v>
      </x:c>
      <x:c r="T2010" s="81" t="n">
        <x:v>689.6415801816667</x:v>
      </x:c>
    </x:row>
    <x:row r="2011">
      <x:c r="A2011" s="59" t="n">
        <x:v>2008</x:v>
      </x:c>
      <x:c r="B2011" s="193" t="n">
        <x:v>0.7653620619326831</x:v>
      </x:c>
      <x:c r="C2011" s="83" t="n">
        <x:v>0.1724917897347587</x:v>
      </x:c>
      <x:c r="D2011" s="83" t="n">
        <x:v>0.5712223779240397</x:v>
      </x:c>
      <x:c r="E2011" s="81" t="n">
        <x:v>0.01019783010047437</x:v>
      </x:c>
      <x:c r="F2011" s="81" t="n">
        <x:v>0.8075500931241549</x:v>
      </x:c>
      <x:c r="G2011" s="81" t="n">
        <x:v>0.03376818876510925</x:v>
      </x:c>
      <x:c r="H2011" s="59" t="n">
        <x:v>82</x:v>
      </x:c>
      <x:c r="I2011" s="81" t="n">
        <x:v>0.3797006953507662</x:v>
      </x:c>
      <x:c r="J2011" s="79" t="n">
        <x:v>0.000007601807901299389</x:v>
      </x:c>
      <x:c r="K2011" s="81" t="n">
        <x:v>-0.9913122195413722</x:v>
      </x:c>
      <x:c r="L2011" s="81" t="n">
        <x:v>-0.993999974920877</x:v>
      </x:c>
      <x:c r="M2011" s="80" t="n">
        <x:v>567.4976713871682</x:v>
      </x:c>
      <x:c r="N2011" s="82" t="n">
        <x:v>0.2844173436910265</x:v>
      </x:c>
      <x:c r="O2011" s="82" t="n">
        <x:v>0.21696840152940716</x:v>
      </x:c>
      <x:c r="P2011" s="80" t="n">
        <x:v>1253.768483173822</x:v>
      </x:c>
      <x:c r="Q2011" s="81" t="n">
        <x:v>0.03788010298008757</x:v>
      </x:c>
      <x:c r="R2011" s="81" t="n">
        <x:v>45.361151654809966</x:v>
      </x:c>
      <x:c r="S2011" s="81" t="n">
        <x:v>1.0009962549501885</x:v>
      </x:c>
      <x:c r="T2011" s="81" t="n">
        <x:v>0.16467175555494365</x:v>
      </x:c>
    </x:row>
    <x:row r="2012">
      <x:c r="A2012" s="59" t="n">
        <x:v>2009</x:v>
      </x:c>
      <x:c r="B2012" s="193" t="n">
        <x:v>0.43855257127434016</x:v>
      </x:c>
      <x:c r="C2012" s="83" t="n">
        <x:v>0.10139761627776782</x:v>
      </x:c>
      <x:c r="D2012" s="83" t="n">
        <x:v>3</x:v>
      </x:c>
      <x:c r="E2012" s="81" t="n">
        <x:v>-0.039270042375448594</x:v>
      </x:c>
      <x:c r="F2012" s="81" t="n">
        <x:v>0.6950611076899804</x:v>
      </x:c>
      <x:c r="G2012" s="81" t="n">
        <x:v>-0.033061280523887106</x:v>
      </x:c>
      <x:c r="H2012" s="59" t="n">
        <x:v>0</x:v>
      </x:c>
      <x:c r="I2012" s="81" t="n">
        <x:v>0</x:v>
      </x:c>
      <x:c r="J2012" s="79" t="n">
        <x:v>3.627833404486114e-41</x:v>
      </x:c>
      <x:c r="K2012" s="81" t="n">
        <x:v>-1</x:v>
      </x:c>
      <x:c r="L2012" s="81" t="n">
        <x:v>-1</x:v>
      </x:c>
      <x:c r="M2012" s="80" t="n">
        <x:v>0.000002</x:v>
      </x:c>
      <x:c r="N2012" s="82" t="n">
        <x:v>0.20656519533825912</x:v>
      </x:c>
      <x:c r="O2012" s="82" t="n">
        <x:v>0.1356285372801212</x:v>
      </x:c>
      <x:c r="P2012" s="80" t="n">
        <x:v>495.08220623250054</x:v>
      </x:c>
      <x:c r="Q2012" s="81" t="n">
        <x:v>1.4737183949344344e+24</x:v>
      </x:c>
      <x:c r="R2012" s="81" t="n">
        <x:v>12.17784416656022</x:v>
      </x:c>
      <x:c r="S2012" s="81" t="n">
        <x:v>1.5850214169819816e-9</x:v>
      </x:c>
      <x:c r="T2012" s="81" t="n">
        <x:v>7.85867918966331e-37</x:v>
      </x:c>
    </x:row>
    <x:row r="2013">
      <x:c r="A2013" s="59" t="n">
        <x:v>2010</x:v>
      </x:c>
      <x:c r="B2013" s="193" t="n">
        <x:v>0.25527001004666094</x:v>
      </x:c>
      <x:c r="C2013" s="83" t="n">
        <x:v>1.4954757662015676</x:v>
      </x:c>
      <x:c r="D2013" s="83" t="n">
        <x:v>0.9317729444117566</x:v>
      </x:c>
      <x:c r="E2013" s="81" t="n">
        <x:v>0.04985541823220176</x:v>
      </x:c>
      <x:c r="F2013" s="81" t="n">
        <x:v>0.888278289581649</x:v>
      </x:c>
      <x:c r="G2013" s="81" t="n">
        <x:v>-0.018076040970527354</x:v>
      </x:c>
      <x:c r="H2013" s="59" t="n">
        <x:v>77</x:v>
      </x:c>
      <x:c r="I2013" s="81" t="n">
        <x:v>0.17912630131468177</x:v>
      </x:c>
      <x:c r="J2013" s="79" t="n">
        <x:v>0.002213678734505381</x:v>
      </x:c>
      <x:c r="K2013" s="81" t="n">
        <x:v>1.529918553720436</x:v>
      </x:c>
      <x:c r="L2013" s="81" t="n">
        <x:v>-0.7891476436430804</x:v>
      </x:c>
      <x:c r="M2013" s="80" t="n">
        <x:v>23437.534671477002</x:v>
      </x:c>
      <x:c r="N2013" s="82" t="n">
        <x:v>0.16290385270580307</x:v>
      </x:c>
      <x:c r="O2013" s="82" t="n">
        <x:v>0.13669459577577558</x:v>
      </x:c>
      <x:c r="P2013" s="80" t="n">
        <x:v>41031.418439566485</x:v>
      </x:c>
      <x:c r="Q2013" s="81" t="n">
        <x:v>0.006393387619780895</x:v>
      </x:c>
      <x:c r="R2013" s="81" t="n">
        <x:v>63.21975978754846</x:v>
      </x:c>
      <x:c r="S2013" s="81" t="n">
        <x:v>30.69401001744225</x:v>
      </x:c>
      <x:c r="T2013" s="81" t="n">
        <x:v>47.95311433525403</x:v>
      </x:c>
    </x:row>
    <x:row r="2014">
      <x:c r="A2014" s="59" t="n">
        <x:v>2011</x:v>
      </x:c>
      <x:c r="B2014" s="193" t="n">
        <x:v>0.7082567624747753</x:v>
      </x:c>
      <x:c r="C2014" s="83" t="n">
        <x:v>0.43693319551007903</x:v>
      </x:c>
      <x:c r="D2014" s="83" t="n">
        <x:v>1.2095136153855608</x:v>
      </x:c>
      <x:c r="E2014" s="81" t="n">
        <x:v>0.08463191143353098</x:v>
      </x:c>
      <x:c r="F2014" s="81" t="n">
        <x:v>0.4646623211912811</x:v>
      </x:c>
      <x:c r="G2014" s="81" t="n">
        <x:v>-0.003825218074476732</x:v>
      </x:c>
      <x:c r="H2014" s="59" t="n">
        <x:v>0</x:v>
      </x:c>
      <x:c r="I2014" s="81" t="n">
        <x:v>0</x:v>
      </x:c>
      <x:c r="J2014" s="79" t="n">
        <x:v>0.007951743446588845</x:v>
      </x:c>
      <x:c r="K2014" s="81" t="n">
        <x:v>8.087706796101537</x:v>
      </x:c>
      <x:c r="L2014" s="81" t="n">
        <x:v>-0.7696785416206356</x:v>
      </x:c>
      <x:c r="M2014" s="80" t="n">
        <x:v>31074.255549124886</x:v>
      </x:c>
      <x:c r="N2014" s="82" t="n">
        <x:v>0.2708137906357878</x:v>
      </x:c>
      <x:c r="O2014" s="82" t="n">
        <x:v>0.11887189212066984</x:v>
      </x:c>
      <x:c r="P2014" s="80" t="n">
        <x:v>60826.85392731562</x:v>
      </x:c>
      <x:c r="Q2014" s="81" t="n">
        <x:v>0.0036527383231569573</x:v>
      </x:c>
      <x:c r="R2014" s="81" t="n">
        <x:v>539.7869661949602</x:v>
      </x:c>
      <x:c r="S2014" s="81" t="n">
        <x:v>349.5866763681838</x:v>
      </x:c>
      <x:c r="T2014" s="81" t="n">
        <x:v>172.25212345190684</x:v>
      </x:c>
    </x:row>
    <x:row r="2015">
      <x:c r="A2015" s="59" t="n">
        <x:v>2012</x:v>
      </x:c>
      <x:c r="B2015" s="193" t="n">
        <x:v>0.9740770416334272</x:v>
      </x:c>
      <x:c r="C2015" s="83" t="n">
        <x:v>0.5873731084395477</x:v>
      </x:c>
      <x:c r="D2015" s="83" t="n">
        <x:v>0.4224323937252723</x:v>
      </x:c>
      <x:c r="E2015" s="81" t="n">
        <x:v>0.11357471047536677</x:v>
      </x:c>
      <x:c r="F2015" s="81" t="n">
        <x:v>0.4570251395693049</x:v>
      </x:c>
      <x:c r="G2015" s="81" t="n">
        <x:v>-0.026901685042956425</x:v>
      </x:c>
      <x:c r="H2015" s="59" t="n">
        <x:v>0</x:v>
      </x:c>
      <x:c r="I2015" s="81" t="n">
        <x:v>0</x:v>
      </x:c>
      <x:c r="J2015" s="79" t="n">
        <x:v>0.0006994826594931087</x:v>
      </x:c>
      <x:c r="K2015" s="81" t="n">
        <x:v>-0.20059124629358993</x:v>
      </x:c>
      <x:c r="L2015" s="81" t="n">
        <x:v>-0.779122024047589</x:v>
      </x:c>
      <x:c r="M2015" s="80" t="n">
        <x:v>8368.015442261967</x:v>
      </x:c>
      <x:c r="N2015" s="82" t="n">
        <x:v>0.33413716526161297</x:v>
      </x:c>
      <x:c r="O2015" s="82" t="n">
        <x:v>0.144256641055416</x:v>
      </x:c>
      <x:c r="P2015" s="80" t="n">
        <x:v>7387.403979611063</x:v>
      </x:c>
      <x:c r="Q2015" s="81" t="n">
        <x:v>0.003017897234981284</x:v>
      </x:c>
      <x:c r="R2015" s="81" t="n">
        <x:v>92.78376185369589</x:v>
      </x:c>
      <x:c r="S2015" s="81" t="n">
        <x:v>22.885460388504352</x:v>
      </x:c>
      <x:c r="T2015" s="81" t="n">
        <x:v>15.152321528577739</x:v>
      </x:c>
    </x:row>
    <x:row r="2016">
      <x:c r="A2016" s="59" t="n">
        <x:v>2013</x:v>
      </x:c>
      <x:c r="B2016" s="193" t="n">
        <x:v>0.5192532233893872</x:v>
      </x:c>
      <x:c r="C2016" s="83" t="n">
        <x:v>1.9016593118594325</x:v>
      </x:c>
      <x:c r="D2016" s="83" t="n">
        <x:v>0.20233590305179988</x:v>
      </x:c>
      <x:c r="E2016" s="81" t="n">
        <x:v>-0.19825652961248177</x:v>
      </x:c>
      <x:c r="F2016" s="81" t="n">
        <x:v>0.4063561660819687</x:v>
      </x:c>
      <x:c r="G2016" s="81" t="n">
        <x:v>-0.024324197328556958</x:v>
      </x:c>
      <x:c r="H2016" s="59" t="n">
        <x:v>0</x:v>
      </x:c>
      <x:c r="I2016" s="81" t="n">
        <x:v>0</x:v>
      </x:c>
      <x:c r="J2016" s="79" t="n">
        <x:v>2.7452897725371646e-24</x:v>
      </x:c>
      <x:c r="K2016" s="81" t="n">
        <x:v>-1</x:v>
      </x:c>
      <x:c r="L2016" s="81" t="n">
        <x:v>-1</x:v>
      </x:c>
      <x:c r="M2016" s="80" t="n">
        <x:v>0.000002</x:v>
      </x:c>
      <x:c r="N2016" s="82" t="n">
        <x:v>0.22578960380929047</x:v>
      </x:c>
      <x:c r="O2016" s="82" t="n">
        <x:v>0.08667258260251336</x:v>
      </x:c>
      <x:c r="P2016" s="80" t="n">
        <x:v>228.89944364430403</x:v>
      </x:c>
      <x:c r="Q2016" s="81" t="n">
        <x:v>4447632.686945165</x:v>
      </x:c>
      <x:c r="R2016" s="81" t="n">
        <x:v>2.073323766190071</x:v>
      </x:c>
      <x:c r="S2016" s="81" t="n">
        <x:v>4.527043212175374e-11</x:v>
      </x:c>
      <x:c r="T2016" s="81" t="n">
        <x:v>5.946897004243603e-20</x:v>
      </x:c>
    </x:row>
    <x:row r="2017">
      <x:c r="A2017" s="59" t="n">
        <x:v>2014</x:v>
      </x:c>
      <x:c r="B2017" s="193" t="n">
        <x:v>0.8310961214825512</x:v>
      </x:c>
      <x:c r="C2017" s="83" t="n">
        <x:v>2.886907540036842</x:v>
      </x:c>
      <x:c r="D2017" s="83" t="n">
        <x:v>0.45993260272088293</x:v>
      </x:c>
      <x:c r="E2017" s="81" t="n">
        <x:v>-0.08329900756197071</x:v>
      </x:c>
      <x:c r="F2017" s="81" t="n">
        <x:v>0.7380752133671195</x:v>
      </x:c>
      <x:c r="G2017" s="81" t="n">
        <x:v>-0.03030921804412385</x:v>
      </x:c>
      <x:c r="H2017" s="59" t="n">
        <x:v>0</x:v>
      </x:c>
      <x:c r="I2017" s="81" t="n">
        <x:v>0</x:v>
      </x:c>
      <x:c r="J2017" s="79" t="n">
        <x:v>1.6320101511290082e-23</x:v>
      </x:c>
      <x:c r="K2017" s="81" t="n">
        <x:v>-1</x:v>
      </x:c>
      <x:c r="L2017" s="81" t="n">
        <x:v>-1</x:v>
      </x:c>
      <x:c r="M2017" s="80" t="n">
        <x:v>0.0000028359336953166753</x:v>
      </x:c>
      <x:c r="N2017" s="82" t="n">
        <x:v>0.30007642918942157</x:v>
      </x:c>
      <x:c r="O2017" s="82" t="n">
        <x:v>0.20922011949598857</x:v>
      </x:c>
      <x:c r="P2017" s="80" t="n">
        <x:v>692.307857617472</x:v>
      </x:c>
      <x:c r="Q2017" s="81" t="n">
        <x:v>2282687.914849793</x:v>
      </x:c>
      <x:c r="R2017" s="81" t="n">
        <x:v>1.624262145851551</x:v>
      </x:c>
      <x:c r="S2017" s="81" t="n">
        <x:v>1.0634449477250476e-10</x:v>
      </x:c>
      <x:c r="T2017" s="81" t="n">
        <x:v>3.5352902909315237e-19</x:v>
      </x:c>
    </x:row>
    <x:row r="2018">
      <x:c r="A2018" s="59" t="n">
        <x:v>2015</x:v>
      </x:c>
      <x:c r="B2018" s="193" t="n">
        <x:v>0.7454613337293268</x:v>
      </x:c>
      <x:c r="C2018" s="83" t="n">
        <x:v>0.12414837791845991</x:v>
      </x:c>
      <x:c r="D2018" s="83" t="n">
        <x:v>0.7631798460239532</x:v>
      </x:c>
      <x:c r="E2018" s="81" t="n">
        <x:v>0.07035226128809914</x:v>
      </x:c>
      <x:c r="F2018" s="81" t="n">
        <x:v>0.6675384888541884</x:v>
      </x:c>
      <x:c r="G2018" s="81" t="n">
        <x:v>-0.011682316478667085</x:v>
      </x:c>
      <x:c r="H2018" s="59" t="n">
        <x:v>0</x:v>
      </x:c>
      <x:c r="I2018" s="81" t="n">
        <x:v>0</x:v>
      </x:c>
      <x:c r="J2018" s="79" t="n">
        <x:v>0.0004338737075091253</x:v>
      </x:c>
      <x:c r="K2018" s="81" t="n">
        <x:v>-0.5041443342752853</x:v>
      </x:c>
      <x:c r="L2018" s="81" t="n">
        <x:v>-0.8380846159112796</x:v>
      </x:c>
      <x:c r="M2018" s="80" t="n">
        <x:v>4831.21525738022</x:v>
      </x:c>
      <x:c r="N2018" s="82" t="n">
        <x:v>0.27967661709433317</x:v>
      </x:c>
      <x:c r="O2018" s="82" t="n">
        <x:v>0.17636134853198138</x:v>
      </x:c>
      <x:c r="P2018" s="80" t="n">
        <x:v>7284.129196129241</x:v>
      </x:c>
      <x:c r="Q2018" s="81" t="n">
        <x:v>0.00582333992040921</x:v>
      </x:c>
      <x:c r="R2018" s="81" t="n">
        <x:v>270.3058584007085</x:v>
      </x:c>
      <x:c r="S2018" s="81" t="n">
        <x:v>66.21318185076656</x:v>
      </x:c>
      <x:c r="T2018" s="81" t="n">
        <x:v>9.398651746046792</x:v>
      </x:c>
    </x:row>
    <x:row r="2019">
      <x:c r="A2019" s="59" t="n">
        <x:v>2016</x:v>
      </x:c>
      <x:c r="B2019" s="193" t="n">
        <x:v>0.535553489252925</x:v>
      </x:c>
      <x:c r="C2019" s="83" t="n">
        <x:v>1.090444735002304</x:v>
      </x:c>
      <x:c r="D2019" s="83" t="n">
        <x:v>0.4224565442527222</x:v>
      </x:c>
      <x:c r="E2019" s="81" t="n">
        <x:v>0.0970470291104772</x:v>
      </x:c>
      <x:c r="F2019" s="81" t="n">
        <x:v>0.6370247846934944</x:v>
      </x:c>
      <x:c r="G2019" s="81" t="n">
        <x:v>-0.018601678956708362</x:v>
      </x:c>
      <x:c r="H2019" s="59" t="n">
        <x:v>0</x:v>
      </x:c>
      <x:c r="I2019" s="81" t="n">
        <x:v>0</x:v>
      </x:c>
      <x:c r="J2019" s="79" t="n">
        <x:v>0.0011476039696843242</x:v>
      </x:c>
      <x:c r="K2019" s="81" t="n">
        <x:v>0.311547393924942</x:v>
      </x:c>
      <x:c r="L2019" s="81" t="n">
        <x:v>-0.7166734380942463</x:v>
      </x:c>
      <x:c r="M2019" s="80" t="n">
        <x:v>13886.9062962199</x:v>
      </x:c>
      <x:c r="N2019" s="82" t="n">
        <x:v>0.2296726327679703</x:v>
      </x:c>
      <x:c r="O2019" s="82" t="n">
        <x:v>0.1382090622822903</x:v>
      </x:c>
      <x:c r="P2019" s="80" t="n">
        <x:v>12026.786519648984</x:v>
      </x:c>
      <x:c r="Q2019" s="81" t="n">
        <x:v>0.003345884787925334</x:v>
      </x:c>
      <x:c r="R2019" s="81" t="n">
        <x:v>56.14177070700836</x:v>
      </x:c>
      <x:c r="S2019" s="81" t="n">
        <x:v>20.607001300641798</x:v>
      </x:c>
      <x:c r="T2019" s="81" t="n">
        <x:v>24.85960745435802</x:v>
      </x:c>
    </x:row>
    <x:row r="2020">
      <x:c r="A2020" s="59" t="n">
        <x:v>2017</x:v>
      </x:c>
      <x:c r="B2020" s="193" t="n">
        <x:v>0.9353345764800907</x:v>
      </x:c>
      <x:c r="C2020" s="83" t="n">
        <x:v>0.6621311712614667</x:v>
      </x:c>
      <x:c r="D2020" s="83" t="n">
        <x:v>1.2069317317781618</x:v>
      </x:c>
      <x:c r="E2020" s="81" t="n">
        <x:v>0.019714316705647907</x:v>
      </x:c>
      <x:c r="F2020" s="81" t="n">
        <x:v>0.650204068783205</x:v>
      </x:c>
      <x:c r="G2020" s="81" t="n">
        <x:v>0.018271391101116138</x:v>
      </x:c>
      <x:c r="H2020" s="59" t="n">
        <x:v>31</x:v>
      </x:c>
      <x:c r="I2020" s="81" t="n">
        <x:v>0.23256648648530245</x:v>
      </x:c>
      <x:c r="J2020" s="79" t="n">
        <x:v>0.000259643947008365</x:v>
      </x:c>
      <x:c r="K2020" s="81" t="n">
        <x:v>-0.7032640605618685</x:v>
      </x:c>
      <x:c r="L2020" s="81" t="n">
        <x:v>-0.8693835737087983</x:v>
      </x:c>
      <x:c r="M2020" s="80" t="n">
        <x:v>5063.3450830872525</x:v>
      </x:c>
      <x:c r="N2020" s="82" t="n">
        <x:v>0.3249079836408667</x:v>
      </x:c>
      <x:c r="O2020" s="82" t="n">
        <x:v>0.19956345200543935</x:v>
      </x:c>
      <x:c r="P2020" s="80" t="n">
        <x:v>13170.915176324532</x:v>
      </x:c>
      <x:c r="Q2020" s="81" t="n">
        <x:v>0.02160591821517213</x:v>
      </x:c>
      <x:c r="R2020" s="81" t="n">
        <x:v>31.086202344032856</x:v>
      </x:c>
      <x:c r="S2020" s="81" t="n">
        <x:v>9.320999531449447</x:v>
      </x:c>
      <x:c r="T2020" s="81" t="n">
        <x:v>5.62445475184579</x:v>
      </x:c>
    </x:row>
    <x:row r="2021">
      <x:c r="A2021" s="59" t="n">
        <x:v>2018</x:v>
      </x:c>
      <x:c r="B2021" s="193" t="n">
        <x:v>0.5438271209597587</x:v>
      </x:c>
      <x:c r="C2021" s="83" t="n">
        <x:v>0.13438182101911048</x:v>
      </x:c>
      <x:c r="D2021" s="83" t="n">
        <x:v>1.4723492733791903</x:v>
      </x:c>
      <x:c r="E2021" s="81" t="n">
        <x:v>0.013873560611737008</x:v>
      </x:c>
      <x:c r="F2021" s="81" t="n">
        <x:v>0.5576831025187858</x:v>
      </x:c>
      <x:c r="G2021" s="81" t="n">
        <x:v>-0.011313715937638264</x:v>
      </x:c>
      <x:c r="H2021" s="59" t="n">
        <x:v>0</x:v>
      </x:c>
      <x:c r="I2021" s="81" t="n">
        <x:v>0</x:v>
      </x:c>
      <x:c r="J2021" s="79" t="n">
        <x:v>0.00011821334505861196</x:v>
      </x:c>
      <x:c r="K2021" s="81" t="n">
        <x:v>-0.8648990342187292</x:v>
      </x:c>
      <x:c r="L2021" s="81" t="n">
        <x:v>-0.893724293734265</x:v>
      </x:c>
      <x:c r="M2021" s="80" t="n">
        <x:v>2265.2598059130796</x:v>
      </x:c>
      <x:c r="N2021" s="82" t="n">
        <x:v>0.23164356697113245</x:v>
      </x:c>
      <x:c r="O2021" s="82" t="n">
        <x:v>0.12203338877625414</x:v>
      </x:c>
      <x:c r="P2021" s="80" t="n">
        <x:v>7766.533641513729</x:v>
      </x:c>
      <x:c r="Q2021" s="81" t="n">
        <x:v>0.017758613306298455</x:v>
      </x:c>
      <x:c r="R2021" s="81" t="n">
        <x:v>138.53750487868334</x:v>
      </x:c>
      <x:c r="S2021" s="81" t="n">
        <x:v>17.469095599860072</x:v>
      </x:c>
      <x:c r="T2021" s="81" t="n">
        <x:v>2.5607591396115823</x:v>
      </x:c>
    </x:row>
    <x:row r="2022">
      <x:c r="A2022" s="59" t="n">
        <x:v>2019</x:v>
      </x:c>
      <x:c r="B2022" s="193" t="n">
        <x:v>0.65352328941226</x:v>
      </x:c>
      <x:c r="C2022" s="83" t="n">
        <x:v>1.5412683990683709</x:v>
      </x:c>
      <x:c r="D2022" s="83" t="n">
        <x:v>0.21757865462650366</x:v>
      </x:c>
      <x:c r="E2022" s="81" t="n">
        <x:v>-0.012642773525487214</x:v>
      </x:c>
      <x:c r="F2022" s="81" t="n">
        <x:v>0.2838473125826567</x:v>
      </x:c>
      <x:c r="G2022" s="81" t="n">
        <x:v>0.007928388791747993</x:v>
      </x:c>
      <x:c r="H2022" s="59" t="n">
        <x:v>0</x:v>
      </x:c>
      <x:c r="I2022" s="81" t="n">
        <x:v>0</x:v>
      </x:c>
      <x:c r="J2022" s="79" t="n">
        <x:v>5.828938995185445e-7</x:v>
      </x:c>
      <x:c r="K2022" s="81" t="n">
        <x:v>-0.9993338355434074</x:v>
      </x:c>
      <x:c r="L2022" s="81" t="n">
        <x:v>-0.9993338355434074</x:v>
      </x:c>
      <x:c r="M2022" s="80" t="n">
        <x:v>331.5608974947349</x:v>
      </x:c>
      <x:c r="N2022" s="82" t="n">
        <x:v>0.25777525109967686</x:v>
      </x:c>
      <x:c r="O2022" s="82" t="n">
        <x:v>0.06911892057508985</x:v>
      </x:c>
      <x:c r="P2022" s="80" t="n">
        <x:v>1256.5962999749504</x:v>
      </x:c>
      <x:c r="Q2022" s="81" t="n">
        <x:v>0.033984683716168876</x:v>
      </x:c>
      <x:c r="R2022" s="81" t="n">
        <x:v>8.753037448213053</x:v>
      </x:c>
      <x:c r="S2022" s="81" t="n">
        <x:v>0.020819508486169373</x:v>
      </x:c>
      <x:c r="T2022" s="81" t="n">
        <x:v>0.01262675444871194</x:v>
      </x:c>
    </x:row>
    <x:row r="2023">
      <x:c r="A2023" s="59" t="n">
        <x:v>2020</x:v>
      </x:c>
      <x:c r="B2023" s="193" t="n">
        <x:v>0.9601586373522879</x:v>
      </x:c>
      <x:c r="C2023" s="83" t="n">
        <x:v>0.2537630634435049</x:v>
      </x:c>
      <x:c r="D2023" s="83" t="n">
        <x:v>2.062636142878141</x:v>
      </x:c>
      <x:c r="E2023" s="81" t="n">
        <x:v>0.043305709143960425</x:v>
      </x:c>
      <x:c r="F2023" s="81" t="n">
        <x:v>0.7984822038444691</x:v>
      </x:c>
      <x:c r="G2023" s="81" t="n">
        <x:v>-0.0004333959521568197</x:v>
      </x:c>
      <x:c r="H2023" s="59" t="n">
        <x:v>0</x:v>
      </x:c>
      <x:c r="I2023" s="81" t="n">
        <x:v>0</x:v>
      </x:c>
      <x:c r="J2023" s="79" t="n">
        <x:v>0.001098047452074781</x:v>
      </x:c>
      <x:c r="K2023" s="81" t="n">
        <x:v>0.25491137379974993</x:v>
      </x:c>
      <x:c r="L2023" s="81" t="n">
        <x:v>-0.8387813993287913</x:v>
      </x:c>
      <x:c r="M2023" s="80" t="n">
        <x:v>9766.47691348033</x:v>
      </x:c>
      <x:c r="N2023" s="82" t="n">
        <x:v>0.3308215403917655</x:v>
      </x:c>
      <x:c r="O2023" s="82" t="n">
        <x:v>0.24953413460139656</x:v>
      </x:c>
      <x:c r="P2023" s="80" t="n">
        <x:v>33670.88216067191</x:v>
      </x:c>
      <x:c r="Q2023" s="81" t="n">
        <x:v>0.01408537168568504</x:v>
      </x:c>
      <x:c r="R2023" s="81" t="n">
        <x:v>203.95212930143973</x:v>
      </x:c>
      <x:c r="S2023" s="81" t="n">
        <x:v>87.58201483424719</x:v>
      </x:c>
      <x:c r="T2023" s="81" t="n">
        <x:v>23.78610509019567</x:v>
      </x:c>
    </x:row>
    <x:row r="2024">
      <x:c r="A2024" s="59" t="n">
        <x:v>2021</x:v>
      </x:c>
      <x:c r="B2024" s="193" t="n">
        <x:v>0.586049447581172</x:v>
      </x:c>
      <x:c r="C2024" s="83" t="n">
        <x:v>0.45080764666367257</x:v>
      </x:c>
      <x:c r="D2024" s="83" t="n">
        <x:v>1.234391836573253</x:v>
      </x:c>
      <x:c r="E2024" s="81" t="n">
        <x:v>0.11385870844607231</x:v>
      </x:c>
      <x:c r="F2024" s="81" t="n">
        <x:v>0.492514309566468</x:v>
      </x:c>
      <x:c r="G2024" s="81" t="n">
        <x:v>0.017053537477367008</x:v>
      </x:c>
      <x:c r="H2024" s="59" t="n">
        <x:v>0</x:v>
      </x:c>
      <x:c r="I2024" s="81" t="n">
        <x:v>0</x:v>
      </x:c>
      <x:c r="J2024" s="79" t="n">
        <x:v>0.0304095546102818</x:v>
      </x:c>
      <x:c r="K2024" s="81" t="n">
        <x:v>33.753776697464914</x:v>
      </x:c>
      <x:c r="L2024" s="81" t="n">
        <x:v>-0.7774684180211853</x:v>
      </x:c>
      <x:c r="M2024" s="80" t="n">
        <x:v>71567.77363414431</x:v>
      </x:c>
      <x:c r="N2024" s="82" t="n">
        <x:v>0.2417017168409775</x:v>
      </x:c>
      <x:c r="O2024" s="82" t="n">
        <x:v>0.11245260751726029</x:v>
      </x:c>
      <x:c r="P2024" s="80" t="n">
        <x:v>132866.70698313747</x:v>
      </x:c>
      <x:c r="Q2024" s="81" t="n">
        <x:v>0.0028334788385171892</x:v>
      </x:c>
      <x:c r="R2024" s="81" t="n">
        <x:v>1070.1138813874422</x:v>
      </x:c>
      <x:c r="S2024" s="81" t="n">
        <x:v>1287.8632038265603</x:v>
      </x:c>
      <x:c r="T2024" s="81" t="n">
        <x:v>658.7373435815285</x:v>
      </x:c>
    </x:row>
    <x:row r="2025">
      <x:c r="A2025" s="59" t="n">
        <x:v>2022</x:v>
      </x:c>
      <x:c r="B2025" s="193" t="n">
        <x:v>0.26568511426448826</x:v>
      </x:c>
      <x:c r="C2025" s="83" t="n">
        <x:v>0.4121256332928497</x:v>
      </x:c>
      <x:c r="D2025" s="83" t="n">
        <x:v>1.4815263572330215</x:v>
      </x:c>
      <x:c r="E2025" s="81" t="n">
        <x:v>0.08767994755257374</x:v>
      </x:c>
      <x:c r="F2025" s="81" t="n">
        <x:v>0.5092021427000872</x:v>
      </x:c>
      <x:c r="G2025" s="81" t="n">
        <x:v>0.03660287026024702</x:v>
      </x:c>
      <x:c r="H2025" s="59" t="n">
        <x:v>39</x:v>
      </x:c>
      <x:c r="I2025" s="81" t="n">
        <x:v>0.39441037159413106</x:v>
      </x:c>
      <x:c r="J2025" s="79" t="n">
        <x:v>0.07380086559607162</x:v>
      </x:c>
      <x:c r="K2025" s="81" t="n">
        <x:v>83.34384639551043</x:v>
      </x:c>
      <x:c r="L2025" s="81" t="n">
        <x:v>-0.9762190091095827</x:v>
      </x:c>
      <x:c r="M2025" s="80" t="n">
        <x:v>109970.03116269317</x:v>
      </x:c>
      <x:c r="N2025" s="82" t="n">
        <x:v>0.16538492581369355</x:v>
      </x:c>
      <x:c r="O2025" s="82" t="n">
        <x:v>0.07955309621686993</x:v>
      </x:c>
      <x:c r="P2025" s="80" t="n">
        <x:v>250741.50035041897</x:v>
      </x:c>
      <x:c r="Q2025" s="81" t="n">
        <x:v>0.002714603252105037</x:v>
      </x:c>
      <x:c r="R2025" s="81" t="n">
        <x:v>1713.6101128200908</x:v>
      </x:c>
      <x:c r="S2025" s="81" t="n">
        <x:v>3407.6793004435945</x:v>
      </x:c>
      <x:c r="T2025" s="81" t="n">
        <x:v>1598.687872276046</x:v>
      </x:c>
    </x:row>
    <x:row r="2026">
      <x:c r="A2026" s="59" t="n">
        <x:v>2023</x:v>
      </x:c>
      <x:c r="B2026" s="193" t="n">
        <x:v>0.7798455175012351</x:v>
      </x:c>
      <x:c r="C2026" s="83" t="n">
        <x:v>1.6784524494294266</x:v>
      </x:c>
      <x:c r="D2026" s="83" t="n">
        <x:v>1.2158146913126244</x:v>
      </x:c>
      <x:c r="E2026" s="81" t="n">
        <x:v>-0.10045810045705823</x:v>
      </x:c>
      <x:c r="F2026" s="81" t="n">
        <x:v>0.6075459027895704</x:v>
      </x:c>
      <x:c r="G2026" s="81" t="n">
        <x:v>0.01058228653238602</x:v>
      </x:c>
      <x:c r="H2026" s="59" t="n">
        <x:v>0</x:v>
      </x:c>
      <x:c r="I2026" s="81" t="n">
        <x:v>0</x:v>
      </x:c>
      <x:c r="J2026" s="79" t="n">
        <x:v>3.186181194521946e-50</x:v>
      </x:c>
      <x:c r="K2026" s="81" t="n">
        <x:v>-1</x:v>
      </x:c>
      <x:c r="L2026" s="81" t="n">
        <x:v>-1</x:v>
      </x:c>
      <x:c r="M2026" s="80" t="n">
        <x:v>0.000002</x:v>
      </x:c>
      <x:c r="N2026" s="82" t="n">
        <x:v>0.28786757437224714</x:v>
      </x:c>
      <x:c r="O2026" s="82" t="n">
        <x:v>0.16521245571624457</x:v>
      </x:c>
      <x:c r="P2026" s="80" t="n">
        <x:v>489.32786703570747</x:v>
      </x:c>
      <x:c r="Q2026" s="81" t="n">
        <x:v>6.945649773997749e+32</x:v>
      </x:c>
      <x:c r="R2026" s="81" t="n">
        <x:v>1.1186782375906157</x:v>
      </x:c>
      <x:c r="S2026" s="81" t="n">
        <x:v>4.519700730654907e-10</x:v>
      </x:c>
      <x:c r="T2026" s="81" t="n">
        <x:v>6.901964080523436e-46</x:v>
      </x:c>
    </x:row>
    <x:row r="2027">
      <x:c r="A2027" s="59" t="n">
        <x:v>2024</x:v>
      </x:c>
      <x:c r="B2027" s="193" t="n">
        <x:v>0.7778335981070996</x:v>
      </x:c>
      <x:c r="C2027" s="83" t="n">
        <x:v>1.7603066058935302</x:v>
      </x:c>
      <x:c r="D2027" s="83" t="n">
        <x:v>0.7643310310289251</x:v>
      </x:c>
      <x:c r="E2027" s="81" t="n">
        <x:v>0.03853240738333331</x:v>
      </x:c>
      <x:c r="F2027" s="81" t="n">
        <x:v>0.582752812281251</x:v>
      </x:c>
      <x:c r="G2027" s="81" t="n">
        <x:v>-0.003668756751915297</x:v>
      </x:c>
      <x:c r="H2027" s="59" t="n">
        <x:v>0</x:v>
      </x:c>
      <x:c r="I2027" s="81" t="n">
        <x:v>0</x:v>
      </x:c>
      <x:c r="J2027" s="79" t="n">
        <x:v>0.001071705119222163</x:v>
      </x:c>
      <x:c r="K2027" s="81" t="n">
        <x:v>0.2248058505396151</x:v>
      </x:c>
      <x:c r="L2027" s="81" t="n">
        <x:v>-0.6797071970438767</x:v>
      </x:c>
      <x:c r="M2027" s="80" t="n">
        <x:v>17196.291637337148</x:v>
      </x:c>
      <x:c r="N2027" s="82" t="n">
        <x:v>0.2873882974490759</x:v>
      </x:c>
      <x:c r="O2027" s="82" t="n">
        <x:v>0.15820652793024312</x:v>
      </x:c>
      <x:c r="P2027" s="80" t="n">
        <x:v>26533.214946492386</x:v>
      </x:c>
      <x:c r="Q2027" s="81" t="n">
        <x:v>0.009075495716574025</x:v>
      </x:c>
      <x:c r="R2027" s="81" t="n">
        <x:v>26.847729665166472</x:v>
      </x:c>
      <x:c r="S2027" s="81" t="n">
        <x:v>13.368272461836755</x:v>
      </x:c>
      <x:c r="T2027" s="81" t="n">
        <x:v>23.215472649521676</x:v>
      </x:c>
    </x:row>
    <x:row r="2028">
      <x:c r="A2028" s="59" t="n">
        <x:v>2025</x:v>
      </x:c>
      <x:c r="B2028" s="193" t="n">
        <x:v>0.422619965299964</x:v>
      </x:c>
      <x:c r="C2028" s="83" t="n">
        <x:v>2.968348146951349</x:v>
      </x:c>
      <x:c r="D2028" s="83" t="n">
        <x:v>0.6256371489414616</x:v>
      </x:c>
      <x:c r="E2028" s="81" t="n">
        <x:v>-0.11409744007575129</x:v>
      </x:c>
      <x:c r="F2028" s="81" t="n">
        <x:v>0.33757048891857266</x:v>
      </x:c>
      <x:c r="G2028" s="81" t="n">
        <x:v>0.021223600446578412</x:v>
      </x:c>
      <x:c r="H2028" s="59" t="n">
        <x:v>0</x:v>
      </x:c>
      <x:c r="I2028" s="81" t="n">
        <x:v>0</x:v>
      </x:c>
      <x:c r="J2028" s="79" t="n">
        <x:v>1.3418199096540625e-37</x:v>
      </x:c>
      <x:c r="K2028" s="81" t="n">
        <x:v>-1</x:v>
      </x:c>
      <x:c r="L2028" s="81" t="n">
        <x:v>-1</x:v>
      </x:c>
      <x:c r="M2028" s="80" t="n">
        <x:v>0.000002</x:v>
      </x:c>
      <x:c r="N2028" s="82" t="n">
        <x:v>0.20276974985880078</x:v>
      </x:c>
      <x:c r="O2028" s="82" t="n">
        <x:v>0.06466042874729352</x:v>
      </x:c>
      <x:c r="P2028" s="80" t="n">
        <x:v>594.0552904087465</x:v>
      </x:c>
      <x:c r="Q2028" s="81" t="n">
        <x:v>147010327563148670000</x:v>
      </x:c>
      <x:c r="R2028" s="81" t="n">
        <x:v>1.0587044123358345</x:v>
      </x:c>
      <x:c r="S2028" s="81" t="n">
        <x:v>1.7831468964867808e-10</x:v>
      </x:c>
      <x:c r="T2028" s="81" t="n">
        <x:v>2.90667487300674e-33</x:v>
      </x:c>
    </x:row>
    <x:row r="2029">
      <x:c r="A2029" s="59" t="n">
        <x:v>2026</x:v>
      </x:c>
      <x:c r="B2029" s="193" t="n">
        <x:v>0.39291736856102943</x:v>
      </x:c>
      <x:c r="C2029" s="83" t="n">
        <x:v>0.7208406869414328</x:v>
      </x:c>
      <x:c r="D2029" s="83" t="n">
        <x:v>0.919678047182104</x:v>
      </x:c>
      <x:c r="E2029" s="81" t="n">
        <x:v>-0.004445549735242222</x:v>
      </x:c>
      <x:c r="F2029" s="81" t="n">
        <x:v>0.3347276722197421</x:v>
      </x:c>
      <x:c r="G2029" s="81" t="n">
        <x:v>0.009965333489055716</x:v>
      </x:c>
      <x:c r="H2029" s="59" t="n">
        <x:v>76</x:v>
      </x:c>
      <x:c r="I2029" s="81" t="n">
        <x:v>0.16488195238634945</x:v>
      </x:c>
      <x:c r="J2029" s="79" t="n">
        <x:v>7.492137594082272e-8</x:v>
      </x:c>
      <x:c r="K2029" s="81" t="n">
        <x:v>-0.9999143755703533</x:v>
      </x:c>
      <x:c r="L2029" s="81" t="n">
        <x:v>-0.9999143755703533</x:v>
      </x:c>
      <x:c r="M2029" s="80" t="n">
        <x:v>80.73912791909041</x:v>
      </x:c>
      <x:c r="N2029" s="82" t="n">
        <x:v>0.19569403439189778</x:v>
      </x:c>
      <x:c r="O2029" s="82" t="n">
        <x:v>0.06187855249712334</x:v>
      </x:c>
      <x:c r="P2029" s="80" t="n">
        <x:v>2728.3105173717786</x:v>
      </x:c>
      <x:c r="Q2029" s="81" t="n">
        <x:v>0.21529155228560934</x:v>
      </x:c>
      <x:c r="R2029" s="81" t="n">
        <x:v>17.32443807257305</x:v>
      </x:c>
      <x:c r="S2029" s="81" t="n">
        <x:v>0.02345734867198325</x:v>
      </x:c>
      <x:c r="T2029" s="81" t="n">
        <x:v>0.0016229605726630289</x:v>
      </x:c>
    </x:row>
    <x:row r="2030">
      <x:c r="A2030" s="59" t="n">
        <x:v>2027</x:v>
      </x:c>
      <x:c r="B2030" s="193" t="n">
        <x:v>0.838791554234922</x:v>
      </x:c>
      <x:c r="C2030" s="83" t="n">
        <x:v>1.2314764745861018</x:v>
      </x:c>
      <x:c r="D2030" s="83" t="n">
        <x:v>0.298779495496184</x:v>
      </x:c>
      <x:c r="E2030" s="81" t="n">
        <x:v>-0.06332639349396155</x:v>
      </x:c>
      <x:c r="F2030" s="81" t="n">
        <x:v>0.8779866510420107</x:v>
      </x:c>
      <x:c r="G2030" s="81" t="n">
        <x:v>-0.04634327476599257</x:v>
      </x:c>
      <x:c r="H2030" s="59" t="n">
        <x:v>15</x:v>
      </x:c>
      <x:c r="I2030" s="81" t="n">
        <x:v>0.30668701576069</x:v>
      </x:c>
      <x:c r="J2030" s="79" t="n">
        <x:v>1.1190957380791551e-13</x:v>
      </x:c>
      <x:c r="K2030" s="81" t="n">
        <x:v>-0.9999999998721033</x:v>
      </x:c>
      <x:c r="L2030" s="81" t="n">
        <x:v>-0.9999999998721033</x:v>
      </x:c>
      <x:c r="M2030" s="80" t="n">
        <x:v>0.13050018532869417</x:v>
      </x:c>
      <x:c r="N2030" s="82" t="n">
        <x:v>0.3019096255604005</x:v>
      </x:c>
      <x:c r="O2030" s="82" t="n">
        <x:v>0.2504008589485092</x:v>
      </x:c>
      <x:c r="P2030" s="80" t="n">
        <x:v>364.665884943264</x:v>
      </x:c>
      <x:c r="Q2030" s="81" t="n">
        <x:v>19.770637891512173</x:v>
      </x:c>
      <x:c r="R2030" s="81" t="n">
        <x:v>4.170333393923734</x:v>
      </x:c>
      <x:c r="S2030" s="81" t="n">
        <x:v>0.000004388561062944389</x:v>
      </x:c>
      <x:c r="T2030" s="81" t="n">
        <x:v>2.4242056918072084e-9</x:v>
      </x:c>
    </x:row>
    <x:row r="2031">
      <x:c r="A2031" s="59" t="n">
        <x:v>2028</x:v>
      </x:c>
      <x:c r="B2031" s="193" t="n">
        <x:v>0.7850138256326318</x:v>
      </x:c>
      <x:c r="C2031" s="83" t="n">
        <x:v>0.5637897836397311</x:v>
      </x:c>
      <x:c r="D2031" s="83" t="n">
        <x:v>1.1114037635651872</x:v>
      </x:c>
      <x:c r="E2031" s="81" t="n">
        <x:v>0.030436892251132393</x:v>
      </x:c>
      <x:c r="F2031" s="81" t="n">
        <x:v>0.30057255966821683</x:v>
      </x:c>
      <x:c r="G2031" s="81" t="n">
        <x:v>-0.0147441384579353</x:v>
      </x:c>
      <x:c r="H2031" s="59" t="n">
        <x:v>0</x:v>
      </x:c>
      <x:c r="I2031" s="81" t="n">
        <x:v>0</x:v>
      </x:c>
      <x:c r="J2031" s="79" t="n">
        <x:v>0.0013212015123304497</x:v>
      </x:c>
      <x:c r="K2031" s="81" t="n">
        <x:v>0.509944585520514</x:v>
      </x:c>
      <x:c r="L2031" s="81" t="n">
        <x:v>-0.6646995508383363</x:v>
      </x:c>
      <x:c r="M2031" s="80" t="n">
        <x:v>10903.676986642406</x:v>
      </x:c>
      <x:c r="N2031" s="82" t="n">
        <x:v>0.2890987622749234</x:v>
      </x:c>
      <x:c r="O2031" s="82" t="n">
        <x:v>0.08208551059199597</x:v>
      </x:c>
      <x:c r="P2031" s="80" t="n">
        <x:v>23754.061002949577</x:v>
      </x:c>
      <x:c r="Q2031" s="81" t="n">
        <x:v>0.005970347643894307</x:v>
      </x:c>
      <x:c r="R2031" s="81" t="n">
        <x:v>102.00137767476768</x:v>
      </x:c>
      <x:c r="S2031" s="81" t="n">
        <x:v>46.423892893974546</x:v>
      </x:c>
      <x:c r="T2031" s="81" t="n">
        <x:v>28.620109229557492</x:v>
      </x:c>
    </x:row>
    <x:row r="2032">
      <x:c r="A2032" s="59" t="n">
        <x:v>2029</x:v>
      </x:c>
      <x:c r="B2032" s="193" t="n">
        <x:v>0.9233045807108284</x:v>
      </x:c>
      <x:c r="C2032" s="83" t="n">
        <x:v>0.2885492464896783</x:v>
      </x:c>
      <x:c r="D2032" s="83" t="n">
        <x:v>0.8334691389664275</x:v>
      </x:c>
      <x:c r="E2032" s="81" t="n">
        <x:v>-0.11224865908755051</x:v>
      </x:c>
      <x:c r="F2032" s="81" t="n">
        <x:v>0.47187110414961353</x:v>
      </x:c>
      <x:c r="G2032" s="81" t="n">
        <x:v>0.021222092037421696</x:v>
      </x:c>
      <x:c r="H2032" s="59" t="n">
        <x:v>0</x:v>
      </x:c>
      <x:c r="I2032" s="81" t="n">
        <x:v>0</x:v>
      </x:c>
      <x:c r="J2032" s="79" t="n">
        <x:v>6.922971057429579e-44</x:v>
      </x:c>
      <x:c r="K2032" s="81" t="n">
        <x:v>-1</x:v>
      </x:c>
      <x:c r="L2032" s="81" t="n">
        <x:v>-1</x:v>
      </x:c>
      <x:c r="M2032" s="80" t="n">
        <x:v>0.000002</x:v>
      </x:c>
      <x:c r="N2032" s="82" t="n">
        <x:v>0.32204221308620745</x:v>
      </x:c>
      <x:c r="O2032" s="82" t="n">
        <x:v>0.14355129929710964</x:v>
      </x:c>
      <x:c r="P2032" s="80" t="n">
        <x:v>194.3212568645722</x:v>
      </x:c>
      <x:c r="Q2032" s="81" t="n">
        <x:v>2.8914987857639132e+26</x:v>
      </x:c>
      <x:c r="R2032" s="81" t="n">
        <x:v>5.292293795911202</x:v>
      </x:c>
      <x:c r="S2032" s="81" t="n">
        <x:v>7.315686018869896e-10</x:v>
      </x:c>
      <x:c r="T2032" s="81" t="n">
        <x:v>1.4996666746710717e-39</x:v>
      </x:c>
    </x:row>
    <x:row r="2033">
      <x:c r="A2033" s="59" t="n">
        <x:v>2030</x:v>
      </x:c>
      <x:c r="B2033" s="193" t="n">
        <x:v>0.7665046337991954</x:v>
      </x:c>
      <x:c r="C2033" s="83" t="n">
        <x:v>0.19420875908883523</x:v>
      </x:c>
      <x:c r="D2033" s="83" t="n">
        <x:v>0.4310461723005322</x:v>
      </x:c>
      <x:c r="E2033" s="81" t="n">
        <x:v>0.01238547032731517</x:v>
      </x:c>
      <x:c r="F2033" s="81" t="n">
        <x:v>0.6014149963273667</x:v>
      </x:c>
      <x:c r="G2033" s="81" t="n">
        <x:v>-0.0022234490803137493</x:v>
      </x:c>
      <x:c r="H2033" s="59" t="n">
        <x:v>0</x:v>
      </x:c>
      <x:c r="I2033" s="81" t="n">
        <x:v>0</x:v>
      </x:c>
      <x:c r="J2033" s="79" t="n">
        <x:v>0.0000059320537964909615</x:v>
      </x:c>
      <x:c r="K2033" s="81" t="n">
        <x:v>-0.9932205099468675</x:v>
      </x:c>
      <x:c r="L2033" s="81" t="n">
        <x:v>-0.9932738588910796</x:v>
      </x:c>
      <x:c r="M2033" s="80" t="n">
        <x:v>506.66390199201584</x:v>
      </x:c>
      <x:c r="N2033" s="82" t="n">
        <x:v>0.284689525732852</x:v>
      </x:c>
      <x:c r="O2033" s="82" t="n">
        <x:v>0.16173971884590008</x:v>
      </x:c>
      <x:c r="P2033" s="80" t="n">
        <x:v>951.3705820478958</x:v>
      </x:c>
      <x:c r="Q2033" s="81" t="n">
        <x:v>0.02059464409545286</x:v>
      </x:c>
      <x:c r="R2033" s="81" t="n">
        <x:v>48.534958937453666</x:v>
      </x:c>
      <x:c r="S2033" s="81" t="n">
        <x:v>0.6460229392951135</x:v>
      </x:c>
      <x:c r="T2033" s="81" t="n">
        <x:v>0.12850123620560866</x:v>
      </x:c>
    </x:row>
    <x:row r="2034">
      <x:c r="A2034" s="59" t="n">
        <x:v>2031</x:v>
      </x:c>
      <x:c r="B2034" s="193" t="n">
        <x:v>0.40533923972398045</x:v>
      </x:c>
      <x:c r="C2034" s="83" t="n">
        <x:v>0.23542664624764073</x:v>
      </x:c>
      <x:c r="D2034" s="83" t="n">
        <x:v>0.858966352386233</x:v>
      </x:c>
      <x:c r="E2034" s="81" t="n">
        <x:v>-0.015582887015449735</x:v>
      </x:c>
      <x:c r="F2034" s="81" t="n">
        <x:v>0.7190416326862761</x:v>
      </x:c>
      <x:c r="G2034" s="81" t="n">
        <x:v>-0.0114947269765693</x:v>
      </x:c>
      <x:c r="H2034" s="59" t="n">
        <x:v>0</x:v>
      </x:c>
      <x:c r="I2034" s="81" t="n">
        <x:v>0</x:v>
      </x:c>
      <x:c r="J2034" s="79" t="n">
        <x:v>1.0330641729788654e-12</x:v>
      </x:c>
      <x:c r="K2034" s="81" t="n">
        <x:v>-0.9999999988193552</x:v>
      </x:c>
      <x:c r="L2034" s="81" t="n">
        <x:v>-0.9999999988193552</x:v>
      </x:c>
      <x:c r="M2034" s="80" t="n">
        <x:v>0.21881562479508407</x:v>
      </x:c>
      <x:c r="N2034" s="82" t="n">
        <x:v>0.19865315701299693</x:v>
      </x:c>
      <x:c r="O2034" s="82" t="n">
        <x:v>0.13493370644629232</x:v>
      </x:c>
      <x:c r="P2034" s="80" t="n">
        <x:v>720.8944125216732</x:v>
      </x:c>
      <x:c r="Q2034" s="81" t="n">
        <x:v>13.926252821909383</x:v>
      </x:c>
      <x:c r="R2034" s="81" t="n">
        <x:v>25.542560165435145</x:v>
      </x:c>
      <x:c r="S2034" s="81" t="n">
        <x:v>0.000059307340758447446</x:v>
      </x:c>
      <x:c r="T2034" s="81" t="n">
        <x:v>2.237842539223695e-8</x:v>
      </x:c>
    </x:row>
    <x:row r="2035">
      <x:c r="A2035" s="59" t="n">
        <x:v>2032</x:v>
      </x:c>
      <x:c r="B2035" s="193" t="n">
        <x:v>0.2563723178580404</x:v>
      </x:c>
      <x:c r="C2035" s="83" t="n">
        <x:v>2.6195743569110226</x:v>
      </x:c>
      <x:c r="D2035" s="83" t="n">
        <x:v>0.7119860390786952</x:v>
      </x:c>
      <x:c r="E2035" s="81" t="n">
        <x:v>0.08423419585637733</x:v>
      </x:c>
      <x:c r="F2035" s="81" t="n">
        <x:v>0.4982881535543129</x:v>
      </x:c>
      <x:c r="G2035" s="81" t="n">
        <x:v>-0.00635699555891706</x:v>
      </x:c>
      <x:c r="H2035" s="59" t="n">
        <x:v>0</x:v>
      </x:c>
      <x:c r="I2035" s="81" t="n">
        <x:v>0</x:v>
      </x:c>
      <x:c r="J2035" s="79" t="n">
        <x:v>0.033995947849183195</x:v>
      </x:c>
      <x:c r="K2035" s="81" t="n">
        <x:v>37.85251182763794</x:v>
      </x:c>
      <x:c r="L2035" s="81" t="n">
        <x:v>-0.521424880314902</x:v>
      </x:c>
      <x:c r="M2035" s="80" t="n">
        <x:v>140660.93843789742</x:v>
      </x:c>
      <x:c r="N2035" s="82" t="n">
        <x:v>0.16316644309474507</x:v>
      </x:c>
      <x:c r="O2035" s="82" t="n">
        <x:v>0.07680373676241525</x:v>
      </x:c>
      <x:c r="P2035" s="80" t="n">
        <x:v>175621.43822684904</x:v>
      </x:c>
      <x:c r="Q2035" s="81" t="n">
        <x:v>0.002396579711866115</x:v>
      </x:c>
      <x:c r="R2035" s="81" t="n">
        <x:v>163.2989702360498</x:v>
      </x:c>
      <x:c r="S2035" s="81" t="n">
        <x:v>253.00245312552144</x:v>
      </x:c>
      <x:c r="T2035" s="81" t="n">
        <x:v>736.4264510186325</x:v>
      </x:c>
    </x:row>
    <x:row r="2036">
      <x:c r="A2036" s="59" t="n">
        <x:v>2033</x:v>
      </x:c>
      <x:c r="B2036" s="193" t="n">
        <x:v>0.6560136461630464</x:v>
      </x:c>
      <x:c r="C2036" s="83" t="n">
        <x:v>0.5755693620088034</x:v>
      </x:c>
      <x:c r="D2036" s="83" t="n">
        <x:v>1.3663848199977957</x:v>
      </x:c>
      <x:c r="E2036" s="81" t="n">
        <x:v>0.05163769082204134</x:v>
      </x:c>
      <x:c r="F2036" s="81" t="n">
        <x:v>0.3878752995165996</x:v>
      </x:c>
      <x:c r="G2036" s="81" t="n">
        <x:v>-0.05</x:v>
      </x:c>
      <x:c r="H2036" s="59" t="n">
        <x:v>0</x:v>
      </x:c>
      <x:c r="I2036" s="81" t="n">
        <x:v>0</x:v>
      </x:c>
      <x:c r="J2036" s="79" t="n">
        <x:v>0.0021036134196681378</x:v>
      </x:c>
      <x:c r="K2036" s="81" t="n">
        <x:v>1.404129622477872</x:v>
      </x:c>
      <x:c r="L2036" s="81" t="n">
        <x:v>-0.8139741880708554</x:v>
      </x:c>
      <x:c r="M2036" s="80" t="n">
        <x:v>14998.992332602873</x:v>
      </x:c>
      <x:c r="N2036" s="82" t="n">
        <x:v>0.2583685007719033</x:v>
      </x:c>
      <x:c r="O2036" s="82" t="n">
        <x:v>0.09466787549828028</x:v>
      </x:c>
      <x:c r="P2036" s="80" t="n">
        <x:v>38207.954735794454</x:v>
      </x:c>
      <x:c r="Q2036" s="81" t="n">
        <x:v>0.004303409509407684</x:v>
      </x:c>
      <x:c r="R2036" s="81" t="n">
        <x:v>303.2375374999093</x:v>
      </x:c>
      <x:c r="S2036" s="81" t="n">
        <x:v>71.06244971227167</x:v>
      </x:c>
      <x:c r="T2036" s="81" t="n">
        <x:v>45.568859319173136</x:v>
      </x:c>
    </x:row>
    <x:row r="2037">
      <x:c r="A2037" s="59" t="n">
        <x:v>2034</x:v>
      </x:c>
      <x:c r="B2037" s="193" t="n">
        <x:v>0.5702454343438148</x:v>
      </x:c>
      <x:c r="C2037" s="83" t="n">
        <x:v>0.23309252115185156</x:v>
      </x:c>
      <x:c r="D2037" s="83" t="n">
        <x:v>0.9013087827072963</x:v>
      </x:c>
      <x:c r="E2037" s="81" t="n">
        <x:v>0.05964030357433445</x:v>
      </x:c>
      <x:c r="F2037" s="81" t="n">
        <x:v>0.3821314792498015</x:v>
      </x:c>
      <x:c r="G2037" s="81" t="n">
        <x:v>0.008232702188489103</x:v>
      </x:c>
      <x:c r="H2037" s="59" t="n">
        <x:v>0</x:v>
      </x:c>
      <x:c r="I2037" s="81" t="n">
        <x:v>0</x:v>
      </x:c>
      <x:c r="J2037" s="79" t="n">
        <x:v>0.003531942105063488</x:v>
      </x:c>
      <x:c r="K2037" s="81" t="n">
        <x:v>3.036505262929701</x:v>
      </x:c>
      <x:c r="L2037" s="81" t="n">
        <x:v>-0.6974776304752588</x:v>
      </x:c>
      <x:c r="M2037" s="80" t="n">
        <x:v>15431.122941690395</x:v>
      </x:c>
      <x:c r="N2037" s="82" t="n">
        <x:v>0.23793690456259045</x:v>
      </x:c>
      <x:c r="O2037" s="82" t="n">
        <x:v>0.08589058578248326</x:v>
      </x:c>
      <x:c r="P2037" s="80" t="n">
        <x:v>25618.888370975634</x:v>
      </x:c>
      <x:c r="Q2037" s="81" t="n">
        <x:v>0.003441783828942528</x:v>
      </x:c>
      <x:c r="R2037" s="81" t="n">
        <x:v>386.8716636383349</x:v>
      </x:c>
      <x:c r="S2037" s="81" t="n">
        <x:v>287.08007281874916</x:v>
      </x:c>
      <x:c r="T2037" s="81" t="n">
        <x:v>76.50957699941512</x:v>
      </x:c>
    </x:row>
    <x:row r="2038">
      <x:c r="A2038" s="59" t="n">
        <x:v>2035</x:v>
      </x:c>
      <x:c r="B2038" s="193" t="n">
        <x:v>0.7377423889935018</x:v>
      </x:c>
      <x:c r="C2038" s="83" t="n">
        <x:v>0.11996049603319668</x:v>
      </x:c>
      <x:c r="D2038" s="83" t="n">
        <x:v>1.348847732762662</x:v>
      </x:c>
      <x:c r="E2038" s="81" t="n">
        <x:v>-0.00787404342351449</x:v>
      </x:c>
      <x:c r="F2038" s="81" t="n">
        <x:v>0.396934844518546</x:v>
      </x:c>
      <x:c r="G2038" s="81" t="n">
        <x:v>0.015663044471056244</x:v>
      </x:c>
      <x:c r="H2038" s="59" t="n">
        <x:v>0</x:v>
      </x:c>
      <x:c r="I2038" s="81" t="n">
        <x:v>0</x:v>
      </x:c>
      <x:c r="J2038" s="79" t="n">
        <x:v>2.762895042858119e-12</x:v>
      </x:c>
      <x:c r="K2038" s="81" t="n">
        <x:v>-0.9999999968424057</x:v>
      </x:c>
      <x:c r="L2038" s="81" t="n">
        <x:v>-0.9999999968424057</x:v>
      </x:c>
      <x:c r="M2038" s="80" t="n">
        <x:v>0.3239386931505848</x:v>
      </x:c>
      <x:c r="N2038" s="82" t="n">
        <x:v>0.2778378197280459</x:v>
      </x:c>
      <x:c r="O2038" s="82" t="n">
        <x:v>0.10417932250261652</x:v>
      </x:c>
      <x:c r="P2038" s="80" t="n">
        <x:v>1217.1665491454091</x:v>
      </x:c>
      <x:c r="Q2038" s="81" t="n">
        <x:v>15.131800998589569</x:v>
      </x:c>
      <x:c r="R2038" s="81" t="n">
        <x:v>57.12425838594454</x:v>
      </x:c>
      <x:c r="S2038" s="81" t="n">
        <x:v>0.0002121256199959921</x:v>
      </x:c>
      <x:c r="T2038" s="81" t="n">
        <x:v>5.98503386337517e-8</x:v>
      </x:c>
    </x:row>
    <x:row r="2039">
      <x:c r="A2039" s="59" t="n">
        <x:v>2036</x:v>
      </x:c>
      <x:c r="B2039" s="193" t="n">
        <x:v>0.5038265325129032</x:v>
      </x:c>
      <x:c r="C2039" s="83" t="n">
        <x:v>0.7978796722703974</x:v>
      </x:c>
      <x:c r="D2039" s="83" t="n">
        <x:v>2.0500860289097056</x:v>
      </x:c>
      <x:c r="E2039" s="81" t="n">
        <x:v>-0.07489468579657836</x:v>
      </x:c>
      <x:c r="F2039" s="81" t="n">
        <x:v>0.4756276393891312</x:v>
      </x:c>
      <x:c r="G2039" s="81" t="n">
        <x:v>0.026007115700441952</x:v>
      </x:c>
      <x:c r="H2039" s="59" t="n">
        <x:v>0</x:v>
      </x:c>
      <x:c r="I2039" s="81" t="n">
        <x:v>0</x:v>
      </x:c>
      <x:c r="J2039" s="79" t="n">
        <x:v>4.665317822317871e-62</x:v>
      </x:c>
      <x:c r="K2039" s="81" t="n">
        <x:v>-1</x:v>
      </x:c>
      <x:c r="L2039" s="81" t="n">
        <x:v>-1</x:v>
      </x:c>
      <x:c r="M2039" s="80" t="n">
        <x:v>0.000002</x:v>
      </x:c>
      <x:c r="N2039" s="82" t="n">
        <x:v>0.22211467679205815</x:v>
      </x:c>
      <x:c r="O2039" s="82" t="n">
        <x:v>0.09979649364535224</x:v>
      </x:c>
      <x:c r="P2039" s="80" t="n">
        <x:v>466.2934719860896</x:v>
      </x:c>
      <x:c r="Q2039" s="81" t="n">
        <x:v>6.2148189103424566e+44</x:v>
      </x:c>
      <x:c r="R2039" s="81" t="n">
        <x:v>1.7430590078626276</x:v>
      </x:c>
      <x:c r="S2039" s="81" t="n">
        <x:v>1.365143918364901e-9</x:v>
      </x:c>
      <x:c r="T2039" s="81" t="n">
        <x:v>1.0106096944274704e-57</x:v>
      </x:c>
    </x:row>
    <x:row r="2040">
      <x:c r="A2040" s="59" t="n">
        <x:v>2037</x:v>
      </x:c>
      <x:c r="B2040" s="193" t="n">
        <x:v>0.5824962459504605</x:v>
      </x:c>
      <x:c r="C2040" s="83" t="n">
        <x:v>1.1212404291532516</x:v>
      </x:c>
      <x:c r="D2040" s="83" t="n">
        <x:v>0.30293803813149695</x:v>
      </x:c>
      <x:c r="E2040" s="81" t="n">
        <x:v>0.052778101746514476</x:v>
      </x:c>
      <x:c r="F2040" s="81" t="n">
        <x:v>0.6237268089433201</x:v>
      </x:c>
      <x:c r="G2040" s="81" t="n">
        <x:v>-0.01927279895586319</x:v>
      </x:c>
      <x:c r="H2040" s="59" t="n">
        <x:v>74</x:v>
      </x:c>
      <x:c r="I2040" s="81" t="n">
        <x:v>0.12909780871123078</x:v>
      </x:c>
      <x:c r="J2040" s="79" t="n">
        <x:v>0.0001533743816102607</x:v>
      </x:c>
      <x:c r="K2040" s="81" t="n">
        <x:v>-0.8247149924454164</x:v>
      </x:c>
      <x:c r="L2040" s="81" t="n">
        <x:v>-0.8556961970306741</x:v>
      </x:c>
      <x:c r="M2040" s="80" t="n">
        <x:v>4728.723144304414</x:v>
      </x:c>
      <x:c r="N2040" s="82" t="n">
        <x:v>0.2408552775900113</x:v>
      </x:c>
      <x:c r="O2040" s="82" t="n">
        <x:v>0.14191278402021187</x:v>
      </x:c>
      <x:c r="P2040" s="80" t="n">
        <x:v>3523.0571654066616</x:v>
      </x:c>
      <x:c r="Q2040" s="81" t="n">
        <x:v>0.005558069301445844</x:v>
      </x:c>
      <x:c r="R2040" s="81" t="n">
        <x:v>19.854100030633425</x:v>
      </x:c>
      <x:c r="S2040" s="81" t="n">
        <x:v>2.785235335096186</x:v>
      </x:c>
      <x:c r="T2040" s="81" t="n">
        <x:v>3.3224239555696182</x:v>
      </x:c>
    </x:row>
    <x:row r="2041">
      <x:c r="A2041" s="59" t="n">
        <x:v>2038</x:v>
      </x:c>
      <x:c r="B2041" s="193" t="n">
        <x:v>0.9100961580872535</x:v>
      </x:c>
      <x:c r="C2041" s="83" t="n">
        <x:v>0.8295343834986995</x:v>
      </x:c>
      <x:c r="D2041" s="83" t="n">
        <x:v>1.0529604654365647</x:v>
      </x:c>
      <x:c r="E2041" s="81" t="n">
        <x:v>0.015824777738993982</x:v>
      </x:c>
      <x:c r="F2041" s="81" t="n">
        <x:v>0.8436917713843286</x:v>
      </x:c>
      <x:c r="G2041" s="81" t="n">
        <x:v>0.00751003969693031</x:v>
      </x:c>
      <x:c r="H2041" s="59" t="n">
        <x:v>17</x:v>
      </x:c>
      <x:c r="I2041" s="81" t="n">
        <x:v>0.388741215504706</x:v>
      </x:c>
      <x:c r="J2041" s="79" t="n">
        <x:v>0.00007114492460989411</x:v>
      </x:c>
      <x:c r="K2041" s="81" t="n">
        <x:v>-0.9186915147315495</x:v>
      </x:c>
      <x:c r="L2041" s="81" t="n">
        <x:v>-0.944709426441644</x:v>
      </x:c>
      <x:c r="M2041" s="80" t="n">
        <x:v>2817.254788724445</x:v>
      </x:c>
      <x:c r="N2041" s="82" t="n">
        <x:v>0.3188957191593479</x:v>
      </x:c>
      <x:c r="O2041" s="82" t="n">
        <x:v>0.2541578011844972</x:v>
      </x:c>
      <x:c r="P2041" s="80" t="n">
        <x:v>7116.982350839977</x:v>
      </x:c>
      <x:c r="Q2041" s="81" t="n">
        <x:v>0.03259522270533148</x:v>
      </x:c>
      <x:c r="R2041" s="81" t="n">
        <x:v>15.54060718376098</x:v>
      </x:c>
      <x:c r="S2041" s="81" t="n">
        <x:v>2.3809181268808173</x:v>
      </x:c>
      <x:c r="T2041" s="81" t="n">
        <x:v>1.5411543920141442</x:v>
      </x:c>
    </x:row>
    <x:row r="2042">
      <x:c r="A2042" s="59" t="n">
        <x:v>2039</x:v>
      </x:c>
      <x:c r="B2042" s="193" t="n">
        <x:v>0.8005417635664345</x:v>
      </x:c>
      <x:c r="C2042" s="83" t="n">
        <x:v>2.901243107752684</x:v>
      </x:c>
      <x:c r="D2042" s="83" t="n">
        <x:v>1.4959706785229412</x:v>
      </x:c>
      <x:c r="E2042" s="81" t="n">
        <x:v>0.004243713185223024</x:v>
      </x:c>
      <x:c r="F2042" s="81" t="n">
        <x:v>0.5411794226733037</x:v>
      </x:c>
      <x:c r="G2042" s="81" t="n">
        <x:v>-0.01573550167799767</x:v>
      </x:c>
      <x:c r="H2042" s="59" t="n">
        <x:v>0</x:v>
      </x:c>
      <x:c r="I2042" s="81" t="n">
        <x:v>0</x:v>
      </x:c>
      <x:c r="J2042" s="79" t="n">
        <x:v>0.00007913469416868929</x:v>
      </x:c>
      <x:c r="K2042" s="81" t="n">
        <x:v>-0.9095603495214979</x:v>
      </x:c>
      <x:c r="L2042" s="81" t="n">
        <x:v>-0.9115218350597585</x:v>
      </x:c>
      <x:c r="M2042" s="80" t="n">
        <x:v>6035.434368460935</x:v>
      </x:c>
      <x:c r="N2042" s="82" t="n">
        <x:v>0.29279780823959156</x:v>
      </x:c>
      <x:c r="O2042" s="82" t="n">
        <x:v>0.14968560544595483</x:v>
      </x:c>
      <x:c r="P2042" s="80" t="n">
        <x:v>26135.124543327853</x:v>
      </x:c>
      <x:c r="Q2042" s="81" t="n">
        <x:v>0.059485379209172566</x:v>
      </x:c>
      <x:c r="R2042" s="81" t="n">
        <x:v>9.440644821863058</x:v>
      </x:c>
      <x:c r="S2042" s="81" t="n">
        <x:v>1.3458366120228444</x:v>
      </x:c>
      <x:c r="T2042" s="81" t="n">
        <x:v>1.7142302440757777</x:v>
      </x:c>
    </x:row>
    <x:row r="2043">
      <x:c r="A2043" s="59" t="n">
        <x:v>2040</x:v>
      </x:c>
      <x:c r="B2043" s="193" t="n">
        <x:v>0.2765356853604317</x:v>
      </x:c>
      <x:c r="C2043" s="83" t="n">
        <x:v>2.053345658335653</x:v>
      </x:c>
      <x:c r="D2043" s="83" t="n">
        <x:v>1.1203109092232255</x:v>
      </x:c>
      <x:c r="E2043" s="81" t="n">
        <x:v>-0.09600891302244263</x:v>
      </x:c>
      <x:c r="F2043" s="81" t="n">
        <x:v>0.6536416171584278</x:v>
      </x:c>
      <x:c r="G2043" s="81" t="n">
        <x:v>-0.02216973970233717</x:v>
      </x:c>
      <x:c r="H2043" s="59" t="n">
        <x:v>0</x:v>
      </x:c>
      <x:c r="I2043" s="81" t="n">
        <x:v>0</x:v>
      </x:c>
      <x:c r="J2043" s="79" t="n">
        <x:v>6.549855370942633e-41</x:v>
      </x:c>
      <x:c r="K2043" s="81" t="n">
        <x:v>-1</x:v>
      </x:c>
      <x:c r="L2043" s="81" t="n">
        <x:v>-1</x:v>
      </x:c>
      <x:c r="M2043" s="80" t="n">
        <x:v>0.000002</x:v>
      </x:c>
      <x:c r="N2043" s="82" t="n">
        <x:v>0.16796973529695527</x:v>
      </x:c>
      <x:c r="O2043" s="82" t="n">
        <x:v>0.10371502478256689</x:v>
      </x:c>
      <x:c r="P2043" s="80" t="n">
        <x:v>574.3798157978252</x:v>
      </x:c>
      <x:c r="Q2043" s="81" t="n">
        <x:v>3.5209967475201256e+23</x:v>
      </x:c>
      <x:c r="R2043" s="81" t="n">
        <x:v>1.1052717947462614</x:v>
      </x:c>
      <x:c r="S2043" s="81" t="n">
        <x:v>2.446840274893332e-10</x:v>
      </x:c>
      <x:c r="T2043" s="81" t="n">
        <x:v>1.4188416710447753e-36</x:v>
      </x:c>
    </x:row>
    <x:row r="2044">
      <x:c r="A2044" s="59" t="n">
        <x:v>2041</x:v>
      </x:c>
      <x:c r="B2044" s="193" t="n">
        <x:v>0.4043775372207165</x:v>
      </x:c>
      <x:c r="C2044" s="83" t="n">
        <x:v>0.848424388027041</x:v>
      </x:c>
      <x:c r="D2044" s="83" t="n">
        <x:v>0.6261503551797262</x:v>
      </x:c>
      <x:c r="E2044" s="81" t="n">
        <x:v>0.19798482371735604</x:v>
      </x:c>
      <x:c r="F2044" s="81" t="n">
        <x:v>0.7850492857047356</x:v>
      </x:c>
      <x:c r="G2044" s="81" t="n">
        <x:v>0.0036196372405820167</x:v>
      </x:c>
      <x:c r="H2044" s="59" t="n">
        <x:v>0</x:v>
      </x:c>
      <x:c r="I2044" s="81" t="n">
        <x:v>0</x:v>
      </x:c>
      <x:c r="J2044" s="79" t="n">
        <x:v>0.015875326869385024</x:v>
      </x:c>
      <x:c r="K2044" s="81" t="n">
        <x:v>17.1432307078686</x:v>
      </x:c>
      <x:c r="L2044" s="81" t="n">
        <x:v>-0.7767581462686182</x:v>
      </x:c>
      <x:c r="M2044" s="80" t="n">
        <x:v>60995.653567088186</x:v>
      </x:c>
      <x:c r="N2044" s="82" t="n">
        <x:v>0.19842406144479752</x:v>
      </x:c>
      <x:c r="O2044" s="82" t="n">
        <x:v>0.14715065493113044</x:v>
      </x:c>
      <x:c r="P2044" s="80" t="n">
        <x:v>63055.67513347905</x:v>
      </x:c>
      <x:c r="Q2044" s="81" t="n">
        <x:v>0.00213624192888748</x:v>
      </x:c>
      <x:c r="R2044" s="81" t="n">
        <x:v>426.0698495056283</x:v>
      </x:c>
      <x:c r="S2044" s="81" t="n">
        <x:v>358.3276676609445</x:v>
      </x:c>
      <x:c r="T2044" s="81" t="n">
        <x:v>343.89423930896055</x:v>
      </x:c>
    </x:row>
    <x:row r="2045">
      <x:c r="A2045" s="59" t="n">
        <x:v>2042</x:v>
      </x:c>
      <x:c r="B2045" s="193" t="n">
        <x:v>0.876729435287416</x:v>
      </x:c>
      <x:c r="C2045" s="83" t="n">
        <x:v>0.23706210197359198</x:v>
      </x:c>
      <x:c r="D2045" s="83" t="n">
        <x:v>1.621582872379295</x:v>
      </x:c>
      <x:c r="E2045" s="81" t="n">
        <x:v>-0.06748063666824637</x:v>
      </x:c>
      <x:c r="F2045" s="81" t="n">
        <x:v>0.49374237292213363</x:v>
      </x:c>
      <x:c r="G2045" s="81" t="n">
        <x:v>0.03006376321367789</x:v>
      </x:c>
      <x:c r="H2045" s="59" t="n">
        <x:v>0</x:v>
      </x:c>
      <x:c r="I2045" s="81" t="n">
        <x:v>0</x:v>
      </x:c>
      <x:c r="J2045" s="79" t="n">
        <x:v>2.927898861657179e-50</x:v>
      </x:c>
      <x:c r="K2045" s="81" t="n">
        <x:v>-1</x:v>
      </x:c>
      <x:c r="L2045" s="81" t="n">
        <x:v>-1</x:v>
      </x:c>
      <x:c r="M2045" s="80" t="n">
        <x:v>0.000002</x:v>
      </x:c>
      <x:c r="N2045" s="82" t="n">
        <x:v>0.3109471401623741</x:v>
      </x:c>
      <x:c r="O2045" s="82" t="n">
        <x:v>0.14503002059996709</x:v>
      </x:c>
      <x:c r="P2045" s="80" t="n">
        <x:v>320.00071956698906</x:v>
      </x:c>
      <x:c r="Q2045" s="81" t="n">
        <x:v>1.0914895065087733e+33</x:v>
      </x:c>
      <x:c r="R2045" s="81" t="n">
        <x:v>5.730198290802419</x:v>
      </x:c>
      <x:c r="S2045" s="81" t="n">
        <x:v>1.646512691088914e-9</x:v>
      </x:c>
      <x:c r="T2045" s="81" t="n">
        <x:v>6.342468158844101e-46</x:v>
      </x:c>
    </x:row>
    <x:row r="2046">
      <x:c r="A2046" s="59" t="n">
        <x:v>2043</x:v>
      </x:c>
      <x:c r="B2046" s="193" t="n">
        <x:v>0.3368152407929301</x:v>
      </x:c>
      <x:c r="C2046" s="83" t="n">
        <x:v>0.3246799755376756</x:v>
      </x:c>
      <x:c r="D2046" s="83" t="n">
        <x:v>0.8025623651638523</x:v>
      </x:c>
      <x:c r="E2046" s="81" t="n">
        <x:v>-0.06586451632310274</x:v>
      </x:c>
      <x:c r="F2046" s="81" t="n">
        <x:v>0.3826921154046431</x:v>
      </x:c>
      <x:c r="G2046" s="81" t="n">
        <x:v>0.030319100122437343</x:v>
      </x:c>
      <x:c r="H2046" s="59" t="n">
        <x:v>0</x:v>
      </x:c>
      <x:c r="I2046" s="81" t="n">
        <x:v>0</x:v>
      </x:c>
      <x:c r="J2046" s="79" t="n">
        <x:v>2.5389425693605387e-32</x:v>
      </x:c>
      <x:c r="K2046" s="81" t="n">
        <x:v>-1</x:v>
      </x:c>
      <x:c r="L2046" s="81" t="n">
        <x:v>-1</x:v>
      </x:c>
      <x:c r="M2046" s="80" t="n">
        <x:v>0.000002</x:v>
      </x:c>
      <x:c r="N2046" s="82" t="n">
        <x:v>0.1823294556426407</x:v>
      </x:c>
      <x:c r="O2046" s="82" t="n">
        <x:v>0.0659139429493029</x:v>
      </x:c>
      <x:c r="P2046" s="80" t="n">
        <x:v>317.6557139293334</x:v>
      </x:c>
      <x:c r="Q2046" s="81" t="n">
        <x:v>1287633957001373</x:v>
      </x:c>
      <x:c r="R2046" s="81" t="n">
        <x:v>8.74404302065739</x:v>
      </x:c>
      <x:c r="S2046" s="81" t="n">
        <x:v>7.632993528751697e-10</x:v>
      </x:c>
      <x:c r="T2046" s="81" t="n">
        <x:v>5.499903912045897e-28</x:v>
      </x:c>
    </x:row>
    <x:row r="2047">
      <x:c r="A2047" s="59" t="n">
        <x:v>2044</x:v>
      </x:c>
      <x:c r="B2047" s="193" t="n">
        <x:v>0.21564607601612806</x:v>
      </x:c>
      <x:c r="C2047" s="83" t="n">
        <x:v>0.24766564818234688</x:v>
      </x:c>
      <x:c r="D2047" s="83" t="n">
        <x:v>0.46141726766857777</x:v>
      </x:c>
      <x:c r="E2047" s="81" t="n">
        <x:v>0.06449700155396207</x:v>
      </x:c>
      <x:c r="F2047" s="81" t="n">
        <x:v>0.4990642010467127</x:v>
      </x:c>
      <x:c r="G2047" s="81" t="n">
        <x:v>-0.006154373463891228</x:v>
      </x:c>
      <x:c r="H2047" s="59" t="n">
        <x:v>0</x:v>
      </x:c>
      <x:c r="I2047" s="81" t="n">
        <x:v>0</x:v>
      </x:c>
      <x:c r="J2047" s="79" t="n">
        <x:v>0.0010098401589590418</x:v>
      </x:c>
      <x:c r="K2047" s="81" t="n">
        <x:v>0.15410303881033371</x:v>
      </x:c>
      <x:c r="L2047" s="81" t="n">
        <x:v>-0.6859149100920372</x:v>
      </x:c>
      <x:c r="M2047" s="80" t="n">
        <x:v>7541.76301556987</x:v>
      </x:c>
      <x:c r="N2047" s="82" t="n">
        <x:v>0.15346468867096702</x:v>
      </x:c>
      <x:c r="O2047" s="82" t="n">
        <x:v>0.072349548066759</x:v>
      </x:c>
      <x:c r="P2047" s="80" t="n">
        <x:v>7200.445213991649</x:v>
      </x:c>
      <x:c r="Q2047" s="81" t="n">
        <x:v>0.002530510617340411</x:v>
      </x:c>
      <x:c r="R2047" s="81" t="n">
        <x:v>174.9763799549004</x:v>
      </x:c>
      <x:c r="S2047" s="81" t="n">
        <x:v>76.90861530295047</x:v>
      </x:c>
      <x:c r="T2047" s="81" t="n">
        <x:v>21.87534254545477</x:v>
      </x:c>
    </x:row>
    <x:row r="2048">
      <x:c r="A2048" s="59" t="n">
        <x:v>2045</x:v>
      </x:c>
      <x:c r="B2048" s="193" t="n">
        <x:v>0.5595536161214114</x:v>
      </x:c>
      <x:c r="C2048" s="83" t="n">
        <x:v>0.187246521260972</x:v>
      </x:c>
      <x:c r="D2048" s="83" t="n">
        <x:v>0.6233293152444078</x:v>
      </x:c>
      <x:c r="E2048" s="81" t="n">
        <x:v>0.06860296418147431</x:v>
      </x:c>
      <x:c r="F2048" s="81" t="n">
        <x:v>0.8179575129062869</x:v>
      </x:c>
      <x:c r="G2048" s="81" t="n">
        <x:v>-0.04040214665990977</x:v>
      </x:c>
      <x:c r="H2048" s="59" t="n">
        <x:v>0</x:v>
      </x:c>
      <x:c r="I2048" s="81" t="n">
        <x:v>0</x:v>
      </x:c>
      <x:c r="J2048" s="79" t="n">
        <x:v>0.00013943632161118234</x:v>
      </x:c>
      <x:c r="K2048" s="81" t="n">
        <x:v>-0.8406442038729345</x:v>
      </x:c>
      <x:c r="L2048" s="81" t="n">
        <x:v>-0.9008431957519945</x:v>
      </x:c>
      <x:c r="M2048" s="80" t="n">
        <x:v>2725.1953052108365</x:v>
      </x:c>
      <x:c r="N2048" s="82" t="n">
        <x:v>0.2353899129904223</x:v>
      </x:c>
      <x:c r="O2048" s="82" t="n">
        <x:v>0.18188192245209897</x:v>
      </x:c>
      <x:c r="P2048" s="80" t="n">
        <x:v>3828.0315068561927</x:v>
      </x:c>
      <x:c r="Q2048" s="81" t="n">
        <x:v>0.0058710041839710285</x:v>
      </x:c>
      <x:c r="R2048" s="81" t="n">
        <x:v>138.07781347928915</x:v>
      </x:c>
      <x:c r="S2048" s="81" t="n">
        <x:v>14.23115824090876</x:v>
      </x:c>
      <x:c r="T2048" s="81" t="n">
        <x:v>3.0204951461496847</x:v>
      </x:c>
    </x:row>
    <x:row r="2049">
      <x:c r="A2049" s="59" t="n">
        <x:v>2046</x:v>
      </x:c>
      <x:c r="B2049" s="193" t="n">
        <x:v>0.9821253288537264</x:v>
      </x:c>
      <x:c r="C2049" s="83" t="n">
        <x:v>1.1224309013672178</x:v>
      </x:c>
      <x:c r="D2049" s="83" t="n">
        <x:v>0.7262982792295188</x:v>
      </x:c>
      <x:c r="E2049" s="81" t="n">
        <x:v>0.19712297488796374</x:v>
      </x:c>
      <x:c r="F2049" s="81" t="n">
        <x:v>0.2908730414346792</x:v>
      </x:c>
      <x:c r="G2049" s="81" t="n">
        <x:v>0.03072034280517504</x:v>
      </x:c>
      <x:c r="H2049" s="59" t="n">
        <x:v>87</x:v>
      </x:c>
      <x:c r="I2049" s="81" t="n">
        <x:v>0.17421090118587018</x:v>
      </x:c>
      <x:c r="J2049" s="79" t="n">
        <x:v>0.1357251689243838</x:v>
      </x:c>
      <x:c r="K2049" s="81" t="n">
        <x:v>154.11447877072436</x:v>
      </x:c>
      <x:c r="L2049" s="81" t="n">
        <x:v>-0.9284969196957988</x:v>
      </x:c>
      <x:c r="M2049" s="80" t="n">
        <x:v>230004.21999565838</x:v>
      </x:c>
      <x:c r="N2049" s="82" t="n">
        <x:v>0.3360544181828734</x:v>
      </x:c>
      <x:c r="O2049" s="82" t="n">
        <x:v>0.09233875685735568</x:v>
      </x:c>
      <x:c r="P2049" s="80" t="n">
        <x:v>265845.4107901162</x:v>
      </x:c>
      <x:c r="Q2049" s="81" t="n">
        <x:v>0.001469329091929502</x:v>
      </x:c>
      <x:c r="R2049" s="81" t="n">
        <x:v>1163.556305905023</x:v>
      </x:c>
      <x:c r="S2049" s="81" t="n">
        <x:v>2301.6480693692547</x:v>
      </x:c>
      <x:c r="T2049" s="81" t="n">
        <x:v>2940.1034766939088</x:v>
      </x:c>
    </x:row>
    <x:row r="2050">
      <x:c r="A2050" s="59" t="n">
        <x:v>2047</x:v>
      </x:c>
      <x:c r="B2050" s="193" t="n">
        <x:v>0.2842597346752882</x:v>
      </x:c>
      <x:c r="C2050" s="83" t="n">
        <x:v>2.048227549312581</x:v>
      </x:c>
      <x:c r="D2050" s="83" t="n">
        <x:v>1.7991320639342956</x:v>
      </x:c>
      <x:c r="E2050" s="81" t="n">
        <x:v>0.04882614271519694</x:v>
      </x:c>
      <x:c r="F2050" s="81" t="n">
        <x:v>0.5303055093972944</x:v>
      </x:c>
      <x:c r="G2050" s="81" t="n">
        <x:v>-0.001042279508546106</x:v>
      </x:c>
      <x:c r="H2050" s="59" t="n">
        <x:v>0</x:v>
      </x:c>
      <x:c r="I2050" s="81" t="n">
        <x:v>0</x:v>
      </x:c>
      <x:c r="J2050" s="79" t="n">
        <x:v>0.05244890717290416</x:v>
      </x:c>
      <x:c r="K2050" s="81" t="n">
        <x:v>58.94160819760476</x:v>
      </x:c>
      <x:c r="L2050" s="81" t="n">
        <x:v>-0.6440096073442632</x:v>
      </x:c>
      <x:c r="M2050" s="80" t="n">
        <x:v>162327.3705457197</x:v>
      </x:c>
      <x:c r="N2050" s="82" t="n">
        <x:v>0.16980974866967893</x:v>
      </x:c>
      <x:c r="O2050" s="82" t="n">
        <x:v>0.08506672244801206</x:v>
      </x:c>
      <x:c r="P2050" s="80" t="n">
        <x:v>464085.25688021095</x:v>
      </x:c>
      <x:c r="Q2050" s="81" t="n">
        <x:v>0.004609294645934804</x:v>
      </x:c>
      <x:c r="R2050" s="81" t="n">
        <x:v>417.1314447576752</x:v>
      </x:c>
      <x:c r="S2050" s="81" t="n">
        <x:v>518.5074387445825</x:v>
      </x:c>
      <x:c r="T2050" s="81" t="n">
        <x:v>1136.157836825118</x:v>
      </x:c>
    </x:row>
    <x:row r="2051">
      <x:c r="A2051" s="59" t="n">
        <x:v>2048</x:v>
      </x:c>
      <x:c r="B2051" s="193" t="n">
        <x:v>0.9504579754546285</x:v>
      </x:c>
      <x:c r="C2051" s="83" t="n">
        <x:v>1.5896937995085119</x:v>
      </x:c>
      <x:c r="D2051" s="83" t="n">
        <x:v>0.8818321639690189</x:v>
      </x:c>
      <x:c r="E2051" s="81" t="n">
        <x:v>-0.03197962688959087</x:v>
      </x:c>
      <x:c r="F2051" s="81" t="n">
        <x:v>0.30905396726448087</x:v>
      </x:c>
      <x:c r="G2051" s="81" t="n">
        <x:v>0.025444590209420827</x:v>
      </x:c>
      <x:c r="H2051" s="59" t="n">
        <x:v>0</x:v>
      </x:c>
      <x:c r="I2051" s="81" t="n">
        <x:v>0</x:v>
      </x:c>
      <x:c r="J2051" s="79" t="n">
        <x:v>8.331313279455879e-24</x:v>
      </x:c>
      <x:c r="K2051" s="81" t="n">
        <x:v>-1</x:v>
      </x:c>
      <x:c r="L2051" s="81" t="n">
        <x:v>-1</x:v>
      </x:c>
      <x:c r="M2051" s="80" t="n">
        <x:v>0.000002</x:v>
      </x:c>
      <x:c r="N2051" s="82" t="n">
        <x:v>0.3285106608403326</x:v>
      </x:c>
      <x:c r="O2051" s="82" t="n">
        <x:v>0.09590797747993114</x:v>
      </x:c>
      <x:c r="P2051" s="80" t="n">
        <x:v>1172.160482095263</x:v>
      </x:c>
      <x:c r="Q2051" s="81" t="n">
        <x:v>7824904.8716188</x:v>
      </x:c>
      <x:c r="R2051" s="81" t="n">
        <x:v>3.9030568905580965</x:v>
      </x:c>
      <x:c r="S2051" s="81" t="n">
        <x:v>4.049549422479897e-10</x:v>
      </x:c>
      <x:c r="T2051" s="81" t="n">
        <x:v>1.8047443471594535e-19</x:v>
      </x:c>
    </x:row>
    <x:row r="2052">
      <x:c r="A2052" s="59" t="n">
        <x:v>2049</x:v>
      </x:c>
      <x:c r="B2052" s="193" t="n">
        <x:v>0.6348784005269408</x:v>
      </x:c>
      <x:c r="C2052" s="83" t="n">
        <x:v>0.10564861024997298</x:v>
      </x:c>
      <x:c r="D2052" s="83" t="n">
        <x:v>0.18449374919647749</x:v>
      </x:c>
      <x:c r="E2052" s="81" t="n">
        <x:v>0.07493552624534197</x:v>
      </x:c>
      <x:c r="F2052" s="81" t="n">
        <x:v>0.5785256018745712</x:v>
      </x:c>
      <x:c r="G2052" s="81" t="n">
        <x:v>-0.0020840668263197443</x:v>
      </x:c>
      <x:c r="H2052" s="59" t="n">
        <x:v>0</x:v>
      </x:c>
      <x:c r="I2052" s="81" t="n">
        <x:v>0</x:v>
      </x:c>
      <x:c r="J2052" s="79" t="n">
        <x:v>0.00004764662336146849</x:v>
      </x:c>
      <x:c r="K2052" s="81" t="n">
        <x:v>-0.9455467161583218</x:v>
      </x:c>
      <x:c r="L2052" s="81" t="n">
        <x:v>-0.9549687880340513</x:v>
      </x:c>
      <x:c r="M2052" s="80" t="n">
        <x:v>1372.8159432415023</x:v>
      </x:c>
      <x:c r="N2052" s="82" t="n">
        <x:v>0.2533336889755271</x:v>
      </x:c>
      <x:c r="O2052" s="82" t="n">
        <x:v>0.13844793163738156</x:v>
      </x:c>
      <x:c r="P2052" s="80" t="n">
        <x:v>721.471789640755</x:v>
      </x:c>
      <x:c r="Q2052" s="81" t="n">
        <x:v>0.003820330236589888</x:v>
      </x:c>
      <x:c r="R2052" s="81" t="n">
        <x:v>122.93042343175183</x:v>
      </x:c>
      <x:c r="S2052" s="81" t="n">
        <x:v>8.478534172801862</x:v>
      </x:c>
      <x:c r="T2052" s="81" t="n">
        <x:v>1.0321298850313052</x:v>
      </x:c>
    </x:row>
    <x:row r="2053">
      <x:c r="A2053" s="59" t="n">
        <x:v>2050</x:v>
      </x:c>
      <x:c r="B2053" s="193" t="n">
        <x:v>0.7132658639922738</x:v>
      </x:c>
      <x:c r="C2053" s="83" t="n">
        <x:v>0.8238899182347427</x:v>
      </x:c>
      <x:c r="D2053" s="83" t="n">
        <x:v>0.9898412447119878</x:v>
      </x:c>
      <x:c r="E2053" s="81" t="n">
        <x:v>-0.05060204752529615</x:v>
      </x:c>
      <x:c r="F2053" s="81" t="n">
        <x:v>0.7331735782558099</x:v>
      </x:c>
      <x:c r="G2053" s="81" t="n">
        <x:v>-0.037683738418439194</x:v>
      </x:c>
      <x:c r="H2053" s="59" t="n">
        <x:v>12</x:v>
      </x:c>
      <x:c r="I2053" s="81" t="n">
        <x:v>0.1119561248458922</x:v>
      </x:c>
      <x:c r="J2053" s="79" t="n">
        <x:v>9.473222821509592e-26</x:v>
      </x:c>
      <x:c r="K2053" s="81" t="n">
        <x:v>-1</x:v>
      </x:c>
      <x:c r="L2053" s="81" t="n">
        <x:v>-1</x:v>
      </x:c>
      <x:c r="M2053" s="80" t="n">
        <x:v>0.000002</x:v>
      </x:c>
      <x:c r="N2053" s="82" t="n">
        <x:v>0.2720070525379097</x:v>
      </x:c>
      <x:c r="O2053" s="82" t="n">
        <x:v>0.18839002857801043</x:v>
      </x:c>
      <x:c r="P2053" s="80" t="n">
        <x:v>523.3523383969472</x:v>
      </x:c>
      <x:c r="Q2053" s="81" t="n">
        <x:v>442758799.47141385</x:v>
      </x:c>
      <x:c r="R2053" s="81" t="n">
        <x:v>3.7684430841946748</x:v>
      </x:c>
      <x:c r="S2053" s="81" t="n">
        <x:v>2.979233643437119e-10</x:v>
      </x:c>
      <x:c r="T2053" s="81" t="n">
        <x:v>2.0521068843564074e-21</x:v>
      </x:c>
    </x:row>
    <x:row r="2054">
      <x:c r="A2054" s="59" t="n">
        <x:v>2051</x:v>
      </x:c>
      <x:c r="B2054" s="193" t="n">
        <x:v>0.7464160684496164</x:v>
      </x:c>
      <x:c r="C2054" s="83" t="n">
        <x:v>0.42963158700116666</x:v>
      </x:c>
      <x:c r="D2054" s="83" t="n">
        <x:v>1.9775062687892198</x:v>
      </x:c>
      <x:c r="E2054" s="81" t="n">
        <x:v>0.016219989939156</x:v>
      </x:c>
      <x:c r="F2054" s="81" t="n">
        <x:v>0.4976682187872939</x:v>
      </x:c>
      <x:c r="G2054" s="81" t="n">
        <x:v>-0.0064078337768615785</x:v>
      </x:c>
      <x:c r="H2054" s="59" t="n">
        <x:v>0</x:v>
      </x:c>
      <x:c r="I2054" s="81" t="n">
        <x:v>0</x:v>
      </x:c>
      <x:c r="J2054" s="79" t="n">
        <x:v>0.0004685580306916422</x:v>
      </x:c>
      <x:c r="K2054" s="81" t="n">
        <x:v>-0.4645051077809803</x:v>
      </x:c>
      <x:c r="L2054" s="81" t="n">
        <x:v>-0.7901698636585676</x:v>
      </x:c>
      <x:c r="M2054" s="80" t="n">
        <x:v>5943.113551590406</x:v>
      </x:c>
      <x:c r="N2054" s="82" t="n">
        <x:v>0.2799040528059822</x:v>
      </x:c>
      <x:c r="O2054" s="82" t="n">
        <x:v>0.13158913621276933</x:v>
      </x:c>
      <x:c r="P2054" s="80" t="n">
        <x:v>23857.176500480553</x:v>
      </x:c>
      <x:c r="Q2054" s="81" t="n">
        <x:v>0.017374994984990986</x:v>
      </x:c>
      <x:c r="R2054" s="81" t="n">
        <x:v>78.7772418612597</x:v>
      </x:c>
      <x:c r="S2054" s="81" t="n">
        <x:v>23.62668882413889</x:v>
      </x:c>
      <x:c r="T2054" s="81" t="n">
        <x:v>10.149989909659661</x:v>
      </x:c>
    </x:row>
    <x:row r="2055">
      <x:c r="A2055" s="59" t="n">
        <x:v>2052</x:v>
      </x:c>
      <x:c r="B2055" s="193" t="n">
        <x:v>0.8644218876957894</x:v>
      </x:c>
      <x:c r="C2055" s="83" t="n">
        <x:v>2.172648068452271</x:v>
      </x:c>
      <x:c r="D2055" s="83" t="n">
        <x:v>1.0367057224749552</x:v>
      </x:c>
      <x:c r="E2055" s="81" t="n">
        <x:v>-0.0987364019640971</x:v>
      </x:c>
      <x:c r="F2055" s="81" t="n">
        <x:v>0.7023582630208693</x:v>
      </x:c>
      <x:c r="G2055" s="81" t="n">
        <x:v>-0.03669524086272823</x:v>
      </x:c>
      <x:c r="H2055" s="59" t="n">
        <x:v>0</x:v>
      </x:c>
      <x:c r="I2055" s="81" t="n">
        <x:v>0</x:v>
      </x:c>
      <x:c r="J2055" s="79" t="n">
        <x:v>9.844364621488609e-38</x:v>
      </x:c>
      <x:c r="K2055" s="81" t="n">
        <x:v>-1</x:v>
      </x:c>
      <x:c r="L2055" s="81" t="n">
        <x:v>-1</x:v>
      </x:c>
      <x:c r="M2055" s="80" t="n">
        <x:v>0.000002</x:v>
      </x:c>
      <x:c r="N2055" s="82" t="n">
        <x:v>0.3080152515595314</x:v>
      </x:c>
      <x:c r="O2055" s="82" t="n">
        <x:v>0.2043628070499308</x:v>
      </x:c>
      <x:c r="P2055" s="80" t="n">
        <x:v>565.8761848217584</x:v>
      </x:c>
      <x:c r="Q2055" s="81" t="n">
        <x:v>228361730936208230000</x:v>
      </x:c>
      <x:c r="R2055" s="81" t="n">
        <x:v>1.061307989716385</x:v>
      </x:c>
      <x:c r="S2055" s="81" t="n">
        <x:v>1.81633571957002e-10</x:v>
      </x:c>
      <x:c r="T2055" s="81" t="n">
        <x:v>2.1325043010708178e-33</x:v>
      </x:c>
    </x:row>
    <x:row r="2056">
      <x:c r="A2056" s="59" t="n">
        <x:v>2053</x:v>
      </x:c>
      <x:c r="B2056" s="193" t="n">
        <x:v>0.7883601641282441</x:v>
      </x:c>
      <x:c r="C2056" s="83" t="n">
        <x:v>1.2596707867230514</x:v>
      </x:c>
      <x:c r="D2056" s="83" t="n">
        <x:v>0.6367296947422825</x:v>
      </x:c>
      <x:c r="E2056" s="81" t="n">
        <x:v>-0.027204546973460305</x:v>
      </x:c>
      <x:c r="F2056" s="81" t="n">
        <x:v>0.33300190741429103</x:v>
      </x:c>
      <x:c r="G2056" s="81" t="n">
        <x:v>0.047110050550364414</x:v>
      </x:c>
      <x:c r="H2056" s="59" t="n">
        <x:v>0</x:v>
      </x:c>
      <x:c r="I2056" s="81" t="n">
        <x:v>0</x:v>
      </x:c>
      <x:c r="J2056" s="79" t="n">
        <x:v>1.5921587257416362e-18</x:v>
      </x:c>
      <x:c r="K2056" s="81" t="n">
        <x:v>-0.9999999999999982</x:v>
      </x:c>
      <x:c r="L2056" s="81" t="n">
        <x:v>-0.9999999999999982</x:v>
      </x:c>
      <x:c r="M2056" s="80" t="n">
        <x:v>0.000506600992201313</x:v>
      </x:c>
      <x:c r="N2056" s="82" t="n">
        <x:v>0.289895922848425</x:v>
      </x:c>
      <x:c r="O2056" s="82" t="n">
        <x:v>0.09119263617478217</x:v>
      </x:c>
      <x:c r="P2056" s="80" t="n">
        <x:v>1074.3314019153843</x:v>
      </x:c>
      <x:c r="Q2056" s="81" t="n">
        <x:v>12135.555553502556</x:v>
      </x:c>
      <x:c r="R2056" s="81" t="n">
        <x:v>6.0265668621506325</x:v>
      </x:c>
      <x:c r="S2056" s="81" t="n">
        <x:v>1.1604217899181289e-7</x:v>
      </x:c>
      <x:c r="T2056" s="81" t="n">
        <x:v>3.448963403102857e-14</x:v>
      </x:c>
    </x:row>
    <x:row r="2057">
      <x:c r="A2057" s="59" t="n">
        <x:v>2054</x:v>
      </x:c>
      <x:c r="B2057" s="193" t="n">
        <x:v>0.3691407945007086</x:v>
      </x:c>
      <x:c r="C2057" s="83" t="n">
        <x:v>0.9556884950781142</x:v>
      </x:c>
      <x:c r="D2057" s="83" t="n">
        <x:v>1.6670004537672394</x:v>
      </x:c>
      <x:c r="E2057" s="81" t="n">
        <x:v>-0.05374172147797861</x:v>
      </x:c>
      <x:c r="F2057" s="81" t="n">
        <x:v>0.8232915959320962</x:v>
      </x:c>
      <x:c r="G2057" s="81" t="n">
        <x:v>-0.021391250168231613</x:v>
      </x:c>
      <x:c r="H2057" s="59" t="n">
        <x:v>0</x:v>
      </x:c>
      <x:c r="I2057" s="81" t="n">
        <x:v>0</x:v>
      </x:c>
      <x:c r="J2057" s="79" t="n">
        <x:v>1.2835732457685877e-36</x:v>
      </x:c>
      <x:c r="K2057" s="81" t="n">
        <x:v>-1</x:v>
      </x:c>
      <x:c r="L2057" s="81" t="n">
        <x:v>-1</x:v>
      </x:c>
      <x:c r="M2057" s="80" t="n">
        <x:v>0.000002</x:v>
      </x:c>
      <x:c r="N2057" s="82" t="n">
        <x:v>0.19003000863996583</x:v>
      </x:c>
      <x:c r="O2057" s="82" t="n">
        <x:v>0.14779059995389354</x:v>
      </x:c>
      <x:c r="P2057" s="80" t="n">
        <x:v>618.5105325986378</x:v>
      </x:c>
      <x:c r="Q2057" s="81" t="n">
        <x:v>30860058617680510000</x:v>
      </x:c>
      <x:c r="R2057" s="81" t="n">
        <x:v>2.381758900955007</x:v>
      </x:c>
      <x:c r="S2057" s="81" t="n">
        <x:v>5.739633034359382e-10</x:v>
      </x:c>
      <x:c r="T2057" s="81" t="n">
        <x:v>2.780499882507436e-32</x:v>
      </x:c>
    </x:row>
    <x:row r="2058">
      <x:c r="A2058" s="59" t="n">
        <x:v>2055</x:v>
      </x:c>
      <x:c r="B2058" s="193" t="n">
        <x:v>0.4080335794016719</x:v>
      </x:c>
      <x:c r="C2058" s="83" t="n">
        <x:v>0.24932419786944485</x:v>
      </x:c>
      <x:c r="D2058" s="83" t="n">
        <x:v>0.7993633084609317</x:v>
      </x:c>
      <x:c r="E2058" s="81" t="n">
        <x:v>0.020510733608888637</x:v>
      </x:c>
      <x:c r="F2058" s="81" t="n">
        <x:v>0.6759968820377253</x:v>
      </x:c>
      <x:c r="G2058" s="81" t="n">
        <x:v>0.010246484111769108</x:v>
      </x:c>
      <x:c r="H2058" s="59" t="n">
        <x:v>0</x:v>
      </x:c>
      <x:c r="I2058" s="81" t="n">
        <x:v>0</x:v>
      </x:c>
      <x:c r="J2058" s="79" t="n">
        <x:v>0.00013589794990279713</x:v>
      </x:c>
      <x:c r="K2058" s="81" t="n">
        <x:v>-0.8446880572539461</x:v>
      </x:c>
      <x:c r="L2058" s="81" t="n">
        <x:v>-0.9022817468359516</x:v>
      </x:c>
      <x:c r="M2058" s="80" t="n">
        <x:v>2656.938521947959</x:v>
      </x:c>
      <x:c r="N2058" s="82" t="n">
        <x:v>0.19929499924309196</x:v>
      </x:c>
      <x:c r="O2058" s="82" t="n">
        <x:v>0.12726589501169572</x:v>
      </x:c>
      <x:c r="P2058" s="80" t="n">
        <x:v>5061.344452109604</x:v>
      </x:c>
      <x:c r="Q2058" s="81" t="n">
        <x:v>0.012618693475482026</x:v>
      </x:c>
      <x:c r="R2058" s="81" t="n">
        <x:v>67.83482879656833</x:v>
      </x:c>
      <x:c r="S2058" s="81" t="n">
        <x:v>10.978535877631144</x:v>
      </x:c>
      <x:c r="T2058" s="81" t="n">
        <x:v>2.9438462899050877</x:v>
      </x:c>
    </x:row>
    <x:row r="2059">
      <x:c r="A2059" s="59" t="n">
        <x:v>2056</x:v>
      </x:c>
      <x:c r="B2059" s="193" t="n">
        <x:v>0.8368011934682726</x:v>
      </x:c>
      <x:c r="C2059" s="83" t="n">
        <x:v>0.35771028716505693</x:v>
      </x:c>
      <x:c r="D2059" s="83" t="n">
        <x:v>0.18237972236468872</x:v>
      </x:c>
      <x:c r="E2059" s="81" t="n">
        <x:v>-0.06780797108966327</x:v>
      </x:c>
      <x:c r="F2059" s="81" t="n">
        <x:v>0.38182436939096076</x:v>
      </x:c>
      <x:c r="G2059" s="81" t="n">
        <x:v>-0.00021860468332770864</x:v>
      </x:c>
      <x:c r="H2059" s="59" t="n">
        <x:v>0</x:v>
      </x:c>
      <x:c r="I2059" s="81" t="n">
        <x:v>0</x:v>
      </x:c>
      <x:c r="J2059" s="79" t="n">
        <x:v>1.7236478600636478e-12</x:v>
      </x:c>
      <x:c r="K2059" s="81" t="n">
        <x:v>-0.9999999980301167</x:v>
      </x:c>
      <x:c r="L2059" s="81" t="n">
        <x:v>-0.9999999980301167</x:v>
      </x:c>
      <x:c r="M2059" s="80" t="n">
        <x:v>0.3103912586581339</x:v>
      </x:c>
      <x:c r="N2059" s="82" t="n">
        <x:v>0.30143548430651995</x:v>
      </x:c>
      <x:c r="O2059" s="82" t="n">
        <x:v>0.10872488579838228</x:v>
      </x:c>
      <x:c r="P2059" s="80" t="n">
        <x:v>200.30188740221777</x:v>
      </x:c>
      <x:c r="Q2059" s="81" t="n">
        <x:v>2.8612987403483277</x:v>
      </x:c>
      <x:c r="R2059" s="81" t="n">
        <x:v>18.761550268176155</x:v>
      </x:c>
      <x:c r="S2059" s="81" t="n">
        <x:v>0.000018748183134566886</x:v>
      </x:c>
      <x:c r="T2059" s="81" t="n">
        <x:v>3.733797575004311e-8</x:v>
      </x:c>
    </x:row>
    <x:row r="2060">
      <x:c r="A2060" s="59" t="n">
        <x:v>2057</x:v>
      </x:c>
      <x:c r="B2060" s="193" t="n">
        <x:v>0.7719539605081083</x:v>
      </x:c>
      <x:c r="C2060" s="83" t="n">
        <x:v>1.2190723259772476</x:v>
      </x:c>
      <x:c r="D2060" s="83" t="n">
        <x:v>0.5555515794514644</x:v>
      </x:c>
      <x:c r="E2060" s="81" t="n">
        <x:v>0.015675403186488607</x:v>
      </x:c>
      <x:c r="F2060" s="81" t="n">
        <x:v>0.3098056322312914</x:v>
      </x:c>
      <x:c r="G2060" s="81" t="n">
        <x:v>0.012931446566096303</x:v>
      </x:c>
      <x:c r="H2060" s="59" t="n">
        <x:v>0</x:v>
      </x:c>
      <x:c r="I2060" s="81" t="n">
        <x:v>0</x:v>
      </x:c>
      <x:c r="J2060" s="79" t="n">
        <x:v>0.00027454086437319155</x:v>
      </x:c>
      <x:c r="K2060" s="81" t="n">
        <x:v>-0.6862390121449239</x:v>
      </x:c>
      <x:c r="L2060" s="81" t="n">
        <x:v>-0.788231092880669</x:v>
      </x:c>
      <x:c r="M2060" s="80" t="n">
        <x:v>6482.076104425995</x:v>
      </x:c>
      <x:c r="N2060" s="82" t="n">
        <x:v>0.285987657529791</x:v>
      </x:c>
      <x:c r="O2060" s="82" t="n">
        <x:v>0.08369654705198781</x:v>
      </x:c>
      <x:c r="P2060" s="80" t="n">
        <x:v>8886.811546371244</x:v>
      </x:c>
      <x:c r="Q2060" s="81" t="n">
        <x:v>0.010464907201353056</x:v>
      </x:c>
      <x:c r="R2060" s="81" t="n">
        <x:v>18.19934788758534</x:v>
      </x:c>
      <x:c r="S2060" s="81" t="n">
        <x:v>5.023679468362969</x:v>
      </x:c>
      <x:c r="T2060" s="81" t="n">
        <x:v>5.94715450520362</x:v>
      </x:c>
    </x:row>
    <x:row r="2061">
      <x:c r="A2061" s="59" t="n">
        <x:v>2058</x:v>
      </x:c>
      <x:c r="B2061" s="193" t="n">
        <x:v>0.5694896344095468</x:v>
      </x:c>
      <x:c r="C2061" s="83" t="n">
        <x:v>2.023077190389316</x:v>
      </x:c>
      <x:c r="D2061" s="83" t="n">
        <x:v>0.2552305718630874</x:v>
      </x:c>
      <x:c r="E2061" s="81" t="n">
        <x:v>0.049395383670998355</x:v>
      </x:c>
      <x:c r="F2061" s="81" t="n">
        <x:v>0.3066451427526772</x:v>
      </x:c>
      <x:c r="G2061" s="81" t="n">
        <x:v>0.022203698985863413</x:v>
      </x:c>
      <x:c r="H2061" s="59" t="n">
        <x:v>0</x:v>
      </x:c>
      <x:c r="I2061" s="81" t="n">
        <x:v>0</x:v>
      </x:c>
      <x:c r="J2061" s="79" t="n">
        <x:v>0.0020224575735607697</x:v>
      </x:c>
      <x:c r="K2061" s="81" t="n">
        <x:v>1.3113800840694512</x:v>
      </x:c>
      <x:c r="L2061" s="81" t="n">
        <x:v>-0.36501144852248646</x:v>
      </x:c>
      <x:c r="M2061" s="80" t="n">
        <x:v>24402.827858561883</x:v>
      </x:c>
      <x:c r="N2061" s="82" t="n">
        <x:v>0.23775685884699907</x:v>
      </x:c>
      <x:c r="O2061" s="82" t="n">
        <x:v>0.06887158630298382</x:v>
      </x:c>
      <x:c r="P2061" s="80" t="n">
        <x:v>13376.352912897075</x:v>
      </x:c>
      <x:c r="Q2061" s="81" t="n">
        <x:v>0.0031418855493559887</x:v>
      </x:c>
      <x:c r="R2061" s="81" t="n">
        <x:v>15.837836421228182</x:v>
      </x:c>
      <x:c r="S2061" s="81" t="n">
        <x:v>19.79246331418365</x:v>
      </x:c>
      <x:c r="T2061" s="81" t="n">
        <x:v>43.8108465114879</x:v>
      </x:c>
    </x:row>
    <x:row r="2062">
      <x:c r="A2062" s="59" t="n">
        <x:v>2059</x:v>
      </x:c>
      <x:c r="B2062" s="193" t="n">
        <x:v>0.8562648272141815</x:v>
      </x:c>
      <x:c r="C2062" s="83" t="n">
        <x:v>2.0156584383681686</x:v>
      </x:c>
      <x:c r="D2062" s="83" t="n">
        <x:v>0.41418190668463556</x:v>
      </x:c>
      <x:c r="E2062" s="81" t="n">
        <x:v>-0.035504573236081305</x:v>
      </x:c>
      <x:c r="F2062" s="81" t="n">
        <x:v>0.6804263422032819</x:v>
      </x:c>
      <x:c r="G2062" s="81" t="n">
        <x:v>-0.019057017703083087</x:v>
      </x:c>
      <x:c r="H2062" s="59" t="n">
        <x:v>0</x:v>
      </x:c>
      <x:c r="I2062" s="81" t="n">
        <x:v>0</x:v>
      </x:c>
      <x:c r="J2062" s="79" t="n">
        <x:v>9.98365356900431e-13</x:v>
      </x:c>
      <x:c r="K2062" s="81" t="n">
        <x:v>-0.999999998859011</x:v>
      </x:c>
      <x:c r="L2062" s="81" t="n">
        <x:v>-0.999999998859011</x:v>
      </x:c>
      <x:c r="M2062" s="80" t="n">
        <x:v>0.5251111591100325</x:v>
      </x:c>
      <x:c r="N2062" s="82" t="n">
        <x:v>0.30607208680792836</x:v>
      </x:c>
      <x:c r="O2062" s="82" t="n">
        <x:v>0.1967323524343903</x:v>
      </x:c>
      <x:c r="P2062" s="80" t="n">
        <x:v>939.3962041967974</x:v>
      </x:c>
      <x:c r="Q2062" s="81" t="n">
        <x:v>15.483835321116432</x:v>
      </x:c>
      <x:c r="R2062" s="81" t="n">
        <x:v>3.762342591863744</x:v>
      </x:c>
      <x:c r="S2062" s="81" t="n">
        <x:v>0.0000255810034184946</x:v>
      </x:c>
      <x:c r="T2062" s="81" t="n">
        <x:v>2.1626773280857344e-8</x:v>
      </x:c>
    </x:row>
    <x:row r="2063">
      <x:c r="A2063" s="59" t="n">
        <x:v>2060</x:v>
      </x:c>
      <x:c r="B2063" s="193" t="n">
        <x:v>0.8981924701482058</x:v>
      </x:c>
      <x:c r="C2063" s="83" t="n">
        <x:v>0.6081336479338946</x:v>
      </x:c>
      <x:c r="D2063" s="83" t="n">
        <x:v>1.4154936407898893</x:v>
      </x:c>
      <x:c r="E2063" s="81" t="n">
        <x:v>-0.083363941823891</x:v>
      </x:c>
      <x:c r="F2063" s="81" t="n">
        <x:v>0.47177648673532535</x:v>
      </x:c>
      <x:c r="G2063" s="81" t="n">
        <x:v>0.022616973148568947</x:v>
      </x:c>
      <x:c r="H2063" s="59" t="n">
        <x:v>0</x:v>
      </x:c>
      <x:c r="I2063" s="81" t="n">
        <x:v>0</x:v>
      </x:c>
      <x:c r="J2063" s="79" t="n">
        <x:v>2.4835365516719095e-51</x:v>
      </x:c>
      <x:c r="K2063" s="81" t="n">
        <x:v>-1</x:v>
      </x:c>
      <x:c r="L2063" s="81" t="n">
        <x:v>-1</x:v>
      </x:c>
      <x:c r="M2063" s="80" t="n">
        <x:v>0.000002</x:v>
      </x:c>
      <x:c r="N2063" s="82" t="n">
        <x:v>0.3160600374981178</x:v>
      </x:c>
      <x:c r="O2063" s="82" t="n">
        <x:v>0.14085647671763035</x:v>
      </x:c>
      <x:c r="P2063" s="80" t="n">
        <x:v>347.47233047230276</x:v>
      </x:c>
      <x:c r="Q2063" s="81" t="n">
        <x:v>1.0571104832804293e+34</x:v>
      </x:c>
      <x:c r="R2063" s="81" t="n">
        <x:v>2.4135415034982812</x:v>
      </x:c>
      <x:c r="S2063" s="81" t="n">
        <x:v>1.0121961561178583e-9</x:v>
      </x:c>
      <x:c r="T2063" s="81" t="n">
        <x:v>5.379882381384285e-47</x:v>
      </x:c>
    </x:row>
    <x:row r="2064">
      <x:c r="A2064" s="59" t="n">
        <x:v>2061</x:v>
      </x:c>
      <x:c r="B2064" s="193" t="n">
        <x:v>0.6647158430889248</x:v>
      </x:c>
      <x:c r="C2064" s="83" t="n">
        <x:v>1.5871818316534754</x:v>
      </x:c>
      <x:c r="D2064" s="83" t="n">
        <x:v>0.4391296139265885</x:v>
      </x:c>
      <x:c r="E2064" s="81" t="n">
        <x:v>0.0644952838407355</x:v>
      </x:c>
      <x:c r="F2064" s="81" t="n">
        <x:v>0.26165656675584614</x:v>
      </x:c>
      <x:c r="G2064" s="81" t="n">
        <x:v>0.015162983747730358</x:v>
      </x:c>
      <x:c r="H2064" s="59" t="n">
        <x:v>0</x:v>
      </x:c>
      <x:c r="I2064" s="81" t="n">
        <x:v>0</x:v>
      </x:c>
      <x:c r="J2064" s="79" t="n">
        <x:v>0.008087550426070763</x:v>
      </x:c>
      <x:c r="K2064" s="81" t="n">
        <x:v>8.242914772652302</x:v>
      </x:c>
      <x:c r="L2064" s="81" t="n">
        <x:v>-0.3565414990050152</x:v>
      </x:c>
      <x:c r="M2064" s="80" t="n">
        <x:v>44542.09266184684</x:v>
      </x:c>
      <x:c r="N2064" s="82" t="n">
        <x:v>0.26044152724584</x:v>
      </x:c>
      <x:c r="O2064" s="82" t="n">
        <x:v>0.06437434362312734</x:v>
      </x:c>
      <x:c r="P2064" s="80" t="n">
        <x:v>38164.54109420067</x:v>
      </x:c>
      <x:c r="Q2064" s="81" t="n">
        <x:v>0.002410390957251951</x:v>
      </x:c>
      <x:c r="R2064" s="81" t="n">
        <x:v>47.631394958745425</x:v>
      </x:c>
      <x:c r="S2064" s="81" t="n">
        <x:v>98.81623148754824</x:v>
      </x:c>
      <x:c r="T2064" s="81" t="n">
        <x:v>175.19399912388735</x:v>
      </x:c>
    </x:row>
    <x:row r="2065">
      <x:c r="A2065" s="59" t="n">
        <x:v>2062</x:v>
      </x:c>
      <x:c r="B2065" s="193" t="n">
        <x:v>0.4988006560131908</x:v>
      </x:c>
      <x:c r="C2065" s="83" t="n">
        <x:v>1.0048278175592287</x:v>
      </x:c>
      <x:c r="D2065" s="83" t="n">
        <x:v>0.45138335107320143</x:v>
      </x:c>
      <x:c r="E2065" s="81" t="n">
        <x:v>-0.00411240965288195</x:v>
      </x:c>
      <x:c r="F2065" s="81" t="n">
        <x:v>0.37572696080897006</x:v>
      </x:c>
      <x:c r="G2065" s="81" t="n">
        <x:v>0.03360623966659198</x:v>
      </x:c>
      <x:c r="H2065" s="59" t="n">
        <x:v>0</x:v>
      </x:c>
      <x:c r="I2065" s="81" t="n">
        <x:v>0</x:v>
      </x:c>
      <x:c r="J2065" s="79" t="n">
        <x:v>5.368945923422644e-7</x:v>
      </x:c>
      <x:c r="K2065" s="81" t="n">
        <x:v>-0.9993864061801803</x:v>
      </x:c>
      <x:c r="L2065" s="81" t="n">
        <x:v>-0.9993864061801803</x:v>
      </x:c>
      <x:c r="M2065" s="80" t="n">
        <x:v>251.06784953961042</x:v>
      </x:c>
      <x:c r="N2065" s="82" t="n">
        <x:v>0.22091741877464238</x:v>
      </x:c>
      <x:c r="O2065" s="82" t="n">
        <x:v>0.0784103263927135</x:v>
      </x:c>
      <x:c r="P2065" s="80" t="n">
        <x:v>2020.9098976442876</x:v>
      </x:c>
      <x:c r="Q2065" s="81" t="n">
        <x:v>0.07430140354691527</x:v>
      </x:c>
      <x:c r="R2065" s="81" t="n">
        <x:v>13.025695403252248</x:v>
      </x:c>
      <x:c r="S2065" s="81" t="n">
        <x:v>0.04719805895713808</x:v>
      </x:c>
      <x:c r="T2065" s="81" t="n">
        <x:v>0.011630309028704107</x:v>
      </x:c>
    </x:row>
    <x:row r="2066">
      <x:c r="A2066" s="59" t="n">
        <x:v>2063</x:v>
      </x:c>
      <x:c r="B2066" s="193" t="n">
        <x:v>0.6788029367104174</x:v>
      </x:c>
      <x:c r="C2066" s="83" t="n">
        <x:v>1.5238564908708252</x:v>
      </x:c>
      <x:c r="D2066" s="83" t="n">
        <x:v>3</x:v>
      </x:c>
      <x:c r="E2066" s="81" t="n">
        <x:v>-0.1595623865412247</x:v>
      </x:c>
      <x:c r="F2066" s="81" t="n">
        <x:v>0.7863929662504233</x:v>
      </x:c>
      <x:c r="G2066" s="81" t="n">
        <x:v>0.032231426437645115</x:v>
      </x:c>
      <x:c r="H2066" s="59" t="n">
        <x:v>0</x:v>
      </x:c>
      <x:c r="I2066" s="81" t="n">
        <x:v>0</x:v>
      </x:c>
      <x:c r="J2066" s="79" t="n">
        <x:v>1.0619597360210715e-135</x:v>
      </x:c>
      <x:c r="K2066" s="81" t="n">
        <x:v>-1</x:v>
      </x:c>
      <x:c r="L2066" s="81" t="n">
        <x:v>-1</x:v>
      </x:c>
      <x:c r="M2066" s="80" t="n">
        <x:v>0.000002</x:v>
      </x:c>
      <x:c r="N2066" s="82" t="n">
        <x:v>0.2637973370794846</x:v>
      </x:c>
      <x:c r="O2066" s="82" t="n">
        <x:v>0.19596610893277092</x:v>
      </x:c>
      <x:c r="P2066" s="80" t="n">
        <x:v>465.1883574730651</x:v>
      </x:c>
      <x:c r="Q2066" s="81" t="n">
        <x:v>1.3824529076763986e+118</x:v>
      </x:c>
      <x:c r="R2066" s="81" t="n">
        <x:v>0.5968879857301861</x:v>
      </x:c>
      <x:c r="S2066" s="81" t="n">
        <x:v>1.5317285550276892e-9</x:v>
      </x:c>
      <x:c r="T2066" s="81" t="n">
        <x:v>2.3004366373078534e-131</x:v>
      </x:c>
    </x:row>
    <x:row r="2067">
      <x:c r="A2067" s="59" t="n">
        <x:v>2064</x:v>
      </x:c>
      <x:c r="B2067" s="193" t="n">
        <x:v>0.6932470632717014</x:v>
      </x:c>
      <x:c r="C2067" s="83" t="n">
        <x:v>0.9964589549221426</x:v>
      </x:c>
      <x:c r="D2067" s="83" t="n">
        <x:v>0.7122587273615308</x:v>
      </x:c>
      <x:c r="E2067" s="81" t="n">
        <x:v>-0.10806469043501</x:v>
      </x:c>
      <x:c r="F2067" s="81" t="n">
        <x:v>0.8872447496280075</x:v>
      </x:c>
      <x:c r="G2067" s="81" t="n">
        <x:v>0.03221291339383289</x:v>
      </x:c>
      <x:c r="H2067" s="59" t="n">
        <x:v>0</x:v>
      </x:c>
      <x:c r="I2067" s="81" t="n">
        <x:v>0</x:v>
      </x:c>
      <x:c r="J2067" s="79" t="n">
        <x:v>9.405511125199898e-41</x:v>
      </x:c>
      <x:c r="K2067" s="81" t="n">
        <x:v>-1</x:v>
      </x:c>
      <x:c r="L2067" s="81" t="n">
        <x:v>-1</x:v>
      </x:c>
      <x:c r="M2067" s="80" t="n">
        <x:v>0.000002</x:v>
      </x:c>
      <x:c r="N2067" s="82" t="n">
        <x:v>0.2672381988537555</x:v>
      </x:c>
      <x:c r="O2067" s="82" t="n">
        <x:v>0.2239818956301515</x:v>
      </x:c>
      <x:c r="P2067" s="80" t="n">
        <x:v>299.332154843905</x:v>
      </x:c>
      <x:c r="Q2067" s="81" t="n">
        <x:v>2.202387339178396e+23</x:v>
      </x:c>
      <x:c r="R2067" s="81" t="n">
        <x:v>2.0782537975710866</x:v>
      </x:c>
      <x:c r="S2067" s="81" t="n">
        <x:v>4.596294382080303e-10</x:v>
      </x:c>
      <x:c r="T2067" s="81" t="n">
        <x:v>2.0374390526409882e-36</x:v>
      </x:c>
    </x:row>
    <x:row r="2068">
      <x:c r="A2068" s="59" t="n">
        <x:v>2065</x:v>
      </x:c>
      <x:c r="B2068" s="193" t="n">
        <x:v>0.282302488014102</x:v>
      </x:c>
      <x:c r="C2068" s="83" t="n">
        <x:v>2.9330700299036794</x:v>
      </x:c>
      <x:c r="D2068" s="83" t="n">
        <x:v>0.7846360225534879</x:v>
      </x:c>
      <x:c r="E2068" s="81" t="n">
        <x:v>-0.05401601746699639</x:v>
      </x:c>
      <x:c r="F2068" s="81" t="n">
        <x:v>0.4985332862357609</x:v>
      </x:c>
      <x:c r="G2068" s="81" t="n">
        <x:v>0.018489910068261905</x:v>
      </x:c>
      <x:c r="H2068" s="59" t="n">
        <x:v>54</x:v>
      </x:c>
      <x:c r="I2068" s="81" t="n">
        <x:v>0.29738060673698785</x:v>
      </x:c>
      <x:c r="J2068" s="79" t="n">
        <x:v>3.812514174220782e-28</x:v>
      </x:c>
      <x:c r="K2068" s="81" t="n">
        <x:v>-1</x:v>
      </x:c>
      <x:c r="L2068" s="81" t="n">
        <x:v>-1</x:v>
      </x:c>
      <x:c r="M2068" s="80" t="n">
        <x:v>0.000002</x:v>
      </x:c>
      <x:c r="N2068" s="82" t="n">
        <x:v>0.16934349581660924</x:v>
      </x:c>
      <x:c r="O2068" s="82" t="n">
        <x:v>0.07975053834816309</x:v>
      </x:c>
      <x:c r="P2068" s="80" t="n">
        <x:v>1156.9291358533678</x:v>
      </x:c>
      <x:c r="Q2068" s="81" t="n">
        <x:v>103397010858.93285</x:v>
      </x:c>
      <x:c r="R2068" s="81" t="n">
        <x:v>1.842916983775738</x:v>
      </x:c>
      <x:c r="S2068" s="81" t="n">
        <x:v>2.1839744950576065e-10</x:v>
      </x:c>
      <x:c r="T2068" s="81" t="n">
        <x:v>8.258738056768434e-24</x:v>
      </x:c>
    </x:row>
    <x:row r="2069">
      <x:c r="A2069" s="59" t="n">
        <x:v>2066</x:v>
      </x:c>
      <x:c r="B2069" s="193" t="n">
        <x:v>0.6935390675440432</x:v>
      </x:c>
      <x:c r="C2069" s="83" t="n">
        <x:v>0.2216316708620093</x:v>
      </x:c>
      <x:c r="D2069" s="83" t="n">
        <x:v>2.3678498994638213</x:v>
      </x:c>
      <x:c r="E2069" s="81" t="n">
        <x:v>-0.10755429848896154</x:v>
      </x:c>
      <x:c r="F2069" s="81" t="n">
        <x:v>0.47320221198024226</x:v>
      </x:c>
      <x:c r="G2069" s="81" t="n">
        <x:v>-0.041177151610157885</x:v>
      </x:c>
      <x:c r="H2069" s="59" t="n">
        <x:v>0</x:v>
      </x:c>
      <x:c r="I2069" s="81" t="n">
        <x:v>0</x:v>
      </x:c>
      <x:c r="J2069" s="79" t="n">
        <x:v>3.9599526443181917e-66</x:v>
      </x:c>
      <x:c r="K2069" s="81" t="n">
        <x:v>-1</x:v>
      </x:c>
      <x:c r="L2069" s="81" t="n">
        <x:v>-1</x:v>
      </x:c>
      <x:c r="M2069" s="80" t="n">
        <x:v>0.000002</x:v>
      </x:c>
      <x:c r="N2069" s="82" t="n">
        <x:v>0.2673077597465075</x:v>
      </x:c>
      <x:c r="O2069" s="82" t="n">
        <x:v>0.11948937075832103</x:v>
      </x:c>
      <x:c r="P2069" s="80" t="n">
        <x:v>254.5048245997724</x:v>
      </x:c>
      <x:c r="Q2069" s="81" t="n">
        <x:v>5.253419280626307e+48</x:v>
      </x:c>
      <x:c r="R2069" s="81" t="n">
        <x:v>2.7261244453279354</x:v>
      </x:c>
      <x:c r="S2069" s="81" t="n">
        <x:v>1.0179697715327927e-9</x:v>
      </x:c>
      <x:c r="T2069" s="81" t="n">
        <x:v>8.578121972048976e-62</x:v>
      </x:c>
    </x:row>
    <x:row r="2070">
      <x:c r="A2070" s="59" t="n">
        <x:v>2067</x:v>
      </x:c>
      <x:c r="B2070" s="193" t="n">
        <x:v>0.399353819154203</x:v>
      </x:c>
      <x:c r="C2070" s="83" t="n">
        <x:v>0.19281012441165685</x:v>
      </x:c>
      <x:c r="D2070" s="83" t="n">
        <x:v>1.5224636506118907</x:v>
      </x:c>
      <x:c r="E2070" s="81" t="n">
        <x:v>-0.05237542734479338</x:v>
      </x:c>
      <x:c r="F2070" s="81" t="n">
        <x:v>0.6414318397408352</x:v>
      </x:c>
      <x:c r="G2070" s="81" t="n">
        <x:v>0.0014252297694751625</x:v>
      </x:c>
      <x:c r="H2070" s="59" t="n">
        <x:v>0</x:v>
      </x:c>
      <x:c r="I2070" s="81" t="n">
        <x:v>0</x:v>
      </x:c>
      <x:c r="J2070" s="79" t="n">
        <x:v>6.705924702380879e-37</x:v>
      </x:c>
      <x:c r="K2070" s="81" t="n">
        <x:v>-1</x:v>
      </x:c>
      <x:c r="L2070" s="81" t="n">
        <x:v>-1</x:v>
      </x:c>
      <x:c r="M2070" s="80" t="n">
        <x:v>0.000002</x:v>
      </x:c>
      <x:c r="N2070" s="82" t="n">
        <x:v>0.19722731760664025</x:v>
      </x:c>
      <x:c r="O2070" s="82" t="n">
        <x:v>0.11950567351721504</x:v>
      </x:c>
      <x:c r="P2070" s="80" t="n">
        <x:v>372.15624938997416</x:v>
      </x:c>
      <x:c r="Q2070" s="81" t="n">
        <x:v>60531195002059390000</x:v>
      </x:c>
      <x:c r="R2070" s="81" t="n">
        <x:v>9.482672201478652</x:v>
      </x:c>
      <x:c r="S2070" s="81" t="n">
        <x:v>1.1376407897610817e-9</x:v>
      </x:c>
      <x:c r="T2070" s="81" t="n">
        <x:v>1.4526496955698742e-32</x:v>
      </x:c>
    </x:row>
    <x:row r="2071">
      <x:c r="A2071" s="59" t="n">
        <x:v>2068</x:v>
      </x:c>
      <x:c r="B2071" s="193" t="n">
        <x:v>0.4978039659559727</x:v>
      </x:c>
      <x:c r="C2071" s="83" t="n">
        <x:v>1.686114520365803</x:v>
      </x:c>
      <x:c r="D2071" s="83" t="n">
        <x:v>0.47767653214103556</x:v>
      </x:c>
      <x:c r="E2071" s="81" t="n">
        <x:v>-0.01096655740577236</x:v>
      </x:c>
      <x:c r="F2071" s="81" t="n">
        <x:v>0.6424121681251563</x:v>
      </x:c>
      <x:c r="G2071" s="81" t="n">
        <x:v>0.018684547392613556</x:v>
      </x:c>
      <x:c r="H2071" s="59" t="n">
        <x:v>0</x:v>
      </x:c>
      <x:c r="I2071" s="81" t="n">
        <x:v>0</x:v>
      </x:c>
      <x:c r="J2071" s="79" t="n">
        <x:v>8.086121038507136e-9</x:v>
      </x:c>
      <x:c r="K2071" s="81" t="n">
        <x:v>-0.9999907587188132</x:v>
      </x:c>
      <x:c r="L2071" s="81" t="n">
        <x:v>-0.9999907587188132</x:v>
      </x:c>
      <x:c r="M2071" s="80" t="n">
        <x:v>41.54032965489566</x:v>
      </x:c>
      <x:c r="N2071" s="82" t="n">
        <x:v>0.22067998851507434</x:v>
      </x:c>
      <x:c r="O2071" s="82" t="n">
        <x:v>0.1339206822021884</x:v>
      </x:c>
      <x:c r="P2071" s="80" t="n">
        <x:v>1804.8261972461198</x:v>
      </x:c>
      <x:c r="Q2071" s="81" t="n">
        <x:v>0.4526360266076389</x:v>
      </x:c>
      <x:c r="R2071" s="81" t="n">
        <x:v>6.639636233058268</x:v>
      </x:c>
      <x:c r="S2071" s="81" t="n">
        <x:v>0.004195689735990242</x:v>
      </x:c>
      <x:c r="T2071" s="81" t="n">
        <x:v>0.00017516303546859284</x:v>
      </x:c>
    </x:row>
    <x:row r="2072">
      <x:c r="A2072" s="59" t="n">
        <x:v>2069</x:v>
      </x:c>
      <x:c r="B2072" s="193" t="n">
        <x:v>0.34852139670401816</x:v>
      </x:c>
      <x:c r="C2072" s="83" t="n">
        <x:v>0.25289520072809046</x:v>
      </x:c>
      <x:c r="D2072" s="83" t="n">
        <x:v>0.45168505209960924</x:v>
      </x:c>
      <x:c r="E2072" s="81" t="n">
        <x:v>-0.07409237391051333</x:v>
      </x:c>
      <x:c r="F2072" s="81" t="n">
        <x:v>0.6325735530699603</x:v>
      </x:c>
      <x:c r="G2072" s="81" t="n">
        <x:v>-0.009836642439456287</x:v>
      </x:c>
      <x:c r="H2072" s="59" t="n">
        <x:v>0</x:v>
      </x:c>
      <x:c r="I2072" s="81" t="n">
        <x:v>0</x:v>
      </x:c>
      <x:c r="J2072" s="79" t="n">
        <x:v>3.823999994711668e-23</x:v>
      </x:c>
      <x:c r="K2072" s="81" t="n">
        <x:v>-1</x:v>
      </x:c>
      <x:c r="L2072" s="81" t="n">
        <x:v>-1</x:v>
      </x:c>
      <x:c r="M2072" s="80" t="n">
        <x:v>0.000002</x:v>
      </x:c>
      <x:c r="N2072" s="82" t="n">
        <x:v>0.18511808147108524</x:v>
      </x:c>
      <x:c r="O2072" s="82" t="n">
        <x:v>0.11061927640955906</x:v>
      </x:c>
      <x:c r="P2072" s="80" t="n">
        <x:v>230.8804045709968</x:v>
      </x:c>
      <x:c r="Q2072" s="81" t="n">
        <x:v>765852.3331621655</x:v>
      </x:c>
      <x:c r="R2072" s="81" t="n">
        <x:v>14.851222133890639</x:v>
      </x:c>
      <x:c r="S2072" s="81" t="n">
        <x:v>2.8002175005472593e-10</x:v>
      </x:c>
      <x:c r="T2072" s="81" t="n">
        <x:v>8.283618851558051e-19</x:v>
      </x:c>
    </x:row>
    <x:row r="2073">
      <x:c r="A2073" s="59" t="n">
        <x:v>2070</x:v>
      </x:c>
      <x:c r="B2073" s="193" t="n">
        <x:v>0.8484079664573074</x:v>
      </x:c>
      <x:c r="C2073" s="83" t="n">
        <x:v>1.460162319368917</x:v>
      </x:c>
      <x:c r="D2073" s="83" t="n">
        <x:v>0.4477239090445362</x:v>
      </x:c>
      <x:c r="E2073" s="81" t="n">
        <x:v>0.06820531942514511</x:v>
      </x:c>
      <x:c r="F2073" s="81" t="n">
        <x:v>0.579643587989267</x:v>
      </x:c>
      <x:c r="G2073" s="81" t="n">
        <x:v>0.005867528598144177</x:v>
      </x:c>
      <x:c r="H2073" s="59" t="n">
        <x:v>0</x:v>
      </x:c>
      <x:c r="I2073" s="81" t="n">
        <x:v>0</x:v>
      </x:c>
      <x:c r="J2073" s="79" t="n">
        <x:v>0.001038612042452832</x:v>
      </x:c>
      <x:c r="K2073" s="81" t="n">
        <x:v>0.18698519137466518</x:v>
      </x:c>
      <x:c r="L2073" s="81" t="n">
        <x:v>-0.7078361257412481</x:v>
      </x:c>
      <x:c r="M2073" s="80" t="n">
        <x:v>15256.656342229511</x:v>
      </x:c>
      <x:c r="N2073" s="82" t="n">
        <x:v>0.30420043525950174</x:v>
      </x:c>
      <x:c r="O2073" s="82" t="n">
        <x:v>0.1665680912369564</x:v>
      </x:c>
      <x:c r="P2073" s="80" t="n">
        <x:v>14158.953617307407</x:v>
      </x:c>
      <x:c r="Q2073" s="81" t="n">
        <x:v>0.005556333661568996</x:v>
      </x:c>
      <x:c r="R2073" s="81" t="n">
        <x:v>28.3299969645033</x:v>
      </x:c>
      <x:c r="S2073" s="81" t="n">
        <x:v>14.593090951855812</x:v>
      </x:c>
      <x:c r="T2073" s="81" t="n">
        <x:v>22.498604357258106</x:v>
      </x:c>
    </x:row>
    <x:row r="2074">
      <x:c r="A2074" s="59" t="n">
        <x:v>2071</x:v>
      </x:c>
      <x:c r="B2074" s="193" t="n">
        <x:v>0.9446536062285305</x:v>
      </x:c>
      <x:c r="C2074" s="83" t="n">
        <x:v>0.28438166952463934</x:v>
      </x:c>
      <x:c r="D2074" s="83" t="n">
        <x:v>0.6232913092961504</x:v>
      </x:c>
      <x:c r="E2074" s="81" t="n">
        <x:v>-0.029846958186487</x:v>
      </x:c>
      <x:c r="F2074" s="81" t="n">
        <x:v>0.6136871610535308</x:v>
      </x:c>
      <x:c r="G2074" s="81" t="n">
        <x:v>0.017643919829760938</x:v>
      </x:c>
      <x:c r="H2074" s="59" t="n">
        <x:v>0</x:v>
      </x:c>
      <x:c r="I2074" s="81" t="n">
        <x:v>0</x:v>
      </x:c>
      <x:c r="J2074" s="79" t="n">
        <x:v>1.2882906776624492e-17</x:v>
      </x:c>
      <x:c r="K2074" s="81" t="n">
        <x:v>-0.9999999999999852</x:v>
      </x:c>
      <x:c r="L2074" s="81" t="n">
        <x:v>-0.9999999999999852</x:v>
      </x:c>
      <x:c r="M2074" s="80" t="n">
        <x:v>0.0008166233539280406</x:v>
      </x:c>
      <x:c r="N2074" s="82" t="n">
        <x:v>0.32712795125875266</x:v>
      </x:c>
      <x:c r="O2074" s="82" t="n">
        <x:v>0.18964248307773904</x:v>
      </x:c>
      <x:c r="P2074" s="80" t="n">
        <x:v>423.73494264532076</x:v>
      </x:c>
      <x:c r="Q2074" s="81" t="n">
        <x:v>2209.2398176246206</x:v>
      </x:c>
      <x:c r="R2074" s="81" t="n">
        <x:v>16.34352001724829</x:v>
      </x:c>
      <x:c r="S2074" s="81" t="n">
        <x:v>2.245243369911586e-7</x:v>
      </x:c>
      <x:c r="T2074" s="81" t="n">
        <x:v>2.790718869908318e-13</x:v>
      </x:c>
    </x:row>
    <x:row r="2075">
      <x:c r="A2075" s="59" t="n">
        <x:v>2072</x:v>
      </x:c>
      <x:c r="B2075" s="193" t="n">
        <x:v>0.24282824248075485</x:v>
      </x:c>
      <x:c r="C2075" s="83" t="n">
        <x:v>2.57738192891121</x:v>
      </x:c>
      <x:c r="D2075" s="83" t="n">
        <x:v>0.7702027696277487</x:v>
      </x:c>
      <x:c r="E2075" s="81" t="n">
        <x:v>-0.006443479504239747</x:v>
      </x:c>
      <x:c r="F2075" s="81" t="n">
        <x:v>0.6454575505806133</x:v>
      </x:c>
      <x:c r="G2075" s="81" t="n">
        <x:v>-0.013686733302741836</x:v>
      </x:c>
      <x:c r="H2075" s="59" t="n">
        <x:v>0</x:v>
      </x:c>
      <x:c r="I2075" s="81" t="n">
        <x:v>0</x:v>
      </x:c>
      <x:c r="J2075" s="79" t="n">
        <x:v>1.0458570061841906e-7</x:v>
      </x:c>
      <x:c r="K2075" s="81" t="n">
        <x:v>-0.9998804734850075</x:v>
      </x:c>
      <x:c r="L2075" s="81" t="n">
        <x:v>-0.9998804734850075</x:v>
      </x:c>
      <x:c r="M2075" s="80" t="n">
        <x:v>198.21161897541353</x:v>
      </x:c>
      <x:c r="N2075" s="82" t="n">
        <x:v>0.15993999038846243</x:v>
      </x:c>
      <x:c r="O2075" s="82" t="n">
        <x:v>0.09752044918182044</x:v>
      </x:c>
      <x:c r="P2075" s="80" t="n">
        <x:v>4769.192582903136</x:v>
      </x:c>
      <x:c r="Q2075" s="81" t="n">
        <x:v>0.2655320989256604</x:v>
      </x:c>
      <x:c r="R2075" s="81" t="n">
        <x:v>5.822289548061061</x:v>
      </x:c>
      <x:c r="S2075" s="81" t="n">
        <x:v>0.016698578423631424</x:v>
      </x:c>
      <x:c r="T2075" s="81" t="n">
        <x:v>0.002265554608902309</x:v>
      </x:c>
    </x:row>
    <x:row r="2076">
      <x:c r="A2076" s="59" t="n">
        <x:v>2073</x:v>
      </x:c>
      <x:c r="B2076" s="193" t="n">
        <x:v>0.286628114618361</x:v>
      </x:c>
      <x:c r="C2076" s="83" t="n">
        <x:v>2.190544417127</x:v>
      </x:c>
      <x:c r="D2076" s="83" t="n">
        <x:v>0.5122331373765596</x:v>
      </x:c>
      <x:c r="E2076" s="81" t="n">
        <x:v>0.031339903156191166</x:v>
      </x:c>
      <x:c r="F2076" s="81" t="n">
        <x:v>0.726856108114589</x:v>
      </x:c>
      <x:c r="G2076" s="81" t="n">
        <x:v>-0.0359728632167142</x:v>
      </x:c>
      <x:c r="H2076" s="59" t="n">
        <x:v>0</x:v>
      </x:c>
      <x:c r="I2076" s="81" t="n">
        <x:v>0</x:v>
      </x:c>
      <x:c r="J2076" s="79" t="n">
        <x:v>0.0003560384147943254</x:v>
      </x:c>
      <x:c r="K2076" s="81" t="n">
        <x:v>-0.593098954520771</x:v>
      </x:c>
      <x:c r="L2076" s="81" t="n">
        <x:v>-0.7702216596902745</x:v>
      </x:c>
      <x:c r="M2076" s="80" t="n">
        <x:v>10765.805054329312</x:v>
      </x:c>
      <x:c r="N2076" s="82" t="n">
        <x:v>0.17037394117924282</x:v>
      </x:c>
      <x:c r="O2076" s="82" t="n">
        <x:v>0.1169829465369794</x:v>
      </x:c>
      <x:c r="P2076" s="80" t="n">
        <x:v>12467.515091518233</x:v>
      </x:c>
      <x:c r="Q2076" s="81" t="n">
        <x:v>0.007589001939022637</x:v>
      </x:c>
      <x:c r="R2076" s="81" t="n">
        <x:v>15.03124438923923</x:v>
      </x:c>
      <x:c r="S2076" s="81" t="n">
        <x:v>3.518112058011862</x:v>
      </x:c>
      <x:c r="T2076" s="81" t="n">
        <x:v>7.712569374340433</x:v>
      </x:c>
    </x:row>
    <x:row r="2077">
      <x:c r="A2077" s="59" t="n">
        <x:v>2074</x:v>
      </x:c>
      <x:c r="B2077" s="193" t="n">
        <x:v>0.4391642676666379</x:v>
      </x:c>
      <x:c r="C2077" s="83" t="n">
        <x:v>2.008840121912087</x:v>
      </x:c>
      <x:c r="D2077" s="83" t="n">
        <x:v>0.8832870370640654</x:v>
      </x:c>
      <x:c r="E2077" s="81" t="n">
        <x:v>-0.07292950835024752</x:v>
      </x:c>
      <x:c r="F2077" s="81" t="n">
        <x:v>0.5963690511882305</x:v>
      </x:c>
      <x:c r="G2077" s="81" t="n">
        <x:v>0.021229633982843773</x:v>
      </x:c>
      <x:c r="H2077" s="59" t="n">
        <x:v>64</x:v>
      </x:c>
      <x:c r="I2077" s="81" t="n">
        <x:v>0.282391001097858</x:v>
      </x:c>
      <x:c r="J2077" s="79" t="n">
        <x:v>2.45801979601401e-35</x:v>
      </x:c>
      <x:c r="K2077" s="81" t="n">
        <x:v>-1</x:v>
      </x:c>
      <x:c r="L2077" s="81" t="n">
        <x:v>-1</x:v>
      </x:c>
      <x:c r="M2077" s="80" t="n">
        <x:v>0.000002</x:v>
      </x:c>
      <x:c r="N2077" s="82" t="n">
        <x:v>0.20671091288821192</x:v>
      </x:c>
      <x:c r="O2077" s="82" t="n">
        <x:v>0.11645266835808944</x:v>
      </x:c>
      <x:c r="P2077" s="80" t="n">
        <x:v>680.161843954532</x:v>
      </x:c>
      <x:c r="Q2077" s="81" t="n">
        <x:v>1209142061017612800</x:v>
      </x:c>
      <x:c r="R2077" s="81" t="n">
        <x:v>1.6498482931958838</x:v>
      </x:c>
      <x:c r="S2077" s="81" t="n">
        <x:v>3.320536995684442e-10</x:v>
      </x:c>
      <x:c r="T2077" s="81" t="n">
        <x:v>5.324607517762243e-31</x:v>
      </x:c>
    </x:row>
    <x:row r="2078">
      <x:c r="A2078" s="59" t="n">
        <x:v>2075</x:v>
      </x:c>
      <x:c r="B2078" s="193" t="n">
        <x:v>0.9653414638713003</x:v>
      </x:c>
      <x:c r="C2078" s="83" t="n">
        <x:v>1.738390228383198</x:v>
      </x:c>
      <x:c r="D2078" s="83" t="n">
        <x:v>1.0951075525267562</x:v>
      </x:c>
      <x:c r="E2078" s="81" t="n">
        <x:v>-0.00025638864825720196</x:v>
      </x:c>
      <x:c r="F2078" s="81" t="n">
        <x:v>0.5387078138883226</x:v>
      </x:c>
      <x:c r="G2078" s="81" t="n">
        <x:v>-0.009851006134241625</x:v>
      </x:c>
      <x:c r="H2078" s="59" t="n">
        <x:v>0</x:v>
      </x:c>
      <x:c r="I2078" s="81" t="n">
        <x:v>0</x:v>
      </x:c>
      <x:c r="J2078" s="79" t="n">
        <x:v>0.0000014500438651385006</x:v>
      </x:c>
      <x:c r="K2078" s="81" t="n">
        <x:v>-0.9983428070112703</x:v>
      </x:c>
      <x:c r="L2078" s="81" t="n">
        <x:v>-0.9983428070112703</x:v>
      </x:c>
      <x:c r="M2078" s="80" t="n">
        <x:v>562.7387892274003</x:v>
      </x:c>
      <x:c r="N2078" s="82" t="n">
        <x:v>0.3320561868465911</x:v>
      </x:c>
      <x:c r="O2078" s="82" t="n">
        <x:v>0.1689801896597376</x:v>
      </x:c>
      <x:c r="P2078" s="80" t="n">
        <x:v>5550.128051851093</x:v>
      </x:c>
      <x:c r="Q2078" s="81" t="n">
        <x:v>0.14189885628883236</x:v>
      </x:c>
      <x:c r="R2078" s="81" t="n">
        <x:v>8.339176465809711</x:v>
      </x:c>
      <x:c r="S2078" s="81" t="n">
        <x:v>0.10322179813062732</x:v>
      </x:c>
      <x:c r="T2078" s="81" t="n">
        <x:v>0.031411115882475485</x:v>
      </x:c>
    </x:row>
    <x:row r="2079">
      <x:c r="A2079" s="59" t="n">
        <x:v>2076</x:v>
      </x:c>
      <x:c r="B2079" s="193" t="n">
        <x:v>0.6006172504276037</x:v>
      </x:c>
      <x:c r="C2079" s="83" t="n">
        <x:v>1.8273602735740078</x:v>
      </x:c>
      <x:c r="D2079" s="83" t="n">
        <x:v>3</x:v>
      </x:c>
      <x:c r="E2079" s="81" t="n">
        <x:v>0.08149123731719309</x:v>
      </x:c>
      <x:c r="F2079" s="81" t="n">
        <x:v>0.29944520213175563</x:v>
      </x:c>
      <x:c r="G2079" s="81" t="n">
        <x:v>0.006273038182310656</x:v>
      </x:c>
      <x:c r="H2079" s="59" t="n">
        <x:v>0</x:v>
      </x:c>
      <x:c r="I2079" s="81" t="n">
        <x:v>0</x:v>
      </x:c>
      <x:c r="J2079" s="79" t="n">
        <x:v>0.8466004508347723</x:v>
      </x:c>
      <x:c r="K2079" s="81" t="n">
        <x:v>966.543372382597</x:v>
      </x:c>
      <x:c r="L2079" s="81" t="n">
        <x:v>-0.781627697401462</x:v>
      </x:c>
      <x:c r="M2079" s="80" t="n">
        <x:v>910988.3494846474</x:v>
      </x:c>
      <x:c r="N2079" s="82" t="n">
        <x:v>0.24517204062530065</x:v>
      </x:c>
      <x:c r="O2079" s="82" t="n">
        <x:v>0.06935204035223352</x:v>
      </x:c>
      <x:c r="P2079" s="80" t="n">
        <x:v>3243851.0543018314</x:v>
      </x:c>
      <x:c r="Q2079" s="81" t="n">
        <x:v>0.002914615459237436</x:v>
      </x:c>
      <x:c r="R2079" s="81" t="n">
        <x:v>5499.862571439494</x:v>
      </x:c>
      <x:c r="S2079" s="81" t="n">
        <x:v>9081.004656789562</x:v>
      </x:c>
      <x:c r="T2079" s="81" t="n">
        <x:v>18339.21407942168</x:v>
      </x:c>
    </x:row>
    <x:row r="2080">
      <x:c r="A2080" s="59" t="n">
        <x:v>2077</x:v>
      </x:c>
      <x:c r="B2080" s="193" t="n">
        <x:v>0.7128965912386775</x:v>
      </x:c>
      <x:c r="C2080" s="83" t="n">
        <x:v>0.1816715388070203</x:v>
      </x:c>
      <x:c r="D2080" s="83" t="n">
        <x:v>1.7388367843738761</x:v>
      </x:c>
      <x:c r="E2080" s="81" t="n">
        <x:v>-0.020576800933210716</x:v>
      </x:c>
      <x:c r="F2080" s="81" t="n">
        <x:v>0.42025071607204156</x:v>
      </x:c>
      <x:c r="G2080" s="81" t="n">
        <x:v>0.03830774001286442</x:v>
      </x:c>
      <x:c r="H2080" s="59" t="n">
        <x:v>0</x:v>
      </x:c>
      <x:c r="I2080" s="81" t="n">
        <x:v>0</x:v>
      </x:c>
      <x:c r="J2080" s="79" t="n">
        <x:v>3.683700949667788e-27</x:v>
      </x:c>
      <x:c r="K2080" s="81" t="n">
        <x:v>-1</x:v>
      </x:c>
      <x:c r="L2080" s="81" t="n">
        <x:v>-1</x:v>
      </x:c>
      <x:c r="M2080" s="80" t="n">
        <x:v>0.000002</x:v>
      </x:c>
      <x:c r="N2080" s="82" t="n">
        <x:v>0.27191908484413846</x:v>
      </x:c>
      <x:c r="O2080" s="82" t="n">
        <x:v>0.10794911691286949</x:v>
      </x:c>
      <x:c r="P2080" s="80" t="n">
        <x:v>787.961472104702</x:v>
      </x:c>
      <x:c r="Q2080" s="81" t="n">
        <x:v>27200586659.04559</x:v>
      </x:c>
      <x:c r="R2080" s="81" t="n">
        <x:v>20.312201530178143</x:v>
      </x:c>
      <x:c r="S2080" s="81" t="n">
        <x:v>2.0365743156167025e-9</x:v>
      </x:c>
      <x:c r="T2080" s="81" t="n">
        <x:v>7.979700489636425e-23</x:v>
      </x:c>
    </x:row>
    <x:row r="2081">
      <x:c r="A2081" s="59" t="n">
        <x:v>2078</x:v>
      </x:c>
      <x:c r="B2081" s="193" t="n">
        <x:v>0.8470462402328849</x:v>
      </x:c>
      <x:c r="C2081" s="83" t="n">
        <x:v>2.91034558080698</x:v>
      </x:c>
      <x:c r="D2081" s="83" t="n">
        <x:v>1.3827314274999658</x:v>
      </x:c>
      <x:c r="E2081" s="81" t="n">
        <x:v>0.05292845405110765</x:v>
      </x:c>
      <x:c r="F2081" s="81" t="n">
        <x:v>0.6533723568078131</x:v>
      </x:c>
      <x:c r="G2081" s="81" t="n">
        <x:v>0.022254365020093394</x:v>
      </x:c>
      <x:c r="H2081" s="59" t="n">
        <x:v>0</x:v>
      </x:c>
      <x:c r="I2081" s="81" t="n">
        <x:v>0</x:v>
      </x:c>
      <x:c r="J2081" s="79" t="n">
        <x:v>0.020431757903290992</x:v>
      </x:c>
      <x:c r="K2081" s="81" t="n">
        <x:v>22.350580460903995</x:v>
      </x:c>
      <x:c r="L2081" s="81" t="n">
        <x:v>-0.6580868775179919</x:v>
      </x:c>
      <x:c r="M2081" s="80" t="n">
        <x:v>128732.27728417692</x:v>
      </x:c>
      <x:c r="N2081" s="82" t="n">
        <x:v>0.30387604654047773</x:v>
      </x:c>
      <x:c r="O2081" s="82" t="n">
        <x:v>0.18755479234233463</x:v>
      </x:c>
      <x:c r="P2081" s="80" t="n">
        <x:v>303445.272287782</x:v>
      </x:c>
      <x:c r="Q2081" s="81" t="n">
        <x:v>0.009016560143096654</x:v>
      </x:c>
      <x:c r="R2081" s="81" t="n">
        <x:v>100.72775485543606</x:v>
      </x:c>
      <x:c r="S2081" s="81" t="n">
        <x:v>157.4731991820626</x:v>
      </x:c>
      <x:c r="T2081" s="81" t="n">
        <x:v>442.5964831909811</x:v>
      </x:c>
    </x:row>
    <x:row r="2082">
      <x:c r="A2082" s="59" t="n">
        <x:v>2079</x:v>
      </x:c>
      <x:c r="B2082" s="193" t="n">
        <x:v>0.6232713755220175</x:v>
      </x:c>
      <x:c r="C2082" s="83" t="n">
        <x:v>0.7364029330635972</x:v>
      </x:c>
      <x:c r="D2082" s="83" t="n">
        <x:v>0.6780592834931843</x:v>
      </x:c>
      <x:c r="E2082" s="81" t="n">
        <x:v>-0.016012696263705887</x:v>
      </x:c>
      <x:c r="F2082" s="81" t="n">
        <x:v>0.6306711543002166</x:v>
      </x:c>
      <x:c r="G2082" s="81" t="n">
        <x:v>-0.02552532896303854</x:v>
      </x:c>
      <x:c r="H2082" s="59" t="n">
        <x:v>0</x:v>
      </x:c>
      <x:c r="I2082" s="81" t="n">
        <x:v>0</x:v>
      </x:c>
      <x:c r="J2082" s="79" t="n">
        <x:v>8.346486118447616e-11</x:v>
      </x:c>
      <x:c r="K2082" s="81" t="n">
        <x:v>-0.9999999046115872</x:v>
      </x:c>
      <x:c r="L2082" s="81" t="n">
        <x:v>-0.9999999046115872</x:v>
      </x:c>
      <x:c r="M2082" s="80" t="n">
        <x:v>2.7466373734927365</x:v>
      </x:c>
      <x:c r="N2082" s="82" t="n">
        <x:v>0.2505686779876355</x:v>
      </x:c>
      <x:c r="O2082" s="82" t="n">
        <x:v>0.14927967851718013</x:v>
      </x:c>
      <x:c r="P2082" s="80" t="n">
        <x:v>955.5928274047149</x:v>
      </x:c>
      <x:c r="Q2082" s="81" t="n">
        <x:v>2.0900064870256503</x:v>
      </x:c>
      <x:c r="R2082" s="81" t="n">
        <x:v>10.117901154577217</x:v>
      </x:c>
      <x:c r="S2082" s="81" t="n">
        <x:v>0.0003504837953225918</x:v>
      </x:c>
      <x:c r="T2082" s="81" t="n">
        <x:v>0.000001808031115341395</x:v>
      </x:c>
    </x:row>
    <x:row r="2083">
      <x:c r="A2083" s="59" t="n">
        <x:v>2080</x:v>
      </x:c>
      <x:c r="B2083" s="193" t="n">
        <x:v>0.8408679207786918</x:v>
      </x:c>
      <x:c r="C2083" s="83" t="n">
        <x:v>1.7441311447378909</x:v>
      </x:c>
      <x:c r="D2083" s="83" t="n">
        <x:v>0.6589469688655507</x:v>
      </x:c>
      <x:c r="E2083" s="81" t="n">
        <x:v>-0.035984163209079476</x:v>
      </x:c>
      <x:c r="F2083" s="81" t="n">
        <x:v>0.7875776707194746</x:v>
      </x:c>
      <x:c r="G2083" s="81" t="n">
        <x:v>0.030484423066026098</x:v>
      </x:c>
      <x:c r="H2083" s="59" t="n">
        <x:v>0</x:v>
      </x:c>
      <x:c r="I2083" s="81" t="n">
        <x:v>0</x:v>
      </x:c>
      <x:c r="J2083" s="79" t="n">
        <x:v>7.154702687245798e-22</x:v>
      </x:c>
      <x:c r="K2083" s="81" t="n">
        <x:v>-1</x:v>
      </x:c>
      <x:c r="L2083" s="81" t="n">
        <x:v>-1</x:v>
      </x:c>
      <x:c r="M2083" s="80" t="n">
        <x:v>0.000013185998053804434</x:v>
      </x:c>
      <x:c r="N2083" s="82" t="n">
        <x:v>0.30240425500299906</x:v>
      </x:c>
      <x:c r="O2083" s="82" t="n">
        <x:v>0.2249843109488389</x:v>
      </x:c>
      <x:c r="P2083" s="80" t="n">
        <x:v>953.2347077217685</x:v>
      </x:c>
      <x:c r="Q2083" s="81" t="n">
        <x:v>535954.4975740571</x:v>
      </x:c>
      <x:c r="R2083" s="81" t="n">
        <x:v>3.3765268444352174</x:v>
      </x:c>
      <x:c r="S2083" s="81" t="n">
        <x:v>2.1337045076957087e-9</x:v>
      </x:c>
      <x:c r="T2083" s="81" t="n">
        <x:v>1.549864804898649e-17</x:v>
      </x:c>
    </x:row>
    <x:row r="2084">
      <x:c r="A2084" s="59" t="n">
        <x:v>2081</x:v>
      </x:c>
      <x:c r="B2084" s="193" t="n">
        <x:v>0.9596707129850983</x:v>
      </x:c>
      <x:c r="C2084" s="83" t="n">
        <x:v>0.44239011004626644</x:v>
      </x:c>
      <x:c r="D2084" s="83" t="n">
        <x:v>0.14818796317339222</x:v>
      </x:c>
      <x:c r="E2084" s="81" t="n">
        <x:v>0.0724631046149067</x:v>
      </x:c>
      <x:c r="F2084" s="81" t="n">
        <x:v>0.7134605686645955</x:v>
      </x:c>
      <x:c r="G2084" s="81" t="n">
        <x:v>-0.0006944026285837417</x:v>
      </x:c>
      <x:c r="H2084" s="59" t="n">
        <x:v>0</x:v>
      </x:c>
      <x:c r="I2084" s="81" t="n">
        <x:v>0</x:v>
      </x:c>
      <x:c r="J2084" s="79" t="n">
        <x:v>0.00001908198903415875</x:v>
      </x:c>
      <x:c r="K2084" s="81" t="n">
        <x:v>-0.97819201253239</x:v>
      </x:c>
      <x:c r="L2084" s="81" t="n">
        <x:v>-0.9812228584753951</x:v>
      </x:c>
      <x:c r="M2084" s="80" t="n">
        <x:v>1121.032828641424</x:v>
      </x:c>
      <x:c r="N2084" s="82" t="n">
        <x:v>0.3307053076589188</x:v>
      </x:c>
      <x:c r="O2084" s="82" t="n">
        <x:v>0.22288563685773483</x:v>
      </x:c>
      <x:c r="P2084" s="80" t="n">
        <x:v>551.4506407955297</x:v>
      </x:c>
      <x:c r="Q2084" s="81" t="n">
        <x:v>0.0061232890794564124</x:v>
      </x:c>
      <x:c r="R2084" s="81" t="n">
        <x:v>23.03223410194786</x:v>
      </x:c>
      <x:c r="S2084" s="81" t="n">
        <x:v>0.8543188313560743</x:v>
      </x:c>
      <x:c r="T2084" s="81" t="n">
        <x:v>0.4133575426442955</x:v>
      </x:c>
    </x:row>
    <x:row r="2085">
      <x:c r="A2085" s="59" t="n">
        <x:v>2082</x:v>
      </x:c>
      <x:c r="B2085" s="193" t="n">
        <x:v>0.5265467446297407</x:v>
      </x:c>
      <x:c r="C2085" s="83" t="n">
        <x:v>0.14747126397433027</x:v>
      </x:c>
      <x:c r="D2085" s="83" t="n">
        <x:v>0.3894260841136782</x:v>
      </x:c>
      <x:c r="E2085" s="81" t="n">
        <x:v>-0.04369170317641841</x:v>
      </x:c>
      <x:c r="F2085" s="81" t="n">
        <x:v>0.4637704119435512</x:v>
      </x:c>
      <x:c r="G2085" s="81" t="n">
        <x:v>0.024049363811334937</x:v>
      </x:c>
      <x:c r="H2085" s="59" t="n">
        <x:v>0</x:v>
      </x:c>
      <x:c r="I2085" s="81" t="n">
        <x:v>0</x:v>
      </x:c>
      <x:c r="J2085" s="79" t="n">
        <x:v>8.93179370664498e-17</x:v>
      </x:c>
      <x:c r="K2085" s="81" t="n">
        <x:v>-0.999999999999898</x:v>
      </x:c>
      <x:c r="L2085" s="81" t="n">
        <x:v>-0.999999999999898</x:v>
      </x:c>
      <x:c r="M2085" s="80" t="n">
        <x:v>0.0019156847104144874</x:v>
      </x:c>
      <x:c r="N2085" s="82" t="n">
        <x:v>0.22752705732226594</x:v>
      </x:c>
      <x:c r="O2085" s="82" t="n">
        <x:v>0.0996797705211918</x:v>
      </x:c>
      <x:c r="P2085" s="80" t="n">
        <x:v>290.2114812975211</x:v>
      </x:c>
      <x:c r="Q2085" s="81" t="n">
        <x:v>517.511010696944</x:v>
      </x:c>
      <x:c r="R2085" s="81" t="n">
        <x:v>38.31081146794328</x:v>
      </x:c>
      <x:c r="S2085" s="81" t="n">
        <x:v>3.973509503371895e-7</x:v>
      </x:c>
      <x:c r="T2085" s="81" t="n">
        <x:v>1.934821517492461e-12</x:v>
      </x:c>
    </x:row>
    <x:row r="2086">
      <x:c r="A2086" s="59" t="n">
        <x:v>2083</x:v>
      </x:c>
      <x:c r="B2086" s="193" t="n">
        <x:v>0.2022173073142767</x:v>
      </x:c>
      <x:c r="C2086" s="83" t="n">
        <x:v>0.15353134534905075</x:v>
      </x:c>
      <x:c r="D2086" s="83" t="n">
        <x:v>1.5655218921773353</x:v>
      </x:c>
      <x:c r="E2086" s="81" t="n">
        <x:v>-0.00871365457810879</x:v>
      </x:c>
      <x:c r="F2086" s="81" t="n">
        <x:v>0.8322228920063935</x:v>
      </x:c>
      <x:c r="G2086" s="81" t="n">
        <x:v>0.030827382847138114</x:v>
      </x:c>
      <x:c r="H2086" s="59" t="n">
        <x:v>15</x:v>
      </x:c>
      <x:c r="I2086" s="81" t="n">
        <x:v>0.2513113793917</x:v>
      </x:c>
      <x:c r="J2086" s="79" t="n">
        <x:v>3.70135359067456e-15</x:v>
      </x:c>
      <x:c r="K2086" s="81" t="n">
        <x:v>-0.9999999999957698</x:v>
      </x:c>
      <x:c r="L2086" s="81" t="n">
        <x:v>-0.9999999999957698</x:v>
      </x:c>
      <x:c r="M2086" s="80" t="n">
        <x:v>0.012329529453928538</x:v>
      </x:c>
      <x:c r="N2086" s="82" t="n">
        <x:v>0.1502657041767729</x:v>
      </x:c>
      <x:c r="O2086" s="82" t="n">
        <x:v>0.11813279258431045</x:v>
      </x:c>
      <x:c r="P2086" s="80" t="n">
        <x:v>1151.2110793752586</x:v>
      </x:c>
      <x:c r="Q2086" s="81" t="n">
        <x:v>389.4814914171392</x:v>
      </x:c>
      <x:c r="R2086" s="81" t="n">
        <x:v>37.12749772957438</x:v>
      </x:c>
      <x:c r="S2086" s="81" t="n">
        <x:v>0.000011019098649673834</x:v>
      </x:c>
      <x:c r="T2086" s="81" t="n">
        <x:v>8.017939964015532e-11</x:v>
      </x:c>
    </x:row>
    <x:row r="2087">
      <x:c r="A2087" s="59" t="n">
        <x:v>2084</x:v>
      </x:c>
      <x:c r="B2087" s="193" t="n">
        <x:v>0.5097714336588979</x:v>
      </x:c>
      <x:c r="C2087" s="83" t="n">
        <x:v>1.898359791333237</x:v>
      </x:c>
      <x:c r="D2087" s="83" t="n">
        <x:v>1.0928862913759407</x:v>
      </x:c>
      <x:c r="E2087" s="81" t="n">
        <x:v>-0.03329853942461083</x:v>
      </x:c>
      <x:c r="F2087" s="81" t="n">
        <x:v>0.45420194333419206</x:v>
      </x:c>
      <x:c r="G2087" s="81" t="n">
        <x:v>0.053418042633615825</x:v>
      </x:c>
      <x:c r="H2087" s="59" t="n">
        <x:v>0</x:v>
      </x:c>
      <x:c r="I2087" s="81" t="n">
        <x:v>0</x:v>
      </x:c>
      <x:c r="J2087" s="79" t="n">
        <x:v>5.484416160173456e-29</x:v>
      </x:c>
      <x:c r="K2087" s="81" t="n">
        <x:v>-1</x:v>
      </x:c>
      <x:c r="L2087" s="81" t="n">
        <x:v>-1</x:v>
      </x:c>
      <x:c r="M2087" s="80" t="n">
        <x:v>0.000002</x:v>
      </x:c>
      <x:c r="N2087" s="82" t="n">
        <x:v>0.2235308637119306</x:v>
      </x:c>
      <x:c r="O2087" s="82" t="n">
        <x:v>0.09590857229936589</x:v>
      </x:c>
      <x:c r="P2087" s="80" t="n">
        <x:v>1326.2920762632673</x:v>
      </x:c>
      <x:c r="Q2087" s="81" t="n">
        <x:v>1143049479657.0283</x:v>
      </x:c>
      <x:c r="R2087" s="81" t="n">
        <x:v>3.0254139815667935</x:v>
      </x:c>
      <x:c r="S2087" s="81" t="n">
        <x:v>6.221607524287762e-10</x:v>
      </x:c>
      <x:c r="T2087" s="81" t="n">
        <x:v>1.1880442771189902e-24</x:v>
      </x:c>
    </x:row>
    <x:row r="2088">
      <x:c r="A2088" s="59" t="n">
        <x:v>2085</x:v>
      </x:c>
      <x:c r="B2088" s="193" t="n">
        <x:v>0.9745955117046834</x:v>
      </x:c>
      <x:c r="C2088" s="83" t="n">
        <x:v>0.39363096502688694</x:v>
      </x:c>
      <x:c r="D2088" s="83" t="n">
        <x:v>0.24881169031285022</x:v>
      </x:c>
      <x:c r="E2088" s="81" t="n">
        <x:v>0.1303846633585118</x:v>
      </x:c>
      <x:c r="F2088" s="81" t="n">
        <x:v>0.4931984614930116</x:v>
      </x:c>
      <x:c r="G2088" s="81" t="n">
        <x:v>-0.014748235971308345</x:v>
      </x:c>
      <x:c r="H2088" s="59" t="n">
        <x:v>0</x:v>
      </x:c>
      <x:c r="I2088" s="81" t="n">
        <x:v>0</x:v>
      </x:c>
      <x:c r="J2088" s="79" t="n">
        <x:v>0.0002678275845806882</x:v>
      </x:c>
      <x:c r="K2088" s="81" t="n">
        <x:v>-0.6939113319077849</x:v>
      </x:c>
      <x:c r="L2088" s="81" t="n">
        <x:v>-0.8357517022449659</x:v>
      </x:c>
      <x:c r="M2088" s="80" t="n">
        <x:v>4363.49063305657</x:v>
      </x:c>
      <x:c r="N2088" s="82" t="n">
        <x:v>0.3342606745539001</x:v>
      </x:c>
      <x:c r="O2088" s="82" t="n">
        <x:v>0.15573202839680134</x:v>
      </x:c>
      <x:c r="P2088" s="80" t="n">
        <x:v>2517.6775752778885</x:v>
      </x:c>
      <x:c r="Q2088" s="81" t="n">
        <x:v>0.0027923676689926803</x:v>
      </x:c>
      <x:c r="R2088" s="81" t="n">
        <x:v>67.84206393951628</x:v>
      </x:c>
      <x:c r="S2088" s="81" t="n">
        <x:v>12.952994025946502</x:v>
      </x:c>
      <x:c r="T2088" s="81" t="n">
        <x:v>5.801730208336807</x:v>
      </x:c>
    </x:row>
    <x:row r="2089">
      <x:c r="A2089" s="59" t="n">
        <x:v>2086</x:v>
      </x:c>
      <x:c r="B2089" s="193" t="n">
        <x:v>0.8477458300068974</x:v>
      </x:c>
      <x:c r="C2089" s="83" t="n">
        <x:v>0.6203566888289889</x:v>
      </x:c>
      <x:c r="D2089" s="83" t="n">
        <x:v>1.9420108951517845</x:v>
      </x:c>
      <x:c r="E2089" s="81" t="n">
        <x:v>-0.09051919110388866</x:v>
      </x:c>
      <x:c r="F2089" s="81" t="n">
        <x:v>0.7955797185073606</x:v>
      </x:c>
      <x:c r="G2089" s="81" t="n">
        <x:v>-0.03511904427153442</x:v>
      </x:c>
      <x:c r="H2089" s="59" t="n">
        <x:v>0</x:v>
      </x:c>
      <x:c r="I2089" s="81" t="n">
        <x:v>0</x:v>
      </x:c>
      <x:c r="J2089" s="79" t="n">
        <x:v>5.617324619904661e-53</x:v>
      </x:c>
      <x:c r="K2089" s="81" t="n">
        <x:v>-1</x:v>
      </x:c>
      <x:c r="L2089" s="81" t="n">
        <x:v>-1</x:v>
      </x:c>
      <x:c r="M2089" s="80" t="n">
        <x:v>0.000002</x:v>
      </x:c>
      <x:c r="N2089" s="82" t="n">
        <x:v>0.30404270194195565</x:v>
      </x:c>
      <x:c r="O2089" s="82" t="n">
        <x:v>0.22850159106397783</x:v>
      </x:c>
      <x:c r="P2089" s="80" t="n">
        <x:v>352.1078143600815</x:v>
      </x:c>
      <x:c r="Q2089" s="81" t="n">
        <x:v>4.332693098786578e+35</x:v>
      </x:c>
      <x:c r="R2089" s="81" t="n">
        <x:v>1.7054759488699458</x:v>
      </x:c>
      <x:c r="S2089" s="81" t="n">
        <x:v>6.795825937153664e-10</x:v>
      </x:c>
      <x:c r="T2089" s="81" t="n">
        <x:v>1.2168351511797515e-48</x:v>
      </x:c>
    </x:row>
    <x:row r="2090">
      <x:c r="A2090" s="59" t="n">
        <x:v>2087</x:v>
      </x:c>
      <x:c r="B2090" s="193" t="n">
        <x:v>0.2240129090845585</x:v>
      </x:c>
      <x:c r="C2090" s="83" t="n">
        <x:v>1.6642278871781258</x:v>
      </x:c>
      <x:c r="D2090" s="83" t="n">
        <x:v>0.5786416646963932</x:v>
      </x:c>
      <x:c r="E2090" s="81" t="n">
        <x:v>-0.02146947718842476</x:v>
      </x:c>
      <x:c r="F2090" s="81" t="n">
        <x:v>0.32150363858090714</x:v>
      </x:c>
      <x:c r="G2090" s="81" t="n">
        <x:v>0.02067704607277352</x:v>
      </x:c>
      <x:c r="H2090" s="59" t="n">
        <x:v>0</x:v>
      </x:c>
      <x:c r="I2090" s="81" t="n">
        <x:v>0</x:v>
      </x:c>
      <x:c r="J2090" s="79" t="n">
        <x:v>6.948015959743096e-13</x:v>
      </x:c>
      <x:c r="K2090" s="81" t="n">
        <x:v>-0.9999999992059411</x:v>
      </x:c>
      <x:c r="L2090" s="81" t="n">
        <x:v>-0.9999999992059411</x:v>
      </x:c>
      <x:c r="M2090" s="80" t="n">
        <x:v>0.38722560863975725</x:v>
      </x:c>
      <x:c r="N2090" s="82" t="n">
        <x:v>0.15545782518598703</x:v>
      </x:c>
      <x:c r="O2090" s="82" t="n">
        <x:v>0.047213850655877805</x:v>
      </x:c>
      <x:c r="P2090" s="80" t="n">
        <x:v>1661.6729608247967</x:v>
      </x:c>
      <x:c r="Q2090" s="81" t="n">
        <x:v>26.77872628239659</x:v>
      </x:c>
      <x:c r="R2090" s="81" t="n">
        <x:v>6.19866875484854</x:v>
      </x:c>
      <x:c r="S2090" s="81" t="n">
        <x:v>0.00004875048469384509</x:v>
      </x:c>
      <x:c r="T2090" s="81" t="n">
        <x:v>1.5050919472972902e-8</x:v>
      </x:c>
    </x:row>
    <x:row r="2091">
      <x:c r="A2091" s="59" t="n">
        <x:v>2088</x:v>
      </x:c>
      <x:c r="B2091" s="193" t="n">
        <x:v>0.6206994645297528</x:v>
      </x:c>
      <x:c r="C2091" s="83" t="n">
        <x:v>2.0427557022251763</x:v>
      </x:c>
      <x:c r="D2091" s="83" t="n">
        <x:v>0.57803705590065</x:v>
      </x:c>
      <x:c r="E2091" s="81" t="n">
        <x:v>0.018079050580680555</x:v>
      </x:c>
      <x:c r="F2091" s="81" t="n">
        <x:v>0.6944214471266605</x:v>
      </x:c>
      <x:c r="G2091" s="81" t="n">
        <x:v>0.02023334891213073</x:v>
      </x:c>
      <x:c r="H2091" s="59" t="n">
        <x:v>0</x:v>
      </x:c>
      <x:c r="I2091" s="81" t="n">
        <x:v>0</x:v>
      </x:c>
      <x:c r="J2091" s="79" t="n">
        <x:v>0.0002329662146514285</x:v>
      </x:c>
      <x:c r="K2091" s="81" t="n">
        <x:v>-0.7337528975412245</x:v>
      </x:c>
      <x:c r="L2091" s="81" t="n">
        <x:v>-0.8410732725483521</x:v>
      </x:c>
      <x:c r="M2091" s="80" t="n">
        <x:v>8272.375962267995</x:v>
      </x:c>
      <x:c r="N2091" s="82" t="n">
        <x:v>0.24995600056594683</x:v>
      </x:c>
      <x:c r="O2091" s="82" t="n">
        <x:v>0.16396744691438284</x:v>
      </x:c>
      <x:c r="P2091" s="80" t="n">
        <x:v>11741.71799562087</x:v>
      </x:c>
      <x:c r="Q2091" s="81" t="n">
        <x:v>0.018090092669551715</x:v>
      </x:c>
      <x:c r="R2091" s="81" t="n">
        <x:v>10.672587825233226</x:v>
      </x:c>
      <x:c r="S2091" s="81" t="n">
        <x:v>3.0091456769966634</x:v>
      </x:c>
      <x:c r="T2091" s="81" t="n">
        <x:v>5.0465568256576345</x:v>
      </x:c>
    </x:row>
    <x:row r="2092">
      <x:c r="A2092" s="59" t="n">
        <x:v>2089</x:v>
      </x:c>
      <x:c r="B2092" s="193" t="n">
        <x:v>0.4809462806209922</x:v>
      </x:c>
      <x:c r="C2092" s="83" t="n">
        <x:v>0.16105311828120386</x:v>
      </x:c>
      <x:c r="D2092" s="83" t="n">
        <x:v>0.7535595383877616</x:v>
      </x:c>
      <x:c r="E2092" s="81" t="n">
        <x:v>0.1127716178164219</x:v>
      </x:c>
      <x:c r="F2092" s="81" t="n">
        <x:v>0.5994671827182174</x:v>
      </x:c>
      <x:c r="G2092" s="81" t="n">
        <x:v>-0.03379290437320418</x:v>
      </x:c>
      <x:c r="H2092" s="59" t="n">
        <x:v>54</x:v>
      </x:c>
      <x:c r="I2092" s="81" t="n">
        <x:v>0.3800258724018931</x:v>
      </x:c>
      <x:c r="J2092" s="79" t="n">
        <x:v>0.0015397160296394296</x:v>
      </x:c>
      <x:c r="K2092" s="81" t="n">
        <x:v>0.7596754624450626</x:v>
      </x:c>
      <x:c r="L2092" s="81" t="n">
        <x:v>-0.9435545441256609</x:v>
      </x:c>
      <x:c r="M2092" s="80" t="n">
        <x:v>10029.552446912086</x:v>
      </x:c>
      <x:c r="N2092" s="82" t="n">
        <x:v>0.21666417178668182</x:v>
      </x:c>
      <x:c r="O2092" s="82" t="n">
        <x:v>0.12269403690550816</x:v>
      </x:c>
      <x:c r="P2092" s="80" t="n">
        <x:v>13766.941520504804</x:v>
      </x:c>
      <x:c r="Q2092" s="81" t="n">
        <x:v>0.0027767964897946053</x:v>
      </x:c>
      <x:c r="R2092" s="81" t="n">
        <x:v>702.5110541172554</x:v>
      </x:c>
      <x:c r="S2092" s="81" t="n">
        <x:v>179.5771257298065</x:v>
      </x:c>
      <x:c r="T2092" s="81" t="n">
        <x:v>33.353610739554895</x:v>
      </x:c>
    </x:row>
    <x:row r="2093">
      <x:c r="A2093" s="59" t="n">
        <x:v>2090</x:v>
      </x:c>
      <x:c r="B2093" s="193" t="n">
        <x:v>0.3096792483702302</x:v>
      </x:c>
      <x:c r="C2093" s="83" t="n">
        <x:v>0.811135561060772</x:v>
      </x:c>
      <x:c r="D2093" s="83" t="n">
        <x:v>0.18552974020697832</x:v>
      </x:c>
      <x:c r="E2093" s="81" t="n">
        <x:v>-0.02713436375401798</x:v>
      </x:c>
      <x:c r="F2093" s="81" t="n">
        <x:v>0.868917405907996</x:v>
      </x:c>
      <x:c r="G2093" s="81" t="n">
        <x:v>0.034691342991257014</x:v>
      </x:c>
      <x:c r="H2093" s="59" t="n">
        <x:v>33</x:v>
      </x:c>
      <x:c r="I2093" s="81" t="n">
        <x:v>0.40088931210339074</x:v>
      </x:c>
      <x:c r="J2093" s="79" t="n">
        <x:v>1.9873471250913316e-9</x:v>
      </x:c>
      <x:c r="K2093" s="81" t="n">
        <x:v>-0.9999977287461428</x:v>
      </x:c>
      <x:c r="L2093" s="81" t="n">
        <x:v>-0.9999977287461428</x:v>
      </x:c>
      <x:c r="M2093" s="80" t="n">
        <x:v>13.913644644487594</x:v>
      </x:c>
      <x:c r="N2093" s="82" t="n">
        <x:v>0.17586515344769593</x:v>
      </x:c>
      <x:c r="O2093" s="82" t="n">
        <x:v>0.1443541368114148</x:v>
      </x:c>
      <x:c r="P2093" s="80" t="n">
        <x:v>394.1861869960211</x:v>
      </x:c>
      <x:c r="Q2093" s="81" t="n">
        <x:v>0.25667857789102966</x:v>
      </x:c>
      <x:c r="R2093" s="81" t="n">
        <x:v>10.766058396944478</x:v>
      </x:c>
      <x:c r="S2093" s="81" t="n">
        <x:v>0.0010053693140773953</x:v>
      </x:c>
      <x:c r="T2093" s="81" t="n">
        <x:v>0.000043050277543835424</x:v>
      </x:c>
    </x:row>
    <x:row r="2094">
      <x:c r="A2094" s="59" t="n">
        <x:v>2091</x:v>
      </x:c>
      <x:c r="B2094" s="193" t="n">
        <x:v>0.6696869993582368</x:v>
      </x:c>
      <x:c r="C2094" s="83" t="n">
        <x:v>0.16677795815660326</x:v>
      </x:c>
      <x:c r="D2094" s="83" t="n">
        <x:v>1.4827230928485693</x:v>
      </x:c>
      <x:c r="E2094" s="81" t="n">
        <x:v>0.0982700284302503</x:v>
      </x:c>
      <x:c r="F2094" s="81" t="n">
        <x:v>0.2932596902595833</x:v>
      </x:c>
      <x:c r="G2094" s="81" t="n">
        <x:v>-0.025303212109433704</x:v>
      </x:c>
      <x:c r="H2094" s="59" t="n">
        <x:v>0</x:v>
      </x:c>
      <x:c r="I2094" s="81" t="n">
        <x:v>0</x:v>
      </x:c>
      <x:c r="J2094" s="79" t="n">
        <x:v>0.018950448517700606</x:v>
      </x:c>
      <x:c r="K2094" s="81" t="n">
        <x:v>20.657655448800696</x:v>
      </x:c>
      <x:c r="L2094" s="81" t="n">
        <x:v>-0.7907495946551371</x:v>
      </x:c>
      <x:c r="M2094" s="80" t="n">
        <x:v>41843.22443782282</x:v>
      </x:c>
      <x:c r="N2094" s="82" t="n">
        <x:v>0.26162574987837</x:v>
      </x:c>
      <x:c r="O2094" s="82" t="n">
        <x:v>0.07247759928212724</x:v>
      </x:c>
      <x:c r="P2094" s="80" t="n">
        <x:v>91758.40823135158</x:v>
      </x:c>
      <x:c r="Q2094" s="81" t="n">
        <x:v>0.0020233433452245334</x:v>
      </x:c>
      <x:c r="R2094" s="81" t="n">
        <x:v>4271.254310673138</x:v>
      </x:c>
      <x:c r="S2094" s="81" t="n">
        <x:v>2128.1674478385858</x:v>
      </x:c>
      <x:c r="T2094" s="81" t="n">
        <x:v>410.5080878760339</x:v>
      </x:c>
    </x:row>
    <x:row r="2095">
      <x:c r="A2095" s="59" t="n">
        <x:v>2092</x:v>
      </x:c>
      <x:c r="B2095" s="193" t="n">
        <x:v>0.389891573227942</x:v>
      </x:c>
      <x:c r="C2095" s="83" t="n">
        <x:v>0.2716563098821749</x:v>
      </x:c>
      <x:c r="D2095" s="83" t="n">
        <x:v>0.7329453090544857</x:v>
      </x:c>
      <x:c r="E2095" s="81" t="n">
        <x:v>-0.029729216426302333</x:v>
      </x:c>
      <x:c r="F2095" s="81" t="n">
        <x:v>0.8427406034781598</x:v>
      </x:c>
      <x:c r="G2095" s="81" t="n">
        <x:v>-0.03187393499471186</x:v>
      </x:c>
      <x:c r="H2095" s="59" t="n">
        <x:v>17</x:v>
      </x:c>
      <x:c r="I2095" s="81" t="n">
        <x:v>0.4385081768035889</x:v>
      </x:c>
      <x:c r="J2095" s="79" t="n">
        <x:v>6.923188420623424e-16</x:v>
      </x:c>
      <x:c r="K2095" s="81" t="n">
        <x:v>-0.9999999999992087</x:v>
      </x:c>
      <x:c r="L2095" s="81" t="n">
        <x:v>-0.9999999999992087</x:v>
      </x:c>
      <x:c r="M2095" s="80" t="n">
        <x:v>0.005892426470455498</x:v>
      </x:c>
      <x:c r="N2095" s="82" t="n">
        <x:v>0.19497323320989393</x:v>
      </x:c>
      <x:c r="O2095" s="82" t="n">
        <x:v>0.15521720337939002</x:v>
      </x:c>
      <x:c r="P2095" s="80" t="n">
        <x:v>440.0933261314229</x:v>
      </x:c>
      <x:c r="Q2095" s="81" t="n">
        <x:v>297.76720298250007</x:v>
      </x:c>
      <x:c r="R2095" s="81" t="n">
        <x:v>16.384956570511914</x:v>
      </x:c>
      <x:c r="S2095" s="81" t="n">
        <x:v>0.0000010322434726222674</x:v>
      </x:c>
      <x:c r="T2095" s="81" t="n">
        <x:v>1.499713760284374e-11</x:v>
      </x:c>
    </x:row>
    <x:row r="2096">
      <x:c r="A2096" s="59" t="n">
        <x:v>2093</x:v>
      </x:c>
      <x:c r="B2096" s="193" t="n">
        <x:v>0.269081318564713</x:v>
      </x:c>
      <x:c r="C2096" s="83" t="n">
        <x:v>0.21205177399943537</x:v>
      </x:c>
      <x:c r="D2096" s="83" t="n">
        <x:v>2.1913257140206754</x:v>
      </x:c>
      <x:c r="E2096" s="81" t="n">
        <x:v>0.1208011316580339</x:v>
      </x:c>
      <x:c r="F2096" s="81" t="n">
        <x:v>0.8433417292661034</x:v>
      </x:c>
      <x:c r="G2096" s="81" t="n">
        <x:v>-0.05</x:v>
      </x:c>
      <x:c r="H2096" s="59" t="n">
        <x:v>0</x:v>
      </x:c>
      <x:c r="I2096" s="81" t="n">
        <x:v>0</x:v>
      </x:c>
      <x:c r="J2096" s="79" t="n">
        <x:v>0.013861160375933813</x:v>
      </x:c>
      <x:c r="K2096" s="81" t="n">
        <x:v>14.84132614392436</x:v>
      </x:c>
      <x:c r="L2096" s="81" t="n">
        <x:v>-0.8561786526607267</x:v>
      </x:c>
      <x:c r="M2096" s="80" t="n">
        <x:v>44380.06737010239</x:v>
      </x:c>
      <x:c r="N2096" s="82" t="n">
        <x:v>0.16619396535683761</x:v>
      </x:c>
      <x:c r="O2096" s="82" t="n">
        <x:v>0.13240054783806646</x:v>
      </x:c>
      <x:c r="P2096" s="80" t="n">
        <x:v>120484.17821448456</x:v>
      </x:c>
      <x:c r="Q2096" s="81" t="n">
        <x:v>0.0032777064154009498</x:v>
      </x:c>
      <x:c r="R2096" s="81" t="n">
        <x:v>3572.6998547497356</x:v>
      </x:c>
      <x:c r="S2096" s="81" t="n">
        <x:v>1234.2669042555242</x:v>
      </x:c>
      <x:c r="T2096" s="81" t="n">
        <x:v>300.26299569389084</x:v>
      </x:c>
    </x:row>
    <x:row r="2097">
      <x:c r="A2097" s="59" t="n">
        <x:v>2094</x:v>
      </x:c>
      <x:c r="B2097" s="193" t="n">
        <x:v>0.20118197053670883</x:v>
      </x:c>
      <x:c r="C2097" s="83" t="n">
        <x:v>2.8172797256002866</x:v>
      </x:c>
      <x:c r="D2097" s="83" t="n">
        <x:v>0.7747370445344303</x:v>
      </x:c>
      <x:c r="E2097" s="81" t="n">
        <x:v>-0.05038637729377906</x:v>
      </x:c>
      <x:c r="F2097" s="81" t="n">
        <x:v>0.4757652294705622</x:v>
      </x:c>
      <x:c r="G2097" s="81" t="n">
        <x:v>0.022895616903112315</x:v>
      </x:c>
      <x:c r="H2097" s="59" t="n">
        <x:v>0</x:v>
      </x:c>
      <x:c r="I2097" s="81" t="n">
        <x:v>0</x:v>
      </x:c>
      <x:c r="J2097" s="79" t="n">
        <x:v>2.136657986113219e-27</x:v>
      </x:c>
      <x:c r="K2097" s="81" t="n">
        <x:v>-1</x:v>
      </x:c>
      <x:c r="L2097" s="81" t="n">
        <x:v>-1</x:v>
      </x:c>
      <x:c r="M2097" s="80" t="n">
        <x:v>0.000002</x:v>
      </x:c>
      <x:c r="N2097" s="82" t="n">
        <x:v>0.15001906754379166</x:v>
      </x:c>
      <x:c r="O2097" s="82" t="n">
        <x:v>0.06742331516909933</x:v>
      </x:c>
      <x:c r="P2097" s="80" t="n">
        <x:v>1197.5950967100403</x:v>
      </x:c>
      <x:c r="Q2097" s="81" t="n">
        <x:v>19710413574.17021</x:v>
      </x:c>
      <x:c r="R2097" s="81" t="n">
        <x:v>2.02972762722696</x:v>
      </x:c>
      <x:c r="S2097" s="81" t="n">
        <x:v>2.34163288176814e-10</x:v>
      </x:c>
      <x:c r="T2097" s="81" t="n">
        <x:v>4.62846767719048e-23</x:v>
      </x:c>
    </x:row>
    <x:row r="2098">
      <x:c r="A2098" s="59" t="n">
        <x:v>2095</x:v>
      </x:c>
      <x:c r="B2098" s="193" t="n">
        <x:v>0.4389773795381189</x:v>
      </x:c>
      <x:c r="C2098" s="83" t="n">
        <x:v>0.5133355632174891</x:v>
      </x:c>
      <x:c r="D2098" s="83" t="n">
        <x:v>0.6200518608946206</x:v>
      </x:c>
      <x:c r="E2098" s="81" t="n">
        <x:v>0.03229086133838758</x:v>
      </x:c>
      <x:c r="F2098" s="81" t="n">
        <x:v>0.7210307596717029</x:v>
      </x:c>
      <x:c r="G2098" s="81" t="n">
        <x:v>-0.03072613549454341</x:v>
      </x:c>
      <x:c r="H2098" s="59" t="n">
        <x:v>0</x:v>
      </x:c>
      <x:c r="I2098" s="81" t="n">
        <x:v>0</x:v>
      </x:c>
      <x:c r="J2098" s="79" t="n">
        <x:v>0.00009757711906194958</x:v>
      </x:c>
      <x:c r="K2098" s="81" t="n">
        <x:v>-0.8884832925006291</x:v>
      </x:c>
      <x:c r="L2098" s="81" t="n">
        <x:v>-0.905083590697566</x:v>
      </x:c>
      <x:c r="M2098" s="80" t="n">
        <x:v>2719.3936347437616</x:v>
      </x:c>
      <x:c r="N2098" s="82" t="n">
        <x:v>0.20666639263184625</x:v>
      </x:c>
      <x:c r="O2098" s="82" t="n">
        <x:v>0.1407649703489297</x:v>
      </x:c>
      <x:c r="P2098" s="80" t="n">
        <x:v>4148.928976109818</x:v>
      </x:c>
      <x:c r="Q2098" s="81" t="n">
        <x:v>0.008778857944719587</x:v>
      </x:c>
      <x:c r="R2098" s="81" t="n">
        <x:v>40.29418181196903</x:v>
      </x:c>
      <x:c r="S2098" s="81" t="n">
        <x:v>3.873914518916821</x:v>
      </x:c>
      <x:c r="T2098" s="81" t="n">
        <x:v>2.1137334311195146</x:v>
      </x:c>
    </x:row>
    <x:row r="2099">
      <x:c r="A2099" s="59" t="n">
        <x:v>2096</x:v>
      </x:c>
      <x:c r="B2099" s="193" t="n">
        <x:v>0.6893557915464044</x:v>
      </x:c>
      <x:c r="C2099" s="83" t="n">
        <x:v>2.0181721932144097</x:v>
      </x:c>
      <x:c r="D2099" s="83" t="n">
        <x:v>0.24066679538856137</x:v>
      </x:c>
      <x:c r="E2099" s="81" t="n">
        <x:v>0.01671669922857189</x:v>
      </x:c>
      <x:c r="F2099" s="81" t="n">
        <x:v>0.6559936775476671</x:v>
      </x:c>
      <x:c r="G2099" s="81" t="n">
        <x:v>-0.05</x:v>
      </x:c>
      <x:c r="H2099" s="59" t="n">
        <x:v>0</x:v>
      </x:c>
      <x:c r="I2099" s="81" t="n">
        <x:v>0</x:v>
      </x:c>
      <x:c r="J2099" s="79" t="n">
        <x:v>0.000011316748941698682</x:v>
      </x:c>
      <x:c r="K2099" s="81" t="n">
        <x:v>-0.9870665726380586</x:v>
      </x:c>
      <x:c r="L2099" s="81" t="n">
        <x:v>-0.9870665726380586</x:v>
      </x:c>
      <x:c r="M2099" s="80" t="n">
        <x:v>1749.879117300459</x:v>
      </x:c>
      <x:c r="N2099" s="82" t="n">
        <x:v>0.26631122496744497</x:v>
      </x:c>
      <x:c r="O2099" s="82" t="n">
        <x:v>0.16502892389694096</x:v>
      </x:c>
      <x:c r="P2099" s="80" t="n">
        <x:v>1808.6572744750033</x:v>
      </x:c>
      <x:c r="Q2099" s="81" t="n">
        <x:v>0.01216574726895624</x:v>
      </x:c>
      <x:c r="R2099" s="81" t="n">
        <x:v>7.487372643265499</x:v>
      </x:c>
      <x:c r="S2099" s="81" t="n">
        <x:v>0.137630210277792</x:v>
      </x:c>
      <x:c r="T2099" s="81" t="n">
        <x:v>0.24514548902051747</x:v>
      </x:c>
    </x:row>
    <x:row r="2100">
      <x:c r="A2100" s="59" t="n">
        <x:v>2097</x:v>
      </x:c>
      <x:c r="B2100" s="193" t="n">
        <x:v>0.7348836867138744</x:v>
      </x:c>
      <x:c r="C2100" s="83" t="n">
        <x:v>0.10747567991519545</x:v>
      </x:c>
      <x:c r="D2100" s="83" t="n">
        <x:v>0.8077487896467892</x:v>
      </x:c>
      <x:c r="E2100" s="81" t="n">
        <x:v>0.05308393084375311</x:v>
      </x:c>
      <x:c r="F2100" s="81" t="n">
        <x:v>0.8648182666045614</x:v>
      </x:c>
      <x:c r="G2100" s="81" t="n">
        <x:v>0.0026133948100311305</x:v>
      </x:c>
      <x:c r="H2100" s="59" t="n">
        <x:v>0</x:v>
      </x:c>
      <x:c r="I2100" s="81" t="n">
        <x:v>0</x:v>
      </x:c>
      <x:c r="J2100" s="79" t="n">
        <x:v>0.00022044950923100107</x:v>
      </x:c>
      <x:c r="K2100" s="81" t="n">
        <x:v>-0.7480577037359988</x:v>
      </x:c>
      <x:c r="L2100" s="81" t="n">
        <x:v>-0.8863281472483844</x:v>
      </x:c>
      <x:c r="M2100" s="80" t="n">
        <x:v>3316.95706331146</x:v>
      </x:c>
      <x:c r="N2100" s="82" t="n">
        <x:v>0.27715682324437074</x:v>
      </x:c>
      <x:c r="O2100" s="82" t="n">
        <x:v>0.2264234330133148</x:v>
      </x:c>
      <x:c r="P2100" s="80" t="n">
        <x:v>5514.055052410901</x:v>
      </x:c>
      <x:c r="Q2100" s="81" t="n">
        <x:v>0.009621092367421785</x:v>
      </x:c>
      <x:c r="R2100" s="81" t="n">
        <x:v>177.11131981635327</x:v>
      </x:c>
      <x:c r="S2100" s="81" t="n">
        <x:v>39.229701681539886</x:v>
      </x:c>
      <x:c r="T2100" s="81" t="n">
        <x:v>4.775417659539855</x:v>
      </x:c>
    </x:row>
    <x:row r="2101">
      <x:c r="A2101" s="59" t="n">
        <x:v>2098</x:v>
      </x:c>
      <x:c r="B2101" s="193" t="n">
        <x:v>0.6911334998905658</x:v>
      </x:c>
      <x:c r="C2101" s="83" t="n">
        <x:v>0.1539679755934442</x:v>
      </x:c>
      <x:c r="D2101" s="83" t="n">
        <x:v>0.5461648309437009</x:v>
      </x:c>
      <x:c r="E2101" s="81" t="n">
        <x:v>0.03929357871795315</x:v>
      </x:c>
      <x:c r="F2101" s="81" t="n">
        <x:v>0.5715300197829493</x:v>
      </x:c>
      <x:c r="G2101" s="81" t="n">
        <x:v>-0.0008394968353794855</x:v>
      </x:c>
      <x:c r="H2101" s="59" t="n">
        <x:v>0</x:v>
      </x:c>
      <x:c r="I2101" s="81" t="n">
        <x:v>0</x:v>
      </x:c>
      <x:c r="J2101" s="79" t="n">
        <x:v>0.00012408258309768252</x:v>
      </x:c>
      <x:c r="K2101" s="81" t="n">
        <x:v>-0.8581913336026485</x:v>
      </x:c>
      <x:c r="L2101" s="81" t="n">
        <x:v>-0.9030147763897934</x:v>
      </x:c>
      <x:c r="M2101" s="80" t="n">
        <x:v>2382.498784495752</x:v>
      </x:c>
      <x:c r="N2101" s="82" t="n">
        <x:v>0.2667347084270558</x:v>
      </x:c>
      <x:c r="O2101" s="82" t="n">
        <x:v>0.14400896193742896</x:v>
      </x:c>
      <x:c r="P2101" s="80" t="n">
        <x:v>3057.3749268363854</x:v>
      </x:c>
      <x:c r="Q2101" s="81" t="n">
        <x:v>0.007681392625536768</x:v>
      </x:c>
      <x:c r="R2101" s="81" t="n">
        <x:v>109.92814835585841</x:v>
      </x:c>
      <x:c r="S2101" s="81" t="n">
        <x:v>15.470060537130093</x:v>
      </x:c>
      <x:c r="T2101" s="81" t="n">
        <x:v>2.6878996493708986</x:v>
      </x:c>
    </x:row>
    <x:row r="2102">
      <x:c r="A2102" s="59" t="n">
        <x:v>2099</x:v>
      </x:c>
      <x:c r="B2102" s="193" t="n">
        <x:v>0.717151970602572</x:v>
      </x:c>
      <x:c r="C2102" s="83" t="n">
        <x:v>1.9511148998284846</x:v>
      </x:c>
      <x:c r="D2102" s="83" t="n">
        <x:v>1.5833645371728646</x:v>
      </x:c>
      <x:c r="E2102" s="81" t="n">
        <x:v>0.1500932083488407</x:v>
      </x:c>
      <x:c r="F2102" s="81" t="n">
        <x:v>0.6184144792146982</x:v>
      </x:c>
      <x:c r="G2102" s="81" t="n">
        <x:v>0.03814945712121126</x:v>
      </x:c>
      <x:c r="H2102" s="59" t="n">
        <x:v>21</x:v>
      </x:c>
      <x:c r="I2102" s="81" t="n">
        <x:v>0.1029714796692133</x:v>
      </x:c>
      <x:c r="J2102" s="79" t="n">
        <x:v>0.3174696871936997</x:v>
      </x:c>
      <x:c r="K2102" s="81" t="n">
        <x:v>361.8224996499426</x:v>
      </x:c>
      <x:c r="L2102" s="81" t="n">
        <x:v>-0.8224642217755602</x:v>
      </x:c>
      <x:c r="M2102" s="80" t="n">
        <x:v>632873.5712753867</x:v>
      </x:c>
      <x:c r="N2102" s="82" t="n">
        <x:v>0.2729327959969812</x:v>
      </x:c>
      <x:c r="O2102" s="82" t="n">
        <x:v>0.1594433150811861</x:v>
      </x:c>
      <x:c r="P2102" s="80" t="n">
        <x:v>1340472.2802578176</x:v>
      </x:c>
      <x:c r="Q2102" s="81" t="n">
        <x:v>0.0037079149750156417</x:v>
      </x:c>
      <x:c r="R2102" s="81" t="n">
        <x:v>1101.3468567502257</x:v>
      </x:c>
      <x:c r="S2102" s="81" t="n">
        <x:v>3274.113816840468</x:v>
      </x:c>
      <x:c r="T2102" s="81" t="n">
        <x:v>6877.086530525105</x:v>
      </x:c>
    </x:row>
    <x:row r="2103">
      <x:c r="A2103" s="59" t="n">
        <x:v>2100</x:v>
      </x:c>
      <x:c r="B2103" s="193" t="n">
        <x:v>0.23280648756772282</x:v>
      </x:c>
      <x:c r="C2103" s="83" t="n">
        <x:v>1.3374287216780396</x:v>
      </x:c>
      <x:c r="D2103" s="83" t="n">
        <x:v>0.8500036221012675</x:v>
      </x:c>
      <x:c r="E2103" s="81" t="n">
        <x:v>0.12684633753372512</x:v>
      </x:c>
      <x:c r="F2103" s="81" t="n">
        <x:v>0.5435092675732449</x:v>
      </x:c>
      <x:c r="G2103" s="81" t="n">
        <x:v>-0.008089150919879256</x:v>
      </x:c>
      <x:c r="H2103" s="59" t="n">
        <x:v>0</x:v>
      </x:c>
      <x:c r="I2103" s="81" t="n">
        <x:v>0</x:v>
      </x:c>
      <x:c r="J2103" s="79" t="n">
        <x:v>0.04598860827606384</x:v>
      </x:c>
      <x:c r="K2103" s="81" t="n">
        <x:v>51.558409458358675</x:v>
      </x:c>
      <x:c r="L2103" s="81" t="n">
        <x:v>-0.7054184072740348</x:v>
      </x:c>
      <x:c r="M2103" s="80" t="n">
        <x:v>122246.59519158633</x:v>
      </x:c>
      <x:c r="N2103" s="82" t="n">
        <x:v>0.15755262046027338</x:v>
      </x:c>
      <x:c r="O2103" s="82" t="n">
        <x:v>0.08089161878839149</x:v>
      </x:c>
      <x:c r="P2103" s="80" t="n">
        <x:v>167538.0475035093</x:v>
      </x:c>
      <x:c r="Q2103" s="81" t="n">
        <x:v>0.0017721682036020397</x:v>
      </x:c>
      <x:c r="R2103" s="81" t="n">
        <x:v>731.9016851058935</x:v>
      </x:c>
      <x:c r="S2103" s="81" t="n">
        <x:v>657.9171116695712</x:v>
      </x:c>
      <x:c r="T2103" s="81" t="n">
        <x:v>996.2136584711085</x:v>
      </x:c>
    </x:row>
    <x:row r="2104">
      <x:c r="A2104" s="59" t="n">
        <x:v>2101</x:v>
      </x:c>
      <x:c r="B2104" s="193" t="n">
        <x:v>0.651539102382958</x:v>
      </x:c>
      <x:c r="C2104" s="83" t="n">
        <x:v>0.5203344280912241</x:v>
      </x:c>
      <x:c r="D2104" s="83" t="n">
        <x:v>2.237964728777731</x:v>
      </x:c>
      <x:c r="E2104" s="81" t="n">
        <x:v>-0.006529176549667138</x:v>
      </x:c>
      <x:c r="F2104" s="81" t="n">
        <x:v>0.6511881915619597</x:v>
      </x:c>
      <x:c r="G2104" s="81" t="n">
        <x:v>-0.021156398893896786</x:v>
      </x:c>
      <x:c r="H2104" s="59" t="n">
        <x:v>79</x:v>
      </x:c>
      <x:c r="I2104" s="81" t="n">
        <x:v>0.14161005150526762</x:v>
      </x:c>
      <x:c r="J2104" s="79" t="n">
        <x:v>7.419758893816379e-13</x:v>
      </x:c>
      <x:c r="K2104" s="81" t="n">
        <x:v>-0.9999999991520275</x:v>
      </x:c>
      <x:c r="L2104" s="81" t="n">
        <x:v>-0.9999999991520275</x:v>
      </x:c>
      <x:c r="M2104" s="80" t="n">
        <x:v>0.22831833171087296</x:v>
      </x:c>
      <x:c r="N2104" s="82" t="n">
        <x:v>0.25730258054579025</x:v>
      </x:c>
      <x:c r="O2104" s="82" t="n">
        <x:v>0.1582783813693024</x:v>
      </x:c>
      <x:c r="P2104" s="80" t="n">
        <x:v>2221.8685135299966</x:v>
      </x:c>
      <x:c r="Q2104" s="81" t="n">
        <x:v>47.86623241493347</x:v>
      </x:c>
      <x:c r="R2104" s="81" t="n">
        <x:v>13.473930630171035</x:v>
      </x:c>
      <x:c r="S2104" s="81" t="n">
        <x:v>0.00011604373962604681</x:v>
      </x:c>
      <x:c r="T2104" s="81" t="n">
        <x:v>1.6072817659997715e-8</x:v>
      </x:c>
    </x:row>
    <x:row r="2105">
      <x:c r="A2105" s="59" t="n">
        <x:v>2102</x:v>
      </x:c>
      <x:c r="B2105" s="193" t="n">
        <x:v>0.43114818390458826</x:v>
      </x:c>
      <x:c r="C2105" s="83" t="n">
        <x:v>1.3390028284234439</x:v>
      </x:c>
      <x:c r="D2105" s="83" t="n">
        <x:v>0.4381152122031445</x:v>
      </x:c>
      <x:c r="E2105" s="81" t="n">
        <x:v>-0.08575255316246243</x:v>
      </x:c>
      <x:c r="F2105" s="81" t="n">
        <x:v>0.29578364207409324</x:v>
      </x:c>
      <x:c r="G2105" s="81" t="n">
        <x:v>0.006980557316756984</x:v>
      </x:c>
      <x:c r="H2105" s="59" t="n">
        <x:v>87</x:v>
      </x:c>
      <x:c r="I2105" s="81" t="n">
        <x:v>0.46890527280047534</x:v>
      </x:c>
      <x:c r="J2105" s="79" t="n">
        <x:v>1.569558460083153e-25</x:v>
      </x:c>
      <x:c r="K2105" s="81" t="n">
        <x:v>-1</x:v>
      </x:c>
      <x:c r="L2105" s="81" t="n">
        <x:v>-1</x:v>
      </x:c>
      <x:c r="M2105" s="80" t="n">
        <x:v>0.000002</x:v>
      </x:c>
      <x:c r="N2105" s="82" t="n">
        <x:v>0.20480133143452128</x:v>
      </x:c>
      <x:c r="O2105" s="82" t="n">
        <x:v>0.057223954904903826</x:v>
      </x:c>
      <x:c r="P2105" s="80" t="n">
        <x:v>424.4322717015278</x:v>
      </x:c>
      <x:c r="Q2105" s="81" t="n">
        <x:v>162967538.07317767</x:v>
      </x:c>
      <x:c r="R2105" s="81" t="n">
        <x:v>3.2797128967999565</x:v>
      </x:c>
      <x:c r="S2105" s="81" t="n">
        <x:v>1.7857400141081642e-10</x:v>
      </x:c>
      <x:c r="T2105" s="81" t="n">
        <x:v>3.40000629355324e-21</x:v>
      </x:c>
    </x:row>
    <x:row r="2106">
      <x:c r="A2106" s="59" t="n">
        <x:v>2103</x:v>
      </x:c>
      <x:c r="B2106" s="193" t="n">
        <x:v>0.8465328838676214</x:v>
      </x:c>
      <x:c r="C2106" s="83" t="n">
        <x:v>0.6979573826640014</x:v>
      </x:c>
      <x:c r="D2106" s="83" t="n">
        <x:v>0.7585644353916184</x:v>
      </x:c>
      <x:c r="E2106" s="81" t="n">
        <x:v>-0.028028170728861067</x:v>
      </x:c>
      <x:c r="F2106" s="81" t="n">
        <x:v>0.48297522178618235</x:v>
      </x:c>
      <x:c r="G2106" s="81" t="n">
        <x:v>0.006657308231638615</x:v>
      </x:c>
      <x:c r="H2106" s="59" t="n">
        <x:v>0</x:v>
      </x:c>
      <x:c r="I2106" s="81" t="n">
        <x:v>0</x:v>
      </x:c>
      <x:c r="J2106" s="79" t="n">
        <x:v>4.6093044973688645e-18</x:v>
      </x:c>
      <x:c r="K2106" s="81" t="n">
        <x:v>-0.9999999999999948</x:v>
      </x:c>
      <x:c r="L2106" s="81" t="n">
        <x:v>-0.9999999999999948</x:v>
      </x:c>
      <x:c r="M2106" s="80" t="n">
        <x:v>0.000646714505744666</x:v>
      </x:c>
      <x:c r="N2106" s="82" t="n">
        <x:v>0.30375375542884</x:v>
      </x:c>
      <x:c r="O2106" s="82" t="n">
        <x:v>0.13858539003117468</x:v>
      </x:c>
      <x:c r="P2106" s="80" t="n">
        <x:v>727.876654773737</x:v>
      </x:c>
      <x:c r="Q2106" s="81" t="n">
        <x:v>5198.181411852162</x:v>
      </x:c>
      <x:c r="R2106" s="81" t="n">
        <x:v>8.040050591419272</x:v>
      </x:c>
      <x:c r="S2106" s="81" t="n">
        <x:v>1.4344770580610367e-7</x:v>
      </x:c>
      <x:c r="T2106" s="81" t="n">
        <x:v>9.984759853498628e-14</x:v>
      </x:c>
    </x:row>
    <x:row r="2107">
      <x:c r="A2107" s="59" t="n">
        <x:v>2104</x:v>
      </x:c>
      <x:c r="B2107" s="193" t="n">
        <x:v>0.2101669726893306</x:v>
      </x:c>
      <x:c r="C2107" s="83" t="n">
        <x:v>0.5183340202191992</x:v>
      </x:c>
      <x:c r="D2107" s="83" t="n">
        <x:v>0.9108807178226601</x:v>
      </x:c>
      <x:c r="E2107" s="81" t="n">
        <x:v>0.07665924422439614</x:v>
      </x:c>
      <x:c r="F2107" s="81" t="n">
        <x:v>0.4930998704978265</x:v>
      </x:c>
      <x:c r="G2107" s="81" t="n">
        <x:v>-0.017008547959832032</x:v>
      </x:c>
      <x:c r="H2107" s="59" t="n">
        <x:v>0</x:v>
      </x:c>
      <x:c r="I2107" s="81" t="n">
        <x:v>0</x:v>
      </x:c>
      <x:c r="J2107" s="79" t="n">
        <x:v>0.007644457866194453</x:v>
      </x:c>
      <x:c r="K2107" s="81" t="n">
        <x:v>7.736523275650805</x:v>
      </x:c>
      <x:c r="L2107" s="81" t="n">
        <x:v>-0.6844959909870405</x:v>
      </x:c>
      <x:c r="M2107" s="80" t="n">
        <x:v>28558.304857076997</x:v>
      </x:c>
      <x:c r="N2107" s="82" t="n">
        <x:v>0.15215946352533663</x:v>
      </x:c>
      <x:c r="O2107" s="82" t="n">
        <x:v>0.0708769137904109</x:v>
      </x:c>
      <x:c r="P2107" s="80" t="n">
        <x:v>45785.01545141555</x:v>
      </x:c>
      <x:c r="Q2107" s="81" t="n">
        <x:v>0.0022969863069820925</x:v>
      </x:c>
      <x:c r="R2107" s="81" t="n">
        <x:v>462.6058243771467</x:v>
      </x:c>
      <x:c r="S2107" s="81" t="n">
        <x:v>280.3368333764342</x:v>
      </x:c>
      <x:c r="T2107" s="81" t="n">
        <x:v>165.59564690879205</x:v>
      </x:c>
    </x:row>
    <x:row r="2108">
      <x:c r="A2108" s="59" t="n">
        <x:v>2105</x:v>
      </x:c>
      <x:c r="B2108" s="193" t="n">
        <x:v>0.2272180547937751</x:v>
      </x:c>
      <x:c r="C2108" s="83" t="n">
        <x:v>2.0116125197518637</x:v>
      </x:c>
      <x:c r="D2108" s="83" t="n">
        <x:v>0.8052179532745298</x:v>
      </x:c>
      <x:c r="E2108" s="81" t="n">
        <x:v>0.024785898591659743</x:v>
      </x:c>
      <x:c r="F2108" s="81" t="n">
        <x:v>0.2633853041799739</x:v>
      </x:c>
      <x:c r="G2108" s="81" t="n">
        <x:v>0.000778924939661283</x:v>
      </x:c>
      <x:c r="H2108" s="59" t="n">
        <x:v>0</x:v>
      </x:c>
      <x:c r="I2108" s="81" t="n">
        <x:v>0</x:v>
      </x:c>
      <x:c r="J2108" s="79" t="n">
        <x:v>0.010198627225750368</x:v>
      </x:c>
      <x:c r="K2108" s="81" t="n">
        <x:v>10.655573972286136</x:v>
      </x:c>
      <x:c r="L2108" s="81" t="n">
        <x:v>-0.021352957385405658</x:v>
      </x:c>
      <x:c r="M2108" s="80" t="n">
        <x:v>55720.11978870328</x:v>
      </x:c>
      <x:c r="N2108" s="82" t="n">
        <x:v>0.15622135099040463</x:v>
      </x:c>
      <x:c r="O2108" s="82" t="n">
        <x:v>0.03886895552262965</x:v>
      </x:c>
      <x:c r="P2108" s="80" t="n">
        <x:v>82743.3275331885</x:v>
      </x:c>
      <x:c r="Q2108" s="81" t="n">
        <x:v>0.003863221802023381</x:v>
      </x:c>
      <x:c r="R2108" s="81" t="n">
        <x:v>31.176599898919594</x:v>
      </x:c>
      <x:c r="S2108" s="81" t="n">
        <x:v>100.86971528898682</x:v>
      </x:c>
      <x:c r="T2108" s="81" t="n">
        <x:v>220.9245315483032</x:v>
      </x:c>
    </x:row>
    <x:row r="2109">
      <x:c r="A2109" s="59" t="n">
        <x:v>2106</x:v>
      </x:c>
      <x:c r="B2109" s="193" t="n">
        <x:v>0.817619900405407</x:v>
      </x:c>
      <x:c r="C2109" s="83" t="n">
        <x:v>1.547617799309687</x:v>
      </x:c>
      <x:c r="D2109" s="83" t="n">
        <x:v>0.28935665241841746</x:v>
      </x:c>
      <x:c r="E2109" s="81" t="n">
        <x:v>0.01570401559139016</x:v>
      </x:c>
      <x:c r="F2109" s="81" t="n">
        <x:v>0.31572383785387503</x:v>
      </x:c>
      <x:c r="G2109" s="81" t="n">
        <x:v>-0.03016810820059648</x:v>
      </x:c>
      <x:c r="H2109" s="59" t="n">
        <x:v>0</x:v>
      </x:c>
      <x:c r="I2109" s="81" t="n">
        <x:v>0</x:v>
      </x:c>
      <x:c r="J2109" s="79" t="n">
        <x:v>0.00004254817959757011</x:v>
      </x:c>
      <x:c r="K2109" s="81" t="n">
        <x:v>-0.9513735090313484</x:v>
      </x:c>
      <x:c r="L2109" s="81" t="n">
        <x:v>-0.9514646888270125</x:v>
      </x:c>
      <x:c r="M2109" s="80" t="n">
        <x:v>2868.2802697130696</x:v>
      </x:c>
      <x:c r="N2109" s="82" t="n">
        <x:v>0.29686614064970057</x:v>
      </x:c>
      <x:c r="O2109" s="82" t="n">
        <x:v>0.08853989074297461</x:v>
      </x:c>
      <x:c r="P2109" s="80" t="n">
        <x:v>2803.680982154772</x:v>
      </x:c>
      <x:c r="Q2109" s="81" t="n">
        <x:v>0.008280635961517577</x:v>
      </x:c>
      <x:c r="R2109" s="81" t="n">
        <x:v>11.713174800705195</x:v>
      </x:c>
      <x:c r="S2109" s="81" t="n">
        <x:v>0.6105739205129546</x:v>
      </x:c>
      <x:c r="T2109" s="81" t="n">
        <x:v>0.9216864620850623</x:v>
      </x:c>
    </x:row>
    <x:row r="2110">
      <x:c r="A2110" s="59" t="n">
        <x:v>2107</x:v>
      </x:c>
      <x:c r="B2110" s="193" t="n">
        <x:v>0.9462765341624617</x:v>
      </x:c>
      <x:c r="C2110" s="83" t="n">
        <x:v>1.132901593722178</x:v>
      </x:c>
      <x:c r="D2110" s="83" t="n">
        <x:v>0.7319774275134421</x:v>
      </x:c>
      <x:c r="E2110" s="81" t="n">
        <x:v>0.02340515252680442</x:v>
      </x:c>
      <x:c r="F2110" s="81" t="n">
        <x:v>0.8230825249804185</x:v>
      </x:c>
      <x:c r="G2110" s="81" t="n">
        <x:v>-0.03316347618356103</x:v>
      </x:c>
      <x:c r="H2110" s="59" t="n">
        <x:v>74</x:v>
      </x:c>
      <x:c r="I2110" s="81" t="n">
        <x:v>0.4664381878450513</x:v>
      </x:c>
      <x:c r="J2110" s="79" t="n">
        <x:v>0.00004094545278709336</x:v>
      </x:c>
      <x:c r="K2110" s="81" t="n">
        <x:v>-0.9532051968147505</x:v>
      </x:c>
      <x:c r="L2110" s="81" t="n">
        <x:v>-0.9539659303145254</x:v>
      </x:c>
      <x:c r="M2110" s="80" t="n">
        <x:v>2459.3801868628107</x:v>
      </x:c>
      <x:c r="N2110" s="82" t="n">
        <x:v>0.32751456312251404</x:v>
      </x:c>
      <x:c r="O2110" s="82" t="n">
        <x:v>0.2546507378937969</x:v>
      </x:c>
      <x:c r="P2110" s="80" t="n">
        <x:v>4814.086487395663</x:v>
      </x:c>
      <x:c r="Q2110" s="81" t="n">
        <x:v>0.02133780165274913</x:v>
      </x:c>
      <x:c r="R2110" s="81" t="n">
        <x:v>14.595549200647584</x:v>
      </x:c>
      <x:c r="S2110" s="81" t="n">
        <x:v>0.9221163896059807</x:v>
      </x:c>
      <x:c r="T2110" s="81" t="n">
        <x:v>0.8869679002662257</x:v>
      </x:c>
    </x:row>
    <x:row r="2111">
      <x:c r="A2111" s="59" t="n">
        <x:v>2108</x:v>
      </x:c>
      <x:c r="B2111" s="193" t="n">
        <x:v>0.2859759006649256</x:v>
      </x:c>
      <x:c r="C2111" s="83" t="n">
        <x:v>1.710460719957881</x:v>
      </x:c>
      <x:c r="D2111" s="83" t="n">
        <x:v>0.9671325988263559</x:v>
      </x:c>
      <x:c r="E2111" s="81" t="n">
        <x:v>-0.08838850144566493</x:v>
      </x:c>
      <x:c r="F2111" s="81" t="n">
        <x:v>0.8195987242506817</x:v>
      </x:c>
      <x:c r="G2111" s="81" t="n">
        <x:v>0.027295353158019616</x:v>
      </x:c>
      <x:c r="H2111" s="59" t="n">
        <x:v>0</x:v>
      </x:c>
      <x:c r="I2111" s="81" t="n">
        <x:v>0</x:v>
      </x:c>
      <x:c r="J2111" s="79" t="n">
        <x:v>9.615083211663708e-43</x:v>
      </x:c>
      <x:c r="K2111" s="81" t="n">
        <x:v>-1</x:v>
      </x:c>
      <x:c r="L2111" s="81" t="n">
        <x:v>-1</x:v>
      </x:c>
      <x:c r="M2111" s="80" t="n">
        <x:v>0.000002</x:v>
      </x:c>
      <x:c r="N2111" s="82" t="n">
        <x:v>0.17021857158652262</x:v>
      </x:c>
      <x:c r="O2111" s="82" t="n">
        <x:v>0.13178899839319738</x:v>
      </x:c>
      <x:c r="P2111" s="80" t="n">
        <x:v>526.9377888820894</x:v>
      </x:c>
      <x:c r="Q2111" s="81" t="n">
        <x:v>2.587199555995706e+25</x:v>
      </x:c>
      <x:c r="R2111" s="81" t="n">
        <x:v>1.439347208968763</x:v>
      </x:c>
      <x:c r="S2111" s="81" t="n">
        <x:v>4.337506261935363e-10</x:v>
      </x:c>
      <x:c r="T2111" s="81" t="n">
        <x:v>2.082836941987033e-38</x:v>
      </x:c>
    </x:row>
    <x:row r="2112">
      <x:c r="A2112" s="59" t="n">
        <x:v>2109</x:v>
      </x:c>
      <x:c r="B2112" s="193" t="n">
        <x:v>0.6633287537842989</x:v>
      </x:c>
      <x:c r="C2112" s="83" t="n">
        <x:v>0.2370232637803368</x:v>
      </x:c>
      <x:c r="D2112" s="83" t="n">
        <x:v>0.41153456642683883</x:v>
      </x:c>
      <x:c r="E2112" s="81" t="n">
        <x:v>-0.027574789220871542</x:v>
      </x:c>
      <x:c r="F2112" s="81" t="n">
        <x:v>0.4023571782396175</x:v>
      </x:c>
      <x:c r="G2112" s="81" t="n">
        <x:v>-0.005240284813249338</x:v>
      </x:c>
      <x:c r="H2112" s="59" t="n">
        <x:v>0</x:v>
      </x:c>
      <x:c r="I2112" s="81" t="n">
        <x:v>0</x:v>
      </x:c>
      <x:c r="J2112" s="79" t="n">
        <x:v>9.942199964128562e-12</x:v>
      </x:c>
      <x:c r="K2112" s="81" t="n">
        <x:v>-0.9999999886374857</x:v>
      </x:c>
      <x:c r="L2112" s="81" t="n">
        <x:v>-0.9999999886374857</x:v>
      </x:c>
      <x:c r="M2112" s="80" t="n">
        <x:v>0.6774551979761168</x:v>
      </x:c>
      <x:c r="N2112" s="82" t="n">
        <x:v>0.26011109656555353</x:v>
      </x:c>
      <x:c r="O2112" s="82" t="n">
        <x:v>0.09886477346406017</x:v>
      </x:c>
      <x:c r="P2112" s="80" t="n">
        <x:v>420.1899432419351</x:v>
      </x:c>
      <x:c r="Q2112" s="81" t="n">
        <x:v>2.5575816494946615</x:v>
      </x:c>
      <x:c r="R2112" s="81" t="n">
        <x:v>29.463296610278007</x:v>
      </x:c>
      <x:c r="S2112" s="81" t="n">
        <x:v>0.0000953345239885574</x:v>
      </x:c>
      <x:c r="T2112" s="81" t="n">
        <x:v>2.1536975722465952e-7</x:v>
      </x:c>
    </x:row>
    <x:row r="2113">
      <x:c r="A2113" s="59" t="n">
        <x:v>2110</x:v>
      </x:c>
      <x:c r="B2113" s="193" t="n">
        <x:v>0.6867105206474662</x:v>
      </x:c>
      <x:c r="C2113" s="83" t="n">
        <x:v>2.0380246632824344</x:v>
      </x:c>
      <x:c r="D2113" s="83" t="n">
        <x:v>0.9581042169908494</x:v>
      </x:c>
      <x:c r="E2113" s="81" t="n">
        <x:v>-0.05893064454469771</x:v>
      </x:c>
      <x:c r="F2113" s="81" t="n">
        <x:v>0.5508086979971267</x:v>
      </x:c>
      <x:c r="G2113" s="81" t="n">
        <x:v>0.0008698797415573357</x:v>
      </x:c>
      <x:c r="H2113" s="59" t="n">
        <x:v>0</x:v>
      </x:c>
      <x:c r="I2113" s="81" t="n">
        <x:v>0</x:v>
      </x:c>
      <x:c r="J2113" s="79" t="n">
        <x:v>1.0468609078095342e-30</x:v>
      </x:c>
      <x:c r="K2113" s="81" t="n">
        <x:v>-1</x:v>
      </x:c>
      <x:c r="L2113" s="81" t="n">
        <x:v>-1</x:v>
      </x:c>
      <x:c r="M2113" s="80" t="n">
        <x:v>0.000002</x:v>
      </x:c>
      <x:c r="N2113" s="82" t="n">
        <x:v>0.2656810718404887</x:v>
      </x:c>
      <x:c r="O2113" s="82" t="n">
        <x:v>0.1382395610867805</x:v>
      </x:c>
      <x:c r="P2113" s="80" t="n">
        <x:v>825.3962344217557</x:v>
      </x:c>
      <x:c r="Q2113" s="81" t="n">
        <x:v>34676251485401.383</x:v>
      </x:c>
      <x:c r="R2113" s="81" t="n">
        <x:v>1.8751063166676645</x:v>
      </x:c>
      <x:c r="S2113" s="81" t="n">
        <x:v>2.7920290733614793e-10</x:v>
      </x:c>
      <x:c r="T2113" s="81" t="n">
        <x:v>2.2677292789965314e-26</x:v>
      </x:c>
    </x:row>
    <x:row r="2114">
      <x:c r="A2114" s="59" t="n">
        <x:v>2111</x:v>
      </x:c>
      <x:c r="B2114" s="193" t="n">
        <x:v>0.5241498103365303</x:v>
      </x:c>
      <x:c r="C2114" s="83" t="n">
        <x:v>0.2185587325371802</x:v>
      </x:c>
      <x:c r="D2114" s="83" t="n">
        <x:v>0.5209321877178053</x:v>
      </x:c>
      <x:c r="E2114" s="81" t="n">
        <x:v>-0.040412818581690886</x:v>
      </x:c>
      <x:c r="F2114" s="81" t="n">
        <x:v>0.8743263457436115</x:v>
      </x:c>
      <x:c r="G2114" s="81" t="n">
        <x:v>-0.015061512708292757</x:v>
      </x:c>
      <x:c r="H2114" s="59" t="n">
        <x:v>31</x:v>
      </x:c>
      <x:c r="I2114" s="81" t="n">
        <x:v>0.16492602610960605</x:v>
      </x:c>
      <x:c r="J2114" s="79" t="n">
        <x:v>1.1357273937912899e-16</x:v>
      </x:c>
      <x:c r="K2114" s="81" t="n">
        <x:v>-0.9999999999998702</x:v>
      </x:c>
      <x:c r="L2114" s="81" t="n">
        <x:v>-0.9999999999998702</x:v>
      </x:c>
      <x:c r="M2114" s="80" t="n">
        <x:v>0.002293139980907044</x:v>
      </x:c>
      <x:c r="N2114" s="82" t="n">
        <x:v>0.22695606263110546</x:v>
      </x:c>
      <x:c r="O2114" s="82" t="n">
        <x:v>0.18745036711873428</x:v>
      </x:c>
      <x:c r="P2114" s="80" t="n">
        <x:v>308.15894426422324</x:v>
      </x:c>
      <x:c r="Q2114" s="81" t="n">
        <x:v>525.0494644280586</x:v>
      </x:c>
      <x:c r="R2114" s="81" t="n">
        <x:v>19.54665100686552</x:v>
      </x:c>
      <x:c r="S2114" s="81" t="n">
        <x:v>3.693665150346108e-7</x:v>
      </x:c>
      <x:c r="T2114" s="81" t="n">
        <x:v>2.460233489134664e-12</x:v>
      </x:c>
    </x:row>
    <x:row r="2115">
      <x:c r="A2115" s="59" t="n">
        <x:v>2112</x:v>
      </x:c>
      <x:c r="B2115" s="193" t="n">
        <x:v>0.6370434263721109</x:v>
      </x:c>
      <x:c r="C2115" s="83" t="n">
        <x:v>0.29035561491858153</x:v>
      </x:c>
      <x:c r="D2115" s="83" t="n">
        <x:v>0.49444487967564266</x:v>
      </x:c>
      <x:c r="E2115" s="81" t="n">
        <x:v>0.07784095745010258</x:v>
      </x:c>
      <x:c r="F2115" s="81" t="n">
        <x:v>0.6730387205607258</x:v>
      </x:c>
      <x:c r="G2115" s="81" t="n">
        <x:v>0.0021073563526495492</x:v>
      </x:c>
      <x:c r="H2115" s="59" t="n">
        <x:v>0</x:v>
      </x:c>
      <x:c r="I2115" s="81" t="n">
        <x:v>0</x:v>
      </x:c>
      <x:c r="J2115" s="79" t="n">
        <x:v>0.00045948200705004267</x:v>
      </x:c>
      <x:c r="K2115" s="81" t="n">
        <x:v>-0.47487770622852266</x:v>
      </x:c>
      <x:c r="L2115" s="81" t="n">
        <x:v>-0.8210261438900521</x:v>
      </x:c>
      <x:c r="M2115" s="80" t="n">
        <x:v>5479.505233089593</x:v>
      </x:c>
      <x:c r="N2115" s="82" t="n">
        <x:v>0.2538494387260815</x:v>
      </x:c>
      <x:c r="O2115" s="82" t="n">
        <x:v>0.16139393100878885</x:v>
      </x:c>
      <x:c r="P2115" s="80" t="n">
        <x:v>5658.2345081803505</x:v>
      </x:c>
      <x:c r="Q2115" s="81" t="n">
        <x:v>0.004759657103185067</x:v>
      </x:c>
      <x:c r="R2115" s="81" t="n">
        <x:v>100.30751926225595</x:v>
      </x:c>
      <x:c r="S2115" s="81" t="n">
        <x:v>30.392007508463124</x:v>
      </x:c>
      <x:c r="T2115" s="81" t="n">
        <x:v>9.95338342263374</x:v>
      </x:c>
    </x:row>
    <x:row r="2116">
      <x:c r="A2116" s="59" t="n">
        <x:v>2113</x:v>
      </x:c>
      <x:c r="B2116" s="193" t="n">
        <x:v>0.4798679145053029</x:v>
      </x:c>
      <x:c r="C2116" s="83" t="n">
        <x:v>0.9402937464834058</x:v>
      </x:c>
      <x:c r="D2116" s="83" t="n">
        <x:v>0.21104721057328477</x:v>
      </x:c>
      <x:c r="E2116" s="81" t="n">
        <x:v>0.024104074776844564</x:v>
      </x:c>
      <x:c r="F2116" s="81" t="n">
        <x:v>0.6864941565669143</x:v>
      </x:c>
      <x:c r="G2116" s="81" t="n">
        <x:v>0.02858283371319853</x:v>
      </x:c>
      <x:c r="H2116" s="59" t="n">
        <x:v>0</x:v>
      </x:c>
      <x:c r="I2116" s="81" t="n">
        <x:v>0</x:v>
      </x:c>
      <x:c r="J2116" s="79" t="n">
        <x:v>0.000033486738785758865</x:v>
      </x:c>
      <x:c r="K2116" s="81" t="n">
        <x:v>-0.9617294413877041</x:v>
      </x:c>
      <x:c r="L2116" s="81" t="n">
        <x:v>-0.9697240101826528</x:v>
      </x:c>
      <x:c r="M2116" s="80" t="n">
        <x:v>1957.6135454653568</x:v>
      </x:c>
      <x:c r="N2116" s="82" t="n">
        <x:v>0.21640728475856</x:v>
      </x:c>
      <x:c r="O2116" s="82" t="n">
        <x:v>0.14033941528583885</x:v>
      </x:c>
      <x:c r="P2116" s="80" t="n">
        <x:v>1459.6476695892798</x:v>
      </x:c>
      <x:c r="Q2116" s="81" t="n">
        <x:v>0.010235580009879152</x:v>
      </x:c>
      <x:c r="R2116" s="81" t="n">
        <x:v>14.37032326519302</x:v>
      </x:c>
      <x:c r="S2116" s="81" t="n">
        <x:v>0.7952965184748367</x:v>
      </x:c>
      <x:c r="T2116" s="81" t="n">
        <x:v>0.7253958709898684</x:v>
      </x:c>
    </x:row>
    <x:row r="2117">
      <x:c r="A2117" s="59" t="n">
        <x:v>2114</x:v>
      </x:c>
      <x:c r="B2117" s="193" t="n">
        <x:v>0.966628952883184</x:v>
      </x:c>
      <x:c r="C2117" s="83" t="n">
        <x:v>0.11765765273859564</x:v>
      </x:c>
      <x:c r="D2117" s="83" t="n">
        <x:v>0.7219068289045635</x:v>
      </x:c>
      <x:c r="E2117" s="81" t="n">
        <x:v>0.04256394538557946</x:v>
      </x:c>
      <x:c r="F2117" s="81" t="n">
        <x:v>0.26987057669321074</x:v>
      </x:c>
      <x:c r="G2117" s="81" t="n">
        <x:v>0.0583462430819132</x:v>
      </x:c>
      <x:c r="H2117" s="59" t="n">
        <x:v>68</x:v>
      </x:c>
      <x:c r="I2117" s="81" t="n">
        <x:v>0.1731185706332326</x:v>
      </x:c>
      <x:c r="J2117" s="79" t="n">
        <x:v>0.0028139793653101236</x:v>
      </x:c>
      <x:c r="K2117" s="81" t="n">
        <x:v>2.2159764174972842</x:v>
      </x:c>
      <x:c r="L2117" s="81" t="n">
        <x:v>-0.8074559604786405</x:v>
      </x:c>
      <x:c r="M2117" s="80" t="n">
        <x:v>11942.324319287784</x:v>
      </x:c>
      <x:c r="N2117" s="82" t="n">
        <x:v>0.33236289086964094</x:v>
      </x:c>
      <x:c r="O2117" s="82" t="n">
        <x:v>0.08473035124070154</x:v>
      </x:c>
      <x:c r="P2117" s="80" t="n">
        <x:v>18170.602983339428</x:v>
      </x:c>
      <x:c r="Q2117" s="81" t="n">
        <x:v>0.004659699382155018</x:v>
      </x:c>
      <x:c r="R2117" s="81" t="n">
        <x:v>314.2634431465568</x:v>
      </x:c>
      <x:c r="S2117" s="81" t="n">
        <x:v>451.03444208764375</x:v>
      </x:c>
      <x:c r="T2117" s="81" t="n">
        <x:v>60.9569365863346</x:v>
      </x:c>
    </x:row>
    <x:row r="2118">
      <x:c r="A2118" s="59" t="n">
        <x:v>2115</x:v>
      </x:c>
      <x:c r="B2118" s="193" t="n">
        <x:v>0.23100214935839178</x:v>
      </x:c>
      <x:c r="C2118" s="83" t="n">
        <x:v>0.14474347861732403</x:v>
      </x:c>
      <x:c r="D2118" s="83" t="n">
        <x:v>1.2708522829557998</x:v>
      </x:c>
      <x:c r="E2118" s="81" t="n">
        <x:v>0.01967504306055382</x:v>
      </x:c>
      <x:c r="F2118" s="81" t="n">
        <x:v>0.8409247546456754</x:v>
      </x:c>
      <x:c r="G2118" s="81" t="n">
        <x:v>0.022987857067288352</x:v>
      </x:c>
      <x:c r="H2118" s="59" t="n">
        <x:v>0</x:v>
      </x:c>
      <x:c r="I2118" s="81" t="n">
        <x:v>0</x:v>
      </x:c>
      <x:c r="J2118" s="79" t="n">
        <x:v>0.0003902788390551295</x:v>
      </x:c>
      <x:c r="K2118" s="81" t="n">
        <x:v>-0.553967041079852</x:v>
      </x:c>
      <x:c r="L2118" s="81" t="n">
        <x:v>-0.836762293785952</x:v>
      </x:c>
      <x:c r="M2118" s="80" t="n">
        <x:v>4309.980911126364</x:v>
      </x:c>
      <x:c r="N2118" s="82" t="n">
        <x:v>0.15712279326746934</x:v>
      </x:c>
      <x:c r="O2118" s="82" t="n">
        <x:v>0.12481514058981913</x:v>
      </x:c>
      <x:c r="P2118" s="80" t="n">
        <x:v>11679.177606740604</x:v>
      </x:c>
      <x:c r="Q2118" s="81" t="n">
        <x:v>0.01357381808928217</x:v>
      </x:c>
      <x:c r="R2118" s="81" t="n">
        <x:v>150.2792711404185</x:v>
      </x:c>
      <x:c r="S2118" s="81" t="n">
        <x:v>52.872055269850804</x:v>
      </x:c>
      <x:c r="T2118" s="81" t="n">
        <x:v>8.454291718180365</x:v>
      </x:c>
    </x:row>
    <x:row r="2119">
      <x:c r="A2119" s="59" t="n">
        <x:v>2116</x:v>
      </x:c>
      <x:c r="B2119" s="193" t="n">
        <x:v>0.6361909387633204</x:v>
      </x:c>
      <x:c r="C2119" s="83" t="n">
        <x:v>0.1410836179102938</x:v>
      </x:c>
      <x:c r="D2119" s="83" t="n">
        <x:v>0.4814834978490222</x:v>
      </x:c>
      <x:c r="E2119" s="81" t="n">
        <x:v>0.062037508580130005</x:v>
      </x:c>
      <x:c r="F2119" s="81" t="n">
        <x:v>0.4403806842397898</x:v>
      </x:c>
      <x:c r="G2119" s="81" t="n">
        <x:v>-0.024749080988064488</x:v>
      </x:c>
      <x:c r="H2119" s="59" t="n">
        <x:v>0</x:v>
      </x:c>
      <x:c r="I2119" s="81" t="n">
        <x:v>0</x:v>
      </x:c>
      <x:c r="J2119" s="79" t="n">
        <x:v>0.0002593635791259212</x:v>
      </x:c>
      <x:c r="K2119" s="81" t="n">
        <x:v>-0.7035844809989471</x:v>
      </x:c>
      <x:c r="L2119" s="81" t="n">
        <x:v>-0.8248230094869292</x:v>
      </x:c>
      <x:c r="M2119" s="80" t="n">
        <x:v>3462.169557804158</x:v>
      </x:c>
      <x:c r="N2119" s="82" t="n">
        <x:v>0.2536463601935247</x:v>
      </x:c>
      <x:c r="O2119" s="82" t="n">
        <x:v>0.10551831279478815</x:v>
      </x:c>
      <x:c r="P2119" s="80" t="n">
        <x:v>3719.1095410284047</x:v>
      </x:c>
      <x:c r="Q2119" s="81" t="n">
        <x:v>0.0037070199937409907</x:v>
      </x:c>
      <x:c r="R2119" s="81" t="n">
        <x:v>205.07249945204248</x:v>
      </x:c>
      <x:c r="S2119" s="81" t="n">
        <x:v>34.63367860704542</x:v>
      </x:c>
      <x:c r="T2119" s="81" t="n">
        <x:v>5.618381371407519</x:v>
      </x:c>
    </x:row>
    <x:row r="2120">
      <x:c r="A2120" s="59" t="n">
        <x:v>2117</x:v>
      </x:c>
      <x:c r="B2120" s="193" t="n">
        <x:v>0.2582327025011182</x:v>
      </x:c>
      <x:c r="C2120" s="83" t="n">
        <x:v>0.19809197678084348</x:v>
      </x:c>
      <x:c r="D2120" s="83" t="n">
        <x:v>3</x:v>
      </x:c>
      <x:c r="E2120" s="81" t="n">
        <x:v>-0.008882425661382322</x:v>
      </x:c>
      <x:c r="F2120" s="81" t="n">
        <x:v>0.792007531481795</x:v>
      </x:c>
      <x:c r="G2120" s="81" t="n">
        <x:v>-0.019067859665470303</x:v>
      </x:c>
      <x:c r="H2120" s="59" t="n">
        <x:v>0</x:v>
      </x:c>
      <x:c r="I2120" s="81" t="n">
        <x:v>0</x:v>
      </x:c>
      <x:c r="J2120" s="79" t="n">
        <x:v>5.361089164596259e-19</x:v>
      </x:c>
      <x:c r="K2120" s="81" t="n">
        <x:v>-0.9999999999999993</x:v>
      </x:c>
      <x:c r="L2120" s="81" t="n">
        <x:v>-0.9999999999999993</x:v>
      </x:c>
      <x:c r="M2120" s="80" t="n">
        <x:v>0.00015610577623160162</x:v>
      </x:c>
      <x:c r="N2120" s="82" t="n">
        <x:v>0.16360962159893822</x:v>
      </x:c>
      <x:c r="O2120" s="82" t="n">
        <x:v>0.12240780026915445</x:v>
      </x:c>
      <x:c r="P2120" s="80" t="n">
        <x:v>1651.3982323085438</x:v>
      </x:c>
      <x:c r="Q2120" s="81" t="n">
        <x:v>33407.14453560907</x:v>
      </x:c>
      <x:c r="R2120" s="81" t="n">
        <x:v>23.77120640162947</x:v>
      </x:c>
      <x:c r="S2120" s="81" t="n">
        <x:v>1.4111050008452032e-7</x:v>
      </x:c>
      <x:c r="T2120" s="81" t="n">
        <x:v>1.1613289573783498e-14</x:v>
      </x:c>
    </x:row>
    <x:row r="2121">
      <x:c r="A2121" s="59" t="n">
        <x:v>2118</x:v>
      </x:c>
      <x:c r="B2121" s="193" t="n">
        <x:v>0.6811276879161596</x:v>
      </x:c>
      <x:c r="C2121" s="83" t="n">
        <x:v>0.33299450173753753</x:v>
      </x:c>
      <x:c r="D2121" s="83" t="n">
        <x:v>3</x:v>
      </x:c>
      <x:c r="E2121" s="81" t="n">
        <x:v>-0.06103513397628034</x:v>
      </x:c>
      <x:c r="F2121" s="81" t="n">
        <x:v>0.35164821923244743</x:v>
      </x:c>
      <x:c r="G2121" s="81" t="n">
        <x:v>0.019246153210088695</x:v>
      </x:c>
      <x:c r="H2121" s="59" t="n">
        <x:v>0</x:v>
      </x:c>
      <x:c r="I2121" s="81" t="n">
        <x:v>0</x:v>
      </x:c>
      <x:c r="J2121" s="79" t="n">
        <x:v>7.793253234983402e-68</x:v>
      </x:c>
      <x:c r="K2121" s="81" t="n">
        <x:v>-1</x:v>
      </x:c>
      <x:c r="L2121" s="81" t="n">
        <x:v>-1</x:v>
      </x:c>
      <x:c r="M2121" s="80" t="n">
        <x:v>0.000002</x:v>
      </x:c>
      <x:c r="N2121" s="82" t="n">
        <x:v>0.2643511364057777</x:v>
      </x:c>
      <x:c r="O2121" s="82" t="n">
        <x:v>0.08781335012321899</x:v>
      </x:c>
      <x:c r="P2121" s="80" t="n">
        <x:v>443.39516082536056</x:v>
      </x:c>
      <x:c r="Q2121" s="81" t="n">
        <x:v>4.5063599166070626e+50</x:v>
      </x:c>
      <x:c r="R2121" s="81" t="n">
        <x:v>2.988438672865464</x:v>
      </x:c>
      <x:c r="S2121" s="81" t="n">
        <x:v>2.486141379618136e-9</x:v>
      </x:c>
      <x:c r="T2121" s="81" t="n">
        <x:v>1.6881887944966343e-63</x:v>
      </x:c>
    </x:row>
    <x:row r="2122">
      <x:c r="A2122" s="59" t="n">
        <x:v>2119</x:v>
      </x:c>
      <x:c r="B2122" s="193" t="n">
        <x:v>0.9144577486440539</x:v>
      </x:c>
      <x:c r="C2122" s="83" t="n">
        <x:v>0.5957121169687924</x:v>
      </x:c>
      <x:c r="D2122" s="83" t="n">
        <x:v>0.4529486110124803</x:v>
      </x:c>
      <x:c r="E2122" s="81" t="n">
        <x:v>0.02853679442823842</x:v>
      </x:c>
      <x:c r="F2122" s="81" t="n">
        <x:v>0.8441218842752278</x:v>
      </x:c>
      <x:c r="G2122" s="81" t="n">
        <x:v>0.022341689002138926</x:v>
      </x:c>
      <x:c r="H2122" s="59" t="n">
        <x:v>0</x:v>
      </x:c>
      <x:c r="I2122" s="81" t="n">
        <x:v>0</x:v>
      </x:c>
      <x:c r="J2122" s="79" t="n">
        <x:v>0.00004394328715131312</x:v>
      </x:c>
      <x:c r="K2122" s="81" t="n">
        <x:v>-0.9497791003984993</x:v>
      </x:c>
      <x:c r="L2122" s="81" t="n">
        <x:v>-0.9706866296722108</x:v>
      </x:c>
      <x:c r="M2122" s="80" t="n">
        <x:v>1912.2573437801389</x:v>
      </x:c>
      <x:c r="N2122" s="82" t="n">
        <x:v>0.3199347318098008</x:v>
      </x:c>
      <x:c r="O2122" s="82" t="n">
        <x:v>0.2551158789177506</x:v>
      </x:c>
      <x:c r="P2122" s="80" t="n">
        <x:v>2352.1528280335706</x:v>
      </x:c>
      <x:c r="Q2122" s="81" t="n">
        <x:v>0.017905012477598098</x:v>
      </x:c>
      <x:c r="R2122" s="81" t="n">
        <x:v>18.445436715330697</x:v>
      </x:c>
      <x:c r="S2122" s="81" t="n">
        <x:v>1.688407218702448</x:v>
      </x:c>
      <x:c r="T2122" s="81" t="n">
        <x:v>0.9519075375247028</x:v>
      </x:c>
    </x:row>
    <x:row r="2123">
      <x:c r="A2123" s="59" t="n">
        <x:v>2120</x:v>
      </x:c>
      <x:c r="B2123" s="193" t="n">
        <x:v>0.6065513459965587</x:v>
      </x:c>
      <x:c r="C2123" s="83" t="n">
        <x:v>1.3173561086205927</x:v>
      </x:c>
      <x:c r="D2123" s="83" t="n">
        <x:v>0.9454006032517094</x:v>
      </x:c>
      <x:c r="E2123" s="81" t="n">
        <x:v>0.11031164383860319</x:v>
      </x:c>
      <x:c r="F2123" s="81" t="n">
        <x:v>0.5806662388844416</x:v>
      </x:c>
      <x:c r="G2123" s="81" t="n">
        <x:v>0.029483524869698293</x:v>
      </x:c>
      <x:c r="H2123" s="59" t="n">
        <x:v>0</x:v>
      </x:c>
      <x:c r="I2123" s="81" t="n">
        <x:v>0</x:v>
      </x:c>
      <x:c r="J2123" s="79" t="n">
        <x:v>0.0360090492848488</x:v>
      </x:c>
      <x:c r="K2123" s="81" t="n">
        <x:v>40.15319918268435</x:v>
      </x:c>
      <x:c r="L2123" s="81" t="n">
        <x:v>-0.7201247982897796</x:v>
      </x:c>
      <x:c r="M2123" s="80" t="n">
        <x:v>114459.8727273785</x:v>
      </x:c>
      <x:c r="N2123" s="82" t="n">
        <x:v>0.24658565345411762</x:v>
      </x:c>
      <x:c r="O2123" s="82" t="n">
        <x:v>0.135258735579531</x:v>
      </x:c>
      <x:c r="P2123" s="80" t="n">
        <x:v>179001.7574377523</x:v>
      </x:c>
      <x:c r="Q2123" s="81" t="n">
        <x:v>0.0034024547763018423</x:v>
      </x:c>
      <x:c r="R2123" s="81" t="n">
        <x:v>328.65650410540565</x:v>
      </x:c>
      <x:c r="S2123" s="81" t="n">
        <x:v>538.9860766124816</x:v>
      </x:c>
      <x:c r="T2123" s="81" t="n">
        <x:v>780.0346231568113</x:v>
      </x:c>
    </x:row>
    <x:row r="2124">
      <x:c r="A2124" s="59" t="n">
        <x:v>2121</x:v>
      </x:c>
      <x:c r="B2124" s="193" t="n">
        <x:v>0.7987057771533728</x:v>
      </x:c>
      <x:c r="C2124" s="83" t="n">
        <x:v>2.0912697996411636</x:v>
      </x:c>
      <x:c r="D2124" s="83" t="n">
        <x:v>0.2676694379129831</x:v>
      </x:c>
      <x:c r="E2124" s="81" t="n">
        <x:v>0.027071049074951014</x:v>
      </x:c>
      <x:c r="F2124" s="81" t="n">
        <x:v>0.25547617092961444</x:v>
      </x:c>
      <x:c r="G2124" s="81" t="n">
        <x:v>-0.02573245544009329</x:v>
      </x:c>
      <x:c r="H2124" s="59" t="n">
        <x:v>87</x:v>
      </x:c>
      <x:c r="I2124" s="81" t="n">
        <x:v>0.3331830003298819</x:v>
      </x:c>
      <x:c r="J2124" s="79" t="n">
        <x:v>0.00023480164272372207</x:v>
      </x:c>
      <x:c r="K2124" s="81" t="n">
        <x:v>-0.7316552654586033</x:v>
      </x:c>
      <x:c r="L2124" s="81" t="n">
        <x:v>-0.7780322410748983</x:v>
      </x:c>
      <x:c r="M2124" s="80" t="n">
        <x:v>8239.36126578257</x:v>
      </x:c>
      <x:c r="N2124" s="82" t="n">
        <x:v>0.29236044185125504</x:v>
      </x:c>
      <x:c r="O2124" s="82" t="n">
        <x:v>0.07055697448181987</x:v>
      </x:c>
      <x:c r="P2124" s="80" t="n">
        <x:v>5383.356859472068</x:v>
      </x:c>
      <x:c r="Q2124" s="81" t="n">
        <x:v>0.005020027940310813</x:v>
      </x:c>
      <x:c r="R2124" s="81" t="n">
        <x:v>11.348307272975967</x:v>
      </x:c>
      <x:c r="S2124" s="81" t="n">
        <x:v>2.3185872897082302</x:v>
      </x:c>
      <x:c r="T2124" s="81" t="n">
        <x:v>5.08631620484528</x:v>
      </x:c>
    </x:row>
    <x:row r="2125">
      <x:c r="A2125" s="59" t="n">
        <x:v>2122</x:v>
      </x:c>
      <x:c r="B2125" s="193" t="n">
        <x:v>0.4266214149072767</x:v>
      </x:c>
      <x:c r="C2125" s="83" t="n">
        <x:v>0.2517837097970749</x:v>
      </x:c>
      <x:c r="D2125" s="83" t="n">
        <x:v>0.6682571213550814</x:v>
      </x:c>
      <x:c r="E2125" s="81" t="n">
        <x:v>-0.05834208125748664</x:v>
      </x:c>
      <x:c r="F2125" s="81" t="n">
        <x:v>0.3699676209362224</x:v>
      </x:c>
      <x:c r="G2125" s="81" t="n">
        <x:v>-0.017918022750638307</x:v>
      </x:c>
      <x:c r="H2125" s="59" t="n">
        <x:v>75</x:v>
      </x:c>
      <x:c r="I2125" s="81" t="n">
        <x:v>0.4993034736253321</x:v>
      </x:c>
      <x:c r="J2125" s="79" t="n">
        <x:v>4.424666493232614e-24</x:v>
      </x:c>
      <x:c r="K2125" s="81" t="n">
        <x:v>-1</x:v>
      </x:c>
      <x:c r="L2125" s="81" t="n">
        <x:v>-1</x:v>
      </x:c>
      <x:c r="M2125" s="80" t="n">
        <x:v>0.000002</x:v>
      </x:c>
      <x:c r="N2125" s="82" t="n">
        <x:v>0.2037229701824427</x:v>
      </x:c>
      <x:c r="O2125" s="82" t="n">
        <x:v>0.07119912527061151</x:v>
      </x:c>
      <x:c r="P2125" s="80" t="n">
        <x:v>317.1851841624442</x:v>
      </x:c>
      <x:c r="Q2125" s="81" t="n">
        <x:v>8282442.055896652</x:v>
      </x:c>
      <x:c r="R2125" s="81" t="n">
        <x:v>14.368991501036037</x:v>
      </x:c>
      <x:c r="S2125" s="81" t="n">
        <x:v>3.753034790353882e-10</x:v>
      </x:c>
      <x:c r="T2125" s="81" t="n">
        <x:v>9.584793626016346e-20</x:v>
      </x:c>
    </x:row>
    <x:row r="2126">
      <x:c r="A2126" s="59" t="n">
        <x:v>2123</x:v>
      </x:c>
      <x:c r="B2126" s="193" t="n">
        <x:v>0.8283749572932722</x:v>
      </x:c>
      <x:c r="C2126" s="83" t="n">
        <x:v>1.8290873585916139</x:v>
      </x:c>
      <x:c r="D2126" s="83" t="n">
        <x:v>0.8967202734579703</x:v>
      </x:c>
      <x:c r="E2126" s="81" t="n">
        <x:v>0.03632056887284855</x:v>
      </x:c>
      <x:c r="F2126" s="81" t="n">
        <x:v>0.28091429169289767</x:v>
      </x:c>
      <x:c r="G2126" s="81" t="n">
        <x:v>-0.009109439848754867</x:v>
      </x:c>
      <x:c r="H2126" s="59" t="n">
        <x:v>20</x:v>
      </x:c>
      <x:c r="I2126" s="81" t="n">
        <x:v>0.18986015049740673</x:v>
      </x:c>
      <x:c r="J2126" s="79" t="n">
        <x:v>0.004844273137067675</x:v>
      </x:c>
      <x:c r="K2126" s="81" t="n">
        <x:v>4.536312156648773</x:v>
      </x:c>
      <x:c r="L2126" s="81" t="n">
        <x:v>-0.4553235703432733</x:v>
      </x:c>
      <x:c r="M2126" s="80" t="n">
        <x:v>37679.83440774124</x:v>
      </x:c>
      <x:c r="N2126" s="82" t="n">
        <x:v>0.2994281968577069</x:v>
      </x:c>
      <x:c r="O2126" s="82" t="n">
        <x:v>0.07945797112901894</x:v>
      </x:c>
      <x:c r="P2126" s="80" t="n">
        <x:v>62261.47523836191</x:v>
      </x:c>
      <x:c r="Q2126" s="81" t="n">
        <x:v>0.005170844470691682</x:v>
      </x:c>
      <x:c r="R2126" s="81" t="n">
        <x:v>38.352757926696505</x:v>
      </x:c>
      <x:c r="S2126" s="81" t="n">
        <x:v>54.010185181284264</x:v>
      </x:c>
      <x:c r="T2126" s="81" t="n">
        <x:v>104.93753225890296</x:v>
      </x:c>
    </x:row>
    <x:row r="2127">
      <x:c r="A2127" s="59" t="n">
        <x:v>2124</x:v>
      </x:c>
      <x:c r="B2127" s="193" t="n">
        <x:v>0.8854564905166626</x:v>
      </x:c>
      <x:c r="C2127" s="83" t="n">
        <x:v>0.1745811842322345</x:v>
      </x:c>
      <x:c r="D2127" s="83" t="n">
        <x:v>0.3355233101311431</x:v>
      </x:c>
      <x:c r="E2127" s="81" t="n">
        <x:v>0.13955349489672814</x:v>
      </x:c>
      <x:c r="F2127" s="81" t="n">
        <x:v>0.27625976303825156</x:v>
      </x:c>
      <x:c r="G2127" s="81" t="n">
        <x:v>0.016694462448059978</x:v>
      </x:c>
      <x:c r="H2127" s="59" t="n">
        <x:v>0</x:v>
      </x:c>
      <x:c r="I2127" s="81" t="n">
        <x:v>0</x:v>
      </x:c>
      <x:c r="J2127" s="79" t="n">
        <x:v>0.003195812952916801</x:v>
      </x:c>
      <x:c r="K2127" s="81" t="n">
        <x:v>2.6523576604763446</x:v>
      </x:c>
      <x:c r="L2127" s="81" t="n">
        <x:v>-0.6843637149494219</x:v>
      </x:c>
      <x:c r="M2127" s="80" t="n">
        <x:v>13754.184776860546</x:v>
      </x:c>
      <x:c r="N2127" s="82" t="n">
        <x:v>0.31302608835026646</x:v>
      </x:c>
      <x:c r="O2127" s="82" t="n">
        <x:v>0.0816900404324337</x:v>
      </x:c>
      <x:c r="P2127" s="80" t="n">
        <x:v>9340.591982142028</x:v>
      </x:c>
      <x:c r="Q2127" s="81" t="n">
        <x:v>0.0014698978838509663</x:v>
      </x:c>
      <x:c r="R2127" s="81" t="n">
        <x:v>408.95309978926963</x:v>
      </x:c>
      <x:c r="S2127" s="81" t="n">
        <x:v>342.2498937189072</x:v>
      </x:c>
      <x:c r="T2127" s="81" t="n">
        <x:v>69.22828572030656</x:v>
      </x:c>
    </x:row>
    <x:row r="2128">
      <x:c r="A2128" s="59" t="n">
        <x:v>2125</x:v>
      </x:c>
      <x:c r="B2128" s="193" t="n">
        <x:v>0.6329598950222135</x:v>
      </x:c>
      <x:c r="C2128" s="83" t="n">
        <x:v>0.489106448803093</x:v>
      </x:c>
      <x:c r="D2128" s="83" t="n">
        <x:v>1.722570260565493</x:v>
      </x:c>
      <x:c r="E2128" s="81" t="n">
        <x:v>0.03201666419684</x:v>
      </x:c>
      <x:c r="F2128" s="81" t="n">
        <x:v>0.7841419423581101</x:v>
      </x:c>
      <x:c r="G2128" s="81" t="n">
        <x:v>-0.023011652802552848</x:v>
      </x:c>
      <x:c r="H2128" s="59" t="n">
        <x:v>0</x:v>
      </x:c>
      <x:c r="I2128" s="81" t="n">
        <x:v>0</x:v>
      </x:c>
      <x:c r="J2128" s="79" t="n">
        <x:v>0.0005438341077579442</x:v>
      </x:c>
      <x:c r="K2128" s="81" t="n">
        <x:v>-0.37847530541949237</x:v>
      </x:c>
      <x:c r="L2128" s="81" t="n">
        <x:v>-0.8161347248476428</x:v>
      </x:c>
      <x:c r="M2128" s="80" t="n">
        <x:v>7110.132108737398</x:v>
      </x:c>
      <x:c r="N2128" s="82" t="n">
        <x:v>0.252876664992323</x:v>
      </x:c>
      <x:c r="O2128" s="82" t="n">
        <x:v>0.18731578696632706</x:v>
      </x:c>
      <x:c r="P2128" s="80" t="n">
        <x:v>23392.9643246237</x:v>
      </x:c>
      <x:c r="Q2128" s="81" t="n">
        <x:v>0.013147654072719102</x:v>
      </x:c>
      <x:c r="R2128" s="81" t="n">
        <x:v>97.68206561793718</x:v>
      </x:c>
      <x:c r="S2128" s="81" t="n">
        <x:v>23.436976321835186</x:v>
      </x:c>
      <x:c r="T2128" s="81" t="n">
        <x:v>11.78063408309087</x:v>
      </x:c>
    </x:row>
    <x:row r="2129">
      <x:c r="A2129" s="59" t="n">
        <x:v>2126</x:v>
      </x:c>
      <x:c r="B2129" s="193" t="n">
        <x:v>0.4649385197088123</x:v>
      </x:c>
      <x:c r="C2129" s="83" t="n">
        <x:v>0.6205334854244737</x:v>
      </x:c>
      <x:c r="D2129" s="83" t="n">
        <x:v>1.0158607144312979</x:v>
      </x:c>
      <x:c r="E2129" s="81" t="n">
        <x:v>-0.1102418463104171</x:v>
      </x:c>
      <x:c r="F2129" s="81" t="n">
        <x:v>0.3427534962655045</x:v>
      </x:c>
      <x:c r="G2129" s="81" t="n">
        <x:v>0.04056691695839385</x:v>
      </x:c>
      <x:c r="H2129" s="59" t="n">
        <x:v>0</x:v>
      </x:c>
      <x:c r="I2129" s="81" t="n">
        <x:v>0</x:v>
      </x:c>
      <x:c r="J2129" s="79" t="n">
        <x:v>2.387189128750434e-53</x:v>
      </x:c>
      <x:c r="K2129" s="81" t="n">
        <x:v>-1</x:v>
      </x:c>
      <x:c r="L2129" s="81" t="n">
        <x:v>-1</x:v>
      </x:c>
      <x:c r="M2129" s="80" t="n">
        <x:v>0.000002</x:v>
      </x:c>
      <x:c r="N2129" s="82" t="n">
        <x:v>0.2128508229918836</x:v>
      </x:c>
      <x:c r="O2129" s="82" t="n">
        <x:v>0.06891728643268888</x:v>
      </x:c>
      <x:c r="P2129" s="80" t="n">
        <x:v>267.278705169088</x:v>
      </x:c>
      <x:c r="Q2129" s="81" t="n">
        <x:v>8.522737007635754e+35</x:v>
      </x:c>
      <x:c r="R2129" s="81" t="n">
        <x:v>2.4281082561768654</x:v>
      </x:c>
      <x:c r="S2129" s="81" t="n">
        <x:v>8.908380684059757e-10</x:v>
      </x:c>
      <x:c r="T2129" s="81" t="n">
        <x:v>5.171172828582221e-49</x:v>
      </x:c>
    </x:row>
    <x:row r="2130">
      <x:c r="A2130" s="59" t="n">
        <x:v>2127</x:v>
      </x:c>
      <x:c r="B2130" s="193" t="n">
        <x:v>0.6269193697720766</x:v>
      </x:c>
      <x:c r="C2130" s="83" t="n">
        <x:v>0.24825461393509257</x:v>
      </x:c>
      <x:c r="D2130" s="83" t="n">
        <x:v>0.9795473655838711</x:v>
      </x:c>
      <x:c r="E2130" s="81" t="n">
        <x:v>-0.06845770837989987</x:v>
      </x:c>
      <x:c r="F2130" s="81" t="n">
        <x:v>0.6111218050587923</x:v>
      </x:c>
      <x:c r="G2130" s="81" t="n">
        <x:v>0.012380424230590374</x:v>
      </x:c>
      <x:c r="H2130" s="59" t="n">
        <x:v>0</x:v>
      </x:c>
      <x:c r="I2130" s="81" t="n">
        <x:v>0</x:v>
      </x:c>
      <x:c r="J2130" s="79" t="n">
        <x:v>9.8176993409764e-35</x:v>
      </x:c>
      <x:c r="K2130" s="81" t="n">
        <x:v>-1</x:v>
      </x:c>
      <x:c r="L2130" s="81" t="n">
        <x:v>-1</x:v>
      </x:c>
      <x:c r="M2130" s="80" t="n">
        <x:v>0.000002</x:v>
      </x:c>
      <x:c r="N2130" s="82" t="n">
        <x:v>0.2514376986178919</x:v>
      </x:c>
      <x:c r="O2130" s="82" t="n">
        <x:v>0.14515403558013057</x:v>
      </x:c>
      <x:c r="P2130" s="80" t="n">
        <x:v>284.11063831364174</x:v>
      </x:c>
      <x:c r="Q2130" s="81" t="n">
        <x:v>321158967179150900</x:v>
      </x:c>
      <x:c r="R2130" s="81" t="n">
        <x:v>8.356429311770631</x:v>
      </x:c>
      <x:c r="S2130" s="81" t="n">
        <x:v>7.984392111279436e-10</x:v>
      </x:c>
      <x:c r="T2130" s="81" t="n">
        <x:v>2.1267280191503556e-30</x:v>
      </x:c>
    </x:row>
    <x:row r="2131">
      <x:c r="A2131" s="59" t="n">
        <x:v>2128</x:v>
      </x:c>
      <x:c r="B2131" s="193" t="n">
        <x:v>0.9752633450552821</x:v>
      </x:c>
      <x:c r="C2131" s="83" t="n">
        <x:v>0.37983140456265907</x:v>
      </x:c>
      <x:c r="D2131" s="83" t="n">
        <x:v>0.21176071876127583</x:v>
      </x:c>
      <x:c r="E2131" s="81" t="n">
        <x:v>0.03886805936823029</x:v>
      </x:c>
      <x:c r="F2131" s="81" t="n">
        <x:v>0.3269282439141534</x:v>
      </x:c>
      <x:c r="G2131" s="81" t="n">
        <x:v>-0.00780615715663336</x:v>
      </x:c>
      <x:c r="H2131" s="59" t="n">
        <x:v>0</x:v>
      </x:c>
      <x:c r="I2131" s="81" t="n">
        <x:v>0</x:v>
      </x:c>
      <x:c r="J2131" s="79" t="n">
        <x:v>0.000040460621552907784</x:v>
      </x:c>
      <x:c r="K2131" s="81" t="n">
        <x:v>-0.9537592896538196</x:v>
      </x:c>
      <x:c r="L2131" s="81" t="n">
        <x:v>-0.9552834405752805</x:v>
      </x:c>
      <x:c r="M2131" s="80" t="n">
        <x:v>1541.397095194701</x:v>
      </x:c>
      <x:c r="N2131" s="82" t="n">
        <x:v>0.3344197649798877</x:v>
      </x:c>
      <x:c r="O2131" s="82" t="n">
        <x:v>0.10327978397199952</x:v>
      </x:c>
      <x:c r="P2131" s="80" t="n">
        <x:v>1022.544328841438</x:v>
      </x:c>
      <x:c r="Q2131" s="81" t="n">
        <x:v>0.004894210437071567</x:v>
      </x:c>
      <x:c r="R2131" s="81" t="n">
        <x:v>38.87399139753072</x:v>
      </x:c>
      <x:c r="S2131" s="81" t="n">
        <x:v>2.0755603407001124</x:v>
      </x:c>
      <x:c r="T2131" s="81" t="n">
        <x:v>0.8764653972409178</x:v>
      </x:c>
    </x:row>
    <x:row r="2132">
      <x:c r="A2132" s="59" t="n">
        <x:v>2129</x:v>
      </x:c>
      <x:c r="B2132" s="193" t="n">
        <x:v>0.8147903483361005</x:v>
      </x:c>
      <x:c r="C2132" s="83" t="n">
        <x:v>0.1240353468917382</x:v>
      </x:c>
      <x:c r="D2132" s="83" t="n">
        <x:v>0.39347176724246025</x:v>
      </x:c>
      <x:c r="E2132" s="81" t="n">
        <x:v>-0.030068090106717137</x:v>
      </x:c>
      <x:c r="F2132" s="81" t="n">
        <x:v>0.7356781149748712</x:v>
      </x:c>
      <x:c r="G2132" s="81" t="n">
        <x:v>-0.024409812110403138</x:v>
      </x:c>
      <x:c r="H2132" s="59" t="n">
        <x:v>0</x:v>
      </x:c>
      <x:c r="I2132" s="81" t="n">
        <x:v>0</x:v>
      </x:c>
      <x:c r="J2132" s="79" t="n">
        <x:v>8.297899834440588e-12</x:v>
      </x:c>
      <x:c r="K2132" s="81" t="n">
        <x:v>-0.9999999905166859</x:v>
      </x:c>
      <x:c r="L2132" s="81" t="n">
        <x:v>-0.9999999905166859</x:v>
      </x:c>
      <x:c r="M2132" s="80" t="n">
        <x:v>0.5624979152464934</x:v>
      </x:c>
      <x:c r="N2132" s="82" t="n">
        <x:v>0.2961920882926903</x:v>
      </x:c>
      <x:c r="O2132" s="82" t="n">
        <x:v>0.2058411655608903</x:v>
      </x:c>
      <x:c r="P2132" s="80" t="n">
        <x:v>267.0725288938448</x:v>
      </x:c>
      <x:c r="Q2132" s="81" t="n">
        <x:v>2.332145445118478</x:v>
      </x:c>
      <x:c r="R2132" s="81" t="n">
        <x:v>39.27934288465165</x:v>
      </x:c>
      <x:c r="S2132" s="81" t="n">
        <x:v>0.00006620055794621681</x:v>
      </x:c>
      <x:c r="T2132" s="81" t="n">
        <x:v>1.7975062654804022e-7</x:v>
      </x:c>
    </x:row>
    <x:row r="2133">
      <x:c r="A2133" s="59" t="n">
        <x:v>2130</x:v>
      </x:c>
      <x:c r="B2133" s="193" t="n">
        <x:v>0.5538372753188014</x:v>
      </x:c>
      <x:c r="C2133" s="83" t="n">
        <x:v>0.6644232359670084</x:v>
      </x:c>
      <x:c r="D2133" s="83" t="n">
        <x:v>0.7634822767567226</x:v>
      </x:c>
      <x:c r="E2133" s="81" t="n">
        <x:v>-0.013217506739644579</x:v>
      </x:c>
      <x:c r="F2133" s="81" t="n">
        <x:v>0.42321458775550125</x:v>
      </x:c>
      <x:c r="G2133" s="81" t="n">
        <x:v>0.020268582062965997</x:v>
      </x:c>
      <x:c r="H2133" s="59" t="n">
        <x:v>37</x:v>
      </x:c>
      <x:c r="I2133" s="81" t="n">
        <x:v>0.2503743794746697</x:v>
      </x:c>
      <x:c r="J2133" s="79" t="n">
        <x:v>6.73321156039696e-12</x:v>
      </x:c>
      <x:c r="K2133" s="81" t="n">
        <x:v>-0.9999999923049011</x:v>
      </x:c>
      <x:c r="L2133" s="81" t="n">
        <x:v>-0.9999999923049011</x:v>
      </x:c>
      <x:c r="M2133" s="80" t="n">
        <x:v>0.7505565476638345</x:v>
      </x:c>
      <x:c r="N2133" s="82" t="n">
        <x:v>0.23402817342985072</x:v>
      </x:c>
      <x:c r="O2133" s="82" t="n">
        <x:v>0.09356204674946854</x:v>
      </x:c>
      <x:c r="P2133" s="80" t="n">
        <x:v>1211.976479407152</x:v>
      </x:c>
      <x:c r="Q2133" s="81" t="n">
        <x:v>8.616297963143548</x:v>
      </x:c>
      <x:c r="R2133" s="81" t="n">
        <x:v>13.02318041632069</x:v>
      </x:c>
      <x:c r="S2133" s="81" t="n">
        <x:v>0.0001975941862778836</x:v>
      </x:c>
      <x:c r="T2133" s="81" t="n">
        <x:v>1.4585606247480751e-7</x:v>
      </x:c>
    </x:row>
    <x:row r="2134">
      <x:c r="A2134" s="59" t="n">
        <x:v>2131</x:v>
      </x:c>
      <x:c r="B2134" s="193" t="n">
        <x:v>0.8718013495206833</x:v>
      </x:c>
      <x:c r="C2134" s="83" t="n">
        <x:v>0.16156395231121473</x:v>
      </x:c>
      <x:c r="D2134" s="83" t="n">
        <x:v>0.9946328120808312</x:v>
      </x:c>
      <x:c r="E2134" s="81" t="n">
        <x:v>-0.03674526391466461</x:v>
      </x:c>
      <x:c r="F2134" s="81" t="n">
        <x:v>0.8296391268726439</x:v>
      </x:c>
      <x:c r="G2134" s="81" t="n">
        <x:v>0.010684722254441894</x:v>
      </x:c>
      <x:c r="H2134" s="59" t="n">
        <x:v>0</x:v>
      </x:c>
      <x:c r="I2134" s="81" t="n">
        <x:v>0</x:v>
      </x:c>
      <x:c r="J2134" s="79" t="n">
        <x:v>1.8102369185653932e-25</x:v>
      </x:c>
      <x:c r="K2134" s="81" t="n">
        <x:v>-1</x:v>
      </x:c>
      <x:c r="L2134" s="81" t="n">
        <x:v>-1</x:v>
      </x:c>
      <x:c r="M2134" s="80" t="n">
        <x:v>0.000002</x:v>
      </x:c>
      <x:c r="N2134" s="82" t="n">
        <x:v>0.3097731777311304</x:v>
      </x:c>
      <x:c r="O2134" s="82" t="n">
        <x:v>0.24277500877479682</x:v>
      </x:c>
      <x:c r="P2134" s="80" t="n">
        <x:v>375.7564001362947</x:v>
      </x:c>
      <x:c r="Q2134" s="81" t="n">
        <x:v>314869121.45675343</x:v>
      </x:c>
      <x:c r="R2134" s="81" t="n">
        <x:v>17.53352970165796</x:v>
      </x:c>
      <x:c r="S2134" s="81" t="n">
        <x:v>8.536531677571003e-10</x:v>
      </x:c>
      <x:c r="T2134" s="81" t="n">
        <x:v>3.921368380008406e-21</x:v>
      </x:c>
    </x:row>
    <x:row r="2135">
      <x:c r="A2135" s="59" t="n">
        <x:v>2132</x:v>
      </x:c>
      <x:c r="B2135" s="193" t="n">
        <x:v>0.6544292116537691</x:v>
      </x:c>
      <x:c r="C2135" s="83" t="n">
        <x:v>2.3256784129765102</x:v>
      </x:c>
      <x:c r="D2135" s="83" t="n">
        <x:v>0.4564030998427506</x:v>
      </x:c>
      <x:c r="E2135" s="81" t="n">
        <x:v>-0.007747373274139525</x:v>
      </x:c>
      <x:c r="F2135" s="81" t="n">
        <x:v>0.7730508941342124</x:v>
      </x:c>
      <x:c r="G2135" s="81" t="n">
        <x:v>0.004424744887403498</x:v>
      </x:c>
      <x:c r="H2135" s="59" t="n">
        <x:v>85</x:v>
      </x:c>
      <x:c r="I2135" s="81" t="n">
        <x:v>0.29107233602553606</x:v>
      </x:c>
      <x:c r="J2135" s="79" t="n">
        <x:v>7.912581927244014e-8</x:v>
      </x:c>
      <x:c r="K2135" s="81" t="n">
        <x:v>-0.99990957049226</x:v>
      </x:c>
      <x:c r="L2135" s="81" t="n">
        <x:v>-0.99990957049226</x:v>
      </x:c>
      <x:c r="M2135" s="80" t="n">
        <x:v>160.33991113369441</x:v>
      </x:c>
      <x:c r="N2135" s="82" t="n">
        <x:v>0.25799105876364625</x:v>
      </x:c>
      <x:c r="O2135" s="82" t="n">
        <x:v>0.1884012081670839</x:v>
      </x:c>
      <x:c r="P2135" s="80" t="n">
        <x:v>2283.1509436828533</x:v>
      </x:c>
      <x:c r="Q2135" s="81" t="n">
        <x:v>0.2146640787522475</x:v>
      </x:c>
      <x:c r="R2135" s="81" t="n">
        <x:v>5.127399614651415</x:v>
      </x:c>
      <x:c r="S2135" s="81" t="n">
        <x:v>0.010887010299906278</x:v>
      </x:c>
      <x:c r="T2135" s="81" t="n">
        <x:v>0.0017140379944471775</x:v>
      </x:c>
    </x:row>
    <x:row r="2136">
      <x:c r="A2136" s="59" t="n">
        <x:v>2133</x:v>
      </x:c>
      <x:c r="B2136" s="193" t="n">
        <x:v>0.25906998179852964</x:v>
      </x:c>
      <x:c r="C2136" s="83" t="n">
        <x:v>0.2621067397980986</x:v>
      </x:c>
      <x:c r="D2136" s="83" t="n">
        <x:v>1.2156421132113904</x:v>
      </x:c>
      <x:c r="E2136" s="81" t="n">
        <x:v>0.014292944336117065</x:v>
      </x:c>
      <x:c r="F2136" s="81" t="n">
        <x:v>0.5852497882093304</x:v>
      </x:c>
      <x:c r="G2136" s="81" t="n">
        <x:v>-0.0029415610677619294</x:v>
      </x:c>
      <x:c r="H2136" s="59" t="n">
        <x:v>0</x:v>
      </x:c>
      <x:c r="I2136" s="81" t="n">
        <x:v>0</x:v>
      </x:c>
      <x:c r="J2136" s="79" t="n">
        <x:v>0.0002287563887203365</x:v>
      </x:c>
      <x:c r="K2136" s="81" t="n">
        <x:v>-0.7385641271767582</x:v>
      </x:c>
      <x:c r="L2136" s="81" t="n">
        <x:v>-0.8314068980307505</x:v>
      </x:c>
      <x:c r="M2136" s="80" t="n">
        <x:v>3474.2575249031247</x:v>
      </x:c>
      <x:c r="N2136" s="82" t="n">
        <x:v>0.16380907722656846</x:v>
      </x:c>
      <x:c r="O2136" s="82" t="n">
        <x:v>0.090562868695967</x:v>
      </x:c>
      <x:c r="P2136" s="80" t="n">
        <x:v>9591.444402144645</x:v>
      </x:c>
      <x:c r="Q2136" s="81" t="n">
        <x:v>0.012855823002648962</x:v>
      </x:c>
      <x:c r="R2136" s="81" t="n">
        <x:v>86.06148100965672</x:v>
      </x:c>
      <x:c r="S2136" s="81" t="n">
        <x:v>17.637159746091633</x:v>
      </x:c>
      <x:c r="T2136" s="81" t="n">
        <x:v>4.955362805017471</x:v>
      </x:c>
    </x:row>
    <x:row r="2137">
      <x:c r="A2137" s="59" t="n">
        <x:v>2134</x:v>
      </x:c>
      <x:c r="B2137" s="193" t="n">
        <x:v>0.3159606069326401</x:v>
      </x:c>
      <x:c r="C2137" s="83" t="n">
        <x:v>0.8798403023928185</x:v>
      </x:c>
      <x:c r="D2137" s="83" t="n">
        <x:v>0.39373622531024016</x:v>
      </x:c>
      <x:c r="E2137" s="81" t="n">
        <x:v>-0.033592284699689424</x:v>
      </x:c>
      <x:c r="F2137" s="81" t="n">
        <x:v>0.38135100551880896</x:v>
      </x:c>
      <x:c r="G2137" s="81" t="n">
        <x:v>-0.05</x:v>
      </x:c>
      <x:c r="H2137" s="59" t="n">
        <x:v>0</x:v>
      </x:c>
      <x:c r="I2137" s="81" t="n">
        <x:v>0</x:v>
      </x:c>
      <x:c r="J2137" s="79" t="n">
        <x:v>1.6774348137206113e-10</x:v>
      </x:c>
      <x:c r="K2137" s="81" t="n">
        <x:v>-0.9999998082931641</x:v>
      </x:c>
      <x:c r="L2137" s="81" t="n">
        <x:v>-0.9999998082931641</x:v>
      </x:c>
      <x:c r="M2137" s="80" t="n">
        <x:v>4.211155108561586</x:v>
      </x:c>
      <x:c r="N2137" s="82" t="n">
        <x:v>0.17736149083273478</x:v>
      </x:c>
      <x:c r="O2137" s="82" t="n">
        <x:v>0.06389327777139538</x:v>
      </x:c>
      <x:c r="P2137" s="80" t="n">
        <x:v>679.6514365077587</x:v>
      </x:c>
      <x:c r="Q2137" s="81" t="n">
        <x:v>0.7762111036121274</x:v>
      </x:c>
      <x:c r="R2137" s="81" t="n">
        <x:v>9.584436809706897</x:v>
      </x:c>
      <x:c r="S2137" s="81" t="n">
        <x:v>0.00021343463653208076</x:v>
      </x:c>
      <x:c r="T2137" s="81" t="n">
        <x:v>0.0000036336900273043885</x:v>
      </x:c>
    </x:row>
    <x:row r="2138">
      <x:c r="A2138" s="59" t="n">
        <x:v>2135</x:v>
      </x:c>
      <x:c r="B2138" s="193" t="n">
        <x:v>0.9962480314075948</x:v>
      </x:c>
      <x:c r="C2138" s="83" t="n">
        <x:v>0.8729868360295011</x:v>
      </x:c>
      <x:c r="D2138" s="83" t="n">
        <x:v>0.5709243708351348</x:v>
      </x:c>
      <x:c r="E2138" s="81" t="n">
        <x:v>0.07218622900933352</x:v>
      </x:c>
      <x:c r="F2138" s="81" t="n">
        <x:v>0.3860283572925255</x:v>
      </x:c>
      <x:c r="G2138" s="81" t="n">
        <x:v>0.005393117863533805</x:v>
      </x:c>
      <x:c r="H2138" s="59" t="n">
        <x:v>0</x:v>
      </x:c>
      <x:c r="I2138" s="81" t="n">
        <x:v>0</x:v>
      </x:c>
      <x:c r="J2138" s="79" t="n">
        <x:v>0.0020550410423407005</x:v>
      </x:c>
      <x:c r="K2138" s="81" t="n">
        <x:v>1.3486183341036577</x:v>
      </x:c>
      <x:c r="L2138" s="81" t="n">
        <x:v>-0.6856877989109937</x:v>
      </x:c>
      <x:c r="M2138" s="80" t="n">
        <x:v>17012.782237487252</x:v>
      </x:c>
      <x:c r="N2138" s="82" t="n">
        <x:v>0.3394187107318781</x:v>
      </x:c>
      <x:c r="O2138" s="82" t="n">
        <x:v>0.12377300358608749</x:v>
      </x:c>
      <x:c r="P2138" s="80" t="n">
        <x:v>19032.525237119185</x:v>
      </x:c>
      <x:c r="Q2138" s="81" t="n">
        <x:v>0.004024474342118566</x:v>
      </x:c>
      <x:c r="R2138" s="81" t="n">
        <x:v>71.91889841799498</x:v>
      </x:c>
      <x:c r="S2138" s="81" t="n">
        <x:v>46.288099208555145</x:v>
      </x:c>
      <x:c r="T2138" s="81" t="n">
        <x:v>44.51667558211514</x:v>
      </x:c>
    </x:row>
    <x:row r="2139">
      <x:c r="A2139" s="59" t="n">
        <x:v>2136</x:v>
      </x:c>
      <x:c r="B2139" s="193" t="n">
        <x:v>0.20949400812387467</x:v>
      </x:c>
      <x:c r="C2139" s="83" t="n">
        <x:v>0.20360517377526305</x:v>
      </x:c>
      <x:c r="D2139" s="83" t="n">
        <x:v>1.2806846858014278</x:v>
      </x:c>
      <x:c r="E2139" s="81" t="n">
        <x:v>-0.026737424121141364</x:v>
      </x:c>
      <x:c r="F2139" s="81" t="n">
        <x:v>0.46047644882928584</x:v>
      </x:c>
      <x:c r="G2139" s="81" t="n">
        <x:v>-0.026408764086031485</x:v>
      </x:c>
      <x:c r="H2139" s="59" t="n">
        <x:v>0</x:v>
      </x:c>
      <x:c r="I2139" s="81" t="n">
        <x:v>0</x:v>
      </x:c>
      <x:c r="J2139" s="79" t="n">
        <x:v>6.149335514310844e-22</x:v>
      </x:c>
      <x:c r="K2139" s="81" t="n">
        <x:v>-1</x:v>
      </x:c>
      <x:c r="L2139" s="81" t="n">
        <x:v>-1</x:v>
      </x:c>
      <x:c r="M2139" s="80" t="n">
        <x:v>0.0000053628814407543594</x:v>
      </x:c>
      <x:c r="N2139" s="82" t="n">
        <x:v>0.15199915074775927</x:v>
      </x:c>
      <x:c r="O2139" s="82" t="n">
        <x:v>0.06611797231743881</x:v>
      </x:c>
      <x:c r="P2139" s="80" t="n">
        <x:v>647.8675070657772</x:v>
      </x:c>
      <x:c r="Q2139" s="81" t="n">
        <x:v>338278.6841634748</x:v>
      </x:c>
      <x:c r="R2139" s="81" t="n">
        <x:v>20.310652324925098</x:v>
      </x:c>
      <x:c r="S2139" s="81" t="n">
        <x:v>1.8930870258876227e-9</x:v>
      </x:c>
      <x:c r="T2139" s="81" t="n">
        <x:v>1.3320803258720071e-17</x:v>
      </x:c>
    </x:row>
    <x:row r="2140">
      <x:c r="A2140" s="59" t="n">
        <x:v>2137</x:v>
      </x:c>
      <x:c r="B2140" s="193" t="n">
        <x:v>0.7901786303147673</x:v>
      </x:c>
      <x:c r="C2140" s="83" t="n">
        <x:v>0.22046024400051034</x:v>
      </x:c>
      <x:c r="D2140" s="83" t="n">
        <x:v>0.5259464425192748</x:v>
      </x:c>
      <x:c r="E2140" s="81" t="n">
        <x:v>-0.0611714025357884</x:v>
      </x:c>
      <x:c r="F2140" s="81" t="n">
        <x:v>0.3453279514214955</x:v>
      </x:c>
      <x:c r="G2140" s="81" t="n">
        <x:v>0.019880971979233948</x:v>
      </x:c>
      <x:c r="H2140" s="59" t="n">
        <x:v>35</x:v>
      </x:c>
      <x:c r="I2140" s="81" t="n">
        <x:v>0.39183229459449653</x:v>
      </x:c>
      <x:c r="J2140" s="79" t="n">
        <x:v>1.4345860571812215e-24</x:v>
      </x:c>
      <x:c r="K2140" s="81" t="n">
        <x:v>-1</x:v>
      </x:c>
      <x:c r="L2140" s="81" t="n">
        <x:v>-1</x:v>
      </x:c>
      <x:c r="M2140" s="80" t="n">
        <x:v>0.000002</x:v>
      </x:c>
      <x:c r="N2140" s="82" t="n">
        <x:v>0.29032911559029595</x:v>
      </x:c>
      <x:c r="O2140" s="82" t="n">
        <x:v>0.09470943925146366</x:v>
      </x:c>
      <x:c r="P2140" s="80" t="n">
        <x:v>273.266939842973</x:v>
      </x:c>
      <x:c r="Q2140" s="81" t="n">
        <x:v>24428977.809043996</x:v>
      </x:c>
      <x:c r="R2140" s="81" t="n">
        <x:v>17.914104364699504</x:v>
      </x:c>
      <x:c r="S2140" s="81" t="n">
        <x:v>4.796680329326158e-10</x:v>
      </x:c>
      <x:c r="T2140" s="81" t="n">
        <x:v>3.107626601433803e-20</x:v>
      </x:c>
    </x:row>
    <x:row r="2141">
      <x:c r="A2141" s="59" t="n">
        <x:v>2138</x:v>
      </x:c>
      <x:c r="B2141" s="193" t="n">
        <x:v>0.2921935735270381</x:v>
      </x:c>
      <x:c r="C2141" s="83" t="n">
        <x:v>1.0557363316725221</x:v>
      </x:c>
      <x:c r="D2141" s="83" t="n">
        <x:v>0.23837905212769783</x:v>
      </x:c>
      <x:c r="E2141" s="81" t="n">
        <x:v>-0.2</x:v>
      </x:c>
      <x:c r="F2141" s="81" t="n">
        <x:v>0.6434483683318831</x:v>
      </x:c>
      <x:c r="G2141" s="81" t="n">
        <x:v>0.05200873538960652</x:v>
      </x:c>
      <x:c r="H2141" s="59" t="n">
        <x:v>0</x:v>
      </x:c>
      <x:c r="I2141" s="81" t="n">
        <x:v>0</x:v>
      </x:c>
      <x:c r="J2141" s="79" t="n">
        <x:v>4.0400529368171174e-33</x:v>
      </x:c>
      <x:c r="K2141" s="81" t="n">
        <x:v>-1</x:v>
      </x:c>
      <x:c r="L2141" s="81" t="n">
        <x:v>-1</x:v>
      </x:c>
      <x:c r="M2141" s="80" t="n">
        <x:v>0.000002</x:v>
      </x:c>
      <x:c r="N2141" s="82" t="n">
        <x:v>0.17169973784364412</x:v>
      </x:c>
      <x:c r="O2141" s="82" t="n">
        <x:v>0.104364855908906</x:v>
      </x:c>
      <x:c r="P2141" s="80" t="n">
        <x:v>161.33322103521905</x:v>
      </x:c>
      <x:c r="Q2141" s="81" t="n">
        <x:v>3000260717069118.5</x:v>
      </x:c>
      <x:c r="R2141" s="81" t="n">
        <x:v>2.9370905379991736</x:v>
      </x:c>
      <x:c r="S2141" s="81" t="n">
        <x:v>1.882377948130472e-10</x:v>
      </x:c>
      <x:c r="T2141" s="81" t="n">
        <x:v>8.751636693251125e-29</x:v>
      </x:c>
    </x:row>
    <x:row r="2142">
      <x:c r="A2142" s="59" t="n">
        <x:v>2139</x:v>
      </x:c>
      <x:c r="B2142" s="193" t="n">
        <x:v>0.2472624707967043</x:v>
      </x:c>
      <x:c r="C2142" s="83" t="n">
        <x:v>0.7334506268131106</x:v>
      </x:c>
      <x:c r="D2142" s="83" t="n">
        <x:v>1.7002540283362775</x:v>
      </x:c>
      <x:c r="E2142" s="81" t="n">
        <x:v>0.006139281197122944</x:v>
      </x:c>
      <x:c r="F2142" s="81" t="n">
        <x:v>0.74946050029248</x:v>
      </x:c>
      <x:c r="G2142" s="81" t="n">
        <x:v>0.014254775212172738</x:v>
      </x:c>
      <x:c r="H2142" s="59" t="n">
        <x:v>60</x:v>
      </x:c>
      <x:c r="I2142" s="81" t="n">
        <x:v>0.31611160561442375</x:v>
      </x:c>
      <x:c r="J2142" s="79" t="n">
        <x:v>0.00013685430186028482</x:v>
      </x:c>
      <x:c r="K2142" s="81" t="n">
        <x:v>-0.843595083588246</x:v>
      </x:c>
      <x:c r="L2142" s="81" t="n">
        <x:v>-0.8965094029813993</x:v>
      </x:c>
      <x:c r="M2142" s="80" t="n">
        <x:v>3608.006379967814</x:v>
      </x:c>
      <x:c r="N2142" s="82" t="n">
        <x:v>0.1609963067151022</x:v>
      </x:c>
      <x:c r="O2142" s="82" t="n">
        <x:v>0.11398182435019633</x:v>
      </x:c>
      <x:c r="P2142" s="80" t="n">
        <x:v>15207.503305124554</x:v>
      </x:c>
      <x:c r="Q2142" s="81" t="n">
        <x:v>0.036655775413768986</x:v>
      </x:c>
      <x:c r="R2142" s="81" t="n">
        <x:v>27.068501220952832</x:v>
      </x:c>
      <x:c r="S2142" s="81" t="n">
        <x:v>5.3139899625286535</x:v>
      </x:c>
      <x:c r="T2142" s="81" t="n">
        <x:v>2.9645629612302056</x:v>
      </x:c>
    </x:row>
    <x:row r="2143">
      <x:c r="A2143" s="59" t="n">
        <x:v>2140</x:v>
      </x:c>
      <x:c r="B2143" s="193" t="n">
        <x:v>0.6532983232289553</x:v>
      </x:c>
      <x:c r="C2143" s="83" t="n">
        <x:v>1.5122047983886295</x:v>
      </x:c>
      <x:c r="D2143" s="83" t="n">
        <x:v>1.6648017506687065</x:v>
      </x:c>
      <x:c r="E2143" s="81" t="n">
        <x:v>-0.2</x:v>
      </x:c>
      <x:c r="F2143" s="81" t="n">
        <x:v>0.2973235222627409</x:v>
      </x:c>
      <x:c r="G2143" s="81" t="n">
        <x:v>-0.01867912847543971</x:v>
      </x:c>
      <x:c r="H2143" s="59" t="n">
        <x:v>58</x:v>
      </x:c>
      <x:c r="I2143" s="81" t="n">
        <x:v>0.4588873943313957</x:v>
      </x:c>
      <x:c r="J2143" s="79" t="n">
        <x:v>2.69514856902536e-87</x:v>
      </x:c>
      <x:c r="K2143" s="81" t="n">
        <x:v>-1</x:v>
      </x:c>
      <x:c r="L2143" s="81" t="n">
        <x:v>-1</x:v>
      </x:c>
      <x:c r="M2143" s="80" t="n">
        <x:v>0.000002</x:v>
      </x:c>
      <x:c r="N2143" s="82" t="n">
        <x:v>0.2577216599366978</x:v>
      </x:c>
      <x:c r="O2143" s="82" t="n">
        <x:v>0.07238542536029664</x:v>
      </x:c>
      <x:c r="P2143" s="80" t="n">
        <x:v>314.7534100736415</x:v>
      </x:c>
      <x:c r="Q2143" s="81" t="n">
        <x:v>4.497418903179605e+69</x:v>
      </x:c>
      <x:c r="R2143" s="81" t="n">
        <x:v>0.5466162039173429</x:v>
      </x:c>
      <x:c r="S2143" s="81" t="n">
        <x:v>4.6150795605579874e-10</x:v>
      </x:c>
      <x:c r="T2143" s="81" t="n">
        <x:v>5.838280210513322e-83</x:v>
      </x:c>
    </x:row>
    <x:row r="2144">
      <x:c r="A2144" s="59" t="n">
        <x:v>2141</x:v>
      </x:c>
      <x:c r="B2144" s="193" t="n">
        <x:v>0.919040746986866</x:v>
      </x:c>
      <x:c r="C2144" s="83" t="n">
        <x:v>0.9975909899798829</x:v>
      </x:c>
      <x:c r="D2144" s="83" t="n">
        <x:v>0.7630825862480588</x:v>
      </x:c>
      <x:c r="E2144" s="81" t="n">
        <x:v>0.035815681994081604</x:v>
      </x:c>
      <x:c r="F2144" s="81" t="n">
        <x:v>0.42310474993428215</x:v>
      </x:c>
      <x:c r="G2144" s="81" t="n">
        <x:v>0.02829682776175271</x:v>
      </x:c>
      <x:c r="H2144" s="59" t="n">
        <x:v>21</x:v>
      </x:c>
      <x:c r="I2144" s="81" t="n">
        <x:v>0.3984585920348763</x:v>
      </x:c>
      <x:c r="J2144" s="79" t="n">
        <x:v>0.0015325721911536433</x:v>
      </x:c>
      <x:c r="K2144" s="81" t="n">
        <x:v>0.7515110756041641</x:v>
      </x:c>
      <x:c r="L2144" s="81" t="n">
        <x:v>-0.681889747693697</x:v>
      </x:c>
      <x:c r="M2144" s="80" t="n">
        <x:v>15086.245364093154</x:v>
      </x:c>
      <x:c r="N2144" s="82" t="n">
        <x:v>0.3210264879462775</x:v>
      </x:c>
      <x:c r="O2144" s="82" t="n">
        <x:v>0.12830976523212462</x:v>
      </x:c>
      <x:c r="P2144" s="80" t="n">
        <x:v>23047.31673649317</x:v>
      </x:c>
      <x:c r="Q2144" s="81" t="n">
        <x:v>0.008182902690540858</x:v>
      </x:c>
      <x:c r="R2144" s="81" t="n">
        <x:v>30.389988838989268</x:v>
      </x:c>
      <x:c r="S2144" s="81" t="n">
        <x:v>32.17608913637858</x:v>
      </x:c>
      <x:c r="T2144" s="81" t="n">
        <x:v>33.198859601387575</x:v>
      </x:c>
    </x:row>
    <x:row r="2145">
      <x:c r="A2145" s="59" t="n">
        <x:v>2142</x:v>
      </x:c>
      <x:c r="B2145" s="193" t="n">
        <x:v>0.31659826487302783</x:v>
      </x:c>
      <x:c r="C2145" s="83" t="n">
        <x:v>2.6800957692696956</x:v>
      </x:c>
      <x:c r="D2145" s="83" t="n">
        <x:v>2.0219958048573874</x:v>
      </x:c>
      <x:c r="E2145" s="81" t="n">
        <x:v>0.0023232196691748237</x:v>
      </x:c>
      <x:c r="F2145" s="81" t="n">
        <x:v>0.3607794460840523</x:v>
      </x:c>
      <x:c r="G2145" s="81" t="n">
        <x:v>0.009629637016738433</x:v>
      </x:c>
      <x:c r="H2145" s="59" t="n">
        <x:v>0</x:v>
      </x:c>
      <x:c r="I2145" s="81" t="n">
        <x:v>0</x:v>
      </x:c>
      <x:c r="J2145" s="79" t="n">
        <x:v>0.00037383212215835927</x:v>
      </x:c>
      <x:c r="K2145" s="81" t="n">
        <x:v>-0.572763288961875</x:v>
      </x:c>
      <x:c r="L2145" s="81" t="n">
        <x:v>-0.6502779094852541</x:v>
      </x:c>
      <x:c r="M2145" s="80" t="n">
        <x:v>12304.403723465877</x:v>
      </x:c>
      <x:c r="N2145" s="82" t="n">
        <x:v>0.17751339291022158</x:v>
      </x:c>
      <x:c r="O2145" s="82" t="n">
        <x:v>0.06049839515891559</x:v>
      </x:c>
      <x:c r="P2145" s="80" t="n">
        <x:v>63071.06892686906</x:v>
      </x:c>
      <x:c r="Q2145" s="81" t="n">
        <x:v>0.0481168820970918</x:v>
      </x:c>
      <x:c r="R2145" s="81" t="n">
        <x:v>12.500817938777695</x:v>
      </x:c>
      <x:c r="S2145" s="81" t="n">
        <x:v>5.92206729955681</x:v>
      </x:c>
      <x:c r="T2145" s="81" t="n">
        <x:v>8.098019923408573</x:v>
      </x:c>
    </x:row>
    <x:row r="2146">
      <x:c r="A2146" s="59" t="n">
        <x:v>2143</x:v>
      </x:c>
      <x:c r="B2146" s="193" t="n">
        <x:v>0.24483894873410464</x:v>
      </x:c>
      <x:c r="C2146" s="83" t="n">
        <x:v>0.17913642917474334</x:v>
      </x:c>
      <x:c r="D2146" s="83" t="n">
        <x:v>0.9930621998647733</x:v>
      </x:c>
      <x:c r="E2146" s="81" t="n">
        <x:v>0.012594968511580582</x:v>
      </x:c>
      <x:c r="F2146" s="81" t="n">
        <x:v>0.7946677394676954</x:v>
      </x:c>
      <x:c r="G2146" s="81" t="n">
        <x:v>-0.04760195915965021</x:v>
      </x:c>
      <x:c r="H2146" s="59" t="n">
        <x:v>0</x:v>
      </x:c>
      <x:c r="I2146" s="81" t="n">
        <x:v>0</x:v>
      </x:c>
      <x:c r="J2146" s="79" t="n">
        <x:v>0.00002226243041067057</x:v>
      </x:c>
      <x:c r="K2146" s="81" t="n">
        <x:v>-0.9745572223878051</x:v>
      </x:c>
      <x:c r="L2146" s="81" t="n">
        <x:v>-0.9745644455117605</x:v>
      </x:c>
      <x:c r="M2146" s="80" t="n">
        <x:v>984.3917323460535</x:v>
      </x:c>
      <x:c r="N2146" s="82" t="n">
        <x:v>0.1604189783187526</x:v>
      </x:c>
      <x:c r="O2146" s="82" t="n">
        <x:v>0.12042378425340548</x:v>
      </x:c>
      <x:c r="P2146" s="80" t="n">
        <x:v>3013.9715883548192</x:v>
      </x:c>
      <x:c r="Q2146" s="81" t="n">
        <x:v>0.01690026879993306</x:v>
      </x:c>
      <x:c r="R2146" s="81" t="n">
        <x:v>80.9134904391637</x:v>
      </x:c>
      <x:c r="S2146" s="81" t="n">
        <x:v>2.510948885912743</x:v>
      </x:c>
      <x:c r="T2146" s="81" t="n">
        <x:v>0.48225284646014976</x:v>
      </x:c>
    </x:row>
    <x:row r="2147">
      <x:c r="A2147" s="59" t="n">
        <x:v>2144</x:v>
      </x:c>
      <x:c r="B2147" s="193" t="n">
        <x:v>0.7423786580562592</x:v>
      </x:c>
      <x:c r="C2147" s="83" t="n">
        <x:v>1.5034704687918823</x:v>
      </x:c>
      <x:c r="D2147" s="83" t="n">
        <x:v>0.2710115791360228</x:v>
      </x:c>
      <x:c r="E2147" s="81" t="n">
        <x:v>-0.1777290433506126</x:v>
      </x:c>
      <x:c r="F2147" s="81" t="n">
        <x:v>0.5251600920106285</x:v>
      </x:c>
      <x:c r="G2147" s="81" t="n">
        <x:v>-0.009719987424487918</x:v>
      </x:c>
      <x:c r="H2147" s="59" t="n">
        <x:v>0</x:v>
      </x:c>
      <x:c r="I2147" s="81" t="n">
        <x:v>0</x:v>
      </x:c>
      <x:c r="J2147" s="79" t="n">
        <x:v>2.138481790275005e-27</x:v>
      </x:c>
      <x:c r="K2147" s="81" t="n">
        <x:v>-1</x:v>
      </x:c>
      <x:c r="L2147" s="81" t="n">
        <x:v>-1</x:v>
      </x:c>
      <x:c r="M2147" s="80" t="n">
        <x:v>0.000002</x:v>
      </x:c>
      <x:c r="N2147" s="82" t="n">
        <x:v>0.2789422659488396</x:v>
      </x:c>
      <x:c r="O2147" s="82" t="n">
        <x:v>0.13838116487076693</x:v>
      </x:c>
      <x:c r="P2147" s="80" t="n">
        <x:v>219.35906930804927</x:v>
      </x:c>
      <x:c r="Q2147" s="81" t="n">
        <x:v>6260027289.284396</x:v>
      </x:c>
      <x:c r="R2147" s="81" t="n">
        <x:v>2.121576772461835</x:v>
      </x:c>
      <x:c r="S2147" s="81" t="n">
        <x:v>8.42051481929562e-11</x:v>
      </x:c>
      <x:c r="T2147" s="81" t="n">
        <x:v>4.63241843518133e-23</x:v>
      </x:c>
    </x:row>
    <x:row r="2148">
      <x:c r="A2148" s="59" t="n">
        <x:v>2145</x:v>
      </x:c>
      <x:c r="B2148" s="193" t="n">
        <x:v>0.7385200841352344</x:v>
      </x:c>
      <x:c r="C2148" s="83" t="n">
        <x:v>1.1345608414418455</x:v>
      </x:c>
      <x:c r="D2148" s="83" t="n">
        <x:v>0.7090574226056547</x:v>
      </x:c>
      <x:c r="E2148" s="81" t="n">
        <x:v>-0.035049378156146144</x:v>
      </x:c>
      <x:c r="F2148" s="81" t="n">
        <x:v>0.32893196506192907</x:v>
      </x:c>
      <x:c r="G2148" s="81" t="n">
        <x:v>0.0018022855775829867</x:v>
      </x:c>
      <x:c r="H2148" s="59" t="n">
        <x:v>0</x:v>
      </x:c>
      <x:c r="I2148" s="81" t="n">
        <x:v>0</x:v>
      </x:c>
      <x:c r="J2148" s="79" t="n">
        <x:v>1.562020140469541e-19</x:v>
      </x:c>
      <x:c r="K2148" s="81" t="n">
        <x:v>-0.9999999999999998</x:v>
      </x:c>
      <x:c r="L2148" s="81" t="n">
        <x:v>-0.9999999999999998</x:v>
      </x:c>
      <x:c r="M2148" s="80" t="n">
        <x:v>0.000150394384003733</x:v>
      </x:c>
      <x:c r="N2148" s="82" t="n">
        <x:v>0.2780230812925904</x:v>
      </x:c>
      <x:c r="O2148" s="82" t="n">
        <x:v>0.0863888859834064</x:v>
      </x:c>
      <x:c r="P2148" s="80" t="n">
        <x:v>851.6571915675804</x:v>
      </x:c>
      <x:c r="Q2148" s="81" t="n">
        <x:v>28720.39900037512</x:v>
      </x:c>
      <x:c r="R2148" s="81" t="n">
        <x:v>5.355151554993595</x:v>
      </x:c>
      <x:c r="S2148" s="81" t="n">
        <x:v>2.349120513047378e-8</x:v>
      </x:c>
      <x:c r="T2148" s="81" t="n">
        <x:v>3.383676647489762e-15</x:v>
      </x:c>
    </x:row>
    <x:row r="2149">
      <x:c r="A2149" s="59" t="n">
        <x:v>2146</x:v>
      </x:c>
      <x:c r="B2149" s="193" t="n">
        <x:v>0.4472528673708439</x:v>
      </x:c>
      <x:c r="C2149" s="83" t="n">
        <x:v>0.5695835427590841</x:v>
      </x:c>
      <x:c r="D2149" s="83" t="n">
        <x:v>0.9829502163271439</x:v>
      </x:c>
      <x:c r="E2149" s="81" t="n">
        <x:v>0.07988495433384767</x:v>
      </x:c>
      <x:c r="F2149" s="81" t="n">
        <x:v>0.6625827559269966</x:v>
      </x:c>
      <x:c r="G2149" s="81" t="n">
        <x:v>-0.018876778035837836</x:v>
      </x:c>
      <x:c r="H2149" s="59" t="n">
        <x:v>0</x:v>
      </x:c>
      <x:c r="I2149" s="81" t="n">
        <x:v>0</x:v>
      </x:c>
      <x:c r="J2149" s="79" t="n">
        <x:v>0.002998712515266237</x:v>
      </x:c>
      <x:c r="K2149" s="81" t="n">
        <x:v>2.4271000174471284</x:v>
      </x:c>
      <x:c r="L2149" s="81" t="n">
        <x:v>-0.7642951860662233</x:v>
      </x:c>
      <x:c r="M2149" s="80" t="n">
        <x:v>18963.622957802854</x:v>
      </x:c>
      <x:c r="N2149" s="82" t="n">
        <x:v>0.2086377689989984</x:v>
      </x:c>
      <x:c r="O2149" s="82" t="n">
        <x:v>0.1305882196006212</x:v>
      </x:c>
      <x:c r="P2149" s="80" t="n">
        <x:v>32864.13256893745</x:v>
      </x:c>
      <x:c r="Q2149" s="81" t="n">
        <x:v>0.004026842102387945</x:v>
      </x:c>
      <x:c r="R2149" s="81" t="n">
        <x:v>248.33143798224867</x:v>
      </x:c>
      <x:c r="S2149" s="81" t="n">
        <x:v>102.164786361625</x:v>
      </x:c>
      <x:c r="T2149" s="81" t="n">
        <x:v>64.95865992733984</x:v>
      </x:c>
    </x:row>
    <x:row r="2150">
      <x:c r="A2150" s="59" t="n">
        <x:v>2147</x:v>
      </x:c>
      <x:c r="B2150" s="193" t="n">
        <x:v>0.5452286457642913</x:v>
      </x:c>
      <x:c r="C2150" s="83" t="n">
        <x:v>0.6796476065334203</x:v>
      </x:c>
      <x:c r="D2150" s="83" t="n">
        <x:v>0.5921582983577844</x:v>
      </x:c>
      <x:c r="E2150" s="81" t="n">
        <x:v>0.036819954335052495</x:v>
      </x:c>
      <x:c r="F2150" s="81" t="n">
        <x:v>0.5170863022911363</x:v>
      </x:c>
      <x:c r="G2150" s="81" t="n">
        <x:v>-0.043431995032234834</x:v>
      </x:c>
      <x:c r="H2150" s="59" t="n">
        <x:v>0</x:v>
      </x:c>
      <x:c r="I2150" s="81" t="n">
        <x:v>0</x:v>
      </x:c>
      <x:c r="J2150" s="79" t="n">
        <x:v>0.00016563422694241585</x:v>
      </x:c>
      <x:c r="K2150" s="81" t="n">
        <x:v>-0.810703740637239</x:v>
      </x:c>
      <x:c r="L2150" s="81" t="n">
        <x:v>-0.8771893106674901</x:v>
      </x:c>
      <x:c r="M2150" s="80" t="n">
        <x:v>3932.192917549866</x:v>
      </x:c>
      <x:c r="N2150" s="82" t="n">
        <x:v>0.23197743645816205</x:v>
      </x:c>
      <x:c r="O2150" s="82" t="n">
        <x:v>0.11331299536951785</x:v>
      </x:c>
      <x:c r="P2150" s="80" t="n">
        <x:v>5536.612706312671</x:v>
      </x:c>
      <x:c r="Q2150" s="81" t="n">
        <x:v>0.006264778727297385</x:v>
      </x:c>
      <x:c r="R2150" s="81" t="n">
        <x:v>41.24773830490287</x:v>
      </x:c>
      <x:c r="S2150" s="81" t="n">
        <x:v>4.892070935449023</x:v>
      </x:c>
      <x:c r="T2150" s="81" t="n">
        <x:v>3.5879989713935494</x:v>
      </x:c>
    </x:row>
    <x:row r="2151">
      <x:c r="A2151" s="59" t="n">
        <x:v>2148</x:v>
      </x:c>
      <x:c r="B2151" s="193" t="n">
        <x:v>0.7709564551711083</x:v>
      </x:c>
      <x:c r="C2151" s="83" t="n">
        <x:v>0.22582936816682478</x:v>
      </x:c>
      <x:c r="D2151" s="83" t="n">
        <x:v>0.6757600970462441</x:v>
      </x:c>
      <x:c r="E2151" s="81" t="n">
        <x:v>-0.10311224283759937</x:v>
      </x:c>
      <x:c r="F2151" s="81" t="n">
        <x:v>0.3624147460912354</x:v>
      </x:c>
      <x:c r="G2151" s="81" t="n">
        <x:v>0.026715041623330285</x:v>
      </x:c>
      <x:c r="H2151" s="59" t="n">
        <x:v>0</x:v>
      </x:c>
      <x:c r="I2151" s="81" t="n">
        <x:v>0</x:v>
      </x:c>
      <x:c r="J2151" s="79" t="n">
        <x:v>2.273272232046272e-37</x:v>
      </x:c>
      <x:c r="K2151" s="81" t="n">
        <x:v>-1</x:v>
      </x:c>
      <x:c r="L2151" s="81" t="n">
        <x:v>-1</x:v>
      </x:c>
      <x:c r="M2151" s="80" t="n">
        <x:v>0.000002</x:v>
      </x:c>
      <x:c r="N2151" s="82" t="n">
        <x:v>0.2857500330552926</x:v>
      </x:c>
      <x:c r="O2151" s="82" t="n">
        <x:v>0.09782798116916254</x:v>
      </x:c>
      <x:c r="P2151" s="80" t="n">
        <x:v>192.66424681875867</x:v>
      </x:c>
      <x:c r="Q2151" s="81" t="n">
        <x:v>95072042687633920000</x:v>
      </x:c>
      <x:c r="R2151" s="81" t="n">
        <x:v>9.041598043432181</x:v>
      </x:c>
      <x:c r="S2151" s="81" t="n">
        <x:v>6.655398180585089e-10</x:v>
      </x:c>
      <x:c r="T2151" s="81" t="n">
        <x:v>4.924403959765646e-33</x:v>
      </x:c>
    </x:row>
    <x:row r="2152">
      <x:c r="A2152" s="59" t="n">
        <x:v>2149</x:v>
      </x:c>
      <x:c r="B2152" s="193" t="n">
        <x:v>0.3767664968967438</x:v>
      </x:c>
      <x:c r="C2152" s="83" t="n">
        <x:v>0.8079044202872189</x:v>
      </x:c>
      <x:c r="D2152" s="83" t="n">
        <x:v>0.5866146174416075</x:v>
      </x:c>
      <x:c r="E2152" s="81" t="n">
        <x:v>-0.07447200920468273</x:v>
      </x:c>
      <x:c r="F2152" s="81" t="n">
        <x:v>0.254078007559292</x:v>
      </x:c>
      <x:c r="G2152" s="81" t="n">
        <x:v>0.04211742053667734</x:v>
      </x:c>
      <x:c r="H2152" s="59" t="n">
        <x:v>0</x:v>
      </x:c>
      <x:c r="I2152" s="81" t="n">
        <x:v>0</x:v>
      </x:c>
      <x:c r="J2152" s="79" t="n">
        <x:v>1.864914075307048e-30</x:v>
      </x:c>
      <x:c r="K2152" s="81" t="n">
        <x:v>-1</x:v>
      </x:c>
      <x:c r="L2152" s="81" t="n">
        <x:v>-1</x:v>
      </x:c>
      <x:c r="M2152" s="80" t="n">
        <x:v>0.000002</x:v>
      </x:c>
      <x:c r="N2152" s="82" t="n">
        <x:v>0.1918465939326211</x:v>
      </x:c>
      <x:c r="O2152" s="82" t="n">
        <x:v>0.046046021296467496</x:v>
      </x:c>
      <x:c r="P2152" s="80" t="n">
        <x:v>384.86100212483296</x:v>
      </x:c>
      <x:c r="Q2152" s="81" t="n">
        <x:v>15629245377300.951</x:v>
      </x:c>
      <x:c r="R2152" s="81" t="n">
        <x:v>4.599070988088639</x:v>
      </x:c>
      <x:c r="S2152" s="81" t="n">
        <x:v>4.695344903614816e-10</x:v>
      </x:c>
      <x:c r="T2152" s="81" t="n">
        <x:v>4.039811038732551e-26</x:v>
      </x:c>
    </x:row>
    <x:row r="2153">
      <x:c r="A2153" s="59" t="n">
        <x:v>2150</x:v>
      </x:c>
      <x:c r="B2153" s="193" t="n">
        <x:v>0.8980272544547916</x:v>
      </x:c>
      <x:c r="C2153" s="83" t="n">
        <x:v>0.44258058659908517</x:v>
      </x:c>
      <x:c r="D2153" s="83" t="n">
        <x:v>2.083065148635088</x:v>
      </x:c>
      <x:c r="E2153" s="81" t="n">
        <x:v>0.025956991464253672</x:v>
      </x:c>
      <x:c r="F2153" s="81" t="n">
        <x:v>0.49049653665861115</x:v>
      </x:c>
      <x:c r="G2153" s="81" t="n">
        <x:v>-0.0013557404158170794</x:v>
      </x:c>
      <x:c r="H2153" s="59" t="n">
        <x:v>9</x:v>
      </x:c>
      <x:c r="I2153" s="81" t="n">
        <x:v>0.12922396427020433</x:v>
      </x:c>
      <x:c r="J2153" s="79" t="n">
        <x:v>0.0013442906496189376</x:v>
      </x:c>
      <x:c r="K2153" s="81" t="n">
        <x:v>0.5363321709930717</x:v>
      </x:c>
      <x:c r="L2153" s="81" t="n">
        <x:v>-0.6964439266547127</x:v>
      </x:c>
      <x:c r="M2153" s="80" t="n">
        <x:v>11036.82545644565</x:v>
      </x:c>
      <x:c r="N2153" s="82" t="n">
        <x:v>0.3160206800221523</x:v>
      </x:c>
      <x:c r="O2153" s="82" t="n">
        <x:v>0.14642741326082598</x:v>
      </x:c>
      <x:c r="P2153" s="80" t="n">
        <x:v>41443.35813066632</x:v>
      </x:c>
      <x:c r="Q2153" s="81" t="n">
        <x:v>0.01297514976385496</x:v>
      </x:c>
      <x:c r="R2153" s="81" t="n">
        <x:v>108.93382487836682</x:v>
      </x:c>
      <x:c r="S2153" s="81" t="n">
        <x:v>63.41109041803626</x:v>
      </x:c>
      <x:c r="T2153" s="81" t="n">
        <x:v>29.120270351873472</x:v>
      </x:c>
    </x:row>
    <x:row r="2154">
      <x:c r="A2154" s="59" t="n">
        <x:v>2151</x:v>
      </x:c>
      <x:c r="B2154" s="193" t="n">
        <x:v>0.8313213089480997</x:v>
      </x:c>
      <x:c r="C2154" s="83" t="n">
        <x:v>0.13883705463653195</x:v>
      </x:c>
      <x:c r="D2154" s="83" t="n">
        <x:v>0.25791261522954273</x:v>
      </x:c>
      <x:c r="E2154" s="81" t="n">
        <x:v>0.04110461147654526</x:v>
      </x:c>
      <x:c r="F2154" s="81" t="n">
        <x:v>0.6601581309223548</x:v>
      </x:c>
      <x:c r="G2154" s="81" t="n">
        <x:v>0.025552181751582734</x:v>
      </x:c>
      <x:c r="H2154" s="59" t="n">
        <x:v>87</x:v>
      </x:c>
      <x:c r="I2154" s="81" t="n">
        <x:v>0.23460680935531855</x:v>
      </x:c>
      <x:c r="J2154" s="79" t="n">
        <x:v>0.000029260335580995447</x:v>
      </x:c>
      <x:c r="K2154" s="81" t="n">
        <x:v>-0.9665596164788623</x:v>
      </x:c>
      <x:c r="L2154" s="81" t="n">
        <x:v>-0.9806552510446057</x:v>
      </x:c>
      <x:c r="M2154" s="80" t="n">
        <x:v>1103.21026660246</x:v>
      </x:c>
      <x:c r="N2154" s="82" t="n">
        <x:v>0.30013007306598005</x:v>
      </x:c>
      <x:c r="O2154" s="82" t="n">
        <x:v>0.18716663504424833</x:v>
      </x:c>
      <x:c r="P2154" s="80" t="n">
        <x:v>844.9346061365256</x:v>
      </x:c>
      <x:c r="Q2154" s="81" t="n">
        <x:v>0.00914254594883889</x:v>
      </x:c>
      <x:c r="R2154" s="81" t="n">
        <x:v>69.66969616436778</x:v>
      </x:c>
      <x:c r="S2154" s="81" t="n">
        <x:v>4.067277864794507</x:v>
      </x:c>
      <x:c r="T2154" s="81" t="n">
        <x:v>0.6338427504101615</x:v>
      </x:c>
    </x:row>
    <x:row r="2155">
      <x:c r="A2155" s="59" t="n">
        <x:v>2152</x:v>
      </x:c>
      <x:c r="B2155" s="193" t="n">
        <x:v>0.7096973286941648</x:v>
      </x:c>
      <x:c r="C2155" s="83" t="n">
        <x:v>0.1858154059362903</x:v>
      </x:c>
      <x:c r="D2155" s="83" t="n">
        <x:v>1.1067063524046294</x:v>
      </x:c>
      <x:c r="E2155" s="81" t="n">
        <x:v>-0.09705909016457537</x:v>
      </x:c>
      <x:c r="F2155" s="81" t="n">
        <x:v>0.27035682594869287</x:v>
      </x:c>
      <x:c r="G2155" s="81" t="n">
        <x:v>-0.024101017226877103</x:v>
      </x:c>
      <x:c r="H2155" s="59" t="n">
        <x:v>0</x:v>
      </x:c>
      <x:c r="I2155" s="81" t="n">
        <x:v>0</x:v>
      </x:c>
      <x:c r="J2155" s="79" t="n">
        <x:v>3.417417575121508e-40</x:v>
      </x:c>
      <x:c r="K2155" s="81" t="n">
        <x:v>-1</x:v>
      </x:c>
      <x:c r="L2155" s="81" t="n">
        <x:v>-1</x:v>
      </x:c>
      <x:c r="M2155" s="80" t="n">
        <x:v>0.000002</x:v>
      </x:c>
      <x:c r="N2155" s="82" t="n">
        <x:v>0.27115696051986304</x:v>
      </x:c>
      <x:c r="O2155" s="82" t="n">
        <x:v>0.06925147661132576</x:v>
      </x:c>
      <x:c r="P2155" s="80" t="n">
        <x:v>218.05107588516242</x:v>
      </x:c>
      <x:c r="Q2155" s="81" t="n">
        <x:v>6.681755147288772e+22</x:v>
      </x:c>
      <x:c r="R2155" s="81" t="n">
        <x:v>7.4699684246613</x:v>
      </x:c>
      <x:c r="S2155" s="81" t="n">
        <x:v>6.075918623602121e-10</x:v>
      </x:c>
      <x:c r="T2155" s="81" t="n">
        <x:v>7.40287256487217e-36</x:v>
      </x:c>
    </x:row>
    <x:row r="2156">
      <x:c r="A2156" s="59" t="n">
        <x:v>2153</x:v>
      </x:c>
      <x:c r="B2156" s="193" t="n">
        <x:v>0.2052220555022359</x:v>
      </x:c>
      <x:c r="C2156" s="83" t="n">
        <x:v>0.8064526752601692</x:v>
      </x:c>
      <x:c r="D2156" s="83" t="n">
        <x:v>0.6195124375408088</x:v>
      </x:c>
      <x:c r="E2156" s="81" t="n">
        <x:v>-0.08096946419554663</x:v>
      </x:c>
      <x:c r="F2156" s="81" t="n">
        <x:v>0.607511665916536</x:v>
      </x:c>
      <x:c r="G2156" s="81" t="n">
        <x:v>0.02745064995689721</x:v>
      </x:c>
      <x:c r="H2156" s="59" t="n">
        <x:v>60</x:v>
      </x:c>
      <x:c r="I2156" s="81" t="n">
        <x:v>0.3982548644766212</x:v>
      </x:c>
      <x:c r="J2156" s="79" t="n">
        <x:v>3.040969512830004e-31</x:v>
      </x:c>
      <x:c r="K2156" s="81" t="n">
        <x:v>-1</x:v>
      </x:c>
      <x:c r="L2156" s="81" t="n">
        <x:v>-1</x:v>
      </x:c>
      <x:c r="M2156" s="80" t="n">
        <x:v>0.000002</x:v>
      </x:c>
      <x:c r="N2156" s="82" t="n">
        <x:v>0.15098149153417323</x:v>
      </x:c>
      <x:c r="O2156" s="82" t="n">
        <x:v>0.08664615101074412</x:v>
      </x:c>
      <x:c r="P2156" s="80" t="n">
        <x:v>350.4092039246754</x:v>
      </x:c>
      <x:c r="Q2156" s="81" t="n">
        <x:v>88690049125203.92</x:v>
      </x:c>
      <x:c r="R2156" s="81" t="n">
        <x:v>3.9223922904729167</x:v>
      </x:c>
      <x:c r="S2156" s="81" t="n">
        <x:v>4.176566145713134e-10</x:v>
      </x:c>
      <x:c r="T2156" s="81" t="n">
        <x:v>6.587403875085853e-27</x:v>
      </x:c>
    </x:row>
    <x:row r="2157">
      <x:c r="A2157" s="59" t="n">
        <x:v>2154</x:v>
      </x:c>
      <x:c r="B2157" s="193" t="n">
        <x:v>0.5713198499754071</x:v>
      </x:c>
      <x:c r="C2157" s="83" t="n">
        <x:v>1.978073225644236</x:v>
      </x:c>
      <x:c r="D2157" s="83" t="n">
        <x:v>3</x:v>
      </x:c>
      <x:c r="E2157" s="81" t="n">
        <x:v>0.044831412350544324</x:v>
      </x:c>
      <x:c r="F2157" s="81" t="n">
        <x:v>0.441479772690218</x:v>
      </x:c>
      <x:c r="G2157" s="81" t="n">
        <x:v>-0.010632057139152676</x:v>
      </x:c>
      <x:c r="H2157" s="59" t="n">
        <x:v>0</x:v>
      </x:c>
      <x:c r="I2157" s="81" t="n">
        <x:v>0</x:v>
      </x:c>
      <x:c r="J2157" s="79" t="n">
        <x:v>0.07753830039919321</x:v>
      </x:c>
      <x:c r="K2157" s="81" t="n">
        <x:v>87.61520045622082</x:v>
      </x:c>
      <x:c r="L2157" s="81" t="n">
        <x:v>-0.7357857810212076</x:v>
      </x:c>
      <x:c r="M2157" s="80" t="n">
        <x:v>216322.08313471833</x:v>
      </x:c>
      <x:c r="N2157" s="82" t="n">
        <x:v>0.23819285051132918</x:v>
      </x:c>
      <x:c r="O2157" s="82" t="n">
        <x:v>0.0993368704936966</x:v>
      </x:c>
      <x:c r="P2157" s="80" t="n">
        <x:v>921161.6420343876</x:v>
      </x:c>
      <x:c r="Q2157" s="81" t="n">
        <x:v>0.00614126188777623</x:v>
      </x:c>
      <x:c r="R2157" s="81" t="n">
        <x:v>902.5045077878856</x:v>
      </x:c>
      <x:c r="S2157" s="81" t="n">
        <x:v>814.4395866198372</x:v>
      </x:c>
      <x:c r="T2157" s="81" t="n">
        <x:v>1679.6488697509988</x:v>
      </x:c>
    </x:row>
    <x:row r="2158">
      <x:c r="A2158" s="59" t="n">
        <x:v>2155</x:v>
      </x:c>
      <x:c r="B2158" s="193" t="n">
        <x:v>0.7246588975191117</x:v>
      </x:c>
      <x:c r="C2158" s="83" t="n">
        <x:v>0.33712459292301855</x:v>
      </x:c>
      <x:c r="D2158" s="83" t="n">
        <x:v>0.35391191548917345</x:v>
      </x:c>
      <x:c r="E2158" s="81" t="n">
        <x:v>-0.08503691899590782</x:v>
      </x:c>
      <x:c r="F2158" s="81" t="n">
        <x:v>0.7699618862825446</x:v>
      </x:c>
      <x:c r="G2158" s="81" t="n">
        <x:v>0.03972119852208669</x:v>
      </x:c>
      <x:c r="H2158" s="59" t="n">
        <x:v>0</x:v>
      </x:c>
      <x:c r="I2158" s="81" t="n">
        <x:v>0</x:v>
      </x:c>
      <x:c r="J2158" s="79" t="n">
        <x:v>2.3439041782056437e-25</x:v>
      </x:c>
      <x:c r="K2158" s="81" t="n">
        <x:v>-1</x:v>
      </x:c>
      <x:c r="L2158" s="81" t="n">
        <x:v>-1</x:v>
      </x:c>
      <x:c r="M2158" s="80" t="n">
        <x:v>0.000002</x:v>
      </x:c>
      <x:c r="N2158" s="82" t="n">
        <x:v>0.2747210867433811</x:v>
      </x:c>
      <x:c r="O2158" s="82" t="n">
        <x:v>0.1998168762980643</x:v>
      </x:c>
      <x:c r="P2158" s="80" t="n">
        <x:v>191.93452911406146</x:v>
      </x:c>
      <x:c r="Q2158" s="81" t="n">
        <x:v>109974487.48014548</x:v>
      </x:c>
      <x:c r="R2158" s="81" t="n">
        <x:v>10.441673725749808</x:v>
      </x:c>
      <x:c r="S2158" s="81" t="n">
        <x:v>3.724343094896346e-10</x:v>
      </x:c>
      <x:c r="T2158" s="81" t="n">
        <x:v>5.07740817564879e-21</x:v>
      </x:c>
    </x:row>
    <x:row r="2159">
      <x:c r="A2159" s="59" t="n">
        <x:v>2156</x:v>
      </x:c>
      <x:c r="B2159" s="193" t="n">
        <x:v>0.6563962150365115</x:v>
      </x:c>
      <x:c r="C2159" s="83" t="n">
        <x:v>2.3144411383017465</x:v>
      </x:c>
      <x:c r="D2159" s="83" t="n">
        <x:v>1.148998079389006</x:v>
      </x:c>
      <x:c r="E2159" s="81" t="n">
        <x:v>-0.0998966358154576</x:v>
      </x:c>
      <x:c r="F2159" s="81" t="n">
        <x:v>0.26730797508498655</x:v>
      </x:c>
      <x:c r="G2159" s="81" t="n">
        <x:v>-0.0019927692623396115</x:v>
      </x:c>
      <x:c r="H2159" s="59" t="n">
        <x:v>0</x:v>
      </x:c>
      <x:c r="I2159" s="81" t="n">
        <x:v>0</x:v>
      </x:c>
      <x:c r="J2159" s="79" t="n">
        <x:v>5.360587453945315e-46</x:v>
      </x:c>
      <x:c r="K2159" s="81" t="n">
        <x:v>-1</x:v>
      </x:c>
      <x:c r="L2159" s="81" t="n">
        <x:v>-1</x:v>
      </x:c>
      <x:c r="M2159" s="80" t="n">
        <x:v>0.000002</x:v>
      </x:c>
      <x:c r="N2159" s="82" t="n">
        <x:v>0.25845963585072923</x:v>
      </x:c>
      <x:c r="O2159" s="82" t="n">
        <x:v>0.06526428522795996</x:v>
      </x:c>
      <x:c r="P2159" s="80" t="n">
        <x:v>611.427641219064</x:v>
      </x:c>
      <x:c r="Q2159" s="81" t="n">
        <x:v>4.14938207299998e+28</x:v>
      </x:c>
      <x:c r="R2159" s="81" t="n">
        <x:v>0.9905557773962255</x:v>
      </x:c>
      <x:c r="S2159" s="81" t="n">
        <x:v>2.9639642897392427e-10</x:v>
      </x:c>
      <x:c r="T2159" s="81" t="n">
        <x:v>1.1612202758979126e-41</x:v>
      </x:c>
    </x:row>
    <x:row r="2160">
      <x:c r="A2160" s="59" t="n">
        <x:v>2157</x:v>
      </x:c>
      <x:c r="B2160" s="193" t="n">
        <x:v>0.2691844616085291</x:v>
      </x:c>
      <x:c r="C2160" s="83" t="n">
        <x:v>0.726995861228307</x:v>
      </x:c>
      <x:c r="D2160" s="83" t="n">
        <x:v>0.7237635137853138</x:v>
      </x:c>
      <x:c r="E2160" s="81" t="n">
        <x:v>0.03689355965514512</x:v>
      </x:c>
      <x:c r="F2160" s="81" t="n">
        <x:v>0.781201112025883</x:v>
      </x:c>
      <x:c r="G2160" s="81" t="n">
        <x:v>-0.04060642710252049</x:v>
      </x:c>
      <x:c r="H2160" s="59" t="n">
        <x:v>0</x:v>
      </x:c>
      <x:c r="I2160" s="81" t="n">
        <x:v>0</x:v>
      </x:c>
      <x:c r="J2160" s="79" t="n">
        <x:v>0.00024064715881809225</x:v>
      </x:c>
      <x:c r="K2160" s="81" t="n">
        <x:v>-0.7249746756364659</x:v>
      </x:c>
      <x:c r="L2160" s="81" t="n">
        <x:v>-0.8524306185987802</x:v>
      </x:c>
      <x:c r="M2160" s="80" t="n">
        <x:v>4952.565040576213</x:v>
      </x:c>
      <x:c r="N2160" s="82" t="n">
        <x:v>0.16621853596380684</x:v>
      </x:c>
      <x:c r="O2160" s="82" t="n">
        <x:v>0.1226629054700638</x:v>
      </x:c>
      <x:c r="P2160" s="80" t="n">
        <x:v>8093.579480967327</x:v>
      </x:c>
      <x:c r="Q2160" s="81" t="n">
        <x:v>0.006945288181089757</x:v>
      </x:c>
      <x:c r="R2160" s="81" t="n">
        <x:v>45.62503198339698</x:v>
      </x:c>
      <x:c r="S2160" s="81" t="n">
        <x:v>6.71538628374607</x:v>
      </x:c>
      <x:c r="T2160" s="81" t="n">
        <x:v>5.212942845492181</x:v>
      </x:c>
    </x:row>
    <x:row r="2161">
      <x:c r="A2161" s="59" t="n">
        <x:v>2158</x:v>
      </x:c>
      <x:c r="B2161" s="193" t="n">
        <x:v>0.8053115306422114</x:v>
      </x:c>
      <x:c r="C2161" s="83" t="n">
        <x:v>2.741323533466478</x:v>
      </x:c>
      <x:c r="D2161" s="83" t="n">
        <x:v>0.8910858134623145</x:v>
      </x:c>
      <x:c r="E2161" s="81" t="n">
        <x:v>-0.06122938562978594</x:v>
      </x:c>
      <x:c r="F2161" s="81" t="n">
        <x:v>0.5032447580480948</x:v>
      </x:c>
      <x:c r="G2161" s="81" t="n">
        <x:v>-0.007115947255428136</x:v>
      </x:c>
      <x:c r="H2161" s="59" t="n">
        <x:v>14</x:v>
      </x:c>
      <x:c r="I2161" s="81" t="n">
        <x:v>0.22714319527149202</x:v>
      </x:c>
      <x:c r="J2161" s="79" t="n">
        <x:v>1.6183666197393724e-29</x:v>
      </x:c>
      <x:c r="K2161" s="81" t="n">
        <x:v>-1</x:v>
      </x:c>
      <x:c r="L2161" s="81" t="n">
        <x:v>-1</x:v>
      </x:c>
      <x:c r="M2161" s="80" t="n">
        <x:v>0.000002</x:v>
      </x:c>
      <x:c r="N2161" s="82" t="n">
        <x:v>0.29393405619017426</x:v>
      </x:c>
      <x:c r="O2161" s="82" t="n">
        <x:v>0.13973336236820424</x:v>
      </x:c>
      <x:c r="P2161" s="80" t="n">
        <x:v>975.058559161546</x:v>
      </x:c>
      <x:c r="Q2161" s="81" t="n">
        <x:v>2163551584389.5046</x:v>
      </x:c>
      <x:c r="R2161" s="81" t="n">
        <x:v>1.570594344158375</x:v>
      </x:c>
      <x:c r="S2161" s="81" t="n">
        <x:v>1.9127749823833847e-10</x:v>
      </x:c>
      <x:c r="T2161" s="81" t="n">
        <x:v>3.5057354232596334e-25</x:v>
      </x:c>
    </x:row>
    <x:row r="2162">
      <x:c r="A2162" s="59" t="n">
        <x:v>2159</x:v>
      </x:c>
      <x:c r="B2162" s="193" t="n">
        <x:v>0.398084818944335</x:v>
      </x:c>
      <x:c r="C2162" s="83" t="n">
        <x:v>0.11366074312674795</x:v>
      </x:c>
      <x:c r="D2162" s="83" t="n">
        <x:v>0.7068604804506307</x:v>
      </x:c>
      <x:c r="E2162" s="81" t="n">
        <x:v>-0.09394487018050793</x:v>
      </x:c>
      <x:c r="F2162" s="81" t="n">
        <x:v>0.8415477222646587</x:v>
      </x:c>
      <x:c r="G2162" s="81" t="n">
        <x:v>-0.00803666347716559</x:v>
      </x:c>
      <x:c r="H2162" s="59" t="n">
        <x:v>0</x:v>
      </x:c>
      <x:c r="I2162" s="81" t="n">
        <x:v>0</x:v>
      </x:c>
      <x:c r="J2162" s="79" t="n">
        <x:v>3.556517318198687e-32</x:v>
      </x:c>
      <x:c r="K2162" s="81" t="n">
        <x:v>-1</x:v>
      </x:c>
      <x:c r="L2162" s="81" t="n">
        <x:v>-1</x:v>
      </x:c>
      <x:c r="M2162" s="80" t="n">
        <x:v>0.000002</x:v>
      </x:c>
      <x:c r="N2162" s="82" t="n">
        <x:v>0.19692501796289588</x:v>
      </x:c>
      <x:c r="O2162" s="82" t="n">
        <x:v>0.1565491033404063</x:v>
      </x:c>
      <x:c r="P2162" s="80" t="n">
        <x:v>181.5466017168571</x:v>
      </x:c>
      <x:c r="Q2162" s="81" t="n">
        <x:v>661442716754761.6</x:v>
      </x:c>
      <x:c r="R2162" s="81" t="n">
        <x:v>17.13345301423185</x:v>
      </x:c>
      <x:c r="S2162" s="81" t="n">
        <x:v>5.0402059421503e-10</x:v>
      </x:c>
      <x:c r="T2162" s="81" t="n">
        <x:v>7.704192976900015e-28</x:v>
      </x:c>
    </x:row>
    <x:row r="2163">
      <x:c r="A2163" s="59" t="n">
        <x:v>2160</x:v>
      </x:c>
      <x:c r="B2163" s="193" t="n">
        <x:v>0.6331673007458449</x:v>
      </x:c>
      <x:c r="C2163" s="83" t="n">
        <x:v>0.6692782918575562</x:v>
      </x:c>
      <x:c r="D2163" s="83" t="n">
        <x:v>0.9893049518668269</x:v>
      </x:c>
      <x:c r="E2163" s="81" t="n">
        <x:v>-0.06583045615168998</x:v>
      </x:c>
      <x:c r="F2163" s="81" t="n">
        <x:v>0.49253935435554014</x:v>
      </x:c>
      <x:c r="G2163" s="81" t="n">
        <x:v>-0.023911677543386158</x:v>
      </x:c>
      <x:c r="H2163" s="59" t="n">
        <x:v>9</x:v>
      </x:c>
      <x:c r="I2163" s="81" t="n">
        <x:v>0.3927206833846867</x:v>
      </x:c>
      <x:c r="J2163" s="79" t="n">
        <x:v>2.0356701900930126e-30</x:v>
      </x:c>
      <x:c r="K2163" s="81" t="n">
        <x:v>-1</x:v>
      </x:c>
      <x:c r="L2163" s="81" t="n">
        <x:v>-1</x:v>
      </x:c>
      <x:c r="M2163" s="80" t="n">
        <x:v>0.000002</x:v>
      </x:c>
      <x:c r="N2163" s="82" t="n">
        <x:v>0.25292607292454916</x:v>
      </x:c>
      <x:c r="O2163" s="82" t="n">
        <x:v>0.11768076409267315</x:v>
      </x:c>
      <x:c r="P2163" s="80" t="n">
        <x:v>389.37882318412704</x:v>
      </x:c>
      <x:c r="Q2163" s="81" t="n">
        <x:v>16067512474069.203</x:v>
      </x:c>
      <x:c r="R2163" s="81" t="n">
        <x:v>3.625398112054556</x:v>
      </x:c>
      <x:c r="S2163" s="81" t="n">
        <x:v>3.867435990615294e-10</x:v>
      </x:c>
      <x:c r="T2163" s="81" t="n">
        <x:v>4.4097060631614093e-26</x:v>
      </x:c>
    </x:row>
    <x:row r="2164">
      <x:c r="A2164" s="59" t="n">
        <x:v>2161</x:v>
      </x:c>
      <x:c r="B2164" s="193" t="n">
        <x:v>0.8752822253853083</x:v>
      </x:c>
      <x:c r="C2164" s="83" t="n">
        <x:v>0.9914807966404642</x:v>
      </x:c>
      <x:c r="D2164" s="83" t="n">
        <x:v>0.41450161763457133</x:v>
      </x:c>
      <x:c r="E2164" s="81" t="n">
        <x:v>-0.05308922387546877</x:v>
      </x:c>
      <x:c r="F2164" s="81" t="n">
        <x:v>0.842075697449036</x:v>
      </x:c>
      <x:c r="G2164" s="81" t="n">
        <x:v>0.038539885657259715</x:v>
      </x:c>
      <x:c r="H2164" s="59" t="n">
        <x:v>43</x:v>
      </x:c>
      <x:c r="I2164" s="81" t="n">
        <x:v>0.35008643893525004</x:v>
      </x:c>
      <x:c r="J2164" s="79" t="n">
        <x:v>1.0030065741823017e-21</x:v>
      </x:c>
      <x:c r="K2164" s="81" t="n">
        <x:v>-1</x:v>
      </x:c>
      <x:c r="L2164" s="81" t="n">
        <x:v>-1</x:v>
      </x:c>
      <x:c r="M2164" s="80" t="n">
        <x:v>0.000011324740007464723</x:v>
      </x:c>
      <x:c r="N2164" s="82" t="n">
        <x:v>0.31060238762850617</x:v>
      </x:c>
      <x:c r="O2164" s="82" t="n">
        <x:v>0.2470738970804006</x:v>
      </x:c>
      <x:c r="P2164" s="80" t="n">
        <x:v>420.70691438338224</x:v>
      </x:c>
      <x:c r="Q2164" s="81" t="n">
        <x:v>226228.87761174675</x:v>
      </x:c>
      <x:c r="R2164" s="81" t="n">
        <x:v>4.817102032599052</x:v>
      </x:c>
      <x:c r="S2164" s="81" t="n">
        <x:v>1.748461694255308e-9</x:v>
      </x:c>
      <x:c r="T2164" s="81" t="n">
        <x:v>2.1727312179977238e-17</x:v>
      </x:c>
    </x:row>
    <x:row r="2165">
      <x:c r="A2165" s="59" t="n">
        <x:v>2162</x:v>
      </x:c>
      <x:c r="B2165" s="193" t="n">
        <x:v>0.6157016510143876</x:v>
      </x:c>
      <x:c r="C2165" s="83" t="n">
        <x:v>2.523794708518418</x:v>
      </x:c>
      <x:c r="D2165" s="83" t="n">
        <x:v>1.097769500015559</x:v>
      </x:c>
      <x:c r="E2165" s="81" t="n">
        <x:v>0.012039367707896738</x:v>
      </x:c>
      <x:c r="F2165" s="81" t="n">
        <x:v>0.883313790592365</x:v>
      </x:c>
      <x:c r="G2165" s="81" t="n">
        <x:v>-0.003317343223910638</x:v>
      </x:c>
      <x:c r="H2165" s="59" t="n">
        <x:v>88</x:v>
      </x:c>
      <x:c r="I2165" s="81" t="n">
        <x:v>0.3580459742806852</x:v>
      </x:c>
      <x:c r="J2165" s="79" t="n">
        <x:v>0.00018983778374812198</x:v>
      </x:c>
      <x:c r="K2165" s="81" t="n">
        <x:v>-0.7830425328592892</x:v>
      </x:c>
      <x:c r="L2165" s="81" t="n">
        <x:v>-0.8461012091289594</x:v>
      </x:c>
      <x:c r="M2165" s="80" t="n">
        <x:v>8690.58419164944</x:v>
      </x:c>
      <x:c r="N2165" s="82" t="n">
        <x:v>0.2487654276775836</x:v>
      </x:c>
      <x:c r="O2165" s="82" t="n">
        <x:v>0.20757544448989862</x:v>
      </x:c>
      <x:c r="P2165" s="80" t="n">
        <x:v>22487.360207357546</x:v>
      </x:c>
      <x:c r="Q2165" s="81" t="n">
        <x:v>0.03445117905223436</x:v>
      </x:c>
      <x:c r="R2165" s="81" t="n">
        <x:v>10.671684559660616</x:v>
      </x:c>
      <x:c r="S2165" s="81" t="n">
        <x:v>2.54773651737986</x:v>
      </x:c>
      <x:c r="T2165" s="81" t="n">
        <x:v>4.112300853474542</x:v>
      </x:c>
    </x:row>
    <x:row r="2166">
      <x:c r="A2166" s="59" t="n">
        <x:v>2163</x:v>
      </x:c>
      <x:c r="B2166" s="193" t="n">
        <x:v>0.5941137941554189</x:v>
      </x:c>
      <x:c r="C2166" s="83" t="n">
        <x:v>1.2222958273858449</x:v>
      </x:c>
      <x:c r="D2166" s="83" t="n">
        <x:v>1.083163122245442</x:v>
      </x:c>
      <x:c r="E2166" s="81" t="n">
        <x:v>-0.09601752568855677</x:v>
      </x:c>
      <x:c r="F2166" s="81" t="n">
        <x:v>0.4684718093601987</x:v>
      </x:c>
      <x:c r="G2166" s="81" t="n">
        <x:v>-0.05</x:v>
      </x:c>
      <x:c r="H2166" s="59" t="n">
        <x:v>0</x:v>
      </x:c>
      <x:c r="I2166" s="81" t="n">
        <x:v>0</x:v>
      </x:c>
      <x:c r="J2166" s="79" t="n">
        <x:v>3.231050521428412e-36</x:v>
      </x:c>
      <x:c r="K2166" s="81" t="n">
        <x:v>-1</x:v>
      </x:c>
      <x:c r="L2166" s="81" t="n">
        <x:v>-1</x:v>
      </x:c>
      <x:c r="M2166" s="80" t="n">
        <x:v>0.000002</x:v>
      </x:c>
      <x:c r="N2166" s="82" t="n">
        <x:v>0.24362279540146134</x:v>
      </x:c>
      <x:c r="O2166" s="82" t="n">
        <x:v>0.10781329668455182</x:v>
      </x:c>
      <x:c r="P2166" s="80" t="n">
        <x:v>411.87328992613624</x:v>
      </x:c>
      <x:c r="Q2166" s="81" t="n">
        <x:v>7137038519538147000</x:v>
      </x:c>
      <x:c r="R2166" s="81" t="n">
        <x:v>1.5672788616518134</x:v>
      </x:c>
      <x:c r="S2166" s="81" t="n">
        <x:v>2.2875291226710974e-10</x:v>
      </x:c>
      <x:c r="T2166" s="81" t="n">
        <x:v>6.999160838560342e-32</x:v>
      </x:c>
    </x:row>
    <x:row r="2167">
      <x:c r="A2167" s="59" t="n">
        <x:v>2164</x:v>
      </x:c>
      <x:c r="B2167" s="193" t="n">
        <x:v>0.36534132435917854</x:v>
      </x:c>
      <x:c r="C2167" s="83" t="n">
        <x:v>2.4596927736186416</x:v>
      </x:c>
      <x:c r="D2167" s="83" t="n">
        <x:v>0.7396870380302922</x:v>
      </x:c>
      <x:c r="E2167" s="81" t="n">
        <x:v>-0.016945870185195274</x:v>
      </x:c>
      <x:c r="F2167" s="81" t="n">
        <x:v>0.5347104370594025</x:v>
      </x:c>
      <x:c r="G2167" s="81" t="n">
        <x:v>-0.001566070313106615</x:v>
      </x:c>
      <x:c r="H2167" s="59" t="n">
        <x:v>28</x:v>
      </x:c>
      <x:c r="I2167" s="81" t="n">
        <x:v>0.4709396203048527</x:v>
      </x:c>
      <x:c r="J2167" s="79" t="n">
        <x:v>4.435719836867264e-12</x:v>
      </x:c>
      <x:c r="K2167" s="81" t="n">
        <x:v>-0.9999999949306059</x:v>
      </x:c>
      <x:c r="L2167" s="81" t="n">
        <x:v>-0.9999999949306059</x:v>
      </x:c>
      <x:c r="M2167" s="80" t="n">
        <x:v>1.2670427683092313</x:v>
      </x:c>
      <x:c r="N2167" s="82" t="n">
        <x:v>0.18912490361218803</x:v>
      </x:c>
      <x:c r="O2167" s="82" t="n">
        <x:v>0.09552967995203661</x:v>
      </x:c>
      <x:c r="P2167" s="80" t="n">
        <x:v>2439.5197828845317</x:v>
      </x:c>
      <x:c r="Q2167" s="81" t="n">
        <x:v>17.30239550554023</x:v>
      </x:c>
      <x:c r="R2167" s="81" t="n">
        <x:v>4.444614595582794</x:v>
      </x:c>
      <x:c r="S2167" s="81" t="n">
        <x:v>0.00011927953219077973</x:v>
      </x:c>
      <x:c r="T2167" s="81" t="n">
        <x:v>9.608737581516176e-8</x:v>
      </x:c>
    </x:row>
    <x:row r="2168">
      <x:c r="A2168" s="59" t="n">
        <x:v>2165</x:v>
      </x:c>
      <x:c r="B2168" s="193" t="n">
        <x:v>0.8519567860290409</x:v>
      </x:c>
      <x:c r="C2168" s="83" t="n">
        <x:v>0.2696482416113701</x:v>
      </x:c>
      <x:c r="D2168" s="83" t="n">
        <x:v>3</x:v>
      </x:c>
      <x:c r="E2168" s="81" t="n">
        <x:v>-0.018137980863513974</x:v>
      </x:c>
      <x:c r="F2168" s="81" t="n">
        <x:v>0.27218564779032023</x:v>
      </x:c>
      <x:c r="G2168" s="81" t="n">
        <x:v>0.0048373350968717935</x:v>
      </x:c>
      <x:c r="H2168" s="59" t="n">
        <x:v>0</x:v>
      </x:c>
      <x:c r="I2168" s="81" t="n">
        <x:v>0</x:v>
      </x:c>
      <x:c r="J2168" s="79" t="n">
        <x:v>3.787013999335879e-30</x:v>
      </x:c>
      <x:c r="K2168" s="81" t="n">
        <x:v>-1</x:v>
      </x:c>
      <x:c r="L2168" s="81" t="n">
        <x:v>-1</x:v>
      </x:c>
      <x:c r="M2168" s="80" t="n">
        <x:v>0.000002</x:v>
      </x:c>
      <x:c r="N2168" s="82" t="n">
        <x:v>0.3050458306218557</x:v>
      </x:c>
      <x:c r="O2168" s="82" t="n">
        <x:v>0.07843343883093844</x:v>
      </x:c>
      <x:c r="P2168" s="80" t="n">
        <x:v>1090.9757948623203</x:v>
      </x:c>
      <x:c r="Q2168" s="81" t="n">
        <x:v>29944398236577.914</x:v>
      </x:c>
      <x:c r="R2168" s="81" t="n">
        <x:v>11.442221032959175</x:v>
      </x:c>
      <x:c r="S2168" s="81" t="n">
        <x:v>2.1950296751261044e-9</x:v>
      </x:c>
      <x:c r="T2168" s="81" t="n">
        <x:v>8.203499110720651e-26</x:v>
      </x:c>
    </x:row>
    <x:row r="2169">
      <x:c r="A2169" s="59" t="n">
        <x:v>2166</x:v>
      </x:c>
      <x:c r="B2169" s="193" t="n">
        <x:v>0.4259417109191418</x:v>
      </x:c>
      <x:c r="C2169" s="83" t="n">
        <x:v>2.8575852265899986</x:v>
      </x:c>
      <x:c r="D2169" s="83" t="n">
        <x:v>1.465058190595826</x:v>
      </x:c>
      <x:c r="E2169" s="81" t="n">
        <x:v>0.028759354434176813</x:v>
      </x:c>
      <x:c r="F2169" s="81" t="n">
        <x:v>0.7870366515475326</x:v>
      </x:c>
      <x:c r="G2169" s="81" t="n">
        <x:v>0.012054973125394074</x:v>
      </x:c>
      <x:c r="H2169" s="59" t="n">
        <x:v>0</x:v>
      </x:c>
      <x:c r="I2169" s="81" t="n">
        <x:v>0</x:v>
      </x:c>
      <x:c r="J2169" s="79" t="n">
        <x:v>0.00713568845517015</x:v>
      </x:c>
      <x:c r="K2169" s="81" t="n">
        <x:v>7.155072520194459</x:v>
      </x:c>
      <x:c r="L2169" s="81" t="n">
        <x:v>-0.556737014796539</x:v>
      </x:c>
      <x:c r="M2169" s="80" t="n">
        <x:v>65847.60722174082</x:v>
      </x:c>
      <x:c r="N2169" s="82" t="n">
        <x:v>0.20356105194801943</x:v>
      </x:c>
      <x:c r="O2169" s="82" t="n">
        <x:v>0.1513423892380979</x:v>
      </x:c>
      <x:c r="P2169" s="80" t="n">
        <x:v>176404.95803277954</x:v>
      </x:c>
      <x:c r="Q2169" s="81" t="n">
        <x:v>0.012363300514256383</x:v>
      </x:c>
      <x:c r="R2169" s="81" t="n">
        <x:v>43.71558217392521</x:v>
      </x:c>
      <x:c r="S2169" s="81" t="n">
        <x:v>59.33944375648189</x:v>
      </x:c>
      <x:c r="T2169" s="81" t="n">
        <x:v>154.5745907108702</x:v>
      </x:c>
    </x:row>
    <x:row r="2170">
      <x:c r="A2170" s="59" t="n">
        <x:v>2167</x:v>
      </x:c>
      <x:c r="B2170" s="193" t="n">
        <x:v>0.3097233593463898</x:v>
      </x:c>
      <x:c r="C2170" s="83" t="n">
        <x:v>0.20796645418423448</x:v>
      </x:c>
      <x:c r="D2170" s="83" t="n">
        <x:v>0.541212707601125</x:v>
      </x:c>
      <x:c r="E2170" s="81" t="n">
        <x:v>0.009700466534426922</x:v>
      </x:c>
      <x:c r="F2170" s="81" t="n">
        <x:v>0.279171114473138</x:v>
      </x:c>
      <x:c r="G2170" s="81" t="n">
        <x:v>0.005227778840601018</x:v>
      </x:c>
      <x:c r="H2170" s="59" t="n">
        <x:v>0</x:v>
      </x:c>
      <x:c r="I2170" s="81" t="n">
        <x:v>0</x:v>
      </x:c>
      <x:c r="J2170" s="79" t="n">
        <x:v>0.00008045187510782429</x:v>
      </x:c>
      <x:c r="K2170" s="81" t="n">
        <x:v>-0.9080549998767722</x:v>
      </x:c>
      <x:c r="L2170" s="81" t="n">
        <x:v>-0.9129297458637895</x:v>
      </x:c>
      <x:c r="M2170" s="80" t="n">
        <x:v>1881.4176724530973</x:v>
      </x:c>
      <x:c r="N2170" s="82" t="n">
        <x:v>0.17587566150929795</x:v>
      </x:c>
      <x:c r="O2170" s="82" t="n">
        <x:v>0.04638175377896964</x:v>
      </x:c>
      <x:c r="P2170" s="80" t="n">
        <x:v>3108.9213792648643</x:v>
      </x:c>
      <x:c r="Q2170" s="81" t="n">
        <x:v>0.008146302507200942</x:v>
      </x:c>
      <x:c r="R2170" s="81" t="n">
        <x:v>84.09385923348464</x:v>
      </x:c>
      <x:c r="S2170" s="81" t="n">
        <x:v>7.5796595918101675</x:v>
      </x:c>
      <x:c r="T2170" s="81" t="n">
        <x:v>1.7427632589121294</x:v>
      </x:c>
    </x:row>
    <x:row r="2171">
      <x:c r="A2171" s="59" t="n">
        <x:v>2168</x:v>
      </x:c>
      <x:c r="B2171" s="193" t="n">
        <x:v>0.8487220011651517</x:v>
      </x:c>
      <x:c r="C2171" s="83" t="n">
        <x:v>0.250115061193065</x:v>
      </x:c>
      <x:c r="D2171" s="83" t="n">
        <x:v>2.1238032164298604</x:v>
      </x:c>
      <x:c r="E2171" s="81" t="n">
        <x:v>0.021810078579785827</x:v>
      </x:c>
      <x:c r="F2171" s="81" t="n">
        <x:v>0.6286119554191828</x:v>
      </x:c>
      <x:c r="G2171" s="81" t="n">
        <x:v>-0.032773947344536744</x:v>
      </x:c>
      <x:c r="H2171" s="59" t="n">
        <x:v>0</x:v>
      </x:c>
      <x:c r="I2171" s="81" t="n">
        <x:v>0</x:v>
      </x:c>
      <x:c r="J2171" s="79" t="n">
        <x:v>0.000223110439197747</x:v>
      </x:c>
      <x:c r="K2171" s="81" t="n">
        <x:v>-0.7450166409168606</x:v>
      </x:c>
      <x:c r="L2171" s="81" t="n">
        <x:v>-0.8649259559262736</x:v>
      </x:c>
      <x:c r="M2171" s="80" t="n">
        <x:v>3689.4428132875682</x:v>
      </x:c>
      <x:c r="N2171" s="82" t="n">
        <x:v>0.3042752442150611</x:v>
      </x:c>
      <x:c r="O2171" s="82" t="n">
        <x:v>0.18068420867202137</x:v>
      </x:c>
      <x:c r="P2171" s="80" t="n">
        <x:v>16063.666430588459</x:v>
      </x:c>
      <x:c r="Q2171" s="81" t="n">
        <x:v>0.017894979657554922</x:v>
      </x:c>
      <x:c r="R2171" s="81" t="n">
        <x:v>126.11337312160036</x:v>
      </x:c>
      <x:c r="S2171" s="81" t="n">
        <x:v>18.43052020602997</x:v>
      </x:c>
      <x:c r="T2171" s="81" t="n">
        <x:v>4.8330592120129054</x:v>
      </x:c>
    </x:row>
    <x:row r="2172">
      <x:c r="A2172" s="59" t="n">
        <x:v>2169</x:v>
      </x:c>
      <x:c r="B2172" s="193" t="n">
        <x:v>0.5965712519362569</x:v>
      </x:c>
      <x:c r="C2172" s="83" t="n">
        <x:v>0.7151262942734669</x:v>
      </x:c>
      <x:c r="D2172" s="83" t="n">
        <x:v>0.3888529781996172</x:v>
      </x:c>
      <x:c r="E2172" s="81" t="n">
        <x:v>-0.08417020259331304</x:v>
      </x:c>
      <x:c r="F2172" s="81" t="n">
        <x:v>0.32509160339832305</x:v>
      </x:c>
      <x:c r="G2172" s="81" t="n">
        <x:v>0.016176865243690358</x:v>
      </x:c>
      <x:c r="H2172" s="59" t="n">
        <x:v>69</x:v>
      </x:c>
      <x:c r="I2172" s="81" t="n">
        <x:v>0.3622461995109916</x:v>
      </x:c>
      <x:c r="J2172" s="79" t="n">
        <x:v>1.4747141068828003e-24</x:v>
      </x:c>
      <x:c r="K2172" s="81" t="n">
        <x:v>-1</x:v>
      </x:c>
      <x:c r="L2172" s="81" t="n">
        <x:v>-1</x:v>
      </x:c>
      <x:c r="M2172" s="80" t="n">
        <x:v>0.000002</x:v>
      </x:c>
      <x:c r="N2172" s="82" t="n">
        <x:v>0.2442082079221904</x:v>
      </x:c>
      <x:c r="O2172" s="82" t="n">
        <x:v>0.07499580151465447</x:v>
      </x:c>
      <x:c r="P2172" s="80" t="n">
        <x:v>300.0051200106856</x:v>
      </x:c>
      <x:c r="Q2172" s="81" t="n">
        <x:v>17645178.691501785</x:v>
      </x:c>
      <x:c r="R2172" s="81" t="n">
        <x:v>6.154030777761805</x:v>
      </x:c>
      <x:c r="S2172" s="81" t="n">
        <x:v>2.414274355373277e-10</x:v>
      </x:c>
      <x:c r="T2172" s="81" t="n">
        <x:v>3.194552717920192e-20</x:v>
      </x:c>
    </x:row>
    <x:row r="2173">
      <x:c r="A2173" s="59" t="n">
        <x:v>2170</x:v>
      </x:c>
      <x:c r="B2173" s="193" t="n">
        <x:v>0.6203568400815129</x:v>
      </x:c>
      <x:c r="C2173" s="83" t="n">
        <x:v>2.6636394436808084</x:v>
      </x:c>
      <x:c r="D2173" s="83" t="n">
        <x:v>1.4443594514662272</x:v>
      </x:c>
      <x:c r="E2173" s="81" t="n">
        <x:v>-0.08219250160070266</x:v>
      </x:c>
      <x:c r="F2173" s="81" t="n">
        <x:v>0.4379619041341357</x:v>
      </x:c>
      <x:c r="G2173" s="81" t="n">
        <x:v>-0.04574460056209657</x:v>
      </x:c>
      <x:c r="H2173" s="59" t="n">
        <x:v>0</x:v>
      </x:c>
      <x:c r="I2173" s="81" t="n">
        <x:v>0</x:v>
      </x:c>
      <x:c r="J2173" s="79" t="n">
        <x:v>5.7423222296994684e-40</x:v>
      </x:c>
      <x:c r="K2173" s="81" t="n">
        <x:v>-1</x:v>
      </x:c>
      <x:c r="L2173" s="81" t="n">
        <x:v>-1</x:v>
      </x:c>
      <x:c r="M2173" s="80" t="n">
        <x:v>0.000002</x:v>
      </x:c>
      <x:c r="N2173" s="82" t="n">
        <x:v>0.24987438099816783</x:v>
      </x:c>
      <x:c r="O2173" s="82" t="n">
        <x:v>0.1033782100824812</x:v>
      </x:c>
      <x:c r="P2173" s="80" t="n">
        <x:v>822.3927646181705</x:v>
      </x:c>
      <x:c r="Q2173" s="81" t="n">
        <x:v>4.632117458964869e+22</x:v>
      </x:c>
      <x:c r="R2173" s="81" t="n">
        <x:v>0.9984840826618014</x:v>
      </x:c>
      <x:c r="S2173" s="81" t="n">
        <x:v>1.9536778404522502e-10</x:v>
      </x:c>
      <x:c r="T2173" s="81" t="n">
        <x:v>1.2439123624330958e-35</x:v>
      </x:c>
    </x:row>
    <x:row r="2174">
      <x:c r="A2174" s="59" t="n">
        <x:v>2171</x:v>
      </x:c>
      <x:c r="B2174" s="193" t="n">
        <x:v>0.7890464136376978</x:v>
      </x:c>
      <x:c r="C2174" s="83" t="n">
        <x:v>0.3252477878274794</x:v>
      </x:c>
      <x:c r="D2174" s="83" t="n">
        <x:v>0.3973551243178071</x:v>
      </x:c>
      <x:c r="E2174" s="81" t="n">
        <x:v>-0.07488030000180247</x:v>
      </x:c>
      <x:c r="F2174" s="81" t="n">
        <x:v>0.3080430025351234</x:v>
      </x:c>
      <x:c r="G2174" s="81" t="n">
        <x:v>0.00909549131189325</x:v>
      </x:c>
      <x:c r="H2174" s="59" t="n">
        <x:v>0</x:v>
      </x:c>
      <x:c r="I2174" s="81" t="n">
        <x:v>0</x:v>
      </x:c>
      <x:c r="J2174" s="79" t="n">
        <x:v>4.03477811347636e-23</x:v>
      </x:c>
      <x:c r="K2174" s="81" t="n">
        <x:v>-1</x:v>
      </x:c>
      <x:c r="L2174" s="81" t="n">
        <x:v>-1</x:v>
      </x:c>
      <x:c r="M2174" s="80" t="n">
        <x:v>0.000002</x:v>
      </x:c>
      <x:c r="N2174" s="82" t="n">
        <x:v>0.29005940034875494</x:v>
      </x:c>
      <x:c r="O2174" s="82" t="n">
        <x:v>0.0844052060701597</x:v>
      </x:c>
      <x:c r="P2174" s="80" t="n">
        <x:v>245.67632928020765</x:v>
      </x:c>
      <x:c r="Q2174" s="81" t="n">
        <x:v>718733.1414875438</x:v>
      </x:c>
      <x:c r="R2174" s="81" t="n">
        <x:v>13.398788808920104</x:v>
      </x:c>
      <x:c r="S2174" s="81" t="n">
        <x:v>2.932435079038581e-10</x:v>
      </x:c>
      <x:c r="T2174" s="81" t="n">
        <x:v>8.740210274285497e-19</x:v>
      </x:c>
    </x:row>
    <x:row r="2175">
      <x:c r="A2175" s="59" t="n">
        <x:v>2172</x:v>
      </x:c>
      <x:c r="B2175" s="193" t="n">
        <x:v>0.6284903146326541</x:v>
      </x:c>
      <x:c r="C2175" s="83" t="n">
        <x:v>1.5490012164750055</x:v>
      </x:c>
      <x:c r="D2175" s="83" t="n">
        <x:v>1.4747729153179845</x:v>
      </x:c>
      <x:c r="E2175" s="81" t="n">
        <x:v>-0.05981616159734685</x:v>
      </x:c>
      <x:c r="F2175" s="81" t="n">
        <x:v>0.57099255543435</x:v>
      </x:c>
      <x:c r="G2175" s="81" t="n">
        <x:v>-0.012069048531207608</x:v>
      </x:c>
      <x:c r="H2175" s="59" t="n">
        <x:v>0</x:v>
      </x:c>
      <x:c r="I2175" s="81" t="n">
        <x:v>0</x:v>
      </x:c>
      <x:c r="J2175" s="79" t="n">
        <x:v>1.3146670277405902e-37</x:v>
      </x:c>
      <x:c r="K2175" s="81" t="n">
        <x:v>-1</x:v>
      </x:c>
      <x:c r="L2175" s="81" t="n">
        <x:v>-1</x:v>
      </x:c>
      <x:c r="M2175" s="80" t="n">
        <x:v>0.000002</x:v>
      </x:c>
      <x:c r="N2175" s="82" t="n">
        <x:v>0.25181192713889755</x:v>
      </x:c>
      <x:c r="O2175" s="82" t="n">
        <x:v>0.13582436538842338</x:v>
      </x:c>
      <x:c r="P2175" s="80" t="n">
        <x:v>732.4390503166848</x:v>
      </x:c>
      <x:c r="Q2175" s="81" t="n">
        <x:v>272264505652257850000</x:v>
      </x:c>
      <x:c r="R2175" s="81" t="n">
        <x:v>1.7308061810522204</x:v>
      </x:c>
      <x:c r="S2175" s="81" t="n">
        <x:v>4.3721939411433954e-10</x:v>
      </x:c>
      <x:c r="T2175" s="81" t="n">
        <x:v>2.847855802712905e-33</x:v>
      </x:c>
    </x:row>
    <x:row r="2176">
      <x:c r="A2176" s="59" t="n">
        <x:v>2173</x:v>
      </x:c>
      <x:c r="B2176" s="193" t="n">
        <x:v>0.4915697103366256</x:v>
      </x:c>
      <x:c r="C2176" s="83" t="n">
        <x:v>2.9941210750497147</x:v>
      </x:c>
      <x:c r="D2176" s="83" t="n">
        <x:v>0.9544201786154844</x:v>
      </x:c>
      <x:c r="E2176" s="81" t="n">
        <x:v>0.10903521930468403</x:v>
      </x:c>
      <x:c r="F2176" s="81" t="n">
        <x:v>0.578238626581151</x:v>
      </x:c>
      <x:c r="G2176" s="81" t="n">
        <x:v>-0.002196124653702695</x:v>
      </x:c>
      <x:c r="H2176" s="59" t="n">
        <x:v>0</x:v>
      </x:c>
      <x:c r="I2176" s="81" t="n">
        <x:v>0</x:v>
      </x:c>
      <x:c r="J2176" s="79" t="n">
        <x:v>0.06501736459468103</x:v>
      </x:c>
      <x:c r="K2176" s="81" t="n">
        <x:v>73.30555953677833</x:v>
      </x:c>
      <x:c r="L2176" s="81" t="n">
        <x:v>-0.6830399619564809</x:v>
      </x:c>
      <x:c r="M2176" s="80" t="n">
        <x:v>248294.20198239962</x:v>
      </x:c>
      <x:c r="N2176" s="82" t="n">
        <x:v>0.21919487193425305</x:v>
      </x:c>
      <x:c r="O2176" s="82" t="n">
        <x:v>0.11973150204540578</x:v>
      </x:c>
      <x:c r="P2176" s="80" t="n">
        <x:v>378807.88434605853</x:v>
      </x:c>
      <x:c r="Q2176" s="81" t="n">
        <x:v>0.003055030221785685</x:v>
      </x:c>
      <x:c r="R2176" s="81" t="n">
        <x:v>383.44851933587245</x:v>
      </x:c>
      <x:c r="S2176" s="81" t="n">
        <x:v>430.70547785928613</x:v>
      </x:c>
      <x:c r="T2176" s="81" t="n">
        <x:v>1408.4180642780884</x:v>
      </x:c>
    </x:row>
    <x:row r="2177">
      <x:c r="A2177" s="59" t="n">
        <x:v>2174</x:v>
      </x:c>
      <x:c r="B2177" s="193" t="n">
        <x:v>0.224787493981421</x:v>
      </x:c>
      <x:c r="C2177" s="83" t="n">
        <x:v>0.22210429333134782</x:v>
      </x:c>
      <x:c r="D2177" s="83" t="n">
        <x:v>0.29033217657436994</x:v>
      </x:c>
      <x:c r="E2177" s="81" t="n">
        <x:v>0.04581560205030609</x:v>
      </x:c>
      <x:c r="F2177" s="81" t="n">
        <x:v>0.5769470906583593</x:v>
      </x:c>
      <x:c r="G2177" s="81" t="n">
        <x:v>-0.005119757767493691</x:v>
      </x:c>
      <x:c r="H2177" s="59" t="n">
        <x:v>0</x:v>
      </x:c>
      <x:c r="I2177" s="81" t="n">
        <x:v>0</x:v>
      </x:c>
      <x:c r="J2177" s="79" t="n">
        <x:v>0.00013332062894745358</x:v>
      </x:c>
      <x:c r="K2177" s="81" t="n">
        <x:v>-0.8476335669171959</x:v>
      </x:c>
      <x:c r="L2177" s="81" t="n">
        <x:v>-0.8784290482015733</x:v>
      </x:c>
      <x:c r="M2177" s="80" t="n">
        <x:v>2526.5653070137514</x:v>
      </x:c>
      <x:c r="N2177" s="82" t="n">
        <x:v>0.15564234583188666</x:v>
      </x:c>
      <x:c r="O2177" s="82" t="n">
        <x:v>0.08482711512543868</x:v>
      </x:c>
      <x:c r="P2177" s="80" t="n">
        <x:v>1862.6215968504291</x:v>
      </x:c>
      <x:c r="Q2177" s="81" t="n">
        <x:v>0.00374877732667215</x:v>
      </x:c>
      <x:c r="R2177" s="81" t="n">
        <x:v>85.23715741569814</x:v>
      </x:c>
      <x:c r="S2177" s="81" t="n">
        <x:v>11.40303749277127</x:v>
      </x:c>
      <x:c r="T2177" s="81" t="n">
        <x:v>2.8880158911558085</x:v>
      </x:c>
    </x:row>
    <x:row r="2178">
      <x:c r="A2178" s="59" t="n">
        <x:v>2175</x:v>
      </x:c>
      <x:c r="B2178" s="193" t="n">
        <x:v>0.4948325857520104</x:v>
      </x:c>
      <x:c r="C2178" s="83" t="n">
        <x:v>0.7324959757752205</x:v>
      </x:c>
      <x:c r="D2178" s="83" t="n">
        <x:v>0.48456836479408816</x:v>
      </x:c>
      <x:c r="E2178" s="81" t="n">
        <x:v>-0.06679264852365475</x:v>
      </x:c>
      <x:c r="F2178" s="81" t="n">
        <x:v>0.7755447948351503</x:v>
      </x:c>
      <x:c r="G2178" s="81" t="n">
        <x:v>0.027684734418553777</x:v>
      </x:c>
      <x:c r="H2178" s="59" t="n">
        <x:v>0</x:v>
      </x:c>
      <x:c r="I2178" s="81" t="n">
        <x:v>0</x:v>
      </x:c>
      <x:c r="J2178" s="79" t="n">
        <x:v>2.5281297483926195e-25</x:v>
      </x:c>
      <x:c r="K2178" s="81" t="n">
        <x:v>-1</x:v>
      </x:c>
      <x:c r="L2178" s="81" t="n">
        <x:v>-1</x:v>
      </x:c>
      <x:c r="M2178" s="80" t="n">
        <x:v>0.000002</x:v>
      </x:c>
      <x:c r="N2178" s="82" t="n">
        <x:v>0.2199721500371117</x:v>
      </x:c>
      <x:c r="O2178" s="82" t="n">
        <x:v>0.16115564730401802</x:v>
      </x:c>
      <x:c r="P2178" s="80" t="n">
        <x:v>349.1095276455763</x:v>
      </x:c>
      <x:c r="Q2178" s="81" t="n">
        <x:v>127628243.25882064</x:v>
      </x:c>
      <x:c r="R2178" s="81" t="n">
        <x:v>5.463286258389945</x:v>
      </x:c>
      <x:c r="S2178" s="81" t="n">
        <x:v>3.4157214360309086e-10</x:v>
      </x:c>
      <x:c r="T2178" s="81" t="n">
        <x:v>5.4764809811535734e-21</x:v>
      </x:c>
    </x:row>
    <x:row r="2179">
      <x:c r="A2179" s="59" t="n">
        <x:v>2176</x:v>
      </x:c>
      <x:c r="B2179" s="193" t="n">
        <x:v>0.7699053175747395</x:v>
      </x:c>
      <x:c r="C2179" s="83" t="n">
        <x:v>1.7419567932531224</x:v>
      </x:c>
      <x:c r="D2179" s="83" t="n">
        <x:v>0.41877189773021617</x:v>
      </x:c>
      <x:c r="E2179" s="81" t="n">
        <x:v>-0.01758474894059604</x:v>
      </x:c>
      <x:c r="F2179" s="81" t="n">
        <x:v>0.4653279734775424</x:v>
      </x:c>
      <x:c r="G2179" s="81" t="n">
        <x:v>0.0133402286695333</x:v>
      </x:c>
      <x:c r="H2179" s="59" t="n">
        <x:v>0</x:v>
      </x:c>
      <x:c r="I2179" s="81" t="n">
        <x:v>0</x:v>
      </x:c>
      <x:c r="J2179" s="79" t="n">
        <x:v>7.725737549020217e-10</x:v>
      </x:c>
      <x:c r="K2179" s="81" t="n">
        <x:v>-0.9999991170585658</x:v>
      </x:c>
      <x:c r="L2179" s="81" t="n">
        <x:v>-0.9999991170585658</x:v>
      </x:c>
      <x:c r="M2179" s="80" t="n">
        <x:v>13.152699391653119</x:v>
      </x:c>
      <x:c r="N2179" s="82" t="n">
        <x:v>0.28549963237100734</x:v>
      </x:c>
      <x:c r="O2179" s="82" t="n">
        <x:v>0.12549766816659197</x:v>
      </x:c>
      <x:c r="P2179" s="80" t="n">
        <x:v>1418.3033579768312</x:v>
      </x:c>
      <x:c r="Q2179" s="81" t="n">
        <x:v>0.9800940882814655</x:v>
      </x:c>
      <x:c r="R2179" s="81" t="n">
        <x:v>5.992915620146549</x:v>
      </x:c>
      <x:c r="S2179" s="81" t="n">
        <x:v>0.0010598101185724247</x:v>
      </x:c>
      <x:c r="T2179" s="81" t="n">
        <x:v>0.000016735634229016044</x:v>
      </x:c>
    </x:row>
    <x:row r="2180">
      <x:c r="A2180" s="59" t="n">
        <x:v>2177</x:v>
      </x:c>
      <x:c r="B2180" s="193" t="n">
        <x:v>0.9343966580927372</x:v>
      </x:c>
      <x:c r="C2180" s="83" t="n">
        <x:v>0.588091668570952</x:v>
      </x:c>
      <x:c r="D2180" s="83" t="n">
        <x:v>0.2897674588365523</x:v>
      </x:c>
      <x:c r="E2180" s="81" t="n">
        <x:v>-0.0773692874817444</x:v>
      </x:c>
      <x:c r="F2180" s="81" t="n">
        <x:v>0.5734272785950452</x:v>
      </x:c>
      <x:c r="G2180" s="81" t="n">
        <x:v>-0.020311931209123522</x:v>
      </x:c>
      <x:c r="H2180" s="59" t="n">
        <x:v>0</x:v>
      </x:c>
      <x:c r="I2180" s="81" t="n">
        <x:v>0</x:v>
      </x:c>
      <x:c r="J2180" s="79" t="n">
        <x:v>8.616314613865002e-17</x:v>
      </x:c>
      <x:c r="K2180" s="81" t="n">
        <x:v>-0.9999999999999015</x:v>
      </x:c>
      <x:c r="L2180" s="81" t="n">
        <x:v>-0.9999999999999015</x:v>
      </x:c>
      <x:c r="M2180" s="80" t="n">
        <x:v>0.002604126959350973</x:v>
      </x:c>
      <x:c r="N2180" s="82" t="n">
        <x:v>0.3246845538950292</x:v>
      </x:c>
      <x:c r="O2180" s="82" t="n">
        <x:v>0.17587775743167464</x:v>
      </x:c>
      <x:c r="P2180" s="80" t="n">
        <x:v>238.80870075742303</x:v>
      </x:c>
      <x:c r="Q2180" s="81" t="n">
        <x:v>425.10573383492664</x:v>
      </x:c>
      <x:c r="R2180" s="81" t="n">
        <x:v>7.958460703121566</x:v>
      </x:c>
      <x:c r="S2180" s="81" t="n">
        <x:v>1.677454842581805e-7</x:v>
      </x:c>
      <x:c r="T2180" s="81" t="n">
        <x:v>1.866481858396261e-12</x:v>
      </x:c>
    </x:row>
    <x:row r="2181">
      <x:c r="A2181" s="59" t="n">
        <x:v>2178</x:v>
      </x:c>
      <x:c r="B2181" s="193" t="n">
        <x:v>0.23133340887725354</x:v>
      </x:c>
      <x:c r="C2181" s="83" t="n">
        <x:v>0.11850525068877854</x:v>
      </x:c>
      <x:c r="D2181" s="83" t="n">
        <x:v>0.4878924693772294</x:v>
      </x:c>
      <x:c r="E2181" s="81" t="n">
        <x:v>-0.07060111567714411</x:v>
      </x:c>
      <x:c r="F2181" s="81" t="n">
        <x:v>0.7856256651459262</x:v>
      </x:c>
      <x:c r="G2181" s="81" t="n">
        <x:v>0.05774021603420757</x:v>
      </x:c>
      <x:c r="H2181" s="59" t="n">
        <x:v>0</x:v>
      </x:c>
      <x:c r="I2181" s="81" t="n">
        <x:v>0</x:v>
      </x:c>
      <x:c r="J2181" s="79" t="n">
        <x:v>2.5375591792025565e-28</x:v>
      </x:c>
      <x:c r="K2181" s="81" t="n">
        <x:v>-1</x:v>
      </x:c>
      <x:c r="L2181" s="81" t="n">
        <x:v>-1</x:v>
      </x:c>
      <x:c r="M2181" s="80" t="n">
        <x:v>0.000002</x:v>
      </x:c>
      <x:c r="N2181" s="82" t="n">
        <x:v>0.15720170549597834</x:v>
      </x:c>
      <x:c r="O2181" s="82" t="n">
        <x:v>0.11666587913127739</x:v>
      </x:c>
      <x:c r="P2181" s="80" t="n">
        <x:v>213.79934683723684</x:v>
      </x:c>
      <x:c r="Q2181" s="81" t="n">
        <x:v>120724314838.70439</x:v>
      </x:c>
      <x:c r="R2181" s="81" t="n">
        <x:v>29.25718112366218</x:v>
      </x:c>
      <x:c r="S2181" s="81" t="n">
        <x:v>7.564871677544314e-10</x:v>
      </x:c>
      <x:c r="T2181" s="81" t="n">
        <x:v>5.4969071869393145e-24</x:v>
      </x:c>
    </x:row>
    <x:row r="2182">
      <x:c r="A2182" s="59" t="n">
        <x:v>2179</x:v>
      </x:c>
      <x:c r="B2182" s="193" t="n">
        <x:v>0.8289803234860302</x:v>
      </x:c>
      <x:c r="C2182" s="83" t="n">
        <x:v>0.6926728213244162</x:v>
      </x:c>
      <x:c r="D2182" s="83" t="n">
        <x:v>2.06872749497817</x:v>
      </x:c>
      <x:c r="E2182" s="81" t="n">
        <x:v>0.08030935983358033</x:v>
      </x:c>
      <x:c r="F2182" s="81" t="n">
        <x:v>0.6993760244222358</x:v>
      </x:c>
      <x:c r="G2182" s="81" t="n">
        <x:v>0.027374101135721224</x:v>
      </x:c>
      <x:c r="H2182" s="59" t="n">
        <x:v>86</x:v>
      </x:c>
      <x:c r="I2182" s="81" t="n">
        <x:v>0.42957678632810714</x:v>
      </x:c>
      <x:c r="J2182" s="79" t="n">
        <x:v>0.024569800376509545</x:v>
      </x:c>
      <x:c r="K2182" s="81" t="n">
        <x:v>27.079771858868053</x:v>
      </x:c>
      <x:c r="L2182" s="81" t="n">
        <x:v>-0.9595860132852785</x:v>
      </x:c>
      <x:c r="M2182" s="80" t="n">
        <x:v>82648.56784739741</x:v>
      </x:c>
      <x:c r="N2182" s="82" t="n">
        <x:v>0.29957240643543753</x:v>
      </x:c>
      <x:c r="O2182" s="82" t="n">
        <x:v>0.19791717799609287</x:v>
      </x:c>
      <x:c r="P2182" s="80" t="n">
        <x:v>241674.41103546732</x:v>
      </x:c>
      <x:c r="Q2182" s="81" t="n">
        <x:v>0.007387411460092647</x:v>
      </x:c>
      <x:c r="R2182" s="81" t="n">
        <x:v>490.18378975972985</x:v>
      </x:c>
      <x:c r="S2182" s="81" t="n">
        <x:v>723.0990262942345</x:v>
      </x:c>
      <x:c r="T2182" s="81" t="n">
        <x:v>532.2355174145824</x:v>
      </x:c>
    </x:row>
    <x:row r="2183">
      <x:c r="A2183" s="59" t="n">
        <x:v>2180</x:v>
      </x:c>
      <x:c r="B2183" s="193" t="n">
        <x:v>0.769631694443524</x:v>
      </x:c>
      <x:c r="C2183" s="83" t="n">
        <x:v>2.964331468406054</x:v>
      </x:c>
      <x:c r="D2183" s="83" t="n">
        <x:v>0.5278591553592767</x:v>
      </x:c>
      <x:c r="E2183" s="81" t="n">
        <x:v>0.12554125986643574</x:v>
      </x:c>
      <x:c r="F2183" s="81" t="n">
        <x:v>0.8723090643878095</x:v>
      </x:c>
      <x:c r="G2183" s="81" t="n">
        <x:v>-0.025631521877552185</x:v>
      </x:c>
      <x:c r="H2183" s="59" t="n">
        <x:v>0</x:v>
      </x:c>
      <x:c r="I2183" s="81" t="n">
        <x:v>0</x:v>
      </x:c>
      <x:c r="J2183" s="79" t="n">
        <x:v>0.003420370896245813</x:v>
      </x:c>
      <x:c r="K2183" s="81" t="n">
        <x:v>2.9089953099952153</x:v>
      </x:c>
      <x:c r="L2183" s="81" t="n">
        <x:v>-0.7204479494825289</x:v>
      </x:c>
      <x:c r="M2183" s="80" t="n">
        <x:v>48859.232673551596</x:v>
      </x:c>
      <x:c r="N2183" s="82" t="n">
        <x:v>0.2854344502107182</x:v>
      </x:c>
      <x:c r="O2183" s="82" t="n">
        <x:v>0.23520563154403842</x:v>
      </x:c>
      <x:c r="P2183" s="80" t="n">
        <x:v>48962.258164754974</x:v>
      </x:c>
      <x:c r="Q2183" s="81" t="n">
        <x:v>0.004701142432079421</x:v>
      </x:c>
      <x:c r="R2183" s="81" t="n">
        <x:v>55.81210650248907</x:v>
      </x:c>
      <x:c r="S2183" s="81" t="n">
        <x:v>23.73713550379073</x:v>
      </x:c>
      <x:c r="T2183" s="81" t="n">
        <x:v>74.09270103202145</x:v>
      </x:c>
    </x:row>
    <x:row r="2184">
      <x:c r="A2184" s="59" t="n">
        <x:v>2181</x:v>
      </x:c>
      <x:c r="B2184" s="193" t="n">
        <x:v>0.4049322430044413</x:v>
      </x:c>
      <x:c r="C2184" s="83" t="n">
        <x:v>2.600043593974516</x:v>
      </x:c>
      <x:c r="D2184" s="83" t="n">
        <x:v>0.2730604227450548</x:v>
      </x:c>
      <x:c r="E2184" s="81" t="n">
        <x:v>0.07409769993739661</x:v>
      </x:c>
      <x:c r="F2184" s="81" t="n">
        <x:v>0.4015909269801341</x:v>
      </x:c>
      <x:c r="G2184" s="81" t="n">
        <x:v>-0.008270551610822392</x:v>
      </x:c>
      <x:c r="H2184" s="59" t="n">
        <x:v>90</x:v>
      </x:c>
      <x:c r="I2184" s="81" t="n">
        <x:v>0.47600923106074333</x:v>
      </x:c>
      <x:c r="J2184" s="79" t="n">
        <x:v>0.003251762672044403</x:v>
      </x:c>
      <x:c r="K2184" s="81" t="n">
        <x:v>2.716300196622175</x:v>
      </x:c>
      <x:c r="L2184" s="81" t="n">
        <x:v>-0.713702250939722</x:v>
      </x:c>
      <x:c r="M2184" s="80" t="n">
        <x:v>37539.93567937404</x:v>
      </x:c>
      <x:c r="N2184" s="82" t="n">
        <x:v>0.1985562027632141</x:v>
      </x:c>
      <x:c r="O2184" s="82" t="n">
        <x:v>0.07532485301657273</x:v>
      </x:c>
      <x:c r="P2184" s="80" t="n">
        <x:v>20025.496762917326</x:v>
      </x:c>
      <x:c r="Q2184" s="81" t="n">
        <x:v>0.0025030809605972996</x:v>
      </x:c>
      <x:c r="R2184" s="81" t="n">
        <x:v>19.68884662044199</x:v>
      </x:c>
      <x:c r="S2184" s="81" t="n">
        <x:v>24.427665719690946</x:v>
      </x:c>
      <x:c r="T2184" s="81" t="n">
        <x:v>70.44027878711023</x:v>
      </x:c>
    </x:row>
    <x:row r="2185">
      <x:c r="A2185" s="59" t="n">
        <x:v>2182</x:v>
      </x:c>
      <x:c r="B2185" s="193" t="n">
        <x:v>0.24215973764657975</x:v>
      </x:c>
      <x:c r="C2185" s="83" t="n">
        <x:v>0.7957759834966371</x:v>
      </x:c>
      <x:c r="D2185" s="83" t="n">
        <x:v>0.5455996295601004</x:v>
      </x:c>
      <x:c r="E2185" s="81" t="n">
        <x:v>-0.03952801609927551</x:v>
      </x:c>
      <x:c r="F2185" s="81" t="n">
        <x:v>0.7845767997554504</x:v>
      </x:c>
      <x:c r="G2185" s="81" t="n">
        <x:v>-0.005685378612260087</x:v>
      </x:c>
      <x:c r="H2185" s="59" t="n">
        <x:v>89</x:v>
      </x:c>
      <x:c r="I2185" s="81" t="n">
        <x:v>0.16370212454348804</x:v>
      </x:c>
      <x:c r="J2185" s="79" t="n">
        <x:v>3.511401840981041e-17</x:v>
      </x:c>
      <x:c r="K2185" s="81" t="n">
        <x:v>-0.9999999999999599</x:v>
      </x:c>
      <x:c r="L2185" s="81" t="n">
        <x:v>-0.9999999999999599</x:v>
      </x:c>
      <x:c r="M2185" s="80" t="n">
        <x:v>0.0018823034209049638</x:v>
      </x:c>
      <x:c r="N2185" s="82" t="n">
        <x:v>0.15978074000249634</x:v>
      </x:c>
      <x:c r="O2185" s="82" t="n">
        <x:v>0.11842157469980732</x:v>
      </x:c>
      <x:c r="P2185" s="80" t="n">
        <x:v>572.1281204352279</x:v>
      </x:c>
      <x:c r="Q2185" s="81" t="n">
        <x:v>1423.9778002830806</x:v>
      </x:c>
      <x:c r="R2185" s="81" t="n">
        <x:v>7.218359842674402</x:v>
      </x:c>
      <x:c r="S2185" s="81" t="n">
        <x:v>2.430114779435885e-7</x:v>
      </x:c>
      <x:c r="T2185" s="81" t="n">
        <x:v>7.606463003549084e-13</x:v>
      </x:c>
    </x:row>
    <x:row r="2186">
      <x:c r="A2186" s="59" t="n">
        <x:v>2183</x:v>
      </x:c>
      <x:c r="B2186" s="193" t="n">
        <x:v>0.21354049649089576</x:v>
      </x:c>
      <x:c r="C2186" s="83" t="n">
        <x:v>0.15237158849026528</x:v>
      </x:c>
      <x:c r="D2186" s="83" t="n">
        <x:v>0.4773559895214222</x:v>
      </x:c>
      <x:c r="E2186" s="81" t="n">
        <x:v>0.043571715077721035</x:v>
      </x:c>
      <x:c r="F2186" s="81" t="n">
        <x:v>0.8008024313952774</x:v>
      </x:c>
      <x:c r="G2186" s="81" t="n">
        <x:v>0.00731004715053371</x:v>
      </x:c>
      <x:c r="H2186" s="59" t="n">
        <x:v>90</x:v>
      </x:c>
      <x:c r="I2186" s="81" t="n">
        <x:v>0.40109943440184004</x:v>
      </x:c>
      <x:c r="J2186" s="79" t="n">
        <x:v>0.0002161911348686288</x:v>
      </x:c>
      <x:c r="K2186" s="81" t="n">
        <x:v>-0.7529244172929956</x:v>
      </x:c>
      <x:c r="L2186" s="81" t="n">
        <x:v>-0.920101850375737</x:v>
      </x:c>
      <x:c r="M2186" s="80" t="n">
        <x:v>3142.642114552027</x:v>
      </x:c>
      <x:c r="N2186" s="82" t="n">
        <x:v>0.15296310014844056</x:v>
      </x:c>
      <x:c r="O2186" s="82" t="n">
        <x:v>0.1157132260944798</x:v>
      </x:c>
      <x:c r="P2186" s="80" t="n">
        <x:v>3383.263219462344</x:v>
      </x:c>
      <x:c r="Q2186" s="81" t="n">
        <x:v>0.005788421333828497</x:v>
      </x:c>
      <x:c r="R2186" s="81" t="n">
        <x:v>129.47056513657466</x:v>
      </x:c>
      <x:c r="S2186" s="81" t="n">
        <x:v>26.992010458677875</x:v>
      </x:c>
      <x:c r="T2186" s="81" t="n">
        <x:v>4.683171973886295</x:v>
      </x:c>
    </x:row>
    <x:row r="2187">
      <x:c r="A2187" s="59" t="n">
        <x:v>2184</x:v>
      </x:c>
      <x:c r="B2187" s="193" t="n">
        <x:v>0.9962120167911053</x:v>
      </x:c>
      <x:c r="C2187" s="83" t="n">
        <x:v>0.36630324254589874</x:v>
      </x:c>
      <x:c r="D2187" s="83" t="n">
        <x:v>0.5866787705403993</x:v>
      </x:c>
      <x:c r="E2187" s="81" t="n">
        <x:v>-0.1040429636579127</x:v>
      </x:c>
      <x:c r="F2187" s="81" t="n">
        <x:v>0.7641112549928949</x:v>
      </x:c>
      <x:c r="G2187" s="81" t="n">
        <x:v>0.024438075322528535</x:v>
      </x:c>
      <x:c r="H2187" s="59" t="n">
        <x:v>0</x:v>
      </x:c>
      <x:c r="I2187" s="81" t="n">
        <x:v>0</x:v>
      </x:c>
      <x:c r="J2187" s="79" t="n">
        <x:v>1.8583321733095583e-34</x:v>
      </x:c>
      <x:c r="K2187" s="81" t="n">
        <x:v>-1</x:v>
      </x:c>
      <x:c r="L2187" s="81" t="n">
        <x:v>-1</x:v>
      </x:c>
      <x:c r="M2187" s="80" t="n">
        <x:v>0.000002</x:v>
      </x:c>
      <x:c r="N2187" s="82" t="n">
        <x:v>0.339410131374956</x:v>
      </x:c>
      <x:c r="O2187" s="82" t="n">
        <x:v>0.24499224667746267</x:v>
      </x:c>
      <x:c r="P2187" s="80" t="n">
        <x:v>192.28657307939068</x:v>
      </x:c>
      <x:c r="Q2187" s="81" t="n">
        <x:v>115357202314929170</x:v>
      </x:c>
      <x:c r="R2187" s="81" t="n">
        <x:v>5.635288787818687</x:v>
      </x:c>
      <x:c r="S2187" s="81" t="n">
        <x:v>5.045840721541084e-10</x:v>
      </x:c>
      <x:c r="T2187" s="81" t="n">
        <x:v>4.0255532020325214e-30</x:v>
      </x:c>
    </x:row>
    <x:row r="2188">
      <x:c r="A2188" s="59" t="n">
        <x:v>2185</x:v>
      </x:c>
      <x:c r="B2188" s="193" t="n">
        <x:v>0.6315669292584062</x:v>
      </x:c>
      <x:c r="C2188" s="83" t="n">
        <x:v>0.5593732223740149</x:v>
      </x:c>
      <x:c r="D2188" s="83" t="n">
        <x:v>0.45024109167760296</x:v>
      </x:c>
      <x:c r="E2188" s="81" t="n">
        <x:v>-0.10276608108514718</x:v>
      </x:c>
      <x:c r="F2188" s="81" t="n">
        <x:v>0.28957143959123643</x:v>
      </x:c>
      <x:c r="G2188" s="81" t="n">
        <x:v>0.0018822101432157696</x:v>
      </x:c>
      <x:c r="H2188" s="59" t="n">
        <x:v>21</x:v>
      </x:c>
      <x:c r="I2188" s="81" t="n">
        <x:v>0.36821527862921355</x:v>
      </x:c>
      <x:c r="J2188" s="79" t="n">
        <x:v>1.2938462048425469e-27</x:v>
      </x:c>
      <x:c r="K2188" s="81" t="n">
        <x:v>-1</x:v>
      </x:c>
      <x:c r="L2188" s="81" t="n">
        <x:v>-1</x:v>
      </x:c>
      <x:c r="M2188" s="80" t="n">
        <x:v>0.000002</x:v>
      </x:c>
      <x:c r="N2188" s="82" t="n">
        <x:v>0.2525448344292758</x:v>
      </x:c>
      <x:c r="O2188" s="82" t="n">
        <x:v>0.06908204048583386</x:v>
      </x:c>
      <x:c r="P2188" s="80" t="n">
        <x:v>234.2139658325414</x:v>
      </x:c>
      <x:c r="Q2188" s="81" t="n">
        <x:v>16755050805.839481</x:v>
      </x:c>
      <x:c r="R2188" s="81" t="n">
        <x:v>5.78802840745823</x:v>
      </x:c>
      <x:c r="S2188" s="81" t="n">
        <x:v>2.5878270932377213e-10</x:v>
      </x:c>
      <x:c r="T2188" s="81" t="n">
        <x:v>2.8027533546737583e-23</x:v>
      </x:c>
    </x:row>
    <x:row r="2189">
      <x:c r="A2189" s="59" t="n">
        <x:v>2186</x:v>
      </x:c>
      <x:c r="B2189" s="193" t="n">
        <x:v>0.7029681807383896</x:v>
      </x:c>
      <x:c r="C2189" s="83" t="n">
        <x:v>0.9646807020645942</x:v>
      </x:c>
      <x:c r="D2189" s="83" t="n">
        <x:v>1.2594919064511154</x:v>
      </x:c>
      <x:c r="E2189" s="81" t="n">
        <x:v>0.0001553080030394925</x:v>
      </x:c>
      <x:c r="F2189" s="81" t="n">
        <x:v>0.8748255923739635</x:v>
      </x:c>
      <x:c r="G2189" s="81" t="n">
        <x:v>-0.03396705784479769</x:v>
      </x:c>
      <x:c r="H2189" s="59" t="n">
        <x:v>13</x:v>
      </x:c>
      <x:c r="I2189" s="81" t="n">
        <x:v>0.3318646880798042</x:v>
      </x:c>
      <x:c r="J2189" s="79" t="n">
        <x:v>5.939016526215549e-7</x:v>
      </x:c>
      <x:c r="K2189" s="81" t="n">
        <x:v>-0.9993212552541468</x:v>
      </x:c>
      <x:c r="L2189" s="81" t="n">
        <x:v>-0.9993212552541468</x:v>
      </x:c>
      <x:c r="M2189" s="80" t="n">
        <x:v>258.8805455464486</x:v>
      </x:c>
      <x:c r="N2189" s="82" t="n">
        <x:v>0.2695539513052733</x:v>
      </x:c>
      <x:c r="O2189" s="82" t="n">
        <x:v>0.22276046908970298</x:v>
      </x:c>
      <x:c r="P2189" s="80" t="n">
        <x:v>2937.086360781748</x:v>
      </x:c>
      <x:c r="Q2189" s="81" t="n">
        <x:v>0.15651467586907228</x:v>
      </x:c>
      <x:c r="R2189" s="81" t="n">
        <x:v>9.57622271624514</x:v>
      </x:c>
      <x:c r="S2189" s="81" t="n">
        <x:v>0.059366809230862815</x:v>
      </x:c>
      <x:c r="T2189" s="81" t="n">
        <x:v>0.01286520641326083</x:v>
      </x:c>
    </x:row>
    <x:row r="2190">
      <x:c r="A2190" s="59" t="n">
        <x:v>2187</x:v>
      </x:c>
      <x:c r="B2190" s="193" t="n">
        <x:v>0.4990603934973479</x:v>
      </x:c>
      <x:c r="C2190" s="83" t="n">
        <x:v>0.10401778845585817</x:v>
      </x:c>
      <x:c r="D2190" s="83" t="n">
        <x:v>1.1685619528291675</x:v>
      </x:c>
      <x:c r="E2190" s="81" t="n">
        <x:v>-0.13916237456213615</x:v>
      </x:c>
      <x:c r="F2190" s="81" t="n">
        <x:v>0.6114707128843293</x:v>
      </x:c>
      <x:c r="G2190" s="81" t="n">
        <x:v>-0.010691754910357442</x:v>
      </x:c>
      <x:c r="H2190" s="59" t="n">
        <x:v>0</x:v>
      </x:c>
      <x:c r="I2190" s="81" t="n">
        <x:v>0</x:v>
      </x:c>
      <x:c r="J2190" s="79" t="n">
        <x:v>2.747197150618066e-55</x:v>
      </x:c>
      <x:c r="K2190" s="81" t="n">
        <x:v>-1</x:v>
      </x:c>
      <x:c r="L2190" s="81" t="n">
        <x:v>-1</x:v>
      </x:c>
      <x:c r="M2190" s="80" t="n">
        <x:v>0.000002</x:v>
      </x:c>
      <x:c r="N2190" s="82" t="n">
        <x:v>0.22097929311344633</x:v>
      </x:c>
      <x:c r="O2190" s="82" t="n">
        <x:v>0.12764334674399708</x:v>
      </x:c>
      <x:c r="P2190" s="80" t="n">
        <x:v>154.05399173929226</x:v>
      </x:c>
      <x:c r="Q2190" s="81" t="n">
        <x:v>6.019615825577036e+37</x:v>
      </x:c>
      <x:c r="R2190" s="81" t="n">
        <x:v>8.074161812603903</x:v>
      </x:c>
      <x:c r="S2190" s="81" t="n">
        <x:v>8.135443969386345e-10</x:v>
      </x:c>
      <x:c r="T2190" s="81" t="n">
        <x:v>5.951028801589276e-51</x:v>
      </x:c>
    </x:row>
    <x:row r="2191">
      <x:c r="A2191" s="59" t="n">
        <x:v>2188</x:v>
      </x:c>
      <x:c r="B2191" s="193" t="n">
        <x:v>0.7965582793578505</x:v>
      </x:c>
      <x:c r="C2191" s="83" t="n">
        <x:v>0.38114731034158017</x:v>
      </x:c>
      <x:c r="D2191" s="83" t="n">
        <x:v>0.4777565249719243</x:v>
      </x:c>
      <x:c r="E2191" s="81" t="n">
        <x:v>0.02883379527808469</x:v>
      </x:c>
      <x:c r="F2191" s="81" t="n">
        <x:v>0.7518972683581524</x:v>
      </x:c>
      <x:c r="G2191" s="81" t="n">
        <x:v>0.06086231382335591</x:v>
      </x:c>
      <x:c r="H2191" s="59" t="n">
        <x:v>0</x:v>
      </x:c>
      <x:c r="I2191" s="81" t="n">
        <x:v>0</x:v>
      </x:c>
      <x:c r="J2191" s="79" t="n">
        <x:v>0.00013694802063149284</x:v>
      </x:c>
      <x:c r="K2191" s="81" t="n">
        <x:v>-0.843487976421151</x:v>
      </x:c>
      <x:c r="L2191" s="81" t="n">
        <x:v>-0.9541339427451583</x:v>
      </x:c>
      <x:c r="M2191" s="80" t="n">
        <x:v>2980.950387021853</x:v>
      </x:c>
      <x:c r="N2191" s="82" t="n">
        <x:v>0.291848867610778</x:v>
      </x:c>
      <x:c r="O2191" s="82" t="n">
        <x:v>0.20729434823037943</x:v>
      </x:c>
      <x:c r="P2191" s="80" t="n">
        <x:v>3638.5988676877346</x:v>
      </x:c>
      <x:c r="Q2191" s="81" t="n">
        <x:v>0.015055823634195699</x:v>
      </x:c>
      <x:c r="R2191" s="81" t="n">
        <x:v>30.766948392350123</x:v>
      </x:c>
      <x:c r="S2191" s="81" t="n">
        <x:v>7.619212112167544</x:v>
      </x:c>
      <x:c r="T2191" s="81" t="n">
        <x:v>2.9665931144231896</x:v>
      </x:c>
    </x:row>
    <x:row r="2192">
      <x:c r="A2192" s="59" t="n">
        <x:v>2189</x:v>
      </x:c>
      <x:c r="B2192" s="193" t="n">
        <x:v>0.44525983165949584</x:v>
      </x:c>
      <x:c r="C2192" s="83" t="n">
        <x:v>0.5557077934244865</x:v>
      </x:c>
      <x:c r="D2192" s="83" t="n">
        <x:v>0.7198612177629511</x:v>
      </x:c>
      <x:c r="E2192" s="81" t="n">
        <x:v>0.135812475560973</x:v>
      </x:c>
      <x:c r="F2192" s="81" t="n">
        <x:v>0.8131283302675002</x:v>
      </x:c>
      <x:c r="G2192" s="81" t="n">
        <x:v>-0.0021367566000364976</x:v>
      </x:c>
      <x:c r="H2192" s="59" t="n">
        <x:v>0</x:v>
      </x:c>
      <x:c r="I2192" s="81" t="n">
        <x:v>0</x:v>
      </x:c>
      <x:c r="J2192" s="79" t="n">
        <x:v>0.004835702764627918</x:v>
      </x:c>
      <x:c r="K2192" s="81" t="n">
        <x:v>4.52651744528905</x:v>
      </x:c>
      <x:c r="L2192" s="81" t="n">
        <x:v>-0.7839833937000148</x:v>
      </x:c>
      <x:c r="M2192" s="80" t="n">
        <x:v>25973.397477149447</x:v>
      </x:c>
      <x:c r="N2192" s="82" t="n">
        <x:v>0.20816299052313555</x:v>
      </x:c>
      <x:c r="O2192" s="82" t="n">
        <x:v>0.15989451017333212</x:v>
      </x:c>
      <x:c r="P2192" s="80" t="n">
        <x:v>32058.925652382946</x:v>
      </x:c>
      <x:c r="Q2192" s="81" t="n">
        <x:v>0.0031234300722661657</x:v>
      </x:c>
      <x:c r="R2192" s="81" t="n">
        <x:v>281.3735162104394</x:v>
      </x:c>
      <x:c r="S2192" s="81" t="n">
        <x:v>167.2689200779569</x:v>
      </x:c>
      <x:c r="T2192" s="81" t="n">
        <x:v>104.75187928085639</x:v>
      </x:c>
    </x:row>
    <x:row r="2193">
      <x:c r="A2193" s="59" t="n">
        <x:v>2190</x:v>
      </x:c>
      <x:c r="B2193" s="193" t="n">
        <x:v>0.904298136755824</x:v>
      </x:c>
      <x:c r="C2193" s="83" t="n">
        <x:v>0.2660821482897627</x:v>
      </x:c>
      <x:c r="D2193" s="83" t="n">
        <x:v>0.3280443158239989</x:v>
      </x:c>
      <x:c r="E2193" s="81" t="n">
        <x:v>-0.0326927062288689</x:v>
      </x:c>
      <x:c r="F2193" s="81" t="n">
        <x:v>0.6812619832693599</x:v>
      </x:c>
      <x:c r="G2193" s="81" t="n">
        <x:v>-0.016720263855873562</x:v>
      </x:c>
      <x:c r="H2193" s="59" t="n">
        <x:v>0</x:v>
      </x:c>
      <x:c r="I2193" s="81" t="n">
        <x:v>0</x:v>
      </x:c>
      <x:c r="J2193" s="79" t="n">
        <x:v>1.7756110262223294e-11</x:v>
      </x:c>
      <x:c r="K2193" s="81" t="n">
        <x:v>-0.9999999797073026</x:v>
      </x:c>
      <x:c r="L2193" s="81" t="n">
        <x:v>-0.9999999797073026</x:v>
      </x:c>
      <x:c r="M2193" s="80" t="n">
        <x:v>0.9257899116499557</x:v>
      </x:c>
      <x:c r="N2193" s="82" t="n">
        <x:v>0.317514521765301</x:v>
      </x:c>
      <x:c r="O2193" s="82" t="n">
        <x:v>0.2043377886980426</x:v>
      </x:c>
      <x:c r="P2193" s="80" t="n">
        <x:v>276.0190067682588</x:v>
      </x:c>
      <x:c r="Q2193" s="81" t="n">
        <x:v>1.6512071780975315</x:v>
      </x:c>
      <x:c r="R2193" s="81" t="n">
        <x:v>20.176618336451998</x:v>
      </x:c>
      <x:c r="S2193" s="81" t="n">
        <x:v>0.00008830242725525343</x:v>
      </x:c>
      <x:c r="T2193" s="81" t="n">
        <x:v>3.8463611376021066e-7</x:v>
      </x:c>
    </x:row>
    <x:row r="2194">
      <x:c r="A2194" s="59" t="n">
        <x:v>2191</x:v>
      </x:c>
      <x:c r="B2194" s="193" t="n">
        <x:v>0.7379697835072876</x:v>
      </x:c>
      <x:c r="C2194" s="83" t="n">
        <x:v>0.2602635113236287</x:v>
      </x:c>
      <x:c r="D2194" s="83" t="n">
        <x:v>0.36736127436603394</x:v>
      </x:c>
      <x:c r="E2194" s="81" t="n">
        <x:v>-0.1161053015210221</x:v>
      </x:c>
      <x:c r="F2194" s="81" t="n">
        <x:v>0.8325781350722536</x:v>
      </x:c>
      <x:c r="G2194" s="81" t="n">
        <x:v>-0.007043688471845462</x:v>
      </x:c>
      <x:c r="H2194" s="59" t="n">
        <x:v>68</x:v>
      </x:c>
      <x:c r="I2194" s="81" t="n">
        <x:v>0.4766579075716436</x:v>
      </x:c>
      <x:c r="J2194" s="79" t="n">
        <x:v>5.87586189091117e-26</x:v>
      </x:c>
      <x:c r="K2194" s="81" t="n">
        <x:v>-1</x:v>
      </x:c>
      <x:c r="L2194" s="81" t="n">
        <x:v>-1</x:v>
      </x:c>
      <x:c r="M2194" s="80" t="n">
        <x:v>0.000002</x:v>
      </x:c>
      <x:c r="N2194" s="82" t="n">
        <x:v>0.27789198936487675</x:v>
      </x:c>
      <x:c r="O2194" s="82" t="n">
        <x:v>0.21856064870728906</x:v>
      </x:c>
      <x:c r="P2194" s="80" t="n">
        <x:v>144.6057840207233</x:v>
      </x:c>
      <x:c r="Q2194" s="81" t="n">
        <x:v>330503712.4021309</x:v>
      </x:c>
      <x:c r="R2194" s="81" t="n">
        <x:v>10.239496559997596</x:v>
      </x:c>
      <x:c r="S2194" s="81" t="n">
        <x:v>2.3430748454690717e-10</x:v>
      </x:c>
      <x:c r="T2194" s="81" t="n">
        <x:v>1.2728399685150449e-21</x:v>
      </x:c>
    </x:row>
    <x:row r="2195">
      <x:c r="A2195" s="59" t="n">
        <x:v>2192</x:v>
      </x:c>
      <x:c r="B2195" s="193" t="n">
        <x:v>0.6278102409094573</x:v>
      </x:c>
      <x:c r="C2195" s="83" t="n">
        <x:v>2.8675662241505133</x:v>
      </x:c>
      <x:c r="D2195" s="83" t="n">
        <x:v>1.165688438093384</x:v>
      </x:c>
      <x:c r="E2195" s="81" t="n">
        <x:v>0.005573409971765581</x:v>
      </x:c>
      <x:c r="F2195" s="81" t="n">
        <x:v>0.535231497825589</x:v>
      </x:c>
      <x:c r="G2195" s="81" t="n">
        <x:v>-0.0231995337997862</x:v>
      </x:c>
      <x:c r="H2195" s="59" t="n">
        <x:v>0</x:v>
      </x:c>
      <x:c r="I2195" s="81" t="n">
        <x:v>0</x:v>
      </x:c>
      <x:c r="J2195" s="79" t="n">
        <x:v>0.00009809869802230583</x:v>
      </x:c>
      <x:c r="K2195" s="81" t="n">
        <x:v>-0.8878872022602219</x:v>
      </x:c>
      <x:c r="L2195" s="81" t="n">
        <x:v>-0.8932844608947155</x:v>
      </x:c>
      <x:c r="M2195" s="80" t="n">
        <x:v>6656.2025531669915</x:v>
      </x:c>
      <x:c r="N2195" s="82" t="n">
        <x:v>0.2516499208266496</x:v>
      </x:c>
      <x:c r="O2195" s="82" t="n">
        <x:v>0.12723582298273872</x:v>
      </x:c>
      <x:c r="P2195" s="80" t="n">
        <x:v>21676.952728696742</x:v>
      </x:c>
      <x:c r="Q2195" s="81" t="n">
        <x:v>0.03858445497198357</x:v>
      </x:c>
      <x:c r="R2195" s="81" t="n">
        <x:v>9.271401876111106</x:v>
      </x:c>
      <x:c r="S2195" s="81" t="n">
        <x:v>1.2995676929784896</x:v>
      </x:c>
      <x:c r="T2195" s="81" t="n">
        <x:v>2.1250319701220204</x:v>
      </x:c>
    </x:row>
    <x:row r="2196">
      <x:c r="A2196" s="59" t="n">
        <x:v>2193</x:v>
      </x:c>
      <x:c r="B2196" s="193" t="n">
        <x:v>0.9403092704713345</x:v>
      </x:c>
      <x:c r="C2196" s="83" t="n">
        <x:v>0.9899713244088432</x:v>
      </x:c>
      <x:c r="D2196" s="83" t="n">
        <x:v>0.32195860070586446</x:v>
      </x:c>
      <x:c r="E2196" s="81" t="n">
        <x:v>-0.07929412672627206</x:v>
      </x:c>
      <x:c r="F2196" s="81" t="n">
        <x:v>0.26502160454401746</x:v>
      </x:c>
      <x:c r="G2196" s="81" t="n">
        <x:v>-0.001981984365923565</x:v>
      </x:c>
      <x:c r="H2196" s="59" t="n">
        <x:v>79</x:v>
      </x:c>
      <x:c r="I2196" s="81" t="n">
        <x:v>0.43451596582308416</x:v>
      </x:c>
      <x:c r="J2196" s="79" t="n">
        <x:v>1.364107026969088e-19</x:v>
      </x:c>
      <x:c r="K2196" s="81" t="n">
        <x:v>-0.9999999999999999</x:v>
      </x:c>
      <x:c r="L2196" s="81" t="n">
        <x:v>-0.9999999999999999</x:v>
      </x:c>
      <x:c r="M2196" s="80" t="n">
        <x:v>0.0001310492666934064</x:v>
      </x:c>
      <x:c r="N2196" s="82" t="n">
        <x:v>0.3260930490250934</x:v>
      </x:c>
      <x:c r="O2196" s="82" t="n">
        <x:v>0.08163826425020841</x:v>
      </x:c>
      <x:c r="P2196" s="80" t="n">
        <x:v>354.46551493685155</x:v>
      </x:c>
      <x:c r="Q2196" s="81" t="n">
        <x:v>13208.383723652145</x:v>
      </x:c>
      <x:c r="R2196" s="81" t="n">
        <x:v>5.489541202608332</x:v>
      </x:c>
      <x:c r="S2196" s="81" t="n">
        <x:v>9.51253711591848e-9</x:v>
      </x:c>
      <x:c r="T2196" s="81" t="n">
        <x:v>2.95495363487728e-15</x:v>
      </x:c>
    </x:row>
    <x:row r="2197">
      <x:c r="A2197" s="59" t="n">
        <x:v>2194</x:v>
      </x:c>
      <x:c r="B2197" s="193" t="n">
        <x:v>0.633721910789609</x:v>
      </x:c>
      <x:c r="C2197" s="83" t="n">
        <x:v>0.5286044491905905</x:v>
      </x:c>
      <x:c r="D2197" s="83" t="n">
        <x:v>1.0732106439070537</x:v>
      </x:c>
      <x:c r="E2197" s="81" t="n">
        <x:v>0.019012682662076567</x:v>
      </x:c>
      <x:c r="F2197" s="81" t="n">
        <x:v>0.3231903516338207</x:v>
      </x:c>
      <x:c r="G2197" s="81" t="n">
        <x:v>-0.014918970718573232</x:v>
      </x:c>
      <x:c r="H2197" s="59" t="n">
        <x:v>84</x:v>
      </x:c>
      <x:c r="I2197" s="81" t="n">
        <x:v>0.12714325860142708</x:v>
      </x:c>
      <x:c r="J2197" s="79" t="n">
        <x:v>0.0004898822308863482</x:v>
      </x:c>
      <x:c r="K2197" s="81" t="n">
        <x:v>-0.44013459327274485</x:v>
      </x:c>
      <x:c r="L2197" s="81" t="n">
        <x:v>-0.7555990898743215</x:v>
      </x:c>
      <x:c r="M2197" s="80" t="n">
        <x:v>6190.227939662545</x:v>
      </x:c>
      <x:c r="N2197" s="82" t="n">
        <x:v>0.25305819143591224</x:v>
      </x:c>
      <x:c r="O2197" s="82" t="n">
        <x:v>0.07725911496496653</x:v>
      </x:c>
      <x:c r="P2197" s="80" t="n">
        <x:v>14055.377077992462</x:v>
      </x:c>
      <x:c r="Q2197" s="81" t="n">
        <x:v>0.008566705541410818</x:v>
      </x:c>
      <x:c r="R2197" s="81" t="n">
        <x:v>61.85418704894773</x:v>
      </x:c>
      <x:c r="S2197" s="81" t="n">
        <x:v>18.82110336700902</x:v>
      </x:c>
      <x:c r="T2197" s="81" t="n">
        <x:v>10.611918641279818</x:v>
      </x:c>
    </x:row>
    <x:row r="2198">
      <x:c r="A2198" s="59" t="n">
        <x:v>2195</x:v>
      </x:c>
      <x:c r="B2198" s="193" t="n">
        <x:v>0.8552080718800426</x:v>
      </x:c>
      <x:c r="C2198" s="83" t="n">
        <x:v>0.15961966206724612</x:v>
      </x:c>
      <x:c r="D2198" s="83" t="n">
        <x:v>0.716070484580841</x:v>
      </x:c>
      <x:c r="E2198" s="81" t="n">
        <x:v>-0.03858225448635334</x:v>
      </x:c>
      <x:c r="F2198" s="81" t="n">
        <x:v>0.3338427451904863</x:v>
      </x:c>
      <x:c r="G2198" s="81" t="n">
        <x:v>0.022228001966630388</x:v>
      </x:c>
      <x:c r="H2198" s="59" t="n">
        <x:v>0</x:v>
      </x:c>
      <x:c r="I2198" s="81" t="n">
        <x:v>0</x:v>
      </x:c>
      <x:c r="J2198" s="79" t="n">
        <x:v>3.450923359018455e-23</x:v>
      </x:c>
      <x:c r="K2198" s="81" t="n">
        <x:v>-1</x:v>
      </x:c>
      <x:c r="L2198" s="81" t="n">
        <x:v>-1</x:v>
      </x:c>
      <x:c r="M2198" s="80" t="n">
        <x:v>0.000002</x:v>
      </x:c>
      <x:c r="N2198" s="82" t="n">
        <x:v>0.30582034787317386</x:v>
      </x:c>
      <x:c r="O2198" s="82" t="n">
        <x:v>0.09644489903050796</x:v>
      </x:c>
      <x:c r="P2198" s="80" t="n">
        <x:v>391.63738958474653</x:v>
      </x:c>
      <x:c r="Q2198" s="81" t="n">
        <x:v>1575842.4017514472</x:v>
      </x:c>
      <x:c r="R2198" s="81" t="n">
        <x:v>27.19511009175979</x:v>
      </x:c>
      <x:c r="S2198" s="81" t="n">
        <x:v>7.06820095110037e-10</x:v>
      </x:c>
      <x:c r="T2198" s="81" t="n">
        <x:v>7.475453407839953e-19</x:v>
      </x:c>
    </x:row>
    <x:row r="2199">
      <x:c r="A2199" s="59" t="n">
        <x:v>2196</x:v>
      </x:c>
      <x:c r="B2199" s="193" t="n">
        <x:v>0.27548112217336895</x:v>
      </x:c>
      <x:c r="C2199" s="83" t="n">
        <x:v>0.6388697304825208</x:v>
      </x:c>
      <x:c r="D2199" s="83" t="n">
        <x:v>0.78674252512042</x:v>
      </x:c>
      <x:c r="E2199" s="81" t="n">
        <x:v>-0.1574956890461786</x:v>
      </x:c>
      <x:c r="F2199" s="81" t="n">
        <x:v>0.8160848256433383</x:v>
      </x:c>
      <x:c r="G2199" s="81" t="n">
        <x:v>-0.024566094031312297</x:v>
      </x:c>
      <x:c r="H2199" s="59" t="n">
        <x:v>69</x:v>
      </x:c>
      <x:c r="I2199" s="81" t="n">
        <x:v>0.3004480841569602</x:v>
      </x:c>
      <x:c r="J2199" s="79" t="n">
        <x:v>5.177872236044919e-44</x:v>
      </x:c>
      <x:c r="K2199" s="81" t="n">
        <x:v>-1</x:v>
      </x:c>
      <x:c r="L2199" s="81" t="n">
        <x:v>-1</x:v>
      </x:c>
      <x:c r="M2199" s="80" t="n">
        <x:v>0.000002</x:v>
      </x:c>
      <x:c r="N2199" s="82" t="n">
        <x:v>0.16771851857273726</x:v>
      </x:c>
      <x:c r="O2199" s="82" t="n">
        <x:v>0.12929664686170386</x:v>
      </x:c>
      <x:c r="P2199" s="80" t="n">
        <x:v>190.58727599632385</x:v>
      </x:c>
      <x:c r="Q2199" s="81" t="n">
        <x:v>2.867438964712595e+26</x:v>
      </x:c>
      <x:c r="R2199" s="81" t="n">
        <x:v>2.010704945989174</x:v>
      </x:c>
      <x:c r="S2199" s="81" t="n">
        <x:v>3.107177828518796e-10</x:v>
      </x:c>
      <x:c r="T2199" s="81" t="n">
        <x:v>1.1216401706270078e-39</x:v>
      </x:c>
    </x:row>
    <x:row r="2200">
      <x:c r="A2200" s="59" t="n">
        <x:v>2197</x:v>
      </x:c>
      <x:c r="B2200" s="193" t="n">
        <x:v>0.3753063896670938</x:v>
      </x:c>
      <x:c r="C2200" s="83" t="n">
        <x:v>0.13820163124514334</x:v>
      </x:c>
      <x:c r="D2200" s="83" t="n">
        <x:v>1.2239611317206918</x:v>
      </x:c>
      <x:c r="E2200" s="81" t="n">
        <x:v>-0.0071115298113476055</x:v>
      </x:c>
      <x:c r="F2200" s="81" t="n">
        <x:v>0.7833292482071557</x:v>
      </x:c>
      <x:c r="G2200" s="81" t="n">
        <x:v>0.015522044885089984</x:v>
      </x:c>
      <x:c r="H2200" s="59" t="n">
        <x:v>8</x:v>
      </x:c>
      <x:c r="I2200" s="81" t="n">
        <x:v>0.3144756324589253</x:v>
      </x:c>
      <x:c r="J2200" s="79" t="n">
        <x:v>1.9668024583938875e-11</x:v>
      </x:c>
      <x:c r="K2200" s="81" t="n">
        <x:v>-0.9999999775222577</x:v>
      </x:c>
      <x:c r="L2200" s="81" t="n">
        <x:v>-0.9999999775222577</x:v>
      </x:c>
      <x:c r="M2200" s="80" t="n">
        <x:v>0.87565357414999</x:v>
      </x:c>
      <x:c r="N2200" s="82" t="n">
        <x:v>0.19149876901350796</x:v>
      </x:c>
      <x:c r="O2200" s="82" t="n">
        <x:v>0.14170372640892848</x:v>
      </x:c>
      <x:c r="P2200" s="80" t="n">
        <x:v>931.6776551246816</x:v>
      </x:c>
      <x:c r="Q2200" s="81" t="n">
        <x:v>6.327333231634705</x:v>
      </x:c>
      <x:c r="R2200" s="81" t="n">
        <x:v>35.98719020064393</x:v>
      </x:c>
      <x:c r="S2200" s="81" t="n">
        <x:v>0.0005104355619133176</x:v>
      </x:c>
      <x:c r="T2200" s="81" t="n">
        <x:v>4.2605235209658435e-7</x:v>
      </x:c>
    </x:row>
    <x:row r="2201">
      <x:c r="A2201" s="59" t="n">
        <x:v>2198</x:v>
      </x:c>
      <x:c r="B2201" s="193" t="n">
        <x:v>0.3875894032418728</x:v>
      </x:c>
      <x:c r="C2201" s="83" t="n">
        <x:v>0.3305116270778623</x:v>
      </x:c>
      <x:c r="D2201" s="83" t="n">
        <x:v>1.1830502972375403</x:v>
      </x:c>
      <x:c r="E2201" s="81" t="n">
        <x:v>-0.05511187874480374</x:v>
      </x:c>
      <x:c r="F2201" s="81" t="n">
        <x:v>0.5619145561940968</x:v>
      </x:c>
      <x:c r="G2201" s="81" t="n">
        <x:v>-0.016817376757951762</x:v>
      </x:c>
      <x:c r="H2201" s="59" t="n">
        <x:v>81</x:v>
      </x:c>
      <x:c r="I2201" s="81" t="n">
        <x:v>0.4947510315105319</x:v>
      </x:c>
      <x:c r="J2201" s="79" t="n">
        <x:v>5.677459396417664e-31</x:v>
      </x:c>
      <x:c r="K2201" s="81" t="n">
        <x:v>-1</x:v>
      </x:c>
      <x:c r="L2201" s="81" t="n">
        <x:v>-1</x:v>
      </x:c>
      <x:c r="M2201" s="80" t="n">
        <x:v>0.000002</x:v>
      </x:c>
      <x:c r="N2201" s="82" t="n">
        <x:v>0.19442481315352478</x:v>
      </x:c>
      <x:c r="O2201" s="82" t="n">
        <x:v>0.10320314083223742</x:v>
      </x:c>
      <x:c r="P2201" s="80" t="n">
        <x:v>384.48890425128934</x:v>
      </x:c>
      <x:c r="Q2201" s="81" t="n">
        <x:v>68123046303856.19</x:v>
      </x:c>
      <x:c r="R2201" s="81" t="n">
        <x:v>7.050121173180643</x:v>
      </x:c>
      <x:c r="S2201" s="81" t="n">
        <x:v>6.336819511720269e-10</x:v>
      </x:c>
      <x:c r="T2201" s="81" t="n">
        <x:v>1.2298616566464414e-26</x:v>
      </x:c>
    </x:row>
    <x:row r="2202">
      <x:c r="A2202" s="59" t="n">
        <x:v>2199</x:v>
      </x:c>
      <x:c r="B2202" s="193" t="n">
        <x:v>0.6967977710068226</x:v>
      </x:c>
      <x:c r="C2202" s="83" t="n">
        <x:v>2.615165842672467</x:v>
      </x:c>
      <x:c r="D2202" s="83" t="n">
        <x:v>2.122850090373525</x:v>
      </x:c>
      <x:c r="E2202" s="81" t="n">
        <x:v>0.2</x:v>
      </x:c>
      <x:c r="F2202" s="81" t="n">
        <x:v>0.4169226607657038</x:v>
      </x:c>
      <x:c r="G2202" s="81" t="n">
        <x:v>-0.02386835401735989</x:v>
      </x:c>
      <x:c r="H2202" s="59" t="n">
        <x:v>18</x:v>
      </x:c>
      <x:c r="I2202" s="81" t="n">
        <x:v>0.20490140588954092</x:v>
      </x:c>
      <x:c r="J2202" s="79" t="n">
        <x:v>1.097816280276121</x:v>
      </x:c>
      <x:c r="K2202" s="81" t="n">
        <x:v>1253.6471774584243</x:v>
      </x:c>
      <x:c r="L2202" s="81" t="n">
        <x:v>-0.9776252265598506</x:v>
      </x:c>
      <x:c r="M2202" s="80" t="n">
        <x:v>1599954.9069760279</x:v>
      </x:c>
      <x:c r="N2202" s="82" t="n">
        <x:v>0.2680840440120314</x:v>
      </x:c>
      <x:c r="O2202" s="82" t="n">
        <x:v>0.10558382926328617</x:v>
      </x:c>
      <x:c r="P2202" s="80" t="n">
        <x:v>3313206.4087066404</x:v>
      </x:c>
      <x:c r="Q2202" s="81" t="n">
        <x:v>0.002070315582422106</x:v>
      </x:c>
      <x:c r="R2202" s="81" t="n">
        <x:v>5705.50627598651</x:v>
      </x:c>
      <x:c r="S2202" s="81" t="n">
        <x:v>8137.038834773316</x:v>
      </x:c>
      <x:c r="T2202" s="81" t="n">
        <x:v>23781.09740433799</x:v>
      </x:c>
    </x:row>
    <x:row r="2203">
      <x:c r="A2203" s="59" t="n">
        <x:v>2200</x:v>
      </x:c>
      <x:c r="B2203" s="193" t="n">
        <x:v>0.26542800497263674</x:v>
      </x:c>
      <x:c r="C2203" s="83" t="n">
        <x:v>0.3065850203842411</x:v>
      </x:c>
      <x:c r="D2203" s="83" t="n">
        <x:v>0.19436850541384562</x:v>
      </x:c>
      <x:c r="E2203" s="81" t="n">
        <x:v>0.06041883487551503</x:v>
      </x:c>
      <x:c r="F2203" s="81" t="n">
        <x:v>0.44576860886299985</x:v>
      </x:c>
      <x:c r="G2203" s="81" t="n">
        <x:v>-0.03626049961964805</x:v>
      </x:c>
      <x:c r="H2203" s="59" t="n">
        <x:v>0</x:v>
      </x:c>
      <x:c r="I2203" s="81" t="n">
        <x:v>0</x:v>
      </x:c>
      <x:c r="J2203" s="79" t="n">
        <x:v>0.00009058735997912068</x:v>
      </x:c>
      <x:c r="K2203" s="81" t="n">
        <x:v>-0.8964715885952906</x:v>
      </x:c>
      <x:c r="L2203" s="81" t="n">
        <x:v>-0.9078393428331258</x:v>
      </x:c>
      <x:c r="M2203" s="80" t="n">
        <x:v>2196.1246673380447</x:v>
      </x:c>
      <x:c r="N2203" s="82" t="n">
        <x:v>0.16532367755957528</x:v>
      </x:c>
      <x:c r="O2203" s="82" t="n">
        <x:v>0.06961702837853859</x:v>
      </x:c>
      <x:c r="P2203" s="80" t="n">
        <x:v>1180.5915100507268</x:v>
      </x:c>
      <x:c r="Q2203" s="81" t="n">
        <x:v>0.0022418305301776494</x:v>
      </x:c>
      <x:c r="R2203" s="81" t="n">
        <x:v>66.35245392714737</x:v>
      </x:c>
      <x:c r="S2203" s="81" t="n">
        <x:v>5.5831968866931065</x:v>
      </x:c>
      <x:c r="T2203" s="81" t="n">
        <x:v>1.9623199892093601</x:v>
      </x:c>
    </x:row>
    <x:row r="2204">
      <x:c r="A2204" s="59" t="n">
        <x:v>2201</x:v>
      </x:c>
      <x:c r="B2204" s="193" t="n">
        <x:v>0.40048777982592587</x:v>
      </x:c>
      <x:c r="C2204" s="83" t="n">
        <x:v>0.3678509280768888</x:v>
      </x:c>
      <x:c r="D2204" s="83" t="n">
        <x:v>0.5351902270431552</x:v>
      </x:c>
      <x:c r="E2204" s="81" t="n">
        <x:v>0.11843266629237086</x:v>
      </x:c>
      <x:c r="F2204" s="81" t="n">
        <x:v>0.3524942360119894</x:v>
      </x:c>
      <x:c r="G2204" s="81" t="n">
        <x:v>-0.04039133871635747</x:v>
      </x:c>
      <x:c r="H2204" s="59" t="n">
        <x:v>0</x:v>
      </x:c>
      <x:c r="I2204" s="81" t="n">
        <x:v>0</x:v>
      </x:c>
      <x:c r="J2204" s="79" t="n">
        <x:v>0.0032866137476622185</x:v>
      </x:c>
      <x:c r="K2204" s="81" t="n">
        <x:v>2.7561299973282503</x:v>
      </x:c>
      <x:c r="L2204" s="81" t="n">
        <x:v>-0.742663146146586</x:v>
      </x:c>
      <x:c r="M2204" s="80" t="n">
        <x:v>16116.588736390626</x:v>
      </x:c>
      <x:c r="N2204" s="82" t="n">
        <x:v>0.19749744830040714</x:v>
      </x:c>
      <x:c r="O2204" s="82" t="n">
        <x:v>0.06576342909486475</x:v>
      </x:c>
      <x:c r="P2204" s="80" t="n">
        <x:v>16745.283533860395</x:v>
      </x:c>
      <x:c r="Q2204" s="81" t="n">
        <x:v>0.00137749175157835</x:v>
      </x:c>
      <x:c r="R2204" s="81" t="n">
        <x:v>497.8378884275851</x:v>
      </x:c>
      <x:c r="S2204" s="81" t="n">
        <x:v>167.7517070900512</x:v>
      </x:c>
      <x:c r="T2204" s="81" t="n">
        <x:v>71.1952291725288</x:v>
      </x:c>
    </x:row>
    <x:row r="2205">
      <x:c r="A2205" s="59" t="n">
        <x:v>2202</x:v>
      </x:c>
      <x:c r="B2205" s="193" t="n">
        <x:v>0.6522366525605321</x:v>
      </x:c>
      <x:c r="C2205" s="83" t="n">
        <x:v>0.4032311409207483</x:v>
      </x:c>
      <x:c r="D2205" s="83" t="n">
        <x:v>0.8146584838980246</x:v>
      </x:c>
      <x:c r="E2205" s="81" t="n">
        <x:v>0.07739026934942912</x:v>
      </x:c>
      <x:c r="F2205" s="81" t="n">
        <x:v>0.8294231908395887</x:v>
      </x:c>
      <x:c r="G2205" s="81" t="n">
        <x:v>-0.004579289167152883</x:v>
      </x:c>
      <x:c r="H2205" s="59" t="n">
        <x:v>0</x:v>
      </x:c>
      <x:c r="I2205" s="81" t="n">
        <x:v>0</x:v>
      </x:c>
      <x:c r="J2205" s="79" t="n">
        <x:v>0.0008723191037271282</x:v>
      </x:c>
      <x:c r="K2205" s="81" t="n">
        <x:v>-0.003063881454710482</x:v>
      </x:c>
      <x:c r="L2205" s="81" t="n">
        <x:v>-0.8141739150005223</x:v>
      </x:c>
      <x:c r="M2205" s="80" t="n">
        <x:v>8891.137581603001</x:v>
      </x:c>
      <x:c r="N2205" s="82" t="n">
        <x:v>0.25746875007715425</x:v>
      </x:c>
      <x:c r="O2205" s="82" t="n">
        <x:v>0.20173053517551037</x:v>
      </x:c>
      <x:c r="P2205" s="80" t="n">
        <x:v>13597.515728131193</x:v>
      </x:c>
      <x:c r="Q2205" s="81" t="n">
        <x:v>0.006240762150362098</x:v>
      </x:c>
      <x:c r="R2205" s="81" t="n">
        <x:v>118.43180314540137</x:v>
      </x:c>
      <x:c r="S2205" s="81" t="n">
        <x:v>42.44850562447333</x:v>
      </x:c>
      <x:c r="T2205" s="81" t="n">
        <x:v>18.896336250526335</x:v>
      </x:c>
    </x:row>
    <x:row r="2206">
      <x:c r="A2206" s="59" t="n">
        <x:v>2203</x:v>
      </x:c>
      <x:c r="B2206" s="193" t="n">
        <x:v>0.6490031788125634</x:v>
      </x:c>
      <x:c r="C2206" s="83" t="n">
        <x:v>1.686094909823098</x:v>
      </x:c>
      <x:c r="D2206" s="83" t="n">
        <x:v>3</x:v>
      </x:c>
      <x:c r="E2206" s="81" t="n">
        <x:v>-0.08601230935628554</x:v>
      </x:c>
      <x:c r="F2206" s="81" t="n">
        <x:v>0.7883628779090941</x:v>
      </x:c>
      <x:c r="G2206" s="81" t="n">
        <x:v>-0.016384536654033176</x:v>
      </x:c>
      <x:c r="H2206" s="59" t="n">
        <x:v>0</x:v>
      </x:c>
      <x:c r="I2206" s="81" t="n">
        <x:v>0</x:v>
      </x:c>
      <x:c r="J2206" s="79" t="n">
        <x:v>3.4712738058608084e-74</x:v>
      </x:c>
      <x:c r="K2206" s="81" t="n">
        <x:v>-1</x:v>
      </x:c>
      <x:c r="L2206" s="81" t="n">
        <x:v>-1</x:v>
      </x:c>
      <x:c r="M2206" s="80" t="n">
        <x:v>0.000002</x:v>
      </x:c>
      <x:c r="N2206" s="82" t="n">
        <x:v>0.2566984760027554</x:v>
      </x:c>
      <x:c r="O2206" s="82" t="n">
        <x:v>0.19117028973918251</x:v>
      </x:c>
      <x:c r="P2206" s="80" t="n">
        <x:v>706.2242313526929</x:v>
      </x:c>
      <x:c r="Q2206" s="81" t="n">
        <x:v>7.348184792678569e+56</x:v>
      </x:c>
      <x:c r="R2206" s="81" t="n">
        <x:v>0.9298848724559587</x:v>
      </x:c>
      <x:c r="S2206" s="81" t="n">
        <x:v>8.002255308008237e-10</x:v>
      </x:c>
      <x:c r="T2206" s="81" t="n">
        <x:v>7.519536918649073e-70</x:v>
      </x:c>
    </x:row>
    <x:row r="2207">
      <x:c r="A2207" s="59" t="n">
        <x:v>2204</x:v>
      </x:c>
      <x:c r="B2207" s="193" t="n">
        <x:v>0.967637250199914</x:v>
      </x:c>
      <x:c r="C2207" s="83" t="n">
        <x:v>0.3207330433156403</x:v>
      </x:c>
      <x:c r="D2207" s="83" t="n">
        <x:v>0.5646093988402668</x:v>
      </x:c>
      <x:c r="E2207" s="81" t="n">
        <x:v>0.02769476973632607</x:v>
      </x:c>
      <x:c r="F2207" s="81" t="n">
        <x:v>0.6482732367236168</x:v>
      </x:c>
      <x:c r="G2207" s="81" t="n">
        <x:v>0.004922393788095396</x:v>
      </x:c>
      <x:c r="H2207" s="59" t="n">
        <x:v>0</x:v>
      </x:c>
      <x:c r="I2207" s="81" t="n">
        <x:v>0</x:v>
      </x:c>
      <x:c r="J2207" s="79" t="n">
        <x:v>0.00004765143647001998</x:v>
      </x:c>
      <x:c r="K2207" s="81" t="n">
        <x:v>-0.9455412154628343</x:v>
      </x:c>
      <x:c r="L2207" s="81" t="n">
        <x:v>-0.9605403045135121</x:v>
      </x:c>
      <x:c r="M2207" s="80" t="n">
        <x:v>1656.6326200446656</x:v>
      </x:c>
      <x:c r="N2207" s="82" t="n">
        <x:v>0.3326030861960608</x:v>
      </x:c>
      <x:c r="O2207" s="82" t="n">
        <x:v>0.2036832467562393</x:v>
      </x:c>
      <x:c r="P2207" s="80" t="n">
        <x:v>2445.429069087509</x:v>
      </x:c>
      <x:c r="Q2207" s="81" t="n">
        <x:v>0.014755668625926264</x:v>
      </x:c>
      <x:c r="R2207" s="81" t="n">
        <x:v>37.57476467301994</x:v>
      </x:c>
      <x:c r="S2207" s="81" t="n">
        <x:v>3.0961071824628688</x:v>
      </x:c>
      <x:c r="T2207" s="81" t="n">
        <x:v>1.0322341474706016</x:v>
      </x:c>
    </x:row>
    <x:row r="2208">
      <x:c r="A2208" s="59" t="n">
        <x:v>2205</x:v>
      </x:c>
      <x:c r="B2208" s="193" t="n">
        <x:v>0.297768253646791</x:v>
      </x:c>
      <x:c r="C2208" s="83" t="n">
        <x:v>0.10179196793176529</x:v>
      </x:c>
      <x:c r="D2208" s="83" t="n">
        <x:v>0.9762329392561259</x:v>
      </x:c>
      <x:c r="E2208" s="81" t="n">
        <x:v>0.09863821577609529</x:v>
      </x:c>
      <x:c r="F2208" s="81" t="n">
        <x:v>0.3921736976481043</x:v>
      </x:c>
      <x:c r="G2208" s="81" t="n">
        <x:v>-0.0032426892933721183</x:v>
      </x:c>
      <x:c r="H2208" s="59" t="n">
        <x:v>31</x:v>
      </x:c>
      <x:c r="I2208" s="81" t="n">
        <x:v>0.14893689611926675</x:v>
      </x:c>
      <x:c r="J2208" s="79" t="n">
        <x:v>0.014133492683386052</x:v>
      </x:c>
      <x:c r="K2208" s="81" t="n">
        <x:v>15.15256306672692</x:v>
      </x:c>
      <x:c r="L2208" s="81" t="n">
        <x:v>-0.8812171410190491</x:v>
      </x:c>
      <x:c r="M2208" s="80" t="n">
        <x:v>31174.873527509753</x:v>
      </x:c>
      <x:c r="N2208" s="82" t="n">
        <x:v>0.17302773117342132</x:v>
      </x:c>
      <x:c r="O2208" s="82" t="n">
        <x:v>0.06410104623402844</x:v>
      </x:c>
      <x:c r="P2208" s="80" t="n">
        <x:v>49531.184372381875</x:v>
      </x:c>
      <x:c r="Q2208" s="81" t="n">
        <x:v>0.0017380804319715353</x:v>
      </x:c>
      <x:c r="R2208" s="81" t="n">
        <x:v>3428.4202596396517</x:v>
      </x:c>
      <x:c r="S2208" s="81" t="n">
        <x:v>2590.612086748315</x:v>
      </x:c>
      <x:c r="T2208" s="81" t="n">
        <x:v>306.1623080344228</x:v>
      </x:c>
    </x:row>
    <x:row r="2209">
      <x:c r="A2209" s="59" t="n">
        <x:v>2206</x:v>
      </x:c>
      <x:c r="B2209" s="193" t="n">
        <x:v>0.28811560124158864</x:v>
      </x:c>
      <x:c r="C2209" s="83" t="n">
        <x:v>0.3308319050839307</x:v>
      </x:c>
      <x:c r="D2209" s="83" t="n">
        <x:v>0.2813549318665885</x:v>
      </x:c>
      <x:c r="E2209" s="81" t="n">
        <x:v>0.09025358261188808</x:v>
      </x:c>
      <x:c r="F2209" s="81" t="n">
        <x:v>0.4307601674110629</x:v>
      </x:c>
      <x:c r="G2209" s="81" t="n">
        <x:v>0.01641942269655434</x:v>
      </x:c>
      <x:c r="H2209" s="59" t="n">
        <x:v>0</x:v>
      </x:c>
      <x:c r="I2209" s="81" t="n">
        <x:v>0</x:v>
      </x:c>
      <x:c r="J2209" s="79" t="n">
        <x:v>0.001504709844963236</x:v>
      </x:c>
      <x:c r="K2209" s="81" t="n">
        <x:v>0.7196683942436986</x:v>
      </x:c>
      <x:c r="L2209" s="81" t="n">
        <x:v>-0.6356592352828401</x:v>
      </x:c>
      <x:c r="M2209" s="80" t="n">
        <x:v>9791.973779518707</x:v>
      </x:c>
      <x:c r="N2209" s="82" t="n">
        <x:v>0.1707282883832697</x:v>
      </x:c>
      <x:c r="O2209" s="82" t="n">
        <x:v>0.06947234609001077</x:v>
      </x:c>
      <x:c r="P2209" s="80" t="n">
        <x:v>5889.943107359428</x:v>
      </x:c>
      <x:c r="Q2209" s="81" t="n">
        <x:v>0.0017880340816444013</x:v>
      </x:c>
      <x:c r="R2209" s="81" t="n">
        <x:v>118.17442558266153</x:v>
      </x:c>
      <x:c r="S2209" s="81" t="n">
        <x:v>85.64529457363328</x:v>
      </x:c>
      <x:c r="T2209" s="81" t="n">
        <x:v>32.5953003532948</x:v>
      </x:c>
    </x:row>
    <x:row r="2210">
      <x:c r="A2210" s="59" t="n">
        <x:v>2207</x:v>
      </x:c>
      <x:c r="B2210" s="193" t="n">
        <x:v>0.5051390809938312</x:v>
      </x:c>
      <x:c r="C2210" s="83" t="n">
        <x:v>0.1877423661753621</x:v>
      </x:c>
      <x:c r="D2210" s="83" t="n">
        <x:v>1.6645542304187178</x:v>
      </x:c>
      <x:c r="E2210" s="81" t="n">
        <x:v>-0.06356976478129794</x:v>
      </x:c>
      <x:c r="F2210" s="81" t="n">
        <x:v>0.5783318987349049</x:v>
      </x:c>
      <x:c r="G2210" s="81" t="n">
        <x:v>-0.009217990616796519</x:v>
      </x:c>
      <x:c r="H2210" s="59" t="n">
        <x:v>0</x:v>
      </x:c>
      <x:c r="I2210" s="81" t="n">
        <x:v>0</x:v>
      </x:c>
      <x:c r="J2210" s="79" t="n">
        <x:v>3.989596701524817e-42</x:v>
      </x:c>
      <x:c r="K2210" s="81" t="n">
        <x:v>-1</x:v>
      </x:c>
      <x:c r="L2210" s="81" t="n">
        <x:v>-1</x:v>
      </x:c>
      <x:c r="M2210" s="80" t="n">
        <x:v>0.000002</x:v>
      </x:c>
      <x:c r="N2210" s="82" t="n">
        <x:v>0.2224273504504991</x:v>
      </x:c>
      <x:c r="O2210" s="82" t="n">
        <x:v>0.12151678689087977</x:v>
      </x:c>
      <x:c r="P2210" s="80" t="n">
        <x:v>325.1714606099177</x:v>
      </x:c>
      <x:c r="Q2210" s="81" t="n">
        <x:v>8.471907067442726e+24</x:v>
      </x:c>
      <x:c r="R2210" s="81" t="n">
        <x:v>7.441320479674018</x:v>
      </x:c>
      <x:c r="S2210" s="81" t="n">
        <x:v>1.096848984116501e-9</x:v>
      </x:c>
      <x:c r="T2210" s="81" t="n">
        <x:v>8.642337471905947e-38</x:v>
      </x:c>
    </x:row>
    <x:row r="2211">
      <x:c r="A2211" s="59" t="n">
        <x:v>2208</x:v>
      </x:c>
      <x:c r="B2211" s="193" t="n">
        <x:v>0.4180402958765626</x:v>
      </x:c>
      <x:c r="C2211" s="83" t="n">
        <x:v>1.5071821332662065</x:v>
      </x:c>
      <x:c r="D2211" s="83" t="n">
        <x:v>0.3187534772896147</x:v>
      </x:c>
      <x:c r="E2211" s="81" t="n">
        <x:v>0.08586751461357282</x:v>
      </x:c>
      <x:c r="F2211" s="81" t="n">
        <x:v>0.676015855523292</x:v>
      </x:c>
      <x:c r="G2211" s="81" t="n">
        <x:v>0.018121083577173288</x:v>
      </x:c>
      <x:c r="H2211" s="59" t="n">
        <x:v>27</x:v>
      </x:c>
      <x:c r="I2211" s="81" t="n">
        <x:v>0.37347847577184445</x:v>
      </x:c>
      <x:c r="J2211" s="79" t="n">
        <x:v>0.0018963208413704151</x:v>
      </x:c>
      <x:c r="K2211" s="81" t="n">
        <x:v>1.1672238187090462</x:v>
      </x:c>
      <x:c r="L2211" s="81" t="n">
        <x:v>-0.6273589850793304</x:v>
      </x:c>
      <x:c r="M2211" s="80" t="n">
        <x:v>20899.686564769432</x:v>
      </x:c>
      <x:c r="N2211" s="82" t="n">
        <x:v>0.2016787867333449</x:v>
      </x:c>
      <x:c r="O2211" s="82" t="n">
        <x:v>0.12879174990642933</x:v>
      </x:c>
      <x:c r="P2211" s="80" t="n">
        <x:v>13706.115622368661</x:v>
      </x:c>
      <x:c r="Q2211" s="81" t="n">
        <x:v>0.00357170004584791</x:v>
      </x:c>
      <x:c r="R2211" s="81" t="n">
        <x:v>26.854200224318614</x:v>
      </x:c>
      <x:c r="S2211" s="81" t="n">
        <x:v>24.920417427224976</x:v>
      </x:c>
      <x:c r="T2211" s="81" t="n">
        <x:v>41.07844950811204</x:v>
      </x:c>
    </x:row>
    <x:row r="2212">
      <x:c r="A2212" s="59" t="n">
        <x:v>2209</x:v>
      </x:c>
      <x:c r="B2212" s="193" t="n">
        <x:v>0.29534254502505064</x:v>
      </x:c>
      <x:c r="C2212" s="83" t="n">
        <x:v>0.17209045347253452</x:v>
      </x:c>
      <x:c r="D2212" s="83" t="n">
        <x:v>0.9110793910683479</x:v>
      </x:c>
      <x:c r="E2212" s="81" t="n">
        <x:v>-0.039569053838547315</x:v>
      </x:c>
      <x:c r="F2212" s="81" t="n">
        <x:v>0.6265540919615887</x:v>
      </x:c>
      <x:c r="G2212" s="81" t="n">
        <x:v>0.03343398647145306</x:v>
      </x:c>
      <x:c r="H2212" s="59" t="n">
        <x:v>0</x:v>
      </x:c>
      <x:c r="I2212" s="81" t="n">
        <x:v>0</x:v>
      </x:c>
      <x:c r="J2212" s="79" t="n">
        <x:v>7.539544253891093e-27</x:v>
      </x:c>
      <x:c r="K2212" s="81" t="n">
        <x:v>-1</x:v>
      </x:c>
      <x:c r="L2212" s="81" t="n">
        <x:v>-1</x:v>
      </x:c>
      <x:c r="M2212" s="80" t="n">
        <x:v>0.000002</x:v>
      </x:c>
      <x:c r="N2212" s="82" t="n">
        <x:v>0.17244988189768637</x:v>
      </x:c>
      <x:c r="O2212" s="82" t="n">
        <x:v>0.102068660136065</x:v>
      </x:c>
      <x:c r="P2212" s="80" t="n">
        <x:v>411.28525847921895</x:v>
      </x:c>
      <x:c r="Q2212" s="81" t="n">
        <x:v>7039590289.206116</x:v>
      </x:c>
      <x:c r="R2212" s="81" t="n">
        <x:v>20.75201243802324</x:v>
      </x:c>
      <x:c r="S2212" s="81" t="n">
        <x:v>1.0159504749654428e-9</x:v>
      </x:c>
      <x:c r="T2212" s="81" t="n">
        <x:v>1.6332298901689083e-22</x:v>
      </x:c>
    </x:row>
    <x:row r="2213">
      <x:c r="A2213" s="59" t="n">
        <x:v>2210</x:v>
      </x:c>
      <x:c r="B2213" s="193" t="n">
        <x:v>0.2914143012836576</x:v>
      </x:c>
      <x:c r="C2213" s="83" t="n">
        <x:v>0.18917103353747702</x:v>
      </x:c>
      <x:c r="D2213" s="83" t="n">
        <x:v>0.10501915238094575</x:v>
      </x:c>
      <x:c r="E2213" s="81" t="n">
        <x:v>-0.009091605974986757</x:v>
      </x:c>
      <x:c r="F2213" s="81" t="n">
        <x:v>0.5746311100083403</x:v>
      </x:c>
      <x:c r="G2213" s="81" t="n">
        <x:v>0.002032549661698776</x:v>
      </x:c>
      <x:c r="H2213" s="59" t="n">
        <x:v>0</x:v>
      </x:c>
      <x:c r="I2213" s="81" t="n">
        <x:v>0</x:v>
      </x:c>
      <x:c r="J2213" s="79" t="n">
        <x:v>5.295734756562114e-7</x:v>
      </x:c>
      <x:c r="K2213" s="81" t="n">
        <x:v>-0.9993947731706786</x:v>
      </x:c>
      <x:c r="L2213" s="81" t="n">
        <x:v>-0.9993947731706786</x:v>
      </x:c>
      <x:c r="M2213" s="80" t="n">
        <x:v>147.90309948216031</x:v>
      </x:c>
      <x:c r="N2213" s="82" t="n">
        <x:v>0.17151410058391617</x:v>
      </x:c>
      <x:c r="O2213" s="82" t="n">
        <x:v>0.09310219211646288</x:v>
      </x:c>
      <x:c r="P2213" s="80" t="n">
        <x:v>211.46529911163256</x:v>
      </x:c>
      <x:c r="Q2213" s="81" t="n">
        <x:v>0.010132595689614266</x:v>
      </x:c>
      <x:c r="R2213" s="81" t="n">
        <x:v>52.865557493713744</x:v>
      </x:c>
      <x:c r="S2213" s="81" t="n">
        <x:v>0.05791359975214099</x:v>
      </x:c>
      <x:c r="T2213" s="81" t="n">
        <x:v>0.011471717657681839</x:v>
      </x:c>
    </x:row>
    <x:row r="2214">
      <x:c r="A2214" s="59" t="n">
        <x:v>2211</x:v>
      </x:c>
      <x:c r="B2214" s="193" t="n">
        <x:v>0.7576504591852427</x:v>
      </x:c>
      <x:c r="C2214" s="83" t="n">
        <x:v>0.5077620119351945</x:v>
      </x:c>
      <x:c r="D2214" s="83" t="n">
        <x:v>0.4562022362990387</x:v>
      </x:c>
      <x:c r="E2214" s="81" t="n">
        <x:v>-0.06023431502632675</x:v>
      </x:c>
      <x:c r="F2214" s="81" t="n">
        <x:v>0.2508629097952507</x:v>
      </x:c>
      <x:c r="G2214" s="81" t="n">
        <x:v>-0.026095430623600507</x:v>
      </x:c>
      <x:c r="H2214" s="59" t="n">
        <x:v>0</x:v>
      </x:c>
      <x:c r="I2214" s="81" t="n">
        <x:v>0</x:v>
      </x:c>
      <x:c r="J2214" s="79" t="n">
        <x:v>1.5363610241305324e-18</x:v>
      </x:c>
      <x:c r="K2214" s="81" t="n">
        <x:v>-0.9999999999999982</x:v>
      </x:c>
      <x:c r="L2214" s="81" t="n">
        <x:v>-0.9999999999999982</x:v>
      </x:c>
      <x:c r="M2214" s="80" t="n">
        <x:v>0.00033206934147156033</x:v>
      </x:c>
      <x:c r="N2214" s="82" t="n">
        <x:v>0.28258029532403456</x:v>
      </x:c>
      <x:c r="O2214" s="82" t="n">
        <x:v>0.06696521567839465</x:v>
      </x:c>
      <x:c r="P2214" s="80" t="n">
        <x:v>354.0244166553588</x:v>
      </x:c>
      <x:c r="Q2214" s="81" t="n">
        <x:v>3842.8898001915377</x:v>
      </x:c>
      <x:c r="R2214" s="81" t="n">
        <x:v>9.890860576268071</x:v>
      </x:c>
      <x:c r="S2214" s="81" t="n">
        <x:v>3.315973517120053e-8</x:v>
      </x:c>
      <x:c r="T2214" s="81" t="n">
        <x:v>3.3280933995519807e-14</x:v>
      </x:c>
    </x:row>
    <x:row r="2215">
      <x:c r="A2215" s="59" t="n">
        <x:v>2212</x:v>
      </x:c>
      <x:c r="B2215" s="193" t="n">
        <x:v>0.6661999108269812</x:v>
      </x:c>
      <x:c r="C2215" s="83" t="n">
        <x:v>0.3243341046465747</x:v>
      </x:c>
      <x:c r="D2215" s="83" t="n">
        <x:v>0.2327391545907572</x:v>
      </x:c>
      <x:c r="E2215" s="81" t="n">
        <x:v>-0.006611355489710443</x:v>
      </x:c>
      <x:c r="F2215" s="81" t="n">
        <x:v>0.292840813298244</x:v>
      </x:c>
      <x:c r="G2215" s="81" t="n">
        <x:v>0.014586254435196606</x:v>
      </x:c>
      <x:c r="H2215" s="59" t="n">
        <x:v>0</x:v>
      </x:c>
      <x:c r="I2215" s="81" t="n">
        <x:v>0</x:v>
      </x:c>
      <x:c r="J2215" s="79" t="n">
        <x:v>5.513491792367577e-7</x:v>
      </x:c>
      <x:c r="K2215" s="81" t="n">
        <x:v>-0.9993698866523009</x:v>
      </x:c>
      <x:c r="L2215" s="81" t="n">
        <x:v>-0.9993698866523009</x:v>
      </x:c>
      <x:c r="M2215" s="80" t="n">
        <x:v>168.05821686156398</x:v>
      </x:c>
      <x:c r="N2215" s="82" t="n">
        <x:v>0.2607950600073148</x:v>
      </x:c>
      <x:c r="O2215" s="82" t="n">
        <x:v>0.07214428056206404</x:v>
      </x:c>
      <x:c r="P2215" s="80" t="n">
        <x:v>588.239650992926</x:v>
      </x:c>
      <x:c r="Q2215" s="81" t="n">
        <x:v>0.023903229935580455</x:v>
      </x:c>
      <x:c r="R2215" s="81" t="n">
        <x:v>34.985112657568784</x:v>
      </x:c>
      <x:c r="S2215" s="81" t="n">
        <x:v>0.04710315779717581</x:v>
      </x:c>
      <x:c r="T2215" s="81" t="n">
        <x:v>0.011943426938370149</x:v>
      </x:c>
    </x:row>
    <x:row r="2216">
      <x:c r="A2216" s="59" t="n">
        <x:v>2213</x:v>
      </x:c>
      <x:c r="B2216" s="193" t="n">
        <x:v>0.8023459589108826</x:v>
      </x:c>
      <x:c r="C2216" s="83" t="n">
        <x:v>1.1867025699880398</x:v>
      </x:c>
      <x:c r="D2216" s="83" t="n">
        <x:v>1.165844569868009</x:v>
      </x:c>
      <x:c r="E2216" s="81" t="n">
        <x:v>0.03510753350075141</x:v>
      </x:c>
      <x:c r="F2216" s="81" t="n">
        <x:v>0.6405191627214664</x:v>
      </x:c>
      <x:c r="G2216" s="81" t="n">
        <x:v>-0.032184030760330634</x:v>
      </x:c>
      <x:c r="H2216" s="59" t="n">
        <x:v>71</x:v>
      </x:c>
      <x:c r="I2216" s="81" t="n">
        <x:v>0.2831803453154862</x:v>
      </x:c>
      <x:c r="J2216" s="79" t="n">
        <x:v>0.0005493199201101353</x:v>
      </x:c>
      <x:c r="K2216" s="81" t="n">
        <x:v>-0.37220580558841676</x:v>
      </x:c>
      <x:c r="L2216" s="81" t="n">
        <x:v>-0.8431496928543274</x:v>
      </x:c>
      <x:c r="M2216" s="80" t="n">
        <x:v>9948.841984541341</x:v>
      </x:c>
      <x:c r="N2216" s="82" t="n">
        <x:v>0.2932276013993017</x:v>
      </x:c>
      <x:c r="O2216" s="82" t="n">
        <x:v>0.17742218238214053</x:v>
      </x:c>
      <x:c r="P2216" s="80" t="n">
        <x:v>23322.289987529868</x:v>
      </x:c>
      <x:c r="Q2216" s="81" t="n">
        <x:v>0.011201201284133247</x:v>
      </x:c>
      <x:c r="R2216" s="81" t="n">
        <x:v>44.311455193046825</x:v>
      </x:c>
      <x:c r="S2216" s="81" t="n">
        <x:v>10.207198180310206</x:v>
      </x:c>
      <x:c r="T2216" s="81" t="n">
        <x:v>11.899468755370066</x:v>
      </x:c>
    </x:row>
    <x:row r="2217">
      <x:c r="A2217" s="59" t="n">
        <x:v>2214</x:v>
      </x:c>
      <x:c r="B2217" s="193" t="n">
        <x:v>0.8869478100910784</x:v>
      </x:c>
      <x:c r="C2217" s="83" t="n">
        <x:v>0.8942292849374527</x:v>
      </x:c>
      <x:c r="D2217" s="83" t="n">
        <x:v>0.4581419815775073</x:v>
      </x:c>
      <x:c r="E2217" s="81" t="n">
        <x:v>0.04541080249800256</x:v>
      </x:c>
      <x:c r="F2217" s="81" t="n">
        <x:v>0.33064402649179103</x:v>
      </x:c>
      <x:c r="G2217" s="81" t="n">
        <x:v>-0.007913086584711721</x:v>
      </x:c>
      <x:c r="H2217" s="59" t="n">
        <x:v>28</x:v>
      </x:c>
      <x:c r="I2217" s="81" t="n">
        <x:v>0.14778891261667015</x:v>
      </x:c>
      <x:c r="J2217" s="79" t="n">
        <x:v>0.0005730568338062722</x:v>
      </x:c>
      <x:c r="K2217" s="81" t="n">
        <x:v>-0.34507790422140305</x:v>
      </x:c>
      <x:c r="L2217" s="81" t="n">
        <x:v>-0.7080722246844784</x:v>
      </x:c>
      <x:c r="M2217" s="80" t="n">
        <x:v>8334.259889122972</x:v>
      </x:c>
      <x:c r="N2217" s="82" t="n">
        <x:v>0.31338134863513417</x:v>
      </x:c>
      <x:c r="O2217" s="82" t="n">
        <x:v>0.09788243577022797</x:v>
      </x:c>
      <x:c r="P2217" s="80" t="n">
        <x:v>8132.594844145111</x:v>
      </x:c>
      <x:c r="Q2217" s="81" t="n">
        <x:v>0.004690522654408295</x:v>
      </x:c>
      <x:c r="R2217" s="81" t="n">
        <x:v>35.011661703055104</x:v>
      </x:c>
      <x:c r="S2217" s="81" t="n">
        <x:v>12.734395619465488</x:v>
      </x:c>
      <x:c r="T2217" s="81" t="n">
        <x:v>12.413662128913606</x:v>
      </x:c>
    </x:row>
    <x:row r="2218">
      <x:c r="A2218" s="59" t="n">
        <x:v>2215</x:v>
      </x:c>
      <x:c r="B2218" s="193" t="n">
        <x:v>0.6059689098969102</x:v>
      </x:c>
      <x:c r="C2218" s="83" t="n">
        <x:v>0.10879264877815624</x:v>
      </x:c>
      <x:c r="D2218" s="83" t="n">
        <x:v>0.3593199449692557</x:v>
      </x:c>
      <x:c r="E2218" s="81" t="n">
        <x:v>0.00821350514407106</x:v>
      </x:c>
      <x:c r="F2218" s="81" t="n">
        <x:v>0.5209087875322439</x:v>
      </x:c>
      <x:c r="G2218" s="81" t="n">
        <x:v>0.016798545450289776</x:v>
      </x:c>
      <x:c r="H2218" s="59" t="n">
        <x:v>0</x:v>
      </x:c>
      <x:c r="I2218" s="81" t="n">
        <x:v>0</x:v>
      </x:c>
      <x:c r="J2218" s="79" t="n">
        <x:v>0.000004366870823084812</x:v>
      </x:c>
      <x:c r="K2218" s="81" t="n">
        <x:v>-0.9950092904879031</x:v>
      </x:c>
      <x:c r="L2218" s="81" t="n">
        <x:v>-0.995018896213134</x:v>
      </x:c>
      <x:c r="M2218" s="80" t="n">
        <x:v>400.37935596308523</x:v>
      </x:c>
      <x:c r="N2218" s="82" t="n">
        <x:v>0.2464469062545045</x:v>
      </x:c>
      <x:c r="O2218" s="82" t="n">
        <x:v>0.12127073126388693</x:v>
      </x:c>
      <x:c r="P2218" s="80" t="n">
        <x:v>778.0350037748204</x:v>
      </x:c>
      <x:c r="Q2218" s="81" t="n">
        <x:v>0.01978410197637503</x:v>
      </x:c>
      <x:c r="R2218" s="81" t="n">
        <x:v>90.16751944039258</x:v>
      </x:c>
      <x:c r="S2218" s="81" t="n">
        <x:v>0.8154375506407519</x:v>
      </x:c>
      <x:c r="T2218" s="81" t="n">
        <x:v>0.09459595586414658</x:v>
      </x:c>
    </x:row>
    <x:row r="2219">
      <x:c r="A2219" s="59" t="n">
        <x:v>2216</x:v>
      </x:c>
      <x:c r="B2219" s="193" t="n">
        <x:v>0.5261686507612466</x:v>
      </x:c>
      <x:c r="C2219" s="83" t="n">
        <x:v>0.14185607461986646</x:v>
      </x:c>
      <x:c r="D2219" s="83" t="n">
        <x:v>0.28534908209424126</x:v>
      </x:c>
      <x:c r="E2219" s="81" t="n">
        <x:v>0.0656181095005283</x:v>
      </x:c>
      <x:c r="F2219" s="81" t="n">
        <x:v>0.2743860572576523</x:v>
      </x:c>
      <x:c r="G2219" s="81" t="n">
        <x:v>0.013993461024283664</x:v>
      </x:c>
      <x:c r="H2219" s="59" t="n">
        <x:v>0</x:v>
      </x:c>
      <x:c r="I2219" s="81" t="n">
        <x:v>0</x:v>
      </x:c>
      <x:c r="J2219" s="79" t="n">
        <x:v>0.0007606906097184584</x:v>
      </x:c>
      <x:c r="K2219" s="81" t="n">
        <x:v>-0.1306393031789046</x:v>
      </x:c>
      <x:c r="L2219" s="81" t="n">
        <x:v>-0.6902254935858749</x:v>
      </x:c>
      <x:c r="M2219" s="80" t="n">
        <x:v>5799.801981468653</x:v>
      </x:c>
      <x:c r="N2219" s="82" t="n">
        <x:v>0.22743698827353073</x:v>
      </x:c>
      <x:c r="O2219" s="82" t="n">
        <x:v>0.058951393688260474</x:v>
      </x:c>
      <x:c r="P2219" s="80" t="n">
        <x:v>3666.56976891957</x:v>
      </x:c>
      <x:c r="Q2219" s="81" t="n">
        <x:v>0.0019888391497033513</x:v>
      </x:c>
      <x:c r="R2219" s="81" t="n">
        <x:v>203.08486143307988</x:v>
      </x:c>
      <x:c r="S2219" s="81" t="n">
        <x:v>100.36347126053897</x:v>
      </x:c>
      <x:c r="T2219" s="81" t="n">
        <x:v>16.478219360829602</x:v>
      </x:c>
    </x:row>
    <x:row r="2220">
      <x:c r="A2220" s="59" t="n">
        <x:v>2217</x:v>
      </x:c>
      <x:c r="B2220" s="193" t="n">
        <x:v>0.3886260133236647</x:v>
      </x:c>
      <x:c r="C2220" s="83" t="n">
        <x:v>2.62730218253141</x:v>
      </x:c>
      <x:c r="D2220" s="83" t="n">
        <x:v>0.47816010440999623</x:v>
      </x:c>
      <x:c r="E2220" s="81" t="n">
        <x:v>0.1434443125294329</x:v>
      </x:c>
      <x:c r="F2220" s="81" t="n">
        <x:v>0.8469657137407921</x:v>
      </x:c>
      <x:c r="G2220" s="81" t="n">
        <x:v>-0.00997751277722863</x:v>
      </x:c>
      <x:c r="H2220" s="59" t="n">
        <x:v>0</x:v>
      </x:c>
      <x:c r="I2220" s="81" t="n">
        <x:v>0</x:v>
      </x:c>
      <x:c r="J2220" s="79" t="n">
        <x:v>0.01028648244343942</x:v>
      </x:c>
      <x:c r="K2220" s="81" t="n">
        <x:v>10.755979935359338</x:v>
      </x:c>
      <x:c r="L2220" s="81" t="n">
        <x:v>-0.663799239966866</x:v>
      </x:c>
      <x:c r="M2220" s="80" t="n">
        <x:v>79538.97185254088</x:v>
      </x:c>
      <x:c r="N2220" s="82" t="n">
        <x:v>0.19467175311144683</x:v>
      </x:c>
      <x:c r="O2220" s="82" t="n">
        <x:v>0.15575418033756896</x:v>
      </x:c>
      <x:c r="P2220" s="80" t="n">
        <x:v>70176.16710511973</x:v>
      </x:c>
      <x:c r="Q2220" s="81" t="n">
        <x:v>0.002839166797285368</x:v>
      </x:c>
      <x:c r="R2220" s="81" t="n">
        <x:v>100.53595458921892</x:v>
      </x:c>
      <x:c r="S2220" s="81" t="n">
        <x:v>77.27052308007636</x:v>
      </x:c>
      <x:c r="T2220" s="81" t="n">
        <x:v>222.82766737064424</x:v>
      </x:c>
    </x:row>
    <x:row r="2221">
      <x:c r="A2221" s="59" t="n">
        <x:v>2218</x:v>
      </x:c>
      <x:c r="B2221" s="193" t="n">
        <x:v>0.5346624728292226</x:v>
      </x:c>
      <x:c r="C2221" s="83" t="n">
        <x:v>0.1188733132111351</x:v>
      </x:c>
      <x:c r="D2221" s="83" t="n">
        <x:v>0.36993851889678425</x:v>
      </x:c>
      <x:c r="E2221" s="81" t="n">
        <x:v>-0.04476056451601859</x:v>
      </x:c>
      <x:c r="F2221" s="81" t="n">
        <x:v>0.5368317469023168</x:v>
      </x:c>
      <x:c r="G2221" s="81" t="n">
        <x:v>-0.0059458611380887975</x:v>
      </x:c>
      <x:c r="H2221" s="59" t="n">
        <x:v>0</x:v>
      </x:c>
      <x:c r="I2221" s="81" t="n">
        <x:v>0</x:v>
      </x:c>
      <x:c r="J2221" s="79" t="n">
        <x:v>1.242115000379801e-14</x:v>
      </x:c>
      <x:c r="K2221" s="81" t="n">
        <x:v>-0.9999999999858044</x:v>
      </x:c>
      <x:c r="L2221" s="81" t="n">
        <x:v>-0.9999999999858044</x:v>
      </x:c>
      <x:c r="M2221" s="80" t="n">
        <x:v>0.02187071189261225</x:v>
      </x:c>
      <x:c r="N2221" s="82" t="n">
        <x:v>0.22946037594928628</x:v>
      </x:c>
      <x:c r="O2221" s="82" t="n">
        <x:v>0.11636351557234036</x:v>
      </x:c>
      <x:c r="P2221" s="80" t="n">
        <x:v>259.42316406464033</x:v>
      </x:c>
      <x:c r="Q2221" s="81" t="n">
        <x:v>41.50814084194344</x:v>
      </x:c>
      <x:c r="R2221" s="81" t="n">
        <x:v>45.55275379997253</x:v>
      </x:c>
      <x:c r="S2221" s="81" t="n">
        <x:v>0.000003037363460136554</x:v>
      </x:c>
      <x:c r="T2221" s="81" t="n">
        <x:v>2.690692271751681e-10</x:v>
      </x:c>
    </x:row>
    <x:row r="2222">
      <x:c r="A2222" s="59" t="n">
        <x:v>2219</x:v>
      </x:c>
      <x:c r="B2222" s="193" t="n">
        <x:v>0.9526491286233068</x:v>
      </x:c>
      <x:c r="C2222" s="83" t="n">
        <x:v>0.6280664898231865</x:v>
      </x:c>
      <x:c r="D2222" s="83" t="n">
        <x:v>0.5759201567523747</x:v>
      </x:c>
      <x:c r="E2222" s="81" t="n">
        <x:v>-0.1334395147420448</x:v>
      </x:c>
      <x:c r="F2222" s="81" t="n">
        <x:v>0.44481174694374204</x:v>
      </x:c>
      <x:c r="G2222" s="81" t="n">
        <x:v>0.02544001893186515</x:v>
      </x:c>
      <x:c r="H2222" s="59" t="n">
        <x:v>0</x:v>
      </x:c>
      <x:c r="I2222" s="81" t="n">
        <x:v>0</x:v>
      </x:c>
      <x:c r="J2222" s="79" t="n">
        <x:v>1.4212164474147871e-39</x:v>
      </x:c>
      <x:c r="K2222" s="81" t="n">
        <x:v>-1</x:v>
      </x:c>
      <x:c r="L2222" s="81" t="n">
        <x:v>-1</x:v>
      </x:c>
      <x:c r="M2222" s="80" t="n">
        <x:v>0.000002</x:v>
      </x:c>
      <x:c r="N2222" s="82" t="n">
        <x:v>0.32903263460923343</x:v>
      </x:c>
      <x:c r="O2222" s="82" t="n">
        <x:v>0.13825669301322666</x:v>
      </x:c>
      <x:c r="P2222" s="80" t="n">
        <x:v>201.38695394966788</x:v>
      </x:c>
      <x:c r="Q2222" s="81" t="n">
        <x:v>1.2073924935962186e+22</x:v>
      </x:c>
      <x:c r="R2222" s="81" t="n">
        <x:v>3.115827577558451</x:v>
      </x:c>
      <x:c r="S2222" s="81" t="n">
        <x:v>4.206644112274586e-10</x:v>
      </x:c>
      <x:c r="T2222" s="81" t="n">
        <x:v>3.078665107800862e-35</x:v>
      </x:c>
    </x:row>
    <x:row r="2223">
      <x:c r="A2223" s="59" t="n">
        <x:v>2220</x:v>
      </x:c>
      <x:c r="B2223" s="193" t="n">
        <x:v>0.6006816534325481</x:v>
      </x:c>
      <x:c r="C2223" s="83" t="n">
        <x:v>1.087933971895582</x:v>
      </x:c>
      <x:c r="D2223" s="83" t="n">
        <x:v>0.7151485522675491</x:v>
      </x:c>
      <x:c r="E2223" s="81" t="n">
        <x:v>-0.08436507861047224</x:v>
      </x:c>
      <x:c r="F2223" s="81" t="n">
        <x:v>0.5626660315319896</x:v>
      </x:c>
      <x:c r="G2223" s="81" t="n">
        <x:v>-0.0031862342491783997</x:v>
      </x:c>
      <x:c r="H2223" s="59" t="n">
        <x:v>0</x:v>
      </x:c>
      <x:c r="I2223" s="81" t="n">
        <x:v>0</x:v>
      </x:c>
      <x:c r="J2223" s="79" t="n">
        <x:v>3.0599646551831337e-31</x:v>
      </x:c>
      <x:c r="K2223" s="81" t="n">
        <x:v>-1</x:v>
      </x:c>
      <x:c r="L2223" s="81" t="n">
        <x:v>-1</x:v>
      </x:c>
      <x:c r="M2223" s="80" t="n">
        <x:v>0.000002</x:v>
      </x:c>
      <x:c r="N2223" s="82" t="n">
        <x:v>0.24518738262863468</x:v>
      </x:c>
      <x:c r="O2223" s="82" t="n">
        <x:v>0.13032260629846734</x:v>
      </x:c>
      <x:c r="P2223" s="80" t="n">
        <x:v>394.829043927532</x:v>
      </x:c>
      <x:c r="Q2223" s="81" t="n">
        <x:v>84857688663563.7</x:v>
      </x:c>
      <x:c r="R2223" s="81" t="n">
        <x:v>2.5688463549040437</x:v>
      </x:c>
      <x:c r="S2223" s="81" t="n">
        <x:v>2.886163540406789e-10</x:v>
      </x:c>
      <x:c r="T2223" s="81" t="n">
        <x:v>6.628551500478639e-27</x:v>
      </x:c>
    </x:row>
    <x:row r="2224">
      <x:c r="A2224" s="59" t="n">
        <x:v>2221</x:v>
      </x:c>
      <x:c r="B2224" s="193" t="n">
        <x:v>0.5754031922668219</x:v>
      </x:c>
      <x:c r="C2224" s="83" t="n">
        <x:v>1.1258346751514094</x:v>
      </x:c>
      <x:c r="D2224" s="83" t="n">
        <x:v>0.22884357749415693</x:v>
      </x:c>
      <x:c r="E2224" s="81" t="n">
        <x:v>-0.006832206999604295</x:v>
      </x:c>
      <x:c r="F2224" s="81" t="n">
        <x:v>0.42582489049527794</x:v>
      </x:c>
      <x:c r="G2224" s="81" t="n">
        <x:v>-0.01847829005941603</x:v>
      </x:c>
      <x:c r="H2224" s="59" t="n">
        <x:v>0</x:v>
      </x:c>
      <x:c r="I2224" s="81" t="n">
        <x:v>0</x:v>
      </x:c>
      <x:c r="J2224" s="79" t="n">
        <x:v>0.000001062399226014386</x:v>
      </x:c>
      <x:c r="K2224" s="81" t="n">
        <x:v>-0.9987858294559836</x:v>
      </x:c>
      <x:c r="L2224" s="81" t="n">
        <x:v>-0.9987858294559836</x:v>
      </x:c>
      <x:c r="M2224" s="80" t="n">
        <x:v>374.1095700688909</x:v>
      </x:c>
      <x:c r="N2224" s="82" t="n">
        <x:v>0.2391655792078121</x:v>
      </x:c>
      <x:c r="O2224" s="82" t="n">
        <x:v>0.09620566840155606</x:v>
      </x:c>
      <x:c r="P2224" s="80" t="n">
        <x:v>945.8886835421664</x:v>
      </x:c>
      <x:c r="Q2224" s="81" t="n">
        <x:v>0.02246993128817411</x:v>
      </x:c>
      <x:c r="R2224" s="81" t="n">
        <x:v>10.992043212161757</x:v>
      </x:c>
      <x:c r="S2224" s="81" t="n">
        <x:v>0.03169134775537182</x:v>
      </x:c>
      <x:c r="T2224" s="81" t="n">
        <x:v>0.023013886685836708</x:v>
      </x:c>
    </x:row>
    <x:row r="2225">
      <x:c r="A2225" s="59" t="n">
        <x:v>2222</x:v>
      </x:c>
      <x:c r="B2225" s="193" t="n">
        <x:v>0.5878075262531639</x:v>
      </x:c>
      <x:c r="C2225" s="83" t="n">
        <x:v>0.3982372945473729</x:v>
      </x:c>
      <x:c r="D2225" s="83" t="n">
        <x:v>0.8456891916201336</x:v>
      </x:c>
      <x:c r="E2225" s="81" t="n">
        <x:v>-0.0025305857904514804</x:v>
      </x:c>
      <x:c r="F2225" s="81" t="n">
        <x:v>0.3130883566918783</x:v>
      </x:c>
      <x:c r="G2225" s="81" t="n">
        <x:v>0.016727027833202034</x:v>
      </x:c>
      <x:c r="H2225" s="59" t="n">
        <x:v>0</x:v>
      </x:c>
      <x:c r="I2225" s="81" t="n">
        <x:v>0</x:v>
      </x:c>
      <x:c r="J2225" s="79" t="n">
        <x:v>3.234032811861903e-7</x:v>
      </x:c>
      <x:c r="K2225" s="81" t="n">
        <x:v>-0.9996303962500729</x:v>
      </x:c>
      <x:c r="L2225" s="81" t="n">
        <x:v>-0.9996303962500729</x:v>
      </x:c>
      <x:c r="M2225" s="80" t="n">
        <x:v>136.0027953149806</x:v>
      </x:c>
      <x:c r="N2225" s="82" t="n">
        <x:v>0.24212052414462087</x:v>
      </x:c>
      <x:c r="O2225" s="82" t="n">
        <x:v>0.07160930593218932</x:v>
      </x:c>
      <x:c r="P2225" s="80" t="n">
        <x:v>2157.1003737723536</x:v>
      </x:c>
      <x:c r="Q2225" s="81" t="n">
        <x:v>0.1082948727149744</x:v>
      </x:c>
      <x:c r="R2225" s="81" t="n">
        <x:v>29.475323331101215</x:v>
      </x:c>
      <x:c r="S2225" s="81" t="n">
        <x:v>0.05945303489510092</x:v>
      </x:c>
      <x:c r="T2225" s="81" t="n">
        <x:v>0.007005621130738651</x:v>
      </x:c>
    </x:row>
    <x:row r="2226">
      <x:c r="A2226" s="59" t="n">
        <x:v>2223</x:v>
      </x:c>
      <x:c r="B2226" s="193" t="n">
        <x:v>0.667744104191661</x:v>
      </x:c>
      <x:c r="C2226" s="83" t="n">
        <x:v>0.17374818899538721</x:v>
      </x:c>
      <x:c r="D2226" s="83" t="n">
        <x:v>1.388660744583363</x:v>
      </x:c>
      <x:c r="E2226" s="81" t="n">
        <x:v>0.031045055193101755</x:v>
      </x:c>
      <x:c r="F2226" s="81" t="n">
        <x:v>0.6495894463500008</x:v>
      </x:c>
      <x:c r="G2226" s="81" t="n">
        <x:v>-0.0035694716285447564</x:v>
      </x:c>
      <x:c r="H2226" s="59" t="n">
        <x:v>0</x:v>
      </x:c>
      <x:c r="I2226" s="81" t="n">
        <x:v>0</x:v>
      </x:c>
      <x:c r="J2226" s="79" t="n">
        <x:v>0.00043091518734799945</x:v>
      </x:c>
      <x:c r="K2226" s="81" t="n">
        <x:v>-0.5075255001737149</x:v>
      </x:c>
      <x:c r="L2226" s="81" t="n">
        <x:v>-0.8290951346605374</x:v>
      </x:c>
      <x:c r="M2226" s="80" t="n">
        <x:v>4885.279314152925</x:v>
      </x:c>
      <x:c r="N2226" s="82" t="n">
        <x:v>0.26116291582040735</x:v>
      </x:c>
      <x:c r="O2226" s="82" t="n">
        <x:v>0.16025862457009468</x:v>
      </x:c>
      <x:c r="P2226" s="80" t="n">
        <x:v>13393.78121508435</x:v>
      </x:c>
      <x:c r="Q2226" s="81" t="n">
        <x:v>0.011455520860962047</x:v>
      </x:c>
      <x:c r="R2226" s="81" t="n">
        <x:v>175.3465802566515</x:v>
      </x:c>
      <x:c r="S2226" s="81" t="n">
        <x:v>48.53890943811587</x:v>
      </x:c>
      <x:c r="T2226" s="81" t="n">
        <x:v>9.33456374025885</x:v>
      </x:c>
    </x:row>
    <x:row r="2227">
      <x:c r="A2227" s="59" t="n">
        <x:v>2224</x:v>
      </x:c>
      <x:c r="B2227" s="193" t="n">
        <x:v>0.27606313526630405</x:v>
      </x:c>
      <x:c r="C2227" s="83" t="n">
        <x:v>0.22491535791336267</x:v>
      </x:c>
      <x:c r="D2227" s="83" t="n">
        <x:v>0.45983464255384177</x:v>
      </x:c>
      <x:c r="E2227" s="81" t="n">
        <x:v>-0.1475893100649765</x:v>
      </x:c>
      <x:c r="F2227" s="81" t="n">
        <x:v>0.4660132805816829</x:v>
      </x:c>
      <x:c r="G2227" s="81" t="n">
        <x:v>0.024720188797687025</x:v>
      </x:c>
      <x:c r="H2227" s="59" t="n">
        <x:v>55</x:v>
      </x:c>
      <x:c r="I2227" s="81" t="n">
        <x:v>0.3587369811721146</x:v>
      </x:c>
      <x:c r="J2227" s="79" t="n">
        <x:v>1.6654571667315614e-36</x:v>
      </x:c>
      <x:c r="K2227" s="81" t="n">
        <x:v>-1</x:v>
      </x:c>
      <x:c r="L2227" s="81" t="n">
        <x:v>-1</x:v>
      </x:c>
      <x:c r="M2227" s="80" t="n">
        <x:v>0.000002</x:v>
      </x:c>
      <x:c r="N2227" s="82" t="n">
        <x:v>0.16785716500421993</x:v>
      </x:c>
      <x:c r="O2227" s="82" t="n">
        <x:v>0.07389399030343892</x:v>
      </x:c>
      <x:c r="P2227" s="80" t="n">
        <x:v>136.2081555147443</x:v>
      </x:c>
      <x:c r="Q2227" s="81" t="n">
        <x:v>9431763989220770000</x:v>
      </x:c>
      <x:c r="R2227" s="81" t="n">
        <x:v>9.424675034773923</x:v>
      </x:c>
      <x:c r="S2227" s="81" t="n">
        <x:v>4.4261973479137546e-10</x:v>
      </x:c>
      <x:c r="T2227" s="81" t="n">
        <x:v>3.607743828943245e-32</x:v>
      </x:c>
    </x:row>
    <x:row r="2228">
      <x:c r="A2228" s="59" t="n">
        <x:v>2225</x:v>
      </x:c>
      <x:c r="B2228" s="193" t="n">
        <x:v>0.7113320898264648</x:v>
      </x:c>
      <x:c r="C2228" s="83" t="n">
        <x:v>0.3087901143855047</x:v>
      </x:c>
      <x:c r="D2228" s="83" t="n">
        <x:v>1.096712784959222</x:v>
      </x:c>
      <x:c r="E2228" s="81" t="n">
        <x:v>0.029455049894513526</x:v>
      </x:c>
      <x:c r="F2228" s="81" t="n">
        <x:v>0.33063392122276125</x:v>
      </x:c>
      <x:c r="G2228" s="81" t="n">
        <x:v>0.015894258619142863</x:v>
      </x:c>
      <x:c r="H2228" s="59" t="n">
        <x:v>0</x:v>
      </x:c>
      <x:c r="I2228" s="81" t="n">
        <x:v>0</x:v>
      </x:c>
      <x:c r="J2228" s="79" t="n">
        <x:v>0.0016169920228997568</x:v>
      </x:c>
      <x:c r="K2228" s="81" t="n">
        <x:v>0.847990883314008</x:v>
      </x:c>
      <x:c r="L2228" s="81" t="n">
        <x:v>-0.678104387319372</x:v>
      </x:c>
      <x:c r="M2228" s="80" t="n">
        <x:v>10275.775946717593</x:v>
      </x:c>
      <x:c r="N2228" s="82" t="n">
        <x:v>0.2715463912733483</x:v>
      </x:c>
      <x:c r="O2228" s="82" t="n">
        <x:v>0.08481299216319992</x:v>
      </x:c>
      <x:c r="P2228" s="80" t="n">
        <x:v>22211.177162078515</x:v>
      </x:c>
      <x:c r="Q2228" s="81" t="n">
        <x:v>0.006438617511283156</x:v>
      </x:c>
      <x:c r="R2228" s="81" t="n">
        <x:v>146.11770069342884</x:v>
      </x:c>
      <x:c r="S2228" s="81" t="n">
        <x:v>101.91257075399369</x:v>
      </x:c>
      <x:c r="T2228" s="81" t="n">
        <x:v>35.027577464004075</x:v>
      </x:c>
    </x:row>
    <x:row r="2229">
      <x:c r="A2229" s="59" t="n">
        <x:v>2226</x:v>
      </x:c>
      <x:c r="B2229" s="193" t="n">
        <x:v>0.49070379324257374</x:v>
      </x:c>
      <x:c r="C2229" s="83" t="n">
        <x:v>0.17095387294882208</x:v>
      </x:c>
      <x:c r="D2229" s="83" t="n">
        <x:v>0.8297632647881765</x:v>
      </x:c>
      <x:c r="E2229" s="81" t="n">
        <x:v>0.06939110446883479</x:v>
      </x:c>
      <x:c r="F2229" s="81" t="n">
        <x:v>0.874044089531526</x:v>
      </x:c>
      <x:c r="G2229" s="81" t="n">
        <x:v>0.01740620522195017</x:v>
      </x:c>
      <x:c r="H2229" s="59" t="n">
        <x:v>55</x:v>
      </x:c>
      <x:c r="I2229" s="81" t="n">
        <x:v>0.4458627759478987</x:v>
      </x:c>
      <x:c r="J2229" s="79" t="n">
        <x:v>0.0010411130309855277</x:v>
      </x:c>
      <x:c r="K2229" s="81" t="n">
        <x:v>0.1898434639834603</x:v>
      </x:c>
      <x:c r="L2229" s="81" t="n">
        <x:v>-0.9189838896220652</x:v>
      </x:c>
      <x:c r="M2229" s="80" t="n">
        <x:v>8178.255388203233</x:v>
      </x:c>
      <x:c r="N2229" s="82" t="n">
        <x:v>0.21898859424650463</x:v>
      </x:c>
      <x:c r="O2229" s="82" t="n">
        <x:v>0.1808113871171918</x:v>
      </x:c>
      <x:c r="P2229" s="80" t="n">
        <x:v>12736.717976889933</x:v>
      </x:c>
      <x:c r="Q2229" s="81" t="n">
        <x:v>0.0063529928130826785</x:v>
      </x:c>
      <x:c r="R2229" s="81" t="n">
        <x:v>223.93659362380234</x:v>
      </x:c>
      <x:c r="S2229" s="81" t="n">
        <x:v>116.38773918334772</x:v>
      </x:c>
      <x:c r="T2229" s="81" t="n">
        <x:v>22.552781229082424</x:v>
      </x:c>
    </x:row>
    <x:row r="2230">
      <x:c r="A2230" s="59" t="n">
        <x:v>2227</x:v>
      </x:c>
      <x:c r="B2230" s="193" t="n">
        <x:v>0.6838874923065306</x:v>
      </x:c>
      <x:c r="C2230" s="83" t="n">
        <x:v>0.5250811459051759</x:v>
      </x:c>
      <x:c r="D2230" s="83" t="n">
        <x:v>2.363441600966566</x:v>
      </x:c>
      <x:c r="E2230" s="81" t="n">
        <x:v>0.04770238763266633</x:v>
      </x:c>
      <x:c r="F2230" s="81" t="n">
        <x:v>0.7917363899759948</x:v>
      </x:c>
      <x:c r="G2230" s="81" t="n">
        <x:v>0.01649419097795915</x:v>
      </x:c>
      <x:c r="H2230" s="59" t="n">
        <x:v>83</x:v>
      </x:c>
      <x:c r="I2230" s="81" t="n">
        <x:v>0.16637798305600882</x:v>
      </x:c>
      <x:c r="J2230" s="79" t="n">
        <x:v>0.006476958331615314</x:v>
      </x:c>
      <x:c r="K2230" s="81" t="n">
        <x:v>6.402238093274645</x:v>
      </x:c>
      <x:c r="L2230" s="81" t="n">
        <x:v>-0.8861982736710987</x:v>
      </x:c>
      <x:c r="M2230" s="80" t="n">
        <x:v>31996.70976546601</x:v>
      </x:c>
      <x:c r="N2230" s="82" t="n">
        <x:v>0.26500857355789603</x:v>
      </x:c>
      <x:c r="O2230" s="82" t="n">
        <x:v>0.19820357009756912</x:v>
      </x:c>
      <x:c r="P2230" s="80" t="n">
        <x:v>116667.66747436135</x:v>
      </x:c>
      <x:c r="Q2230" s="81" t="n">
        <x:v>0.010949927923851356</x:v>
      </x:c>
      <x:c r="R2230" s="81" t="n">
        <x:v>280.15517642160574</x:v>
      </x:c>
      <x:c r="S2230" s="81" t="n">
        <x:v>256.4217360311114</x:v>
      </x:c>
      <x:c r="T2230" s="81" t="n">
        <x:v>140.30505808243348</x:v>
      </x:c>
    </x:row>
    <x:row r="2231">
      <x:c r="A2231" s="59" t="n">
        <x:v>2228</x:v>
      </x:c>
      <x:c r="B2231" s="193" t="n">
        <x:v>0.496424075588584</x:v>
      </x:c>
      <x:c r="C2231" s="83" t="n">
        <x:v>2.873469268952693</x:v>
      </x:c>
      <x:c r="D2231" s="83" t="n">
        <x:v>2.0094476386950517</x:v>
      </x:c>
      <x:c r="E2231" s="81" t="n">
        <x:v>0.00830251317762786</x:v>
      </x:c>
      <x:c r="F2231" s="81" t="n">
        <x:v>0.3129946149303578</x:v>
      </x:c>
      <x:c r="G2231" s="81" t="n">
        <x:v>-0.014847875664215252</x:v>
      </x:c>
      <x:c r="H2231" s="59" t="n">
        <x:v>0</x:v>
      </x:c>
      <x:c r="I2231" s="81" t="n">
        <x:v>0</x:v>
      </x:c>
      <x:c r="J2231" s="79" t="n">
        <x:v>0.002899643608352628</x:v>
      </x:c>
      <x:c r="K2231" s="81" t="n">
        <x:v>2.313878409545861</x:v>
      </x:c>
      <x:c r="L2231" s="81" t="n">
        <x:v>-0.2238804209507459</x:v>
      </x:c>
      <x:c r="M2231" s="80" t="n">
        <x:v>37541.44241065369</x:v>
      </x:c>
      <x:c r="N2231" s="82" t="n">
        <x:v>0.22035127275661792</x:v>
      </x:c>
      <x:c r="O2231" s="82" t="n">
        <x:v>0.06515134274345463</x:v>
      </x:c>
      <x:c r="P2231" s="80" t="n">
        <x:v>143460.2960066266</x:v>
      </x:c>
      <x:c r="Q2231" s="81" t="n">
        <x:v>0.01764087994441714</x:v>
      </x:c>
      <x:c r="R2231" s="81" t="n">
        <x:v>21.039132878190163</x:v>
      </x:c>
      <x:c r="S2231" s="81" t="n">
        <x:v>25.901899473812087</x:v>
      </x:c>
      <x:c r="T2231" s="81" t="n">
        <x:v>62.812611114453546</x:v>
      </x:c>
    </x:row>
    <x:row r="2232">
      <x:c r="A2232" s="59" t="n">
        <x:v>2229</x:v>
      </x:c>
      <x:c r="B2232" s="193" t="n">
        <x:v>0.8012294555082917</x:v>
      </x:c>
      <x:c r="C2232" s="83" t="n">
        <x:v>1.1905283990406075</x:v>
      </x:c>
      <x:c r="D2232" s="83" t="n">
        <x:v>1.6852725186766557</x:v>
      </x:c>
      <x:c r="E2232" s="81" t="n">
        <x:v>0.005091394547637197</x:v>
      </x:c>
      <x:c r="F2232" s="81" t="n">
        <x:v>0.4593434116570279</x:v>
      </x:c>
      <x:c r="G2232" s="81" t="n">
        <x:v>0.023339722437334676</x:v>
      </x:c>
      <x:c r="H2232" s="59" t="n">
        <x:v>87</x:v>
      </x:c>
      <x:c r="I2232" s="81" t="n">
        <x:v>0.3339803998358548</x:v>
      </x:c>
      <x:c r="J2232" s="79" t="n">
        <x:v>0.00014100935348582887</x:v>
      </x:c>
      <x:c r="K2232" s="81" t="n">
        <x:v>-0.8388464531590527</x:v>
      </x:c>
      <x:c r="L2232" s="81" t="n">
        <x:v>-0.9009313649619497</x:v>
      </x:c>
      <x:c r="M2232" s="80" t="n">
        <x:v>4599.395337120403</x:v>
      </x:c>
      <x:c r="N2232" s="82" t="n">
        <x:v>0.2929616293543659</x:v>
      </x:c>
      <x:c r="O2232" s="82" t="n">
        <x:v>0.12712154891491262</x:v>
      </x:c>
      <x:c r="P2232" s="80" t="n">
        <x:v>19957.316784144652</x:v>
      </x:c>
      <x:c r="Q2232" s="81" t="n">
        <x:v>0.048697809173811925</x:v>
      </x:c>
      <x:c r="R2232" s="81" t="n">
        <x:v>17.79166065806746</x:v>
      </x:c>
      <x:c r="S2232" s="81" t="n">
        <x:v>4.25765288533779</x:v>
      </x:c>
      <x:c r="T2232" s="81" t="n">
        <x:v>3.0545704508278857</x:v>
      </x:c>
    </x:row>
    <x:row r="2233">
      <x:c r="A2233" s="59" t="n">
        <x:v>2230</x:v>
      </x:c>
      <x:c r="B2233" s="193" t="n">
        <x:v>0.6174592986702919</x:v>
      </x:c>
      <x:c r="C2233" s="83" t="n">
        <x:v>0.6949777120425977</x:v>
      </x:c>
      <x:c r="D2233" s="83" t="n">
        <x:v>0.5339222995827847</x:v>
      </x:c>
      <x:c r="E2233" s="81" t="n">
        <x:v>0.0008415164521823884</x:v>
      </x:c>
      <x:c r="F2233" s="81" t="n">
        <x:v>0.8083288474823348</x:v>
      </x:c>
      <x:c r="G2233" s="81" t="n">
        <x:v>-0.006601122324545447</x:v>
      </x:c>
      <x:c r="H2233" s="59" t="n">
        <x:v>0</x:v>
      </x:c>
      <x:c r="I2233" s="81" t="n">
        <x:v>0</x:v>
      </x:c>
      <x:c r="J2233" s="79" t="n">
        <x:v>7.497685600882311e-7</x:v>
      </x:c>
      <x:c r="K2233" s="81" t="n">
        <x:v>-0.9991431216456135</x:v>
      </x:c>
      <x:c r="L2233" s="81" t="n">
        <x:v>-0.9991431216456135</x:v>
      </x:c>
      <x:c r="M2233" s="80" t="n">
        <x:v>251.1764239344441</x:v>
      </x:c>
      <x:c r="N2233" s="82" t="n">
        <x:v>0.2491841323051135</x:v>
      </x:c>
      <x:c r="O2233" s="82" t="n">
        <x:v>0.1902739804575924</x:v>
      </x:c>
      <x:c r="P2233" s="80" t="n">
        <x:v>1279.825478043153</x:v>
      </x:c>
      <x:c r="Q2233" s="81" t="n">
        <x:v>0.0656090576609215</x:v>
      </x:c>
      <x:c r="R2233" s="81" t="n">
        <x:v>13.492729030385124</x:v>
      </x:c>
      <x:c r="S2233" s="81" t="n">
        <x:v>0.05217218910078488</x:v>
      </x:c>
      <x:c r="T2233" s="81" t="n">
        <x:v>0.016241623920610657</x:v>
      </x:c>
    </x:row>
    <x:row r="2234">
      <x:c r="A2234" s="59" t="n">
        <x:v>2231</x:v>
      </x:c>
      <x:c r="B2234" s="193" t="n">
        <x:v>0.4275048397481442</x:v>
      </x:c>
      <x:c r="C2234" s="83" t="n">
        <x:v>0.473206559991777</x:v>
      </x:c>
      <x:c r="D2234" s="83" t="n">
        <x:v>2.2298289935269118</x:v>
      </x:c>
      <x:c r="E2234" s="81" t="n">
        <x:v>-0.08723377672801523</x:v>
      </x:c>
      <x:c r="F2234" s="81" t="n">
        <x:v>0.5085541758453473</x:v>
      </x:c>
      <x:c r="G2234" s="81" t="n">
        <x:v>0.006464890495948266</x:v>
      </x:c>
      <x:c r="H2234" s="59" t="n">
        <x:v>0</x:v>
      </x:c>
      <x:c r="I2234" s="81" t="n">
        <x:v>0</x:v>
      </x:c>
      <x:c r="J2234" s="79" t="n">
        <x:v>4.6897178501923706e-67</x:v>
      </x:c>
      <x:c r="K2234" s="81" t="n">
        <x:v>-1</x:v>
      </x:c>
      <x:c r="L2234" s="81" t="n">
        <x:v>-1</x:v>
      </x:c>
      <x:c r="M2234" s="80" t="n">
        <x:v>0.000002</x:v>
      </x:c>
      <x:c r="N2234" s="82" t="n">
        <x:v>0.20393341854375321</x:v>
      </x:c>
      <x:c r="O2234" s="82" t="n">
        <x:v>0.09797078005931732</x:v>
      </x:c>
      <x:c r="P2234" s="80" t="n">
        <x:v>349.01128103422644</x:v>
      </x:c>
      <x:c r="Q2234" s="81" t="n">
        <x:v>5.36891275698058e+49</x:v>
      </x:c>
      <x:c r="R2234" s="81" t="n">
        <x:v>2.0098979525853125</x:v>
      </x:c>
      <x:c r="S2234" s="81" t="n">
        <x:v>1.4340424696749786e-9</x:v>
      </x:c>
      <x:c r="T2234" s="81" t="n">
        <x:v>1.015895273171175e-62</x:v>
      </x:c>
    </x:row>
    <x:row r="2235">
      <x:c r="A2235" s="59" t="n">
        <x:v>2232</x:v>
      </x:c>
      <x:c r="B2235" s="193" t="n">
        <x:v>0.3127739457413554</x:v>
      </x:c>
      <x:c r="C2235" s="83" t="n">
        <x:v>0.3539564625087387</x:v>
      </x:c>
      <x:c r="D2235" s="83" t="n">
        <x:v>1.2268090337930548</x:v>
      </x:c>
      <x:c r="E2235" s="81" t="n">
        <x:v>0.01176483478374469</x:v>
      </x:c>
      <x:c r="F2235" s="81" t="n">
        <x:v>0.7819727979018353</x:v>
      </x:c>
      <x:c r="G2235" s="81" t="n">
        <x:v>-0.010550438081291524</x:v>
      </x:c>
      <x:c r="H2235" s="59" t="n">
        <x:v>0</x:v>
      </x:c>
      <x:c r="I2235" s="81" t="n">
        <x:v>0</x:v>
      </x:c>
      <x:c r="J2235" s="79" t="n">
        <x:v>0.00007281275065857812</x:v>
      </x:c>
      <x:c r="K2235" s="81" t="n">
        <x:v>-0.9167854278187678</x:v>
      </x:c>
      <x:c r="L2235" s="81" t="n">
        <x:v>-0.9254606969127337</x:v>
      </x:c>
      <x:c r="M2235" s="80" t="n">
        <x:v>2075.960043948941</x:v>
      </x:c>
      <x:c r="N2235" s="82" t="n">
        <x:v>0.17660236838707344</x:v>
      </x:c>
      <x:c r="O2235" s="82" t="n">
        <x:v>0.1304545139772536</x:v>
      </x:c>
      <x:c r="P2235" s="80" t="n">
        <x:v>6488.229584894116</x:v>
      </x:c>
      <x:c r="Q2235" s="81" t="n">
        <x:v>0.021476895036656802</x:v>
      </x:c>
      <x:c r="R2235" s="81" t="n">
        <x:v>47.3902765668829</x:v>
      </x:c>
      <x:c r="S2235" s="81" t="n">
        <x:v>4.551549090621588</x:v>
      </x:c>
      <x:c r="T2235" s="81" t="n">
        <x:v>1.5772831454584553</x:v>
      </x:c>
    </x:row>
    <x:row r="2236">
      <x:c r="A2236" s="59" t="n">
        <x:v>2233</x:v>
      </x:c>
      <x:c r="B2236" s="193" t="n">
        <x:v>0.7120873395353555</x:v>
      </x:c>
      <x:c r="C2236" s="83" t="n">
        <x:v>0.5000196159369344</x:v>
      </x:c>
      <x:c r="D2236" s="83" t="n">
        <x:v>1.8107996692093735</x:v>
      </x:c>
      <x:c r="E2236" s="81" t="n">
        <x:v>-0.0641614560112407</x:v>
      </x:c>
      <x:c r="F2236" s="81" t="n">
        <x:v>0.25843970542773603</x:v>
      </x:c>
      <x:c r="G2236" s="81" t="n">
        <x:v>0.027814434101975913</x:v>
      </x:c>
      <x:c r="H2236" s="59" t="n">
        <x:v>0</x:v>
      </x:c>
      <x:c r="I2236" s="81" t="n">
        <x:v>0</x:v>
      </x:c>
      <x:c r="J2236" s="79" t="n">
        <x:v>7.646514365906977e-52</x:v>
      </x:c>
      <x:c r="K2236" s="81" t="n">
        <x:v>-1</x:v>
      </x:c>
      <x:c r="L2236" s="81" t="n">
        <x:v>-1</x:v>
      </x:c>
      <x:c r="M2236" s="80" t="n">
        <x:v>0.000002</x:v>
      </x:c>
      <x:c r="N2236" s="82" t="n">
        <x:v>0.2717263059149381</x:v>
      </x:c>
      <x:c r="O2236" s="82" t="n">
        <x:v>0.06633792207587441</x:v>
      </x:c>
      <x:c r="P2236" s="80" t="n">
        <x:v>427.29795202799147</x:v>
      </x:c>
      <x:c r="Q2236" s="81" t="n">
        <x:v>4.381921631690489e+34</x:v>
      </x:c>
      <x:c r="R2236" s="81" t="n">
        <x:v>3.1112815073112303</x:v>
      </x:c>
      <x:c r="S2236" s="81" t="n">
        <x:v>1.4765219530317863e-9</x:v>
      </x:c>
      <x:c r="T2236" s="81" t="n">
        <x:v>1.6564019518235488e-47</x:v>
      </x:c>
    </x:row>
    <x:row r="2237">
      <x:c r="A2237" s="59" t="n">
        <x:v>2234</x:v>
      </x:c>
      <x:c r="B2237" s="193" t="n">
        <x:v>0.8773146372288465</x:v>
      </x:c>
      <x:c r="C2237" s="83" t="n">
        <x:v>2.4348198665158085</x:v>
      </x:c>
      <x:c r="D2237" s="83" t="n">
        <x:v>0.4659853411650758</x:v>
      </x:c>
      <x:c r="E2237" s="81" t="n">
        <x:v>0.18211036929549387</x:v>
      </x:c>
      <x:c r="F2237" s="81" t="n">
        <x:v>0.26877605462213977</x:v>
      </x:c>
      <x:c r="G2237" s="81" t="n">
        <x:v>0.007811816253992791</x:v>
      </x:c>
      <x:c r="H2237" s="59" t="n">
        <x:v>0</x:v>
      </x:c>
      <x:c r="I2237" s="81" t="n">
        <x:v>0</x:v>
      </x:c>
      <x:c r="J2237" s="79" t="n">
        <x:v>0.08803950370056585</x:v>
      </x:c>
      <x:c r="K2237" s="81" t="n">
        <x:v>99.61657565778955</x:v>
      </x:c>
      <x:c r="L2237" s="81" t="n">
        <x:v>-0.606645531428628</x:v>
      </x:c>
      <x:c r="M2237" s="80" t="n">
        <x:v>238110.02086577483</x:v>
      </x:c>
      <x:c r="N2237" s="82" t="n">
        <x:v>0.3110865462373597</x:v>
      </x:c>
      <x:c r="O2237" s="82" t="n">
        <x:v>0.07898465868222813</x:v>
      </x:c>
      <x:c r="P2237" s="80" t="n">
        <x:v>196179.23855172275</x:v>
      </x:c>
      <x:c r="Q2237" s="81" t="n">
        <x:v>0.0012528982138991815</x:v>
      </x:c>
      <x:c r="R2237" s="81" t="n">
        <x:v>404.1935223651223</x:v>
      </x:c>
      <x:c r="S2237" s="81" t="n">
        <x:v>689.2482446288141</x:v>
      </x:c>
      <x:c r="T2237" s="81" t="n">
        <x:v>1907.1278596871718</x:v>
      </x:c>
    </x:row>
    <x:row r="2238">
      <x:c r="A2238" s="59" t="n">
        <x:v>2235</x:v>
      </x:c>
      <x:c r="B2238" s="193" t="n">
        <x:v>0.7537275860086083</x:v>
      </x:c>
      <x:c r="C2238" s="83" t="n">
        <x:v>0.5348650555151374</x:v>
      </x:c>
      <x:c r="D2238" s="83" t="n">
        <x:v>2.9260126944997533</x:v>
      </x:c>
      <x:c r="E2238" s="81" t="n">
        <x:v>-0.04666619593614965</x:v>
      </x:c>
      <x:c r="F2238" s="81" t="n">
        <x:v>0.6371300228405744</x:v>
      </x:c>
      <x:c r="G2238" s="81" t="n">
        <x:v>-0.030323021486088116</x:v>
      </x:c>
      <x:c r="H2238" s="59" t="n">
        <x:v>0</x:v>
      </x:c>
      <x:c r="I2238" s="81" t="n">
        <x:v>0</x:v>
      </x:c>
      <x:c r="J2238" s="79" t="n">
        <x:v>8.835303097406477e-46</x:v>
      </x:c>
      <x:c r="K2238" s="81" t="n">
        <x:v>-1</x:v>
      </x:c>
      <x:c r="L2238" s="81" t="n">
        <x:v>-1</x:v>
      </x:c>
      <x:c r="M2238" s="80" t="n">
        <x:v>0.000002</x:v>
      </x:c>
      <x:c r="N2238" s="82" t="n">
        <x:v>0.2816457933794885</x:v>
      </x:c>
      <x:c r="O2238" s="82" t="n">
        <x:v>0.16951271558076486</x:v>
      </x:c>
      <x:c r="P2238" s="80" t="n">
        <x:v>606.4996775918775</x:v>
      </x:c>
      <x:c r="Q2238" s="81" t="n">
        <x:v>5.1283675823401054e+28</x:v>
      </x:c>
      <x:c r="R2238" s="81" t="n">
        <x:v>2.78185725331106</x:v>
      </x:c>
      <x:c r="S2238" s="81" t="n">
        <x:v>1.1481703143737869e-9</x:v>
      </x:c>
      <x:c r="T2238" s="81" t="n">
        <x:v>1.9139195449299148e-41</x:v>
      </x:c>
    </x:row>
    <x:row r="2239">
      <x:c r="A2239" s="59" t="n">
        <x:v>2236</x:v>
      </x:c>
      <x:c r="B2239" s="193" t="n">
        <x:v>0.46318938098847867</x:v>
      </x:c>
      <x:c r="C2239" s="83" t="n">
        <x:v>1.8392775052644386</x:v>
      </x:c>
      <x:c r="D2239" s="83" t="n">
        <x:v>0.6928018266043399</x:v>
      </x:c>
      <x:c r="E2239" s="81" t="n">
        <x:v>0.07669706239947653</x:v>
      </x:c>
      <x:c r="F2239" s="81" t="n">
        <x:v>0.3649648550432175</x:v>
      </x:c>
      <x:c r="G2239" s="81" t="n">
        <x:v>0.051526221068121394</x:v>
      </x:c>
      <x:c r="H2239" s="59" t="n">
        <x:v>0</x:v>
      </x:c>
      <x:c r="I2239" s="81" t="n">
        <x:v>0</x:v>
      </x:c>
      <x:c r="J2239" s="79" t="n">
        <x:v>0.06766081340565674</x:v>
      </x:c>
      <x:c r="K2239" s="81" t="n">
        <x:v>76.32664389217915</x:v>
      </x:c>
      <x:c r="L2239" s="81" t="n">
        <x:v>-0.46009530748292127</x:v>
      </x:c>
      <x:c r="M2239" s="80" t="n">
        <x:v>163899.7322739583</x:v>
      </x:c>
      <x:c r="N2239" s="82" t="n">
        <x:v>0.2124341453523493</x:v>
      </x:c>
      <x:c r="O2239" s="82" t="n">
        <x:v>0.07323965855954842</x:v>
      </x:c>
      <x:c r="P2239" s="80" t="n">
        <x:v>216992.02459802997</x:v>
      </x:c>
      <x:c r="Q2239" s="81" t="n">
        <x:v>0.0025283141823127745</x:v>
      </x:c>
      <x:c r="R2239" s="81" t="n">
        <x:v>149.3712570343247</x:v>
      </x:c>
      <x:c r="S2239" s="81" t="n">
        <x:v>717.2212749061936</x:v>
      </x:c>
      <x:c r="T2239" s="81" t="n">
        <x:v>1465.680936751963</x:v>
      </x:c>
    </x:row>
    <x:row r="2240">
      <x:c r="A2240" s="59" t="n">
        <x:v>2237</x:v>
      </x:c>
      <x:c r="B2240" s="193" t="n">
        <x:v>0.7255297197028996</x:v>
      </x:c>
      <x:c r="C2240" s="83" t="n">
        <x:v>0.3342337311157244</x:v>
      </x:c>
      <x:c r="D2240" s="83" t="n">
        <x:v>1.021327291423641</x:v>
      </x:c>
      <x:c r="E2240" s="81" t="n">
        <x:v>0.020602290455615475</x:v>
      </x:c>
      <x:c r="F2240" s="81" t="n">
        <x:v>0.7815045815543272</x:v>
      </x:c>
      <x:c r="G2240" s="81" t="n">
        <x:v>0.004680387432517678</x:v>
      </x:c>
      <x:c r="H2240" s="59" t="n">
        <x:v>0</x:v>
      </x:c>
      <x:c r="I2240" s="81" t="n">
        <x:v>0</x:v>
      </x:c>
      <x:c r="J2240" s="79" t="n">
        <x:v>0.0000910883142108923</x:v>
      </x:c>
      <x:c r="K2240" s="81" t="n">
        <x:v>-0.8958990694732659</x:v>
      </x:c>
      <x:c r="L2240" s="81" t="n">
        <x:v>-0.9307924127289712</x:v>
      </x:c>
      <x:c r="M2240" s="80" t="n">
        <x:v>2364.08512458763</x:v>
      </x:c>
      <x:c r="N2240" s="82" t="n">
        <x:v>0.2749285329154752</x:v>
      </x:c>
      <x:c r="O2240" s="82" t="n">
        <x:v>0.20296552890938038</x:v>
      </x:c>
      <x:c r="P2240" s="80" t="n">
        <x:v>5673.038016563846</x:v>
      </x:c>
      <x:c r="Q2240" s="81" t="n">
        <x:v>0.020263368993150038</x:v>
      </x:c>
      <x:c r="R2240" s="81" t="n">
        <x:v>43.833621155252</x:v>
      </x:c>
      <x:c r="S2240" s="81" t="n">
        <x:v>5.914336270109201</x:v>
      </x:c>
      <x:c r="T2240" s="81" t="n">
        <x:v>1.9731717515624196</x:v>
      </x:c>
    </x:row>
    <x:row r="2241">
      <x:c r="A2241" s="59" t="n">
        <x:v>2238</x:v>
      </x:c>
      <x:c r="B2241" s="193" t="n">
        <x:v>0.8374738927930594</x:v>
      </x:c>
      <x:c r="C2241" s="83" t="n">
        <x:v>0.510476693965249</x:v>
      </x:c>
      <x:c r="D2241" s="83" t="n">
        <x:v>2.721918982260289</x:v>
      </x:c>
      <x:c r="E2241" s="81" t="n">
        <x:v>-0.018435208584308745</x:v>
      </x:c>
      <x:c r="F2241" s="81" t="n">
        <x:v>0.5201359322527424</x:v>
      </x:c>
      <x:c r="G2241" s="81" t="n">
        <x:v>0.0007849744777614084</x:v>
      </x:c>
      <x:c r="H2241" s="59" t="n">
        <x:v>81</x:v>
      </x:c>
      <x:c r="I2241" s="81" t="n">
        <x:v>0.1255332874134183</x:v>
      </x:c>
      <x:c r="J2241" s="79" t="n">
        <x:v>1.1296225925748607e-28</x:v>
      </x:c>
      <x:c r="K2241" s="81" t="n">
        <x:v>-1</x:v>
      </x:c>
      <x:c r="L2241" s="81" t="n">
        <x:v>-1</x:v>
      </x:c>
      <x:c r="M2241" s="80" t="n">
        <x:v>0.000002</x:v>
      </x:c>
      <x:c r="N2241" s="82" t="n">
        <x:v>0.3015957338987966</x:v>
      </x:c>
      <x:c r="O2241" s="82" t="n">
        <x:v>0.14818798505628414</x:v>
      </x:c>
      <x:c r="P2241" s="80" t="n">
        <x:v>1205.598155236187</x:v>
      </x:c>
      <x:c r="Q2241" s="81" t="n">
        <x:v>987976877599.8538</x:v>
      </x:c>
      <x:c r="R2241" s="81" t="n">
        <x:v>6.899708869534739</x:v>
      </x:c>
      <x:c r="S2241" s="81" t="n">
        <x:v>1.5937176563002987e-9</x:v>
      </x:c>
      <x:c r="T2241" s="81" t="n">
        <x:v>2.4470091568879686e-24</x:v>
      </x:c>
    </x:row>
    <x:row r="2242">
      <x:c r="A2242" s="59" t="n">
        <x:v>2239</x:v>
      </x:c>
      <x:c r="B2242" s="193" t="n">
        <x:v>0.266150888055563</x:v>
      </x:c>
      <x:c r="C2242" s="83" t="n">
        <x:v>0.10336233794977702</x:v>
      </x:c>
      <x:c r="D2242" s="83" t="n">
        <x:v>0.49097531527361676</x:v>
      </x:c>
      <x:c r="E2242" s="81" t="n">
        <x:v>0.044583842294906174</x:v>
      </x:c>
      <x:c r="F2242" s="81" t="n">
        <x:v>0.6688569543533959</x:v>
      </x:c>
      <x:c r="G2242" s="81" t="n">
        <x:v>-0.03188664571169974</x:v>
      </x:c>
      <x:c r="H2242" s="59" t="n">
        <x:v>0</x:v>
      </x:c>
      <x:c r="I2242" s="81" t="n">
        <x:v>0</x:v>
      </x:c>
      <x:c r="J2242" s="79" t="n">
        <x:v>0.00010990472538253274</x:v>
      </x:c>
      <x:c r="K2242" s="81" t="n">
        <x:v>-0.8743945995628197</x:v>
      </x:c>
      <x:c r="L2242" s="81" t="n">
        <x:v>-0.898204567158677</x:v>
      </x:c>
      <x:c r="M2242" s="80" t="n">
        <x:v>2116.1042931554857</x:v>
      </x:c>
      <x:c r="N2242" s="82" t="n">
        <x:v>0.16549588186398612</x:v>
      </x:c>
      <x:c r="O2242" s="82" t="n">
        <x:v>0.10456621310973718</x:v>
      </x:c>
      <x:c r="P2242" s="80" t="n">
        <x:v>2536.290935896353</x:v>
      </x:c>
      <x:c r="Q2242" s="81" t="n">
        <x:v>0.004824920894956939</x:v>
      </x:c>
      <x:c r="R2242" s="81" t="n">
        <x:v>204.93104305542732</x:v>
      </x:c>
      <x:c r="S2242" s="81" t="n">
        <x:v>20.033109908310365</x:v>
      </x:c>
      <x:c r="T2242" s="81" t="n">
        <x:v>2.3807762978898857</x:v>
      </x:c>
    </x:row>
    <x:row r="2243">
      <x:c r="A2243" s="59" t="n">
        <x:v>2240</x:v>
      </x:c>
      <x:c r="B2243" s="193" t="n">
        <x:v>0.9728874579072</x:v>
      </x:c>
      <x:c r="C2243" s="83" t="n">
        <x:v>0.2724028911309366</x:v>
      </x:c>
      <x:c r="D2243" s="83" t="n">
        <x:v>0.7247290559244388</x:v>
      </x:c>
      <x:c r="E2243" s="81" t="n">
        <x:v>-0.06096840162315759</x:v>
      </x:c>
      <x:c r="F2243" s="81" t="n">
        <x:v>0.5541901932447217</x:v>
      </x:c>
      <x:c r="G2243" s="81" t="n">
        <x:v>0.022757848100404987</x:v>
      </x:c>
      <x:c r="H2243" s="59" t="n">
        <x:v>0</x:v>
      </x:c>
      <x:c r="I2243" s="81" t="n">
        <x:v>0</x:v>
      </x:c>
      <x:c r="J2243" s="79" t="n">
        <x:v>8.671834503940096e-29</x:v>
      </x:c>
      <x:c r="K2243" s="81" t="n">
        <x:v>-1</x:v>
      </x:c>
      <x:c r="L2243" s="81" t="n">
        <x:v>-1</x:v>
      </x:c>
      <x:c r="M2243" s="80" t="n">
        <x:v>0.000002</x:v>
      </x:c>
      <x:c r="N2243" s="82" t="n">
        <x:v>0.33385378411333066</x:v>
      </x:c>
      <x:c r="O2243" s="82" t="n">
        <x:v>0.17477772474619957</x:v>
      </x:c>
      <x:c r="P2243" s="80" t="n">
        <x:v>287.58793108510855</x:v>
      </x:c>
      <x:c r="Q2243" s="81" t="n">
        <x:v>405397867811.04865</x:v>
      </x:c>
      <x:c r="R2243" s="81" t="n">
        <x:v>10.328459760423444</x:v>
      </x:c>
      <x:c r="S2243" s="81" t="n">
        <x:v>6.560814890730571e-10</x:v>
      </x:c>
      <x:c r="T2243" s="81" t="n">
        <x:v>1.8785086787074142e-24</x:v>
      </x:c>
    </x:row>
    <x:row r="2244">
      <x:c r="A2244" s="59" t="n">
        <x:v>2241</x:v>
      </x:c>
      <x:c r="B2244" s="193" t="n">
        <x:v>0.7910658648237587</x:v>
      </x:c>
      <x:c r="C2244" s="83" t="n">
        <x:v>0.5101434845101434</x:v>
      </x:c>
      <x:c r="D2244" s="83" t="n">
        <x:v>1.5127719863452311</x:v>
      </x:c>
      <x:c r="E2244" s="81" t="n">
        <x:v>0.1284187178454263</x:v>
      </x:c>
      <x:c r="F2244" s="81" t="n">
        <x:v>0.835456999426242</x:v>
      </x:c>
      <x:c r="G2244" s="81" t="n">
        <x:v>-0.011988273074317345</x:v>
      </x:c>
      <x:c r="H2244" s="59" t="n">
        <x:v>0</x:v>
      </x:c>
      <x:c r="I2244" s="81" t="n">
        <x:v>0</x:v>
      </x:c>
      <x:c r="J2244" s="79" t="n">
        <x:v>0.008627946584552649</x:v>
      </x:c>
      <x:c r="K2244" s="81" t="n">
        <x:v>8.860510382345884</x:v>
      </x:c>
      <x:c r="L2244" s="81" t="n">
        <x:v>-0.842753018267644</x:v>
      </x:c>
      <x:c r="M2244" s="80" t="n">
        <x:v>42216.2726693397</x:v>
      </x:c>
      <x:c r="N2244" s="82" t="n">
        <x:v>0.2905404714859848</x:v>
      </x:c>
      <x:c r="O2244" s="82" t="n">
        <x:v>0.22929874654875562</x:v>
      </x:c>
      <x:c r="P2244" s="80" t="n">
        <x:v>86653.47776579141</x:v>
      </x:c>
      <x:c r="Q2244" s="81" t="n">
        <x:v>0.005232780758400398</x:v>
      </x:c>
      <x:c r="R2244" s="81" t="n">
        <x:v>530.1212536379231</x:v>
      </x:c>
      <x:c r="S2244" s="81" t="n">
        <x:v>331.49898258657225</x:v>
      </x:c>
      <x:c r="T2244" s="81" t="n">
        <x:v>186.90015971986202</x:v>
      </x:c>
    </x:row>
    <x:row r="2245">
      <x:c r="A2245" s="59" t="n">
        <x:v>2242</x:v>
      </x:c>
      <x:c r="B2245" s="193" t="n">
        <x:v>0.22457186952233316</x:v>
      </x:c>
      <x:c r="C2245" s="83" t="n">
        <x:v>0.762789092953248</x:v>
      </x:c>
      <x:c r="D2245" s="83" t="n">
        <x:v>0.3262458022720423</x:v>
      </x:c>
      <x:c r="E2245" s="81" t="n">
        <x:v>0.00902848936968959</x:v>
      </x:c>
      <x:c r="F2245" s="81" t="n">
        <x:v>0.40689320395467804</x:v>
      </x:c>
      <x:c r="G2245" s="81" t="n">
        <x:v>-0.01046047592132041</x:v>
      </x:c>
      <x:c r="H2245" s="59" t="n">
        <x:v>0</x:v>
      </x:c>
      <x:c r="I2245" s="81" t="n">
        <x:v>0</x:v>
      </x:c>
      <x:c r="J2245" s="79" t="n">
        <x:v>0.000030313412170759213</x:v>
      </x:c>
      <x:c r="K2245" s="81" t="n">
        <x:v>-0.9653561003762752</x:v>
      </x:c>
      <x:c r="L2245" s="81" t="n">
        <x:v>-0.9653561003762752</x:v>
      </x:c>
      <x:c r="M2245" s="80" t="n">
        <x:v>1668.660804586241</x:v>
      </x:c>
      <x:c r="N2245" s="82" t="n">
        <x:v>0.15559098004277327</x:v>
      </x:c>
      <x:c r="O2245" s="82" t="n">
        <x:v>0.05980476585804895</x:v>
      </x:c>
      <x:c r="P2245" s="80" t="n">
        <x:v>2119.2040051372837</x:v>
      </x:c>
      <x:c r="Q2245" s="81" t="n">
        <x:v>0.00855642921767562</x:v>
      </x:c>
      <x:c r="R2245" s="81" t="n">
        <x:v>21.691505419535495</x:v>
      </x:c>
      <x:c r="S2245" s="81" t="n">
        <x:v>0.8581773467038093</x:v>
      </x:c>
      <x:c r="T2245" s="81" t="n">
        <x:v>0.6566546884414516</x:v>
      </x:c>
    </x:row>
    <x:row r="2246">
      <x:c r="A2246" s="59" t="n">
        <x:v>2243</x:v>
      </x:c>
      <x:c r="B2246" s="193" t="n">
        <x:v>0.8399574272334576</x:v>
      </x:c>
      <x:c r="C2246" s="83" t="n">
        <x:v>1.1734348861698087</x:v>
      </x:c>
      <x:c r="D2246" s="83" t="n">
        <x:v>0.5450809527712138</x:v>
      </x:c>
      <x:c r="E2246" s="81" t="n">
        <x:v>0.02381367482153277</x:v>
      </x:c>
      <x:c r="F2246" s="81" t="n">
        <x:v>0.3021578035433777</x:v>
      </x:c>
      <x:c r="G2246" s="81" t="n">
        <x:v>-0.0030222593497062013</x:v>
      </x:c>
      <x:c r="H2246" s="59" t="n">
        <x:v>0</x:v>
      </x:c>
      <x:c r="I2246" s="81" t="n">
        <x:v>0</x:v>
      </x:c>
      <x:c r="J2246" s="79" t="n">
        <x:v>0.0004046386311917024</x:v>
      </x:c>
      <x:c r="K2246" s="81" t="n">
        <x:v>-0.5375558500666258</x:v>
      </x:c>
      <x:c r="L2246" s="81" t="n">
        <x:v>-0.7187202117489491</x:v>
      </x:c>
      <x:c r="M2246" s="80" t="n">
        <x:v>7810.533972355836</x:v>
      </x:c>
      <x:c r="N2246" s="82" t="n">
        <x:v>0.3021873583687703</x:v>
      </x:c>
      <x:c r="O2246" s="82" t="n">
        <x:v>0.0862543583739737</x:v>
      </x:c>
      <x:c r="P2246" s="80" t="n">
        <x:v>9674.979942606828</x:v>
      </x:c>
      <x:c r="Q2246" s="81" t="n">
        <x:v>0.007390763430313338</x:v>
      </x:c>
      <x:c r="R2246" s="81" t="n">
        <x:v>22.59695723293974</x:v>
      </x:c>
      <x:c r="S2246" s="81" t="n">
        <x:v>7.247814466024859</x:v>
      </x:c>
      <x:c r="T2246" s="81" t="n">
        <x:v>8.76535616643212</x:v>
      </x:c>
    </x:row>
    <x:row r="2247">
      <x:c r="A2247" s="59" t="n">
        <x:v>2244</x:v>
      </x:c>
      <x:c r="B2247" s="193" t="n">
        <x:v>0.2735432639718056</x:v>
      </x:c>
      <x:c r="C2247" s="83" t="n">
        <x:v>1.6459076395747516</x:v>
      </x:c>
      <x:c r="D2247" s="83" t="n">
        <x:v>0.5188474037326418</x:v>
      </x:c>
      <x:c r="E2247" s="81" t="n">
        <x:v>0.0574289583329133</x:v>
      </x:c>
      <x:c r="F2247" s="81" t="n">
        <x:v>0.4370759548037313</x:v>
      </x:c>
      <x:c r="G2247" s="81" t="n">
        <x:v>0.030153784712536574</x:v>
      </x:c>
      <x:c r="H2247" s="59" t="n">
        <x:v>0</x:v>
      </x:c>
      <x:c r="I2247" s="81" t="n">
        <x:v>0</x:v>
      </x:c>
      <x:c r="J2247" s="79" t="n">
        <x:v>0.011611228427111887</x:v>
      </x:c>
      <x:c r="K2247" s="81" t="n">
        <x:v>12.26997534527073</x:v>
      </x:c>
      <x:c r="L2247" s="81" t="n">
        <x:v>-0.35528588318623666</x:v>
      </x:c>
      <x:c r="M2247" s="80" t="n">
        <x:v>55569.04762706296</x:v>
      </x:c>
      <x:c r="N2247" s="82" t="n">
        <x:v>0.1672568844142836</x:v>
      </x:c>
      <x:c r="O2247" s="82" t="n">
        <x:v>0.06905766018882477</x:v>
      </x:c>
      <x:c r="P2247" s="80" t="n">
        <x:v>56561.80094924146</x:v>
      </x:c>
      <x:c r="Q2247" s="81" t="n">
        <x:v>0.0029192550898820098</x:v>
      </x:c>
      <x:c r="R2247" s="81" t="n">
        <x:v>49.358559045112465</x:v>
      </x:c>
      <x:c r="S2247" s="81" t="n">
        <x:v>138.17436697688714</x:v>
      </x:c>
      <x:c r="T2247" s="81" t="n">
        <x:v>251.52455758782764</x:v>
      </x:c>
    </x:row>
    <x:row r="2248">
      <x:c r="A2248" s="59" t="n">
        <x:v>2245</x:v>
      </x:c>
      <x:c r="B2248" s="193" t="n">
        <x:v>0.8837291730567813</x:v>
      </x:c>
      <x:c r="C2248" s="83" t="n">
        <x:v>0.32859138433831847</x:v>
      </x:c>
      <x:c r="D2248" s="83" t="n">
        <x:v>2.1549139914537703</x:v>
      </x:c>
      <x:c r="E2248" s="81" t="n">
        <x:v>0.08328348856238643</x:v>
      </x:c>
      <x:c r="F2248" s="81" t="n">
        <x:v>0.31052716163685545</x:v>
      </x:c>
      <x:c r="G2248" s="81" t="n">
        <x:v>-0.04025248019883916</x:v>
      </x:c>
      <x:c r="H2248" s="59" t="n">
        <x:v>0</x:v>
      </x:c>
      <x:c r="I2248" s="81" t="n">
        <x:v>0</x:v>
      </x:c>
      <x:c r="J2248" s="79" t="n">
        <x:v>0.017355757002675387</x:v>
      </x:c>
      <x:c r="K2248" s="81" t="n">
        <x:v>18.835150860200443</x:v>
      </x:c>
      <x:c r="L2248" s="81" t="n">
        <x:v>-0.8184921585911437</x:v>
      </x:c>
      <x:c r="M2248" s="80" t="n">
        <x:v>47589.211923358765</x:v>
      </x:c>
      <x:c r="N2248" s="82" t="n">
        <x:v>0.31261460894411985</x:v>
      </x:c>
      <x:c r="O2248" s="82" t="n">
        <x:v>0.09170221057348643</x:v>
      </x:c>
      <x:c r="P2248" s="80" t="n">
        <x:v>142865.16724337352</x:v>
      </x:c>
      <x:c r="Q2248" s="81" t="n">
        <x:v>0.003052345499849973</x:v>
      </x:c>
      <x:c r="R2248" s="81" t="n">
        <x:v>2681.06353055508</x:v>
      </x:c>
      <x:c r="S2248" s="81" t="n">
        <x:v>1002.590613159529</x:v>
      </x:c>
      <x:c r="T2248" s="81" t="n">
        <x:v>375.96358809948885</x:v>
      </x:c>
    </x:row>
    <x:row r="2249">
      <x:c r="A2249" s="59" t="n">
        <x:v>2246</x:v>
      </x:c>
      <x:c r="B2249" s="193" t="n">
        <x:v>0.6856506610289217</x:v>
      </x:c>
      <x:c r="C2249" s="83" t="n">
        <x:v>0.7535482121384571</x:v>
      </x:c>
      <x:c r="D2249" s="83" t="n">
        <x:v>1.478333645653498</x:v>
      </x:c>
      <x:c r="E2249" s="81" t="n">
        <x:v>0.031861896999179275</x:v>
      </x:c>
      <x:c r="F2249" s="81" t="n">
        <x:v>0.524655919871293</x:v>
      </x:c>
      <x:c r="G2249" s="81" t="n">
        <x:v>0.0014538184927637</x:v>
      </x:c>
      <x:c r="H2249" s="59" t="n">
        <x:v>0</x:v>
      </x:c>
      <x:c r="I2249" s="81" t="n">
        <x:v>0</x:v>
      </x:c>
      <x:c r="J2249" s="79" t="n">
        <x:v>0.00194301509615238</x:v>
      </x:c>
      <x:c r="K2249" s="81" t="n">
        <x:v>1.2205886813170062</x:v>
      </x:c>
      <x:c r="L2249" s="81" t="n">
        <x:v>-0.7149508353502083</x:v>
      </x:c>
      <x:c r="M2249" s="80" t="n">
        <x:v>15772.004412434235</x:v>
      </x:c>
      <x:c r="N2249" s="82" t="n">
        <x:v>0.26542859340698344</x:v>
      </x:c>
      <x:c r="O2249" s="82" t="n">
        <x:v>0.13155071865905305</x:v>
      </x:c>
      <x:c r="P2249" s="80" t="n">
        <x:v>43338.33050306497</x:v>
      </x:c>
      <x:c r="Q2249" s="81" t="n">
        <x:v>0.0094464433044749</x:v>
      </x:c>
      <x:c r="R2249" s="81" t="n">
        <x:v>92.854465373025</x:v>
      </x:c>
      <x:c r="S2249" s="81" t="n">
        <x:v>53.964498495849625</x:v>
      </x:c>
      <x:c r="T2249" s="81" t="n">
        <x:v>42.089949010481945</x:v>
      </x:c>
    </x:row>
    <x:row r="2250">
      <x:c r="A2250" s="59" t="n">
        <x:v>2247</x:v>
      </x:c>
      <x:c r="B2250" s="193" t="n">
        <x:v>0.5777427304536105</x:v>
      </x:c>
      <x:c r="C2250" s="83" t="n">
        <x:v>0.2102418983403066</x:v>
      </x:c>
      <x:c r="D2250" s="83" t="n">
        <x:v>0.7272078090824959</x:v>
      </x:c>
      <x:c r="E2250" s="81" t="n">
        <x:v>-0.061253014874909195</x:v>
      </x:c>
      <x:c r="F2250" s="81" t="n">
        <x:v>0.6232233857852407</x:v>
      </x:c>
      <x:c r="G2250" s="81" t="n">
        <x:v>0.0034778818410580643</x:v>
      </x:c>
      <x:c r="H2250" s="59" t="n">
        <x:v>0</x:v>
      </x:c>
      <x:c r="I2250" s="81" t="n">
        <x:v>0</x:v>
      </x:c>
      <x:c r="J2250" s="79" t="n">
        <x:v>3.322686525941085e-27</x:v>
      </x:c>
      <x:c r="K2250" s="81" t="n">
        <x:v>-1</x:v>
      </x:c>
      <x:c r="L2250" s="81" t="n">
        <x:v>-1</x:v>
      </x:c>
      <x:c r="M2250" s="80" t="n">
        <x:v>0.000002</x:v>
      </x:c>
      <x:c r="N2250" s="82" t="n">
        <x:v>0.23972290107024607</x:v>
      </x:c>
      <x:c r="O2250" s="82" t="n">
        <x:v>0.1411315814462181</x:v>
      </x:c>
      <x:c r="P2250" s="80" t="n">
        <x:v>278.77087050842897</x:v>
      </x:c>
      <x:c r="Q2250" s="81" t="n">
        <x:v>10534086936.57975</x:v>
      </x:c>
      <x:c r="R2250" s="81" t="n">
        <x:v>13.648412467164082</x:v>
      </x:c>
      <x:c r="S2250" s="81" t="n">
        <x:v>5.49079727992197e-10</x:v>
      </x:c>
      <x:c r="T2250" s="81" t="n">
        <x:v>7.197664430483041e-23</x:v>
      </x:c>
    </x:row>
    <x:row r="2251">
      <x:c r="A2251" s="59" t="n">
        <x:v>2248</x:v>
      </x:c>
      <x:c r="B2251" s="193" t="n">
        <x:v>0.7046739451587201</x:v>
      </x:c>
      <x:c r="C2251" s="83" t="n">
        <x:v>0.29360451671311744</x:v>
      </x:c>
      <x:c r="D2251" s="83" t="n">
        <x:v>0.4583486900930325</x:v>
      </x:c>
      <x:c r="E2251" s="81" t="n">
        <x:v>-0.0671812817195354</x:v>
      </x:c>
      <x:c r="F2251" s="81" t="n">
        <x:v>0.7030363710364327</x:v>
      </x:c>
      <x:c r="G2251" s="81" t="n">
        <x:v>-0.01795421113915012</x:v>
      </x:c>
      <x:c r="H2251" s="59" t="n">
        <x:v>0</x:v>
      </x:c>
      <x:c r="I2251" s="81" t="n">
        <x:v>0</x:v>
      </x:c>
      <x:c r="J2251" s="79" t="n">
        <x:v>2.3187816599044143e-21</x:v>
      </x:c>
      <x:c r="K2251" s="81" t="n">
        <x:v>-1</x:v>
      </x:c>
      <x:c r="L2251" s="81" t="n">
        <x:v>-1</x:v>
      </x:c>
      <x:c r="M2251" s="80" t="n">
        <x:v>0.000011171416532658529</x:v>
      </x:c>
      <x:c r="N2251" s="82" t="n">
        <x:v>0.2699602963732789</x:v>
      </x:c>
      <x:c r="O2251" s="82" t="n">
        <x:v>0.17928693037120716</x:v>
      </x:c>
      <x:c r="P2251" s="80" t="n">
        <x:v>237.31909757740692</x:v>
      </x:c>
      <x:c r="Q2251" s="81" t="n">
        <x:v>77304.19797872855</x:v>
      </x:c>
      <x:c r="R2251" s="81" t="n">
        <x:v>12.21461052480299</x:v>
      </x:c>
      <x:c r="S2251" s="81" t="n">
        <x:v>1.458759504651806e-9</x:v>
      </x:c>
      <x:c r="T2251" s="81" t="n">
        <x:v>5.02298731621195e-17</x:v>
      </x:c>
    </x:row>
    <x:row r="2252">
      <x:c r="A2252" s="59" t="n">
        <x:v>2249</x:v>
      </x:c>
      <x:c r="B2252" s="193" t="n">
        <x:v>0.30449223723262553</x:v>
      </x:c>
      <x:c r="C2252" s="83" t="n">
        <x:v>0.19290629503050546</x:v>
      </x:c>
      <x:c r="D2252" s="83" t="n">
        <x:v>1.663937797835981</x:v>
      </x:c>
      <x:c r="E2252" s="81" t="n">
        <x:v>0.05392892859095495</x:v>
      </x:c>
      <x:c r="F2252" s="81" t="n">
        <x:v>0.3954839991172776</x:v>
      </x:c>
      <x:c r="G2252" s="81" t="n">
        <x:v>-0.022139807099864</x:v>
      </x:c>
      <x:c r="H2252" s="59" t="n">
        <x:v>80</x:v>
      </x:c>
      <x:c r="I2252" s="81" t="n">
        <x:v>0.20395775977522135</x:v>
      </x:c>
      <x:c r="J2252" s="79" t="n">
        <x:v>0.00862870797643659</x:v>
      </x:c>
      <x:c r="K2252" s="81" t="n">
        <x:v>8.861380544498962</x:v>
      </x:c>
      <x:c r="L2252" s="81" t="n">
        <x:v>-0.9360351323734211</x:v>
      </x:c>
      <x:c r="M2252" s="80" t="n">
        <x:v>25091.12709248137</x:v>
      </x:c>
      <x:c r="N2252" s="82" t="n">
        <x:v>0.1746295101382595</x:v>
      </x:c>
      <x:c r="O2252" s="82" t="n">
        <x:v>0.06524053212855438</x:v>
      </x:c>
      <x:c r="P2252" s="80" t="n">
        <x:v>67960.15745700418</x:v>
      </x:c>
      <x:c r="Q2252" s="81" t="n">
        <x:v>0.003086238928890105</x:v>
      </x:c>
      <x:c r="R2252" s="81" t="n">
        <x:v>1690.2736829580492</x:v>
      </x:c>
      <x:c r="S2252" s="81" t="n">
        <x:v>842.7388253018697</x:v>
      </x:c>
      <x:c r="T2252" s="81" t="n">
        <x:v>186.91665313035352</x:v>
      </x:c>
    </x:row>
    <x:row r="2253">
      <x:c r="A2253" s="59" t="n">
        <x:v>2250</x:v>
      </x:c>
      <x:c r="B2253" s="193" t="n">
        <x:v>0.48609011266380553</x:v>
      </x:c>
      <x:c r="C2253" s="83" t="n">
        <x:v>1.613058380023524</x:v>
      </x:c>
      <x:c r="D2253" s="83" t="n">
        <x:v>1.2061183199535206</x:v>
      </x:c>
      <x:c r="E2253" s="81" t="n">
        <x:v>-0.0002519131985750362</x:v>
      </x:c>
      <x:c r="F2253" s="81" t="n">
        <x:v>0.5717760042054578</x:v>
      </x:c>
      <x:c r="G2253" s="81" t="n">
        <x:v>0.012717401040042129</x:v>
      </x:c>
      <x:c r="H2253" s="59" t="n">
        <x:v>0</x:v>
      </x:c>
      <x:c r="I2253" s="81" t="n">
        <x:v>0</x:v>
      </x:c>
      <x:c r="J2253" s="79" t="n">
        <x:v>0.000002470956646131827</x:v>
      </x:c>
      <x:c r="K2253" s="81" t="n">
        <x:v>-0.9971760495472779</x:v>
      </x:c>
      <x:c r="L2253" s="81" t="n">
        <x:v>-0.9971760495472779</x:v>
      </x:c>
      <x:c r="M2253" s="80" t="n">
        <x:v>700.4233660380108</x:v>
      </x:c>
      <x:c r="N2253" s="82" t="n">
        <x:v>0.2178895290261308</x:v>
      </x:c>
      <x:c r="O2253" s="82" t="n">
        <x:v>0.11768828313548962</x:v>
      </x:c>
      <x:c r="P2253" s="80" t="n">
        <x:v>7407.358143794306</x:v>
      </x:c>
      <x:c r="Q2253" s="81" t="n">
        <x:v>0.1372446022326533</x:v>
      </x:c>
      <x:c r="R2253" s="81" t="n">
        <x:v>9.990672550742278</x:v>
      </x:c>
      <x:c r="S2253" s="81" t="n">
        <x:v>0.1941917465774732</x:v>
      </x:c>
      <x:c r="T2253" s="81" t="n">
        <x:v>0.053526315595153647</x:v>
      </x:c>
    </x:row>
    <x:row r="2254">
      <x:c r="A2254" s="59" t="n">
        <x:v>2251</x:v>
      </x:c>
      <x:c r="B2254" s="193" t="n">
        <x:v>0.5198087576776743</x:v>
      </x:c>
      <x:c r="C2254" s="83" t="n">
        <x:v>1.6413853493017325</x:v>
      </x:c>
      <x:c r="D2254" s="83" t="n">
        <x:v>0.7285577553921515</x:v>
      </x:c>
      <x:c r="E2254" s="81" t="n">
        <x:v>0.03186237400845692</x:v>
      </x:c>
      <x:c r="F2254" s="81" t="n">
        <x:v>0.5530045320047066</x:v>
      </x:c>
      <x:c r="G2254" s="81" t="n">
        <x:v>-0.012322465053985767</x:v>
      </x:c>
      <x:c r="H2254" s="59" t="n">
        <x:v>0</x:v>
      </x:c>
      <x:c r="I2254" s="81" t="n">
        <x:v>0</x:v>
      </x:c>
      <x:c r="J2254" s="79" t="n">
        <x:v>0.0008705418501543153</x:v>
      </x:c>
      <x:c r="K2254" s="81" t="n">
        <x:v>-0.005095028395068146</x:v>
      </x:c>
      <x:c r="L2254" s="81" t="n">
        <x:v>-0.647715485779947</x:v>
      </x:c>
      <x:c r="M2254" s="80" t="n">
        <x:v>14415.285911034505</x:v>
      </x:c>
      <x:c r="N2254" s="82" t="n">
        <x:v>0.22592194249302858</x:v>
      </x:c>
      <x:c r="O2254" s="82" t="n">
        <x:v>0.11802066185001509</x:v>
      </x:c>
      <x:c r="P2254" s="80" t="n">
        <x:v>21716.112404435953</x:v>
      </x:c>
      <x:c r="Q2254" s="81" t="n">
        <x:v>0.007995623773409908</x:v>
      </x:c>
      <x:c r="R2254" s="81" t="n">
        <x:v>25.669258728946055</x:v>
      </x:c>
      <x:c r="S2254" s="81" t="n">
        <x:v>11.389910903923523</x:v>
      </x:c>
      <x:c r="T2254" s="81" t="n">
        <x:v>18.857837058005128</x:v>
      </x:c>
    </x:row>
    <x:row r="2255">
      <x:c r="A2255" s="59" t="n">
        <x:v>2252</x:v>
      </x:c>
      <x:c r="B2255" s="193" t="n">
        <x:v>0.47616412509232764</x:v>
      </x:c>
      <x:c r="C2255" s="83" t="n">
        <x:v>0.16239760388755145</x:v>
      </x:c>
      <x:c r="D2255" s="83" t="n">
        <x:v>1.0878661361286344</x:v>
      </x:c>
      <x:c r="E2255" s="81" t="n">
        <x:v>0.07000330240475058</x:v>
      </x:c>
      <x:c r="F2255" s="81" t="n">
        <x:v>0.8012173815397546</x:v>
      </x:c>
      <x:c r="G2255" s="81" t="n">
        <x:v>0.002698428318158738</x:v>
      </x:c>
      <x:c r="H2255" s="59" t="n">
        <x:v>16</x:v>
      </x:c>
      <x:c r="I2255" s="81" t="n">
        <x:v>0.295947071351111</x:v>
      </x:c>
      <x:c r="J2255" s="79" t="n">
        <x:v>0.001656201164322618</x:v>
      </x:c>
      <x:c r="K2255" s="81" t="n">
        <x:v>0.8928013306544207</x:v>
      </x:c>
      <x:c r="L2255" s="81" t="n">
        <x:v>-0.8135800176170205</x:v>
      </x:c>
      <x:c r="M2255" s="80" t="n">
        <x:v>10697.668247716947</x:v>
      </x:c>
      <x:c r="N2255" s="82" t="n">
        <x:v>0.21552497267433796</x:v>
      </x:c>
      <x:c r="O2255" s="82" t="n">
        <x:v>0.16312439081476798</x:v>
      </x:c>
      <x:c r="P2255" s="80" t="n">
        <x:v>20115.42122666772</x:v>
      </x:c>
      <x:c r="Q2255" s="81" t="n">
        <x:v>0.005792735364311231</x:v>
      </x:c>
      <x:c r="R2255" s="81" t="n">
        <x:v>286.6591282441798</x:v>
      </x:c>
      <x:c r="S2255" s="81" t="n">
        <x:v>194.15240836875486</x:v>
      </x:c>
      <x:c r="T2255" s="81" t="n">
        <x:v>35.87693306937277</x:v>
      </x:c>
    </x:row>
    <x:row r="2256">
      <x:c r="A2256" s="59" t="n">
        <x:v>2253</x:v>
      </x:c>
      <x:c r="B2256" s="193" t="n">
        <x:v>0.7666977368295194</x:v>
      </x:c>
      <x:c r="C2256" s="83" t="n">
        <x:v>2.3303223499952</x:v>
      </x:c>
      <x:c r="D2256" s="83" t="n">
        <x:v>0.24803240078907463</x:v>
      </x:c>
      <x:c r="E2256" s="81" t="n">
        <x:v>-0.03428319904403478</x:v>
      </x:c>
      <x:c r="F2256" s="81" t="n">
        <x:v>0.8969357316847891</x:v>
      </x:c>
      <x:c r="G2256" s="81" t="n">
        <x:v>-0.025829908873286057</x:v>
      </x:c>
      <x:c r="H2256" s="59" t="n">
        <x:v>0</x:v>
      </x:c>
      <x:c r="I2256" s="81" t="n">
        <x:v>0</x:v>
      </x:c>
      <x:c r="J2256" s="79" t="n">
        <x:v>1.20721161120537e-9</x:v>
      </x:c>
      <x:c r="K2256" s="81" t="n">
        <x:v>-0.9999986203295872</x:v>
      </x:c>
      <x:c r="L2256" s="81" t="n">
        <x:v>-0.9999986203295872</x:v>
      </x:c>
      <x:c r="M2256" s="80" t="n">
        <x:v>19.955748963594605</x:v>
      </x:c>
      <x:c r="N2256" s="82" t="n">
        <x:v>0.284735526495357</x:v>
      </x:c>
      <x:c r="O2256" s="82" t="n">
        <x:v>0.2412536679400514</x:v>
      </x:c>
      <x:c r="P2256" s="80" t="n">
        <x:v>811.2195990707461</x:v>
      </x:c>
      <x:c r="Q2256" s="81" t="n">
        <x:v>0.48948768345763577</x:v>
      </x:c>
      <x:c r="R2256" s="81" t="n">
        <x:v>3.7039884342960883</x:v>
      </x:c>
      <x:c r="S2256" s="81" t="n">
        <x:v>0.000489023110143953</x:v>
      </x:c>
      <x:c r="T2256" s="81" t="n">
        <x:v>0.000026150839106250007</x:v>
      </x:c>
    </x:row>
    <x:row r="2257">
      <x:c r="A2257" s="59" t="n">
        <x:v>2254</x:v>
      </x:c>
      <x:c r="B2257" s="193" t="n">
        <x:v>0.7640473710373044</x:v>
      </x:c>
      <x:c r="C2257" s="83" t="n">
        <x:v>0.12346666874634678</x:v>
      </x:c>
      <x:c r="D2257" s="83" t="n">
        <x:v>1.1107305697931062</x:v>
      </x:c>
      <x:c r="E2257" s="81" t="n">
        <x:v>-0.1329109906660442</x:v>
      </x:c>
      <x:c r="F2257" s="81" t="n">
        <x:v>0.7074071282637306</x:v>
      </x:c>
      <x:c r="G2257" s="81" t="n">
        <x:v>0.03291978315012596</x:v>
      </x:c>
      <x:c r="H2257" s="59" t="n">
        <x:v>0</x:v>
      </x:c>
      <x:c r="I2257" s="81" t="n">
        <x:v>0</x:v>
      </x:c>
      <x:c r="J2257" s="79" t="n">
        <x:v>4.8281113752802636e-62</x:v>
      </x:c>
      <x:c r="K2257" s="81" t="n">
        <x:v>-1</x:v>
      </x:c>
      <x:c r="L2257" s="81" t="n">
        <x:v>-1</x:v>
      </x:c>
      <x:c r="M2257" s="80" t="n">
        <x:v>0.000002</x:v>
      </x:c>
      <x:c r="N2257" s="82" t="n">
        <x:v>0.28410415966929287</x:v>
      </x:c>
      <x:c r="O2257" s="82" t="n">
        <x:v>0.18985321939424737</x:v>
      </x:c>
      <x:c r="P2257" s="80" t="n">
        <x:v>157.6674644085104</x:v>
      </x:c>
      <x:c r="Q2257" s="81" t="n">
        <x:v>3.566583664701158e+44</x:v>
      </x:c>
      <x:c r="R2257" s="81" t="n">
        <x:v>7.293676194127461</x:v>
      </x:c>
      <x:c r="S2257" s="81" t="n">
        <x:v>1.2843879311885502e-9</x:v>
      </x:c>
      <x:c r="T2257" s="81" t="n">
        <x:v>1.0458743321391937e-57</x:v>
      </x:c>
    </x:row>
    <x:row r="2258">
      <x:c r="A2258" s="59" t="n">
        <x:v>2255</x:v>
      </x:c>
      <x:c r="B2258" s="193" t="n">
        <x:v>0.7094528429210187</x:v>
      </x:c>
      <x:c r="C2258" s="83" t="n">
        <x:v>0.16915050645454285</x:v>
      </x:c>
      <x:c r="D2258" s="83" t="n">
        <x:v>1.040985136340839</x:v>
      </x:c>
      <x:c r="E2258" s="81" t="n">
        <x:v>0.09516513569497878</x:v>
      </x:c>
      <x:c r="F2258" s="81" t="n">
        <x:v>0.5982402560766786</x:v>
      </x:c>
      <x:c r="G2258" s="81" t="n">
        <x:v>-0.00809612866889723</x:v>
      </x:c>
      <x:c r="H2258" s="59" t="n">
        <x:v>0</x:v>
      </x:c>
      <x:c r="I2258" s="81" t="n">
        <x:v>0</x:v>
      </x:c>
      <x:c r="J2258" s="79" t="n">
        <x:v>0.0026615463697109826</x:v>
      </x:c>
      <x:c r="K2258" s="81" t="n">
        <x:v>2.0417672796696946</x:v>
      </x:c>
      <x:c r="L2258" s="81" t="n">
        <x:v>-0.8082473884321066</x:v>
      </x:c>
      <x:c r="M2258" s="80" t="n">
        <x:v>14394.627622079115</x:v>
      </x:c>
      <x:c r="N2258" s="82" t="n">
        <x:v>0.27109871942459146</x:v>
      </x:c>
      <x:c r="O2258" s="82" t="n">
        <x:v>0.15320538893395955</x:v>
      </x:c>
      <x:c r="P2258" s="80" t="n">
        <x:v>25110.04559966524</x:v>
      </x:c>
      <x:c r="Q2258" s="81" t="n">
        <x:v>0.004129639494638837</x:v>
      </x:c>
      <x:c r="R2258" s="81" t="n">
        <x:v>648.6096670595376</x:v>
      </x:c>
      <x:c r="S2258" s="81" t="n">
        <x:v>297.63792285867396</x:v>
      </x:c>
      <x:c r="T2258" s="81" t="n">
        <x:v>57.654905107017825</x:v>
      </x:c>
    </x:row>
    <x:row r="2259">
      <x:c r="A2259" s="59" t="n">
        <x:v>2256</x:v>
      </x:c>
      <x:c r="B2259" s="193" t="n">
        <x:v>0.7897514380514623</x:v>
      </x:c>
      <x:c r="C2259" s="83" t="n">
        <x:v>0.5077926676247053</x:v>
      </x:c>
      <x:c r="D2259" s="83" t="n">
        <x:v>0.2175109300891008</x:v>
      </x:c>
      <x:c r="E2259" s="81" t="n">
        <x:v>0.024339082544899672</x:v>
      </x:c>
      <x:c r="F2259" s="81" t="n">
        <x:v>0.6729000718565659</x:v>
      </x:c>
      <x:c r="G2259" s="81" t="n">
        <x:v>-0.008904208986435274</x:v>
      </x:c>
      <x:c r="H2259" s="59" t="n">
        <x:v>0</x:v>
      </x:c>
      <x:c r="I2259" s="81" t="n">
        <x:v>0</x:v>
      </x:c>
      <x:c r="J2259" s="79" t="n">
        <x:v>0.0000063628859604640855</x:v>
      </x:c>
      <x:c r="K2259" s="81" t="n">
        <x:v>-0.9927281303308982</x:v>
      </x:c>
      <x:c r="L2259" s="81" t="n">
        <x:v>-0.9927281303308982</x:v>
      </x:c>
      <x:c r="M2259" s="80" t="n">
        <x:v>661.7549933815757</x:v>
      </x:c>
      <x:c r="N2259" s="82" t="n">
        <x:v>0.29022735038332176</x:v>
      </x:c>
      <x:c r="O2259" s="82" t="n">
        <x:v>0.18448448725204125</x:v>
      </x:c>
      <x:c r="P2259" s="80" t="n">
        <x:v>644.3324201948622</x:v>
      </x:c>
      <x:c r="Q2259" s="81" t="n">
        <x:v>0.011935343995995088</x:v>
      </x:c>
      <x:c r="R2259" s="81" t="n">
        <x:v>19.820404403258998</x:v>
      </x:c>
      <x:c r="S2259" s="81" t="n">
        <x:v>0.2710729347419469</x:v>
      </x:c>
      <x:c r="T2259" s="81" t="n">
        <x:v>0.1378340014783095</x:v>
      </x:c>
    </x:row>
    <x:row r="2260">
      <x:c r="A2260" s="59" t="n">
        <x:v>2257</x:v>
      </x:c>
      <x:c r="B2260" s="193" t="n">
        <x:v>0.6456657320261001</x:v>
      </x:c>
      <x:c r="C2260" s="83" t="n">
        <x:v>2.04372560731394</x:v>
      </x:c>
      <x:c r="D2260" s="83" t="n">
        <x:v>0.8244158123590147</x:v>
      </x:c>
      <x:c r="E2260" s="81" t="n">
        <x:v>-0.08158022625043476</x:v>
      </x:c>
      <x:c r="F2260" s="81" t="n">
        <x:v>0.7937833171570674</x:v>
      </x:c>
      <x:c r="G2260" s="81" t="n">
        <x:v>-0.015090400476080637</x:v>
      </x:c>
      <x:c r="H2260" s="59" t="n">
        <x:v>71</x:v>
      </x:c>
      <x:c r="I2260" s="81" t="n">
        <x:v>0.1738189360126853</x:v>
      </x:c>
      <x:c r="J2260" s="79" t="n">
        <x:v>5.1241486967772e-32</x:v>
      </x:c>
      <x:c r="K2260" s="81" t="n">
        <x:v>-1</x:v>
      </x:c>
      <x:c r="L2260" s="81" t="n">
        <x:v>-1</x:v>
      </x:c>
      <x:c r="M2260" s="80" t="n">
        <x:v>0.000002</x:v>
      </x:c>
      <x:c r="N2260" s="82" t="n">
        <x:v>0.2559034336010925</x:v>
      </x:c>
      <x:c r="O2260" s="82" t="n">
        <x:v>0.19188853275498313</x:v>
      </x:c>
      <x:c r="P2260" s="80" t="n">
        <x:v>606.2760407687475</x:v>
      </x:c>
      <x:c r="Q2260" s="81" t="n">
        <x:v>522693272548221.9</x:v>
      </x:c>
      <x:c r="R2260" s="81" t="n">
        <x:v>1.492825120878783</x:v>
      </x:c>
      <x:c r="S2260" s="81" t="n">
        <x:v>1.9719720744811685e-10</x:v>
      </x:c>
      <x:c r="T2260" s="81" t="n">
        <x:v>1.1100024791190072e-27</x:v>
      </x:c>
    </x:row>
    <x:row r="2261">
      <x:c r="A2261" s="59" t="n">
        <x:v>2258</x:v>
      </x:c>
      <x:c r="B2261" s="193" t="n">
        <x:v>0.8810795772820712</x:v>
      </x:c>
      <x:c r="C2261" s="83" t="n">
        <x:v>1.99487255278983</x:v>
      </x:c>
      <x:c r="D2261" s="83" t="n">
        <x:v>0.40330764267096564</x:v>
      </x:c>
      <x:c r="E2261" s="81" t="n">
        <x:v>0.08421451732310549</x:v>
      </x:c>
      <x:c r="F2261" s="81" t="n">
        <x:v>0.556305119569879</x:v>
      </x:c>
      <x:c r="G2261" s="81" t="n">
        <x:v>0.0060966431601558015</x:v>
      </x:c>
      <x:c r="H2261" s="59" t="n">
        <x:v>80</x:v>
      </x:c>
      <x:c r="I2261" s="81" t="n">
        <x:v>0.38812942141667006</x:v>
      </x:c>
      <x:c r="J2261" s="79" t="n">
        <x:v>0.002003359765725434</x:v>
      </x:c>
      <x:c r="K2261" s="81" t="n">
        <x:v>1.2895540179719251</x:v>
      </x:c>
      <x:c r="L2261" s="81" t="n">
        <x:v>-0.8035582021127264</x:v>
      </x:c>
      <x:c r="M2261" s="80" t="n">
        <x:v>26125.541149031375</x:v>
      </x:c>
      <x:c r="N2261" s="82" t="n">
        <x:v>0.3119834255506634</x:v>
      </x:c>
      <x:c r="O2261" s="82" t="n">
        <x:v>0.16395154772115755</x:v>
      </x:c>
      <x:c r="P2261" s="80" t="n">
        <x:v>21151.809819277692</x:v>
      </x:c>
      <x:c r="Q2261" s="81" t="n">
        <x:v>0.004645357292688405</x:v>
      </x:c>
      <x:c r="R2261" s="81" t="n">
        <x:v>28.722311200645265</x:v>
      </x:c>
      <x:c r="S2261" s="81" t="n">
        <x:v>20.43121547243359</x:v>
      </x:c>
      <x:c r="T2261" s="81" t="n">
        <x:v>43.397146299074215</x:v>
      </x:c>
    </x:row>
    <x:row r="2262">
      <x:c r="A2262" s="59" t="n">
        <x:v>2259</x:v>
      </x:c>
      <x:c r="B2262" s="193" t="n">
        <x:v>0.995325425453484</x:v>
      </x:c>
      <x:c r="C2262" s="83" t="n">
        <x:v>0.39369055527848534</x:v>
      </x:c>
      <x:c r="D2262" s="83" t="n">
        <x:v>1.2540792093870208</x:v>
      </x:c>
      <x:c r="E2262" s="81" t="n">
        <x:v>-0.06538096915685788</x:v>
      </x:c>
      <x:c r="F2262" s="81" t="n">
        <x:v>0.7508450341410935</x:v>
      </x:c>
      <x:c r="G2262" s="81" t="n">
        <x:v>0.012196365096202665</x:v>
      </x:c>
      <x:c r="H2262" s="59" t="n">
        <x:v>20</x:v>
      </x:c>
      <x:c r="I2262" s="81" t="n">
        <x:v>0.27558284075930717</x:v>
      </x:c>
      <x:c r="J2262" s="79" t="n">
        <x:v>3.6649996554538825e-39</x:v>
      </x:c>
      <x:c r="K2262" s="81" t="n">
        <x:v>-1</x:v>
      </x:c>
      <x:c r="L2262" s="81" t="n">
        <x:v>-1</x:v>
      </x:c>
      <x:c r="M2262" s="80" t="n">
        <x:v>0.000002</x:v>
      </x:c>
      <x:c r="N2262" s="82" t="n">
        <x:v>0.33919892869474716</x:v>
      </x:c>
      <x:c r="O2262" s="82" t="n">
        <x:v>0.2405889776085711</x:v>
      </x:c>
      <x:c r="P2262" s="80" t="n">
        <x:v>336.0946729770792</x:v>
      </x:c>
      <x:c r="Q2262" s="81" t="n">
        <x:v>8.982028809664144e+21</x:v>
      </x:c>
      <x:c r="R2262" s="81" t="n">
        <x:v>4.434897899199456</x:v>
      </x:c>
      <x:c r="S2262" s="81" t="n">
        <x:v>9.135187380467407e-10</x:v>
      </x:c>
      <x:c r="T2262" s="81" t="n">
        <x:v>7.939189403466687e-35</x:v>
      </x:c>
    </x:row>
    <x:row r="2263">
      <x:c r="A2263" s="59" t="n">
        <x:v>2260</x:v>
      </x:c>
      <x:c r="B2263" s="193" t="n">
        <x:v>0.8951880976557731</x:v>
      </x:c>
      <x:c r="C2263" s="83" t="n">
        <x:v>1.0419800446496494</x:v>
      </x:c>
      <x:c r="D2263" s="83" t="n">
        <x:v>0.45587336168853204</x:v>
      </x:c>
      <x:c r="E2263" s="81" t="n">
        <x:v>0.2</x:v>
      </x:c>
      <x:c r="F2263" s="81" t="n">
        <x:v>0.5511326326173731</x:v>
      </x:c>
      <x:c r="G2263" s="81" t="n">
        <x:v>-0.010383614683239752</x:v>
      </x:c>
      <x:c r="H2263" s="59" t="n">
        <x:v>0</x:v>
      </x:c>
      <x:c r="I2263" s="81" t="n">
        <x:v>0</x:v>
      </x:c>
      <x:c r="J2263" s="79" t="n">
        <x:v>0.005525916277709023</x:v>
      </x:c>
      <x:c r="K2263" s="81" t="n">
        <x:v>5.315332888810312</x:v>
      </x:c>
      <x:c r="L2263" s="81" t="n">
        <x:v>-0.7634823319573234</x:v>
      </x:c>
      <x:c r="M2263" s="80" t="n">
        <x:v>35213.43330339655</x:v>
      </x:c>
      <x:c r="N2263" s="82" t="n">
        <x:v>0.31534433963843617</x:v>
      </x:c>
      <x:c r="O2263" s="82" t="n">
        <x:v>0.1641769215985657</x:v>
      </x:c>
      <x:c r="P2263" s="80" t="n">
        <x:v>29420.08875951306</x:v>
      </x:c>
      <x:c r="Q2263" s="81" t="n">
        <x:v>0.0022402780816695336</x:v>
      </x:c>
      <x:c r="R2263" s="81" t="n">
        <x:v>188.8016142391978</x:v>
      </x:c>
      <x:c r="S2263" s="81" t="n">
        <x:v>102.01440907772607</x:v>
      </x:c>
      <x:c r="T2263" s="81" t="n">
        <x:v>119.70341086157188</x:v>
      </x:c>
    </x:row>
    <x:row r="2264">
      <x:c r="A2264" s="59" t="n">
        <x:v>2261</x:v>
      </x:c>
      <x:c r="B2264" s="193" t="n">
        <x:v>0.5220383791252972</x:v>
      </x:c>
      <x:c r="C2264" s="83" t="n">
        <x:v>1.2719922232681946</x:v>
      </x:c>
      <x:c r="D2264" s="83" t="n">
        <x:v>0.4456306118786681</x:v>
      </x:c>
      <x:c r="E2264" s="81" t="n">
        <x:v>-0.06154980457576154</x:v>
      </x:c>
      <x:c r="F2264" s="81" t="n">
        <x:v>0.8560054435045459</x:v>
      </x:c>
      <x:c r="G2264" s="81" t="n">
        <x:v>-0.01703226816879764</x:v>
      </x:c>
      <x:c r="H2264" s="59" t="n">
        <x:v>0</x:v>
      </x:c>
      <x:c r="I2264" s="81" t="n">
        <x:v>0</x:v>
      </x:c>
      <x:c r="J2264" s="79" t="n">
        <x:v>1.756872565825915e-19</x:v>
      </x:c>
      <x:c r="K2264" s="81" t="n">
        <x:v>-0.9999999999999998</x:v>
      </x:c>
      <x:c r="L2264" s="81" t="n">
        <x:v>-0.9999999999999998</x:v>
      </x:c>
      <x:c r="M2264" s="80" t="n">
        <x:v>0.00016973700428808057</x:v>
      </x:c>
      <x:c r="N2264" s="82" t="n">
        <x:v>0.22645308012725426</x:v>
      </x:c>
      <x:c r="O2264" s="82" t="n">
        <x:v>0.1831157501585746</x:v>
      </x:c>
      <x:c r="P2264" s="80" t="n">
        <x:v>483.2058689702407</x:v>
      </x:c>
      <x:c r="Q2264" s="81" t="n">
        <x:v>16831.182254357624</x:v>
      </x:c>
      <x:c r="R2264" s="81" t="n">
        <x:v>3.821350586364733</x:v>
      </x:c>
      <x:c r="S2264" s="81" t="n">
        <x:v>1.23530489104892e-8</x:v>
      </x:c>
      <x:c r="T2264" s="81" t="n">
        <x:v>3.805769541366863e-15</x:v>
      </x:c>
    </x:row>
    <x:row r="2265">
      <x:c r="A2265" s="59" t="n">
        <x:v>2262</x:v>
      </x:c>
      <x:c r="B2265" s="193" t="n">
        <x:v>0.9654098052531481</x:v>
      </x:c>
      <x:c r="C2265" s="83" t="n">
        <x:v>1.1124441952484765</x:v>
      </x:c>
      <x:c r="D2265" s="83" t="n">
        <x:v>1.2897477308948777</x:v>
      </x:c>
      <x:c r="E2265" s="81" t="n">
        <x:v>-0.0167686328140117</x:v>
      </x:c>
      <x:c r="F2265" s="81" t="n">
        <x:v>0.8093936032615602</x:v>
      </x:c>
      <x:c r="G2265" s="81" t="n">
        <x:v>-0.02091028838697214</x:v>
      </x:c>
      <x:c r="H2265" s="59" t="n">
        <x:v>0</x:v>
      </x:c>
      <x:c r="I2265" s="81" t="n">
        <x:v>0</x:v>
      </x:c>
      <x:c r="J2265" s="79" t="n">
        <x:v>2.1433358591100433e-16</x:v>
      </x:c>
      <x:c r="K2265" s="81" t="n">
        <x:v>-0.9999999999997551</x:v>
      </x:c>
      <x:c r="L2265" s="81" t="n">
        <x:v>-0.9999999999997551</x:v>
      </x:c>
      <x:c r="M2265" s="80" t="n">
        <x:v>0.005456106032986873</x:v>
      </x:c>
      <x:c r="N2265" s="82" t="n">
        <x:v>0.33207246704514837</x:v>
      </x:c>
      <x:c r="O2265" s="82" t="n">
        <x:v>0.2539005129599021</x:v>
      </x:c>
      <x:c r="P2265" s="80" t="n">
        <x:v>1380.2155685038197</x:v>
      </x:c>
      <x:c r="Q2265" s="81" t="n">
        <x:v>1559.0976325083059</x:v>
      </x:c>
      <x:c r="R2265" s="81" t="n">
        <x:v>5.3087616390432535</x:v>
      </x:c>
      <x:c r="S2265" s="81" t="n">
        <x:v>0.0000011656446956472083</x:v>
      </x:c>
      <x:c r="T2265" s="81" t="n">
        <x:v>4.642933408027641e-12</x:v>
      </x:c>
    </x:row>
    <x:row r="2266">
      <x:c r="A2266" s="59" t="n">
        <x:v>2263</x:v>
      </x:c>
      <x:c r="B2266" s="193" t="n">
        <x:v>0.4603446822613478</x:v>
      </x:c>
      <x:c r="C2266" s="83" t="n">
        <x:v>0.32900667455027754</x:v>
      </x:c>
      <x:c r="D2266" s="83" t="n">
        <x:v>0.6937597158293527</x:v>
      </x:c>
      <x:c r="E2266" s="81" t="n">
        <x:v>-0.0542355755874386</x:v>
      </x:c>
      <x:c r="F2266" s="81" t="n">
        <x:v>0.7520061074872502</x:v>
      </x:c>
      <x:c r="G2266" s="81" t="n">
        <x:v>0.018734761559461657</x:v>
      </x:c>
      <x:c r="H2266" s="59" t="n">
        <x:v>0</x:v>
      </x:c>
      <x:c r="I2266" s="81" t="n">
        <x:v>0</x:v>
      </x:c>
      <x:c r="J2266" s="79" t="n">
        <x:v>2.521840258693536e-26</x:v>
      </x:c>
      <x:c r="K2266" s="81" t="n">
        <x:v>-1</x:v>
      </x:c>
      <x:c r="L2266" s="81" t="n">
        <x:v>-1</x:v>
      </x:c>
      <x:c r="M2266" s="80" t="n">
        <x:v>0.000002</x:v>
      </x:c>
      <x:c r="N2266" s="82" t="n">
        <x:v>0.2117564847774454</x:v>
      </x:c>
      <x:c r="O2266" s="82" t="n">
        <x:v>0.1504281202336526</x:v>
      </x:c>
      <x:c r="P2266" s="80" t="n">
        <x:v>332.08425857684375</x:v>
      </x:c>
      <x:c r="Q2266" s="81" t="n">
        <x:v>1557150686.3803391</x:v>
      </x:c>
      <x:c r="R2266" s="81" t="n">
        <x:v>10.158987308703509</x:v>
      </x:c>
      <x:c r="S2266" s="81" t="n">
        <x:v>5.731430753824969e-10</x:v>
      </x:c>
      <x:c r="T2266" s="81" t="n">
        <x:v>5.462856573331905e-22</x:v>
      </x:c>
    </x:row>
    <x:row r="2267">
      <x:c r="A2267" s="59" t="n">
        <x:v>2264</x:v>
      </x:c>
      <x:c r="B2267" s="193" t="n">
        <x:v>0.29905883148312573</x:v>
      </x:c>
      <x:c r="C2267" s="83" t="n">
        <x:v>0.3460551463112874</x:v>
      </x:c>
      <x:c r="D2267" s="83" t="n">
        <x:v>1.771544973266354</x:v>
      </x:c>
      <x:c r="E2267" s="81" t="n">
        <x:v>-0.023540595486515915</x:v>
      </x:c>
      <x:c r="F2267" s="81" t="n">
        <x:v>0.5051653035334311</x:v>
      </x:c>
      <x:c r="G2267" s="81" t="n">
        <x:v>0.01207801554964596</x:v>
      </x:c>
      <x:c r="H2267" s="59" t="n">
        <x:v>0</x:v>
      </x:c>
      <x:c r="I2267" s="81" t="n">
        <x:v>0</x:v>
      </x:c>
      <x:c r="J2267" s="79" t="n">
        <x:v>5.2077463775202424e-27</x:v>
      </x:c>
      <x:c r="K2267" s="81" t="n">
        <x:v>-1</x:v>
      </x:c>
      <x:c r="L2267" s="81" t="n">
        <x:v>-1</x:v>
      </x:c>
      <x:c r="M2267" s="80" t="n">
        <x:v>0.000002</x:v>
      </x:c>
      <x:c r="N2267" s="82" t="n">
        <x:v>0.17333517101237098</x:v>
      </x:c>
      <x:c r="O2267" s="82" t="n">
        <x:v>0.0827163094369344</x:v>
      </x:c>
      <x:c r="P2267" s="80" t="n">
        <x:v>848.5375436632371</x:v>
      </x:c>
      <x:c r="Q2267" s="81" t="n">
        <x:v>16866796424.220436</x:v>
      </x:c>
      <x:c r="R2267" s="81" t="n">
        <x:v>10.752485849945138</x:v>
      </x:c>
      <x:c r="S2267" s="81" t="n">
        <x:v>1.334228852696654e-9</x:v>
      </x:c>
      <x:c r="T2267" s="81" t="n">
        <x:v>1.1281115618885489e-22</x:v>
      </x:c>
    </x:row>
    <x:row r="2268">
      <x:c r="A2268" s="59" t="n">
        <x:v>2265</x:v>
      </x:c>
      <x:c r="B2268" s="193" t="n">
        <x:v>0.9447790797799827</x:v>
      </x:c>
      <x:c r="C2268" s="83" t="n">
        <x:v>0.17808572820611113</x:v>
      </x:c>
      <x:c r="D2268" s="83" t="n">
        <x:v>0.700703218038538</x:v>
      </x:c>
      <x:c r="E2268" s="81" t="n">
        <x:v>0.2</x:v>
      </x:c>
      <x:c r="F2268" s="81" t="n">
        <x:v>0.4806735657621175</x:v>
      </x:c>
      <x:c r="G2268" s="81" t="n">
        <x:v>-0.04642120317083162</x:v>
      </x:c>
      <x:c r="H2268" s="59" t="n">
        <x:v>0</x:v>
      </x:c>
      <x:c r="I2268" s="81" t="n">
        <x:v>0</x:v>
      </x:c>
      <x:c r="J2268" s="79" t="n">
        <x:v>0.0024909101316648082</x:v>
      </x:c>
      <x:c r="K2268" s="81" t="n">
        <x:v>1.8467544361883523</x:v>
      </x:c>
      <x:c r="L2268" s="81" t="n">
        <x:v>-0.8384236128498084</x:v>
      </x:c>
      <x:c r="M2268" s="80" t="n">
        <x:v>14532.567121253933</x:v>
      </x:c>
      <x:c r="N2268" s="82" t="n">
        <x:v>0.3271578414113379</x:v>
      </x:c>
      <x:c r="O2268" s="82" t="n">
        <x:v>0.14855200403957833</x:v>
      </x:c>
      <x:c r="P2268" s="80" t="n">
        <x:v>17623.5448668156</x:v>
      </x:c>
      <x:c r="Q2268" s="81" t="n">
        <x:v>0.002056454444598636</x:v>
      </x:c>
      <x:c r="R2268" s="81" t="n">
        <x:v>1150.6839339583262</x:v>
      </x:c>
      <x:c r="S2268" s="81" t="n">
        <x:v>262.19623351779194</x:v>
      </x:c>
      <x:c r="T2268" s="81" t="n">
        <x:v>53.958551654630305</x:v>
      </x:c>
    </x:row>
    <x:row r="2269">
      <x:c r="A2269" s="59" t="n">
        <x:v>2266</x:v>
      </x:c>
      <x:c r="B2269" s="193" t="n">
        <x:v>0.840690850839019</x:v>
      </x:c>
      <x:c r="C2269" s="83" t="n">
        <x:v>0.1445343652799238</x:v>
      </x:c>
      <x:c r="D2269" s="83" t="n">
        <x:v>0.9412476272315535</x:v>
      </x:c>
      <x:c r="E2269" s="81" t="n">
        <x:v>0.027903432462866723</x:v>
      </x:c>
      <x:c r="F2269" s="81" t="n">
        <x:v>0.5246168778045104</x:v>
      </x:c>
      <x:c r="G2269" s="81" t="n">
        <x:v>0.011556606143489457</x:v>
      </x:c>
      <x:c r="H2269" s="59" t="n">
        <x:v>68</x:v>
      </x:c>
      <x:c r="I2269" s="81" t="n">
        <x:v>0.15271228197962047</x:v>
      </x:c>
      <x:c r="J2269" s="79" t="n">
        <x:v>0.0002307757775504626</x:v>
      </x:c>
      <x:c r="K2269" s="81" t="n">
        <x:v>-0.7362562542280426</x:v>
      </x:c>
      <x:c r="L2269" s="81" t="n">
        <x:v>-0.8839798267833895</x:v>
      </x:c>
      <x:c r="M2269" s="80" t="n">
        <x:v>3308.073400667178</x:v>
      </x:c>
      <x:c r="N2269" s="82" t="n">
        <x:v>0.3023620736233076</x:v>
      </x:c>
      <x:c r="O2269" s="82" t="n">
        <x:v>0.14984439942253938</x:v>
      </x:c>
      <x:c r="P2269" s="80" t="n">
        <x:v>6734.962766977871</x:v>
      </x:c>
      <x:c r="Q2269" s="81" t="n">
        <x:v>0.011556424814307843</x:v>
      </x:c>
      <x:c r="R2269" s="81" t="n">
        <x:v>132.4564633495194</x:v>
      </x:c>
      <x:c r="S2269" s="81" t="n">
        <x:v>31.050020924600133</x:v>
      </x:c>
      <x:c r="T2269" s="81" t="n">
        <x:v>4.999107175846425</x:v>
      </x:c>
    </x:row>
    <x:row r="2270">
      <x:c r="A2270" s="59" t="n">
        <x:v>2267</x:v>
      </x:c>
      <x:c r="B2270" s="193" t="n">
        <x:v>0.9963042087852956</x:v>
      </x:c>
      <x:c r="C2270" s="83" t="n">
        <x:v>0.3755154313605182</x:v>
      </x:c>
      <x:c r="D2270" s="83" t="n">
        <x:v>1.2508842618223277</x:v>
      </x:c>
      <x:c r="E2270" s="81" t="n">
        <x:v>0.051193683163226526</x:v>
      </x:c>
      <x:c r="F2270" s="81" t="n">
        <x:v>0.5122864403994754</x:v>
      </x:c>
      <x:c r="G2270" s="81" t="n">
        <x:v>0.00019622469885837912</x:v>
      </x:c>
      <x:c r="H2270" s="59" t="n">
        <x:v>0</x:v>
      </x:c>
      <x:c r="I2270" s="81" t="n">
        <x:v>0</x:v>
      </x:c>
      <x:c r="J2270" s="79" t="n">
        <x:v>0.0014653810318671684</x:v>
      </x:c>
      <x:c r="K2270" s="81" t="n">
        <x:v>0.674721179276764</x:v>
      </x:c>
      <x:c r="L2270" s="81" t="n">
        <x:v>-0.7870017522980681</x:v>
      </x:c>
      <x:c r="M2270" s="80" t="n">
        <x:v>11397.843211145608</x:v>
      </x:c>
      <x:c r="N2270" s="82" t="n">
        <x:v>0.33943209323657203</x:v>
      </x:c>
      <x:c r="O2270" s="82" t="n">
        <x:v>0.16426184820137643</x:v>
      </x:c>
      <x:c r="P2270" s="80" t="n">
        <x:v>25741.08339812666</x:v>
      </x:c>
      <x:c r="Q2270" s="81" t="n">
        <x:v>0.007607558941255265</x:v>
      </x:c>
      <x:c r="R2270" s="81" t="n">
        <x:v>167.06297508622023</x:v>
      </x:c>
      <x:c r="S2270" s="81" t="n">
        <x:v>77.20286254654205</x:v>
      </x:c>
      <x:c r="T2270" s="81" t="n">
        <x:v>31.743352398214967</x:v>
      </x:c>
    </x:row>
    <x:row r="2271">
      <x:c r="A2271" s="59" t="n">
        <x:v>2268</x:v>
      </x:c>
      <x:c r="B2271" s="193" t="n">
        <x:v>0.30455613862723113</x:v>
      </x:c>
      <x:c r="C2271" s="83" t="n">
        <x:v>0.11907200530654309</x:v>
      </x:c>
      <x:c r="D2271" s="83" t="n">
        <x:v>0.44756968349705584</x:v>
      </x:c>
      <x:c r="E2271" s="81" t="n">
        <x:v>0.08930280688561747</x:v>
      </x:c>
      <x:c r="F2271" s="81" t="n">
        <x:v>0.4631682682433166</x:v>
      </x:c>
      <x:c r="G2271" s="81" t="n">
        <x:v>0.0374902767441835</x:v>
      </x:c>
      <x:c r="H2271" s="59" t="n">
        <x:v>49</x:v>
      </x:c>
      <x:c r="I2271" s="81" t="n">
        <x:v>0.11424089167267085</x:v>
      </x:c>
      <x:c r="J2271" s="79" t="n">
        <x:v>0.0038046141462839272</x:v>
      </x:c>
      <x:c r="K2271" s="81" t="n">
        <x:v>3.3481304528959175</x:v>
      </x:c>
      <x:c r="L2271" s="81" t="n">
        <x:v>-0.7143773647355456</x:v>
      </x:c>
      <x:c r="M2271" s="80" t="n">
        <x:v>14216.261637140475</x:v>
      </x:c>
      <x:c r="N2271" s="82" t="n">
        <x:v>0.17464473264860586</x:v>
      </x:c>
      <x:c r="O2271" s="82" t="n">
        <x:v>0.07641264478029061</x:v>
      </x:c>
      <x:c r="P2271" s="80" t="n">
        <x:v>12855.20595039349</x:v>
      </x:c>
      <x:c r="Q2271" s="81" t="n">
        <x:v>0.002095106927546183</x:v>
      </x:c>
      <x:c r="R2271" s="81" t="n">
        <x:v>482.57484690057805</x:v>
      </x:c>
      <x:c r="S2271" s="81" t="n">
        <x:v>597.4632682836111</x:v>
      </x:c>
      <x:c r="T2271" s="81" t="n">
        <x:v>82.41624871507959</x:v>
      </x:c>
    </x:row>
    <x:row r="2272">
      <x:c r="A2272" s="59" t="n">
        <x:v>2269</x:v>
      </x:c>
      <x:c r="B2272" s="193" t="n">
        <x:v>0.9267930354923011</x:v>
      </x:c>
      <x:c r="C2272" s="83" t="n">
        <x:v>0.6972723861702024</x:v>
      </x:c>
      <x:c r="D2272" s="83" t="n">
        <x:v>0.4514398222749073</x:v>
      </x:c>
      <x:c r="E2272" s="81" t="n">
        <x:v>-0.05988426977217165</x:v>
      </x:c>
      <x:c r="F2272" s="81" t="n">
        <x:v>0.7696836719056591</x:v>
      </x:c>
      <x:c r="G2272" s="81" t="n">
        <x:v>0.0018803718771237127</x:v>
      </x:c>
      <x:c r="H2272" s="59" t="n">
        <x:v>0</x:v>
      </x:c>
      <x:c r="I2272" s="81" t="n">
        <x:v>0</x:v>
      </x:c>
      <x:c r="J2272" s="79" t="n">
        <x:v>2.8388503987073736e-21</x:v>
      </x:c>
      <x:c r="K2272" s="81" t="n">
        <x:v>-1</x:v>
      </x:c>
      <x:c r="L2272" s="81" t="n">
        <x:v>-1</x:v>
      </x:c>
      <x:c r="M2272" s="80" t="n">
        <x:v>0.00001621366824243592</x:v>
      </x:c>
      <x:c r="N2272" s="82" t="n">
        <x:v>0.3228732284236817</x:v>
      </x:c>
      <x:c r="O2272" s="82" t="n">
        <x:v>0.23475521655927914</x:v>
      </x:c>
      <x:c r="P2272" s="80" t="n">
        <x:v>334.1735713748472</x:v>
      </x:c>
      <x:c r="Q2272" s="81" t="n">
        <x:v>102105.52372848323</x:v>
      </x:c>
      <x:c r="R2272" s="81" t="n">
        <x:v>5.800569921079336</x:v>
      </x:c>
      <x:c r="S2272" s="81" t="n">
        <x:v>2.038383504329859e-9</x:v>
      </x:c>
      <x:c r="T2272" s="81" t="n">
        <x:v>6.149569746863612e-17</x:v>
      </x:c>
    </x:row>
    <x:row r="2273">
      <x:c r="A2273" s="59" t="n">
        <x:v>2270</x:v>
      </x:c>
      <x:c r="B2273" s="193" t="n">
        <x:v>0.8974040916189552</x:v>
      </x:c>
      <x:c r="C2273" s="83" t="n">
        <x:v>1.7448689268532966</x:v>
      </x:c>
      <x:c r="D2273" s="83" t="n">
        <x:v>0.1700345424787415</x:v>
      </x:c>
      <x:c r="E2273" s="81" t="n">
        <x:v>0.035351102206502664</x:v>
      </x:c>
      <x:c r="F2273" s="81" t="n">
        <x:v>0.473161326139234</x:v>
      </x:c>
      <x:c r="G2273" s="81" t="n">
        <x:v>0.02621418397000453</x:v>
      </x:c>
      <x:c r="H2273" s="59" t="n">
        <x:v>0</x:v>
      </x:c>
      <x:c r="I2273" s="81" t="n">
        <x:v>0</x:v>
      </x:c>
      <x:c r="J2273" s="79" t="n">
        <x:v>0.00008926408581778513</x:v>
      </x:c>
      <x:c r="K2273" s="81" t="n">
        <x:v>-0.8979839019225313</x:v>
      </x:c>
      <x:c r="L2273" s="81" t="n">
        <x:v>-0.9239751771339935</x:v>
      </x:c>
      <x:c r="M2273" s="80" t="n">
        <x:v>4534.12609626846</x:v>
      </x:c>
      <x:c r="N2273" s="82" t="n">
        <x:v>0.3158722309503532</x:v>
      </x:c>
      <x:c r="O2273" s="82" t="n">
        <x:v>0.14118599860788963</x:v>
      </x:c>
      <x:c r="P2273" s="80" t="n">
        <x:v>2358.908733526559</x:v>
      </x:c>
      <x:c r="Q2273" s="81" t="n">
        <x:v>0.007490951267377658</x:v>
      </x:c>
      <x:c r="R2273" s="81" t="n">
        <x:v>9.52350645513358</x:v>
      </x:c>
      <x:c r="S2273" s="81" t="n">
        <x:v>1.1235301929003816</x:v>
      </x:c>
      <x:c r="T2273" s="81" t="n">
        <x:v>1.9336549818773048</x:v>
      </x:c>
    </x:row>
    <x:row r="2274">
      <x:c r="A2274" s="59" t="n">
        <x:v>2271</x:v>
      </x:c>
      <x:c r="B2274" s="193" t="n">
        <x:v>0.5976089084520937</x:v>
      </x:c>
      <x:c r="C2274" s="83" t="n">
        <x:v>1.7450194989611711</x:v>
      </x:c>
      <x:c r="D2274" s="83" t="n">
        <x:v>0.15899111238968971</x:v>
      </x:c>
      <x:c r="E2274" s="81" t="n">
        <x:v>0.00663799795697794</x:v>
      </x:c>
      <x:c r="F2274" s="81" t="n">
        <x:v>0.40283015952445567</x:v>
      </x:c>
      <x:c r="G2274" s="81" t="n">
        <x:v>0.026846131400276287</x:v>
      </x:c>
      <x:c r="H2274" s="59" t="n">
        <x:v>0</x:v>
      </x:c>
      <x:c r="I2274" s="81" t="n">
        <x:v>0</x:v>
      </x:c>
      <x:c r="J2274" s="79" t="n">
        <x:v>0.00001365457419370525</x:v>
      </x:c>
      <x:c r="K2274" s="81" t="n">
        <x:v>-0.9843947723500511</x:v>
      </x:c>
      <x:c r="L2274" s="81" t="n">
        <x:v>-0.9843947723500511</x:v>
      </x:c>
      <x:c r="M2274" s="80" t="n">
        <x:v>1734.6199248594394</x:v>
      </x:c>
      <x:c r="N2274" s="82" t="n">
        <x:v>0.24445539716032214</x:v>
      </x:c>
      <x:c r="O2274" s="82" t="n">
        <x:v>0.09302347313930932</x:v>
      </x:c>
      <x:c r="P2274" s="80" t="n">
        <x:v>1566.86154367957</x:v>
      </x:c>
      <x:c r="Q2274" s="81" t="n">
        <x:v>0.011648834520285683</x:v>
      </x:c>
      <x:c r="R2274" s="81" t="n">
        <x:v>8.7172639349697</x:v>
      </x:c>
      <x:c r="S2274" s="81" t="n">
        <x:v>0.20663261287677973</x:v>
      </x:c>
      <x:c r="T2274" s="81" t="n">
        <x:v>0.2957878879639051</x:v>
      </x:c>
    </x:row>
    <x:row r="2275">
      <x:c r="A2275" s="59" t="n">
        <x:v>2272</x:v>
      </x:c>
      <x:c r="B2275" s="193" t="n">
        <x:v>0.4564507966861129</x:v>
      </x:c>
      <x:c r="C2275" s="83" t="n">
        <x:v>0.346727767091523</x:v>
      </x:c>
      <x:c r="D2275" s="83" t="n">
        <x:v>0.771377325762802</x:v>
      </x:c>
      <x:c r="E2275" s="81" t="n">
        <x:v>-0.007393181842205677</x:v>
      </x:c>
      <x:c r="F2275" s="81" t="n">
        <x:v>0.48287463961169125</x:v>
      </x:c>
      <x:c r="G2275" s="81" t="n">
        <x:v>0.01707634823605366</x:v>
      </x:c>
      <x:c r="H2275" s="59" t="n">
        <x:v>44</x:v>
      </x:c>
      <x:c r="I2275" s="81" t="n">
        <x:v>0.14957631416618825</x:v>
      </x:c>
      <x:c r="J2275" s="79" t="n">
        <x:v>2.5554957621275344e-9</x:v>
      </x:c>
      <x:c r="K2275" s="81" t="n">
        <x:v>-0.9999970794334148</x:v>
      </x:c>
      <x:c r="L2275" s="81" t="n">
        <x:v>-0.9999970794334148</x:v>
      </x:c>
      <x:c r="M2275" s="80" t="n">
        <x:v>11.728057772202474</x:v>
      </x:c>
      <x:c r="N2275" s="82" t="n">
        <x:v>0.21082888822306997</x:v>
      </x:c>
      <x:c r="O2275" s="82" t="n">
        <x:v>0.09616907912469025</x:v>
      </x:c>
      <x:c r="P2275" s="80" t="n">
        <x:v>1196.73520423159</x:v>
      </x:c>
      <x:c r="Q2275" s="81" t="n">
        <x:v>0.6043330116511328</x:v>
      </x:c>
      <x:c r="R2275" s="81" t="n">
        <x:v>26.099052280479746</x:v>
      </x:c>
      <x:c r="S2275" s="81" t="n">
        <x:v>0.003803030933098433</x:v>
      </x:c>
      <x:c r="T2275" s="81" t="n">
        <x:v>0.000055357617415040005</x:v>
      </x:c>
    </x:row>
    <x:row r="2276">
      <x:c r="A2276" s="59" t="n">
        <x:v>2273</x:v>
      </x:c>
      <x:c r="B2276" s="193" t="n">
        <x:v>0.8939018296077847</x:v>
      </x:c>
      <x:c r="C2276" s="83" t="n">
        <x:v>1.7998013832911786</x:v>
      </x:c>
      <x:c r="D2276" s="83" t="n">
        <x:v>0.41786919948495505</x:v>
      </x:c>
      <x:c r="E2276" s="81" t="n">
        <x:v>-0.16863536569693613</x:v>
      </x:c>
      <x:c r="F2276" s="81" t="n">
        <x:v>0.44153517656959596</x:v>
      </x:c>
      <x:c r="G2276" s="81" t="n">
        <x:v>-0.02799648440309548</x:v>
      </x:c>
      <x:c r="H2276" s="59" t="n">
        <x:v>48</x:v>
      </x:c>
      <x:c r="I2276" s="81" t="n">
        <x:v>0.10002864887937904</x:v>
      </x:c>
      <x:c r="J2276" s="79" t="n">
        <x:v>1.9349934897108188e-31</x:v>
      </x:c>
      <x:c r="K2276" s="81" t="n">
        <x:v>-1</x:v>
      </x:c>
      <x:c r="L2276" s="81" t="n">
        <x:v>-1</x:v>
      </x:c>
      <x:c r="M2276" s="80" t="n">
        <x:v>0.000002</x:v>
      </x:c>
      <x:c r="N2276" s="82" t="n">
        <x:v>0.31503792647187945</x:v>
      </x:c>
      <x:c r="O2276" s="82" t="n">
        <x:v>0.1314011273349884</x:v>
      </x:c>
      <x:c r="P2276" s="80" t="n">
        <x:v>276.6186303024357</x:v>
      </x:c>
      <x:c r="Q2276" s="81" t="n">
        <x:v>72351186751243.1</x:v>
      </x:c>
      <x:c r="R2276" s="81" t="n">
        <x:v>1.3670927590934112</x:v>
      </x:c>
      <x:c r="S2276" s="81" t="n">
        <x:v>9.254989094099294e-11</x:v>
      </x:c>
      <x:c r="T2276" s="81" t="n">
        <x:v>4.191618350203271e-27</x:v>
      </x:c>
    </x:row>
    <x:row r="2277">
      <x:c r="A2277" s="59" t="n">
        <x:v>2274</x:v>
      </x:c>
      <x:c r="B2277" s="193" t="n">
        <x:v>0.46136859562247995</x:v>
      </x:c>
      <x:c r="C2277" s="83" t="n">
        <x:v>2.6498615099098917</x:v>
      </x:c>
      <x:c r="D2277" s="83" t="n">
        <x:v>1.131591269717128</x:v>
      </x:c>
      <x:c r="E2277" s="81" t="n">
        <x:v>0.048165200520909064</x:v>
      </x:c>
      <x:c r="F2277" s="81" t="n">
        <x:v>0.7181205210392363</x:v>
      </x:c>
      <x:c r="G2277" s="81" t="n">
        <x:v>0.01679240894863393</x:v>
      </x:c>
      <x:c r="H2277" s="59" t="n">
        <x:v>0</x:v>
      </x:c>
      <x:c r="I2277" s="81" t="n">
        <x:v>0</x:v>
      </x:c>
      <x:c r="J2277" s="79" t="n">
        <x:v>0.013871863216328682</x:v>
      </x:c>
      <x:c r="K2277" s="81" t="n">
        <x:v>14.853557961518495</x:v>
      </x:c>
      <x:c r="L2277" s="81" t="n">
        <x:v>-0.5876344400997239</x:v>
      </x:c>
      <x:c r="M2277" s="80" t="n">
        <x:v>91584.25440958326</x:v>
      </x:c>
      <x:c r="N2277" s="82" t="n">
        <x:v>0.21200040013844276</x:v>
      </x:c>
      <x:c r="O2277" s="82" t="n">
        <x:v>0.14381525637055873</x:v>
      </x:c>
      <x:c r="P2277" s="80" t="n">
        <x:v>184788.45571763543</x:v>
      </x:c>
      <x:c r="Q2277" s="81" t="n">
        <x:v>0.007339802988780337</x:v>
      </x:c>
      <x:c r="R2277" s="81" t="n">
        <x:v>73.23260648961788</x:v>
      </x:c>
      <x:c r="S2277" s="81" t="n">
        <x:v>113.02999353228485</x:v>
      </x:c>
      <x:c r="T2277" s="81" t="n">
        <x:v>300.4948425834901</x:v>
      </x:c>
    </x:row>
    <x:row r="2278">
      <x:c r="A2278" s="59" t="n">
        <x:v>2275</x:v>
      </x:c>
      <x:c r="B2278" s="193" t="n">
        <x:v>0.9769317382946612</x:v>
      </x:c>
      <x:c r="C2278" s="83" t="n">
        <x:v>0.5953126163842024</x:v>
      </x:c>
      <x:c r="D2278" s="83" t="n">
        <x:v>0.6357261509709901</x:v>
      </x:c>
      <x:c r="E2278" s="81" t="n">
        <x:v>-0.05144198272501279</x:v>
      </x:c>
      <x:c r="F2278" s="81" t="n">
        <x:v>0.5719073543907143</x:v>
      </x:c>
      <x:c r="G2278" s="81" t="n">
        <x:v>-0.00540597219060781</x:v>
      </x:c>
      <x:c r="H2278" s="59" t="n">
        <x:v>0</x:v>
      </x:c>
      <x:c r="I2278" s="81" t="n">
        <x:v>0</x:v>
      </x:c>
      <x:c r="J2278" s="79" t="n">
        <x:v>2.4653883031388546e-23</x:v>
      </x:c>
      <x:c r="K2278" s="81" t="n">
        <x:v>-1</x:v>
      </x:c>
      <x:c r="L2278" s="81" t="n">
        <x:v>-1</x:v>
      </x:c>
      <x:c r="M2278" s="80" t="n">
        <x:v>0.000002</x:v>
      </x:c>
      <x:c r="N2278" s="82" t="n">
        <x:v>0.3348172075318812</x:v>
      </x:c>
      <x:c r="O2278" s="82" t="n">
        <x:v>0.18088576592072364</x:v>
      </x:c>
      <x:c r="P2278" s="80" t="n">
        <x:v>402.7220016321416</x:v>
      </x:c>
      <x:c r="Q2278" s="81" t="n">
        <x:v>1674854.4933652678</x:v>
      </x:c>
      <x:c r="R2278" s="81" t="n">
        <x:v>6.443374557242629</x:v>
      </x:c>
      <x:c r="S2278" s="81" t="n">
        <x:v>3.268031174810326e-10</x:v>
      </x:c>
      <x:c r="T2278" s="81" t="n">
        <x:v>5.340569312901263e-19</x:v>
      </x:c>
    </x:row>
    <x:row r="2279">
      <x:c r="A2279" s="59" t="n">
        <x:v>2276</x:v>
      </x:c>
      <x:c r="B2279" s="193" t="n">
        <x:v>0.7272403456270695</x:v>
      </x:c>
      <x:c r="C2279" s="83" t="n">
        <x:v>0.24295236558735156</x:v>
      </x:c>
      <x:c r="D2279" s="83" t="n">
        <x:v>0.9119267195078105</x:v>
      </x:c>
      <x:c r="E2279" s="81" t="n">
        <x:v>0.0367543856353452</x:v>
      </x:c>
      <x:c r="F2279" s="81" t="n">
        <x:v>0.48641856466419997</x:v>
      </x:c>
      <x:c r="G2279" s="81" t="n">
        <x:v>0.055884907233641735</x:v>
      </x:c>
      <x:c r="H2279" s="59" t="n">
        <x:v>0</x:v>
      </x:c>
      <x:c r="I2279" s="81" t="n">
        <x:v>0</x:v>
      </x:c>
      <x:c r="J2279" s="79" t="n">
        <x:v>0.0017831645617409561</x:v>
      </x:c>
      <x:c r="K2279" s="81" t="n">
        <x:v>1.0379023562753784</x:v>
      </x:c>
      <x:c r="L2279" s="81" t="n">
        <x:v>-0.7486486033806405</x:v>
      </x:c>
      <x:c r="M2279" s="80" t="n">
        <x:v>10707.40933843248</x:v>
      </x:c>
      <x:c r="N2279" s="82" t="n">
        <x:v>0.27533603608484847</x:v>
      </x:c>
      <x:c r="O2279" s="82" t="n">
        <x:v>0.12651561747571094</x:v>
      </x:c>
      <x:c r="P2279" s="80" t="n">
        <x:v>20452.932710367517</x:v>
      </x:c>
      <x:c r="Q2279" s="81" t="n">
        <x:v>0.007892699191126477</x:v>
      </x:c>
      <x:c r="R2279" s="81" t="n">
        <x:v>129.69352484062225</x:v>
      </x:c>
      <x:c r="S2279" s="81" t="n">
        <x:v>143.13346407458712</x:v>
      </x:c>
      <x:c r="T2279" s="81" t="n">
        <x:v>38.62723744637814</x:v>
      </x:c>
    </x:row>
    <x:row r="2280">
      <x:c r="A2280" s="59" t="n">
        <x:v>2277</x:v>
      </x:c>
      <x:c r="B2280" s="193" t="n">
        <x:v>0.8896602606400847</x:v>
      </x:c>
      <x:c r="C2280" s="83" t="n">
        <x:v>0.6322805866538648</x:v>
      </x:c>
      <x:c r="D2280" s="83" t="n">
        <x:v>0.6016560581572368</x:v>
      </x:c>
      <x:c r="E2280" s="81" t="n">
        <x:v>-0.051253064509948314</x:v>
      </x:c>
      <x:c r="F2280" s="81" t="n">
        <x:v>0.6563789547770285</x:v>
      </x:c>
      <x:c r="G2280" s="81" t="n">
        <x:v>-0.003348101807059071</x:v>
      </x:c>
      <x:c r="H2280" s="59" t="n">
        <x:v>0</x:v>
      </x:c>
      <x:c r="I2280" s="81" t="n">
        <x:v>0</x:v>
      </x:c>
      <x:c r="J2280" s="79" t="n">
        <x:v>7.867518066311195e-23</x:v>
      </x:c>
      <x:c r="K2280" s="81" t="n">
        <x:v>-1</x:v>
      </x:c>
      <x:c r="L2280" s="81" t="n">
        <x:v>-1</x:v>
      </x:c>
      <x:c r="M2280" s="80" t="n">
        <x:v>0.000002609065357667857</x:v>
      </x:c>
      <x:c r="N2280" s="82" t="n">
        <x:v>0.3140275052143551</x:v>
      </x:c>
      <x:c r="O2280" s="82" t="n">
        <x:v>0.19471225156931848</x:v>
      </x:c>
      <x:c r="P2280" s="80" t="n">
        <x:v>402.686254046618</x:v>
      </x:c>
      <x:c r="Q2280" s="81" t="n">
        <x:v>687067.565680969</x:v>
      </x:c>
      <x:c r="R2280" s="81" t="n">
        <x:v>6.234075663379115</x:v>
      </x:c>
      <x:c r="S2280" s="81" t="n">
        <x:v>4.280850204351294e-10</x:v>
      </x:c>
      <x:c r="T2280" s="81" t="n">
        <x:v>1.7042761783262744e-18</x:v>
      </x:c>
    </x:row>
    <x:row r="2281">
      <x:c r="A2281" s="59" t="n">
        <x:v>2278</x:v>
      </x:c>
      <x:c r="B2281" s="193" t="n">
        <x:v>0.9986198581755161</x:v>
      </x:c>
      <x:c r="C2281" s="83" t="n">
        <x:v>0.15646685272771177</x:v>
      </x:c>
      <x:c r="D2281" s="83" t="n">
        <x:v>0.7000270893256602</x:v>
      </x:c>
      <x:c r="E2281" s="81" t="n">
        <x:v>-0.11469489582689674</x:v>
      </x:c>
      <x:c r="F2281" s="81" t="n">
        <x:v>0.32440966496942564</x:v>
      </x:c>
      <x:c r="G2281" s="81" t="n">
        <x:v>0.031447285644529845</x:v>
      </x:c>
      <x:c r="H2281" s="59" t="n">
        <x:v>0</x:v>
      </x:c>
      <x:c r="I2281" s="81" t="n">
        <x:v>0</x:v>
      </x:c>
      <x:c r="J2281" s="79" t="n">
        <x:v>1.913594379241446e-41</x:v>
      </x:c>
      <x:c r="K2281" s="81" t="n">
        <x:v>-1</x:v>
      </x:c>
      <x:c r="L2281" s="81" t="n">
        <x:v>-1</x:v>
      </x:c>
      <x:c r="M2281" s="80" t="n">
        <x:v>0.000002</x:v>
      </x:c>
      <x:c r="N2281" s="82" t="n">
        <x:v>0.3399837243397486</x:v>
      </x:c>
      <x:c r="O2281" s="82" t="n">
        <x:v>0.10418923597457261</x:v>
      </x:c>
      <x:c r="P2281" s="80" t="n">
        <x:v>167.16974524009976</x:v>
      </x:c>
      <x:c r="Q2281" s="81" t="n">
        <x:v>1.0260223841228611e+24</x:v>
      </x:c>
      <x:c r="R2281" s="81" t="n">
        <x:v>11.120038423706907</x:v>
      </x:c>
      <x:c r="S2281" s="81" t="n">
        <x:v>7.728431891639589e-10</x:v>
      </x:c>
      <x:c r="T2281" s="81" t="n">
        <x:v>4.1452632050317726e-37</x:v>
      </x:c>
    </x:row>
    <x:row r="2282">
      <x:c r="A2282" s="59" t="n">
        <x:v>2279</x:v>
      </x:c>
      <x:c r="B2282" s="193" t="n">
        <x:v>0.6146119453012944</x:v>
      </x:c>
      <x:c r="C2282" s="83" t="n">
        <x:v>1.3256006637064839</x:v>
      </x:c>
      <x:c r="D2282" s="83" t="n">
        <x:v>0.5558140540218647</x:v>
      </x:c>
      <x:c r="E2282" s="81" t="n">
        <x:v>0.08840654310172961</x:v>
      </x:c>
      <x:c r="F2282" s="81" t="n">
        <x:v>0.3023766344063915</x:v>
      </x:c>
      <x:c r="G2282" s="81" t="n">
        <x:v>-0.032232316401733144</x:v>
      </x:c>
      <x:c r="H2282" s="59" t="n">
        <x:v>38</x:v>
      </x:c>
      <x:c r="I2282" s="81" t="n">
        <x:v>0.14107718877494335</x:v>
      </x:c>
      <x:c r="J2282" s="79" t="n">
        <x:v>0.005702666394103304</x:v>
      </x:c>
      <x:c r="K2282" s="81" t="n">
        <x:v>5.517333021832348</x:v>
      </x:c>
      <x:c r="L2282" s="81" t="n">
        <x:v>-0.6333170020198184</x:v>
      </x:c>
      <x:c r="M2282" s="80" t="n">
        <x:v>34851.05655525002</x:v>
      </x:c>
      <x:c r="N2282" s="82" t="n">
        <x:v>0.24850583934474277</x:v>
      </x:c>
      <x:c r="O2282" s="82" t="n">
        <x:v>0.0709832318575032</x:v>
      </x:c>
      <x:c r="P2282" s="80" t="n">
        <x:v>36165.33906327165</x:v>
      </x:c>
      <x:c r="Q2282" s="81" t="n">
        <x:v>0.0019950128497525296</x:v>
      </x:c>
      <x:c r="R2282" s="81" t="n">
        <x:v>133.94913854977028</x:v>
      </x:c>
      <x:c r="S2282" s="81" t="n">
        <x:v>82.52857149844688</x:v>
      </x:c>
      <x:c r="T2282" s="81" t="n">
        <x:v>123.53220426691588</x:v>
      </x:c>
    </x:row>
    <x:row r="2283">
      <x:c r="A2283" s="59" t="n">
        <x:v>2280</x:v>
      </x:c>
      <x:c r="B2283" s="193" t="n">
        <x:v>0.41468154154717923</x:v>
      </x:c>
      <x:c r="C2283" s="83" t="n">
        <x:v>2.7381165594207157</x:v>
      </x:c>
      <x:c r="D2283" s="83" t="n">
        <x:v>0.14634499043267438</x:v>
      </x:c>
      <x:c r="E2283" s="81" t="n">
        <x:v>0.015991690130163147</x:v>
      </x:c>
      <x:c r="F2283" s="81" t="n">
        <x:v>0.8773787471931428</x:v>
      </x:c>
      <x:c r="G2283" s="81" t="n">
        <x:v>0.02982016778485589</x:v>
      </x:c>
      <x:c r="H2283" s="59" t="n">
        <x:v>38</x:v>
      </x:c>
      <x:c r="I2283" s="81" t="n">
        <x:v>0.2240662611089647</x:v>
      </x:c>
      <x:c r="J2283" s="79" t="n">
        <x:v>0.00002117162298782837</x:v>
      </x:c>
      <x:c r="K2283" s="81" t="n">
        <x:v>-0.9758038594424818</x:v>
      </x:c>
      <x:c r="L2283" s="81" t="n">
        <x:v>-0.9760399076369712</x:v>
      </x:c>
      <x:c r="M2283" s="80" t="n">
        <x:v>2959.371283874756</x:v>
      </x:c>
      <x:c r="N2283" s="82" t="n">
        <x:v>0.20087866847544208</x:v>
      </x:c>
      <x:c r="O2283" s="82" t="n">
        <x:v>0.1664914260130444</x:v>
      </x:c>
      <x:c r="P2283" s="80" t="n">
        <x:v>1982.6890383282664</x:v>
      </x:c>
      <x:c r="Q2283" s="81" t="n">
        <x:v>0.01428717931101044</x:v>
      </x:c>
      <x:c r="R2283" s="81" t="n">
        <x:v>5.5129717231224245</x:v>
      </x:c>
      <x:c r="S2283" s="81" t="n">
        <x:v>0.2172000747059468</x:v>
      </x:c>
      <x:c r="T2283" s="81" t="n">
        <x:v>0.4586235762097025</x:v>
      </x:c>
    </x:row>
    <x:row r="2284">
      <x:c r="A2284" s="59" t="n">
        <x:v>2281</x:v>
      </x:c>
      <x:c r="B2284" s="193" t="n">
        <x:v>0.41428288202732805</x:v>
      </x:c>
      <x:c r="C2284" s="83" t="n">
        <x:v>2.190938647251463</x:v>
      </x:c>
      <x:c r="D2284" s="83" t="n">
        <x:v>1.741975732371601</x:v>
      </x:c>
      <x:c r="E2284" s="81" t="n">
        <x:v>-0.05378389080422065</x:v>
      </x:c>
      <x:c r="F2284" s="81" t="n">
        <x:v>0.5343849306227639</x:v>
      </x:c>
      <x:c r="G2284" s="81" t="n">
        <x:v>0.040724683007592244</x:v>
      </x:c>
      <x:c r="H2284" s="59" t="n">
        <x:v>0</x:v>
      </x:c>
      <x:c r="I2284" s="81" t="n">
        <x:v>0</x:v>
      </x:c>
      <x:c r="J2284" s="79" t="n">
        <x:v>8.359714030287013e-48</x:v>
      </x:c>
      <x:c r="K2284" s="81" t="n">
        <x:v>-1</x:v>
      </x:c>
      <x:c r="L2284" s="81" t="n">
        <x:v>-1</x:v>
      </x:c>
      <x:c r="M2284" s="80" t="n">
        <x:v>0.000002</x:v>
      </x:c>
      <x:c r="N2284" s="82" t="n">
        <x:v>0.2007837003029475</x:v>
      </x:c>
      <x:c r="O2284" s="82" t="n">
        <x:v>0.10135696514579402</x:v>
      </x:c>
      <x:c r="P2284" s="80" t="n">
        <x:v>1046.5700567922122</x:v>
      </x:c>
      <x:c r="Q2284" s="81" t="n">
        <x:v>4.7348117693016996e+30</x:v>
      </x:c>
      <x:c r="R2284" s="81" t="n">
        <x:v>1.4941958811586404</x:v>
      </x:c>
      <x:c r="S2284" s="81" t="n">
        <x:v>7.772260006322408e-10</x:v>
      </x:c>
      <x:c r="T2284" s="81" t="n">
        <x:v>1.8108965698401164e-43</x:v>
      </x:c>
    </x:row>
    <x:row r="2285">
      <x:c r="A2285" s="59" t="n">
        <x:v>2282</x:v>
      </x:c>
      <x:c r="B2285" s="193" t="n">
        <x:v>0.7582126015797257</x:v>
      </x:c>
      <x:c r="C2285" s="83" t="n">
        <x:v>0.9404188988651259</x:v>
      </x:c>
      <x:c r="D2285" s="83" t="n">
        <x:v>0.7973932403945888</x:v>
      </x:c>
      <x:c r="E2285" s="81" t="n">
        <x:v>-0.029454942135286957</x:v>
      </x:c>
      <x:c r="F2285" s="81" t="n">
        <x:v>0.45148435769369827</x:v>
      </x:c>
      <x:c r="G2285" s="81" t="n">
        <x:v>-0.030639013571625875</x:v>
      </x:c>
      <x:c r="H2285" s="59" t="n">
        <x:v>7</x:v>
      </x:c>
      <x:c r="I2285" s="81" t="n">
        <x:v>0.4042650137096644</x:v>
      </x:c>
      <x:c r="J2285" s="79" t="n">
        <x:v>1.65944520233722e-16</x:v>
      </x:c>
      <x:c r="K2285" s="81" t="n">
        <x:v>-0.9999999999998104</x:v>
      </x:c>
      <x:c r="L2285" s="81" t="n">
        <x:v>-0.9999999999998104</x:v>
      </x:c>
      <x:c r="M2285" s="80" t="n">
        <x:v>0.004411030104037716</x:v>
      </x:c>
      <x:c r="N2285" s="82" t="n">
        <x:v>0.2827142081825702</x:v>
      </x:c>
      <x:c r="O2285" s="82" t="n">
        <x:v>0.12057611457200101</x:v>
      </x:c>
      <x:c r="P2285" s="80" t="n">
        <x:v>731.3583160505084</x:v>
      </x:c>
      <x:c r="Q2285" s="81" t="n">
        <x:v>938.3980807686269</x:v>
      </x:c>
      <x:c r="R2285" s="81" t="n">
        <x:v>5.029944704850533</x:v>
      </x:c>
      <x:c r="S2285" s="81" t="n">
        <x:v>5.610261746947319e-7</x:v>
      </x:c>
      <x:c r="T2285" s="81" t="n">
        <x:v>3.5947206015215044e-12</x:v>
      </x:c>
    </x:row>
    <x:row r="2286">
      <x:c r="A2286" s="59" t="n">
        <x:v>2283</x:v>
      </x:c>
      <x:c r="B2286" s="193" t="n">
        <x:v>0.6003351587802173</x:v>
      </x:c>
      <x:c r="C2286" s="83" t="n">
        <x:v>0.8234508688240573</x:v>
      </x:c>
      <x:c r="D2286" s="83" t="n">
        <x:v>1.0809155763658609</x:v>
      </x:c>
      <x:c r="E2286" s="81" t="n">
        <x:v>-0.03933885632558035</x:v>
      </x:c>
      <x:c r="F2286" s="81" t="n">
        <x:v>0.4319844781421125</x:v>
      </x:c>
      <x:c r="G2286" s="81" t="n">
        <x:v>0.034498081871206294</x:v>
      </x:c>
      <x:c r="H2286" s="59" t="n">
        <x:v>71</x:v>
      </x:c>
      <x:c r="I2286" s="81" t="n">
        <x:v>0.13540945956483486</x:v>
      </x:c>
      <x:c r="J2286" s="79" t="n">
        <x:v>2.382103632764603e-29</x:v>
      </x:c>
      <x:c r="K2286" s="81" t="n">
        <x:v>-1</x:v>
      </x:c>
      <x:c r="L2286" s="81" t="n">
        <x:v>-1</x:v>
      </x:c>
      <x:c r="M2286" s="80" t="n">
        <x:v>0.000002</x:v>
      </x:c>
      <x:c r="N2286" s="82" t="n">
        <x:v>0.2451048411056749</x:v>
      </x:c>
      <x:c r="O2286" s="82" t="n">
        <x:v>0.10002094955693967</x:v>
      </x:c>
      <x:c r="P2286" s="80" t="n">
        <x:v>699.1629463222855</x:v>
      </x:c>
      <x:c r="Q2286" s="81" t="n">
        <x:v>2240627097052.448</x:v>
      </x:c>
      <x:c r="R2286" s="81" t="n">
        <x:v>4.760509049338393</x:v>
      </x:c>
      <x:c r="S2286" s="81" t="n">
        <x:v>7.84536295672121e-10</x:v>
      </x:c>
      <x:c r="T2286" s="81" t="n">
        <x:v>5.160156534001674e-25</x:v>
      </x:c>
    </x:row>
    <x:row r="2287">
      <x:c r="A2287" s="59" t="n">
        <x:v>2284</x:v>
      </x:c>
      <x:c r="B2287" s="193" t="n">
        <x:v>0.9271448895335197</x:v>
      </x:c>
      <x:c r="C2287" s="83" t="n">
        <x:v>2.482922858803631</x:v>
      </x:c>
      <x:c r="D2287" s="83" t="n">
        <x:v>0.2804204068309385</x:v>
      </x:c>
      <x:c r="E2287" s="81" t="n">
        <x:v>-0.08073184549734792</x:v>
      </x:c>
      <x:c r="F2287" s="81" t="n">
        <x:v>0.8295872464892454</x:v>
      </x:c>
      <x:c r="G2287" s="81" t="n">
        <x:v>0.023867464761640048</x:v>
      </x:c>
      <x:c r="H2287" s="59" t="n">
        <x:v>7</x:v>
      </x:c>
      <x:c r="I2287" s="81" t="n">
        <x:v>0.37763925334438686</x:v>
      </x:c>
      <x:c r="J2287" s="79" t="n">
        <x:v>1.6585821206996286e-20</x:v>
      </x:c>
      <x:c r="K2287" s="81" t="n">
        <x:v>-1</x:v>
      </x:c>
      <x:c r="L2287" s="81" t="n">
        <x:v>-1</x:v>
      </x:c>
      <x:c r="M2287" s="80" t="n">
        <x:v>0.00008021688333162557</x:v>
      </x:c>
      <x:c r="N2287" s="82" t="n">
        <x:v>0.32295704665356284</x:v>
      </x:c>
      <x:c r="O2287" s="82" t="n">
        <x:v>0.25309162465384183</x:v>
      </x:c>
      <x:c r="P2287" s="80" t="n">
        <x:v>508.9991569969085</x:v>
      </x:c>
      <x:c r="Q2287" s="81" t="n">
        <x:v>65398.32693284544</x:v>
      </x:c>
      <x:c r="R2287" s="81" t="n">
        <x:v>2.0433277534289593</x:v>
      </x:c>
      <x:c r="S2287" s="81" t="n">
        <x:v>3.9942092257078716e-9</x:v>
      </x:c>
      <x:c r="T2287" s="81" t="n">
        <x:v>3.5928509782648435e-16</x:v>
      </x:c>
    </x:row>
    <x:row r="2288">
      <x:c r="A2288" s="59" t="n">
        <x:v>2285</x:v>
      </x:c>
      <x:c r="B2288" s="193" t="n">
        <x:v>0.7273568971082569</x:v>
      </x:c>
      <x:c r="C2288" s="83" t="n">
        <x:v>1.5230834485159859</x:v>
      </x:c>
      <x:c r="D2288" s="83" t="n">
        <x:v>0.11720070054827464</x:v>
      </x:c>
      <x:c r="E2288" s="81" t="n">
        <x:v>0.023584457225868927</x:v>
      </x:c>
      <x:c r="F2288" s="81" t="n">
        <x:v>0.2734921080991626</x:v>
      </x:c>
      <x:c r="G2288" s="81" t="n">
        <x:v>-0.029371805536762476</x:v>
      </x:c>
      <x:c r="H2288" s="59" t="n">
        <x:v>27</x:v>
      </x:c>
      <x:c r="I2288" s="81" t="n">
        <x:v>0.11237946432083845</x:v>
      </x:c>
      <x:c r="J2288" s="79" t="n">
        <x:v>0.000031903168955954</x:v>
      </x:c>
      <x:c r="K2288" s="81" t="n">
        <x:v>-0.9635392354789097</x:v>
      </x:c>
      <x:c r="L2288" s="81" t="n">
        <x:v>-0.9635392354789097</x:v>
      </x:c>
      <x:c r="M2288" s="80" t="n">
        <x:v>2445.2557682655297</x:v>
      </x:c>
      <x:c r="N2288" s="82" t="n">
        <x:v>0.2753638008330075</x:v>
      </x:c>
      <x:c r="O2288" s="82" t="n">
        <x:v>0.07114142961347303</x:v>
      </x:c>
      <x:c r="P2288" s="80" t="n">
        <x:v>1092.8627163857277</x:v>
      </x:c>
      <x:c r="Q2288" s="81" t="n">
        <x:v>0.003715870815427695</x:v>
      </x:c>
      <x:c r="R2288" s="81" t="n">
        <x:v>11.049125992791437</x:v>
      </x:c>
      <x:c r="S2288" s="81" t="n">
        <x:v>0.4246323740269046</x:v>
      </x:c>
      <x:c r="T2288" s="81" t="n">
        <x:v>0.6910922911962727</x:v>
      </x:c>
    </x:row>
    <x:row r="2289">
      <x:c r="A2289" s="59" t="n">
        <x:v>2286</x:v>
      </x:c>
      <x:c r="B2289" s="193" t="n">
        <x:v>0.7596497843042016</x:v>
      </x:c>
      <x:c r="C2289" s="83" t="n">
        <x:v>1.4021610666855904</x:v>
      </x:c>
      <x:c r="D2289" s="83" t="n">
        <x:v>0.6662377330000265</x:v>
      </x:c>
      <x:c r="E2289" s="81" t="n">
        <x:v>-0.10260397476816648</x:v>
      </x:c>
      <x:c r="F2289" s="81" t="n">
        <x:v>0.6737813768675551</x:v>
      </x:c>
      <x:c r="G2289" s="81" t="n">
        <x:v>-0.023313241381960146</x:v>
      </x:c>
      <x:c r="H2289" s="59" t="n">
        <x:v>0</x:v>
      </x:c>
      <x:c r="I2289" s="81" t="n">
        <x:v>0</x:v>
      </x:c>
      <x:c r="J2289" s="79" t="n">
        <x:v>2.3175802453752147e-31</x:v>
      </x:c>
      <x:c r="K2289" s="81" t="n">
        <x:v>-1</x:v>
      </x:c>
      <x:c r="L2289" s="81" t="n">
        <x:v>-1</x:v>
      </x:c>
      <x:c r="M2289" s="80" t="n">
        <x:v>0.000002</x:v>
      </x:c>
      <x:c r="N2289" s="82" t="n">
        <x:v>0.2830565720547166</x:v>
      </x:c>
      <x:c r="O2289" s="82" t="n">
        <x:v>0.18016199725557808</x:v>
      </x:c>
      <x:c r="P2289" s="80" t="n">
        <x:v>378.5201554587539</x:v>
      </x:c>
      <x:c r="Q2289" s="81" t="n">
        <x:v>93673207046789.47</x:v>
      </x:c>
      <x:c r="R2289" s="81" t="n">
        <x:v>1.8156004697493817</x:v>
      </x:c>
      <x:c r="S2289" s="81" t="n">
        <x:v>1.823422695686828e-10</x:v>
      </x:c>
      <x:c r="T2289" s="81" t="n">
        <x:v>5.020384790046581e-27</x:v>
      </x:c>
    </x:row>
    <x:row r="2290">
      <x:c r="A2290" s="59" t="n">
        <x:v>2287</x:v>
      </x:c>
      <x:c r="B2290" s="193" t="n">
        <x:v>0.8970869926735758</x:v>
      </x:c>
      <x:c r="C2290" s="83" t="n">
        <x:v>1.476747100626128</x:v>
      </x:c>
      <x:c r="D2290" s="83" t="n">
        <x:v>0.8023131780506843</x:v>
      </x:c>
      <x:c r="E2290" s="81" t="n">
        <x:v>0.1680063687646468</x:v>
      </x:c>
      <x:c r="F2290" s="81" t="n">
        <x:v>0.26455064001493156</x:v>
      </x:c>
      <x:c r="G2290" s="81" t="n">
        <x:v>-0.01944559737380082</x:v>
      </x:c>
      <x:c r="H2290" s="59" t="n">
        <x:v>0</x:v>
      </x:c>
      <x:c r="I2290" s="81" t="n">
        <x:v>0</x:v>
      </x:c>
      <x:c r="J2290" s="79" t="n">
        <x:v>0.06903074213604055</x:v>
      </x:c>
      <x:c r="K2290" s="81" t="n">
        <x:v>77.89227672690349</x:v>
      </x:c>
      <x:c r="L2290" s="81" t="n">
        <x:v>-0.7386217168930351</x:v>
      </x:c>
      <x:c r="M2290" s="80" t="n">
        <x:v>166780.47011523502</x:v>
      </x:c>
      <x:c r="N2290" s="82" t="n">
        <x:v>0.3157966920359584</x:v>
      </x:c>
      <x:c r="O2290" s="82" t="n">
        <x:v>0.0789200469337562</x:v>
      </x:c>
      <x:c r="P2290" s="80" t="n">
        <x:v>208922.7660787463</x:v>
      </x:c>
      <x:c r="Q2290" s="81" t="n">
        <x:v>0.001370537809013071</x:v>
      </x:c>
      <x:c r="R2290" s="81" t="n">
        <x:v>1231.818121614643</x:v>
      </x:c>
      <x:c r="S2290" s="81" t="n">
        <x:v>889.1061523082617</x:v>
      </x:c>
      <x:c r="T2290" s="81" t="n">
        <x:v>1495.3565839067528</x:v>
      </x:c>
    </x:row>
    <x:row r="2291">
      <x:c r="A2291" s="59" t="n">
        <x:v>2288</x:v>
      </x:c>
      <x:c r="B2291" s="193" t="n">
        <x:v>0.989606204070151</x:v>
      </x:c>
      <x:c r="C2291" s="83" t="n">
        <x:v>1.6644922605533934</x:v>
      </x:c>
      <x:c r="D2291" s="83" t="n">
        <x:v>1.8582414253741897</x:v>
      </x:c>
      <x:c r="E2291" s="81" t="n">
        <x:v>-0.06473975795104595</x:v>
      </x:c>
      <x:c r="F2291" s="81" t="n">
        <x:v>0.6196278078132309</x:v>
      </x:c>
      <x:c r="G2291" s="81" t="n">
        <x:v>-0.019318001569660816</x:v>
      </x:c>
      <x:c r="H2291" s="59" t="n">
        <x:v>24</x:v>
      </x:c>
      <x:c r="I2291" s="81" t="n">
        <x:v>0.17464957050979138</x:v>
      </x:c>
      <x:c r="J2291" s="79" t="n">
        <x:v>2.808641557656983e-44</x:v>
      </x:c>
      <x:c r="K2291" s="81" t="n">
        <x:v>-1</x:v>
      </x:c>
      <x:c r="L2291" s="81" t="n">
        <x:v>-1</x:v>
      </x:c>
      <x:c r="M2291" s="80" t="n">
        <x:v>0.000002</x:v>
      </x:c>
      <x:c r="N2291" s="82" t="n">
        <x:v>0.33783650292583656</x:v>
      </x:c>
      <x:c r="O2291" s="82" t="n">
        <x:v>0.19774632204350442</x:v>
      </x:c>
      <x:c r="P2291" s="80" t="n">
        <x:v>746.9900913910644</x:v>
      </x:c>
      <x:c r="Q2291" s="81" t="n">
        <x:v>1.1829622430904781e+27</x:v>
      </x:c>
      <x:c r="R2291" s="81" t="n">
        <x:v>1.367521468905811</x:v>
      </x:c>
      <x:c r="S2291" s="81" t="n">
        <x:v>4.818570917394448e-10</x:v>
      </x:c>
      <x:c r="T2291" s="81" t="n">
        <x:v>6.084130801896353e-40</x:v>
      </x:c>
    </x:row>
    <x:row r="2292">
      <x:c r="A2292" s="59" t="n">
        <x:v>2289</x:v>
      </x:c>
      <x:c r="B2292" s="193" t="n">
        <x:v>0.6944940563291311</x:v>
      </x:c>
      <x:c r="C2292" s="83" t="n">
        <x:v>0.276488055102489</x:v>
      </x:c>
      <x:c r="D2292" s="83" t="n">
        <x:v>2.1177325695408884</x:v>
      </x:c>
      <x:c r="E2292" s="81" t="n">
        <x:v>-0.09301194191682315</x:v>
      </x:c>
      <x:c r="F2292" s="81" t="n">
        <x:v>0.3696706269402057</x:v>
      </x:c>
      <x:c r="G2292" s="81" t="n">
        <x:v>-0.035361372514795215</x:v>
      </x:c>
      <x:c r="H2292" s="59" t="n">
        <x:v>0</x:v>
      </x:c>
      <x:c r="I2292" s="81" t="n">
        <x:v>0</x:v>
      </x:c>
      <x:c r="J2292" s="79" t="n">
        <x:v>5.987155541889238e-57</x:v>
      </x:c>
      <x:c r="K2292" s="81" t="n">
        <x:v>-1</x:v>
      </x:c>
      <x:c r="L2292" s="81" t="n">
        <x:v>-1</x:v>
      </x:c>
      <x:c r="M2292" s="80" t="n">
        <x:v>0.000002</x:v>
      </x:c>
      <x:c r="N2292" s="82" t="n">
        <x:v>0.2675352559811552</x:v>
      </x:c>
      <x:c r="O2292" s="82" t="n">
        <x:v>0.09342581769755803</x:v>
      </x:c>
      <x:c r="P2292" s="80" t="n">
        <x:v>283.88766330535583</x:v>
      </x:c>
      <x:c r="Q2292" s="81" t="n">
        <x:v>3.965157616236838e+39</x:v>
      </x:c>
      <x:c r="R2292" s="81" t="n">
        <x:v>2.9590483468323283</x:v>
      </x:c>
      <x:c r="S2292" s="81" t="n">
        <x:v>9.378391494176471e-10</x:v>
      </x:c>
      <x:c r="T2292" s="81" t="n">
        <x:v>1.2969486031012263e-52</x:v>
      </x:c>
    </x:row>
    <x:row r="2293">
      <x:c r="A2293" s="59" t="n">
        <x:v>2290</x:v>
      </x:c>
      <x:c r="B2293" s="193" t="n">
        <x:v>0.9048432771116495</x:v>
      </x:c>
      <x:c r="C2293" s="83" t="n">
        <x:v>0.10826114227054365</x:v>
      </x:c>
      <x:c r="D2293" s="83" t="n">
        <x:v>0.8180084539040821</x:v>
      </x:c>
      <x:c r="E2293" s="81" t="n">
        <x:v>-0.09388831434824449</x:v>
      </x:c>
      <x:c r="F2293" s="81" t="n">
        <x:v>0.6318691229564137</x:v>
      </x:c>
      <x:c r="G2293" s="81" t="n">
        <x:v>-0.03240664025769239</x:v>
      </x:c>
      <x:c r="H2293" s="59" t="n">
        <x:v>0</x:v>
      </x:c>
      <x:c r="I2293" s="81" t="n">
        <x:v>0</x:v>
      </x:c>
      <x:c r="J2293" s="79" t="n">
        <x:v>3.664496437499388e-32</x:v>
      </x:c>
      <x:c r="K2293" s="81" t="n">
        <x:v>-1</x:v>
      </x:c>
      <x:c r="L2293" s="81" t="n">
        <x:v>-1</x:v>
      </x:c>
      <x:c r="M2293" s="80" t="n">
        <x:v>0.000002</x:v>
      </x:c>
      <x:c r="N2293" s="82" t="n">
        <x:v>0.3176443844194406</x:v>
      </x:c>
      <x:c r="O2293" s="82" t="n">
        <x:v>0.18960040353445082</x:v>
      </x:c>
      <x:c r="P2293" s="80" t="n">
        <x:v>183.66207027622545</x:v>
      </x:c>
      <x:c r="Q2293" s="81" t="n">
        <x:v>642305939886112.5</x:v>
      </x:c>
      <x:c r="R2293" s="81" t="n">
        <x:v>15.359033982677168</x:v>
      </x:c>
      <x:c r="S2293" s="81" t="n">
        <x:v>4.3306174666529575e-10</x:v>
      </x:c>
      <x:c r="T2293" s="81" t="n">
        <x:v>7.9380993235137425e-28</x:v>
      </x:c>
    </x:row>
    <x:row r="2294">
      <x:c r="A2294" s="59" t="n">
        <x:v>2291</x:v>
      </x:c>
      <x:c r="B2294" s="193" t="n">
        <x:v>0.623460241034627</x:v>
      </x:c>
      <x:c r="C2294" s="83" t="n">
        <x:v>1.1642331970949302</x:v>
      </x:c>
      <x:c r="D2294" s="83" t="n">
        <x:v>1.0314020821428254</x:v>
      </x:c>
      <x:c r="E2294" s="81" t="n">
        <x:v>-0.046076393619644884</x:v>
      </x:c>
      <x:c r="F2294" s="81" t="n">
        <x:v>0.26612582826055586</x:v>
      </x:c>
      <x:c r="G2294" s="81" t="n">
        <x:v>0.018190858917232978</x:v>
      </x:c>
      <x:c r="H2294" s="59" t="n">
        <x:v>0</x:v>
      </x:c>
      <x:c r="I2294" s="81" t="n">
        <x:v>0</x:v>
      </x:c>
      <x:c r="J2294" s="79" t="n">
        <x:v>1.616214717364479e-29</x:v>
      </x:c>
      <x:c r="K2294" s="81" t="n">
        <x:v>-1</x:v>
      </x:c>
      <x:c r="L2294" s="81" t="n">
        <x:v>-1</x:v>
      </x:c>
      <x:c r="M2294" s="80" t="n">
        <x:v>0.000002</x:v>
      </x:c>
      <x:c r="N2294" s="82" t="n">
        <x:v>0.2506136692939676</x:v>
      </x:c>
      <x:c r="O2294" s="82" t="n">
        <x:v>0.0630032166546948</x:v>
      </x:c>
      <x:c r="P2294" s="80" t="n">
        <x:v>747.3650363641734</x:v>
      </x:c>
      <x:c r="Q2294" s="81" t="n">
        <x:v>2837792691393.0317</x:v>
      </x:c>
      <x:c r="R2294" s="81" t="n">
        <x:v>3.418067846674603</x:v>
      </x:c>
      <x:c r="S2294" s="81" t="n">
        <x:v>5.198562215354136e-10</x:v>
      </x:c>
      <x:c r="T2294" s="81" t="n">
        <x:v>3.50107393290816e-25</x:v>
      </x:c>
    </x:row>
    <x:row r="2295">
      <x:c r="A2295" s="59" t="n">
        <x:v>2292</x:v>
      </x:c>
      <x:c r="B2295" s="193" t="n">
        <x:v>0.8382215611636639</x:v>
      </x:c>
      <x:c r="C2295" s="83" t="n">
        <x:v>0.1263099638565764</x:v>
      </x:c>
      <x:c r="D2295" s="83" t="n">
        <x:v>0.2201580101764089</x:v>
      </x:c>
      <x:c r="E2295" s="81" t="n">
        <x:v>-0.1018846452489074</x:v>
      </x:c>
      <x:c r="F2295" s="81" t="n">
        <x:v>0.43178825837094337</x:v>
      </x:c>
      <x:c r="G2295" s="81" t="n">
        <x:v>-0.037287056548991664</x:v>
      </x:c>
      <x:c r="H2295" s="59" t="n">
        <x:v>0</x:v>
      </x:c>
      <x:c r="I2295" s="81" t="n">
        <x:v>0</x:v>
      </x:c>
      <x:c r="J2295" s="79" t="n">
        <x:v>1.1894712615907015e-15</x:v>
      </x:c>
      <x:c r="K2295" s="81" t="n">
        <x:v>-0.9999999999986406</x:v>
      </x:c>
      <x:c r="L2295" s="81" t="n">
        <x:v>-0.9999999999986406</x:v>
      </x:c>
      <x:c r="M2295" s="80" t="n">
        <x:v>0.006836049447236443</x:v>
      </x:c>
      <x:c r="N2295" s="82" t="n">
        <x:v>0.30177384252345646</x:v>
      </x:c>
      <x:c r="O2295" s="82" t="n">
        <x:v>0.12309016760850483</x:v>
      </x:c>
      <x:c r="P2295" s="80" t="n">
        <x:v>129.97221952550183</x:v>
      </x:c>
      <x:c r="Q2295" s="81" t="n">
        <x:v>62.78094553452272</x:v>
      </x:c>
      <x:c r="R2295" s="81" t="n">
        <x:v>36.117421715512315</x:v>
      </x:c>
      <x:c r="S2295" s="81" t="n">
        <x:v>3.790956845723106e-7</x:v>
      </x:c>
      <x:c r="T2295" s="81" t="n">
        <x:v>2.5766544402524785e-11</x:v>
      </x:c>
    </x:row>
    <x:row r="2296">
      <x:c r="A2296" s="59" t="n">
        <x:v>2293</x:v>
      </x:c>
      <x:c r="B2296" s="193" t="n">
        <x:v>0.6634306572377682</x:v>
      </x:c>
      <x:c r="C2296" s="83" t="n">
        <x:v>0.16682483179858087</x:v>
      </x:c>
      <x:c r="D2296" s="83" t="n">
        <x:v>1.100040333758885</x:v>
      </x:c>
      <x:c r="E2296" s="81" t="n">
        <x:v>-0.05439044046656224</x:v>
      </x:c>
      <x:c r="F2296" s="81" t="n">
        <x:v>0.5712672360241413</x:v>
      </x:c>
      <x:c r="G2296" s="81" t="n">
        <x:v>0.024815653836079383</x:v>
      </x:c>
      <x:c r="H2296" s="59" t="n">
        <x:v>0</x:v>
      </x:c>
      <x:c r="I2296" s="81" t="n">
        <x:v>0</x:v>
      </x:c>
      <x:c r="J2296" s="79" t="n">
        <x:v>5.379957853671799e-34</x:v>
      </x:c>
      <x:c r="K2296" s="81" t="n">
        <x:v>-1</x:v>
      </x:c>
      <x:c r="L2296" s="81" t="n">
        <x:v>-1</x:v>
      </x:c>
      <x:c r="M2296" s="80" t="n">
        <x:v>0.000002</x:v>
      </x:c>
      <x:c r="N2296" s="82" t="n">
        <x:v>0.26013537187885966</x:v>
      </x:c>
      <x:c r="O2296" s="82" t="n">
        <x:v>0.14038143186440952</x:v>
      </x:c>
      <x:c r="P2296" s="80" t="n">
        <x:v>324.08430053453395</x:v>
      </x:c>
      <x:c r="Q2296" s="81" t="n">
        <x:v>72793870471202460</x:v>
      </x:c>
      <x:c r="R2296" s="81" t="n">
        <x:v>13.443978199445223</x:v>
      </x:c>
      <x:c r="S2296" s="81" t="n">
        <x:v>1.112833909206455e-9</x:v>
      </x:c>
      <x:c r="T2296" s="81" t="n">
        <x:v>1.1654163273769506e-29</x:v>
      </x:c>
    </x:row>
    <x:row r="2297">
      <x:c r="A2297" s="59" t="n">
        <x:v>2294</x:v>
      </x:c>
      <x:c r="B2297" s="193" t="n">
        <x:v>0.22695288863033058</x:v>
      </x:c>
      <x:c r="C2297" s="83" t="n">
        <x:v>0.1698315195025336</x:v>
      </x:c>
      <x:c r="D2297" s="83" t="n">
        <x:v>0.5810971163360655</x:v>
      </x:c>
      <x:c r="E2297" s="81" t="n">
        <x:v>-0.07186374370806489</x:v>
      </x:c>
      <x:c r="F2297" s="81" t="n">
        <x:v>0.45245558434398847</x:v>
      </x:c>
      <x:c r="G2297" s="81" t="n">
        <x:v>0.04192747444027459</x:v>
      </x:c>
      <x:c r="H2297" s="59" t="n">
        <x:v>0</x:v>
      </x:c>
      <x:c r="I2297" s="81" t="n">
        <x:v>0</x:v>
      </x:c>
      <x:c r="J2297" s="79" t="n">
        <x:v>1.3481227433981848e-29</x:v>
      </x:c>
      <x:c r="K2297" s="81" t="n">
        <x:v>-1</x:v>
      </x:c>
      <x:c r="L2297" s="81" t="n">
        <x:v>-1</x:v>
      </x:c>
      <x:c r="M2297" s="80" t="n">
        <x:v>0.000002</x:v>
      </x:c>
      <x:c r="N2297" s="82" t="n">
        <x:v>0.15615818343840657</x:v>
      </x:c>
      <x:c r="O2297" s="82" t="n">
        <x:v>0.06674390968417489</x:v>
      </x:c>
      <x:c r="P2297" s="80" t="n">
        <x:v>244.92065949458055</x:v>
      </x:c>
      <x:c r="Q2297" s="81" t="n">
        <x:v>2235090479781.1377</x:v>
      </x:c>
      <x:c r="R2297" s="81" t="n">
        <x:v>19.55955632599136</x:v>
      </x:c>
      <x:c r="S2297" s="81" t="n">
        <x:v>7.172198540621907e-10</x:v>
      </x:c>
      <x:c r="T2297" s="81" t="n">
        <x:v>2.9203281869432603e-25</x:v>
      </x:c>
    </x:row>
    <x:row r="2298">
      <x:c r="A2298" s="59" t="n">
        <x:v>2295</x:v>
      </x:c>
      <x:c r="B2298" s="193" t="n">
        <x:v>0.4596879666671157</x:v>
      </x:c>
      <x:c r="C2298" s="83" t="n">
        <x:v>0.2528433529340199</x:v>
      </x:c>
      <x:c r="D2298" s="83" t="n">
        <x:v>0.7801904560537589</x:v>
      </x:c>
      <x:c r="E2298" s="81" t="n">
        <x:v>-0.07302612731048855</x:v>
      </x:c>
      <x:c r="F2298" s="81" t="n">
        <x:v>0.312104785698466</x:v>
      </x:c>
      <x:c r="G2298" s="81" t="n">
        <x:v>0.0311363665045308</x:v>
      </x:c>
      <x:c r="H2298" s="59" t="n">
        <x:v>90</x:v>
      </x:c>
      <x:c r="I2298" s="81" t="n">
        <x:v>0.23868288230150939</x:v>
      </x:c>
      <x:c r="J2298" s="79" t="n">
        <x:v>9.013119806502365e-34</x:v>
      </x:c>
      <x:c r="K2298" s="81" t="n">
        <x:v>-1</x:v>
      </x:c>
      <x:c r="L2298" s="81" t="n">
        <x:v>-1</x:v>
      </x:c>
      <x:c r="M2298" s="80" t="n">
        <x:v>0.000002</x:v>
      </x:c>
      <x:c r="N2298" s="82" t="n">
        <x:v>0.21160004280948214</x:v>
      </x:c>
      <x:c r="O2298" s="82" t="n">
        <x:v>0.06238599715784258</x:v>
      </x:c>
      <x:c r="P2298" s="80" t="n">
        <x:v>274.4895514376433</x:v>
      </x:c>
      <x:c r="Q2298" s="81" t="n">
        <x:v>32934546219080280</x:v>
      </x:c>
      <x:c r="R2298" s="81" t="n">
        <x:v>10.30257289601576</x:v>
      </x:c>
      <x:c r="S2298" s="81" t="n">
        <x:v>7.921739646249208e-10</x:v>
      </x:c>
      <x:c r="T2298" s="81" t="n">
        <x:v>1.9524385262485794e-29</x:v>
      </x:c>
    </x:row>
    <x:row r="2299">
      <x:c r="A2299" s="59" t="n">
        <x:v>2296</x:v>
      </x:c>
      <x:c r="B2299" s="193" t="n">
        <x:v>0.9593164689838887</x:v>
      </x:c>
      <x:c r="C2299" s="83" t="n">
        <x:v>0.16704434599720205</x:v>
      </x:c>
      <x:c r="D2299" s="83" t="n">
        <x:v>0.19372982572090128</x:v>
      </x:c>
      <x:c r="E2299" s="81" t="n">
        <x:v>0.019088020867241585</x:v>
      </x:c>
      <x:c r="F2299" s="81" t="n">
        <x:v>0.356483070156537</x:v>
      </x:c>
      <x:c r="G2299" s="81" t="n">
        <x:v>0.009890989111059258</x:v>
      </x:c>
      <x:c r="H2299" s="59" t="n">
        <x:v>0</x:v>
      </x:c>
      <x:c r="I2299" s="81" t="n">
        <x:v>0</x:v>
      </x:c>
      <x:c r="J2299" s="79" t="n">
        <x:v>0.000007516318807762211</x:v>
      </x:c>
      <x:c r="K2299" s="81" t="n">
        <x:v>-0.9914099213625575</x:v>
      </x:c>
      <x:c r="L2299" s="81" t="n">
        <x:v>-0.9914685703032845</x:v>
      </x:c>
      <x:c r="M2299" s="80" t="n">
        <x:v>553.9890219967907</x:v>
      </x:c>
      <x:c r="N2299" s="82" t="n">
        <x:v>0.33062092009575533</x:v>
      </x:c>
      <x:c r="O2299" s="82" t="n">
        <x:v>0.11133717086906039</x:v>
      </x:c>
      <x:c r="P2299" s="80" t="n">
        <x:v>513.4772462183028</x:v>
      </x:c>
      <x:c r="Q2299" s="81" t="n">
        <x:v>0.008592592922855476</x:v>
      </x:c>
      <x:c r="R2299" s="81" t="n">
        <x:v>64.86893202461023</x:v>
      </x:c>
      <x:c r="S2299" s="81" t="n">
        <x:v>0.8816962338058577</x:v>
      </x:c>
      <x:c r="T2299" s="81" t="n">
        <x:v>0.16281987514749982</x:v>
      </x:c>
    </x:row>
    <x:row r="2300">
      <x:c r="A2300" s="59" t="n">
        <x:v>2297</x:v>
      </x:c>
      <x:c r="B2300" s="193" t="n">
        <x:v>0.4245237773284316</x:v>
      </x:c>
      <x:c r="C2300" s="83" t="n">
        <x:v>1.7773682660936572</x:v>
      </x:c>
      <x:c r="D2300" s="83" t="n">
        <x:v>1.164117325540491</x:v>
      </x:c>
      <x:c r="E2300" s="81" t="n">
        <x:v>0.04642185847006428</x:v>
      </x:c>
      <x:c r="F2300" s="81" t="n">
        <x:v>0.28842581729404626</x:v>
      </x:c>
      <x:c r="G2300" s="81" t="n">
        <x:v>0.00292055525183009</x:v>
      </x:c>
      <x:c r="H2300" s="59" t="n">
        <x:v>0</x:v>
      </x:c>
      <x:c r="I2300" s="81" t="n">
        <x:v>0</x:v>
      </x:c>
      <x:c r="J2300" s="79" t="n">
        <x:v>0.03819337279418449</x:v>
      </x:c>
      <x:c r="K2300" s="81" t="n">
        <x:v>42.64956890763943</x:v>
      </x:c>
      <x:c r="L2300" s="81" t="n">
        <x:v>-0.46754488458194987</x:v>
      </x:c>
      <x:c r="M2300" s="80" t="n">
        <x:v>113302.60279704731</x:v>
      </x:c>
      <x:c r="N2300" s="82" t="n">
        <x:v>0.20322327358045797</x:v>
      </x:c>
      <x:c r="O2300" s="82" t="n">
        <x:v>0.05537050909926754</x:v>
      </x:c>
      <x:c r="P2300" s="80" t="n">
        <x:v>227681.54758299823</x:v>
      </x:c>
      <x:c r="Q2300" s="81" t="n">
        <x:v>0.0030743061343623482</x:v>
      </x:c>
      <x:c r="R2300" s="81" t="n">
        <x:v>197.65660934721896</x:v>
      </x:c>
      <x:c r="S2300" s="81" t="n">
        <x:v>421.39435342141564</x:v>
      </x:c>
      <x:c r="T2300" s="81" t="n">
        <x:v>827.3518392259995</x:v>
      </x:c>
    </x:row>
    <x:row r="2301">
      <x:c r="A2301" s="59" t="n">
        <x:v>2298</x:v>
      </x:c>
      <x:c r="B2301" s="193" t="n">
        <x:v>0.34629212431609635</x:v>
      </x:c>
      <x:c r="C2301" s="83" t="n">
        <x:v>0.1356393274805261</x:v>
      </x:c>
      <x:c r="D2301" s="83" t="n">
        <x:v>0.22497424342508981</x:v>
      </x:c>
      <x:c r="E2301" s="81" t="n">
        <x:v>-0.1335766363177254</x:v>
      </x:c>
      <x:c r="F2301" s="81" t="n">
        <x:v>0.6279387733666226</x:v>
      </x:c>
      <x:c r="G2301" s="81" t="n">
        <x:v>-0.01805372885625937</x:v>
      </x:c>
      <x:c r="H2301" s="59" t="n">
        <x:v>0</x:v>
      </x:c>
      <x:c r="I2301" s="81" t="n">
        <x:v>0</x:v>
      </x:c>
      <x:c r="J2301" s="79" t="n">
        <x:v>8.112311988908327e-21</x:v>
      </x:c>
      <x:c r="K2301" s="81" t="n">
        <x:v>-1</x:v>
      </x:c>
      <x:c r="L2301" s="81" t="n">
        <x:v>-1</x:v>
      </x:c>
      <x:c r="M2301" s="80" t="n">
        <x:v>0.000018311283790517075</x:v>
      </x:c>
      <x:c r="N2301" s="82" t="n">
        <x:v>0.18458702698942506</x:v>
      </x:c>
      <x:c r="O2301" s="82" t="n">
        <x:v>0.1094937719748829</x:v>
      </x:c>
      <x:c r="P2301" s="80" t="n">
        <x:v>113.00198353670532</x:v>
      </x:c>
      <x:c r="Q2301" s="81" t="n">
        <x:v>19349.034726532882</x:v>
      </x:c>
      <x:c r="R2301" s="81" t="n">
        <x:v>28.833326502772124</x:v>
      </x:c>
      <x:c r="S2301" s="81" t="n">
        <x:v>1.3336593981622505e-9</x:v>
      </x:c>
      <x:c r="T2301" s="81" t="n">
        <x:v>1.7573038863486782e-16</x:v>
      </x:c>
    </x:row>
    <x:row r="2302">
      <x:c r="A2302" s="59" t="n">
        <x:v>2299</x:v>
      </x:c>
      <x:c r="B2302" s="193" t="n">
        <x:v>0.4572292841970921</x:v>
      </x:c>
      <x:c r="C2302" s="83" t="n">
        <x:v>0.7047649188335341</x:v>
      </x:c>
      <x:c r="D2302" s="83" t="n">
        <x:v>0.5070106569737407</x:v>
      </x:c>
      <x:c r="E2302" s="81" t="n">
        <x:v>0.01710295798957094</x:v>
      </x:c>
      <x:c r="F2302" s="81" t="n">
        <x:v>0.8184185304678977</x:v>
      </x:c>
      <x:c r="G2302" s="81" t="n">
        <x:v>-0.013421923941996925</x:v>
      </x:c>
      <x:c r="H2302" s="59" t="n">
        <x:v>0</x:v>
      </x:c>
      <x:c r="I2302" s="81" t="n">
        <x:v>0</x:v>
      </x:c>
      <x:c r="J2302" s="79" t="n">
        <x:v>0.00002458451477766196</x:v>
      </x:c>
      <x:c r="K2302" s="81" t="n">
        <x:v>-0.971903411682672</x:v>
      </x:c>
      <x:c r="L2302" s="81" t="n">
        <x:v>-0.9720795308804909</x:v>
      </x:c>
      <x:c r="M2302" s="80" t="n">
        <x:v>1486.4405870779049</x:v>
      </x:c>
      <x:c r="N2302" s="82" t="n">
        <x:v>0.21101433854482615</x:v>
      </x:c>
      <x:c r="O2302" s="82" t="n">
        <x:v>0.16313921293762007</x:v>
      </x:c>
      <x:c r="P2302" s="80" t="n">
        <x:v>2409.989933832966</x:v>
      </x:c>
      <x:c r="Q2302" s="81" t="n">
        <x:v>0.016923063143793524</x:v>
      </x:c>
      <x:c r="R2302" s="81" t="n">
        <x:v>19.235798120305258</x:v>
      </x:c>
      <x:c r="S2302" s="81" t="n">
        <x:v>0.8146937145213345</x:v>
      </x:c>
      <x:c r="T2302" s="81" t="n">
        <x:v>0.5325542634683066</x:v>
      </x:c>
    </x:row>
    <x:row r="2303">
      <x:c r="A2303" s="59" t="n">
        <x:v>2300</x:v>
      </x:c>
      <x:c r="B2303" s="193" t="n">
        <x:v>0.49401042833924297</x:v>
      </x:c>
      <x:c r="C2303" s="83" t="n">
        <x:v>0.3844549277305358</x:v>
      </x:c>
      <x:c r="D2303" s="83" t="n">
        <x:v>0.8694615784828288</x:v>
      </x:c>
      <x:c r="E2303" s="81" t="n">
        <x:v>-0.07336987746117467</x:v>
      </x:c>
      <x:c r="F2303" s="81" t="n">
        <x:v>0.8260347952484154</x:v>
      </x:c>
      <x:c r="G2303" s="81" t="n">
        <x:v>0.0458840030231758</x:v>
      </x:c>
      <x:c r="H2303" s="59" t="n">
        <x:v>0</x:v>
      </x:c>
      <x:c r="I2303" s="81" t="n">
        <x:v>0</x:v>
      </x:c>
      <x:c r="J2303" s="79" t="n">
        <x:v>3.492011065032002e-38</x:v>
      </x:c>
      <x:c r="K2303" s="81" t="n">
        <x:v>-1</x:v>
      </x:c>
      <x:c r="L2303" s="81" t="n">
        <x:v>-1</x:v>
      </x:c>
      <x:c r="M2303" s="80" t="n">
        <x:v>0.000002</x:v>
      </x:c>
      <x:c r="N2303" s="82" t="n">
        <x:v>0.21977629672593885</x:v>
      </x:c>
      <x:c r="O2303" s="82" t="n">
        <x:v>0.1714944756179622</x:v>
      </x:c>
      <x:c r="P2303" s="80" t="n">
        <x:v>289.65494874094367</x:v>
      </x:c>
      <x:c r="Q2303" s="81" t="n">
        <x:v>846351560800251300000</x:v>
      </x:c>
      <x:c r="R2303" s="81" t="n">
        <x:v>5.70238963561045</x:v>
      </x:c>
      <x:c r="S2303" s="81" t="n">
        <x:v>9.495660497266683e-10</x:v>
      </x:c>
      <x:c r="T2303" s="81" t="n">
        <x:v>7.564458349412073e-34</x:v>
      </x:c>
    </x:row>
    <x:row r="2304">
      <x:c r="A2304" s="59" t="n">
        <x:v>2301</x:v>
      </x:c>
      <x:c r="B2304" s="193" t="n">
        <x:v>0.8270787604153156</x:v>
      </x:c>
      <x:c r="C2304" s="83" t="n">
        <x:v>0.3999494383913519</x:v>
      </x:c>
      <x:c r="D2304" s="83" t="n">
        <x:v>0.5531928986519904</x:v>
      </x:c>
      <x:c r="E2304" s="81" t="n">
        <x:v>0.09386703608210983</x:v>
      </x:c>
      <x:c r="F2304" s="81" t="n">
        <x:v>0.6366012108977884</x:v>
      </x:c>
      <x:c r="G2304" s="81" t="n">
        <x:v>0.010572787127240647</x:v>
      </x:c>
      <x:c r="H2304" s="59" t="n">
        <x:v>0</x:v>
      </x:c>
      <x:c r="I2304" s="81" t="n">
        <x:v>0</x:v>
      </x:c>
      <x:c r="J2304" s="79" t="n">
        <x:v>0.0010201600151741514</x:v>
      </x:c>
      <x:c r="K2304" s="81" t="n">
        <x:v>0.16589716019903022</x:v>
      </x:c>
      <x:c r="L2304" s="81" t="n">
        <x:v>-0.7952605622259228</x:v>
      </x:c>
      <x:c r="M2304" s="80" t="n">
        <x:v>9394.077731804991</x:v>
      </x:c>
      <x:c r="N2304" s="82" t="n">
        <x:v>0.2991194184576861</x:v>
      </x:c>
      <x:c r="O2304" s="82" t="n">
        <x:v>0.17988005430909268</x:v>
      </x:c>
      <x:c r="P2304" s="80" t="n">
        <x:v>10210.5834968271</x:v>
      </x:c>
      <x:c r="Q2304" s="81" t="n">
        <x:v>0.004612166053302616</x:v>
      </x:c>
      <x:c r="R2304" s="81" t="n">
        <x:v>104.3688426294782</x:v>
      </x:c>
      <x:c r="S2304" s="81" t="n">
        <x:v>49.357493996816224</x:v>
      </x:c>
      <x:c r="T2304" s="81" t="n">
        <x:v>22.09889316158205</x:v>
      </x:c>
    </x:row>
    <x:row r="2305">
      <x:c r="A2305" s="59" t="n">
        <x:v>2302</x:v>
      </x:c>
      <x:c r="B2305" s="193" t="n">
        <x:v>0.4902241755276919</x:v>
      </x:c>
      <x:c r="C2305" s="83" t="n">
        <x:v>2.0118241707512214</x:v>
      </x:c>
      <x:c r="D2305" s="83" t="n">
        <x:v>0.36744769445904524</x:v>
      </x:c>
      <x:c r="E2305" s="81" t="n">
        <x:v>-0.10928903777327534</x:v>
      </x:c>
      <x:c r="F2305" s="81" t="n">
        <x:v>0.47370932571357116</x:v>
      </x:c>
      <x:c r="G2305" s="81" t="n">
        <x:v>-0.01534746357116136</x:v>
      </x:c>
      <x:c r="H2305" s="59" t="n">
        <x:v>0</x:v>
      </x:c>
      <x:c r="I2305" s="81" t="n">
        <x:v>0</x:v>
      </x:c>
      <x:c r="J2305" s="79" t="n">
        <x:v>6.9498146231016235e-25</x:v>
      </x:c>
      <x:c r="K2305" s="81" t="n">
        <x:v>-1</x:v>
      </x:c>
      <x:c r="L2305" s="81" t="n">
        <x:v>-1</x:v>
      </x:c>
      <x:c r="M2305" s="80" t="n">
        <x:v>0.000002</x:v>
      </x:c>
      <x:c r="N2305" s="82" t="n">
        <x:v>0.21887434031398745</x:v>
      </x:c>
      <x:c r="O2305" s="82" t="n">
        <x:v>0.0979439752097962</x:v>
      </x:c>
      <x:c r="P2305" s="80" t="n">
        <x:v>427.13212251487226</x:v>
      </x:c>
      <x:c r="Q2305" s="81" t="n">
        <x:v>29504597.84456818</x:v>
      </x:c>
      <x:c r="R2305" s="81" t="n">
        <x:v>2.092321470646234</x:v>
      </x:c>
      <x:c r="S2305" s="81" t="n">
        <x:v>8.854143715025331e-11</x:v>
      </x:c>
      <x:c r="T2305" s="81" t="n">
        <x:v>1.5054815770495108e-20</x:v>
      </x:c>
    </x:row>
    <x:row r="2306">
      <x:c r="A2306" s="59" t="n">
        <x:v>2303</x:v>
      </x:c>
      <x:c r="B2306" s="193" t="n">
        <x:v>0.3784986762329936</x:v>
      </x:c>
      <x:c r="C2306" s="83" t="n">
        <x:v>0.145028234813483</x:v>
      </x:c>
      <x:c r="D2306" s="83" t="n">
        <x:v>1.1141489434551537</x:v>
      </x:c>
      <x:c r="E2306" s="81" t="n">
        <x:v>-0.021244315461683202</x:v>
      </x:c>
      <x:c r="F2306" s="81" t="n">
        <x:v>0.28326079366961493</x:v>
      </x:c>
      <x:c r="G2306" s="81" t="n">
        <x:v>-0.024453323934780044</x:v>
      </x:c>
      <x:c r="H2306" s="59" t="n">
        <x:v>0</x:v>
      </x:c>
      <x:c r="I2306" s="81" t="n">
        <x:v>0</x:v>
      </x:c>
      <x:c r="J2306" s="79" t="n">
        <x:v>9.271954189528375e-17</x:v>
      </x:c>
      <x:c r="K2306" s="81" t="n">
        <x:v>-0.9999999999998941</x:v>
      </x:c>
      <x:c r="L2306" s="81" t="n">
        <x:v>-0.9999999999998941</x:v>
      </x:c>
      <x:c r="M2306" s="80" t="n">
        <x:v>0.0019475463952177239</x:v>
      </x:c>
      <x:c r="N2306" s="82" t="n">
        <x:v>0.19225923152887847</x:v>
      </x:c>
      <x:c r="O2306" s="82" t="n">
        <x:v>0.05144517058199488</x:v>
      </x:c>
      <x:c r="P2306" s="80" t="n">
        <x:v>732.7939679461956</x:v>
      </x:c>
      <x:c r="Q2306" s="81" t="n">
        <x:v>1019.9199458391009</x:v>
      </x:c>
      <x:c r="R2306" s="81" t="n">
        <x:v>37.96081709585581</x:v>
      </x:c>
      <x:c r="S2306" s="81" t="n">
        <x:v>6.354572772634698e-7</x:v>
      </x:c>
      <x:c r="T2306" s="81" t="n">
        <x:v>2.008507704533903e-12</x:v>
      </x:c>
    </x:row>
    <x:row r="2307">
      <x:c r="A2307" s="59" t="n">
        <x:v>2304</x:v>
      </x:c>
      <x:c r="B2307" s="193" t="n">
        <x:v>0.808843874000013</x:v>
      </x:c>
      <x:c r="C2307" s="83" t="n">
        <x:v>0.48310514054659</x:v>
      </x:c>
      <x:c r="D2307" s="83" t="n">
        <x:v>0.4687000234800384</x:v>
      </x:c>
      <x:c r="E2307" s="81" t="n">
        <x:v>-0.11962296381891363</x:v>
      </x:c>
      <x:c r="F2307" s="81" t="n">
        <x:v>0.6773064669105224</x:v>
      </x:c>
      <x:c r="G2307" s="81" t="n">
        <x:v>-0.010268184795872945</x:v>
      </x:c>
      <x:c r="H2307" s="59" t="n">
        <x:v>78</x:v>
      </x:c>
      <x:c r="I2307" s="81" t="n">
        <x:v>0.2169870935380459</x:v>
      </x:c>
      <x:c r="J2307" s="79" t="n">
        <x:v>2.5131949535041574e-29</x:v>
      </x:c>
      <x:c r="K2307" s="81" t="n">
        <x:v>-1</x:v>
      </x:c>
      <x:c r="L2307" s="81" t="n">
        <x:v>-1</x:v>
      </x:c>
      <x:c r="M2307" s="80" t="n">
        <x:v>0.000002</x:v>
      </x:c>
      <x:c r="N2307" s="82" t="n">
        <x:v>0.29477552660944056</x:v>
      </x:c>
      <x:c r="O2307" s="82" t="n">
        <x:v>0.1886025620244111</x:v>
      </x:c>
      <x:c r="P2307" s="80" t="n">
        <x:v>184.95342216627222</x:v>
      </x:c>
      <x:c r="Q2307" s="81" t="n">
        <x:v>752360282854.0175</x:v>
      </x:c>
      <x:c r="R2307" s="81" t="n">
        <x:v>4.941348698621336</x:v>
      </x:c>
      <x:c r="S2307" s="81" t="n">
        <x:v>2.441689497445393e-10</x:v>
      </x:c>
      <x:c r="T2307" s="81" t="n">
        <x:v>5.444128954832102e-25</x:v>
      </x:c>
    </x:row>
    <x:row r="2308">
      <x:c r="A2308" s="59" t="n">
        <x:v>2305</x:v>
      </x:c>
      <x:c r="B2308" s="193" t="n">
        <x:v>0.6037195986136794</x:v>
      </x:c>
      <x:c r="C2308" s="83" t="n">
        <x:v>1.554581171003627</x:v>
      </x:c>
      <x:c r="D2308" s="83" t="n">
        <x:v>0.45548279457694996</x:v>
      </x:c>
      <x:c r="E2308" s="81" t="n">
        <x:v>-0.059147972776371946</x:v>
      </x:c>
      <x:c r="F2308" s="81" t="n">
        <x:v>0.326931070338469</x:v>
      </x:c>
      <x:c r="G2308" s="81" t="n">
        <x:v>0.013864158263242752</x:v>
      </x:c>
      <x:c r="H2308" s="59" t="n">
        <x:v>0</x:v>
      </x:c>
      <x:c r="I2308" s="81" t="n">
        <x:v>0</x:v>
      </x:c>
      <x:c r="J2308" s="79" t="n">
        <x:v>6.005552243464531e-22</x:v>
      </x:c>
      <x:c r="K2308" s="81" t="n">
        <x:v>-1</x:v>
      </x:c>
      <x:c r="L2308" s="81" t="n">
        <x:v>-1</x:v>
      </x:c>
      <x:c r="M2308" s="80" t="n">
        <x:v>0.000011249164748201355</x:v>
      </x:c>
      <x:c r="N2308" s="82" t="n">
        <x:v>0.2459110781322525</x:v>
      </x:c>
      <x:c r="O2308" s="82" t="n">
        <x:v>0.07594605719564335</x:v>
      </x:c>
      <x:c r="P2308" s="80" t="n">
        <x:v>633.2353509938177</x:v>
      </x:c>
      <x:c r="Q2308" s="81" t="n">
        <x:v>338804.29314222</x:v>
      </x:c>
      <x:c r="R2308" s="81" t="n">
        <x:v>3.741093349607303</x:v>
      </x:c>
      <x:c r="S2308" s="81" t="n">
        <x:v>1.1042384716235762e-9</x:v>
      </x:c>
      <x:c r="T2308" s="81" t="n">
        <x:v>1.3009337303027516e-17</x:v>
      </x:c>
    </x:row>
    <x:row r="2309">
      <x:c r="A2309" s="59" t="n">
        <x:v>2306</x:v>
      </x:c>
      <x:c r="B2309" s="193" t="n">
        <x:v>0.3644964713603258</x:v>
      </x:c>
      <x:c r="C2309" s="83" t="n">
        <x:v>1.7696290996461668</x:v>
      </x:c>
      <x:c r="D2309" s="83" t="n">
        <x:v>0.19749222791856177</x:v>
      </x:c>
      <x:c r="E2309" s="81" t="n">
        <x:v>-0.04677346818191491</x:v>
      </x:c>
      <x:c r="F2309" s="81" t="n">
        <x:v>0.7117978832451627</x:v>
      </x:c>
      <x:c r="G2309" s="81" t="n">
        <x:v>0.021091120045327243</x:v>
      </x:c>
      <x:c r="H2309" s="59" t="n">
        <x:v>0</x:v>
      </x:c>
      <x:c r="I2309" s="81" t="n">
        <x:v>0</x:v>
      </x:c>
      <x:c r="J2309" s="79" t="n">
        <x:v>3.1274489768419116e-11</x:v>
      </x:c>
      <x:c r="K2309" s="81" t="n">
        <x:v>-0.999999964257726</x:v>
      </x:c>
      <x:c r="L2309" s="81" t="n">
        <x:v>-0.999999964257726</x:v>
      </x:c>
      <x:c r="M2309" s="80" t="n">
        <x:v>2.6856763803451953</x:v>
      </x:c>
      <x:c r="N2309" s="82" t="n">
        <x:v>0.18892364378686782</x:v>
      </x:c>
      <x:c r="O2309" s="82" t="n">
        <x:v>0.12703223738440828</x:v>
      </x:c>
      <x:c r="P2309" s="80" t="n">
        <x:v>607.3768400637343</x:v>
      </x:c>
      <x:c r="Q2309" s="81" t="n">
        <x:v>1.9356828607419372</x:v>
      </x:c>
      <x:c r="R2309" s="81" t="n">
        <x:v>5.178631510556434</x:v>
      </x:c>
      <x:c r="S2309" s="81" t="n">
        <x:v>0.00011100886689414264</x:v>
      </x:c>
      <x:c r="T2309" s="81" t="n">
        <x:v>6.77473727449808e-7</x:v>
      </x:c>
    </x:row>
    <x:row r="2310">
      <x:c r="A2310" s="59" t="n">
        <x:v>2307</x:v>
      </x:c>
      <x:c r="B2310" s="193" t="n">
        <x:v>0.6281723087653518</x:v>
      </x:c>
      <x:c r="C2310" s="83" t="n">
        <x:v>0.26164816749650094</x:v>
      </x:c>
      <x:c r="D2310" s="83" t="n">
        <x:v>0.739022654152306</x:v>
      </x:c>
      <x:c r="E2310" s="81" t="n">
        <x:v>0.018920227911638218</x:v>
      </x:c>
      <x:c r="F2310" s="81" t="n">
        <x:v>0.5590635955915786</x:v>
      </x:c>
      <x:c r="G2310" s="81" t="n">
        <x:v>0.026083205506175947</x:v>
      </x:c>
      <x:c r="H2310" s="59" t="n">
        <x:v>0</x:v>
      </x:c>
      <x:c r="I2310" s="81" t="n">
        <x:v>0</x:v>
      </x:c>
      <x:c r="J2310" s="79" t="n">
        <x:v>0.00012988732735542385</x:v>
      </x:c>
      <x:c r="K2310" s="81" t="n">
        <x:v>-0.8515573401652299</x:v>
      </x:c>
      <x:c r="L2310" s="81" t="n">
        <x:v>-0.9215860708984417</x:v>
      </x:c>
      <x:c r="M2310" s="80" t="n">
        <x:v>2612.2841599664084</x:v>
      </x:c>
      <x:c r="N2310" s="82" t="n">
        <x:v>0.2517361721786962</x:v>
      </x:c>
      <x:c r="O2310" s="82" t="n">
        <x:v>0.1329467666090431</x:v>
      </x:c>
      <x:c r="P2310" s="80" t="n">
        <x:v>4736.689756999797</x:v>
      </x:c>
      <x:c r="Q2310" s="81" t="n">
        <x:v>0.014247633516931731</x:v>
      </x:c>
      <x:c r="R2310" s="81" t="n">
        <x:v>58.02121556288433</x:v>
      </x:c>
      <x:c r="S2310" s="81" t="n">
        <x:v>10.148382800257847</x:v>
      </x:c>
      <x:c r="T2310" s="81" t="n">
        <x:v>2.8136430830225643</x:v>
      </x:c>
    </x:row>
    <x:row r="2311">
      <x:c r="A2311" s="59" t="n">
        <x:v>2308</x:v>
      </x:c>
      <x:c r="B2311" s="193" t="n">
        <x:v>0.9613590136170387</x:v>
      </x:c>
      <x:c r="C2311" s="83" t="n">
        <x:v>0.49640219368414745</x:v>
      </x:c>
      <x:c r="D2311" s="83" t="n">
        <x:v>0.3817264571716689</x:v>
      </x:c>
      <x:c r="E2311" s="81" t="n">
        <x:v>-0.05623707838084753</x:v>
      </x:c>
      <x:c r="F2311" s="81" t="n">
        <x:v>0.3053498380118981</x:v>
      </x:c>
      <x:c r="G2311" s="81" t="n">
        <x:v>-0.01617133355111522</x:v>
      </x:c>
      <x:c r="H2311" s="59" t="n">
        <x:v>7</x:v>
      </x:c>
      <x:c r="I2311" s="81" t="n">
        <x:v>0.2954002947546542</x:v>
      </x:c>
      <x:c r="J2311" s="79" t="n">
        <x:v>1.6761904032017318e-16</x:v>
      </x:c>
      <x:c r="K2311" s="81" t="n">
        <x:v>-0.9999999999998085</x:v>
      </x:c>
      <x:c r="L2311" s="81" t="n">
        <x:v>-0.9999999999998085</x:v>
      </x:c>
      <x:c r="M2311" s="80" t="n">
        <x:v>0.003418805226406335</x:v>
      </x:c>
      <x:c r="N2311" s="82" t="n">
        <x:v>0.3311074925250839</x:v>
      </x:c>
      <x:c r="O2311" s="82" t="n">
        <x:v>0.09550753672980089</x:v>
      </x:c>
      <x:c r="P2311" s="80" t="n">
        <x:v>292.71219149617696</x:v>
      </x:c>
      <x:c r="Q2311" s="81" t="n">
        <x:v>386.94620530009803</x:v>
      </x:c>
      <x:c r="R2311" s="81" t="n">
        <x:v>8.911985729893557</x:v>
      </x:c>
      <x:c r="S2311" s="81" t="n">
        <x:v>3.2418646356317656e-7</x:v>
      </x:c>
      <x:c r="T2311" s="81" t="n">
        <x:v>3.630994362438404e-12</x:v>
      </x:c>
    </x:row>
    <x:row r="2312">
      <x:c r="A2312" s="59" t="n">
        <x:v>2309</x:v>
      </x:c>
      <x:c r="B2312" s="193" t="n">
        <x:v>0.6124301012605429</x:v>
      </x:c>
      <x:c r="C2312" s="83" t="n">
        <x:v>1.2891156999622213</x:v>
      </x:c>
      <x:c r="D2312" s="83" t="n">
        <x:v>0.7612901420909858</x:v>
      </x:c>
      <x:c r="E2312" s="81" t="n">
        <x:v>0.014488444099607515</x:v>
      </x:c>
      <x:c r="F2312" s="81" t="n">
        <x:v>0.31668470861623066</x:v>
      </x:c>
      <x:c r="G2312" s="81" t="n">
        <x:v>0.007446869633537596</x:v>
      </x:c>
      <x:c r="H2312" s="59" t="n">
        <x:v>0</x:v>
      </x:c>
      <x:c r="I2312" s="81" t="n">
        <x:v>0</x:v>
      </x:c>
      <x:c r="J2312" s="79" t="n">
        <x:v>0.0005427680778252493</x:v>
      </x:c>
      <x:c r="K2312" s="81" t="n">
        <x:v>-0.3796936253425722</x:v>
      </x:c>
      <x:c r="L2312" s="81" t="n">
        <x:v>-0.6592576460554629</x:v>
      </x:c>
      <x:c r="M2312" s="80" t="n">
        <x:v>9475.978060771226</x:v>
      </x:c>
      <x:c r="N2312" s="82" t="n">
        <x:v>0.2479860831846598</x:v>
      </x:c>
      <x:c r="O2312" s="82" t="n">
        <x:v>0.07418657898740759</x:v>
      </x:c>
      <x:c r="P2312" s="80" t="n">
        <x:v>16242.66259343449</x:v>
      </x:c>
      <x:c r="Q2312" s="81" t="n">
        <x:v>0.010437765233185384</x:v>
      </x:c>
      <x:c r="R2312" s="81" t="n">
        <x:v>20.998758414714622</x:v>
      </x:c>
      <x:c r="S2312" s="81" t="n">
        <x:v>9.347344356826087</x:v>
      </x:c>
      <x:c r="T2312" s="81" t="n">
        <x:v>11.757541547371705</x:v>
      </x:c>
    </x:row>
    <x:row r="2313">
      <x:c r="A2313" s="59" t="n">
        <x:v>2310</x:v>
      </x:c>
      <x:c r="B2313" s="193" t="n">
        <x:v>0.704752884246409</x:v>
      </x:c>
      <x:c r="C2313" s="83" t="n">
        <x:v>0.14556438844018152</x:v>
      </x:c>
      <x:c r="D2313" s="83" t="n">
        <x:v>0.5381789176346432</x:v>
      </x:c>
      <x:c r="E2313" s="81" t="n">
        <x:v>0.03775884108081378</x:v>
      </x:c>
      <x:c r="F2313" s="81" t="n">
        <x:v>0.379101749882102</x:v>
      </x:c>
      <x:c r="G2313" s="81" t="n">
        <x:v>-0.004635873050934767</x:v>
      </x:c>
      <x:c r="H2313" s="59" t="n">
        <x:v>0</x:v>
      </x:c>
      <x:c r="I2313" s="81" t="n">
        <x:v>0</x:v>
      </x:c>
      <x:c r="J2313" s="79" t="n">
        <x:v>0.0002211167820633326</x:v>
      </x:c>
      <x:c r="K2313" s="81" t="n">
        <x:v>-0.7472951062133342</x:v>
      </x:c>
      <x:c r="L2313" s="81" t="n">
        <x:v>-0.8412389106621063</x:v>
      </x:c>
      <x:c r="M2313" s="80" t="n">
        <x:v>3134.4887066788356</x:v>
      </x:c>
      <x:c r="N2313" s="82" t="n">
        <x:v>0.26997910114407425</x:v>
      </x:c>
      <x:c r="O2313" s="82" t="n">
        <x:v>0.09668450498170866</x:v>
      </x:c>
      <x:c r="P2313" s="80" t="n">
        <x:v>3853.7874818989794</x:v>
      </x:c>
      <x:c r="Q2313" s="81" t="n">
        <x:v>0.005365958644557075</x:v>
      </x:c>
      <x:c r="R2313" s="81" t="n">
        <x:v>151.553071419993</x:v>
      </x:c>
      <x:c r="S2313" s="81" t="n">
        <x:v>28.835554451057252</x:v>
      </x:c>
      <x:c r="T2313" s="81" t="n">
        <x:v>4.789872245891</x:v>
      </x:c>
    </x:row>
    <x:row r="2314">
      <x:c r="A2314" s="59" t="n">
        <x:v>2311</x:v>
      </x:c>
      <x:c r="B2314" s="193" t="n">
        <x:v>0.36872743889689447</x:v>
      </x:c>
      <x:c r="C2314" s="83" t="n">
        <x:v>0.11008958838874502</x:v>
      </x:c>
      <x:c r="D2314" s="83" t="n">
        <x:v>0.208118079759675</x:v>
      </x:c>
      <x:c r="E2314" s="81" t="n">
        <x:v>-0.007543809894809523</x:v>
      </x:c>
      <x:c r="F2314" s="81" t="n">
        <x:v>0.35080354756209997</x:v>
      </x:c>
      <x:c r="G2314" s="81" t="n">
        <x:v>-0.023238913476963496</x:v>
      </x:c>
      <x:c r="H2314" s="59" t="n">
        <x:v>52</x:v>
      </x:c>
      <x:c r="I2314" s="81" t="n">
        <x:v>0.4082630231045187</x:v>
      </x:c>
      <x:c r="J2314" s="79" t="n">
        <x:v>6.506322418197547e-7</x:v>
      </x:c>
      <x:c r="K2314" s="81" t="n">
        <x:v>-0.9992564202950631</x:v>
      </x:c>
      <x:c r="L2314" s="81" t="n">
        <x:v>-0.9992564202950631</x:v>
      </x:c>
      <x:c r="M2314" s="80" t="n">
        <x:v>152.97659886315043</x:v>
      </x:c>
      <x:c r="N2314" s="82" t="n">
        <x:v>0.18993153958471976</x:v>
      </x:c>
      <x:c r="O2314" s="82" t="n">
        <x:v>0.062940763542034</x:v>
      </x:c>
      <x:c r="P2314" s="80" t="n">
        <x:v>379.0978309559887</x:v>
      </x:c>
      <x:c r="Q2314" s="81" t="n">
        <x:v>0.013431066793011584</x:v>
      </x:c>
      <x:c r="R2314" s="81" t="n">
        <x:v>100.74766297416421</x:v>
      </x:c>
      <x:c r="S2314" s="81" t="n">
        <x:v>0.11925024869189176</x:v>
      </x:c>
      <x:c r="T2314" s="81" t="n">
        <x:v>0.014094114830604163</x:v>
      </x:c>
    </x:row>
    <x:row r="2315">
      <x:c r="A2315" s="59" t="n">
        <x:v>2312</x:v>
      </x:c>
      <x:c r="B2315" s="193" t="n">
        <x:v>0.8255588011816144</x:v>
      </x:c>
      <x:c r="C2315" s="83" t="n">
        <x:v>0.8082797158490564</x:v>
      </x:c>
      <x:c r="D2315" s="83" t="n">
        <x:v>3</x:v>
      </x:c>
      <x:c r="E2315" s="81" t="n">
        <x:v>-0.13996849739924672</x:v>
      </x:c>
      <x:c r="F2315" s="81" t="n">
        <x:v>0.7515060691977852</x:v>
      </x:c>
      <x:c r="G2315" s="81" t="n">
        <x:v>-0.00893270454911787</x:v>
      </x:c>
      <x:c r="H2315" s="59" t="n">
        <x:v>0</x:v>
      </x:c>
      <x:c r="I2315" s="81" t="n">
        <x:v>0</x:v>
      </x:c>
      <x:c r="J2315" s="79" t="n">
        <x:v>6.227847606275463e-106</x:v>
      </x:c>
      <x:c r="K2315" s="81" t="n">
        <x:v>-1</x:v>
      </x:c>
      <x:c r="L2315" s="81" t="n">
        <x:v>-1</x:v>
      </x:c>
      <x:c r="M2315" s="80" t="n">
        <x:v>0.000002</x:v>
      </x:c>
      <x:c r="N2315" s="82" t="n">
        <x:v>0.29875733566898266</x:v>
      </x:c>
      <x:c r="O2315" s="82" t="n">
        <x:v>0.2120908887059692</x:v>
      </x:c>
      <x:c r="P2315" s="80" t="n">
        <x:v>355.2691666450284</x:v>
      </x:c>
      <x:c r="Q2315" s="81" t="n">
        <x:v>2.641918242468253e+88</x:v>
      </x:c>
      <x:c r="R2315" s="81" t="n">
        <x:v>0.8062001111696369</x:v>
      </x:c>
      <x:c r="S2315" s="81" t="n">
        <x:v>1.3030107951696628e-9</x:v>
      </x:c>
      <x:c r="T2315" s="81" t="n">
        <x:v>1.3490877590825926e-101</x:v>
      </x:c>
    </x:row>
    <x:row r="2316">
      <x:c r="A2316" s="59" t="n">
        <x:v>2313</x:v>
      </x:c>
      <x:c r="B2316" s="193" t="n">
        <x:v>0.9760269926860929</x:v>
      </x:c>
      <x:c r="C2316" s="83" t="n">
        <x:v>0.13301537368435792</x:v>
      </x:c>
      <x:c r="D2316" s="83" t="n">
        <x:v>1.239506574688275</x:v>
      </x:c>
      <x:c r="E2316" s="81" t="n">
        <x:v>0.002180377131363475</x:v>
      </x:c>
      <x:c r="F2316" s="81" t="n">
        <x:v>0.4284563983790577</x:v>
      </x:c>
      <x:c r="G2316" s="81" t="n">
        <x:v>-0.009464201923973639</x:v>
      </x:c>
      <x:c r="H2316" s="59" t="n">
        <x:v>0</x:v>
      </x:c>
      <x:c r="I2316" s="81" t="n">
        <x:v>0</x:v>
      </x:c>
      <x:c r="J2316" s="79" t="n">
        <x:v>0.000002301689167180438</x:v>
      </x:c>
      <x:c r="K2316" s="81" t="n">
        <x:v>-0.9973694980946509</x:v>
      </x:c>
      <x:c r="L2316" s="81" t="n">
        <x:v>-0.9973694980946509</x:v>
      </x:c>
      <x:c r="M2316" s="80" t="n">
        <x:v>296.38778815035215</x:v>
      </x:c>
      <x:c r="N2316" s="82" t="n">
        <x:v>0.33460168016394043</x:v>
      </x:c>
      <x:c r="O2316" s="82" t="n">
        <x:v>0.13542713533658926</x:v>
      </x:c>
      <x:c r="P2316" s="80" t="n">
        <x:v>2211.021298286779</x:v>
      </x:c>
      <x:c r="Q2316" s="81" t="n">
        <x:v>0.06946680105553617</x:v>
      </x:c>
      <x:c r="R2316" s="81" t="n">
        <x:v>70.9456592085005</x:v>
      </x:c>
      <x:c r="S2316" s="81" t="n">
        <x:v>0.44821751523799347</x:v>
      </x:c>
      <x:c r="T2316" s="81" t="n">
        <x:v>0.04985961245306027</x:v>
      </x:c>
    </x:row>
    <x:row r="2317">
      <x:c r="A2317" s="59" t="n">
        <x:v>2314</x:v>
      </x:c>
      <x:c r="B2317" s="193" t="n">
        <x:v>0.9063230909407138</x:v>
      </x:c>
      <x:c r="C2317" s="83" t="n">
        <x:v>1.2510633262892403</x:v>
      </x:c>
      <x:c r="D2317" s="83" t="n">
        <x:v>0.40894719543892305</x:v>
      </x:c>
      <x:c r="E2317" s="81" t="n">
        <x:v>0.1398945818596666</x:v>
      </x:c>
      <x:c r="F2317" s="81" t="n">
        <x:v>0.6708487240364776</x:v>
      </x:c>
      <x:c r="G2317" s="81" t="n">
        <x:v>-0.0372540602242719</x:v>
      </x:c>
      <x:c r="H2317" s="59" t="n">
        <x:v>0</x:v>
      </x:c>
      <x:c r="I2317" s="81" t="n">
        <x:v>0</x:v>
      </x:c>
      <x:c r="J2317" s="79" t="n">
        <x:v>0.0008211783988630296</x:v>
      </x:c>
      <x:c r="K2317" s="81" t="n">
        <x:v>-0.06151040129939467</x:v>
      </x:c>
      <x:c r="L2317" s="81" t="n">
        <x:v>-0.8045438009068137</x:v>
      </x:c>
      <x:c r="M2317" s="80" t="n">
        <x:v>13091.485092937206</x:v>
      </x:c>
      <x:c r="N2317" s="82" t="n">
        <x:v>0.31799690382003315</x:v>
      </x:c>
      <x:c r="O2317" s="82" t="n">
        <x:v>0.201520128499295</x:v>
      </x:c>
      <x:c r="P2317" s="80" t="n">
        <x:v>11216.65125802975</x:v>
      </x:c>
      <x:c r="Q2317" s="81" t="n">
        <x:v>0.00352379983961011</x:v>
      </x:c>
      <x:c r="R2317" s="81" t="n">
        <x:v>58.78712897718472</x:v>
      </x:c>
      <x:c r="S2317" s="81" t="n">
        <x:v>12.92968955528421</x:v>
      </x:c>
      <x:c r="T2317" s="81" t="n">
        <x:v>17.788516931802317</x:v>
      </x:c>
    </x:row>
    <x:row r="2318">
      <x:c r="A2318" s="59" t="n">
        <x:v>2315</x:v>
      </x:c>
      <x:c r="B2318" s="193" t="n">
        <x:v>0.4267045877873898</x:v>
      </x:c>
      <x:c r="C2318" s="83" t="n">
        <x:v>2.4592396391590188</x:v>
      </x:c>
      <x:c r="D2318" s="83" t="n">
        <x:v>1.122895118163516</x:v>
      </x:c>
      <x:c r="E2318" s="81" t="n">
        <x:v>0.016565831111757155</x:v>
      </x:c>
      <x:c r="F2318" s="81" t="n">
        <x:v>0.2639912092825398</x:v>
      </x:c>
      <x:c r="G2318" s="81" t="n">
        <x:v>-0.02044866612165376</x:v>
      </x:c>
      <x:c r="H2318" s="59" t="n">
        <x:v>0</x:v>
      </x:c>
      <x:c r="I2318" s="81" t="n">
        <x:v>0</x:v>
      </x:c>
      <x:c r="J2318" s="79" t="n">
        <x:v>0.004194395388366426</x:v>
      </x:c>
      <x:c r="K2318" s="81" t="n">
        <x:v>3.7935947295616304</x:v>
      </x:c>
      <x:c r="L2318" s="81" t="n">
        <x:v>-0.1585581647734896</x:v>
      </x:c>
      <x:c r="M2318" s="80" t="n">
        <x:v>40498.726318377354</x:v>
      </x:c>
      <x:c r="N2318" s="82" t="n">
        <x:v>0.20374278352197725</x:v>
      </x:c>
      <x:c r="O2318" s="82" t="n">
        <x:v>0.05080923340294512</x:v>
      </x:c>
      <x:c r="P2318" s="80" t="n">
        <x:v>84686.64139199052</x:v>
      </x:c>
      <x:c r="Q2318" s="81" t="n">
        <x:v>0.0071405204751584924</x:v>
      </x:c>
      <x:c r="R2318" s="81" t="n">
        <x:v>23.95260023818754</x:v>
      </x:c>
      <x:c r="S2318" s="81" t="n">
        <x:v>36.217572087699125</x:v>
      </x:c>
      <x:c r="T2318" s="81" t="n">
        <x:v>90.8597613964695</x:v>
      </x:c>
    </x:row>
    <x:row r="2319">
      <x:c r="A2319" s="59" t="n">
        <x:v>2316</x:v>
      </x:c>
      <x:c r="B2319" s="193" t="n">
        <x:v>0.5405571347102522</x:v>
      </x:c>
      <x:c r="C2319" s="83" t="n">
        <x:v>0.2793668505184716</x:v>
      </x:c>
      <x:c r="D2319" s="83" t="n">
        <x:v>2.615672074511288</x:v>
      </x:c>
      <x:c r="E2319" s="81" t="n">
        <x:v>-0.04977548863487712</x:v>
      </x:c>
      <x:c r="F2319" s="81" t="n">
        <x:v>0.7788938250974752</x:v>
      </x:c>
      <x:c r="G2319" s="81" t="n">
        <x:v>0.04654651286170797</x:v>
      </x:c>
      <x:c r="H2319" s="59" t="n">
        <x:v>0</x:v>
      </x:c>
      <x:c r="I2319" s="81" t="n">
        <x:v>0</x:v>
      </x:c>
      <x:c r="J2319" s="79" t="n">
        <x:v>2.1238785745782478e-60</x:v>
      </x:c>
      <x:c r="K2319" s="81" t="n">
        <x:v>-1</x:v>
      </x:c>
      <x:c r="L2319" s="81" t="n">
        <x:v>-1</x:v>
      </x:c>
      <x:c r="M2319" s="80" t="n">
        <x:v>0.000002</x:v>
      </x:c>
      <x:c r="N2319" s="82" t="n">
        <x:v>0.23086459493425784</x:v>
      </x:c>
      <x:c r="O2319" s="82" t="n">
        <x:v>0.1698660304283099</x:v>
      </x:c>
      <x:c r="P2319" s="80" t="n">
        <x:v>465.6666986153506</x:v>
      </x:c>
      <x:c r="Q2319" s="81" t="n">
        <x:v>2.0060696767660177e+43</x:v>
      </x:c>
      <x:c r="R2319" s="81" t="n">
        <x:v>4.465119399483119</x:v>
      </x:c>
      <x:c r="S2319" s="81" t="n">
        <x:v>3.115213504928283e-9</x:v>
      </x:c>
      <x:c r="T2319" s="81" t="n">
        <x:v>4.600784681780097e-56</x:v>
      </x:c>
    </x:row>
    <x:row r="2320">
      <x:c r="A2320" s="59" t="n">
        <x:v>2317</x:v>
      </x:c>
      <x:c r="B2320" s="193" t="n">
        <x:v>0.34672991856932645</x:v>
      </x:c>
      <x:c r="C2320" s="83" t="n">
        <x:v>0.45414858814896847</x:v>
      </x:c>
      <x:c r="D2320" s="83" t="n">
        <x:v>3</x:v>
      </x:c>
      <x:c r="E2320" s="81" t="n">
        <x:v>-0.0014102844303640865</x:v>
      </x:c>
      <x:c r="F2320" s="81" t="n">
        <x:v>0.6094320630887524</x:v>
      </x:c>
      <x:c r="G2320" s="81" t="n">
        <x:v>-0.015471795198327665</x:v>
      </x:c>
      <x:c r="H2320" s="59" t="n">
        <x:v>0</x:v>
      </x:c>
      <x:c r="I2320" s="81" t="n">
        <x:v>0</x:v>
      </x:c>
      <x:c r="J2320" s="79" t="n">
        <x:v>4.6108416545503074e-8</x:v>
      </x:c>
      <x:c r="K2320" s="81" t="n">
        <x:v>-0.9999473046668051</x:v>
      </x:c>
      <x:c r="L2320" s="81" t="n">
        <x:v>-0.9999473046668051</x:v>
      </x:c>
      <x:c r="M2320" s="80" t="n">
        <x:v>53.56070029748957</x:v>
      </x:c>
      <x:c r="N2320" s="82" t="n">
        <x:v>0.18469131778918674</x:v>
      </x:c>
      <x:c r="O2320" s="82" t="n">
        <x:v>0.10632679452337035</x:v>
      </x:c>
      <x:c r="P2320" s="80" t="n">
        <x:v>5378.0416115615435</x:v>
      </x:c>
      <x:c r="Q2320" s="81" t="n">
        <x:v>0.6757309967819701</x:v>
      </x:c>
      <x:c r="R2320" s="81" t="n">
        <x:v>24.444531542495614</x:v>
      </x:c>
      <x:c r="S2320" s="81" t="n">
        <x:v>0.04222126197361442</x:v>
      </x:c>
      <x:c r="T2320" s="81" t="n">
        <x:v>0.0009988089671548739</x:v>
      </x:c>
    </x:row>
    <x:row r="2321">
      <x:c r="A2321" s="59" t="n">
        <x:v>2318</x:v>
      </x:c>
      <x:c r="B2321" s="193" t="n">
        <x:v>0.5750796731561423</x:v>
      </x:c>
      <x:c r="C2321" s="83" t="n">
        <x:v>0.2771912836866035</x:v>
      </x:c>
      <x:c r="D2321" s="83" t="n">
        <x:v>0.28809319141840845</x:v>
      </x:c>
      <x:c r="E2321" s="81" t="n">
        <x:v>0.052258437991452425</x:v>
      </x:c>
      <x:c r="F2321" s="81" t="n">
        <x:v>0.3360220098984428</x:v>
      </x:c>
      <x:c r="G2321" s="81" t="n">
        <x:v>-0.014501800426627324</x:v>
      </x:c>
      <x:c r="H2321" s="59" t="n">
        <x:v>0</x:v>
      </x:c>
      <x:c r="I2321" s="81" t="n">
        <x:v>0</x:v>
      </x:c>
      <x:c r="J2321" s="79" t="n">
        <x:v>0.00019083137285043876</x:v>
      </x:c>
      <x:c r="K2321" s="81" t="n">
        <x:v>-0.7819070024566415</x:v>
      </x:c>
      <x:c r="L2321" s="81" t="n">
        <x:v>-0.831351703950362</x:v>
      </x:c>
      <x:c r="M2321" s="80" t="n">
        <x:v>3169.0906404634493</x:v>
      </x:c>
      <x:c r="N2321" s="82" t="n">
        <x:v>0.2390885108896648</x:v>
      </x:c>
      <x:c r="O2321" s="82" t="n">
        <x:v>0.07589224047494979</x:v>
      </x:c>
      <x:c r="P2321" s="80" t="n">
        <x:v>2229.311378235404</x:v>
      </x:c>
      <x:c r="Q2321" s="81" t="n">
        <x:v>0.002990809672501571</x:v>
      </x:c>
      <x:c r="R2321" s="81" t="n">
        <x:v>80.64827876034896</x:v>
      </x:c>
      <x:c r="S2321" s="81" t="n">
        <x:v>13.05806950894945</x:v>
      </x:c>
      <x:c r="T2321" s="81" t="n">
        <x:v>4.133824162653507</x:v>
      </x:c>
    </x:row>
    <x:row r="2322">
      <x:c r="A2322" s="59" t="n">
        <x:v>2319</x:v>
      </x:c>
      <x:c r="B2322" s="193" t="n">
        <x:v>0.6401640309020877</x:v>
      </x:c>
      <x:c r="C2322" s="83" t="n">
        <x:v>0.2633221954529796</x:v>
      </x:c>
      <x:c r="D2322" s="83" t="n">
        <x:v>1.06832146912451</x:v>
      </x:c>
      <x:c r="E2322" s="81" t="n">
        <x:v>-0.03311429614929685</x:v>
      </x:c>
      <x:c r="F2322" s="81" t="n">
        <x:v>0.3711124196415767</x:v>
      </x:c>
      <x:c r="G2322" s="81" t="n">
        <x:v>-0.03435267967569494</x:v>
      </x:c>
      <x:c r="H2322" s="59" t="n">
        <x:v>0</x:v>
      </x:c>
      <x:c r="I2322" s="81" t="n">
        <x:v>0</x:v>
      </x:c>
      <x:c r="J2322" s="79" t="n">
        <x:v>9.63006876611284e-22</x:v>
      </x:c>
      <x:c r="K2322" s="81" t="n">
        <x:v>-1</x:v>
      </x:c>
      <x:c r="L2322" s="81" t="n">
        <x:v>-1</x:v>
      </x:c>
      <x:c r="M2322" s="80" t="n">
        <x:v>0.000007039562152575175</x:v>
      </x:c>
      <x:c r="N2322" s="82" t="n">
        <x:v>0.25459282523645677</x:v>
      </x:c>
      <x:c r="O2322" s="82" t="n">
        <x:v>0.08925295239375167</x:v>
      </x:c>
      <x:c r="P2322" s="80" t="n">
        <x:v>537.9085878169006</x:v>
      </x:c>
      <x:c r="Q2322" s="81" t="n">
        <x:v>230363.62146013867</x:v>
      </x:c>
      <x:c r="R2322" s="81" t="n">
        <x:v>14.830049614019446</x:v>
      </x:c>
      <x:c r="S2322" s="81" t="n">
        <x:v>1.7821330749866196e-9</x:v>
      </x:c>
      <x:c r="T2322" s="81" t="n">
        <x:v>2.086083140248214e-17</x:v>
      </x:c>
    </x:row>
    <x:row r="2323">
      <x:c r="A2323" s="59" t="n">
        <x:v>2320</x:v>
      </x:c>
      <x:c r="B2323" s="193" t="n">
        <x:v>0.2624581824988127</x:v>
      </x:c>
      <x:c r="C2323" s="83" t="n">
        <x:v>0.23515975495838415</x:v>
      </x:c>
      <x:c r="D2323" s="83" t="n">
        <x:v>0.394591554847109</x:v>
      </x:c>
      <x:c r="E2323" s="81" t="n">
        <x:v>-0.0472602848224163</x:v>
      </x:c>
      <x:c r="F2323" s="81" t="n">
        <x:v>0.5784433981170878</x:v>
      </x:c>
      <x:c r="G2323" s="81" t="n">
        <x:v>-0.006150166191583994</x:v>
      </x:c>
      <x:c r="H2323" s="59" t="n">
        <x:v>0</x:v>
      </x:c>
      <x:c r="I2323" s="81" t="n">
        <x:v>0</x:v>
      </x:c>
      <x:c r="J2323" s="79" t="n">
        <x:v>1.4254963029951765e-15</x:v>
      </x:c>
      <x:c r="K2323" s="81" t="n">
        <x:v>-0.9999999999983709</x:v>
      </x:c>
      <x:c r="L2323" s="81" t="n">
        <x:v>-0.9999999999983709</x:v>
      </x:c>
      <x:c r="M2323" s="80" t="n">
        <x:v>0.008204957199191199</x:v>
      </x:c>
      <x:c r="N2323" s="82" t="n">
        <x:v>0.16461621016213912</x:v>
      </x:c>
      <x:c r="O2323" s="82" t="n">
        <x:v>0.08995067146609631</x:v>
      </x:c>
      <x:c r="P2323" s="80" t="n">
        <x:v>309.2311569301585</x:v>
      </x:c>
      <x:c r="Q2323" s="81" t="n">
        <x:v>128.83103550655312</x:v>
      </x:c>
      <x:c r="R2323" s="81" t="n">
        <x:v>24.28899259867237</x:v>
      </x:c>
      <x:c r="S2323" s="81" t="n">
        <x:v>0.0000011016647948321444</x:v>
      </x:c>
      <x:c r="T2323" s="81" t="n">
        <x:v>3.0879362093742635e-11</x:v>
      </x:c>
    </x:row>
    <x:row r="2324">
      <x:c r="A2324" s="59" t="n">
        <x:v>2321</x:v>
      </x:c>
      <x:c r="B2324" s="193" t="n">
        <x:v>0.3658488802611828</x:v>
      </x:c>
      <x:c r="C2324" s="83" t="n">
        <x:v>1.047499452453197</x:v>
      </x:c>
      <x:c r="D2324" s="83" t="n">
        <x:v>2.6223221593527075</x:v>
      </x:c>
      <x:c r="E2324" s="81" t="n">
        <x:v>-0.034976681717162277</x:v>
      </x:c>
      <x:c r="F2324" s="81" t="n">
        <x:v>0.45704840096877886</x:v>
      </x:c>
      <x:c r="G2324" s="81" t="n">
        <x:v>0.03058456408192488</x:v>
      </x:c>
      <x:c r="H2324" s="59" t="n">
        <x:v>0</x:v>
      </x:c>
      <x:c r="I2324" s="81" t="n">
        <x:v>0</x:v>
      </x:c>
      <x:c r="J2324" s="79" t="n">
        <x:v>4.0591268471575246e-45</x:v>
      </x:c>
      <x:c r="K2324" s="81" t="n">
        <x:v>-1</x:v>
      </x:c>
      <x:c r="L2324" s="81" t="n">
        <x:v>-1</x:v>
      </x:c>
      <x:c r="M2324" s="80" t="n">
        <x:v>0.000002</x:v>
      </x:c>
      <x:c r="N2324" s="82" t="n">
        <x:v>0.18924581294471834</x:v>
      </x:c>
      <x:c r="O2324" s="82" t="n">
        <x:v>0.0817070282665843</x:v>
      </x:c>
      <x:c r="P2324" s="80" t="n">
        <x:v>1022.6384019073524</x:v>
      </x:c>
      <x:c r="Q2324" s="81" t="n">
        <x:v>1.4726994953980074e+28</x:v>
      </x:c>
      <x:c r="R2324" s="81" t="n">
        <x:v>2.6947990550982834</x:v>
      </x:c>
      <x:c r="S2324" s="81" t="n">
        <x:v>1.6186410973609163e-9</x:v>
      </x:c>
      <x:c r="T2324" s="81" t="n">
        <x:v>8.792954947301131e-41</x:v>
      </x:c>
    </x:row>
    <x:row r="2325">
      <x:c r="A2325" s="59" t="n">
        <x:v>2322</x:v>
      </x:c>
      <x:c r="B2325" s="193" t="n">
        <x:v>0.7747486621141435</x:v>
      </x:c>
      <x:c r="C2325" s="83" t="n">
        <x:v>0.19235356136814394</x:v>
      </x:c>
      <x:c r="D2325" s="83" t="n">
        <x:v>0.9590529823728798</x:v>
      </x:c>
      <x:c r="E2325" s="81" t="n">
        <x:v>0.02044401610291651</x:v>
      </x:c>
      <x:c r="F2325" s="81" t="n">
        <x:v>0.7088976324419491</x:v>
      </x:c>
      <x:c r="G2325" s="81" t="n">
        <x:v>-0.012624282962611075</x:v>
      </x:c>
      <x:c r="H2325" s="59" t="n">
        <x:v>28</x:v>
      </x:c>
      <x:c r="I2325" s="81" t="n">
        <x:v>0.14096296457573773</x:v>
      </x:c>
      <x:c r="J2325" s="79" t="n">
        <x:v>0.00004713595412428805</x:v>
      </x:c>
      <x:c r="K2325" s="81" t="n">
        <x:v>-0.9461303381436708</x:v>
      </x:c>
      <x:c r="L2325" s="81" t="n">
        <x:v>-0.9516472158479631</x:v>
      </x:c>
      <x:c r="M2325" s="80" t="n">
        <x:v>1499.8977350552898</x:v>
      </x:c>
      <x:c r="N2325" s="82" t="n">
        <x:v>0.28665340785300375</x:v>
      </x:c>
      <x:c r="O2325" s="82" t="n">
        <x:v>0.1919603693868128</x:v>
      </x:c>
      <x:c r="P2325" s="80" t="n">
        <x:v>3589.861686747747</x:v>
      </x:c>
      <x:c r="Q2325" s="81" t="n">
        <x:v>0.018899816362308575</x:v>
      </x:c>
      <x:c r="R2325" s="81" t="n">
        <x:v>67.04327362067203</x:v>
      </x:c>
      <x:c r="S2325" s="81" t="n">
        <x:v>5.0113291119417935</x:v>
      </x:c>
      <x:c r="T2325" s="81" t="n">
        <x:v>1.0210676744511047</x:v>
      </x:c>
    </x:row>
    <x:row r="2326">
      <x:c r="A2326" s="59" t="n">
        <x:v>2323</x:v>
      </x:c>
      <x:c r="B2326" s="193" t="n">
        <x:v>0.8105776637792588</x:v>
      </x:c>
      <x:c r="C2326" s="83" t="n">
        <x:v>0.25963563131412243</x:v>
      </x:c>
      <x:c r="D2326" s="83" t="n">
        <x:v>1.0156868629767861</x:v>
      </x:c>
      <x:c r="E2326" s="81" t="n">
        <x:v>-0.015642868537281248</x:v>
      </x:c>
      <x:c r="F2326" s="81" t="n">
        <x:v>0.5136521360604093</x:v>
      </x:c>
      <x:c r="G2326" s="81" t="n">
        <x:v>-0.028513569399764876</x:v>
      </x:c>
      <x:c r="H2326" s="59" t="n">
        <x:v>0</x:v>
      </x:c>
      <x:c r="I2326" s="81" t="n">
        <x:v>0</x:v>
      </x:c>
      <x:c r="J2326" s="79" t="n">
        <x:v>3.667529508946598e-13</x:v>
      </x:c>
      <x:c r="K2326" s="81" t="n">
        <x:v>-0.9999999995808537</x:v>
      </x:c>
      <x:c r="L2326" s="81" t="n">
        <x:v>-0.9999999995808537</x:v>
      </x:c>
      <x:c r="M2326" s="80" t="n">
        <x:v>0.13313208346187377</x:v>
      </x:c>
      <x:c r="N2326" s="82" t="n">
        <x:v>0.29518854784341536</x:v>
      </x:c>
      <x:c r="O2326" s="82" t="n">
        <x:v>0.14323183138067178</x:v>
      </x:c>
      <x:c r="P2326" s="80" t="n">
        <x:v>781.6200666610306</x:v>
      </x:c>
      <x:c r="Q2326" s="81" t="n">
        <x:v>23.788057001235806</x:v>
      </x:c>
      <x:c r="R2326" s="81" t="n">
        <x:v>21.587179235784173</x:v>
      </x:c>
      <x:c r="S2326" s="81" t="n">
        <x:v>0.00003382682795804425</x:v>
      </x:c>
      <x:c r="T2326" s="81" t="n">
        <x:v>7.944669618454375e-9</x:v>
      </x:c>
    </x:row>
    <x:row r="2327">
      <x:c r="A2327" s="59" t="n">
        <x:v>2324</x:v>
      </x:c>
      <x:c r="B2327" s="193" t="n">
        <x:v>0.4277594732120633</x:v>
      </x:c>
      <x:c r="C2327" s="83" t="n">
        <x:v>1.8385926023122707</x:v>
      </x:c>
      <x:c r="D2327" s="83" t="n">
        <x:v>0.9533592898854766</x:v>
      </x:c>
      <x:c r="E2327" s="81" t="n">
        <x:v>0.04028137204811589</x:v>
      </x:c>
      <x:c r="F2327" s="81" t="n">
        <x:v>0.5286595662590117</x:v>
      </x:c>
      <x:c r="G2327" s="81" t="n">
        <x:v>-0.025676124379463906</x:v>
      </x:c>
      <x:c r="H2327" s="59" t="n">
        <x:v>0</x:v>
      </x:c>
      <x:c r="I2327" s="81" t="n">
        <x:v>0</x:v>
      </x:c>
      <x:c r="J2327" s="79" t="n">
        <x:v>0.002850432167141605</x:v>
      </x:c>
      <x:c r="K2327" s="81" t="n">
        <x:v>2.2576367624475493</x:v>
      </x:c>
      <x:c r="L2327" s="81" t="n">
        <x:v>-0.5904364235796447</x:v>
      </x:c>
      <x:c r="M2327" s="80" t="n">
        <x:v>29259.345811505063</x:v>
      </x:c>
      <x:c r="N2327" s="82" t="n">
        <x:v>0.2039940770092362</x:v>
      </x:c>
      <x:c r="O2327" s="82" t="n">
        <x:v>0.10187428999466681</x:v>
      </x:c>
      <x:c r="P2327" s="80" t="n">
        <x:v>53041.83631430574</x:v>
      </x:c>
      <x:c r="Q2327" s="81" t="n">
        <x:v>0.005797131479985424</x:v>
      </x:c>
      <x:c r="R2327" s="81" t="n">
        <x:v>54.54990472519409</x:v>
      </x:c>
      <x:c r="S2327" s="81" t="n">
        <x:v>32.0409645997195</x:v>
      </x:c>
      <x:c r="T2327" s="81" t="n">
        <x:v>61.746583858460546</x:v>
      </x:c>
    </x:row>
    <x:row r="2328">
      <x:c r="A2328" s="59" t="n">
        <x:v>2325</x:v>
      </x:c>
      <x:c r="B2328" s="193" t="n">
        <x:v>0.7652848750352861</x:v>
      </x:c>
      <x:c r="C2328" s="83" t="n">
        <x:v>1.5636939278128663</x:v>
      </x:c>
      <x:c r="D2328" s="83" t="n">
        <x:v>0.2840190971403508</x:v>
      </x:c>
      <x:c r="E2328" s="81" t="n">
        <x:v>-0.05213058403160052</x:v>
      </x:c>
      <x:c r="F2328" s="81" t="n">
        <x:v>0.3405240255990066</x:v>
      </x:c>
      <x:c r="G2328" s="81" t="n">
        <x:v>0.03346941084716825</x:v>
      </x:c>
      <x:c r="H2328" s="59" t="n">
        <x:v>0</x:v>
      </x:c>
      <x:c r="I2328" s="81" t="n">
        <x:v>0</x:v>
      </x:c>
      <x:c r="J2328" s="79" t="n">
        <x:v>1.558258739395122e-15</x:v>
      </x:c>
      <x:c r="K2328" s="81" t="n">
        <x:v>-0.9999999999982191</x:v>
      </x:c>
      <x:c r="L2328" s="81" t="n">
        <x:v>-0.9999999999982191</x:v>
      </x:c>
      <x:c r="M2328" s="80" t="n">
        <x:v>0.017803430160426417</x:v>
      </x:c>
      <x:c r="N2328" s="82" t="n">
        <x:v>0.28439895632481216</x:v>
      </x:c>
      <x:c r="O2328" s="82" t="n">
        <x:v>0.09148432731111962</x:v>
      </x:c>
      <x:c r="P2328" s="80" t="n">
        <x:v>625.3622251699644</x:v>
      </x:c>
      <x:c r="Q2328" s="81" t="n">
        <x:v>232.9159214005641</x:v>
      </x:c>
      <x:c r="R2328" s="81" t="n">
        <x:v>5.086650540877641</x:v>
      </x:c>
      <x:c r="S2328" s="81" t="n">
        <x:v>0.0000013459209326706722</x:v>
      </x:c>
      <x:c r="T2328" s="81" t="n">
        <x:v>3.375528631566274e-11</x:v>
      </x:c>
    </x:row>
    <x:row r="2329">
      <x:c r="A2329" s="59" t="n">
        <x:v>2326</x:v>
      </x:c>
      <x:c r="B2329" s="193" t="n">
        <x:v>0.3516235960647464</x:v>
      </x:c>
      <x:c r="C2329" s="83" t="n">
        <x:v>1.3062116680274372</x:v>
      </x:c>
      <x:c r="D2329" s="83" t="n">
        <x:v>0.6515896289470384</x:v>
      </x:c>
      <x:c r="E2329" s="81" t="n">
        <x:v>0.042993821986853455</x:v>
      </x:c>
      <x:c r="F2329" s="81" t="n">
        <x:v>0.7166181805660017</x:v>
      </x:c>
      <x:c r="G2329" s="81" t="n">
        <x:v>0.04159829834072624</x:v>
      </x:c>
      <x:c r="H2329" s="59" t="n">
        <x:v>0</x:v>
      </x:c>
      <x:c r="I2329" s="81" t="n">
        <x:v>0</x:v>
      </x:c>
      <x:c r="J2329" s="79" t="n">
        <x:v>0.003041825640128533</x:v>
      </x:c>
      <x:c r="K2329" s="81" t="n">
        <x:v>2.476372160146895</x:v>
      </x:c>
      <x:c r="L2329" s="81" t="n">
        <x:v>-0.6036333277627699</x:v>
      </x:c>
      <x:c r="M2329" s="80" t="n">
        <x:v>24872.022774832665</x:v>
      </x:c>
      <x:c r="N2329" s="82" t="n">
        <x:v>0.18585708352504876</x:v>
      </x:c>
      <x:c r="O2329" s="82" t="n">
        <x:v>0.12581658171497762</x:v>
      </x:c>
      <x:c r="P2329" s="80" t="n">
        <x:v>33396.47012885632</x:v>
      </x:c>
      <x:c r="Q2329" s="81" t="n">
        <x:v>0.006706571926015448</x:v>
      </x:c>
      <x:c r="R2329" s="81" t="n">
        <x:v>34.91942361193238</x:v>
      </x:c>
      <x:c r="S2329" s="81" t="n">
        <x:v>48.47174321895071</x:v>
      </x:c>
      <x:c r="T2329" s="81" t="n">
        <x:v>65.8925843372582</x:v>
      </x:c>
    </x:row>
    <x:row r="2330">
      <x:c r="A2330" s="59" t="n">
        <x:v>2327</x:v>
      </x:c>
      <x:c r="B2330" s="193" t="n">
        <x:v>0.6492367893457414</x:v>
      </x:c>
      <x:c r="C2330" s="83" t="n">
        <x:v>0.3140921264198573</x:v>
      </x:c>
      <x:c r="D2330" s="83" t="n">
        <x:v>2.509092644788992</x:v>
      </x:c>
      <x:c r="E2330" s="81" t="n">
        <x:v>0.043771654559416125</x:v>
      </x:c>
      <x:c r="F2330" s="81" t="n">
        <x:v>0.8065655546146445</x:v>
      </x:c>
      <x:c r="G2330" s="81" t="n">
        <x:v>0.0458121588531355</x:v>
      </x:c>
      <x:c r="H2330" s="59" t="n">
        <x:v>0</x:v>
      </x:c>
      <x:c r="I2330" s="81" t="n">
        <x:v>0</x:v>
      </x:c>
      <x:c r="J2330" s="79" t="n">
        <x:v>0.008944192412747248</x:v>
      </x:c>
      <x:c r="K2330" s="81" t="n">
        <x:v>9.221934185996856</x:v>
      </x:c>
      <x:c r="L2330" s="81" t="n">
        <x:v>-0.7921948889907597</x:v>
      </x:c>
      <x:c r="M2330" s="80" t="n">
        <x:v>34257.903094577494</x:v>
      </x:c>
      <x:c r="N2330" s="82" t="n">
        <x:v>0.25675412641195583</x:v>
      </x:c>
      <x:c r="O2330" s="82" t="n">
        <x:v>0.19562666214584584</x:v>
      </x:c>
      <x:c r="P2330" s="80" t="n">
        <x:v>139470.15152077345</x:v>
      </x:c>
      <x:c r="Q2330" s="81" t="n">
        <x:v>0.012061877466005167</x:v>
      </x:c>
      <x:c r="R2330" s="81" t="n">
        <x:v>364.52291305727965</x:v>
      </x:c>
      <x:c r="S2330" s="81" t="n">
        <x:v>579.4509532947482</x:v>
      </x:c>
      <x:c r="T2330" s="81" t="n">
        <x:v>193.75073479251415</x:v>
      </x:c>
    </x:row>
    <x:row r="2331">
      <x:c r="A2331" s="59" t="n">
        <x:v>2328</x:v>
      </x:c>
      <x:c r="B2331" s="193" t="n">
        <x:v>0.35552476812154055</x:v>
      </x:c>
      <x:c r="C2331" s="83" t="n">
        <x:v>1.738342845204269</x:v>
      </x:c>
      <x:c r="D2331" s="83" t="n">
        <x:v>1.2572970247955508</x:v>
      </x:c>
      <x:c r="E2331" s="81" t="n">
        <x:v>0.02028350899697605</x:v>
      </x:c>
      <x:c r="F2331" s="81" t="n">
        <x:v>0.3321314291097224</x:v>
      </x:c>
      <x:c r="G2331" s="81" t="n">
        <x:v>0.008144818211661752</x:v>
      </x:c>
      <x:c r="H2331" s="59" t="n">
        <x:v>86</x:v>
      </x:c>
      <x:c r="I2331" s="81" t="n">
        <x:v>0.31762240594252944</x:v>
      </x:c>
      <x:c r="J2331" s="79" t="n">
        <x:v>0.007410648597340052</x:v>
      </x:c>
      <x:c r="K2331" s="81" t="n">
        <x:v>7.469312682674346</x:v>
      </x:c>
      <x:c r="L2331" s="81" t="n">
        <x:v>-0.7321734916953465</x:v>
      </x:c>
      <x:c r="M2331" s="80" t="n">
        <x:v>44373.305386641536</x:v>
      </x:c>
      <x:c r="N2331" s="82" t="n">
        <x:v>0.18678641585595332</x:v>
      </x:c>
      <x:c r="O2331" s="82" t="n">
        <x:v>0.05860385765100666</x:v>
      </x:c>
      <x:c r="P2331" s="80" t="n">
        <x:v>102148.45067811027</x:v>
      </x:c>
      <x:c r="Q2331" s="81" t="n">
        <x:v>0.007011011838398505</x:v>
      </x:c>
      <x:c r="R2331" s="81" t="n">
        <x:v>43.18368064561434</x:v>
      </x:c>
      <x:c r="S2331" s="81" t="n">
        <x:v>89.17493008951806</x:v>
      </x:c>
      <x:c r="T2331" s="81" t="n">
        <x:v>160.53082768852593</x:v>
      </x:c>
    </x:row>
    <x:row r="2332">
      <x:c r="A2332" s="59" t="n">
        <x:v>2329</x:v>
      </x:c>
      <x:c r="B2332" s="193" t="n">
        <x:v>0.6630185768008232</x:v>
      </x:c>
      <x:c r="C2332" s="83" t="n">
        <x:v>0.9739044909504507</x:v>
      </x:c>
      <x:c r="D2332" s="83" t="n">
        <x:v>0.5576634147062076</x:v>
      </x:c>
      <x:c r="E2332" s="81" t="n">
        <x:v>-0.06231362908474248</x:v>
      </x:c>
      <x:c r="F2332" s="81" t="n">
        <x:v>0.7917565422481857</x:v>
      </x:c>
      <x:c r="G2332" s="81" t="n">
        <x:v>0.019676356988495007</x:v>
      </x:c>
      <x:c r="H2332" s="59" t="n">
        <x:v>0</x:v>
      </x:c>
      <x:c r="I2332" s="81" t="n">
        <x:v>0</x:v>
      </x:c>
      <x:c r="J2332" s="79" t="n">
        <x:v>1.2894668883000876e-25</x:v>
      </x:c>
      <x:c r="K2332" s="81" t="n">
        <x:v>-1</x:v>
      </x:c>
      <x:c r="L2332" s="81" t="n">
        <x:v>-1</x:v>
      </x:c>
      <x:c r="M2332" s="80" t="n">
        <x:v>0.000002</x:v>
      </x:c>
      <x:c r="N2332" s="82" t="n">
        <x:v>0.26003720659227114</x:v>
      </x:c>
      <x:c r="O2332" s="82" t="n">
        <x:v>0.19449036641168344</x:v>
      </x:c>
      <x:c r="P2332" s="80" t="n">
        <x:v>429.9018499367701</x:v>
      </x:c>
      <x:c r="Q2332" s="81" t="n">
        <x:v>267087962.45246804</x:v>
      </x:c>
      <x:c r="R2332" s="81" t="n">
        <x:v>4.024933138434637</x:v>
      </x:c>
      <x:c r="S2332" s="81" t="n">
        <x:v>3.1369580477173283e-10</x:v>
      </x:c>
      <x:c r="T2332" s="81" t="n">
        <x:v>2.793266798942005e-21</x:v>
      </x:c>
    </x:row>
    <x:row r="2333">
      <x:c r="A2333" s="59" t="n">
        <x:v>2330</x:v>
      </x:c>
      <x:c r="B2333" s="193" t="n">
        <x:v>0.9870333332568408</x:v>
      </x:c>
      <x:c r="C2333" s="83" t="n">
        <x:v>0.11246883196912476</x:v>
      </x:c>
      <x:c r="D2333" s="83" t="n">
        <x:v>0.5944036293299481</x:v>
      </x:c>
      <x:c r="E2333" s="81" t="n">
        <x:v>0.06237442680168351</x:v>
      </x:c>
      <x:c r="F2333" s="81" t="n">
        <x:v>0.30729277544887734</x:v>
      </x:c>
      <x:c r="G2333" s="81" t="n">
        <x:v>0.006578139481550705</x:v>
      </x:c>
      <x:c r="H2333" s="59" t="n">
        <x:v>0</x:v>
      </x:c>
      <x:c r="I2333" s="81" t="n">
        <x:v>0</x:v>
      </x:c>
      <x:c r="J2333" s="79" t="n">
        <x:v>0.0009498251015752688</x:v>
      </x:c>
      <x:c r="K2333" s="81" t="n">
        <x:v>0.08551440180030734</x:v>
      </x:c>
      <x:c r="L2333" s="81" t="n">
        <x:v>-0.7515682122560182</x:v>
      </x:c>
      <x:c r="M2333" s="80" t="n">
        <x:v>6775.317464890751</x:v>
      </x:c>
      <x:c r="N2333" s="82" t="n">
        <x:v>0.33722359685677816</x:v>
      </x:c>
      <x:c r="O2333" s="82" t="n">
        <x:v>0.0978906580842021</x:v>
      </x:c>
      <x:c r="P2333" s="80" t="n">
        <x:v>8134.536292591069</x:v>
      </x:c>
      <x:c r="Q2333" s="81" t="n">
        <x:v>0.0035878155431935356</x:v>
      </x:c>
      <x:c r="R2333" s="81" t="n">
        <x:v>352.1699959761869</x:v>
      </x:c>
      <x:c r="S2333" s="81" t="n">
        <x:v>158.61949671166187</x:v>
      </x:c>
      <x:c r="T2333" s="81" t="n">
        <x:v>20.575285376497987</x:v>
      </x:c>
    </x:row>
    <x:row r="2334">
      <x:c r="A2334" s="59" t="n">
        <x:v>2331</x:v>
      </x:c>
      <x:c r="B2334" s="193" t="n">
        <x:v>0.9116307195276023</x:v>
      </x:c>
      <x:c r="C2334" s="83" t="n">
        <x:v>1.563552051775732</x:v>
      </x:c>
      <x:c r="D2334" s="83" t="n">
        <x:v>0.8083253343050067</x:v>
      </x:c>
      <x:c r="E2334" s="81" t="n">
        <x:v>0.14493692571524452</x:v>
      </x:c>
      <x:c r="F2334" s="81" t="n">
        <x:v>0.4335562977124937</x:v>
      </x:c>
      <x:c r="G2334" s="81" t="n">
        <x:v>0.014890563658963941</x:v>
      </x:c>
      <x:c r="H2334" s="59" t="n">
        <x:v>0</x:v>
      </x:c>
      <x:c r="I2334" s="81" t="n">
        <x:v>0</x:v>
      </x:c>
      <x:c r="J2334" s="79" t="n">
        <x:v>0.044026080757349026</x:v>
      </x:c>
      <x:c r="K2334" s="81" t="n">
        <x:v>49.31552086554175</x:v>
      </x:c>
      <x:c r="L2334" s="81" t="n">
        <x:v>-0.7322759808399504</x:v>
      </x:c>
      <x:c r="M2334" s="80" t="n">
        <x:v>141305.3612822738</x:v>
      </x:c>
      <x:c r="N2334" s="82" t="n">
        <x:v>0.3192612804674662</x:v>
      </x:c>
      <x:c r="O2334" s="82" t="n">
        <x:v>0.130756320818089</x:v>
      </x:c>
      <x:c r="P2334" s="80" t="n">
        <x:v>184136.60046815217</x:v>
      </x:c>
      <x:c r="Q2334" s="81" t="n">
        <x:v>0.00257026844332782</x:v>
      </x:c>
      <x:c r="R2334" s="81" t="n">
        <x:v>426.0227717274252</x:v>
      </x:c>
      <x:c r="S2334" s="81" t="n">
        <x:v>548.7123712186434</x:v>
      </x:c>
      <x:c r="T2334" s="81" t="n">
        <x:v>953.7010277880288</x:v>
      </x:c>
    </x:row>
    <x:row r="2335">
      <x:c r="A2335" s="59" t="n">
        <x:v>2332</x:v>
      </x:c>
      <x:c r="B2335" s="193" t="n">
        <x:v>0.2470915712416172</x:v>
      </x:c>
      <x:c r="C2335" s="83" t="n">
        <x:v>0.9149887423169721</x:v>
      </x:c>
      <x:c r="D2335" s="83" t="n">
        <x:v>0.41489935205454614</x:v>
      </x:c>
      <x:c r="E2335" s="81" t="n">
        <x:v>-0.019903898671136094</x:v>
      </x:c>
      <x:c r="F2335" s="81" t="n">
        <x:v>0.7467909290571697</x:v>
      </x:c>
      <x:c r="G2335" s="81" t="n">
        <x:v>0.0232964987421671</x:v>
      </x:c>
      <x:c r="H2335" s="59" t="n">
        <x:v>66</x:v>
      </x:c>
      <x:c r="I2335" s="81" t="n">
        <x:v>0.3984132656827569</x:v>
      </x:c>
      <x:c r="J2335" s="79" t="n">
        <x:v>6.806705315822007e-11</x:v>
      </x:c>
      <x:c r="K2335" s="81" t="n">
        <x:v>-0.9999999222090821</x:v>
      </x:c>
      <x:c r="L2335" s="81" t="n">
        <x:v>-0.9999999222090821</x:v>
      </x:c>
      <x:c r="M2335" s="80" t="n">
        <x:v>2.736341810040183</x:v>
      </x:c>
      <x:c r="N2335" s="82" t="n">
        <x:v>0.1609555952367138</x:v>
      </x:c>
      <x:c r="O2335" s="82" t="n">
        <x:v>0.11354710200697044</x:v>
      </x:c>
      <x:c r="P2335" s="80" t="n">
        <x:v>847.2025664355192</x:v>
      </x:c>
      <x:c r="Q2335" s="81" t="n">
        <x:v>2.0686488394937808</x:v>
      </x:c>
      <x:c r="R2335" s="81" t="n">
        <x:v>9.748607865853387</x:v>
      </x:c>
      <x:c r="S2335" s="81" t="n">
        <x:v>0.00035246900606826774</x:v>
      </x:c>
      <x:c r="T2335" s="81" t="n">
        <x:v>0.0000014744809767029036</x:v>
      </x:c>
    </x:row>
    <x:row r="2336">
      <x:c r="A2336" s="59" t="n">
        <x:v>2333</x:v>
      </x:c>
      <x:c r="B2336" s="193" t="n">
        <x:v>0.3979286126792431</x:v>
      </x:c>
      <x:c r="C2336" s="83" t="n">
        <x:v>2.074496286466393</x:v>
      </x:c>
      <x:c r="D2336" s="83" t="n">
        <x:v>2.044153428303206</x:v>
      </x:c>
      <x:c r="E2336" s="81" t="n">
        <x:v>0.020504288310756326</x:v>
      </x:c>
      <x:c r="F2336" s="81" t="n">
        <x:v>0.8161703696241602</x:v>
      </x:c>
      <x:c r="G2336" s="81" t="n">
        <x:v>0.03172051025481795</x:v>
      </x:c>
      <x:c r="H2336" s="59" t="n">
        <x:v>21</x:v>
      </x:c>
      <x:c r="I2336" s="81" t="n">
        <x:v>0.3459570107981563</x:v>
      </x:c>
      <x:c r="J2336" s="79" t="n">
        <x:v>0.007048187077038399</x:v>
      </x:c>
      <x:c r="K2336" s="81" t="n">
        <x:v>7.055070945186742</x:v>
      </x:c>
      <x:c r="L2336" s="81" t="n">
        <x:v>-0.6362372716218723</x:v>
      </x:c>
      <x:c r="M2336" s="80" t="n">
        <x:v>53215.71567512088</x:v>
      </x:c>
      <x:c r="N2336" s="82" t="n">
        <x:v>0.19688780670168343</x:v>
      </x:c>
      <x:c r="O2336" s="82" t="n">
        <x:v>0.1517995859271462</x:v>
      </x:c>
      <x:c r="P2336" s="80" t="n">
        <x:v>199876.70701407403</x:v>
      </x:c>
      <x:c r="Q2336" s="81" t="n">
        <x:v>0.017579452744090424</x:v>
      </x:c>
      <x:c r="R2336" s="81" t="n">
        <x:v>38.27956983880037</x:v>
      </x:c>
      <x:c r="S2336" s="81" t="n">
        <x:v>86.08637422614501</x:v>
      </x:c>
      <x:c r="T2336" s="81" t="n">
        <x:v>152.67911982584963</x:v>
      </x:c>
    </x:row>
    <x:row r="2337">
      <x:c r="A2337" s="59" t="n">
        <x:v>2334</x:v>
      </x:c>
      <x:c r="B2337" s="193" t="n">
        <x:v>0.7428685899823904</x:v>
      </x:c>
      <x:c r="C2337" s="83" t="n">
        <x:v>0.373348597388732</x:v>
      </x:c>
      <x:c r="D2337" s="83" t="n">
        <x:v>0.6970041686484961</x:v>
      </x:c>
      <x:c r="E2337" s="81" t="n">
        <x:v>0.2</x:v>
      </x:c>
      <x:c r="F2337" s="81" t="n">
        <x:v>0.538802065665368</x:v>
      </x:c>
      <x:c r="G2337" s="81" t="n">
        <x:v>-0.015618177965545635</x:v>
      </x:c>
      <x:c r="H2337" s="59" t="n">
        <x:v>0</x:v>
      </x:c>
      <x:c r="I2337" s="81" t="n">
        <x:v>0</x:v>
      </x:c>
      <x:c r="J2337" s="79" t="n">
        <x:v>0.00782212883976332</x:v>
      </x:c>
      <x:c r="K2337" s="81" t="n">
        <x:v>7.939575816872367</x:v>
      </x:c>
      <x:c r="L2337" s="81" t="n">
        <x:v>-0.811261852807555</x:v>
      </x:c>
      <x:c r="M2337" s="80" t="n">
        <x:v>31841.248536962084</x:v>
      </x:c>
      <x:c r="N2337" s="82" t="n">
        <x:v>0.2790589769198677</x:v>
      </x:c>
      <x:c r="O2337" s="82" t="n">
        <x:v>0.14203526686913237</x:v>
      </x:c>
      <x:c r="P2337" s="80" t="n">
        <x:v>35835.16890689795</x:v>
      </x:c>
      <x:c r="Q2337" s="81" t="n">
        <x:v>0.0020291363107083904</x:v>
      </x:c>
      <x:c r="R2337" s="81" t="n">
        <x:v>770.892240008163</x:v>
      </x:c>
      <x:c r="S2337" s="81" t="n">
        <x:v>395.7887514423672</x:v>
      </x:c>
      <x:c r="T2337" s="81" t="n">
        <x:v>169.4443880909706</x:v>
      </x:c>
    </x:row>
    <x:row r="2338">
      <x:c r="A2338" s="59" t="n">
        <x:v>2335</x:v>
      </x:c>
      <x:c r="B2338" s="193" t="n">
        <x:v>0.28181924242526296</x:v>
      </x:c>
      <x:c r="C2338" s="83" t="n">
        <x:v>0.9911872449303999</x:v>
      </x:c>
      <x:c r="D2338" s="83" t="n">
        <x:v>1.2653393321089403</x:v>
      </x:c>
      <x:c r="E2338" s="81" t="n">
        <x:v>0.012091820325554677</x:v>
      </x:c>
      <x:c r="F2338" s="81" t="n">
        <x:v>0.36083310350077225</x:v>
      </x:c>
      <x:c r="G2338" s="81" t="n">
        <x:v>-0.005540160757655978</x:v>
      </x:c>
      <x:c r="H2338" s="59" t="n">
        <x:v>0</x:v>
      </x:c>
      <x:c r="I2338" s="81" t="n">
        <x:v>0</x:v>
      </x:c>
      <x:c r="J2338" s="79" t="n">
        <x:v>0.0010093908171314567</x:v>
      </x:c>
      <x:c r="K2338" s="81" t="n">
        <x:v>0.15358950529309334</x:v>
      </x:c>
      <x:c r="L2338" s="81" t="n">
        <x:v>-0.5318744799354075</x:v>
      </x:c>
      <x:c r="M2338" s="80" t="n">
        <x:v>11382.52208821931</x:v>
      </x:c>
      <x:c r="N2338" s="82" t="n">
        <x:v>0.1692283776564931</x:v>
      </x:c>
      <x:c r="O2338" s="82" t="n">
        <x:v>0.05768335426968301</x:v>
      </x:c>
      <x:c r="P2338" s="80" t="n">
        <x:v>29837.49371130773</x:v>
      </x:c>
      <x:c r="Q2338" s="81" t="n">
        <x:v>0.01005962793426644</x:v>
      </x:c>
      <x:c r="R2338" s="81" t="n">
        <x:v>36.08352718983626</x:v>
      </x:c>
      <x:c r="S2338" s="81" t="n">
        <x:v>21.90182820730768</x:v>
      </x:c>
      <x:c r="T2338" s="81" t="n">
        <x:v>21.865608820457577</x:v>
      </x:c>
    </x:row>
    <x:row r="2339">
      <x:c r="A2339" s="59" t="n">
        <x:v>2336</x:v>
      </x:c>
      <x:c r="B2339" s="193" t="n">
        <x:v>0.6419700331985951</x:v>
      </x:c>
      <x:c r="C2339" s="83" t="n">
        <x:v>1.599769634446045</x:v>
      </x:c>
      <x:c r="D2339" s="83" t="n">
        <x:v>2.3381448376846126</x:v>
      </x:c>
      <x:c r="E2339" s="81" t="n">
        <x:v>0.07793841308763877</x:v>
      </x:c>
      <x:c r="F2339" s="81" t="n">
        <x:v>0.7249149797949941</x:v>
      </x:c>
      <x:c r="G2339" s="81" t="n">
        <x:v>0.049262404662675105</x:v>
      </x:c>
      <x:c r="H2339" s="59" t="n">
        <x:v>0</x:v>
      </x:c>
      <x:c r="I2339" s="81" t="n">
        <x:v>0</x:v>
      </x:c>
      <x:c r="J2339" s="79" t="n">
        <x:v>0.14368563888743208</x:v>
      </x:c>
      <x:c r="K2339" s="81" t="n">
        <x:v>163.21215872849382</x:v>
      </x:c>
      <x:c r="L2339" s="81" t="n">
        <x:v>-0.7762679833938543</x:v>
      </x:c>
      <x:c r="M2339" s="80" t="n">
        <x:v>340186.0541195496</x:v>
      </x:c>
      <x:c r="N2339" s="82" t="n">
        <x:v>0.2550230488460279</x:v>
      </x:c>
      <x:c r="O2339" s="82" t="n">
        <x:v>0.17463747743868693</x:v>
      </x:c>
      <x:c r="P2339" s="80" t="n">
        <x:v>1148512.7900586736</x:v>
      </x:c>
      <x:c r="Q2339" s="81" t="n">
        <x:v>0.007159528112649492</x:v>
      </x:c>
      <x:c r="R2339" s="81" t="n">
        <x:v>665.4359812377598</x:v>
      </x:c>
      <x:c r="S2339" s="81" t="n">
        <x:v>1917.93038912384</x:v>
      </x:c>
      <x:c r="T2339" s="81" t="n">
        <x:v>3112.544635544226</x:v>
      </x:c>
    </x:row>
    <x:row r="2340">
      <x:c r="A2340" s="59" t="n">
        <x:v>2337</x:v>
      </x:c>
      <x:c r="B2340" s="193" t="n">
        <x:v>0.6199916338548064</x:v>
      </x:c>
      <x:c r="C2340" s="83" t="n">
        <x:v>1.133575225609679</x:v>
      </x:c>
      <x:c r="D2340" s="83" t="n">
        <x:v>0.46895568129123644</x:v>
      </x:c>
      <x:c r="E2340" s="81" t="n">
        <x:v>-0.12573659957487038</x:v>
      </x:c>
      <x:c r="F2340" s="81" t="n">
        <x:v>0.32920620298245923</x:v>
      </x:c>
      <x:c r="G2340" s="81" t="n">
        <x:v>0.024313582666328534</x:v>
      </x:c>
      <x:c r="H2340" s="59" t="n">
        <x:v>0</x:v>
      </x:c>
      <x:c r="I2340" s="81" t="n">
        <x:v>0</x:v>
      </x:c>
      <x:c r="J2340" s="79" t="n">
        <x:v>7.890068281113896e-34</x:v>
      </x:c>
      <x:c r="K2340" s="81" t="n">
        <x:v>-1</x:v>
      </x:c>
      <x:c r="L2340" s="81" t="n">
        <x:v>-1</x:v>
      </x:c>
      <x:c r="M2340" s="80" t="n">
        <x:v>0.000002</x:v>
      </x:c>
      <x:c r="N2340" s="82" t="n">
        <x:v>0.24978738202734968</x:v>
      </x:c>
      <x:c r="O2340" s="82" t="n">
        <x:v>0.07768004130288096</x:v>
      </x:c>
      <x:c r="P2340" s="80" t="n">
        <x:v>277.2845268570724</x:v>
      </x:c>
      <x:c r="Q2340" s="81" t="n">
        <x:v>22923932145909944</x:v>
      </x:c>
      <x:c r="R2340" s="81" t="n">
        <x:v>2.465785824988333</x:v>
      </x:c>
      <x:c r="S2340" s="81" t="n">
        <x:v>2.5790629897057993e-10</x:v>
      </x:c>
      <x:c r="T2340" s="81" t="n">
        <x:v>1.7091610471731538e-29</x:v>
      </x:c>
    </x:row>
    <x:row r="2341">
      <x:c r="A2341" s="59" t="n">
        <x:v>2338</x:v>
      </x:c>
      <x:c r="B2341" s="193" t="n">
        <x:v>0.4763353200629354</x:v>
      </x:c>
      <x:c r="C2341" s="83" t="n">
        <x:v>2.921495284037836</x:v>
      </x:c>
      <x:c r="D2341" s="83" t="n">
        <x:v>1.4688951390964973</x:v>
      </x:c>
      <x:c r="E2341" s="81" t="n">
        <x:v>-0.04344690059660417</x:v>
      </x:c>
      <x:c r="F2341" s="81" t="n">
        <x:v>0.3706782285938971</x:v>
      </x:c>
      <x:c r="G2341" s="81" t="n">
        <x:v>0.028230269219037825</x:v>
      </x:c>
      <x:c r="H2341" s="59" t="n">
        <x:v>38</x:v>
      </x:c>
      <x:c r="I2341" s="81" t="n">
        <x:v>0.3268287215381861</x:v>
      </x:c>
      <x:c r="J2341" s="79" t="n">
        <x:v>3.9451031087039684e-36</x:v>
      </x:c>
      <x:c r="K2341" s="81" t="n">
        <x:v>-1</x:v>
      </x:c>
      <x:c r="L2341" s="81" t="n">
        <x:v>-1</x:v>
      </x:c>
      <x:c r="M2341" s="80" t="n">
        <x:v>0.000002</x:v>
      </x:c>
      <x:c r="N2341" s="82" t="n">
        <x:v>0.21556575452624274</x:v>
      </x:c>
      <x:c r="O2341" s="82" t="n">
        <x:v>0.07548276308442203</x:v>
      </x:c>
      <x:c r="P2341" s="80" t="n">
        <x:v>1512.255143124833</x:v>
      </x:c>
      <x:c r="Q2341" s="81" t="n">
        <x:v>12298382488553340000</x:v>
      </x:c>
      <x:c r="R2341" s="81" t="n">
        <x:v>1.7087951548652687</x:v>
      </x:c>
      <x:c r="S2341" s="81" t="n">
        <x:v>4.604080214425555e-10</x:v>
      </x:c>
      <x:c r="T2341" s="81" t="n">
        <x:v>8.545954635929474e-32</x:v>
      </x:c>
    </x:row>
    <x:row r="2342">
      <x:c r="A2342" s="59" t="n">
        <x:v>2339</x:v>
      </x:c>
      <x:c r="B2342" s="193" t="n">
        <x:v>0.8840163577347995</x:v>
      </x:c>
      <x:c r="C2342" s="83" t="n">
        <x:v>0.23445506138954977</x:v>
      </x:c>
      <x:c r="D2342" s="83" t="n">
        <x:v>0.5991781826015988</x:v>
      </x:c>
      <x:c r="E2342" s="81" t="n">
        <x:v>0.0033619300741268504</x:v>
      </x:c>
      <x:c r="F2342" s="81" t="n">
        <x:v>0.6598984019597993</x:v>
      </x:c>
      <x:c r="G2342" s="81" t="n">
        <x:v>-0.014633972578439444</x:v>
      </x:c>
      <x:c r="H2342" s="59" t="n">
        <x:v>0</x:v>
      </x:c>
      <x:c r="I2342" s="81" t="n">
        <x:v>0</x:v>
      </x:c>
      <x:c r="J2342" s="79" t="n">
        <x:v>8.978591173617419e-7</x:v>
      </x:c>
      <x:c r="K2342" s="81" t="n">
        <x:v>-0.9989738752944437</x:v>
      </x:c>
      <x:c r="L2342" s="81" t="n">
        <x:v>-0.9989738752944437</x:v>
      </x:c>
      <x:c r="M2342" s="80" t="n">
        <x:v>201.3520669670938</x:v>
      </x:c>
      <x:c r="N2342" s="82" t="n">
        <x:v>0.31268302171913653</x:v>
      </x:c>
      <x:c r="O2342" s="82" t="n">
        <x:v>0.19491816705181714</x:v>
      </x:c>
      <x:c r="P2342" s="80" t="n">
        <x:v>921.5840280269581</x:v>
      </x:c>
      <x:c r="Q2342" s="81" t="n">
        <x:v>0.052500884667537565</x:v>
      </x:c>
      <x:c r="R2342" s="81" t="n">
        <x:v>33.33829904198611</x:v>
      </x:c>
      <x:c r="S2342" s="81" t="n">
        <x:v>0.10709466522095133</x:v>
      </x:c>
      <x:c r="T2342" s="81" t="n">
        <x:v>0.01944958870529965</x:v>
      </x:c>
    </x:row>
    <x:row r="2343">
      <x:c r="A2343" s="59" t="n">
        <x:v>2340</x:v>
      </x:c>
      <x:c r="B2343" s="193" t="n">
        <x:v>0.2980484444648028</x:v>
      </x:c>
      <x:c r="C2343" s="83" t="n">
        <x:v>1.648291703185261</x:v>
      </x:c>
      <x:c r="D2343" s="83" t="n">
        <x:v>0.6692191815754394</x:v>
      </x:c>
      <x:c r="E2343" s="81" t="n">
        <x:v>-0.06987029040535178</x:v>
      </x:c>
      <x:c r="F2343" s="81" t="n">
        <x:v>0.322234056936577</x:v>
      </x:c>
      <x:c r="G2343" s="81" t="n">
        <x:v>0.033109601708431746</x:v>
      </x:c>
      <x:c r="H2343" s="59" t="n">
        <x:v>0</x:v>
      </x:c>
      <x:c r="I2343" s="81" t="n">
        <x:v>0</x:v>
      </x:c>
      <x:c r="J2343" s="79" t="n">
        <x:v>8.565265624694975e-31</x:v>
      </x:c>
      <x:c r="K2343" s="81" t="n">
        <x:v>-1</x:v>
      </x:c>
      <x:c r="L2343" s="81" t="n">
        <x:v>-1</x:v>
      </x:c>
      <x:c r="M2343" s="80" t="n">
        <x:v>0.000002</x:v>
      </x:c>
      <x:c r="N2343" s="82" t="n">
        <x:v>0.17309447787984986</x:v>
      </x:c>
      <x:c r="O2343" s="82" t="n">
        <x:v>0.052689684011770474</x:v>
      </x:c>
      <x:c r="P2343" s="80" t="n">
        <x:v>610.4842716477052</x:v>
      </x:c>
      <x:c r="Q2343" s="81" t="n">
        <x:v>36115409584959.766</x:v>
      </x:c>
      <x:c r="R2343" s="81" t="n">
        <x:v>2.4422450803326656</x:v>
      </x:c>
      <x:c r="S2343" s="81" t="n">
        <x:v>3.2901914874714636e-10</x:v>
      </x:c>
      <x:c r="T2343" s="81" t="n">
        <x:v>1.8554235328307114e-26</x:v>
      </x:c>
    </x:row>
    <x:row r="2344">
      <x:c r="A2344" s="59" t="n">
        <x:v>2341</x:v>
      </x:c>
      <x:c r="B2344" s="193" t="n">
        <x:v>0.9085142228752374</x:v>
      </x:c>
      <x:c r="C2344" s="83" t="n">
        <x:v>0.3328975058912208</x:v>
      </x:c>
      <x:c r="D2344" s="83" t="n">
        <x:v>2.247472979301614</x:v>
      </x:c>
      <x:c r="E2344" s="81" t="n">
        <x:v>0.11184985846966368</x:v>
      </x:c>
      <x:c r="F2344" s="81" t="n">
        <x:v>0.5063775462680496</x:v>
      </x:c>
      <x:c r="G2344" s="81" t="n">
        <x:v>-0.01021749048412185</x:v>
      </x:c>
      <x:c r="H2344" s="59" t="n">
        <x:v>0</x:v>
      </x:c>
      <x:c r="I2344" s="81" t="n">
        <x:v>0</x:v>
      </x:c>
      <x:c r="J2344" s="79" t="n">
        <x:v>0.02901302421884555</x:v>
      </x:c>
      <x:c r="K2344" s="81" t="n">
        <x:v>32.157741964394916</x:v>
      </x:c>
      <x:c r="L2344" s="81" t="n">
        <x:v>-0.8415601639974668</x:v>
      </x:c>
      <x:c r="M2344" s="80" t="n">
        <x:v>77060.01339029966</x:v>
      </x:c>
      <x:c r="N2344" s="82" t="n">
        <x:v>0.3185188725305605</x:v>
      </x:c>
      <x:c r="O2344" s="82" t="n">
        <x:v>0.15236336358912927</x:v>
      </x:c>
      <x:c r="P2344" s="80" t="n">
        <x:v>207832.539842519</x:v>
      </x:c>
      <x:c r="Q2344" s="81" t="n">
        <x:v>0.004265457593748489</x:v>
      </x:c>
      <x:c r="R2344" s="81" t="n">
        <x:v>1997.7722457483012</x:v>
      </x:c>
      <x:c r="S2344" s="81" t="n">
        <x:v>1672.1093479926305</x:v>
      </x:c>
      <x:c r="T2344" s="81" t="n">
        <x:v>628.4854463710859</x:v>
      </x:c>
    </x:row>
    <x:row r="2345">
      <x:c r="A2345" s="59" t="n">
        <x:v>2342</x:v>
      </x:c>
      <x:c r="B2345" s="193" t="n">
        <x:v>0.20011117216199636</x:v>
      </x:c>
      <x:c r="C2345" s="83" t="n">
        <x:v>0.18778545676907063</x:v>
      </x:c>
      <x:c r="D2345" s="83" t="n">
        <x:v>0.506404920725183</x:v>
      </x:c>
      <x:c r="E2345" s="81" t="n">
        <x:v>-0.05681861466381896</x:v>
      </x:c>
      <x:c r="F2345" s="81" t="n">
        <x:v>0.5658996004844085</x:v>
      </x:c>
      <x:c r="G2345" s="81" t="n">
        <x:v>0.04497904969096189</x:v>
      </x:c>
      <x:c r="H2345" s="59" t="n">
        <x:v>0</x:v>
      </x:c>
      <x:c r="I2345" s="81" t="n">
        <x:v>0</x:v>
      </x:c>
      <x:c r="J2345" s="79" t="n">
        <x:v>4.971156403641357e-25</x:v>
      </x:c>
      <x:c r="K2345" s="81" t="n">
        <x:v>-1</x:v>
      </x:c>
      <x:c r="L2345" s="81" t="n">
        <x:v>-1</x:v>
      </x:c>
      <x:c r="M2345" s="80" t="n">
        <x:v>0.000002</x:v>
      </x:c>
      <x:c r="N2345" s="82" t="n">
        <x:v>0.14976398329346566</x:v>
      </x:c>
      <x:c r="O2345" s="82" t="n">
        <x:v>0.08006039190868723</x:v>
      </x:c>
      <x:c r="P2345" s="80" t="n">
        <x:v>285.80447301674474</x:v>
      </x:c>
      <x:c r="Q2345" s="81" t="n">
        <x:v>75587013.68503208</x:v>
      </x:c>
      <x:c r="R2345" s="81" t="n">
        <x:v>23.240819100930374</x:v>
      </x:c>
      <x:c r="S2345" s="81" t="n">
        <x:v>6.37880931545824e-10</x:v>
      </x:c>
      <x:c r="T2345" s="81" t="n">
        <x:v>1.0768610082686992e-20</x:v>
      </x:c>
    </x:row>
    <x:row r="2346">
      <x:c r="A2346" s="59" t="n">
        <x:v>2343</x:v>
      </x:c>
      <x:c r="B2346" s="193" t="n">
        <x:v>0.8723846463486553</x:v>
      </x:c>
      <x:c r="C2346" s="83" t="n">
        <x:v>0.2603461368818562</x:v>
      </x:c>
      <x:c r="D2346" s="83" t="n">
        <x:v>0.35317500860304246</x:v>
      </x:c>
      <x:c r="E2346" s="81" t="n">
        <x:v>-0.037675506098019375</x:v>
      </x:c>
      <x:c r="F2346" s="81" t="n">
        <x:v>0.8420176259009168</x:v>
      </x:c>
      <x:c r="G2346" s="81" t="n">
        <x:v>0.001043629544574684</x:v>
      </x:c>
      <x:c r="H2346" s="59" t="n">
        <x:v>0</x:v>
      </x:c>
      <x:c r="I2346" s="81" t="n">
        <x:v>0</x:v>
      </x:c>
      <x:c r="J2346" s="79" t="n">
        <x:v>1.1758694783776448e-13</x:v>
      </x:c>
      <x:c r="K2346" s="81" t="n">
        <x:v>-0.9999999998656149</x:v>
      </x:c>
      <x:c r="L2346" s="81" t="n">
        <x:v>-0.9999999998656149</x:v>
      </x:c>
      <x:c r="M2346" s="80" t="n">
        <x:v>0.07555038610348735</x:v>
      </x:c>
      <x:c r="N2346" s="82" t="n">
        <x:v>0.30991212997236856</x:v>
      </x:c>
      <x:c r="O2346" s="82" t="n">
        <x:v>0.2465078190704399</x:v>
      </x:c>
      <x:c r="P2346" s="80" t="n">
        <x:v>253.6245056744421</x:v>
      </x:c>
      <x:c r="Q2346" s="81" t="n">
        <x:v>17.862081243195192</x:v>
      </x:c>
      <x:c r="R2346" s="81" t="n">
        <x:v>17.62793243160542</x:v>
      </x:c>
      <x:c r="S2346" s="81" t="n">
        <x:v>0.000009650245759727008</x:v>
      </x:c>
      <x:c r="T2346" s="81" t="n">
        <x:v>2.5471900082456012e-9</x:v>
      </x:c>
    </x:row>
    <x:row r="2347">
      <x:c r="A2347" s="59" t="n">
        <x:v>2344</x:v>
      </x:c>
      <x:c r="B2347" s="193" t="n">
        <x:v>0.3798810727894306</x:v>
      </x:c>
      <x:c r="C2347" s="83" t="n">
        <x:v>0.18386452487134508</x:v>
      </x:c>
      <x:c r="D2347" s="83" t="n">
        <x:v>1.599989231715743</x:v>
      </x:c>
      <x:c r="E2347" s="81" t="n">
        <x:v>-0.1540588563990691</x:v>
      </x:c>
      <x:c r="F2347" s="81" t="n">
        <x:v>0.8843903457396664</x:v>
      </x:c>
      <x:c r="G2347" s="81" t="n">
        <x:v>-0.018748769196884715</x:v>
      </x:c>
      <x:c r="H2347" s="59" t="n">
        <x:v>49</x:v>
      </x:c>
      <x:c r="I2347" s="81" t="n">
        <x:v>0.4774508476257324</x:v>
      </x:c>
      <x:c r="J2347" s="79" t="n">
        <x:v>6.960240452411618e-71</x:v>
      </x:c>
      <x:c r="K2347" s="81" t="n">
        <x:v>-1</x:v>
      </x:c>
      <x:c r="L2347" s="81" t="n">
        <x:v>-1</x:v>
      </x:c>
      <x:c r="M2347" s="80" t="n">
        <x:v>0.000002</x:v>
      </x:c>
      <x:c r="N2347" s="82" t="n">
        <x:v>0.1925885443085572</x:v>
      </x:c>
      <x:c r="O2347" s="82" t="n">
        <x:v>0.16089605116277605</x:v>
      </x:c>
      <x:c r="P2347" s="80" t="n">
        <x:v>169.6383423578817</x:v>
      </x:c>
      <x:c r="Q2347" s="81" t="n">
        <x:v>2.1742618528538633e+53</x:v>
      </x:c>
      <x:c r="R2347" s="81" t="n">
        <x:v>3.07591952967847</x:v>
      </x:c>
      <x:c r="S2347" s="81" t="n">
        <x:v>9.40398155807265e-10</x:v>
      </x:c>
      <x:c r="T2347" s="81" t="n">
        <x:v>1.5077400392967602e-66</x:v>
      </x:c>
    </x:row>
    <x:row r="2348">
      <x:c r="A2348" s="59" t="n">
        <x:v>2345</x:v>
      </x:c>
      <x:c r="B2348" s="193" t="n">
        <x:v>0.8013672875240445</x:v>
      </x:c>
      <x:c r="C2348" s="83" t="n">
        <x:v>1.9274164717344857</x:v>
      </x:c>
      <x:c r="D2348" s="83" t="n">
        <x:v>0.8536863433548143</x:v>
      </x:c>
      <x:c r="E2348" s="81" t="n">
        <x:v>-0.03355291990453431</x:v>
      </x:c>
      <x:c r="F2348" s="81" t="n">
        <x:v>0.566818661778234</x:v>
      </x:c>
      <x:c r="G2348" s="81" t="n">
        <x:v>0.0058689442364461995</x:v>
      </x:c>
      <x:c r="H2348" s="59" t="n">
        <x:v>0</x:v>
      </x:c>
      <x:c r="I2348" s="81" t="n">
        <x:v>0</x:v>
      </x:c>
      <x:c r="J2348" s="79" t="n">
        <x:v>2.8145409555125137e-22</x:v>
      </x:c>
      <x:c r="K2348" s="81" t="n">
        <x:v>-1</x:v>
      </x:c>
      <x:c r="L2348" s="81" t="n">
        <x:v>-1</x:v>
      </x:c>
      <x:c r="M2348" s="80" t="n">
        <x:v>0.000008834455483318059</x:v>
      </x:c>
      <x:c r="N2348" s="82" t="n">
        <x:v>0.29299446352486824</x:v>
      </x:c>
      <x:c r="O2348" s="82" t="n">
        <x:v>0.15688249810804633</x:v>
      </x:c>
      <x:c r="P2348" s="80" t="n">
        <x:v>1217.2495928165458</x:v>
      </x:c>
      <x:c r="Q2348" s="81" t="n">
        <x:v>976651.0319576958</x:v>
      </x:c>
      <x:c r="R2348" s="81" t="n">
        <x:v>3.1762380856301555</x:v>
      </x:c>
      <x:c r="S2348" s="81" t="n">
        <x:v>1.285471212524393e-9</x:v>
      </x:c>
      <x:c r="T2348" s="81" t="n">
        <x:v>6.096910185619287e-18</x:v>
      </x:c>
    </x:row>
    <x:row r="2349">
      <x:c r="A2349" s="59" t="n">
        <x:v>2346</x:v>
      </x:c>
      <x:c r="B2349" s="193" t="n">
        <x:v>0.41003270354121923</x:v>
      </x:c>
      <x:c r="C2349" s="83" t="n">
        <x:v>1.2708861985268807</x:v>
      </x:c>
      <x:c r="D2349" s="83" t="n">
        <x:v>0.7395959176170763</x:v>
      </x:c>
      <x:c r="E2349" s="81" t="n">
        <x:v>0.07619707780031029</x:v>
      </x:c>
      <x:c r="F2349" s="81" t="n">
        <x:v>0.5148159297415986</x:v>
      </x:c>
      <x:c r="G2349" s="81" t="n">
        <x:v>0.05273582811006703</x:v>
      </x:c>
      <x:c r="H2349" s="59" t="n">
        <x:v>0</x:v>
      </x:c>
      <x:c r="I2349" s="81" t="n">
        <x:v>0</x:v>
      </x:c>
      <x:c r="J2349" s="79" t="n">
        <x:v>0.0288057356332804</x:v>
      </x:c>
      <x:c r="K2349" s="81" t="n">
        <x:v>31.92084072374903</x:v>
      </x:c>
      <x:c r="L2349" s="81" t="n">
        <x:v>-0.571124904985312</x:v>
      </x:c>
      <x:c r="M2349" s="80" t="n">
        <x:v>87060.58291571321</x:v>
      </x:c>
      <x:c r="N2349" s="82" t="n">
        <x:v>0.1997712280967097</x:v>
      </x:c>
      <x:c r="O2349" s="82" t="n">
        <x:v>0.09715291995037044</x:v>
      </x:c>
      <x:c r="P2349" s="80" t="n">
        <x:v>123446.81480082982</x:v>
      </x:c>
      <x:c r="Q2349" s="81" t="n">
        <x:v>0.003285831753912692</x:v>
      </x:c>
      <x:c r="R2349" s="81" t="n">
        <x:v>144.24070815892233</x:v>
      </x:c>
      <x:c r="S2349" s="81" t="n">
        <x:v>445.39735435037636</x:v>
      </x:c>
      <x:c r="T2349" s="81" t="n">
        <x:v>623.9951230513293</x:v>
      </x:c>
    </x:row>
    <x:row r="2350">
      <x:c r="A2350" s="59" t="n">
        <x:v>2347</x:v>
      </x:c>
      <x:c r="B2350" s="193" t="n">
        <x:v>0.5935575142502785</x:v>
      </x:c>
      <x:c r="C2350" s="83" t="n">
        <x:v>0.9341437093210307</x:v>
      </x:c>
      <x:c r="D2350" s="83" t="n">
        <x:v>0.6674853320191886</x:v>
      </x:c>
      <x:c r="E2350" s="81" t="n">
        <x:v>0.011974965119015264</x:v>
      </x:c>
      <x:c r="F2350" s="81" t="n">
        <x:v>0.4694128518691286</x:v>
      </x:c>
      <x:c r="G2350" s="81" t="n">
        <x:v>0.017804625806067235</x:v>
      </x:c>
      <x:c r="H2350" s="59" t="n">
        <x:v>0</x:v>
      </x:c>
      <x:c r="I2350" s="81" t="n">
        <x:v>0</x:v>
      </x:c>
      <x:c r="J2350" s="79" t="n">
        <x:v>0.00011635184902165456</x:v>
      </x:c>
      <x:c r="K2350" s="81" t="n">
        <x:v>-0.8670264582609661</x:v>
      </x:c>
      <x:c r="L2350" s="81" t="n">
        <x:v>-0.9029558101915367</x:v>
      </x:c>
      <x:c r="M2350" s="80" t="n">
        <x:v>3674.7867649577274</x:v>
      </x:c>
      <x:c r="N2350" s="82" t="n">
        <x:v>0.24349027909780863</x:v>
      </x:c>
      <x:c r="O2350" s="82" t="n">
        <x:v>0.1079711047704786</x:v>
      </x:c>
      <x:c r="P2350" s="80" t="n">
        <x:v>6644.673356075201</x:v>
      </x:c>
      <x:c r="Q2350" s="81" t="n">
        <x:v>0.01703760260894693</x:v>
      </x:c>
      <x:c r="R2350" s="81" t="n">
        <x:v>19.420778369190558</x:v>
      </x:c>
      <x:c r="S2350" s="81" t="n">
        <x:v>3.007860696629769</x:v>
      </x:c>
      <x:c r="T2350" s="81" t="n">
        <x:v>2.5204350713972374</x:v>
      </x:c>
    </x:row>
    <x:row r="2351">
      <x:c r="A2351" s="59" t="n">
        <x:v>2348</x:v>
      </x:c>
      <x:c r="B2351" s="193" t="n">
        <x:v>0.22577620334923268</x:v>
      </x:c>
      <x:c r="C2351" s="83" t="n">
        <x:v>1.0135114889019483</x:v>
      </x:c>
      <x:c r="D2351" s="83" t="n">
        <x:v>0.3703775682513821</x:v>
      </x:c>
      <x:c r="E2351" s="81" t="n">
        <x:v>0.0563824195549681</x:v>
      </x:c>
      <x:c r="F2351" s="81" t="n">
        <x:v>0.35257097700377926</x:v>
      </x:c>
      <x:c r="G2351" s="81" t="n">
        <x:v>-0.006502050545890883</x:v>
      </x:c>
      <x:c r="H2351" s="59" t="n">
        <x:v>0</x:v>
      </x:c>
      <x:c r="I2351" s="81" t="n">
        <x:v>0</x:v>
      </x:c>
      <x:c r="J2351" s="79" t="n">
        <x:v>0.002387037222079253</x:v>
      </x:c>
      <x:c r="K2351" s="81" t="n">
        <x:v>1.7280425395191465</x:v>
      </x:c>
      <x:c r="L2351" s="81" t="n">
        <x:v>-0.4164847137896682</x:v>
      </x:c>
      <x:c r="M2351" s="80" t="n">
        <x:v>18062.60156530737</x:v>
      </x:c>
      <x:c r="N2351" s="82" t="n">
        <x:v>0.1558778749416</x:v>
      </x:c>
      <x:c r="O2351" s="82" t="n">
        <x:v>0.05191609009687361</x:v>
      </x:c>
      <x:c r="P2351" s="80" t="n">
        <x:v>13507.62337780868</x:v>
      </x:c>
      <x:c r="Q2351" s="81" t="n">
        <x:v>0.0021072643321745116</x:v>
      </x:c>
      <x:c r="R2351" s="81" t="n">
        <x:v>46.8939407029213</x:v>
      </x:c>
      <x:c r="S2351" s="81" t="n">
        <x:v>45.14573960106933</x:v>
      </x:c>
      <x:c r="T2351" s="81" t="n">
        <x:v>51.70843765567887</x:v>
      </x:c>
    </x:row>
    <x:row r="2352">
      <x:c r="A2352" s="59" t="n">
        <x:v>2349</x:v>
      </x:c>
      <x:c r="B2352" s="193" t="n">
        <x:v>0.8311041945591569</x:v>
      </x:c>
      <x:c r="C2352" s="83" t="n">
        <x:v>0.280614392217325</x:v>
      </x:c>
      <x:c r="D2352" s="83" t="n">
        <x:v>1.0172947464316582</x:v>
      </x:c>
      <x:c r="E2352" s="81" t="n">
        <x:v>-0.02569582986396302</x:v>
      </x:c>
      <x:c r="F2352" s="81" t="n">
        <x:v>0.4774146685609594</x:v>
      </x:c>
      <x:c r="G2352" s="81" t="n">
        <x:v>-0.05</x:v>
      </x:c>
      <x:c r="H2352" s="59" t="n">
        <x:v>0</x:v>
      </x:c>
      <x:c r="I2352" s="81" t="n">
        <x:v>0</x:v>
      </x:c>
      <x:c r="J2352" s="79" t="n">
        <x:v>1.9837222668260462e-16</x:v>
      </x:c>
      <x:c r="K2352" s="81" t="n">
        <x:v>-0.9999999999997733</x:v>
      </x:c>
      <x:c r="L2352" s="81" t="n">
        <x:v>-0.9999999999997733</x:v>
      </x:c>
      <x:c r="M2352" s="80" t="n">
        <x:v>0.003182356611559243</x:v>
      </x:c>
      <x:c r="N2352" s="82" t="n">
        <x:v>0.300078352347639</x:v>
      </x:c>
      <x:c r="O2352" s="82" t="n">
        <x:v>0.1353322701363266</x:v>
      </x:c>
      <x:c r="P2352" s="80" t="n">
        <x:v>602.8656181672721</x:v>
      </x:c>
      <x:c r="Q2352" s="81" t="n">
        <x:v>646.8172493592533</x:v>
      </x:c>
      <x:c r="R2352" s="81" t="n">
        <x:v>15.865947811423124</x:v>
      </x:c>
      <x:c r="S2352" s="81" t="n">
        <x:v>6.096915898979185e-7</x:v>
      </x:c>
      <x:c r="T2352" s="81" t="n">
        <x:v>4.297175519994925e-12</x:v>
      </x:c>
    </x:row>
    <x:row r="2353">
      <x:c r="A2353" s="59" t="n">
        <x:v>2350</x:v>
      </x:c>
      <x:c r="B2353" s="193" t="n">
        <x:v>0.7412689408287407</x:v>
      </x:c>
      <x:c r="C2353" s="83" t="n">
        <x:v>0.66553531235458</x:v>
      </x:c>
      <x:c r="D2353" s="83" t="n">
        <x:v>1.3127807723712692</x:v>
      </x:c>
      <x:c r="E2353" s="81" t="n">
        <x:v>0.024119022583346545</x:v>
      </x:c>
      <x:c r="F2353" s="81" t="n">
        <x:v>0.5496228973730468</x:v>
      </x:c>
      <x:c r="G2353" s="81" t="n">
        <x:v>0.031727446904072226</x:v>
      </x:c>
      <x:c r="H2353" s="59" t="n">
        <x:v>0</x:v>
      </x:c>
      <x:c r="I2353" s="81" t="n">
        <x:v>0</x:v>
      </x:c>
      <x:c r="J2353" s="79" t="n">
        <x:v>0.0012469883678907052</x:v>
      </x:c>
      <x:c r="K2353" s="81" t="n">
        <x:v>0.42512956330366314</x:v>
      </x:c>
      <x:c r="L2353" s="81" t="n">
        <x:v>-0.7386441576356648</x:v>
      </x:c>
      <x:c r="M2353" s="80" t="n">
        <x:v>11614.488773816627</x:v>
      </x:c>
      <x:c r="N2353" s="82" t="n">
        <x:v>0.27867791049804663</x:v>
      </x:c>
      <x:c r="O2353" s="82" t="n">
        <x:v>0.1446899293638394</x:v>
      </x:c>
      <x:c r="P2353" s="80" t="n">
        <x:v>30730.87978176247</x:v>
      </x:c>
      <x:c r="Q2353" s="81" t="n">
        <x:v>0.013352787227590406</x:v>
      </x:c>
      <x:c r="R2353" s="81" t="n">
        <x:v>53.82593540940762</x:v>
      </x:c>
      <x:c r="S2353" s="81" t="n">
        <x:v>40.76425498081414</x:v>
      </x:c>
      <x:c r="T2353" s="81" t="n">
        <x:v>27.01249049743241</x:v>
      </x:c>
    </x:row>
    <x:row r="2354">
      <x:c r="A2354" s="59" t="n">
        <x:v>2351</x:v>
      </x:c>
      <x:c r="B2354" s="193" t="n">
        <x:v>0.39502158258110287</x:v>
      </x:c>
      <x:c r="C2354" s="83" t="n">
        <x:v>2.1238942622065333</x:v>
      </x:c>
      <x:c r="D2354" s="83" t="n">
        <x:v>1.029137123242476</x:v>
      </x:c>
      <x:c r="E2354" s="81" t="n">
        <x:v>-0.07434222271432975</x:v>
      </x:c>
      <x:c r="F2354" s="81" t="n">
        <x:v>0.5006892128149047</x:v>
      </x:c>
      <x:c r="G2354" s="81" t="n">
        <x:v>0.028931350674406886</x:v>
      </x:c>
      <x:c r="H2354" s="59" t="n">
        <x:v>0</x:v>
      </x:c>
      <x:c r="I2354" s="81" t="n">
        <x:v>0</x:v>
      </x:c>
      <x:c r="J2354" s="79" t="n">
        <x:v>3.153809880386492e-40</x:v>
      </x:c>
      <x:c r="K2354" s="81" t="n">
        <x:v>-1</x:v>
      </x:c>
      <x:c r="L2354" s="81" t="n">
        <x:v>-1</x:v>
      </x:c>
      <x:c r="M2354" s="80" t="n">
        <x:v>0.000002</x:v>
      </x:c>
      <x:c r="N2354" s="82" t="n">
        <x:v>0.196195297625492</x:v>
      </x:c>
      <x:c r="O2354" s="82" t="n">
        <x:v>0.09279568258501038</x:v>
      </x:c>
      <x:c r="P2354" s="80" t="n">
        <x:v>717.3283364329035</x:v>
      </x:c>
      <x:c r="Q2354" s="81" t="n">
        <x:v>9.256917522363798e+22</x:v>
      </x:c>
      <x:c r="R2354" s="81" t="n">
        <x:v>1.446359287273727</x:v>
      </x:c>
      <x:c r="S2354" s="81" t="n">
        <x:v>4.08302675111086e-10</x:v>
      </x:c>
      <x:c r="T2354" s="81" t="n">
        <x:v>6.831840746738658e-36</x:v>
      </x:c>
    </x:row>
    <x:row r="2355">
      <x:c r="A2355" s="59" t="n">
        <x:v>2352</x:v>
      </x:c>
      <x:c r="B2355" s="193" t="n">
        <x:v>0.9346137503162026</x:v>
      </x:c>
      <x:c r="C2355" s="83" t="n">
        <x:v>0.6519546835831077</x:v>
      </x:c>
      <x:c r="D2355" s="83" t="n">
        <x:v>0.3804649252771246</x:v>
      </x:c>
      <x:c r="E2355" s="81" t="n">
        <x:v>0.12478388256163711</x:v>
      </x:c>
      <x:c r="F2355" s="81" t="n">
        <x:v>0.48887539949500936</x:v>
      </x:c>
      <x:c r="G2355" s="81" t="n">
        <x:v>-0.015455514387381644</x:v>
      </x:c>
      <x:c r="H2355" s="59" t="n">
        <x:v>0</x:v>
      </x:c>
      <x:c r="I2355" s="81" t="n">
        <x:v>0</x:v>
      </x:c>
      <x:c r="J2355" s="79" t="n">
        <x:v>0.0009023849213249553</x:v>
      </x:c>
      <x:c r="K2355" s="81" t="n">
        <x:v>0.03129705294280627</x:v>
      </x:c>
      <x:c r="L2355" s="81" t="n">
        <x:v>-0.7663306940459429</x:v>
      </x:c>
      <x:c r="M2355" s="80" t="n">
        <x:v>9977.895190667808</x:v>
      </x:c>
      <x:c r="N2355" s="82" t="n">
        <x:v>0.324736269333138</x:v>
      </x:c>
      <x:c r="O2355" s="82" t="n">
        <x:v>0.1499684568816561</x:v>
      </x:c>
      <x:c r="P2355" s="80" t="n">
        <x:v>7855.1296788846075</x:v>
      </x:c>
      <x:c r="Q2355" s="81" t="n">
        <x:v>0.0029018715192515965</x:v>
      </x:c>
      <x:c r="R2355" s="81" t="n">
        <x:v>82.98266692705266</x:v>
      </x:c>
      <x:c r="S2355" s="81" t="n">
        <x:v>26.627486821605736</x:v>
      </x:c>
      <x:c r="T2355" s="81" t="n">
        <x:v>19.54762749996486</x:v>
      </x:c>
    </x:row>
    <x:row r="2356">
      <x:c r="A2356" s="59" t="n">
        <x:v>2353</x:v>
      </x:c>
      <x:c r="B2356" s="193" t="n">
        <x:v>0.28675541169941426</x:v>
      </x:c>
      <x:c r="C2356" s="83" t="n">
        <x:v>0.10158654801330491</x:v>
      </x:c>
      <x:c r="D2356" s="83" t="n">
        <x:v>0.5408043832507984</x:v>
      </x:c>
      <x:c r="E2356" s="81" t="n">
        <x:v>-0.059198162842307056</x:v>
      </x:c>
      <x:c r="F2356" s="81" t="n">
        <x:v>0.5488237246870995</x:v>
      </x:c>
      <x:c r="G2356" s="81" t="n">
        <x:v>-0.0036132846538977077</x:v>
      </x:c>
      <x:c r="H2356" s="59" t="n">
        <x:v>0</x:v>
      </x:c>
      <x:c r="I2356" s="81" t="n">
        <x:v>0</x:v>
      </x:c>
      <x:c r="J2356" s="79" t="n">
        <x:v>5.0876097387948164e-23</x:v>
      </x:c>
      <x:c r="K2356" s="81" t="n">
        <x:v>-1</x:v>
      </x:c>
      <x:c r="L2356" s="81" t="n">
        <x:v>-1</x:v>
      </x:c>
      <x:c r="M2356" s="80" t="n">
        <x:v>0.000002</x:v>
      </x:c>
      <x:c r="N2356" s="82" t="n">
        <x:v>0.17040426573076978</x:v>
      </x:c>
      <x:c r="O2356" s="82" t="n">
        <x:v>0.08834546907688523</x:v>
      </x:c>
      <x:c r="P2356" s="80" t="n">
        <x:v>253.97906312258792</x:v>
      </x:c>
      <x:c r="Q2356" s="81" t="n">
        <x:v>710476.9604772094</x:v>
      </x:c>
      <x:c r="R2356" s="81" t="n">
        <x:v>38.37312700783049</x:v>
      </x:c>
      <x:c r="S2356" s="81" t="n">
        <x:v>4.115274654505689e-10</x:v>
      </x:c>
      <x:c r="T2356" s="81" t="n">
        <x:v>1.102087343094485e-18</x:v>
      </x:c>
    </x:row>
    <x:row r="2357">
      <x:c r="A2357" s="59" t="n">
        <x:v>2354</x:v>
      </x:c>
      <x:c r="B2357" s="193" t="n">
        <x:v>0.399674354121089</x:v>
      </x:c>
      <x:c r="C2357" s="83" t="n">
        <x:v>1.8924695530725288</x:v>
      </x:c>
      <x:c r="D2357" s="83" t="n">
        <x:v>0.7023296795271943</x:v>
      </x:c>
      <x:c r="E2357" s="81" t="n">
        <x:v>0.0896733328592412</x:v>
      </x:c>
      <x:c r="F2357" s="81" t="n">
        <x:v>0.7261182053945958</x:v>
      </x:c>
      <x:c r="G2357" s="81" t="n">
        <x:v>0.004921682387497821</x:v>
      </x:c>
      <x:c r="H2357" s="59" t="n">
        <x:v>0</x:v>
      </x:c>
      <x:c r="I2357" s="81" t="n">
        <x:v>0</x:v>
      </x:c>
      <x:c r="J2357" s="79" t="n">
        <x:v>0.010241087277986685</x:v>
      </x:c>
      <x:c r="K2357" s="81" t="n">
        <x:v>10.704099746270499</x:v>
      </x:c>
      <x:c r="L2357" s="81" t="n">
        <x:v>-0.6499688672885418</x:v>
      </x:c>
      <x:c r="M2357" s="80" t="n">
        <x:v>63362.81626815046</x:v>
      </x:c>
      <x:c r="N2357" s="82" t="n">
        <x:v>0.19730367504578325</x:v>
      </x:c>
      <x:c r="O2357" s="82" t="n">
        <x:v>0.1353360329736646</x:v>
      </x:c>
      <x:c r="P2357" s="80" t="n">
        <x:v>79989.4309087945</x:v>
      </x:c>
      <x:c r="Q2357" s="81" t="n">
        <x:v>0.0038033805442526237</x:v>
      </x:c>
      <x:c r="R2357" s="81" t="n">
        <x:v>106.85964550048648</x:v>
      </x:c>
      <x:c r="S2357" s="81" t="n">
        <x:v>108.17565694389776</x:v>
      </x:c>
      <x:c r="T2357" s="81" t="n">
        <x:v>221.84430897934217</x:v>
      </x:c>
    </x:row>
    <x:row r="2358">
      <x:c r="A2358" s="59" t="n">
        <x:v>2355</x:v>
      </x:c>
      <x:c r="B2358" s="193" t="n">
        <x:v>0.3452763859182596</x:v>
      </x:c>
      <x:c r="C2358" s="83" t="n">
        <x:v>2.2339504525451344</x:v>
      </x:c>
      <x:c r="D2358" s="83" t="n">
        <x:v>1.3655355748159987</x:v>
      </x:c>
      <x:c r="E2358" s="81" t="n">
        <x:v>-0.1665147409012422</x:v>
      </x:c>
      <x:c r="F2358" s="81" t="n">
        <x:v>0.5973706440418027</x:v>
      </x:c>
      <x:c r="G2358" s="81" t="n">
        <x:v>-0.017094508628413798</x:v>
      </x:c>
      <x:c r="H2358" s="59" t="n">
        <x:v>0</x:v>
      </x:c>
      <x:c r="I2358" s="81" t="n">
        <x:v>0</x:v>
      </x:c>
      <x:c r="J2358" s="79" t="n">
        <x:v>5.733422221880334e-68</x:v>
      </x:c>
      <x:c r="K2358" s="81" t="n">
        <x:v>-1</x:v>
      </x:c>
      <x:c r="L2358" s="81" t="n">
        <x:v>-1</x:v>
      </x:c>
      <x:c r="M2358" s="80" t="n">
        <x:v>0.000002</x:v>
      </x:c>
      <x:c r="N2358" s="82" t="n">
        <x:v>0.18434505905796533</x:v>
      </x:c>
      <x:c r="O2358" s="82" t="n">
        <x:v>0.10402705897471462</x:v>
      </x:c>
      <x:c r="P2358" s="80" t="n">
        <x:v>424.1861033923985</x:v>
      </x:c>
      <x:c r="Q2358" s="81" t="n">
        <x:v>2.4684163875233995e+50</x:v>
      </x:c>
      <x:c r="R2358" s="81" t="n">
        <x:v>0.5778855488605351</x:v>
      </x:c>
      <x:c r="S2358" s="81" t="n">
        <x:v>2.9989336723398533e-10</x:v>
      </x:c>
      <x:c r="T2358" s="81" t="n">
        <x:v>1.2419844264327938e-63</x:v>
      </x:c>
    </x:row>
    <x:row r="2359">
      <x:c r="A2359" s="59" t="n">
        <x:v>2356</x:v>
      </x:c>
      <x:c r="B2359" s="193" t="n">
        <x:v>0.3489945577457547</x:v>
      </x:c>
      <x:c r="C2359" s="83" t="n">
        <x:v>2.5886271812105757</x:v>
      </x:c>
      <x:c r="D2359" s="83" t="n">
        <x:v>0.42495445489323214</x:v>
      </x:c>
      <x:c r="E2359" s="81" t="n">
        <x:v>0.00024828141933173626</x:v>
      </x:c>
      <x:c r="F2359" s="81" t="n">
        <x:v>0.740974210773129</x:v>
      </x:c>
      <x:c r="G2359" s="81" t="n">
        <x:v>0.06253983009903616</x:v>
      </x:c>
      <x:c r="H2359" s="59" t="n">
        <x:v>0</x:v>
      </x:c>
      <x:c r="I2359" s="81" t="n">
        <x:v>0</x:v>
      </x:c>
      <x:c r="J2359" s="79" t="n">
        <x:v>0.000005481833268638482</x:v>
      </x:c>
      <x:c r="K2359" s="81" t="n">
        <x:v>-0.9937350476929846</x:v>
      </x:c>
      <x:c r="L2359" s="81" t="n">
        <x:v>-0.9937350476929846</x:v>
      </x:c>
      <x:c r="M2359" s="80" t="n">
        <x:v>1432.023228991545</x:v>
      </x:c>
      <x:c r="N2359" s="82" t="n">
        <x:v>0.18523079730299655</x:v>
      </x:c>
      <x:c r="O2359" s="82" t="n">
        <x:v>0.12965439135911497</x:v>
      </x:c>
      <x:c r="P2359" s="80" t="n">
        <x:v>5183.929974427991</x:v>
      </x:c>
      <x:c r="Q2359" s="81" t="n">
        <x:v>0.072323421190013</x:v>
      </x:c>
      <x:c r="R2359" s="81" t="n">
        <x:v>6.135359559805972</x:v>
      </x:c>
      <x:c r="S2359" s="81" t="n">
        <x:v>0.19526418185242386</x:v>
      </x:c>
      <x:c r="T2359" s="81" t="n">
        <x:v>0.11874847664223316</x:v>
      </x:c>
    </x:row>
    <x:row r="2360">
      <x:c r="A2360" s="59" t="n">
        <x:v>2357</x:v>
      </x:c>
      <x:c r="B2360" s="193" t="n">
        <x:v>0.7228646978735924</x:v>
      </x:c>
      <x:c r="C2360" s="83" t="n">
        <x:v>0.13480361554426712</x:v>
      </x:c>
      <x:c r="D2360" s="83" t="n">
        <x:v>0.49926465736803655</x:v>
      </x:c>
      <x:c r="E2360" s="81" t="n">
        <x:v>-0.02992819218501281</x:v>
      </x:c>
      <x:c r="F2360" s="81" t="n">
        <x:v>0.3650561116519384</x:v>
      </x:c>
      <x:c r="G2360" s="81" t="n">
        <x:v>-0.05</x:v>
      </x:c>
      <x:c r="H2360" s="59" t="n">
        <x:v>0</x:v>
      </x:c>
      <x:c r="I2360" s="81" t="n">
        <x:v>0</x:v>
      </x:c>
      <x:c r="J2360" s="79" t="n">
        <x:v>1.1866727236461819e-11</x:v>
      </x:c>
      <x:c r="K2360" s="81" t="n">
        <x:v>-0.999999986438026</x:v>
      </x:c>
      <x:c r="L2360" s="81" t="n">
        <x:v>-0.999999986438026</x:v>
      </x:c>
      <x:c r="M2360" s="80" t="n">
        <x:v>0.6787748242368449</x:v>
      </x:c>
      <x:c r="N2360" s="82" t="n">
        <x:v>0.27429367474657484</x:v>
      </x:c>
      <x:c r="O2360" s="82" t="n">
        <x:v>0.09459024673894735</x:v>
      </x:c>
      <x:c r="P2360" s="80" t="n">
        <x:v>392.28281986803256</x:v>
      </x:c>
      <x:c r="Q2360" s="81" t="n">
        <x:v>1.9819244768251854</x:v>
      </x:c>
      <x:c r="R2360" s="81" t="n">
        <x:v>45.63861723548071</x:v>
      </x:c>
      <x:c r="S2360" s="81" t="n">
        <x:v>0.00007282489741354522</x:v>
      </x:c>
      <x:c r="T2360" s="81" t="n">
        <x:v>2.5705921960824777e-7</x:v>
      </x:c>
    </x:row>
    <x:row r="2361">
      <x:c r="A2361" s="59" t="n">
        <x:v>2358</x:v>
      </x:c>
      <x:c r="B2361" s="193" t="n">
        <x:v>0.9987784052267672</x:v>
      </x:c>
      <x:c r="C2361" s="83" t="n">
        <x:v>0.31273891303465395</x:v>
      </x:c>
      <x:c r="D2361" s="83" t="n">
        <x:v>0.6189317642887752</x:v>
      </x:c>
      <x:c r="E2361" s="81" t="n">
        <x:v>-0.131920916560972</x:v>
      </x:c>
      <x:c r="F2361" s="81" t="n">
        <x:v>0.3573129183845595</x:v>
      </x:c>
      <x:c r="G2361" s="81" t="n">
        <x:v>-0.029485622860714124</x:v>
      </x:c>
      <x:c r="H2361" s="59" t="n">
        <x:v>0</x:v>
      </x:c>
      <x:c r="I2361" s="81" t="n">
        <x:v>0</x:v>
      </x:c>
      <x:c r="J2361" s="79" t="n">
        <x:v>1.3123235270674581e-33</x:v>
      </x:c>
      <x:c r="K2361" s="81" t="n">
        <x:v>-1</x:v>
      </x:c>
      <x:c r="L2361" s="81" t="n">
        <x:v>-1</x:v>
      </x:c>
      <x:c r="M2361" s="80" t="n">
        <x:v>0.000002</x:v>
      </x:c>
      <x:c r="N2361" s="82" t="n">
        <x:v>0.34002149322011405</x:v>
      </x:c>
      <x:c r="O2361" s="82" t="n">
        <x:v>0.11476937858745692</x:v>
      </x:c>
      <x:c r="P2361" s="80" t="n">
        <x:v>165.62367535511137</x:v>
      </x:c>
      <x:c r="Q2361" s="81" t="n">
        <x:v>13208585490137782</x:v>
      </x:c>
      <x:c r="R2361" s="81" t="n">
        <x:v>5.660693439729085</x:v>
      </x:c>
      <x:c r="S2361" s="81" t="n">
        <x:v>2.869629720826581e-10</x:v>
      </x:c>
      <x:c r="T2361" s="81" t="n">
        <x:v>2.84277926861734e-29</x:v>
      </x:c>
    </x:row>
    <x:row r="2362">
      <x:c r="A2362" s="59" t="n">
        <x:v>2359</x:v>
      </x:c>
      <x:c r="B2362" s="193" t="n">
        <x:v>0.3962702533230186</x:v>
      </x:c>
      <x:c r="C2362" s="83" t="n">
        <x:v>0.5005864037877956</x:v>
      </x:c>
      <x:c r="D2362" s="83" t="n">
        <x:v>1.3675497926989106</x:v>
      </x:c>
      <x:c r="E2362" s="81" t="n">
        <x:v>0.012411734565206457</x:v>
      </x:c>
      <x:c r="F2362" s="81" t="n">
        <x:v>0.6640170102356933</x:v>
      </x:c>
      <x:c r="G2362" s="81" t="n">
        <x:v>-0.01557531981234494</x:v>
      </x:c>
      <x:c r="H2362" s="59" t="n">
        <x:v>36</x:v>
      </x:c>
      <x:c r="I2362" s="81" t="n">
        <x:v>0.25627343989908696</x:v>
      </x:c>
      <x:c r="J2362" s="79" t="n">
        <x:v>0.00012509487134936003</x:v>
      </x:c>
      <x:c r="K2362" s="81" t="n">
        <x:v>-0.8570344327435885</x:v>
      </x:c>
      <x:c r="L2362" s="81" t="n">
        <x:v>-0.8804904579000739</x:v>
      </x:c>
      <x:c r="M2362" s="80" t="n">
        <x:v>3036.773965974949</x:v>
      </x:c>
      <x:c r="N2362" s="82" t="n">
        <x:v>0.19649275440879282</x:v>
      </x:c>
      <x:c r="O2362" s="82" t="n">
        <x:v>0.12325276967977004</x:v>
      </x:c>
      <x:c r="P2362" s="80" t="n">
        <x:v>9690.055815150217</x:v>
      </x:c>
      <x:c r="Q2362" s="81" t="n">
        <x:v>0.019953948922454633</x:v>
      </x:c>
      <x:c r="R2362" s="81" t="n">
        <x:v>42.032197136234196</x:v>
      </x:c>
      <x:c r="S2362" s="81" t="n">
        <x:v>5.653072594944868</x:v>
      </x:c>
      <x:c r="T2362" s="81" t="n">
        <x:v>2.709828022949359</x:v>
      </x:c>
    </x:row>
    <x:row r="2363">
      <x:c r="A2363" s="59" t="n">
        <x:v>2360</x:v>
      </x:c>
      <x:c r="B2363" s="193" t="n">
        <x:v>0.2683457013219595</x:v>
      </x:c>
      <x:c r="C2363" s="83" t="n">
        <x:v>1.847259520473224</x:v>
      </x:c>
      <x:c r="D2363" s="83" t="n">
        <x:v>0.6705004943391243</x:v>
      </x:c>
      <x:c r="E2363" s="81" t="n">
        <x:v>0.018943435984561673</x:v>
      </x:c>
      <x:c r="F2363" s="81" t="n">
        <x:v>0.5096741511719302</x:v>
      </x:c>
      <x:c r="G2363" s="81" t="n">
        <x:v>-0.042033451611809</x:v>
      </x:c>
      <x:c r="H2363" s="59" t="n">
        <x:v>0</x:v>
      </x:c>
      <x:c r="I2363" s="81" t="n">
        <x:v>0</x:v>
      </x:c>
      <x:c r="J2363" s="79" t="n">
        <x:v>0.0003365942649226988</x:v>
      </x:c>
      <x:c r="K2363" s="81" t="n">
        <x:v>-0.6153208400883442</x:v>
      </x:c>
      <x:c r="L2363" s="81" t="n">
        <x:v>-0.768514601128799</x:v>
      </x:c>
      <x:c r="M2363" s="80" t="n">
        <x:v>9223.922707530075</x:v>
      </x:c>
      <x:c r="N2363" s="82" t="n">
        <x:v>0.16601872753679045</x:v>
      </x:c>
      <x:c r="O2363" s="82" t="n">
        <x:v>0.07993199103681223</x:v>
      </x:c>
      <x:c r="P2363" s="80" t="n">
        <x:v>14038.907155991452</x:v>
      </x:c>
      <x:c r="Q2363" s="81" t="n">
        <x:v>0.008266274466554455</x:v>
      </x:c>
      <x:c r="R2363" s="81" t="n">
        <x:v>16.936029152957804</x:v>
      </x:c>
      <x:c r="S2363" s="81" t="n">
        <x:v>3.9589090901978197</x:v>
      </x:c>
      <x:c r="T2363" s="81" t="n">
        <x:v>7.291366637280097</x:v>
      </x:c>
    </x:row>
    <x:row r="2364">
      <x:c r="A2364" s="59" t="n">
        <x:v>2361</x:v>
      </x:c>
      <x:c r="B2364" s="193" t="n">
        <x:v>0.7118683837354183</x:v>
      </x:c>
      <x:c r="C2364" s="83" t="n">
        <x:v>0.37653509691680487</x:v>
      </x:c>
      <x:c r="D2364" s="83" t="n">
        <x:v>1.2457843492641096</x:v>
      </x:c>
      <x:c r="E2364" s="81" t="n">
        <x:v>-0.06247409785953695</x:v>
      </x:c>
      <x:c r="F2364" s="81" t="n">
        <x:v>0.5297405968303792</x:v>
      </x:c>
      <x:c r="G2364" s="81" t="n">
        <x:v>-0.024984333074409906</x:v>
      </x:c>
      <x:c r="H2364" s="59" t="n">
        <x:v>0</x:v>
      </x:c>
      <x:c r="I2364" s="81" t="n">
        <x:v>0</x:v>
      </x:c>
      <x:c r="J2364" s="79" t="n">
        <x:v>3.0268854784532012e-33</x:v>
      </x:c>
      <x:c r="K2364" s="81" t="n">
        <x:v>-1</x:v>
      </x:c>
      <x:c r="L2364" s="81" t="n">
        <x:v>-1</x:v>
      </x:c>
      <x:c r="M2364" s="80" t="n">
        <x:v>0.000002</x:v>
      </x:c>
      <x:c r="N2364" s="82" t="n">
        <x:v>0.2716741465379717</x:v>
      </x:c>
      <x:c r="O2364" s="82" t="n">
        <x:v>0.135951032343603</x:v>
      </x:c>
      <x:c r="P2364" s="80" t="n">
        <x:v>358.4110399655881</x:v>
      </x:c>
      <x:c r="Q2364" s="81" t="n">
        <x:v>11350556866609862</x:v>
      </x:c>
      <x:c r="R2364" s="81" t="n">
        <x:v>5.22450558945133</x:v>
      </x:c>
      <x:c r="S2364" s="81" t="n">
        <x:v>5.827300535369255e-10</x:v>
      </x:c>
      <x:c r="T2364" s="81" t="n">
        <x:v>6.556894781772301e-29</x:v>
      </x:c>
    </x:row>
    <x:row r="2365">
      <x:c r="A2365" s="59" t="n">
        <x:v>2362</x:v>
      </x:c>
      <x:c r="B2365" s="193" t="n">
        <x:v>0.6643575666472317</x:v>
      </x:c>
      <x:c r="C2365" s="83" t="n">
        <x:v>0.20148429454262007</x:v>
      </x:c>
      <x:c r="D2365" s="83" t="n">
        <x:v>0.34621094197106705</x:v>
      </x:c>
      <x:c r="E2365" s="81" t="n">
        <x:v>0.008455874015787046</x:v>
      </x:c>
      <x:c r="F2365" s="81" t="n">
        <x:v>0.4782459852402099</x:v>
      </x:c>
      <x:c r="G2365" s="81" t="n">
        <x:v>0.007249449676854328</x:v>
      </x:c>
      <x:c r="H2365" s="59" t="n">
        <x:v>0</x:v>
      </x:c>
      <x:c r="I2365" s="81" t="n">
        <x:v>0</x:v>
      </x:c>
      <x:c r="J2365" s="79" t="n">
        <x:v>0.0000047038691163525836</x:v>
      </x:c>
      <x:c r="K2365" s="81" t="n">
        <x:v>-0.9946241495813113</x:v>
      </x:c>
      <x:c r="L2365" s="81" t="n">
        <x:v>-0.9946241495813113</x:v>
      </x:c>
      <x:c r="M2365" s="80" t="n">
        <x:v>449.8215155178228</x:v>
      </x:c>
      <x:c r="N2365" s="82" t="n">
        <x:v>0.2603561790797453</x:v>
      </x:c>
      <x:c r="O2365" s="82" t="n">
        <x:v>0.11762243452234421</x:v>
      </x:c>
      <x:c r="P2365" s="80" t="n">
        <x:v>835.9456838950902</x:v>
      </x:c>
      <x:c r="Q2365" s="81" t="n">
        <x:v>0.017921666350725438</x:v>
      </x:c>
      <x:c r="R2365" s="81" t="n">
        <x:v>51.88433244513491</x:v>
      </x:c>
      <x:c r="S2365" s="81" t="n">
        <x:v>0.4960173504571254</x:v>
      </x:c>
      <x:c r="T2365" s="81" t="n">
        <x:v>0.10189607463746339</x:v>
      </x:c>
    </x:row>
    <x:row r="2366">
      <x:c r="A2366" s="59" t="n">
        <x:v>2363</x:v>
      </x:c>
      <x:c r="B2366" s="193" t="n">
        <x:v>0.6611244741827249</x:v>
      </x:c>
      <x:c r="C2366" s="83" t="n">
        <x:v>0.18637815500583585</x:v>
      </x:c>
      <x:c r="D2366" s="83" t="n">
        <x:v>0.5101884401662666</x:v>
      </x:c>
      <x:c r="E2366" s="81" t="n">
        <x:v>-0.04900570548664407</x:v>
      </x:c>
      <x:c r="F2366" s="81" t="n">
        <x:v>0.33582344466121866</x:v>
      </x:c>
      <x:c r="G2366" s="81" t="n">
        <x:v>-0.015645884106835872</x:v>
      </x:c>
      <x:c r="H2366" s="59" t="n">
        <x:v>0</x:v>
      </x:c>
      <x:c r="I2366" s="81" t="n">
        <x:v>0</x:v>
      </x:c>
      <x:c r="J2366" s="79" t="n">
        <x:v>2.840432546150524e-18</x:v>
      </x:c>
      <x:c r="K2366" s="81" t="n">
        <x:v>-0.9999999999999968</x:v>
      </x:c>
      <x:c r="L2366" s="81" t="n">
        <x:v>-0.9999999999999968</x:v>
      </x:c>
      <x:c r="M2366" s="80" t="n">
        <x:v>0.00035496251487923756</x:v>
      </x:c>
      <x:c r="N2366" s="82" t="n">
        <x:v>0.259585995834216</x:v>
      </x:c>
      <x:c r="O2366" s="82" t="n">
        <x:v>0.08234992600661686</x:v>
      </x:c>
      <x:c r="P2366" s="80" t="n">
        <x:v>315.5149014037591</x:v>
      </x:c>
      <x:c r="Q2366" s="81" t="n">
        <x:v>2702.050628030727</x:v>
      </x:c>
      <x:c r="R2366" s="81" t="n">
        <x:v>25.940319251193785</x:v>
      </x:c>
      <x:c r="S2366" s="81" t="n">
        <x:v>5.7442612314903956e-8</x:v>
      </x:c>
      <x:c r="T2366" s="81" t="n">
        <x:v>6.152997023642941e-14</x:v>
      </x:c>
    </x:row>
    <x:row r="2367">
      <x:c r="A2367" s="59" t="n">
        <x:v>2364</x:v>
      </x:c>
      <x:c r="B2367" s="193" t="n">
        <x:v>0.6187344778329134</x:v>
      </x:c>
      <x:c r="C2367" s="83" t="n">
        <x:v>0.21382812837016132</x:v>
      </x:c>
      <x:c r="D2367" s="83" t="n">
        <x:v>0.3980071256915013</x:v>
      </x:c>
      <x:c r="E2367" s="81" t="n">
        <x:v>0.022855929746141753</x:v>
      </x:c>
      <x:c r="F2367" s="81" t="n">
        <x:v>0.44784796016756445</x:v>
      </x:c>
      <x:c r="G2367" s="81" t="n">
        <x:v>0.007107505201457676</x:v>
      </x:c>
      <x:c r="H2367" s="59" t="n">
        <x:v>62</x:v>
      </x:c>
      <x:c r="I2367" s="81" t="n">
        <x:v>0.26396072898060086</x:v>
      </x:c>
      <x:c r="J2367" s="79" t="n">
        <x:v>0.000050206919292317664</x:v>
      </x:c>
      <x:c r="K2367" s="81" t="n">
        <x:v>-0.9426206636659227</x:v>
      </x:c>
      <x:c r="L2367" s="81" t="n">
        <x:v>-0.9542215682606857</x:v>
      </x:c>
      <x:c r="M2367" s="80" t="n">
        <x:v>1520.4512111858683</x:v>
      </x:c>
      <x:c r="N2367" s="82" t="n">
        <x:v>0.2494879038912593</x:v>
      </x:c>
      <x:c r="O2367" s="82" t="n">
        <x:v>0.10554824987569256</x:v>
      </x:c>
      <x:c r="P2367" s="80" t="n">
        <x:v>1729.0344994152056</x:v>
      </x:c>
      <x:c r="Q2367" s="81" t="n">
        <x:v>0.008871945310824131</x:v>
      </x:c>
      <x:c r="R2367" s="81" t="n">
        <x:v>65.80956427969392</x:v>
      </x:c>
      <x:c r="S2367" s="81" t="n">
        <x:v>4.6025552620039445</x:v>
      </x:c>
      <x:c r="T2367" s="81" t="n">
        <x:v>1.0875914845806762</x:v>
      </x:c>
    </x:row>
    <x:row r="2368">
      <x:c r="A2368" s="59" t="n">
        <x:v>2365</x:v>
      </x:c>
      <x:c r="B2368" s="193" t="n">
        <x:v>0.30034274198114874</x:v>
      </x:c>
      <x:c r="C2368" s="83" t="n">
        <x:v>0.17724169443019233</x:v>
      </x:c>
      <x:c r="D2368" s="83" t="n">
        <x:v>1.4236583435737837</x:v>
      </x:c>
      <x:c r="E2368" s="81" t="n">
        <x:v>0.12282075506623429</x:v>
      </x:c>
      <x:c r="F2368" s="81" t="n">
        <x:v>0.829220028501004</x:v>
      </x:c>
      <x:c r="G2368" s="81" t="n">
        <x:v>0.013783013205138195</x:v>
      </x:c>
      <x:c r="H2368" s="59" t="n">
        <x:v>0</x:v>
      </x:c>
      <x:c r="I2368" s="81" t="n">
        <x:v>0</x:v>
      </x:c>
      <x:c r="J2368" s="79" t="n">
        <x:v>0.02101647863204019</x:v>
      </x:c>
      <x:c r="K2368" s="81" t="n">
        <x:v>23.01883272233165</x:v>
      </x:c>
      <x:c r="L2368" s="81" t="n">
        <x:v>-0.8148530324896479</x:v>
      </x:c>
      <x:c r="M2368" s="80" t="n">
        <x:v>52473.51546969179</x:v>
      </x:c>
      <x:c r="N2368" s="82" t="n">
        <x:v>0.1736410225663218</x:v>
      </x:c>
      <x:c r="O2368" s="82" t="n">
        <x:v>0.13601695866704047</x:v>
      </x:c>
      <x:c r="P2368" s="80" t="n">
        <x:v>105239.16422211537</x:v>
      </x:c>
      <x:c r="Q2368" s="81" t="n">
        <x:v>0.003297934000071704</x:v>
      </x:c>
      <x:c r="R2368" s="81" t="n">
        <x:v>2044.449419456728</x:v>
      </x:c>
      <x:c r="S2368" s="81" t="n">
        <x:v>2237.1685336801756</x:v>
      </x:c>
      <x:c r="T2368" s="81" t="n">
        <x:v>455.2628107491976</x:v>
      </x:c>
    </x:row>
    <x:row r="2369">
      <x:c r="A2369" s="59" t="n">
        <x:v>2366</x:v>
      </x:c>
      <x:c r="B2369" s="193" t="n">
        <x:v>0.743410854227841</x:v>
      </x:c>
      <x:c r="C2369" s="83" t="n">
        <x:v>1.559773098454753</x:v>
      </x:c>
      <x:c r="D2369" s="83" t="n">
        <x:v>0.7219217700978103</x:v>
      </x:c>
      <x:c r="E2369" s="81" t="n">
        <x:v>-0.04766602013975363</x:v>
      </x:c>
      <x:c r="F2369" s="81" t="n">
        <x:v>0.7197944040992297</x:v>
      </x:c>
      <x:c r="G2369" s="81" t="n">
        <x:v>-0.03425715193194981</x:v>
      </x:c>
      <x:c r="H2369" s="59" t="n">
        <x:v>0</x:v>
      </x:c>
      <x:c r="I2369" s="81" t="n">
        <x:v>0</x:v>
      </x:c>
      <x:c r="J2369" s="79" t="n">
        <x:v>2.612539980400915e-21</x:v>
      </x:c>
      <x:c r="K2369" s="81" t="n">
        <x:v>-1</x:v>
      </x:c>
      <x:c r="L2369" s="81" t="n">
        <x:v>-1</x:v>
      </x:c>
      <x:c r="M2369" s="80" t="n">
        <x:v>0.000023460281888114365</x:v>
      </x:c>
      <x:c r="N2369" s="82" t="n">
        <x:v>0.27918815443058853</x:v>
      </x:c>
      <x:c r="O2369" s="82" t="n">
        <x:v>0.18983504766278733</x:v>
      </x:c>
      <x:c r="P2369" s="80" t="n">
        <x:v>749.8152006094277</x:v>
      </x:c>
      <x:c r="Q2369" s="81" t="n">
        <x:v>199365.0541460625</x:v>
      </x:c>
      <x:c r="R2369" s="81" t="n">
        <x:v>3.010540468698524</x:v>
      </x:c>
      <x:c r="S2369" s="81" t="n">
        <x:v>1.9808624059877653e-9</x:v>
      </x:c>
      <x:c r="T2369" s="81" t="n">
        <x:v>5.659331972287277e-17</x:v>
      </x:c>
    </x:row>
    <x:row r="2370">
      <x:c r="A2370" s="59" t="n">
        <x:v>2367</x:v>
      </x:c>
      <x:c r="B2370" s="193" t="n">
        <x:v>0.8535364542156458</x:v>
      </x:c>
      <x:c r="C2370" s="83" t="n">
        <x:v>0.13148224513970017</x:v>
      </x:c>
      <x:c r="D2370" s="83" t="n">
        <x:v>0.5258542648114262</x:v>
      </x:c>
      <x:c r="E2370" s="81" t="n">
        <x:v>0.021783512816743743</x:v>
      </x:c>
      <x:c r="F2370" s="81" t="n">
        <x:v>0.7095370118157007</x:v>
      </x:c>
      <x:c r="G2370" s="81" t="n">
        <x:v>-0.04881585341126241</x:v>
      </x:c>
      <x:c r="H2370" s="59" t="n">
        <x:v>0</x:v>
      </x:c>
      <x:c r="I2370" s="81" t="n">
        <x:v>0</x:v>
      </x:c>
      <x:c r="J2370" s="79" t="n">
        <x:v>0.000005887677763645721</x:v>
      </x:c>
      <x:c r="K2370" s="81" t="n">
        <x:v>-0.9932712254129763</x:v>
      </x:c>
      <x:c r="L2370" s="81" t="n">
        <x:v>-0.9932712254129763</x:v>
      </x:c>
      <x:c r="M2370" s="80" t="n">
        <x:v>484.9716179175709</x:v>
      </x:c>
      <x:c r="N2370" s="82" t="n">
        <x:v>0.3054221372026832</x:v>
      </x:c>
      <x:c r="O2370" s="82" t="n">
        <x:v>0.20471351168281</x:v>
      </x:c>
      <x:c r="P2370" s="80" t="n">
        <x:v>964.8316771260648</x:v>
      </x:c>
      <x:c r="Q2370" s="81" t="n">
        <x:v>0.016215437717646206</x:v>
      </x:c>
      <x:c r="R2370" s="81" t="n">
        <x:v>70.02742852073683</x:v>
      </x:c>
      <x:c r="S2370" s="81" t="n">
        <x:v>0.8864364755150654</x:v>
      </x:c>
      <x:c r="T2370" s="81" t="n">
        <x:v>0.1275399544515748</x:v>
      </x:c>
    </x:row>
    <x:row r="2371">
      <x:c r="A2371" s="59" t="n">
        <x:v>2368</x:v>
      </x:c>
      <x:c r="B2371" s="193" t="n">
        <x:v>0.45009719468653203</x:v>
      </x:c>
      <x:c r="C2371" s="83" t="n">
        <x:v>0.16556553471756894</x:v>
      </x:c>
      <x:c r="D2371" s="83" t="n">
        <x:v>0.679823672592649</x:v>
      </x:c>
      <x:c r="E2371" s="81" t="n">
        <x:v>0.021547399845716592</x:v>
      </x:c>
      <x:c r="F2371" s="81" t="n">
        <x:v>0.8943658315576614</x:v>
      </x:c>
      <x:c r="G2371" s="81" t="n">
        <x:v>-0.022439836685131234</x:v>
      </x:c>
      <x:c r="H2371" s="59" t="n">
        <x:v>0</x:v>
      </x:c>
      <x:c r="I2371" s="81" t="n">
        <x:v>0</x:v>
      </x:c>
      <x:c r="J2371" s="79" t="n">
        <x:v>0.000023373051987877746</x:v>
      </x:c>
      <x:c r="K2371" s="81" t="n">
        <x:v>-0.9732879405852826</x:v>
      </x:c>
      <x:c r="L2371" s="81" t="n">
        <x:v>-0.9732879405852826</x:v>
      </x:c>
      <x:c r="M2371" s="80" t="n">
        <x:v>1011.0627537748329</x:v>
      </x:c>
      <x:c r="N2371" s="82" t="n">
        <x:v>0.20931534109673242</x:v>
      </x:c>
      <x:c r="O2371" s="82" t="n">
        <x:v>0.17684272589560157</x:v>
      </x:c>
      <x:c r="P2371" s="80" t="n">
        <x:v>1986.803606838942</x:v>
      </x:c>
      <x:c r="Q2371" s="81" t="n">
        <x:v>0.015641560817184222</x:v>
      </x:c>
      <x:c r="R2371" s="81" t="n">
        <x:v>70.48701274189706</x:v>
      </x:c>
      <x:c r="S2371" s="81" t="n">
        <x:v>2.821311410345785</x:v>
      </x:c>
      <x:c r="T2371" s="81" t="n">
        <x:v>0.5063113345527842</x:v>
      </x:c>
    </x:row>
    <x:row r="2372">
      <x:c r="A2372" s="59" t="n">
        <x:v>2369</x:v>
      </x:c>
      <x:c r="B2372" s="193" t="n">
        <x:v>0.7797143878415227</x:v>
      </x:c>
      <x:c r="C2372" s="83" t="n">
        <x:v>1.2234564915907178</x:v>
      </x:c>
      <x:c r="D2372" s="83" t="n">
        <x:v>0.882595764090379</x:v>
      </x:c>
      <x:c r="E2372" s="81" t="n">
        <x:v>-0.0276419298793143</x:v>
      </x:c>
      <x:c r="F2372" s="81" t="n">
        <x:v>0.47188999545760457</x:v>
      </x:c>
      <x:c r="G2372" s="81" t="n">
        <x:v>0.013119825800905047</x:v>
      </x:c>
      <x:c r="H2372" s="59" t="n">
        <x:v>0</x:v>
      </x:c>
      <x:c r="I2372" s="81" t="n">
        <x:v>0</x:v>
      </x:c>
      <x:c r="J2372" s="79" t="n">
        <x:v>1.9836180880919667e-20</x:v>
      </x:c>
      <x:c r="K2372" s="81" t="n">
        <x:v>-1</x:v>
      </x:c>
      <x:c r="L2372" s="81" t="n">
        <x:v>-1</x:v>
      </x:c>
      <x:c r="M2372" s="80" t="n">
        <x:v>0.000055991011248575896</x:v>
      </x:c>
      <x:c r="N2372" s="82" t="n">
        <x:v>0.2878363368286225</x:v>
      </x:c>
      <x:c r="O2372" s="82" t="n">
        <x:v>0.12830906219882546</x:v>
      </x:c>
      <x:c r="P2372" s="80" t="n">
        <x:v>1069.9488806928778</x:v>
      </x:c>
      <x:c r="Q2372" s="81" t="n">
        <x:v>105998.19571068257</x:v>
      </x:c>
      <x:c r="R2372" s="81" t="n">
        <x:v>5.003389633862619</x:v>
      </x:c>
      <x:c r="S2372" s="81" t="n">
        <x:v>1.2053475173754575e-8</x:v>
      </x:c>
      <x:c r="T2372" s="81" t="n">
        <x:v>4.296949846112409e-16</x:v>
      </x:c>
    </x:row>
    <x:row r="2373">
      <x:c r="A2373" s="59" t="n">
        <x:v>2370</x:v>
      </x:c>
      <x:c r="B2373" s="193" t="n">
        <x:v>0.6666101748123765</x:v>
      </x:c>
      <x:c r="C2373" s="83" t="n">
        <x:v>0.2358095752140446</x:v>
      </x:c>
      <x:c r="D2373" s="83" t="n">
        <x:v>0.7275864296895438</x:v>
      </x:c>
      <x:c r="E2373" s="81" t="n">
        <x:v>-0.002631002149976576</x:v>
      </x:c>
      <x:c r="F2373" s="81" t="n">
        <x:v>0.26891726959729567</x:v>
      </x:c>
      <x:c r="G2373" s="81" t="n">
        <x:v>-0.004521525706057219</x:v>
      </x:c>
      <x:c r="H2373" s="59" t="n">
        <x:v>0</x:v>
      </x:c>
      <x:c r="I2373" s="81" t="n">
        <x:v>0</x:v>
      </x:c>
      <x:c r="J2373" s="79" t="n">
        <x:v>5.06671199777186e-7</x:v>
      </x:c>
      <x:c r="K2373" s="81" t="n">
        <x:v>-0.9994209472002547</x:v>
      </x:c>
      <x:c r="L2373" s="81" t="n">
        <x:v>-0.9994209472002547</x:v>
      </x:c>
      <x:c r="M2373" s="80" t="n">
        <x:v>150.35502308579856</x:v>
      </x:c>
      <x:c r="N2373" s="82" t="n">
        <x:v>0.26089279258108566</x:v>
      </x:c>
      <x:c r="O2373" s="82" t="n">
        <x:v>0.06627530215211172</x:v>
      </x:c>
      <x:c r="P2373" s="80" t="n">
        <x:v>1575.0326697509283</x:v>
      </x:c>
      <x:c r="Q2373" s="81" t="n">
        <x:v>0.06095968790786432</x:v>
      </x:c>
      <x:c r="R2373" s="81" t="n">
        <x:v>48.317781483928634</x:v>
      </x:c>
      <x:c r="S2373" s="81" t="n">
        <x:v>0.07679505239134277</x:v>
      </x:c>
      <x:c r="T2373" s="81" t="n">
        <x:v>0.010975604361454228</x:v>
      </x:c>
    </x:row>
    <x:row r="2374">
      <x:c r="A2374" s="59" t="n">
        <x:v>2371</x:v>
      </x:c>
      <x:c r="B2374" s="193" t="n">
        <x:v>0.592464647628367</x:v>
      </x:c>
      <x:c r="C2374" s="83" t="n">
        <x:v>0.3288502902489731</x:v>
      </x:c>
      <x:c r="D2374" s="83" t="n">
        <x:v>0.5376291339180933</x:v>
      </x:c>
      <x:c r="E2374" s="81" t="n">
        <x:v>-0.07173637454218855</x:v>
      </x:c>
      <x:c r="F2374" s="81" t="n">
        <x:v>0.8964400534983724</x:v>
      </x:c>
      <x:c r="G2374" s="81" t="n">
        <x:v>0.048000335966174125</x:v>
      </x:c>
      <x:c r="H2374" s="59" t="n">
        <x:v>0</x:v>
      </x:c>
      <x:c r="I2374" s="81" t="n">
        <x:v>0</x:v>
      </x:c>
      <x:c r="J2374" s="79" t="n">
        <x:v>3.4636703970494044e-29</x:v>
      </x:c>
      <x:c r="K2374" s="81" t="n">
        <x:v>-1</x:v>
      </x:c>
      <x:c r="L2374" s="81" t="n">
        <x:v>-1</x:v>
      </x:c>
      <x:c r="M2374" s="80" t="n">
        <x:v>0.000002</x:v>
      </x:c>
      <x:c r="N2374" s="82" t="n">
        <x:v>0.24322993777722</x:v>
      </x:c>
      <x:c r="O2374" s="82" t="n">
        <x:v>0.2059724919865187</x:v>
      </x:c>
      <x:c r="P2374" s="80" t="n">
        <x:v>241.9153324050743</x:v>
      </x:c>
      <x:c r="Q2374" s="81" t="n">
        <x:v>871378399023.8995</x:v>
      </x:c>
      <x:c r="R2374" s="81" t="n">
        <x:v>9.102815386987809</x:v>
      </x:c>
      <x:c r="S2374" s="81" t="n">
        <x:v>6.269623741016517e-10</x:v>
      </x:c>
      <x:c r="T2374" s="81" t="n">
        <x:v>7.50306627517278e-25</x:v>
      </x:c>
    </x:row>
    <x:row r="2375">
      <x:c r="A2375" s="59" t="n">
        <x:v>2372</x:v>
      </x:c>
      <x:c r="B2375" s="193" t="n">
        <x:v>0.35715847015380864</x:v>
      </x:c>
      <x:c r="C2375" s="83" t="n">
        <x:v>0.5575563189269565</x:v>
      </x:c>
      <x:c r="D2375" s="83" t="n">
        <x:v>0.4696551007806521</x:v>
      </x:c>
      <x:c r="E2375" s="81" t="n">
        <x:v>0.04274488610653975</x:v>
      </x:c>
      <x:c r="F2375" s="81" t="n">
        <x:v>0.6813484457321466</x:v>
      </x:c>
      <x:c r="G2375" s="81" t="n">
        <x:v>-0.002536233902836002</x:v>
      </x:c>
      <x:c r="H2375" s="59" t="n">
        <x:v>0</x:v>
      </x:c>
      <x:c r="I2375" s="81" t="n">
        <x:v>0</x:v>
      </x:c>
      <x:c r="J2375" s="79" t="n">
        <x:v>0.00026917543542013834</x:v>
      </x:c>
      <x:c r="K2375" s="81" t="n">
        <x:v>-0.6923709309484133</x:v>
      </x:c>
      <x:c r="L2375" s="81" t="n">
        <x:v>-0.8208390692542004</x:v>
      </x:c>
      <x:c r="M2375" s="80" t="n">
        <x:v>4701.063477695634</x:v>
      </x:c>
      <x:c r="N2375" s="82" t="n">
        <x:v>0.18717559431195252</x:v>
      </x:c>
      <x:c r="O2375" s="82" t="n">
        <x:v>0.12047291870860687</x:v>
      </x:c>
      <x:c r="P2375" s="80" t="n">
        <x:v>5012.6566705734485</x:v>
      </x:c>
      <x:c r="Q2375" s="81" t="n">
        <x:v>0.005957042748029758</x:v>
      </x:c>
      <x:c r="R2375" s="81" t="n">
        <x:v>42.61272831598013</x:v>
      </x:c>
      <x:c r="S2375" s="81" t="n">
        <x:v>9.589761353560691</x:v>
      </x:c>
      <x:c r="T2375" s="81" t="n">
        <x:v>5.830927600173098</x:v>
      </x:c>
    </x:row>
    <x:row r="2376">
      <x:c r="A2376" s="59" t="n">
        <x:v>2373</x:v>
      </x:c>
      <x:c r="B2376" s="193" t="n">
        <x:v>0.42414531484246254</x:v>
      </x:c>
      <x:c r="C2376" s="83" t="n">
        <x:v>2.005293059148499</x:v>
      </x:c>
      <x:c r="D2376" s="83" t="n">
        <x:v>0.6092868580838156</x:v>
      </x:c>
      <x:c r="E2376" s="81" t="n">
        <x:v>-0.0026197562043020857</x:v>
      </x:c>
      <x:c r="F2376" s="81" t="n">
        <x:v>0.5689033733913675</x:v>
      </x:c>
      <x:c r="G2376" s="81" t="n">
        <x:v>-0.018395060747327826</x:v>
      </x:c>
      <x:c r="H2376" s="59" t="n">
        <x:v>0</x:v>
      </x:c>
      <x:c r="I2376" s="81" t="n">
        <x:v>0</x:v>
      </x:c>
      <x:c r="J2376" s="79" t="n">
        <x:v>0.0000015325551085176203</x:v>
      </x:c>
      <x:c r="K2376" s="81" t="n">
        <x:v>-0.9982485084474084</x:v>
      </x:c>
      <x:c r="L2376" s="81" t="n">
        <x:v>-0.9982485084474084</x:v>
      </x:c>
      <x:c r="M2376" s="80" t="n">
        <x:v>634.8699801759927</x:v>
      </x:c>
      <x:c r="N2376" s="82" t="n">
        <x:v>0.20313311672012793</x:v>
      </x:c>
      <x:c r="O2376" s="82" t="n">
        <x:v>0.10916670016783933</x:v>
      </x:c>
      <x:c r="P2376" s="80" t="n">
        <x:v>3880.0250769233526</x:v>
      </x:c>
      <x:c r="Q2376" s="81" t="n">
        <x:v>0.06988002014321588</x:v>
      </x:c>
      <x:c r="R2376" s="81" t="n">
        <x:v>7.415359256380774</x:v>
      </x:c>
      <x:c r="S2376" s="81" t="n">
        <x:v>0.05940929038936979</x:v>
      </x:c>
      <x:c r="T2376" s="81" t="n">
        <x:v>0.03319848955419617</x:v>
      </x:c>
    </x:row>
    <x:row r="2377">
      <x:c r="A2377" s="59" t="n">
        <x:v>2374</x:v>
      </x:c>
      <x:c r="B2377" s="193" t="n">
        <x:v>0.48182251248508695</x:v>
      </x:c>
      <x:c r="C2377" s="83" t="n">
        <x:v>2.5109283710994856</x:v>
      </x:c>
      <x:c r="D2377" s="83" t="n">
        <x:v>0.4192507964051707</x:v>
      </x:c>
      <x:c r="E2377" s="81" t="n">
        <x:v>-0.08635224115450538</x:v>
      </x:c>
      <x:c r="F2377" s="81" t="n">
        <x:v>0.297286918584723</x:v>
      </x:c>
      <x:c r="G2377" s="81" t="n">
        <x:v>-0.05</x:v>
      </x:c>
      <x:c r="H2377" s="59" t="n">
        <x:v>68</x:v>
      </x:c>
      <x:c r="I2377" s="81" t="n">
        <x:v>0.3122242988087237</x:v>
      </x:c>
      <x:c r="J2377" s="79" t="n">
        <x:v>2.268404392960108e-20</x:v>
      </x:c>
      <x:c r="K2377" s="81" t="n">
        <x:v>-1</x:v>
      </x:c>
      <x:c r="L2377" s="81" t="n">
        <x:v>-1</x:v>
      </x:c>
      <x:c r="M2377" s="80" t="n">
        <x:v>0.0000945235649789785</x:v>
      </x:c>
      <x:c r="N2377" s="82" t="n">
        <x:v>0.21687290664605666</x:v>
      </x:c>
      <x:c r="O2377" s="82" t="n">
        <x:v>0.060904872940987634</x:v>
      </x:c>
      <x:c r="P2377" s="80" t="n">
        <x:v>636.3720037049234</x:v>
      </x:c>
      <x:c r="Q2377" s="81" t="n">
        <x:v>52951.88885380055</x:v>
      </x:c>
      <x:c r="R2377" s="81" t="n">
        <x:v>2.0273145125796757</x:v>
      </x:c>
      <x:c r="S2377" s="81" t="n">
        <x:v>2.7504470636100415e-9</x:v>
      </x:c>
      <x:c r="T2377" s="81" t="n">
        <x:v>4.91385915754905e-16</x:v>
      </x:c>
    </x:row>
    <x:row r="2378">
      <x:c r="A2378" s="59" t="n">
        <x:v>2375</x:v>
      </x:c>
      <x:c r="B2378" s="193" t="n">
        <x:v>0.8044984692707657</x:v>
      </x:c>
      <x:c r="C2378" s="83" t="n">
        <x:v>0.20426732257363844</x:v>
      </x:c>
      <x:c r="D2378" s="83" t="n">
        <x:v>2.0855905681617037</x:v>
      </x:c>
      <x:c r="E2378" s="81" t="n">
        <x:v>-0.07647380765614185</x:v>
      </x:c>
      <x:c r="F2378" s="81" t="n">
        <x:v>0.6680706280050799</x:v>
      </x:c>
      <x:c r="G2378" s="81" t="n">
        <x:v>-0.033754210489019595</x:v>
      </x:c>
      <x:c r="H2378" s="59" t="n">
        <x:v>0</x:v>
      </x:c>
      <x:c r="I2378" s="81" t="n">
        <x:v>0</x:v>
      </x:c>
      <x:c r="J2378" s="79" t="n">
        <x:v>7.546874423112346e-50</x:v>
      </x:c>
      <x:c r="K2378" s="81" t="n">
        <x:v>-1</x:v>
      </x:c>
      <x:c r="L2378" s="81" t="n">
        <x:v>-1</x:v>
      </x:c>
      <x:c r="M2378" s="80" t="n">
        <x:v>0.000002</x:v>
      </x:c>
      <x:c r="N2378" s="82" t="n">
        <x:v>0.29374036972659523</x:v>
      </x:c>
      <x:c r="O2378" s="82" t="n">
        <x:v>0.18537747280771064</x:v>
      </x:c>
      <x:c r="P2378" s="80" t="n">
        <x:v>299.61932250172447</x:v>
      </x:c>
      <x:c r="Q2378" s="81" t="n">
        <x:v>3.768065385573582e+32</x:v>
      </x:c>
      <x:c r="R2378" s="81" t="n">
        <x:v>4.540088401177366</x:v>
      </x:c>
      <x:c r="S2378" s="81" t="n">
        <x:v>9.990247189578592e-10</x:v>
      </x:c>
      <x:c r="T2378" s="81" t="n">
        <x:v>1.634817764855892e-45</x:v>
      </x:c>
    </x:row>
    <x:row r="2379">
      <x:c r="A2379" s="59" t="n">
        <x:v>2376</x:v>
      </x:c>
      <x:c r="B2379" s="193" t="n">
        <x:v>0.5236596837639809</x:v>
      </x:c>
      <x:c r="C2379" s="83" t="n">
        <x:v>0.7402569548090486</x:v>
      </x:c>
      <x:c r="D2379" s="83" t="n">
        <x:v>1.5422196399669386</x:v>
      </x:c>
      <x:c r="E2379" s="81" t="n">
        <x:v>-0.014221977355314858</x:v>
      </x:c>
      <x:c r="F2379" s="81" t="n">
        <x:v>0.8627906564506702</x:v>
      </x:c>
      <x:c r="G2379" s="81" t="n">
        <x:v>0.0007875576243659894</x:v>
      </x:c>
      <x:c r="H2379" s="59" t="n">
        <x:v>0</x:v>
      </x:c>
      <x:c r="I2379" s="81" t="n">
        <x:v>0</x:v>
      </x:c>
      <x:c r="J2379" s="79" t="n">
        <x:v>4.1686436630659614e-18</x:v>
      </x:c>
      <x:c r="K2379" s="81" t="n">
        <x:v>-0.9999999999999952</x:v>
      </x:c>
      <x:c r="L2379" s="81" t="n">
        <x:v>-0.9999999999999952</x:v>
      </x:c>
      <x:c r="M2379" s="80" t="n">
        <x:v>0.0006304327161289272</x:v>
      </x:c>
      <x:c r="N2379" s="82" t="n">
        <x:v>0.22683930529165083</x:v>
      </x:c>
      <x:c r="O2379" s="82" t="n">
        <x:v>0.18488202261708372</x:v>
      </x:c>
      <x:c r="P2379" s="80" t="n">
        <x:v>1393.3361107917683</x:v>
      </x:c>
      <x:c r="Q2379" s="81" t="n">
        <x:v>10893.833989558594</x:v>
      </x:c>
      <x:c r="R2379" s="81" t="n">
        <x:v>7.788561825275974</x:v>
      </x:c>
      <x:c r="S2379" s="81" t="n">
        <x:v>2.5789452110250605e-7</x:v>
      </x:c>
      <x:c r="T2379" s="81" t="n">
        <x:v>9.030192280480087e-14</x:v>
      </x:c>
    </x:row>
    <x:row r="2380">
      <x:c r="A2380" s="59" t="n">
        <x:v>2377</x:v>
      </x:c>
      <x:c r="B2380" s="193" t="n">
        <x:v>0.5630926175042987</x:v>
      </x:c>
      <x:c r="C2380" s="83" t="n">
        <x:v>1.7237890200467418</x:v>
      </x:c>
      <x:c r="D2380" s="83" t="n">
        <x:v>0.25653050427555557</x:v>
      </x:c>
      <x:c r="E2380" s="81" t="n">
        <x:v>0.003406699494691257</x:v>
      </x:c>
      <x:c r="F2380" s="81" t="n">
        <x:v>0.554964865965303</x:v>
      </x:c>
      <x:c r="G2380" s="81" t="n">
        <x:v>-0.03090216448378616</x:v>
      </x:c>
      <x:c r="H2380" s="59" t="n">
        <x:v>0</x:v>
      </x:c>
      <x:c r="I2380" s="81" t="n">
        <x:v>0</x:v>
      </x:c>
      <x:c r="J2380" s="79" t="n">
        <x:v>0.000005102828591053696</x:v>
      </x:c>
      <x:c r="K2380" s="81" t="n">
        <x:v>-0.9941681958959386</x:v>
      </x:c>
      <x:c r="L2380" s="81" t="n">
        <x:v>-0.9941681958959386</x:v>
      </x:c>
      <x:c r="M2380" s="80" t="n">
        <x:v>1051.3712029352948</x:v>
      </x:c>
      <x:c r="N2380" s="82" t="n">
        <x:v>0.23623296947610212</x:v>
      </x:c>
      <x:c r="O2380" s="82" t="n">
        <x:v>0.12384456167941581</x:v>
      </x:c>
      <x:c r="P2380" s="80" t="n">
        <x:v>1623.6436415663636</x:v>
      </x:c>
      <x:c r="Q2380" s="81" t="n">
        <x:v>0.017234194082238082</x:v>
      </x:c>
      <x:c r="R2380" s="81" t="n">
        <x:v>8.161449575283532</x:v>
      </x:c>
      <x:c r="S2380" s="81" t="n">
        <x:v>0.08489888902048498</x:v>
      </x:c>
      <x:c r="T2380" s="81" t="n">
        <x:v>0.11053840787546597</x:v>
      </x:c>
    </x:row>
    <x:row r="2381">
      <x:c r="A2381" s="59" t="n">
        <x:v>2378</x:v>
      </x:c>
      <x:c r="B2381" s="193" t="n">
        <x:v>0.4732947601005435</x:v>
      </x:c>
      <x:c r="C2381" s="83" t="n">
        <x:v>1.9740941969424737</x:v>
      </x:c>
      <x:c r="D2381" s="83" t="n">
        <x:v>0.40212991592361425</x:v>
      </x:c>
      <x:c r="E2381" s="81" t="n">
        <x:v>-0.10198810307402184</x:v>
      </x:c>
      <x:c r="F2381" s="81" t="n">
        <x:v>0.6597235447261482</x:v>
      </x:c>
      <x:c r="G2381" s="81" t="n">
        <x:v>-0.013891457779974524</x:v>
      </x:c>
      <x:c r="H2381" s="59" t="n">
        <x:v>0</x:v>
      </x:c>
      <x:c r="I2381" s="81" t="n">
        <x:v>0</x:v>
      </x:c>
      <x:c r="J2381" s="79" t="n">
        <x:v>3.163549599811309e-25</x:v>
      </x:c>
      <x:c r="K2381" s="81" t="n">
        <x:v>-1</x:v>
      </x:c>
      <x:c r="L2381" s="81" t="n">
        <x:v>-1</x:v>
      </x:c>
      <x:c r="M2381" s="80" t="n">
        <x:v>0.000002</x:v>
      </x:c>
      <x:c r="N2381" s="82" t="n">
        <x:v>0.21484143613270118</x:v>
      </x:c>
      <x:c r="O2381" s="82" t="n">
        <x:v>0.13389087274628386</x:v>
      </x:c>
      <x:c r="P2381" s="80" t="n">
        <x:v>444.85801659064066</x:v>
      </x:c>
      <x:c r="Q2381" s="81" t="n">
        <x:v>68999754.39201637</x:v>
      </x:c>
      <x:c r="R2381" s="81" t="n">
        <x:v>2.0613352162195793</x:v>
      </x:c>
      <x:c r="S2381" s="81" t="n">
        <x:v>9.990791004949005e-11</x:v>
      </x:c>
      <x:c r="T2381" s="81" t="n">
        <x:v>6.852939105407035e-21</x:v>
      </x:c>
    </x:row>
    <x:row r="2382">
      <x:c r="A2382" s="59" t="n">
        <x:v>2379</x:v>
      </x:c>
      <x:c r="B2382" s="193" t="n">
        <x:v>0.8484465561807155</x:v>
      </x:c>
      <x:c r="C2382" s="83" t="n">
        <x:v>0.27746601314954483</x:v>
      </x:c>
      <x:c r="D2382" s="83" t="n">
        <x:v>0.7818550987938272</x:v>
      </x:c>
      <x:c r="E2382" s="81" t="n">
        <x:v>0.1658187563211198</x:v>
      </x:c>
      <x:c r="F2382" s="81" t="n">
        <x:v>0.5145138349849732</x:v>
      </x:c>
      <x:c r="G2382" s="81" t="n">
        <x:v>-0.022841284838234846</x:v>
      </x:c>
      <x:c r="H2382" s="59" t="n">
        <x:v>0</x:v>
      </x:c>
      <x:c r="I2382" s="81" t="n">
        <x:v>0</x:v>
      </x:c>
      <x:c r="J2382" s="79" t="n">
        <x:v>0.0044289013627179605</x:v>
      </x:c>
      <x:c r="K2382" s="81" t="n">
        <x:v>4.061601557391955</x:v>
      </x:c>
      <x:c r="L2382" s="81" t="n">
        <x:v>-0.8181172617428464</x:v>
      </x:c>
      <x:c r="M2382" s="80" t="n">
        <x:v>21435.85261444682</x:v>
      </x:c>
      <x:c r="N2382" s="82" t="n">
        <x:v>0.30420962805517476</x:v>
      </x:c>
      <x:c r="O2382" s="82" t="n">
        <x:v>0.14785668132354604</x:v>
      </x:c>
      <x:c r="P2382" s="80" t="n">
        <x:v>27486.888779401062</x:v>
      </x:c>
      <x:c r="Q2382" s="81" t="n">
        <x:v>0.0024517939322628436</x:v>
      </x:c>
      <x:c r="R2382" s="81" t="n">
        <x:v>755.9266006426197</x:v>
      </x:c>
      <x:c r="S2382" s="81" t="n">
        <x:v>301.30338102267996</x:v>
      </x:c>
      <x:c r="T2382" s="81" t="n">
        <x:v>95.93967277886433</x:v>
      </x:c>
    </x:row>
    <x:row r="2383">
      <x:c r="A2383" s="59" t="n">
        <x:v>2380</x:v>
      </x:c>
      <x:c r="B2383" s="193" t="n">
        <x:v>0.2194494916126132</x:v>
      </x:c>
      <x:c r="C2383" s="83" t="n">
        <x:v>1.787839574168125</x:v>
      </x:c>
      <x:c r="D2383" s="83" t="n">
        <x:v>0.6164874938277133</x:v>
      </x:c>
      <x:c r="E2383" s="81" t="n">
        <x:v>-0.015007151768837448</x:v>
      </x:c>
      <x:c r="F2383" s="81" t="n">
        <x:v>0.5241003682836891</x:v>
      </x:c>
      <x:c r="G2383" s="81" t="n">
        <x:v>-0.019794851138822775</x:v>
      </x:c>
      <x:c r="H2383" s="59" t="n">
        <x:v>0</x:v>
      </x:c>
      <x:c r="I2383" s="81" t="n">
        <x:v>0</x:v>
      </x:c>
      <x:c r="J2383" s="79" t="n">
        <x:v>1.375966334201236e-9</x:v>
      </x:c>
      <x:c r="K2383" s="81" t="n">
        <x:v>-0.9999984274670466</x:v>
      </x:c>
      <x:c r="L2383" s="81" t="n">
        <x:v>-0.9999984274670466</x:v>
      </x:c>
      <x:c r="M2383" s="80" t="n">
        <x:v>17.831423011179318</x:v>
      </x:c>
      <x:c r="N2383" s="82" t="n">
        <x:v>0.15437073358009235</x:v>
      </x:c>
      <x:c r="O2383" s="82" t="n">
        <x:v>0.0764276268757766</x:v>
      </x:c>
      <x:c r="P2383" s="80" t="n">
        <x:v>2100.9782948970183</x:v>
      </x:c>
      <x:c r="Q2383" s="81" t="n">
        <x:v>0.8741660875251572</x:v>
      </x:c>
      <x:c r="R2383" s="81" t="n">
        <x:v>6.33470778451192</x:v>
      </x:c>
      <x:c r="S2383" s="81" t="n">
        <x:v>0.001387998188141805</x:v>
      </x:c>
      <x:c r="T2383" s="81" t="n">
        <x:v>0.000029806434834888114</x:v>
      </x:c>
    </x:row>
    <x:row r="2384">
      <x:c r="A2384" s="59" t="n">
        <x:v>2381</x:v>
      </x:c>
      <x:c r="B2384" s="193" t="n">
        <x:v>0.5793621009215713</x:v>
      </x:c>
      <x:c r="C2384" s="83" t="n">
        <x:v>0.2393020126907807</x:v>
      </x:c>
      <x:c r="D2384" s="83" t="n">
        <x:v>0.35202667122801556</x:v>
      </x:c>
      <x:c r="E2384" s="81" t="n">
        <x:v>-0.1168624639650019</x:v>
      </x:c>
      <x:c r="F2384" s="81" t="n">
        <x:v>0.5689068327192217</x:v>
      </x:c>
      <x:c r="G2384" s="81" t="n">
        <x:v>0.03385299309044832</x:v>
      </x:c>
      <x:c r="H2384" s="59" t="n">
        <x:v>0</x:v>
      </x:c>
      <x:c r="I2384" s="81" t="n">
        <x:v>0</x:v>
      </x:c>
      <x:c r="J2384" s="79" t="n">
        <x:v>1.0279625570686476e-28</x:v>
      </x:c>
      <x:c r="K2384" s="81" t="n">
        <x:v>-1</x:v>
      </x:c>
      <x:c r="L2384" s="81" t="n">
        <x:v>-1</x:v>
      </x:c>
      <x:c r="M2384" s="80" t="n">
        <x:v>0.000002</x:v>
      </x:c>
      <x:c r="N2384" s="82" t="n">
        <x:v>0.2401086654789105</x:v>
      </x:c>
      <x:c r="O2384" s="82" t="n">
        <x:v>0.12903868409866234</x:v>
      </x:c>
      <x:c r="P2384" s="80" t="n">
        <x:v>150.80769463589394</x:v>
      </x:c>
      <x:c r="Q2384" s="81" t="n">
        <x:v>187820140626.06168</x:v>
      </x:c>
      <x:c r="R2384" s="81" t="n">
        <x:v>12.786284406932142</x:v>
      </x:c>
      <x:c r="S2384" s="81" t="n">
        <x:v>3.7309359309362635e-10</x:v>
      </x:c>
      <x:c r="T2384" s="81" t="n">
        <x:v>2.226791325367594e-24</x:v>
      </x:c>
    </x:row>
    <x:row r="2385">
      <x:c r="A2385" s="59" t="n">
        <x:v>2382</x:v>
      </x:c>
      <x:c r="B2385" s="193" t="n">
        <x:v>0.7830625506117941</x:v>
      </x:c>
      <x:c r="C2385" s="83" t="n">
        <x:v>0.10965912294913191</x:v>
      </x:c>
      <x:c r="D2385" s="83" t="n">
        <x:v>0.6666061675247075</x:v>
      </x:c>
      <x:c r="E2385" s="81" t="n">
        <x:v>-0.06491431243923743</x:v>
      </x:c>
      <x:c r="F2385" s="81" t="n">
        <x:v>0.7905612230999396</x:v>
      </x:c>
      <x:c r="G2385" s="81" t="n">
        <x:v>0.0008511361294011449</x:v>
      </x:c>
      <x:c r="H2385" s="59" t="n">
        <x:v>0</x:v>
      </x:c>
      <x:c r="I2385" s="81" t="n">
        <x:v>0</x:v>
      </x:c>
      <x:c r="J2385" s="79" t="n">
        <x:v>1.0972497902196083e-26</x:v>
      </x:c>
      <x:c r="K2385" s="81" t="n">
        <x:v>-1</x:v>
      </x:c>
      <x:c r="L2385" s="81" t="n">
        <x:v>-1</x:v>
      </x:c>
      <x:c r="M2385" s="80" t="n">
        <x:v>0.000002</x:v>
      </x:c>
      <x:c r="N2385" s="82" t="n">
        <x:v>0.28863393197855314</x:v>
      </x:c>
      <x:c r="O2385" s="82" t="n">
        <x:v>0.21555288305184597</x:v>
      </x:c>
      <x:c r="P2385" s="80" t="n">
        <x:v>220.86024228938211</x:v>
      </x:c>
      <x:c r="Q2385" s="81" t="n">
        <x:v>3020393292.082456</x:v>
      </x:c>
      <x:c r="R2385" s="81" t="n">
        <x:v>23.114904586528795</x:v>
      </x:c>
      <x:c r="S2385" s="81" t="n">
        <x:v>5.317154316892726e-10</x:v>
      </x:c>
      <x:c r="T2385" s="81" t="n">
        <x:v>2.3768825992941966e-22</x:v>
      </x:c>
    </x:row>
    <x:row r="2386">
      <x:c r="A2386" s="59" t="n">
        <x:v>2383</x:v>
      </x:c>
      <x:c r="B2386" s="193" t="n">
        <x:v>0.9012397259473801</x:v>
      </x:c>
      <x:c r="C2386" s="83" t="n">
        <x:v>2.0951233556361832</x:v>
      </x:c>
      <x:c r="D2386" s="83" t="n">
        <x:v>0.6460866152594098</x:v>
      </x:c>
      <x:c r="E2386" s="81" t="n">
        <x:v>0.06018918456433837</x:v>
      </x:c>
      <x:c r="F2386" s="81" t="n">
        <x:v>0.6408185395644979</x:v>
      </x:c>
      <x:c r="G2386" s="81" t="n">
        <x:v>-0.01725306408561354</x:v>
      </x:c>
      <x:c r="H2386" s="59" t="n">
        <x:v>0</x:v>
      </x:c>
      <x:c r="I2386" s="81" t="n">
        <x:v>0</x:v>
      </x:c>
      <x:c r="J2386" s="79" t="n">
        <x:v>0.0012044139529582727</x:v>
      </x:c>
      <x:c r="K2386" s="81" t="n">
        <x:v>0.37647308909516886</x:v>
      </x:c>
      <x:c r="L2386" s="81" t="n">
        <x:v>-0.702671436951311</x:v>
      </x:c>
      <x:c r="M2386" s="80" t="n">
        <x:v>20934.459912363396</x:v>
      </x:c>
      <x:c r="N2386" s="82" t="n">
        <x:v>0.3167859509655274</x:v>
      </x:c>
      <x:c r="O2386" s="82" t="n">
        <x:v>0.19176613828282893</x:v>
      </x:c>
      <x:c r="P2386" s="80" t="n">
        <x:v>26955.018073662726</x:v>
      </x:c>
      <x:c r="Q2386" s="81" t="n">
        <x:v>0.0072572965965760775</x:v>
      </x:c>
      <x:c r="R2386" s="81" t="n">
        <x:v>30.360019599355326</x:v>
      </x:c>
      <x:c r="S2386" s="81" t="n">
        <x:v>12.308741067162616</x:v>
      </x:c>
      <x:c r="T2386" s="81" t="n">
        <x:v>26.09023572071674</x:v>
      </x:c>
    </x:row>
    <x:row r="2387">
      <x:c r="A2387" s="59" t="n">
        <x:v>2384</x:v>
      </x:c>
      <x:c r="B2387" s="193" t="n">
        <x:v>0.5109026068821549</x:v>
      </x:c>
      <x:c r="C2387" s="83" t="n">
        <x:v>0.4365672899440946</x:v>
      </x:c>
      <x:c r="D2387" s="83" t="n">
        <x:v>0.6049406970974655</x:v>
      </x:c>
      <x:c r="E2387" s="81" t="n">
        <x:v>-0.0021055358023752673</x:v>
      </x:c>
      <x:c r="F2387" s="81" t="n">
        <x:v>0.8787753248238005</x:v>
      </x:c>
      <x:c r="G2387" s="81" t="n">
        <x:v>0.016486087040282964</x:v>
      </x:c>
      <x:c r="H2387" s="59" t="n">
        <x:v>72</x:v>
      </x:c>
      <x:c r="I2387" s="81" t="n">
        <x:v>0.2818585442379117</x:v>
      </x:c>
      <x:c r="J2387" s="79" t="n">
        <x:v>1.3316917694779082e-7</x:v>
      </x:c>
      <x:c r="K2387" s="81" t="n">
        <x:v>-0.9998478066549168</x:v>
      </x:c>
      <x:c r="L2387" s="81" t="n">
        <x:v>-0.9998478066549168</x:v>
      </x:c>
      <x:c r="M2387" s="80" t="n">
        <x:v>89.77972536116515</x:v>
      </x:c>
      <x:c r="N2387" s="82" t="n">
        <x:v>0.22380033038320812</x:v>
      </x:c>
      <x:c r="O2387" s="82" t="n">
        <x:v>0.18578451754966555</x:v>
      </x:c>
      <x:c r="P2387" s="80" t="n">
        <x:v>1035.3217931479585</x:v>
      </x:c>
      <x:c r="Q2387" s="81" t="n">
        <x:v>0.1410781996839051</x:v>
      </x:c>
      <x:c r="R2387" s="81" t="n">
        <x:v>18.56032658191407</x:v>
      </x:c>
      <x:c r="S2387" s="81" t="n">
        <x:v>0.025979972110132265</x:v>
      </x:c>
      <x:c r="T2387" s="81" t="n">
        <x:v>0.0028847351101902023</x:v>
      </x:c>
    </x:row>
    <x:row r="2388">
      <x:c r="A2388" s="59" t="n">
        <x:v>2385</x:v>
      </x:c>
      <x:c r="B2388" s="193" t="n">
        <x:v>0.5716019490733744</x:v>
      </x:c>
      <x:c r="C2388" s="83" t="n">
        <x:v>0.3394690915510487</x:v>
      </x:c>
      <x:c r="D2388" s="83" t="n">
        <x:v>0.3236514688329724</x:v>
      </x:c>
      <x:c r="E2388" s="81" t="n">
        <x:v>-0.10333998324742971</x:v>
      </x:c>
      <x:c r="F2388" s="81" t="n">
        <x:v>0.2521693310583942</x:v>
      </x:c>
      <x:c r="G2388" s="81" t="n">
        <x:v>0.019555488227313608</x:v>
      </x:c>
      <x:c r="H2388" s="59" t="n">
        <x:v>0</x:v>
      </x:c>
      <x:c r="I2388" s="81" t="n">
        <x:v>0</x:v>
      </x:c>
      <x:c r="J2388" s="79" t="n">
        <x:v>6.642069296583773e-25</x:v>
      </x:c>
      <x:c r="K2388" s="81" t="n">
        <x:v>-1</x:v>
      </x:c>
      <x:c r="L2388" s="81" t="n">
        <x:v>-1</x:v>
      </x:c>
      <x:c r="M2388" s="80" t="n">
        <x:v>0.000002</x:v>
      </x:c>
      <x:c r="N2388" s="82" t="n">
        <x:v>0.23826005180582296</x:v>
      </x:c>
      <x:c r="O2388" s="82" t="n">
        <x:v>0.05675634763223127</x:v>
      </x:c>
      <x:c r="P2388" s="80" t="n">
        <x:v>192.47082692764135</x:v>
      </x:c>
      <x:c r="Q2388" s="81" t="n">
        <x:v>32473744.439356524</x:v>
      </x:c>
      <x:c r="R2388" s="81" t="n">
        <x:v>12.30824892821418</x:v>
      </x:c>
      <x:c r="S2388" s="81" t="n">
        <x:v>2.6790523765573535e-10</x:v>
      </x:c>
      <x:c r="T2388" s="81" t="n">
        <x:v>1.4388172205707557e-20</x:v>
      </x:c>
    </x:row>
    <x:row r="2389">
      <x:c r="A2389" s="59" t="n">
        <x:v>2386</x:v>
      </x:c>
      <x:c r="B2389" s="193" t="n">
        <x:v>0.4796060910448432</x:v>
      </x:c>
      <x:c r="C2389" s="83" t="n">
        <x:v>0.8297852292842711</x:v>
      </x:c>
      <x:c r="D2389" s="83" t="n">
        <x:v>1.8760410211118292</x:v>
      </x:c>
      <x:c r="E2389" s="81" t="n">
        <x:v>0.03601906309830784</x:v>
      </x:c>
      <x:c r="F2389" s="81" t="n">
        <x:v>0.6099326227442361</x:v>
      </x:c>
      <x:c r="G2389" s="81" t="n">
        <x:v>0.010207823181499688</x:v>
      </x:c>
      <x:c r="H2389" s="59" t="n">
        <x:v>0</x:v>
      </x:c>
      <x:c r="I2389" s="81" t="n">
        <x:v>0</x:v>
      </x:c>
      <x:c r="J2389" s="79" t="n">
        <x:v>0.006413066419039869</x:v>
      </x:c>
      <x:c r="K2389" s="81" t="n">
        <x:v>6.329218764616994</x:v>
      </x:c>
      <x:c r="L2389" s="81" t="n">
        <x:v>-0.706578134587202</x:v>
      </x:c>
      <x:c r="M2389" s="80" t="n">
        <x:v>32503.65274963059</x:v>
      </x:c>
      <x:c r="N2389" s="82" t="n">
        <x:v>0.2163449135010888</x:v>
      </x:c>
      <x:c r="O2389" s="82" t="n">
        <x:v>0.12465206955819089</x:v>
      </x:c>
      <x:c r="P2389" s="80" t="n">
        <x:v>104728.05398008885</x:v>
      </x:c>
      <x:c r="Q2389" s="81" t="n">
        <x:v>0.008384572958086648</x:v>
      </x:c>
      <x:c r="R2389" s="81" t="n">
        <x:v>178.92031396633635</x:v>
      </x:c>
      <x:c r="S2389" s="81" t="n">
        <x:v>160.4867403598309</x:v>
      </x:c>
      <x:c r="T2389" s="81" t="n">
        <x:v>138.92101976600048</x:v>
      </x:c>
    </x:row>
    <x:row r="2390">
      <x:c r="A2390" s="59" t="n">
        <x:v>2387</x:v>
      </x:c>
      <x:c r="B2390" s="193" t="n">
        <x:v>0.4707536488771439</x:v>
      </x:c>
      <x:c r="C2390" s="83" t="n">
        <x:v>0.17681702888611006</x:v>
      </x:c>
      <x:c r="D2390" s="83" t="n">
        <x:v>0.8397612851687761</x:v>
      </x:c>
      <x:c r="E2390" s="81" t="n">
        <x:v>-0.12264188401956384</x:v>
      </x:c>
      <x:c r="F2390" s="81" t="n">
        <x:v>0.6852605690015481</x:v>
      </x:c>
      <x:c r="G2390" s="81" t="n">
        <x:v>-0.04474735366035851</x:v>
      </x:c>
      <x:c r="H2390" s="59" t="n">
        <x:v>0</x:v>
      </x:c>
      <x:c r="I2390" s="81" t="n">
        <x:v>0</x:v>
      </x:c>
      <x:c r="J2390" s="79" t="n">
        <x:v>1.9821179615531186e-36</x:v>
      </x:c>
      <x:c r="K2390" s="81" t="n">
        <x:v>-1</x:v>
      </x:c>
      <x:c r="L2390" s="81" t="n">
        <x:v>-1</x:v>
      </x:c>
      <x:c r="M2390" s="80" t="n">
        <x:v>0.000002</x:v>
      </x:c>
      <x:c r="N2390" s="82" t="n">
        <x:v>0.214236095793452</x:v>
      </x:c>
      <x:c r="O2390" s="82" t="n">
        <x:v>0.13868175520456952</x:v>
      </x:c>
      <x:c r="P2390" s="80" t="n">
        <x:v>165.2791747228448</x:v>
      </x:c>
      <x:c r="Q2390" s="81" t="n">
        <x:v>9329701127555604000</x:v>
      </x:c>
      <x:c r="R2390" s="81" t="n">
        <x:v>7.660985323646476</x:v>
      </x:c>
      <x:c r="S2390" s="81" t="n">
        <x:v>3.581429278318087e-10</x:v>
      </x:c>
      <x:c r="T2390" s="81" t="n">
        <x:v>4.2937002445187614e-32</x:v>
      </x:c>
    </x:row>
    <x:row r="2391">
      <x:c r="A2391" s="59" t="n">
        <x:v>2388</x:v>
      </x:c>
      <x:c r="B2391" s="193" t="n">
        <x:v>0.9848684627562763</x:v>
      </x:c>
      <x:c r="C2391" s="83" t="n">
        <x:v>0.1129766073978463</x:v>
      </x:c>
      <x:c r="D2391" s="83" t="n">
        <x:v>1.7674122418658336</x:v>
      </x:c>
      <x:c r="E2391" s="81" t="n">
        <x:v>-0.0560862748074866</x:v>
      </x:c>
      <x:c r="F2391" s="81" t="n">
        <x:v>0.8876630543731153</x:v>
      </x:c>
      <x:c r="G2391" s="81" t="n">
        <x:v>-0.012488100420927545</x:v>
      </x:c>
      <x:c r="H2391" s="59" t="n">
        <x:v>0</x:v>
      </x:c>
      <x:c r="I2391" s="81" t="n">
        <x:v>0</x:v>
      </x:c>
      <x:c r="J2391" s="79" t="n">
        <x:v>5.069845450630068e-40</x:v>
      </x:c>
      <x:c r="K2391" s="81" t="n">
        <x:v>-1</x:v>
      </x:c>
      <x:c r="L2391" s="81" t="n">
        <x:v>-1</x:v>
      </x:c>
      <x:c r="M2391" s="80" t="n">
        <x:v>0.000002</x:v>
      </x:c>
      <x:c r="N2391" s="82" t="n">
        <x:v>0.3367078841122215</x:v>
      </x:c>
      <x:c r="O2391" s="82" t="n">
        <x:v>0.2823399749670519</x:v>
      </x:c>
      <x:c r="P2391" s="80" t="n">
        <x:v>316.5857299236949</x:v>
      </x:c>
      <x:c r="Q2391" s="81" t="n">
        <x:v>7.5031371232418546e+22</x:v>
      </x:c>
      <x:c r="R2391" s="81" t="n">
        <x:v>11.229909086672583</x:v>
      </x:c>
      <x:c r="S2391" s="81" t="n">
        <x:v>1.1938626607238719e-9</x:v>
      </x:c>
      <x:c r="T2391" s="81" t="n">
        <x:v>1.0982392104446545e-35</x:v>
      </x:c>
    </x:row>
    <x:row r="2392">
      <x:c r="A2392" s="59" t="n">
        <x:v>2389</x:v>
      </x:c>
      <x:c r="B2392" s="193" t="n">
        <x:v>0.9411755427718163</x:v>
      </x:c>
      <x:c r="C2392" s="83" t="n">
        <x:v>0.5562802543855108</x:v>
      </x:c>
      <x:c r="D2392" s="83" t="n">
        <x:v>1.1306395184348867</x:v>
      </x:c>
      <x:c r="E2392" s="81" t="n">
        <x:v>-0.13276659956648604</x:v>
      </x:c>
      <x:c r="F2392" s="81" t="n">
        <x:v>0.5098862206214108</x:v>
      </x:c>
      <x:c r="G2392" s="81" t="n">
        <x:v>0.01893819125807525</x:v>
      </x:c>
      <x:c r="H2392" s="59" t="n">
        <x:v>76</x:v>
      </x:c>
      <x:c r="I2392" s="81" t="n">
        <x:v>0.12832332430407406</x:v>
      </x:c>
      <x:c r="J2392" s="79" t="n">
        <x:v>2.5966460808947108e-59</x:v>
      </x:c>
      <x:c r="K2392" s="81" t="n">
        <x:v>-1</x:v>
      </x:c>
      <x:c r="L2392" s="81" t="n">
        <x:v>-1</x:v>
      </x:c>
      <x:c r="M2392" s="80" t="n">
        <x:v>0.000002</x:v>
      </x:c>
      <x:c r="N2392" s="82" t="n">
        <x:v>0.3262994113296737</x:v>
      </x:c>
      <x:c r="O2392" s="82" t="n">
        <x:v>0.15716669031636124</x:v>
      </x:c>
      <x:c r="P2392" s="80" t="n">
        <x:v>223.72723288923146</x:v>
      </x:c>
      <x:c r="Q2392" s="81" t="n">
        <x:v>6.637944913057611e+41</x:v>
      </x:c>
      <x:c r="R2392" s="81" t="n">
        <x:v>1.9366775279548003</x:v>
      </x:c>
      <x:c r="S2392" s="81" t="n">
        <x:v>7.995995104427744e-10</x:v>
      </x:c>
      <x:c r="T2392" s="81" t="n">
        <x:v>5.624902315970217e-55</x:v>
      </x:c>
    </x:row>
    <x:row r="2393">
      <x:c r="A2393" s="59" t="n">
        <x:v>2390</x:v>
      </x:c>
      <x:c r="B2393" s="193" t="n">
        <x:v>0.5457672372460365</x:v>
      </x:c>
      <x:c r="C2393" s="83" t="n">
        <x:v>0.15340088260958418</x:v>
      </x:c>
      <x:c r="D2393" s="83" t="n">
        <x:v>1.4885198120336223</x:v>
      </x:c>
      <x:c r="E2393" s="81" t="n">
        <x:v>0.03481578879520705</x:v>
      </x:c>
      <x:c r="F2393" s="81" t="n">
        <x:v>0.3622534929541871</x:v>
      </x:c>
      <x:c r="G2393" s="81" t="n">
        <x:v>0.03426854424029225</x:v>
      </x:c>
      <x:c r="H2393" s="59" t="n">
        <x:v>40</x:v>
      </x:c>
      <x:c r="I2393" s="81" t="n">
        <x:v>0.19197824578732253</x:v>
      </x:c>
      <x:c r="J2393" s="79" t="n">
        <x:v>0.0061108005638650115</x:v>
      </x:c>
      <x:c r="K2393" s="81" t="n">
        <x:v>5.983772072988585</x:v>
      </x:c>
      <x:c r="L2393" s="81" t="n">
        <x:v>-0.8015991963243772</x:v>
      </x:c>
      <x:c r="M2393" s="80" t="n">
        <x:v>19463.35927674985</x:v>
      </x:c>
      <x:c r="N2393" s="82" t="n">
        <x:v>0.23210573904770426</x:v>
      </x:c>
      <x:c r="O2393" s="82" t="n">
        <x:v>0.0794272273725406</x:v>
      </x:c>
      <x:c r="P2393" s="80" t="n">
        <x:v>52943.28981206834</x:v>
      </x:c>
      <x:c r="Q2393" s="81" t="n">
        <x:v>0.005543383427713508</x:v>
      </x:c>
      <x:c r="R2393" s="81" t="n">
        <x:v>569.8709616388974</x:v>
      </x:c>
      <x:c r="S2393" s="81" t="n">
        <x:v>756.6638829278352</x:v>
      </x:c>
      <x:c r="T2393" s="81" t="n">
        <x:v>132.37328143030112</x:v>
      </x:c>
    </x:row>
    <x:row r="2394">
      <x:c r="A2394" s="59" t="n">
        <x:v>2391</x:v>
      </x:c>
      <x:c r="B2394" s="193" t="n">
        <x:v>0.5085408048704267</x:v>
      </x:c>
      <x:c r="C2394" s="83" t="n">
        <x:v>0.14964387066680188</x:v>
      </x:c>
      <x:c r="D2394" s="83" t="n">
        <x:v>0.5668201741253173</x:v>
      </x:c>
      <x:c r="E2394" s="81" t="n">
        <x:v>0.10389423172723612</x:v>
      </x:c>
      <x:c r="F2394" s="81" t="n">
        <x:v>0.8719651168794371</x:v>
      </x:c>
      <x:c r="G2394" s="81" t="n">
        <x:v>-0.024320814230877924</x:v>
      </x:c>
      <x:c r="H2394" s="59" t="n">
        <x:v>0</x:v>
      </x:c>
      <x:c r="I2394" s="81" t="n">
        <x:v>0</x:v>
      </x:c>
      <x:c r="J2394" s="79" t="n">
        <x:v>0.0003766687005410722</x:v>
      </x:c>
      <x:c r="K2394" s="81" t="n">
        <x:v>-0.5695214850959175</x:v>
      </x:c>
      <x:c r="L2394" s="81" t="n">
        <x:v>-0.8440436193101004</x:v>
      </x:c>
      <x:c r="M2394" s="80" t="n">
        <x:v>4618.009603573021</x:v>
      </x:c>
      <x:c r="N2394" s="82" t="n">
        <x:v>0.2232377048602269</x:v>
      </x:c>
      <x:c r="O2394" s="82" t="n">
        <x:v>0.18388131543991995</x:v>
      </x:c>
      <x:c r="P2394" s="80" t="n">
        <x:v>5329.066622150828</x:v>
      </x:c>
      <x:c r="Q2394" s="81" t="n">
        <x:v>0.004216801474224911</x:v>
      </x:c>
      <x:c r="R2394" s="81" t="n">
        <x:v>245.77989106782255</x:v>
      </x:c>
      <x:c r="S2394" s="81" t="n">
        <x:v>47.54544678001879</x:v>
      </x:c>
      <x:c r="T2394" s="81" t="n">
        <x:v>8.15946640405046</x:v>
      </x:c>
    </x:row>
    <x:row r="2395">
      <x:c r="A2395" s="59" t="n">
        <x:v>2392</x:v>
      </x:c>
      <x:c r="B2395" s="193" t="n">
        <x:v>0.5312527218833566</x:v>
      </x:c>
      <x:c r="C2395" s="83" t="n">
        <x:v>1.7017171042460004</x:v>
      </x:c>
      <x:c r="D2395" s="83" t="n">
        <x:v>0.8687023510849642</x:v>
      </x:c>
      <x:c r="E2395" s="81" t="n">
        <x:v>-0.028992425202114213</x:v>
      </x:c>
      <x:c r="F2395" s="81" t="n">
        <x:v>0.39737357969861475</x:v>
      </x:c>
      <x:c r="G2395" s="81" t="n">
        <x:v>0.010603637495066761</x:v>
      </x:c>
      <x:c r="H2395" s="59" t="n">
        <x:v>0</x:v>
      </x:c>
      <x:c r="I2395" s="81" t="n">
        <x:v>0</x:v>
      </x:c>
      <x:c r="J2395" s="79" t="n">
        <x:v>1.6226163126454672e-20</x:v>
      </x:c>
      <x:c r="K2395" s="81" t="n">
        <x:v>-1</x:v>
      </x:c>
      <x:c r="L2395" s="81" t="n">
        <x:v>-1</x:v>
      </x:c>
      <x:c r="M2395" s="80" t="n">
        <x:v>0.00006155080074878975</x:v>
      </x:c>
      <x:c r="N2395" s="82" t="n">
        <x:v>0.2286481093411508</x:v>
      </x:c>
      <x:c r="O2395" s="82" t="n">
        <x:v>0.08582969023298602</x:v>
      </x:c>
      <x:c r="P2395" s="80" t="n">
        <x:v>1338.802406933407</x:v>
      </x:c>
      <x:c r="Q2395" s="81" t="n">
        <x:v>135991.0374894634</x:v>
      </x:c>
      <x:c r="R2395" s="81" t="n">
        <x:v>4.069557658430134</x:v>
      </x:c>
      <x:c r="S2395" s="81" t="n">
        <x:v>1.0414127386196204e-8</x:v>
      </x:c>
      <x:c r="T2395" s="81" t="n">
        <x:v>3.5149411858953397e-16</x:v>
      </x:c>
    </x:row>
    <x:row r="2396">
      <x:c r="A2396" s="59" t="n">
        <x:v>2393</x:v>
      </x:c>
      <x:c r="B2396" s="193" t="n">
        <x:v>0.43444927744567396</x:v>
      </x:c>
      <x:c r="C2396" s="83" t="n">
        <x:v>0.6166481660646849</x:v>
      </x:c>
      <x:c r="D2396" s="83" t="n">
        <x:v>0.4284814385743335</x:v>
      </x:c>
      <x:c r="E2396" s="81" t="n">
        <x:v>0.1647342743272672</x:v>
      </x:c>
      <x:c r="F2396" s="81" t="n">
        <x:v>0.3166448906296864</x:v>
      </x:c>
      <x:c r="G2396" s="81" t="n">
        <x:v>-0.025776136401921747</x:v>
      </x:c>
      <x:c r="H2396" s="59" t="n">
        <x:v>0</x:v>
      </x:c>
      <x:c r="I2396" s="81" t="n">
        <x:v>0</x:v>
      </x:c>
      <x:c r="J2396" s="79" t="n">
        <x:v>0.009514131387698339</x:v>
      </x:c>
      <x:c r="K2396" s="81" t="n">
        <x:v>9.873293014512388</x:v>
      </x:c>
      <x:c r="L2396" s="81" t="n">
        <x:v>-0.6684477159579106</x:v>
      </x:c>
      <x:c r="M2396" s="80" t="n">
        <x:v>33609.80713138388</x:v>
      </x:c>
      <x:c r="N2396" s="82" t="n">
        <x:v>0.20558771381151167</x:v>
      </x:c>
      <x:c r="O2396" s="82" t="n">
        <x:v>0.061495110128821806</x:v>
      </x:c>
      <x:c r="P2396" s="80" t="n">
        <x:v>27176.43491264755</x:v>
      </x:c>
      <x:c r="Q2396" s="81" t="n">
        <x:v>0.00098731079642436</x:v>
      </x:c>
      <x:c r="R2396" s="81" t="n">
        <x:v>506.85093564027727</x:v>
      </x:c>
      <x:c r="S2396" s="81" t="n">
        <x:v>289.73534242001637</x:v>
      </x:c>
      <x:c r="T2396" s="81" t="n">
        <x:v>206.0968572916553</x:v>
      </x:c>
    </x:row>
    <x:row r="2397">
      <x:c r="A2397" s="59" t="n">
        <x:v>2394</x:v>
      </x:c>
      <x:c r="B2397" s="193" t="n">
        <x:v>0.3624806085601449</x:v>
      </x:c>
      <x:c r="C2397" s="83" t="n">
        <x:v>0.19982970960525873</x:v>
      </x:c>
      <x:c r="D2397" s="83" t="n">
        <x:v>0.6991464959845579</x:v>
      </x:c>
      <x:c r="E2397" s="81" t="n">
        <x:v>-0.13915270053107412</x:v>
      </x:c>
      <x:c r="F2397" s="81" t="n">
        <x:v>0.37973574276547883</x:v>
      </x:c>
      <x:c r="G2397" s="81" t="n">
        <x:v>-0.030465886293813443</x:v>
      </x:c>
      <x:c r="H2397" s="59" t="n">
        <x:v>36</x:v>
      </x:c>
      <x:c r="I2397" s="81" t="n">
        <x:v>0.2422699491493404</x:v>
      </x:c>
      <x:c r="J2397" s="79" t="n">
        <x:v>5.296893071720675e-37</x:v>
      </x:c>
      <x:c r="K2397" s="81" t="n">
        <x:v>-1</x:v>
      </x:c>
      <x:c r="L2397" s="81" t="n">
        <x:v>-1</x:v>
      </x:c>
      <x:c r="M2397" s="80" t="n">
        <x:v>0.000002</x:v>
      </x:c>
      <x:c r="N2397" s="82" t="n">
        <x:v>0.18844342747043716</x:v>
      </x:c>
      <x:c r="O2397" s="82" t="n">
        <x:v>0.06759793259778253</x:v>
      </x:c>
      <x:c r="P2397" s="80" t="n">
        <x:v>151.19472143213707</x:v>
      </x:c>
      <x:c r="Q2397" s="81" t="n">
        <x:v>31222228666488443000</x:v>
      </x:c>
      <x:c r="R2397" s="81" t="n">
        <x:v>7.565654496186867</x:v>
      </x:c>
      <x:c r="S2397" s="81" t="n">
        <x:v>3.503243551738184e-10</x:v>
      </x:c>
      <x:c r="T2397" s="81" t="n">
        <x:v>1.1474226821200873e-32</x:v>
      </x:c>
    </x:row>
    <x:row r="2398">
      <x:c r="A2398" s="59" t="n">
        <x:v>2395</x:v>
      </x:c>
      <x:c r="B2398" s="193" t="n">
        <x:v>0.3040379634127021</x:v>
      </x:c>
      <x:c r="C2398" s="83" t="n">
        <x:v>0.8381659519230489</x:v>
      </x:c>
      <x:c r="D2398" s="83" t="n">
        <x:v>1.3111532118042981</x:v>
      </x:c>
      <x:c r="E2398" s="81" t="n">
        <x:v>-0.06559596754779351</x:v>
      </x:c>
      <x:c r="F2398" s="81" t="n">
        <x:v>0.8547278154175729</x:v>
      </x:c>
      <x:c r="G2398" s="81" t="n">
        <x:v>0.05542797728786131</x:v>
      </x:c>
      <x:c r="H2398" s="59" t="n">
        <x:v>0</x:v>
      </x:c>
      <x:c r="I2398" s="81" t="n">
        <x:v>0</x:v>
      </x:c>
      <x:c r="J2398" s="79" t="n">
        <x:v>8.431645380044787e-48</x:v>
      </x:c>
      <x:c r="K2398" s="81" t="n">
        <x:v>-1</x:v>
      </x:c>
      <x:c r="L2398" s="81" t="n">
        <x:v>-1</x:v>
      </x:c>
      <x:c r="M2398" s="80" t="n">
        <x:v>0.000002</x:v>
      </x:c>
      <x:c r="N2398" s="82" t="n">
        <x:v>0.17452129359671964</x:v>
      </x:c>
      <x:c r="O2398" s="82" t="n">
        <x:v>0.14091174812604576</x:v>
      </x:c>
      <x:c r="P2398" s="80" t="n">
        <x:v>473.77808162027276</x:v>
      </x:c>
      <x:c r="Q2398" s="81" t="n">
        <x:v>3.89222461161978e+30</x:v>
      </x:c>
      <x:c r="R2398" s="81" t="n">
        <x:v>2.5247562617494537</x:v>
      </x:c>
      <x:c r="S2398" s="81" t="n">
        <x:v>1.2045388896606035e-9</x:v>
      </x:c>
      <x:c r="T2398" s="81" t="n">
        <x:v>1.8264784706166736e-43</x:v>
      </x:c>
    </x:row>
    <x:row r="2399">
      <x:c r="A2399" s="59" t="n">
        <x:v>2396</x:v>
      </x:c>
      <x:c r="B2399" s="193" t="n">
        <x:v>0.4384536350145936</x:v>
      </x:c>
      <x:c r="C2399" s="83" t="n">
        <x:v>0.22069582060644227</x:v>
      </x:c>
      <x:c r="D2399" s="83" t="n">
        <x:v>0.7366439528401992</x:v>
      </x:c>
      <x:c r="E2399" s="81" t="n">
        <x:v>0.016889070012179368</x:v>
      </x:c>
      <x:c r="F2399" s="81" t="n">
        <x:v>0.552823968802113</x:v>
      </x:c>
      <x:c r="G2399" s="81" t="n">
        <x:v>-0.007236820858057937</x:v>
      </x:c>
      <x:c r="H2399" s="59" t="n">
        <x:v>0</x:v>
      </x:c>
      <x:c r="I2399" s="81" t="n">
        <x:v>0</x:v>
      </x:c>
      <x:c r="J2399" s="79" t="n">
        <x:v>0.00006846445440643102</x:v>
      </x:c>
      <x:c r="K2399" s="81" t="n">
        <x:v>-0.9217549092497931</x:v>
      </x:c>
      <x:c r="L2399" s="81" t="n">
        <x:v>-0.9302704311969221</x:v>
      </x:c>
      <x:c r="M2399" s="80" t="n">
        <x:v>1802.8274688101383</x:v>
      </x:c>
      <x:c r="N2399" s="82" t="n">
        <x:v>0.2065416268661327</x:v>
      </x:c>
      <x:c r="O2399" s="82" t="n">
        <x:v>0.10786123779049278</x:v>
      </x:c>
      <x:c r="P2399" s="80" t="n">
        <x:v>3507.025852539768</x:v>
      </x:c>
      <x:c r="Q2399" s="81" t="n">
        <x:v>0.012269626528973768</x:v>
      </x:c>
      <x:c r="R2399" s="81" t="n">
        <x:v>72.29547222717194</x:v>
      </x:c>
      <x:c r="S2399" s="81" t="n">
        <x:v>6.203096967681757</x:v>
      </x:c>
      <x:c r="T2399" s="81" t="n">
        <x:v>1.4830895553531793</x:v>
      </x:c>
    </x:row>
    <x:row r="2400">
      <x:c r="A2400" s="59" t="n">
        <x:v>2397</x:v>
      </x:c>
      <x:c r="B2400" s="193" t="n">
        <x:v>0.4997732285410166</x:v>
      </x:c>
      <x:c r="C2400" s="83" t="n">
        <x:v>0.12012949506140246</x:v>
      </x:c>
      <x:c r="D2400" s="83" t="n">
        <x:v>1.4278467104052468</x:v>
      </x:c>
      <x:c r="E2400" s="81" t="n">
        <x:v>0.10339664041701932</x:v>
      </x:c>
      <x:c r="F2400" s="81" t="n">
        <x:v>0.38592168217292055</x:v>
      </x:c>
      <x:c r="G2400" s="81" t="n">
        <x:v>-0.037877892175987526</x:v>
      </x:c>
      <x:c r="H2400" s="59" t="n">
        <x:v>0</x:v>
      </x:c>
      <x:c r="I2400" s="81" t="n">
        <x:v>0</x:v>
      </x:c>
      <x:c r="J2400" s="79" t="n">
        <x:v>0.010674370542101467</x:v>
      </x:c>
      <x:c r="K2400" s="81" t="n">
        <x:v>11.199280619544535</x:v>
      </x:c>
      <x:c r="L2400" s="81" t="n">
        <x:v>-0.8065810658183181</x:v>
      </x:c>
      <x:c r="M2400" s="80" t="n">
        <x:v>29526.937831438503</x:v>
      </x:c>
      <x:c r="N2400" s="82" t="n">
        <x:v>0.22114910378650532</x:v>
      </x:c>
      <x:c r="O2400" s="82" t="n">
        <x:v>0.08062232248674846</x:v>
      </x:c>
      <x:c r="P2400" s="80" t="n">
        <x:v>64033.15595625321</x:v>
      </x:c>
      <x:c r="Q2400" s="81" t="n">
        <x:v>0.0021085285112959072</x:v>
      </x:c>
      <x:c r="R2400" s="81" t="n">
        <x:v>4718.31857047176</x:v>
      </x:c>
      <x:c r="S2400" s="81" t="n">
        <x:v>1661.0531767874425</x:v>
      </x:c>
      <x:c r="T2400" s="81" t="n">
        <x:v>231.23017043240017</x:v>
      </x:c>
    </x:row>
    <x:row r="2401">
      <x:c r="A2401" s="59" t="n">
        <x:v>2398</x:v>
      </x:c>
      <x:c r="B2401" s="193" t="n">
        <x:v>0.8058275092393161</x:v>
      </x:c>
      <x:c r="C2401" s="83" t="n">
        <x:v>0.835842581322114</x:v>
      </x:c>
      <x:c r="D2401" s="83" t="n">
        <x:v>0.1804768705930283</x:v>
      </x:c>
      <x:c r="E2401" s="81" t="n">
        <x:v>-0.0008359000255611815</x:v>
      </x:c>
      <x:c r="F2401" s="81" t="n">
        <x:v>0.6150457030278631</x:v>
      </x:c>
      <x:c r="G2401" s="81" t="n">
        <x:v>-0.009052930198960163</x:v>
      </x:c>
      <x:c r="H2401" s="59" t="n">
        <x:v>0</x:v>
      </x:c>
      <x:c r="I2401" s="81" t="n">
        <x:v>0</x:v>
      </x:c>
      <x:c r="J2401" s="79" t="n">
        <x:v>7.213984956363069e-7</x:v>
      </x:c>
      <x:c r="K2401" s="81" t="n">
        <x:v>-0.9991755445764157</x:v>
      </x:c>
      <x:c r="L2401" s="81" t="n">
        <x:v>-0.9991755445764157</x:v>
      </x:c>
      <x:c r="M2401" s="80" t="n">
        <x:v>266.3727960699732</x:v>
      </x:c>
      <x:c r="N2401" s="82" t="n">
        <x:v>0.29405697196660324</x:v>
      </x:c>
      <x:c r="O2401" s="82" t="n">
        <x:v>0.17084796543931693</x:v>
      </x:c>
      <x:c r="P2401" s="80" t="n">
        <x:v>514.4150330744031</x:v>
      </x:c>
      <x:c r="Q2401" s="81" t="n">
        <x:v>0.022981269095812024</x:v>
      </x:c>
      <x:c r="R2401" s="81" t="n">
        <x:v>11.648310858721553</x:v>
      </x:c>
      <x:c r="S2401" s="81" t="n">
        <x:v>0.02640040876790784</x:v>
      </x:c>
      <x:c r="T2401" s="81" t="n">
        <x:v>0.015627066386513185</x:v>
      </x:c>
    </x:row>
    <x:row r="2402">
      <x:c r="A2402" s="59" t="n">
        <x:v>2399</x:v>
      </x:c>
      <x:c r="B2402" s="193" t="n">
        <x:v>0.9290520366281272</x:v>
      </x:c>
      <x:c r="C2402" s="83" t="n">
        <x:v>2.118732112052999</x:v>
      </x:c>
      <x:c r="D2402" s="83" t="n">
        <x:v>0.14833587346449448</x:v>
      </x:c>
      <x:c r="E2402" s="81" t="n">
        <x:v>0.03938376337905554</x:v>
      </x:c>
      <x:c r="F2402" s="81" t="n">
        <x:v>0.37338616283377635</x:v>
      </x:c>
      <x:c r="G2402" s="81" t="n">
        <x:v>-0.017254546228192863</x:v>
      </x:c>
      <x:c r="H2402" s="59" t="n">
        <x:v>0</x:v>
      </x:c>
      <x:c r="I2402" s="81" t="n">
        <x:v>0</x:v>
      </x:c>
      <x:c r="J2402" s="79" t="n">
        <x:v>0.00007256271526542342</x:v>
      </x:c>
      <x:c r="K2402" s="81" t="n">
        <x:v>-0.9170711825538018</x:v>
      </x:c>
      <x:c r="L2402" s="81" t="n">
        <x:v>-0.9184277514943172</x:v>
      </x:c>
      <x:c r="M2402" s="80" t="n">
        <x:v>4610.751421083556</x:v>
      </x:c>
      <x:c r="N2402" s="82" t="n">
        <x:v>0.3234113648505065</x:v>
      </x:c>
      <x:c r="O2402" s="82" t="n">
        <x:v>0.11407341380282822</x:v>
      </x:c>
      <x:c r="P2402" s="80" t="n">
        <x:v>2130.1992950371523</x:v>
      </x:c>
      <x:c r="Q2402" s="81" t="n">
        <x:v>0.005004187269776</x:v>
      </x:c>
      <x:c r="R2402" s="81" t="n">
        <x:v>8.836047394537891</x:v>
      </x:c>
      <x:c r="S2402" s="81" t="n">
        <x:v>0.7167451910984799</x:v>
      </x:c>
      <x:c r="T2402" s="81" t="n">
        <x:v>1.5718668329606589</x:v>
      </x:c>
    </x:row>
    <x:row r="2403">
      <x:c r="A2403" s="59" t="n">
        <x:v>2400</x:v>
      </x:c>
      <x:c r="B2403" s="193" t="n">
        <x:v>0.49868523702025414</x:v>
      </x:c>
      <x:c r="C2403" s="83" t="n">
        <x:v>0.12178430991257874</x:v>
      </x:c>
      <x:c r="D2403" s="83" t="n">
        <x:v>0.25616028215543224</x:v>
      </x:c>
      <x:c r="E2403" s="81" t="n">
        <x:v>-0.039736632699322545</x:v>
      </x:c>
      <x:c r="F2403" s="81" t="n">
        <x:v>0.8482847737031989</x:v>
      </x:c>
      <x:c r="G2403" s="81" t="n">
        <x:v>0.022149514320275943</x:v>
      </x:c>
      <x:c r="H2403" s="59" t="n">
        <x:v>0</x:v>
      </x:c>
      <x:c r="I2403" s="81" t="n">
        <x:v>0</x:v>
      </x:c>
      <x:c r="J2403" s="79" t="n">
        <x:v>1.1521001800141776e-12</x:v>
      </x:c>
      <x:c r="K2403" s="81" t="n">
        <x:v>-0.9999999986833141</x:v>
      </x:c>
      <x:c r="L2403" s="81" t="n">
        <x:v>-0.9999999986833141</x:v>
      </x:c>
      <x:c r="M2403" s="80" t="n">
        <x:v>0.20978811088513558</x:v>
      </x:c>
      <x:c r="N2403" s="82" t="n">
        <x:v>0.2208899238064187</x:v>
      </x:c>
      <x:c r="O2403" s="82" t="n">
        <x:v>0.1770062164114441</x:v>
      </x:c>
      <x:c r="P2403" s="80" t="n">
        <x:v>201.6045990864082</x:v>
      </x:c>
      <x:c r="Q2403" s="81" t="n">
        <x:v>4.803912080261614</x:v>
      </x:c>
      <x:c r="R2403" s="81" t="n">
        <x:v>44.5462774930087</x:v>
      </x:c>
      <x:c r="S2403" s="81" t="n">
        <x:v>0.000028288230759354934</x:v>
      </x:c>
      <x:c r="T2403" s="81" t="n">
        <x:v>2.4957005186315268e-8</x:v>
      </x:c>
    </x:row>
    <x:row r="2404">
      <x:c r="A2404" s="59" t="n">
        <x:v>2401</x:v>
      </x:c>
      <x:c r="B2404" s="193" t="n">
        <x:v>0.32319445572793487</x:v>
      </x:c>
      <x:c r="C2404" s="83" t="n">
        <x:v>1.5837114002827188</x:v>
      </x:c>
      <x:c r="D2404" s="83" t="n">
        <x:v>0.4713881103520013</x:v>
      </x:c>
      <x:c r="E2404" s="81" t="n">
        <x:v>0.1915236253685097</x:v>
      </x:c>
      <x:c r="F2404" s="81" t="n">
        <x:v>0.5357046068413183</x:v>
      </x:c>
      <x:c r="G2404" s="81" t="n">
        <x:v>-0.001387979916644033</x:v>
      </x:c>
      <x:c r="H2404" s="59" t="n">
        <x:v>0</x:v>
      </x:c>
      <x:c r="I2404" s="81" t="n">
        <x:v>0</x:v>
      </x:c>
      <x:c r="J2404" s="79" t="n">
        <x:v>0.03507440667983111</x:v>
      </x:c>
      <x:c r="K2404" s="81" t="n">
        <x:v>39.08503620552127</x:v>
      </x:c>
      <x:c r="L2404" s="81" t="n">
        <x:v>-0.6737353720955594</x:v>
      </x:c>
      <x:c r="M2404" s="80" t="n">
        <x:v>113375.48535127823</x:v>
      </x:c>
      <x:c r="N2404" s="82" t="n">
        <x:v>0.17908472925043914</x:v>
      </x:c>
      <x:c r="O2404" s="82" t="n">
        <x:v>0.0906264310986414</x:v>
      </x:c>
      <x:c r="P2404" s="80" t="n">
        <x:v>94635.59162906549</x:v>
      </x:c>
      <x:c r="Q2404" s="81" t="n">
        <x:v>0.0013346106565646975</x:v>
      </x:c>
      <x:c r="R2404" s="81" t="n">
        <x:v>402.56018730096235</x:v>
      </x:c>
      <x:c r="S2404" s="81" t="n">
        <x:v>421.5377302993333</x:v>
      </x:c>
      <x:c r="T2404" s="81" t="n">
        <x:v>759.7882238024682</x:v>
      </x:c>
    </x:row>
    <x:row r="2405">
      <x:c r="A2405" s="59" t="n">
        <x:v>2402</x:v>
      </x:c>
      <x:c r="B2405" s="193" t="n">
        <x:v>0.7216612057760359</x:v>
      </x:c>
      <x:c r="C2405" s="83" t="n">
        <x:v>0.22374301187321588</x:v>
      </x:c>
      <x:c r="D2405" s="83" t="n">
        <x:v>0.6182942730807882</x:v>
      </x:c>
      <x:c r="E2405" s="81" t="n">
        <x:v>-0.04556508561919324</x:v>
      </x:c>
      <x:c r="F2405" s="81" t="n">
        <x:v>0.6002596103353426</x:v>
      </x:c>
      <x:c r="G2405" s="81" t="n">
        <x:v>-0.018356605974155976</x:v>
      </x:c>
      <x:c r="H2405" s="59" t="n">
        <x:v>0</x:v>
      </x:c>
      <x:c r="I2405" s="81" t="n">
        <x:v>0</x:v>
      </x:c>
      <x:c r="J2405" s="79" t="n">
        <x:v>6.138605794933618e-20</x:v>
      </x:c>
      <x:c r="K2405" s="81" t="n">
        <x:v>-0.9999999999999999</x:v>
      </x:c>
      <x:c r="L2405" s="81" t="n">
        <x:v>-0.9999999999999999</x:v>
      </x:c>
      <x:c r="M2405" s="80" t="n">
        <x:v>0.00005412188219349134</x:v>
      </x:c>
      <x:c r="N2405" s="82" t="n">
        <x:v>0.27400698036345994</x:v>
      </x:c>
      <x:c r="O2405" s="82" t="n">
        <x:v>0.15537161874920535</x:v>
      </x:c>
      <x:c r="P2405" s="80" t="n">
        <x:v>324.5023441068991</x:v>
      </x:c>
      <x:c r="Q2405" s="81" t="n">
        <x:v>20435.566960767916</x:v>
      </x:c>
      <x:c r="R2405" s="81" t="n">
        <x:v>17.407225049199756</x:v>
      </x:c>
      <x:c r="S2405" s="81" t="n">
        <x:v>9.985611972884352e-9</x:v>
      </x:c>
      <x:c r="T2405" s="81" t="n">
        <x:v>1.3297560344016088e-15</x:v>
      </x:c>
    </x:row>
    <x:row r="2406">
      <x:c r="A2406" s="59" t="n">
        <x:v>2403</x:v>
      </x:c>
      <x:c r="B2406" s="193" t="n">
        <x:v>0.8762667447328567</x:v>
      </x:c>
      <x:c r="C2406" s="83" t="n">
        <x:v>0.30492662808645693</x:v>
      </x:c>
      <x:c r="D2406" s="83" t="n">
        <x:v>0.2861558373746136</x:v>
      </x:c>
      <x:c r="E2406" s="81" t="n">
        <x:v>-0.06677352669923074</x:v>
      </x:c>
      <x:c r="F2406" s="81" t="n">
        <x:v>0.4935013510868885</x:v>
      </x:c>
      <x:c r="G2406" s="81" t="n">
        <x:v>0.01989433305928903</x:v>
      </x:c>
      <x:c r="H2406" s="59" t="n">
        <x:v>0</x:v>
      </x:c>
      <x:c r="I2406" s="81" t="n">
        <x:v>0</x:v>
      </x:c>
      <x:c r="J2406" s="79" t="n">
        <x:v>5.974040219038461e-18</x:v>
      </x:c>
      <x:c r="K2406" s="81" t="n">
        <x:v>-0.9999999999999932</x:v>
      </x:c>
      <x:c r="L2406" s="81" t="n">
        <x:v>-0.9999999999999932</x:v>
      </x:c>
      <x:c r="M2406" s="80" t="n">
        <x:v>0.0005656201211886436</x:v>
      </x:c>
      <x:c r="N2406" s="82" t="n">
        <x:v>0.31083691859683005</x:v>
      </x:c>
      <x:c r="O2406" s="82" t="n">
        <x:v>0.1449078399980698</x:v>
      </x:c>
      <x:c r="P2406" s="80" t="n">
        <x:v>214.7338247096818</x:v>
      </x:c>
      <x:c r="Q2406" s="81" t="n">
        <x:v>1527.87644846225</x:v>
      </x:c>
      <x:c r="R2406" s="81" t="n">
        <x:v>16.317730716313417</x:v>
      </x:c>
      <x:c r="S2406" s="81" t="n">
        <x:v>7.236022542073653e-8</x:v>
      </x:c>
      <x:c r="T2406" s="81" t="n">
        <x:v>1.2941075378355043e-13</x:v>
      </x:c>
    </x:row>
    <x:row r="2407">
      <x:c r="A2407" s="59" t="n">
        <x:v>2404</x:v>
      </x:c>
      <x:c r="B2407" s="193" t="n">
        <x:v>0.9471837401390075</x:v>
      </x:c>
      <x:c r="C2407" s="83" t="n">
        <x:v>0.5046871953283791</x:v>
      </x:c>
      <x:c r="D2407" s="83" t="n">
        <x:v>1.423212535636257</x:v>
      </x:c>
      <x:c r="E2407" s="81" t="n">
        <x:v>-0.051938013370963446</x:v>
      </x:c>
      <x:c r="F2407" s="81" t="n">
        <x:v>0.2708113566273823</x:v>
      </x:c>
      <x:c r="G2407" s="81" t="n">
        <x:v>0.006538697833990076</x:v>
      </x:c>
      <x:c r="H2407" s="59" t="n">
        <x:v>28</x:v>
      </x:c>
      <x:c r="I2407" s="81" t="n">
        <x:v>0.26698712790384893</x:v>
      </x:c>
      <x:c r="J2407" s="79" t="n">
        <x:v>5.109043550674075e-36</x:v>
      </x:c>
      <x:c r="K2407" s="81" t="n">
        <x:v>-1</x:v>
      </x:c>
      <x:c r="L2407" s="81" t="n">
        <x:v>-1</x:v>
      </x:c>
      <x:c r="M2407" s="80" t="n">
        <x:v>0.000002</x:v>
      </x:c>
      <x:c r="N2407" s="82" t="n">
        <x:v>0.3277306765962393</x:v>
      </x:c>
      <x:c r="O2407" s="82" t="n">
        <x:v>0.08384070261689348</x:v>
      </x:c>
      <x:c r="P2407" s="80" t="n">
        <x:v>481.1645186640463</x:v>
      </x:c>
      <x:c r="Q2407" s="81" t="n">
        <x:v>8008662863431198000</x:v>
      </x:c>
      <x:c r="R2407" s="81" t="n">
        <x:v>4.551112307611475</x:v>
      </x:c>
      <x:c r="S2407" s="81" t="n">
        <x:v>8.969435412145835e-10</x:v>
      </x:c>
      <x:c r="T2407" s="81" t="n">
        <x:v>1.1067303746946239e-31</x:v>
      </x:c>
    </x:row>
    <x:row r="2408">
      <x:c r="A2408" s="59" t="n">
        <x:v>2405</x:v>
      </x:c>
      <x:c r="B2408" s="193" t="n">
        <x:v>0.9658255606889725</x:v>
      </x:c>
      <x:c r="C2408" s="83" t="n">
        <x:v>0.5514460382431448</x:v>
      </x:c>
      <x:c r="D2408" s="83" t="n">
        <x:v>0.48893430938737886</x:v>
      </x:c>
      <x:c r="E2408" s="81" t="n">
        <x:v>0.018526107438291486</x:v>
      </x:c>
      <x:c r="F2408" s="81" t="n">
        <x:v>0.5690550538245589</x:v>
      </x:c>
      <x:c r="G2408" s="81" t="n">
        <x:v>-0.02137655455695656</x:v>
      </x:c>
      <x:c r="H2408" s="59" t="n">
        <x:v>0</x:v>
      </x:c>
      <x:c r="I2408" s="81" t="n">
        <x:v>0</x:v>
      </x:c>
      <x:c r="J2408" s="79" t="n">
        <x:v>0.000015828413612117634</x:v>
      </x:c>
      <x:c r="K2408" s="81" t="n">
        <x:v>-0.9819103844432941</x:v>
      </x:c>
      <x:c r="L2408" s="81" t="n">
        <x:v>-0.9819103844432941</x:v>
      </x:c>
      <x:c r="M2408" s="80" t="n">
        <x:v>1085.9902904391713</x:v>
      </x:c>
      <x:c r="N2408" s="82" t="n">
        <x:v>0.33217150778537624</x:v>
      </x:c>
      <x:c r="O2408" s="82" t="n">
        <x:v>0.17856140906777843</x:v>
      </x:c>
      <x:c r="P2408" s="80" t="n">
        <x:v>1790.9023161212374</x:v>
      </x:c>
      <x:c r="Q2408" s="81" t="n">
        <x:v>0.016897380272743682</x:v>
      </x:c>
      <x:c r="R2408" s="81" t="n">
        <x:v>21.974383437959272</x:v>
      </x:c>
      <x:c r="S2408" s="81" t="n">
        <x:v>0.6503420558111332</x:v>
      </x:c>
      <x:c r="T2408" s="81" t="n">
        <x:v>0.34287799573462596</x:v>
      </x:c>
    </x:row>
    <x:row r="2409">
      <x:c r="A2409" s="59" t="n">
        <x:v>2406</x:v>
      </x:c>
      <x:c r="B2409" s="193" t="n">
        <x:v>0.38658371567726135</x:v>
      </x:c>
      <x:c r="C2409" s="83" t="n">
        <x:v>0.12140799016434936</x:v>
      </x:c>
      <x:c r="D2409" s="83" t="n">
        <x:v>0.6706439214395032</x:v>
      </x:c>
      <x:c r="E2409" s="81" t="n">
        <x:v>-0.009088551458796054</x:v>
      </x:c>
      <x:c r="F2409" s="81" t="n">
        <x:v>0.8449640532373451</x:v>
      </x:c>
      <x:c r="G2409" s="81" t="n">
        <x:v>-0.007245580453714854</x:v>
      </x:c>
      <x:c r="H2409" s="59" t="n">
        <x:v>0</x:v>
      </x:c>
      <x:c r="I2409" s="81" t="n">
        <x:v>0</x:v>
      </x:c>
      <x:c r="J2409" s="79" t="n">
        <x:v>1.7785761072607785e-9</x:v>
      </x:c>
      <x:c r="K2409" s="81" t="n">
        <x:v>-0.9999979673415917</x:v>
      </x:c>
      <x:c r="L2409" s="81" t="n">
        <x:v>-0.9999979673415917</x:v>
      </x:c>
      <x:c r="M2409" s="80" t="n">
        <x:v>8.151382446855969</x:v>
      </x:c>
      <x:c r="N2409" s="82" t="n">
        <x:v>0.1941852395189926</x:v>
      </x:c>
      <x:c r="O2409" s="82" t="n">
        <x:v>0.1549977487513946</x:v>
      </x:c>
      <x:c r="P2409" s="80" t="n">
        <x:v>635.0033064178886</x:v>
      </x:c>
      <x:c r="Q2409" s="81" t="n">
        <x:v>0.47927318193885954</x:v>
      </x:c>
      <x:c r="R2409" s="81" t="n">
        <x:v>54.00235523624687</x:v>
      </x:c>
      <x:c r="S2409" s="81" t="n">
        <x:v>0.002248625071681881</x:v>
      </x:c>
      <x:c r="T2409" s="81" t="n">
        <x:v>0.00003852784150473567</x:v>
      </x:c>
    </x:row>
    <x:row r="2410">
      <x:c r="A2410" s="59" t="n">
        <x:v>2407</x:v>
      </x:c>
      <x:c r="B2410" s="193" t="n">
        <x:v>0.6906115425750614</x:v>
      </x:c>
      <x:c r="C2410" s="83" t="n">
        <x:v>0.6031184169827261</x:v>
      </x:c>
      <x:c r="D2410" s="83" t="n">
        <x:v>0.9444735678465951</x:v>
      </x:c>
      <x:c r="E2410" s="81" t="n">
        <x:v>0.06284283886969917</x:v>
      </x:c>
      <x:c r="F2410" s="81" t="n">
        <x:v>0.81870911733713</x:v>
      </x:c>
      <x:c r="G2410" s="81" t="n">
        <x:v>-0.02404933906187069</x:v>
      </x:c>
      <x:c r="H2410" s="59" t="n">
        <x:v>0</x:v>
      </x:c>
      <x:c r="I2410" s="81" t="n">
        <x:v>0</x:v>
      </x:c>
      <x:c r="J2410" s="79" t="n">
        <x:v>0.0005958139638074869</x:v>
      </x:c>
      <x:c r="K2410" s="81" t="n">
        <x:v>-0.3190697556485863</x:v>
      </x:c>
      <x:c r="L2410" s="81" t="n">
        <x:v>-0.8169186867912438</x:v>
      </x:c>
      <x:c r="M2410" s="80" t="n">
        <x:v>8108.01117213455</x:v>
      </x:c>
      <x:c r="N2410" s="82" t="n">
        <x:v>0.26661036840780267</x:v>
      </x:c>
      <x:c r="O2410" s="82" t="n">
        <x:v>0.20619475015074187</x:v>
      </x:c>
      <x:c r="P2410" s="80" t="n">
        <x:v>14798.328321210469</x:v>
      </x:c>
      <x:c r="Q2410" s="81" t="n">
        <x:v>0.0076091651769767555</x:v>
      </x:c>
      <x:c r="R2410" s="81" t="n">
        <x:v>83.9736737956154</x:v>
      </x:c>
      <x:c r="S2410" s="81" t="n">
        <x:v>19.98697727178661</x:v>
      </x:c>
      <x:c r="T2410" s="81" t="n">
        <x:v>12.906631248542574</x:v>
      </x:c>
    </x:row>
    <x:row r="2411">
      <x:c r="A2411" s="59" t="n">
        <x:v>2408</x:v>
      </x:c>
      <x:c r="B2411" s="193" t="n">
        <x:v>0.5840844560414553</x:v>
      </x:c>
      <x:c r="C2411" s="83" t="n">
        <x:v>0.2748886184971236</x:v>
      </x:c>
      <x:c r="D2411" s="83" t="n">
        <x:v>0.5754390725454832</x:v>
      </x:c>
      <x:c r="E2411" s="81" t="n">
        <x:v>0.06019924284778942</x:v>
      </x:c>
      <x:c r="F2411" s="81" t="n">
        <x:v>0.754148256231565</x:v>
      </x:c>
      <x:c r="G2411" s="81" t="n">
        <x:v>-0.031368804627558276</x:v>
      </x:c>
      <x:c r="H2411" s="59" t="n">
        <x:v>0</x:v>
      </x:c>
      <x:c r="I2411" s="81" t="n">
        <x:v>0</x:v>
      </x:c>
      <x:c r="J2411" s="79" t="n">
        <x:v>0.00014294055406957934</x:v>
      </x:c>
      <x:c r="K2411" s="81" t="n">
        <x:v>-0.8366393667776236</x:v>
      </x:c>
      <x:c r="L2411" s="81" t="n">
        <x:v>-0.8860908121082539</x:v>
      </x:c>
      <x:c r="M2411" s="80" t="n">
        <x:v>2907.5237375365023</x:v>
      </x:c>
      <x:c r="N2411" s="82" t="n">
        <x:v>0.24123361901262536</x:v>
      </x:c>
      <x:c r="O2411" s="82" t="n">
        <x:v>0.17185631895228112</x:v>
      </x:c>
      <x:c r="P2411" s="80" t="n">
        <x:v>3805.695257258568</x:v>
      </x:c>
      <x:c r="Q2411" s="81" t="n">
        <x:v>0.006208900330117624</x:v>
      </x:c>
      <x:c r="R2411" s="81" t="n">
        <x:v>86.47071308468261</x:v>
      </x:c>
      <x:c r="S2411" s="81" t="n">
        <x:v>10.067598247766739</x:v>
      </x:c>
      <x:c r="T2411" s="81" t="n">
        <x:v>3.0964044717060717</x:v>
      </x:c>
    </x:row>
    <x:row r="2412">
      <x:c r="A2412" s="59" t="n">
        <x:v>2409</x:v>
      </x:c>
      <x:c r="B2412" s="193" t="n">
        <x:v>0.48888311181217436</x:v>
      </x:c>
      <x:c r="C2412" s="83" t="n">
        <x:v>0.20695070427623755</x:v>
      </x:c>
      <x:c r="D2412" s="83" t="n">
        <x:v>0.7830486116219171</x:v>
      </x:c>
      <x:c r="E2412" s="81" t="n">
        <x:v>0.006892682042425788</x:v>
      </x:c>
      <x:c r="F2412" s="81" t="n">
        <x:v>0.3793768675415777</x:v>
      </x:c>
      <x:c r="G2412" s="81" t="n">
        <x:v>-0.025900249267457605</x:v>
      </x:c>
      <x:c r="H2412" s="59" t="n">
        <x:v>52</x:v>
      </x:c>
      <x:c r="I2412" s="81" t="n">
        <x:v>0.1513696985319257</x:v>
      </x:c>
      <x:c r="J2412" s="79" t="n">
        <x:v>0.000017425630080696202</x:v>
      </x:c>
      <x:c r="K2412" s="81" t="n">
        <x:v>-0.98008499419349</x:v>
      </x:c>
      <x:c r="L2412" s="81" t="n">
        <x:v>-0.98008499419349</x:v>
      </x:c>
      <x:c r="M2412" s="80" t="n">
        <x:v>873.8298428415549</x:v>
      </x:c>
      <x:c r="N2412" s="82" t="n">
        <x:v>0.2185548737920063</x:v>
      </x:c>
      <x:c r="O2412" s="82" t="n">
        <x:v>0.07832533911955206</x:v>
      </x:c>
      <x:c r="P2412" s="80" t="n">
        <x:v>2500.960603248564</x:v>
      </x:c>
      <x:c r="Q2412" s="81" t="n">
        <x:v>0.017296175856763005</x:v>
      </x:c>
      <x:c r="R2412" s="81" t="n">
        <x:v>68.88582083702993</x:v>
      </x:c>
      <x:c r="S2412" s="81" t="n">
        <x:v>1.7452836568711323</x:v>
      </x:c>
      <x:c r="T2412" s="81" t="n">
        <x:v>0.3774771915176636</x:v>
      </x:c>
    </x:row>
    <x:row r="2413">
      <x:c r="A2413" s="59" t="n">
        <x:v>2410</x:v>
      </x:c>
      <x:c r="B2413" s="193" t="n">
        <x:v>0.5076675403863191</x:v>
      </x:c>
      <x:c r="C2413" s="83" t="n">
        <x:v>2.1523455921938357</x:v>
      </x:c>
      <x:c r="D2413" s="83" t="n">
        <x:v>0.8422434045534092</x:v>
      </x:c>
      <x:c r="E2413" s="81" t="n">
        <x:v>0.055958268272549294</x:v>
      </x:c>
      <x:c r="F2413" s="81" t="n">
        <x:v>0.47433787959162144</x:v>
      </x:c>
      <x:c r="G2413" s="81" t="n">
        <x:v>0.02013292200756271</x:v>
      </x:c>
      <x:c r="H2413" s="59" t="n">
        <x:v>0</x:v>
      </x:c>
      <x:c r="I2413" s="81" t="n">
        <x:v>0</x:v>
      </x:c>
      <x:c r="J2413" s="79" t="n">
        <x:v>0.016833548133142605</x:v>
      </x:c>
      <x:c r="K2413" s="81" t="n">
        <x:v>18.238340723591552</x:v>
      </x:c>
      <x:c r="L2413" s="81" t="n">
        <x:v>-0.5127685637011228</x:v>
      </x:c>
      <x:c r="M2413" s="80" t="n">
        <x:v>84964.12424871855</x:v>
      </x:c>
      <x:c r="N2413" s="82" t="n">
        <x:v>0.2230296768864035</x:v>
      </x:c>
      <x:c r="O2413" s="82" t="n">
        <x:v>0.09993587167858066</x:v>
      </x:c>
      <x:c r="P2413" s="80" t="n">
        <x:v>130982.87189147585</x:v>
      </x:c>
      <x:c r="Q2413" s="81" t="n">
        <x:v>0.004420196281352036</x:v>
      </x:c>
      <x:c r="R2413" s="81" t="n">
        <x:v>79.5207038612124</x:v>
      </x:c>
      <x:c r="S2413" s="81" t="n">
        <x:v>158.48045771971434</x:v>
      </x:c>
      <x:c r="T2413" s="81" t="n">
        <x:v>364.6514038889897</x:v>
      </x:c>
    </x:row>
    <x:row r="2414">
      <x:c r="A2414" s="59" t="n">
        <x:v>2411</x:v>
      </x:c>
      <x:c r="B2414" s="193" t="n">
        <x:v>0.29092219937592745</x:v>
      </x:c>
      <x:c r="C2414" s="83" t="n">
        <x:v>0.9938684214509326</x:v>
      </x:c>
      <x:c r="D2414" s="83" t="n">
        <x:v>0.4988401839194254</x:v>
      </x:c>
      <x:c r="E2414" s="81" t="n">
        <x:v>0.0677567163330318</x:v>
      </x:c>
      <x:c r="F2414" s="81" t="n">
        <x:v>0.6100553223397582</x:v>
      </x:c>
      <x:c r="G2414" s="81" t="n">
        <x:v>-0.017522532537934163</x:v>
      </x:c>
      <x:c r="H2414" s="59" t="n">
        <x:v>0</x:v>
      </x:c>
      <x:c r="I2414" s="81" t="n">
        <x:v>0</x:v>
      </x:c>
      <x:c r="J2414" s="79" t="n">
        <x:v>0.0013861631452494593</x:v>
      </x:c>
      <x:c r="K2414" s="81" t="n">
        <x:v>0.5841864517136679</x:v>
      </x:c>
      <x:c r="L2414" s="81" t="n">
        <x:v>-0.6547944814201605</x:v>
      </x:c>
      <x:c r="M2414" s="80" t="n">
        <x:v>14209.475427318454</x:v>
      </x:c>
      <x:c r="N2414" s="82" t="n">
        <x:v>0.17139687268258438</x:v>
      </x:c>
      <x:c r="O2414" s="82" t="n">
        <x:v>0.09877409421185966</x:v>
      </x:c>
      <x:c r="P2414" s="80" t="n">
        <x:v>14348.134571674376</x:v>
      </x:c>
      <x:c r="Q2414" s="81" t="n">
        <x:v>0.0033305836847100866</x:v>
      </x:c>
      <x:c r="R2414" s="81" t="n">
        <x:v>60.04626319203609</x:v>
      </x:c>
      <x:c r="S2414" s="81" t="n">
        <x:v>27.231742465147693</x:v>
      </x:c>
      <x:c r="T2414" s="81" t="n">
        <x:v>30.02732002406607</x:v>
      </x:c>
    </x:row>
    <x:row r="2415">
      <x:c r="A2415" s="59" t="n">
        <x:v>2412</x:v>
      </x:c>
      <x:c r="B2415" s="193" t="n">
        <x:v>0.6866442169994116</x:v>
      </x:c>
      <x:c r="C2415" s="83" t="n">
        <x:v>0.5758116010585853</x:v>
      </x:c>
      <x:c r="D2415" s="83" t="n">
        <x:v>0.7929257958975576</x:v>
      </x:c>
      <x:c r="E2415" s="81" t="n">
        <x:v>0.058672338880342255</x:v>
      </x:c>
      <x:c r="F2415" s="81" t="n">
        <x:v>0.8708665650803596</x:v>
      </x:c>
      <x:c r="G2415" s="81" t="n">
        <x:v>0.0002115580797331361</x:v>
      </x:c>
      <x:c r="H2415" s="59" t="n">
        <x:v>10</x:v>
      </x:c>
      <x:c r="I2415" s="81" t="n">
        <x:v>0.28175830468535423</x:v>
      </x:c>
      <x:c r="J2415" s="79" t="n">
        <x:v>0.000538836802787421</x:v>
      </x:c>
      <x:c r="K2415" s="81" t="n">
        <x:v>-0.3841865111000903</x:v>
      </x:c>
      <x:c r="L2415" s="81" t="n">
        <x:v>-0.8112360893720133</x:v>
      </x:c>
      <x:c r="M2415" s="80" t="n">
        <x:v>7449.740302572923</x:v>
      </x:c>
      <x:c r="N2415" s="82" t="n">
        <x:v>0.2656652770683284</x:v>
      </x:c>
      <x:c r="O2415" s="82" t="n">
        <x:v>0.21855329275973606</x:v>
      </x:c>
      <x:c r="P2415" s="80" t="n">
        <x:v>11442.561137385852</x:v>
      </x:c>
      <x:c r="Q2415" s="81" t="n">
        <x:v>0.008625585829799387</x:v>
      </x:c>
      <x:c r="R2415" s="81" t="n">
        <x:v>42.316146809459596</x:v>
      </x:c>
      <x:c r="S2415" s="81" t="n">
        <x:v>19.10603697336628</x:v>
      </x:c>
      <x:c r="T2415" s="81" t="n">
        <x:v>11.672381547217288</x:v>
      </x:c>
    </x:row>
    <x:row r="2416">
      <x:c r="A2416" s="59" t="n">
        <x:v>2413</x:v>
      </x:c>
      <x:c r="B2416" s="193" t="n">
        <x:v>0.44323956314474344</x:v>
      </x:c>
      <x:c r="C2416" s="83" t="n">
        <x:v>0.24230794301064618</x:v>
      </x:c>
      <x:c r="D2416" s="83" t="n">
        <x:v>2.361580338610267</x:v>
      </x:c>
      <x:c r="E2416" s="81" t="n">
        <x:v>0.02859238299850419</x:v>
      </x:c>
      <x:c r="F2416" s="81" t="n">
        <x:v>0.45274800923652947</x:v>
      </x:c>
      <x:c r="G2416" s="81" t="n">
        <x:v>-0.011406831954456324</x:v>
      </x:c>
      <x:c r="H2416" s="59" t="n">
        <x:v>0</x:v>
      </x:c>
      <x:c r="I2416" s="81" t="n">
        <x:v>0</x:v>
      </x:c>
      <x:c r="J2416" s="79" t="n">
        <x:v>0.0034713896367659083</x:v>
      </x:c>
      <x:c r="K2416" s="81" t="n">
        <x:v>2.9673024420181813</x:v>
      </x:c>
      <x:c r="L2416" s="81" t="n">
        <x:v>-0.7319430000263549</x:v>
      </x:c>
      <x:c r="M2416" s="80" t="n">
        <x:v>15764.401206492339</x:v>
      </x:c>
      <x:c r="N2416" s="82" t="n">
        <x:v>0.20768172468288684</x:v>
      </x:c>
      <x:c r="O2416" s="82" t="n">
        <x:v>0.08882306862379354</x:v>
      </x:c>
      <x:c r="P2416" s="80" t="n">
        <x:v>64253.99204223656</x:v>
      </x:c>
      <x:c r="Q2416" s="81" t="n">
        <x:v>0.0073264928597411485</x:v>
      </x:c>
      <x:c r="R2416" s="81" t="n">
        <x:v>543.7437217163763</x:v>
      </x:c>
      <x:c r="S2416" s="81" t="n">
        <x:v>277.6947768125585</x:v>
      </x:c>
      <x:c r="T2416" s="81" t="n">
        <x:v>75.19787833677945</x:v>
      </x:c>
    </x:row>
    <x:row r="2417">
      <x:c r="A2417" s="59" t="n">
        <x:v>2414</x:v>
      </x:c>
      <x:c r="B2417" s="193" t="n">
        <x:v>0.7969267824664712</x:v>
      </x:c>
      <x:c r="C2417" s="83" t="n">
        <x:v>1.2404632242670353</x:v>
      </x:c>
      <x:c r="D2417" s="83" t="n">
        <x:v>0.7262756760078893</x:v>
      </x:c>
      <x:c r="E2417" s="81" t="n">
        <x:v>-0.05219940613043677</x:v>
      </x:c>
      <x:c r="F2417" s="81" t="n">
        <x:v>0.753486408025492</x:v>
      </x:c>
      <x:c r="G2417" s="81" t="n">
        <x:v>-0.020801284100851677</x:v>
      </x:c>
      <x:c r="H2417" s="59" t="n">
        <x:v>0</x:v>
      </x:c>
      <x:c r="I2417" s="81" t="n">
        <x:v>0</x:v>
      </x:c>
      <x:c r="J2417" s="79" t="n">
        <x:v>6.074033167658109e-24</x:v>
      </x:c>
      <x:c r="K2417" s="81" t="n">
        <x:v>-1</x:v>
      </x:c>
      <x:c r="L2417" s="81" t="n">
        <x:v>-1</x:v>
      </x:c>
      <x:c r="M2417" s="80" t="n">
        <x:v>0.000002</x:v>
      </x:c>
      <x:c r="N2417" s="82" t="n">
        <x:v>0.29193665196068447</x:v>
      </x:c>
      <x:c r="O2417" s="82" t="n">
        <x:v>0.2077949493846736</x:v>
      </x:c>
      <x:c r="P2417" s="80" t="n">
        <x:v>597.2540084189909</x:v>
      </x:c>
      <x:c r="Q2417" s="81" t="n">
        <x:v>6704248.935772117</x:v>
      </x:c>
      <x:c r="R2417" s="81" t="n">
        <x:v>3.244415884650607</x:v>
      </x:c>
      <x:c r="S2417" s="81" t="n">
        <x:v>2.1988534324766228e-10</x:v>
      </x:c>
      <x:c r="T2417" s="81" t="n">
        <x:v>1.315768193571751e-19</x:v>
      </x:c>
    </x:row>
    <x:row r="2418">
      <x:c r="A2418" s="59" t="n">
        <x:v>2415</x:v>
      </x:c>
      <x:c r="B2418" s="193" t="n">
        <x:v>0.35728057306259875</x:v>
      </x:c>
      <x:c r="C2418" s="83" t="n">
        <x:v>2.326621197568502</x:v>
      </x:c>
      <x:c r="D2418" s="83" t="n">
        <x:v>1.171556803045417</x:v>
      </x:c>
      <x:c r="E2418" s="81" t="n">
        <x:v>0.19544082897479367</x:v>
      </x:c>
      <x:c r="F2418" s="81" t="n">
        <x:v>0.3195540238753892</x:v>
      </x:c>
      <x:c r="G2418" s="81" t="n">
        <x:v>-0.05</x:v>
      </x:c>
      <x:c r="H2418" s="59" t="n">
        <x:v>34</x:v>
      </x:c>
      <x:c r="I2418" s="81" t="n">
        <x:v>0.10668230149894953</x:v>
      </x:c>
      <x:c r="J2418" s="79" t="n">
        <x:v>0.3988314069570879</x:v>
      </x:c>
      <x:c r="K2418" s="81" t="n">
        <x:v>454.80732223667195</x:v>
      </x:c>
      <x:c r="L2418" s="81" t="n">
        <x:v>-0.9467654485240683</x:v>
      </x:c>
      <x:c r="M2418" s="80" t="n">
        <x:v>611093.0950857836</x:v>
      </x:c>
      <x:c r="N2418" s="82" t="n">
        <x:v>0.187204681514256</x:v>
      </x:c>
      <x:c r="O2418" s="82" t="n">
        <x:v>0.05651086273716965</x:v>
      </x:c>
      <x:c r="P2418" s="80" t="n">
        <x:v>957759.1819500297</x:v>
      </x:c>
      <x:c r="Q2418" s="81" t="n">
        <x:v>0.0009736616011758169</x:v>
      </x:c>
      <x:c r="R2418" s="81" t="n">
        <x:v>6821.229538255572</x:v>
      </x:c>
      <x:c r="S2418" s="81" t="n">
        <x:v>3241.211808216508</x:v>
      </x:c>
      <x:c r="T2418" s="81" t="n">
        <x:v>8639.55901106705</x:v>
      </x:c>
    </x:row>
    <x:row r="2419">
      <x:c r="A2419" s="59" t="n">
        <x:v>2416</x:v>
      </x:c>
      <x:c r="B2419" s="193" t="n">
        <x:v>0.59119290728122</x:v>
      </x:c>
      <x:c r="C2419" s="83" t="n">
        <x:v>2.0802741641395706</x:v>
      </x:c>
      <x:c r="D2419" s="83" t="n">
        <x:v>1.6013196796993143</x:v>
      </x:c>
      <x:c r="E2419" s="81" t="n">
        <x:v>0.001985739471705214</x:v>
      </x:c>
      <x:c r="F2419" s="81" t="n">
        <x:v>0.882318467751611</x:v>
      </x:c>
      <x:c r="G2419" s="81" t="n">
        <x:v>-0.03171914567913019</x:v>
      </x:c>
      <x:c r="H2419" s="59" t="n">
        <x:v>0</x:v>
      </x:c>
      <x:c r="I2419" s="81" t="n">
        <x:v>0</x:v>
      </x:c>
      <x:c r="J2419" s="79" t="n">
        <x:v>0.000007172828040277386</x:v>
      </x:c>
      <x:c r="K2419" s="81" t="n">
        <x:v>-0.991802482239683</x:v>
      </x:c>
      <x:c r="L2419" s="81" t="n">
        <x:v>-0.991802482239683</x:v>
      </x:c>
      <x:c r="M2419" s="80" t="n">
        <x:v>1420.5492794312038</x:v>
      </x:c>
      <x:c r="N2419" s="82" t="n">
        <x:v>0.242926985381398</x:v>
      </x:c>
      <x:c r="O2419" s="82" t="n">
        <x:v>0.2024753098090397</x:v>
      </x:c>
      <x:c r="P2419" s="80" t="n">
        <x:v>10785.294485506398</x:v>
      </x:c>
      <x:c r="Q2419" s="81" t="n">
        <x:v>0.11521342412651908</x:v>
      </x:c>
      <x:c r="R2419" s="81" t="n">
        <x:v>8.913121248436457</x:v>
      </x:c>
      <x:c r="S2419" s="81" t="n">
        <x:v>0.2833503758130324</x:v>
      </x:c>
      <x:c r="T2419" s="81" t="n">
        <x:v>0.15537911520814743</x:v>
      </x:c>
    </x:row>
    <x:row r="2420">
      <x:c r="A2420" s="59" t="n">
        <x:v>2417</x:v>
      </x:c>
      <x:c r="B2420" s="193" t="n">
        <x:v>0.9367989812046289</x:v>
      </x:c>
      <x:c r="C2420" s="83" t="n">
        <x:v>0.12367532217309458</x:v>
      </x:c>
      <x:c r="D2420" s="83" t="n">
        <x:v>0.4433997508207969</x:v>
      </x:c>
      <x:c r="E2420" s="81" t="n">
        <x:v>-0.03867126608047938</x:v>
      </x:c>
      <x:c r="F2420" s="81" t="n">
        <x:v>0.6577124811708928</x:v>
      </x:c>
      <x:c r="G2420" s="81" t="n">
        <x:v>0.019852076915290395</x:v>
      </x:c>
      <x:c r="H2420" s="59" t="n">
        <x:v>0</x:v>
      </x:c>
      <x:c r="I2420" s="81" t="n">
        <x:v>0</x:v>
      </x:c>
      <x:c r="J2420" s="79" t="n">
        <x:v>5.4897793934792225e-17</x:v>
      </x:c>
      <x:c r="K2420" s="81" t="n">
        <x:v>-0.9999999999999373</x:v>
      </x:c>
      <x:c r="L2420" s="81" t="n">
        <x:v>-0.9999999999999373</x:v>
      </x:c>
      <x:c r="M2420" s="80" t="n">
        <x:v>0.001471728861274236</x:v>
      </x:c>
      <x:c r="N2420" s="82" t="n">
        <x:v>0.3252568323038401</x:v>
      </x:c>
      <x:c r="O2420" s="82" t="n">
        <x:v>0.2020847089959441</x:v>
      </x:c>
      <x:c r="P2420" s="80" t="n">
        <x:v>260.63017574588525</x:v>
      </x:c>
      <x:c r="Q2420" s="81" t="n">
        <x:v>727.3129263609259</x:v>
      </x:c>
      <x:c r="R2420" s="81" t="n">
        <x:v>34.90285829792519</x:v>
      </x:c>
      <x:c r="S2420" s="81" t="n">
        <x:v>3.370327872833195e-7</x:v>
      </x:c>
      <x:c r="T2420" s="81" t="n">
        <x:v>1.1892060705441573e-12</x:v>
      </x:c>
    </x:row>
    <x:row r="2421">
      <x:c r="A2421" s="59" t="n">
        <x:v>2418</x:v>
      </x:c>
      <x:c r="B2421" s="193" t="n">
        <x:v>0.998002115637064</x:v>
      </x:c>
      <x:c r="C2421" s="83" t="n">
        <x:v>0.20734637974869619</x:v>
      </x:c>
      <x:c r="D2421" s="83" t="n">
        <x:v>0.19014805744847496</x:v>
      </x:c>
      <x:c r="E2421" s="81" t="n">
        <x:v>-0.025301401481420294</x:v>
      </x:c>
      <x:c r="F2421" s="81" t="n">
        <x:v>0.28424687796505166</x:v>
      </x:c>
      <x:c r="G2421" s="81" t="n">
        <x:v>-0.012990655569715454</x:v>
      </x:c>
      <x:c r="H2421" s="59" t="n">
        <x:v>0</x:v>
      </x:c>
      <x:c r="I2421" s="81" t="n">
        <x:v>0</x:v>
      </x:c>
      <x:c r="J2421" s="79" t="n">
        <x:v>2.3430636169342413e-8</x:v>
      </x:c>
      <x:c r="K2421" s="81" t="n">
        <x:v>-0.9999732221300922</x:v>
      </x:c>
      <x:c r="L2421" s="81" t="n">
        <x:v>-0.9999732221300922</x:v>
      </x:c>
      <x:c r="M2421" s="80" t="n">
        <x:v>31.732727499764795</x:v>
      </x:c>
      <x:c r="N2421" s="82" t="n">
        <x:v>0.339836566484417</x:v>
      </x:c>
      <x:c r="O2421" s="82" t="n">
        <x:v>0.09125081507422136</x:v>
      </x:c>
      <x:c r="P2421" s="80" t="n">
        <x:v>280.26056457755556</x:v>
      </x:c>
      <x:c r="Q2421" s="81" t="n">
        <x:v>0.04808096947080935</x:v>
      </x:c>
      <x:c r="R2421" s="81" t="n">
        <x:v>42.577804609706945</x:v>
      </x:c>
      <x:c r="S2421" s="81" t="n">
        <x:v>0.003983152239076672</x:v>
      </x:c>
      <x:c r="T2421" s="81" t="n">
        <x:v>0.0005075587336421983</x:v>
      </x:c>
    </x:row>
    <x:row r="2422">
      <x:c r="A2422" s="59" t="n">
        <x:v>2419</x:v>
      </x:c>
      <x:c r="B2422" s="193" t="n">
        <x:v>0.21539119035005572</x:v>
      </x:c>
      <x:c r="C2422" s="83" t="n">
        <x:v>0.8206305628226594</x:v>
      </x:c>
      <x:c r="D2422" s="83" t="n">
        <x:v>1.2165410785578854</x:v>
      </x:c>
      <x:c r="E2422" s="81" t="n">
        <x:v>0.0014267703582009406</x:v>
      </x:c>
      <x:c r="F2422" s="81" t="n">
        <x:v>0.8496955181122757</x:v>
      </x:c>
      <x:c r="G2422" s="81" t="n">
        <x:v>0.026865987702962</x:v>
      </x:c>
      <x:c r="H2422" s="59" t="n">
        <x:v>0</x:v>
      </x:c>
      <x:c r="I2422" s="81" t="n">
        <x:v>0</x:v>
      </x:c>
      <x:c r="J2422" s="79" t="n">
        <x:v>0.000006017240851196062</x:v>
      </x:c>
      <x:c r="K2422" s="81" t="n">
        <x:v>-0.9931231533129188</x:v>
      </x:c>
      <x:c r="L2422" s="81" t="n">
        <x:v>-0.9931231533129188</x:v>
      </x:c>
      <x:c r="M2422" s="80" t="n">
        <x:v>767.3117815244387</x:v>
      </x:c>
      <x:c r="N2422" s="82" t="n">
        <x:v>0.1534039701262024</x:v>
      </x:c>
      <x:c r="O2422" s="82" t="n">
        <x:v>0.12313198158956021</x:v>
      </x:c>
      <x:c r="P2422" s="80" t="n">
        <x:v>5429.890417852312</x:v>
      </x:c>
      <x:c r="Q2422" s="81" t="n">
        <x:v>0.09203086308023121</x:v>
      </x:c>
      <x:c r="R2422" s="81" t="n">
        <x:v>16.522502492808727</x:v>
      </x:c>
      <x:c r="S2422" s="81" t="n">
        <x:v>0.44678440142565073</x:v>
      </x:c>
      <x:c r="T2422" s="81" t="n">
        <x:v>0.13034657379253267</x:v>
      </x:c>
    </x:row>
    <x:row r="2423">
      <x:c r="A2423" s="59" t="n">
        <x:v>2420</x:v>
      </x:c>
      <x:c r="B2423" s="193" t="n">
        <x:v>0.4261630818247795</x:v>
      </x:c>
      <x:c r="C2423" s="83" t="n">
        <x:v>0.5302725215677552</x:v>
      </x:c>
      <x:c r="D2423" s="83" t="n">
        <x:v>1.1237805973109025</x:v>
      </x:c>
      <x:c r="E2423" s="81" t="n">
        <x:v>-0.03828750373681535</x:v>
      </x:c>
      <x:c r="F2423" s="81" t="n">
        <x:v>0.7126724984264001</x:v>
      </x:c>
      <x:c r="G2423" s="81" t="n">
        <x:v>0.010476604860982714</x:v>
      </x:c>
      <x:c r="H2423" s="59" t="n">
        <x:v>0</x:v>
      </x:c>
      <x:c r="I2423" s="81" t="n">
        <x:v>0</x:v>
      </x:c>
      <x:c r="J2423" s="79" t="n">
        <x:v>2.192918016683664e-27</x:v>
      </x:c>
      <x:c r="K2423" s="81" t="n">
        <x:v>-1</x:v>
      </x:c>
      <x:c r="L2423" s="81" t="n">
        <x:v>-1</x:v>
      </x:c>
      <x:c r="M2423" s="80" t="n">
        <x:v>0.000002</x:v>
      </x:c>
      <x:c r="N2423" s="82" t="n">
        <x:v>0.2036137866484467</x:v>
      </x:c>
      <x:c r="O2423" s="82" t="n">
        <x:v>0.13707811461576427</x:v>
      </x:c>
      <x:c r="P2423" s="80" t="n">
        <x:v>575.5528133498341</x:v>
      </x:c>
      <x:c r="Q2423" s="81" t="n">
        <x:v>24982332272.656303</x:v>
      </x:c>
      <x:c r="R2423" s="81" t="n">
        <x:v>6.466534182068075</x:v>
      </x:c>
      <x:c r="S2423" s="81" t="n">
        <x:v>7.302749238235023e-10</x:v>
      </x:c>
      <x:c r="T2423" s="81" t="n">
        <x:v>4.7503391862038344e-23</x:v>
      </x:c>
    </x:row>
    <x:row r="2424">
      <x:c r="A2424" s="59" t="n">
        <x:v>2421</x:v>
      </x:c>
      <x:c r="B2424" s="193" t="n">
        <x:v>0.8748319467529655</x:v>
      </x:c>
      <x:c r="C2424" s="83" t="n">
        <x:v>0.7187681607507488</x:v>
      </x:c>
      <x:c r="D2424" s="83" t="n">
        <x:v>0.8732100856901753</x:v>
      </x:c>
      <x:c r="E2424" s="81" t="n">
        <x:v>0.09973566599171324</x:v>
      </x:c>
      <x:c r="F2424" s="81" t="n">
        <x:v>0.6714022764237597</x:v>
      </x:c>
      <x:c r="G2424" s="81" t="n">
        <x:v>0.02338295331115038</x:v>
      </x:c>
      <x:c r="H2424" s="59" t="n">
        <x:v>0</x:v>
      </x:c>
      <x:c r="I2424" s="81" t="n">
        <x:v>0</x:v>
      </x:c>
      <x:c r="J2424" s="79" t="n">
        <x:v>0.005446678971361384</x:v>
      </x:c>
      <x:c r="K2424" s="81" t="n">
        <x:v>5.224775967270153</x:v>
      </x:c>
      <x:c r="L2424" s="81" t="n">
        <x:v>-0.7723939695760312</x:v>
      </x:c>
      <x:c r="M2424" s="80" t="n">
        <x:v>30825.171045857358</x:v>
      </x:c>
      <x:c r="N2424" s="82" t="n">
        <x:v>0.31049512281555797</x:v>
      </x:c>
      <x:c r="O2424" s="82" t="n">
        <x:v>0.19692848237322325</x:v>
      </x:c>
      <x:c r="P2424" s="80" t="n">
        <x:v>46670.19655526703</x:v>
      </x:c>
      <x:c r="Q2424" s="81" t="n">
        <x:v>0.005155546124163832</x:v>
      </x:c>
      <x:c r="R2424" s="81" t="n">
        <x:v>156.1352317222014</x:v>
      </x:c>
      <x:c r="S2424" s="81" t="n">
        <x:v>150.48356779606425</x:v>
      </x:c>
      <x:c r="T2424" s="81" t="n">
        <x:v>117.98695781367519</x:v>
      </x:c>
    </x:row>
    <x:row r="2425">
      <x:c r="A2425" s="59" t="n">
        <x:v>2422</x:v>
      </x:c>
      <x:c r="B2425" s="193" t="n">
        <x:v>0.9537056868895888</x:v>
      </x:c>
      <x:c r="C2425" s="83" t="n">
        <x:v>0.3348830642935988</x:v>
      </x:c>
      <x:c r="D2425" s="83" t="n">
        <x:v>0.8412966168291698</x:v>
      </x:c>
      <x:c r="E2425" s="81" t="n">
        <x:v>-0.07165843226139172</x:v>
      </x:c>
      <x:c r="F2425" s="81" t="n">
        <x:v>0.3580665132380091</x:v>
      </x:c>
      <x:c r="G2425" s="81" t="n">
        <x:v>0.002569468147173035</x:v>
      </x:c>
      <x:c r="H2425" s="59" t="n">
        <x:v>0</x:v>
      </x:c>
      <x:c r="I2425" s="81" t="n">
        <x:v>0</x:v>
      </x:c>
      <x:c r="J2425" s="79" t="n">
        <x:v>1.1885063259153058e-31</x:v>
      </x:c>
      <x:c r="K2425" s="81" t="n">
        <x:v>-1</x:v>
      </x:c>
      <x:c r="L2425" s="81" t="n">
        <x:v>-1</x:v>
      </x:c>
      <x:c r="M2425" s="80" t="n">
        <x:v>0.000002</x:v>
      </x:c>
      <x:c r="N2425" s="82" t="n">
        <x:v>0.3292843265987289</x:v>
      </x:c>
      <x:c r="O2425" s="82" t="n">
        <x:v>0.11137961402828332</x:v>
      </x:c>
      <x:c r="P2425" s="80" t="n">
        <x:v>291.3280856055501</x:v>
      </x:c>
      <x:c r="Q2425" s="81" t="n">
        <x:v>254204003757926.56</x:v>
      </x:c>
      <x:c r="R2425" s="81" t="n">
        <x:v>7.200103687877452</x:v>
      </x:c>
      <x:c r="S2425" s="81" t="n">
        <x:v>5.69599326312704e-10</x:v>
      </x:c>
      <x:c r="T2425" s="81" t="n">
        <x:v>2.5745641789129635e-27</x:v>
      </x:c>
    </x:row>
    <x:row r="2426">
      <x:c r="A2426" s="59" t="n">
        <x:v>2423</x:v>
      </x:c>
      <x:c r="B2426" s="193" t="n">
        <x:v>0.5519199304282665</x:v>
      </x:c>
      <x:c r="C2426" s="83" t="n">
        <x:v>2.496958967028267</x:v>
      </x:c>
      <x:c r="D2426" s="83" t="n">
        <x:v>1.471023294711286</x:v>
      </x:c>
      <x:c r="E2426" s="81" t="n">
        <x:v>0.03794472415558922</x:v>
      </x:c>
      <x:c r="F2426" s="81" t="n">
        <x:v>0.32228650333127007</x:v>
      </x:c>
      <x:c r="G2426" s="81" t="n">
        <x:v>0.010113092511685727</x:v>
      </x:c>
      <x:c r="H2426" s="59" t="n">
        <x:v>0</x:v>
      </x:c>
      <x:c r="I2426" s="81" t="n">
        <x:v>0</x:v>
      </x:c>
      <x:c r="J2426" s="79" t="n">
        <x:v>0.04673966173129413</x:v>
      </x:c>
      <x:c r="K2426" s="81" t="n">
        <x:v>52.41675626433616</x:v>
      </x:c>
      <x:c r="L2426" s="81" t="n">
        <x:v>-0.47224493978234117</x:v>
      </x:c>
      <x:c r="M2426" s="80" t="n">
        <x:v>160215.86906517684</x:v>
      </x:c>
      <x:c r="N2426" s="82" t="n">
        <x:v>0.23357142592670857</x:v>
      </x:c>
      <x:c r="O2426" s="82" t="n">
        <x:v>0.0711103428398526</x:v>
      </x:c>
      <x:c r="P2426" s="80" t="n">
        <x:v>403547.1668654175</x:v>
      </x:c>
      <x:c r="Q2426" s="81" t="n">
        <x:v>0.0048395606576383384</x:v>
      </x:c>
      <x:c r="R2426" s="81" t="n">
        <x:v>156.86823389300918</x:v>
      </x:c>
      <x:c r="S2426" s="81" t="n">
        <x:v>381.95918771032734</x:v>
      </x:c>
      <x:c r="T2426" s="81" t="n">
        <x:v>1012.4831160257036</x:v>
      </x:c>
    </x:row>
    <x:row r="2427">
      <x:c r="A2427" s="59" t="n">
        <x:v>2424</x:v>
      </x:c>
      <x:c r="B2427" s="193" t="n">
        <x:v>0.7401061702519656</x:v>
      </x:c>
      <x:c r="C2427" s="83" t="n">
        <x:v>1.2783956673083172</x:v>
      </x:c>
      <x:c r="D2427" s="83" t="n">
        <x:v>1.0496596807260492</x:v>
      </x:c>
      <x:c r="E2427" s="81" t="n">
        <x:v>0.009730989139665485</x:v>
      </x:c>
      <x:c r="F2427" s="81" t="n">
        <x:v>0.5641755592892879</x:v>
      </x:c>
      <x:c r="G2427" s="81" t="n">
        <x:v>0.04333442209102386</x:v>
      </x:c>
      <x:c r="H2427" s="59" t="n">
        <x:v>0</x:v>
      </x:c>
      <x:c r="I2427" s="81" t="n">
        <x:v>0</x:v>
      </x:c>
      <x:c r="J2427" s="79" t="n">
        <x:v>0.000255057149630975</x:v>
      </x:c>
      <x:c r="K2427" s="81" t="n">
        <x:v>-0.7085061147074572</x:v>
      </x:c>
      <x:c r="L2427" s="81" t="n">
        <x:v>-0.8724831731429608</x:v>
      </x:c>
      <x:c r="M2427" s="80" t="n">
        <x:v>6521.892679057105</x:v>
      </x:c>
      <x:c r="N2427" s="82" t="n">
        <x:v>0.2784009167447103</x:v>
      </x:c>
      <x:c r="O2427" s="82" t="n">
        <x:v>0.1483733392745695</x:v>
      </x:c>
      <x:c r="P2427" s="80" t="n">
        <x:v>16950.500289507218</x:v>
      </x:c>
      <x:c r="Q2427" s="81" t="n">
        <x:v>0.030658375463315037</x:v>
      </x:c>
      <x:c r="R2427" s="81" t="n">
        <x:v>15.728988883398335</x:v>
      </x:c>
      <x:c r="S2427" s="81" t="n">
        <x:v>5.92365302382496</x:v>
      </x:c>
      <x:c r="T2427" s="81" t="n">
        <x:v>5.525094706667521</x:v>
      </x:c>
    </x:row>
    <x:row r="2428">
      <x:c r="A2428" s="59" t="n">
        <x:v>2425</x:v>
      </x:c>
      <x:c r="B2428" s="193" t="n">
        <x:v>0.32024999242275953</x:v>
      </x:c>
      <x:c r="C2428" s="83" t="n">
        <x:v>0.37751703835894784</x:v>
      </x:c>
      <x:c r="D2428" s="83" t="n">
        <x:v>0.36880002817205354</x:v>
      </x:c>
      <x:c r="E2428" s="81" t="n">
        <x:v>0.039052308955951326</x:v>
      </x:c>
      <x:c r="F2428" s="81" t="n">
        <x:v>0.6373729317332618</x:v>
      </x:c>
      <x:c r="G2428" s="81" t="n">
        <x:v>-0.02129923573296297</x:v>
      </x:c>
      <x:c r="H2428" s="59" t="n">
        <x:v>0</x:v>
      </x:c>
      <x:c r="I2428" s="81" t="n">
        <x:v>0</x:v>
      </x:c>
      <x:c r="J2428" s="79" t="n">
        <x:v>0.00008732142794527785</x:v>
      </x:c>
      <x:c r="K2428" s="81" t="n">
        <x:v>-0.9002040823482539</x:v>
      </x:c>
      <x:c r="L2428" s="81" t="n">
        <x:v>-0.9072658528809786</x:v>
      </x:c>
      <x:c r="M2428" s="80" t="n">
        <x:v>2304.0091059591928</x:v>
      </x:c>
      <x:c r="N2428" s="82" t="n">
        <x:v>0.17838330288245932</x:v>
      </x:c>
      <x:c r="O2428" s="82" t="n">
        <x:v>0.10740358020954432</x:v>
      </x:c>
      <x:c r="P2428" s="80" t="n">
        <x:v>2214.571104006169</x:v>
      </x:c>
      <x:c r="Q2428" s="81" t="n">
        <x:v>0.005440078124161084</x:v>
      </x:c>
      <x:c r="R2428" s="81" t="n">
        <x:v>49.09774275045307</x:v>
      </x:c>
      <x:c r="S2428" s="81" t="n">
        <x:v>4.510628278339788</x:v>
      </x:c>
      <x:c r="T2428" s="81" t="n">
        <x:v>1.8915727711108739</x:v>
      </x:c>
    </x:row>
    <x:row r="2429">
      <x:c r="A2429" s="59" t="n">
        <x:v>2426</x:v>
      </x:c>
      <x:c r="B2429" s="193" t="n">
        <x:v>0.6808570751920342</x:v>
      </x:c>
      <x:c r="C2429" s="83" t="n">
        <x:v>0.24341943558080142</x:v>
      </x:c>
      <x:c r="D2429" s="83" t="n">
        <x:v>1.0339426758547334</x:v>
      </x:c>
      <x:c r="E2429" s="81" t="n">
        <x:v>-0.03773541260309317</x:v>
      </x:c>
      <x:c r="F2429" s="81" t="n">
        <x:v>0.5242023981758394</x:v>
      </x:c>
      <x:c r="G2429" s="81" t="n">
        <x:v>-0.030304640320145404</x:v>
      </x:c>
      <x:c r="H2429" s="59" t="n">
        <x:v>0</x:v>
      </x:c>
      <x:c r="I2429" s="81" t="n">
        <x:v>0</x:v>
      </x:c>
      <x:c r="J2429" s="79" t="n">
        <x:v>1.9783789375317795e-23</x:v>
      </x:c>
      <x:c r="K2429" s="81" t="n">
        <x:v>-1</x:v>
      </x:c>
      <x:c r="L2429" s="81" t="n">
        <x:v>-1</x:v>
      </x:c>
      <x:c r="M2429" s="80" t="n">
        <x:v>0.000002</x:v>
      </x:c>
      <x:c r="N2429" s="82" t="n">
        <x:v>0.2642866713809025</x:v>
      </x:c>
      <x:c r="O2429" s="82" t="n">
        <x:v>0.13087153806403856</x:v>
      </x:c>
      <x:c r="P2429" s="80" t="n">
        <x:v>452.22409720412924</x:v>
      </x:c>
      <x:c r="Q2429" s="81" t="n">
        <x:v>2808166.5025277697</x:v>
      </x:c>
      <x:c r="R2429" s="81" t="n">
        <x:v>13.729515159034092</x:v>
      </x:c>
      <x:c r="S2429" s="81" t="n">
        <x:v>5.009325799568982e-10</x:v>
      </x:c>
      <x:c r="T2429" s="81" t="n">
        <x:v>4.2856007021776455e-19</x:v>
      </x:c>
    </x:row>
    <x:row r="2430">
      <x:c r="A2430" s="59" t="n">
        <x:v>2427</x:v>
      </x:c>
      <x:c r="B2430" s="193" t="n">
        <x:v>0.46496376749128104</x:v>
      </x:c>
      <x:c r="C2430" s="83" t="n">
        <x:v>1.7580340855006915</x:v>
      </x:c>
      <x:c r="D2430" s="83" t="n">
        <x:v>2.387924218818478</x:v>
      </x:c>
      <x:c r="E2430" s="81" t="n">
        <x:v>-0.0628862213576016</x:v>
      </x:c>
      <x:c r="F2430" s="81" t="n">
        <x:v>0.5018877272028477</x:v>
      </x:c>
      <x:c r="G2430" s="81" t="n">
        <x:v>0.028234361235174893</x:v>
      </x:c>
      <x:c r="H2430" s="59" t="n">
        <x:v>0</x:v>
      </x:c>
      <x:c r="I2430" s="81" t="n">
        <x:v>0</x:v>
      </x:c>
      <x:c r="J2430" s="79" t="n">
        <x:v>6.961144613257312e-62</x:v>
      </x:c>
      <x:c r="K2430" s="81" t="n">
        <x:v>-1</x:v>
      </x:c>
      <x:c r="L2430" s="81" t="n">
        <x:v>-1</x:v>
      </x:c>
      <x:c r="M2430" s="80" t="n">
        <x:v>0.000002</x:v>
      </x:c>
      <x:c r="N2430" s="82" t="n">
        <x:v>0.21285683748706352</x:v>
      </x:c>
      <x:c r="O2430" s="82" t="n">
        <x:v>0.10091718391974853</x:v>
      </x:c>
      <x:c r="P2430" s="80" t="n">
        <x:v>852.242596886795</x:v>
      </x:c>
      <x:c r="Q2430" s="81" t="n">
        <x:v>4.905072400556638e+44</x:v>
      </x:c>
      <x:c r="R2430" s="81" t="n">
        <x:v>1.2754587913586128</x:v>
      </x:c>
      <x:c r="S2430" s="81" t="n">
        <x:v>1.0642550612682004e-9</x:v>
      </x:c>
      <x:c r="T2430" s="81" t="n">
        <x:v>1.5079359002757506e-57</x:v>
      </x:c>
    </x:row>
    <x:row r="2431">
      <x:c r="A2431" s="59" t="n">
        <x:v>2428</x:v>
      </x:c>
      <x:c r="B2431" s="193" t="n">
        <x:v>0.35005544647574427</x:v>
      </x:c>
      <x:c r="C2431" s="83" t="n">
        <x:v>1.817592704707344</x:v>
      </x:c>
      <x:c r="D2431" s="83" t="n">
        <x:v>1.6140163644216916</x:v>
      </x:c>
      <x:c r="E2431" s="81" t="n">
        <x:v>-0.12683023933622456</x:v>
      </x:c>
      <x:c r="F2431" s="81" t="n">
        <x:v>0.6454607299296186</x:v>
      </x:c>
      <x:c r="G2431" s="81" t="n">
        <x:v>0.014536175001932716</x:v>
      </x:c>
      <x:c r="H2431" s="59" t="n">
        <x:v>0</x:v>
      </x:c>
      <x:c r="I2431" s="81" t="n">
        <x:v>0</x:v>
      </x:c>
      <x:c r="J2431" s="79" t="n">
        <x:v>4.5270193002160017e-72</x:v>
      </x:c>
      <x:c r="K2431" s="81" t="n">
        <x:v>-1</x:v>
      </x:c>
      <x:c r="L2431" s="81" t="n">
        <x:v>-1</x:v>
      </x:c>
      <x:c r="M2431" s="80" t="n">
        <x:v>0.000002</x:v>
      </x:c>
      <x:c r="N2431" s="82" t="n">
        <x:v>0.18548352089014336</x:v>
      </x:c>
      <x:c r="O2431" s="82" t="n">
        <x:v>0.11309570125542041</x:v>
      </x:c>
      <x:c r="P2431" s="80" t="n">
        <x:v>469.32310901502694</x:v>
      </x:c>
      <x:c r="Q2431" s="81" t="n">
        <x:v>3.9647712558286516e+54</x:v>
      </x:c>
      <x:c r="R2431" s="81" t="n">
        <x:v>0.7622147652368942</x:v>
      </x:c>
      <x:c r="S2431" s="81" t="n">
        <x:v>5.981207387244088e-10</x:v>
      </x:c>
      <x:c r="T2431" s="81" t="n">
        <x:v>9.806512151803479e-68</x:v>
      </x:c>
    </x:row>
    <x:row r="2432">
      <x:c r="A2432" s="59" t="n">
        <x:v>2429</x:v>
      </x:c>
      <x:c r="B2432" s="193" t="n">
        <x:v>0.4500439932569862</x:v>
      </x:c>
      <x:c r="C2432" s="83" t="n">
        <x:v>1.0988762913461518</x:v>
      </x:c>
      <x:c r="D2432" s="83" t="n">
        <x:v>1.206527205373737</x:v>
      </x:c>
      <x:c r="E2432" s="81" t="n">
        <x:v>-0.04374221463055841</x:v>
      </x:c>
      <x:c r="F2432" s="81" t="n">
        <x:v>0.5209458494675345</x:v>
      </x:c>
      <x:c r="G2432" s="81" t="n">
        <x:v>0.0036821797679550137</x:v>
      </x:c>
      <x:c r="H2432" s="59" t="n">
        <x:v>0</x:v>
      </x:c>
      <x:c r="I2432" s="81" t="n">
        <x:v>0</x:v>
      </x:c>
      <x:c r="J2432" s="79" t="n">
        <x:v>9.171253942635048e-30</x:v>
      </x:c>
      <x:c r="K2432" s="81" t="n">
        <x:v>-1</x:v>
      </x:c>
      <x:c r="L2432" s="81" t="n">
        <x:v>-1</x:v>
      </x:c>
      <x:c r="M2432" s="80" t="n">
        <x:v>0.000002</x:v>
      </x:c>
      <x:c r="N2432" s="82" t="n">
        <x:v>0.20930266751868756</x:v>
      </x:c>
      <x:c r="O2432" s="82" t="n">
        <x:v>0.10300025204493361</x:v>
      </x:c>
      <x:c r="P2432" s="80" t="n">
        <x:v>756.0800532653752</x:v>
      </x:c>
      <x:c r="Q2432" s="81" t="n">
        <x:v>5256038819530.94</x:v>
      </x:c>
      <x:c r="R2432" s="81" t="n">
        <x:v>3.2718031305244195</x:v>
      </x:c>
      <x:c r="S2432" s="81" t="n">
        <x:v>5.26592876073836e-10</x:v>
      </x:c>
      <x:c r="T2432" s="81" t="n">
        <x:v>1.986693832549706e-25</x:v>
      </x:c>
    </x:row>
    <x:row r="2433">
      <x:c r="A2433" s="59" t="n">
        <x:v>2430</x:v>
      </x:c>
      <x:c r="B2433" s="193" t="n">
        <x:v>0.6008481495082378</x:v>
      </x:c>
      <x:c r="C2433" s="83" t="n">
        <x:v>0.9332018139845646</x:v>
      </x:c>
      <x:c r="D2433" s="83" t="n">
        <x:v>0.6834745261388445</x:v>
      </x:c>
      <x:c r="E2433" s="81" t="n">
        <x:v>0.07220914771453706</x:v>
      </x:c>
      <x:c r="F2433" s="81" t="n">
        <x:v>0.7201130578643642</x:v>
      </x:c>
      <x:c r="G2433" s="81" t="n">
        <x:v>0.00122890928110064</x:v>
      </x:c>
      <x:c r="H2433" s="59" t="n">
        <x:v>46</x:v>
      </x:c>
      <x:c r="I2433" s="81" t="n">
        <x:v>0.3682368433102966</x:v>
      </x:c>
      <x:c r="J2433" s="79" t="n">
        <x:v>0.0016176939106765775</x:v>
      </x:c>
      <x:c r="K2433" s="81" t="n">
        <x:v>0.8487930407732316</x:v>
      </x:c>
      <x:c r="L2433" s="81" t="n">
        <x:v>-0.8271364359777955</x:v>
      </x:c>
      <x:c r="M2433" s="80" t="n">
        <x:v>15992.357952884287</x:v>
      </x:c>
      <x:c r="N2433" s="82" t="n">
        <x:v>0.24522704511566562</x:v>
      </x:c>
      <x:c r="O2433" s="82" t="n">
        <x:v>0.16681687952777463</x:v>
      </x:c>
      <x:c r="P2433" s="80" t="n">
        <x:v>20762.23186914209</x:v>
      </x:c>
      <x:c r="Q2433" s="81" t="n">
        <x:v>0.005539550436041894</x:v>
      </x:c>
      <x:c r="R2433" s="81" t="n">
        <x:v>67.33599691289571</x:v>
      </x:c>
      <x:c r="S2433" s="81" t="n">
        <x:v>34.85908874173606</x:v>
      </x:c>
      <x:c r="T2433" s="81" t="n">
        <x:v>35.04278188562486</x:v>
      </x:c>
    </x:row>
    <x:row r="2434">
      <x:c r="A2434" s="59" t="n">
        <x:v>2431</x:v>
      </x:c>
      <x:c r="B2434" s="193" t="n">
        <x:v>0.8654242340475322</x:v>
      </x:c>
      <x:c r="C2434" s="83" t="n">
        <x:v>0.1513872721007954</x:v>
      </x:c>
      <x:c r="D2434" s="83" t="n">
        <x:v>0.8505140848172428</x:v>
      </x:c>
      <x:c r="E2434" s="81" t="n">
        <x:v>0.10458890992626298</x:v>
      </x:c>
      <x:c r="F2434" s="81" t="n">
        <x:v>0.7943511365097947</x:v>
      </x:c>
      <x:c r="G2434" s="81" t="n">
        <x:v>-0.01838474861140726</x:v>
      </x:c>
      <x:c r="H2434" s="59" t="n">
        <x:v>0</x:v>
      </x:c>
      <x:c r="I2434" s="81" t="n">
        <x:v>0</x:v>
      </x:c>
      <x:c r="J2434" s="79" t="n">
        <x:v>0.0006927496759789296</x:v>
      </x:c>
      <x:c r="K2434" s="81" t="n">
        <x:v>-0.2082860845955089</x:v>
      </x:c>
      <x:c r="L2434" s="81" t="n">
        <x:v>-0.8491209580189012</x:v>
      </x:c>
      <x:c r="M2434" s="80" t="n">
        <x:v>6913.967277240324</x:v>
      </x:c>
      <x:c r="N2434" s="82" t="n">
        <x:v>0.3082540292545105</x:v>
      </x:c>
      <x:c r="O2434" s="82" t="n">
        <x:v>0.2313088370699585</x:v>
      </x:c>
      <x:c r="P2434" s="80" t="n">
        <x:v>10585.800532499443</x:v>
      </x:c>
      <x:c r="Q2434" s="81" t="n">
        <x:v>0.005534258763407292</x:v>
      </x:c>
      <x:c r="R2434" s="81" t="n">
        <x:v>322.76623615366236</x:v>
      </x:c>
      <x:c r="S2434" s="81" t="n">
        <x:v>86.91017772325837</x:v>
      </x:c>
      <x:c r="T2434" s="81" t="n">
        <x:v>15.006470406081883</x:v>
      </x:c>
    </x:row>
    <x:row r="2435">
      <x:c r="A2435" s="59" t="n">
        <x:v>2432</x:v>
      </x:c>
      <x:c r="B2435" s="193" t="n">
        <x:v>0.43716673366725445</x:v>
      </x:c>
      <x:c r="C2435" s="83" t="n">
        <x:v>0.2684811360235842</x:v>
      </x:c>
      <x:c r="D2435" s="83" t="n">
        <x:v>0.3038510848728166</x:v>
      </x:c>
      <x:c r="E2435" s="81" t="n">
        <x:v>0.14658971630637693</x:v>
      </x:c>
      <x:c r="F2435" s="81" t="n">
        <x:v>0.850518141372595</x:v>
      </x:c>
      <x:c r="G2435" s="81" t="n">
        <x:v>0.018412287523376845</x:v>
      </x:c>
      <x:c r="H2435" s="59" t="n">
        <x:v>0</x:v>
      </x:c>
      <x:c r="I2435" s="81" t="n">
        <x:v>0</x:v>
      </x:c>
      <x:c r="J2435" s="79" t="n">
        <x:v>0.000848767953517573</x:v>
      </x:c>
      <x:c r="K2435" s="81" t="n">
        <x:v>-0.02997948169420217</x:v>
      </x:c>
      <x:c r="L2435" s="81" t="n">
        <x:v>-0.8021633047056838</x:v>
      </x:c>
      <x:c r="M2435" s="80" t="n">
        <x:v>7614.067078369166</x:v>
      </x:c>
      <x:c r="N2435" s="82" t="n">
        <x:v>0.2062350628357963</x:v>
      </x:c>
      <x:c r="O2435" s="82" t="n">
        <x:v>0.1656979085063777</x:v>
      </x:c>
      <x:c r="P2435" s="80" t="n">
        <x:v>4914.204368529454</x:v>
      </x:c>
      <x:c r="Q2435" s="81" t="n">
        <x:v>0.002802011012822592</x:v>
      </x:c>
      <x:c r="R2435" s="81" t="n">
        <x:v>123.63405709791556</x:v>
      </x:c>
      <x:c r="S2435" s="81" t="n">
        <x:v>59.823304052720616</x:v>
      </x:c>
      <x:c r="T2435" s="81" t="n">
        <x:v>18.386166919664568</x:v>
      </x:c>
    </x:row>
    <x:row r="2436">
      <x:c r="A2436" s="59" t="n">
        <x:v>2433</x:v>
      </x:c>
      <x:c r="B2436" s="193" t="n">
        <x:v>0.9609069928526879</x:v>
      </x:c>
      <x:c r="C2436" s="83" t="n">
        <x:v>0.8340836674140263</x:v>
      </x:c>
      <x:c r="D2436" s="83" t="n">
        <x:v>0.5987008307601008</x:v>
      </x:c>
      <x:c r="E2436" s="81" t="n">
        <x:v>0.05057627890965672</x:v>
      </x:c>
      <x:c r="F2436" s="81" t="n">
        <x:v>0.3758186656865291</x:v>
      </x:c>
      <x:c r="G2436" s="81" t="n">
        <x:v>-0.021262139418617678</x:v>
      </x:c>
      <x:c r="H2436" s="59" t="n">
        <x:v>0</x:v>
      </x:c>
      <x:c r="I2436" s="81" t="n">
        <x:v>0</x:v>
      </x:c>
      <x:c r="J2436" s="79" t="n">
        <x:v>0.0006021204984651626</x:v>
      </x:c>
      <x:c r="K2436" s="81" t="n">
        <x:v>-0.3118622874683855</x:v>
      </x:c>
      <x:c r="L2436" s="81" t="n">
        <x:v>-0.7357540505590543</x:v>
      </x:c>
      <x:c r="M2436" s="80" t="n">
        <x:v>8498.830968158836</x:v>
      </x:c>
      <x:c r="N2436" s="82" t="n">
        <x:v>0.3309998127036261</x:v>
      </x:c>
      <x:c r="O2436" s="82" t="n">
        <x:v>0.11751059794906205</x:v>
      </x:c>
      <x:c r="P2436" s="80" t="n">
        <x:v>10683.860463884419</x:v>
      </x:c>
      <x:c r="Q2436" s="81" t="n">
        <x:v>0.005099525894682415</x:v>
      </x:c>
      <x:c r="R2436" s="81" t="n">
        <x:v>50.052699878902516</x:v>
      </x:c>
      <x:c r="S2436" s="81" t="n">
        <x:v>14.384115293574597</x:v>
      </x:c>
      <x:c r="T2436" s="81" t="n">
        <x:v>13.04324455777524</x:v>
      </x:c>
    </x:row>
    <x:row r="2437">
      <x:c r="A2437" s="59" t="n">
        <x:v>2434</x:v>
      </x:c>
      <x:c r="B2437" s="193" t="n">
        <x:v>0.2252995813265443</x:v>
      </x:c>
      <x:c r="C2437" s="83" t="n">
        <x:v>1.5589292937532089</x:v>
      </x:c>
      <x:c r="D2437" s="83" t="n">
        <x:v>0.9676253483346071</x:v>
      </x:c>
      <x:c r="E2437" s="81" t="n">
        <x:v>-0.07499753594319163</x:v>
      </x:c>
      <x:c r="F2437" s="81" t="n">
        <x:v>0.4731048009824008</x:v>
      </x:c>
      <x:c r="G2437" s="81" t="n">
        <x:v>0.021763702681863957</x:v>
      </x:c>
      <x:c r="H2437" s="59" t="n">
        <x:v>0</x:v>
      </x:c>
      <x:c r="I2437" s="81" t="n">
        <x:v>0</x:v>
      </x:c>
      <x:c r="J2437" s="79" t="n">
        <x:v>7.350305647975349e-38</x:v>
      </x:c>
      <x:c r="K2437" s="81" t="n">
        <x:v>-1</x:v>
      </x:c>
      <x:c r="L2437" s="81" t="n">
        <x:v>-1</x:v>
      </x:c>
      <x:c r="M2437" s="80" t="n">
        <x:v>0.000002</x:v>
      </x:c>
      <x:c r="N2437" s="82" t="n">
        <x:v>0.15576433463913267</x:v>
      </x:c>
      <x:c r="O2437" s="82" t="n">
        <x:v>0.06961395711513287</x:v>
      </x:c>
      <x:c r="P2437" s="80" t="n">
        <x:v>578.6489212130476</x:v>
      </x:c>
      <x:c r="Q2437" s="81" t="n">
        <x:v>393957956727348500000</x:v>
      </x:c>
      <x:c r="R2437" s="81" t="n">
        <x:v>1.8339178970722803</x:v>
      </x:c>
      <x:c r="S2437" s="81" t="n">
        <x:v>4.30444454160055e-10</x:v>
      </x:c>
      <x:c r="T2437" s="81" t="n">
        <x:v>1.5922366766340216e-33</x:v>
      </x:c>
    </x:row>
    <x:row r="2438">
      <x:c r="A2438" s="59" t="n">
        <x:v>2435</x:v>
      </x:c>
      <x:c r="B2438" s="193" t="n">
        <x:v>0.2435489857569337</x:v>
      </x:c>
      <x:c r="C2438" s="83" t="n">
        <x:v>0.5160588397041678</x:v>
      </x:c>
      <x:c r="D2438" s="83" t="n">
        <x:v>0.8261561198220447</x:v>
      </x:c>
      <x:c r="E2438" s="81" t="n">
        <x:v>0.07911605612724901</x:v>
      </x:c>
      <x:c r="F2438" s="81" t="n">
        <x:v>0.45942570455372334</x:v>
      </x:c>
      <x:c r="G2438" s="81" t="n">
        <x:v>-0.013177092737145308</x:v>
      </x:c>
      <x:c r="H2438" s="59" t="n">
        <x:v>0</x:v>
      </x:c>
      <x:c r="I2438" s="81" t="n">
        <x:v>0</x:v>
      </x:c>
      <x:c r="J2438" s="79" t="n">
        <x:v>0.007511453631905026</x:v>
      </x:c>
      <x:c r="K2438" s="81" t="n">
        <x:v>7.584518436462888</x:v>
      </x:c>
      <x:c r="L2438" s="81" t="n">
        <x:v>-0.670308469785053</x:v>
      </x:c>
      <x:c r="M2438" s="80" t="n">
        <x:v>28009.153402073443</x:v>
      </x:c>
      <x:c r="N2438" s="82" t="n">
        <x:v>0.1601116849507847</x:v>
      </x:c>
      <x:c r="O2438" s="82" t="n">
        <x:v>0.06948791163643717</x:v>
      </x:c>
      <x:c r="P2438" s="80" t="n">
        <x:v>41215.84421665673</x:v>
      </x:c>
      <x:c r="Q2438" s="81" t="n">
        <x:v>0.0021778932913717407</x:v>
      </x:c>
      <x:c r="R2438" s="81" t="n">
        <x:v>414.0638314062452</x:v>
      </x:c>
      <x:c r="S2438" s="81" t="n">
        <x:v>276.34227542723005</x:v>
      </x:c>
      <x:c r="T2438" s="81" t="n">
        <x:v>162.71448481668796</x:v>
      </x:c>
    </x:row>
    <x:row r="2439">
      <x:c r="A2439" s="59" t="n">
        <x:v>2436</x:v>
      </x:c>
      <x:c r="B2439" s="193" t="n">
        <x:v>0.6809609889984132</x:v>
      </x:c>
      <x:c r="C2439" s="83" t="n">
        <x:v>0.32306306519199035</x:v>
      </x:c>
      <x:c r="D2439" s="83" t="n">
        <x:v>0.3092189731266165</x:v>
      </x:c>
      <x:c r="E2439" s="81" t="n">
        <x:v>0.1036375984241494</x:v>
      </x:c>
      <x:c r="F2439" s="81" t="n">
        <x:v>0.7032628665096127</x:v>
      </x:c>
      <x:c r="G2439" s="81" t="n">
        <x:v>-0.011498845723780928</x:v>
      </x:c>
      <x:c r="H2439" s="59" t="n">
        <x:v>0</x:v>
      </x:c>
      <x:c r="I2439" s="81" t="n">
        <x:v>0</x:v>
      </x:c>
      <x:c r="J2439" s="79" t="n">
        <x:v>0.00019992867893089925</x:v>
      </x:c>
      <x:c r="K2439" s="81" t="n">
        <x:v>-0.7715100812218294</x:v>
      </x:c>
      <x:c r="L2439" s="81" t="n">
        <x:v>-0.8644421152783305</x:v>
      </x:c>
      <x:c r="M2439" s="80" t="n">
        <x:v>3583.66338228062</x:v>
      </x:c>
      <x:c r="N2439" s="82" t="n">
        <x:v>0.26431142559796583</x:v>
      </x:c>
      <x:c r="O2439" s="82" t="n">
        <x:v>0.17559193531066952</x:v>
      </x:c>
      <x:c r="P2439" s="80" t="n">
        <x:v>2545.857901168009</x:v>
      </x:c>
      <x:c r="Q2439" s="81" t="n">
        <x:v>0.003865513736234101</x:v>
      </x:c>
      <x:c r="R2439" s="81" t="n">
        <x:v>69.25179520150904</x:v>
      </x:c>
      <x:c r="S2439" s="81" t="n">
        <x:v>11.840044888695104</x:v>
      </x:c>
      <x:c r="T2439" s="81" t="n">
        <x:v>4.330891673769385</x:v>
      </x:c>
    </x:row>
    <x:row r="2440">
      <x:c r="A2440" s="59" t="n">
        <x:v>2437</x:v>
      </x:c>
      <x:c r="B2440" s="193" t="n">
        <x:v>0.5318646421656013</x:v>
      </x:c>
      <x:c r="C2440" s="83" t="n">
        <x:v>1.33408907906764</x:v>
      </x:c>
      <x:c r="D2440" s="83" t="n">
        <x:v>0.5866136488513165</x:v>
      </x:c>
      <x:c r="E2440" s="81" t="n">
        <x:v>0.07226287492440849</x:v>
      </x:c>
      <x:c r="F2440" s="81" t="n">
        <x:v>0.6977186404401436</x:v>
      </x:c>
      <x:c r="G2440" s="81" t="n">
        <x:v>-0.03074709335486824</x:v>
      </x:c>
      <x:c r="H2440" s="59" t="n">
        <x:v>0</x:v>
      </x:c>
      <x:c r="I2440" s="81" t="n">
        <x:v>0</x:v>
      </x:c>
      <x:c r="J2440" s="79" t="n">
        <x:v>0.0009652385639695323</x:v>
      </x:c>
      <x:c r="K2440" s="81" t="n">
        <x:v>0.10312978739375134</x:v>
      </x:c>
      <x:c r="L2440" s="81" t="n">
        <x:v>-0.7433156212009802</x:v>
      </x:c>
      <x:c r="M2440" s="80" t="n">
        <x:v>14147.678058171581</x:v>
      </x:c>
      <x:c r="N2440" s="82" t="n">
        <x:v>0.2287938802258868</x:v>
      </x:c>
      <x:c r="O2440" s="82" t="n">
        <x:v>0.15079803120344004</x:v>
      </x:c>
      <x:c r="P2440" s="80" t="n">
        <x:v>16879.377518809295</x:v>
      </x:c>
      <x:c r="Q2440" s="81" t="n">
        <x:v>0.004779517210236582</x:v>
      </x:c>
      <x:c r="R2440" s="81" t="n">
        <x:v>49.939492855148515</x:v>
      </x:c>
      <x:c r="S2440" s="81" t="n">
        <x:v>14.5717593843609</x:v>
      </x:c>
      <x:c r="T2440" s="81" t="n">
        <x:v>20.909174622924443</x:v>
      </x:c>
    </x:row>
    <x:row r="2441">
      <x:c r="A2441" s="59" t="n">
        <x:v>2438</x:v>
      </x:c>
      <x:c r="B2441" s="193" t="n">
        <x:v>0.9368594082072377</x:v>
      </x:c>
      <x:c r="C2441" s="83" t="n">
        <x:v>0.5369139586491035</x:v>
      </x:c>
      <x:c r="D2441" s="83" t="n">
        <x:v>1.214991885927378</x:v>
      </x:c>
      <x:c r="E2441" s="81" t="n">
        <x:v>0.05086973724857868</x:v>
      </x:c>
      <x:c r="F2441" s="81" t="n">
        <x:v>0.27630538642406466</x:v>
      </x:c>
      <x:c r="G2441" s="81" t="n">
        <x:v>0.007714125030073406</x:v>
      </x:c>
      <x:c r="H2441" s="59" t="n">
        <x:v>0</x:v>
      </x:c>
      <x:c r="I2441" s="81" t="n">
        <x:v>0</x:v>
      </x:c>
      <x:c r="J2441" s="79" t="n">
        <x:v>0.007536155299425021</x:v>
      </x:c>
      <x:c r="K2441" s="81" t="n">
        <x:v>7.612748913628597</x:v>
      </x:c>
      <x:c r="L2441" s="81" t="n">
        <x:v>-0.6707270614640649</x:v>
      </x:c>
      <x:c r="M2441" s="80" t="n">
        <x:v>28882.627330306517</x:v>
      </x:c>
      <x:c r="N2441" s="82" t="n">
        <x:v>0.3252712271488683</x:v>
      </x:c>
      <x:c r="O2441" s="82" t="n">
        <x:v>0.0848996581064764</x:v>
      </x:c>
      <x:c r="P2441" s="80" t="n">
        <x:v>61732.852410239</x:v>
      </x:c>
      <x:c r="Q2441" s="81" t="n">
        <x:v>0.004065514597154879</x:v>
      </x:c>
      <x:c r="R2441" s="81" t="n">
        <x:v>291.0776465315926</x:v>
      </x:c>
      <x:c r="S2441" s="81" t="n">
        <x:v>272.0578770393456</x:v>
      </x:c>
      <x:c r="T2441" s="81" t="n">
        <x:v>163.2495768643253</x:v>
      </x:c>
    </x:row>
    <x:row r="2442">
      <x:c r="A2442" s="59" t="n">
        <x:v>2439</x:v>
      </x:c>
      <x:c r="B2442" s="193" t="n">
        <x:v>0.2904634678736329</x:v>
      </x:c>
      <x:c r="C2442" s="83" t="n">
        <x:v>0.2527680053761115</x:v>
      </x:c>
      <x:c r="D2442" s="83" t="n">
        <x:v>0.9696095147208055</x:v>
      </x:c>
      <x:c r="E2442" s="81" t="n">
        <x:v>-0.01717780045937787</x:v>
      </x:c>
      <x:c r="F2442" s="81" t="n">
        <x:v>0.7019049793831074</x:v>
      </x:c>
      <x:c r="G2442" s="81" t="n">
        <x:v>0.03431221750165022</x:v>
      </x:c>
      <x:c r="H2442" s="59" t="n">
        <x:v>54</x:v>
      </x:c>
      <x:c r="I2442" s="81" t="n">
        <x:v>0.4383909271098674</x:v>
      </x:c>
      <x:c r="J2442" s="79" t="n">
        <x:v>2.2476637729397438e-17</x:v>
      </x:c>
      <x:c r="K2442" s="81" t="n">
        <x:v>-0.9999999999999744</x:v>
      </x:c>
      <x:c r="L2442" s="81" t="n">
        <x:v>-0.9999999999999744</x:v>
      </x:c>
      <x:c r="M2442" s="80" t="n">
        <x:v>0.0010512614167624752</x:v>
      </x:c>
      <x:c r="N2442" s="82" t="n">
        <x:v>0.17128759423752182</x:v>
      </x:c>
      <x:c r="O2442" s="82" t="n">
        <x:v>0.11357302017906278</x:v>
      </x:c>
      <x:c r="P2442" s="80" t="n">
        <x:v>778.0219912709173</x:v>
      </x:c>
      <x:c r="Q2442" s="81" t="n">
        <x:v>2797.508098264576</x:v>
      </x:c>
      <x:c r="R2442" s="81" t="n">
        <x:v>23.130105532445523</x:v>
      </x:c>
      <x:c r="S2442" s="81" t="n">
        <x:v>5.639566470187711e-7</x:v>
      </x:c>
      <x:c r="T2442" s="81" t="n">
        <x:v>4.868930446453001e-13</x:v>
      </x:c>
    </x:row>
    <x:row r="2443">
      <x:c r="A2443" s="59" t="n">
        <x:v>2440</x:v>
      </x:c>
      <x:c r="B2443" s="193" t="n">
        <x:v>0.6108048450201751</x:v>
      </x:c>
      <x:c r="C2443" s="83" t="n">
        <x:v>1.6944654864380806</x:v>
      </x:c>
      <x:c r="D2443" s="83" t="n">
        <x:v>1.7873544915020911</x:v>
      </x:c>
      <x:c r="E2443" s="81" t="n">
        <x:v>0.01680205477298905</x:v>
      </x:c>
      <x:c r="F2443" s="81" t="n">
        <x:v>0.507897799788043</x:v>
      </x:c>
      <x:c r="G2443" s="81" t="n">
        <x:v>0.010721933446449741</x:v>
      </x:c>
      <x:c r="H2443" s="59" t="n">
        <x:v>0</x:v>
      </x:c>
      <x:c r="I2443" s="81" t="n">
        <x:v>0</x:v>
      </x:c>
      <x:c r="J2443" s="79" t="n">
        <x:v>0.002641364408439187</x:v>
      </x:c>
      <x:c r="K2443" s="81" t="n">
        <x:v>2.018702181073357</x:v>
      </x:c>
      <x:c r="L2443" s="81" t="n">
        <x:v>-0.5756007039171215</x:v>
      </x:c>
      <x:c r="M2443" s="80" t="n">
        <x:v>26654.840510071586</x:v>
      </x:c>
      <x:c r="N2443" s="82" t="n">
        <x:v>0.24759891667464984</x:v>
      </x:c>
      <x:c r="O2443" s="82" t="n">
        <x:v>0.11879441234244571</x:v>
      </x:c>
      <x:c r="P2443" s="80" t="n">
        <x:v>91600.5023767203</x:v>
      </x:c>
      <x:c r="Q2443" s="81" t="n">
        <x:v>0.01577932226335887</x:v>
      </x:c>
      <x:c r="R2443" s="81" t="n">
        <x:v>38.49822736060277</x:v>
      </x:c>
      <x:c r="S2443" s="81" t="n">
        <x:v>37.882313521875815</x:v>
      </x:c>
      <x:c r="T2443" s="81" t="n">
        <x:v>57.21771976422583</x:v>
      </x:c>
    </x:row>
    <x:row r="2444">
      <x:c r="A2444" s="59" t="n">
        <x:v>2441</x:v>
      </x:c>
      <x:c r="B2444" s="193" t="n">
        <x:v>0.7231318846344947</x:v>
      </x:c>
      <x:c r="C2444" s="83" t="n">
        <x:v>1.5407381080383038</x:v>
      </x:c>
      <x:c r="D2444" s="83" t="n">
        <x:v>0.6325700191962718</x:v>
      </x:c>
      <x:c r="E2444" s="81" t="n">
        <x:v>0.00330245651221239</x:v>
      </x:c>
      <x:c r="F2444" s="81" t="n">
        <x:v>0.5251118478714489</x:v>
      </x:c>
      <x:c r="G2444" s="81" t="n">
        <x:v>0.007709470500709337</x:v>
      </x:c>
      <x:c r="H2444" s="59" t="n">
        <x:v>0</x:v>
      </x:c>
      <x:c r="I2444" s="81" t="n">
        <x:v>0</x:v>
      </x:c>
      <x:c r="J2444" s="79" t="n">
        <x:v>0.000009736011017847873</x:v>
      </x:c>
      <x:c r="K2444" s="81" t="n">
        <x:v>-0.9888731302653168</x:v>
      </x:c>
      <x:c r="L2444" s="81" t="n">
        <x:v>-0.9888731302653168</x:v>
      </x:c>
      <x:c r="M2444" s="80" t="n">
        <x:v>1361.9367093551828</x:v>
      </x:c>
      <x:c r="N2444" s="82" t="n">
        <x:v>0.27435732364277376</x:v>
      </x:c>
      <x:c r="O2444" s="82" t="n">
        <x:v>0.13609410588618726</x:v>
      </x:c>
      <x:c r="P2444" s="80" t="n">
        <x:v>4384.371290302302</x:v>
      </x:c>
      <x:c r="Q2444" s="81" t="n">
        <x:v>0.04543665250138697</x:v>
      </x:c>
      <x:c r="R2444" s="81" t="n">
        <x:v>9.7269602100024</x:v>
      </x:c>
      <x:c r="S2444" s="81" t="n">
        <x:v>0.2811019743941522</x:v>
      </x:c>
      <x:c r="T2444" s="81" t="n">
        <x:v>0.21090325449255795</x:v>
      </x:c>
    </x:row>
    <x:row r="2445">
      <x:c r="A2445" s="59" t="n">
        <x:v>2442</x:v>
      </x:c>
      <x:c r="B2445" s="193" t="n">
        <x:v>0.8915242237970233</x:v>
      </x:c>
      <x:c r="C2445" s="83" t="n">
        <x:v>0.40907641692621466</x:v>
      </x:c>
      <x:c r="D2445" s="83" t="n">
        <x:v>1.0309779036863933</x:v>
      </x:c>
      <x:c r="E2445" s="81" t="n">
        <x:v>0.1023098780865869</x:v>
      </x:c>
      <x:c r="F2445" s="81" t="n">
        <x:v>0.7183467896538787</x:v>
      </x:c>
      <x:c r="G2445" s="81" t="n">
        <x:v>-0.0008099137092571568</x:v>
      </x:c>
      <x:c r="H2445" s="59" t="n">
        <x:v>0</x:v>
      </x:c>
      <x:c r="I2445" s="81" t="n">
        <x:v>0</x:v>
      </x:c>
      <x:c r="J2445" s="79" t="n">
        <x:v>0.0027386197031218995</x:v>
      </x:c>
      <x:c r="K2445" s="81" t="n">
        <x:v>2.1298510892821714</x:v>
      </x:c>
      <x:c r="L2445" s="81" t="n">
        <x:v>-0.8172750035602528</x:v>
      </x:c>
      <x:c r="M2445" s="80" t="n">
        <x:v>18177.514174483567</x:v>
      </x:c>
      <x:c r="N2445" s="82" t="n">
        <x:v>0.31447153618764706</x:v>
      </x:c>
      <x:c r="O2445" s="82" t="n">
        <x:v>0.21339608093486717</x:v>
      </x:c>
      <x:c r="P2445" s="80" t="n">
        <x:v>30929.157820175216</x:v>
      </x:c>
      <x:c r="Q2445" s="81" t="n">
        <x:v>0.0054516367108784275</x:v>
      </x:c>
      <x:c r="R2445" s="81" t="n">
        <x:v>243.52217805850125</x:v>
      </x:c>
      <x:c r="S2445" s="81" t="n">
        <x:v>130.54006443645122</x:v>
      </x:c>
      <x:c r="T2445" s="81" t="n">
        <x:v>59.324481776677914</x:v>
      </x:c>
    </x:row>
    <x:row r="2446">
      <x:c r="A2446" s="59" t="n">
        <x:v>2443</x:v>
      </x:c>
      <x:c r="B2446" s="193" t="n">
        <x:v>0.6283439243212343</x:v>
      </x:c>
      <x:c r="C2446" s="83" t="n">
        <x:v>0.24876192699406746</x:v>
      </x:c>
      <x:c r="D2446" s="83" t="n">
        <x:v>1.1049494710208427</x:v>
      </x:c>
      <x:c r="E2446" s="81" t="n">
        <x:v>-0.05897434011406314</x:v>
      </x:c>
      <x:c r="F2446" s="81" t="n">
        <x:v>0.5298606652300806</x:v>
      </x:c>
      <x:c r="G2446" s="81" t="n">
        <x:v>0.04062120366723643</x:v>
      </x:c>
      <x:c r="H2446" s="59" t="n">
        <x:v>61</x:v>
      </x:c>
      <x:c r="I2446" s="81" t="n">
        <x:v>0.43120384002104406</x:v>
      </x:c>
      <x:c r="J2446" s="79" t="n">
        <x:v>7.560108147836308e-38</x:v>
      </x:c>
      <x:c r="K2446" s="81" t="n">
        <x:v>-1</x:v>
      </x:c>
      <x:c r="L2446" s="81" t="n">
        <x:v>-1</x:v>
      </x:c>
      <x:c r="M2446" s="80" t="n">
        <x:v>0.000002</x:v>
      </x:c>
      <x:c r="N2446" s="82" t="n">
        <x:v>0.25177705422189894</x:v>
      </x:c>
      <x:c r="O2446" s="82" t="n">
        <x:v>0.12602269717051506</x:v>
      </x:c>
      <x:c r="P2446" s="80" t="n">
        <x:v>331.81331930627886</x:v>
      </x:c>
      <x:c r="Q2446" s="81" t="n">
        <x:v>479831924873865000000</x:v>
      </x:c>
      <x:c r="R2446" s="81" t="n">
        <x:v>8.76826369540591</x:v>
      </x:c>
      <x:c r="S2446" s="81" t="n">
        <x:v>1.2582329003028883e-9</x:v>
      </x:c>
      <x:c r="T2446" s="81" t="n">
        <x:v>1.6376844785523182e-33</x:v>
      </x:c>
    </x:row>
    <x:row r="2447">
      <x:c r="A2447" s="59" t="n">
        <x:v>2444</x:v>
      </x:c>
      <x:c r="B2447" s="193" t="n">
        <x:v>0.5108905736356975</x:v>
      </x:c>
      <x:c r="C2447" s="83" t="n">
        <x:v>0.10575425844228348</x:v>
      </x:c>
      <x:c r="D2447" s="83" t="n">
        <x:v>0.41103950253016514</x:v>
      </x:c>
      <x:c r="E2447" s="81" t="n">
        <x:v>-0.08592642202610437</x:v>
      </x:c>
      <x:c r="F2447" s="81" t="n">
        <x:v>0.6184465260477736</x:v>
      </x:c>
      <x:c r="G2447" s="81" t="n">
        <x:v>-0.020501650489737185</x:v>
      </x:c>
      <x:c r="H2447" s="59" t="n">
        <x:v>44</x:v>
      </x:c>
      <x:c r="I2447" s="81" t="n">
        <x:v>0.41330987215042114</x:v>
      </x:c>
      <x:c r="J2447" s="79" t="n">
        <x:v>4.793800908736006e-23</x:v>
      </x:c>
      <x:c r="K2447" s="81" t="n">
        <x:v>-1</x:v>
      </x:c>
      <x:c r="L2447" s="81" t="n">
        <x:v>-1</x:v>
      </x:c>
      <x:c r="M2447" s="80" t="n">
        <x:v>0.000002</x:v>
      </x:c>
      <x:c r="N2447" s="82" t="n">
        <x:v>0.22379746383827884</x:v>
      </x:c>
      <x:c r="O2447" s="82" t="n">
        <x:v>0.1307459535548245</x:v>
      </x:c>
      <x:c r="P2447" s="80" t="n">
        <x:v>170.84957415769404</x:v>
      </x:c>
      <x:c r="Q2447" s="81" t="n">
        <x:v>532584.4441677528</x:v>
      </x:c>
      <x:c r="R2447" s="81" t="n">
        <x:v>31.515074830808853</x:v>
      </x:c>
      <x:c r="S2447" s="81" t="n">
        <x:v>2.5308953144773583e-10</x:v>
      </x:c>
      <x:c r="T2447" s="81" t="n">
        <x:v>1.0384419360130217e-18</x:v>
      </x:c>
    </x:row>
    <x:row r="2448">
      <x:c r="A2448" s="59" t="n">
        <x:v>2445</x:v>
      </x:c>
      <x:c r="B2448" s="193" t="n">
        <x:v>0.8956186423078181</x:v>
      </x:c>
      <x:c r="C2448" s="83" t="n">
        <x:v>0.19196948404620495</x:v>
      </x:c>
      <x:c r="D2448" s="83" t="n">
        <x:v>0.5106722809199177</x:v>
      </x:c>
      <x:c r="E2448" s="81" t="n">
        <x:v>0.008718614294338858</x:v>
      </x:c>
      <x:c r="F2448" s="81" t="n">
        <x:v>0.2725654557463713</x:v>
      </x:c>
      <x:c r="G2448" s="81" t="n">
        <x:v>-0.04856062733036903</x:v>
      </x:c>
      <x:c r="H2448" s="59" t="n">
        <x:v>0</x:v>
      </x:c>
      <x:c r="I2448" s="81" t="n">
        <x:v>0</x:v>
      </x:c>
      <x:c r="J2448" s="79" t="n">
        <x:v>0.000008549973495334318</x:v>
      </x:c>
      <x:c r="K2448" s="81" t="n">
        <x:v>-0.9902286017196179</x:v>
      </x:c>
      <x:c r="L2448" s="81" t="n">
        <x:v>-0.9902286017196179</x:v>
      </x:c>
      <x:c r="M2448" s="80" t="n">
        <x:v>601.8318469934368</x:v>
      </x:c>
      <x:c r="N2448" s="82" t="n">
        <x:v>0.3154469034472655</x:v>
      </x:c>
      <x:c r="O2448" s="82" t="n">
        <x:v>0.08122094235178307</x:v>
      </x:c>
      <x:c r="P2448" s="80" t="n">
        <x:v>1339.178047941261</x:v>
      </x:c>
      <x:c r="Q2448" s="81" t="n">
        <x:v>0.011744860143375807</x:v>
      </x:c>
      <x:c r="R2448" s="81" t="n">
        <x:v>69.15264934650686</x:v>
      </x:c>
      <x:c r="S2448" s="81" t="n">
        <x:v>0.8893596821088747</x:v>
      </x:c>
      <x:c r="T2448" s="81" t="n">
        <x:v>0.18521109237504912</x:v>
      </x:c>
    </x:row>
    <x:row r="2449">
      <x:c r="A2449" s="59" t="n">
        <x:v>2446</x:v>
      </x:c>
      <x:c r="B2449" s="193" t="n">
        <x:v>0.6682251064106822</x:v>
      </x:c>
      <x:c r="C2449" s="83" t="n">
        <x:v>1.1801809854886758</x:v>
      </x:c>
      <x:c r="D2449" s="83" t="n">
        <x:v>0.6385381084334295</x:v>
      </x:c>
      <x:c r="E2449" s="81" t="n">
        <x:v>-0.0584923033813506</x:v>
      </x:c>
      <x:c r="F2449" s="81" t="n">
        <x:v>0.3571593888802454</x:v>
      </x:c>
      <x:c r="G2449" s="81" t="n">
        <x:v>-0.023702285101816593</x:v>
      </x:c>
      <x:c r="H2449" s="59" t="n">
        <x:v>18</x:v>
      </x:c>
      <x:c r="I2449" s="81" t="n">
        <x:v>0.3520403613336385</x:v>
      </x:c>
      <x:c r="J2449" s="79" t="n">
        <x:v>1.4694552314402856e-23</x:v>
      </x:c>
      <x:c r="K2449" s="81" t="n">
        <x:v>-1</x:v>
      </x:c>
      <x:c r="L2449" s="81" t="n">
        <x:v>-1</x:v>
      </x:c>
      <x:c r="M2449" s="80" t="n">
        <x:v>0.000002</x:v>
      </x:c>
      <x:c r="N2449" s="82" t="n">
        <x:v>0.26127749956776974</x:v>
      </x:c>
      <x:c r="O2449" s="82" t="n">
        <x:v>0.08815257933719413</x:v>
      </x:c>
      <x:c r="P2449" s="80" t="n">
        <x:v>550.0572816365105</x:v>
      </x:c>
      <x:c r="Q2449" s="81" t="n">
        <x:v>2487868.5023977514</x:v>
      </x:c>
      <x:c r="R2449" s="81" t="n">
        <x:v>3.699506858925038</x:v>
      </x:c>
      <x:c r="S2449" s="81" t="n">
        <x:v>1.9162376388492352e-10</x:v>
      </x:c>
      <x:c r="T2449" s="81" t="n">
        <x:v>3.183160845583933e-19</x:v>
      </x:c>
    </x:row>
    <x:row r="2450">
      <x:c r="A2450" s="59" t="n">
        <x:v>2447</x:v>
      </x:c>
      <x:c r="B2450" s="193" t="n">
        <x:v>0.8827618937939405</x:v>
      </x:c>
      <x:c r="C2450" s="83" t="n">
        <x:v>0.9608205017161613</x:v>
      </x:c>
      <x:c r="D2450" s="83" t="n">
        <x:v>0.8714474284668177</x:v>
      </x:c>
      <x:c r="E2450" s="81" t="n">
        <x:v>0.0899861807724646</x:v>
      </x:c>
      <x:c r="F2450" s="81" t="n">
        <x:v>0.557841760176234</x:v>
      </x:c>
      <x:c r="G2450" s="81" t="n">
        <x:v>-0.05</x:v>
      </x:c>
      <x:c r="H2450" s="59" t="n">
        <x:v>0</x:v>
      </x:c>
      <x:c r="I2450" s="81" t="n">
        <x:v>0</x:v>
      </x:c>
      <x:c r="J2450" s="79" t="n">
        <x:v>0.0013632461021979593</x:v>
      </x:c>
      <x:c r="K2450" s="81" t="n">
        <x:v>0.5579955453690966</x:v>
      </x:c>
      <x:c r="L2450" s="81" t="n">
        <x:v>-0.8383805787421221</x:v>
      </x:c>
      <x:c r="M2450" s="80" t="n">
        <x:v>15348.307419757848</x:v>
      </x:c>
      <x:c r="N2450" s="82" t="n">
        <x:v>0.31238418488722525</x:v>
      </x:c>
      <x:c r="O2450" s="82" t="n">
        <x:v>0.16461560522836124</x:v>
      </x:c>
      <x:c r="P2450" s="80" t="n">
        <x:v>25603.364450953737</x:v>
      </x:c>
      <x:c r="Q2450" s="81" t="n">
        <x:v>0.004417966831340827</x:v>
      </x:c>
      <x:c r="R2450" s="81" t="n">
        <x:v>143.24439901543832</x:v>
      </x:c>
      <x:c r="S2450" s="81" t="n">
        <x:v>28.079127429880003</x:v>
      </x:c>
      <x:c r="T2450" s="81" t="n">
        <x:v>29.530886838642687</x:v>
      </x:c>
    </x:row>
    <x:row r="2451">
      <x:c r="A2451" s="59" t="n">
        <x:v>2448</x:v>
      </x:c>
      <x:c r="B2451" s="193" t="n">
        <x:v>0.31470888145267967</x:v>
      </x:c>
      <x:c r="C2451" s="83" t="n">
        <x:v>0.9954782526467907</x:v>
      </x:c>
      <x:c r="D2451" s="83" t="n">
        <x:v>3</x:v>
      </x:c>
      <x:c r="E2451" s="81" t="n">
        <x:v>0.09025728470638635</x:v>
      </x:c>
      <x:c r="F2451" s="81" t="n">
        <x:v>0.6703299554646946</x:v>
      </x:c>
      <x:c r="G2451" s="81" t="n">
        <x:v>0.04748989602740106</x:v>
      </x:c>
      <x:c r="H2451" s="59" t="n">
        <x:v>0</x:v>
      </x:c>
      <x:c r="I2451" s="81" t="n">
        <x:v>0</x:v>
      </x:c>
      <x:c r="J2451" s="79" t="n">
        <x:v>0.46319469745123254</x:v>
      </x:c>
      <x:c r="K2451" s="81" t="n">
        <x:v>528.3653685156944</x:v>
      </x:c>
      <x:c r="L2451" s="81" t="n">
        <x:v>-0.8017820216577016</x:v>
      </x:c>
      <x:c r="M2451" s="80" t="n">
        <x:v>569795.9798753451</x:v>
      </x:c>
      <x:c r="N2451" s="82" t="n">
        <x:v>0.17706330635355563</x:v>
      </x:c>
      <x:c r="O2451" s="82" t="n">
        <x:v>0.11212130370548036</x:v>
      </x:c>
      <x:c r="P2451" s="80" t="n">
        <x:v>2196181.819926447</x:v>
      </x:c>
      <x:c r="Q2451" s="81" t="n">
        <x:v>0.0045616960998440485</x:v>
      </x:c>
      <x:c r="R2451" s="81" t="n">
        <x:v>2826.0049368279792</x:v>
      </x:c>
      <x:c r="S2451" s="81" t="n">
        <x:v>9324.740213701269</x:v>
      </x:c>
      <x:c r="T2451" s="81" t="n">
        <x:v>10033.808402340399</x:v>
      </x:c>
    </x:row>
    <x:row r="2452">
      <x:c r="A2452" s="59" t="n">
        <x:v>2449</x:v>
      </x:c>
      <x:c r="B2452" s="193" t="n">
        <x:v>0.307244398444891</x:v>
      </x:c>
      <x:c r="C2452" s="83" t="n">
        <x:v>0.6215132671524353</x:v>
      </x:c>
      <x:c r="D2452" s="83" t="n">
        <x:v>0.7853083717861559</x:v>
      </x:c>
      <x:c r="E2452" s="81" t="n">
        <x:v>0.0545766929492991</x:v>
      </x:c>
      <x:c r="F2452" s="81" t="n">
        <x:v>0.4195506130694412</x:v>
      </x:c>
      <x:c r="G2452" s="81" t="n">
        <x:v>-0.03277397459644256</x:v>
      </x:c>
      <x:c r="H2452" s="59" t="n">
        <x:v>0</x:v>
      </x:c>
      <x:c r="I2452" s="81" t="n">
        <x:v>0</x:v>
      </x:c>
      <x:c r="J2452" s="79" t="n">
        <x:v>0.002135660842591815</x:v>
      </x:c>
      <x:c r="K2452" s="81" t="n">
        <x:v>1.4407552486763602</x:v>
      </x:c>
      <x:c r="L2452" s="81" t="n">
        <x:v>-0.6790332512630493</x:v>
      </x:c>
      <x:c r="M2452" s="80" t="n">
        <x:v>14601.192373703107</x:v>
      </x:c>
      <x:c r="N2452" s="82" t="n">
        <x:v>0.17528512654204403</x:v>
      </x:c>
      <x:c r="O2452" s="82" t="n">
        <x:v>0.06947049100223834</x:v>
      </x:c>
      <x:c r="P2452" s="80" t="n">
        <x:v>22233.83085837668</x:v>
      </x:c>
      <x:c r="Q2452" s="81" t="n">
        <x:v>0.0029310698469160396</x:v>
      </x:c>
      <x:c r="R2452" s="81" t="n">
        <x:v>158.1422419938361</x:v>
      </x:c>
      <x:c r="S2452" s="81" t="n">
        <x:v>65.97408715175806</x:v>
      </x:c>
      <x:c r="T2452" s="81" t="n">
        <x:v>46.26307646624833</x:v>
      </x:c>
    </x:row>
    <x:row r="2453">
      <x:c r="A2453" s="59" t="n">
        <x:v>2450</x:v>
      </x:c>
      <x:c r="B2453" s="193" t="n">
        <x:v>0.7290913516655564</x:v>
      </x:c>
      <x:c r="C2453" s="83" t="n">
        <x:v>0.10571991246292117</x:v>
      </x:c>
      <x:c r="D2453" s="83" t="n">
        <x:v>1.6193628420734607</x:v>
      </x:c>
      <x:c r="E2453" s="81" t="n">
        <x:v>0.12114158439798278</x:v>
      </x:c>
      <x:c r="F2453" s="81" t="n">
        <x:v>0.2989585833041929</x:v>
      </x:c>
      <x:c r="G2453" s="81" t="n">
        <x:v>-0.044351713645109786</x:v>
      </x:c>
      <x:c r="H2453" s="59" t="n">
        <x:v>43</x:v>
      </x:c>
      <x:c r="I2453" s="81" t="n">
        <x:v>0.4731436148285866</x:v>
      </x:c>
      <x:c r="J2453" s="79" t="n">
        <x:v>0.018514649596646917</x:v>
      </x:c>
      <x:c r="K2453" s="81" t="n">
        <x:v>20.15959953902505</x:v>
      </x:c>
      <x:c r="L2453" s="81" t="n">
        <x:v>-0.9916884776228035</x:v>
      </x:c>
      <x:c r="M2453" s="80" t="n">
        <x:v>41814.69929980268</x:v>
      </x:c>
      <x:c r="N2453" s="82" t="n">
        <x:v>0.27577698042957904</x:v>
      </x:c>
      <x:c r="O2453" s="82" t="n">
        <x:v>0.07788251738868705</x:v>
      </x:c>
      <x:c r="P2453" s="80" t="n">
        <x:v>93254.80706017841</x:v>
      </x:c>
      <x:c r="Q2453" s="81" t="n">
        <x:v>0.0019181166373352838</x:v>
      </x:c>
      <x:c r="R2453" s="81" t="n">
        <x:v>9345.682507954209</x:v>
      </x:c>
      <x:c r="S2453" s="81" t="n">
        <x:v>3268.672680766704</x:v>
      </x:c>
      <x:c r="T2453" s="81" t="n">
        <x:v>401.06773180144864</x:v>
      </x:c>
    </x:row>
    <x:row r="2454">
      <x:c r="A2454" s="59" t="n">
        <x:v>2451</x:v>
      </x:c>
      <x:c r="B2454" s="193" t="n">
        <x:v>0.7036813085898757</x:v>
      </x:c>
      <x:c r="C2454" s="83" t="n">
        <x:v>0.9044414582297252</x:v>
      </x:c>
      <x:c r="D2454" s="83" t="n">
        <x:v>0.6285903932586517</x:v>
      </x:c>
      <x:c r="E2454" s="81" t="n">
        <x:v>-0.03231808382059771</x:v>
      </x:c>
      <x:c r="F2454" s="81" t="n">
        <x:v>0.4794473806861788</x:v>
      </x:c>
      <x:c r="G2454" s="81" t="n">
        <x:v>-0.03023645882643637</x:v>
      </x:c>
      <x:c r="H2454" s="59" t="n">
        <x:v>82</x:v>
      </x:c>
      <x:c r="I2454" s="81" t="n">
        <x:v>0.2649481972679496</x:v>
      </x:c>
      <x:c r="J2454" s="79" t="n">
        <x:v>7.324701340475001e-15</x:v>
      </x:c>
      <x:c r="K2454" s="81" t="n">
        <x:v>-0.9999999999916289</x:v>
      </x:c>
      <x:c r="L2454" s="81" t="n">
        <x:v>-0.9999999999916289</x:v>
      </x:c>
      <x:c r="M2454" s="80" t="n">
        <x:v>0.02860856937539102</x:v>
      </x:c>
      <x:c r="N2454" s="82" t="n">
        <x:v>0.26972383173064424</x:v>
      </x:c>
      <x:c r="O2454" s="82" t="n">
        <x:v>0.12216061568255872</x:v>
      </x:c>
      <x:c r="P2454" s="80" t="n">
        <x:v>728.1724055310839</x:v>
      </x:c>
      <x:c r="Q2454" s="81" t="n">
        <x:v>126.01202472455057</x:v>
      </x:c>
      <x:c r="R2454" s="81" t="n">
        <x:v>6.806759748521171</x:v>
      </x:c>
      <x:c r="S2454" s="81" t="n">
        <x:v>0.0000029256393210754658</x:v>
      </x:c>
      <x:c r="T2454" s="81" t="n">
        <x:v>1.5866902246312943e-10</x:v>
      </x:c>
    </x:row>
    <x:row r="2455">
      <x:c r="A2455" s="59" t="n">
        <x:v>2452</x:v>
      </x:c>
      <x:c r="B2455" s="193" t="n">
        <x:v>0.5922249065712095</x:v>
      </x:c>
      <x:c r="C2455" s="83" t="n">
        <x:v>0.6306585773625455</x:v>
      </x:c>
      <x:c r="D2455" s="83" t="n">
        <x:v>0.7935460531891658</x:v>
      </x:c>
      <x:c r="E2455" s="81" t="n">
        <x:v>0.07719126129085274</x:v>
      </x:c>
      <x:c r="F2455" s="81" t="n">
        <x:v>0.5314650460379198</x:v>
      </x:c>
      <x:c r="G2455" s="81" t="n">
        <x:v>0.005957667971298727</x:v>
      </x:c>
      <x:c r="H2455" s="59" t="n">
        <x:v>0</x:v>
      </x:c>
      <x:c r="I2455" s="81" t="n">
        <x:v>0</x:v>
      </x:c>
      <x:c r="J2455" s="79" t="n">
        <x:v>0.0038648241505160005</x:v>
      </x:c>
      <x:c r="K2455" s="81" t="n">
        <x:v>3.4169418863040013</x:v>
      </x:c>
      <x:c r="L2455" s="81" t="n">
        <x:v>-0.7172152228611208</x:v>
      </x:c>
      <x:c r="M2455" s="80" t="n">
        <x:v>21870.28508923058</x:v>
      </x:c>
      <x:c r="N2455" s="82" t="n">
        <x:v>0.24317282696226028</x:v>
      </x:c>
      <x:c r="O2455" s="82" t="n">
        <x:v>0.12208454589203557</x:v>
      </x:c>
      <x:c r="P2455" s="80" t="n">
        <x:v>31640.250574214384</x:v>
      </x:c>
      <x:c r="Q2455" s="81" t="n">
        <x:v>0.0038675492677787515</x:v>
      </x:c>
      <x:c r="R2455" s="81" t="n">
        <x:v>167.17999134087674</x:v>
      </x:c>
      <x:c r="S2455" s="81" t="n">
        <x:v>119.12434118188045</x:v>
      </x:c>
      <x:c r="T2455" s="81" t="n">
        <x:v>83.72052885838224</x:v>
      </x:c>
    </x:row>
    <x:row r="2456">
      <x:c r="A2456" s="59" t="n">
        <x:v>2453</x:v>
      </x:c>
      <x:c r="B2456" s="193" t="n">
        <x:v>0.8857322813943029</x:v>
      </x:c>
      <x:c r="C2456" s="83" t="n">
        <x:v>1.6791648876388232</x:v>
      </x:c>
      <x:c r="D2456" s="83" t="n">
        <x:v>0.5113044910169595</x:v>
      </x:c>
      <x:c r="E2456" s="81" t="n">
        <x:v>0.03710817626038577</x:v>
      </x:c>
      <x:c r="F2456" s="81" t="n">
        <x:v>0.7120897445478477</x:v>
      </x:c>
      <x:c r="G2456" s="81" t="n">
        <x:v>0.015257785059410762</x:v>
      </x:c>
      <x:c r="H2456" s="59" t="n">
        <x:v>0</x:v>
      </x:c>
      <x:c r="I2456" s="81" t="n">
        <x:v>0</x:v>
      </x:c>
      <x:c r="J2456" s="79" t="n">
        <x:v>0.0003482513205439642</x:v>
      </x:c>
      <x:c r="K2456" s="81" t="n">
        <x:v>-0.601998490806898</x:v>
      </x:c>
      <x:c r="L2456" s="81" t="n">
        <x:v>-0.8165651992644898</x:v>
      </x:c>
      <x:c r="M2456" s="80" t="n">
        <x:v>9234.057371798093</x:v>
      </x:c>
      <x:c r="N2456" s="82" t="n">
        <x:v>0.3130917869083992</x:v>
      </x:c>
      <x:c r="O2456" s="82" t="n">
        <x:v>0.2106092047467077</x:v>
      </x:c>
      <x:c r="P2456" s="80" t="n">
        <x:v>10611.862758833988</x:v>
      </x:c>
      <x:c r="Q2456" s="81" t="n">
        <x:v>0.012061187022762031</x:v>
      </x:c>
      <x:c r="R2456" s="81" t="n">
        <x:v>14.330455987077077</x:v>
      </x:c>
      <x:c r="S2456" s="81" t="n">
        <x:v>4.8093483906485</x:v>
      </x:c>
      <x:c r="T2456" s="81" t="n">
        <x:v>7.5438839119441</x:v>
      </x:c>
    </x:row>
    <x:row r="2457">
      <x:c r="A2457" s="59" t="n">
        <x:v>2454</x:v>
      </x:c>
      <x:c r="B2457" s="193" t="n">
        <x:v>0.7766414837911726</x:v>
      </x:c>
      <x:c r="C2457" s="83" t="n">
        <x:v>2.306700970771974</x:v>
      </x:c>
      <x:c r="D2457" s="83" t="n">
        <x:v>0.3743136669969632</x:v>
      </x:c>
      <x:c r="E2457" s="81" t="n">
        <x:v>0.06056942465320547</x:v>
      </x:c>
      <x:c r="F2457" s="81" t="n">
        <x:v>0.292927725543268</x:v>
      </x:c>
      <x:c r="G2457" s="81" t="n">
        <x:v>-0.004246186300434753</x:v>
      </x:c>
      <x:c r="H2457" s="59" t="n">
        <x:v>20</x:v>
      </x:c>
      <x:c r="I2457" s="81" t="n">
        <x:v>0.39729595305398113</x:v>
      </x:c>
      <x:c r="J2457" s="79" t="n">
        <x:v>0.0034395954164142084</x:v>
      </x:c>
      <x:c r="K2457" s="81" t="n">
        <x:v>2.930966190187667</x:v>
      </x:c>
      <x:c r="L2457" s="81" t="n">
        <x:v>-0.5625712482118668</x:v>
      </x:c>
      <x:c r="M2457" s="80" t="n">
        <x:v>35871.195604309134</x:v>
      </x:c>
      <x:c r="N2457" s="82" t="n">
        <x:v>0.28710431346687854</x:v>
      </x:c>
      <x:c r="O2457" s="82" t="n">
        <x:v>0.07944583587547151</x:v>
      </x:c>
      <x:c r="P2457" s="80" t="n">
        <x:v>25845.43914800793</x:v>
      </x:c>
      <x:c r="Q2457" s="81" t="n">
        <x:v>0.003166878321074713</x:v>
      </x:c>
      <x:c r="R2457" s="81" t="n">
        <x:v>17.726862095573157</x:v>
      </x:c>
      <x:c r="S2457" s="81" t="n">
        <x:v>29.470501673998502</x:v>
      </x:c>
      <x:c r="T2457" s="81" t="n">
        <x:v>74.50914611021001</x:v>
      </x:c>
    </x:row>
    <x:row r="2458">
      <x:c r="A2458" s="59" t="n">
        <x:v>2455</x:v>
      </x:c>
      <x:c r="B2458" s="193" t="n">
        <x:v>0.595245760306716</x:v>
      </x:c>
      <x:c r="C2458" s="83" t="n">
        <x:v>0.11254614042170266</x:v>
      </x:c>
      <x:c r="D2458" s="83" t="n">
        <x:v>0.8763125607913552</x:v>
      </x:c>
      <x:c r="E2458" s="81" t="n">
        <x:v>0.10308892706977195</x:v>
      </x:c>
      <x:c r="F2458" s="81" t="n">
        <x:v>0.42430974061135207</x:v>
      </x:c>
      <x:c r="G2458" s="81" t="n">
        <x:v>0.01928989319949723</x:v>
      </x:c>
      <x:c r="H2458" s="59" t="n">
        <x:v>20</x:v>
      </x:c>
      <x:c r="I2458" s="81" t="n">
        <x:v>0.12131239511072636</x:v>
      </x:c>
      <x:c r="J2458" s="79" t="n">
        <x:v>0.009129470731488289</x:v>
      </x:c>
      <x:c r="K2458" s="81" t="n">
        <x:v>9.433680835986618</x:v>
      </x:c>
      <x:c r="L2458" s="81" t="n">
        <x:v>-0.7510609295866765</x:v>
      </x:c>
      <x:c r="M2458" s="80" t="n">
        <x:v>25892.734828887667</x:v>
      </x:c>
      <x:c r="N2458" s="82" t="n">
        <x:v>0.24389245096306558</x:v>
      </x:c>
      <x:c r="O2458" s="82" t="n">
        <x:v>0.09775799859491599</x:v>
      </x:c>
      <x:c r="P2458" s="80" t="n">
        <x:v>38332.40989384415</x:v>
      </x:c>
      <x:c r="Q2458" s="81" t="n">
        <x:v>0.0025214119156652553</x:v>
      </x:c>
      <x:c r="R2458" s="81" t="n">
        <x:v>1195.1565904049396</x:v>
      </x:c>
      <x:c r="S2458" s="81" t="n">
        <x:v>1518.325206979469</x:v>
      </x:c>
      <x:c r="T2458" s="81" t="n">
        <x:v>197.76426767962388</x:v>
      </x:c>
    </x:row>
    <x:row r="2459">
      <x:c r="A2459" s="59" t="n">
        <x:v>2456</x:v>
      </x:c>
      <x:c r="B2459" s="193" t="n">
        <x:v>0.22079264260828496</x:v>
      </x:c>
      <x:c r="C2459" s="83" t="n">
        <x:v>0.7931961635121166</x:v>
      </x:c>
      <x:c r="D2459" s="83" t="n">
        <x:v>1.6002543557862188</x:v>
      </x:c>
      <x:c r="E2459" s="81" t="n">
        <x:v>0.15657255945094406</x:v>
      </x:c>
      <x:c r="F2459" s="81" t="n">
        <x:v>0.2598566189059056</x:v>
      </x:c>
      <x:c r="G2459" s="81" t="n">
        <x:v>-0.041737752603513</x:v>
      </x:c>
      <x:c r="H2459" s="59" t="n">
        <x:v>57</x:v>
      </x:c>
      <x:c r="I2459" s="81" t="n">
        <x:v>0.25193248484283687</x:v>
      </x:c>
      <x:c r="J2459" s="79" t="n">
        <x:v>0.3915706405073707</x:v>
      </x:c>
      <x:c r="K2459" s="81" t="n">
        <x:v>446.50930343699514</x:v>
      </x:c>
      <x:c r="L2459" s="81" t="n">
        <x:v>-0.9940728976845093</x:v>
      </x:c>
      <x:c r="M2459" s="80" t="n">
        <x:v>346092.4921538633</x:v>
      </x:c>
      <x:c r="N2459" s="82" t="n">
        <x:v>0.1546906973313423</x:v>
      </x:c>
      <x:c r="O2459" s="82" t="n">
        <x:v>0.03797247653847645</x:v>
      </x:c>
      <x:c r="P2459" s="80" t="n">
        <x:v>684564.9927131289</x:v>
      </x:c>
      <x:c r="Q2459" s="81" t="n">
        <x:v>0.0008380760574218935</x:v>
      </x:c>
      <x:c r="R2459" s="81" t="n">
        <x:v>16221.90737935802</x:v>
      </x:c>
      <x:c r="S2459" s="81" t="n">
        <x:v>9256.13830677393</x:v>
      </x:c>
      <x:c r="T2459" s="81" t="n">
        <x:v>8482.274957921614</x:v>
      </x:c>
    </x:row>
    <x:row r="2460">
      <x:c r="A2460" s="59" t="n">
        <x:v>2457</x:v>
      </x:c>
      <x:c r="B2460" s="193" t="n">
        <x:v>0.7692857114598155</x:v>
      </x:c>
      <x:c r="C2460" s="83" t="n">
        <x:v>0.2356563918325354</x:v>
      </x:c>
      <x:c r="D2460" s="83" t="n">
        <x:v>1.03135204089836</x:v>
      </x:c>
      <x:c r="E2460" s="81" t="n">
        <x:v>-0.04233991813694764</x:v>
      </x:c>
      <x:c r="F2460" s="81" t="n">
        <x:v>0.2660852505476214</x:v>
      </x:c>
      <x:c r="G2460" s="81" t="n">
        <x:v>0.014368224118335294</x:v>
      </x:c>
      <x:c r="H2460" s="59" t="n">
        <x:v>0</x:v>
      </x:c>
      <x:c r="I2460" s="81" t="n">
        <x:v>0</x:v>
      </x:c>
      <x:c r="J2460" s="79" t="n">
        <x:v>9.14299396806746e-28</x:v>
      </x:c>
      <x:c r="K2460" s="81" t="n">
        <x:v>-1</x:v>
      </x:c>
      <x:c r="L2460" s="81" t="n">
        <x:v>-1</x:v>
      </x:c>
      <x:c r="M2460" s="80" t="n">
        <x:v>0.000002</x:v>
      </x:c>
      <x:c r="N2460" s="82" t="n">
        <x:v>0.2853520305768178</x:v>
      </x:c>
      <x:c r="O2460" s="82" t="n">
        <x:v>0.07172535573895629</x:v>
      </x:c>
      <x:c r="P2460" s="80" t="n">
        <x:v>440.0058691067155</x:v>
      </x:c>
      <x:c r="Q2460" s="81" t="n">
        <x:v>54395844542.58167</x:v>
      </x:c>
      <x:c r="R2460" s="81" t="n">
        <x:v>14.06483326391409</x:v>
      </x:c>
      <x:c r="S2460" s="81" t="n">
        <x:v>8.697482389998423e-10</x:v>
      </x:c>
      <x:c r="T2460" s="81" t="n">
        <x:v>1.9805721050811815e-23</x:v>
      </x:c>
    </x:row>
    <x:row r="2461">
      <x:c r="A2461" s="59" t="n">
        <x:v>2458</x:v>
      </x:c>
      <x:c r="B2461" s="193" t="n">
        <x:v>0.472616071626544</x:v>
      </x:c>
      <x:c r="C2461" s="83" t="n">
        <x:v>0.461190365682557</x:v>
      </x:c>
      <x:c r="D2461" s="83" t="n">
        <x:v>0.37095390675948015</x:v>
      </x:c>
      <x:c r="E2461" s="81" t="n">
        <x:v>-0.05046366349853881</x:v>
      </x:c>
      <x:c r="F2461" s="81" t="n">
        <x:v>0.5415859686094336</x:v>
      </x:c>
      <x:c r="G2461" s="81" t="n">
        <x:v>0.016690150454406225</x:v>
      </x:c>
      <x:c r="H2461" s="59" t="n">
        <x:v>0</x:v>
      </x:c>
      <x:c r="I2461" s="81" t="n">
        <x:v>0</x:v>
      </x:c>
      <x:c r="J2461" s="79" t="n">
        <x:v>2.9716628140495196e-17</x:v>
      </x:c>
      <x:c r="K2461" s="81" t="n">
        <x:v>-0.999999999999966</x:v>
      </x:c>
      <x:c r="L2461" s="81" t="n">
        <x:v>-0.999999999999966</x:v>
      </x:c>
      <x:c r="M2461" s="80" t="n">
        <x:v>0.0014093209767500076</x:v>
      </x:c>
      <x:c r="N2461" s="82" t="n">
        <x:v>0.2146797598127859</x:v>
      </x:c>
      <x:c r="O2461" s="82" t="n">
        <x:v>0.10983214027950369</x:v>
      </x:c>
      <x:c r="P2461" s="80" t="n">
        <x:v>342.5214571372989</x:v>
      </x:c>
      <x:c r="Q2461" s="81" t="n">
        <x:v>997.1846003385223</x:v>
      </x:c>
      <x:c r="R2461" s="81" t="n">
        <x:v>12.419520467825105</x:v>
      </x:c>
      <x:c r="S2461" s="81" t="n">
        <x:v>2.0036248687326886e-7</x:v>
      </x:c>
      <x:c r="T2461" s="81" t="n">
        <x:v>6.437270434355928e-13</x:v>
      </x:c>
    </x:row>
    <x:row r="2462">
      <x:c r="A2462" s="59" t="n">
        <x:v>2459</x:v>
      </x:c>
      <x:c r="B2462" s="193" t="n">
        <x:v>0.4870524611324072</x:v>
      </x:c>
      <x:c r="C2462" s="83" t="n">
        <x:v>0.1403762125637596</x:v>
      </x:c>
      <x:c r="D2462" s="83" t="n">
        <x:v>0.8935276461842478</x:v>
      </x:c>
      <x:c r="E2462" s="81" t="n">
        <x:v>0.03514275810456756</x:v>
      </x:c>
      <x:c r="F2462" s="81" t="n">
        <x:v>0.5129459196818061</x:v>
      </x:c>
      <x:c r="G2462" s="81" t="n">
        <x:v>0.009083761950293047</x:v>
      </x:c>
      <x:c r="H2462" s="59" t="n">
        <x:v>10</x:v>
      </x:c>
      <x:c r="I2462" s="81" t="n">
        <x:v>0.4907001435756684</x:v>
      </x:c>
      <x:c r="J2462" s="79" t="n">
        <x:v>0.0006345895632943026</x:v>
      </x:c>
      <x:c r="K2462" s="81" t="n">
        <x:v>-0.2747547848065113</x:v>
      </x:c>
      <x:c r="L2462" s="81" t="n">
        <x:v>-0.8188938531176853</x:v>
      </x:c>
      <x:c r="M2462" s="80" t="n">
        <x:v>5560.370699903985</x:v>
      </x:c>
      <x:c r="N2462" s="82" t="n">
        <x:v>0.21811877847538597</x:v>
      </x:c>
      <x:c r="O2462" s="82" t="n">
        <x:v>0.105690408917731</x:v>
      </x:c>
      <x:c r="P2462" s="80" t="n">
        <x:v>9684.918795797777</x:v>
      </x:c>
      <x:c r="Q2462" s="81" t="n">
        <x:v>0.006840523258170263</x:v>
      </x:c>
      <x:c r="R2462" s="81" t="n">
        <x:v>111.41591487781719</x:v>
      </x:c>
      <x:c r="S2462" s="81" t="n">
        <x:v>86.13265010427928</x:v>
      </x:c>
      <x:c r="T2462" s="81" t="n">
        <x:v>13.746595389059442</x:v>
      </x:c>
    </x:row>
    <x:row r="2463">
      <x:c r="A2463" s="59" t="n">
        <x:v>2460</x:v>
      </x:c>
      <x:c r="B2463" s="193" t="n">
        <x:v>0.8339703710749746</x:v>
      </x:c>
      <x:c r="C2463" s="83" t="n">
        <x:v>0.1128526827024678</x:v>
      </x:c>
      <x:c r="D2463" s="83" t="n">
        <x:v>2.1149085507605707</x:v>
      </x:c>
      <x:c r="E2463" s="81" t="n">
        <x:v>-0.0057293666327781064</x:v>
      </x:c>
      <x:c r="F2463" s="81" t="n">
        <x:v>0.3943438261165284</x:v>
      </x:c>
      <x:c r="G2463" s="81" t="n">
        <x:v>-0.02229998750609434</x:v>
      </x:c>
      <x:c r="H2463" s="59" t="n">
        <x:v>0</x:v>
      </x:c>
      <x:c r="I2463" s="81" t="n">
        <x:v>0</x:v>
      </x:c>
      <x:c r="J2463" s="79" t="n">
        <x:v>1.3451055207971326e-11</x:v>
      </x:c>
      <x:c r="K2463" s="81" t="n">
        <x:v>-0.9999999846273655</x:v>
      </x:c>
      <x:c r="L2463" s="81" t="n">
        <x:v>-0.9999999846273655</x:v>
      </x:c>
      <x:c r="M2463" s="80" t="n">
        <x:v>0.7085632399437709</x:v>
      </x:c>
      <x:c r="N2463" s="82" t="n">
        <x:v>0.3007611293345168</x:v>
      </x:c>
      <x:c r="O2463" s="82" t="n">
        <x:v>0.11203860547737077</x:v>
      </x:c>
      <x:c r="P2463" s="80" t="n">
        <x:v>1705.899696547749</x:v>
      </x:c>
      <x:c r="Q2463" s="81" t="n">
        <x:v>9.300067827570478</x:v>
      </x:c>
      <x:c r="R2463" s="81" t="n">
        <x:v>57.37228412569153</x:v>
      </x:c>
      <x:c r="S2463" s="81" t="n">
        <x:v>0.00045866605702264446</x:v>
      </x:c>
      <x:c r="T2463" s="81" t="n">
        <x:v>2.913792224063556e-7</x:v>
      </x:c>
    </x:row>
    <x:row r="2464">
      <x:c r="A2464" s="59" t="n">
        <x:v>2461</x:v>
      </x:c>
      <x:c r="B2464" s="193" t="n">
        <x:v>0.42057412657886745</x:v>
      </x:c>
      <x:c r="C2464" s="83" t="n">
        <x:v>1.7330505412265789</x:v>
      </x:c>
      <x:c r="D2464" s="83" t="n">
        <x:v>2.4488515055362075</x:v>
      </x:c>
      <x:c r="E2464" s="81" t="n">
        <x:v>0.06819424981162917</x:v>
      </x:c>
      <x:c r="F2464" s="81" t="n">
        <x:v>0.5862793603329919</x:v>
      </x:c>
      <x:c r="G2464" s="81" t="n">
        <x:v>0.010224055895103543</x:v>
      </x:c>
      <x:c r="H2464" s="59" t="n">
        <x:v>0</x:v>
      </x:c>
      <x:c r="I2464" s="81" t="n">
        <x:v>0</x:v>
      </x:c>
      <x:c r="J2464" s="79" t="n">
        <x:v>0.13798311462126392</x:v>
      </x:c>
      <x:c r="K2464" s="81" t="n">
        <x:v>156.69498813858735</x:v>
      </x:c>
      <x:c r="L2464" s="81" t="n">
        <x:v>-0.7619035321436811</x:v>
      </x:c>
      <x:c r="M2464" s="80" t="n">
        <x:v>302447.83647520887</x:v>
      </x:c>
      <x:c r="N2464" s="82" t="n">
        <x:v>0.20228239271595955</x:v>
      </x:c>
      <x:c r="O2464" s="82" t="n">
        <x:v>0.1120298176997277</x:v>
      </x:c>
      <x:c r="P2464" s="80" t="n">
        <x:v>1005403.1663879646</x:v>
      </x:c>
      <x:c r="Q2464" s="81" t="n">
        <x:v>0.004890565640852158</x:v>
      </x:c>
      <x:c r="R2464" s="81" t="n">
        <x:v>1156.555971351373</x:v>
      </x:c>
      <x:c r="S2464" s="81" t="n">
        <x:v>1618.6961800643842</x:v>
      </x:c>
      <x:c r="T2464" s="81" t="n">
        <x:v>2989.0155100786815</x:v>
      </x:c>
    </x:row>
    <x:row r="2465">
      <x:c r="A2465" s="59" t="n">
        <x:v>2462</x:v>
      </x:c>
      <x:c r="B2465" s="193" t="n">
        <x:v>0.828116947412491</x:v>
      </x:c>
      <x:c r="C2465" s="83" t="n">
        <x:v>2.354776812829332</x:v>
      </x:c>
      <x:c r="D2465" s="83" t="n">
        <x:v>1.2071909238518121</x:v>
      </x:c>
      <x:c r="E2465" s="81" t="n">
        <x:v>0.04034530456027954</x:v>
      </x:c>
      <x:c r="F2465" s="81" t="n">
        <x:v>0.8225572671042756</x:v>
      </x:c>
      <x:c r="G2465" s="81" t="n">
        <x:v>-0.021504605763738135</x:v>
      </x:c>
      <x:c r="H2465" s="59" t="n">
        <x:v>0</x:v>
      </x:c>
      <x:c r="I2465" s="81" t="n">
        <x:v>0</x:v>
      </x:c>
      <x:c r="J2465" s="79" t="n">
        <x:v>0.001411548949535856</x:v>
      </x:c>
      <x:c r="K2465" s="81" t="n">
        <x:v>0.61319879946955</x:v>
      </x:c>
      <x:c r="L2465" s="81" t="n">
        <x:v>-0.7271350694241875</x:v>
      </x:c>
      <x:c r="M2465" s="80" t="n">
        <x:v>25283.26285996522</x:v>
      </x:c>
      <x:c r="N2465" s="82" t="n">
        <x:v>0.29936673406641917</x:v>
      </x:c>
      <x:c r="O2465" s="82" t="n">
        <x:v>0.23261655782303378</x:v>
      </x:c>
      <x:c r="P2465" s="80" t="n">
        <x:v>57910.30980293884</x:v>
      </x:c>
      <x:c r="Q2465" s="81" t="n">
        <x:v>0.013114882776598332</x:v>
      </x:c>
      <x:c r="R2465" s="81" t="n">
        <x:v>36.62543874399493</x:v>
      </x:c>
      <x:c r="S2465" s="81" t="n">
        <x:v>14.301202777916549</x:v>
      </x:c>
      <x:c r="T2465" s="81" t="n">
        <x:v>30.57723196768419</x:v>
      </x:c>
    </x:row>
    <x:row r="2466">
      <x:c r="A2466" s="59" t="n">
        <x:v>2463</x:v>
      </x:c>
      <x:c r="B2466" s="193" t="n">
        <x:v>0.5513470787554979</x:v>
      </x:c>
      <x:c r="C2466" s="83" t="n">
        <x:v>0.41186559711505166</x:v>
      </x:c>
      <x:c r="D2466" s="83" t="n">
        <x:v>1.0595634359267059</x:v>
      </x:c>
      <x:c r="E2466" s="81" t="n">
        <x:v>0.03300559064659557</x:v>
      </x:c>
      <x:c r="F2466" s="81" t="n">
        <x:v>0.28000039426842704</x:v>
      </x:c>
      <x:c r="G2466" s="81" t="n">
        <x:v>0.024237589240994853</x:v>
      </x:c>
      <x:c r="H2466" s="59" t="n">
        <x:v>0</x:v>
      </x:c>
      <x:c r="I2466" s="81" t="n">
        <x:v>0</x:v>
      </x:c>
      <x:c r="J2466" s="79" t="n">
        <x:v>0.005104667232388549</x:v>
      </x:c>
      <x:c r="K2466" s="81" t="n">
        <x:v>4.833905408444056</x:v>
      </x:c>
      <x:c r="L2466" s="81" t="n">
        <x:v>-0.5537502270640069</x:v>
      </x:c>
      <x:c r="M2466" s="80" t="n">
        <x:v>20036.368367919305</x:v>
      </x:c>
      <x:c r="N2466" s="82" t="n">
        <x:v>0.23343496191728633</x:v>
      </x:c>
      <x:c r="O2466" s="82" t="n">
        <x:v>0.06174410307868455</x:v>
      </x:c>
      <x:c r="P2466" s="80" t="n">
        <x:v>40656.397146154115</x:v>
      </x:c>
      <x:c r="Q2466" s="81" t="n">
        <x:v>0.004338327047377894</x:v>
      </x:c>
      <x:c r="R2466" s="81" t="n">
        <x:v>172.6307890620986</x:v>
      </x:c>
      <x:c r="S2466" s="81" t="n">
        <x:v>239.18064747655308</x:v>
      </x:c>
      <x:c r="T2466" s="81" t="n">
        <x:v>110.5782368609359</x:v>
      </x:c>
    </x:row>
    <x:row r="2467">
      <x:c r="A2467" s="59" t="n">
        <x:v>2464</x:v>
      </x:c>
      <x:c r="B2467" s="193" t="n">
        <x:v>0.3915639743208885</x:v>
      </x:c>
      <x:c r="C2467" s="83" t="n">
        <x:v>0.319864896771734</x:v>
      </x:c>
      <x:c r="D2467" s="83" t="n">
        <x:v>0.6207982592763445</x:v>
      </x:c>
      <x:c r="E2467" s="81" t="n">
        <x:v>-0.10658535442587613</x:v>
      </x:c>
      <x:c r="F2467" s="81" t="n">
        <x:v>0.2615627052844502</x:v>
      </x:c>
      <x:c r="G2467" s="81" t="n">
        <x:v>-0.03979008535710976</x:v>
      </x:c>
      <x:c r="H2467" s="59" t="n">
        <x:v>0</x:v>
      </x:c>
      <x:c r="I2467" s="81" t="n">
        <x:v>0</x:v>
      </x:c>
      <x:c r="J2467" s="79" t="n">
        <x:v>5.26814721588887e-29</x:v>
      </x:c>
      <x:c r="K2467" s="81" t="n">
        <x:v>-1</x:v>
      </x:c>
      <x:c r="L2467" s="81" t="n">
        <x:v>-1</x:v>
      </x:c>
      <x:c r="M2467" s="80" t="n">
        <x:v>0.000002</x:v>
      </x:c>
      <x:c r="N2467" s="82" t="n">
        <x:v>0.19537163050775433</x:v>
      </x:c>
      <x:c r="O2467" s="82" t="n">
        <x:v>0.04827344170194941</x:v>
      </x:c>
      <x:c r="P2467" s="80" t="n">
        <x:v>205.18978864989975</x:v>
      </x:c>
      <x:c r="Q2467" s="81" t="n">
        <x:v>398129430651.80865</x:v>
      </x:c>
      <x:c r="R2467" s="81" t="n">
        <x:v>7.260610663215823</x:v>
      </x:c>
      <x:c r="S2467" s="81" t="n">
        <x:v>2.514087453447039e-10</x:v>
      </x:c>
      <x:c r="T2467" s="81" t="n">
        <x:v>1.141195702161881e-24</x:v>
      </x:c>
    </x:row>
    <x:row r="2468">
      <x:c r="A2468" s="59" t="n">
        <x:v>2465</x:v>
      </x:c>
      <x:c r="B2468" s="193" t="n">
        <x:v>0.8463263092562556</x:v>
      </x:c>
      <x:c r="C2468" s="83" t="n">
        <x:v>0.11273331380230767</x:v>
      </x:c>
      <x:c r="D2468" s="83" t="n">
        <x:v>0.5361897255036646</x:v>
      </x:c>
      <x:c r="E2468" s="81" t="n">
        <x:v>-0.05209541451276176</x:v>
      </x:c>
      <x:c r="F2468" s="81" t="n">
        <x:v>0.5103066394338385</x:v>
      </x:c>
      <x:c r="G2468" s="81" t="n">
        <x:v>0.04563601367241631</x:v>
      </x:c>
      <x:c r="H2468" s="59" t="n">
        <x:v>0</x:v>
      </x:c>
      <x:c r="I2468" s="81" t="n">
        <x:v>0</x:v>
      </x:c>
      <x:c r="J2468" s="79" t="n">
        <x:v>7.403603224325006e-25</x:v>
      </x:c>
      <x:c r="K2468" s="81" t="n">
        <x:v>-1</x:v>
      </x:c>
      <x:c r="L2468" s="81" t="n">
        <x:v>-1</x:v>
      </x:c>
      <x:c r="M2468" s="80" t="n">
        <x:v>0.000002</x:v>
      </x:c>
      <x:c r="N2468" s="82" t="n">
        <x:v>0.3037045454831389</x:v>
      </x:c>
      <x:c r="O2468" s="82" t="n">
        <x:v>0.146404171963367</x:v>
      </x:c>
      <x:c r="P2468" s="80" t="n">
        <x:v>258.0447308743657</x:v>
      </x:c>
      <x:c r="Q2468" s="81" t="n">
        <x:v>55107066.74913644</x:v>
      </x:c>
      <x:c r="R2468" s="81" t="n">
        <x:v>33.47047553139045</x:v>
      </x:c>
      <x:c r="S2468" s="81" t="n">
        <x:v>7.264872308874333e-10</x:v>
      </x:c>
      <x:c r="T2468" s="81" t="n">
        <x:v>1.6037820952742654e-20</x:v>
      </x:c>
    </x:row>
    <x:row r="2469">
      <x:c r="A2469" s="59" t="n">
        <x:v>2466</x:v>
      </x:c>
      <x:c r="B2469" s="193" t="n">
        <x:v>0.5756544027477504</x:v>
      </x:c>
      <x:c r="C2469" s="83" t="n">
        <x:v>0.4945373608546047</x:v>
      </x:c>
      <x:c r="D2469" s="83" t="n">
        <x:v>0.5455121724650944</x:v>
      </x:c>
      <x:c r="E2469" s="81" t="n">
        <x:v>-0.0960923953691229</x:v>
      </x:c>
      <x:c r="F2469" s="81" t="n">
        <x:v>0.8229782290756703</x:v>
      </x:c>
      <x:c r="G2469" s="81" t="n">
        <x:v>-0.021364153232090823</x:v>
      </x:c>
      <x:c r="H2469" s="59" t="n">
        <x:v>0</x:v>
      </x:c>
      <x:c r="I2469" s="81" t="n">
        <x:v>0</x:v>
      </x:c>
      <x:c r="J2469" s="79" t="n">
        <x:v>1.9310818198425595e-27</x:v>
      </x:c>
      <x:c r="K2469" s="81" t="n">
        <x:v>-1</x:v>
      </x:c>
      <x:c r="L2469" s="81" t="n">
        <x:v>-1</x:v>
      </x:c>
      <x:c r="M2469" s="80" t="n">
        <x:v>0.000002</x:v>
      </x:c>
      <x:c r="N2469" s="82" t="n">
        <x:v>0.23922542225456558</x:v>
      </x:c>
      <x:c r="O2469" s="82" t="n">
        <x:v>0.1859801605489623</x:v>
      </x:c>
      <x:c r="P2469" s="80" t="n">
        <x:v>227.78554111440502</x:v>
      </x:c>
      <x:c r="Q2469" s="81" t="n">
        <x:v>11933072274.33523</x:v>
      </x:c>
      <x:c r="R2469" s="81" t="n">
        <x:v>5.189862684314561</x:v>
      </x:c>
      <x:c r="S2469" s="81" t="n">
        <x:v>2.458623705383242e-10</x:v>
      </x:c>
      <x:c r="T2469" s="81" t="n">
        <x:v>4.183144819265353e-23</x:v>
      </x:c>
    </x:row>
    <x:row r="2470">
      <x:c r="A2470" s="59" t="n">
        <x:v>2467</x:v>
      </x:c>
      <x:c r="B2470" s="193" t="n">
        <x:v>0.7255682937800885</x:v>
      </x:c>
      <x:c r="C2470" s="83" t="n">
        <x:v>0.11637773763848694</x:v>
      </x:c>
      <x:c r="D2470" s="83" t="n">
        <x:v>1.3406843144777463</x:v>
      </x:c>
      <x:c r="E2470" s="81" t="n">
        <x:v>-0.01291474141797454</x:v>
      </x:c>
      <x:c r="F2470" s="81" t="n">
        <x:v>0.8787525604246185</x:v>
      </x:c>
      <x:c r="G2470" s="81" t="n">
        <x:v>-0.010969994823136126</x:v>
      </x:c>
      <x:c r="H2470" s="59" t="n">
        <x:v>0</x:v>
      </x:c>
      <x:c r="I2470" s="81" t="n">
        <x:v>0</x:v>
      </x:c>
      <x:c r="J2470" s="79" t="n">
        <x:v>3.644791301754994e-15</x:v>
      </x:c>
      <x:c r="K2470" s="81" t="n">
        <x:v>-0.9999999999958346</x:v>
      </x:c>
      <x:c r="L2470" s="81" t="n">
        <x:v>-0.9999999999958346</x:v>
      </x:c>
      <x:c r="M2470" s="80" t="n">
        <x:v>0.0118415368464322</x:v>
      </x:c>
      <x:c r="N2470" s="82" t="n">
        <x:v>0.2749377219839256</x:v>
      </x:c>
      <x:c r="O2470" s="82" t="n">
        <x:v>0.22822955067848405</x:v>
      </x:c>
      <x:c r="P2470" s="80" t="n">
        <x:v>723.6184947709693</x:v>
      </x:c>
      <x:c r="Q2470" s="81" t="n">
        <x:v>257.3518580001322</x:v>
      </x:c>
      <x:c r="R2470" s="81" t="n">
        <x:v>35.764703758106094</x:v>
      </x:c>
      <x:c r="S2470" s="81" t="n">
        <x:v>0.000005610294193937399</x:v>
      </x:c>
      <x:c r="T2470" s="81" t="n">
        <x:v>7.89541369742836e-11</x:v>
      </x:c>
    </x:row>
    <x:row r="2471">
      <x:c r="A2471" s="59" t="n">
        <x:v>2468</x:v>
      </x:c>
      <x:c r="B2471" s="193" t="n">
        <x:v>0.415712714381516</x:v>
      </x:c>
      <x:c r="C2471" s="83" t="n">
        <x:v>0.10285297531792104</x:v>
      </x:c>
      <x:c r="D2471" s="83" t="n">
        <x:v>0.32994012070195156</x:v>
      </x:c>
      <x:c r="E2471" s="81" t="n">
        <x:v>-0.04830704146119339</x:v>
      </x:c>
      <x:c r="F2471" s="81" t="n">
        <x:v>0.3384015847928822</x:v>
      </x:c>
      <x:c r="G2471" s="81" t="n">
        <x:v>0.020809866342272162</x:v>
      </x:c>
      <x:c r="H2471" s="59" t="n">
        <x:v>0</x:v>
      </x:c>
      <x:c r="I2471" s="81" t="n">
        <x:v>0</x:v>
      </x:c>
      <x:c r="J2471" s="79" t="n">
        <x:v>1.2075319439693562e-15</x:v>
      </x:c>
      <x:c r="K2471" s="81" t="n">
        <x:v>-0.99999999999862</x:v>
      </x:c>
      <x:c r="L2471" s="81" t="n">
        <x:v>-0.99999999999862</x:v>
      </x:c>
      <x:c r="M2471" s="80" t="n">
        <x:v>0.006744429086304586</x:v>
      </x:c>
      <x:c r="N2471" s="82" t="n">
        <x:v>0.20112431317907176</x:v>
      </x:c>
      <x:c r="O2471" s="82" t="n">
        <x:v>0.06429362371312222</x:v>
      </x:c>
      <x:c r="P2471" s="80" t="n">
        <x:v>270.02276916790214</x:v>
      </x:c>
      <x:c r="Q2471" s="81" t="n">
        <x:v>122.42775953899803</x:v>
      </x:c>
      <x:c r="R2471" s="81" t="n">
        <x:v>62.79186999304337</x:v>
      </x:c>
      <x:c r="S2471" s="81" t="n">
        <x:v>0.0000011816995732965883</x:v>
      </x:c>
      <x:c r="T2471" s="81" t="n">
        <x:v>2.6157778213274582e-11</x:v>
      </x:c>
    </x:row>
    <x:row r="2472">
      <x:c r="A2472" s="59" t="n">
        <x:v>2469</x:v>
      </x:c>
      <x:c r="B2472" s="193" t="n">
        <x:v>0.8510111354291439</x:v>
      </x:c>
      <x:c r="C2472" s="83" t="n">
        <x:v>1.4856178170087562</x:v>
      </x:c>
      <x:c r="D2472" s="83" t="n">
        <x:v>1.387484661375174</x:v>
      </x:c>
      <x:c r="E2472" s="81" t="n">
        <x:v>-0.08707563962470546</x:v>
      </x:c>
      <x:c r="F2472" s="81" t="n">
        <x:v>0.818879302404821</x:v>
      </x:c>
      <x:c r="G2472" s="81" t="n">
        <x:v>0.042467668689377694</x:v>
      </x:c>
      <x:c r="H2472" s="59" t="n">
        <x:v>38</x:v>
      </x:c>
      <x:c r="I2472" s="81" t="n">
        <x:v>0.3598434063605964</x:v>
      </x:c>
      <x:c r="J2472" s="79" t="n">
        <x:v>9.364506743709364e-57</x:v>
      </x:c>
      <x:c r="K2472" s="81" t="n">
        <x:v>-1</x:v>
      </x:c>
      <x:c r="L2472" s="81" t="n">
        <x:v>-1</x:v>
      </x:c>
      <x:c r="M2472" s="80" t="n">
        <x:v>0.000002</x:v>
      </x:c>
      <x:c r="N2472" s="82" t="n">
        <x:v>0.30482055891801135</x:v>
      </x:c>
      <x:c r="O2472" s="82" t="n">
        <x:v>0.23579527116962923</x:v>
      </x:c>
      <x:c r="P2472" s="80" t="n">
        <x:v>516.0268369360156</x:v>
      </x:c>
      <x:c r="Q2472" s="81" t="n">
        <x:v>2.6932271553283675e+39</x:v>
      </x:c>
      <x:c r="R2472" s="81" t="n">
        <x:v>1.2531385058604603</x:v>
      </x:c>
      <x:c r="S2472" s="81" t="n">
        <x:v>8.110721901163713e-10</x:v>
      </x:c>
      <x:c r="T2472" s="81" t="n">
        <x:v>2.028556608394618e-52</x:v>
      </x:c>
    </x:row>
    <x:row r="2473">
      <x:c r="A2473" s="59" t="n">
        <x:v>2470</x:v>
      </x:c>
      <x:c r="B2473" s="193" t="n">
        <x:v>0.4140850484371186</x:v>
      </x:c>
      <x:c r="C2473" s="83" t="n">
        <x:v>0.12957803244036453</x:v>
      </x:c>
      <x:c r="D2473" s="83" t="n">
        <x:v>0.5449825661767835</x:v>
      </x:c>
      <x:c r="E2473" s="81" t="n">
        <x:v>-0.05210303429487637</x:v>
      </x:c>
      <x:c r="F2473" s="81" t="n">
        <x:v>0.6726330619305372</x:v>
      </x:c>
      <x:c r="G2473" s="81" t="n">
        <x:v>-0.045914635892319505</x:v>
      </x:c>
      <x:c r="H2473" s="59" t="n">
        <x:v>0</x:v>
      </x:c>
      <x:c r="I2473" s="81" t="n">
        <x:v>0</x:v>
      </x:c>
      <x:c r="J2473" s="79" t="n">
        <x:v>1.0163676796681167e-17</x:v>
      </x:c>
      <x:c r="K2473" s="81" t="n">
        <x:v>-0.9999999999999883</x:v>
      </x:c>
      <x:c r="L2473" s="81" t="n">
        <x:v>-0.9999999999999883</x:v>
      </x:c>
      <x:c r="M2473" s="80" t="n">
        <x:v>0.0006381068028866798</x:v>
      </x:c>
      <x:c r="N2473" s="82" t="n">
        <x:v>0.20073657263237998</x:v>
      </x:c>
      <x:c r="O2473" s="82" t="n">
        <x:v>0.12754858852030693</x:v>
      </x:c>
      <x:c r="P2473" s="80" t="n">
        <x:v>268.55579364158865</x:v>
      </x:c>
      <x:c r="Q2473" s="81" t="n">
        <x:v>1280.5630408584511</x:v>
      </x:c>
      <x:c r="R2473" s="81" t="n">
        <x:v>30.54267382026074</x:v>
      </x:c>
      <x:c r="S2473" s="81" t="n">
        <x:v>7.853356029681154e-8</x:v>
      </x:c>
      <x:c r="T2473" s="81" t="n">
        <x:v>2.201674289502173e-13</x:v>
      </x:c>
    </x:row>
    <x:row r="2474">
      <x:c r="A2474" s="59" t="n">
        <x:v>2471</x:v>
      </x:c>
      <x:c r="B2474" s="193" t="n">
        <x:v>0.48425998929888014</x:v>
      </x:c>
      <x:c r="C2474" s="83" t="n">
        <x:v>1.3669400121677626</x:v>
      </x:c>
      <x:c r="D2474" s="83" t="n">
        <x:v>0.3904750887449926</x:v>
      </x:c>
      <x:c r="E2474" s="81" t="n">
        <x:v>-0.13101749314671826</x:v>
      </x:c>
      <x:c r="F2474" s="81" t="n">
        <x:v>0.8990402838098817</x:v>
      </x:c>
      <x:c r="G2474" s="81" t="n">
        <x:v>-0.01393334832908465</x:v>
      </x:c>
      <x:c r="H2474" s="59" t="n">
        <x:v>0</x:v>
      </x:c>
      <x:c r="I2474" s="81" t="n">
        <x:v>0</x:v>
      </x:c>
      <x:c r="J2474" s="79" t="n">
        <x:v>7.331852954366145e-28</x:v>
      </x:c>
      <x:c r="K2474" s="81" t="n">
        <x:v>-1</x:v>
      </x:c>
      <x:c r="L2474" s="81" t="n">
        <x:v>-1</x:v>
      </x:c>
      <x:c r="M2474" s="80" t="n">
        <x:v>0.000002</x:v>
      </x:c>
      <x:c r="N2474" s="82" t="n">
        <x:v>0.21745355932579286</x:v>
      </x:c>
      <x:c r="O2474" s="82" t="n">
        <x:v>0.18467861733318722</x:v>
      </x:c>
      <x:c r="P2474" s="80" t="n">
        <x:v>276.49660667294484</x:v>
      </x:c>
      <x:c r="Q2474" s="81" t="n">
        <x:v>23785982299.946457</x:v>
      </x:c>
      <x:c r="R2474" s="81" t="n">
        <x:v>2.1930171330807235</x:v>
      </x:c>
      <x:c r="S2474" s="81" t="n">
        <x:v>1.218343701911231e-10</x:v>
      </x:c>
      <x:c r="T2474" s="81" t="n">
        <x:v>1.5882394203355223e-23</x:v>
      </x:c>
    </x:row>
    <x:row r="2475">
      <x:c r="A2475" s="59" t="n">
        <x:v>2472</x:v>
      </x:c>
      <x:c r="B2475" s="193" t="n">
        <x:v>0.4381318582221866</x:v>
      </x:c>
      <x:c r="C2475" s="83" t="n">
        <x:v>0.7173126552484723</x:v>
      </x:c>
      <x:c r="D2475" s="83" t="n">
        <x:v>0.38782048664099406</x:v>
      </x:c>
      <x:c r="E2475" s="81" t="n">
        <x:v>-0.07809007463471185</x:v>
      </x:c>
      <x:c r="F2475" s="81" t="n">
        <x:v>0.5115321307675913</x:v>
      </x:c>
      <x:c r="G2475" s="81" t="n">
        <x:v>0.022095289126889437</x:v>
      </x:c>
      <x:c r="H2475" s="59" t="n">
        <x:v>0</x:v>
      </x:c>
      <x:c r="I2475" s="81" t="n">
        <x:v>0</x:v>
      </x:c>
      <x:c r="J2475" s="79" t="n">
        <x:v>3.5625419655203095e-24</x:v>
      </x:c>
      <x:c r="K2475" s="81" t="n">
        <x:v>-1</x:v>
      </x:c>
      <x:c r="L2475" s="81" t="n">
        <x:v>-1</x:v>
      </x:c>
      <x:c r="M2475" s="80" t="n">
        <x:v>0.000002</x:v>
      </x:c>
      <x:c r="N2475" s="82" t="n">
        <x:v>0.2064649736008664</x:v>
      </x:c>
      <x:c r="O2475" s="82" t="n">
        <x:v>0.09976776540084274</x:v>
      </x:c>
      <x:c r="P2475" s="80" t="n">
        <x:v>310.27513174455305</x:v>
      </x:c>
      <x:c r="Q2475" s="81" t="n">
        <x:v>7828778.79139183</x:v>
      </x:c>
      <x:c r="R2475" s="81" t="n">
        <x:v>6.273953059037989</x:v>
      </x:c>
      <x:c r="S2475" s="81" t="n">
        <x:v>2.5808574650203364e-10</x:v>
      </x:c>
      <x:c r="T2475" s="81" t="n">
        <x:v>7.717243678311207e-20</x:v>
      </x:c>
    </x:row>
    <x:row r="2476">
      <x:c r="A2476" s="59" t="n">
        <x:v>2473</x:v>
      </x:c>
      <x:c r="B2476" s="193" t="n">
        <x:v>0.5468931132927537</x:v>
      </x:c>
      <x:c r="C2476" s="83" t="n">
        <x:v>1.582913093211874</x:v>
      </x:c>
      <x:c r="D2476" s="83" t="n">
        <x:v>0.6741903607043527</x:v>
      </x:c>
      <x:c r="E2476" s="81" t="n">
        <x:v>-0.05498986162387988</x:v>
      </x:c>
      <x:c r="F2476" s="81" t="n">
        <x:v>0.42775428981985897</x:v>
      </x:c>
      <x:c r="G2476" s="81" t="n">
        <x:v>-0.006404549613800596</x:v>
      </x:c>
      <x:c r="H2476" s="59" t="n">
        <x:v>0</x:v>
      </x:c>
      <x:c r="I2476" s="81" t="n">
        <x:v>0</x:v>
      </x:c>
      <x:c r="J2476" s="79" t="n">
        <x:v>1.4747320540324016e-24</x:v>
      </x:c>
      <x:c r="K2476" s="81" t="n">
        <x:v>-1</x:v>
      </x:c>
      <x:c r="L2476" s="81" t="n">
        <x:v>-1</x:v>
      </x:c>
      <x:c r="M2476" s="80" t="n">
        <x:v>0.000002</x:v>
      </x:c>
      <x:c r="N2476" s="82" t="n">
        <x:v>0.232373943832208</x:v>
      </x:c>
      <x:c r="O2476" s="82" t="n">
        <x:v>0.09389722215908178</x:v>
      </x:c>
      <x:c r="P2476" s="80" t="n">
        <x:v>712.380674800327</x:v>
      </x:c>
      <x:c r="Q2476" s="81" t="n">
        <x:v>26281330.052763004</x:v>
      </x:c>
      <x:c r="R2476" s="81" t="n">
        <x:v>3.0021097205357394</x:v>
      </x:c>
      <x:c r="S2476" s="81" t="n">
        <x:v>2.1145936046167815e-10</x:v>
      </x:c>
      <x:c r="T2476" s="81" t="n">
        <x:v>3.194591595364485e-20</x:v>
      </x:c>
    </x:row>
    <x:row r="2477">
      <x:c r="A2477" s="59" t="n">
        <x:v>2474</x:v>
      </x:c>
      <x:c r="B2477" s="193" t="n">
        <x:v>0.39358103778213266</x:v>
      </x:c>
      <x:c r="C2477" s="83" t="n">
        <x:v>2.5868309222839563</x:v>
      </x:c>
      <x:c r="D2477" s="83" t="n">
        <x:v>0.21894467769107234</x:v>
      </x:c>
      <x:c r="E2477" s="81" t="n">
        <x:v>-0.04507032633077863</x:v>
      </x:c>
      <x:c r="F2477" s="81" t="n">
        <x:v>0.5991103602689691</x:v>
      </x:c>
      <x:c r="G2477" s="81" t="n">
        <x:v>0.011671813402883417</x:v>
      </x:c>
      <x:c r="H2477" s="59" t="n">
        <x:v>90</x:v>
      </x:c>
      <x:c r="I2477" s="81" t="n">
        <x:v>0.33257000111043455</x:v>
      </x:c>
      <x:c r="J2477" s="79" t="n">
        <x:v>4.5971155317905586e-11</x:v>
      </x:c>
      <x:c r="K2477" s="81" t="n">
        <x:v>-0.9999999474615368</x:v>
      </x:c>
      <x:c r="L2477" s="81" t="n">
        <x:v>-0.9999999474615368</x:v>
      </x:c>
      <x:c r="M2477" s="80" t="n">
        <x:v>4.214492884561874</x:v>
      </x:c>
      <x:c r="N2477" s="82" t="n">
        <x:v>0.19585213284416228</x:v>
      </x:c>
      <x:c r="O2477" s="82" t="n">
        <x:v>0.11084243990312216</x:v>
      </x:c>
      <x:c r="P2477" s="80" t="n">
        <x:v>914.3520197465728</x:v>
      </x:c>
      <x:c r="Q2477" s="81" t="n">
        <x:v>2.141928108239257</x:v>
      </x:c>
      <x:c r="R2477" s="81" t="n">
        <x:v>3.8767523577418683</x:v>
      </x:c>
      <x:c r="S2477" s="81" t="n">
        <x:v>0.00013301775830366468</x:v>
      </x:c>
      <x:c r="T2477" s="81" t="n">
        <x:v>9.958355892937676e-7</x:v>
      </x:c>
    </x:row>
    <x:row r="2478">
      <x:c r="A2478" s="59" t="n">
        <x:v>2475</x:v>
      </x:c>
      <x:c r="B2478" s="193" t="n">
        <x:v>0.9128171123564244</x:v>
      </x:c>
      <x:c r="C2478" s="83" t="n">
        <x:v>1.7371698076393756</x:v>
      </x:c>
      <x:c r="D2478" s="83" t="n">
        <x:v>0.896884154212483</x:v>
      </x:c>
      <x:c r="E2478" s="81" t="n">
        <x:v>-0.07928482050893636</x:v>
      </x:c>
      <x:c r="F2478" s="81" t="n">
        <x:v>0.7408281922689639</x:v>
      </x:c>
      <x:c r="G2478" s="81" t="n">
        <x:v>0.019968250677754776</x:v>
      </x:c>
      <x:c r="H2478" s="59" t="n">
        <x:v>50</x:v>
      </x:c>
      <x:c r="I2478" s="81" t="n">
        <x:v>0.48239382654428486</x:v>
      </x:c>
      <x:c r="J2478" s="79" t="n">
        <x:v>3.03742273000969e-37</x:v>
      </x:c>
      <x:c r="K2478" s="81" t="n">
        <x:v>-1</x:v>
      </x:c>
      <x:c r="L2478" s="81" t="n">
        <x:v>-1</x:v>
      </x:c>
      <x:c r="M2478" s="80" t="n">
        <x:v>0.000002</x:v>
      </x:c>
      <x:c r="N2478" s="82" t="n">
        <x:v>0.3195439014841569</x:v>
      </x:c>
      <x:c r="O2478" s="82" t="n">
        <x:v>0.22362429085584454</x:v>
      </x:c>
      <x:c r="P2478" s="80" t="n">
        <x:v>559.6667305953056</x:v>
      </x:c>
      <x:c r="Q2478" s="81" t="n">
        <x:v>90538977220811310000</x:v>
      </x:c>
      <x:c r="R2478" s="81" t="n">
        <x:v>1.592453348038319</x:v>
      </x:c>
      <x:c r="S2478" s="81" t="n">
        <x:v>3.6509817802011784e-10</x:v>
      </x:c>
      <x:c r="T2478" s="81" t="n">
        <x:v>6.579720769156625e-33</x:v>
      </x:c>
    </x:row>
    <x:row r="2479">
      <x:c r="A2479" s="59" t="n">
        <x:v>2476</x:v>
      </x:c>
      <x:c r="B2479" s="193" t="n">
        <x:v>0.25813875161111355</x:v>
      </x:c>
      <x:c r="C2479" s="83" t="n">
        <x:v>0.7388046063116954</x:v>
      </x:c>
      <x:c r="D2479" s="83" t="n">
        <x:v>0.9515098615807044</x:v>
      </x:c>
      <x:c r="E2479" s="81" t="n">
        <x:v>0.09651414779837754</x:v>
      </x:c>
      <x:c r="F2479" s="81" t="n">
        <x:v>0.5965707872994244</x:v>
      </x:c>
      <x:c r="G2479" s="81" t="n">
        <x:v>-0.03687129952250786</x:v>
      </x:c>
      <x:c r="H2479" s="59" t="n">
        <x:v>71</x:v>
      </x:c>
      <x:c r="I2479" s="81" t="n">
        <x:v>0.2782750819809735</x:v>
      </x:c>
      <x:c r="J2479" s="79" t="n">
        <x:v>0.006727853049213278</x:v>
      </x:c>
      <x:c r="K2479" s="81" t="n">
        <x:v>6.6889749133866045</x:v>
      </x:c>
      <x:c r="L2479" s="81" t="n">
        <x:v>-0.9363173799753068</x:v>
      </x:c>
      <x:c r="M2479" s="80" t="n">
        <x:v>31782.892583189834</x:v>
      </x:c>
      <x:c r="N2479" s="82" t="n">
        <x:v>0.16358724073536005</x:v>
      </x:c>
      <x:c r="O2479" s="82" t="n">
        <x:v>0.09218968947060431</x:v>
      </x:c>
      <x:c r="P2479" s="80" t="n">
        <x:v>51921.83809912227</x:v>
      </x:c>
      <x:c r="Q2479" s="81" t="n">
        <x:v>0.0024815436744297214</x:v>
      </x:c>
      <x:c r="R2479" s="81" t="n">
        <x:v>482.3816925215791</x:v>
      </x:c>
      <x:c r="S2479" s="81" t="n">
        <x:v>174.32073902238133</x:v>
      </x:c>
      <x:c r="T2479" s="81" t="n">
        <x:v>145.73998542376455</x:v>
      </x:c>
    </x:row>
    <x:row r="2480">
      <x:c r="A2480" s="59" t="n">
        <x:v>2477</x:v>
      </x:c>
      <x:c r="B2480" s="193" t="n">
        <x:v>0.3304274560883641</x:v>
      </x:c>
      <x:c r="C2480" s="83" t="n">
        <x:v>0.17314212192358377</x:v>
      </x:c>
      <x:c r="D2480" s="83" t="n">
        <x:v>1.083725967605828</x:v>
      </x:c>
      <x:c r="E2480" s="81" t="n">
        <x:v>-0.14272667069726735</x:v>
      </x:c>
      <x:c r="F2480" s="81" t="n">
        <x:v>0.8339788501849398</x:v>
      </x:c>
      <x:c r="G2480" s="81" t="n">
        <x:v>-0.01732265505335983</x:v>
      </x:c>
      <x:c r="H2480" s="59" t="n">
        <x:v>39</x:v>
      </x:c>
      <x:c r="I2480" s="81" t="n">
        <x:v>0.45256461752578614</x:v>
      </x:c>
      <x:c r="J2480" s="79" t="n">
        <x:v>4.199036949281329e-52</x:v>
      </x:c>
      <x:c r="K2480" s="81" t="n">
        <x:v>-1</x:v>
      </x:c>
      <x:c r="L2480" s="81" t="n">
        <x:v>-1</x:v>
      </x:c>
      <x:c r="M2480" s="80" t="n">
        <x:v>0.000002</x:v>
      </x:c>
      <x:c r="N2480" s="82" t="n">
        <x:v>0.18080776555505004</x:v>
      </x:c>
      <x:c r="O2480" s="82" t="n">
        <x:v>0.14244363833495827</x:v>
      </x:c>
      <x:c r="P2480" s="80" t="n">
        <x:v>157.15425362263747</x:v>
      </x:c>
      <x:c r="Q2480" s="81" t="n">
        <x:v>3.8519650075522874e+34</x:v>
      </x:c>
      <x:c r="R2480" s="81" t="n">
        <x:v>5.213807473588138</x:v>
      </x:c>
      <x:c r="S2480" s="81" t="n">
        <x:v>6.542435351517792e-10</x:v>
      </x:c>
      <x:c r="T2480" s="81" t="n">
        <x:v>9.09603077394311e-48</x:v>
      </x:c>
    </x:row>
    <x:row r="2481">
      <x:c r="A2481" s="59" t="n">
        <x:v>2478</x:v>
      </x:c>
      <x:c r="B2481" s="193" t="n">
        <x:v>0.75114030148834</x:v>
      </x:c>
      <x:c r="C2481" s="83" t="n">
        <x:v>0.67761588574118</x:v>
      </x:c>
      <x:c r="D2481" s="83" t="n">
        <x:v>1.2524432290941472</x:v>
      </x:c>
      <x:c r="E2481" s="81" t="n">
        <x:v>0.10957953098129648</x:v>
      </x:c>
      <x:c r="F2481" s="81" t="n">
        <x:v>0.5387385493610055</x:v>
      </x:c>
      <x:c r="G2481" s="81" t="n">
        <x:v>0.014353397206272418</x:v>
      </x:c>
      <x:c r="H2481" s="59" t="n">
        <x:v>0</x:v>
      </x:c>
      <x:c r="I2481" s="81" t="n">
        <x:v>0</x:v>
      </x:c>
      <x:c r="J2481" s="79" t="n">
        <x:v>0.022404712631420225</x:v>
      </x:c>
      <x:c r="K2481" s="81" t="n">
        <x:v>24.60538586448026</x:v>
      </x:c>
      <x:c r="L2481" s="81" t="n">
        <x:v>-0.7830856249624623</x:v>
      </x:c>
      <x:c r="M2481" s="80" t="n">
        <x:v>69945.96813968767</x:v>
      </x:c>
      <x:c r="N2481" s="82" t="n">
        <x:v>0.28102945369517557</x:v>
      </x:c>
      <x:c r="O2481" s="82" t="n">
        <x:v>0.14302133697137775</x:v>
      </x:c>
      <x:c r="P2481" s="80" t="n">
        <x:v>132260.29092433848</x:v>
      </x:c>
      <x:c r="Q2481" s="81" t="n">
        <x:v>0.003696028811248322</x:v>
      </x:c>
      <x:c r="R2481" s="81" t="n">
        <x:v>586.7559610549162</x:v>
      </x:c>
      <x:c r="S2481" s="81" t="n">
        <x:v>643.2397838516056</x:v>
      </x:c>
      <x:c r="T2481" s="81" t="n">
        <x:v>485.3349899948604</x:v>
      </x:c>
    </x:row>
    <x:row r="2482">
      <x:c r="A2482" s="59" t="n">
        <x:v>2479</x:v>
      </x:c>
      <x:c r="B2482" s="193" t="n">
        <x:v>0.6146354271098972</x:v>
      </x:c>
      <x:c r="C2482" s="83" t="n">
        <x:v>0.4472463542455921</x:v>
      </x:c>
      <x:c r="D2482" s="83" t="n">
        <x:v>0.35186847842964886</x:v>
      </x:c>
      <x:c r="E2482" s="81" t="n">
        <x:v>-0.038993687243443986</x:v>
      </x:c>
      <x:c r="F2482" s="81" t="n">
        <x:v>0.46345615974860266</x:v>
      </x:c>
      <x:c r="G2482" s="81" t="n">
        <x:v>0.0013474736330999664</x:v>
      </x:c>
      <x:c r="H2482" s="59" t="n">
        <x:v>0</x:v>
      </x:c>
      <x:c r="I2482" s="81" t="n">
        <x:v>0</x:v>
      </x:c>
      <x:c r="J2482" s="79" t="n">
        <x:v>2.789372352380578e-13</x:v>
      </x:c>
      <x:c r="K2482" s="81" t="n">
        <x:v>-0.9999999996812146</x:v>
      </x:c>
      <x:c r="L2482" s="81" t="n">
        <x:v>-0.9999999996812146</x:v>
      </x:c>
      <x:c r="M2482" s="80" t="n">
        <x:v>0.13345399320435894</x:v>
      </x:c>
      <x:c r="N2482" s="82" t="n">
        <x:v>0.24851143315183583</x:v>
      </x:c>
      <x:c r="O2482" s="82" t="n">
        <x:v>0.10879926825459732</x:v>
      </x:c>
      <x:c r="P2482" s="80" t="n">
        <x:v>388.04339243646064</x:v>
      </x:c>
      <x:c r="Q2482" s="81" t="n">
        <x:v>12.871198339786389</x:v>
      </x:c>
      <x:c r="R2482" s="81" t="n">
        <x:v>14.903285288112274</x:v>
      </x:c>
      <x:c r="S2482" s="81" t="n">
        <x:v>0.000014856939352408498</x:v>
      </x:c>
      <x:c r="T2482" s="81" t="n">
        <x:v>6.04238949637781e-9</x:v>
      </x:c>
    </x:row>
    <x:row r="2483">
      <x:c r="A2483" s="59" t="n">
        <x:v>2480</x:v>
      </x:c>
      <x:c r="B2483" s="193" t="n">
        <x:v>0.3072611786425114</x:v>
      </x:c>
      <x:c r="C2483" s="83" t="n">
        <x:v>0.14508556899264316</x:v>
      </x:c>
      <x:c r="D2483" s="83" t="n">
        <x:v>0.41365005569088736</x:v>
      </x:c>
      <x:c r="E2483" s="81" t="n">
        <x:v>-0.11764626507891639</x:v>
      </x:c>
      <x:c r="F2483" s="81" t="n">
        <x:v>0.5905591855756939</x:v>
      </x:c>
      <x:c r="G2483" s="81" t="n">
        <x:v>-0.030737552507133538</x:v>
      </x:c>
      <x:c r="H2483" s="59" t="n">
        <x:v>0</x:v>
      </x:c>
      <x:c r="I2483" s="81" t="n">
        <x:v>0</x:v>
      </x:c>
      <x:c r="J2483" s="79" t="n">
        <x:v>1.1721577303383782e-25</x:v>
      </x:c>
      <x:c r="K2483" s="81" t="n">
        <x:v>-1</x:v>
      </x:c>
      <x:c r="L2483" s="81" t="n">
        <x:v>-1</x:v>
      </x:c>
      <x:c r="M2483" s="80" t="n">
        <x:v>0.000002</x:v>
      </x:c>
      <x:c r="N2483" s="82" t="n">
        <x:v>0.17528912389974582</x:v>
      </x:c>
      <x:c r="O2483" s="82" t="n">
        <x:v>0.09778885052977318</x:v>
      </x:c>
      <x:c r="P2483" s="80" t="n">
        <x:v>146.0093262532782</x:v>
      </x:c>
      <x:c r="Q2483" s="81" t="n">
        <x:v>163732529.76477128</x:v>
      </x:c>
      <x:c r="R2483" s="81" t="n">
        <x:v>19.035433972439566</x:v>
      </x:c>
      <x:c r="S2483" s="81" t="n">
        <x:v>2.1643930331022186e-10</x:v>
      </x:c>
      <x:c r="T2483" s="81" t="n">
        <x:v>2.5391495516365984e-21</x:v>
      </x:c>
    </x:row>
    <x:row r="2484">
      <x:c r="A2484" s="59" t="n">
        <x:v>2481</x:v>
      </x:c>
      <x:c r="B2484" s="193" t="n">
        <x:v>0.8016486458480359</x:v>
      </x:c>
      <x:c r="C2484" s="83" t="n">
        <x:v>0.652660031698135</x:v>
      </x:c>
      <x:c r="D2484" s="83" t="n">
        <x:v>0.6533062598948094</x:v>
      </x:c>
      <x:c r="E2484" s="81" t="n">
        <x:v>0.03723166581992004</x:v>
      </x:c>
      <x:c r="F2484" s="81" t="n">
        <x:v>0.8245367490453646</x:v>
      </x:c>
      <x:c r="G2484" s="81" t="n">
        <x:v>0.0025052896613564843</x:v>
      </x:c>
      <x:c r="H2484" s="59" t="n">
        <x:v>16</x:v>
      </x:c>
      <x:c r="I2484" s="81" t="n">
        <x:v>0.3125883492641151</x:v>
      </x:c>
      <x:c r="J2484" s="79" t="n">
        <x:v>0.00014266853183538217</x:v>
      </x:c>
      <x:c r="K2484" s="81" t="n">
        <x:v>-0.8369502493309918</x:v>
      </x:c>
      <x:c r="L2484" s="81" t="n">
        <x:v>-0.8997535541112439</x:v>
      </x:c>
      <x:c r="M2484" s="80" t="n">
        <x:v>3706.4838147110936</x:v>
      </x:c>
      <x:c r="N2484" s="82" t="n">
        <x:v>0.2930614883531117</x:v>
      </x:c>
      <x:c r="O2484" s="82" t="n">
        <x:v>0.22826520151207522</x:v>
      </x:c>
      <x:c r="P2484" s="80" t="n">
        <x:v>5378.013721799547</x:v>
      </x:c>
      <x:c r="Q2484" s="81" t="n">
        <x:v>0.013127504975736545</x:v>
      </x:c>
      <x:c r="R2484" s="81" t="n">
        <x:v>22.90448113997826</x:v>
      </x:c>
      <x:c r="S2484" s="81" t="n">
        <x:v>4.742597199659962</x:v>
      </x:c>
      <x:c r="T2484" s="81" t="n">
        <x:v>3.090511876229202</x:v>
      </x:c>
    </x:row>
    <x:row r="2485">
      <x:c r="A2485" s="59" t="n">
        <x:v>2482</x:v>
      </x:c>
      <x:c r="B2485" s="193" t="n">
        <x:v>0.8280093871057035</x:v>
      </x:c>
      <x:c r="C2485" s="83" t="n">
        <x:v>1.6867876966708044</x:v>
      </x:c>
      <x:c r="D2485" s="83" t="n">
        <x:v>0.7883662696286138</x:v>
      </x:c>
      <x:c r="E2485" s="81" t="n">
        <x:v>-0.03297150602700892</x:v>
      </x:c>
      <x:c r="F2485" s="81" t="n">
        <x:v>0.8357531474321149</x:v>
      </x:c>
      <x:c r="G2485" s="81" t="n">
        <x:v>0.049557281925879326</x:v>
      </x:c>
      <x:c r="H2485" s="59" t="n">
        <x:v>0</x:v>
      </x:c>
      <x:c r="I2485" s="81" t="n">
        <x:v>0</x:v>
      </x:c>
      <x:c r="J2485" s="79" t="n">
        <x:v>1.1337164984912848e-24</x:v>
      </x:c>
      <x:c r="K2485" s="81" t="n">
        <x:v>-1</x:v>
      </x:c>
      <x:c r="L2485" s="81" t="n">
        <x:v>-1</x:v>
      </x:c>
      <x:c r="M2485" s="80" t="n">
        <x:v>0.000002</x:v>
      </x:c>
      <x:c r="N2485" s="82" t="n">
        <x:v>0.29934111118458706</x:v>
      </x:c>
      <x:c r="O2485" s="82" t="n">
        <x:v>0.23632808135314737</x:v>
      </x:c>
      <x:c r="P2485" s="80" t="n">
        <x:v>1034.9791335689526</x:v>
      </x:c>
      <x:c r="Q2485" s="81" t="n">
        <x:v>55826434.49702726</x:v>
      </x:c>
      <x:c r="R2485" s="81" t="n">
        <x:v>3.3539642638848113</x:v>
      </x:c>
      <x:c r="S2485" s="81" t="n">
        <x:v>4.629920865403955e-10</x:v>
      </x:c>
      <x:c r="T2485" s="81" t="n">
        <x:v>2.4558774508923342e-20</x:v>
      </x:c>
    </x:row>
    <x:row r="2486">
      <x:c r="A2486" s="59" t="n">
        <x:v>2483</x:v>
      </x:c>
      <x:c r="B2486" s="193" t="n">
        <x:v>0.21936472691595554</x:v>
      </x:c>
      <x:c r="C2486" s="83" t="n">
        <x:v>0.22294655000097444</x:v>
      </x:c>
      <x:c r="D2486" s="83" t="n">
        <x:v>0.8943829353984116</x:v>
      </x:c>
      <x:c r="E2486" s="81" t="n">
        <x:v>0.001649137534117252</x:v>
      </x:c>
      <x:c r="F2486" s="81" t="n">
        <x:v>0.4702673884807155</x:v>
      </x:c>
      <x:c r="G2486" s="81" t="n">
        <x:v>-0.007795245219451616</x:v>
      </x:c>
      <x:c r="H2486" s="59" t="n">
        <x:v>0</x:v>
      </x:c>
      <x:c r="I2486" s="81" t="n">
        <x:v>0</x:v>
      </x:c>
      <x:c r="J2486" s="79" t="n">
        <x:v>0.00000540449444419044</x:v>
      </x:c>
      <x:c r="K2486" s="81" t="n">
        <x:v>-0.9938234349209252</x:v>
      </x:c>
      <x:c r="L2486" s="81" t="n">
        <x:v>-0.9938234349209252</x:v>
      </x:c>
      <x:c r="M2486" s="80" t="n">
        <x:v>487.1949069999165</x:v>
      </x:c>
      <x:c r="N2486" s="82" t="n">
        <x:v>0.15435054104001034</x:v>
      </x:c>
      <x:c r="O2486" s="82" t="n">
        <x:v>0.06856839135806637</x:v>
      </x:c>
      <x:c r="P2486" s="80" t="n">
        <x:v>2537.592796890572</x:v>
      </x:c>
      <x:c r="Q2486" s="81" t="n">
        <x:v>0.0332336983624424</x:v>
      </x:c>
      <x:c r="R2486" s="81" t="n">
        <x:v>58.14287384124432</x:v>
      </x:c>
      <x:c r="S2486" s="81" t="n">
        <x:v>0.5925359741911205</x:v>
      </x:c>
      <x:c r="T2486" s="81" t="n">
        <x:v>0.11707314885708381</x:v>
      </x:c>
    </x:row>
    <x:row r="2487">
      <x:c r="A2487" s="59" t="n">
        <x:v>2484</x:v>
      </x:c>
      <x:c r="B2487" s="193" t="n">
        <x:v>0.9271452076733113</x:v>
      </x:c>
      <x:c r="C2487" s="83" t="n">
        <x:v>2.451494280997969</x:v>
      </x:c>
      <x:c r="D2487" s="83" t="n">
        <x:v>0.6897204316610819</x:v>
      </x:c>
      <x:c r="E2487" s="81" t="n">
        <x:v>0.024664075657531332</x:v>
      </x:c>
      <x:c r="F2487" s="81" t="n">
        <x:v>0.47875805051298814</x:v>
      </x:c>
      <x:c r="G2487" s="81" t="n">
        <x:v>-0.026073134842994863</x:v>
      </x:c>
      <x:c r="H2487" s="59" t="n">
        <x:v>0</x:v>
      </x:c>
      <x:c r="I2487" s="81" t="n">
        <x:v>0</x:v>
      </x:c>
      <x:c r="J2487" s="79" t="n">
        <x:v>0.0003733530379374334</x:v>
      </x:c>
      <x:c r="K2487" s="81" t="n">
        <x:v>-0.5733108137857903</x:v>
      </x:c>
      <x:c r="L2487" s="81" t="n">
        <x:v>-0.7491400391561576</x:v>
      </x:c>
      <x:c r="M2487" s="80" t="n">
        <x:v>12004.322396828991</x:v>
      </x:c>
      <x:c r="N2487" s="82" t="n">
        <x:v>0.32295712244042646</x:v>
      </x:c>
      <x:c r="O2487" s="82" t="n">
        <x:v>0.14606020254958357</x:v>
      </x:c>
      <x:c r="P2487" s="80" t="n">
        <x:v>18426.40695648015</x:v>
      </x:c>
      <x:c r="Q2487" s="81" t="n">
        <x:v>0.012099797351207758</x:v>
      </x:c>
      <x:c r="R2487" s="81" t="n">
        <x:v>13.780666785085886</x:v>
      </x:c>
      <x:c r="S2487" s="81" t="n">
        <x:v>3.6081421941323786</x:v>
      </x:c>
      <x:c r="T2487" s="81" t="n">
        <x:v>8.08764191323746</x:v>
      </x:c>
    </x:row>
    <x:row r="2488">
      <x:c r="A2488" s="59" t="n">
        <x:v>2485</x:v>
      </x:c>
      <x:c r="B2488" s="193" t="n">
        <x:v>0.2949479488655925</x:v>
      </x:c>
      <x:c r="C2488" s="83" t="n">
        <x:v>0.12476431002618185</x:v>
      </x:c>
      <x:c r="D2488" s="83" t="n">
        <x:v>1.7048772799551501</x:v>
      </x:c>
      <x:c r="E2488" s="81" t="n">
        <x:v>0.040351853141743506</x:v>
      </x:c>
      <x:c r="F2488" s="81" t="n">
        <x:v>0.7671208514599129</x:v>
      </x:c>
      <x:c r="G2488" s="81" t="n">
        <x:v>-0.05</x:v>
      </x:c>
      <x:c r="H2488" s="59" t="n">
        <x:v>0</x:v>
      </x:c>
      <x:c r="I2488" s="81" t="n">
        <x:v>0</x:v>
      </x:c>
      <x:c r="J2488" s="79" t="n">
        <x:v>0.0005845753933575854</x:v>
      </x:c>
      <x:c r="K2488" s="81" t="n">
        <x:v>-0.3319138361627595</x:v>
      </x:c>
      <x:c r="L2488" s="81" t="n">
        <x:v>-0.8650754842034006</x:v>
      </x:c>
      <x:c r="M2488" s="80" t="n">
        <x:v>5628.056856722079</x:v>
      </x:c>
      <x:c r="N2488" s="82" t="n">
        <x:v>0.17235588169382537</x:v>
      </x:c>
      <x:c r="O2488" s="82" t="n">
        <x:v>0.1248995397244388</x:v>
      </x:c>
      <x:c r="P2488" s="80" t="n">
        <x:v>18585.536991919034</x:v>
      </x:c>
      <x:c r="Q2488" s="81" t="n">
        <x:v>0.007032779764672345</x:v>
      </x:c>
      <x:c r="R2488" s="81" t="n">
        <x:v>589.5044185242442</x:v>
      </x:c>
      <x:c r="S2488" s="81" t="n">
        <x:v>89.07552417229611</x:v>
      </x:c>
      <x:c r="T2488" s="81" t="n">
        <x:v>12.663179276335164</x:v>
      </x:c>
    </x:row>
    <x:row r="2489">
      <x:c r="A2489" s="59" t="n">
        <x:v>2486</x:v>
      </x:c>
      <x:c r="B2489" s="193" t="n">
        <x:v>0.3777894012629986</x:v>
      </x:c>
      <x:c r="C2489" s="83" t="n">
        <x:v>0.8779040110235974</x:v>
      </x:c>
      <x:c r="D2489" s="83" t="n">
        <x:v>0.6783201637243313</x:v>
      </x:c>
      <x:c r="E2489" s="81" t="n">
        <x:v>-0.033278070804975454</x:v>
      </x:c>
      <x:c r="F2489" s="81" t="n">
        <x:v>0.7109140074229799</x:v>
      </x:c>
      <x:c r="G2489" s="81" t="n">
        <x:v>-0.01357037920195421</x:v>
      </x:c>
      <x:c r="H2489" s="59" t="n">
        <x:v>0</x:v>
      </x:c>
      <x:c r="I2489" s="81" t="n">
        <x:v>0</x:v>
      </x:c>
      <x:c r="J2489" s="79" t="n">
        <x:v>3.794745277950658e-17</x:v>
      </x:c>
      <x:c r="K2489" s="81" t="n">
        <x:v>-0.9999999999999566</x:v>
      </x:c>
      <x:c r="L2489" s="81" t="n">
        <x:v>-0.9999999999999566</x:v>
      </x:c>
      <x:c r="M2489" s="80" t="n">
        <x:v>0.002046026747656589</x:v>
      </x:c>
      <x:c r="N2489" s="82" t="n">
        <x:v>0.19209026893211997</x:v>
      </x:c>
      <x:c r="O2489" s="82" t="n">
        <x:v>0.12900108937730725</x:v>
      </x:c>
      <x:c r="P2489" s="80" t="n">
        <x:v>713.0344572137273</x:v>
      </x:c>
      <x:c r="Q2489" s="81" t="n">
        <x:v>1691.0269585976603</x:v>
      </x:c>
      <x:c r="R2489" s="81" t="n">
        <x:v>6.511019497272996</x:v>
      </x:c>
      <x:c r="S2489" s="81" t="n">
        <x:v>2.8450291938971296e-7</x:v>
      </x:c>
      <x:c r="T2489" s="81" t="n">
        <x:v>8.220246748107834e-13</x:v>
      </x:c>
    </x:row>
    <x:row r="2490">
      <x:c r="A2490" s="59" t="n">
        <x:v>2487</x:v>
      </x:c>
      <x:c r="B2490" s="193" t="n">
        <x:v>0.8977945584803819</x:v>
      </x:c>
      <x:c r="C2490" s="83" t="n">
        <x:v>0.3571550307056358</x:v>
      </x:c>
      <x:c r="D2490" s="83" t="n">
        <x:v>0.28333606464676575</x:v>
      </x:c>
      <x:c r="E2490" s="81" t="n">
        <x:v>-0.019487593482990607</x:v>
      </x:c>
      <x:c r="F2490" s="81" t="n">
        <x:v>0.6599652817938477</x:v>
      </x:c>
      <x:c r="G2490" s="81" t="n">
        <x:v>-0.026164249019711074</x:v>
      </x:c>
      <x:c r="H2490" s="59" t="n">
        <x:v>0</x:v>
      </x:c>
      <x:c r="I2490" s="81" t="n">
        <x:v>0</x:v>
      </x:c>
      <x:c r="J2490" s="79" t="n">
        <x:v>5.969448287891826e-9</x:v>
      </x:c>
      <x:c r="K2490" s="81" t="n">
        <x:v>-0.9999931777733853</x:v>
      </x:c>
      <x:c r="L2490" s="81" t="n">
        <x:v>-0.9999931777733853</x:v>
      </x:c>
      <x:c r="M2490" s="80" t="n">
        <x:v>18.040403587181732</x:v>
      </x:c>
      <x:c r="N2490" s="82" t="n">
        <x:v>0.3159652474779982</x:v>
      </x:c>
      <x:c r="O2490" s="82" t="n">
        <x:v>0.19698418017830105</x:v>
      </x:c>
      <x:c r="P2490" s="80" t="n">
        <x:v>330.3418942122435</x:v>
      </x:c>
      <x:c r="Q2490" s="81" t="n">
        <x:v>0.13934655107115748</x:v>
      </x:c>
      <x:c r="R2490" s="81" t="n">
        <x:v>18.308546064982345</x:v>
      </x:c>
      <x:c r="S2490" s="81" t="n">
        <x:v>0.0015160617199130645</x:v>
      </x:c>
      <x:c r="T2490" s="81" t="n">
        <x:v>0.00012931128252972217</x:v>
      </x:c>
    </x:row>
    <x:row r="2491">
      <x:c r="A2491" s="59" t="n">
        <x:v>2488</x:v>
      </x:c>
      <x:c r="B2491" s="193" t="n">
        <x:v>0.8614780087023974</x:v>
      </x:c>
      <x:c r="C2491" s="83" t="n">
        <x:v>0.17540342725654096</x:v>
      </x:c>
      <x:c r="D2491" s="83" t="n">
        <x:v>0.5115381194866099</x:v>
      </x:c>
      <x:c r="E2491" s="81" t="n">
        <x:v>0.12436325681559775</x:v>
      </x:c>
      <x:c r="F2491" s="81" t="n">
        <x:v>0.6438473366783001</x:v>
      </x:c>
      <x:c r="G2491" s="81" t="n">
        <x:v>0.04774956353894553</x:v>
      </x:c>
      <x:c r="H2491" s="59" t="n">
        <x:v>0</x:v>
      </x:c>
      <x:c r="I2491" s="81" t="n">
        <x:v>0</x:v>
      </x:c>
      <x:c r="J2491" s="79" t="n">
        <x:v>0.0024495937172642657</x:v>
      </x:c>
      <x:c r="K2491" s="81" t="n">
        <x:v>1.7995356768734467</x:v>
      </x:c>
      <x:c r="L2491" s="81" t="n">
        <x:v>-0.7930625144497895</x:v>
      </x:c>
      <x:c r="M2491" s="80" t="n">
        <x:v>13501.93848199669</x:v>
      </x:c>
      <x:c r="N2491" s="82" t="n">
        <x:v>0.3073139643855742</x:v>
      </x:c>
      <x:c r="O2491" s="82" t="n">
        <x:v>0.1869115506538554</x:v>
      </x:c>
      <x:c r="P2491" s="80" t="n">
        <x:v>13693.49128462167</x:v>
      </x:c>
      <x:c r="Q2491" s="81" t="n">
        <x:v>0.0038822552780399255</x:v>
      </x:c>
      <x:c r="R2491" s="81" t="n">
        <x:v>244.45245920963012</x:v>
      </x:c>
      <x:c r="S2491" s="81" t="n">
        <x:v>264.2796097329424</x:v>
      </x:c>
      <x:c r="T2491" s="81" t="n">
        <x:v>53.06354791592626</x:v>
      </x:c>
    </x:row>
    <x:row r="2492">
      <x:c r="A2492" s="59" t="n">
        <x:v>2489</x:v>
      </x:c>
      <x:c r="B2492" s="193" t="n">
        <x:v>0.6606252854689956</x:v>
      </x:c>
      <x:c r="C2492" s="83" t="n">
        <x:v>0.17628270064961277</x:v>
      </x:c>
      <x:c r="D2492" s="83" t="n">
        <x:v>0.4991216189257708</x:v>
      </x:c>
      <x:c r="E2492" s="81" t="n">
        <x:v>0.01946105525859301</x:v>
      </x:c>
      <x:c r="F2492" s="81" t="n">
        <x:v>0.38002097522839906</x:v>
      </x:c>
      <x:c r="G2492" s="81" t="n">
        <x:v>0.013154083812742948</x:v>
      </x:c>
      <x:c r="H2492" s="59" t="n">
        <x:v>43</x:v>
      </x:c>
      <x:c r="I2492" s="81" t="n">
        <x:v>0.1813636127859354</x:v>
      </x:c>
      <x:c r="J2492" s="79" t="n">
        <x:v>0.00007918894500469569</x:v>
      </x:c>
      <x:c r="K2492" s="81" t="n">
        <x:v>-0.909498348566062</x:v>
      </x:c>
      <x:c r="L2492" s="81" t="n">
        <x:v>-0.9343744518024791</x:v>
      </x:c>
      <x:c r="M2492" s="80" t="n">
        <x:v>1857.1887085317455</x:v>
      </x:c>
      <x:c r="N2492" s="82" t="n">
        <x:v>0.25946707972281735</x:v>
      </x:c>
      <x:c r="O2492" s="82" t="n">
        <x:v>0.09314526312777961</x:v>
      </x:c>
      <x:c r="P2492" s="80" t="n">
        <x:v>2481.433405636618</x:v>
      </x:c>
      <x:c r="Q2492" s="81" t="n">
        <x:v>0.009339947741621885</x:v>
      </x:c>
      <x:c r="R2492" s="81" t="n">
        <x:v>86.41540278451005</x:v>
      </x:c>
      <x:c r="S2492" s="81" t="n">
        <x:v>8.752321016228876</x:v>
      </x:c>
      <x:c r="T2492" s="81" t="n">
        <x:v>1.715405435625142</x:v>
      </x:c>
    </x:row>
    <x:row r="2493">
      <x:c r="A2493" s="59" t="n">
        <x:v>2490</x:v>
      </x:c>
      <x:c r="B2493" s="193" t="n">
        <x:v>0.8388250639662147</x:v>
      </x:c>
      <x:c r="C2493" s="83" t="n">
        <x:v>0.4601417655773049</x:v>
      </x:c>
      <x:c r="D2493" s="83" t="n">
        <x:v>0.4800042144535957</x:v>
      </x:c>
      <x:c r="E2493" s="81" t="n">
        <x:v>-0.019507472337282897</x:v>
      </x:c>
      <x:c r="F2493" s="81" t="n">
        <x:v>0.7790456270566211</x:v>
      </x:c>
      <x:c r="G2493" s="81" t="n">
        <x:v>-0.021015858699165894</x:v>
      </x:c>
      <x:c r="H2493" s="59" t="n">
        <x:v>0</x:v>
      </x:c>
      <x:c r="I2493" s="81" t="n">
        <x:v>0</x:v>
      </x:c>
      <x:c r="J2493" s="79" t="n">
        <x:v>1.1145649230706742e-10</x:v>
      </x:c>
      <x:c r="K2493" s="81" t="n">
        <x:v>-0.9999998726211516</x:v>
      </x:c>
      <x:c r="L2493" s="81" t="n">
        <x:v>-0.9999998726211516</x:v>
      </x:c>
      <x:c r="M2493" s="80" t="n">
        <x:v>2.66778644471966</x:v>
      </x:c>
      <x:c r="N2493" s="82" t="n">
        <x:v>0.30191760820670144</x:v>
      </x:c>
      <x:c r="O2493" s="82" t="n">
        <x:v>0.22218885878581088</x:v>
      </x:c>
      <x:c r="P2493" s="80" t="n">
        <x:v>493.79148839226247</x:v>
      </x:c>
      <x:c r="Q2493" s="81" t="n">
        <x:v>1.240660974083859</x:v>
      </x:c>
      <x:c r="R2493" s="81" t="n">
        <x:v>12.778692968835</x:v>
      </x:c>
      <x:c r="S2493" s="81" t="n">
        <x:v>0.0003054309996778336</x:v>
      </x:c>
      <x:c r="T2493" s="81" t="n">
        <x:v>0.000002414390957322617</x:v>
      </x:c>
    </x:row>
    <x:row r="2494">
      <x:c r="A2494" s="59" t="n">
        <x:v>2491</x:v>
      </x:c>
      <x:c r="B2494" s="193" t="n">
        <x:v>0.31050142347812654</x:v>
      </x:c>
      <x:c r="C2494" s="83" t="n">
        <x:v>2.672103244484167</x:v>
      </x:c>
      <x:c r="D2494" s="83" t="n">
        <x:v>0.9951586366153939</x:v>
      </x:c>
      <x:c r="E2494" s="81" t="n">
        <x:v>-0.07822424761535915</x:v>
      </x:c>
      <x:c r="F2494" s="81" t="n">
        <x:v>0.4651169529650361</x:v>
      </x:c>
      <x:c r="G2494" s="81" t="n">
        <x:v>-0.011915341488726845</x:v>
      </x:c>
      <x:c r="H2494" s="59" t="n">
        <x:v>0</x:v>
      </x:c>
      <x:c r="I2494" s="81" t="n">
        <x:v>0</x:v>
      </x:c>
      <x:c r="J2494" s="79" t="n">
        <x:v>3.98598616127583e-35</x:v>
      </x:c>
      <x:c r="K2494" s="81" t="n">
        <x:v>-1</x:v>
      </x:c>
      <x:c r="L2494" s="81" t="n">
        <x:v>-1</x:v>
      </x:c>
      <x:c r="M2494" s="80" t="n">
        <x:v>0.000002</x:v>
      </x:c>
      <x:c r="N2494" s="82" t="n">
        <x:v>0.17606101097417992</x:v>
      </x:c>
      <x:c r="O2494" s="82" t="n">
        <x:v>0.07735640927610413</x:v>
      </x:c>
      <x:c r="P2494" s="80" t="n">
        <x:v>807.5979700449248</x:v>
      </x:c>
      <x:c r="Q2494" s="81" t="n">
        <x:v>698596996391206000</x:v>
      </x:c>
      <x:c r="R2494" s="81" t="n">
        <x:v>1.2382677101584043</x:v>
      </x:c>
      <x:c r="S2494" s="81" t="n">
        <x:v>2.0518413324573575e-10</x:v>
      </x:c>
      <x:c r="T2494" s="81" t="n">
        <x:v>8.634516253466571e-31</x:v>
      </x:c>
    </x:row>
    <x:row r="2495">
      <x:c r="A2495" s="59" t="n">
        <x:v>2492</x:v>
      </x:c>
      <x:c r="B2495" s="193" t="n">
        <x:v>0.8978862667456269</x:v>
      </x:c>
      <x:c r="C2495" s="83" t="n">
        <x:v>1.3909091074436355</x:v>
      </x:c>
      <x:c r="D2495" s="83" t="n">
        <x:v>1.6759771969988408</x:v>
      </x:c>
      <x:c r="E2495" s="81" t="n">
        <x:v>-0.2</x:v>
      </x:c>
      <x:c r="F2495" s="81" t="n">
        <x:v>0.6385019002831541</x:v>
      </x:c>
      <x:c r="G2495" s="81" t="n">
        <x:v>0.03573568487660338</x:v>
      </x:c>
      <x:c r="H2495" s="59" t="n">
        <x:v>58</x:v>
      </x:c>
      <x:c r="I2495" s="81" t="n">
        <x:v>0.4778904110193253</x:v>
      </x:c>
      <x:c r="J2495" s="79" t="n">
        <x:v>2.016264428076189e-109</x:v>
      </x:c>
      <x:c r="K2495" s="81" t="n">
        <x:v>-1</x:v>
      </x:c>
      <x:c r="L2495" s="81" t="n">
        <x:v>-1</x:v>
      </x:c>
      <x:c r="M2495" s="80" t="n">
        <x:v>0.000002</x:v>
      </x:c>
      <x:c r="N2495" s="82" t="n">
        <x:v>0.3159870941063098</x:v>
      </x:c>
      <x:c r="O2495" s="82" t="n">
        <x:v>0.19059104050202988</x:v>
      </x:c>
      <x:c r="P2495" s="80" t="n">
        <x:v>299.544710864172</x:v>
      </x:c>
      <x:c r="Q2495" s="81" t="n">
        <x:v>6.011717487263082e+91</x:v>
      </x:c>
      <x:c r="R2495" s="81" t="n">
        <x:v>0.5598628428754403</x:v>
      </x:c>
      <x:c r="S2495" s="81" t="n">
        <x:v>9.41321351322673e-10</x:v>
      </x:c>
      <x:c r="T2495" s="81" t="n">
        <x:v>4.36766894592979e-105</x:v>
      </x:c>
    </x:row>
    <x:row r="2496">
      <x:c r="A2496" s="59" t="n">
        <x:v>2493</x:v>
      </x:c>
      <x:c r="B2496" s="193" t="n">
        <x:v>0.3109090764075518</x:v>
      </x:c>
      <x:c r="C2496" s="83" t="n">
        <x:v>1.4699638080631559</x:v>
      </x:c>
      <x:c r="D2496" s="83" t="n">
        <x:v>0.5149813003197434</x:v>
      </x:c>
      <x:c r="E2496" s="81" t="n">
        <x:v>0.0940688501800358</x:v>
      </x:c>
      <x:c r="F2496" s="81" t="n">
        <x:v>0.5190432338276878</x:v>
      </x:c>
      <x:c r="G2496" s="81" t="n">
        <x:v>0.0005167470316859499</x:v>
      </x:c>
      <x:c r="H2496" s="59" t="n">
        <x:v>0</x:v>
      </x:c>
      <x:c r="I2496" s="81" t="n">
        <x:v>0</x:v>
      </x:c>
      <x:c r="J2496" s="79" t="n">
        <x:v>0.009257965579868034</x:v>
      </x:c>
      <x:c r="K2496" s="81" t="n">
        <x:v>9.580532091277753</x:v>
      </x:c>
      <x:c r="L2496" s="81" t="n">
        <x:v>-0.5648078439485569</x:v>
      </x:c>
      <x:c r="M2496" s="80" t="n">
        <x:v>48576.06943938586</x:v>
      </x:c>
      <x:c r="N2496" s="82" t="n">
        <x:v>0.17615812154546157</x:v>
      </x:c>
      <x:c r="O2496" s="82" t="n">
        <x:v>0.08637282939829725</x:v>
      </x:c>
      <x:c r="P2496" s="80" t="n">
        <x:v>46884.128532205075</x:v>
      </x:c>
      <x:c r="Q2496" s="81" t="n">
        <x:v>0.0022884856506018283</x:v>
      </x:c>
      <x:c r="R2496" s="81" t="n">
        <x:v>106.48746796774667</x:v>
      </x:c>
      <x:c r="S2496" s="81" t="n">
        <x:v>121.77484790808568</x:v>
      </x:c>
      <x:c r="T2496" s="81" t="n">
        <x:v>200.54774662794642</x:v>
      </x:c>
    </x:row>
    <x:row r="2497">
      <x:c r="A2497" s="59" t="n">
        <x:v>2494</x:v>
      </x:c>
      <x:c r="B2497" s="193" t="n">
        <x:v>0.6392534988000989</x:v>
      </x:c>
      <x:c r="C2497" s="83" t="n">
        <x:v>0.1351943421816966</x:v>
      </x:c>
      <x:c r="D2497" s="83" t="n">
        <x:v>1.709190877828694</x:v>
      </x:c>
      <x:c r="E2497" s="81" t="n">
        <x:v>0.043928693254526724</x:v>
      </x:c>
      <x:c r="F2497" s="81" t="n">
        <x:v>0.6522687043994666</x:v>
      </x:c>
      <x:c r="G2497" s="81" t="n">
        <x:v>0.012174391022900051</x:v>
      </x:c>
      <x:c r="H2497" s="59" t="n">
        <x:v>0</x:v>
      </x:c>
      <x:c r="I2497" s="81" t="n">
        <x:v>0</x:v>
      </x:c>
      <x:c r="J2497" s="79" t="n">
        <x:v>0.0020760088961332417</x:v>
      </x:c>
      <x:c r="K2497" s="81" t="n">
        <x:v>1.372581595580848</x:v>
      </x:c>
      <x:c r="L2497" s="81" t="n">
        <x:v>-0.7957741231559808</x:v>
      </x:c>
      <x:c r="M2497" s="80" t="n">
        <x:v>11834.79015043256</x:v>
      </x:c>
      <x:c r="N2497" s="82" t="n">
        <x:v>0.2543759194172859</x:v>
      </x:c>
      <x:c r="O2497" s="82" t="n">
        <x:v>0.15673770372470522</x:v>
      </x:c>
      <x:c r="P2497" s="80" t="n">
        <x:v>34916.62835692244</x:v>
      </x:c>
      <x:c r="Q2497" s="81" t="n">
        <x:v>0.008664722376910138</x:v>
      </x:c>
      <x:c r="R2497" s="81" t="n">
        <x:v>486.3386800174992</x:v>
      </x:c>
      <x:c r="S2497" s="81" t="n">
        <x:v>294.47160223509474</x:v>
      </x:c>
      <x:c r="T2497" s="81" t="n">
        <x:v>44.9708850726821</x:v>
      </x:c>
    </x:row>
    <x:row r="2498">
      <x:c r="A2498" s="59" t="n">
        <x:v>2495</x:v>
      </x:c>
      <x:c r="B2498" s="193" t="n">
        <x:v>0.43685656096786263</x:v>
      </x:c>
      <x:c r="C2498" s="83" t="n">
        <x:v>1.4592888301611304</x:v>
      </x:c>
      <x:c r="D2498" s="83" t="n">
        <x:v>0.9049117978541741</x:v>
      </x:c>
      <x:c r="E2498" s="81" t="n">
        <x:v>0.05660312619854664</x:v>
      </x:c>
      <x:c r="F2498" s="81" t="n">
        <x:v>0.58633489375934</x:v>
      </x:c>
      <x:c r="G2498" s="81" t="n">
        <x:v>-0.00689074372966602</x:v>
      </x:c>
      <x:c r="H2498" s="59" t="n">
        <x:v>0</x:v>
      </x:c>
      <x:c r="I2498" s="81" t="n">
        <x:v>0</x:v>
      </x:c>
      <x:c r="J2498" s="79" t="n">
        <x:v>0.004978585157969799</x:v>
      </x:c>
      <x:c r="K2498" s="81" t="n">
        <x:v>4.689811609108343</x:v>
      </x:c>
      <x:c r="L2498" s="81" t="n">
        <x:v>-0.6385407461950855</x:v>
      </x:c>
      <x:c r="M2498" s="80" t="n">
        <x:v>35565.94949317659</x:v>
      </x:c>
      <x:c r="N2498" s="82" t="n">
        <x:v>0.20616117388306335</x:v>
      </x:c>
      <x:c r="O2498" s="82" t="n">
        <x:v>0.11418881361780014</x:v>
      </x:c>
      <x:c r="P2498" s="80" t="n">
        <x:v>58861.481986310064</x:v>
      </x:c>
      <x:c r="Q2498" s="81" t="n">
        <x:v>0.0048149950838633</x:v>
      </x:c>
      <x:c r="R2498" s="81" t="n">
        <x:v>91.75657404814065</x:v>
      </x:c>
      <x:c r="S2498" s="81" t="n">
        <x:v>68.87830844532904</x:v>
      </x:c>
      <x:c r="T2498" s="81" t="n">
        <x:v>107.84702386422289</x:v>
      </x:c>
    </x:row>
    <x:row r="2499">
      <x:c r="A2499" s="59" t="n">
        <x:v>2496</x:v>
      </x:c>
      <x:c r="B2499" s="193" t="n">
        <x:v>0.9576389603316784</x:v>
      </x:c>
      <x:c r="C2499" s="83" t="n">
        <x:v>0.10703660965124874</x:v>
      </x:c>
      <x:c r="D2499" s="83" t="n">
        <x:v>0.13617069563283402</x:v>
      </x:c>
      <x:c r="E2499" s="81" t="n">
        <x:v>0.1311906884939596</x:v>
      </x:c>
      <x:c r="F2499" s="81" t="n">
        <x:v>0.35306094634579493</x:v>
      </x:c>
      <x:c r="G2499" s="81" t="n">
        <x:v>0.006468560053651234</x:v>
      </x:c>
      <x:c r="H2499" s="59" t="n">
        <x:v>0</x:v>
      </x:c>
      <x:c r="I2499" s="81" t="n">
        <x:v>0</x:v>
      </x:c>
      <x:c r="J2499" s="79" t="n">
        <x:v>0.00015665209040418557</x:v>
      </x:c>
      <x:c r="K2499" s="81" t="n">
        <x:v>-0.8209690395380737</x:v>
      </x:c>
      <x:c r="L2499" s="81" t="n">
        <x:v>-0.8872130977936874</x:v>
      </x:c>
      <x:c r="M2499" s="80" t="n">
        <x:v>2538.8018951134536</x:v>
      </x:c>
      <x:c r="N2499" s="82" t="n">
        <x:v>0.33022130608151223</x:v>
      </x:c>
      <x:c r="O2499" s="82" t="n">
        <x:v>0.11013509064842629</x:v>
      </x:c>
      <x:c r="P2499" s="80" t="n">
        <x:v>898.5447931861797</x:v>
      </x:c>
      <x:c r="Q2499" s="81" t="n">
        <x:v>0.0019051491553145584</x:v>
      </x:c>
      <x:c r="R2499" s="81" t="n">
        <x:v>165.64485930427253</x:v>
      </x:c>
      <x:c r="S2499" s="81" t="n">
        <x:v>27.340309829429323</x:v>
      </x:c>
      <x:c r="T2499" s="81" t="n">
        <x:v>3.3934262840027305</x:v>
      </x:c>
    </x:row>
    <x:row r="2500">
      <x:c r="A2500" s="59" t="n">
        <x:v>2497</x:v>
      </x:c>
      <x:c r="B2500" s="193" t="n">
        <x:v>0.6375542806461454</x:v>
      </x:c>
      <x:c r="C2500" s="83" t="n">
        <x:v>2.035837715189347</x:v>
      </x:c>
      <x:c r="D2500" s="83" t="n">
        <x:v>0.19585122100623312</x:v>
      </x:c>
      <x:c r="E2500" s="81" t="n">
        <x:v>-0.10915214871310715</x:v>
      </x:c>
      <x:c r="F2500" s="81" t="n">
        <x:v>0.25700667954515666</x:v>
      </x:c>
      <x:c r="G2500" s="81" t="n">
        <x:v>-0.014105419271080596</x:v>
      </x:c>
      <x:c r="H2500" s="59" t="n">
        <x:v>0</x:v>
      </x:c>
      <x:c r="I2500" s="81" t="n">
        <x:v>0</x:v>
      </x:c>
      <x:c r="J2500" s="79" t="n">
        <x:v>4.072039720673949e-16</x:v>
      </x:c>
      <x:c r="K2500" s="81" t="n">
        <x:v>-0.9999999999995346</x:v>
      </x:c>
      <x:c r="L2500" s="81" t="n">
        <x:v>-0.9999999999995346</x:v>
      </x:c>
      <x:c r="M2500" s="80" t="n">
        <x:v>0.01079807259005176</x:v>
      </x:c>
      <x:c r="N2500" s="82" t="n">
        <x:v>0.2539711337926741</x:v>
      </x:c>
      <x:c r="O2500" s="82" t="n">
        <x:v>0.06165945905762013</x:v>
      </x:c>
      <x:c r="P2500" s="80" t="n">
        <x:v>406.2123935263689</x:v>
      </x:c>
      <x:c r="Q2500" s="81" t="n">
        <x:v>272.17985484725574</x:v>
      </x:c>
      <x:c r="R2500" s="81" t="n">
        <x:v>3.3232382991837413</x:v>
      </x:c>
      <x:c r="S2500" s="81" t="n">
        <x:v>2.6583217253387574e-7</x:v>
      </x:c>
      <x:c r="T2500" s="81" t="n">
        <x:v>8.82092705050102e-12</x:v>
      </x:c>
    </x:row>
    <x:row r="2501">
      <x:c r="A2501" s="59" t="n">
        <x:v>2498</x:v>
      </x:c>
      <x:c r="B2501" s="193" t="n">
        <x:v>0.6113955244421959</x:v>
      </x:c>
      <x:c r="C2501" s="83" t="n">
        <x:v>0.5685461728214851</x:v>
      </x:c>
      <x:c r="D2501" s="83" t="n">
        <x:v>1.1144375648425744</x:v>
      </x:c>
      <x:c r="E2501" s="81" t="n">
        <x:v>0.019811595659449337</x:v>
      </x:c>
      <x:c r="F2501" s="81" t="n">
        <x:v>0.8190622879541479</x:v>
      </x:c>
      <x:c r="G2501" s="81" t="n">
        <x:v>-0.002523081582051147</x:v>
      </x:c>
      <x:c r="H2501" s="59" t="n">
        <x:v>0</x:v>
      </x:c>
      <x:c r="I2501" s="81" t="n">
        <x:v>0</x:v>
      </x:c>
      <x:c r="J2501" s="79" t="n">
        <x:v>0.00013212439658471975</x:v>
      </x:c>
      <x:c r="K2501" s="81" t="n">
        <x:v>-0.8490006896174631</x:v>
      </x:c>
      <x:c r="L2501" s="81" t="n">
        <x:v>-0.8966506805338588</x:v>
      </x:c>
      <x:c r="M2501" s="80" t="n">
        <x:v>3346.6695783691184</x:v>
      </x:c>
      <x:c r="N2501" s="82" t="n">
        <x:v>0.24773962758821438</x:v>
      </x:c>
      <x:c r="O2501" s="82" t="n">
        <x:v>0.19168289169533514</x:v>
      </x:c>
      <x:c r="P2501" s="80" t="n">
        <x:v>8527.176272648152</x:v>
      </x:c>
      <x:c r="Q2501" s="81" t="n">
        <x:v>0.01993549292683796</x:v>
      </x:c>
      <x:c r="R2501" s="81" t="n">
        <x:v>32.95962064621793</x:v>
      </x:c>
      <x:c r="S2501" s="81" t="n">
        <x:v>5.342763700295657</x:v>
      </x:c>
      <x:c r="T2501" s="81" t="n">
        <x:v>2.8621028865415576</x:v>
      </x:c>
    </x:row>
    <x:row r="2502">
      <x:c r="A2502" s="59" t="n">
        <x:v>2499</x:v>
      </x:c>
      <x:c r="B2502" s="193" t="n">
        <x:v>0.7077507777139544</x:v>
      </x:c>
      <x:c r="C2502" s="83" t="n">
        <x:v>0.8083980815436483</x:v>
      </x:c>
      <x:c r="D2502" s="83" t="n">
        <x:v>0.7972666985829152</x:v>
      </x:c>
      <x:c r="E2502" s="81" t="n">
        <x:v>-0.015798376484771687</x:v>
      </x:c>
      <x:c r="F2502" s="81" t="n">
        <x:v>0.7930750843253919</x:v>
      </x:c>
      <x:c r="G2502" s="81" t="n">
        <x:v>0.018201223744175175</x:v>
      </x:c>
      <x:c r="H2502" s="59" t="n">
        <x:v>69</x:v>
      </x:c>
      <x:c r="I2502" s="81" t="n">
        <x:v>0.14536010818555953</x:v>
      </x:c>
      <x:c r="J2502" s="79" t="n">
        <x:v>9.763330658946313e-14</x:v>
      </x:c>
      <x:c r="K2502" s="81" t="n">
        <x:v>-0.999999999888419</x:v>
      </x:c>
      <x:c r="L2502" s="81" t="n">
        <x:v>-0.999999999888419</x:v>
      </x:c>
      <x:c r="M2502" s="80" t="n">
        <x:v>0.09880795664452961</x:v>
      </x:c>
      <x:c r="N2502" s="82" t="n">
        <x:v>0.27069325557854595</x:v>
      </x:c>
      <x:c r="O2502" s="82" t="n">
        <x:v>0.2027975403030986</x:v>
      </x:c>
      <x:c r="P2502" s="80" t="n">
        <x:v>1009.2609032273666</x:v>
      </x:c>
      <x:c r="Q2502" s="81" t="n">
        <x:v>65.70228757909614</x:v>
      </x:c>
      <x:c r="R2502" s="81" t="n">
        <x:v>8.168519735204727</x:v>
      </x:c>
      <x:c r="S2502" s="81" t="n">
        <x:v>0.000024502401107787515</x:v>
      </x:c>
      <x:c r="T2502" s="81" t="n">
        <x:v>2.1149505756351455e-9</x:v>
      </x:c>
    </x:row>
    <x:row r="2503">
      <x:c r="A2503" s="59" t="n">
        <x:v>2500</x:v>
      </x:c>
      <x:c r="B2503" s="193" t="n">
        <x:v>0.45273435153067115</x:v>
      </x:c>
      <x:c r="C2503" s="83" t="n">
        <x:v>0.23635989738079854</x:v>
      </x:c>
      <x:c r="D2503" s="83" t="n">
        <x:v>0.8473544060416579</x:v>
      </x:c>
      <x:c r="E2503" s="81" t="n">
        <x:v>0.044351300474569054</x:v>
      </x:c>
      <x:c r="F2503" s="81" t="n">
        <x:v>0.32525127291446554</x:v>
      </x:c>
      <x:c r="G2503" s="81" t="n">
        <x:v>0.016965205504394912</x:v>
      </x:c>
      <x:c r="H2503" s="59" t="n">
        <x:v>0</x:v>
      </x:c>
      <x:c r="I2503" s="81" t="n">
        <x:v>0</x:v>
      </x:c>
      <x:c r="J2503" s="79" t="n">
        <x:v>0.0035397134685563204</x:v>
      </x:c>
      <x:c r="K2503" s="81" t="n">
        <x:v>3.0453868212072237</x:v>
      </x:c>
      <x:c r="L2503" s="81" t="n">
        <x:v>-0.6145961721327015</x:v>
      </x:c>
      <x:c r="M2503" s="80" t="n">
        <x:v>14678.884704628676</x:v>
      </x:c>
      <x:c r="N2503" s="82" t="n">
        <x:v>0.20994356130369707</x:v>
      </x:c>
      <x:c r="O2503" s="82" t="n">
        <x:v>0.06450487035210806</x:v>
      </x:c>
      <x:c r="P2503" s="80" t="n">
        <x:v>23888.606937337834</x:v>
      </x:c>
      <x:c r="Q2503" s="81" t="n">
        <x:v>0.0033749815302339735</x:v>
      </x:c>
      <x:c r="R2503" s="81" t="n">
        <x:v>284.3861917791381</x:v>
      </x:c>
      <x:c r="S2503" s="81" t="n">
        <x:v>283.6785649868718</x:v>
      </x:c>
      <x:c r="T2503" s="81" t="n">
        <x:v>76.67792169925967</x:v>
      </x:c>
    </x:row>
    <x:row r="2504">
      <x:c r="A2504" s="59" t="n">
        <x:v>2501</x:v>
      </x:c>
      <x:c r="B2504" s="193" t="n">
        <x:v>0.976371899433434</x:v>
      </x:c>
      <x:c r="C2504" s="83" t="n">
        <x:v>0.42465291384504006</x:v>
      </x:c>
      <x:c r="D2504" s="83" t="n">
        <x:v>2.097768881123412</x:v>
      </x:c>
      <x:c r="E2504" s="81" t="n">
        <x:v>0.08644294855632648</x:v>
      </x:c>
      <x:c r="F2504" s="81" t="n">
        <x:v>0.8371055124676786</x:v>
      </x:c>
      <x:c r="G2504" s="81" t="n">
        <x:v>-0.009919680495497534</x:v>
      </x:c>
      <x:c r="H2504" s="59" t="n">
        <x:v>0</x:v>
      </x:c>
      <x:c r="I2504" s="81" t="n">
        <x:v>0</x:v>
      </x:c>
      <x:c r="J2504" s="79" t="n">
        <x:v>0.005152868339683061</x:v>
      </x:c>
      <x:c r="K2504" s="81" t="n">
        <x:v>4.888992388209213</x:v>
      </x:c>
      <x:c r="L2504" s="81" t="n">
        <x:v>-0.8478840981880562</x:v>
      </x:c>
      <x:c r="M2504" s="80" t="n">
        <x:v>30076.230327219902</x:v>
      </x:c>
      <x:c r="N2504" s="82" t="n">
        <x:v>0.33468384341815843</x:v>
      </x:c>
      <x:c r="O2504" s="82" t="n">
        <x:v>0.26465852718943</x:v>
      </x:c>
      <x:c r="P2504" s="80" t="n">
        <x:v>85708.33286116808</x:v>
      </x:c>
      <x:c r="Q2504" s="81" t="n">
        <x:v>0.008670776654748108</x:v>
      </x:c>
      <x:c r="R2504" s="81" t="n">
        <x:v>408.9112975203836</x:v>
      </x:c>
      <x:c r="S2504" s="81" t="n">
        <x:v>243.547068050572</x:v>
      </x:c>
      <x:c r="T2504" s="81" t="n">
        <x:v>111.62237807851689</x:v>
      </x:c>
    </x:row>
    <x:row r="2505">
      <x:c r="A2505" s="59" t="n">
        <x:v>2502</x:v>
      </x:c>
      <x:c r="B2505" s="193" t="n">
        <x:v>0.5292403832077981</x:v>
      </x:c>
      <x:c r="C2505" s="83" t="n">
        <x:v>1.683852214957102</x:v>
      </x:c>
      <x:c r="D2505" s="83" t="n">
        <x:v>1.009610078783642</x:v>
      </x:c>
      <x:c r="E2505" s="81" t="n">
        <x:v>0.014281911383830465</x:v>
      </x:c>
      <x:c r="F2505" s="81" t="n">
        <x:v>0.7193485412630253</x:v>
      </x:c>
      <x:c r="G2505" s="81" t="n">
        <x:v>-0.017729053265116586</x:v>
      </x:c>
      <x:c r="H2505" s="59" t="n">
        <x:v>0</x:v>
      </x:c>
      <x:c r="I2505" s="81" t="n">
        <x:v>0</x:v>
      </x:c>
      <x:c r="J2505" s="79" t="n">
        <x:v>0.00017205702487720396</x:v>
      </x:c>
      <x:c r="K2505" s="81" t="n">
        <x:v>-0.8033634001403382</x:v>
      </x:c>
      <x:c r="L2505" s="81" t="n">
        <x:v>-0.8401150631431593</x:v>
      </x:c>
      <x:c r="M2505" s="80" t="n">
        <x:v>6302.499307456611</x:v>
      </x:c>
      <x:c r="N2505" s="82" t="n">
        <x:v>0.22816873253728281</x:v>
      </x:c>
      <x:c r="O2505" s="82" t="n">
        <x:v>0.15504809656660926</x:v>
      </x:c>
      <x:c r="P2505" s="80" t="n">
        <x:v>15162.684120957882</x:v>
      </x:c>
      <x:c r="Q2505" s="81" t="n">
        <x:v>0.02130501004803347</x:v>
      </x:c>
      <x:c r="R2505" s="81" t="n">
        <x:v>15.362782621606222</x:v>
      </x:c>
      <x:c r="S2505" s="81" t="n">
        <x:v>2.7440248130856983</x:v>
      </x:c>
      <x:c r="T2505" s="81" t="n">
        <x:v>3.727130797036689</x:v>
      </x:c>
    </x:row>
    <x:row r="2506">
      <x:c r="A2506" s="59" t="n">
        <x:v>2503</x:v>
      </x:c>
      <x:c r="B2506" s="193" t="n">
        <x:v>0.7079358322545886</x:v>
      </x:c>
      <x:c r="C2506" s="83" t="n">
        <x:v>2.3246249476287533</x:v>
      </x:c>
      <x:c r="D2506" s="83" t="n">
        <x:v>1.4200443289400027</x:v>
      </x:c>
      <x:c r="E2506" s="81" t="n">
        <x:v>0.09568581137490728</x:v>
      </x:c>
      <x:c r="F2506" s="81" t="n">
        <x:v>0.7130653760978021</x:v>
      </x:c>
      <x:c r="G2506" s="81" t="n">
        <x:v>-0.04378876259907252</x:v>
      </x:c>
      <x:c r="H2506" s="59" t="n">
        <x:v>90</x:v>
      </x:c>
      <x:c r="I2506" s="81" t="n">
        <x:v>0.2772559392265975</x:v>
      </x:c>
      <x:c r="J2506" s="79" t="n">
        <x:v>0.013021660461077307</x:v>
      </x:c>
      <x:c r="K2506" s="81" t="n">
        <x:v>13.881897669802639</x:v>
      </x:c>
      <x:c r="L2506" s="81" t="n">
        <x:v>-0.923836779680014</x:v>
      </x:c>
      <x:c r="M2506" s="80" t="n">
        <x:v>93099.48279771459</x:v>
      </x:c>
      <x:c r="N2506" s="82" t="n">
        <x:v>0.2707373390398979</x:v>
      </x:c>
      <x:c r="O2506" s="82" t="n">
        <x:v>0.18236792098563415</x:v>
      </x:c>
      <x:c r="P2506" s="80" t="n">
        <x:v>205679.08605012266</x:v>
      </x:c>
      <x:c r="Q2506" s="81" t="n">
        <x:v>0.0051391869438821396</x:v>
      </x:c>
      <x:c r="R2506" s="81" t="n">
        <x:v>338.74219883666854</x:v>
      </x:c>
      <x:c r="S2506" s="81" t="n">
        <x:v>114.93600321360167</x:v>
      </x:c>
      <x:c r="T2506" s="81" t="n">
        <x:v>282.0775947257847</x:v>
      </x:c>
    </x:row>
    <x:row r="2507">
      <x:c r="A2507" s="59" t="n">
        <x:v>2504</x:v>
      </x:c>
      <x:c r="B2507" s="193" t="n">
        <x:v>0.21204401906579734</x:v>
      </x:c>
      <x:c r="C2507" s="83" t="n">
        <x:v>1.9081892665565</x:v>
      </x:c>
      <x:c r="D2507" s="83" t="n">
        <x:v>1.2277493490606155</x:v>
      </x:c>
      <x:c r="E2507" s="81" t="n">
        <x:v>0.05935034291826458</x:v>
      </x:c>
      <x:c r="F2507" s="81" t="n">
        <x:v>0.49560039610369133</x:v>
      </x:c>
      <x:c r="G2507" s="81" t="n">
        <x:v>0.02674765502509841</x:v>
      </x:c>
      <x:c r="H2507" s="59" t="n">
        <x:v>0</x:v>
      </x:c>
      <x:c r="I2507" s="81" t="n">
        <x:v>0</x:v>
      </x:c>
      <x:c r="J2507" s="79" t="n">
        <x:v>0.08523016729966937</x:v>
      </x:c>
      <x:c r="K2507" s="81" t="n">
        <x:v>96.40590548533643</x:v>
      </x:c>
      <x:c r="L2507" s="81" t="n">
        <x:v>-0.5610143232974294</x:v>
      </x:c>
      <x:c r="M2507" s="80" t="n">
        <x:v>196396.73528419464</x:v>
      </x:c>
      <x:c r="N2507" s="82" t="n">
        <x:v>0.15260661116683036</x:v>
      </x:c>
      <x:c r="O2507" s="82" t="n">
        <x:v>0.07144567357544251</x:v>
      </x:c>
      <x:c r="P2507" s="80" t="n">
        <x:v>409141.1781542174</x:v>
      </x:c>
      <x:c r="Q2507" s="81" t="n">
        <x:v>0.0032359168151409766</x:v>
      </x:c>
      <x:c r="R2507" s="81" t="n">
        <x:v>332.5236637459024</x:v>
      </x:c>
      <x:c r="S2507" s="81" t="n">
        <x:v>881.6723733616035</x:v>
      </x:c>
      <x:c r="T2507" s="81" t="n">
        <x:v>1846.2714998466458</x:v>
      </x:c>
    </x:row>
    <x:row r="2508">
      <x:c r="A2508" s="59" t="n">
        <x:v>2505</x:v>
      </x:c>
      <x:c r="B2508" s="193" t="n">
        <x:v>0.2834775408729911</x:v>
      </x:c>
      <x:c r="C2508" s="83" t="n">
        <x:v>0.11528979425038471</x:v>
      </x:c>
      <x:c r="D2508" s="83" t="n">
        <x:v>2.653473893936836</x:v>
      </x:c>
      <x:c r="E2508" s="81" t="n">
        <x:v>-0.021139627824922524</x:v>
      </x:c>
      <x:c r="F2508" s="81" t="n">
        <x:v>0.5048352068057285</x:v>
      </x:c>
      <x:c r="G2508" s="81" t="n">
        <x:v>-0.015222855633055544</x:v>
      </x:c>
      <x:c r="H2508" s="59" t="n">
        <x:v>0</x:v>
      </x:c>
      <x:c r="I2508" s="81" t="n">
        <x:v>0</x:v>
      </x:c>
      <x:c r="J2508" s="79" t="n">
        <x:v>1.0496086447390218e-28</x:v>
      </x:c>
      <x:c r="K2508" s="81" t="n">
        <x:v>-1</x:v>
      </x:c>
      <x:c r="L2508" s="81" t="n">
        <x:v>-1</x:v>
      </x:c>
      <x:c r="M2508" s="80" t="n">
        <x:v>0.000002</x:v>
      </x:c>
      <x:c r="N2508" s="82" t="n">
        <x:v>0.16962341543983786</x:v>
      </x:c>
      <x:c r="O2508" s="82" t="n">
        <x:v>0.08089215030711831</x:v>
      </x:c>
      <x:c r="P2508" s="80" t="n">
        <x:v>816.9222053293113</x:v>
      </x:c>
      <x:c r="Q2508" s="81" t="n">
        <x:v>929726469197.1891</x:v>
      </x:c>
      <x:c r="R2508" s="81" t="n">
        <x:v>22.869489016929112</x:v>
      </x:c>
      <x:c r="S2508" s="81" t="n">
        <x:v>1.7293240593608697e-9</x:v>
      </x:c>
      <x:c r="T2508" s="81" t="n">
        <x:v>2.273681477076998e-24</x:v>
      </x:c>
    </x:row>
    <x:row r="2509">
      <x:c r="A2509" s="59" t="n">
        <x:v>2506</x:v>
      </x:c>
      <x:c r="B2509" s="193" t="n">
        <x:v>0.5549229631200433</x:v>
      </x:c>
      <x:c r="C2509" s="83" t="n">
        <x:v>0.6586526051494132</x:v>
      </x:c>
      <x:c r="D2509" s="83" t="n">
        <x:v>0.4829348941257856</x:v>
      </x:c>
      <x:c r="E2509" s="81" t="n">
        <x:v>0.013384203832345657</x:v>
      </x:c>
      <x:c r="F2509" s="81" t="n">
        <x:v>0.34707801445620134</x:v>
      </x:c>
      <x:c r="G2509" s="81" t="n">
        <x:v>-0.007365519033784113</x:v>
      </x:c>
      <x:c r="H2509" s="59" t="n">
        <x:v>0</x:v>
      </x:c>
      <x:c r="I2509" s="81" t="n">
        <x:v>0</x:v>
      </x:c>
      <x:c r="J2509" s="79" t="n">
        <x:v>0.00006576848362070317</x:v>
      </x:c>
      <x:c r="K2509" s="81" t="n">
        <x:v>-0.9248360187191964</x:v>
      </x:c>
      <x:c r="L2509" s="81" t="n">
        <x:v>-0.9261185339590998</x:v>
      </x:c>
      <x:c r="M2509" s="80" t="n">
        <x:v>2344.0121942355536</x:v>
      </x:c>
      <x:c r="N2509" s="82" t="n">
        <x:v>0.2342868046207526</x:v>
      </x:c>
      <x:c r="O2509" s="82" t="n">
        <x:v>0.07681497177743073</x:v>
      </x:c>
      <x:c r="P2509" s="80" t="n">
        <x:v>3398.5238318528973</x:v>
      </x:c>
      <x:c r="Q2509" s="81" t="n">
        <x:v>0.0099268301847831</x:v>
      </x:c>
      <x:c r="R2509" s="81" t="n">
        <x:v>26.812067281750345</x:v>
      </x:c>
      <x:c r="S2509" s="81" t="n">
        <x:v>2.130738508315367</x:v>
      </x:c>
      <x:c r="T2509" s="81" t="n">
        <x:v>1.4246889422391906</x:v>
      </x:c>
    </x:row>
    <x:row r="2510">
      <x:c r="A2510" s="59" t="n">
        <x:v>2507</x:v>
      </x:c>
      <x:c r="B2510" s="193" t="n">
        <x:v>0.7158053487539291</x:v>
      </x:c>
      <x:c r="C2510" s="83" t="n">
        <x:v>0.4963685157807063</x:v>
      </x:c>
      <x:c r="D2510" s="83" t="n">
        <x:v>0.720580572501304</x:v>
      </x:c>
      <x:c r="E2510" s="81" t="n">
        <x:v>-0.11810951260976586</x:v>
      </x:c>
      <x:c r="F2510" s="81" t="n">
        <x:v>0.3453257964923978</x:v>
      </x:c>
      <x:c r="G2510" s="81" t="n">
        <x:v>0.01205004531153072</x:v>
      </x:c>
      <x:c r="H2510" s="59" t="n">
        <x:v>0</x:v>
      </x:c>
      <x:c r="I2510" s="81" t="n">
        <x:v>0</x:v>
      </x:c>
      <x:c r="J2510" s="79" t="n">
        <x:v>5.587446696269397e-40</x:v>
      </x:c>
      <x:c r="K2510" s="81" t="n">
        <x:v>-1</x:v>
      </x:c>
      <x:c r="L2510" s="81" t="n">
        <x:v>-1</x:v>
      </x:c>
      <x:c r="M2510" s="80" t="n">
        <x:v>0.000002</x:v>
      </x:c>
      <x:c r="N2510" s="82" t="n">
        <x:v>0.2726120054234748</x:v>
      </x:c>
      <x:c r="O2510" s="82" t="n">
        <x:v>0.08892931388597972</x:v>
      </x:c>
      <x:c r="P2510" s="80" t="n">
        <x:v>216.28250022579422</x:v>
      </x:c>
      <x:c r="Q2510" s="81" t="n">
        <x:v>3.422794875012403e+22</x:v>
      </x:c>
      <x:c r="R2510" s="81" t="n">
        <x:v>3.6728580113047116</x:v>
      </x:c>
      <x:c r="S2510" s="81" t="n">
        <x:v>4.880214997457005e-10</x:v>
      </x:c>
      <x:c r="T2510" s="81" t="n">
        <x:v>1.2103629406197943e-35</x:v>
      </x:c>
    </x:row>
    <x:row r="2511">
      <x:c r="A2511" s="59" t="n">
        <x:v>2508</x:v>
      </x:c>
      <x:c r="B2511" s="193" t="n">
        <x:v>0.5542444190010429</x:v>
      </x:c>
      <x:c r="C2511" s="83" t="n">
        <x:v>1.6145556417216038</x:v>
      </x:c>
      <x:c r="D2511" s="83" t="n">
        <x:v>0.6343483326362376</x:v>
      </x:c>
      <x:c r="E2511" s="81" t="n">
        <x:v>-0.07138604619790187</x:v>
      </x:c>
      <x:c r="F2511" s="81" t="n">
        <x:v>0.7890518890577368</x:v>
      </x:c>
      <x:c r="G2511" s="81" t="n">
        <x:v>-0.016712137719515983</x:v>
      </x:c>
      <x:c r="H2511" s="59" t="n">
        <x:v>70</x:v>
      </x:c>
      <x:c r="I2511" s="81" t="n">
        <x:v>0.27535560335963966</x:v>
      </x:c>
      <x:c r="J2511" s="79" t="n">
        <x:v>3.871531845692754e-26</x:v>
      </x:c>
      <x:c r="K2511" s="81" t="n">
        <x:v>-1</x:v>
      </x:c>
      <x:c r="L2511" s="81" t="n">
        <x:v>-1</x:v>
      </x:c>
      <x:c r="M2511" s="80" t="n">
        <x:v>0.000002</x:v>
      </x:c>
      <x:c r="N2511" s="82" t="n">
        <x:v>0.23412516268890463</x:v>
      </x:c>
      <x:c r="O2511" s="82" t="n">
        <x:v>0.17451171957565745</x:v>
      </x:c>
      <x:c r="P2511" s="80" t="n">
        <x:v>550.4688908167069</x:v>
      </x:c>
      <x:c r="Q2511" s="81" t="n">
        <x:v>783149404.8130069</x:v>
      </x:c>
      <x:c r="R2511" s="81" t="n">
        <x:v>2.330104728101667</x:v>
      </x:c>
      <x:c r="S2511" s="81" t="n">
        <x:v>1.7313396388475393e-10</x:v>
      </x:c>
      <x:c r="T2511" s="81" t="n">
        <x:v>8.386583218027948e-22</x:v>
      </x:c>
    </x:row>
    <x:row r="2512">
      <x:c r="A2512" s="59" t="n">
        <x:v>2509</x:v>
      </x:c>
      <x:c r="B2512" s="193" t="n">
        <x:v>0.3931426323950291</x:v>
      </x:c>
      <x:c r="C2512" s="83" t="n">
        <x:v>0.15185618423998581</x:v>
      </x:c>
      <x:c r="D2512" s="83" t="n">
        <x:v>0.788007965409664</x:v>
      </x:c>
      <x:c r="E2512" s="81" t="n">
        <x:v>0.06893811082205256</x:v>
      </x:c>
      <x:c r="F2512" s="81" t="n">
        <x:v>0.6166737491614185</x:v>
      </x:c>
      <x:c r="G2512" s="81" t="n">
        <x:v>-0.01445782879731786</x:v>
      </x:c>
      <x:c r="H2512" s="59" t="n">
        <x:v>26</x:v>
      </x:c>
      <x:c r="I2512" s="81" t="n">
        <x:v>0.158709366992116</x:v>
      </x:c>
      <x:c r="J2512" s="79" t="n">
        <x:v>0.0010424733977013286</x:v>
      </x:c>
      <x:c r="K2512" s="81" t="n">
        <x:v>0.1913981688015185</x:v>
      </x:c>
      <x:c r="L2512" s="81" t="n">
        <x:v>-0.775642277713062</x:v>
      </x:c>
      <x:c r="M2512" s="80" t="n">
        <x:v>7654.877877339877</x:v>
      </x:c>
      <x:c r="N2512" s="82" t="n">
        <x:v>0.19574769646085344</x:v>
      </x:c>
      <x:c r="O2512" s="82" t="n">
        <x:v>0.11403103427832896</x:v>
      </x:c>
      <x:c r="P2512" s="80" t="n">
        <x:v>11402.876680301131</x:v>
      </x:c>
      <x:c r="Q2512" s="81" t="n">
        <x:v>0.003910021859480417</x:v>
      </x:c>
      <x:c r="R2512" s="81" t="n">
        <x:v>356.0981566014551</x:v>
      </x:c>
      <x:c r="S2512" s="81" t="n">
        <x:v>129.50382728640412</x:v>
      </x:c>
      <x:c r="T2512" s="81" t="n">
        <x:v>22.58224974212537</x:v>
      </x:c>
    </x:row>
    <x:row r="2513">
      <x:c r="A2513" s="59" t="n">
        <x:v>2510</x:v>
      </x:c>
      <x:c r="B2513" s="193" t="n">
        <x:v>0.9175186378881335</x:v>
      </x:c>
      <x:c r="C2513" s="83" t="n">
        <x:v>1.640623098637889</x:v>
      </x:c>
      <x:c r="D2513" s="83" t="n">
        <x:v>0.8395506285577709</x:v>
      </x:c>
      <x:c r="E2513" s="81" t="n">
        <x:v>-0.1601075180760095</x:v>
      </x:c>
      <x:c r="F2513" s="81" t="n">
        <x:v>0.8661318158265203</x:v>
      </x:c>
      <x:c r="G2513" s="81" t="n">
        <x:v>0.030817319018275138</x:v>
      </x:c>
      <x:c r="H2513" s="59" t="n">
        <x:v>28</x:v>
      </x:c>
      <x:c r="I2513" s="81" t="n">
        <x:v>0.11346909375861287</x:v>
      </x:c>
      <x:c r="J2513" s="79" t="n">
        <x:v>4.328077375158291e-58</x:v>
      </x:c>
      <x:c r="K2513" s="81" t="n">
        <x:v>-1</x:v>
      </x:c>
      <x:c r="L2513" s="81" t="n">
        <x:v>-1</x:v>
      </x:c>
      <x:c r="M2513" s="80" t="n">
        <x:v>0.000002</x:v>
      </x:c>
      <x:c r="N2513" s="82" t="n">
        <x:v>0.32066389301941406</x:v>
      </x:c>
      <x:c r="O2513" s="82" t="n">
        <x:v>0.262364453732441</x:v>
      </x:c>
      <x:c r="P2513" s="80" t="n">
        <x:v>306.65076400075867</x:v>
      </x:c>
      <x:c r="Q2513" s="81" t="n">
        <x:v>3.382098881044099e+40</x:v>
      </x:c>
      <x:c r="R2513" s="81" t="n">
        <x:v>0.8874168463859783</x:v>
      </x:c>
      <x:c r="S2513" s="81" t="n">
        <x:v>4.0292295468174404e-10</x:v>
      </x:c>
      <x:c r="T2513" s="81" t="n">
        <x:v>9.375560508745862e-54</x:v>
      </x:c>
    </x:row>
    <x:row r="2514">
      <x:c r="A2514" s="59" t="n">
        <x:v>2511</x:v>
      </x:c>
      <x:c r="B2514" s="193" t="n">
        <x:v>0.717042313143611</x:v>
      </x:c>
      <x:c r="C2514" s="83" t="n">
        <x:v>0.24018332248744836</x:v>
      </x:c>
      <x:c r="D2514" s="83" t="n">
        <x:v>0.3116047060013146</x:v>
      </x:c>
      <x:c r="E2514" s="81" t="n">
        <x:v>0.05238374193777374</x:v>
      </x:c>
      <x:c r="F2514" s="81" t="n">
        <x:v>0.8912093200488016</x:v>
      </x:c>
      <x:c r="G2514" s="81" t="n">
        <x:v>0.032799905499457674</x:v>
      </x:c>
      <x:c r="H2514" s="59" t="n">
        <x:v>0</x:v>
      </x:c>
      <x:c r="I2514" s="81" t="n">
        <x:v>0</x:v>
      </x:c>
      <x:c r="J2514" s="79" t="n">
        <x:v>0.00006838318520847791</x:v>
      </x:c>
      <x:c r="K2514" s="81" t="n">
        <x:v>-0.921847788333168</x:v>
      </x:c>
      <x:c r="L2514" s="81" t="n">
        <x:v>-0.9648548904970607</x:v>
      </x:c>
      <x:c r="M2514" s="80" t="n">
        <x:v>1892.1238872756244</x:v>
      </x:c>
      <x:c r="N2514" s="82" t="n">
        <x:v>0.2729066735341795</x:v>
      </x:c>
      <x:c r="O2514" s="82" t="n">
        <x:v>0.2297549184607363</x:v>
      </x:c>
      <x:c r="P2514" s="80" t="n">
        <x:v>1521.5508778926262</x:v>
      </x:c>
      <x:c r="Q2514" s="81" t="n">
        <x:v>0.009283205643843757</x:v>
      </x:c>
      <x:c r="R2514" s="81" t="n">
        <x:v>43.68092074750709</x:v>
      </x:c>
      <x:c r="S2514" s="81" t="n">
        <x:v>5.608888573369527</x:v>
      </x:c>
      <x:c r="T2514" s="81" t="n">
        <x:v>1.4813290870970433</x:v>
      </x:c>
    </x:row>
    <x:row r="2515">
      <x:c r="A2515" s="59" t="n">
        <x:v>2512</x:v>
      </x:c>
      <x:c r="B2515" s="193" t="n">
        <x:v>0.7698639707639814</x:v>
      </x:c>
      <x:c r="C2515" s="83" t="n">
        <x:v>0.2676178208227737</x:v>
      </x:c>
      <x:c r="D2515" s="83" t="n">
        <x:v>0.45816212632963255</x:v>
      </x:c>
      <x:c r="E2515" s="81" t="n">
        <x:v>-0.1290378942563618</x:v>
      </x:c>
      <x:c r="F2515" s="81" t="n">
        <x:v>0.2816636491799727</x:v>
      </x:c>
      <x:c r="G2515" s="81" t="n">
        <x:v>0.011162839665710664</x:v>
      </x:c>
      <x:c r="H2515" s="59" t="n">
        <x:v>0</x:v>
      </x:c>
      <x:c r="I2515" s="81" t="n">
        <x:v>0</x:v>
      </x:c>
      <x:c r="J2515" s="79" t="n">
        <x:v>3.477030942305598e-32</x:v>
      </x:c>
      <x:c r="K2515" s="81" t="n">
        <x:v>-1</x:v>
      </x:c>
      <x:c r="L2515" s="81" t="n">
        <x:v>-1</x:v>
      </x:c>
      <x:c r="M2515" s="80" t="n">
        <x:v>0.000002</x:v>
      </x:c>
      <x:c r="N2515" s="82" t="n">
        <x:v>0.285489782785432</x:v>
      </x:c>
      <x:c r="O2515" s="82" t="n">
        <x:v>0.07596128688220191</x:v>
      </x:c>
      <x:c r="P2515" s="80" t="n">
        <x:v>157.1556567728968</x:v>
      </x:c>
      <x:c r="Q2515" s="81" t="n">
        <x:v>508367170540863.75</x:v>
      </x:c>
      <x:c r="R2515" s="81" t="n">
        <x:v>9.104785094161134</x:v>
      </x:c>
      <x:c r="S2515" s="81" t="n">
        <x:v>3.62402915558359e-10</x:v>
      </x:c>
      <x:c r="T2515" s="81" t="n">
        <x:v>7.532008133097559e-28</x:v>
      </x:c>
    </x:row>
    <x:row r="2516">
      <x:c r="A2516" s="59" t="n">
        <x:v>2513</x:v>
      </x:c>
      <x:c r="B2516" s="193" t="n">
        <x:v>0.6473122034221888</x:v>
      </x:c>
      <x:c r="C2516" s="83" t="n">
        <x:v>0.9996420090844211</x:v>
      </x:c>
      <x:c r="D2516" s="83" t="n">
        <x:v>0.2581521666948358</x:v>
      </x:c>
      <x:c r="E2516" s="81" t="n">
        <x:v>-0.04507517786359943</x:v>
      </x:c>
      <x:c r="F2516" s="81" t="n">
        <x:v>0.4261701127397828</x:v>
      </x:c>
      <x:c r="G2516" s="81" t="n">
        <x:v>0.029660063925820174</x:v>
      </x:c>
      <x:c r="H2516" s="59" t="n">
        <x:v>7</x:v>
      </x:c>
      <x:c r="I2516" s="81" t="n">
        <x:v>0.11734760561957956</x:v>
      </x:c>
      <x:c r="J2516" s="79" t="n">
        <x:v>2.6835739697211914e-13</x:v>
      </x:c>
      <x:c r="K2516" s="81" t="n">
        <x:v>-0.9999999996933059</x:v>
      </x:c>
      <x:c r="L2516" s="81" t="n">
        <x:v>-0.9999999996933059</x:v>
      </x:c>
      <x:c r="M2516" s="80" t="n">
        <x:v>0.1808697280850882</x:v>
      </x:c>
      <x:c r="N2516" s="82" t="n">
        <x:v>0.25629565395897974</x:v>
      </x:c>
      <x:c r="O2516" s="82" t="n">
        <x:v>0.10317991674933852</x:v>
      </x:c>
      <x:c r="P2516" s="80" t="n">
        <x:v>456.3542922454269</x:v>
      </x:c>
      <x:c r="Q2516" s="81" t="n">
        <x:v>15.779666749213929</x:v>
      </x:c>
      <x:c r="R2516" s="81" t="n">
        <x:v>7.196342970251375</x:v>
      </x:c>
      <x:c r="S2516" s="81" t="n">
        <x:v>0.000015079936741909026</x:v>
      </x:c>
      <x:c r="T2516" s="81" t="n">
        <x:v>5.813207101431774e-9</x:v>
      </x:c>
    </x:row>
    <x:row r="2517">
      <x:c r="A2517" s="59" t="n">
        <x:v>2514</x:v>
      </x:c>
      <x:c r="B2517" s="193" t="n">
        <x:v>0.8834680395200849</x:v>
      </x:c>
      <x:c r="C2517" s="83" t="n">
        <x:v>0.878517348314254</x:v>
      </x:c>
      <x:c r="D2517" s="83" t="n">
        <x:v>0.22163404076674692</x:v>
      </x:c>
      <x:c r="E2517" s="81" t="n">
        <x:v>0.03939847302019209</x:v>
      </x:c>
      <x:c r="F2517" s="81" t="n">
        <x:v>0.3654148316010833</x:v>
      </x:c>
      <x:c r="G2517" s="81" t="n">
        <x:v>0.007472809105636104</x:v>
      </x:c>
      <x:c r="H2517" s="59" t="n">
        <x:v>0</x:v>
      </x:c>
      <x:c r="I2517" s="81" t="n">
        <x:v>0</x:v>
      </x:c>
      <x:c r="J2517" s="79" t="n">
        <x:v>0.00010628234950771988</x:v>
      </x:c>
      <x:c r="K2517" s="81" t="n">
        <x:v>-0.878534457705463</x:v>
      </x:c>
      <x:c r="L2517" s="81" t="n">
        <x:v>-0.9025008375533821</x:v>
      </x:c>
      <x:c r="M2517" s="80" t="n">
        <x:v>3414.8055230182254</x:v>
      </x:c>
      <x:c r="N2517" s="82" t="n">
        <x:v>0.3125524020394252</x:v>
      </x:c>
      <x:c r="O2517" s="82" t="n">
        <x:v>0.10788969203870354</x:v>
      </x:c>
      <x:c r="P2517" s="80" t="n">
        <x:v>2095.80092257789</x:v>
      </x:c>
      <x:c r="Q2517" s="81" t="n">
        <x:v>0.005316081845932604</x:v>
      </x:c>
      <x:c r="R2517" s="81" t="n">
        <x:v>19.986247793163294</x:v>
      </x:c>
      <x:c r="S2517" s="81" t="n">
        <x:v>2.446428497550338</x:v>
      </x:c>
      <x:c r="T2517" s="81" t="n">
        <x:v>2.302307728000959</x:v>
      </x:c>
    </x:row>
    <x:row r="2518">
      <x:c r="A2518" s="59" t="n">
        <x:v>2515</x:v>
      </x:c>
      <x:c r="B2518" s="193" t="n">
        <x:v>0.7031652057543398</x:v>
      </x:c>
      <x:c r="C2518" s="83" t="n">
        <x:v>1.3930049389375898</x:v>
      </x:c>
      <x:c r="D2518" s="83" t="n">
        <x:v>0.5276150623695657</x:v>
      </x:c>
      <x:c r="E2518" s="81" t="n">
        <x:v>0.014780581788053962</x:v>
      </x:c>
      <x:c r="F2518" s="81" t="n">
        <x:v>0.8479935580166057</x:v>
      </x:c>
      <x:c r="G2518" s="81" t="n">
        <x:v>0.013171395416949637</x:v>
      </x:c>
      <x:c r="H2518" s="59" t="n">
        <x:v>0</x:v>
      </x:c>
      <x:c r="I2518" s="81" t="n">
        <x:v>0</x:v>
      </x:c>
      <x:c r="J2518" s="79" t="n">
        <x:v>0.000038433092819693097</x:v>
      </x:c>
      <x:c r="K2518" s="81" t="n">
        <x:v>-0.9560764653489222</x:v>
      </x:c>
      <x:c r="L2518" s="81" t="n">
        <x:v>-0.9650281778520289</x:v>
      </x:c>
      <x:c r="M2518" s="80" t="n">
        <x:v>2612.2213138044303</x:v>
      </x:c>
      <x:c r="N2518" s="82" t="n">
        <x:v>0.26960088635829166</x:v>
      </x:c>
      <x:c r="O2518" s="82" t="n">
        <x:v>0.21596571454964877</x:v>
      </x:c>
      <x:c r="P2518" s="80" t="n">
        <x:v>4212.939213667757</x:v>
      </x:c>
      <x:c r="Q2518" s="81" t="n">
        <x:v>0.026762262761945786</x:v>
      </x:c>
      <x:c r="R2518" s="81" t="n">
        <x:v>10.287211912114895</x:v>
      </x:c>
      <x:c r="S2518" s="81" t="n">
        <x:v>0.8117992799930689</x:v>
      </x:c>
      <x:c r="T2518" s="81" t="n">
        <x:v>0.8325446983398729</x:v>
      </x:c>
    </x:row>
    <x:row r="2519">
      <x:c r="A2519" s="59" t="n">
        <x:v>2516</x:v>
      </x:c>
      <x:c r="B2519" s="193" t="n">
        <x:v>0.705023142695427</x:v>
      </x:c>
      <x:c r="C2519" s="83" t="n">
        <x:v>2.8981475172227733</x:v>
      </x:c>
      <x:c r="D2519" s="83" t="n">
        <x:v>0.5620204035425052</x:v>
      </x:c>
      <x:c r="E2519" s="81" t="n">
        <x:v>0.08938655663011683</x:v>
      </x:c>
      <x:c r="F2519" s="81" t="n">
        <x:v>0.7281389371491969</x:v>
      </x:c>
      <x:c r="G2519" s="81" t="n">
        <x:v>-0.0225273353190463</x:v>
      </x:c>
      <x:c r="H2519" s="59" t="n">
        <x:v>0</x:v>
      </x:c>
      <x:c r="I2519" s="81" t="n">
        <x:v>0</x:v>
      </x:c>
      <x:c r="J2519" s="79" t="n">
        <x:v>0.0031124636342602977</x:v>
      </x:c>
      <x:c r="K2519" s="81" t="n">
        <x:v>2.5571012962974833</x:v>
      </x:c>
      <x:c r="L2519" s="81" t="n">
        <x:v>-0.6625810265980773</x:v>
      </x:c>
      <x:c r="M2519" s="80" t="n">
        <x:v>43749.88127257774</x:v>
      </x:c>
      <x:c r="N2519" s="82" t="n">
        <x:v>0.2700434817739765</x:v>
      </x:c>
      <x:c r="O2519" s="82" t="n">
        <x:v>0.18574575456766962</x:v>
      </x:c>
      <x:c r="P2519" s="80" t="n">
        <x:v>47242.82153764305</x:v>
      </x:c>
      <x:c r="Q2519" s="81" t="n">
        <x:v>0.005002719793329526</x:v>
      </x:c>
      <x:c r="R2519" s="81" t="n">
        <x:v>43.43744395611394</x:v>
      </x:c>
      <x:c r="S2519" s="81" t="n">
        <x:v>22.206397038910918</x:v>
      </x:c>
      <x:c r="T2519" s="81" t="n">
        <x:v>67.42275750837572</x:v>
      </x:c>
    </x:row>
    <x:row r="2520">
      <x:c r="A2520" s="59" t="n">
        <x:v>2517</x:v>
      </x:c>
      <x:c r="B2520" s="193" t="n">
        <x:v>0.9989304391667246</x:v>
      </x:c>
      <x:c r="C2520" s="83" t="n">
        <x:v>0.3718697078883161</x:v>
      </x:c>
      <x:c r="D2520" s="83" t="n">
        <x:v>2.1824461115624034</x:v>
      </x:c>
      <x:c r="E2520" s="81" t="n">
        <x:v>-0.04514564154385235</x:v>
      </x:c>
      <x:c r="F2520" s="81" t="n">
        <x:v>0.432786998921074</x:v>
      </x:c>
      <x:c r="G2520" s="81" t="n">
        <x:v>0.002883592197723859</x:v>
      </x:c>
      <x:c r="H2520" s="59" t="n">
        <x:v>0</x:v>
      </x:c>
      <x:c r="I2520" s="81" t="n">
        <x:v>0</x:v>
      </x:c>
      <x:c r="J2520" s="79" t="n">
        <x:v>2.97298462875177e-42</x:v>
      </x:c>
      <x:c r="K2520" s="81" t="n">
        <x:v>-1</x:v>
      </x:c>
      <x:c r="L2520" s="81" t="n">
        <x:v>-1</x:v>
      </x:c>
      <x:c r="M2520" s="80" t="n">
        <x:v>0.000002</x:v>
      </x:c>
      <x:c r="N2520" s="82" t="n">
        <x:v>0.34005771055524836</x:v>
      </x:c>
      <x:c r="O2520" s="82" t="n">
        <x:v>0.13902655917855244</x:v>
      </x:c>
      <x:c r="P2520" s="80" t="n">
        <x:v>519.9953189023868</x:v>
      </x:c>
      <x:c r="Q2520" s="81" t="n">
        <x:v>1.573124598820458e+25</x:v>
      </x:c>
      <x:c r="R2520" s="81" t="n">
        <x:v>4.592759096994819</x:v>
      </x:c>
      <x:c r="S2520" s="81" t="n">
        <x:v>1.4432763729323362e-9</x:v>
      </x:c>
      <x:c r="T2520" s="81" t="n">
        <x:v>6.440133773582124e-38</x:v>
      </x:c>
    </x:row>
    <x:row r="2521">
      <x:c r="A2521" s="59" t="n">
        <x:v>2518</x:v>
      </x:c>
      <x:c r="B2521" s="193" t="n">
        <x:v>0.8581502178683877</x:v>
      </x:c>
      <x:c r="C2521" s="83" t="n">
        <x:v>0.23563018498527882</x:v>
      </x:c>
      <x:c r="D2521" s="83" t="n">
        <x:v>1.3139415000151886</x:v>
      </x:c>
      <x:c r="E2521" s="81" t="n">
        <x:v>-0.05074993861372163</x:v>
      </x:c>
      <x:c r="F2521" s="81" t="n">
        <x:v>0.2702673198888078</x:v>
      </x:c>
      <x:c r="G2521" s="81" t="n">
        <x:v>0.03744761545222638</x:v>
      </x:c>
      <x:c r="H2521" s="59" t="n">
        <x:v>0</x:v>
      </x:c>
      <x:c r="I2521" s="81" t="n">
        <x:v>0</x:v>
      </x:c>
      <x:c r="J2521" s="79" t="n">
        <x:v>7.064104926696753e-38</x:v>
      </x:c>
      <x:c r="K2521" s="81" t="n">
        <x:v>-1</x:v>
      </x:c>
      <x:c r="L2521" s="81" t="n">
        <x:v>-1</x:v>
      </x:c>
      <x:c r="M2521" s="80" t="n">
        <x:v>0.000002</x:v>
      </x:c>
      <x:c r="N2521" s="82" t="n">
        <x:v>0.3065212222128351</x:v>
      </x:c>
      <x:c r="O2521" s="82" t="n">
        <x:v>0.07825732980721582</x:v>
      </x:c>
      <x:c r="P2521" s="80" t="n">
        <x:v>394.9497235616264</x:v>
      </x:c>
      <x:c r="Q2521" s="81" t="n">
        <x:v>592108794570622100000</x:v>
      </x:c>
      <x:c r="R2521" s="81" t="n">
        <x:v>9.603714861939432</x:v>
      </x:c>
      <x:c r="S2521" s="81" t="n">
        <x:v>1.4569571466101134e-9</x:v>
      </x:c>
      <x:c r="T2521" s="81" t="n">
        <x:v>1.5302393520160425e-33</x:v>
      </x:c>
    </x:row>
    <x:row r="2522">
      <x:c r="A2522" s="59" t="n">
        <x:v>2519</x:v>
      </x:c>
      <x:c r="B2522" s="193" t="n">
        <x:v>0.2466633714735508</x:v>
      </x:c>
      <x:c r="C2522" s="83" t="n">
        <x:v>0.21861259581315434</x:v>
      </x:c>
      <x:c r="D2522" s="83" t="n">
        <x:v>1.032625917056686</x:v>
      </x:c>
      <x:c r="E2522" s="81" t="n">
        <x:v>-0.03396279819540551</x:v>
      </x:c>
      <x:c r="F2522" s="81" t="n">
        <x:v>0.5902503268327564</x:v>
      </x:c>
      <x:c r="G2522" s="81" t="n">
        <x:v>-0.01497440771238292</x:v>
      </x:c>
      <x:c r="H2522" s="59" t="n">
        <x:v>0</x:v>
      </x:c>
      <x:c r="I2522" s="81" t="n">
        <x:v>0</x:v>
      </x:c>
      <x:c r="J2522" s="79" t="n">
        <x:v>3.038368543377588e-23</x:v>
      </x:c>
      <x:c r="K2522" s="81" t="n">
        <x:v>-1</x:v>
      </x:c>
      <x:c r="L2522" s="81" t="n">
        <x:v>-1</x:v>
      </x:c>
      <x:c r="M2522" s="80" t="n">
        <x:v>0.000002</x:v>
      </x:c>
      <x:c r="N2522" s="82" t="n">
        <x:v>0.1608535900232149</x:v>
      </x:c>
      <x:c r="O2522" s="82" t="n">
        <x:v>0.08968874277187534</x:v>
      </x:c>
      <x:c r="P2522" s="80" t="n">
        <x:v>503.2710490051603</x:v>
      </x:c>
      <x:c r="Q2522" s="81" t="n">
        <x:v>2024211.0785592615</x:v>
      </x:c>
      <x:c r="R2522" s="81" t="n">
        <x:v>17.592619710166808</x:v>
      </x:c>
      <x:c r="S2522" s="81" t="n">
        <x:v>6.178165749487645e-10</x:v>
      </x:c>
      <x:c r="T2522" s="81" t="n">
        <x:v>6.581769607403281e-19</x:v>
      </x:c>
    </x:row>
    <x:row r="2523">
      <x:c r="A2523" s="59" t="n">
        <x:v>2520</x:v>
      </x:c>
      <x:c r="B2523" s="193" t="n">
        <x:v>0.6134560192003846</x:v>
      </x:c>
      <x:c r="C2523" s="83" t="n">
        <x:v>0.7135045363826753</x:v>
      </x:c>
      <x:c r="D2523" s="83" t="n">
        <x:v>1.1901940740382306</x:v>
      </x:c>
      <x:c r="E2523" s="81" t="n">
        <x:v>-0.03006485896110972</x:v>
      </x:c>
      <x:c r="F2523" s="81" t="n">
        <x:v>0.35504437977215275</x:v>
      </x:c>
      <x:c r="G2523" s="81" t="n">
        <x:v>0.022201212314825844</x:v>
      </x:c>
      <x:c r="H2523" s="59" t="n">
        <x:v>0</x:v>
      </x:c>
      <x:c r="I2523" s="81" t="n">
        <x:v>0</x:v>
      </x:c>
      <x:c r="J2523" s="79" t="n">
        <x:v>5.550849770663965e-26</x:v>
      </x:c>
      <x:c r="K2523" s="81" t="n">
        <x:v>-1</x:v>
      </x:c>
      <x:c r="L2523" s="81" t="n">
        <x:v>-1</x:v>
      </x:c>
      <x:c r="M2523" s="80" t="n">
        <x:v>0.000002</x:v>
      </x:c>
      <x:c r="N2523" s="82" t="n">
        <x:v>0.24823047607389154</x:v>
      </x:c>
      <x:c r="O2523" s="82" t="n">
        <x:v>0.08325468545855527</x:v>
      </x:c>
      <x:c r="P2523" s="80" t="n">
        <x:v>840.1288665394833</x:v>
      </x:c>
      <x:c r="Q2523" s="81" t="n">
        <x:v>1246926135.6509469</x:v>
      </x:c>
      <x:c r="R2523" s="81" t="n">
        <x:v>6.3695522281614485</x:v>
      </x:c>
      <x:c r="S2523" s="81" t="n">
        <x:v>7.948089156010904e-10</x:v>
      </x:c>
      <x:c r="T2523" s="81" t="n">
        <x:v>1.2024352475425593e-21</x:v>
      </x:c>
    </x:row>
    <x:row r="2524">
      <x:c r="A2524" s="59" t="n">
        <x:v>2521</x:v>
      </x:c>
      <x:c r="B2524" s="193" t="n">
        <x:v>0.5096946455538274</x:v>
      </x:c>
      <x:c r="C2524" s="83" t="n">
        <x:v>1.4085952994162418</x:v>
      </x:c>
      <x:c r="D2524" s="83" t="n">
        <x:v>1.6419394708466757</x:v>
      </x:c>
      <x:c r="E2524" s="81" t="n">
        <x:v>0.15194747829197727</x:v>
      </x:c>
      <x:c r="F2524" s="81" t="n">
        <x:v>0.46474872417747976</x:v>
      </x:c>
      <x:c r="G2524" s="81" t="n">
        <x:v>0.021793046608810696</x:v>
      </x:c>
      <x:c r="H2524" s="59" t="n">
        <x:v>0</x:v>
      </x:c>
      <x:c r="I2524" s="81" t="n">
        <x:v>0</x:v>
      </x:c>
      <x:c r="J2524" s="79" t="n">
        <x:v>0.4473978512384163</x:v>
      </x:c>
      <x:c r="K2524" s="81" t="n">
        <x:v>510.31182998676155</x:v>
      </x:c>
      <x:c r="L2524" s="81" t="n">
        <x:v>-0.7943204938033386</x:v>
      </x:c>
      <x:c r="M2524" s="80" t="n">
        <x:v>597821.5464524208</x:v>
      </x:c>
      <x:c r="N2524" s="82" t="n">
        <x:v>0.22351257134552568</x:v>
      </x:c>
      <x:c r="O2524" s="82" t="n">
        <x:v>0.09812758325017745</x:v>
      </x:c>
      <x:c r="P2524" s="80" t="n">
        <x:v>1242660.1476198335</x:v>
      </x:c>
      <x:c r="Q2524" s="81" t="n">
        <x:v>0.002237754411885286</x:v>
      </x:c>
      <x:c r="R2524" s="81" t="n">
        <x:v>3007.965542485464</x:v>
      </x:c>
      <x:c r="S2524" s="81" t="n">
        <x:v>6149.322289065026</x:v>
      </x:c>
      <x:c r="T2524" s="81" t="n">
        <x:v>9691.614225393194</x:v>
      </x:c>
    </x:row>
    <x:row r="2525">
      <x:c r="A2525" s="59" t="n">
        <x:v>2522</x:v>
      </x:c>
      <x:c r="B2525" s="193" t="n">
        <x:v>0.7356935877352953</x:v>
      </x:c>
      <x:c r="C2525" s="83" t="n">
        <x:v>0.2809730739920451</x:v>
      </x:c>
      <x:c r="D2525" s="83" t="n">
        <x:v>0.8893559985685706</x:v>
      </x:c>
      <x:c r="E2525" s="81" t="n">
        <x:v>-0.06027527898609816</x:v>
      </x:c>
      <x:c r="F2525" s="81" t="n">
        <x:v>0.259258239029441</x:v>
      </x:c>
      <x:c r="G2525" s="81" t="n">
        <x:v>-0.02862263714942162</x:v>
      </x:c>
      <x:c r="H2525" s="59" t="n">
        <x:v>0</x:v>
      </x:c>
      <x:c r="I2525" s="81" t="n">
        <x:v>0</x:v>
      </x:c>
      <x:c r="J2525" s="79" t="n">
        <x:v>5.2201175066569036e-27</x:v>
      </x:c>
      <x:c r="K2525" s="81" t="n">
        <x:v>-1</x:v>
      </x:c>
      <x:c r="L2525" s="81" t="n">
        <x:v>-1</x:v>
      </x:c>
      <x:c r="M2525" s="80" t="n">
        <x:v>0.000002</x:v>
      </x:c>
      <x:c r="N2525" s="82" t="n">
        <x:v>0.27734975685331703</x:v>
      </x:c>
      <x:c r="O2525" s="82" t="n">
        <x:v>0.06792525823203133</x:v>
      </x:c>
      <x:c r="P2525" s="80" t="n">
        <x:v>334.16785393207124</x:v>
      </x:c>
      <x:c r="Q2525" s="81" t="n">
        <x:v>6807598411.899124</x:v>
      </x:c>
      <x:c r="R2525" s="81" t="n">
        <x:v>9.977072870373586</x:v>
      </x:c>
      <x:c r="S2525" s="81" t="n">
        <x:v>4.271628552763351e-10</x:v>
      </x:c>
      <x:c r="T2525" s="81" t="n">
        <x:v>1.1307914185484136e-22</x:v>
      </x:c>
    </x:row>
    <x:row r="2526">
      <x:c r="A2526" s="59" t="n">
        <x:v>2523</x:v>
      </x:c>
      <x:c r="B2526" s="193" t="n">
        <x:v>0.42002198882400993</x:v>
      </x:c>
      <x:c r="C2526" s="83" t="n">
        <x:v>0.6707750338784169</x:v>
      </x:c>
      <x:c r="D2526" s="83" t="n">
        <x:v>0.853584658098605</x:v>
      </x:c>
      <x:c r="E2526" s="81" t="n">
        <x:v>-0.07135152454654732</x:v>
      </x:c>
      <x:c r="F2526" s="81" t="n">
        <x:v>0.28805742869153617</x:v>
      </x:c>
      <x:c r="G2526" s="81" t="n">
        <x:v>-0.0009414608852829717</x:v>
      </x:c>
      <x:c r="H2526" s="59" t="n">
        <x:v>0</x:v>
      </x:c>
      <x:c r="I2526" s="81" t="n">
        <x:v>0</x:v>
      </x:c>
      <x:c r="J2526" s="79" t="n">
        <x:v>1.6874247639030495e-31</x:v>
      </x:c>
      <x:c r="K2526" s="81" t="n">
        <x:v>-1</x:v>
      </x:c>
      <x:c r="L2526" s="81" t="n">
        <x:v>-1</x:v>
      </x:c>
      <x:c r="M2526" s="80" t="n">
        <x:v>0.000002</x:v>
      </x:c>
      <x:c r="N2526" s="82" t="n">
        <x:v>0.20215086315016956</x:v>
      </x:c>
      <x:c r="O2526" s="82" t="n">
        <x:v>0.05500797043407167</x:v>
      </x:c>
      <x:c r="P2526" s="80" t="n">
        <x:v>384.45048654307504</x:v>
      </x:c>
      <x:c r="Q2526" s="81" t="n">
        <x:v>179762507619807.1</x:v>
      </x:c>
      <x:c r="R2526" s="81" t="n">
        <x:v>4.111193513385612</x:v>
      </x:c>
      <x:c r="S2526" s="81" t="n">
        <x:v>4.4244142888292674e-10</x:v>
      </x:c>
      <x:c r="T2526" s="81" t="n">
        <x:v>3.655330440424633e-27</x:v>
      </x:c>
    </x:row>
    <x:row r="2527">
      <x:c r="A2527" s="59" t="n">
        <x:v>2524</x:v>
      </x:c>
      <x:c r="B2527" s="193" t="n">
        <x:v>0.4927011547610164</x:v>
      </x:c>
      <x:c r="C2527" s="83" t="n">
        <x:v>0.1372259547075177</x:v>
      </x:c>
      <x:c r="D2527" s="83" t="n">
        <x:v>0.3521164490564782</x:v>
      </x:c>
      <x:c r="E2527" s="81" t="n">
        <x:v>0.020480664429276898</x:v>
      </x:c>
      <x:c r="F2527" s="81" t="n">
        <x:v>0.8285011770552956</x:v>
      </x:c>
      <x:c r="G2527" s="81" t="n">
        <x:v>0.00923490860044048</x:v>
      </x:c>
      <x:c r="H2527" s="59" t="n">
        <x:v>0</x:v>
      </x:c>
      <x:c r="I2527" s="81" t="n">
        <x:v>0</x:v>
      </x:c>
      <x:c r="J2527" s="79" t="n">
        <x:v>0.000010782412328266912</x:v>
      </x:c>
      <x:c r="K2527" s="81" t="n">
        <x:v>-0.9876772430534092</x:v>
      </x:c>
      <x:c r="L2527" s="81" t="n">
        <x:v>-0.9894184374144572</x:v>
      </x:c>
      <x:c r="M2527" s="80" t="n">
        <x:v>656.466530040297</x:v>
      </x:c>
      <x:c r="N2527" s="82" t="n">
        <x:v>0.2194644032107259</x:v>
      </x:c>
      <x:c r="O2527" s="82" t="n">
        <x:v>0.17176242381811951</x:v>
      </x:c>
      <x:c r="P2527" s="80" t="n">
        <x:v>844.7884231976848</x:v>
      </x:c>
      <x:c r="Q2527" s="81" t="n">
        <x:v>0.014889878819092576</x:v>
      </x:c>
      <x:c r="R2527" s="81" t="n">
        <x:v>67.51758863902718</x:v>
      </x:c>
      <x:c r="S2527" s="81" t="n">
        <x:v>1.560305141596712</x:v>
      </x:c>
      <x:c r="T2527" s="81" t="n">
        <x:v>0.23357059139964334</x:v>
      </x:c>
    </x:row>
    <x:row r="2528">
      <x:c r="A2528" s="59" t="n">
        <x:v>2525</x:v>
      </x:c>
      <x:c r="B2528" s="193" t="n">
        <x:v>0.4852029150351882</x:v>
      </x:c>
      <x:c r="C2528" s="83" t="n">
        <x:v>2.156102435102811</x:v>
      </x:c>
      <x:c r="D2528" s="83" t="n">
        <x:v>0.6057205950689263</x:v>
      </x:c>
      <x:c r="E2528" s="81" t="n">
        <x:v>0.047502955986828105</x:v>
      </x:c>
      <x:c r="F2528" s="81" t="n">
        <x:v>0.33279776681447404</x:v>
      </x:c>
      <x:c r="G2528" s="81" t="n">
        <x:v>0.03562580658635916</x:v>
      </x:c>
      <x:c r="H2528" s="59" t="n">
        <x:v>0</x:v>
      </x:c>
      <x:c r="I2528" s="81" t="n">
        <x:v>0</x:v>
      </x:c>
      <x:c r="J2528" s="79" t="n">
        <x:v>0.017687626220246628</x:v>
      </x:c>
      <x:c r="K2528" s="81" t="n">
        <x:v>19.21442996599615</x:v>
      </x:c>
      <x:c r="L2528" s="81" t="n">
        <x:v>-0.2672223956246622</x:v>
      </x:c>
      <x:c r="M2528" s="80" t="n">
        <x:v>81751.46165420739</x:v>
      </x:c>
      <x:c r="N2528" s="82" t="n">
        <x:v>0.21767818191603866</x:v>
      </x:c>
      <x:c r="O2528" s="82" t="n">
        <x:v>0.06843310517509026</x:v>
      </x:c>
      <x:c r="P2528" s="80" t="n">
        <x:v>96660.46591404412</x:v>
      </x:c>
      <x:c r="Q2528" s="81" t="n">
        <x:v>0.0035413481628997177</x:v>
      </x:c>
      <x:c r="R2528" s="81" t="n">
        <x:v>40.53231203143332</x:v>
      </x:c>
      <x:c r="S2528" s="81" t="n">
        <x:v>163.25981937989604</x:v>
      </x:c>
      <x:c r="T2528" s="81" t="n">
        <x:v>383.1525998953223</x:v>
      </x:c>
    </x:row>
    <x:row r="2529">
      <x:c r="A2529" s="59" t="n">
        <x:v>2526</x:v>
      </x:c>
      <x:c r="B2529" s="193" t="n">
        <x:v>0.32477878499776125</x:v>
      </x:c>
      <x:c r="C2529" s="83" t="n">
        <x:v>2.314664823754646</x:v>
      </x:c>
      <x:c r="D2529" s="83" t="n">
        <x:v>0.5514346748219963</x:v>
      </x:c>
      <x:c r="E2529" s="81" t="n">
        <x:v>0.06822109762646533</x:v>
      </x:c>
      <x:c r="F2529" s="81" t="n">
        <x:v>0.7428915464901366</x:v>
      </x:c>
      <x:c r="G2529" s="81" t="n">
        <x:v>-0.004278161999782443</x:v>
      </x:c>
      <x:c r="H2529" s="59" t="n">
        <x:v>0</x:v>
      </x:c>
      <x:c r="I2529" s="81" t="n">
        <x:v>0</x:v>
      </x:c>
      <x:c r="J2529" s="79" t="n">
        <x:v>0.0040482363301108815</x:v>
      </x:c>
      <x:c r="K2529" s="81" t="n">
        <x:v>3.626555805841008</x:v>
      </x:c>
      <x:c r="L2529" s="81" t="n">
        <x:v>-0.5622187198615843</x:v>
      </x:c>
      <x:c r="M2529" s="80" t="n">
        <x:v>41286.18082715617</x:v>
      </x:c>
      <x:c r="N2529" s="82" t="n">
        <x:v>0.17946214618868533</x:v>
      </x:c>
      <x:c r="O2529" s="82" t="n">
        <x:v>0.12594160262976933</x:v>
      </x:c>
      <x:c r="P2529" s="80" t="n">
        <x:v>43831.01599728298</x:v>
      </x:c>
      <x:c r="Q2529" s="81" t="n">
        <x:v>0.004371586833345653</x:v>
      </x:c>
      <x:c r="R2529" s="81" t="n">
        <x:v>39.78788898737541</x:v>
      </x:c>
      <x:c r="S2529" s="81" t="n">
        <x:v>35.50540700071048</x:v>
      </x:c>
      <x:c r="T2529" s="81" t="n">
        <x:v>87.69363709739537</x:v>
      </x:c>
    </x:row>
    <x:row r="2530">
      <x:c r="A2530" s="59" t="n">
        <x:v>2527</x:v>
      </x:c>
      <x:c r="B2530" s="193" t="n">
        <x:v>0.21956775449216367</x:v>
      </x:c>
      <x:c r="C2530" s="83" t="n">
        <x:v>0.32724879988224964</x:v>
      </x:c>
      <x:c r="D2530" s="83" t="n">
        <x:v>0.6054893381182701</x:v>
      </x:c>
      <x:c r="E2530" s="81" t="n">
        <x:v>0.08838988335364166</x:v>
      </x:c>
      <x:c r="F2530" s="81" t="n">
        <x:v>0.5986081974697299</x:v>
      </x:c>
      <x:c r="G2530" s="81" t="n">
        <x:v>0.01531015619406357</x:v>
      </x:c>
      <x:c r="H2530" s="59" t="n">
        <x:v>0</x:v>
      </x:c>
      <x:c r="I2530" s="81" t="n">
        <x:v>0</x:v>
      </x:c>
      <x:c r="J2530" s="79" t="n">
        <x:v>0.004631822698226352</x:v>
      </x:c>
      <x:c r="K2530" s="81" t="n">
        <x:v>4.2935116551158305</x:v>
      </x:c>
      <x:c r="L2530" s="81" t="n">
        <x:v>-0.6805229629986371</x:v>
      </x:c>
      <x:c r="M2530" s="80" t="n">
        <x:v>19164.63847963304</x:v>
      </x:c>
      <x:c r="N2530" s="82" t="n">
        <x:v>0.15439890601543002</x:v>
      </x:c>
      <x:c r="O2530" s="82" t="n">
        <x:v>0.0873087600697932</x:v>
      </x:c>
      <x:c r="P2530" s="80" t="n">
        <x:v>21874.804259729666</x:v>
      </x:c>
      <x:c r="Q2530" s="81" t="n">
        <x:v>0.0024269271497478996</x:v>
      </x:c>
      <x:c r="R2530" s="81" t="n">
        <x:v>293.42357735288454</x:v>
      </x:c>
      <x:c r="S2530" s="81" t="n">
        <x:v>267.753543336185</x:v>
      </x:c>
      <x:c r="T2530" s="81" t="n">
        <x:v>100.33539192772744</x:v>
      </x:c>
    </x:row>
    <x:row r="2531">
      <x:c r="A2531" s="59" t="n">
        <x:v>2528</x:v>
      </x:c>
      <x:c r="B2531" s="193" t="n">
        <x:v>0.730032379925251</x:v>
      </x:c>
      <x:c r="C2531" s="83" t="n">
        <x:v>0.1274347602332983</x:v>
      </x:c>
      <x:c r="D2531" s="83" t="n">
        <x:v>2.3949522330120296</x:v>
      </x:c>
      <x:c r="E2531" s="81" t="n">
        <x:v>-0.02945729077468338</x:v>
      </x:c>
      <x:c r="F2531" s="81" t="n">
        <x:v>0.5529182299622335</x:v>
      </x:c>
      <x:c r="G2531" s="81" t="n">
        <x:v>0.004120474989686611</x:v>
      </x:c>
      <x:c r="H2531" s="59" t="n">
        <x:v>0</x:v>
      </x:c>
      <x:c r="I2531" s="81" t="n">
        <x:v>0</x:v>
      </x:c>
      <x:c r="J2531" s="79" t="n">
        <x:v>1.0761350632936336e-34</x:v>
      </x:c>
      <x:c r="K2531" s="81" t="n">
        <x:v>-1</x:v>
      </x:c>
      <x:c r="L2531" s="81" t="n">
        <x:v>-1</x:v>
      </x:c>
      <x:c r="M2531" s="80" t="n">
        <x:v>0.000002</x:v>
      </x:c>
      <x:c r="N2531" s="82" t="n">
        <x:v>0.27600115100531847</x:v>
      </x:c>
      <x:c r="O2531" s="82" t="n">
        <x:v>0.1441593263197</x:v>
      </x:c>
      <x:c r="P2531" s="80" t="n">
        <x:v>595.0667628591173</x:v>
      </x:c>
      <x:c r="Q2531" s="81" t="n">
        <x:v>656059986944104200</x:v>
      </x:c>
      <x:c r="R2531" s="81" t="n">
        <x:v>15.607030474519336</x:v>
      </x:c>
      <x:c r="S2531" s="81" t="n">
        <x:v>1.956307198183356e-9</x:v>
      </x:c>
      <x:c r="T2531" s="81" t="n">
        <x:v>2.331143490964859e-30</x:v>
      </x:c>
    </x:row>
    <x:row r="2532">
      <x:c r="A2532" s="59" t="n">
        <x:v>2529</x:v>
      </x:c>
      <x:c r="B2532" s="193" t="n">
        <x:v>0.5776832992210985</x:v>
      </x:c>
      <x:c r="C2532" s="83" t="n">
        <x:v>0.154023153494088</x:v>
      </x:c>
      <x:c r="D2532" s="83" t="n">
        <x:v>0.46687277126453347</x:v>
      </x:c>
      <x:c r="E2532" s="81" t="n">
        <x:v>-0.08849276004040098</x:v>
      </x:c>
      <x:c r="F2532" s="81" t="n">
        <x:v>0.432625062786974</x:v>
      </x:c>
      <x:c r="G2532" s="81" t="n">
        <x:v>0.014268342408581373</x:v>
      </x:c>
      <x:c r="H2532" s="59" t="n">
        <x:v>0</x:v>
      </x:c>
      <x:c r="I2532" s="81" t="n">
        <x:v>0</x:v>
      </x:c>
      <x:c r="J2532" s="79" t="n">
        <x:v>4.9028656513933146e-27</x:v>
      </x:c>
      <x:c r="K2532" s="81" t="n">
        <x:v>-1</x:v>
      </x:c>
      <x:c r="L2532" s="81" t="n">
        <x:v>-1</x:v>
      </x:c>
      <x:c r="M2532" s="80" t="n">
        <x:v>0.000002</x:v>
      </x:c>
      <x:c r="N2532" s="82" t="n">
        <x:v>0.2397087434363261</x:v>
      </x:c>
      <x:c r="O2532" s="82" t="n">
        <x:v>0.09796399613532629</x:v>
      </x:c>
      <x:c r="P2532" s="80" t="n">
        <x:v>188.7897936457415</x:v>
      </x:c>
      <x:c r="Q2532" s="81" t="n">
        <x:v>5068303486.436884</x:v>
      </x:c>
      <x:c r="R2532" s="81" t="n">
        <x:v>20.53185104223643</x:v>
      </x:c>
      <x:c r="S2532" s="81" t="n">
        <x:v>4.2106394289622073e-10</x:v>
      </x:c>
      <x:c r="T2532" s="81" t="n">
        <x:v>1.062067740394973e-22</x:v>
      </x:c>
    </x:row>
    <x:row r="2533">
      <x:c r="A2533" s="59" t="n">
        <x:v>2530</x:v>
      </x:c>
      <x:c r="B2533" s="193" t="n">
        <x:v>0.6259471379220486</x:v>
      </x:c>
      <x:c r="C2533" s="83" t="n">
        <x:v>0.6173888969461352</x:v>
      </x:c>
      <x:c r="D2533" s="83" t="n">
        <x:v>0.17282494714445235</x:v>
      </x:c>
      <x:c r="E2533" s="81" t="n">
        <x:v>0.008113235038743666</x:v>
      </x:c>
      <x:c r="F2533" s="81" t="n">
        <x:v>0.7565515463938937</x:v>
      </x:c>
      <x:c r="G2533" s="81" t="n">
        <x:v>-0.004428172535439022</x:v>
      </x:c>
      <x:c r="H2533" s="59" t="n">
        <x:v>0</x:v>
      </x:c>
      <x:c r="I2533" s="81" t="n">
        <x:v>0</x:v>
      </x:c>
      <x:c r="J2533" s="79" t="n">
        <x:v>0.000001397850370855124</x:v>
      </x:c>
      <x:c r="K2533" s="81" t="n">
        <x:v>-0.9984024567190227</x:v>
      </x:c>
      <x:c r="L2533" s="81" t="n">
        <x:v>-0.9984024567190227</x:v>
      </x:c>
      <x:c r="M2533" s="80" t="n">
        <x:v>328.2823585562829</x:v>
      </x:c>
      <x:c r="N2533" s="82" t="n">
        <x:v>0.25120609476186806</x:v>
      </x:c>
      <x:c r="O2533" s="82" t="n">
        <x:v>0.17953107740930424</x:v>
      </x:c>
      <x:c r="P2533" s="80" t="n">
        <x:v>449.5777440540223</x:v>
      </x:c>
      <x:c r="Q2533" s="81" t="n">
        <x:v>0.017166973139162354</x:v>
      </x:c>
      <x:c r="R2533" s="81" t="n">
        <x:v>15.121390280458268</x:v>
      </x:c>
      <x:c r="S2533" s="81" t="n">
        <x:v>0.056798586354743996</x:v>
      </x:c>
      <x:c r="T2533" s="81" t="n">
        <x:v>0.03028049084645985</x:v>
      </x:c>
    </x:row>
    <x:row r="2534">
      <x:c r="A2534" s="59" t="n">
        <x:v>2531</x:v>
      </x:c>
      <x:c r="B2534" s="193" t="n">
        <x:v>0.2726500689983368</x:v>
      </x:c>
      <x:c r="C2534" s="83" t="n">
        <x:v>0.2572943706298694</x:v>
      </x:c>
      <x:c r="D2534" s="83" t="n">
        <x:v>0.6555274933767068</x:v>
      </x:c>
      <x:c r="E2534" s="81" t="n">
        <x:v>-0.020009773463715585</x:v>
      </x:c>
      <x:c r="F2534" s="81" t="n">
        <x:v>0.3839349875226617</x:v>
      </x:c>
      <x:c r="G2534" s="81" t="n">
        <x:v>-0.021401735323693556</x:v>
      </x:c>
      <x:c r="H2534" s="59" t="n">
        <x:v>0</x:v>
      </x:c>
      <x:c r="I2534" s="81" t="n">
        <x:v>0</x:v>
      </x:c>
      <x:c r="J2534" s="79" t="n">
        <x:v>1.0967496371531496e-11</x:v>
      </x:c>
      <x:c r="K2534" s="81" t="n">
        <x:v>-0.9999999874657184</x:v>
      </x:c>
      <x:c r="L2534" s="81" t="n">
        <x:v>-0.9999999874657184</x:v>
      </x:c>
      <x:c r="M2534" s="80" t="n">
        <x:v>0.7230892508073343</x:v>
      </x:c>
      <x:c r="N2534" s="82" t="n">
        <x:v>0.1670441086241977</x:v>
      </x:c>
      <x:c r="O2534" s="82" t="n">
        <x:v>0.06058425836156691</x:v>
      </x:c>
      <x:c r="P2534" s="80" t="n">
        <x:v>709.9877408288366</x:v>
      </x:c>
      <x:c r="Q2534" s="81" t="n">
        <x:v>3.388437896083715</x:v>
      </x:c>
      <x:c r="R2534" s="81" t="n">
        <x:v>29.73680925448157</x:v>
      </x:c>
      <x:c r="S2534" s="81" t="n">
        <x:v>0.00013023943030976632</x:v>
      </x:c>
      <x:c r="T2534" s="81" t="n">
        <x:v>2.3757991585578703e-7</x:v>
      </x:c>
    </x:row>
    <x:row r="2535">
      <x:c r="A2535" s="59" t="n">
        <x:v>2532</x:v>
      </x:c>
      <x:c r="B2535" s="193" t="n">
        <x:v>0.5711068557575345</x:v>
      </x:c>
      <x:c r="C2535" s="83" t="n">
        <x:v>0.1695973892214535</x:v>
      </x:c>
      <x:c r="D2535" s="83" t="n">
        <x:v>1.8729814295032186</x:v>
      </x:c>
      <x:c r="E2535" s="81" t="n">
        <x:v>0.10975510494224076</x:v>
      </x:c>
      <x:c r="F2535" s="81" t="n">
        <x:v>0.8791905790101737</x:v>
      </x:c>
      <x:c r="G2535" s="81" t="n">
        <x:v>0.008638832667062578</x:v>
      </x:c>
      <x:c r="H2535" s="59" t="n">
        <x:v>16</x:v>
      </x:c>
      <x:c r="I2535" s="81" t="n">
        <x:v>0.41576900277286766</x:v>
      </x:c>
      <x:c r="J2535" s="79" t="n">
        <x:v>0.01267204871642287</x:v>
      </x:c>
      <x:c r="K2535" s="81" t="n">
        <x:v>13.482341390197568</x:v>
      </x:c>
      <x:c r="L2535" s="81" t="n">
        <x:v>-0.9594690447528974</x:v>
      </x:c>
      <x:c r="M2535" s="80" t="n">
        <x:v>42880.89044611459</x:v>
      </x:c>
      <x:c r="N2535" s="82" t="n">
        <x:v>0.2381421112949901</x:v>
      </x:c>
      <x:c r="O2535" s="82" t="n">
        <x:v>0.19778354976489326</x:v>
      </x:c>
      <x:c r="P2535" s="80" t="n">
        <x:v>104754.45241672308</x:v>
      </x:c>
      <x:c r="Q2535" s="81" t="n">
        <x:v>0.005558115202582383</x:v>
      </x:c>
      <x:c r="R2535" s="81" t="n">
        <x:v>1119.3320426646724</x:v>
      </x:c>
      <x:c r="S2535" s="81" t="n">
        <x:v>1423.0787738426595</x:v>
      </x:c>
      <x:c r="T2535" s="81" t="n">
        <x:v>274.50424105750386</x:v>
      </x:c>
    </x:row>
    <x:row r="2536">
      <x:c r="A2536" s="59" t="n">
        <x:v>2533</x:v>
      </x:c>
      <x:c r="B2536" s="193" t="n">
        <x:v>0.705868292041123</x:v>
      </x:c>
      <x:c r="C2536" s="83" t="n">
        <x:v>0.3808707605453327</x:v>
      </x:c>
      <x:c r="D2536" s="83" t="n">
        <x:v>0.9357914827663268</x:v>
      </x:c>
      <x:c r="E2536" s="81" t="n">
        <x:v>-0.09112312054889773</x:v>
      </x:c>
      <x:c r="F2536" s="81" t="n">
        <x:v>0.8645148057024926</x:v>
      </x:c>
      <x:c r="G2536" s="81" t="n">
        <x:v>-0.006005172737849562</x:v>
      </x:c>
      <x:c r="H2536" s="59" t="n">
        <x:v>0</x:v>
      </x:c>
      <x:c r="I2536" s="81" t="n">
        <x:v>0</x:v>
      </x:c>
      <x:c r="J2536" s="79" t="n">
        <x:v>1.7636677199569042e-37</x:v>
      </x:c>
      <x:c r="K2536" s="81" t="n">
        <x:v>-1</x:v>
      </x:c>
      <x:c r="L2536" s="81" t="n">
        <x:v>-1</x:v>
      </x:c>
      <x:c r="M2536" s="80" t="n">
        <x:v>0.000002</x:v>
      </x:c>
      <x:c r="N2536" s="82" t="n">
        <x:v>0.2702448121946714</x:v>
      </x:c>
      <x:c r="O2536" s="82" t="n">
        <x:v>0.22069919188646847</x:v>
      </x:c>
      <x:c r="P2536" s="80" t="n">
        <x:v>243.8959619835254</x:v>
      </x:c>
      <x:c r="Q2536" s="81" t="n">
        <x:v>137158652377983760000</x:v>
      </x:c>
      <x:c r="R2536" s="81" t="n">
        <x:v>4.326433491784186</x:v>
      </x:c>
      <x:c r="S2536" s="81" t="n">
        <x:v>5.517008757899139e-10</x:v>
      </x:c>
      <x:c r="T2536" s="81" t="n">
        <x:v>3.820489328745668e-33</x:v>
      </x:c>
    </x:row>
    <x:row r="2537">
      <x:c r="A2537" s="59" t="n">
        <x:v>2534</x:v>
      </x:c>
      <x:c r="B2537" s="193" t="n">
        <x:v>0.8377770971506835</x:v>
      </x:c>
      <x:c r="C2537" s="83" t="n">
        <x:v>0.380920768195643</x:v>
      </x:c>
      <x:c r="D2537" s="83" t="n">
        <x:v>0.794889669021314</x:v>
      </x:c>
      <x:c r="E2537" s="81" t="n">
        <x:v>-0.07685725778041654</x:v>
      </x:c>
      <x:c r="F2537" s="81" t="n">
        <x:v>0.5388537588412874</x:v>
      </x:c>
      <x:c r="G2537" s="81" t="n">
        <x:v>-0.019708772163749774</x:v>
      </x:c>
      <x:c r="H2537" s="59" t="n">
        <x:v>0</x:v>
      </x:c>
      <x:c r="I2537" s="81" t="n">
        <x:v>0</x:v>
      </x:c>
      <x:c r="J2537" s="79" t="n">
        <x:v>1.043543562840569e-29</x:v>
      </x:c>
      <x:c r="K2537" s="81" t="n">
        <x:v>-1</x:v>
      </x:c>
      <x:c r="L2537" s="81" t="n">
        <x:v>-1</x:v>
      </x:c>
      <x:c r="M2537" s="80" t="n">
        <x:v>0.000002</x:v>
      </x:c>
      <x:c r="N2537" s="82" t="n">
        <x:v>0.3016679628618643</x:v>
      </x:c>
      <x:c r="O2537" s="82" t="n">
        <x:v>0.15355750570112964</x:v>
      </x:c>
      <x:c r="P2537" s="80" t="n">
        <x:v>275.05362355033355</x:v>
      </x:c>
      <x:c r="Q2537" s="81" t="n">
        <x:v>2712423335362.5615</x:v>
      </x:c>
      <x:c r="R2537" s="81" t="n">
        <x:v>6.0709417569912825</x:v>
      </x:c>
      <x:c r="S2537" s="81" t="n">
        <x:v>3.9578814342124313e-10</x:v>
      </x:c>
      <x:c r="T2537" s="81" t="n">
        <x:v>2.2605431855446373e-25</x:v>
      </x:c>
    </x:row>
    <x:row r="2538">
      <x:c r="A2538" s="59" t="n">
        <x:v>2535</x:v>
      </x:c>
      <x:c r="B2538" s="193" t="n">
        <x:v>0.8498093258589507</x:v>
      </x:c>
      <x:c r="C2538" s="83" t="n">
        <x:v>0.38202072053217206</x:v>
      </x:c>
      <x:c r="D2538" s="83" t="n">
        <x:v>3</x:v>
      </x:c>
      <x:c r="E2538" s="81" t="n">
        <x:v>-0.037932531083505805</x:v>
      </x:c>
      <x:c r="F2538" s="81" t="n">
        <x:v>0.7740873555536382</x:v>
      </x:c>
      <x:c r="G2538" s="81" t="n">
        <x:v>-0.0034424263406492464</x:v>
      </x:c>
      <x:c r="H2538" s="59" t="n">
        <x:v>0</x:v>
      </x:c>
      <x:c r="I2538" s="81" t="n">
        <x:v>0</x:v>
      </x:c>
      <x:c r="J2538" s="79" t="n">
        <x:v>3.4719628927457115e-45</x:v>
      </x:c>
      <x:c r="K2538" s="81" t="n">
        <x:v>-1</x:v>
      </x:c>
      <x:c r="L2538" s="81" t="n">
        <x:v>-1</x:v>
      </x:c>
      <x:c r="M2538" s="80" t="n">
        <x:v>0.000002</x:v>
      </x:c>
      <x:c r="N2538" s="82" t="n">
        <x:v>0.30453426534446215</x:v>
      </x:c>
      <x:c r="O2538" s="82" t="n">
        <x:v>0.22268813630050874</x:v>
      </x:c>
      <x:c r="P2538" s="80" t="n">
        <x:v>627.7999664872074</x:v>
      </x:c>
      <x:c r="Q2538" s="81" t="n">
        <x:v>1.592124508226904e+28</x:v>
      </x:c>
      <x:c r="R2538" s="81" t="n">
        <x:v>4.050298064756615</x:v>
      </x:c>
      <x:c r="S2538" s="81" t="n">
        <x:v>1.8234335199994714e-9</x:v>
      </x:c>
      <x:c r="T2538" s="81" t="n">
        <x:v>7.521029631284544e-41</x:v>
      </x:c>
    </x:row>
    <x:row r="2539">
      <x:c r="A2539" s="59" t="n">
        <x:v>2536</x:v>
      </x:c>
      <x:c r="B2539" s="193" t="n">
        <x:v>0.4443727757781744</x:v>
      </x:c>
      <x:c r="C2539" s="83" t="n">
        <x:v>0.36659557856010716</x:v>
      </x:c>
      <x:c r="D2539" s="83" t="n">
        <x:v>1.6473291956820502</x:v>
      </x:c>
      <x:c r="E2539" s="81" t="n">
        <x:v>-0.03894998459981294</x:v>
      </x:c>
      <x:c r="F2539" s="81" t="n">
        <x:v>0.5256498665781693</x:v>
      </x:c>
      <x:c r="G2539" s="81" t="n">
        <x:v>-0.03521187286564358</x:v>
      </x:c>
      <x:c r="H2539" s="59" t="n">
        <x:v>0</x:v>
      </x:c>
      <x:c r="I2539" s="81" t="n">
        <x:v>0</x:v>
      </x:c>
      <x:c r="J2539" s="79" t="n">
        <x:v>5.2412425843928e-29</x:v>
      </x:c>
      <x:c r="K2539" s="81" t="n">
        <x:v>-1</x:v>
      </x:c>
      <x:c r="L2539" s="81" t="n">
        <x:v>-1</x:v>
      </x:c>
      <x:c r="M2539" s="80" t="n">
        <x:v>0.000002</x:v>
      </x:c>
      <x:c r="N2539" s="82" t="n">
        <x:v>0.20795167717990706</x:v>
      </x:c>
      <x:c r="O2539" s="82" t="n">
        <x:v>0.10325947859614655</x:v>
      </x:c>
      <x:c r="P2539" s="80" t="n">
        <x:v>556.6801382936546</x:v>
      </x:c>
      <x:c r="Q2539" s="81" t="n">
        <x:v>1028129666454.6016</x:v>
      </x:c>
      <x:c r="R2539" s="81" t="n">
        <x:v>6.8223539386477645</x:v>
      </x:c>
      <x:c r="S2539" s="81" t="n">
        <x:v>6.827052133544204e-10</x:v>
      </x:c>
      <x:c r="T2539" s="81" t="n">
        <x:v>1.1353675715927573e-24</x:v>
      </x:c>
    </x:row>
    <x:row r="2540">
      <x:c r="A2540" s="59" t="n">
        <x:v>2537</x:v>
      </x:c>
      <x:c r="B2540" s="193" t="n">
        <x:v>0.339967580512166</x:v>
      </x:c>
      <x:c r="C2540" s="83" t="n">
        <x:v>1.2326363919463443</x:v>
      </x:c>
      <x:c r="D2540" s="83" t="n">
        <x:v>0.5505593306279016</x:v>
      </x:c>
      <x:c r="E2540" s="81" t="n">
        <x:v>-0.05126394576372631</x:v>
      </x:c>
      <x:c r="F2540" s="81" t="n">
        <x:v>0.3533659870852716</x:v>
      </x:c>
      <x:c r="G2540" s="81" t="n">
        <x:v>0.005842998637643469</x:v>
      </x:c>
      <x:c r="H2540" s="59" t="n">
        <x:v>90</x:v>
      </x:c>
      <x:c r="I2540" s="81" t="n">
        <x:v>0.2838994934223592</x:v>
      </x:c>
      <x:c r="J2540" s="79" t="n">
        <x:v>7.103373149737426e-22</x:v>
      </x:c>
      <x:c r="K2540" s="81" t="n">
        <x:v>-1</x:v>
      </x:c>
      <x:c r="L2540" s="81" t="n">
        <x:v>-1</x:v>
      </x:c>
      <x:c r="M2540" s="80" t="n">
        <x:v>0.000010689847321704144</x:v>
      </x:c>
      <x:c r="N2540" s="82" t="n">
        <x:v>0.18308040207013254</x:v>
      </x:c>
      <x:c r="O2540" s="82" t="n">
        <x:v>0.06111355449440083</x:v>
      </x:c>
      <x:c r="P2540" s="80" t="n">
        <x:v>646.1679270135188</x:v>
      </x:c>
      <x:c r="Q2540" s="81" t="n">
        <x:v>311724.84259237186</x:v>
      </x:c>
      <x:c r="R2540" s="81" t="n">
        <x:v>4.565179856684214</x:v>
      </x:c>
      <x:c r="S2540" s="81" t="n">
        <x:v>1.3137623699380901e-9</x:v>
      </x:c>
      <x:c r="T2540" s="81" t="n">
        <x:v>1.5387457064380285e-17</x:v>
      </x:c>
    </x:row>
    <x:row r="2541">
      <x:c r="A2541" s="59" t="n">
        <x:v>2538</x:v>
      </x:c>
      <x:c r="B2541" s="193" t="n">
        <x:v>0.8770028470084072</x:v>
      </x:c>
      <x:c r="C2541" s="83" t="n">
        <x:v>0.508440430943835</x:v>
      </x:c>
      <x:c r="D2541" s="83" t="n">
        <x:v>1.4561564690792994</x:v>
      </x:c>
      <x:c r="E2541" s="81" t="n">
        <x:v>0.0629007621376007</x:v>
      </x:c>
      <x:c r="F2541" s="81" t="n">
        <x:v>0.6302961983019486</x:v>
      </x:c>
      <x:c r="G2541" s="81" t="n">
        <x:v>0.013785473184503676</x:v>
      </x:c>
      <x:c r="H2541" s="59" t="n">
        <x:v>21</x:v>
      </x:c>
      <x:c r="I2541" s="81" t="n">
        <x:v>0.45694594653323295</x:v>
      </x:c>
      <x:c r="J2541" s="79" t="n">
        <x:v>0.004249155404675706</x:v>
      </x:c>
      <x:c r="K2541" s="81" t="n">
        <x:v>3.8561776053436647</x:v>
      </x:c>
      <x:c r="L2541" s="81" t="n">
        <x:v>-0.8966003708690006</x:v>
      </x:c>
      <x:c r="M2541" s="80" t="n">
        <x:v>23813.967640689087</x:v>
      </x:c>
      <x:c r="N2541" s="82" t="n">
        <x:v>0.31101227196078396</x:v>
      </x:c>
      <x:c r="O2541" s="82" t="n">
        <x:v>0.1851796058162147</x:v>
      </x:c>
      <x:c r="P2541" s="80" t="n">
        <x:v>56575.006477277355</x:v>
      </x:c>
      <x:c r="Q2541" s="81" t="n">
        <x:v>0.007618464192032193</x:v>
      </x:c>
      <x:c r="R2541" s="81" t="n">
        <x:v>167.06252946964887</x:v>
      </x:c>
      <x:c r="S2541" s="81" t="n">
        <x:v>167.63904824991914</x:v>
      </x:c>
      <x:c r="T2541" s="81" t="n">
        <x:v>92.04598290284632</x:v>
      </x:c>
    </x:row>
    <x:row r="2542">
      <x:c r="A2542" s="59" t="n">
        <x:v>2539</x:v>
      </x:c>
      <x:c r="B2542" s="193" t="n">
        <x:v>0.953714026324451</x:v>
      </x:c>
      <x:c r="C2542" s="83" t="n">
        <x:v>0.8736083984256161</x:v>
      </x:c>
      <x:c r="D2542" s="83" t="n">
        <x:v>0.27976047959642913</x:v>
      </x:c>
      <x:c r="E2542" s="81" t="n">
        <x:v>-0.2</x:v>
      </x:c>
      <x:c r="F2542" s="81" t="n">
        <x:v>0.262943118752446</x:v>
      </x:c>
      <x:c r="G2542" s="81" t="n">
        <x:v>0.008398004068109019</x:v>
      </x:c>
      <x:c r="H2542" s="59" t="n">
        <x:v>0</x:v>
      </x:c>
      <x:c r="I2542" s="81" t="n">
        <x:v>0</x:v>
      </x:c>
      <x:c r="J2542" s="79" t="n">
        <x:v>4.221498877075718e-31</x:v>
      </x:c>
      <x:c r="K2542" s="81" t="n">
        <x:v>-1</x:v>
      </x:c>
      <x:c r="L2542" s="81" t="n">
        <x:v>-1</x:v>
      </x:c>
      <x:c r="M2542" s="80" t="n">
        <x:v>0.000002</x:v>
      </x:c>
      <x:c r="N2542" s="82" t="n">
        <x:v>0.32928631320847795</x:v>
      </x:c>
      <x:c r="O2542" s="82" t="n">
        <x:v>0.08179117198645562</x:v>
      </x:c>
      <x:c r="P2542" s="80" t="n">
        <x:v>151.39763061723718</x:v>
      </x:c>
      <x:c r="Q2542" s="81" t="n">
        <x:v>28713053050978.492</x:v>
      </x:c>
      <x:c r="R2542" s="81" t="n">
        <x:v>3.111010350881135</x:v>
      </x:c>
      <x:c r="S2542" s="81" t="n">
        <x:v>1.4481071702086386e-10</x:v>
      </x:c>
      <x:c r="T2542" s="81" t="n">
        <x:v>9.144688213476911e-27</x:v>
      </x:c>
    </x:row>
    <x:row r="2543">
      <x:c r="A2543" s="59" t="n">
        <x:v>2540</x:v>
      </x:c>
      <x:c r="B2543" s="193" t="n">
        <x:v>0.5737956745550037</x:v>
      </x:c>
      <x:c r="C2543" s="83" t="n">
        <x:v>0.3309692979846383</x:v>
      </x:c>
      <x:c r="D2543" s="83" t="n">
        <x:v>0.7207200708696939</x:v>
      </x:c>
      <x:c r="E2543" s="81" t="n">
        <x:v>0.002895198892857724</x:v>
      </x:c>
      <x:c r="F2543" s="81" t="n">
        <x:v>0.7546243496704846</x:v>
      </x:c>
      <x:c r="G2543" s="81" t="n">
        <x:v>-0.010749307568549183</x:v>
      </x:c>
      <x:c r="H2543" s="59" t="n">
        <x:v>0</x:v>
      </x:c>
      <x:c r="I2543" s="81" t="n">
        <x:v>0</x:v>
      </x:c>
      <x:c r="J2543" s="79" t="n">
        <x:v>0.0000014632722718477545</x:v>
      </x:c>
      <x:c r="K2543" s="81" t="n">
        <x:v>-0.998327688832174</x:v>
      </x:c>
      <x:c r="L2543" s="81" t="n">
        <x:v>-0.998327688832174</x:v>
      </x:c>
      <x:c r="M2543" s="80" t="n">
        <x:v>277.08069711942824</x:v>
      </x:c>
      <x:c r="N2543" s="82" t="n">
        <x:v>0.23878263834789978</x:v>
      </x:c>
      <x:c r="O2543" s="82" t="n">
        <x:v>0.17021761570559937</x:v>
      </x:c>
      <x:c r="P2543" s="80" t="n">
        <x:v>1385.6829096247038</x:v>
      </x:c>
      <x:c r="Q2543" s="81" t="n">
        <x:v>0.05595076997477385</x:v>
      </x:c>
      <x:c r="R2543" s="81" t="n">
        <x:v>27.23942110057577</x:v>
      </x:c>
      <x:c r="S2543" s="81" t="n">
        <x:v>0.13999457101356752</x:v>
      </x:c>
      <x:c r="T2543" s="81" t="n">
        <x:v>0.031697672052309146</x:v>
      </x:c>
    </x:row>
    <x:row r="2544">
      <x:c r="A2544" s="59" t="n">
        <x:v>2541</x:v>
      </x:c>
      <x:c r="B2544" s="193" t="n">
        <x:v>0.408663140796125</x:v>
      </x:c>
      <x:c r="C2544" s="83" t="n">
        <x:v>0.6564553627392797</x:v>
      </x:c>
      <x:c r="D2544" s="83" t="n">
        <x:v>1.6583623791892006</x:v>
      </x:c>
      <x:c r="E2544" s="81" t="n">
        <x:v>-0.05929747012699947</x:v>
      </x:c>
      <x:c r="F2544" s="81" t="n">
        <x:v>0.27951202262192965</x:v>
      </x:c>
      <x:c r="G2544" s="81" t="n">
        <x:v>-0.00776612755249234</x:v>
      </x:c>
      <x:c r="H2544" s="59" t="n">
        <x:v>0</x:v>
      </x:c>
      <x:c r="I2544" s="81" t="n">
        <x:v>0</x:v>
      </x:c>
      <x:c r="J2544" s="79" t="n">
        <x:v>1.4110700392181803e-40</x:v>
      </x:c>
      <x:c r="K2544" s="81" t="n">
        <x:v>-1</x:v>
      </x:c>
      <x:c r="L2544" s="81" t="n">
        <x:v>-1</x:v>
      </x:c>
      <x:c r="M2544" s="80" t="n">
        <x:v>0.000002</x:v>
      </x:c>
      <x:c r="N2544" s="82" t="n">
        <x:v>0.1994449725715271</x:v>
      </x:c>
      <x:c r="O2544" s="82" t="n">
        <x:v>0.05266165798803142</x:v>
      </x:c>
      <x:c r="P2544" s="80" t="n">
        <x:v>496.35941280573167</x:v>
      </x:c>
      <x:c r="Q2544" s="81" t="n">
        <x:v>2.5575727758990274e+23</x:v>
      </x:c>
      <x:c r="R2544" s="81" t="n">
        <x:v>2.9594802415444588</x:v>
      </x:c>
      <x:c r="S2544" s="81" t="n">
        <x:v>7.976420944953054e-10</x:v>
      </x:c>
      <x:c r="T2544" s="81" t="n">
        <x:v>3.056685772463715e-36</x:v>
      </x:c>
    </x:row>
    <x:row r="2545">
      <x:c r="A2545" s="59" t="n">
        <x:v>2542</x:v>
      </x:c>
      <x:c r="B2545" s="193" t="n">
        <x:v>0.26493646241724494</x:v>
      </x:c>
      <x:c r="C2545" s="83" t="n">
        <x:v>1.5706785628506714</x:v>
      </x:c>
      <x:c r="D2545" s="83" t="n">
        <x:v>0.7795270495034877</x:v>
      </x:c>
      <x:c r="E2545" s="81" t="n">
        <x:v>-0.17172251399451624</x:v>
      </x:c>
      <x:c r="F2545" s="81" t="n">
        <x:v>0.34961539102951067</x:v>
      </x:c>
      <x:c r="G2545" s="81" t="n">
        <x:v>-0.04280293754989113</x:v>
      </x:c>
      <x:c r="H2545" s="59" t="n">
        <x:v>0</x:v>
      </x:c>
      <x:c r="I2545" s="81" t="n">
        <x:v>0</x:v>
      </x:c>
      <x:c r="J2545" s="79" t="n">
        <x:v>2.5460543257039194e-43</x:v>
      </x:c>
      <x:c r="K2545" s="81" t="n">
        <x:v>-1</x:v>
      </x:c>
      <x:c r="L2545" s="81" t="n">
        <x:v>-1</x:v>
      </x:c>
      <x:c r="M2545" s="80" t="n">
        <x:v>0.000002</x:v>
      </x:c>
      <x:c r="N2545" s="82" t="n">
        <x:v>0.16520658290645818</x:v>
      </x:c>
      <x:c r="O2545" s="82" t="n">
        <x:v>0.054561818117255585</x:v>
      </x:c>
      <x:c r="P2545" s="80" t="n">
        <x:v>284.4774501266456</x:v>
      </x:c>
      <x:c r="Q2545" s="81" t="n">
        <x:v>5.4140800390948055e+25</x:v>
      </x:c>
      <x:c r="R2545" s="81" t="n">
        <x:v>0.9467232240462202</x:v>
      </x:c>
      <x:c r="S2545" s="81" t="n">
        <x:v>1.5600458592803508e-10</x:v>
      </x:c>
      <x:c r="T2545" s="81" t="n">
        <x:v>5.515309528937942e-39</x:v>
      </x:c>
    </x:row>
    <x:row r="2546">
      <x:c r="A2546" s="59" t="n">
        <x:v>2543</x:v>
      </x:c>
      <x:c r="B2546" s="193" t="n">
        <x:v>0.794879398867488</x:v>
      </x:c>
      <x:c r="C2546" s="83" t="n">
        <x:v>0.6103776732956093</x:v>
      </x:c>
      <x:c r="D2546" s="83" t="n">
        <x:v>1.3142502327930492</x:v>
      </x:c>
      <x:c r="E2546" s="81" t="n">
        <x:v>0.06085304163121305</x:v>
      </x:c>
      <x:c r="F2546" s="81" t="n">
        <x:v>0.6091006484930404</x:v>
      </x:c>
      <x:c r="G2546" s="81" t="n">
        <x:v>-0.0009056914471127612</x:v>
      </x:c>
      <x:c r="H2546" s="59" t="n">
        <x:v>0</x:v>
      </x:c>
      <x:c r="I2546" s="81" t="n">
        <x:v>0</x:v>
      </x:c>
      <x:c r="J2546" s="79" t="n">
        <x:v>0.0030805370043028874</x:v>
      </x:c>
      <x:c r="K2546" s="81" t="n">
        <x:v>2.5206137192033005</x:v>
      </x:c>
      <x:c r="L2546" s="81" t="n">
        <x:v>-0.7753076727867917</x:v>
      </x:c>
      <x:c r="M2546" s="80" t="n">
        <x:v>20350.252906299793</x:v>
      </x:c>
      <x:c r="N2546" s="82" t="n">
        <x:v>0.29144892679896445</x:v>
      </x:c>
      <x:c r="O2546" s="82" t="n">
        <x:v>0.16769590753972624</x:v>
      </x:c>
      <x:c r="P2546" s="80" t="n">
        <x:v>45759.24976116253</x:v>
      </x:c>
      <x:c r="Q2546" s="81" t="n">
        <x:v>0.0067856459427875415</x:v>
      </x:c>
      <x:c r="R2546" s="81" t="n">
        <x:v>180.14950114251062</x:v>
      </x:c>
      <x:c r="S2546" s="81" t="n">
        <x:v>101.26266187557648</x:v>
      </x:c>
      <x:c r="T2546" s="81" t="n">
        <x:v>66.7311570006674</x:v>
      </x:c>
    </x:row>
    <x:row r="2547">
      <x:c r="A2547" s="59" t="n">
        <x:v>2544</x:v>
      </x:c>
      <x:c r="B2547" s="193" t="n">
        <x:v>0.48450895063579086</x:v>
      </x:c>
      <x:c r="C2547" s="83" t="n">
        <x:v>0.12455019479172179</x:v>
      </x:c>
      <x:c r="D2547" s="83" t="n">
        <x:v>1.769292053399088</x:v>
      </x:c>
      <x:c r="E2547" s="81" t="n">
        <x:v>-0.036116937830173654</x:v>
      </x:c>
      <x:c r="F2547" s="81" t="n">
        <x:v>0.6750674712122418</x:v>
      </x:c>
      <x:c r="G2547" s="81" t="n">
        <x:v>0.015867676774695885</x:v>
      </x:c>
      <x:c r="H2547" s="59" t="n">
        <x:v>0</x:v>
      </x:c>
      <x:c r="I2547" s="81" t="n">
        <x:v>0</x:v>
      </x:c>
      <x:c r="J2547" s="79" t="n">
        <x:v>3.5607288043627355e-34</x:v>
      </x:c>
      <x:c r="K2547" s="81" t="n">
        <x:v>-1</x:v>
      </x:c>
      <x:c r="L2547" s="81" t="n">
        <x:v>-1</x:v>
      </x:c>
      <x:c r="M2547" s="80" t="n">
        <x:v>0.000002</x:v>
      </x:c>
      <x:c r="N2547" s="82" t="n">
        <x:v>0.2175128665842696</x:v>
      </x:c>
      <x:c r="O2547" s="82" t="n">
        <x:v>0.13870850003894072</x:v>
      </x:c>
      <x:c r="P2547" s="80" t="n">
        <x:v>475.09695459346995</x:v>
      </x:c>
      <x:c r="Q2547" s="81" t="n">
        <x:v>162762276306408420</x:v>
      </x:c>
      <x:c r="R2547" s="81" t="n">
        <x:v>17.115901689830494</x:v>
      </x:c>
      <x:c r="S2547" s="81" t="n">
        <x:v>1.669206302373943e-9</x:v>
      </x:c>
      <x:c r="T2547" s="81" t="n">
        <x:v>7.713315975391082e-30</x:v>
      </x:c>
    </x:row>
    <x:row r="2548">
      <x:c r="A2548" s="59" t="n">
        <x:v>2545</x:v>
      </x:c>
      <x:c r="B2548" s="193" t="n">
        <x:v>0.43524212222546343</x:v>
      </x:c>
      <x:c r="C2548" s="83" t="n">
        <x:v>0.8170298582709675</x:v>
      </x:c>
      <x:c r="D2548" s="83" t="n">
        <x:v>0.5316093333126138</x:v>
      </x:c>
      <x:c r="E2548" s="81" t="n">
        <x:v>-0.08653968764871653</x:v>
      </x:c>
      <x:c r="F2548" s="81" t="n">
        <x:v>0.6900294031831435</x:v>
      </x:c>
      <x:c r="G2548" s="81" t="n">
        <x:v>0.022690801762176825</x:v>
      </x:c>
      <x:c r="H2548" s="59" t="n">
        <x:v>0</x:v>
      </x:c>
      <x:c r="I2548" s="81" t="n">
        <x:v>0</x:v>
      </x:c>
      <x:c r="J2548" s="79" t="n">
        <x:v>1.9162570433148775e-29</x:v>
      </x:c>
      <x:c r="K2548" s="81" t="n">
        <x:v>-1</x:v>
      </x:c>
      <x:c r="L2548" s="81" t="n">
        <x:v>-1</x:v>
      </x:c>
      <x:c r="M2548" s="80" t="n">
        <x:v>0.000002</x:v>
      </x:c>
      <x:c r="N2548" s="82" t="n">
        <x:v>0.20577658430389711</x:v>
      </x:c>
      <x:c r="O2548" s="82" t="n">
        <x:v>0.134132646339178</x:v>
      </x:c>
      <x:c r="P2548" s="80" t="n">
        <x:v>315.12562108516903</x:v>
      </x:c>
      <x:c r="Q2548" s="81" t="n">
        <x:v>1323644342839.8508</x:v>
      </x:c>
      <x:c r="R2548" s="81" t="n">
        <x:v>3.9353929900167057</x:v>
      </x:c>
      <x:c r="S2548" s="81" t="n">
        <x:v>3.367370446071474e-10</x:v>
      </x:c>
      <x:c r="T2548" s="81" t="n">
        <x:v>4.151031116732752e-25</x:v>
      </x:c>
    </x:row>
    <x:row r="2549">
      <x:c r="A2549" s="59" t="n">
        <x:v>2546</x:v>
      </x:c>
      <x:c r="B2549" s="193" t="n">
        <x:v>0.3460083229467273</x:v>
      </x:c>
      <x:c r="C2549" s="83" t="n">
        <x:v>0.5587387007392005</x:v>
      </x:c>
      <x:c r="D2549" s="83" t="n">
        <x:v>0.480560552974254</x:v>
      </x:c>
      <x:c r="E2549" s="81" t="n">
        <x:v>-0.015039204607824168</x:v>
      </x:c>
      <x:c r="F2549" s="81" t="n">
        <x:v>0.8474833356100134</x:v>
      </x:c>
      <x:c r="G2549" s="81" t="n">
        <x:v>-0.010079830163150075</x:v>
      </x:c>
      <x:c r="H2549" s="59" t="n">
        <x:v>0</x:v>
      </x:c>
      <x:c r="I2549" s="81" t="n">
        <x:v>0</x:v>
      </x:c>
      <x:c r="J2549" s="79" t="n">
        <x:v>1.2033846364953946e-9</x:v>
      </x:c>
      <x:c r="K2549" s="81" t="n">
        <x:v>-0.9999986247032726</x:v>
      </x:c>
      <x:c r="L2549" s="81" t="n">
        <x:v>-0.9999986247032726</x:v>
      </x:c>
      <x:c r="M2549" s="80" t="n">
        <x:v>9.32535570073539</x:v>
      </x:c>
      <x:c r="N2549" s="82" t="n">
        <x:v>0.1845194201819657</x:v>
      </x:c>
      <x:c r="O2549" s="82" t="n">
        <x:v>0.1477216637519908</x:v>
      </x:c>
      <x:c r="P2549" s="80" t="n">
        <x:v>706.3967954427598</x:v>
      </x:c>
      <x:c r="Q2549" s="81" t="n">
        <x:v>0.5082302873730976</x:v>
      </x:c>
      <x:c r="R2549" s="81" t="n">
        <x:v>13.86286662005212</x:v>
      </x:c>
      <x:c r="S2549" s="81" t="n">
        <x:v>0.001167548515063098</x:v>
      </x:c>
      <x:c r="T2549" s="81" t="n">
        <x:v>0.00002606793847890736</x:v>
      </x:c>
    </x:row>
    <x:row r="2550">
      <x:c r="A2550" s="59" t="n">
        <x:v>2547</x:v>
      </x:c>
      <x:c r="B2550" s="193" t="n">
        <x:v>0.767471481487155</x:v>
      </x:c>
      <x:c r="C2550" s="83" t="n">
        <x:v>1.2649929944810823</x:v>
      </x:c>
      <x:c r="D2550" s="83" t="n">
        <x:v>2.4643792105715883</x:v>
      </x:c>
      <x:c r="E2550" s="81" t="n">
        <x:v>-0.12382957264017869</x:v>
      </x:c>
      <x:c r="F2550" s="81" t="n">
        <x:v>0.4919776250724681</x:v>
      </x:c>
      <x:c r="G2550" s="81" t="n">
        <x:v>-0.020617294570327193</x:v>
      </x:c>
      <x:c r="H2550" s="59" t="n">
        <x:v>67</x:v>
      </x:c>
      <x:c r="I2550" s="81" t="n">
        <x:v>0.3647502251900733</x:v>
      </x:c>
      <x:c r="J2550" s="79" t="n">
        <x:v>1.3132020752158229e-81</x:v>
      </x:c>
      <x:c r="K2550" s="81" t="n">
        <x:v>-1</x:v>
      </x:c>
      <x:c r="L2550" s="81" t="n">
        <x:v>-1</x:v>
      </x:c>
      <x:c r="M2550" s="80" t="n">
        <x:v>0.000002</x:v>
      </x:c>
      <x:c r="N2550" s="82" t="n">
        <x:v>0.2849198469805181</x:v>
      </x:c>
      <x:c r="O2550" s="82" t="n">
        <x:v>0.13241555220177076</x:v>
      </x:c>
      <x:c r="P2550" s="80" t="n">
        <x:v>441.10788121592265</x:v>
      </x:c>
      <x:c r="Q2550" s="81" t="n">
        <x:v>1.3961732813159912e+64</x:v>
      </x:c>
      <x:c r="R2550" s="81" t="n">
        <x:v>0.7919894895248096</x:v>
      </x:c>
      <x:c r="S2550" s="81" t="n">
        <x:v>7.397177153803701e-10</x:v>
      </x:c>
      <x:c r="T2550" s="81" t="n">
        <x:v>2.8446823957130148e-77</x:v>
      </x:c>
    </x:row>
    <x:row r="2551">
      <x:c r="A2551" s="59" t="n">
        <x:v>2548</x:v>
      </x:c>
      <x:c r="B2551" s="193" t="n">
        <x:v>0.6778055069968105</x:v>
      </x:c>
      <x:c r="C2551" s="83" t="n">
        <x:v>0.951064061944907</x:v>
      </x:c>
      <x:c r="D2551" s="83" t="n">
        <x:v>0.5796232817147101</x:v>
      </x:c>
      <x:c r="E2551" s="81" t="n">
        <x:v>0.02547143036233448</x:v>
      </x:c>
      <x:c r="F2551" s="81" t="n">
        <x:v>0.34359168029623105</x:v>
      </x:c>
      <x:c r="G2551" s="81" t="n">
        <x:v>0.026104108341183204</x:v>
      </x:c>
      <x:c r="H2551" s="59" t="n">
        <x:v>16</x:v>
      </x:c>
      <x:c r="I2551" s="81" t="n">
        <x:v>0.3113172551617026</x:v>
      </x:c>
      <x:c r="J2551" s="79" t="n">
        <x:v>0.0008383539719365664</x:v>
      </x:c>
      <x:c r="K2551" s="81" t="n">
        <x:v>-0.041881174929638276</x:v>
      </x:c>
      <x:c r="L2551" s="81" t="n">
        <x:v>-0.6656905037611716</x:v>
      </x:c>
      <x:c r="M2551" s="80" t="n">
        <x:v>10272.079940661819</x:v>
      </x:c>
      <x:c r="N2551" s="82" t="n">
        <x:v>0.26355973061989635</x:v>
      </x:c>
      <x:c r="O2551" s="82" t="n">
        <x:v>0.08554460713673505</x:v>
      </x:c>
      <x:c r="P2551" s="80" t="n">
        <x:v>12681.532968729935</x:v>
      </x:c>
      <x:c r="Q2551" s="81" t="n">
        <x:v>0.007340871611893481</x:v>
      </x:c>
      <x:c r="R2551" s="81" t="n">
        <x:v>21.76228070046648</x:v>
      </x:c>
      <x:c r="S2551" s="81" t="n">
        <x:v>18.235423181401803</x:v>
      </x:c>
      <x:c r="T2551" s="81" t="n">
        <x:v>18.160577342615653</x:v>
      </x:c>
    </x:row>
    <x:row r="2552">
      <x:c r="A2552" s="59" t="n">
        <x:v>2549</x:v>
      </x:c>
      <x:c r="B2552" s="193" t="n">
        <x:v>0.631923670321703</x:v>
      </x:c>
      <x:c r="C2552" s="83" t="n">
        <x:v>0.15249802122634654</x:v>
      </x:c>
      <x:c r="D2552" s="83" t="n">
        <x:v>0.5160181754368264</x:v>
      </x:c>
      <x:c r="E2552" s="81" t="n">
        <x:v>0.037938252269649184</x:v>
      </x:c>
      <x:c r="F2552" s="81" t="n">
        <x:v>0.3119679990806617</x:v>
      </x:c>
      <x:c r="G2552" s="81" t="n">
        <x:v>0.017016722029797603</x:v>
      </x:c>
      <x:c r="H2552" s="59" t="n">
        <x:v>0</x:v>
      </x:c>
      <x:c r="I2552" s="81" t="n">
        <x:v>0</x:v>
      </x:c>
      <x:c r="J2552" s="79" t="n">
        <x:v>0.0005732682219757858</x:v>
      </x:c>
      <x:c r="K2552" s="81" t="n">
        <x:v>-0.344836317741959</x:v>
      </x:c>
      <x:c r="L2552" s="81" t="n">
        <x:v>-0.751935862826768</x:v>
      </x:c>
      <x:c r="M2552" s="80" t="n">
        <x:v>5111.143388875451</x:v>
      </x:c>
      <x:c r="N2552" s="82" t="n">
        <x:v>0.25262981683944824</x:v>
      </x:c>
      <x:c r="O2552" s="82" t="n">
        <x:v>0.07445015332374136</x:v>
      </x:c>
      <x:c r="P2552" s="80" t="n">
        <x:v>5766.6395940296425</x:v>
      </x:c>
      <x:c r="Q2552" s="81" t="n">
        <x:v>0.0042240081907878166</x:v>
      </x:c>
      <x:c r="R2552" s="81" t="n">
        <x:v>170.71252911051636</x:v>
      </x:c>
      <x:c r="S2552" s="81" t="n">
        <x:v>71.07092569741293</x:v>
      </x:c>
      <x:c r="T2552" s="81" t="n">
        <x:v>12.418241258171973</x:v>
      </x:c>
    </x:row>
    <x:row r="2553">
      <x:c r="A2553" s="59" t="n">
        <x:v>2550</x:v>
      </x:c>
      <x:c r="B2553" s="193" t="n">
        <x:v>0.5396478231996298</x:v>
      </x:c>
      <x:c r="C2553" s="83" t="n">
        <x:v>0.5057034502257461</x:v>
      </x:c>
      <x:c r="D2553" s="83" t="n">
        <x:v>1.7270069604539797</x:v>
      </x:c>
      <x:c r="E2553" s="81" t="n">
        <x:v>0.10961669428397879</x:v>
      </x:c>
      <x:c r="F2553" s="81" t="n">
        <x:v>0.3984630482271314</x:v>
      </x:c>
      <x:c r="G2553" s="81" t="n">
        <x:v>0.04851367968054096</x:v>
      </x:c>
      <x:c r="H2553" s="59" t="n">
        <x:v>0</x:v>
      </x:c>
      <x:c r="I2553" s="81" t="n">
        <x:v>0</x:v>
      </x:c>
      <x:c r="J2553" s="79" t="n">
        <x:v>0.20861457266957417</x:v>
      </x:c>
      <x:c r="K2553" s="81" t="n">
        <x:v>237.41665447951337</x:v>
      </x:c>
      <x:c r="L2553" s="81" t="n">
        <x:v>-0.7724585365604338</x:v>
      </x:c>
      <x:c r="M2553" s="80" t="n">
        <x:v>241192.39268480832</x:v>
      </x:c>
      <x:c r="N2553" s="82" t="n">
        <x:v>0.2306479798828366</x:v>
      </x:c>
      <x:c r="O2553" s="82" t="n">
        <x:v>0.08681777473223568</x:v>
      </x:c>
      <x:c r="P2553" s="80" t="n">
        <x:v>604283.9649527168</x:v>
      </x:c>
      <x:c r="Q2553" s="81" t="n">
        <x:v>0.002591844775739175</x:v>
      </x:c>
      <x:c r="R2553" s="81" t="n">
        <x:v>2802.9374301825287</x:v>
      </x:c>
      <x:c r="S2553" s="81" t="n">
        <x:v>7887.794723859787</x:v>
      </x:c>
      <x:c r="T2553" s="81" t="n">
        <x:v>4519.047095358875</x:v>
      </x:c>
    </x:row>
    <x:row r="2554">
      <x:c r="A2554" s="59" t="n">
        <x:v>2551</x:v>
      </x:c>
      <x:c r="B2554" s="193" t="n">
        <x:v>0.8224336024373771</x:v>
      </x:c>
      <x:c r="C2554" s="83" t="n">
        <x:v>0.20465560367358968</x:v>
      </x:c>
      <x:c r="D2554" s="83" t="n">
        <x:v>0.3640648865928964</x:v>
      </x:c>
      <x:c r="E2554" s="81" t="n">
        <x:v>0.04052338943639832</x:v>
      </x:c>
      <x:c r="F2554" s="81" t="n">
        <x:v>0.5397552073467523</x:v>
      </x:c>
      <x:c r="G2554" s="81" t="n">
        <x:v>-0.0012269484238763807</x:v>
      </x:c>
      <x:c r="H2554" s="59" t="n">
        <x:v>79</x:v>
      </x:c>
      <x:c r="I2554" s="81" t="n">
        <x:v>0.17394117182120683</x:v>
      </x:c>
      <x:c r="J2554" s="79" t="n">
        <x:v>0.00005481919862436085</x:v>
      </x:c>
      <x:c r="K2554" s="81" t="n">
        <x:v>-0.9373494872864447</x:v>
      </x:c>
      <x:c r="L2554" s="81" t="n">
        <x:v>-0.9504965217570988</x:v>
      </x:c>
      <x:c r="M2554" s="80" t="n">
        <x:v>1610.610102693874</x:v>
      </x:c>
      <x:c r="N2554" s="82" t="n">
        <x:v>0.2980128547306289</x:v>
      </x:c>
      <x:c r="O2554" s="82" t="n">
        <x:v>0.15195072636741444</x:v>
      </x:c>
      <x:c r="P2554" s="80" t="n">
        <x:v>1554.5986171577538</x:v>
      </x:c>
      <x:c r="Q2554" s="81" t="n">
        <x:v>0.007614413690970112</x:v>
      </x:c>
      <x:c r="R2554" s="81" t="n">
        <x:v>65.6237810750117</x:v>
      </x:c>
      <x:c r="S2554" s="81" t="n">
        <x:v>5.191463048966818</x:v>
      </x:c>
      <x:c r="T2554" s="81" t="n">
        <x:v>1.187503524529425</x:v>
      </x:c>
    </x:row>
    <x:row r="2555">
      <x:c r="A2555" s="59" t="n">
        <x:v>2552</x:v>
      </x:c>
      <x:c r="B2555" s="193" t="n">
        <x:v>0.37765249852091076</x:v>
      </x:c>
      <x:c r="C2555" s="83" t="n">
        <x:v>2.3457189962016307</x:v>
      </x:c>
      <x:c r="D2555" s="83" t="n">
        <x:v>0.1045371854405245</x:v>
      </x:c>
      <x:c r="E2555" s="81" t="n">
        <x:v>0.0633999044516525</x:v>
      </x:c>
      <x:c r="F2555" s="81" t="n">
        <x:v>0.77608116439078</x:v>
      </x:c>
      <x:c r="G2555" s="81" t="n">
        <x:v>-0.01499670457371277</x:v>
      </x:c>
      <x:c r="H2555" s="59" t="n">
        <x:v>0</x:v>
      </x:c>
      <x:c r="I2555" s="81" t="n">
        <x:v>0</x:v>
      </x:c>
      <x:c r="J2555" s="79" t="n">
        <x:v>0.00007242958022403223</x:v>
      </x:c>
      <x:c r="K2555" s="81" t="n">
        <x:v>-0.9172233368868203</x:v>
      </x:c>
      <x:c r="L2555" s="81" t="n">
        <x:v>-0.918613308524311</x:v>
      </x:c>
      <x:c r="M2555" s="80" t="n">
        <x:v>4958.432251013314</x:v>
      </x:c>
      <x:c r="N2555" s="82" t="n">
        <x:v>0.19205765613202813</x:v>
      </x:c>
      <x:c r="O2555" s="82" t="n">
        <x:v>0.1408022871642627</x:v>
      </x:c>
      <x:c r="P2555" s="80" t="n">
        <x:v>1628.9434860806823</x:v>
      </x:c>
      <x:c r="Q2555" s="81" t="n">
        <x:v>0.004077476181428829</x:v>
      </x:c>
      <x:c r="R2555" s="81" t="n">
        <x:v>7.816910255516202</x:v>
      </x:c>
      <x:c r="S2555" s="81" t="n">
        <x:v>0.6333443158500819</x:v>
      </x:c>
      <x:c r="T2555" s="81" t="n">
        <x:v>1.56898283730115</x:v>
      </x:c>
    </x:row>
    <x:row r="2556">
      <x:c r="A2556" s="59" t="n">
        <x:v>2553</x:v>
      </x:c>
      <x:c r="B2556" s="193" t="n">
        <x:v>0.43535800985991957</x:v>
      </x:c>
      <x:c r="C2556" s="83" t="n">
        <x:v>1.6950842214473858</x:v>
      </x:c>
      <x:c r="D2556" s="83" t="n">
        <x:v>1.0192561824363902</x:v>
      </x:c>
      <x:c r="E2556" s="81" t="n">
        <x:v>-0.08546110089841295</x:v>
      </x:c>
      <x:c r="F2556" s="81" t="n">
        <x:v>0.44092694401042537</x:v>
      </x:c>
      <x:c r="G2556" s="81" t="n">
        <x:v>0.005404283632584429</x:v>
      </x:c>
      <x:c r="H2556" s="59" t="n">
        <x:v>0</x:v>
      </x:c>
      <x:c r="I2556" s="81" t="n">
        <x:v>0</x:v>
      </x:c>
      <x:c r="J2556" s="79" t="n">
        <x:v>8.713443229188223e-40</x:v>
      </x:c>
      <x:c r="K2556" s="81" t="n">
        <x:v>-1</x:v>
      </x:c>
      <x:c r="L2556" s="81" t="n">
        <x:v>-1</x:v>
      </x:c>
      <x:c r="M2556" s="80" t="n">
        <x:v>0.000002</x:v>
      </x:c>
      <x:c r="N2556" s="82" t="n">
        <x:v>0.2058041909113178</x:v>
      </x:c>
      <x:c r="O2556" s="82" t="n">
        <x:v>0.08572190118982735</x:v>
      </x:c>
      <x:c r="P2556" s="80" t="n">
        <x:v>548.9577362654884</x:v>
      </x:c>
      <x:c r="Q2556" s="81" t="n">
        <x:v>2.9447659077277334e+22</x:v>
      </x:c>
      <x:c r="R2556" s="81" t="n">
        <x:v>1.4726435695318612</x:v>
      </x:c>
      <x:c r="S2556" s="81" t="n">
        <x:v>3.5374801865232205e-10</x:v>
      </x:c>
      <x:c r="T2556" s="81" t="n">
        <x:v>1.8875220370058278e-35</x:v>
      </x:c>
    </x:row>
    <x:row r="2557">
      <x:c r="A2557" s="59" t="n">
        <x:v>2554</x:v>
      </x:c>
      <x:c r="B2557" s="193" t="n">
        <x:v>0.4205453135073185</x:v>
      </x:c>
      <x:c r="C2557" s="83" t="n">
        <x:v>1.1652108634755283</x:v>
      </x:c>
      <x:c r="D2557" s="83" t="n">
        <x:v>0.6583403088932468</x:v>
      </x:c>
      <x:c r="E2557" s="81" t="n">
        <x:v>-0.11604593226572556</x:v>
      </x:c>
      <x:c r="F2557" s="81" t="n">
        <x:v>0.3786084513645619</x:v>
      </x:c>
      <x:c r="G2557" s="81" t="n">
        <x:v>-0.030312503275455774</x:v>
      </x:c>
      <x:c r="H2557" s="59" t="n">
        <x:v>0</x:v>
      </x:c>
      <x:c r="I2557" s="81" t="n">
        <x:v>0</x:v>
      </x:c>
      <x:c r="J2557" s="79" t="n">
        <x:v>1.7998503170328162e-32</x:v>
      </x:c>
      <x:c r="K2557" s="81" t="n">
        <x:v>-1</x:v>
      </x:c>
      <x:c r="L2557" s="81" t="n">
        <x:v>-1</x:v>
      </x:c>
      <x:c r="M2557" s="80" t="n">
        <x:v>0.000002</x:v>
      </x:c>
      <x:c r="N2557" s="82" t="n">
        <x:v>0.20227552890207154</x:v>
      </x:c>
      <x:c r="O2557" s="82" t="n">
        <x:v>0.07234434541249353</x:v>
      </x:c>
      <x:c r="P2557" s="80" t="n">
        <x:v>317.2945531030871</x:v>
      </x:c>
      <x:c r="Q2557" s="81" t="n">
        <x:v>1079469955455664.8</x:v>
      </x:c>
      <x:c r="R2557" s="81" t="n">
        <x:v>1.9906189385416313</x:v>
      </x:c>
      <x:c r="S2557" s="81" t="n">
        <x:v>1.8315039987752964e-10</x:v>
      </x:c>
      <x:c r="T2557" s="81" t="n">
        <x:v>3.8988687334660775e-28</x:v>
      </x:c>
    </x:row>
    <x:row r="2558">
      <x:c r="A2558" s="59" t="n">
        <x:v>2555</x:v>
      </x:c>
      <x:c r="B2558" s="193" t="n">
        <x:v>0.38568091168999674</x:v>
      </x:c>
      <x:c r="C2558" s="83" t="n">
        <x:v>1.5666082988931356</x:v>
      </x:c>
      <x:c r="D2558" s="83" t="n">
        <x:v>0.7725995797846158</x:v>
      </x:c>
      <x:c r="E2558" s="81" t="n">
        <x:v>0.017494631293196426</x:v>
      </x:c>
      <x:c r="F2558" s="81" t="n">
        <x:v>0.25587561130523684</x:v>
      </x:c>
      <x:c r="G2558" s="81" t="n">
        <x:v>-0.012528869466070772</x:v>
      </x:c>
      <x:c r="H2558" s="59" t="n">
        <x:v>0</x:v>
      </x:c>
      <x:c r="I2558" s="81" t="n">
        <x:v>0</x:v>
      </x:c>
      <x:c r="J2558" s="79" t="n">
        <x:v>0.0016769908216932824</x:v>
      </x:c>
      <x:c r="K2558" s="81" t="n">
        <x:v>0.9165609390780372</x:v>
      </x:c>
      <x:c r="L2558" s="81" t="n">
        <x:v>-0.3153178682056602</x:v>
      </x:c>
      <x:c r="M2558" s="80" t="n">
        <x:v>18721.028935391885</x:v>
      </x:c>
      <x:c r="N2558" s="82" t="n">
        <x:v>0.19397017468165131</x:v>
      </x:c>
      <x:c r="O2558" s="82" t="n">
        <x:v>0.046885094099544534</x:v>
      </x:c>
      <x:c r="P2558" s="80" t="n">
        <x:v>28925.743035083702</x:v>
      </x:c>
      <x:c r="Q2558" s="81" t="n">
        <x:v>0.005855796454724477</x:v>
      </x:c>
      <x:c r="R2558" s="81" t="n">
        <x:v>24.039980939758888</x:v>
      </x:c>
      <x:c r="S2558" s="81" t="n">
        <x:v>22.02811601246194</x:v>
      </x:c>
      <x:c r="T2558" s="81" t="n">
        <x:v>36.32728243640003</x:v>
      </x:c>
    </x:row>
    <x:row r="2559">
      <x:c r="A2559" s="59" t="n">
        <x:v>2556</x:v>
      </x:c>
      <x:c r="B2559" s="193" t="n">
        <x:v>0.2909554706886411</x:v>
      </x:c>
      <x:c r="C2559" s="83" t="n">
        <x:v>0.2534894037076923</x:v>
      </x:c>
      <x:c r="D2559" s="83" t="n">
        <x:v>2.700883473091844</x:v>
      </x:c>
      <x:c r="E2559" s="81" t="n">
        <x:v>0.17668813226471933</x:v>
      </x:c>
      <x:c r="F2559" s="81" t="n">
        <x:v>0.819846390967723</x:v>
      </x:c>
      <x:c r="G2559" s="81" t="n">
        <x:v>0.004487750797005748</x:v>
      </x:c>
      <x:c r="H2559" s="59" t="n">
        <x:v>0</x:v>
      </x:c>
      <x:c r="I2559" s="81" t="n">
        <x:v>0</x:v>
      </x:c>
      <x:c r="J2559" s="79" t="n">
        <x:v>0.19411738197370512</x:v>
      </x:c>
      <x:c r="K2559" s="81" t="n">
        <x:v>220.8484365413773</x:v>
      </x:c>
      <x:c r="L2559" s="81" t="n">
        <x:v>-0.8575441703900432</x:v>
      </x:c>
      <x:c r="M2559" s="80" t="n">
        <x:v>274482.0713574848</x:v>
      </x:c>
      <x:c r="N2559" s="82" t="n">
        <x:v>0.1714047985331096</x:v>
      </x:c>
      <x:c r="O2559" s="82" t="n">
        <x:v>0.13274751716454544</x:v>
      </x:c>
      <x:c r="P2559" s="80" t="n">
        <x:v>715726.3022958026</x:v>
      </x:c>
      <x:c r="Q2559" s="81" t="n">
        <x:v>0.0030562811437235345</x:v>
      </x:c>
      <x:c r="R2559" s="81" t="n">
        <x:v>7497.452165702189</x:v>
      </x:c>
      <x:c r="S2559" s="81" t="n">
        <x:v>14514.306328653716</x:v>
      </x:c>
      <x:c r="T2559" s="81" t="n">
        <x:v>4205.006294341594</x:v>
      </x:c>
    </x:row>
    <x:row r="2560">
      <x:c r="A2560" s="59" t="n">
        <x:v>2557</x:v>
      </x:c>
      <x:c r="B2560" s="193" t="n">
        <x:v>0.93730528652668</x:v>
      </x:c>
      <x:c r="C2560" s="83" t="n">
        <x:v>0.16903925673905548</x:v>
      </x:c>
      <x:c r="D2560" s="83" t="n">
        <x:v>0.8146572596364525</x:v>
      </x:c>
      <x:c r="E2560" s="81" t="n">
        <x:v>0.056172242705181626</x:v>
      </x:c>
      <x:c r="F2560" s="81" t="n">
        <x:v>0.7427096253144555</x:v>
      </x:c>
      <x:c r="G2560" s="81" t="n">
        <x:v>0.013814196977453196</x:v>
      </x:c>
      <x:c r="H2560" s="59" t="n">
        <x:v>0</x:v>
      </x:c>
      <x:c r="I2560" s="81" t="n">
        <x:v>0</x:v>
      </x:c>
      <x:c r="J2560" s="79" t="n">
        <x:v>0.00036247263482602993</x:v>
      </x:c>
      <x:c r="K2560" s="81" t="n">
        <x:v>-0.5857455601988228</x:v>
      </x:c>
      <x:c r="L2560" s="81" t="n">
        <x:v>-0.8668731320935635</x:v>
      </x:c>
      <x:c r="M2560" s="80" t="n">
        <x:v>4589.985111172956</x:v>
      </x:c>
      <x:c r="N2560" s="82" t="n">
        <x:v>0.32537744372477756</x:v>
      </x:c>
      <x:c r="O2560" s="82" t="n">
        <x:v>0.2282850320187827</x:v>
      </x:c>
      <x:c r="P2560" s="80" t="n">
        <x:v>7491.4591313737965</x:v>
      </x:c>
      <x:c r="Q2560" s="81" t="n">
        <x:v>0.009339591050034533</x:v>
      </x:c>
      <x:c r="R2560" s="81" t="n">
        <x:v>128.44732564133935</x:v>
      </x:c>
      <x:c r="S2560" s="81" t="n">
        <x:v>41.549147977021406</x:v>
      </x:c>
      <x:c r="T2560" s="81" t="n">
        <x:v>7.851948627539723</x:v>
      </x:c>
    </x:row>
    <x:row r="2561">
      <x:c r="A2561" s="59" t="n">
        <x:v>2558</x:v>
      </x:c>
      <x:c r="B2561" s="193" t="n">
        <x:v>0.8096651894971729</x:v>
      </x:c>
      <x:c r="C2561" s="83" t="n">
        <x:v>1.165343391293318</x:v>
      </x:c>
      <x:c r="D2561" s="83" t="n">
        <x:v>0.37879508275682805</x:v>
      </x:c>
      <x:c r="E2561" s="81" t="n">
        <x:v>0.044009493596391995</x:v>
      </x:c>
      <x:c r="F2561" s="81" t="n">
        <x:v>0.5520831185858697</x:v>
      </x:c>
      <x:c r="G2561" s="81" t="n">
        <x:v>0.011310243774402425</x:v>
      </x:c>
      <x:c r="H2561" s="59" t="n">
        <x:v>0</x:v>
      </x:c>
      <x:c r="I2561" s="81" t="n">
        <x:v>0</x:v>
      </x:c>
      <x:c r="J2561" s="79" t="n">
        <x:v>0.00029590134468689063</x:v>
      </x:c>
      <x:c r="K2561" s="81" t="n">
        <x:v>-0.6618270346435535</x:v>
      </x:c>
      <x:c r="L2561" s="81" t="n">
        <x:v>-0.8210839384156362</x:v>
      </x:c>
      <x:c r="M2561" s="80" t="n">
        <x:v>6798.852790690869</x:v>
      </x:c>
      <x:c r="N2561" s="82" t="n">
        <x:v>0.2949711793605296</x:v>
      </x:c>
      <x:c r="O2561" s="82" t="n">
        <x:v>0.15383494269245943</x:v>
      </x:c>
      <x:c r="P2561" s="80" t="n">
        <x:v>5968.132169262862</x:v>
      </x:c>
      <x:c r="Q2561" s="81" t="n">
        <x:v>0.007381396871384251</x:v>
      </x:c>
      <x:c r="R2561" s="81" t="n">
        <x:v>19.277433411153385</x:v>
      </x:c>
      <x:c r="S2561" s="81" t="n">
        <x:v>5.335691917499702</x:v>
      </x:c>
      <x:c r="T2561" s="81" t="n">
        <x:v>6.409869143408617</x:v>
      </x:c>
    </x:row>
    <x:row r="2562">
      <x:c r="A2562" s="59" t="n">
        <x:v>2559</x:v>
      </x:c>
      <x:c r="B2562" s="193" t="n">
        <x:v>0.8811975242570043</x:v>
      </x:c>
      <x:c r="C2562" s="83" t="n">
        <x:v>0.49702688015881213</x:v>
      </x:c>
      <x:c r="D2562" s="83" t="n">
        <x:v>3</x:v>
      </x:c>
      <x:c r="E2562" s="81" t="n">
        <x:v>0.06259464248725946</x:v>
      </x:c>
      <x:c r="F2562" s="81" t="n">
        <x:v>0.35847955165663736</x:v>
      </x:c>
      <x:c r="G2562" s="81" t="n">
        <x:v>0.03027744635286327</x:v>
      </x:c>
      <x:c r="H2562" s="59" t="n">
        <x:v>0</x:v>
      </x:c>
      <x:c r="I2562" s="81" t="n">
        <x:v>0</x:v>
      </x:c>
      <x:c r="J2562" s="79" t="n">
        <x:v>0.09440321397707944</x:v>
      </x:c>
      <x:c r="K2562" s="81" t="n">
        <x:v>106.88938740237651</x:v>
      </x:c>
      <x:c r="L2562" s="81" t="n">
        <x:v>-0.7897602225909659</x:v>
      </x:c>
      <x:c r="M2562" s="80" t="n">
        <x:v>152593.16391340038</x:v>
      </x:c>
      <x:c r="N2562" s="82" t="n">
        <x:v>0.31201152273159827</x:v>
      </x:c>
      <x:c r="O2562" s="82" t="n">
        <x:v>0.1056588702231581</x:v>
      </x:c>
      <x:c r="P2562" s="80" t="n">
        <x:v>617755.6482171783</x:v>
      </x:c>
      <x:c r="Q2562" s="81" t="n">
        <x:v>0.005217467394556621</x:v>
      </x:c>
      <x:c r="R2562" s="81" t="n">
        <x:v>1978.2204825581612</x:v>
      </x:c>
      <x:c r="S2562" s="81" t="n">
        <x:v>3725.8905395485417</x:v>
      </x:c>
      <x:c r="T2562" s="81" t="n">
        <x:v>2044.9797176507764</x:v>
      </x:c>
    </x:row>
    <x:row r="2563">
      <x:c r="A2563" s="59" t="n">
        <x:v>2560</x:v>
      </x:c>
      <x:c r="B2563" s="193" t="n">
        <x:v>0.4419150246307254</x:v>
      </x:c>
      <x:c r="C2563" s="83" t="n">
        <x:v>1.0907050087465584</x:v>
      </x:c>
      <x:c r="D2563" s="83" t="n">
        <x:v>0.46979788243364357</x:v>
      </x:c>
      <x:c r="E2563" s="81" t="n">
        <x:v>-0.12537145767699323</x:v>
      </x:c>
      <x:c r="F2563" s="81" t="n">
        <x:v>0.3428277888800949</x:v>
      </x:c>
      <x:c r="G2563" s="81" t="n">
        <x:v>0.0016905760139802068</x:v>
      </x:c>
      <x:c r="H2563" s="59" t="n">
        <x:v>20</x:v>
      </x:c>
      <x:c r="I2563" s="81" t="n">
        <x:v>0.39480281053110955</x:v>
      </x:c>
      <x:c r="J2563" s="79" t="n">
        <x:v>2.5370628426570525e-31</x:v>
      </x:c>
      <x:c r="K2563" s="81" t="n">
        <x:v>-1</x:v>
      </x:c>
      <x:c r="L2563" s="81" t="n">
        <x:v>-1</x:v>
      </x:c>
      <x:c r="M2563" s="80" t="n">
        <x:v>0.000002</x:v>
      </x:c>
      <x:c r="N2563" s="82" t="n">
        <x:v>0.20736619477375057</x:v>
      </x:c>
      <x:c r="O2563" s="82" t="n">
        <x:v>0.06715601505855429</x:v>
      </x:c>
      <x:c r="P2563" s="80" t="n">
        <x:v>272.22849135757576</x:v>
      </x:c>
      <x:c r="Q2563" s="81" t="n">
        <x:v>71476091653854.31</x:v>
      </x:c>
      <x:c r="R2563" s="81" t="n">
        <x:v>2.5748809220101774</x:v>
      </x:c>
      <x:c r="S2563" s="81" t="n">
        <x:v>2.0093135873196328e-10</x:v>
      </x:c>
      <x:c r="T2563" s="81" t="n">
        <x:v>5.495832013620608e-27</x:v>
      </x:c>
    </x:row>
    <x:row r="2564">
      <x:c r="A2564" s="59" t="n">
        <x:v>2561</x:v>
      </x:c>
      <x:c r="B2564" s="193" t="n">
        <x:v>0.5648413872346283</x:v>
      </x:c>
      <x:c r="C2564" s="83" t="n">
        <x:v>2.094815703362388</x:v>
      </x:c>
      <x:c r="D2564" s="83" t="n">
        <x:v>1.6382666317863865</x:v>
      </x:c>
      <x:c r="E2564" s="81" t="n">
        <x:v>-0.048508132162830994</x:v>
      </x:c>
      <x:c r="F2564" s="81" t="n">
        <x:v>0.5885854509193451</x:v>
      </x:c>
      <x:c r="G2564" s="81" t="n">
        <x:v>-0.015057721723806575</x:v>
      </x:c>
      <x:c r="H2564" s="59" t="n">
        <x:v>0</x:v>
      </x:c>
      <x:c r="I2564" s="81" t="n">
        <x:v>0</x:v>
      </x:c>
      <x:c r="J2564" s="79" t="n">
        <x:v>4.1991206100341435e-35</x:v>
      </x:c>
      <x:c r="K2564" s="81" t="n">
        <x:v>-1</x:v>
      </x:c>
      <x:c r="L2564" s="81" t="n">
        <x:v>-1</x:v>
      </x:c>
      <x:c r="M2564" s="80" t="n">
        <x:v>0.000002</x:v>
      </x:c>
      <x:c r="N2564" s="82" t="n">
        <x:v>0.23664955921529895</x:v>
      </x:c>
      <x:c r="O2564" s="82" t="n">
        <x:v>0.13157887365701007</x:v>
      </x:c>
      <x:c r="P2564" s="80" t="n">
        <x:v>1083.035666419327</x:v>
      </x:c>
      <x:c r="Q2564" s="81" t="n">
        <x:v>1039905088131573600</x:v>
      </x:c>
      <x:c r="R2564" s="81" t="n">
        <x:v>1.7052737481822768</x:v>
      </x:c>
      <x:c r="S2564" s="81" t="n">
        <x:v>3.8555385862808136e-10</x:v>
      </x:c>
      <x:c r="T2564" s="81" t="n">
        <x:v>9.096212001398682e-31</x:v>
      </x:c>
    </x:row>
    <x:row r="2565">
      <x:c r="A2565" s="59" t="n">
        <x:v>2562</x:v>
      </x:c>
      <x:c r="B2565" s="193" t="n">
        <x:v>0.809343202970922</x:v>
      </x:c>
      <x:c r="C2565" s="83" t="n">
        <x:v>0.14759614481217104</x:v>
      </x:c>
      <x:c r="D2565" s="83" t="n">
        <x:v>0.7070449995751222</x:v>
      </x:c>
      <x:c r="E2565" s="81" t="n">
        <x:v>-0.02602544295954254</x:v>
      </x:c>
      <x:c r="F2565" s="81" t="n">
        <x:v>0.3294982480118051</x:v>
      </x:c>
      <x:c r="G2565" s="81" t="n">
        <x:v>-0.008830805365279446</x:v>
      </x:c>
      <x:c r="H2565" s="59" t="n">
        <x:v>0</x:v>
      </x:c>
      <x:c r="I2565" s="81" t="n">
        <x:v>0</x:v>
      </x:c>
      <x:c r="J2565" s="79" t="n">
        <x:v>2.6077069251601716e-15</x:v>
      </x:c>
      <x:c r="K2565" s="81" t="n">
        <x:v>-0.9999999999970197</x:v>
      </x:c>
      <x:c r="L2565" s="81" t="n">
        <x:v>-0.9999999999970197</x:v>
      </x:c>
      <x:c r="M2565" s="80" t="n">
        <x:v>0.01030165086749118</x:v>
      </x:c>
      <x:c r="N2565" s="82" t="n">
        <x:v>0.2948944761327293</x:v>
      </x:c>
      <x:c r="O2565" s="82" t="n">
        <x:v>0.09178901071663645</x:v>
      </x:c>
      <x:c r="P2565" s="80" t="n">
        <x:v>504.3876824394041</x:v>
      </x:c>
      <x:c r="Q2565" s="81" t="n">
        <x:v>157.30881169486102</x:v>
      </x:c>
      <x:c r="R2565" s="81" t="n">
        <x:v>38.1392360646996</x:v>
      </x:c>
      <x:c r="S2565" s="81" t="n">
        <x:v>0.000002577525439505758</x:v>
      </x:c>
      <x:c r="T2565" s="81" t="n">
        <x:v>5.648862519473938e-11</x:v>
      </x:c>
    </x:row>
    <x:row r="2566">
      <x:c r="A2566" s="59" t="n">
        <x:v>2563</x:v>
      </x:c>
      <x:c r="B2566" s="193" t="n">
        <x:v>0.3498983344063163</x:v>
      </x:c>
      <x:c r="C2566" s="83" t="n">
        <x:v>2.1131607048323864</x:v>
      </x:c>
      <x:c r="D2566" s="83" t="n">
        <x:v>1.1100981755445967</x:v>
      </x:c>
      <x:c r="E2566" s="81" t="n">
        <x:v>-0.0560035059922605</x:v>
      </x:c>
      <x:c r="F2566" s="81" t="n">
        <x:v>0.5325208912254311</x:v>
      </x:c>
      <x:c r="G2566" s="81" t="n">
        <x:v>0.005249426049886121</x:v>
      </x:c>
      <x:c r="H2566" s="59" t="n">
        <x:v>0</x:v>
      </x:c>
      <x:c r="I2566" s="81" t="n">
        <x:v>0</x:v>
      </x:c>
      <x:c r="J2566" s="79" t="n">
        <x:v>8.690128850094641e-33</x:v>
      </x:c>
      <x:c r="K2566" s="81" t="n">
        <x:v>-1</x:v>
      </x:c>
      <x:c r="L2566" s="81" t="n">
        <x:v>-1</x:v>
      </x:c>
      <x:c r="M2566" s="80" t="n">
        <x:v>0.000002</x:v>
      </x:c>
      <x:c r="N2566" s="82" t="n">
        <x:v>0.18544609384935465</x:v>
      </x:c>
      <x:c r="O2566" s="82" t="n">
        <x:v>0.09328789252453462</x:v>
      </x:c>
      <x:c r="P2566" s="80" t="n">
        <x:v>917.773668424806</x:v>
      </x:c>
      <x:c r="Q2566" s="81" t="n">
        <x:v>4383476970685431.5</x:v>
      </x:c>
      <x:c r="R2566" s="81" t="n">
        <x:v>1.8104063357087794</x:v>
      </x:c>
      <x:c r="S2566" s="81" t="n">
        <x:v>3.3291160389105955e-10</x:v>
      </x:c>
      <x:c r="T2566" s="81" t="n">
        <x:v>1.8824716334901623e-28</x:v>
      </x:c>
    </x:row>
    <x:row r="2567">
      <x:c r="A2567" s="59" t="n">
        <x:v>2564</x:v>
      </x:c>
      <x:c r="B2567" s="193" t="n">
        <x:v>0.5264234872534872</x:v>
      </x:c>
      <x:c r="C2567" s="83" t="n">
        <x:v>0.9045122810969978</x:v>
      </x:c>
      <x:c r="D2567" s="83" t="n">
        <x:v>1.8597318771046263</x:v>
      </x:c>
      <x:c r="E2567" s="81" t="n">
        <x:v>0.00011356651792320318</x:v>
      </x:c>
      <x:c r="F2567" s="81" t="n">
        <x:v>0.48239244475262244</x:v>
      </x:c>
      <x:c r="G2567" s="81" t="n">
        <x:v>0.0370078396488087</x:v>
      </x:c>
      <x:c r="H2567" s="59" t="n">
        <x:v>0</x:v>
      </x:c>
      <x:c r="I2567" s="81" t="n">
        <x:v>0</x:v>
      </x:c>
      <x:c r="J2567" s="79" t="n">
        <x:v>0.0000027491164337881958</x:v>
      </x:c>
      <x:c r="K2567" s="81" t="n">
        <x:v>-0.9968581526470992</x:v>
      </x:c>
      <x:c r="L2567" s="81" t="n">
        <x:v>-0.9968581526470992</x:v>
      </x:c>
      <x:c r="M2567" s="80" t="n">
        <x:v>539.0009919001883</x:v>
      </x:c>
      <x:c r="N2567" s="82" t="n">
        <x:v>0.22749769510416665</x:v>
      </x:c>
      <x:c r="O2567" s="82" t="n">
        <x:v>0.1036688879842325</x:v>
      </x:c>
      <x:c r="P2567" s="80" t="n">
        <x:v>8585.324209074273</x:v>
      </x:c>
      <x:c r="Q2567" s="81" t="n">
        <x:v>0.19130303760518055</x:v>
      </x:c>
      <x:c r="R2567" s="81" t="n">
        <x:v>16.66401944470108</x:v>
      </x:c>
      <x:c r="S2567" s="81" t="n">
        <x:v>0.4160899833633572</x:v>
      </x:c>
      <x:c r="T2567" s="81" t="n">
        <x:v>0.05955186387957359</x:v>
      </x:c>
    </x:row>
    <x:row r="2568">
      <x:c r="A2568" s="59" t="n">
        <x:v>2565</x:v>
      </x:c>
      <x:c r="B2568" s="193" t="n">
        <x:v>0.8587769454345107</x:v>
      </x:c>
      <x:c r="C2568" s="83" t="n">
        <x:v>0.1683310273145839</x:v>
      </x:c>
      <x:c r="D2568" s="83" t="n">
        <x:v>0.5942794353547715</x:v>
      </x:c>
      <x:c r="E2568" s="81" t="n">
        <x:v>-0.004062783931351616</x:v>
      </x:c>
      <x:c r="F2568" s="81" t="n">
        <x:v>0.33023220151662824</x:v>
      </x:c>
      <x:c r="G2568" s="81" t="n">
        <x:v>0.017678307352614865</x:v>
      </x:c>
      <x:c r="H2568" s="59" t="n">
        <x:v>0</x:v>
      </x:c>
      <x:c r="I2568" s="81" t="n">
        <x:v>0</x:v>
      </x:c>
      <x:c r="J2568" s="79" t="n">
        <x:v>1.0126238636536194e-7</x:v>
      </x:c>
      <x:c r="K2568" s="81" t="n">
        <x:v>-0.9998842715584396</x:v>
      </x:c>
      <x:c r="L2568" s="81" t="n">
        <x:v>-0.9998842715584396</x:v>
      </x:c>
      <x:c r="M2568" s="80" t="n">
        <x:v>63.69851284264712</x:v>
      </x:c>
      <x:c r="N2568" s="82" t="n">
        <x:v>0.3066705204702273</x:v>
      </x:c>
      <x:c r="O2568" s="82" t="n">
        <x:v>0.09566705213601545</x:v>
      </x:c>
      <x:c r="P2568" s="80" t="n">
        <x:v>979.1272120127815</x:v>
      </x:c>
      <x:c r="Q2568" s="81" t="n">
        <x:v>0.10817745332041216</x:v>
      </x:c>
      <x:c r="R2568" s="81" t="n">
        <x:v>55.90666440931623</x:v>
      </x:c>
      <x:c r="S2568" s="81" t="n">
        <x:v>0.028861578292254386</x:v>
      </x:c>
      <x:c r="T2568" s="81" t="n">
        <x:v>0.0021935643666576798</x:v>
      </x:c>
    </x:row>
    <x:row r="2569">
      <x:c r="A2569" s="59" t="n">
        <x:v>2566</x:v>
      </x:c>
      <x:c r="B2569" s="193" t="n">
        <x:v>0.8269510874524713</x:v>
      </x:c>
      <x:c r="C2569" s="83" t="n">
        <x:v>2.8131216871263742</x:v>
      </x:c>
      <x:c r="D2569" s="83" t="n">
        <x:v>0.41707751022756456</x:v>
      </x:c>
      <x:c r="E2569" s="81" t="n">
        <x:v>0.061495155856025656</x:v>
      </x:c>
      <x:c r="F2569" s="81" t="n">
        <x:v>0.2641585782170296</x:v>
      </x:c>
      <x:c r="G2569" s="81" t="n">
        <x:v>-0.025129464523138464</x:v>
      </x:c>
      <x:c r="H2569" s="59" t="n">
        <x:v>0</x:v>
      </x:c>
      <x:c r="I2569" s="81" t="n">
        <x:v>0</x:v>
      </x:c>
      <x:c r="J2569" s="79" t="n">
        <x:v>0.004135450215231852</x:v>
      </x:c>
      <x:c r="K2569" s="81" t="n">
        <x:v>3.726228817407831</x:v>
      </x:c>
      <x:c r="L2569" s="81" t="n">
        <x:v>-0.3748893904712256</x:v>
      </x:c>
      <x:c r="M2569" s="80" t="n">
        <x:v>45344.78837871491</x:v>
      </x:c>
      <x:c r="N2569" s="82" t="n">
        <x:v>0.29908900436406854</x:v>
      </x:c>
      <x:c r="O2569" s="82" t="n">
        <x:v>0.07463389501445856</x:v>
      </x:c>
      <x:c r="P2569" s="80" t="n">
        <x:v>36654.217806718545</x:v>
      </x:c>
      <x:c r="Q2569" s="81" t="n">
        <x:v>0.002882596500428103</x:v>
      </x:c>
      <x:c r="R2569" s="81" t="n">
        <x:v>26.017292995651854</x:v>
      </x:c>
      <x:c r="S2569" s="81" t="n">
        <x:v>28.98369636774241</x:v>
      </x:c>
      <x:c r="T2569" s="81" t="n">
        <x:v>89.58288025614218</x:v>
      </x:c>
    </x:row>
    <x:row r="2570">
      <x:c r="A2570" s="59" t="n">
        <x:v>2567</x:v>
      </x:c>
      <x:c r="B2570" s="193" t="n">
        <x:v>0.618619453534484</x:v>
      </x:c>
      <x:c r="C2570" s="83" t="n">
        <x:v>0.7279196715072787</x:v>
      </x:c>
      <x:c r="D2570" s="83" t="n">
        <x:v>1.8232182300467816</x:v>
      </x:c>
      <x:c r="E2570" s="81" t="n">
        <x:v>0.17577142910765461</x:v>
      </x:c>
      <x:c r="F2570" s="81" t="n">
        <x:v>0.5202538734185509</x:v>
      </x:c>
      <x:c r="G2570" s="81" t="n">
        <x:v>-0.010015590273110537</x:v>
      </x:c>
      <x:c r="H2570" s="59" t="n">
        <x:v>0</x:v>
      </x:c>
      <x:c r="I2570" s="81" t="n">
        <x:v>0</x:v>
      </x:c>
      <x:c r="J2570" s="79" t="n">
        <x:v>0.13281597980558074</x:v>
      </x:c>
      <x:c r="K2570" s="81" t="n">
        <x:v>150.789691206378</x:v>
      </x:c>
      <x:c r="L2570" s="81" t="n">
        <x:v>-0.8381487861427335</x:v>
      </x:c>
      <x:c r="M2570" s="80" t="n">
        <x:v>240924.82410787634</x:v>
      </x:c>
      <x:c r="N2570" s="82" t="n">
        <x:v>0.24946050294666786</x:v>
      </x:c>
      <x:c r="O2570" s="82" t="n">
        <x:v>0.12259931898776813</x:v>
      </x:c>
      <x:c r="P2570" s="80" t="n">
        <x:v>490500.8221563731</x:v>
      </x:c>
      <x:c r="Q2570" s="81" t="n">
        <x:v>0.00241333416573734</x:v>
      </x:c>
      <x:c r="R2570" s="81" t="n">
        <x:v>3144.6429443022676</x:v>
      </x:c>
      <x:c r="S2570" s="81" t="n">
        <x:v>3496.850811572981</x:v>
      </x:c>
      <x:c r="T2570" s="81" t="n">
        <x:v>2877.084088983158</x:v>
      </x:c>
    </x:row>
    <x:row r="2571">
      <x:c r="A2571" s="59" t="n">
        <x:v>2568</x:v>
      </x:c>
      <x:c r="B2571" s="193" t="n">
        <x:v>0.8810171352699399</x:v>
      </x:c>
      <x:c r="C2571" s="83" t="n">
        <x:v>0.45363430684702716</x:v>
      </x:c>
      <x:c r="D2571" s="83" t="n">
        <x:v>0.6881214590938228</x:v>
      </x:c>
      <x:c r="E2571" s="81" t="n">
        <x:v>-0.05271662024170984</x:v>
      </x:c>
      <x:c r="F2571" s="81" t="n">
        <x:v>0.33197337938472626</x:v>
      </x:c>
      <x:c r="G2571" s="81" t="n">
        <x:v>-0.05</x:v>
      </x:c>
      <x:c r="H2571" s="59" t="n">
        <x:v>0</x:v>
      </x:c>
      <x:c r="I2571" s="81" t="n">
        <x:v>0</x:v>
      </x:c>
      <x:c r="J2571" s="79" t="n">
        <x:v>1.2725136087930855e-20</x:v>
      </x:c>
      <x:c r="K2571" s="81" t="n">
        <x:v>-1</x:v>
      </x:c>
      <x:c r="L2571" s="81" t="n">
        <x:v>-1</x:v>
      </x:c>
      <x:c r="M2571" s="80" t="n">
        <x:v>0.00002933568888189143</x:v>
      </x:c>
      <x:c r="N2571" s="82" t="n">
        <x:v>0.31196855069258617</x:v>
      </x:c>
      <x:c r="O2571" s="82" t="n">
        <x:v>0.09783292013946755</x:v>
      </x:c>
      <x:c r="P2571" s="80" t="n">
        <x:v>393.89329832257096</x:v>
      </x:c>
      <x:c r="Q2571" s="81" t="n">
        <x:v>46501.027240915384</x:v>
      </x:c>
      <x:c r="R2571" s="81" t="n">
        <x:v>8.583934626180861</x:v>
      </x:c>
      <x:c r="S2571" s="81" t="n">
        <x:v>3.384149711550402e-9</x:v>
      </x:c>
      <x:c r="T2571" s="81" t="n">
        <x:v>2.7565422942573434e-16</x:v>
      </x:c>
    </x:row>
    <x:row r="2572">
      <x:c r="A2572" s="59" t="n">
        <x:v>2569</x:v>
      </x:c>
      <x:c r="B2572" s="193" t="n">
        <x:v>0.6137391846626997</x:v>
      </x:c>
      <x:c r="C2572" s="83" t="n">
        <x:v>0.931067658489304</x:v>
      </x:c>
      <x:c r="D2572" s="83" t="n">
        <x:v>0.16020016506212503</x:v>
      </x:c>
      <x:c r="E2572" s="81" t="n">
        <x:v>-0.2</x:v>
      </x:c>
      <x:c r="F2572" s="81" t="n">
        <x:v>0.25831017344025897</x:v>
      </x:c>
      <x:c r="G2572" s="81" t="n">
        <x:v>0.005617865701959941</x:v>
      </x:c>
      <x:c r="H2572" s="59" t="n">
        <x:v>21</x:v>
      </x:c>
      <x:c r="I2572" s="81" t="n">
        <x:v>0.4584915273822844</x:v>
      </x:c>
      <x:c r="J2572" s="79" t="n">
        <x:v>9.45354947979451e-24</x:v>
      </x:c>
      <x:c r="K2572" s="81" t="n">
        <x:v>-1</x:v>
      </x:c>
      <x:c r="L2572" s="81" t="n">
        <x:v>-1</x:v>
      </x:c>
      <x:c r="M2572" s="80" t="n">
        <x:v>0.000002</x:v>
      </x:c>
      <x:c r="N2572" s="82" t="n">
        <x:v>0.24829793139636766</x:v>
      </x:c>
      <x:c r="O2572" s="82" t="n">
        <x:v>0.06058785177578271</x:v>
      </x:c>
      <x:c r="P2572" s="80" t="n">
        <x:v>143.19559735295277</x:v>
      </x:c>
      <x:c r="Q2572" s="81" t="n">
        <x:v>1282186.3514469464</x:v>
      </x:c>
      <x:c r="R2572" s="81" t="n">
        <x:v>4.791110752410485</x:v>
      </x:c>
      <x:c r="S2572" s="81" t="n">
        <x:v>7.779843080409871e-11</x:v>
      </x:c>
      <x:c r="T2572" s="81" t="n">
        <x:v>2.0478452090287517e-19</x:v>
      </x:c>
    </x:row>
    <x:row r="2573">
      <x:c r="A2573" s="59" t="n">
        <x:v>2570</x:v>
      </x:c>
      <x:c r="B2573" s="193" t="n">
        <x:v>0.36669038161635403</x:v>
      </x:c>
      <x:c r="C2573" s="83" t="n">
        <x:v>0.5372621405291078</x:v>
      </x:c>
      <x:c r="D2573" s="83" t="n">
        <x:v>0.1</x:v>
      </x:c>
      <x:c r="E2573" s="81" t="n">
        <x:v>-0.031255428349747316</x:v>
      </x:c>
      <x:c r="F2573" s="81" t="n">
        <x:v>0.601742509379983</x:v>
      </x:c>
      <x:c r="G2573" s="81" t="n">
        <x:v>-0.035671358473470825</x:v>
      </x:c>
      <x:c r="H2573" s="59" t="n">
        <x:v>0</x:v>
      </x:c>
      <x:c r="I2573" s="81" t="n">
        <x:v>0</x:v>
      </x:c>
      <x:c r="J2573" s="79" t="n">
        <x:v>1.9114817133477304e-7</x:v>
      </x:c>
      <x:c r="K2573" s="81" t="n">
        <x:v>-0.999781544947046</x:v>
      </x:c>
      <x:c r="L2573" s="81" t="n">
        <x:v>-0.999781544947046</x:v>
      </x:c>
      <x:c r="M2573" s="80" t="n">
        <x:v>115.04352326902128</x:v>
      </x:c>
      <x:c r="N2573" s="82" t="n">
        <x:v>0.1894462743456708</x:v>
      </x:c>
      <x:c r="O2573" s="82" t="n">
        <x:v>0.10768809726100907</x:v>
      </x:c>
      <x:c r="P2573" s="80" t="n">
        <x:v>219.24564560479294</x:v>
      </x:c>
      <x:c r="Q2573" s="81" t="n">
        <x:v>0.013049939596952541</x:v>
      </x:c>
      <x:c r="R2573" s="81" t="n">
        <x:v>18.067473543738302</x:v>
      </x:c>
      <x:c r="S2573" s="81" t="n">
        <x:v>0.008739182751572035</x:v>
      </x:c>
      <x:c r="T2573" s="81" t="n">
        <x:v>0.004140686709464715</x:v>
      </x:c>
    </x:row>
    <x:row r="2574">
      <x:c r="A2574" s="59" t="n">
        <x:v>2571</x:v>
      </x:c>
      <x:c r="B2574" s="193" t="n">
        <x:v>0.6820039134472609</x:v>
      </x:c>
      <x:c r="C2574" s="83" t="n">
        <x:v>2.784464878637303</x:v>
      </x:c>
      <x:c r="D2574" s="83" t="n">
        <x:v>0.4788809552770955</x:v>
      </x:c>
      <x:c r="E2574" s="81" t="n">
        <x:v>-0.06313568209174485</x:v>
      </x:c>
      <x:c r="F2574" s="81" t="n">
        <x:v>0.6715834404458292</x:v>
      </x:c>
      <x:c r="G2574" s="81" t="n">
        <x:v>0.033388269293629064</x:v>
      </x:c>
      <x:c r="H2574" s="59" t="n">
        <x:v>0</x:v>
      </x:c>
      <x:c r="I2574" s="81" t="n">
        <x:v>0</x:v>
      </x:c>
      <x:c r="J2574" s="79" t="n">
        <x:v>3.271865348100443e-25</x:v>
      </x:c>
      <x:c r="K2574" s="81" t="n">
        <x:v>-1</x:v>
      </x:c>
      <x:c r="L2574" s="81" t="n">
        <x:v>-1</x:v>
      </x:c>
      <x:c r="M2574" s="80" t="n">
        <x:v>0.000002</x:v>
      </x:c>
      <x:c r="N2574" s="82" t="n">
        <x:v>0.26455986975651474</x:v>
      </x:c>
      <x:c r="O2574" s="82" t="n">
        <x:v>0.16783977511206494</x:v>
      </x:c>
      <x:c r="P2574" s="80" t="n">
        <x:v>867.9702322505099</x:v>
      </x:c>
      <x:c r="Q2574" s="81" t="n">
        <x:v>103971233.57406332</x:v>
      </x:c>
      <x:c r="R2574" s="81" t="n">
        <x:v>2.052821830833076</x:v>
      </x:c>
      <x:c r="S2574" s="81" t="n">
        <x:v>1.6529768621859e-10</x:v>
      </x:c>
      <x:c r="T2574" s="81" t="n">
        <x:v>7.087574663903198e-21</x:v>
      </x:c>
    </x:row>
    <x:row r="2575">
      <x:c r="A2575" s="59" t="n">
        <x:v>2572</x:v>
      </x:c>
      <x:c r="B2575" s="193" t="n">
        <x:v>0.8843306839466096</x:v>
      </x:c>
      <x:c r="C2575" s="83" t="n">
        <x:v>0.6935635496806497</x:v>
      </x:c>
      <x:c r="D2575" s="83" t="n">
        <x:v>0.48652660904619716</x:v>
      </x:c>
      <x:c r="E2575" s="81" t="n">
        <x:v>-0.006743126854490145</x:v>
      </x:c>
      <x:c r="F2575" s="81" t="n">
        <x:v>0.3136325352359563</x:v>
      </x:c>
      <x:c r="G2575" s="81" t="n">
        <x:v>-0.008988434861149084</x:v>
      </x:c>
      <x:c r="H2575" s="59" t="n">
        <x:v>56</x:v>
      </x:c>
      <x:c r="I2575" s="81" t="n">
        <x:v>0.13019986664876343</x:v>
      </x:c>
      <x:c r="J2575" s="79" t="n">
        <x:v>1.5050117669991509e-7</x:v>
      </x:c>
      <x:c r="K2575" s="81" t="n">
        <x:v>-0.9998279986552001</x:v>
      </x:c>
      <x:c r="L2575" s="81" t="n">
        <x:v>-0.9998279986552001</x:v>
      </x:c>
      <x:c r="M2575" s="80" t="n">
        <x:v>112.50117032995794</x:v>
      </x:c>
      <x:c r="N2575" s="82" t="n">
        <x:v>0.31275790011640614</x:v>
      </x:c>
      <x:c r="O2575" s="82" t="n">
        <x:v>0.09266171609896968</x:v>
      </x:c>
      <x:c r="P2575" s="80" t="n">
        <x:v>1254.8519689574853</x:v>
      </x:c>
      <x:c r="Q2575" s="81" t="n">
        <x:v>0.08353211575471646</x:v>
      </x:c>
      <x:c r="R2575" s="81" t="n">
        <x:v>15.833239057576652</x:v>
      </x:c>
      <x:c r="S2575" s="81" t="n">
        <x:v>0.01680419820028331</x:v>
      </x:c>
      <x:c r="T2575" s="81" t="n">
        <x:v>0.003260184064375469</x:v>
      </x:c>
    </x:row>
    <x:row r="2576">
      <x:c r="A2576" s="59" t="n">
        <x:v>2573</x:v>
      </x:c>
      <x:c r="B2576" s="193" t="n">
        <x:v>0.48103050868958236</x:v>
      </x:c>
      <x:c r="C2576" s="83" t="n">
        <x:v>1.723849650859353</x:v>
      </x:c>
      <x:c r="D2576" s="83" t="n">
        <x:v>0.2930065718318207</x:v>
      </x:c>
      <x:c r="E2576" s="81" t="n">
        <x:v>0.023539557407650142</x:v>
      </x:c>
      <x:c r="F2576" s="81" t="n">
        <x:v>0.2638328346307389</x:v>
      </x:c>
      <x:c r="G2576" s="81" t="n">
        <x:v>0.015074931948880422</x:v>
      </x:c>
      <x:c r="H2576" s="59" t="n">
        <x:v>0</x:v>
      </x:c>
      <x:c r="I2576" s="81" t="n">
        <x:v>0</x:v>
      </x:c>
      <x:c r="J2576" s="79" t="n">
        <x:v>0.0006315758621814899</x:v>
      </x:c>
      <x:c r="K2576" s="81" t="n">
        <x:v>-0.27819901464972574</x:v>
      </x:c>
      <x:c r="L2576" s="81" t="n">
        <x:v>-0.5605385466262884</x:v>
      </x:c>
      <x:c r="M2576" s="80" t="n">
        <x:v>11958.959579044793</x:v>
      </x:c>
      <x:c r="N2576" s="82" t="n">
        <x:v>0.21668423649189636</x:v>
      </x:c>
      <x:c r="O2576" s="82" t="n">
        <x:v>0.0540041460985669</x:v>
      </x:c>
      <x:c r="P2576" s="80" t="n">
        <x:v>8290.865910991264</x:v>
      </x:c>
      <x:c r="Q2576" s="81" t="n">
        <x:v>0.004676097886614043</x:v>
      </x:c>
      <x:c r="R2576" s="81" t="n">
        <x:v>14.007243068888194</x:v>
      </x:c>
      <x:c r="S2576" s="81" t="n">
        <x:v>7.4924902792780355</x:v>
      </x:c>
      <x:c r="T2576" s="81" t="n">
        <x:v>13.681312043385857</x:v>
      </x:c>
    </x:row>
    <x:row r="2577">
      <x:c r="A2577" s="59" t="n">
        <x:v>2574</x:v>
      </x:c>
      <x:c r="B2577" s="193" t="n">
        <x:v>0.9380282212048769</x:v>
      </x:c>
      <x:c r="C2577" s="83" t="n">
        <x:v>0.8544093776197168</x:v>
      </x:c>
      <x:c r="D2577" s="83" t="n">
        <x:v>0.7063252474435754</x:v>
      </x:c>
      <x:c r="E2577" s="81" t="n">
        <x:v>0.08062627767706479</x:v>
      </x:c>
      <x:c r="F2577" s="81" t="n">
        <x:v>0.48072742476360875</x:v>
      </x:c>
      <x:c r="G2577" s="81" t="n">
        <x:v>-0.012602730715185776</x:v>
      </x:c>
      <x:c r="H2577" s="59" t="n">
        <x:v>0</x:v>
      </x:c>
      <x:c r="I2577" s="81" t="n">
        <x:v>0</x:v>
      </x:c>
      <x:c r="J2577" s="79" t="n">
        <x:v>0.0018629988354088788</x:v>
      </x:c>
      <x:c r="K2577" s="81" t="n">
        <x:v>1.1291415261815758</x:v>
      </x:c>
      <x:c r="L2577" s="81" t="n">
        <x:v>-0.7414197336916235</x:v>
      </x:c>
      <x:c r="M2577" s="80" t="n">
        <x:v>16644.01720549038</x:v>
      </x:c>
      <x:c r="N2577" s="82" t="n">
        <x:v>0.32554966032014887</x:v>
      </x:c>
      <x:c r="O2577" s="82" t="n">
        <x:v>0.14783834327497894</x:v>
      </x:c>
      <x:c r="P2577" s="80" t="n">
        <x:v>22210.15407468597</x:v>
      </x:c>
      <x:c r="Q2577" s="81" t="n">
        <x:v>0.004384420269029628</x:v>
      </x:c>
      <x:c r="R2577" s="81" t="n">
        <x:v>100.10773678749179</x:v>
      </x:c>
      <x:c r="S2577" s="81" t="n">
        <x:v>43.0359163344048</x:v>
      </x:c>
      <x:c r="T2577" s="81" t="n">
        <x:v>40.35662210974269</x:v>
      </x:c>
    </x:row>
    <x:row r="2578">
      <x:c r="A2578" s="59" t="n">
        <x:v>2575</x:v>
      </x:c>
      <x:c r="B2578" s="193" t="n">
        <x:v>0.5617714859545231</x:v>
      </x:c>
      <x:c r="C2578" s="83" t="n">
        <x:v>0.9140823051048463</x:v>
      </x:c>
      <x:c r="D2578" s="83" t="n">
        <x:v>2.6239828335825144</x:v>
      </x:c>
      <x:c r="E2578" s="81" t="n">
        <x:v>0.005235930933410569</x:v>
      </x:c>
      <x:c r="F2578" s="81" t="n">
        <x:v>0.8053428630693816</x:v>
      </x:c>
      <x:c r="G2578" s="81" t="n">
        <x:v>0.015004698156235655</x:v>
      </x:c>
      <x:c r="H2578" s="59" t="n">
        <x:v>0</x:v>
      </x:c>
      <x:c r="I2578" s="81" t="n">
        <x:v>0</x:v>
      </x:c>
      <x:c r="J2578" s="79" t="n">
        <x:v>0.00012284829837115675</x:v>
      </x:c>
      <x:c r="K2578" s="81" t="n">
        <x:v>-0.859601944718678</x:v>
      </x:c>
      <x:c r="L2578" s="81" t="n">
        <x:v>-0.9117510868766658</x:v>
      </x:c>
      <x:c r="M2578" s="80" t="n">
        <x:v>3833.1947674767084</x:v>
      </x:c>
      <x:c r="N2578" s="82" t="n">
        <x:v>0.23591825116972898</x:v>
      </x:c>
      <x:c r="O2578" s="82" t="n">
        <x:v>0.17947885752575704</x:v>
      </x:c>
      <x:c r="P2578" s="80" t="n">
        <x:v>24417.080472459802</x:v>
      </x:c>
      <x:c r="Q2578" s="81" t="n">
        <x:v>0.06779207109743329</x:v>
      </x:c>
      <x:c r="R2578" s="81" t="n">
        <x:v>22.65306061425617</x:v>
      </x:c>
      <x:c r="S2578" s="81" t="n">
        <x:v>5.263826758177485</x:v>
      </x:c>
      <x:c r="T2578" s="81" t="n">
        <x:v>2.6611623474802646</x:v>
      </x:c>
    </x:row>
    <x:row r="2579">
      <x:c r="A2579" s="59" t="n">
        <x:v>2576</x:v>
      </x:c>
      <x:c r="B2579" s="193" t="n">
        <x:v>0.5073832087218761</x:v>
      </x:c>
      <x:c r="C2579" s="83" t="n">
        <x:v>1.4917546987203014</x:v>
      </x:c>
      <x:c r="D2579" s="83" t="n">
        <x:v>0.8367716649687926</x:v>
      </x:c>
      <x:c r="E2579" s="81" t="n">
        <x:v>0.07675753578503659</x:v>
      </x:c>
      <x:c r="F2579" s="81" t="n">
        <x:v>0.4816278255428188</x:v>
      </x:c>
      <x:c r="G2579" s="81" t="n">
        <x:v>0.02871441885361425</x:v>
      </x:c>
      <x:c r="H2579" s="59" t="n">
        <x:v>0</x:v>
      </x:c>
      <x:c r="I2579" s="81" t="n">
        <x:v>0</x:v>
      </x:c>
      <x:c r="J2579" s="79" t="n">
        <x:v>0.02461732078987258</x:v>
      </x:c>
      <x:c r="K2579" s="81" t="n">
        <x:v>27.13408090271152</x:v>
      </x:c>
      <x:c r="L2579" s="81" t="n">
        <x:v>-0.6082126872681861</x:v>
      </x:c>
      <x:c r="M2579" s="80" t="n">
        <x:v>87918.05274602532</x:v>
      </x:c>
      <x:c r="N2579" s="82" t="n">
        <x:v>0.2229619437527145</x:v>
      </x:c>
      <x:c r="O2579" s="82" t="n">
        <x:v>0.10144093734625503</x:v>
      </x:c>
      <x:c r="P2579" s="80" t="n">
        <x:v>131743.28327857255</x:v>
      </x:c>
      <x:c r="Q2579" s="81" t="n">
        <x:v>0.0034025037945168493</x:v>
      </x:c>
      <x:c r="R2579" s="81" t="n">
        <x:v>169.66511414718374</x:v>
      </x:c>
      <x:c r="S2579" s="81" t="n">
        <x:v>325.7647102598155</x:v>
      </x:c>
      <x:c r="T2579" s="81" t="n">
        <x:v>533.2649133155037</x:v>
      </x:c>
    </x:row>
    <x:row r="2580">
      <x:c r="A2580" s="59" t="n">
        <x:v>2577</x:v>
      </x:c>
      <x:c r="B2580" s="193" t="n">
        <x:v>0.5468058595433831</x:v>
      </x:c>
      <x:c r="C2580" s="83" t="n">
        <x:v>0.9788294943038626</x:v>
      </x:c>
      <x:c r="D2580" s="83" t="n">
        <x:v>0.635486799984981</x:v>
      </x:c>
      <x:c r="E2580" s="81" t="n">
        <x:v>0.012781762132610744</x:v>
      </x:c>
      <x:c r="F2580" s="81" t="n">
        <x:v>0.8252675804076717</x:v>
      </x:c>
      <x:c r="G2580" s="81" t="n">
        <x:v>0.051825924887765995</x:v>
      </x:c>
      <x:c r="H2580" s="59" t="n">
        <x:v>0</x:v>
      </x:c>
      <x:c r="I2580" s="81" t="n">
        <x:v>0</x:v>
      </x:c>
      <x:c r="J2580" s="79" t="n">
        <x:v>0.00009488878396674346</x:v>
      </x:c>
      <x:c r="K2580" s="81" t="n">
        <x:v>-0.8915556754665789</x:v>
      </x:c>
      <x:c r="L2580" s="81" t="n">
        <x:v>-0.9519128943453775</x:v>
      </x:c>
      <x:c r="M2580" s="80" t="n">
        <x:v>3429.209376822594</x:v>
      </x:c>
      <x:c r="N2580" s="82" t="n">
        <x:v>0.23235315835310025</x:v>
      </x:c>
      <x:c r="O2580" s="82" t="n">
        <x:v>0.18113997637284124</x:v>
      </x:c>
      <x:c r="P2580" s="80" t="n">
        <x:v>6083.091292823711</x:v>
      </x:c>
      <x:c r="Q2580" s="81" t="n">
        <x:v>0.02771003598159813</x:v>
      </x:c>
      <x:c r="R2580" s="81" t="n">
        <x:v>14.550010885792952</x:v>
      </x:c>
      <x:c r="S2580" s="81" t="n">
        <x:v>2.6996926571392046</x:v>
      </x:c>
      <x:c r="T2580" s="81" t="n">
        <x:v>2.0554982237326125</x:v>
      </x:c>
    </x:row>
    <x:row r="2581">
      <x:c r="A2581" s="59" t="n">
        <x:v>2578</x:v>
      </x:c>
      <x:c r="B2581" s="193" t="n">
        <x:v>0.9438348416239024</x:v>
      </x:c>
      <x:c r="C2581" s="83" t="n">
        <x:v>0.2046834466366745</x:v>
      </x:c>
      <x:c r="D2581" s="83" t="n">
        <x:v>0.4122442755354278</x:v>
      </x:c>
      <x:c r="E2581" s="81" t="n">
        <x:v>0.05635531004671528</x:v>
      </x:c>
      <x:c r="F2581" s="81" t="n">
        <x:v>0.34296138389036057</x:v>
      </x:c>
      <x:c r="G2581" s="81" t="n">
        <x:v>0.02473831198491243</x:v>
      </x:c>
      <x:c r="H2581" s="59" t="n">
        <x:v>0</x:v>
      </x:c>
      <x:c r="I2581" s="81" t="n">
        <x:v>0</x:v>
      </x:c>
      <x:c r="J2581" s="79" t="n">
        <x:v>0.000533521153321436</x:v>
      </x:c>
      <x:c r="K2581" s="81" t="n">
        <x:v>-0.39026153906121597</x:v>
      </x:c>
      <x:c r="L2581" s="81" t="n">
        <x:v>-0.7970237607522318</x:v>
      </x:c>
      <x:c r="M2581" s="80" t="n">
        <x:v>5264.577359291758</x:v>
      </x:c>
      <x:c r="N2581" s="82" t="n">
        <x:v>0.32693290617809406</x:v>
      </x:c>
      <x:c r="O2581" s="82" t="n">
        <x:v>0.10591922631472937</x:v>
      </x:c>
      <x:c r="P2581" s="80" t="n">
        <x:v>4778.552840388902</x:v>
      </x:c>
      <x:c r="Q2581" s="81" t="n">
        <x:v>0.004156797711037784</x:v>
      </x:c>
      <x:c r="R2581" s="81" t="n">
        <x:v>117.89573936711629</x:v>
      </x:c>
      <x:c r="S2581" s="81" t="n">
        <x:v>49.512467759434955</x:v>
      </x:c>
      <x:c r="T2581" s="81" t="n">
        <x:v>11.557232974556195</x:v>
      </x:c>
    </x:row>
    <x:row r="2582">
      <x:c r="A2582" s="59" t="n">
        <x:v>2579</x:v>
      </x:c>
      <x:c r="B2582" s="193" t="n">
        <x:v>0.4748514527454972</x:v>
      </x:c>
      <x:c r="C2582" s="83" t="n">
        <x:v>0.40519236955840787</x:v>
      </x:c>
      <x:c r="D2582" s="83" t="n">
        <x:v>1.2722465617082892</x:v>
      </x:c>
      <x:c r="E2582" s="81" t="n">
        <x:v>-0.10435844228697373</x:v>
      </x:c>
      <x:c r="F2582" s="81" t="n">
        <x:v>0.7818677530158311</x:v>
      </x:c>
      <x:c r="G2582" s="81" t="n">
        <x:v>0.003430045516298776</x:v>
      </x:c>
      <x:c r="H2582" s="59" t="n">
        <x:v>0</x:v>
      </x:c>
      <x:c r="I2582" s="81" t="n">
        <x:v>0</x:v>
      </x:c>
      <x:c r="J2582" s="79" t="n">
        <x:v>2.8042441370244416e-51</x:v>
      </x:c>
      <x:c r="K2582" s="81" t="n">
        <x:v>-1</x:v>
      </x:c>
      <x:c r="L2582" s="81" t="n">
        <x:v>-1</x:v>
      </x:c>
      <x:c r="M2582" s="80" t="n">
        <x:v>0.000002</x:v>
      </x:c>
      <x:c r="N2582" s="82" t="n">
        <x:v>0.21521226950871636</x:v>
      </x:c>
      <x:c r="O2582" s="82" t="n">
        <x:v>0.15895393033481472</x:v>
      </x:c>
      <x:c r="P2582" s="80" t="n">
        <x:v>247.43069624627495</x:v>
      </x:c>
      <x:c r="Q2582" s="81" t="n">
        <x:v>7.623623639683445e+33</x:v>
      </x:c>
      <x:c r="R2582" s="81" t="n">
        <x:v>2.8911759310876493</x:v>
      </x:c>
      <x:c r="S2582" s="81" t="n">
        <x:v>8.26861307689226e-10</x:v>
      </x:c>
      <x:c r="T2582" s="81" t="n">
        <x:v>6.074605028752964e-47</x:v>
      </x:c>
    </x:row>
    <x:row r="2583">
      <x:c r="A2583" s="59" t="n">
        <x:v>2580</x:v>
      </x:c>
      <x:c r="B2583" s="193" t="n">
        <x:v>0.5904508927837014</x:v>
      </x:c>
      <x:c r="C2583" s="83" t="n">
        <x:v>0.26963977165537456</x:v>
      </x:c>
      <x:c r="D2583" s="83" t="n">
        <x:v>0.9800611294516351</x:v>
      </x:c>
      <x:c r="E2583" s="81" t="n">
        <x:v>0.00018501312509321463</x:v>
      </x:c>
      <x:c r="F2583" s="81" t="n">
        <x:v>0.737758988153655</x:v>
      </x:c>
      <x:c r="G2583" s="81" t="n">
        <x:v>-0.009628822963236895</x:v>
      </x:c>
      <x:c r="H2583" s="59" t="n">
        <x:v>0</x:v>
      </x:c>
      <x:c r="I2583" s="81" t="n">
        <x:v>0</x:v>
      </x:c>
      <x:c r="J2583" s="79" t="n">
        <x:v>4.4814391561117504e-7</x:v>
      </x:c>
      <x:c r="K2583" s="81" t="n">
        <x:v>-0.9994878355250159</x:v>
      </x:c>
      <x:c r="L2583" s="81" t="n">
        <x:v>-0.9994878355250159</x:v>
      </x:c>
      <x:c r="M2583" s="80" t="n">
        <x:v>145.40476588143463</x:v>
      </x:c>
      <x:c r="N2583" s="82" t="n">
        <x:v>0.24275022361531742</x:v>
      </x:c>
      <x:c r="O2583" s="82" t="n">
        <x:v>0.16917846871960468</x:v>
      </x:c>
      <x:c r="P2583" s="80" t="n">
        <x:v>1530.6473618840298</x:v>
      </x:c>
      <x:c r="Q2583" s="81" t="n">
        <x:v>0.10939725321684068</x:v>
      </x:c>
      <x:c r="R2583" s="81" t="n">
        <x:v>30.9112633391371</x:v>
      </x:c>
      <x:c r="S2583" s="81" t="n">
        <x:v>0.0747383198484318</x:v>
      </x:c>
      <x:c r="T2583" s="81" t="n">
        <x:v>0.009707775608529194</x:v>
      </x:c>
    </x:row>
    <x:row r="2584">
      <x:c r="A2584" s="59" t="n">
        <x:v>2581</x:v>
      </x:c>
      <x:c r="B2584" s="193" t="n">
        <x:v>0.23784669023007154</x:v>
      </x:c>
      <x:c r="C2584" s="83" t="n">
        <x:v>1.9784291924697384</x:v>
      </x:c>
      <x:c r="D2584" s="83" t="n">
        <x:v>1.4281639522281917</x:v>
      </x:c>
      <x:c r="E2584" s="81" t="n">
        <x:v>-0.03881326007190899</x:v>
      </x:c>
      <x:c r="F2584" s="81" t="n">
        <x:v>0.37406811881810426</x:v>
      </x:c>
      <x:c r="G2584" s="81" t="n">
        <x:v>0.035421331954658936</x:v>
      </x:c>
      <x:c r="H2584" s="59" t="n">
        <x:v>0</x:v>
      </x:c>
      <x:c r="I2584" s="81" t="n">
        <x:v>0</x:v>
      </x:c>
      <x:c r="J2584" s="79" t="n">
        <x:v>4.267354668176772e-34</x:v>
      </x:c>
      <x:c r="K2584" s="81" t="n">
        <x:v>-1</x:v>
      </x:c>
      <x:c r="L2584" s="81" t="n">
        <x:v>-1</x:v>
      </x:c>
      <x:c r="M2584" s="80" t="n">
        <x:v>0.000002</x:v>
      </x:c>
      <x:c r="N2584" s="82" t="n">
        <x:v>0.15875329123824486</x:v>
      </x:c>
      <x:c r="O2584" s="82" t="n">
        <x:v>0.056097612114935955</x:v>
      </x:c>
      <x:c r="P2584" s="80" t="n">
        <x:v>1262.8740360715499</x:v>
      </x:c>
      <x:c r="Q2584" s="81" t="n">
        <x:v>126704903929482820</x:v>
      </x:c>
      <x:c r="R2584" s="81" t="n">
        <x:v>2.342890524242077</x:v>
      </x:c>
      <x:c r="S2584" s="81" t="n">
        <x:v>6.41534046054689e-10</x:v>
      </x:c>
      <x:c r="T2584" s="81" t="n">
        <x:v>9.24402186832605e-30</x:v>
      </x:c>
    </x:row>
    <x:row r="2585">
      <x:c r="A2585" s="59" t="n">
        <x:v>2582</x:v>
      </x:c>
      <x:c r="B2585" s="193" t="n">
        <x:v>0.7295862145721912</x:v>
      </x:c>
      <x:c r="C2585" s="83" t="n">
        <x:v>0.7940142263717866</x:v>
      </x:c>
      <x:c r="D2585" s="83" t="n">
        <x:v>0.9958037780744365</x:v>
      </x:c>
      <x:c r="E2585" s="81" t="n">
        <x:v>0.167719998225183</x:v>
      </x:c>
      <x:c r="F2585" s="81" t="n">
        <x:v>0.6860239231609739</x:v>
      </x:c>
      <x:c r="G2585" s="81" t="n">
        <x:v>-0.0033473769626768675</x:v>
      </x:c>
      <x:c r="H2585" s="59" t="n">
        <x:v>0</x:v>
      </x:c>
      <x:c r="I2585" s="81" t="n">
        <x:v>0</x:v>
      </x:c>
      <x:c r="J2585" s="79" t="n">
        <x:v>0.017177017760267303</x:v>
      </x:c>
      <x:c r="K2585" s="81" t="n">
        <x:v>18.63087744030549</x:v>
      </x:c>
      <x:c r="L2585" s="81" t="n">
        <x:v>-0.8133236194733307</x:v>
      </x:c>
      <x:c r="M2585" s="80" t="n">
        <x:v>67858.40692119312</x:v>
      </x:c>
      <x:c r="N2585" s="82" t="n">
        <x:v>0.2758948660526194</x:v>
      </x:c>
      <x:c r="O2585" s="82" t="n">
        <x:v>0.1787943627380971</x:v>
      </x:c>
      <x:c r="P2585" s="80" t="n">
        <x:v>98890.97481710941</x:v>
      </x:c>
      <x:c r="Q2585" s="81" t="n">
        <x:v>0.003139277014673352</x:v>
      </x:c>
      <x:c r="R2585" s="81" t="n">
        <x:v>542.4114831872362</x:v>
      </x:c>
      <x:c r="S2585" s="81" t="n">
        <x:v>419.45409063587556</x:v>
      </x:c>
      <x:c r="T2585" s="81" t="n">
        <x:v>372.09170588198776</x:v>
      </x:c>
    </x:row>
    <x:row r="2586">
      <x:c r="A2586" s="59" t="n">
        <x:v>2583</x:v>
      </x:c>
      <x:c r="B2586" s="193" t="n">
        <x:v>0.732562690600753</x:v>
      </x:c>
      <x:c r="C2586" s="83" t="n">
        <x:v>0.3149875079902005</x:v>
      </x:c>
      <x:c r="D2586" s="83" t="n">
        <x:v>1.6001835008576752</x:v>
      </x:c>
      <x:c r="E2586" s="81" t="n">
        <x:v>-0.09942634737277346</x:v>
      </x:c>
      <x:c r="F2586" s="81" t="n">
        <x:v>0.2865009456058033</x:v>
      </x:c>
      <x:c r="G2586" s="81" t="n">
        <x:v>-0.003945795856873933</x:v>
      </x:c>
      <x:c r="H2586" s="59" t="n">
        <x:v>0</x:v>
      </x:c>
      <x:c r="I2586" s="81" t="n">
        <x:v>0</x:v>
      </x:c>
      <x:c r="J2586" s="79" t="n">
        <x:v>4.710283766708735e-56</x:v>
      </x:c>
      <x:c r="K2586" s="81" t="n">
        <x:v>-1</x:v>
      </x:c>
      <x:c r="L2586" s="81" t="n">
        <x:v>-1</x:v>
      </x:c>
      <x:c r="M2586" s="80" t="n">
        <x:v>0.000002</x:v>
      </x:c>
      <x:c r="N2586" s="82" t="n">
        <x:v>0.2766039184515484</x:v>
      </x:c>
      <x:c r="O2586" s="82" t="n">
        <x:v>0.07486094924510804</x:v>
      </x:c>
      <x:c r="P2586" s="80" t="n">
        <x:v>259.05860580335866</x:v>
      </x:c>
      <x:c r="Q2586" s="81" t="n">
        <x:v>4.742555095748495e+38</x:v>
      </x:c>
      <x:c r="R2586" s="81" t="n">
        <x:v>3.1926286417297853</x:v>
      </x:c>
      <x:c r="S2586" s="81" t="n">
        <x:v>1.0159252875939176e-9</x:v>
      </x:c>
      <x:c r="T2586" s="81" t="n">
        <x:v>1.0203502996876528e-51</x:v>
      </x:c>
    </x:row>
    <x:row r="2587">
      <x:c r="A2587" s="59" t="n">
        <x:v>2584</x:v>
      </x:c>
      <x:c r="B2587" s="193" t="n">
        <x:v>0.37719501685351137</x:v>
      </x:c>
      <x:c r="C2587" s="83" t="n">
        <x:v>1.0799873230665311</x:v>
      </x:c>
      <x:c r="D2587" s="83" t="n">
        <x:v>0.7770889832711829</x:v>
      </x:c>
      <x:c r="E2587" s="81" t="n">
        <x:v>0.040873335350108536</x:v>
      </x:c>
      <x:c r="F2587" s="81" t="n">
        <x:v>0.332106395822484</x:v>
      </x:c>
      <x:c r="G2587" s="81" t="n">
        <x:v>-0.013959263602523603</x:v>
      </x:c>
      <x:c r="H2587" s="59" t="n">
        <x:v>0</x:v>
      </x:c>
      <x:c r="I2587" s="81" t="n">
        <x:v>0</x:v>
      </x:c>
      <x:c r="J2587" s="79" t="n">
        <x:v>0.0038565717729888227</x:v>
      </x:c>
      <x:c r="K2587" s="81" t="n">
        <x:v>3.4075105977015125</x:v>
      </x:c>
      <x:c r="L2587" s="81" t="n">
        <x:v>-0.48635340584773545</x:v>
      </x:c>
      <x:c r="M2587" s="80" t="n">
        <x:v>24572.596377955797</x:v>
      </x:c>
      <x:c r="N2587" s="82" t="n">
        <x:v>0.1919486754210726</x:v>
      </x:c>
      <x:c r="O2587" s="82" t="n">
        <x:v>0.060218966934638726</x:v>
      </x:c>
      <x:c r="P2587" s="80" t="n">
        <x:v>36321.39120829177</x:v>
      </x:c>
      <x:c r="Q2587" s="81" t="n">
        <x:v>0.003407350226822747</x:v>
      </x:c>
      <x:c r="R2587" s="81" t="n">
        <x:v>75.86282655581395</x:v>
      </x:c>
      <x:c r="S2587" s="81" t="n">
        <x:v>69.82071634274692</x:v>
      </x:c>
      <x:c r="T2587" s="81" t="n">
        <x:v>83.54176434439468</x:v>
      </x:c>
    </x:row>
    <x:row r="2588">
      <x:c r="A2588" s="59" t="n">
        <x:v>2585</x:v>
      </x:c>
      <x:c r="B2588" s="193" t="n">
        <x:v>0.9560485446825624</x:v>
      </x:c>
      <x:c r="C2588" s="83" t="n">
        <x:v>1.0293257981554547</x:v>
      </x:c>
      <x:c r="D2588" s="83" t="n">
        <x:v>1.4984884548104551</x:v>
      </x:c>
      <x:c r="E2588" s="81" t="n">
        <x:v>-0.013519660766497084</x:v>
      </x:c>
      <x:c r="F2588" s="81" t="n">
        <x:v>0.5312811400392092</x:v>
      </x:c>
      <x:c r="G2588" s="81" t="n">
        <x:v>-0.005498826248320464</x:v>
      </x:c>
      <x:c r="H2588" s="59" t="n">
        <x:v>0</x:v>
      </x:c>
      <x:c r="I2588" s="81" t="n">
        <x:v>0</x:v>
      </x:c>
      <x:c r="J2588" s="79" t="n">
        <x:v>1.4718191873110242e-16</x:v>
      </x:c>
      <x:c r="K2588" s="81" t="n">
        <x:v>-0.9999999999998318</x:v>
      </x:c>
      <x:c r="L2588" s="81" t="n">
        <x:v>-0.9999999999998318</x:v>
      </x:c>
      <x:c r="M2588" s="80" t="n">
        <x:v>0.004345863151605453</x:v>
      </x:c>
      <x:c r="N2588" s="82" t="n">
        <x:v>0.3298424392535989</x:v>
      </x:c>
      <x:c r="O2588" s="82" t="n">
        <x:v>0.16553958972526828</x:v>
      </x:c>
      <x:c r="P2588" s="80" t="n">
        <x:v>1761.6666787001643</x:v>
      </x:c>
      <x:c r="Q2588" s="81" t="n">
        <x:v>2235.87687265011</x:v>
      </x:c>
      <x:c r="R2588" s="81" t="n">
        <x:v>6.678943385896872</x:v>
      </x:c>
      <x:c r="S2588" s="81" t="n">
        <x:v>0.0000013636706250470383</x:v>
      </x:c>
      <x:c r="T2588" s="81" t="n">
        <x:v>3.1882816901033325e-12</x:v>
      </x:c>
    </x:row>
    <x:row r="2589">
      <x:c r="A2589" s="59" t="n">
        <x:v>2586</x:v>
      </x:c>
      <x:c r="B2589" s="193" t="n">
        <x:v>0.20746213346719744</x:v>
      </x:c>
      <x:c r="C2589" s="83" t="n">
        <x:v>1.2771718654105413</x:v>
      </x:c>
      <x:c r="D2589" s="83" t="n">
        <x:v>0.918337848149789</x:v>
      </x:c>
      <x:c r="E2589" s="81" t="n">
        <x:v>-0.013944986150091196</x:v>
      </x:c>
      <x:c r="F2589" s="81" t="n">
        <x:v>0.4472594070946798</x:v>
      </x:c>
      <x:c r="G2589" s="81" t="n">
        <x:v>-0.05</x:v>
      </x:c>
      <x:c r="H2589" s="59" t="n">
        <x:v>0</x:v>
      </x:c>
      <x:c r="I2589" s="81" t="n">
        <x:v>0</x:v>
      </x:c>
      <x:c r="J2589" s="79" t="n">
        <x:v>2.998185608590353e-10</x:v>
      </x:c>
      <x:c r="K2589" s="81" t="n">
        <x:v>-0.9999996573502161</x:v>
      </x:c>
      <x:c r="L2589" s="81" t="n">
        <x:v>-0.9999996573502161</x:v>
      </x:c>
      <x:c r="M2589" s="80" t="n">
        <x:v>6.814155875754833</x:v>
      </x:c>
      <x:c r="N2589" s="82" t="n">
        <x:v>0.15151512010688903</x:v>
      </x:c>
      <x:c r="O2589" s="82" t="n">
        <x:v>0.06401568544222733</x:v>
      </x:c>
      <x:c r="P2589" s="80" t="n">
        <x:v>2021.563092137179</x:v>
      </x:c>
      <x:c r="Q2589" s="81" t="n">
        <x:v>1.659160662911259</x:v>
      </x:c>
      <x:c r="R2589" s="81" t="n">
        <x:v>7.816616596571366</x:v>
      </x:c>
      <x:c r="S2589" s="81" t="n">
        <x:v>0.0006579958872448222</x:v>
      </x:c>
      <x:c r="T2589" s="81" t="n">
        <x:v>0.000006494724597838745</x:v>
      </x:c>
    </x:row>
    <x:row r="2590">
      <x:c r="A2590" s="59" t="n">
        <x:v>2587</x:v>
      </x:c>
      <x:c r="B2590" s="193" t="n">
        <x:v>0.6148068381473422</x:v>
      </x:c>
      <x:c r="C2590" s="83" t="n">
        <x:v>1.5840424026829951</x:v>
      </x:c>
      <x:c r="D2590" s="83" t="n">
        <x:v>0.7992218728993192</x:v>
      </x:c>
      <x:c r="E2590" s="81" t="n">
        <x:v>0.03272887143697428</x:v>
      </x:c>
      <x:c r="F2590" s="81" t="n">
        <x:v>0.5500047505367547</x:v>
      </x:c>
      <x:c r="G2590" s="81" t="n">
        <x:v>-0.030457769769753503</x:v>
      </x:c>
      <x:c r="H2590" s="59" t="n">
        <x:v>0</x:v>
      </x:c>
      <x:c r="I2590" s="81" t="n">
        <x:v>0</x:v>
      </x:c>
      <x:c r="J2590" s="79" t="n">
        <x:v>0.0005873609459743267</x:v>
      </x:c>
      <x:c r="K2590" s="81" t="n">
        <x:v>-0.3287303474579122</x:v>
      </x:c>
      <x:c r="L2590" s="81" t="n">
        <x:v>-0.7391918799467974</x:v>
      </x:c>
      <x:c r="M2590" s="80" t="n">
        <x:v>11601.246017399302</x:v>
      </x:c>
      <x:c r="N2590" s="82" t="n">
        <x:v>0.2485522664749122</x:v>
      </x:c>
      <x:c r="O2590" s="82" t="n">
        <x:v>0.12913831343878698</x:v>
      </x:c>
      <x:c r="P2590" s="80" t="n">
        <x:v>19539.4178755921</x:v>
      </x:c>
      <x:c r="Q2590" s="81" t="n">
        <x:v>0.008420361678804476</x:v>
      </x:c>
      <x:c r="R2590" s="81" t="n">
        <x:v>28.104761162410448</x:v>
      </x:c>
      <x:c r="S2590" s="81" t="n">
        <x:v>7.9979247754192695</x:v>
      </x:c>
      <x:c r="T2590" s="81" t="n">
        <x:v>12.723520427485676</x:v>
      </x:c>
    </x:row>
    <x:row r="2591">
      <x:c r="A2591" s="59" t="n">
        <x:v>2588</x:v>
      </x:c>
      <x:c r="B2591" s="193" t="n">
        <x:v>0.40011965073645117</x:v>
      </x:c>
      <x:c r="C2591" s="83" t="n">
        <x:v>1.673773275542271</x:v>
      </x:c>
      <x:c r="D2591" s="83" t="n">
        <x:v>3</x:v>
      </x:c>
      <x:c r="E2591" s="81" t="n">
        <x:v>-0.05086314893469458</x:v>
      </x:c>
      <x:c r="F2591" s="81" t="n">
        <x:v>0.6031289485981688</x:v>
      </x:c>
      <x:c r="G2591" s="81" t="n">
        <x:v>-0.03850568752999444</x:v>
      </x:c>
      <x:c r="H2591" s="59" t="n">
        <x:v>0</x:v>
      </x:c>
      <x:c r="I2591" s="81" t="n">
        <x:v>0</x:v>
      </x:c>
      <x:c r="J2591" s="79" t="n">
        <x:v>7.365024282315437e-48</x:v>
      </x:c>
      <x:c r="K2591" s="81" t="n">
        <x:v>-1</x:v>
      </x:c>
      <x:c r="L2591" s="81" t="n">
        <x:v>-1</x:v>
      </x:c>
      <x:c r="M2591" s="80" t="n">
        <x:v>0.000002</x:v>
      </x:c>
      <x:c r="N2591" s="82" t="n">
        <x:v>0.197409753048874</x:v>
      </x:c>
      <x:c r="O2591" s="82" t="n">
        <x:v>0.11247337338893024</x:v>
      </x:c>
      <x:c r="P2591" s="80" t="n">
        <x:v>1021.0804476810866</x:v>
      </x:c>
      <x:c r="Q2591" s="81" t="n">
        <x:v>5.667134720559593e+30</x:v>
      </x:c>
      <x:c r="R2591" s="81" t="n">
        <x:v>1.4706516459682453</x:v>
      </x:c>
      <x:c r="S2591" s="81" t="n">
        <x:v>6.095638515361897e-10</x:v>
      </x:c>
      <x:c r="T2591" s="81" t="n">
        <x:v>1.5954250541721322e-43</x:v>
      </x:c>
    </x:row>
    <x:row r="2592">
      <x:c r="A2592" s="59" t="n">
        <x:v>2589</x:v>
      </x:c>
      <x:c r="B2592" s="193" t="n">
        <x:v>0.9677045352756977</x:v>
      </x:c>
      <x:c r="C2592" s="83" t="n">
        <x:v>0.6230506961227772</x:v>
      </x:c>
      <x:c r="D2592" s="83" t="n">
        <x:v>0.8574374898907234</x:v>
      </x:c>
      <x:c r="E2592" s="81" t="n">
        <x:v>-0.08314747198859447</x:v>
      </x:c>
      <x:c r="F2592" s="81" t="n">
        <x:v>0.8343544337898493</x:v>
      </x:c>
      <x:c r="G2592" s="81" t="n">
        <x:v>0.026421547453386065</x:v>
      </x:c>
      <x:c r="H2592" s="59" t="n">
        <x:v>25</x:v>
      </x:c>
      <x:c r="I2592" s="81" t="n">
        <x:v>0.11146669806912542</x:v>
      </x:c>
      <x:c r="J2592" s="79" t="n">
        <x:v>4.950304808453189e-38</x:v>
      </x:c>
      <x:c r="K2592" s="81" t="n">
        <x:v>-1</x:v>
      </x:c>
      <x:c r="L2592" s="81" t="n">
        <x:v>-1</x:v>
      </x:c>
      <x:c r="M2592" s="80" t="n">
        <x:v>0.000002</x:v>
      </x:c>
      <x:c r="N2592" s="82" t="n">
        <x:v>0.3326191147627074</x:v>
      </x:c>
      <x:c r="O2592" s="82" t="n">
        <x:v>0.26216138537146827</x:v>
      </x:c>
      <x:c r="P2592" s="80" t="n">
        <x:v>300.0263452140875</x:v>
      </x:c>
      <x:c r="Q2592" s="81" t="n">
        <x:v>531620110211781360000</x:v>
      </x:c>
      <x:c r="R2592" s="81" t="n">
        <x:v>3.2305719980262855</x:v>
      </x:c>
      <x:c r="S2592" s="81" t="n">
        <x:v>6.355814920288683e-10</x:v>
      </x:c>
      <x:c r="T2592" s="81" t="n">
        <x:v>1.0723440975149166e-33</x:v>
      </x:c>
    </x:row>
    <x:row r="2593">
      <x:c r="A2593" s="59" t="n">
        <x:v>2590</x:v>
      </x:c>
      <x:c r="B2593" s="193" t="n">
        <x:v>0.9244444718584419</x:v>
      </x:c>
      <x:c r="C2593" s="83" t="n">
        <x:v>2.09736139184044</x:v>
      </x:c>
      <x:c r="D2593" s="83" t="n">
        <x:v>0.37086476964180415</x:v>
      </x:c>
      <x:c r="E2593" s="81" t="n">
        <x:v>0.040441474956212656</x:v>
      </x:c>
      <x:c r="F2593" s="81" t="n">
        <x:v>0.36783727594884114</x:v>
      </x:c>
      <x:c r="G2593" s="81" t="n">
        <x:v>-0.031309004038835984</x:v>
      </x:c>
      <x:c r="H2593" s="59" t="n">
        <x:v>0</x:v>
      </x:c>
      <x:c r="I2593" s="81" t="n">
        <x:v>0</x:v>
      </x:c>
      <x:c r="J2593" s="79" t="n">
        <x:v>0.000353220267593648</x:v>
      </x:c>
      <x:c r="K2593" s="81" t="n">
        <x:v>-0.5963196941786879</x:v>
      </x:c>
      <x:c r="L2593" s="81" t="n">
        <x:v>-0.7574150240392882</x:v>
      </x:c>
      <x:c r="M2593" s="80" t="n">
        <x:v>10387.93307392514</x:v>
      </x:c>
      <x:c r="N2593" s="82" t="n">
        <x:v>0.32231375653052796</x:v>
      </x:c>
      <x:c r="O2593" s="82" t="n">
        <x:v>0.11199677610407367</x:v>
      </x:c>
      <x:c r="P2593" s="80" t="n">
        <x:v>8831.527001608916</x:v>
      </x:c>
      <x:c r="Q2593" s="81" t="n">
        <x:v>0.005671761819440479</x:v>
      </x:c>
      <x:c r="R2593" s="81" t="n">
        <x:v>14.60995031414193</x:v>
      </x:c>
      <x:c r="S2593" s="81" t="n">
        <x:v>3.5119874951241434</x:v>
      </x:c>
      <x:c r="T2593" s="81" t="n">
        <x:v>7.6515221533407445</x:v>
      </x:c>
    </x:row>
    <x:row r="2594">
      <x:c r="A2594" s="59" t="n">
        <x:v>2591</x:v>
      </x:c>
      <x:c r="B2594" s="193" t="n">
        <x:v>0.9132590973749757</x:v>
      </x:c>
      <x:c r="C2594" s="83" t="n">
        <x:v>0.42515624992409284</x:v>
      </x:c>
      <x:c r="D2594" s="83" t="n">
        <x:v>0.9586175196928208</x:v>
      </x:c>
      <x:c r="E2594" s="81" t="n">
        <x:v>-0.1222200672678316</x:v>
      </x:c>
      <x:c r="F2594" s="81" t="n">
        <x:v>0.2537926081684418</x:v>
      </x:c>
      <x:c r="G2594" s="81" t="n">
        <x:v>-0.048474323439628035</x:v>
      </x:c>
      <x:c r="H2594" s="59" t="n">
        <x:v>0</x:v>
      </x:c>
      <x:c r="I2594" s="81" t="n">
        <x:v>0</x:v>
      </x:c>
      <x:c r="J2594" s="79" t="n">
        <x:v>7.086821526823907e-39</x:v>
      </x:c>
      <x:c r="K2594" s="81" t="n">
        <x:v>-1</x:v>
      </x:c>
      <x:c r="L2594" s="81" t="n">
        <x:v>-1</x:v>
      </x:c>
      <x:c r="M2594" s="80" t="n">
        <x:v>0.000002</x:v>
      </x:c>
      <x:c r="N2594" s="82" t="n">
        <x:v>0.31964919060279473</x:v>
      </x:c>
      <x:c r="O2594" s="82" t="n">
        <x:v>0.07663435735686494</x:v>
      </x:c>
      <x:c r="P2594" s="80" t="n">
        <x:v>212.42625317889244</x:v>
      </x:c>
      <x:c r="Q2594" s="81" t="n">
        <x:v>2.617452549610292e+21</x:v>
      </x:c>
      <x:c r="R2594" s="81" t="n">
        <x:v>3.181548405069607</x:v>
      </x:c>
      <x:c r="S2594" s="81" t="n">
        <x:v>3.219115429281263e-10</x:v>
      </x:c>
      <x:c r="T2594" s="81" t="n">
        <x:v>1.5351602635567545e-34</x:v>
      </x:c>
    </x:row>
    <x:row r="2595">
      <x:c r="A2595" s="59" t="n">
        <x:v>2592</x:v>
      </x:c>
      <x:c r="B2595" s="193" t="n">
        <x:v>0.9232799584046008</x:v>
      </x:c>
      <x:c r="C2595" s="83" t="n">
        <x:v>0.8947560050968435</x:v>
      </x:c>
      <x:c r="D2595" s="83" t="n">
        <x:v>0.8789187370885837</x:v>
      </x:c>
      <x:c r="E2595" s="81" t="n">
        <x:v>0.1004617382757403</x:v>
      </x:c>
      <x:c r="F2595" s="81" t="n">
        <x:v>0.39724874817766254</x:v>
      </x:c>
      <x:c r="G2595" s="81" t="n">
        <x:v>-0.018651452631284433</x:v>
      </x:c>
      <x:c r="H2595" s="59" t="n">
        <x:v>0</x:v>
      </x:c>
      <x:c r="I2595" s="81" t="n">
        <x:v>0</x:v>
      </x:c>
      <x:c r="J2595" s="79" t="n">
        <x:v>0.006673832998508959</x:v>
      </x:c>
      <x:c r="K2595" s="81" t="n">
        <x:v>6.627237712581668</x:v>
      </x:c>
      <x:c r="L2595" s="81" t="n">
        <x:v>-0.7450250930689937</x:v>
      </x:c>
      <x:c r="M2595" s="80" t="n">
        <x:v>35125.963066544384</x:v>
      </x:c>
      <x:c r="N2595" s="82" t="n">
        <x:v>0.32203634759119587</x:v>
      </x:c>
      <x:c r="O2595" s="82" t="n">
        <x:v>0.12084769508448617</x:v>
      </x:c>
      <x:c r="P2595" s="80" t="n">
        <x:v>53031.03635090561</x:v>
      </x:c>
      <x:c r="Q2595" s="81" t="n">
        <x:v>0.003077075476582915</x:v>
      </x:c>
      <x:c r="R2595" s="81" t="n">
        <x:v>288.3807569769814</x:v>
      </x:c>
      <x:c r="S2595" s="81" t="n">
        <x:v>144.65673572428858</x:v>
      </x:c>
      <x:c r="T2595" s="81" t="n">
        <x:v>144.56979318789828</x:v>
      </x:c>
    </x:row>
    <x:row r="2596">
      <x:c r="A2596" s="59" t="n">
        <x:v>2593</x:v>
      </x:c>
      <x:c r="B2596" s="193" t="n">
        <x:v>0.5603888757526875</x:v>
      </x:c>
      <x:c r="C2596" s="83" t="n">
        <x:v>0.25372872384044065</x:v>
      </x:c>
      <x:c r="D2596" s="83" t="n">
        <x:v>0.7387988930446119</x:v>
      </x:c>
      <x:c r="E2596" s="81" t="n">
        <x:v>-0.05484491680406833</x:v>
      </x:c>
      <x:c r="F2596" s="81" t="n">
        <x:v>0.34139675478218123</x:v>
      </x:c>
      <x:c r="G2596" s="81" t="n">
        <x:v>0.030660255133714027</x:v>
      </x:c>
      <x:c r="H2596" s="59" t="n">
        <x:v>46</x:v>
      </x:c>
      <x:c r="I2596" s="81" t="n">
        <x:v>0.4001206832006574</x:v>
      </x:c>
      <x:c r="J2596" s="79" t="n">
        <x:v>3.697811271447916e-28</x:v>
      </x:c>
      <x:c r="K2596" s="81" t="n">
        <x:v>-1</x:v>
      </x:c>
      <x:c r="L2596" s="81" t="n">
        <x:v>-1</x:v>
      </x:c>
      <x:c r="M2596" s="80" t="n">
        <x:v>0.000002</x:v>
      </x:c>
      <x:c r="N2596" s="82" t="n">
        <x:v>0.2355888874957107</x:v>
      </x:c>
      <x:c r="O2596" s="82" t="n">
        <x:v>0.0759775231781562</x:v>
      </x:c>
      <x:c r="P2596" s="80" t="n">
        <x:v>339.3022701046828</x:v>
      </x:c>
      <x:c r="Q2596" s="81" t="n">
        <x:v>105075699910.91357</x:v>
      </x:c>
      <x:c r="R2596" s="81" t="n">
        <x:v>13.646686375964103</x:v>
      </x:c>
      <x:c r="S2596" s="81" t="n">
        <x:v>7.454165557382671e-10</x:v>
      </x:c>
      <x:c r="T2596" s="81" t="n">
        <x:v>8.010266527204695e-24</x:v>
      </x:c>
    </x:row>
    <x:row r="2597">
      <x:c r="A2597" s="59" t="n">
        <x:v>2594</x:v>
      </x:c>
      <x:c r="B2597" s="193" t="n">
        <x:v>0.8317182686179876</x:v>
      </x:c>
      <x:c r="C2597" s="83" t="n">
        <x:v>0.34331744905283657</x:v>
      </x:c>
      <x:c r="D2597" s="83" t="n">
        <x:v>0.8358308328653699</x:v>
      </x:c>
      <x:c r="E2597" s="81" t="n">
        <x:v>-0.07652179225757447</x:v>
      </x:c>
      <x:c r="F2597" s="81" t="n">
        <x:v>0.5103280387469568</x:v>
      </x:c>
      <x:c r="G2597" s="81" t="n">
        <x:v>0.015909039341692067</x:v>
      </x:c>
      <x:c r="H2597" s="59" t="n">
        <x:v>0</x:v>
      </x:c>
      <x:c r="I2597" s="81" t="n">
        <x:v>0</x:v>
      </x:c>
      <x:c r="J2597" s="79" t="n">
        <x:v>2.9251023923978028e-34</x:v>
      </x:c>
      <x:c r="K2597" s="81" t="n">
        <x:v>-1</x:v>
      </x:c>
      <x:c r="L2597" s="81" t="n">
        <x:v>-1</x:v>
      </x:c>
      <x:c r="M2597" s="80" t="n">
        <x:v>0.000002</x:v>
      </x:c>
      <x:c r="N2597" s="82" t="n">
        <x:v>0.30022463630234136</x:v>
      </x:c>
      <x:c r="O2597" s="82" t="n">
        <x:v>0.14473271183235023</x:v>
      </x:c>
      <x:c r="P2597" s="80" t="n">
        <x:v>272.7411192668371</x:v>
      </x:c>
      <x:c r="Q2597" s="81" t="n">
        <x:v>97160875716413800</x:v>
      </x:c>
      <x:c r="R2597" s="81" t="n">
        <x:v>6.443664670948539</x:v>
      </x:c>
      <x:c r="S2597" s="81" t="n">
        <x:v>6.604564773427683e-10</x:v>
      </x:c>
      <x:c r="T2597" s="81" t="n">
        <x:v>6.33641039589776e-30</x:v>
      </x:c>
    </x:row>
    <x:row r="2598">
      <x:c r="A2598" s="59" t="n">
        <x:v>2595</x:v>
      </x:c>
      <x:c r="B2598" s="193" t="n">
        <x:v>0.37600782308727504</x:v>
      </x:c>
      <x:c r="C2598" s="83" t="n">
        <x:v>2.08541804921924</x:v>
      </x:c>
      <x:c r="D2598" s="83" t="n">
        <x:v>1.6172181653736988</x:v>
      </x:c>
      <x:c r="E2598" s="81" t="n">
        <x:v>-0.1239959705469828</x:v>
      </x:c>
      <x:c r="F2598" s="81" t="n">
        <x:v>0.2634423051495105</x:v>
      </x:c>
      <x:c r="G2598" s="81" t="n">
        <x:v>-0.0471622090824097</x:v>
      </x:c>
      <x:c r="H2598" s="59" t="n">
        <x:v>0</x:v>
      </x:c>
      <x:c r="I2598" s="81" t="n">
        <x:v>0</x:v>
      </x:c>
      <x:c r="J2598" s="79" t="n">
        <x:v>2.312928106310799e-55</x:v>
      </x:c>
      <x:c r="K2598" s="81" t="n">
        <x:v>-1</x:v>
      </x:c>
      <x:c r="L2598" s="81" t="n">
        <x:v>-1</x:v>
      </x:c>
      <x:c r="M2598" s="80" t="n">
        <x:v>0.000002</x:v>
      </x:c>
      <x:c r="N2598" s="82" t="n">
        <x:v>0.1916658636060718</x:v>
      </x:c>
      <x:c r="O2598" s="82" t="n">
        <x:v>0.04769811650322133</x:v>
      </x:c>
      <x:c r="P2598" s="80" t="n">
        <x:v>524.1014224445637</x:v>
      </x:c>
      <x:c r="Q2598" s="81" t="n">
        <x:v>7.9175324039815665e+37</x:v>
      </x:c>
      <x:c r="R2598" s="81" t="n">
        <x:v>0.7377531464462427</x:v>
      </x:c>
      <x:c r="S2598" s="81" t="n">
        <x:v>2.550877166227527e-10</x:v>
      </x:c>
      <x:c r="T2598" s="81" t="n">
        <x:v>5.0103072411691334e-51</x:v>
      </x:c>
    </x:row>
    <x:row r="2599">
      <x:c r="A2599" s="59" t="n">
        <x:v>2596</x:v>
      </x:c>
      <x:c r="B2599" s="193" t="n">
        <x:v>0.4645474771037698</x:v>
      </x:c>
      <x:c r="C2599" s="83" t="n">
        <x:v>0.91487167324676</x:v>
      </x:c>
      <x:c r="D2599" s="83" t="n">
        <x:v>0.22601435994418603</x:v>
      </x:c>
      <x:c r="E2599" s="81" t="n">
        <x:v>0.02464347362604681</x:v>
      </x:c>
      <x:c r="F2599" s="81" t="n">
        <x:v>0.7632685969001614</x:v>
      </x:c>
      <x:c r="G2599" s="81" t="n">
        <x:v>0.056310421224814805</x:v>
      </x:c>
      <x:c r="H2599" s="59" t="n">
        <x:v>11</x:v>
      </x:c>
      <x:c r="I2599" s="81" t="n">
        <x:v>0.24512755824252963</x:v>
      </x:c>
      <x:c r="J2599" s="79" t="n">
        <x:v>0.000059114034378491444</x:v>
      </x:c>
      <x:c r="K2599" s="81" t="n">
        <x:v>-0.9324411035674384</x:v>
      </x:c>
      <x:c r="L2599" s="81" t="n">
        <x:v>-0.965237456822111</x:v>
      </x:c>
      <x:c r="M2599" s="80" t="n">
        <x:v>2584.7210399836167</x:v>
      </x:c>
      <x:c r="N2599" s="82" t="n">
        <x:v>0.2127576693113137</x:v>
      </x:c>
      <x:c r="O2599" s="82" t="n">
        <x:v>0.1534028967438308</x:v>
      </x:c>
      <x:c r="P2599" s="80" t="n">
        <x:v>1834.286862068868</x:v>
      </x:c>
      <x:c r="Q2599" s="81" t="n">
        <x:v>0.011919901399157678</x:v>
      </x:c>
      <x:c r="R2599" s="81" t="n">
        <x:v>11.845690539032551</x:v>
      </x:c>
      <x:c r="S2599" s="81" t="n">
        <x:v>1.4647783089512816</x:v>
      </x:c>
      <x:c r="T2599" s="81" t="n">
        <x:v>1.2805390435316788</x:v>
      </x:c>
    </x:row>
    <x:row r="2600">
      <x:c r="A2600" s="59" t="n">
        <x:v>2597</x:v>
      </x:c>
      <x:c r="B2600" s="193" t="n">
        <x:v>0.9983094519004225</x:v>
      </x:c>
      <x:c r="C2600" s="83" t="n">
        <x:v>0.3268166396829421</x:v>
      </x:c>
      <x:c r="D2600" s="83" t="n">
        <x:v>3</x:v>
      </x:c>
      <x:c r="E2600" s="81" t="n">
        <x:v>0.07454250032739654</x:v>
      </x:c>
      <x:c r="F2600" s="81" t="n">
        <x:v>0.5691710104700178</x:v>
      </x:c>
      <x:c r="G2600" s="81" t="n">
        <x:v>0.015624275438010801</x:v>
      </x:c>
      <x:c r="H2600" s="59" t="n">
        <x:v>0</x:v>
      </x:c>
      <x:c r="I2600" s="81" t="n">
        <x:v>0</x:v>
      </x:c>
      <x:c r="J2600" s="79" t="n">
        <x:v>0.027030427119957547</x:v>
      </x:c>
      <x:c r="K2600" s="81" t="n">
        <x:v>29.891916708522913</x:v>
      </x:c>
      <x:c r="L2600" s="81" t="n">
        <x:v>-0.8335956244145523</x:v>
      </x:c>
      <x:c r="M2600" s="80" t="n">
        <x:v>75509.61203711823</x:v>
      </x:c>
      <x:c r="N2600" s="82" t="n">
        <x:v>0.33990977974490394</x:v>
      </x:c>
      <x:c r="O2600" s="82" t="n">
        <x:v>0.18275841126991135</x:v>
      </x:c>
      <x:c r="P2600" s="80" t="n">
        <x:v>284255.4420689075</x:v>
      </x:c>
      <x:c r="Q2600" s="81" t="n">
        <x:v>0.007660744008884155</x:v>
      </x:c>
      <x:c r="R2600" s="81" t="n">
        <x:v>1248.9187780572913</x:v>
      </x:c>
      <x:c r="S2600" s="81" t="n">
        <x:v>1629.8663178978254</x:v>
      </x:c>
      <x:c r="T2600" s="81" t="n">
        <x:v>585.5380647651629</x:v>
      </x:c>
    </x:row>
    <x:row r="2601">
      <x:c r="A2601" s="59" t="n">
        <x:v>2598</x:v>
      </x:c>
      <x:c r="B2601" s="193" t="n">
        <x:v>0.762085009738803</x:v>
      </x:c>
      <x:c r="C2601" s="83" t="n">
        <x:v>0.24314160036976007</x:v>
      </x:c>
      <x:c r="D2601" s="83" t="n">
        <x:v>1.0547709009698587</x:v>
      </x:c>
      <x:c r="E2601" s="81" t="n">
        <x:v>0.11487734901767295</x:v>
      </x:c>
      <x:c r="F2601" s="81" t="n">
        <x:v>0.6404819884919561</x:v>
      </x:c>
      <x:c r="G2601" s="81" t="n">
        <x:v>0.028168370613256385</x:v>
      </x:c>
      <x:c r="H2601" s="59" t="n">
        <x:v>60</x:v>
      </x:c>
      <x:c r="I2601" s="81" t="n">
        <x:v>0.4735483848489821</x:v>
      </x:c>
      <x:c r="J2601" s="79" t="n">
        <x:v>0.008793310128765358</x:v>
      </x:c>
      <x:c r="K2601" s="81" t="n">
        <x:v>9.049497290017554</x:v>
      </x:c>
      <x:c r="L2601" s="81" t="n">
        <x:v>-0.9619296624644171</x:v>
      </x:c>
      <x:c r="M2601" s="80" t="n">
        <x:v>31991.208643326398</x:v>
      </x:c>
      <x:c r="N2601" s="82" t="n">
        <x:v>0.28363668841371537</x:v>
      </x:c>
      <x:c r="O2601" s="82" t="n">
        <x:v>0.17160908239013142</x:v>
      </x:c>
      <x:c r="P2601" s="80" t="n">
        <x:v>54052.62380051495</x:v>
      </x:c>
      <x:c r="Q2601" s="81" t="n">
        <x:v>0.0042489696113833545</x:v>
      </x:c>
      <x:c r="R2601" s="81" t="n">
        <x:v>602.0797021094616</x:v>
      </x:c>
      <x:c r="S2601" s="81" t="n">
        <x:v>689.5139051493908</x:v>
      </x:c>
      <x:c r="T2601" s="81" t="n">
        <x:v>190.48229511237037</x:v>
      </x:c>
    </x:row>
    <x:row r="2602">
      <x:c r="A2602" s="59" t="n">
        <x:v>2599</x:v>
      </x:c>
      <x:c r="B2602" s="193" t="n">
        <x:v>0.47912204433232547</x:v>
      </x:c>
      <x:c r="C2602" s="83" t="n">
        <x:v>0.8743807435470834</x:v>
      </x:c>
      <x:c r="D2602" s="83" t="n">
        <x:v>1.054795785744013</x:v>
      </x:c>
      <x:c r="E2602" s="81" t="n">
        <x:v>0.06446130283359854</x:v>
      </x:c>
      <x:c r="F2602" s="81" t="n">
        <x:v>0.4696915696025826</x:v>
      </x:c>
      <x:c r="G2602" s="81" t="n">
        <x:v>0.007018513992294107</x:v>
      </x:c>
      <x:c r="H2602" s="59" t="n">
        <x:v>0</x:v>
      </x:c>
      <x:c r="I2602" s="81" t="n">
        <x:v>0</x:v>
      </x:c>
      <x:c r="J2602" s="79" t="n">
        <x:v>0.010665707749105907</x:v>
      </x:c>
      <x:c r="K2602" s="81" t="n">
        <x:v>11.189380284692467</x:v>
      </x:c>
      <x:c r="L2602" s="81" t="n">
        <x:v>-0.6707959293108376</x:v>
      </x:c>
      <x:c r="M2602" s="80" t="n">
        <x:v>42772.041929347164</x:v>
      </x:c>
      <x:c r="N2602" s="82" t="n">
        <x:v>0.2162296044982912</x:v>
      </x:c>
      <x:c r="O2602" s="82" t="n">
        <x:v>0.09593981153404008</x:v>
      </x:c>
      <x:c r="P2602" s="80" t="n">
        <x:v>78413.34123085019</x:v>
      </x:c>
      <x:c r="Q2602" s="81" t="n">
        <x:v>0.00371338986965716</x:v>
      </x:c>
      <x:c r="R2602" s="81" t="n">
        <x:v>239.6919246264386</x:v>
      </x:c>
      <x:c r="S2602" s="81" t="n">
        <x:v>238.57672265508378</x:v>
      </x:c>
      <x:c r="T2602" s="81" t="n">
        <x:v>231.04251542334057</x:v>
      </x:c>
    </x:row>
    <x:row r="2603">
      <x:c r="A2603" s="59" t="n">
        <x:v>2600</x:v>
      </x:c>
      <x:c r="B2603" s="193" t="n">
        <x:v>0.20112300403416158</x:v>
      </x:c>
      <x:c r="C2603" s="83" t="n">
        <x:v>0.5495459654636633</x:v>
      </x:c>
      <x:c r="D2603" s="83" t="n">
        <x:v>0.5352676192421271</x:v>
      </x:c>
      <x:c r="E2603" s="81" t="n">
        <x:v>-0.06489165333270798</x:v>
      </x:c>
      <x:c r="F2603" s="81" t="n">
        <x:v>0.4813150166766718</x:v>
      </x:c>
      <x:c r="G2603" s="81" t="n">
        <x:v>-0.015380948253036994</x:v>
      </x:c>
      <x:c r="H2603" s="59" t="n">
        <x:v>0</x:v>
      </x:c>
      <x:c r="I2603" s="81" t="n">
        <x:v>0</x:v>
      </x:c>
      <x:c r="J2603" s="79" t="n">
        <x:v>3.5660009666842e-23</x:v>
      </x:c>
      <x:c r="K2603" s="81" t="n">
        <x:v>-1</x:v>
      </x:c>
      <x:c r="L2603" s="81" t="n">
        <x:v>-1</x:v>
      </x:c>
      <x:c r="M2603" s="80" t="n">
        <x:v>0.000002</x:v>
      </x:c>
      <x:c r="N2603" s="82" t="n">
        <x:v>0.15000502061726298</x:v>
      </x:c>
      <x:c r="O2603" s="82" t="n">
        <x:v>0.0682034193531003</x:v>
      </x:c>
      <x:c r="P2603" s="80" t="n">
        <x:v>353.533157598124</x:v>
      </x:c>
      <x:c r="Q2603" s="81" t="n">
        <x:v>929672.3770002892</x:v>
      </x:c>
      <x:c r="R2603" s="81" t="n">
        <x:v>7.685581688735523</x:v>
      </x:c>
      <x:c r="S2603" s="81" t="n">
        <x:v>2.505921565440336e-10</x:v>
      </x:c>
      <x:c r="T2603" s="81" t="n">
        <x:v>7.724736630007961e-19</x:v>
      </x:c>
    </x:row>
    <x:row r="2604">
      <x:c r="A2604" s="59" t="n">
        <x:v>2601</x:v>
      </x:c>
      <x:c r="B2604" s="193" t="n">
        <x:v>0.4033451506868005</x:v>
      </x:c>
      <x:c r="C2604" s="83" t="n">
        <x:v>0.5813472720693802</x:v>
      </x:c>
      <x:c r="D2604" s="83" t="n">
        <x:v>1.182014837849313</x:v>
      </x:c>
      <x:c r="E2604" s="81" t="n">
        <x:v>-0.14526059942821884</x:v>
      </x:c>
      <x:c r="F2604" s="81" t="n">
        <x:v>0.750733320764266</x:v>
      </x:c>
      <x:c r="G2604" s="81" t="n">
        <x:v>0.012616716485138332</x:v>
      </x:c>
      <x:c r="H2604" s="59" t="n">
        <x:v>81</x:v>
      </x:c>
      <x:c r="I2604" s="81" t="n">
        <x:v>0.3875616853125393</x:v>
      </x:c>
      <x:c r="J2604" s="79" t="n">
        <x:v>2.974579017956056e-63</x:v>
      </x:c>
      <x:c r="K2604" s="81" t="n">
        <x:v>-1</x:v>
      </x:c>
      <x:c r="L2604" s="81" t="n">
        <x:v>-1</x:v>
      </x:c>
      <x:c r="M2604" s="80" t="n">
        <x:v>0.000002</x:v>
      </x:c>
      <x:c r="N2604" s="82" t="n">
        <x:v>0.19817812761517134</x:v>
      </x:c>
      <x:c r="O2604" s="82" t="n">
        <x:v>0.1405440146002393</x:v>
      </x:c>
      <x:c r="P2604" s="80" t="n">
        <x:v>216.30209964736343</x:v>
      </x:c>
      <x:c r="Q2604" s="81" t="n">
        <x:v>5.354584528021973e+45</x:v>
      </x:c>
      <x:c r="R2604" s="81" t="n">
        <x:v>1.6560857182918494</x:v>
      </x:c>
      <x:c r="S2604" s="81" t="n">
        <x:v>7.626906223100884e-10</x:v>
      </x:c>
      <x:c r="T2604" s="81" t="n">
        <x:v>6.443587568688715e-59</x:v>
      </x:c>
    </x:row>
    <x:row r="2605">
      <x:c r="A2605" s="59" t="n">
        <x:v>2602</x:v>
      </x:c>
      <x:c r="B2605" s="193" t="n">
        <x:v>0.5729512030258774</x:v>
      </x:c>
      <x:c r="C2605" s="83" t="n">
        <x:v>0.32091796358766567</x:v>
      </x:c>
      <x:c r="D2605" s="83" t="n">
        <x:v>0.9879595678136507</x:v>
      </x:c>
      <x:c r="E2605" s="81" t="n">
        <x:v>-0.02641211764647312</x:v>
      </x:c>
      <x:c r="F2605" s="81" t="n">
        <x:v>0.46946872944245116</x:v>
      </x:c>
      <x:c r="G2605" s="81" t="n">
        <x:v>0.014864164611322832</x:v>
      </x:c>
      <x:c r="H2605" s="59" t="n">
        <x:v>0</x:v>
      </x:c>
      <x:c r="I2605" s="81" t="n">
        <x:v>0</x:v>
      </x:c>
      <x:c r="J2605" s="79" t="n">
        <x:v>8.599596633574937e-22</x:v>
      </x:c>
      <x:c r="K2605" s="81" t="n">
        <x:v>-1</x:v>
      </x:c>
      <x:c r="L2605" s="81" t="n">
        <x:v>-1</x:v>
      </x:c>
      <x:c r="M2605" s="80" t="n">
        <x:v>0.000006956907506168163</x:v>
      </x:c>
      <x:c r="N2605" s="82" t="n">
        <x:v>0.23858146939582078</x:v>
      </x:c>
      <x:c r="O2605" s="82" t="n">
        <x:v>0.10580698050794018</x:v>
      </x:c>
      <x:c r="P2605" s="80" t="n">
        <x:v>642.7690110268579</x:v>
      </x:c>
      <x:c r="Q2605" s="81" t="n">
        <x:v>317556.8535151054</x:v>
      </x:c>
      <x:c r="R2605" s="81" t="n">
        <x:v>14.819955624981738</x:v>
      </x:c>
      <x:c r="S2605" s="81" t="n">
        <x:v>2.895809525837017e-9</x:v>
      </x:c>
      <x:c r="T2605" s="81" t="n">
        <x:v>1.8628603788752806e-17</x:v>
      </x:c>
    </x:row>
    <x:row r="2606">
      <x:c r="A2606" s="59" t="n">
        <x:v>2603</x:v>
      </x:c>
      <x:c r="B2606" s="193" t="n">
        <x:v>0.6370630247518421</x:v>
      </x:c>
      <x:c r="C2606" s="83" t="n">
        <x:v>0.8855942678681121</x:v>
      </x:c>
      <x:c r="D2606" s="83" t="n">
        <x:v>0.7719550192482448</x:v>
      </x:c>
      <x:c r="E2606" s="81" t="n">
        <x:v>-0.01719397504585341</x:v>
      </x:c>
      <x:c r="F2606" s="81" t="n">
        <x:v>0.42363120294176043</x:v>
      </x:c>
      <x:c r="G2606" s="81" t="n">
        <x:v>0.0006857534433166643</x:v>
      </x:c>
      <x:c r="H2606" s="59" t="n">
        <x:v>0</x:v>
      </x:c>
      <x:c r="I2606" s="81" t="n">
        <x:v>0</x:v>
      </x:c>
      <x:c r="J2606" s="79" t="n">
        <x:v>8.092062968198111e-13</x:v>
      </x:c>
      <x:c r="K2606" s="81" t="n">
        <x:v>-0.9999999990751928</x:v>
      </x:c>
      <x:c r="L2606" s="81" t="n">
        <x:v>-0.9999999990751928</x:v>
      </x:c>
      <x:c r="M2606" s="80" t="n">
        <x:v>0.29569227554466476</x:v>
      </x:c>
      <x:c r="N2606" s="82" t="n">
        <x:v>0.25385410742760295</x:v>
      </x:c>
      <x:c r="O2606" s="82" t="n">
        <x:v>0.10158815609641408</x:v>
      </x:c>
      <x:c r="P2606" s="80" t="n">
        <x:v>1218.0972615062708</x:v>
      </x:c>
      <x:c r="Q2606" s="81" t="n">
        <x:v>21.823669099558256</x:v>
      </x:c>
      <x:c r="R2606" s="81" t="n">
        <x:v>9.124997354296942</x:v>
      </x:c>
      <x:c r="S2606" s="81" t="n">
        <x:v>0.000054900280164054065</x:v>
      </x:c>
      <x:c r="T2606" s="81" t="n">
        <x:v>1.7529175063823424e-8</x:v>
      </x:c>
    </x:row>
    <x:row r="2607">
      <x:c r="A2607" s="59" t="n">
        <x:v>2604</x:v>
      </x:c>
      <x:c r="B2607" s="193" t="n">
        <x:v>0.2628402015194297</x:v>
      </x:c>
      <x:c r="C2607" s="83" t="n">
        <x:v>0.6889490232372177</x:v>
      </x:c>
      <x:c r="D2607" s="83" t="n">
        <x:v>0.12388251650351595</x:v>
      </x:c>
      <x:c r="E2607" s="81" t="n">
        <x:v>-0.06282545531309251</x:v>
      </x:c>
      <x:c r="F2607" s="81" t="n">
        <x:v>0.6781320798909292</x:v>
      </x:c>
      <x:c r="G2607" s="81" t="n">
        <x:v>0.006281823341016456</x:v>
      </x:c>
      <x:c r="H2607" s="59" t="n">
        <x:v>0</x:v>
      </x:c>
      <x:c r="I2607" s="81" t="n">
        <x:v>0</x:v>
      </x:c>
      <x:c r="J2607" s="79" t="n">
        <x:v>4.5918656375911306e-10</x:v>
      </x:c>
      <x:c r="K2607" s="81" t="n">
        <x:v>-0.9999994752153557</x:v>
      </x:c>
      <x:c r="L2607" s="81" t="n">
        <x:v>-0.9999994752153557</x:v>
      </x:c>
      <x:c r="M2607" s="80" t="n">
        <x:v>6.250662836494466</x:v>
      </x:c>
      <x:c r="N2607" s="82" t="n">
        <x:v>0.16470721425570667</x:v>
      </x:c>
      <x:c r="O2607" s="82" t="n">
        <x:v>0.10551102776647404</x:v>
      </x:c>
      <x:c r="P2607" s="80" t="n">
        <x:v>234.74304831528482</x:v>
      </x:c>
      <x:c r="Q2607" s="81" t="n">
        <x:v>0.22927804119587658</x:v>
      </x:c>
      <x:c r="R2607" s="81" t="n">
        <x:v>12.36437795442206</x:v>
      </x:c>
      <x:c r="S2607" s="81" t="n">
        <x:v>0.00023273477644753893</x:v>
      </x:c>
      <x:c r="T2607" s="81" t="n">
        <x:v>0.000009946983475934743</x:v>
      </x:c>
    </x:row>
    <x:row r="2608">
      <x:c r="A2608" s="59" t="n">
        <x:v>2605</x:v>
      </x:c>
      <x:c r="B2608" s="193" t="n">
        <x:v>0.2386662542819977</x:v>
      </x:c>
      <x:c r="C2608" s="83" t="n">
        <x:v>0.3268209692950853</x:v>
      </x:c>
      <x:c r="D2608" s="83" t="n">
        <x:v>0.24951429141448742</x:v>
      </x:c>
      <x:c r="E2608" s="81" t="n">
        <x:v>-0.010320104396591409</x:v>
      </x:c>
      <x:c r="F2608" s="81" t="n">
        <x:v>0.46215293084969744</x:v>
      </x:c>
      <x:c r="G2608" s="81" t="n">
        <x:v>-0.05</x:v>
      </x:c>
      <x:c r="H2608" s="59" t="n">
        <x:v>0</x:v>
      </x:c>
      <x:c r="I2608" s="81" t="n">
        <x:v>0</x:v>
      </x:c>
      <x:c r="J2608" s="79" t="n">
        <x:v>5.733693331510264e-7</x:v>
      </x:c>
      <x:c r="K2608" s="81" t="n">
        <x:v>-0.9993447207621131</x:v>
      </x:c>
      <x:c r="L2608" s="81" t="n">
        <x:v>-0.9993447207621131</x:v>
      </x:c>
      <x:c r="M2608" s="80" t="n">
        <x:v>171.69273704527714</x:v>
      </x:c>
      <x:c r="N2608" s="82" t="n">
        <x:v>0.15894852676223964</x:v>
      </x:c>
      <x:c r="O2608" s="82" t="n">
        <x:v>0.06939260006813011</x:v>
      </x:c>
      <x:c r="P2608" s="80" t="n">
        <x:v>520.7104967433485</x:v>
      </x:c>
      <x:c r="Q2608" s="81" t="n">
        <x:v>0.015471939122625362</x:v>
      </x:c>
      <x:c r="R2608" s="81" t="n">
        <x:v>33.80825950245998</x:v>
      </x:c>
      <x:c r="S2608" s="81" t="n">
        <x:v>0.04021670794748982</x:v>
      </x:c>
      <x:c r="T2608" s="81" t="n">
        <x:v>0.012420431546975546</x:v>
      </x:c>
    </x:row>
    <x:row r="2609">
      <x:c r="A2609" s="59" t="n">
        <x:v>2606</x:v>
      </x:c>
      <x:c r="B2609" s="193" t="n">
        <x:v>0.3762784358114004</x:v>
      </x:c>
      <x:c r="C2609" s="83" t="n">
        <x:v>0.34723242759777817</x:v>
      </x:c>
      <x:c r="D2609" s="83" t="n">
        <x:v>0.6022887957844119</x:v>
      </x:c>
      <x:c r="E2609" s="81" t="n">
        <x:v>-0.0937963773879972</x:v>
      </x:c>
      <x:c r="F2609" s="81" t="n">
        <x:v>0.6046470031491481</x:v>
      </x:c>
      <x:c r="G2609" s="81" t="n">
        <x:v>0.05882076926586238</x:v>
      </x:c>
      <x:c r="H2609" s="59" t="n">
        <x:v>0</x:v>
      </x:c>
      <x:c r="I2609" s="81" t="n">
        <x:v>0</x:v>
      </x:c>
      <x:c r="J2609" s="79" t="n">
        <x:v>3.012229810054978e-37</x:v>
      </x:c>
      <x:c r="K2609" s="81" t="n">
        <x:v>-1</x:v>
      </x:c>
      <x:c r="L2609" s="81" t="n">
        <x:v>-1</x:v>
      </x:c>
      <x:c r="M2609" s="80" t="n">
        <x:v>0.000002</x:v>
      </x:c>
      <x:c r="N2609" s="82" t="n">
        <x:v>0.19173032863094716</x:v>
      </x:c>
      <x:c r="O2609" s="82" t="n">
        <x:v>0.10951249239957307</x:v>
      </x:c>
      <x:c r="P2609" s="80" t="n">
        <x:v>223.29553889473877</x:v>
      </x:c>
      <x:c r="Q2609" s="81" t="n">
        <x:v>78209068672630260000</x:v>
      </x:c>
      <x:c r="R2609" s="81" t="n">
        <x:v>7.201164639371077</x:v>
      </x:c>
      <x:c r="S2609" s="81" t="n">
        <x:v>7.850057849264919e-10</x:v>
      </x:c>
      <x:c r="T2609" s="81" t="n">
        <x:v>6.52514740436812e-33</x:v>
      </x:c>
    </x:row>
    <x:row r="2610">
      <x:c r="A2610" s="59" t="n">
        <x:v>2607</x:v>
      </x:c>
      <x:c r="B2610" s="193" t="n">
        <x:v>0.4223755596205592</x:v>
      </x:c>
      <x:c r="C2610" s="83" t="n">
        <x:v>1.4187639309077376</x:v>
      </x:c>
      <x:c r="D2610" s="83" t="n">
        <x:v>0.37668397302688106</x:v>
      </x:c>
      <x:c r="E2610" s="81" t="n">
        <x:v>-0.07356180432398352</x:v>
      </x:c>
      <x:c r="F2610" s="81" t="n">
        <x:v>0.4992955301655456</x:v>
      </x:c>
      <x:c r="G2610" s="81" t="n">
        <x:v>-0.024699115696368287</x:v>
      </x:c>
      <x:c r="H2610" s="59" t="n">
        <x:v>0</x:v>
      </x:c>
      <x:c r="I2610" s="81" t="n">
        <x:v>0</x:v>
      </x:c>
      <x:c r="J2610" s="79" t="n">
        <x:v>9.579237621025198e-19</x:v>
      </x:c>
      <x:c r="K2610" s="81" t="n">
        <x:v>-0.9999999999999989</x:v>
      </x:c>
      <x:c r="L2610" s="81" t="n">
        <x:v>-0.9999999999999989</x:v>
      </x:c>
      <x:c r="M2610" s="80" t="n">
        <x:v>0.00042092406743615907</x:v>
      </x:c>
      <x:c r="N2610" s="82" t="n">
        <x:v>0.20271152784336025</x:v>
      </x:c>
      <x:c r="O2610" s="82" t="n">
        <x:v>0.09561082529114263</x:v>
      </x:c>
      <x:c r="P2610" s="80" t="n">
        <x:v>472.12689125334026</x:v>
      </x:c>
      <x:c r="Q2610" s="81" t="n">
        <x:v>6477.570072458148</x:v>
      </x:c>
      <x:c r="R2610" s="81" t="n">
        <x:v>3.791032074365392</x:v>
      </x:c>
      <x:c r="S2610" s="81" t="n">
        <x:v>2.2036625727445984e-8</x:v>
      </x:c>
      <x:c r="T2610" s="81" t="n">
        <x:v>2.075072004466923e-14</x:v>
      </x:c>
    </x:row>
    <x:row r="2611">
      <x:c r="A2611" s="59" t="n">
        <x:v>2608</x:v>
      </x:c>
      <x:c r="B2611" s="193" t="n">
        <x:v>0.9257220434024931</x:v>
      </x:c>
      <x:c r="C2611" s="83" t="n">
        <x:v>0.6896473056283347</x:v>
      </x:c>
      <x:c r="D2611" s="83" t="n">
        <x:v>2.614017028279158</x:v>
      </x:c>
      <x:c r="E2611" s="81" t="n">
        <x:v>0.13773995201059525</x:v>
      </x:c>
      <x:c r="F2611" s="81" t="n">
        <x:v>0.80215203583939</x:v>
      </x:c>
      <x:c r="G2611" s="81" t="n">
        <x:v>-0.005714901726811538</x:v>
      </x:c>
      <x:c r="H2611" s="59" t="n">
        <x:v>0</x:v>
      </x:c>
      <x:c r="I2611" s="81" t="n">
        <x:v>0</x:v>
      </x:c>
      <x:c r="J2611" s="79" t="n">
        <x:v>0.045876298003030516</x:v>
      </x:c>
      <x:c r="K2611" s="81" t="n">
        <x:v>51.43005486060631</x:v>
      </x:c>
      <x:c r="L2611" s="81" t="n">
        <x:v>-0.8582617829963245</x:v>
      </x:c>
      <x:c r="M2611" s="80" t="n">
        <x:v>149404.1374763684</x:v>
      </x:c>
      <x:c r="N2611" s="82" t="n">
        <x:v>0.3226180980267876</x:v>
      </x:c>
      <x:c r="O2611" s="82" t="n">
        <x:v>0.24446481332053127</x:v>
      </x:c>
      <x:c r="P2611" s="80" t="n">
        <x:v>409145.1639330237</x:v>
      </x:c>
      <x:c r="Q2611" s="81" t="n">
        <x:v>0.0062819014917823495</x:v>
      </x:c>
      <x:c r="R2611" s="81" t="n">
        <x:v>1093.0991960437675</x:v>
      </x:c>
      <x:c r="S2611" s="81" t="n">
        <x:v>1336.7852806267765</x:v>
      </x:c>
      <x:c r="T2611" s="81" t="n">
        <x:v>993.7807727592647</x:v>
      </x:c>
    </x:row>
    <x:row r="2612">
      <x:c r="A2612" s="59" t="n">
        <x:v>2609</x:v>
      </x:c>
      <x:c r="B2612" s="193" t="n">
        <x:v>0.8083114724606275</x:v>
      </x:c>
      <x:c r="C2612" s="83" t="n">
        <x:v>0.392228273439925</x:v>
      </x:c>
      <x:c r="D2612" s="83" t="n">
        <x:v>1.0323018307764935</x:v>
      </x:c>
      <x:c r="E2612" s="81" t="n">
        <x:v>0.04349784915567891</x:v>
      </x:c>
      <x:c r="F2612" s="81" t="n">
        <x:v>0.8697317290818319</x:v>
      </x:c>
      <x:c r="G2612" s="81" t="n">
        <x:v>-0.01808855291713937</x:v>
      </x:c>
      <x:c r="H2612" s="59" t="n">
        <x:v>85</x:v>
      </x:c>
      <x:c r="I2612" s="81" t="n">
        <x:v>0.3530549316667021</x:v>
      </x:c>
      <x:c r="J2612" s="79" t="n">
        <x:v>0.0002053926384349813</x:v>
      </x:c>
      <x:c r="K2612" s="81" t="n">
        <x:v>-0.765265556074307</x:v>
      </x:c>
      <x:c r="L2612" s="81" t="n">
        <x:v>-0.9191886603982855</x:v>
      </x:c>
      <x:c r="M2612" s="80" t="n">
        <x:v>3975.4795740380687</x:v>
      </x:c>
      <x:c r="N2612" s="82" t="n">
        <x:v>0.2946486985802302</x:v>
      </x:c>
      <x:c r="O2612" s="82" t="n">
        <x:v>0.2420810437236531</x:v>
      </x:c>
      <x:c r="P2612" s="80" t="n">
        <x:v>8413.362056016562</x:v>
      </x:c>
      <x:c r="Q2612" s="81" t="n">
        <x:v>0.012460495828149015</x:v>
      </x:c>
      <x:c r="R2612" s="81" t="n">
        <x:v>62.83195565440338</x:v>
      </x:c>
      <x:c r="S2612" s="81" t="n">
        <x:v>10.797916872191502</x:v>
      </x:c>
      <x:c r="T2612" s="81" t="n">
        <x:v>4.449252965648981</x:v>
      </x:c>
    </x:row>
    <x:row r="2613">
      <x:c r="A2613" s="59" t="n">
        <x:v>2610</x:v>
      </x:c>
      <x:c r="B2613" s="193" t="n">
        <x:v>0.8621736086905003</x:v>
      </x:c>
      <x:c r="C2613" s="83" t="n">
        <x:v>1.1174210818772583</x:v>
      </x:c>
      <x:c r="D2613" s="83" t="n">
        <x:v>0.4598782008425267</x:v>
      </x:c>
      <x:c r="E2613" s="81" t="n">
        <x:v>-0.0740115605557642</x:v>
      </x:c>
      <x:c r="F2613" s="81" t="n">
        <x:v>0.3530695471446961</x:v>
      </x:c>
      <x:c r="G2613" s="81" t="n">
        <x:v>0.03901985875938785</x:v>
      </x:c>
      <x:c r="H2613" s="59" t="n">
        <x:v>60</x:v>
      </x:c>
      <x:c r="I2613" s="81" t="n">
        <x:v>0.10859693717211485</x:v>
      </x:c>
      <x:c r="J2613" s="79" t="n">
        <x:v>9.330266114768287e-27</x:v>
      </x:c>
      <x:c r="K2613" s="81" t="n">
        <x:v>-1</x:v>
      </x:c>
      <x:c r="L2613" s="81" t="n">
        <x:v>-1</x:v>
      </x:c>
      <x:c r="M2613" s="80" t="n">
        <x:v>0.000002</x:v>
      </x:c>
      <x:c r="N2613" s="82" t="n">
        <x:v>0.30747966934524007</x:v>
      </x:c>
      <x:c r="O2613" s="82" t="n">
        <x:v>0.10255282015138563</x:v>
      </x:c>
      <x:c r="P2613" s="80" t="n">
        <x:v>420.61877093576925</x:v>
      </x:c>
      <x:c r="Q2613" s="81" t="n">
        <x:v>3142028824.663195</x:v>
      </x:c>
      <x:c r="R2613" s="81" t="n">
        <x:v>3.951400265330565</x:v>
      </x:c>
      <x:c r="S2613" s="81" t="n">
        <x:v>3.0310738511996516e-10</x:v>
      </x:c>
      <x:c r="T2613" s="81" t="n">
        <x:v>2.0211393406180029e-22</x:v>
      </x:c>
    </x:row>
    <x:row r="2614">
      <x:c r="A2614" s="59" t="n">
        <x:v>2611</x:v>
      </x:c>
      <x:c r="B2614" s="193" t="n">
        <x:v>0.9338336419314146</x:v>
      </x:c>
      <x:c r="C2614" s="83" t="n">
        <x:v>1.0657678097864733</x:v>
      </x:c>
      <x:c r="D2614" s="83" t="n">
        <x:v>0.5888961030197165</x:v>
      </x:c>
      <x:c r="E2614" s="81" t="n">
        <x:v>0.05719009898627253</x:v>
      </x:c>
      <x:c r="F2614" s="81" t="n">
        <x:v>0.5459027088363655</x:v>
      </x:c>
      <x:c r="G2614" s="81" t="n">
        <x:v>0.04035920526461936</x:v>
      </x:c>
      <x:c r="H2614" s="59" t="n">
        <x:v>0</x:v>
      </x:c>
      <x:c r="I2614" s="81" t="n">
        <x:v>0</x:v>
      </x:c>
      <x:c r="J2614" s="79" t="n">
        <x:v>0.0019962546680676882</x:v>
      </x:c>
      <x:c r="K2614" s="81" t="n">
        <x:v>1.2814339063630724</x:v>
      </x:c>
      <x:c r="L2614" s="81" t="n">
        <x:v>-0.7054766016566374</x:v>
      </x:c>
      <x:c r="M2614" s="80" t="n">
        <x:v>18538.013094088976</x:v>
      </x:c>
      <x:c r="N2614" s="82" t="n">
        <x:v>0.32455043288884944</x:v>
      </x:c>
      <x:c r="O2614" s="82" t="n">
        <x:v>0.16736644209317345</x:v>
      </x:c>
      <x:c r="P2614" s="80" t="n">
        <x:v>22499.50594333353</x:v>
      </x:c>
      <x:c r="Q2614" s="81" t="n">
        <x:v>0.006787022913292004</x:v>
      </x:c>
      <x:c r="R2614" s="81" t="n">
        <x:v>37.91436180513561</x:v>
      </x:c>
      <x:c r="S2614" s="81" t="n">
        <x:v>38.70154499209239</x:v>
      </x:c>
      <x:c r="T2614" s="81" t="n">
        <x:v>43.24323437182197</x:v>
      </x:c>
    </x:row>
    <x:row r="2615">
      <x:c r="A2615" s="59" t="n">
        <x:v>2612</x:v>
      </x:c>
      <x:c r="B2615" s="193" t="n">
        <x:v>0.2619411338120699</x:v>
      </x:c>
      <x:c r="C2615" s="83" t="n">
        <x:v>1.000796485944762</x:v>
      </x:c>
      <x:c r="D2615" s="83" t="n">
        <x:v>0.37257632513662053</x:v>
      </x:c>
      <x:c r="E2615" s="81" t="n">
        <x:v>-0.027403683372566174</x:v>
      </x:c>
      <x:c r="F2615" s="81" t="n">
        <x:v>0.3945369352470152</x:v>
      </x:c>
      <x:c r="G2615" s="81" t="n">
        <x:v>0.028314284841900544</x:v>
      </x:c>
      <x:c r="H2615" s="59" t="n">
        <x:v>0</x:v>
      </x:c>
      <x:c r="I2615" s="81" t="n">
        <x:v>0</x:v>
      </x:c>
      <x:c r="J2615" s="79" t="n">
        <x:v>5.6894953882452115e-12</x:v>
      </x:c>
      <x:c r="K2615" s="81" t="n">
        <x:v>-0.9999999934977195</x:v>
      </x:c>
      <x:c r="L2615" s="81" t="n">
        <x:v>-0.9999999934977195</x:v>
      </x:c>
      <x:c r="M2615" s="80" t="n">
        <x:v>0.829592244758624</x:v>
      </x:c>
      <x:c r="N2615" s="82" t="n">
        <x:v>0.16449303947029412</x:v>
      </x:c>
      <x:c r="O2615" s="82" t="n">
        <x:v>0.061306445104537</x:v>
      </x:c>
      <x:c r="P2615" s="80" t="n">
        <x:v>850.132800795924</x:v>
      </x:c>
      <x:c r="Q2615" s="81" t="n">
        <x:v>5.517081156041256</x:v>
      </x:c>
      <x:c r="R2615" s="81" t="n">
        <x:v>9.58393054260116</x:v>
      </x:c>
      <x:c r="S2615" s="81" t="n">
        <x:v>0.00009783914227549607</x:v>
      </x:c>
      <x:c r="T2615" s="81" t="n">
        <x:v>1.23246891524837e-7</x:v>
      </x:c>
    </x:row>
    <x:row r="2616">
      <x:c r="A2616" s="59" t="n">
        <x:v>2613</x:v>
      </x:c>
      <x:c r="B2616" s="193" t="n">
        <x:v>0.6562462633475661</x:v>
      </x:c>
      <x:c r="C2616" s="83" t="n">
        <x:v>1.8138372711629394</x:v>
      </x:c>
      <x:c r="D2616" s="83" t="n">
        <x:v>0.4399978995190723</x:v>
      </x:c>
      <x:c r="E2616" s="81" t="n">
        <x:v>0.08945993487443456</x:v>
      </x:c>
      <x:c r="F2616" s="81" t="n">
        <x:v>0.48050310495309534</x:v>
      </x:c>
      <x:c r="G2616" s="81" t="n">
        <x:v>-0.003302612004034463</x:v>
      </x:c>
      <x:c r="H2616" s="59" t="n">
        <x:v>12</x:v>
      </x:c>
      <x:c r="I2616" s="81" t="n">
        <x:v>0.20837170900776983</x:v>
      </x:c>
      <x:c r="J2616" s="79" t="n">
        <x:v>0.003795484362477859</x:v>
      </x:c>
      <x:c r="K2616" s="81" t="n">
        <x:v>3.337696414260411</x:v>
      </x:c>
      <x:c r="L2616" s="81" t="n">
        <x:v>-0.4885386449788176</x:v>
      </x:c>
      <x:c r="M2616" s="80" t="n">
        <x:v>34184.163081247156</x:v>
      </x:c>
      <x:c r="N2616" s="82" t="n">
        <x:v>0.258423914546828</x:v>
      </x:c>
      <x:c r="O2616" s="82" t="n">
        <x:v>0.11730049397307313</x:v>
      </x:c>
      <x:c r="P2616" s="80" t="n">
        <x:v>28968.298260080166</x:v>
      </x:c>
      <x:c r="Q2616" s="81" t="n">
        <x:v>0.0031911278490099585</x:v>
      </x:c>
      <x:c r="R2616" s="81" t="n">
        <x:v>36.72098612822397</x:v>
      </x:c>
      <x:c r="S2616" s="81" t="n">
        <x:v>41.283687066834005</x:v>
      </x:c>
      <x:c r="T2616" s="81" t="n">
        <x:v>82.21847766552102</x:v>
      </x:c>
    </x:row>
    <x:row r="2617">
      <x:c r="A2617" s="59" t="n">
        <x:v>2614</x:v>
      </x:c>
      <x:c r="B2617" s="193" t="n">
        <x:v>0.3869436899200082</x:v>
      </x:c>
      <x:c r="C2617" s="83" t="n">
        <x:v>1.1118391063993018</x:v>
      </x:c>
      <x:c r="D2617" s="83" t="n">
        <x:v>0.1947068606796703</x:v>
      </x:c>
      <x:c r="E2617" s="81" t="n">
        <x:v>-0.06290979816786361</x:v>
      </x:c>
      <x:c r="F2617" s="81" t="n">
        <x:v>0.379372063104529</x:v>
      </x:c>
      <x:c r="G2617" s="81" t="n">
        <x:v>0.0037528980213900748</x:v>
      </x:c>
      <x:c r="H2617" s="59" t="n">
        <x:v>0</x:v>
      </x:c>
      <x:c r="I2617" s="81" t="n">
        <x:v>0</x:v>
      </x:c>
      <x:c r="J2617" s="79" t="n">
        <x:v>3.766112813658592e-12</x:v>
      </x:c>
      <x:c r="K2617" s="81" t="n">
        <x:v>-0.9999999956958711</x:v>
      </x:c>
      <x:c r="L2617" s="81" t="n">
        <x:v>-0.9999999956958711</x:v>
      </x:c>
      <x:c r="M2617" s="80" t="n">
        <x:v>0.7128434372911325</x:v>
      </x:c>
      <x:c r="N2617" s="82" t="n">
        <x:v>0.19427099213313187</x:v>
      </x:c>
      <x:c r="O2617" s="82" t="n">
        <x:v>0.06962163952617534</x:v>
      </x:c>
      <x:c r="P2617" s="80" t="n">
        <x:v>409.55726850078565</x:v>
      </x:c>
      <x:c r="Q2617" s="81" t="n">
        <x:v>3.228014064998247</x:v>
      </x:c>
      <x:c r="R2617" s="81" t="n">
        <x:v>7.691573945842744</x:v>
      </x:c>
      <x:c r="S2617" s="81" t="n">
        <x:v>0.00003095667301534591</x:v>
      </x:c>
      <x:c r="T2617" s="81" t="n">
        <x:v>8.158222579356703e-8</x:v>
      </x:c>
    </x:row>
    <x:row r="2618">
      <x:c r="A2618" s="59" t="n">
        <x:v>2615</x:v>
      </x:c>
      <x:c r="B2618" s="193" t="n">
        <x:v>0.8359754506498576</x:v>
      </x:c>
      <x:c r="C2618" s="83" t="n">
        <x:v>0.1175098653059323</x:v>
      </x:c>
      <x:c r="D2618" s="83" t="n">
        <x:v>0.25649122780066713</x:v>
      </x:c>
      <x:c r="E2618" s="81" t="n">
        <x:v>-0.07671014166931117</x:v>
      </x:c>
      <x:c r="F2618" s="81" t="n">
        <x:v>0.2647816320997663</x:v>
      </x:c>
      <x:c r="G2618" s="81" t="n">
        <x:v>0.00019342965409466662</x:v>
      </x:c>
      <x:c r="H2618" s="59" t="n">
        <x:v>0</x:v>
      </x:c>
      <x:c r="I2618" s="81" t="n">
        <x:v>0</x:v>
      </x:c>
      <x:c r="J2618" s="79" t="n">
        <x:v>1.4939558528220116e-16</x:v>
      </x:c>
      <x:c r="K2618" s="81" t="n">
        <x:v>-0.9999999999998292</x:v>
      </x:c>
      <x:c r="L2618" s="81" t="n">
        <x:v>-0.9999999999998292</x:v>
      </x:c>
      <x:c r="M2618" s="80" t="n">
        <x:v>0.0024110720629468437</x:v>
      </x:c>
      <x:c r="N2618" s="82" t="n">
        <x:v>0.3012387768844956</x:v>
      </x:c>
      <x:c r="O2618" s="82" t="n">
        <x:v>0.07534764314237342</x:v>
      </x:c>
      <x:c r="P2618" s="80" t="n">
        <x:v>179.9611431131471</x:v>
      </x:c>
      <x:c r="Q2618" s="81" t="n">
        <x:v>228.81243138106458</x:v>
      </x:c>
      <x:c r="R2618" s="81" t="n">
        <x:v>47.3788961346783</x:v>
      </x:c>
      <x:c r="S2618" s="81" t="n">
        <x:v>2.524667474258375e-7</x:v>
      </x:c>
      <x:c r="T2618" s="81" t="n">
        <x:v>3.2362345405194e-12</x:v>
      </x:c>
    </x:row>
    <x:row r="2619">
      <x:c r="A2619" s="59" t="n">
        <x:v>2616</x:v>
      </x:c>
      <x:c r="B2619" s="193" t="n">
        <x:v>0.2032727772369981</x:v>
      </x:c>
      <x:c r="C2619" s="83" t="n">
        <x:v>0.235293342662476</x:v>
      </x:c>
      <x:c r="D2619" s="83" t="n">
        <x:v>3</x:v>
      </x:c>
      <x:c r="E2619" s="81" t="n">
        <x:v>-0.042290594826286255</x:v>
      </x:c>
      <x:c r="F2619" s="81" t="n">
        <x:v>0.4227370014996268</x:v>
      </x:c>
      <x:c r="G2619" s="81" t="n">
        <x:v>-0.014611597231445887</x:v>
      </x:c>
      <x:c r="H2619" s="59" t="n">
        <x:v>45</x:v>
      </x:c>
      <x:c r="I2619" s="81" t="n">
        <x:v>0.13571200454607607</x:v>
      </x:c>
      <x:c r="J2619" s="79" t="n">
        <x:v>2.8115006309928275e-46</x:v>
      </x:c>
      <x:c r="K2619" s="81" t="n">
        <x:v>-1</x:v>
      </x:c>
      <x:c r="L2619" s="81" t="n">
        <x:v>-1</x:v>
      </x:c>
      <x:c r="M2619" s="80" t="n">
        <x:v>0.000002</x:v>
      </x:c>
      <x:c r="N2619" s="82" t="n">
        <x:v>0.15051713690242613</x:v>
      </x:c>
      <x:c r="O2619" s="82" t="n">
        <x:v>0.06010729074030672</x:v>
      </x:c>
      <x:c r="P2619" s="80" t="n">
        <x:v>542.0647677438346</x:v>
      </x:c>
      <x:c r="Q2619" s="81" t="n">
        <x:v>1.770931002939856e+29</x:v>
      </x:c>
      <x:c r="R2619" s="81" t="n">
        <x:v>5.747966076758029</x:v>
      </x:c>
      <x:c r="S2619" s="81" t="n">
        <x:v>1.7786037125205443e-9</x:v>
      </x:c>
      <x:c r="T2619" s="81" t="n">
        <x:v>6.090324178940167e-42</x:v>
      </x:c>
    </x:row>
    <x:row r="2620">
      <x:c r="A2620" s="59" t="n">
        <x:v>2617</x:v>
      </x:c>
      <x:c r="B2620" s="193" t="n">
        <x:v>0.7133601043373348</x:v>
      </x:c>
      <x:c r="C2620" s="83" t="n">
        <x:v>1.5775402054762853</x:v>
      </x:c>
      <x:c r="D2620" s="83" t="n">
        <x:v>1.5446630570758912</x:v>
      </x:c>
      <x:c r="E2620" s="81" t="n">
        <x:v>-0.08600162322597264</x:v>
      </x:c>
      <x:c r="F2620" s="81" t="n">
        <x:v>0.88969080633251</x:v>
      </x:c>
      <x:c r="G2620" s="81" t="n">
        <x:v>0.03903620741454778</x:v>
      </x:c>
      <x:c r="H2620" s="59" t="n">
        <x:v>7</x:v>
      </x:c>
      <x:c r="I2620" s="81" t="n">
        <x:v>0.4487263300456107</x:v>
      </x:c>
      <x:c r="J2620" s="79" t="n">
        <x:v>1.2030357209174649e-59</x:v>
      </x:c>
      <x:c r="K2620" s="81" t="n">
        <x:v>-1</x:v>
      </x:c>
      <x:c r="L2620" s="81" t="n">
        <x:v>-1</x:v>
      </x:c>
      <x:c r="M2620" s="80" t="n">
        <x:v>0.000002</x:v>
      </x:c>
      <x:c r="N2620" s="82" t="n">
        <x:v>0.2720295023551094</x:v>
      </x:c>
      <x:c r="O2620" s="82" t="n">
        <x:v>0.2286262282560928</x:v>
      </x:c>
      <x:c r="P2620" s="80" t="n">
        <x:v>549.2172184082186</x:v>
      </x:c>
      <x:c r="Q2620" s="81" t="n">
        <x:v>2.120508923330758e+42</x:v>
      </x:c>
      <x:c r="R2620" s="81" t="n">
        <x:v>1.1549354597737234</x:v>
      </x:c>
      <x:c r="S2620" s="81" t="n">
        <x:v>8.365123917251727e-10</x:v>
      </x:c>
      <x:c r="T2620" s="81" t="n">
        <x:v>2.6060380205730225e-55</x:v>
      </x:c>
    </x:row>
    <x:row r="2621">
      <x:c r="A2621" s="59" t="n">
        <x:v>2618</x:v>
      </x:c>
      <x:c r="B2621" s="193" t="n">
        <x:v>0.33805737625807525</x:v>
      </x:c>
      <x:c r="C2621" s="83" t="n">
        <x:v>0.3925768345602507</x:v>
      </x:c>
      <x:c r="D2621" s="83" t="n">
        <x:v>0.24616532006083253</x:v>
      </x:c>
      <x:c r="E2621" s="81" t="n">
        <x:v>-0.05063384185553829</x:v>
      </x:c>
      <x:c r="F2621" s="81" t="n">
        <x:v>0.4387052879319526</x:v>
      </x:c>
      <x:c r="G2621" s="81" t="n">
        <x:v>0.012041179553233557</x:v>
      </x:c>
      <x:c r="H2621" s="59" t="n">
        <x:v>0</x:v>
      </x:c>
      <x:c r="I2621" s="81" t="n">
        <x:v>0</x:v>
      </x:c>
      <x:c r="J2621" s="79" t="n">
        <x:v>6.544770845614836e-13</x:v>
      </x:c>
      <x:c r="K2621" s="81" t="n">
        <x:v>-0.9999999992520262</x:v>
      </x:c>
      <x:c r="L2621" s="81" t="n">
        <x:v>-0.9999999992520262</x:v>
      </x:c>
      <x:c r="M2621" s="80" t="n">
        <x:v>0.19645551712073306</x:v>
      </x:c>
      <x:c r="N2621" s="82" t="n">
        <x:v>0.18262535560047835</x:v>
      </x:c>
      <x:c r="O2621" s="82" t="n">
        <x:v>0.07568414091264872</x:v>
      </x:c>
      <x:c r="P2621" s="80" t="n">
        <x:v>303.07543639253606</x:v>
      </x:c>
      <x:c r="Q2621" s="81" t="n">
        <x:v>6.288346069230996</x:v>
      </x:c>
      <x:c r="R2621" s="81" t="n">
        <x:v>19.07438384967463</x:v>
      </x:c>
      <x:c r="S2621" s="81" t="n">
        <x:v>0.000018128382956791258</x:v>
      </x:c>
      <x:c r="T2621" s="81" t="n">
        <x:v>1.4177402518524423e-8</x:v>
      </x:c>
    </x:row>
    <x:row r="2622">
      <x:c r="A2622" s="59" t="n">
        <x:v>2619</x:v>
      </x:c>
      <x:c r="B2622" s="193" t="n">
        <x:v>0.6433195108547807</x:v>
      </x:c>
      <x:c r="C2622" s="83" t="n">
        <x:v>0.561240269142417</x:v>
      </x:c>
      <x:c r="D2622" s="83" t="n">
        <x:v>0.8914483572796563</x:v>
      </x:c>
      <x:c r="E2622" s="81" t="n">
        <x:v>-0.03203014608146682</x:v>
      </x:c>
      <x:c r="F2622" s="81" t="n">
        <x:v>0.29391605496639384</x:v>
      </x:c>
      <x:c r="G2622" s="81" t="n">
        <x:v>-0.05</x:v>
      </x:c>
      <x:c r="H2622" s="59" t="n">
        <x:v>0</x:v>
      </x:c>
      <x:c r="I2622" s="81" t="n">
        <x:v>0</x:v>
      </x:c>
      <x:c r="J2622" s="79" t="n">
        <x:v>3.6181589576827154e-17</x:v>
      </x:c>
      <x:c r="K2622" s="81" t="n">
        <x:v>-0.9999999999999587</x:v>
      </x:c>
      <x:c r="L2622" s="81" t="n">
        <x:v>-0.9999999999999587</x:v>
      </x:c>
      <x:c r="M2622" s="80" t="n">
        <x:v>0.0016610317226865444</x:v>
      </x:c>
      <x:c r="N2622" s="82" t="n">
        <x:v>0.25534451972643735</x:v>
      </x:c>
      <x:c r="O2622" s="82" t="n">
        <x:v>0.07089584659467262</x:v>
      </x:c>
      <x:c r="P2622" s="80" t="n">
        <x:v>688.7605145724089</x:v>
      </x:c>
      <x:c r="Q2622" s="81" t="n">
        <x:v>1494.1259747593642</x:v>
      </x:c>
      <x:c r="R2622" s="81" t="n">
        <x:v>9.178153648930817</x:v>
      </x:c>
      <x:c r="S2622" s="81" t="n">
        <x:v>2.293034154845421e-7</x:v>
      </x:c>
      <x:c r="T2622" s="81" t="n">
        <x:v>7.83772222574337e-13</x:v>
      </x:c>
    </x:row>
    <x:row r="2623">
      <x:c r="A2623" s="59" t="n">
        <x:v>2620</x:v>
      </x:c>
      <x:c r="B2623" s="193" t="n">
        <x:v>0.4711234955117107</x:v>
      </x:c>
      <x:c r="C2623" s="83" t="n">
        <x:v>2.4667512331807027</x:v>
      </x:c>
      <x:c r="D2623" s="83" t="n">
        <x:v>0.8957084120133669</x:v>
      </x:c>
      <x:c r="E2623" s="81" t="n">
        <x:v>0.07697962433199154</x:v>
      </x:c>
      <x:c r="F2623" s="81" t="n">
        <x:v>0.4258292725426145</x:v>
      </x:c>
      <x:c r="G2623" s="81" t="n">
        <x:v>-0.015524322382002376</x:v>
      </x:c>
      <x:c r="H2623" s="59" t="n">
        <x:v>0</x:v>
      </x:c>
      <x:c r="I2623" s="81" t="n">
        <x:v>0</x:v>
      </x:c>
      <x:c r="J2623" s="79" t="n">
        <x:v>0.027053832249962148</x:v>
      </x:c>
      <x:c r="K2623" s="81" t="n">
        <x:v>29.918665428528172</x:v>
      </x:c>
      <x:c r="L2623" s="81" t="n">
        <x:v>-0.5927230142897443</x:v>
      </x:c>
      <x:c r="M2623" s="80" t="n">
        <x:v>122355.70218752723</x:v>
      </x:c>
      <x:c r="N2623" s="82" t="n">
        <x:v>0.21432420019642973</x:v>
      </x:c>
      <x:c r="O2623" s="82" t="n">
        <x:v>0.08621397439127748</x:v>
      </x:c>
      <x:c r="P2623" s="80" t="n">
        <x:v>188109.12538345784</x:v>
      </x:c>
      <x:c r="Q2623" s="81" t="n">
        <x:v>0.0029103884785457216</x:v>
      </x:c>
      <x:c r="R2623" s="81" t="n">
        <x:v>209.21977853584517</x:v>
      </x:c>
      <x:c r="S2623" s="81" t="n">
        <x:v>215.85516169990802</x:v>
      </x:c>
      <x:c r="T2623" s="81" t="n">
        <x:v>586.0450709795913</x:v>
      </x:c>
    </x:row>
    <x:row r="2624">
      <x:c r="A2624" s="59" t="n">
        <x:v>2621</x:v>
      </x:c>
      <x:c r="B2624" s="193" t="n">
        <x:v>0.8634202482178808</x:v>
      </x:c>
      <x:c r="C2624" s="83" t="n">
        <x:v>0.4147415994080949</x:v>
      </x:c>
      <x:c r="D2624" s="83" t="n">
        <x:v>1.0337274399044665</x:v>
      </x:c>
      <x:c r="E2624" s="81" t="n">
        <x:v>0.03869149175204611</x:v>
      </x:c>
      <x:c r="F2624" s="81" t="n">
        <x:v>0.85814794608159</x:v>
      </x:c>
      <x:c r="G2624" s="81" t="n">
        <x:v>0.028245896666391237</x:v>
      </x:c>
      <x:c r="H2624" s="59" t="n">
        <x:v>0</x:v>
      </x:c>
      <x:c r="I2624" s="81" t="n">
        <x:v>0</x:v>
      </x:c>
      <x:c r="J2624" s="79" t="n">
        <x:v>0.00046415128116132154</x:v>
      </x:c>
      <x:c r="K2624" s="81" t="n">
        <x:v>-0.4695413929584896</x:v>
      </x:c>
      <x:c r="L2624" s="81" t="n">
        <x:v>-0.8581912330489332</x:v>
      </x:c>
      <x:c r="M2624" s="80" t="n">
        <x:v>6233.477098987001</x:v>
      </x:c>
      <x:c r="N2624" s="82" t="n">
        <x:v>0.30777664225515294</x:v>
      </x:c>
      <x:c r="O2624" s="82" t="n">
        <x:v>0.24949897543764005</x:v>
      </x:c>
      <x:c r="P2624" s="80" t="n">
        <x:v>13021.332928999162</x:v>
      </x:c>
      <x:c r="Q2624" s="81" t="n">
        <x:v>0.014597154581958035</x:v>
      </x:c>
      <x:c r="R2624" s="81" t="n">
        <x:v>52.8414072023464</x:v>
      </x:c>
      <x:c r="S2624" s="81" t="n">
        <x:v>23.667415776081754</x:v>
      </x:c>
      <x:c r="T2624" s="81" t="n">
        <x:v>10.05453009393283</x:v>
      </x:c>
    </x:row>
    <x:row r="2625">
      <x:c r="A2625" s="59" t="n">
        <x:v>2622</x:v>
      </x:c>
      <x:c r="B2625" s="193" t="n">
        <x:v>0.6464677752926946</x:v>
      </x:c>
      <x:c r="C2625" s="83" t="n">
        <x:v>2.621578439003933</x:v>
      </x:c>
      <x:c r="D2625" s="83" t="n">
        <x:v>0.8929826211600611</x:v>
      </x:c>
      <x:c r="E2625" s="81" t="n">
        <x:v>-0.04793387852493663</x:v>
      </x:c>
      <x:c r="F2625" s="81" t="n">
        <x:v>0.6374462504754774</x:v>
      </x:c>
      <x:c r="G2625" s="81" t="n">
        <x:v>-0.03338510787812237</x:v>
      </x:c>
      <x:c r="H2625" s="59" t="n">
        <x:v>0</x:v>
      </x:c>
      <x:c r="I2625" s="81" t="n">
        <x:v>0</x:v>
      </x:c>
      <x:c r="J2625" s="79" t="n">
        <x:v>1.619896352381859e-24</x:v>
      </x:c>
      <x:c r="K2625" s="81" t="n">
        <x:v>-1</x:v>
      </x:c>
      <x:c r="L2625" s="81" t="n">
        <x:v>-1</x:v>
      </x:c>
      <x:c r="M2625" s="80" t="n">
        <x:v>0.000002</x:v>
      </x:c>
      <x:c r="N2625" s="82" t="n">
        <x:v>0.25609449534550655</x:v>
      </x:c>
      <x:c r="O2625" s="82" t="n">
        <x:v>0.15421078798350732</x:v>
      </x:c>
      <x:c r="P2625" s="80" t="n">
        <x:v>1158.1234393509815</x:v>
      </x:c>
      <x:c r="Q2625" s="81" t="n">
        <x:v>27264584.483928293</x:v>
      </x:c>
      <x:c r="R2625" s="81" t="n">
        <x:v>1.9785541297694755</x:v>
      </x:c>
      <x:c r="S2625" s="81" t="n">
        <x:v>1.429003346175181e-10</x:v>
      </x:c>
      <x:c r="T2625" s="81" t="n">
        <x:v>3.5090491581374234e-20</x:v>
      </x:c>
    </x:row>
    <x:row r="2626">
      <x:c r="A2626" s="59" t="n">
        <x:v>2623</x:v>
      </x:c>
      <x:c r="B2626" s="193" t="n">
        <x:v>0.22737929578870536</x:v>
      </x:c>
      <x:c r="C2626" s="83" t="n">
        <x:v>0.19430239559435114</x:v>
      </x:c>
      <x:c r="D2626" s="83" t="n">
        <x:v>0.3499468781710132</x:v>
      </x:c>
      <x:c r="E2626" s="81" t="n">
        <x:v>0.02410128407952493</x:v>
      </x:c>
      <x:c r="F2626" s="81" t="n">
        <x:v>0.8727109107654542</x:v>
      </x:c>
      <x:c r="G2626" s="81" t="n">
        <x:v>-0.029012880070795756</x:v>
      </x:c>
      <x:c r="H2626" s="59" t="n">
        <x:v>0</x:v>
      </x:c>
      <x:c r="I2626" s="81" t="n">
        <x:v>0</x:v>
      </x:c>
      <x:c r="J2626" s="79" t="n">
        <x:v>0.000013539486021979453</x:v>
      </x:c>
      <x:c r="K2626" s="81" t="n">
        <x:v>-0.9845263016891663</x:v>
      </x:c>
      <x:c r="L2626" s="81" t="n">
        <x:v>-0.9845263016891663</x:v>
      </x:c>
      <x:c r="M2626" s="80" t="n">
        <x:v>770.5081733718182</x:v>
      </x:c>
      <x:c r="N2626" s="82" t="n">
        <x:v>0.1562597616186657</x:v>
      </x:c>
      <x:c r="O2626" s="82" t="n">
        <x:v>0.1288215454188228</x:v>
      </x:c>
      <x:c r="P2626" s="80" t="n">
        <x:v>962.6979969992454</x:v>
      </x:c>
      <x:c r="Q2626" s="81" t="n">
        <x:v>0.009132404690333665</x:v>
      </x:c>
      <x:c r="R2626" s="81" t="n">
        <x:v>61.688494825885684</x:v>
      </x:c>
      <x:c r="S2626" s="81" t="n">
        <x:v>1.3646851088507421</x:v>
      </x:c>
      <x:c r="T2626" s="81" t="n">
        <x:v>0.2932948269016207</x:v>
      </x:c>
    </x:row>
    <x:row r="2627">
      <x:c r="A2627" s="59" t="n">
        <x:v>2624</x:v>
      </x:c>
      <x:c r="B2627" s="193" t="n">
        <x:v>0.4254394318908453</x:v>
      </x:c>
      <x:c r="C2627" s="83" t="n">
        <x:v>1.4107747575867235</x:v>
      </x:c>
      <x:c r="D2627" s="83" t="n">
        <x:v>0.9277799483958171</x:v>
      </x:c>
      <x:c r="E2627" s="81" t="n">
        <x:v>-0.09021893749334932</x:v>
      </x:c>
      <x:c r="F2627" s="81" t="n">
        <x:v>0.6664437963743695</x:v>
      </x:c>
      <x:c r="G2627" s="81" t="n">
        <x:v>0.006536708451700649</x:v>
      </x:c>
      <x:c r="H2627" s="59" t="n">
        <x:v>0</x:v>
      </x:c>
      <x:c r="I2627" s="81" t="n">
        <x:v>0</x:v>
      </x:c>
      <x:c r="J2627" s="79" t="n">
        <x:v>5.662188211325596e-39</x:v>
      </x:c>
      <x:c r="K2627" s="81" t="n">
        <x:v>-1</x:v>
      </x:c>
      <x:c r="L2627" s="81" t="n">
        <x:v>-1</x:v>
      </x:c>
      <x:c r="M2627" s="80" t="n">
        <x:v>0.000002</x:v>
      </x:c>
      <x:c r="N2627" s="82" t="n">
        <x:v>0.20344139966574734</x:v>
      </x:c>
      <x:c r="O2627" s="82" t="n">
        <x:v>0.1280777845284387</x:v>
      </x:c>
      <x:c r="P2627" s="80" t="n">
        <x:v>455.78879928985344</x:v>
      </x:c>
      <x:c r="Q2627" s="81" t="n">
        <x:v>4.3114813648639136e+21</x:v>
      </x:c>
      <x:c r="R2627" s="81" t="n">
        <x:v>1.6544574455575807</x:v>
      </x:c>
      <x:c r="S2627" s="81" t="n">
        <x:v>3.649383254779307e-10</x:v>
      </x:c>
      <x:c r="T2627" s="81" t="n">
        <x:v>1.2265535845520579e-34</x:v>
      </x:c>
    </x:row>
    <x:row r="2628">
      <x:c r="A2628" s="59" t="n">
        <x:v>2625</x:v>
      </x:c>
      <x:c r="B2628" s="193" t="n">
        <x:v>0.285734374076128</x:v>
      </x:c>
      <x:c r="C2628" s="83" t="n">
        <x:v>0.3707428598154233</x:v>
      </x:c>
      <x:c r="D2628" s="83" t="n">
        <x:v>0.43450387048993205</x:v>
      </x:c>
      <x:c r="E2628" s="81" t="n">
        <x:v>-0.10967217979515115</x:v>
      </x:c>
      <x:c r="F2628" s="81" t="n">
        <x:v>0.35272494312375785</x:v>
      </x:c>
      <x:c r="G2628" s="81" t="n">
        <x:v>-0.021021609272534884</x:v>
      </x:c>
      <x:c r="H2628" s="59" t="n">
        <x:v>36</x:v>
      </x:c>
      <x:c r="I2628" s="81" t="n">
        <x:v>0.12896822839975358</x:v>
      </x:c>
      <x:c r="J2628" s="79" t="n">
        <x:v>4.0372789139565505e-26</x:v>
      </x:c>
      <x:c r="K2628" s="81" t="n">
        <x:v>-1</x:v>
      </x:c>
      <x:c r="L2628" s="81" t="n">
        <x:v>-1</x:v>
      </x:c>
      <x:c r="M2628" s="80" t="n">
        <x:v>0.000002</x:v>
      </x:c>
      <x:c r="N2628" s="82" t="n">
        <x:v>0.17016103542444758</x:v>
      </x:c>
      <x:c r="O2628" s="82" t="n">
        <x:v>0.05669793393205641</x:v>
      </x:c>
      <x:c r="P2628" s="80" t="n">
        <x:v>196.16080568379053</x:v>
      </x:c>
      <x:c r="Q2628" s="81" t="n">
        <x:v>506295736.5539072</x:v>
      </x:c>
      <x:c r="R2628" s="81" t="n">
        <x:v>8.42129777671675</x:v>
      </x:c>
      <x:c r="S2628" s="81" t="n">
        <x:v>2.1442786169258463e-10</x:v>
      </x:c>
      <x:c r="T2628" s="81" t="n">
        <x:v>8.745627554105145e-22</x:v>
      </x:c>
    </x:row>
    <x:row r="2629">
      <x:c r="A2629" s="59" t="n">
        <x:v>2626</x:v>
      </x:c>
      <x:c r="B2629" s="193" t="n">
        <x:v>0.9648653568699956</x:v>
      </x:c>
      <x:c r="C2629" s="83" t="n">
        <x:v>2.169804202887481</x:v>
      </x:c>
      <x:c r="D2629" s="83" t="n">
        <x:v>0.5405690895078555</x:v>
      </x:c>
      <x:c r="E2629" s="81" t="n">
        <x:v>0.03184548150392802</x:v>
      </x:c>
      <x:c r="F2629" s="81" t="n">
        <x:v>0.44260514948982743</x:v>
      </x:c>
      <x:c r="G2629" s="81" t="n">
        <x:v>-0.0030122957641126958</x:v>
      </x:c>
      <x:c r="H2629" s="59" t="n">
        <x:v>0</x:v>
      </x:c>
      <x:c r="I2629" s="81" t="n">
        <x:v>0</x:v>
      </x:c>
      <x:c r="J2629" s="79" t="n">
        <x:v>0.0005998855779257233</x:v>
      </x:c>
      <x:c r="K2629" s="81" t="n">
        <x:v>-0.3144164823706018</x:v>
      </x:c>
      <x:c r="L2629" s="81" t="n">
        <x:v>-0.6797045807197533</x:v>
      </x:c>
      <x:c r="M2629" s="80" t="n">
        <x:v>14100.891260542556</x:v>
      </x:c>
      <x:c r="N2629" s="82" t="n">
        <x:v>0.33194276923187455</x:v>
      </x:c>
      <x:c r="O2629" s="82" t="n">
        <x:v>0.1387875844358782</x:v>
      </x:c>
      <x:c r="P2629" s="80" t="n">
        <x:v>16546.400102162224</x:v>
      </x:c>
      <x:c r="Q2629" s="81" t="n">
        <x:v>0.009212820858595826</x:v>
      </x:c>
      <x:c r="R2629" s="81" t="n">
        <x:v>14.940160445225303</x:v>
      </x:c>
      <x:c r="S2629" s="81" t="n">
        <x:v>6.1785309581578245</x:v>
      </x:c>
      <x:c r="T2629" s="81" t="n">
        <x:v>12.994831299569604</x:v>
      </x:c>
    </x:row>
    <x:row r="2630">
      <x:c r="A2630" s="59" t="n">
        <x:v>2627</x:v>
      </x:c>
      <x:c r="B2630" s="193" t="n">
        <x:v>0.6090047808364034</x:v>
      </x:c>
      <x:c r="C2630" s="83" t="n">
        <x:v>0.17902500151453685</x:v>
      </x:c>
      <x:c r="D2630" s="83" t="n">
        <x:v>0.6209328963075952</x:v>
      </x:c>
      <x:c r="E2630" s="81" t="n">
        <x:v>-0.000166164233653834</x:v>
      </x:c>
      <x:c r="F2630" s="81" t="n">
        <x:v>0.6275543448515237</x:v>
      </x:c>
      <x:c r="G2630" s="81" t="n">
        <x:v>-0.011869959779064977</x:v>
      </x:c>
      <x:c r="H2630" s="59" t="n">
        <x:v>0</x:v>
      </x:c>
      <x:c r="I2630" s="81" t="n">
        <x:v>0</x:v>
      </x:c>
      <x:c r="J2630" s="79" t="n">
        <x:v>4.258169312225419e-7</x:v>
      </x:c>
      <x:c r="K2630" s="81" t="n">
        <x:v>-0.9995133520786028</x:v>
      </x:c>
      <x:c r="L2630" s="81" t="n">
        <x:v>-0.9995133520786028</x:v>
      </x:c>
      <x:c r="M2630" s="80" t="n">
        <x:v>131.5334915432041</x:v>
      </x:c>
      <x:c r="N2630" s="82" t="n">
        <x:v>0.24717010763487202</x:v>
      </x:c>
      <x:c r="O2630" s="82" t="n">
        <x:v>0.14652719277053425</x:v>
      </x:c>
      <x:c r="P2630" s="80" t="n">
        <x:v>922.0778191003162</x:v>
      </x:c>
      <x:c r="Q2630" s="81" t="n">
        <x:v>0.06311839161052626</x:v>
      </x:c>
      <x:c r="R2630" s="81" t="n">
        <x:v>46.69444718236884</x:v>
      </x:c>
      <x:c r="S2630" s="81" t="n">
        <x:v>0.07053479291226832</x:v>
      </x:c>
      <x:c r="T2630" s="81" t="n">
        <x:v>0.009224124381970893</x:v>
      </x:c>
    </x:row>
    <x:row r="2631">
      <x:c r="A2631" s="59" t="n">
        <x:v>2628</x:v>
      </x:c>
      <x:c r="B2631" s="193" t="n">
        <x:v>0.34314199052751065</x:v>
      </x:c>
      <x:c r="C2631" s="83" t="n">
        <x:v>0.5506378421206641</x:v>
      </x:c>
      <x:c r="D2631" s="83" t="n">
        <x:v>0.9180103043629063</x:v>
      </x:c>
      <x:c r="E2631" s="81" t="n">
        <x:v>0.055117388272337565</x:v>
      </x:c>
      <x:c r="F2631" s="81" t="n">
        <x:v>0.3444922638940625</x:v>
      </x:c>
      <x:c r="G2631" s="81" t="n">
        <x:v>0.014689038226868616</x:v>
      </x:c>
      <x:c r="H2631" s="59" t="n">
        <x:v>81</x:v>
      </x:c>
      <x:c r="I2631" s="81" t="n">
        <x:v>0.3345195218920708</x:v>
      </x:c>
      <x:c r="J2631" s="79" t="n">
        <x:v>0.011682436882804055</x:v>
      </x:c>
      <x:c r="K2631" s="81" t="n">
        <x:v>12.351356437490349</x:v>
      </x:c>
      <x:c r="L2631" s="81" t="n">
        <x:v>-0.91389243043642</x:v>
      </x:c>
      <x:c r="M2631" s="80" t="n">
        <x:v>35062.767475049644</x:v>
      </x:c>
      <x:c r="N2631" s="82" t="n">
        <x:v>0.1838366060559755</x:v>
      </x:c>
      <x:c r="O2631" s="82" t="n">
        <x:v>0.05982495891504892</x:v>
      </x:c>
      <x:c r="P2631" s="80" t="n">
        <x:v>57453.642509661266</x:v>
      </x:c>
      <x:c r="Q2631" s="81" t="n">
        <x:v>0.002758655599361173</x:v>
      </x:c>
      <x:c r="R2631" s="81" t="n">
        <x:v>283.00118472466636</x:v>
      </x:c>
      <x:c r="S2631" s="81" t="n">
        <x:v>405.29111913066095</x:v>
      </x:c>
      <x:c r="T2631" s="81" t="n">
        <x:v>253.06708820178613</x:v>
      </x:c>
    </x:row>
    <x:row r="2632">
      <x:c r="A2632" s="59" t="n">
        <x:v>2629</x:v>
      </x:c>
      <x:c r="B2632" s="193" t="n">
        <x:v>0.7664339929819108</x:v>
      </x:c>
      <x:c r="C2632" s="83" t="n">
        <x:v>0.13344720766700036</x:v>
      </x:c>
      <x:c r="D2632" s="83" t="n">
        <x:v>0.7760691155065143</x:v>
      </x:c>
      <x:c r="E2632" s="81" t="n">
        <x:v>-0.05332623292837258</x:v>
      </x:c>
      <x:c r="F2632" s="81" t="n">
        <x:v>0.8528977507725358</x:v>
      </x:c>
      <x:c r="G2632" s="81" t="n">
        <x:v>0.043138422813918276</x:v>
      </x:c>
      <x:c r="H2632" s="59" t="n">
        <x:v>0</x:v>
      </x:c>
      <x:c r="I2632" s="81" t="n">
        <x:v>0</x:v>
      </x:c>
      <x:c r="J2632" s="79" t="n">
        <x:v>9.335735922231623e-30</x:v>
      </x:c>
      <x:c r="K2632" s="81" t="n">
        <x:v>-1</x:v>
      </x:c>
      <x:c r="L2632" s="81" t="n">
        <x:v>-1</x:v>
      </x:c>
      <x:c r="M2632" s="80" t="n">
        <x:v>0.000002</x:v>
      </x:c>
      <x:c r="N2632" s="82" t="n">
        <x:v>0.2846726977656594</x:v>
      </x:c>
      <x:c r="O2632" s="82" t="n">
        <x:v>0.22935791291893284</x:v>
      </x:c>
      <x:c r="P2632" s="80" t="n">
        <x:v>268.37211711841115</x:v>
      </x:c>
      <x:c r="Q2632" s="81" t="n">
        <x:v>4274331858153.6724</x:v>
      </x:c>
      <x:c r="R2632" s="81" t="n">
        <x:v>19.412731469782752</x:v>
      </x:c>
      <x:c r="S2632" s="81" t="n">
        <x:v>1.0026826716342837e-9</x:v>
      </x:c>
      <x:c r="T2632" s="81" t="n">
        <x:v>2.022324220332447e-25</x:v>
      </x:c>
    </x:row>
    <x:row r="2633">
      <x:c r="A2633" s="59" t="n">
        <x:v>2630</x:v>
      </x:c>
      <x:c r="B2633" s="193" t="n">
        <x:v>0.7564913738518955</x:v>
      </x:c>
      <x:c r="C2633" s="83" t="n">
        <x:v>0.11495923399313454</x:v>
      </x:c>
      <x:c r="D2633" s="83" t="n">
        <x:v>0.19681254814677446</x:v>
      </x:c>
      <x:c r="E2633" s="81" t="n">
        <x:v>0.1376443860753849</x:v>
      </x:c>
      <x:c r="F2633" s="81" t="n">
        <x:v>0.6643917234847323</x:v>
      </x:c>
      <x:c r="G2633" s="81" t="n">
        <x:v>0.013863115307590115</x:v>
      </x:c>
      <x:c r="H2633" s="59" t="n">
        <x:v>0</x:v>
      </x:c>
      <x:c r="I2633" s="81" t="n">
        <x:v>0</x:v>
      </x:c>
      <x:c r="J2633" s="79" t="n">
        <x:v>0.00017678261028617238</x:v>
      </x:c>
      <x:c r="K2633" s="81" t="n">
        <x:v>-0.7979627311015173</x:v>
      </x:c>
      <x:c r="L2633" s="81" t="n">
        <x:v>-0.9004429913010362</x:v>
      </x:c>
      <x:c r="M2633" s="80" t="n">
        <x:v>2836.028616858338</x:v>
      </x:c>
      <x:c r="N2633" s="82" t="n">
        <x:v>0.2823041794647814</x:v>
      </x:c>
      <x:c r="O2633" s="82" t="n">
        <x:v>0.17717908860607479</x:v>
      </x:c>
      <x:c r="P2633" s="80" t="n">
        <x:v>1352.9477614437494</x:v>
      </x:c>
      <x:c r="Q2633" s="81" t="n">
        <x:v>0.003026715107204971</x:v>
      </x:c>
      <x:c r="R2633" s="81" t="n">
        <x:v>141.02389035561964</x:v>
      </x:c>
      <x:c r="S2633" s="81" t="n">
        <x:v>28.84453118060082</x:v>
      </x:c>
      <x:c r="T2633" s="81" t="n">
        <x:v>3.829497293983638</x:v>
      </x:c>
    </x:row>
    <x:row r="2634">
      <x:c r="A2634" s="59" t="n">
        <x:v>2631</x:v>
      </x:c>
      <x:c r="B2634" s="193" t="n">
        <x:v>0.8573865143582224</x:v>
      </x:c>
      <x:c r="C2634" s="83" t="n">
        <x:v>1.4102722147212194</x:v>
      </x:c>
      <x:c r="D2634" s="83" t="n">
        <x:v>1.0777700996612516</x:v>
      </x:c>
      <x:c r="E2634" s="81" t="n">
        <x:v>0.01611177423617394</x:v>
      </x:c>
      <x:c r="F2634" s="81" t="n">
        <x:v>0.5109214287949726</x:v>
      </x:c>
      <x:c r="G2634" s="81" t="n">
        <x:v>-0.03763265664756719</x:v>
      </x:c>
      <x:c r="H2634" s="59" t="n">
        <x:v>0</x:v>
      </x:c>
      <x:c r="I2634" s="81" t="n">
        <x:v>0</x:v>
      </x:c>
      <x:c r="J2634" s="79" t="n">
        <x:v>0.00014402233311271541</x:v>
      </x:c>
      <x:c r="K2634" s="81" t="n">
        <x:v>-0.8354030478711824</x:v>
      </x:c>
      <x:c r="L2634" s="81" t="n">
        <x:v>-0.8769447561804048</x:v>
      </x:c>
      <x:c r="M2634" s="80" t="n">
        <x:v>5199.231147237673</x:v>
      </x:c>
      <x:c r="N2634" s="82" t="n">
        <x:v>0.3063392937172725</x:v>
      </x:c>
      <x:c r="O2634" s="82" t="n">
        <x:v>0.14785219165895575</x:v>
      </x:c>
      <x:c r="P2634" s="80" t="n">
        <x:v>13441.66285314024</x:v>
      </x:c>
      <x:c r="Q2634" s="81" t="n">
        <x:v>0.017942320983372593</x:v>
      </x:c>
      <x:c r="R2634" s="81" t="n">
        <x:v>19.551230366608493</x:v>
      </x:c>
      <x:c r="S2634" s="81" t="n">
        <x:v>2.5453433306800473</x:v>
      </x:c>
      <x:c r="T2634" s="81" t="n">
        <x:v>3.1198381675411517</x:v>
      </x:c>
    </x:row>
    <x:row r="2635">
      <x:c r="A2635" s="59" t="n">
        <x:v>2632</x:v>
      </x:c>
      <x:c r="B2635" s="193" t="n">
        <x:v>0.9258017076179386</x:v>
      </x:c>
      <x:c r="C2635" s="83" t="n">
        <x:v>0.12519940879958855</x:v>
      </x:c>
      <x:c r="D2635" s="83" t="n">
        <x:v>0.3820036528001275</x:v>
      </x:c>
      <x:c r="E2635" s="81" t="n">
        <x:v>0.0630559810098223</x:v>
      </x:c>
      <x:c r="F2635" s="81" t="n">
        <x:v>0.6150382657302544</x:v>
      </x:c>
      <x:c r="G2635" s="81" t="n">
        <x:v>0.02075580117571013</x:v>
      </x:c>
      <x:c r="H2635" s="59" t="n">
        <x:v>74</x:v>
      </x:c>
      <x:c r="I2635" s="81" t="n">
        <x:v>0.43384648123756053</x:v>
      </x:c>
      <x:c r="J2635" s="79" t="n">
        <x:v>0.00014691257099506557</x:v>
      </x:c>
      <x:c r="K2635" s="81" t="n">
        <x:v>-0.8320999188627822</x:v>
      </x:c>
      <x:c r="L2635" s="81" t="n">
        <x:v>-0.9457249808301319</x:v>
      </x:c>
      <x:c r="M2635" s="80" t="n">
        <x:v>2587.994833152707</x:v>
      </x:c>
      <x:c r="N2635" s="82" t="n">
        <x:v>0.32263707553661086</x:v>
      </x:c>
      <x:c r="O2635" s="82" t="n">
        <x:v>0.1874508229253199</x:v>
      </x:c>
      <x:c r="P2635" s="80" t="n">
        <x:v>2283.027586333693</x:v>
      </x:c>
      <x:c r="Q2635" s="81" t="n">
        <x:v>0.006632921784688454</x:v>
      </x:c>
      <x:c r="R2635" s="81" t="n">
        <x:v>114.11978816889548</x:v>
      </x:c>
      <x:c r="S2635" s="81" t="n">
        <x:v>22.309442662214096</x:v>
      </x:c>
      <x:c r="T2635" s="81" t="n">
        <x:v>3.182447030095631</x:v>
      </x:c>
    </x:row>
    <x:row r="2636">
      <x:c r="A2636" s="59" t="n">
        <x:v>2633</x:v>
      </x:c>
      <x:c r="B2636" s="193" t="n">
        <x:v>0.5716560531407595</x:v>
      </x:c>
      <x:c r="C2636" s="83" t="n">
        <x:v>0.8224124468851464</x:v>
      </x:c>
      <x:c r="D2636" s="83" t="n">
        <x:v>3</x:v>
      </x:c>
      <x:c r="E2636" s="81" t="n">
        <x:v>-0.06071897048297685</x:v>
      </x:c>
      <x:c r="F2636" s="81" t="n">
        <x:v>0.7614951285417192</x:v>
      </x:c>
      <x:c r="G2636" s="81" t="n">
        <x:v>-0.019021124834180284</x:v>
      </x:c>
      <x:c r="H2636" s="59" t="n">
        <x:v>0</x:v>
      </x:c>
      <x:c r="I2636" s="81" t="n">
        <x:v>0</x:v>
      </x:c>
      <x:c r="J2636" s="79" t="n">
        <x:v>7.057781176404393e-58</x:v>
      </x:c>
      <x:c r="K2636" s="81" t="n">
        <x:v>-1</x:v>
      </x:c>
      <x:c r="L2636" s="81" t="n">
        <x:v>-1</x:v>
      </x:c>
      <x:c r="M2636" s="80" t="n">
        <x:v>0.000002</x:v>
      </x:c>
      <x:c r="N2636" s="82" t="n">
        <x:v>0.2382729404091253</x:v>
      </x:c>
      <x:c r="O2636" s="82" t="n">
        <x:v>0.17140078061676153</x:v>
      </x:c>
      <x:c r="P2636" s="80" t="n">
        <x:v>603.239052547947</x:v>
      </x:c>
      <x:c r="Q2636" s="81" t="n">
        <x:v>5.000374695377439e+40</x:v>
      </x:c>
      <x:c r="R2636" s="81" t="n">
        <x:v>1.6812740793100818</x:v>
      </x:c>
      <x:c r="S2636" s="81" t="n">
        <x:v>1.1415751141528723e-9</x:v>
      </x:c>
      <x:c r="T2636" s="81" t="n">
        <x:v>1.5288694896413882e-53</x:v>
      </x:c>
    </x:row>
    <x:row r="2637">
      <x:c r="A2637" s="59" t="n">
        <x:v>2634</x:v>
      </x:c>
      <x:c r="B2637" s="193" t="n">
        <x:v>0.47511355429887775</x:v>
      </x:c>
      <x:c r="C2637" s="83" t="n">
        <x:v>0.21107761585155915</x:v>
      </x:c>
      <x:c r="D2637" s="83" t="n">
        <x:v>1.2021786561312147</x:v>
      </x:c>
      <x:c r="E2637" s="81" t="n">
        <x:v>0.03706758704010425</x:v>
      </x:c>
      <x:c r="F2637" s="81" t="n">
        <x:v>0.4548582718707621</x:v>
      </x:c>
      <x:c r="G2637" s="81" t="n">
        <x:v>-0.003435755597610457</x:v>
      </x:c>
      <x:c r="H2637" s="59" t="n">
        <x:v>0</x:v>
      </x:c>
      <x:c r="I2637" s="81" t="n">
        <x:v>0</x:v>
      </x:c>
      <x:c r="J2637" s="79" t="n">
        <x:v>0.0014794082013435267</x:v>
      </x:c>
      <x:c r="K2637" s="81" t="n">
        <x:v>0.6907522301068878</x:v>
      </x:c>
      <x:c r="L2637" s="81" t="n">
        <x:v>-0.7241653987765089</x:v>
      </x:c>
      <x:c r="M2637" s="80" t="n">
        <x:v>9373.986794640305</x:v>
      </x:c>
      <x:c r="N2637" s="82" t="n">
        <x:v>0.21527470701313559</x:v>
      </x:c>
      <x:c r="O2637" s="82" t="n">
        <x:v>0.09249964068075973</x:v>
      </x:c>
      <x:c r="P2637" s="80" t="n">
        <x:v>21376.77381391002</x:v>
      </x:c>
      <x:c r="Q2637" s="81" t="n">
        <x:v>0.005673074628662295</x:v>
      </x:c>
      <x:c r="R2637" s="81" t="n">
        <x:v>282.81729717927425</x:v>
      </x:c>
      <x:c r="S2637" s="81" t="n">
        <x:v>134.17216171745764</x:v>
      </x:c>
      <x:c r="T2637" s="81" t="n">
        <x:v>32.04721151345831</x:v>
      </x:c>
    </x:row>
    <x:row r="2638">
      <x:c r="A2638" s="59" t="n">
        <x:v>2635</x:v>
      </x:c>
      <x:c r="B2638" s="193" t="n">
        <x:v>0.26658339612185955</x:v>
      </x:c>
      <x:c r="C2638" s="83" t="n">
        <x:v>0.7415308864701071</x:v>
      </x:c>
      <x:c r="D2638" s="83" t="n">
        <x:v>0.8096352700331488</x:v>
      </x:c>
      <x:c r="E2638" s="81" t="n">
        <x:v>0.015117259963416667</x:v>
      </x:c>
      <x:c r="F2638" s="81" t="n">
        <x:v>0.4540142220561393</x:v>
      </x:c>
      <x:c r="G2638" s="81" t="n">
        <x:v>0.024800210358194096</x:v>
      </x:c>
      <x:c r="H2638" s="59" t="n">
        <x:v>0</x:v>
      </x:c>
      <x:c r="I2638" s="81" t="n">
        <x:v>0</x:v>
      </x:c>
      <x:c r="J2638" s="79" t="n">
        <x:v>0.0006303964324286637</x:v>
      </x:c>
      <x:c r="K2638" s="81" t="n">
        <x:v>-0.27954693436724143</x:v>
      </x:c>
      <x:c r="L2638" s="81" t="n">
        <x:v>-0.6936655242639147</x:v>
      </x:c>
      <x:c r="M2638" s="80" t="n">
        <x:v>7855.722497382265</x:v>
      </x:c>
      <x:c r="N2638" s="82" t="n">
        <x:v>0.16559891339490407</x:v>
      </x:c>
      <x:c r="O2638" s="82" t="n">
        <x:v>0.07102281506185472</x:v>
      </x:c>
      <x:c r="P2638" s="80" t="n">
        <x:v>14303.398814520377</x:v>
      </x:c>
      <x:c r="Q2638" s="81" t="n">
        <x:v>0.009748326090370012</x:v>
      </x:c>
      <x:c r="R2638" s="81" t="n">
        <x:v>34.18177115007047</x:v>
      </x:c>
      <x:c r="S2638" s="81" t="n">
        <x:v>17.96614311589592</x:v>
      </x:c>
      <x:c r="T2638" s="81" t="n">
        <x:v>13.655763019985983</x:v>
      </x:c>
    </x:row>
    <x:row r="2639">
      <x:c r="A2639" s="59" t="n">
        <x:v>2636</x:v>
      </x:c>
      <x:c r="B2639" s="193" t="n">
        <x:v>0.8836939882487058</x:v>
      </x:c>
      <x:c r="C2639" s="83" t="n">
        <x:v>0.40368604377969897</x:v>
      </x:c>
      <x:c r="D2639" s="83" t="n">
        <x:v>1.0735727475852939</x:v>
      </x:c>
      <x:c r="E2639" s="81" t="n">
        <x:v>0.007654774193062937</x:v>
      </x:c>
      <x:c r="F2639" s="81" t="n">
        <x:v>0.5068359877215698</x:v>
      </x:c>
      <x:c r="G2639" s="81" t="n">
        <x:v>-0.022331361808794425</x:v>
      </x:c>
      <x:c r="H2639" s="59" t="n">
        <x:v>61</x:v>
      </x:c>
      <x:c r="I2639" s="81" t="n">
        <x:v>0.43163066543638706</x:v>
      </x:c>
      <x:c r="J2639" s="79" t="n">
        <x:v>0.000014927432628870822</x:v>
      </x:c>
      <x:c r="K2639" s="81" t="n">
        <x:v>-0.9829400769955762</x:v>
      </x:c>
      <x:c r="L2639" s="81" t="n">
        <x:v>-0.9829400769955762</x:v>
      </x:c>
      <x:c r="M2639" s="80" t="n">
        <x:v>951.0828383704134</x:v>
      </x:c>
      <x:c r="N2639" s="82" t="n">
        <x:v>0.31260622726312126</x:v>
      </x:c>
      <x:c r="O2639" s="82" t="n">
        <x:v>0.1496704316645267</x:v>
      </x:c>
      <x:c r="P2639" s="80" t="n">
        <x:v>3430.901682506008</x:v>
      </x:c>
      <x:c r="Q2639" s="81" t="n">
        <x:v>0.03381963641694138</x:v>
      </x:c>
      <x:c r="R2639" s="81" t="n">
        <x:v>31.257882483891674</x:v>
      </x:c>
      <x:c r="S2639" s="81" t="n">
        <x:v>0.9305407362632524</x:v>
      </x:c>
      <x:c r="T2639" s="81" t="n">
        <x:v>0.32336078059853823</x:v>
      </x:c>
    </x:row>
    <x:row r="2640">
      <x:c r="A2640" s="59" t="n">
        <x:v>2637</x:v>
      </x:c>
      <x:c r="B2640" s="193" t="n">
        <x:v>0.32208901774138216</x:v>
      </x:c>
      <x:c r="C2640" s="83" t="n">
        <x:v>0.4133665227313258</x:v>
      </x:c>
      <x:c r="D2640" s="83" t="n">
        <x:v>1.1242044915772682</x:v>
      </x:c>
      <x:c r="E2640" s="81" t="n">
        <x:v>0.04305462272016885</x:v>
      </x:c>
      <x:c r="F2640" s="81" t="n">
        <x:v>0.43863230213755744</x:v>
      </x:c>
      <x:c r="G2640" s="81" t="n">
        <x:v>-0.008580733872119696</x:v>
      </x:c>
      <x:c r="H2640" s="59" t="n">
        <x:v>56</x:v>
      </x:c>
      <x:c r="I2640" s="81" t="n">
        <x:v>0.43315186426043517</x:v>
      </x:c>
      <x:c r="J2640" s="79" t="n">
        <x:v>0.0033118114325905055</x:v>
      </x:c>
      <x:c r="K2640" s="81" t="n">
        <x:v>2.7849273515320068</x:v>
      </x:c>
      <x:c r="L2640" s="81" t="n">
        <x:v>-0.9205101634909508</x:v>
      </x:c>
      <x:c r="M2640" s="80" t="n">
        <x:v>16475.100161775677</x:v>
      </x:c>
      <x:c r="N2640" s="82" t="n">
        <x:v>0.1788213931950797</x:v>
      </x:c>
      <x:c r="O2640" s="82" t="n">
        <x:v>0.07409536251738102</x:v>
      </x:c>
      <x:c r="P2640" s="80" t="n">
        <x:v>33384.64900455207</x:v>
      </x:c>
      <x:c r="Q2640" s="81" t="n">
        <x:v>0.0041760485295293335</x:v>
      </x:c>
      <x:c r="R2640" s="81" t="n">
        <x:v>247.44013203676187</x:v>
      </x:c>
      <x:c r="S2640" s="81" t="n">
        <x:v>154.12459488976506</x:v>
      </x:c>
      <x:c r="T2640" s="81" t="n">
        <x:v>71.74106604014447</x:v>
      </x:c>
    </x:row>
    <x:row r="2641">
      <x:c r="A2641" s="59" t="n">
        <x:v>2638</x:v>
      </x:c>
      <x:c r="B2641" s="193" t="n">
        <x:v>0.3794621581211686</x:v>
      </x:c>
      <x:c r="C2641" s="83" t="n">
        <x:v>0.34250246850997085</x:v>
      </x:c>
      <x:c r="D2641" s="83" t="n">
        <x:v>0.8172464230122015</x:v>
      </x:c>
      <x:c r="E2641" s="81" t="n">
        <x:v>-0.09234842806463314</x:v>
      </x:c>
      <x:c r="F2641" s="81" t="n">
        <x:v>0.4704328185995109</x:v>
      </x:c>
      <x:c r="G2641" s="81" t="n">
        <x:v>-0.006732794746614302</x:v>
      </x:c>
      <x:c r="H2641" s="59" t="n">
        <x:v>0</x:v>
      </x:c>
      <x:c r="I2641" s="81" t="n">
        <x:v>0</x:v>
      </x:c>
      <x:c r="J2641" s="79" t="n">
        <x:v>9.777876793645436e-35</x:v>
      </x:c>
      <x:c r="K2641" s="81" t="n">
        <x:v>-1</x:v>
      </x:c>
      <x:c r="L2641" s="81" t="n">
        <x:v>-1</x:v>
      </x:c>
      <x:c r="M2641" s="80" t="n">
        <x:v>0.000002</x:v>
      </x:c>
      <x:c r="N2641" s="82" t="n">
        <x:v>0.19248875097992724</x:v>
      </x:c>
      <x:c r="O2641" s="82" t="n">
        <x:v>0.08554091825010578</x:v>
      </x:c>
      <x:c r="P2641" s="80" t="n">
        <x:v>241.44544186909502</x:v>
      </x:c>
      <x:c r="Q2641" s="81" t="n">
        <x:v>244389150132048670</x:v>
      </x:c>
      <x:c r="R2641" s="81" t="n">
        <x:v>5.849861331242575</x:v>
      </x:c>
      <x:c r="S2641" s="81" t="n">
        <x:v>4.911862679892906e-10</x:v>
      </x:c>
      <x:c r="T2641" s="81" t="n">
        <x:v>2.1181015859849783e-30</x:v>
      </x:c>
    </x:row>
    <x:row r="2642">
      <x:c r="A2642" s="59" t="n">
        <x:v>2639</x:v>
      </x:c>
      <x:c r="B2642" s="193" t="n">
        <x:v>0.6815618213266135</x:v>
      </x:c>
      <x:c r="C2642" s="83" t="n">
        <x:v>0.10663018803905897</x:v>
      </x:c>
      <x:c r="D2642" s="83" t="n">
        <x:v>0.34675681461494345</x:v>
      </x:c>
      <x:c r="E2642" s="81" t="n">
        <x:v>0.016548631693500366</x:v>
      </x:c>
      <x:c r="F2642" s="81" t="n">
        <x:v>0.6338248303043656</x:v>
      </x:c>
      <x:c r="G2642" s="81" t="n">
        <x:v>-0.0005675437630978505</x:v>
      </x:c>
      <x:c r="H2642" s="59" t="n">
        <x:v>0</x:v>
      </x:c>
      <x:c r="I2642" s="81" t="n">
        <x:v>0</x:v>
      </x:c>
      <x:c r="J2642" s="79" t="n">
        <x:v>0.000006283175436554148</x:v>
      </x:c>
      <x:c r="K2642" s="81" t="n">
        <x:v>-0.9928192280725096</x:v>
      </x:c>
      <x:c r="L2642" s="81" t="n">
        <x:v>-0.9929776451461836</x:v>
      </x:c>
      <x:c r="M2642" s="80" t="n">
        <x:v>484.08985827089447</x:v>
      </x:c>
      <x:c r="N2642" s="82" t="n">
        <x:v>0.2644545551241492</x:v>
      </x:c>
      <x:c r="O2642" s="82" t="n">
        <x:v>0.15834021949676966</x:v>
      </x:c>
      <x:c r="P2642" s="80" t="n">
        <x:v>713.5365874976102</x:v>
      </x:c>
      <x:c r="Q2642" s="81" t="n">
        <x:v>0.015581010100325787</x:v>
      </x:c>
      <x:c r="R2642" s="81" t="n">
        <x:v>85.79005455230009</x:v>
      </x:c>
      <x:c r="S2642" s="81" t="n">
        <x:v>1.1611013198761504</x:v>
      </x:c>
      <x:c r="T2642" s="81" t="n">
        <x:v>0.13610729750487574</x:v>
      </x:c>
    </x:row>
    <x:row r="2643">
      <x:c r="A2643" s="59" t="n">
        <x:v>2640</x:v>
      </x:c>
      <x:c r="B2643" s="193" t="n">
        <x:v>0.7519871665164828</x:v>
      </x:c>
      <x:c r="C2643" s="83" t="n">
        <x:v>0.3783250623784725</x:v>
      </x:c>
      <x:c r="D2643" s="83" t="n">
        <x:v>1.225339394288827</x:v>
      </x:c>
      <x:c r="E2643" s="81" t="n">
        <x:v>-0.13564116012778477</x:v>
      </x:c>
      <x:c r="F2643" s="81" t="n">
        <x:v>0.671535951946862</x:v>
      </x:c>
      <x:c r="G2643" s="81" t="n">
        <x:v>-0.041516353869172316</x:v>
      </x:c>
      <x:c r="H2643" s="59" t="n">
        <x:v>0</x:v>
      </x:c>
      <x:c r="I2643" s="81" t="n">
        <x:v>0</x:v>
      </x:c>
      <x:c r="J2643" s="79" t="n">
        <x:v>9.78474910674781e-50</x:v>
      </x:c>
      <x:c r="K2643" s="81" t="n">
        <x:v>-1</x:v>
      </x:c>
      <x:c r="L2643" s="81" t="n">
        <x:v>-1</x:v>
      </x:c>
      <x:c r="M2643" s="80" t="n">
        <x:v>0.000002</x:v>
      </x:c>
      <x:c r="N2643" s="82" t="n">
        <x:v>0.28123119282359826</x:v>
      </x:c>
      <x:c r="O2643" s="82" t="n">
        <x:v>0.17840363508254137</x:v>
      </x:c>
      <x:c r="P2643" s="80" t="n">
        <x:v>197.61383740893345</x:v>
      </x:c>
      <x:c r="Q2643" s="81" t="n">
        <x:v>1.728600904325212e+32</x:v>
      </x:c>
      <x:c r="R2643" s="81" t="n">
        <x:v>2.4138901012278935</x:v>
      </x:c>
      <x:c r="S2643" s="81" t="n">
        <x:v>4.64896333155426e-10</x:v>
      </x:c>
      <x:c r="T2643" s="81" t="n">
        <x:v>2.11959027904061e-45</x:v>
      </x:c>
    </x:row>
    <x:row r="2644">
      <x:c r="A2644" s="59" t="n">
        <x:v>2641</x:v>
      </x:c>
      <x:c r="B2644" s="193" t="n">
        <x:v>0.6436422657221557</x:v>
      </x:c>
      <x:c r="C2644" s="83" t="n">
        <x:v>2.126962352248702</x:v>
      </x:c>
      <x:c r="D2644" s="83" t="n">
        <x:v>1.05463562674805</x:v>
      </x:c>
      <x:c r="E2644" s="81" t="n">
        <x:v>0.1608975467249474</x:v>
      </x:c>
      <x:c r="F2644" s="81" t="n">
        <x:v>0.6423563784803263</x:v>
      </x:c>
      <x:c r="G2644" s="81" t="n">
        <x:v>0.035363114757205036</x:v>
      </x:c>
      <x:c r="H2644" s="59" t="n">
        <x:v>56</x:v>
      </x:c>
      <x:c r="I2644" s="81" t="n">
        <x:v>0.29704947974532847</x:v>
      </x:c>
      <x:c r="J2644" s="79" t="n">
        <x:v>0.16925361830413713</x:v>
      </x:c>
      <x:c r="K2644" s="81" t="n">
        <x:v>192.4327066332996</x:v>
      </x:c>
      <x:c r="L2644" s="81" t="n">
        <x:v>-0.948853613475149</x:v>
      </x:c>
      <x:c r="M2644" s="80" t="n">
        <x:v>412508.9630091768</x:v>
      </x:c>
      <x:c r="N2644" s="82" t="n">
        <x:v>0.25542140598749985</x:v>
      </x:c>
      <x:c r="O2644" s="82" t="n">
        <x:v>0.15499021259197443</x:v>
      </x:c>
      <x:c r="P2644" s="80" t="n">
        <x:v>648518.9560169693</x:v>
      </x:c>
      <x:c r="Q2644" s="81" t="n">
        <x:v>0.0030972423008759345</x:v>
      </x:c>
      <x:c r="R2644" s="81" t="n">
        <x:v>708.6870356259409</x:v>
      </x:c>
      <x:c r="S2644" s="81" t="n">
        <x:v>1579.7702330743293</x:v>
      </x:c>
      <x:c r="T2644" s="81" t="n">
        <x:v>3666.4028902130663</x:v>
      </x:c>
    </x:row>
    <x:row r="2645">
      <x:c r="A2645" s="59" t="n">
        <x:v>2642</x:v>
      </x:c>
      <x:c r="B2645" s="193" t="n">
        <x:v>0.41958572734147315</x:v>
      </x:c>
      <x:c r="C2645" s="83" t="n">
        <x:v>1.9971098872833783</x:v>
      </x:c>
      <x:c r="D2645" s="83" t="n">
        <x:v>0.7280600738694527</x:v>
      </x:c>
      <x:c r="E2645" s="81" t="n">
        <x:v>0.02918608966123723</x:v>
      </x:c>
      <x:c r="F2645" s="81" t="n">
        <x:v>0.8324950358364731</x:v>
      </x:c>
      <x:c r="G2645" s="81" t="n">
        <x:v>0.007849336332708266</x:v>
      </x:c>
      <x:c r="H2645" s="59" t="n">
        <x:v>46</x:v>
      </x:c>
      <x:c r="I2645" s="81" t="n">
        <x:v>0.23755380408838392</x:v>
      </x:c>
      <x:c r="J2645" s="79" t="n">
        <x:v>0.0008187999636286293</x:v>
      </x:c>
      <x:c r="K2645" s="81" t="n">
        <x:v>-0.06422861299585214</x:v>
      </x:c>
      <x:c r="L2645" s="81" t="n">
        <x:v>-0.6896060788570533</x:v>
      </x:c>
      <x:c r="M2645" s="80" t="n">
        <x:v>15911.700070644785</x:v>
      </x:c>
      <x:c r="N2645" s="82" t="n">
        <x:v>0.20204693748512664</x:v>
      </x:c>
      <x:c r="O2645" s="82" t="n">
        <x:v>0.15889303713609831</x:v>
      </x:c>
      <x:c r="P2645" s="80" t="n">
        <x:v>24079.737834778418</x:v>
      </x:c>
      <x:c r="Q2645" s="81" t="n">
        <x:v>0.01185571525391182</x:v>
      </x:c>
      <x:c r="R2645" s="81" t="n">
        <x:v>17.91964037145777</x:v>
      </x:c>
      <x:c r="S2645" s="81" t="n">
        <x:v>9.522714263424652</x:v>
      </x:c>
      <x:c r="T2645" s="81" t="n">
        <x:v>17.73699483197979</x:v>
      </x:c>
    </x:row>
    <x:row r="2646">
      <x:c r="A2646" s="59" t="n">
        <x:v>2643</x:v>
      </x:c>
      <x:c r="B2646" s="193" t="n">
        <x:v>0.8033935628831388</x:v>
      </x:c>
      <x:c r="C2646" s="83" t="n">
        <x:v>0.3234865948242103</x:v>
      </x:c>
      <x:c r="D2646" s="83" t="n">
        <x:v>0.733309712697918</x:v>
      </x:c>
      <x:c r="E2646" s="81" t="n">
        <x:v>0.1434285778236068</x:v>
      </x:c>
      <x:c r="F2646" s="81" t="n">
        <x:v>0.8387224774924107</x:v>
      </x:c>
      <x:c r="G2646" s="81" t="n">
        <x:v>-0.022254599013358745</x:v>
      </x:c>
      <x:c r="H2646" s="59" t="n">
        <x:v>89</x:v>
      </x:c>
      <x:c r="I2646" s="81" t="n">
        <x:v>0.2048444145359099</x:v>
      </x:c>
      <x:c r="J2646" s="79" t="n">
        <x:v>0.0012057639908729224</x:v>
      </x:c>
      <x:c r="K2646" s="81" t="n">
        <x:v>0.37801598956905447</x:v>
      </x:c>
      <x:c r="L2646" s="81" t="n">
        <x:v>-0.9081374155927908</x:v>
      </x:c>
      <x:c r="M2646" s="80" t="n">
        <x:v>10895.658095534867</x:v>
      </x:c>
      <x:c r="N2646" s="82" t="n">
        <x:v>0.29347716030806775</x:v>
      </x:c>
      <x:c r="O2646" s="82" t="n">
        <x:v>0.23252172284370307</x:v>
      </x:c>
      <x:c r="P2646" s="80" t="n">
        <x:v>13995.177997037656</x:v>
      </x:c>
      <x:c r="Q2646" s="81" t="n">
        <x:v>0.00427262179437892</x:v>
      </x:c>
      <x:c r="R2646" s="81" t="n">
        <x:v>239.1478921963409</x:v>
      </x:c>
      <x:c r="S2646" s="81" t="n">
        <x:v>71.46386212446006</x:v>
      </x:c>
      <x:c r="T2646" s="81" t="n">
        <x:v>26.11948048937672</x:v>
      </x:c>
    </x:row>
    <x:row r="2647">
      <x:c r="A2647" s="59" t="n">
        <x:v>2644</x:v>
      </x:c>
      <x:c r="B2647" s="193" t="n">
        <x:v>0.8929654307663442</x:v>
      </x:c>
      <x:c r="C2647" s="83" t="n">
        <x:v>2.6576731905091595</x:v>
      </x:c>
      <x:c r="D2647" s="83" t="n">
        <x:v>1.039429180331254</x:v>
      </x:c>
      <x:c r="E2647" s="81" t="n">
        <x:v>-0.09496633544562616</x:v>
      </x:c>
      <x:c r="F2647" s="81" t="n">
        <x:v>0.30920361323514955</x:v>
      </x:c>
      <x:c r="G2647" s="81" t="n">
        <x:v>0.026566969984095697</x:v>
      </x:c>
      <x:c r="H2647" s="59" t="n">
        <x:v>0</x:v>
      </x:c>
      <x:c r="I2647" s="81" t="n">
        <x:v>0</x:v>
      </x:c>
      <x:c r="J2647" s="79" t="n">
        <x:v>8.951029394709402e-47</x:v>
      </x:c>
      <x:c r="K2647" s="81" t="n">
        <x:v>-1</x:v>
      </x:c>
      <x:c r="L2647" s="81" t="n">
        <x:v>-1</x:v>
      </x:c>
      <x:c r="M2647" s="80" t="n">
        <x:v>0.000002</x:v>
      </x:c>
      <x:c r="N2647" s="82" t="n">
        <x:v>0.3148148587103699</x:v>
      </x:c>
      <x:c r="O2647" s="82" t="n">
        <x:v>0.0919540208414569</x:v>
      </x:c>
      <x:c r="P2647" s="80" t="n">
        <x:v>688.7023413987122</x:v>
      </x:c>
      <x:c r="Q2647" s="81" t="n">
        <x:v>2.602273295400849e+29</x:v>
      </x:c>
      <x:c r="R2647" s="81" t="n">
        <x:v>1.0072308767655356</x:v>
      </x:c>
      <x:c r="S2647" s="81" t="n">
        <x:v>3.4248332605351725e-10</x:v>
      </x:c>
      <x:c r="T2647" s="81" t="n">
        <x:v>1.9389883874844454e-42</x:v>
      </x:c>
    </x:row>
    <x:row r="2648">
      <x:c r="A2648" s="59" t="n">
        <x:v>2645</x:v>
      </x:c>
      <x:c r="B2648" s="193" t="n">
        <x:v>0.8373475594446063</x:v>
      </x:c>
      <x:c r="C2648" s="83" t="n">
        <x:v>1.9919996288529114</x:v>
      </x:c>
      <x:c r="D2648" s="83" t="n">
        <x:v>1.8033743772472424</x:v>
      </x:c>
      <x:c r="E2648" s="81" t="n">
        <x:v>-0.08327737169717363</x:v>
      </x:c>
      <x:c r="F2648" s="81" t="n">
        <x:v>0.8731925243278965</x:v>
      </x:c>
      <x:c r="G2648" s="81" t="n">
        <x:v>-0.0062949201241690915</x:v>
      </x:c>
      <x:c r="H2648" s="59" t="n">
        <x:v>21</x:v>
      </x:c>
      <x:c r="I2648" s="81" t="n">
        <x:v>0.13600121727213266</x:v>
      </x:c>
      <x:c r="J2648" s="79" t="n">
        <x:v>8.454551583596073e-54</x:v>
      </x:c>
      <x:c r="K2648" s="81" t="n">
        <x:v>-1</x:v>
      </x:c>
      <x:c r="L2648" s="81" t="n">
        <x:v>-1</x:v>
      </x:c>
      <x:c r="M2648" s="80" t="n">
        <x:v>0.000002</x:v>
      </x:c>
      <x:c r="N2648" s="82" t="n">
        <x:v>0.30156563892644483</x:v>
      </x:c>
      <x:c r="O2648" s="82" t="n">
        <x:v>0.24874983783248406</x:v>
      </x:c>
      <x:c r="P2648" s="80" t="n">
        <x:v>687.3420226122591</x:v>
      </x:c>
      <x:c r="Q2648" s="81" t="n">
        <x:v>3.1082567409202286e+36</x:v>
      </x:c>
      <x:c r="R2648" s="81" t="n">
        <x:v>1.0080187047968197</x:v>
      </x:c>
      <x:c r="S2648" s="81" t="n">
        <x:v>4.889466822471858e-10</x:v>
      </x:c>
      <x:c r="T2648" s="81" t="n">
        <x:v>1.831440454398511e-49</x:v>
      </x:c>
    </x:row>
    <x:row r="2649">
      <x:c r="A2649" s="59" t="n">
        <x:v>2646</x:v>
      </x:c>
      <x:c r="B2649" s="193" t="n">
        <x:v>0.8730288360267877</x:v>
      </x:c>
      <x:c r="C2649" s="83" t="n">
        <x:v>1.5462248215761332</x:v>
      </x:c>
      <x:c r="D2649" s="83" t="n">
        <x:v>1.5320267030962382</x:v>
      </x:c>
      <x:c r="E2649" s="81" t="n">
        <x:v>0.1513111486201156</x:v>
      </x:c>
      <x:c r="F2649" s="81" t="n">
        <x:v>0.7619921071920545</x:v>
      </x:c>
      <x:c r="G2649" s="81" t="n">
        <x:v>-0.0064172644362116065</x:v>
      </x:c>
      <x:c r="H2649" s="59" t="n">
        <x:v>75</x:v>
      </x:c>
      <x:c r="I2649" s="81" t="n">
        <x:v>0.3633324936032295</x:v>
      </x:c>
      <x:c r="J2649" s="79" t="n">
        <x:v>0.044404087340359735</x:v>
      </x:c>
      <x:c r="K2649" s="81" t="n">
        <x:v>49.74752838898256</x:v>
      </x:c>
      <x:c r="L2649" s="81" t="n">
        <x:v>-0.9614118878708545</x:v>
      </x:c>
      <x:c r="M2649" s="80" t="n">
        <x:v>177007.09513809532</x:v>
      </x:c>
      <x:c r="N2649" s="82" t="n">
        <x:v>0.31006558803225637</x:v>
      </x:c>
      <x:c r="O2649" s="82" t="n">
        <x:v>0.22319012961350856</x:v>
      </x:c>
      <x:c r="P2649" s="80" t="n">
        <x:v>343103.39688131533</x:v>
      </x:c>
      <x:c r="Q2649" s="81" t="n">
        <x:v>0.004690399071256159</x:v>
      </x:c>
      <x:c r="R2649" s="81" t="n">
        <x:v>620.7511838619613</x:v>
      </x:c>
      <x:c r="S2649" s="81" t="n">
        <x:v>580.7122744632829</x:v>
      </x:c>
      <x:c r="T2649" s="81" t="n">
        <x:v>961.8894756472623</x:v>
      </x:c>
    </x:row>
    <x:row r="2650">
      <x:c r="A2650" s="59" t="n">
        <x:v>2647</x:v>
      </x:c>
      <x:c r="B2650" s="193" t="n">
        <x:v>0.9230837205424904</x:v>
      </x:c>
      <x:c r="C2650" s="83" t="n">
        <x:v>0.2159968260383269</x:v>
      </x:c>
      <x:c r="D2650" s="83" t="n">
        <x:v>0.9615165962482758</x:v>
      </x:c>
      <x:c r="E2650" s="81" t="n">
        <x:v>-0.05381920972139285</x:v>
      </x:c>
      <x:c r="F2650" s="81" t="n">
        <x:v>0.5453281285241247</x:v>
      </x:c>
      <x:c r="G2650" s="81" t="n">
        <x:v>0.013975243811614208</x:v>
      </x:c>
      <x:c r="H2650" s="59" t="n">
        <x:v>0</x:v>
      </x:c>
      <x:c r="I2650" s="81" t="n">
        <x:v>0</x:v>
      </x:c>
      <x:c r="J2650" s="79" t="n">
        <x:v>2.5646580434711583e-30</x:v>
      </x:c>
      <x:c r="K2650" s="81" t="n">
        <x:v>-1</x:v>
      </x:c>
      <x:c r="L2650" s="81" t="n">
        <x:v>-1</x:v>
      </x:c>
      <x:c r="M2650" s="80" t="n">
        <x:v>0.000002</x:v>
      </x:c>
      <x:c r="N2650" s="82" t="n">
        <x:v>0.3219896000529815</x:v>
      </x:c>
      <x:c r="O2650" s="82" t="n">
        <x:v>0.16587108521844574</x:v>
      </x:c>
      <x:c r="P2650" s="80" t="n">
        <x:v>324.34804373327916</x:v>
      </x:c>
      <x:c r="Q2650" s="81" t="n">
        <x:v>15423897436131.37</x:v>
      </x:c>
      <x:c r="R2650" s="81" t="n">
        <x:v>11.55706341830194</x:v>
      </x:c>
      <x:c r="S2650" s="81" t="n">
        <x:v>8.200894599464096e-10</x:v>
      </x:c>
      <x:c r="T2650" s="81" t="n">
        <x:v>5.555609243221124e-26</x:v>
      </x:c>
    </x:row>
    <x:row r="2651">
      <x:c r="A2651" s="59" t="n">
        <x:v>2648</x:v>
      </x:c>
      <x:c r="B2651" s="193" t="n">
        <x:v>0.6663503170013427</x:v>
      </x:c>
      <x:c r="C2651" s="83" t="n">
        <x:v>0.8460468742291413</x:v>
      </x:c>
      <x:c r="D2651" s="83" t="n">
        <x:v>0.7975591969909336</x:v>
      </x:c>
      <x:c r="E2651" s="81" t="n">
        <x:v>-0.0014033142936824329</x:v>
      </x:c>
      <x:c r="F2651" s="81" t="n">
        <x:v>0.5256485108751804</x:v>
      </x:c>
      <x:c r="G2651" s="81" t="n">
        <x:v>0.01742188369687195</x:v>
      </x:c>
      <x:c r="H2651" s="59" t="n">
        <x:v>0</x:v>
      </x:c>
      <x:c r="I2651" s="81" t="n">
        <x:v>0</x:v>
      </x:c>
      <x:c r="J2651" s="79" t="n">
        <x:v>5.034707582427475e-7</x:v>
      </x:c>
      <x:c r="K2651" s="81" t="n">
        <x:v>-0.9994246048477226</x:v>
      </x:c>
      <x:c r="L2651" s="81" t="n">
        <x:v>-0.9994246048477226</x:v>
      </x:c>
      <x:c r="M2651" s="80" t="n">
        <x:v>223.88979363288723</x:v>
      </x:c>
      <x:c r="N2651" s="82" t="n">
        <x:v>0.26083088957816347</x:v>
      </x:c>
      <x:c r="O2651" s="82" t="n">
        <x:v>0.129516590398855</x:v>
      </x:c>
      <x:c r="P2651" s="80" t="n">
        <x:v>2522.468027523462</x:v>
      </x:c>
      <x:c r="Q2651" s="81" t="n">
        <x:v>0.12749355638513712</x:v>
      </x:c>
      <x:c r="R2651" s="81" t="n">
        <x:v>13.562254150050252</x:v>
      </x:c>
      <x:c r="S2651" s="81" t="n">
        <x:v>0.06358942165049178</x:v>
      </x:c>
      <x:c r="T2651" s="81" t="n">
        <x:v>0.010906275810552953</x:v>
      </x:c>
    </x:row>
    <x:row r="2652">
      <x:c r="A2652" s="59" t="n">
        <x:v>2649</x:v>
      </x:c>
      <x:c r="B2652" s="193" t="n">
        <x:v>0.40797894168645144</x:v>
      </x:c>
      <x:c r="C2652" s="83" t="n">
        <x:v>1.6528930729664209</x:v>
      </x:c>
      <x:c r="D2652" s="83" t="n">
        <x:v>1.020953238772251</x:v>
      </x:c>
      <x:c r="E2652" s="81" t="n">
        <x:v>0.08254749686155938</x:v>
      </x:c>
      <x:c r="F2652" s="81" t="n">
        <x:v>0.531249261344783</x:v>
      </x:c>
      <x:c r="G2652" s="81" t="n">
        <x:v>0.001204611183323571</x:v>
      </x:c>
      <x:c r="H2652" s="59" t="n">
        <x:v>0</x:v>
      </x:c>
      <x:c r="I2652" s="81" t="n">
        <x:v>0</x:v>
      </x:c>
      <x:c r="J2652" s="79" t="n">
        <x:v>0.02765815469647914</x:v>
      </x:c>
      <x:c r="K2652" s="81" t="n">
        <x:v>30.60931965311902</x:v>
      </x:c>
      <x:c r="L2652" s="81" t="n">
        <x:v>-0.6679587905796454</x:v>
      </x:c>
      <x:c r="M2652" s="80" t="n">
        <x:v>101901.45447746284</x:v>
      </x:c>
      <x:c r="N2652" s="82" t="n">
        <x:v>0.19928198351486948</x:v>
      </x:c>
      <x:c r="O2652" s="82" t="n">
        <x:v>0.10000859321949031</x:v>
      </x:c>
      <x:c r="P2652" s="80" t="n">
        <x:v>172943.54132126996</x:v>
      </x:c>
      <x:c r="Q2652" s="81" t="n">
        <x:v>0.003181948065301947</x:v>
      </x:c>
      <x:c r="R2652" s="81" t="n">
        <x:v>304.3197846753664</x:v>
      </x:c>
      <x:c r="S2652" s="81" t="n">
        <x:v>329.30003531094394</x:v>
      </x:c>
      <x:c r="T2652" s="81" t="n">
        <x:v>599.1360145395042</x:v>
      </x:c>
    </x:row>
    <x:row r="2653">
      <x:c r="A2653" s="59" t="n">
        <x:v>2650</x:v>
      </x:c>
      <x:c r="B2653" s="193" t="n">
        <x:v>0.4048418750986457</x:v>
      </x:c>
      <x:c r="C2653" s="83" t="n">
        <x:v>0.12316868941413056</x:v>
      </x:c>
      <x:c r="D2653" s="83" t="n">
        <x:v>0.45737401902771224</x:v>
      </x:c>
      <x:c r="E2653" s="81" t="n">
        <x:v>-0.04210769559059294</x:v>
      </x:c>
      <x:c r="F2653" s="81" t="n">
        <x:v>0.31582980576204134</x:v>
      </x:c>
      <x:c r="G2653" s="81" t="n">
        <x:v>0.021379421038775416</x:v>
      </x:c>
      <x:c r="H2653" s="59" t="n">
        <x:v>0</x:v>
      </x:c>
      <x:c r="I2653" s="81" t="n">
        <x:v>0</x:v>
      </x:c>
      <x:c r="J2653" s="79" t="n">
        <x:v>7.967848436897909e-18</x:v>
      </x:c>
      <x:c r="K2653" s="81" t="n">
        <x:v>-0.9999999999999909</x:v>
      </x:c>
      <x:c r="L2653" s="81" t="n">
        <x:v>-0.9999999999999909</x:v>
      </x:c>
      <x:c r="M2653" s="80" t="n">
        <x:v>0.000562009207066036</x:v>
      </x:c>
      <x:c r="N2653" s="82" t="n">
        <x:v>0.19853467543365563</x:v>
      </x:c>
      <x:c r="O2653" s="82" t="n">
        <x:v>0.05923254939655095</x:v>
      </x:c>
      <x:c r="P2653" s="80" t="n">
        <x:v>339.6753036723777</x:v>
      </x:c>
      <x:c r="Q2653" s="81" t="n">
        <x:v>1763.2650221576173</x:v>
      </x:c>
      <x:c r="R2653" s="81" t="n">
        <x:v>48.34673248727456</x:v>
      </x:c>
      <x:c r="S2653" s="81" t="n">
        <x:v>1.3606131921739146e-7</x:v>
      </x:c>
      <x:c r="T2653" s="81" t="n">
        <x:v>1.726009927027249e-13</x:v>
      </x:c>
    </x:row>
    <x:row r="2654">
      <x:c r="A2654" s="59" t="n">
        <x:v>2651</x:v>
      </x:c>
      <x:c r="B2654" s="193" t="n">
        <x:v>0.9615078425034882</x:v>
      </x:c>
      <x:c r="C2654" s="83" t="n">
        <x:v>0.4730291901938686</x:v>
      </x:c>
      <x:c r="D2654" s="83" t="n">
        <x:v>0.46487218980988565</x:v>
      </x:c>
      <x:c r="E2654" s="81" t="n">
        <x:v>-0.10487544354464064</x:v>
      </x:c>
      <x:c r="F2654" s="81" t="n">
        <x:v>0.6336564887082204</x:v>
      </x:c>
      <x:c r="G2654" s="81" t="n">
        <x:v>-0.021717132048419054</x:v>
      </x:c>
      <x:c r="H2654" s="59" t="n">
        <x:v>35</x:v>
      </x:c>
      <x:c r="I2654" s="81" t="n">
        <x:v>0.2047161750495434</x:v>
      </x:c>
      <x:c r="J2654" s="79" t="n">
        <x:v>1.6693467880168687e-26</x:v>
      </x:c>
      <x:c r="K2654" s="81" t="n">
        <x:v>-1</x:v>
      </x:c>
      <x:c r="L2654" s="81" t="n">
        <x:v>-1</x:v>
      </x:c>
      <x:c r="M2654" s="80" t="n">
        <x:v>0.000002</x:v>
      </x:c>
      <x:c r="N2654" s="82" t="n">
        <x:v>0.33114294635637764</x:v>
      </x:c>
      <x:c r="O2654" s="82" t="n">
        <x:v>0.19821674353246485</x:v>
      </x:c>
      <x:c r="P2654" s="80" t="n">
        <x:v>200.45524039954375</x:v>
      </x:c>
      <x:c r="Q2654" s="81" t="n">
        <x:v>1274934125.730009</x:v>
      </x:c>
      <x:c r="R2654" s="81" t="n">
        <x:v>5.597567449321067</x:v>
      </x:c>
      <x:c r="S2654" s="81" t="n">
        <x:v>2.1164618144115212e-10</x:v>
      </x:c>
      <x:c r="T2654" s="81" t="n">
        <x:v>3.6161695978367987e-22</x:v>
      </x:c>
    </x:row>
    <x:row r="2655">
      <x:c r="A2655" s="59" t="n">
        <x:v>2652</x:v>
      </x:c>
      <x:c r="B2655" s="193" t="n">
        <x:v>0.23337077256292105</x:v>
      </x:c>
      <x:c r="C2655" s="83" t="n">
        <x:v>0.6246526616246404</x:v>
      </x:c>
      <x:c r="D2655" s="83" t="n">
        <x:v>0.34093823664601774</x:v>
      </x:c>
      <x:c r="E2655" s="81" t="n">
        <x:v>0.10986923955309913</x:v>
      </x:c>
      <x:c r="F2655" s="81" t="n">
        <x:v>0.6986288457759656</x:v>
      </x:c>
      <x:c r="G2655" s="81" t="n">
        <x:v>0.011654082361140794</x:v>
      </x:c>
      <x:c r="H2655" s="59" t="n">
        <x:v>0</x:v>
      </x:c>
      <x:c r="I2655" s="81" t="n">
        <x:v>0</x:v>
      </x:c>
      <x:c r="J2655" s="79" t="n">
        <x:v>0.0020612900126213236</x:v>
      </x:c>
      <x:c r="K2655" s="81" t="n">
        <x:v>1.3557600144243702</x:v>
      </x:c>
      <x:c r="L2655" s="81" t="n">
        <x:v>-0.6727332780368909</x:v>
      </x:c>
      <x:c r="M2655" s="80" t="n">
        <x:v>14649.96763500438</x:v>
      </x:c>
      <x:c r="N2655" s="82" t="n">
        <x:v>0.1576870437264733</x:v>
      </x:c>
      <x:c r="O2655" s="82" t="n">
        <x:v>0.10406710334789435</x:v>
      </x:c>
      <x:c r="P2655" s="80" t="n">
        <x:v>10258.069155527135</x:v>
      </x:c>
      <x:c r="Q2655" s="81" t="n">
        <x:v>0.0022810058148708427</x:v>
      </x:c>
      <x:c r="R2655" s="81" t="n">
        <x:v>88.54205413378004</x:v>
      </x:c>
      <x:c r="S2655" s="81" t="n">
        <x:v>62.97264296532807</x:v>
      </x:c>
      <x:c r="T2655" s="81" t="n">
        <x:v>44.65204192126519</x:v>
      </x:c>
    </x:row>
    <x:row r="2656">
      <x:c r="A2656" s="59" t="n">
        <x:v>2653</x:v>
      </x:c>
      <x:c r="B2656" s="193" t="n">
        <x:v>0.4468991938978434</x:v>
      </x:c>
      <x:c r="C2656" s="83" t="n">
        <x:v>0.21334021061799854</x:v>
      </x:c>
      <x:c r="D2656" s="83" t="n">
        <x:v>0.17891760638846183</x:v>
      </x:c>
      <x:c r="E2656" s="81" t="n">
        <x:v>0.03139901334798249</x:v>
      </x:c>
      <x:c r="F2656" s="81" t="n">
        <x:v>0.33372594573302194</x:v>
      </x:c>
      <x:c r="G2656" s="81" t="n">
        <x:v>0.03713104134447123</x:v>
      </x:c>
      <x:c r="H2656" s="59" t="n">
        <x:v>72</x:v>
      </x:c>
      <x:c r="I2656" s="81" t="n">
        <x:v>0.3672235326841474</x:v>
      </x:c>
      <x:c r="J2656" s="79" t="n">
        <x:v>0.00008672081132893058</x:v>
      </x:c>
      <x:c r="K2656" s="81" t="n">
        <x:v>-0.900890501338365</x:v>
      </x:c>
      <x:c r="L2656" s="81" t="n">
        <x:v>-0.9387508369072514</x:v>
      </x:c>
      <x:c r="M2656" s="80" t="n">
        <x:v>1975.4601342660321</x:v>
      </x:c>
      <x:c r="N2656" s="82" t="n">
        <x:v>0.20855351734635189</x:v>
      </x:c>
      <x:c r="O2656" s="82" t="n">
        <x:v>0.06574737727982922</x:v>
      </x:c>
      <x:c r="P2656" s="80" t="n">
        <x:v>1070.375053442031</x:v>
      </x:c>
      <x:c r="Q2656" s="81" t="n">
        <x:v>0.004102200546421183</x:v>
      </x:c>
      <x:c r="R2656" s="81" t="n">
        <x:v>72.3898291101905</x:v>
      </x:c>
      <x:c r="S2656" s="81" t="n">
        <x:v>7.751461987740869</x:v>
      </x:c>
      <x:c r="T2656" s="81" t="n">
        <x:v>1.8785621039230762</x:v>
      </x:c>
    </x:row>
    <x:row r="2657">
      <x:c r="A2657" s="59" t="n">
        <x:v>2654</x:v>
      </x:c>
      <x:c r="B2657" s="193" t="n">
        <x:v>0.8720382384955883</x:v>
      </x:c>
      <x:c r="C2657" s="83" t="n">
        <x:v>1.7713420196446135</x:v>
      </x:c>
      <x:c r="D2657" s="83" t="n">
        <x:v>0.25429073680655434</x:v>
      </x:c>
      <x:c r="E2657" s="81" t="n">
        <x:v>0.009145459715174963</x:v>
      </x:c>
      <x:c r="F2657" s="81" t="n">
        <x:v>0.39984154573176056</x:v>
      </x:c>
      <x:c r="G2657" s="81" t="n">
        <x:v>0.02904924460290292</x:v>
      </x:c>
      <x:c r="H2657" s="59" t="n">
        <x:v>0</x:v>
      </x:c>
      <x:c r="I2657" s="81" t="n">
        <x:v>0</x:v>
      </x:c>
      <x:c r="J2657" s="79" t="n">
        <x:v>0.000023194787353766148</x:v>
      </x:c>
      <x:c r="K2657" s="81" t="n">
        <x:v>-0.9734916715956958</x:v>
      </x:c>
      <x:c r="L2657" s="81" t="n">
        <x:v>-0.9736646844750311</x:v>
      </x:c>
      <x:c r="M2657" s="80" t="n">
        <x:v>2295.8487667307913</x:v>
      </x:c>
      <x:c r="N2657" s="82" t="n">
        <x:v>0.30982960912662083</x:v>
      </x:c>
      <x:c r="O2657" s="82" t="n">
        <x:v>0.11702584311078547</x:v>
      </x:c>
      <x:c r="P2657" s="80" t="n">
        <x:v>2630.2580414039853</x:v>
      </x:c>
      <x:c r="Q2657" s="81" t="n">
        <x:v>0.01707680126153654</x:v>
      </x:c>
      <x:c r="R2657" s="81" t="n">
        <x:v>8.71496055751838</x:v>
      </x:c>
      <x:c r="S2657" s="81" t="n">
        <x:v>0.3749681684835218</x:v>
      </x:c>
      <x:c r="T2657" s="81" t="n">
        <x:v>0.502449733387159</x:v>
      </x:c>
    </x:row>
    <x:row r="2658">
      <x:c r="A2658" s="59" t="n">
        <x:v>2655</x:v>
      </x:c>
      <x:c r="B2658" s="193" t="n">
        <x:v>0.7966126456856728</x:v>
      </x:c>
      <x:c r="C2658" s="83" t="n">
        <x:v>0.13745985778015038</x:v>
      </x:c>
      <x:c r="D2658" s="83" t="n">
        <x:v>0.8021673677123496</x:v>
      </x:c>
      <x:c r="E2658" s="81" t="n">
        <x:v>-0.04909484834641631</x:v>
      </x:c>
      <x:c r="F2658" s="81" t="n">
        <x:v>0.870554853277281</x:v>
      </x:c>
      <x:c r="G2658" s="81" t="n">
        <x:v>-0.01569197492441936</x:v>
      </x:c>
      <x:c r="H2658" s="59" t="n">
        <x:v>0</x:v>
      </x:c>
      <x:c r="I2658" s="81" t="n">
        <x:v>0</x:v>
      </x:c>
      <x:c r="J2658" s="79" t="n">
        <x:v>1.689547451757583e-24</x:v>
      </x:c>
      <x:c r="K2658" s="81" t="n">
        <x:v>-1</x:v>
      </x:c>
      <x:c r="L2658" s="81" t="n">
        <x:v>-1</x:v>
      </x:c>
      <x:c r="M2658" s="80" t="n">
        <x:v>0.000002</x:v>
      </x:c>
      <x:c r="N2658" s="82" t="n">
        <x:v>0.2918618186894337</x:v>
      </x:c>
      <x:c r="O2658" s="82" t="n">
        <x:v>0.24001830654426554</x:v>
      </x:c>
      <x:c r="P2658" s="80" t="n">
        <x:v>283.08496206413076</x:v>
      </x:c>
      <x:c r="Q2658" s="81" t="n">
        <x:v>25550725.65297023</x:v>
      </x:c>
      <x:c r="R2658" s="81" t="n">
        <x:v>19.384139415477357</x:v>
      </x:c>
      <x:c r="S2658" s="81" t="n">
        <x:v>5.096364718334108e-10</x:v>
      </x:c>
      <x:c r="T2658" s="81" t="n">
        <x:v>3.659928645746835e-20</x:v>
      </x:c>
    </x:row>
    <x:row r="2659">
      <x:c r="A2659" s="59" t="n">
        <x:v>2656</x:v>
      </x:c>
      <x:c r="B2659" s="193" t="n">
        <x:v>0.47436613421887164</x:v>
      </x:c>
      <x:c r="C2659" s="83" t="n">
        <x:v>2.515166305838711</x:v>
      </x:c>
      <x:c r="D2659" s="83" t="n">
        <x:v>0.5643979991489951</x:v>
      </x:c>
      <x:c r="E2659" s="81" t="n">
        <x:v>-0.03210898565864505</x:v>
      </x:c>
      <x:c r="F2659" s="81" t="n">
        <x:v>0.8162737390259281</x:v>
      </x:c>
      <x:c r="G2659" s="81" t="n">
        <x:v>-0.005278351159534732</x:v>
      </x:c>
      <x:c r="H2659" s="59" t="n">
        <x:v>0</x:v>
      </x:c>
      <x:c r="I2659" s="81" t="n">
        <x:v>0</x:v>
      </x:c>
      <x:c r="J2659" s="79" t="n">
        <x:v>3.751536231168284e-15</x:v>
      </x:c>
      <x:c r="K2659" s="81" t="n">
        <x:v>-0.9999999999957125</x:v>
      </x:c>
      <x:c r="L2659" s="81" t="n">
        <x:v>-0.9999999999957125</x:v>
      </x:c>
      <x:c r="M2659" s="80" t="n">
        <x:v>0.03782801055450925</x:v>
      </x:c>
      <x:c r="N2659" s="82" t="n">
        <x:v>0.21509665753595186</x:v>
      </x:c>
      <x:c r="O2659" s="82" t="n">
        <x:v>0.16585952921803976</x:v>
      </x:c>
      <x:c r="P2659" s="80" t="n">
        <x:v>1387.5838311211085</x:v>
      </x:c>
      <x:c r="Q2659" s="81" t="n">
        <x:v>327.38134225242777</x:v>
      </x:c>
      <x:c r="R2659" s="81" t="n">
        <x:v>3.1823424162803438</x:v>
      </x:c>
      <x:c r="S2659" s="81" t="n">
        <x:v>0.0000025783321929143135</x:v>
      </x:c>
      <x:c r="T2659" s="81" t="n">
        <x:v>8.126646519295253e-11</x:v>
      </x:c>
    </x:row>
    <x:row r="2660">
      <x:c r="A2660" s="59" t="n">
        <x:v>2657</x:v>
      </x:c>
      <x:c r="B2660" s="193" t="n">
        <x:v>0.4430927023291588</x:v>
      </x:c>
      <x:c r="C2660" s="83" t="n">
        <x:v>1.459956754039102</x:v>
      </x:c>
      <x:c r="D2660" s="83" t="n">
        <x:v>2.1014541039386683</x:v>
      </x:c>
      <x:c r="E2660" s="81" t="n">
        <x:v>0.029345855931171658</x:v>
      </x:c>
      <x:c r="F2660" s="81" t="n">
        <x:v>0.3651857647113502</x:v>
      </x:c>
      <x:c r="G2660" s="81" t="n">
        <x:v>-0.00874159053851195</x:v>
      </x:c>
      <x:c r="H2660" s="59" t="n">
        <x:v>0</x:v>
      </x:c>
      <x:c r="I2660" s="81" t="n">
        <x:v>0</x:v>
      </x:c>
      <x:c r="J2660" s="79" t="n">
        <x:v>0.018161620701906432</x:v>
      </x:c>
      <x:c r="K2660" s="81" t="n">
        <x:v>19.756137945035924</x:v>
      </x:c>
      <x:c r="L2660" s="81" t="n">
        <x:v>-0.5859182655839489</x:v>
      </x:c>
      <x:c r="M2660" s="80" t="n">
        <x:v>70125.25113840535</x:v>
      </x:c>
      <x:c r="N2660" s="82" t="n">
        <x:v>0.2076467396829745</x:v>
      </x:c>
      <x:c r="O2660" s="82" t="n">
        <x:v>0.071632465345539</x:v>
      </x:c>
      <x:c r="P2660" s="80" t="n">
        <x:v>248984.38211806</x:v>
      </x:c>
      <x:c r="Q2660" s="81" t="n">
        <x:v>0.006023192930213908</x:v>
      </x:c>
      <x:c r="R2660" s="81" t="n">
        <x:v>232.32137403103758</x:v>
      </x:c>
      <x:c r="S2660" s="81" t="n">
        <x:v>255.1406545186043</x:v>
      </x:c>
      <x:c r="T2660" s="81" t="n">
        <x:v>393.42035520191644</x:v>
      </x:c>
    </x:row>
    <x:row r="2661">
      <x:c r="A2661" s="59" t="n">
        <x:v>2658</x:v>
      </x:c>
      <x:c r="B2661" s="193" t="n">
        <x:v>0.846181388385594</x:v>
      </x:c>
      <x:c r="C2661" s="83" t="n">
        <x:v>0.17354496734211217</x:v>
      </x:c>
      <x:c r="D2661" s="83" t="n">
        <x:v>0.4799942177789949</x:v>
      </x:c>
      <x:c r="E2661" s="81" t="n">
        <x:v>-0.018878428128243207</x:v>
      </x:c>
      <x:c r="F2661" s="81" t="n">
        <x:v>0.34428667345782743</x:v>
      </x:c>
      <x:c r="G2661" s="81" t="n">
        <x:v>-0.018312306266546088</x:v>
      </x:c>
      <x:c r="H2661" s="59" t="n">
        <x:v>35</x:v>
      </x:c>
      <x:c r="I2661" s="81" t="n">
        <x:v>0.11999884080141783</x:v>
      </x:c>
      <x:c r="J2661" s="79" t="n">
        <x:v>3.213248523799047e-10</x:v>
      </x:c>
      <x:c r="K2661" s="81" t="n">
        <x:v>-0.9999996327715973</x:v>
      </x:c>
      <x:c r="L2661" s="81" t="n">
        <x:v>-0.9999996327715973</x:v>
      </x:c>
      <x:c r="M2661" s="80" t="n">
        <x:v>3.6350127891708652</x:v>
      </x:c>
      <x:c r="N2661" s="82" t="n">
        <x:v>0.3036700226144808</x:v>
      </x:c>
      <x:c r="O2661" s="82" t="n">
        <x:v>0.09876272771266541</x:v>
      </x:c>
      <x:c r="P2661" s="80" t="n">
        <x:v>497.2803864470904</x:v>
      </x:c>
      <x:c r="Q2661" s="81" t="n">
        <x:v>0.6059301350213553</x:v>
      </x:c>
      <x:c r="R2661" s="81" t="n">
        <x:v>42.54631047083647</x:v>
      </x:c>
      <x:c r="S2661" s="81" t="n">
        <x:v>0.0005619536534774158</x:v>
      </x:c>
      <x:c r="T2661" s="81" t="n">
        <x:v>0.000006960597825128874</x:v>
      </x:c>
    </x:row>
    <x:row r="2662">
      <x:c r="A2662" s="59" t="n">
        <x:v>2659</x:v>
      </x:c>
      <x:c r="B2662" s="193" t="n">
        <x:v>0.20950624514371158</x:v>
      </x:c>
      <x:c r="C2662" s="83" t="n">
        <x:v>0.6606184951018028</x:v>
      </x:c>
      <x:c r="D2662" s="83" t="n">
        <x:v>0.7822619981301444</x:v>
      </x:c>
      <x:c r="E2662" s="81" t="n">
        <x:v>-0.05095766688290211</x:v>
      </x:c>
      <x:c r="F2662" s="81" t="n">
        <x:v>0.6691585256252438</x:v>
      </x:c>
      <x:c r="G2662" s="81" t="n">
        <x:v>-0.022198169639109165</x:v>
      </x:c>
      <x:c r="H2662" s="59" t="n">
        <x:v>0</x:v>
      </x:c>
      <x:c r="I2662" s="81" t="n">
        <x:v>0</x:v>
      </x:c>
      <x:c r="J2662" s="79" t="n">
        <x:v>3.639719017420648e-24</x:v>
      </x:c>
      <x:c r="K2662" s="81" t="n">
        <x:v>-1</x:v>
      </x:c>
      <x:c r="L2662" s="81" t="n">
        <x:v>-1</x:v>
      </x:c>
      <x:c r="M2662" s="80" t="n">
        <x:v>0.000002</x:v>
      </x:c>
      <x:c r="N2662" s="82" t="n">
        <x:v>0.15200206583532858</x:v>
      </x:c>
      <x:c r="O2662" s="82" t="n">
        <x:v>0.0960836401073345</x:v>
      </x:c>
      <x:c r="P2662" s="80" t="n">
        <x:v>482.5119158112598</x:v>
      </x:c>
      <x:c r="Q2662" s="81" t="n">
        <x:v>11447288.556767546</x:v>
      </x:c>
      <x:c r="R2662" s="81" t="n">
        <x:v>5.799944833752978</x:v>
      </x:c>
      <x:c r="S2662" s="81" t="n">
        <x:v>3.1403044916950703e-10</x:v>
      </x:c>
      <x:c r="T2662" s="81" t="n">
        <x:v>7.884426022169322e-20</x:v>
      </x:c>
    </x:row>
    <x:row r="2663">
      <x:c r="A2663" s="59" t="n">
        <x:v>2660</x:v>
      </x:c>
      <x:c r="B2663" s="193" t="n">
        <x:v>0.9632628057152033</x:v>
      </x:c>
      <x:c r="C2663" s="83" t="n">
        <x:v>0.3260028618061086</x:v>
      </x:c>
      <x:c r="D2663" s="83" t="n">
        <x:v>1.5605001519627149</x:v>
      </x:c>
      <x:c r="E2663" s="81" t="n">
        <x:v>0.04197591257720852</x:v>
      </x:c>
      <x:c r="F2663" s="81" t="n">
        <x:v>0.6862178231938743</x:v>
      </x:c>
      <x:c r="G2663" s="81" t="n">
        <x:v>0.009425301010229984</x:v>
      </x:c>
      <x:c r="H2663" s="59" t="n">
        <x:v>0</x:v>
      </x:c>
      <x:c r="I2663" s="81" t="n">
        <x:v>0</x:v>
      </x:c>
      <x:c r="J2663" s="79" t="n">
        <x:v>0.0010427796353881034</x:v>
      </x:c>
      <x:c r="K2663" s="81" t="n">
        <x:v>0.1917481547292612</x:v>
      </x:c>
      <x:c r="L2663" s="81" t="n">
        <x:v>-0.8185500854027701</x:v>
      </x:c>
      <x:c r="M2663" s="80" t="n">
        <x:v>9441.10095165759</x:v>
      </x:c>
      <x:c r="N2663" s="82" t="n">
        <x:v>0.33156101149896866</x:v>
      </x:c>
      <x:c r="O2663" s="82" t="n">
        <x:v>0.21492967973844984</x:v>
      </x:c>
      <x:c r="P2663" s="80" t="n">
        <x:v>26461.615411611012</x:v>
      </x:c>
      <x:c r="Q2663" s="81" t="n">
        <x:v>0.012122761770821808</x:v>
      </x:c>
      <x:c r="R2663" s="81" t="n">
        <x:v>135.25680609712745</x:v>
      </x:c>
      <x:c r="S2663" s="81" t="n">
        <x:v>65.03093394985625</x:v>
      </x:c>
      <x:c r="T2663" s="81" t="n">
        <x:v>22.588883519004906</x:v>
      </x:c>
    </x:row>
    <x:row r="2664">
      <x:c r="A2664" s="59" t="n">
        <x:v>2661</x:v>
      </x:c>
      <x:c r="B2664" s="193" t="n">
        <x:v>0.6485782034695149</x:v>
      </x:c>
      <x:c r="C2664" s="83" t="n">
        <x:v>0.2095393297684634</x:v>
      </x:c>
      <x:c r="D2664" s="83" t="n">
        <x:v>1.2626920335217788</x:v>
      </x:c>
      <x:c r="E2664" s="81" t="n">
        <x:v>0.01568405021795196</x:v>
      </x:c>
      <x:c r="F2664" s="81" t="n">
        <x:v>0.622916101582814</x:v>
      </x:c>
      <x:c r="G2664" s="81" t="n">
        <x:v>-0.04973689970685203</x:v>
      </x:c>
      <x:c r="H2664" s="59" t="n">
        <x:v>0</x:v>
      </x:c>
      <x:c r="I2664" s="81" t="n">
        <x:v>0</x:v>
      </x:c>
      <x:c r="J2664" s="79" t="n">
        <x:v>0.00003486139661974112</x:v>
      </x:c>
      <x:c r="K2664" s="81" t="n">
        <x:v>-0.960158403863153</x:v>
      </x:c>
      <x:c r="L2664" s="81" t="n">
        <x:v>-0.9617323326323834</x:v>
      </x:c>
      <x:c r="M2664" s="80" t="n">
        <x:v>1290.891859726862</x:v>
      </x:c>
      <x:c r="N2664" s="82" t="n">
        <x:v>0.2565972389077537</x:v>
      </x:c>
      <x:c r="O2664" s="82" t="n">
        <x:v>0.15099149239778537</x:v>
      </x:c>
      <x:c r="P2664" s="80" t="n">
        <x:v>4444.407959841322</x:v>
      </x:c>
      <x:c r="Q2664" s="81" t="n">
        <x:v>0.018359382098084936</x:v>
      </x:c>
      <x:c r="R2664" s="81" t="n">
        <x:v>77.27366786379955</x:v>
      </x:c>
      <x:c r="S2664" s="81" t="n">
        <x:v>3.411774975006101</x:v>
      </x:c>
      <x:c r="T2664" s="81" t="n">
        <x:v>0.7551739608532708</x:v>
      </x:c>
    </x:row>
    <x:row r="2665">
      <x:c r="A2665" s="59" t="n">
        <x:v>2662</x:v>
      </x:c>
      <x:c r="B2665" s="193" t="n">
        <x:v>0.7941268326714634</x:v>
      </x:c>
      <x:c r="C2665" s="83" t="n">
        <x:v>1.081580330408509</x:v>
      </x:c>
      <x:c r="D2665" s="83" t="n">
        <x:v>0.7741872898327058</x:v>
      </x:c>
      <x:c r="E2665" s="81" t="n">
        <x:v>-0.06351792606914267</x:v>
      </x:c>
      <x:c r="F2665" s="81" t="n">
        <x:v>0.35734556406969203</x:v>
      </x:c>
      <x:c r="G2665" s="81" t="n">
        <x:v>0.02067985611682899</x:v>
      </x:c>
      <x:c r="H2665" s="59" t="n">
        <x:v>74</x:v>
      </x:c>
      <x:c r="I2665" s="81" t="n">
        <x:v>0.4438172861933708</x:v>
      </x:c>
      <x:c r="J2665" s="79" t="n">
        <x:v>2.6983733753877902e-30</x:v>
      </x:c>
      <x:c r="K2665" s="81" t="n">
        <x:v>-1</x:v>
      </x:c>
      <x:c r="L2665" s="81" t="n">
        <x:v>-1</x:v>
      </x:c>
      <x:c r="M2665" s="80" t="n">
        <x:v>0.000002</x:v>
      </x:c>
      <x:c r="N2665" s="82" t="n">
        <x:v>0.2912696514204553</x:v>
      </x:c>
      <x:c r="O2665" s="82" t="n">
        <x:v>0.09832287595812925</x:v>
      </x:c>
      <x:c r="P2665" s="80" t="n">
        <x:v>512.6614082991842</x:v>
      </x:c>
      <x:c r="Q2665" s="81" t="n">
        <x:v>12535488508104.152</x:v>
      </x:c>
      <x:c r="R2665" s="81" t="n">
        <x:v>3.212279744389842</x:v>
      </x:c>
      <x:c r="S2665" s="81" t="n">
        <x:v>4.1793917695900926e-10</x:v>
      </x:c>
      <x:c r="T2665" s="81" t="n">
        <x:v>5.845265845140254e-26</x:v>
      </x:c>
    </x:row>
    <x:row r="2666">
      <x:c r="A2666" s="59" t="n">
        <x:v>2663</x:v>
      </x:c>
      <x:c r="B2666" s="193" t="n">
        <x:v>0.6993847670033575</x:v>
      </x:c>
      <x:c r="C2666" s="83" t="n">
        <x:v>0.6183474087795218</x:v>
      </x:c>
      <x:c r="D2666" s="83" t="n">
        <x:v>0.6209434631818431</x:v>
      </x:c>
      <x:c r="E2666" s="81" t="n">
        <x:v>0.017382875532765255</x:v>
      </x:c>
      <x:c r="F2666" s="81" t="n">
        <x:v>0.40125848826719446</x:v>
      </x:c>
      <x:c r="G2666" s="81" t="n">
        <x:v>0.021700814668925213</x:v>
      </x:c>
      <x:c r="H2666" s="59" t="n">
        <x:v>0</x:v>
      </x:c>
      <x:c r="I2666" s="81" t="n">
        <x:v>0</x:v>
      </x:c>
      <x:c r="J2666" s="79" t="n">
        <x:v>0.00018925552979750916</x:v>
      </x:c>
      <x:c r="K2666" s="81" t="n">
        <x:v>-0.7837079659457038</x:v>
      </x:c>
      <x:c r="L2666" s="81" t="n">
        <x:v>-0.8711105249267203</x:v>
      </x:c>
      <x:c r="M2666" s="80" t="n">
        <x:v>3975.1061264031323</x:v>
      </x:c>
      <x:c r="N2666" s="82" t="n">
        <x:v>0.2687003149645812</x:v>
      </x:c>
      <x:c r="O2666" s="82" t="n">
        <x:v>0.10185054329582059</x:v>
      </x:c>
      <x:c r="P2666" s="80" t="n">
        <x:v>6128.620557446687</x:v>
      </x:c>
      <x:c r="Q2666" s="81" t="n">
        <x:v>0.011660484166837699</x:v>
      </x:c>
      <x:c r="R2666" s="81" t="n">
        <x:v>30.357113687975207</x:v>
      </x:c>
      <x:c r="S2666" s="81" t="n">
        <x:v>6.562887667635247</x:v>
      </x:c>
      <x:c r="T2666" s="81" t="n">
        <x:v>4.099687961716277</x:v>
      </x:c>
    </x:row>
    <x:row r="2667">
      <x:c r="A2667" s="59" t="n">
        <x:v>2664</x:v>
      </x:c>
      <x:c r="B2667" s="193" t="n">
        <x:v>0.9452259480953218</x:v>
      </x:c>
      <x:c r="C2667" s="83" t="n">
        <x:v>0.45095872587090857</x:v>
      </x:c>
      <x:c r="D2667" s="83" t="n">
        <x:v>0.624049614344818</x:v>
      </x:c>
      <x:c r="E2667" s="81" t="n">
        <x:v>-0.07056979043325326</x:v>
      </x:c>
      <x:c r="F2667" s="81" t="n">
        <x:v>0.7317166185704991</x:v>
      </x:c>
      <x:c r="G2667" s="81" t="n">
        <x:v>0.043653498303675105</x:v>
      </x:c>
      <x:c r="H2667" s="59" t="n">
        <x:v>0</x:v>
      </x:c>
      <x:c r="I2667" s="81" t="n">
        <x:v>0</x:v>
      </x:c>
      <x:c r="J2667" s="79" t="n">
        <x:v>7.841775332075182e-31</x:v>
      </x:c>
      <x:c r="K2667" s="81" t="n">
        <x:v>-1</x:v>
      </x:c>
      <x:c r="L2667" s="81" t="n">
        <x:v>-1</x:v>
      </x:c>
      <x:c r="M2667" s="80" t="n">
        <x:v>0.000002</x:v>
      </x:c>
      <x:c r="N2667" s="82" t="n">
        <x:v>0.3272642938228325</x:v>
      </x:c>
      <x:c r="O2667" s="82" t="n">
        <x:v>0.22621035680744805</x:v>
      </x:c>
      <x:c r="P2667" s="80" t="n">
        <x:v>278.729719788383</x:v>
      </x:c>
      <x:c r="Q2667" s="81" t="n">
        <x:v>39081980345264.52</x:v>
      </x:c>
      <x:c r="R2667" s="81" t="n">
        <x:v>6.187922343909039</x:v>
      </x:c>
      <x:c r="S2667" s="81" t="n">
        <x:v>6.336316864862266e-10</x:v>
      </x:c>
      <x:c r="T2667" s="81" t="n">
        <x:v>1.698699740070443e-26</x:v>
      </x:c>
    </x:row>
    <x:row r="2668">
      <x:c r="A2668" s="59" t="n">
        <x:v>2665</x:v>
      </x:c>
      <x:c r="B2668" s="193" t="n">
        <x:v>0.8585662676021457</x:v>
      </x:c>
      <x:c r="C2668" s="83" t="n">
        <x:v>0.42984937627682074</x:v>
      </x:c>
      <x:c r="D2668" s="83" t="n">
        <x:v>1.5420585757056997</x:v>
      </x:c>
      <x:c r="E2668" s="81" t="n">
        <x:v>-0.04991217696767684</x:v>
      </x:c>
      <x:c r="F2668" s="81" t="n">
        <x:v>0.5719835784053431</x:v>
      </x:c>
      <x:c r="G2668" s="81" t="n">
        <x:v>-0.016416711357380646</x:v>
      </x:c>
      <x:c r="H2668" s="59" t="n">
        <x:v>0</x:v>
      </x:c>
      <x:c r="I2668" s="81" t="n">
        <x:v>0</x:v>
      </x:c>
      <x:c r="J2668" s="79" t="n">
        <x:v>4.859175316799412e-34</x:v>
      </x:c>
      <x:c r="K2668" s="81" t="n">
        <x:v>-1</x:v>
      </x:c>
      <x:c r="L2668" s="81" t="n">
        <x:v>-1</x:v>
      </x:c>
      <x:c r="M2668" s="80" t="n">
        <x:v>0.000002</x:v>
      </x:c>
      <x:c r="N2668" s="82" t="n">
        <x:v>0.30662033306034875</x:v>
      </x:c>
      <x:c r="O2668" s="82" t="n">
        <x:v>0.16567441788159662</x:v>
      </x:c>
      <x:c r="P2668" s="80" t="n">
        <x:v>459.1549228771923</x:v>
      </x:c>
      <x:c r="Q2668" s="81" t="n">
        <x:v>87453801587015700</x:v>
      </x:c>
      <x:c r="R2668" s="81" t="n">
        <x:v>4.759878243744413</x:v>
      </x:c>
      <x:c r="S2668" s="81" t="n">
        <x:v>7.72414183245012e-10</x:v>
      </x:c>
      <x:c r="T2668" s="81" t="n">
        <x:v>1.0526034600661702e-29</x:v>
      </x:c>
    </x:row>
    <x:row r="2669">
      <x:c r="A2669" s="59" t="n">
        <x:v>2666</x:v>
      </x:c>
      <x:c r="B2669" s="193" t="n">
        <x:v>0.7873550318181515</x:v>
      </x:c>
      <x:c r="C2669" s="83" t="n">
        <x:v>0.5639786827923008</x:v>
      </x:c>
      <x:c r="D2669" s="83" t="n">
        <x:v>0.4581989543437504</x:v>
      </x:c>
      <x:c r="E2669" s="81" t="n">
        <x:v>0.04537957513947795</x:v>
      </x:c>
      <x:c r="F2669" s="81" t="n">
        <x:v>0.8053762513794936</x:v>
      </x:c>
      <x:c r="G2669" s="81" t="n">
        <x:v>0.057929422679907</x:v>
      </x:c>
      <x:c r="H2669" s="59" t="n">
        <x:v>0</x:v>
      </x:c>
      <x:c r="I2669" s="81" t="n">
        <x:v>0</x:v>
      </x:c>
      <x:c r="J2669" s="79" t="n">
        <x:v>0.0003511748546375796</x:v>
      </x:c>
      <x:c r="K2669" s="81" t="n">
        <x:v>-0.5986573089856233</x:v>
      </x:c>
      <x:c r="L2669" s="81" t="n">
        <x:v>-0.898155331724933</x:v>
      </x:c>
      <x:c r="M2669" s="80" t="n">
        <x:v>5608.963503023685</x:v>
      </x:c>
      <x:c r="N2669" s="82" t="n">
        <x:v>0.28965648148593054</x:v>
      </x:c>
      <x:c r="O2669" s="82" t="n">
        <x:v>0.22037027413679985</x:v>
      </x:c>
      <x:c r="P2669" s="80" t="n">
        <x:v>6036.933763976666</x:v>
      </x:c>
      <x:c r="Q2669" s="81" t="n">
        <x:v>0.010678815267746979</x:v>
      </x:c>
      <x:c r="R2669" s="81" t="n">
        <x:v>27.55729156844326</x:v>
      </x:c>
      <x:c r="S2669" s="81" t="n">
        <x:v>13.042503127729852</x:v>
      </x:c>
      <x:c r="T2669" s="81" t="n">
        <x:v>7.60721404312751</x:v>
      </x:c>
    </x:row>
    <x:row r="2670">
      <x:c r="A2670" s="59" t="n">
        <x:v>2667</x:v>
      </x:c>
      <x:c r="B2670" s="193" t="n">
        <x:v>0.8243962973356247</x:v>
      </x:c>
      <x:c r="C2670" s="83" t="n">
        <x:v>0.1288058080618962</x:v>
      </x:c>
      <x:c r="D2670" s="83" t="n">
        <x:v>0.595317260557567</x:v>
      </x:c>
      <x:c r="E2670" s="81" t="n">
        <x:v>0.04624434832357605</x:v>
      </x:c>
      <x:c r="F2670" s="81" t="n">
        <x:v>0.44707882073707883</x:v>
      </x:c>
      <x:c r="G2670" s="81" t="n">
        <x:v>-0.05</x:v>
      </x:c>
      <x:c r="H2670" s="59" t="n">
        <x:v>0</x:v>
      </x:c>
      <x:c r="I2670" s="81" t="n">
        <x:v>0</x:v>
      </x:c>
      <x:c r="J2670" s="79" t="n">
        <x:v>0.00008378040640302378</x:v>
      </x:c>
      <x:c r="K2670" s="81" t="n">
        <x:v>-0.90425096411083</x:v>
      </x:c>
      <x:c r="L2670" s="81" t="n">
        <x:v>-0.9279339639610286</x:v>
      </x:c>
      <x:c r="M2670" s="80" t="n">
        <x:v>1909.042805502139</x:v>
      </x:c>
      <x:c r="N2670" s="82" t="n">
        <x:v>0.2984804054559207</x:v>
      </x:c>
      <x:c r="O2670" s="82" t="n">
        <x:v>0.12605813122420095</x:v>
      </x:c>
      <x:c r="P2670" s="80" t="n">
        <x:v>2827.163864199797</x:v>
      </x:c>
      <x:c r="Q2670" s="81" t="n">
        <x:v>0.005623047825921353</x:v>
      </x:c>
      <x:c r="R2670" s="81" t="n">
        <x:v>173.81455124181258</x:v>
      </x:c>
      <x:c r="S2670" s="81" t="n">
        <x:v>12.32448163680107</x:v>
      </x:c>
      <x:c r="T2670" s="81" t="n">
        <x:v>1.814866513679509</x:v>
      </x:c>
    </x:row>
    <x:row r="2671">
      <x:c r="A2671" s="59" t="n">
        <x:v>2668</x:v>
      </x:c>
      <x:c r="B2671" s="193" t="n">
        <x:v>0.8089487025514246</x:v>
      </x:c>
      <x:c r="C2671" s="83" t="n">
        <x:v>0.2723429910441133</x:v>
      </x:c>
      <x:c r="D2671" s="83" t="n">
        <x:v>0.5089725290800478</x:v>
      </x:c>
      <x:c r="E2671" s="81" t="n">
        <x:v>-0.11536140769070588</x:v>
      </x:c>
      <x:c r="F2671" s="81" t="n">
        <x:v>0.7930924366577529</x:v>
      </x:c>
      <x:c r="G2671" s="81" t="n">
        <x:v>-0.01567157307480584</x:v>
      </x:c>
      <x:c r="H2671" s="59" t="n">
        <x:v>0</x:v>
      </x:c>
      <x:c r="I2671" s="81" t="n">
        <x:v>0</x:v>
      </x:c>
      <x:c r="J2671" s="79" t="n">
        <x:v>1.6814889997584267e-29</x:v>
      </x:c>
      <x:c r="K2671" s="81" t="n">
        <x:v>-1</x:v>
      </x:c>
      <x:c r="L2671" s="81" t="n">
        <x:v>-1</x:v>
      </x:c>
      <x:c r="M2671" s="80" t="n">
        <x:v>0.000002</x:v>
      </x:c>
      <x:c r="N2671" s="82" t="n">
        <x:v>0.29480049873592223</x:v>
      </x:c>
      <x:c r="O2671" s="82" t="n">
        <x:v>0.22086299851255295</x:v>
      </x:c>
      <x:c r="P2671" s="80" t="n">
        <x:v>160.48577126910604</x:v>
      </x:c>
      <x:c r="Q2671" s="81" t="n">
        <x:v>1161597950773.5361</x:v>
      </x:c>
      <x:c r="R2671" s="81" t="n">
        <x:v>7.749529221977662</x:v>
      </x:c>
      <x:c r="S2671" s="81" t="n">
        <x:v>2.891553608066544e-10</x:v>
      </x:c>
      <x:c r="T2671" s="81" t="n">
        <x:v>3.6424722793799677e-25</x:v>
      </x:c>
    </x:row>
    <x:row r="2672">
      <x:c r="A2672" s="59" t="n">
        <x:v>2669</x:v>
      </x:c>
      <x:c r="B2672" s="193" t="n">
        <x:v>0.83517034240067</x:v>
      </x:c>
      <x:c r="C2672" s="83" t="n">
        <x:v>0.6671701218675694</x:v>
      </x:c>
      <x:c r="D2672" s="83" t="n">
        <x:v>0.5431551353091989</x:v>
      </x:c>
      <x:c r="E2672" s="81" t="n">
        <x:v>-0.09599492753099362</x:v>
      </x:c>
      <x:c r="F2672" s="81" t="n">
        <x:v>0.46997073348611595</x:v>
      </x:c>
      <x:c r="G2672" s="81" t="n">
        <x:v>0.04776257735141967</x:v>
      </x:c>
      <x:c r="H2672" s="59" t="n">
        <x:v>0</x:v>
      </x:c>
      <x:c r="I2672" s="81" t="n">
        <x:v>0</x:v>
      </x:c>
      <x:c r="J2672" s="79" t="n">
        <x:v>3.0534414292211526e-34</x:v>
      </x:c>
      <x:c r="K2672" s="81" t="n">
        <x:v>-1</x:v>
      </x:c>
      <x:c r="L2672" s="81" t="n">
        <x:v>-1</x:v>
      </x:c>
      <x:c r="M2672" s="80" t="n">
        <x:v>0.000002</x:v>
      </x:c>
      <x:c r="N2672" s="82" t="n">
        <x:v>0.30104698500375954</x:v>
      </x:c>
      <x:c r="O2672" s="82" t="n">
        <x:v>0.1336521772135488</x:v>
      </x:c>
      <x:c r="P2672" s="80" t="n">
        <x:v>265.98510197548063</x:v>
      </x:c>
      <x:c r="Q2672" s="81" t="n">
        <x:v>75537997281939650</x:v>
      </x:c>
      <x:c r="R2672" s="81" t="n">
        <x:v>4.195067023197292</x:v>
      </x:c>
      <x:c r="S2672" s="81" t="n">
        <x:v>5.034772118733617e-10</x:v>
      </x:c>
      <x:c r="T2672" s="81" t="n">
        <x:v>6.614420768881786e-30</x:v>
      </x:c>
    </x:row>
    <x:row r="2673">
      <x:c r="A2673" s="59" t="n">
        <x:v>2670</x:v>
      </x:c>
      <x:c r="B2673" s="193" t="n">
        <x:v>0.51768171004951</x:v>
      </x:c>
      <x:c r="C2673" s="83" t="n">
        <x:v>0.4382917316457729</x:v>
      </x:c>
      <x:c r="D2673" s="83" t="n">
        <x:v>0.3443836886132088</x:v>
      </x:c>
      <x:c r="E2673" s="81" t="n">
        <x:v>-0.064544786814472</x:v>
      </x:c>
      <x:c r="F2673" s="81" t="n">
        <x:v>0.6291759513202124</x:v>
      </x:c>
      <x:c r="G2673" s="81" t="n">
        <x:v>-0.0005423009157009985</x:v>
      </x:c>
      <x:c r="H2673" s="59" t="n">
        <x:v>0</x:v>
      </x:c>
      <x:c r="I2673" s="81" t="n">
        <x:v>0</x:v>
      </x:c>
      <x:c r="J2673" s="79" t="n">
        <x:v>4.187225336198009e-18</x:v>
      </x:c>
      <x:c r="K2673" s="81" t="n">
        <x:v>-0.9999999999999952</x:v>
      </x:c>
      <x:c r="L2673" s="81" t="n">
        <x:v>-0.9999999999999952</x:v>
      </x:c>
      <x:c r="M2673" s="80" t="n">
        <x:v>0.0005221993223495612</x:v>
      </x:c>
      <x:c r="N2673" s="82" t="n">
        <x:v>0.22541523986585685</x:v>
      </x:c>
      <x:c r="O2673" s="82" t="n">
        <x:v>0.13397579129081819</x:v>
      </x:c>
      <x:c r="P2673" s="80" t="n">
        <x:v>267.5708884809286</x:v>
      </x:c>
      <x:c r="Q2673" s="81" t="n">
        <x:v>2077.6706159411865</x:v>
      </x:c>
      <x:c r="R2673" s="81" t="n">
        <x:v>11.19119479121355</x:v>
      </x:c>
      <x:c r="S2673" s="81" t="n">
        <x:v>5.6784011043219903e-8</x:v>
      </x:c>
      <x:c r="T2673" s="81" t="n">
        <x:v>9.070444241270618e-14</x:v>
      </x:c>
    </x:row>
    <x:row r="2674">
      <x:c r="A2674" s="59" t="n">
        <x:v>2671</x:v>
      </x:c>
      <x:c r="B2674" s="193" t="n">
        <x:v>0.7890228284522891</x:v>
      </x:c>
      <x:c r="C2674" s="83" t="n">
        <x:v>0.10976594379449894</x:v>
      </x:c>
      <x:c r="D2674" s="83" t="n">
        <x:v>1.5485350378258695</x:v>
      </x:c>
      <x:c r="E2674" s="81" t="n">
        <x:v>0.06993169922331681</x:v>
      </x:c>
      <x:c r="F2674" s="81" t="n">
        <x:v>0.4738826064392925</x:v>
      </x:c>
      <x:c r="G2674" s="81" t="n">
        <x:v>0.013611547158828442</x:v>
      </x:c>
      <x:c r="H2674" s="59" t="n">
        <x:v>47</x:v>
      </x:c>
      <x:c r="I2674" s="81" t="n">
        <x:v>0.39544366849586365</x:v>
      </x:c>
      <x:c r="J2674" s="79" t="n">
        <x:v>0.006809785244878386</x:v>
      </x:c>
      <x:c r="K2674" s="81" t="n">
        <x:v>6.782611708432443</x:v>
      </x:c>
      <x:c r="L2674" s="81" t="n">
        <x:v>-0.9542705561086207</x:v>
      </x:c>
      <x:c r="M2674" s="80" t="n">
        <x:v>23383.965049570623</x:v>
      </x:c>
      <x:c r="N2674" s="82" t="n">
        <x:v>0.2900537819153686</x:v>
      </x:c>
      <x:c r="O2674" s="82" t="n">
        <x:v>0.12984350872584124</x:v>
      </x:c>
      <x:c r="P2674" s="80" t="n">
        <x:v>57009.07084197025</x:v>
      </x:c>
      <x:c r="Q2674" s="81" t="n">
        <x:v>0.004986942531759887</x:v>
      </x:c>
      <x:c r="R2674" s="81" t="n">
        <x:v>1403.9092675923869</x:v>
      </x:c>
      <x:c r="S2674" s="81" t="n">
        <x:v>1169.635584689382</x:v>
      </x:c>
      <x:c r="T2674" s="81" t="n">
        <x:v>147.51481565781168</x:v>
      </x:c>
    </x:row>
    <x:row r="2675">
      <x:c r="A2675" s="59" t="n">
        <x:v>2672</x:v>
      </x:c>
      <x:c r="B2675" s="193" t="n">
        <x:v>0.7840152783319354</x:v>
      </x:c>
      <x:c r="C2675" s="83" t="n">
        <x:v>1.91394556637907</x:v>
      </x:c>
      <x:c r="D2675" s="83" t="n">
        <x:v>1.7111959246162658</x:v>
      </x:c>
      <x:c r="E2675" s="81" t="n">
        <x:v>0.041345458088895885</x:v>
      </x:c>
      <x:c r="F2675" s="81" t="n">
        <x:v>0.3338186600478366</x:v>
      </x:c>
      <x:c r="G2675" s="81" t="n">
        <x:v>0.005396741600569463</x:v>
      </x:c>
      <x:c r="H2675" s="59" t="n">
        <x:v>0</x:v>
      </x:c>
      <x:c r="I2675" s="81" t="n">
        <x:v>0</x:v>
      </x:c>
      <x:c r="J2675" s="79" t="n">
        <x:v>0.02998387771848206</x:v>
      </x:c>
      <x:c r="K2675" s="81" t="n">
        <x:v>33.26728882112236</x:v>
      </x:c>
      <x:c r="L2675" s="81" t="n">
        <x:v>-0.6092005941726539</x:v>
      </x:c>
      <x:c r="M2675" s="80" t="n">
        <x:v>112132.23524324161</x:v>
      </x:c>
      <x:c r="N2675" s="82" t="n">
        <x:v>0.2888608895851356</x:v>
      </x:c>
      <x:c r="O2675" s="82" t="n">
        <x:v>0.09108991478088511</x:v>
      </x:c>
      <x:c r="P2675" s="80" t="n">
        <x:v>319182.09715816774</x:v>
      </x:c>
      <x:c r="Q2675" s="81" t="n">
        <x:v>0.005608369376740934</x:v>
      </x:c>
      <x:c r="R2675" s="81" t="n">
        <x:v>230.44420121568183</x:v>
      </x:c>
      <x:c r="S2675" s="81" t="n">
        <x:v>322.6966396260209</x:v>
      </x:c>
      <x:c r="T2675" s="81" t="n">
        <x:v>649.5162527591922</x:v>
      </x:c>
    </x:row>
    <x:row r="2676">
      <x:c r="A2676" s="59" t="n">
        <x:v>2673</x:v>
      </x:c>
      <x:c r="B2676" s="193" t="n">
        <x:v>0.7168368471786379</x:v>
      </x:c>
      <x:c r="C2676" s="83" t="n">
        <x:v>2.1465133217267565</x:v>
      </x:c>
      <x:c r="D2676" s="83" t="n">
        <x:v>1.2489082495353527</x:v>
      </x:c>
      <x:c r="E2676" s="81" t="n">
        <x:v>-0.06122343222671426</x:v>
      </x:c>
      <x:c r="F2676" s="81" t="n">
        <x:v>0.7617714650928974</x:v>
      </x:c>
      <x:c r="G2676" s="81" t="n">
        <x:v>-0.014870992475111694</x:v>
      </x:c>
      <x:c r="H2676" s="59" t="n">
        <x:v>0</x:v>
      </x:c>
      <x:c r="I2676" s="81" t="n">
        <x:v>0</x:v>
      </x:c>
      <x:c r="J2676" s="79" t="n">
        <x:v>2.1573062105754477e-34</x:v>
      </x:c>
      <x:c r="K2676" s="81" t="n">
        <x:v>-1</x:v>
      </x:c>
      <x:c r="L2676" s="81" t="n">
        <x:v>-1</x:v>
      </x:c>
      <x:c r="M2676" s="80" t="n">
        <x:v>0.000002</x:v>
      </x:c>
      <x:c r="N2676" s="82" t="n">
        <x:v>0.2728577276888361</x:v>
      </x:c>
      <x:c r="O2676" s="82" t="n">
        <x:v>0.19635044979919192</x:v>
      </x:c>
      <x:c r="P2676" s="80" t="n">
        <x:v>854.5365089694652</x:v>
      </x:c>
      <x:c r="Q2676" s="81" t="n">
        <x:v>162320049080935300</x:v>
      </x:c>
      <x:c r="R2676" s="81" t="n">
        <x:v>1.5074767157983662</x:v>
      </x:c>
      <x:c r="S2676" s="81" t="n">
        <x:v>2.897596246369788e-10</x:v>
      </x:c>
      <x:c r="T2676" s="81" t="n">
        <x:v>4.67319623933563e-30</x:v>
      </x:c>
    </x:row>
    <x:row r="2677">
      <x:c r="A2677" s="59" t="n">
        <x:v>2674</x:v>
      </x:c>
      <x:c r="B2677" s="193" t="n">
        <x:v>0.35334921814501286</x:v>
      </x:c>
      <x:c r="C2677" s="83" t="n">
        <x:v>0.10841307059881067</x:v>
      </x:c>
      <x:c r="D2677" s="83" t="n">
        <x:v>0.5812527570016666</x:v>
      </x:c>
      <x:c r="E2677" s="81" t="n">
        <x:v>-0.04014823874788281</x:v>
      </x:c>
      <x:c r="F2677" s="81" t="n">
        <x:v>0.6282482489710675</x:v>
      </x:c>
      <x:c r="G2677" s="81" t="n">
        <x:v>-0.04294929051613179</x:v>
      </x:c>
      <x:c r="H2677" s="59" t="n">
        <x:v>0</x:v>
      </x:c>
      <x:c r="I2677" s="81" t="n">
        <x:v>0</x:v>
      </x:c>
      <x:c r="J2677" s="79" t="n">
        <x:v>1.1871686400309486e-15</x:v>
      </x:c>
      <x:c r="K2677" s="81" t="n">
        <x:v>-0.9999999999986432</x:v>
      </x:c>
      <x:c r="L2677" s="81" t="n">
        <x:v>-0.9999999999986432</x:v>
      </x:c>
      <x:c r="M2677" s="80" t="n">
        <x:v>0.006720912750605998</x:v>
      </x:c>
      <x:c r="N2677" s="82" t="n">
        <x:v>0.18626815905998217</x:v>
      </x:c>
      <x:c r="O2677" s="82" t="n">
        <x:v>0.11054544467449999</x:v>
      </x:c>
      <x:c r="P2677" s="80" t="n">
        <x:v>327.1335991992532</x:v>
      </x:c>
      <x:c r="Q2677" s="81" t="n">
        <x:v>148.14715391806752</x:v>
      </x:c>
      <x:c r="R2677" s="81" t="n">
        <x:v>42.579253385793706</x:v>
      </x:c>
      <x:c r="S2677" s="81" t="n">
        <x:v>9.296284269251479e-7</x:v>
      </x:c>
      <x:c r="T2677" s="81" t="n">
        <x:v>2.571666459241298e-11</x:v>
      </x:c>
    </x:row>
    <x:row r="2678">
      <x:c r="A2678" s="59" t="n">
        <x:v>2675</x:v>
      </x:c>
      <x:c r="B2678" s="193" t="n">
        <x:v>0.7960782624781133</x:v>
      </x:c>
      <x:c r="C2678" s="83" t="n">
        <x:v>1.5633226187164424</x:v>
      </x:c>
      <x:c r="D2678" s="83" t="n">
        <x:v>0.6464472522217668</x:v>
      </x:c>
      <x:c r="E2678" s="81" t="n">
        <x:v>-0.011964565414783515</x:v>
      </x:c>
      <x:c r="F2678" s="81" t="n">
        <x:v>0.7810746106202714</x:v>
      </x:c>
      <x:c r="G2678" s="81" t="n">
        <x:v>0.015625648668355217</x:v>
      </x:c>
      <x:c r="H2678" s="59" t="n">
        <x:v>80</x:v>
      </x:c>
      <x:c r="I2678" s="81" t="n">
        <x:v>0.48962776986882095</x:v>
      </x:c>
      <x:c r="J2678" s="79" t="n">
        <x:v>1.532890014441429e-10</x:v>
      </x:c>
      <x:c r="K2678" s="81" t="n">
        <x:v>-0.9999998248125698</x:v>
      </x:c>
      <x:c r="L2678" s="81" t="n">
        <x:v>-0.9999998248125698</x:v>
      </x:c>
      <x:c r="M2678" s="80" t="n">
        <x:v>5.490008861150048</x:v>
      </x:c>
      <x:c r="N2678" s="82" t="n">
        <x:v>0.29173451858970795</x:v>
      </x:c>
      <x:c r="O2678" s="82" t="n">
        <x:v>0.2152540252738168</x:v>
      </x:c>
      <x:c r="P2678" s="80" t="n">
        <x:v>1602.6549531470869</x:v>
      </x:c>
      <x:c r="Q2678" s="81" t="n">
        <x:v>3.0222169234436036</x:v>
      </x:c>
      <x:c r="R2678" s="81" t="n">
        <x:v>5.751462253873343</x:v>
      </x:c>
      <x:c r="S2678" s="81" t="n">
        <x:v>0.0007477270718653357</x:v>
      </x:c>
      <x:c r="T2678" s="81" t="n">
        <x:v>0.0000033205744347678907</x:v>
      </x:c>
    </x:row>
    <x:row r="2679">
      <x:c r="A2679" s="59" t="n">
        <x:v>2676</x:v>
      </x:c>
      <x:c r="B2679" s="193" t="n">
        <x:v>0.6515958836302161</x:v>
      </x:c>
      <x:c r="C2679" s="83" t="n">
        <x:v>1.0824958848085462</x:v>
      </x:c>
      <x:c r="D2679" s="83" t="n">
        <x:v>0.7081107479022348</x:v>
      </x:c>
      <x:c r="E2679" s="81" t="n">
        <x:v>0.03784568551623494</x:v>
      </x:c>
      <x:c r="F2679" s="81" t="n">
        <x:v>0.4753681294154376</x:v>
      </x:c>
      <x:c r="G2679" s="81" t="n">
        <x:v>-0.0010049891298454423</x:v>
      </x:c>
      <x:c r="H2679" s="59" t="n">
        <x:v>0</x:v>
      </x:c>
      <x:c r="I2679" s="81" t="n">
        <x:v>0</x:v>
      </x:c>
      <x:c r="J2679" s="79" t="n">
        <x:v>0.0009956953467379493</x:v>
      </x:c>
      <x:c r="K2679" s="81" t="n">
        <x:v>0.13793753912908513</x:v>
      </x:c>
      <x:c r="L2679" s="81" t="n">
        <x:v>-0.6762641476255744</x:v>
      </x:c>
      <x:c r="M2679" s="80" t="n">
        <x:v>12400.770304347881</x:v>
      </x:c>
      <x:c r="N2679" s="82" t="n">
        <x:v>0.25731610690353546</x:v>
      </x:c>
      <x:c r="O2679" s="82" t="n">
        <x:v>0.11554947469110217</x:v>
      </x:c>
      <x:c r="P2679" s="80" t="n">
        <x:v>17947.686779160304</x:v>
      </x:c>
      <x:c r="Q2679" s="81" t="n">
        <x:v>0.006709835133167759</x:v>
      </x:c>
      <x:c r="R2679" s="81" t="n">
        <x:v>38.43978810189157</x:v>
      </x:c>
      <x:c r="S2679" s="81" t="n">
        <x:v>18.965640259293103</x:v>
      </x:c>
      <x:c r="T2679" s="81" t="n">
        <x:v>21.5689350315206</x:v>
      </x:c>
    </x:row>
    <x:row r="2680">
      <x:c r="A2680" s="59" t="n">
        <x:v>2677</x:v>
      </x:c>
      <x:c r="B2680" s="193" t="n">
        <x:v>0.5498027365654707</x:v>
      </x:c>
      <x:c r="C2680" s="83" t="n">
        <x:v>0.4882160517186013</x:v>
      </x:c>
      <x:c r="D2680" s="83" t="n">
        <x:v>1.0544592925430942</x:v>
      </x:c>
      <x:c r="E2680" s="81" t="n">
        <x:v>-0.025600613824457365</x:v>
      </x:c>
      <x:c r="F2680" s="81" t="n">
        <x:v>0.8384002424194478</x:v>
      </x:c>
      <x:c r="G2680" s="81" t="n">
        <x:v>0.0015487630247244556</x:v>
      </x:c>
      <x:c r="H2680" s="59" t="n">
        <x:v>0</x:v>
      </x:c>
      <x:c r="I2680" s="81" t="n">
        <x:v>0</x:v>
      </x:c>
      <x:c r="J2680" s="79" t="n">
        <x:v>3.638176363361456e-21</x:v>
      </x:c>
      <x:c r="K2680" s="81" t="n">
        <x:v>-1</x:v>
      </x:c>
      <x:c r="L2680" s="81" t="n">
        <x:v>-1</x:v>
      </x:c>
      <x:c r="M2680" s="80" t="n">
        <x:v>0.00001608844174403187</x:v>
      </x:c>
      <x:c r="N2680" s="82" t="n">
        <x:v>0.2330670706512055</x:v>
      </x:c>
      <x:c r="O2680" s="82" t="n">
        <x:v>0.18458791094379873</x:v>
      </x:c>
      <x:c r="P2680" s="80" t="n">
        <x:v>692.1819965200839</x:v>
      </x:c>
      <x:c r="Q2680" s="81" t="n">
        <x:v>178946.3721334602</x:v>
      </x:c>
      <x:c r="R2680" s="81" t="n">
        <x:v>8.929728174479699</x:v>
      </x:c>
      <x:c r="S2680" s="81" t="n">
        <x:v>5.364899281852425e-9</x:v>
      </x:c>
      <x:c r="T2680" s="81" t="n">
        <x:v>7.881084296681919e-17</x:v>
      </x:c>
    </x:row>
    <x:row r="2681">
      <x:c r="A2681" s="59" t="n">
        <x:v>2678</x:v>
      </x:c>
      <x:c r="B2681" s="193" t="n">
        <x:v>0.3652942853048444</x:v>
      </x:c>
      <x:c r="C2681" s="83" t="n">
        <x:v>1.5413957696026293</x:v>
      </x:c>
      <x:c r="D2681" s="83" t="n">
        <x:v>0.6867062880862431</x:v>
      </x:c>
      <x:c r="E2681" s="81" t="n">
        <x:v>0.06210601172728909</x:v>
      </x:c>
      <x:c r="F2681" s="81" t="n">
        <x:v>0.6877010485273787</x:v>
      </x:c>
      <x:c r="G2681" s="81" t="n">
        <x:v>0.0028629111981506943</x:v>
      </x:c>
      <x:c r="H2681" s="59" t="n">
        <x:v>0</x:v>
      </x:c>
      <x:c r="I2681" s="81" t="n">
        <x:v>0</x:v>
      </x:c>
      <x:c r="J2681" s="79" t="n">
        <x:v>0.0038890477649042034</x:v>
      </x:c>
      <x:c r="K2681" s="81" t="n">
        <x:v>3.444626017033376</x:v>
      </x:c>
      <x:c r="L2681" s="81" t="n">
        <x:v>-0.6198310051824154</x:v>
      </x:c>
      <x:c r="M2681" s="80" t="n">
        <x:v>31822.175903036594</x:v>
      </x:c>
      <x:c r="N2681" s="82" t="n">
        <x:v>0.1891136980274634</x:v>
      </x:c>
      <x:c r="O2681" s="82" t="n">
        <x:v>0.12285522043082174</x:v>
      </x:c>
      <x:c r="P2681" s="80" t="n">
        <x:v>41459.73229343967</x:v>
      </x:c>
      <x:c r="Q2681" s="81" t="n">
        <x:v>0.004678344488386341</x:v>
      </x:c>
      <x:c r="R2681" s="81" t="n">
        <x:v>59.762186685209265</x:v>
      </x:c>
      <x:c r="S2681" s="81" t="n">
        <x:v>50.959898632540344</x:v>
      </x:c>
      <x:c r="T2681" s="81" t="n">
        <x:v>84.24526523149021</x:v>
      </x:c>
    </x:row>
    <x:row r="2682">
      <x:c r="A2682" s="59" t="n">
        <x:v>2679</x:v>
      </x:c>
      <x:c r="B2682" s="193" t="n">
        <x:v>0.5460910573601723</x:v>
      </x:c>
      <x:c r="C2682" s="83" t="n">
        <x:v>0.45603532286424725</x:v>
      </x:c>
      <x:c r="D2682" s="83" t="n">
        <x:v>0.5566170402182125</x:v>
      </x:c>
      <x:c r="E2682" s="81" t="n">
        <x:v>-0.109539421819944</x:v>
      </x:c>
      <x:c r="F2682" s="81" t="n">
        <x:v>0.7174679561750963</x:v>
      </x:c>
      <x:c r="G2682" s="81" t="n">
        <x:v>-0.0014610871105193571</x:v>
      </x:c>
      <x:c r="H2682" s="59" t="n">
        <x:v>0</x:v>
      </x:c>
      <x:c r="I2682" s="81" t="n">
        <x:v>0</x:v>
      </x:c>
      <x:c r="J2682" s="79" t="n">
        <x:v>1.7424624535860019e-31</x:v>
      </x:c>
      <x:c r="K2682" s="81" t="n">
        <x:v>-1</x:v>
      </x:c>
      <x:c r="L2682" s="81" t="n">
        <x:v>-1</x:v>
      </x:c>
      <x:c r="M2682" s="80" t="n">
        <x:v>0.000002</x:v>
      </x:c>
      <x:c r="N2682" s="82" t="n">
        <x:v>0.23218287907051846</x:v>
      </x:c>
      <x:c r="O2682" s="82" t="n">
        <x:v>0.15736336840924955</x:v>
      </x:c>
      <x:c r="P2682" s="80" t="n">
        <x:v>204.99645157685765</x:v>
      </x:c>
      <x:c r="Q2682" s="81" t="n">
        <x:v>117436653051583.81</x:v>
      </x:c>
      <x:c r="R2682" s="81" t="n">
        <x:v>5.0275922853438315</x:v>
      </x:c>
      <x:c r="S2682" s="81" t="n">
        <x:v>3.289749166474532e-10</x:v>
      </x:c>
      <x:c r="T2682" s="81" t="n">
        <x:v>3.774554092211871e-27</x:v>
      </x:c>
    </x:row>
    <x:row r="2683">
      <x:c r="A2683" s="59" t="n">
        <x:v>2680</x:v>
      </x:c>
      <x:c r="B2683" s="193" t="n">
        <x:v>0.7950716927647592</x:v>
      </x:c>
      <x:c r="C2683" s="83" t="n">
        <x:v>1.8752058684292021</x:v>
      </x:c>
      <x:c r="D2683" s="83" t="n">
        <x:v>0.5366698424343229</x:v>
      </x:c>
      <x:c r="E2683" s="81" t="n">
        <x:v>-0.07416220430246098</x:v>
      </x:c>
      <x:c r="F2683" s="81" t="n">
        <x:v>0.34148026899201794</x:v>
      </x:c>
      <x:c r="G2683" s="81" t="n">
        <x:v>-0.0037046576947435913</x:v>
      </x:c>
      <x:c r="H2683" s="59" t="n">
        <x:v>0</x:v>
      </x:c>
      <x:c r="I2683" s="81" t="n">
        <x:v>0</x:v>
      </x:c>
      <x:c r="J2683" s="79" t="n">
        <x:v>1.5144549211470858e-25</x:v>
      </x:c>
      <x:c r="K2683" s="81" t="n">
        <x:v>-1</x:v>
      </x:c>
      <x:c r="L2683" s="81" t="n">
        <x:v>-1</x:v>
      </x:c>
      <x:c r="M2683" s="80" t="n">
        <x:v>0.000002</x:v>
      </x:c>
      <x:c r="N2683" s="82" t="n">
        <x:v>0.29149473481080496</x:v>
      </x:c>
      <x:c r="O2683" s="82" t="n">
        <x:v>0.09403018083471043</x:v>
      </x:c>
      <x:c r="P2683" s="80" t="n">
        <x:v>598.8829385027382</x:v>
      </x:c>
      <x:c r="Q2683" s="81" t="n">
        <x:v>193208259.25924614</x:v>
      </x:c>
      <x:c r="R2683" s="81" t="n">
        <x:v>2.378745367278083</x:v>
      </x:c>
      <x:c r="S2683" s="81" t="n">
        <x:v>1.5628989562700956e-10</x:v>
      </x:c>
      <x:c r="T2683" s="81" t="n">
        <x:v>3.2806399979074208e-21</x:v>
      </x:c>
    </x:row>
    <x:row r="2684">
      <x:c r="A2684" s="59" t="n">
        <x:v>2681</x:v>
      </x:c>
      <x:c r="B2684" s="193" t="n">
        <x:v>0.20278528295457365</x:v>
      </x:c>
      <x:c r="C2684" s="83" t="n">
        <x:v>0.3202033247364341</x:v>
      </x:c>
      <x:c r="D2684" s="83" t="n">
        <x:v>0.441223303277471</x:v>
      </x:c>
      <x:c r="E2684" s="81" t="n">
        <x:v>0.052834953981542844</x:v>
      </x:c>
      <x:c r="F2684" s="81" t="n">
        <x:v>0.777723382296972</x:v>
      </x:c>
      <x:c r="G2684" s="81" t="n">
        <x:v>-0.022342090051242255</x:v>
      </x:c>
      <x:c r="H2684" s="59" t="n">
        <x:v>0</x:v>
      </x:c>
      <x:c r="I2684" s="81" t="n">
        <x:v>0</x:v>
      </x:c>
      <x:c r="J2684" s="79" t="n">
        <x:v>0.0001993916633618187</x:v>
      </x:c>
      <x:c r="K2684" s="81" t="n">
        <x:v>-0.7721238133007786</x:v>
      </x:c>
      <x:c r="L2684" s="81" t="n">
        <x:v>-0.8389277010649935</x:v>
      </x:c>
      <x:c r="M2684" s="80" t="n">
        <x:v>3439.2780422520364</x:v>
      </x:c>
      <x:c r="N2684" s="82" t="n">
        <x:v>0.15040100662383482</x:v>
      </x:c>
      <x:c r="O2684" s="82" t="n">
        <x:v>0.11049607235549518</x:v>
      </x:c>
      <x:c r="P2684" s="80" t="n">
        <x:v>3513.4748554476446</x:v>
      </x:c>
      <x:c r="Q2684" s="81" t="n">
        <x:v>0.004430861736122092</x:v>
      </x:c>
      <x:c r="R2684" s="81" t="n">
        <x:v>77.82748393252879</x:v>
      </x:c>
      <x:c r="S2684" s="81" t="n">
        <x:v>11.963964920368209</x:v>
      </x:c>
      <x:c r="T2684" s="81" t="n">
        <x:v>4.319258744120411</x:v>
      </x:c>
    </x:row>
    <x:row r="2685">
      <x:c r="A2685" s="59" t="n">
        <x:v>2682</x:v>
      </x:c>
      <x:c r="B2685" s="193" t="n">
        <x:v>0.25730142127722505</x:v>
      </x:c>
      <x:c r="C2685" s="83" t="n">
        <x:v>0.3596447024310466</x:v>
      </x:c>
      <x:c r="D2685" s="83" t="n">
        <x:v>0.23740755988977966</x:v>
      </x:c>
      <x:c r="E2685" s="81" t="n">
        <x:v>-0.02674936489569487</x:v>
      </x:c>
      <x:c r="F2685" s="81" t="n">
        <x:v>0.5479597211582586</x:v>
      </x:c>
      <x:c r="G2685" s="81" t="n">
        <x:v>-0.03966369837965861</x:v>
      </x:c>
      <x:c r="H2685" s="59" t="n">
        <x:v>47</x:v>
      </x:c>
      <x:c r="I2685" s="81" t="n">
        <x:v>0.23525456339120865</x:v>
      </x:c>
      <x:c r="J2685" s="79" t="n">
        <x:v>1.9356073878089068e-8</x:v>
      </x:c>
      <x:c r="K2685" s="81" t="n">
        <x:v>-0.9999778787727107</x:v>
      </x:c>
      <x:c r="L2685" s="81" t="n">
        <x:v>-0.9999778787727107</x:v>
      </x:c>
      <x:c r="M2685" s="80" t="n">
        <x:v>32.48877418656283</x:v>
      </x:c>
      <x:c r="N2685" s="82" t="n">
        <x:v>0.16338777294988402</x:v>
      </x:c>
      <x:c r="O2685" s="82" t="n">
        <x:v>0.08457444003704076</x:v>
      </x:c>
      <x:c r="P2685" s="80" t="n">
        <x:v>366.8077567498383</x:v>
      </x:c>
      <x:c r="Q2685" s="81" t="n">
        <x:v>0.058461921822858566</x:v>
      </x:c>
      <x:c r="R2685" s="81" t="n">
        <x:v>25.076975199782982</x:v>
      </x:c>
      <x:c r="S2685" s="81" t="n">
        <x:v>0.002531358005007862</x:v>
      </x:c>
      <x:c r="T2685" s="81" t="n">
        <x:v>0.0004192948187511139</x:v>
      </x:c>
    </x:row>
    <x:row r="2686">
      <x:c r="A2686" s="59" t="n">
        <x:v>2683</x:v>
      </x:c>
      <x:c r="B2686" s="193" t="n">
        <x:v>0.6538217522203922</x:v>
      </x:c>
      <x:c r="C2686" s="83" t="n">
        <x:v>0.19021714029810202</x:v>
      </x:c>
      <x:c r="D2686" s="83" t="n">
        <x:v>0.43885675953926406</x:v>
      </x:c>
      <x:c r="E2686" s="81" t="n">
        <x:v>0.1412111091862832</x:v>
      </x:c>
      <x:c r="F2686" s="81" t="n">
        <x:v>0.8107137454557233</x:v>
      </x:c>
      <x:c r="G2686" s="81" t="n">
        <x:v>-0.017877346586721337</x:v>
      </x:c>
      <x:c r="H2686" s="59" t="n">
        <x:v>46</x:v>
      </x:c>
      <x:c r="I2686" s="81" t="n">
        <x:v>0.2482824008911848</x:v>
      </x:c>
      <x:c r="J2686" s="79" t="n">
        <x:v>0.00045787160480769166</x:v>
      </x:c>
      <x:c r="K2686" s="81" t="n">
        <x:v>-0.4767181659340666</x:v>
      </x:c>
      <x:c r="L2686" s="81" t="n">
        <x:v>-0.861894238602968</x:v>
      </x:c>
      <x:c r="M2686" s="80" t="n">
        <x:v>5359.420481712824</x:v>
      </x:c>
      <x:c r="N2686" s="82" t="n">
        <x:v>0.25784635053675137</x:v>
      </x:c>
      <x:c r="O2686" s="82" t="n">
        <x:v>0.19746924569378405</x:v>
      </x:c>
      <x:c r="P2686" s="80" t="n">
        <x:v>4775.265375674592</x:v>
      </x:c>
      <x:c r="Q2686" s="81" t="n">
        <x:v>0.003490041010096288</x:v>
      </x:c>
      <x:c r="R2686" s="81" t="n">
        <x:v>198.53146874523156</x:v>
      </x:c>
      <x:c r="S2686" s="81" t="n">
        <x:v>45.47697778187688</x:v>
      </x:c>
      <x:c r="T2686" s="81" t="n">
        <x:v>9.918498594203355</x:v>
      </x:c>
    </x:row>
    <x:row r="2687">
      <x:c r="A2687" s="59" t="n">
        <x:v>2684</x:v>
      </x:c>
      <x:c r="B2687" s="193" t="n">
        <x:v>0.6825979761779308</x:v>
      </x:c>
      <x:c r="C2687" s="83" t="n">
        <x:v>2.7269931798057896</x:v>
      </x:c>
      <x:c r="D2687" s="83" t="n">
        <x:v>1.2265352941676584</x:v>
      </x:c>
      <x:c r="E2687" s="81" t="n">
        <x:v>0.03414349039428083</x:v>
      </x:c>
      <x:c r="F2687" s="81" t="n">
        <x:v>0.3283882680814713</x:v>
      </x:c>
      <x:c r="G2687" s="81" t="n">
        <x:v>0.022802137532189737</x:v>
      </x:c>
      <x:c r="H2687" s="59" t="n">
        <x:v>27</x:v>
      </x:c>
      <x:c r="I2687" s="81" t="n">
        <x:v>0.4670018184930086</x:v>
      </x:c>
      <x:c r="J2687" s="79" t="n">
        <x:v>0.028578157911825223</x:v>
      </x:c>
      <x:c r="K2687" s="81" t="n">
        <x:v>31.660751899228828</x:v>
      </x:c>
      <x:c r="L2687" s="81" t="n">
        <x:v>-0.8000236657228167</x:v>
      </x:c>
      <x:c r="M2687" s="80" t="n">
        <x:v>128287.07964071013</x:v>
      </x:c>
      <x:c r="N2687" s="82" t="n">
        <x:v>0.2647013866376365</x:v>
      </x:c>
      <x:c r="O2687" s="82" t="n">
        <x:v>0.08211354302755695</x:v>
      </x:c>
      <x:c r="P2687" s="80" t="n">
        <x:v>278134.37373390933</x:v>
      </x:c>
      <x:c r="Q2687" s="81" t="n">
        <x:v>0.006227780085707021</x:v>
      </x:c>
      <x:c r="R2687" s="81" t="n">
        <x:v>55.066639785218776</x:v>
      </x:c>
      <x:c r="S2687" s="81" t="n">
        <x:v>219.58656844935962</x:v>
      </x:c>
      <x:c r="T2687" s="81" t="n">
        <x:v>619.0652927525642</x:v>
      </x:c>
    </x:row>
    <x:row r="2688">
      <x:c r="A2688" s="59" t="n">
        <x:v>2685</x:v>
      </x:c>
      <x:c r="B2688" s="193" t="n">
        <x:v>0.37594038583338263</x:v>
      </x:c>
      <x:c r="C2688" s="83" t="n">
        <x:v>1.6256557721149336</x:v>
      </x:c>
      <x:c r="D2688" s="83" t="n">
        <x:v>0.35054958600583247</x:v>
      </x:c>
      <x:c r="E2688" s="81" t="n">
        <x:v>0.07804433552680227</x:v>
      </x:c>
      <x:c r="F2688" s="81" t="n">
        <x:v>0.6665987133630551</x:v>
      </x:c>
      <x:c r="G2688" s="81" t="n">
        <x:v>0.004363388117682102</x:v>
      </x:c>
      <x:c r="H2688" s="59" t="n">
        <x:v>0</x:v>
      </x:c>
      <x:c r="I2688" s="81" t="n">
        <x:v>0</x:v>
      </x:c>
      <x:c r="J2688" s="79" t="n">
        <x:v>0.0017169451793360515</x:v>
      </x:c>
      <x:c r="K2688" s="81" t="n">
        <x:v>0.9622230620983447</x:v>
      </x:c>
      <x:c r="L2688" s="81" t="n">
        <x:v>-0.6050385968769445</x:v>
      </x:c>
      <x:c r="M2688" s="80" t="n">
        <x:v>20633.386825321435</x:v>
      </x:c>
      <x:c r="N2688" s="82" t="n">
        <x:v>0.19164979878774605</x:v>
      </x:c>
      <x:c r="O2688" s="82" t="n">
        <x:v>0.12068235614508736</x:v>
      </x:c>
      <x:c r="P2688" s="80" t="n">
        <x:v>14974.500803589628</x:v>
      </x:c>
      <x:c r="Q2688" s="81" t="n">
        <x:v>0.0035699592742472826</x:v>
      </x:c>
      <x:c r="R2688" s="81" t="n">
        <x:v>29.689585541698598</x:v>
      </x:c>
      <x:c r="S2688" s="81" t="n">
        <x:v>20.972868885403404</x:v>
      </x:c>
      <x:c r="T2688" s="81" t="n">
        <x:v>37.19278105206227</x:v>
      </x:c>
    </x:row>
    <x:row r="2689">
      <x:c r="A2689" s="59" t="n">
        <x:v>2686</x:v>
      </x:c>
      <x:c r="B2689" s="193" t="n">
        <x:v>0.2722182169556618</x:v>
      </x:c>
      <x:c r="C2689" s="83" t="n">
        <x:v>0.38690628685319395</x:v>
      </x:c>
      <x:c r="D2689" s="83" t="n">
        <x:v>1.5734429436894484</x:v>
      </x:c>
      <x:c r="E2689" s="81" t="n">
        <x:v>0.08445620828431653</x:v>
      </x:c>
      <x:c r="F2689" s="81" t="n">
        <x:v>0.8083669392857701</x:v>
      </x:c>
      <x:c r="G2689" s="81" t="n">
        <x:v>0.030288191676827836</x:v>
      </x:c>
      <x:c r="H2689" s="59" t="n">
        <x:v>0</x:v>
      </x:c>
      <x:c r="I2689" s="81" t="n">
        <x:v>0</x:v>
      </x:c>
      <x:c r="J2689" s="79" t="n">
        <x:v>0.025584170691727463</x:v>
      </x:c>
      <x:c r="K2689" s="81" t="n">
        <x:v>28.239052219117102</x:v>
      </x:c>
      <x:c r="L2689" s="81" t="n">
        <x:v>-0.7769947011892575</x:v>
      </x:c>
      <x:c r="M2689" s="80" t="n">
        <x:v>63392.81495851296</x:v>
      </x:c>
      <x:c r="N2689" s="82" t="n">
        <x:v>0.1669412333704064</x:v>
      </x:c>
      <x:c r="O2689" s="82" t="n">
        <x:v>0.12748030767561214</x:v>
      </x:c>
      <x:c r="P2689" s="80" t="n">
        <x:v>152422.31456644853</x:v>
      </x:c>
      <x:c r="Q2689" s="81" t="n">
        <x:v>0.004279085271941037</x:v>
      </x:c>
      <x:c r="R2689" s="81" t="n">
        <x:v>862.7645469381429</x:v>
      </x:c>
      <x:c r="S2689" s="81" t="n">
        <x:v>1275.5961731375326</x:v>
      </x:c>
      <x:c r="T2689" s="81" t="n">
        <x:v>554.2089930349287</x:v>
      </x:c>
    </x:row>
    <x:row r="2690">
      <x:c r="A2690" s="59" t="n">
        <x:v>2687</x:v>
      </x:c>
      <x:c r="B2690" s="193" t="n">
        <x:v>0.5387060714885592</x:v>
      </x:c>
      <x:c r="C2690" s="83" t="n">
        <x:v>0.13822255906957992</x:v>
      </x:c>
      <x:c r="D2690" s="83" t="n">
        <x:v>1.437083205729491</x:v>
      </x:c>
      <x:c r="E2690" s="81" t="n">
        <x:v>0.06497275239061162</x:v>
      </x:c>
      <x:c r="F2690" s="81" t="n">
        <x:v>0.5820878832484595</x:v>
      </x:c>
      <x:c r="G2690" s="81" t="n">
        <x:v>0.010557319639272804</x:v>
      </x:c>
      <x:c r="H2690" s="59" t="n">
        <x:v>79</x:v>
      </x:c>
      <x:c r="I2690" s="81" t="n">
        <x:v>0.25048542320728306</x:v>
      </x:c>
      <x:c r="J2690" s="79" t="n">
        <x:v>0.0050107541933072436</x:v>
      </x:c>
      <x:c r="K2690" s="81" t="n">
        <x:v>4.726576220922564</x:v>
      </x:c>
      <x:c r="L2690" s="81" t="n">
        <x:v>-0.9249851550212701</x:v>
      </x:c>
      <x:c r="M2690" s="80" t="n">
        <x:v>19520.73457301101</x:v>
      </x:c>
      <x:c r="N2690" s="82" t="n">
        <x:v>0.23042363696741505</x:v>
      </x:c>
      <x:c r="O2690" s="82" t="n">
        <x:v>0.12670289209557303</x:v>
      </x:c>
      <x:c r="P2690" s="80" t="n">
        <x:v>45888.138037308</x:v>
      </x:c>
      <x:c r="Q2690" s="81" t="n">
        <x:v>0.005044775191569343</x:v>
      </x:c>
      <x:c r="R2690" s="81" t="n">
        <x:v>926.6842684122622</x:v>
      </x:c>
      <x:c r="S2690" s="81" t="n">
        <x:v>685.9803333022672</x:v>
      </x:c>
      <x:c r="T2690" s="81" t="n">
        <x:v>108.5438754016868</x:v>
      </x:c>
    </x:row>
    <x:row r="2691">
      <x:c r="A2691" s="59" t="n">
        <x:v>2688</x:v>
      </x:c>
      <x:c r="B2691" s="193" t="n">
        <x:v>0.31913821883499627</x:v>
      </x:c>
      <x:c r="C2691" s="83" t="n">
        <x:v>0.6695417511838875</x:v>
      </x:c>
      <x:c r="D2691" s="83" t="n">
        <x:v>0.9109788888882123</x:v>
      </x:c>
      <x:c r="E2691" s="81" t="n">
        <x:v>0.002837837832429732</x:v>
      </x:c>
      <x:c r="F2691" s="81" t="n">
        <x:v>0.7652866326854565</x:v>
      </x:c>
      <x:c r="G2691" s="81" t="n">
        <x:v>0.013315773882666871</x:v>
      </x:c>
      <x:c r="H2691" s="59" t="n">
        <x:v>0</x:v>
      </x:c>
      <x:c r="I2691" s="81" t="n">
        <x:v>0</x:v>
      </x:c>
      <x:c r="J2691" s="79" t="n">
        <x:v>0.000006781964211943577</x:v>
      </x:c>
      <x:c r="K2691" s="81" t="n">
        <x:v>-0.9922491837577788</x:v>
      </x:c>
      <x:c r="L2691" s="81" t="n">
        <x:v>-0.9922491837577788</x:v>
      </x:c>
      <x:c r="M2691" s="80" t="n">
        <x:v>749.3103502888324</x:v>
      </x:c>
      <x:c r="N2691" s="82" t="n">
        <x:v>0.17811845756809921</x:v>
      </x:c>
      <x:c r="O2691" s="82" t="n">
        <x:v>0.12876682725855937</x:v>
      </x:c>
      <x:c r="P2691" s="80" t="n">
        <x:v>3515.711577096039</x:v>
      </x:c>
      <x:c r="Q2691" s="81" t="n">
        <x:v>0.05637630826624069</x:v>
      </x:c>
      <x:c r="R2691" s="81" t="n">
        <x:v>18.756541496337142</x:v>
      </x:c>
      <x:c r="S2691" s="81" t="n">
        <x:v>0.39906854336371067</x:v>
      </x:c>
      <x:c r="T2691" s="81" t="n">
        <x:v>0.14691215134503105</x:v>
      </x:c>
    </x:row>
    <x:row r="2692">
      <x:c r="A2692" s="59" t="n">
        <x:v>2689</x:v>
      </x:c>
      <x:c r="B2692" s="193" t="n">
        <x:v>0.2445464247837663</x:v>
      </x:c>
      <x:c r="C2692" s="83" t="n">
        <x:v>0.21116469159867912</x:v>
      </x:c>
      <x:c r="D2692" s="83" t="n">
        <x:v>0.6142987823314996</x:v>
      </x:c>
      <x:c r="E2692" s="81" t="n">
        <x:v>-0.16126367828543617</x:v>
      </x:c>
      <x:c r="F2692" s="81" t="n">
        <x:v>0.598779952689074</x:v>
      </x:c>
      <x:c r="G2692" s="81" t="n">
        <x:v>-0.04091021613155024</x:v>
      </x:c>
      <x:c r="H2692" s="59" t="n">
        <x:v>0</x:v>
      </x:c>
      <x:c r="I2692" s="81" t="n">
        <x:v>0</x:v>
      </x:c>
      <x:c r="J2692" s="79" t="n">
        <x:v>4.513381513390368e-36</x:v>
      </x:c>
      <x:c r="K2692" s="81" t="n">
        <x:v>-1</x:v>
      </x:c>
      <x:c r="L2692" s="81" t="n">
        <x:v>-1</x:v>
      </x:c>
      <x:c r="M2692" s="80" t="n">
        <x:v>0.000002</x:v>
      </x:c>
      <x:c r="N2692" s="82" t="n">
        <x:v>0.16034929362895778</x:v>
      </x:c>
      <x:c r="O2692" s="82" t="n">
        <x:v>0.09069957344069525</x:v>
      </x:c>
      <x:c r="P2692" s="80" t="n">
        <x:v>131.11014388229208</x:v>
      </x:c>
      <x:c r="Q2692" s="81" t="n">
        <x:v>3223198382103621600</x:v>
      </x:c>
      <x:c r="R2692" s="81" t="n">
        <x:v>6.893282407431436</x:v>
      </x:c>
      <x:c r="S2692" s="81" t="n">
        <x:v>2.6728112009082713e-10</x:v>
      </x:c>
      <x:c r="T2692" s="81" t="n">
        <x:v>9.77696972811138e-32</x:v>
      </x:c>
    </x:row>
    <x:row r="2693">
      <x:c r="A2693" s="59" t="n">
        <x:v>2690</x:v>
      </x:c>
      <x:c r="B2693" s="193" t="n">
        <x:v>0.5197116322815418</x:v>
      </x:c>
      <x:c r="C2693" s="83" t="n">
        <x:v>0.19203742005109725</x:v>
      </x:c>
      <x:c r="D2693" s="83" t="n">
        <x:v>0.952130471158615</x:v>
      </x:c>
      <x:c r="E2693" s="81" t="n">
        <x:v>-0.03989891147120038</x:v>
      </x:c>
      <x:c r="F2693" s="81" t="n">
        <x:v>0.4770856098737568</x:v>
      </x:c>
      <x:c r="G2693" s="81" t="n">
        <x:v>-0.0077892508678401255</x:v>
      </x:c>
      <x:c r="H2693" s="59" t="n">
        <x:v>50</x:v>
      </x:c>
      <x:c r="I2693" s="81" t="n">
        <x:v>0.320721971988678</x:v>
      </x:c>
      <x:c r="J2693" s="79" t="n">
        <x:v>1.7401173851389025e-24</x:v>
      </x:c>
      <x:c r="K2693" s="81" t="n">
        <x:v>-1</x:v>
      </x:c>
      <x:c r="L2693" s="81" t="n">
        <x:v>-1</x:v>
      </x:c>
      <x:c r="M2693" s="80" t="n">
        <x:v>0.000002</x:v>
      </x:c>
      <x:c r="N2693" s="82" t="n">
        <x:v>0.22589880540256851</x:v>
      </x:c>
      <x:c r="O2693" s="82" t="n">
        <x:v>0.10180783299056101</x:v>
      </x:c>
      <x:c r="P2693" s="80" t="n">
        <x:v>419.7406324962583</x:v>
      </x:c>
      <x:c r="Q2693" s="81" t="n">
        <x:v>30258425.885751944</x:v>
      </x:c>
      <x:c r="R2693" s="81" t="n">
        <x:v>18.134404974815766</x:v>
      </x:c>
      <x:c r="S2693" s="81" t="n">
        <x:v>6.361972704756038e-10</x:v>
      </x:c>
      <x:c r="T2693" s="81" t="n">
        <x:v>3.769474161975613e-20</x:v>
      </x:c>
    </x:row>
    <x:row r="2694">
      <x:c r="A2694" s="59" t="n">
        <x:v>2691</x:v>
      </x:c>
      <x:c r="B2694" s="193" t="n">
        <x:v>0.9309885047376156</x:v>
      </x:c>
      <x:c r="C2694" s="83" t="n">
        <x:v>0.15845756045287854</x:v>
      </x:c>
      <x:c r="D2694" s="83" t="n">
        <x:v>3</x:v>
      </x:c>
      <x:c r="E2694" s="81" t="n">
        <x:v>-0.019545681412588518</x:v>
      </x:c>
      <x:c r="F2694" s="81" t="n">
        <x:v>0.896849674358964</x:v>
      </x:c>
      <x:c r="G2694" s="81" t="n">
        <x:v>0.04131287344117224</x:v>
      </x:c>
      <x:c r="H2694" s="59" t="n">
        <x:v>56</x:v>
      </x:c>
      <x:c r="I2694" s="81" t="n">
        <x:v>0.27831939617171886</x:v>
      </x:c>
      <x:c r="J2694" s="79" t="n">
        <x:v>9.358590175468538e-36</x:v>
      </x:c>
      <x:c r="K2694" s="81" t="n">
        <x:v>-1</x:v>
      </x:c>
      <x:c r="L2694" s="81" t="n">
        <x:v>-1</x:v>
      </x:c>
      <x:c r="M2694" s="80" t="n">
        <x:v>0.000002</x:v>
      </x:c>
      <x:c r="N2694" s="82" t="n">
        <x:v>0.3238726678629639</x:v>
      </x:c>
      <x:c r="O2694" s="82" t="n">
        <x:v>0.27438786177992786</x:v>
      </x:c>
      <x:c r="P2694" s="80" t="n">
        <x:v>806.6065455134391</x:v>
      </x:c>
      <x:c r="Q2694" s="81" t="n">
        <x:v>11260048092601897000</x:v>
      </x:c>
      <x:c r="R2694" s="81" t="n">
        <x:v>13.427649914928086</x:v>
      </x:c>
      <x:c r="S2694" s="81" t="n">
        <x:v>3.7123617441511717e-9</x:v>
      </x:c>
      <x:c r="T2694" s="81" t="n">
        <x:v>2.0272749505420024e-31</x:v>
      </x:c>
    </x:row>
    <x:row r="2695">
      <x:c r="A2695" s="59" t="n">
        <x:v>2692</x:v>
      </x:c>
      <x:c r="B2695" s="193" t="n">
        <x:v>0.6504160204902292</x:v>
      </x:c>
      <x:c r="C2695" s="83" t="n">
        <x:v>0.264645481376792</x:v>
      </x:c>
      <x:c r="D2695" s="83" t="n">
        <x:v>1.0702694354016404</x:v>
      </x:c>
      <x:c r="E2695" s="81" t="n">
        <x:v>0.09788361827418024</x:v>
      </x:c>
      <x:c r="F2695" s="81" t="n">
        <x:v>0.5419048486277461</x:v>
      </x:c>
      <x:c r="G2695" s="81" t="n">
        <x:v>0.02698401574484213</x:v>
      </x:c>
      <x:c r="H2695" s="59" t="n">
        <x:v>0</x:v>
      </x:c>
      <x:c r="I2695" s="81" t="n">
        <x:v>0</x:v>
      </x:c>
      <x:c r="J2695" s="79" t="n">
        <x:v>0.010855577410088664</x:v>
      </x:c>
      <x:c r="K2695" s="81" t="n">
        <x:v>11.406374182958475</x:v>
      </x:c>
      <x:c r="L2695" s="81" t="n">
        <x:v>-0.7711364883082237</x:v>
      </x:c>
      <x:c r="M2695" s="80" t="n">
        <x:v>34221.91501200139</x:v>
      </x:c>
      <x:c r="N2695" s="82" t="n">
        <x:v>0.25703504138115685</x:v>
      </x:c>
      <x:c r="O2695" s="82" t="n">
        <x:v>0.13157891868949823</x:v>
      </x:c>
      <x:c r="P2695" s="80" t="n">
        <x:v>60381.36983165986</x:v>
      </x:c>
      <x:c r="Q2695" s="81" t="n">
        <x:v>0.003635009154668652</x:v>
      </x:c>
      <x:c r="R2695" s="81" t="n">
        <x:v>666.8967131786133</x:v>
      </x:c>
      <x:c r="S2695" s="81" t="n">
        <x:v>780.4134659753652</x:v>
      </x:c>
      <x:c r="T2695" s="81" t="n">
        <x:v>235.15550680731232</x:v>
      </x:c>
    </x:row>
    <x:row r="2696">
      <x:c r="A2696" s="59" t="n">
        <x:v>2693</x:v>
      </x:c>
      <x:c r="B2696" s="193" t="n">
        <x:v>0.6775675062090158</x:v>
      </x:c>
      <x:c r="C2696" s="83" t="n">
        <x:v>0.2482731534007275</x:v>
      </x:c>
      <x:c r="D2696" s="83" t="n">
        <x:v>0.7035983283304266</x:v>
      </x:c>
      <x:c r="E2696" s="81" t="n">
        <x:v>0.13381189545262817</x:v>
      </x:c>
      <x:c r="F2696" s="81" t="n">
        <x:v>0.3350482130423188</x:v>
      </x:c>
      <x:c r="G2696" s="81" t="n">
        <x:v>-0.013482644226285473</x:v>
      </x:c>
      <x:c r="H2696" s="59" t="n">
        <x:v>49</x:v>
      </x:c>
      <x:c r="I2696" s="81" t="n">
        <x:v>0.42936712140217426</x:v>
      </x:c>
      <x:c r="J2696" s="79" t="n">
        <x:v>0.00795725578211473</x:v>
      </x:c>
      <x:c r="K2696" s="81" t="n">
        <x:v>8.09400660813112</x:v>
      </x:c>
      <x:c r="L2696" s="81" t="n">
        <x:v>-0.9660440955641468</x:v>
      </x:c>
      <x:c r="M2696" s="80" t="n">
        <x:v>25878.69573305665</x:v>
      </x:c>
      <x:c r="N2696" s="82" t="n">
        <x:v>0.263503034369729</x:v>
      </x:c>
      <x:c r="O2696" s="82" t="n">
        <x:v>0.08339958096077228</x:v>
      </x:c>
      <x:c r="P2696" s="80" t="n">
        <x:v>30975.037237064458</x:v>
      </x:c>
      <x:c r="Q2696" s="81" t="n">
        <x:v>0.0017057779162697533</x:v>
      </x:c>
      <x:c r="R2696" s="81" t="n">
        <x:v>1088.8904943338039</x:v>
      </x:c>
      <x:c r="S2696" s="81" t="n">
        <x:v>601.125659700402</x:v>
      </x:c>
      <x:c r="T2696" s="81" t="n">
        <x:v>172.37153267403417</x:v>
      </x:c>
    </x:row>
    <x:row r="2697">
      <x:c r="A2697" s="59" t="n">
        <x:v>2694</x:v>
      </x:c>
      <x:c r="B2697" s="193" t="n">
        <x:v>0.3142620394006372</x:v>
      </x:c>
      <x:c r="C2697" s="83" t="n">
        <x:v>0.5823294563429822</x:v>
      </x:c>
      <x:c r="D2697" s="83" t="n">
        <x:v>0.4866775696965971</x:v>
      </x:c>
      <x:c r="E2697" s="81" t="n">
        <x:v>-0.09523341205335163</x:v>
      </x:c>
      <x:c r="F2697" s="81" t="n">
        <x:v>0.6953845581738278</x:v>
      </x:c>
      <x:c r="G2697" s="81" t="n">
        <x:v>-0.025965438690125242</x:v>
      </x:c>
      <x:c r="H2697" s="59" t="n">
        <x:v>0</x:v>
      </x:c>
      <x:c r="I2697" s="81" t="n">
        <x:v>0</x:v>
      </x:c>
      <x:c r="J2697" s="79" t="n">
        <x:v>1.5030044377523179e-25</x:v>
      </x:c>
      <x:c r="K2697" s="81" t="n">
        <x:v>-1</x:v>
      </x:c>
      <x:c r="L2697" s="81" t="n">
        <x:v>-1</x:v>
      </x:c>
      <x:c r="M2697" s="80" t="n">
        <x:v>0.000002</x:v>
      </x:c>
      <x:c r="N2697" s="82" t="n">
        <x:v>0.17695686019847032</x:v>
      </x:c>
      <x:c r="O2697" s="82" t="n">
        <x:v>0.11624208419233556</x:v>
      </x:c>
      <x:c r="P2697" s="80" t="n">
        <x:v>249.41058952481782</x:v>
      </x:c>
      <x:c r="Q2697" s="81" t="n">
        <x:v>154579492.73242098</x:v>
      </x:c>
      <x:c r="R2697" s="81" t="n">
        <x:v>5.334587230775182</x:v>
      </x:c>
      <x:c r="S2697" s="81" t="n">
        <x:v>1.956305412763093e-10</x:v>
      </x:c>
      <x:c r="T2697" s="81" t="n">
        <x:v>3.255835750982858e-21</x:v>
      </x:c>
    </x:row>
    <x:row r="2698">
      <x:c r="A2698" s="59" t="n">
        <x:v>2695</x:v>
      </x:c>
      <x:c r="B2698" s="193" t="n">
        <x:v>0.32093949243426323</x:v>
      </x:c>
      <x:c r="C2698" s="83" t="n">
        <x:v>0.2954525742920706</x:v>
      </x:c>
      <x:c r="D2698" s="83" t="n">
        <x:v>0.3364069936679597</x:v>
      </x:c>
      <x:c r="E2698" s="81" t="n">
        <x:v>0.019639177459772183</x:v>
      </x:c>
      <x:c r="F2698" s="81" t="n">
        <x:v>0.6962958165328019</x:v>
      </x:c>
      <x:c r="G2698" s="81" t="n">
        <x:v>-0.030835938646903007</x:v>
      </x:c>
      <x:c r="H2698" s="59" t="n">
        <x:v>0</x:v>
      </x:c>
      <x:c r="I2698" s="81" t="n">
        <x:v>0</x:v>
      </x:c>
      <x:c r="J2698" s="79" t="n">
        <x:v>0.000011817105500395076</x:v>
      </x:c>
      <x:c r="K2698" s="81" t="n">
        <x:v>-0.9864947365709771</x:v>
      </x:c>
      <x:c r="L2698" s="81" t="n">
        <x:v>-0.9864947365709771</x:v>
      </x:c>
      <x:c r="M2698" s="80" t="n">
        <x:v>775.6948514332314</x:v>
      </x:c>
      <x:c r="N2698" s="82" t="n">
        <x:v>0.1785475547133245</x:v>
      </x:c>
      <x:c r="O2698" s="82" t="n">
        <x:v>0.11744070088110928</x:v>
      </x:c>
      <x:c r="P2698" s="80" t="n">
        <x:v>1005.7015364508974</x:v>
      </x:c>
      <x:c r="Q2698" s="81" t="n">
        <x:v>0.009479145561719238</x:v>
      </x:c>
      <x:c r="R2698" s="81" t="n">
        <x:v>42.26947566415922</x:v>
      </x:c>
      <x:c r="S2698" s="81" t="n">
        <x:v>0.8041989565785758</x:v>
      </x:c>
      <x:c r="T2698" s="81" t="n">
        <x:v>0.25598430446991627</x:v>
      </x:c>
    </x:row>
    <x:row r="2699">
      <x:c r="A2699" s="59" t="n">
        <x:v>2696</x:v>
      </x:c>
      <x:c r="B2699" s="193" t="n">
        <x:v>0.30781953874975443</x:v>
      </x:c>
      <x:c r="C2699" s="83" t="n">
        <x:v>2.0240415075367246</x:v>
      </x:c>
      <x:c r="D2699" s="83" t="n">
        <x:v>0.26402543352924224</x:v>
      </x:c>
      <x:c r="E2699" s="81" t="n">
        <x:v>-0.08422668859861242</x:v>
      </x:c>
      <x:c r="F2699" s="81" t="n">
        <x:v>0.3752488391124643</x:v>
      </x:c>
      <x:c r="G2699" s="81" t="n">
        <x:v>0.008411461130522808</x:v>
      </x:c>
      <x:c r="H2699" s="59" t="n">
        <x:v>0</x:v>
      </x:c>
      <x:c r="I2699" s="81" t="n">
        <x:v>0</x:v>
      </x:c>
      <x:c r="J2699" s="79" t="n">
        <x:v>2.171439381543452e-18</x:v>
      </x:c>
      <x:c r="K2699" s="81" t="n">
        <x:v>-0.9999999999999976</x:v>
      </x:c>
      <x:c r="L2699" s="81" t="n">
        <x:v>-0.9999999999999976</x:v>
      </x:c>
      <x:c r="M2699" s="80" t="n">
        <x:v>0.0007914121004646439</x:v>
      </x:c>
      <x:c r="N2699" s="82" t="n">
        <x:v>0.17542213574654292</x:v>
      </x:c>
      <x:c r="O2699" s="82" t="n">
        <x:v>0.062183432809286614</x:v>
      </x:c>
      <x:c r="P2699" s="80" t="n">
        <x:v>526.5901872607343</x:v>
      </x:c>
      <x:c r="Q2699" s="81" t="n">
        <x:v>4739.035949139596</x:v>
      </x:c>
      <x:c r="R2699" s="81" t="n">
        <x:v>3.3142298330287856</x:v>
      </x:c>
      <x:c r="S2699" s="81" t="n">
        <x:v>3.5145419164200857e-8</x:v>
      </x:c>
      <x:c r="T2699" s="81" t="n">
        <x:v>4.703811773233318e-14</x:v>
      </x:c>
    </x:row>
    <x:row r="2700">
      <x:c r="A2700" s="59" t="n">
        <x:v>2697</x:v>
      </x:c>
      <x:c r="B2700" s="193" t="n">
        <x:v>0.5343226013705135</x:v>
      </x:c>
      <x:c r="C2700" s="83" t="n">
        <x:v>0.4451390425108589</x:v>
      </x:c>
      <x:c r="D2700" s="83" t="n">
        <x:v>0.44537189440384584</x:v>
      </x:c>
      <x:c r="E2700" s="81" t="n">
        <x:v>-0.01738376695530394</x:v>
      </x:c>
      <x:c r="F2700" s="81" t="n">
        <x:v>0.2749565267236903</x:v>
      </x:c>
      <x:c r="G2700" s="81" t="n">
        <x:v>-0.022594949254708334</x:v>
      </x:c>
      <x:c r="H2700" s="59" t="n">
        <x:v>0</x:v>
      </x:c>
      <x:c r="I2700" s="81" t="n">
        <x:v>0</x:v>
      </x:c>
      <x:c r="J2700" s="79" t="n">
        <x:v>4.980811645222106e-9</x:v>
      </x:c>
      <x:c r="K2700" s="81" t="n">
        <x:v>-0.999994307643834</x:v>
      </x:c>
      <x:c r="L2700" s="81" t="n">
        <x:v>-0.999994307643834</x:v>
      </x:c>
      <x:c r="M2700" s="80" t="n">
        <x:v>17.552758951780902</x:v>
      </x:c>
      <x:c r="N2700" s="82" t="n">
        <x:v>0.22937941219523197</x:v>
      </x:c>
      <x:c r="O2700" s="82" t="n">
        <x:v>0.05957847881977161</x:v>
      </x:c>
      <x:c r="P2700" s="80" t="n">
        <x:v>784.4227191759617</x:v>
      </x:c>
      <x:c r="Q2700" s="81" t="n">
        <x:v>0.2010654320898337</x:v>
      </x:c>
      <x:c r="R2700" s="81" t="n">
        <x:v>21.891424132184532</x:v>
      </x:c>
      <x:c r="S2700" s="81" t="n">
        <x:v>0.0020232053035681413</x:v>
      </x:c>
      <x:c r="T2700" s="81" t="n">
        <x:v>0.00010789525443901751</x:v>
      </x:c>
    </x:row>
    <x:row r="2701">
      <x:c r="A2701" s="59" t="n">
        <x:v>2698</x:v>
      </x:c>
      <x:c r="B2701" s="193" t="n">
        <x:v>0.9970821943134069</x:v>
      </x:c>
      <x:c r="C2701" s="83" t="n">
        <x:v>0.14454564730800337</x:v>
      </x:c>
      <x:c r="D2701" s="83" t="n">
        <x:v>0.4790937519933116</x:v>
      </x:c>
      <x:c r="E2701" s="81" t="n">
        <x:v>0.1190103656807712</x:v>
      </x:c>
      <x:c r="F2701" s="81" t="n">
        <x:v>0.5589242464862765</x:v>
      </x:c>
      <x:c r="G2701" s="81" t="n">
        <x:v>0.012862610202401573</x:v>
      </x:c>
      <x:c r="H2701" s="59" t="n">
        <x:v>73</x:v>
      </x:c>
      <x:c r="I2701" s="81" t="n">
        <x:v>0.13040161300450565</x:v>
      </x:c>
      <x:c r="J2701" s="79" t="n">
        <x:v>0.0008903397819679748</x:v>
      </x:c>
      <x:c r="K2701" s="81" t="n">
        <x:v>0.01753117939197124</x:v>
      </x:c>
      <x:c r="L2701" s="81" t="n">
        <x:v>-0.8682417214581306</x:v>
      </x:c>
      <x:c r="M2701" s="80" t="n">
        <x:v>7335.856675180277</x:v>
      </x:c>
      <x:c r="N2701" s="82" t="n">
        <x:v>0.3396174239765968</x:v>
      </x:c>
      <x:c r="O2701" s="82" t="n">
        <x:v>0.17931385828485852</x:v>
      </x:c>
      <x:c r="P2701" s="80" t="n">
        <x:v>6930.694369739877</x:v>
      </x:c>
      <x:c r="Q2701" s="81" t="n">
        <x:v>0.00374275592527186</x:v>
      </x:c>
      <x:c r="R2701" s="81" t="n">
        <x:v>254.50399543910737</x:v>
      </x:c>
      <x:c r="S2701" s="81" t="n">
        <x:v>116.09859377468702</x:v>
      </x:c>
      <x:c r="T2701" s="81" t="n">
        <x:v>19.286703484313414</x:v>
      </x:c>
    </x:row>
    <x:row r="2702">
      <x:c r="A2702" s="59" t="n">
        <x:v>2699</x:v>
      </x:c>
      <x:c r="B2702" s="193" t="n">
        <x:v>0.677522636577487</x:v>
      </x:c>
      <x:c r="C2702" s="83" t="n">
        <x:v>0.12146117667808257</x:v>
      </x:c>
      <x:c r="D2702" s="83" t="n">
        <x:v>1.1214047694357576</x:v>
      </x:c>
      <x:c r="E2702" s="81" t="n">
        <x:v>-0.1011039162246504</x:v>
      </x:c>
      <x:c r="F2702" s="81" t="n">
        <x:v>0.8445022467407398</x:v>
      </x:c>
      <x:c r="G2702" s="81" t="n">
        <x:v>0.03393441536729691</x:v>
      </x:c>
      <x:c r="H2702" s="59" t="n">
        <x:v>0</x:v>
      </x:c>
      <x:c r="I2702" s="81" t="n">
        <x:v>0</x:v>
      </x:c>
      <x:c r="J2702" s="79" t="n">
        <x:v>2.9731480014030443e-52</x:v>
      </x:c>
      <x:c r="K2702" s="81" t="n">
        <x:v>-1</x:v>
      </x:c>
      <x:c r="L2702" s="81" t="n">
        <x:v>-1</x:v>
      </x:c>
      <x:c r="M2702" s="80" t="n">
        <x:v>0.000002</x:v>
      </x:c>
      <x:c r="N2702" s="82" t="n">
        <x:v>0.26349234558219314</x:v>
      </x:c>
      <x:c r="O2702" s="82" t="n">
        <x:v>0.21020340886799196</x:v>
      </x:c>
      <x:c r="P2702" s="80" t="n">
        <x:v>190.5405458103044</x:v>
      </x:c>
      <x:c r="Q2702" s="81" t="n">
        <x:v>7.40011726077122e+34</x:v>
      </x:c>
      <x:c r="R2702" s="81" t="n">
        <x:v>9.493804218403985</x:v>
      </x:c>
      <x:c r="S2702" s="81" t="n">
        <x:v>1.3146606291863558e-9</x:v>
      </x:c>
      <x:c r="T2702" s="81" t="n">
        <x:v>6.440487674412614e-48</x:v>
      </x:c>
    </x:row>
    <x:row r="2703">
      <x:c r="A2703" s="59" t="n">
        <x:v>2700</x:v>
      </x:c>
      <x:c r="B2703" s="193" t="n">
        <x:v>0.6543456288054585</x:v>
      </x:c>
      <x:c r="C2703" s="83" t="n">
        <x:v>0.10931850348844371</x:v>
      </x:c>
      <x:c r="D2703" s="83" t="n">
        <x:v>0.36867165937500673</x:v>
      </x:c>
      <x:c r="E2703" s="81" t="n">
        <x:v>-0.05399381713103548</x:v>
      </x:c>
      <x:c r="F2703" s="81" t="n">
        <x:v>0.8168854165356606</x:v>
      </x:c>
      <x:c r="G2703" s="81" t="n">
        <x:v>-0.0234290094662773</x:v>
      </x:c>
      <x:c r="H2703" s="59" t="n">
        <x:v>0</x:v>
      </x:c>
      <x:c r="I2703" s="81" t="n">
        <x:v>0</x:v>
      </x:c>
      <x:c r="J2703" s="79" t="n">
        <x:v>1.2732843258137123e-15</x:v>
      </x:c>
      <x:c r="K2703" s="81" t="n">
        <x:v>-0.9999999999985448</x:v>
      </x:c>
      <x:c r="L2703" s="81" t="n">
        <x:v>-0.9999999999985448</x:v>
      </x:c>
      <x:c r="M2703" s="80" t="n">
        <x:v>0.006965334066324326</x:v>
      </x:c>
      <x:c r="N2703" s="82" t="n">
        <x:v>0.2579711477620004</x:v>
      </x:c>
      <x:c r="O2703" s="82" t="n">
        <x:v>0.19906881015429675</x:v>
      </x:c>
      <x:c r="P2703" s="80" t="n">
        <x:v>198.5075012866418</x:v>
      </x:c>
      <x:c r="Q2703" s="81" t="n">
        <x:v>107.85657748968728</x:v>
      </x:c>
      <x:c r="R2703" s="81" t="n">
        <x:v>37.1378970241062</x:v>
      </x:c>
      <x:c r="S2703" s="81" t="n">
        <x:v>7.825137139224663e-7</x:v>
      </x:c>
      <x:c r="T2703" s="81" t="n">
        <x:v>2.7582118355884388e-11</x:v>
      </x:c>
    </x:row>
    <x:row r="2704">
      <x:c r="A2704" s="59" t="n">
        <x:v>2701</x:v>
      </x:c>
      <x:c r="B2704" s="193" t="n">
        <x:v>0.5720710910856723</x:v>
      </x:c>
      <x:c r="C2704" s="83" t="n">
        <x:v>0.5947543923201517</x:v>
      </x:c>
      <x:c r="D2704" s="83" t="n">
        <x:v>0.8124128348403373</x:v>
      </x:c>
      <x:c r="E2704" s="81" t="n">
        <x:v>-0.03059783120493716</x:v>
      </x:c>
      <x:c r="F2704" s="81" t="n">
        <x:v>0.702939405280631</x:v>
      </x:c>
      <x:c r="G2704" s="81" t="n">
        <x:v>0.010658593791482924</x:v>
      </x:c>
      <x:c r="H2704" s="59" t="n">
        <x:v>0</x:v>
      </x:c>
      <x:c r="I2704" s="81" t="n">
        <x:v>0</x:v>
      </x:c>
      <x:c r="J2704" s="79" t="n">
        <x:v>1.097934550375284e-20</x:v>
      </x:c>
      <x:c r="K2704" s="81" t="n">
        <x:v>-1</x:v>
      </x:c>
      <x:c r="L2704" s="81" t="n">
        <x:v>-1</x:v>
      </x:c>
      <x:c r="M2704" s="80" t="n">
        <x:v>0.000029902478406701765</x:v>
      </x:c>
      <x:c r="N2704" s="82" t="n">
        <x:v>0.2383718102295649</x:v>
      </x:c>
      <x:c r="O2704" s="82" t="n">
        <x:v>0.1582864452879258</x:v>
      </x:c>
      <x:c r="P2704" s="80" t="n">
        <x:v>634.369733797119</x:v>
      </x:c>
      <x:c r="Q2704" s="81" t="n">
        <x:v>92660.37850529015</x:v>
      </x:c>
      <x:c r="R2704" s="81" t="n">
        <x:v>8.118658292563946</x:v>
      </x:c>
      <x:c r="S2704" s="81" t="n">
        <x:v>8.015811072074015e-9</x:v>
      </x:c>
      <x:c r="T2704" s="81" t="n">
        <x:v>2.3783659392895404e-16</x:v>
      </x:c>
    </x:row>
    <x:row r="2705">
      <x:c r="A2705" s="59" t="n">
        <x:v>2702</x:v>
      </x:c>
      <x:c r="B2705" s="193" t="n">
        <x:v>0.8681612418964506</x:v>
      </x:c>
      <x:c r="C2705" s="83" t="n">
        <x:v>0.28393894487087284</x:v>
      </x:c>
      <x:c r="D2705" s="83" t="n">
        <x:v>0.2782472057279761</x:v>
      </x:c>
      <x:c r="E2705" s="81" t="n">
        <x:v>0.05606123332494337</x:v>
      </x:c>
      <x:c r="F2705" s="81" t="n">
        <x:v>0.4992278418736532</x:v>
      </x:c>
      <x:c r="G2705" s="81" t="n">
        <x:v>-0.0013862818356257679</x:v>
      </x:c>
      <x:c r="H2705" s="59" t="n">
        <x:v>0</x:v>
      </x:c>
      <x:c r="I2705" s="81" t="n">
        <x:v>0</x:v>
      </x:c>
      <x:c r="J2705" s="79" t="n">
        <x:v>0.00007581640253664915</x:v>
      </x:c>
      <x:c r="K2705" s="81" t="n">
        <x:v>-0.913352682815258</x:v>
      </x:c>
      <x:c r="L2705" s="81" t="n">
        <x:v>-0.9316346887896083</x:v>
      </x:c>
      <x:c r="M2705" s="80" t="n">
        <x:v>2024.6937101075398</x:v>
      </x:c>
      <x:c r="N2705" s="82" t="n">
        <x:v>0.30890603584302045</x:v>
      </x:c>
      <x:c r="O2705" s="82" t="n">
        <x:v>0.14567872573483928</x:v>
      </x:c>
      <x:c r="P2705" s="80" t="n">
        <x:v>1473.1044453667048</x:v>
      </x:c>
      <x:c r="Q2705" s="81" t="n">
        <x:v>0.00536180862811118</x:v>
      </x:c>
      <x:c r="R2705" s="81" t="n">
        <x:v>52.65159116463682</x:v>
      </x:c>
      <x:c r="S2705" s="81" t="n">
        <x:v>5.156706971683475</x:v>
      </x:c>
      <x:c r="T2705" s="81" t="n">
        <x:v>1.6423488027678586</x:v>
      </x:c>
    </x:row>
    <x:row r="2706">
      <x:c r="A2706" s="59" t="n">
        <x:v>2703</x:v>
      </x:c>
      <x:c r="B2706" s="193" t="n">
        <x:v>0.770072159357369</x:v>
      </x:c>
      <x:c r="C2706" s="83" t="n">
        <x:v>1.2908950533571155</x:v>
      </x:c>
      <x:c r="D2706" s="83" t="n">
        <x:v>0.5487791309797392</x:v>
      </x:c>
      <x:c r="E2706" s="81" t="n">
        <x:v>0.003485635666318259</x:v>
      </x:c>
      <x:c r="F2706" s="81" t="n">
        <x:v>0.31088933516293765</x:v>
      </x:c>
      <x:c r="G2706" s="81" t="n">
        <x:v>0.03668032782760813</x:v>
      </x:c>
      <x:c r="H2706" s="59" t="n">
        <x:v>0</x:v>
      </x:c>
      <x:c r="I2706" s="81" t="n">
        <x:v>0</x:v>
      </x:c>
      <x:c r="J2706" s="79" t="n">
        <x:v>0.00002527409463645456</x:v>
      </x:c>
      <x:c r="K2706" s="81" t="n">
        <x:v>-0.9711153204154805</x:v>
      </x:c>
      <x:c r="L2706" s="81" t="n">
        <x:v>-0.971211416187812</x:v>
      </x:c>
      <x:c r="M2706" s="80" t="n">
        <x:v>1977.574284827117</x:v>
      </x:c>
      <x:c r="N2706" s="82" t="n">
        <x:v>0.28553937721191325</x:v>
      </x:c>
      <x:c r="O2706" s="82" t="n">
        <x:v>0.0838576666485354</x:v>
      </x:c>
      <x:c r="P2706" s="80" t="n">
        <x:v>5031.983150268009</x:v>
      </x:c>
      <x:c r="Q2706" s="81" t="n">
        <x:v>0.03008653099499983</x:v>
      </x:c>
      <x:c r="R2706" s="81" t="n">
        <x:v>12.662919020501763</x:v>
      </x:c>
      <x:c r="S2706" s="81" t="n">
        <x:v>0.6861654887470358</x:v>
      </x:c>
      <x:c r="T2706" s="81" t="n">
        <x:v>0.547492068713727</x:v>
      </x:c>
    </x:row>
    <x:row r="2707">
      <x:c r="A2707" s="59" t="n">
        <x:v>2704</x:v>
      </x:c>
      <x:c r="B2707" s="193" t="n">
        <x:v>0.4853279307484627</x:v>
      </x:c>
      <x:c r="C2707" s="83" t="n">
        <x:v>0.71274963871174</x:v>
      </x:c>
      <x:c r="D2707" s="83" t="n">
        <x:v>0.7941775170569128</x:v>
      </x:c>
      <x:c r="E2707" s="81" t="n">
        <x:v>-0.028265068511452288</x:v>
      </x:c>
      <x:c r="F2707" s="81" t="n">
        <x:v>0.6820060126832687</x:v>
      </x:c>
      <x:c r="G2707" s="81" t="n">
        <x:v>0.009819942412082956</x:v>
      </x:c>
      <x:c r="H2707" s="59" t="n">
        <x:v>0</x:v>
      </x:c>
      <x:c r="I2707" s="81" t="n">
        <x:v>0</x:v>
      </x:c>
      <x:c r="J2707" s="79" t="n">
        <x:v>4.760610279655374e-19</x:v>
      </x:c>
      <x:c r="K2707" s="81" t="n">
        <x:v>-0.9999999999999994</x:v>
      </x:c>
      <x:c r="L2707" s="81" t="n">
        <x:v>-0.9999999999999994</x:v>
      </x:c>
      <x:c r="M2707" s="80" t="n">
        <x:v>0.0002103341353974514</x:v>
      </x:c>
      <x:c r="N2707" s="82" t="n">
        <x:v>0.21770796300298523</x:v>
      </x:c>
      <x:c r="O2707" s="82" t="n">
        <x:v>0.14025987891974567</x:v>
      </x:c>
      <x:c r="P2707" s="80" t="n">
        <x:v>740.949636973602</x:v>
      </x:c>
      <x:c r="Q2707" s="81" t="n">
        <x:v>16235.538835513918</x:v>
      </x:c>
      <x:c r="R2707" s="81" t="n">
        <x:v>7.674131392842705</x:v>
      </x:c>
      <x:c r="S2707" s="81" t="n">
        <x:v>5.051906731324086e-8</x:v>
      </x:c>
      <x:c r="T2707" s="81" t="n">
        <x:v>1.0312521211299774e-14</x:v>
      </x:c>
    </x:row>
    <x:row r="2708">
      <x:c r="A2708" s="59" t="n">
        <x:v>2705</x:v>
      </x:c>
      <x:c r="B2708" s="193" t="n">
        <x:v>0.4823474707081914</x:v>
      </x:c>
      <x:c r="C2708" s="83" t="n">
        <x:v>0.12225418327667842</x:v>
      </x:c>
      <x:c r="D2708" s="83" t="n">
        <x:v>3</x:v>
      </x:c>
      <x:c r="E2708" s="81" t="n">
        <x:v>-0.05910185342234937</x:v>
      </x:c>
      <x:c r="F2708" s="81" t="n">
        <x:v>0.3244076901348308</x:v>
      </x:c>
      <x:c r="G2708" s="81" t="n">
        <x:v>0.08</x:v>
      </x:c>
      <x:c r="H2708" s="59" t="n">
        <x:v>0</x:v>
      </x:c>
      <x:c r="I2708" s="81" t="n">
        <x:v>0</x:v>
      </x:c>
      <x:c r="J2708" s="79" t="n">
        <x:v>1.4714803561820593e-85</x:v>
      </x:c>
      <x:c r="K2708" s="81" t="n">
        <x:v>-1</x:v>
      </x:c>
      <x:c r="L2708" s="81" t="n">
        <x:v>-1</x:v>
      </x:c>
      <x:c r="M2708" s="80" t="n">
        <x:v>0.000002</x:v>
      </x:c>
      <x:c r="N2708" s="82" t="n">
        <x:v>0.21699796153776707</x:v>
      </x:c>
      <x:c r="O2708" s="82" t="n">
        <x:v>0.06649940150465877</x:v>
      </x:c>
      <x:c r="P2708" s="80" t="n">
        <x:v>383.41619499992885</x:v>
      </x:c>
      <x:c r="Q2708" s="81" t="n">
        <x:v>2.4602370804755626e+68</x:v>
      </x:c>
      <x:c r="R2708" s="81" t="n">
        <x:v>6.979329541202795</x:v>
      </x:c>
      <x:c r="S2708" s="81" t="n">
        <x:v>5.972962934317745e-9</x:v>
      </x:c>
      <x:c r="T2708" s="81" t="n">
        <x:v>3.187547707903732e-81</x:v>
      </x:c>
    </x:row>
    <x:row r="2709">
      <x:c r="A2709" s="59" t="n">
        <x:v>2706</x:v>
      </x:c>
      <x:c r="B2709" s="193" t="n">
        <x:v>0.40495872497558594</x:v>
      </x:c>
      <x:c r="C2709" s="83" t="n">
        <x:v>0.5044285451930013</x:v>
      </x:c>
      <x:c r="D2709" s="83" t="n">
        <x:v>0.881289081628376</x:v>
      </x:c>
      <x:c r="E2709" s="81" t="n">
        <x:v>0.0922979895437233</x:v>
      </x:c>
      <x:c r="F2709" s="81" t="n">
        <x:v>0.49845456450711934</x:v>
      </x:c>
      <x:c r="G2709" s="81" t="n">
        <x:v>0.015231991892422116</x:v>
      </x:c>
      <x:c r="H2709" s="59" t="n">
        <x:v>0</x:v>
      </x:c>
      <x:c r="I2709" s="81" t="n">
        <x:v>0</x:v>
      </x:c>
      <x:c r="J2709" s="79" t="n">
        <x:v>0.013110665198944174</x:v>
      </x:c>
      <x:c r="K2709" s="81" t="n">
        <x:v>13.983617370221914</x:v>
      </x:c>
      <x:c r="L2709" s="81" t="n">
        <x:v>-0.7081990119181341</x:v>
      </x:c>
      <x:c r="M2709" s="80" t="n">
        <x:v>40385.88484768524</x:v>
      </x:c>
      <x:c r="N2709" s="82" t="n">
        <x:v>0.19856251126527777</x:v>
      </x:c>
      <x:c r="O2709" s="82" t="n">
        <x:v>0.09349616037515468</x:v>
      </x:c>
      <x:c r="P2709" s="80" t="n">
        <x:v>61171.91804586599</x:v>
      </x:c>
      <x:c r="Q2709" s="81" t="n">
        <x:v>0.00263169954211573</x:v>
      </x:c>
      <x:c r="R2709" s="81" t="n">
        <x:v>458.6878315631796</x:v>
      </x:c>
      <x:c r="S2709" s="81" t="n">
        <x:v>495.9596394042556</x:v>
      </x:c>
      <x:c r="T2709" s="81" t="n">
        <x:v>284.0056316648317</x:v>
      </x:c>
    </x:row>
    <x:row r="2710">
      <x:c r="A2710" s="59" t="n">
        <x:v>2707</x:v>
      </x:c>
      <x:c r="B2710" s="193" t="n">
        <x:v>0.23728793039917948</x:v>
      </x:c>
      <x:c r="C2710" s="83" t="n">
        <x:v>0.29746132608373876</x:v>
      </x:c>
      <x:c r="D2710" s="83" t="n">
        <x:v>0.642962122108083</x:v>
      </x:c>
      <x:c r="E2710" s="81" t="n">
        <x:v>-0.10189642816193371</x:v>
      </x:c>
      <x:c r="F2710" s="81" t="n">
        <x:v>0.39421935735736047</x:v>
      </x:c>
      <x:c r="G2710" s="81" t="n">
        <x:v>0.026366452011747685</x:v>
      </x:c>
      <x:c r="H2710" s="59" t="n">
        <x:v>0</x:v>
      </x:c>
      <x:c r="I2710" s="81" t="n">
        <x:v>0</x:v>
      </x:c>
      <x:c r="J2710" s="79" t="n">
        <x:v>5.531249575030792e-36</x:v>
      </x:c>
      <x:c r="K2710" s="81" t="n">
        <x:v>-1</x:v>
      </x:c>
      <x:c r="L2710" s="81" t="n">
        <x:v>-1</x:v>
      </x:c>
      <x:c r="M2710" s="80" t="n">
        <x:v>0.000002</x:v>
      </x:c>
      <x:c r="N2710" s="82" t="n">
        <x:v>0.15862018416977958</x:v>
      </x:c>
      <x:c r="O2710" s="82" t="n">
        <x:v>0.05907004983725931</x:v>
      </x:c>
      <x:c r="P2710" s="80" t="n">
        <x:v>209.58791400140998</x:v>
      </x:c>
      <x:c r="Q2710" s="81" t="n">
        <x:v>3949602244322908000</x:v>
      </x:c>
      <x:c r="R2710" s="81" t="n">
        <x:v>7.700411098269312</x:v>
      </x:c>
      <x:c r="S2710" s="81" t="n">
        <x:v>5.958105552618944e-10</x:v>
      </x:c>
      <x:c r="T2710" s="81" t="n">
        <x:v>1.198189417253184e-31</x:v>
      </x:c>
    </x:row>
    <x:row r="2711">
      <x:c r="A2711" s="59" t="n">
        <x:v>2708</x:v>
      </x:c>
      <x:c r="B2711" s="193" t="n">
        <x:v>0.38333791214972734</x:v>
      </x:c>
      <x:c r="C2711" s="83" t="n">
        <x:v>0.37560370733141046</x:v>
      </x:c>
      <x:c r="D2711" s="83" t="n">
        <x:v>0.5674149645518017</x:v>
      </x:c>
      <x:c r="E2711" s="81" t="n">
        <x:v>0.017542917861786966</x:v>
      </x:c>
      <x:c r="F2711" s="81" t="n">
        <x:v>0.7718467878876254</x:v>
      </x:c>
      <x:c r="G2711" s="81" t="n">
        <x:v>-0.027049423814470876</x:v>
      </x:c>
      <x:c r="H2711" s="59" t="n">
        <x:v>33</x:v>
      </x:c>
      <x:c r="I2711" s="81" t="n">
        <x:v>0.33093746872618796</x:v>
      </x:c>
      <x:c r="J2711" s="79" t="n">
        <x:v>0.00002139910632564522</x:v>
      </x:c>
      <x:c r="K2711" s="81" t="n">
        <x:v>-0.9755438784849769</x:v>
      </x:c>
      <x:c r="L2711" s="81" t="n">
        <x:v>-0.9755438784849769</x:v>
      </x:c>
      <x:c r="M2711" s="80" t="n">
        <x:v>1121.323742368454</x:v>
      </x:c>
      <x:c r="N2711" s="82" t="n">
        <x:v>0.19341202825991796</x:v>
      </x:c>
      <x:c r="O2711" s="82" t="n">
        <x:v>0.141021562493506</x:v>
      </x:c>
      <x:c r="P2711" s="80" t="n">
        <x:v>1965.2696228758175</x:v>
      </x:c>
      <x:c r="Q2711" s="81" t="n">
        <x:v>0.014522102651430113</x:v>
      </x:c>
      <x:c r="R2711" s="81" t="n">
        <x:v>35.4654692959213</x:v>
      </x:c>
      <x:c r="S2711" s="81" t="n">
        <x:v>1.20555809929645</x:v>
      </x:c>
      <x:c r="T2711" s="81" t="n">
        <x:v>0.4635513619528013</x:v>
      </x:c>
    </x:row>
    <x:row r="2712">
      <x:c r="A2712" s="59" t="n">
        <x:v>2709</x:v>
      </x:c>
      <x:c r="B2712" s="193" t="n">
        <x:v>0.723649426177144</x:v>
      </x:c>
      <x:c r="C2712" s="83" t="n">
        <x:v>0.15580256187571503</x:v>
      </x:c>
      <x:c r="D2712" s="83" t="n">
        <x:v>0.3859042924808788</x:v>
      </x:c>
      <x:c r="E2712" s="81" t="n">
        <x:v>-0.037250363484648864</x:v>
      </x:c>
      <x:c r="F2712" s="81" t="n">
        <x:v>0.678688536491245</x:v>
      </x:c>
      <x:c r="G2712" s="81" t="n">
        <x:v>0.027633770762575782</x:v>
      </x:c>
      <x:c r="H2712" s="59" t="n">
        <x:v>30</x:v>
      </x:c>
      <x:c r="I2712" s="81" t="n">
        <x:v>0.36723816497251394</x:v>
      </x:c>
      <x:c r="J2712" s="79" t="n">
        <x:v>1.1166764661132944e-15</x:v>
      </x:c>
      <x:c r="K2712" s="81" t="n">
        <x:v>-0.9999999999987238</x:v>
      </x:c>
      <x:c r="L2712" s="81" t="n">
        <x:v>-0.9999999999987238</x:v>
      </x:c>
      <x:c r="M2712" s="80" t="n">
        <x:v>0.006797580209446122</x:v>
      </x:c>
      <x:c r="N2712" s="82" t="n">
        <x:v>0.27448061174213656</x:v>
      </x:c>
      <x:c r="O2712" s="82" t="n">
        <x:v>0.1759758730691157</x:v>
      </x:c>
      <x:c r="P2712" s="80" t="n">
        <x:v>263.3651000952334</x:v>
      </x:c>
      <x:c r="Q2712" s="81" t="n">
        <x:v>171.20673034042758</x:v>
      </x:c>
      <x:c r="R2712" s="81" t="n">
        <x:v>31.856779864406953</x:v>
      </x:c>
      <x:c r="S2712" s="81" t="n">
        <x:v>0.0000014400839500989502</x:v>
      </x:c>
      <x:c r="T2712" s="81" t="n">
        <x:v>2.4189650205490587e-11</x:v>
      </x:c>
    </x:row>
    <x:row r="2713">
      <x:c r="A2713" s="59" t="n">
        <x:v>2710</x:v>
      </x:c>
      <x:c r="B2713" s="193" t="n">
        <x:v>0.9511540781706571</x:v>
      </x:c>
      <x:c r="C2713" s="83" t="n">
        <x:v>0.1968382219595831</x:v>
      </x:c>
      <x:c r="D2713" s="83" t="n">
        <x:v>1.6549905921968413</x:v>
      </x:c>
      <x:c r="E2713" s="81" t="n">
        <x:v>-0.042947079902719</x:v>
      </x:c>
      <x:c r="F2713" s="81" t="n">
        <x:v>0.628784103365615</x:v>
      </x:c>
      <x:c r="G2713" s="81" t="n">
        <x:v>-0.010986546319782737</x:v>
      </x:c>
      <x:c r="H2713" s="59" t="n">
        <x:v>0</x:v>
      </x:c>
      <x:c r="I2713" s="81" t="n">
        <x:v>0</x:v>
      </x:c>
      <x:c r="J2713" s="79" t="n">
        <x:v>4.014125982860154e-33</x:v>
      </x:c>
      <x:c r="K2713" s="81" t="n">
        <x:v>-1</x:v>
      </x:c>
      <x:c r="L2713" s="81" t="n">
        <x:v>-1</x:v>
      </x:c>
      <x:c r="M2713" s="80" t="n">
        <x:v>0.000002</x:v>
      </x:c>
      <x:c r="N2713" s="82" t="n">
        <x:v>0.32867648555921614</x:v>
      </x:c>
      <x:c r="O2713" s="82" t="n">
        <x:v>0.19522756158485785</x:v>
      </x:c>
      <x:c r="P2713" s="80" t="n">
        <x:v>423.95444207142754</x:v>
      </x:c>
      <x:c r="Q2713" s="81" t="n">
        <x:v>12221722951618968</x:v>
      </x:c>
      <x:c r="R2713" s="81" t="n">
        <x:v>9.717147998122746</x:v>
      </x:c>
      <x:c r="S2713" s="81" t="n">
        <x:v>1.0589877702125493e-9</x:v>
      </x:c>
      <x:c r="T2713" s="81" t="n">
        <x:v>8.695473250558031e-29</x:v>
      </x:c>
    </x:row>
    <x:row r="2714">
      <x:c r="A2714" s="59" t="n">
        <x:v>2711</x:v>
      </x:c>
      <x:c r="B2714" s="193" t="n">
        <x:v>0.6974096579477191</x:v>
      </x:c>
      <x:c r="C2714" s="83" t="n">
        <x:v>1.4629176291445427</x:v>
      </x:c>
      <x:c r="D2714" s="83" t="n">
        <x:v>0.3759935179727845</x:v>
      </x:c>
      <x:c r="E2714" s="81" t="n">
        <x:v>-0.05569453868349247</x:v>
      </x:c>
      <x:c r="F2714" s="81" t="n">
        <x:v>0.6714356845594012</x:v>
      </x:c>
      <x:c r="G2714" s="81" t="n">
        <x:v>0.007908289809443421</x:v>
      </x:c>
      <x:c r="H2714" s="59" t="n">
        <x:v>0</x:v>
      </x:c>
      <x:c r="I2714" s="81" t="n">
        <x:v>0</x:v>
      </x:c>
      <x:c r="J2714" s="79" t="n">
        <x:v>6.7167253638891326e-18</x:v>
      </x:c>
      <x:c r="K2714" s="81" t="n">
        <x:v>-0.9999999999999923</x:v>
      </x:c>
      <x:c r="L2714" s="81" t="n">
        <x:v>-0.9999999999999923</x:v>
      </x:c>
      <x:c r="M2714" s="80" t="n">
        <x:v>0.0011317812638600671</x:v>
      </x:c>
      <x:c r="N2714" s="82" t="n">
        <x:v>0.2682298069542334</x:v>
      </x:c>
      <x:c r="O2714" s="82" t="n">
        <x:v>0.17013058592570324</x:v>
      </x:c>
      <x:c r="P2714" s="80" t="n">
        <x:v>551.1672400800469</x:v>
      </x:c>
      <x:c r="Q2714" s="81" t="n">
        <x:v>3226.2243201628553</x:v>
      </x:c>
      <x:c r="R2714" s="81" t="n">
        <x:v>4.041027208688418</x:v>
      </x:c>
      <x:c r="S2714" s="81" t="n">
        <x:v>8.709018927534794e-8</x:v>
      </x:c>
      <x:c r="T2714" s="81" t="n">
        <x:v>1.4549893546546755e-13</x:v>
      </x:c>
    </x:row>
    <x:row r="2715">
      <x:c r="A2715" s="59" t="n">
        <x:v>2712</x:v>
      </x:c>
      <x:c r="B2715" s="193" t="n">
        <x:v>0.48614932354539636</x:v>
      </x:c>
      <x:c r="C2715" s="83" t="n">
        <x:v>0.7015720313583879</x:v>
      </x:c>
      <x:c r="D2715" s="83" t="n">
        <x:v>0.45848555490221743</x:v>
      </x:c>
      <x:c r="E2715" s="81" t="n">
        <x:v>-0.04089835569599462</x:v>
      </x:c>
      <x:c r="F2715" s="81" t="n">
        <x:v>0.6296295377891511</x:v>
      </x:c>
      <x:c r="G2715" s="81" t="n">
        <x:v>-0.03834940494053498</x:v>
      </x:c>
      <x:c r="H2715" s="59" t="n">
        <x:v>0</x:v>
      </x:c>
      <x:c r="I2715" s="81" t="n">
        <x:v>0</x:v>
      </x:c>
      <x:c r="J2715" s="79" t="n">
        <x:v>9.430540747852713e-14</x:v>
      </x:c>
      <x:c r="K2715" s="81" t="n">
        <x:v>-0.9999999998922224</x:v>
      </x:c>
      <x:c r="L2715" s="81" t="n">
        <x:v>-0.9999999998922224</x:v>
      </x:c>
      <x:c r="M2715" s="80" t="n">
        <x:v>0.09137623503452784</x:v>
      </x:c>
      <x:c r="N2715" s="82" t="n">
        <x:v>0.21790363416832992</x:v>
      </x:c>
      <x:c r="O2715" s="82" t="n">
        <x:v>0.12960462778274784</x:v>
      </x:c>
      <x:c r="P2715" s="80" t="n">
        <x:v>484.4428305152586</x:v>
      </x:c>
      <x:c r="Q2715" s="81" t="n">
        <x:v>24.903073519474198</x:v>
      </x:c>
      <x:c r="R2715" s="81" t="n">
        <x:v>8.430452856762916</x:v>
      </x:c>
      <x:c r="S2715" s="81" t="n">
        <x:v>0.000006858431040534272</x:v>
      </x:c>
      <x:c r="T2715" s="81" t="n">
        <x:v>2.0428610153591103e-9</x:v>
      </x:c>
    </x:row>
    <x:row r="2716">
      <x:c r="A2716" s="59" t="n">
        <x:v>2713</x:v>
      </x:c>
      <x:c r="B2716" s="193" t="n">
        <x:v>0.28239295743405823</x:v>
      </x:c>
      <x:c r="C2716" s="83" t="n">
        <x:v>1.0719544265203174</x:v>
      </x:c>
      <x:c r="D2716" s="83" t="n">
        <x:v>1.1690301879425353</x:v>
      </x:c>
      <x:c r="E2716" s="81" t="n">
        <x:v>-0.13976876149808046</x:v>
      </x:c>
      <x:c r="F2716" s="81" t="n">
        <x:v>0.4096765569294803</x:v>
      </x:c>
      <x:c r="G2716" s="81" t="n">
        <x:v>0.02408323782743633</x:v>
      </x:c>
      <x:c r="H2716" s="59" t="n">
        <x:v>79</x:v>
      </x:c>
      <x:c r="I2716" s="81" t="n">
        <x:v>0.40187168885022406</x:v>
      </x:c>
      <x:c r="J2716" s="79" t="n">
        <x:v>2.9722892653010237e-64</x:v>
      </x:c>
      <x:c r="K2716" s="81" t="n">
        <x:v>-1</x:v>
      </x:c>
      <x:c r="L2716" s="81" t="n">
        <x:v>-1</x:v>
      </x:c>
      <x:c r="M2716" s="80" t="n">
        <x:v>0.000002</x:v>
      </x:c>
      <x:c r="N2716" s="82" t="n">
        <x:v>0.16936504732874452</x:v>
      </x:c>
      <x:c r="O2716" s="82" t="n">
        <x:v>0.06554443777560542</x:v>
      </x:c>
      <x:c r="P2716" s="80" t="n">
        <x:v>294.95967028190285</x:v>
      </x:c>
      <x:c r="Q2716" s="81" t="n">
        <x:v>5.542559461191924e+46</x:v>
      </x:c>
      <x:c r="R2716" s="81" t="n">
        <x:v>1.1312373697831326</x:v>
      </x:c>
      <x:c r="S2716" s="81" t="n">
        <x:v>6.602300219154896e-10</x:v>
      </x:c>
      <x:c r="T2716" s="81" t="n">
        <x:v>6.438627464534725e-60</x:v>
      </x:c>
    </x:row>
    <x:row r="2717">
      <x:c r="A2717" s="59" t="n">
        <x:v>2714</x:v>
      </x:c>
      <x:c r="B2717" s="193" t="n">
        <x:v>0.7042984833940864</x:v>
      </x:c>
      <x:c r="C2717" s="83" t="n">
        <x:v>0.10615950676161896</x:v>
      </x:c>
      <x:c r="D2717" s="83" t="n">
        <x:v>1.0297784038317483</x:v>
      </x:c>
      <x:c r="E2717" s="81" t="n">
        <x:v>0.060828462189172504</x:v>
      </x:c>
      <x:c r="F2717" s="81" t="n">
        <x:v>0.45239041676977654</x:v>
      </x:c>
      <x:c r="G2717" s="81" t="n">
        <x:v>-0.036908859638317394</x:v>
      </x:c>
      <x:c r="H2717" s="59" t="n">
        <x:v>0</x:v>
      </x:c>
      <x:c r="I2717" s="81" t="n">
        <x:v>0</x:v>
      </x:c>
      <x:c r="J2717" s="79" t="n">
        <x:v>0.0007448922522070299</x:v>
      </x:c>
      <x:c r="K2717" s="81" t="n">
        <x:v>-0.14869456890625143</x:v>
      </x:c>
      <x:c r="L2717" s="81" t="n">
        <x:v>-0.8147749951763043</x:v>
      </x:c>
      <x:c r="M2717" s="80" t="n">
        <x:v>6227.423690317804</x:v>
      </x:c>
      <x:c r="N2717" s="82" t="n">
        <x:v>0.26987085434103497</x:v>
      </x:c>
      <x:c r="O2717" s="82" t="n">
        <x:v>0.11532947690513635</x:v>
      </x:c>
      <x:c r="P2717" s="80" t="n">
        <x:v>12408.426437820357</x:v>
      </x:c>
      <x:c r="Q2717" s="81" t="n">
        <x:v>0.004389263494027112</x:v>
      </x:c>
      <x:c r="R2717" s="81" t="n">
        <x:v>647.9859948988737</x:v>
      </x:c>
      <x:c r="S2717" s="81" t="n">
        <x:v>131.98099659979812</x:v>
      </x:c>
      <x:c r="T2717" s="81" t="n">
        <x:v>16.13599244585496</x:v>
      </x:c>
    </x:row>
    <x:row r="2718">
      <x:c r="A2718" s="59" t="n">
        <x:v>2715</x:v>
      </x:c>
      <x:c r="B2718" s="193" t="n">
        <x:v>0.7970979671925307</x:v>
      </x:c>
      <x:c r="C2718" s="83" t="n">
        <x:v>2.256825989963338</x:v>
      </x:c>
      <x:c r="D2718" s="83" t="n">
        <x:v>0.6607287470885659</x:v>
      </x:c>
      <x:c r="E2718" s="81" t="n">
        <x:v>0.09043591413031951</x:v>
      </x:c>
      <x:c r="F2718" s="81" t="n">
        <x:v>0.8964917876874097</x:v>
      </x:c>
      <x:c r="G2718" s="81" t="n">
        <x:v>0.03220353303802677</x:v>
      </x:c>
      <x:c r="H2718" s="59" t="n">
        <x:v>83</x:v>
      </x:c>
      <x:c r="I2718" s="81" t="n">
        <x:v>0.118366520665586</x:v>
      </x:c>
      <x:c r="J2718" s="79" t="n">
        <x:v>0.0065615249334986985</x:v>
      </x:c>
      <x:c r="K2718" s="81" t="n">
        <x:v>6.498885638284228</x:v>
      </x:c>
      <x:c r="L2718" s="81" t="n">
        <x:v>-0.754421492342564</x:v>
      </x:c>
      <x:c r="M2718" s="80" t="n">
        <x:v>58695.496198914574</x:v>
      </x:c>
      <x:c r="N2718" s="82" t="n">
        <x:v>0.29197743137214555</x:v>
      </x:c>
      <x:c r="O2718" s="82" t="n">
        <x:v>0.24726721708591826</x:v>
      </x:c>
      <x:c r="P2718" s="80" t="n">
        <x:v>72689.95282130691</x:v>
      </x:c>
      <x:c r="Q2718" s="81" t="n">
        <x:v>0.006894524399034827</x:v>
      </x:c>
      <x:c r="R2718" s="81" t="n">
        <x:v>47.089951334887814</x:v>
      </x:c>
      <x:c r="S2718" s="81" t="n">
        <x:v>62.208446587562456</x:v>
      </x:c>
      <x:c r="T2718" s="81" t="n">
        <x:v>142.13695530665467</x:v>
      </x:c>
    </x:row>
    <x:row r="2719">
      <x:c r="A2719" s="59" t="n">
        <x:v>2716</x:v>
      </x:c>
      <x:c r="B2719" s="193" t="n">
        <x:v>0.7089312506839633</x:v>
      </x:c>
      <x:c r="C2719" s="83" t="n">
        <x:v>1.323809623662119</x:v>
      </x:c>
      <x:c r="D2719" s="83" t="n">
        <x:v>0.3723296229665817</x:v>
      </x:c>
      <x:c r="E2719" s="81" t="n">
        <x:v>-0.05614174938028202</x:v>
      </x:c>
      <x:c r="F2719" s="81" t="n">
        <x:v>0.2922927866340615</x:v>
      </x:c>
      <x:c r="G2719" s="81" t="n">
        <x:v>0.0013599423801764039</x:v>
      </x:c>
      <x:c r="H2719" s="59" t="n">
        <x:v>0</x:v>
      </x:c>
      <x:c r="I2719" s="81" t="n">
        <x:v>0</x:v>
      </x:c>
      <x:c r="J2719" s="79" t="n">
        <x:v>4.231066946993958e-17</x:v>
      </x:c>
      <x:c r="K2719" s="81" t="n">
        <x:v>-0.9999999999999516</x:v>
      </x:c>
      <x:c r="L2719" s="81" t="n">
        <x:v>-0.9999999999999516</x:v>
      </x:c>
      <x:c r="M2719" s="80" t="n">
        <x:v>0.002673063088229247</x:v>
      </x:c>
      <x:c r="N2719" s="82" t="n">
        <x:v>0.27097446637387024</x:v>
      </x:c>
      <x:c r="O2719" s="82" t="n">
        <x:v>0.07481994925028759</x:v>
      </x:c>
      <x:c r="P2719" s="80" t="n">
        <x:v>575.2771643021842</x:v>
      </x:c>
      <x:c r="Q2719" s="81" t="n">
        <x:v>1200.4923026780464</x:v>
      </x:c>
      <x:c r="R2719" s="81" t="n">
        <x:v>5.026315239167007</x:v>
      </x:c>
      <x:c r="S2719" s="81" t="n">
        <x:v>1.9874353904801432e-7</x:v>
      </x:c>
      <x:c r="T2719" s="81" t="n">
        <x:v>9.165414741839194e-13</x:v>
      </x:c>
    </x:row>
    <x:row r="2720">
      <x:c r="A2720" s="59" t="n">
        <x:v>2717</x:v>
      </x:c>
      <x:c r="B2720" s="193" t="n">
        <x:v>0.3249769665300846</x:v>
      </x:c>
      <x:c r="C2720" s="83" t="n">
        <x:v>0.5401174071683441</x:v>
      </x:c>
      <x:c r="D2720" s="83" t="n">
        <x:v>1.367767693096452</x:v>
      </x:c>
      <x:c r="E2720" s="81" t="n">
        <x:v>0.06327801075250128</x:v>
      </x:c>
      <x:c r="F2720" s="81" t="n">
        <x:v>0.2925812978763133</x:v>
      </x:c>
      <x:c r="G2720" s="81" t="n">
        <x:v>0.014882115192171301</x:v>
      </x:c>
      <x:c r="H2720" s="59" t="n">
        <x:v>76</x:v>
      </x:c>
      <x:c r="I2720" s="81" t="n">
        <x:v>0.1561975819990039</x:v>
      </x:c>
      <x:c r="J2720" s="79" t="n">
        <x:v>0.055374274547269446</x:v>
      </x:c>
      <x:c r="K2720" s="81" t="n">
        <x:v>62.28488519687937</x:v>
      </x:c>
      <x:c r="L2720" s="81" t="n">
        <x:v>-0.9179234517008265</x:v>
      </x:c>
      <x:c r="M2720" s="80" t="n">
        <x:v>86221.42987158944</x:v>
      </x:c>
      <x:c r="N2720" s="82" t="n">
        <x:v>0.17950935674558854</x:v>
      </x:c>
      <x:c r="O2720" s="82" t="n">
        <x:v>0.04961404024595471</x:v>
      </x:c>
      <x:c r="P2720" s="80" t="n">
        <x:v>190508.8607386021</x:v>
      </x:c>
      <x:c r="Q2720" s="81" t="n">
        <x:v>0.0021379227339786925</x:v>
      </x:c>
      <x:c r="R2720" s="81" t="n">
        <x:v>1220.8177858267657</x:v>
      </x:c>
      <x:c r="S2720" s="81" t="n">
        <x:v>1945.6979983230453</x:v>
      </x:c>
      <x:c r="T2720" s="81" t="n">
        <x:v>1199.527680872025</x:v>
      </x:c>
    </x:row>
    <x:row r="2721">
      <x:c r="A2721" s="59" t="n">
        <x:v>2718</x:v>
      </x:c>
      <x:c r="B2721" s="193" t="n">
        <x:v>0.7469475680962205</x:v>
      </x:c>
      <x:c r="C2721" s="83" t="n">
        <x:v>2.319239940137804</x:v>
      </x:c>
      <x:c r="D2721" s="83" t="n">
        <x:v>0.5497595390809661</x:v>
      </x:c>
      <x:c r="E2721" s="81" t="n">
        <x:v>0.2</x:v>
      </x:c>
      <x:c r="F2721" s="81" t="n">
        <x:v>0.6702150613768026</x:v>
      </x:c>
      <x:c r="G2721" s="81" t="n">
        <x:v>0.02831363713204196</x:v>
      </x:c>
      <x:c r="H2721" s="59" t="n">
        <x:v>0</x:v>
      </x:c>
      <x:c r="I2721" s="81" t="n">
        <x:v>0</x:v>
      </x:c>
      <x:c r="J2721" s="79" t="n">
        <x:v>0.04715871830279268</x:v>
      </x:c>
      <x:c r="K2721" s="81" t="n">
        <x:v>52.8956780603345</x:v>
      </x:c>
      <x:c r="L2721" s="81" t="n">
        <x:v>-0.7197354828641356</x:v>
      </x:c>
      <x:c r="M2721" s="80" t="n">
        <x:v>190615.48699198797</x:v>
      </x:c>
      <x:c r="N2721" s="82" t="n">
        <x:v>0.28003066598742155</x:v>
      </x:c>
      <x:c r="O2721" s="82" t="n">
        <x:v>0.17729264465589528</x:v>
      </x:c>
      <x:c r="P2721" s="80" t="n">
        <x:v>181291.91019079363</x:v>
      </x:c>
      <x:c r="Q2721" s="81" t="n">
        <x:v>0.0025972589506289504</x:v>
      </x:c>
      <x:c r="R2721" s="81" t="n">
        <x:v>237.97684443952411</x:v>
      </x:c>
      <x:c r="S2721" s="81" t="n">
        <x:v>399.81990138824705</x:v>
      </x:c>
      <x:c r="T2721" s="81" t="n">
        <x:v>1021.5607962567061</x:v>
      </x:c>
    </x:row>
    <x:row r="2722">
      <x:c r="A2722" s="59" t="n">
        <x:v>2719</x:v>
      </x:c>
      <x:c r="B2722" s="193" t="n">
        <x:v>0.39425711501389743</x:v>
      </x:c>
      <x:c r="C2722" s="83" t="n">
        <x:v>0.9533599262217574</x:v>
      </x:c>
      <x:c r="D2722" s="83" t="n">
        <x:v>0.5947873215484283</x:v>
      </x:c>
      <x:c r="E2722" s="81" t="n">
        <x:v>0.009461043518551163</x:v>
      </x:c>
      <x:c r="F2722" s="81" t="n">
        <x:v>0.4462901504361071</x:v>
      </x:c>
      <x:c r="G2722" s="81" t="n">
        <x:v>0.01981372408842315</x:v>
      </x:c>
      <x:c r="H2722" s="59" t="n">
        <x:v>69</x:v>
      </x:c>
      <x:c r="I2722" s="81" t="n">
        <x:v>0.36072983788326385</x:v>
      </x:c>
      <x:c r="J2722" s="79" t="n">
        <x:v>0.00010008965738148751</x:v>
      </x:c>
      <x:c r="K2722" s="81" t="n">
        <x:v>-0.8856118201354428</x:v>
      </x:c>
      <x:c r="L2722" s="81" t="n">
        <x:v>-0.9103003915994381</x:v>
      </x:c>
      <x:c r="M2722" s="80" t="n">
        <x:v>3405.6902631175963</x:v>
      </x:c>
      <x:c r="N2722" s="82" t="n">
        <x:v>0.196013187117217</x:v>
      </x:c>
      <x:c r="O2722" s="82" t="n">
        <x:v>0.08263680815204588</x:v>
      </x:c>
      <x:c r="P2722" s="80" t="n">
        <x:v>5829.945232611304</x:v>
      </x:c>
      <x:c r="Q2722" s="81" t="n">
        <x:v>0.0161694523002259</x:v>
      </x:c>
      <x:c r="R2722" s="81" t="n">
        <x:v>19.06308479458246</x:v>
      </x:c>
      <x:c r="S2722" s="81" t="n">
        <x:v>2.5302532213282207</x:v>
      </x:c>
      <x:c r="T2722" s="81" t="n">
        <x:v>2.168160496542551</x:v>
      </x:c>
    </x:row>
    <x:row r="2723">
      <x:c r="A2723" s="59" t="n">
        <x:v>2720</x:v>
      </x:c>
      <x:c r="B2723" s="193" t="n">
        <x:v>0.4200139403343201</x:v>
      </x:c>
      <x:c r="C2723" s="83" t="n">
        <x:v>2.108155724231954</x:v>
      </x:c>
      <x:c r="D2723" s="83" t="n">
        <x:v>1.1692288046952468</x:v>
      </x:c>
      <x:c r="E2723" s="81" t="n">
        <x:v>0.05326957187723103</x:v>
      </x:c>
      <x:c r="F2723" s="81" t="n">
        <x:v>0.3009964827564545</x:v>
      </x:c>
      <x:c r="G2723" s="81" t="n">
        <x:v>-0.006100331411303285</x:v>
      </x:c>
      <x:c r="H2723" s="59" t="n">
        <x:v>0</x:v>
      </x:c>
      <x:c r="I2723" s="81" t="n">
        <x:v>0</x:v>
      </x:c>
      <x:c r="J2723" s="79" t="n">
        <x:v>0.048921931971235295</x:v>
      </x:c>
      <x:c r="K2723" s="81" t="n">
        <x:v>54.91077939569749</x:v>
      </x:c>
      <x:c r="L2723" s="81" t="n">
        <x:v>-0.507163830757406</x:v>
      </x:c>
      <x:c r="M2723" s="80" t="n">
        <x:v>146002.15389705685</x:v>
      </x:c>
      <x:c r="N2723" s="82" t="n">
        <x:v>0.2021489458490164</x:v>
      </x:c>
      <x:c r="O2723" s="82" t="n">
        <x:v>0.05747829057043356</x:v>
      </x:c>
      <x:c r="P2723" s="80" t="n">
        <x:v>288305.3513493974</x:v>
      </x:c>
      <x:c r="Q2723" s="81" t="n">
        <x:v>0.002844254008782268</x:v>
      </x:c>
      <x:c r="R2723" s="81" t="n">
        <x:v>259.88999730473205</x:v>
      </x:c>
      <x:c r="S2723" s="81" t="n">
        <x:v>454.2306111766099</x:v>
      </x:c>
      <x:c r="T2723" s="81" t="n">
        <x:v>1059.7558537970692</x:v>
      </x:c>
    </x:row>
    <x:row r="2724">
      <x:c r="A2724" s="59" t="n">
        <x:v>2721</x:v>
      </x:c>
      <x:c r="B2724" s="193" t="n">
        <x:v>0.9663506481796504</x:v>
      </x:c>
      <x:c r="C2724" s="83" t="n">
        <x:v>0.9792369365724743</x:v>
      </x:c>
      <x:c r="D2724" s="83" t="n">
        <x:v>0.9842132690495594</x:v>
      </x:c>
      <x:c r="E2724" s="81" t="n">
        <x:v>0.016089454274637233</x:v>
      </x:c>
      <x:c r="F2724" s="81" t="n">
        <x:v>0.8382978311507031</x:v>
      </x:c>
      <x:c r="G2724" s="81" t="n">
        <x:v>0.005903032782914023</x:v>
      </x:c>
      <x:c r="H2724" s="59" t="n">
        <x:v>0</x:v>
      </x:c>
      <x:c r="I2724" s="81" t="n">
        <x:v>0</x:v>
      </x:c>
      <x:c r="J2724" s="79" t="n">
        <x:v>0.00006726626809644546</x:v>
      </x:c>
      <x:c r="K2724" s="81" t="n">
        <x:v>-0.9231242650326338</x:v>
      </x:c>
      <x:c r="L2724" s="81" t="n">
        <x:v>-0.9453668667965343</x:v>
      </x:c>
      <x:c r="M2724" s="80" t="n">
        <x:v>2951.842238597921</x:v>
      </x:c>
      <x:c r="N2724" s="82" t="n">
        <x:v>0.3322965934710463</x:v>
      </x:c>
      <x:c r="O2724" s="82" t="n">
        <x:v>0.2631450309684475</x:v>
      </x:c>
      <x:c r="P2724" s="80" t="n">
        <x:v>7283.0656519993</x:v>
      </x:c>
      <x:c r="Q2724" s="81" t="n">
        <x:v>0.03260482577561592</x:v>
      </x:c>
      <x:c r="R2724" s="81" t="n">
        <x:v>15.371649254646922</x:v>
      </x:c>
      <x:c r="S2724" s="81" t="n">
        <x:v>1.9757718685223518</x:v>
      </x:c>
      <x:c r="T2724" s="81" t="n">
        <x:v>1.4571342239755607</x:v>
      </x:c>
    </x:row>
    <x:row r="2725">
      <x:c r="A2725" s="59" t="n">
        <x:v>2722</x:v>
      </x:c>
      <x:c r="B2725" s="193" t="n">
        <x:v>0.8705222018063068</x:v>
      </x:c>
      <x:c r="C2725" s="83" t="n">
        <x:v>1.9667186063555944</x:v>
      </x:c>
      <x:c r="D2725" s="83" t="n">
        <x:v>0.44710760102801533</x:v>
      </x:c>
      <x:c r="E2725" s="81" t="n">
        <x:v>0.04029497123173892</x:v>
      </x:c>
      <x:c r="F2725" s="81" t="n">
        <x:v>0.3009961876436137</x:v>
      </x:c>
      <x:c r="G2725" s="81" t="n">
        <x:v>-0.02688409797706245</x:v>
      </x:c>
      <x:c r="H2725" s="59" t="n">
        <x:v>0</x:v>
      </x:c>
      <x:c r="I2725" s="81" t="n">
        <x:v>0</x:v>
      </x:c>
      <x:c r="J2725" s="79" t="n">
        <x:v>0.000837428532120985</x:v>
      </x:c>
      <x:c r="K2725" s="81" t="n">
        <x:v>-0.042938820433159997</x:v>
      </x:c>
      <x:c r="L2725" s="81" t="n">
        <x:v>-0.6154638695157283</x:v>
      </x:c>
      <x:c r="M2725" s="80" t="n">
        <x:v>15484.977431392153</x:v>
      </x:c>
      <x:c r="N2725" s="82" t="n">
        <x:v>0.3094684607615459</x:v>
      </x:c>
      <x:c r="O2725" s="82" t="n">
        <x:v>0.08799304193900996</x:v>
      </x:c>
      <x:c r="P2725" s="80" t="n">
        <x:v>14648.98250853761</x:v>
      </x:c>
      <x:c r="Q2725" s="81" t="n">
        <x:v>0.004686333447776787</x:v>
      </x:c>
      <x:c r="R2725" s="81" t="n">
        <x:v>19.998483755550655</x:v>
      </x:c>
      <x:c r="S2725" s="81" t="n">
        <x:v>8.668860957270121</x:v>
      </x:c>
      <x:c r="T2725" s="81" t="n">
        <x:v>18.140530295772205</x:v>
      </x:c>
    </x:row>
    <x:row r="2726">
      <x:c r="A2726" s="59" t="n">
        <x:v>2723</x:v>
      </x:c>
      <x:c r="B2726" s="193" t="n">
        <x:v>0.3233587384223938</x:v>
      </x:c>
      <x:c r="C2726" s="83" t="n">
        <x:v>1.0424637095706721</x:v>
      </x:c>
      <x:c r="D2726" s="83" t="n">
        <x:v>0.3404192085919753</x:v>
      </x:c>
      <x:c r="E2726" s="81" t="n">
        <x:v>0.06861541084425535</x:v>
      </x:c>
      <x:c r="F2726" s="81" t="n">
        <x:v>0.502579432958737</x:v>
      </x:c>
      <x:c r="G2726" s="81" t="n">
        <x:v>-0.03531964270314308</x:v>
      </x:c>
      <x:c r="H2726" s="59" t="n">
        <x:v>74</x:v>
      </x:c>
      <x:c r="I2726" s="81" t="n">
        <x:v>0.4212600476108491</x:v>
      </x:c>
      <x:c r="J2726" s="79" t="n">
        <x:v>0.0005985088096302893</x:v>
      </x:c>
      <x:c r="K2726" s="81" t="n">
        <x:v>-0.3159899318510978</x:v>
      </x:c>
      <x:c r="L2726" s="81" t="n">
        <x:v>-0.8188615887305051</x:v>
      </x:c>
      <x:c r="M2726" s="80" t="n">
        <x:v>9147.228002272244</x:v>
      </x:c>
      <x:c r="N2726" s="82" t="n">
        <x:v>0.17912386446855966</x:v>
      </x:c>
      <x:c r="O2726" s="82" t="n">
        <x:v>0.08504114601551822</x:v>
      </x:c>
      <x:c r="P2726" s="80" t="n">
        <x:v>6657.12915028126</x:v>
      </x:c>
      <x:c r="Q2726" s="81" t="n">
        <x:v>0.0028123431485285602</x:v>
      </x:c>
      <x:c r="R2726" s="81" t="n">
        <x:v>39.517437884454814</x:v>
      </x:c>
      <x:c r="S2726" s="81" t="n">
        <x:v>11.120603359580835</x:v>
      </x:c>
      <x:c r="T2726" s="81" t="n">
        <x:v>12.965007492503554</x:v>
      </x:c>
    </x:row>
    <x:row r="2727">
      <x:c r="A2727" s="59" t="n">
        <x:v>2724</x:v>
      </x:c>
      <x:c r="B2727" s="193" t="n">
        <x:v>0.9936099136248231</x:v>
      </x:c>
      <x:c r="C2727" s="83" t="n">
        <x:v>0.14038497269827505</x:v>
      </x:c>
      <x:c r="D2727" s="83" t="n">
        <x:v>0.9169385340210872</x:v>
      </x:c>
      <x:c r="E2727" s="81" t="n">
        <x:v>-0.04114432400630475</x:v>
      </x:c>
      <x:c r="F2727" s="81" t="n">
        <x:v>0.3003033978398889</x:v>
      </x:c>
      <x:c r="G2727" s="81" t="n">
        <x:v>0.03200864441108691</x:v>
      </x:c>
      <x:c r="H2727" s="59" t="n">
        <x:v>0</x:v>
      </x:c>
      <x:c r="I2727" s="81" t="n">
        <x:v>0</x:v>
      </x:c>
      <x:c r="J2727" s="79" t="n">
        <x:v>2.664221231519333e-27</x:v>
      </x:c>
      <x:c r="K2727" s="81" t="n">
        <x:v>-1</x:v>
      </x:c>
      <x:c r="L2727" s="81" t="n">
        <x:v>-1</x:v>
      </x:c>
      <x:c r="M2727" s="80" t="n">
        <x:v>0.000002</x:v>
      </x:c>
      <x:c r="N2727" s="82" t="n">
        <x:v>0.33879026161131354</x:v>
      </x:c>
      <x:c r="O2727" s="82" t="n">
        <x:v>0.09610856795792001</x:v>
      </x:c>
      <x:c r="P2727" s="80" t="n">
        <x:v>390.7547807667424</x:v>
      </x:c>
      <x:c r="Q2727" s="81" t="n">
        <x:v>19187814915.045597</x:v>
      </x:c>
      <x:c r="R2727" s="81" t="n">
        <x:v>24.53840949993643</x:v>
      </x:c>
      <x:c r="S2727" s="81" t="n">
        <x:v>1.0334118123866157e-9</x:v>
      </x:c>
      <x:c r="T2727" s="81" t="n">
        <x:v>5.77128484535963e-23</x:v>
      </x:c>
    </x:row>
    <x:row r="2728">
      <x:c r="A2728" s="59" t="n">
        <x:v>2725</x:v>
      </x:c>
      <x:c r="B2728" s="193" t="n">
        <x:v>0.34663010351359846</x:v>
      </x:c>
      <x:c r="C2728" s="83" t="n">
        <x:v>0.22757006213826686</x:v>
      </x:c>
      <x:c r="D2728" s="83" t="n">
        <x:v>0.9863708919471016</x:v>
      </x:c>
      <x:c r="E2728" s="81" t="n">
        <x:v>-0.04314198251936631</x:v>
      </x:c>
      <x:c r="F2728" s="81" t="n">
        <x:v>0.5675715577439405</x:v>
      </x:c>
      <x:c r="G2728" s="81" t="n">
        <x:v>-0.023836391595402507</x:v>
      </x:c>
      <x:c r="H2728" s="59" t="n">
        <x:v>0</x:v>
      </x:c>
      <x:c r="I2728" s="81" t="n">
        <x:v>0</x:v>
      </x:c>
      <x:c r="J2728" s="79" t="n">
        <x:v>1.1962683445894553e-24</x:v>
      </x:c>
      <x:c r="K2728" s="81" t="n">
        <x:v>-1</x:v>
      </x:c>
      <x:c r="L2728" s="81" t="n">
        <x:v>-1</x:v>
      </x:c>
      <x:c r="M2728" s="80" t="n">
        <x:v>0.000002</x:v>
      </x:c>
      <x:c r="N2728" s="82" t="n">
        <x:v>0.18466753997138</x:v>
      </x:c>
      <x:c r="O2728" s="82" t="n">
        <x:v>0.09901069967842277</x:v>
      </x:c>
      <x:c r="P2728" s="80" t="n">
        <x:v>412.89799268498444</x:v>
      </x:c>
      <x:c r="Q2728" s="81" t="n">
        <x:v>40832833.355190195</x:v>
      </x:c>
      <x:c r="R2728" s="81" t="n">
        <x:v>14.265982490133089</x:v>
      </x:c>
      <x:c r="S2728" s="81" t="n">
        <x:v>5.248354849635642e-10</x:v>
      </x:c>
      <x:c r="T2728" s="81" t="n">
        <x:v>2.591378405979975e-20</x:v>
      </x:c>
    </x:row>
    <x:row r="2729">
      <x:c r="A2729" s="59" t="n">
        <x:v>2726</x:v>
      </x:c>
      <x:c r="B2729" s="193" t="n">
        <x:v>0.5717754479497672</x:v>
      </x:c>
      <x:c r="C2729" s="83" t="n">
        <x:v>0.38055846194155263</x:v>
      </x:c>
      <x:c r="D2729" s="83" t="n">
        <x:v>1.069941467070342</x:v>
      </x:c>
      <x:c r="E2729" s="81" t="n">
        <x:v>-0.182373451276376</x:v>
      </x:c>
      <x:c r="F2729" s="81" t="n">
        <x:v>0.8153139486792498</x:v>
      </x:c>
      <x:c r="G2729" s="81" t="n">
        <x:v>-0.022508810227872492</x:v>
      </x:c>
      <x:c r="H2729" s="59" t="n">
        <x:v>0</x:v>
      </x:c>
      <x:c r="I2729" s="81" t="n">
        <x:v>0</x:v>
      </x:c>
      <x:c r="J2729" s="79" t="n">
        <x:v>1.1971083121731237e-59</x:v>
      </x:c>
      <x:c r="K2729" s="81" t="n">
        <x:v>-1</x:v>
      </x:c>
      <x:c r="L2729" s="81" t="n">
        <x:v>-1</x:v>
      </x:c>
      <x:c r="M2729" s="80" t="n">
        <x:v>0.000002</x:v>
      </x:c>
      <x:c r="N2729" s="82" t="n">
        <x:v>0.23830138249128371</x:v>
      </x:c>
      <x:c r="O2729" s="82" t="n">
        <x:v>0.18353647068674947</x:v>
      </x:c>
      <x:c r="P2729" s="80" t="n">
        <x:v>154.8507330166127</x:v>
      </x:c>
      <x:c r="Q2729" s="81" t="n">
        <x:v>1.0940934233124175e+42</x:v>
      </x:c>
      <x:c r="R2729" s="81" t="n">
        <x:v>1.9903229090220622</x:v>
      </x:c>
      <x:c r="S2729" s="81" t="n">
        <x:v>5.146543955529644e-10</x:v>
      </x:c>
      <x:c r="T2729" s="81" t="n">
        <x:v>2.593197959149534e-55</x:v>
      </x:c>
    </x:row>
    <x:row r="2730">
      <x:c r="A2730" s="59" t="n">
        <x:v>2727</x:v>
      </x:c>
      <x:c r="B2730" s="193" t="n">
        <x:v>0.6422498950734734</x:v>
      </x:c>
      <x:c r="C2730" s="83" t="n">
        <x:v>1.44915564416817</x:v>
      </x:c>
      <x:c r="D2730" s="83" t="n">
        <x:v>0.9538535126149706</x:v>
      </x:c>
      <x:c r="E2730" s="81" t="n">
        <x:v>-0.03282697821611345</x:v>
      </x:c>
      <x:c r="F2730" s="81" t="n">
        <x:v>0.5327478526742198</x:v>
      </x:c>
      <x:c r="G2730" s="81" t="n">
        <x:v>-0.013192921644270853</x:v>
      </x:c>
      <x:c r="H2730" s="59" t="n">
        <x:v>0</x:v>
      </x:c>
      <x:c r="I2730" s="81" t="n">
        <x:v>0</x:v>
      </x:c>
      <x:c r="J2730" s="79" t="n">
        <x:v>8.930098012868533e-22</x:v>
      </x:c>
      <x:c r="K2730" s="81" t="n">
        <x:v>-1</x:v>
      </x:c>
      <x:c r="L2730" s="81" t="n">
        <x:v>-1</x:v>
      </x:c>
      <x:c r="M2730" s="80" t="n">
        <x:v>0.000013143782301847614</x:v>
      </x:c>
      <x:c r="N2730" s="82" t="n">
        <x:v>0.25508971719203394</x:v>
      </x:c>
      <x:c r="O2730" s="82" t="n">
        <x:v>0.1283765209748746</x:v>
      </x:c>
      <x:c r="P2730" s="80" t="n">
        <x:v>1061.5078380435205</x:v>
      </x:c>
      <x:c r="Q2730" s="81" t="n">
        <x:v>467762.7092799152</x:v>
      </x:c>
      <x:c r="R2730" s="81" t="n">
        <x:v>3.8113311885705414</x:v>
      </x:c>
      <x:c r="S2730" s="81" t="n">
        <x:v>2.008213363775513e-9</x:v>
      </x:c>
      <x:c r="T2730" s="81" t="n">
        <x:v>1.9344541931997705e-17</x:v>
      </x:c>
    </x:row>
    <x:row r="2731">
      <x:c r="A2731" s="59" t="n">
        <x:v>2728</x:v>
      </x:c>
      <x:c r="B2731" s="193" t="n">
        <x:v>0.2239402424544096</x:v>
      </x:c>
      <x:c r="C2731" s="83" t="n">
        <x:v>1.0487944902659825</x:v>
      </x:c>
      <x:c r="D2731" s="83" t="n">
        <x:v>1.1215070155941977</x:v>
      </x:c>
      <x:c r="E2731" s="81" t="n">
        <x:v>-0.03094692738983945</x:v>
      </x:c>
      <x:c r="F2731" s="81" t="n">
        <x:v>0.44669492630055174</x:v>
      </x:c>
      <x:c r="G2731" s="81" t="n">
        <x:v>-0.023781157748180154</x:v>
      </x:c>
      <x:c r="H2731" s="59" t="n">
        <x:v>60</x:v>
      </x:c>
      <x:c r="I2731" s="81" t="n">
        <x:v>0.31681464537978177</x:v>
      </x:c>
      <x:c r="J2731" s="79" t="n">
        <x:v>2.3929438185253147e-22</x:v>
      </x:c>
      <x:c r="K2731" s="81" t="n">
        <x:v>-1</x:v>
      </x:c>
      <x:c r="L2731" s="81" t="n">
        <x:v>-1</x:v>
      </x:c>
      <x:c r="M2731" s="80" t="n">
        <x:v>0.000005702295401454601</x:v>
      </x:c>
      <x:c r="N2731" s="82" t="n">
        <x:v>0.15544051463218636</x:v>
      </x:c>
      <x:c r="O2731" s="82" t="n">
        <x:v>0.06559129220342168</x:v>
      </x:c>
      <x:c r="P2731" s="80" t="n">
        <x:v>999.0112569407764</x:v>
      </x:c>
      <x:c r="Q2731" s="81" t="n">
        <x:v>801864.1270148979</x:v>
      </x:c>
      <x:c r="R2731" s="81" t="n">
        <x:v>4.937563652398775</x:v>
      </x:c>
      <x:c r="S2731" s="81" t="n">
        <x:v>1.0724276570130009e-9</x:v>
      </x:c>
      <x:c r="T2731" s="81" t="n">
        <x:v>5.183638743009521e-18</x:v>
      </x:c>
    </x:row>
    <x:row r="2732">
      <x:c r="A2732" s="59" t="n">
        <x:v>2729</x:v>
      </x:c>
      <x:c r="B2732" s="193" t="n">
        <x:v>0.6465899035334588</x:v>
      </x:c>
      <x:c r="C2732" s="83" t="n">
        <x:v>0.12446187502708901</x:v>
      </x:c>
      <x:c r="D2732" s="83" t="n">
        <x:v>0.9674124771843525</x:v>
      </x:c>
      <x:c r="E2732" s="81" t="n">
        <x:v>-0.0071981636527501305</x:v>
      </x:c>
      <x:c r="F2732" s="81" t="n">
        <x:v>0.7673444926622324</x:v>
      </x:c>
      <x:c r="G2732" s="81" t="n">
        <x:v>-0.011444442750918505</x:v>
      </x:c>
      <x:c r="H2732" s="59" t="n">
        <x:v>0</x:v>
      </x:c>
      <x:c r="I2732" s="81" t="n">
        <x:v>0</x:v>
      </x:c>
      <x:c r="J2732" s="79" t="n">
        <x:v>6.441310750754624e-10</x:v>
      </x:c>
      <x:c r="K2732" s="81" t="n">
        <x:v>-0.9999992638501999</x:v>
      </x:c>
      <x:c r="L2732" s="81" t="n">
        <x:v>-0.9999992638501999</x:v>
      </x:c>
      <x:c r="M2732" s="80" t="n">
        <x:v>4.9261786033888155</x:v>
      </x:c>
      <x:c r="N2732" s="82" t="n">
        <x:v>0.2561235885823611</x:v>
      </x:c>
      <x:c r="O2732" s="82" t="n">
        <x:v>0.1856568170301299</x:v>
      </x:c>
      <x:c r="P2732" s="80" t="n">
        <x:v>806.5851885292033</x:v>
      </x:c>
      <x:c r="Q2732" s="81" t="n">
        <x:v>1.0284904260154888</x:v>
      </x:c>
      <x:c r="R2732" s="81" t="n">
        <x:v>47.37269721699663</x:v>
      </x:c>
      <x:c r="S2732" s="81" t="n">
        <x:v>0.001729503270415239</x:v>
      </x:c>
      <x:c r="T2732" s="81" t="n">
        <x:v>0.000013953285365450876</x:v>
      </x:c>
    </x:row>
    <x:row r="2733">
      <x:c r="A2733" s="59" t="n">
        <x:v>2730</x:v>
      </x:c>
      <x:c r="B2733" s="193" t="n">
        <x:v>0.24808438569307328</x:v>
      </x:c>
      <x:c r="C2733" s="83" t="n">
        <x:v>1.009300953327686</x:v>
      </x:c>
      <x:c r="D2733" s="83" t="n">
        <x:v>0.9113401990694583</x:v>
      </x:c>
      <x:c r="E2733" s="81" t="n">
        <x:v>0.1059409333719996</x:v>
      </x:c>
      <x:c r="F2733" s="81" t="n">
        <x:v>0.860814261995256</x:v>
      </x:c>
      <x:c r="G2733" s="81" t="n">
        <x:v>-0.025616398484850464</x:v>
      </x:c>
      <x:c r="H2733" s="59" t="n">
        <x:v>0</x:v>
      </x:c>
      <x:c r="I2733" s="81" t="n">
        <x:v>0</x:v>
      </x:c>
      <x:c r="J2733" s="79" t="n">
        <x:v>0.006589742380713409</x:v>
      </x:c>
      <x:c r="K2733" s="81" t="n">
        <x:v>6.531134149386753</x:v>
      </x:c>
      <x:c r="L2733" s="81" t="n">
        <x:v>-0.7601442426155907</x:v>
      </x:c>
      <x:c r="M2733" s="80" t="n">
        <x:v>37475.40900630841</x:v>
      </x:c>
      <x:c r="N2733" s="82" t="n">
        <x:v>0.16119210225432185</x:v>
      </x:c>
      <x:c r="O2733" s="82" t="n">
        <x:v>0.1310762943562436</x:v>
      </x:c>
      <x:c r="P2733" s="80" t="n">
        <x:v>58119.890119656484</x:v>
      </x:c>
      <x:c r="Q2733" s="81" t="n">
        <x:v>0.003190988327618581</x:v>
      </x:c>
      <x:c r="R2733" s="81" t="n">
        <x:v>294.84004783584413</x:v>
      </x:c>
      <x:c r="S2733" s="81" t="n">
        <x:v>127.15251191399624</x:v>
      </x:c>
      <x:c r="T2733" s="81" t="n">
        <x:v>142.74820681819722</x:v>
      </x:c>
    </x:row>
    <x:row r="2734">
      <x:c r="A2734" s="59" t="n">
        <x:v>2731</x:v>
      </x:c>
      <x:c r="B2734" s="193" t="n">
        <x:v>0.9430382512509823</x:v>
      </x:c>
      <x:c r="C2734" s="83" t="n">
        <x:v>0.3518788067647975</x:v>
      </x:c>
      <x:c r="D2734" s="83" t="n">
        <x:v>0.20140174832621985</x:v>
      </x:c>
      <x:c r="E2734" s="81" t="n">
        <x:v>0.013518520986264661</x:v>
      </x:c>
      <x:c r="F2734" s="81" t="n">
        <x:v>0.8491173133603297</x:v>
      </x:c>
      <x:c r="G2734" s="81" t="n">
        <x:v>-0.027487359442256627</x:v>
      </x:c>
      <x:c r="H2734" s="59" t="n">
        <x:v>0</x:v>
      </x:c>
      <x:c r="I2734" s="81" t="n">
        <x:v>0</x:v>
      </x:c>
      <x:c r="J2734" s="79" t="n">
        <x:v>7.33697157956666e-7</x:v>
      </x:c>
      <x:c r="K2734" s="81" t="n">
        <x:v>-0.9991614889623353</x:v>
      </x:c>
      <x:c r="L2734" s="81" t="n">
        <x:v>-0.9991614889623353</x:v>
      </x:c>
      <x:c r="M2734" s="80" t="n">
        <x:v>199.78572462331545</x:v>
      </x:c>
      <x:c r="N2734" s="82" t="n">
        <x:v>0.32674314341519484</x:v>
      </x:c>
      <x:c r="O2734" s="82" t="n">
        <x:v>0.2620867834587637</x:v>
      </x:c>
      <x:c r="P2734" s="80" t="n">
        <x:v>314.9112405331083</x:v>
      </x:c>
      <x:c r="Q2734" s="81" t="n">
        <x:v>0.020232303039791125</x:v>
      </x:c>
      <x:c r="R2734" s="81" t="n">
        <x:v>19.64823428505249</x:v>
      </x:c>
      <x:c r="S2734" s="81" t="n">
        <x:v>0.04818056282152309</x:v>
      </x:c>
      <x:c r="T2734" s="81" t="n">
        <x:v>0.01589348226304761</x:v>
      </x:c>
    </x:row>
    <x:row r="2735">
      <x:c r="A2735" s="59" t="n">
        <x:v>2732</x:v>
      </x:c>
      <x:c r="B2735" s="193" t="n">
        <x:v>0.25713481456041337</x:v>
      </x:c>
      <x:c r="C2735" s="83" t="n">
        <x:v>0.12697284702951414</x:v>
      </x:c>
      <x:c r="D2735" s="83" t="n">
        <x:v>0.2686522105254406</x:v>
      </x:c>
      <x:c r="E2735" s="81" t="n">
        <x:v>0.012669726273948094</x:v>
      </x:c>
      <x:c r="F2735" s="81" t="n">
        <x:v>0.26447373935952784</x:v>
      </x:c>
      <x:c r="G2735" s="81" t="n">
        <x:v>-0.024127592566941174</x:v>
      </x:c>
      <x:c r="H2735" s="59" t="n">
        <x:v>0</x:v>
      </x:c>
      <x:c r="I2735" s="81" t="n">
        <x:v>0</x:v>
      </x:c>
      <x:c r="J2735" s="79" t="n">
        <x:v>0.000027638236142627054</x:v>
      </x:c>
      <x:c r="K2735" s="81" t="n">
        <x:v>-0.9684134444084262</x:v>
      </x:c>
      <x:c r="L2735" s="81" t="n">
        <x:v>-0.9684134444084262</x:v>
      </x:c>
      <x:c r="M2735" s="80" t="n">
        <x:v>1019.5592279772293</x:v>
      </x:c>
      <x:c r="N2735" s="82" t="n">
        <x:v>0.1633480841060634</x:v>
      </x:c>
      <x:c r="O2735" s="82" t="n">
        <x:v>0.040810089065111</x:v>
      </x:c>
      <x:c r="P2735" s="80" t="n">
        <x:v>1045.7803804108657</x:v>
      </x:c>
      <x:c r="Q2735" s="81" t="n">
        <x:v>0.004213287596809484</x:v>
      </x:c>
      <x:c r="R2735" s="81" t="n">
        <x:v>127.01185719523566</x:v>
      </x:c>
      <x:c r="S2735" s="81" t="n">
        <x:v>4.121941416362554</x:v>
      </x:c>
      <x:c r="T2735" s="81" t="n">
        <x:v>0.5987045351764995</x:v>
      </x:c>
    </x:row>
    <x:row r="2736">
      <x:c r="A2736" s="59" t="n">
        <x:v>2733</x:v>
      </x:c>
      <x:c r="B2736" s="193" t="n">
        <x:v>0.49481069203466177</x:v>
      </x:c>
      <x:c r="C2736" s="83" t="n">
        <x:v>0.5843273889802677</x:v>
      </x:c>
      <x:c r="D2736" s="83" t="n">
        <x:v>1.5653991352968644</x:v>
      </x:c>
      <x:c r="E2736" s="81" t="n">
        <x:v>0.11752550547222153</x:v>
      </x:c>
      <x:c r="F2736" s="81" t="n">
        <x:v>0.817621859884821</x:v>
      </x:c>
      <x:c r="G2736" s="81" t="n">
        <x:v>0.04318095286684074</x:v>
      </x:c>
      <x:c r="H2736" s="59" t="n">
        <x:v>0</x:v>
      </x:c>
      <x:c r="I2736" s="81" t="n">
        <x:v>0</x:v>
      </x:c>
      <x:c r="J2736" s="79" t="n">
        <x:v>0.0510888281459974</x:v>
      </x:c>
      <x:c r="K2736" s="81" t="n">
        <x:v>57.387232166854176</x:v>
      </x:c>
      <x:c r="L2736" s="81" t="n">
        <x:v>-0.8015444801547036</x:v>
      </x:c>
      <x:c r="M2736" s="80" t="n">
        <x:v>122177.60222396649</x:v>
      </x:c>
      <x:c r="N2736" s="82" t="n">
        <x:v>0.21996693454313201</x:v>
      </x:c>
      <x:c r="O2736" s="82" t="n">
        <x:v>0.16989509419837195</x:v>
      </x:c>
      <x:c r="P2736" s="80" t="n">
        <x:v>278157.97300989117</x:v>
      </x:c>
      <x:c r="Q2736" s="81" t="n">
        <x:v>0.004575648446764118</x:v>
      </x:c>
      <x:c r="R2736" s="81" t="n">
        <x:v>795.7765748899975</x:v>
      </x:c>
      <x:c r="S2736" s="81" t="n">
        <x:v>1717.663938432393</x:v>
      </x:c>
      <x:c r="T2736" s="81" t="n">
        <x:v>1106.6955557517022</x:v>
      </x:c>
    </x:row>
    <x:row r="2737">
      <x:c r="A2737" s="59" t="n">
        <x:v>2734</x:v>
      </x:c>
      <x:c r="B2737" s="193" t="n">
        <x:v>0.396095434576273</x:v>
      </x:c>
      <x:c r="C2737" s="83" t="n">
        <x:v>0.2053157931332466</x:v>
      </x:c>
      <x:c r="D2737" s="83" t="n">
        <x:v>1.9801319693809585</x:v>
      </x:c>
      <x:c r="E2737" s="81" t="n">
        <x:v>-0.009531829504624126</x:v>
      </x:c>
      <x:c r="F2737" s="81" t="n">
        <x:v>0.6876439499435947</x:v>
      </x:c>
      <x:c r="G2737" s="81" t="n">
        <x:v>0.025134592904755167</x:v>
      </x:c>
      <x:c r="H2737" s="59" t="n">
        <x:v>0</x:v>
      </x:c>
      <x:c r="I2737" s="81" t="n">
        <x:v>0</x:v>
      </x:c>
      <x:c r="J2737" s="79" t="n">
        <x:v>3.3818277262967127e-18</x:v>
      </x:c>
      <x:c r="K2737" s="81" t="n">
        <x:v>-0.9999999999999961</x:v>
      </x:c>
      <x:c r="L2737" s="81" t="n">
        <x:v>-0.9999999999999961</x:v>
      </x:c>
      <x:c r="M2737" s="80" t="n">
        <x:v>0.00039340251556622876</x:v>
      </x:c>
      <x:c r="N2737" s="82" t="n">
        <x:v>0.19645110930546653</x:v>
      </x:c>
      <x:c r="O2737" s="82" t="n">
        <x:v>0.12761127670764374</x:v>
      </x:c>
      <x:c r="P2737" s="80" t="n">
        <x:v>1362.0232510556011</x:v>
      </x:c>
      <x:c r="Q2737" s="81" t="n">
        <x:v>12444.952737977386</x:v>
      </x:c>
      <x:c r="R2737" s="81" t="n">
        <x:v>26.402254478597506</x:v>
      </x:c>
      <x:c r="S2737" s="81" t="n">
        <x:v>4.022427299543477e-7</x:v>
      </x:c>
      <x:c r="T2737" s="81" t="n">
        <x:v>7.32577718227361e-14</x:v>
      </x:c>
    </x:row>
    <x:row r="2738">
      <x:c r="A2738" s="59" t="n">
        <x:v>2735</x:v>
      </x:c>
      <x:c r="B2738" s="193" t="n">
        <x:v>0.35982874333858494</x:v>
      </x:c>
      <x:c r="C2738" s="83" t="n">
        <x:v>0.1241435919143732</x:v>
      </x:c>
      <x:c r="D2738" s="83" t="n">
        <x:v>0.7134328518841251</x:v>
      </x:c>
      <x:c r="E2738" s="81" t="n">
        <x:v>0.025935270900375583</x:v>
      </x:c>
      <x:c r="F2738" s="81" t="n">
        <x:v>0.42393460966413843</x:v>
      </x:c>
      <x:c r="G2738" s="81" t="n">
        <x:v>0.005368441182336429</x:v>
      </x:c>
      <x:c r="H2738" s="59" t="n">
        <x:v>0</x:v>
      </x:c>
      <x:c r="I2738" s="81" t="n">
        <x:v>0</x:v>
      </x:c>
      <x:c r="J2738" s="79" t="n">
        <x:v>0.0003629025023042012</x:v>
      </x:c>
      <x:c r="K2738" s="81" t="n">
        <x:v>-0.5852542830809129</x:v>
      </x:c>
      <x:c r="L2738" s="81" t="n">
        <x:v>-0.7894930023014027</x:v>
      </x:c>
      <x:c r="M2738" s="80" t="n">
        <x:v>3927.6252443345247</x:v>
      </x:c>
      <x:c r="N2738" s="82" t="n">
        <x:v>0.18781170345218845</x:v>
      </x:c>
      <x:c r="O2738" s="82" t="n">
        <x:v>0.07521292301043807</x:v>
      </x:c>
      <x:c r="P2738" s="80" t="n">
        <x:v>6210.900444377712</x:v>
      </x:c>
      <x:c r="Q2738" s="81" t="n">
        <x:v>0.0060633572627150295</x:v>
      </x:c>
      <x:c r="R2738" s="81" t="n">
        <x:v>195.16698172254638</x:v>
      </x:c>
      <x:c r="S2738" s="81" t="n">
        <x:v>55.469910170315764</x:v>
      </x:c>
      <x:c r="T2738" s="81" t="n">
        <x:v>7.861260495611834</x:v>
      </x:c>
    </x:row>
    <x:row r="2739">
      <x:c r="A2739" s="59" t="n">
        <x:v>2736</x:v>
      </x:c>
      <x:c r="B2739" s="193" t="n">
        <x:v>0.6245678700506687</x:v>
      </x:c>
      <x:c r="C2739" s="83" t="n">
        <x:v>0.15358874457033522</x:v>
      </x:c>
      <x:c r="D2739" s="83" t="n">
        <x:v>0.7628276995241472</x:v>
      </x:c>
      <x:c r="E2739" s="81" t="n">
        <x:v>0.06835935641864112</x:v>
      </x:c>
      <x:c r="F2739" s="81" t="n">
        <x:v>0.3539601854397915</x:v>
      </x:c>
      <x:c r="G2739" s="81" t="n">
        <x:v>0.027473455252915713</x:v>
      </x:c>
      <x:c r="H2739" s="59" t="n">
        <x:v>0</x:v>
      </x:c>
      <x:c r="I2739" s="81" t="n">
        <x:v>0</x:v>
      </x:c>
      <x:c r="J2739" s="79" t="n">
        <x:v>0.004755884366004944</x:v>
      </x:c>
      <x:c r="K2739" s="81" t="n">
        <x:v>4.435296418291365</x:v>
      </x:c>
      <x:c r="L2739" s="81" t="n">
        <x:v>-0.6852909683526147</x:v>
      </x:c>
      <x:c r="M2739" s="80" t="n">
        <x:v>17052.985955130105</x:v>
      </x:c>
      <x:c r="N2739" s="82" t="n">
        <x:v>0.25087752729363283</x:v>
      </x:c>
      <x:c r="O2739" s="82" t="n">
        <x:v>0.08388554226885651</x:v>
      </x:c>
      <x:c r="P2739" s="80" t="n">
        <x:v>24517.717788583785</x:v>
      </x:c>
      <x:c r="Q2739" s="81" t="n">
        <x:v>0.0029825460232783927</x:v>
      </x:c>
      <x:c r="R2739" s="81" t="n">
        <x:v>534.8198532682497</x:v>
      </x:c>
      <x:c r="S2739" s="81" t="n">
        <x:v>582.1979391383654</x:v>
      </x:c>
      <x:c r="T2739" s="81" t="n">
        <x:v>103.02283850562411</x:v>
      </x:c>
    </x:row>
    <x:row r="2740">
      <x:c r="A2740" s="59" t="n">
        <x:v>2737</x:v>
      </x:c>
      <x:c r="B2740" s="193" t="n">
        <x:v>0.9391269851475954</x:v>
      </x:c>
      <x:c r="C2740" s="83" t="n">
        <x:v>0.21575481088633777</x:v>
      </x:c>
      <x:c r="D2740" s="83" t="n">
        <x:v>0.727685231234213</x:v>
      </x:c>
      <x:c r="E2740" s="81" t="n">
        <x:v>0.05008770541547914</x:v>
      </x:c>
      <x:c r="F2740" s="81" t="n">
        <x:v>0.4587020644103177</x:v>
      </x:c>
      <x:c r="G2740" s="81" t="n">
        <x:v>0.024146004492660876</x:v>
      </x:c>
      <x:c r="H2740" s="59" t="n">
        <x:v>20</x:v>
      </x:c>
      <x:c r="I2740" s="81" t="n">
        <x:v>0.13431432265788318</x:v>
      </x:c>
      <x:c r="J2740" s="79" t="n">
        <x:v>0.00079409657826187</x:v>
      </x:c>
      <x:c r="K2740" s="81" t="n">
        <x:v>-0.09246105341500555</x:v>
      </x:c>
      <x:c r="L2740" s="81" t="n">
        <x:v>-0.7956292574107691</x:v>
      </x:c>
      <x:c r="M2740" s="80" t="n">
        <x:v>6865.215201498362</x:v>
      </x:c>
      <x:c r="N2740" s="82" t="n">
        <x:v>0.3258114064931289</x:v>
      </x:c>
      <x:c r="O2740" s="82" t="n">
        <x:v>0.14117829128369286</x:v>
      </x:c>
      <x:c r="P2740" s="80" t="n">
        <x:v>10051.972081718306</x:v>
      </x:c>
      <x:c r="Q2740" s="81" t="n">
        <x:v>0.006452653953041541</x:v>
      </x:c>
      <x:c r="R2740" s="81" t="n">
        <x:v>122.08182148343225</x:v>
      </x:c>
      <x:c r="S2740" s="81" t="n">
        <x:v>70.8467683135302</x:v>
      </x:c>
      <x:c r="T2740" s="81" t="n">
        <x:v>17.201865572031085</x:v>
      </x:c>
    </x:row>
    <x:row r="2741">
      <x:c r="A2741" s="59" t="n">
        <x:v>2738</x:v>
      </x:c>
      <x:c r="B2741" s="193" t="n">
        <x:v>0.7976847987622022</x:v>
      </x:c>
      <x:c r="C2741" s="83" t="n">
        <x:v>0.8957968355191013</x:v>
      </x:c>
      <x:c r="D2741" s="83" t="n">
        <x:v>1.8395528462402988</x:v>
      </x:c>
      <x:c r="E2741" s="81" t="n">
        <x:v>0.04554924710864725</x:v>
      </x:c>
      <x:c r="F2741" s="81" t="n">
        <x:v>0.4053496269858442</x:v>
      </x:c>
      <x:c r="G2741" s="81" t="n">
        <x:v>0.004169634994713913</x:v>
      </x:c>
      <x:c r="H2741" s="59" t="n">
        <x:v>0</x:v>
      </x:c>
      <x:c r="I2741" s="81" t="n">
        <x:v>0</x:v>
      </x:c>
      <x:c r="J2741" s="79" t="n">
        <x:v>0.011985946201333164</x:v>
      </x:c>
      <x:c r="K2741" s="81" t="n">
        <x:v>12.698224230095047</x:v>
      </x:c>
      <x:c r="L2741" s="81" t="n">
        <x:v>-0.7141226991334001</x:v>
      </x:c>
      <x:c r="M2741" s="80" t="n">
        <x:v>48153.8354240123</x:v>
      </x:c>
      <x:c r="N2741" s="82" t="n">
        <x:v>0.2921172256551334</x:v>
      </x:c>
      <x:c r="O2741" s="82" t="n">
        <x:v>0.11185563996041716</x:v>
      </x:c>
      <x:c r="P2741" s="80" t="n">
        <x:v>145019.7752326075</x:v>
      </x:c>
      <x:c r="Q2741" s="81" t="n">
        <x:v>0.0061719290269442294</x:v>
      </x:c>
      <x:c r="R2741" s="81" t="n">
        <x:v>302.22670150797455</x:v>
      </x:c>
      <x:c r="S2741" s="81" t="n">
        <x:v>270.7381798653102</x:v>
      </x:c>
      <x:c r="T2741" s="81" t="n">
        <x:v>259.6417626684916</x:v>
      </x:c>
    </x:row>
    <x:row r="2742">
      <x:c r="A2742" s="59" t="n">
        <x:v>2739</x:v>
      </x:c>
      <x:c r="B2742" s="193" t="n">
        <x:v>0.5179736668244004</x:v>
      </x:c>
      <x:c r="C2742" s="83" t="n">
        <x:v>0.7971944135808979</x:v>
      </x:c>
      <x:c r="D2742" s="83" t="n">
        <x:v>1.6552385194742205</x:v>
      </x:c>
      <x:c r="E2742" s="81" t="n">
        <x:v>0.07644409844847312</x:v>
      </x:c>
      <x:c r="F2742" s="81" t="n">
        <x:v>0.6119336341507733</x:v>
      </x:c>
      <x:c r="G2742" s="81" t="n">
        <x:v>0.010518606903165742</x:v>
      </x:c>
      <x:c r="H2742" s="59" t="n">
        <x:v>70</x:v>
      </x:c>
      <x:c r="I2742" s="81" t="n">
        <x:v>0.19501801384612918</x:v>
      </x:c>
      <x:c r="J2742" s="79" t="n">
        <x:v>0.02350608080846334</x:v>
      </x:c>
      <x:c r="K2742" s="81" t="n">
        <x:v>25.864092352529536</x:v>
      </x:c>
      <x:c r="L2742" s="81" t="n">
        <x:v>-0.9192149842461994</x:v>
      </x:c>
      <x:c r="M2742" s="80" t="n">
        <x:v>73748.21090885</x:v>
      </x:c>
      <x:c r="N2742" s="82" t="n">
        <x:v>0.22548478944382516</x:v>
      </x:c>
      <x:c r="O2742" s="82" t="n">
        <x:v>0.13034444196389153</x:v>
      </x:c>
      <x:c r="P2742" s="80" t="n">
        <x:v>182953.5623668159</x:v>
      </x:c>
      <x:c r="Q2742" s="81" t="n">
        <x:v>0.0047236867002343665</x:v>
      </x:c>
      <x:c r="R2742" s="81" t="n">
        <x:v>559.2383119625398</x:v>
      </x:c>
      <x:c r="S2742" s="81" t="n">
        <x:v>583.1406596680514</x:v>
      </x:c>
      <x:c r="T2742" s="81" t="n">
        <x:v>509.19302923774063</x:v>
      </x:c>
    </x:row>
    <x:row r="2743">
      <x:c r="A2743" s="59" t="n">
        <x:v>2740</x:v>
      </x:c>
      <x:c r="B2743" s="193" t="n">
        <x:v>0.7389657812193036</x:v>
      </x:c>
      <x:c r="C2743" s="83" t="n">
        <x:v>0.6035795769106116</x:v>
      </x:c>
      <x:c r="D2743" s="83" t="n">
        <x:v>0.4467187698821346</x:v>
      </x:c>
      <x:c r="E2743" s="81" t="n">
        <x:v>-0.10232537685360042</x:v>
      </x:c>
      <x:c r="F2743" s="81" t="n">
        <x:v>0.8153909701039084</x:v>
      </x:c>
      <x:c r="G2743" s="81" t="n">
        <x:v>0.005905874188780527</x:v>
      </x:c>
      <x:c r="H2743" s="59" t="n">
        <x:v>0</x:v>
      </x:c>
      <x:c r="I2743" s="81" t="n">
        <x:v>0</x:v>
      </x:c>
      <x:c r="J2743" s="79" t="n">
        <x:v>6.874128930641705e-28</x:v>
      </x:c>
      <x:c r="K2743" s="81" t="n">
        <x:v>-1</x:v>
      </x:c>
      <x:c r="L2743" s="81" t="n">
        <x:v>-1</x:v>
      </x:c>
      <x:c r="M2743" s="80" t="n">
        <x:v>0.000002</x:v>
      </x:c>
      <x:c r="N2743" s="82" t="n">
        <x:v>0.2781292546948359</x:v>
      </x:c>
      <x:c r="O2743" s="82" t="n">
        <x:v>0.21423159020041388</x:v>
      </x:c>
      <x:c r="P2743" s="80" t="n">
        <x:v>220.55461970232193</x:v>
      </x:c>
      <x:c r="Q2743" s="81" t="n">
        <x:v>31659465633.778564</x:v>
      </x:c>
      <x:c r="R2743" s="81" t="n">
        <x:v>4.664936246093329</x:v>
      </x:c>
      <x:c r="S2743" s="81" t="n">
        <x:v>2.6215741504937e-10</x:v>
      </x:c>
      <x:c r="T2743" s="81" t="n">
        <x:v>1.489086403678139e-23</x:v>
      </x:c>
    </x:row>
    <x:row r="2744">
      <x:c r="A2744" s="59" t="n">
        <x:v>2741</x:v>
      </x:c>
      <x:c r="B2744" s="193" t="n">
        <x:v>0.865894292294979</x:v>
      </x:c>
      <x:c r="C2744" s="83" t="n">
        <x:v>1.254046389556745</x:v>
      </x:c>
      <x:c r="D2744" s="83" t="n">
        <x:v>0.5646353963891289</x:v>
      </x:c>
      <x:c r="E2744" s="81" t="n">
        <x:v>0.07609513624577322</x:v>
      </x:c>
      <x:c r="F2744" s="81" t="n">
        <x:v>0.4347238123882562</x:v>
      </x:c>
      <x:c r="G2744" s="81" t="n">
        <x:v>0.014584116302768416</x:v>
      </x:c>
      <x:c r="H2744" s="59" t="n">
        <x:v>0</x:v>
      </x:c>
      <x:c r="I2744" s="81" t="n">
        <x:v>0</x:v>
      </x:c>
      <x:c r="J2744" s="79" t="n">
        <x:v>0.0038607250429994423</x:v>
      </x:c>
      <x:c r="K2744" s="81" t="n">
        <x:v>3.4122571919993634</x:v>
      </x:c>
      <x:c r="L2744" s="81" t="n">
        <x:v>-0.6392706981317186</x:v>
      </x:c>
      <x:c r="M2744" s="80" t="n">
        <x:v>28494.464965688647</x:v>
      </x:c>
      <x:c r="N2744" s="82" t="n">
        <x:v>0.30836600594264457</x:v>
      </x:c>
      <x:c r="O2744" s="82" t="n">
        <x:v>0.12663415805737396</x:v>
      </x:c>
      <x:c r="P2744" s="80" t="n">
        <x:v>31099.23583246417</x:v>
      </x:c>
      <x:c r="Q2744" s="81" t="n">
        <x:v>0.003986031741294971</x:v>
      </x:c>
      <x:c r="R2744" s="81" t="n">
        <x:v>63.83888353974718</x:v>
      </x:c>
      <x:c r="S2744" s="81" t="n">
        <x:v>61.136050545180986</x:v>
      </x:c>
      <x:c r="T2744" s="81" t="n">
        <x:v>83.63173324032344</x:v>
      </x:c>
    </x:row>
    <x:row r="2745">
      <x:c r="A2745" s="59" t="n">
        <x:v>2742</x:v>
      </x:c>
      <x:c r="B2745" s="193" t="n">
        <x:v>0.30929755903780465</x:v>
      </x:c>
      <x:c r="C2745" s="83" t="n">
        <x:v>0.669728661128676</x:v>
      </x:c>
      <x:c r="D2745" s="83" t="n">
        <x:v>0.39528655925888956</x:v>
      </x:c>
      <x:c r="E2745" s="81" t="n">
        <x:v>-0.11347985736742644</x:v>
      </x:c>
      <x:c r="F2745" s="81" t="n">
        <x:v>0.7331209838506766</x:v>
      </x:c>
      <x:c r="G2745" s="81" t="n">
        <x:v>-0.012345961487589915</x:v>
      </x:c>
      <x:c r="H2745" s="59" t="n">
        <x:v>0</x:v>
      </x:c>
      <x:c r="I2745" s="81" t="n">
        <x:v>0</x:v>
      </x:c>
      <x:c r="J2745" s="79" t="n">
        <x:v>3.7147388841646317e-26</x:v>
      </x:c>
      <x:c r="K2745" s="81" t="n">
        <x:v>-1</x:v>
      </x:c>
      <x:c r="L2745" s="81" t="n">
        <x:v>-1</x:v>
      </x:c>
      <x:c r="M2745" s="80" t="n">
        <x:v>0.000002</x:v>
      </x:c>
      <x:c r="N2745" s="82" t="n">
        <x:v>0.17577422789203706</x:v>
      </x:c>
      <x:c r="O2745" s="82" t="n">
        <x:v>0.12173116857500416</x:v>
      </x:c>
      <x:c r="P2745" s="80" t="n">
        <x:v>220.28174400504963</x:v>
      </x:c>
      <x:c r="Q2745" s="81" t="n">
        <x:v>533617535.9905559</x:v>
      </x:c>
      <x:c r="R2745" s="81" t="n">
        <x:v>4.745492063579145</x:v>
      </x:c>
      <x:c r="S2745" s="81" t="n">
        <x:v>1.7829090351943277e-10</x:v>
      </x:c>
      <x:c r="T2745" s="81" t="n">
        <x:v>8.046935432017972e-22</x:v>
      </x:c>
    </x:row>
    <x:row r="2746">
      <x:c r="A2746" s="59" t="n">
        <x:v>2743</x:v>
      </x:c>
      <x:c r="B2746" s="193" t="n">
        <x:v>0.4516602216288448</x:v>
      </x:c>
      <x:c r="C2746" s="83" t="n">
        <x:v>0.10944145620485096</x:v>
      </x:c>
      <x:c r="D2746" s="83" t="n">
        <x:v>3</x:v>
      </x:c>
      <x:c r="E2746" s="81" t="n">
        <x:v>-0.06287749658005536</x:v>
      </x:c>
      <x:c r="F2746" s="81" t="n">
        <x:v>0.49000930112088104</x:v>
      </x:c>
      <x:c r="G2746" s="81" t="n">
        <x:v>0.001284099797318109</x:v>
      </x:c>
      <x:c r="H2746" s="59" t="n">
        <x:v>0</x:v>
      </x:c>
      <x:c r="I2746" s="81" t="n">
        <x:v>0</x:v>
      </x:c>
      <x:c r="J2746" s="79" t="n">
        <x:v>3.6727310540011384e-64</x:v>
      </x:c>
      <x:c r="K2746" s="81" t="n">
        <x:v>-1</x:v>
      </x:c>
      <x:c r="L2746" s="81" t="n">
        <x:v>-1</x:v>
      </x:c>
      <x:c r="M2746" s="80" t="n">
        <x:v>0.000002</x:v>
      </x:c>
      <x:c r="N2746" s="82" t="n">
        <x:v>0.20968768342114635</x:v>
      </x:c>
      <x:c r="O2746" s="82" t="n">
        <x:v>0.09706176564231633</x:v>
      </x:c>
      <x:c r="P2746" s="80" t="n">
        <x:v>359.2049720526804</x:v>
      </x:c>
      <x:c r="Q2746" s="81" t="n">
        <x:v>9.298087823264303e+46</x:v>
      </x:c>
      <x:c r="R2746" s="81" t="n">
        <x:v>7.132115224132037</x:v>
      </x:c>
      <x:c r="S2746" s="81" t="n">
        <x:v>2.4060336334545557e-9</x:v>
      </x:c>
      <x:c r="T2746" s="81" t="n">
        <x:v>7.955937300653803e-60</x:v>
      </x:c>
    </x:row>
    <x:row r="2747">
      <x:c r="A2747" s="59" t="n">
        <x:v>2744</x:v>
      </x:c>
      <x:c r="B2747" s="193" t="n">
        <x:v>0.46247453298419716</x:v>
      </x:c>
      <x:c r="C2747" s="83" t="n">
        <x:v>0.8094308042467294</x:v>
      </x:c>
      <x:c r="D2747" s="83" t="n">
        <x:v>0.2070835555283574</x:v>
      </x:c>
      <x:c r="E2747" s="81" t="n">
        <x:v>-0.02558823810783098</x:v>
      </x:c>
      <x:c r="F2747" s="81" t="n">
        <x:v>0.27994105449179185</x:v>
      </x:c>
      <x:c r="G2747" s="81" t="n">
        <x:v>0.024945134331953927</x:v>
      </x:c>
      <x:c r="H2747" s="59" t="n">
        <x:v>0</x:v>
      </x:c>
      <x:c r="I2747" s="81" t="n">
        <x:v>0</x:v>
      </x:c>
      <x:c r="J2747" s="79" t="n">
        <x:v>1.1051926176059504e-8</x:v>
      </x:c>
      <x:c r="K2747" s="81" t="n">
        <x:v>-0.9999873692272273</x:v>
      </x:c>
      <x:c r="L2747" s="81" t="n">
        <x:v>-0.9999873692272273</x:v>
      </x:c>
      <x:c r="M2747" s="80" t="n">
        <x:v>32.699285149669315</x:v>
      </x:c>
      <x:c r="N2747" s="82" t="n">
        <x:v>0.21226385515432927</x:v>
      </x:c>
      <x:c r="O2747" s="82" t="n">
        <x:v>0.056132396427044186</x:v>
      </x:c>
      <x:c r="P2747" s="80" t="n">
        <x:v>631.3662507074154</x:v>
      </x:c>
      <x:c r="Q2747" s="81" t="n">
        <x:v>0.11506420164050031</x:v>
      </x:c>
      <x:c r="R2747" s="81" t="n">
        <x:v>14.0935468678715</x:v>
      </x:c>
      <x:c r="S2747" s="81" t="n">
        <x:v>0.002497590848376972</x:v>
      </x:c>
      <x:c r="T2747" s="81" t="n">
        <x:v>0.0002394088497506322</x:v>
      </x:c>
    </x:row>
    <x:row r="2748">
      <x:c r="A2748" s="59" t="n">
        <x:v>2745</x:v>
      </x:c>
      <x:c r="B2748" s="193" t="n">
        <x:v>0.426057355850935</x:v>
      </x:c>
      <x:c r="C2748" s="83" t="n">
        <x:v>0.42167473279371526</x:v>
      </x:c>
      <x:c r="D2748" s="83" t="n">
        <x:v>1.4115950468716876</x:v>
      </x:c>
      <x:c r="E2748" s="81" t="n">
        <x:v>-0.0505485753077495</x:v>
      </x:c>
      <x:c r="F2748" s="81" t="n">
        <x:v>0.7984625753597356</x:v>
      </x:c>
      <x:c r="G2748" s="81" t="n">
        <x:v>0.03154013400370736</x:v>
      </x:c>
      <x:c r="H2748" s="59" t="n">
        <x:v>0</x:v>
      </x:c>
      <x:c r="I2748" s="81" t="n">
        <x:v>0</x:v>
      </x:c>
      <x:c r="J2748" s="79" t="n">
        <x:v>1.108620889757016e-38</x:v>
      </x:c>
      <x:c r="K2748" s="81" t="n">
        <x:v>-1</x:v>
      </x:c>
      <x:c r="L2748" s="81" t="n">
        <x:v>-1</x:v>
      </x:c>
      <x:c r="M2748" s="80" t="n">
        <x:v>0.000002</x:v>
      </x:c>
      <x:c r="N2748" s="82" t="n">
        <x:v>0.2035886007391147</x:v>
      </x:c>
      <x:c r="O2748" s="82" t="n">
        <x:v>0.1535603044629336</x:v>
      </x:c>
      <x:c r="P2748" s="80" t="n">
        <x:v>446.5625321787927</x:v>
      </x:c>
      <x:c r="Q2748" s="81" t="n">
        <x:v>3.78720628901759e+21</x:v>
      </x:c>
      <x:c r="R2748" s="81" t="n">
        <x:v>5.131319148541244</x:v>
      </x:c>
      <x:c r="S2748" s="81" t="n">
        <x:v>1.2690982100040507e-9</x:v>
      </x:c>
      <x:c r="T2748" s="81" t="n">
        <x:v>2.4015148834524808e-34</x:v>
      </x:c>
    </x:row>
    <x:row r="2749">
      <x:c r="A2749" s="59" t="n">
        <x:v>2746</x:v>
      </x:c>
      <x:c r="B2749" s="193" t="n">
        <x:v>0.7208320923149587</x:v>
      </x:c>
      <x:c r="C2749" s="83" t="n">
        <x:v>1.0047990278042478</x:v>
      </x:c>
      <x:c r="D2749" s="83" t="n">
        <x:v>3</x:v>
      </x:c>
      <x:c r="E2749" s="81" t="n">
        <x:v>0.05105377316906132</x:v>
      </x:c>
      <x:c r="F2749" s="81" t="n">
        <x:v>0.3237829127931036</x:v>
      </x:c>
      <x:c r="G2749" s="81" t="n">
        <x:v>0.035640417816252344</x:v>
      </x:c>
      <x:c r="H2749" s="59" t="n">
        <x:v>0</x:v>
      </x:c>
      <x:c r="I2749" s="81" t="n">
        <x:v>0</x:v>
      </x:c>
      <x:c r="J2749" s="79" t="n">
        <x:v>0.19063325841202852</x:v>
      </x:c>
      <x:c r="K2749" s="81" t="n">
        <x:v>216.86658104231833</x:v>
      </x:c>
      <x:c r="L2749" s="81" t="n">
        <x:v>-0.7395901497492369</x:v>
      </x:c>
      <x:c r="M2749" s="80" t="n">
        <x:v>268451.0157602261</x:v>
      </x:c>
      <x:c r="N2749" s="82" t="n">
        <x:v>0.2738094699911541</x:v>
      </x:c>
      <x:c r="O2749" s="82" t="n">
        <x:v>0.08374778552388197</x:v>
      </x:c>
      <x:c r="P2749" s="80" t="n">
        <x:v>1155424.7717617739</x:v>
      </x:c>
      <x:c r="Q2749" s="81" t="n">
        <x:v>0.0049354776324918226</x:v>
      </x:c>
      <x:c r="R2749" s="81" t="n">
        <x:v>1642.2269465049865</x:v>
      </x:c>
      <x:c r="S2749" s="81" t="n">
        <x:v>3799.980117620595</x:v>
      </x:c>
      <x:c r="T2749" s="81" t="n">
        <x:v>4129.5325713903</x:v>
      </x:c>
    </x:row>
    <x:row r="2750">
      <x:c r="A2750" s="59" t="n">
        <x:v>2747</x:v>
      </x:c>
      <x:c r="B2750" s="193" t="n">
        <x:v>0.6951790668070317</x:v>
      </x:c>
      <x:c r="C2750" s="83" t="n">
        <x:v>0.25457409898944183</x:v>
      </x:c>
      <x:c r="D2750" s="83" t="n">
        <x:v>3</x:v>
      </x:c>
      <x:c r="E2750" s="81" t="n">
        <x:v>0.12582320642461448</x:v>
      </x:c>
      <x:c r="F2750" s="81" t="n">
        <x:v>0.3597176754847169</x:v>
      </x:c>
      <x:c r="G2750" s="81" t="n">
        <x:v>0.0033251328869557777</x:v>
      </x:c>
      <x:c r="H2750" s="59" t="n">
        <x:v>0</x:v>
      </x:c>
      <x:c r="I2750" s="81" t="n">
        <x:v>0</x:v>
      </x:c>
      <x:c r="J2750" s="79" t="n">
        <x:v>0.24387865910250722</x:v>
      </x:c>
      <x:c r="K2750" s="81" t="n">
        <x:v>277.71846754572255</x:v>
      </x:c>
      <x:c r="L2750" s="81" t="n">
        <x:v>-0.8417266361956162</x:v>
      </x:c>
      <x:c r="M2750" s="80" t="n">
        <x:v>269726.9643731681</x:v>
      </x:c>
      <x:c r="N2750" s="82" t="n">
        <x:v>0.2676984383209377</x:v>
      </x:c>
      <x:c r="O2750" s="82" t="n">
        <x:v>0.09096588682522927</x:v>
      </x:c>
      <x:c r="P2750" s="80" t="n">
        <x:v>833844.5287420286</x:v>
      </x:c>
      <x:c r="Q2750" s="81" t="n">
        <x:v>0.0026965513704544633</x:v>
      </x:c>
      <x:c r="R2750" s="81" t="n">
        <x:v>11009.982862025874</x:v>
      </x:c>
      <x:c r="S2750" s="81" t="n">
        <x:v>18100.46914829804</x:v>
      </x:c>
      <x:c r="T2750" s="81" t="n">
        <x:v>5282.944196726005</x:v>
      </x:c>
    </x:row>
    <x:row r="2751">
      <x:c r="A2751" s="59" t="n">
        <x:v>2748</x:v>
      </x:c>
      <x:c r="B2751" s="193" t="n">
        <x:v>0.36200713291764264</x:v>
      </x:c>
      <x:c r="C2751" s="83" t="n">
        <x:v>0.8205156418675503</x:v>
      </x:c>
      <x:c r="D2751" s="83" t="n">
        <x:v>1.0366467002219744</x:v>
      </x:c>
      <x:c r="E2751" s="81" t="n">
        <x:v>-0.0020856873507943035</x:v>
      </x:c>
      <x:c r="F2751" s="81" t="n">
        <x:v>0.5118952144519426</x:v>
      </x:c>
      <x:c r="G2751" s="81" t="n">
        <x:v>0.03393448784888501</x:v>
      </x:c>
      <x:c r="H2751" s="59" t="n">
        <x:v>0</x:v>
      </x:c>
      <x:c r="I2751" s="81" t="n">
        <x:v>0</x:v>
      </x:c>
      <x:c r="J2751" s="79" t="n">
        <x:v>2.386136531233461e-7</x:v>
      </x:c>
      <x:c r="K2751" s="81" t="n">
        <x:v>-0.9997272986821447</x:v>
      </x:c>
      <x:c r="L2751" s="81" t="n">
        <x:v>-0.9997272986821447</x:v>
      </x:c>
      <x:c r="M2751" s="80" t="n">
        <x:v>152.17178955208556</x:v>
      </x:c>
      <x:c r="N2751" s="82" t="n">
        <x:v>0.18833063669472466</x:v>
      </x:c>
      <x:c r="O2751" s="82" t="n">
        <x:v>0.09106950708801793</x:v>
      </x:c>
      <x:c r="P2751" s="80" t="n">
        <x:v>3578.476968143573</x:v>
      </x:c>
      <x:c r="Q2751" s="81" t="n">
        <x:v>0.2167784335079512</x:v>
      </x:c>
      <x:c r="R2751" s="81" t="n">
        <x:v>15.471815221064125</x:v>
      </x:c>
      <x:c r="S2751" s="81" t="n">
        <x:v>0.06278389849432138</x:v>
      </x:c>
      <x:c r="T2751" s="81" t="n">
        <x:v>0.005168892672555349</x:v>
      </x:c>
    </x:row>
    <x:row r="2752">
      <x:c r="A2752" s="59" t="n">
        <x:v>2749</x:v>
      </x:c>
      <x:c r="B2752" s="193" t="n">
        <x:v>0.5927652070298791</x:v>
      </x:c>
      <x:c r="C2752" s="83" t="n">
        <x:v>0.18847801513389448</x:v>
      </x:c>
      <x:c r="D2752" s="83" t="n">
        <x:v>0.722418932008792</x:v>
      </x:c>
      <x:c r="E2752" s="81" t="n">
        <x:v>-0.07903593043922422</x:v>
      </x:c>
      <x:c r="F2752" s="81" t="n">
        <x:v>0.44382751050870867</x:v>
      </x:c>
      <x:c r="G2752" s="81" t="n">
        <x:v>-0.03063795911071982</x:v>
      </x:c>
      <x:c r="H2752" s="59" t="n">
        <x:v>0</x:v>
      </x:c>
      <x:c r="I2752" s="81" t="n">
        <x:v>0</x:v>
      </x:c>
      <x:c r="J2752" s="79" t="n">
        <x:v>1.0803686322137693e-27</x:v>
      </x:c>
      <x:c r="K2752" s="81" t="n">
        <x:v>-1</x:v>
      </x:c>
      <x:c r="L2752" s="81" t="n">
        <x:v>-1</x:v>
      </x:c>
      <x:c r="M2752" s="80" t="n">
        <x:v>0.000002</x:v>
      </x:c>
      <x:c r="N2752" s="82" t="n">
        <x:v>0.24330153666214913</x:v>
      </x:c>
      <x:c r="O2752" s="82" t="n">
        <x:v>0.10200700864627649</x:v>
      </x:c>
      <x:c r="P2752" s="80" t="n">
        <x:v>231.87303658078062</x:v>
      </x:c>
      <x:c r="Q2752" s="81" t="n">
        <x:v>25529021603.05591</x:v>
      </x:c>
      <x:c r="R2752" s="81" t="n">
        <x:v>12.958294257655515</x:v>
      </x:c>
      <x:c r="S2752" s="81" t="n">
        <x:v>3.64654730332995e-10</x:v>
      </x:c>
      <x:c r="T2752" s="81" t="n">
        <x:v>2.340314325526759e-23</x:v>
      </x:c>
    </x:row>
    <x:row r="2753">
      <x:c r="A2753" s="59" t="n">
        <x:v>2750</x:v>
      </x:c>
      <x:c r="B2753" s="193" t="n">
        <x:v>0.6882937325164675</x:v>
      </x:c>
      <x:c r="C2753" s="83" t="n">
        <x:v>0.3342980195019423</x:v>
      </x:c>
      <x:c r="D2753" s="83" t="n">
        <x:v>0.6717318274263264</x:v>
      </x:c>
      <x:c r="E2753" s="81" t="n">
        <x:v>0.06515876906101267</x:v>
      </x:c>
      <x:c r="F2753" s="81" t="n">
        <x:v>0.2515898971236311</x:v>
      </x:c>
      <x:c r="G2753" s="81" t="n">
        <x:v>0.02410410471686162</x:v>
      </x:c>
      <x:c r="H2753" s="59" t="n">
        <x:v>0</x:v>
      </x:c>
      <x:c r="I2753" s="81" t="n">
        <x:v>0</x:v>
      </x:c>
      <x:c r="J2753" s="79" t="n">
        <x:v>0.007048963535022218</x:v>
      </x:c>
      <x:c r="K2753" s="81" t="n">
        <x:v>7.055958325739677</x:v>
      </x:c>
      <x:c r="L2753" s="81" t="n">
        <x:v>-0.5902000585527392</x:v>
      </x:c>
      <x:c r="M2753" s="80" t="n">
        <x:v>23086.56783563363</x:v>
      </x:c>
      <x:c r="N2753" s="82" t="n">
        <x:v>0.26605822259290735</x:v>
      </x:c>
      <x:c r="O2753" s="82" t="n">
        <x:v>0.06323256874209006</x:v>
      </x:c>
      <x:c r="P2753" s="80" t="n">
        <x:v>29532.310007936845</x:v>
      </x:c>
      <x:c r="Q2753" s="81" t="n">
        <x:v>0.0023454576868350858</x:v>
      </x:c>
      <x:c r="R2753" s="81" t="n">
        <x:v>286.1914825175767</x:v>
      </x:c>
      <x:c r="S2753" s="81" t="n">
        <x:v>398.6875993455502</x:v>
      </x:c>
      <x:c r="T2753" s="81" t="n">
        <x:v>152.6959396009571</x:v>
      </x:c>
    </x:row>
    <x:row r="2754">
      <x:c r="A2754" s="59" t="n">
        <x:v>2751</x:v>
      </x:c>
      <x:c r="B2754" s="193" t="n">
        <x:v>0.625983415171504</x:v>
      </x:c>
      <x:c r="C2754" s="83" t="n">
        <x:v>2.07641789634781</x:v>
      </x:c>
      <x:c r="D2754" s="83" t="n">
        <x:v>2.4044049715697526</x:v>
      </x:c>
      <x:c r="E2754" s="81" t="n">
        <x:v>-0.003828471251574146</x:v>
      </x:c>
      <x:c r="F2754" s="81" t="n">
        <x:v>0.2849988239700906</x:v>
      </x:c>
      <x:c r="G2754" s="81" t="n">
        <x:v>0.012548194560525276</x:v>
      </x:c>
      <x:c r="H2754" s="59" t="n">
        <x:v>0</x:v>
      </x:c>
      <x:c r="I2754" s="81" t="n">
        <x:v>0</x:v>
      </x:c>
      <x:c r="J2754" s="79" t="n">
        <x:v>1.5666871367247412e-10</x:v>
      </x:c>
      <x:c r="K2754" s="81" t="n">
        <x:v>-0.9999998209500415</x:v>
      </x:c>
      <x:c r="L2754" s="81" t="n">
        <x:v>-0.9999998209500415</x:v>
      </x:c>
      <x:c r="M2754" s="80" t="n">
        <x:v>6.66109248410099</x:v>
      </x:c>
      <x:c r="N2754" s="82" t="n">
        <x:v>0.25121473668288674</x:v>
      </x:c>
      <x:c r="O2754" s="82" t="n">
        <x:v>0.06763307321874758</x:v>
      </x:c>
      <x:c r="P2754" s="80" t="n">
        <x:v>9578.056593132571</x:v>
      </x:c>
      <x:c r="Q2754" s="81" t="n">
        <x:v>11.22055025281988</x:v>
      </x:c>
      <x:c r="R2754" s="81" t="n">
        <x:v>8.592448784225294</x:v>
      </x:c>
      <x:c r="S2754" s="81" t="n">
        <x:v>0.002711550869572899</x:v>
      </x:c>
      <x:c r="T2754" s="81" t="n">
        <x:v>0.0000033937863802860987</x:v>
      </x:c>
    </x:row>
    <x:row r="2755">
      <x:c r="A2755" s="59" t="n">
        <x:v>2752</x:v>
      </x:c>
      <x:c r="B2755" s="193" t="n">
        <x:v>0.2897338312119246</x:v>
      </x:c>
      <x:c r="C2755" s="83" t="n">
        <x:v>0.39524074763584005</x:v>
      </x:c>
      <x:c r="D2755" s="83" t="n">
        <x:v>0.7688578470579679</x:v>
      </x:c>
      <x:c r="E2755" s="81" t="n">
        <x:v>-0.049653264225343906</x:v>
      </x:c>
      <x:c r="F2755" s="81" t="n">
        <x:v>0.8132837749784813</x:v>
      </x:c>
      <x:c r="G2755" s="81" t="n">
        <x:v>-0.009841325926796079</x:v>
      </x:c>
      <x:c r="H2755" s="59" t="n">
        <x:v>0</x:v>
      </x:c>
      <x:c r="I2755" s="81" t="n">
        <x:v>0</x:v>
      </x:c>
      <x:c r="J2755" s="79" t="n">
        <x:v>1.7509458758407296e-24</x:v>
      </x:c>
      <x:c r="K2755" s="81" t="n">
        <x:v>-1</x:v>
      </x:c>
      <x:c r="L2755" s="81" t="n">
        <x:v>-1</x:v>
      </x:c>
      <x:c r="M2755" s="80" t="n">
        <x:v>0.000002</x:v>
      </x:c>
      <x:c r="N2755" s="82" t="n">
        <x:v>0.1711137811040157</x:v>
      </x:c>
      <x:c r="O2755" s="82" t="n">
        <x:v>0.13146133494104947</x:v>
      </x:c>
      <x:c r="P2755" s="80" t="n">
        <x:v>391.0151246750624</x:v>
      </x:c>
      <x:c r="Q2755" s="81" t="n">
        <x:v>24390468.111790027</x:v>
      </x:c>
      <x:c r="R2755" s="81" t="n">
        <x:v>8.87040132118194</x:v>
      </x:c>
      <x:c r="S2755" s="81" t="n">
        <x:v>4.27998941900231e-10</x:v>
      </x:c>
      <x:c r="T2755" s="81" t="n">
        <x:v>3.7929310369326275e-20</x:v>
      </x:c>
    </x:row>
    <x:row r="2756">
      <x:c r="A2756" s="59" t="n">
        <x:v>2753</x:v>
      </x:c>
      <x:c r="B2756" s="193" t="n">
        <x:v>0.22947302274405956</x:v>
      </x:c>
      <x:c r="C2756" s="83" t="n">
        <x:v>1.9515593131999833</x:v>
      </x:c>
      <x:c r="D2756" s="83" t="n">
        <x:v>0.5268361138304115</x:v>
      </x:c>
      <x:c r="E2756" s="81" t="n">
        <x:v>0.05302783644741413</x:v>
      </x:c>
      <x:c r="F2756" s="81" t="n">
        <x:v>0.2649772174539976</x:v>
      </x:c>
      <x:c r="G2756" s="81" t="n">
        <x:v>0.006251388755406283</x:v>
      </x:c>
      <x:c r="H2756" s="59" t="n">
        <x:v>0</x:v>
      </x:c>
      <x:c r="I2756" s="81" t="n">
        <x:v>0</x:v>
      </x:c>
      <x:c r="J2756" s="79" t="n">
        <x:v>0.022267819568018925</x:v>
      </x:c>
      <x:c r="K2756" s="81" t="n">
        <x:v>24.448936649164487</x:v>
      </x:c>
      <x:c r="L2756" s="81" t="n">
        <x:v>-0.1054492292453566</x:v>
      </x:c>
      <x:c r="M2756" s="80" t="n">
        <x:v>83524.5035157027</x:v>
      </x:c>
      <x:c r="N2756" s="82" t="n">
        <x:v>0.15675852663681153</x:v>
      </x:c>
      <x:c r="O2756" s="82" t="n">
        <x:v>0.03923834216520834</x:v>
      </x:c>
      <x:c r="P2756" s="80" t="n">
        <x:v>81269.61157262405</x:v>
      </x:c>
      <x:c r="Q2756" s="81" t="n">
        <x:v>0.00190915857058365</x:v>
      </x:c>
      <x:c r="R2756" s="81" t="n">
        <x:v>51.263233391043144</x:v>
      </x:c>
      <x:c r="S2756" s="81" t="n">
        <x:v>219.24094885624643</x:v>
      </x:c>
      <x:c r="T2756" s="81" t="n">
        <x:v>482.3695873740269</x:v>
      </x:c>
    </x:row>
    <x:row r="2757">
      <x:c r="A2757" s="59" t="n">
        <x:v>2754</x:v>
      </x:c>
      <x:c r="B2757" s="193" t="n">
        <x:v>0.3084270775318146</x:v>
      </x:c>
      <x:c r="C2757" s="83" t="n">
        <x:v>0.2429313194806382</x:v>
      </x:c>
      <x:c r="D2757" s="83" t="n">
        <x:v>0.5991883510875927</x:v>
      </x:c>
      <x:c r="E2757" s="81" t="n">
        <x:v>0.018456408021556396</x:v>
      </x:c>
      <x:c r="F2757" s="81" t="n">
        <x:v>0.4696129162795842</x:v>
      </x:c>
      <x:c r="G2757" s="81" t="n">
        <x:v>0.007182728580850346</x:v>
      </x:c>
      <x:c r="H2757" s="59" t="n">
        <x:v>0</x:v>
      </x:c>
      <x:c r="I2757" s="81" t="n">
        <x:v>0</x:v>
      </x:c>
      <x:c r="J2757" s="79" t="n">
        <x:v>0.00014572863173802886</x:v>
      </x:c>
      <x:c r="K2757" s="81" t="n">
        <x:v>-0.8334529922993956</x:v>
      </x:c>
      <x:c r="L2757" s="81" t="n">
        <x:v>-0.8787844551851844</x:v>
      </x:c>
      <x:c r="M2757" s="80" t="n">
        <x:v>2671.3177677983886</x:v>
      </x:c>
      <x:c r="N2757" s="82" t="n">
        <x:v>0.17556686287578188</x:v>
      </x:c>
      <x:c r="O2757" s="82" t="n">
        <x:v>0.07788494617839212</x:v>
      </x:c>
      <x:c r="P2757" s="80" t="n">
        <x:v>4029.2725157385203</x:v>
      </x:c>
      <x:c r="Q2757" s="81" t="n">
        <x:v>0.008269763213361772</x:v>
      </x:c>
      <x:c r="R2757" s="81" t="n">
        <x:v>75.97206021296101</x:v>
      </x:c>
      <x:c r="S2757" s="81" t="n">
        <x:v>11.763631509337015</x:v>
      </x:c>
      <x:c r="T2757" s="81" t="n">
        <x:v>3.156800320989324</x:v>
      </x:c>
    </x:row>
    <x:row r="2758">
      <x:c r="A2758" s="59" t="n">
        <x:v>2755</x:v>
      </x:c>
      <x:c r="B2758" s="193" t="n">
        <x:v>0.8091991890221835</x:v>
      </x:c>
      <x:c r="C2758" s="83" t="n">
        <x:v>0.26743020863022715</x:v>
      </x:c>
      <x:c r="D2758" s="83" t="n">
        <x:v>0.5037335648389657</x:v>
      </x:c>
      <x:c r="E2758" s="81" t="n">
        <x:v>-0.08865624404152472</x:v>
      </x:c>
      <x:c r="F2758" s="81" t="n">
        <x:v>0.31845510416897016</x:v>
      </x:c>
      <x:c r="G2758" s="81" t="n">
        <x:v>-0.0015696141672720588</x:v>
      </x:c>
      <x:c r="H2758" s="59" t="n">
        <x:v>66</x:v>
      </x:c>
      <x:c r="I2758" s="81" t="n">
        <x:v>0.13236229540780187</x:v>
      </x:c>
      <x:c r="J2758" s="79" t="n">
        <x:v>8.581782640254609e-27</x:v>
      </x:c>
      <x:c r="K2758" s="81" t="n">
        <x:v>-1</x:v>
      </x:c>
      <x:c r="L2758" s="81" t="n">
        <x:v>-1</x:v>
      </x:c>
      <x:c r="M2758" s="80" t="n">
        <x:v>0.000002</x:v>
      </x:c>
      <x:c r="N2758" s="82" t="n">
        <x:v>0.29486016930987824</x:v>
      </x:c>
      <x:c r="O2758" s="82" t="n">
        <x:v>0.08870237874555113</x:v>
      </x:c>
      <x:c r="P2758" s="80" t="n">
        <x:v>214.05870482147137</x:v>
      </x:c>
      <x:c r="Q2758" s="81" t="n">
        <x:v>2890671429.9068117</x:v>
      </x:c>
      <x:c r="R2758" s="81" t="n">
        <x:v>11.603211106268368</x:v>
      </x:c>
      <x:c r="S2758" s="81" t="n">
        <x:v>3.415707838218462e-10</x:v>
      </x:c>
      <x:c r="T2758" s="81" t="n">
        <x:v>1.8590014790035791e-22</x:v>
      </x:c>
    </x:row>
    <x:row r="2759">
      <x:c r="A2759" s="59" t="n">
        <x:v>2756</x:v>
      </x:c>
      <x:c r="B2759" s="193" t="n">
        <x:v>0.8032295070588589</x:v>
      </x:c>
      <x:c r="C2759" s="83" t="n">
        <x:v>0.3050421961690687</x:v>
      </x:c>
      <x:c r="D2759" s="83" t="n">
        <x:v>0.8371505344924207</x:v>
      </x:c>
      <x:c r="E2759" s="81" t="n">
        <x:v>-0.10790897806188221</x:v>
      </x:c>
      <x:c r="F2759" s="81" t="n">
        <x:v>0.47406752429669724</x:v>
      </x:c>
      <x:c r="G2759" s="81" t="n">
        <x:v>-0.007453986407230511</x:v>
      </x:c>
      <x:c r="H2759" s="59" t="n">
        <x:v>50</x:v>
      </x:c>
      <x:c r="I2759" s="81" t="n">
        <x:v>0.4251022316515446</x:v>
      </x:c>
      <x:c r="J2759" s="79" t="n">
        <x:v>1.5916016199828577e-38</x:v>
      </x:c>
      <x:c r="K2759" s="81" t="n">
        <x:v>-1</x:v>
      </x:c>
      <x:c r="L2759" s="81" t="n">
        <x:v>-1</x:v>
      </x:c>
      <x:c r="M2759" s="80" t="n">
        <x:v>0.000002</x:v>
      </x:c>
      <x:c r="N2759" s="82" t="n">
        <x:v>0.2934380791346777</x:v>
      </x:c>
      <x:c r="O2759" s="82" t="n">
        <x:v>0.13140975880905514</x:v>
      </x:c>
      <x:c r="P2759" s="80" t="n">
        <x:v>203.93820309972588</x:v>
      </x:c>
      <x:c r="Q2759" s="81" t="n">
        <x:v>1.3031875751300151e+21</x:v>
      </x:c>
      <x:c r="R2759" s="81" t="n">
        <x:v>5.268395550785714</x:v>
      </x:c>
      <x:c r="S2759" s="81" t="n">
        <x:v>5.130377776803679e-10</x:v>
      </x:c>
      <x:c r="T2759" s="81" t="n">
        <x:v>3.447756590400945e-34</x:v>
      </x:c>
    </x:row>
    <x:row r="2760">
      <x:c r="A2760" s="59" t="n">
        <x:v>2757</x:v>
      </x:c>
      <x:c r="B2760" s="193" t="n">
        <x:v>0.9618385648354888</x:v>
      </x:c>
      <x:c r="C2760" s="83" t="n">
        <x:v>1.7254260096092624</x:v>
      </x:c>
      <x:c r="D2760" s="83" t="n">
        <x:v>0.4182090495151525</x:v>
      </x:c>
      <x:c r="E2760" s="81" t="n">
        <x:v>0.02795543321385685</x:v>
      </x:c>
      <x:c r="F2760" s="81" t="n">
        <x:v>0.31224141583079473</x:v>
      </x:c>
      <x:c r="G2760" s="81" t="n">
        <x:v>0.00606719226861829</x:v>
      </x:c>
      <x:c r="H2760" s="59" t="n">
        <x:v>0</x:v>
      </x:c>
      <x:c r="I2760" s="81" t="n">
        <x:v>0</x:v>
      </x:c>
      <x:c r="J2760" s="79" t="n">
        <x:v>0.0004867442421296795</x:v>
      </x:c>
      <x:c r="K2760" s="81" t="n">
        <x:v>-0.44372086613750916</x:v>
      </x:c>
      <x:c r="L2760" s="81" t="n">
        <x:v>-0.6887977164669155</x:v>
      </x:c>
      <x:c r="M2760" s="80" t="n">
        <x:v>10711.932544364772</x:v>
      </x:c>
      <x:c r="N2760" s="82" t="n">
        <x:v>0.3312217306169039</x:v>
      </x:c>
      <x:c r="O2760" s="82" t="n">
        <x:v>0.0976967848163943</x:v>
      </x:c>
      <x:c r="P2760" s="80" t="n">
        <x:v>10240.414647138816</x:v>
      </x:c>
      <x:c r="Q2760" s="81" t="n">
        <x:v>0.007202283970959108</x:v>
      </x:c>
      <x:c r="R2760" s="81" t="n">
        <x:v>15.224563632274547</x:v>
      </x:c>
      <x:c r="S2760" s="81" t="n">
        <x:v>6.032440112183874</x:v>
      </x:c>
      <x:c r="T2760" s="81" t="n">
        <x:v>10.54394295389314</x:v>
      </x:c>
    </x:row>
    <x:row r="2761">
      <x:c r="A2761" s="59" t="n">
        <x:v>2758</x:v>
      </x:c>
      <x:c r="B2761" s="193" t="n">
        <x:v>0.3238568086177111</x:v>
      </x:c>
      <x:c r="C2761" s="83" t="n">
        <x:v>0.6490221017247312</x:v>
      </x:c>
      <x:c r="D2761" s="83" t="n">
        <x:v>1.565995065349851</x:v>
      </x:c>
      <x:c r="E2761" s="81" t="n">
        <x:v>0.034231321535755685</x:v>
      </x:c>
      <x:c r="F2761" s="81" t="n">
        <x:v>0.25854876642115415</x:v>
      </x:c>
      <x:c r="G2761" s="81" t="n">
        <x:v>0.02767354949745563</x:v>
      </x:c>
      <x:c r="H2761" s="59" t="n">
        <x:v>0</x:v>
      </x:c>
      <x:c r="I2761" s="81" t="n">
        <x:v>0</x:v>
      </x:c>
      <x:c r="J2761" s="79" t="n">
        <x:v>0.037869681586747014</x:v>
      </x:c>
      <x:c r="K2761" s="81" t="n">
        <x:v>42.27963609913945</x:v>
      </x:c>
      <x:c r="L2761" s="81" t="n">
        <x:v>-0.4943726849677339</x:v>
      </x:c>
      <x:c r="M2761" s="80" t="n">
        <x:v>69016.42837140468</x:v>
      </x:c>
      <x:c r="N2761" s="82" t="n">
        <x:v>0.17924251412790035</x:v>
      </x:c>
      <x:c r="O2761" s="82" t="n">
        <x:v>0.043777850996139005</x:v>
      </x:c>
      <x:c r="P2761" s="80" t="n">
        <x:v>190672.45405971137</x:v>
      </x:c>
      <x:c r="Q2761" s="81" t="n">
        <x:v>0.0032342827511507577</x:v>
      </x:c>
      <x:c r="R2761" s="81" t="n">
        <x:v>406.99442743106067</x:v>
      </x:c>
      <x:c r="S2761" s="81" t="n">
        <x:v>1124.467548123899</x:v>
      </x:c>
      <x:c r="T2761" s="81" t="n">
        <x:v>820.3399809840516</x:v>
      </x:c>
    </x:row>
    <x:row r="2762">
      <x:c r="A2762" s="59" t="n">
        <x:v>2759</x:v>
      </x:c>
      <x:c r="B2762" s="193" t="n">
        <x:v>0.3628142507746816</x:v>
      </x:c>
      <x:c r="C2762" s="83" t="n">
        <x:v>0.1489745205610396</x:v>
      </x:c>
      <x:c r="D2762" s="83" t="n">
        <x:v>0.7131806195513066</x:v>
      </x:c>
      <x:c r="E2762" s="81" t="n">
        <x:v>0.1354321102701959</x:v>
      </x:c>
      <x:c r="F2762" s="81" t="n">
        <x:v>0.5597762165241875</x:v>
      </x:c>
      <x:c r="G2762" s="81" t="n">
        <x:v>-0.004697801652145954</x:v>
      </x:c>
      <x:c r="H2762" s="59" t="n">
        <x:v>0</x:v>
      </x:c>
      <x:c r="I2762" s="81" t="n">
        <x:v>0</x:v>
      </x:c>
      <x:c r="J2762" s="79" t="n">
        <x:v>0.0062037973259322825</x:v>
      </x:c>
      <x:c r="K2762" s="81" t="n">
        <x:v>6.090054086779753</x:v>
      </x:c>
      <x:c r="L2762" s="81" t="n">
        <x:v>-0.7703036909568253</x:v>
      </x:c>
      <x:c r="M2762" s="80" t="n">
        <x:v>21543.9313035869</x:v>
      </x:c>
      <x:c r="N2762" s="82" t="n">
        <x:v>0.18852290730173132</x:v>
      </x:c>
      <x:c r="O2762" s="82" t="n">
        <x:v>0.0996895218362812</x:v>
      </x:c>
      <x:c r="P2762" s="80" t="n">
        <x:v>26340.144597105213</x:v>
      </x:c>
      <x:c r="Q2762" s="81" t="n">
        <x:v>0.0019524663394173496</x:v>
      </x:c>
      <x:c r="R2762" s="81" t="n">
        <x:v>1302.7084978194493</x:v>
      </x:c>
      <x:c r="S2762" s="81" t="n">
        <x:v>779.362608445849</x:v>
      </x:c>
      <x:c r="T2762" s="81" t="n">
        <x:v>134.3877943289927</x:v>
      </x:c>
    </x:row>
    <x:row r="2763">
      <x:c r="A2763" s="59" t="n">
        <x:v>2760</x:v>
      </x:c>
      <x:c r="B2763" s="193" t="n">
        <x:v>0.9612943289801479</x:v>
      </x:c>
      <x:c r="C2763" s="83" t="n">
        <x:v>1.5723145740355557</x:v>
      </x:c>
      <x:c r="D2763" s="83" t="n">
        <x:v>1.1182080501261957</x:v>
      </x:c>
      <x:c r="E2763" s="81" t="n">
        <x:v>-0.019717309772042998</x:v>
      </x:c>
      <x:c r="F2763" s="81" t="n">
        <x:v>0.785203343082685</x:v>
      </x:c>
      <x:c r="G2763" s="81" t="n">
        <x:v>-0.009231571364961189</x:v>
      </x:c>
      <x:c r="H2763" s="59" t="n">
        <x:v>26</x:v>
      </x:c>
      <x:c r="I2763" s="81" t="n">
        <x:v>0.3144491834565997</x:v>
      </x:c>
      <x:c r="J2763" s="79" t="n">
        <x:v>2.2462748376364254e-17</x:v>
      </x:c>
      <x:c r="K2763" s="81" t="n">
        <x:v>-0.9999999999999744</x:v>
      </x:c>
      <x:c r="L2763" s="81" t="n">
        <x:v>-0.9999999999999744</x:v>
      </x:c>
      <x:c r="M2763" s="80" t="n">
        <x:v>0.002157872716862403</x:v>
      </x:c>
      <x:c r="N2763" s="82" t="n">
        <x:v>0.3310920834317397</x:v>
      </x:c>
      <x:c r="O2763" s="82" t="n">
        <x:v>0.24558502338993746</x:v>
      </x:c>
      <x:c r="P2763" s="80" t="n">
        <x:v>1507.4866140757472</x:v>
      </x:c>
      <x:c r="Q2763" s="81" t="n">
        <x:v>5018.311980712584</x:v>
      </x:c>
      <x:c r="R2763" s="81" t="n">
        <x:v>4.1590661719262565</x:v>
      </x:c>
      <x:c r="S2763" s="81" t="n">
        <x:v>3.8133584948452664e-7</x:v>
      </x:c>
      <x:c r="T2763" s="81" t="n">
        <x:v>4.865921709350995e-13</x:v>
      </x:c>
    </x:row>
    <x:row r="2764">
      <x:c r="A2764" s="59" t="n">
        <x:v>2761</x:v>
      </x:c>
      <x:c r="B2764" s="193" t="n">
        <x:v>0.5012823848053813</x:v>
      </x:c>
      <x:c r="C2764" s="83" t="n">
        <x:v>0.7493181910151072</x:v>
      </x:c>
      <x:c r="D2764" s="83" t="n">
        <x:v>0.8554961824470413</x:v>
      </x:c>
      <x:c r="E2764" s="81" t="n">
        <x:v>-0.06935557085671137</x:v>
      </x:c>
      <x:c r="F2764" s="81" t="n">
        <x:v>0.526076904090587</x:v>
      </x:c>
      <x:c r="G2764" s="81" t="n">
        <x:v>0.0052952221360796905</x:v>
      </x:c>
      <x:c r="H2764" s="59" t="n">
        <x:v>0</x:v>
      </x:c>
      <x:c r="I2764" s="81" t="n">
        <x:v>0</x:v>
      </x:c>
      <x:c r="J2764" s="79" t="n">
        <x:v>9.233526195292943e-32</x:v>
      </x:c>
      <x:c r="K2764" s="81" t="n">
        <x:v>-1</x:v>
      </x:c>
      <x:c r="L2764" s="81" t="n">
        <x:v>-1</x:v>
      </x:c>
      <x:c r="M2764" s="80" t="n">
        <x:v>0.000002</x:v>
      </x:c>
      <x:c r="N2764" s="82" t="n">
        <x:v>0.22150861310535697</x:v>
      </x:c>
      <x:c r="O2764" s="82" t="n">
        <x:v>0.11008060189640627</x:v>
      </x:c>
      <x:c r="P2764" s="80" t="n">
        <x:v>400.65750409822846</x:v>
      </x:c>
      <x:c r="Q2764" s="81" t="n">
        <x:v>337340124599694.94</x:v>
      </x:c>
      <x:c r="R2764" s="81" t="n">
        <x:v>3.664624723141265</x:v>
      </x:c>
      <x:c r="S2764" s="81" t="n">
        <x:v>4.568346757373243e-10</x:v>
      </x:c>
      <x:c r="T2764" s="81" t="n">
        <x:v>2.0001833620151685e-27</x:v>
      </x:c>
    </x:row>
    <x:row r="2765">
      <x:c r="A2765" s="59" t="n">
        <x:v>2762</x:v>
      </x:c>
      <x:c r="B2765" s="193" t="n">
        <x:v>0.8709130203351378</x:v>
      </x:c>
      <x:c r="C2765" s="83" t="n">
        <x:v>2.750755137250567</x:v>
      </x:c>
      <x:c r="D2765" s="83" t="n">
        <x:v>2.317672268838874</x:v>
      </x:c>
      <x:c r="E2765" s="81" t="n">
        <x:v>-0.005775129831809703</x:v>
      </x:c>
      <x:c r="F2765" s="81" t="n">
        <x:v>0.7337645984720439</x:v>
      </x:c>
      <x:c r="G2765" s="81" t="n">
        <x:v>0.025825166245692484</x:v>
      </x:c>
      <x:c r="H2765" s="59" t="n">
        <x:v>47</x:v>
      </x:c>
      <x:c r="I2765" s="81" t="n">
        <x:v>0.2486288368701935</x:v>
      </x:c>
      <x:c r="J2765" s="79" t="n">
        <x:v>2.7510135466345214e-14</x:v>
      </x:c>
      <x:c r="K2765" s="81" t="n">
        <x:v>-0.9999999999685598</x:v>
      </x:c>
      <x:c r="L2765" s="81" t="n">
        <x:v>-0.9999999999685598</x:v>
      </x:c>
      <x:c r="M2765" s="80" t="n">
        <x:v>0.10898605391175818</x:v>
      </x:c>
      <x:c r="N2765" s="82" t="n">
        <x:v>0.3095615610629611</x:v>
      </x:c>
      <x:c r="O2765" s="82" t="n">
        <x:v>0.21457282778873898</x:v>
      </x:c>
      <x:c r="P2765" s="80" t="n">
        <x:v>7110.797483362166</x:v>
      </x:c>
      <x:c r="Q2765" s="81" t="n">
        <x:v>696.8400319941189</x:v>
      </x:c>
      <x:c r="R2765" s="81" t="n">
        <x:v>5.601022729347835</x:v>
      </x:c>
      <x:c r="S2765" s="81" t="n">
        <x:v>0.000041679758838966976</x:v>
      </x:c>
      <x:c r="T2765" s="81" t="n">
        <x:v>5.959295948563815e-10</x:v>
      </x:c>
    </x:row>
    <x:row r="2766">
      <x:c r="A2766" s="59" t="n">
        <x:v>2763</x:v>
      </x:c>
      <x:c r="B2766" s="193" t="n">
        <x:v>0.9816880125552416</x:v>
      </x:c>
      <x:c r="C2766" s="83" t="n">
        <x:v>0.30649823560728884</x:v>
      </x:c>
      <x:c r="D2766" s="83" t="n">
        <x:v>1.0415471321031222</x:v>
      </x:c>
      <x:c r="E2766" s="81" t="n">
        <x:v>-0.1201543158177478</x:v>
      </x:c>
      <x:c r="F2766" s="81" t="n">
        <x:v>0.8404929555254057</x:v>
      </x:c>
      <x:c r="G2766" s="81" t="n">
        <x:v>0.014704338141260292</x:v>
      </x:c>
      <x:c r="H2766" s="59" t="n">
        <x:v>0</x:v>
      </x:c>
      <x:c r="I2766" s="81" t="n">
        <x:v>0</x:v>
      </x:c>
      <x:c r="J2766" s="79" t="n">
        <x:v>1.2527549083883674e-51</x:v>
      </x:c>
      <x:c r="K2766" s="81" t="n">
        <x:v>-1</x:v>
      </x:c>
      <x:c r="L2766" s="81" t="n">
        <x:v>-1</x:v>
      </x:c>
      <x:c r="M2766" s="80" t="n">
        <x:v>0.000002</x:v>
      </x:c>
      <x:c r="N2766" s="82" t="n">
        <x:v>0.33595024124089384</x:v>
      </x:c>
      <x:c r="O2766" s="82" t="n">
        <x:v>0.2667349821697107</x:v>
      </x:c>
      <x:c r="P2766" s="80" t="n">
        <x:v>191.1473265489382</x:v>
      </x:c>
      <x:c r="Q2766" s="81" t="n">
        <x:v>1.5033744660360213e+34</x:v>
      </x:c>
      <x:c r="R2766" s="81" t="n">
        <x:v>3.5894577843854445</x:v>
      </x:c>
      <x:c r="S2766" s="81" t="n">
        <x:v>8.340747952091825e-10</x:v>
      </x:c>
      <x:c r="T2766" s="81" t="n">
        <x:v>2.7137406354233583e-47</x:v>
      </x:c>
    </x:row>
    <x:row r="2767">
      <x:c r="A2767" s="59" t="n">
        <x:v>2764</x:v>
      </x:c>
      <x:c r="B2767" s="193" t="n">
        <x:v>0.6354696046561004</x:v>
      </x:c>
      <x:c r="C2767" s="83" t="n">
        <x:v>1.7127117171553228</x:v>
      </x:c>
      <x:c r="D2767" s="83" t="n">
        <x:v>0.4939865962145468</x:v>
      </x:c>
      <x:c r="E2767" s="81" t="n">
        <x:v>0.08859625470324367</x:v>
      </x:c>
      <x:c r="F2767" s="81" t="n">
        <x:v>0.582450812868774</x:v>
      </x:c>
      <x:c r="G2767" s="81" t="n">
        <x:v>0.002336586353662756</x:v>
      </x:c>
      <x:c r="H2767" s="59" t="n">
        <x:v>0</x:v>
      </x:c>
      <x:c r="I2767" s="81" t="n">
        <x:v>0</x:v>
      </x:c>
      <x:c r="J2767" s="79" t="n">
        <x:v>0.0035930289360565676</x:v>
      </x:c>
      <x:c r="K2767" s="81" t="n">
        <x:v>3.1063187840646487</x:v>
      </x:c>
      <x:c r="L2767" s="81" t="n">
        <x:v>-0.6356684048499095</x:v>
      </x:c>
      <x:c r="M2767" s="80" t="n">
        <x:v>32772.646501492745</x:v>
      </x:c>
      <x:c r="N2767" s="82" t="n">
        <x:v>0.25347452488417016</x:v>
      </x:c>
      <x:c r="O2767" s="82" t="n">
        <x:v>0.13946477009257457</x:v>
      </x:c>
      <x:c r="P2767" s="80" t="n">
        <x:v>31374.979416224844</x:v>
      </x:c>
      <x:c r="Q2767" s="81" t="n">
        <x:v>0.0037932403152210296</x:v>
      </x:c>
      <x:c r="R2767" s="81" t="n">
        <x:v>52.48100329015153</x:v>
      </x:c>
      <x:c r="S2767" s="81" t="n">
        <x:v>41.852628952368725</x:v>
      </x:c>
      <x:c r="T2767" s="81" t="n">
        <x:v>77.83285112466618</x:v>
      </x:c>
    </x:row>
    <x:row r="2768">
      <x:c r="A2768" s="59" t="n">
        <x:v>2765</x:v>
      </x:c>
      <x:c r="B2768" s="193" t="n">
        <x:v>0.7270608808845282</x:v>
      </x:c>
      <x:c r="C2768" s="83" t="n">
        <x:v>0.1181750765871305</x:v>
      </x:c>
      <x:c r="D2768" s="83" t="n">
        <x:v>0.49889604097956625</x:v>
      </x:c>
      <x:c r="E2768" s="81" t="n">
        <x:v>-0.1173758097656875</x:v>
      </x:c>
      <x:c r="F2768" s="81" t="n">
        <x:v>0.38767416815971956</x:v>
      </x:c>
      <x:c r="G2768" s="81" t="n">
        <x:v>-0.013172444893386462</x:v>
      </x:c>
      <x:c r="H2768" s="59" t="n">
        <x:v>0</x:v>
      </x:c>
      <x:c r="I2768" s="81" t="n">
        <x:v>0</x:v>
      </x:c>
      <x:c r="J2768" s="79" t="n">
        <x:v>1.490978940897512e-29</x:v>
      </x:c>
      <x:c r="K2768" s="81" t="n">
        <x:v>-1</x:v>
      </x:c>
      <x:c r="L2768" s="81" t="n">
        <x:v>-1</x:v>
      </x:c>
      <x:c r="M2768" s="80" t="n">
        <x:v>0.000002</x:v>
      </x:c>
      <x:c r="N2768" s="82" t="n">
        <x:v>0.2752932842182113</x:v>
      </x:c>
      <x:c r="O2768" s="82" t="n">
        <x:v>0.1008169193073137</x:v>
      </x:c>
      <x:c r="P2768" s="80" t="n">
        <x:v>147.87674664945214</x:v>
      </x:c>
      <x:c r="Q2768" s="81" t="n">
        <x:v>1289864099407.7246</x:v>
      </x:c>
      <x:c r="R2768" s="81" t="n">
        <x:v>19.61932418300066</x:v>
      </x:c>
      <x:c r="S2768" s="81" t="n">
        <x:v>3.3261342954851017e-10</x:v>
      </x:c>
      <x:c r="T2768" s="81" t="n">
        <x:v>3.229785899365812e-25</x:v>
      </x:c>
    </x:row>
    <x:row r="2769">
      <x:c r="A2769" s="59" t="n">
        <x:v>2766</x:v>
      </x:c>
      <x:c r="B2769" s="193" t="n">
        <x:v>0.9159150697290899</x:v>
      </x:c>
      <x:c r="C2769" s="83" t="n">
        <x:v>0.5124677283098921</x:v>
      </x:c>
      <x:c r="D2769" s="83" t="n">
        <x:v>2.3931058806691743</x:v>
      </x:c>
      <x:c r="E2769" s="81" t="n">
        <x:v>-0.03624228415639575</x:v>
      </x:c>
      <x:c r="F2769" s="81" t="n">
        <x:v>0.6751762050087564</x:v>
      </x:c>
      <x:c r="G2769" s="81" t="n">
        <x:v>-0.017110876103117758</x:v>
      </x:c>
      <x:c r="H2769" s="59" t="n">
        <x:v>0</x:v>
      </x:c>
      <x:c r="I2769" s="81" t="n">
        <x:v>0</x:v>
      </x:c>
      <x:c r="J2769" s="79" t="n">
        <x:v>2.0891186475715657e-36</x:v>
      </x:c>
      <x:c r="K2769" s="81" t="n">
        <x:v>-1</x:v>
      </x:c>
      <x:c r="L2769" s="81" t="n">
        <x:v>-1</x:v>
      </x:c>
      <x:c r="M2769" s="80" t="n">
        <x:v>0.000002</x:v>
      </x:c>
      <x:c r="N2769" s="82" t="n">
        <x:v>0.3202818930170269</x:v>
      </x:c>
      <x:c r="O2769" s="82" t="n">
        <x:v>0.20427746357925575</x:v>
      </x:c>
      <x:c r="P2769" s="80" t="n">
        <x:v>678.8988751062066</x:v>
      </x:c>
      <x:c r="Q2769" s="81" t="n">
        <x:v>27648873668163256000</x:v>
      </x:c>
      <x:c r="R2769" s="81" t="n">
        <x:v>4.011803712352836</x:v>
      </x:c>
      <x:c r="S2769" s="81" t="n">
        <x:v>1.123530874869246e-9</x:v>
      </x:c>
      <x:c r="T2769" s="81" t="n">
        <x:v>4.5254870910296954e-32</x:v>
      </x:c>
    </x:row>
    <x:row r="2770">
      <x:c r="A2770" s="59" t="n">
        <x:v>2767</x:v>
      </x:c>
      <x:c r="B2770" s="193" t="n">
        <x:v>0.7523512175306679</x:v>
      </x:c>
      <x:c r="C2770" s="83" t="n">
        <x:v>0.6052852894323606</x:v>
      </x:c>
      <x:c r="D2770" s="83" t="n">
        <x:v>0.7475891656392593</x:v>
      </x:c>
      <x:c r="E2770" s="81" t="n">
        <x:v>0.06921757616006782</x:v>
      </x:c>
      <x:c r="F2770" s="81" t="n">
        <x:v>0.7355723724118435</x:v>
      </x:c>
      <x:c r="G2770" s="81" t="n">
        <x:v>0.009276566174702326</x:v>
      </x:c>
      <x:c r="H2770" s="59" t="n">
        <x:v>0</x:v>
      </x:c>
      <x:c r="I2770" s="81" t="n">
        <x:v>0</x:v>
      </x:c>
      <x:c r="J2770" s="79" t="n">
        <x:v>0.0010929700320242493</x:v>
      </x:c>
      <x:c r="K2770" s="81" t="n">
        <x:v>0.24910860802771362</x:v>
      </x:c>
      <x:c r="L2770" s="81" t="n">
        <x:v>-0.7880749698828036</x:v>
      </x:c>
      <x:c r="M2770" s="80" t="n">
        <x:v>11123.785777224355</x:v>
      </x:c>
      <x:c r="N2770" s="82" t="n">
        <x:v>0.2813179166011338</x:v>
      </x:c>
      <x:c r="O2770" s="82" t="n">
        <x:v>0.19547613494792854</x:v>
      </x:c>
      <x:c r="P2770" s="80" t="n">
        <x:v>15983.07436385657</x:v>
      </x:c>
      <x:c r="Q2770" s="81" t="n">
        <x:v>0.006670509537889904</x:v>
      </x:c>
      <x:c r="R2770" s="81" t="n">
        <x:v>74.39647148011372</x:v>
      </x:c>
      <x:c r="S2770" s="81" t="n">
        <x:v>36.216429772717724</x:v>
      </x:c>
      <x:c r="T2770" s="81" t="n">
        <x:v>23.676117086780323</x:v>
      </x:c>
    </x:row>
    <x:row r="2771">
      <x:c r="A2771" s="59" t="n">
        <x:v>2768</x:v>
      </x:c>
      <x:c r="B2771" s="193" t="n">
        <x:v>0.8192930277436972</x:v>
      </x:c>
      <x:c r="C2771" s="83" t="n">
        <x:v>0.10892841596016653</x:v>
      </x:c>
      <x:c r="D2771" s="83" t="n">
        <x:v>1.284188849853912</x:v>
      </x:c>
      <x:c r="E2771" s="81" t="n">
        <x:v>0.02648777806309534</x:v>
      </x:c>
      <x:c r="F2771" s="81" t="n">
        <x:v>0.7066658279625699</x:v>
      </x:c>
      <x:c r="G2771" s="81" t="n">
        <x:v>-0.0151950810215573</x:v>
      </x:c>
      <x:c r="H2771" s="59" t="n">
        <x:v>11</x:v>
      </x:c>
      <x:c r="I2771" s="81" t="n">
        <x:v>0.41020972440019254</x:v>
      </x:c>
      <x:c r="J2771" s="79" t="n">
        <x:v>0.00011448277359877074</x:v>
      </x:c>
      <x:c r="K2771" s="81" t="n">
        <x:v>-0.8691625444585477</x:v>
      </x:c>
      <x:c r="L2771" s="81" t="n">
        <x:v>-0.9045021835677571</x:v>
      </x:c>
      <x:c r="M2771" s="80" t="n">
        <x:v>2283.549228668366</x:v>
      </x:c>
      <x:c r="N2771" s="82" t="n">
        <x:v>0.29726471095281864</x:v>
      </x:c>
      <x:c r="O2771" s="82" t="n">
        <x:v>0.19843962089795575</x:v>
      </x:c>
      <x:c r="P2771" s="80" t="n">
        <x:v>6123.276832805346</x:v>
      </x:c>
      <x:c r="Q2771" s="81" t="n">
        <x:v>0.016168502979464608</x:v>
      </x:c>
      <x:c r="R2771" s="81" t="n">
        <x:v>110.56565559480273</x:v>
      </x:c>
      <x:c r="S2771" s="81" t="n">
        <x:v>20.49903298588721</x:v>
      </x:c>
      <x:c r="T2771" s="81" t="n">
        <x:v>2.4799468171362653</x:v>
      </x:c>
    </x:row>
    <x:row r="2772">
      <x:c r="A2772" s="59" t="n">
        <x:v>2769</x:v>
      </x:c>
      <x:c r="B2772" s="193" t="n">
        <x:v>0.9862700486555696</x:v>
      </x:c>
      <x:c r="C2772" s="83" t="n">
        <x:v>0.7348511158688874</x:v>
      </x:c>
      <x:c r="D2772" s="83" t="n">
        <x:v>1.1495551149933836</x:v>
      </x:c>
      <x:c r="E2772" s="81" t="n">
        <x:v>0.009471821928713282</x:v>
      </x:c>
      <x:c r="F2772" s="81" t="n">
        <x:v>0.8577736323699355</x:v>
      </x:c>
      <x:c r="G2772" s="81" t="n">
        <x:v>-0.018667863229494455</x:v>
      </x:c>
      <x:c r="H2772" s="59" t="n">
        <x:v>0</x:v>
      </x:c>
      <x:c r="I2772" s="81" t="n">
        <x:v>0</x:v>
      </x:c>
      <x:c r="J2772" s="79" t="n">
        <x:v>0.000012914214696466328</x:v>
      </x:c>
      <x:c r="K2772" s="81" t="n">
        <x:v>-0.9852408974897527</x:v>
      </x:c>
      <x:c r="L2772" s="81" t="n">
        <x:v>-0.9852408974897527</x:v>
      </x:c>
      <x:c r="M2772" s="80" t="n">
        <x:v>1105.3785288049883</x:v>
      </x:c>
      <x:c r="N2772" s="82" t="n">
        <x:v>0.3370417681531688</x:v>
      </x:c>
      <x:c r="O2772" s="82" t="n">
        <x:v>0.27310355813212733</x:v>
      </x:c>
      <x:c r="P2772" s="80" t="n">
        <x:v>4106.888767018679</x:v>
      </x:c>
      <x:c r="Q2772" s="81" t="n">
        <x:v>0.051812587265954536</x:v>
      </x:c>
      <x:c r="R2772" s="81" t="n">
        <x:v>15.382660158447784</x:v>
      </x:c>
      <x:c r="S2772" s="81" t="n">
        <x:v>0.5837416024439702</x:v>
      </x:c>
      <x:c r="T2772" s="81" t="n">
        <x:v>0.279750084886657</x:v>
      </x:c>
    </x:row>
    <x:row r="2773">
      <x:c r="A2773" s="59" t="n">
        <x:v>2770</x:v>
      </x:c>
      <x:c r="B2773" s="193" t="n">
        <x:v>0.6900490542873741</x:v>
      </x:c>
      <x:c r="C2773" s="83" t="n">
        <x:v>0.10989139901170668</x:v>
      </x:c>
      <x:c r="D2773" s="83" t="n">
        <x:v>0.5258388536017036</x:v>
      </x:c>
      <x:c r="E2773" s="81" t="n">
        <x:v>0.13367408917902635</x:v>
      </x:c>
      <x:c r="F2773" s="81" t="n">
        <x:v>0.8459685319918208</x:v>
      </x:c>
      <x:c r="G2773" s="81" t="n">
        <x:v>0.00215168122455827</x:v>
      </x:c>
      <x:c r="H2773" s="59" t="n">
        <x:v>0</x:v>
      </x:c>
      <x:c r="I2773" s="81" t="n">
        <x:v>0</x:v>
      </x:c>
      <x:c r="J2773" s="79" t="n">
        <x:v>0.0007334966659985323</x:v>
      </x:c>
      <x:c r="K2773" s="81" t="n">
        <x:v>-0.1617180960016773</x:v>
      </x:c>
      <x:c r="L2773" s="81" t="n">
        <x:v>-0.8398310110113136</x:v>
      </x:c>
      <x:c r="M2773" s="80" t="n">
        <x:v>6671.644162464998</x:v>
      </x:c>
      <x:c r="N2773" s="82" t="n">
        <x:v>0.2664763731510203</x:v>
      </x:c>
      <x:c r="O2773" s="82" t="n">
        <x:v>0.21295304739001455</x:v>
      </x:c>
      <x:c r="P2773" s="80" t="n">
        <x:v>6737.6206442915945</x:v>
      </x:c>
      <x:c r="Q2773" s="81" t="n">
        <x:v>0.004024086471134905</x:v>
      </x:c>
      <x:c r="R2773" s="81" t="n">
        <x:v>340.28700345919606</x:v>
      </x:c>
      <x:c r="S2773" s="81" t="n">
        <x:v>125.51606725937997</x:v>
      </x:c>
      <x:c r="T2773" s="81" t="n">
        <x:v>15.889139169516543</x:v>
      </x:c>
    </x:row>
    <x:row r="2774">
      <x:c r="A2774" s="59" t="n">
        <x:v>2771</x:v>
      </x:c>
      <x:c r="B2774" s="193" t="n">
        <x:v>0.6102574503049254</x:v>
      </x:c>
      <x:c r="C2774" s="83" t="n">
        <x:v>0.40556363595778605</x:v>
      </x:c>
      <x:c r="D2774" s="83" t="n">
        <x:v>0.29630478146423916</x:v>
      </x:c>
      <x:c r="E2774" s="81" t="n">
        <x:v>-0.05957085922273782</x:v>
      </x:c>
      <x:c r="F2774" s="81" t="n">
        <x:v>0.7937362130614929</x:v>
      </x:c>
      <x:c r="G2774" s="81" t="n">
        <x:v>-0.01549649078181947</x:v>
      </x:c>
      <x:c r="H2774" s="59" t="n">
        <x:v>63</x:v>
      </x:c>
      <x:c r="I2774" s="81" t="n">
        <x:v>0.2638445914722979</x:v>
      </x:c>
      <x:c r="J2774" s="79" t="n">
        <x:v>8.349032018309624e-15</x:v>
      </x:c>
      <x:c r="K2774" s="81" t="n">
        <x:v>-0.9999999999904583</x:v>
      </x:c>
      <x:c r="L2774" s="81" t="n">
        <x:v>-0.9999999999904583</x:v>
      </x:c>
      <x:c r="M2774" s="80" t="n">
        <x:v>0.022537948000934036</x:v>
      </x:c>
      <x:c r="N2774" s="82" t="n">
        <x:v>0.24746851698982658</x:v>
      </x:c>
      <x:c r="O2774" s="82" t="n">
        <x:v>0.1855526206091419</x:v>
      </x:c>
      <x:c r="P2774" s="80" t="n">
        <x:v>237.0602723760187</x:v>
      </x:c>
      <x:c r="Q2774" s="81" t="n">
        <x:v>48.493617633001385</x:v>
      </x:c>
      <x:c r="R2774" s="81" t="n">
        <x:v>12.136286525027678</x:v>
      </x:c>
      <x:c r="S2774" s="81" t="n">
        <x:v>0.000001771011036210984</x:v>
      </x:c>
      <x:c r="T2774" s="81" t="n">
        <x:v>1.8085826128340796e-10</x:v>
      </x:c>
    </x:row>
    <x:row r="2775">
      <x:c r="A2775" s="59" t="n">
        <x:v>2772</x:v>
      </x:c>
      <x:c r="B2775" s="193" t="n">
        <x:v>0.5978044768795372</x:v>
      </x:c>
      <x:c r="C2775" s="83" t="n">
        <x:v>1.0697354899829579</x:v>
      </x:c>
      <x:c r="D2775" s="83" t="n">
        <x:v>1.0767799682568693</x:v>
      </x:c>
      <x:c r="E2775" s="81" t="n">
        <x:v>0.05588152185664543</x:v>
      </x:c>
      <x:c r="F2775" s="81" t="n">
        <x:v>0.5635468787397258</x:v>
      </x:c>
      <x:c r="G2775" s="81" t="n">
        <x:v>0.010441698468987444</x:v>
      </x:c>
      <x:c r="H2775" s="59" t="n">
        <x:v>80</x:v>
      </x:c>
      <x:c r="I2775" s="81" t="n">
        <x:v>0.1736876204609871</x:v>
      </x:c>
      <x:c r="J2775" s="79" t="n">
        <x:v>0.005847601993693775</x:v>
      </x:c>
      <x:c r="K2775" s="81" t="n">
        <x:v>5.682973707078601</x:v>
      </x:c>
      <x:c r="L2775" s="81" t="n">
        <x:v>-0.8237556295645168</x:v>
      </x:c>
      <x:c r="M2775" s="80" t="n">
        <x:v>34194.38901980263</x:v>
      </x:c>
      <x:c r="N2775" s="82" t="n">
        <x:v>0.24450198522664715</x:v>
      </x:c>
      <x:c r="O2775" s="82" t="n">
        <x:v>0.13016175039876665</x:v>
      </x:c>
      <x:c r="P2775" s="80" t="n">
        <x:v>65415.98654548066</x:v>
      </x:c>
      <x:c r="Q2775" s="81" t="n">
        <x:v>0.005709387909405182</x:v>
      </x:c>
      <x:c r="R2775" s="81" t="n">
        <x:v>121.67784130032399</x:v>
      </x:c>
      <x:c r="S2775" s="81" t="n">
        <x:v>110.7478766019616</x:v>
      </x:c>
      <x:c r="T2775" s="81" t="n">
        <x:v>126.6718257802261</x:v>
      </x:c>
    </x:row>
    <x:row r="2776">
      <x:c r="A2776" s="59" t="n">
        <x:v>2773</x:v>
      </x:c>
      <x:c r="B2776" s="193" t="n">
        <x:v>0.4125855188816786</x:v>
      </x:c>
      <x:c r="C2776" s="83" t="n">
        <x:v>2.347017086073087</x:v>
      </x:c>
      <x:c r="D2776" s="83" t="n">
        <x:v>2.5739981472767077</x:v>
      </x:c>
      <x:c r="E2776" s="81" t="n">
        <x:v>0.13367516351782796</x:v>
      </x:c>
      <x:c r="F2776" s="81" t="n">
        <x:v>0.4546746867126785</x:v>
      </x:c>
      <x:c r="G2776" s="81" t="n">
        <x:v>0.04183130593073417</x:v>
      </x:c>
      <x:c r="H2776" s="59" t="n">
        <x:v>0</x:v>
      </x:c>
      <x:c r="I2776" s="81" t="n">
        <x:v>0</x:v>
      </x:c>
      <x:c r="J2776" s="79" t="n">
        <x:v>3.267484643910674</x:v>
      </x:c>
      <x:c r="K2776" s="81" t="n">
        <x:v>3733.268164469342</x:v>
      </x:c>
      <x:c r="L2776" s="81" t="n">
        <x:v>-0.7987941345970715</x:v>
      </x:c>
      <x:c r="M2776" s="80" t="n">
        <x:v>2831116.127832584</x:v>
      </x:c>
      <x:c r="N2776" s="82" t="n">
        <x:v>0.20037935657609485</x:v>
      </x:c>
      <x:c r="O2776" s="82" t="n">
        <x:v>0.0860646279773719</x:v>
      </x:c>
      <x:c r="P2776" s="80" t="n">
        <x:v>8685373.095493248</x:v>
      </x:c>
      <x:c r="Q2776" s="81" t="n">
        <x:v>0.0026828243712040513</x:v>
      </x:c>
      <x:c r="R2776" s="81" t="n">
        <x:v>7279.898004621934</x:v>
      </x:c>
      <x:c r="S2776" s="81" t="n">
        <x:v>27505.16489278088</x:v>
      </x:c>
      <x:c r="T2776" s="81" t="n">
        <x:v>70780.85102224417</x:v>
      </x:c>
    </x:row>
    <x:row r="2777">
      <x:c r="A2777" s="59" t="n">
        <x:v>2774</x:v>
      </x:c>
      <x:c r="B2777" s="193" t="n">
        <x:v>0.7840830022469163</x:v>
      </x:c>
      <x:c r="C2777" s="83" t="n">
        <x:v>1.4055394202369769</x:v>
      </x:c>
      <x:c r="D2777" s="83" t="n">
        <x:v>0.7082712618281162</x:v>
      </x:c>
      <x:c r="E2777" s="81" t="n">
        <x:v>-0.06510696405570066</x:v>
      </x:c>
      <x:c r="F2777" s="81" t="n">
        <x:v>0.5343641322804615</x:v>
      </x:c>
      <x:c r="G2777" s="81" t="n">
        <x:v>-0.0007013298817671832</x:v>
      </x:c>
      <x:c r="H2777" s="59" t="n">
        <x:v>0</x:v>
      </x:c>
      <x:c r="I2777" s="81" t="n">
        <x:v>0</x:v>
      </x:c>
      <x:c r="J2777" s="79" t="n">
        <x:v>1.5370721375946364e-27</x:v>
      </x:c>
      <x:c r="K2777" s="81" t="n">
        <x:v>-1</x:v>
      </x:c>
      <x:c r="L2777" s="81" t="n">
        <x:v>-1</x:v>
      </x:c>
      <x:c r="M2777" s="80" t="n">
        <x:v>0.000002</x:v>
      </x:c>
      <x:c r="N2777" s="82" t="n">
        <x:v>0.2888770226915075</x:v>
      </x:c>
      <x:c r="O2777" s="82" t="n">
        <x:v>0.14582139240337597</x:v>
      </x:c>
      <x:c r="P2777" s="80" t="n">
        <x:v>561.6459709404037</x:v>
      </x:c>
      <x:c r="Q2777" s="81" t="n">
        <x:v>21501379793.8488</x:v>
      </x:c>
      <x:c r="R2777" s="81" t="n">
        <x:v>2.6444781128881494</x:v>
      </x:c>
      <x:c r="S2777" s="81" t="n">
        <x:v>2.557314730109538e-10</x:v>
      </x:c>
      <x:c r="T2777" s="81" t="n">
        <x:v>3.329633826566885e-23</x:v>
      </x:c>
    </x:row>
    <x:row r="2778">
      <x:c r="A2778" s="59" t="n">
        <x:v>2775</x:v>
      </x:c>
      <x:c r="B2778" s="193" t="n">
        <x:v>0.8934350019320847</x:v>
      </x:c>
      <x:c r="C2778" s="83" t="n">
        <x:v>0.25132922650736944</x:v>
      </x:c>
      <x:c r="D2778" s="83" t="n">
        <x:v>3</x:v>
      </x:c>
      <x:c r="E2778" s="81" t="n">
        <x:v>0.037975823427890625</x:v>
      </x:c>
      <x:c r="F2778" s="81" t="n">
        <x:v>0.30705630016746</x:v>
      </x:c>
      <x:c r="G2778" s="81" t="n">
        <x:v>-0.04047107267154801</x:v>
      </x:c>
      <x:c r="H2778" s="59" t="n">
        <x:v>0</x:v>
      </x:c>
      <x:c r="I2778" s="81" t="n">
        <x:v>0</x:v>
      </x:c>
      <x:c r="J2778" s="79" t="n">
        <x:v>0.005321731934029786</x:v>
      </x:c>
      <x:c r="K2778" s="81" t="n">
        <x:v>5.0819793531769</x:v>
      </x:c>
      <x:c r="L2778" s="81" t="n">
        <x:v>-0.7918706093680032</x:v>
      </x:c>
      <x:c r="M2778" s="80" t="n">
        <x:v>21420.990029493063</x:v>
      </x:c>
      <x:c r="N2778" s="82" t="n">
        <x:v>0.3149267193665086</x:v>
      </x:c>
      <x:c r="O2778" s="82" t="n">
        <x:v>0.09134787808282584</x:v>
      </x:c>
      <x:c r="P2778" s="80" t="n">
        <x:v>102086.13990960694</x:v>
      </x:c>
      <x:c r="Q2778" s="81" t="n">
        <x:v>0.0059744815079889255</x:v>
      </x:c>
      <x:c r="R2778" s="81" t="n">
        <x:v>1357.4013888824195</x:v>
      </x:c>
      <x:c r="S2778" s="81" t="n">
        <x:v>407.2071612419637</x:v>
      </x:c>
      <x:c r="T2778" s="81" t="n">
        <x:v>115.28033219830462</x:v>
      </x:c>
    </x:row>
    <x:row r="2779">
      <x:c r="A2779" s="59" t="n">
        <x:v>2776</x:v>
      </x:c>
      <x:c r="B2779" s="193" t="n">
        <x:v>0.9860600436106324</x:v>
      </x:c>
      <x:c r="C2779" s="83" t="n">
        <x:v>0.12070559102619763</x:v>
      </x:c>
      <x:c r="D2779" s="83" t="n">
        <x:v>1.058850773318612</x:v>
      </x:c>
      <x:c r="E2779" s="81" t="n">
        <x:v>0.05824543955139738</x:v>
      </x:c>
      <x:c r="F2779" s="81" t="n">
        <x:v>0.7569580242270604</x:v>
      </x:c>
      <x:c r="G2779" s="81" t="n">
        <x:v>-0.011707208135356058</x:v>
      </x:c>
      <x:c r="H2779" s="59" t="n">
        <x:v>0</x:v>
      </x:c>
      <x:c r="I2779" s="81" t="n">
        <x:v>0</x:v>
      </x:c>
      <x:c r="J2779" s="79" t="n">
        <x:v>0.0003136320277568687</x:v>
      </x:c>
      <x:c r="K2779" s="81" t="n">
        <x:v>-0.6415633968492929</x:v>
      </x:c>
      <x:c r="L2779" s="81" t="n">
        <x:v>-0.8677445688791731</x:v>
      </x:c>
      <x:c r="M2779" s="80" t="n">
        <x:v>4206.511649121945</x:v>
      </x:c>
      <x:c r="N2779" s="82" t="n">
        <x:v>0.33699174101387047</x:v>
      </x:c>
      <x:c r="O2779" s="82" t="n">
        <x:v>0.24096945549280832</x:v>
      </x:c>
      <x:c r="P2779" s="80" t="n">
        <x:v>8544.387122679966</x:v>
      </x:c>
      <x:c r="Q2779" s="81" t="n">
        <x:v>0.009622383036625564</x:v>
      </x:c>
      <x:c r="R2779" s="81" t="n">
        <x:v>224.1467388581486</x:v>
      </x:c>
      <x:c r="S2779" s="81" t="n">
        <x:v>49.82967206467343</x:v>
      </x:c>
      <x:c r="T2779" s="81" t="n">
        <x:v>6.793954448671663</x:v>
      </x:c>
    </x:row>
    <x:row r="2780">
      <x:c r="A2780" s="59" t="n">
        <x:v>2777</x:v>
      </x:c>
      <x:c r="B2780" s="193" t="n">
        <x:v>0.42974504828453064</x:v>
      </x:c>
      <x:c r="C2780" s="83" t="n">
        <x:v>1.1576121419278682</x:v>
      </x:c>
      <x:c r="D2780" s="83" t="n">
        <x:v>1.5115671494312437</x:v>
      </x:c>
      <x:c r="E2780" s="81" t="n">
        <x:v>0.13579369553256784</x:v>
      </x:c>
      <x:c r="F2780" s="81" t="n">
        <x:v>0.28553971828659996</x:v>
      </x:c>
      <x:c r="G2780" s="81" t="n">
        <x:v>-0.05</x:v>
      </x:c>
      <x:c r="H2780" s="59" t="n">
        <x:v>0</x:v>
      </x:c>
      <x:c r="I2780" s="81" t="n">
        <x:v>0</x:v>
      </x:c>
      <x:c r="J2780" s="79" t="n">
        <x:v>0.13589356408393027</x:v>
      </x:c>
      <x:c r="K2780" s="81" t="n">
        <x:v>154.3069303816346</x:v>
      </x:c>
      <x:c r="L2780" s="81" t="n">
        <x:v>-0.7925653146850332</x:v>
      </x:c>
      <x:c r="M2780" s="80" t="n">
        <x:v>221980.1280403577</x:v>
      </x:c>
      <x:c r="N2780" s="82" t="n">
        <x:v>0.2044670782210305</x:v>
      </x:c>
      <x:c r="O2780" s="82" t="n">
        <x:v>0.055151948387041266</x:v>
      </x:c>
      <x:c r="P2780" s="80" t="n">
        <x:v>459862.70953525684</x:v>
      </x:c>
      <x:c r="Q2780" s="81" t="n">
        <x:v>0.0012421478601061227</x:v>
      </x:c>
      <x:c r="R2780" s="81" t="n">
        <x:v>5387.491467293198</x:v>
      </x:c>
      <x:c r="S2780" s="81" t="n">
        <x:v>2220.1774793737923</x:v>
      </x:c>
      <x:c r="T2780" s="81" t="n">
        <x:v>2943.751283493227</x:v>
      </x:c>
    </x:row>
    <x:row r="2781">
      <x:c r="A2781" s="59" t="n">
        <x:v>2778</x:v>
      </x:c>
      <x:c r="B2781" s="193" t="n">
        <x:v>0.9819203399121761</x:v>
      </x:c>
      <x:c r="C2781" s="83" t="n">
        <x:v>0.46781742785709735</x:v>
      </x:c>
      <x:c r="D2781" s="83" t="n">
        <x:v>2.931029914299872</x:v>
      </x:c>
      <x:c r="E2781" s="81" t="n">
        <x:v>0.013401897185322784</x:v>
      </x:c>
      <x:c r="F2781" s="81" t="n">
        <x:v>0.2745989451534115</x:v>
      </x:c>
      <x:c r="G2781" s="81" t="n">
        <x:v>0.04017861386323078</x:v>
      </x:c>
      <x:c r="H2781" s="59" t="n">
        <x:v>0</x:v>
      </x:c>
      <x:c r="I2781" s="81" t="n">
        <x:v>0</x:v>
      </x:c>
      <x:c r="J2781" s="79" t="n">
        <x:v>0.005150071420885804</x:v>
      </x:c>
      <x:c r="K2781" s="81" t="n">
        <x:v>4.885795909583776</x:v>
      </x:c>
      <x:c r="L2781" s="81" t="n">
        <x:v>-0.6200655979673522</x:v>
      </x:c>
      <x:c r="M2781" s="80" t="n">
        <x:v>21685.651858773275</x:v>
      </x:c>
      <x:c r="N2781" s="82" t="n">
        <x:v>0.3360055859734536</x:v>
      </x:c>
      <x:c r="O2781" s="82" t="n">
        <x:v>0.08715981582719373</x:v>
      </x:c>
      <x:c r="P2781" s="80" t="n">
        <x:v>121234.38620712409</x:v>
      </x:c>
      <x:c r="Q2781" s="81" t="n">
        <x:v>0.014985096282656759</x:v>
      </x:c>
      <x:c r="R2781" s="81" t="n">
        <x:v>148.5221095102603</x:v>
      </x:c>
      <x:c r="S2781" s="81" t="n">
        <x:v>235.29720668025902</x:v>
      </x:c>
      <x:c r="T2781" s="81" t="n">
        <x:v>111.56179071108153</x:v>
      </x:c>
    </x:row>
    <x:row r="2782">
      <x:c r="A2782" s="59" t="n">
        <x:v>2779</x:v>
      </x:c>
      <x:c r="B2782" s="193" t="n">
        <x:v>0.7027803119271994</x:v>
      </x:c>
      <x:c r="C2782" s="83" t="n">
        <x:v>0.11320824510835256</x:v>
      </x:c>
      <x:c r="D2782" s="83" t="n">
        <x:v>0.9651588959665591</x:v>
      </x:c>
      <x:c r="E2782" s="81" t="n">
        <x:v>0.1210310244556187</x:v>
      </x:c>
      <x:c r="F2782" s="81" t="n">
        <x:v>0.3941970454645343</x:v>
      </x:c>
      <x:c r="G2782" s="81" t="n">
        <x:v>0.014581406001254543</x:v>
      </x:c>
      <x:c r="H2782" s="59" t="n">
        <x:v>0</x:v>
      </x:c>
      <x:c r="I2782" s="81" t="n">
        <x:v>0</x:v>
      </x:c>
      <x:c r="J2782" s="79" t="n">
        <x:v>0.01394160345274745</x:v>
      </x:c>
      <x:c r="K2782" s="81" t="n">
        <x:v>14.933261088854229</x:v>
      </x:c>
      <x:c r="L2782" s="81" t="n">
        <x:v>-0.7747044632320494</x:v>
      </x:c>
      <x:c r="M2782" s="80" t="n">
        <x:v>34523.10218865064</x:v>
      </x:c>
      <x:c r="N2782" s="82" t="n">
        <x:v>0.26950919743190743</x:v>
      </x:c>
      <x:c r="O2782" s="82" t="n">
        <x:v>0.10035936332389965</x:v>
      </x:c>
      <x:c r="P2782" s="80" t="n">
        <x:v>53397.27144255266</x:v>
      </x:c>
      <x:c r="Q2782" s="81" t="n">
        <x:v>0.002288787265728836</x:v>
      </x:c>
      <x:c r="R2782" s="81" t="n">
        <x:v>2337.8083831658896</x:v>
      </x:c>
      <x:c r="S2782" s="81" t="n">
        <x:v>2303.642422060709</x:v>
      </x:c>
      <x:c r="T2782" s="81" t="n">
        <x:v>302.0055683625422</x:v>
      </x:c>
    </x:row>
    <x:row r="2783">
      <x:c r="A2783" s="59" t="n">
        <x:v>2780</x:v>
      </x:c>
      <x:c r="B2783" s="193" t="n">
        <x:v>0.9333271058276296</x:v>
      </x:c>
      <x:c r="C2783" s="83" t="n">
        <x:v>1.617034337294874</x:v>
      </x:c>
      <x:c r="D2783" s="83" t="n">
        <x:v>0.4787452432565789</x:v>
      </x:c>
      <x:c r="E2783" s="81" t="n">
        <x:v>-0.030272272562464717</x:v>
      </x:c>
      <x:c r="F2783" s="81" t="n">
        <x:v>0.5361524599487894</x:v>
      </x:c>
      <x:c r="G2783" s="81" t="n">
        <x:v>-0.014249786348865302</x:v>
      </x:c>
      <x:c r="H2783" s="59" t="n">
        <x:v>0</x:v>
      </x:c>
      <x:c r="I2783" s="81" t="n">
        <x:v>0</x:v>
      </x:c>
      <x:c r="J2783" s="79" t="n">
        <x:v>7.904205672600063e-13</x:v>
      </x:c>
      <x:c r="K2783" s="81" t="n">
        <x:v>-0.9999999990966623</x:v>
      </x:c>
      <x:c r="L2783" s="81" t="n">
        <x:v>-0.9999999990966623</x:v>
      </x:c>
      <x:c r="M2783" s="80" t="n">
        <x:v>0.40561353151478496</x:v>
      </x:c>
      <x:c r="N2783" s="82" t="n">
        <x:v>0.32442976649137556</x:v>
      </x:c>
      <x:c r="O2783" s="82" t="n">
        <x:v>0.1643160319888528</x:v>
      </x:c>
      <x:c r="P2783" s="80" t="n">
        <x:v>958.5467671879529</x:v>
      </x:c>
      <x:c r="Q2783" s="81" t="n">
        <x:v>17.630008645270987</x:v>
      </x:c>
      <x:c r="R2783" s="81" t="n">
        <x:v>4.713890066096753</x:v>
      </x:c>
      <x:c r="S2783" s="81" t="n">
        <x:v>0.000027959502469320063</x:v>
      </x:c>
      <x:c r="T2783" s="81" t="n">
        <x:v>1.7122235148192998e-8</x:v>
      </x:c>
    </x:row>
    <x:row r="2784">
      <x:c r="A2784" s="59" t="n">
        <x:v>2781</x:v>
      </x:c>
      <x:c r="B2784" s="193" t="n">
        <x:v>0.3795747356489301</x:v>
      </x:c>
      <x:c r="C2784" s="83" t="n">
        <x:v>0.3416579815436772</x:v>
      </x:c>
      <x:c r="D2784" s="83" t="n">
        <x:v>1.2848718286680683</x:v>
      </x:c>
      <x:c r="E2784" s="81" t="n">
        <x:v>0.03396045338383059</x:v>
      </x:c>
      <x:c r="F2784" s="81" t="n">
        <x:v>0.8831301666912623</x:v>
      </x:c>
      <x:c r="G2784" s="81" t="n">
        <x:v>0.04167556861125937</x:v>
      </x:c>
      <x:c r="H2784" s="59" t="n">
        <x:v>0</x:v>
      </x:c>
      <x:c r="I2784" s="81" t="n">
        <x:v>0</x:v>
      </x:c>
      <x:c r="J2784" s="79" t="n">
        <x:v>0.0016531959295943135</x:v>
      </x:c>
      <x:c r="K2784" s="81" t="n">
        <x:v>0.8893667766792157</x:v>
      </x:c>
      <x:c r="L2784" s="81" t="n">
        <x:v>-0.77006309280262</x:v>
      </x:c>
      <x:c r="M2784" s="80" t="n">
        <x:v>11495.715874169897</x:v>
      </x:c>
      <x:c r="N2784" s="82" t="n">
        <x:v>0.1925155690578687</x:v>
      </x:c>
      <x:c r="O2784" s="82" t="n">
        <x:v>0.16060590880842748</x:v>
      </x:c>
      <x:c r="P2784" s="80" t="n">
        <x:v>28967.47988721831</x:v>
      </x:c>
      <x:c r="Q2784" s="81" t="n">
        <x:v>0.010961828760922603</x:v>
      </x:c>
      <x:c r="R2784" s="81" t="n">
        <x:v>108.701326345308</x:v>
      </x:c>
      <x:c r="S2784" s="81" t="n">
        <x:v>97.97293974150915</x:v>
      </x:c>
      <x:c r="T2784" s="81" t="n">
        <x:v>35.81183312407159</x:v>
      </x:c>
    </x:row>
    <x:row r="2785">
      <x:c r="A2785" s="59" t="n">
        <x:v>2782</x:v>
      </x:c>
      <x:c r="B2785" s="193" t="n">
        <x:v>0.7578650074079634</x:v>
      </x:c>
      <x:c r="C2785" s="83" t="n">
        <x:v>2.920118515021829</x:v>
      </x:c>
      <x:c r="D2785" s="83" t="n">
        <x:v>2.5889435779922576</x:v>
      </x:c>
      <x:c r="E2785" s="81" t="n">
        <x:v>0.11910496863892966</x:v>
      </x:c>
      <x:c r="F2785" s="81" t="n">
        <x:v>0.4268955679028295</x:v>
      </x:c>
      <x:c r="G2785" s="81" t="n">
        <x:v>0.02813977241285344</x:v>
      </x:c>
      <x:c r="H2785" s="59" t="n">
        <x:v>0</x:v>
      </x:c>
      <x:c r="I2785" s="81" t="n">
        <x:v>0</x:v>
      </x:c>
      <x:c r="J2785" s="79" t="n">
        <x:v>1.583127249855064</x:v>
      </x:c>
      <x:c r="K2785" s="81" t="n">
        <x:v>1808.2882855486446</x:v>
      </x:c>
      <x:c r="L2785" s="81" t="n">
        <x:v>-0.7982699817868358</x:v>
      </x:c>
      <x:c r="M2785" s="80" t="n">
        <x:v>2082913.149337056</x:v>
      </x:c>
      <x:c r="N2785" s="82" t="n">
        <x:v>0.2826314047334655</x:v>
      </x:c>
      <x:c r="O2785" s="82" t="n">
        <x:v>0.11397589332241462</x:v>
      </x:c>
      <x:c r="P2785" s="80" t="n">
        <x:v>6313331.561201094</x:v>
      </x:c>
      <x:c r="Q2785" s="81" t="n">
        <x:v>0.0036664822613367556</x:v>
      </x:c>
      <x:c r="R2785" s="81" t="n">
        <x:v>3918.744794631254</x:v>
      </x:c>
      <x:c r="S2785" s="81" t="n">
        <x:v>10958.684916704544</x:v>
      </x:c>
      <x:c r="T2785" s="81" t="n">
        <x:v>34293.99254563405</x:v>
      </x:c>
    </x:row>
    <x:row r="2786">
      <x:c r="A2786" s="59" t="n">
        <x:v>2783</x:v>
      </x:c>
      <x:c r="B2786" s="193" t="n">
        <x:v>0.9379304967820645</x:v>
      </x:c>
      <x:c r="C2786" s="83" t="n">
        <x:v>0.11426358421409798</x:v>
      </x:c>
      <x:c r="D2786" s="83" t="n">
        <x:v>0.6499245683386861</x:v>
      </x:c>
      <x:c r="E2786" s="81" t="n">
        <x:v>-0.06660529866062505</x:v>
      </x:c>
      <x:c r="F2786" s="81" t="n">
        <x:v>0.4629857167368755</x:v>
      </x:c>
      <x:c r="G2786" s="81" t="n">
        <x:v>0.03072364175842351</x:v>
      </x:c>
      <x:c r="H2786" s="59" t="n">
        <x:v>0</x:v>
      </x:c>
      <x:c r="I2786" s="81" t="n">
        <x:v>0</x:v>
      </x:c>
      <x:c r="J2786" s="79" t="n">
        <x:v>3.752657332726778e-29</x:v>
      </x:c>
      <x:c r="K2786" s="81" t="n">
        <x:v>-1</x:v>
      </x:c>
      <x:c r="L2786" s="81" t="n">
        <x:v>-1</x:v>
      </x:c>
      <x:c r="M2786" s="80" t="n">
        <x:v>0.000002</x:v>
      </x:c>
      <x:c r="N2786" s="82" t="n">
        <x:v>0.3255263805303023</x:v>
      </x:c>
      <x:c r="O2786" s="82" t="n">
        <x:v>0.14237204537288856</x:v>
      </x:c>
      <x:c r="P2786" s="80" t="n">
        <x:v>232.1027600825274</x:v>
      </x:c>
      <x:c r="Q2786" s="81" t="n">
        <x:v>862086508417.6547</x:v>
      </x:c>
      <x:c r="R2786" s="81" t="n">
        <x:v>24.60596617850572</x:v>
      </x:c>
      <x:c r="S2786" s="81" t="n">
        <x:v>7.383739176770365e-10</x:v>
      </x:c>
      <x:c r="T2786" s="81" t="n">
        <x:v>8.129075070031993e-25</x:v>
      </x:c>
    </x:row>
    <x:row r="2787">
      <x:c r="A2787" s="59" t="n">
        <x:v>2784</x:v>
      </x:c>
      <x:c r="B2787" s="193" t="n">
        <x:v>0.9270853944122792</x:v>
      </x:c>
      <x:c r="C2787" s="83" t="n">
        <x:v>0.32377495217298974</x:v>
      </x:c>
      <x:c r="D2787" s="83" t="n">
        <x:v>1.2132016525565164</x:v>
      </x:c>
      <x:c r="E2787" s="81" t="n">
        <x:v>0.03322809339073487</x:v>
      </x:c>
      <x:c r="F2787" s="81" t="n">
        <x:v>0.6475238736369647</x:v>
      </x:c>
      <x:c r="G2787" s="81" t="n">
        <x:v>0.0127395639887083</x:v>
      </x:c>
      <x:c r="H2787" s="59" t="n">
        <x:v>0</x:v>
      </x:c>
      <x:c r="I2787" s="81" t="n">
        <x:v>0</x:v>
      </x:c>
      <x:c r="J2787" s="79" t="n">
        <x:v>0.00045884768570727787</x:v>
      </x:c>
      <x:c r="K2787" s="81" t="n">
        <x:v>-0.47560264490596804</x:v>
      </x:c>
      <x:c r="L2787" s="81" t="n">
        <x:v>-0.838825791871657</x:v>
      </x:c>
      <x:c r="M2787" s="80" t="n">
        <x:v>5714.647663050279</x:v>
      </x:c>
      <x:c r="N2787" s="82" t="n">
        <x:v>0.3229428738001499</x:v>
      </x:c>
      <x:c r="O2787" s="82" t="n">
        <x:v>0.1975388097320473</x:v>
      </x:c>
      <x:c r="P2787" s="80" t="n">
        <x:v>13813.990710623944</x:v>
      </x:c>
      <x:c r="Q2787" s="81" t="n">
        <x:v>0.013279605338339455</x:v>
      </x:c>
      <x:c r="R2787" s="81" t="n">
        <x:v>80.85566090451246</x:v>
      </x:c>
      <x:c r="S2787" s="81" t="n">
        <x:v>29.0641494885904</x:v>
      </x:c>
      <x:c r="T2787" s="81" t="n">
        <x:v>9.939642637486935</x:v>
      </x:c>
    </x:row>
    <x:row r="2788">
      <x:c r="A2788" s="59" t="n">
        <x:v>2785</x:v>
      </x:c>
      <x:c r="B2788" s="193" t="n">
        <x:v>0.6638580355793238</x:v>
      </x:c>
      <x:c r="C2788" s="83" t="n">
        <x:v>0.10053548513976934</x:v>
      </x:c>
      <x:c r="D2788" s="83" t="n">
        <x:v>0.7708704367441825</x:v>
      </x:c>
      <x:c r="E2788" s="81" t="n">
        <x:v>-0.06427854256749241</x:v>
      </x:c>
      <x:c r="F2788" s="81" t="n">
        <x:v>0.5613071561558172</x:v>
      </x:c>
      <x:c r="G2788" s="81" t="n">
        <x:v>0.0212152833023057</x:v>
      </x:c>
      <x:c r="H2788" s="59" t="n">
        <x:v>0</x:v>
      </x:c>
      <x:c r="I2788" s="81" t="n">
        <x:v>0</x:v>
      </x:c>
      <x:c r="J2788" s="79" t="n">
        <x:v>2.719555738612647e-30</x:v>
      </x:c>
      <x:c r="K2788" s="81" t="n">
        <x:v>-1</x:v>
      </x:c>
      <x:c r="L2788" s="81" t="n">
        <x:v>-1</x:v>
      </x:c>
      <x:c r="M2788" s="80" t="n">
        <x:v>0.000002</x:v>
      </x:c>
      <x:c r="N2788" s="82" t="n">
        <x:v>0.26023718141316204</x:v>
      </x:c>
      <x:c r="O2788" s="82" t="n">
        <x:v>0.13798785621701581</x:v>
      </x:c>
      <x:c r="P2788" s="80" t="n">
        <x:v>246.29086000665725</x:v>
      </x:c>
      <x:c r="Q2788" s="81" t="n">
        <x:v>12299462191840.592</x:v>
      </x:c>
      <x:c r="R2788" s="81" t="n">
        <x:v>25.258690381141417</x:v>
      </x:c>
      <x:c r="S2788" s="81" t="n">
        <x:v>7.921522613970538e-10</x:v>
      </x:c>
      <x:c r="T2788" s="81" t="n">
        <x:v>5.891151468459458e-26</x:v>
      </x:c>
    </x:row>
    <x:row r="2789">
      <x:c r="A2789" s="59" t="n">
        <x:v>2786</x:v>
      </x:c>
      <x:c r="B2789" s="193" t="n">
        <x:v>0.6329564470797777</x:v>
      </x:c>
      <x:c r="C2789" s="83" t="n">
        <x:v>0.7751951575882822</x:v>
      </x:c>
      <x:c r="D2789" s="83" t="n">
        <x:v>0.33916011372821364</x:v>
      </x:c>
      <x:c r="E2789" s="81" t="n">
        <x:v>-0.12288096730980107</x:v>
      </x:c>
      <x:c r="F2789" s="81" t="n">
        <x:v>0.8426269405405037</x:v>
      </x:c>
      <x:c r="G2789" s="81" t="n">
        <x:v>0.03286225993230173</x:v>
      </x:c>
      <x:c r="H2789" s="59" t="n">
        <x:v>0</x:v>
      </x:c>
      <x:c r="I2789" s="81" t="n">
        <x:v>0</x:v>
      </x:c>
      <x:c r="J2789" s="79" t="n">
        <x:v>5.579700596800634e-29</x:v>
      </x:c>
      <x:c r="K2789" s="81" t="n">
        <x:v>-1</x:v>
      </x:c>
      <x:c r="L2789" s="81" t="n">
        <x:v>-1</x:v>
      </x:c>
      <x:c r="M2789" s="80" t="n">
        <x:v>0.000002</x:v>
      </x:c>
      <x:c r="N2789" s="82" t="n">
        <x:v>0.25287584362778576</x:v>
      </x:c>
      <x:c r="O2789" s="82" t="n">
        <x:v>0.20128602653607233</x:v>
      </x:c>
      <x:c r="P2789" s="80" t="n">
        <x:v>204.173847842808</x:v>
      </x:c>
      <x:c r="Q2789" s="81" t="n">
        <x:v>330851421324.803</x:v>
      </x:c>
      <x:c r="R2789" s="81" t="n">
        <x:v>4.018586715357921</x:v>
      </x:c>
      <x:c r="S2789" s="81" t="n">
        <x:v>2.480344939970906e-10</x:v>
      </x:c>
      <x:c r="T2789" s="81" t="n">
        <x:v>1.2086849663605314e-24</x:v>
      </x:c>
    </x:row>
    <x:row r="2790">
      <x:c r="A2790" s="59" t="n">
        <x:v>2787</x:v>
      </x:c>
      <x:c r="B2790" s="193" t="n">
        <x:v>0.6973584624007345</x:v>
      </x:c>
      <x:c r="C2790" s="83" t="n">
        <x:v>0.4154492424114151</x:v>
      </x:c>
      <x:c r="D2790" s="83" t="n">
        <x:v>1.2304228082132034</x:v>
      </x:c>
      <x:c r="E2790" s="81" t="n">
        <x:v>-0.03222950038992526</x:v>
      </x:c>
      <x:c r="F2790" s="81" t="n">
        <x:v>0.7538961128797382</x:v>
      </x:c>
      <x:c r="G2790" s="81" t="n">
        <x:v>-0.005053150059698419</x:v>
      </x:c>
      <x:c r="H2790" s="59" t="n">
        <x:v>0</x:v>
      </x:c>
      <x:c r="I2790" s="81" t="n">
        <x:v>0</x:v>
      </x:c>
      <x:c r="J2790" s="79" t="n">
        <x:v>2.839699272028519e-25</x:v>
      </x:c>
      <x:c r="K2790" s="81" t="n">
        <x:v>-1</x:v>
      </x:c>
      <x:c r="L2790" s="81" t="n">
        <x:v>-1</x:v>
      </x:c>
      <x:c r="M2790" s="80" t="n">
        <x:v>0.000002</x:v>
      </x:c>
      <x:c r="N2790" s="82" t="n">
        <x:v>0.268217611215025</x:v>
      </x:c>
      <x:c r="O2790" s="82" t="n">
        <x:v>0.19101599552000226</x:v>
      </x:c>
      <x:c r="P2790" s="80" t="n">
        <x:v>583.040671396697</x:v>
      </x:c>
      <x:c r="Q2790" s="81" t="n">
        <x:v>227847959.91272953</x:v>
      </x:c>
      <x:c r="R2790" s="81" t="n">
        <x:v>7.964959882942268</x:v>
      </x:c>
      <x:c r="S2790" s="81" t="n">
        <x:v>7.159720499345382e-10</x:v>
      </x:c>
      <x:c r="T2790" s="81" t="n">
        <x:v>6.151408591804865e-21</x:v>
      </x:c>
    </x:row>
    <x:row r="2791">
      <x:c r="A2791" s="59" t="n">
        <x:v>2788</x:v>
      </x:c>
      <x:c r="B2791" s="193" t="n">
        <x:v>0.9310869928449392</x:v>
      </x:c>
      <x:c r="C2791" s="83" t="n">
        <x:v>0.48334998310243876</x:v>
      </x:c>
      <x:c r="D2791" s="83" t="n">
        <x:v>0.8457212345059109</x:v>
      </x:c>
      <x:c r="E2791" s="81" t="n">
        <x:v>0.05892028303239214</x:v>
      </x:c>
      <x:c r="F2791" s="81" t="n">
        <x:v>0.813893505197484</x:v>
      </x:c>
      <x:c r="G2791" s="81" t="n">
        <x:v>-0.0004288253031016855</x:v>
      </x:c>
      <x:c r="H2791" s="59" t="n">
        <x:v>0</x:v>
      </x:c>
      <x:c r="I2791" s="81" t="n">
        <x:v>0</x:v>
      </x:c>
      <x:c r="J2791" s="79" t="n">
        <x:v>0.00042138389428656705</x:v>
      </x:c>
      <x:c r="K2791" s="81" t="n">
        <x:v>-0.5184184065296376</x:v>
      </x:c>
      <x:c r="L2791" s="81" t="n">
        <x:v>-0.8454620655632408</x:v>
      </x:c>
      <x:c r="M2791" s="80" t="n">
        <x:v>6275.771034727945</x:v>
      </x:c>
      <x:c r="N2791" s="82" t="n">
        <x:v>0.32389612957678027</x:v>
      </x:c>
      <x:c r="O2791" s="82" t="n">
        <x:v>0.24902576511455973</x:v>
      </x:c>
      <x:c r="P2791" s="80" t="n">
        <x:v>10462.900673654305</x:v>
      </x:c>
      <x:c r="Q2791" s="81" t="n">
        <x:v>0.00973115926573801</x:v>
      </x:c>
      <x:c r="R2791" s="81" t="n">
        <x:v>60.36700033186674</x:v>
      </x:c>
      <x:c r="S2791" s="81" t="n">
        <x:v>17.826279178988027</x:v>
      </x:c>
      <x:c r="T2791" s="81" t="n">
        <x:v>9.128095123646421</x:v>
      </x:c>
    </x:row>
    <x:row r="2792">
      <x:c r="A2792" s="59" t="n">
        <x:v>2789</x:v>
      </x:c>
      <x:c r="B2792" s="193" t="n">
        <x:v>0.8921262837946415</x:v>
      </x:c>
      <x:c r="C2792" s="83" t="n">
        <x:v>0.2444290924161444</x:v>
      </x:c>
      <x:c r="D2792" s="83" t="n">
        <x:v>0.4981455828731082</x:v>
      </x:c>
      <x:c r="E2792" s="81" t="n">
        <x:v>0.16930262369699223</x:v>
      </x:c>
      <x:c r="F2792" s="81" t="n">
        <x:v>0.8285658211447299</x:v>
      </x:c>
      <x:c r="G2792" s="81" t="n">
        <x:v>-0.05</x:v>
      </x:c>
      <x:c r="H2792" s="59" t="n">
        <x:v>0</x:v>
      </x:c>
      <x:c r="I2792" s="81" t="n">
        <x:v>0</x:v>
      </x:c>
      <x:c r="J2792" s="79" t="n">
        <x:v>0.00028987742846196476</x:v>
      </x:c>
      <x:c r="K2792" s="81" t="n">
        <x:v>-0.6687115103291831</x:v>
      </x:c>
      <x:c r="L2792" s="81" t="n">
        <x:v>-0.8941753293783123</x:v>
      </x:c>
      <x:c r="M2792" s="80" t="n">
        <x:v>4570.0395319227855</x:v>
      </x:c>
      <x:c r="N2792" s="82" t="n">
        <x:v>0.3146149581677052</x:v>
      </x:c>
      <x:c r="O2792" s="82" t="n">
        <x:v>0.24625061471207274</x:v>
      </x:c>
      <x:c r="P2792" s="80" t="n">
        <x:v>4794.3195370725525</x:v>
      </x:c>
      <x:c r="Q2792" s="81" t="n">
        <x:v>0.0036879501935580808</x:v>
      </x:c>
      <x:c r="R2792" s="81" t="n">
        <x:v>185.55678326904456</x:v>
      </x:c>
      <x:c r="S2792" s="81" t="n">
        <x:v>22.516406313032974</x:v>
      </x:c>
      <x:c r="T2792" s="81" t="n">
        <x:v>6.279377966447294</x:v>
      </x:c>
    </x:row>
    <x:row r="2793">
      <x:c r="A2793" s="59" t="n">
        <x:v>2790</x:v>
      </x:c>
      <x:c r="B2793" s="193" t="n">
        <x:v>0.6590098381042481</x:v>
      </x:c>
      <x:c r="C2793" s="83" t="n">
        <x:v>2.8947860241067493</x:v>
      </x:c>
      <x:c r="D2793" s="83" t="n">
        <x:v>0.5428061711703553</x:v>
      </x:c>
      <x:c r="E2793" s="81" t="n">
        <x:v>-0.03851837961192346</x:v>
      </x:c>
      <x:c r="F2793" s="81" t="n">
        <x:v>0.7551761303213426</x:v>
      </x:c>
      <x:c r="G2793" s="81" t="n">
        <x:v>-0.02573248175732859</x:v>
      </x:c>
      <x:c r="H2793" s="59" t="n">
        <x:v>0</x:v>
      </x:c>
      <x:c r="I2793" s="81" t="n">
        <x:v>0</x:v>
      </x:c>
      <x:c r="J2793" s="79" t="n">
        <x:v>2.6206533931481753e-15</x:v>
      </x:c>
      <x:c r="K2793" s="81" t="n">
        <x:v>-0.999999999997005</x:v>
      </x:c>
      <x:c r="L2793" s="81" t="n">
        <x:v>-0.999999999997005</x:v>
      </x:c>
      <x:c r="M2793" s="80" t="n">
        <x:v>0.0350488166409793</x:v>
      </x:c>
      <x:c r="N2793" s="82" t="n">
        <x:v>0.2590822498708963</x:v>
      </x:c>
      <x:c r="O2793" s="82" t="n">
        <x:v>0.1848233577447613</x:v>
      </x:c>
      <x:c r="P2793" s="80" t="n">
        <x:v>1328.2479497828592</x:v>
      </x:c>
      <x:c r="Q2793" s="81" t="n">
        <x:v>364.21930939692663</x:v>
      </x:c>
      <x:c r="R2793" s="81" t="n">
        <x:v>2.6110586780822844</x:v>
      </x:c>
      <x:c r="S2793" s="81" t="n">
        <x:v>0.0000016049583477965702</x:v>
      </x:c>
      <x:c r="T2793" s="81" t="n">
        <x:v>5.676907395633674e-11</x:v>
      </x:c>
    </x:row>
    <x:row r="2794">
      <x:c r="A2794" s="59" t="n">
        <x:v>2791</x:v>
      </x:c>
      <x:c r="B2794" s="193" t="n">
        <x:v>0.6563890695571899</x:v>
      </x:c>
      <x:c r="C2794" s="83" t="n">
        <x:v>0.18642830410531736</x:v>
      </x:c>
      <x:c r="D2794" s="83" t="n">
        <x:v>1.1787209386722854</x:v>
      </x:c>
      <x:c r="E2794" s="81" t="n">
        <x:v>-0.05909304374329994</x:v>
      </x:c>
      <x:c r="F2794" s="81" t="n">
        <x:v>0.5994644808466547</x:v>
      </x:c>
      <x:c r="G2794" s="81" t="n">
        <x:v>0.03872302051113055</x:v>
      </x:c>
      <x:c r="H2794" s="59" t="n">
        <x:v>0</x:v>
      </x:c>
      <x:c r="I2794" s="81" t="n">
        <x:v>0</x:v>
      </x:c>
      <x:c r="J2794" s="79" t="n">
        <x:v>4.172487552323456e-39</x:v>
      </x:c>
      <x:c r="K2794" s="81" t="n">
        <x:v>-1</x:v>
      </x:c>
      <x:c r="L2794" s="81" t="n">
        <x:v>-1</x:v>
      </x:c>
      <x:c r="M2794" s="80" t="n">
        <x:v>0.000002</x:v>
      </x:c>
      <x:c r="N2794" s="82" t="n">
        <x:v>0.2584579336635766</x:v>
      </x:c>
      <x:c r="O2794" s="82" t="n">
        <x:v>0.1463606283562666</x:v>
      </x:c>
      <x:c r="P2794" s="80" t="n">
        <x:v>313.9719519051406</x:v>
      </x:c>
      <x:c r="Q2794" s="81" t="n">
        <x:v>8.677557634373218e+21</x:v>
      </x:c>
      <x:c r="R2794" s="81" t="n">
        <x:v>10.565163272512958</x:v>
      </x:c>
      <x:c r="S2794" s="81" t="n">
        <x:v>1.3817219138187187e-9</x:v>
      </x:c>
      <x:c r="T2794" s="81" t="n">
        <x:v>9.038518983817095e-35</x:v>
      </x:c>
    </x:row>
    <x:row r="2795">
      <x:c r="A2795" s="59" t="n">
        <x:v>2792</x:v>
      </x:c>
      <x:c r="B2795" s="193" t="n">
        <x:v>0.8099338743835689</x:v>
      </x:c>
      <x:c r="C2795" s="83" t="n">
        <x:v>1.1167141429472647</x:v>
      </x:c>
      <x:c r="D2795" s="83" t="n">
        <x:v>0.5221050633762828</x:v>
      </x:c>
      <x:c r="E2795" s="81" t="n">
        <x:v>-0.07283236724404987</x:v>
      </x:c>
      <x:c r="F2795" s="81" t="n">
        <x:v>0.41062833655159925</x:v>
      </x:c>
      <x:c r="G2795" s="81" t="n">
        <x:v>-0.04276361295852213</x:v>
      </x:c>
      <x:c r="H2795" s="59" t="n">
        <x:v>0</x:v>
      </x:c>
      <x:c r="I2795" s="81" t="n">
        <x:v>0</x:v>
      </x:c>
      <x:c r="J2795" s="79" t="n">
        <x:v>4.748311710413308e-22</x:v>
      </x:c>
      <x:c r="K2795" s="81" t="n">
        <x:v>-1</x:v>
      </x:c>
      <x:c r="L2795" s="81" t="n">
        <x:v>-1</x:v>
      </x:c>
      <x:c r="M2795" s="80" t="n">
        <x:v>0.000008290483521737382</x:v>
      </x:c>
      <x:c r="N2795" s="82" t="n">
        <x:v>0.2950351851383107</x:v>
      </x:c>
      <x:c r="O2795" s="82" t="n">
        <x:v>0.11444416887372798</x:v>
      </x:c>
      <x:c r="P2795" s="80" t="n">
        <x:v>429.54952642034493</x:v>
      </x:c>
      <x:c r="Q2795" s="81" t="n">
        <x:v>259784.2881425568</x:v>
      </x:c>
      <x:c r="R2795" s="81" t="n">
        <x:v>3.6594942934127745</x:v>
      </x:c>
      <x:c r="S2795" s="81" t="n">
        <x:v>5.495622426549723e-10</x:v>
      </x:c>
      <x:c r="T2795" s="81" t="n">
        <x:v>1.0285879825274237e-17</x:v>
      </x:c>
    </x:row>
    <x:row r="2796">
      <x:c r="A2796" s="59" t="n">
        <x:v>2793</x:v>
      </x:c>
      <x:c r="B2796" s="193" t="n">
        <x:v>0.5297400664538146</x:v>
      </x:c>
      <x:c r="C2796" s="83" t="n">
        <x:v>0.2598593091679906</x:v>
      </x:c>
      <x:c r="D2796" s="83" t="n">
        <x:v>0.8738030789122404</x:v>
      </x:c>
      <x:c r="E2796" s="81" t="n">
        <x:v>0.05645394982339926</x:v>
      </x:c>
      <x:c r="F2796" s="81" t="n">
        <x:v>0.5850814625038765</x:v>
      </x:c>
      <x:c r="G2796" s="81" t="n">
        <x:v>-0.05</x:v>
      </x:c>
      <x:c r="H2796" s="59" t="n">
        <x:v>0</x:v>
      </x:c>
      <x:c r="I2796" s="81" t="n">
        <x:v>0</x:v>
      </x:c>
      <x:c r="J2796" s="79" t="n">
        <x:v>0.00035005404768849083</x:v>
      </x:c>
      <x:c r="K2796" s="81" t="n">
        <x:v>-0.5999382312131534</x:v>
      </x:c>
      <x:c r="L2796" s="81" t="n">
        <x:v>-0.8735026184864315</x:v>
      </x:c>
      <x:c r="M2796" s="80" t="n">
        <x:v>4629.1985839902945</x:v>
      </x:c>
      <x:c r="N2796" s="82" t="n">
        <x:v>0.22828776645554472</x:v>
      </x:c>
      <x:c r="O2796" s="82" t="n">
        <x:v>0.1261740138852586</x:v>
      </x:c>
      <x:c r="P2796" s="80" t="n">
        <x:v>8589.161344951348</x:v>
      </x:c>
      <x:c r="Q2796" s="81" t="n">
        <x:v>0.004973047054654796</x:v>
      </x:c>
      <x:c r="R2796" s="81" t="n">
        <x:v>192.7979750326977</x:v>
      </x:c>
      <x:c r="S2796" s="81" t="n">
        <x:v>25.80703411674182</x:v>
      </x:c>
      <x:c r="T2796" s="81" t="n">
        <x:v>7.582934917643021</x:v>
      </x:c>
    </x:row>
    <x:row r="2797">
      <x:c r="A2797" s="59" t="n">
        <x:v>2794</x:v>
      </x:c>
      <x:c r="B2797" s="193" t="n">
        <x:v>0.22319838758558036</x:v>
      </x:c>
      <x:c r="C2797" s="83" t="n">
        <x:v>0.3190948846046567</x:v>
      </x:c>
      <x:c r="D2797" s="83" t="n">
        <x:v>0.3242215921266899</x:v>
      </x:c>
      <x:c r="E2797" s="81" t="n">
        <x:v>-0.021992252680520297</x:v>
      </x:c>
      <x:c r="F2797" s="81" t="n">
        <x:v>0.8850725285825319</x:v>
      </x:c>
      <x:c r="G2797" s="81" t="n">
        <x:v>0.016740635572130416</x:v>
      </x:c>
      <x:c r="H2797" s="59" t="n">
        <x:v>16</x:v>
      </x:c>
      <x:c r="I2797" s="81" t="n">
        <x:v>0.11192526174709201</x:v>
      </x:c>
      <x:c r="J2797" s="79" t="n">
        <x:v>2.421145357978428e-10</x:v>
      </x:c>
      <x:c r="K2797" s="81" t="n">
        <x:v>-0.9999997232976734</x:v>
      </x:c>
      <x:c r="L2797" s="81" t="n">
        <x:v>-0.9999997232976734</x:v>
      </x:c>
      <x:c r="M2797" s="80" t="n">
        <x:v>3.5481202717647333</x:v>
      </x:c>
      <x:c r="N2797" s="82" t="n">
        <x:v>0.15526379089265238</x:v>
      </x:c>
      <x:c r="O2797" s="82" t="n">
        <x:v>0.12981353858999395</x:v>
      </x:c>
      <x:c r="P2797" s="80" t="n">
        <x:v>395.0022726412727</x:v>
      </x:c>
      <x:c r="Q2797" s="81" t="n">
        <x:v>0.6758510385815739</x:v>
      </x:c>
      <x:c r="R2797" s="81" t="n">
        <x:v>22.31737595714168</x:v>
      </x:c>
      <x:c r="S2797" s="81" t="n">
        <x:v>0.0004896956805444015</x:v>
      </x:c>
      <x:c r="T2797" s="81" t="n">
        <x:v>0.000005244729434479142</x:v>
      </x:c>
    </x:row>
    <x:row r="2798">
      <x:c r="A2798" s="59" t="n">
        <x:v>2795</x:v>
      </x:c>
      <x:c r="B2798" s="193" t="n">
        <x:v>0.783347930572927</x:v>
      </x:c>
      <x:c r="C2798" s="83" t="n">
        <x:v>0.5295633839925113</x:v>
      </x:c>
      <x:c r="D2798" s="83" t="n">
        <x:v>0.49557307635031916</x:v>
      </x:c>
      <x:c r="E2798" s="81" t="n">
        <x:v>0.05611472464558509</x:v>
      </x:c>
      <x:c r="F2798" s="81" t="n">
        <x:v>0.6004294757731259</x:v>
      </x:c>
      <x:c r="G2798" s="81" t="n">
        <x:v>-0.004976096588489279</x:v>
      </x:c>
      <x:c r="H2798" s="59" t="n">
        <x:v>0</x:v>
      </x:c>
      <x:c r="I2798" s="81" t="n">
        <x:v>0</x:v>
      </x:c>
      <x:c r="J2798" s="79" t="n">
        <x:v>0.00026464883996698765</x:v>
      </x:c>
      <x:c r="K2798" s="81" t="n">
        <x:v>-0.6975441828948712</x:v>
      </x:c>
      <x:c r="L2798" s="81" t="n">
        <x:v>-0.8396421248544176</x:v>
      </x:c>
      <x:c r="M2798" s="80" t="n">
        <x:v>4710.995559882572</x:v>
      </x:c>
      <x:c r="N2798" s="82" t="n">
        <x:v>0.2887019148361695</x:v>
      </x:c>
      <x:c r="O2798" s="82" t="n">
        <x:v>0.16375049079440468</x:v>
      </x:c>
      <x:c r="P2798" s="80" t="n">
        <x:v>5150.22652462119</x:v>
      </x:c>
      <x:c r="Q2798" s="81" t="n">
        <x:v>0.006368626444652113</x:v>
      </x:c>
      <x:c r="R2798" s="81" t="n">
        <x:v>45.90687157821784</x:v>
      </x:c>
      <x:c r="S2798" s="81" t="n">
        <x:v>9.940774825250978</x:v>
      </x:c>
      <x:c r="T2798" s="81" t="n">
        <x:v>5.732871660107849</x:v>
      </x:c>
    </x:row>
    <x:row r="2799">
      <x:c r="A2799" s="59" t="n">
        <x:v>2796</x:v>
      </x:c>
      <x:c r="B2799" s="193" t="n">
        <x:v>0.9928098471835256</x:v>
      </x:c>
      <x:c r="C2799" s="83" t="n">
        <x:v>0.8021000578233655</x:v>
      </x:c>
      <x:c r="D2799" s="83" t="n">
        <x:v>1.1055216638206578</x:v>
      </x:c>
      <x:c r="E2799" s="81" t="n">
        <x:v>0.18284202563834448</x:v>
      </x:c>
      <x:c r="F2799" s="81" t="n">
        <x:v>0.5008858681423589</x:v>
      </x:c>
      <x:c r="G2799" s="81" t="n">
        <x:v>0.0305510366761637</x:v>
      </x:c>
      <x:c r="H2799" s="59" t="n">
        <x:v>0</x:v>
      </x:c>
      <x:c r="I2799" s="81" t="n">
        <x:v>0</x:v>
      </x:c>
      <x:c r="J2799" s="79" t="n">
        <x:v>0.07063931434458759</x:v>
      </x:c>
      <x:c r="K2799" s="81" t="n">
        <x:v>79.73064496524297</x:v>
      </x:c>
      <x:c r="L2799" s="81" t="n">
        <x:v>-0.8048249452548408</x:v>
      </x:c>
      <x:c r="M2799" s="80" t="n">
        <x:v>164755.25917470036</x:v>
      </x:c>
      <x:c r="N2799" s="82" t="n">
        <x:v>0.3385996707837505</x:v>
      </x:c>
      <x:c r="O2799" s="82" t="n">
        <x:v>0.16021244644766203</x:v>
      </x:c>
      <x:c r="P2799" s="80" t="n">
        <x:v>258867.50293853183</x:v>
      </x:c>
      <x:c r="Q2799" s="81" t="n">
        <x:v>0.0028495511033494896</x:v>
      </x:c>
      <x:c r="R2799" s="81" t="n">
        <x:v>929.1714071595347</x:v>
      </x:c>
      <x:c r="S2799" s="81" t="n">
        <x:v>1705.9896008133612</x:v>
      </x:c>
      <x:c r="T2799" s="81" t="n">
        <x:v>1530.2017698095772</x:v>
      </x:c>
    </x:row>
    <x:row r="2800">
      <x:c r="A2800" s="59" t="n">
        <x:v>2797</x:v>
      </x:c>
      <x:c r="B2800" s="193" t="n">
        <x:v>0.6358388824388386</x:v>
      </x:c>
      <x:c r="C2800" s="83" t="n">
        <x:v>0.6024118337508905</x:v>
      </x:c>
      <x:c r="D2800" s="83" t="n">
        <x:v>0.588441829449417</x:v>
      </x:c>
      <x:c r="E2800" s="81" t="n">
        <x:v>-0.08330649711680069</x:v>
      </x:c>
      <x:c r="F2800" s="81" t="n">
        <x:v>0.6199608193477616</x:v>
      </x:c>
      <x:c r="G2800" s="81" t="n">
        <x:v>0.021726844442043026</x:v>
      </x:c>
      <x:c r="H2800" s="59" t="n">
        <x:v>0</x:v>
      </x:c>
      <x:c r="I2800" s="81" t="n">
        <x:v>0</x:v>
      </x:c>
      <x:c r="J2800" s="79" t="n">
        <x:v>2.68908201232152e-30</x:v>
      </x:c>
      <x:c r="K2800" s="81" t="n">
        <x:v>-1</x:v>
      </x:c>
      <x:c r="L2800" s="81" t="n">
        <x:v>-1</x:v>
      </x:c>
      <x:c r="M2800" s="80" t="n">
        <x:v>0.000002</x:v>
      </x:c>
      <x:c r="N2800" s="82" t="n">
        <x:v>0.2535624937759771</x:v>
      </x:c>
      <x:c r="O2800" s="82" t="n">
        <x:v>0.14849786161119227</x:v>
      </x:c>
      <x:c r="P2800" s="80" t="n">
        <x:v>286.29289990812913</x:v>
      </x:c>
      <x:c r="Q2800" s="81" t="n">
        <x:v>9769295081559.516</x:v>
      </x:c>
      <x:c r="R2800" s="81" t="n">
        <x:v>4.807197499003693</x:v>
      </x:c>
      <x:c r="S2800" s="81" t="n">
        <x:v>4.178370517202921e-10</x:v>
      </x:c>
      <x:c r="T2800" s="81" t="n">
        <x:v>5.825138724230509e-26</x:v>
      </x:c>
    </x:row>
    <x:row r="2801">
      <x:c r="A2801" s="59" t="n">
        <x:v>2798</x:v>
      </x:c>
      <x:c r="B2801" s="193" t="n">
        <x:v>0.9450933365151286</x:v>
      </x:c>
      <x:c r="C2801" s="83" t="n">
        <x:v>0.6053789605740924</x:v>
      </x:c>
      <x:c r="D2801" s="83" t="n">
        <x:v>0.9006360761254195</x:v>
      </x:c>
      <x:c r="E2801" s="81" t="n">
        <x:v>-0.09013789473304237</x:v>
      </x:c>
      <x:c r="F2801" s="81" t="n">
        <x:v>0.6973111375817098</x:v>
      </x:c>
      <x:c r="G2801" s="81" t="n">
        <x:v>-0.039016825145478856</x:v>
      </x:c>
      <x:c r="H2801" s="59" t="n">
        <x:v>0</x:v>
      </x:c>
      <x:c r="I2801" s="81" t="n">
        <x:v>0</x:v>
      </x:c>
      <x:c r="J2801" s="79" t="n">
        <x:v>1.3951540997022444e-32</x:v>
      </x:c>
      <x:c r="K2801" s="81" t="n">
        <x:v>-1</x:v>
      </x:c>
      <x:c r="L2801" s="81" t="n">
        <x:v>-1</x:v>
      </x:c>
      <x:c r="M2801" s="80" t="n">
        <x:v>0.000002</x:v>
      </x:c>
      <x:c r="N2801" s="82" t="n">
        <x:v>0.3272327032579624</x:v>
      </x:c>
      <x:c r="O2801" s="82" t="n">
        <x:v>0.21555308546166618</x:v>
      </x:c>
      <x:c r="P2801" s="80" t="n">
        <x:v>286.78123984679866</x:v>
      </x:c>
      <x:c r="Q2801" s="81" t="n">
        <x:v>1751243948613407</x:v>
      </x:c>
      <x:c r="R2801" s="81" t="n">
        <x:v>3.077139585056506</x:v>
      </x:c>
      <x:c r="S2801" s="81" t="n">
        <x:v>3.0282001987353533e-10</x:v>
      </x:c>
      <x:c r="T2801" s="81" t="n">
        <x:v>3.022208372673759e-28</x:v>
      </x:c>
    </x:row>
    <x:row r="2802">
      <x:c r="A2802" s="59" t="n">
        <x:v>2799</x:v>
      </x:c>
      <x:c r="B2802" s="193" t="n">
        <x:v>0.23006421718746425</x:v>
      </x:c>
      <x:c r="C2802" s="83" t="n">
        <x:v>0.8447932853021305</x:v>
      </x:c>
      <x:c r="D2802" s="83" t="n">
        <x:v>0.5349573921227291</x:v>
      </x:c>
      <x:c r="E2802" s="81" t="n">
        <x:v>0.013767712840694593</x:v>
      </x:c>
      <x:c r="F2802" s="81" t="n">
        <x:v>0.8243321901420132</x:v>
      </x:c>
      <x:c r="G2802" s="81" t="n">
        <x:v>0.0039034767333591147</x:v>
      </x:c>
      <x:c r="H2802" s="59" t="n">
        <x:v>0</x:v>
      </x:c>
      <x:c r="I2802" s="81" t="n">
        <x:v>0</x:v>
      </x:c>
      <x:c r="J2802" s="79" t="n">
        <x:v>0.00005222011486348116</x:v>
      </x:c>
      <x:c r="K2802" s="81" t="n">
        <x:v>-0.9403198687274501</x:v>
      </x:c>
      <x:c r="L2802" s="81" t="n">
        <x:v>-0.9466650596040236</x:v>
      </x:c>
      <x:c r="M2802" s="80" t="n">
        <x:v>2337.304842935115</x:v>
      </x:c>
      <x:c r="N2802" s="82" t="n">
        <x:v>0.1568993602381263</x:v>
      </x:c>
      <x:c r="O2802" s="82" t="n">
        <x:v>0.12217838325076823</x:v>
      </x:c>
      <x:c r="P2802" s="80" t="n">
        <x:v>3754.355726985242</x:v>
      </x:c>
      <x:c r="Q2802" s="81" t="n">
        <x:v>0.01594516512505896</x:v>
      </x:c>
      <x:c r="R2802" s="81" t="n">
        <x:v>18.869609424784098</x:v>
      </x:c>
      <x:c r="S2802" s="81" t="n">
        <x:v>1.4628243879381326</x:v>
      </x:c>
      <x:c r="T2802" s="81" t="n">
        <x:v>1.1312016958992581</x:v>
      </x:c>
    </x:row>
    <x:row r="2803">
      <x:c r="A2803" s="59" t="n">
        <x:v>2800</x:v>
      </x:c>
      <x:c r="B2803" s="193" t="n">
        <x:v>0.7516783576458692</x:v>
      </x:c>
      <x:c r="C2803" s="83" t="n">
        <x:v>0.5096110226323967</x:v>
      </x:c>
      <x:c r="D2803" s="83" t="n">
        <x:v>2.28487194562538</x:v>
      </x:c>
      <x:c r="E2803" s="81" t="n">
        <x:v>0.12060328722346123</x:v>
      </x:c>
      <x:c r="F2803" s="81" t="n">
        <x:v>0.2945246266783215</x:v>
      </x:c>
      <x:c r="G2803" s="81" t="n">
        <x:v>-0.021581952479914065</x:v>
      </x:c>
      <x:c r="H2803" s="59" t="n">
        <x:v>0</x:v>
      </x:c>
      <x:c r="I2803" s="81" t="n">
        <x:v>0</x:v>
      </x:c>
      <x:c r="J2803" s="79" t="n">
        <x:v>0.13441749874812173</x:v>
      </x:c>
      <x:c r="K2803" s="81" t="n">
        <x:v>152.619998569282</x:v>
      </x:c>
      <x:c r="L2803" s="81" t="n">
        <x:v>-0.8264179036276165</x:v>
      </x:c>
      <x:c r="M2803" s="80" t="n">
        <x:v>189527.41827227367</x:v>
      </x:c>
      <x:c r="N2803" s="82" t="n">
        <x:v>0.281157628760452</x:v>
      </x:c>
      <x:c r="O2803" s="82" t="n">
        <x:v>0.07822443372265785</x:v>
      </x:c>
      <x:c r="P2803" s="80" t="n">
        <x:v>498837.8161953617</x:v>
      </x:c>
      <x:c r="Q2803" s="81" t="n">
        <x:v>0.0021026799493290165</x:v>
      </x:c>
      <x:c r="R2803" s="81" t="n">
        <x:v>6161.352759511776</x:v>
      </x:c>
      <x:c r="S2803" s="81" t="n">
        <x:v>5001.597812870817</x:v>
      </x:c>
      <x:c r="T2803" s="81" t="n">
        <x:v>2911.776485745465</x:v>
      </x:c>
    </x:row>
    <x:row r="2804">
      <x:c r="A2804" s="59" t="n">
        <x:v>2801</x:v>
      </x:c>
      <x:c r="B2804" s="193" t="n">
        <x:v>0.4074545856565237</x:v>
      </x:c>
      <x:c r="C2804" s="83" t="n">
        <x:v>0.10766985393441694</x:v>
      </x:c>
      <x:c r="D2804" s="83" t="n">
        <x:v>0.33618168359214373</x:v>
      </x:c>
      <x:c r="E2804" s="81" t="n">
        <x:v>-0.014776368434777538</x:v>
      </x:c>
      <x:c r="F2804" s="81" t="n">
        <x:v>0.5781699280953034</x:v>
      </x:c>
      <x:c r="G2804" s="81" t="n">
        <x:v>0.007662923770516788</x:v>
      </x:c>
      <x:c r="H2804" s="59" t="n">
        <x:v>0</x:v>
      </x:c>
      <x:c r="I2804" s="81" t="n">
        <x:v>0</x:v>
      </x:c>
      <x:c r="J2804" s="79" t="n">
        <x:v>5.841166444191112e-9</x:v>
      </x:c>
      <x:c r="K2804" s="81" t="n">
        <x:v>-0.9999933243812067</x:v>
      </x:c>
      <x:c r="L2804" s="81" t="n">
        <x:v>-0.9999933243812067</x:v>
      </x:c>
      <x:c r="M2804" s="80" t="n">
        <x:v>14.56583677247824</x:v>
      </x:c>
      <x:c r="N2804" s="82" t="n">
        <x:v>0.1991570720768652</x:v>
      </x:c>
      <x:c r="O2804" s="82" t="n">
        <x:v>0.10877326731064035</x:v>
      </x:c>
      <x:c r="P2804" s="80" t="n">
        <x:v>401.13413454702567</x:v>
      </x:c>
      <x:c r="Q2804" s="81" t="n">
        <x:v>0.15795126559950476</x:v>
      </x:c>
      <x:c r="R2804" s="81" t="n">
        <x:v>73.19880758845355</x:v>
      </x:c>
      <x:c r="S2804" s="81" t="n">
        <x:v>0.0031561745070152014</x:v>
      </x:c>
      <x:c r="T2804" s="81" t="n">
        <x:v>0.00012653241772778333</x:v>
      </x:c>
    </x:row>
    <x:row r="2805">
      <x:c r="A2805" s="59" t="n">
        <x:v>2802</x:v>
      </x:c>
      <x:c r="B2805" s="193" t="n">
        <x:v>0.5972178053110838</x:v>
      </x:c>
      <x:c r="C2805" s="83" t="n">
        <x:v>0.11292925178599318</x:v>
      </x:c>
      <x:c r="D2805" s="83" t="n">
        <x:v>0.21535757144587298</x:v>
      </x:c>
      <x:c r="E2805" s="81" t="n">
        <x:v>-0.08464155212962901</x:v>
      </x:c>
      <x:c r="F2805" s="81" t="n">
        <x:v>0.5372832568362356</x:v>
      </x:c>
      <x:c r="G2805" s="81" t="n">
        <x:v>-0.026628372756987092</x:v>
      </x:c>
      <x:c r="H2805" s="59" t="n">
        <x:v>7</x:v>
      </x:c>
      <x:c r="I2805" s="81" t="n">
        <x:v>0.3866014485247433</x:v>
      </x:c>
      <x:c r="J2805" s="79" t="n">
        <x:v>1.59417159018583e-14</x:v>
      </x:c>
      <x:c r="K2805" s="81" t="n">
        <x:v>-0.9999999999817809</x:v>
      </x:c>
      <x:c r="L2805" s="81" t="n">
        <x:v>-0.9999999999817809</x:v>
      </x:c>
      <x:c r="M2805" s="80" t="n">
        <x:v>0.024629463131354886</x:v>
      </x:c>
      <x:c r="N2805" s="82" t="n">
        <x:v>0.2443622290589499</x:v>
      </x:c>
      <x:c r="O2805" s="82" t="n">
        <x:v>0.1240247404799301</x:v>
      </x:c>
      <x:c r="P2805" s="80" t="n">
        <x:v>119.90276230048708</x:v>
      </x:c>
      <x:c r="Q2805" s="81" t="n">
        <x:v>19.99519296926661</x:v>
      </x:c>
      <x:c r="R2805" s="81" t="n">
        <x:v>32.92495036460258</x:v>
      </x:c>
      <x:c r="S2805" s="81" t="n">
        <x:v>0.0000015448755938289788</x:v>
      </x:c>
      <x:c r="T2805" s="81" t="n">
        <x:v>3.453323706941407e-10</x:v>
      </x:c>
    </x:row>
    <x:row r="2806">
      <x:c r="A2806" s="59" t="n">
        <x:v>2803</x:v>
      </x:c>
      <x:c r="B2806" s="193" t="n">
        <x:v>0.5713315038010478</x:v>
      </x:c>
      <x:c r="C2806" s="83" t="n">
        <x:v>0.10216988861038019</x:v>
      </x:c>
      <x:c r="D2806" s="83" t="n">
        <x:v>1.2467223470238658</x:v>
      </x:c>
      <x:c r="E2806" s="81" t="n">
        <x:v>0.010214531779311422</x:v>
      </x:c>
      <x:c r="F2806" s="81" t="n">
        <x:v>0.42543406317709015</x:v>
      </x:c>
      <x:c r="G2806" s="81" t="n">
        <x:v>-0.006561318611557243</x:v>
      </x:c>
      <x:c r="H2806" s="59" t="n">
        <x:v>0</x:v>
      </x:c>
      <x:c r="I2806" s="81" t="n">
        <x:v>0</x:v>
      </x:c>
      <x:c r="J2806" s="79" t="n">
        <x:v>0.00007546163920621078</x:v>
      </x:c>
      <x:c r="K2806" s="81" t="n">
        <x:v>-0.9137581266214734</x:v>
      </x:c>
      <x:c r="L2806" s="81" t="n">
        <x:v>-0.9245091410028197</x:v>
      </x:c>
      <x:c r="M2806" s="80" t="n">
        <x:v>1711.043445688179</x:v>
      </x:c>
      <x:c r="N2806" s="82" t="n">
        <x:v>0.2381956266711061</x:v>
      </x:c>
      <x:c r="O2806" s="82" t="n">
        <x:v>0.09572755902074581</x:v>
      </x:c>
      <x:c r="P2806" s="80" t="n">
        <x:v>5514.642304660723</x:v>
      </x:c>
      <x:c r="Q2806" s="81" t="n">
        <x:v>0.017963429243460043</x:v>
      </x:c>
      <x:c r="R2806" s="81" t="n">
        <x:v>158.93250321781827</x:v>
      </x:c>
      <x:c r="S2806" s="81" t="n">
        <x:v>14.503512609234065</x:v>
      </x:c>
      <x:c r="T2806" s="81" t="n">
        <x:v>1.6346638545044567</x:v>
      </x:c>
    </x:row>
    <x:row r="2807">
      <x:c r="A2807" s="59" t="n">
        <x:v>2804</x:v>
      </x:c>
      <x:c r="B2807" s="193" t="n">
        <x:v>0.20307243410497905</x:v>
      </x:c>
      <x:c r="C2807" s="83" t="n">
        <x:v>0.9451046531248715</x:v>
      </x:c>
      <x:c r="D2807" s="83" t="n">
        <x:v>0.5984311537333751</x:v>
      </x:c>
      <x:c r="E2807" s="81" t="n">
        <x:v>-0.008894285160596012</x:v>
      </x:c>
      <x:c r="F2807" s="81" t="n">
        <x:v>0.8274074431625195</x:v>
      </x:c>
      <x:c r="G2807" s="81" t="n">
        <x:v>-0.05</x:v>
      </x:c>
      <x:c r="H2807" s="59" t="n">
        <x:v>0</x:v>
      </x:c>
      <x:c r="I2807" s="81" t="n">
        <x:v>0</x:v>
      </x:c>
      <x:c r="J2807" s="79" t="n">
        <x:v>6.904383642933879e-8</x:v>
      </x:c>
      <x:c r="K2807" s="81" t="n">
        <x:v>-0.9999210927583665</x:v>
      </x:c>
      <x:c r="L2807" s="81" t="n">
        <x:v>-0.9999210927583665</x:v>
      </x:c>
      <x:c r="M2807" s="80" t="n">
        <x:v>87.61786723644991</x:v>
      </x:c>
      <x:c r="N2807" s="82" t="n">
        <x:v>0.15046941141194548</x:v>
      </x:c>
      <x:c r="O2807" s="82" t="n">
        <x:v>0.11760846654270445</x:v>
      </x:c>
      <x:c r="P2807" s="80" t="n">
        <x:v>1412.6611834836026</x:v>
      </x:c>
      <x:c r="Q2807" s="81" t="n">
        <x:v>0.11775856659188247</x:v>
      </x:c>
      <x:c r="R2807" s="81" t="n">
        <x:v>10.778377798728599</x:v>
      </x:c>
      <x:c r="S2807" s="81" t="n">
        <x:v>0.007725913449008342</x:v>
      </x:c>
      <x:c r="T2807" s="81" t="n">
        <x:v>0.001495640234887305</x:v>
      </x:c>
    </x:row>
    <x:row r="2808">
      <x:c r="A2808" s="59" t="n">
        <x:v>2805</x:v>
      </x:c>
      <x:c r="B2808" s="193" t="n">
        <x:v>0.7172188473865391</x:v>
      </x:c>
      <x:c r="C2808" s="83" t="n">
        <x:v>0.6539137547379726</x:v>
      </x:c>
      <x:c r="D2808" s="83" t="n">
        <x:v>0.18743244373618667</x:v>
      </x:c>
      <x:c r="E2808" s="81" t="n">
        <x:v>0.00684108425239723</x:v>
      </x:c>
      <x:c r="F2808" s="81" t="n">
        <x:v>0.29561559543944893</x:v>
      </x:c>
      <x:c r="G2808" s="81" t="n">
        <x:v>-0.028677383863490342</x:v>
      </x:c>
      <x:c r="H2808" s="59" t="n">
        <x:v>0</x:v>
      </x:c>
      <x:c r="I2808" s="81" t="n">
        <x:v>0</x:v>
      </x:c>
      <x:c r="J2808" s="79" t="n">
        <x:v>0.000006220387459427193</x:v>
      </x:c>
      <x:c r="K2808" s="81" t="n">
        <x:v>-0.9928909857606546</x:v>
      </x:c>
      <x:c r="L2808" s="81" t="n">
        <x:v>-0.9928909857606546</x:v>
      </x:c>
      <x:c r="M2808" s="80" t="n">
        <x:v>705.7240736578373</x:v>
      </x:c>
      <x:c r="N2808" s="82" t="n">
        <x:v>0.2729487273008621</x:v>
      </x:c>
      <x:c r="O2808" s="82" t="n">
        <x:v>0.07622182752148411</x:v>
      </x:c>
      <x:c r="P2808" s="80" t="n">
        <x:v>754.7707805735697</x:v>
      </x:c>
      <x:c r="Q2808" s="81" t="n">
        <x:v>0.00737705675544589</x:v>
      </x:c>
      <x:c r="R2808" s="81" t="n">
        <x:v>20.89207672640003</x:v>
      </x:c>
      <x:c r="S2808" s="81" t="n">
        <x:v>0.20159138917680378</x:v>
      </x:c>
      <x:c r="T2808" s="81" t="n">
        <x:v>0.13474717284039006</x:v>
      </x:c>
    </x:row>
    <x:row r="2809">
      <x:c r="A2809" s="59" t="n">
        <x:v>2806</x:v>
      </x:c>
      <x:c r="B2809" s="193" t="n">
        <x:v>0.30605278052389623</x:v>
      </x:c>
      <x:c r="C2809" s="83" t="n">
        <x:v>0.9268024289353233</x:v>
      </x:c>
      <x:c r="D2809" s="83" t="n">
        <x:v>0.3134277403890732</x:v>
      </x:c>
      <x:c r="E2809" s="81" t="n">
        <x:v>-0.026266531904204072</x:v>
      </x:c>
      <x:c r="F2809" s="81" t="n">
        <x:v>0.8445912881870754</x:v>
      </x:c>
      <x:c r="G2809" s="81" t="n">
        <x:v>-0.017879661088288</x:v>
      </x:c>
      <x:c r="H2809" s="59" t="n">
        <x:v>0</x:v>
      </x:c>
      <x:c r="I2809" s="81" t="n">
        <x:v>0</x:v>
      </x:c>
      <x:c r="J2809" s="79" t="n">
        <x:v>1.0004056691002246e-9</x:v>
      </x:c>
      <x:c r="K2809" s="81" t="n">
        <x:v>-0.9999988566792353</x:v>
      </x:c>
      <x:c r="L2809" s="81" t="n">
        <x:v>-0.9999988566792353</x:v>
      </x:c>
      <x:c r="M2809" s="80" t="n">
        <x:v>10.513245090426642</x:v>
      </x:c>
      <x:c r="N2809" s="82" t="n">
        <x:v>0.1750012608104269</x:v>
      </x:c>
      <x:c r="O2809" s="82" t="n">
        <x:v>0.13962356315689484</x:v>
      </x:c>
      <x:c r="P2809" s="80" t="n">
        <x:v>600.1828034005132</x:v>
      </x:c>
      <x:c r="Q2809" s="81" t="n">
        <x:v>0.40389758328207576</x:v>
      </x:c>
      <x:c r="R2809" s="81" t="n">
        <x:v>8.94717611600769</x:v>
      </x:c>
      <x:c r="S2809" s="81" t="n">
        <x:v>0.0006294687893307819</x:v>
      </x:c>
      <x:c r="T2809" s="81" t="n">
        <x:v>0.00002167097089755359</x:v>
      </x:c>
    </x:row>
    <x:row r="2810">
      <x:c r="A2810" s="59" t="n">
        <x:v>2807</x:v>
      </x:c>
      <x:c r="B2810" s="193" t="n">
        <x:v>0.8684703700244427</x:v>
      </x:c>
      <x:c r="C2810" s="83" t="n">
        <x:v>2.651671157448548</x:v>
      </x:c>
      <x:c r="D2810" s="83" t="n">
        <x:v>0.622568017893256</x:v>
      </x:c>
      <x:c r="E2810" s="81" t="n">
        <x:v>-0.03227006022384</x:v>
      </x:c>
      <x:c r="F2810" s="81" t="n">
        <x:v>0.31604088650783524</x:v>
      </x:c>
      <x:c r="G2810" s="81" t="n">
        <x:v>0.0071949197999654135</x:v>
      </x:c>
      <x:c r="H2810" s="59" t="n">
        <x:v>77</x:v>
      </x:c>
      <x:c r="I2810" s="81" t="n">
        <x:v>0.31909198053181176</x:v>
      </x:c>
      <x:c r="J2810" s="79" t="n">
        <x:v>5.222414978019223e-17</x:v>
      </x:c>
      <x:c r="K2810" s="81" t="n">
        <x:v>-0.9999999999999403</x:v>
      </x:c>
      <x:c r="L2810" s="81" t="n">
        <x:v>-0.9999999999999403</x:v>
      </x:c>
      <x:c r="M2810" s="80" t="n">
        <x:v>0.004665300501287943</x:v>
      </x:c>
      <x:c r="N2810" s="82" t="n">
        <x:v>0.3089796759592601</x:v>
      </x:c>
      <x:c r="O2810" s="82" t="n">
        <x:v>0.09224527428929863</x:v>
      </x:c>
      <x:c r="P2810" s="80" t="n">
        <x:v>1596.0796744648999</x:v>
      </x:c>
      <x:c r="Q2810" s="81" t="n">
        <x:v>2886.460679066913</x:v>
      </x:c>
      <x:c r="R2810" s="81" t="n">
        <x:v>3.1853761084806913</x:v>
      </x:c>
      <x:c r="S2810" s="81" t="n">
        <x:v>3.9662780450138395e-7</x:v>
      </x:c>
      <x:c r="T2810" s="81" t="n">
        <x:v>1.1312891010043275e-12</x:v>
      </x:c>
    </x:row>
    <x:row r="2811">
      <x:c r="A2811" s="59" t="n">
        <x:v>2808</x:v>
      </x:c>
      <x:c r="B2811" s="193" t="n">
        <x:v>0.2400532638654113</x:v>
      </x:c>
      <x:c r="C2811" s="83" t="n">
        <x:v>2.6653577778441004</x:v>
      </x:c>
      <x:c r="D2811" s="83" t="n">
        <x:v>1.2945781211932448</x:v>
      </x:c>
      <x:c r="E2811" s="81" t="n">
        <x:v>-0.02117901349075717</x:v>
      </x:c>
      <x:c r="F2811" s="81" t="n">
        <x:v>0.8646051562391222</x:v>
      </x:c>
      <x:c r="G2811" s="81" t="n">
        <x:v>-0.003669547241329663</x:v>
      </x:c>
      <x:c r="H2811" s="59" t="n">
        <x:v>40</x:v>
      </x:c>
      <x:c r="I2811" s="81" t="n">
        <x:v>0.10419922582805158</x:v>
      </x:c>
      <x:c r="J2811" s="79" t="n">
        <x:v>1.747639775809538e-20</x:v>
      </x:c>
      <x:c r="K2811" s="81" t="n">
        <x:v>-1</x:v>
      </x:c>
      <x:c r="L2811" s="81" t="n">
        <x:v>-1</x:v>
      </x:c>
      <x:c r="M2811" s="80" t="n">
        <x:v>0.00008665258630925967</x:v>
      </x:c>
      <x:c r="N2811" s="82" t="n">
        <x:v>0.1592789384514384</x:v>
      </x:c>
      <x:c r="O2811" s="82" t="n">
        <x:v>0.13009095912413582</x:v>
      </x:c>
      <x:c r="P2811" s="80" t="n">
        <x:v>2491.7235766130557</x:v>
      </x:c>
      <x:c r="Q2811" s="81" t="n">
        <x:v>241485.2141790664</x:v>
      </x:c>
      <x:c r="R2811" s="81" t="n">
        <x:v>3.197087572150524</x:v>
      </x:c>
      <x:c r="S2811" s="81" t="n">
        <x:v>1.3484101275484546e-8</x:v>
      </x:c>
      <x:c r="T2811" s="81" t="n">
        <x:v>3.785769302470967e-16</x:v>
      </x:c>
    </x:row>
    <x:row r="2812">
      <x:c r="A2812" s="59" t="n">
        <x:v>2809</x:v>
      </x:c>
      <x:c r="B2812" s="193" t="n">
        <x:v>0.9593495724722743</x:v>
      </x:c>
      <x:c r="C2812" s="83" t="n">
        <x:v>0.5487037507254711</x:v>
      </x:c>
      <x:c r="D2812" s="83" t="n">
        <x:v>1.2001748419566014</x:v>
      </x:c>
      <x:c r="E2812" s="81" t="n">
        <x:v>-0.02644588933485643</x:v>
      </x:c>
      <x:c r="F2812" s="81" t="n">
        <x:v>0.7360689397202804</x:v>
      </x:c>
      <x:c r="G2812" s="81" t="n">
        <x:v>-0.023474205714987297</x:v>
      </x:c>
      <x:c r="H2812" s="59" t="n">
        <x:v>0</x:v>
      </x:c>
      <x:c r="I2812" s="81" t="n">
        <x:v>0</x:v>
      </x:c>
      <x:c r="J2812" s="79" t="n">
        <x:v>2.488436407548312e-21</x:v>
      </x:c>
      <x:c r="K2812" s="81" t="n">
        <x:v>-1</x:v>
      </x:c>
      <x:c r="L2812" s="81" t="n">
        <x:v>-1</x:v>
      </x:c>
      <x:c r="M2812" s="80" t="n">
        <x:v>0.000013853541264462329</x:v>
      </x:c>
      <x:c r="N2812" s="82" t="n">
        <x:v>0.3306288059673796</x:v>
      </x:c>
      <x:c r="O2812" s="82" t="n">
        <x:v>0.22989531583577086</x:v>
      </x:c>
      <x:c r="P2812" s="80" t="n">
        <x:v>707.9562315488885</x:v>
      </x:c>
      <x:c r="Q2812" s="81" t="n">
        <x:v>218261.38678058976</x:v>
      </x:c>
      <x:c r="R2812" s="81" t="n">
        <x:v>7.067150487657187</x:v>
      </x:c>
      <x:c r="S2812" s="81" t="n">
        <x:v>3.687843331157785e-9</x:v>
      </x:c>
      <x:c r="T2812" s="81" t="n">
        <x:v>5.390496538958505e-17</x:v>
      </x:c>
    </x:row>
    <x:row r="2813">
      <x:c r="A2813" s="59" t="n">
        <x:v>2810</x:v>
      </x:c>
      <x:c r="B2813" s="193" t="n">
        <x:v>0.29707278665155173</x:v>
      </x:c>
      <x:c r="C2813" s="83" t="n">
        <x:v>0.4962285616495355</x:v>
      </x:c>
      <x:c r="D2813" s="83" t="n">
        <x:v>2.5980802641365854</x:v>
      </x:c>
      <x:c r="E2813" s="81" t="n">
        <x:v>0.013910685322975555</x:v>
      </x:c>
      <x:c r="F2813" s="81" t="n">
        <x:v>0.25506723003927617</x:v>
      </x:c>
      <x:c r="G2813" s="81" t="n">
        <x:v>0.005286573474296936</x:v>
      </x:c>
      <x:c r="H2813" s="59" t="n">
        <x:v>38</x:v>
      </x:c>
      <x:c r="I2813" s="81" t="n">
        <x:v>0.1426122599281371</x:v>
      </x:c>
      <x:c r="J2813" s="79" t="n">
        <x:v>0.008650448852715015</x:v>
      </x:c>
      <x:c r="K2813" s="81" t="n">
        <x:v>8.886227260245732</x:v>
      </x:c>
      <x:c r="L2813" s="81" t="n">
        <x:v>-0.6754003017492145</x:v>
      </x:c>
      <x:c r="M2813" s="80" t="n">
        <x:v>27272.933006759446</x:v>
      </x:c>
      <x:c r="N2813" s="82" t="n">
        <x:v>0.17286205789514936</x:v>
      </x:c>
      <x:c r="O2813" s="82" t="n">
        <x:v>0.04165098597534362</x:v>
      </x:c>
      <x:c r="P2813" s="80" t="n">
        <x:v>125783.5588080464</x:v>
      </x:c>
      <x:c r="Q2813" s="81" t="n">
        <x:v>0.007163872533209865</x:v>
      </x:c>
      <x:c r="R2813" s="81" t="n">
        <x:v>219.58023190172378</x:v>
      </x:c>
      <x:c r="S2813" s="81" t="n">
        <x:v>346.0406765566704</x:v>
      </x:c>
      <x:c r="T2813" s="81" t="n">
        <x:v>187.38760797564228</x:v>
      </x:c>
    </x:row>
    <x:row r="2814">
      <x:c r="A2814" s="59" t="n">
        <x:v>2811</x:v>
      </x:c>
      <x:c r="B2814" s="193" t="n">
        <x:v>0.4894619066268206</x:v>
      </x:c>
      <x:c r="C2814" s="83" t="n">
        <x:v>1.0864984479641095</x:v>
      </x:c>
      <x:c r="D2814" s="83" t="n">
        <x:v>1.1783541049917041</x:v>
      </x:c>
      <x:c r="E2814" s="81" t="n">
        <x:v>-0.042214353506521106</x:v>
      </x:c>
      <x:c r="F2814" s="81" t="n">
        <x:v>0.3901171871693805</x:v>
      </x:c>
      <x:c r="G2814" s="81" t="n">
        <x:v>-0.008497228352052017</x:v>
      </x:c>
      <x:c r="H2814" s="59" t="n">
        <x:v>0</x:v>
      </x:c>
      <x:c r="I2814" s="81" t="n">
        <x:v>0</x:v>
      </x:c>
      <x:c r="J2814" s="79" t="n">
        <x:v>8.068480233906827e-28</x:v>
      </x:c>
      <x:c r="K2814" s="81" t="n">
        <x:v>-1</x:v>
      </x:c>
      <x:c r="L2814" s="81" t="n">
        <x:v>-1</x:v>
      </x:c>
      <x:c r="M2814" s="80" t="n">
        <x:v>0.000002</x:v>
      </x:c>
      <x:c r="N2814" s="82" t="n">
        <x:v>0.21869275356925783</x:v>
      </x:c>
      <x:c r="O2814" s="82" t="n">
        <x:v>0.08059357464434455</x:v>
      </x:c>
      <x:c r="P2814" s="80" t="n">
        <x:v>780.7232413045656</x:v>
      </x:c>
      <x:c r="Q2814" s="81" t="n">
        <x:v>61815867600.36805</x:v>
      </x:c>
      <x:c r="R2814" s="81" t="n">
        <x:v>3.5203027624111787</x:v>
      </x:c>
      <x:c r="S2814" s="81" t="n">
        <x:v>4.459348070998769e-10</x:v>
      </x:c>
      <x:c r="T2814" s="81" t="n">
        <x:v>1.7478089712720726e-23</x:v>
      </x:c>
    </x:row>
    <x:row r="2815">
      <x:c r="A2815" s="59" t="n">
        <x:v>2812</x:v>
      </x:c>
      <x:c r="B2815" s="193" t="n">
        <x:v>0.8841714348644019</x:v>
      </x:c>
      <x:c r="C2815" s="83" t="n">
        <x:v>0.2958223577209057</x:v>
      </x:c>
      <x:c r="D2815" s="83" t="n">
        <x:v>0.9124357986155994</x:v>
      </x:c>
      <x:c r="E2815" s="81" t="n">
        <x:v>0.2</x:v>
      </x:c>
      <x:c r="F2815" s="81" t="n">
        <x:v>0.4773572514066473</x:v>
      </x:c>
      <x:c r="G2815" s="81" t="n">
        <x:v>-0.01965575257252494</x:v>
      </x:c>
      <x:c r="H2815" s="59" t="n">
        <x:v>0</x:v>
      </x:c>
      <x:c r="I2815" s="81" t="n">
        <x:v>0</x:v>
      </x:c>
      <x:c r="J2815" s="79" t="n">
        <x:v>0.012060384856838878</x:v>
      </x:c>
      <x:c r="K2815" s="81" t="n">
        <x:v>12.783296979244433</x:v>
      </x:c>
      <x:c r="L2815" s="81" t="n">
        <x:v>-0.8291232800006513</x:v>
      </x:c>
      <x:c r="M2815" s="80" t="n">
        <x:v>40907.682856095256</x:v>
      </x:c>
      <x:c r="N2815" s="82" t="n">
        <x:v>0.3127199639991041</x:v>
      </x:c>
      <x:c r="O2815" s="82" t="n">
        <x:v>0.14101654614051892</x:v>
      </x:c>
      <x:c r="P2815" s="80" t="n">
        <x:v>54549.083652144705</x:v>
      </x:c>
      <x:c r="Q2815" s="81" t="n">
        <x:v>0.002096457939284023</x:v>
      </x:c>
      <x:c r="R2815" s="81" t="n">
        <x:v>1426.0243608856324</x:v>
      </x:c>
      <x:c r="S2815" s="81" t="n">
        <x:v>768.3950013235866</x:v>
      </x:c>
      <x:c r="T2815" s="81" t="n">
        <x:v>261.2542664626457</x:v>
      </x:c>
    </x:row>
    <x:row r="2816">
      <x:c r="A2816" s="59" t="n">
        <x:v>2813</x:v>
      </x:c>
      <x:c r="B2816" s="193" t="n">
        <x:v>0.44529081135988235</x:v>
      </x:c>
      <x:c r="C2816" s="83" t="n">
        <x:v>1.3648174582540138</x:v>
      </x:c>
      <x:c r="D2816" s="83" t="n">
        <x:v>0.7279942060380573</x:v>
      </x:c>
      <x:c r="E2816" s="81" t="n">
        <x:v>0.08989765166351603</x:v>
      </x:c>
      <x:c r="F2816" s="81" t="n">
        <x:v>0.5518901420291513</x:v>
      </x:c>
      <x:c r="G2816" s="81" t="n">
        <x:v>0.014244387185445406</x:v>
      </x:c>
      <x:c r="H2816" s="59" t="n">
        <x:v>0</x:v>
      </x:c>
      <x:c r="I2816" s="81" t="n">
        <x:v>0</x:v>
      </x:c>
      <x:c r="J2816" s="79" t="n">
        <x:v>0.014439979842137315</x:v>
      </x:c>
      <x:c r="K2816" s="81" t="n">
        <x:v>15.50283410529979</x:v>
      </x:c>
      <x:c r="L2816" s="81" t="n">
        <x:v>-0.6431523036219629</x:v>
      </x:c>
      <x:c r="M2816" s="80" t="n">
        <x:v>62855.37224892808</x:v>
      </x:c>
      <x:c r="N2816" s="82" t="n">
        <x:v>0.2081703704686369</x:v>
      </x:c>
      <x:c r="O2816" s="82" t="n">
        <x:v>0.10852817340383213</x:v>
      </x:c>
      <x:c r="P2816" s="80" t="n">
        <x:v>81731.48341229906</x:v>
      </x:c>
      <x:c r="Q2816" s="81" t="n">
        <x:v>0.003082726447075903</x:v>
      </x:c>
      <x:c r="R2816" s="81" t="n">
        <x:v>163.76087735845465</x:v>
      </x:c>
      <x:c r="S2816" s="81" t="n">
        <x:v>207.26087873508084</x:v>
      </x:c>
      <x:c r="T2816" s="81" t="n">
        <x:v>312.80148902161795</x:v>
      </x:c>
    </x:row>
    <x:row r="2817">
      <x:c r="A2817" s="59" t="n">
        <x:v>2814</x:v>
      </x:c>
      <x:c r="B2817" s="193" t="n">
        <x:v>0.26120122242718935</x:v>
      </x:c>
      <x:c r="C2817" s="83" t="n">
        <x:v>0.2500604514070738</x:v>
      </x:c>
      <x:c r="D2817" s="83" t="n">
        <x:v>0.7219757112833123</x:v>
      </x:c>
      <x:c r="E2817" s="81" t="n">
        <x:v>-0.09336768305566333</x:v>
      </x:c>
      <x:c r="F2817" s="81" t="n">
        <x:v>0.5148805188946426</x:v>
      </x:c>
      <x:c r="G2817" s="81" t="n">
        <x:v>0.005474550542403648</x:v>
      </x:c>
      <x:c r="H2817" s="59" t="n">
        <x:v>0</x:v>
      </x:c>
      <x:c r="I2817" s="81" t="n">
        <x:v>0</x:v>
      </x:c>
      <x:c r="J2817" s="79" t="n">
        <x:v>5.892508358891712e-34</x:v>
      </x:c>
      <x:c r="K2817" s="81" t="n">
        <x:v>-1</x:v>
      </x:c>
      <x:c r="L2817" s="81" t="n">
        <x:v>-1</x:v>
      </x:c>
      <x:c r="M2817" s="80" t="n">
        <x:v>0.000002</x:v>
      </x:c>
      <x:c r="N2817" s="82" t="n">
        <x:v>0.16431677870507705</x:v>
      </x:c>
      <x:c r="O2817" s="82" t="n">
        <x:v>0.07992070648072372</x:v>
      </x:c>
      <x:c r="P2817" s="80" t="n">
        <x:v>217.87349416051688</x:v>
      </x:c>
      <x:c r="Q2817" s="81" t="n">
        <x:v>40148030479441670</x:v>
      </x:c>
      <x:c r="R2817" s="81" t="n">
        <x:v>8.689240244441898</x:v>
      </x:c>
      <x:c r="S2817" s="81" t="n">
        <x:v>5.406844141466366e-10</x:v>
      </x:c>
      <x:c r="T2817" s="81" t="n">
        <x:v>1.2764459569085114e-29</x:v>
      </x:c>
    </x:row>
    <x:row r="2818">
      <x:c r="A2818" s="59" t="n">
        <x:v>2815</x:v>
      </x:c>
      <x:c r="B2818" s="193" t="n">
        <x:v>0.2471247799694538</x:v>
      </x:c>
      <x:c r="C2818" s="83" t="n">
        <x:v>2.011356351085139</x:v>
      </x:c>
      <x:c r="D2818" s="83" t="n">
        <x:v>0.6301095736965763</x:v>
      </x:c>
      <x:c r="E2818" s="81" t="n">
        <x:v>0.02322905230016983</x:v>
      </x:c>
      <x:c r="F2818" s="81" t="n">
        <x:v>0.43732203653780743</x:v>
      </x:c>
      <x:c r="G2818" s="81" t="n">
        <x:v>0.008095635484172544</x:v>
      </x:c>
      <x:c r="H2818" s="59" t="n">
        <x:v>76</x:v>
      </x:c>
      <x:c r="I2818" s="81" t="n">
        <x:v>0.28887815969064834</x:v>
      </x:c>
      <x:c r="J2818" s="79" t="n">
        <x:v>0.0021475789559226516</x:v>
      </x:c>
      <x:c r="K2818" s="81" t="n">
        <x:v>1.454375949625888</x:v>
      </x:c>
      <x:c r="L2818" s="81" t="n">
        <x:v>-0.5801603383481859</x:v>
      </x:c>
      <x:c r="M2818" s="80" t="n">
        <x:v>25139.562983664604</x:v>
      </x:c>
      <x:c r="N2818" s="82" t="n">
        <x:v>0.16096350617834834</x:v>
      </x:c>
      <x:c r="O2818" s="82" t="n">
        <x:v>0.06649664394251557</x:v>
      </x:c>
      <x:c r="P2818" s="80" t="n">
        <x:v>31426.907233772265</x:v>
      </x:c>
      <x:c r="Q2818" s="81" t="n">
        <x:v>0.006531466592612767</x:v>
      </x:c>
      <x:c r="R2818" s="81" t="n">
        <x:v>19.049330197114717</x:v>
      </x:c>
      <x:c r="S2818" s="81" t="n">
        <x:v>22.41897126452629</x:v>
      </x:c>
      <x:c r="T2818" s="81" t="n">
        <x:v>46.521248820847845</x:v>
      </x:c>
    </x:row>
    <x:row r="2819">
      <x:c r="A2819" s="59" t="n">
        <x:v>2816</x:v>
      </x:c>
      <x:c r="B2819" s="193" t="n">
        <x:v>0.9139963015913963</x:v>
      </x:c>
      <x:c r="C2819" s="83" t="n">
        <x:v>0.43071974525596723</x:v>
      </x:c>
      <x:c r="D2819" s="83" t="n">
        <x:v>0.47695396056811384</x:v>
      </x:c>
      <x:c r="E2819" s="81" t="n">
        <x:v>0.06349811590601252</x:v>
      </x:c>
      <x:c r="F2819" s="81" t="n">
        <x:v>0.8077129730139859</x:v>
      </x:c>
      <x:c r="G2819" s="81" t="n">
        <x:v>-0.0005190722545876602</x:v>
      </x:c>
      <x:c r="H2819" s="59" t="n">
        <x:v>0</x:v>
      </x:c>
      <x:c r="I2819" s="81" t="n">
        <x:v>0</x:v>
      </x:c>
      <x:c r="J2819" s="79" t="n">
        <x:v>0.00013914476988674055</x:v>
      </x:c>
      <x:c r="K2819" s="81" t="n">
        <x:v>-0.840977405843725</x:v>
      </x:c>
      <x:c r="L2819" s="81" t="n">
        <x:v>-0.9037944940361832</x:v>
      </x:c>
      <x:c r="M2819" s="80" t="n">
        <x:v>3238.432140252543</x:v>
      </x:c>
      <x:c r="N2819" s="82" t="n">
        <x:v>0.31982480646972533</x:v>
      </x:c>
      <x:c r="O2819" s="82" t="n">
        <x:v>0.24402827273253186</x:v>
      </x:c>
      <x:c r="P2819" s="80" t="n">
        <x:v>3488.0444431267633</x:v>
      </x:c>
      <x:c r="Q2819" s="81" t="n">
        <x:v>0.00846285820984577</x:v>
      </x:c>
      <x:c r="R2819" s="81" t="n">
        <x:v>39.2745363214247</x:v>
      </x:c>
      <x:c r="S2819" s="81" t="n">
        <x:v>6.495308933291101</x:v>
      </x:c>
      <x:c r="T2819" s="81" t="n">
        <x:v>3.014179499276959</x:v>
      </x:c>
    </x:row>
    <x:row r="2820">
      <x:c r="A2820" s="59" t="n">
        <x:v>2817</x:v>
      </x:c>
      <x:c r="B2820" s="193" t="n">
        <x:v>0.6277352115139365</x:v>
      </x:c>
      <x:c r="C2820" s="83" t="n">
        <x:v>0.1511362433298024</x:v>
      </x:c>
      <x:c r="D2820" s="83" t="n">
        <x:v>0.569825767249164</x:v>
      </x:c>
      <x:c r="E2820" s="81" t="n">
        <x:v>-0.09661818588618071</x:v>
      </x:c>
      <x:c r="F2820" s="81" t="n">
        <x:v>0.6247038201079704</x:v>
      </x:c>
      <x:c r="G2820" s="81" t="n">
        <x:v>-0.027716460089889067</x:v>
      </x:c>
      <x:c r="H2820" s="59" t="n">
        <x:v>32</x:v>
      </x:c>
      <x:c r="I2820" s="81" t="n">
        <x:v>0.16924148965626956</x:v>
      </x:c>
      <x:c r="J2820" s="79" t="n">
        <x:v>1.7760556543853592e-27</x:v>
      </x:c>
      <x:c r="K2820" s="81" t="n">
        <x:v>-1</x:v>
      </x:c>
      <x:c r="L2820" s="81" t="n">
        <x:v>-1</x:v>
      </x:c>
      <x:c r="M2820" s="80" t="n">
        <x:v>0.000002</x:v>
      </x:c>
      <x:c r="N2820" s="82" t="n">
        <x:v>0.2516320474178357</x:v>
      </x:c>
      <x:c r="O2820" s="82" t="n">
        <x:v>0.148494734712188</x:v>
      </x:c>
      <x:c r="P2820" s="80" t="n">
        <x:v>175.77421041202524</x:v>
      </x:c>
      <x:c r="Q2820" s="81" t="n">
        <x:v>12910254252.964785</x:v>
      </x:c>
      <x:c r="R2820" s="81" t="n">
        <x:v>15.445413849125218</x:v>
      </x:c>
      <x:c r="S2820" s="81" t="n">
        <x:v>3.08035062384612e-10</x:v>
      </x:c>
      <x:c r="T2820" s="81" t="n">
        <x:v>3.847324299275304e-23</x:v>
      </x:c>
    </x:row>
    <x:row r="2821">
      <x:c r="A2821" s="59" t="n">
        <x:v>2818</x:v>
      </x:c>
      <x:c r="B2821" s="193" t="n">
        <x:v>0.667396136559546</x:v>
      </x:c>
      <x:c r="C2821" s="83" t="n">
        <x:v>2.442107041318242</x:v>
      </x:c>
      <x:c r="D2821" s="83" t="n">
        <x:v>2.2401070184635743</x:v>
      </x:c>
      <x:c r="E2821" s="81" t="n">
        <x:v>-0.06620145523325993</x:v>
      </x:c>
      <x:c r="F2821" s="81" t="n">
        <x:v>0.5046634960803204</x:v>
      </x:c>
      <x:c r="G2821" s="81" t="n">
        <x:v>0.0014671514432618657</x:v>
      </x:c>
      <x:c r="H2821" s="59" t="n">
        <x:v>0</x:v>
      </x:c>
      <x:c r="I2821" s="81" t="n">
        <x:v>0</x:v>
      </x:c>
      <x:c r="J2821" s="79" t="n">
        <x:v>4.3608476317514294e-55</x:v>
      </x:c>
      <x:c r="K2821" s="81" t="n">
        <x:v>-1</x:v>
      </x:c>
      <x:c r="L2821" s="81" t="n">
        <x:v>-1</x:v>
      </x:c>
      <x:c r="M2821" s="80" t="n">
        <x:v>0.000002</x:v>
      </x:c>
      <x:c r="N2821" s="82" t="n">
        <x:v>0.2610800234060444</x:v>
      </x:c>
      <x:c r="O2821" s="82" t="n">
        <x:v>0.12446478027715631</x:v>
      </x:c>
      <x:c r="P2821" s="80" t="n">
        <x:v>1006.5758234674491</x:v>
      </x:c>
      <x:c r="Q2821" s="81" t="n">
        <x:v>7.460975659985734e+37</x:v>
      </x:c>
      <x:c r="R2821" s="81" t="n">
        <x:v>1.0946492450392482</x:v>
      </x:c>
      <x:c r="S2821" s="81" t="n">
        <x:v>5.803568637444396e-10</x:v>
      </x:c>
      <x:c r="T2821" s="81" t="n">
        <x:v>9.446548038991868e-51</x:v>
      </x:c>
    </x:row>
    <x:row r="2822">
      <x:c r="A2822" s="59" t="n">
        <x:v>2819</x:v>
      </x:c>
      <x:c r="B2822" s="193" t="n">
        <x:v>0.3948344543576241</x:v>
      </x:c>
      <x:c r="C2822" s="83" t="n">
        <x:v>0.44165310088462795</x:v>
      </x:c>
      <x:c r="D2822" s="83" t="n">
        <x:v>0.7975249162505489</x:v>
      </x:c>
      <x:c r="E2822" s="81" t="n">
        <x:v>0.10428553221750869</x:v>
      </x:c>
      <x:c r="F2822" s="81" t="n">
        <x:v>0.8904352557146922</x:v>
      </x:c>
      <x:c r="G2822" s="81" t="n">
        <x:v>0.003358274786443748</x:v>
      </x:c>
      <x:c r="H2822" s="59" t="n">
        <x:v>0</x:v>
      </x:c>
      <x:c r="I2822" s="81" t="n">
        <x:v>0</x:v>
      </x:c>
      <x:c r="J2822" s="79" t="n">
        <x:v>0.0030841919282190607</x:v>
      </x:c>
      <x:c r="K2822" s="81" t="n">
        <x:v>2.524790775107498</x:v>
      </x:c>
      <x:c r="L2822" s="81" t="n">
        <x:v>-0.7835709664102245</x:v>
      </x:c>
      <x:c r="M2822" s="80" t="n">
        <x:v>18546.686935568254</x:v>
      </x:c>
      <x:c r="N2822" s="82" t="n">
        <x:v>0.1961507201740052</x:v>
      </x:c>
      <x:c r="O2822" s="82" t="n">
        <x:v>0.16499211734499616</x:v>
      </x:c>
      <x:c r="P2822" s="80" t="n">
        <x:v>25953.735265715364</x:v>
      </x:c>
      <x:c r="Q2822" s="81" t="n">
        <x:v>0.004037640406818429</x:v>
      </x:c>
      <x:c r="R2822" s="81" t="n">
        <x:v>228.97878781572965</x:v>
      </x:c>
      <x:c r="S2822" s="81" t="n">
        <x:v>134.74405830092607</x:v>
      </x:c>
      <x:c r="T2822" s="81" t="n">
        <x:v>66.81033063219171</x:v>
      </x:c>
    </x:row>
    <x:row r="2823">
      <x:c r="A2823" s="59" t="n">
        <x:v>2820</x:v>
      </x:c>
      <x:c r="B2823" s="193" t="n">
        <x:v>0.6150358023121953</x:v>
      </x:c>
      <x:c r="C2823" s="83" t="n">
        <x:v>0.4833085155987185</x:v>
      </x:c>
      <x:c r="D2823" s="83" t="n">
        <x:v>0.39624602100241685</x:v>
      </x:c>
      <x:c r="E2823" s="81" t="n">
        <x:v>-0.06237994454438689</x:v>
      </x:c>
      <x:c r="F2823" s="81" t="n">
        <x:v>0.7864880449487828</x:v>
      </x:c>
      <x:c r="G2823" s="81" t="n">
        <x:v>0.027913763502779437</x:v>
      </x:c>
      <x:c r="H2823" s="59" t="n">
        <x:v>62</x:v>
      </x:c>
      <x:c r="I2823" s="81" t="n">
        <x:v>0.2766097656451166</x:v>
      </x:c>
      <x:c r="J2823" s="79" t="n">
        <x:v>1.753072341113285e-22</x:v>
      </x:c>
      <x:c r="K2823" s="81" t="n">
        <x:v>-1</x:v>
      </x:c>
      <x:c r="L2823" s="81" t="n">
        <x:v>-1</x:v>
      </x:c>
      <x:c r="M2823" s="80" t="n">
        <x:v>0.000003535167418543916</x:v>
      </x:c>
      <x:c r="N2823" s="82" t="n">
        <x:v>0.2486068100320583</x:v>
      </x:c>
      <x:c r="O2823" s="82" t="n">
        <x:v>0.18470390966825273</x:v>
      </x:c>
      <x:c r="P2823" s="80" t="n">
        <x:v>279.1894212706641</x:v>
      </x:c>
      <x:c r="Q2823" s="81" t="n">
        <x:v>346904.4137788446</x:v>
      </x:c>
      <x:c r="R2823" s="81" t="n">
        <x:v>8.829402830879584</x:v>
      </x:c>
      <x:c r="S2823" s="81" t="n">
        <x:v>6.177748814215519e-10</x:v>
      </x:c>
      <x:c r="T2823" s="81" t="n">
        <x:v>3.797537424966959e-18</x:v>
      </x:c>
    </x:row>
    <x:row r="2824">
      <x:c r="A2824" s="59" t="n">
        <x:v>2821</x:v>
      </x:c>
      <x:c r="B2824" s="193" t="n">
        <x:v>0.5986247645691037</x:v>
      </x:c>
      <x:c r="C2824" s="83" t="n">
        <x:v>1.9042464893794246</x:v>
      </x:c>
      <x:c r="D2824" s="83" t="n">
        <x:v>0.39411169050529765</x:v>
      </x:c>
      <x:c r="E2824" s="81" t="n">
        <x:v>0.057515866857895274</x:v>
      </x:c>
      <x:c r="F2824" s="81" t="n">
        <x:v>0.8780011929920875</x:v>
      </x:c>
      <x:c r="G2824" s="81" t="n">
        <x:v>-0.013420788070758303</x:v>
      </x:c>
      <x:c r="H2824" s="59" t="n">
        <x:v>0</x:v>
      </x:c>
      <x:c r="I2824" s="81" t="n">
        <x:v>0</x:v>
      </x:c>
      <x:c r="J2824" s="79" t="n">
        <x:v>0.00033096219838322843</x:v>
      </x:c>
      <x:c r="K2824" s="81" t="n">
        <x:v>-0.6217574875620246</x:v>
      </x:c>
      <x:c r="L2824" s="81" t="n">
        <x:v>-0.7876039246442086</x:v>
      </x:c>
      <x:c r="M2824" s="80" t="n">
        <x:v>9761.123381325304</x:v>
      </x:c>
      <x:c r="N2824" s="82" t="n">
        <x:v>0.2446973931346961</x:v>
      </x:c>
      <x:c r="O2824" s="82" t="n">
        <x:v>0.20295296036046476</x:v>
      </x:c>
      <x:c r="P2824" s="80" t="n">
        <x:v>8642.623632669478</x:v>
      </x:c>
      <x:c r="Q2824" s="81" t="n">
        <x:v>0.007602319682513114</x:v>
      </x:c>
      <x:c r="R2824" s="81" t="n">
        <x:v>15.536730946311993</x:v>
      </x:c>
      <x:c r="S2824" s="81" t="n">
        <x:v>3.746069132994522</x:v>
      </x:c>
      <x:c r="T2824" s="81" t="n">
        <x:v>7.169363779999488</x:v>
      </x:c>
    </x:row>
    <x:row r="2825">
      <x:c r="A2825" s="59" t="n">
        <x:v>2822</x:v>
      </x:c>
      <x:c r="B2825" s="193" t="n">
        <x:v>0.21117760110646489</x:v>
      </x:c>
      <x:c r="C2825" s="83" t="n">
        <x:v>1.5579778687026398</x:v>
      </x:c>
      <x:c r="D2825" s="83" t="n">
        <x:v>0.37300349893934265</x:v>
      </x:c>
      <x:c r="E2825" s="81" t="n">
        <x:v>-0.04903334584115182</x:v>
      </x:c>
      <x:c r="F2825" s="81" t="n">
        <x:v>0.8847642049775459</x:v>
      </x:c>
      <x:c r="G2825" s="81" t="n">
        <x:v>0.057399479180654335</x:v>
      </x:c>
      <x:c r="H2825" s="59" t="n">
        <x:v>0</x:v>
      </x:c>
      <x:c r="I2825" s="81" t="n">
        <x:v>0</x:v>
      </x:c>
      <x:c r="J2825" s="79" t="n">
        <x:v>2.4238448560606322e-20</x:v>
      </x:c>
      <x:c r="K2825" s="81" t="n">
        <x:v>-1</x:v>
      </x:c>
      <x:c r="L2825" s="81" t="n">
        <x:v>-1</x:v>
      </x:c>
      <x:c r="M2825" s="80" t="n">
        <x:v>0.0000711823668604445</x:v>
      </x:c>
      <x:c r="N2825" s="82" t="n">
        <x:v>0.15240021416358068</x:v>
      </x:c>
      <x:c r="O2825" s="82" t="n">
        <x:v>0.12737496074148819</x:v>
      </x:c>
      <x:c r="P2825" s="80" t="n">
        <x:v>665.9687403596472</x:v>
      </x:c>
      <x:c r="Q2825" s="81" t="n">
        <x:v>63464.39436988787</x:v>
      </x:c>
      <x:c r="R2825" s="81" t="n">
        <x:v>4.383383728912036</x:v>
      </x:c>
      <x:c r="S2825" s="81" t="n">
        <x:v>9.605691269934509e-9</x:v>
      </x:c>
      <x:c r="T2825" s="81" t="n">
        <x:v>5.250577136684795e-16</x:v>
      </x:c>
    </x:row>
    <x:row r="2826">
      <x:c r="A2826" s="59" t="n">
        <x:v>2823</x:v>
      </x:c>
      <x:c r="B2826" s="193" t="n">
        <x:v>0.4016989411786199</x:v>
      </x:c>
      <x:c r="C2826" s="83" t="n">
        <x:v>2.5195599231365815</x:v>
      </x:c>
      <x:c r="D2826" s="83" t="n">
        <x:v>0.3675344575759325</x:v>
      </x:c>
      <x:c r="E2826" s="81" t="n">
        <x:v>0.002421756845231209</x:v>
      </x:c>
      <x:c r="F2826" s="81" t="n">
        <x:v>0.6174469823366963</x:v>
      </x:c>
      <x:c r="G2826" s="81" t="n">
        <x:v>-0.01586701648741202</x:v>
      </x:c>
      <x:c r="H2826" s="59" t="n">
        <x:v>0</x:v>
      </x:c>
      <x:c r="I2826" s="81" t="n">
        <x:v>0</x:v>
      </x:c>
      <x:c r="J2826" s="79" t="n">
        <x:v>0.000010168667493678711</x:v>
      </x:c>
      <x:c r="K2826" s="81" t="n">
        <x:v>-0.98837866572151</x:v>
      </x:c>
      <x:c r="L2826" s="81" t="n">
        <x:v>-0.98837866572151</x:v>
      </x:c>
      <x:c r="M2826" s="80" t="n">
        <x:v>1916.4993307517575</x:v>
      </x:c>
      <x:c r="N2826" s="82" t="n">
        <x:v>0.19778596964389444</x:v>
      </x:c>
      <x:c r="O2826" s="82" t="n">
        <x:v>0.11536288146432344</x:v>
      </x:c>
      <x:c r="P2826" s="80" t="n">
        <x:v>3787.0061114919986</x:v>
      </x:c>
      <x:c r="Q2826" s="81" t="n">
        <x:v>0.02622210264177243</x:v>
      </x:c>
      <x:c r="R2826" s="81" t="n">
        <x:v>6.5300302354544275</x:v>
      </x:c>
      <x:c r="S2826" s="81" t="n">
        <x:v>0.1476137688107164</x:v>
      </x:c>
      <x:c r="T2826" s="81" t="n">
        <x:v>0.2202755383429695</x:v>
      </x:c>
    </x:row>
    <x:row r="2827">
      <x:c r="A2827" s="59" t="n">
        <x:v>2824</x:v>
      </x:c>
      <x:c r="B2827" s="193" t="n">
        <x:v>0.8737657332792879</x:v>
      </x:c>
      <x:c r="C2827" s="83" t="n">
        <x:v>0.432614759256738</x:v>
      </x:c>
      <x:c r="D2827" s="83" t="n">
        <x:v>0.9531971319836593</x:v>
      </x:c>
      <x:c r="E2827" s="81" t="n">
        <x:v>0.04250688862158857</x:v>
      </x:c>
      <x:c r="F2827" s="81" t="n">
        <x:v>0.5572204595664516</x:v>
      </x:c>
      <x:c r="G2827" s="81" t="n">
        <x:v>-0.014628643327026583</x:v>
      </x:c>
      <x:c r="H2827" s="59" t="n">
        <x:v>0</x:v>
      </x:c>
      <x:c r="I2827" s="81" t="n">
        <x:v>0</x:v>
      </x:c>
      <x:c r="J2827" s="79" t="n">
        <x:v>0.00041509815028105564</x:v>
      </x:c>
      <x:c r="K2827" s="81" t="n">
        <x:v>-0.5256021139645077</x:v>
      </x:c>
      <x:c r="L2827" s="81" t="n">
        <x:v>-0.814379449878022</x:v>
      </x:c>
      <x:c r="M2827" s="80" t="n">
        <x:v>5741.606631506564</x:v>
      </x:c>
      <x:c r="N2827" s="82" t="n">
        <x:v>0.3102411307746253</x:v>
      </x:c>
      <x:c r="O2827" s="82" t="n">
        <x:v>0.16330420608507157</x:v>
      </x:c>
      <x:c r="P2827" s="80" t="n">
        <x:v>11122.35066557489</x:v>
      </x:c>
      <x:c r="Q2827" s="81" t="n">
        <x:v>0.00850915369907442</x:v>
      </x:c>
      <x:c r="R2827" s="81" t="n">
        <x:v>80.10049446835077</x:v>
      </x:c>
      <x:c r="S2827" s="81" t="n">
        <x:v>19.268485332596406</x:v>
      </x:c>
      <x:c r="T2827" s="81" t="n">
        <x:v>8.991932185330182</x:v>
      </x:c>
    </x:row>
    <x:row r="2828">
      <x:c r="A2828" s="59" t="n">
        <x:v>2825</x:v>
      </x:c>
      <x:c r="B2828" s="193" t="n">
        <x:v>0.8237819965928794</x:v>
      </x:c>
      <x:c r="C2828" s="83" t="n">
        <x:v>0.21131982199375726</x:v>
      </x:c>
      <x:c r="D2828" s="83" t="n">
        <x:v>0.3690363239052057</x:v>
      </x:c>
      <x:c r="E2828" s="81" t="n">
        <x:v>-0.02059744619916953</x:v>
      </x:c>
      <x:c r="F2828" s="81" t="n">
        <x:v>0.4741260067326948</x:v>
      </x:c>
      <x:c r="G2828" s="81" t="n">
        <x:v>-0.017604881083794457</x:v>
      </x:c>
      <x:c r="H2828" s="59" t="n">
        <x:v>0</x:v>
      </x:c>
      <x:c r="I2828" s="81" t="n">
        <x:v>0</x:v>
      </x:c>
      <x:c r="J2828" s="79" t="n">
        <x:v>9.463969136842044e-10</x:v>
      </x:c>
      <x:c r="K2828" s="81" t="n">
        <x:v>-0.9999989184035272</x:v>
      </x:c>
      <x:c r="L2828" s="81" t="n">
        <x:v>-0.9999989184035272</x:v>
      </x:c>
      <x:c r="M2828" s="80" t="n">
        <x:v>6.428888609888946</x:v>
      </x:c>
      <x:c r="N2828" s="82" t="n">
        <x:v>0.2983340675008601</x:v>
      </x:c>
      <x:c r="O2828" s="82" t="n">
        <x:v>0.1336188005936217</x:v>
      </x:c>
      <x:c r="P2828" s="80" t="n">
        <x:v>390.12171173506016</x:v>
      </x:c>
      <x:c r="Q2828" s="81" t="n">
        <x:v>0.3268616264634648</x:v>
      </x:c>
      <x:c r="R2828" s="81" t="n">
        <x:v>32.89591891177217</x:v>
      </x:c>
      <x:c r="S2828" s="81" t="n">
        <x:v>0.000782877991148559</x:v>
      </x:c>
      <x:c r="T2828" s="81" t="n">
        <x:v>0.000020501023342291982</x:v>
      </x:c>
    </x:row>
    <x:row r="2829">
      <x:c r="A2829" s="59" t="n">
        <x:v>2826</x:v>
      </x:c>
      <x:c r="B2829" s="193" t="n">
        <x:v>0.44384601674973967</x:v>
      </x:c>
      <x:c r="C2829" s="83" t="n">
        <x:v>0.31140877167787084</x:v>
      </x:c>
      <x:c r="D2829" s="83" t="n">
        <x:v>1.3136852182938719</x:v>
      </x:c>
      <x:c r="E2829" s="81" t="n">
        <x:v>-0.02205617090662996</x:v>
      </x:c>
      <x:c r="F2829" s="81" t="n">
        <x:v>0.6437353558838368</x:v>
      </x:c>
      <x:c r="G2829" s="81" t="n">
        <x:v>-0.006430172724922036</x:v>
      </x:c>
      <x:c r="H2829" s="59" t="n">
        <x:v>0</x:v>
      </x:c>
      <x:c r="I2829" s="81" t="n">
        <x:v>0</x:v>
      </x:c>
      <x:c r="J2829" s="79" t="n">
        <x:v>2.2072898709056178e-21</x:v>
      </x:c>
      <x:c r="K2829" s="81" t="n">
        <x:v>-1</x:v>
      </x:c>
      <x:c r="L2829" s="81" t="n">
        <x:v>-1</x:v>
      </x:c>
      <x:c r="M2829" s="80" t="n">
        <x:v>0.000011050535277760634</x:v>
      </x:c>
      <x:c r="N2829" s="82" t="n">
        <x:v>0.20782619330260205</x:v>
      </x:c>
      <x:c r="O2829" s="82" t="n">
        <x:v>0.12638006873150076</x:v>
      </x:c>
      <x:c r="P2829" s="80" t="n">
        <x:v>760.0703541252105</x:v>
      </x:c>
      <x:c r="Q2829" s="81" t="n">
        <x:v>234332.95831130358</x:v>
      </x:c>
      <x:c r="R2829" s="81" t="n">
        <x:v>13.974332032986366</x:v>
      </x:c>
      <x:c r="S2829" s="81" t="n">
        <x:v>4.720295396943939e-9</x:v>
      </x:c>
      <x:c r="T2829" s="81" t="n">
        <x:v>4.781471760139362e-17</x:v>
      </x:c>
    </x:row>
    <x:row r="2830">
      <x:c r="A2830" s="59" t="n">
        <x:v>2827</x:v>
      </x:c>
      <x:c r="B2830" s="193" t="n">
        <x:v>0.9706655362620951</x:v>
      </x:c>
      <x:c r="C2830" s="83" t="n">
        <x:v>1.6815608496188603</x:v>
      </x:c>
      <x:c r="D2830" s="83" t="n">
        <x:v>0.6516713705662684</x:v>
      </x:c>
      <x:c r="E2830" s="81" t="n">
        <x:v>0.021667123678187766</x:v>
      </x:c>
      <x:c r="F2830" s="81" t="n">
        <x:v>0.30672115413472056</x:v>
      </x:c>
      <x:c r="G2830" s="81" t="n">
        <x:v>-0.008871823035082169</x:v>
      </x:c>
      <x:c r="H2830" s="59" t="n">
        <x:v>83</x:v>
      </x:c>
      <x:c r="I2830" s="81" t="n">
        <x:v>0.17886477494612338</x:v>
      </x:c>
      <x:c r="J2830" s="79" t="n">
        <x:v>0.0005137333236939582</x:v>
      </x:c>
      <x:c r="K2830" s="81" t="n">
        <x:v>-0.41287620149261917</x:v>
      </x:c>
      <x:c r="L2830" s="81" t="n">
        <x:v>-0.6811913797128407</x:v>
      </x:c>
      <x:c r="M2830" s="80" t="n">
        <x:v>10882.730685196468</x:v>
      </x:c>
      <x:c r="N2830" s="82" t="n">
        <x:v>0.33332448071643594</x:v>
      </x:c>
      <x:c r="O2830" s="82" t="n">
        <x:v>0.09657881730170634</x:v>
      </x:c>
      <x:c r="P2830" s="80" t="n">
        <x:v>15448.087666459387</x:v>
      </x:c>
      <x:c r="Q2830" s="81" t="n">
        <x:v>0.009298143232665932</x:v>
      </x:c>
      <x:c r="R2830" s="81" t="n">
        <x:v>18.085256775491835</x:v>
      </x:c>
      <x:c r="S2830" s="81" t="n">
        <x:v>6.733002314500458</x:v>
      </x:c>
      <x:c r="T2830" s="81" t="n">
        <x:v>11.12858538365589</x:v>
      </x:c>
    </x:row>
    <x:row r="2831">
      <x:c r="A2831" s="59" t="n">
        <x:v>2828</x:v>
      </x:c>
      <x:c r="B2831" s="193" t="n">
        <x:v>0.5324274834245444</x:v>
      </x:c>
      <x:c r="C2831" s="83" t="n">
        <x:v>0.11064180177044974</x:v>
      </x:c>
      <x:c r="D2831" s="83" t="n">
        <x:v>0.9932046124471858</x:v>
      </x:c>
      <x:c r="E2831" s="81" t="n">
        <x:v>0.01974897956440993</x:v>
      </x:c>
      <x:c r="F2831" s="81" t="n">
        <x:v>0.2657402790733613</x:v>
      </x:c>
      <x:c r="G2831" s="81" t="n">
        <x:v>-0.008819896191776573</x:v>
      </x:c>
      <x:c r="H2831" s="59" t="n">
        <x:v>0</x:v>
      </x:c>
      <x:c r="I2831" s="81" t="n">
        <x:v>0</x:v>
      </x:c>
      <x:c r="J2831" s="79" t="n">
        <x:v>0.0004949299805070696</x:v>
      </x:c>
      <x:c r="K2831" s="81" t="n">
        <x:v>-0.434365736563349</x:v>
      </x:c>
      <x:c r="L2831" s="81" t="n">
        <x:v>-0.7211177712525453</x:v>
      </x:c>
      <x:c r="M2831" s="80" t="n">
        <x:v>4519.927869325908</x:v>
      </x:c>
      <x:c r="N2831" s="82" t="n">
        <x:v>0.22892795956704076</x:v>
      </x:c>
      <x:c r="O2831" s="82" t="n">
        <x:v>0.057468143300007636</x:v>
      </x:c>
      <x:c r="P2831" s="80" t="n">
        <x:v>9623.743420984792</x:v>
      </x:c>
      <x:c r="Q2831" s="81" t="n">
        <x:v>0.006071574877856721</x:v>
      </x:c>
      <x:c r="R2831" s="81" t="n">
        <x:v>270.559070818148</x:v>
      </x:c>
      <x:c r="S2831" s="81" t="n">
        <x:v>84.67608876962234</x:v>
      </x:c>
      <x:c r="T2831" s="81" t="n">
        <x:v>10.72126391840842</x:v>
      </x:c>
    </x:row>
    <x:row r="2832">
      <x:c r="A2832" s="59" t="n">
        <x:v>2829</x:v>
      </x:c>
      <x:c r="B2832" s="193" t="n">
        <x:v>0.4663143934682012</x:v>
      </x:c>
      <x:c r="C2832" s="83" t="n">
        <x:v>0.3112458696949403</x:v>
      </x:c>
      <x:c r="D2832" s="83" t="n">
        <x:v>2.6627319415971034</x:v>
      </x:c>
      <x:c r="E2832" s="81" t="n">
        <x:v>0.09359863473996587</x:v>
      </x:c>
      <x:c r="F2832" s="81" t="n">
        <x:v>0.3052911765407771</x:v>
      </x:c>
      <x:c r="G2832" s="81" t="n">
        <x:v>0.02843358061514417</x:v>
      </x:c>
      <x:c r="H2832" s="59" t="n">
        <x:v>0</x:v>
      </x:c>
      <x:c r="I2832" s="81" t="n">
        <x:v>0</x:v>
      </x:c>
      <x:c r="J2832" s="79" t="n">
        <x:v>0.3859764401840214</x:v>
      </x:c>
      <x:c r="K2832" s="81" t="n">
        <x:v>440.11593163888165</x:v>
      </x:c>
      <x:c r="L2832" s="81" t="n">
        <x:v>-0.7969108428710765</x:v>
      </x:c>
      <x:c r="M2832" s="80" t="n">
        <x:v>308421.91483012924</x:v>
      </x:c>
      <x:c r="N2832" s="82" t="n">
        <x:v>0.21317858191900288</x:v>
      </x:c>
      <x:c r="O2832" s="82" t="n">
        <x:v>0.061479278675418976</x:v>
      </x:c>
      <x:c r="P2832" s="80" t="n">
        <x:v>1022098.3378173977</x:v>
      </x:c>
      <x:c r="Q2832" s="81" t="n">
        <x:v>0.002263680886153728</x:v>
      </x:c>
      <x:c r="R2832" s="81" t="n">
        <x:v>10506.685632949557</x:v>
      </x:c>
      <x:c r="S2832" s="81" t="n">
        <x:v>23430.21890165956</x:v>
      </x:c>
      <x:c r="T2832" s="81" t="n">
        <x:v>8361.092365552437</x:v>
      </x:c>
    </x:row>
    <x:row r="2833">
      <x:c r="A2833" s="59" t="n">
        <x:v>2830</x:v>
      </x:c>
      <x:c r="B2833" s="193" t="n">
        <x:v>0.7003460094332696</x:v>
      </x:c>
      <x:c r="C2833" s="83" t="n">
        <x:v>0.8168521030008425</x:v>
      </x:c>
      <x:c r="D2833" s="83" t="n">
        <x:v>0.4305883162431506</x:v>
      </x:c>
      <x:c r="E2833" s="81" t="n">
        <x:v>0.002641437801403234</x:v>
      </x:c>
      <x:c r="F2833" s="81" t="n">
        <x:v>0.6327080258517526</x:v>
      </x:c>
      <x:c r="G2833" s="81" t="n">
        <x:v>-0.007867194993026851</x:v>
      </x:c>
      <x:c r="H2833" s="59" t="n">
        <x:v>82</x:v>
      </x:c>
      <x:c r="I2833" s="81" t="n">
        <x:v>0.1423500523902476</x:v>
      </x:c>
      <x:c r="J2833" s="79" t="n">
        <x:v>0.0000018060070347846357</x:v>
      </x:c>
      <x:c r="K2833" s="81" t="n">
        <x:v>-0.9979359919602462</x:v>
      </x:c>
      <x:c r="L2833" s="81" t="n">
        <x:v>-0.9979359919602462</x:v>
      </x:c>
      <x:c r="M2833" s="80" t="n">
        <x:v>418.4977863779225</x:v>
      </x:c>
      <x:c r="N2833" s="82" t="n">
        <x:v>0.2689293009346817</x:v>
      </x:c>
      <x:c r="O2833" s="82" t="n">
        <x:v>0.16073572308321402</x:v>
      </x:c>
      <x:c r="P2833" s="80" t="n">
        <x:v>1341.8707328349315</x:v>
      </x:c>
      <x:c r="Q2833" s="81" t="n">
        <x:v>0.03943251773386491</x:v>
      </x:c>
      <x:c r="R2833" s="81" t="n">
        <x:v>13.178432218156445</x:v>
      </x:c>
      <x:c r="S2833" s="81" t="n">
        <x:v>0.08076469413391335</x:v>
      </x:c>
      <x:c r="T2833" s="81" t="n">
        <x:v>0.039122055282629464</x:v>
      </x:c>
    </x:row>
    <x:row r="2834">
      <x:c r="A2834" s="59" t="n">
        <x:v>2831</x:v>
      </x:c>
      <x:c r="B2834" s="193" t="n">
        <x:v>0.45296374764293434</x:v>
      </x:c>
      <x:c r="C2834" s="83" t="n">
        <x:v>0.7193086115171606</x:v>
      </x:c>
      <x:c r="D2834" s="83" t="n">
        <x:v>2.8504788553141003</x:v>
      </x:c>
      <x:c r="E2834" s="81" t="n">
        <x:v>-0.15285231874141544</x:v>
      </x:c>
      <x:c r="F2834" s="81" t="n">
        <x:v>0.7962759844376706</x:v>
      </x:c>
      <x:c r="G2834" s="81" t="n">
        <x:v>-0.013272120842467167</x:v>
      </x:c>
      <x:c r="H2834" s="59" t="n">
        <x:v>38</x:v>
      </x:c>
      <x:c r="I2834" s="81" t="n">
        <x:v>0.16422328138723968</x:v>
      </x:c>
      <x:c r="J2834" s="79" t="n">
        <x:v>1.20893133448834e-106</x:v>
      </x:c>
      <x:c r="K2834" s="81" t="n">
        <x:v>-1</x:v>
      </x:c>
      <x:c r="L2834" s="81" t="n">
        <x:v>-1</x:v>
      </x:c>
      <x:c r="M2834" s="80" t="n">
        <x:v>0.000002</x:v>
      </x:c>
      <x:c r="N2834" s="82" t="n">
        <x:v>0.20999820775881525</x:v>
      </x:c>
      <x:c r="O2834" s="82" t="n">
        <x:v>0.1579610994059903</x:v>
      </x:c>
      <x:c r="P2834" s="80" t="n">
        <x:v>315.3205991406919</x:v>
      </x:c>
      <x:c r="Q2834" s="81" t="n">
        <x:v>1.260360584429092e+89</x:v>
      </x:c>
      <x:c r="R2834" s="81" t="n">
        <x:v>0.8008186420104502</x:v>
      </x:c>
      <x:c r="S2834" s="81" t="n">
        <x:v>1.234439412837388e-9</x:v>
      </x:c>
      <x:c r="T2834" s="81" t="n">
        <x:v>2.618809206709199e-102</x:v>
      </x:c>
    </x:row>
    <x:row r="2835">
      <x:c r="A2835" s="59" t="n">
        <x:v>2832</x:v>
      </x:c>
      <x:c r="B2835" s="193" t="n">
        <x:v>0.8673832403495909</x:v>
      </x:c>
      <x:c r="C2835" s="83" t="n">
        <x:v>1.606627318730345</x:v>
      </x:c>
      <x:c r="D2835" s="83" t="n">
        <x:v>0.6126650585124401</x:v>
      </x:c>
      <x:c r="E2835" s="81" t="n">
        <x:v>0.08617144897679968</x:v>
      </x:c>
      <x:c r="F2835" s="81" t="n">
        <x:v>0.6991620458196849</x:v>
      </x:c>
      <x:c r="G2835" s="81" t="n">
        <x:v>0.01118172656263107</x:v>
      </x:c>
      <x:c r="H2835" s="59" t="n">
        <x:v>33</x:v>
      </x:c>
      <x:c r="I2835" s="81" t="n">
        <x:v>0.45598301021382215</x:v>
      </x:c>
      <x:c r="J2835" s="79" t="n">
        <x:v>0.0028852411483836415</x:v>
      </x:c>
      <x:c r="K2835" s="81" t="n">
        <x:v>2.2974184552955905</x:v>
      </x:c>
      <x:c r="L2835" s="81" t="n">
        <x:v>-0.7781415356388768</x:v>
      </x:c>
      <x:c r="M2835" s="80" t="n">
        <x:v>29478.489391189356</x:v>
      </x:c>
      <x:c r="N2835" s="82" t="n">
        <x:v>0.30872070128702883</x:v>
      </x:c>
      <x:c r="O2835" s="82" t="n">
        <x:v>0.20389873830491212</x:v>
      </x:c>
      <x:c r="P2835" s="80" t="n">
        <x:v>33854.39285919373</x:v>
      </x:c>
      <x:c r="Q2835" s="81" t="n">
        <x:v>0.005834784356895271</x:v>
      </x:c>
      <x:c r="R2835" s="81" t="n">
        <x:v>49.886870165525515</x:v>
      </x:c>
      <x:c r="S2835" s="81" t="n">
        <x:v>37.074329757765035</x:v>
      </x:c>
      <x:c r="T2835" s="81" t="n">
        <x:v>62.50062238779847</x:v>
      </x:c>
    </x:row>
    <x:row r="2836">
      <x:c r="A2836" s="59" t="n">
        <x:v>2833</x:v>
      </x:c>
      <x:c r="B2836" s="193" t="n">
        <x:v>0.31230417490005496</x:v>
      </x:c>
      <x:c r="C2836" s="83" t="n">
        <x:v>1.3741753923071882</x:v>
      </x:c>
      <x:c r="D2836" s="83" t="n">
        <x:v>1.4641059621451227</x:v>
      </x:c>
      <x:c r="E2836" s="81" t="n">
        <x:v>-0.11492703893914658</x:v>
      </x:c>
      <x:c r="F2836" s="81" t="n">
        <x:v>0.8203480398165993</x:v>
      </x:c>
      <x:c r="G2836" s="81" t="n">
        <x:v>-0.025369296395828092</x:v>
      </x:c>
      <x:c r="H2836" s="59" t="n">
        <x:v>45</x:v>
      </x:c>
      <x:c r="I2836" s="81" t="n">
        <x:v>0.3859343317337335</x:v>
      </x:c>
      <x:c r="J2836" s="79" t="n">
        <x:v>1.2460644885156233e-53</x:v>
      </x:c>
      <x:c r="K2836" s="81" t="n">
        <x:v>-1</x:v>
      </x:c>
      <x:c r="L2836" s="81" t="n">
        <x:v>-1</x:v>
      </x:c>
      <x:c r="M2836" s="80" t="n">
        <x:v>0.000002</x:v>
      </x:c>
      <x:c r="N2836" s="82" t="n">
        <x:v>0.17649046016447265</x:v>
      </x:c>
      <x:c r="O2836" s="82" t="n">
        <x:v>0.13676983468921583</x:v>
      </x:c>
      <x:c r="P2836" s="80" t="n">
        <x:v>410.4668773986313</x:v>
      </x:c>
      <x:c r="Q2836" s="81" t="n">
        <x:v>1.572818150787224e+36</x:v>
      </x:c>
      <x:c r="R2836" s="81" t="n">
        <x:v>1.0059610134473278</x:v>
      </x:c>
      <x:c r="S2836" s="81" t="n">
        <x:v>3.9517084523816296e-10</x:v>
      </x:c>
      <x:c r="T2836" s="81" t="n">
        <x:v>2.699247725313696e-49</x:v>
      </x:c>
    </x:row>
    <x:row r="2837">
      <x:c r="A2837" s="59" t="n">
        <x:v>2834</x:v>
      </x:c>
      <x:c r="B2837" s="193" t="n">
        <x:v>0.4505552699789405</x:v>
      </x:c>
      <x:c r="C2837" s="83" t="n">
        <x:v>0.10519097539569579</x:v>
      </x:c>
      <x:c r="D2837" s="83" t="n">
        <x:v>0.69059523854567</x:v>
      </x:c>
      <x:c r="E2837" s="81" t="n">
        <x:v>-0.1463781102429746</x:v>
      </x:c>
      <x:c r="F2837" s="81" t="n">
        <x:v>0.4023911959724501</x:v>
      </x:c>
      <x:c r="G2837" s="81" t="n">
        <x:v>-0.04451776831651686</x:v>
      </x:c>
      <x:c r="H2837" s="59" t="n">
        <x:v>0</x:v>
      </x:c>
      <x:c r="I2837" s="81" t="n">
        <x:v>0</x:v>
      </x:c>
      <x:c r="J2837" s="79" t="n">
        <x:v>5.230849383605837e-36</x:v>
      </x:c>
      <x:c r="K2837" s="81" t="n">
        <x:v>-1</x:v>
      </x:c>
      <x:c r="L2837" s="81" t="n">
        <x:v>-1</x:v>
      </x:c>
      <x:c r="M2837" s="80" t="n">
        <x:v>0.000002</x:v>
      </x:c>
      <x:c r="N2837" s="82" t="n">
        <x:v>0.2094244632202957</x:v>
      </x:c>
      <x:c r="O2837" s="82" t="n">
        <x:v>0.07960618708490202</x:v>
      </x:c>
      <x:c r="P2837" s="80" t="n">
        <x:v>132.4101915380313</x:v>
      </x:c>
      <x:c r="Q2837" s="81" t="n">
        <x:v>3024644480041454600</x:v>
      </x:c>
      <x:c r="R2837" s="81" t="n">
        <x:v>13.369407169408715</x:v>
      </x:c>
      <x:c r="S2837" s="81" t="n">
        <x:v>3.1453248640820267e-10</x:v>
      </x:c>
      <x:c r="T2837" s="81" t="n">
        <x:v>1.1331161773959485e-31</x:v>
      </x:c>
    </x:row>
    <x:row r="2838">
      <x:c r="A2838" s="59" t="n">
        <x:v>2835</x:v>
      </x:c>
      <x:c r="B2838" s="193" t="n">
        <x:v>0.6181573018431663</x:v>
      </x:c>
      <x:c r="C2838" s="83" t="n">
        <x:v>0.1908303772214725</x:v>
      </x:c>
      <x:c r="D2838" s="83" t="n">
        <x:v>0.45069458988302447</x:v>
      </x:c>
      <x:c r="E2838" s="81" t="n">
        <x:v>-0.07437543593645765</x:v>
      </x:c>
      <x:c r="F2838" s="81" t="n">
        <x:v>0.3271025614696555</x:v>
      </x:c>
      <x:c r="G2838" s="81" t="n">
        <x:v>0.009893698269308745</x:v>
      </x:c>
      <x:c r="H2838" s="59" t="n">
        <x:v>59</x:v>
      </x:c>
      <x:c r="I2838" s="81" t="n">
        <x:v>0.11151257427409292</x:v>
      </x:c>
      <x:c r="J2838" s="79" t="n">
        <x:v>2.7693327242263414e-24</x:v>
      </x:c>
      <x:c r="K2838" s="81" t="n">
        <x:v>-1</x:v>
      </x:c>
      <x:c r="L2838" s="81" t="n">
        <x:v>-1</x:v>
      </x:c>
      <x:c r="M2838" s="80" t="n">
        <x:v>0.000002</x:v>
      </x:c>
      <x:c r="N2838" s="82" t="n">
        <x:v>0.24935040974845182</x:v>
      </x:c>
      <x:c r="O2838" s="82" t="n">
        <x:v>0.0770486392475772</x:v>
      </x:c>
      <x:c r="P2838" s="80" t="n">
        <x:v>227.66601661504617</x:v>
      </x:c>
      <x:c r="Q2838" s="81" t="n">
        <x:v>10537709.194724346</x:v>
      </x:c>
      <x:c r="R2838" s="81" t="n">
        <x:v>20.578819480302343</x:v>
      </x:c>
      <x:c r="S2838" s="81" t="n">
        <x:v>3.7372926228904023e-10</x:v>
      </x:c>
      <x:c r="T2838" s="81" t="n">
        <x:v>5.99897928670568e-20</x:v>
      </x:c>
    </x:row>
    <x:row r="2839">
      <x:c r="A2839" s="59" t="n">
        <x:v>2836</x:v>
      </x:c>
      <x:c r="B2839" s="193" t="n">
        <x:v>0.6409977678209544</x:v>
      </x:c>
      <x:c r="C2839" s="83" t="n">
        <x:v>0.5733254592905854</x:v>
      </x:c>
      <x:c r="D2839" s="83" t="n">
        <x:v>2.354948994450311</x:v>
      </x:c>
      <x:c r="E2839" s="81" t="n">
        <x:v>0.02962443891922655</x:v>
      </x:c>
      <x:c r="F2839" s="81" t="n">
        <x:v>0.35150768695166335</x:v>
      </x:c>
      <x:c r="G2839" s="81" t="n">
        <x:v>0.01854861580669395</x:v>
      </x:c>
      <x:c r="H2839" s="59" t="n">
        <x:v>25</x:v>
      </x:c>
      <x:c r="I2839" s="81" t="n">
        <x:v>0.31222743252292273</x:v>
      </x:c>
      <x:c r="J2839" s="79" t="n">
        <x:v>0.013385515012986344</x:v>
      </x:c>
      <x:c r="K2839" s="81" t="n">
        <x:v>14.297731443412966</x:v>
      </x:c>
      <x:c r="L2839" s="81" t="n">
        <x:v>-0.8855307219880826</x:v>
      </x:c>
      <x:c r="M2839" s="80" t="n">
        <x:v>41129.63237243518</x:v>
      </x:c>
      <x:c r="N2839" s="82" t="n">
        <x:v>0.25479143700309803</x:v>
      </x:c>
      <x:c r="O2839" s="82" t="n">
        <x:v>0.08460394161778563</x:v>
      </x:c>
      <x:c r="P2839" s="80" t="n">
        <x:v>160623.72712472858</x:v>
      </x:c>
      <x:c r="Q2839" s="81" t="n">
        <x:v>0.007224026157673135</x:v>
      </x:c>
      <x:c r="R2839" s="81" t="n">
        <x:v>286.1873496533501</x:v>
      </x:c>
      <x:c r="S2839" s="81" t="n">
        <x:v>467.9642139064561</x:v>
      </x:c>
      <x:c r="T2839" s="81" t="n">
        <x:v>289.9594786943702</x:v>
      </x:c>
    </x:row>
    <x:row r="2840">
      <x:c r="A2840" s="59" t="n">
        <x:v>2837</x:v>
      </x:c>
      <x:c r="B2840" s="193" t="n">
        <x:v>0.7471605995669961</x:v>
      </x:c>
      <x:c r="C2840" s="83" t="n">
        <x:v>0.18175631190339447</x:v>
      </x:c>
      <x:c r="D2840" s="83" t="n">
        <x:v>0.6863324573585041</x:v>
      </x:c>
      <x:c r="E2840" s="81" t="n">
        <x:v>-0.12543007127205372</x:v>
      </x:c>
      <x:c r="F2840" s="81" t="n">
        <x:v>0.27353224949911237</x:v>
      </x:c>
      <x:c r="G2840" s="81" t="n">
        <x:v>-0.009327823037961319</x:v>
      </x:c>
      <x:c r="H2840" s="59" t="n">
        <x:v>0</x:v>
      </x:c>
      <x:c r="I2840" s="81" t="n">
        <x:v>0</x:v>
      </x:c>
      <x:c r="J2840" s="79" t="n">
        <x:v>4.1621781103022655e-37</x:v>
      </x:c>
      <x:c r="K2840" s="81" t="n">
        <x:v>-1</x:v>
      </x:c>
      <x:c r="L2840" s="81" t="n">
        <x:v>-1</x:v>
      </x:c>
      <x:c r="M2840" s="80" t="n">
        <x:v>0.000002</x:v>
      </x:c>
      <x:c r="N2840" s="82" t="n">
        <x:v>0.28008141407810033</x:v>
      </x:c>
      <x:c r="O2840" s="82" t="n">
        <x:v>0.07237086597942545</x:v>
      </x:c>
      <x:c r="P2840" s="80" t="n">
        <x:v>160.94814088752076</x:v>
      </x:c>
      <x:c r="Q2840" s="81" t="n">
        <x:v>43550283491995710000</x:v>
      </x:c>
      <x:c r="R2840" s="81" t="n">
        <x:v>9.307680045118467</x:v>
      </x:c>
      <x:c r="S2840" s="81" t="n">
        <x:v>4.539332194415654e-10</x:v>
      </x:c>
      <x:c r="T2840" s="81" t="n">
        <x:v>9.016186481622044e-33</x:v>
      </x:c>
    </x:row>
    <x:row r="2841">
      <x:c r="A2841" s="59" t="n">
        <x:v>2838</x:v>
      </x:c>
      <x:c r="B2841" s="193" t="n">
        <x:v>0.4372872576117516</x:v>
      </x:c>
      <x:c r="C2841" s="83" t="n">
        <x:v>0.6401092113465685</x:v>
      </x:c>
      <x:c r="D2841" s="83" t="n">
        <x:v>1.6845885546099044</x:v>
      </x:c>
      <x:c r="E2841" s="81" t="n">
        <x:v>-0.00853160183690397</x:v>
      </x:c>
      <x:c r="F2841" s="81" t="n">
        <x:v>0.6830229786457493</x:v>
      </x:c>
      <x:c r="G2841" s="81" t="n">
        <x:v>-0.0021818722738287583</x:v>
      </x:c>
      <x:c r="H2841" s="59" t="n">
        <x:v>0</x:v>
      </x:c>
      <x:c r="I2841" s="81" t="n">
        <x:v>0</x:v>
      </x:c>
      <x:c r="J2841" s="79" t="n">
        <x:v>1.6630784598465131e-13</x:v>
      </x:c>
      <x:c r="K2841" s="81" t="n">
        <x:v>-0.9999999998099339</x:v>
      </x:c>
      <x:c r="L2841" s="81" t="n">
        <x:v>-0.9999999998099339</x:v>
      </x:c>
      <x:c r="M2841" s="80" t="n">
        <x:v>0.11686696496388554</x:v>
      </x:c>
      <x:c r="N2841" s="82" t="n">
        <x:v>0.20626377389919948</x:v>
      </x:c>
      <x:c r="O2841" s="82" t="n">
        <x:v>0.13308503283892148</x:v>
      </x:c>
      <x:c r="P2841" s="80" t="n">
        <x:v>1972.8124124315966</x:v>
      </x:c>
      <x:c r="Q2841" s="81" t="n">
        <x:v>83.87564534092036</x:v>
      </x:c>
      <x:c r="R2841" s="81" t="n">
        <x:v>11.718125101447784</x:v>
      </x:c>
      <x:c r="S2841" s="81" t="n">
        <x:v>0.00005262072334306891</x:v>
      </x:c>
      <x:c r="T2841" s="81" t="n">
        <x:v>3.6025910305063813e-9</x:v>
      </x:c>
    </x:row>
    <x:row r="2842">
      <x:c r="A2842" s="59" t="n">
        <x:v>2839</x:v>
      </x:c>
      <x:c r="B2842" s="193" t="n">
        <x:v>0.923073565773666</x:v>
      </x:c>
      <x:c r="C2842" s="83" t="n">
        <x:v>2.520735008482574</x:v>
      </x:c>
      <x:c r="D2842" s="83" t="n">
        <x:v>0.3686952593696215</x:v>
      </x:c>
      <x:c r="E2842" s="81" t="n">
        <x:v>-0.034459790833666674</x:v>
      </x:c>
      <x:c r="F2842" s="81" t="n">
        <x:v>0.48932281326269733</x:v>
      </x:c>
      <x:c r="G2842" s="81" t="n">
        <x:v>0.01588490642983583</x:v>
      </x:c>
      <x:c r="H2842" s="59" t="n">
        <x:v>0</x:v>
      </x:c>
      <x:c r="I2842" s="81" t="n">
        <x:v>0</x:v>
      </x:c>
      <x:c r="J2842" s="79" t="n">
        <x:v>3.922698567117154e-13</x:v>
      </x:c>
      <x:c r="K2842" s="81" t="n">
        <x:v>-0.9999999995516916</x:v>
      </x:c>
      <x:c r="L2842" s="81" t="n">
        <x:v>-0.9999999995516916</x:v>
      </x:c>
      <x:c r="M2842" s="80" t="n">
        <x:v>0.3848130903701053</x:v>
      </x:c>
      <x:c r="N2842" s="82" t="n">
        <x:v>0.3219871809966454</x:v>
      </x:c>
      <x:c r="O2842" s="82" t="n">
        <x:v>0.1488349711608374</x:v>
      </x:c>
      <x:c r="P2842" s="80" t="n">
        <x:v>1192.6615509428152</x:v>
      </x:c>
      <x:c r="Q2842" s="81" t="n">
        <x:v>29.737143592657898</x:v>
      </x:c>
      <x:c r="R2842" s="81" t="n">
        <x:v>3.5751551484964725</x:v>
      </x:c>
      <x:c r="S2842" s="81" t="n">
        <x:v>0.00002203573179452948</x:v>
      </x:c>
      <x:c r="T2842" s="81" t="n">
        <x:v>8.497421507449946e-9</x:v>
      </x:c>
    </x:row>
    <x:row r="2843">
      <x:c r="A2843" s="59" t="n">
        <x:v>2840</x:v>
      </x:c>
      <x:c r="B2843" s="193" t="n">
        <x:v>0.9760699016973378</x:v>
      </x:c>
      <x:c r="C2843" s="83" t="n">
        <x:v>0.20151266639679372</x:v>
      </x:c>
      <x:c r="D2843" s="83" t="n">
        <x:v>0.3495066143305115</x:v>
      </x:c>
      <x:c r="E2843" s="81" t="n">
        <x:v>-0.03403877431311469</x:v>
      </x:c>
      <x:c r="F2843" s="81" t="n">
        <x:v>0.5960605689790099</x:v>
      </x:c>
      <x:c r="G2843" s="81" t="n">
        <x:v>-0.013006910097478563</x:v>
      </x:c>
      <x:c r="H2843" s="59" t="n">
        <x:v>0</x:v>
      </x:c>
      <x:c r="I2843" s="81" t="n">
        <x:v>0</x:v>
      </x:c>
      <x:c r="J2843" s="79" t="n">
        <x:v>3.745619005910027e-12</x:v>
      </x:c>
      <x:c r="K2843" s="81" t="n">
        <x:v>-0.9999999957192925</x:v>
      </x:c>
      <x:c r="L2843" s="81" t="n">
        <x:v>-0.9999999957192925</x:v>
      </x:c>
      <x:c r="M2843" s="80" t="n">
        <x:v>0.4044460599440128</x:v>
      </x:c>
      <x:c r="N2843" s="82" t="n">
        <x:v>0.334611901894963</x:v>
      </x:c>
      <x:c r="O2843" s="82" t="n">
        <x:v>0.18840946627381647</x:v>
      </x:c>
      <x:c r="P2843" s="80" t="n">
        <x:v>270.50540866822126</x:v>
      </x:c>
      <x:c r="Q2843" s="81" t="n">
        <x:v>3.302361555327718</x:v>
      </x:c>
      <x:c r="R2843" s="81" t="n">
        <x:v>26.09007837793921</x:v>
      </x:c>
      <x:c r="S2843" s="81" t="n">
        <x:v>0.000045171294427600795</x:v>
      </x:c>
      <x:c r="T2843" s="81" t="n">
        <x:v>8.1138285175259e-8</x:v>
      </x:c>
    </x:row>
    <x:row r="2844">
      <x:c r="A2844" s="59" t="n">
        <x:v>2841</x:v>
      </x:c>
      <x:c r="B2844" s="193" t="n">
        <x:v>0.37516389396041633</x:v>
      </x:c>
      <x:c r="C2844" s="83" t="n">
        <x:v>1.8362313660488223</x:v>
      </x:c>
      <x:c r="D2844" s="83" t="n">
        <x:v>0.2861355699328345</x:v>
      </x:c>
      <x:c r="E2844" s="81" t="n">
        <x:v>-0.030052972948106285</x:v>
      </x:c>
      <x:c r="F2844" s="81" t="n">
        <x:v>0.6553910315502436</x:v>
      </x:c>
      <x:c r="G2844" s="81" t="n">
        <x:v>0.02685259153589077</x:v>
      </x:c>
      <x:c r="H2844" s="59" t="n">
        <x:v>0</x:v>
      </x:c>
      <x:c r="I2844" s="81" t="n">
        <x:v>0</x:v>
      </x:c>
      <x:c r="J2844" s="79" t="n">
        <x:v>5.4022370534986625e-11</x:v>
      </x:c>
      <x:c r="K2844" s="81" t="n">
        <x:v>-0.999999938260148</x:v>
      </x:c>
      <x:c r="L2844" s="81" t="n">
        <x:v>-0.999999938260148</x:v>
      </x:c>
      <x:c r="M2844" s="80" t="n">
        <x:v>3.611743799602422</x:v>
      </x:c>
      <x:c r="N2844" s="82" t="n">
        <x:v>0.19146482386438315</x:v>
      </x:c>
      <x:c r="O2844" s="82" t="n">
        <x:v>0.11853877437224035</x:v>
      </x:c>
      <x:c r="P2844" s="80" t="n">
        <x:v>957.5459338488181</x:v>
      </x:c>
      <x:c r="Q2844" s="81" t="n">
        <x:v>2.306363917089892</x:v>
      </x:c>
      <x:c r="R2844" s="81" t="n">
        <x:v>5.368376294728055</x:v>
      </x:c>
      <x:c r="S2844" s="81" t="n">
        <x:v>0.00022604047172501023</x:v>
      </x:c>
      <x:c r="T2844" s="81" t="n">
        <x:v>0.0000011702424884632125</x:v>
      </x:c>
    </x:row>
    <x:row r="2845">
      <x:c r="A2845" s="59" t="n">
        <x:v>2842</x:v>
      </x:c>
      <x:c r="B2845" s="193" t="n">
        <x:v>0.45432200711220505</x:v>
      </x:c>
      <x:c r="C2845" s="83" t="n">
        <x:v>0.14206498251996416</x:v>
      </x:c>
      <x:c r="D2845" s="83" t="n">
        <x:v>0.32673147089336574</x:v>
      </x:c>
      <x:c r="E2845" s="81" t="n">
        <x:v>-0.09614523208354582</x:v>
      </x:c>
      <x:c r="F2845" s="81" t="n">
        <x:v>0.6048072218778544</x:v>
      </x:c>
      <x:c r="G2845" s="81" t="n">
        <x:v>0.0007884870092205363</x:v>
      </x:c>
      <x:c r="H2845" s="59" t="n">
        <x:v>0</x:v>
      </x:c>
      <x:c r="I2845" s="81" t="n">
        <x:v>0</x:v>
      </x:c>
      <x:c r="J2845" s="79" t="n">
        <x:v>3.673991125502137e-23</x:v>
      </x:c>
      <x:c r="K2845" s="81" t="n">
        <x:v>-1</x:v>
      </x:c>
      <x:c r="L2845" s="81" t="n">
        <x:v>-1</x:v>
      </x:c>
      <x:c r="M2845" s="80" t="n">
        <x:v>0.000002</x:v>
      </x:c>
      <x:c r="N2845" s="82" t="n">
        <x:v>0.21032177063176047</x:v>
      </x:c>
      <x:c r="O2845" s="82" t="n">
        <x:v>0.12016338101393048</x:v>
      </x:c>
      <x:c r="P2845" s="80" t="n">
        <x:v>156.38739771925978</x:v>
      </x:c>
      <x:c r="Q2845" s="81" t="n">
        <x:v>626898.2298477581</x:v>
      </x:c>
      <x:c r="R2845" s="81" t="n">
        <x:v>26.16582202335837</x:v>
      </x:c>
      <x:c r="S2845" s="81" t="n">
        <x:v>2.5302819901675724e-10</x:v>
      </x:c>
      <x:c r="T2845" s="81" t="n">
        <x:v>7.95866689062619e-19</x:v>
      </x:c>
    </x:row>
    <x:row r="2846">
      <x:c r="A2846" s="59" t="n">
        <x:v>2843</x:v>
      </x:c>
      <x:c r="B2846" s="193" t="n">
        <x:v>0.5041102526709438</x:v>
      </x:c>
      <x:c r="C2846" s="83" t="n">
        <x:v>0.138358727896443</x:v>
      </x:c>
      <x:c r="D2846" s="83" t="n">
        <x:v>0.2863800985600559</x:v>
      </x:c>
      <x:c r="E2846" s="81" t="n">
        <x:v>0.02245793696742157</x:v>
      </x:c>
      <x:c r="F2846" s="81" t="n">
        <x:v>0.5653076162328944</x:v>
      </x:c>
      <x:c r="G2846" s="81" t="n">
        <x:v>0.021701343625798043</x:v>
      </x:c>
      <x:c r="H2846" s="59" t="n">
        <x:v>0</x:v>
      </x:c>
      <x:c r="I2846" s="81" t="n">
        <x:v>0</x:v>
      </x:c>
      <x:c r="J2846" s="79" t="n">
        <x:v>0.00002298356541012475</x:v>
      </x:c>
      <x:c r="K2846" s="81" t="n">
        <x:v>-0.9737330681027145</x:v>
      </x:c>
      <x:c r="L2846" s="81" t="n">
        <x:v>-0.9796086348443355</x:v>
      </x:c>
      <x:c r="M2846" s="80" t="n">
        <x:v>957.2088320862592</x:v>
      </x:c>
      <x:c r="N2846" s="82" t="n">
        <x:v>0.22218226425345655</x:v>
      </x:c>
      <x:c r="O2846" s="82" t="n">
        <x:v>0.118649296306008</x:v>
      </x:c>
      <x:c r="P2846" s="80" t="n">
        <x:v>942.7889026006355</x:v>
      </x:c>
      <x:c r="Q2846" s="81" t="n">
        <x:v>0.00950956212077297</x:v>
      </x:c>
      <x:c r="R2846" s="81" t="n">
        <x:v>82.422838031066</x:v>
      </x:c>
      <x:c r="S2846" s="81" t="n">
        <x:v>3.223938257488801</x:v>
      </x:c>
      <x:c r="T2846" s="81" t="n">
        <x:v>0.49787420494408824</x:v>
      </x:c>
    </x:row>
    <x:row r="2847">
      <x:c r="A2847" s="59" t="n">
        <x:v>2844</x:v>
      </x:c>
      <x:c r="B2847" s="193" t="n">
        <x:v>0.9139787256717682</x:v>
      </x:c>
      <x:c r="C2847" s="83" t="n">
        <x:v>0.42482604656157374</x:v>
      </x:c>
      <x:c r="D2847" s="83" t="n">
        <x:v>1.0360638040416645</x:v>
      </x:c>
      <x:c r="E2847" s="81" t="n">
        <x:v>0.10132654910486727</x:v>
      </x:c>
      <x:c r="F2847" s="81" t="n">
        <x:v>0.3542705186875537</x:v>
      </x:c>
      <x:c r="G2847" s="81" t="n">
        <x:v>-0.0016084590965875945</x:v>
      </x:c>
      <x:c r="H2847" s="59" t="n">
        <x:v>85</x:v>
      </x:c>
      <x:c r="I2847" s="81" t="n">
        <x:v>0.4144466579891741</x:v>
      </x:c>
      <x:c r="J2847" s="79" t="n">
        <x:v>0.010745307187266148</x:v>
      </x:c>
      <x:c r="K2847" s="81" t="n">
        <x:v>11.280351071161313</x:v>
      </x:c>
      <x:c r="L2847" s="81" t="n">
        <x:v>-0.9616739314758578</x:v>
      </x:c>
      <x:c r="M2847" s="80" t="n">
        <x:v>36201.58202555911</x:v>
      </x:c>
      <x:c r="N2847" s="82" t="n">
        <x:v>0.3198206195561215</x:v>
      </x:c>
      <x:c r="O2847" s="82" t="n">
        <x:v>0.10703169798774687</x:v>
      </x:c>
      <x:c r="P2847" s="80" t="n">
        <x:v>60243.75815043772</x:v>
      </x:c>
      <x:c r="Q2847" s="81" t="n">
        <x:v>0.00287564849717913</x:v>
      </x:c>
      <x:c r="R2847" s="81" t="n">
        <x:v>673.1101968006873</x:v>
      </x:c>
      <x:c r="S2847" s="81" t="n">
        <x:v>481.85641753272233</x:v>
      </x:c>
      <x:c r="T2847" s="81" t="n">
        <x:v>232.76681303691134</x:v>
      </x:c>
    </x:row>
    <x:row r="2848">
      <x:c r="A2848" s="59" t="n">
        <x:v>2845</x:v>
      </x:c>
      <x:c r="B2848" s="193" t="n">
        <x:v>0.2091918669641018</x:v>
      </x:c>
      <x:c r="C2848" s="83" t="n">
        <x:v>0.16027614661569595</x:v>
      </x:c>
      <x:c r="D2848" s="83" t="n">
        <x:v>1.049183649787973</x:v>
      </x:c>
      <x:c r="E2848" s="81" t="n">
        <x:v>0.02458951043056155</x:v>
      </x:c>
      <x:c r="F2848" s="81" t="n">
        <x:v>0.8691250846837647</x:v>
      </x:c>
      <x:c r="G2848" s="81" t="n">
        <x:v>-0.05</x:v>
      </x:c>
      <x:c r="H2848" s="59" t="n">
        <x:v>0</x:v>
      </x:c>
      <x:c r="I2848" s="81" t="n">
        <x:v>0</x:v>
      </x:c>
      <x:c r="J2848" s="79" t="n">
        <x:v>0.00007924275864807784</x:v>
      </x:c>
      <x:c r="K2848" s="81" t="n">
        <x:v>-0.9094368472593396</x:v>
      </x:c>
      <x:c r="L2848" s="81" t="n">
        <x:v>-0.9298296847879264</x:v>
      </x:c>
      <x:c r="M2848" s="80" t="n">
        <x:v>1898.690898116283</x:v>
      </x:c>
      <x:c r="N2848" s="82" t="n">
        <x:v>0.15192717505835446</x:v>
      </x:c>
      <x:c r="O2848" s="82" t="n">
        <x:v>0.12473510276463659</x:v>
      </x:c>
      <x:c r="P2848" s="80" t="n">
        <x:v>4911.672392992876</x:v>
      </x:c>
      <x:c r="Q2848" s="81" t="n">
        <x:v>0.01016576044473488</x:v>
      </x:c>
      <x:c r="R2848" s="81" t="n">
        <x:v>137.58977406301736</x:v>
      </x:c>
      <x:c r="S2848" s="81" t="n">
        <x:v>9.593241507300652</x:v>
      </x:c>
      <x:c r="T2848" s="81" t="n">
        <x:v>1.7165711566277777</x:v>
      </x:c>
    </x:row>
    <x:row r="2849">
      <x:c r="A2849" s="59" t="n">
        <x:v>2846</x:v>
      </x:c>
      <x:c r="B2849" s="193" t="n">
        <x:v>0.9741582686081529</x:v>
      </x:c>
      <x:c r="C2849" s="83" t="n">
        <x:v>1.2535524250624697</x:v>
      </x:c>
      <x:c r="D2849" s="83" t="n">
        <x:v>2.17492319592424</x:v>
      </x:c>
      <x:c r="E2849" s="81" t="n">
        <x:v>-0.07783425248769532</x:v>
      </x:c>
      <x:c r="F2849" s="81" t="n">
        <x:v>0.5419013827922754</x:v>
      </x:c>
      <x:c r="G2849" s="81" t="n">
        <x:v>0.019356215880362192</x:v>
      </x:c>
      <x:c r="H2849" s="59" t="n">
        <x:v>0</x:v>
      </x:c>
      <x:c r="I2849" s="81" t="n">
        <x:v>0</x:v>
      </x:c>
      <x:c r="J2849" s="79" t="n">
        <x:v>1.4049051123896002e-64</x:v>
      </x:c>
      <x:c r="K2849" s="81" t="n">
        <x:v>-1</x:v>
      </x:c>
      <x:c r="L2849" s="81" t="n">
        <x:v>-1</x:v>
      </x:c>
      <x:c r="M2849" s="80" t="n">
        <x:v>0.000002</x:v>
      </x:c>
      <x:c r="N2849" s="82" t="n">
        <x:v>0.33415651504999866</x:v>
      </x:c>
      <x:c r="O2849" s="82" t="n">
        <x:v>0.17105711144789837</x:v>
      </x:c>
      <x:c r="P2849" s="80" t="n">
        <x:v>573.6848069965102</x:v>
      </x:c>
      <x:c r="Q2849" s="81" t="n">
        <x:v>1.9912648621499955e+47</x:v>
      </x:c>
      <x:c r="R2849" s="81" t="n">
        <x:v>1.2472648071356136</x:v>
      </x:c>
      <x:c r="S2849" s="81" t="n">
        <x:v>1.0675291298536351e-9</x:v>
      </x:c>
      <x:c r="T2849" s="81" t="n">
        <x:v>3.0433311950143614e-60</x:v>
      </x:c>
    </x:row>
    <x:row r="2850">
      <x:c r="A2850" s="59" t="n">
        <x:v>2847</x:v>
      </x:c>
      <x:c r="B2850" s="193" t="n">
        <x:v>0.7516296189278364</x:v>
      </x:c>
      <x:c r="C2850" s="83" t="n">
        <x:v>0.15337036997344378</x:v>
      </x:c>
      <x:c r="D2850" s="83" t="n">
        <x:v>1.1768995034339544</x:v>
      </x:c>
      <x:c r="E2850" s="81" t="n">
        <x:v>-0.029802741741069356</x:v>
      </x:c>
      <x:c r="F2850" s="81" t="n">
        <x:v>0.5533279102994129</x:v>
      </x:c>
      <x:c r="G2850" s="81" t="n">
        <x:v>0.002911986839724333</x:v>
      </x:c>
      <x:c r="H2850" s="59" t="n">
        <x:v>0</x:v>
      </x:c>
      <x:c r="I2850" s="81" t="n">
        <x:v>0</x:v>
      </x:c>
      <x:c r="J2850" s="79" t="n">
        <x:v>2.137402909227209e-24</x:v>
      </x:c>
      <x:c r="K2850" s="81" t="n">
        <x:v>-1</x:v>
      </x:c>
      <x:c r="L2850" s="81" t="n">
        <x:v>-1</x:v>
      </x:c>
      <x:c r="M2850" s="80" t="n">
        <x:v>0.000002</x:v>
      </x:c>
      <x:c r="N2850" s="82" t="n">
        <x:v>0.28114601828396557</x:v>
      </x:c>
      <x:c r="O2850" s="82" t="n">
        <x:v>0.14695536845310816</x:v>
      </x:c>
      <x:c r="P2850" s="80" t="n">
        <x:v>500.16562069272123</x:v>
      </x:c>
      <x:c r="Q2850" s="81" t="n">
        <x:v>32659251.64886014</x:v>
      </x:c>
      <x:c r="R2850" s="81" t="n">
        <x:v>22.083975473816956</x:v>
      </x:c>
      <x:c r="S2850" s="81" t="n">
        <x:v>9.260597969569047e-10</x:v>
      </x:c>
      <x:c r="T2850" s="81" t="n">
        <x:v>4.630081343288425e-20</x:v>
      </x:c>
    </x:row>
    <x:row r="2851">
      <x:c r="A2851" s="59" t="n">
        <x:v>2848</x:v>
      </x:c>
      <x:c r="B2851" s="193" t="n">
        <x:v>0.2815154479816556</x:v>
      </x:c>
      <x:c r="C2851" s="83" t="n">
        <x:v>0.7419450700751204</x:v>
      </x:c>
      <x:c r="D2851" s="83" t="n">
        <x:v>0.9515605454427732</x:v>
      </x:c>
      <x:c r="E2851" s="81" t="n">
        <x:v>-0.04927411696132529</x:v>
      </x:c>
      <x:c r="F2851" s="81" t="n">
        <x:v>0.2949744488694705</x:v>
      </x:c>
      <x:c r="G2851" s="81" t="n">
        <x:v>-0.006185532443928196</x:v>
      </x:c>
      <x:c r="H2851" s="59" t="n">
        <x:v>0</x:v>
      </x:c>
      <x:c r="I2851" s="81" t="n">
        <x:v>0</x:v>
      </x:c>
      <x:c r="J2851" s="79" t="n">
        <x:v>3.9987840772729425e-27</x:v>
      </x:c>
      <x:c r="K2851" s="81" t="n">
        <x:v>-1</x:v>
      </x:c>
      <x:c r="L2851" s="81" t="n">
        <x:v>-1</x:v>
      </x:c>
      <x:c r="M2851" s="80" t="n">
        <x:v>0.000002</x:v>
      </x:c>
      <x:c r="N2851" s="82" t="n">
        <x:v>0.16915600812387985</x:v>
      </x:c>
      <x:c r="O2851" s="82" t="n">
        <x:v>0.04713491931388121</x:v>
      </x:c>
      <x:c r="P2851" s="80" t="n">
        <x:v>562.5432415444913</x:v>
      </x:c>
      <x:c r="Q2851" s="81" t="n">
        <x:v>10758134185.17563</x:v>
      </x:c>
      <x:c r="R2851" s="81" t="n">
        <x:v>4.949604529033835</x:v>
      </x:c>
      <x:c r="S2851" s="81" t="n">
        <x:v>4.4373198999383456e-10</x:v>
      </x:c>
      <x:c r="T2851" s="81" t="n">
        <x:v>8.66223933358188e-23</x:v>
      </x:c>
    </x:row>
    <x:row r="2852">
      <x:c r="A2852" s="59" t="n">
        <x:v>2849</x:v>
      </x:c>
      <x:c r="B2852" s="193" t="n">
        <x:v>0.929292742535472</x:v>
      </x:c>
      <x:c r="C2852" s="83" t="n">
        <x:v>1.5537697543997477</x:v>
      </x:c>
      <x:c r="D2852" s="83" t="n">
        <x:v>1.5371151054066983</x:v>
      </x:c>
      <x:c r="E2852" s="81" t="n">
        <x:v>0.013485257019547638</x:v>
      </x:c>
      <x:c r="F2852" s="81" t="n">
        <x:v>0.7815542519208976</x:v>
      </x:c>
      <x:c r="G2852" s="81" t="n">
        <x:v>-0.03958798781944274</x:v>
      </x:c>
      <x:c r="H2852" s="59" t="n">
        <x:v>0</x:v>
      </x:c>
      <x:c r="I2852" s="81" t="n">
        <x:v>0</x:v>
      </x:c>
      <x:c r="J2852" s="79" t="n">
        <x:v>0.00008496491812931721</x:v>
      </x:c>
      <x:c r="K2852" s="81" t="n">
        <x:v>-0.9028972364236375</x:v>
      </x:c>
      <x:c r="L2852" s="81" t="n">
        <x:v>-0.9188580822175773</x:v>
      </x:c>
      <x:c r="M2852" s="80" t="n">
        <x:v>4277.9597730594105</x:v>
      </x:c>
      <x:c r="N2852" s="82" t="n">
        <x:v>0.3234687055108719</x:v>
      </x:c>
      <x:c r="O2852" s="82" t="n">
        <x:v>0.23881540753308728</x:v>
      </x:c>
      <x:c r="P2852" s="80" t="n">
        <x:v>16142.133099457042</x:v>
      </x:c>
      <x:c r="Q2852" s="81" t="n">
        <x:v>0.034708161496058765</x:v>
      </x:c>
      <x:c r="R2852" s="81" t="n">
        <x:v>16.54692484424305</x:v>
      </x:c>
      <x:c r="S2852" s="81" t="n">
        <x:v>1.714866070005679</x:v>
      </x:c>
      <x:c r="T2852" s="81" t="n">
        <x:v>1.8405256237197427</x:v>
      </x:c>
    </x:row>
    <x:row r="2853">
      <x:c r="A2853" s="59" t="n">
        <x:v>2850</x:v>
      </x:c>
      <x:c r="B2853" s="193" t="n">
        <x:v>0.6477271430194378</x:v>
      </x:c>
      <x:c r="C2853" s="83" t="n">
        <x:v>0.11456224603052041</x:v>
      </x:c>
      <x:c r="D2853" s="83" t="n">
        <x:v>2.658472419638842</x:v>
      </x:c>
      <x:c r="E2853" s="81" t="n">
        <x:v>0.018900445707672346</x:v>
      </x:c>
      <x:c r="F2853" s="81" t="n">
        <x:v>0.6361142433830538</x:v>
      </x:c>
      <x:c r="G2853" s="81" t="n">
        <x:v>-0.04844802401227183</x:v>
      </x:c>
      <x:c r="H2853" s="59" t="n">
        <x:v>0</x:v>
      </x:c>
      <x:c r="I2853" s="81" t="n">
        <x:v>0</x:v>
      </x:c>
      <x:c r="J2853" s="79" t="n">
        <x:v>0.00019876972508550575</x:v>
      </x:c>
      <x:c r="K2853" s="81" t="n">
        <x:v>-0.7728345999022791</x:v>
      </x:c>
      <x:c r="L2853" s="81" t="n">
        <x:v>-0.897163656968142</x:v>
      </x:c>
      <x:c r="M2853" s="80" t="n">
        <x:v>3100.333535922367</x:v>
      </x:c>
      <x:c r="N2853" s="82" t="n">
        <x:v>0.2563945003511616</x:v>
      </x:c>
      <x:c r="O2853" s="82" t="n">
        <x:v>0.15406882387359136</x:v>
      </x:c>
      <x:c r="P2853" s="80" t="n">
        <x:v>17254.877132501195</x:v>
      </x:c>
      <x:c r="Q2853" s="81" t="n">
        <x:v>0.017477350405539906</x:v>
      </x:c>
      <x:c r="R2853" s="81" t="n">
        <x:v>311.97824213482846</x:v>
      </x:c>
      <x:c r="S2853" s="81" t="n">
        <x:v>34.018411177258415</x:v>
      </x:c>
      <x:c r="T2853" s="81" t="n">
        <x:v>4.3057862032279015</x:v>
      </x:c>
    </x:row>
    <x:row r="2854">
      <x:c r="A2854" s="59" t="n">
        <x:v>2851</x:v>
      </x:c>
      <x:c r="B2854" s="193" t="n">
        <x:v>0.3086984757333994</x:v>
      </x:c>
      <x:c r="C2854" s="83" t="n">
        <x:v>1.6171409696214558</x:v>
      </x:c>
      <x:c r="D2854" s="83" t="n">
        <x:v>1.8933192929173526</x:v>
      </x:c>
      <x:c r="E2854" s="81" t="n">
        <x:v>-0.10212850131619132</x:v>
      </x:c>
      <x:c r="F2854" s="81" t="n">
        <x:v>0.5190038332366385</x:v>
      </x:c>
      <x:c r="G2854" s="81" t="n">
        <x:v>-0.010292028955410237</x:v>
      </x:c>
      <x:c r="H2854" s="59" t="n">
        <x:v>0</x:v>
      </x:c>
      <x:c r="I2854" s="81" t="n">
        <x:v>0</x:v>
      </x:c>
      <x:c r="J2854" s="79" t="n">
        <x:v>1.4662017883204691e-62</x:v>
      </x:c>
      <x:c r="K2854" s="81" t="n">
        <x:v>-1</x:v>
      </x:c>
      <x:c r="L2854" s="81" t="n">
        <x:v>-1</x:v>
      </x:c>
      <x:c r="M2854" s="80" t="n">
        <x:v>0.000002</x:v>
      </x:c>
      <x:c r="N2854" s="82" t="n">
        <x:v>0.17563151501611562</x:v>
      </x:c>
      <x:c r="O2854" s="82" t="n">
        <x:v>0.0861080897717828</x:v>
      </x:c>
      <x:c r="P2854" s="80" t="n">
        <x:v>532.6227309552623</x:v>
      </x:c>
      <x:c r="Q2854" s="81" t="n">
        <x:v>1.4869156441551548e+45</x:v>
      </x:c>
      <x:c r="R2854" s="81" t="n">
        <x:v>0.9259998013232412</x:v>
      </x:c>
      <x:c r="S2854" s="81" t="n">
        <x:v>5.587748429528106e-10</x:v>
      </x:c>
      <x:c r="T2854" s="81" t="n">
        <x:v>3.176113177488469e-58</x:v>
      </x:c>
    </x:row>
    <x:row r="2855">
      <x:c r="A2855" s="59" t="n">
        <x:v>2852</x:v>
      </x:c>
      <x:c r="B2855" s="193" t="n">
        <x:v>0.4797938833013177</x:v>
      </x:c>
      <x:c r="C2855" s="83" t="n">
        <x:v>0.26618145290098394</x:v>
      </x:c>
      <x:c r="D2855" s="83" t="n">
        <x:v>0.29329752025792066</x:v>
      </x:c>
      <x:c r="E2855" s="81" t="n">
        <x:v>0.09018381712709797</x:v>
      </x:c>
      <x:c r="F2855" s="81" t="n">
        <x:v>0.2992368657840416</x:v>
      </x:c>
      <x:c r="G2855" s="81" t="n">
        <x:v>-0.01948036723616927</x:v>
      </x:c>
      <x:c r="H2855" s="59" t="n">
        <x:v>0</x:v>
      </x:c>
      <x:c r="I2855" s="81" t="n">
        <x:v>0</x:v>
      </x:c>
      <x:c r="J2855" s="79" t="n">
        <x:v>0.0008297207655365592</x:v>
      </x:c>
      <x:c r="K2855" s="81" t="n">
        <x:v>-0.0517476965296465</x:v>
      </x:c>
      <x:c r="L2855" s="81" t="n">
        <x:v>-0.6716908427855433</x:v>
      </x:c>
      <x:c r="M2855" s="80" t="n">
        <x:v>6799.937300630957</x:v>
      </x:c>
      <x:c r="N2855" s="82" t="n">
        <x:v>0.21638964913768596</x:v>
      </x:c>
      <x:c r="O2855" s="82" t="n">
        <x:v>0.06116775228077123</x:v>
      </x:c>
      <x:c r="P2855" s="80" t="n">
        <x:v>4316.675281540391</x:v>
      </x:c>
      <x:c r="Q2855" s="81" t="n">
        <x:v>0.0015429274378470407</x:v>
      </x:c>
      <x:c r="R2855" s="81" t="n">
        <x:v>159.973862211598</x:v>
      </x:c>
      <x:c r="S2855" s="81" t="n">
        <x:v>58.467170318902035</x:v>
      </x:c>
      <x:c r="T2855" s="81" t="n">
        <x:v>17.97356324380972</x:v>
      </x:c>
    </x:row>
    <x:row r="2856">
      <x:c r="A2856" s="59" t="n">
        <x:v>2853</x:v>
      </x:c>
      <x:c r="B2856" s="193" t="n">
        <x:v>0.711902859248221</x:v>
      </x:c>
      <x:c r="C2856" s="83" t="n">
        <x:v>1.2741254077274853</x:v>
      </x:c>
      <x:c r="D2856" s="83" t="n">
        <x:v>1.1615309162986736</x:v>
      </x:c>
      <x:c r="E2856" s="81" t="n">
        <x:v>0.1494483137874807</x:v>
      </x:c>
      <x:c r="F2856" s="81" t="n">
        <x:v>0.6633634469821118</x:v>
      </x:c>
      <x:c r="G2856" s="81" t="n">
        <x:v>0.004525500220921896</x:v>
      </x:c>
      <x:c r="H2856" s="59" t="n">
        <x:v>0</x:v>
      </x:c>
      <x:c r="I2856" s="81" t="n">
        <x:v>0</x:v>
      </x:c>
      <x:c r="J2856" s="79" t="n">
        <x:v>0.039869976510482595</x:v>
      </x:c>
      <x:c r="K2856" s="81" t="n">
        <x:v>44.56568744055154</x:v>
      </x:c>
      <x:c r="L2856" s="81" t="n">
        <x:v>-0.7985260110888949</x:v>
      </x:c>
      <x:c r="M2856" s="80" t="n">
        <x:v>135719.0452154592</x:v>
      </x:c>
      <x:c r="N2856" s="82" t="n">
        <x:v>0.2716823592515371</x:v>
      </x:c>
      <x:c r="O2856" s="82" t="n">
        <x:v>0.17024874489159367</x:v>
      </x:c>
      <x:c r="P2856" s="80" t="n">
        <x:v>223942.7542222399</x:v>
      </x:c>
      <x:c r="Q2856" s="81" t="n">
        <x:v>0.003414614284002081</x:v>
      </x:c>
      <x:c r="R2856" s="81" t="n">
        <x:v>596.2484190536691</x:v>
      </x:c>
      <x:c r="S2856" s="81" t="n">
        <x:v>616.4445806674651</x:v>
      </x:c>
      <x:c r="T2856" s="81" t="n">
        <x:v>863.670736114404</x:v>
      </x:c>
    </x:row>
    <x:row r="2857">
      <x:c r="A2857" s="59" t="n">
        <x:v>2854</x:v>
      </x:c>
      <x:c r="B2857" s="193" t="n">
        <x:v>0.8032733203843236</x:v>
      </x:c>
      <x:c r="C2857" s="83" t="n">
        <x:v>0.1391680360006694</x:v>
      </x:c>
      <x:c r="D2857" s="83" t="n">
        <x:v>0.6026482265420855</x:v>
      </x:c>
      <x:c r="E2857" s="81" t="n">
        <x:v>-0.04914225899451129</x:v>
      </x:c>
      <x:c r="F2857" s="81" t="n">
        <x:v>0.8270153980120085</x:v>
      </x:c>
      <x:c r="G2857" s="81" t="n">
        <x:v>0.025889691016220896</x:v>
      </x:c>
      <x:c r="H2857" s="59" t="n">
        <x:v>77</x:v>
      </x:c>
      <x:c r="I2857" s="81" t="n">
        <x:v>0.29163319459185005</x:v>
      </x:c>
      <x:c r="J2857" s="79" t="n">
        <x:v>2.8861656494768874e-24</x:v>
      </x:c>
      <x:c r="K2857" s="81" t="n">
        <x:v>-1</x:v>
      </x:c>
      <x:c r="L2857" s="81" t="n">
        <x:v>-1</x:v>
      </x:c>
      <x:c r="M2857" s="80" t="n">
        <x:v>0.000002</x:v>
      </x:c>
      <x:c r="N2857" s="82" t="n">
        <x:v>0.2934485162903031</x:v>
      </x:c>
      <x:c r="O2857" s="82" t="n">
        <x:v>0.22925375379016893</x:v>
      </x:c>
      <x:c r="P2857" s="80" t="n">
        <x:v>258.45509710174184</x:v>
      </x:c>
      <x:c r="Q2857" s="81" t="n">
        <x:v>14943516.636708504</x:v>
      </x:c>
      <x:c r="R2857" s="81" t="n">
        <x:v>22.91152366544659</x:v>
      </x:c>
      <x:c r="S2857" s="81" t="n">
        <x:v>6.324676226416374e-10</x:v>
      </x:c>
      <x:c r="T2857" s="81" t="n">
        <x:v>6.25206490998667e-20</x:v>
      </x:c>
    </x:row>
    <x:row r="2858">
      <x:c r="A2858" s="59" t="n">
        <x:v>2855</x:v>
      </x:c>
      <x:c r="B2858" s="193" t="n">
        <x:v>0.5566490726545453</x:v>
      </x:c>
      <x:c r="C2858" s="83" t="n">
        <x:v>1.7269364668419795</x:v>
      </x:c>
      <x:c r="D2858" s="83" t="n">
        <x:v>1.0803995267608502</x:v>
      </x:c>
      <x:c r="E2858" s="81" t="n">
        <x:v>0.08680523774839097</x:v>
      </x:c>
      <x:c r="F2858" s="81" t="n">
        <x:v>0.6071478424826637</x:v>
      </x:c>
      <x:c r="G2858" s="81" t="n">
        <x:v>-0.03761018682994375</x:v>
      </x:c>
      <x:c r="H2858" s="59" t="n">
        <x:v>44</x:v>
      </x:c>
      <x:c r="I2858" s="81" t="n">
        <x:v>0.13097077971324325</x:v>
      </x:c>
      <x:c r="J2858" s="79" t="n">
        <x:v>0.007994599234181856</x:v>
      </x:c>
      <x:c r="K2858" s="81" t="n">
        <x:v>8.13668483906498</x:v>
      </x:c>
      <x:c r="L2858" s="81" t="n">
        <x:v>-0.7840542994200417</x:v>
      </x:c>
      <x:c r="M2858" s="80" t="n">
        <x:v>54564.23148042665</x:v>
      </x:c>
      <x:c r="N2858" s="82" t="n">
        <x:v>0.2346979962764249</x:v>
      </x:c>
      <x:c r="O2858" s="82" t="n">
        <x:v>0.13460921133739642</x:v>
      </x:c>
      <x:c r="P2858" s="80" t="n">
        <x:v>100186.18981815915</x:v>
      </x:c>
      <x:c r="Q2858" s="81" t="n">
        <x:v>0.003968691824223774</x:v>
      </x:c>
      <x:c r="R2858" s="81" t="n">
        <x:v>245.1201850672539</x:v>
      </x:c>
      <x:c r="S2858" s="81" t="n">
        <x:v>92.35253169612618</x:v>
      </x:c>
      <x:c r="T2858" s="81" t="n">
        <x:v>173.18047337474886</x:v>
      </x:c>
    </x:row>
    <x:row r="2859">
      <x:c r="A2859" s="59" t="n">
        <x:v>2856</x:v>
      </x:c>
      <x:c r="B2859" s="193" t="n">
        <x:v>0.6873438883572818</x:v>
      </x:c>
      <x:c r="C2859" s="83" t="n">
        <x:v>0.7741209445680739</x:v>
      </x:c>
      <x:c r="D2859" s="83" t="n">
        <x:v>1.8524377583068556</x:v>
      </x:c>
      <x:c r="E2859" s="81" t="n">
        <x:v>0.03450647049732213</x:v>
      </x:c>
      <x:c r="F2859" s="81" t="n">
        <x:v>0.2745545615442097</x:v>
      </x:c>
      <x:c r="G2859" s="81" t="n">
        <x:v>-0.018971058298429544</x:v>
      </x:c>
      <x:c r="H2859" s="59" t="n">
        <x:v>0</x:v>
      </x:c>
      <x:c r="I2859" s="81" t="n">
        <x:v>0</x:v>
      </x:c>
      <x:c r="J2859" s="79" t="n">
        <x:v>0.008635871948333346</x:v>
      </x:c>
      <x:c r="K2859" s="81" t="n">
        <x:v>8.869567940952397</x:v>
      </x:c>
      <x:c r="L2859" s="81" t="n">
        <x:v>-0.6497509752480373</x:v>
      </x:c>
      <x:c r="M2859" s="80" t="n">
        <x:v>34726.90400075324</x:v>
      </x:c>
      <x:c r="N2859" s="82" t="n">
        <x:v>0.26583195190461106</x:v>
      </x:c>
      <x:c r="O2859" s="82" t="n">
        <x:v>0.06894563654776634</x:v>
      </x:c>
      <x:c r="P2859" s="80" t="n">
        <x:v>110682.1641291289</x:v>
      </x:c>
      <x:c r="Q2859" s="81" t="n">
        <x:v>0.004817435758507568</x:v>
      </x:c>
      <x:c r="R2859" s="81" t="n">
        <x:v>327.70547124647203</x:v>
      </x:c>
      <x:c r="S2859" s="81" t="n">
        <x:v>220.09379879993205</x:v>
      </x:c>
      <x:c r="T2859" s="81" t="n">
        <x:v>187.0718404021581</x:v>
      </x:c>
    </x:row>
    <x:row r="2860">
      <x:c r="A2860" s="59" t="n">
        <x:v>2857</x:v>
      </x:c>
      <x:c r="B2860" s="193" t="n">
        <x:v>0.6804035697132349</x:v>
      </x:c>
      <x:c r="C2860" s="83" t="n">
        <x:v>0.2750301321673501</x:v>
      </x:c>
      <x:c r="D2860" s="83" t="n">
        <x:v>1.3545073270843349</x:v>
      </x:c>
      <x:c r="E2860" s="81" t="n">
        <x:v>-0.049074219403125036</x:v>
      </x:c>
      <x:c r="F2860" s="81" t="n">
        <x:v>0.8751269725034945</x:v>
      </x:c>
      <x:c r="G2860" s="81" t="n">
        <x:v>0.0069954433977606305</x:v>
      </x:c>
      <x:c r="H2860" s="59" t="n">
        <x:v>0</x:v>
      </x:c>
      <x:c r="I2860" s="81" t="n">
        <x:v>0</x:v>
      </x:c>
      <x:c r="J2860" s="79" t="n">
        <x:v>5.7023716377959545e-34</x:v>
      </x:c>
      <x:c r="K2860" s="81" t="n">
        <x:v>-1</x:v>
      </x:c>
      <x:c r="L2860" s="81" t="n">
        <x:v>-1</x:v>
      </x:c>
      <x:c r="M2860" s="80" t="n">
        <x:v>0.000002</x:v>
      </x:c>
      <x:c r="N2860" s="82" t="n">
        <x:v>0.26417863787262463</x:v>
      </x:c>
      <x:c r="O2860" s="82" t="n">
        <x:v>0.21839349978513622</x:v>
      </x:c>
      <x:c r="P2860" s="80" t="n">
        <x:v>386.8480953192763</x:v>
      </x:c>
      <x:c r="Q2860" s="81" t="n">
        <x:v>75734209626584000</x:v>
      </x:c>
      <x:c r="R2860" s="81" t="n">
        <x:v>7.373989770018965</x:v>
      </x:c>
      <x:c r="S2860" s="81" t="n">
        <x:v>1.0129771884747233e-9</x:v>
      </x:c>
      <x:c r="T2860" s="81" t="n">
        <x:v>1.2352581920178107e-29</x:v>
      </x:c>
    </x:row>
    <x:row r="2861">
      <x:c r="A2861" s="59" t="n">
        <x:v>2858</x:v>
      </x:c>
      <x:c r="B2861" s="193" t="n">
        <x:v>0.9477630317211152</x:v>
      </x:c>
      <x:c r="C2861" s="83" t="n">
        <x:v>2.550422564077663</x:v>
      </x:c>
      <x:c r="D2861" s="83" t="n">
        <x:v>1.4335519219184298</x:v>
      </x:c>
      <x:c r="E2861" s="81" t="n">
        <x:v>0.0993073194148652</x:v>
      </x:c>
      <x:c r="F2861" s="81" t="n">
        <x:v>0.28822729639941824</x:v>
      </x:c>
      <x:c r="G2861" s="81" t="n">
        <x:v>-0.003302851878053972</x:v>
      </x:c>
      <x:c r="H2861" s="59" t="n">
        <x:v>0</x:v>
      </x:c>
      <x:c r="I2861" s="81" t="n">
        <x:v>0</x:v>
      </x:c>
      <x:c r="J2861" s="79" t="n">
        <x:v>0.18504745230494157</x:v>
      </x:c>
      <x:c r="K2861" s="81" t="n">
        <x:v>210.48280263421896</x:v>
      </x:c>
      <x:c r="L2861" s="81" t="n">
        <x:v>-0.7214002307624137</x:v>
      </x:c>
      <x:c r="M2861" s="80" t="n">
        <x:v>412899.0404430777</x:v>
      </x:c>
      <x:c r="N2861" s="82" t="n">
        <x:v>0.32786867471281417</x:v>
      </x:c>
      <x:c r="O2861" s="82" t="n">
        <x:v>0.08927009050817859</x:v>
      </x:c>
      <x:c r="P2861" s="80" t="n">
        <x:v>853701.3074179102</x:v>
      </x:c>
      <x:c r="Q2861" s="81" t="n">
        <x:v>0.0026639582981303643</x:v>
      </x:c>
      <x:c r="R2861" s="81" t="n">
        <x:v>1222.457022819455</x:v>
      </x:c>
      <x:c r="S2861" s="81" t="n">
        <x:v>1422.5325156706447</x:v>
      </x:c>
      <x:c r="T2861" s="81" t="n">
        <x:v>4008.5318160717784</x:v>
      </x:c>
    </x:row>
    <x:row r="2862">
      <x:c r="A2862" s="59" t="n">
        <x:v>2859</x:v>
      </x:c>
      <x:c r="B2862" s="193" t="n">
        <x:v>0.5612147429957985</x:v>
      </x:c>
      <x:c r="C2862" s="83" t="n">
        <x:v>1.192273787076779</x:v>
      </x:c>
      <x:c r="D2862" s="83" t="n">
        <x:v>0.4077645102548589</x:v>
      </x:c>
      <x:c r="E2862" s="81" t="n">
        <x:v>0.04836271907076778</x:v>
      </x:c>
      <x:c r="F2862" s="81" t="n">
        <x:v>0.6270444231573493</x:v>
      </x:c>
      <x:c r="G2862" s="81" t="n">
        <x:v>-0.010007922412811801</x:v>
      </x:c>
      <x:c r="H2862" s="59" t="n">
        <x:v>0</x:v>
      </x:c>
      <x:c r="I2862" s="81" t="n">
        <x:v>0</x:v>
      </x:c>
      <x:c r="J2862" s="79" t="n">
        <x:v>0.0003217209304887222</x:v>
      </x:c>
      <x:c r="K2862" s="81" t="n">
        <x:v>-0.6323189365843174</x:v>
      </x:c>
      <x:c r="L2862" s="81" t="n">
        <x:v>-0.7845157171198665</x:v>
      </x:c>
      <x:c r="M2862" s="80" t="n">
        <x:v>7196.66890262253</x:v>
      </x:c>
      <x:c r="N2862" s="82" t="n">
        <x:v>0.23578562455803034</x:v>
      </x:c>
      <x:c r="O2862" s="82" t="n">
        <x:v>0.13966467492837636</x:v>
      </x:c>
      <x:c r="P2862" s="80" t="n">
        <x:v>6644.285593376965</x:v>
      </x:c>
      <x:c r="Q2862" s="81" t="n">
        <x:v>0.006124650850221234</x:v>
      </x:c>
      <x:c r="R2862" s="81" t="n">
        <x:v>22.88834779105468</x:v>
      </x:c>
      <x:c r="S2862" s="81" t="n">
        <x:v>5.552636876399357</x:v>
      </x:c>
      <x:c r="T2862" s="81" t="n">
        <x:v>6.969177741691184</x:v>
      </x:c>
    </x:row>
    <x:row r="2863">
      <x:c r="A2863" s="59" t="n">
        <x:v>2860</x:v>
      </x:c>
      <x:c r="B2863" s="193" t="n">
        <x:v>0.805489598400891</x:v>
      </x:c>
      <x:c r="C2863" s="83" t="n">
        <x:v>0.4468741196741945</x:v>
      </x:c>
      <x:c r="D2863" s="83" t="n">
        <x:v>0.2447535953878931</x:v>
      </x:c>
      <x:c r="E2863" s="81" t="n">
        <x:v>0.01715548290159179</x:v>
      </x:c>
      <x:c r="F2863" s="81" t="n">
        <x:v>0.8451213571592234</x:v>
      </x:c>
      <x:c r="G2863" s="81" t="n">
        <x:v>-0.00576540106618495</x:v>
      </x:c>
      <x:c r="H2863" s="59" t="n">
        <x:v>0</x:v>
      </x:c>
      <x:c r="I2863" s="81" t="n">
        <x:v>0</x:v>
      </x:c>
      <x:c r="J2863" s="79" t="n">
        <x:v>0.0000025470542237069657</x:v>
      </x:c>
      <x:c r="K2863" s="81" t="n">
        <x:v>-0.9970890808871921</x:v>
      </x:c>
      <x:c r="L2863" s="81" t="n">
        <x:v>-0.9970890808871921</x:v>
      </x:c>
      <x:c r="M2863" s="80" t="n">
        <x:v>400.6610630067342</x:v>
      </x:c>
      <x:c r="N2863" s="82" t="n">
        <x:v>0.29397647526906234</x:v>
      </x:c>
      <x:c r="O2863" s="82" t="n">
        <x:v>0.23469432983990646</x:v>
      </x:c>
      <x:c r="P2863" s="80" t="n">
        <x:v>536.4367116353585</x:v>
      </x:c>
      <x:c r="Q2863" s="81" t="n">
        <x:v>0.019632576071450428</x:v>
      </x:c>
      <x:c r="R2863" s="81" t="n">
        <x:v>18.259623240616254</x:v>
      </x:c>
      <x:c r="S2863" s="81" t="n">
        <x:v>0.13398653846820097</x:v>
      </x:c>
      <x:c r="T2863" s="81" t="n">
        <x:v>0.05517475526312192</x:v>
      </x:c>
    </x:row>
    <x:row r="2864">
      <x:c r="A2864" s="59" t="n">
        <x:v>2861</x:v>
      </x:c>
      <x:c r="B2864" s="193" t="n">
        <x:v>0.7209549900144339</x:v>
      </x:c>
      <x:c r="C2864" s="83" t="n">
        <x:v>2.8657954364098877</x:v>
      </x:c>
      <x:c r="D2864" s="83" t="n">
        <x:v>0.8226043470121911</x:v>
      </x:c>
      <x:c r="E2864" s="81" t="n">
        <x:v>-0.00873560526065624</x:v>
      </x:c>
      <x:c r="F2864" s="81" t="n">
        <x:v>0.7902143196202814</x:v>
      </x:c>
      <x:c r="G2864" s="81" t="n">
        <x:v>-0.0013522278174232917</x:v>
      </x:c>
      <x:c r="H2864" s="59" t="n">
        <x:v>40</x:v>
      </x:c>
      <x:c r="I2864" s="81" t="n">
        <x:v>0.18462568810209634</x:v>
      </x:c>
      <x:c r="J2864" s="79" t="n">
        <x:v>1.8930265349702087e-9</x:v>
      </x:c>
      <x:c r="K2864" s="81" t="n">
        <x:v>-0.9999978365411029</x:v>
      </x:c>
      <x:c r="L2864" s="81" t="n">
        <x:v>-0.9999978365411029</x:v>
      </x:c>
      <x:c r="M2864" s="80" t="n">
        <x:v>28.9883196529493</x:v>
      </x:c>
      <x:c r="N2864" s="82" t="n">
        <x:v>0.2738387465275008</x:v>
      </x:c>
      <x:c r="O2864" s="82" t="n">
        <x:v>0.20441404647677397</x:v>
      </x:c>
      <x:c r="P2864" s="80" t="n">
        <x:v>3699.016624200899</x:v>
      </x:c>
      <x:c r="Q2864" s="81" t="n">
        <x:v>1.736590876719755</x:v>
      </x:c>
      <x:c r="R2864" s="81" t="n">
        <x:v>4.38694057428816</x:v>
      </x:c>
      <x:c r="S2864" s="81" t="n">
        <x:v>0.002707431496044182</x:v>
      </x:c>
      <x:c r="T2864" s="81" t="n">
        <x:v>0.00004100708763929065</x:v>
      </x:c>
    </x:row>
    <x:row r="2865">
      <x:c r="A2865" s="59" t="n">
        <x:v>2862</x:v>
      </x:c>
      <x:c r="B2865" s="193" t="n">
        <x:v>0.4619772143661976</x:v>
      </x:c>
      <x:c r="C2865" s="83" t="n">
        <x:v>0.4592689091940509</x:v>
      </x:c>
      <x:c r="D2865" s="83" t="n">
        <x:v>1.3141581401908482</x:v>
      </x:c>
      <x:c r="E2865" s="81" t="n">
        <x:v>-0.18537302440393966</x:v>
      </x:c>
      <x:c r="F2865" s="81" t="n">
        <x:v>0.7034530791454017</x:v>
      </x:c>
      <x:c r="G2865" s="81" t="n">
        <x:v>0.013745309091321887</x:v>
      </x:c>
      <x:c r="H2865" s="59" t="n">
        <x:v>0</x:v>
      </x:c>
      <x:c r="I2865" s="81" t="n">
        <x:v>0</x:v>
      </x:c>
      <x:c r="J2865" s="79" t="n">
        <x:v>1.491225772828737e-80</x:v>
      </x:c>
      <x:c r="K2865" s="81" t="n">
        <x:v>-1</x:v>
      </x:c>
      <x:c r="L2865" s="81" t="n">
        <x:v>-1</x:v>
      </x:c>
      <x:c r="M2865" s="80" t="n">
        <x:v>0.000002</x:v>
      </x:c>
      <x:c r="N2865" s="82" t="n">
        <x:v>0.21214538453479764</x:v>
      </x:c>
      <x:c r="O2865" s="82" t="n">
        <x:v>0.14097420834596308</x:v>
      </x:c>
      <x:c r="P2865" s="80" t="n">
        <x:v>174.42359022040003</x:v>
      </x:c>
      <x:c r="Q2865" s="81" t="n">
        <x:v>8.662832241576574e+62</x:v>
      </x:c>
      <x:c r="R2865" s="81" t="n">
        <x:v>1.414813807446363</x:v>
      </x:c>
      <x:c r="S2865" s="81" t="n">
        <x:v>9.31431326567907e-10</x:v>
      </x:c>
      <x:c r="T2865" s="81" t="n">
        <x:v>3.2303205912176666e-76</x:v>
      </x:c>
    </x:row>
    <x:row r="2866">
      <x:c r="A2866" s="59" t="n">
        <x:v>2863</x:v>
      </x:c>
      <x:c r="B2866" s="193" t="n">
        <x:v>0.8696920791640879</x:v>
      </x:c>
      <x:c r="C2866" s="83" t="n">
        <x:v>0.14107875752976656</x:v>
      </x:c>
      <x:c r="D2866" s="83" t="n">
        <x:v>0.9133454311581278</x:v>
      </x:c>
      <x:c r="E2866" s="81" t="n">
        <x:v>-0.07500883649663648</x:v>
      </x:c>
      <x:c r="F2866" s="81" t="n">
        <x:v>0.4874590069288388</x:v>
      </x:c>
      <x:c r="G2866" s="81" t="n">
        <x:v>0.040046191994879424</x:v>
      </x:c>
      <x:c r="H2866" s="59" t="n">
        <x:v>0</x:v>
      </x:c>
      <x:c r="I2866" s="81" t="n">
        <x:v>0</x:v>
      </x:c>
      <x:c r="J2866" s="79" t="n">
        <x:v>6.76330278681873e-39</x:v>
      </x:c>
      <x:c r="K2866" s="81" t="n">
        <x:v>-1</x:v>
      </x:c>
      <x:c r="L2866" s="81" t="n">
        <x:v>-1</x:v>
      </x:c>
      <x:c r="M2866" s="80" t="n">
        <x:v>0.000002</x:v>
      </x:c>
      <x:c r="N2866" s="82" t="n">
        <x:v>0.30927070998337014</x:v>
      </x:c>
      <x:c r="O2866" s="82" t="n">
        <x:v>0.14241240890270995</x:v>
      </x:c>
      <x:c r="P2866" s="80" t="n">
        <x:v>237.24658527236662</x:v>
      </x:c>
      <x:c r="Q2866" s="81" t="n">
        <x:v>4.280904853918511e+21</x:v>
      </x:c>
      <x:c r="R2866" s="81" t="n">
        <x:v>13.794943790624478</x:v>
      </x:c>
      <x:c r="S2866" s="81" t="n">
        <x:v>1.1305693036261672e-9</x:v>
      </x:c>
      <x:c r="T2866" s="81" t="n">
        <x:v>1.465079041348457e-34</x:v>
      </x:c>
    </x:row>
    <x:row r="2867">
      <x:c r="A2867" s="59" t="n">
        <x:v>2864</x:v>
      </x:c>
      <x:c r="B2867" s="193" t="n">
        <x:v>0.3197751682251692</x:v>
      </x:c>
      <x:c r="C2867" s="83" t="n">
        <x:v>0.32293376923896056</x:v>
      </x:c>
      <x:c r="D2867" s="83" t="n">
        <x:v>1.0332237357120164</x:v>
      </x:c>
      <x:c r="E2867" s="81" t="n">
        <x:v>0.01613660283541248</x:v>
      </x:c>
      <x:c r="F2867" s="81" t="n">
        <x:v>0.7195875357487239</x:v>
      </x:c>
      <x:c r="G2867" s="81" t="n">
        <x:v>-0.021934837013990956</x:v>
      </x:c>
      <x:c r="H2867" s="59" t="n">
        <x:v>0</x:v>
      </x:c>
      <x:c r="I2867" s="81" t="n">
        <x:v>0</x:v>
      </x:c>
      <x:c r="J2867" s="79" t="n">
        <x:v>0.00008419951655619723</x:v>
      </x:c>
      <x:c r="K2867" s="81" t="n">
        <x:v>-0.9037719810786318</x:v>
      </x:c>
      <x:c r="L2867" s="81" t="n">
        <x:v>-0.9108937731222925</x:v>
      </x:c>
      <x:c r="M2867" s="80" t="n">
        <x:v>2190.3846687141377</x:v>
      </x:c>
      <x:c r="N2867" s="82" t="n">
        <x:v>0.17827019085563942</x:v>
      </x:c>
      <x:c r="O2867" s="82" t="n">
        <x:v>0.1211806571900946</x:v>
      </x:c>
      <x:c r="P2867" s="80" t="n">
        <x:v>5641.220203590678</x:v>
      </x:c>
      <x:c r="Q2867" s="81" t="n">
        <x:v>0.014695097994720052</x:v>
      </x:c>
      <x:c r="R2867" s="81" t="n">
        <x:v>57.501247522248455</x:v>
      </x:c>
      <x:c r="S2867" s="81" t="n">
        <x:v>5.422220551647092</x:v>
      </x:c>
      <x:c r="T2867" s="81" t="n">
        <x:v>1.82394535460657</x:v>
      </x:c>
    </x:row>
    <x:row r="2868">
      <x:c r="A2868" s="59" t="n">
        <x:v>2865</x:v>
      </x:c>
      <x:c r="B2868" s="193" t="n">
        <x:v>0.5464707788079977</x:v>
      </x:c>
      <x:c r="C2868" s="83" t="n">
        <x:v>0.1467646884441156</x:v>
      </x:c>
      <x:c r="D2868" s="83" t="n">
        <x:v>0.2950233386248553</x:v>
      </x:c>
      <x:c r="E2868" s="81" t="n">
        <x:v>-0.0800847027076041</x:v>
      </x:c>
      <x:c r="F2868" s="81" t="n">
        <x:v>0.5983703020145186</x:v>
      </x:c>
      <x:c r="G2868" s="81" t="n">
        <x:v>-0.026745538367166168</x:v>
      </x:c>
      <x:c r="H2868" s="59" t="n">
        <x:v>0</x:v>
      </x:c>
      <x:c r="I2868" s="81" t="n">
        <x:v>0</x:v>
      </x:c>
      <x:c r="J2868" s="79" t="n">
        <x:v>6.047217031834281e-17</x:v>
      </x:c>
      <x:c r="K2868" s="81" t="n">
        <x:v>-0.9999999999999309</x:v>
      </x:c>
      <x:c r="L2868" s="81" t="n">
        <x:v>-0.9999999999999309</x:v>
      </x:c>
      <x:c r="M2868" s="80" t="n">
        <x:v>0.0015761483122111231</x:v>
      </x:c>
      <x:c r="N2868" s="82" t="n">
        <x:v>0.23227333583916757</x:v>
      </x:c>
      <x:c r="O2868" s="82" t="n">
        <x:v>0.13129262447862663</x:v>
      </x:c>
      <x:c r="P2868" s="80" t="n">
        <x:v>168.48587443716696</x:v>
      </x:c>
      <x:c r="Q2868" s="81" t="n">
        <x:v>355.06736556648207</x:v>
      </x:c>
      <x:c r="R2868" s="81" t="n">
        <x:v>29.80994198380121</x:v>
      </x:c>
      <x:c r="S2868" s="81" t="n">
        <x:v>1.320083367502507e-7</x:v>
      </x:c>
      <x:c r="T2868" s="81" t="n">
        <x:v>1.3099592330972898e-12</x:v>
      </x:c>
    </x:row>
    <x:row r="2869">
      <x:c r="A2869" s="59" t="n">
        <x:v>2866</x:v>
      </x:c>
      <x:c r="B2869" s="193" t="n">
        <x:v>0.2560272980481386</x:v>
      </x:c>
      <x:c r="C2869" s="83" t="n">
        <x:v>1.8587442744359162</x:v>
      </x:c>
      <x:c r="D2869" s="83" t="n">
        <x:v>1.7949908766817686</x:v>
      </x:c>
      <x:c r="E2869" s="81" t="n">
        <x:v>-0.11211695625419506</x:v>
      </x:c>
      <x:c r="F2869" s="81" t="n">
        <x:v>0.538015361269936</x:v>
      </x:c>
      <x:c r="G2869" s="81" t="n">
        <x:v>-0.011143619642906744</x:v>
      </x:c>
      <x:c r="H2869" s="59" t="n">
        <x:v>0</x:v>
      </x:c>
      <x:c r="I2869" s="81" t="n">
        <x:v>0</x:v>
      </x:c>
      <x:c r="J2869" s="79" t="n">
        <x:v>4.413302564231899e-64</x:v>
      </x:c>
      <x:c r="K2869" s="81" t="n">
        <x:v>-1</x:v>
      </x:c>
      <x:c r="L2869" s="81" t="n">
        <x:v>-1</x:v>
      </x:c>
      <x:c r="M2869" s="80" t="n">
        <x:v>0.000002</x:v>
      </x:c>
      <x:c r="N2869" s="82" t="n">
        <x:v>0.16308425290690515</x:v>
      </x:c>
      <x:c r="O2869" s="82" t="n">
        <x:v>0.08288532524477304</x:v>
      </x:c>
      <x:c r="P2869" s="80" t="n">
        <x:v>536.6533210429005</x:v>
      </x:c>
      <x:c r="Q2869" s="81" t="n">
        <x:v>4.5405688134104436e+46</x:v>
      </x:c>
      <x:c r="R2869" s="81" t="n">
        <x:v>0.8155510496260706</x:v>
      </x:c>
      <x:c r="S2869" s="81" t="n">
        <x:v>4.799307255254618e-10</x:v>
      </x:c>
      <x:c r="T2869" s="81" t="n">
        <x:v>9.560176874806022e-60</x:v>
      </x:c>
    </x:row>
    <x:row r="2870">
      <x:c r="A2870" s="59" t="n">
        <x:v>2867</x:v>
      </x:c>
      <x:c r="B2870" s="193" t="n">
        <x:v>0.9820381131023168</x:v>
      </x:c>
      <x:c r="C2870" s="83" t="n">
        <x:v>1.8405945961096841</x:v>
      </x:c>
      <x:c r="D2870" s="83" t="n">
        <x:v>1.0813245814153358</x:v>
      </x:c>
      <x:c r="E2870" s="81" t="n">
        <x:v>-0.022092414462190423</x:v>
      </x:c>
      <x:c r="F2870" s="81" t="n">
        <x:v>0.5955869983765296</x:v>
      </x:c>
      <x:c r="G2870" s="81" t="n">
        <x:v>0.02301804676131565</x:v>
      </x:c>
      <x:c r="H2870" s="59" t="n">
        <x:v>0</x:v>
      </x:c>
      <x:c r="I2870" s="81" t="n">
        <x:v>0</x:v>
      </x:c>
      <x:c r="J2870" s="79" t="n">
        <x:v>3.90278229254922e-21</x:v>
      </x:c>
      <x:c r="K2870" s="81" t="n">
        <x:v>-1</x:v>
      </x:c>
      <x:c r="L2870" s="81" t="n">
        <x:v>-1</x:v>
      </x:c>
      <x:c r="M2870" s="80" t="n">
        <x:v>0.000031802601164377317</x:v>
      </x:c>
      <x:c r="N2870" s="82" t="n">
        <x:v>0.33603364175559286</x:v>
      </x:c>
      <x:c r="O2870" s="82" t="n">
        <x:v>0.18905967589379769</x:v>
      </x:c>
      <x:c r="P2870" s="80" t="n">
        <x:v>1663.0805283862992</x:v>
      </x:c>
      <x:c r="Q2870" s="81" t="n">
        <x:v>380802.758086672</x:v>
      </x:c>
      <x:c r="R2870" s="81" t="n">
        <x:v>3.8067213182513178</x:v>
      </x:c>
      <x:c r="S2870" s="81" t="n">
        <x:v>7.430432330147426e-9</x:v>
      </x:c>
      <x:c r="T2870" s="81" t="n">
        <x:v>8.454278508576542e-17</x:v>
      </x:c>
    </x:row>
    <x:row r="2871">
      <x:c r="A2871" s="59" t="n">
        <x:v>2868</x:v>
      </x:c>
      <x:c r="B2871" s="193" t="n">
        <x:v>0.7574671851471066</x:v>
      </x:c>
      <x:c r="C2871" s="83" t="n">
        <x:v>0.4846313999911457</x:v>
      </x:c>
      <x:c r="D2871" s="83" t="n">
        <x:v>0.7551610979423159</x:v>
      </x:c>
      <x:c r="E2871" s="81" t="n">
        <x:v>0.059844643577968204</x:v>
      </x:c>
      <x:c r="F2871" s="81" t="n">
        <x:v>0.7950451963581145</x:v>
      </x:c>
      <x:c r="G2871" s="81" t="n">
        <x:v>-0.034209025155632705</x:v>
      </x:c>
      <x:c r="H2871" s="59" t="n">
        <x:v>75</x:v>
      </x:c>
      <x:c r="I2871" s="81" t="n">
        <x:v>0.2576547720469534</x:v>
      </x:c>
      <x:c r="J2871" s="79" t="n">
        <x:v>0.000209019332331169</x:v>
      </x:c>
      <x:c r="K2871" s="81" t="n">
        <x:v>-0.7611207630500926</x:v>
      </x:c>
      <x:c r="L2871" s="81" t="n">
        <x:v>-0.8965386266471753</x:v>
      </x:c>
      <x:c r="M2871" s="80" t="n">
        <x:v>4221.29180509761</x:v>
      </x:c>
      <x:c r="N2871" s="82" t="n">
        <x:v>0.2825366360117625</x:v>
      </x:c>
      <x:c r="O2871" s="82" t="n">
        <x:v>0.21219616455173376</x:v>
      </x:c>
      <x:c r="P2871" s="80" t="n">
        <x:v>6790.485901041275</x:v>
      </x:c>
      <x:c r="Q2871" s="81" t="n">
        <x:v>0.007958914267947434</x:v>
      </x:c>
      <x:c r="R2871" s="81" t="n">
        <x:v>63.0895153907676</x:v>
      </x:c>
      <x:c r="S2871" s="81" t="n">
        <x:v>8.658751786441673</x:v>
      </x:c>
      <x:c r="T2871" s="81" t="n">
        <x:v>4.527815073308074</x:v>
      </x:c>
    </x:row>
    <x:row r="2872">
      <x:c r="A2872" s="59" t="n">
        <x:v>2869</x:v>
      </x:c>
      <x:c r="B2872" s="193" t="n">
        <x:v>0.6444639746099711</x:v>
      </x:c>
      <x:c r="C2872" s="83" t="n">
        <x:v>0.31930494825473005</x:v>
      </x:c>
      <x:c r="D2872" s="83" t="n">
        <x:v>0.7117098603263547</x:v>
      </x:c>
      <x:c r="E2872" s="81" t="n">
        <x:v>-0.09081475162716224</x:v>
      </x:c>
      <x:c r="F2872" s="81" t="n">
        <x:v>0.3774533754680306</x:v>
      </x:c>
      <x:c r="G2872" s="81" t="n">
        <x:v>-0.010885919685386923</x:v>
      </x:c>
      <x:c r="H2872" s="59" t="n">
        <x:v>0</x:v>
      </x:c>
      <x:c r="I2872" s="81" t="n">
        <x:v>0</x:v>
      </x:c>
      <x:c r="J2872" s="79" t="n">
        <x:v>2.0430310220225006e-31</x:v>
      </x:c>
      <x:c r="K2872" s="81" t="n">
        <x:v>-1</x:v>
      </x:c>
      <x:c r="L2872" s="81" t="n">
        <x:v>-1</x:v>
      </x:c>
      <x:c r="M2872" s="80" t="n">
        <x:v>0.000002</x:v>
      </x:c>
      <x:c r="N2872" s="82" t="n">
        <x:v>0.25561715245161887</x:v>
      </x:c>
      <x:c r="O2872" s="82" t="n">
        <x:v>0.09114319485511778</x:v>
      </x:c>
      <x:c r="P2872" s="80" t="n">
        <x:v>233.39217234367015</x:v>
      </x:c>
      <x:c r="Q2872" s="81" t="n">
        <x:v>118772102087148.17</x:v>
      </x:c>
      <x:c r="R2872" s="81" t="n">
        <x:v>7.134989481693027</x:v>
      </x:c>
      <x:c r="S2872" s="81" t="n">
        <x:v>4.136435329715031e-10</x:v>
      </x:c>
      <x:c r="T2872" s="81" t="n">
        <x:v>4.425651232151624e-27</x:v>
      </x:c>
    </x:row>
    <x:row r="2873">
      <x:c r="A2873" s="59" t="n">
        <x:v>2870</x:v>
      </x:c>
      <x:c r="B2873" s="193" t="n">
        <x:v>0.5053319670259953</x:v>
      </x:c>
      <x:c r="C2873" s="83" t="n">
        <x:v>0.5831911228144618</x:v>
      </x:c>
      <x:c r="D2873" s="83" t="n">
        <x:v>0.3663973744711998</x:v>
      </x:c>
      <x:c r="E2873" s="81" t="n">
        <x:v>-0.044099349797109666</x:v>
      </x:c>
      <x:c r="F2873" s="81" t="n">
        <x:v>0.4022183557972312</x:v>
      </x:c>
      <x:c r="G2873" s="81" t="n">
        <x:v>0.014452171108487217</x:v>
      </x:c>
      <x:c r="H2873" s="59" t="n">
        <x:v>25</x:v>
      </x:c>
      <x:c r="I2873" s="81" t="n">
        <x:v>0.10916562797501683</x:v>
      </x:c>
      <x:c r="J2873" s="79" t="n">
        <x:v>2.3577193232753526e-15</x:v>
      </x:c>
      <x:c r="K2873" s="81" t="n">
        <x:v>-0.9999999999973055</x:v>
      </x:c>
      <x:c r="L2873" s="81" t="n">
        <x:v>-0.9999999999973055</x:v>
      </x:c>
      <x:c r="M2873" s="80" t="n">
        <x:v>0.013515563780536408</x:v>
      </x:c>
      <x:c r="N2873" s="82" t="n">
        <x:v>0.2224732995199739</x:v>
      </x:c>
      <x:c r="O2873" s="82" t="n">
        <x:v>0.08452997180400676</x:v>
      </x:c>
      <x:c r="P2873" s="80" t="n">
        <x:v>426.214381824789</x:v>
      </x:c>
      <x:c r="Q2873" s="81" t="n">
        <x:v>137.08945051447955</x:v>
      </x:c>
      <x:c r="R2873" s="81" t="n">
        <x:v>11.55225614863408</x:v>
      </x:c>
      <x:c r="S2873" s="81" t="n">
        <x:v>0.000001693562339990881</x:v>
      </x:c>
      <x:c r="T2873" s="81" t="n">
        <x:v>5.107334796018744e-11</x:v>
      </x:c>
    </x:row>
    <x:row r="2874">
      <x:c r="A2874" s="59" t="n">
        <x:v>2871</x:v>
      </x:c>
      <x:c r="B2874" s="193" t="n">
        <x:v>0.46411170382052663</x:v>
      </x:c>
      <x:c r="C2874" s="83" t="n">
        <x:v>1.4547143602936308</x:v>
      </x:c>
      <x:c r="D2874" s="83" t="n">
        <x:v>2.039473609214895</x:v>
      </x:c>
      <x:c r="E2874" s="81" t="n">
        <x:v>0.01583908253508179</x:v>
      </x:c>
      <x:c r="F2874" s="81" t="n">
        <x:v>0.6035214554867707</x:v>
      </x:c>
      <x:c r="G2874" s="81" t="n">
        <x:v>0.007364538951942317</x:v>
      </x:c>
      <x:c r="H2874" s="59" t="n">
        <x:v>0</x:v>
      </x:c>
      <x:c r="I2874" s="81" t="n">
        <x:v>0</x:v>
      </x:c>
      <x:c r="J2874" s="79" t="n">
        <x:v>0.002276194194426616</x:v>
      </x:c>
      <x:c r="K2874" s="81" t="n">
        <x:v>1.6013647936304185</x:v>
      </x:c>
      <x:c r="L2874" s="81" t="n">
        <x:v>-0.6138255367945483</x:v>
      </x:c>
      <x:c r="M2874" s="80" t="n">
        <x:v>22696.666211448402</x:v>
      </x:c>
      <x:c r="N2874" s="82" t="n">
        <x:v>0.21265385994449604</x:v>
      </x:c>
      <x:c r="O2874" s="82" t="n">
        <x:v>0.12123748708386664</x:v>
      </x:c>
      <x:c r="P2874" s="80" t="n">
        <x:v>88535.68728038717</x:v>
      </x:c>
      <x:c r="Q2874" s="81" t="n">
        <x:v>0.017030903267670292</x:v>
      </x:c>
      <x:c r="R2874" s="81" t="n">
        <x:v>45.2521031684884</x:v>
      </x:c>
      <x:c r="S2874" s="81" t="n">
        <x:v>38.20062462651047</x:v>
      </x:c>
      <x:c r="T2874" s="81" t="n">
        <x:v>49.30733568209902</x:v>
      </x:c>
    </x:row>
    <x:row r="2875">
      <x:c r="A2875" s="59" t="n">
        <x:v>2872</x:v>
      </x:c>
      <x:c r="B2875" s="193" t="n">
        <x:v>0.40759368389844897</x:v>
      </x:c>
      <x:c r="C2875" s="83" t="n">
        <x:v>0.539308474068764</x:v>
      </x:c>
      <x:c r="D2875" s="83" t="n">
        <x:v>3</x:v>
      </x:c>
      <x:c r="E2875" s="81" t="n">
        <x:v>-0.12578304332300905</x:v>
      </x:c>
      <x:c r="F2875" s="81" t="n">
        <x:v>0.45335509040160105</x:v>
      </x:c>
      <x:c r="G2875" s="81" t="n">
        <x:v>0.05151100321151765</x:v>
      </x:c>
      <x:c r="H2875" s="59" t="n">
        <x:v>0</x:v>
      </x:c>
      <x:c r="I2875" s="81" t="n">
        <x:v>0</x:v>
      </x:c>
      <x:c r="J2875" s="79" t="n">
        <x:v>1.5508437018267616e-125</x:v>
      </x:c>
      <x:c r="K2875" s="81" t="n">
        <x:v>-1</x:v>
      </x:c>
      <x:c r="L2875" s="81" t="n">
        <x:v>-1</x:v>
      </x:c>
      <x:c r="M2875" s="80" t="n">
        <x:v>0.000002</x:v>
      </x:c>
      <x:c r="N2875" s="82" t="n">
        <x:v>0.19919020788618347</x:v>
      </x:c>
      <x:c r="O2875" s="82" t="n">
        <x:v>0.08530557667338613</x:v>
      </x:c>
      <x:c r="P2875" s="80" t="n">
        <x:v>322.8738439538752</x:v>
      </x:c>
      <x:c r="Q2875" s="81" t="n">
        <x:v>1.1658948262854877e+108</x:v>
      </x:c>
      <x:c r="R2875" s="81" t="n">
        <x:v>1.0822981981935809</x:v>
      </x:c>
      <x:c r="S2875" s="81" t="n">
        <x:v>3.1455833445975495e-9</x:v>
      </x:c>
      <x:c r="T2875" s="81" t="n">
        <x:v>3.359466041327983e-121</x:v>
      </x:c>
    </x:row>
    <x:row r="2876">
      <x:c r="A2876" s="59" t="n">
        <x:v>2873</x:v>
      </x:c>
      <x:c r="B2876" s="193" t="n">
        <x:v>0.531922103278339</x:v>
      </x:c>
      <x:c r="C2876" s="83" t="n">
        <x:v>0.2257696645016326</x:v>
      </x:c>
      <x:c r="D2876" s="83" t="n">
        <x:v>0.8865021894067193</x:v>
      </x:c>
      <x:c r="E2876" s="81" t="n">
        <x:v>-0.05608351417978923</x:v>
      </x:c>
      <x:c r="F2876" s="81" t="n">
        <x:v>0.46219530088128524</x:v>
      </x:c>
      <x:c r="G2876" s="81" t="n">
        <x:v>0.022401979304177182</x:v>
      </x:c>
      <x:c r="H2876" s="59" t="n">
        <x:v>0</x:v>
      </x:c>
      <x:c r="I2876" s="81" t="n">
        <x:v>0</x:v>
      </x:c>
      <x:c r="J2876" s="79" t="n">
        <x:v>1.856368795210755e-30</x:v>
      </x:c>
      <x:c r="K2876" s="81" t="n">
        <x:v>-1</x:v>
      </x:c>
      <x:c r="L2876" s="81" t="n">
        <x:v>-1</x:v>
      </x:c>
      <x:c r="M2876" s="80" t="n">
        <x:v>0.000002</x:v>
      </x:c>
      <x:c r="N2876" s="82" t="n">
        <x:v>0.22880756854033668</x:v>
      </x:c>
      <x:c r="O2876" s="82" t="n">
        <x:v>0.09990031407391721</x:v>
      </x:c>
      <x:c r="P2876" s="80" t="n">
        <x:v>329.03655625298734</x:v>
      </x:c>
      <x:c r="Q2876" s="81" t="n">
        <x:v>20492435940749.555</x:v>
      </x:c>
      <x:c r="R2876" s="81" t="n">
        <x:v>12.423430290709346</x:v>
      </x:c>
      <x:c r="S2876" s="81" t="n">
        <x:v>8.29542883774942e-10</x:v>
      </x:c>
      <x:c r="T2876" s="81" t="n">
        <x:v>4.021300096422042e-26</x:v>
      </x:c>
    </x:row>
    <x:row r="2877">
      <x:c r="A2877" s="59" t="n">
        <x:v>2874</x:v>
      </x:c>
      <x:c r="B2877" s="193" t="n">
        <x:v>0.5213250720873475</x:v>
      </x:c>
      <x:c r="C2877" s="83" t="n">
        <x:v>1.4298269116390132</x:v>
      </x:c>
      <x:c r="D2877" s="83" t="n">
        <x:v>1.686467669508864</x:v>
      </x:c>
      <x:c r="E2877" s="81" t="n">
        <x:v>0.028910519052869232</x:v>
      </x:c>
      <x:c r="F2877" s="81" t="n">
        <x:v>0.7468931410112418</x:v>
      </x:c>
      <x:c r="G2877" s="81" t="n">
        <x:v>-0.007865692171547185</x:v>
      </x:c>
      <x:c r="H2877" s="59" t="n">
        <x:v>0</x:v>
      </x:c>
      <x:c r="I2877" s="81" t="n">
        <x:v>0</x:v>
      </x:c>
      <x:c r="J2877" s="79" t="n">
        <x:v>0.0021852886634933493</x:v>
      </x:c>
      <x:c r="K2877" s="81" t="n">
        <x:v>1.4974727582781138</x:v>
      </x:c>
      <x:c r="L2877" s="81" t="n">
        <x:v>-0.7012630679464411</x:v>
      </x:c>
      <x:c r="M2877" s="80" t="n">
        <x:v>23085.106547177733</x:v>
      </x:c>
      <x:c r="N2877" s="82" t="n">
        <x:v>0.2262831570163079</x:v>
      </x:c>
      <x:c r="O2877" s="82" t="n">
        <x:v>0.15965467580623566</x:v>
      </x:c>
      <x:c r="P2877" s="80" t="n">
        <x:v>71604.9532389493</x:v>
      </x:c>
      <x:c r="Q2877" s="81" t="n">
        <x:v>0.01261963964023901</x:v>
      </x:c>
      <x:c r="R2877" s="81" t="n">
        <x:v>63.02798208281717</x:v>
      </x:c>
      <x:c r="S2877" s="81" t="n">
        <x:v>34.9125209518247</x:v>
      </x:c>
      <x:c r="T2877" s="81" t="n">
        <x:v>47.338123415385915</x:v>
      </x:c>
    </x:row>
    <x:row r="2878">
      <x:c r="A2878" s="59" t="n">
        <x:v>2875</x:v>
      </x:c>
      <x:c r="B2878" s="193" t="n">
        <x:v>0.4793653763830662</x:v>
      </x:c>
      <x:c r="C2878" s="83" t="n">
        <x:v>0.11151227698845508</x:v>
      </x:c>
      <x:c r="D2878" s="83" t="n">
        <x:v>0.1763896795593592</x:v>
      </x:c>
      <x:c r="E2878" s="81" t="n">
        <x:v>0.036322507683529966</x:v>
      </x:c>
      <x:c r="F2878" s="81" t="n">
        <x:v>0.28234277752926573</x:v>
      </x:c>
      <x:c r="G2878" s="81" t="n">
        <x:v>-0.02010324351007864</x:v>
      </x:c>
      <x:c r="H2878" s="59" t="n">
        <x:v>20</x:v>
      </x:c>
      <x:c r="I2878" s="81" t="n">
        <x:v>0.4723068301565946</x:v>
      </x:c>
      <x:c r="J2878" s="79" t="n">
        <x:v>0.000040424078259214204</x:v>
      </x:c>
      <x:c r="K2878" s="81" t="n">
        <x:v>-0.9538010534180409</x:v>
      </x:c>
      <x:c r="L2878" s="81" t="n">
        <x:v>-0.9538315268291718</x:v>
      </x:c>
      <x:c r="M2878" s="80" t="n">
        <x:v>1229.0806522781277</x:v>
      </x:c>
      <x:c r="N2878" s="82" t="n">
        <x:v>0.21628757075525343</x:v>
      </x:c>
      <x:c r="O2878" s="82" t="n">
        <x:v>0.057687163818327926</x:v>
      </x:c>
      <x:c r="P2878" s="80" t="n">
        <x:v>642.1682361839377</x:v>
      </x:c>
      <x:c r="Q2878" s="81" t="n">
        <x:v>0.0029056641918076315</x:v>
      </x:c>
      <x:c r="R2878" s="81" t="n">
        <x:v>115.0439200809388</x:v>
      </x:c>
      <x:c r="S2878" s="81" t="n">
        <x:v>6.800088228762537</x:v>
      </x:c>
      <x:c r="T2878" s="81" t="n">
        <x:v>0.8756737897174951</x:v>
      </x:c>
    </x:row>
    <x:row r="2879">
      <x:c r="A2879" s="59" t="n">
        <x:v>2876</x:v>
      </x:c>
      <x:c r="B2879" s="193" t="n">
        <x:v>0.8589036054909229</x:v>
      </x:c>
      <x:c r="C2879" s="83" t="n">
        <x:v>1.4287436696003328</x:v>
      </x:c>
      <x:c r="D2879" s="83" t="n">
        <x:v>0.6571294154262465</x:v>
      </x:c>
      <x:c r="E2879" s="81" t="n">
        <x:v>-0.01879730396032711</x:v>
      </x:c>
      <x:c r="F2879" s="81" t="n">
        <x:v>0.7361215954180806</x:v>
      </x:c>
      <x:c r="G2879" s="81" t="n">
        <x:v>0.03973807840404896</x:v>
      </x:c>
      <x:c r="H2879" s="59" t="n">
        <x:v>56</x:v>
      </x:c>
      <x:c r="I2879" s="81" t="n">
        <x:v>0.41980584813281896</x:v>
      </x:c>
      <x:c r="J2879" s="79" t="n">
        <x:v>1.198977685875926e-14</x:v>
      </x:c>
      <x:c r="K2879" s="81" t="n">
        <x:v>-0.9999999999862974</x:v>
      </x:c>
      <x:c r="L2879" s="81" t="n">
        <x:v>-0.9999999999862974</x:v>
      </x:c>
      <x:c r="M2879" s="80" t="n">
        <x:v>0.04664606343144469</x:v>
      </x:c>
      <x:c r="N2879" s="82" t="n">
        <x:v>0.3067006932705409</x:v>
      </x:c>
      <x:c r="O2879" s="82" t="n">
        <x:v>0.21327269564924448</x:v>
      </x:c>
      <x:c r="P2879" s="80" t="n">
        <x:v>1226.544378648532</x:v>
      </x:c>
      <x:c r="Q2879" s="81" t="n">
        <x:v>212.9673655004578</x:v>
      </x:c>
      <x:c r="R2879" s="81" t="n">
        <x:v>5.316471622741097</x:v>
      </x:c>
      <x:c r="S2879" s="81" t="n">
        <x:v>0.000009230220595682542</x:v>
      </x:c>
      <x:c r="T2879" s="81" t="n">
        <x:v>2.597247430715056e-10</x:v>
      </x:c>
    </x:row>
    <x:row r="2880">
      <x:c r="A2880" s="59" t="n">
        <x:v>2877</x:v>
      </x:c>
      <x:c r="B2880" s="193" t="n">
        <x:v>0.44479627907276154</x:v>
      </x:c>
      <x:c r="C2880" s="83" t="n">
        <x:v>0.11456592641645535</x:v>
      </x:c>
      <x:c r="D2880" s="83" t="n">
        <x:v>1.0397552624533593</x:v>
      </x:c>
      <x:c r="E2880" s="81" t="n">
        <x:v>-0.09125733072388728</x:v>
      </x:c>
      <x:c r="F2880" s="81" t="n">
        <x:v>0.30658531475346534</x:v>
      </x:c>
      <x:c r="G2880" s="81" t="n">
        <x:v>-0.035195686953507874</x:v>
      </x:c>
      <x:c r="H2880" s="59" t="n">
        <x:v>0</x:v>
      </x:c>
      <x:c r="I2880" s="81" t="n">
        <x:v>0</x:v>
      </x:c>
      <x:c r="J2880" s="79" t="n">
        <x:v>7.915559126339643e-36</x:v>
      </x:c>
      <x:c r="K2880" s="81" t="n">
        <x:v>-1</x:v>
      </x:c>
      <x:c r="L2880" s="81" t="n">
        <x:v>-1</x:v>
      </x:c>
      <x:c r="M2880" s="80" t="n">
        <x:v>0.000002</x:v>
      </x:c>
      <x:c r="N2880" s="82" t="n">
        <x:v>0.20805256360536462</x:v>
      </x:c>
      <x:c r="O2880" s="82" t="n">
        <x:v>0.060255315104005856</x:v>
      </x:c>
      <x:c r="P2880" s="80" t="n">
        <x:v>212.8976568502102</x:v>
      </x:c>
      <x:c r="Q2880" s="81" t="n">
        <x:v>3051916283941691000</x:v>
      </x:c>
      <x:c r="R2880" s="81" t="n">
        <x:v>13.495632327185408</x:v>
      </x:c>
      <x:c r="S2880" s="81" t="n">
        <x:v>5.284535817315606e-10</x:v>
      </x:c>
      <x:c r="T2880" s="81" t="n">
        <x:v>1.7146829207700723e-31</x:v>
      </x:c>
    </x:row>
    <x:row r="2881">
      <x:c r="A2881" s="59" t="n">
        <x:v>2878</x:v>
      </x:c>
      <x:c r="B2881" s="193" t="n">
        <x:v>0.8101286044344307</x:v>
      </x:c>
      <x:c r="C2881" s="83" t="n">
        <x:v>2.8385572355804083</x:v>
      </x:c>
      <x:c r="D2881" s="83" t="n">
        <x:v>1.0959065568668307</x:v>
      </x:c>
      <x:c r="E2881" s="81" t="n">
        <x:v>-0.008066582325645258</x:v>
      </x:c>
      <x:c r="F2881" s="81" t="n">
        <x:v>0.3978037885390222</x:v>
      </x:c>
      <x:c r="G2881" s="81" t="n">
        <x:v>-0.021409708465069628</x:v>
      </x:c>
      <x:c r="H2881" s="59" t="n">
        <x:v>0</x:v>
      </x:c>
      <x:c r="I2881" s="81" t="n">
        <x:v>0</x:v>
      </x:c>
      <x:c r="J2881" s="79" t="n">
        <x:v>2.2712544995888604e-9</x:v>
      </x:c>
      <x:c r="K2881" s="81" t="n">
        <x:v>-0.9999974042805719</x:v>
      </x:c>
      <x:c r="L2881" s="81" t="n">
        <x:v>-0.9999974042805719</x:v>
      </x:c>
      <x:c r="M2881" s="80" t="n">
        <x:v>31.52050861673642</x:v>
      </x:c>
      <x:c r="N2881" s="82" t="n">
        <x:v>0.2950815734876145</x:v>
      </x:c>
      <x:c r="O2881" s="82" t="n">
        <x:v>0.1108873353344244</x:v>
      </x:c>
      <x:c r="P2881" s="80" t="n">
        <x:v>5210.595601252283</x:v>
      </x:c>
      <x:c r="Q2881" s="81" t="n">
        <x:v>1.7216249614437837</x:v>
      </x:c>
      <x:c r="R2881" s="81" t="n">
        <x:v>5.112254766894605</x:v>
      </x:c>
      <x:c r="S2881" s="81" t="n">
        <x:v>0.003084936314873651</x:v>
      </x:c>
      <x:c r="T2881" s="81" t="n">
        <x:v>0.000049200331107476726</x:v>
      </x:c>
    </x:row>
    <x:row r="2882">
      <x:c r="A2882" s="59" t="n">
        <x:v>2879</x:v>
      </x:c>
      <x:c r="B2882" s="193" t="n">
        <x:v>0.3439174860715866</x:v>
      </x:c>
      <x:c r="C2882" s="83" t="n">
        <x:v>0.10577844846309105</x:v>
      </x:c>
      <x:c r="D2882" s="83" t="n">
        <x:v>0.5246896570875315</x:v>
      </x:c>
      <x:c r="E2882" s="81" t="n">
        <x:v>-0.028386819527392138</x:v>
      </x:c>
      <x:c r="F2882" s="81" t="n">
        <x:v>0.47851036154897886</x:v>
      </x:c>
      <x:c r="G2882" s="81" t="n">
        <x:v>0.03481378755883806</x:v>
      </x:c>
      <x:c r="H2882" s="59" t="n">
        <x:v>0</x:v>
      </x:c>
      <x:c r="I2882" s="81" t="n">
        <x:v>0</x:v>
      </x:c>
      <x:c r="J2882" s="79" t="n">
        <x:v>5.034181255564481e-16</x:v>
      </x:c>
      <x:c r="K2882" s="81" t="n">
        <x:v>-0.9999999999994247</x:v>
      </x:c>
      <x:c r="L2882" s="81" t="n">
        <x:v>-0.9999999999994247</x:v>
      </x:c>
      <x:c r="M2882" s="80" t="n">
        <x:v>0.004371795998136489</x:v>
      </x:c>
      <x:c r="N2882" s="82" t="n">
        <x:v>0.18402134363511596</x:v>
      </x:c>
      <x:c r="O2882" s="82" t="n">
        <x:v>0.08318221593011768</x:v>
      </x:c>
      <x:c r="P2882" s="80" t="n">
        <x:v>421.86987357903985</x:v>
      </x:c>
      <x:c r="Q2882" s="81" t="n">
        <x:v>317.78066205630756</x:v>
      </x:c>
      <x:c r="R2882" s="81" t="n">
        <x:v>59.27758771210113</x:v>
      </x:c>
      <x:c r="S2882" s="81" t="n">
        <x:v>0.00000143952350971743</x:v>
      </x:c>
      <x:c r="T2882" s="81" t="n">
        <x:v>1.0905135671659019e-11</x:v>
      </x:c>
    </x:row>
    <x:row r="2883">
      <x:c r="A2883" s="59" t="n">
        <x:v>2880</x:v>
      </x:c>
      <x:c r="B2883" s="193" t="n">
        <x:v>0.31199254319071773</x:v>
      </x:c>
      <x:c r="C2883" s="83" t="n">
        <x:v>1.1376535709643165</x:v>
      </x:c>
      <x:c r="D2883" s="83" t="n">
        <x:v>0.3007963799298392</x:v>
      </x:c>
      <x:c r="E2883" s="81" t="n">
        <x:v>-0.03247367301498456</x:v>
      </x:c>
      <x:c r="F2883" s="81" t="n">
        <x:v>0.7812665288569406</x:v>
      </x:c>
      <x:c r="G2883" s="81" t="n">
        <x:v>-0.015445918264252399</x:v>
      </x:c>
      <x:c r="H2883" s="59" t="n">
        <x:v>73</x:v>
      </x:c>
      <x:c r="I2883" s="81" t="n">
        <x:v>0.2220174314454198</x:v>
      </x:c>
      <x:c r="J2883" s="79" t="n">
        <x:v>2.0290726647382954e-10</x:v>
      </x:c>
      <x:c r="K2883" s="81" t="n">
        <x:v>-0.9999997681059811</x:v>
      </x:c>
      <x:c r="L2883" s="81" t="n">
        <x:v>-0.9999997681059811</x:v>
      </x:c>
      <x:c r="M2883" s="80" t="n">
        <x:v>5.265284162562284</x:v>
      </x:c>
      <x:c r="N2883" s="82" t="n">
        <x:v>0.1764162236482138</x:v>
      </x:c>
      <x:c r="O2883" s="82" t="n">
        <x:v>0.13019930974391472</x:v>
      </x:c>
      <x:c r="P2883" s="80" t="n">
        <x:v>622.3263103011428</x:v>
      </x:c>
      <x:c r="Q2883" s="81" t="n">
        <x:v>0.8250750084612913</x:v>
      </x:c>
      <x:c r="R2883" s="81" t="n">
        <x:v>7.35073885767191</x:v>
      </x:c>
      <x:c r="S2883" s="81" t="n">
        <x:v>0.0002761528044060892</x:v>
      </x:c>
      <x:c r="T2883" s="81" t="n">
        <x:v>0.000004395414382858704</x:v>
      </x:c>
    </x:row>
    <x:row r="2884">
      <x:c r="A2884" s="59" t="n">
        <x:v>2881</x:v>
      </x:c>
      <x:c r="B2884" s="193" t="n">
        <x:v>0.8613839110359549</x:v>
      </x:c>
      <x:c r="C2884" s="83" t="n">
        <x:v>0.3860074309948107</x:v>
      </x:c>
      <x:c r="D2884" s="83" t="n">
        <x:v>0.7047111706283866</x:v>
      </x:c>
      <x:c r="E2884" s="81" t="n">
        <x:v>0.12472455216357851</x:v>
      </x:c>
      <x:c r="F2884" s="81" t="n">
        <x:v>0.30553471818566325</x:v>
      </x:c>
      <x:c r="G2884" s="81" t="n">
        <x:v>0.009646746480012333</x:v>
      </x:c>
      <x:c r="H2884" s="59" t="n">
        <x:v>44</x:v>
      </x:c>
      <x:c r="I2884" s="81" t="n">
        <x:v>0.22702613817527892</x:v>
      </x:c>
      <x:c r="J2884" s="79" t="n">
        <x:v>0.012903058589056242</x:v>
      </x:c>
      <x:c r="K2884" s="81" t="n">
        <x:v>13.746352673207134</x:v>
      </x:c>
      <x:c r="L2884" s="81" t="n">
        <x:v>-0.9045095084691859</x:v>
      </x:c>
      <x:c r="M2884" s="80" t="n">
        <x:v>37346.168613433576</x:v>
      </x:c>
      <x:c r="N2884" s="82" t="n">
        <x:v>0.3072915485570963</x:v>
      </x:c>
      <x:c r="O2884" s="82" t="n">
        <x:v>0.08869152543123357</x:v>
      </x:c>
      <x:c r="P2884" s="80" t="n">
        <x:v>45029.86430585262</x:v>
      </x:c>
      <x:c r="Q2884" s="81" t="n">
        <x:v>0.0019255796125837788</x:v>
      </x:c>
      <x:c r="R2884" s="81" t="n">
        <x:v>664.9618679766455</x:v>
      </x:c>
      <x:c r="S2884" s="81" t="n">
        <x:v>630.941512426767</x:v>
      </x:c>
      <x:c r="T2884" s="81" t="n">
        <x:v>279.5084192439268</x:v>
      </x:c>
    </x:row>
    <x:row r="2885">
      <x:c r="A2885" s="59" t="n">
        <x:v>2882</x:v>
      </x:c>
      <x:c r="B2885" s="193" t="n">
        <x:v>0.6540375238284468</x:v>
      </x:c>
      <x:c r="C2885" s="83" t="n">
        <x:v>0.13744582100821773</x:v>
      </x:c>
      <x:c r="D2885" s="83" t="n">
        <x:v>0.7202133152260596</x:v>
      </x:c>
      <x:c r="E2885" s="81" t="n">
        <x:v>0.11681060430778628</x:v>
      </x:c>
      <x:c r="F2885" s="81" t="n">
        <x:v>0.73457853194559</x:v>
      </x:c>
      <x:c r="G2885" s="81" t="n">
        <x:v>0.027638600488092524</x:v>
      </x:c>
      <x:c r="H2885" s="59" t="n">
        <x:v>0</x:v>
      </x:c>
      <x:c r="I2885" s="81" t="n">
        <x:v>0</x:v>
      </x:c>
      <x:c r="J2885" s="79" t="n">
        <x:v>0.002951418462646394</x:v>
      </x:c>
      <x:c r="K2885" s="81" t="n">
        <x:v>2.3730496715958793</x:v>
      </x:c>
      <x:c r="L2885" s="81" t="n">
        <x:v>-0.8008554122714721</x:v>
      </x:c>
      <x:c r="M2885" s="80" t="n">
        <x:v>14990.568465087179</x:v>
      </x:c>
      <x:c r="N2885" s="82" t="n">
        <x:v>0.25789775137950777</x:v>
      </x:c>
      <x:c r="O2885" s="82" t="n">
        <x:v>0.1789603124418496</x:v>
      </x:c>
      <x:c r="P2885" s="80" t="n">
        <x:v>19353.621145195077</x:v>
      </x:c>
      <x:c r="Q2885" s="81" t="n">
        <x:v>0.004016090886127987</x:v>
      </x:c>
      <x:c r="R2885" s="81" t="n">
        <x:v>476.46879292283916</x:v>
      </x:c>
      <x:c r="S2885" s="81" t="n">
        <x:v>405.0202175915521</x:v>
      </x:c>
      <x:c r="T2885" s="81" t="n">
        <x:v>63.934167494311346</x:v>
      </x:c>
    </x:row>
    <x:row r="2886">
      <x:c r="A2886" s="59" t="n">
        <x:v>2883</x:v>
      </x:c>
      <x:c r="B2886" s="193" t="n">
        <x:v>0.30881121624261143</x:v>
      </x:c>
      <x:c r="C2886" s="83" t="n">
        <x:v>0.19860427165471845</x:v>
      </x:c>
      <x:c r="D2886" s="83" t="n">
        <x:v>1.1098558486524386</x:v>
      </x:c>
      <x:c r="E2886" s="81" t="n">
        <x:v>0.022873334412692622</x:v>
      </x:c>
      <x:c r="F2886" s="81" t="n">
        <x:v>0.7529556332039647</x:v>
      </x:c>
      <x:c r="G2886" s="81" t="n">
        <x:v>0.04695355221798502</x:v>
      </x:c>
      <x:c r="H2886" s="59" t="n">
        <x:v>0</x:v>
      </x:c>
      <x:c r="I2886" s="81" t="n">
        <x:v>0</x:v>
      </x:c>
      <x:c r="J2886" s="79" t="n">
        <x:v>0.0007651990402575103</x:v>
      </x:c>
      <x:c r="K2886" s="81" t="n">
        <x:v>-0.12548681113427385</x:v>
      </x:c>
      <x:c r="L2886" s="81" t="n">
        <x:v>-0.804920146650324</x:v>
      </x:c>
      <x:c r="M2886" s="80" t="n">
        <x:v>6440.249520784151</x:v>
      </x:c>
      <x:c r="N2886" s="82" t="n">
        <x:v>0.1756583719192945</x:v>
      </x:c>
      <x:c r="O2886" s="82" t="n">
        <x:v>0.12494220950667723</x:v>
      </x:c>
      <x:c r="P2886" s="80" t="n">
        <x:v>15345.037199041964</x:v>
      </x:c>
      <x:c r="Q2886" s="81" t="n">
        <x:v>0.011972397022518066</x:v>
      </x:c>
      <x:c r="R2886" s="81" t="n">
        <x:v>116.69125974394778</x:v>
      </x:c>
      <x:c r="S2886" s="81" t="n">
        <x:v>76.18287294490842</x:v>
      </x:c>
      <x:c r="T2886" s="81" t="n">
        <x:v>16.57588180919748</x:v>
      </x:c>
    </x:row>
    <x:row r="2887">
      <x:c r="A2887" s="59" t="n">
        <x:v>2884</x:v>
      </x:c>
      <x:c r="B2887" s="193" t="n">
        <x:v>0.7308982800692321</x:v>
      </x:c>
      <x:c r="C2887" s="83" t="n">
        <x:v>0.8272493180348798</x:v>
      </x:c>
      <x:c r="D2887" s="83" t="n">
        <x:v>1.4837153168565311</x:v>
      </x:c>
      <x:c r="E2887" s="81" t="n">
        <x:v>0.008045749506735075</x:v>
      </x:c>
      <x:c r="F2887" s="81" t="n">
        <x:v>0.4760844156495295</x:v>
      </x:c>
      <x:c r="G2887" s="81" t="n">
        <x:v>0.004971544831844657</x:v>
      </x:c>
      <x:c r="H2887" s="59" t="n">
        <x:v>77</x:v>
      </x:c>
      <x:c r="I2887" s="81" t="n">
        <x:v>0.2934340457431972</x:v>
      </x:c>
      <x:c r="J2887" s="79" t="n">
        <x:v>0.00013849619847164306</x:v>
      </x:c>
      <x:c r="K2887" s="81" t="n">
        <x:v>-0.8417186303181222</x:v>
      </x:c>
      <x:c r="L2887" s="81" t="n">
        <x:v>-0.8887153653019332</x:v>
      </x:c>
      <x:c r="M2887" s="80" t="n">
        <x:v>3840.55075776685</x:v>
      </x:c>
      <x:c r="N2887" s="82" t="n">
        <x:v>0.2762074246552424</x:v>
      </x:c>
      <x:c r="O2887" s="82" t="n">
        <x:v>0.12421963697873693</x:v>
      </x:c>
      <x:c r="P2887" s="80" t="n">
        <x:v>13878.558527866477</x:v>
      </x:c>
      <x:c r="Q2887" s="81" t="n">
        <x:v>0.030583351529986348</x:v>
      </x:c>
      <x:c r="R2887" s="81" t="n">
        <x:v>24.93477378427344</x:v>
      </x:c>
      <x:c r="S2887" s="81" t="n">
        <x:v>4.568963472005735</x:v>
      </x:c>
      <x:c r="T2887" s="81" t="n">
        <x:v>3.0001300264523962</x:v>
      </x:c>
    </x:row>
    <x:row r="2888">
      <x:c r="A2888" s="59" t="n">
        <x:v>2885</x:v>
      </x:c>
      <x:c r="B2888" s="193" t="n">
        <x:v>0.8650022329762579</x:v>
      </x:c>
      <x:c r="C2888" s="83" t="n">
        <x:v>1.6914815857484917</x:v>
      </x:c>
      <x:c r="D2888" s="83" t="n">
        <x:v>0.9750248177123187</x:v>
      </x:c>
      <x:c r="E2888" s="81" t="n">
        <x:v>-0.02412544547877453</x:v>
      </x:c>
      <x:c r="F2888" s="81" t="n">
        <x:v>0.7483006986556575</x:v>
      </x:c>
      <x:c r="G2888" s="81" t="n">
        <x:v>0.005829642494701342</x:v>
      </x:c>
      <x:c r="H2888" s="59" t="n">
        <x:v>0</x:v>
      </x:c>
      <x:c r="I2888" s="81" t="n">
        <x:v>0</x:v>
      </x:c>
      <x:c r="J2888" s="79" t="n">
        <x:v>2.4326362820014034e-19</x:v>
      </x:c>
      <x:c r="K2888" s="81" t="n">
        <x:v>-0.9999999999999997</x:v>
      </x:c>
      <x:c r="L2888" s="81" t="n">
        <x:v>-0.9999999999999997</x:v>
      </x:c>
      <x:c r="M2888" s="80" t="n">
        <x:v>0.00023650061240941474</x:v>
      </x:c>
      <x:c r="N2888" s="82" t="n">
        <x:v>0.30815350068681296</x:v>
      </x:c>
      <x:c r="O2888" s="82" t="n">
        <x:v>0.21782824793769573</x:v>
      </x:c>
      <x:c r="P2888" s="80" t="n">
        <x:v>1385.017505801976</x:v>
      </x:c>
      <x:c r="Q2888" s="81" t="n">
        <x:v>41686.70020951122</x:v>
      </x:c>
      <x:c r="R2888" s="81" t="n">
        <x:v>3.817995387057749</x:v>
      </x:c>
      <x:c r="S2888" s="81" t="n">
        <x:v>4.228916515865005e-8</x:v>
      </x:c>
      <x:c r="T2888" s="81" t="n">
        <x:v>5.2696212846334775e-15</x:v>
      </x:c>
    </x:row>
    <x:row r="2889">
      <x:c r="A2889" s="59" t="n">
        <x:v>2886</x:v>
      </x:c>
      <x:c r="B2889" s="193" t="n">
        <x:v>0.8743350306525828</x:v>
      </x:c>
      <x:c r="C2889" s="83" t="n">
        <x:v>1.406275300461961</x:v>
      </x:c>
      <x:c r="D2889" s="83" t="n">
        <x:v>0.9992817125580546</x:v>
      </x:c>
      <x:c r="E2889" s="81" t="n">
        <x:v>0.005932192128981395</x:v>
      </x:c>
      <x:c r="F2889" s="81" t="n">
        <x:v>0.8017595036770218</x:v>
      </x:c>
      <x:c r="G2889" s="81" t="n">
        <x:v>0.04730479420220916</x:v>
      </x:c>
      <x:c r="H2889" s="59" t="n">
        <x:v>0</x:v>
      </x:c>
      <x:c r="I2889" s="81" t="n">
        <x:v>0</x:v>
      </x:c>
      <x:c r="J2889" s="79" t="n">
        <x:v>0.00003764823258836855</x:v>
      </x:c>
      <x:c r="K2889" s="81" t="n">
        <x:v>-0.956973448470436</x:v>
      </x:c>
      <x:c r="L2889" s="81" t="n">
        <x:v>-0.9752336852436669</x:v>
      </x:c>
      <x:c r="M2889" s="80" t="n">
        <x:v>2594.4129045175087</x:v>
      </x:c>
      <x:c r="N2889" s="82" t="n">
        <x:v>0.31037674808326965</x:v>
      </x:c>
      <x:c r="O2889" s="82" t="n">
        <x:v>0.2350738049607472</x:v>
      </x:c>
      <x:c r="P2889" s="80" t="n">
        <x:v>8374.943955852044</x:v>
      </x:c>
      <x:c r="Q2889" s="81" t="n">
        <x:v>0.0724524391835451</x:v>
      </x:c>
      <x:c r="R2889" s="81" t="n">
        <x:v>9.994125472568856</x:v>
      </x:c>
      <x:c r="S2889" s="81" t="n">
        <x:v>1.327541839836238</x:v>
      </x:c>
      <x:c r="T2889" s="81" t="n">
        <x:v>0.8155429122074738</x:v>
      </x:c>
    </x:row>
    <x:row r="2890">
      <x:c r="A2890" s="59" t="n">
        <x:v>2887</x:v>
      </x:c>
      <x:c r="B2890" s="193" t="n">
        <x:v>0.6344352535903455</x:v>
      </x:c>
      <x:c r="C2890" s="83" t="n">
        <x:v>0.20860243016716545</x:v>
      </x:c>
      <x:c r="D2890" s="83" t="n">
        <x:v>0.8403634527216743</x:v>
      </x:c>
      <x:c r="E2890" s="81" t="n">
        <x:v>-0.09894531005427322</x:v>
      </x:c>
      <x:c r="F2890" s="81" t="n">
        <x:v>0.3304450913798064</x:v>
      </x:c>
      <x:c r="G2890" s="81" t="n">
        <x:v>0.01450353981172154</x:v>
      </x:c>
      <x:c r="H2890" s="59" t="n">
        <x:v>0</x:v>
      </x:c>
      <x:c r="I2890" s="81" t="n">
        <x:v>0</x:v>
      </x:c>
      <x:c r="J2890" s="79" t="n">
        <x:v>1.0792450012865873e-39</x:v>
      </x:c>
      <x:c r="K2890" s="81" t="n">
        <x:v>-1</x:v>
      </x:c>
      <x:c r="L2890" s="81" t="n">
        <x:v>-1</x:v>
      </x:c>
      <x:c r="M2890" s="80" t="n">
        <x:v>0.000002</x:v>
      </x:c>
      <x:c r="N2890" s="82" t="n">
        <x:v>0.25322812306622516</x:v>
      </x:c>
      <x:c r="O2890" s="82" t="n">
        <x:v>0.07904641586065891</x:v>
      </x:c>
      <x:c r="P2890" s="80" t="n">
        <x:v>206.65785167498095</x:v>
      </x:c>
      <x:c r="Q2890" s="81" t="n">
        <x:v>2.079005419442094e+22</x:v>
      </x:c>
      <x:c r="R2890" s="81" t="n">
        <x:v>8.453207619824159</x:v>
      </x:c>
      <x:c r="S2890" s="81" t="n">
        <x:v>7.257262990689558e-10</x:v>
      </x:c>
      <x:c r="T2890" s="81" t="n">
        <x:v>2.3378802956252235e-35</x:v>
      </x:c>
    </x:row>
    <x:row r="2891">
      <x:c r="A2891" s="59" t="n">
        <x:v>2888</x:v>
      </x:c>
      <x:c r="B2891" s="193" t="n">
        <x:v>0.9656253358349205</x:v>
      </x:c>
      <x:c r="C2891" s="83" t="n">
        <x:v>1.7643410789120408</x:v>
      </x:c>
      <x:c r="D2891" s="83" t="n">
        <x:v>0.8873473925225281</x:v>
      </x:c>
      <x:c r="E2891" s="81" t="n">
        <x:v>-0.01438335220994767</x:v>
      </x:c>
      <x:c r="F2891" s="81" t="n">
        <x:v>0.32304124276852236</x:v>
      </x:c>
      <x:c r="G2891" s="81" t="n">
        <x:v>0.03302812492475365</x:v>
      </x:c>
      <x:c r="H2891" s="59" t="n">
        <x:v>0</x:v>
      </x:c>
      <x:c r="I2891" s="81" t="n">
        <x:v>0</x:v>
      </x:c>
      <x:c r="J2891" s="79" t="n">
        <x:v>4.590453720443836e-14</x:v>
      </x:c>
      <x:c r="K2891" s="81" t="n">
        <x:v>-0.9999999999475376</x:v>
      </x:c>
      <x:c r="L2891" s="81" t="n">
        <x:v>-0.9999999999475376</x:v>
      </x:c>
      <x:c r="M2891" s="80" t="n">
        <x:v>0.10368184478389354</x:v>
      </x:c>
      <x:c r="N2891" s="82" t="n">
        <x:v>0.33212381047092493</x:v>
      </x:c>
      <x:c r="O2891" s="82" t="n">
        <x:v>0.1013512072497354</x:v>
      </x:c>
      <x:c r="P2891" s="80" t="n">
        <x:v>2306.8398628218606</x:v>
      </x:c>
      <x:c r="Q2891" s="81" t="n">
        <x:v>160.88410849748604</x:v>
      </x:c>
      <x:c r="R2891" s="81" t="n">
        <x:v>5.727591769213929</x:v>
      </x:c>
      <x:c r="S2891" s="81" t="n">
        <x:v>0.000022458697302193794</x:v>
      </x:c>
      <x:c r="T2891" s="81" t="n">
        <x:v>9.94392495514125e-10</x:v>
      </x:c>
    </x:row>
    <x:row r="2892">
      <x:c r="A2892" s="59" t="n">
        <x:v>2889</x:v>
      </x:c>
      <x:c r="B2892" s="193" t="n">
        <x:v>0.8511664461344481</x:v>
      </x:c>
      <x:c r="C2892" s="83" t="n">
        <x:v>0.2558973582043158</x:v>
      </x:c>
      <x:c r="D2892" s="83" t="n">
        <x:v>0.4477426932117704</x:v>
      </x:c>
      <x:c r="E2892" s="81" t="n">
        <x:v>0.07380471645016323</x:v>
      </x:c>
      <x:c r="F2892" s="81" t="n">
        <x:v>0.40807615015655757</x:v>
      </x:c>
      <x:c r="G2892" s="81" t="n">
        <x:v>0.02724591716309463</x:v>
      </x:c>
      <x:c r="H2892" s="59" t="n">
        <x:v>0</x:v>
      </x:c>
      <x:c r="I2892" s="81" t="n">
        <x:v>0</x:v>
      </x:c>
      <x:c r="J2892" s="79" t="n">
        <x:v>0.001062752570274813</x:v>
      </x:c>
      <x:c r="K2892" s="81" t="n">
        <x:v>0.2145743660283579</x:v>
      </x:c>
      <x:c r="L2892" s="81" t="n">
        <x:v>-0.7560931033013539</x:v>
      </x:c>
      <x:c r="M2892" s="80" t="n">
        <x:v>8104.419696164869</x:v>
      </x:c>
      <x:c r="N2892" s="82" t="n">
        <x:v>0.3048575568400905</x:v>
      </x:c>
      <x:c r="O2892" s="82" t="n">
        <x:v>0.11751927946104804</x:v>
      </x:c>
      <x:c r="P2892" s="80" t="n">
        <x:v>7594.307191162649</x:v>
      </x:c>
      <x:c r="Q2892" s="81" t="n">
        <x:v>0.0036847303976412673</x:v>
      </x:c>
      <x:c r="R2892" s="81" t="n">
        <x:v>128.45483988701275</x:v>
      </x:c>
      <x:c r="S2892" s="81" t="n">
        <x:v>78.97877336675879</x:v>
      </x:c>
      <x:c r="T2892" s="81" t="n">
        <x:v>23.021540893945527</x:v>
      </x:c>
    </x:row>
    <x:row r="2893">
      <x:c r="A2893" s="59" t="n">
        <x:v>2890</x:v>
      </x:c>
      <x:c r="B2893" s="193" t="n">
        <x:v>0.9329552533105017</x:v>
      </x:c>
      <x:c r="C2893" s="83" t="n">
        <x:v>1.8239702198333134</x:v>
      </x:c>
      <x:c r="D2893" s="83" t="n">
        <x:v>0.719071104130678</x:v>
      </x:c>
      <x:c r="E2893" s="81" t="n">
        <x:v>-0.0738760853025417</x:v>
      </x:c>
      <x:c r="F2893" s="81" t="n">
        <x:v>0.3677977725979872</x:v>
      </x:c>
      <x:c r="G2893" s="81" t="n">
        <x:v>0.06532786520275964</x:v>
      </x:c>
      <x:c r="H2893" s="59" t="n">
        <x:v>0</x:v>
      </x:c>
      <x:c r="I2893" s="81" t="n">
        <x:v>0</x:v>
      </x:c>
      <x:c r="J2893" s="79" t="n">
        <x:v>4.415712441182936e-37</x:v>
      </x:c>
      <x:c r="K2893" s="81" t="n">
        <x:v>-1</x:v>
      </x:c>
      <x:c r="L2893" s="81" t="n">
        <x:v>-1</x:v>
      </x:c>
      <x:c r="M2893" s="80" t="n">
        <x:v>0.000002</x:v>
      </x:c>
      <x:c r="N2893" s="82" t="n">
        <x:v>0.324341184249561</x:v>
      </x:c>
      <x:c r="O2893" s="82" t="n">
        <x:v>0.11268915821671861</x:v>
      </x:c>
      <x:c r="P2893" s="80" t="n">
        <x:v>612.1080699107688</x:v>
      </x:c>
      <x:c r="Q2893" s="81" t="n">
        <x:v>66503471210450420000</x:v>
      </x:c>
      <x:c r="R2893" s="81" t="n">
        <x:v>1.9726343622132527</x:v>
      </x:c>
      <x:c r="S2893" s="81" t="n">
        <x:v>4.817212667209959e-10</x:v>
      </x:c>
      <x:c r="T2893" s="81" t="n">
        <x:v>9.565397194410929e-33</x:v>
      </x:c>
    </x:row>
    <x:row r="2894">
      <x:c r="A2894" s="59" t="n">
        <x:v>2891</x:v>
      </x:c>
      <x:c r="B2894" s="193" t="n">
        <x:v>0.9633138226345181</x:v>
      </x:c>
      <x:c r="C2894" s="83" t="n">
        <x:v>0.26509917467760225</x:v>
      </x:c>
      <x:c r="D2894" s="83" t="n">
        <x:v>0.449644824897929</x:v>
      </x:c>
      <x:c r="E2894" s="81" t="n">
        <x:v>-0.010950574510123047</x:v>
      </x:c>
      <x:c r="F2894" s="81" t="n">
        <x:v>0.571226103650406</x:v>
      </x:c>
      <x:c r="G2894" s="81" t="n">
        <x:v>-0.001336417204328392</x:v>
      </x:c>
      <x:c r="H2894" s="59" t="n">
        <x:v>56</x:v>
      </x:c>
      <x:c r="I2894" s="81" t="n">
        <x:v>0.14984064111486078</x:v>
      </x:c>
      <x:c r="J2894" s="79" t="n">
        <x:v>4.386786638642918e-9</x:v>
      </x:c>
      <x:c r="K2894" s="81" t="n">
        <x:v>-0.9999949865295559</x:v>
      </x:c>
      <x:c r="L2894" s="81" t="n">
        <x:v>-0.9999949865295559</x:v>
      </x:c>
      <x:c r="M2894" s="80" t="n">
        <x:v>14.42272920902288</x:v>
      </x:c>
      <x:c r="N2894" s="82" t="n">
        <x:v>0.3315731646857169</x:v>
      </x:c>
      <x:c r="O2894" s="82" t="n">
        <x:v>0.17891978255171068</x:v>
      </x:c>
      <x:c r="P2894" s="80" t="n">
        <x:v>508.2563266323431</x:v>
      </x:c>
      <x:c r="Q2894" s="81" t="n">
        <x:v>0.2732069660403151</x:v>
      </x:c>
      <x:c r="R2894" s="81" t="n">
        <x:v>25.48211989662838</x:v>
      </x:c>
      <x:c r="S2894" s="81" t="n">
        <x:v>0.0025388449037044704</x:v>
      </x:c>
      <x:c r="T2894" s="81" t="n">
        <x:v>0.00009502737590972564</x:v>
      </x:c>
    </x:row>
    <x:row r="2895">
      <x:c r="A2895" s="59" t="n">
        <x:v>2892</x:v>
      </x:c>
      <x:c r="B2895" s="193" t="n">
        <x:v>0.37395471353083853</x:v>
      </x:c>
      <x:c r="C2895" s="83" t="n">
        <x:v>0.10432882423085003</x:v>
      </x:c>
      <x:c r="D2895" s="83" t="n">
        <x:v>1.2592900996345069</x:v>
      </x:c>
      <x:c r="E2895" s="81" t="n">
        <x:v>0.04518465911450844</x:v>
      </x:c>
      <x:c r="F2895" s="81" t="n">
        <x:v>0.3836883049691096</x:v>
      </x:c>
      <x:c r="G2895" s="81" t="n">
        <x:v>0.01579083631948103</x:v>
      </x:c>
      <x:c r="H2895" s="59" t="n">
        <x:v>0</x:v>
      </x:c>
      <x:c r="I2895" s="81" t="n">
        <x:v>0</x:v>
      </x:c>
      <x:c r="J2895" s="79" t="n">
        <x:v>0.005889533164460022</x:v>
      </x:c>
      <x:c r="K2895" s="81" t="n">
        <x:v>5.730895045097168</x:v>
      </x:c>
      <x:c r="L2895" s="81" t="n">
        <x:v>-0.6758568148669989</x:v>
      </x:c>
      <x:c r="M2895" s="80" t="n">
        <x:v>18220.118378957744</x:v>
      </x:c>
      <x:c r="N2895" s="82" t="n">
        <x:v>0.19117677441392447</x:v>
      </x:c>
      <x:c r="O2895" s="82" t="n">
        <x:v>0.069292245197829</x:v>
      </x:c>
      <x:c r="P2895" s="80" t="n">
        <x:v>41144.00944341323</x:v>
      </x:c>
      <x:c r="Q2895" s="81" t="n">
        <x:v>0.0036888599133656098</x:v>
      </x:c>
      <x:c r="R2895" s="81" t="n">
        <x:v>1082.8947765507962</x:v>
      </x:c>
      <x:c r="S2895" s="81" t="n">
        <x:v>1059.5856259717486</x:v>
      </x:c>
      <x:c r="T2895" s="81" t="n">
        <x:v>127.58014648395918</x:v>
      </x:c>
    </x:row>
    <x:row r="2896">
      <x:c r="A2896" s="59" t="n">
        <x:v>2893</x:v>
      </x:c>
      <x:c r="B2896" s="193" t="n">
        <x:v>0.44950672686100007</x:v>
      </x:c>
      <x:c r="C2896" s="83" t="n">
        <x:v>0.47113586576747923</x:v>
      </x:c>
      <x:c r="D2896" s="83" t="n">
        <x:v>0.3322463352380414</x:v>
      </x:c>
      <x:c r="E2896" s="81" t="n">
        <x:v>0.03035859251010943</x:v>
      </x:c>
      <x:c r="F2896" s="81" t="n">
        <x:v>0.3028252667631023</x:v>
      </x:c>
      <x:c r="G2896" s="81" t="n">
        <x:v>0.014969490723363718</x:v>
      </x:c>
      <x:c r="H2896" s="59" t="n">
        <x:v>0</x:v>
      </x:c>
      <x:c r="I2896" s="81" t="n">
        <x:v>0</x:v>
      </x:c>
      <x:c r="J2896" s="79" t="n">
        <x:v>0.00033700371303448714</x:v>
      </x:c>
      <x:c r="K2896" s="81" t="n">
        <x:v>-0.6148528993891575</x:v>
      </x:c>
      <x:c r="L2896" s="81" t="n">
        <x:v>-0.7688351902043653</x:v>
      </x:c>
      <x:c r="M2896" s="80" t="n">
        <x:v>4792.283718143931</x:v>
      </x:c>
      <x:c r="N2896" s="82" t="n">
        <x:v>0.2091746805894189</x:v>
      </x:c>
      <x:c r="O2896" s="82" t="n">
        <x:v>0.05983732423537457</x:v>
      </x:c>
      <x:c r="P2896" s="80" t="n">
        <x:v>3849.2455144518203</x:v>
      </x:c>
      <x:c r="Q2896" s="81" t="n">
        <x:v>0.004001942112893377</x:v>
      </x:c>
      <x:c r="R2896" s="81" t="n">
        <x:v>46.24625033071025</x:v>
      </x:c>
      <x:c r="S2896" s="81" t="n">
        <x:v>13.864638228581757</x:v>
      </x:c>
      <x:c r="T2896" s="81" t="n">
        <x:v>7.300236177296403</x:v>
      </x:c>
    </x:row>
    <x:row r="2897">
      <x:c r="A2897" s="59" t="n">
        <x:v>2894</x:v>
      </x:c>
      <x:c r="B2897" s="193" t="n">
        <x:v>0.4416707145050168</x:v>
      </x:c>
      <x:c r="C2897" s="83" t="n">
        <x:v>1.4249847533079356</x:v>
      </x:c>
      <x:c r="D2897" s="83" t="n">
        <x:v>1.6340641869087753</x:v>
      </x:c>
      <x:c r="E2897" s="81" t="n">
        <x:v>-0.017947873286174292</x:v>
      </x:c>
      <x:c r="F2897" s="81" t="n">
        <x:v>0.6589596740435809</x:v>
      </x:c>
      <x:c r="G2897" s="81" t="n">
        <x:v>0.004511614057177399</x:v>
      </x:c>
      <x:c r="H2897" s="59" t="n">
        <x:v>79</x:v>
      </x:c>
      <x:c r="I2897" s="81" t="n">
        <x:v>0.37152359588071704</x:v>
      </x:c>
      <x:c r="J2897" s="79" t="n">
        <x:v>1.5334894862449955e-22</x:v>
      </x:c>
      <x:c r="K2897" s="81" t="n">
        <x:v>-1</x:v>
      </x:c>
      <x:c r="L2897" s="81" t="n">
        <x:v>-1</x:v>
      </x:c>
      <x:c r="M2897" s="80" t="n">
        <x:v>0.000005406485361857848</x:v>
      </x:c>
      <x:c r="N2897" s="82" t="n">
        <x:v>0.20730799552099213</x:v>
      </x:c>
      <x:c r="O2897" s="82" t="n">
        <x:v>0.1290463818336173</x:v>
      </x:c>
      <x:c r="P2897" s="80" t="n">
        <x:v>1891.2666950926953</x:v>
      </x:c>
      <x:c r="Q2897" s="81" t="n">
        <x:v>2019814.9179302533</x:v>
      </x:c>
      <x:c r="R2897" s="81" t="n">
        <x:v>4.698131087601673</x:v>
      </x:c>
      <x:c r="S2897" s="81" t="n">
        <x:v>1.7889100684789992e-9</x:v>
      </x:c>
      <x:c r="T2897" s="81" t="n">
        <x:v>3.3218730215722497e-18</x:v>
      </x:c>
    </x:row>
    <x:row r="2898">
      <x:c r="A2898" s="59" t="n">
        <x:v>2895</x:v>
      </x:c>
      <x:c r="B2898" s="193" t="n">
        <x:v>0.8545142007991673</x:v>
      </x:c>
      <x:c r="C2898" s="83" t="n">
        <x:v>1.5660848846579563</x:v>
      </x:c>
      <x:c r="D2898" s="83" t="n">
        <x:v>0.8500420887914358</x:v>
      </x:c>
      <x:c r="E2898" s="81" t="n">
        <x:v>0.025324567960563857</x:v>
      </x:c>
      <x:c r="F2898" s="81" t="n">
        <x:v>0.8247986409580336</x:v>
      </x:c>
      <x:c r="G2898" s="81" t="n">
        <x:v>-0.006605129509545959</x:v>
      </x:c>
      <x:c r="H2898" s="59" t="n">
        <x:v>26</x:v>
      </x:c>
      <x:c r="I2898" s="81" t="n">
        <x:v>0.27974422592669723</x:v>
      </x:c>
      <x:c r="J2898" s="79" t="n">
        <x:v>0.0001973372057741766</x:v>
      </x:c>
      <x:c r="K2898" s="81" t="n">
        <x:v>-0.7744717648295124</x:v>
      </x:c>
      <x:c r="L2898" s="81" t="n">
        <x:v>-0.8539101163741287</x:v>
      </x:c>
      <x:c r="M2898" s="80" t="n">
        <x:v>6658.351167781091</x:v>
      </x:c>
      <x:c r="N2898" s="82" t="n">
        <x:v>0.3056550547716264</x:v>
      </x:c>
      <x:c r="O2898" s="82" t="n">
        <x:v>0.2381499314601884</x:v>
      </x:c>
      <x:c r="P2898" s="80" t="n">
        <x:v>12568.104834109581</x:v>
      </x:c>
      <x:c r="Q2898" s="81" t="n">
        <x:v>0.019663149699316845</x:v>
      </x:c>
      <x:c r="R2898" s="81" t="n">
        <x:v>14.945143205084216</x:v>
      </x:c>
      <x:c r="S2898" s="81" t="n">
        <x:v>3.2515764086716947</x:v>
      </x:c>
      <x:c r="T2898" s="81" t="n">
        <x:v>4.274754707440878</x:v>
      </x:c>
    </x:row>
    <x:row r="2899">
      <x:c r="A2899" s="59" t="n">
        <x:v>2896</x:v>
      </x:c>
      <x:c r="B2899" s="193" t="n">
        <x:v>0.20297011584043503</x:v>
      </x:c>
      <x:c r="C2899" s="83" t="n">
        <x:v>2.191886270406047</x:v>
      </x:c>
      <x:c r="D2899" s="83" t="n">
        <x:v>0.8572540056005599</x:v>
      </x:c>
      <x:c r="E2899" s="81" t="n">
        <x:v>0.10172952333854836</x:v>
      </x:c>
      <x:c r="F2899" s="81" t="n">
        <x:v>0.5806395446415991</x:v>
      </x:c>
      <x:c r="G2899" s="81" t="n">
        <x:v>0.026690946204540912</x:v>
      </x:c>
      <x:c r="H2899" s="59" t="n">
        <x:v>85</x:v>
      </x:c>
      <x:c r="I2899" s="81" t="n">
        <x:v>0.20407119831070306</x:v>
      </x:c>
      <x:c r="J2899" s="79" t="n">
        <x:v>0.11470578913612788</x:v>
      </x:c>
      <x:c r="K2899" s="81" t="n">
        <x:v>130.09233044128902</x:v>
      </x:c>
      <x:c r="L2899" s="81" t="n">
        <x:v>-0.8855694995946871</x:v>
      </x:c>
      <x:c r="M2899" s="80" t="n">
        <x:v>263247.6844709177</x:v>
      </x:c>
      <x:c r="N2899" s="82" t="n">
        <x:v>0.15044503728286365</x:v>
      </x:c>
      <x:c r="O2899" s="82" t="n">
        <x:v>0.08251927779528624</x:v>
      </x:c>
      <x:c r="P2899" s="80" t="n">
        <x:v>378579.86390500923</x:v>
      </x:c>
      <x:c r="Q2899" s="81" t="n">
        <x:v>0.002313652603343732</x:v>
      </x:c>
      <x:c r="R2899" s="81" t="n">
        <x:v>426.170883116069</x:v>
      </x:c>
      <x:c r="S2899" s="81" t="n">
        <x:v>1017.6435753483746</x:v>
      </x:c>
      <x:c r="T2899" s="81" t="n">
        <x:v>2484.7778205672194</x:v>
      </x:c>
    </x:row>
    <x:row r="2900">
      <x:c r="A2900" s="59" t="n">
        <x:v>2897</x:v>
      </x:c>
      <x:c r="B2900" s="193" t="n">
        <x:v>0.37070241644978524</x:v>
      </x:c>
      <x:c r="C2900" s="83" t="n">
        <x:v>1.7843264916262684</x:v>
      </x:c>
      <x:c r="D2900" s="83" t="n">
        <x:v>0.621082974795555</x:v>
      </x:c>
      <x:c r="E2900" s="81" t="n">
        <x:v>-0.04486643242942794</x:v>
      </x:c>
      <x:c r="F2900" s="81" t="n">
        <x:v>0.5593400532146916</x:v>
      </x:c>
      <x:c r="G2900" s="81" t="n">
        <x:v>-0.0014573539818505247</x:v>
      </x:c>
      <x:c r="H2900" s="59" t="n">
        <x:v>83</x:v>
      </x:c>
      <x:c r="I2900" s="81" t="n">
        <x:v>0.3187199278734625</x:v>
      </x:c>
      <x:c r="J2900" s="79" t="n">
        <x:v>5.8251930788687275e-21</x:v>
      </x:c>
      <x:c r="K2900" s="81" t="n">
        <x:v>-1</x:v>
      </x:c>
      <x:c r="L2900" s="81" t="n">
        <x:v>-1</x:v>
      </x:c>
      <x:c r="M2900" s="80" t="n">
        <x:v>0.00003806232966541125</x:v>
      </x:c>
      <x:c r="N2900" s="82" t="n">
        <x:v>0.19040201626864706</x:v>
      </x:c>
      <x:c r="O2900" s="82" t="n">
        <x:v>0.10060473102859996</x:v>
      </x:c>
      <x:c r="P2900" s="80" t="n">
        <x:v>897.8452520172018</x:v>
      </x:c>
      <x:c r="Q2900" s="81" t="n">
        <x:v>153705.3813817791</x:v>
      </x:c>
      <x:c r="R2900" s="81" t="n">
        <x:v>3.3554330875654665</x:v>
      </x:c>
      <x:c r="S2900" s="81" t="n">
        <x:v>3.851389101365157e-9</x:v>
      </x:c>
      <x:c r="T2900" s="81" t="n">
        <x:v>1.2618639976154297e-16</x:v>
      </x:c>
    </x:row>
    <x:row r="2901">
      <x:c r="A2901" s="59" t="n">
        <x:v>2898</x:v>
      </x:c>
      <x:c r="B2901" s="193" t="n">
        <x:v>0.35767319686710836</x:v>
      </x:c>
      <x:c r="C2901" s="83" t="n">
        <x:v>0.9999223695583555</x:v>
      </x:c>
      <x:c r="D2901" s="83" t="n">
        <x:v>0.4528434203807469</x:v>
      </x:c>
      <x:c r="E2901" s="81" t="n">
        <x:v>0.06974380554308432</x:v>
      </x:c>
      <x:c r="F2901" s="81" t="n">
        <x:v>0.41209050520556045</x:v>
      </x:c>
      <x:c r="G2901" s="81" t="n">
        <x:v>-0.009213382316788525</x:v>
      </x:c>
      <x:c r="H2901" s="59" t="n">
        <x:v>0</x:v>
      </x:c>
      <x:c r="I2901" s="81" t="n">
        <x:v>0</x:v>
      </x:c>
      <x:c r="J2901" s="79" t="n">
        <x:v>0.002690843286743976</x:v>
      </x:c>
      <x:c r="K2901" s="81" t="n">
        <x:v>2.075249470564544</x:v>
      </x:c>
      <x:c r="L2901" s="81" t="n">
        <x:v>-0.5508882252999512</x:v>
      </x:c>
      <x:c r="M2901" s="80" t="n">
        <x:v>19797.97645973195</x:v>
      </x:c>
      <x:c r="N2901" s="82" t="n">
        <x:v>0.18729821186618661</x:v>
      </x:c>
      <x:c r="O2901" s="82" t="n">
        <x:v>0.07291169277806973</x:v>
      </x:c>
      <x:c r="P2901" s="80" t="n">
        <x:v>17777.498083427017</x:v>
      </x:c>
      <x:c r="Q2901" s="81" t="n">
        <x:v>0.0024368035473623277</x:v>
      </x:c>
      <x:c r="R2901" s="81" t="n">
        <x:v>68.29236432051216</x:v>
      </x:c>
      <x:c r="S2901" s="81" t="n">
        <x:v>51.83373106263076</x:v>
      </x:c>
      <x:c r="T2901" s="81" t="n">
        <x:v>58.28954029154358</x:v>
      </x:c>
    </x:row>
    <x:row r="2902">
      <x:c r="A2902" s="59" t="n">
        <x:v>2899</x:v>
      </x:c>
      <x:c r="B2902" s="193" t="n">
        <x:v>0.4095178166404367</x:v>
      </x:c>
      <x:c r="C2902" s="83" t="n">
        <x:v>0.4648312945186257</x:v>
      </x:c>
      <x:c r="D2902" s="83" t="n">
        <x:v>0.38099096958406276</x:v>
      </x:c>
      <x:c r="E2902" s="81" t="n">
        <x:v>0.04712627025614977</x:v>
      </x:c>
      <x:c r="F2902" s="81" t="n">
        <x:v>0.47090189198497684</x:v>
      </x:c>
      <x:c r="G2902" s="81" t="n">
        <x:v>-0.005402188984836503</x:v>
      </x:c>
      <x:c r="H2902" s="59" t="n">
        <x:v>0</x:v>
      </x:c>
      <x:c r="I2902" s="81" t="n">
        <x:v>0</x:v>
      </x:c>
      <x:c r="J2902" s="79" t="n">
        <x:v>0.0003242136937663412</x:v>
      </x:c>
      <x:c r="K2902" s="81" t="n">
        <x:v>-0.6294700642670386</x:v>
      </x:c>
      <x:c r="L2902" s="81" t="n">
        <x:v>-0.7830864073737269</x:v>
      </x:c>
      <x:c r="M2902" s="80" t="n">
        <x:v>4804.046961876179</x:v>
      </x:c>
      <x:c r="N2902" s="82" t="n">
        <x:v>0.19964857238281408</x:v>
      </x:c>
      <x:c r="O2902" s="82" t="n">
        <x:v>0.08881116892612802</x:v>
      </x:c>
      <x:c r="P2902" s="80" t="n">
        <x:v>4178.992574145538</x:v>
      </x:c>
      <x:c r="Q2902" s="81" t="n">
        <x:v>0.00398010151193707</x:v>
      </x:c>
      <x:c r="R2902" s="81" t="n">
        <x:v>54.59961438062863</x:v>
      </x:c>
      <x:c r="S2902" s="81" t="n">
        <x:v>13.485594236538052</x:v>
      </x:c>
      <x:c r="T2902" s="81" t="n">
        <x:v>7.023176436533006</x:v>
      </x:c>
    </x:row>
    <x:row r="2903">
      <x:c r="A2903" s="59" t="n">
        <x:v>2900</x:v>
      </x:c>
      <x:c r="B2903" s="193" t="n">
        <x:v>0.7453203557059169</x:v>
      </x:c>
      <x:c r="C2903" s="83" t="n">
        <x:v>1.032746590032887</x:v>
      </x:c>
      <x:c r="D2903" s="83" t="n">
        <x:v>0.3322523131121574</x:v>
      </x:c>
      <x:c r="E2903" s="81" t="n">
        <x:v>0.08616282998811521</x:v>
      </x:c>
      <x:c r="F2903" s="81" t="n">
        <x:v>0.6399997962056659</x:v>
      </x:c>
      <x:c r="G2903" s="81" t="n">
        <x:v>0.029260339132051668</x:v>
      </x:c>
      <x:c r="H2903" s="59" t="n">
        <x:v>0</x:v>
      </x:c>
      <x:c r="I2903" s="81" t="n">
        <x:v>0</x:v>
      </x:c>
      <x:c r="J2903" s="79" t="n">
        <x:v>0.0010346662848621277</x:v>
      </x:c>
      <x:c r="K2903" s="81" t="n">
        <x:v>0.1824757541281461</x:v>
      </x:c>
      <x:c r="L2903" s="81" t="n">
        <x:v>-0.7431185720921757</x:v>
      </x:c>
      <x:c r="M2903" s="80" t="n">
        <x:v>12710.40448668639</x:v>
      </x:c>
      <x:c r="N2903" s="82" t="n">
        <x:v>0.27964303348581887</x:v>
      </x:c>
      <x:c r="O2903" s="82" t="n">
        <x:v>0.16906541781510082</x:v>
      </x:c>
      <x:c r="P2903" s="80" t="n">
        <x:v>9124.90049210463</x:v>
      </x:c>
      <x:c r="Q2903" s="81" t="n">
        <x:v>0.004550695085007337</x:v>
      </x:c>
      <x:c r="R2903" s="81" t="n">
        <x:v>30.83635327935037</x:v>
      </x:c>
      <x:c r="S2903" s="81" t="n">
        <x:v>19.991744027006227</x:v>
      </x:c>
      <x:c r="T2903" s="81" t="n">
        <x:v>22.4131306333898</x:v>
      </x:c>
    </x:row>
    <x:row r="2904">
      <x:c r="A2904" s="59" t="n">
        <x:v>2901</x:v>
      </x:c>
      <x:c r="B2904" s="193" t="n">
        <x:v>0.7561027109622955</x:v>
      </x:c>
      <x:c r="C2904" s="83" t="n">
        <x:v>0.225402319016842</x:v>
      </x:c>
      <x:c r="D2904" s="83" t="n">
        <x:v>0.4265902441677881</x:v>
      </x:c>
      <x:c r="E2904" s="81" t="n">
        <x:v>0.02280673561116118</x:v>
      </x:c>
      <x:c r="F2904" s="81" t="n">
        <x:v>0.5000926582491957</x:v>
      </x:c>
      <x:c r="G2904" s="81" t="n">
        <x:v>-0.0020005521197779272</x:v>
      </x:c>
      <x:c r="H2904" s="59" t="n">
        <x:v>27</x:v>
      </x:c>
      <x:c r="I2904" s="81" t="n">
        <x:v>0.11654842728748918</x:v>
      </x:c>
      <x:c r="J2904" s="79" t="n">
        <x:v>0.00003044379746817004</x:v>
      </x:c>
      <x:c r="K2904" s="81" t="n">
        <x:v>-0.9652070886078057</x:v>
      </x:c>
      <x:c r="L2904" s="81" t="n">
        <x:v>-0.9690308116970145</x:v>
      </x:c>
      <x:c r="M2904" s="80" t="n">
        <x:v>1196.6976078004063</x:v>
      </x:c>
      <x:c r="N2904" s="82" t="n">
        <x:v>0.28221159267704926</x:v>
      </x:c>
      <x:c r="O2904" s="82" t="n">
        <x:v>0.1333202963558356</x:v>
      </x:c>
      <x:c r="P2904" s="80" t="n">
        <x:v>1522.877096035571</x:v>
      </x:c>
      <x:c r="Q2904" s="81" t="n">
        <x:v>0.010962781464192738</x:v>
      </x:c>
      <x:c r="R2904" s="81" t="n">
        <x:v>54.85978862591524</x:v>
      </x:c>
      <x:c r="S2904" s="81" t="n">
        <x:v>2.689647516277201</x:v>
      </x:c>
      <x:c r="T2904" s="81" t="n">
        <x:v>0.6594791186430519</x:v>
      </x:c>
    </x:row>
    <x:row r="2905">
      <x:c r="A2905" s="59" t="n">
        <x:v>2902</x:v>
      </x:c>
      <x:c r="B2905" s="193" t="n">
        <x:v>0.8568687360733749</x:v>
      </x:c>
      <x:c r="C2905" s="83" t="n">
        <x:v>0.34590286585695046</x:v>
      </x:c>
      <x:c r="D2905" s="83" t="n">
        <x:v>1.106892354018916</x:v>
      </x:c>
      <x:c r="E2905" s="81" t="n">
        <x:v>0.10594875426575642</x:v>
      </x:c>
      <x:c r="F2905" s="81" t="n">
        <x:v>0.5364586507203057</x:v>
      </x:c>
      <x:c r="G2905" s="81" t="n">
        <x:v>0.07282694069234148</x:v>
      </x:c>
      <x:c r="H2905" s="59" t="n">
        <x:v>30</x:v>
      </x:c>
      <x:c r="I2905" s="81" t="n">
        <x:v>0.10368489548563958</x:v>
      </x:c>
      <x:c r="J2905" s="79" t="n">
        <x:v>0.03004692873603627</x:v>
      </x:c>
      <x:c r="K2905" s="81" t="n">
        <x:v>33.3393471268986</x:v>
      </x:c>
      <x:c r="L2905" s="81" t="n">
        <x:v>-0.761266080721503</x:v>
      </x:c>
      <x:c r="M2905" s="80" t="n">
        <x:v>70448.01362086242</x:v>
      </x:c>
      <x:c r="N2905" s="82" t="n">
        <x:v>0.30621594922147954</x:v>
      </x:c>
      <x:c r="O2905" s="82" t="n">
        <x:v>0.15517973358191128</x:v>
      </x:c>
      <x:c r="P2905" s="80" t="n">
        <x:v>139382.42442492917</x:v>
      </x:c>
      <x:c r="Q2905" s="81" t="n">
        <x:v>0.0043369064692547945</x:v>
      </x:c>
      <x:c r="R2905" s="81" t="n">
        <x:v>542.2860867368861</x:v>
      </x:c>
      <x:c r="S2905" s="81" t="n">
        <x:v>1676.2050237278577</x:v>
      </x:c>
      <x:c r="T2905" s="81" t="n">
        <x:v>650.8820754536072</x:v>
      </x:c>
    </x:row>
    <x:row r="2906">
      <x:c r="A2906" s="59" t="n">
        <x:v>2903</x:v>
      </x:c>
      <x:c r="B2906" s="193" t="n">
        <x:v>0.93758848849684</x:v>
      </x:c>
      <x:c r="C2906" s="83" t="n">
        <x:v>0.33962480714782806</x:v>
      </x:c>
      <x:c r="D2906" s="83" t="n">
        <x:v>0.3995445229496768</x:v>
      </x:c>
      <x:c r="E2906" s="81" t="n">
        <x:v>-0.016934155085115282</x:v>
      </x:c>
      <x:c r="F2906" s="81" t="n">
        <x:v>0.4494730783277191</x:v>
      </x:c>
      <x:c r="G2906" s="81" t="n">
        <x:v>-0.019879201472911973</x:v>
      </x:c>
      <x:c r="H2906" s="59" t="n">
        <x:v>52</x:v>
      </x:c>
      <x:c r="I2906" s="81" t="n">
        <x:v>0.33173905555158856</x:v>
      </x:c>
      <x:c r="J2906" s="79" t="n">
        <x:v>2.5124955459965046e-9</x:v>
      </x:c>
      <x:c r="K2906" s="81" t="n">
        <x:v>-0.9999971285765189</x:v>
      </x:c>
      <x:c r="L2906" s="81" t="n">
        <x:v>-0.9999971285765189</x:v>
      </x:c>
      <x:c r="M2906" s="80" t="n">
        <x:v>11.5676203053947</x:v>
      </x:c>
      <x:c r="N2906" s="82" t="n">
        <x:v>0.3254449077441062</x:v>
      </x:c>
      <x:c r="O2906" s="82" t="n">
        <x:v>0.13818220122563984</x:v>
      </x:c>
      <x:c r="P2906" s="80" t="n">
        <x:v>491.28666561433135</x:v>
      </x:c>
      <x:c r="Q2906" s="81" t="n">
        <x:v>0.26239395574729796</x:v>
      </x:c>
      <x:c r="R2906" s="81" t="n">
        <x:v>21.85138884133875</x:v>
      </x:c>
      <x:c r="S2906" s="81" t="n">
        <x:v>0.0013338708262844072</x:v>
      </x:c>
      <x:c r="T2906" s="81" t="n">
        <x:v>0.00005442613885474537</x:v>
      </x:c>
    </x:row>
    <x:row r="2907">
      <x:c r="A2907" s="59" t="n">
        <x:v>2904</x:v>
      </x:c>
      <x:c r="B2907" s="193" t="n">
        <x:v>0.3803443714976311</x:v>
      </x:c>
      <x:c r="C2907" s="83" t="n">
        <x:v>0.11754965626308632</x:v>
      </x:c>
      <x:c r="D2907" s="83" t="n">
        <x:v>0.34430145361446357</x:v>
      </x:c>
      <x:c r="E2907" s="81" t="n">
        <x:v>0.06867065968771364</x:v>
      </x:c>
      <x:c r="F2907" s="81" t="n">
        <x:v>0.39123066032771026</x:v>
      </x:c>
      <x:c r="G2907" s="81" t="n">
        <x:v>0.009727285906986485</x:v>
      </x:c>
      <x:c r="H2907" s="59" t="n">
        <x:v>0</x:v>
      </x:c>
      <x:c r="I2907" s="81" t="n">
        <x:v>0</x:v>
      </x:c>
      <x:c r="J2907" s="79" t="n">
        <x:v>0.000743267674353208</x:v>
      </x:c>
      <x:c r="K2907" s="81" t="n">
        <x:v>-0.15055122931061937</x:v>
      </x:c>
      <x:c r="L2907" s="81" t="n">
        <x:v>-0.7207403634095841</x:v>
      </x:c>
      <x:c r="M2907" s="80" t="n">
        <x:v>5717.230963077773</x:v>
      </x:c>
      <x:c r="N2907" s="82" t="n">
        <x:v>0.19269891074770132</x:v>
      </x:c>
      <x:c r="O2907" s="82" t="n">
        <x:v>0.07121690310028615</x:v>
      </x:c>
      <x:c r="P2907" s="80" t="n">
        <x:v>4265.082814779429</x:v>
      </x:c>
      <x:c r="Q2907" s="81" t="n">
        <x:v>0.0023202180044414322</x:v>
      </x:c>
      <x:c r="R2907" s="81" t="n">
        <x:v>264.4922198248757</x:v>
      </x:c>
      <x:c r="S2907" s="81" t="n">
        <x:v>118.32495046711301</x:v>
      </x:c>
      <x:c r="T2907" s="81" t="n">
        <x:v>16.100800542731648</x:v>
      </x:c>
    </x:row>
    <x:row r="2908">
      <x:c r="A2908" s="59" t="n">
        <x:v>2905</x:v>
      </x:c>
      <x:c r="B2908" s="193" t="n">
        <x:v>0.7852623423561453</x:v>
      </x:c>
      <x:c r="C2908" s="83" t="n">
        <x:v>0.35382950246927203</x:v>
      </x:c>
      <x:c r="D2908" s="83" t="n">
        <x:v>0.6351030628796054</x:v>
      </x:c>
      <x:c r="E2908" s="81" t="n">
        <x:v>0.10174143466789977</x:v>
      </x:c>
      <x:c r="F2908" s="81" t="n">
        <x:v>0.6762021548114717</x:v>
      </x:c>
      <x:c r="G2908" s="81" t="n">
        <x:v>0.0027377178502500806</x:v>
      </x:c>
      <x:c r="H2908" s="59" t="n">
        <x:v>0</x:v>
      </x:c>
      <x:c r="I2908" s="81" t="n">
        <x:v>0</x:v>
      </x:c>
      <x:c r="J2908" s="79" t="n">
        <x:v>0.0012176435139047157</x:v>
      </x:c>
      <x:c r="K2908" s="81" t="n">
        <x:v>0.3915925873196753</x:v>
      </x:c>
      <x:c r="L2908" s="81" t="n">
        <x:v>-0.8018257543149785</x:v>
      </x:c>
      <x:c r="M2908" s="80" t="n">
        <x:v>10284.496615805228</x:v>
      </x:c>
      <x:c r="N2908" s="82" t="n">
        <x:v>0.28915796361815305</x:v>
      </x:c>
      <x:c r="O2908" s="82" t="n">
        <x:v>0.18470670025552383</x:v>
      </x:c>
      <x:c r="P2908" s="80" t="n">
        <x:v>12319.649913249252</x:v>
      </x:c>
      <x:c r="Q2908" s="81" t="n">
        <x:v>0.004466766473126217</x:v>
      </x:c>
      <x:c r="R2908" s="81" t="n">
        <x:v>149.2339192912118</x:v>
      </x:c>
      <x:c r="S2908" s="81" t="n">
        <x:v>66.27110395512821</x:v>
      </x:c>
      <x:c r="T2908" s="81" t="n">
        <x:v>26.37681689384787</x:v>
      </x:c>
    </x:row>
    <x:row r="2909">
      <x:c r="A2909" s="59" t="n">
        <x:v>2906</x:v>
      </x:c>
      <x:c r="B2909" s="193" t="n">
        <x:v>0.6961632274091244</x:v>
      </x:c>
      <x:c r="C2909" s="83" t="n">
        <x:v>0.43345462440379295</x:v>
      </x:c>
      <x:c r="D2909" s="83" t="n">
        <x:v>1.3205540288443471</x:v>
      </x:c>
      <x:c r="E2909" s="81" t="n">
        <x:v>0.14339745798103115</x:v>
      </x:c>
      <x:c r="F2909" s="81" t="n">
        <x:v>0.5529093469143845</x:v>
      </x:c>
      <x:c r="G2909" s="81" t="n">
        <x:v>0.013184770433354993</x:v>
      </x:c>
      <x:c r="H2909" s="59" t="n">
        <x:v>0</x:v>
      </x:c>
      <x:c r="I2909" s="81" t="n">
        <x:v>0</x:v>
      </x:c>
      <x:c r="J2909" s="79" t="n">
        <x:v>0.03484609773192133</x:v>
      </x:c>
      <x:c r="K2909" s="81" t="n">
        <x:v>38.82411169362438</x:v>
      </x:c>
      <x:c r="L2909" s="81" t="n">
        <x:v>-0.8122588720766439</x:v>
      </x:c>
      <x:c r="M2909" s="80" t="n">
        <x:v>85052.51906558187</x:v>
      </x:c>
      <x:c r="N2909" s="82" t="n">
        <x:v>0.2679328838293674</x:v>
      </x:c>
      <x:c r="O2909" s="82" t="n">
        <x:v>0.13994290730652234</x:v>
      </x:c>
      <x:c r="P2909" s="80" t="n">
        <x:v>155422.64996517345</x:v>
      </x:c>
      <x:c r="Q2909" s="81" t="n">
        <x:v>0.0029930205521303925</x:v>
      </x:c>
      <x:c r="R2909" s="81" t="n">
        <x:v>1285.5086987630636</x:v>
      </x:c>
      <x:c r="S2909" s="81" t="n">
        <x:v>1536.6998394831917</x:v>
      </x:c>
      <x:c r="T2909" s="81" t="n">
        <x:v>754.8425535422687</x:v>
      </x:c>
    </x:row>
    <x:row r="2910">
      <x:c r="A2910" s="59" t="n">
        <x:v>2907</x:v>
      </x:c>
      <x:c r="B2910" s="193" t="n">
        <x:v>0.7772400632500649</x:v>
      </x:c>
      <x:c r="C2910" s="83" t="n">
        <x:v>0.3835642508631406</x:v>
      </x:c>
      <x:c r="D2910" s="83" t="n">
        <x:v>0.8487235183058871</x:v>
      </x:c>
      <x:c r="E2910" s="81" t="n">
        <x:v>-0.07867829965275618</x:v>
      </x:c>
      <x:c r="F2910" s="81" t="n">
        <x:v>0.2611658573616296</x:v>
      </x:c>
      <x:c r="G2910" s="81" t="n">
        <x:v>0.033414934868952216</x:v>
      </x:c>
      <x:c r="H2910" s="59" t="n">
        <x:v>0</x:v>
      </x:c>
      <x:c r="I2910" s="81" t="n">
        <x:v>0</x:v>
      </x:c>
      <x:c r="J2910" s="79" t="n">
        <x:v>2.221538340985151e-37</x:v>
      </x:c>
      <x:c r="K2910" s="81" t="n">
        <x:v>-1</x:v>
      </x:c>
      <x:c r="L2910" s="81" t="n">
        <x:v>-1</x:v>
      </x:c>
      <x:c r="M2910" s="80" t="n">
        <x:v>0.000002</x:v>
      </x:c>
      <x:c r="N2910" s="82" t="n">
        <x:v>0.2872469063173513</x:v>
      </x:c>
      <x:c r="O2910" s="82" t="n">
        <x:v>0.0708667803439207</x:v>
      </x:c>
      <x:c r="P2910" s="80" t="n">
        <x:v>288.7103183541419</x:v>
      </x:c>
      <x:c r="Q2910" s="81" t="n">
        <x:v>124674594477912180000</x:v>
      </x:c>
      <x:c r="R2910" s="81" t="n">
        <x:v>6.015720253268392</x:v>
      </x:c>
      <x:c r="S2910" s="81" t="n">
        <x:v>8.015801188830129e-10</x:v>
      </x:c>
      <x:c r="T2910" s="81" t="n">
        <x:v>4.8123370570849444e-33</x:v>
      </x:c>
    </x:row>
    <x:row r="2911">
      <x:c r="A2911" s="59" t="n">
        <x:v>2908</x:v>
      </x:c>
      <x:c r="B2911" s="193" t="n">
        <x:v>0.2995961453765631</x:v>
      </x:c>
      <x:c r="C2911" s="83" t="n">
        <x:v>0.16142155942230363</x:v>
      </x:c>
      <x:c r="D2911" s="83" t="n">
        <x:v>0.27312416633337666</x:v>
      </x:c>
      <x:c r="E2911" s="81" t="n">
        <x:v>-0.04747040870147685</x:v>
      </x:c>
      <x:c r="F2911" s="81" t="n">
        <x:v>0.3806021551718004</x:v>
      </x:c>
      <x:c r="G2911" s="81" t="n">
        <x:v>0.02450260597312913</x:v>
      </x:c>
      <x:c r="H2911" s="59" t="n">
        <x:v>0</x:v>
      </x:c>
      <x:c r="I2911" s="81" t="n">
        <x:v>0</x:v>
      </x:c>
      <x:c r="J2911" s="79" t="n">
        <x:v>6.962687576317038e-14</x:v>
      </x:c>
      <x:c r="K2911" s="81" t="n">
        <x:v>-0.9999999999204264</x:v>
      </x:c>
      <x:c r="L2911" s="81" t="n">
        <x:v>-0.9999999999204264</x:v>
      </x:c>
      <x:c r="M2911" s="80" t="n">
        <x:v>0.053616378862790366</x:v>
      </x:c>
      <x:c r="N2911" s="82" t="n">
        <x:v>0.17346316925642302</x:v>
      </x:c>
      <x:c r="O2911" s="82" t="n">
        <x:v>0.062366225677233086</x:v>
      </x:c>
      <x:c r="P2911" s="80" t="n">
        <x:v>274.7204688647781</x:v>
      </x:c>
      <x:c r="Q2911" s="81" t="n">
        <x:v>17.160767489918648</x:v>
      </x:c>
      <x:c r="R2911" s="81" t="n">
        <x:v>45.19800710410401</x:v>
      </x:c>
      <x:c r="S2911" s="81" t="n">
        <x:v>0.000007677496899459961</x:v>
      </x:c>
      <x:c r="T2911" s="81" t="n">
        <x:v>1.508270139760753e-9</x:v>
      </x:c>
    </x:row>
    <x:row r="2912">
      <x:c r="A2912" s="59" t="n">
        <x:v>2909</x:v>
      </x:c>
      <x:c r="B2912" s="193" t="n">
        <x:v>0.9222713185474276</x:v>
      </x:c>
      <x:c r="C2912" s="83" t="n">
        <x:v>0.14873573949758068</x:v>
      </x:c>
      <x:c r="D2912" s="83" t="n">
        <x:v>1.1261786811837458</x:v>
      </x:c>
      <x:c r="E2912" s="81" t="n">
        <x:v>-0.07433740850893693</x:v>
      </x:c>
      <x:c r="F2912" s="81" t="n">
        <x:v>0.619059255369939</x:v>
      </x:c>
      <x:c r="G2912" s="81" t="n">
        <x:v>0.023501108836199155</x:v>
      </x:c>
      <x:c r="H2912" s="59" t="n">
        <x:v>0</x:v>
      </x:c>
      <x:c r="I2912" s="81" t="n">
        <x:v>0</x:v>
      </x:c>
      <x:c r="J2912" s="79" t="n">
        <x:v>2.699021520407789e-41</x:v>
      </x:c>
      <x:c r="K2912" s="81" t="n">
        <x:v>-1</x:v>
      </x:c>
      <x:c r="L2912" s="81" t="n">
        <x:v>-1</x:v>
      </x:c>
      <x:c r="M2912" s="80" t="n">
        <x:v>0.000002</x:v>
      </x:c>
      <x:c r="N2912" s="82" t="n">
        <x:v>0.3217960706652204</x:v>
      </x:c>
      <x:c r="O2912" s="82" t="n">
        <x:v>0.18818452172799954</x:v>
      </x:c>
      <x:c r="P2912" s="80" t="n">
        <x:v>246.77786233270982</x:v>
      </x:c>
      <x:c r="Q2912" s="81" t="n">
        <x:v>1.0817371249712871e+24</x:v>
      </x:c>
      <x:c r="R2912" s="81" t="n">
        <x:v>10.603724396974991</x:v>
      </x:c>
      <x:c r="S2912" s="81" t="n">
        <x:v>1.1392852406982885e-9</x:v>
      </x:c>
      <x:c r="T2912" s="81" t="n">
        <x:v>5.8466698687578365e-37</x:v>
      </x:c>
    </x:row>
    <x:row r="2913">
      <x:c r="A2913" s="59" t="n">
        <x:v>2910</x:v>
      </x:c>
      <x:c r="B2913" s="193" t="n">
        <x:v>0.9107351927086711</x:v>
      </x:c>
      <x:c r="C2913" s="83" t="n">
        <x:v>1.9568254953554038</x:v>
      </x:c>
      <x:c r="D2913" s="83" t="n">
        <x:v>0.8807501552586519</x:v>
      </x:c>
      <x:c r="E2913" s="81" t="n">
        <x:v>0.06499360190388474</x:v>
      </x:c>
      <x:c r="F2913" s="81" t="n">
        <x:v>0.6401002889382653</x:v>
      </x:c>
      <x:c r="G2913" s="81" t="n">
        <x:v>-0.0006782366320296836</x:v>
      </x:c>
      <x:c r="H2913" s="59" t="n">
        <x:v>13</x:v>
      </x:c>
      <x:c r="I2913" s="81" t="n">
        <x:v>0.2688572437502444</x:v>
      </x:c>
      <x:c r="J2913" s="79" t="n">
        <x:v>0.003738373036063275</x:v>
      </x:c>
      <x:c r="K2913" s="81" t="n">
        <x:v>3.272426326929457</x:v>
      </x:c>
      <x:c r="L2913" s="81" t="n">
        <x:v>-0.5893713894928243</x:v>
      </x:c>
      <x:c r="M2913" s="80" t="n">
        <x:v>38121.454226030364</x:v>
      </x:c>
      <x:c r="N2913" s="82" t="n">
        <x:v>0.3190479491880685</x:v>
      </x:c>
      <x:c r="O2913" s="82" t="n">
        <x:v>0.19291896462399186</x:v>
      </x:c>
      <x:c r="P2913" s="80" t="n">
        <x:v>60334.160116172476</x:v>
      </x:c>
      <x:c r="Q2913" s="81" t="n">
        <x:v>0.0072073079958927585</x:v>
      </x:c>
      <x:c r="R2913" s="81" t="n">
        <x:v>43.24345229811656</x:v>
      </x:c>
      <x:c r="S2913" s="81" t="n">
        <x:v>40.6807086942742</x:v>
      </x:c>
      <x:c r="T2913" s="81" t="n">
        <x:v>80.98132164883802</x:v>
      </x:c>
    </x:row>
    <x:row r="2914">
      <x:c r="A2914" s="59" t="n">
        <x:v>2911</x:v>
      </x:c>
      <x:c r="B2914" s="193" t="n">
        <x:v>0.5984973404556513</x:v>
      </x:c>
      <x:c r="C2914" s="83" t="n">
        <x:v>0.39710380756502106</x:v>
      </x:c>
      <x:c r="D2914" s="83" t="n">
        <x:v>0.8255387459244748</x:v>
      </x:c>
      <x:c r="E2914" s="81" t="n">
        <x:v>-0.028623725448567342</x:v>
      </x:c>
      <x:c r="F2914" s="81" t="n">
        <x:v>0.3363306666025892</x:v>
      </x:c>
      <x:c r="G2914" s="81" t="n">
        <x:v>0.020420120468610886</x:v>
      </x:c>
      <x:c r="H2914" s="59" t="n">
        <x:v>0</x:v>
      </x:c>
      <x:c r="I2914" s="81" t="n">
        <x:v>0</x:v>
      </x:c>
      <x:c r="J2914" s="79" t="n">
        <x:v>1.2197326598955798e-20</x:v>
      </x:c>
      <x:c r="K2914" s="81" t="n">
        <x:v>-1</x:v>
      </x:c>
      <x:c r="L2914" s="81" t="n">
        <x:v>-1</x:v>
      </x:c>
      <x:c r="M2914" s="80" t="n">
        <x:v>0.000027607205636435094</x:v>
      </x:c>
      <x:c r="N2914" s="82" t="n">
        <x:v>0.24466703832166947</x:v>
      </x:c>
      <x:c r="O2914" s="82" t="n">
        <x:v>0.07773433270564374</x:v>
      </x:c>
      <x:c r="P2914" s="80" t="n">
        <x:v>648.20311947304</x:v>
      </x:c>
      <x:c r="Q2914" s="81" t="n">
        <x:v>82158.5853660628</x:v>
      </x:c>
      <x:c r="R2914" s="81" t="n">
        <x:v>13.758735844436876</x:v>
      </x:c>
      <x:c r="S2914" s="81" t="n">
        <x:v>9.683984877422022e-9</x:v>
      </x:c>
      <x:c r="T2914" s="81" t="n">
        <x:v>2.642207235707358e-16</x:v>
      </x:c>
    </x:row>
    <x:row r="2915">
      <x:c r="A2915" s="59" t="n">
        <x:v>2912</x:v>
      </x:c>
      <x:c r="B2915" s="193" t="n">
        <x:v>0.35105054378509526</x:v>
      </x:c>
      <x:c r="C2915" s="83" t="n">
        <x:v>1.3976686717795226</x:v>
      </x:c>
      <x:c r="D2915" s="83" t="n">
        <x:v>1.1987874447943059</x:v>
      </x:c>
      <x:c r="E2915" s="81" t="n">
        <x:v>0.05170316128536656</x:v>
      </x:c>
      <x:c r="F2915" s="81" t="n">
        <x:v>0.4112148335203528</x:v>
      </x:c>
      <x:c r="G2915" s="81" t="n">
        <x:v>0.03589612661760475</x:v>
      </x:c>
      <x:c r="H2915" s="59" t="n">
        <x:v>0</x:v>
      </x:c>
      <x:c r="I2915" s="81" t="n">
        <x:v>0</x:v>
      </x:c>
      <x:c r="J2915" s="79" t="n">
        <x:v>0.049015652741436065</x:v>
      </x:c>
      <x:c r="K2915" s="81" t="n">
        <x:v>55.01788884735551</x:v>
      </x:c>
      <x:c r="L2915" s="81" t="n">
        <x:v>-0.5446099791779591</x:v>
      </x:c>
      <x:c r="M2915" s="80" t="n">
        <x:v>119526.50992779317</x:v>
      </x:c>
      <x:c r="N2915" s="82" t="n">
        <x:v>0.18572057172730547</x:v>
      </x:c>
      <x:c r="O2915" s="82" t="n">
        <x:v>0.07214391829580867</x:v>
      </x:c>
      <x:c r="P2915" s="80" t="n">
        <x:v>254012.64282757315</x:v>
      </x:c>
      <x:c r="Q2915" s="81" t="n">
        <x:v>0.0036185200982937044</x:v>
      </x:c>
      <x:c r="R2915" s="81" t="n">
        <x:v>240.41536698640192</x:v>
      </x:c>
      <x:c r="S2915" s="81" t="n">
        <x:v>692.9361265203095</x:v>
      </x:c>
      <x:c r="T2915" s="81" t="n">
        <x:v>1061.7860502926007</x:v>
      </x:c>
    </x:row>
    <x:row r="2916">
      <x:c r="A2916" s="59" t="n">
        <x:v>2913</x:v>
      </x:c>
      <x:c r="B2916" s="193" t="n">
        <x:v>0.49296404812484984</x:v>
      </x:c>
      <x:c r="C2916" s="83" t="n">
        <x:v>2.347111059266556</x:v>
      </x:c>
      <x:c r="D2916" s="83" t="n">
        <x:v>0.1</x:v>
      </x:c>
      <x:c r="E2916" s="81" t="n">
        <x:v>0.0186776768104408</x:v>
      </x:c>
      <x:c r="F2916" s="81" t="n">
        <x:v>0.6376192412339151</x:v>
      </x:c>
      <x:c r="G2916" s="81" t="n">
        <x:v>0.0003708918383077443</x:v>
      </x:c>
      <x:c r="H2916" s="59" t="n">
        <x:v>0</x:v>
      </x:c>
      <x:c r="I2916" s="81" t="n">
        <x:v>0</x:v>
      </x:c>
      <x:c r="J2916" s="79" t="n">
        <x:v>0.000014326068507020496</x:v>
      </x:c>
      <x:c r="K2916" s="81" t="n">
        <x:v>-0.9836273502776909</x:v>
      </x:c>
      <x:c r="L2916" s="81" t="n">
        <x:v>-0.9836273502776909</x:v>
      </x:c>
      <x:c r="M2916" s="80" t="n">
        <x:v>2172.1854138896842</x:v>
      </x:c>
      <x:c r="N2916" s="82" t="n">
        <x:v>0.2195270293392416</x:v>
      </x:c>
      <x:c r="O2916" s="82" t="n">
        <x:v>0.13222706450408475</x:v>
      </x:c>
      <x:c r="P2916" s="80" t="n">
        <x:v>1097.0663000141938</x:v>
      </x:c>
      <x:c r="Q2916" s="81" t="n">
        <x:v>0.007546438747203918</x:v>
      </x:c>
      <x:c r="R2916" s="81" t="n">
        <x:v>6.397024180693724</x:v>
      </x:c>
      <x:c r="S2916" s="81" t="n">
        <x:v>0.14257282903161841</x:v>
      </x:c>
      <x:c r="T2916" s="81" t="n">
        <x:v>0.3103339208095763</x:v>
      </x:c>
    </x:row>
    <x:row r="2917">
      <x:c r="A2917" s="59" t="n">
        <x:v>2914</x:v>
      </x:c>
      <x:c r="B2917" s="193" t="n">
        <x:v>0.631042516976595</x:v>
      </x:c>
      <x:c r="C2917" s="83" t="n">
        <x:v>0.10982588450168305</x:v>
      </x:c>
      <x:c r="D2917" s="83" t="n">
        <x:v>1.9134276783455384</x:v>
      </x:c>
      <x:c r="E2917" s="81" t="n">
        <x:v>0.010041792216917294</x:v>
      </x:c>
      <x:c r="F2917" s="81" t="n">
        <x:v>0.745751715824008</x:v>
      </x:c>
      <x:c r="G2917" s="81" t="n">
        <x:v>-0.016399604854133203</x:v>
      </x:c>
      <x:c r="H2917" s="59" t="n">
        <x:v>0</x:v>
      </x:c>
      <x:c r="I2917" s="81" t="n">
        <x:v>0</x:v>
      </x:c>
      <x:c r="J2917" s="79" t="n">
        <x:v>0.00004187683962909788</x:v>
      </x:c>
      <x:c r="K2917" s="81" t="n">
        <x:v>-0.9521407547096025</x:v>
      </x:c>
      <x:c r="L2917" s="81" t="n">
        <x:v>-0.9546035760681576</x:v>
      </x:c>
      <x:c r="M2917" s="80" t="n">
        <x:v>1312.0931616684368</x:v>
      </x:c>
      <x:c r="N2917" s="82" t="n">
        <x:v>0.2524199095910182</x:v>
      </x:c>
      <x:c r="O2917" s="82" t="n">
        <x:v>0.17782335914332023</x:v>
      </x:c>
      <x:c r="P2917" s="80" t="n">
        <x:v>6372.944529122927</x:v>
      </x:c>
      <x:c r="Q2917" s="81" t="n">
        <x:v>0.03482383656087631</x:v>
      </x:c>
      <x:c r="R2917" s="81" t="n">
        <x:v>118.30207983217494</x:v>
      </x:c>
      <x:c r="S2917" s="81" t="n">
        <x:v>7.897666431195301</x:v>
      </x:c>
      <x:c r="T2917" s="81" t="n">
        <x:v>0.9071437726856595</x:v>
      </x:c>
    </x:row>
    <x:row r="2918">
      <x:c r="A2918" s="59" t="n">
        <x:v>2915</x:v>
      </x:c>
      <x:c r="B2918" s="193" t="n">
        <x:v>0.23292487468570472</x:v>
      </x:c>
      <x:c r="C2918" s="83" t="n">
        <x:v>0.17102786457987865</x:v>
      </x:c>
      <x:c r="D2918" s="83" t="n">
        <x:v>0.5335312930697641</x:v>
      </x:c>
      <x:c r="E2918" s="81" t="n">
        <x:v>0.08450001812514936</x:v>
      </x:c>
      <x:c r="F2918" s="81" t="n">
        <x:v>0.7098557367105969</x:v>
      </x:c>
      <x:c r="G2918" s="81" t="n">
        <x:v>-0.0464071146893812</x:v>
      </x:c>
      <x:c r="H2918" s="59" t="n">
        <x:v>0</x:v>
      </x:c>
      <x:c r="I2918" s="81" t="n">
        <x:v>0</x:v>
      </x:c>
      <x:c r="J2918" s="79" t="n">
        <x:v>0.0003881158876890048</x:v>
      </x:c>
      <x:c r="K2918" s="81" t="n">
        <x:v>-0.5564389854982802</x:v>
      </x:c>
      <x:c r="L2918" s="81" t="n">
        <x:v>-0.8571260523989153</x:v>
      </x:c>
      <x:c r="M2918" s="80" t="n">
        <x:v>4488.281662256476</x:v>
      </x:c>
      <x:c r="N2918" s="82" t="n">
        <x:v>0.15758082249153538</x:v>
      </x:c>
      <x:c r="O2918" s="82" t="n">
        <x:v>0.10566822231574156</x:v>
      </x:c>
      <x:c r="P2918" s="80" t="n">
        <x:v>5215.698745933139</x:v>
      </x:c>
      <x:c r="Q2918" s="81" t="n">
        <x:v>0.002840707938702993</x:v>
      </x:c>
      <x:c r="R2918" s="81" t="n">
        <x:v>286.6615286694767</x:v>
      </x:c>
      <x:c r="S2918" s="81" t="n">
        <x:v>42.67927211525048</x:v>
      </x:c>
      <x:c r="T2918" s="81" t="n">
        <x:v>8.4074374693932</x:v>
      </x:c>
    </x:row>
    <x:row r="2919">
      <x:c r="A2919" s="59" t="n">
        <x:v>2916</x:v>
      </x:c>
      <x:c r="B2919" s="193" t="n">
        <x:v>0.9924325136467815</x:v>
      </x:c>
      <x:c r="C2919" s="83" t="n">
        <x:v>0.1468602775039177</x:v>
      </x:c>
      <x:c r="D2919" s="83" t="n">
        <x:v>0.4559925438018801</x:v>
      </x:c>
      <x:c r="E2919" s="81" t="n">
        <x:v>0.09841741264022308</x:v>
      </x:c>
      <x:c r="F2919" s="81" t="n">
        <x:v>0.38111857237527147</x:v>
      </x:c>
      <x:c r="G2919" s="81" t="n">
        <x:v>-0.011818289972243181</x:v>
      </x:c>
      <x:c r="H2919" s="59" t="n">
        <x:v>0</x:v>
      </x:c>
      <x:c r="I2919" s="81" t="n">
        <x:v>0</x:v>
      </x:c>
      <x:c r="J2919" s="79" t="n">
        <x:v>0.0006365748755251467</x:v>
      </x:c>
      <x:c r="K2919" s="81" t="n">
        <x:v>-0.2724858565426894</x:v>
      </x:c>
      <x:c r="L2919" s="81" t="n">
        <x:v>-0.7918309624472261</x:v>
      </x:c>
      <x:c r="M2919" s="80" t="n">
        <x:v>5789.555802051453</x:v>
      </x:c>
      <x:c r="N2919" s="82" t="n">
        <x:v>0.33850978286029443</x:v>
      </x:c>
      <x:c r="O2919" s="82" t="n">
        <x:v>0.1218715343975565</x:v>
      </x:c>
      <x:c r="P2919" s="80" t="n">
        <x:v>5444.456970573811</x:v>
      </x:c>
      <x:c r="Q2919" s="81" t="n">
        <x:v>0.0029111329672861764</x:v>
      </x:c>
      <x:c r="R2919" s="81" t="n">
        <x:v>282.4820550785253</x:v>
      </x:c>
      <x:c r="S2919" s="81" t="n">
        <x:v>81.43289493696605</x:v>
      </x:c>
      <x:c r="T2919" s="81" t="n">
        <x:v>13.789601586351269</x:v>
      </x:c>
    </x:row>
    <x:row r="2920">
      <x:c r="A2920" s="59" t="n">
        <x:v>2917</x:v>
      </x:c>
      <x:c r="B2920" s="193" t="n">
        <x:v>0.727773565426469</x:v>
      </x:c>
      <x:c r="C2920" s="83" t="n">
        <x:v>2.5515226441504106</x:v>
      </x:c>
      <x:c r="D2920" s="83" t="n">
        <x:v>0.5295055472807033</x:v>
      </x:c>
      <x:c r="E2920" s="81" t="n">
        <x:v>0.018876354366334083</x:v>
      </x:c>
      <x:c r="F2920" s="81" t="n">
        <x:v>0.5712804428534582</x:v>
      </x:c>
      <x:c r="G2920" s="81" t="n">
        <x:v>-0.017794216415245978</x:v>
      </x:c>
      <x:c r="H2920" s="59" t="n">
        <x:v>0</x:v>
      </x:c>
      <x:c r="I2920" s="81" t="n">
        <x:v>0</x:v>
      </x:c>
      <x:c r="J2920" s="79" t="n">
        <x:v>0.00015530722209896165</x:v>
      </x:c>
      <x:c r="K2920" s="81" t="n">
        <x:v>-0.822506031886901</x:v>
      </x:c>
      <x:c r="L2920" s="81" t="n">
        <x:v>-0.8441952825907755</x:v>
      </x:c>
      <x:c r="M2920" s="80" t="n">
        <x:v>7794.469212392997</x:v>
      </x:c>
      <x:c r="N2920" s="82" t="n">
        <x:v>0.2754630590389368</x:v>
      </x:c>
      <x:c r="O2920" s="82" t="n">
        <x:v>0.14865641824697895</x:v>
      </x:c>
      <x:c r="P2920" s="80" t="n">
        <x:v>10459.631649040497</x:v>
      </x:c>
      <x:c r="Q2920" s="81" t="n">
        <x:v>0.014907124416723606</x:v>
      </x:c>
      <x:c r="R2920" s="81" t="n">
        <x:v>9.424810412143112</x:v>
      </x:c>
      <x:c r="S2920" s="81" t="n">
        <x:v>1.5468564738426247</x:v>
      </x:c>
      <x:c r="T2920" s="81" t="n">
        <x:v>3.364293500369304</x:v>
      </x:c>
    </x:row>
    <x:row r="2921">
      <x:c r="A2921" s="59" t="n">
        <x:v>2918</x:v>
      </x:c>
      <x:c r="B2921" s="193" t="n">
        <x:v>0.9770220505073668</x:v>
      </x:c>
      <x:c r="C2921" s="83" t="n">
        <x:v>0.2905196224135893</x:v>
      </x:c>
      <x:c r="D2921" s="83" t="n">
        <x:v>0.43062871225394855</x:v>
      </x:c>
      <x:c r="E2921" s="81" t="n">
        <x:v>-0.010017908988793178</x:v>
      </x:c>
      <x:c r="F2921" s="81" t="n">
        <x:v>0.6338800487923436</x:v>
      </x:c>
      <x:c r="G2921" s="81" t="n">
        <x:v>-0.004852496202315942</x:v>
      </x:c>
      <x:c r="H2921" s="59" t="n">
        <x:v>0</x:v>
      </x:c>
      <x:c r="I2921" s="81" t="n">
        <x:v>0</x:v>
      </x:c>
      <x:c r="J2921" s="79" t="n">
        <x:v>7.877051242008824e-9</x:v>
      </x:c>
      <x:c r="K2921" s="81" t="n">
        <x:v>-0.9999909976557234</x:v>
      </x:c>
      <x:c r="L2921" s="81" t="n">
        <x:v>-0.9999909976557234</x:v>
      </x:c>
      <x:c r="M2921" s="80" t="n">
        <x:v>19.69779716949492</x:v>
      </x:c>
      <x:c r="N2921" s="82" t="n">
        <x:v>0.33483872159430184</x:v>
      </x:c>
      <x:c r="O2921" s="82" t="n">
        <x:v>0.200499687316269</x:v>
      </x:c>
      <x:c r="P2921" s="80" t="n">
        <x:v>491.2637929595439</x:v>
      </x:c>
      <x:c r="Q2921" s="81" t="n">
        <x:v>0.214048439194804</x:v>
      </x:c>
      <x:c r="R2921" s="81" t="n">
        <x:v>22.564004029305885</x:v>
      </x:c>
      <x:c r="S2921" s="81" t="n">
        <x:v>0.0032413816866306384</x:v>
      </x:c>
      <x:c r="T2921" s="81" t="n">
        <x:v>0.0001706341272312501</x:v>
      </x:c>
    </x:row>
    <x:row r="2922">
      <x:c r="A2922" s="59" t="n">
        <x:v>2919</x:v>
      </x:c>
      <x:c r="B2922" s="193" t="n">
        <x:v>0.6109142590314149</x:v>
      </x:c>
      <x:c r="C2922" s="83" t="n">
        <x:v>1.2693969825024656</x:v>
      </x:c>
      <x:c r="D2922" s="83" t="n">
        <x:v>0.7336416006955421</x:v>
      </x:c>
      <x:c r="E2922" s="81" t="n">
        <x:v>-0.06826696667903387</x:v>
      </x:c>
      <x:c r="F2922" s="81" t="n">
        <x:v>0.723771739890799</x:v>
      </x:c>
      <x:c r="G2922" s="81" t="n">
        <x:v>-0.0062042825686009</x:v>
      </x:c>
      <x:c r="H2922" s="59" t="n">
        <x:v>0</x:v>
      </x:c>
      <x:c r="I2922" s="81" t="n">
        <x:v>0</x:v>
      </x:c>
      <x:c r="J2922" s="79" t="n">
        <x:v>3.4315896342221675e-28</x:v>
      </x:c>
      <x:c r="K2922" s="81" t="n">
        <x:v>-1</x:v>
      </x:c>
      <x:c r="L2922" s="81" t="n">
        <x:v>-1</x:v>
      </x:c>
      <x:c r="M2922" s="80" t="n">
        <x:v>0.000002</x:v>
      </x:c>
      <x:c r="N2922" s="82" t="n">
        <x:v>0.24762498114363987</x:v>
      </x:c>
      <x:c r="O2922" s="82" t="n">
        <x:v>0.16930392211097475</x:v>
      </x:c>
      <x:c r="P2922" s="80" t="n">
        <x:v>504.993929663009</x:v>
      </x:c>
      <x:c r="Q2922" s="81" t="n">
        <x:v>92123121844.03084</x:v>
      </x:c>
      <x:c r="R2922" s="81" t="n">
        <x:v>2.633598466013375</x:v>
      </x:c>
      <x:c r="S2922" s="81" t="n">
        <x:v>2.6253823056195526e-10</x:v>
      </x:c>
      <x:c r="T2922" s="81" t="n">
        <x:v>7.433572338955319e-24</x:v>
      </x:c>
    </x:row>
    <x:row r="2923">
      <x:c r="A2923" s="59" t="n">
        <x:v>2920</x:v>
      </x:c>
      <x:c r="B2923" s="193" t="n">
        <x:v>0.439602997340262</x:v>
      </x:c>
      <x:c r="C2923" s="83" t="n">
        <x:v>0.9073659697464412</x:v>
      </x:c>
      <x:c r="D2923" s="83" t="n">
        <x:v>0.7674026336213415</x:v>
      </x:c>
      <x:c r="E2923" s="81" t="n">
        <x:v>-0.14314667034906187</x:v>
      </x:c>
      <x:c r="F2923" s="81" t="n">
        <x:v>0.8809287821408361</x:v>
      </x:c>
      <x:c r="G2923" s="81" t="n">
        <x:v>-0.029209427922808034</x:v>
      </x:c>
      <x:c r="H2923" s="59" t="n">
        <x:v>0</x:v>
      </x:c>
      <x:c r="I2923" s="81" t="n">
        <x:v>0</x:v>
      </x:c>
      <x:c r="J2923" s="79" t="n">
        <x:v>3.2403001910086698e-40</x:v>
      </x:c>
      <x:c r="K2923" s="81" t="n">
        <x:v>-1</x:v>
      </x:c>
      <x:c r="L2923" s="81" t="n">
        <x:v>-1</x:v>
      </x:c>
      <x:c r="M2923" s="80" t="n">
        <x:v>0.000002</x:v>
      </x:c>
      <x:c r="N2923" s="82" t="n">
        <x:v>0.20681542652265036</x:v>
      </x:c>
      <x:c r="O2923" s="82" t="n">
        <x:v>0.1721054691613526</x:v>
      </x:c>
      <x:c r="P2923" s="80" t="n">
        <x:v>236.17312833240084</x:v>
      </x:c>
      <x:c r="Q2923" s="81" t="n">
        <x:v>4.978863957520686e+22</x:v>
      </x:c>
      <x:c r="R2923" s="81" t="n">
        <x:v>1.6674707497156087</x:v>
      </x:c>
      <x:c r="S2923" s="81" t="n">
        <x:v>2.4572775888543196e-10</x:v>
      </x:c>
      <x:c r="T2923" s="81" t="n">
        <x:v>7.019197642276783e-36</x:v>
      </x:c>
    </x:row>
    <x:row r="2924">
      <x:c r="A2924" s="59" t="n">
        <x:v>2921</x:v>
      </x:c>
      <x:c r="B2924" s="193" t="n">
        <x:v>0.8098969381302596</x:v>
      </x:c>
      <x:c r="C2924" s="83" t="n">
        <x:v>0.1372331438273137</x:v>
      </x:c>
      <x:c r="D2924" s="83" t="n">
        <x:v>0.8007421827999186</x:v>
      </x:c>
      <x:c r="E2924" s="81" t="n">
        <x:v>-0.09967966614655044</x:v>
      </x:c>
      <x:c r="F2924" s="81" t="n">
        <x:v>0.30415370465489106</x:v>
      </x:c>
      <x:c r="G2924" s="81" t="n">
        <x:v>-0.05</x:v>
      </x:c>
      <x:c r="H2924" s="59" t="n">
        <x:v>0</x:v>
      </x:c>
      <x:c r="I2924" s="81" t="n">
        <x:v>0</x:v>
      </x:c>
      <x:c r="J2924" s="79" t="n">
        <x:v>5.578625307972498e-31</x:v>
      </x:c>
      <x:c r="K2924" s="81" t="n">
        <x:v>-1</x:v>
      </x:c>
      <x:c r="L2924" s="81" t="n">
        <x:v>-1</x:v>
      </x:c>
      <x:c r="M2924" s="80" t="n">
        <x:v>0.000002</x:v>
      </x:c>
      <x:c r="N2924" s="82" t="n">
        <x:v>0.29502638623021793</x:v>
      </x:c>
      <x:c r="O2924" s="82" t="n">
        <x:v>0.08476662893089106</x:v>
      </x:c>
      <x:c r="P2924" s="80" t="n">
        <x:v>189.8987857213202</x:v>
      </x:c>
      <x:c r="Q2924" s="81" t="n">
        <x:v>39950960798367.23</x:v>
      </x:c>
      <x:c r="R2924" s="81" t="n">
        <x:v>13.103592334807871</x:v>
      </x:c>
      <x:c r="S2924" s="81" t="n">
        <x:v>3.3045919179145217e-10</x:v>
      </x:c>
      <x:c r="T2924" s="81" t="n">
        <x:v>1.2084520353244453e-26</x:v>
      </x:c>
    </x:row>
    <x:row r="2925">
      <x:c r="A2925" s="59" t="n">
        <x:v>2922</x:v>
      </x:c>
      <x:c r="B2925" s="193" t="n">
        <x:v>0.32288687732070687</x:v>
      </x:c>
      <x:c r="C2925" s="83" t="n">
        <x:v>2.893324169673721</x:v>
      </x:c>
      <x:c r="D2925" s="83" t="n">
        <x:v>0.6827725042457318</x:v>
      </x:c>
      <x:c r="E2925" s="81" t="n">
        <x:v>-0.13954637623249888</x:v>
      </x:c>
      <x:c r="F2925" s="81" t="n">
        <x:v>0.656413449230604</x:v>
      </x:c>
      <x:c r="G2925" s="81" t="n">
        <x:v>0.0110041352798526</x:v>
      </x:c>
      <x:c r="H2925" s="59" t="n">
        <x:v>0</x:v>
      </x:c>
      <x:c r="I2925" s="81" t="n">
        <x:v>0</x:v>
      </x:c>
      <x:c r="J2925" s="79" t="n">
        <x:v>4.308156222046531e-43</x:v>
      </x:c>
      <x:c r="K2925" s="81" t="n">
        <x:v>-1</x:v>
      </x:c>
      <x:c r="L2925" s="81" t="n">
        <x:v>-1</x:v>
      </x:c>
      <x:c r="M2925" s="80" t="n">
        <x:v>0.000002</x:v>
      </x:c>
      <x:c r="N2925" s="82" t="n">
        <x:v>0.17901145830674225</x:v>
      </x:c>
      <x:c r="O2925" s="82" t="n">
        <x:v>0.1110016010874387</x:v>
      </x:c>
      <x:c r="P2925" s="80" t="n">
        <x:v>495.0281774182129</x:v>
      </x:c>
      <x:c r="Q2925" s="81" t="n">
        <x:v>3.829277139757418e+25</x:v>
      </x:c>
      <x:c r="R2925" s="81" t="n">
        <x:v>0.8323794974874813</x:v>
      </x:c>
      <x:c r="S2925" s="81" t="n">
        <x:v>1.755039529788516e-10</x:v>
      </x:c>
      <x:c r="T2925" s="81" t="n">
        <x:v>9.33240694188144e-39</x:v>
      </x:c>
    </x:row>
    <x:row r="2926">
      <x:c r="A2926" s="59" t="n">
        <x:v>2923</x:v>
      </x:c>
      <x:c r="B2926" s="193" t="n">
        <x:v>0.9178730368614196</x:v>
      </x:c>
      <x:c r="C2926" s="83" t="n">
        <x:v>1.2984027353048577</x:v>
      </x:c>
      <x:c r="D2926" s="83" t="n">
        <x:v>0.6271803703157528</x:v>
      </x:c>
      <x:c r="E2926" s="81" t="n">
        <x:v>0.018893900489523986</x:v>
      </x:c>
      <x:c r="F2926" s="81" t="n">
        <x:v>0.3362474966910668</x:v>
      </x:c>
      <x:c r="G2926" s="81" t="n">
        <x:v>0.000027024248848971344</x:v>
      </x:c>
      <x:c r="H2926" s="59" t="n">
        <x:v>0</x:v>
      </x:c>
      <x:c r="I2926" s="81" t="n">
        <x:v>0</x:v>
      </x:c>
      <x:c r="J2926" s="79" t="n">
        <x:v>0.0002870425562251682</x:v>
      </x:c>
      <x:c r="K2926" s="81" t="n">
        <x:v>-0.6719513643140935</x:v>
      </x:c>
      <x:c r="L2926" s="81" t="n">
        <x:v>-0.7787536600715436</x:v>
      </x:c>
      <x:c r="M2926" s="80" t="n">
        <x:v>6934.410588917507</x:v>
      </x:c>
      <x:c r="N2926" s="82" t="n">
        <x:v>0.320748317499831</x:v>
      </x:c>
      <x:c r="O2926" s="82" t="n">
        <x:v>0.10188127904087572</x:v>
      </x:c>
      <x:c r="P2926" s="80" t="n">
        <x:v>10226.389527042826</x:v>
      </x:c>
      <x:c r="Q2926" s="81" t="n">
        <x:v>0.010774828100074936</x:v>
      </x:c>
      <x:c r="R2926" s="81" t="n">
        <x:v>18.74779764412834</x:v>
      </x:c>
      <x:c r="S2926" s="81" t="n">
        <x:v>4.9480723110911615</x:v>
      </x:c>
      <x:c r="T2926" s="81" t="n">
        <x:v>6.217968444650844</x:v>
      </x:c>
    </x:row>
    <x:row r="2927">
      <x:c r="A2927" s="59" t="n">
        <x:v>2924</x:v>
      </x:c>
      <x:c r="B2927" s="193" t="n">
        <x:v>0.5390515694394709</x:v>
      </x:c>
      <x:c r="C2927" s="83" t="n">
        <x:v>0.14731316198109956</x:v>
      </x:c>
      <x:c r="D2927" s="83" t="n">
        <x:v>0.9552351810300823</x:v>
      </x:c>
      <x:c r="E2927" s="81" t="n">
        <x:v>0.08069717334491777</x:v>
      </x:c>
      <x:c r="F2927" s="81" t="n">
        <x:v>0.8505759825813585</x:v>
      </x:c>
      <x:c r="G2927" s="81" t="n">
        <x:v>0.018649892454462785</x:v>
      </x:c>
      <x:c r="H2927" s="59" t="n">
        <x:v>38</x:v>
      </x:c>
      <x:c r="I2927" s="81" t="n">
        <x:v>0.22444706996902825</x:v>
      </x:c>
      <x:c r="J2927" s="79" t="n">
        <x:v>0.00187419931821841</x:v>
      </x:c>
      <x:c r="K2927" s="81" t="n">
        <x:v>1.1419420779638974</x:v>
      </x:c>
      <x:c r="L2927" s="81" t="n">
        <x:v>-0.8404484846976478</x:v>
      </x:c>
      <x:c r="M2927" s="80" t="n">
        <x:v>11567.058750270857</x:v>
      </x:c>
      <x:c r="N2927" s="82" t="n">
        <x:v>0.23050594105740893</x:v>
      </x:c>
      <x:c r="O2927" s="82" t="n">
        <x:v>0.18521074588662398</x:v>
      </x:c>
      <x:c r="P2927" s="80" t="n">
        <x:v>19518.247753917978</x:v>
      </x:c>
      <x:c r="Q2927" s="81" t="n">
        <x:v>0.005804518046895376</x:v>
      </x:c>
      <x:c r="R2927" s="81" t="n">
        <x:v>373.6562233871494</x:v>
      </x:c>
      <x:c r="S2927" s="81" t="n">
        <x:v>241.84515416063007</x:v>
      </x:c>
      <x:c r="T2927" s="81" t="n">
        <x:v>40.59924902050601</x:v>
      </x:c>
    </x:row>
    <x:row r="2928">
      <x:c r="A2928" s="59" t="n">
        <x:v>2925</x:v>
      </x:c>
      <x:c r="B2928" s="193" t="n">
        <x:v>0.9322659173980357</x:v>
      </x:c>
      <x:c r="C2928" s="83" t="n">
        <x:v>0.16466480051830157</x:v>
      </x:c>
      <x:c r="D2928" s="83" t="n">
        <x:v>1.228305322920872</x:v>
      </x:c>
      <x:c r="E2928" s="81" t="n">
        <x:v>-0.0202411820493806</x:v>
      </x:c>
      <x:c r="F2928" s="81" t="n">
        <x:v>0.6753630671300925</x:v>
      </x:c>
      <x:c r="G2928" s="81" t="n">
        <x:v>-0.006954935161325293</x:v>
      </x:c>
      <x:c r="H2928" s="59" t="n">
        <x:v>77</x:v>
      </x:c>
      <x:c r="I2928" s="81" t="n">
        <x:v>0.17722722161561252</x:v>
      </x:c>
      <x:c r="J2928" s="79" t="n">
        <x:v>2.2573067878689227e-19</x:v>
      </x:c>
      <x:c r="K2928" s="81" t="n">
        <x:v>-0.9999999999999998</x:v>
      </x:c>
      <x:c r="L2928" s="81" t="n">
        <x:v>-0.9999999999999998</x:v>
      </x:c>
      <x:c r="M2928" s="80" t="n">
        <x:v>0.00009859009972368773</x:v>
      </x:c>
      <x:c r="N2928" s="82" t="n">
        <x:v>0.32417697151016317</x:v>
      </x:c>
      <x:c r="O2928" s="82" t="n">
        <x:v>0.2068189884733802</x:v>
      </x:c>
      <x:c r="P2928" s="80" t="n">
        <x:v>604.5488790960067</x:v>
      </x:c>
      <x:c r="Q2928" s="81" t="n">
        <x:v>22236.89268952186</x:v>
      </x:c>
      <x:c r="R2928" s="81" t="n">
        <x:v>23.034532829552788</x:v>
      </x:c>
      <x:c r="S2928" s="81" t="n">
        <x:v>4.3726331660632673e-8</x:v>
      </x:c>
      <x:c r="T2928" s="81" t="n">
        <x:v>4.889819322071115e-15</x:v>
      </x:c>
    </x:row>
    <x:row r="2929">
      <x:c r="A2929" s="59" t="n">
        <x:v>2926</x:v>
      </x:c>
      <x:c r="B2929" s="193" t="n">
        <x:v>0.44514360167086126</x:v>
      </x:c>
      <x:c r="C2929" s="83" t="n">
        <x:v>0.24287443841697434</x:v>
      </x:c>
      <x:c r="D2929" s="83" t="n">
        <x:v>1.4843917368433541</x:v>
      </x:c>
      <x:c r="E2929" s="81" t="n">
        <x:v>-0.05822037014508689</x:v>
      </x:c>
      <x:c r="F2929" s="81" t="n">
        <x:v>0.7443403313984163</x:v>
      </x:c>
      <x:c r="G2929" s="81" t="n">
        <x:v>0.010330364581083835</x:v>
      </x:c>
      <x:c r="H2929" s="59" t="n">
        <x:v>0</x:v>
      </x:c>
      <x:c r="I2929" s="81" t="n">
        <x:v>0</x:v>
      </x:c>
      <x:c r="J2929" s="79" t="n">
        <x:v>4.6884459465326694e-40</x:v>
      </x:c>
      <x:c r="K2929" s="81" t="n">
        <x:v>-1</x:v>
      </x:c>
      <x:c r="L2929" s="81" t="n">
        <x:v>-1</x:v>
      </x:c>
      <x:c r="M2929" s="80" t="n">
        <x:v>0.000002</x:v>
      </x:c>
      <x:c r="N2929" s="82" t="n">
        <x:v>0.20813530236053057</x:v>
      </x:c>
      <x:c r="O2929" s="82" t="n">
        <x:v>0.14634848857412516</x:v>
      </x:c>
      <x:c r="P2929" s="80" t="n">
        <x:v>351.7453177890184</x:v>
      </x:c>
      <x:c r="Q2929" s="81" t="n">
        <x:v>7.831898360240525e+22</x:v>
      </x:c>
      <x:c r="R2929" s="81" t="n">
        <x:v>6.973453968297153</x:v>
      </x:c>
      <x:c r="S2929" s="81" t="n">
        <x:v>1.1855780367074124e-9</x:v>
      </x:c>
      <x:c r="T2929" s="81" t="n">
        <x:v>1.0156197510700388e-35</x:v>
      </x:c>
    </x:row>
    <x:row r="2930">
      <x:c r="A2930" s="59" t="n">
        <x:v>2927</x:v>
      </x:c>
      <x:c r="B2930" s="193" t="n">
        <x:v>0.8939553774893285</x:v>
      </x:c>
      <x:c r="C2930" s="83" t="n">
        <x:v>1.4980970516595757</x:v>
      </x:c>
      <x:c r="D2930" s="83" t="n">
        <x:v>1.0083195294977796</x:v>
      </x:c>
      <x:c r="E2930" s="81" t="n">
        <x:v>-0.001917724141116276</x:v>
      </x:c>
      <x:c r="F2930" s="81" t="n">
        <x:v>0.49205723183695227</x:v>
      </x:c>
      <x:c r="G2930" s="81" t="n">
        <x:v>0.009288506410057906</x:v>
      </x:c>
      <x:c r="H2930" s="59" t="n">
        <x:v>64</x:v>
      </x:c>
      <x:c r="I2930" s="81" t="n">
        <x:v>0.22088653976097705</x:v>
      </x:c>
      <x:c r="J2930" s="79" t="n">
        <x:v>3.411494711148222e-7</x:v>
      </x:c>
      <x:c r="K2930" s="81" t="n">
        <x:v>-0.9996101148901545</x:v>
      </x:c>
      <x:c r="L2930" s="81" t="n">
        <x:v>-0.9996101148901545</x:v>
      </x:c>
      <x:c r="M2930" s="80" t="n">
        <x:v>249.538784386994</x:v>
      </x:c>
      <x:c r="N2930" s="82" t="n">
        <x:v>0.315050682581286</x:v>
      </x:c>
      <x:c r="O2930" s="82" t="n">
        <x:v>0.14644244991272953</x:v>
      </x:c>
      <x:c r="P2930" s="80" t="n">
        <x:v>4267.649361098754</x:v>
      </x:c>
      <x:c r="Q2930" s="81" t="n">
        <x:v>0.22347697931201135</x:v>
      </x:c>
      <x:c r="R2930" s="81" t="n">
        <x:v>8.850115701124139</x:v>
      </x:c>
      <x:c r="S2930" s="81" t="n">
        <x:v>0.05388489912395289</x:v>
      </x:c>
      <x:c r="T2930" s="81" t="n">
        <x:v>0.00739004234841501</x:v>
      </x:c>
    </x:row>
    <x:row r="2931">
      <x:c r="A2931" s="59" t="n">
        <x:v>2928</x:v>
      </x:c>
      <x:c r="B2931" s="193" t="n">
        <x:v>0.5754196543246508</x:v>
      </x:c>
      <x:c r="C2931" s="83" t="n">
        <x:v>0.12024977111032695</x:v>
      </x:c>
      <x:c r="D2931" s="83" t="n">
        <x:v>0.31284852811493447</x:v>
      </x:c>
      <x:c r="E2931" s="81" t="n">
        <x:v>-0.10125184019947286</x:v>
      </x:c>
      <x:c r="F2931" s="81" t="n">
        <x:v>0.7760273224906996</x:v>
      </x:c>
      <x:c r="G2931" s="81" t="n">
        <x:v>0.01407782204222336</x:v>
      </x:c>
      <x:c r="H2931" s="59" t="n">
        <x:v>0</x:v>
      </x:c>
      <x:c r="I2931" s="81" t="n">
        <x:v>0</x:v>
      </x:c>
      <x:c r="J2931" s="79" t="n">
        <x:v>4.115059703316911e-24</x:v>
      </x:c>
      <x:c r="K2931" s="81" t="n">
        <x:v>-1</x:v>
      </x:c>
      <x:c r="L2931" s="81" t="n">
        <x:v>-1</x:v>
      </x:c>
      <x:c r="M2931" s="80" t="n">
        <x:v>0.000002</x:v>
      </x:c>
      <x:c r="N2931" s="82" t="n">
        <x:v>0.2391695007786505</x:v>
      </x:c>
      <x:c r="O2931" s="82" t="n">
        <x:v>0.17532899810934954</x:v>
      </x:c>
      <x:c r="P2931" s="80" t="n">
        <x:v>136.53932899729887</x:v>
      </x:c>
      <x:c r="Q2931" s="81" t="n">
        <x:v>5339522.025932655</x:v>
      </x:c>
      <x:c r="R2931" s="81" t="n">
        <x:v>27.462020169775897</x:v>
      </x:c>
      <x:c r="S2931" s="81" t="n">
        <x:v>2.8999509837730115e-10</x:v>
      </x:c>
      <x:c r="T2931" s="81" t="n">
        <x:v>8.91411772511079e-20</x:v>
      </x:c>
    </x:row>
    <x:row r="2932">
      <x:c r="A2932" s="59" t="n">
        <x:v>2929</x:v>
      </x:c>
      <x:c r="B2932" s="193" t="n">
        <x:v>0.5865559553727508</x:v>
      </x:c>
      <x:c r="C2932" s="83" t="n">
        <x:v>0.9437908818537203</x:v>
      </x:c>
      <x:c r="D2932" s="83" t="n">
        <x:v>0.9046148395406368</x:v>
      </x:c>
      <x:c r="E2932" s="81" t="n">
        <x:v>0.005003774680068318</x:v>
      </x:c>
      <x:c r="F2932" s="81" t="n">
        <x:v>0.8198706872295588</x:v>
      </x:c>
      <x:c r="G2932" s="81" t="n">
        <x:v>0.03972877018807999</x:v>
      </x:c>
      <x:c r="H2932" s="59" t="n">
        <x:v>0</x:v>
      </x:c>
      <x:c r="I2932" s="81" t="n">
        <x:v>0</x:v>
      </x:c>
      <x:c r="J2932" s="79" t="n">
        <x:v>0.0000184880197013916</x:v>
      </x:c>
      <x:c r="K2932" s="81" t="n">
        <x:v>-0.978870834626981</x:v>
      </x:c>
      <x:c r="L2932" s="81" t="n">
        <x:v>-0.9842537129994738</x:v>
      </x:c>
      <x:c r="M2932" s="80" t="n">
        <x:v>1456.7501594216944</x:v>
      </x:c>
      <x:c r="N2932" s="82" t="n">
        <x:v>0.2418223764939525</x:v>
      </x:c>
      <x:c r="O2932" s="82" t="n">
        <x:v>0.1872892222167671</x:v>
      </x:c>
      <x:c r="P2932" s="80" t="n">
        <x:v>4995.744060080221</x:v>
      </x:c>
      <x:c r="Q2932" s="81" t="n">
        <x:v>0.06320512615866747</x:v>
      </x:c>
      <x:c r="R2932" s="81" t="n">
        <x:v>13.283969199166686</x:v>
      </x:c>
      <x:c r="S2932" s="81" t="n">
        <x:v>0.8419868417298568</x:v>
      </x:c>
      <x:c r="T2932" s="81" t="n">
        <x:v>0.4004908701313205</x:v>
      </x:c>
    </x:row>
    <x:row r="2933">
      <x:c r="A2933" s="59" t="n">
        <x:v>2930</x:v>
      </x:c>
      <x:c r="B2933" s="193" t="n">
        <x:v>0.512511508539319</x:v>
      </x:c>
      <x:c r="C2933" s="83" t="n">
        <x:v>1.1819414625844136</x:v>
      </x:c>
      <x:c r="D2933" s="83" t="n">
        <x:v>0.30400567852634247</x:v>
      </x:c>
      <x:c r="E2933" s="81" t="n">
        <x:v>-0.038187712893631424</x:v>
      </x:c>
      <x:c r="F2933" s="81" t="n">
        <x:v>0.5993759516859427</x:v>
      </x:c>
      <x:c r="G2933" s="81" t="n">
        <x:v>-0.013029068273459203</x:v>
      </x:c>
      <x:c r="H2933" s="59" t="n">
        <x:v>0</x:v>
      </x:c>
      <x:c r="I2933" s="81" t="n">
        <x:v>0</x:v>
      </x:c>
      <x:c r="J2933" s="79" t="n">
        <x:v>2.2704132498635256e-11</x:v>
      </x:c>
      <x:c r="K2933" s="81" t="n">
        <x:v>-0.99999997405242</x:v>
      </x:c>
      <x:c r="L2933" s="81" t="n">
        <x:v>-0.99999997405242</x:v>
      </x:c>
      <x:c r="M2933" s="80" t="n">
        <x:v>1.803567513508953</x:v>
      </x:c>
      <x:c r="N2933" s="82" t="n">
        <x:v>0.2241836009248508</x:v>
      </x:c>
      <x:c r="O2933" s="82" t="n">
        <x:v>0.1269328690946266</x:v>
      </x:c>
      <x:c r="P2933" s="80" t="n">
        <x:v>594.2436142538184</x:v>
      </x:c>
      <x:c r="Q2933" s="81" t="n">
        <x:v>2.174671372189425</x:v>
      </x:c>
      <x:c r="R2933" s="81" t="n">
        <x:v>6.738933095787973</x:v>
      </x:c>
      <x:c r="S2933" s="81" t="n">
        <x:v>0.00009602922572651293</x:v>
      </x:c>
      <x:c r="T2933" s="81" t="n">
        <x:v>4.918210780179345e-7</x:v>
      </x:c>
    </x:row>
    <x:row r="2934">
      <x:c r="A2934" s="59" t="n">
        <x:v>2931</x:v>
      </x:c>
      <x:c r="B2934" s="193" t="n">
        <x:v>0.23361860476434232</x:v>
      </x:c>
      <x:c r="C2934" s="83" t="n">
        <x:v>0.7110435069895809</x:v>
      </x:c>
      <x:c r="D2934" s="83" t="n">
        <x:v>0.7507975320615817</x:v>
      </x:c>
      <x:c r="E2934" s="81" t="n">
        <x:v>-0.10982996738889755</x:v>
      </x:c>
      <x:c r="F2934" s="81" t="n">
        <x:v>0.7786777527071536</x:v>
      </x:c>
      <x:c r="G2934" s="81" t="n">
        <x:v>0.005664408690060078</x:v>
      </x:c>
      <x:c r="H2934" s="59" t="n">
        <x:v>0</x:v>
      </x:c>
      <x:c r="I2934" s="81" t="n">
        <x:v>0</x:v>
      </x:c>
      <x:c r="J2934" s="79" t="n">
        <x:v>2.2990762795793848e-38</x:v>
      </x:c>
      <x:c r="K2934" s="81" t="n">
        <x:v>-1</x:v>
      </x:c>
      <x:c r="L2934" s="81" t="n">
        <x:v>-1</x:v>
      </x:c>
      <x:c r="M2934" s="80" t="n">
        <x:v>0.000002</x:v>
      </x:c>
      <x:c r="N2934" s="82" t="n">
        <x:v>0.1577460820037057</x:v>
      </x:c>
      <x:c r="O2934" s="82" t="n">
        <x:v>0.11603454135806468</x:v>
      </x:c>
      <x:c r="P2934" s="80" t="n">
        <x:v>262.8409110974562</x:v>
      </x:c>
      <x:c r="Q2934" s="81" t="n">
        <x:v>887926490745809800000</x:v>
      </x:c>
      <x:c r="R2934" s="81" t="n">
        <x:v>2.745018837599306</x:v>
      </x:c>
      <x:c r="S2934" s="81" t="n">
        <x:v>4.117292308382022e-10</x:v>
      </x:c>
      <x:c r="T2934" s="81" t="n">
        <x:v>4.9803011603115134e-34</x:v>
      </x:c>
    </x:row>
    <x:row r="2935">
      <x:c r="A2935" s="59" t="n">
        <x:v>2932</x:v>
      </x:c>
      <x:c r="B2935" s="193" t="n">
        <x:v>0.7223560025915503</x:v>
      </x:c>
      <x:c r="C2935" s="83" t="n">
        <x:v>1.4619481679336985</x:v>
      </x:c>
      <x:c r="D2935" s="83" t="n">
        <x:v>1.05740925287205</x:v>
      </x:c>
      <x:c r="E2935" s="81" t="n">
        <x:v>0.07293142908253497</x:v>
      </x:c>
      <x:c r="F2935" s="81" t="n">
        <x:v>0.7180534509709104</x:v>
      </x:c>
      <x:c r="G2935" s="81" t="n">
        <x:v>-0.03556083359579159</x:v>
      </x:c>
      <x:c r="H2935" s="59" t="n">
        <x:v>0</x:v>
      </x:c>
      <x:c r="I2935" s="81" t="n">
        <x:v>0</x:v>
      </x:c>
      <x:c r="J2935" s="79" t="n">
        <x:v>0.0023192613291028253</x:v>
      </x:c>
      <x:c r="K2935" s="81" t="n">
        <x:v>1.6505843761175147</x:v>
      </x:c>
      <x:c r="L2935" s="81" t="n">
        <x:v>-0.7679224213175392</x:v>
      </x:c>
      <x:c r="M2935" s="80" t="n">
        <x:v>25481.57377113356</x:v>
      </x:c>
      <x:c r="N2935" s="82" t="n">
        <x:v>0.27417249399235577</x:v>
      </x:c>
      <x:c r="O2935" s="82" t="n">
        <x:v>0.18597372853609415</x:v>
      </x:c>
      <x:c r="P2935" s="80" t="n">
        <x:v>48782.598695230314</x:v>
      </x:c>
      <x:c r="Q2935" s="81" t="n">
        <x:v>0.006166815867492838</x:v>
      </x:c>
      <x:c r="R2935" s="81" t="n">
        <x:v>109.33251618646885</x:v>
      </x:c>
      <x:c r="S2935" s="81" t="n">
        <x:v>32.74476601860132</x:v>
      </x:c>
      <x:c r="T2935" s="81" t="n">
        <x:v>50.24026384418008</x:v>
      </x:c>
    </x:row>
    <x:row r="2936">
      <x:c r="A2936" s="59" t="n">
        <x:v>2933</x:v>
      </x:c>
      <x:c r="B2936" s="193" t="n">
        <x:v>0.9047071188688278</x:v>
      </x:c>
      <x:c r="C2936" s="83" t="n">
        <x:v>0.9936466271358433</x:v>
      </x:c>
      <x:c r="D2936" s="83" t="n">
        <x:v>0.7310074786729308</x:v>
      </x:c>
      <x:c r="E2936" s="81" t="n">
        <x:v>-0.0218161930148025</x:v>
      </x:c>
      <x:c r="F2936" s="81" t="n">
        <x:v>0.7154384580557235</x:v>
      </x:c>
      <x:c r="G2936" s="81" t="n">
        <x:v>-0.004756664948969774</x:v>
      </x:c>
      <x:c r="H2936" s="59" t="n">
        <x:v>0</x:v>
      </x:c>
      <x:c r="I2936" s="81" t="n">
        <x:v>0</x:v>
      </x:c>
      <x:c r="J2936" s="79" t="n">
        <x:v>2.1684549295146398e-14</x:v>
      </x:c>
      <x:c r="K2936" s="81" t="n">
        <x:v>-0.9999999999752177</x:v>
      </x:c>
      <x:c r="L2936" s="81" t="n">
        <x:v>-0.9999999999752177</x:v>
      </x:c>
      <x:c r="M2936" s="80" t="n">
        <x:v>0.05144842572622586</x:v>
      </x:c>
      <x:c r="N2936" s="82" t="n">
        <x:v>0.3176119489730337</x:v>
      </x:c>
      <x:c r="O2936" s="82" t="n">
        <x:v>0.21465452913153613</x:v>
      </x:c>
      <x:c r="P2936" s="80" t="n">
        <x:v>912.0180162232617</x:v>
      </x:c>
      <x:c r="Q2936" s="81" t="n">
        <x:v>112.22853445642774</x:v>
      </x:c>
      <x:c r="R2936" s="81" t="n">
        <x:v>6.2520402091418585</x:v>
      </x:c>
      <x:c r="S2936" s="81" t="n">
        <x:v>0.000008029711572314457</x:v>
      </x:c>
      <x:c r="T2936" s="81" t="n">
        <x:v>4.697346798567622e-10</x:v>
      </x:c>
    </x:row>
    <x:row r="2937">
      <x:c r="A2937" s="59" t="n">
        <x:v>2934</x:v>
      </x:c>
      <x:c r="B2937" s="193" t="n">
        <x:v>0.8286990018561482</x:v>
      </x:c>
      <x:c r="C2937" s="83" t="n">
        <x:v>0.24455351709159034</x:v>
      </x:c>
      <x:c r="D2937" s="83" t="n">
        <x:v>0.9007552144472322</x:v>
      </x:c>
      <x:c r="E2937" s="81" t="n">
        <x:v>-0.05011817314449309</x:v>
      </x:c>
      <x:c r="F2937" s="81" t="n">
        <x:v>0.8409318260033615</x:v>
      </x:c>
      <x:c r="G2937" s="81" t="n">
        <x:v>-0.023936296443330174</x:v>
      </x:c>
      <x:c r="H2937" s="59" t="n">
        <x:v>0</x:v>
      </x:c>
      <x:c r="I2937" s="81" t="n">
        <x:v>0</x:v>
      </x:c>
      <x:c r="J2937" s="79" t="n">
        <x:v>1.964648847213795e-25</x:v>
      </x:c>
      <x:c r="K2937" s="81" t="n">
        <x:v>-1</x:v>
      </x:c>
      <x:c r="L2937" s="81" t="n">
        <x:v>-1</x:v>
      </x:c>
      <x:c r="M2937" s="80" t="n">
        <x:v>0.000002</x:v>
      </x:c>
      <x:c r="N2937" s="82" t="n">
        <x:v>0.299505390348419</x:v>
      </x:c>
      <x:c r="O2937" s="82" t="n">
        <x:v>0.23792297081359393</x:v>
      </x:c>
      <x:c r="P2937" s="80" t="n">
        <x:v>323.9999665971884</x:v>
      </x:c>
      <x:c r="Q2937" s="81" t="n">
        <x:v>215453128.91627187</x:v>
      </x:c>
      <x:c r="R2937" s="81" t="n">
        <x:v>10.532506055640148</x:v>
      </x:c>
      <x:c r="S2937" s="81" t="n">
        <x:v>4.721517819256227e-10</x:v>
      </x:c>
      <x:c r="T2937" s="81" t="n">
        <x:v>4.255858328969241e-21</x:v>
      </x:c>
    </x:row>
    <x:row r="2938">
      <x:c r="A2938" s="59" t="n">
        <x:v>2935</x:v>
      </x:c>
      <x:c r="B2938" s="193" t="n">
        <x:v>0.6133539980277419</x:v>
      </x:c>
      <x:c r="C2938" s="83" t="n">
        <x:v>2.711881359187499</x:v>
      </x:c>
      <x:c r="D2938" s="83" t="n">
        <x:v>0.6324682958379494</x:v>
      </x:c>
      <x:c r="E2938" s="81" t="n">
        <x:v>0.03564508858672603</x:v>
      </x:c>
      <x:c r="F2938" s="81" t="n">
        <x:v>0.8958995494875126</x:v>
      </x:c>
      <x:c r="G2938" s="81" t="n">
        <x:v>0.04016343574379679</x:v>
      </x:c>
      <x:c r="H2938" s="59" t="n">
        <x:v>13</x:v>
      </x:c>
      <x:c r="I2938" s="81" t="n">
        <x:v>0.20347689874470234</x:v>
      </x:c>
      <x:c r="J2938" s="79" t="n">
        <x:v>0.0017179836737551443</x:v>
      </x:c>
      <x:c r="K2938" s="81" t="n">
        <x:v>0.9634099128630222</x:v>
      </x:c>
      <x:c r="L2938" s="81" t="n">
        <x:v>-0.6035004952004337</x:v>
      </x:c>
      <x:c r="M2938" s="80" t="n">
        <x:v>29270.733843579994</x:v>
      </x:c>
      <x:c r="N2938" s="82" t="n">
        <x:v>0.24820617271767106</x:v>
      </x:c>
      <x:c r="O2938" s="82" t="n">
        <x:v>0.21005974694007218</x:v>
      </x:c>
      <x:c r="P2938" s="80" t="n">
        <x:v>38902.349137483434</x:v>
      </x:c>
      <x:c r="Q2938" s="81" t="n">
        <x:v>0.013224734674049906</x:v>
      </x:c>
      <x:c r="R2938" s="81" t="n">
        <x:v>12.009373936722534</x:v>
      </x:c>
      <x:c r="S2938" s="81" t="n">
        <x:v>15.393760014258653</x:v>
      </x:c>
      <x:c r="T2938" s="81" t="n">
        <x:v>37.21527710844075</x:v>
      </x:c>
    </x:row>
    <x:row r="2939">
      <x:c r="A2939" s="59" t="n">
        <x:v>2936</x:v>
      </x:c>
      <x:c r="B2939" s="193" t="n">
        <x:v>0.46657340582460166</x:v>
      </x:c>
      <x:c r="C2939" s="83" t="n">
        <x:v>1.4718125107837339</x:v>
      </x:c>
      <x:c r="D2939" s="83" t="n">
        <x:v>0.8568765559844049</x:v>
      </x:c>
      <x:c r="E2939" s="81" t="n">
        <x:v>-0.19778889993679483</x:v>
      </x:c>
      <x:c r="F2939" s="81" t="n">
        <x:v>0.5907613366609439</x:v>
      </x:c>
      <x:c r="G2939" s="81" t="n">
        <x:v>0.017656033272085824</x:v>
      </x:c>
      <x:c r="H2939" s="59" t="n">
        <x:v>0</x:v>
      </x:c>
      <x:c r="I2939" s="81" t="n">
        <x:v>0</x:v>
      </x:c>
      <x:c r="J2939" s="79" t="n">
        <x:v>3.318339493391619e-64</x:v>
      </x:c>
      <x:c r="K2939" s="81" t="n">
        <x:v>-1</x:v>
      </x:c>
      <x:c r="L2939" s="81" t="n">
        <x:v>-1</x:v>
      </x:c>
      <x:c r="M2939" s="80" t="n">
        <x:v>0.000002</x:v>
      </x:c>
      <x:c r="N2939" s="82" t="n">
        <x:v>0.21324028351877936</x:v>
      </x:c>
      <x:c r="O2939" s="82" t="n">
        <x:v>0.11900145120651</x:v>
      </x:c>
      <x:c r="P2939" s="80" t="n">
        <x:v>250.2162051242432</x:v>
      </x:c>
      <x:c r="Q2939" s="81" t="n">
        <x:v>3.686823561675031e+46</x:v>
      </x:c>
      <x:c r="R2939" s="81" t="n">
        <x:v>0.789638618191632</x:v>
      </x:c>
      <x:c r="S2939" s="81" t="n">
        <x:v>3.7573860320989665e-10</x:v>
      </x:c>
      <x:c r="T2939" s="81" t="n">
        <x:v>7.188247808928412e-60</x:v>
      </x:c>
    </x:row>
    <x:row r="2940">
      <x:c r="A2940" s="59" t="n">
        <x:v>2937</x:v>
      </x:c>
      <x:c r="B2940" s="193" t="n">
        <x:v>0.29274551514536146</x:v>
      </x:c>
      <x:c r="C2940" s="83" t="n">
        <x:v>0.5078679847267592</x:v>
      </x:c>
      <x:c r="D2940" s="83" t="n">
        <x:v>1.1784130170362332</x:v>
      </x:c>
      <x:c r="E2940" s="81" t="n">
        <x:v>0.16792719427770414</x:v>
      </x:c>
      <x:c r="F2940" s="81" t="n">
        <x:v>0.6466936559882015</x:v>
      </x:c>
      <x:c r="G2940" s="81" t="n">
        <x:v>0.01884693820027271</x:v>
      </x:c>
      <x:c r="H2940" s="59" t="n">
        <x:v>0</x:v>
      </x:c>
      <x:c r="I2940" s="81" t="n">
        <x:v>0</x:v>
      </x:c>
      <x:c r="J2940" s="79" t="n">
        <x:v>0.08560986507668326</x:v>
      </x:c>
      <x:c r="K2940" s="81" t="n">
        <x:v>96.83984580192374</x:v>
      </x:c>
      <x:c r="L2940" s="81" t="n">
        <x:v>-0.7978121727524712</x:v>
      </x:c>
      <x:c r="M2940" s="80" t="n">
        <x:v>145224.72107205074</x:v>
      </x:c>
      <x:c r="N2940" s="82" t="n">
        <x:v>0.17183122068603396</x:v>
      </x:c>
      <x:c r="O2940" s="82" t="n">
        <x:v>0.10497155187259735</x:v>
      </x:c>
      <x:c r="P2940" s="80" t="n">
        <x:v>237496.65087699663</x:v>
      </x:c>
      <x:c r="Q2940" s="81" t="n">
        <x:v>0.0019887140643882516</x:v>
      </x:c>
      <x:c r="R2940" s="81" t="n">
        <x:v>2128.8648716159055</x:v>
      </x:c>
      <x:c r="S2940" s="81" t="n">
        <x:v>3198.8943348590474</x:v>
      </x:c>
      <x:c r="T2940" s="81" t="n">
        <x:v>1854.4965826602352</x:v>
      </x:c>
    </x:row>
    <x:row r="2941">
      <x:c r="A2941" s="59" t="n">
        <x:v>2938</x:v>
      </x:c>
      <x:c r="B2941" s="193" t="n">
        <x:v>0.4182804081588984</x:v>
      </x:c>
      <x:c r="C2941" s="83" t="n">
        <x:v>0.22813110564455988</x:v>
      </x:c>
      <x:c r="D2941" s="83" t="n">
        <x:v>0.5304557477402106</x:v>
      </x:c>
      <x:c r="E2941" s="81" t="n">
        <x:v>0.09064847254073952</x:v>
      </x:c>
      <x:c r="F2941" s="81" t="n">
        <x:v>0.5942611779086292</x:v>
      </x:c>
      <x:c r="G2941" s="81" t="n">
        <x:v>-0.0025049275791728665</x:v>
      </x:c>
      <x:c r="H2941" s="59" t="n">
        <x:v>0</x:v>
      </x:c>
      <x:c r="I2941" s="81" t="n">
        <x:v>0</x:v>
      </x:c>
      <x:c r="J2941" s="79" t="n">
        <x:v>0.00122576786440582</x:v>
      </x:c>
      <x:c r="K2941" s="81" t="n">
        <x:v>0.40087755932093727</x:v>
      </x:c>
      <x:c r="L2941" s="81" t="n">
        <x:v>-0.7555467595585436</x:v>
      </x:c>
      <x:c r="M2941" s="80" t="n">
        <x:v>8773.968937729544</x:v>
      </x:c>
      <x:c r="N2941" s="82" t="n">
        <x:v>0.20173598598110262</x:v>
      </x:c>
      <x:c r="O2941" s="82" t="n">
        <x:v>0.11324829612147182</x:v>
      </x:c>
      <x:c r="P2941" s="80" t="n">
        <x:v>9192.128876731369</x:v>
      </x:c>
      <x:c r="Q2941" s="81" t="n">
        <x:v>0.0029693308348082165</x:v>
      </x:c>
      <x:c r="R2941" s="81" t="n">
        <x:v>237.09558881166734</x:v>
      </x:c>
      <x:c r="S2941" s="81" t="n">
        <x:v>101.50471525441397</x:v>
      </x:c>
      <x:c r="T2941" s="81" t="n">
        <x:v>26.552808062939615</x:v>
      </x:c>
    </x:row>
    <x:row r="2942">
      <x:c r="A2942" s="59" t="n">
        <x:v>2939</x:v>
      </x:c>
      <x:c r="B2942" s="193" t="n">
        <x:v>0.6052244327962399</x:v>
      </x:c>
      <x:c r="C2942" s="83" t="n">
        <x:v>0.3521513607971192</x:v>
      </x:c>
      <x:c r="D2942" s="83" t="n">
        <x:v>0.676850469786838</x:v>
      </x:c>
      <x:c r="E2942" s="81" t="n">
        <x:v>0.020155992339739255</x:v>
      </x:c>
      <x:c r="F2942" s="81" t="n">
        <x:v>0.563908449478913</x:v>
      </x:c>
      <x:c r="G2942" s="81" t="n">
        <x:v>0.019069826028310498</x:v>
      </x:c>
      <x:c r="H2942" s="59" t="n">
        <x:v>29</x:v>
      </x:c>
      <x:c r="I2942" s="81" t="n">
        <x:v>0.18868095241487026</x:v>
      </x:c>
      <x:c r="J2942" s="79" t="n">
        <x:v>0.00012393448496982344</x:v>
      </x:c>
      <x:c r="K2942" s="81" t="n">
        <x:v>-0.858360588605916</x:v>
      </x:c>
      <x:c r="L2942" s="81" t="n">
        <x:v>-0.9167054726440171</x:v>
      </x:c>
      <x:c r="M2942" s="80" t="n">
        <x:v>2722.662242452941</x:v>
      </x:c>
      <x:c r="N2942" s="82" t="n">
        <x:v>0.24626955785017932</x:v>
      </x:c>
      <x:c r="O2942" s="82" t="n">
        <x:v>0.1311868410618992</x:v>
      </x:c>
      <x:c r="P2942" s="80" t="n">
        <x:v>4477.597103990617</x:v>
      </x:c>
      <x:c r="Q2942" s="81" t="n">
        <x:v>0.013250168719814477</x:v>
      </x:c>
      <x:c r="R2942" s="81" t="n">
        <x:v>44.61469310575492</x:v>
      </x:c>
      <x:c r="S2942" s="81" t="n">
        <x:v>7.298632715101193</x:v>
      </x:c>
      <x:c r="T2942" s="81" t="n">
        <x:v>2.684691520590799</x:v>
      </x:c>
    </x:row>
    <x:row r="2943">
      <x:c r="A2943" s="59" t="n">
        <x:v>2940</x:v>
      </x:c>
      <x:c r="B2943" s="193" t="n">
        <x:v>0.9047116354107858</x:v>
      </x:c>
      <x:c r="C2943" s="83" t="n">
        <x:v>0.29499891675944234</x:v>
      </x:c>
      <x:c r="D2943" s="83" t="n">
        <x:v>1.5345896792330902</x:v>
      </x:c>
      <x:c r="E2943" s="81" t="n">
        <x:v>-0.0712764436146315</x:v>
      </x:c>
      <x:c r="F2943" s="81" t="n">
        <x:v>0.8451933704433031</x:v>
      </x:c>
      <x:c r="G2943" s="81" t="n">
        <x:v>-0.0019170197391054238</x:v>
      </x:c>
      <x:c r="H2943" s="59" t="n">
        <x:v>41</x:v>
      </x:c>
      <x:c r="I2943" s="81" t="n">
        <x:v>0.24079964915290475</x:v>
      </x:c>
      <x:c r="J2943" s="79" t="n">
        <x:v>2.5691772150414775e-44</x:v>
      </x:c>
      <x:c r="K2943" s="81" t="n">
        <x:v>-1</x:v>
      </x:c>
      <x:c r="L2943" s="81" t="n">
        <x:v>-1</x:v>
      </x:c>
      <x:c r="M2943" s="80" t="n">
        <x:v>0.000002</x:v>
      </x:c>
      <x:c r="N2943" s="82" t="n">
        <x:v>0.31761302489801285</x:v>
      </x:c>
      <x:c r="O2943" s="82" t="n">
        <x:v>0.25358603175276623</x:v>
      </x:c>
      <x:c r="P2943" s="80" t="n">
        <x:v>306.4479314981688</x:v>
      </x:c>
      <x:c r="Q2943" s="81" t="n">
        <x:v>1.181833435148542e+27</x:v>
      </x:c>
      <x:c r="R2943" s="81" t="n">
        <x:v>4.43189080207593</x:v>
      </x:c>
      <x:c r="S2943" s="81" t="n">
        <x:v>1.0141165747880637e-9</x:v>
      </x:c>
      <x:c r="T2943" s="81" t="n">
        <x:v>5.56539875547664e-40</x:v>
      </x:c>
    </x:row>
    <x:row r="2944">
      <x:c r="A2944" s="59" t="n">
        <x:v>2941</x:v>
      </x:c>
      <x:c r="B2944" s="193" t="n">
        <x:v>0.21465245634317398</x:v>
      </x:c>
      <x:c r="C2944" s="83" t="n">
        <x:v>0.8728607502823911</x:v>
      </x:c>
      <x:c r="D2944" s="83" t="n">
        <x:v>0.34839902781259724</x:v>
      </x:c>
      <x:c r="E2944" s="81" t="n">
        <x:v>0.064090433793985</x:v>
      </x:c>
      <x:c r="F2944" s="81" t="n">
        <x:v>0.7518989500473253</x:v>
      </x:c>
      <x:c r="G2944" s="81" t="n">
        <x:v>0.02087152049621332</x:v>
      </x:c>
      <x:c r="H2944" s="59" t="n">
        <x:v>0</x:v>
      </x:c>
      <x:c r="I2944" s="81" t="n">
        <x:v>0</x:v>
      </x:c>
      <x:c r="J2944" s="79" t="n">
        <x:v>0.0010238748610450698</x:v>
      </x:c>
      <x:c r="K2944" s="81" t="n">
        <x:v>0.17014269833722273</x:v>
      </x:c>
      <x:c r="L2944" s="81" t="n">
        <x:v>-0.6855179569356226</x:v>
      </x:c>
      <x:c r="M2944" s="80" t="n">
        <x:v>11253.330195487073</x:v>
      </x:c>
      <x:c r="N2944" s="82" t="n">
        <x:v>0.15322798983450026</x:v>
      </x:c>
      <x:c r="O2944" s="82" t="n">
        <x:v>0.1088349856726652</x:v>
      </x:c>
      <x:c r="P2944" s="80" t="n">
        <x:v>8463.019630437959</x:v>
      </x:c>
      <x:c r="Q2944" s="81" t="n">
        <x:v>0.0038132147293615717</x:v>
      </x:c>
      <x:c r="R2944" s="81" t="n">
        <x:v>36.96998025989171</x:v>
      </x:c>
      <x:c r="S2944" s="81" t="n">
        <x:v>23.02604346470867</x:v>
      </x:c>
      <x:c r="T2944" s="81" t="n">
        <x:v>22.17936483346889</x:v>
      </x:c>
    </x:row>
    <x:row r="2945">
      <x:c r="A2945" s="59" t="n">
        <x:v>2942</x:v>
      </x:c>
      <x:c r="B2945" s="193" t="n">
        <x:v>0.39858839418739084</x:v>
      </x:c>
      <x:c r="C2945" s="83" t="n">
        <x:v>0.7382741582746705</x:v>
      </x:c>
      <x:c r="D2945" s="83" t="n">
        <x:v>1.6692211602301463</x:v>
      </x:c>
      <x:c r="E2945" s="81" t="n">
        <x:v>0.000783190823743782</x:v>
      </x:c>
      <x:c r="F2945" s="81" t="n">
        <x:v>0.8280491808662191</x:v>
      </x:c>
      <x:c r="G2945" s="81" t="n">
        <x:v>-0.01314487085543578</x:v>
      </x:c>
      <x:c r="H2945" s="59" t="n">
        <x:v>46</x:v>
      </x:c>
      <x:c r="I2945" s="81" t="n">
        <x:v>0.296541764959693</x:v>
      </x:c>
      <x:c r="J2945" s="79" t="n">
        <x:v>0.0000019054625484079297</x:v>
      </x:c>
      <x:c r="K2945" s="81" t="n">
        <x:v>-0.9978223285161052</x:v>
      </x:c>
      <x:c r="L2945" s="81" t="n">
        <x:v>-0.9978223285161052</x:v>
      </x:c>
      <x:c r="M2945" s="80" t="n">
        <x:v>411.45092314520673</x:v>
      </x:c>
      <x:c r="N2945" s="82" t="n">
        <x:v>0.19704497902782747</x:v>
      </x:c>
      <x:c r="O2945" s="82" t="n">
        <x:v>0.15413186970248707</x:v>
      </x:c>
      <x:c r="P2945" s="80" t="n">
        <x:v>4784.392030025568</x:v>
      </x:c>
      <x:c r="Q2945" s="81" t="n">
        <x:v>0.13739493496745597</x:v>
      </x:c>
      <x:c r="R2945" s="81" t="n">
        <x:v>16.540712201432168</x:v>
      </x:c>
      <x:c r="S2945" s="81" t="n">
        <x:v>0.1956743508426616</x:v>
      </x:c>
      <x:c r="T2945" s="81" t="n">
        <x:v>0.04127647884089473</x:v>
      </x:c>
    </x:row>
    <x:row r="2946">
      <x:c r="A2946" s="59" t="n">
        <x:v>2943</x:v>
      </x:c>
      <x:c r="B2946" s="193" t="n">
        <x:v>0.27206036224961283</x:v>
      </x:c>
      <x:c r="C2946" s="83" t="n">
        <x:v>0.32367224862097577</x:v>
      </x:c>
      <x:c r="D2946" s="83" t="n">
        <x:v>0.2377874729311826</x:v>
      </x:c>
      <x:c r="E2946" s="81" t="n">
        <x:v>0.09294894504801071</x:v>
      </x:c>
      <x:c r="F2946" s="81" t="n">
        <x:v>0.8512614672072232</x:v>
      </x:c>
      <x:c r="G2946" s="81" t="n">
        <x:v>0.05466167446018353</x:v>
      </x:c>
      <x:c r="H2946" s="59" t="n">
        <x:v>0</x:v>
      </x:c>
      <x:c r="I2946" s="81" t="n">
        <x:v>0</x:v>
      </x:c>
      <x:c r="J2946" s="79" t="n">
        <x:v>0.0007162833460693044</x:v>
      </x:c>
      <x:c r="K2946" s="81" t="n">
        <x:v>-0.18139046163508066</x:v>
      </x:c>
      <x:c r="L2946" s="81" t="n">
        <x:v>-0.8178672479925111</x:v>
      </x:c>
      <x:c r="M2946" s="80" t="n">
        <x:v>6805.0981797319455</x:v>
      </x:c>
      <x:c r="N2946" s="82" t="n">
        <x:v>0.16690362941965003</x:v>
      </x:c>
      <x:c r="O2946" s="82" t="n">
        <x:v>0.134214580375822</x:v>
      </x:c>
      <x:c r="P2946" s="80" t="n">
        <x:v>3821.1979034102787</x:v>
      </x:c>
      <x:c r="Q2946" s="81" t="n">
        <x:v>0.003337161730972467</x:v>
      </x:c>
      <x:c r="R2946" s="81" t="n">
        <x:v>64.30100070053717</x:v>
      </x:c>
      <x:c r="S2946" s="81" t="n">
        <x:v>42.19423758100656</x:v>
      </x:c>
      <x:c r="T2946" s="81" t="n">
        <x:v>15.516261079399277</x:v>
      </x:c>
    </x:row>
    <x:row r="2947">
      <x:c r="A2947" s="59" t="n">
        <x:v>2944</x:v>
      </x:c>
      <x:c r="B2947" s="193" t="n">
        <x:v>0.7185364559292793</x:v>
      </x:c>
      <x:c r="C2947" s="83" t="n">
        <x:v>1.7025607001149645</x:v>
      </x:c>
      <x:c r="D2947" s="83" t="n">
        <x:v>0.8800228448933549</x:v>
      </x:c>
      <x:c r="E2947" s="81" t="n">
        <x:v>-0.0756210814876882</x:v>
      </x:c>
      <x:c r="F2947" s="81" t="n">
        <x:v>0.4545391313964501</x:v>
      </x:c>
      <x:c r="G2947" s="81" t="n">
        <x:v>-0.05</x:v>
      </x:c>
      <x:c r="H2947" s="59" t="n">
        <x:v>0</x:v>
      </x:c>
      <x:c r="I2947" s="81" t="n">
        <x:v>0</x:v>
      </x:c>
      <x:c r="J2947" s="79" t="n">
        <x:v>1.5423388339684403e-28</x:v>
      </x:c>
      <x:c r="K2947" s="81" t="n">
        <x:v>-1</x:v>
      </x:c>
      <x:c r="L2947" s="81" t="n">
        <x:v>-1</x:v>
      </x:c>
      <x:c r="M2947" s="80" t="n">
        <x:v>0.000002</x:v>
      </x:c>
      <x:c r="N2947" s="82" t="n">
        <x:v>0.2732626063609027</x:v>
      </x:c>
      <x:c r="O2947" s="82" t="n">
        <x:v>0.11733360811729973</x:v>
      </x:c>
      <x:c r="P2947" s="80" t="n">
        <x:v>588.170559815607</x:v>
      </x:c>
      <x:c r="Q2947" s="81" t="n">
        <x:v>186307967865.9223</x:v>
      </x:c>
      <x:c r="R2947" s="81" t="n">
        <x:v>1.7931708300743245</x:v>
      </x:c>
      <x:c r="S2947" s="81" t="n">
        <x:v>1.5282455027126256e-10</x:v>
      </x:c>
      <x:c r="T2947" s="81" t="n">
        <x:v>3.3410426407477976e-24</x:v>
      </x:c>
    </x:row>
    <x:row r="2948">
      <x:c r="A2948" s="59" t="n">
        <x:v>2945</x:v>
      </x:c>
      <x:c r="B2948" s="193" t="n">
        <x:v>0.3552128165960312</x:v>
      </x:c>
      <x:c r="C2948" s="83" t="n">
        <x:v>1.3292964808243786</x:v>
      </x:c>
      <x:c r="D2948" s="83" t="n">
        <x:v>0.5555960464798079</x:v>
      </x:c>
      <x:c r="E2948" s="81" t="n">
        <x:v>-0.12745352983967892</x:v>
      </x:c>
      <x:c r="F2948" s="81" t="n">
        <x:v>0.408524558832869</x:v>
      </x:c>
      <x:c r="G2948" s="81" t="n">
        <x:v>-0.02101514617601613</x:v>
      </x:c>
      <x:c r="H2948" s="59" t="n">
        <x:v>12</x:v>
      </x:c>
      <x:c r="I2948" s="81" t="n">
        <x:v>0.47672366155311463</x:v>
      </x:c>
      <x:c r="J2948" s="79" t="n">
        <x:v>3.493215727964641e-32</x:v>
      </x:c>
      <x:c r="K2948" s="81" t="n">
        <x:v>-1</x:v>
      </x:c>
      <x:c r="L2948" s="81" t="n">
        <x:v>-1</x:v>
      </x:c>
      <x:c r="M2948" s="80" t="n">
        <x:v>0.000002</x:v>
      </x:c>
      <x:c r="N2948" s="82" t="n">
        <x:v>0.1867121031534857</x:v>
      </x:c>
      <x:c r="O2948" s="82" t="n">
        <x:v>0.07205457857238157</x:v>
      </x:c>
      <x:c r="P2948" s="80" t="n">
        <x:v>303.22106223687695</x:v>
      </x:c>
      <x:c r="Q2948" s="81" t="n">
        <x:v>511583085601098.1</x:v>
      </x:c>
      <x:c r="R2948" s="81" t="n">
        <x:v>1.8532906309677888</x:v>
      </x:c>
      <x:c r="S2948" s="81" t="n">
        <x:v>1.6136629122976699e-10</x:v>
      </x:c>
      <x:c r="T2948" s="81" t="n">
        <x:v>7.567067912328491e-28</x:v>
      </x:c>
    </x:row>
    <x:row r="2949">
      <x:c r="A2949" s="59" t="n">
        <x:v>2946</x:v>
      </x:c>
      <x:c r="B2949" s="193" t="n">
        <x:v>0.35216093696653844</x:v>
      </x:c>
      <x:c r="C2949" s="83" t="n">
        <x:v>1.0526428968890271</x:v>
      </x:c>
      <x:c r="D2949" s="83" t="n">
        <x:v>0.7130566034983115</x:v>
      </x:c>
      <x:c r="E2949" s="81" t="n">
        <x:v>-0.055855680709338204</x:v>
      </x:c>
      <x:c r="F2949" s="81" t="n">
        <x:v>0.8113618005416356</x:v>
      </x:c>
      <x:c r="G2949" s="81" t="n">
        <x:v>-0.043495265693175196</x:v>
      </x:c>
      <x:c r="H2949" s="59" t="n">
        <x:v>0</x:v>
      </x:c>
      <x:c r="I2949" s="81" t="n">
        <x:v>0</x:v>
      </x:c>
      <x:c r="J2949" s="79" t="n">
        <x:v>7.659029118148219e-23</x:v>
      </x:c>
      <x:c r="K2949" s="81" t="n">
        <x:v>-1</x:v>
      </x:c>
      <x:c r="L2949" s="81" t="n">
        <x:v>-1</x:v>
      </x:c>
      <x:c r="M2949" s="80" t="n">
        <x:v>0.0000032371938374499076</x:v>
      </x:c>
      <x:c r="N2949" s="82" t="n">
        <x:v>0.18598508820299767</x:v>
      </x:c>
      <x:c r="O2949" s="82" t="n">
        <x:v>0.14254881908510772</x:v>
      </x:c>
      <x:c r="P2949" s="80" t="n">
        <x:v>534.2705998312182</x:v>
      </x:c>
      <x:c r="Q2949" s="81" t="n">
        <x:v>807043.6021124664</x:v>
      </x:c>
      <x:c r="R2949" s="81" t="n">
        <x:v>3.7465167961426085</x:v>
      </x:c>
      <x:c r="S2949" s="81" t="n">
        <x:v>2.998978527834903e-10</x:v>
      </x:c>
      <x:c r="T2949" s="81" t="n">
        <x:v>1.6591129203834733e-18</x:v>
      </x:c>
    </x:row>
    <x:row r="2950">
      <x:c r="A2950" s="59" t="n">
        <x:v>2947</x:v>
      </x:c>
      <x:c r="B2950" s="193" t="n">
        <x:v>0.5276380049064755</x:v>
      </x:c>
      <x:c r="C2950" s="83" t="n">
        <x:v>0.5506005827596491</x:v>
      </x:c>
      <x:c r="D2950" s="83" t="n">
        <x:v>1.671198630446895</x:v>
      </x:c>
      <x:c r="E2950" s="81" t="n">
        <x:v>-0.059704921185854964</x:v>
      </x:c>
      <x:c r="F2950" s="81" t="n">
        <x:v>0.34087583763757723</x:v>
      </x:c>
      <x:c r="G2950" s="81" t="n">
        <x:v>0.006348041177627883</x:v>
      </x:c>
      <x:c r="H2950" s="59" t="n">
        <x:v>13</x:v>
      </x:c>
      <x:c r="I2950" s="81" t="n">
        <x:v>0.3595979323610664</x:v>
      </x:c>
      <x:c r="J2950" s="79" t="n">
        <x:v>3.370270215875906e-43</x:v>
      </x:c>
      <x:c r="K2950" s="81" t="n">
        <x:v>-1</x:v>
      </x:c>
      <x:c r="L2950" s="81" t="n">
        <x:v>-1</x:v>
      </x:c>
      <x:c r="M2950" s="80" t="n">
        <x:v>0.000002</x:v>
      </x:c>
      <x:c r="N2950" s="82" t="n">
        <x:v>0.2277870159813144</x:v>
      </x:c>
      <x:c r="O2950" s="82" t="n">
        <x:v>0.07334932563658078</x:v>
      </x:c>
      <x:c r="P2950" s="80" t="n">
        <x:v>457.15896888003317</x:v>
      </x:c>
      <x:c r="Q2950" s="81" t="n">
        <x:v>1.0639100232239277e+26</x:v>
      </x:c>
      <x:c r="R2950" s="81" t="n">
        <x:v>3.2902804441556253</x:v>
      </x:c>
      <x:c r="S2950" s="81" t="n">
        <x:v>1.0196913512793966e-9</x:v>
      </x:c>
      <x:c r="T2950" s="81" t="n">
        <x:v>7.300741091444304e-39</x:v>
      </x:c>
    </x:row>
    <x:row r="2951">
      <x:c r="A2951" s="59" t="n">
        <x:v>2948</x:v>
      </x:c>
      <x:c r="B2951" s="193" t="n">
        <x:v>0.24140466880053282</x:v>
      </x:c>
      <x:c r="C2951" s="83" t="n">
        <x:v>0.40215004866778753</x:v>
      </x:c>
      <x:c r="D2951" s="83" t="n">
        <x:v>1.3031999717459262</x:v>
      </x:c>
      <x:c r="E2951" s="81" t="n">
        <x:v>0.06053262111137753</x:v>
      </x:c>
      <x:c r="F2951" s="81" t="n">
        <x:v>0.4824087128858082</x:v>
      </x:c>
      <x:c r="G2951" s="81" t="n">
        <x:v>0.026168181899083983</x:v>
      </x:c>
      <x:c r="H2951" s="59" t="n">
        <x:v>0</x:v>
      </x:c>
      <x:c r="I2951" s="81" t="n">
        <x:v>0</x:v>
      </x:c>
      <x:c r="J2951" s="79" t="n">
        <x:v>0.022605886500666656</x:v>
      </x:c>
      <x:c r="K2951" s="81" t="n">
        <x:v>24.835298857904753</x:v>
      </x:c>
      <x:c r="L2951" s="81" t="n">
        <x:v>-0.6750804328602651</x:v>
      </x:c>
      <x:c r="M2951" s="80" t="n">
        <x:v>49906.76246524233</x:v>
      </x:c>
      <x:c r="N2951" s="82" t="n">
        <x:v>0.15960086844582716</x:v>
      </x:c>
      <x:c r="O2951" s="82" t="n">
        <x:v>0.07273129746852804</x:v>
      </x:c>
      <x:c r="P2951" s="80" t="n">
        <x:v>110346.88518597827</x:v>
      </x:c>
      <x:c r="Q2951" s="81" t="n">
        <x:v>0.003105252235356886</x:v>
      </x:c>
      <x:c r="R2951" s="81" t="n">
        <x:v>700.368443285653</x:v>
      </x:c>
      <x:c r="S2951" s="81" t="n">
        <x:v>1072.821650544415</x:v>
      </x:c>
      <x:c r="T2951" s="81" t="n">
        <x:v>489.6928552093875</x:v>
      </x:c>
    </x:row>
    <x:row r="2952">
      <x:c r="A2952" s="59" t="n">
        <x:v>2949</x:v>
      </x:c>
      <x:c r="B2952" s="193" t="n">
        <x:v>0.3175972741097212</x:v>
      </x:c>
      <x:c r="C2952" s="83" t="n">
        <x:v>0.1545063349587813</x:v>
      </x:c>
      <x:c r="D2952" s="83" t="n">
        <x:v>2.569192535598385</x:v>
      </x:c>
      <x:c r="E2952" s="81" t="n">
        <x:v>0.044192781675887256</x:v>
      </x:c>
      <x:c r="F2952" s="81" t="n">
        <x:v>0.8688638504943811</x:v>
      </x:c>
      <x:c r="G2952" s="81" t="n">
        <x:v>0.03120688080395688</x:v>
      </x:c>
      <x:c r="H2952" s="59" t="n">
        <x:v>0</x:v>
      </x:c>
      <x:c r="I2952" s="81" t="n">
        <x:v>0</x:v>
      </x:c>
      <x:c r="J2952" s="79" t="n">
        <x:v>0.009705376252307463</x:v>
      </x:c>
      <x:c r="K2952" s="81" t="n">
        <x:v>10.091858574065673</x:v>
      </x:c>
      <x:c r="L2952" s="81" t="n">
        <x:v>-0.7888576048342062</x:v>
      </x:c>
      <x:c r="M2952" s="80" t="n">
        <x:v>30693.214272507685</x:v>
      </x:c>
      <x:c r="N2952" s="82" t="n">
        <x:v>0.17775137564182508</x:v>
      </x:c>
      <x:c r="O2952" s="82" t="n">
        <x:v>0.14589339845050517</x:v>
      </x:c>
      <x:c r="P2952" s="80" t="n">
        <x:v>123234.38947302442</x:v>
      </x:c>
      <x:c r="Q2952" s="81" t="n">
        <x:v>0.008819252128794048</x:v>
      </x:c>
      <x:c r="R2952" s="81" t="n">
        <x:v>981.5360761240913</x:v>
      </x:c>
      <x:c r="S2952" s="81" t="n">
        <x:v>1211.050638469888</x:v>
      </x:c>
      <x:c r="T2952" s="81" t="n">
        <x:v>210.23963858854506</x:v>
      </x:c>
    </x:row>
    <x:row r="2953">
      <x:c r="A2953" s="59" t="n">
        <x:v>2950</x:v>
      </x:c>
      <x:c r="B2953" s="193" t="n">
        <x:v>0.26032519433647394</x:v>
      </x:c>
      <x:c r="C2953" s="83" t="n">
        <x:v>1.6344071797136515</x:v>
      </x:c>
      <x:c r="D2953" s="83" t="n">
        <x:v>1.0987586771171667</x:v>
      </x:c>
      <x:c r="E2953" s="81" t="n">
        <x:v>0.0896720812193435</x:v>
      </x:c>
      <x:c r="F2953" s="81" t="n">
        <x:v>0.8976801308221184</x:v>
      </x:c>
      <x:c r="G2953" s="81" t="n">
        <x:v>0.030520925953382017</x:v>
      </x:c>
      <x:c r="H2953" s="59" t="n">
        <x:v>0</x:v>
      </x:c>
      <x:c r="I2953" s="81" t="n">
        <x:v>0</x:v>
      </x:c>
      <x:c r="J2953" s="79" t="n">
        <x:v>0.039584343766788835</x:v>
      </x:c>
      <x:c r="K2953" s="81" t="n">
        <x:v>44.239250019187246</x:v>
      </x:c>
      <x:c r="L2953" s="81" t="n">
        <x:v>-0.7033349317397802</x:v>
      </x:c>
      <x:c r="M2953" s="80" t="n">
        <x:v>134058.82814196346</x:v>
      </x:c>
      <x:c r="N2953" s="82" t="n">
        <x:v>0.16410809238834187</x:v>
      </x:c>
      <x:c r="O2953" s="82" t="n">
        <x:v>0.13916260562851004</x:v>
      </x:c>
      <x:c r="P2953" s="80" t="n">
        <x:v>243575.90691410514</x:v>
      </x:c>
      <x:c r="Q2953" s="81" t="n">
        <x:v>0.004241595991127819</x:v>
      </x:c>
      <x:c r="R2953" s="81" t="n">
        <x:v>277.0792504532588</x:v>
      </x:c>
      <x:c r="S2953" s="81" t="n">
        <x:v>487.29345923720956</x:v>
      </x:c>
      <x:c r="T2953" s="81" t="n">
        <x:v>857.4833072871131</x:v>
      </x:c>
    </x:row>
    <x:row r="2954">
      <x:c r="A2954" s="59" t="n">
        <x:v>2951</x:v>
      </x:c>
      <x:c r="B2954" s="193" t="n">
        <x:v>0.5976201254874468</x:v>
      </x:c>
      <x:c r="C2954" s="83" t="n">
        <x:v>1.8341872482718384</x:v>
      </x:c>
      <x:c r="D2954" s="83" t="n">
        <x:v>1.0081679288915082</x:v>
      </x:c>
      <x:c r="E2954" s="81" t="n">
        <x:v>0.15006226994490013</x:v>
      </x:c>
      <x:c r="F2954" s="81" t="n">
        <x:v>0.4195936459698715</x:v>
      </x:c>
      <x:c r="G2954" s="81" t="n">
        <x:v>-0.021409704749610767</x:v>
      </x:c>
      <x:c r="H2954" s="59" t="n">
        <x:v>0</x:v>
      </x:c>
      <x:c r="I2954" s="81" t="n">
        <x:v>0</x:v>
      </x:c>
      <x:c r="J2954" s="79" t="n">
        <x:v>0.07489797899735115</x:v>
      </x:c>
      <x:c r="K2954" s="81" t="n">
        <x:v>84.59769028268704</x:v>
      </x:c>
      <x:c r="L2954" s="81" t="n">
        <x:v>-0.7587272279848762</x:v>
      </x:c>
      <x:c r="M2954" s="80" t="n">
        <x:v>206155.45127406923</x:v>
      </x:c>
      <x:c r="N2954" s="82" t="n">
        <x:v>0.24445806926846272</x:v>
      </x:c>
      <x:c r="O2954" s="82" t="n">
        <x:v>0.0968956369985117</x:v>
      </x:c>
      <x:c r="P2954" s="80" t="n">
        <x:v>309146.2662125614</x:v>
      </x:c>
      <x:c r="Q2954" s="81" t="n">
        <x:v>0.0018925709903279352</x:v>
      </x:c>
      <x:c r="R2954" s="81" t="n">
        <x:v>1142.283421301075</x:v>
      </x:c>
      <x:c r="S2954" s="81" t="n">
        <x:v>785.8134468399004</x:v>
      </x:c>
      <x:c r="T2954" s="81" t="n">
        <x:v>1622.4537437867793</x:v>
      </x:c>
    </x:row>
    <x:row r="2955">
      <x:c r="A2955" s="59" t="n">
        <x:v>2952</x:v>
      </x:c>
      <x:c r="B2955" s="193" t="n">
        <x:v>0.899924303777516</x:v>
      </x:c>
      <x:c r="C2955" s="83" t="n">
        <x:v>0.13974152722285121</x:v>
      </x:c>
      <x:c r="D2955" s="83" t="n">
        <x:v>0.7077974009410618</x:v>
      </x:c>
      <x:c r="E2955" s="81" t="n">
        <x:v>-0.11898912286724234</x:v>
      </x:c>
      <x:c r="F2955" s="81" t="n">
        <x:v>0.6881027278257534</x:v>
      </x:c>
      <x:c r="G2955" s="81" t="n">
        <x:v>0.052175793068685465</x:v>
      </x:c>
      <x:c r="H2955" s="59" t="n">
        <x:v>84</x:v>
      </x:c>
      <x:c r="I2955" s="81" t="n">
        <x:v>0.31525587644428016</x:v>
      </x:c>
      <x:c r="J2955" s="79" t="n">
        <x:v>2.0658519310713746e-46</x:v>
      </x:c>
      <x:c r="K2955" s="81" t="n">
        <x:v>-1</x:v>
      </x:c>
      <x:c r="L2955" s="81" t="n">
        <x:v>-1</x:v>
      </x:c>
      <x:c r="M2955" s="80" t="n">
        <x:v>0.000002</x:v>
      </x:c>
      <x:c r="N2955" s="82" t="n">
        <x:v>0.3164725927405004</x:v>
      </x:c>
      <x:c r="O2955" s="82" t="n">
        <x:v>0.2057123315083696</x:v>
      </x:c>
      <x:c r="P2955" s="80" t="n">
        <x:v>153.05634352497196</x:v>
      </x:c>
      <x:c r="Q2955" s="81" t="n">
        <x:v>9.19632291549875e+28</x:v>
      </x:c>
      <x:c r="R2955" s="81" t="n">
        <x:v>10.794784887171796</x:v>
      </x:c>
      <x:c r="S2955" s="81" t="n">
        <x:v>1.0100613501427645e-9</x:v>
      </x:c>
      <x:c r="T2955" s="81" t="n">
        <x:v>4.4750863034561154e-42</x:v>
      </x:c>
    </x:row>
    <x:row r="2956">
      <x:c r="A2956" s="59" t="n">
        <x:v>2953</x:v>
      </x:c>
      <x:c r="B2956" s="193" t="n">
        <x:v>0.608908767439425</x:v>
      </x:c>
      <x:c r="C2956" s="83" t="n">
        <x:v>0.530356627333969</x:v>
      </x:c>
      <x:c r="D2956" s="83" t="n">
        <x:v>0.28794341491450864</x:v>
      </x:c>
      <x:c r="E2956" s="81" t="n">
        <x:v>0.03375559006997864</x:v>
      </x:c>
      <x:c r="F2956" s="81" t="n">
        <x:v>0.34202553385403006</x:v>
      </x:c>
      <x:c r="G2956" s="81" t="n">
        <x:v>0.010483583608559133</x:v>
      </x:c>
      <x:c r="H2956" s="59" t="n">
        <x:v>0</x:v>
      </x:c>
      <x:c r="I2956" s="81" t="n">
        <x:v>0</x:v>
      </x:c>
      <x:c r="J2956" s="79" t="n">
        <x:v>0.00017193492565293096</x:v>
      </x:c>
      <x:c r="K2956" s="81" t="n">
        <x:v>-0.8035029421109361</x:v>
      </x:c>
      <x:c r="L2956" s="81" t="n">
        <x:v>-0.8594026959333594</x:v>
      </x:c>
      <x:c r="M2956" s="80" t="n">
        <x:v>3554.0008689490937</x:v>
      </x:c>
      <x:c r="N2956" s="82" t="n">
        <x:v>0.2471472354434607</x:v>
      </x:c>
      <x:c r="O2956" s="82" t="n">
        <x:v>0.07985189520678503</x:v>
      </x:c>
      <x:c r="P2956" s="80" t="n">
        <x:v>2638.9711905927406</x:v>
      </x:c>
      <x:c r="Q2956" s="81" t="n">
        <x:v>0.004689680674376968</x:v>
      </x:c>
      <x:c r="R2956" s="81" t="n">
        <x:v>36.05075791670291</x:v>
      </x:c>
      <x:c r="S2956" s="81" t="n">
        <x:v>6.3619901718098015</x:v>
      </x:c>
      <x:c r="T2956" s="81" t="n">
        <x:v>3.7244858612695673</x:v>
      </x:c>
    </x:row>
    <x:row r="2957">
      <x:c r="A2957" s="59" t="n">
        <x:v>2954</x:v>
      </x:c>
      <x:c r="B2957" s="193" t="n">
        <x:v>0.8065666731446981</x:v>
      </x:c>
      <x:c r="C2957" s="83" t="n">
        <x:v>0.10927831286808287</x:v>
      </x:c>
      <x:c r="D2957" s="83" t="n">
        <x:v>0.26748467883054583</x:v>
      </x:c>
      <x:c r="E2957" s="81" t="n">
        <x:v>-0.06333553796224864</x:v>
      </x:c>
      <x:c r="F2957" s="81" t="n">
        <x:v>0.29811760251177477</x:v>
      </x:c>
      <x:c r="G2957" s="81" t="n">
        <x:v>-0.028280822422430657</x:v>
      </x:c>
      <x:c r="H2957" s="59" t="n">
        <x:v>0</x:v>
      </x:c>
      <x:c r="I2957" s="81" t="n">
        <x:v>0</x:v>
      </x:c>
      <x:c r="J2957" s="79" t="n">
        <x:v>1.9805473332169046e-13</x:v>
      </x:c>
      <x:c r="K2957" s="81" t="n">
        <x:v>-0.9999999997736517</x:v>
      </x:c>
      <x:c r="L2957" s="81" t="n">
        <x:v>-0.9999999997736517</x:v>
      </x:c>
      <x:c r="M2957" s="80" t="n">
        <x:v>0.08623443683797509</x:v>
      </x:c>
      <x:c r="N2957" s="82" t="n">
        <x:v>0.2942330546681888</x:v>
      </x:c>
      <x:c r="O2957" s="82" t="n">
        <x:v>0.08286097178186658</x:v>
      </x:c>
      <x:c r="P2957" s="80" t="n">
        <x:v>199.75074650475776</x:v>
      </x:c>
      <x:c r="Q2957" s="81" t="n">
        <x:v>7.381282136622723</x:v>
      </x:c>
      <x:c r="R2957" s="81" t="n">
        <x:v>54.12634876232629</x:v>
      </x:c>
      <x:c r="S2957" s="81" t="n">
        <x:v>0.000006609981235249958</x:v>
      </x:c>
      <x:c r="T2957" s="81" t="n">
        <x:v>4.29029792063993e-9</x:v>
      </x:c>
    </x:row>
    <x:row r="2958">
      <x:c r="A2958" s="59" t="n">
        <x:v>2955</x:v>
      </x:c>
      <x:c r="B2958" s="193" t="n">
        <x:v>0.6827757062390447</x:v>
      </x:c>
      <x:c r="C2958" s="83" t="n">
        <x:v>0.23520688265873496</x:v>
      </x:c>
      <x:c r="D2958" s="83" t="n">
        <x:v>0.851318447728262</x:v>
      </x:c>
      <x:c r="E2958" s="81" t="n">
        <x:v>0.08499962878636681</x:v>
      </x:c>
      <x:c r="F2958" s="81" t="n">
        <x:v>0.5983015930862166</x:v>
      </x:c>
      <x:c r="G2958" s="81" t="n">
        <x:v>-0.02798702466063458</x:v>
      </x:c>
      <x:c r="H2958" s="59" t="n">
        <x:v>0</x:v>
      </x:c>
      <x:c r="I2958" s="81" t="n">
        <x:v>0</x:v>
      </x:c>
      <x:c r="J2958" s="79" t="n">
        <x:v>0.0009452091545126093</x:v>
      </x:c>
      <x:c r="K2958" s="81" t="n">
        <x:v>0.08023903372869645</x:v>
      </x:c>
      <x:c r="L2958" s="81" t="n">
        <x:v>-0.8094065807954518</x:v>
      </x:c>
      <x:c r="M2958" s="80" t="n">
        <x:v>8139.686259894901</x:v>
      </x:c>
      <x:c r="N2958" s="82" t="n">
        <x:v>0.26474372527063217</x:v>
      </x:c>
      <x:c r="O2958" s="82" t="n">
        <x:v>0.1496293456477247</x:v>
      </x:c>
      <x:c r="P2958" s="80" t="n">
        <x:v>12996.825381478364</x:v>
      </x:c>
      <x:c r="Q2958" s="81" t="n">
        <x:v>0.004236177382052388</x:v>
      </x:c>
      <x:c r="R2958" s="81" t="n">
        <x:v>306.5994813828253</x:v>
      </x:c>
      <x:c r="S2958" s="81" t="n">
        <x:v>76.48822875026262</x:v>
      </x:c>
      <x:c r="T2958" s="81" t="n">
        <x:v>20.475293885496633</x:v>
      </x:c>
    </x:row>
    <x:row r="2959">
      <x:c r="A2959" s="59" t="n">
        <x:v>2956</x:v>
      </x:c>
      <x:c r="B2959" s="193" t="n">
        <x:v>0.40671462267637254</x:v>
      </x:c>
      <x:c r="C2959" s="83" t="n">
        <x:v>2.968816472083967</x:v>
      </x:c>
      <x:c r="D2959" s="83" t="n">
        <x:v>1.8742048904681188</x:v>
      </x:c>
      <x:c r="E2959" s="81" t="n">
        <x:v>-0.0265073329068185</x:v>
      </x:c>
      <x:c r="F2959" s="81" t="n">
        <x:v>0.5092608837760053</x:v>
      </x:c>
      <x:c r="G2959" s="81" t="n">
        <x:v>-0.04165004876504947</x:v>
      </x:c>
      <x:c r="H2959" s="59" t="n">
        <x:v>0</x:v>
      </x:c>
      <x:c r="I2959" s="81" t="n">
        <x:v>0</x:v>
      </x:c>
      <x:c r="J2959" s="79" t="n">
        <x:v>1.3367341339546551e-25</x:v>
      </x:c>
      <x:c r="K2959" s="81" t="n">
        <x:v>-1</x:v>
      </x:c>
      <x:c r="L2959" s="81" t="n">
        <x:v>-1</x:v>
      </x:c>
      <x:c r="M2959" s="80" t="n">
        <x:v>0.000002</x:v>
      </x:c>
      <x:c r="N2959" s="82" t="n">
        <x:v>0.19898079902068722</x:v>
      </x:c>
      <x:c r="O2959" s="82" t="n">
        <x:v>0.0957243512518903</x:v>
      </x:c>
      <x:c r="P2959" s="80" t="n">
        <x:v>2404.620891656671</x:v>
      </x:c>
      <x:c r="Q2959" s="81" t="n">
        <x:v>585255881.3366883</x:v>
      </x:c>
      <x:c r="R2959" s="81" t="n">
        <x:v>2.3942332416365364</x:v>
      </x:c>
      <x:c r="S2959" s="81" t="n">
        <x:v>2.465303231664523e-10</x:v>
      </x:c>
      <x:c r="T2959" s="81" t="n">
        <x:v>2.8956579725055197e-21</x:v>
      </x:c>
    </x:row>
    <x:row r="2960">
      <x:c r="A2960" s="59" t="n">
        <x:v>2957</x:v>
      </x:c>
      <x:c r="B2960" s="193" t="n">
        <x:v>0.8091634538024663</x:v>
      </x:c>
      <x:c r="C2960" s="83" t="n">
        <x:v>2.5747700184013</x:v>
      </x:c>
      <x:c r="D2960" s="83" t="n">
        <x:v>0.7968907947749072</x:v>
      </x:c>
      <x:c r="E2960" s="81" t="n">
        <x:v>-0.036970400553252646</x:v>
      </x:c>
      <x:c r="F2960" s="81" t="n">
        <x:v>0.5623406419297681</x:v>
      </x:c>
      <x:c r="G2960" s="81" t="n">
        <x:v>0.03575625331995138</x:v>
      </x:c>
      <x:c r="H2960" s="59" t="n">
        <x:v>66</x:v>
      </x:c>
      <x:c r="I2960" s="81" t="n">
        <x:v>0.49771821638569236</x:v>
      </x:c>
      <x:c r="J2960" s="79" t="n">
        <x:v>4.517661406758484e-25</x:v>
      </x:c>
      <x:c r="K2960" s="81" t="n">
        <x:v>-1</x:v>
      </x:c>
      <x:c r="L2960" s="81" t="n">
        <x:v>-1</x:v>
      </x:c>
      <x:c r="M2960" s="80" t="n">
        <x:v>0.000002</x:v>
      </x:c>
      <x:c r="N2960" s="82" t="n">
        <x:v>0.29485165651050627</x:v>
      </x:c>
      <x:c r="O2960" s="82" t="n">
        <x:v>0.1566296531500712</x:v>
      </x:c>
      <x:c r="P2960" s="80" t="n">
        <x:v>1390.5126205445754</x:v>
      </x:c>
      <x:c r="Q2960" s="81" t="n">
        <x:v>125427662.04079555</x:v>
      </x:c>
      <x:c r="R2960" s="81" t="n">
        <x:v>2.543822063300708</x:v>
      </x:c>
      <x:c r="S2960" s="81" t="n">
        <x:v>2.994253079394823e-10</x:v>
      </x:c>
      <x:c r="T2960" s="81" t="n">
        <x:v>9.786240911541247e-21</x:v>
      </x:c>
    </x:row>
    <x:row r="2961">
      <x:c r="A2961" s="59" t="n">
        <x:v>2958</x:v>
      </x:c>
      <x:c r="B2961" s="193" t="n">
        <x:v>0.680115787871182</x:v>
      </x:c>
      <x:c r="C2961" s="83" t="n">
        <x:v>0.5520668307643178</x:v>
      </x:c>
      <x:c r="D2961" s="83" t="n">
        <x:v>1.4423210601265355</x:v>
      </x:c>
      <x:c r="E2961" s="81" t="n">
        <x:v>-0.027711984843971207</x:v>
      </x:c>
      <x:c r="F2961" s="81" t="n">
        <x:v>0.5175546262413264</x:v>
      </x:c>
      <x:c r="G2961" s="81" t="n">
        <x:v>-0.013512431867192816</x:v>
      </x:c>
      <x:c r="H2961" s="59" t="n">
        <x:v>0</x:v>
      </x:c>
      <x:c r="I2961" s="81" t="n">
        <x:v>0</x:v>
      </x:c>
      <x:c r="J2961" s="79" t="n">
        <x:v>9.32353285350784e-25</x:v>
      </x:c>
      <x:c r="K2961" s="81" t="n">
        <x:v>-1</x:v>
      </x:c>
      <x:c r="L2961" s="81" t="n">
        <x:v>-1</x:v>
      </x:c>
      <x:c r="M2961" s="80" t="n">
        <x:v>0.000002</x:v>
      </x:c>
      <x:c r="N2961" s="82" t="n">
        <x:v>0.26411008284193815</x:v>
      </x:c>
      <x:c r="O2961" s="82" t="n">
        <x:v>0.12912553033442215</x:v>
      </x:c>
      <x:c r="P2961" s="80" t="n">
        <x:v>797.0567168155131</x:v>
      </x:c>
      <x:c r="Q2961" s="81" t="n">
        <x:v>80355958.14177309</x:v>
      </x:c>
      <x:c r="R2961" s="81" t="n">
        <x:v>6.970001504039533</x:v>
      </x:c>
      <x:c r="S2961" s="81" t="n">
        <x:v>6.898748327379242e-10</x:v>
      </x:c>
      <x:c r="T2961" s="81" t="n">
        <x:v>2.0196807692271387e-20</x:v>
      </x:c>
    </x:row>
    <x:row r="2962">
      <x:c r="A2962" s="59" t="n">
        <x:v>2959</x:v>
      </x:c>
      <x:c r="B2962" s="193" t="n">
        <x:v>0.7262478278949858</x:v>
      </x:c>
      <x:c r="C2962" s="83" t="n">
        <x:v>0.6572017658474104</x:v>
      </x:c>
      <x:c r="D2962" s="83" t="n">
        <x:v>3</x:v>
      </x:c>
      <x:c r="E2962" s="81" t="n">
        <x:v>0.0876721251738079</x:v>
      </x:c>
      <x:c r="F2962" s="81" t="n">
        <x:v>0.3313119921600446</x:v>
      </x:c>
      <x:c r="G2962" s="81" t="n">
        <x:v>0.013391581463594896</x:v>
      </x:c>
      <x:c r="H2962" s="59" t="n">
        <x:v>0</x:v>
      </x:c>
      <x:c r="I2962" s="81" t="n">
        <x:v>0</x:v>
      </x:c>
      <x:c r="J2962" s="79" t="n">
        <x:v>0.26041128873927016</x:v>
      </x:c>
      <x:c r="K2962" s="81" t="n">
        <x:v>296.6129014163088</x:v>
      </x:c>
      <x:c r="L2962" s="81" t="n">
        <x:v>-0.8096822192766204</x:v>
      </x:c>
      <x:c r="M2962" s="80" t="n">
        <x:v>314325.1312794526</x:v>
      </x:c>
      <x:c r="N2962" s="82" t="n">
        <x:v>0.27509959975135895</x:v>
      </x:c>
      <x:c r="O2962" s="82" t="n">
        <x:v>0.08609898986882174</x:v>
      </x:c>
      <x:c r="P2962" s="80" t="n">
        <x:v>1111720.1099588117</x:v>
      </x:c>
      <x:c r="Q2962" s="81" t="n">
        <x:v>0.0033210128730260017</x:v>
      </x:c>
      <x:c r="R2962" s="81" t="n">
        <x:v>4540.437903918384</x:v>
      </x:c>
      <x:c r="S2962" s="81" t="n">
        <x:v>7664.427555883358</x:v>
      </x:c>
      <x:c r="T2962" s="81" t="n">
        <x:v>5641.07704901238</x:v>
      </x:c>
    </x:row>
    <x:row r="2963">
      <x:c r="A2963" s="59" t="n">
        <x:v>2960</x:v>
      </x:c>
      <x:c r="B2963" s="193" t="n">
        <x:v>0.5977084526792169</x:v>
      </x:c>
      <x:c r="C2963" s="83" t="n">
        <x:v>0.6733303949061895</x:v>
      </x:c>
      <x:c r="D2963" s="83" t="n">
        <x:v>0.35402130128065223</x:v>
      </x:c>
      <x:c r="E2963" s="81" t="n">
        <x:v>0.05968284282614875</x:v>
      </x:c>
      <x:c r="F2963" s="81" t="n">
        <x:v>0.614943392702844</x:v>
      </x:c>
      <x:c r="G2963" s="81" t="n">
        <x:v>0.008829976991493424</x:v>
      </x:c>
      <x:c r="H2963" s="59" t="n">
        <x:v>0</x:v>
      </x:c>
      <x:c r="I2963" s="81" t="n">
        <x:v>0</x:v>
      </x:c>
      <x:c r="J2963" s="79" t="n">
        <x:v>0.0003238082220432317</x:v>
      </x:c>
      <x:c r="K2963" s="81" t="n">
        <x:v>-0.6299334605220208</x:v>
      </x:c>
      <x:c r="L2963" s="81" t="n">
        <x:v>-0.8213341293129792</x:v>
      </x:c>
      <x:c r="M2963" s="80" t="n">
        <x:v>5594.59276344409</x:v>
      </x:c>
      <x:c r="N2963" s="82" t="n">
        <x:v>0.24447911046167736</x:v>
      </x:c>
      <x:c r="O2963" s="82" t="n">
        <x:v>0.14201945382950446</x:v>
      </x:c>
      <x:c r="P2963" s="80" t="n">
        <x:v>4494.716824878714</x:v>
      </x:c>
      <x:c r="Q2963" s="81" t="n">
        <x:v>0.0051724791706829355</x:v>
      </x:c>
      <x:c r="R2963" s="81" t="n">
        <x:v>34.39772417281368</x:v>
      </x:c>
      <x:c r="S2963" s="81" t="n">
        <x:v>9.537487866822248</x:v>
      </x:c>
      <x:c r="T2963" s="81" t="n">
        <x:v>7.0143930337768134</x:v>
      </x:c>
    </x:row>
    <x:row r="2964">
      <x:c r="A2964" s="59" t="n">
        <x:v>2961</x:v>
      </x:c>
      <x:c r="B2964" s="193" t="n">
        <x:v>0.6874897044152022</x:v>
      </x:c>
      <x:c r="C2964" s="83" t="n">
        <x:v>0.20389611315281048</x:v>
      </x:c>
      <x:c r="D2964" s="83" t="n">
        <x:v>0.9298879934316471</x:v>
      </x:c>
      <x:c r="E2964" s="81" t="n">
        <x:v>0.15016859783944</x:v>
      </x:c>
      <x:c r="F2964" s="81" t="n">
        <x:v>0.3382210088777356</x:v>
      </x:c>
      <x:c r="G2964" s="81" t="n">
        <x:v>-0.032834492503463146</x:v>
      </x:c>
      <x:c r="H2964" s="59" t="n">
        <x:v>0</x:v>
      </x:c>
      <x:c r="I2964" s="81" t="n">
        <x:v>0</x:v>
      </x:c>
      <x:c r="J2964" s="79" t="n">
        <x:v>0.011050697282894815</x:v>
      </x:c>
      <x:c r="K2964" s="81" t="n">
        <x:v>11.629368323308361</x:v>
      </x:c>
      <x:c r="L2964" s="81" t="n">
        <x:v>-0.798861256917353</x:v>
      </x:c>
      <x:c r="M2964" s="80" t="n">
        <x:v>32017.554720311884</x:v>
      </x:c>
      <x:c r="N2964" s="82" t="n">
        <x:v>0.265866688023659</x:v>
      </x:c>
      <x:c r="O2964" s="82" t="n">
        <x:v>0.08494453591687187</x:v>
      </x:c>
      <x:c r="P2964" s="80" t="n">
        <x:v>47215.690721681895</x:v>
      </x:c>
      <x:c r="Q2964" s="81" t="n">
        <x:v>0.0015637503262406723</x:v>
      </x:c>
      <x:c r="R2964" s="81" t="n">
        <x:v>2595.2945152485295</x:v>
      </x:c>
      <x:c r="S2964" s="81" t="n">
        <x:v>1014.4360635432416</x:v>
      </x:c>
      <x:c r="T2964" s="81" t="n">
        <x:v>239.38222924174184</x:v>
      </x:c>
    </x:row>
    <x:row r="2965">
      <x:c r="A2965" s="59" t="n">
        <x:v>2962</x:v>
      </x:c>
      <x:c r="B2965" s="193" t="n">
        <x:v>0.7807111447677018</x:v>
      </x:c>
      <x:c r="C2965" s="83" t="n">
        <x:v>2.127738041504356</x:v>
      </x:c>
      <x:c r="D2965" s="83" t="n">
        <x:v>1.339719111823804</x:v>
      </x:c>
      <x:c r="E2965" s="81" t="n">
        <x:v>-0.03799320417395986</x:v>
      </x:c>
      <x:c r="F2965" s="81" t="n">
        <x:v>0.655902187875472</x:v>
      </x:c>
      <x:c r="G2965" s="81" t="n">
        <x:v>-0.007586428074125035</x:v>
      </x:c>
      <x:c r="H2965" s="59" t="n">
        <x:v>0</x:v>
      </x:c>
      <x:c r="I2965" s="81" t="n">
        <x:v>0</x:v>
      </x:c>
      <x:c r="J2965" s="79" t="n">
        <x:v>2.056042904744526e-28</x:v>
      </x:c>
      <x:c r="K2965" s="81" t="n">
        <x:v>-1</x:v>
      </x:c>
      <x:c r="L2965" s="81" t="n">
        <x:v>-1</x:v>
      </x:c>
      <x:c r="M2965" s="80" t="n">
        <x:v>0.000002</x:v>
      </x:c>
      <x:c r="N2965" s="82" t="n">
        <x:v>0.28807378301763115</x:v>
      </x:c>
      <x:c r="O2965" s="82" t="n">
        <x:v>0.17848994564042991</x:v>
      </x:c>
      <x:c r="P2965" s="80" t="n">
        <x:v>1275.8173595442493</x:v>
      </x:c>
      <x:c r="Q2965" s="81" t="n">
        <x:v>268442464058.57202</x:v>
      </x:c>
      <x:c r="R2965" s="81" t="n">
        <x:v>2.2275956738559186</x:v>
      </x:c>
      <x:c r="S2965" s="81" t="n">
        <x:v>3.420177205010475e-10</x:v>
      </x:c>
      <x:c r="T2965" s="81" t="n">
        <x:v>4.453837810906721e-24</x:v>
      </x:c>
    </x:row>
    <x:row r="2966">
      <x:c r="A2966" s="59" t="n">
        <x:v>2963</x:v>
      </x:c>
      <x:c r="B2966" s="193" t="n">
        <x:v>0.6265624480322003</x:v>
      </x:c>
      <x:c r="C2966" s="83" t="n">
        <x:v>0.13623561444492113</x:v>
      </x:c>
      <x:c r="D2966" s="83" t="n">
        <x:v>1.0362159715503645</x:v>
      </x:c>
      <x:c r="E2966" s="81" t="n">
        <x:v>-0.11346020324945696</x:v>
      </x:c>
      <x:c r="F2966" s="81" t="n">
        <x:v>0.5481380498269572</x:v>
      </x:c>
      <x:c r="G2966" s="81" t="n">
        <x:v>-0.0325141190652257</x:v>
      </x:c>
      <x:c r="H2966" s="59" t="n">
        <x:v>0</x:v>
      </x:c>
      <x:c r="I2966" s="81" t="n">
        <x:v>0</x:v>
      </x:c>
      <x:c r="J2966" s="79" t="n">
        <x:v>3.3058815374567653e-41</x:v>
      </x:c>
      <x:c r="K2966" s="81" t="n">
        <x:v>-1</x:v>
      </x:c>
      <x:c r="L2966" s="81" t="n">
        <x:v>-1</x:v>
      </x:c>
      <x:c r="M2966" s="80" t="n">
        <x:v>0.000002</x:v>
      </x:c>
      <x:c r="N2966" s="82" t="n">
        <x:v>0.25135267316717064</x:v>
      </x:c>
      <x:c r="O2966" s="82" t="n">
        <x:v>0.13015006835443896</x:v>
      </x:c>
      <x:c r="P2966" s="80" t="n">
        <x:v>178.26731138621378</x:v>
      </x:c>
      <x:c r="Q2966" s="81" t="n">
        <x:v>5.997063620189269e+23</x:v>
      </x:c>
      <x:c r="R2966" s="81" t="n">
        <x:v>8.706084087516963</x:v>
      </x:c>
      <x:c r="S2966" s="81" t="n">
        <x:v>5.343539937228664e-10</x:v>
      </x:c>
      <x:c r="T2966" s="81" t="n">
        <x:v>7.161261156528686e-37</x:v>
      </x:c>
    </x:row>
    <x:row r="2967">
      <x:c r="A2967" s="59" t="n">
        <x:v>2964</x:v>
      </x:c>
      <x:c r="B2967" s="193" t="n">
        <x:v>0.43014794364571574</x:v>
      </x:c>
      <x:c r="C2967" s="83" t="n">
        <x:v>0.6111610949187621</x:v>
      </x:c>
      <x:c r="D2967" s="83" t="n">
        <x:v>1.359151809499065</x:v>
      </x:c>
      <x:c r="E2967" s="81" t="n">
        <x:v>-0.027180592177176097</x:v>
      </x:c>
      <x:c r="F2967" s="81" t="n">
        <x:v>0.8010268087149598</x:v>
      </x:c>
      <x:c r="G2967" s="81" t="n">
        <x:v>-0.03667776378697775</x:v>
      </x:c>
      <x:c r="H2967" s="59" t="n">
        <x:v>0</x:v>
      </x:c>
      <x:c r="I2967" s="81" t="n">
        <x:v>0</x:v>
      </x:c>
      <x:c r="J2967" s="79" t="n">
        <x:v>2.4830808740992477e-22</x:v>
      </x:c>
      <x:c r="K2967" s="81" t="n">
        <x:v>-1</x:v>
      </x:c>
      <x:c r="L2967" s="81" t="n">
        <x:v>-1</x:v>
      </x:c>
      <x:c r="M2967" s="80" t="n">
        <x:v>0.000004567539678522918</x:v>
      </x:c>
      <x:c r="N2967" s="82" t="n">
        <x:v>0.20456305545035292</x:v>
      </x:c>
      <x:c r="O2967" s="82" t="n">
        <x:v>0.15479081789681967</x:v>
      </x:c>
      <x:c r="P2967" s="80" t="n">
        <x:v>810.1976230665128</x:v>
      </x:c>
      <x:c r="Q2967" s="81" t="n">
        <x:v>702173.0438434897</x:v>
      </x:c>
      <x:c r="R2967" s="81" t="n">
        <x:v>6.579733416743708</x:v>
      </x:c>
      <x:c r="S2967" s="81" t="n">
        <x:v>1.120850242092031e-9</x:v>
      </x:c>
      <x:c r="T2967" s="81" t="n">
        <x:v>5.378895284277498e-18</x:v>
      </x:c>
    </x:row>
    <x:row r="2968">
      <x:c r="A2968" s="59" t="n">
        <x:v>2965</x:v>
      </x:c>
      <x:c r="B2968" s="193" t="n">
        <x:v>0.43059386014938356</x:v>
      </x:c>
      <x:c r="C2968" s="83" t="n">
        <x:v>1.8723738721386334</x:v>
      </x:c>
      <x:c r="D2968" s="83" t="n">
        <x:v>0.6617042681663624</x:v>
      </x:c>
      <x:c r="E2968" s="81" t="n">
        <x:v>-0.05539746642974442</x:v>
      </x:c>
      <x:c r="F2968" s="81" t="n">
        <x:v>0.5364263158873654</x:v>
      </x:c>
      <x:c r="G2968" s="81" t="n">
        <x:v>-0.022396247310870955</x:v>
      </x:c>
      <x:c r="H2968" s="59" t="n">
        <x:v>25</x:v>
      </x:c>
      <x:c r="I2968" s="81" t="n">
        <x:v>0.472096539940685</x:v>
      </x:c>
      <x:c r="J2968" s="79" t="n">
        <x:v>1.4847153877830542e-23</x:v>
      </x:c>
      <x:c r="K2968" s="81" t="n">
        <x:v>-1</x:v>
      </x:c>
      <x:c r="L2968" s="81" t="n">
        <x:v>-1</x:v>
      </x:c>
      <x:c r="M2968" s="80" t="n">
        <x:v>0.000002</x:v>
      </x:c>
      <x:c r="N2968" s="82" t="n">
        <x:v>0.2046692811224608</x:v>
      </x:c>
      <x:c r="O2968" s="82" t="n">
        <x:v>0.10371311567760375</x:v>
      </x:c>
      <x:c r="P2968" s="80" t="n">
        <x:v>777.977009804468</x:v>
      </x:c>
      <x:c r="Q2968" s="81" t="n">
        <x:v>2592255.084948923</x:v>
      </x:c>
      <x:c r="R2968" s="81" t="n">
        <x:v>2.6446737558114646</x:v>
      </x:c>
      <x:c r="S2968" s="81" t="n">
        <x:v>1.6150453303357667e-10</x:v>
      </x:c>
      <x:c r="T2968" s="81" t="n">
        <x:v>3.2162176758489688e-19</x:v>
      </x:c>
    </x:row>
    <x:row r="2969">
      <x:c r="A2969" s="59" t="n">
        <x:v>2966</x:v>
      </x:c>
      <x:c r="B2969" s="193" t="n">
        <x:v>0.29572263900190593</x:v>
      </x:c>
      <x:c r="C2969" s="83" t="n">
        <x:v>0.5464107606232653</x:v>
      </x:c>
      <x:c r="D2969" s="83" t="n">
        <x:v>0.7062049051175321</x:v>
      </x:c>
      <x:c r="E2969" s="81" t="n">
        <x:v>0.02753708368418027</x:v>
      </x:c>
      <x:c r="F2969" s="81" t="n">
        <x:v>0.8134165975498036</x:v>
      </x:c>
      <x:c r="G2969" s="81" t="n">
        <x:v>0.014986256732946719</x:v>
      </x:c>
      <x:c r="H2969" s="59" t="n">
        <x:v>0</x:v>
      </x:c>
      <x:c r="I2969" s="81" t="n">
        <x:v>0</x:v>
      </x:c>
      <x:c r="J2969" s="79" t="n">
        <x:v>0.00030673709983998634</x:v>
      </x:c>
      <x:c r="K2969" s="81" t="n">
        <x:v>-0.6494433144685869</x:v>
      </x:c>
      <x:c r="L2969" s="81" t="n">
        <x:v>-0.8335783390265588</x:v>
      </x:c>
      <x:c r="M2969" s="80" t="n">
        <x:v>5012.772741688132</x:v>
      </x:c>
      <x:c r="N2969" s="82" t="n">
        <x:v>0.17254042740973535</x:v>
      </x:c>
      <x:c r="O2969" s="82" t="n">
        <x:v>0.13257903121011283</x:v>
      </x:c>
      <x:c r="P2969" s="80" t="n">
        <x:v>7911.236182723819</x:v>
      </x:c>
      <x:c r="Q2969" s="81" t="n">
        <x:v>0.010132625601540294</x:v>
      </x:c>
      <x:c r="R2969" s="81" t="n">
        <x:v>40.13309696982013</x:v>
      </x:c>
      <x:c r="S2969" s="81" t="n">
        <x:v>11.653634795245102</x:v>
      </x:c>
      <x:c r="T2969" s="81" t="n">
        <x:v>6.64459525685313</x:v>
      </x:c>
    </x:row>
    <x:row r="2970">
      <x:c r="A2970" s="59" t="n">
        <x:v>2967</x:v>
      </x:c>
      <x:c r="B2970" s="193" t="n">
        <x:v>0.8398628218099475</x:v>
      </x:c>
      <x:c r="C2970" s="83" t="n">
        <x:v>0.8419680276739899</x:v>
      </x:c>
      <x:c r="D2970" s="83" t="n">
        <x:v>0.7393752830587025</x:v>
      </x:c>
      <x:c r="E2970" s="81" t="n">
        <x:v>0.06276468174150718</x:v>
      </x:c>
      <x:c r="F2970" s="81" t="n">
        <x:v>0.7028789221309126</x:v>
      </x:c>
      <x:c r="G2970" s="81" t="n">
        <x:v>0.02089598269994551</x:v>
      </x:c>
      <x:c r="H2970" s="59" t="n">
        <x:v>0</x:v>
      </x:c>
      <x:c r="I2970" s="81" t="n">
        <x:v>0</x:v>
      </x:c>
      <x:c r="J2970" s="79" t="n">
        <x:v>0.0014131803465405662</x:v>
      </x:c>
      <x:c r="K2970" s="81" t="n">
        <x:v>0.6150632531892186</x:v>
      </x:c>
      <x:c r="L2970" s="81" t="n">
        <x:v>-0.7652292197327256</x:v>
      </x:c>
      <x:c r="M2970" s="80" t="n">
        <x:v>14405.269104017672</x:v>
      </x:c>
      <x:c r="N2970" s="82" t="n">
        <x:v>0.30216482158303853</x:v>
      </x:c>
      <x:c r="O2970" s="82" t="n">
        <x:v>0.20062976460341486</x:v>
      </x:c>
      <x:c r="P2970" s="80" t="n">
        <x:v>20731.593430702014</x:v>
      </x:c>
      <x:c r="Q2970" s="81" t="n">
        <x:v>0.007513913905660729</x:v>
      </x:c>
      <x:c r="R2970" s="81" t="n">
        <x:v>53.32130604430457</x:v>
      </x:c>
      <x:c r="S2970" s="81" t="n">
        <x:v>34.59297361394573</x:v>
      </x:c>
      <x:c r="T2970" s="81" t="n">
        <x:v>30.612571588503446</x:v>
      </x:c>
    </x:row>
    <x:row r="2971">
      <x:c r="A2971" s="59" t="n">
        <x:v>2968</x:v>
      </x:c>
      <x:c r="B2971" s="193" t="n">
        <x:v>0.6452047154307365</x:v>
      </x:c>
      <x:c r="C2971" s="83" t="n">
        <x:v>0.4606149846214452</x:v>
      </x:c>
      <x:c r="D2971" s="83" t="n">
        <x:v>1.9565658017658583</x:v>
      </x:c>
      <x:c r="E2971" s="81" t="n">
        <x:v>-0.12339624698441463</x:v>
      </x:c>
      <x:c r="F2971" s="81" t="n">
        <x:v>0.32772996471030635</x:v>
      </x:c>
      <x:c r="G2971" s="81" t="n">
        <x:v>-0.00858363983735313</x:v>
      </x:c>
      <x:c r="H2971" s="59" t="n">
        <x:v>22</x:v>
      </x:c>
      <x:c r="I2971" s="81" t="n">
        <x:v>0.45151552716270094</x:v>
      </x:c>
      <x:c r="J2971" s="79" t="n">
        <x:v>5.831866243205524e-73</x:v>
      </x:c>
      <x:c r="K2971" s="81" t="n">
        <x:v>-1</x:v>
      </x:c>
      <x:c r="L2971" s="81" t="n">
        <x:v>-1</x:v>
      </x:c>
      <x:c r="M2971" s="80" t="n">
        <x:v>0.000002</x:v>
      </x:c>
      <x:c r="N2971" s="82" t="n">
        <x:v>0.2557936108040155</x:v>
      </x:c>
      <x:c r="O2971" s="82" t="n">
        <x:v>0.07919117476342215</x:v>
      </x:c>
      <x:c r="P2971" s="80" t="n">
        <x:v>262.59772164784914</x:v>
      </x:c>
      <x:c r="Q2971" s="81" t="n">
        <x:v>3.153684647757112e+55</x:v>
      </x:c>
      <x:c r="R2971" s="81" t="n">
        <x:v>1.5940751466472343</x:v>
      </x:c>
      <x:c r="S2971" s="81" t="n">
        <x:v>1.0566029077649838e-9</x:v>
      </x:c>
      <x:c r="T2971" s="81" t="n">
        <x:v>1.2633095507005833e-68</x:v>
      </x:c>
    </x:row>
    <x:row r="2972">
      <x:c r="A2972" s="59" t="n">
        <x:v>2969</x:v>
      </x:c>
      <x:c r="B2972" s="193" t="n">
        <x:v>0.5718526452779771</x:v>
      </x:c>
      <x:c r="C2972" s="83" t="n">
        <x:v>1.0369479258808192</x:v>
      </x:c>
      <x:c r="D2972" s="83" t="n">
        <x:v>0.7116458639360177</x:v>
      </x:c>
      <x:c r="E2972" s="81" t="n">
        <x:v>-0.11038472161287292</x:v>
      </x:c>
      <x:c r="F2972" s="81" t="n">
        <x:v>0.2727406335179694</x:v>
      </x:c>
      <x:c r="G2972" s="81" t="n">
        <x:v>0.030966784982738634</x:v>
      </x:c>
      <x:c r="H2972" s="59" t="n">
        <x:v>0</x:v>
      </x:c>
      <x:c r="I2972" s="81" t="n">
        <x:v>0</x:v>
      </x:c>
      <x:c r="J2972" s="79" t="n">
        <x:v>5.199606018851367e-41</x:v>
      </x:c>
      <x:c r="K2972" s="81" t="n">
        <x:v>-1</x:v>
      </x:c>
      <x:c r="L2972" s="81" t="n">
        <x:v>-1</x:v>
      </x:c>
      <x:c r="M2972" s="80" t="n">
        <x:v>0.000002</x:v>
      </x:c>
      <x:c r="N2972" s="82" t="n">
        <x:v>0.23831977234231308</x:v>
      </x:c>
      <x:c r="O2972" s="82" t="n">
        <x:v>0.061401765985239304</x:v>
      </x:c>
      <x:c r="P2972" s="80" t="n">
        <x:v>316.5995227867091</x:v>
      </x:c>
      <x:c r="Q2972" s="81" t="n">
        <x:v>3.908308831532515e+23</x:v>
      </x:c>
      <x:c r="R2972" s="81" t="n">
        <x:v>2.1563106938805143</x:v>
      </x:c>
      <x:c r="S2972" s="81" t="n">
        <x:v>4.4353882249266226e-10</x:v>
      </x:c>
      <x:c r="T2972" s="81" t="n">
        <x:v>1.1263481824789988e-36</x:v>
      </x:c>
    </x:row>
    <x:row r="2973">
      <x:c r="A2973" s="59" t="n">
        <x:v>2970</x:v>
      </x:c>
      <x:c r="B2973" s="193" t="n">
        <x:v>0.9577899549156428</x:v>
      </x:c>
      <x:c r="C2973" s="83" t="n">
        <x:v>0.20778108669956874</x:v>
      </x:c>
      <x:c r="D2973" s="83" t="n">
        <x:v>1.6162709386661491</x:v>
      </x:c>
      <x:c r="E2973" s="81" t="n">
        <x:v>-0.12616945136680147</x:v>
      </x:c>
      <x:c r="F2973" s="81" t="n">
        <x:v>0.6791729996330105</x:v>
      </x:c>
      <x:c r="G2973" s="81" t="n">
        <x:v>-0.00011737222557578417</x:v>
      </x:c>
      <x:c r="H2973" s="59" t="n">
        <x:v>0</x:v>
      </x:c>
      <x:c r="I2973" s="81" t="n">
        <x:v>0</x:v>
      </x:c>
      <x:c r="J2973" s="79" t="n">
        <x:v>2.5597656507103604e-67</x:v>
      </x:c>
      <x:c r="K2973" s="81" t="n">
        <x:v>-1</x:v>
      </x:c>
      <x:c r="L2973" s="81" t="n">
        <x:v>-1</x:v>
      </x:c>
      <x:c r="M2973" s="80" t="n">
        <x:v>0.000002</x:v>
      </x:c>
      <x:c r="N2973" s="82" t="n">
        <x:v>0.33025727582256087</x:v>
      </x:c>
      <x:c r="O2973" s="82" t="n">
        <x:v>0.21188672498911204</x:v>
      </x:c>
      <x:c r="P2973" s="80" t="n">
        <x:v>196.5867467532639</x:v>
      </x:c>
      <x:c r="Q2973" s="81" t="n">
        <x:v>7.044401841020349e+49</x:v>
      </x:c>
      <x:c r="R2973" s="81" t="n">
        <x:v>3.3223444665771256</x:v>
      </x:c>
      <x:c r="S2973" s="81" t="n">
        <x:v>1.1706035166786802e-9</x:v>
      </x:c>
      <x:c r="T2973" s="81" t="n">
        <x:v>5.545011252384666e-63</x:v>
      </x:c>
    </x:row>
    <x:row r="2974">
      <x:c r="A2974" s="59" t="n">
        <x:v>2971</x:v>
      </x:c>
      <x:c r="B2974" s="193" t="n">
        <x:v>0.6572531184181571</x:v>
      </x:c>
      <x:c r="C2974" s="83" t="n">
        <x:v>0.6233067169716746</x:v>
      </x:c>
      <x:c r="D2974" s="83" t="n">
        <x:v>0.5784188839184916</x:v>
      </x:c>
      <x:c r="E2974" s="81" t="n">
        <x:v>0.11491883572598234</x:v>
      </x:c>
      <x:c r="F2974" s="81" t="n">
        <x:v>0.7959516260656528</x:v>
      </x:c>
      <x:c r="G2974" s="81" t="n">
        <x:v>0.015240808677608431</x:v>
      </x:c>
      <x:c r="H2974" s="59" t="n">
        <x:v>49</x:v>
      </x:c>
      <x:c r="I2974" s="81" t="n">
        <x:v>0.2142411483451724</x:v>
      </x:c>
      <x:c r="J2974" s="79" t="n">
        <x:v>0.002256217881443708</x:v>
      </x:c>
      <x:c r="K2974" s="81" t="n">
        <x:v>1.5785347216499521</x:v>
      </x:c>
      <x:c r="L2974" s="81" t="n">
        <x:v>-0.8301088053663701</x:v>
      </x:c>
      <x:c r="M2974" s="80" t="n">
        <x:v>17186.03149113279</x:v>
      </x:c>
      <x:c r="N2974" s="82" t="n">
        <x:v>0.25866376630317534</x:v>
      </x:c>
      <x:c r="O2974" s="82" t="n">
        <x:v>0.19448818034595236</x:v>
      </x:c>
      <x:c r="P2974" s="80" t="n">
        <x:v>18567.23078870523</x:v>
      </x:c>
      <x:c r="Q2974" s="81" t="n">
        <x:v>0.004302293460492648</x:v>
      </x:c>
      <x:c r="R2974" s="81" t="n">
        <x:v>106.58825925423422</x:v>
      </x:c>
      <x:c r="S2974" s="81" t="n">
        <x:v>70.74072735228411</x:v>
      </x:c>
      <x:c r="T2974" s="81" t="n">
        <x:v>48.87460513021961</x:v>
      </x:c>
    </x:row>
    <x:row r="2975">
      <x:c r="A2975" s="59" t="n">
        <x:v>2972</x:v>
      </x:c>
      <x:c r="B2975" s="193" t="n">
        <x:v>0.24165273662656547</x:v>
      </x:c>
      <x:c r="C2975" s="83" t="n">
        <x:v>0.24437658681891525</x:v>
      </x:c>
      <x:c r="D2975" s="83" t="n">
        <x:v>0.47372996321663485</x:v>
      </x:c>
      <x:c r="E2975" s="81" t="n">
        <x:v>-0.10777116285286295</x:v>
      </x:c>
      <x:c r="F2975" s="81" t="n">
        <x:v>0.36413103172089906</x:v>
      </x:c>
      <x:c r="G2975" s="81" t="n">
        <x:v>0.016045197883688037</x:v>
      </x:c>
      <x:c r="H2975" s="59" t="n">
        <x:v>17</x:v>
      </x:c>
      <x:c r="I2975" s="81" t="n">
        <x:v>0.3178325770422816</x:v>
      </x:c>
      <x:c r="J2975" s="79" t="n">
        <x:v>3.0100885169322893e-30</x:v>
      </x:c>
      <x:c r="K2975" s="81" t="n">
        <x:v>-1</x:v>
      </x:c>
      <x:c r="L2975" s="81" t="n">
        <x:v>-1</x:v>
      </x:c>
      <x:c r="M2975" s="80" t="n">
        <x:v>0.000002</x:v>
      </x:c>
      <x:c r="N2975" s="82" t="n">
        <x:v>0.1596599628532597</x:v>
      </x:c>
      <x:c r="O2975" s="82" t="n">
        <x:v>0.05491925754836006</x:v>
      </x:c>
      <x:c r="P2975" s="80" t="n">
        <x:v>180.16963489073194</x:v>
      </x:c>
      <x:c r="Q2975" s="81" t="n">
        <x:v>6898632668882.487</x:v>
      </x:c>
      <x:c r="R2975" s="81" t="n">
        <x:v>11.638182215173199</x:v>
      </x:c>
      <x:c r="S2975" s="81" t="n">
        <x:v>4.047544496518197e-10</x:v>
      </x:c>
      <x:c r="T2975" s="81" t="n">
        <x:v>6.520508895973154e-26</x:v>
      </x:c>
    </x:row>
    <x:row r="2976">
      <x:c r="A2976" s="59" t="n">
        <x:v>2973</x:v>
      </x:c>
      <x:c r="B2976" s="193" t="n">
        <x:v>0.2803859502077103</x:v>
      </x:c>
      <x:c r="C2976" s="83" t="n">
        <x:v>0.15975886038472656</x:v>
      </x:c>
      <x:c r="D2976" s="83" t="n">
        <x:v>0.5267035987134717</x:v>
      </x:c>
      <x:c r="E2976" s="81" t="n">
        <x:v>-0.02565981901932866</x:v>
      </x:c>
      <x:c r="F2976" s="81" t="n">
        <x:v>0.3497408111114055</x:v>
      </x:c>
      <x:c r="G2976" s="81" t="n">
        <x:v>-0.04358089833557797</x:v>
      </x:c>
      <x:c r="H2976" s="59" t="n">
        <x:v>0</x:v>
      </x:c>
      <x:c r="I2976" s="81" t="n">
        <x:v>0</x:v>
      </x:c>
      <x:c r="J2976" s="79" t="n">
        <x:v>5.230683771178292e-11</x:v>
      </x:c>
      <x:c r="K2976" s="81" t="n">
        <x:v>-0.9999999402207569</x:v>
      </x:c>
      <x:c r="L2976" s="81" t="n">
        <x:v>-0.9999999402207569</x:v>
      </x:c>
      <x:c r="M2976" s="80" t="n">
        <x:v>1.4532747029769315</x:v>
      </x:c>
      <x:c r="N2976" s="82" t="n">
        <x:v>0.16888694057604295</x:v>
      </x:c>
      <x:c r="O2976" s="82" t="n">
        <x:v>0.055797317859260044</x:v>
      </x:c>
      <x:c r="P2976" s="80" t="n">
        <x:v>514.4646113278259</x:v>
      </x:c>
      <x:c r="Q2976" s="81" t="n">
        <x:v>1.1172394036777533</x:v>
      </x:c>
      <x:c r="R2976" s="81" t="n">
        <x:v>46.678904080971165</x:v>
      </x:c>
      <x:c r="S2976" s="81" t="n">
        <x:v>0.00017680236943185028</x:v>
      </x:c>
      <x:c r="T2976" s="81" t="n">
        <x:v>0.0000011330803021284599</x:v>
      </x:c>
    </x:row>
    <x:row r="2977">
      <x:c r="A2977" s="59" t="n">
        <x:v>2974</x:v>
      </x:c>
      <x:c r="B2977" s="193" t="n">
        <x:v>0.5374295298010111</x:v>
      </x:c>
      <x:c r="C2977" s="83" t="n">
        <x:v>0.33057073327590847</x:v>
      </x:c>
      <x:c r="D2977" s="83" t="n">
        <x:v>0.5528429321766951</x:v>
      </x:c>
      <x:c r="E2977" s="81" t="n">
        <x:v>-0.03695476919270329</x:v>
      </x:c>
      <x:c r="F2977" s="81" t="n">
        <x:v>0.7906316843931563</x:v>
      </x:c>
      <x:c r="G2977" s="81" t="n">
        <x:v>-0.02593001697120872</x:v>
      </x:c>
      <x:c r="H2977" s="59" t="n">
        <x:v>0</x:v>
      </x:c>
      <x:c r="I2977" s="81" t="n">
        <x:v>0</x:v>
      </x:c>
      <x:c r="J2977" s="79" t="n">
        <x:v>1.6038148488194985e-15</x:v>
      </x:c>
      <x:c r="K2977" s="81" t="n">
        <x:v>-0.999999999998167</x:v>
      </x:c>
      <x:c r="L2977" s="81" t="n">
        <x:v>-0.999999999998167</x:v>
      </x:c>
      <x:c r="M2977" s="80" t="n">
        <x:v>0.00937343551887969</x:v>
      </x:c>
      <x:c r="N2977" s="82" t="n">
        <x:v>0.23011954080228456</x:v>
      </x:c>
      <x:c r="O2977" s="82" t="n">
        <x:v>0.17186943733885718</x:v>
      </x:c>
      <x:c r="P2977" s="80" t="n">
        <x:v>381.75294728170815</x:v>
      </x:c>
      <x:c r="Q2977" s="81" t="n">
        <x:v>165.64353808548972</x:v>
      </x:c>
      <x:c r="R2977" s="81" t="n">
        <x:v>14.195588205045683</x:v>
      </x:c>
      <x:c r="S2977" s="81" t="n">
        <x:v>0.0000012756320406203213</x:v>
      </x:c>
      <x:c r="T2977" s="81" t="n">
        <x:v>3.474213110476652e-11</x:v>
      </x:c>
    </x:row>
    <x:row r="2978">
      <x:c r="A2978" s="59" t="n">
        <x:v>2975</x:v>
      </x:c>
      <x:c r="B2978" s="193" t="n">
        <x:v>0.3676895905286074</x:v>
      </x:c>
      <x:c r="C2978" s="83" t="n">
        <x:v>1.562409189799566</x:v>
      </x:c>
      <x:c r="D2978" s="83" t="n">
        <x:v>1.6394994876497302</x:v>
      </x:c>
      <x:c r="E2978" s="81" t="n">
        <x:v>0.07150297011949812</x:v>
      </x:c>
      <x:c r="F2978" s="81" t="n">
        <x:v>0.7963394592748955</x:v>
      </x:c>
      <x:c r="G2978" s="81" t="n">
        <x:v>-0.05</x:v>
      </x:c>
      <x:c r="H2978" s="59" t="n">
        <x:v>0</x:v>
      </x:c>
      <x:c r="I2978" s="81" t="n">
        <x:v>0</x:v>
      </x:c>
      <x:c r="J2978" s="79" t="n">
        <x:v>0.007675469317961208</x:v>
      </x:c>
      <x:c r="K2978" s="81" t="n">
        <x:v>7.771964934812809</x:v>
      </x:c>
      <x:c r="L2978" s="81" t="n">
        <x:v>-0.7981270203683517</x:v>
      </x:c>
      <x:c r="M2978" s="80" t="n">
        <x:v>52242.30545310243</x:v>
      </x:c>
      <x:c r="N2978" s="82" t="n">
        <x:v>0.18968430464373678</x:v>
      </x:c>
      <x:c r="O2978" s="82" t="n">
        <x:v>0.14269231194833218</x:v>
      </x:c>
      <x:c r="P2978" s="80" t="n">
        <x:v>140721.97340159796</x:v>
      </x:c>
      <x:c r="Q2978" s="81" t="n">
        <x:v>0.005094030514589013</x:v>
      </x:c>
      <x:c r="R2978" s="81" t="n">
        <x:v>360.1526692237579</x:v>
      </x:c>
      <x:c r="S2978" s="81" t="n">
        <x:v>99.55579917305803</x:v>
      </x:c>
      <x:c r="T2978" s="81" t="n">
        <x:v>166.2674226588562</x:v>
      </x:c>
    </x:row>
    <x:row r="2979">
      <x:c r="A2979" s="59" t="n">
        <x:v>2976</x:v>
      </x:c>
      <x:c r="B2979" s="193" t="n">
        <x:v>0.9029684202745558</x:v>
      </x:c>
      <x:c r="C2979" s="83" t="n">
        <x:v>1.089029278555562</x:v>
      </x:c>
      <x:c r="D2979" s="83" t="n">
        <x:v>0.9536591980019078</x:v>
      </x:c>
      <x:c r="E2979" s="81" t="n">
        <x:v>0.09799369448426833</x:v>
      </x:c>
      <x:c r="F2979" s="81" t="n">
        <x:v>0.4517241285531782</x:v>
      </x:c>
      <x:c r="G2979" s="81" t="n">
        <x:v>-0.0341668390360868</x:v>
      </x:c>
      <x:c r="H2979" s="59" t="n">
        <x:v>0</x:v>
      </x:c>
      <x:c r="I2979" s="81" t="n">
        <x:v>0</x:v>
      </x:c>
      <x:c r="J2979" s="79" t="n">
        <x:v>0.005022734770576244</x:v>
      </x:c>
      <x:c r="K2979" s="81" t="n">
        <x:v>4.740268309229994</x:v>
      </x:c>
      <x:c r="L2979" s="81" t="n">
        <x:v>-0.7637668330787447</x:v>
      </x:c>
      <x:c r="M2979" s="80" t="n">
        <x:v>33299.27319293871</x:v>
      </x:c>
      <x:c r="N2979" s="82" t="n">
        <x:v>0.3171977583672794</x:v>
      </x:c>
      <x:c r="O2979" s="82" t="n">
        <x:v>0.13535501149856963</x:v>
      </x:c>
      <x:c r="P2979" s="80" t="n">
        <x:v>55103.00688576521</x:v>
      </x:c>
      <x:c r="Q2979" s="81" t="n">
        <x:v>0.0035035624934189173</x:v>
      </x:c>
      <x:c r="R2979" s="81" t="n">
        <x:v>257.6429224584577</x:v>
      </x:c>
      <x:c r="S2979" s="81" t="n">
        <x:v>90.37454265206722</x:v>
      </x:c>
      <x:c r="T2979" s="81" t="n">
        <x:v>108.80340086155942</x:v>
      </x:c>
    </x:row>
    <x:row r="2980">
      <x:c r="A2980" s="59" t="n">
        <x:v>2977</x:v>
      </x:c>
      <x:c r="B2980" s="193" t="n">
        <x:v>0.2577258935198188</x:v>
      </x:c>
      <x:c r="C2980" s="83" t="n">
        <x:v>1.5750944730449292</x:v>
      </x:c>
      <x:c r="D2980" s="83" t="n">
        <x:v>0.6517216115153674</x:v>
      </x:c>
      <x:c r="E2980" s="81" t="n">
        <x:v>0.10464000644878059</x:v>
      </x:c>
      <x:c r="F2980" s="81" t="n">
        <x:v>0.8789505428518168</x:v>
      </x:c>
      <x:c r="G2980" s="81" t="n">
        <x:v>-0.019006326656132944</x:v>
      </x:c>
      <x:c r="H2980" s="59" t="n">
        <x:v>0</x:v>
      </x:c>
      <x:c r="I2980" s="81" t="n">
        <x:v>0</x:v>
      </x:c>
      <x:c r="J2980" s="79" t="n">
        <x:v>0.0054219815515302505</x:v>
      </x:c>
      <x:c r="K2980" s="81" t="n">
        <x:v>5.196550344606001</x:v>
      </x:c>
      <x:c r="L2980" s="81" t="n">
        <x:v>-0.7002078960451034</x:v>
      </x:c>
      <x:c r="M2980" s="80" t="n">
        <x:v>40499.60220500226</x:v>
      </x:c>
      <x:c r="N2980" s="82" t="n">
        <x:v>0.1634888901969242</x:v>
      </x:c>
      <x:c r="O2980" s="82" t="n">
        <x:v>0.1357449326231771</x:v>
      </x:c>
      <x:c r="P2980" s="80" t="n">
        <x:v>48166.81863243863</x:v>
      </x:c>
      <x:c r="Q2980" s="81" t="n">
        <x:v>0.003250966327417423</x:v>
      </x:c>
      <x:c r="R2980" s="81" t="n">
        <x:v>126.64583890220636</x:v>
      </x:c>
      <x:c r="S2980" s="81" t="n">
        <x:v>67.80005348293616</x:v>
      </x:c>
      <x:c r="T2980" s="81" t="n">
        <x:v>117.4519577802522</x:v>
      </x:c>
    </x:row>
    <x:row r="2981">
      <x:c r="A2981" s="59" t="n">
        <x:v>2978</x:v>
      </x:c>
      <x:c r="B2981" s="193" t="n">
        <x:v>0.24292745906859636</x:v>
      </x:c>
      <x:c r="C2981" s="83" t="n">
        <x:v>1.4548943103676444</x:v>
      </x:c>
      <x:c r="D2981" s="83" t="n">
        <x:v>1.2626427306581653</x:v>
      </x:c>
      <x:c r="E2981" s="81" t="n">
        <x:v>-0.12049164523646204</x:v>
      </x:c>
      <x:c r="F2981" s="81" t="n">
        <x:v>0.6435212418320588</x:v>
      </x:c>
      <x:c r="G2981" s="81" t="n">
        <x:v>-0.012404699339423763</x:v>
      </x:c>
      <x:c r="H2981" s="59" t="n">
        <x:v>78</x:v>
      </x:c>
      <x:c r="I2981" s="81" t="n">
        <x:v>0.24452203521505</x:v>
      </x:c>
      <x:c r="J2981" s="79" t="n">
        <x:v>7.535455304786421e-53</x:v>
      </x:c>
      <x:c r="K2981" s="81" t="n">
        <x:v>-1</x:v>
      </x:c>
      <x:c r="L2981" s="81" t="n">
        <x:v>-1</x:v>
      </x:c>
      <x:c r="M2981" s="80" t="n">
        <x:v>0.000002</x:v>
      </x:c>
      <x:c r="N2981" s="82" t="n">
        <x:v>0.15996362563999716</x:v>
      </x:c>
      <x:c r="O2981" s="82" t="n">
        <x:v>0.0972422654144046</x:v>
      </x:c>
      <x:c r="P2981" s="80" t="n">
        <x:v>396.66745918790804</x:v>
      </x:c>
      <x:c r="Q2981" s="81" t="n">
        <x:v>2.493084456394938e+35</x:v>
      </x:c>
      <x:c r="R2981" s="81" t="n">
        <x:v>1.017901622198836</x:v>
      </x:c>
      <x:c r="S2981" s="81" t="n">
        <x:v>3.8707619996653563e-10</x:v>
      </x:c>
      <x:c r="T2981" s="81" t="n">
        <x:v>1.6323441345221153e-48</x:v>
      </x:c>
    </x:row>
    <x:row r="2982">
      <x:c r="A2982" s="59" t="n">
        <x:v>2979</x:v>
      </x:c>
      <x:c r="B2982" s="193" t="n">
        <x:v>0.6041747817769647</x:v>
      </x:c>
      <x:c r="C2982" s="83" t="n">
        <x:v>2.0518364822061232</x:v>
      </x:c>
      <x:c r="D2982" s="83" t="n">
        <x:v>0.16581583358901397</x:v>
      </x:c>
      <x:c r="E2982" s="81" t="n">
        <x:v>-0.1563740461414131</x:v>
      </x:c>
      <x:c r="F2982" s="81" t="n">
        <x:v>0.5557625161716715</x:v>
      </x:c>
      <x:c r="G2982" s="81" t="n">
        <x:v>0.03343310318601463</x:v>
      </x:c>
      <x:c r="H2982" s="59" t="n">
        <x:v>73</x:v>
      </x:c>
      <x:c r="I2982" s="81" t="n">
        <x:v>0.14358766432851555</x:v>
      </x:c>
      <x:c r="J2982" s="79" t="n">
        <x:v>1.5004298836235899e-23</x:v>
      </x:c>
      <x:c r="K2982" s="81" t="n">
        <x:v>-1</x:v>
      </x:c>
      <x:c r="L2982" s="81" t="n">
        <x:v>-1</x:v>
      </x:c>
      <x:c r="M2982" s="80" t="n">
        <x:v>0.000002135292605520975</x:v>
      </x:c>
      <x:c r="N2982" s="82" t="n">
        <x:v>0.24601951129643124</x:v>
      </x:c>
      <x:c r="O2982" s="82" t="n">
        <x:v>0.12916050828172607</x:v>
      </x:c>
      <x:c r="P2982" s="80" t="n">
        <x:v>279.5649427251516</x:v>
      </x:c>
      <x:c r="Q2982" s="81" t="n">
        <x:v>1063016.8723252858</x:v>
      </x:c>
      <x:c r="R2982" s="81" t="n">
        <x:v>2.607290847296821</x:v>
      </x:c>
      <x:c r="S2982" s="81" t="n">
        <x:v>8.162424015578065e-11</x:v>
      </x:c>
      <x:c r="T2982" s="81" t="n">
        <x:v>3.2502587046584383e-19</x:v>
      </x:c>
    </x:row>
    <x:row r="2983">
      <x:c r="A2983" s="59" t="n">
        <x:v>2980</x:v>
      </x:c>
      <x:c r="B2983" s="193" t="n">
        <x:v>0.7231132263317706</x:v>
      </x:c>
      <x:c r="C2983" s="83" t="n">
        <x:v>0.14422962286567922</x:v>
      </x:c>
      <x:c r="D2983" s="83" t="n">
        <x:v>0.3955462904777548</x:v>
      </x:c>
      <x:c r="E2983" s="81" t="n">
        <x:v>0.11963077072517686</x:v>
      </x:c>
      <x:c r="F2983" s="81" t="n">
        <x:v>0.5129607157316058</x:v>
      </x:c>
      <x:c r="G2983" s="81" t="n">
        <x:v>0.02129826128513182</x:v>
      </x:c>
      <x:c r="H2983" s="59" t="n">
        <x:v>23</x:v>
      </x:c>
      <x:c r="I2983" s="81" t="n">
        <x:v>0.11053950274363161</x:v>
      </x:c>
      <x:c r="J2983" s="79" t="n">
        <x:v>0.0013082954970975124</x:v>
      </x:c>
      <x:c r="K2983" s="81" t="n">
        <x:v>0.4951948538257285</x:v>
      </x:c>
      <x:c r="L2983" s="81" t="n">
        <x:v>-0.7757490581175794</x:v>
      </x:c>
      <x:c r="M2983" s="80" t="n">
        <x:v>8646.034719520645</x:v>
      </x:c>
      <x:c r="N2983" s="82" t="n">
        <x:v>0.2743528788852216</x:v>
      </x:c>
      <x:c r="O2983" s="82" t="n">
        <x:v>0.13294272308873287</x:v>
      </x:c>
      <x:c r="P2983" s="80" t="n">
        <x:v>6914.561064883883</x:v>
      </x:c>
      <x:c r="Q2983" s="81" t="n">
        <x:v>0.002743379426560129</x:v>
      </x:c>
      <x:c r="R2983" s="81" t="n">
        <x:v>258.208381717358</x:v>
      </x:c>
      <x:c r="S2983" s="81" t="n">
        <x:v>170.28972383829185</x:v>
      </x:c>
      <x:c r="T2983" s="81" t="n">
        <x:v>28.340536762952098</x:v>
      </x:c>
    </x:row>
    <x:row r="2984">
      <x:c r="A2984" s="59" t="n">
        <x:v>2981</x:v>
      </x:c>
      <x:c r="B2984" s="193" t="n">
        <x:v>0.6998303156346083</x:v>
      </x:c>
      <x:c r="C2984" s="83" t="n">
        <x:v>0.5201184583587156</x:v>
      </x:c>
      <x:c r="D2984" s="83" t="n">
        <x:v>0.5182119752207729</x:v>
      </x:c>
      <x:c r="E2984" s="81" t="n">
        <x:v>-0.052090778167536565</x:v>
      </x:c>
      <x:c r="F2984" s="81" t="n">
        <x:v>0.4969475594349205</x:v>
      </x:c>
      <x:c r="G2984" s="81" t="n">
        <x:v>0.02332804369782953</x:v>
      </x:c>
      <x:c r="H2984" s="59" t="n">
        <x:v>0</x:v>
      </x:c>
      <x:c r="I2984" s="81" t="n">
        <x:v>0</x:v>
      </x:c>
      <x:c r="J2984" s="79" t="n">
        <x:v>3.694071371204144e-23</x:v>
      </x:c>
      <x:c r="K2984" s="81" t="n">
        <x:v>-1</x:v>
      </x:c>
      <x:c r="L2984" s="81" t="n">
        <x:v>-1</x:v>
      </x:c>
      <x:c r="M2984" s="80" t="n">
        <x:v>0.000002</x:v>
      </x:c>
      <x:c r="N2984" s="82" t="n">
        <x:v>0.26880645300258194</x:v>
      </x:c>
      <x:c r="O2984" s="82" t="n">
        <x:v>0.126188911498387</x:v>
      </x:c>
      <x:c r="P2984" s="80" t="n">
        <x:v>379.2876048590707</x:v>
      </x:c>
      <x:c r="Q2984" s="81" t="n">
        <x:v>1104541.1133702153</x:v>
      </x:c>
      <x:c r="R2984" s="81" t="n">
        <x:v>8.776193455494969</x:v>
      </x:c>
      <x:c r="S2984" s="81" t="n">
        <x:v>3.95350030171943e-10</x:v>
      </x:c>
      <x:c r="T2984" s="81" t="n">
        <x:v>8.002165086774492e-19</x:v>
      </x:c>
    </x:row>
    <x:row r="2985">
      <x:c r="A2985" s="59" t="n">
        <x:v>2982</x:v>
      </x:c>
      <x:c r="B2985" s="193" t="n">
        <x:v>0.7235212003812195</x:v>
      </x:c>
      <x:c r="C2985" s="83" t="n">
        <x:v>0.17593306124264957</x:v>
      </x:c>
      <x:c r="D2985" s="83" t="n">
        <x:v>0.567233144516606</x:v>
      </x:c>
      <x:c r="E2985" s="81" t="n">
        <x:v>0.07192038118328928</x:v>
      </x:c>
      <x:c r="F2985" s="81" t="n">
        <x:v>0.2777109928429127</x:v>
      </x:c>
      <x:c r="G2985" s="81" t="n">
        <x:v>-0.012438570551567558</x:v>
      </x:c>
      <x:c r="H2985" s="59" t="n">
        <x:v>0</x:v>
      </x:c>
      <x:c r="I2985" s="81" t="n">
        <x:v>0</x:v>
      </x:c>
      <x:c r="J2985" s="79" t="n">
        <x:v>0.0015330177844050882</x:v>
      </x:c>
      <x:c r="K2985" s="81" t="n">
        <x:v>0.7520203250343866</x:v>
      </x:c>
      <x:c r="L2985" s="81" t="n">
        <x:v>-0.6920932877691901</x:v>
      </x:c>
      <x:c r="M2985" s="80" t="n">
        <x:v>9066.053737341068</x:v>
      </x:c>
      <x:c r="N2985" s="82" t="n">
        <x:v>0.27445006595331367</x:v>
      </x:c>
      <x:c r="O2985" s="82" t="n">
        <x:v>0.07199914720036737</x:v>
      </x:c>
      <x:c r="P2985" s="80" t="n">
        <x:v>10181.557979595149</x:v>
      </x:c>
      <x:c r="Q2985" s="81" t="n">
        <x:v>0.002322419996061969</x:v>
      </x:c>
      <x:c r="R2985" s="81" t="n">
        <x:v>364.9672103555771</x:v>
      </x:c>
      <x:c r="S2985" s="81" t="n">
        <x:v>163.54427526569253</x:v>
      </x:c>
      <x:c r="T2985" s="81" t="n">
        <x:v>33.208512124041604</x:v>
      </x:c>
    </x:row>
    <x:row r="2986">
      <x:c r="A2986" s="59" t="n">
        <x:v>2983</x:v>
      </x:c>
      <x:c r="B2986" s="193" t="n">
        <x:v>0.37461646124720577</x:v>
      </x:c>
      <x:c r="C2986" s="83" t="n">
        <x:v>0.6688850192615416</x:v>
      </x:c>
      <x:c r="D2986" s="83" t="n">
        <x:v>0.9731001157872398</x:v>
      </x:c>
      <x:c r="E2986" s="81" t="n">
        <x:v>-0.0276254629450582</x:v>
      </x:c>
      <x:c r="F2986" s="81" t="n">
        <x:v>0.79411374789197</x:v>
      </x:c>
      <x:c r="G2986" s="81" t="n">
        <x:v>-0.026541038858916455</x:v>
      </x:c>
      <x:c r="H2986" s="59" t="n">
        <x:v>0</x:v>
      </x:c>
      <x:c r="I2986" s="81" t="n">
        <x:v>0</x:v>
      </x:c>
      <x:c r="J2986" s="79" t="n">
        <x:v>2.016669076647269e-18</x:v>
      </x:c>
      <x:c r="K2986" s="81" t="n">
        <x:v>-0.9999999999999977</x:v>
      </x:c>
      <x:c r="L2986" s="81" t="n">
        <x:v>-0.9999999999999977</x:v>
      </x:c>
      <x:c r="M2986" s="80" t="n">
        <x:v>0.00042093870229938904</x:v>
      </x:c>
      <x:c r="N2986" s="82" t="n">
        <x:v>0.19133441512773278</x:v>
      </x:c>
      <x:c r="O2986" s="82" t="n">
        <x:v>0.14353134340092236</x:v>
      </x:c>
      <x:c r="P2986" s="80" t="n">
        <x:v>769.9447610942057</x:v>
      </x:c>
      <x:c r="Q2986" s="81" t="n">
        <x:v>7842.846838424354</x:v>
      </x:c>
      <x:c r="R2986" s="81" t="n">
        <x:v>7.383300342425902</x:v>
      </x:c>
      <x:c r="S2986" s="81" t="n">
        <x:v>8.047137363344336e-8</x:v>
      </x:c>
      <x:c r="T2986" s="81" t="n">
        <x:v>4.368545503078401e-14</x:v>
      </x:c>
    </x:row>
    <x:row r="2987">
      <x:c r="A2987" s="59" t="n">
        <x:v>2984</x:v>
      </x:c>
      <x:c r="B2987" s="193" t="n">
        <x:v>0.43158472795039415</x:v>
      </x:c>
      <x:c r="C2987" s="83" t="n">
        <x:v>0.6836354536388067</x:v>
      </x:c>
      <x:c r="D2987" s="83" t="n">
        <x:v>1.2005833956298628</x:v>
      </x:c>
      <x:c r="E2987" s="81" t="n">
        <x:v>-0.052843070761320964</x:v>
      </x:c>
      <x:c r="F2987" s="81" t="n">
        <x:v>0.3488764125853777</x:v>
      </x:c>
      <x:c r="G2987" s="81" t="n">
        <x:v>-0.024180927342783404</x:v>
      </x:c>
      <x:c r="H2987" s="59" t="n">
        <x:v>20</x:v>
      </x:c>
      <x:c r="I2987" s="81" t="n">
        <x:v>0.15623809453099968</x:v>
      </x:c>
      <x:c r="J2987" s="79" t="n">
        <x:v>6.793304952150727e-30</x:v>
      </x:c>
      <x:c r="K2987" s="81" t="n">
        <x:v>-1</x:v>
      </x:c>
      <x:c r="L2987" s="81" t="n">
        <x:v>-1</x:v>
      </x:c>
      <x:c r="M2987" s="80" t="n">
        <x:v>0.000002</x:v>
      </x:c>
      <x:c r="N2987" s="82" t="n">
        <x:v>0.20490532441143317</x:v>
      </x:c>
      <x:c r="O2987" s="82" t="n">
        <x:v>0.06752985129290845</x:v>
      </x:c>
      <x:c r="P2987" s="80" t="n">
        <x:v>520.9998047391861</x:v>
      </x:c>
      <x:c r="Q2987" s="81" t="n">
        <x:v>5925012716175.183</x:v>
      </x:c>
      <x:c r="R2987" s="81" t="n">
        <x:v>4.068502337630833</x:v>
      </x:c>
      <x:c r="S2987" s="81" t="n">
        <x:v>4.6377594670304076e-10</x:v>
      </x:c>
      <x:c r="T2987" s="81" t="n">
        <x:v>1.4715781653723943e-25</x:v>
      </x:c>
    </x:row>
    <x:row r="2988">
      <x:c r="A2988" s="59" t="n">
        <x:v>2985</x:v>
      </x:c>
      <x:c r="B2988" s="193" t="n">
        <x:v>0.21146748643368485</x:v>
      </x:c>
      <x:c r="C2988" s="83" t="n">
        <x:v>0.440882282719263</x:v>
      </x:c>
      <x:c r="D2988" s="83" t="n">
        <x:v>1.413635884851512</x:v>
      </x:c>
      <x:c r="E2988" s="81" t="n">
        <x:v>0.0520505950958345</x:v>
      </x:c>
      <x:c r="F2988" s="81" t="n">
        <x:v>0.7834131957031787</x:v>
      </x:c>
      <x:c r="G2988" s="81" t="n">
        <x:v>-0.012722690028892803</x:v>
      </x:c>
      <x:c r="H2988" s="59" t="n">
        <x:v>46</x:v>
      </x:c>
      <x:c r="I2988" s="81" t="n">
        <x:v>0.4978318052366376</x:v>
      </x:c>
      <x:c r="J2988" s="79" t="n">
        <x:v>0.003389769389404903</x:v>
      </x:c>
      <x:c r="K2988" s="81" t="n">
        <x:v>2.8740221593198894</x:v>
      </x:c>
      <x:c r="L2988" s="81" t="n">
        <x:v>-0.9419955609780896</x:v>
      </x:c>
      <x:c r="M2988" s="80" t="n">
        <x:v>18368.210655337934</x:v>
      </x:c>
      <x:c r="N2988" s="82" t="n">
        <x:v>0.15246927028387433</x:v>
      </x:c>
      <x:c r="O2988" s="82" t="n">
        <x:v>0.1128350812830075</x:v>
      </x:c>
      <x:c r="P2988" s="80" t="n">
        <x:v>44273.820598781655</x:v>
      </x:c>
      <x:c r="Q2988" s="81" t="n">
        <x:v>0.005397214031863123</x:v>
      </x:c>
      <x:c r="R2988" s="81" t="n">
        <x:v>311.29559211599707</x:v>
      </x:c>
      <x:c r="S2988" s="81" t="n">
        <x:v>149.81306222192066</x:v>
      </x:c>
      <x:c r="T2988" s="81" t="n">
        <x:v>73.42980558405073</x:v>
      </x:c>
    </x:row>
    <x:row r="2989">
      <x:c r="A2989" s="59" t="n">
        <x:v>2986</x:v>
      </x:c>
      <x:c r="B2989" s="193" t="n">
        <x:v>0.5393862877041102</x:v>
      </x:c>
      <x:c r="C2989" s="83" t="n">
        <x:v>0.2519289783268434</x:v>
      </x:c>
      <x:c r="D2989" s="83" t="n">
        <x:v>0.6684726989184622</x:v>
      </x:c>
      <x:c r="E2989" s="81" t="n">
        <x:v>-0.06989252939629989</x:v>
      </x:c>
      <x:c r="F2989" s="81" t="n">
        <x:v>0.4150003163027577</x:v>
      </x:c>
      <x:c r="G2989" s="81" t="n">
        <x:v>0.05614722618800847</x:v>
      </x:c>
      <x:c r="H2989" s="59" t="n">
        <x:v>0</x:v>
      </x:c>
      <x:c r="I2989" s="81" t="n">
        <x:v>0</x:v>
      </x:c>
      <x:c r="J2989" s="79" t="n">
        <x:v>4.7776238475770064e-33</x:v>
      </x:c>
      <x:c r="K2989" s="81" t="n">
        <x:v>-1</x:v>
      </x:c>
      <x:c r="L2989" s="81" t="n">
        <x:v>-1</x:v>
      </x:c>
      <x:c r="M2989" s="80" t="n">
        <x:v>0.000002</x:v>
      </x:c>
      <x:c r="N2989" s="82" t="n">
        <x:v>0.23058567722401327</x:v>
      </x:c>
      <x:c r="O2989" s="82" t="n">
        <x:v>0.09039651698720817</x:v>
      </x:c>
      <x:c r="P2989" s="80" t="n">
        <x:v>270.1091676472266</x:v>
      </x:c>
      <x:c r="Q2989" s="81" t="n">
        <x:v>6472800839320689</x:v>
      </x:c>
      <x:c r="R2989" s="81" t="n">
        <x:v>11.794238876208265</x:v>
      </x:c>
      <x:c r="S2989" s="81" t="n">
        <x:v>9.091922378159059e-10</x:v>
      </x:c>
      <x:c r="T2989" s="81" t="n">
        <x:v>1.0349376313852807e-28</x:v>
      </x:c>
    </x:row>
    <x:row r="2990">
      <x:c r="A2990" s="59" t="n">
        <x:v>2987</x:v>
      </x:c>
      <x:c r="B2990" s="193" t="n">
        <x:v>0.4047752669081092</x:v>
      </x:c>
      <x:c r="C2990" s="83" t="n">
        <x:v>0.35415844203532054</x:v>
      </x:c>
      <x:c r="D2990" s="83" t="n">
        <x:v>0.5499453427153942</x:v>
      </x:c>
      <x:c r="E2990" s="81" t="n">
        <x:v>-0.029009708957669484</x:v>
      </x:c>
      <x:c r="F2990" s="81" t="n">
        <x:v>0.6750170442974195</x:v>
      </x:c>
      <x:c r="G2990" s="81" t="n">
        <x:v>-0.024995105634690193</x:v>
      </x:c>
      <x:c r="H2990" s="59" t="n">
        <x:v>0</x:v>
      </x:c>
      <x:c r="I2990" s="81" t="n">
        <x:v>0</x:v>
      </x:c>
      <x:c r="J2990" s="79" t="n">
        <x:v>3.0205967852469514e-13</x:v>
      </x:c>
      <x:c r="K2990" s="81" t="n">
        <x:v>-0.9999999996547889</x:v>
      </x:c>
      <x:c r="L2990" s="81" t="n">
        <x:v>-0.9999999996547889</x:v>
      </x:c>
      <x:c r="M2990" s="80" t="n">
        <x:v>0.1299253473096386</x:v>
      </x:c>
      <x:c r="N2990" s="82" t="n">
        <x:v>0.1985188081137662</x:v>
      </x:c>
      <x:c r="O2990" s="82" t="n">
        <x:v>0.1265864847596626</x:v>
      </x:c>
      <x:c r="P2990" s="80" t="n">
        <x:v>484.40640391083383</x:v>
      </x:c>
      <x:c r="Q2990" s="81" t="n">
        <x:v>15.402595606808433</x:v>
      </x:c>
      <x:c r="R2990" s="81" t="n">
        <x:v>16.633698590198527</x:v>
      </x:c>
      <x:c r="S2990" s="81" t="n">
        <x:v>0.000017395286198434657</x:v>
      </x:c>
      <x:c r="T2990" s="81" t="n">
        <x:v>6.5432720993280036e-9</x:v>
      </x:c>
    </x:row>
    <x:row r="2991">
      <x:c r="A2991" s="59" t="n">
        <x:v>2988</x:v>
      </x:c>
      <x:c r="B2991" s="193" t="n">
        <x:v>0.8077551892027259</x:v>
      </x:c>
      <x:c r="C2991" s="83" t="n">
        <x:v>0.5517123333972336</x:v>
      </x:c>
      <x:c r="D2991" s="83" t="n">
        <x:v>1.358094574426349</x:v>
      </x:c>
      <x:c r="E2991" s="81" t="n">
        <x:v>-0.07665834668797987</x:v>
      </x:c>
      <x:c r="F2991" s="81" t="n">
        <x:v>0.7815575057291426</x:v>
      </x:c>
      <x:c r="G2991" s="81" t="n">
        <x:v>0.013211274464988494</x:v>
      </x:c>
      <x:c r="H2991" s="59" t="n">
        <x:v>0</x:v>
      </x:c>
      <x:c r="I2991" s="81" t="n">
        <x:v>0</x:v>
      </x:c>
      <x:c r="J2991" s="79" t="n">
        <x:v>1.3146967557733007e-45</x:v>
      </x:c>
      <x:c r="K2991" s="81" t="n">
        <x:v>-1</x:v>
      </x:c>
      <x:c r="L2991" s="81" t="n">
        <x:v>-1</x:v>
      </x:c>
      <x:c r="M2991" s="80" t="n">
        <x:v>0.000002</x:v>
      </x:c>
      <x:c r="N2991" s="82" t="n">
        <x:v>0.29451618147788694</x:v>
      </x:c>
      <x:c r="O2991" s="82" t="n">
        <x:v>0.2174408019349754</x:v>
      </x:c>
      <x:c r="P2991" s="80" t="n">
        <x:v>345.52284583258444</x:v>
      </x:c>
      <x:c r="Q2991" s="81" t="n">
        <x:v>2.1581800464310814e+28</x:v>
      </x:c>
      <x:c r="R2991" s="81" t="n">
        <x:v>2.802673889433015</x:v>
      </x:c>
      <x:c r="S2991" s="81" t="n">
        <x:v>8.994418180722433e-10</x:v>
      </x:c>
      <x:c r="T2991" s="81" t="n">
        <x:v>2.847920200122038e-41</x:v>
      </x:c>
    </x:row>
    <x:row r="2992">
      <x:c r="A2992" s="59" t="n">
        <x:v>2989</x:v>
      </x:c>
      <x:c r="B2992" s="193" t="n">
        <x:v>0.934045202471316</x:v>
      </x:c>
      <x:c r="C2992" s="83" t="n">
        <x:v>0.7487858026674381</x:v>
      </x:c>
      <x:c r="D2992" s="83" t="n">
        <x:v>0.9336613087942572</x:v>
      </x:c>
      <x:c r="E2992" s="81" t="n">
        <x:v>-0.0050414041150977015</x:v>
      </x:c>
      <x:c r="F2992" s="81" t="n">
        <x:v>0.736075228045229</x:v>
      </x:c>
      <x:c r="G2992" s="81" t="n">
        <x:v>0.034016721823905464</x:v>
      </x:c>
      <x:c r="H2992" s="59" t="n">
        <x:v>39</x:v>
      </x:c>
      <x:c r="I2992" s="81" t="n">
        <x:v>0.156171146966517</x:v>
      </x:c>
      <x:c r="J2992" s="79" t="n">
        <x:v>1.5040232559928432e-9</x:v>
      </x:c>
      <x:c r="K2992" s="81" t="n">
        <x:v>-0.9999982811162789</x:v>
      </x:c>
      <x:c r="L2992" s="81" t="n">
        <x:v>-0.9999982811162789</x:v>
      </x:c>
      <x:c r="M2992" s="80" t="n">
        <x:v>11.692466864725303</x:v>
      </x:c>
      <x:c r="N2992" s="82" t="n">
        <x:v>0.32460083057621364</x:v>
      </x:c>
      <x:c r="O2992" s="82" t="n">
        <x:v>0.22570582672335582</x:v>
      </x:c>
      <x:c r="P2992" s="80" t="n">
        <x:v>1557.896551191997</x:v>
      </x:c>
      <x:c r="Q2992" s="81" t="n">
        <x:v>1.4734022680664574</x:v>
      </x:c>
      <x:c r="R2992" s="81" t="n">
        <x:v>10.518873129497319</x:v>
      </x:c>
      <x:c r="S2992" s="81" t="n">
        <x:v>0.0042032480732512615</x:v>
      </x:c>
      <x:c r="T2992" s="81" t="n">
        <x:v>0.000032580427337221886</x:v>
      </x:c>
    </x:row>
    <x:row r="2993">
      <x:c r="A2993" s="59" t="n">
        <x:v>2990</x:v>
      </x:c>
      <x:c r="B2993" s="193" t="n">
        <x:v>0.3542232446372509</x:v>
      </x:c>
      <x:c r="C2993" s="83" t="n">
        <x:v>0.12133317668398125</x:v>
      </x:c>
      <x:c r="D2993" s="83" t="n">
        <x:v>0.650408605538306</x:v>
      </x:c>
      <x:c r="E2993" s="81" t="n">
        <x:v>-0.10256182318556219</x:v>
      </x:c>
      <x:c r="F2993" s="81" t="n">
        <x:v>0.3072321235551499</x:v>
      </x:c>
      <x:c r="G2993" s="81" t="n">
        <x:v>-0.019792557552781944</x:v>
      </x:c>
      <x:c r="H2993" s="59" t="n">
        <x:v>0</x:v>
      </x:c>
      <x:c r="I2993" s="81" t="n">
        <x:v>0</x:v>
      </x:c>
      <x:c r="J2993" s="79" t="n">
        <x:v>5.9822500599208135e-31</x:v>
      </x:c>
      <x:c r="K2993" s="81" t="n">
        <x:v>-1</x:v>
      </x:c>
      <x:c r="L2993" s="81" t="n">
        <x:v>-1</x:v>
      </x:c>
      <x:c r="M2993" s="80" t="n">
        <x:v>0.000002</x:v>
      </x:c>
      <x:c r="N2993" s="82" t="n">
        <x:v>0.1864763685584302</x:v>
      </x:c>
      <x:c r="O2993" s="82" t="n">
        <x:v>0.05412044609316883</x:v>
      </x:c>
      <x:c r="P2993" s="80" t="n">
        <x:v>179.75861727217503</x:v>
      </x:c>
      <x:c r="Q2993" s="81" t="n">
        <x:v>36303413019608.34</x:v>
      </x:c>
      <x:c r="R2993" s="81" t="n">
        <x:v>18.050272537086364</x:v>
      </x:c>
      <x:c r="S2993" s="81" t="n">
        <x:v>3.9840489018606224e-10</x:v>
      </x:c>
      <x:c r="T2993" s="81" t="n">
        <x:v>1.2958859686094423e-26</x:v>
      </x:c>
    </x:row>
    <x:row r="2994">
      <x:c r="A2994" s="59" t="n">
        <x:v>2991</x:v>
      </x:c>
      <x:c r="B2994" s="193" t="n">
        <x:v>0.35554286595433954</x:v>
      </x:c>
      <x:c r="C2994" s="83" t="n">
        <x:v>0.10384729178469682</x:v>
      </x:c>
      <x:c r="D2994" s="83" t="n">
        <x:v>0.6429026069170336</x:v>
      </x:c>
      <x:c r="E2994" s="81" t="n">
        <x:v>0.059898626620461116</x:v>
      </x:c>
      <x:c r="F2994" s="81" t="n">
        <x:v>0.32162679779576137</x:v>
      </x:c>
      <x:c r="G2994" s="81" t="n">
        <x:v>-0.0038466314375504383</x:v>
      </x:c>
      <x:c r="H2994" s="59" t="n">
        <x:v>0</x:v>
      </x:c>
      <x:c r="I2994" s="81" t="n">
        <x:v>0</x:v>
      </x:c>
      <x:c r="J2994" s="79" t="n">
        <x:v>0.0023529681258090576</x:v>
      </x:c>
      <x:c r="K2994" s="81" t="n">
        <x:v>1.689106429496066</x:v>
      </x:c>
      <x:c r="L2994" s="81" t="n">
        <x:v>-0.639962186822125</x:v>
      </x:c>
      <x:c r="M2994" s="80" t="n">
        <x:v>10528.61131565131</x:v>
      </x:c>
      <x:c r="N2994" s="82" t="n">
        <x:v>0.18679072709906017</x:v>
      </x:c>
      <x:c r="O2994" s="82" t="n">
        <x:v>0.05675164850183971</x:v>
      </x:c>
      <x:c r="P2994" s="80" t="n">
        <x:v>13143.879511620144</x:v>
      </x:c>
      <x:c r="Q2994" s="81" t="n">
        <x:v>0.002197022607411724</x:v>
      </x:c>
      <x:c r="R2994" s="81" t="n">
        <x:v>667.4141294730065</x:v>
      </x:c>
      <x:c r="S2994" s="81" t="n">
        <x:v>423.4045262248723</x:v>
      </x:c>
      <x:c r="T2994" s="81" t="n">
        <x:v>50.970426650162075</x:v>
      </x:c>
    </x:row>
    <x:row r="2995">
      <x:c r="A2995" s="59" t="n">
        <x:v>2992</x:v>
      </x:c>
      <x:c r="B2995" s="193" t="n">
        <x:v>0.6997657805681229</x:v>
      </x:c>
      <x:c r="C2995" s="83" t="n">
        <x:v>0.9688685694513027</x:v>
      </x:c>
      <x:c r="D2995" s="83" t="n">
        <x:v>1.1751212927068828</x:v>
      </x:c>
      <x:c r="E2995" s="81" t="n">
        <x:v>0.052219215418113286</x:v>
      </x:c>
      <x:c r="F2995" s="81" t="n">
        <x:v>0.5029878178262153</x:v>
      </x:c>
      <x:c r="G2995" s="81" t="n">
        <x:v>0.04138404534570361</x:v>
      </x:c>
      <x:c r="H2995" s="59" t="n">
        <x:v>36</x:v>
      </x:c>
      <x:c r="I2995" s="81" t="n">
        <x:v>0.463450166489929</x:v>
      </x:c>
      <x:c r="J2995" s="79" t="n">
        <x:v>0.011712741370384326</x:v>
      </x:c>
      <x:c r="K2995" s="81" t="n">
        <x:v>12.385990137582088</x:v>
      </x:c>
      <x:c r="L2995" s="81" t="n">
        <x:v>-0.8838420904578511</x:v>
      </x:c>
      <x:c r="M2995" s="80" t="n">
        <x:v>48328.598238237566</x:v>
      </x:c>
      <x:c r="N2995" s="82" t="n">
        <x:v>0.2687910795397125</x:v>
      </x:c>
      <x:c r="O2995" s="82" t="n">
        <x:v>0.1277153977107085</x:v>
      </x:c>
      <x:c r="P2995" s="80" t="n">
        <x:v>102597.01207064142</x:v>
      </x:c>
      <x:c r="Q2995" s="81" t="n">
        <x:v>0.006248241361927425</x:v>
      </x:c>
      <x:c r="R2995" s="81" t="n">
        <x:v>137.39080360051278</x:v>
      </x:c>
      <x:c r="S2995" s="81" t="n">
        <x:v>245.96533705152893</x:v>
      </x:c>
      <x:c r="T2995" s="81" t="n">
        <x:v>253.72354956411328</x:v>
      </x:c>
    </x:row>
    <x:row r="2996">
      <x:c r="A2996" s="59" t="n">
        <x:v>2993</x:v>
      </x:c>
      <x:c r="B2996" s="193" t="n">
        <x:v>0.951846145093441</x:v>
      </x:c>
      <x:c r="C2996" s="83" t="n">
        <x:v>0.24769541874077722</x:v>
      </x:c>
      <x:c r="D2996" s="83" t="n">
        <x:v>0.5385246954264808</x:v>
      </x:c>
      <x:c r="E2996" s="81" t="n">
        <x:v>0.0020302383646966836</x:v>
      </x:c>
      <x:c r="F2996" s="81" t="n">
        <x:v>0.8650627784896642</x:v>
      </x:c>
      <x:c r="G2996" s="81" t="n">
        <x:v>0.0020726886874752326</x:v>
      </x:c>
      <x:c r="H2996" s="59" t="n">
        <x:v>0</x:v>
      </x:c>
      <x:c r="I2996" s="81" t="n">
        <x:v>0</x:v>
      </x:c>
      <x:c r="J2996" s="79" t="n">
        <x:v>3.2668371639423575e-7</x:v>
      </x:c>
      <x:c r="K2996" s="81" t="n">
        <x:v>-0.9996266471812637</x:v>
      </x:c>
      <x:c r="L2996" s="81" t="n">
        <x:v>-0.9996266471812637</x:v>
      </x:c>
      <x:c r="M2996" s="80" t="n">
        <x:v>122.54932904395046</x:v>
      </x:c>
      <x:c r="N2996" s="82" t="n">
        <x:v>0.32884134887647815</x:v>
      </x:c>
      <x:c r="O2996" s="82" t="n">
        <x:v>0.26872309240294995</x:v>
      </x:c>
      <x:c r="P2996" s="80" t="n">
        <x:v>681.9199147840121</x:v>
      </x:c>
      <x:c r="Q2996" s="81" t="n">
        <x:v>0.08482505797205996</x:v>
      </x:c>
      <x:c r="R2996" s="81" t="n">
        <x:v>25.246794981623914</x:v>
      </x:c>
      <x:c r="S2996" s="81" t="n">
        <x:v>0.048367013271469604</x:v>
      </x:c>
      <x:c r="T2996" s="81" t="n">
        <x:v>0.007076682519253975</x:v>
      </x:c>
    </x:row>
    <x:row r="2997">
      <x:c r="A2997" s="59" t="n">
        <x:v>2994</x:v>
      </x:c>
      <x:c r="B2997" s="193" t="n">
        <x:v>0.49998315796256065</x:v>
      </x:c>
      <x:c r="C2997" s="83" t="n">
        <x:v>0.5065535354660651</x:v>
      </x:c>
      <x:c r="D2997" s="83" t="n">
        <x:v>0.5197597176616083</x:v>
      </x:c>
      <x:c r="E2997" s="81" t="n">
        <x:v>-0.08800966239612315</x:v>
      </x:c>
      <x:c r="F2997" s="81" t="n">
        <x:v>0.31401834200369194</x:v>
      </x:c>
      <x:c r="G2997" s="81" t="n">
        <x:v>-0.017653247143499574</x:v>
      </x:c>
      <x:c r="H2997" s="59" t="n">
        <x:v>0</x:v>
      </x:c>
      <x:c r="I2997" s="81" t="n">
        <x:v>0</x:v>
      </x:c>
      <x:c r="J2997" s="79" t="n">
        <x:v>6.484745387216378e-26</x:v>
      </x:c>
      <x:c r="K2997" s="81" t="n">
        <x:v>-1</x:v>
      </x:c>
      <x:c r="L2997" s="81" t="n">
        <x:v>-1</x:v>
      </x:c>
      <x:c r="M2997" s="80" t="n">
        <x:v>0.000002</x:v>
      </x:c>
      <x:c r="N2997" s="82" t="n">
        <x:v>0.22119911291089378</x:v>
      </x:c>
      <x:c r="O2997" s="82" t="n">
        <x:v>0.06561593761369935</x:v>
      </x:c>
      <x:c r="P2997" s="80" t="n">
        <x:v>265.91295163438645</x:v>
      </x:c>
      <x:c r="Q2997" s="81" t="n">
        <x:v>385127268.4443585</x:v>
      </x:c>
      <x:c r="R2997" s="81" t="n">
        <x:v>6.524126426950178</x:v>
      </x:c>
      <x:c r="S2997" s="81" t="n">
        <x:v>2.4333844278598203e-10</x:v>
      </x:c>
      <x:c r="T2997" s="81" t="n">
        <x:v>1.4047374270760166e-21</x:v>
      </x:c>
    </x:row>
    <x:row r="2998">
      <x:c r="A2998" s="59" t="n">
        <x:v>2995</x:v>
      </x:c>
      <x:c r="B2998" s="193" t="n">
        <x:v>0.6822475314140319</x:v>
      </x:c>
      <x:c r="C2998" s="83" t="n">
        <x:v>0.12274736887764302</x:v>
      </x:c>
      <x:c r="D2998" s="83" t="n">
        <x:v>1.4454256741194957</x:v>
      </x:c>
      <x:c r="E2998" s="81" t="n">
        <x:v>0.07497072420010933</x:v>
      </x:c>
      <x:c r="F2998" s="81" t="n">
        <x:v>0.6767265450558626</x:v>
      </x:c>
      <x:c r="G2998" s="81" t="n">
        <x:v>-0.010309281977536796</x:v>
      </x:c>
      <x:c r="H2998" s="59" t="n">
        <x:v>0</x:v>
      </x:c>
      <x:c r="I2998" s="81" t="n">
        <x:v>0</x:v>
      </x:c>
      <x:c r="J2998" s="79" t="n">
        <x:v>0.0023451021091551246</x:v>
      </x:c>
      <x:c r="K2998" s="81" t="n">
        <x:v>1.6801166961772855</x:v>
      </x:c>
      <x:c r="L2998" s="81" t="n">
        <x:v>-0.82271034064167</x:v>
      </x:c>
      <x:c r="M2998" s="80" t="n">
        <x:v>13277.587023108203</x:v>
      </x:c>
      <x:c r="N2998" s="82" t="n">
        <x:v>0.26461790412403646</x:v>
      </x:c>
      <x:c r="O2998" s="82" t="n">
        <x:v>0.16916222137134895</x:v>
      </x:c>
      <x:c r="P2998" s="80" t="n">
        <x:v>30978.928786396198</x:v>
      </x:c>
      <x:c r="Q2998" s="81" t="n">
        <x:v>0.005767068756393098</x:v>
      </x:c>
      <x:c r="R2998" s="81" t="n">
        <x:v>838.7015128217316</x:v>
      </x:c>
      <x:c r="S2998" s="81" t="n">
        <x:v>361.7337101359103</x:v>
      </x:c>
      <x:c r="T2998" s="81" t="n">
        <x:v>50.800031556199464</x:v>
      </x:c>
    </x:row>
    <x:row r="2999">
      <x:c r="A2999" s="59" t="n">
        <x:v>2996</x:v>
      </x:c>
      <x:c r="B2999" s="193" t="n">
        <x:v>0.7512185096740722</x:v>
      </x:c>
      <x:c r="C2999" s="83" t="n">
        <x:v>0.8177233125196224</x:v>
      </x:c>
      <x:c r="D2999" s="83" t="n">
        <x:v>0.5299322836606367</x:v>
      </x:c>
      <x:c r="E2999" s="81" t="n">
        <x:v>-0.006944576628840692</x:v>
      </x:c>
      <x:c r="F2999" s="81" t="n">
        <x:v>0.8326437724055723</x:v>
      </x:c>
      <x:c r="G2999" s="81" t="n">
        <x:v>-0.032013177842368366</x:v>
      </x:c>
      <x:c r="H2999" s="59" t="n">
        <x:v>0</x:v>
      </x:c>
      <x:c r="I2999" s="81" t="n">
        <x:v>0</x:v>
      </x:c>
      <x:c r="J2999" s="79" t="n">
        <x:v>4.3051989014041127e-8</x:v>
      </x:c>
      <x:c r="K2999" s="81" t="n">
        <x:v>-0.9999507977268411</x:v>
      </x:c>
      <x:c r="L2999" s="81" t="n">
        <x:v>-0.9999507977268411</x:v>
      </x:c>
      <x:c r="M2999" s="80" t="n">
        <x:v>64.70020389932584</x:v>
      </x:c>
      <x:c r="N2999" s="82" t="n">
        <x:v>0.28104808435142015</x:v>
      </x:c>
      <x:c r="O2999" s="82" t="n">
        <x:v>0.22106032769568337</x:v>
      </x:c>
      <x:c r="P2999" s="80" t="n">
        <x:v>960.5620045893523</x:v>
      </x:c>
      <x:c r="Q2999" s="81" t="n">
        <x:v>0.15498364570407144</x:v>
      </x:c>
      <x:c r="R2999" s="81" t="n">
        <x:v>9.773765379725448</x:v>
      </x:c>
      <x:c r="S2999" s="81" t="n">
        <x:v>0.006576341444912944</x:v>
      </x:c>
      <x:c r="T2999" s="81" t="n">
        <x:v>0.0009326000739722046</x:v>
      </x:c>
    </x:row>
    <x:row r="3000">
      <x:c r="A3000" s="59" t="n">
        <x:v>2997</x:v>
      </x:c>
      <x:c r="B3000" s="193" t="n">
        <x:v>0.6602822342887521</x:v>
      </x:c>
      <x:c r="C3000" s="83" t="n">
        <x:v>2.0518467821904554</x:v>
      </x:c>
      <x:c r="D3000" s="83" t="n">
        <x:v>1.0560075568333063</x:v>
      </x:c>
      <x:c r="E3000" s="81" t="n">
        <x:v>-0.2</x:v>
      </x:c>
      <x:c r="F3000" s="81" t="n">
        <x:v>0.5887340337270871</x:v>
      </x:c>
      <x:c r="G3000" s="81" t="n">
        <x:v>-0.00541132896133047</x:v>
      </x:c>
      <x:c r="H3000" s="59" t="n">
        <x:v>0</x:v>
      </x:c>
      <x:c r="I3000" s="81" t="n">
        <x:v>0</x:v>
      </x:c>
      <x:c r="J3000" s="79" t="n">
        <x:v>8.17279370740693e-68</x:v>
      </x:c>
      <x:c r="K3000" s="81" t="n">
        <x:v>-1</x:v>
      </x:c>
      <x:c r="L3000" s="81" t="n">
        <x:v>-1</x:v>
      </x:c>
      <x:c r="M3000" s="80" t="n">
        <x:v>0.000002</x:v>
      </x:c>
      <x:c r="N3000" s="82" t="n">
        <x:v>0.25938535849947353</x:v>
      </x:c>
      <x:c r="O3000" s="82" t="n">
        <x:v>0.144256550189682</x:v>
      </x:c>
      <x:c r="P3000" s="80" t="n">
        <x:v>325.1414721662692</x:v>
      </x:c>
      <x:c r="Q3000" s="81" t="n">
        <x:v>1.4831173470372529e+50</x:v>
      </x:c>
      <x:c r="R3000" s="81" t="n">
        <x:v>0.5635523096029947</x:v>
      </x:c>
      <x:c r="S3000" s="81" t="n">
        <x:v>2.8375123082964936e-10</x:v>
      </x:c>
      <x:c r="T3000" s="81" t="n">
        <x:v>1.7704055470239532e-63</x:v>
      </x:c>
    </x:row>
    <x:row r="3001">
      <x:c r="A3001" s="59" t="n">
        <x:v>2998</x:v>
      </x:c>
      <x:c r="B3001" s="193" t="n">
        <x:v>0.3092912513762713</x:v>
      </x:c>
      <x:c r="C3001" s="83" t="n">
        <x:v>0.15449432576605895</x:v>
      </x:c>
      <x:c r="D3001" s="83" t="n">
        <x:v>1.0221796332893232</x:v>
      </x:c>
      <x:c r="E3001" s="81" t="n">
        <x:v>-0.1442328041386303</x:v>
      </x:c>
      <x:c r="F3001" s="81" t="n">
        <x:v>0.3291826242231764</x:v>
      </x:c>
      <x:c r="G3001" s="81" t="n">
        <x:v>-0.005353880169508379</x:v>
      </x:c>
      <x:c r="H3001" s="59" t="n">
        <x:v>0</x:v>
      </x:c>
      <x:c r="I3001" s="81" t="n">
        <x:v>0</x:v>
      </x:c>
      <x:c r="J3001" s="79" t="n">
        <x:v>6.369363271853995e-53</x:v>
      </x:c>
      <x:c r="K3001" s="81" t="n">
        <x:v>-1</x:v>
      </x:c>
      <x:c r="L3001" s="81" t="n">
        <x:v>-1</x:v>
      </x:c>
      <x:c r="M3001" s="80" t="n">
        <x:v>0.000002</x:v>
      </x:c>
      <x:c r="N3001" s="82" t="n">
        <x:v>0.17577272528879148</x:v>
      </x:c>
      <x:c r="O3001" s="82" t="n">
        <x:v>0.05465870415789649</x:v>
      </x:c>
      <x:c r="P3001" s="80" t="n">
        <x:v>154.39917018601582</x:v>
      </x:c>
      <x:c r="Q3001" s="81" t="n">
        <x:v>2.5162230083208848e+35</x:v>
      </x:c>
      <x:c r="R3001" s="81" t="n">
        <x:v>6.381053100042018</x:v>
      </x:c>
      <x:c r="S3001" s="81" t="n">
        <x:v>7.26564329062204e-10</x:v>
      </x:c>
      <x:c r="T3001" s="81" t="n">
        <x:v>1.3797431418440537e-48</x:v>
      </x:c>
    </x:row>
    <x:row r="3002">
      <x:c r="A3002" s="59" t="n">
        <x:v>2999</x:v>
      </x:c>
      <x:c r="B3002" s="193" t="n">
        <x:v>0.9327905151993037</x:v>
      </x:c>
      <x:c r="C3002" s="83" t="n">
        <x:v>1.1786559255175169</x:v>
      </x:c>
      <x:c r="D3002" s="83" t="n">
        <x:v>0.3057402681998979</x:v>
      </x:c>
      <x:c r="E3002" s="81" t="n">
        <x:v>-0.022256451445305317</x:v>
      </x:c>
      <x:c r="F3002" s="81" t="n">
        <x:v>0.2930099436780438</x:v>
      </x:c>
      <x:c r="G3002" s="81" t="n">
        <x:v>-0.04167588333576164</x:v>
      </x:c>
      <x:c r="H3002" s="59" t="n">
        <x:v>0</x:v>
      </x:c>
      <x:c r="I3002" s="81" t="n">
        <x:v>0</x:v>
      </x:c>
      <x:c r="J3002" s="79" t="n">
        <x:v>2.9391075510397277e-8</x:v>
      </x:c>
      <x:c r="K3002" s="81" t="n">
        <x:v>-0.9999664101994167</x:v>
      </x:c>
      <x:c r="L3002" s="81" t="n">
        <x:v>-0.9999664101994167</x:v>
      </x:c>
      <x:c r="M3002" s="80" t="n">
        <x:v>64.11184718590644</x:v>
      </x:c>
      <x:c r="N3002" s="82" t="n">
        <x:v>0.3243019405426343</x:v>
      </x:c>
      <x:c r="O3002" s="82" t="n">
        <x:v>0.0897641345818063</x:v>
      </x:c>
      <x:c r="P3002" s="80" t="n">
        <x:v>858.2978612982599</x:v>
      </x:c>
      <x:c r="Q3002" s="81" t="n">
        <x:v>0.09269055791415663</x:v>
      </x:c>
      <x:c r="R3002" s="81" t="n">
        <x:v>8.814092093615464</x:v>
      </x:c>
      <x:c r="S3002" s="81" t="n">
        <x:v>0.0028315099575847926</x:v>
      </x:c>
      <x:c r="T3002" s="81" t="n">
        <x:v>0.0006366748627149265</x:v>
      </x:c>
    </x:row>
    <x:row r="3003">
      <x:c r="A3003" s="59" t="n">
        <x:v>3000</x:v>
      </x:c>
      <x:c r="B3003" s="193" t="n">
        <x:v>0.6980149978771806</x:v>
      </x:c>
      <x:c r="C3003" s="83" t="n">
        <x:v>0.2598933323233423</x:v>
      </x:c>
      <x:c r="D3003" s="83" t="n">
        <x:v>0.9836584721954181</x:v>
      </x:c>
      <x:c r="E3003" s="81" t="n">
        <x:v>0.0439033882380127</x:v>
      </x:c>
      <x:c r="F3003" s="81" t="n">
        <x:v>0.6145447108428925</x:v>
      </x:c>
      <x:c r="G3003" s="81" t="n">
        <x:v>0.04352534108806229</x:v>
      </x:c>
      <x:c r="H3003" s="59" t="n">
        <x:v>0</x:v>
      </x:c>
      <x:c r="I3003" s="81" t="n">
        <x:v>0</x:v>
      </x:c>
      <x:c r="J3003" s="79" t="n">
        <x:v>0.0015802342696775123</x:v>
      </x:c>
      <x:c r="K3003" s="81" t="n">
        <x:v>0.8059820224885856</x:v>
      </x:c>
      <x:c r="L3003" s="81" t="n">
        <x:v>-0.7755906908961291</x:v>
      </x:c>
      <x:c r="M3003" s="80" t="n">
        <x:v>10557.464755762536</x:v>
      </x:c>
      <x:c r="N3003" s="82" t="n">
        <x:v>0.26837401027555446</x:v>
      </x:c>
      <x:c r="O3003" s="82" t="n">
        <x:v>0.15579907787507594</x:v>
      </x:c>
      <x:c r="P3003" s="80" t="n">
        <x:v>20656.514060709535</x:v>
      </x:c>
      <x:c r="Q3003" s="81" t="n">
        <x:v>0.008285061096292547</x:v>
      </x:c>
      <x:c r="R3003" s="81" t="n">
        <x:v>134.11649186062306</x:v>
      </x:c>
      <x:c r="S3003" s="81" t="n">
        <x:v>119.16680728225244</x:v>
      </x:c>
      <x:c r="T3003" s="81" t="n">
        <x:v>34.23132427897848</x:v>
      </x:c>
    </x:row>
  </x:sheetData>
  <x:mergeCells>
    <x:mergeCell ref="A1:T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</x:cols>
  <x:sheetData>
    <x:row r="1" ht="30" customHeight="1">
      <x:c r="A1" s="58" t="str">
        <x:v>Model Checks</x:v>
      </x:c>
      <x:c r="B1" s="58" t="str">
        <x:v>Model Checks</x:v>
      </x:c>
      <x:c r="C1" s="58" t="str">
        <x:v>Model Checks</x:v>
      </x:c>
      <x:c r="D1" s="58" t="str">
        <x:v>Model Checks</x:v>
      </x:c>
      <x:c r="E1" s="58" t="str">
        <x:v>Model Checks</x:v>
      </x:c>
      <x:c r="F1" s="58" t="str">
        <x:v>Model Checks</x:v>
      </x:c>
      <x:c r="G1" s="58" t="str">
        <x:v>Model Checks</x:v>
      </x:c>
    </x:row>
    <x:row r="2" ht="30" customHeight="1">
      <x:c r="A2" s="58" t="str">
        <x:v>Model Checks</x:v>
      </x:c>
      <x:c r="B2" s="58" t="str">
        <x:v>Model Checks</x:v>
      </x:c>
      <x:c r="C2" s="58" t="str">
        <x:v>Model Checks</x:v>
      </x:c>
      <x:c r="D2" s="58" t="str">
        <x:v>Model Checks</x:v>
      </x:c>
      <x:c r="E2" s="58" t="str">
        <x:v>Model Checks</x:v>
      </x:c>
      <x:c r="F2" s="58" t="str">
        <x:v>Model Checks</x:v>
      </x:c>
      <x:c r="G2" s="58" t="str">
        <x:v>Model Checks</x:v>
      </x:c>
    </x:row>
    <x:row r="3">
      <x:c r="A3" s="85" t="str">
        <x:v>Check</x:v>
      </x:c>
      <x:c r="B3" s="86" t="str">
        <x:v>Actual</x:v>
      </x:c>
      <x:c r="C3" s="86" t="str">
        <x:v>Expected</x:v>
      </x:c>
      <x:c r="D3" s="86" t="str">
        <x:v>Difference</x:v>
      </x:c>
      <x:c r="E3" s="86" t="str">
        <x:v>Tolerance</x:v>
      </x:c>
      <x:c r="F3" s="86" t="str">
        <x:v>Status</x:v>
      </x:c>
      <x:c r="G3" s="87" t="str">
        <x:v>Notes</x:v>
      </x:c>
    </x:row>
    <x:row r="4">
      <x:c r="A4" s="65" t="str">
        <x:v>Supply allocation</x:v>
      </x:c>
      <x:c r="B4" s="59" t="n">
        <x:f>'Inputs'!B25+'Inputs'!B29+'Inputs'!B30</x:f>
        <x:v>1000000000</x:v>
      </x:c>
      <x:c r="C4" s="59" t="n">
        <x:f>'Inputs'!B6</x:f>
        <x:v>1000000000</x:v>
      </x:c>
      <x:c r="D4" s="59" t="n">
        <x:f>B4-C4</x:f>
        <x:v>0</x:v>
      </x:c>
      <x:c r="E4" s="59" t="n">
        <x:v>1</x:v>
      </x:c>
      <x:c r="F4" s="59" t="str">
        <x:f>IF(ABS(D4)&lt;=E4,"OK","FAIL")</x:f>
        <x:v>OK</x:v>
      </x:c>
      <x:c r="G4" s="67" t="str">
        <x:v>Launch + stock + LP = supply</x:v>
      </x:c>
    </x:row>
    <x:row r="5">
      <x:c r="A5" s="65" t="str">
        <x:v>Stock + LP mining shares</x:v>
      </x:c>
      <x:c r="B5" s="59" t="n">
        <x:f>'Inputs'!B10+'Inputs'!B11</x:f>
        <x:v>1</x:v>
      </x:c>
      <x:c r="C5" s="59" t="n">
        <x:f>1</x:f>
        <x:v>1</x:v>
      </x:c>
      <x:c r="D5" s="59" t="n">
        <x:f>B5-C5</x:f>
        <x:v>0</x:v>
      </x:c>
      <x:c r="E5" s="59" t="n">
        <x:v>1e-12</x:v>
      </x:c>
      <x:c r="F5" s="59" t="str">
        <x:f>IF(ABS(D5)&lt;=E5,"OK","FAIL")</x:f>
        <x:v>OK</x:v>
      </x:c>
      <x:c r="G5" s="67" t="str">
        <x:v>Relative shares must sum to 100%</x:v>
      </x:c>
    </x:row>
    <x:row r="6">
      <x:c r="A6" s="65" t="str">
        <x:v>Launch split</x:v>
      </x:c>
      <x:c r="B6" s="59" t="n">
        <x:f>'Inputs'!B26+'Inputs'!B27</x:f>
        <x:v>10000000</x:v>
      </x:c>
      <x:c r="C6" s="59" t="n">
        <x:f>'Inputs'!B25</x:f>
        <x:v>10000000</x:v>
      </x:c>
      <x:c r="D6" s="59" t="n">
        <x:f>B6-C6</x:f>
        <x:v>0</x:v>
      </x:c>
      <x:c r="E6" s="59" t="n">
        <x:v>1</x:v>
      </x:c>
      <x:c r="F6" s="59" t="str">
        <x:f>IF(ABS(D6)&lt;=E6,"OK","FAIL")</x:f>
        <x:v>OK</x:v>
      </x:c>
      <x:c r="G6" s="67" t="str">
        <x:v>LP reserve + curve sold = launch</x:v>
      </x:c>
    </x:row>
    <x:row r="7">
      <x:c r="A7" s="65" t="str">
        <x:v>Exact fee equation</x:v>
      </x:c>
      <x:c r="B7" s="59" t="n">
        <x:f>'Inputs'!B17+(1-'Inputs'!B17)*'Inputs'!B16</x:f>
        <x:v>0.01</x:v>
      </x:c>
      <x:c r="C7" s="59" t="n">
        <x:f>'Inputs'!B15</x:f>
        <x:v>0.01</x:v>
      </x:c>
      <x:c r="D7" s="59" t="n">
        <x:f>B7-C7</x:f>
        <x:v>0</x:v>
      </x:c>
      <x:c r="E7" s="59" t="n">
        <x:v>1e-12</x:v>
      </x:c>
      <x:c r="F7" s="59" t="str">
        <x:f>IF(ABS(D7)&lt;=E7,"OK","FAIL")</x:f>
        <x:v>OK</x:v>
      </x:c>
      <x:c r="G7" s="67" t="str">
        <x:v>Protocol remainder + native LP fee</x:v>
      </x:c>
    </x:row>
    <x:row r="8">
      <x:c r="A8" s="65" t="str">
        <x:v>Scenario rows</x:v>
      </x:c>
      <x:c r="B8" s="59" t="n">
        <x:f>COUNTA('Scenario Model'!A4:A2923)</x:f>
        <x:v>2920</x:v>
      </x:c>
      <x:c r="C8" s="59" t="n">
        <x:f>2920</x:f>
        <x:v>2920</x:v>
      </x:c>
      <x:c r="D8" s="59" t="n">
        <x:f>B8-C8</x:f>
        <x:v>0</x:v>
      </x:c>
      <x:c r="E8" s="59" t="n">
        <x:v>0</x:v>
      </x:c>
      <x:c r="F8" s="59" t="str">
        <x:f>IF(ABS(D8)&lt;=E8,"OK","FAIL")</x:f>
        <x:v>OK</x:v>
      </x:c>
      <x:c r="G8" s="67" t="str">
        <x:v>8 scenarios × 365 days</x:v>
      </x:c>
    </x:row>
    <x:row r="9">
      <x:c r="A9" s="65" t="str">
        <x:v>MC run count</x:v>
      </x:c>
      <x:c r="B9" s="59" t="n">
        <x:f>COUNTA('MC Runs'!A4:A3003)</x:f>
        <x:v>3000</x:v>
      </x:c>
      <x:c r="C9" s="59" t="n">
        <x:f>3000</x:f>
        <x:v>3000</x:v>
      </x:c>
      <x:c r="D9" s="59" t="n">
        <x:f>B9-C9</x:f>
        <x:v>0</x:v>
      </x:c>
      <x:c r="E9" s="59" t="n">
        <x:v>0</x:v>
      </x:c>
      <x:c r="F9" s="59" t="str">
        <x:f>IF(ABS(D9)&lt;=E9,"OK","FAIL")</x:f>
        <x:v>OK</x:v>
      </x:c>
      <x:c r="G9" s="67" t="str">
        <x:v>Seeded runs written</x:v>
      </x:c>
    </x:row>
    <x:row r="10">
      <x:c r="A10" s="73" t="str">
        <x:v>Positive graduation reserves</x:v>
      </x:c>
      <x:c r="B10" s="75" t="n">
        <x:f>'Inputs'!B26*'Inputs'!B8</x:f>
        <x:v>7142857142.857143</x:v>
      </x:c>
      <x:c r="C10" s="75" t="str">
        <x:v>&gt;0</x:v>
      </x:c>
      <x:c r="D10" s="75" t="n">
        <x:f>IF(B10&gt;0,0,1)</x:f>
        <x:v>0</x:v>
      </x:c>
      <x:c r="E10" s="75" t="n">
        <x:v>0</x:v>
      </x:c>
      <x:c r="F10" s="75" t="str">
        <x:f>IF(ABS(D10)&lt;=E10,"OK","FAIL")</x:f>
        <x:v>OK</x:v>
      </x:c>
      <x:c r="G10" s="76" t="str">
        <x:v>Both token and USDC reserves must be positive</x:v>
      </x:c>
    </x:row>
  </x:sheetData>
  <x:mergeCells>
    <x:mergeCell ref="A1:G2"/>
  </x:mergeCells>
  <x:conditionalFormatting sqref="F4:F10">
    <x:cfRule type="containsText" dxfId="3" priority="1" operator="containsText" text="OK"/>
    <x:cfRule type="containsText" dxfId="4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56" hidden="0" customWidth="1"/>
    <x:col min="4" max="4" width="42" hidden="0" customWidth="1"/>
    <x:col min="5" max="5" width="14" hidden="0" customWidth="1"/>
    <x:col min="6" max="6" width="58" hidden="0" customWidth="1"/>
  </x:cols>
  <x:sheetData>
    <x:row r="1" ht="30" customHeight="1">
      <x:c r="A1" s="58" t="str">
        <x:v>Sources, Scope and Limitations</x:v>
      </x:c>
      <x:c r="B1" s="58" t="str">
        <x:v>Sources, Scope and Limitations</x:v>
      </x:c>
      <x:c r="C1" s="58" t="str">
        <x:v>Sources, Scope and Limitations</x:v>
      </x:c>
      <x:c r="D1" s="58" t="str">
        <x:v>Sources, Scope and Limitations</x:v>
      </x:c>
      <x:c r="E1" s="58" t="str">
        <x:v>Sources, Scope and Limitations</x:v>
      </x:c>
      <x:c r="F1" s="58" t="str">
        <x:v>Sources, Scope and Limitations</x:v>
      </x:c>
    </x:row>
    <x:row r="2" ht="30" customHeight="1">
      <x:c r="A2" s="58" t="str">
        <x:v>Sources, Scope and Limitations</x:v>
      </x:c>
      <x:c r="B2" s="58" t="str">
        <x:v>Sources, Scope and Limitations</x:v>
      </x:c>
      <x:c r="C2" s="58" t="str">
        <x:v>Sources, Scope and Limitations</x:v>
      </x:c>
      <x:c r="D2" s="58" t="str">
        <x:v>Sources, Scope and Limitations</x:v>
      </x:c>
      <x:c r="E2" s="58" t="str">
        <x:v>Sources, Scope and Limitations</x:v>
      </x:c>
      <x:c r="F2" s="58" t="str">
        <x:v>Sources, Scope and Limitations</x:v>
      </x:c>
    </x:row>
    <x:row r="3">
      <x:c r="A3" s="85" t="str">
        <x:v>ID</x:v>
      </x:c>
      <x:c r="B3" s="86" t="str">
        <x:v>Topic</x:v>
      </x:c>
      <x:c r="C3" s="86" t="str">
        <x:v>Source</x:v>
      </x:c>
      <x:c r="D3" s="86" t="str">
        <x:v>Used for</x:v>
      </x:c>
      <x:c r="E3" s="86" t="str">
        <x:v>As of</x:v>
      </x:c>
      <x:c r="F3" s="87" t="str">
        <x:v>Notes</x:v>
      </x:c>
    </x:row>
    <x:row r="4">
      <x:c r="A4" s="215" t="str">
        <x:v>S1</x:v>
      </x:c>
      <x:c r="B4" s="185" t="str">
        <x:v>TickerGarden supply/emissions</x:v>
      </x:c>
      <x:c r="C4" s="185" t="str">
        <x:v>file:///Users/dear/Documents/code/tickerGarden/V1_PROTOCOL_PARAMETERS.md</x:v>
      </x:c>
      <x:c r="D4" s="185" t="str">
        <x:v>70/30 budgets, 1460 days, 20/80 vesting</x:v>
      </x:c>
      <x:c r="E4" s="185" t="str">
        <x:v>2026-09-02</x:v>
      </x:c>
      <x:c r="F4" s="190" t="str">
        <x:v>User requested simultaneous Stock + LP start; this intentionally differs from current +7-day LP delay.</x:v>
      </x:c>
    </x:row>
    <x:row r="5">
      <x:c r="A5" s="215" t="str">
        <x:v>S2</x:v>
      </x:c>
      <x:c r="B5" s="185" t="str">
        <x:v>TickerGarden fee mechanics</x:v>
      </x:c>
      <x:c r="C5" s="185" t="str">
        <x:v>file:///Users/dear/Documents/code/tickerGarden/V1_V4_FEE_AND_SUBSCRIBER_SPIKE.md</x:v>
      </x:c>
      <x:c r="D5" s="185" t="str">
        <x:v>1% target, 0.60% LP fee, protocol remainder</x:v>
      </x:c>
      <x:c r="E5" s="185" t="str">
        <x:v>2026-09-02</x:v>
      </x:c>
      <x:c r="F5" s="190" t="str">
        <x:v>Protocol fee formula uses the recommended exact-total-fee remainder.</x:v>
      </x:c>
    </x:row>
    <x:row r="6">
      <x:c r="A6" s="215" t="str">
        <x:v>S3</x:v>
      </x:c>
      <x:c r="B6" s="185" t="str">
        <x:v>TickerGarden pool initialization</x:v>
      </x:c>
      <x:c r="C6" s="185" t="str">
        <x:v>file:///Users/dear/Documents/code/tickerGarden/V1_WORKFLOWS_AND_GAPS.md</x:v>
      </x:c>
      <x:c r="D6" s="185" t="str">
        <x:v>500 USDC existing hard floor and canonical full-range pool</x:v>
      </x:c>
      <x:c r="E6" s="185" t="str">
        <x:v>2026-09-02</x:v>
      </x:c>
      <x:c r="F6" s="190" t="str">
        <x:v>The simulated graduation threshold is 2,500 USDC.</x:v>
      </x:c>
    </x:row>
    <x:row r="7">
      <x:c r="A7" s="215" t="str">
        <x:v>S4</x:v>
      </x:c>
      <x:c r="B7" s="185" t="str">
        <x:v>Pons V2 lifecycle</x:v>
      </x:c>
      <x:c r="C7" s="185" t="str">
        <x:v>https://docs.ponsfamily.com/v2</x:v>
      </x:c>
      <x:c r="D7" s="185" t="str">
        <x:v>Phantom reserve, curve allocation, graduation and permanent full-range LP</x:v>
      </x:c>
      <x:c r="E7" s="185" t="str">
        <x:v>2026-09-02</x:v>
      </x:c>
      <x:c r="F7" s="190" t="str">
        <x:v>Pons formulas inform structure; TickerGarden fees and emissions remain project-specific.</x:v>
      </x:c>
    </x:row>
    <x:row r="8">
      <x:c r="A8" s="215" t="str">
        <x:v>M1</x:v>
      </x:c>
      <x:c r="B8" s="185" t="str">
        <x:v>AMM model</x:v>
      </x:c>
      <x:c r="C8" s="185" t="str">
        <x:v>Model assumption</x:v>
      </x:c>
      <x:c r="D8" s="185" t="str">
        <x:v>Daily constant-product buy-then-sell approximation</x:v>
      </x:c>
      <x:c r="E8" s="185" t="str">
        <x:v>2026-09-02</x:v>
      </x:c>
      <x:c r="F8" s="190" t="str">
        <x:v>No arbitrage bots, concentrated-liquidity path, MEV, gas, oracle latency or tick granularity.</x:v>
      </x:c>
    </x:row>
    <x:row r="9">
      <x:c r="A9" s="215" t="str">
        <x:v>M2</x:v>
      </x:c>
      <x:c r="B9" s="185" t="str">
        <x:v>Rewards</x:v>
      </x:c>
      <x:c r="C9" s="185" t="str">
        <x:v>Model assumption</x:v>
      </x:c>
      <x:c r="D9" s="185" t="str">
        <x:v>Daily-smoothed 20% immediate + 80%/56-day vest</x:v>
      </x:c>
      <x:c r="E9" s="185" t="str">
        <x:v>2026-09-02</x:v>
      </x:c>
      <x:c r="F9" s="190" t="str">
        <x:v>Actual 7-day claim cadence creates saw-tooth liquidity but similar medium-term totals.</x:v>
      </x:c>
    </x:row>
    <x:row r="10">
      <x:c r="A10" s="215" t="str">
        <x:v>M3</x:v>
      </x:c>
      <x:c r="B10" s="185" t="str">
        <x:v>Demand</x:v>
      </x:c>
      <x:c r="C10" s="185" t="str">
        <x:v>Scenario/Monte Carlo assumption</x:v>
      </x:c>
      <x:c r="D10" s="185" t="str">
        <x:v>Turnover, buy bias, reward-sale rate and monthly growth</x:v>
      </x:c>
      <x:c r="E10" s="185" t="str">
        <x:v>2026-09-02</x:v>
      </x:c>
      <x:c r="F10" s="190" t="str">
        <x:v>No historical TickerGarden launch data exists; outputs are stress tests, not forecasts.</x:v>
      </x:c>
    </x:row>
    <x:row r="11">
      <x:c r="A11" s="216" t="str">
        <x:v>M4</x:v>
      </x:c>
      <x:c r="B11" s="186" t="str">
        <x:v>LP participation</x:v>
      </x:c>
      <x:c r="C11" s="186" t="str">
        <x:v>Model assumption</x:v>
      </x:c>
      <x:c r="D11" s="186" t="str">
        <x:v>External LP enters at graduation price and stays for 365 days</x:v>
      </x:c>
      <x:c r="E11" s="186" t="str">
        <x:v>2026-09-02</x:v>
      </x:c>
      <x:c r="F11" s="192" t="str">
        <x:v>No LP withdrawal/rebalancing/JIT liquidity; this is optimistic for continuity.</x:v>
      </x:c>
    </x:row>
  </x:sheetData>
  <x:mergeCells>
    <x:mergeCell ref="A1:F2"/>
  </x:mergeCells>
  <x:pageMargins left="0.7" right="0.7" top="0.75" bottom="0.75" header="0.3" footer="0.3"/>
</x:worksheet>
</file>